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  <sheet name="Sheet2" sheetId="2" r:id="rId5"/>
    <sheet name="Sheet3" sheetId="3" r:id="rId6"/>
  </sheets>
</workbook>
</file>

<file path=xl/sharedStrings.xml><?xml version="1.0" encoding="utf-8"?>
<sst xmlns="http://schemas.openxmlformats.org/spreadsheetml/2006/main" uniqueCount="5028">
  <si>
    <t>Main New Gloss</t>
  </si>
  <si>
    <t>Consultant</t>
  </si>
  <si>
    <t>Gloss Variant</t>
  </si>
  <si>
    <t>D Start HS</t>
  </si>
  <si>
    <t>N-D Start HS</t>
  </si>
  <si>
    <t>D End HS</t>
  </si>
  <si>
    <t>N-D End HS</t>
  </si>
  <si>
    <t>Passive Arm</t>
  </si>
  <si>
    <t>Combined</t>
  </si>
  <si>
    <t>Separate</t>
  </si>
  <si>
    <t>Session</t>
  </si>
  <si>
    <t>Scene</t>
  </si>
  <si>
    <t>Start</t>
  </si>
  <si>
    <t>End</t>
  </si>
  <si>
    <t>============</t>
  </si>
  <si>
    <t>TWENTY</t>
  </si>
  <si>
    <t>Liz</t>
  </si>
  <si>
    <t>TWENTY+</t>
  </si>
  <si>
    <t>crvd-L</t>
  </si>
  <si>
    <t>flat-G</t>
  </si>
  <si>
    <t>N</t>
  </si>
  <si>
    <r>
      <rPr>
        <b val="1"/>
        <u val="single"/>
        <sz val="11"/>
        <color indexed="14"/>
        <rFont val="Calibri"/>
      </rPr>
      <t>MOV</t>
    </r>
  </si>
  <si>
    <t>ASL_2008_01_11</t>
  </si>
  <si>
    <t>Tyler</t>
  </si>
  <si>
    <t>TWENTY++</t>
  </si>
  <si>
    <t>L</t>
  </si>
  <si>
    <t>ASL_2008_05_12a</t>
  </si>
  <si>
    <t>Naomi</t>
  </si>
  <si>
    <t>baby-O</t>
  </si>
  <si>
    <t>ASL_2008_08_04</t>
  </si>
  <si>
    <t>Brady</t>
  </si>
  <si>
    <t>ASL_2011_06_08_Brady</t>
  </si>
  <si>
    <t>ALONE</t>
  </si>
  <si>
    <t>ALONE++</t>
  </si>
  <si>
    <t>ASL_2008_02_01</t>
  </si>
  <si>
    <t>ALONE+</t>
  </si>
  <si>
    <t>ASL_2008_02_29</t>
  </si>
  <si>
    <t>ASL_2008_05_29b</t>
  </si>
  <si>
    <t>ASL_2008_08_13</t>
  </si>
  <si>
    <t>ASL_2011_06_14_Brady</t>
  </si>
  <si>
    <t>ASL_2011_07_19_Brady</t>
  </si>
  <si>
    <t>Lana</t>
  </si>
  <si>
    <t>ASL_2006_10_10</t>
  </si>
  <si>
    <t>Dana</t>
  </si>
  <si>
    <t>ASL_2007_05_24</t>
  </si>
  <si>
    <t>LONELY</t>
  </si>
  <si>
    <t>LONELY+</t>
  </si>
  <si>
    <t>ASL_2008_06_10</t>
  </si>
  <si>
    <t>ASL_2008_08_13_session2</t>
  </si>
  <si>
    <t>BACHELOR</t>
  </si>
  <si>
    <t>SINGLE</t>
  </si>
  <si>
    <t>D</t>
  </si>
  <si>
    <t xml:space="preserve"> </t>
  </si>
  <si>
    <t>------------</t>
  </si>
  <si>
    <t>SWINGING-SINGLE</t>
  </si>
  <si>
    <t>B</t>
  </si>
  <si>
    <t>SOMETHING-ONE</t>
  </si>
  <si>
    <t>ALWAYS</t>
  </si>
  <si>
    <t>WAIT-A-MINUTE</t>
  </si>
  <si>
    <t>ASL_2008_03_28</t>
  </si>
  <si>
    <t>ASL_2011_07_22_Brady</t>
  </si>
  <si>
    <t>ONE</t>
  </si>
  <si>
    <t>ONE_2</t>
  </si>
  <si>
    <t>A</t>
  </si>
  <si>
    <t>LITTLE-BIT</t>
  </si>
  <si>
    <t>X-over-thumb</t>
  </si>
  <si>
    <t>LITTLE-BIT++</t>
  </si>
  <si>
    <t>ABANDON</t>
  </si>
  <si>
    <t>S</t>
  </si>
  <si>
    <t>THROW-AWAY</t>
  </si>
  <si>
    <t>cocked-S</t>
  </si>
  <si>
    <t>ABORTION</t>
  </si>
  <si>
    <t>crvd-5</t>
  </si>
  <si>
    <t>B-L</t>
  </si>
  <si>
    <t>ABORTION_2</t>
  </si>
  <si>
    <t>5-C-L</t>
  </si>
  <si>
    <t>(1h)ABORTION</t>
  </si>
  <si>
    <t>ASL_2010_08_10_Liz_additional_lexicon_signs</t>
  </si>
  <si>
    <t>(S)ABORTION</t>
  </si>
  <si>
    <t>ABOVE</t>
  </si>
  <si>
    <t>bent-B-L</t>
  </si>
  <si>
    <t>ABOVE_2</t>
  </si>
  <si>
    <t>ABOVE_3</t>
  </si>
  <si>
    <t>EXCEED</t>
  </si>
  <si>
    <t>ASL_2008_01_18</t>
  </si>
  <si>
    <t>bent-B</t>
  </si>
  <si>
    <t>ASL_2008_08_06</t>
  </si>
  <si>
    <t>A-LEVEL-ABOVE</t>
  </si>
  <si>
    <t>ASL_2008_02_15</t>
  </si>
  <si>
    <t>ADULT-TALL</t>
  </si>
  <si>
    <t>ADULT</t>
  </si>
  <si>
    <t>ADULT-pl</t>
  </si>
  <si>
    <t>ASL_2008_05_29a</t>
  </si>
  <si>
    <t>CHILD</t>
  </si>
  <si>
    <t>CHILD+</t>
  </si>
  <si>
    <t>CHILDREN++</t>
  </si>
  <si>
    <t>CHILDREN+</t>
  </si>
  <si>
    <t>(1h)CHILDREN+</t>
  </si>
  <si>
    <t>(1h)CHILDREN++</t>
  </si>
  <si>
    <t>GROW-UP</t>
  </si>
  <si>
    <t>MAXIMUM</t>
  </si>
  <si>
    <t>MAXIMUM++</t>
  </si>
  <si>
    <t>MORE-THAN</t>
  </si>
  <si>
    <t>LESS-THAN</t>
  </si>
  <si>
    <t>THAN</t>
  </si>
  <si>
    <t>Rlxd</t>
  </si>
  <si>
    <t>UNDER</t>
  </si>
  <si>
    <t>BASEMENT</t>
  </si>
  <si>
    <t>BASEMENT+</t>
  </si>
  <si>
    <t>flat-B</t>
  </si>
  <si>
    <t>UPPER</t>
  </si>
  <si>
    <t>BELOW</t>
  </si>
  <si>
    <t>BELOW_2</t>
  </si>
  <si>
    <t>BELOW_2+</t>
  </si>
  <si>
    <t>ELEMENTARY</t>
  </si>
  <si>
    <t>E</t>
  </si>
  <si>
    <t>ELEMENTARY++</t>
  </si>
  <si>
    <t>loose-E</t>
  </si>
  <si>
    <t>ACCEPT</t>
  </si>
  <si>
    <t>flat-O</t>
  </si>
  <si>
    <t>ACCIDENT</t>
  </si>
  <si>
    <t>(5)ACCIDENT</t>
  </si>
  <si>
    <t>(3)ACCIDENT</t>
  </si>
  <si>
    <t>CRASH</t>
  </si>
  <si>
    <t>(5)CRASH</t>
  </si>
  <si>
    <t>ASL_2008_05_12b</t>
  </si>
  <si>
    <t>ACCOMPANY</t>
  </si>
  <si>
    <t>TOGETHER-GO-STEADY</t>
  </si>
  <si>
    <t>TOGETHER-GO-STEADY+++</t>
  </si>
  <si>
    <t>TOGETHER-GO-STEADY+</t>
  </si>
  <si>
    <t>TOGETHER-GO-STEADY++</t>
  </si>
  <si>
    <t>ALL-TOGETHER</t>
  </si>
  <si>
    <t>GO-STEADY</t>
  </si>
  <si>
    <t>(1)GO-STEADY</t>
  </si>
  <si>
    <t>(1)GO-STEADY+</t>
  </si>
  <si>
    <t>BLAME</t>
  </si>
  <si>
    <t>Y</t>
  </si>
  <si>
    <t>BLAME-1p</t>
  </si>
  <si>
    <t>OVER-AFTER</t>
  </si>
  <si>
    <t>ACT</t>
  </si>
  <si>
    <t>ACT++</t>
  </si>
  <si>
    <t>ACT+</t>
  </si>
  <si>
    <t>AGGRESSIVE</t>
  </si>
  <si>
    <t>AGGRESSIVE++</t>
  </si>
  <si>
    <t>AGGRESSIVE+</t>
  </si>
  <si>
    <t>ADD</t>
  </si>
  <si>
    <t>TOTAL</t>
  </si>
  <si>
    <t>TOTAL_2</t>
  </si>
  <si>
    <t>crvd-sprd-B</t>
  </si>
  <si>
    <t>ENTER</t>
  </si>
  <si>
    <t>crvd-B</t>
  </si>
  <si>
    <t>ENTER+</t>
  </si>
  <si>
    <t>B-xd</t>
  </si>
  <si>
    <t>ADMIT</t>
  </si>
  <si>
    <t>(1h)ADMIT</t>
  </si>
  <si>
    <t>ADVISE-INFLUENCE</t>
  </si>
  <si>
    <t>ADVISE-INFLUENCE+</t>
  </si>
  <si>
    <t>ADVISE-INFLUENCE++</t>
  </si>
  <si>
    <t>O</t>
  </si>
  <si>
    <t>ADVISE-INFLUENCE_2</t>
  </si>
  <si>
    <t>AFRAID</t>
  </si>
  <si>
    <t>SCARE+</t>
  </si>
  <si>
    <t>SCARE++</t>
  </si>
  <si>
    <t>ns-AFRICA</t>
  </si>
  <si>
    <t>(A)ns-AFRICA</t>
  </si>
  <si>
    <t>AFTERNOON</t>
  </si>
  <si>
    <t>AFTERNOON++</t>
  </si>
  <si>
    <t>AFTERNOON+++</t>
  </si>
  <si>
    <t>AFTERNOON+</t>
  </si>
  <si>
    <t>AFTERNOON_2</t>
  </si>
  <si>
    <t>ALL-AFTERNOON</t>
  </si>
  <si>
    <t>AGAIN</t>
  </si>
  <si>
    <t>AGAIN++</t>
  </si>
  <si>
    <t>AGAIN+</t>
  </si>
  <si>
    <t>AGAIN+++</t>
  </si>
  <si>
    <t>OFTEN</t>
  </si>
  <si>
    <t>OFTEN+++</t>
  </si>
  <si>
    <t>OFTEN++</t>
  </si>
  <si>
    <t>THOUSAND</t>
  </si>
  <si>
    <t>MILLION</t>
  </si>
  <si>
    <t>BILLION</t>
  </si>
  <si>
    <t>BILLION_2+</t>
  </si>
  <si>
    <t>BILLION_2</t>
  </si>
  <si>
    <t>OLD</t>
  </si>
  <si>
    <t>OLD+</t>
  </si>
  <si>
    <t>C</t>
  </si>
  <si>
    <t>OLD++</t>
  </si>
  <si>
    <t>5-C</t>
  </si>
  <si>
    <t>OLD_2</t>
  </si>
  <si>
    <t>(S)OLD</t>
  </si>
  <si>
    <t>AGREE</t>
  </si>
  <si>
    <t>AGREE:i</t>
  </si>
  <si>
    <t>THINK+AGREE</t>
  </si>
  <si>
    <t>AIR</t>
  </si>
  <si>
    <t>AIRPLANE</t>
  </si>
  <si>
    <t>AIRPLANE+</t>
  </si>
  <si>
    <t>I-L-Y</t>
  </si>
  <si>
    <t>bent-I-L-Y</t>
  </si>
  <si>
    <t>FLY-BY-PLANE</t>
  </si>
  <si>
    <t>ALARM</t>
  </si>
  <si>
    <t>ALARM+</t>
  </si>
  <si>
    <t>ALARM++</t>
  </si>
  <si>
    <t>ALARM+++</t>
  </si>
  <si>
    <t>ALCOHOL</t>
  </si>
  <si>
    <t>ALCOHOL+</t>
  </si>
  <si>
    <t>Horns</t>
  </si>
  <si>
    <t>ALCOHOL++</t>
  </si>
  <si>
    <t>SARCASM</t>
  </si>
  <si>
    <t>ALL</t>
  </si>
  <si>
    <t>#ALL</t>
  </si>
  <si>
    <t>#ALL_2</t>
  </si>
  <si>
    <t>ALL-DAY</t>
  </si>
  <si>
    <t>RUN-OUT</t>
  </si>
  <si>
    <t>ALL-RIGHT</t>
  </si>
  <si>
    <t>ALL-RIGHT+</t>
  </si>
  <si>
    <t>ALL-RIGHT++</t>
  </si>
  <si>
    <t>ALLIGATOR</t>
  </si>
  <si>
    <t>ALLIGATOR+</t>
  </si>
  <si>
    <t>ALLOW</t>
  </si>
  <si>
    <t>PERMIT</t>
  </si>
  <si>
    <t>P-K</t>
  </si>
  <si>
    <t>PERMIT+</t>
  </si>
  <si>
    <t>A-LOT</t>
  </si>
  <si>
    <t>ns-AMERICA</t>
  </si>
  <si>
    <t>ns-AMERICA+</t>
  </si>
  <si>
    <t>AMONG</t>
  </si>
  <si>
    <t>AMONG_2</t>
  </si>
  <si>
    <t>ns-nat-AMSTERDAM</t>
  </si>
  <si>
    <t>ANALYZE</t>
  </si>
  <si>
    <t>V-2</t>
  </si>
  <si>
    <t>crvd-V</t>
  </si>
  <si>
    <t>ANALYZE+</t>
  </si>
  <si>
    <t>ANALYZE_2</t>
  </si>
  <si>
    <t>ANALYZE-LIST+</t>
  </si>
  <si>
    <t>GENERATION</t>
  </si>
  <si>
    <t>GENERATION+</t>
  </si>
  <si>
    <t>GENERATIONS-AGO</t>
  </si>
  <si>
    <t>GENERATIONS-AGO+</t>
  </si>
  <si>
    <t>HEREDITY</t>
  </si>
  <si>
    <t>HEREDITY+</t>
  </si>
  <si>
    <t>U-H</t>
  </si>
  <si>
    <t>PASS-DOWN</t>
  </si>
  <si>
    <t>PASS-DOWN+</t>
  </si>
  <si>
    <t>AND</t>
  </si>
  <si>
    <t>tight-C</t>
  </si>
  <si>
    <t>ASL_2006_01_20</t>
  </si>
  <si>
    <t>OTHER</t>
  </si>
  <si>
    <t>ANSWER</t>
  </si>
  <si>
    <t>ANSWER+</t>
  </si>
  <si>
    <t>ORDER</t>
  </si>
  <si>
    <t>REPORT</t>
  </si>
  <si>
    <t>R</t>
  </si>
  <si>
    <t>ANY</t>
  </si>
  <si>
    <t>DEAF-APPLAUSE</t>
  </si>
  <si>
    <t>APPLE</t>
  </si>
  <si>
    <t>X</t>
  </si>
  <si>
    <t>(S)APPLE</t>
  </si>
  <si>
    <t>APPLY</t>
  </si>
  <si>
    <t>APPOINT</t>
  </si>
  <si>
    <t>APPOINTMENT</t>
  </si>
  <si>
    <t>crvd-flat-B</t>
  </si>
  <si>
    <t>(A)APPOINTMENT</t>
  </si>
  <si>
    <t>(nd-S)APPOINTMENT</t>
  </si>
  <si>
    <t>LATCH</t>
  </si>
  <si>
    <t>LOCK</t>
  </si>
  <si>
    <t>LOCK_2</t>
  </si>
  <si>
    <t>REGULAR</t>
  </si>
  <si>
    <t>REGULAR++</t>
  </si>
  <si>
    <t>bent-1</t>
  </si>
  <si>
    <t>REGULAR+</t>
  </si>
  <si>
    <t>APPROVE</t>
  </si>
  <si>
    <t>STAMP-SEAL</t>
  </si>
  <si>
    <t>APPROVE-VETO</t>
  </si>
  <si>
    <t>BACKSTAB</t>
  </si>
  <si>
    <t>SHOOT-ARROW</t>
  </si>
  <si>
    <t>SHOOT-ARROW_2</t>
  </si>
  <si>
    <t>(cocked-8)SHOOT-ARROW</t>
  </si>
  <si>
    <t>cocked-8</t>
  </si>
  <si>
    <t>(Horns)SHOOT-ARROW</t>
  </si>
  <si>
    <t>GUITAR</t>
  </si>
  <si>
    <t>GUITAR++</t>
  </si>
  <si>
    <t>GUITAR+++</t>
  </si>
  <si>
    <t>F-9</t>
  </si>
  <si>
    <t>full-M</t>
  </si>
  <si>
    <t>ns-ARIZONA</t>
  </si>
  <si>
    <t>ARRIVE</t>
  </si>
  <si>
    <t>ART-DESIGN</t>
  </si>
  <si>
    <t>I</t>
  </si>
  <si>
    <t>ART-DESIGN_2+</t>
  </si>
  <si>
    <t>(D)ART-DESIGN</t>
  </si>
  <si>
    <t>ARTICLE</t>
  </si>
  <si>
    <t>ARTICLE+</t>
  </si>
  <si>
    <t>L-X</t>
  </si>
  <si>
    <t>CHAPTER</t>
  </si>
  <si>
    <t>ns-ASIA</t>
  </si>
  <si>
    <t>ns-ASIA_2</t>
  </si>
  <si>
    <t>(A)ns-ASIA</t>
  </si>
  <si>
    <t>SOCIAL-INTERACT</t>
  </si>
  <si>
    <t>SOCIAL-INTERACT+</t>
  </si>
  <si>
    <t>ns-ATHENS</t>
  </si>
  <si>
    <t>ns-ATLANTA</t>
  </si>
  <si>
    <t>GO</t>
  </si>
  <si>
    <t>GO+</t>
  </si>
  <si>
    <t>GO++</t>
  </si>
  <si>
    <t>(1h)GO</t>
  </si>
  <si>
    <t>(1h)(5)GO</t>
  </si>
  <si>
    <t>PAY-ATTENTION</t>
  </si>
  <si>
    <t>PAY-ATTENTION+</t>
  </si>
  <si>
    <t>ATTITUDE</t>
  </si>
  <si>
    <t>ATTITUDE_2</t>
  </si>
  <si>
    <t>YOM-KIPPUR</t>
  </si>
  <si>
    <t>AUDIENCE</t>
  </si>
  <si>
    <t>AUDIOLOGY</t>
  </si>
  <si>
    <t>AUNT</t>
  </si>
  <si>
    <t>AUNT_2</t>
  </si>
  <si>
    <t>UNCLE</t>
  </si>
  <si>
    <t>UNCLE_2</t>
  </si>
  <si>
    <t>ns-AUSTRALIA</t>
  </si>
  <si>
    <t>ns-nat-AUSTRALIA</t>
  </si>
  <si>
    <t>ns-nat-AUSTRIA</t>
  </si>
  <si>
    <t>WAKE-UP</t>
  </si>
  <si>
    <t>SURPRISE</t>
  </si>
  <si>
    <t>SURPRISE_2</t>
  </si>
  <si>
    <t>ASTONISHED</t>
  </si>
  <si>
    <t>AMAZED</t>
  </si>
  <si>
    <t>GO-AWAY</t>
  </si>
  <si>
    <t>GO-AWAY_2</t>
  </si>
  <si>
    <t>AWKWARD</t>
  </si>
  <si>
    <t>BABY</t>
  </si>
  <si>
    <t>KEEP-IN-MIND</t>
  </si>
  <si>
    <t>KEEP-IN-MIND++</t>
  </si>
  <si>
    <t>KEEP-IN-MIND+</t>
  </si>
  <si>
    <t>PAST</t>
  </si>
  <si>
    <t>PAST+</t>
  </si>
  <si>
    <t>PAST++</t>
  </si>
  <si>
    <t>PAST_2</t>
  </si>
  <si>
    <t>BACKGROUND</t>
  </si>
  <si>
    <t>G-Q</t>
  </si>
  <si>
    <t>BACKPACK</t>
  </si>
  <si>
    <t>(crvd-B)BACKPACK</t>
  </si>
  <si>
    <t>BACON</t>
  </si>
  <si>
    <t>U-L</t>
  </si>
  <si>
    <t>bent-U-L</t>
  </si>
  <si>
    <t>BACON_2</t>
  </si>
  <si>
    <t>crvd-U</t>
  </si>
  <si>
    <t>BADGE</t>
  </si>
  <si>
    <t>BADGE_2</t>
  </si>
  <si>
    <t>(F)BADGE</t>
  </si>
  <si>
    <t>PIN</t>
  </si>
  <si>
    <t>sml-C-3</t>
  </si>
  <si>
    <t>PIN_2</t>
  </si>
  <si>
    <t>BALD</t>
  </si>
  <si>
    <t>BALD+ALL-GONE</t>
  </si>
  <si>
    <t>BALL</t>
  </si>
  <si>
    <t>BALLOON</t>
  </si>
  <si>
    <t>ns-BALTIMORE</t>
  </si>
  <si>
    <t>BANANA</t>
  </si>
  <si>
    <t>BANDAID</t>
  </si>
  <si>
    <t>ns-BANGLADESH</t>
  </si>
  <si>
    <t>BAPTIST</t>
  </si>
  <si>
    <t>BAR</t>
  </si>
  <si>
    <t>BARK</t>
  </si>
  <si>
    <t>BARK_2</t>
  </si>
  <si>
    <t>BASEBALL</t>
  </si>
  <si>
    <t>BASEBALL+</t>
  </si>
  <si>
    <t>(S)BASEBALL</t>
  </si>
  <si>
    <t>BASEBALL_2</t>
  </si>
  <si>
    <t>BASKET</t>
  </si>
  <si>
    <t>BAG</t>
  </si>
  <si>
    <t>TRASH-BAG</t>
  </si>
  <si>
    <t>(G)TRASH-BAG</t>
  </si>
  <si>
    <t>EPISCOPAL</t>
  </si>
  <si>
    <t>BASKETBALL</t>
  </si>
  <si>
    <t>crvd-3</t>
  </si>
  <si>
    <t>(crvd-5)BASKETBALL</t>
  </si>
  <si>
    <t>BAT</t>
  </si>
  <si>
    <t>BAT++</t>
  </si>
  <si>
    <t>BAT_2</t>
  </si>
  <si>
    <t>BAT_3+</t>
  </si>
  <si>
    <t>BATH</t>
  </si>
  <si>
    <t>BATHING-SUIT</t>
  </si>
  <si>
    <t>(Y)BATHING-SUIT</t>
  </si>
  <si>
    <t>BRA+UNDERPANTS</t>
  </si>
  <si>
    <t>UNDERPANTS+BRA</t>
  </si>
  <si>
    <t>TOILET</t>
  </si>
  <si>
    <t>TOILET+</t>
  </si>
  <si>
    <t>T</t>
  </si>
  <si>
    <t>TOILET++</t>
  </si>
  <si>
    <t>RATTLE</t>
  </si>
  <si>
    <t>NEUTRAL</t>
  </si>
  <si>
    <t>NEUTRAL+</t>
  </si>
  <si>
    <t>bent-N</t>
  </si>
  <si>
    <t>BAWL-OUT</t>
  </si>
  <si>
    <t>(nd-1)BAWL-OUT</t>
  </si>
  <si>
    <t>CARE</t>
  </si>
  <si>
    <t>CARE+</t>
  </si>
  <si>
    <t>CARE++</t>
  </si>
  <si>
    <t>CARE_2+</t>
  </si>
  <si>
    <t>CARE_2++</t>
  </si>
  <si>
    <t>KEEP</t>
  </si>
  <si>
    <t>SUPERVISE</t>
  </si>
  <si>
    <t>SUPERVISE+</t>
  </si>
  <si>
    <t>BEACH</t>
  </si>
  <si>
    <t>(A)BEACH</t>
  </si>
  <si>
    <t>OCEAN</t>
  </si>
  <si>
    <t>WATER+OCEAN</t>
  </si>
  <si>
    <t>W</t>
  </si>
  <si>
    <t>(1)WATER+OCEAN</t>
  </si>
  <si>
    <t>BEAR</t>
  </si>
  <si>
    <t>HIT</t>
  </si>
  <si>
    <t>HIT-1p</t>
  </si>
  <si>
    <t>HIT_2</t>
  </si>
  <si>
    <t>ASSAULT</t>
  </si>
  <si>
    <t>ABUSE</t>
  </si>
  <si>
    <t>ABUSE+</t>
  </si>
  <si>
    <t>ABUSE+++</t>
  </si>
  <si>
    <t>ABUSE++</t>
  </si>
  <si>
    <t>BECAUSE</t>
  </si>
  <si>
    <t>BECOME</t>
  </si>
  <si>
    <t>BECOME_2</t>
  </si>
  <si>
    <t>BED</t>
  </si>
  <si>
    <t>(2h)BED</t>
  </si>
  <si>
    <t>BEG</t>
  </si>
  <si>
    <t>BEG_2</t>
  </si>
  <si>
    <t>ns-nat-BEIJING</t>
  </si>
  <si>
    <t>bent-U</t>
  </si>
  <si>
    <t>ns-fs-BEIJING</t>
  </si>
  <si>
    <t>ns-BELGIUM</t>
  </si>
  <si>
    <t>BELL</t>
  </si>
  <si>
    <t>BELONG</t>
  </si>
  <si>
    <t>open-8</t>
  </si>
  <si>
    <t>(C)BELONG</t>
  </si>
  <si>
    <t>DISCONNECT</t>
  </si>
  <si>
    <t>COOPERATE-UNITE</t>
  </si>
  <si>
    <t>RELATIONSHIP</t>
  </si>
  <si>
    <t>1p-RELATIONSHIP</t>
  </si>
  <si>
    <t>CHAIN-OLYMPICS</t>
  </si>
  <si>
    <t>open-F</t>
  </si>
  <si>
    <t>BENEFIT</t>
  </si>
  <si>
    <t>BETTER</t>
  </si>
  <si>
    <t>BEST</t>
  </si>
  <si>
    <t>BICYCLE</t>
  </si>
  <si>
    <t>ASL_2006_09_26</t>
  </si>
  <si>
    <t>BIG</t>
  </si>
  <si>
    <t>BIG_2</t>
  </si>
  <si>
    <t>BIG_3</t>
  </si>
  <si>
    <t>BIG_4</t>
  </si>
  <si>
    <t>BIG-HEADED</t>
  </si>
  <si>
    <t>LITTLE</t>
  </si>
  <si>
    <t>LOSE-WEIGHT</t>
  </si>
  <si>
    <t>BIRD</t>
  </si>
  <si>
    <t>BIRD+</t>
  </si>
  <si>
    <t>DUCK</t>
  </si>
  <si>
    <t>flat-O-2</t>
  </si>
  <si>
    <t>EAGLE</t>
  </si>
  <si>
    <t>BIRTHDAY</t>
  </si>
  <si>
    <t>BITE</t>
  </si>
  <si>
    <t>BITE_2</t>
  </si>
  <si>
    <t>BLACK</t>
  </si>
  <si>
    <t>BLANKET</t>
  </si>
  <si>
    <t>bent-B-xd</t>
  </si>
  <si>
    <t>BLANKET_2</t>
  </si>
  <si>
    <t>BLANKET_3</t>
  </si>
  <si>
    <t>(A)BLANKET</t>
  </si>
  <si>
    <t>BLESS</t>
  </si>
  <si>
    <t>BLIND</t>
  </si>
  <si>
    <t>(cheek)BLIND</t>
  </si>
  <si>
    <t>BLINDS</t>
  </si>
  <si>
    <t>(B)BLINDS</t>
  </si>
  <si>
    <t>BLINK-WINK</t>
  </si>
  <si>
    <t>BLOND</t>
  </si>
  <si>
    <t>HAIR_2+BLOND</t>
  </si>
  <si>
    <t>BLOOD</t>
  </si>
  <si>
    <t>BLOSSOM</t>
  </si>
  <si>
    <t>BLOW-NOSE</t>
  </si>
  <si>
    <t>BLOW-NOSE_2</t>
  </si>
  <si>
    <t>HEAD-COLD</t>
  </si>
  <si>
    <t>HEAD-COLD_2</t>
  </si>
  <si>
    <t>BLOW-UP</t>
  </si>
  <si>
    <t>BLUE</t>
  </si>
  <si>
    <t>BOAT</t>
  </si>
  <si>
    <t>BOAT_2</t>
  </si>
  <si>
    <t>GO-BY-BOAT</t>
  </si>
  <si>
    <t>GO-BY-BOAT_2</t>
  </si>
  <si>
    <t>BODY</t>
  </si>
  <si>
    <t>PHYSICAL</t>
  </si>
  <si>
    <t>BOIL</t>
  </si>
  <si>
    <t>SIMMER</t>
  </si>
  <si>
    <t>ns-nat-BOLIVIA</t>
  </si>
  <si>
    <t>O-2-Horns</t>
  </si>
  <si>
    <t>BOMB</t>
  </si>
  <si>
    <t>(S)BOMB</t>
  </si>
  <si>
    <t>(S)BOMB_2</t>
  </si>
  <si>
    <t>ns-nat-BOMBAY</t>
  </si>
  <si>
    <t>BORE</t>
  </si>
  <si>
    <t>BORN</t>
  </si>
  <si>
    <t>(S)BORN</t>
  </si>
  <si>
    <t>BIRTH</t>
  </si>
  <si>
    <t>BORROW</t>
  </si>
  <si>
    <t>LEND</t>
  </si>
  <si>
    <t>MOOCH</t>
  </si>
  <si>
    <t>tight-C-2</t>
  </si>
  <si>
    <t>BOSS</t>
  </si>
  <si>
    <t>COACH</t>
  </si>
  <si>
    <t>ns-BOSTON</t>
  </si>
  <si>
    <t>BOTH</t>
  </si>
  <si>
    <t>bent-V</t>
  </si>
  <si>
    <t>BOTTLE</t>
  </si>
  <si>
    <t>BOTTLE-pl</t>
  </si>
  <si>
    <t>WINE-BOTTLE</t>
  </si>
  <si>
    <t>DRIBBLE</t>
  </si>
  <si>
    <t>DRIBBLE++</t>
  </si>
  <si>
    <t>BOWLING</t>
  </si>
  <si>
    <t>BOWLING_2</t>
  </si>
  <si>
    <t>(crvd-3)BOWLING</t>
  </si>
  <si>
    <t>BOWTIE</t>
  </si>
  <si>
    <t>(U)BOWTIE</t>
  </si>
  <si>
    <t>cocked-U</t>
  </si>
  <si>
    <t>BOY</t>
  </si>
  <si>
    <t>BRA</t>
  </si>
  <si>
    <t>BRA_2</t>
  </si>
  <si>
    <t>BRACELET</t>
  </si>
  <si>
    <t>BRACELET_2</t>
  </si>
  <si>
    <t>WATCH</t>
  </si>
  <si>
    <t>BRAG</t>
  </si>
  <si>
    <t>BRAKE</t>
  </si>
  <si>
    <t>(5-C-L)BRAKE</t>
  </si>
  <si>
    <t>BRAWL</t>
  </si>
  <si>
    <t>ns-nat-BRAZIL</t>
  </si>
  <si>
    <t>BREAD</t>
  </si>
  <si>
    <t>BREAD+</t>
  </si>
  <si>
    <t>RECORD-BREAK-RECORD</t>
  </si>
  <si>
    <t>BREAK</t>
  </si>
  <si>
    <t>BREAK-DOWN</t>
  </si>
  <si>
    <t>BREAK-DOWN-BUILDING</t>
  </si>
  <si>
    <t>DECONSTRUCT</t>
  </si>
  <si>
    <t>BREASTS</t>
  </si>
  <si>
    <t>BREATHE</t>
  </si>
  <si>
    <t>BRIDGE</t>
  </si>
  <si>
    <t>(crvd-V)BRIDGE</t>
  </si>
  <si>
    <t>BRING</t>
  </si>
  <si>
    <t>BRING-1p</t>
  </si>
  <si>
    <t>CARRY</t>
  </si>
  <si>
    <t>BROKE</t>
  </si>
  <si>
    <t>BROOM</t>
  </si>
  <si>
    <t>BROOM_2</t>
  </si>
  <si>
    <t>(S)BROOM</t>
  </si>
  <si>
    <t>(S)BROOM+</t>
  </si>
  <si>
    <t>MOP</t>
  </si>
  <si>
    <t>MOP+</t>
  </si>
  <si>
    <t>(X-over-thumb)MOP</t>
  </si>
  <si>
    <t>(X-over-thumb)MOP+</t>
  </si>
  <si>
    <t>BROWN</t>
  </si>
  <si>
    <t>BEER</t>
  </si>
  <si>
    <t>BLUSH-BRUSH</t>
  </si>
  <si>
    <t>(A)BLUSH-BRUSH</t>
  </si>
  <si>
    <t>(flat-O)BLUSH-BRUSH</t>
  </si>
  <si>
    <t>BUG</t>
  </si>
  <si>
    <t>BUG+</t>
  </si>
  <si>
    <t>LOUSY</t>
  </si>
  <si>
    <t>BUILD</t>
  </si>
  <si>
    <t>BUILD+++</t>
  </si>
  <si>
    <t>BUILD++</t>
  </si>
  <si>
    <t>BUILDING</t>
  </si>
  <si>
    <t>(U-L)BUILDING+</t>
  </si>
  <si>
    <t>(U-L)BUILDING++</t>
  </si>
  <si>
    <t>COMFORTABLE</t>
  </si>
  <si>
    <t>COMFORTABLE_2</t>
  </si>
  <si>
    <t>ns-BULGARIA</t>
  </si>
  <si>
    <t>ns-BULGARIA_2</t>
  </si>
  <si>
    <t>BULL</t>
  </si>
  <si>
    <t>(Y)BULL</t>
  </si>
  <si>
    <t>BURY</t>
  </si>
  <si>
    <t>BUSINESS</t>
  </si>
  <si>
    <t>BUSINESS+</t>
  </si>
  <si>
    <t>BUSINESS_2++</t>
  </si>
  <si>
    <t>BUSINESS_3+</t>
  </si>
  <si>
    <t>BUSY</t>
  </si>
  <si>
    <t>BUSY+</t>
  </si>
  <si>
    <t>BUSY_2++</t>
  </si>
  <si>
    <t>BUSY_2+++</t>
  </si>
  <si>
    <t>BUSY_3++++</t>
  </si>
  <si>
    <t>BUT</t>
  </si>
  <si>
    <t>BUTTER</t>
  </si>
  <si>
    <t>BUTTER+</t>
  </si>
  <si>
    <t>BUTTER+++</t>
  </si>
  <si>
    <t>BUTTER++</t>
  </si>
  <si>
    <t>BUTTER_2</t>
  </si>
  <si>
    <t>BUTTERFLY</t>
  </si>
  <si>
    <t>BUTTERFLY+</t>
  </si>
  <si>
    <t>BUTTERFLY++</t>
  </si>
  <si>
    <t>BUTTON</t>
  </si>
  <si>
    <t>BUTTON++</t>
  </si>
  <si>
    <t>cocked-F</t>
  </si>
  <si>
    <t>CABINET</t>
  </si>
  <si>
    <t>CABINET+</t>
  </si>
  <si>
    <t>CABINET++</t>
  </si>
  <si>
    <t>CUPBOARD++</t>
  </si>
  <si>
    <t>CUPBOARD+</t>
  </si>
  <si>
    <t>CUPBOARD+++</t>
  </si>
  <si>
    <t>CAKE</t>
  </si>
  <si>
    <t>CAKE++</t>
  </si>
  <si>
    <t>CAKE+</t>
  </si>
  <si>
    <t>SHEET-CAKE</t>
  </si>
  <si>
    <t>CAMERA</t>
  </si>
  <si>
    <t>CAMERA+</t>
  </si>
  <si>
    <t>CAMERA++</t>
  </si>
  <si>
    <t>TAKE-PICTURE</t>
  </si>
  <si>
    <t>CAN</t>
  </si>
  <si>
    <t>CAN+</t>
  </si>
  <si>
    <t>CAN++</t>
  </si>
  <si>
    <t>ns-nat-CANADA</t>
  </si>
  <si>
    <t>CANDLE</t>
  </si>
  <si>
    <t>CUTE</t>
  </si>
  <si>
    <t>CUTE+</t>
  </si>
  <si>
    <t>CUTE++</t>
  </si>
  <si>
    <t>SUGAR-SWEET</t>
  </si>
  <si>
    <t>SUGAR-SWEET+</t>
  </si>
  <si>
    <t>CANE</t>
  </si>
  <si>
    <t>CANE+</t>
  </si>
  <si>
    <t>CANE++</t>
  </si>
  <si>
    <t>(2h)CANE++</t>
  </si>
  <si>
    <t>PADDLE-CANOE</t>
  </si>
  <si>
    <t>CANNOT</t>
  </si>
  <si>
    <t>GOVERNMENT</t>
  </si>
  <si>
    <t>(G)GOVERNMENT</t>
  </si>
  <si>
    <t>alt-G</t>
  </si>
  <si>
    <t>FEDERAL</t>
  </si>
  <si>
    <t>POLITICS</t>
  </si>
  <si>
    <t>PEA-BRAIN</t>
  </si>
  <si>
    <t>NAB</t>
  </si>
  <si>
    <t>(V)NAB</t>
  </si>
  <si>
    <t>CAR</t>
  </si>
  <si>
    <t>CAR+</t>
  </si>
  <si>
    <t>CAR++</t>
  </si>
  <si>
    <t>DRIVE</t>
  </si>
  <si>
    <t>DRIVE-AROUND+</t>
  </si>
  <si>
    <t>CARELESS</t>
  </si>
  <si>
    <t>CARELESS+</t>
  </si>
  <si>
    <t>(1h)CARELESS+</t>
  </si>
  <si>
    <t>CARPENTER</t>
  </si>
  <si>
    <t>CARPENTER+</t>
  </si>
  <si>
    <t>HAMMER+AGENT</t>
  </si>
  <si>
    <t>(1h)HAMMER+AGENT</t>
  </si>
  <si>
    <t>CARROT</t>
  </si>
  <si>
    <t>(1)CARROT</t>
  </si>
  <si>
    <t>CARROT_2</t>
  </si>
  <si>
    <t>CARROT_2+</t>
  </si>
  <si>
    <t>CAT</t>
  </si>
  <si>
    <t>CAT+</t>
  </si>
  <si>
    <t>CAT++</t>
  </si>
  <si>
    <t>(2h)CAT+</t>
  </si>
  <si>
    <t>(2h)CAT_2++</t>
  </si>
  <si>
    <t>CATCH-BALL</t>
  </si>
  <si>
    <t>CATCH-BALL_2</t>
  </si>
  <si>
    <t>CATCH-BALL_3</t>
  </si>
  <si>
    <t>CATCH</t>
  </si>
  <si>
    <t>CATCH_2</t>
  </si>
  <si>
    <t>TO-FOOL</t>
  </si>
  <si>
    <t>CATERPILLAR</t>
  </si>
  <si>
    <t>CATERPILLAR+++</t>
  </si>
  <si>
    <t>CATERPILLAR+</t>
  </si>
  <si>
    <t>CATERPILLAR++</t>
  </si>
  <si>
    <t>CATERPILLAR_2++</t>
  </si>
  <si>
    <t>CATERPILLAR_2+++</t>
  </si>
  <si>
    <t>CATHOLIC</t>
  </si>
  <si>
    <t>CAUSE</t>
  </si>
  <si>
    <t>CELEBRATE</t>
  </si>
  <si>
    <t>(X-over-thumb)CELEBRATE</t>
  </si>
  <si>
    <t>CELEBRATE+IX-honorific:upward</t>
  </si>
  <si>
    <t>CELEBRATE+(2h)IX-honorific:upward</t>
  </si>
  <si>
    <t>CENTER</t>
  </si>
  <si>
    <t>MIDDLE</t>
  </si>
  <si>
    <t>ns-CENTRAL-AMERICA</t>
  </si>
  <si>
    <t>CENTER+ns-AMERICA</t>
  </si>
  <si>
    <t>CERTIFY</t>
  </si>
  <si>
    <t>CERTIFY++</t>
  </si>
  <si>
    <t>CERTIFY+</t>
  </si>
  <si>
    <t>CHALK</t>
  </si>
  <si>
    <t>CHALLENGE</t>
  </si>
  <si>
    <t>COMPETITION</t>
  </si>
  <si>
    <t>COMPETITION+</t>
  </si>
  <si>
    <t>COMPETITION++</t>
  </si>
  <si>
    <t>GAME</t>
  </si>
  <si>
    <t>GAME+</t>
  </si>
  <si>
    <t>GAME++</t>
  </si>
  <si>
    <t>DANGER</t>
  </si>
  <si>
    <t>DANGER+</t>
  </si>
  <si>
    <t>DANGER++</t>
  </si>
  <si>
    <t>DARE</t>
  </si>
  <si>
    <t>CHAMP</t>
  </si>
  <si>
    <t>(crvd-3)CHAMP</t>
  </si>
  <si>
    <t>(crvd-V)CHAMP</t>
  </si>
  <si>
    <t>CHANCE</t>
  </si>
  <si>
    <t>BET</t>
  </si>
  <si>
    <t>CHANGE</t>
  </si>
  <si>
    <t>ADAPT</t>
  </si>
  <si>
    <t>TRANSLATE</t>
  </si>
  <si>
    <t>CHANNEL</t>
  </si>
  <si>
    <t>CHANNEL+</t>
  </si>
  <si>
    <t>CHANNEL++</t>
  </si>
  <si>
    <t>5-C-tt</t>
  </si>
  <si>
    <t>(crvd-3)CHANNEL</t>
  </si>
  <si>
    <t>PRICE</t>
  </si>
  <si>
    <t>ns-CHARLOTTE</t>
  </si>
  <si>
    <t>CHEAP</t>
  </si>
  <si>
    <t>CHEAT</t>
  </si>
  <si>
    <t>CHEAT++</t>
  </si>
  <si>
    <t>CHEAT_2+</t>
  </si>
  <si>
    <t>CHEAT_2++</t>
  </si>
  <si>
    <t>(elbow)CHEAT</t>
  </si>
  <si>
    <t>(1)CHEAT+</t>
  </si>
  <si>
    <t>(elbow)CHEAT+</t>
  </si>
  <si>
    <t>(elbow)CHEAT++</t>
  </si>
  <si>
    <t>CHECK</t>
  </si>
  <si>
    <t>(X-over-thumb)CHECK++</t>
  </si>
  <si>
    <t>CHECK_LIST</t>
  </si>
  <si>
    <t>CHECK_LIST++</t>
  </si>
  <si>
    <t>CHECK_LIST+++</t>
  </si>
  <si>
    <t>CHECKERS</t>
  </si>
  <si>
    <t>RED+BLACK+CHECKERS</t>
  </si>
  <si>
    <t>fs-CHECKERS</t>
  </si>
  <si>
    <t>CHECKING-ACCOUNT</t>
  </si>
  <si>
    <t>CHECKING-ACCOUNT+</t>
  </si>
  <si>
    <t>PAPER-CHECK-CARD</t>
  </si>
  <si>
    <t>BEANS</t>
  </si>
  <si>
    <t>BEANS+</t>
  </si>
  <si>
    <t>CHEESE</t>
  </si>
  <si>
    <t>CHEESE+</t>
  </si>
  <si>
    <t>CHEESE++</t>
  </si>
  <si>
    <t>CHEST</t>
  </si>
  <si>
    <t>CHEST_2+</t>
  </si>
  <si>
    <t>GUM</t>
  </si>
  <si>
    <t>GUM+</t>
  </si>
  <si>
    <t>ns-CHICAGO</t>
  </si>
  <si>
    <t>ns-nat-CHILE</t>
  </si>
  <si>
    <t>ns-fs-CHILE</t>
  </si>
  <si>
    <t>ns-CHINA</t>
  </si>
  <si>
    <t>ns-nat-CHINA</t>
  </si>
  <si>
    <t>CHOCOLATE</t>
  </si>
  <si>
    <t>CHOCOLATE+</t>
  </si>
  <si>
    <t>OPTION</t>
  </si>
  <si>
    <t>(1h)OPTION</t>
  </si>
  <si>
    <t>OPTION_2</t>
  </si>
  <si>
    <t>CHOKE</t>
  </si>
  <si>
    <t>CHOKE-1p</t>
  </si>
  <si>
    <t>(1h)CHOKE-1p</t>
  </si>
  <si>
    <t>CHRISTMAS</t>
  </si>
  <si>
    <t>CHRISTMAS_2</t>
  </si>
  <si>
    <t>(2h)CHRISTMAS</t>
  </si>
  <si>
    <t>CHURCH</t>
  </si>
  <si>
    <t>CHURCH+</t>
  </si>
  <si>
    <t>CHURCH++</t>
  </si>
  <si>
    <t>TEMPLE</t>
  </si>
  <si>
    <t>TEMPLE+</t>
  </si>
  <si>
    <t>MOSQUE</t>
  </si>
  <si>
    <t>MOSQUE+</t>
  </si>
  <si>
    <t>bent-M</t>
  </si>
  <si>
    <t>CIGARETTE</t>
  </si>
  <si>
    <t>CIGARETTE++</t>
  </si>
  <si>
    <t>CIGARETTE+</t>
  </si>
  <si>
    <t>CURSE</t>
  </si>
  <si>
    <t>CURSE+</t>
  </si>
  <si>
    <t>(Horns)CURSE</t>
  </si>
  <si>
    <t>CIGAR</t>
  </si>
  <si>
    <t>CIRCLE</t>
  </si>
  <si>
    <t>CIRCUMCISE</t>
  </si>
  <si>
    <t>APPLAUSE</t>
  </si>
  <si>
    <t>APPLAUSE++</t>
  </si>
  <si>
    <t>APPLAUSE+++</t>
  </si>
  <si>
    <t>APPLAUSE+</t>
  </si>
  <si>
    <t>NICE-CLEAN</t>
  </si>
  <si>
    <t>NICE-CLEAN+</t>
  </si>
  <si>
    <t>NICE-CLEAN++</t>
  </si>
  <si>
    <t>CLEVER</t>
  </si>
  <si>
    <t>SICK-SILLY</t>
  </si>
  <si>
    <t>TRIM-HEDGE</t>
  </si>
  <si>
    <t>CLIP-NAILS</t>
  </si>
  <si>
    <t>NEAR</t>
  </si>
  <si>
    <t>NEAR++</t>
  </si>
  <si>
    <t>NEAR+</t>
  </si>
  <si>
    <t>CLOSE</t>
  </si>
  <si>
    <t>CLOSE+</t>
  </si>
  <si>
    <t>NEXT</t>
  </si>
  <si>
    <t>FROM-NOW-ON</t>
  </si>
  <si>
    <t>GET-CLOSE</t>
  </si>
  <si>
    <t>GET-CLOSE++</t>
  </si>
  <si>
    <t>NEXT-TO</t>
  </si>
  <si>
    <t>NEXT-TO_2</t>
  </si>
  <si>
    <t>NEXT-TO_3</t>
  </si>
  <si>
    <t>(1h)NEXT-TO</t>
  </si>
  <si>
    <t>BEFORE</t>
  </si>
  <si>
    <t>BEFORE_2</t>
  </si>
  <si>
    <t>PROCEED</t>
  </si>
  <si>
    <t>(1h)PROCEED</t>
  </si>
  <si>
    <t>PROGRESS</t>
  </si>
  <si>
    <t>PROGRESS+</t>
  </si>
  <si>
    <t>GATE</t>
  </si>
  <si>
    <t>GATE+</t>
  </si>
  <si>
    <t>GATE++</t>
  </si>
  <si>
    <t>UP-AHEAD</t>
  </si>
  <si>
    <t>SHUT</t>
  </si>
  <si>
    <t>DRESS-CLOTHES</t>
  </si>
  <si>
    <t>DRESS-CLOTHES+</t>
  </si>
  <si>
    <t>DRESS-CLOTHES++</t>
  </si>
  <si>
    <t>UNIFORM</t>
  </si>
  <si>
    <t>COAT</t>
  </si>
  <si>
    <t>COCONUT</t>
  </si>
  <si>
    <t>COINS-CHANGE</t>
  </si>
  <si>
    <t>COINS-CHANGE++</t>
  </si>
  <si>
    <t>COINS-CHANGE_2</t>
  </si>
  <si>
    <t>ns-COKE</t>
  </si>
  <si>
    <t>ns-fs-COKE</t>
  </si>
  <si>
    <t>COLD</t>
  </si>
  <si>
    <t>COLLECT</t>
  </si>
  <si>
    <t>COLLECT++</t>
  </si>
  <si>
    <t>COLLECT+++++</t>
  </si>
  <si>
    <t>COLLECTwg</t>
  </si>
  <si>
    <t>CREAM</t>
  </si>
  <si>
    <t>COLOR</t>
  </si>
  <si>
    <t>ns-COLORADO</t>
  </si>
  <si>
    <t>ns-COLORADO_2</t>
  </si>
  <si>
    <t>ns-COLOR+fs-DO</t>
  </si>
  <si>
    <t>ns-COLUMBIA</t>
  </si>
  <si>
    <t>COMB</t>
  </si>
  <si>
    <t>COMB+</t>
  </si>
  <si>
    <t>COMB++</t>
  </si>
  <si>
    <t>HAIRBRUSH</t>
  </si>
  <si>
    <t>HAIRBRUSH+</t>
  </si>
  <si>
    <t>HAIRBRUSH++</t>
  </si>
  <si>
    <t>COME-ON</t>
  </si>
  <si>
    <t>COME</t>
  </si>
  <si>
    <t>(1h)COME</t>
  </si>
  <si>
    <t>(2h)alt.COME</t>
  </si>
  <si>
    <t>COMMUNICATE</t>
  </si>
  <si>
    <t>COMMUNICATE++</t>
  </si>
  <si>
    <t>COMMUNICATE+</t>
  </si>
  <si>
    <t>MISCOMMUNICATE</t>
  </si>
  <si>
    <t>COMMUNICATE+MISCOMMUNICATE</t>
  </si>
  <si>
    <t>COMMUNIST</t>
  </si>
  <si>
    <t>COMMUNIST+</t>
  </si>
  <si>
    <t>CITY-COMMUNITY</t>
  </si>
  <si>
    <t>CITY-COMMUNITY+</t>
  </si>
  <si>
    <t>CITY-COMMUNITY++</t>
  </si>
  <si>
    <t>CITY-COMMUNITY_2+++</t>
  </si>
  <si>
    <t>CITY-COMMUNITY_2++++</t>
  </si>
  <si>
    <t>CITY-COMMUNITY_3+</t>
  </si>
  <si>
    <t>COMMUTE</t>
  </si>
  <si>
    <t>COMMUTE+</t>
  </si>
  <si>
    <t>COMMUTE++</t>
  </si>
  <si>
    <t>COMPUTER</t>
  </si>
  <si>
    <t>COMPUTER+</t>
  </si>
  <si>
    <t>COMPUTER++</t>
  </si>
  <si>
    <t>COMPUTER_2+</t>
  </si>
  <si>
    <t>COMPUTER_3+</t>
  </si>
  <si>
    <t>COMPUTER_4</t>
  </si>
  <si>
    <t>CONCEPT</t>
  </si>
  <si>
    <t>WEEKEND</t>
  </si>
  <si>
    <t>WEEKEND_2</t>
  </si>
  <si>
    <t>RESULT</t>
  </si>
  <si>
    <t>EDGE-CLIFF</t>
  </si>
  <si>
    <t>EDGE_2</t>
  </si>
  <si>
    <t>EDGE_3++</t>
  </si>
  <si>
    <t>END</t>
  </si>
  <si>
    <t>CONCLUSION</t>
  </si>
  <si>
    <t>CONDUCT-MUSIC</t>
  </si>
  <si>
    <t>CONDUCT-MUSIC+</t>
  </si>
  <si>
    <t>CONDUCTOR</t>
  </si>
  <si>
    <t>CONFRONT</t>
  </si>
  <si>
    <t>(A)CONFRONT</t>
  </si>
  <si>
    <t>CONGRATULATIONS</t>
  </si>
  <si>
    <t>BEAT</t>
  </si>
  <si>
    <t>BEAT_2</t>
  </si>
  <si>
    <t>CONTINUE</t>
  </si>
  <si>
    <t>CONTINUE+</t>
  </si>
  <si>
    <t>CONTINUE++</t>
  </si>
  <si>
    <t>CONTINUE+++</t>
  </si>
  <si>
    <t>CONTACT</t>
  </si>
  <si>
    <t>CONTACT+</t>
  </si>
  <si>
    <t>CONTACT++</t>
  </si>
  <si>
    <t>CONTACT-LENSES</t>
  </si>
  <si>
    <t>INTERNET</t>
  </si>
  <si>
    <t>CONVINCE</t>
  </si>
  <si>
    <t>CONVINCE_2</t>
  </si>
  <si>
    <t>CHAT</t>
  </si>
  <si>
    <t>CHAT++</t>
  </si>
  <si>
    <t>CHAT+</t>
  </si>
  <si>
    <t>ENCOURAGE</t>
  </si>
  <si>
    <t>ENCOURAGE+</t>
  </si>
  <si>
    <t>ENCOURAGE++</t>
  </si>
  <si>
    <t>COOKIE</t>
  </si>
  <si>
    <t>COOKIE+</t>
  </si>
  <si>
    <t>COPY</t>
  </si>
  <si>
    <t>COPY+</t>
  </si>
  <si>
    <t>COPY++</t>
  </si>
  <si>
    <t>COPY_2</t>
  </si>
  <si>
    <t>COPY_2+</t>
  </si>
  <si>
    <t>CORN</t>
  </si>
  <si>
    <t>CORN_2</t>
  </si>
  <si>
    <t>CORN_3</t>
  </si>
  <si>
    <t>CORN_4</t>
  </si>
  <si>
    <t>(L-X)CORN_4</t>
  </si>
  <si>
    <t>CONFLICT-INTERSECTION</t>
  </si>
  <si>
    <t>CORNER</t>
  </si>
  <si>
    <t>(1)CORNER</t>
  </si>
  <si>
    <t>CANCEL-CRITICIZE</t>
  </si>
  <si>
    <t>CANCEL-CRITICIZE+</t>
  </si>
  <si>
    <t>DISCRIMINATE</t>
  </si>
  <si>
    <t>CORRESPOND</t>
  </si>
  <si>
    <t>CORRESPOND++</t>
  </si>
  <si>
    <t>ns-COSTA-RICA</t>
  </si>
  <si>
    <t>COUGH</t>
  </si>
  <si>
    <t>COUGH+</t>
  </si>
  <si>
    <t>COUGH_2</t>
  </si>
  <si>
    <t>COUGH_2+</t>
  </si>
  <si>
    <t>COMPLAIN-OBJECT</t>
  </si>
  <si>
    <t>COMPLAIN-OBJECT++</t>
  </si>
  <si>
    <t>COMPLAIN-OBJECT+++</t>
  </si>
  <si>
    <t>COMPLAIN-OBJECT+</t>
  </si>
  <si>
    <t>COUNT</t>
  </si>
  <si>
    <t>COUNT+</t>
  </si>
  <si>
    <t>COUNT+++</t>
  </si>
  <si>
    <t>COUNT++</t>
  </si>
  <si>
    <t>COUNT_2</t>
  </si>
  <si>
    <t>COUNTRY</t>
  </si>
  <si>
    <t>COUNTRY+</t>
  </si>
  <si>
    <t>COUNTRY++</t>
  </si>
  <si>
    <t>(Y)COUNTRY+</t>
  </si>
  <si>
    <t>FOREIGN</t>
  </si>
  <si>
    <t>FOREIGN+</t>
  </si>
  <si>
    <t>EITHER</t>
  </si>
  <si>
    <t>EITHER+</t>
  </si>
  <si>
    <t>EITHER+++</t>
  </si>
  <si>
    <t>EITHER++</t>
  </si>
  <si>
    <t>COUSIN</t>
  </si>
  <si>
    <t>COUSIN_2+</t>
  </si>
  <si>
    <t>MALE-COUSIN</t>
  </si>
  <si>
    <t>FEMALE-COUSIN</t>
  </si>
  <si>
    <t>FEMALE-COUSIN+</t>
  </si>
  <si>
    <t>COVER</t>
  </si>
  <si>
    <t>CRACKER-PASSOVER</t>
  </si>
  <si>
    <t>CRACKER-PASSOVER+</t>
  </si>
  <si>
    <t>CRACKER-PASSOVER++</t>
  </si>
  <si>
    <t>CRACK</t>
  </si>
  <si>
    <t>CREDIT-CARD</t>
  </si>
  <si>
    <t>CRIPPLE</t>
  </si>
  <si>
    <t>CRIPPLE+</t>
  </si>
  <si>
    <t>CRIPPLE++</t>
  </si>
  <si>
    <t>CROSS</t>
  </si>
  <si>
    <t>CROWDED</t>
  </si>
  <si>
    <t>PCL:5-C-L"crowd"</t>
  </si>
  <si>
    <t>CROWN</t>
  </si>
  <si>
    <t>HELMET</t>
  </si>
  <si>
    <t>CROWN+DCL:4"coronet"</t>
  </si>
  <si>
    <t>CRUSH</t>
  </si>
  <si>
    <t>GRIEF</t>
  </si>
  <si>
    <t>TWIST</t>
  </si>
  <si>
    <t>CRY</t>
  </si>
  <si>
    <t>CRY++</t>
  </si>
  <si>
    <t>(2h)alt.CRY+</t>
  </si>
  <si>
    <t>(2h)alt.CRY</t>
  </si>
  <si>
    <t>(L)CRY++</t>
  </si>
  <si>
    <t>(L)CRY+</t>
  </si>
  <si>
    <t>ns-nat-CUBA</t>
  </si>
  <si>
    <t>CULTURE</t>
  </si>
  <si>
    <t>SITUATION</t>
  </si>
  <si>
    <t>ENVIRONMENT</t>
  </si>
  <si>
    <t>MELT-SOLVE</t>
  </si>
  <si>
    <t>SMOOTH</t>
  </si>
  <si>
    <t>GROUND</t>
  </si>
  <si>
    <t>GROUND+</t>
  </si>
  <si>
    <t>GROUND++</t>
  </si>
  <si>
    <t>GROUND+++</t>
  </si>
  <si>
    <t>CURIOUS</t>
  </si>
  <si>
    <t>STUCK</t>
  </si>
  <si>
    <t>CURLY</t>
  </si>
  <si>
    <t>CURLY_2</t>
  </si>
  <si>
    <t>CURRICULUM</t>
  </si>
  <si>
    <t>CURRICULUM_2</t>
  </si>
  <si>
    <t>CURRICULUM_3</t>
  </si>
  <si>
    <t>CURTAIN</t>
  </si>
  <si>
    <t>CURTAIN_2</t>
  </si>
  <si>
    <t>CURVE</t>
  </si>
  <si>
    <t>CUSHION</t>
  </si>
  <si>
    <t>CUSHION+</t>
  </si>
  <si>
    <t>CUSHION++</t>
  </si>
  <si>
    <t>CUT</t>
  </si>
  <si>
    <t>CYCLE</t>
  </si>
  <si>
    <t>CYCLE_2</t>
  </si>
  <si>
    <t>ns-DALLAS</t>
  </si>
  <si>
    <t>ns-fs-DALLAS</t>
  </si>
  <si>
    <t>DANCE</t>
  </si>
  <si>
    <t>DANCE+</t>
  </si>
  <si>
    <t>DANCE++</t>
  </si>
  <si>
    <t>EXPERT</t>
  </si>
  <si>
    <t>SOON</t>
  </si>
  <si>
    <t>SOON+++</t>
  </si>
  <si>
    <t>DARK</t>
  </si>
  <si>
    <t>OBSCURE</t>
  </si>
  <si>
    <t>DARTS</t>
  </si>
  <si>
    <t>DASH-LINES</t>
  </si>
  <si>
    <t>DATE-DESSERT</t>
  </si>
  <si>
    <t>DATE-DESSERT+</t>
  </si>
  <si>
    <t>DATE-DESSERT++</t>
  </si>
  <si>
    <t>DATE-DESSERT+++</t>
  </si>
  <si>
    <t>DAUGHTER</t>
  </si>
  <si>
    <t>GIRL+BABY</t>
  </si>
  <si>
    <t>GIRL+BABY_2</t>
  </si>
  <si>
    <t>DAY</t>
  </si>
  <si>
    <t>(D)DAY</t>
  </si>
  <si>
    <t>COLLAPSE</t>
  </si>
  <si>
    <t>DEAF</t>
  </si>
  <si>
    <t>DISCUSS</t>
  </si>
  <si>
    <t>DISCUSS+</t>
  </si>
  <si>
    <t>DISCUSS++</t>
  </si>
  <si>
    <t>DISCUSS+++</t>
  </si>
  <si>
    <t>DISCUSS-INTENSELY+</t>
  </si>
  <si>
    <t>DECIDE</t>
  </si>
  <si>
    <t>COURT</t>
  </si>
  <si>
    <t>DECORATE</t>
  </si>
  <si>
    <t>DEER</t>
  </si>
  <si>
    <t>DEER+</t>
  </si>
  <si>
    <t>MOOSE</t>
  </si>
  <si>
    <t>COW</t>
  </si>
  <si>
    <t>(1h)COW</t>
  </si>
  <si>
    <t>HORSE</t>
  </si>
  <si>
    <t>HORSE++</t>
  </si>
  <si>
    <t>(2h)HORSE+++</t>
  </si>
  <si>
    <t>DEVIL-MISCHIEVOUS</t>
  </si>
  <si>
    <t>DEVIL-MISCHIEVOUS+</t>
  </si>
  <si>
    <t>DEVIL-MISCHIEVOUS++</t>
  </si>
  <si>
    <t>(2h)DEVIL-MISCHIEVOUS+</t>
  </si>
  <si>
    <t>(2h)DEVIL-MISCHIEVOUS++</t>
  </si>
  <si>
    <t>(2h)MISCHIEVOUS+</t>
  </si>
  <si>
    <t>(2h)MISCHIEVOUS++</t>
  </si>
  <si>
    <t>STUBBORN</t>
  </si>
  <si>
    <t>DONKEY</t>
  </si>
  <si>
    <t>DONKEY++</t>
  </si>
  <si>
    <t>(2h)DONKEY++</t>
  </si>
  <si>
    <t>BISON-BUFFALO</t>
  </si>
  <si>
    <t>TIGER</t>
  </si>
  <si>
    <t>TIGER+</t>
  </si>
  <si>
    <t>LION</t>
  </si>
  <si>
    <t>DEFEND</t>
  </si>
  <si>
    <t>DEFEND+</t>
  </si>
  <si>
    <t>DEFEND++</t>
  </si>
  <si>
    <t>DEFEND_2+</t>
  </si>
  <si>
    <t>DEFEND_2</t>
  </si>
  <si>
    <t>BIND-TIE-UP</t>
  </si>
  <si>
    <t>HUG</t>
  </si>
  <si>
    <t>HUG_2</t>
  </si>
  <si>
    <t>PREVENT</t>
  </si>
  <si>
    <t>REQUIRE</t>
  </si>
  <si>
    <t>DEMOCRAT</t>
  </si>
  <si>
    <t>REPUBLICAN</t>
  </si>
  <si>
    <t>SHOW</t>
  </si>
  <si>
    <t>SHOW+</t>
  </si>
  <si>
    <t>SHOW++</t>
  </si>
  <si>
    <t>SHOW+++</t>
  </si>
  <si>
    <t>SHOW-1p</t>
  </si>
  <si>
    <t>SHOW-2p</t>
  </si>
  <si>
    <t>(M)SHOW</t>
  </si>
  <si>
    <t>(R)SHOW</t>
  </si>
  <si>
    <t>ns-nat-DENMARK</t>
  </si>
  <si>
    <t>DEPEND</t>
  </si>
  <si>
    <t>DEPEND+</t>
  </si>
  <si>
    <t>DEPOSIT</t>
  </si>
  <si>
    <t>DESTROY</t>
  </si>
  <si>
    <t>ns-DETROIT</t>
  </si>
  <si>
    <t>DEVELOP</t>
  </si>
  <si>
    <t>(D)DEVELOP</t>
  </si>
  <si>
    <t>DIAL-ROTARY</t>
  </si>
  <si>
    <t>DIALOG</t>
  </si>
  <si>
    <t>DIALOG++</t>
  </si>
  <si>
    <t>INTERVIEW</t>
  </si>
  <si>
    <t>INTERVIEW++</t>
  </si>
  <si>
    <t>INTERVIEW+</t>
  </si>
  <si>
    <t>DIE</t>
  </si>
  <si>
    <t>DIM</t>
  </si>
  <si>
    <t>DIM_2</t>
  </si>
  <si>
    <t>DIMPLE</t>
  </si>
  <si>
    <t>DIMPLE+</t>
  </si>
  <si>
    <t>(1h)DIMPLE</t>
  </si>
  <si>
    <t>PIMPLES</t>
  </si>
  <si>
    <t>CANDY</t>
  </si>
  <si>
    <t>CANDY+</t>
  </si>
  <si>
    <t>DINNER</t>
  </si>
  <si>
    <t>DINNER+</t>
  </si>
  <si>
    <t>DINNER++</t>
  </si>
  <si>
    <t>EAT+NIGHT</t>
  </si>
  <si>
    <t>EAT++NIGHT</t>
  </si>
  <si>
    <t>EAT+NIGHT+</t>
  </si>
  <si>
    <t>DINOSAUR</t>
  </si>
  <si>
    <t>DINOSAUR++</t>
  </si>
  <si>
    <t>DINOSAUR+</t>
  </si>
  <si>
    <t>(D)DINOSAUR</t>
  </si>
  <si>
    <t>DIPLOMA</t>
  </si>
  <si>
    <t>(O)DIPLOMA</t>
  </si>
  <si>
    <t>DIRECT</t>
  </si>
  <si>
    <t>DIRECT+</t>
  </si>
  <si>
    <t>EXPLAIN</t>
  </si>
  <si>
    <t>EXPLAIN+</t>
  </si>
  <si>
    <t>EXPLAIN++</t>
  </si>
  <si>
    <t>MANAGE-CONTROL</t>
  </si>
  <si>
    <t>MANAGE-CONTROL+</t>
  </si>
  <si>
    <t>MANAGE-CONTROL++</t>
  </si>
  <si>
    <t>DIRTY</t>
  </si>
  <si>
    <t>FILTHY</t>
  </si>
  <si>
    <t>PIG</t>
  </si>
  <si>
    <t>PIG++</t>
  </si>
  <si>
    <t>DISAGREE</t>
  </si>
  <si>
    <t>THINK+OPPOSITE</t>
  </si>
  <si>
    <t>DISAPPEAR</t>
  </si>
  <si>
    <t>POP-UP</t>
  </si>
  <si>
    <t>ESCAPE</t>
  </si>
  <si>
    <t>DISAPPOINT</t>
  </si>
  <si>
    <t>SERIOUS</t>
  </si>
  <si>
    <t>CHIN</t>
  </si>
  <si>
    <t>CHIN_2</t>
  </si>
  <si>
    <t>BITTER</t>
  </si>
  <si>
    <t>DISCIPLINE</t>
  </si>
  <si>
    <t>(nd-1)DISCIPLINE++</t>
  </si>
  <si>
    <t>(nd-1)DISCIPLINE</t>
  </si>
  <si>
    <t>DISGUST</t>
  </si>
  <si>
    <t>DISGUST+</t>
  </si>
  <si>
    <t>DISGUST++</t>
  </si>
  <si>
    <t>EXCUSE</t>
  </si>
  <si>
    <t>DISMISS</t>
  </si>
  <si>
    <t>PROTEST</t>
  </si>
  <si>
    <t>DISTRIBUTE</t>
  </si>
  <si>
    <t>DIVE</t>
  </si>
  <si>
    <t>DIVE_2</t>
  </si>
  <si>
    <t>DIVE-OFF-BOARD</t>
  </si>
  <si>
    <t>DIVE-OFF-BOARD_2</t>
  </si>
  <si>
    <t>DIVIDE</t>
  </si>
  <si>
    <t>QUIET</t>
  </si>
  <si>
    <t>QUIET_2</t>
  </si>
  <si>
    <t>DIVORCE</t>
  </si>
  <si>
    <t>DIZZY</t>
  </si>
  <si>
    <t>DIZZY++</t>
  </si>
  <si>
    <t>DIZZY+</t>
  </si>
  <si>
    <t>DO</t>
  </si>
  <si>
    <t>DO++</t>
  </si>
  <si>
    <t>DO+</t>
  </si>
  <si>
    <t>ACTION</t>
  </si>
  <si>
    <t>ACTION++</t>
  </si>
  <si>
    <t>ACTION+++</t>
  </si>
  <si>
    <t>ACTION++++</t>
  </si>
  <si>
    <t>BEHAVIOR</t>
  </si>
  <si>
    <t>BEHAVIOR+</t>
  </si>
  <si>
    <t>DO-DO</t>
  </si>
  <si>
    <t>DO-DO++</t>
  </si>
  <si>
    <t>DO-DO+</t>
  </si>
  <si>
    <t>DO-DO+++</t>
  </si>
  <si>
    <t>(1h)DO-DO+</t>
  </si>
  <si>
    <t>DOCTOR</t>
  </si>
  <si>
    <t>DOCTOR+</t>
  </si>
  <si>
    <t>DOCTOR+++</t>
  </si>
  <si>
    <t>DOCTOR++</t>
  </si>
  <si>
    <t>(D)DOCTOR+</t>
  </si>
  <si>
    <t>NURSE</t>
  </si>
  <si>
    <t>NURSE++</t>
  </si>
  <si>
    <t>NURSE+</t>
  </si>
  <si>
    <t>PSYCHIATRY</t>
  </si>
  <si>
    <t>PSYCHIATRY+</t>
  </si>
  <si>
    <t>DOLLAR</t>
  </si>
  <si>
    <t>DOLLAR+</t>
  </si>
  <si>
    <t>DOLLAR_2+</t>
  </si>
  <si>
    <t>DOLLAR_2</t>
  </si>
  <si>
    <t>ns-nat-DOMINICAN-REPUBLIC</t>
  </si>
  <si>
    <t>ns-nat-DOMINICAN-REPUBLIC_2</t>
  </si>
  <si>
    <t>ns-nat-DOMINICAN-REPUBLIC_3</t>
  </si>
  <si>
    <t>DON'T</t>
  </si>
  <si>
    <t>NOT-CARE</t>
  </si>
  <si>
    <t>NOT-CARE_2</t>
  </si>
  <si>
    <t>NOT-MIND</t>
  </si>
  <si>
    <t>NOT-MIND+</t>
  </si>
  <si>
    <t>DOORBELL</t>
  </si>
  <si>
    <t>DOORBELL+</t>
  </si>
  <si>
    <t>(1h)DOORBELL++</t>
  </si>
  <si>
    <t>(1h)DOORBELL+</t>
  </si>
  <si>
    <t>TWICE</t>
  </si>
  <si>
    <t>DOUBT</t>
  </si>
  <si>
    <t>DOUBT+</t>
  </si>
  <si>
    <t>DOUBT++</t>
  </si>
  <si>
    <t>DONUT</t>
  </si>
  <si>
    <t>(R)DONUT</t>
  </si>
  <si>
    <t>DOWN</t>
  </si>
  <si>
    <t>DOWN+</t>
  </si>
  <si>
    <t>DEEP</t>
  </si>
  <si>
    <t>DEEP_2</t>
  </si>
  <si>
    <t>DREAM</t>
  </si>
  <si>
    <t>DREAM+</t>
  </si>
  <si>
    <t>DRESSER</t>
  </si>
  <si>
    <t>DRESSER+</t>
  </si>
  <si>
    <t>(S)DRESSER+</t>
  </si>
  <si>
    <t>DRILL</t>
  </si>
  <si>
    <t>DRILL_2</t>
  </si>
  <si>
    <t>DRINK</t>
  </si>
  <si>
    <t>(Y)DRINK</t>
  </si>
  <si>
    <t>COCKTAIL++</t>
  </si>
  <si>
    <t>COCKTAIL</t>
  </si>
  <si>
    <t>DRIP</t>
  </si>
  <si>
    <t>DRIP++</t>
  </si>
  <si>
    <t>(1h)DRIP</t>
  </si>
  <si>
    <t>(1h)DRIP+</t>
  </si>
  <si>
    <t>(2h)alt.DRIP+</t>
  </si>
  <si>
    <t>DROP</t>
  </si>
  <si>
    <t>(1h)DROP</t>
  </si>
  <si>
    <t>DROWN</t>
  </si>
  <si>
    <t>(V)DROWN</t>
  </si>
  <si>
    <t>MEDICINE</t>
  </si>
  <si>
    <t>TAKE-ADVANTAGE</t>
  </si>
  <si>
    <t>TAKE-ADVANTAGE++</t>
  </si>
  <si>
    <t>DRUMS</t>
  </si>
  <si>
    <t>DRUMS+</t>
  </si>
  <si>
    <t>DRUMS+++</t>
  </si>
  <si>
    <t>DRUMS++</t>
  </si>
  <si>
    <t>XYLOPHONE</t>
  </si>
  <si>
    <t>XYLOPHONE+++</t>
  </si>
  <si>
    <t>XYLOPHONE++</t>
  </si>
  <si>
    <t>DRUNK</t>
  </si>
  <si>
    <t>DRY</t>
  </si>
  <si>
    <t>DRY+</t>
  </si>
  <si>
    <t>DRY++</t>
  </si>
  <si>
    <t>DRY-CEREAL</t>
  </si>
  <si>
    <t>DRY-CEREAL+</t>
  </si>
  <si>
    <t>ns-nat-DUBLIN</t>
  </si>
  <si>
    <t>DURING-WHILE</t>
  </si>
  <si>
    <t>PARALLEL</t>
  </si>
  <si>
    <t>DYE</t>
  </si>
  <si>
    <t>DYE+</t>
  </si>
  <si>
    <t>E-MAIL</t>
  </si>
  <si>
    <t>(1)E-MAIL</t>
  </si>
  <si>
    <t>E-MAIL_2</t>
  </si>
  <si>
    <t>(E)E-MAIL</t>
  </si>
  <si>
    <t>EACH</t>
  </si>
  <si>
    <t>EACH+</t>
  </si>
  <si>
    <t>MOTIVATE</t>
  </si>
  <si>
    <t>MOTIVATE+++</t>
  </si>
  <si>
    <t>MOTIVATE++</t>
  </si>
  <si>
    <t>EAR_2-BIRTHDAY</t>
  </si>
  <si>
    <t>EAR_2-BIRTHDAY_2</t>
  </si>
  <si>
    <t>EAR_2-BIRTHDAY_2+</t>
  </si>
  <si>
    <t>EARMUFF</t>
  </si>
  <si>
    <t>EARRING</t>
  </si>
  <si>
    <t>EARTH</t>
  </si>
  <si>
    <t>EAST</t>
  </si>
  <si>
    <t>EAT</t>
  </si>
  <si>
    <t>EAT+</t>
  </si>
  <si>
    <t>EAT+++</t>
  </si>
  <si>
    <t>EAT++</t>
  </si>
  <si>
    <t>(2h)alt.EAT+</t>
  </si>
  <si>
    <t>(2h)alt.EAT+++</t>
  </si>
  <si>
    <t>(2h)alt.EAT++</t>
  </si>
  <si>
    <t>EAT_2+</t>
  </si>
  <si>
    <t>ECONOMIC</t>
  </si>
  <si>
    <t>ECONOMIC+</t>
  </si>
  <si>
    <t>ECONOMIC++</t>
  </si>
  <si>
    <t>FINANCIAL</t>
  </si>
  <si>
    <t>FINANCIAL+</t>
  </si>
  <si>
    <t>FINANCIAL++</t>
  </si>
  <si>
    <t>ns-ECUADOR</t>
  </si>
  <si>
    <t>EGO</t>
  </si>
  <si>
    <t>(2h)alt.EGO</t>
  </si>
  <si>
    <t>ns-EGYPT</t>
  </si>
  <si>
    <t>ns-EL-SALVADOR</t>
  </si>
  <si>
    <t>ELBOW</t>
  </si>
  <si>
    <t>ELBOW+</t>
  </si>
  <si>
    <t>ELBOW++</t>
  </si>
  <si>
    <t>ELBOW-PATCH</t>
  </si>
  <si>
    <t>ELECTRIC</t>
  </si>
  <si>
    <t>ELECTRIC+</t>
  </si>
  <si>
    <t>ELECTRIC++</t>
  </si>
  <si>
    <t>(E)ELECTRIC</t>
  </si>
  <si>
    <t>ELASTIC</t>
  </si>
  <si>
    <t>ELASTIC+</t>
  </si>
  <si>
    <t>ELASTIC++</t>
  </si>
  <si>
    <t>ELEPHANT</t>
  </si>
  <si>
    <t>ELEVATOR</t>
  </si>
  <si>
    <t>ELEVATOR+</t>
  </si>
  <si>
    <t>(nd-1)ELEVATOR+</t>
  </si>
  <si>
    <t>DELETE</t>
  </si>
  <si>
    <t>(2h)DELETE</t>
  </si>
  <si>
    <t>EMBARRASS</t>
  </si>
  <si>
    <t>EMBARRASS+</t>
  </si>
  <si>
    <t>BLUSH</t>
  </si>
  <si>
    <t>EMERGENCY</t>
  </si>
  <si>
    <t>EMERGENCY++</t>
  </si>
  <si>
    <t>EMERGENCY+</t>
  </si>
  <si>
    <t>(2h)EMERGENCY</t>
  </si>
  <si>
    <t>EASTER</t>
  </si>
  <si>
    <t>EASTER_2</t>
  </si>
  <si>
    <t>(1h)EASTER</t>
  </si>
  <si>
    <t>EMOTION</t>
  </si>
  <si>
    <t>EMOTION++</t>
  </si>
  <si>
    <t>EMOTION_2+</t>
  </si>
  <si>
    <t>ENERGY</t>
  </si>
  <si>
    <t>AUTHORITY</t>
  </si>
  <si>
    <t>POWERFUL</t>
  </si>
  <si>
    <t>POWER</t>
  </si>
  <si>
    <t>ns-ENGLAND-ENGLISH</t>
  </si>
  <si>
    <t>ns-BRITAIN</t>
  </si>
  <si>
    <t>PLEASE-ENJOY</t>
  </si>
  <si>
    <t>PLEASE-(1h)ENJOY</t>
  </si>
  <si>
    <t>ENJOY</t>
  </si>
  <si>
    <t>PLEASE-(1h)ENJOY+</t>
  </si>
  <si>
    <t>HAPPY</t>
  </si>
  <si>
    <t>HAPPY+</t>
  </si>
  <si>
    <t>(1h)HAPPY+</t>
  </si>
  <si>
    <t>(1h)HAPPY+++</t>
  </si>
  <si>
    <t>(1h)HAPPY++</t>
  </si>
  <si>
    <t>ENOUGH</t>
  </si>
  <si>
    <t>ENOUGH+</t>
  </si>
  <si>
    <t>PLENTY</t>
  </si>
  <si>
    <t>FULL</t>
  </si>
  <si>
    <t>EQUAL</t>
  </si>
  <si>
    <t>EQUAL+</t>
  </si>
  <si>
    <t>EQUAL++</t>
  </si>
  <si>
    <t>EQUIPMENT</t>
  </si>
  <si>
    <t>(nd-E)EQUIPMENT</t>
  </si>
  <si>
    <t>ETCETERA</t>
  </si>
  <si>
    <t>ns-EUROPE</t>
  </si>
  <si>
    <t>ns-EUROPE_2</t>
  </si>
  <si>
    <t>EVENING</t>
  </si>
  <si>
    <t>EVERYDAY</t>
  </si>
  <si>
    <t>TOMORROW</t>
  </si>
  <si>
    <t>YESTERDAY</t>
  </si>
  <si>
    <t>EXACT</t>
  </si>
  <si>
    <t>EXACT_2</t>
  </si>
  <si>
    <t>(F)EXACT</t>
  </si>
  <si>
    <t>PERFECT</t>
  </si>
  <si>
    <t>(P)PERFECT</t>
  </si>
  <si>
    <t>WORK-OUT</t>
  </si>
  <si>
    <t>WORK-OUT+</t>
  </si>
  <si>
    <t>WORK-OUT++</t>
  </si>
  <si>
    <t>WORK-OUT_2+</t>
  </si>
  <si>
    <t>WORK-OUT_2++</t>
  </si>
  <si>
    <t>EXPAND</t>
  </si>
  <si>
    <t>EXPERIENCE</t>
  </si>
  <si>
    <t>EXPERIENCE+</t>
  </si>
  <si>
    <t>EXPERIENCE++</t>
  </si>
  <si>
    <t>PEACH</t>
  </si>
  <si>
    <t>PEACH+</t>
  </si>
  <si>
    <t>EXPERIMENT</t>
  </si>
  <si>
    <t>EXPERIMENT+</t>
  </si>
  <si>
    <t>EVALUATE</t>
  </si>
  <si>
    <t>EVALUATE+</t>
  </si>
  <si>
    <t>EXPRESS</t>
  </si>
  <si>
    <t>POEM</t>
  </si>
  <si>
    <t>EYEBROW</t>
  </si>
  <si>
    <t>EYELASHES</t>
  </si>
  <si>
    <t>fanned-flat-O</t>
  </si>
  <si>
    <t>EYES</t>
  </si>
  <si>
    <t>F</t>
  </si>
  <si>
    <t>CUT-FABRIC</t>
  </si>
  <si>
    <t>CUT-FABRIC++</t>
  </si>
  <si>
    <t>FACE</t>
  </si>
  <si>
    <t>FACE+</t>
  </si>
  <si>
    <t>(5)FACE+</t>
  </si>
  <si>
    <t>FACIAL-EXPRESSION</t>
  </si>
  <si>
    <t>FACIAL-EXPRESSION+</t>
  </si>
  <si>
    <t>SO-SO</t>
  </si>
  <si>
    <t>FALL-IN-LOVE</t>
  </si>
  <si>
    <t>FALL-IN-LOVE+</t>
  </si>
  <si>
    <t>FALL-IN-LOVE++</t>
  </si>
  <si>
    <t>FALL</t>
  </si>
  <si>
    <t>(1h)FALL</t>
  </si>
  <si>
    <t>FALL_2</t>
  </si>
  <si>
    <t>FALL_3</t>
  </si>
  <si>
    <t>FALSE+</t>
  </si>
  <si>
    <t>FALSEHOOD</t>
  </si>
  <si>
    <t>LIE</t>
  </si>
  <si>
    <t>LIE_2</t>
  </si>
  <si>
    <t>FAMILY</t>
  </si>
  <si>
    <t>CLASS</t>
  </si>
  <si>
    <t>CLASS_2</t>
  </si>
  <si>
    <t>CLASS-pl</t>
  </si>
  <si>
    <t>TEAM</t>
  </si>
  <si>
    <t>GROUP</t>
  </si>
  <si>
    <t>GROUP-TOGETHER</t>
  </si>
  <si>
    <t>ASSOCIATION</t>
  </si>
  <si>
    <t>SOCIETY</t>
  </si>
  <si>
    <t>DEPARTMENT</t>
  </si>
  <si>
    <t>ORGANIZATION</t>
  </si>
  <si>
    <t>FARM</t>
  </si>
  <si>
    <t>FARM_2</t>
  </si>
  <si>
    <t>FAST</t>
  </si>
  <si>
    <t>FAST_2</t>
  </si>
  <si>
    <t>VERY-FAST</t>
  </si>
  <si>
    <t>FAST_3</t>
  </si>
  <si>
    <t>FASTING</t>
  </si>
  <si>
    <t>FAT</t>
  </si>
  <si>
    <t>FAT_2</t>
  </si>
  <si>
    <t>BECOME-FAT</t>
  </si>
  <si>
    <t>FAVORITE-PREFER</t>
  </si>
  <si>
    <t>FAVORITE-PREFER+</t>
  </si>
  <si>
    <t>FAVORITE-PREFER++</t>
  </si>
  <si>
    <t>TASTE</t>
  </si>
  <si>
    <t>TASTE++</t>
  </si>
  <si>
    <t>DELICIOUS</t>
  </si>
  <si>
    <t>DELICIOUS_2</t>
  </si>
  <si>
    <t>LUCKY</t>
  </si>
  <si>
    <t>FAX</t>
  </si>
  <si>
    <t>(Vulcan)FAX</t>
  </si>
  <si>
    <t>Vulcan</t>
  </si>
  <si>
    <t>FEED</t>
  </si>
  <si>
    <t>FEED+</t>
  </si>
  <si>
    <t>FEED++</t>
  </si>
  <si>
    <t>(1h)FEED</t>
  </si>
  <si>
    <t>PAY-SPEND</t>
  </si>
  <si>
    <t>(flat-O)PAY-SPEND</t>
  </si>
  <si>
    <t>(flat-O)PAY-SPEND++</t>
  </si>
  <si>
    <t>FEEL</t>
  </si>
  <si>
    <t>FEEL+</t>
  </si>
  <si>
    <t>FEEL+++</t>
  </si>
  <si>
    <t>FEEL++</t>
  </si>
  <si>
    <t>(2h)FEEL+</t>
  </si>
  <si>
    <t>TEND</t>
  </si>
  <si>
    <t>(1h)TEND</t>
  </si>
  <si>
    <t>CONCERN</t>
  </si>
  <si>
    <t>CONCERN+</t>
  </si>
  <si>
    <t>EXCITED</t>
  </si>
  <si>
    <t>EXCITED+</t>
  </si>
  <si>
    <t>THRILL-WHAT'S-UP</t>
  </si>
  <si>
    <t>LIGHT-WEIGHT</t>
  </si>
  <si>
    <t>LIGHT-WEIGHT+</t>
  </si>
  <si>
    <t>DEPRESS</t>
  </si>
  <si>
    <t>(D)DEPRESS</t>
  </si>
  <si>
    <t>SENSITIVE</t>
  </si>
  <si>
    <t>FENCE</t>
  </si>
  <si>
    <t>NET</t>
  </si>
  <si>
    <t>FIGHT</t>
  </si>
  <si>
    <t>FIGHT+</t>
  </si>
  <si>
    <t>FIGHT_2</t>
  </si>
  <si>
    <t>BOXING</t>
  </si>
  <si>
    <t>BOXING+</t>
  </si>
  <si>
    <t>BOXING++</t>
  </si>
  <si>
    <t>BOXING_2+</t>
  </si>
  <si>
    <t>FILE</t>
  </si>
  <si>
    <t>FILE++</t>
  </si>
  <si>
    <t>(nd-B-L)FILE++</t>
  </si>
  <si>
    <t>(nd-B-L)FILE</t>
  </si>
  <si>
    <t>(Vulcan)FILE</t>
  </si>
  <si>
    <t>TAKE-BREAK</t>
  </si>
  <si>
    <t>FIND-FIND-OUT</t>
  </si>
  <si>
    <t>PICK-CHOOSE</t>
  </si>
  <si>
    <t>FINE</t>
  </si>
  <si>
    <t>FINE+</t>
  </si>
  <si>
    <t>FINE++</t>
  </si>
  <si>
    <t>POLITE</t>
  </si>
  <si>
    <t>POLITE++</t>
  </si>
  <si>
    <t>FANCY</t>
  </si>
  <si>
    <t>FANCY++</t>
  </si>
  <si>
    <t>FANCY+</t>
  </si>
  <si>
    <t>FINGER</t>
  </si>
  <si>
    <t>FINGERS</t>
  </si>
  <si>
    <t>FINGERPRINTS</t>
  </si>
  <si>
    <t>(1)FINGERPRINTS+</t>
  </si>
  <si>
    <t>FINGERSPELL</t>
  </si>
  <si>
    <t>FINGERSPELL+</t>
  </si>
  <si>
    <t>FINGERSPELL++</t>
  </si>
  <si>
    <t>SPELL</t>
  </si>
  <si>
    <t>CASHIER</t>
  </si>
  <si>
    <t>CASHIER++</t>
  </si>
  <si>
    <t>CALCULATOR</t>
  </si>
  <si>
    <t>CALCULATOR+</t>
  </si>
  <si>
    <t>FINISH</t>
  </si>
  <si>
    <t>(1h)FINISH</t>
  </si>
  <si>
    <t>ns-nat-FINLAND</t>
  </si>
  <si>
    <t>FIRE-BURN</t>
  </si>
  <si>
    <t>FIRE</t>
  </si>
  <si>
    <t>(2h)alt.FIRE++</t>
  </si>
  <si>
    <t>(2h)alt.FIRE+</t>
  </si>
  <si>
    <t>FIRED</t>
  </si>
  <si>
    <t>(nd-B)FIRED</t>
  </si>
  <si>
    <t>FIREMAN</t>
  </si>
  <si>
    <t>FISH</t>
  </si>
  <si>
    <t>(1h)FISH</t>
  </si>
  <si>
    <t>FIST</t>
  </si>
  <si>
    <t>PUNCH</t>
  </si>
  <si>
    <t>VIDEO-CAMERA</t>
  </si>
  <si>
    <t>FLASHLIGHT</t>
  </si>
  <si>
    <t>FLASHLIGHT+</t>
  </si>
  <si>
    <t>FLASHLIGHT_2</t>
  </si>
  <si>
    <t>FLASHLIGHT_2++</t>
  </si>
  <si>
    <t>FLEXIBLE</t>
  </si>
  <si>
    <t>FLEXIBLE+</t>
  </si>
  <si>
    <t>FLEXIBLE+++</t>
  </si>
  <si>
    <t>PLASTIC</t>
  </si>
  <si>
    <t>PLASTIC+</t>
  </si>
  <si>
    <t>(rd)PLASTIC+</t>
  </si>
  <si>
    <t>LEAD</t>
  </si>
  <si>
    <t>(8)LEAD</t>
  </si>
  <si>
    <t>LOOSE</t>
  </si>
  <si>
    <t>LOOSE+</t>
  </si>
  <si>
    <t>FLIP-OVER</t>
  </si>
  <si>
    <t>TURN-PAGE</t>
  </si>
  <si>
    <t>TURN-PAGE_2</t>
  </si>
  <si>
    <t>WATER-RISE</t>
  </si>
  <si>
    <t>FLOAT</t>
  </si>
  <si>
    <t>FLOAT+</t>
  </si>
  <si>
    <t>FLOW</t>
  </si>
  <si>
    <t>FLOW+</t>
  </si>
  <si>
    <t>FLOW++</t>
  </si>
  <si>
    <t>FAIL</t>
  </si>
  <si>
    <t>FLUNK</t>
  </si>
  <si>
    <t>CHOOSE</t>
  </si>
  <si>
    <t>FLUTE</t>
  </si>
  <si>
    <t>FLUTE_2</t>
  </si>
  <si>
    <t>FLY-KITE</t>
  </si>
  <si>
    <t>FLY-BY-WINGS</t>
  </si>
  <si>
    <t>ANGEL</t>
  </si>
  <si>
    <t>ANGEL+</t>
  </si>
  <si>
    <t>FOOT</t>
  </si>
  <si>
    <t>FOOT-pl</t>
  </si>
  <si>
    <t>(5)FOOT</t>
  </si>
  <si>
    <t>(5)FEET</t>
  </si>
  <si>
    <t>FOOTSTEP</t>
  </si>
  <si>
    <t>FOOTSTEP+</t>
  </si>
  <si>
    <t>WALK</t>
  </si>
  <si>
    <t>WALK+</t>
  </si>
  <si>
    <t>(3)WALK+</t>
  </si>
  <si>
    <t>(3)WALK</t>
  </si>
  <si>
    <t>TAP-DANCE</t>
  </si>
  <si>
    <t>TAP-DANCE+</t>
  </si>
  <si>
    <t>BALANCE</t>
  </si>
  <si>
    <t>BALANCE+</t>
  </si>
  <si>
    <t>BPCL:B"tapping foot"</t>
  </si>
  <si>
    <t>BPCL:B"tapping foot"+</t>
  </si>
  <si>
    <t>fs-FEET</t>
  </si>
  <si>
    <t>FOR</t>
  </si>
  <si>
    <t>FOR-FOR</t>
  </si>
  <si>
    <t>FOR-FOR+</t>
  </si>
  <si>
    <t>ILLEGAL</t>
  </si>
  <si>
    <t>FORCE</t>
  </si>
  <si>
    <t>(nd-1)FORCE</t>
  </si>
  <si>
    <t>(1h)FORCE</t>
  </si>
  <si>
    <t>VETO-REJECT</t>
  </si>
  <si>
    <t>FOREHEAD</t>
  </si>
  <si>
    <t>(bent-B-L)FOREHEAD</t>
  </si>
  <si>
    <t>FORGET</t>
  </si>
  <si>
    <t>BLANK-OUT</t>
  </si>
  <si>
    <t>FORK</t>
  </si>
  <si>
    <t>FORK+</t>
  </si>
  <si>
    <t>FORK_2+</t>
  </si>
  <si>
    <t>EAT-WITH-FORK</t>
  </si>
  <si>
    <t>ns-FORT-WORTH</t>
  </si>
  <si>
    <t>ns-FORT-WORTH-DALLAS</t>
  </si>
  <si>
    <t>FOUNDATION</t>
  </si>
  <si>
    <t>FOUNDATION_2</t>
  </si>
  <si>
    <t>FOUNTAIN</t>
  </si>
  <si>
    <t>FOX</t>
  </si>
  <si>
    <t>FOX+</t>
  </si>
  <si>
    <t>WOLF</t>
  </si>
  <si>
    <t>ns-FRANCE</t>
  </si>
  <si>
    <t>FRECKLES</t>
  </si>
  <si>
    <t>(1h)FRECKLES</t>
  </si>
  <si>
    <t>ZITS</t>
  </si>
  <si>
    <t>ZITS+</t>
  </si>
  <si>
    <t>MEASLES</t>
  </si>
  <si>
    <t>MUMPS</t>
  </si>
  <si>
    <t>BEARD</t>
  </si>
  <si>
    <t>FREE</t>
  </si>
  <si>
    <t>INDEPENDENT</t>
  </si>
  <si>
    <t>FREEZE</t>
  </si>
  <si>
    <t>FRESHMAN</t>
  </si>
  <si>
    <t>FRESHMAN++</t>
  </si>
  <si>
    <t>open-7</t>
  </si>
  <si>
    <t>FRESHMAN+</t>
  </si>
  <si>
    <t>FRESHMAN_2</t>
  </si>
  <si>
    <t>FRESHMAN_2++</t>
  </si>
  <si>
    <t>FRESHMAN_2+++</t>
  </si>
  <si>
    <t>(rd)FRESHMAN_2+</t>
  </si>
  <si>
    <t>FRESHMAN_3</t>
  </si>
  <si>
    <t>FRESHMAN_3+</t>
  </si>
  <si>
    <t>FRESHMAN_4</t>
  </si>
  <si>
    <t>FRIDAY</t>
  </si>
  <si>
    <t>FRIDAY+</t>
  </si>
  <si>
    <t>EVERY-FRIDAY</t>
  </si>
  <si>
    <t>FRIEND</t>
  </si>
  <si>
    <t>BEST-FRIEND</t>
  </si>
  <si>
    <t>(R)BEST-FRIEND</t>
  </si>
  <si>
    <t>RELATIVE</t>
  </si>
  <si>
    <t>(R)RELATIVE</t>
  </si>
  <si>
    <t>FROG</t>
  </si>
  <si>
    <t>FROG+</t>
  </si>
  <si>
    <t>FROM</t>
  </si>
  <si>
    <t>FRONT</t>
  </si>
  <si>
    <t>FRONT+</t>
  </si>
  <si>
    <t>EMOTIONLESS</t>
  </si>
  <si>
    <t>OVERLOOK</t>
  </si>
  <si>
    <t>EYEBROW-FROWN</t>
  </si>
  <si>
    <t>FRUIT</t>
  </si>
  <si>
    <t>FRUIT+</t>
  </si>
  <si>
    <t>FRUIT++</t>
  </si>
  <si>
    <t>FRUSTRATE</t>
  </si>
  <si>
    <t>FRUSTRATE++</t>
  </si>
  <si>
    <t>FRUSTRATE+</t>
  </si>
  <si>
    <t>FRUSTRATED-THWARTED</t>
  </si>
  <si>
    <t>FUN</t>
  </si>
  <si>
    <t>FUNNY</t>
  </si>
  <si>
    <t>FUNNY+</t>
  </si>
  <si>
    <t>FUNNY++</t>
  </si>
  <si>
    <t>FUNCTION</t>
  </si>
  <si>
    <t>FUNCTION+</t>
  </si>
  <si>
    <t>FUNCTION_2+++</t>
  </si>
  <si>
    <t>FUNCTION_2+</t>
  </si>
  <si>
    <t>FUNCTION_3+</t>
  </si>
  <si>
    <t>FUNERAL</t>
  </si>
  <si>
    <t>FUNERAL+</t>
  </si>
  <si>
    <t>FURNITURE</t>
  </si>
  <si>
    <t>(2h)FURNITURE</t>
  </si>
  <si>
    <t>FUTURE</t>
  </si>
  <si>
    <t>(F)FUTURE</t>
  </si>
  <si>
    <t>LATER</t>
  </si>
  <si>
    <t>LATER_2</t>
  </si>
  <si>
    <t>#WILL</t>
  </si>
  <si>
    <t>G</t>
  </si>
  <si>
    <t>GAMBLE</t>
  </si>
  <si>
    <t>GANG</t>
  </si>
  <si>
    <t>GANG+</t>
  </si>
  <si>
    <t>GANG+++</t>
  </si>
  <si>
    <t>GARAGE-SUBMARINE</t>
  </si>
  <si>
    <t>GARAGE-SUBMARINE+</t>
  </si>
  <si>
    <t>GARAGE-SUBMARINE++</t>
  </si>
  <si>
    <t>HELICOPTER</t>
  </si>
  <si>
    <t>(3)HELICOPTER</t>
  </si>
  <si>
    <t>GAY</t>
  </si>
  <si>
    <t>LESBIAN</t>
  </si>
  <si>
    <t>LESBIAN+</t>
  </si>
  <si>
    <t>LESBIAN_2+</t>
  </si>
  <si>
    <t>ns-GERMANY</t>
  </si>
  <si>
    <t>ns-nat-GERMANY</t>
  </si>
  <si>
    <t>GET-IN</t>
  </si>
  <si>
    <t>GET-ON</t>
  </si>
  <si>
    <t>GHOST</t>
  </si>
  <si>
    <t>GHOST_2</t>
  </si>
  <si>
    <t>GIGGLE</t>
  </si>
  <si>
    <t>GIRL</t>
  </si>
  <si>
    <t>GIRL+</t>
  </si>
  <si>
    <t>GIRL++</t>
  </si>
  <si>
    <t>GIVE-UP</t>
  </si>
  <si>
    <t>GIFT</t>
  </si>
  <si>
    <t>(1h)GIFT</t>
  </si>
  <si>
    <t>GIVE</t>
  </si>
  <si>
    <t>(2h)GIVE</t>
  </si>
  <si>
    <t>GIVE_2</t>
  </si>
  <si>
    <t>GLASSES</t>
  </si>
  <si>
    <t>GLASSES+</t>
  </si>
  <si>
    <t>GLASSES_2</t>
  </si>
  <si>
    <t>GLASSES_2+</t>
  </si>
  <si>
    <t>ns-GALLAUDET</t>
  </si>
  <si>
    <t>BLINDFOLD</t>
  </si>
  <si>
    <t>GLOBE</t>
  </si>
  <si>
    <t>EARTH+SPHERE</t>
  </si>
  <si>
    <t>GLORY</t>
  </si>
  <si>
    <t>GLORY_2</t>
  </si>
  <si>
    <t>(25)GLORY</t>
  </si>
  <si>
    <t>(25)GLORY+</t>
  </si>
  <si>
    <t>GLOVES</t>
  </si>
  <si>
    <t>GLOVES_2</t>
  </si>
  <si>
    <t>PUT-ON-GLOVES</t>
  </si>
  <si>
    <t>GLUE</t>
  </si>
  <si>
    <t>GLUE+</t>
  </si>
  <si>
    <t>(G)GLUE++</t>
  </si>
  <si>
    <t>GOAL</t>
  </si>
  <si>
    <t>GOAT</t>
  </si>
  <si>
    <t>GOD</t>
  </si>
  <si>
    <t>GOLF</t>
  </si>
  <si>
    <t>GONE</t>
  </si>
  <si>
    <t>THUMBS-UP-GOOD</t>
  </si>
  <si>
    <t>(2h)THUMBS-UP-GOOD</t>
  </si>
  <si>
    <t>GOSSIP</t>
  </si>
  <si>
    <t>GOSSIP+</t>
  </si>
  <si>
    <t>GOSSIP+++</t>
  </si>
  <si>
    <t>GOSSIP++</t>
  </si>
  <si>
    <t>GRAB-CHANCE</t>
  </si>
  <si>
    <t>WIN</t>
  </si>
  <si>
    <t>GRADUATE</t>
  </si>
  <si>
    <t>GRAD</t>
  </si>
  <si>
    <t>GRAD++</t>
  </si>
  <si>
    <t>GRAD+</t>
  </si>
  <si>
    <t>GRAMMAR</t>
  </si>
  <si>
    <t>GRANDMOTHER</t>
  </si>
  <si>
    <t>GRANDFATHER</t>
  </si>
  <si>
    <t>GRAPES</t>
  </si>
  <si>
    <t>GRAPES++</t>
  </si>
  <si>
    <t>GRAPES++++</t>
  </si>
  <si>
    <t>GRAPES_2+++</t>
  </si>
  <si>
    <t>GRASS</t>
  </si>
  <si>
    <t>GRASS+</t>
  </si>
  <si>
    <t>GRASS++</t>
  </si>
  <si>
    <t>OIL</t>
  </si>
  <si>
    <t>OIL+</t>
  </si>
  <si>
    <t>GRAY</t>
  </si>
  <si>
    <t>GRAY++</t>
  </si>
  <si>
    <t>ns-GREECE</t>
  </si>
  <si>
    <t>ns-GREECE_2</t>
  </si>
  <si>
    <t>ns-nat-GREECE</t>
  </si>
  <si>
    <t>GREEN</t>
  </si>
  <si>
    <t>HELLO</t>
  </si>
  <si>
    <t>GRIP</t>
  </si>
  <si>
    <t>HOLD</t>
  </si>
  <si>
    <t>GROW</t>
  </si>
  <si>
    <t>GROW+</t>
  </si>
  <si>
    <t>ns-nat-GUATEMALA</t>
  </si>
  <si>
    <t>MISS-ASSUME</t>
  </si>
  <si>
    <t>GUN</t>
  </si>
  <si>
    <t>SHOOT</t>
  </si>
  <si>
    <t>SHOOT_2</t>
  </si>
  <si>
    <t>RIFLE</t>
  </si>
  <si>
    <t>(L)RIFLE</t>
  </si>
  <si>
    <t>HUNTING</t>
  </si>
  <si>
    <t>(U-L)HUNTING</t>
  </si>
  <si>
    <t>GYM</t>
  </si>
  <si>
    <t>GYM+</t>
  </si>
  <si>
    <t>(G)GYM+++</t>
  </si>
  <si>
    <t>(G)GYM</t>
  </si>
  <si>
    <t>(crvd-L)GYM++</t>
  </si>
  <si>
    <t>H</t>
  </si>
  <si>
    <t>HABIT</t>
  </si>
  <si>
    <t>HABIT_2</t>
  </si>
  <si>
    <t>HABIT_3</t>
  </si>
  <si>
    <t>USED-TO</t>
  </si>
  <si>
    <t>USE</t>
  </si>
  <si>
    <t>USE+</t>
  </si>
  <si>
    <t>USE_2+</t>
  </si>
  <si>
    <t>USE_2++</t>
  </si>
  <si>
    <t>HAIR</t>
  </si>
  <si>
    <t>ns-ISLAND-HAITI</t>
  </si>
  <si>
    <t>ns-#HI</t>
  </si>
  <si>
    <t>HALL</t>
  </si>
  <si>
    <t>fs-HALL</t>
  </si>
  <si>
    <t>HALLOWEEN</t>
  </si>
  <si>
    <t>HALLOWEEN+</t>
  </si>
  <si>
    <t>HALLOWEEN_2</t>
  </si>
  <si>
    <t>HALLOWEEN_2+</t>
  </si>
  <si>
    <t>ns-nat-HAMBURG</t>
  </si>
  <si>
    <t>HAMMER</t>
  </si>
  <si>
    <t>(1h)HAMMER++</t>
  </si>
  <si>
    <t>(1h)HAMMER+++</t>
  </si>
  <si>
    <t>(1h)HAMMER+</t>
  </si>
  <si>
    <t>HANDS</t>
  </si>
  <si>
    <t>HANGER</t>
  </si>
  <si>
    <t>HANGER++</t>
  </si>
  <si>
    <t>HANGER+</t>
  </si>
  <si>
    <t>HANGER_2++</t>
  </si>
  <si>
    <t>HAPPEN</t>
  </si>
  <si>
    <t>HARD-OF-HEARING</t>
  </si>
  <si>
    <t>HARD</t>
  </si>
  <si>
    <t>HARD++</t>
  </si>
  <si>
    <t>TOUGH</t>
  </si>
  <si>
    <t>TOUGH++</t>
  </si>
  <si>
    <t>TOUGH+</t>
  </si>
  <si>
    <t>PROBLEM</t>
  </si>
  <si>
    <t>PROBLEM+</t>
  </si>
  <si>
    <t>PROBLEM_2</t>
  </si>
  <si>
    <t>PHYSICS</t>
  </si>
  <si>
    <t>PHYSICS+</t>
  </si>
  <si>
    <t>HARP</t>
  </si>
  <si>
    <t>HARP+</t>
  </si>
  <si>
    <t>(nd-S)HARP+</t>
  </si>
  <si>
    <t>CRUEL</t>
  </si>
  <si>
    <t>HAT</t>
  </si>
  <si>
    <t>HAT+</t>
  </si>
  <si>
    <t>HAT+++</t>
  </si>
  <si>
    <t>HATE</t>
  </si>
  <si>
    <t>WOW-AWFUL</t>
  </si>
  <si>
    <t>HAVE</t>
  </si>
  <si>
    <t>(V)HAVE</t>
  </si>
  <si>
    <t>TIRED</t>
  </si>
  <si>
    <t>(1h)TIRED</t>
  </si>
  <si>
    <t>YOUNG</t>
  </si>
  <si>
    <t>YOUNG+</t>
  </si>
  <si>
    <t>YOUNG++</t>
  </si>
  <si>
    <t>ANIMAL</t>
  </si>
  <si>
    <t>ANIMAL+</t>
  </si>
  <si>
    <t>ANIMAL++</t>
  </si>
  <si>
    <t>LUNGS</t>
  </si>
  <si>
    <t>LUNGS+</t>
  </si>
  <si>
    <t>LUNGS++</t>
  </si>
  <si>
    <t>PNEUMONIA</t>
  </si>
  <si>
    <t>PNEUMONIA+</t>
  </si>
  <si>
    <t>ns-HAWAII</t>
  </si>
  <si>
    <t>HANDSOME-ns-HAWAII</t>
  </si>
  <si>
    <t>HANDSOME-ns-HAWAII_2</t>
  </si>
  <si>
    <t>HANDSOME-ns-HAWAII_2+</t>
  </si>
  <si>
    <t>IX</t>
  </si>
  <si>
    <t>IX-1p</t>
  </si>
  <si>
    <t>IX-1p-pl-arc</t>
  </si>
  <si>
    <t>IX-1p-pl-2+:i</t>
  </si>
  <si>
    <t>IX:i</t>
  </si>
  <si>
    <t>IX-pl-arc</t>
  </si>
  <si>
    <t>IX-pl-3:i-j-k++</t>
  </si>
  <si>
    <t>IX-honorific</t>
  </si>
  <si>
    <t>IX-honorific:i</t>
  </si>
  <si>
    <t>IX-2p-pl-arc</t>
  </si>
  <si>
    <t>IX-2p</t>
  </si>
  <si>
    <t>FAR</t>
  </si>
  <si>
    <t>(1)FAR</t>
  </si>
  <si>
    <t>HEAD</t>
  </si>
  <si>
    <t>HEADLINE</t>
  </si>
  <si>
    <t>HEARING-AID</t>
  </si>
  <si>
    <t>HEARING-AID+</t>
  </si>
  <si>
    <t>HEARING-AID++</t>
  </si>
  <si>
    <t>PUT-ON-HEARING-AID</t>
  </si>
  <si>
    <t>Q-TIP</t>
  </si>
  <si>
    <t>Q-TIP+</t>
  </si>
  <si>
    <t>HEARING</t>
  </si>
  <si>
    <t>HEARING++</t>
  </si>
  <si>
    <t>HEARING+</t>
  </si>
  <si>
    <t>HEART</t>
  </si>
  <si>
    <t>HEART+</t>
  </si>
  <si>
    <t>HEART++</t>
  </si>
  <si>
    <t>TOUCH-HEART</t>
  </si>
  <si>
    <t>TRACE-HEART</t>
  </si>
  <si>
    <t>(1)TRACE-HEART</t>
  </si>
  <si>
    <t>HEAVEN</t>
  </si>
  <si>
    <t>HEAVEN_2</t>
  </si>
  <si>
    <t>HEAVEN_3</t>
  </si>
  <si>
    <t>HEIGHT</t>
  </si>
  <si>
    <t>HEIGHT++</t>
  </si>
  <si>
    <t>HEIGHT+</t>
  </si>
  <si>
    <t>HEIGHT_2</t>
  </si>
  <si>
    <t>HEIGHT_2+</t>
  </si>
  <si>
    <t>HELL</t>
  </si>
  <si>
    <t>fs-HELL</t>
  </si>
  <si>
    <t>POSS</t>
  </si>
  <si>
    <t>POSS-1p</t>
  </si>
  <si>
    <t>POSS-1p+</t>
  </si>
  <si>
    <t>POSS-1p-pl</t>
  </si>
  <si>
    <t>POSS+:i</t>
  </si>
  <si>
    <t>POSS:i</t>
  </si>
  <si>
    <t>POSS+:i-j</t>
  </si>
  <si>
    <t>POSS+++:i-j-k-l</t>
  </si>
  <si>
    <t>POSS-pl-arc</t>
  </si>
  <si>
    <t>POSS-2p</t>
  </si>
  <si>
    <t>POSS-2p-arc</t>
  </si>
  <si>
    <t>HIGH</t>
  </si>
  <si>
    <t>HIGHWAY</t>
  </si>
  <si>
    <t>HIGHWAY+</t>
  </si>
  <si>
    <t>HIGHWAY_2</t>
  </si>
  <si>
    <t>SELF</t>
  </si>
  <si>
    <t>SELF-1p</t>
  </si>
  <si>
    <t>SELF-1p+</t>
  </si>
  <si>
    <t>SELF-1p++</t>
  </si>
  <si>
    <t>(A)SELF-1p+</t>
  </si>
  <si>
    <t>SELF-1p-pl</t>
  </si>
  <si>
    <t>(A)SELF-1p-pl</t>
  </si>
  <si>
    <t>SELF+:i</t>
  </si>
  <si>
    <t>SELF++:i</t>
  </si>
  <si>
    <t>SELF+:i-j</t>
  </si>
  <si>
    <t>SELF+++:i-j-k-l</t>
  </si>
  <si>
    <t>SELF++:i-j-k</t>
  </si>
  <si>
    <t>SELF-2p</t>
  </si>
  <si>
    <t>SELF_2-2p++++</t>
  </si>
  <si>
    <t>LONG-AGO</t>
  </si>
  <si>
    <t>LONG-AGO+</t>
  </si>
  <si>
    <t>(2h)alt.LONG-AGO+</t>
  </si>
  <si>
    <t>HISTORY</t>
  </si>
  <si>
    <t>HISTORY++</t>
  </si>
  <si>
    <t>HISTORY+</t>
  </si>
  <si>
    <t>SUSPEND</t>
  </si>
  <si>
    <t>HOLY</t>
  </si>
  <si>
    <t>fs-HOLY</t>
  </si>
  <si>
    <t>HOME</t>
  </si>
  <si>
    <t>DORM</t>
  </si>
  <si>
    <t>HOMEWORK</t>
  </si>
  <si>
    <t>HOME+WORK</t>
  </si>
  <si>
    <t>HOME+WORK+</t>
  </si>
  <si>
    <t>HONEY-DEAR</t>
  </si>
  <si>
    <t>ns-nat-HONG-KONG</t>
  </si>
  <si>
    <t>CAR-HORN</t>
  </si>
  <si>
    <t>CAR-HORN+</t>
  </si>
  <si>
    <t>CAR-HORN_2+</t>
  </si>
  <si>
    <t>HONOR</t>
  </si>
  <si>
    <t>(1h)HONOR</t>
  </si>
  <si>
    <t>RESPECT</t>
  </si>
  <si>
    <t>(1h)RESPECT</t>
  </si>
  <si>
    <t>HOPE</t>
  </si>
  <si>
    <t>HOPE+</t>
  </si>
  <si>
    <t>HOSPITAL</t>
  </si>
  <si>
    <t>(10)HOSPITAL</t>
  </si>
  <si>
    <t>(B)HOSPITAL_2</t>
  </si>
  <si>
    <t>(H)HOSPITAL_2</t>
  </si>
  <si>
    <t>MEDICAL-PATIENT</t>
  </si>
  <si>
    <t>HOT</t>
  </si>
  <si>
    <t>SAUSAGE-HOT-DOG</t>
  </si>
  <si>
    <t>HOUR</t>
  </si>
  <si>
    <t>HOUR_2</t>
  </si>
  <si>
    <t>HOUR_3</t>
  </si>
  <si>
    <t>ns-HOUSTON</t>
  </si>
  <si>
    <t>HOW</t>
  </si>
  <si>
    <t>HOW+</t>
  </si>
  <si>
    <t>HOW++</t>
  </si>
  <si>
    <t>QM</t>
  </si>
  <si>
    <t>QMwg</t>
  </si>
  <si>
    <t>HUMBLE</t>
  </si>
  <si>
    <t>(H)HUMBLE</t>
  </si>
  <si>
    <t>(1)HUMBLE</t>
  </si>
  <si>
    <t>ns-HUNGARY</t>
  </si>
  <si>
    <t>ns-nat-HUNGARY</t>
  </si>
  <si>
    <t>HUNGRY-WISH</t>
  </si>
  <si>
    <t>HURRICANE</t>
  </si>
  <si>
    <t>HURRY</t>
  </si>
  <si>
    <t>HURRY++</t>
  </si>
  <si>
    <t>HURRY+</t>
  </si>
  <si>
    <t>HURT</t>
  </si>
  <si>
    <t>HURT+</t>
  </si>
  <si>
    <t>HURT_2+</t>
  </si>
  <si>
    <t>HURT_3</t>
  </si>
  <si>
    <t>THROAT-HURT</t>
  </si>
  <si>
    <t>THROAT-HURT++</t>
  </si>
  <si>
    <t>THROAT-HURT+</t>
  </si>
  <si>
    <t>HEADACHE</t>
  </si>
  <si>
    <t>HEADACHE+</t>
  </si>
  <si>
    <t>HEADACHE++</t>
  </si>
  <si>
    <t>EAR-HURT</t>
  </si>
  <si>
    <t>EAR-HURT+</t>
  </si>
  <si>
    <t>EAR-HURT++</t>
  </si>
  <si>
    <t>HYPOCRITE</t>
  </si>
  <si>
    <t>I-LOVE-YOU</t>
  </si>
  <si>
    <t>ICE-CREAM</t>
  </si>
  <si>
    <t>ICE-CREAM+</t>
  </si>
  <si>
    <t>ICE-CREAM++</t>
  </si>
  <si>
    <t>IDEA</t>
  </si>
  <si>
    <t>IDENTIFY</t>
  </si>
  <si>
    <t>IDENTIFY+</t>
  </si>
  <si>
    <t>IDENTIFICATION</t>
  </si>
  <si>
    <t>IGNORE</t>
  </si>
  <si>
    <t>IMAGINE</t>
  </si>
  <si>
    <t>IMAGINE+</t>
  </si>
  <si>
    <t>IMAGINE_2-PARANOID+</t>
  </si>
  <si>
    <t>PARANOID</t>
  </si>
  <si>
    <t>(P)PARANOID</t>
  </si>
  <si>
    <t>HALLUCINATE</t>
  </si>
  <si>
    <t>HALLUCINATE+</t>
  </si>
  <si>
    <t>HIGH-ON-DRUGS</t>
  </si>
  <si>
    <t>FANTASY</t>
  </si>
  <si>
    <t>FANTASY+</t>
  </si>
  <si>
    <t>IMMATURE</t>
  </si>
  <si>
    <t>IMMATURE+</t>
  </si>
  <si>
    <t>IMMATURE++</t>
  </si>
  <si>
    <t>IMPORTANT</t>
  </si>
  <si>
    <t>WORTH</t>
  </si>
  <si>
    <t>WORTH+</t>
  </si>
  <si>
    <t>WORTH++</t>
  </si>
  <si>
    <t>IMPOSSIBLE</t>
  </si>
  <si>
    <t>IMPOSSIBLE+</t>
  </si>
  <si>
    <t>IMPOSSIBLE++</t>
  </si>
  <si>
    <t>IMPRESS</t>
  </si>
  <si>
    <t>IMPRESS-1p</t>
  </si>
  <si>
    <t>IMPRESS-MEMORY</t>
  </si>
  <si>
    <t>EMPHASIZE</t>
  </si>
  <si>
    <t>IMPROVE-A-LOT</t>
  </si>
  <si>
    <t>IMPROVE</t>
  </si>
  <si>
    <t>GRADUAL-IMPROVE</t>
  </si>
  <si>
    <t>GRADUAL-IMPROVE-A-LOT</t>
  </si>
  <si>
    <t>IN</t>
  </si>
  <si>
    <t>IN++</t>
  </si>
  <si>
    <t>IN+</t>
  </si>
  <si>
    <t>SAVE-MONEY</t>
  </si>
  <si>
    <t>SAVE-MONEY++</t>
  </si>
  <si>
    <t>INCREASE</t>
  </si>
  <si>
    <t>INCREASE++</t>
  </si>
  <si>
    <t>INCREASE+</t>
  </si>
  <si>
    <t>DECREASE</t>
  </si>
  <si>
    <t>DECREASE+</t>
  </si>
  <si>
    <t>ns-INDIA</t>
  </si>
  <si>
    <t>INDIVIDUAL</t>
  </si>
  <si>
    <t>INDIVIDUAL-pl</t>
  </si>
  <si>
    <t>ns-nat-INDONESIA</t>
  </si>
  <si>
    <t>INDUSTRY</t>
  </si>
  <si>
    <t>INDUSTRY+</t>
  </si>
  <si>
    <t>INDUSTRY+++</t>
  </si>
  <si>
    <t>INFORM</t>
  </si>
  <si>
    <t>INFORM-1p</t>
  </si>
  <si>
    <t>INFORM-ALL</t>
  </si>
  <si>
    <t>INJECT</t>
  </si>
  <si>
    <t>INJECT+</t>
  </si>
  <si>
    <t>(3)INJECT</t>
  </si>
  <si>
    <t>DRUGS</t>
  </si>
  <si>
    <t>DRUGS++</t>
  </si>
  <si>
    <t>DRUGS+</t>
  </si>
  <si>
    <t>INNOCENT</t>
  </si>
  <si>
    <t>INSPIRE</t>
  </si>
  <si>
    <t>(5)INSPIRE</t>
  </si>
  <si>
    <t>INSULT</t>
  </si>
  <si>
    <t>INSURANCE-INFECTION</t>
  </si>
  <si>
    <t>INTERESTING</t>
  </si>
  <si>
    <t>(L-X)INTERESTING</t>
  </si>
  <si>
    <t>INTERPRET</t>
  </si>
  <si>
    <t>INTERPRET+</t>
  </si>
  <si>
    <t>INTERPRET++</t>
  </si>
  <si>
    <t>INTERPRET+++</t>
  </si>
  <si>
    <t>INTERRUPT</t>
  </si>
  <si>
    <t>INTERRUPT-1p</t>
  </si>
  <si>
    <t>BOTHER</t>
  </si>
  <si>
    <t>BOTHER++</t>
  </si>
  <si>
    <t>BOTHER+</t>
  </si>
  <si>
    <t>BOTHER-1p++</t>
  </si>
  <si>
    <t>PSYCHOLOGY</t>
  </si>
  <si>
    <t>PSYCHOLOGY+</t>
  </si>
  <si>
    <t>PSYCHOLOGY++</t>
  </si>
  <si>
    <t>CREATE-PRETEND</t>
  </si>
  <si>
    <t>(2h)alt.CREATE-PRETEND</t>
  </si>
  <si>
    <t>ns-IRAQ</t>
  </si>
  <si>
    <t>ns-IRELAND</t>
  </si>
  <si>
    <t>ISOLATED</t>
  </si>
  <si>
    <t>ISOLATED+</t>
  </si>
  <si>
    <t>ISOLATED_2+</t>
  </si>
  <si>
    <t>TALK-TO-SELF</t>
  </si>
  <si>
    <t>TALK-TO-SELF+</t>
  </si>
  <si>
    <t>ns-ISRAEL</t>
  </si>
  <si>
    <t>JEWISH</t>
  </si>
  <si>
    <t>JEWISH+</t>
  </si>
  <si>
    <t>JEWISH++</t>
  </si>
  <si>
    <t>ns-nat-ISTANBUL</t>
  </si>
  <si>
    <t>ANYWAY-NOT-MATTER</t>
  </si>
  <si>
    <t>ANYWAY-NOT-MATTER+</t>
  </si>
  <si>
    <t>ANYWAY-NOT-MATTER++</t>
  </si>
  <si>
    <t>ns-ITALY</t>
  </si>
  <si>
    <t>ns-nat-ITALY</t>
  </si>
  <si>
    <t>J</t>
  </si>
  <si>
    <t>ns-nat-JAMAICA</t>
  </si>
  <si>
    <t>ns-nat-JAPAN</t>
  </si>
  <si>
    <t>JAW</t>
  </si>
  <si>
    <t>JAW+</t>
  </si>
  <si>
    <t>JEALOUS</t>
  </si>
  <si>
    <t>JELLY</t>
  </si>
  <si>
    <t>JELLY+</t>
  </si>
  <si>
    <t>JELLY++</t>
  </si>
  <si>
    <t>fs-JELLY</t>
  </si>
  <si>
    <t>ns-nat-JERUSALEM</t>
  </si>
  <si>
    <t>ns-JESUS</t>
  </si>
  <si>
    <t>JEWELRY</t>
  </si>
  <si>
    <t>JEWELRY+</t>
  </si>
  <si>
    <t>fs-JEWELRY</t>
  </si>
  <si>
    <t>WORK</t>
  </si>
  <si>
    <t>WORK+</t>
  </si>
  <si>
    <t>WORK++</t>
  </si>
  <si>
    <t>WORK+++</t>
  </si>
  <si>
    <t>DUTY</t>
  </si>
  <si>
    <t>DUTY+</t>
  </si>
  <si>
    <t>ns-nat-JORDAN</t>
  </si>
  <si>
    <t>ns-fs-JORDAN</t>
  </si>
  <si>
    <t>JUMP</t>
  </si>
  <si>
    <t>JUMP-FORWARD</t>
  </si>
  <si>
    <t>JUMPROPE</t>
  </si>
  <si>
    <t>JUMPROPE+</t>
  </si>
  <si>
    <t>JUMPROPE++</t>
  </si>
  <si>
    <t>JUNIOR</t>
  </si>
  <si>
    <t>JUNIOR+</t>
  </si>
  <si>
    <t>JUNIOR++</t>
  </si>
  <si>
    <t>JUNIOR_2</t>
  </si>
  <si>
    <t>JUNIOR_2+++</t>
  </si>
  <si>
    <t>JUNIOR_2++</t>
  </si>
  <si>
    <t>JUNIOR_3</t>
  </si>
  <si>
    <t>JUNIOR_3+</t>
  </si>
  <si>
    <t>(rd)JUNIOR_3++</t>
  </si>
  <si>
    <t>KANGAROO</t>
  </si>
  <si>
    <t>KANGAROO++</t>
  </si>
  <si>
    <t>KANGAROO+</t>
  </si>
  <si>
    <t>KARATE</t>
  </si>
  <si>
    <t>KEY</t>
  </si>
  <si>
    <t>KEY+</t>
  </si>
  <si>
    <t>KEY++</t>
  </si>
  <si>
    <t>K</t>
  </si>
  <si>
    <t>KICK</t>
  </si>
  <si>
    <t>KICK++</t>
  </si>
  <si>
    <t>KICK+</t>
  </si>
  <si>
    <t>(K)KICK</t>
  </si>
  <si>
    <t>KID</t>
  </si>
  <si>
    <t>bent-Horns</t>
  </si>
  <si>
    <t>KILL</t>
  </si>
  <si>
    <t>(K)KILL</t>
  </si>
  <si>
    <t>KIND</t>
  </si>
  <si>
    <t>KING</t>
  </si>
  <si>
    <t>QUEEN</t>
  </si>
  <si>
    <t>PRINCE</t>
  </si>
  <si>
    <t>PRINCESS</t>
  </si>
  <si>
    <t>LORD</t>
  </si>
  <si>
    <t>LORD-GOD</t>
  </si>
  <si>
    <t>CHRIST</t>
  </si>
  <si>
    <t>ROYAL</t>
  </si>
  <si>
    <t>KISS</t>
  </si>
  <si>
    <t>KITE</t>
  </si>
  <si>
    <t>(rd)KITE</t>
  </si>
  <si>
    <t>KNEELING</t>
  </si>
  <si>
    <t>PROTESTANT</t>
  </si>
  <si>
    <t>PROTESTANT+</t>
  </si>
  <si>
    <t>PROTESTANT++</t>
  </si>
  <si>
    <t>PRESBYTERIAN</t>
  </si>
  <si>
    <t>PRESBYTERIAN+</t>
  </si>
  <si>
    <t>KNEEL</t>
  </si>
  <si>
    <t>KNIFE</t>
  </si>
  <si>
    <t>KNIFE+</t>
  </si>
  <si>
    <t>KNIFE_2+</t>
  </si>
  <si>
    <t>(U)KNIFE+</t>
  </si>
  <si>
    <t>(U)KNIFE++</t>
  </si>
  <si>
    <t>KNOCK</t>
  </si>
  <si>
    <t>KNOCK+</t>
  </si>
  <si>
    <t>KNOCK_2++</t>
  </si>
  <si>
    <t>KNOW</t>
  </si>
  <si>
    <t>KNOW+</t>
  </si>
  <si>
    <t>KNOW++</t>
  </si>
  <si>
    <t>KNOW+NEG</t>
  </si>
  <si>
    <t>KNOW+(1h)NEG</t>
  </si>
  <si>
    <t>KNOW-THAT</t>
  </si>
  <si>
    <t>KNOW+THAT</t>
  </si>
  <si>
    <t>KNOW++THAT</t>
  </si>
  <si>
    <t>ns-nat-KOREA</t>
  </si>
  <si>
    <t>LADDER</t>
  </si>
  <si>
    <t>LADDER+</t>
  </si>
  <si>
    <t>LADDER++</t>
  </si>
  <si>
    <t>CLIMBING-ROCKS</t>
  </si>
  <si>
    <t>CLIMBING-ROCKS++</t>
  </si>
  <si>
    <t>LAID-UP</t>
  </si>
  <si>
    <t>LANTERN</t>
  </si>
  <si>
    <t>(Y)LANTERN</t>
  </si>
  <si>
    <t>LAP</t>
  </si>
  <si>
    <t>LAP+</t>
  </si>
  <si>
    <t>LAPTOP</t>
  </si>
  <si>
    <t>LAPTOP+</t>
  </si>
  <si>
    <t>LAST</t>
  </si>
  <si>
    <t>LAUGH</t>
  </si>
  <si>
    <t>LAUGH+</t>
  </si>
  <si>
    <t>LAUGH++</t>
  </si>
  <si>
    <t>(1h)LAUGH++</t>
  </si>
  <si>
    <t>LAZY</t>
  </si>
  <si>
    <t>LAZY+</t>
  </si>
  <si>
    <t>LAZY++</t>
  </si>
  <si>
    <t>LEAF</t>
  </si>
  <si>
    <t>LEAF+</t>
  </si>
  <si>
    <t>LEAF++</t>
  </si>
  <si>
    <t>LEARN</t>
  </si>
  <si>
    <t>LEATHER</t>
  </si>
  <si>
    <t>LEATHER+</t>
  </si>
  <si>
    <t>(L)LEATHER</t>
  </si>
  <si>
    <t>(L)LEATHER+</t>
  </si>
  <si>
    <t>(L)LEATHER++</t>
  </si>
  <si>
    <t>LEAVE</t>
  </si>
  <si>
    <t>ns-nat-LEBANON</t>
  </si>
  <si>
    <t>LECTURE</t>
  </si>
  <si>
    <t>LECTURE+</t>
  </si>
  <si>
    <t>LECTURE++</t>
  </si>
  <si>
    <t>LEAVE-THERE</t>
  </si>
  <si>
    <t>LEFT</t>
  </si>
  <si>
    <t>LEG</t>
  </si>
  <si>
    <t>LEG++</t>
  </si>
  <si>
    <t>LEMON</t>
  </si>
  <si>
    <t>LEMON+</t>
  </si>
  <si>
    <t>LESS</t>
  </si>
  <si>
    <t>LIBRARY</t>
  </si>
  <si>
    <t>LIBRARY+</t>
  </si>
  <si>
    <t>LICENSE</t>
  </si>
  <si>
    <t>LICENSE+</t>
  </si>
  <si>
    <t>LICK</t>
  </si>
  <si>
    <t>LICK++</t>
  </si>
  <si>
    <t>LICK+</t>
  </si>
  <si>
    <t>LID</t>
  </si>
  <si>
    <t>LID+</t>
  </si>
  <si>
    <t>SCREW-CAP</t>
  </si>
  <si>
    <t>LIE-DOWN</t>
  </si>
  <si>
    <t>RESTLESS</t>
  </si>
  <si>
    <t>(nd-U)RESTLESS++</t>
  </si>
  <si>
    <t>LIVE</t>
  </si>
  <si>
    <t>(L)LIVE</t>
  </si>
  <si>
    <t>ADDRESS</t>
  </si>
  <si>
    <t>ADDRESS+</t>
  </si>
  <si>
    <t>ADDRESS_2</t>
  </si>
  <si>
    <t>LIFT</t>
  </si>
  <si>
    <t>HEAVY</t>
  </si>
  <si>
    <t>LIGHT-FLASH</t>
  </si>
  <si>
    <t>LIGHT-FLASH+</t>
  </si>
  <si>
    <t>LIGHT</t>
  </si>
  <si>
    <t>LIGHT+</t>
  </si>
  <si>
    <t>CLEAR</t>
  </si>
  <si>
    <t>LIGHTHOUSE</t>
  </si>
  <si>
    <t>LIGHTHOUSE+</t>
  </si>
  <si>
    <t>LIGHT+HOUSE</t>
  </si>
  <si>
    <t>LIGHT++HOUSE</t>
  </si>
  <si>
    <t>LIGHTNING</t>
  </si>
  <si>
    <t>LIKE</t>
  </si>
  <si>
    <t>LIMIT</t>
  </si>
  <si>
    <t>BAKE-OVEN</t>
  </si>
  <si>
    <t>LINE</t>
  </si>
  <si>
    <t>(1h)LINE</t>
  </si>
  <si>
    <t>STRING</t>
  </si>
  <si>
    <t>ROPE</t>
  </si>
  <si>
    <t>LINED-PAPER</t>
  </si>
  <si>
    <t>LINED-PAPER++</t>
  </si>
  <si>
    <t>LINED-PAPER+</t>
  </si>
  <si>
    <t>LIPREAD</t>
  </si>
  <si>
    <t>LIPREAD+</t>
  </si>
  <si>
    <t>LIST</t>
  </si>
  <si>
    <t>LIST+</t>
  </si>
  <si>
    <t>LIST++</t>
  </si>
  <si>
    <t>TAKE-NOTES</t>
  </si>
  <si>
    <t>TAKE-NOTES++</t>
  </si>
  <si>
    <t>FILL-OUT</t>
  </si>
  <si>
    <t>COURSE</t>
  </si>
  <si>
    <t>HEAR-LISTEN</t>
  </si>
  <si>
    <t>(3)LISTEN++</t>
  </si>
  <si>
    <t>PERCEIVE</t>
  </si>
  <si>
    <t>PERCEIVE+</t>
  </si>
  <si>
    <t>SMALL</t>
  </si>
  <si>
    <t>SMALL+</t>
  </si>
  <si>
    <t>ns-LONDON</t>
  </si>
  <si>
    <t>ns-LONDON_2</t>
  </si>
  <si>
    <t>LONG</t>
  </si>
  <si>
    <t>SEARCH-FOR</t>
  </si>
  <si>
    <t>SEARCH-FOR++</t>
  </si>
  <si>
    <t>SEARCH-FOR+</t>
  </si>
  <si>
    <t>LOSE-COMPETITION</t>
  </si>
  <si>
    <t>INTERCOURSE</t>
  </si>
  <si>
    <t>INTERCOURSE+</t>
  </si>
  <si>
    <t>LOSE</t>
  </si>
  <si>
    <t>LOSE_2</t>
  </si>
  <si>
    <t>SPEAKERS</t>
  </si>
  <si>
    <t>SPEAKERS+</t>
  </si>
  <si>
    <t>SPEAKERS_2+</t>
  </si>
  <si>
    <t>LOUDSPEAKER</t>
  </si>
  <si>
    <t>LOUDSPEAKER+</t>
  </si>
  <si>
    <t>LOUDSPEAKER_2+</t>
  </si>
  <si>
    <t>SUITCASE</t>
  </si>
  <si>
    <t>SUITCASE++</t>
  </si>
  <si>
    <t>CARRY-SUITCASE</t>
  </si>
  <si>
    <t>CARRY-SUITCASE++</t>
  </si>
  <si>
    <t>LUNCH</t>
  </si>
  <si>
    <t>LUNCH+</t>
  </si>
  <si>
    <t>LUNCH++</t>
  </si>
  <si>
    <t>M</t>
  </si>
  <si>
    <t>MACHINE</t>
  </si>
  <si>
    <t>MACHINE+</t>
  </si>
  <si>
    <t>MACHINE++</t>
  </si>
  <si>
    <t>MACHINE+++</t>
  </si>
  <si>
    <t>FOOTBALL</t>
  </si>
  <si>
    <t>FOOTBALL+</t>
  </si>
  <si>
    <t>MAD</t>
  </si>
  <si>
    <t>MAD_2</t>
  </si>
  <si>
    <t>GROUCHY</t>
  </si>
  <si>
    <t>GROUCHY+</t>
  </si>
  <si>
    <t>GROUCHY+++</t>
  </si>
  <si>
    <t>SULK</t>
  </si>
  <si>
    <t>SULK+</t>
  </si>
  <si>
    <t>MAGAZINE</t>
  </si>
  <si>
    <t>MAGAZINE+</t>
  </si>
  <si>
    <t>MAGIC</t>
  </si>
  <si>
    <t>MAGNET</t>
  </si>
  <si>
    <t>MAGNET_2</t>
  </si>
  <si>
    <t>MAGNET_2+</t>
  </si>
  <si>
    <t>MAGNET_3</t>
  </si>
  <si>
    <t>SPECIALTY</t>
  </si>
  <si>
    <t>(B)SPECIALTY</t>
  </si>
  <si>
    <t>(nd-B)SPECIALTY</t>
  </si>
  <si>
    <t>MAJOR</t>
  </si>
  <si>
    <t>MINOR</t>
  </si>
  <si>
    <t>(1)MINOR</t>
  </si>
  <si>
    <t>PROFESSION</t>
  </si>
  <si>
    <t>(P)PROFESSION</t>
  </si>
  <si>
    <t>(P)PROFESSION+</t>
  </si>
  <si>
    <t>PRACTICE</t>
  </si>
  <si>
    <t>PRACTICE++</t>
  </si>
  <si>
    <t>PRACTICE+</t>
  </si>
  <si>
    <t>MAKE</t>
  </si>
  <si>
    <t>MAKE+</t>
  </si>
  <si>
    <t>COFFEE</t>
  </si>
  <si>
    <t>COFFEE+</t>
  </si>
  <si>
    <t>ns-nat-MALAYSIA</t>
  </si>
  <si>
    <t>HAIRCUT</t>
  </si>
  <si>
    <t>HAIRCUT+++</t>
  </si>
  <si>
    <t>HAIRCUT+</t>
  </si>
  <si>
    <t>(2h)alt.HAIRCUT++</t>
  </si>
  <si>
    <t>HAIRCUT_2+</t>
  </si>
  <si>
    <t>HAIRCUT-TRIM</t>
  </si>
  <si>
    <t>HAIRCUT-TRIM++</t>
  </si>
  <si>
    <t>HAIRCUT-TRIM_2</t>
  </si>
  <si>
    <t>MAN</t>
  </si>
  <si>
    <t>MAN-pl</t>
  </si>
  <si>
    <t>(5)MAN</t>
  </si>
  <si>
    <t>MAN_2</t>
  </si>
  <si>
    <t>WOMAN</t>
  </si>
  <si>
    <t>(5)WOMAN</t>
  </si>
  <si>
    <t>MANY</t>
  </si>
  <si>
    <t>HOW-MANY-MANY</t>
  </si>
  <si>
    <t>(1h)HOW-MANY-MANY</t>
  </si>
  <si>
    <t>MARCHING</t>
  </si>
  <si>
    <t>MARCHING+</t>
  </si>
  <si>
    <t>MARCHING++</t>
  </si>
  <si>
    <t>MARIJUANA</t>
  </si>
  <si>
    <t>MARIJUANA++</t>
  </si>
  <si>
    <t>MARIJUANA+</t>
  </si>
  <si>
    <t>MARRY</t>
  </si>
  <si>
    <t>VIRGIN-MARY</t>
  </si>
  <si>
    <t>VIRGIN+fs-MARY</t>
  </si>
  <si>
    <t>EYE-MASK</t>
  </si>
  <si>
    <t>LIGHT-MATCH</t>
  </si>
  <si>
    <t>(nd-B-L)LIGHT-MATCH</t>
  </si>
  <si>
    <t>MATERIAL</t>
  </si>
  <si>
    <t>(M)MATERIAL</t>
  </si>
  <si>
    <t>FIGURE-OUT</t>
  </si>
  <si>
    <t>FIGURE-OUT+</t>
  </si>
  <si>
    <t>FIGURE-OUT+++</t>
  </si>
  <si>
    <t>FIGURE-OUT++</t>
  </si>
  <si>
    <t>MATH</t>
  </si>
  <si>
    <t>MATH+</t>
  </si>
  <si>
    <t>alt-M</t>
  </si>
  <si>
    <t>MATH++</t>
  </si>
  <si>
    <t>GEOMETRY</t>
  </si>
  <si>
    <t>GEOMETRY+</t>
  </si>
  <si>
    <t>ALGEBRA</t>
  </si>
  <si>
    <t>ALGEBRA+</t>
  </si>
  <si>
    <t>ALGEBRA_2+</t>
  </si>
  <si>
    <t>TRIGONOMETRY</t>
  </si>
  <si>
    <t>TRIGONOMETRY+</t>
  </si>
  <si>
    <t>TRIGONOMETRY++</t>
  </si>
  <si>
    <t>CALCULUS</t>
  </si>
  <si>
    <t>CALCULUS+</t>
  </si>
  <si>
    <t>CALCULUS++</t>
  </si>
  <si>
    <t>STATISTICS</t>
  </si>
  <si>
    <t>STATISTICS+</t>
  </si>
  <si>
    <t>FIX</t>
  </si>
  <si>
    <t>FIX++</t>
  </si>
  <si>
    <t>WORSE</t>
  </si>
  <si>
    <t>#FIX</t>
  </si>
  <si>
    <t>MAYBE</t>
  </si>
  <si>
    <t>MAYBE+</t>
  </si>
  <si>
    <t>MAYBE++</t>
  </si>
  <si>
    <t>SIZE</t>
  </si>
  <si>
    <t>SIZE++</t>
  </si>
  <si>
    <t>SIZE+</t>
  </si>
  <si>
    <t>MEAT</t>
  </si>
  <si>
    <t>MEAT+</t>
  </si>
  <si>
    <t>TALK-OVER</t>
  </si>
  <si>
    <t>TALK-OVER++</t>
  </si>
  <si>
    <t>MEDITATE</t>
  </si>
  <si>
    <t>MEETING</t>
  </si>
  <si>
    <t>MEETING+</t>
  </si>
  <si>
    <t>MEETING+++</t>
  </si>
  <si>
    <t>MEET</t>
  </si>
  <si>
    <t>1p-MEET:i</t>
  </si>
  <si>
    <t>MEMBER</t>
  </si>
  <si>
    <t>(M)MEMBER</t>
  </si>
  <si>
    <t>COMMITTEE</t>
  </si>
  <si>
    <t>LEGISLATURE</t>
  </si>
  <si>
    <t>SENATE</t>
  </si>
  <si>
    <t>FACULTY</t>
  </si>
  <si>
    <t>MEMORIZE</t>
  </si>
  <si>
    <t>MENSTRUATE</t>
  </si>
  <si>
    <t>MENSTRUATE+</t>
  </si>
  <si>
    <t>DOWN-TO-EARTH</t>
  </si>
  <si>
    <t>NAME</t>
  </si>
  <si>
    <t>NAME+</t>
  </si>
  <si>
    <t>NAME+++</t>
  </si>
  <si>
    <t>NAME:i</t>
  </si>
  <si>
    <t>POUND-WEIGH</t>
  </si>
  <si>
    <t>POUND-WEIGH+</t>
  </si>
  <si>
    <t>POUND-WEIGH++</t>
  </si>
  <si>
    <t>METAL</t>
  </si>
  <si>
    <t>METAL+</t>
  </si>
  <si>
    <t>ns-MEXICO-SPAIN</t>
  </si>
  <si>
    <t>ns-MIAMI</t>
  </si>
  <si>
    <t>MICROPHONE</t>
  </si>
  <si>
    <t>MICROWAVE</t>
  </si>
  <si>
    <t>MICROWAVE+</t>
  </si>
  <si>
    <t>MICROWAVE_2+</t>
  </si>
  <si>
    <t>MIDNIGHT</t>
  </si>
  <si>
    <t>MIDNIGHT+</t>
  </si>
  <si>
    <t>MIDNIGHT++</t>
  </si>
  <si>
    <t>alt-N</t>
  </si>
  <si>
    <t>MIDNIGHT_2+</t>
  </si>
  <si>
    <t>ALL-NIGHT-AFTER-MIDNIGHT</t>
  </si>
  <si>
    <t>ALL-NIGHT-AFTER-MIDNIGHT+</t>
  </si>
  <si>
    <t>ALL-NIGHT</t>
  </si>
  <si>
    <t>ALL-NIGHT_2</t>
  </si>
  <si>
    <t>ns-nat-MILAN</t>
  </si>
  <si>
    <t>MILK</t>
  </si>
  <si>
    <t>MILK+</t>
  </si>
  <si>
    <t>MILK-COW</t>
  </si>
  <si>
    <t>MILK-COW+</t>
  </si>
  <si>
    <t>MINUTE</t>
  </si>
  <si>
    <t>(nd-B-L)MINUTE</t>
  </si>
  <si>
    <t>MIRROR</t>
  </si>
  <si>
    <t>REFLECT</t>
  </si>
  <si>
    <t>MISUNDERSTAND</t>
  </si>
  <si>
    <t>(1h)MISUNDERSTAND</t>
  </si>
  <si>
    <t>ABSENT</t>
  </si>
  <si>
    <t>MISTAKE</t>
  </si>
  <si>
    <t>MISTAKE_2+</t>
  </si>
  <si>
    <t>WRONG</t>
  </si>
  <si>
    <t>VERY-WRONG</t>
  </si>
  <si>
    <t>MIX-UP</t>
  </si>
  <si>
    <t>MIX-UP+</t>
  </si>
  <si>
    <t>CONFUSE</t>
  </si>
  <si>
    <t>THINK+MIX-UP</t>
  </si>
  <si>
    <t>MOLD</t>
  </si>
  <si>
    <t>MOLD_2++</t>
  </si>
  <si>
    <t>MONDAY</t>
  </si>
  <si>
    <t>MONDAY+</t>
  </si>
  <si>
    <t>EVERY-MONDAY</t>
  </si>
  <si>
    <t>MONEY</t>
  </si>
  <si>
    <t>MONEY+++</t>
  </si>
  <si>
    <t>MONEY+</t>
  </si>
  <si>
    <t>MONEY++</t>
  </si>
  <si>
    <t>(M)MONEY+</t>
  </si>
  <si>
    <t>BUY</t>
  </si>
  <si>
    <t>BUY++</t>
  </si>
  <si>
    <t>EXPENSIVE</t>
  </si>
  <si>
    <t>EXPENSIVE_2</t>
  </si>
  <si>
    <t>MONKEY</t>
  </si>
  <si>
    <t>MONKEY+</t>
  </si>
  <si>
    <t>MONKEY++</t>
  </si>
  <si>
    <t>ns-MONTANA</t>
  </si>
  <si>
    <t>MOON</t>
  </si>
  <si>
    <t>MORE</t>
  </si>
  <si>
    <t>MORE+</t>
  </si>
  <si>
    <t>MORE++</t>
  </si>
  <si>
    <t>NUMBER</t>
  </si>
  <si>
    <t>REPAIR</t>
  </si>
  <si>
    <t>REPAIR+</t>
  </si>
  <si>
    <t>REPAIR_2+</t>
  </si>
  <si>
    <t>MORNING</t>
  </si>
  <si>
    <t>ns-MOSES</t>
  </si>
  <si>
    <t>MOST</t>
  </si>
  <si>
    <t>MOTHER</t>
  </si>
  <si>
    <t>MOTHER+</t>
  </si>
  <si>
    <t>MOTHER++</t>
  </si>
  <si>
    <t>MOTHERwg</t>
  </si>
  <si>
    <t>FATHER</t>
  </si>
  <si>
    <t>FATHER+</t>
  </si>
  <si>
    <t>FATHERwg</t>
  </si>
  <si>
    <t>MOTOR</t>
  </si>
  <si>
    <t>MOTORCYCLE</t>
  </si>
  <si>
    <t>MOTORCYCLE+</t>
  </si>
  <si>
    <t>MOTORCYCLE_2+</t>
  </si>
  <si>
    <t>SNOWMOBILE</t>
  </si>
  <si>
    <t>MOW</t>
  </si>
  <si>
    <t>MOW+</t>
  </si>
  <si>
    <t>MOW++</t>
  </si>
  <si>
    <t>MOUNTAIN</t>
  </si>
  <si>
    <t>(nd-B)MOUNTAIN</t>
  </si>
  <si>
    <t>SAD</t>
  </si>
  <si>
    <t>MOUSE-FICTION</t>
  </si>
  <si>
    <t>MOUSE-FICTION+</t>
  </si>
  <si>
    <t>RAT</t>
  </si>
  <si>
    <t>RAT+</t>
  </si>
  <si>
    <t>MOVE</t>
  </si>
  <si>
    <t>MOVE-AROUND</t>
  </si>
  <si>
    <t>MOVE-AWAY</t>
  </si>
  <si>
    <t>PUT</t>
  </si>
  <si>
    <t>MOVIE</t>
  </si>
  <si>
    <t>MOVIE+</t>
  </si>
  <si>
    <t>MOVIE_2++</t>
  </si>
  <si>
    <t>(nd-1)MOVIE+</t>
  </si>
  <si>
    <t>MUSEUM</t>
  </si>
  <si>
    <t>MUSIC</t>
  </si>
  <si>
    <t>MUSIC++</t>
  </si>
  <si>
    <t>POETRY</t>
  </si>
  <si>
    <t>POETRY+</t>
  </si>
  <si>
    <t>MUST</t>
  </si>
  <si>
    <t>SHOULD</t>
  </si>
  <si>
    <t>SHOULD+</t>
  </si>
  <si>
    <t>SHOULD++</t>
  </si>
  <si>
    <t>SHOULD+++</t>
  </si>
  <si>
    <t>MUSTACHE</t>
  </si>
  <si>
    <t>MUSTACHE_2</t>
  </si>
  <si>
    <t>NAKED</t>
  </si>
  <si>
    <t>EMPTY-NAKED</t>
  </si>
  <si>
    <t>EMPTY-EARLY</t>
  </si>
  <si>
    <t>EMPTY-EARLY_2</t>
  </si>
  <si>
    <t>EMPTY-EARLY_3</t>
  </si>
  <si>
    <t>AVAILABLE</t>
  </si>
  <si>
    <t>AVAILABLE++</t>
  </si>
  <si>
    <t>AVAILABLE+</t>
  </si>
  <si>
    <t>SHARP</t>
  </si>
  <si>
    <t>NAPKIN</t>
  </si>
  <si>
    <t>NAPKIN+</t>
  </si>
  <si>
    <t>(B-L)NAPKIN</t>
  </si>
  <si>
    <t>(B-L)NAPKIN+</t>
  </si>
  <si>
    <t>OF-COURSE</t>
  </si>
  <si>
    <t>ns-AMERICAN-INDIAN</t>
  </si>
  <si>
    <t>NAVY</t>
  </si>
  <si>
    <t>NECK</t>
  </si>
  <si>
    <t>NECK+</t>
  </si>
  <si>
    <t>NECKTIE</t>
  </si>
  <si>
    <t>NECKTIE_2</t>
  </si>
  <si>
    <t>NEGATIVE</t>
  </si>
  <si>
    <t>NEPHEW</t>
  </si>
  <si>
    <t>NEPHEW+</t>
  </si>
  <si>
    <t>NIECE</t>
  </si>
  <si>
    <t>NIECE+</t>
  </si>
  <si>
    <t>NERVE-VEIN</t>
  </si>
  <si>
    <t>NERVE-VEIN+</t>
  </si>
  <si>
    <t>NERVOUS</t>
  </si>
  <si>
    <t>NERVOUS+</t>
  </si>
  <si>
    <t>NERVOUS++</t>
  </si>
  <si>
    <t>VIBRATE</t>
  </si>
  <si>
    <t>PULSATE</t>
  </si>
  <si>
    <t>PULSATE++</t>
  </si>
  <si>
    <t>NEVER</t>
  </si>
  <si>
    <t>NEW</t>
  </si>
  <si>
    <t>ns-NEW-ORLEANS</t>
  </si>
  <si>
    <t>ns-NEW-ORLEANS_2</t>
  </si>
  <si>
    <t>ns-NEW-YORK</t>
  </si>
  <si>
    <t>ns-NEW-YORK_2</t>
  </si>
  <si>
    <t>TURN</t>
  </si>
  <si>
    <t>TURN-pl-arc</t>
  </si>
  <si>
    <t>NIBBLE</t>
  </si>
  <si>
    <t>NIBBLE++</t>
  </si>
  <si>
    <t>ns-NIGERIA</t>
  </si>
  <si>
    <t>NIGHT</t>
  </si>
  <si>
    <t>NIGHT+</t>
  </si>
  <si>
    <t>NIPPLES</t>
  </si>
  <si>
    <t>NOISE</t>
  </si>
  <si>
    <t>NOISE+</t>
  </si>
  <si>
    <t>NONE-NOTHING</t>
  </si>
  <si>
    <t>(1h)NONE-NOTHING</t>
  </si>
  <si>
    <t>NOTHING</t>
  </si>
  <si>
    <t>NO-PROBLEM</t>
  </si>
  <si>
    <t>NO-PROBLEM+</t>
  </si>
  <si>
    <t>NO-PROBLEM++</t>
  </si>
  <si>
    <t>NONE</t>
  </si>
  <si>
    <t>NOTHING-AT-ALL</t>
  </si>
  <si>
    <t>ZERO</t>
  </si>
  <si>
    <t>NOON</t>
  </si>
  <si>
    <t>NOON+</t>
  </si>
  <si>
    <t>NORTH</t>
  </si>
  <si>
    <t>ns-NORTH-AMERICA</t>
  </si>
  <si>
    <t>NOSE</t>
  </si>
  <si>
    <t>NOT</t>
  </si>
  <si>
    <t>DENY</t>
  </si>
  <si>
    <t>NOTICE</t>
  </si>
  <si>
    <t>NOW</t>
  </si>
  <si>
    <t>NOW+</t>
  </si>
  <si>
    <t>(bent-B-L)NOW+</t>
  </si>
  <si>
    <t>NUT</t>
  </si>
  <si>
    <t>NUT+</t>
  </si>
  <si>
    <t>STRANGE</t>
  </si>
  <si>
    <t>WILD-ABOUT</t>
  </si>
  <si>
    <t>OFF</t>
  </si>
  <si>
    <t>OH-I-SEE</t>
  </si>
  <si>
    <t>OH-I-SEE++</t>
  </si>
  <si>
    <t>OH-I-SEE+</t>
  </si>
  <si>
    <t>ON</t>
  </si>
  <si>
    <t>ONCE</t>
  </si>
  <si>
    <t>ONION</t>
  </si>
  <si>
    <t>ONION+</t>
  </si>
  <si>
    <t>OPEN</t>
  </si>
  <si>
    <t>OPEN-DOOR</t>
  </si>
  <si>
    <t>OPEN-WINDOW</t>
  </si>
  <si>
    <t>SURGERY</t>
  </si>
  <si>
    <t>SURGERY_2</t>
  </si>
  <si>
    <t>RELAY-OPERATOR</t>
  </si>
  <si>
    <t>RELAY-OPERATOR+</t>
  </si>
  <si>
    <t>OPINION</t>
  </si>
  <si>
    <t>OPINION+</t>
  </si>
  <si>
    <t>AGAINST</t>
  </si>
  <si>
    <t>OPPOSITE</t>
  </si>
  <si>
    <t>STRUGGLE</t>
  </si>
  <si>
    <t>STRUGGLE+</t>
  </si>
  <si>
    <t>ORANGE</t>
  </si>
  <si>
    <t>ORANGE+</t>
  </si>
  <si>
    <t>ORTHODOX</t>
  </si>
  <si>
    <t>OUT</t>
  </si>
  <si>
    <t>OUT+</t>
  </si>
  <si>
    <t>GO-OUT</t>
  </si>
  <si>
    <t>GO-OUT+</t>
  </si>
  <si>
    <t>OVERFLOW</t>
  </si>
  <si>
    <t>OVERHEAD-PROJECTOR</t>
  </si>
  <si>
    <t>OVERHEAD-PROJECTOR_2</t>
  </si>
  <si>
    <t>OWL</t>
  </si>
  <si>
    <t>OWL+</t>
  </si>
  <si>
    <t>PACK</t>
  </si>
  <si>
    <t>PACK+</t>
  </si>
  <si>
    <t>PACK+++</t>
  </si>
  <si>
    <t>BOOK-PAGE</t>
  </si>
  <si>
    <t>BOOK-PAGE+</t>
  </si>
  <si>
    <t>DICTIONARY</t>
  </si>
  <si>
    <t>DICTIONARY++</t>
  </si>
  <si>
    <t>ENCYCLOPEDIA</t>
  </si>
  <si>
    <t>ENCYCLOPEDIA+</t>
  </si>
  <si>
    <t>ENCYCLOPEDIA_2</t>
  </si>
  <si>
    <t>PAGER</t>
  </si>
  <si>
    <t>PAGER+</t>
  </si>
  <si>
    <t>TEXTING</t>
  </si>
  <si>
    <t>TEXTING+</t>
  </si>
  <si>
    <t>TEXTING_2+</t>
  </si>
  <si>
    <t>SWEETHEART</t>
  </si>
  <si>
    <t>PAINT</t>
  </si>
  <si>
    <t>PAINT+</t>
  </si>
  <si>
    <t>PAINT_2+</t>
  </si>
  <si>
    <t>STRIP-PAINT</t>
  </si>
  <si>
    <t>STRIP-PAINT++</t>
  </si>
  <si>
    <t>ICL:F"peeling paint"</t>
  </si>
  <si>
    <t>ICL:F"peeling paint"+</t>
  </si>
  <si>
    <t>ns-nat-PAKISTAN</t>
  </si>
  <si>
    <t>PANTS</t>
  </si>
  <si>
    <t>PANTS+</t>
  </si>
  <si>
    <t>PANTS++</t>
  </si>
  <si>
    <t>PAPER</t>
  </si>
  <si>
    <t>PAPER+</t>
  </si>
  <si>
    <t>ns-PARIS</t>
  </si>
  <si>
    <t>PAT-ON-BACK</t>
  </si>
  <si>
    <t>PAT-ON-BACK++</t>
  </si>
  <si>
    <t>PIRATE</t>
  </si>
  <si>
    <t>PIRATE+</t>
  </si>
  <si>
    <t>PATIENT</t>
  </si>
  <si>
    <t>PATIENT+</t>
  </si>
  <si>
    <t>PATIENT++</t>
  </si>
  <si>
    <t>SUFFER</t>
  </si>
  <si>
    <t>PAY</t>
  </si>
  <si>
    <t>(P)PAY</t>
  </si>
  <si>
    <t>BILL-OWE</t>
  </si>
  <si>
    <t>BILL-OWE-1p</t>
  </si>
  <si>
    <t>BILL-OWE-1p++</t>
  </si>
  <si>
    <t>PEAR</t>
  </si>
  <si>
    <t>PEAR+</t>
  </si>
  <si>
    <t>PENGUIN</t>
  </si>
  <si>
    <t>PENGUIN+</t>
  </si>
  <si>
    <t>PENIS</t>
  </si>
  <si>
    <t>(P)PENIS</t>
  </si>
  <si>
    <t>(P)PENIS+</t>
  </si>
  <si>
    <t>PERCENT</t>
  </si>
  <si>
    <t>PERFUME</t>
  </si>
  <si>
    <t>PERFUME+</t>
  </si>
  <si>
    <t>PERFUME_2</t>
  </si>
  <si>
    <t>PERFUME_3</t>
  </si>
  <si>
    <t>PERIOD</t>
  </si>
  <si>
    <t>PERIOD-ON-PAGE</t>
  </si>
  <si>
    <t>PERSON</t>
  </si>
  <si>
    <t>PEOPLE</t>
  </si>
  <si>
    <t>PEOPLE+</t>
  </si>
  <si>
    <t>AGENT</t>
  </si>
  <si>
    <t>PERSONALITY</t>
  </si>
  <si>
    <t>PERSPECTIVE</t>
  </si>
  <si>
    <t>PERSPECTIVE_2</t>
  </si>
  <si>
    <t>JUDGE</t>
  </si>
  <si>
    <t>P</t>
  </si>
  <si>
    <t>ns-PHILADELPHIA</t>
  </si>
  <si>
    <t>PIANO</t>
  </si>
  <si>
    <t>PIANO+</t>
  </si>
  <si>
    <t>ORGAN-MUSIC</t>
  </si>
  <si>
    <t>ORGAN-MUSIC+</t>
  </si>
  <si>
    <t>PICKLE</t>
  </si>
  <si>
    <t>PICKLE+</t>
  </si>
  <si>
    <t>fs-PICKLE</t>
  </si>
  <si>
    <t>SANDWICH</t>
  </si>
  <si>
    <t>SANDWICH_2</t>
  </si>
  <si>
    <t>PICTURE</t>
  </si>
  <si>
    <t>PIE</t>
  </si>
  <si>
    <t>PILLOW</t>
  </si>
  <si>
    <t>PILLOW+</t>
  </si>
  <si>
    <t>PINEAPPLE</t>
  </si>
  <si>
    <t>PINEAPPLE+</t>
  </si>
  <si>
    <t>PIPE</t>
  </si>
  <si>
    <t>PIPE+</t>
  </si>
  <si>
    <t>PITY</t>
  </si>
  <si>
    <t>PITY+</t>
  </si>
  <si>
    <t>PIZZA</t>
  </si>
  <si>
    <t>PIZZA+</t>
  </si>
  <si>
    <t>PIZZA_2</t>
  </si>
  <si>
    <t>PIZZA_2+</t>
  </si>
  <si>
    <t>PIZZA_3</t>
  </si>
  <si>
    <t>PIZZA_4</t>
  </si>
  <si>
    <t>#PIZZA</t>
  </si>
  <si>
    <t>PLAN</t>
  </si>
  <si>
    <t>PLAN-PREPARE</t>
  </si>
  <si>
    <t>PLANT-SEEDS</t>
  </si>
  <si>
    <t>PLAY</t>
  </si>
  <si>
    <t>PLAY+</t>
  </si>
  <si>
    <t>PLAY++</t>
  </si>
  <si>
    <t>PLAY-AROUND</t>
  </si>
  <si>
    <t>PLAY-AROUND+</t>
  </si>
  <si>
    <t>PARTY</t>
  </si>
  <si>
    <t>PARTY+</t>
  </si>
  <si>
    <t>(P)PARTY+</t>
  </si>
  <si>
    <t>DEAL-CARDS</t>
  </si>
  <si>
    <t>FRIENDLY</t>
  </si>
  <si>
    <t>COOL</t>
  </si>
  <si>
    <t>PLUG</t>
  </si>
  <si>
    <t>PLUG+</t>
  </si>
  <si>
    <t>POCKET</t>
  </si>
  <si>
    <t>POCKET+</t>
  </si>
  <si>
    <t>POINT-TO</t>
  </si>
  <si>
    <t>POKE</t>
  </si>
  <si>
    <t>ns-nat-POLAND</t>
  </si>
  <si>
    <t>COP</t>
  </si>
  <si>
    <t>COP+</t>
  </si>
  <si>
    <t>COP_2+</t>
  </si>
  <si>
    <t>COP_2</t>
  </si>
  <si>
    <t>DETECTIVE</t>
  </si>
  <si>
    <t>DETECTIVE+</t>
  </si>
  <si>
    <t>BILLIARDS</t>
  </si>
  <si>
    <t>POOR</t>
  </si>
  <si>
    <t>POOR+</t>
  </si>
  <si>
    <t>POP-CORK</t>
  </si>
  <si>
    <t>POPCORN</t>
  </si>
  <si>
    <t>POPCORN+</t>
  </si>
  <si>
    <t>ns-PORTUGAL</t>
  </si>
  <si>
    <t>ns-PORTUGAL_2</t>
  </si>
  <si>
    <t>PLUS</t>
  </si>
  <si>
    <t>PLUS+</t>
  </si>
  <si>
    <t>SQUARE</t>
  </si>
  <si>
    <t>FRAME</t>
  </si>
  <si>
    <t>FRAME_2</t>
  </si>
  <si>
    <t>FRAME_3</t>
  </si>
  <si>
    <t>FORM</t>
  </si>
  <si>
    <t>POSTPONE</t>
  </si>
  <si>
    <t>POSTPONE++</t>
  </si>
  <si>
    <t>POTATO</t>
  </si>
  <si>
    <t>POTATO+</t>
  </si>
  <si>
    <t>POUR</t>
  </si>
  <si>
    <t>PITCHER</t>
  </si>
  <si>
    <t>PITCHER+</t>
  </si>
  <si>
    <t>PITCHER_2</t>
  </si>
  <si>
    <t>PITCHER_2+</t>
  </si>
  <si>
    <t>ICL:C"pouring over"</t>
  </si>
  <si>
    <t>PRAY</t>
  </si>
  <si>
    <t>PRAY+</t>
  </si>
  <si>
    <t>(B-L)PRAY+</t>
  </si>
  <si>
    <t>REQUEST</t>
  </si>
  <si>
    <t>PREACH</t>
  </si>
  <si>
    <t>PREACH+</t>
  </si>
  <si>
    <t>PREGNANT</t>
  </si>
  <si>
    <t>(1h)PREGNANT</t>
  </si>
  <si>
    <t>PRESIDENT</t>
  </si>
  <si>
    <t>PRESSURE</t>
  </si>
  <si>
    <t>PRESSURE+</t>
  </si>
  <si>
    <t>PRESSURE++</t>
  </si>
  <si>
    <t>BEAUTIFUL</t>
  </si>
  <si>
    <t>BEAUTIFUL_2</t>
  </si>
  <si>
    <t>PRINCIPAL</t>
  </si>
  <si>
    <t>PRINT</t>
  </si>
  <si>
    <t>PRINT+</t>
  </si>
  <si>
    <t>PRINT++</t>
  </si>
  <si>
    <t>PRIORITY</t>
  </si>
  <si>
    <t>PROGRAM</t>
  </si>
  <si>
    <t>PROJECT</t>
  </si>
  <si>
    <t>CROSS-MY-HEART</t>
  </si>
  <si>
    <t>PROMISE</t>
  </si>
  <si>
    <t>PROPORTION</t>
  </si>
  <si>
    <t>PROUD</t>
  </si>
  <si>
    <t>PROVE</t>
  </si>
  <si>
    <t>ns-PUERTO-RICO</t>
  </si>
  <si>
    <t>ns-PUERTO-RICO_2</t>
  </si>
  <si>
    <t>PUFF-SMOKE</t>
  </si>
  <si>
    <t>MAKE-BUBBLES</t>
  </si>
  <si>
    <t>MAKE-BUBBLES+</t>
  </si>
  <si>
    <t>PULL</t>
  </si>
  <si>
    <t>PULL+</t>
  </si>
  <si>
    <t>(2h)alt.PULL</t>
  </si>
  <si>
    <t>URGE</t>
  </si>
  <si>
    <t>URGE+</t>
  </si>
  <si>
    <t>URGE++</t>
  </si>
  <si>
    <t>AIR-PUMP</t>
  </si>
  <si>
    <t>AIR-PUMP++</t>
  </si>
  <si>
    <t>WATER-PUMP</t>
  </si>
  <si>
    <t>WATER-PUMP+</t>
  </si>
  <si>
    <t>(1h)WATER-PUMP+</t>
  </si>
  <si>
    <t>MELON-PUMPKIN</t>
  </si>
  <si>
    <t>MELON-PUMPKIN+</t>
  </si>
  <si>
    <t>PUNISH</t>
  </si>
  <si>
    <t>PURPLE</t>
  </si>
  <si>
    <t>PURPLE+</t>
  </si>
  <si>
    <t>PURPLE++</t>
  </si>
  <si>
    <t>PURSE</t>
  </si>
  <si>
    <t>PURSE+</t>
  </si>
  <si>
    <t>(S)PURSE</t>
  </si>
  <si>
    <t>(S)PURSE+</t>
  </si>
  <si>
    <t>PUZZLE-PUSH-BUTTONS</t>
  </si>
  <si>
    <t>PUZZLE-PUSH-BUTTONS++</t>
  </si>
  <si>
    <t>Q</t>
  </si>
  <si>
    <t>ARGUE</t>
  </si>
  <si>
    <t>ARGUE+</t>
  </si>
  <si>
    <t>QUIT</t>
  </si>
  <si>
    <t>QUOTE-TOPIC</t>
  </si>
  <si>
    <t>RABBI</t>
  </si>
  <si>
    <t>RABBI+</t>
  </si>
  <si>
    <t>(crvd-L)RABBI+</t>
  </si>
  <si>
    <t>RABBI_2</t>
  </si>
  <si>
    <t>(R)RABBI_2</t>
  </si>
  <si>
    <t>RABBIT</t>
  </si>
  <si>
    <t>RABBIT+</t>
  </si>
  <si>
    <t>RACCOON</t>
  </si>
  <si>
    <t>RACCOON+</t>
  </si>
  <si>
    <t>RAIN</t>
  </si>
  <si>
    <t>RAIN++</t>
  </si>
  <si>
    <t>RAIN+</t>
  </si>
  <si>
    <t>DRIZZLE</t>
  </si>
  <si>
    <t>SNOW</t>
  </si>
  <si>
    <t>WEATHER</t>
  </si>
  <si>
    <t>(5)WEATHER</t>
  </si>
  <si>
    <t>WEATHER++</t>
  </si>
  <si>
    <t>crvd-W</t>
  </si>
  <si>
    <t>RAINBOW</t>
  </si>
  <si>
    <t>(2h)RAINBOW</t>
  </si>
  <si>
    <t>RAKE</t>
  </si>
  <si>
    <t>RAKE+</t>
  </si>
  <si>
    <t>RAKE++</t>
  </si>
  <si>
    <t>RAM</t>
  </si>
  <si>
    <t>(R)RAM</t>
  </si>
  <si>
    <t>READ</t>
  </si>
  <si>
    <t>READ+</t>
  </si>
  <si>
    <t>READY</t>
  </si>
  <si>
    <t>READY_2++</t>
  </si>
  <si>
    <t>REASON</t>
  </si>
  <si>
    <t>REASON+</t>
  </si>
  <si>
    <t>GET</t>
  </si>
  <si>
    <t>RECENT-PAST</t>
  </si>
  <si>
    <t>RECLINE-ROCKING-CHAIR</t>
  </si>
  <si>
    <t>RECLINE-ROCKING-CHAIR+</t>
  </si>
  <si>
    <t>RECLINE-ROCKING-CHAIR++</t>
  </si>
  <si>
    <t>SUGGEST</t>
  </si>
  <si>
    <t>(1h)SUGGEST</t>
  </si>
  <si>
    <t>(R)SUGGEST</t>
  </si>
  <si>
    <t>RECORD</t>
  </si>
  <si>
    <t>MUSIC-RECORD</t>
  </si>
  <si>
    <t>MUSIC-RECORD+</t>
  </si>
  <si>
    <t>RED</t>
  </si>
  <si>
    <t>RED+</t>
  </si>
  <si>
    <t>PINK</t>
  </si>
  <si>
    <t>PINK+</t>
  </si>
  <si>
    <t>PICNIC</t>
  </si>
  <si>
    <t>REFER</t>
  </si>
  <si>
    <t>(R)REFER</t>
  </si>
  <si>
    <t>REFUSE</t>
  </si>
  <si>
    <t>SUPPORT</t>
  </si>
  <si>
    <t>SUPPORT+</t>
  </si>
  <si>
    <t>(R)SUPPORT+</t>
  </si>
  <si>
    <t>REINS</t>
  </si>
  <si>
    <t>REJECT</t>
  </si>
  <si>
    <t>RELATIONSHIP-OFF</t>
  </si>
  <si>
    <t>RELIGION</t>
  </si>
  <si>
    <t>REMEMBER</t>
  </si>
  <si>
    <t>REMIND</t>
  </si>
  <si>
    <t>REMIND++</t>
  </si>
  <si>
    <t>REMIND-2p</t>
  </si>
  <si>
    <t>REMIND-2p+</t>
  </si>
  <si>
    <t>REMOVE</t>
  </si>
  <si>
    <t>RESEARCH</t>
  </si>
  <si>
    <t>RESEARCH++</t>
  </si>
  <si>
    <t>RESEARCH+</t>
  </si>
  <si>
    <t>(R)RESEARCH++</t>
  </si>
  <si>
    <t>INSTITUTE</t>
  </si>
  <si>
    <t>INSTITUTE+</t>
  </si>
  <si>
    <t>INSTITUTE++</t>
  </si>
  <si>
    <t>(nd-S)INSTITUTE</t>
  </si>
  <si>
    <t>(nd-S)INSTITUTE_2</t>
  </si>
  <si>
    <t>GET-OUT</t>
  </si>
  <si>
    <t>RESPONSIBILITY</t>
  </si>
  <si>
    <t>RESPONSIBILITY+</t>
  </si>
  <si>
    <t>(1h)RESPONSIBILITY+</t>
  </si>
  <si>
    <t>(R)RESPONSIBILITY+</t>
  </si>
  <si>
    <t>FAULT</t>
  </si>
  <si>
    <t>REST</t>
  </si>
  <si>
    <t>RESTAURANT</t>
  </si>
  <si>
    <t>CAFETERIA</t>
  </si>
  <si>
    <t>REVENGE</t>
  </si>
  <si>
    <t>REVIEW</t>
  </si>
  <si>
    <t>R-L</t>
  </si>
  <si>
    <t>(L)REVIEW</t>
  </si>
  <si>
    <t>RIBS</t>
  </si>
  <si>
    <t>RIB</t>
  </si>
  <si>
    <t>RICH</t>
  </si>
  <si>
    <t>WEALTHY</t>
  </si>
  <si>
    <t>ns-RICHMOND</t>
  </si>
  <si>
    <t>RIDE</t>
  </si>
  <si>
    <t>RIDE_2</t>
  </si>
  <si>
    <t>RIDE-ON</t>
  </si>
  <si>
    <t>RIDE-ON++</t>
  </si>
  <si>
    <t>RIDE-ON+</t>
  </si>
  <si>
    <t>LEFT-ARM</t>
  </si>
  <si>
    <t>RIGHT-ARM+</t>
  </si>
  <si>
    <t>LEFT-ARM+</t>
  </si>
  <si>
    <t>ARM</t>
  </si>
  <si>
    <t>LONG-SLEEVE</t>
  </si>
  <si>
    <t>SHORT-SLEEVE</t>
  </si>
  <si>
    <t>ARM+SHORT-SLEEVE</t>
  </si>
  <si>
    <t>LEGAL-RIGHT</t>
  </si>
  <si>
    <t>CORRECT</t>
  </si>
  <si>
    <t>RIGHT</t>
  </si>
  <si>
    <t>RIGHT_2</t>
  </si>
  <si>
    <t>RING</t>
  </si>
  <si>
    <t>RING+</t>
  </si>
  <si>
    <t>DIAMOND</t>
  </si>
  <si>
    <t>DIAMOND++</t>
  </si>
  <si>
    <t>ENGAGEMENT</t>
  </si>
  <si>
    <t>ENGAGEMENT_2</t>
  </si>
  <si>
    <t>FIANCE</t>
  </si>
  <si>
    <t>PUT-ON-RING</t>
  </si>
  <si>
    <t>RIP</t>
  </si>
  <si>
    <t>ROCK</t>
  </si>
  <si>
    <t>ROCK+</t>
  </si>
  <si>
    <t>ROOSTER</t>
  </si>
  <si>
    <t>ROOSTER+</t>
  </si>
  <si>
    <t>FLOWER</t>
  </si>
  <si>
    <t>(R)FLOWER</t>
  </si>
  <si>
    <t>ROUGH</t>
  </si>
  <si>
    <t>RUBBER</t>
  </si>
  <si>
    <t>RUBBER+</t>
  </si>
  <si>
    <t>GOOSEBUMPS</t>
  </si>
  <si>
    <t>RUN</t>
  </si>
  <si>
    <t>RUN++</t>
  </si>
  <si>
    <t>(parallel)RUN</t>
  </si>
  <si>
    <t>RUN-MACHINE</t>
  </si>
  <si>
    <t>RUN-MACHINE+++</t>
  </si>
  <si>
    <t>RUN-MACHINE++</t>
  </si>
  <si>
    <t>LEAK</t>
  </si>
  <si>
    <t>LEAK+++</t>
  </si>
  <si>
    <t>ns-RUSSIA</t>
  </si>
  <si>
    <t>ns-nat-RUSSIA</t>
  </si>
  <si>
    <t>SAFE</t>
  </si>
  <si>
    <t>SAFE_2</t>
  </si>
  <si>
    <t>SAILBOAT</t>
  </si>
  <si>
    <t>SALAD</t>
  </si>
  <si>
    <t>SALAD+</t>
  </si>
  <si>
    <t>SALT</t>
  </si>
  <si>
    <t>SAME-TIME</t>
  </si>
  <si>
    <t>SAME</t>
  </si>
  <si>
    <t>SAME+</t>
  </si>
  <si>
    <t>SAME++</t>
  </si>
  <si>
    <t>(2h)SAME+</t>
  </si>
  <si>
    <t>SAME-3p-pl-arc</t>
  </si>
  <si>
    <t>i:SAME-1p++</t>
  </si>
  <si>
    <t>i:SAME-1p+</t>
  </si>
  <si>
    <t>(2h)SAME_2</t>
  </si>
  <si>
    <t>SAME-OLD</t>
  </si>
  <si>
    <t>SAME-OLD+</t>
  </si>
  <si>
    <t>ALSO</t>
  </si>
  <si>
    <t>ALSO+</t>
  </si>
  <si>
    <t>ALSO++</t>
  </si>
  <si>
    <t>ns-SANTA-CLAUS</t>
  </si>
  <si>
    <t>SATISFIED</t>
  </si>
  <si>
    <t>WHEW-RELIEVED</t>
  </si>
  <si>
    <t>SATURDAY</t>
  </si>
  <si>
    <t>SATURDAY+</t>
  </si>
  <si>
    <t>EVERY-SATURDAY</t>
  </si>
  <si>
    <t>SAUCE</t>
  </si>
  <si>
    <t>SAUCE+</t>
  </si>
  <si>
    <t>SAVE</t>
  </si>
  <si>
    <t>SAVE++</t>
  </si>
  <si>
    <t>SAVE+</t>
  </si>
  <si>
    <t>SAVE_2</t>
  </si>
  <si>
    <t>SAY</t>
  </si>
  <si>
    <t>SAY+</t>
  </si>
  <si>
    <t>SAY++</t>
  </si>
  <si>
    <t>MENTAL-SCAR</t>
  </si>
  <si>
    <t>SCARF</t>
  </si>
  <si>
    <t>SCARF_2</t>
  </si>
  <si>
    <t>SCHEDULE</t>
  </si>
  <si>
    <t>SCHOOL</t>
  </si>
  <si>
    <t>SCHOOL+</t>
  </si>
  <si>
    <t>SCIENCE</t>
  </si>
  <si>
    <t>SCIENCE+</t>
  </si>
  <si>
    <t>BIOLOGY</t>
  </si>
  <si>
    <t>BIOLOGY+</t>
  </si>
  <si>
    <t>CHEMISTRY</t>
  </si>
  <si>
    <t>CHEMISTRY+</t>
  </si>
  <si>
    <t>CUT-WITH-SCISSORS</t>
  </si>
  <si>
    <t>LOBSTER</t>
  </si>
  <si>
    <t>LOBSTER+</t>
  </si>
  <si>
    <t>SCOOTER</t>
  </si>
  <si>
    <t>SCOOTER++</t>
  </si>
  <si>
    <t>SCOUT</t>
  </si>
  <si>
    <t>SCOUT+</t>
  </si>
  <si>
    <t>GIRL-SCOUT</t>
  </si>
  <si>
    <t>Other</t>
  </si>
  <si>
    <t>SCRAPE</t>
  </si>
  <si>
    <t>SCRAPE+</t>
  </si>
  <si>
    <t>SCREWDRIVER</t>
  </si>
  <si>
    <t>SCREWDRIVER++</t>
  </si>
  <si>
    <t>(R)SCREWDRIVER+</t>
  </si>
  <si>
    <t>EXPLOIT</t>
  </si>
  <si>
    <t>EXPLOIT+</t>
  </si>
  <si>
    <t>SCUBA</t>
  </si>
  <si>
    <t>SCUBA+</t>
  </si>
  <si>
    <t>SECOND-OF-TIME</t>
  </si>
  <si>
    <t>SECRET</t>
  </si>
  <si>
    <t>SECRET++</t>
  </si>
  <si>
    <t>SECRET+</t>
  </si>
  <si>
    <t>SECRET_2</t>
  </si>
  <si>
    <t>SECRETARY</t>
  </si>
  <si>
    <t>(U)SECRETARY</t>
  </si>
  <si>
    <t>SEE</t>
  </si>
  <si>
    <t>SEE-SEE</t>
  </si>
  <si>
    <t>SEE-SEE++</t>
  </si>
  <si>
    <t>PREDICT</t>
  </si>
  <si>
    <t>SEEM</t>
  </si>
  <si>
    <t>SEEM++</t>
  </si>
  <si>
    <t>SEEM+</t>
  </si>
  <si>
    <t>COMPARE</t>
  </si>
  <si>
    <t>COMPARE+</t>
  </si>
  <si>
    <t>SEE-SAW</t>
  </si>
  <si>
    <t>SEE-SAW+</t>
  </si>
  <si>
    <t>SELL</t>
  </si>
  <si>
    <t>SELL+</t>
  </si>
  <si>
    <t>SELL++</t>
  </si>
  <si>
    <t>SEND</t>
  </si>
  <si>
    <t>SEND-MAIL</t>
  </si>
  <si>
    <t>TOSS</t>
  </si>
  <si>
    <t>THROW-BALL</t>
  </si>
  <si>
    <t>SENIOR</t>
  </si>
  <si>
    <t>SENIOR+</t>
  </si>
  <si>
    <t>SENIOR-CITIZEN</t>
  </si>
  <si>
    <t>SERVICE</t>
  </si>
  <si>
    <t>(Horns)SERVICE</t>
  </si>
  <si>
    <t>ERECT</t>
  </si>
  <si>
    <t>FEW</t>
  </si>
  <si>
    <t>FEW_2</t>
  </si>
  <si>
    <t>FEW-CLOSE</t>
  </si>
  <si>
    <t>SEW</t>
  </si>
  <si>
    <t>SEW++</t>
  </si>
  <si>
    <t>SEW+</t>
  </si>
  <si>
    <t>STITCH</t>
  </si>
  <si>
    <t>STITCH++</t>
  </si>
  <si>
    <t>STITCH+</t>
  </si>
  <si>
    <t>SEX-GENDER</t>
  </si>
  <si>
    <t>SHAMPOO</t>
  </si>
  <si>
    <t>ns-nat-SHANGHAI</t>
  </si>
  <si>
    <t>SHAVE</t>
  </si>
  <si>
    <t>SHAVE+</t>
  </si>
  <si>
    <t>(Y)SHAVE+</t>
  </si>
  <si>
    <t>(Y)SHAVE</t>
  </si>
  <si>
    <t>SHEARS-SHAVE</t>
  </si>
  <si>
    <t>SHEARS-SHAVE+</t>
  </si>
  <si>
    <t>SHEEP</t>
  </si>
  <si>
    <t>SHEEP+</t>
  </si>
  <si>
    <t>SHEEP++</t>
  </si>
  <si>
    <t>SHINE</t>
  </si>
  <si>
    <t>SHOE</t>
  </si>
  <si>
    <t>SHOE+</t>
  </si>
  <si>
    <t>BOOT</t>
  </si>
  <si>
    <t>BOOT++</t>
  </si>
  <si>
    <t>BOOT+</t>
  </si>
  <si>
    <t>SHORTS</t>
  </si>
  <si>
    <t>SHORTS+</t>
  </si>
  <si>
    <t>SHORTS_2+</t>
  </si>
  <si>
    <t>SHOVEL-DIG</t>
  </si>
  <si>
    <t>SHOVEL-DIG+</t>
  </si>
  <si>
    <t>SHOVEL-DIG++</t>
  </si>
  <si>
    <t>SHOWER</t>
  </si>
  <si>
    <t>SHOWER+</t>
  </si>
  <si>
    <t>SHUT-UP</t>
  </si>
  <si>
    <t>SHY</t>
  </si>
  <si>
    <t>SHY_2</t>
  </si>
  <si>
    <t>SHAME</t>
  </si>
  <si>
    <t>(2h)SHAME</t>
  </si>
  <si>
    <t>SICK</t>
  </si>
  <si>
    <t>SIDE</t>
  </si>
  <si>
    <t>USE-SIGN-LANGUAGE</t>
  </si>
  <si>
    <t>(2h)alt.USE-SIGN-LANGUAGE</t>
  </si>
  <si>
    <t>(2h)alt.USE-SIGN-LANGUAGE+</t>
  </si>
  <si>
    <t>SIGNATURE</t>
  </si>
  <si>
    <t>SIGNATURE_2</t>
  </si>
  <si>
    <t>SILLY</t>
  </si>
  <si>
    <t>SILLY+</t>
  </si>
  <si>
    <t>SILVER</t>
  </si>
  <si>
    <t>SIMPLE</t>
  </si>
  <si>
    <t>UP-TO-NOW</t>
  </si>
  <si>
    <t>alt-P</t>
  </si>
  <si>
    <t>SIT</t>
  </si>
  <si>
    <t>SIT++</t>
  </si>
  <si>
    <t>SIT+</t>
  </si>
  <si>
    <t>BONE</t>
  </si>
  <si>
    <t>SKI</t>
  </si>
  <si>
    <t>SKI++</t>
  </si>
  <si>
    <t>SKI+</t>
  </si>
  <si>
    <t>ICE-SKATE</t>
  </si>
  <si>
    <t>ICE-SKATE+</t>
  </si>
  <si>
    <t>ROLLER-SKATE</t>
  </si>
  <si>
    <t>ROLLER-SKATE+</t>
  </si>
  <si>
    <t>HOCKEY</t>
  </si>
  <si>
    <t>HOCKEY++</t>
  </si>
  <si>
    <t>HOCKEY+</t>
  </si>
  <si>
    <t>ROLLER-BLADE</t>
  </si>
  <si>
    <t>SKILL</t>
  </si>
  <si>
    <t>SKIN</t>
  </si>
  <si>
    <t>(G)SKIN</t>
  </si>
  <si>
    <t>THIN</t>
  </si>
  <si>
    <t>THIN_2</t>
  </si>
  <si>
    <t>SKIRT</t>
  </si>
  <si>
    <t>SKUNK</t>
  </si>
  <si>
    <t>(8)SKUNK</t>
  </si>
  <si>
    <t>SKY</t>
  </si>
  <si>
    <t>SLAVE</t>
  </si>
  <si>
    <t>SLAVE+</t>
  </si>
  <si>
    <t>SLEEP</t>
  </si>
  <si>
    <t>SLEEP++</t>
  </si>
  <si>
    <t>SLEEP+</t>
  </si>
  <si>
    <t>SLICE</t>
  </si>
  <si>
    <t>TOMATO</t>
  </si>
  <si>
    <t>RED+SLICE</t>
  </si>
  <si>
    <t>SLIDING-DOORS</t>
  </si>
  <si>
    <t>SLIPPER</t>
  </si>
  <si>
    <t>SLIPPERS</t>
  </si>
  <si>
    <t>SLIPPERY</t>
  </si>
  <si>
    <t>SLOW</t>
  </si>
  <si>
    <t>SMELL</t>
  </si>
  <si>
    <t>SMELL+</t>
  </si>
  <si>
    <t>SMELLY</t>
  </si>
  <si>
    <t>SMELLY++</t>
  </si>
  <si>
    <t>SMILE</t>
  </si>
  <si>
    <t>SMILE_2</t>
  </si>
  <si>
    <t>SMILE_3</t>
  </si>
  <si>
    <t>SNAKE</t>
  </si>
  <si>
    <t>SNEEZE</t>
  </si>
  <si>
    <t>SNORKEL</t>
  </si>
  <si>
    <t>SNORKEL+</t>
  </si>
  <si>
    <t>SNOWBOARD</t>
  </si>
  <si>
    <t>SNOWBOARD++</t>
  </si>
  <si>
    <t>SOAP</t>
  </si>
  <si>
    <t>SOAP++</t>
  </si>
  <si>
    <t>SOCIAL-WORK</t>
  </si>
  <si>
    <t>SOCKS</t>
  </si>
  <si>
    <t>SOCKS+</t>
  </si>
  <si>
    <t>SODA</t>
  </si>
  <si>
    <t>SOFT</t>
  </si>
  <si>
    <t>SOFT+</t>
  </si>
  <si>
    <t>WET</t>
  </si>
  <si>
    <t>WET+</t>
  </si>
  <si>
    <t>MILITARY</t>
  </si>
  <si>
    <t>MILITARY+</t>
  </si>
  <si>
    <t>SOME</t>
  </si>
  <si>
    <t>SOMETIMES</t>
  </si>
  <si>
    <t>SOMETIMES++</t>
  </si>
  <si>
    <t>SOMETIMES+</t>
  </si>
  <si>
    <t>ONCE-IN-A-WHILE</t>
  </si>
  <si>
    <t>ONCE-IN-A-WHILE+</t>
  </si>
  <si>
    <t>ONCE-IN-A-WHILE_2+</t>
  </si>
  <si>
    <t>SON</t>
  </si>
  <si>
    <t>BOY+BABY</t>
  </si>
  <si>
    <t>SOPHOMORE</t>
  </si>
  <si>
    <t>SOPHOMORE++</t>
  </si>
  <si>
    <t>SOPHOMORE_2</t>
  </si>
  <si>
    <t>(rd)SOPHOMORE_2++</t>
  </si>
  <si>
    <t>SORRY</t>
  </si>
  <si>
    <t>SORRY+</t>
  </si>
  <si>
    <t>SOUP</t>
  </si>
  <si>
    <t>SOUP++</t>
  </si>
  <si>
    <t>SOUP+poi</t>
  </si>
  <si>
    <t>CEREAL</t>
  </si>
  <si>
    <t>CEREAL++</t>
  </si>
  <si>
    <t>CEREAL_2++</t>
  </si>
  <si>
    <t>SOUTH</t>
  </si>
  <si>
    <t>SOUTH++</t>
  </si>
  <si>
    <t>SOUTH_2</t>
  </si>
  <si>
    <t>SPAGHETTI</t>
  </si>
  <si>
    <t>SPAGHETTI+</t>
  </si>
  <si>
    <t>SPAGHETTI_2+</t>
  </si>
  <si>
    <t>ns-nat-SPAIN</t>
  </si>
  <si>
    <t>SPANK</t>
  </si>
  <si>
    <t>SPECIAL-EXCEPT</t>
  </si>
  <si>
    <t>DRAGON</t>
  </si>
  <si>
    <t>DRAGON+</t>
  </si>
  <si>
    <t>SPICY</t>
  </si>
  <si>
    <t>SPICY+</t>
  </si>
  <si>
    <t>HOT-SPICY</t>
  </si>
  <si>
    <t>HOT-SPICY++</t>
  </si>
  <si>
    <t>SPIDER</t>
  </si>
  <si>
    <t>SPIN</t>
  </si>
  <si>
    <t>SPIN+</t>
  </si>
  <si>
    <t>ORBIT</t>
  </si>
  <si>
    <t>ORBIT+</t>
  </si>
  <si>
    <t>(1h)ORBIT</t>
  </si>
  <si>
    <t>(O)ORBIT+</t>
  </si>
  <si>
    <t>LCL"path-turn-around"</t>
  </si>
  <si>
    <t>(1h)LCL"path-turn-around"</t>
  </si>
  <si>
    <t>SPIT</t>
  </si>
  <si>
    <t>TATTLE</t>
  </si>
  <si>
    <t>TATTLE+</t>
  </si>
  <si>
    <t>(1h)TATTLE++</t>
  </si>
  <si>
    <t>(1h)TATTLE+++</t>
  </si>
  <si>
    <t>BAKING-SPRINKLES</t>
  </si>
  <si>
    <t>(1h)BAKING-SPRINKLES</t>
  </si>
  <si>
    <t>SQUIRREL</t>
  </si>
  <si>
    <t>SQUIRREL++</t>
  </si>
  <si>
    <t>ns-nat-SRI-LANKA</t>
  </si>
  <si>
    <t>STAB</t>
  </si>
  <si>
    <t>STAB+</t>
  </si>
  <si>
    <t>STAB++</t>
  </si>
  <si>
    <t>STAGE</t>
  </si>
  <si>
    <t>UPSTAIRS</t>
  </si>
  <si>
    <t>DOWNSTAIRS</t>
  </si>
  <si>
    <t>STAND</t>
  </si>
  <si>
    <t>STAND+</t>
  </si>
  <si>
    <t>STAND-UP</t>
  </si>
  <si>
    <t>GET-UP</t>
  </si>
  <si>
    <t>STAR</t>
  </si>
  <si>
    <t>STAR+</t>
  </si>
  <si>
    <t>START</t>
  </si>
  <si>
    <t>STATE</t>
  </si>
  <si>
    <t>CONSTITUTION</t>
  </si>
  <si>
    <t>SYMBOL</t>
  </si>
  <si>
    <t>SYMBOL+</t>
  </si>
  <si>
    <t>POLICY</t>
  </si>
  <si>
    <t>STEAL</t>
  </si>
  <si>
    <t>STEALTHY</t>
  </si>
  <si>
    <t>STEALTHY+</t>
  </si>
  <si>
    <t>STEAM</t>
  </si>
  <si>
    <t>STEAM+</t>
  </si>
  <si>
    <t>DCL"steam rising"</t>
  </si>
  <si>
    <t>STEEP</t>
  </si>
  <si>
    <t>STEPS</t>
  </si>
  <si>
    <t>STEPS++</t>
  </si>
  <si>
    <t>STEPLADDER</t>
  </si>
  <si>
    <t>STEPLADDER++</t>
  </si>
  <si>
    <t>STICKY</t>
  </si>
  <si>
    <t>STICKY+</t>
  </si>
  <si>
    <t>(1h)STICKY++</t>
  </si>
  <si>
    <t>STILL</t>
  </si>
  <si>
    <t>STAY</t>
  </si>
  <si>
    <t>(1h)STAY</t>
  </si>
  <si>
    <t>STIMULATE</t>
  </si>
  <si>
    <t>STIMULATE++</t>
  </si>
  <si>
    <t>EXPOSE</t>
  </si>
  <si>
    <t>EXPOSE+</t>
  </si>
  <si>
    <t>EXPOSE_2+</t>
  </si>
  <si>
    <t>STING</t>
  </si>
  <si>
    <t>STING-FACE</t>
  </si>
  <si>
    <t>BEE</t>
  </si>
  <si>
    <t>MOSQUITO</t>
  </si>
  <si>
    <t>(S)MOSQUITO</t>
  </si>
  <si>
    <t>(S)MOSQUITO+</t>
  </si>
  <si>
    <t>STINK</t>
  </si>
  <si>
    <t>STIR</t>
  </si>
  <si>
    <t>STIR++</t>
  </si>
  <si>
    <t>STIR_2+</t>
  </si>
  <si>
    <t>INVEST</t>
  </si>
  <si>
    <t>INVEST+</t>
  </si>
  <si>
    <t>TOURNAMENT</t>
  </si>
  <si>
    <t>TOURNAMENT+</t>
  </si>
  <si>
    <t>FERRIS-WHEEL-FAIR</t>
  </si>
  <si>
    <t>FERRIS-WHEEL-FAIR+</t>
  </si>
  <si>
    <t>STOP</t>
  </si>
  <si>
    <t>STOPLIGHT</t>
  </si>
  <si>
    <t>STORY</t>
  </si>
  <si>
    <t>STORY+</t>
  </si>
  <si>
    <t>STORY+++</t>
  </si>
  <si>
    <t>STORY_2++</t>
  </si>
  <si>
    <t>(crvd-B)STORY+</t>
  </si>
  <si>
    <t>(crvd-B)STORY++</t>
  </si>
  <si>
    <t>STRAIGHT</t>
  </si>
  <si>
    <t>BOWLING-STRIKE</t>
  </si>
  <si>
    <t>BOWLING-STRIKE_2</t>
  </si>
  <si>
    <t>STRIPES</t>
  </si>
  <si>
    <t>(4)STRIPES</t>
  </si>
  <si>
    <t>STRUCTURE</t>
  </si>
  <si>
    <t>STRUCTURE_2+</t>
  </si>
  <si>
    <t>STUDY</t>
  </si>
  <si>
    <t>STUDY_2+</t>
  </si>
  <si>
    <t>STUPID</t>
  </si>
  <si>
    <t>STUPID_2</t>
  </si>
  <si>
    <t>STUPID_3</t>
  </si>
  <si>
    <t>SUBTRACT</t>
  </si>
  <si>
    <t>SUBWAY</t>
  </si>
  <si>
    <t>SUBWAY+</t>
  </si>
  <si>
    <t>SUBWAY_2</t>
  </si>
  <si>
    <t>TAKE-SUBWAY</t>
  </si>
  <si>
    <t>TAKE-SUBWAY_2++</t>
  </si>
  <si>
    <t>VACUUM-UP</t>
  </si>
  <si>
    <t>SUMMARIZE</t>
  </si>
  <si>
    <t>FASCINATE</t>
  </si>
  <si>
    <t>BLACK-OUT</t>
  </si>
  <si>
    <t>SUMMER</t>
  </si>
  <si>
    <t>SUMMER+</t>
  </si>
  <si>
    <t>SUMMON</t>
  </si>
  <si>
    <t>WARN</t>
  </si>
  <si>
    <t>WARN++</t>
  </si>
  <si>
    <t>NATIVE</t>
  </si>
  <si>
    <t>NATIVE+</t>
  </si>
  <si>
    <t>SURFACE</t>
  </si>
  <si>
    <t>SURFACE+</t>
  </si>
  <si>
    <t>SMOOTH-SURFACE</t>
  </si>
  <si>
    <t>SUN</t>
  </si>
  <si>
    <t>SUN_2</t>
  </si>
  <si>
    <t>SUNSHINE</t>
  </si>
  <si>
    <t>SUNRISE</t>
  </si>
  <si>
    <t>(F)SUNRISE</t>
  </si>
  <si>
    <t>SUNSET</t>
  </si>
  <si>
    <t>(F)SUNSET</t>
  </si>
  <si>
    <t>IF</t>
  </si>
  <si>
    <t>IF++</t>
  </si>
  <si>
    <t>#IF</t>
  </si>
  <si>
    <t>#IF+</t>
  </si>
  <si>
    <t>#IF++</t>
  </si>
  <si>
    <t>SUSPECT</t>
  </si>
  <si>
    <t>SUSPECT+</t>
  </si>
  <si>
    <t>SUSPECT++</t>
  </si>
  <si>
    <t>SWALLOW</t>
  </si>
  <si>
    <t>THIRSTY</t>
  </si>
  <si>
    <t>SWEAT</t>
  </si>
  <si>
    <t>SWEATER</t>
  </si>
  <si>
    <t>CARDIGAN</t>
  </si>
  <si>
    <t>CARDIGAN_2</t>
  </si>
  <si>
    <t>ns-SWEDEN</t>
  </si>
  <si>
    <t>GET-BIGGER</t>
  </si>
  <si>
    <t>SWIM</t>
  </si>
  <si>
    <t>SWIM++</t>
  </si>
  <si>
    <t>SWIM+</t>
  </si>
  <si>
    <t>ns-SWITZERLAND</t>
  </si>
  <si>
    <t>SYSTEM</t>
  </si>
  <si>
    <t>SEMESTER</t>
  </si>
  <si>
    <t>TABLE</t>
  </si>
  <si>
    <t>TABLE+</t>
  </si>
  <si>
    <t>TAIL</t>
  </si>
  <si>
    <t>TAIL+++++</t>
  </si>
  <si>
    <t>WAG</t>
  </si>
  <si>
    <t>WAG++++</t>
  </si>
  <si>
    <t>WAG_2+++++</t>
  </si>
  <si>
    <t>TAKE</t>
  </si>
  <si>
    <t>TAKE-UP</t>
  </si>
  <si>
    <t>GRAB</t>
  </si>
  <si>
    <t>GRAB_2</t>
  </si>
  <si>
    <t>TAKE-PILL</t>
  </si>
  <si>
    <t>TAKE-PILL+</t>
  </si>
  <si>
    <t>TAKE-OFF</t>
  </si>
  <si>
    <t>TALL</t>
  </si>
  <si>
    <t>ROCKET</t>
  </si>
  <si>
    <t>TANK-TOP</t>
  </si>
  <si>
    <t>TANK-TOP+</t>
  </si>
  <si>
    <t>TAPE-RECORDING</t>
  </si>
  <si>
    <t>TAPE-RECORDING+</t>
  </si>
  <si>
    <t>TAPE</t>
  </si>
  <si>
    <t>TATTOO</t>
  </si>
  <si>
    <t>TATTOO+</t>
  </si>
  <si>
    <t>TATTOO_2+</t>
  </si>
  <si>
    <t>fs-TATTOO</t>
  </si>
  <si>
    <t>TEACH</t>
  </si>
  <si>
    <t>TEACH+</t>
  </si>
  <si>
    <t>CALL-ON-RELAY-VRS</t>
  </si>
  <si>
    <t>CALL-ON-RELAY-VRS+</t>
  </si>
  <si>
    <t>PHONE</t>
  </si>
  <si>
    <t>PHONE+</t>
  </si>
  <si>
    <t>PHONE++</t>
  </si>
  <si>
    <t>CALL-BY-PHONE</t>
  </si>
  <si>
    <t>HANG-UP-PHONE</t>
  </si>
  <si>
    <t>(2h)HANG-UP-PHONE</t>
  </si>
  <si>
    <t>TELESCOPE</t>
  </si>
  <si>
    <t>TEMPT</t>
  </si>
  <si>
    <t>TEMPT+</t>
  </si>
  <si>
    <t>TEST</t>
  </si>
  <si>
    <t>TEST+</t>
  </si>
  <si>
    <t>TEST++</t>
  </si>
  <si>
    <t>TEST_2</t>
  </si>
  <si>
    <t>ns-TEXAS</t>
  </si>
  <si>
    <t>ns-nat-THAILAND</t>
  </si>
  <si>
    <t>THAT</t>
  </si>
  <si>
    <t>THEORY</t>
  </si>
  <si>
    <t>THEORY+</t>
  </si>
  <si>
    <t>THEORY_2</t>
  </si>
  <si>
    <t>THEREFORE</t>
  </si>
  <si>
    <t>THERMOMETER</t>
  </si>
  <si>
    <t>THICK</t>
  </si>
  <si>
    <t>(L-X)THICK</t>
  </si>
  <si>
    <t>(L-X)THICK+</t>
  </si>
  <si>
    <t>SLIM</t>
  </si>
  <si>
    <t>SLIM_2</t>
  </si>
  <si>
    <t>THROAT</t>
  </si>
  <si>
    <t>THROAT+</t>
  </si>
  <si>
    <t>THROUGH</t>
  </si>
  <si>
    <t>GET-RID-OF</t>
  </si>
  <si>
    <t>THROW</t>
  </si>
  <si>
    <t>(1)THROW</t>
  </si>
  <si>
    <t>(5)THROW</t>
  </si>
  <si>
    <t>THROW-BASKETBALL</t>
  </si>
  <si>
    <t>THROW-SOFTBALL</t>
  </si>
  <si>
    <t>THUMB</t>
  </si>
  <si>
    <t>THUMBTACK-BUTTON</t>
  </si>
  <si>
    <t>THUMBTACK-BUTTON+</t>
  </si>
  <si>
    <t>THURSDAY</t>
  </si>
  <si>
    <t>EVERY-THURSDAY</t>
  </si>
  <si>
    <t>EVERY-THURSDAY_2</t>
  </si>
  <si>
    <t>(H)EVERY-THURSDAY</t>
  </si>
  <si>
    <t>TICKLE</t>
  </si>
  <si>
    <t>TIE</t>
  </si>
  <si>
    <t>TIME-PERIOD</t>
  </si>
  <si>
    <t>TIPTOE</t>
  </si>
  <si>
    <t>TIPTOE+</t>
  </si>
  <si>
    <t>(bent-1)TIPTOE+</t>
  </si>
  <si>
    <t>TOAST</t>
  </si>
  <si>
    <t>TOAST_2</t>
  </si>
  <si>
    <t>TOBACCO</t>
  </si>
  <si>
    <t>TOBACCO+</t>
  </si>
  <si>
    <t>TOBACCO_2++</t>
  </si>
  <si>
    <t>TONGUE</t>
  </si>
  <si>
    <t>FOREVER</t>
  </si>
  <si>
    <t>FOREVER_2</t>
  </si>
  <si>
    <t>FOREVER_3</t>
  </si>
  <si>
    <t>TOOTHBRUSH</t>
  </si>
  <si>
    <t>TOOTHBRUSH++</t>
  </si>
  <si>
    <t>BRUSH-TEETH</t>
  </si>
  <si>
    <t>BRUSH-TEETH++</t>
  </si>
  <si>
    <t>BRUSH-TEETH+</t>
  </si>
  <si>
    <t>TOOTHPASTE</t>
  </si>
  <si>
    <t>TOOTHPASTE_2+</t>
  </si>
  <si>
    <t>(A)TOOTHPASTE</t>
  </si>
  <si>
    <t>TOP</t>
  </si>
  <si>
    <t>TOUCH</t>
  </si>
  <si>
    <t>TOUCH_2</t>
  </si>
  <si>
    <t>TOWEL</t>
  </si>
  <si>
    <t>TOWEL+</t>
  </si>
  <si>
    <t>SWITCH</t>
  </si>
  <si>
    <t>REPLACE</t>
  </si>
  <si>
    <t>TRADE</t>
  </si>
  <si>
    <t>EXCHANGE</t>
  </si>
  <si>
    <t>INSTEAD</t>
  </si>
  <si>
    <t>TRADITION</t>
  </si>
  <si>
    <t>TRAIN</t>
  </si>
  <si>
    <t>TRAIN++</t>
  </si>
  <si>
    <t>TAKE-TRAIN</t>
  </si>
  <si>
    <t>TRAP</t>
  </si>
  <si>
    <t>TRAP_2</t>
  </si>
  <si>
    <t>TROMBONE</t>
  </si>
  <si>
    <t>TROMBONE+</t>
  </si>
  <si>
    <t>TROPHY</t>
  </si>
  <si>
    <t>TROPHY+</t>
  </si>
  <si>
    <t>TROPHY++</t>
  </si>
  <si>
    <t>HONEST</t>
  </si>
  <si>
    <t>TRY</t>
  </si>
  <si>
    <t>ATTEMPT</t>
  </si>
  <si>
    <t>EFFORT</t>
  </si>
  <si>
    <t>TUESDAY</t>
  </si>
  <si>
    <t>TUESDAY+</t>
  </si>
  <si>
    <t>EVERY-TUESDAY</t>
  </si>
  <si>
    <t>TURN-DOWN</t>
  </si>
  <si>
    <t>IGNITION-ON</t>
  </si>
  <si>
    <t>IGNITION-OFF</t>
  </si>
  <si>
    <t>TUTOR</t>
  </si>
  <si>
    <t>TUTOR+</t>
  </si>
  <si>
    <t>TWENTY-ONE</t>
  </si>
  <si>
    <t>TWENTY-ONE+</t>
  </si>
  <si>
    <t>TWENTY-ONE_2+</t>
  </si>
  <si>
    <t>TWENTY-TWO</t>
  </si>
  <si>
    <t>UGLY</t>
  </si>
  <si>
    <t>UMBRELLA</t>
  </si>
  <si>
    <t>UMBRELLA+</t>
  </si>
  <si>
    <t>WHISTLE</t>
  </si>
  <si>
    <t>WHISTLE+</t>
  </si>
  <si>
    <t>WHISTLE+++</t>
  </si>
  <si>
    <t>(F-9)WHISTLE</t>
  </si>
  <si>
    <t>UNDERSTAND</t>
  </si>
  <si>
    <t>UNDERSTAND_2</t>
  </si>
  <si>
    <t>UNDERPANTS</t>
  </si>
  <si>
    <t>UNDERPANTS+</t>
  </si>
  <si>
    <t>STRIP</t>
  </si>
  <si>
    <t>STRIP+</t>
  </si>
  <si>
    <t>UP</t>
  </si>
  <si>
    <t>UP+</t>
  </si>
  <si>
    <t>UP++</t>
  </si>
  <si>
    <t>UPSET</t>
  </si>
  <si>
    <t>UPSIDE-DOWN</t>
  </si>
  <si>
    <t>FORMERLY</t>
  </si>
  <si>
    <t>FORMERLY+</t>
  </si>
  <si>
    <t>V</t>
  </si>
  <si>
    <t>VACUUM</t>
  </si>
  <si>
    <t>VACUUM+</t>
  </si>
  <si>
    <t>VACUUM++</t>
  </si>
  <si>
    <t>VAGINA</t>
  </si>
  <si>
    <t>VAGINA+</t>
  </si>
  <si>
    <t>VAGINA++</t>
  </si>
  <si>
    <t>VALLEY</t>
  </si>
  <si>
    <t>VANILLA</t>
  </si>
  <si>
    <t>VANILLA+</t>
  </si>
  <si>
    <t>(1h)VANILLA+</t>
  </si>
  <si>
    <t>VARY</t>
  </si>
  <si>
    <t>VARY_2</t>
  </si>
  <si>
    <t>VEGETABLE</t>
  </si>
  <si>
    <t>VINEGAR</t>
  </si>
  <si>
    <t>VINEGAR+</t>
  </si>
  <si>
    <t>VINEGAR_2</t>
  </si>
  <si>
    <t>VERY</t>
  </si>
  <si>
    <t>VICE-PRESIDENT</t>
  </si>
  <si>
    <t>VIDEOTAPE</t>
  </si>
  <si>
    <t>VIDEOTAPE_2</t>
  </si>
  <si>
    <t>ns-VIETNAM</t>
  </si>
  <si>
    <t>VIOLIN</t>
  </si>
  <si>
    <t>VIRGIN</t>
  </si>
  <si>
    <t>VISUALIZE</t>
  </si>
  <si>
    <t>VISIT</t>
  </si>
  <si>
    <t>VISIT:i</t>
  </si>
  <si>
    <t>VOCABULARY</t>
  </si>
  <si>
    <t>VOCABULARY+</t>
  </si>
  <si>
    <t>VOCABULARY_2++</t>
  </si>
  <si>
    <t>VODKA</t>
  </si>
  <si>
    <t>VODKA++</t>
  </si>
  <si>
    <t>VODKA_2+</t>
  </si>
  <si>
    <t>(V)VODKA+</t>
  </si>
  <si>
    <t>VOICE</t>
  </si>
  <si>
    <t>VOICE+</t>
  </si>
  <si>
    <t>VOICE++</t>
  </si>
  <si>
    <t>VOLLEYBALL</t>
  </si>
  <si>
    <t>VOLLEYBALL+</t>
  </si>
  <si>
    <t>cocked-7</t>
  </si>
  <si>
    <t>VOMIT</t>
  </si>
  <si>
    <t>(C)VOMIT</t>
  </si>
  <si>
    <t>VOTE</t>
  </si>
  <si>
    <t>VOTE+</t>
  </si>
  <si>
    <t>TEA</t>
  </si>
  <si>
    <t>TEA+</t>
  </si>
  <si>
    <t>WAIST</t>
  </si>
  <si>
    <t>WAIST+</t>
  </si>
  <si>
    <t>WAIST++</t>
  </si>
  <si>
    <t>(bent-B-L)WAIST+</t>
  </si>
  <si>
    <t>(bent-B-L)WAIST</t>
  </si>
  <si>
    <t>WAIT</t>
  </si>
  <si>
    <t>WAIT+</t>
  </si>
  <si>
    <t>WALLET</t>
  </si>
  <si>
    <t>WALLET+</t>
  </si>
  <si>
    <t>WANT</t>
  </si>
  <si>
    <t>WANT_2+</t>
  </si>
  <si>
    <t>WAR</t>
  </si>
  <si>
    <t>(W)WAR</t>
  </si>
  <si>
    <t>(W)WAR++</t>
  </si>
  <si>
    <t>WARM</t>
  </si>
  <si>
    <t>WASH-DISH</t>
  </si>
  <si>
    <t>WASH-DISH+</t>
  </si>
  <si>
    <t>WASH+DISH</t>
  </si>
  <si>
    <t>WASH+DISH-pl</t>
  </si>
  <si>
    <t>ns-WASHINGTON</t>
  </si>
  <si>
    <t>WASTE</t>
  </si>
  <si>
    <t>WASTE_2+</t>
  </si>
  <si>
    <t>WATER</t>
  </si>
  <si>
    <t>WATER+</t>
  </si>
  <si>
    <t>WATER++</t>
  </si>
  <si>
    <t>WATERMELON</t>
  </si>
  <si>
    <t>WATERMELON++</t>
  </si>
  <si>
    <t>WATER+MELON-PUMPKIN</t>
  </si>
  <si>
    <t>WATER++MELON-PUMPKIN</t>
  </si>
  <si>
    <t>WATER++MELON-PUMPKIN+</t>
  </si>
  <si>
    <t>WATER+MELON-PUMPKIN+</t>
  </si>
  <si>
    <t>ATTENTION-WAVE</t>
  </si>
  <si>
    <t>WAVE-GOODBYE</t>
  </si>
  <si>
    <t>WEAK</t>
  </si>
  <si>
    <t>WEAK+</t>
  </si>
  <si>
    <t>WEDDING</t>
  </si>
  <si>
    <t>WEDNESDAY</t>
  </si>
  <si>
    <t>WEDNESDAY+</t>
  </si>
  <si>
    <t>EVERY-WEDNESDAY</t>
  </si>
  <si>
    <t>ONE-WEEK</t>
  </si>
  <si>
    <t>EVERY-WEEK</t>
  </si>
  <si>
    <t>EVERY-WEEK++</t>
  </si>
  <si>
    <t>NEXT-WEEK</t>
  </si>
  <si>
    <t>NEXT-WEEK_2</t>
  </si>
  <si>
    <t>LAST-WEEK</t>
  </si>
  <si>
    <t>GOOD-THANK-YOU</t>
  </si>
  <si>
    <t>(1h)GOOD-THANK-YOU</t>
  </si>
  <si>
    <t>BAD</t>
  </si>
  <si>
    <t>WEST</t>
  </si>
  <si>
    <t>WHALE</t>
  </si>
  <si>
    <t>(1h)WHALE</t>
  </si>
  <si>
    <t>(1h)WHALE+</t>
  </si>
  <si>
    <t>WHALE_2</t>
  </si>
  <si>
    <t>WHALE_2+</t>
  </si>
  <si>
    <t>WHEEL</t>
  </si>
  <si>
    <t>WHEEL+</t>
  </si>
  <si>
    <t>WHEELCHAIR</t>
  </si>
  <si>
    <t>WHEELCHAIR+</t>
  </si>
  <si>
    <t>(1h)WHEELCHAIR++</t>
  </si>
  <si>
    <t>WHEELCHAIR_2</t>
  </si>
  <si>
    <t>WHEELCHAIR_2+</t>
  </si>
  <si>
    <t>WHEELCHAIR_2++</t>
  </si>
  <si>
    <t>ROLLING</t>
  </si>
  <si>
    <t>ROLLING+</t>
  </si>
  <si>
    <t>RECYCLE</t>
  </si>
  <si>
    <t>WHEELBARROW</t>
  </si>
  <si>
    <t>WHEN</t>
  </si>
  <si>
    <t>ABOUT</t>
  </si>
  <si>
    <t>(nd-flat-O)ABOUT</t>
  </si>
  <si>
    <t>WHERE</t>
  </si>
  <si>
    <t>WHICH</t>
  </si>
  <si>
    <t>WHICH+</t>
  </si>
  <si>
    <t>WHICH++</t>
  </si>
  <si>
    <t>WHIP</t>
  </si>
  <si>
    <t>WHIP_2</t>
  </si>
  <si>
    <t>WHISPER</t>
  </si>
  <si>
    <t>WHISPER_3</t>
  </si>
  <si>
    <t>WHISPER_2</t>
  </si>
  <si>
    <t>WHITE</t>
  </si>
  <si>
    <t>WHITE+</t>
  </si>
  <si>
    <t>WHO</t>
  </si>
  <si>
    <t>(1)WHO</t>
  </si>
  <si>
    <t>(1)WHO+</t>
  </si>
  <si>
    <t>(1)WHO++</t>
  </si>
  <si>
    <t>WHY</t>
  </si>
  <si>
    <t>(25)WHY+</t>
  </si>
  <si>
    <t>WIND</t>
  </si>
  <si>
    <t>WIND+</t>
  </si>
  <si>
    <t>STORM-WIND++</t>
  </si>
  <si>
    <t>WIND-IN-TREES+</t>
  </si>
  <si>
    <t>WIND-IN-TREES++</t>
  </si>
  <si>
    <t>WINDOW</t>
  </si>
  <si>
    <t>WINDOW+</t>
  </si>
  <si>
    <t>WINDOW++</t>
  </si>
  <si>
    <t>WINE</t>
  </si>
  <si>
    <t>WINE++</t>
  </si>
  <si>
    <t>WITCH</t>
  </si>
  <si>
    <t>WITCH+</t>
  </si>
  <si>
    <t>(1h)WITCH</t>
  </si>
  <si>
    <t>WITH</t>
  </si>
  <si>
    <t>AHEAD</t>
  </si>
  <si>
    <t>BEHIND</t>
  </si>
  <si>
    <t>AVOID-FALL-BEHIND</t>
  </si>
  <si>
    <t>FOLLOW</t>
  </si>
  <si>
    <t>FOLLOW_2</t>
  </si>
  <si>
    <t>PASS</t>
  </si>
  <si>
    <t>CHASE</t>
  </si>
  <si>
    <t>SUPERIOR</t>
  </si>
  <si>
    <t>(1h)SUPERIOR</t>
  </si>
  <si>
    <t>FAR_2</t>
  </si>
  <si>
    <t>DETERIORATE</t>
  </si>
  <si>
    <t>WOOD</t>
  </si>
  <si>
    <t>WOOD++</t>
  </si>
  <si>
    <t>WOOD+++</t>
  </si>
  <si>
    <t>SAW</t>
  </si>
  <si>
    <t>SAW+</t>
  </si>
  <si>
    <t>WORKSHOP</t>
  </si>
  <si>
    <t>WORLD</t>
  </si>
  <si>
    <t>INTERNATIONAL</t>
  </si>
  <si>
    <t>UNIVERSE</t>
  </si>
  <si>
    <t>WORM</t>
  </si>
  <si>
    <t>WORM+++</t>
  </si>
  <si>
    <t>WORM++++</t>
  </si>
  <si>
    <t>WORRY</t>
  </si>
  <si>
    <t>WORRY++</t>
  </si>
  <si>
    <t>TROUBLE</t>
  </si>
  <si>
    <t>TROUBLE+</t>
  </si>
  <si>
    <t>TROUBLE++</t>
  </si>
  <si>
    <t>WOW</t>
  </si>
  <si>
    <t>WOW+</t>
  </si>
  <si>
    <t>WRAP</t>
  </si>
  <si>
    <t>WRAP+</t>
  </si>
  <si>
    <t>FOLD</t>
  </si>
  <si>
    <t>FOLD+</t>
  </si>
  <si>
    <t>WRIST</t>
  </si>
  <si>
    <t>WRIST+</t>
  </si>
  <si>
    <t>WRIST++</t>
  </si>
  <si>
    <t>TIME</t>
  </si>
  <si>
    <t>TIME++</t>
  </si>
  <si>
    <t>WRITE</t>
  </si>
  <si>
    <t>WRITE+</t>
  </si>
  <si>
    <t>WRITE++</t>
  </si>
  <si>
    <t>PENCIL</t>
  </si>
  <si>
    <t>PENCIL+</t>
  </si>
  <si>
    <t>YAWN</t>
  </si>
  <si>
    <t>(Y)YAWN</t>
  </si>
  <si>
    <t>YAWN_2</t>
  </si>
  <si>
    <t>YEAR</t>
  </si>
  <si>
    <t>YELLOW</t>
  </si>
  <si>
    <t>YELLOW++</t>
  </si>
  <si>
    <t>YELLOW++++</t>
  </si>
  <si>
    <t>YES</t>
  </si>
  <si>
    <t>YES+</t>
  </si>
  <si>
    <t>YES++</t>
  </si>
  <si>
    <t>#YES</t>
  </si>
  <si>
    <t>Z</t>
  </si>
  <si>
    <t>ZIPPER</t>
  </si>
  <si>
    <t>ZIPPER+</t>
  </si>
  <si>
    <t>BOX-ROOM</t>
  </si>
  <si>
    <t>BOX-ROOM-pl</t>
  </si>
  <si>
    <t>BOX</t>
  </si>
  <si>
    <t>BOX_2</t>
  </si>
  <si>
    <t>OFFICE</t>
  </si>
  <si>
    <t>SWEAR</t>
  </si>
  <si>
    <t>CHEW</t>
  </si>
  <si>
    <t>CHEW++</t>
  </si>
  <si>
    <t>CHEW+</t>
  </si>
  <si>
    <t>WASH</t>
  </si>
  <si>
    <t>WASH+</t>
  </si>
  <si>
    <t>RUB</t>
  </si>
  <si>
    <t>RUB+</t>
  </si>
  <si>
    <t>DUSTING</t>
  </si>
  <si>
    <t>DUSTING+</t>
  </si>
  <si>
    <t>ERASE-BOARD</t>
  </si>
  <si>
    <t>ERASE-BOARD+</t>
  </si>
  <si>
    <t>ERASE</t>
  </si>
  <si>
    <t>WASH-FACE</t>
  </si>
  <si>
    <t>WASH-FACE+</t>
  </si>
  <si>
    <t>(B-L)WASH-FACE+</t>
  </si>
  <si>
    <t>WASH-HANDS</t>
  </si>
  <si>
    <t>WASH-HANDS+</t>
  </si>
  <si>
    <t>(B-L)WASH-HANDS+</t>
  </si>
  <si>
    <t>CLOSE-DOOR</t>
  </si>
  <si>
    <t>CLOSE-DOOR_2</t>
  </si>
  <si>
    <t>OBESE</t>
  </si>
  <si>
    <t>OBESE++</t>
  </si>
  <si>
    <t>OBESE+</t>
  </si>
  <si>
    <t>MASK</t>
  </si>
  <si>
    <t>AUTUMN</t>
  </si>
  <si>
    <t>FALL-INTO-PLACE</t>
  </si>
  <si>
    <t>TRIM</t>
  </si>
  <si>
    <t>PARAGRAPH</t>
  </si>
  <si>
    <t>PARAGRAPH+</t>
  </si>
  <si>
    <t>PARAGRAPH-pl</t>
  </si>
  <si>
    <t>TAN</t>
  </si>
  <si>
    <t>MENTALLY-RETARDED</t>
  </si>
  <si>
    <t>TEMPERATURE</t>
  </si>
  <si>
    <t>TEMPERATURE+</t>
  </si>
  <si>
    <t>(1)TEMPERATURE-PITCH+</t>
  </si>
  <si>
    <t>(1)TEMPERATURE-PITCH</t>
  </si>
  <si>
    <t>ACQUIRE</t>
  </si>
  <si>
    <t>BOWEL-MOVEMENT</t>
  </si>
  <si>
    <t>CAMERA-FLASH</t>
  </si>
  <si>
    <t>BRAVE-RECOVER</t>
  </si>
  <si>
    <t>STRONG</t>
  </si>
  <si>
    <t>WALL</t>
  </si>
  <si>
    <t>WASHING-MACHINE</t>
  </si>
  <si>
    <t>WASHING-MACHINE++</t>
  </si>
  <si>
    <t>WASHING-MACHINE+</t>
  </si>
  <si>
    <t>U</t>
  </si>
  <si>
    <t>ADVERTISE</t>
  </si>
  <si>
    <t>ADVERTISE++</t>
  </si>
  <si>
    <t>ADVERTISE+</t>
  </si>
  <si>
    <t>ADVERTISE_2</t>
  </si>
  <si>
    <t>EXAGGERATE</t>
  </si>
  <si>
    <t>EXAGGERATE+</t>
  </si>
  <si>
    <t>EXAGGERATE++</t>
  </si>
  <si>
    <t>PEEK-AROUND</t>
  </si>
  <si>
    <t>PET-SPOILED</t>
  </si>
  <si>
    <t>PET-SPOILED+</t>
  </si>
  <si>
    <t>SPILL</t>
  </si>
  <si>
    <t>SPRINKLER</t>
  </si>
  <si>
    <t>SPRINKLER+</t>
  </si>
  <si>
    <t>NOT-MY-PROBLEM</t>
  </si>
  <si>
    <t>WHAT</t>
  </si>
  <si>
    <t>WHAT++</t>
  </si>
  <si>
    <t>WHAT+</t>
  </si>
  <si>
    <t>HERE</t>
  </si>
  <si>
    <t>HERE+</t>
  </si>
  <si>
    <t>HERE++</t>
  </si>
  <si>
    <t>#WHAT</t>
  </si>
  <si>
    <t>SPEND</t>
  </si>
  <si>
    <t>SPEND-ALL</t>
  </si>
  <si>
    <t>AREA</t>
  </si>
  <si>
    <t>(1h)AREA</t>
  </si>
  <si>
    <t>SURROUND</t>
  </si>
  <si>
    <t>AROUND</t>
  </si>
  <si>
    <t>AROUND+</t>
  </si>
  <si>
    <t>LOCAL</t>
  </si>
  <si>
    <t>PLACE</t>
  </si>
  <si>
    <t>(A)PLACE</t>
  </si>
  <si>
    <t>ASSIST</t>
  </si>
  <si>
    <t>ASSIST+</t>
  </si>
  <si>
    <t>ASSIST++</t>
  </si>
  <si>
    <t>STRICT</t>
  </si>
  <si>
    <t>ns-nat-TRINIDAD-AND-TOBAGO</t>
  </si>
  <si>
    <t>VAIN</t>
  </si>
  <si>
    <t>OVERWHELMED</t>
  </si>
  <si>
    <t>ns-SCOTLAND</t>
  </si>
  <si>
    <t>SEPARATE</t>
  </si>
  <si>
    <t>SEPARATE_2</t>
  </si>
  <si>
    <t>BOWL</t>
  </si>
  <si>
    <t>BOWL-pl</t>
  </si>
  <si>
    <t>BOOK</t>
  </si>
  <si>
    <t>BOOK+</t>
  </si>
  <si>
    <t>BOOK-pl</t>
  </si>
  <si>
    <t>STORM-CLOUDS</t>
  </si>
  <si>
    <t>CLOUD</t>
  </si>
  <si>
    <t>CLOUD_2</t>
  </si>
  <si>
    <t>MESSED-UP</t>
  </si>
  <si>
    <t>COLLEGE</t>
  </si>
  <si>
    <t>COLLEGE-pl</t>
  </si>
  <si>
    <t>UNIVERSITY</t>
  </si>
  <si>
    <t>SENTENCE</t>
  </si>
  <si>
    <t>SENTENCE+</t>
  </si>
  <si>
    <t>SENTENCE-pl</t>
  </si>
  <si>
    <t>CAPTIONS</t>
  </si>
  <si>
    <t>CAPTIONS+</t>
  </si>
  <si>
    <t>CAPTIONS++</t>
  </si>
  <si>
    <t>SISTER</t>
  </si>
  <si>
    <t>GIRL+CORRECT</t>
  </si>
  <si>
    <t>GIRL+ALSO</t>
  </si>
  <si>
    <t>GIRL+ALSO+</t>
  </si>
  <si>
    <t>GIRL+CORRECT+</t>
  </si>
  <si>
    <t>TREE</t>
  </si>
  <si>
    <t>TREE-pl</t>
  </si>
  <si>
    <t>BERRY</t>
  </si>
  <si>
    <t>CHERRY</t>
  </si>
  <si>
    <t>STRAWBERRY</t>
  </si>
  <si>
    <t>BLOCK</t>
  </si>
  <si>
    <t>ROWING</t>
  </si>
  <si>
    <t>ROWING+</t>
  </si>
  <si>
    <t>KINDERGARTEN</t>
  </si>
  <si>
    <t>(2h)KINDERGARTEN</t>
  </si>
  <si>
    <t>RUDE</t>
  </si>
  <si>
    <t>COMMON-SENSE</t>
  </si>
  <si>
    <t>DROOL</t>
  </si>
  <si>
    <t>DROOL_2</t>
  </si>
  <si>
    <t>RUNNY-NOSE</t>
  </si>
  <si>
    <t>RUNNY-NOSE++</t>
  </si>
  <si>
    <t>FEEDBACK</t>
  </si>
  <si>
    <t>FEEDBACK_2</t>
  </si>
  <si>
    <t>FEEDBACK_2+</t>
  </si>
  <si>
    <t>GORILLA</t>
  </si>
  <si>
    <t>GORILLA+</t>
  </si>
  <si>
    <t>PAY-IN-FULL</t>
  </si>
  <si>
    <t>PRIZE-DRAWING</t>
  </si>
  <si>
    <t>TREAT</t>
  </si>
  <si>
    <t>TREAT_2</t>
  </si>
  <si>
    <t>EIGHT-MONTHS</t>
  </si>
  <si>
    <t>EIGHT-WEEKS</t>
  </si>
  <si>
    <t>FIVE-MONTHS</t>
  </si>
  <si>
    <t>FIVE-WEEKS</t>
  </si>
  <si>
    <t>FOUR-MONTHS</t>
  </si>
  <si>
    <t>FOUR-WEEKS</t>
  </si>
  <si>
    <t>NINE-MONTHS</t>
  </si>
  <si>
    <t>NINE-WEEKS</t>
  </si>
  <si>
    <t>SEVEN-MONTHS</t>
  </si>
  <si>
    <t>SEVEN-WEEKS</t>
  </si>
  <si>
    <t>SIX-MONTHS</t>
  </si>
  <si>
    <t>SIX-WEEKS</t>
  </si>
  <si>
    <t>THREE-HOUR</t>
  </si>
  <si>
    <t>THREE_2+HOUR</t>
  </si>
  <si>
    <t>THREE-MONTHS</t>
  </si>
  <si>
    <t>THREE-WEEKS</t>
  </si>
  <si>
    <t>TWO-WEEKS</t>
  </si>
  <si>
    <t>TWO-MONTHS</t>
  </si>
  <si>
    <t>ANGLE</t>
  </si>
  <si>
    <t>LIST-ORDER-THUMB</t>
  </si>
  <si>
    <t>LIST-ORDER-THUMB+</t>
  </si>
  <si>
    <t>LIST-ORDER-THUMB++</t>
  </si>
  <si>
    <t>LIST-ORDER-IX</t>
  </si>
  <si>
    <t>LIST-ORDER-IX+</t>
  </si>
  <si>
    <t>LIST-ORDER-MIDDLE</t>
  </si>
  <si>
    <t>LIST-ORDER-MIDDLE+</t>
  </si>
  <si>
    <t>LIST-ORDER-RING</t>
  </si>
  <si>
    <t>LIST-ORDER-RING+</t>
  </si>
  <si>
    <t>LIST-ORDER-PINKY</t>
  </si>
  <si>
    <t>LIST-ORDER-PINKY+</t>
  </si>
  <si>
    <t>BEAT_3</t>
  </si>
  <si>
    <t>KICK-OFF</t>
  </si>
  <si>
    <t>HARMONICA</t>
  </si>
  <si>
    <t>HARMONICA+</t>
  </si>
  <si>
    <t>BITE-NAILS</t>
  </si>
  <si>
    <t>HITCHHIKE</t>
  </si>
  <si>
    <t>HITCHHIKE+</t>
  </si>
  <si>
    <t>TAKE-A-HIKE</t>
  </si>
  <si>
    <t>HONEYMOON</t>
  </si>
  <si>
    <t>KIDNEY</t>
  </si>
  <si>
    <t>KIDNEY+</t>
  </si>
  <si>
    <t>LINGUISTICS</t>
  </si>
  <si>
    <t>MYSTERY</t>
  </si>
  <si>
    <t>ADVENTUROUS-SNEAKY</t>
  </si>
  <si>
    <t>ASTRAY</t>
  </si>
  <si>
    <t>STRAY-DEVIATE</t>
  </si>
  <si>
    <t>FORK-IN-ROAD</t>
  </si>
  <si>
    <t>FORK-IN-ROAD_2</t>
  </si>
  <si>
    <t>BEAVER</t>
  </si>
  <si>
    <t>fs-BEAVER</t>
  </si>
  <si>
    <t>ns-LINCOLN</t>
  </si>
  <si>
    <t>ns-MCDONALD</t>
  </si>
  <si>
    <t>ns-GOLDENHES</t>
  </si>
  <si>
    <t>ns-GOLDEN-ARCHES</t>
  </si>
  <si>
    <t>(2h)ns-GOLDEN-ARCHES</t>
  </si>
  <si>
    <t>ns-MICKEY-MOUSE</t>
  </si>
  <si>
    <t>PARACHUTE</t>
  </si>
  <si>
    <t>PARENTHESES</t>
  </si>
  <si>
    <t>PARENTHESES_2</t>
  </si>
  <si>
    <t>ns-PEPSI</t>
  </si>
  <si>
    <t>PILGRIM</t>
  </si>
  <si>
    <t>PISS-OFF</t>
  </si>
  <si>
    <t>PISS-OFF_2</t>
  </si>
  <si>
    <t>POPE</t>
  </si>
  <si>
    <t>PROMISCUOUS</t>
  </si>
  <si>
    <t>SNOB</t>
  </si>
  <si>
    <t>SNOB++</t>
  </si>
  <si>
    <t>(1)SNOB</t>
  </si>
  <si>
    <t>SOPHISTICATED</t>
  </si>
  <si>
    <t>SOPHISTICATED++</t>
  </si>
  <si>
    <t>BOARD</t>
  </si>
  <si>
    <t>ns-BURGER-KING</t>
  </si>
  <si>
    <t>CAESAREAN-SECTION</t>
  </si>
  <si>
    <t>CAESAREAN-SECTION_2</t>
  </si>
  <si>
    <t>CALENDAR</t>
  </si>
  <si>
    <t>CALENDAR_2</t>
  </si>
  <si>
    <t>CALM-DOWN</t>
  </si>
  <si>
    <t>COMPLICATED</t>
  </si>
  <si>
    <t>CUSTOMER</t>
  </si>
  <si>
    <t>FEATHER</t>
  </si>
  <si>
    <t>fs-FEATHER</t>
  </si>
  <si>
    <t>FRACTION</t>
  </si>
  <si>
    <t>(1h)FRACTION</t>
  </si>
  <si>
    <t>DISH</t>
  </si>
  <si>
    <t>DISH+</t>
  </si>
  <si>
    <t>DISH-pl</t>
  </si>
  <si>
    <t>DOOR</t>
  </si>
  <si>
    <t>DOOR+</t>
  </si>
  <si>
    <t>DOOR-pl</t>
  </si>
  <si>
    <t>EGG</t>
  </si>
  <si>
    <t>EGG+</t>
  </si>
  <si>
    <t>EGG-pl</t>
  </si>
  <si>
    <t>SHORT</t>
  </si>
  <si>
    <t>GIRAFFE</t>
  </si>
  <si>
    <t>GIRAFFE-pl</t>
  </si>
  <si>
    <t>HAMBURGER</t>
  </si>
  <si>
    <t>HAMBURGER-pl</t>
  </si>
  <si>
    <t>HILL</t>
  </si>
  <si>
    <t>(2h)HILL</t>
  </si>
  <si>
    <t>HILLS</t>
  </si>
  <si>
    <t>(2h)HILLS</t>
  </si>
  <si>
    <t>HOTEL</t>
  </si>
  <si>
    <t>HOTEL+</t>
  </si>
  <si>
    <t>HOTEL-pl</t>
  </si>
  <si>
    <t>HOUSE</t>
  </si>
  <si>
    <t>HOUSE-pl</t>
  </si>
  <si>
    <t>LANGUAGE</t>
  </si>
  <si>
    <t>LANGUAGE-pl</t>
  </si>
  <si>
    <t>LAW</t>
  </si>
  <si>
    <t>LAW-pl</t>
  </si>
  <si>
    <t>RULE</t>
  </si>
  <si>
    <t>RULE-pl</t>
  </si>
  <si>
    <t>REGISTER</t>
  </si>
  <si>
    <t>REGISTER+</t>
  </si>
  <si>
    <t>OPPORTUNITY</t>
  </si>
  <si>
    <t>OPPORTUNITY-pl</t>
  </si>
  <si>
    <t>POSTER</t>
  </si>
  <si>
    <t>POSTER++</t>
  </si>
  <si>
    <t>POSTER-pl</t>
  </si>
  <si>
    <t>GREEDY</t>
  </si>
  <si>
    <t>GYMNASTICS</t>
  </si>
  <si>
    <t>ONE-NIGHT-STAND</t>
  </si>
  <si>
    <t>ONE-NIGHT-STAND+</t>
  </si>
  <si>
    <t>KNOW-NOTHING</t>
  </si>
  <si>
    <t>KNOW-NOTHING++</t>
  </si>
  <si>
    <t>(O)KNOW-NOTHING</t>
  </si>
  <si>
    <t>LABEL</t>
  </si>
  <si>
    <t>LACROSSE</t>
  </si>
  <si>
    <t>LACROSSE_2++</t>
  </si>
  <si>
    <t>ABDOMEN</t>
  </si>
  <si>
    <t>ABDOMEN+</t>
  </si>
  <si>
    <t>STOMACH</t>
  </si>
  <si>
    <t>ABSTRACT</t>
  </si>
  <si>
    <t>ABSTRACT+</t>
  </si>
  <si>
    <t>VAGUE</t>
  </si>
  <si>
    <t>VAGUE+</t>
  </si>
  <si>
    <t>VAGUE++</t>
  </si>
  <si>
    <t>LOTION</t>
  </si>
  <si>
    <t>LOTION++</t>
  </si>
  <si>
    <t>ADDICTED</t>
  </si>
  <si>
    <t>TEENAGER</t>
  </si>
  <si>
    <t>ADULTERY</t>
  </si>
  <si>
    <t>ALLERGY</t>
  </si>
  <si>
    <t>NOSE+OPPOSITE</t>
  </si>
  <si>
    <t>AMBULANCE</t>
  </si>
  <si>
    <t>(crvd-sprd-B)AMBULANCE</t>
  </si>
  <si>
    <t>AUCTION</t>
  </si>
  <si>
    <t>TUNNEL</t>
  </si>
  <si>
    <t>WORD</t>
  </si>
  <si>
    <t>WORD+</t>
  </si>
  <si>
    <t>WORD++</t>
  </si>
  <si>
    <t>CAPITAL-LETTER</t>
  </si>
  <si>
    <t>(2h)CAPITAL-LETTER</t>
  </si>
  <si>
    <t>LOWERCASE-TINY</t>
  </si>
  <si>
    <t>PUPPET</t>
  </si>
  <si>
    <t>PUPPET+</t>
  </si>
  <si>
    <t>PUPPET++</t>
  </si>
  <si>
    <t>COCAINE</t>
  </si>
  <si>
    <t>COCAINE_2</t>
  </si>
  <si>
    <t>METHOD</t>
  </si>
  <si>
    <t>SEAT-BELT</t>
  </si>
  <si>
    <t>HELP</t>
  </si>
  <si>
    <t>1p-HELP:i</t>
  </si>
  <si>
    <t>HELP++</t>
  </si>
  <si>
    <t>HELP+</t>
  </si>
  <si>
    <t>(rd)HELP+</t>
  </si>
  <si>
    <t>SET-UP</t>
  </si>
  <si>
    <t>LOOK</t>
  </si>
  <si>
    <t>LOOK+</t>
  </si>
  <si>
    <t>LOOK++</t>
  </si>
  <si>
    <t>LOOK-1p</t>
  </si>
  <si>
    <t>(2h)LOOK-UP</t>
  </si>
  <si>
    <t>(2h)LOOK-DOWN</t>
  </si>
  <si>
    <t>LOOK-BACK</t>
  </si>
  <si>
    <t>(2h)LOOK-FORWARD+</t>
  </si>
  <si>
    <t>(2h)LOOK-FORWARD++</t>
  </si>
  <si>
    <t>(2h)LOOK-FORWARD</t>
  </si>
  <si>
    <t>LOOK-AROUND</t>
  </si>
  <si>
    <t>LOOK-AROUND-SHOP+++</t>
  </si>
  <si>
    <t>LOOK-AROUND-SHOP++</t>
  </si>
  <si>
    <t>LOOK_2+</t>
  </si>
  <si>
    <t>LOOK_2</t>
  </si>
  <si>
    <t>LOOK_3</t>
  </si>
  <si>
    <t>LOOK-recip</t>
  </si>
  <si>
    <t>LOOK-BY-EYE</t>
  </si>
  <si>
    <t>LOOK-BY-EYE+</t>
  </si>
  <si>
    <t>VACATION</t>
  </si>
  <si>
    <t>VACATION+</t>
  </si>
  <si>
    <t>VACATION++</t>
  </si>
  <si>
    <t>VACATIONwg</t>
  </si>
  <si>
    <t>RETIRE</t>
  </si>
  <si>
    <t>(R)RETIRE</t>
  </si>
  <si>
    <t>ns-HOLLYWOOD</t>
  </si>
  <si>
    <t>ns-HOLLYWOOD+</t>
  </si>
  <si>
    <t>SUBSCRIBE</t>
  </si>
  <si>
    <t>SUBSCRIBE++</t>
  </si>
  <si>
    <t>SUBSCRIBE+</t>
  </si>
  <si>
    <t>SKYSCRAPER</t>
  </si>
  <si>
    <t>GREAT</t>
  </si>
  <si>
    <t>GREAT+</t>
  </si>
  <si>
    <t>SUNDAY</t>
  </si>
  <si>
    <t>SUNDAY+</t>
  </si>
  <si>
    <t>SUNDAY_2</t>
  </si>
  <si>
    <t>EVERY-SUNDAY</t>
  </si>
  <si>
    <t>PUSH</t>
  </si>
  <si>
    <t>TO-UNTIL</t>
  </si>
  <si>
    <t>THEN</t>
  </si>
  <si>
    <t>PEAS</t>
  </si>
  <si>
    <t>RIVER</t>
  </si>
  <si>
    <t>FLAT-FLOOR</t>
  </si>
  <si>
    <t>FLAT-LEVEL</t>
  </si>
  <si>
    <t>SHELF-FLOOR</t>
  </si>
  <si>
    <t>CEILING</t>
  </si>
  <si>
    <t>NEXT-YEAR</t>
  </si>
  <si>
    <t>IN-THREE-YEARS</t>
  </si>
  <si>
    <t>IN-FOUR-YEARS</t>
  </si>
  <si>
    <t>IN-FIVE-YEARS</t>
  </si>
  <si>
    <t>LAST-YEAR</t>
  </si>
  <si>
    <t>(1h)LAST-YEAR</t>
  </si>
  <si>
    <t>LAST-YEAR_2</t>
  </si>
  <si>
    <t>ONE-MONTH</t>
  </si>
  <si>
    <t>EVERY-MONTH-RENT</t>
  </si>
  <si>
    <t>EVERY-MONTH-RENT+</t>
  </si>
  <si>
    <t>EVERY-MONTH-RENT++</t>
  </si>
  <si>
    <t>INVITE-HIRE</t>
  </si>
  <si>
    <t>INTRODUCE</t>
  </si>
  <si>
    <t>WELCOME</t>
  </si>
  <si>
    <t>EVERY-YEAR</t>
  </si>
  <si>
    <t>EVERY-YEAR++</t>
  </si>
  <si>
    <t>EVERY-TWO-YEARS</t>
  </si>
  <si>
    <t>SHOE-HEEL</t>
  </si>
  <si>
    <t>PUMPS</t>
  </si>
  <si>
    <t>HIGH-HEELS</t>
  </si>
  <si>
    <t>HIGH-HEELS+</t>
  </si>
  <si>
    <t>LETTER-MAIL</t>
  </si>
  <si>
    <t>LETTER-MAIL_2</t>
  </si>
  <si>
    <t>STAMP</t>
  </si>
  <si>
    <t>SPEECH-ORAL</t>
  </si>
  <si>
    <t>SPEECH-ORAL+</t>
  </si>
  <si>
    <t>(O)SPEECH-ORAL+</t>
  </si>
  <si>
    <t>FED-UP-FULL</t>
  </si>
  <si>
    <t>WRENCH-PLUMBING</t>
  </si>
  <si>
    <t>WRENCH-PLUMBING+</t>
  </si>
  <si>
    <t>WRENCH-PLUMBING++</t>
  </si>
  <si>
    <t>FLAG</t>
  </si>
  <si>
    <t>FLAG+</t>
  </si>
  <si>
    <t>FLAG_2</t>
  </si>
  <si>
    <t>FLAG_2+</t>
  </si>
  <si>
    <t>FLAG_2++</t>
  </si>
  <si>
    <t>SHAPE-STATUE</t>
  </si>
  <si>
    <t>SHAPE-STATUE-pl</t>
  </si>
  <si>
    <t>FEMALE-FIGURE</t>
  </si>
  <si>
    <t>TOOTH-GLASS</t>
  </si>
  <si>
    <t>TOOTH-GLASS++</t>
  </si>
  <si>
    <t>TOOTH-GLASS+</t>
  </si>
  <si>
    <t>TEETH</t>
  </si>
  <si>
    <t>TEETH+</t>
  </si>
  <si>
    <t>TEETH_2+</t>
  </si>
  <si>
    <t>CHERISH</t>
  </si>
  <si>
    <t>UNDERWEAR-PRECIOUS</t>
  </si>
  <si>
    <t>MERGE-MAINSTREAM</t>
  </si>
  <si>
    <t>WEAVE</t>
  </si>
  <si>
    <t>COOKING</t>
  </si>
  <si>
    <t>COOK-KITCHEN</t>
  </si>
  <si>
    <t>COOK-KITCHEN++</t>
  </si>
  <si>
    <t>COOK-KITCHEN+</t>
  </si>
  <si>
    <t>PANCAKE</t>
  </si>
  <si>
    <t>KITCHEN</t>
  </si>
  <si>
    <t>(K)KITCHEN</t>
  </si>
  <si>
    <t>(K)KITCHEN++</t>
  </si>
  <si>
    <t>INCLUDE-INVOLVE</t>
  </si>
  <si>
    <t>PARTICIPATE</t>
  </si>
  <si>
    <t>(P)PARTICIPATE</t>
  </si>
  <si>
    <t>JOIN</t>
  </si>
  <si>
    <t>ISLAND-INTEREST</t>
  </si>
  <si>
    <t>ISLAND-INTEREST+</t>
  </si>
  <si>
    <t>(nd-B)ISLAND-INTEREST+</t>
  </si>
  <si>
    <t>ISLAND-INTEREST_2</t>
  </si>
  <si>
    <t>INFLATE</t>
  </si>
  <si>
    <t>DEFLATE</t>
  </si>
  <si>
    <t>(1h)DEFLATE</t>
  </si>
  <si>
    <t>DEFLATE_2</t>
  </si>
  <si>
    <t>FLAT-TIRE</t>
  </si>
  <si>
    <t>FLAT-TIRE_2</t>
  </si>
  <si>
    <t>FLAT-TIRE_3</t>
  </si>
  <si>
    <t>REDUCE</t>
  </si>
  <si>
    <t>FOOL-DOLL</t>
  </si>
  <si>
    <t>(X)FOOL-DOLL</t>
  </si>
  <si>
    <t>(X)FOOL-DOLL+</t>
  </si>
  <si>
    <t>(X)FOOL-DOLL++</t>
  </si>
  <si>
    <t>FOOL</t>
  </si>
  <si>
    <t>(cocked-8)FOOL</t>
  </si>
  <si>
    <t>HANUKKAH</t>
  </si>
  <si>
    <t>HANUKKAH_2</t>
  </si>
  <si>
    <t>EASY</t>
  </si>
  <si>
    <t>EASY+</t>
  </si>
  <si>
    <t>EASY++</t>
  </si>
  <si>
    <t>ALMOST</t>
  </si>
  <si>
    <t>ALMOST+</t>
  </si>
  <si>
    <t>GOLD-ns-CALIFORNIA</t>
  </si>
  <si>
    <t>GOLD-ns-CALIFORNIA+</t>
  </si>
  <si>
    <t>(G)GOLD</t>
  </si>
  <si>
    <t>ns-CALIFORNIA_2</t>
  </si>
  <si>
    <t>(25)ns-CALIFORNIA++</t>
  </si>
  <si>
    <t>GOLD-ns-CALIFORNIA+YELLOW</t>
  </si>
  <si>
    <t>GRADUAL-DECLINE-A-LOT</t>
  </si>
  <si>
    <t>GRADUAL-DECLINE++</t>
  </si>
  <si>
    <t>GRADUAL-DECLINE-A-LOT++</t>
  </si>
  <si>
    <t>GRADUAL-DECLINE_3</t>
  </si>
  <si>
    <t>FOCUS-NARROW</t>
  </si>
  <si>
    <t>ROAD</t>
  </si>
  <si>
    <t>ROAD-pl</t>
  </si>
  <si>
    <t>NARROW-STREET</t>
  </si>
  <si>
    <t>WIDE</t>
  </si>
  <si>
    <t>GENERAL</t>
  </si>
  <si>
    <t>FORK-IN-ROAD_3</t>
  </si>
  <si>
    <t>LIP-MOUTH</t>
  </si>
  <si>
    <t>LIP-MOUTH+</t>
  </si>
  <si>
    <t>LIPSTICK</t>
  </si>
  <si>
    <t>LIPSTICK+</t>
  </si>
  <si>
    <t>SHORT-HEIGHT</t>
  </si>
  <si>
    <t>SHORT-HEIGHT+</t>
  </si>
  <si>
    <t>LOW</t>
  </si>
  <si>
    <t>(1h)(L)LOW</t>
  </si>
  <si>
    <t>PING-PONG-TENNIS</t>
  </si>
  <si>
    <t>PING-PONG_2</t>
  </si>
  <si>
    <t>VOLUNTEER-SHIRT</t>
  </si>
  <si>
    <t>VOLUNTEER-SHIRT+</t>
  </si>
  <si>
    <t>VOLUNTEER-SHIRT+++</t>
  </si>
  <si>
    <t>VOLUNTEER-SHIRT++</t>
  </si>
  <si>
    <t>(2h)SHIRT</t>
  </si>
  <si>
    <t>MATCH</t>
  </si>
  <si>
    <t>ROOMMATE</t>
  </si>
  <si>
    <t>ROOMMATE+</t>
  </si>
  <si>
    <t>OCTOPUS</t>
  </si>
  <si>
    <t>OCTOPUS+</t>
  </si>
  <si>
    <t>OCTOPUS++</t>
  </si>
  <si>
    <t>JELLYFISH</t>
  </si>
  <si>
    <t>CHARACTER</t>
  </si>
  <si>
    <t>CHARACTERISTIC</t>
  </si>
  <si>
    <t>CONFIDENT</t>
  </si>
  <si>
    <t>CONFIDENTIAL</t>
  </si>
  <si>
    <t>CRAWL</t>
  </si>
  <si>
    <t>CRAWL+</t>
  </si>
  <si>
    <t>(V)CRAWL</t>
  </si>
  <si>
    <t>CLIMB</t>
  </si>
  <si>
    <t>CLIMB+</t>
  </si>
  <si>
    <t>TRUMPET</t>
  </si>
  <si>
    <t>CUP</t>
  </si>
  <si>
    <t>JUGGLE</t>
  </si>
  <si>
    <t>JUGGLE+</t>
  </si>
  <si>
    <t>STORY-TELL</t>
  </si>
  <si>
    <t>STORY-TELL+</t>
  </si>
  <si>
    <t>SPREAD</t>
  </si>
  <si>
    <t>BELT</t>
  </si>
  <si>
    <t>EIGHT-HOURS</t>
  </si>
  <si>
    <t>EIGHT+HOUR</t>
  </si>
  <si>
    <t>SIX-DOLLARS</t>
  </si>
  <si>
    <t>BLOUSE</t>
  </si>
  <si>
    <t>fs-BLOUSE</t>
  </si>
  <si>
    <t>SHORE</t>
  </si>
  <si>
    <t>SHORE+</t>
  </si>
  <si>
    <t>BATHROBE</t>
  </si>
  <si>
    <t>BATH+DRESS-CLOTHES</t>
  </si>
  <si>
    <t>BATH+BATHROBE</t>
  </si>
  <si>
    <t>BATH+COAT</t>
  </si>
  <si>
    <t>BUCKET</t>
  </si>
  <si>
    <t>BROTHER</t>
  </si>
  <si>
    <t>BROTHER-pl+</t>
  </si>
  <si>
    <t>BOY_2+CORRECT</t>
  </si>
  <si>
    <t>BOY+CORRECT</t>
  </si>
  <si>
    <t>BOY+CORRECT+</t>
  </si>
  <si>
    <t>BOY+ALSO</t>
  </si>
  <si>
    <t>BOY+ALSO+</t>
  </si>
  <si>
    <t>BOY_2+ALSO</t>
  </si>
  <si>
    <t>ENGINE</t>
  </si>
  <si>
    <t>ENGINE+</t>
  </si>
  <si>
    <t>PASS-OUT</t>
  </si>
  <si>
    <t>CLOWN</t>
  </si>
  <si>
    <t>CLOSE-WINDOW</t>
  </si>
  <si>
    <t>COLLAR</t>
  </si>
  <si>
    <t>PRIEST</t>
  </si>
  <si>
    <t>PRIEST+</t>
  </si>
  <si>
    <t>NECKLACE</t>
  </si>
  <si>
    <t>(F)NECKLACE</t>
  </si>
  <si>
    <t>BEADED-NECKLACE</t>
  </si>
  <si>
    <t>SCREEN-FILTER</t>
  </si>
  <si>
    <t>SCREEN-FILTER+</t>
  </si>
  <si>
    <t>PRISON</t>
  </si>
  <si>
    <t>PRISON+</t>
  </si>
  <si>
    <t>FIVE-HOURS</t>
  </si>
  <si>
    <t>FIVE_2+HOUR</t>
  </si>
  <si>
    <t>FISHING</t>
  </si>
  <si>
    <t>FISHING+</t>
  </si>
  <si>
    <t>COPY-DOWN</t>
  </si>
  <si>
    <t>DEVOUR</t>
  </si>
  <si>
    <t>EAT-UP</t>
  </si>
  <si>
    <t>(1h)EAT-UP</t>
  </si>
  <si>
    <t>COUCH</t>
  </si>
  <si>
    <t>DCL:crvd-V"couch shaped object"</t>
  </si>
  <si>
    <t>DCL:crvd-U"couch shaped object"</t>
  </si>
  <si>
    <t>DCL:crvd-B"couch shaped object"</t>
  </si>
  <si>
    <t>NEAT</t>
  </si>
  <si>
    <t>NERVY</t>
  </si>
  <si>
    <t>WILD</t>
  </si>
  <si>
    <t>WILD_2</t>
  </si>
  <si>
    <t>CRAZY</t>
  </si>
  <si>
    <t>CRAZY+</t>
  </si>
  <si>
    <t>(5)CRAZY+</t>
  </si>
  <si>
    <t>RADIO</t>
  </si>
  <si>
    <t>DENTIST</t>
  </si>
  <si>
    <t>DENTIST+</t>
  </si>
  <si>
    <t>ANGRY</t>
  </si>
  <si>
    <t>(2h)alt.ANGRY</t>
  </si>
  <si>
    <t>(1h)ANGRY</t>
  </si>
  <si>
    <t>(2h)alt.ANGRY+</t>
  </si>
  <si>
    <t>FOUR-HOURS</t>
  </si>
  <si>
    <t>FOUR_2+HOUR</t>
  </si>
  <si>
    <t>GAS-GAS-UP</t>
  </si>
  <si>
    <t>GAS-GAS-UP+</t>
  </si>
  <si>
    <t>GET-TICKET</t>
  </si>
  <si>
    <t>GET-TICKET++</t>
  </si>
  <si>
    <t>GET-TICKET+</t>
  </si>
  <si>
    <t>LINE-UP</t>
  </si>
  <si>
    <t>TRAFFIC</t>
  </si>
  <si>
    <t>TRAFFIC+</t>
  </si>
  <si>
    <t>TRAFFIC+++</t>
  </si>
  <si>
    <t>GO-TO-IT</t>
  </si>
  <si>
    <t>ns-MEXICO</t>
  </si>
  <si>
    <t>(M)ns-MEXICO</t>
  </si>
  <si>
    <t>ns-nat-MEXICO</t>
  </si>
  <si>
    <t>KETCHUP</t>
  </si>
  <si>
    <t>KETCHUP++</t>
  </si>
  <si>
    <t>KETCHUP+</t>
  </si>
  <si>
    <t>(S)KETCHUP</t>
  </si>
  <si>
    <t>(S)KETCHUP+</t>
  </si>
  <si>
    <t>(S)KETCHUP++</t>
  </si>
  <si>
    <t>CAT+fs-UP</t>
  </si>
  <si>
    <t>CAT+UP</t>
  </si>
  <si>
    <t>LATER+++</t>
  </si>
  <si>
    <t>GUILTY</t>
  </si>
  <si>
    <t>GUILTY+</t>
  </si>
  <si>
    <t>GUILTY++</t>
  </si>
  <si>
    <t>IRON-CLOTHES</t>
  </si>
  <si>
    <t>IRON-CLOTHES++</t>
  </si>
  <si>
    <t>IRON-CLOTHES+++</t>
  </si>
  <si>
    <t>IRON-CLOTHES_2+++</t>
  </si>
  <si>
    <t>IRON-METAL</t>
  </si>
  <si>
    <t>(I)IRON-METAL</t>
  </si>
  <si>
    <t>JACK-O-LANTERN</t>
  </si>
  <si>
    <t>JACK-O-LANTERN++</t>
  </si>
  <si>
    <t>JACK-O-LANTERN_2++</t>
  </si>
  <si>
    <t>BETWEEN-SHARE</t>
  </si>
  <si>
    <t>AVERAGE</t>
  </si>
  <si>
    <t>AVERAGE-RANGE</t>
  </si>
  <si>
    <t>HEART-BEAT</t>
  </si>
  <si>
    <t>HEART-BEAT++</t>
  </si>
  <si>
    <t>HEART+HEART-BEAT</t>
  </si>
  <si>
    <t>HEART+HEART-BEAT++</t>
  </si>
  <si>
    <t>HEART+HEART-BEAT+++</t>
  </si>
  <si>
    <t>HEART+BEAT_4+</t>
  </si>
  <si>
    <t>HEART+BEAT_4+++</t>
  </si>
  <si>
    <t>MODEL</t>
  </si>
  <si>
    <t>(M)MODEL</t>
  </si>
  <si>
    <t>(M)MODEL+</t>
  </si>
  <si>
    <t>NUN</t>
  </si>
  <si>
    <t>MUSLIM</t>
  </si>
  <si>
    <t>PARK</t>
  </si>
  <si>
    <t>PARK++</t>
  </si>
  <si>
    <t>PARLIAMENT</t>
  </si>
  <si>
    <t>PITCH-A-BALL</t>
  </si>
  <si>
    <t>PITCH-A-BALL+</t>
  </si>
  <si>
    <t>PITCH-A-BALL++</t>
  </si>
  <si>
    <t>ns-PITTSBURGH</t>
  </si>
  <si>
    <t>ns-MAINE</t>
  </si>
  <si>
    <t>ns-PINOCCHIO</t>
  </si>
  <si>
    <t>MARIONETTE</t>
  </si>
  <si>
    <t>MARIONETTE+</t>
  </si>
  <si>
    <t>BIKE-PUMP</t>
  </si>
  <si>
    <t>BIKE-PUMP+</t>
  </si>
  <si>
    <t>SIX-HOURS</t>
  </si>
  <si>
    <t>SIX+HOUR</t>
  </si>
  <si>
    <t>ns-QUEBEC</t>
  </si>
  <si>
    <t>SMOKE</t>
  </si>
  <si>
    <t>SMOKE+</t>
  </si>
  <si>
    <t>SMOKE_2+</t>
  </si>
  <si>
    <t>SCREAM</t>
  </si>
  <si>
    <t>(1h)SCREAM</t>
  </si>
  <si>
    <t>SCOLD</t>
  </si>
  <si>
    <t>SCOLD+</t>
  </si>
  <si>
    <t>SCOLD++</t>
  </si>
  <si>
    <t>SHIP</t>
  </si>
  <si>
    <t>TEASE</t>
  </si>
  <si>
    <t>TEASE++</t>
  </si>
  <si>
    <t>RUIN</t>
  </si>
  <si>
    <t>TORTURE</t>
  </si>
  <si>
    <t>TORTURE+</t>
  </si>
  <si>
    <t>TORTURE_2+</t>
  </si>
  <si>
    <t>SEVEN-HOURS</t>
  </si>
  <si>
    <t>SEVEN+HOUR</t>
  </si>
  <si>
    <t>SHAKE-BY-HANDS</t>
  </si>
  <si>
    <t>SHAKE-BY-HANDS+</t>
  </si>
  <si>
    <t>STRANGLE</t>
  </si>
  <si>
    <t>STRAW</t>
  </si>
  <si>
    <t>STRAW+</t>
  </si>
  <si>
    <t>STRAW_2+</t>
  </si>
  <si>
    <t>LOLLIPOP</t>
  </si>
  <si>
    <t>LOLLIPOP+</t>
  </si>
  <si>
    <t>LOLLIPOP++</t>
  </si>
  <si>
    <t>SUCCEED</t>
  </si>
  <si>
    <t>FINALLY</t>
  </si>
  <si>
    <t>FINALLY_2</t>
  </si>
  <si>
    <t>FAMOUS</t>
  </si>
  <si>
    <t>ANNOUNCE</t>
  </si>
  <si>
    <t>ANNOUNCE_2</t>
  </si>
  <si>
    <t>TELL</t>
  </si>
  <si>
    <t>TELL:i</t>
  </si>
  <si>
    <t>TELL-1p</t>
  </si>
  <si>
    <t>THANKSGIVING</t>
  </si>
  <si>
    <t>(G)THANKSGIVING</t>
  </si>
  <si>
    <t>THIEF</t>
  </si>
  <si>
    <t>THING</t>
  </si>
  <si>
    <t>(2h)THING</t>
  </si>
  <si>
    <t>THINK</t>
  </si>
  <si>
    <t>THINK-ABOUT</t>
  </si>
  <si>
    <t>THINK-ABOUT+</t>
  </si>
  <si>
    <t>WONDER</t>
  </si>
  <si>
    <t>WONDER+</t>
  </si>
  <si>
    <t>THINK-OVER</t>
  </si>
  <si>
    <t>THINK-OVER+</t>
  </si>
  <si>
    <t>PONDER</t>
  </si>
  <si>
    <t>PONDER+</t>
  </si>
  <si>
    <t>PONDER_2+</t>
  </si>
  <si>
    <t>(1h)PONDER+</t>
  </si>
  <si>
    <t>MIND</t>
  </si>
  <si>
    <t>MIND+</t>
  </si>
  <si>
    <t>MIND++</t>
  </si>
  <si>
    <t>WISDOM</t>
  </si>
  <si>
    <t>WISDOM+</t>
  </si>
  <si>
    <t>WISDOM++</t>
  </si>
  <si>
    <t>FLIP-FLOP</t>
  </si>
  <si>
    <t>FLIP-FLOP+</t>
  </si>
  <si>
    <t>CAMP</t>
  </si>
  <si>
    <t>CAMP+</t>
  </si>
  <si>
    <t>CAMP++</t>
  </si>
  <si>
    <t>SWING</t>
  </si>
  <si>
    <t>SWING+</t>
  </si>
  <si>
    <t>TALK</t>
  </si>
  <si>
    <t>TALK+</t>
  </si>
  <si>
    <t>TALK++</t>
  </si>
  <si>
    <t>TALKwg</t>
  </si>
  <si>
    <t>TWINS</t>
  </si>
  <si>
    <t>(T)TWINS</t>
  </si>
  <si>
    <t>(U)TWINS</t>
  </si>
  <si>
    <t>TWO-HOURS</t>
  </si>
  <si>
    <t>TWO_2+HOUR</t>
  </si>
  <si>
    <t>CABBAGE</t>
  </si>
  <si>
    <t>CABBAGE+</t>
  </si>
  <si>
    <t>CABBAGE++</t>
  </si>
  <si>
    <t>(A)CABBAGE</t>
  </si>
  <si>
    <t>TRIP</t>
  </si>
  <si>
    <t>TRIP+</t>
  </si>
  <si>
    <t>TRANSFER</t>
  </si>
  <si>
    <t>TRANSPORTATION</t>
  </si>
  <si>
    <t>TRANSPORTATION+</t>
  </si>
  <si>
    <t>REALLY</t>
  </si>
  <si>
    <t>TYPEWRITER</t>
  </si>
  <si>
    <t>TYPEWRITER_2</t>
  </si>
  <si>
    <t>TYPE</t>
  </si>
  <si>
    <t>PRESS-BUTTONS</t>
  </si>
  <si>
    <t>FLIRT</t>
  </si>
  <si>
    <t>TRAVEL</t>
  </si>
  <si>
    <t>(1)TRAVEL</t>
  </si>
  <si>
    <t>TORNADO</t>
  </si>
  <si>
    <t>TORNADO++</t>
  </si>
  <si>
    <t>(1)TORNADO+</t>
  </si>
  <si>
    <t>WIFE</t>
  </si>
  <si>
    <t>GIRL+MARRY</t>
  </si>
  <si>
    <t>WHISKERS</t>
  </si>
  <si>
    <t>THESE</t>
  </si>
  <si>
    <t>THIS</t>
  </si>
  <si>
    <t>THIS-PLACE</t>
  </si>
  <si>
    <t>(1h)THIS-PLACE</t>
  </si>
  <si>
    <t>LUTHERAN</t>
  </si>
  <si>
    <t>LUTHERAN+</t>
  </si>
  <si>
    <t>PEAK-MOUNTAIN</t>
  </si>
  <si>
    <t>ns-SINGAPORE</t>
  </si>
  <si>
    <t>ASK</t>
  </si>
  <si>
    <t>ASK_2</t>
  </si>
  <si>
    <t>QUESTION</t>
  </si>
  <si>
    <t>ns-NETHERLANDS</t>
  </si>
  <si>
    <t>ns-NETHERLANDS_2</t>
  </si>
  <si>
    <t>ns-nat-NETHERLANDS</t>
  </si>
  <si>
    <t>HUSBAND</t>
  </si>
  <si>
    <t>BOY_3+MARRY</t>
  </si>
  <si>
    <t>PATRONIZE-FREQUENT</t>
  </si>
  <si>
    <t>PATRONIZE-FREQUENT++</t>
  </si>
  <si>
    <t>LATE</t>
  </si>
  <si>
    <t>NOT-YET</t>
  </si>
  <si>
    <t>NOT-YET++</t>
  </si>
  <si>
    <t>NOT-YET+</t>
  </si>
  <si>
    <t>NOT-YET+++</t>
  </si>
  <si>
    <t>HIDE</t>
  </si>
  <si>
    <t>TURTLE</t>
  </si>
  <si>
    <t>TURTLE++</t>
  </si>
  <si>
    <t>TURTLE+</t>
  </si>
  <si>
    <t>SIGN</t>
  </si>
  <si>
    <t>SIGN+</t>
  </si>
  <si>
    <t>INCOMPETENT</t>
  </si>
  <si>
    <t>INCOMPETENT_2</t>
  </si>
  <si>
    <t>BACK</t>
  </si>
  <si>
    <t>FIFTEEN</t>
  </si>
  <si>
    <t>FOURTEEN</t>
  </si>
  <si>
    <t>FOURTEEN+</t>
  </si>
  <si>
    <t>FOURTEEN+++</t>
  </si>
  <si>
    <t>THIRTEEN</t>
  </si>
  <si>
    <t>TWELVE</t>
  </si>
  <si>
    <t>TWELVE+</t>
  </si>
  <si>
    <t>TWELVE++</t>
  </si>
  <si>
    <t>ELEVEN</t>
  </si>
  <si>
    <t>ELEVEN+</t>
  </si>
  <si>
    <t>ELEVEN+++</t>
  </si>
  <si>
    <t>ONE+HUNDRED</t>
  </si>
  <si>
    <t>TEN</t>
  </si>
  <si>
    <t>TEN+</t>
  </si>
  <si>
    <t>FOUR</t>
  </si>
  <si>
    <t>THREE</t>
  </si>
  <si>
    <t>THREE_2</t>
  </si>
  <si>
    <t>NINETEEN</t>
  </si>
  <si>
    <t>NINETEEN+</t>
  </si>
  <si>
    <t>NINETEEN++</t>
  </si>
  <si>
    <t>NINETEEN+++++++</t>
  </si>
  <si>
    <t>NINETEEN+++</t>
  </si>
  <si>
    <t>NINETEEN_2</t>
  </si>
  <si>
    <t>NINE</t>
  </si>
  <si>
    <t>EIGHT</t>
  </si>
  <si>
    <t>SEVEN</t>
  </si>
  <si>
    <t>SIX</t>
  </si>
  <si>
    <t>FIVE</t>
  </si>
  <si>
    <t>FIVE_2</t>
  </si>
  <si>
    <t>TEN+EIGHT</t>
  </si>
  <si>
    <t>TEN+EIGHT+</t>
  </si>
  <si>
    <t>EIGHTEEN</t>
  </si>
  <si>
    <t>EIGHTEEN++</t>
  </si>
  <si>
    <t>EIGHTEEN+++</t>
  </si>
  <si>
    <t>EIGHTEEN+</t>
  </si>
  <si>
    <t>SEVENTEEN</t>
  </si>
  <si>
    <t>SEVENTEEN+</t>
  </si>
  <si>
    <t>SEVENTEEN++</t>
  </si>
  <si>
    <t>SEVENTEEN_2</t>
  </si>
  <si>
    <t>SIXTEEN</t>
  </si>
  <si>
    <t>SIXTEEN+</t>
  </si>
  <si>
    <t>SIXTEEN++++</t>
  </si>
  <si>
    <t>SIXTEEN++</t>
  </si>
  <si>
    <t>SIXTEEN_2+</t>
  </si>
  <si>
    <t>SIXTEEN_3</t>
  </si>
  <si>
    <t>TWO</t>
  </si>
  <si>
    <t>ADVISE-INFLUENCE+AGENT</t>
  </si>
  <si>
    <t>ADVISE-INFLUENCE++AGENT</t>
  </si>
  <si>
    <t>ns-AFRICA+ns-AMERICA+AGENT</t>
  </si>
  <si>
    <t>(A)ns-AFRICA+ns-AMERICA+AGENT</t>
  </si>
  <si>
    <t>ART-DESIGN+AGENT</t>
  </si>
  <si>
    <t>#ASL</t>
  </si>
  <si>
    <t>ns-AMERICA+SIGN+LANGUAGE</t>
  </si>
  <si>
    <t>AUDIOLOGY+AGENT</t>
  </si>
  <si>
    <t>#BACK</t>
  </si>
  <si>
    <t>#BACK_2</t>
  </si>
  <si>
    <t>(2h)#BACK_2</t>
  </si>
  <si>
    <t>HAIRCUT+AGENT</t>
  </si>
  <si>
    <t>(2h)alt.HAIRCUT+AGENT</t>
  </si>
  <si>
    <t>(1h)HAIRCUT++AGENT</t>
  </si>
  <si>
    <t>BED+BOX-ROOM</t>
  </si>
  <si>
    <t>BEG+AGENT</t>
  </si>
  <si>
    <t>BEG_2+AGENT</t>
  </si>
  <si>
    <t>THINK+MARRY</t>
  </si>
  <si>
    <t>REALLY+POSS</t>
  </si>
  <si>
    <t>REALLY+POSS:i</t>
  </si>
  <si>
    <t>REALLY+POSS:i+</t>
  </si>
  <si>
    <t>ns-JESUS+BOOK</t>
  </si>
  <si>
    <t>RED+BLOOD</t>
  </si>
  <si>
    <t>MIND+BLOW-UP</t>
  </si>
  <si>
    <t>SHOE+HALF-LIMB</t>
  </si>
  <si>
    <t>SHOE++HALF-LIMB+</t>
  </si>
  <si>
    <t>DRIBBLE+SHOOT-BASKET</t>
  </si>
  <si>
    <t>(2h)DRIBBLE++SHOOT-BASKET</t>
  </si>
  <si>
    <t>BOY+FRIEND</t>
  </si>
  <si>
    <t>EAT+MORNING</t>
  </si>
  <si>
    <t>DCL:crvd-5"tall wide cylindrical object"+HANDLE</t>
  </si>
  <si>
    <t>#BUS</t>
  </si>
  <si>
    <t>#CO</t>
  </si>
  <si>
    <t>#CP</t>
  </si>
  <si>
    <t>RENOVATION+AGENT</t>
  </si>
  <si>
    <t>RENOVATION++AGENT</t>
  </si>
  <si>
    <t>COOK-KITCHEN+AGENT</t>
  </si>
  <si>
    <t>TIME+DCL"circular object"</t>
  </si>
  <si>
    <t>TIME++DCL"circular object"</t>
  </si>
  <si>
    <t>USE+AGENT</t>
  </si>
  <si>
    <t>USE++AGENT</t>
  </si>
  <si>
    <t>USE_2++AGENT</t>
  </si>
  <si>
    <t>BUY+AGENT</t>
  </si>
  <si>
    <t>BUY++AGENT</t>
  </si>
  <si>
    <t>SIT+DCL:crvd-B"couch shaped object"</t>
  </si>
  <si>
    <t>SIT++DCL:crvd-B"couch shaped object"</t>
  </si>
  <si>
    <t>SIT+DCL:crvd-U"couch shaped object"</t>
  </si>
  <si>
    <t>COURT+HOUSE</t>
  </si>
  <si>
    <t>COURT+BOX-ROOM</t>
  </si>
  <si>
    <t>WATER+FLOW</t>
  </si>
  <si>
    <t>WATER+FLOW_2</t>
  </si>
  <si>
    <t>HEAR+SHUT</t>
  </si>
  <si>
    <t>THINK+DECIDE</t>
  </si>
  <si>
    <t>DRY+AREA</t>
  </si>
  <si>
    <t>DRY+AREA_2</t>
  </si>
  <si>
    <t>DRY+(1h)AREA</t>
  </si>
  <si>
    <t>WASHING-MACHINE+SOAP</t>
  </si>
  <si>
    <t>WASHING-MACHINE+SOAP+</t>
  </si>
  <si>
    <t>WASHING-MACHINE+SOAP++</t>
  </si>
  <si>
    <t>SOAP++WASHING-MACHINE</t>
  </si>
  <si>
    <t>PHONE+PUSH-BUTTONS</t>
  </si>
  <si>
    <t>MANAGE-CONTROL+AGENT</t>
  </si>
  <si>
    <t>CENT+TEN</t>
  </si>
  <si>
    <t>EAT+BOX-ROOM</t>
  </si>
  <si>
    <t>EAT++BOX-ROOM</t>
  </si>
  <si>
    <t>DIRECT+AGENT</t>
  </si>
  <si>
    <t>THINK+MESSED-UP</t>
  </si>
  <si>
    <t>#DOG</t>
  </si>
  <si>
    <t>#DOG++</t>
  </si>
  <si>
    <t>#DOG+</t>
  </si>
  <si>
    <t>DRY+SPIN</t>
  </si>
  <si>
    <t>DRY+(nd-C)SPIN</t>
  </si>
  <si>
    <t>DRY++(nd-C)SPIN</t>
  </si>
  <si>
    <t>DRY+WASHING-MACHINE</t>
  </si>
  <si>
    <t>DRY++WASHING-MACHINE</t>
  </si>
  <si>
    <t>EAR+EAR-HURT</t>
  </si>
  <si>
    <t>#EARLY</t>
  </si>
  <si>
    <t>EARTH+RUMBLE</t>
  </si>
  <si>
    <t>#ED</t>
  </si>
  <si>
    <t>(1h)#ED</t>
  </si>
  <si>
    <t>CENT+EIGHT</t>
  </si>
  <si>
    <t>ELECTRIC+AGENT</t>
  </si>
  <si>
    <t>OPPOSITE+AGENT</t>
  </si>
  <si>
    <t>CAR+ENGINE</t>
  </si>
  <si>
    <t>CAR+ENGINE+</t>
  </si>
  <si>
    <t>CAR+TRUNK</t>
  </si>
  <si>
    <t>ENGINEERING+AGENT</t>
  </si>
  <si>
    <t>(2h)alt.ENGINEERING+AGENT</t>
  </si>
  <si>
    <t>ANY+WHERE</t>
  </si>
  <si>
    <t>EACH+WHERE</t>
  </si>
  <si>
    <t>THINK+PASS-OUT</t>
  </si>
  <si>
    <t>THINK+(2h)PASS-OUT</t>
  </si>
  <si>
    <t>FARM+AGENT</t>
  </si>
  <si>
    <t>FARM++AGENT</t>
  </si>
  <si>
    <t>FARM_2+AGENT</t>
  </si>
  <si>
    <t>FIFTH</t>
  </si>
  <si>
    <t>FIFTH+</t>
  </si>
  <si>
    <t>FIFTH_2</t>
  </si>
  <si>
    <t>FIVE-DOLLARS</t>
  </si>
  <si>
    <t>FIVE-DOLLARS++</t>
  </si>
  <si>
    <t>FIFTH-PLACE</t>
  </si>
  <si>
    <t>FIRE-BURN+PLACE</t>
  </si>
  <si>
    <t>(2h)alt.FIRE+PLACE</t>
  </si>
  <si>
    <t>FIRST</t>
  </si>
  <si>
    <t>FIRST_2</t>
  </si>
  <si>
    <t>FIRST-IN-LIST</t>
  </si>
  <si>
    <t>(nd-1)FIRST-IN-LIST</t>
  </si>
  <si>
    <t>FIRST-PLACE</t>
  </si>
  <si>
    <t>ns-#FLA</t>
  </si>
  <si>
    <t>MIND+OFF-COURSE</t>
  </si>
  <si>
    <t>THINK+GRAB-CHANCE</t>
  </si>
  <si>
    <t>PAPER+SQUARE</t>
  </si>
  <si>
    <t>PAPER++SQUARE</t>
  </si>
  <si>
    <t>FORTY</t>
  </si>
  <si>
    <t>FORTY++</t>
  </si>
  <si>
    <t>#FF</t>
  </si>
  <si>
    <t>#FF_2</t>
  </si>
  <si>
    <t>ICL:S"handling something long and narrow"</t>
  </si>
  <si>
    <t>ICL:S"handling something long and narrow"+</t>
  </si>
  <si>
    <t>ICL:X"handling something long and narrow"</t>
  </si>
  <si>
    <t>GIRL+FRIEND</t>
  </si>
  <si>
    <t>GOOD+LUCKY</t>
  </si>
  <si>
    <t>GOOD+MORNING</t>
  </si>
  <si>
    <t>(1h)GOOD-THANK-YOU+MORNING</t>
  </si>
  <si>
    <t>(1h)GOOD-THANK-YOU+(1h)MORNING</t>
  </si>
  <si>
    <t>GOOD+NIGHT</t>
  </si>
  <si>
    <t>(1h)GOOD-THANK-YOU+NIGHT</t>
  </si>
  <si>
    <t>EAT+SELL</t>
  </si>
  <si>
    <t>EAT++SELL</t>
  </si>
  <si>
    <t>EAT++SELL+</t>
  </si>
  <si>
    <t>EAT+SELL+</t>
  </si>
  <si>
    <t>EAT+SELL++</t>
  </si>
  <si>
    <t>EAT+BUY</t>
  </si>
  <si>
    <t>EAT+BUY++</t>
  </si>
  <si>
    <t>CARE+AGENT</t>
  </si>
  <si>
    <t>CARE++AGENT</t>
  </si>
  <si>
    <t>#PE</t>
  </si>
  <si>
    <t>(2h)#PE</t>
  </si>
  <si>
    <t>#HR</t>
  </si>
  <si>
    <t>HALF</t>
  </si>
  <si>
    <t>HALF_2</t>
  </si>
  <si>
    <t>HALF-HALF</t>
  </si>
  <si>
    <t>SECRET+HIDE</t>
  </si>
  <si>
    <t>SCL:F"small circle"</t>
  </si>
  <si>
    <t>(2h)SCL:F"small circle"</t>
  </si>
  <si>
    <t>HORSE+RIDE-ON</t>
  </si>
  <si>
    <t>HORSE+RIDE-ON+</t>
  </si>
  <si>
    <t>(2h)HORSE+RIDE-ON+</t>
  </si>
  <si>
    <t>(2h)HORSE++RIDE-ON++</t>
  </si>
  <si>
    <t>HUNDRED</t>
  </si>
  <si>
    <t>THINK+MEAN</t>
  </si>
  <si>
    <t>(V)THINK+MEAN</t>
  </si>
  <si>
    <t>INTERPRET+AGENT</t>
  </si>
  <si>
    <t>INTERPRET++AGENT</t>
  </si>
  <si>
    <t>#JOB</t>
  </si>
  <si>
    <t>#JOB_2</t>
  </si>
  <si>
    <t>COURT+AGENT</t>
  </si>
  <si>
    <t>ns-#KC</t>
  </si>
  <si>
    <t>KING+AREA</t>
  </si>
  <si>
    <t>KING+AREA_2</t>
  </si>
  <si>
    <t>COOK-KITCHEN+BOX-ROOM</t>
  </si>
  <si>
    <t>SCL:V"person walking up ladder"</t>
  </si>
  <si>
    <t>PAST+NIGHT</t>
  </si>
  <si>
    <t>LAW+AGENT</t>
  </si>
  <si>
    <t>LIBRARY+AGENT</t>
  </si>
  <si>
    <t>LIGHT+LIGHT-ON</t>
  </si>
  <si>
    <t>LIGHT++LIGHT-ON</t>
  </si>
  <si>
    <t>LIGHT+LIGHT-OUT</t>
  </si>
  <si>
    <t>LIGHT++LIGHT-OUT</t>
  </si>
  <si>
    <t>LIKE+NEG</t>
  </si>
  <si>
    <t>LIKE+(1h)NEG</t>
  </si>
  <si>
    <t>FANCY+BOX-ROOM</t>
  </si>
  <si>
    <t>LIVE+BOX-ROOM</t>
  </si>
  <si>
    <t>(L)LIVE+BOX-ROOM</t>
  </si>
  <si>
    <t>BREAD+DCL"rounded rectangle"</t>
  </si>
  <si>
    <t>FACE+STRONG</t>
  </si>
  <si>
    <t>FACE+SAME</t>
  </si>
  <si>
    <t>(5)FACE+SAME</t>
  </si>
  <si>
    <t>ns-#LA</t>
  </si>
  <si>
    <t>EAT+NOON</t>
  </si>
  <si>
    <t>#MW</t>
  </si>
  <si>
    <t>BOY+DCL"round flat"</t>
  </si>
  <si>
    <t>BED+CUSHION</t>
  </si>
  <si>
    <t>BED+CUSHION+++</t>
  </si>
  <si>
    <t>(2h)BED+CUSHION++</t>
  </si>
  <si>
    <t>fs-MAYO+ICL"spread with knife"</t>
  </si>
  <si>
    <t>HORSE+ICL:S"holding moving pole"</t>
  </si>
  <si>
    <t>HORSE+ICL:S"holding moving pole"+</t>
  </si>
  <si>
    <t>HORSE+ICL:S"holding moving pole"++</t>
  </si>
  <si>
    <t>(2h)HORSE++ICL:S"holding moving pole"+</t>
  </si>
  <si>
    <t>STORY+AGENT</t>
  </si>
  <si>
    <t>STORY++AGENT</t>
  </si>
  <si>
    <t>MOTIVATE+AGENT</t>
  </si>
  <si>
    <t>MOTIVATE++AGENT</t>
  </si>
  <si>
    <t>MILLION+AGENT</t>
  </si>
  <si>
    <t>MILLION_2+AGENT</t>
  </si>
  <si>
    <t>OLD+LESS-THAN</t>
  </si>
  <si>
    <t>OLD++LESS-THAN</t>
  </si>
  <si>
    <t>(S)OLD+LESS-THAN</t>
  </si>
  <si>
    <t>MOTHER+LAW</t>
  </si>
  <si>
    <t>MOTHERwg+LAW</t>
  </si>
  <si>
    <t>THINK+FOCUS-NARROW</t>
  </si>
  <si>
    <t>NEXT+AGENT</t>
  </si>
  <si>
    <t>NEW+TESTAMENT</t>
  </si>
  <si>
    <t>CENT+FIVE</t>
  </si>
  <si>
    <t>BAD+DREAM</t>
  </si>
  <si>
    <t>#NO</t>
  </si>
  <si>
    <t>#NO++</t>
  </si>
  <si>
    <t>HEAR+NOISE</t>
  </si>
  <si>
    <t>HEAR+NOISE+</t>
  </si>
  <si>
    <t>INTERESTING+ZERO</t>
  </si>
  <si>
    <t>(1h)(L-X)INTERESTING+ZERO_2</t>
  </si>
  <si>
    <t>#OK</t>
  </si>
  <si>
    <t>#OR</t>
  </si>
  <si>
    <t>#OFF</t>
  </si>
  <si>
    <t>OLD+TESTAMENT</t>
  </si>
  <si>
    <t>(S)OLD+TESTAMENT</t>
  </si>
  <si>
    <t>OLD+TESTAMENT_2</t>
  </si>
  <si>
    <t>ONE-FOURTH</t>
  </si>
  <si>
    <t>ONE-FOURTH_2</t>
  </si>
  <si>
    <t>ONE+MORE</t>
  </si>
  <si>
    <t>ONE+MORE++</t>
  </si>
  <si>
    <t>ONE-MORE</t>
  </si>
  <si>
    <t>ONE-MORE++</t>
  </si>
  <si>
    <t>ONE-THIRD</t>
  </si>
  <si>
    <t>ONE-THIRD_2</t>
  </si>
  <si>
    <t>ONE+THOUSAND</t>
  </si>
  <si>
    <t>THINK+GENERAL</t>
  </si>
  <si>
    <t>MUSIC+GROUP-TOGETHER</t>
  </si>
  <si>
    <t>MUSIC++GROUP-TOGETHER</t>
  </si>
  <si>
    <t>PAINT+AGENT</t>
  </si>
  <si>
    <t>SLEEP+DRESS-CLOTHES</t>
  </si>
  <si>
    <t>BEAUTIFUL+DRESS-CLOTHES</t>
  </si>
  <si>
    <t>PAPER+CLIP</t>
  </si>
  <si>
    <t>PAPER++CLIP</t>
  </si>
  <si>
    <t>MOTHER+FATHER</t>
  </si>
  <si>
    <t>BECOME+QUIET</t>
  </si>
  <si>
    <t>ICL"peeling an orange"</t>
  </si>
  <si>
    <t>ICL"peeling an orange"+</t>
  </si>
  <si>
    <t>ICL"peeling skin"</t>
  </si>
  <si>
    <t>ICL"peeling skin"+</t>
  </si>
  <si>
    <t>CENT+ONE</t>
  </si>
  <si>
    <t>DCL"pile"</t>
  </si>
  <si>
    <t>VOICE+TEMPERATURE-PITCH</t>
  </si>
  <si>
    <t>VOICE++(1)TEMPERATURE-PITCH</t>
  </si>
  <si>
    <t>REALLY+NICE-CLEAN</t>
  </si>
  <si>
    <t>PLAY+AGENT</t>
  </si>
  <si>
    <t>PLAY+GROUND</t>
  </si>
  <si>
    <t>DCL"thin cylindrical object"</t>
  </si>
  <si>
    <t>#PO</t>
  </si>
  <si>
    <t>PREACH+AGENT</t>
  </si>
  <si>
    <t>PREACH++AGENT</t>
  </si>
  <si>
    <t>BEFORE_2+SCHOOL</t>
  </si>
  <si>
    <t>PRE+SCHOOL</t>
  </si>
  <si>
    <t>PRINT+AGENT</t>
  </si>
  <si>
    <t>PRISON+AGENT</t>
  </si>
  <si>
    <t>PRISON++AGENT</t>
  </si>
  <si>
    <t>PREDICT+AGENT</t>
  </si>
  <si>
    <t>PSYCHIATRY+AGENT</t>
  </si>
  <si>
    <t>PSYCHIATRY++AGENT</t>
  </si>
  <si>
    <t>PSYCHOLOGY+AGENT</t>
  </si>
  <si>
    <t>PSYCHOLOGY++AGENT</t>
  </si>
  <si>
    <t>CENT+TWENTY-FIVE</t>
  </si>
  <si>
    <t>OLD+AVERAGE</t>
  </si>
  <si>
    <t>(S)OLD++AVERAGE</t>
  </si>
  <si>
    <t>GROUND+AREA</t>
  </si>
  <si>
    <t>GROUND+AREA_2</t>
  </si>
  <si>
    <t>SNAKE+WAG</t>
  </si>
  <si>
    <t>SNAKE+WAG++</t>
  </si>
  <si>
    <t>RED+fs-BERRY</t>
  </si>
  <si>
    <t>#REF</t>
  </si>
  <si>
    <t>fs-REHAB</t>
  </si>
  <si>
    <t>REPORT+AGENT</t>
  </si>
  <si>
    <t>ANSWER+AGENT</t>
  </si>
  <si>
    <t>WRITE+AGENT</t>
  </si>
  <si>
    <t>WRITE++AGENT</t>
  </si>
  <si>
    <t>SHOW+AGENT</t>
  </si>
  <si>
    <t>(R)SHOW+AGENT</t>
  </si>
  <si>
    <t>#RR</t>
  </si>
  <si>
    <t>STAND-UP+ASCEND</t>
  </si>
  <si>
    <t>SCL:V"person rolling around"</t>
  </si>
  <si>
    <t>ns-#SD</t>
  </si>
  <si>
    <t>ns-#SF</t>
  </si>
  <si>
    <t>SAFE+AGENT</t>
  </si>
  <si>
    <t>SAFE_2+AGENT</t>
  </si>
  <si>
    <t>SCIENCE+AGENT</t>
  </si>
  <si>
    <t>MOVIE+SQUARE</t>
  </si>
  <si>
    <t>THINK+SHOCK</t>
  </si>
  <si>
    <t>(2h)THINK+SHOCK</t>
  </si>
  <si>
    <t>MUSIC+AGENT</t>
  </si>
  <si>
    <t>MUSIC++AGENT</t>
  </si>
  <si>
    <t>GIRL+CORRECT+LAW</t>
  </si>
  <si>
    <t>SCL:V"person falling in place"</t>
  </si>
  <si>
    <t>SNOW+MOTORCYCLE</t>
  </si>
  <si>
    <t>#SS</t>
  </si>
  <si>
    <t>SOUTH+ns-AFRICA</t>
  </si>
  <si>
    <t>SOUTH+(A)ns-AFRICA</t>
  </si>
  <si>
    <t>CAR+DCL:1"speedometer"</t>
  </si>
  <si>
    <t>DCL"flat stack"</t>
  </si>
  <si>
    <t>TURN+BROTHER</t>
  </si>
  <si>
    <t>TURN+BOY_2+CORRECT</t>
  </si>
  <si>
    <t>TURN+SISTER</t>
  </si>
  <si>
    <t>TURN+FATHER</t>
  </si>
  <si>
    <t>TURN+FATHERwg</t>
  </si>
  <si>
    <t>TURN+MOTHER</t>
  </si>
  <si>
    <t>TURN+MOTHER+</t>
  </si>
  <si>
    <t>TURN+MOTHERwg</t>
  </si>
  <si>
    <t>LEARN+AGENT</t>
  </si>
  <si>
    <t>SCL:V"person falling forward"</t>
  </si>
  <si>
    <t>DCL"T"+VOLUNTEER-SHIRT</t>
  </si>
  <si>
    <t>TEACH+AGENT</t>
  </si>
  <si>
    <t>TEACH++AGENT</t>
  </si>
  <si>
    <t>TECHNOLOGY+AGENT</t>
  </si>
  <si>
    <t>TECHNOLOGY++AGENT</t>
  </si>
  <si>
    <t>TECHNOLOGY_2+++AGENT</t>
  </si>
  <si>
    <t>#TV</t>
  </si>
  <si>
    <t>#TV+</t>
  </si>
  <si>
    <t>THANK-YOU+SUGGEST</t>
  </si>
  <si>
    <t>(2h)THANK-YOU+SUGGEST</t>
  </si>
  <si>
    <t>THIRTY</t>
  </si>
  <si>
    <t>THIRTY_2</t>
  </si>
  <si>
    <t>THREE-FOURTHS</t>
  </si>
  <si>
    <t>HEAR+RUMBLE</t>
  </si>
  <si>
    <t>HEAR+RUMBLE+</t>
  </si>
  <si>
    <t>HEAR+RUMBLE++</t>
  </si>
  <si>
    <t>NOISE+RUMBLE</t>
  </si>
  <si>
    <t>HEAR-LISTEN+RUMBLE</t>
  </si>
  <si>
    <t>NOW+DAY</t>
  </si>
  <si>
    <t>NOW+(D)DAY</t>
  </si>
  <si>
    <t>MONEY+TRADE</t>
  </si>
  <si>
    <t>MONEY++TRADE</t>
  </si>
  <si>
    <t>MONEY++TRADE+</t>
  </si>
  <si>
    <t>TWENTY-FIVE</t>
  </si>
  <si>
    <t>ICL"squeezing small object"</t>
  </si>
  <si>
    <t>TWO-MORE</t>
  </si>
  <si>
    <t>ns-#US</t>
  </si>
  <si>
    <t>VISIT+AGENT</t>
  </si>
  <si>
    <t>SCL:V"person walking"</t>
  </si>
  <si>
    <t>WANT+NEG</t>
  </si>
  <si>
    <t>(25)WANT+NEG</t>
  </si>
  <si>
    <t>fs-WART</t>
  </si>
  <si>
    <t>ns-WASHINGTON+fs-DC</t>
  </si>
  <si>
    <t>DCL:crvd-5"tall wide cylindrical object"</t>
  </si>
  <si>
    <t>DCL:crvd-L"tall wide cylindrical object"</t>
  </si>
  <si>
    <t>WATER+SPRINKLER</t>
  </si>
  <si>
    <t>WATER++SPRINKLER</t>
  </si>
  <si>
    <t>WATER++SPRINKLER++</t>
  </si>
  <si>
    <t>WATER+BCL"drinking from a water fountain"</t>
  </si>
  <si>
    <t>WATER+SCL:5"waterfall"</t>
  </si>
  <si>
    <t>WATER++SCL:5"waterfall"</t>
  </si>
  <si>
    <t>DCL"can"+ICL"open can"</t>
  </si>
  <si>
    <t>#WOW</t>
  </si>
  <si>
    <t>WRESTLE+AGENT</t>
  </si>
  <si>
    <t>WRESTLE++AGENT</t>
  </si>
  <si>
    <t>BATH+fs-TUB</t>
  </si>
  <si>
    <t>BATH+DCL:crvd-B"big round tub"</t>
  </si>
  <si>
    <t>BLACK+BERRY</t>
  </si>
  <si>
    <t>BLACK+fs-BERRY</t>
  </si>
  <si>
    <t>ns-JESUS+AGENT</t>
  </si>
  <si>
    <t>COP+RESEARCH</t>
  </si>
  <si>
    <t>COP++RESEARCH</t>
  </si>
  <si>
    <t>COP++RESEARCH++</t>
  </si>
  <si>
    <t>COP+RESEARCH++</t>
  </si>
  <si>
    <t>LUTHERAN+AGENT</t>
  </si>
  <si>
    <t>LUTHERAN++AGENT</t>
  </si>
  <si>
    <t>SUPERVISE+AGENT</t>
  </si>
  <si>
    <t>BOSS+LOWERCASE-TINY</t>
  </si>
  <si>
    <t>WINE+POP-CORK</t>
  </si>
  <si>
    <t>#AC</t>
  </si>
  <si>
    <t>fs-LAKE</t>
  </si>
  <si>
    <t>WATER+DCL"round flat"</t>
  </si>
  <si>
    <t>WATER++DCL"round flat"</t>
  </si>
  <si>
    <t>#BBQ</t>
  </si>
  <si>
    <t>DCL"long stringed hanging object"</t>
  </si>
  <si>
    <t>RED+DCL"face"</t>
  </si>
  <si>
    <t>DCL"rough surface"</t>
  </si>
  <si>
    <t>SEVENTH</t>
  </si>
  <si>
    <t>DCL"thick strip"</t>
  </si>
  <si>
    <t>TIME+"WHAT"</t>
  </si>
  <si>
    <t>TIME++(1h)"WHAT"</t>
  </si>
  <si>
    <t>TREE+DCL"branch"</t>
  </si>
  <si>
    <t>TREE+DCL"branch"++</t>
  </si>
  <si>
    <t>TREE+DCL"branches"+++</t>
  </si>
  <si>
    <t>#CC</t>
  </si>
  <si>
    <t>fs-I+PHONE</t>
  </si>
  <si>
    <t>HOUSE+PAY</t>
  </si>
  <si>
    <t>HOUSE+(P)PAY</t>
  </si>
  <si>
    <t>PAY+FINISH</t>
  </si>
  <si>
    <t>PAY++FINISH</t>
  </si>
  <si>
    <t>(P)PAY++FINISH</t>
  </si>
  <si>
    <t>QUADRUPLE</t>
  </si>
  <si>
    <t>QUINTUPLE</t>
  </si>
  <si>
    <t>TRIPLE</t>
  </si>
  <si>
    <t>THREE-MORE</t>
  </si>
  <si>
    <t>NINE+HOUR</t>
  </si>
  <si>
    <t>CUBED</t>
  </si>
  <si>
    <t>EIGHTY-EIGHT</t>
  </si>
  <si>
    <t>EIGHTY-EIGHT_2</t>
  </si>
  <si>
    <t>EIGHTY-NINE</t>
  </si>
  <si>
    <t>FIFTY-FIVE</t>
  </si>
  <si>
    <t>FORTY-FOUR</t>
  </si>
  <si>
    <t>NINETY-EIGHT</t>
  </si>
  <si>
    <t>NINETY-NINE</t>
  </si>
  <si>
    <t>NINETY-SEVEN</t>
  </si>
  <si>
    <t>SEVENTY-EIGHT</t>
  </si>
  <si>
    <t>SEVENTY-NINE</t>
  </si>
  <si>
    <t>SEVENTY-SEVEN</t>
  </si>
  <si>
    <t>SEVENTY-SEVEN_2</t>
  </si>
  <si>
    <t>SEVENTY-SIX</t>
  </si>
  <si>
    <t>SEVENTY-SIX_2</t>
  </si>
  <si>
    <t>SIXTY-EIGHT</t>
  </si>
  <si>
    <t>SIXTY-NINE</t>
  </si>
  <si>
    <t>SIXTY-SEVEN</t>
  </si>
  <si>
    <t>SIXTY-SIX</t>
  </si>
  <si>
    <t>SIXTY-SIX_2</t>
  </si>
  <si>
    <t>SQUARED</t>
  </si>
  <si>
    <t>SQUARED_2</t>
  </si>
  <si>
    <t>THIRTY-THREE</t>
  </si>
  <si>
    <t>TWENTY-THREE</t>
  </si>
  <si>
    <t>TWENTY-THREE++</t>
  </si>
  <si>
    <t>OLD+ONE</t>
  </si>
  <si>
    <t>(S)OLD+ONE_2</t>
  </si>
  <si>
    <t>AGE-ONE</t>
  </si>
  <si>
    <t>OLD+TWO</t>
  </si>
  <si>
    <t>(S)OLD+TWO_2</t>
  </si>
  <si>
    <t>AGE-TWO</t>
  </si>
  <si>
    <t>OLD+THREE</t>
  </si>
  <si>
    <t>(S)OLD+THREE_2</t>
  </si>
  <si>
    <t>OLD+FOUR</t>
  </si>
  <si>
    <t>(S)OLD+FOUR_2</t>
  </si>
  <si>
    <t>AGE-FOUR</t>
  </si>
  <si>
    <t>OLD+FIVE</t>
  </si>
  <si>
    <t>(S)OLD+FIVE_2</t>
  </si>
  <si>
    <t>AGE-FIVE</t>
  </si>
  <si>
    <t>#HA-HA</t>
  </si>
  <si>
    <t>#HA-HA++</t>
  </si>
  <si>
    <t>#HA-HA+</t>
  </si>
  <si>
    <t>OLD+#FF</t>
  </si>
  <si>
    <t>(S)OLD+#FF</t>
  </si>
  <si>
    <t>#OD</t>
  </si>
  <si>
    <t>BIRD+PECK</t>
  </si>
  <si>
    <t>BIRD++PECK</t>
  </si>
  <si>
    <t>BIRD++PECK+</t>
  </si>
  <si>
    <t>BIRD+PECK+++</t>
  </si>
  <si>
    <t>SHH+CONFIDENTIAL</t>
  </si>
  <si>
    <t>THINK+FAITH</t>
  </si>
  <si>
    <t>THINK+FAITH+</t>
  </si>
  <si>
    <t>fs-GRAVITY</t>
  </si>
  <si>
    <t>fs-ICE+ICE-SKATE</t>
  </si>
  <si>
    <t>LEAD+AGENT</t>
  </si>
  <si>
    <t>LIST+DO-DO</t>
  </si>
  <si>
    <t>SUPPORT+AGENT</t>
  </si>
  <si>
    <t>SUPPORT++AGENT</t>
  </si>
  <si>
    <t>BETWEEN-SHARE+AGENT</t>
  </si>
  <si>
    <t>COLD+DOOR</t>
  </si>
  <si>
    <t>LCL:B-L"receive from heaven"+BOOK</t>
  </si>
  <si>
    <t>AIRPLANE+AGENT</t>
  </si>
  <si>
    <t>AIRPLANE++AGENT</t>
  </si>
  <si>
    <t>ICL"peeling with knife"</t>
  </si>
  <si>
    <t>ICL"peeling with knife"+</t>
  </si>
  <si>
    <t>ICL"shaking out"</t>
  </si>
  <si>
    <t>ICL"shaking out"+</t>
  </si>
  <si>
    <t>#TTY</t>
  </si>
  <si>
    <t>#DO+"WHAT"</t>
  </si>
  <si>
    <t>#DO++"WHAT"</t>
  </si>
  <si>
    <t>FEEL+NONE-NOTHING</t>
  </si>
  <si>
    <t>CLASS+BOX-ROOM</t>
  </si>
  <si>
    <t>DINNER+BOX-ROOM</t>
  </si>
  <si>
    <t>DINNER++BOX-ROOM</t>
  </si>
  <si>
    <t>EACH+ONE</t>
  </si>
  <si>
    <t>EACH+ONE-pl-arc</t>
  </si>
  <si>
    <t>ANY+ONE</t>
  </si>
  <si>
    <t>TURN+GIRL+CORRECT</t>
  </si>
  <si>
    <t>CAR+DCL"long flat surface"</t>
  </si>
  <si>
    <t>CAR+DCL"curved surface"</t>
  </si>
  <si>
    <t>HEART+ATTACK</t>
  </si>
  <si>
    <t>PCL:5"coming in"</t>
  </si>
  <si>
    <t>THIRD-IN-LIST</t>
  </si>
  <si>
    <t>SECOND-IN-LIST</t>
  </si>
  <si>
    <t>SECOND-IN-LIST_2</t>
  </si>
  <si>
    <t>SECOND-PLACE</t>
  </si>
  <si>
    <t>FOURTH-PLACE</t>
  </si>
  <si>
    <t>THIRD-PLACE</t>
  </si>
  <si>
    <t>THIRD-PLACE_2</t>
  </si>
  <si>
    <t>ANY+THING</t>
  </si>
  <si>
    <t>EVERY+THING</t>
  </si>
  <si>
    <t>EVERY+(2h)THING</t>
  </si>
  <si>
    <t>ALWAYS+FOREVER</t>
  </si>
  <si>
    <t>ALWAYS+FOREVER_2</t>
  </si>
  <si>
    <t>WITH+NEG</t>
  </si>
  <si>
    <t>WITH+NEG_2</t>
  </si>
  <si>
    <t>FEEL+DEFLATE</t>
  </si>
  <si>
    <t>FOOL-DOLL+DAY</t>
  </si>
  <si>
    <t>(X)FOOL-DOLL+(D)DAY</t>
  </si>
  <si>
    <t>(X)FOOL-DOLL++(D)DAY</t>
  </si>
  <si>
    <t>WORTH+NEG</t>
  </si>
  <si>
    <t>fs-JELLY+FISH</t>
  </si>
  <si>
    <t>HAPPY+MOST</t>
  </si>
  <si>
    <t>(1h)HAPPY+(1h)MOST</t>
  </si>
  <si>
    <t>EIGHTH</t>
  </si>
  <si>
    <t>EIGHTH+</t>
  </si>
  <si>
    <t>EIGHTH-PLACE</t>
  </si>
  <si>
    <t>NINTH</t>
  </si>
  <si>
    <t>SIXTH</t>
  </si>
  <si>
    <t>SECOND</t>
  </si>
  <si>
    <t>SECOND_2</t>
  </si>
  <si>
    <t>SECOND_3</t>
  </si>
  <si>
    <t>FOUR-DOLLARS</t>
  </si>
  <si>
    <t>FOURTH</t>
  </si>
  <si>
    <t>FOURTH_2</t>
  </si>
  <si>
    <t>ACT+AGENT</t>
  </si>
  <si>
    <t>ACT++AGENT</t>
  </si>
  <si>
    <t>PEOPLE+AUDIENCE</t>
  </si>
  <si>
    <t>RED+BLUSH</t>
  </si>
  <si>
    <t>RED++BLUSH</t>
  </si>
  <si>
    <t>DOOR+SQUARE</t>
  </si>
  <si>
    <t>SQUARE+DOOR</t>
  </si>
  <si>
    <t>BOY_2+CORRECT+LAW</t>
  </si>
  <si>
    <t>BROTHER+IN+LAW</t>
  </si>
  <si>
    <t>WHITE+CHALK</t>
  </si>
  <si>
    <t>CUTE+DCL"cane"</t>
  </si>
  <si>
    <t>CUTE++DCL"cane"</t>
  </si>
  <si>
    <t>CANDY+fs-CANE</t>
  </si>
  <si>
    <t>CANDY++DCL"cane"</t>
  </si>
  <si>
    <t>BLUE+BERRY</t>
  </si>
  <si>
    <t>BLUE+fs-BERRY</t>
  </si>
  <si>
    <t>NOT+SATISFIED</t>
  </si>
  <si>
    <t>FATHER+LAW</t>
  </si>
  <si>
    <t>FATHER+IN+LAW</t>
  </si>
  <si>
    <t>FATHERwg+LAW</t>
  </si>
  <si>
    <t>CASHIER+AGENT</t>
  </si>
  <si>
    <t>WATER+WATER-RISE</t>
  </si>
  <si>
    <t>GANG+SCL:C"group go together"</t>
  </si>
  <si>
    <t>GANG+++SCL:C"group go together"</t>
  </si>
  <si>
    <t>GANG++SCL:C"group go together"</t>
  </si>
  <si>
    <t>MIDDLE+WEST</t>
  </si>
  <si>
    <t>GOVERNMENT+AGENT</t>
  </si>
  <si>
    <t>SCL:3"vehicle"+DCL:1"speedometer"</t>
  </si>
  <si>
    <t>SCL:3"vehicle"++DCL:1"speedometer"</t>
  </si>
  <si>
    <t>DCL:1"speedometer"</t>
  </si>
  <si>
    <t>SCREEN-FILTER+WINDOW</t>
  </si>
  <si>
    <t>SCREEN-FILTER++WINDOW</t>
  </si>
  <si>
    <t>SCREEN-FILTER++WINDOW+</t>
  </si>
  <si>
    <t>PARK+DROP-COINS</t>
  </si>
  <si>
    <t>PARK++DROP-COINS</t>
  </si>
  <si>
    <t>PARK++DROP-COINS++</t>
  </si>
  <si>
    <t>PAST+YEAR</t>
  </si>
  <si>
    <t>FEEL+GRIEF</t>
  </si>
  <si>
    <t>#LAB</t>
  </si>
  <si>
    <t>GROW+COLLECT</t>
  </si>
  <si>
    <t>GROW++COLLECT</t>
  </si>
  <si>
    <t>GROW+++COLLECT</t>
  </si>
  <si>
    <t>THINK+TALK-TO-SELF</t>
  </si>
  <si>
    <t>THINK+TALK-TO-SELF+</t>
  </si>
  <si>
    <t>THINK+TALK-TO-SELF++</t>
  </si>
  <si>
    <t>fs-MAYO</t>
  </si>
  <si>
    <t>FACE+NICE-CLEAN</t>
  </si>
  <si>
    <t>ONE+MILLION</t>
  </si>
  <si>
    <t>HAPPY+NEW+YEAR</t>
  </si>
  <si>
    <t>(1h)HAPPY++NEW+YEAR</t>
  </si>
  <si>
    <t>SERVICE+AGENT</t>
  </si>
  <si>
    <t>SIGN+LANGUAGE</t>
  </si>
  <si>
    <t>THIRD</t>
  </si>
  <si>
    <t>WHITE+FACE</t>
  </si>
  <si>
    <t>WHITE+(5)FACE</t>
  </si>
  <si>
    <t>WHEEL+CART</t>
  </si>
  <si>
    <t>DO-DO+HAPPEN</t>
  </si>
  <si>
    <t>#CLUB</t>
  </si>
  <si>
    <t>GOOD+ENOUGH</t>
  </si>
  <si>
    <t>WATER+RIVER</t>
  </si>
  <si>
    <t>WATER+RIVER_2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</si>
</sst>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13"/>
      <name val="Calibri"/>
    </font>
    <font>
      <b val="1"/>
      <u val="single"/>
      <sz val="11"/>
      <color indexed="13"/>
      <name val="Calibri"/>
    </font>
    <font>
      <b val="1"/>
      <u val="single"/>
      <sz val="11"/>
      <color indexed="14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/>
      <diagonal/>
    </border>
    <border>
      <left/>
      <right/>
      <top/>
      <bottom/>
      <diagonal/>
    </border>
    <border>
      <left/>
      <right/>
      <top/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horizontal="center" vertical="center" wrapText="1"/>
    </xf>
    <xf numFmtId="49" fontId="0" fillId="3" borderId="2" applyNumberFormat="1" applyFont="1" applyFill="1" applyBorder="1" applyAlignment="1" applyProtection="0">
      <alignment horizontal="center" vertical="center" wrapText="1"/>
    </xf>
    <xf numFmtId="49" fontId="0" fillId="4" borderId="2" applyNumberFormat="1" applyFont="1" applyFill="1" applyBorder="1" applyAlignment="1" applyProtection="0">
      <alignment horizontal="center" vertical="center"/>
    </xf>
    <xf numFmtId="49" fontId="0" fillId="3" borderId="2" applyNumberFormat="1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49" fontId="0" fillId="2" borderId="3" applyNumberFormat="1" applyFont="1" applyFill="1" applyBorder="1" applyAlignment="1" applyProtection="0">
      <alignment horizontal="center" vertical="center" wrapText="1"/>
    </xf>
    <xf numFmtId="49" fontId="0" fillId="3" borderId="3" applyNumberFormat="1" applyFont="1" applyFill="1" applyBorder="1" applyAlignment="1" applyProtection="0">
      <alignment horizontal="center" vertical="center" wrapText="1"/>
    </xf>
    <xf numFmtId="49" fontId="0" fillId="4" borderId="3" applyNumberFormat="1" applyFont="1" applyFill="1" applyBorder="1" applyAlignment="1" applyProtection="0">
      <alignment horizontal="center" vertical="center"/>
    </xf>
    <xf numFmtId="49" fontId="0" fillId="3" borderId="3" applyNumberFormat="1" applyFont="1" applyFill="1" applyBorder="1" applyAlignment="1" applyProtection="0">
      <alignment horizontal="center" vertical="center"/>
    </xf>
    <xf numFmtId="49" fontId="3" fillId="2" borderId="3" applyNumberFormat="1" applyFont="1" applyFill="1" applyBorder="1" applyAlignment="1" applyProtection="0">
      <alignment horizontal="center" vertical="center"/>
    </xf>
    <xf numFmtId="0" fontId="0" fillId="2" borderId="3" applyNumberFormat="0" applyFont="1" applyFill="1" applyBorder="1" applyAlignment="1" applyProtection="0">
      <alignment horizontal="center" vertical="center" wrapText="1"/>
    </xf>
    <xf numFmtId="0" fontId="0" fillId="3" borderId="3" applyNumberFormat="0" applyFont="1" applyFill="1" applyBorder="1" applyAlignment="1" applyProtection="0">
      <alignment horizontal="center" vertical="center"/>
    </xf>
    <xf numFmtId="0" fontId="3" fillId="2" borderId="3" applyNumberFormat="0" applyFont="1" applyFill="1" applyBorder="1" applyAlignment="1" applyProtection="0">
      <alignment horizontal="center" vertical="center"/>
    </xf>
    <xf numFmtId="49" fontId="4" fillId="2" borderId="3" applyNumberFormat="1" applyFont="1" applyFill="1" applyBorder="1" applyAlignment="1" applyProtection="0">
      <alignment horizontal="center" vertical="center"/>
    </xf>
    <xf numFmtId="0" fontId="0" fillId="3" borderId="3" applyNumberFormat="1" applyFont="1" applyFill="1" applyBorder="1" applyAlignment="1" applyProtection="0">
      <alignment horizontal="center" vertical="center"/>
    </xf>
    <xf numFmtId="0" fontId="0" fillId="2" borderId="3" applyNumberFormat="1" applyFont="1" applyFill="1" applyBorder="1" applyAlignment="1" applyProtection="0">
      <alignment horizontal="center" vertical="center" wrapText="1"/>
    </xf>
    <xf numFmtId="0" fontId="0" fillId="4" borderId="3" applyNumberFormat="1" applyFont="1" applyFill="1" applyBorder="1" applyAlignment="1" applyProtection="0">
      <alignment horizontal="center" vertical="center"/>
    </xf>
    <xf numFmtId="49" fontId="0" borderId="3" applyNumberFormat="1" applyFont="1" applyFill="0" applyBorder="1" applyAlignment="1" applyProtection="0">
      <alignment vertical="bottom"/>
    </xf>
    <xf numFmtId="0" fontId="0" fillId="3" borderId="3" applyNumberFormat="1" applyFont="1" applyFill="1" applyBorder="1" applyAlignment="1" applyProtection="0">
      <alignment horizontal="center" vertical="center" wrapText="1"/>
    </xf>
    <xf numFmtId="0" fontId="0" fillId="4" borderId="3" applyNumberFormat="0" applyFont="1" applyFill="1" applyBorder="1" applyAlignment="1" applyProtection="0">
      <alignment horizontal="center" vertical="center"/>
    </xf>
    <xf numFmtId="0" fontId="0" fillId="2" borderId="4" applyNumberFormat="0" applyFont="1" applyFill="1" applyBorder="1" applyAlignment="1" applyProtection="0">
      <alignment horizontal="center" vertical="center" wrapText="1"/>
    </xf>
    <xf numFmtId="49" fontId="0" fillId="3" borderId="4" applyNumberFormat="1" applyFont="1" applyFill="1" applyBorder="1" applyAlignment="1" applyProtection="0">
      <alignment horizontal="center" vertical="center" wrapText="1"/>
    </xf>
    <xf numFmtId="49" fontId="0" fillId="2" borderId="4" applyNumberFormat="1" applyFont="1" applyFill="1" applyBorder="1" applyAlignment="1" applyProtection="0">
      <alignment horizontal="center" vertical="center" wrapText="1"/>
    </xf>
    <xf numFmtId="0" fontId="0" fillId="4" borderId="4" applyNumberFormat="1" applyFont="1" applyFill="1" applyBorder="1" applyAlignment="1" applyProtection="0">
      <alignment horizontal="center" vertical="center"/>
    </xf>
    <xf numFmtId="49" fontId="0" fillId="3" borderId="4" applyNumberFormat="1" applyFont="1" applyFill="1" applyBorder="1" applyAlignment="1" applyProtection="0">
      <alignment horizontal="center" vertical="center"/>
    </xf>
    <xf numFmtId="49" fontId="0" fillId="4" borderId="4" applyNumberFormat="1" applyFont="1" applyFill="1" applyBorder="1" applyAlignment="1" applyProtection="0">
      <alignment horizontal="center" vertical="center"/>
    </xf>
    <xf numFmtId="49" fontId="4" fillId="2" borderId="4" applyNumberFormat="1" applyFont="1" applyFill="1" applyBorder="1" applyAlignment="1" applyProtection="0">
      <alignment horizontal="center" vertical="center"/>
    </xf>
    <xf numFmtId="0" fontId="0" fillId="3" borderId="4" applyNumberFormat="1" applyFont="1" applyFill="1" applyBorder="1" applyAlignment="1" applyProtection="0">
      <alignment horizontal="center" vertical="center"/>
    </xf>
    <xf numFmtId="0" fontId="0" fillId="2" borderId="4" applyNumberFormat="1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dbe5f1"/>
      <rgbColor rgb="ffffffff"/>
      <rgbColor rgb="ffeaf1dd"/>
      <rgbColor rgb="ff0070c0"/>
      <rgbColor rgb="ff0000f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://csr.bu.edu/ftp/asl/asllvd/demos/verify_start_end_handshape_annotations//test_auto_move//signs_mov_separ_signers/Liz_10.mov" TargetMode="External"/><Relationship Id="rId2" Type="http://schemas.openxmlformats.org/officeDocument/2006/relationships/hyperlink" Target="http://secrets.rutgers.edu:8080/data/asl-ftp/asllvd/demos/verify_start_end_handshape_annotations//test_auto_move//signs_mov_separ_signers/Liz_10.mov" TargetMode="External"/><Relationship Id="rId3" Type="http://schemas.openxmlformats.org/officeDocument/2006/relationships/hyperlink" Target="http://csr.bu.edu/ftp/asl/asllvd/demos/verify_start_end_handshape_annotations//test_auto_move//signs_mov/10.mov" TargetMode="External"/><Relationship Id="rId4" Type="http://schemas.openxmlformats.org/officeDocument/2006/relationships/hyperlink" Target="http://csr.bu.edu/ftp/asl/asllvd/demos/verify_start_end_handshape_annotations//test_auto_move//signs_mov_separ_signers/Tyler_10.mov" TargetMode="External"/><Relationship Id="rId5" Type="http://schemas.openxmlformats.org/officeDocument/2006/relationships/hyperlink" Target="http://secrets.rutgers.edu:8080/data/asl-ftp/asllvd/demos/verify_start_end_handshape_annotations//test_auto_move//signs_mov/10.mov" TargetMode="External"/><Relationship Id="rId6" Type="http://schemas.openxmlformats.org/officeDocument/2006/relationships/hyperlink" Target="http://secrets.rutgers.edu:8080/data/asl-ftp/asllvd/demos/verify_start_end_handshape_annotations//test_auto_move//signs_mov_separ_signers/Tyler_10.mov" TargetMode="External"/><Relationship Id="rId7" Type="http://schemas.openxmlformats.org/officeDocument/2006/relationships/hyperlink" Target="http://csr.bu.edu/ftp/asl/asllvd/demos/verify_start_end_handshape_annotations//test_auto_move//signs_mov_separ_signers/Naomi_10.mov" TargetMode="External"/><Relationship Id="rId8" Type="http://schemas.openxmlformats.org/officeDocument/2006/relationships/hyperlink" Target="http://secrets.rutgers.edu:8080/data/asl-ftp/asllvd/demos/verify_start_end_handshape_annotations//test_auto_move//signs_mov_separ_signers/Naomi_10.mov" TargetMode="External"/><Relationship Id="rId9" Type="http://schemas.openxmlformats.org/officeDocument/2006/relationships/hyperlink" Target="http://csr.bu.edu/ftp/asl/asllvd/demos/verify_start_end_handshape_annotations//test_auto_move//signs_mov_separ_signers/Brady_10.mov" TargetMode="External"/><Relationship Id="rId10" Type="http://schemas.openxmlformats.org/officeDocument/2006/relationships/hyperlink" Target="http://secrets.rutgers.edu:8080/data/asl-ftp/asllvd/demos/verify_start_end_handshape_annotations//test_auto_move//signs_mov_separ_signers/Brady_10.mov" TargetMode="External"/><Relationship Id="rId11" Type="http://schemas.openxmlformats.org/officeDocument/2006/relationships/hyperlink" Target="http://csr.bu.edu/ftp/asl/asllvd/demos/verify_start_end_handshape_annotations//test_auto_move//signs_mov_separ_signers/Liz_26.mov" TargetMode="External"/><Relationship Id="rId12" Type="http://schemas.openxmlformats.org/officeDocument/2006/relationships/hyperlink" Target="http://secrets.rutgers.edu:8080/data/asl-ftp/asllvd/demos/verify_start_end_handshape_annotations//test_auto_move//signs_mov_separ_signers/Liz_26.mov" TargetMode="External"/><Relationship Id="rId13" Type="http://schemas.openxmlformats.org/officeDocument/2006/relationships/hyperlink" Target="http://csr.bu.edu/ftp/asl/asllvd/demos/verify_start_end_handshape_annotations//test_auto_move//signs_mov_separ_signers/Liz_3933.mov" TargetMode="External"/><Relationship Id="rId14" Type="http://schemas.openxmlformats.org/officeDocument/2006/relationships/hyperlink" Target="http://secrets.rutgers.edu:8080/data/asl-ftp/asllvd/demos/verify_start_end_handshape_annotations//test_auto_move//signs_mov_separ_signers/Liz_3933.mov" TargetMode="External"/><Relationship Id="rId15" Type="http://schemas.openxmlformats.org/officeDocument/2006/relationships/hyperlink" Target="http://csr.bu.edu/ftp/asl/asllvd/demos/verify_start_end_handshape_annotations//test_auto_move//signs_mov_separ_signers/Tyler_26.mov" TargetMode="External"/><Relationship Id="rId16" Type="http://schemas.openxmlformats.org/officeDocument/2006/relationships/hyperlink" Target="http://secrets.rutgers.edu:8080/data/asl-ftp/asllvd/demos/verify_start_end_handshape_annotations//test_auto_move//signs_mov_separ_signers/Tyler_26.mov" TargetMode="External"/><Relationship Id="rId17" Type="http://schemas.openxmlformats.org/officeDocument/2006/relationships/hyperlink" Target="http://csr.bu.edu/ftp/asl/asllvd/demos/verify_start_end_handshape_annotations//test_auto_move//signs_mov/26_3933_merged.mov" TargetMode="External"/><Relationship Id="rId18" Type="http://schemas.openxmlformats.org/officeDocument/2006/relationships/hyperlink" Target="http://csr.bu.edu/ftp/asl/asllvd/demos/verify_start_end_handshape_annotations//test_auto_move//signs_mov_separ_signers/Naomi_26.mov" TargetMode="External"/><Relationship Id="rId19" Type="http://schemas.openxmlformats.org/officeDocument/2006/relationships/hyperlink" Target="http://secrets.rutgers.edu:8080/data/asl-ftp/asllvd/demos/verify_start_end_handshape_annotations//test_auto_move//signs_mov/26_3933_merged.mov" TargetMode="External"/><Relationship Id="rId20" Type="http://schemas.openxmlformats.org/officeDocument/2006/relationships/hyperlink" Target="http://secrets.rutgers.edu:8080/data/asl-ftp/asllvd/demos/verify_start_end_handshape_annotations//test_auto_move//signs_mov_separ_signers/Naomi_26.mov" TargetMode="External"/><Relationship Id="rId21" Type="http://schemas.openxmlformats.org/officeDocument/2006/relationships/hyperlink" Target="http://csr.bu.edu/ftp/asl/asllvd/demos/verify_start_end_handshape_annotations//test_auto_move//signs_mov_separ_signers/Brady_26.mov" TargetMode="External"/><Relationship Id="rId22" Type="http://schemas.openxmlformats.org/officeDocument/2006/relationships/hyperlink" Target="http://secrets.rutgers.edu:8080/data/asl-ftp/asllvd/demos/verify_start_end_handshape_annotations//test_auto_move//signs_mov_separ_signers/Brady_26.mov" TargetMode="External"/><Relationship Id="rId23" Type="http://schemas.openxmlformats.org/officeDocument/2006/relationships/hyperlink" Target="http://csr.bu.edu/ftp/asl/asllvd/demos/verify_start_end_handshape_annotations//test_auto_move//signs_mov_separ_signers/Brady_3933.mov" TargetMode="External"/><Relationship Id="rId24" Type="http://schemas.openxmlformats.org/officeDocument/2006/relationships/hyperlink" Target="http://secrets.rutgers.edu:8080/data/asl-ftp/asllvd/demos/verify_start_end_handshape_annotations//test_auto_move//signs_mov_separ_signers/Brady_3933.mov" TargetMode="External"/><Relationship Id="rId25" Type="http://schemas.openxmlformats.org/officeDocument/2006/relationships/hyperlink" Target="http://csr.bu.edu/ftp/asl/asllvd/demos/verify_start_end_handshape_annotations//test_auto_move//signs_mov_separ_signers/Lana_26.mov" TargetMode="External"/><Relationship Id="rId26" Type="http://schemas.openxmlformats.org/officeDocument/2006/relationships/hyperlink" Target="http://secrets.rutgers.edu:8080/data/asl-ftp/asllvd/demos/verify_start_end_handshape_annotations//test_auto_move//signs_mov_separ_signers/Lana_26.mov" TargetMode="External"/><Relationship Id="rId27" Type="http://schemas.openxmlformats.org/officeDocument/2006/relationships/hyperlink" Target="http://csr.bu.edu/ftp/asl/asllvd/demos/verify_start_end_handshape_annotations//test_auto_move//signs_mov_separ_signers/Dana_26.mov" TargetMode="External"/><Relationship Id="rId28" Type="http://schemas.openxmlformats.org/officeDocument/2006/relationships/hyperlink" Target="http://secrets.rutgers.edu:8080/data/asl-ftp/asllvd/demos/verify_start_end_handshape_annotations//test_auto_move//signs_mov_separ_signers/Dana_26.mov" TargetMode="External"/><Relationship Id="rId29" Type="http://schemas.openxmlformats.org/officeDocument/2006/relationships/hyperlink" Target="http://csr.bu.edu/ftp/asl/asllvd/demos/verify_start_end_handshape_annotations//test_auto_move//signs_mov_separ_signers/Liz_15714.mov" TargetMode="External"/><Relationship Id="rId30" Type="http://schemas.openxmlformats.org/officeDocument/2006/relationships/hyperlink" Target="http://secrets.rutgers.edu:8080/data/asl-ftp/asllvd/demos/verify_start_end_handshape_annotations//test_auto_move//signs_mov_separ_signers/Liz_15714.mov" TargetMode="External"/><Relationship Id="rId31" Type="http://schemas.openxmlformats.org/officeDocument/2006/relationships/hyperlink" Target="http://csr.bu.edu/ftp/asl/asllvd/demos/verify_start_end_handshape_annotations//test_auto_move//signs_mov/15714.mov" TargetMode="External"/><Relationship Id="rId32" Type="http://schemas.openxmlformats.org/officeDocument/2006/relationships/hyperlink" Target="http://csr.bu.edu/ftp/asl/asllvd/demos/verify_start_end_handshape_annotations//test_auto_move//signs_mov_separ_signers/Tyler_15714.mov" TargetMode="External"/><Relationship Id="rId33" Type="http://schemas.openxmlformats.org/officeDocument/2006/relationships/hyperlink" Target="http://secrets.rutgers.edu:8080/data/asl-ftp/asllvd/demos/verify_start_end_handshape_annotations//test_auto_move//signs_mov/15714.mov" TargetMode="External"/><Relationship Id="rId34" Type="http://schemas.openxmlformats.org/officeDocument/2006/relationships/hyperlink" Target="http://secrets.rutgers.edu:8080/data/asl-ftp/asllvd/demos/verify_start_end_handshape_annotations//test_auto_move//signs_mov_separ_signers/Tyler_15714.mov" TargetMode="External"/><Relationship Id="rId35" Type="http://schemas.openxmlformats.org/officeDocument/2006/relationships/hyperlink" Target="http://csr.bu.edu/ftp/asl/asllvd/demos/verify_start_end_handshape_annotations//test_auto_move//signs_mov_separ_signers/Naomi_15714.mov" TargetMode="External"/><Relationship Id="rId36" Type="http://schemas.openxmlformats.org/officeDocument/2006/relationships/hyperlink" Target="http://secrets.rutgers.edu:8080/data/asl-ftp/asllvd/demos/verify_start_end_handshape_annotations//test_auto_move//signs_mov_separ_signers/Naomi_15714.mov" TargetMode="External"/><Relationship Id="rId37" Type="http://schemas.openxmlformats.org/officeDocument/2006/relationships/hyperlink" Target="http://csr.bu.edu/ftp/asl/asllvd/demos/verify_start_end_handshape_annotations//test_auto_move//signs_mov_separ_signers/Brady_15714.mov" TargetMode="External"/><Relationship Id="rId38" Type="http://schemas.openxmlformats.org/officeDocument/2006/relationships/hyperlink" Target="http://secrets.rutgers.edu:8080/data/asl-ftp/asllvd/demos/verify_start_end_handshape_annotations//test_auto_move//signs_mov_separ_signers/Brady_15714.mov" TargetMode="External"/><Relationship Id="rId39" Type="http://schemas.openxmlformats.org/officeDocument/2006/relationships/hyperlink" Target="http://csr.bu.edu/ftp/asl/asllvd/demos/verify_start_end_handshape_annotations//test_auto_move//signs_mov/15729.mov" TargetMode="External"/><Relationship Id="rId40" Type="http://schemas.openxmlformats.org/officeDocument/2006/relationships/hyperlink" Target="http://csr.bu.edu/ftp/asl/asllvd/demos/verify_start_end_handshape_annotations//test_auto_move//signs_mov_separ_signers/Liz_15729.mov" TargetMode="External"/><Relationship Id="rId41" Type="http://schemas.openxmlformats.org/officeDocument/2006/relationships/hyperlink" Target="http://secrets.rutgers.edu:8080/data/asl-ftp/asllvd/demos/verify_start_end_handshape_annotations//test_auto_move//signs_mov/15729.mov" TargetMode="External"/><Relationship Id="rId42" Type="http://schemas.openxmlformats.org/officeDocument/2006/relationships/hyperlink" Target="http://secrets.rutgers.edu:8080/data/asl-ftp/asllvd/demos/verify_start_end_handshape_annotations//test_auto_move//signs_mov_separ_signers/Liz_15729.mov" TargetMode="External"/><Relationship Id="rId43" Type="http://schemas.openxmlformats.org/officeDocument/2006/relationships/hyperlink" Target="http://csr.bu.edu/ftp/asl/asllvd/demos/verify_start_end_handshape_annotations//test_auto_move//signs_mov_separ_signers/Brady_15729.mov" TargetMode="External"/><Relationship Id="rId44" Type="http://schemas.openxmlformats.org/officeDocument/2006/relationships/hyperlink" Target="http://secrets.rutgers.edu:8080/data/asl-ftp/asllvd/demos/verify_start_end_handshape_annotations//test_auto_move//signs_mov_separ_signers/Brady_15729.mov" TargetMode="External"/><Relationship Id="rId45" Type="http://schemas.openxmlformats.org/officeDocument/2006/relationships/hyperlink" Target="http://csr.bu.edu/ftp/asl/asllvd/demos/verify_start_end_handshape_annotations//test_auto_move//signs_mov/15730.mov" TargetMode="External"/><Relationship Id="rId46" Type="http://schemas.openxmlformats.org/officeDocument/2006/relationships/hyperlink" Target="http://csr.bu.edu/ftp/asl/asllvd/demos/verify_start_end_handshape_annotations//test_auto_move//signs_mov_separ_signers/Liz_15730.mov" TargetMode="External"/><Relationship Id="rId47" Type="http://schemas.openxmlformats.org/officeDocument/2006/relationships/hyperlink" Target="http://secrets.rutgers.edu:8080/data/asl-ftp/asllvd/demos/verify_start_end_handshape_annotations//test_auto_move//signs_mov/15730.mov" TargetMode="External"/><Relationship Id="rId48" Type="http://schemas.openxmlformats.org/officeDocument/2006/relationships/hyperlink" Target="http://secrets.rutgers.edu:8080/data/asl-ftp/asllvd/demos/verify_start_end_handshape_annotations//test_auto_move//signs_mov_separ_signers/Liz_15730.mov" TargetMode="External"/><Relationship Id="rId49" Type="http://schemas.openxmlformats.org/officeDocument/2006/relationships/hyperlink" Target="http://csr.bu.edu/ftp/asl/asllvd/demos/verify_start_end_handshape_annotations//test_auto_move//signs_mov_separ_signers/Liz_15744.mov" TargetMode="External"/><Relationship Id="rId50" Type="http://schemas.openxmlformats.org/officeDocument/2006/relationships/hyperlink" Target="http://secrets.rutgers.edu:8080/data/asl-ftp/asllvd/demos/verify_start_end_handshape_annotations//test_auto_move//signs_mov_separ_signers/Liz_15744.mov" TargetMode="External"/><Relationship Id="rId51" Type="http://schemas.openxmlformats.org/officeDocument/2006/relationships/hyperlink" Target="http://csr.bu.edu/ftp/asl/asllvd/demos/verify_start_end_handshape_annotations//test_auto_move//signs_mov/15744.mov" TargetMode="External"/><Relationship Id="rId52" Type="http://schemas.openxmlformats.org/officeDocument/2006/relationships/hyperlink" Target="http://csr.bu.edu/ftp/asl/asllvd/demos/verify_start_end_handshape_annotations//test_auto_move//signs_mov_separ_signers/Tyler_15744.mov" TargetMode="External"/><Relationship Id="rId53" Type="http://schemas.openxmlformats.org/officeDocument/2006/relationships/hyperlink" Target="http://secrets.rutgers.edu:8080/data/asl-ftp/asllvd/demos/verify_start_end_handshape_annotations//test_auto_move//signs_mov/15744.mov" TargetMode="External"/><Relationship Id="rId54" Type="http://schemas.openxmlformats.org/officeDocument/2006/relationships/hyperlink" Target="http://secrets.rutgers.edu:8080/data/asl-ftp/asllvd/demos/verify_start_end_handshape_annotations//test_auto_move//signs_mov_separ_signers/Tyler_15744.mov" TargetMode="External"/><Relationship Id="rId55" Type="http://schemas.openxmlformats.org/officeDocument/2006/relationships/hyperlink" Target="http://csr.bu.edu/ftp/asl/asllvd/demos/verify_start_end_handshape_annotations//test_auto_move//signs_mov_separ_signers/Naomi_15744.mov" TargetMode="External"/><Relationship Id="rId56" Type="http://schemas.openxmlformats.org/officeDocument/2006/relationships/hyperlink" Target="http://secrets.rutgers.edu:8080/data/asl-ftp/asllvd/demos/verify_start_end_handshape_annotations//test_auto_move//signs_mov_separ_signers/Naomi_15744.mov" TargetMode="External"/><Relationship Id="rId57" Type="http://schemas.openxmlformats.org/officeDocument/2006/relationships/hyperlink" Target="http://csr.bu.edu/ftp/asl/asllvd/demos/verify_start_end_handshape_annotations//test_auto_move//signs_mov_separ_signers/Brady_15744.mov" TargetMode="External"/><Relationship Id="rId58" Type="http://schemas.openxmlformats.org/officeDocument/2006/relationships/hyperlink" Target="http://secrets.rutgers.edu:8080/data/asl-ftp/asllvd/demos/verify_start_end_handshape_annotations//test_auto_move//signs_mov_separ_signers/Brady_15744.mov" TargetMode="External"/><Relationship Id="rId59" Type="http://schemas.openxmlformats.org/officeDocument/2006/relationships/hyperlink" Target="http://csr.bu.edu/ftp/asl/asllvd/demos/verify_start_end_handshape_annotations//test_auto_move//signs_mov/15826.mov" TargetMode="External"/><Relationship Id="rId60" Type="http://schemas.openxmlformats.org/officeDocument/2006/relationships/hyperlink" Target="http://csr.bu.edu/ftp/asl/asllvd/demos/verify_start_end_handshape_annotations//test_auto_move//signs_mov_separ_signers/Liz_15826.mov" TargetMode="External"/><Relationship Id="rId61" Type="http://schemas.openxmlformats.org/officeDocument/2006/relationships/hyperlink" Target="http://secrets.rutgers.edu:8080/data/asl-ftp/asllvd/demos/verify_start_end_handshape_annotations//test_auto_move//signs_mov/15826.mov" TargetMode="External"/><Relationship Id="rId62" Type="http://schemas.openxmlformats.org/officeDocument/2006/relationships/hyperlink" Target="http://secrets.rutgers.edu:8080/data/asl-ftp/asllvd/demos/verify_start_end_handshape_annotations//test_auto_move//signs_mov_separ_signers/Liz_15826.mov" TargetMode="External"/><Relationship Id="rId63" Type="http://schemas.openxmlformats.org/officeDocument/2006/relationships/hyperlink" Target="http://csr.bu.edu/ftp/asl/asllvd/demos/verify_start_end_handshape_annotations//test_auto_move//signs_mov_separ_signers/Liz_16072.mov" TargetMode="External"/><Relationship Id="rId64" Type="http://schemas.openxmlformats.org/officeDocument/2006/relationships/hyperlink" Target="http://secrets.rutgers.edu:8080/data/asl-ftp/asllvd/demos/verify_start_end_handshape_annotations//test_auto_move//signs_mov_separ_signers/Liz_16072.mov" TargetMode="External"/><Relationship Id="rId65" Type="http://schemas.openxmlformats.org/officeDocument/2006/relationships/hyperlink" Target="http://csr.bu.edu/ftp/asl/asllvd/demos/verify_start_end_handshape_annotations//test_auto_move//signs_mov/16072.mov" TargetMode="External"/><Relationship Id="rId66" Type="http://schemas.openxmlformats.org/officeDocument/2006/relationships/hyperlink" Target="http://csr.bu.edu/ftp/asl/asllvd/demos/verify_start_end_handshape_annotations//test_auto_move//signs_mov_separ_signers/Tyler_16072.mov" TargetMode="External"/><Relationship Id="rId67" Type="http://schemas.openxmlformats.org/officeDocument/2006/relationships/hyperlink" Target="http://secrets.rutgers.edu:8080/data/asl-ftp/asllvd/demos/verify_start_end_handshape_annotations//test_auto_move//signs_mov/16072.mov" TargetMode="External"/><Relationship Id="rId68" Type="http://schemas.openxmlformats.org/officeDocument/2006/relationships/hyperlink" Target="http://secrets.rutgers.edu:8080/data/asl-ftp/asllvd/demos/verify_start_end_handshape_annotations//test_auto_move//signs_mov_separ_signers/Tyler_16072.mov" TargetMode="External"/><Relationship Id="rId69" Type="http://schemas.openxmlformats.org/officeDocument/2006/relationships/hyperlink" Target="http://csr.bu.edu/ftp/asl/asllvd/demos/verify_start_end_handshape_annotations//test_auto_move//signs_mov_separ_signers/Naomi_16072.mov" TargetMode="External"/><Relationship Id="rId70" Type="http://schemas.openxmlformats.org/officeDocument/2006/relationships/hyperlink" Target="http://secrets.rutgers.edu:8080/data/asl-ftp/asllvd/demos/verify_start_end_handshape_annotations//test_auto_move//signs_mov_separ_signers/Naomi_16072.mov" TargetMode="External"/><Relationship Id="rId71" Type="http://schemas.openxmlformats.org/officeDocument/2006/relationships/hyperlink" Target="http://csr.bu.edu/ftp/asl/asllvd/demos/verify_start_end_handshape_annotations//test_auto_move//signs_mov_separ_signers/Brady_16072.mov" TargetMode="External"/><Relationship Id="rId72" Type="http://schemas.openxmlformats.org/officeDocument/2006/relationships/hyperlink" Target="http://secrets.rutgers.edu:8080/data/asl-ftp/asllvd/demos/verify_start_end_handshape_annotations//test_auto_move//signs_mov_separ_signers/Brady_16072.mov" TargetMode="External"/><Relationship Id="rId73" Type="http://schemas.openxmlformats.org/officeDocument/2006/relationships/hyperlink" Target="http://csr.bu.edu/ftp/asl/asllvd/demos/verify_start_end_handshape_annotations//test_auto_move//signs_mov/16088.mov" TargetMode="External"/><Relationship Id="rId74" Type="http://schemas.openxmlformats.org/officeDocument/2006/relationships/hyperlink" Target="http://csr.bu.edu/ftp/asl/asllvd/demos/verify_start_end_handshape_annotations//test_auto_move//signs_mov_separ_signers/Liz_16088.mov" TargetMode="External"/><Relationship Id="rId75" Type="http://schemas.openxmlformats.org/officeDocument/2006/relationships/hyperlink" Target="http://secrets.rutgers.edu:8080/data/asl-ftp/asllvd/demos/verify_start_end_handshape_annotations//test_auto_move//signs_mov/16088.mov" TargetMode="External"/><Relationship Id="rId76" Type="http://schemas.openxmlformats.org/officeDocument/2006/relationships/hyperlink" Target="http://secrets.rutgers.edu:8080/data/asl-ftp/asllvd/demos/verify_start_end_handshape_annotations//test_auto_move//signs_mov_separ_signers/Liz_16088.mov" TargetMode="External"/><Relationship Id="rId77" Type="http://schemas.openxmlformats.org/officeDocument/2006/relationships/hyperlink" Target="http://csr.bu.edu/ftp/asl/asllvd/demos/verify_start_end_handshape_annotations//test_auto_move//signs_mov_separ_signers/Brady_16088.mov" TargetMode="External"/><Relationship Id="rId78" Type="http://schemas.openxmlformats.org/officeDocument/2006/relationships/hyperlink" Target="http://secrets.rutgers.edu:8080/data/asl-ftp/asllvd/demos/verify_start_end_handshape_annotations//test_auto_move//signs_mov_separ_signers/Brady_16088.mov" TargetMode="External"/><Relationship Id="rId79" Type="http://schemas.openxmlformats.org/officeDocument/2006/relationships/hyperlink" Target="http://csr.bu.edu/ftp/asl/asllvd/demos/verify_start_end_handshape_annotations//test_auto_move//signs_mov_separ_signers/Liz_16190.mov" TargetMode="External"/><Relationship Id="rId80" Type="http://schemas.openxmlformats.org/officeDocument/2006/relationships/hyperlink" Target="http://secrets.rutgers.edu:8080/data/asl-ftp/asllvd/demos/verify_start_end_handshape_annotations//test_auto_move//signs_mov_separ_signers/Liz_16190.mov" TargetMode="External"/><Relationship Id="rId81" Type="http://schemas.openxmlformats.org/officeDocument/2006/relationships/hyperlink" Target="http://csr.bu.edu/ftp/asl/asllvd/demos/verify_start_end_handshape_annotations//test_auto_move//signs_mov_separ_signers/Tyler_16190.mov" TargetMode="External"/><Relationship Id="rId82" Type="http://schemas.openxmlformats.org/officeDocument/2006/relationships/hyperlink" Target="http://secrets.rutgers.edu:8080/data/asl-ftp/asllvd/demos/verify_start_end_handshape_annotations//test_auto_move//signs_mov_separ_signers/Tyler_16190.mov" TargetMode="External"/><Relationship Id="rId83" Type="http://schemas.openxmlformats.org/officeDocument/2006/relationships/hyperlink" Target="http://csr.bu.edu/ftp/asl/asllvd/demos/verify_start_end_handshape_annotations//test_auto_move//signs_mov/16190.mov" TargetMode="External"/><Relationship Id="rId84" Type="http://schemas.openxmlformats.org/officeDocument/2006/relationships/hyperlink" Target="http://csr.bu.edu/ftp/asl/asllvd/demos/verify_start_end_handshape_annotations//test_auto_move//signs_mov_separ_signers/Brady_16190.mov" TargetMode="External"/><Relationship Id="rId85" Type="http://schemas.openxmlformats.org/officeDocument/2006/relationships/hyperlink" Target="http://secrets.rutgers.edu:8080/data/asl-ftp/asllvd/demos/verify_start_end_handshape_annotations//test_auto_move//signs_mov/16190.mov" TargetMode="External"/><Relationship Id="rId86" Type="http://schemas.openxmlformats.org/officeDocument/2006/relationships/hyperlink" Target="http://secrets.rutgers.edu:8080/data/asl-ftp/asllvd/demos/verify_start_end_handshape_annotations//test_auto_move//signs_mov_separ_signers/Brady_16190.mov" TargetMode="External"/><Relationship Id="rId87" Type="http://schemas.openxmlformats.org/officeDocument/2006/relationships/hyperlink" Target="http://csr.bu.edu/ftp/asl/asllvd/demos/verify_start_end_handshape_annotations//test_auto_move//signs_mov_separ_signers/Lana_16190.mov" TargetMode="External"/><Relationship Id="rId88" Type="http://schemas.openxmlformats.org/officeDocument/2006/relationships/hyperlink" Target="http://secrets.rutgers.edu:8080/data/asl-ftp/asllvd/demos/verify_start_end_handshape_annotations//test_auto_move//signs_mov_separ_signers/Lana_16190.mov" TargetMode="External"/><Relationship Id="rId89" Type="http://schemas.openxmlformats.org/officeDocument/2006/relationships/hyperlink" Target="http://csr.bu.edu/ftp/asl/asllvd/demos/verify_start_end_handshape_annotations//test_auto_move//signs_mov_separ_signers/Dana_16190.mov" TargetMode="External"/><Relationship Id="rId90" Type="http://schemas.openxmlformats.org/officeDocument/2006/relationships/hyperlink" Target="http://secrets.rutgers.edu:8080/data/asl-ftp/asllvd/demos/verify_start_end_handshape_annotations//test_auto_move//signs_mov_separ_signers/Dana_16190.mov" TargetMode="External"/><Relationship Id="rId91" Type="http://schemas.openxmlformats.org/officeDocument/2006/relationships/hyperlink" Target="http://csr.bu.edu/ftp/asl/asllvd/demos/verify_start_end_handshape_annotations//test_auto_move//signs_mov/16235.mov" TargetMode="External"/><Relationship Id="rId92" Type="http://schemas.openxmlformats.org/officeDocument/2006/relationships/hyperlink" Target="http://csr.bu.edu/ftp/asl/asllvd/demos/verify_start_end_handshape_annotations//test_auto_move//signs_mov_separ_signers/Naomi_16235.mov" TargetMode="External"/><Relationship Id="rId93" Type="http://schemas.openxmlformats.org/officeDocument/2006/relationships/hyperlink" Target="http://secrets.rutgers.edu:8080/data/asl-ftp/asllvd/demos/verify_start_end_handshape_annotations//test_auto_move//signs_mov/16235.mov" TargetMode="External"/><Relationship Id="rId94" Type="http://schemas.openxmlformats.org/officeDocument/2006/relationships/hyperlink" Target="http://secrets.rutgers.edu:8080/data/asl-ftp/asllvd/demos/verify_start_end_handshape_annotations//test_auto_move//signs_mov_separ_signers/Naomi_16235.mov" TargetMode="External"/><Relationship Id="rId95" Type="http://schemas.openxmlformats.org/officeDocument/2006/relationships/hyperlink" Target="http://csr.bu.edu/ftp/asl/asllvd/demos/verify_start_end_handshape_annotations//test_auto_move//signs_mov_separ_signers/Liz_27.mov" TargetMode="External"/><Relationship Id="rId96" Type="http://schemas.openxmlformats.org/officeDocument/2006/relationships/hyperlink" Target="http://secrets.rutgers.edu:8080/data/asl-ftp/asllvd/demos/verify_start_end_handshape_annotations//test_auto_move//signs_mov_separ_signers/Liz_27.mov" TargetMode="External"/><Relationship Id="rId97" Type="http://schemas.openxmlformats.org/officeDocument/2006/relationships/hyperlink" Target="http://csr.bu.edu/ftp/asl/asllvd/demos/verify_start_end_handshape_annotations//test_auto_move//signs_mov/27.mov" TargetMode="External"/><Relationship Id="rId98" Type="http://schemas.openxmlformats.org/officeDocument/2006/relationships/hyperlink" Target="http://csr.bu.edu/ftp/asl/asllvd/demos/verify_start_end_handshape_annotations//test_auto_move//signs_mov_separ_signers/Tyler_27.mov" TargetMode="External"/><Relationship Id="rId99" Type="http://schemas.openxmlformats.org/officeDocument/2006/relationships/hyperlink" Target="http://secrets.rutgers.edu:8080/data/asl-ftp/asllvd/demos/verify_start_end_handshape_annotations//test_auto_move//signs_mov/27.mov" TargetMode="External"/><Relationship Id="rId100" Type="http://schemas.openxmlformats.org/officeDocument/2006/relationships/hyperlink" Target="http://secrets.rutgers.edu:8080/data/asl-ftp/asllvd/demos/verify_start_end_handshape_annotations//test_auto_move//signs_mov_separ_signers/Tyler_27.mov" TargetMode="External"/><Relationship Id="rId101" Type="http://schemas.openxmlformats.org/officeDocument/2006/relationships/hyperlink" Target="http://csr.bu.edu/ftp/asl/asllvd/demos/verify_start_end_handshape_annotations//test_auto_move//signs_mov_separ_signers/Naomi_27.mov" TargetMode="External"/><Relationship Id="rId102" Type="http://schemas.openxmlformats.org/officeDocument/2006/relationships/hyperlink" Target="http://secrets.rutgers.edu:8080/data/asl-ftp/asllvd/demos/verify_start_end_handshape_annotations//test_auto_move//signs_mov_separ_signers/Naomi_27.mov" TargetMode="External"/><Relationship Id="rId103" Type="http://schemas.openxmlformats.org/officeDocument/2006/relationships/hyperlink" Target="http://csr.bu.edu/ftp/asl/asllvd/demos/verify_start_end_handshape_annotations//test_auto_move//signs_mov_separ_signers/Brady_27.mov" TargetMode="External"/><Relationship Id="rId104" Type="http://schemas.openxmlformats.org/officeDocument/2006/relationships/hyperlink" Target="http://secrets.rutgers.edu:8080/data/asl-ftp/asllvd/demos/verify_start_end_handshape_annotations//test_auto_move//signs_mov_separ_signers/Brady_27.mov" TargetMode="External"/><Relationship Id="rId105" Type="http://schemas.openxmlformats.org/officeDocument/2006/relationships/hyperlink" Target="http://csr.bu.edu/ftp/asl/asllvd/demos/verify_start_end_handshape_annotations//test_auto_move//signs_mov_separ_signers/Liz_28.mov" TargetMode="External"/><Relationship Id="rId106" Type="http://schemas.openxmlformats.org/officeDocument/2006/relationships/hyperlink" Target="http://secrets.rutgers.edu:8080/data/asl-ftp/asllvd/demos/verify_start_end_handshape_annotations//test_auto_move//signs_mov_separ_signers/Liz_28.mov" TargetMode="External"/><Relationship Id="rId107" Type="http://schemas.openxmlformats.org/officeDocument/2006/relationships/hyperlink" Target="http://csr.bu.edu/ftp/asl/asllvd/demos/verify_start_end_handshape_annotations//test_auto_move//signs_mov/28.mov" TargetMode="External"/><Relationship Id="rId108" Type="http://schemas.openxmlformats.org/officeDocument/2006/relationships/hyperlink" Target="http://csr.bu.edu/ftp/asl/asllvd/demos/verify_start_end_handshape_annotations//test_auto_move//signs_mov_separ_signers/Tyler_28.mov" TargetMode="External"/><Relationship Id="rId109" Type="http://schemas.openxmlformats.org/officeDocument/2006/relationships/hyperlink" Target="http://secrets.rutgers.edu:8080/data/asl-ftp/asllvd/demos/verify_start_end_handshape_annotations//test_auto_move//signs_mov/28.mov" TargetMode="External"/><Relationship Id="rId110" Type="http://schemas.openxmlformats.org/officeDocument/2006/relationships/hyperlink" Target="http://secrets.rutgers.edu:8080/data/asl-ftp/asllvd/demos/verify_start_end_handshape_annotations//test_auto_move//signs_mov_separ_signers/Tyler_28.mov" TargetMode="External"/><Relationship Id="rId111" Type="http://schemas.openxmlformats.org/officeDocument/2006/relationships/hyperlink" Target="http://csr.bu.edu/ftp/asl/asllvd/demos/verify_start_end_handshape_annotations//test_auto_move//signs_mov_separ_signers/Naomi_28.mov" TargetMode="External"/><Relationship Id="rId112" Type="http://schemas.openxmlformats.org/officeDocument/2006/relationships/hyperlink" Target="http://secrets.rutgers.edu:8080/data/asl-ftp/asllvd/demos/verify_start_end_handshape_annotations//test_auto_move//signs_mov_separ_signers/Naomi_28.mov" TargetMode="External"/><Relationship Id="rId113" Type="http://schemas.openxmlformats.org/officeDocument/2006/relationships/hyperlink" Target="http://csr.bu.edu/ftp/asl/asllvd/demos/verify_start_end_handshape_annotations//test_auto_move//signs_mov_separ_signers/Brady_28.mov" TargetMode="External"/><Relationship Id="rId114" Type="http://schemas.openxmlformats.org/officeDocument/2006/relationships/hyperlink" Target="http://secrets.rutgers.edu:8080/data/asl-ftp/asllvd/demos/verify_start_end_handshape_annotations//test_auto_move//signs_mov_separ_signers/Brady_28.mov" TargetMode="External"/><Relationship Id="rId115" Type="http://schemas.openxmlformats.org/officeDocument/2006/relationships/hyperlink" Target="http://csr.bu.edu/ftp/asl/asllvd/demos/verify_start_end_handshape_annotations//test_auto_move//signs_mov_separ_signers/Liz_30.mov" TargetMode="External"/><Relationship Id="rId116" Type="http://schemas.openxmlformats.org/officeDocument/2006/relationships/hyperlink" Target="http://secrets.rutgers.edu:8080/data/asl-ftp/asllvd/demos/verify_start_end_handshape_annotations//test_auto_move//signs_mov_separ_signers/Liz_30.mov" TargetMode="External"/><Relationship Id="rId117" Type="http://schemas.openxmlformats.org/officeDocument/2006/relationships/hyperlink" Target="http://csr.bu.edu/ftp/asl/asllvd/demos/verify_start_end_handshape_annotations//test_auto_move//signs_mov/30.mov" TargetMode="External"/><Relationship Id="rId118" Type="http://schemas.openxmlformats.org/officeDocument/2006/relationships/hyperlink" Target="http://csr.bu.edu/ftp/asl/asllvd/demos/verify_start_end_handshape_annotations//test_auto_move//signs_mov_separ_signers/Tyler_30.mov" TargetMode="External"/><Relationship Id="rId119" Type="http://schemas.openxmlformats.org/officeDocument/2006/relationships/hyperlink" Target="http://secrets.rutgers.edu:8080/data/asl-ftp/asllvd/demos/verify_start_end_handshape_annotations//test_auto_move//signs_mov/30.mov" TargetMode="External"/><Relationship Id="rId120" Type="http://schemas.openxmlformats.org/officeDocument/2006/relationships/hyperlink" Target="http://secrets.rutgers.edu:8080/data/asl-ftp/asllvd/demos/verify_start_end_handshape_annotations//test_auto_move//signs_mov_separ_signers/Tyler_30.mov" TargetMode="External"/><Relationship Id="rId121" Type="http://schemas.openxmlformats.org/officeDocument/2006/relationships/hyperlink" Target="http://csr.bu.edu/ftp/asl/asllvd/demos/verify_start_end_handshape_annotations//test_auto_move//signs_mov_separ_signers/Brady_30.mov" TargetMode="External"/><Relationship Id="rId122" Type="http://schemas.openxmlformats.org/officeDocument/2006/relationships/hyperlink" Target="http://secrets.rutgers.edu:8080/data/asl-ftp/asllvd/demos/verify_start_end_handshape_annotations//test_auto_move//signs_mov_separ_signers/Brady_30.mov" TargetMode="External"/><Relationship Id="rId123" Type="http://schemas.openxmlformats.org/officeDocument/2006/relationships/hyperlink" Target="http://csr.bu.edu/ftp/asl/asllvd/demos/verify_start_end_handshape_annotations//test_auto_move//signs_mov/5083.mov" TargetMode="External"/><Relationship Id="rId124" Type="http://schemas.openxmlformats.org/officeDocument/2006/relationships/hyperlink" Target="http://csr.bu.edu/ftp/asl/asllvd/demos/verify_start_end_handshape_annotations//test_auto_move//signs_mov_separ_signers/Naomi_5083.mov" TargetMode="External"/><Relationship Id="rId125" Type="http://schemas.openxmlformats.org/officeDocument/2006/relationships/hyperlink" Target="http://secrets.rutgers.edu:8080/data/asl-ftp/asllvd/demos/verify_start_end_handshape_annotations//test_auto_move//signs_mov/5083.mov" TargetMode="External"/><Relationship Id="rId126" Type="http://schemas.openxmlformats.org/officeDocument/2006/relationships/hyperlink" Target="http://secrets.rutgers.edu:8080/data/asl-ftp/asllvd/demos/verify_start_end_handshape_annotations//test_auto_move//signs_mov_separ_signers/Naomi_5083.mov" TargetMode="External"/><Relationship Id="rId127" Type="http://schemas.openxmlformats.org/officeDocument/2006/relationships/hyperlink" Target="http://csr.bu.edu/ftp/asl/asllvd/demos/verify_start_end_handshape_annotations//test_auto_move//signs_mov/31.mov" TargetMode="External"/><Relationship Id="rId128" Type="http://schemas.openxmlformats.org/officeDocument/2006/relationships/hyperlink" Target="http://csr.bu.edu/ftp/asl/asllvd/demos/verify_start_end_handshape_annotations//test_auto_move//signs_mov_separ_signers/Liz_31.mov" TargetMode="External"/><Relationship Id="rId129" Type="http://schemas.openxmlformats.org/officeDocument/2006/relationships/hyperlink" Target="http://secrets.rutgers.edu:8080/data/asl-ftp/asllvd/demos/verify_start_end_handshape_annotations//test_auto_move//signs_mov/31.mov" TargetMode="External"/><Relationship Id="rId130" Type="http://schemas.openxmlformats.org/officeDocument/2006/relationships/hyperlink" Target="http://secrets.rutgers.edu:8080/data/asl-ftp/asllvd/demos/verify_start_end_handshape_annotations//test_auto_move//signs_mov_separ_signers/Liz_31.mov" TargetMode="External"/><Relationship Id="rId131" Type="http://schemas.openxmlformats.org/officeDocument/2006/relationships/hyperlink" Target="http://csr.bu.edu/ftp/asl/asllvd/demos/verify_start_end_handshape_annotations//test_auto_move//signs_mov/3908.mov" TargetMode="External"/><Relationship Id="rId132" Type="http://schemas.openxmlformats.org/officeDocument/2006/relationships/hyperlink" Target="http://csr.bu.edu/ftp/asl/asllvd/demos/verify_start_end_handshape_annotations//test_auto_move//signs_mov_separ_signers/Naomi_3908.mov" TargetMode="External"/><Relationship Id="rId133" Type="http://schemas.openxmlformats.org/officeDocument/2006/relationships/hyperlink" Target="http://secrets.rutgers.edu:8080/data/asl-ftp/asllvd/demos/verify_start_end_handshape_annotations//test_auto_move//signs_mov/3908.mov" TargetMode="External"/><Relationship Id="rId134" Type="http://schemas.openxmlformats.org/officeDocument/2006/relationships/hyperlink" Target="http://secrets.rutgers.edu:8080/data/asl-ftp/asllvd/demos/verify_start_end_handshape_annotations//test_auto_move//signs_mov_separ_signers/Naomi_3908.mov" TargetMode="External"/><Relationship Id="rId135" Type="http://schemas.openxmlformats.org/officeDocument/2006/relationships/hyperlink" Target="http://csr.bu.edu/ftp/asl/asllvd/demos/verify_start_end_handshape_annotations//test_auto_move//signs_mov/5084.mov" TargetMode="External"/><Relationship Id="rId136" Type="http://schemas.openxmlformats.org/officeDocument/2006/relationships/hyperlink" Target="http://csr.bu.edu/ftp/asl/asllvd/demos/verify_start_end_handshape_annotations//test_auto_move//signs_mov_separ_signers/Liz_5084.mov" TargetMode="External"/><Relationship Id="rId137" Type="http://schemas.openxmlformats.org/officeDocument/2006/relationships/hyperlink" Target="http://secrets.rutgers.edu:8080/data/asl-ftp/asllvd/demos/verify_start_end_handshape_annotations//test_auto_move//signs_mov/5084.mov" TargetMode="External"/><Relationship Id="rId138" Type="http://schemas.openxmlformats.org/officeDocument/2006/relationships/hyperlink" Target="http://secrets.rutgers.edu:8080/data/asl-ftp/asllvd/demos/verify_start_end_handshape_annotations//test_auto_move//signs_mov_separ_signers/Liz_5084.mov" TargetMode="External"/><Relationship Id="rId139" Type="http://schemas.openxmlformats.org/officeDocument/2006/relationships/hyperlink" Target="http://csr.bu.edu/ftp/asl/asllvd/demos/verify_start_end_handshape_annotations//test_auto_move//signs_mov/16194.mov" TargetMode="External"/><Relationship Id="rId140" Type="http://schemas.openxmlformats.org/officeDocument/2006/relationships/hyperlink" Target="http://csr.bu.edu/ftp/asl/asllvd/demos/verify_start_end_handshape_annotations//test_auto_move//signs_mov_separ_signers/Tyler_16194.mov" TargetMode="External"/><Relationship Id="rId141" Type="http://schemas.openxmlformats.org/officeDocument/2006/relationships/hyperlink" Target="http://secrets.rutgers.edu:8080/data/asl-ftp/asllvd/demos/verify_start_end_handshape_annotations//test_auto_move//signs_mov/16194.mov" TargetMode="External"/><Relationship Id="rId142" Type="http://schemas.openxmlformats.org/officeDocument/2006/relationships/hyperlink" Target="http://secrets.rutgers.edu:8080/data/asl-ftp/asllvd/demos/verify_start_end_handshape_annotations//test_auto_move//signs_mov_separ_signers/Tyler_16194.mov" TargetMode="External"/><Relationship Id="rId143" Type="http://schemas.openxmlformats.org/officeDocument/2006/relationships/hyperlink" Target="http://csr.bu.edu/ftp/asl/asllvd/demos/verify_start_end_handshape_annotations//test_auto_move//signs_mov/33.mov" TargetMode="External"/><Relationship Id="rId144" Type="http://schemas.openxmlformats.org/officeDocument/2006/relationships/hyperlink" Target="http://csr.bu.edu/ftp/asl/asllvd/demos/verify_start_end_handshape_annotations//test_auto_move//signs_mov_separ_signers/Liz_33.mov" TargetMode="External"/><Relationship Id="rId145" Type="http://schemas.openxmlformats.org/officeDocument/2006/relationships/hyperlink" Target="http://secrets.rutgers.edu:8080/data/asl-ftp/asllvd/demos/verify_start_end_handshape_annotations//test_auto_move//signs_mov/33.mov" TargetMode="External"/><Relationship Id="rId146" Type="http://schemas.openxmlformats.org/officeDocument/2006/relationships/hyperlink" Target="http://secrets.rutgers.edu:8080/data/asl-ftp/asllvd/demos/verify_start_end_handshape_annotations//test_auto_move//signs_mov_separ_signers/Liz_33.mov" TargetMode="External"/><Relationship Id="rId147" Type="http://schemas.openxmlformats.org/officeDocument/2006/relationships/hyperlink" Target="http://csr.bu.edu/ftp/asl/asllvd/demos/verify_start_end_handshape_annotations//test_auto_move//signs_mov/3566.mov" TargetMode="External"/><Relationship Id="rId148" Type="http://schemas.openxmlformats.org/officeDocument/2006/relationships/hyperlink" Target="http://csr.bu.edu/ftp/asl/asllvd/demos/verify_start_end_handshape_annotations//test_auto_move//signs_mov_separ_signers/Naomi_3566.mov" TargetMode="External"/><Relationship Id="rId149" Type="http://schemas.openxmlformats.org/officeDocument/2006/relationships/hyperlink" Target="http://secrets.rutgers.edu:8080/data/asl-ftp/asllvd/demos/verify_start_end_handshape_annotations//test_auto_move//signs_mov/3566.mov" TargetMode="External"/><Relationship Id="rId150" Type="http://schemas.openxmlformats.org/officeDocument/2006/relationships/hyperlink" Target="http://secrets.rutgers.edu:8080/data/asl-ftp/asllvd/demos/verify_start_end_handshape_annotations//test_auto_move//signs_mov_separ_signers/Naomi_3566.mov" TargetMode="External"/><Relationship Id="rId151" Type="http://schemas.openxmlformats.org/officeDocument/2006/relationships/hyperlink" Target="http://csr.bu.edu/ftp/asl/asllvd/demos/verify_start_end_handshape_annotations//test_auto_move//signs_mov/15305_15313_merged.mov" TargetMode="External"/><Relationship Id="rId152" Type="http://schemas.openxmlformats.org/officeDocument/2006/relationships/hyperlink" Target="http://csr.bu.edu/ftp/asl/asllvd/demos/verify_start_end_handshape_annotations//test_auto_move//signs_mov_separ_signers/Tyler_15305.mov" TargetMode="External"/><Relationship Id="rId153" Type="http://schemas.openxmlformats.org/officeDocument/2006/relationships/hyperlink" Target="http://secrets.rutgers.edu:8080/data/asl-ftp/asllvd/demos/verify_start_end_handshape_annotations//test_auto_move//signs_mov/15305_15313_merged.mov" TargetMode="External"/><Relationship Id="rId154" Type="http://schemas.openxmlformats.org/officeDocument/2006/relationships/hyperlink" Target="http://secrets.rutgers.edu:8080/data/asl-ftp/asllvd/demos/verify_start_end_handshape_annotations//test_auto_move//signs_mov_separ_signers/Tyler_15305.mov" TargetMode="External"/><Relationship Id="rId155" Type="http://schemas.openxmlformats.org/officeDocument/2006/relationships/hyperlink" Target="http://csr.bu.edu/ftp/asl/asllvd/demos/verify_start_end_handshape_annotations//test_auto_move//signs_mov_separ_signers/Tyler_15313.mov" TargetMode="External"/><Relationship Id="rId156" Type="http://schemas.openxmlformats.org/officeDocument/2006/relationships/hyperlink" Target="http://secrets.rutgers.edu:8080/data/asl-ftp/asllvd/demos/verify_start_end_handshape_annotations//test_auto_move//signs_mov_separ_signers/Tyler_15313.mov" TargetMode="External"/><Relationship Id="rId157" Type="http://schemas.openxmlformats.org/officeDocument/2006/relationships/hyperlink" Target="http://csr.bu.edu/ftp/asl/asllvd/demos/verify_start_end_handshape_annotations//test_auto_move//signs_mov_separ_signers/Liz_15527.mov" TargetMode="External"/><Relationship Id="rId158" Type="http://schemas.openxmlformats.org/officeDocument/2006/relationships/hyperlink" Target="http://secrets.rutgers.edu:8080/data/asl-ftp/asllvd/demos/verify_start_end_handshape_annotations//test_auto_move//signs_mov_separ_signers/Liz_15527.mov" TargetMode="External"/><Relationship Id="rId159" Type="http://schemas.openxmlformats.org/officeDocument/2006/relationships/hyperlink" Target="http://csr.bu.edu/ftp/asl/asllvd/demos/verify_start_end_handshape_annotations//test_auto_move//signs_mov/15527_15538_merged.mov" TargetMode="External"/><Relationship Id="rId160" Type="http://schemas.openxmlformats.org/officeDocument/2006/relationships/hyperlink" Target="http://csr.bu.edu/ftp/asl/asllvd/demos/verify_start_end_handshape_annotations//test_auto_move//signs_mov_separ_signers/Liz_15538.mov" TargetMode="External"/><Relationship Id="rId161" Type="http://schemas.openxmlformats.org/officeDocument/2006/relationships/hyperlink" Target="http://secrets.rutgers.edu:8080/data/asl-ftp/asllvd/demos/verify_start_end_handshape_annotations//test_auto_move//signs_mov/15527_15538_merged.mov" TargetMode="External"/><Relationship Id="rId162" Type="http://schemas.openxmlformats.org/officeDocument/2006/relationships/hyperlink" Target="http://secrets.rutgers.edu:8080/data/asl-ftp/asllvd/demos/verify_start_end_handshape_annotations//test_auto_move//signs_mov_separ_signers/Liz_15538.mov" TargetMode="External"/><Relationship Id="rId163" Type="http://schemas.openxmlformats.org/officeDocument/2006/relationships/hyperlink" Target="http://csr.bu.edu/ftp/asl/asllvd/demos/verify_start_end_handshape_annotations//test_auto_move//signs_mov_separ_signers/Naomi_15527.mov" TargetMode="External"/><Relationship Id="rId164" Type="http://schemas.openxmlformats.org/officeDocument/2006/relationships/hyperlink" Target="http://secrets.rutgers.edu:8080/data/asl-ftp/asllvd/demos/verify_start_end_handshape_annotations//test_auto_move//signs_mov_separ_signers/Naomi_15527.mov" TargetMode="External"/><Relationship Id="rId165" Type="http://schemas.openxmlformats.org/officeDocument/2006/relationships/hyperlink" Target="http://csr.bu.edu/ftp/asl/asllvd/demos/verify_start_end_handshape_annotations//test_auto_move//signs_mov_separ_signers/Brady_15527.mov" TargetMode="External"/><Relationship Id="rId166" Type="http://schemas.openxmlformats.org/officeDocument/2006/relationships/hyperlink" Target="http://secrets.rutgers.edu:8080/data/asl-ftp/asllvd/demos/verify_start_end_handshape_annotations//test_auto_move//signs_mov_separ_signers/Brady_15527.mov" TargetMode="External"/><Relationship Id="rId167" Type="http://schemas.openxmlformats.org/officeDocument/2006/relationships/hyperlink" Target="http://csr.bu.edu/ftp/asl/asllvd/demos/verify_start_end_handshape_annotations//test_auto_move//signs_mov/15571.mov" TargetMode="External"/><Relationship Id="rId168" Type="http://schemas.openxmlformats.org/officeDocument/2006/relationships/hyperlink" Target="http://csr.bu.edu/ftp/asl/asllvd/demos/verify_start_end_handshape_annotations//test_auto_move//signs_mov_separ_signers/Liz_15571.mov" TargetMode="External"/><Relationship Id="rId169" Type="http://schemas.openxmlformats.org/officeDocument/2006/relationships/hyperlink" Target="http://secrets.rutgers.edu:8080/data/asl-ftp/asllvd/demos/verify_start_end_handshape_annotations//test_auto_move//signs_mov/15571.mov" TargetMode="External"/><Relationship Id="rId170" Type="http://schemas.openxmlformats.org/officeDocument/2006/relationships/hyperlink" Target="http://secrets.rutgers.edu:8080/data/asl-ftp/asllvd/demos/verify_start_end_handshape_annotations//test_auto_move//signs_mov_separ_signers/Liz_15571.mov" TargetMode="External"/><Relationship Id="rId171" Type="http://schemas.openxmlformats.org/officeDocument/2006/relationships/hyperlink" Target="http://csr.bu.edu/ftp/asl/asllvd/demos/verify_start_end_handshape_annotations//test_auto_move//signs_mov_separ_signers/Brady_15571.mov" TargetMode="External"/><Relationship Id="rId172" Type="http://schemas.openxmlformats.org/officeDocument/2006/relationships/hyperlink" Target="http://secrets.rutgers.edu:8080/data/asl-ftp/asllvd/demos/verify_start_end_handshape_annotations//test_auto_move//signs_mov_separ_signers/Brady_15571.mov" TargetMode="External"/><Relationship Id="rId173" Type="http://schemas.openxmlformats.org/officeDocument/2006/relationships/hyperlink" Target="http://csr.bu.edu/ftp/asl/asllvd/demos/verify_start_end_handshape_annotations//test_auto_move//signs_mov_separ_signers/Liz_15604.mov" TargetMode="External"/><Relationship Id="rId174" Type="http://schemas.openxmlformats.org/officeDocument/2006/relationships/hyperlink" Target="http://secrets.rutgers.edu:8080/data/asl-ftp/asllvd/demos/verify_start_end_handshape_annotations//test_auto_move//signs_mov_separ_signers/Liz_15604.mov" TargetMode="External"/><Relationship Id="rId175" Type="http://schemas.openxmlformats.org/officeDocument/2006/relationships/hyperlink" Target="http://csr.bu.edu/ftp/asl/asllvd/demos/verify_start_end_handshape_annotations//test_auto_move//signs_mov/15604_15767_merged.mov" TargetMode="External"/><Relationship Id="rId176" Type="http://schemas.openxmlformats.org/officeDocument/2006/relationships/hyperlink" Target="http://csr.bu.edu/ftp/asl/asllvd/demos/verify_start_end_handshape_annotations//test_auto_move//signs_mov_separ_signers/Liz_15767.mov" TargetMode="External"/><Relationship Id="rId177" Type="http://schemas.openxmlformats.org/officeDocument/2006/relationships/hyperlink" Target="http://secrets.rutgers.edu:8080/data/asl-ftp/asllvd/demos/verify_start_end_handshape_annotations//test_auto_move//signs_mov/15604_15767_merged.mov" TargetMode="External"/><Relationship Id="rId178" Type="http://schemas.openxmlformats.org/officeDocument/2006/relationships/hyperlink" Target="http://secrets.rutgers.edu:8080/data/asl-ftp/asllvd/demos/verify_start_end_handshape_annotations//test_auto_move//signs_mov_separ_signers/Liz_15767.mov" TargetMode="External"/><Relationship Id="rId179" Type="http://schemas.openxmlformats.org/officeDocument/2006/relationships/hyperlink" Target="http://csr.bu.edu/ftp/asl/asllvd/demos/verify_start_end_handshape_annotations//test_auto_move//signs_mov_separ_signers/Brady_15604.mov" TargetMode="External"/><Relationship Id="rId180" Type="http://schemas.openxmlformats.org/officeDocument/2006/relationships/hyperlink" Target="http://secrets.rutgers.edu:8080/data/asl-ftp/asllvd/demos/verify_start_end_handshape_annotations//test_auto_move//signs_mov_separ_signers/Brady_15604.mov" TargetMode="External"/><Relationship Id="rId181" Type="http://schemas.openxmlformats.org/officeDocument/2006/relationships/hyperlink" Target="http://csr.bu.edu/ftp/asl/asllvd/demos/verify_start_end_handshape_annotations//test_auto_move//signs_mov/15768.mov" TargetMode="External"/><Relationship Id="rId182" Type="http://schemas.openxmlformats.org/officeDocument/2006/relationships/hyperlink" Target="http://csr.bu.edu/ftp/asl/asllvd/demos/verify_start_end_handshape_annotations//test_auto_move//signs_mov_separ_signers/Liz_15768.mov" TargetMode="External"/><Relationship Id="rId183" Type="http://schemas.openxmlformats.org/officeDocument/2006/relationships/hyperlink" Target="http://secrets.rutgers.edu:8080/data/asl-ftp/asllvd/demos/verify_start_end_handshape_annotations//test_auto_move//signs_mov/15768.mov" TargetMode="External"/><Relationship Id="rId184" Type="http://schemas.openxmlformats.org/officeDocument/2006/relationships/hyperlink" Target="http://secrets.rutgers.edu:8080/data/asl-ftp/asllvd/demos/verify_start_end_handshape_annotations//test_auto_move//signs_mov_separ_signers/Liz_15768.mov" TargetMode="External"/><Relationship Id="rId185" Type="http://schemas.openxmlformats.org/officeDocument/2006/relationships/hyperlink" Target="http://csr.bu.edu/ftp/asl/asllvd/demos/verify_start_end_handshape_annotations//test_auto_move//signs_mov_separ_signers/Liz_15769.mov" TargetMode="External"/><Relationship Id="rId186" Type="http://schemas.openxmlformats.org/officeDocument/2006/relationships/hyperlink" Target="http://secrets.rutgers.edu:8080/data/asl-ftp/asllvd/demos/verify_start_end_handshape_annotations//test_auto_move//signs_mov_separ_signers/Liz_15769.mov" TargetMode="External"/><Relationship Id="rId187" Type="http://schemas.openxmlformats.org/officeDocument/2006/relationships/hyperlink" Target="http://csr.bu.edu/ftp/asl/asllvd/demos/verify_start_end_handshape_annotations//test_auto_move//signs_mov/15769.mov" TargetMode="External"/><Relationship Id="rId188" Type="http://schemas.openxmlformats.org/officeDocument/2006/relationships/hyperlink" Target="http://csr.bu.edu/ftp/asl/asllvd/demos/verify_start_end_handshape_annotations//test_auto_move//signs_mov_separ_signers/Tyler_15769.mov" TargetMode="External"/><Relationship Id="rId189" Type="http://schemas.openxmlformats.org/officeDocument/2006/relationships/hyperlink" Target="http://secrets.rutgers.edu:8080/data/asl-ftp/asllvd/demos/verify_start_end_handshape_annotations//test_auto_move//signs_mov/15769.mov" TargetMode="External"/><Relationship Id="rId190" Type="http://schemas.openxmlformats.org/officeDocument/2006/relationships/hyperlink" Target="http://secrets.rutgers.edu:8080/data/asl-ftp/asllvd/demos/verify_start_end_handshape_annotations//test_auto_move//signs_mov_separ_signers/Tyler_15769.mov" TargetMode="External"/><Relationship Id="rId191" Type="http://schemas.openxmlformats.org/officeDocument/2006/relationships/hyperlink" Target="http://csr.bu.edu/ftp/asl/asllvd/demos/verify_start_end_handshape_annotations//test_auto_move//signs_mov_separ_signers/Naomi_15769.mov" TargetMode="External"/><Relationship Id="rId192" Type="http://schemas.openxmlformats.org/officeDocument/2006/relationships/hyperlink" Target="http://secrets.rutgers.edu:8080/data/asl-ftp/asllvd/demos/verify_start_end_handshape_annotations//test_auto_move//signs_mov_separ_signers/Naomi_15769.mov" TargetMode="External"/><Relationship Id="rId193" Type="http://schemas.openxmlformats.org/officeDocument/2006/relationships/hyperlink" Target="http://csr.bu.edu/ftp/asl/asllvd/demos/verify_start_end_handshape_annotations//test_auto_move//signs_mov_separ_signers/Brady_15769.mov" TargetMode="External"/><Relationship Id="rId194" Type="http://schemas.openxmlformats.org/officeDocument/2006/relationships/hyperlink" Target="http://secrets.rutgers.edu:8080/data/asl-ftp/asllvd/demos/verify_start_end_handshape_annotations//test_auto_move//signs_mov_separ_signers/Brady_15769.mov" TargetMode="External"/><Relationship Id="rId195" Type="http://schemas.openxmlformats.org/officeDocument/2006/relationships/hyperlink" Target="http://csr.bu.edu/ftp/asl/asllvd/demos/verify_start_end_handshape_annotations//test_auto_move//signs_mov_separ_signers/Liz_15770.mov" TargetMode="External"/><Relationship Id="rId196" Type="http://schemas.openxmlformats.org/officeDocument/2006/relationships/hyperlink" Target="http://secrets.rutgers.edu:8080/data/asl-ftp/asllvd/demos/verify_start_end_handshape_annotations//test_auto_move//signs_mov_separ_signers/Liz_15770.mov" TargetMode="External"/><Relationship Id="rId197" Type="http://schemas.openxmlformats.org/officeDocument/2006/relationships/hyperlink" Target="http://csr.bu.edu/ftp/asl/asllvd/demos/verify_start_end_handshape_annotations//test_auto_move//signs_mov/15770.mov" TargetMode="External"/><Relationship Id="rId198" Type="http://schemas.openxmlformats.org/officeDocument/2006/relationships/hyperlink" Target="http://csr.bu.edu/ftp/asl/asllvd/demos/verify_start_end_handshape_annotations//test_auto_move//signs_mov_separ_signers/Naomi_15770.mov" TargetMode="External"/><Relationship Id="rId199" Type="http://schemas.openxmlformats.org/officeDocument/2006/relationships/hyperlink" Target="http://secrets.rutgers.edu:8080/data/asl-ftp/asllvd/demos/verify_start_end_handshape_annotations//test_auto_move//signs_mov/15770.mov" TargetMode="External"/><Relationship Id="rId200" Type="http://schemas.openxmlformats.org/officeDocument/2006/relationships/hyperlink" Target="http://secrets.rutgers.edu:8080/data/asl-ftp/asllvd/demos/verify_start_end_handshape_annotations//test_auto_move//signs_mov_separ_signers/Naomi_15770.mov" TargetMode="External"/><Relationship Id="rId201" Type="http://schemas.openxmlformats.org/officeDocument/2006/relationships/hyperlink" Target="http://csr.bu.edu/ftp/asl/asllvd/demos/verify_start_end_handshape_annotations//test_auto_move//signs_mov_separ_signers/Brady_15770.mov" TargetMode="External"/><Relationship Id="rId202" Type="http://schemas.openxmlformats.org/officeDocument/2006/relationships/hyperlink" Target="http://secrets.rutgers.edu:8080/data/asl-ftp/asllvd/demos/verify_start_end_handshape_annotations//test_auto_move//signs_mov_separ_signers/Brady_15770.mov" TargetMode="External"/><Relationship Id="rId203" Type="http://schemas.openxmlformats.org/officeDocument/2006/relationships/hyperlink" Target="http://csr.bu.edu/ftp/asl/asllvd/demos/verify_start_end_handshape_annotations//test_auto_move//signs_mov_separ_signers/Tyler_15873.mov" TargetMode="External"/><Relationship Id="rId204" Type="http://schemas.openxmlformats.org/officeDocument/2006/relationships/hyperlink" Target="http://secrets.rutgers.edu:8080/data/asl-ftp/asllvd/demos/verify_start_end_handshape_annotations//test_auto_move//signs_mov_separ_signers/Tyler_15873.mov" TargetMode="External"/><Relationship Id="rId205" Type="http://schemas.openxmlformats.org/officeDocument/2006/relationships/hyperlink" Target="http://csr.bu.edu/ftp/asl/asllvd/demos/verify_start_end_handshape_annotations//test_auto_move//signs_mov/15873_15993_merged.mov" TargetMode="External"/><Relationship Id="rId206" Type="http://schemas.openxmlformats.org/officeDocument/2006/relationships/hyperlink" Target="http://csr.bu.edu/ftp/asl/asllvd/demos/verify_start_end_handshape_annotations//test_auto_move//signs_mov_separ_signers/Tyler_15993.mov" TargetMode="External"/><Relationship Id="rId207" Type="http://schemas.openxmlformats.org/officeDocument/2006/relationships/hyperlink" Target="http://secrets.rutgers.edu:8080/data/asl-ftp/asllvd/demos/verify_start_end_handshape_annotations//test_auto_move//signs_mov/15873_15993_merged.mov" TargetMode="External"/><Relationship Id="rId208" Type="http://schemas.openxmlformats.org/officeDocument/2006/relationships/hyperlink" Target="http://secrets.rutgers.edu:8080/data/asl-ftp/asllvd/demos/verify_start_end_handshape_annotations//test_auto_move//signs_mov_separ_signers/Tyler_15993.mov" TargetMode="External"/><Relationship Id="rId209" Type="http://schemas.openxmlformats.org/officeDocument/2006/relationships/hyperlink" Target="http://csr.bu.edu/ftp/asl/asllvd/demos/verify_start_end_handshape_annotations//test_auto_move//signs_mov_separ_signers/Naomi_15873.mov" TargetMode="External"/><Relationship Id="rId210" Type="http://schemas.openxmlformats.org/officeDocument/2006/relationships/hyperlink" Target="http://secrets.rutgers.edu:8080/data/asl-ftp/asllvd/demos/verify_start_end_handshape_annotations//test_auto_move//signs_mov_separ_signers/Naomi_15873.mov" TargetMode="External"/><Relationship Id="rId211" Type="http://schemas.openxmlformats.org/officeDocument/2006/relationships/hyperlink" Target="http://csr.bu.edu/ftp/asl/asllvd/demos/verify_start_end_handshape_annotations//test_auto_move//signs_mov/16043.mov" TargetMode="External"/><Relationship Id="rId212" Type="http://schemas.openxmlformats.org/officeDocument/2006/relationships/hyperlink" Target="http://csr.bu.edu/ftp/asl/asllvd/demos/verify_start_end_handshape_annotations//test_auto_move//signs_mov_separ_signers/Liz_16043.mov" TargetMode="External"/><Relationship Id="rId213" Type="http://schemas.openxmlformats.org/officeDocument/2006/relationships/hyperlink" Target="http://secrets.rutgers.edu:8080/data/asl-ftp/asllvd/demos/verify_start_end_handshape_annotations//test_auto_move//signs_mov/16043.mov" TargetMode="External"/><Relationship Id="rId214" Type="http://schemas.openxmlformats.org/officeDocument/2006/relationships/hyperlink" Target="http://secrets.rutgers.edu:8080/data/asl-ftp/asllvd/demos/verify_start_end_handshape_annotations//test_auto_move//signs_mov_separ_signers/Liz_16043.mov" TargetMode="External"/><Relationship Id="rId215" Type="http://schemas.openxmlformats.org/officeDocument/2006/relationships/hyperlink" Target="http://csr.bu.edu/ftp/asl/asllvd/demos/verify_start_end_handshape_annotations//test_auto_move//signs_mov_separ_signers/Brady_16043.mov" TargetMode="External"/><Relationship Id="rId216" Type="http://schemas.openxmlformats.org/officeDocument/2006/relationships/hyperlink" Target="http://secrets.rutgers.edu:8080/data/asl-ftp/asllvd/demos/verify_start_end_handshape_annotations//test_auto_move//signs_mov_separ_signers/Brady_16043.mov" TargetMode="External"/><Relationship Id="rId217" Type="http://schemas.openxmlformats.org/officeDocument/2006/relationships/hyperlink" Target="http://csr.bu.edu/ftp/asl/asllvd/demos/verify_start_end_handshape_annotations//test_auto_move//signs_mov/16044.mov" TargetMode="External"/><Relationship Id="rId218" Type="http://schemas.openxmlformats.org/officeDocument/2006/relationships/hyperlink" Target="http://csr.bu.edu/ftp/asl/asllvd/demos/verify_start_end_handshape_annotations//test_auto_move//signs_mov_separ_signers/Liz_16044.mov" TargetMode="External"/><Relationship Id="rId219" Type="http://schemas.openxmlformats.org/officeDocument/2006/relationships/hyperlink" Target="http://secrets.rutgers.edu:8080/data/asl-ftp/asllvd/demos/verify_start_end_handshape_annotations//test_auto_move//signs_mov/16044.mov" TargetMode="External"/><Relationship Id="rId220" Type="http://schemas.openxmlformats.org/officeDocument/2006/relationships/hyperlink" Target="http://secrets.rutgers.edu:8080/data/asl-ftp/asllvd/demos/verify_start_end_handshape_annotations//test_auto_move//signs_mov_separ_signers/Liz_16044.mov" TargetMode="External"/><Relationship Id="rId221" Type="http://schemas.openxmlformats.org/officeDocument/2006/relationships/hyperlink" Target="http://csr.bu.edu/ftp/asl/asllvd/demos/verify_start_end_handshape_annotations//test_auto_move//signs_mov_separ_signers/Brady_16044.mov" TargetMode="External"/><Relationship Id="rId222" Type="http://schemas.openxmlformats.org/officeDocument/2006/relationships/hyperlink" Target="http://secrets.rutgers.edu:8080/data/asl-ftp/asllvd/demos/verify_start_end_handshape_annotations//test_auto_move//signs_mov_separ_signers/Brady_16044.mov" TargetMode="External"/><Relationship Id="rId223" Type="http://schemas.openxmlformats.org/officeDocument/2006/relationships/hyperlink" Target="http://csr.bu.edu/ftp/asl/asllvd/demos/verify_start_end_handshape_annotations//test_auto_move//signs_mov/16085.mov" TargetMode="External"/><Relationship Id="rId224" Type="http://schemas.openxmlformats.org/officeDocument/2006/relationships/hyperlink" Target="http://csr.bu.edu/ftp/asl/asllvd/demos/verify_start_end_handshape_annotations//test_auto_move//signs_mov_separ_signers/Liz_16085.mov" TargetMode="External"/><Relationship Id="rId225" Type="http://schemas.openxmlformats.org/officeDocument/2006/relationships/hyperlink" Target="http://secrets.rutgers.edu:8080/data/asl-ftp/asllvd/demos/verify_start_end_handshape_annotations//test_auto_move//signs_mov/16085.mov" TargetMode="External"/><Relationship Id="rId226" Type="http://schemas.openxmlformats.org/officeDocument/2006/relationships/hyperlink" Target="http://secrets.rutgers.edu:8080/data/asl-ftp/asllvd/demos/verify_start_end_handshape_annotations//test_auto_move//signs_mov_separ_signers/Liz_16085.mov" TargetMode="External"/><Relationship Id="rId227" Type="http://schemas.openxmlformats.org/officeDocument/2006/relationships/hyperlink" Target="http://csr.bu.edu/ftp/asl/asllvd/demos/verify_start_end_handshape_annotations//test_auto_move//signs_mov_separ_signers/Tyler_16085.mov" TargetMode="External"/><Relationship Id="rId228" Type="http://schemas.openxmlformats.org/officeDocument/2006/relationships/hyperlink" Target="http://secrets.rutgers.edu:8080/data/asl-ftp/asllvd/demos/verify_start_end_handshape_annotations//test_auto_move//signs_mov_separ_signers/Tyler_16085.mov" TargetMode="External"/><Relationship Id="rId229" Type="http://schemas.openxmlformats.org/officeDocument/2006/relationships/hyperlink" Target="http://csr.bu.edu/ftp/asl/asllvd/demos/verify_start_end_handshape_annotations//test_auto_move//signs_mov/16093.mov" TargetMode="External"/><Relationship Id="rId230" Type="http://schemas.openxmlformats.org/officeDocument/2006/relationships/hyperlink" Target="http://csr.bu.edu/ftp/asl/asllvd/demos/verify_start_end_handshape_annotations//test_auto_move//signs_mov_separ_signers/Naomi_16093.mov" TargetMode="External"/><Relationship Id="rId231" Type="http://schemas.openxmlformats.org/officeDocument/2006/relationships/hyperlink" Target="http://secrets.rutgers.edu:8080/data/asl-ftp/asllvd/demos/verify_start_end_handshape_annotations//test_auto_move//signs_mov/16093.mov" TargetMode="External"/><Relationship Id="rId232" Type="http://schemas.openxmlformats.org/officeDocument/2006/relationships/hyperlink" Target="http://secrets.rutgers.edu:8080/data/asl-ftp/asllvd/demos/verify_start_end_handshape_annotations//test_auto_move//signs_mov_separ_signers/Naomi_16093.mov" TargetMode="External"/><Relationship Id="rId233" Type="http://schemas.openxmlformats.org/officeDocument/2006/relationships/hyperlink" Target="http://csr.bu.edu/ftp/asl/asllvd/demos/verify_start_end_handshape_annotations//test_auto_move//signs_mov_separ_signers/Liz_16094.mov" TargetMode="External"/><Relationship Id="rId234" Type="http://schemas.openxmlformats.org/officeDocument/2006/relationships/hyperlink" Target="http://secrets.rutgers.edu:8080/data/asl-ftp/asllvd/demos/verify_start_end_handshape_annotations//test_auto_move//signs_mov_separ_signers/Liz_16094.mov" TargetMode="External"/><Relationship Id="rId235" Type="http://schemas.openxmlformats.org/officeDocument/2006/relationships/hyperlink" Target="http://csr.bu.edu/ftp/asl/asllvd/demos/verify_start_end_handshape_annotations//test_auto_move//signs_mov_separ_signers/Tyler_16094.mov" TargetMode="External"/><Relationship Id="rId236" Type="http://schemas.openxmlformats.org/officeDocument/2006/relationships/hyperlink" Target="http://secrets.rutgers.edu:8080/data/asl-ftp/asllvd/demos/verify_start_end_handshape_annotations//test_auto_move//signs_mov_separ_signers/Tyler_16094.mov" TargetMode="External"/><Relationship Id="rId237" Type="http://schemas.openxmlformats.org/officeDocument/2006/relationships/hyperlink" Target="http://csr.bu.edu/ftp/asl/asllvd/demos/verify_start_end_handshape_annotations//test_auto_move//signs_mov/16094_16095_merged.mov" TargetMode="External"/><Relationship Id="rId238" Type="http://schemas.openxmlformats.org/officeDocument/2006/relationships/hyperlink" Target="http://csr.bu.edu/ftp/asl/asllvd/demos/verify_start_end_handshape_annotations//test_auto_move//signs_mov_separ_signers/Naomi_16094.mov" TargetMode="External"/><Relationship Id="rId239" Type="http://schemas.openxmlformats.org/officeDocument/2006/relationships/hyperlink" Target="http://secrets.rutgers.edu:8080/data/asl-ftp/asllvd/demos/verify_start_end_handshape_annotations//test_auto_move//signs_mov/16094_16095_merged.mov" TargetMode="External"/><Relationship Id="rId240" Type="http://schemas.openxmlformats.org/officeDocument/2006/relationships/hyperlink" Target="http://secrets.rutgers.edu:8080/data/asl-ftp/asllvd/demos/verify_start_end_handshape_annotations//test_auto_move//signs_mov_separ_signers/Naomi_16094.mov" TargetMode="External"/><Relationship Id="rId241" Type="http://schemas.openxmlformats.org/officeDocument/2006/relationships/hyperlink" Target="http://csr.bu.edu/ftp/asl/asllvd/demos/verify_start_end_handshape_annotations//test_auto_move//signs_mov_separ_signers/Naomi_16095.mov" TargetMode="External"/><Relationship Id="rId242" Type="http://schemas.openxmlformats.org/officeDocument/2006/relationships/hyperlink" Target="http://secrets.rutgers.edu:8080/data/asl-ftp/asllvd/demos/verify_start_end_handshape_annotations//test_auto_move//signs_mov_separ_signers/Naomi_16095.mov" TargetMode="External"/><Relationship Id="rId243" Type="http://schemas.openxmlformats.org/officeDocument/2006/relationships/hyperlink" Target="http://csr.bu.edu/ftp/asl/asllvd/demos/verify_start_end_handshape_annotations//test_auto_move//signs_mov_separ_signers/Brady_16094.mov" TargetMode="External"/><Relationship Id="rId244" Type="http://schemas.openxmlformats.org/officeDocument/2006/relationships/hyperlink" Target="http://secrets.rutgers.edu:8080/data/asl-ftp/asllvd/demos/verify_start_end_handshape_annotations//test_auto_move//signs_mov_separ_signers/Brady_16094.mov" TargetMode="External"/><Relationship Id="rId245" Type="http://schemas.openxmlformats.org/officeDocument/2006/relationships/hyperlink" Target="http://csr.bu.edu/ftp/asl/asllvd/demos/verify_start_end_handshape_annotations//test_auto_move//signs_mov/16096.mov" TargetMode="External"/><Relationship Id="rId246" Type="http://schemas.openxmlformats.org/officeDocument/2006/relationships/hyperlink" Target="http://csr.bu.edu/ftp/asl/asllvd/demos/verify_start_end_handshape_annotations//test_auto_move//signs_mov_separ_signers/Liz_16096.mov" TargetMode="External"/><Relationship Id="rId247" Type="http://schemas.openxmlformats.org/officeDocument/2006/relationships/hyperlink" Target="http://secrets.rutgers.edu:8080/data/asl-ftp/asllvd/demos/verify_start_end_handshape_annotations//test_auto_move//signs_mov/16096.mov" TargetMode="External"/><Relationship Id="rId248" Type="http://schemas.openxmlformats.org/officeDocument/2006/relationships/hyperlink" Target="http://secrets.rutgers.edu:8080/data/asl-ftp/asllvd/demos/verify_start_end_handshape_annotations//test_auto_move//signs_mov_separ_signers/Liz_16096.mov" TargetMode="External"/><Relationship Id="rId249" Type="http://schemas.openxmlformats.org/officeDocument/2006/relationships/hyperlink" Target="http://csr.bu.edu/ftp/asl/asllvd/demos/verify_start_end_handshape_annotations//test_auto_move//signs_mov_separ_signers/Brady_16096.mov" TargetMode="External"/><Relationship Id="rId250" Type="http://schemas.openxmlformats.org/officeDocument/2006/relationships/hyperlink" Target="http://secrets.rutgers.edu:8080/data/asl-ftp/asllvd/demos/verify_start_end_handshape_annotations//test_auto_move//signs_mov_separ_signers/Brady_16096.mov" TargetMode="External"/><Relationship Id="rId251" Type="http://schemas.openxmlformats.org/officeDocument/2006/relationships/hyperlink" Target="http://csr.bu.edu/ftp/asl/asllvd/demos/verify_start_end_handshape_annotations//test_auto_move//signs_mov_separ_signers/Liz_16097.mov" TargetMode="External"/><Relationship Id="rId252" Type="http://schemas.openxmlformats.org/officeDocument/2006/relationships/hyperlink" Target="http://secrets.rutgers.edu:8080/data/asl-ftp/asllvd/demos/verify_start_end_handshape_annotations//test_auto_move//signs_mov_separ_signers/Liz_16097.mov" TargetMode="External"/><Relationship Id="rId253" Type="http://schemas.openxmlformats.org/officeDocument/2006/relationships/hyperlink" Target="http://csr.bu.edu/ftp/asl/asllvd/demos/verify_start_end_handshape_annotations//test_auto_move//signs_mov/16097_16098_merged.mov" TargetMode="External"/><Relationship Id="rId254" Type="http://schemas.openxmlformats.org/officeDocument/2006/relationships/hyperlink" Target="http://csr.bu.edu/ftp/asl/asllvd/demos/verify_start_end_handshape_annotations//test_auto_move//signs_mov_separ_signers/Brady_16097.mov" TargetMode="External"/><Relationship Id="rId255" Type="http://schemas.openxmlformats.org/officeDocument/2006/relationships/hyperlink" Target="http://secrets.rutgers.edu:8080/data/asl-ftp/asllvd/demos/verify_start_end_handshape_annotations//test_auto_move//signs_mov/16097_16098_merged.mov" TargetMode="External"/><Relationship Id="rId256" Type="http://schemas.openxmlformats.org/officeDocument/2006/relationships/hyperlink" Target="http://secrets.rutgers.edu:8080/data/asl-ftp/asllvd/demos/verify_start_end_handshape_annotations//test_auto_move//signs_mov_separ_signers/Brady_16097.mov" TargetMode="External"/><Relationship Id="rId257" Type="http://schemas.openxmlformats.org/officeDocument/2006/relationships/hyperlink" Target="http://csr.bu.edu/ftp/asl/asllvd/demos/verify_start_end_handshape_annotations//test_auto_move//signs_mov_separ_signers/Brady_16098.mov" TargetMode="External"/><Relationship Id="rId258" Type="http://schemas.openxmlformats.org/officeDocument/2006/relationships/hyperlink" Target="http://secrets.rutgers.edu:8080/data/asl-ftp/asllvd/demos/verify_start_end_handshape_annotations//test_auto_move//signs_mov_separ_signers/Brady_16098.mov" TargetMode="External"/><Relationship Id="rId259" Type="http://schemas.openxmlformats.org/officeDocument/2006/relationships/hyperlink" Target="http://csr.bu.edu/ftp/asl/asllvd/demos/verify_start_end_handshape_annotations//test_auto_move//signs_mov_separ_signers/Tyler_16162.mov" TargetMode="External"/><Relationship Id="rId260" Type="http://schemas.openxmlformats.org/officeDocument/2006/relationships/hyperlink" Target="http://secrets.rutgers.edu:8080/data/asl-ftp/asllvd/demos/verify_start_end_handshape_annotations//test_auto_move//signs_mov_separ_signers/Tyler_16162.mov" TargetMode="External"/><Relationship Id="rId261" Type="http://schemas.openxmlformats.org/officeDocument/2006/relationships/hyperlink" Target="http://csr.bu.edu/ftp/asl/asllvd/demos/verify_start_end_handshape_annotations//test_auto_move//signs_mov/16162.mov" TargetMode="External"/><Relationship Id="rId262" Type="http://schemas.openxmlformats.org/officeDocument/2006/relationships/hyperlink" Target="http://csr.bu.edu/ftp/asl/asllvd/demos/verify_start_end_handshape_annotations//test_auto_move//signs_mov_separ_signers/Naomi_16162.mov" TargetMode="External"/><Relationship Id="rId263" Type="http://schemas.openxmlformats.org/officeDocument/2006/relationships/hyperlink" Target="http://secrets.rutgers.edu:8080/data/asl-ftp/asllvd/demos/verify_start_end_handshape_annotations//test_auto_move//signs_mov/16162.mov" TargetMode="External"/><Relationship Id="rId264" Type="http://schemas.openxmlformats.org/officeDocument/2006/relationships/hyperlink" Target="http://secrets.rutgers.edu:8080/data/asl-ftp/asllvd/demos/verify_start_end_handshape_annotations//test_auto_move//signs_mov_separ_signers/Naomi_16162.mov" TargetMode="External"/><Relationship Id="rId265" Type="http://schemas.openxmlformats.org/officeDocument/2006/relationships/hyperlink" Target="http://csr.bu.edu/ftp/asl/asllvd/demos/verify_start_end_handshape_annotations//test_auto_move//signs_mov_separ_signers/Brady_16162.mov" TargetMode="External"/><Relationship Id="rId266" Type="http://schemas.openxmlformats.org/officeDocument/2006/relationships/hyperlink" Target="http://secrets.rutgers.edu:8080/data/asl-ftp/asllvd/demos/verify_start_end_handshape_annotations//test_auto_move//signs_mov_separ_signers/Brady_16162.mov" TargetMode="External"/><Relationship Id="rId267" Type="http://schemas.openxmlformats.org/officeDocument/2006/relationships/hyperlink" Target="http://csr.bu.edu/ftp/asl/asllvd/demos/verify_start_end_handshape_annotations//test_auto_move//signs_mov/16163.mov" TargetMode="External"/><Relationship Id="rId268" Type="http://schemas.openxmlformats.org/officeDocument/2006/relationships/hyperlink" Target="http://csr.bu.edu/ftp/asl/asllvd/demos/verify_start_end_handshape_annotations//test_auto_move//signs_mov_separ_signers/Liz_16163.mov" TargetMode="External"/><Relationship Id="rId269" Type="http://schemas.openxmlformats.org/officeDocument/2006/relationships/hyperlink" Target="http://secrets.rutgers.edu:8080/data/asl-ftp/asllvd/demos/verify_start_end_handshape_annotations//test_auto_move//signs_mov/16163.mov" TargetMode="External"/><Relationship Id="rId270" Type="http://schemas.openxmlformats.org/officeDocument/2006/relationships/hyperlink" Target="http://secrets.rutgers.edu:8080/data/asl-ftp/asllvd/demos/verify_start_end_handshape_annotations//test_auto_move//signs_mov_separ_signers/Liz_16163.mov" TargetMode="External"/><Relationship Id="rId271" Type="http://schemas.openxmlformats.org/officeDocument/2006/relationships/hyperlink" Target="http://csr.bu.edu/ftp/asl/asllvd/demos/verify_start_end_handshape_annotations//test_auto_move//signs_mov_separ_signers/Brady_16163.mov" TargetMode="External"/><Relationship Id="rId272" Type="http://schemas.openxmlformats.org/officeDocument/2006/relationships/hyperlink" Target="http://secrets.rutgers.edu:8080/data/asl-ftp/asllvd/demos/verify_start_end_handshape_annotations//test_auto_move//signs_mov_separ_signers/Brady_16163.mov" TargetMode="External"/><Relationship Id="rId273" Type="http://schemas.openxmlformats.org/officeDocument/2006/relationships/hyperlink" Target="http://csr.bu.edu/ftp/asl/asllvd/demos/verify_start_end_handshape_annotations//test_auto_move//signs_mov_separ_signers/Liz_16164.mov" TargetMode="External"/><Relationship Id="rId274" Type="http://schemas.openxmlformats.org/officeDocument/2006/relationships/hyperlink" Target="http://secrets.rutgers.edu:8080/data/asl-ftp/asllvd/demos/verify_start_end_handshape_annotations//test_auto_move//signs_mov_separ_signers/Liz_16164.mov" TargetMode="External"/><Relationship Id="rId275" Type="http://schemas.openxmlformats.org/officeDocument/2006/relationships/hyperlink" Target="http://csr.bu.edu/ftp/asl/asllvd/demos/verify_start_end_handshape_annotations//test_auto_move//signs_mov/16164_16165_merged.mov" TargetMode="External"/><Relationship Id="rId276" Type="http://schemas.openxmlformats.org/officeDocument/2006/relationships/hyperlink" Target="http://csr.bu.edu/ftp/asl/asllvd/demos/verify_start_end_handshape_annotations//test_auto_move//signs_mov_separ_signers/Tyler_16164.mov" TargetMode="External"/><Relationship Id="rId277" Type="http://schemas.openxmlformats.org/officeDocument/2006/relationships/hyperlink" Target="http://secrets.rutgers.edu:8080/data/asl-ftp/asllvd/demos/verify_start_end_handshape_annotations//test_auto_move//signs_mov/16164_16165_merged.mov" TargetMode="External"/><Relationship Id="rId278" Type="http://schemas.openxmlformats.org/officeDocument/2006/relationships/hyperlink" Target="http://secrets.rutgers.edu:8080/data/asl-ftp/asllvd/demos/verify_start_end_handshape_annotations//test_auto_move//signs_mov_separ_signers/Tyler_16164.mov" TargetMode="External"/><Relationship Id="rId279" Type="http://schemas.openxmlformats.org/officeDocument/2006/relationships/hyperlink" Target="http://csr.bu.edu/ftp/asl/asllvd/demos/verify_start_end_handshape_annotations//test_auto_move//signs_mov_separ_signers/Brady_16164.mov" TargetMode="External"/><Relationship Id="rId280" Type="http://schemas.openxmlformats.org/officeDocument/2006/relationships/hyperlink" Target="http://secrets.rutgers.edu:8080/data/asl-ftp/asllvd/demos/verify_start_end_handshape_annotations//test_auto_move//signs_mov_separ_signers/Brady_16164.mov" TargetMode="External"/><Relationship Id="rId281" Type="http://schemas.openxmlformats.org/officeDocument/2006/relationships/hyperlink" Target="http://csr.bu.edu/ftp/asl/asllvd/demos/verify_start_end_handshape_annotations//test_auto_move//signs_mov_separ_signers/Brady_16165.mov" TargetMode="External"/><Relationship Id="rId282" Type="http://schemas.openxmlformats.org/officeDocument/2006/relationships/hyperlink" Target="http://secrets.rutgers.edu:8080/data/asl-ftp/asllvd/demos/verify_start_end_handshape_annotations//test_auto_move//signs_mov_separ_signers/Brady_16165.mov" TargetMode="External"/><Relationship Id="rId283" Type="http://schemas.openxmlformats.org/officeDocument/2006/relationships/hyperlink" Target="http://csr.bu.edu/ftp/asl/asllvd/demos/verify_start_end_handshape_annotations//test_auto_move//signs_mov/16195.mov" TargetMode="External"/><Relationship Id="rId284" Type="http://schemas.openxmlformats.org/officeDocument/2006/relationships/hyperlink" Target="http://csr.bu.edu/ftp/asl/asllvd/demos/verify_start_end_handshape_annotations//test_auto_move//signs_mov_separ_signers/Naomi_16195.mov" TargetMode="External"/><Relationship Id="rId285" Type="http://schemas.openxmlformats.org/officeDocument/2006/relationships/hyperlink" Target="http://secrets.rutgers.edu:8080/data/asl-ftp/asllvd/demos/verify_start_end_handshape_annotations//test_auto_move//signs_mov/16195.mov" TargetMode="External"/><Relationship Id="rId286" Type="http://schemas.openxmlformats.org/officeDocument/2006/relationships/hyperlink" Target="http://secrets.rutgers.edu:8080/data/asl-ftp/asllvd/demos/verify_start_end_handshape_annotations//test_auto_move//signs_mov_separ_signers/Naomi_16195.mov" TargetMode="External"/><Relationship Id="rId287" Type="http://schemas.openxmlformats.org/officeDocument/2006/relationships/hyperlink" Target="http://csr.bu.edu/ftp/asl/asllvd/demos/verify_start_end_handshape_annotations//test_auto_move//signs_mov_separ_signers/Brady_16195.mov" TargetMode="External"/><Relationship Id="rId288" Type="http://schemas.openxmlformats.org/officeDocument/2006/relationships/hyperlink" Target="http://secrets.rutgers.edu:8080/data/asl-ftp/asllvd/demos/verify_start_end_handshape_annotations//test_auto_move//signs_mov_separ_signers/Brady_16195.mov" TargetMode="External"/><Relationship Id="rId289" Type="http://schemas.openxmlformats.org/officeDocument/2006/relationships/hyperlink" Target="http://csr.bu.edu/ftp/asl/asllvd/demos/verify_start_end_handshape_annotations//test_auto_move//signs_mov_separ_signers/Liz_16196.mov" TargetMode="External"/><Relationship Id="rId290" Type="http://schemas.openxmlformats.org/officeDocument/2006/relationships/hyperlink" Target="http://secrets.rutgers.edu:8080/data/asl-ftp/asllvd/demos/verify_start_end_handshape_annotations//test_auto_move//signs_mov_separ_signers/Liz_16196.mov" TargetMode="External"/><Relationship Id="rId291" Type="http://schemas.openxmlformats.org/officeDocument/2006/relationships/hyperlink" Target="http://csr.bu.edu/ftp/asl/asllvd/demos/verify_start_end_handshape_annotations//test_auto_move//signs_mov/16196.mov" TargetMode="External"/><Relationship Id="rId292" Type="http://schemas.openxmlformats.org/officeDocument/2006/relationships/hyperlink" Target="http://csr.bu.edu/ftp/asl/asllvd/demos/verify_start_end_handshape_annotations//test_auto_move//signs_mov_separ_signers/Tyler_16196.mov" TargetMode="External"/><Relationship Id="rId293" Type="http://schemas.openxmlformats.org/officeDocument/2006/relationships/hyperlink" Target="http://secrets.rutgers.edu:8080/data/asl-ftp/asllvd/demos/verify_start_end_handshape_annotations//test_auto_move//signs_mov/16196.mov" TargetMode="External"/><Relationship Id="rId294" Type="http://schemas.openxmlformats.org/officeDocument/2006/relationships/hyperlink" Target="http://secrets.rutgers.edu:8080/data/asl-ftp/asllvd/demos/verify_start_end_handshape_annotations//test_auto_move//signs_mov_separ_signers/Tyler_16196.mov" TargetMode="External"/><Relationship Id="rId295" Type="http://schemas.openxmlformats.org/officeDocument/2006/relationships/hyperlink" Target="http://csr.bu.edu/ftp/asl/asllvd/demos/verify_start_end_handshape_annotations//test_auto_move//signs_mov_separ_signers/Naomi_16196.mov" TargetMode="External"/><Relationship Id="rId296" Type="http://schemas.openxmlformats.org/officeDocument/2006/relationships/hyperlink" Target="http://secrets.rutgers.edu:8080/data/asl-ftp/asllvd/demos/verify_start_end_handshape_annotations//test_auto_move//signs_mov_separ_signers/Naomi_16196.mov" TargetMode="External"/><Relationship Id="rId297" Type="http://schemas.openxmlformats.org/officeDocument/2006/relationships/hyperlink" Target="http://csr.bu.edu/ftp/asl/asllvd/demos/verify_start_end_handshape_annotations//test_auto_move//signs_mov_separ_signers/Brady_16196.mov" TargetMode="External"/><Relationship Id="rId298" Type="http://schemas.openxmlformats.org/officeDocument/2006/relationships/hyperlink" Target="http://secrets.rutgers.edu:8080/data/asl-ftp/asllvd/demos/verify_start_end_handshape_annotations//test_auto_move//signs_mov_separ_signers/Brady_16196.mov" TargetMode="External"/><Relationship Id="rId299" Type="http://schemas.openxmlformats.org/officeDocument/2006/relationships/hyperlink" Target="http://csr.bu.edu/ftp/asl/asllvd/demos/verify_start_end_handshape_annotations//test_auto_move//signs_mov_separ_signers/Liz_35.mov" TargetMode="External"/><Relationship Id="rId300" Type="http://schemas.openxmlformats.org/officeDocument/2006/relationships/hyperlink" Target="http://secrets.rutgers.edu:8080/data/asl-ftp/asllvd/demos/verify_start_end_handshape_annotations//test_auto_move//signs_mov_separ_signers/Liz_35.mov" TargetMode="External"/><Relationship Id="rId301" Type="http://schemas.openxmlformats.org/officeDocument/2006/relationships/hyperlink" Target="http://csr.bu.edu/ftp/asl/asllvd/demos/verify_start_end_handshape_annotations//test_auto_move//signs_mov_separ_signers/Tyler_35.mov" TargetMode="External"/><Relationship Id="rId302" Type="http://schemas.openxmlformats.org/officeDocument/2006/relationships/hyperlink" Target="http://secrets.rutgers.edu:8080/data/asl-ftp/asllvd/demos/verify_start_end_handshape_annotations//test_auto_move//signs_mov_separ_signers/Tyler_35.mov" TargetMode="External"/><Relationship Id="rId303" Type="http://schemas.openxmlformats.org/officeDocument/2006/relationships/hyperlink" Target="http://csr.bu.edu/ftp/asl/asllvd/demos/verify_start_end_handshape_annotations//test_auto_move//signs_mov/35.mov" TargetMode="External"/><Relationship Id="rId304" Type="http://schemas.openxmlformats.org/officeDocument/2006/relationships/hyperlink" Target="http://csr.bu.edu/ftp/asl/asllvd/demos/verify_start_end_handshape_annotations//test_auto_move//signs_mov_separ_signers/Naomi_35.mov" TargetMode="External"/><Relationship Id="rId305" Type="http://schemas.openxmlformats.org/officeDocument/2006/relationships/hyperlink" Target="http://secrets.rutgers.edu:8080/data/asl-ftp/asllvd/demos/verify_start_end_handshape_annotations//test_auto_move//signs_mov/35.mov" TargetMode="External"/><Relationship Id="rId306" Type="http://schemas.openxmlformats.org/officeDocument/2006/relationships/hyperlink" Target="http://secrets.rutgers.edu:8080/data/asl-ftp/asllvd/demos/verify_start_end_handshape_annotations//test_auto_move//signs_mov_separ_signers/Naomi_35.mov" TargetMode="External"/><Relationship Id="rId307" Type="http://schemas.openxmlformats.org/officeDocument/2006/relationships/hyperlink" Target="http://csr.bu.edu/ftp/asl/asllvd/demos/verify_start_end_handshape_annotations//test_auto_move//signs_mov_separ_signers/Lana_35.mov" TargetMode="External"/><Relationship Id="rId308" Type="http://schemas.openxmlformats.org/officeDocument/2006/relationships/hyperlink" Target="http://secrets.rutgers.edu:8080/data/asl-ftp/asllvd/demos/verify_start_end_handshape_annotations//test_auto_move//signs_mov_separ_signers/Lana_35.mov" TargetMode="External"/><Relationship Id="rId309" Type="http://schemas.openxmlformats.org/officeDocument/2006/relationships/hyperlink" Target="http://csr.bu.edu/ftp/asl/asllvd/demos/verify_start_end_handshape_annotations//test_auto_move//signs_mov_separ_signers/Dana_35.mov" TargetMode="External"/><Relationship Id="rId310" Type="http://schemas.openxmlformats.org/officeDocument/2006/relationships/hyperlink" Target="http://secrets.rutgers.edu:8080/data/asl-ftp/asllvd/demos/verify_start_end_handshape_annotations//test_auto_move//signs_mov_separ_signers/Dana_35.mov" TargetMode="External"/><Relationship Id="rId311" Type="http://schemas.openxmlformats.org/officeDocument/2006/relationships/hyperlink" Target="http://csr.bu.edu/ftp/asl/asllvd/demos/verify_start_end_handshape_annotations//test_auto_move//signs_mov/36.mov" TargetMode="External"/><Relationship Id="rId312" Type="http://schemas.openxmlformats.org/officeDocument/2006/relationships/hyperlink" Target="http://csr.bu.edu/ftp/asl/asllvd/demos/verify_start_end_handshape_annotations//test_auto_move//signs_mov_separ_signers/Liz_36.mov" TargetMode="External"/><Relationship Id="rId313" Type="http://schemas.openxmlformats.org/officeDocument/2006/relationships/hyperlink" Target="http://secrets.rutgers.edu:8080/data/asl-ftp/asllvd/demos/verify_start_end_handshape_annotations//test_auto_move//signs_mov/36.mov" TargetMode="External"/><Relationship Id="rId314" Type="http://schemas.openxmlformats.org/officeDocument/2006/relationships/hyperlink" Target="http://secrets.rutgers.edu:8080/data/asl-ftp/asllvd/demos/verify_start_end_handshape_annotations//test_auto_move//signs_mov_separ_signers/Liz_36.mov" TargetMode="External"/><Relationship Id="rId315" Type="http://schemas.openxmlformats.org/officeDocument/2006/relationships/hyperlink" Target="http://csr.bu.edu/ftp/asl/asllvd/demos/verify_start_end_handshape_annotations//test_auto_move//signs_mov_separ_signers/Naomi_36.mov" TargetMode="External"/><Relationship Id="rId316" Type="http://schemas.openxmlformats.org/officeDocument/2006/relationships/hyperlink" Target="http://secrets.rutgers.edu:8080/data/asl-ftp/asllvd/demos/verify_start_end_handshape_annotations//test_auto_move//signs_mov_separ_signers/Naomi_36.mov" TargetMode="External"/><Relationship Id="rId317" Type="http://schemas.openxmlformats.org/officeDocument/2006/relationships/hyperlink" Target="http://csr.bu.edu/ftp/asl/asllvd/demos/verify_start_end_handshape_annotations//test_auto_move//signs_mov_separ_signers/Liz_3567.mov" TargetMode="External"/><Relationship Id="rId318" Type="http://schemas.openxmlformats.org/officeDocument/2006/relationships/hyperlink" Target="http://secrets.rutgers.edu:8080/data/asl-ftp/asllvd/demos/verify_start_end_handshape_annotations//test_auto_move//signs_mov_separ_signers/Liz_3567.mov" TargetMode="External"/><Relationship Id="rId319" Type="http://schemas.openxmlformats.org/officeDocument/2006/relationships/hyperlink" Target="http://csr.bu.edu/ftp/asl/asllvd/demos/verify_start_end_handshape_annotations//test_auto_move//signs_mov/3567.mov" TargetMode="External"/><Relationship Id="rId320" Type="http://schemas.openxmlformats.org/officeDocument/2006/relationships/hyperlink" Target="http://csr.bu.edu/ftp/asl/asllvd/demos/verify_start_end_handshape_annotations//test_auto_move//signs_mov_separ_signers/Naomi_3567.mov" TargetMode="External"/><Relationship Id="rId321" Type="http://schemas.openxmlformats.org/officeDocument/2006/relationships/hyperlink" Target="http://secrets.rutgers.edu:8080/data/asl-ftp/asllvd/demos/verify_start_end_handshape_annotations//test_auto_move//signs_mov/3567.mov" TargetMode="External"/><Relationship Id="rId322" Type="http://schemas.openxmlformats.org/officeDocument/2006/relationships/hyperlink" Target="http://secrets.rutgers.edu:8080/data/asl-ftp/asllvd/demos/verify_start_end_handshape_annotations//test_auto_move//signs_mov_separ_signers/Naomi_3567.mov" TargetMode="External"/><Relationship Id="rId323" Type="http://schemas.openxmlformats.org/officeDocument/2006/relationships/hyperlink" Target="http://csr.bu.edu/ftp/asl/asllvd/demos/verify_start_end_handshape_annotations//test_auto_move//signs_mov_separ_signers/Lana_3567.mov" TargetMode="External"/><Relationship Id="rId324" Type="http://schemas.openxmlformats.org/officeDocument/2006/relationships/hyperlink" Target="http://secrets.rutgers.edu:8080/data/asl-ftp/asllvd/demos/verify_start_end_handshape_annotations//test_auto_move//signs_mov_separ_signers/Lana_3567.mov" TargetMode="External"/><Relationship Id="rId325" Type="http://schemas.openxmlformats.org/officeDocument/2006/relationships/hyperlink" Target="http://csr.bu.edu/ftp/asl/asllvd/demos/verify_start_end_handshape_annotations//test_auto_move//signs_mov_separ_signers/Dana_3567.mov" TargetMode="External"/><Relationship Id="rId326" Type="http://schemas.openxmlformats.org/officeDocument/2006/relationships/hyperlink" Target="http://secrets.rutgers.edu:8080/data/asl-ftp/asllvd/demos/verify_start_end_handshape_annotations//test_auto_move//signs_mov_separ_signers/Dana_3567.mov" TargetMode="External"/><Relationship Id="rId327" Type="http://schemas.openxmlformats.org/officeDocument/2006/relationships/hyperlink" Target="http://csr.bu.edu/ftp/asl/asllvd/demos/verify_start_end_handshape_annotations//test_auto_move//signs_mov/5086.mov" TargetMode="External"/><Relationship Id="rId328" Type="http://schemas.openxmlformats.org/officeDocument/2006/relationships/hyperlink" Target="http://csr.bu.edu/ftp/asl/asllvd/demos/verify_start_end_handshape_annotations//test_auto_move//signs_mov_separ_signers/Tyler_5086.mov" TargetMode="External"/><Relationship Id="rId329" Type="http://schemas.openxmlformats.org/officeDocument/2006/relationships/hyperlink" Target="http://secrets.rutgers.edu:8080/data/asl-ftp/asllvd/demos/verify_start_end_handshape_annotations//test_auto_move//signs_mov/5086.mov" TargetMode="External"/><Relationship Id="rId330" Type="http://schemas.openxmlformats.org/officeDocument/2006/relationships/hyperlink" Target="http://secrets.rutgers.edu:8080/data/asl-ftp/asllvd/demos/verify_start_end_handshape_annotations//test_auto_move//signs_mov_separ_signers/Tyler_5086.mov" TargetMode="External"/><Relationship Id="rId331" Type="http://schemas.openxmlformats.org/officeDocument/2006/relationships/hyperlink" Target="http://csr.bu.edu/ftp/asl/asllvd/demos/verify_start_end_handshape_annotations//test_auto_move//signs_mov_separ_signers/Liz_5987.mov" TargetMode="External"/><Relationship Id="rId332" Type="http://schemas.openxmlformats.org/officeDocument/2006/relationships/hyperlink" Target="http://secrets.rutgers.edu:8080/data/asl-ftp/asllvd/demos/verify_start_end_handshape_annotations//test_auto_move//signs_mov_separ_signers/Liz_5987.mov" TargetMode="External"/><Relationship Id="rId333" Type="http://schemas.openxmlformats.org/officeDocument/2006/relationships/hyperlink" Target="http://csr.bu.edu/ftp/asl/asllvd/demos/verify_start_end_handshape_annotations//test_auto_move//signs_mov/5987.mov" TargetMode="External"/><Relationship Id="rId334" Type="http://schemas.openxmlformats.org/officeDocument/2006/relationships/hyperlink" Target="http://csr.bu.edu/ftp/asl/asllvd/demos/verify_start_end_handshape_annotations//test_auto_move//signs_mov_separ_signers/Tyler_5987.mov" TargetMode="External"/><Relationship Id="rId335" Type="http://schemas.openxmlformats.org/officeDocument/2006/relationships/hyperlink" Target="http://secrets.rutgers.edu:8080/data/asl-ftp/asllvd/demos/verify_start_end_handshape_annotations//test_auto_move//signs_mov/5987.mov" TargetMode="External"/><Relationship Id="rId336" Type="http://schemas.openxmlformats.org/officeDocument/2006/relationships/hyperlink" Target="http://secrets.rutgers.edu:8080/data/asl-ftp/asllvd/demos/verify_start_end_handshape_annotations//test_auto_move//signs_mov_separ_signers/Tyler_5987.mov" TargetMode="External"/><Relationship Id="rId337" Type="http://schemas.openxmlformats.org/officeDocument/2006/relationships/hyperlink" Target="http://csr.bu.edu/ftp/asl/asllvd/demos/verify_start_end_handshape_annotations//test_auto_move//signs_mov_separ_signers/Naomi_5987.mov" TargetMode="External"/><Relationship Id="rId338" Type="http://schemas.openxmlformats.org/officeDocument/2006/relationships/hyperlink" Target="http://secrets.rutgers.edu:8080/data/asl-ftp/asllvd/demos/verify_start_end_handshape_annotations//test_auto_move//signs_mov_separ_signers/Naomi_5987.mov" TargetMode="External"/><Relationship Id="rId339" Type="http://schemas.openxmlformats.org/officeDocument/2006/relationships/hyperlink" Target="http://csr.bu.edu/ftp/asl/asllvd/demos/verify_start_end_handshape_annotations//test_auto_move//signs_mov_separ_signers/Brady_5987.mov" TargetMode="External"/><Relationship Id="rId340" Type="http://schemas.openxmlformats.org/officeDocument/2006/relationships/hyperlink" Target="http://secrets.rutgers.edu:8080/data/asl-ftp/asllvd/demos/verify_start_end_handshape_annotations//test_auto_move//signs_mov_separ_signers/Brady_5987.mov" TargetMode="External"/><Relationship Id="rId341" Type="http://schemas.openxmlformats.org/officeDocument/2006/relationships/hyperlink" Target="http://csr.bu.edu/ftp/asl/asllvd/demos/verify_start_end_handshape_annotations//test_auto_move//signs_mov/38.mov" TargetMode="External"/><Relationship Id="rId342" Type="http://schemas.openxmlformats.org/officeDocument/2006/relationships/hyperlink" Target="http://csr.bu.edu/ftp/asl/asllvd/demos/verify_start_end_handshape_annotations//test_auto_move//signs_mov_separ_signers/Liz_38.mov" TargetMode="External"/><Relationship Id="rId343" Type="http://schemas.openxmlformats.org/officeDocument/2006/relationships/hyperlink" Target="http://secrets.rutgers.edu:8080/data/asl-ftp/asllvd/demos/verify_start_end_handshape_annotations//test_auto_move//signs_mov/38.mov" TargetMode="External"/><Relationship Id="rId344" Type="http://schemas.openxmlformats.org/officeDocument/2006/relationships/hyperlink" Target="http://secrets.rutgers.edu:8080/data/asl-ftp/asllvd/demos/verify_start_end_handshape_annotations//test_auto_move//signs_mov_separ_signers/Liz_38.mov" TargetMode="External"/><Relationship Id="rId345" Type="http://schemas.openxmlformats.org/officeDocument/2006/relationships/hyperlink" Target="http://csr.bu.edu/ftp/asl/asllvd/demos/verify_start_end_handshape_annotations//test_auto_move//signs_mov_separ_signers/Naomi_38.mov" TargetMode="External"/><Relationship Id="rId346" Type="http://schemas.openxmlformats.org/officeDocument/2006/relationships/hyperlink" Target="http://secrets.rutgers.edu:8080/data/asl-ftp/asllvd/demos/verify_start_end_handshape_annotations//test_auto_move//signs_mov_separ_signers/Naomi_38.mov" TargetMode="External"/><Relationship Id="rId347" Type="http://schemas.openxmlformats.org/officeDocument/2006/relationships/hyperlink" Target="http://csr.bu.edu/ftp/asl/asllvd/demos/verify_start_end_handshape_annotations//test_auto_move//signs_mov_separ_signers/Liz_15171.mov" TargetMode="External"/><Relationship Id="rId348" Type="http://schemas.openxmlformats.org/officeDocument/2006/relationships/hyperlink" Target="http://secrets.rutgers.edu:8080/data/asl-ftp/asllvd/demos/verify_start_end_handshape_annotations//test_auto_move//signs_mov_separ_signers/Liz_15171.mov" TargetMode="External"/><Relationship Id="rId349" Type="http://schemas.openxmlformats.org/officeDocument/2006/relationships/hyperlink" Target="http://csr.bu.edu/ftp/asl/asllvd/demos/verify_start_end_handshape_annotations//test_auto_move//signs_mov_separ_signers/Liz_15213.mov" TargetMode="External"/><Relationship Id="rId350" Type="http://schemas.openxmlformats.org/officeDocument/2006/relationships/hyperlink" Target="http://secrets.rutgers.edu:8080/data/asl-ftp/asllvd/demos/verify_start_end_handshape_annotations//test_auto_move//signs_mov_separ_signers/Liz_15213.mov" TargetMode="External"/><Relationship Id="rId351" Type="http://schemas.openxmlformats.org/officeDocument/2006/relationships/hyperlink" Target="http://csr.bu.edu/ftp/asl/asllvd/demos/verify_start_end_handshape_annotations//test_auto_move//signs_mov/15171_15213_merged.mov" TargetMode="External"/><Relationship Id="rId352" Type="http://schemas.openxmlformats.org/officeDocument/2006/relationships/hyperlink" Target="http://csr.bu.edu/ftp/asl/asllvd/demos/verify_start_end_handshape_annotations//test_auto_move//signs_mov_separ_signers/Naomi_15171.mov" TargetMode="External"/><Relationship Id="rId353" Type="http://schemas.openxmlformats.org/officeDocument/2006/relationships/hyperlink" Target="http://secrets.rutgers.edu:8080/data/asl-ftp/asllvd/demos/verify_start_end_handshape_annotations//test_auto_move//signs_mov/15171_15213_merged.mov" TargetMode="External"/><Relationship Id="rId354" Type="http://schemas.openxmlformats.org/officeDocument/2006/relationships/hyperlink" Target="http://secrets.rutgers.edu:8080/data/asl-ftp/asllvd/demos/verify_start_end_handshape_annotations//test_auto_move//signs_mov_separ_signers/Naomi_15171.mov" TargetMode="External"/><Relationship Id="rId355" Type="http://schemas.openxmlformats.org/officeDocument/2006/relationships/hyperlink" Target="http://csr.bu.edu/ftp/asl/asllvd/demos/verify_start_end_handshape_annotations//test_auto_move//signs_mov_separ_signers/Brady_15171.mov" TargetMode="External"/><Relationship Id="rId356" Type="http://schemas.openxmlformats.org/officeDocument/2006/relationships/hyperlink" Target="http://secrets.rutgers.edu:8080/data/asl-ftp/asllvd/demos/verify_start_end_handshape_annotations//test_auto_move//signs_mov_separ_signers/Brady_15171.mov" TargetMode="External"/><Relationship Id="rId357" Type="http://schemas.openxmlformats.org/officeDocument/2006/relationships/hyperlink" Target="http://csr.bu.edu/ftp/asl/asllvd/demos/verify_start_end_handshape_annotations//test_auto_move//signs_mov_separ_signers/Brady_15213.mov" TargetMode="External"/><Relationship Id="rId358" Type="http://schemas.openxmlformats.org/officeDocument/2006/relationships/hyperlink" Target="http://secrets.rutgers.edu:8080/data/asl-ftp/asllvd/demos/verify_start_end_handshape_annotations//test_auto_move//signs_mov_separ_signers/Brady_15213.mov" TargetMode="External"/><Relationship Id="rId359" Type="http://schemas.openxmlformats.org/officeDocument/2006/relationships/hyperlink" Target="http://csr.bu.edu/ftp/asl/asllvd/demos/verify_start_end_handshape_annotations//test_auto_move//signs_mov_separ_signers/Liz_15281.mov" TargetMode="External"/><Relationship Id="rId360" Type="http://schemas.openxmlformats.org/officeDocument/2006/relationships/hyperlink" Target="http://secrets.rutgers.edu:8080/data/asl-ftp/asllvd/demos/verify_start_end_handshape_annotations//test_auto_move//signs_mov_separ_signers/Liz_15281.mov" TargetMode="External"/><Relationship Id="rId361" Type="http://schemas.openxmlformats.org/officeDocument/2006/relationships/hyperlink" Target="http://csr.bu.edu/ftp/asl/asllvd/demos/verify_start_end_handshape_annotations//test_auto_move//signs_mov/15281.mov" TargetMode="External"/><Relationship Id="rId362" Type="http://schemas.openxmlformats.org/officeDocument/2006/relationships/hyperlink" Target="http://csr.bu.edu/ftp/asl/asllvd/demos/verify_start_end_handshape_annotations//test_auto_move//signs_mov_separ_signers/Tyler_15281.mov" TargetMode="External"/><Relationship Id="rId363" Type="http://schemas.openxmlformats.org/officeDocument/2006/relationships/hyperlink" Target="http://secrets.rutgers.edu:8080/data/asl-ftp/asllvd/demos/verify_start_end_handshape_annotations//test_auto_move//signs_mov/15281.mov" TargetMode="External"/><Relationship Id="rId364" Type="http://schemas.openxmlformats.org/officeDocument/2006/relationships/hyperlink" Target="http://secrets.rutgers.edu:8080/data/asl-ftp/asllvd/demos/verify_start_end_handshape_annotations//test_auto_move//signs_mov_separ_signers/Tyler_15281.mov" TargetMode="External"/><Relationship Id="rId365" Type="http://schemas.openxmlformats.org/officeDocument/2006/relationships/hyperlink" Target="http://csr.bu.edu/ftp/asl/asllvd/demos/verify_start_end_handshape_annotations//test_auto_move//signs_mov_separ_signers/Naomi_15281.mov" TargetMode="External"/><Relationship Id="rId366" Type="http://schemas.openxmlformats.org/officeDocument/2006/relationships/hyperlink" Target="http://secrets.rutgers.edu:8080/data/asl-ftp/asllvd/demos/verify_start_end_handshape_annotations//test_auto_move//signs_mov_separ_signers/Naomi_15281.mov" TargetMode="External"/><Relationship Id="rId367" Type="http://schemas.openxmlformats.org/officeDocument/2006/relationships/hyperlink" Target="http://csr.bu.edu/ftp/asl/asllvd/demos/verify_start_end_handshape_annotations//test_auto_move//signs_mov/15397.mov" TargetMode="External"/><Relationship Id="rId368" Type="http://schemas.openxmlformats.org/officeDocument/2006/relationships/hyperlink" Target="http://csr.bu.edu/ftp/asl/asllvd/demos/verify_start_end_handshape_annotations//test_auto_move//signs_mov_separ_signers/Tyler_15397.mov" TargetMode="External"/><Relationship Id="rId369" Type="http://schemas.openxmlformats.org/officeDocument/2006/relationships/hyperlink" Target="http://secrets.rutgers.edu:8080/data/asl-ftp/asllvd/demos/verify_start_end_handshape_annotations//test_auto_move//signs_mov/15397.mov" TargetMode="External"/><Relationship Id="rId370" Type="http://schemas.openxmlformats.org/officeDocument/2006/relationships/hyperlink" Target="http://secrets.rutgers.edu:8080/data/asl-ftp/asllvd/demos/verify_start_end_handshape_annotations//test_auto_move//signs_mov_separ_signers/Tyler_15397.mov" TargetMode="External"/><Relationship Id="rId371" Type="http://schemas.openxmlformats.org/officeDocument/2006/relationships/hyperlink" Target="http://csr.bu.edu/ftp/asl/asllvd/demos/verify_start_end_handshape_annotations//test_auto_move//signs_mov_separ_signers/Liz_40.mov" TargetMode="External"/><Relationship Id="rId372" Type="http://schemas.openxmlformats.org/officeDocument/2006/relationships/hyperlink" Target="http://secrets.rutgers.edu:8080/data/asl-ftp/asllvd/demos/verify_start_end_handshape_annotations//test_auto_move//signs_mov_separ_signers/Liz_40.mov" TargetMode="External"/><Relationship Id="rId373" Type="http://schemas.openxmlformats.org/officeDocument/2006/relationships/hyperlink" Target="http://csr.bu.edu/ftp/asl/asllvd/demos/verify_start_end_handshape_annotations//test_auto_move//signs_mov_separ_signers/Liz_3443.mov" TargetMode="External"/><Relationship Id="rId374" Type="http://schemas.openxmlformats.org/officeDocument/2006/relationships/hyperlink" Target="http://secrets.rutgers.edu:8080/data/asl-ftp/asllvd/demos/verify_start_end_handshape_annotations//test_auto_move//signs_mov_separ_signers/Liz_3443.mov" TargetMode="External"/><Relationship Id="rId375" Type="http://schemas.openxmlformats.org/officeDocument/2006/relationships/hyperlink" Target="http://csr.bu.edu/ftp/asl/asllvd/demos/verify_start_end_handshape_annotations//test_auto_move//signs_mov_separ_signers/Tyler_40.mov" TargetMode="External"/><Relationship Id="rId376" Type="http://schemas.openxmlformats.org/officeDocument/2006/relationships/hyperlink" Target="http://secrets.rutgers.edu:8080/data/asl-ftp/asllvd/demos/verify_start_end_handshape_annotations//test_auto_move//signs_mov_separ_signers/Tyler_40.mov" TargetMode="External"/><Relationship Id="rId377" Type="http://schemas.openxmlformats.org/officeDocument/2006/relationships/hyperlink" Target="http://csr.bu.edu/ftp/asl/asllvd/demos/verify_start_end_handshape_annotations//test_auto_move//signs_mov/40_3443_merged.mov" TargetMode="External"/><Relationship Id="rId378" Type="http://schemas.openxmlformats.org/officeDocument/2006/relationships/hyperlink" Target="http://csr.bu.edu/ftp/asl/asllvd/demos/verify_start_end_handshape_annotations//test_auto_move//signs_mov_separ_signers/Tyler_3443.mov" TargetMode="External"/><Relationship Id="rId379" Type="http://schemas.openxmlformats.org/officeDocument/2006/relationships/hyperlink" Target="http://secrets.rutgers.edu:8080/data/asl-ftp/asllvd/demos/verify_start_end_handshape_annotations//test_auto_move//signs_mov/40_3443_merged.mov" TargetMode="External"/><Relationship Id="rId380" Type="http://schemas.openxmlformats.org/officeDocument/2006/relationships/hyperlink" Target="http://secrets.rutgers.edu:8080/data/asl-ftp/asllvd/demos/verify_start_end_handshape_annotations//test_auto_move//signs_mov_separ_signers/Tyler_3443.mov" TargetMode="External"/><Relationship Id="rId381" Type="http://schemas.openxmlformats.org/officeDocument/2006/relationships/hyperlink" Target="http://csr.bu.edu/ftp/asl/asllvd/demos/verify_start_end_handshape_annotations//test_auto_move//signs_mov_separ_signers/Naomi_40.mov" TargetMode="External"/><Relationship Id="rId382" Type="http://schemas.openxmlformats.org/officeDocument/2006/relationships/hyperlink" Target="http://secrets.rutgers.edu:8080/data/asl-ftp/asllvd/demos/verify_start_end_handshape_annotations//test_auto_move//signs_mov_separ_signers/Naomi_40.mov" TargetMode="External"/><Relationship Id="rId383" Type="http://schemas.openxmlformats.org/officeDocument/2006/relationships/hyperlink" Target="http://csr.bu.edu/ftp/asl/asllvd/demos/verify_start_end_handshape_annotations//test_auto_move//signs_mov_separ_signers/Naomi_3443.mov" TargetMode="External"/><Relationship Id="rId384" Type="http://schemas.openxmlformats.org/officeDocument/2006/relationships/hyperlink" Target="http://secrets.rutgers.edu:8080/data/asl-ftp/asllvd/demos/verify_start_end_handshape_annotations//test_auto_move//signs_mov_separ_signers/Naomi_3443.mov" TargetMode="External"/><Relationship Id="rId385" Type="http://schemas.openxmlformats.org/officeDocument/2006/relationships/hyperlink" Target="http://csr.bu.edu/ftp/asl/asllvd/demos/verify_start_end_handshape_annotations//test_auto_move//signs_mov_separ_signers/Brady_40.mov" TargetMode="External"/><Relationship Id="rId386" Type="http://schemas.openxmlformats.org/officeDocument/2006/relationships/hyperlink" Target="http://secrets.rutgers.edu:8080/data/asl-ftp/asllvd/demos/verify_start_end_handshape_annotations//test_auto_move//signs_mov_separ_signers/Brady_40.mov" TargetMode="External"/><Relationship Id="rId387" Type="http://schemas.openxmlformats.org/officeDocument/2006/relationships/hyperlink" Target="http://csr.bu.edu/ftp/asl/asllvd/demos/verify_start_end_handshape_annotations//test_auto_move//signs_mov_separ_signers/Brady_3443.mov" TargetMode="External"/><Relationship Id="rId388" Type="http://schemas.openxmlformats.org/officeDocument/2006/relationships/hyperlink" Target="http://secrets.rutgers.edu:8080/data/asl-ftp/asllvd/demos/verify_start_end_handshape_annotations//test_auto_move//signs_mov_separ_signers/Brady_3443.mov" TargetMode="External"/><Relationship Id="rId389" Type="http://schemas.openxmlformats.org/officeDocument/2006/relationships/hyperlink" Target="http://csr.bu.edu/ftp/asl/asllvd/demos/verify_start_end_handshape_annotations//test_auto_move//signs_mov/5411.mov" TargetMode="External"/><Relationship Id="rId390" Type="http://schemas.openxmlformats.org/officeDocument/2006/relationships/hyperlink" Target="http://csr.bu.edu/ftp/asl/asllvd/demos/verify_start_end_handshape_annotations//test_auto_move//signs_mov_separ_signers/Liz_5411.mov" TargetMode="External"/><Relationship Id="rId391" Type="http://schemas.openxmlformats.org/officeDocument/2006/relationships/hyperlink" Target="http://secrets.rutgers.edu:8080/data/asl-ftp/asllvd/demos/verify_start_end_handshape_annotations//test_auto_move//signs_mov/5411.mov" TargetMode="External"/><Relationship Id="rId392" Type="http://schemas.openxmlformats.org/officeDocument/2006/relationships/hyperlink" Target="http://secrets.rutgers.edu:8080/data/asl-ftp/asllvd/demos/verify_start_end_handshape_annotations//test_auto_move//signs_mov_separ_signers/Liz_5411.mov" TargetMode="External"/><Relationship Id="rId393" Type="http://schemas.openxmlformats.org/officeDocument/2006/relationships/hyperlink" Target="http://csr.bu.edu/ftp/asl/asllvd/demos/verify_start_end_handshape_annotations//test_auto_move//signs_mov_separ_signers/Brady_5411.mov" TargetMode="External"/><Relationship Id="rId394" Type="http://schemas.openxmlformats.org/officeDocument/2006/relationships/hyperlink" Target="http://secrets.rutgers.edu:8080/data/asl-ftp/asllvd/demos/verify_start_end_handshape_annotations//test_auto_move//signs_mov_separ_signers/Brady_5411.mov" TargetMode="External"/><Relationship Id="rId395" Type="http://schemas.openxmlformats.org/officeDocument/2006/relationships/hyperlink" Target="http://csr.bu.edu/ftp/asl/asllvd/demos/verify_start_end_handshape_annotations//test_auto_move//signs_mov_separ_signers/Liz_41.mov" TargetMode="External"/><Relationship Id="rId396" Type="http://schemas.openxmlformats.org/officeDocument/2006/relationships/hyperlink" Target="http://secrets.rutgers.edu:8080/data/asl-ftp/asllvd/demos/verify_start_end_handshape_annotations//test_auto_move//signs_mov_separ_signers/Liz_41.mov" TargetMode="External"/><Relationship Id="rId397" Type="http://schemas.openxmlformats.org/officeDocument/2006/relationships/hyperlink" Target="http://csr.bu.edu/ftp/asl/asllvd/demos/verify_start_end_handshape_annotations//test_auto_move//signs_mov_separ_signers/Liz_3393.mov" TargetMode="External"/><Relationship Id="rId398" Type="http://schemas.openxmlformats.org/officeDocument/2006/relationships/hyperlink" Target="http://secrets.rutgers.edu:8080/data/asl-ftp/asllvd/demos/verify_start_end_handshape_annotations//test_auto_move//signs_mov_separ_signers/Liz_3393.mov" TargetMode="External"/><Relationship Id="rId399" Type="http://schemas.openxmlformats.org/officeDocument/2006/relationships/hyperlink" Target="http://csr.bu.edu/ftp/asl/asllvd/demos/verify_start_end_handshape_annotations//test_auto_move//signs_mov_separ_signers/Liz_3570.mov" TargetMode="External"/><Relationship Id="rId400" Type="http://schemas.openxmlformats.org/officeDocument/2006/relationships/hyperlink" Target="http://secrets.rutgers.edu:8080/data/asl-ftp/asllvd/demos/verify_start_end_handshape_annotations//test_auto_move//signs_mov_separ_signers/Liz_3570.mov" TargetMode="External"/><Relationship Id="rId401" Type="http://schemas.openxmlformats.org/officeDocument/2006/relationships/hyperlink" Target="http://csr.bu.edu/ftp/asl/asllvd/demos/verify_start_end_handshape_annotations//test_auto_move//signs_mov/41_3393_3570_merged.mov" TargetMode="External"/><Relationship Id="rId402" Type="http://schemas.openxmlformats.org/officeDocument/2006/relationships/hyperlink" Target="http://csr.bu.edu/ftp/asl/asllvd/demos/verify_start_end_handshape_annotations//test_auto_move//signs_mov_separ_signers/Tyler_41.mov" TargetMode="External"/><Relationship Id="rId403" Type="http://schemas.openxmlformats.org/officeDocument/2006/relationships/hyperlink" Target="http://secrets.rutgers.edu:8080/data/asl-ftp/asllvd/demos/verify_start_end_handshape_annotations//test_auto_move//signs_mov/41_3393_3570_merged.mov" TargetMode="External"/><Relationship Id="rId404" Type="http://schemas.openxmlformats.org/officeDocument/2006/relationships/hyperlink" Target="http://secrets.rutgers.edu:8080/data/asl-ftp/asllvd/demos/verify_start_end_handshape_annotations//test_auto_move//signs_mov_separ_signers/Tyler_41.mov" TargetMode="External"/><Relationship Id="rId405" Type="http://schemas.openxmlformats.org/officeDocument/2006/relationships/hyperlink" Target="http://csr.bu.edu/ftp/asl/asllvd/demos/verify_start_end_handshape_annotations//test_auto_move//signs_mov_separ_signers/Tyler_3393.mov" TargetMode="External"/><Relationship Id="rId406" Type="http://schemas.openxmlformats.org/officeDocument/2006/relationships/hyperlink" Target="http://secrets.rutgers.edu:8080/data/asl-ftp/asllvd/demos/verify_start_end_handshape_annotations//test_auto_move//signs_mov_separ_signers/Tyler_3393.mov" TargetMode="External"/><Relationship Id="rId407" Type="http://schemas.openxmlformats.org/officeDocument/2006/relationships/hyperlink" Target="http://csr.bu.edu/ftp/asl/asllvd/demos/verify_start_end_handshape_annotations//test_auto_move//signs_mov_separ_signers/Naomi_41.mov" TargetMode="External"/><Relationship Id="rId408" Type="http://schemas.openxmlformats.org/officeDocument/2006/relationships/hyperlink" Target="http://secrets.rutgers.edu:8080/data/asl-ftp/asllvd/demos/verify_start_end_handshape_annotations//test_auto_move//signs_mov_separ_signers/Naomi_41.mov" TargetMode="External"/><Relationship Id="rId409" Type="http://schemas.openxmlformats.org/officeDocument/2006/relationships/hyperlink" Target="http://csr.bu.edu/ftp/asl/asllvd/demos/verify_start_end_handshape_annotations//test_auto_move//signs_mov_separ_signers/Naomi_3393.mov" TargetMode="External"/><Relationship Id="rId410" Type="http://schemas.openxmlformats.org/officeDocument/2006/relationships/hyperlink" Target="http://secrets.rutgers.edu:8080/data/asl-ftp/asllvd/demos/verify_start_end_handshape_annotations//test_auto_move//signs_mov_separ_signers/Naomi_3393.mov" TargetMode="External"/><Relationship Id="rId411" Type="http://schemas.openxmlformats.org/officeDocument/2006/relationships/hyperlink" Target="http://csr.bu.edu/ftp/asl/asllvd/demos/verify_start_end_handshape_annotations//test_auto_move//signs_mov_separ_signers/Brady_41.mov" TargetMode="External"/><Relationship Id="rId412" Type="http://schemas.openxmlformats.org/officeDocument/2006/relationships/hyperlink" Target="http://secrets.rutgers.edu:8080/data/asl-ftp/asllvd/demos/verify_start_end_handshape_annotations//test_auto_move//signs_mov_separ_signers/Brady_41.mov" TargetMode="External"/><Relationship Id="rId413" Type="http://schemas.openxmlformats.org/officeDocument/2006/relationships/hyperlink" Target="http://csr.bu.edu/ftp/asl/asllvd/demos/verify_start_end_handshape_annotations//test_auto_move//signs_mov_separ_signers/Liz_42.mov" TargetMode="External"/><Relationship Id="rId414" Type="http://schemas.openxmlformats.org/officeDocument/2006/relationships/hyperlink" Target="http://secrets.rutgers.edu:8080/data/asl-ftp/asllvd/demos/verify_start_end_handshape_annotations//test_auto_move//signs_mov_separ_signers/Liz_42.mov" TargetMode="External"/><Relationship Id="rId415" Type="http://schemas.openxmlformats.org/officeDocument/2006/relationships/hyperlink" Target="http://csr.bu.edu/ftp/asl/asllvd/demos/verify_start_end_handshape_annotations//test_auto_move//signs_mov_separ_signers/Liz_3447.mov" TargetMode="External"/><Relationship Id="rId416" Type="http://schemas.openxmlformats.org/officeDocument/2006/relationships/hyperlink" Target="http://secrets.rutgers.edu:8080/data/asl-ftp/asllvd/demos/verify_start_end_handshape_annotations//test_auto_move//signs_mov_separ_signers/Liz_3447.mov" TargetMode="External"/><Relationship Id="rId417" Type="http://schemas.openxmlformats.org/officeDocument/2006/relationships/hyperlink" Target="http://csr.bu.edu/ftp/asl/asllvd/demos/verify_start_end_handshape_annotations//test_auto_move//signs_mov_separ_signers/Tyler_42.mov" TargetMode="External"/><Relationship Id="rId418" Type="http://schemas.openxmlformats.org/officeDocument/2006/relationships/hyperlink" Target="http://secrets.rutgers.edu:8080/data/asl-ftp/asllvd/demos/verify_start_end_handshape_annotations//test_auto_move//signs_mov_separ_signers/Tyler_42.mov" TargetMode="External"/><Relationship Id="rId419" Type="http://schemas.openxmlformats.org/officeDocument/2006/relationships/hyperlink" Target="http://csr.bu.edu/ftp/asl/asllvd/demos/verify_start_end_handshape_annotations//test_auto_move//signs_mov/42_3447_merged.mov" TargetMode="External"/><Relationship Id="rId420" Type="http://schemas.openxmlformats.org/officeDocument/2006/relationships/hyperlink" Target="http://csr.bu.edu/ftp/asl/asllvd/demos/verify_start_end_handshape_annotations//test_auto_move//signs_mov_separ_signers/Tyler_3447.mov" TargetMode="External"/><Relationship Id="rId421" Type="http://schemas.openxmlformats.org/officeDocument/2006/relationships/hyperlink" Target="http://secrets.rutgers.edu:8080/data/asl-ftp/asllvd/demos/verify_start_end_handshape_annotations//test_auto_move//signs_mov/42_3447_merged.mov" TargetMode="External"/><Relationship Id="rId422" Type="http://schemas.openxmlformats.org/officeDocument/2006/relationships/hyperlink" Target="http://secrets.rutgers.edu:8080/data/asl-ftp/asllvd/demos/verify_start_end_handshape_annotations//test_auto_move//signs_mov_separ_signers/Tyler_3447.mov" TargetMode="External"/><Relationship Id="rId423" Type="http://schemas.openxmlformats.org/officeDocument/2006/relationships/hyperlink" Target="http://csr.bu.edu/ftp/asl/asllvd/demos/verify_start_end_handshape_annotations//test_auto_move//signs_mov_separ_signers/Naomi_42.mov" TargetMode="External"/><Relationship Id="rId424" Type="http://schemas.openxmlformats.org/officeDocument/2006/relationships/hyperlink" Target="http://secrets.rutgers.edu:8080/data/asl-ftp/asllvd/demos/verify_start_end_handshape_annotations//test_auto_move//signs_mov_separ_signers/Naomi_42.mov" TargetMode="External"/><Relationship Id="rId425" Type="http://schemas.openxmlformats.org/officeDocument/2006/relationships/hyperlink" Target="http://csr.bu.edu/ftp/asl/asllvd/demos/verify_start_end_handshape_annotations//test_auto_move//signs_mov_separ_signers/Naomi_3447.mov" TargetMode="External"/><Relationship Id="rId426" Type="http://schemas.openxmlformats.org/officeDocument/2006/relationships/hyperlink" Target="http://secrets.rutgers.edu:8080/data/asl-ftp/asllvd/demos/verify_start_end_handshape_annotations//test_auto_move//signs_mov_separ_signers/Naomi_3447.mov" TargetMode="External"/><Relationship Id="rId427" Type="http://schemas.openxmlformats.org/officeDocument/2006/relationships/hyperlink" Target="http://csr.bu.edu/ftp/asl/asllvd/demos/verify_start_end_handshape_annotations//test_auto_move//signs_mov_separ_signers/Brady_42.mov" TargetMode="External"/><Relationship Id="rId428" Type="http://schemas.openxmlformats.org/officeDocument/2006/relationships/hyperlink" Target="http://secrets.rutgers.edu:8080/data/asl-ftp/asllvd/demos/verify_start_end_handshape_annotations//test_auto_move//signs_mov_separ_signers/Brady_42.mov" TargetMode="External"/><Relationship Id="rId429" Type="http://schemas.openxmlformats.org/officeDocument/2006/relationships/hyperlink" Target="http://csr.bu.edu/ftp/asl/asllvd/demos/verify_start_end_handshape_annotations//test_auto_move//signs_mov_separ_signers/Brady_3447.mov" TargetMode="External"/><Relationship Id="rId430" Type="http://schemas.openxmlformats.org/officeDocument/2006/relationships/hyperlink" Target="http://secrets.rutgers.edu:8080/data/asl-ftp/asllvd/demos/verify_start_end_handshape_annotations//test_auto_move//signs_mov_separ_signers/Brady_3447.mov" TargetMode="External"/><Relationship Id="rId431" Type="http://schemas.openxmlformats.org/officeDocument/2006/relationships/hyperlink" Target="http://csr.bu.edu/ftp/asl/asllvd/demos/verify_start_end_handshape_annotations//test_auto_move//signs_mov_separ_signers/Liz_15762.mov" TargetMode="External"/><Relationship Id="rId432" Type="http://schemas.openxmlformats.org/officeDocument/2006/relationships/hyperlink" Target="http://secrets.rutgers.edu:8080/data/asl-ftp/asllvd/demos/verify_start_end_handshape_annotations//test_auto_move//signs_mov_separ_signers/Liz_15762.mov" TargetMode="External"/><Relationship Id="rId433" Type="http://schemas.openxmlformats.org/officeDocument/2006/relationships/hyperlink" Target="http://csr.bu.edu/ftp/asl/asllvd/demos/verify_start_end_handshape_annotations//test_auto_move//signs_mov_separ_signers/Tyler_15762.mov" TargetMode="External"/><Relationship Id="rId434" Type="http://schemas.openxmlformats.org/officeDocument/2006/relationships/hyperlink" Target="http://secrets.rutgers.edu:8080/data/asl-ftp/asllvd/demos/verify_start_end_handshape_annotations//test_auto_move//signs_mov_separ_signers/Tyler_15762.mov" TargetMode="External"/><Relationship Id="rId435" Type="http://schemas.openxmlformats.org/officeDocument/2006/relationships/hyperlink" Target="http://csr.bu.edu/ftp/asl/asllvd/demos/verify_start_end_handshape_annotations//test_auto_move//signs_mov/15762_15763_merged.mov" TargetMode="External"/><Relationship Id="rId436" Type="http://schemas.openxmlformats.org/officeDocument/2006/relationships/hyperlink" Target="http://csr.bu.edu/ftp/asl/asllvd/demos/verify_start_end_handshape_annotations//test_auto_move//signs_mov_separ_signers/Naomi_15762.mov" TargetMode="External"/><Relationship Id="rId437" Type="http://schemas.openxmlformats.org/officeDocument/2006/relationships/hyperlink" Target="http://secrets.rutgers.edu:8080/data/asl-ftp/asllvd/demos/verify_start_end_handshape_annotations//test_auto_move//signs_mov/15762_15763_merged.mov" TargetMode="External"/><Relationship Id="rId438" Type="http://schemas.openxmlformats.org/officeDocument/2006/relationships/hyperlink" Target="http://secrets.rutgers.edu:8080/data/asl-ftp/asllvd/demos/verify_start_end_handshape_annotations//test_auto_move//signs_mov_separ_signers/Naomi_15762.mov" TargetMode="External"/><Relationship Id="rId439" Type="http://schemas.openxmlformats.org/officeDocument/2006/relationships/hyperlink" Target="http://csr.bu.edu/ftp/asl/asllvd/demos/verify_start_end_handshape_annotations//test_auto_move//signs_mov_separ_signers/Brady_15762.mov" TargetMode="External"/><Relationship Id="rId440" Type="http://schemas.openxmlformats.org/officeDocument/2006/relationships/hyperlink" Target="http://secrets.rutgers.edu:8080/data/asl-ftp/asllvd/demos/verify_start_end_handshape_annotations//test_auto_move//signs_mov_separ_signers/Brady_15762.mov" TargetMode="External"/><Relationship Id="rId441" Type="http://schemas.openxmlformats.org/officeDocument/2006/relationships/hyperlink" Target="http://csr.bu.edu/ftp/asl/asllvd/demos/verify_start_end_handshape_annotations//test_auto_move//signs_mov_separ_signers/Brady_15763.mov" TargetMode="External"/><Relationship Id="rId442" Type="http://schemas.openxmlformats.org/officeDocument/2006/relationships/hyperlink" Target="http://secrets.rutgers.edu:8080/data/asl-ftp/asllvd/demos/verify_start_end_handshape_annotations//test_auto_move//signs_mov_separ_signers/Brady_15763.mov" TargetMode="External"/><Relationship Id="rId443" Type="http://schemas.openxmlformats.org/officeDocument/2006/relationships/hyperlink" Target="http://csr.bu.edu/ftp/asl/asllvd/demos/verify_start_end_handshape_annotations//test_auto_move//signs_mov_separ_signers/Liz_46.mov" TargetMode="External"/><Relationship Id="rId444" Type="http://schemas.openxmlformats.org/officeDocument/2006/relationships/hyperlink" Target="http://secrets.rutgers.edu:8080/data/asl-ftp/asllvd/demos/verify_start_end_handshape_annotations//test_auto_move//signs_mov_separ_signers/Liz_46.mov" TargetMode="External"/><Relationship Id="rId445" Type="http://schemas.openxmlformats.org/officeDocument/2006/relationships/hyperlink" Target="http://csr.bu.edu/ftp/asl/asllvd/demos/verify_start_end_handshape_annotations//test_auto_move//signs_mov/46_3343_merged.mov" TargetMode="External"/><Relationship Id="rId446" Type="http://schemas.openxmlformats.org/officeDocument/2006/relationships/hyperlink" Target="http://csr.bu.edu/ftp/asl/asllvd/demos/verify_start_end_handshape_annotations//test_auto_move//signs_mov_separ_signers/Liz_3343.mov" TargetMode="External"/><Relationship Id="rId447" Type="http://schemas.openxmlformats.org/officeDocument/2006/relationships/hyperlink" Target="http://secrets.rutgers.edu:8080/data/asl-ftp/asllvd/demos/verify_start_end_handshape_annotations//test_auto_move//signs_mov/46_3343_merged.mov" TargetMode="External"/><Relationship Id="rId448" Type="http://schemas.openxmlformats.org/officeDocument/2006/relationships/hyperlink" Target="http://secrets.rutgers.edu:8080/data/asl-ftp/asllvd/demos/verify_start_end_handshape_annotations//test_auto_move//signs_mov_separ_signers/Liz_3343.mov" TargetMode="External"/><Relationship Id="rId449" Type="http://schemas.openxmlformats.org/officeDocument/2006/relationships/hyperlink" Target="http://csr.bu.edu/ftp/asl/asllvd/demos/verify_start_end_handshape_annotations//test_auto_move//signs_mov_separ_signers/Naomi_46.mov" TargetMode="External"/><Relationship Id="rId450" Type="http://schemas.openxmlformats.org/officeDocument/2006/relationships/hyperlink" Target="http://secrets.rutgers.edu:8080/data/asl-ftp/asllvd/demos/verify_start_end_handshape_annotations//test_auto_move//signs_mov_separ_signers/Naomi_46.mov" TargetMode="External"/><Relationship Id="rId451" Type="http://schemas.openxmlformats.org/officeDocument/2006/relationships/hyperlink" Target="http://csr.bu.edu/ftp/asl/asllvd/demos/verify_start_end_handshape_annotations//test_auto_move//signs_mov_separ_signers/Naomi_3343.mov" TargetMode="External"/><Relationship Id="rId452" Type="http://schemas.openxmlformats.org/officeDocument/2006/relationships/hyperlink" Target="http://secrets.rutgers.edu:8080/data/asl-ftp/asllvd/demos/verify_start_end_handshape_annotations//test_auto_move//signs_mov_separ_signers/Naomi_3343.mov" TargetMode="External"/><Relationship Id="rId453" Type="http://schemas.openxmlformats.org/officeDocument/2006/relationships/hyperlink" Target="http://csr.bu.edu/ftp/asl/asllvd/demos/verify_start_end_handshape_annotations//test_auto_move//signs_mov_separ_signers/Tyler_3572.mov" TargetMode="External"/><Relationship Id="rId454" Type="http://schemas.openxmlformats.org/officeDocument/2006/relationships/hyperlink" Target="http://secrets.rutgers.edu:8080/data/asl-ftp/asllvd/demos/verify_start_end_handshape_annotations//test_auto_move//signs_mov_separ_signers/Tyler_3572.mov" TargetMode="External"/><Relationship Id="rId455" Type="http://schemas.openxmlformats.org/officeDocument/2006/relationships/hyperlink" Target="http://csr.bu.edu/ftp/asl/asllvd/demos/verify_start_end_handshape_annotations//test_auto_move//signs_mov/3572_15771_merged.mov" TargetMode="External"/><Relationship Id="rId456" Type="http://schemas.openxmlformats.org/officeDocument/2006/relationships/hyperlink" Target="http://csr.bu.edu/ftp/asl/asllvd/demos/verify_start_end_handshape_annotations//test_auto_move//signs_mov_separ_signers/Tyler_15771.mov" TargetMode="External"/><Relationship Id="rId457" Type="http://schemas.openxmlformats.org/officeDocument/2006/relationships/hyperlink" Target="http://secrets.rutgers.edu:8080/data/asl-ftp/asllvd/demos/verify_start_end_handshape_annotations//test_auto_move//signs_mov/3572_15771_merged.mov" TargetMode="External"/><Relationship Id="rId458" Type="http://schemas.openxmlformats.org/officeDocument/2006/relationships/hyperlink" Target="http://secrets.rutgers.edu:8080/data/asl-ftp/asllvd/demos/verify_start_end_handshape_annotations//test_auto_move//signs_mov_separ_signers/Tyler_15771.mov" TargetMode="External"/><Relationship Id="rId459" Type="http://schemas.openxmlformats.org/officeDocument/2006/relationships/hyperlink" Target="http://csr.bu.edu/ftp/asl/asllvd/demos/verify_start_end_handshape_annotations//test_auto_move//signs_mov_separ_signers/Naomi_3572.mov" TargetMode="External"/><Relationship Id="rId460" Type="http://schemas.openxmlformats.org/officeDocument/2006/relationships/hyperlink" Target="http://secrets.rutgers.edu:8080/data/asl-ftp/asllvd/demos/verify_start_end_handshape_annotations//test_auto_move//signs_mov_separ_signers/Naomi_3572.mov" TargetMode="External"/><Relationship Id="rId461" Type="http://schemas.openxmlformats.org/officeDocument/2006/relationships/hyperlink" Target="http://csr.bu.edu/ftp/asl/asllvd/demos/verify_start_end_handshape_annotations//test_auto_move//signs_mov_separ_signers/Brady_3572.mov" TargetMode="External"/><Relationship Id="rId462" Type="http://schemas.openxmlformats.org/officeDocument/2006/relationships/hyperlink" Target="http://secrets.rutgers.edu:8080/data/asl-ftp/asllvd/demos/verify_start_end_handshape_annotations//test_auto_move//signs_mov_separ_signers/Brady_3572.mov" TargetMode="External"/><Relationship Id="rId463" Type="http://schemas.openxmlformats.org/officeDocument/2006/relationships/hyperlink" Target="http://csr.bu.edu/ftp/asl/asllvd/demos/verify_start_end_handshape_annotations//test_auto_move//signs_mov_separ_signers/Liz_15772.mov" TargetMode="External"/><Relationship Id="rId464" Type="http://schemas.openxmlformats.org/officeDocument/2006/relationships/hyperlink" Target="http://secrets.rutgers.edu:8080/data/asl-ftp/asllvd/demos/verify_start_end_handshape_annotations//test_auto_move//signs_mov_separ_signers/Liz_15772.mov" TargetMode="External"/><Relationship Id="rId465" Type="http://schemas.openxmlformats.org/officeDocument/2006/relationships/hyperlink" Target="http://csr.bu.edu/ftp/asl/asllvd/demos/verify_start_end_handshape_annotations//test_auto_move//signs_mov/15772.mov" TargetMode="External"/><Relationship Id="rId466" Type="http://schemas.openxmlformats.org/officeDocument/2006/relationships/hyperlink" Target="http://csr.bu.edu/ftp/asl/asllvd/demos/verify_start_end_handshape_annotations//test_auto_move//signs_mov_separ_signers/Tyler_15772.mov" TargetMode="External"/><Relationship Id="rId467" Type="http://schemas.openxmlformats.org/officeDocument/2006/relationships/hyperlink" Target="http://secrets.rutgers.edu:8080/data/asl-ftp/asllvd/demos/verify_start_end_handshape_annotations//test_auto_move//signs_mov/15772.mov" TargetMode="External"/><Relationship Id="rId468" Type="http://schemas.openxmlformats.org/officeDocument/2006/relationships/hyperlink" Target="http://secrets.rutgers.edu:8080/data/asl-ftp/asllvd/demos/verify_start_end_handshape_annotations//test_auto_move//signs_mov_separ_signers/Tyler_15772.mov" TargetMode="External"/><Relationship Id="rId469" Type="http://schemas.openxmlformats.org/officeDocument/2006/relationships/hyperlink" Target="http://csr.bu.edu/ftp/asl/asllvd/demos/verify_start_end_handshape_annotations//test_auto_move//signs_mov_separ_signers/Brady_15772.mov" TargetMode="External"/><Relationship Id="rId470" Type="http://schemas.openxmlformats.org/officeDocument/2006/relationships/hyperlink" Target="http://secrets.rutgers.edu:8080/data/asl-ftp/asllvd/demos/verify_start_end_handshape_annotations//test_auto_move//signs_mov_separ_signers/Brady_15772.mov" TargetMode="External"/><Relationship Id="rId471" Type="http://schemas.openxmlformats.org/officeDocument/2006/relationships/hyperlink" Target="http://csr.bu.edu/ftp/asl/asllvd/demos/verify_start_end_handshape_annotations//test_auto_move//signs_mov_separ_signers/Liz_48.mov" TargetMode="External"/><Relationship Id="rId472" Type="http://schemas.openxmlformats.org/officeDocument/2006/relationships/hyperlink" Target="http://secrets.rutgers.edu:8080/data/asl-ftp/asllvd/demos/verify_start_end_handshape_annotations//test_auto_move//signs_mov_separ_signers/Liz_48.mov" TargetMode="External"/><Relationship Id="rId473" Type="http://schemas.openxmlformats.org/officeDocument/2006/relationships/hyperlink" Target="http://csr.bu.edu/ftp/asl/asllvd/demos/verify_start_end_handshape_annotations//test_auto_move//signs_mov_separ_signers/Liz_3625.mov" TargetMode="External"/><Relationship Id="rId474" Type="http://schemas.openxmlformats.org/officeDocument/2006/relationships/hyperlink" Target="http://secrets.rutgers.edu:8080/data/asl-ftp/asllvd/demos/verify_start_end_handshape_annotations//test_auto_move//signs_mov_separ_signers/Liz_3625.mov" TargetMode="External"/><Relationship Id="rId475" Type="http://schemas.openxmlformats.org/officeDocument/2006/relationships/hyperlink" Target="http://csr.bu.edu/ftp/asl/asllvd/demos/verify_start_end_handshape_annotations//test_auto_move//signs_mov_separ_signers/Tyler_48.mov" TargetMode="External"/><Relationship Id="rId476" Type="http://schemas.openxmlformats.org/officeDocument/2006/relationships/hyperlink" Target="http://secrets.rutgers.edu:8080/data/asl-ftp/asllvd/demos/verify_start_end_handshape_annotations//test_auto_move//signs_mov_separ_signers/Tyler_48.mov" TargetMode="External"/><Relationship Id="rId477" Type="http://schemas.openxmlformats.org/officeDocument/2006/relationships/hyperlink" Target="http://csr.bu.edu/ftp/asl/asllvd/demos/verify_start_end_handshape_annotations//test_auto_move//signs_mov_separ_signers/Tyler_3625.mov" TargetMode="External"/><Relationship Id="rId478" Type="http://schemas.openxmlformats.org/officeDocument/2006/relationships/hyperlink" Target="http://secrets.rutgers.edu:8080/data/asl-ftp/asllvd/demos/verify_start_end_handshape_annotations//test_auto_move//signs_mov_separ_signers/Tyler_3625.mov" TargetMode="External"/><Relationship Id="rId479" Type="http://schemas.openxmlformats.org/officeDocument/2006/relationships/hyperlink" Target="http://csr.bu.edu/ftp/asl/asllvd/demos/verify_start_end_handshape_annotations//test_auto_move//signs_mov/48_3625_merged.mov" TargetMode="External"/><Relationship Id="rId480" Type="http://schemas.openxmlformats.org/officeDocument/2006/relationships/hyperlink" Target="http://csr.bu.edu/ftp/asl/asllvd/demos/verify_start_end_handshape_annotations//test_auto_move//signs_mov_separ_signers/Naomi_48.mov" TargetMode="External"/><Relationship Id="rId481" Type="http://schemas.openxmlformats.org/officeDocument/2006/relationships/hyperlink" Target="http://secrets.rutgers.edu:8080/data/asl-ftp/asllvd/demos/verify_start_end_handshape_annotations//test_auto_move//signs_mov/48_3625_merged.mov" TargetMode="External"/><Relationship Id="rId482" Type="http://schemas.openxmlformats.org/officeDocument/2006/relationships/hyperlink" Target="http://secrets.rutgers.edu:8080/data/asl-ftp/asllvd/demos/verify_start_end_handshape_annotations//test_auto_move//signs_mov_separ_signers/Naomi_48.mov" TargetMode="External"/><Relationship Id="rId483" Type="http://schemas.openxmlformats.org/officeDocument/2006/relationships/hyperlink" Target="http://csr.bu.edu/ftp/asl/asllvd/demos/verify_start_end_handshape_annotations//test_auto_move//signs_mov_separ_signers/Naomi_3625.mov" TargetMode="External"/><Relationship Id="rId484" Type="http://schemas.openxmlformats.org/officeDocument/2006/relationships/hyperlink" Target="http://secrets.rutgers.edu:8080/data/asl-ftp/asllvd/demos/verify_start_end_handshape_annotations//test_auto_move//signs_mov_separ_signers/Naomi_3625.mov" TargetMode="External"/><Relationship Id="rId485" Type="http://schemas.openxmlformats.org/officeDocument/2006/relationships/hyperlink" Target="http://csr.bu.edu/ftp/asl/asllvd/demos/verify_start_end_handshape_annotations//test_auto_move//signs_mov_separ_signers/Brady_48.mov" TargetMode="External"/><Relationship Id="rId486" Type="http://schemas.openxmlformats.org/officeDocument/2006/relationships/hyperlink" Target="http://secrets.rutgers.edu:8080/data/asl-ftp/asllvd/demos/verify_start_end_handshape_annotations//test_auto_move//signs_mov_separ_signers/Brady_48.mov" TargetMode="External"/><Relationship Id="rId487" Type="http://schemas.openxmlformats.org/officeDocument/2006/relationships/hyperlink" Target="http://csr.bu.edu/ftp/asl/asllvd/demos/verify_start_end_handshape_annotations//test_auto_move//signs_mov_separ_signers/Lana_48.mov" TargetMode="External"/><Relationship Id="rId488" Type="http://schemas.openxmlformats.org/officeDocument/2006/relationships/hyperlink" Target="http://secrets.rutgers.edu:8080/data/asl-ftp/asllvd/demos/verify_start_end_handshape_annotations//test_auto_move//signs_mov_separ_signers/Lana_48.mov" TargetMode="External"/><Relationship Id="rId489" Type="http://schemas.openxmlformats.org/officeDocument/2006/relationships/hyperlink" Target="http://csr.bu.edu/ftp/asl/asllvd/demos/verify_start_end_handshape_annotations//test_auto_move//signs_mov_separ_signers/Dana_48.mov" TargetMode="External"/><Relationship Id="rId490" Type="http://schemas.openxmlformats.org/officeDocument/2006/relationships/hyperlink" Target="http://secrets.rutgers.edu:8080/data/asl-ftp/asllvd/demos/verify_start_end_handshape_annotations//test_auto_move//signs_mov_separ_signers/Dana_48.mov" TargetMode="External"/><Relationship Id="rId491" Type="http://schemas.openxmlformats.org/officeDocument/2006/relationships/hyperlink" Target="http://csr.bu.edu/ftp/asl/asllvd/demos/verify_start_end_handshape_annotations//test_auto_move//signs_mov/49.mov" TargetMode="External"/><Relationship Id="rId492" Type="http://schemas.openxmlformats.org/officeDocument/2006/relationships/hyperlink" Target="http://csr.bu.edu/ftp/asl/asllvd/demos/verify_start_end_handshape_annotations//test_auto_move//signs_mov_separ_signers/Liz_49.mov" TargetMode="External"/><Relationship Id="rId493" Type="http://schemas.openxmlformats.org/officeDocument/2006/relationships/hyperlink" Target="http://secrets.rutgers.edu:8080/data/asl-ftp/asllvd/demos/verify_start_end_handshape_annotations//test_auto_move//signs_mov/49.mov" TargetMode="External"/><Relationship Id="rId494" Type="http://schemas.openxmlformats.org/officeDocument/2006/relationships/hyperlink" Target="http://secrets.rutgers.edu:8080/data/asl-ftp/asllvd/demos/verify_start_end_handshape_annotations//test_auto_move//signs_mov_separ_signers/Liz_49.mov" TargetMode="External"/><Relationship Id="rId495" Type="http://schemas.openxmlformats.org/officeDocument/2006/relationships/hyperlink" Target="http://csr.bu.edu/ftp/asl/asllvd/demos/verify_start_end_handshape_annotations//test_auto_move//signs_mov_separ_signers/Naomi_49.mov" TargetMode="External"/><Relationship Id="rId496" Type="http://schemas.openxmlformats.org/officeDocument/2006/relationships/hyperlink" Target="http://secrets.rutgers.edu:8080/data/asl-ftp/asllvd/demos/verify_start_end_handshape_annotations//test_auto_move//signs_mov_separ_signers/Naomi_49.mov" TargetMode="External"/><Relationship Id="rId497" Type="http://schemas.openxmlformats.org/officeDocument/2006/relationships/hyperlink" Target="http://csr.bu.edu/ftp/asl/asllvd/demos/verify_start_end_handshape_annotations//test_auto_move//signs_mov/5087.mov" TargetMode="External"/><Relationship Id="rId498" Type="http://schemas.openxmlformats.org/officeDocument/2006/relationships/hyperlink" Target="http://csr.bu.edu/ftp/asl/asllvd/demos/verify_start_end_handshape_annotations//test_auto_move//signs_mov_separ_signers/Tyler_5087.mov" TargetMode="External"/><Relationship Id="rId499" Type="http://schemas.openxmlformats.org/officeDocument/2006/relationships/hyperlink" Target="http://secrets.rutgers.edu:8080/data/asl-ftp/asllvd/demos/verify_start_end_handshape_annotations//test_auto_move//signs_mov/5087.mov" TargetMode="External"/><Relationship Id="rId500" Type="http://schemas.openxmlformats.org/officeDocument/2006/relationships/hyperlink" Target="http://secrets.rutgers.edu:8080/data/asl-ftp/asllvd/demos/verify_start_end_handshape_annotations//test_auto_move//signs_mov_separ_signers/Tyler_5087.mov" TargetMode="External"/><Relationship Id="rId501" Type="http://schemas.openxmlformats.org/officeDocument/2006/relationships/hyperlink" Target="http://csr.bu.edu/ftp/asl/asllvd/demos/verify_start_end_handshape_annotations//test_auto_move//signs_mov_separ_signers/Liz_54.mov" TargetMode="External"/><Relationship Id="rId502" Type="http://schemas.openxmlformats.org/officeDocument/2006/relationships/hyperlink" Target="http://secrets.rutgers.edu:8080/data/asl-ftp/asllvd/demos/verify_start_end_handshape_annotations//test_auto_move//signs_mov_separ_signers/Liz_54.mov" TargetMode="External"/><Relationship Id="rId503" Type="http://schemas.openxmlformats.org/officeDocument/2006/relationships/hyperlink" Target="http://csr.bu.edu/ftp/asl/asllvd/demos/verify_start_end_handshape_annotations//test_auto_move//signs_mov_separ_signers/Liz_3506.mov" TargetMode="External"/><Relationship Id="rId504" Type="http://schemas.openxmlformats.org/officeDocument/2006/relationships/hyperlink" Target="http://secrets.rutgers.edu:8080/data/asl-ftp/asllvd/demos/verify_start_end_handshape_annotations//test_auto_move//signs_mov_separ_signers/Liz_3506.mov" TargetMode="External"/><Relationship Id="rId505" Type="http://schemas.openxmlformats.org/officeDocument/2006/relationships/hyperlink" Target="http://csr.bu.edu/ftp/asl/asllvd/demos/verify_start_end_handshape_annotations//test_auto_move//signs_mov_separ_signers/Tyler_54.mov" TargetMode="External"/><Relationship Id="rId506" Type="http://schemas.openxmlformats.org/officeDocument/2006/relationships/hyperlink" Target="http://secrets.rutgers.edu:8080/data/asl-ftp/asllvd/demos/verify_start_end_handshape_annotations//test_auto_move//signs_mov_separ_signers/Tyler_54.mov" TargetMode="External"/><Relationship Id="rId507" Type="http://schemas.openxmlformats.org/officeDocument/2006/relationships/hyperlink" Target="http://csr.bu.edu/ftp/asl/asllvd/demos/verify_start_end_handshape_annotations//test_auto_move//signs_mov_separ_signers/Tyler_3506.mov" TargetMode="External"/><Relationship Id="rId508" Type="http://schemas.openxmlformats.org/officeDocument/2006/relationships/hyperlink" Target="http://secrets.rutgers.edu:8080/data/asl-ftp/asllvd/demos/verify_start_end_handshape_annotations//test_auto_move//signs_mov_separ_signers/Tyler_3506.mov" TargetMode="External"/><Relationship Id="rId509" Type="http://schemas.openxmlformats.org/officeDocument/2006/relationships/hyperlink" Target="http://csr.bu.edu/ftp/asl/asllvd/demos/verify_start_end_handshape_annotations//test_auto_move//signs_mov/54_3506_merged.mov" TargetMode="External"/><Relationship Id="rId510" Type="http://schemas.openxmlformats.org/officeDocument/2006/relationships/hyperlink" Target="http://csr.bu.edu/ftp/asl/asllvd/demos/verify_start_end_handshape_annotations//test_auto_move//signs_mov_separ_signers/Naomi_54.mov" TargetMode="External"/><Relationship Id="rId511" Type="http://schemas.openxmlformats.org/officeDocument/2006/relationships/hyperlink" Target="http://secrets.rutgers.edu:8080/data/asl-ftp/asllvd/demos/verify_start_end_handshape_annotations//test_auto_move//signs_mov/54_3506_merged.mov" TargetMode="External"/><Relationship Id="rId512" Type="http://schemas.openxmlformats.org/officeDocument/2006/relationships/hyperlink" Target="http://secrets.rutgers.edu:8080/data/asl-ftp/asllvd/demos/verify_start_end_handshape_annotations//test_auto_move//signs_mov_separ_signers/Naomi_54.mov" TargetMode="External"/><Relationship Id="rId513" Type="http://schemas.openxmlformats.org/officeDocument/2006/relationships/hyperlink" Target="http://csr.bu.edu/ftp/asl/asllvd/demos/verify_start_end_handshape_annotations//test_auto_move//signs_mov_separ_signers/Naomi_3506.mov" TargetMode="External"/><Relationship Id="rId514" Type="http://schemas.openxmlformats.org/officeDocument/2006/relationships/hyperlink" Target="http://secrets.rutgers.edu:8080/data/asl-ftp/asllvd/demos/verify_start_end_handshape_annotations//test_auto_move//signs_mov_separ_signers/Naomi_3506.mov" TargetMode="External"/><Relationship Id="rId515" Type="http://schemas.openxmlformats.org/officeDocument/2006/relationships/hyperlink" Target="http://csr.bu.edu/ftp/asl/asllvd/demos/verify_start_end_handshape_annotations//test_auto_move//signs_mov_separ_signers/Brady_54.mov" TargetMode="External"/><Relationship Id="rId516" Type="http://schemas.openxmlformats.org/officeDocument/2006/relationships/hyperlink" Target="http://secrets.rutgers.edu:8080/data/asl-ftp/asllvd/demos/verify_start_end_handshape_annotations//test_auto_move//signs_mov_separ_signers/Brady_54.mov" TargetMode="External"/><Relationship Id="rId517" Type="http://schemas.openxmlformats.org/officeDocument/2006/relationships/hyperlink" Target="http://csr.bu.edu/ftp/asl/asllvd/demos/verify_start_end_handshape_annotations//test_auto_move//signs_mov_separ_signers/Lana_54.mov" TargetMode="External"/><Relationship Id="rId518" Type="http://schemas.openxmlformats.org/officeDocument/2006/relationships/hyperlink" Target="http://secrets.rutgers.edu:8080/data/asl-ftp/asllvd/demos/verify_start_end_handshape_annotations//test_auto_move//signs_mov_separ_signers/Lana_54.mov" TargetMode="External"/><Relationship Id="rId519" Type="http://schemas.openxmlformats.org/officeDocument/2006/relationships/hyperlink" Target="http://csr.bu.edu/ftp/asl/asllvd/demos/verify_start_end_handshape_annotations//test_auto_move//signs_mov_separ_signers/Dana_54.mov" TargetMode="External"/><Relationship Id="rId520" Type="http://schemas.openxmlformats.org/officeDocument/2006/relationships/hyperlink" Target="http://secrets.rutgers.edu:8080/data/asl-ftp/asllvd/demos/verify_start_end_handshape_annotations//test_auto_move//signs_mov_separ_signers/Dana_54.mov" TargetMode="External"/><Relationship Id="rId521" Type="http://schemas.openxmlformats.org/officeDocument/2006/relationships/hyperlink" Target="http://csr.bu.edu/ftp/asl/asllvd/demos/verify_start_end_handshape_annotations//test_auto_move//signs_mov_separ_signers/Liz_16513.mov" TargetMode="External"/><Relationship Id="rId522" Type="http://schemas.openxmlformats.org/officeDocument/2006/relationships/hyperlink" Target="http://secrets.rutgers.edu:8080/data/asl-ftp/asllvd/demos/verify_start_end_handshape_annotations//test_auto_move//signs_mov_separ_signers/Liz_16513.mov" TargetMode="External"/><Relationship Id="rId523" Type="http://schemas.openxmlformats.org/officeDocument/2006/relationships/hyperlink" Target="http://csr.bu.edu/ftp/asl/asllvd/demos/verify_start_end_handshape_annotations//test_auto_move//signs_mov/16513.mov" TargetMode="External"/><Relationship Id="rId524" Type="http://schemas.openxmlformats.org/officeDocument/2006/relationships/hyperlink" Target="http://csr.bu.edu/ftp/asl/asllvd/demos/verify_start_end_handshape_annotations//test_auto_move//signs_mov_separ_signers/Naomi_16513.mov" TargetMode="External"/><Relationship Id="rId525" Type="http://schemas.openxmlformats.org/officeDocument/2006/relationships/hyperlink" Target="http://secrets.rutgers.edu:8080/data/asl-ftp/asllvd/demos/verify_start_end_handshape_annotations//test_auto_move//signs_mov/16513.mov" TargetMode="External"/><Relationship Id="rId526" Type="http://schemas.openxmlformats.org/officeDocument/2006/relationships/hyperlink" Target="http://secrets.rutgers.edu:8080/data/asl-ftp/asllvd/demos/verify_start_end_handshape_annotations//test_auto_move//signs_mov_separ_signers/Naomi_16513.mov" TargetMode="External"/><Relationship Id="rId527" Type="http://schemas.openxmlformats.org/officeDocument/2006/relationships/hyperlink" Target="http://csr.bu.edu/ftp/asl/asllvd/demos/verify_start_end_handshape_annotations//test_auto_move//signs_mov_separ_signers/Brady_16513.mov" TargetMode="External"/><Relationship Id="rId528" Type="http://schemas.openxmlformats.org/officeDocument/2006/relationships/hyperlink" Target="http://secrets.rutgers.edu:8080/data/asl-ftp/asllvd/demos/verify_start_end_handshape_annotations//test_auto_move//signs_mov_separ_signers/Brady_16513.mov" TargetMode="External"/><Relationship Id="rId529" Type="http://schemas.openxmlformats.org/officeDocument/2006/relationships/hyperlink" Target="http://csr.bu.edu/ftp/asl/asllvd/demos/verify_start_end_handshape_annotations//test_auto_move//signs_mov_separ_signers/Liz_56.mov" TargetMode="External"/><Relationship Id="rId530" Type="http://schemas.openxmlformats.org/officeDocument/2006/relationships/hyperlink" Target="http://secrets.rutgers.edu:8080/data/asl-ftp/asllvd/demos/verify_start_end_handshape_annotations//test_auto_move//signs_mov_separ_signers/Liz_56.mov" TargetMode="External"/><Relationship Id="rId531" Type="http://schemas.openxmlformats.org/officeDocument/2006/relationships/hyperlink" Target="http://csr.bu.edu/ftp/asl/asllvd/demos/verify_start_end_handshape_annotations//test_auto_move//signs_mov/56.mov" TargetMode="External"/><Relationship Id="rId532" Type="http://schemas.openxmlformats.org/officeDocument/2006/relationships/hyperlink" Target="http://csr.bu.edu/ftp/asl/asllvd/demos/verify_start_end_handshape_annotations//test_auto_move//signs_mov_separ_signers/Tyler_56.mov" TargetMode="External"/><Relationship Id="rId533" Type="http://schemas.openxmlformats.org/officeDocument/2006/relationships/hyperlink" Target="http://secrets.rutgers.edu:8080/data/asl-ftp/asllvd/demos/verify_start_end_handshape_annotations//test_auto_move//signs_mov/56.mov" TargetMode="External"/><Relationship Id="rId534" Type="http://schemas.openxmlformats.org/officeDocument/2006/relationships/hyperlink" Target="http://secrets.rutgers.edu:8080/data/asl-ftp/asllvd/demos/verify_start_end_handshape_annotations//test_auto_move//signs_mov_separ_signers/Tyler_56.mov" TargetMode="External"/><Relationship Id="rId535" Type="http://schemas.openxmlformats.org/officeDocument/2006/relationships/hyperlink" Target="http://csr.bu.edu/ftp/asl/asllvd/demos/verify_start_end_handshape_annotations//test_auto_move//signs_mov_separ_signers/Brady_56.mov" TargetMode="External"/><Relationship Id="rId536" Type="http://schemas.openxmlformats.org/officeDocument/2006/relationships/hyperlink" Target="http://secrets.rutgers.edu:8080/data/asl-ftp/asllvd/demos/verify_start_end_handshape_annotations//test_auto_move//signs_mov_separ_signers/Brady_56.mov" TargetMode="External"/><Relationship Id="rId537" Type="http://schemas.openxmlformats.org/officeDocument/2006/relationships/hyperlink" Target="http://csr.bu.edu/ftp/asl/asllvd/demos/verify_start_end_handshape_annotations//test_auto_move//signs_mov_separ_signers/Liz_3631.mov" TargetMode="External"/><Relationship Id="rId538" Type="http://schemas.openxmlformats.org/officeDocument/2006/relationships/hyperlink" Target="http://secrets.rutgers.edu:8080/data/asl-ftp/asllvd/demos/verify_start_end_handshape_annotations//test_auto_move//signs_mov_separ_signers/Liz_3631.mov" TargetMode="External"/><Relationship Id="rId539" Type="http://schemas.openxmlformats.org/officeDocument/2006/relationships/hyperlink" Target="http://csr.bu.edu/ftp/asl/asllvd/demos/verify_start_end_handshape_annotations//test_auto_move//signs_mov_separ_signers/Liz_15315.mov" TargetMode="External"/><Relationship Id="rId540" Type="http://schemas.openxmlformats.org/officeDocument/2006/relationships/hyperlink" Target="http://secrets.rutgers.edu:8080/data/asl-ftp/asllvd/demos/verify_start_end_handshape_annotations//test_auto_move//signs_mov_separ_signers/Liz_15315.mov" TargetMode="External"/><Relationship Id="rId541" Type="http://schemas.openxmlformats.org/officeDocument/2006/relationships/hyperlink" Target="http://csr.bu.edu/ftp/asl/asllvd/demos/verify_start_end_handshape_annotations//test_auto_move//signs_mov_separ_signers/Tyler_3631.mov" TargetMode="External"/><Relationship Id="rId542" Type="http://schemas.openxmlformats.org/officeDocument/2006/relationships/hyperlink" Target="http://secrets.rutgers.edu:8080/data/asl-ftp/asllvd/demos/verify_start_end_handshape_annotations//test_auto_move//signs_mov_separ_signers/Tyler_3631.mov" TargetMode="External"/><Relationship Id="rId543" Type="http://schemas.openxmlformats.org/officeDocument/2006/relationships/hyperlink" Target="http://csr.bu.edu/ftp/asl/asllvd/demos/verify_start_end_handshape_annotations//test_auto_move//signs_mov_separ_signers/Naomi_3631.mov" TargetMode="External"/><Relationship Id="rId544" Type="http://schemas.openxmlformats.org/officeDocument/2006/relationships/hyperlink" Target="http://secrets.rutgers.edu:8080/data/asl-ftp/asllvd/demos/verify_start_end_handshape_annotations//test_auto_move//signs_mov_separ_signers/Naomi_3631.mov" TargetMode="External"/><Relationship Id="rId545" Type="http://schemas.openxmlformats.org/officeDocument/2006/relationships/hyperlink" Target="http://csr.bu.edu/ftp/asl/asllvd/demos/verify_start_end_handshape_annotations//test_auto_move//signs_mov/3631_15315_merged.mov" TargetMode="External"/><Relationship Id="rId546" Type="http://schemas.openxmlformats.org/officeDocument/2006/relationships/hyperlink" Target="http://csr.bu.edu/ftp/asl/asllvd/demos/verify_start_end_handshape_annotations//test_auto_move//signs_mov_separ_signers/Naomi_15315.mov" TargetMode="External"/><Relationship Id="rId547" Type="http://schemas.openxmlformats.org/officeDocument/2006/relationships/hyperlink" Target="http://secrets.rutgers.edu:8080/data/asl-ftp/asllvd/demos/verify_start_end_handshape_annotations//test_auto_move//signs_mov/3631_15315_merged.mov" TargetMode="External"/><Relationship Id="rId548" Type="http://schemas.openxmlformats.org/officeDocument/2006/relationships/hyperlink" Target="http://secrets.rutgers.edu:8080/data/asl-ftp/asllvd/demos/verify_start_end_handshape_annotations//test_auto_move//signs_mov_separ_signers/Naomi_15315.mov" TargetMode="External"/><Relationship Id="rId549" Type="http://schemas.openxmlformats.org/officeDocument/2006/relationships/hyperlink" Target="http://csr.bu.edu/ftp/asl/asllvd/demos/verify_start_end_handshape_annotations//test_auto_move//signs_mov_separ_signers/Brady_3631.mov" TargetMode="External"/><Relationship Id="rId550" Type="http://schemas.openxmlformats.org/officeDocument/2006/relationships/hyperlink" Target="http://secrets.rutgers.edu:8080/data/asl-ftp/asllvd/demos/verify_start_end_handshape_annotations//test_auto_move//signs_mov_separ_signers/Brady_3631.mov" TargetMode="External"/><Relationship Id="rId551" Type="http://schemas.openxmlformats.org/officeDocument/2006/relationships/hyperlink" Target="http://csr.bu.edu/ftp/asl/asllvd/demos/verify_start_end_handshape_annotations//test_auto_move//signs_mov_separ_signers/Brady_15315.mov" TargetMode="External"/><Relationship Id="rId552" Type="http://schemas.openxmlformats.org/officeDocument/2006/relationships/hyperlink" Target="http://secrets.rutgers.edu:8080/data/asl-ftp/asllvd/demos/verify_start_end_handshape_annotations//test_auto_move//signs_mov_separ_signers/Brady_15315.mov" TargetMode="External"/><Relationship Id="rId553" Type="http://schemas.openxmlformats.org/officeDocument/2006/relationships/hyperlink" Target="http://csr.bu.edu/ftp/asl/asllvd/demos/verify_start_end_handshape_annotations//test_auto_move//signs_mov_separ_signers/Lana_3631.mov" TargetMode="External"/><Relationship Id="rId554" Type="http://schemas.openxmlformats.org/officeDocument/2006/relationships/hyperlink" Target="http://secrets.rutgers.edu:8080/data/asl-ftp/asllvd/demos/verify_start_end_handshape_annotations//test_auto_move//signs_mov_separ_signers/Lana_3631.mov" TargetMode="External"/><Relationship Id="rId555" Type="http://schemas.openxmlformats.org/officeDocument/2006/relationships/hyperlink" Target="http://csr.bu.edu/ftp/asl/asllvd/demos/verify_start_end_handshape_annotations//test_auto_move//signs_mov_separ_signers/Dana_3631.mov" TargetMode="External"/><Relationship Id="rId556" Type="http://schemas.openxmlformats.org/officeDocument/2006/relationships/hyperlink" Target="http://secrets.rutgers.edu:8080/data/asl-ftp/asllvd/demos/verify_start_end_handshape_annotations//test_auto_move//signs_mov_separ_signers/Dana_3631.mov" TargetMode="External"/><Relationship Id="rId557" Type="http://schemas.openxmlformats.org/officeDocument/2006/relationships/hyperlink" Target="http://csr.bu.edu/ftp/asl/asllvd/demos/verify_start_end_handshape_annotations//test_auto_move//signs_mov_separ_signers/Liz_57.mov" TargetMode="External"/><Relationship Id="rId558" Type="http://schemas.openxmlformats.org/officeDocument/2006/relationships/hyperlink" Target="http://secrets.rutgers.edu:8080/data/asl-ftp/asllvd/demos/verify_start_end_handshape_annotations//test_auto_move//signs_mov_separ_signers/Liz_57.mov" TargetMode="External"/><Relationship Id="rId559" Type="http://schemas.openxmlformats.org/officeDocument/2006/relationships/hyperlink" Target="http://csr.bu.edu/ftp/asl/asllvd/demos/verify_start_end_handshape_annotations//test_auto_move//signs_mov/57.mov" TargetMode="External"/><Relationship Id="rId560" Type="http://schemas.openxmlformats.org/officeDocument/2006/relationships/hyperlink" Target="http://csr.bu.edu/ftp/asl/asllvd/demos/verify_start_end_handshape_annotations//test_auto_move//signs_mov_separ_signers/Tyler_57.mov" TargetMode="External"/><Relationship Id="rId561" Type="http://schemas.openxmlformats.org/officeDocument/2006/relationships/hyperlink" Target="http://secrets.rutgers.edu:8080/data/asl-ftp/asllvd/demos/verify_start_end_handshape_annotations//test_auto_move//signs_mov/57.mov" TargetMode="External"/><Relationship Id="rId562" Type="http://schemas.openxmlformats.org/officeDocument/2006/relationships/hyperlink" Target="http://secrets.rutgers.edu:8080/data/asl-ftp/asllvd/demos/verify_start_end_handshape_annotations//test_auto_move//signs_mov_separ_signers/Tyler_57.mov" TargetMode="External"/><Relationship Id="rId563" Type="http://schemas.openxmlformats.org/officeDocument/2006/relationships/hyperlink" Target="http://csr.bu.edu/ftp/asl/asllvd/demos/verify_start_end_handshape_annotations//test_auto_move//signs_mov_separ_signers/Naomi_57.mov" TargetMode="External"/><Relationship Id="rId564" Type="http://schemas.openxmlformats.org/officeDocument/2006/relationships/hyperlink" Target="http://secrets.rutgers.edu:8080/data/asl-ftp/asllvd/demos/verify_start_end_handshape_annotations//test_auto_move//signs_mov_separ_signers/Naomi_57.mov" TargetMode="External"/><Relationship Id="rId565" Type="http://schemas.openxmlformats.org/officeDocument/2006/relationships/hyperlink" Target="http://csr.bu.edu/ftp/asl/asllvd/demos/verify_start_end_handshape_annotations//test_auto_move//signs_mov_separ_signers/Brady_57.mov" TargetMode="External"/><Relationship Id="rId566" Type="http://schemas.openxmlformats.org/officeDocument/2006/relationships/hyperlink" Target="http://secrets.rutgers.edu:8080/data/asl-ftp/asllvd/demos/verify_start_end_handshape_annotations//test_auto_move//signs_mov_separ_signers/Brady_57.mov" TargetMode="External"/><Relationship Id="rId567" Type="http://schemas.openxmlformats.org/officeDocument/2006/relationships/hyperlink" Target="http://csr.bu.edu/ftp/asl/asllvd/demos/verify_start_end_handshape_annotations//test_auto_move//signs_mov/3568.mov" TargetMode="External"/><Relationship Id="rId568" Type="http://schemas.openxmlformats.org/officeDocument/2006/relationships/hyperlink" Target="http://csr.bu.edu/ftp/asl/asllvd/demos/verify_start_end_handshape_annotations//test_auto_move//signs_mov_separ_signers/Liz_3568.mov" TargetMode="External"/><Relationship Id="rId569" Type="http://schemas.openxmlformats.org/officeDocument/2006/relationships/hyperlink" Target="http://secrets.rutgers.edu:8080/data/asl-ftp/asllvd/demos/verify_start_end_handshape_annotations//test_auto_move//signs_mov/3568.mov" TargetMode="External"/><Relationship Id="rId570" Type="http://schemas.openxmlformats.org/officeDocument/2006/relationships/hyperlink" Target="http://secrets.rutgers.edu:8080/data/asl-ftp/asllvd/demos/verify_start_end_handshape_annotations//test_auto_move//signs_mov_separ_signers/Liz_3568.mov" TargetMode="External"/><Relationship Id="rId571" Type="http://schemas.openxmlformats.org/officeDocument/2006/relationships/hyperlink" Target="http://csr.bu.edu/ftp/asl/asllvd/demos/verify_start_end_handshape_annotations//test_auto_move//signs_mov_separ_signers/Naomi_3568.mov" TargetMode="External"/><Relationship Id="rId572" Type="http://schemas.openxmlformats.org/officeDocument/2006/relationships/hyperlink" Target="http://secrets.rutgers.edu:8080/data/asl-ftp/asllvd/demos/verify_start_end_handshape_annotations//test_auto_move//signs_mov_separ_signers/Naomi_3568.mov" TargetMode="External"/><Relationship Id="rId573" Type="http://schemas.openxmlformats.org/officeDocument/2006/relationships/hyperlink" Target="http://csr.bu.edu/ftp/asl/asllvd/demos/verify_start_end_handshape_annotations//test_auto_move//signs_mov_separ_signers/Tyler_62.mov" TargetMode="External"/><Relationship Id="rId574" Type="http://schemas.openxmlformats.org/officeDocument/2006/relationships/hyperlink" Target="http://secrets.rutgers.edu:8080/data/asl-ftp/asllvd/demos/verify_start_end_handshape_annotations//test_auto_move//signs_mov_separ_signers/Tyler_62.mov" TargetMode="External"/><Relationship Id="rId575" Type="http://schemas.openxmlformats.org/officeDocument/2006/relationships/hyperlink" Target="http://csr.bu.edu/ftp/asl/asllvd/demos/verify_start_end_handshape_annotations//test_auto_move//signs_mov_separ_signers/Tyler_3323.mov" TargetMode="External"/><Relationship Id="rId576" Type="http://schemas.openxmlformats.org/officeDocument/2006/relationships/hyperlink" Target="http://secrets.rutgers.edu:8080/data/asl-ftp/asllvd/demos/verify_start_end_handshape_annotations//test_auto_move//signs_mov_separ_signers/Tyler_3323.mov" TargetMode="External"/><Relationship Id="rId577" Type="http://schemas.openxmlformats.org/officeDocument/2006/relationships/hyperlink" Target="http://csr.bu.edu/ftp/asl/asllvd/demos/verify_start_end_handshape_annotations//test_auto_move//signs_mov/62_3323_3497_merged.mov" TargetMode="External"/><Relationship Id="rId578" Type="http://schemas.openxmlformats.org/officeDocument/2006/relationships/hyperlink" Target="http://csr.bu.edu/ftp/asl/asllvd/demos/verify_start_end_handshape_annotations//test_auto_move//signs_mov_separ_signers/Tyler_3497.mov" TargetMode="External"/><Relationship Id="rId579" Type="http://schemas.openxmlformats.org/officeDocument/2006/relationships/hyperlink" Target="http://secrets.rutgers.edu:8080/data/asl-ftp/asllvd/demos/verify_start_end_handshape_annotations//test_auto_move//signs_mov/62_3323_3497_merged.mov" TargetMode="External"/><Relationship Id="rId580" Type="http://schemas.openxmlformats.org/officeDocument/2006/relationships/hyperlink" Target="http://secrets.rutgers.edu:8080/data/asl-ftp/asllvd/demos/verify_start_end_handshape_annotations//test_auto_move//signs_mov_separ_signers/Tyler_3497.mov" TargetMode="External"/><Relationship Id="rId581" Type="http://schemas.openxmlformats.org/officeDocument/2006/relationships/hyperlink" Target="http://csr.bu.edu/ftp/asl/asllvd/demos/verify_start_end_handshape_annotations//test_auto_move//signs_mov_separ_signers/Naomi_62.mov" TargetMode="External"/><Relationship Id="rId582" Type="http://schemas.openxmlformats.org/officeDocument/2006/relationships/hyperlink" Target="http://secrets.rutgers.edu:8080/data/asl-ftp/asllvd/demos/verify_start_end_handshape_annotations//test_auto_move//signs_mov_separ_signers/Naomi_62.mov" TargetMode="External"/><Relationship Id="rId583" Type="http://schemas.openxmlformats.org/officeDocument/2006/relationships/hyperlink" Target="http://csr.bu.edu/ftp/asl/asllvd/demos/verify_start_end_handshape_annotations//test_auto_move//signs_mov_separ_signers/Lana_62.mov" TargetMode="External"/><Relationship Id="rId584" Type="http://schemas.openxmlformats.org/officeDocument/2006/relationships/hyperlink" Target="http://secrets.rutgers.edu:8080/data/asl-ftp/asllvd/demos/verify_start_end_handshape_annotations//test_auto_move//signs_mov_separ_signers/Lana_62.mov" TargetMode="External"/><Relationship Id="rId585" Type="http://schemas.openxmlformats.org/officeDocument/2006/relationships/hyperlink" Target="http://csr.bu.edu/ftp/asl/asllvd/demos/verify_start_end_handshape_annotations//test_auto_move//signs_mov/16197.mov" TargetMode="External"/><Relationship Id="rId586" Type="http://schemas.openxmlformats.org/officeDocument/2006/relationships/hyperlink" Target="http://csr.bu.edu/ftp/asl/asllvd/demos/verify_start_end_handshape_annotations//test_auto_move//signs_mov_separ_signers/Brady_16197.mov" TargetMode="External"/><Relationship Id="rId587" Type="http://schemas.openxmlformats.org/officeDocument/2006/relationships/hyperlink" Target="http://secrets.rutgers.edu:8080/data/asl-ftp/asllvd/demos/verify_start_end_handshape_annotations//test_auto_move//signs_mov/16197.mov" TargetMode="External"/><Relationship Id="rId588" Type="http://schemas.openxmlformats.org/officeDocument/2006/relationships/hyperlink" Target="http://secrets.rutgers.edu:8080/data/asl-ftp/asllvd/demos/verify_start_end_handshape_annotations//test_auto_move//signs_mov_separ_signers/Brady_16197.mov" TargetMode="External"/><Relationship Id="rId589" Type="http://schemas.openxmlformats.org/officeDocument/2006/relationships/hyperlink" Target="http://csr.bu.edu/ftp/asl/asllvd/demos/verify_start_end_handshape_annotations//test_auto_move//signs_mov_separ_signers/Dana_16197.mov" TargetMode="External"/><Relationship Id="rId590" Type="http://schemas.openxmlformats.org/officeDocument/2006/relationships/hyperlink" Target="http://secrets.rutgers.edu:8080/data/asl-ftp/asllvd/demos/verify_start_end_handshape_annotations//test_auto_move//signs_mov_separ_signers/Dana_16197.mov" TargetMode="External"/><Relationship Id="rId591" Type="http://schemas.openxmlformats.org/officeDocument/2006/relationships/hyperlink" Target="http://csr.bu.edu/ftp/asl/asllvd/demos/verify_start_end_handshape_annotations//test_auto_move//signs_mov/16236.mov" TargetMode="External"/><Relationship Id="rId592" Type="http://schemas.openxmlformats.org/officeDocument/2006/relationships/hyperlink" Target="http://csr.bu.edu/ftp/asl/asllvd/demos/verify_start_end_handshape_annotations//test_auto_move//signs_mov_separ_signers/Liz_16236.mov" TargetMode="External"/><Relationship Id="rId593" Type="http://schemas.openxmlformats.org/officeDocument/2006/relationships/hyperlink" Target="http://secrets.rutgers.edu:8080/data/asl-ftp/asllvd/demos/verify_start_end_handshape_annotations//test_auto_move//signs_mov/16236.mov" TargetMode="External"/><Relationship Id="rId594" Type="http://schemas.openxmlformats.org/officeDocument/2006/relationships/hyperlink" Target="http://secrets.rutgers.edu:8080/data/asl-ftp/asllvd/demos/verify_start_end_handshape_annotations//test_auto_move//signs_mov_separ_signers/Liz_16236.mov" TargetMode="External"/><Relationship Id="rId595" Type="http://schemas.openxmlformats.org/officeDocument/2006/relationships/hyperlink" Target="http://csr.bu.edu/ftp/asl/asllvd/demos/verify_start_end_handshape_annotations//test_auto_move//signs_mov_separ_signers/Liz_63.mov" TargetMode="External"/><Relationship Id="rId596" Type="http://schemas.openxmlformats.org/officeDocument/2006/relationships/hyperlink" Target="http://secrets.rutgers.edu:8080/data/asl-ftp/asllvd/demos/verify_start_end_handshape_annotations//test_auto_move//signs_mov_separ_signers/Liz_63.mov" TargetMode="External"/><Relationship Id="rId597" Type="http://schemas.openxmlformats.org/officeDocument/2006/relationships/hyperlink" Target="http://csr.bu.edu/ftp/asl/asllvd/demos/verify_start_end_handshape_annotations//test_auto_move//signs_mov_separ_signers/Liz_3571.mov" TargetMode="External"/><Relationship Id="rId598" Type="http://schemas.openxmlformats.org/officeDocument/2006/relationships/hyperlink" Target="http://secrets.rutgers.edu:8080/data/asl-ftp/asllvd/demos/verify_start_end_handshape_annotations//test_auto_move//signs_mov_separ_signers/Liz_3571.mov" TargetMode="External"/><Relationship Id="rId599" Type="http://schemas.openxmlformats.org/officeDocument/2006/relationships/hyperlink" Target="http://csr.bu.edu/ftp/asl/asllvd/demos/verify_start_end_handshape_annotations//test_auto_move//signs_mov_separ_signers/Tyler_63.mov" TargetMode="External"/><Relationship Id="rId600" Type="http://schemas.openxmlformats.org/officeDocument/2006/relationships/hyperlink" Target="http://secrets.rutgers.edu:8080/data/asl-ftp/asllvd/demos/verify_start_end_handshape_annotations//test_auto_move//signs_mov_separ_signers/Tyler_63.mov" TargetMode="External"/><Relationship Id="rId601" Type="http://schemas.openxmlformats.org/officeDocument/2006/relationships/hyperlink" Target="http://csr.bu.edu/ftp/asl/asllvd/demos/verify_start_end_handshape_annotations//test_auto_move//signs_mov_separ_signers/Tyler_3571.mov" TargetMode="External"/><Relationship Id="rId602" Type="http://schemas.openxmlformats.org/officeDocument/2006/relationships/hyperlink" Target="http://secrets.rutgers.edu:8080/data/asl-ftp/asllvd/demos/verify_start_end_handshape_annotations//test_auto_move//signs_mov_separ_signers/Tyler_3571.mov" TargetMode="External"/><Relationship Id="rId603" Type="http://schemas.openxmlformats.org/officeDocument/2006/relationships/hyperlink" Target="http://csr.bu.edu/ftp/asl/asllvd/demos/verify_start_end_handshape_annotations//test_auto_move//signs_mov_separ_signers/Naomi_63.mov" TargetMode="External"/><Relationship Id="rId604" Type="http://schemas.openxmlformats.org/officeDocument/2006/relationships/hyperlink" Target="http://secrets.rutgers.edu:8080/data/asl-ftp/asllvd/demos/verify_start_end_handshape_annotations//test_auto_move//signs_mov_separ_signers/Naomi_63.mov" TargetMode="External"/><Relationship Id="rId605" Type="http://schemas.openxmlformats.org/officeDocument/2006/relationships/hyperlink" Target="http://csr.bu.edu/ftp/asl/asllvd/demos/verify_start_end_handshape_annotations//test_auto_move//signs_mov/63_3571_5041_merged.mov" TargetMode="External"/><Relationship Id="rId606" Type="http://schemas.openxmlformats.org/officeDocument/2006/relationships/hyperlink" Target="http://csr.bu.edu/ftp/asl/asllvd/demos/verify_start_end_handshape_annotations//test_auto_move//signs_mov_separ_signers/Naomi_3571.mov" TargetMode="External"/><Relationship Id="rId607" Type="http://schemas.openxmlformats.org/officeDocument/2006/relationships/hyperlink" Target="http://secrets.rutgers.edu:8080/data/asl-ftp/asllvd/demos/verify_start_end_handshape_annotations//test_auto_move//signs_mov/63_3571_5041_merged.mov" TargetMode="External"/><Relationship Id="rId608" Type="http://schemas.openxmlformats.org/officeDocument/2006/relationships/hyperlink" Target="http://secrets.rutgers.edu:8080/data/asl-ftp/asllvd/demos/verify_start_end_handshape_annotations//test_auto_move//signs_mov_separ_signers/Naomi_3571.mov" TargetMode="External"/><Relationship Id="rId609" Type="http://schemas.openxmlformats.org/officeDocument/2006/relationships/hyperlink" Target="http://csr.bu.edu/ftp/asl/asllvd/demos/verify_start_end_handshape_annotations//test_auto_move//signs_mov_separ_signers/Brady_63.mov" TargetMode="External"/><Relationship Id="rId610" Type="http://schemas.openxmlformats.org/officeDocument/2006/relationships/hyperlink" Target="http://secrets.rutgers.edu:8080/data/asl-ftp/asllvd/demos/verify_start_end_handshape_annotations//test_auto_move//signs_mov_separ_signers/Brady_63.mov" TargetMode="External"/><Relationship Id="rId611" Type="http://schemas.openxmlformats.org/officeDocument/2006/relationships/hyperlink" Target="http://csr.bu.edu/ftp/asl/asllvd/demos/verify_start_end_handshape_annotations//test_auto_move//signs_mov_separ_signers/Brady_3571.mov" TargetMode="External"/><Relationship Id="rId612" Type="http://schemas.openxmlformats.org/officeDocument/2006/relationships/hyperlink" Target="http://secrets.rutgers.edu:8080/data/asl-ftp/asllvd/demos/verify_start_end_handshape_annotations//test_auto_move//signs_mov_separ_signers/Brady_3571.mov" TargetMode="External"/><Relationship Id="rId613" Type="http://schemas.openxmlformats.org/officeDocument/2006/relationships/hyperlink" Target="http://csr.bu.edu/ftp/asl/asllvd/demos/verify_start_end_handshape_annotations//test_auto_move//signs_mov_separ_signers/Brady_5041.mov" TargetMode="External"/><Relationship Id="rId614" Type="http://schemas.openxmlformats.org/officeDocument/2006/relationships/hyperlink" Target="http://secrets.rutgers.edu:8080/data/asl-ftp/asllvd/demos/verify_start_end_handshape_annotations//test_auto_move//signs_mov_separ_signers/Brady_5041.mov" TargetMode="External"/><Relationship Id="rId615" Type="http://schemas.openxmlformats.org/officeDocument/2006/relationships/hyperlink" Target="http://csr.bu.edu/ftp/asl/asllvd/demos/verify_start_end_handshape_annotations//test_auto_move//signs_mov_separ_signers/Lana_63.mov" TargetMode="External"/><Relationship Id="rId616" Type="http://schemas.openxmlformats.org/officeDocument/2006/relationships/hyperlink" Target="http://secrets.rutgers.edu:8080/data/asl-ftp/asllvd/demos/verify_start_end_handshape_annotations//test_auto_move//signs_mov_separ_signers/Lana_63.mov" TargetMode="External"/><Relationship Id="rId617" Type="http://schemas.openxmlformats.org/officeDocument/2006/relationships/hyperlink" Target="http://csr.bu.edu/ftp/asl/asllvd/demos/verify_start_end_handshape_annotations//test_auto_move//signs_mov_separ_signers/Dana_63.mov" TargetMode="External"/><Relationship Id="rId618" Type="http://schemas.openxmlformats.org/officeDocument/2006/relationships/hyperlink" Target="http://secrets.rutgers.edu:8080/data/asl-ftp/asllvd/demos/verify_start_end_handshape_annotations//test_auto_move//signs_mov_separ_signers/Dana_63.mov" TargetMode="External"/><Relationship Id="rId619" Type="http://schemas.openxmlformats.org/officeDocument/2006/relationships/hyperlink" Target="http://csr.bu.edu/ftp/asl/asllvd/demos/verify_start_end_handshape_annotations//test_auto_move//signs_mov_separ_signers/Brady_16082.mov" TargetMode="External"/><Relationship Id="rId620" Type="http://schemas.openxmlformats.org/officeDocument/2006/relationships/hyperlink" Target="http://secrets.rutgers.edu:8080/data/asl-ftp/asllvd/demos/verify_start_end_handshape_annotations//test_auto_move//signs_mov_separ_signers/Brady_16082.mov" TargetMode="External"/><Relationship Id="rId621" Type="http://schemas.openxmlformats.org/officeDocument/2006/relationships/hyperlink" Target="http://csr.bu.edu/ftp/asl/asllvd/demos/verify_start_end_handshape_annotations//test_auto_move//signs_mov/16082_16083_merged.mov" TargetMode="External"/><Relationship Id="rId622" Type="http://schemas.openxmlformats.org/officeDocument/2006/relationships/hyperlink" Target="http://csr.bu.edu/ftp/asl/asllvd/demos/verify_start_end_handshape_annotations//test_auto_move//signs_mov_separ_signers/Brady_16083.mov" TargetMode="External"/><Relationship Id="rId623" Type="http://schemas.openxmlformats.org/officeDocument/2006/relationships/hyperlink" Target="http://secrets.rutgers.edu:8080/data/asl-ftp/asllvd/demos/verify_start_end_handshape_annotations//test_auto_move//signs_mov/16082_16083_merged.mov" TargetMode="External"/><Relationship Id="rId624" Type="http://schemas.openxmlformats.org/officeDocument/2006/relationships/hyperlink" Target="http://secrets.rutgers.edu:8080/data/asl-ftp/asllvd/demos/verify_start_end_handshape_annotations//test_auto_move//signs_mov_separ_signers/Brady_16083.mov" TargetMode="External"/><Relationship Id="rId625" Type="http://schemas.openxmlformats.org/officeDocument/2006/relationships/hyperlink" Target="http://csr.bu.edu/ftp/asl/asllvd/demos/verify_start_end_handshape_annotations//test_auto_move//signs_mov_separ_signers/Dana_16082.mov" TargetMode="External"/><Relationship Id="rId626" Type="http://schemas.openxmlformats.org/officeDocument/2006/relationships/hyperlink" Target="http://secrets.rutgers.edu:8080/data/asl-ftp/asllvd/demos/verify_start_end_handshape_annotations//test_auto_move//signs_mov_separ_signers/Dana_16082.mov" TargetMode="External"/><Relationship Id="rId627" Type="http://schemas.openxmlformats.org/officeDocument/2006/relationships/hyperlink" Target="http://csr.bu.edu/ftp/asl/asllvd/demos/verify_start_end_handshape_annotations//test_auto_move//signs_mov/16090.mov" TargetMode="External"/><Relationship Id="rId628" Type="http://schemas.openxmlformats.org/officeDocument/2006/relationships/hyperlink" Target="http://csr.bu.edu/ftp/asl/asllvd/demos/verify_start_end_handshape_annotations//test_auto_move//signs_mov_separ_signers/Liz_16090.mov" TargetMode="External"/><Relationship Id="rId629" Type="http://schemas.openxmlformats.org/officeDocument/2006/relationships/hyperlink" Target="http://secrets.rutgers.edu:8080/data/asl-ftp/asllvd/demos/verify_start_end_handshape_annotations//test_auto_move//signs_mov/16090.mov" TargetMode="External"/><Relationship Id="rId630" Type="http://schemas.openxmlformats.org/officeDocument/2006/relationships/hyperlink" Target="http://secrets.rutgers.edu:8080/data/asl-ftp/asllvd/demos/verify_start_end_handshape_annotations//test_auto_move//signs_mov_separ_signers/Liz_16090.mov" TargetMode="External"/><Relationship Id="rId631" Type="http://schemas.openxmlformats.org/officeDocument/2006/relationships/hyperlink" Target="http://csr.bu.edu/ftp/asl/asllvd/demos/verify_start_end_handshape_annotations//test_auto_move//signs_mov_separ_signers/Liz_16099.mov" TargetMode="External"/><Relationship Id="rId632" Type="http://schemas.openxmlformats.org/officeDocument/2006/relationships/hyperlink" Target="http://secrets.rutgers.edu:8080/data/asl-ftp/asllvd/demos/verify_start_end_handshape_annotations//test_auto_move//signs_mov_separ_signers/Liz_16099.mov" TargetMode="External"/><Relationship Id="rId633" Type="http://schemas.openxmlformats.org/officeDocument/2006/relationships/hyperlink" Target="http://csr.bu.edu/ftp/asl/asllvd/demos/verify_start_end_handshape_annotations//test_auto_move//signs_mov/16099_16100_merged.mov" TargetMode="External"/><Relationship Id="rId634" Type="http://schemas.openxmlformats.org/officeDocument/2006/relationships/hyperlink" Target="http://csr.bu.edu/ftp/asl/asllvd/demos/verify_start_end_handshape_annotations//test_auto_move//signs_mov_separ_signers/Liz_16100.mov" TargetMode="External"/><Relationship Id="rId635" Type="http://schemas.openxmlformats.org/officeDocument/2006/relationships/hyperlink" Target="http://secrets.rutgers.edu:8080/data/asl-ftp/asllvd/demos/verify_start_end_handshape_annotations//test_auto_move//signs_mov/16099_16100_merged.mov" TargetMode="External"/><Relationship Id="rId636" Type="http://schemas.openxmlformats.org/officeDocument/2006/relationships/hyperlink" Target="http://secrets.rutgers.edu:8080/data/asl-ftp/asllvd/demos/verify_start_end_handshape_annotations//test_auto_move//signs_mov_separ_signers/Liz_16100.mov" TargetMode="External"/><Relationship Id="rId637" Type="http://schemas.openxmlformats.org/officeDocument/2006/relationships/hyperlink" Target="http://csr.bu.edu/ftp/asl/asllvd/demos/verify_start_end_handshape_annotations//test_auto_move//signs_mov_separ_signers/Lana_16099.mov" TargetMode="External"/><Relationship Id="rId638" Type="http://schemas.openxmlformats.org/officeDocument/2006/relationships/hyperlink" Target="http://secrets.rutgers.edu:8080/data/asl-ftp/asllvd/demos/verify_start_end_handshape_annotations//test_auto_move//signs_mov_separ_signers/Lana_16099.mov" TargetMode="External"/><Relationship Id="rId639" Type="http://schemas.openxmlformats.org/officeDocument/2006/relationships/hyperlink" Target="http://csr.bu.edu/ftp/asl/asllvd/demos/verify_start_end_handshape_annotations//test_auto_move//signs_mov_separ_signers/Dana_16099.mov" TargetMode="External"/><Relationship Id="rId640" Type="http://schemas.openxmlformats.org/officeDocument/2006/relationships/hyperlink" Target="http://secrets.rutgers.edu:8080/data/asl-ftp/asllvd/demos/verify_start_end_handshape_annotations//test_auto_move//signs_mov_separ_signers/Dana_16099.mov" TargetMode="External"/><Relationship Id="rId641" Type="http://schemas.openxmlformats.org/officeDocument/2006/relationships/hyperlink" Target="http://csr.bu.edu/ftp/asl/asllvd/demos/verify_start_end_handshape_annotations//test_auto_move//signs_mov/16101.mov" TargetMode="External"/><Relationship Id="rId642" Type="http://schemas.openxmlformats.org/officeDocument/2006/relationships/hyperlink" Target="http://csr.bu.edu/ftp/asl/asllvd/demos/verify_start_end_handshape_annotations//test_auto_move//signs_mov_separ_signers/Liz_16101.mov" TargetMode="External"/><Relationship Id="rId643" Type="http://schemas.openxmlformats.org/officeDocument/2006/relationships/hyperlink" Target="http://secrets.rutgers.edu:8080/data/asl-ftp/asllvd/demos/verify_start_end_handshape_annotations//test_auto_move//signs_mov/16101.mov" TargetMode="External"/><Relationship Id="rId644" Type="http://schemas.openxmlformats.org/officeDocument/2006/relationships/hyperlink" Target="http://secrets.rutgers.edu:8080/data/asl-ftp/asllvd/demos/verify_start_end_handshape_annotations//test_auto_move//signs_mov_separ_signers/Liz_16101.mov" TargetMode="External"/><Relationship Id="rId645" Type="http://schemas.openxmlformats.org/officeDocument/2006/relationships/hyperlink" Target="http://csr.bu.edu/ftp/asl/asllvd/demos/verify_start_end_handshape_annotations//test_auto_move//signs_mov_separ_signers/Brady_16101.mov" TargetMode="External"/><Relationship Id="rId646" Type="http://schemas.openxmlformats.org/officeDocument/2006/relationships/hyperlink" Target="http://secrets.rutgers.edu:8080/data/asl-ftp/asllvd/demos/verify_start_end_handshape_annotations//test_auto_move//signs_mov_separ_signers/Brady_16101.mov" TargetMode="External"/><Relationship Id="rId647" Type="http://schemas.openxmlformats.org/officeDocument/2006/relationships/hyperlink" Target="http://csr.bu.edu/ftp/asl/asllvd/demos/verify_start_end_handshape_annotations//test_auto_move//signs_mov/16102_16198_merged.mov" TargetMode="External"/><Relationship Id="rId648" Type="http://schemas.openxmlformats.org/officeDocument/2006/relationships/hyperlink" Target="http://csr.bu.edu/ftp/asl/asllvd/demos/verify_start_end_handshape_annotations//test_auto_move//signs_mov_separ_signers/Tyler_16102.mov" TargetMode="External"/><Relationship Id="rId649" Type="http://schemas.openxmlformats.org/officeDocument/2006/relationships/hyperlink" Target="http://secrets.rutgers.edu:8080/data/asl-ftp/asllvd/demos/verify_start_end_handshape_annotations//test_auto_move//signs_mov/16102_16198_merged.mov" TargetMode="External"/><Relationship Id="rId650" Type="http://schemas.openxmlformats.org/officeDocument/2006/relationships/hyperlink" Target="http://secrets.rutgers.edu:8080/data/asl-ftp/asllvd/demos/verify_start_end_handshape_annotations//test_auto_move//signs_mov_separ_signers/Tyler_16102.mov" TargetMode="External"/><Relationship Id="rId651" Type="http://schemas.openxmlformats.org/officeDocument/2006/relationships/hyperlink" Target="http://csr.bu.edu/ftp/asl/asllvd/demos/verify_start_end_handshape_annotations//test_auto_move//signs_mov_separ_signers/Tyler_16198.mov" TargetMode="External"/><Relationship Id="rId652" Type="http://schemas.openxmlformats.org/officeDocument/2006/relationships/hyperlink" Target="http://secrets.rutgers.edu:8080/data/asl-ftp/asllvd/demos/verify_start_end_handshape_annotations//test_auto_move//signs_mov_separ_signers/Tyler_16198.mov" TargetMode="External"/><Relationship Id="rId653" Type="http://schemas.openxmlformats.org/officeDocument/2006/relationships/hyperlink" Target="http://csr.bu.edu/ftp/asl/asllvd/demos/verify_start_end_handshape_annotations//test_auto_move//signs_mov_separ_signers/Liz_65.mov" TargetMode="External"/><Relationship Id="rId654" Type="http://schemas.openxmlformats.org/officeDocument/2006/relationships/hyperlink" Target="http://secrets.rutgers.edu:8080/data/asl-ftp/asllvd/demos/verify_start_end_handshape_annotations//test_auto_move//signs_mov_separ_signers/Liz_65.mov" TargetMode="External"/><Relationship Id="rId655" Type="http://schemas.openxmlformats.org/officeDocument/2006/relationships/hyperlink" Target="http://csr.bu.edu/ftp/asl/asllvd/demos/verify_start_end_handshape_annotations//test_auto_move//signs_mov/65.mov" TargetMode="External"/><Relationship Id="rId656" Type="http://schemas.openxmlformats.org/officeDocument/2006/relationships/hyperlink" Target="http://csr.bu.edu/ftp/asl/asllvd/demos/verify_start_end_handshape_annotations//test_auto_move//signs_mov_separ_signers/Tyler_65.mov" TargetMode="External"/><Relationship Id="rId657" Type="http://schemas.openxmlformats.org/officeDocument/2006/relationships/hyperlink" Target="http://secrets.rutgers.edu:8080/data/asl-ftp/asllvd/demos/verify_start_end_handshape_annotations//test_auto_move//signs_mov/65.mov" TargetMode="External"/><Relationship Id="rId658" Type="http://schemas.openxmlformats.org/officeDocument/2006/relationships/hyperlink" Target="http://secrets.rutgers.edu:8080/data/asl-ftp/asllvd/demos/verify_start_end_handshape_annotations//test_auto_move//signs_mov_separ_signers/Tyler_65.mov" TargetMode="External"/><Relationship Id="rId659" Type="http://schemas.openxmlformats.org/officeDocument/2006/relationships/hyperlink" Target="http://csr.bu.edu/ftp/asl/asllvd/demos/verify_start_end_handshape_annotations//test_auto_move//signs_mov_separ_signers/Naomi_65.mov" TargetMode="External"/><Relationship Id="rId660" Type="http://schemas.openxmlformats.org/officeDocument/2006/relationships/hyperlink" Target="http://secrets.rutgers.edu:8080/data/asl-ftp/asllvd/demos/verify_start_end_handshape_annotations//test_auto_move//signs_mov_separ_signers/Naomi_65.mov" TargetMode="External"/><Relationship Id="rId661" Type="http://schemas.openxmlformats.org/officeDocument/2006/relationships/hyperlink" Target="http://csr.bu.edu/ftp/asl/asllvd/demos/verify_start_end_handshape_annotations//test_auto_move//signs_mov_separ_signers/Brady_65.mov" TargetMode="External"/><Relationship Id="rId662" Type="http://schemas.openxmlformats.org/officeDocument/2006/relationships/hyperlink" Target="http://secrets.rutgers.edu:8080/data/asl-ftp/asllvd/demos/verify_start_end_handshape_annotations//test_auto_move//signs_mov_separ_signers/Brady_65.mov" TargetMode="External"/><Relationship Id="rId663" Type="http://schemas.openxmlformats.org/officeDocument/2006/relationships/hyperlink" Target="http://csr.bu.edu/ftp/asl/asllvd/demos/verify_start_end_handshape_annotations//test_auto_move//signs_mov/5288.mov" TargetMode="External"/><Relationship Id="rId664" Type="http://schemas.openxmlformats.org/officeDocument/2006/relationships/hyperlink" Target="http://csr.bu.edu/ftp/asl/asllvd/demos/verify_start_end_handshape_annotations//test_auto_move//signs_mov_separ_signers/Lana_5288.mov" TargetMode="External"/><Relationship Id="rId665" Type="http://schemas.openxmlformats.org/officeDocument/2006/relationships/hyperlink" Target="http://secrets.rutgers.edu:8080/data/asl-ftp/asllvd/demos/verify_start_end_handshape_annotations//test_auto_move//signs_mov/5288.mov" TargetMode="External"/><Relationship Id="rId666" Type="http://schemas.openxmlformats.org/officeDocument/2006/relationships/hyperlink" Target="http://secrets.rutgers.edu:8080/data/asl-ftp/asllvd/demos/verify_start_end_handshape_annotations//test_auto_move//signs_mov_separ_signers/Lana_5288.mov" TargetMode="External"/><Relationship Id="rId667" Type="http://schemas.openxmlformats.org/officeDocument/2006/relationships/hyperlink" Target="http://csr.bu.edu/ftp/asl/asllvd/demos/verify_start_end_handshape_annotations//test_auto_move//signs_mov_separ_signers/Dana_5288.mov" TargetMode="External"/><Relationship Id="rId668" Type="http://schemas.openxmlformats.org/officeDocument/2006/relationships/hyperlink" Target="http://secrets.rutgers.edu:8080/data/asl-ftp/asllvd/demos/verify_start_end_handshape_annotations//test_auto_move//signs_mov_separ_signers/Dana_5288.mov" TargetMode="External"/><Relationship Id="rId669" Type="http://schemas.openxmlformats.org/officeDocument/2006/relationships/hyperlink" Target="http://csr.bu.edu/ftp/asl/asllvd/demos/verify_start_end_handshape_annotations//test_auto_move//signs_mov/16415.mov" TargetMode="External"/><Relationship Id="rId670" Type="http://schemas.openxmlformats.org/officeDocument/2006/relationships/hyperlink" Target="http://csr.bu.edu/ftp/asl/asllvd/demos/verify_start_end_handshape_annotations//test_auto_move//signs_mov_separ_signers/Liz_16415.mov" TargetMode="External"/><Relationship Id="rId671" Type="http://schemas.openxmlformats.org/officeDocument/2006/relationships/hyperlink" Target="http://secrets.rutgers.edu:8080/data/asl-ftp/asllvd/demos/verify_start_end_handshape_annotations//test_auto_move//signs_mov/16415.mov" TargetMode="External"/><Relationship Id="rId672" Type="http://schemas.openxmlformats.org/officeDocument/2006/relationships/hyperlink" Target="http://secrets.rutgers.edu:8080/data/asl-ftp/asllvd/demos/verify_start_end_handshape_annotations//test_auto_move//signs_mov_separ_signers/Liz_16415.mov" TargetMode="External"/><Relationship Id="rId673" Type="http://schemas.openxmlformats.org/officeDocument/2006/relationships/hyperlink" Target="http://csr.bu.edu/ftp/asl/asllvd/demos/verify_start_end_handshape_annotations//test_auto_move//signs_mov_separ_signers/Brady_16415.mov" TargetMode="External"/><Relationship Id="rId674" Type="http://schemas.openxmlformats.org/officeDocument/2006/relationships/hyperlink" Target="http://secrets.rutgers.edu:8080/data/asl-ftp/asllvd/demos/verify_start_end_handshape_annotations//test_auto_move//signs_mov_separ_signers/Brady_16415.mov" TargetMode="External"/><Relationship Id="rId675" Type="http://schemas.openxmlformats.org/officeDocument/2006/relationships/hyperlink" Target="http://csr.bu.edu/ftp/asl/asllvd/demos/verify_start_end_handshape_annotations//test_auto_move//signs_mov_separ_signers/Tyler_68.mov" TargetMode="External"/><Relationship Id="rId676" Type="http://schemas.openxmlformats.org/officeDocument/2006/relationships/hyperlink" Target="http://secrets.rutgers.edu:8080/data/asl-ftp/asllvd/demos/verify_start_end_handshape_annotations//test_auto_move//signs_mov_separ_signers/Tyler_68.mov" TargetMode="External"/><Relationship Id="rId677" Type="http://schemas.openxmlformats.org/officeDocument/2006/relationships/hyperlink" Target="http://csr.bu.edu/ftp/asl/asllvd/demos/verify_start_end_handshape_annotations//test_auto_move//signs_mov/68.mov" TargetMode="External"/><Relationship Id="rId678" Type="http://schemas.openxmlformats.org/officeDocument/2006/relationships/hyperlink" Target="http://csr.bu.edu/ftp/asl/asllvd/demos/verify_start_end_handshape_annotations//test_auto_move//signs_mov_separ_signers/Naomi_68.mov" TargetMode="External"/><Relationship Id="rId679" Type="http://schemas.openxmlformats.org/officeDocument/2006/relationships/hyperlink" Target="http://secrets.rutgers.edu:8080/data/asl-ftp/asllvd/demos/verify_start_end_handshape_annotations//test_auto_move//signs_mov/68.mov" TargetMode="External"/><Relationship Id="rId680" Type="http://schemas.openxmlformats.org/officeDocument/2006/relationships/hyperlink" Target="http://secrets.rutgers.edu:8080/data/asl-ftp/asllvd/demos/verify_start_end_handshape_annotations//test_auto_move//signs_mov_separ_signers/Naomi_68.mov" TargetMode="External"/><Relationship Id="rId681" Type="http://schemas.openxmlformats.org/officeDocument/2006/relationships/hyperlink" Target="http://csr.bu.edu/ftp/asl/asllvd/demos/verify_start_end_handshape_annotations//test_auto_move//signs_mov_separ_signers/Brady_68.mov" TargetMode="External"/><Relationship Id="rId682" Type="http://schemas.openxmlformats.org/officeDocument/2006/relationships/hyperlink" Target="http://secrets.rutgers.edu:8080/data/asl-ftp/asllvd/demos/verify_start_end_handshape_annotations//test_auto_move//signs_mov_separ_signers/Brady_68.mov" TargetMode="External"/><Relationship Id="rId683" Type="http://schemas.openxmlformats.org/officeDocument/2006/relationships/hyperlink" Target="http://csr.bu.edu/ftp/asl/asllvd/demos/verify_start_end_handshape_annotations//test_auto_move//signs_mov/5946.mov" TargetMode="External"/><Relationship Id="rId684" Type="http://schemas.openxmlformats.org/officeDocument/2006/relationships/hyperlink" Target="http://csr.bu.edu/ftp/asl/asllvd/demos/verify_start_end_handshape_annotations//test_auto_move//signs_mov_separ_signers/Lana_5946.mov" TargetMode="External"/><Relationship Id="rId685" Type="http://schemas.openxmlformats.org/officeDocument/2006/relationships/hyperlink" Target="http://secrets.rutgers.edu:8080/data/asl-ftp/asllvd/demos/verify_start_end_handshape_annotations//test_auto_move//signs_mov/5946.mov" TargetMode="External"/><Relationship Id="rId686" Type="http://schemas.openxmlformats.org/officeDocument/2006/relationships/hyperlink" Target="http://secrets.rutgers.edu:8080/data/asl-ftp/asllvd/demos/verify_start_end_handshape_annotations//test_auto_move//signs_mov_separ_signers/Lana_5946.mov" TargetMode="External"/><Relationship Id="rId687" Type="http://schemas.openxmlformats.org/officeDocument/2006/relationships/hyperlink" Target="http://csr.bu.edu/ftp/asl/asllvd/demos/verify_start_end_handshape_annotations//test_auto_move//signs_mov_separ_signers/Dana_5946.mov" TargetMode="External"/><Relationship Id="rId688" Type="http://schemas.openxmlformats.org/officeDocument/2006/relationships/hyperlink" Target="http://secrets.rutgers.edu:8080/data/asl-ftp/asllvd/demos/verify_start_end_handshape_annotations//test_auto_move//signs_mov_separ_signers/Dana_5946.mov" TargetMode="External"/><Relationship Id="rId689" Type="http://schemas.openxmlformats.org/officeDocument/2006/relationships/hyperlink" Target="http://csr.bu.edu/ftp/asl/asllvd/demos/verify_start_end_handshape_annotations//test_auto_move//signs_mov/5947.mov" TargetMode="External"/><Relationship Id="rId690" Type="http://schemas.openxmlformats.org/officeDocument/2006/relationships/hyperlink" Target="http://csr.bu.edu/ftp/asl/asllvd/demos/verify_start_end_handshape_annotations//test_auto_move//signs_mov_separ_signers/Liz_5947.mov" TargetMode="External"/><Relationship Id="rId691" Type="http://schemas.openxmlformats.org/officeDocument/2006/relationships/hyperlink" Target="http://secrets.rutgers.edu:8080/data/asl-ftp/asllvd/demos/verify_start_end_handshape_annotations//test_auto_move//signs_mov/5947.mov" TargetMode="External"/><Relationship Id="rId692" Type="http://schemas.openxmlformats.org/officeDocument/2006/relationships/hyperlink" Target="http://secrets.rutgers.edu:8080/data/asl-ftp/asllvd/demos/verify_start_end_handshape_annotations//test_auto_move//signs_mov_separ_signers/Liz_5947.mov" TargetMode="External"/><Relationship Id="rId693" Type="http://schemas.openxmlformats.org/officeDocument/2006/relationships/hyperlink" Target="http://csr.bu.edu/ftp/asl/asllvd/demos/verify_start_end_handshape_annotations//test_auto_move//signs_mov/70.mov" TargetMode="External"/><Relationship Id="rId694" Type="http://schemas.openxmlformats.org/officeDocument/2006/relationships/hyperlink" Target="http://csr.bu.edu/ftp/asl/asllvd/demos/verify_start_end_handshape_annotations//test_auto_move//signs_mov_separ_signers/Tyler_70.mov" TargetMode="External"/><Relationship Id="rId695" Type="http://schemas.openxmlformats.org/officeDocument/2006/relationships/hyperlink" Target="http://secrets.rutgers.edu:8080/data/asl-ftp/asllvd/demos/verify_start_end_handshape_annotations//test_auto_move//signs_mov/70.mov" TargetMode="External"/><Relationship Id="rId696" Type="http://schemas.openxmlformats.org/officeDocument/2006/relationships/hyperlink" Target="http://secrets.rutgers.edu:8080/data/asl-ftp/asllvd/demos/verify_start_end_handshape_annotations//test_auto_move//signs_mov_separ_signers/Tyler_70.mov" TargetMode="External"/><Relationship Id="rId697" Type="http://schemas.openxmlformats.org/officeDocument/2006/relationships/hyperlink" Target="http://csr.bu.edu/ftp/asl/asllvd/demos/verify_start_end_handshape_annotations//test_auto_move//signs_mov_separ_signers/Liz_71.mov" TargetMode="External"/><Relationship Id="rId698" Type="http://schemas.openxmlformats.org/officeDocument/2006/relationships/hyperlink" Target="http://secrets.rutgers.edu:8080/data/asl-ftp/asllvd/demos/verify_start_end_handshape_annotations//test_auto_move//signs_mov_separ_signers/Liz_71.mov" TargetMode="External"/><Relationship Id="rId699" Type="http://schemas.openxmlformats.org/officeDocument/2006/relationships/hyperlink" Target="http://csr.bu.edu/ftp/asl/asllvd/demos/verify_start_end_handshape_annotations//test_auto_move//signs_mov_separ_signers/Liz_3422.mov" TargetMode="External"/><Relationship Id="rId700" Type="http://schemas.openxmlformats.org/officeDocument/2006/relationships/hyperlink" Target="http://secrets.rutgers.edu:8080/data/asl-ftp/asllvd/demos/verify_start_end_handshape_annotations//test_auto_move//signs_mov_separ_signers/Liz_3422.mov" TargetMode="External"/><Relationship Id="rId701" Type="http://schemas.openxmlformats.org/officeDocument/2006/relationships/hyperlink" Target="http://csr.bu.edu/ftp/asl/asllvd/demos/verify_start_end_handshape_annotations//test_auto_move//signs_mov_separ_signers/Tyler_71.mov" TargetMode="External"/><Relationship Id="rId702" Type="http://schemas.openxmlformats.org/officeDocument/2006/relationships/hyperlink" Target="http://secrets.rutgers.edu:8080/data/asl-ftp/asllvd/demos/verify_start_end_handshape_annotations//test_auto_move//signs_mov_separ_signers/Tyler_71.mov" TargetMode="External"/><Relationship Id="rId703" Type="http://schemas.openxmlformats.org/officeDocument/2006/relationships/hyperlink" Target="http://csr.bu.edu/ftp/asl/asllvd/demos/verify_start_end_handshape_annotations//test_auto_move//signs_mov/71_3422_merged.mov" TargetMode="External"/><Relationship Id="rId704" Type="http://schemas.openxmlformats.org/officeDocument/2006/relationships/hyperlink" Target="http://csr.bu.edu/ftp/asl/asllvd/demos/verify_start_end_handshape_annotations//test_auto_move//signs_mov_separ_signers/Naomi_71.mov" TargetMode="External"/><Relationship Id="rId705" Type="http://schemas.openxmlformats.org/officeDocument/2006/relationships/hyperlink" Target="http://secrets.rutgers.edu:8080/data/asl-ftp/asllvd/demos/verify_start_end_handshape_annotations//test_auto_move//signs_mov/71_3422_merged.mov" TargetMode="External"/><Relationship Id="rId706" Type="http://schemas.openxmlformats.org/officeDocument/2006/relationships/hyperlink" Target="http://secrets.rutgers.edu:8080/data/asl-ftp/asllvd/demos/verify_start_end_handshape_annotations//test_auto_move//signs_mov_separ_signers/Naomi_71.mov" TargetMode="External"/><Relationship Id="rId707" Type="http://schemas.openxmlformats.org/officeDocument/2006/relationships/hyperlink" Target="http://csr.bu.edu/ftp/asl/asllvd/demos/verify_start_end_handshape_annotations//test_auto_move//signs_mov_separ_signers/Brady_71.mov" TargetMode="External"/><Relationship Id="rId708" Type="http://schemas.openxmlformats.org/officeDocument/2006/relationships/hyperlink" Target="http://secrets.rutgers.edu:8080/data/asl-ftp/asllvd/demos/verify_start_end_handshape_annotations//test_auto_move//signs_mov_separ_signers/Brady_71.mov" TargetMode="External"/><Relationship Id="rId709" Type="http://schemas.openxmlformats.org/officeDocument/2006/relationships/hyperlink" Target="http://csr.bu.edu/ftp/asl/asllvd/demos/verify_start_end_handshape_annotations//test_auto_move//signs_mov_separ_signers/Brady_3422.mov" TargetMode="External"/><Relationship Id="rId710" Type="http://schemas.openxmlformats.org/officeDocument/2006/relationships/hyperlink" Target="http://secrets.rutgers.edu:8080/data/asl-ftp/asllvd/demos/verify_start_end_handshape_annotations//test_auto_move//signs_mov_separ_signers/Brady_3422.mov" TargetMode="External"/><Relationship Id="rId711" Type="http://schemas.openxmlformats.org/officeDocument/2006/relationships/hyperlink" Target="http://csr.bu.edu/ftp/asl/asllvd/demos/verify_start_end_handshape_annotations//test_auto_move//signs_mov_separ_signers/Lana_71.mov" TargetMode="External"/><Relationship Id="rId712" Type="http://schemas.openxmlformats.org/officeDocument/2006/relationships/hyperlink" Target="http://secrets.rutgers.edu:8080/data/asl-ftp/asllvd/demos/verify_start_end_handshape_annotations//test_auto_move//signs_mov_separ_signers/Lana_71.mov" TargetMode="External"/><Relationship Id="rId713" Type="http://schemas.openxmlformats.org/officeDocument/2006/relationships/hyperlink" Target="http://csr.bu.edu/ftp/asl/asllvd/demos/verify_start_end_handshape_annotations//test_auto_move//signs_mov_separ_signers/Dana_71.mov" TargetMode="External"/><Relationship Id="rId714" Type="http://schemas.openxmlformats.org/officeDocument/2006/relationships/hyperlink" Target="http://secrets.rutgers.edu:8080/data/asl-ftp/asllvd/demos/verify_start_end_handshape_annotations//test_auto_move//signs_mov_separ_signers/Dana_71.mov" TargetMode="External"/><Relationship Id="rId715" Type="http://schemas.openxmlformats.org/officeDocument/2006/relationships/hyperlink" Target="http://csr.bu.edu/ftp/asl/asllvd/demos/verify_start_end_handshape_annotations//test_auto_move//signs_mov_separ_signers/Liz_15594.mov" TargetMode="External"/><Relationship Id="rId716" Type="http://schemas.openxmlformats.org/officeDocument/2006/relationships/hyperlink" Target="http://secrets.rutgers.edu:8080/data/asl-ftp/asllvd/demos/verify_start_end_handshape_annotations//test_auto_move//signs_mov_separ_signers/Liz_15594.mov" TargetMode="External"/><Relationship Id="rId717" Type="http://schemas.openxmlformats.org/officeDocument/2006/relationships/hyperlink" Target="http://csr.bu.edu/ftp/asl/asllvd/demos/verify_start_end_handshape_annotations//test_auto_move//signs_mov_separ_signers/Tyler_15594.mov" TargetMode="External"/><Relationship Id="rId718" Type="http://schemas.openxmlformats.org/officeDocument/2006/relationships/hyperlink" Target="http://secrets.rutgers.edu:8080/data/asl-ftp/asllvd/demos/verify_start_end_handshape_annotations//test_auto_move//signs_mov_separ_signers/Tyler_15594.mov" TargetMode="External"/><Relationship Id="rId719" Type="http://schemas.openxmlformats.org/officeDocument/2006/relationships/hyperlink" Target="http://csr.bu.edu/ftp/asl/asllvd/demos/verify_start_end_handshape_annotations//test_auto_move//signs_mov_separ_signers/Naomi_15594.mov" TargetMode="External"/><Relationship Id="rId720" Type="http://schemas.openxmlformats.org/officeDocument/2006/relationships/hyperlink" Target="http://secrets.rutgers.edu:8080/data/asl-ftp/asllvd/demos/verify_start_end_handshape_annotations//test_auto_move//signs_mov_separ_signers/Naomi_15594.mov" TargetMode="External"/><Relationship Id="rId721" Type="http://schemas.openxmlformats.org/officeDocument/2006/relationships/hyperlink" Target="http://csr.bu.edu/ftp/asl/asllvd/demos/verify_start_end_handshape_annotations//test_auto_move//signs_mov/15594_15598_merged.mov" TargetMode="External"/><Relationship Id="rId722" Type="http://schemas.openxmlformats.org/officeDocument/2006/relationships/hyperlink" Target="http://csr.bu.edu/ftp/asl/asllvd/demos/verify_start_end_handshape_annotations//test_auto_move//signs_mov_separ_signers/Brady_15594.mov" TargetMode="External"/><Relationship Id="rId723" Type="http://schemas.openxmlformats.org/officeDocument/2006/relationships/hyperlink" Target="http://secrets.rutgers.edu:8080/data/asl-ftp/asllvd/demos/verify_start_end_handshape_annotations//test_auto_move//signs_mov/15594_15598_merged.mov" TargetMode="External"/><Relationship Id="rId724" Type="http://schemas.openxmlformats.org/officeDocument/2006/relationships/hyperlink" Target="http://secrets.rutgers.edu:8080/data/asl-ftp/asllvd/demos/verify_start_end_handshape_annotations//test_auto_move//signs_mov_separ_signers/Brady_15594.mov" TargetMode="External"/><Relationship Id="rId725" Type="http://schemas.openxmlformats.org/officeDocument/2006/relationships/hyperlink" Target="http://csr.bu.edu/ftp/asl/asllvd/demos/verify_start_end_handshape_annotations//test_auto_move//signs_mov_separ_signers/Brady_15598.mov" TargetMode="External"/><Relationship Id="rId726" Type="http://schemas.openxmlformats.org/officeDocument/2006/relationships/hyperlink" Target="http://secrets.rutgers.edu:8080/data/asl-ftp/asllvd/demos/verify_start_end_handshape_annotations//test_auto_move//signs_mov_separ_signers/Brady_15598.mov" TargetMode="External"/><Relationship Id="rId727" Type="http://schemas.openxmlformats.org/officeDocument/2006/relationships/hyperlink" Target="http://csr.bu.edu/ftp/asl/asllvd/demos/verify_start_end_handshape_annotations//test_auto_move//signs_mov_separ_signers/Lana_15594.mov" TargetMode="External"/><Relationship Id="rId728" Type="http://schemas.openxmlformats.org/officeDocument/2006/relationships/hyperlink" Target="http://secrets.rutgers.edu:8080/data/asl-ftp/asllvd/demos/verify_start_end_handshape_annotations//test_auto_move//signs_mov_separ_signers/Lana_15594.mov" TargetMode="External"/><Relationship Id="rId729" Type="http://schemas.openxmlformats.org/officeDocument/2006/relationships/hyperlink" Target="http://csr.bu.edu/ftp/asl/asllvd/demos/verify_start_end_handshape_annotations//test_auto_move//signs_mov_separ_signers/Dana_15594.mov" TargetMode="External"/><Relationship Id="rId730" Type="http://schemas.openxmlformats.org/officeDocument/2006/relationships/hyperlink" Target="http://secrets.rutgers.edu:8080/data/asl-ftp/asllvd/demos/verify_start_end_handshape_annotations//test_auto_move//signs_mov_separ_signers/Dana_15594.mov" TargetMode="External"/><Relationship Id="rId731" Type="http://schemas.openxmlformats.org/officeDocument/2006/relationships/hyperlink" Target="http://csr.bu.edu/ftp/asl/asllvd/demos/verify_start_end_handshape_annotations//test_auto_move//signs_mov_separ_signers/Liz_72.mov" TargetMode="External"/><Relationship Id="rId732" Type="http://schemas.openxmlformats.org/officeDocument/2006/relationships/hyperlink" Target="http://secrets.rutgers.edu:8080/data/asl-ftp/asllvd/demos/verify_start_end_handshape_annotations//test_auto_move//signs_mov_separ_signers/Liz_72.mov" TargetMode="External"/><Relationship Id="rId733" Type="http://schemas.openxmlformats.org/officeDocument/2006/relationships/hyperlink" Target="http://csr.bu.edu/ftp/asl/asllvd/demos/verify_start_end_handshape_annotations//test_auto_move//signs_mov_separ_signers/Tyler_72.mov" TargetMode="External"/><Relationship Id="rId734" Type="http://schemas.openxmlformats.org/officeDocument/2006/relationships/hyperlink" Target="http://secrets.rutgers.edu:8080/data/asl-ftp/asllvd/demos/verify_start_end_handshape_annotations//test_auto_move//signs_mov_separ_signers/Tyler_72.mov" TargetMode="External"/><Relationship Id="rId735" Type="http://schemas.openxmlformats.org/officeDocument/2006/relationships/hyperlink" Target="http://csr.bu.edu/ftp/asl/asllvd/demos/verify_start_end_handshape_annotations//test_auto_move//signs_mov/72_3310_merged.mov" TargetMode="External"/><Relationship Id="rId736" Type="http://schemas.openxmlformats.org/officeDocument/2006/relationships/hyperlink" Target="http://csr.bu.edu/ftp/asl/asllvd/demos/verify_start_end_handshape_annotations//test_auto_move//signs_mov_separ_signers/Tyler_3310.mov" TargetMode="External"/><Relationship Id="rId737" Type="http://schemas.openxmlformats.org/officeDocument/2006/relationships/hyperlink" Target="http://secrets.rutgers.edu:8080/data/asl-ftp/asllvd/demos/verify_start_end_handshape_annotations//test_auto_move//signs_mov/72_3310_merged.mov" TargetMode="External"/><Relationship Id="rId738" Type="http://schemas.openxmlformats.org/officeDocument/2006/relationships/hyperlink" Target="http://secrets.rutgers.edu:8080/data/asl-ftp/asllvd/demos/verify_start_end_handshape_annotations//test_auto_move//signs_mov_separ_signers/Tyler_3310.mov" TargetMode="External"/><Relationship Id="rId739" Type="http://schemas.openxmlformats.org/officeDocument/2006/relationships/hyperlink" Target="http://csr.bu.edu/ftp/asl/asllvd/demos/verify_start_end_handshape_annotations//test_auto_move//signs_mov_separ_signers/Naomi_72.mov" TargetMode="External"/><Relationship Id="rId740" Type="http://schemas.openxmlformats.org/officeDocument/2006/relationships/hyperlink" Target="http://secrets.rutgers.edu:8080/data/asl-ftp/asllvd/demos/verify_start_end_handshape_annotations//test_auto_move//signs_mov_separ_signers/Naomi_72.mov" TargetMode="External"/><Relationship Id="rId741" Type="http://schemas.openxmlformats.org/officeDocument/2006/relationships/hyperlink" Target="http://csr.bu.edu/ftp/asl/asllvd/demos/verify_start_end_handshape_annotations//test_auto_move//signs_mov_separ_signers/Naomi_3310.mov" TargetMode="External"/><Relationship Id="rId742" Type="http://schemas.openxmlformats.org/officeDocument/2006/relationships/hyperlink" Target="http://secrets.rutgers.edu:8080/data/asl-ftp/asllvd/demos/verify_start_end_handshape_annotations//test_auto_move//signs_mov_separ_signers/Naomi_3310.mov" TargetMode="External"/><Relationship Id="rId743" Type="http://schemas.openxmlformats.org/officeDocument/2006/relationships/hyperlink" Target="http://csr.bu.edu/ftp/asl/asllvd/demos/verify_start_end_handshape_annotations//test_auto_move//signs_mov_separ_signers/Brady_72.mov" TargetMode="External"/><Relationship Id="rId744" Type="http://schemas.openxmlformats.org/officeDocument/2006/relationships/hyperlink" Target="http://secrets.rutgers.edu:8080/data/asl-ftp/asllvd/demos/verify_start_end_handshape_annotations//test_auto_move//signs_mov_separ_signers/Brady_72.mov" TargetMode="External"/><Relationship Id="rId745" Type="http://schemas.openxmlformats.org/officeDocument/2006/relationships/hyperlink" Target="http://csr.bu.edu/ftp/asl/asllvd/demos/verify_start_end_handshape_annotations//test_auto_move//signs_mov_separ_signers/Liz_73.mov" TargetMode="External"/><Relationship Id="rId746" Type="http://schemas.openxmlformats.org/officeDocument/2006/relationships/hyperlink" Target="http://secrets.rutgers.edu:8080/data/asl-ftp/asllvd/demos/verify_start_end_handshape_annotations//test_auto_move//signs_mov_separ_signers/Liz_73.mov" TargetMode="External"/><Relationship Id="rId747" Type="http://schemas.openxmlformats.org/officeDocument/2006/relationships/hyperlink" Target="http://csr.bu.edu/ftp/asl/asllvd/demos/verify_start_end_handshape_annotations//test_auto_move//signs_mov/73.mov" TargetMode="External"/><Relationship Id="rId748" Type="http://schemas.openxmlformats.org/officeDocument/2006/relationships/hyperlink" Target="http://csr.bu.edu/ftp/asl/asllvd/demos/verify_start_end_handshape_annotations//test_auto_move//signs_mov_separ_signers/Tyler_73.mov" TargetMode="External"/><Relationship Id="rId749" Type="http://schemas.openxmlformats.org/officeDocument/2006/relationships/hyperlink" Target="http://secrets.rutgers.edu:8080/data/asl-ftp/asllvd/demos/verify_start_end_handshape_annotations//test_auto_move//signs_mov/73.mov" TargetMode="External"/><Relationship Id="rId750" Type="http://schemas.openxmlformats.org/officeDocument/2006/relationships/hyperlink" Target="http://secrets.rutgers.edu:8080/data/asl-ftp/asllvd/demos/verify_start_end_handshape_annotations//test_auto_move//signs_mov_separ_signers/Tyler_73.mov" TargetMode="External"/><Relationship Id="rId751" Type="http://schemas.openxmlformats.org/officeDocument/2006/relationships/hyperlink" Target="http://csr.bu.edu/ftp/asl/asllvd/demos/verify_start_end_handshape_annotations//test_auto_move//signs_mov_separ_signers/Naomi_73.mov" TargetMode="External"/><Relationship Id="rId752" Type="http://schemas.openxmlformats.org/officeDocument/2006/relationships/hyperlink" Target="http://secrets.rutgers.edu:8080/data/asl-ftp/asllvd/demos/verify_start_end_handshape_annotations//test_auto_move//signs_mov_separ_signers/Naomi_73.mov" TargetMode="External"/><Relationship Id="rId753" Type="http://schemas.openxmlformats.org/officeDocument/2006/relationships/hyperlink" Target="http://csr.bu.edu/ftp/asl/asllvd/demos/verify_start_end_handshape_annotations//test_auto_move//signs_mov_separ_signers/Brady_73.mov" TargetMode="External"/><Relationship Id="rId754" Type="http://schemas.openxmlformats.org/officeDocument/2006/relationships/hyperlink" Target="http://secrets.rutgers.edu:8080/data/asl-ftp/asllvd/demos/verify_start_end_handshape_annotations//test_auto_move//signs_mov_separ_signers/Brady_73.mov" TargetMode="External"/><Relationship Id="rId755" Type="http://schemas.openxmlformats.org/officeDocument/2006/relationships/hyperlink" Target="http://csr.bu.edu/ftp/asl/asllvd/demos/verify_start_end_handshape_annotations//test_auto_move//signs_mov_separ_signers/Liz_3977.mov" TargetMode="External"/><Relationship Id="rId756" Type="http://schemas.openxmlformats.org/officeDocument/2006/relationships/hyperlink" Target="http://secrets.rutgers.edu:8080/data/asl-ftp/asllvd/demos/verify_start_end_handshape_annotations//test_auto_move//signs_mov_separ_signers/Liz_3977.mov" TargetMode="External"/><Relationship Id="rId757" Type="http://schemas.openxmlformats.org/officeDocument/2006/relationships/hyperlink" Target="http://csr.bu.edu/ftp/asl/asllvd/demos/verify_start_end_handshape_annotations//test_auto_move//signs_mov_separ_signers/Liz_5089.mov" TargetMode="External"/><Relationship Id="rId758" Type="http://schemas.openxmlformats.org/officeDocument/2006/relationships/hyperlink" Target="http://secrets.rutgers.edu:8080/data/asl-ftp/asllvd/demos/verify_start_end_handshape_annotations//test_auto_move//signs_mov_separ_signers/Liz_5089.mov" TargetMode="External"/><Relationship Id="rId759" Type="http://schemas.openxmlformats.org/officeDocument/2006/relationships/hyperlink" Target="http://csr.bu.edu/ftp/asl/asllvd/demos/verify_start_end_handshape_annotations//test_auto_move//signs_mov/3977_5089_16041_merged.mov" TargetMode="External"/><Relationship Id="rId760" Type="http://schemas.openxmlformats.org/officeDocument/2006/relationships/hyperlink" Target="http://csr.bu.edu/ftp/asl/asllvd/demos/verify_start_end_handshape_annotations//test_auto_move//signs_mov_separ_signers/Brady_3977.mov" TargetMode="External"/><Relationship Id="rId761" Type="http://schemas.openxmlformats.org/officeDocument/2006/relationships/hyperlink" Target="http://secrets.rutgers.edu:8080/data/asl-ftp/asllvd/demos/verify_start_end_handshape_annotations//test_auto_move//signs_mov/3977_5089_16041_merged.mov" TargetMode="External"/><Relationship Id="rId762" Type="http://schemas.openxmlformats.org/officeDocument/2006/relationships/hyperlink" Target="http://secrets.rutgers.edu:8080/data/asl-ftp/asllvd/demos/verify_start_end_handshape_annotations//test_auto_move//signs_mov_separ_signers/Brady_3977.mov" TargetMode="External"/><Relationship Id="rId763" Type="http://schemas.openxmlformats.org/officeDocument/2006/relationships/hyperlink" Target="http://csr.bu.edu/ftp/asl/asllvd/demos/verify_start_end_handshape_annotations//test_auto_move//signs_mov_separ_signers/Brady_5089.mov" TargetMode="External"/><Relationship Id="rId764" Type="http://schemas.openxmlformats.org/officeDocument/2006/relationships/hyperlink" Target="http://secrets.rutgers.edu:8080/data/asl-ftp/asllvd/demos/verify_start_end_handshape_annotations//test_auto_move//signs_mov_separ_signers/Brady_5089.mov" TargetMode="External"/><Relationship Id="rId765" Type="http://schemas.openxmlformats.org/officeDocument/2006/relationships/hyperlink" Target="http://csr.bu.edu/ftp/asl/asllvd/demos/verify_start_end_handshape_annotations//test_auto_move//signs_mov_separ_signers/Brady_16041.mov" TargetMode="External"/><Relationship Id="rId766" Type="http://schemas.openxmlformats.org/officeDocument/2006/relationships/hyperlink" Target="http://secrets.rutgers.edu:8080/data/asl-ftp/asllvd/demos/verify_start_end_handshape_annotations//test_auto_move//signs_mov_separ_signers/Brady_16041.mov" TargetMode="External"/><Relationship Id="rId767" Type="http://schemas.openxmlformats.org/officeDocument/2006/relationships/hyperlink" Target="http://csr.bu.edu/ftp/asl/asllvd/demos/verify_start_end_handshape_annotations//test_auto_move//signs_mov_separ_signers/Liz_74.mov" TargetMode="External"/><Relationship Id="rId768" Type="http://schemas.openxmlformats.org/officeDocument/2006/relationships/hyperlink" Target="http://secrets.rutgers.edu:8080/data/asl-ftp/asllvd/demos/verify_start_end_handshape_annotations//test_auto_move//signs_mov_separ_signers/Liz_74.mov" TargetMode="External"/><Relationship Id="rId769" Type="http://schemas.openxmlformats.org/officeDocument/2006/relationships/hyperlink" Target="http://csr.bu.edu/ftp/asl/asllvd/demos/verify_start_end_handshape_annotations//test_auto_move//signs_mov_separ_signers/Tyler_74.mov" TargetMode="External"/><Relationship Id="rId770" Type="http://schemas.openxmlformats.org/officeDocument/2006/relationships/hyperlink" Target="http://secrets.rutgers.edu:8080/data/asl-ftp/asllvd/demos/verify_start_end_handshape_annotations//test_auto_move//signs_mov_separ_signers/Tyler_74.mov" TargetMode="External"/><Relationship Id="rId771" Type="http://schemas.openxmlformats.org/officeDocument/2006/relationships/hyperlink" Target="http://csr.bu.edu/ftp/asl/asllvd/demos/verify_start_end_handshape_annotations//test_auto_move//signs_mov/74.mov" TargetMode="External"/><Relationship Id="rId772" Type="http://schemas.openxmlformats.org/officeDocument/2006/relationships/hyperlink" Target="http://csr.bu.edu/ftp/asl/asllvd/demos/verify_start_end_handshape_annotations//test_auto_move//signs_mov_separ_signers/Naomi_74.mov" TargetMode="External"/><Relationship Id="rId773" Type="http://schemas.openxmlformats.org/officeDocument/2006/relationships/hyperlink" Target="http://secrets.rutgers.edu:8080/data/asl-ftp/asllvd/demos/verify_start_end_handshape_annotations//test_auto_move//signs_mov/74.mov" TargetMode="External"/><Relationship Id="rId774" Type="http://schemas.openxmlformats.org/officeDocument/2006/relationships/hyperlink" Target="http://secrets.rutgers.edu:8080/data/asl-ftp/asllvd/demos/verify_start_end_handshape_annotations//test_auto_move//signs_mov_separ_signers/Naomi_74.mov" TargetMode="External"/><Relationship Id="rId775" Type="http://schemas.openxmlformats.org/officeDocument/2006/relationships/hyperlink" Target="http://csr.bu.edu/ftp/asl/asllvd/demos/verify_start_end_handshape_annotations//test_auto_move//signs_mov_separ_signers/Brady_74.mov" TargetMode="External"/><Relationship Id="rId776" Type="http://schemas.openxmlformats.org/officeDocument/2006/relationships/hyperlink" Target="http://secrets.rutgers.edu:8080/data/asl-ftp/asllvd/demos/verify_start_end_handshape_annotations//test_auto_move//signs_mov_separ_signers/Brady_74.mov" TargetMode="External"/><Relationship Id="rId777" Type="http://schemas.openxmlformats.org/officeDocument/2006/relationships/hyperlink" Target="http://csr.bu.edu/ftp/asl/asllvd/demos/verify_start_end_handshape_annotations//test_auto_move//signs_mov_separ_signers/Lana_74.mov" TargetMode="External"/><Relationship Id="rId778" Type="http://schemas.openxmlformats.org/officeDocument/2006/relationships/hyperlink" Target="http://secrets.rutgers.edu:8080/data/asl-ftp/asllvd/demos/verify_start_end_handshape_annotations//test_auto_move//signs_mov_separ_signers/Lana_74.mov" TargetMode="External"/><Relationship Id="rId779" Type="http://schemas.openxmlformats.org/officeDocument/2006/relationships/hyperlink" Target="http://csr.bu.edu/ftp/asl/asllvd/demos/verify_start_end_handshape_annotations//test_auto_move//signs_mov_separ_signers/Dana_74.mov" TargetMode="External"/><Relationship Id="rId780" Type="http://schemas.openxmlformats.org/officeDocument/2006/relationships/hyperlink" Target="http://secrets.rutgers.edu:8080/data/asl-ftp/asllvd/demos/verify_start_end_handshape_annotations//test_auto_move//signs_mov_separ_signers/Dana_74.mov" TargetMode="External"/><Relationship Id="rId781" Type="http://schemas.openxmlformats.org/officeDocument/2006/relationships/hyperlink" Target="http://csr.bu.edu/ftp/asl/asllvd/demos/verify_start_end_handshape_annotations//test_auto_move//signs_mov_separ_signers/Liz_3930.mov" TargetMode="External"/><Relationship Id="rId782" Type="http://schemas.openxmlformats.org/officeDocument/2006/relationships/hyperlink" Target="http://secrets.rutgers.edu:8080/data/asl-ftp/asllvd/demos/verify_start_end_handshape_annotations//test_auto_move//signs_mov_separ_signers/Liz_3930.mov" TargetMode="External"/><Relationship Id="rId783" Type="http://schemas.openxmlformats.org/officeDocument/2006/relationships/hyperlink" Target="http://csr.bu.edu/ftp/asl/asllvd/demos/verify_start_end_handshape_annotations//test_auto_move//signs_mov_separ_signers/Tyler_3930.mov" TargetMode="External"/><Relationship Id="rId784" Type="http://schemas.openxmlformats.org/officeDocument/2006/relationships/hyperlink" Target="http://secrets.rutgers.edu:8080/data/asl-ftp/asllvd/demos/verify_start_end_handshape_annotations//test_auto_move//signs_mov_separ_signers/Tyler_3930.mov" TargetMode="External"/><Relationship Id="rId785" Type="http://schemas.openxmlformats.org/officeDocument/2006/relationships/hyperlink" Target="http://csr.bu.edu/ftp/asl/asllvd/demos/verify_start_end_handshape_annotations//test_auto_move//signs_mov/3930.mov" TargetMode="External"/><Relationship Id="rId786" Type="http://schemas.openxmlformats.org/officeDocument/2006/relationships/hyperlink" Target="http://csr.bu.edu/ftp/asl/asllvd/demos/verify_start_end_handshape_annotations//test_auto_move//signs_mov_separ_signers/Naomi_3930.mov" TargetMode="External"/><Relationship Id="rId787" Type="http://schemas.openxmlformats.org/officeDocument/2006/relationships/hyperlink" Target="http://secrets.rutgers.edu:8080/data/asl-ftp/asllvd/demos/verify_start_end_handshape_annotations//test_auto_move//signs_mov/3930.mov" TargetMode="External"/><Relationship Id="rId788" Type="http://schemas.openxmlformats.org/officeDocument/2006/relationships/hyperlink" Target="http://secrets.rutgers.edu:8080/data/asl-ftp/asllvd/demos/verify_start_end_handshape_annotations//test_auto_move//signs_mov_separ_signers/Naomi_3930.mov" TargetMode="External"/><Relationship Id="rId789" Type="http://schemas.openxmlformats.org/officeDocument/2006/relationships/hyperlink" Target="http://csr.bu.edu/ftp/asl/asllvd/demos/verify_start_end_handshape_annotations//test_auto_move//signs_mov_separ_signers/Brady_3930.mov" TargetMode="External"/><Relationship Id="rId790" Type="http://schemas.openxmlformats.org/officeDocument/2006/relationships/hyperlink" Target="http://secrets.rutgers.edu:8080/data/asl-ftp/asllvd/demos/verify_start_end_handshape_annotations//test_auto_move//signs_mov_separ_signers/Brady_3930.mov" TargetMode="External"/><Relationship Id="rId791" Type="http://schemas.openxmlformats.org/officeDocument/2006/relationships/hyperlink" Target="http://csr.bu.edu/ftp/asl/asllvd/demos/verify_start_end_handshape_annotations//test_auto_move//signs_mov_separ_signers/Dana_3930.mov" TargetMode="External"/><Relationship Id="rId792" Type="http://schemas.openxmlformats.org/officeDocument/2006/relationships/hyperlink" Target="http://secrets.rutgers.edu:8080/data/asl-ftp/asllvd/demos/verify_start_end_handshape_annotations//test_auto_move//signs_mov_separ_signers/Dana_3930.mov" TargetMode="External"/><Relationship Id="rId793" Type="http://schemas.openxmlformats.org/officeDocument/2006/relationships/hyperlink" Target="http://csr.bu.edu/ftp/asl/asllvd/demos/verify_start_end_handshape_annotations//test_auto_move//signs_mov/15007.mov" TargetMode="External"/><Relationship Id="rId794" Type="http://schemas.openxmlformats.org/officeDocument/2006/relationships/hyperlink" Target="http://csr.bu.edu/ftp/asl/asllvd/demos/verify_start_end_handshape_annotations//test_auto_move//signs_mov_separ_signers/Lana_15007.mov" TargetMode="External"/><Relationship Id="rId795" Type="http://schemas.openxmlformats.org/officeDocument/2006/relationships/hyperlink" Target="http://secrets.rutgers.edu:8080/data/asl-ftp/asllvd/demos/verify_start_end_handshape_annotations//test_auto_move//signs_mov/15007.mov" TargetMode="External"/><Relationship Id="rId796" Type="http://schemas.openxmlformats.org/officeDocument/2006/relationships/hyperlink" Target="http://secrets.rutgers.edu:8080/data/asl-ftp/asllvd/demos/verify_start_end_handshape_annotations//test_auto_move//signs_mov_separ_signers/Lana_15007.mov" TargetMode="External"/><Relationship Id="rId797" Type="http://schemas.openxmlformats.org/officeDocument/2006/relationships/hyperlink" Target="http://csr.bu.edu/ftp/asl/asllvd/demos/verify_start_end_handshape_annotations//test_auto_move//signs_mov_separ_signers/Liz_75.mov" TargetMode="External"/><Relationship Id="rId798" Type="http://schemas.openxmlformats.org/officeDocument/2006/relationships/hyperlink" Target="http://secrets.rutgers.edu:8080/data/asl-ftp/asllvd/demos/verify_start_end_handshape_annotations//test_auto_move//signs_mov_separ_signers/Liz_75.mov" TargetMode="External"/><Relationship Id="rId799" Type="http://schemas.openxmlformats.org/officeDocument/2006/relationships/hyperlink" Target="http://csr.bu.edu/ftp/asl/asllvd/demos/verify_start_end_handshape_annotations//test_auto_move//signs_mov/75.mov" TargetMode="External"/><Relationship Id="rId800" Type="http://schemas.openxmlformats.org/officeDocument/2006/relationships/hyperlink" Target="http://csr.bu.edu/ftp/asl/asllvd/demos/verify_start_end_handshape_annotations//test_auto_move//signs_mov_separ_signers/Tyler_75.mov" TargetMode="External"/><Relationship Id="rId801" Type="http://schemas.openxmlformats.org/officeDocument/2006/relationships/hyperlink" Target="http://secrets.rutgers.edu:8080/data/asl-ftp/asllvd/demos/verify_start_end_handshape_annotations//test_auto_move//signs_mov/75.mov" TargetMode="External"/><Relationship Id="rId802" Type="http://schemas.openxmlformats.org/officeDocument/2006/relationships/hyperlink" Target="http://secrets.rutgers.edu:8080/data/asl-ftp/asllvd/demos/verify_start_end_handshape_annotations//test_auto_move//signs_mov_separ_signers/Tyler_75.mov" TargetMode="External"/><Relationship Id="rId803" Type="http://schemas.openxmlformats.org/officeDocument/2006/relationships/hyperlink" Target="http://csr.bu.edu/ftp/asl/asllvd/demos/verify_start_end_handshape_annotations//test_auto_move//signs_mov_separ_signers/Naomi_75.mov" TargetMode="External"/><Relationship Id="rId804" Type="http://schemas.openxmlformats.org/officeDocument/2006/relationships/hyperlink" Target="http://secrets.rutgers.edu:8080/data/asl-ftp/asllvd/demos/verify_start_end_handshape_annotations//test_auto_move//signs_mov_separ_signers/Naomi_75.mov" TargetMode="External"/><Relationship Id="rId805" Type="http://schemas.openxmlformats.org/officeDocument/2006/relationships/hyperlink" Target="http://csr.bu.edu/ftp/asl/asllvd/demos/verify_start_end_handshape_annotations//test_auto_move//signs_mov_separ_signers/Brady_75.mov" TargetMode="External"/><Relationship Id="rId806" Type="http://schemas.openxmlformats.org/officeDocument/2006/relationships/hyperlink" Target="http://secrets.rutgers.edu:8080/data/asl-ftp/asllvd/demos/verify_start_end_handshape_annotations//test_auto_move//signs_mov_separ_signers/Brady_75.mov" TargetMode="External"/><Relationship Id="rId807" Type="http://schemas.openxmlformats.org/officeDocument/2006/relationships/hyperlink" Target="http://csr.bu.edu/ftp/asl/asllvd/demos/verify_start_end_handshape_annotations//test_auto_move//signs_mov_separ_signers/Liz_76.mov" TargetMode="External"/><Relationship Id="rId808" Type="http://schemas.openxmlformats.org/officeDocument/2006/relationships/hyperlink" Target="http://secrets.rutgers.edu:8080/data/asl-ftp/asllvd/demos/verify_start_end_handshape_annotations//test_auto_move//signs_mov_separ_signers/Liz_76.mov" TargetMode="External"/><Relationship Id="rId809" Type="http://schemas.openxmlformats.org/officeDocument/2006/relationships/hyperlink" Target="http://csr.bu.edu/ftp/asl/asllvd/demos/verify_start_end_handshape_annotations//test_auto_move//signs_mov_separ_signers/Tyler_76.mov" TargetMode="External"/><Relationship Id="rId810" Type="http://schemas.openxmlformats.org/officeDocument/2006/relationships/hyperlink" Target="http://secrets.rutgers.edu:8080/data/asl-ftp/asllvd/demos/verify_start_end_handshape_annotations//test_auto_move//signs_mov_separ_signers/Tyler_76.mov" TargetMode="External"/><Relationship Id="rId811" Type="http://schemas.openxmlformats.org/officeDocument/2006/relationships/hyperlink" Target="http://csr.bu.edu/ftp/asl/asllvd/demos/verify_start_end_handshape_annotations//test_auto_move//signs_mov/76.mov" TargetMode="External"/><Relationship Id="rId812" Type="http://schemas.openxmlformats.org/officeDocument/2006/relationships/hyperlink" Target="http://csr.bu.edu/ftp/asl/asllvd/demos/verify_start_end_handshape_annotations//test_auto_move//signs_mov_separ_signers/Naomi_76.mov" TargetMode="External"/><Relationship Id="rId813" Type="http://schemas.openxmlformats.org/officeDocument/2006/relationships/hyperlink" Target="http://secrets.rutgers.edu:8080/data/asl-ftp/asllvd/demos/verify_start_end_handshape_annotations//test_auto_move//signs_mov/76.mov" TargetMode="External"/><Relationship Id="rId814" Type="http://schemas.openxmlformats.org/officeDocument/2006/relationships/hyperlink" Target="http://secrets.rutgers.edu:8080/data/asl-ftp/asllvd/demos/verify_start_end_handshape_annotations//test_auto_move//signs_mov_separ_signers/Naomi_76.mov" TargetMode="External"/><Relationship Id="rId815" Type="http://schemas.openxmlformats.org/officeDocument/2006/relationships/hyperlink" Target="http://csr.bu.edu/ftp/asl/asllvd/demos/verify_start_end_handshape_annotations//test_auto_move//signs_mov_separ_signers/Brady_76.mov" TargetMode="External"/><Relationship Id="rId816" Type="http://schemas.openxmlformats.org/officeDocument/2006/relationships/hyperlink" Target="http://secrets.rutgers.edu:8080/data/asl-ftp/asllvd/demos/verify_start_end_handshape_annotations//test_auto_move//signs_mov_separ_signers/Brady_76.mov" TargetMode="External"/><Relationship Id="rId817" Type="http://schemas.openxmlformats.org/officeDocument/2006/relationships/hyperlink" Target="http://csr.bu.edu/ftp/asl/asllvd/demos/verify_start_end_handshape_annotations//test_auto_move//signs_mov_separ_signers/Lana_76.mov" TargetMode="External"/><Relationship Id="rId818" Type="http://schemas.openxmlformats.org/officeDocument/2006/relationships/hyperlink" Target="http://secrets.rutgers.edu:8080/data/asl-ftp/asllvd/demos/verify_start_end_handshape_annotations//test_auto_move//signs_mov_separ_signers/Lana_76.mov" TargetMode="External"/><Relationship Id="rId819" Type="http://schemas.openxmlformats.org/officeDocument/2006/relationships/hyperlink" Target="http://csr.bu.edu/ftp/asl/asllvd/demos/verify_start_end_handshape_annotations//test_auto_move//signs_mov_separ_signers/Liz_78.mov" TargetMode="External"/><Relationship Id="rId820" Type="http://schemas.openxmlformats.org/officeDocument/2006/relationships/hyperlink" Target="http://secrets.rutgers.edu:8080/data/asl-ftp/asllvd/demos/verify_start_end_handshape_annotations//test_auto_move//signs_mov_separ_signers/Liz_78.mov" TargetMode="External"/><Relationship Id="rId821" Type="http://schemas.openxmlformats.org/officeDocument/2006/relationships/hyperlink" Target="http://csr.bu.edu/ftp/asl/asllvd/demos/verify_start_end_handshape_annotations//test_auto_move//signs_mov_separ_signers/Tyler_78.mov" TargetMode="External"/><Relationship Id="rId822" Type="http://schemas.openxmlformats.org/officeDocument/2006/relationships/hyperlink" Target="http://secrets.rutgers.edu:8080/data/asl-ftp/asllvd/demos/verify_start_end_handshape_annotations//test_auto_move//signs_mov_separ_signers/Tyler_78.mov" TargetMode="External"/><Relationship Id="rId823" Type="http://schemas.openxmlformats.org/officeDocument/2006/relationships/hyperlink" Target="http://csr.bu.edu/ftp/asl/asllvd/demos/verify_start_end_handshape_annotations//test_auto_move//signs_mov/78.mov" TargetMode="External"/><Relationship Id="rId824" Type="http://schemas.openxmlformats.org/officeDocument/2006/relationships/hyperlink" Target="http://csr.bu.edu/ftp/asl/asllvd/demos/verify_start_end_handshape_annotations//test_auto_move//signs_mov_separ_signers/Naomi_78.mov" TargetMode="External"/><Relationship Id="rId825" Type="http://schemas.openxmlformats.org/officeDocument/2006/relationships/hyperlink" Target="http://secrets.rutgers.edu:8080/data/asl-ftp/asllvd/demos/verify_start_end_handshape_annotations//test_auto_move//signs_mov/78.mov" TargetMode="External"/><Relationship Id="rId826" Type="http://schemas.openxmlformats.org/officeDocument/2006/relationships/hyperlink" Target="http://secrets.rutgers.edu:8080/data/asl-ftp/asllvd/demos/verify_start_end_handshape_annotations//test_auto_move//signs_mov_separ_signers/Naomi_78.mov" TargetMode="External"/><Relationship Id="rId827" Type="http://schemas.openxmlformats.org/officeDocument/2006/relationships/hyperlink" Target="http://csr.bu.edu/ftp/asl/asllvd/demos/verify_start_end_handshape_annotations//test_auto_move//signs_mov_separ_signers/Brady_78.mov" TargetMode="External"/><Relationship Id="rId828" Type="http://schemas.openxmlformats.org/officeDocument/2006/relationships/hyperlink" Target="http://secrets.rutgers.edu:8080/data/asl-ftp/asllvd/demos/verify_start_end_handshape_annotations//test_auto_move//signs_mov_separ_signers/Brady_78.mov" TargetMode="External"/><Relationship Id="rId829" Type="http://schemas.openxmlformats.org/officeDocument/2006/relationships/hyperlink" Target="http://csr.bu.edu/ftp/asl/asllvd/demos/verify_start_end_handshape_annotations//test_auto_move//signs_mov_separ_signers/Lana_78.mov" TargetMode="External"/><Relationship Id="rId830" Type="http://schemas.openxmlformats.org/officeDocument/2006/relationships/hyperlink" Target="http://secrets.rutgers.edu:8080/data/asl-ftp/asllvd/demos/verify_start_end_handshape_annotations//test_auto_move//signs_mov_separ_signers/Lana_78.mov" TargetMode="External"/><Relationship Id="rId831" Type="http://schemas.openxmlformats.org/officeDocument/2006/relationships/hyperlink" Target="http://csr.bu.edu/ftp/asl/asllvd/demos/verify_start_end_handshape_annotations//test_auto_move//signs_mov_separ_signers/Dana_78.mov" TargetMode="External"/><Relationship Id="rId832" Type="http://schemas.openxmlformats.org/officeDocument/2006/relationships/hyperlink" Target="http://secrets.rutgers.edu:8080/data/asl-ftp/asllvd/demos/verify_start_end_handshape_annotations//test_auto_move//signs_mov_separ_signers/Dana_78.mov" TargetMode="External"/><Relationship Id="rId833" Type="http://schemas.openxmlformats.org/officeDocument/2006/relationships/hyperlink" Target="http://csr.bu.edu/ftp/asl/asllvd/demos/verify_start_end_handshape_annotations//test_auto_move//signs_mov_separ_signers/Liz_80.mov" TargetMode="External"/><Relationship Id="rId834" Type="http://schemas.openxmlformats.org/officeDocument/2006/relationships/hyperlink" Target="http://secrets.rutgers.edu:8080/data/asl-ftp/asllvd/demos/verify_start_end_handshape_annotations//test_auto_move//signs_mov_separ_signers/Liz_80.mov" TargetMode="External"/><Relationship Id="rId835" Type="http://schemas.openxmlformats.org/officeDocument/2006/relationships/hyperlink" Target="http://csr.bu.edu/ftp/asl/asllvd/demos/verify_start_end_handshape_annotations//test_auto_move//signs_mov/80.mov" TargetMode="External"/><Relationship Id="rId836" Type="http://schemas.openxmlformats.org/officeDocument/2006/relationships/hyperlink" Target="http://csr.bu.edu/ftp/asl/asllvd/demos/verify_start_end_handshape_annotations//test_auto_move//signs_mov_separ_signers/Tyler_80.mov" TargetMode="External"/><Relationship Id="rId837" Type="http://schemas.openxmlformats.org/officeDocument/2006/relationships/hyperlink" Target="http://secrets.rutgers.edu:8080/data/asl-ftp/asllvd/demos/verify_start_end_handshape_annotations//test_auto_move//signs_mov/80.mov" TargetMode="External"/><Relationship Id="rId838" Type="http://schemas.openxmlformats.org/officeDocument/2006/relationships/hyperlink" Target="http://secrets.rutgers.edu:8080/data/asl-ftp/asllvd/demos/verify_start_end_handshape_annotations//test_auto_move//signs_mov_separ_signers/Tyler_80.mov" TargetMode="External"/><Relationship Id="rId839" Type="http://schemas.openxmlformats.org/officeDocument/2006/relationships/hyperlink" Target="http://csr.bu.edu/ftp/asl/asllvd/demos/verify_start_end_handshape_annotations//test_auto_move//signs_mov_separ_signers/Naomi_80.mov" TargetMode="External"/><Relationship Id="rId840" Type="http://schemas.openxmlformats.org/officeDocument/2006/relationships/hyperlink" Target="http://secrets.rutgers.edu:8080/data/asl-ftp/asllvd/demos/verify_start_end_handshape_annotations//test_auto_move//signs_mov_separ_signers/Naomi_80.mov" TargetMode="External"/><Relationship Id="rId841" Type="http://schemas.openxmlformats.org/officeDocument/2006/relationships/hyperlink" Target="http://csr.bu.edu/ftp/asl/asllvd/demos/verify_start_end_handshape_annotations//test_auto_move//signs_mov_separ_signers/Brady_80.mov" TargetMode="External"/><Relationship Id="rId842" Type="http://schemas.openxmlformats.org/officeDocument/2006/relationships/hyperlink" Target="http://secrets.rutgers.edu:8080/data/asl-ftp/asllvd/demos/verify_start_end_handshape_annotations//test_auto_move//signs_mov_separ_signers/Brady_80.mov" TargetMode="External"/><Relationship Id="rId843" Type="http://schemas.openxmlformats.org/officeDocument/2006/relationships/hyperlink" Target="http://csr.bu.edu/ftp/asl/asllvd/demos/verify_start_end_handshape_annotations//test_auto_move//signs_mov_separ_signers/Liz_81.mov" TargetMode="External"/><Relationship Id="rId844" Type="http://schemas.openxmlformats.org/officeDocument/2006/relationships/hyperlink" Target="http://secrets.rutgers.edu:8080/data/asl-ftp/asllvd/demos/verify_start_end_handshape_annotations//test_auto_move//signs_mov_separ_signers/Liz_81.mov" TargetMode="External"/><Relationship Id="rId845" Type="http://schemas.openxmlformats.org/officeDocument/2006/relationships/hyperlink" Target="http://csr.bu.edu/ftp/asl/asllvd/demos/verify_start_end_handshape_annotations//test_auto_move//signs_mov_separ_signers/Liz_3671.mov" TargetMode="External"/><Relationship Id="rId846" Type="http://schemas.openxmlformats.org/officeDocument/2006/relationships/hyperlink" Target="http://secrets.rutgers.edu:8080/data/asl-ftp/asllvd/demos/verify_start_end_handshape_annotations//test_auto_move//signs_mov_separ_signers/Liz_3671.mov" TargetMode="External"/><Relationship Id="rId847" Type="http://schemas.openxmlformats.org/officeDocument/2006/relationships/hyperlink" Target="http://csr.bu.edu/ftp/asl/asllvd/demos/verify_start_end_handshape_annotations//test_auto_move//signs_mov_separ_signers/Tyler_81.mov" TargetMode="External"/><Relationship Id="rId848" Type="http://schemas.openxmlformats.org/officeDocument/2006/relationships/hyperlink" Target="http://secrets.rutgers.edu:8080/data/asl-ftp/asllvd/demos/verify_start_end_handshape_annotations//test_auto_move//signs_mov_separ_signers/Tyler_81.mov" TargetMode="External"/><Relationship Id="rId849" Type="http://schemas.openxmlformats.org/officeDocument/2006/relationships/hyperlink" Target="http://csr.bu.edu/ftp/asl/asllvd/demos/verify_start_end_handshape_annotations//test_auto_move//signs_mov/81_3671_merged.mov" TargetMode="External"/><Relationship Id="rId850" Type="http://schemas.openxmlformats.org/officeDocument/2006/relationships/hyperlink" Target="http://csr.bu.edu/ftp/asl/asllvd/demos/verify_start_end_handshape_annotations//test_auto_move//signs_mov_separ_signers/Tyler_3671.mov" TargetMode="External"/><Relationship Id="rId851" Type="http://schemas.openxmlformats.org/officeDocument/2006/relationships/hyperlink" Target="http://secrets.rutgers.edu:8080/data/asl-ftp/asllvd/demos/verify_start_end_handshape_annotations//test_auto_move//signs_mov/81_3671_merged.mov" TargetMode="External"/><Relationship Id="rId852" Type="http://schemas.openxmlformats.org/officeDocument/2006/relationships/hyperlink" Target="http://secrets.rutgers.edu:8080/data/asl-ftp/asllvd/demos/verify_start_end_handshape_annotations//test_auto_move//signs_mov_separ_signers/Tyler_3671.mov" TargetMode="External"/><Relationship Id="rId853" Type="http://schemas.openxmlformats.org/officeDocument/2006/relationships/hyperlink" Target="http://csr.bu.edu/ftp/asl/asllvd/demos/verify_start_end_handshape_annotations//test_auto_move//signs_mov_separ_signers/Naomi_81.mov" TargetMode="External"/><Relationship Id="rId854" Type="http://schemas.openxmlformats.org/officeDocument/2006/relationships/hyperlink" Target="http://secrets.rutgers.edu:8080/data/asl-ftp/asllvd/demos/verify_start_end_handshape_annotations//test_auto_move//signs_mov_separ_signers/Naomi_81.mov" TargetMode="External"/><Relationship Id="rId855" Type="http://schemas.openxmlformats.org/officeDocument/2006/relationships/hyperlink" Target="http://csr.bu.edu/ftp/asl/asllvd/demos/verify_start_end_handshape_annotations//test_auto_move//signs_mov_separ_signers/Naomi_3671.mov" TargetMode="External"/><Relationship Id="rId856" Type="http://schemas.openxmlformats.org/officeDocument/2006/relationships/hyperlink" Target="http://secrets.rutgers.edu:8080/data/asl-ftp/asllvd/demos/verify_start_end_handshape_annotations//test_auto_move//signs_mov_separ_signers/Naomi_3671.mov" TargetMode="External"/><Relationship Id="rId857" Type="http://schemas.openxmlformats.org/officeDocument/2006/relationships/hyperlink" Target="http://csr.bu.edu/ftp/asl/asllvd/demos/verify_start_end_handshape_annotations//test_auto_move//signs_mov_separ_signers/Brady_81.mov" TargetMode="External"/><Relationship Id="rId858" Type="http://schemas.openxmlformats.org/officeDocument/2006/relationships/hyperlink" Target="http://secrets.rutgers.edu:8080/data/asl-ftp/asllvd/demos/verify_start_end_handshape_annotations//test_auto_move//signs_mov_separ_signers/Brady_81.mov" TargetMode="External"/><Relationship Id="rId859" Type="http://schemas.openxmlformats.org/officeDocument/2006/relationships/hyperlink" Target="http://csr.bu.edu/ftp/asl/asllvd/demos/verify_start_end_handshape_annotations//test_auto_move//signs_mov_separ_signers/Brady_3671.mov" TargetMode="External"/><Relationship Id="rId860" Type="http://schemas.openxmlformats.org/officeDocument/2006/relationships/hyperlink" Target="http://secrets.rutgers.edu:8080/data/asl-ftp/asllvd/demos/verify_start_end_handshape_annotations//test_auto_move//signs_mov_separ_signers/Brady_3671.mov" TargetMode="External"/><Relationship Id="rId861" Type="http://schemas.openxmlformats.org/officeDocument/2006/relationships/hyperlink" Target="http://csr.bu.edu/ftp/asl/asllvd/demos/verify_start_end_handshape_annotations//test_auto_move//signs_mov_separ_signers/Liz_5642.mov" TargetMode="External"/><Relationship Id="rId862" Type="http://schemas.openxmlformats.org/officeDocument/2006/relationships/hyperlink" Target="http://secrets.rutgers.edu:8080/data/asl-ftp/asllvd/demos/verify_start_end_handshape_annotations//test_auto_move//signs_mov_separ_signers/Liz_5642.mov" TargetMode="External"/><Relationship Id="rId863" Type="http://schemas.openxmlformats.org/officeDocument/2006/relationships/hyperlink" Target="http://csr.bu.edu/ftp/asl/asllvd/demos/verify_start_end_handshape_annotations//test_auto_move//signs_mov_separ_signers/Liz_5648.mov" TargetMode="External"/><Relationship Id="rId864" Type="http://schemas.openxmlformats.org/officeDocument/2006/relationships/hyperlink" Target="http://secrets.rutgers.edu:8080/data/asl-ftp/asllvd/demos/verify_start_end_handshape_annotations//test_auto_move//signs_mov_separ_signers/Liz_5648.mov" TargetMode="External"/><Relationship Id="rId865" Type="http://schemas.openxmlformats.org/officeDocument/2006/relationships/hyperlink" Target="http://csr.bu.edu/ftp/asl/asllvd/demos/verify_start_end_handshape_annotations//test_auto_move//signs_mov/5642_5648_merged.mov" TargetMode="External"/><Relationship Id="rId866" Type="http://schemas.openxmlformats.org/officeDocument/2006/relationships/hyperlink" Target="http://csr.bu.edu/ftp/asl/asllvd/demos/verify_start_end_handshape_annotations//test_auto_move//signs_mov_separ_signers/Brady_5642.mov" TargetMode="External"/><Relationship Id="rId867" Type="http://schemas.openxmlformats.org/officeDocument/2006/relationships/hyperlink" Target="http://secrets.rutgers.edu:8080/data/asl-ftp/asllvd/demos/verify_start_end_handshape_annotations//test_auto_move//signs_mov/5642_5648_merged.mov" TargetMode="External"/><Relationship Id="rId868" Type="http://schemas.openxmlformats.org/officeDocument/2006/relationships/hyperlink" Target="http://secrets.rutgers.edu:8080/data/asl-ftp/asllvd/demos/verify_start_end_handshape_annotations//test_auto_move//signs_mov_separ_signers/Brady_5642.mov" TargetMode="External"/><Relationship Id="rId869" Type="http://schemas.openxmlformats.org/officeDocument/2006/relationships/hyperlink" Target="http://csr.bu.edu/ftp/asl/asllvd/demos/verify_start_end_handshape_annotations//test_auto_move//signs_mov_separ_signers/Brady_5648.mov" TargetMode="External"/><Relationship Id="rId870" Type="http://schemas.openxmlformats.org/officeDocument/2006/relationships/hyperlink" Target="http://secrets.rutgers.edu:8080/data/asl-ftp/asllvd/demos/verify_start_end_handshape_annotations//test_auto_move//signs_mov_separ_signers/Brady_5648.mov" TargetMode="External"/><Relationship Id="rId871" Type="http://schemas.openxmlformats.org/officeDocument/2006/relationships/hyperlink" Target="http://csr.bu.edu/ftp/asl/asllvd/demos/verify_start_end_handshape_annotations//test_auto_move//signs_mov_separ_signers/Lana_5642.mov" TargetMode="External"/><Relationship Id="rId872" Type="http://schemas.openxmlformats.org/officeDocument/2006/relationships/hyperlink" Target="http://secrets.rutgers.edu:8080/data/asl-ftp/asllvd/demos/verify_start_end_handshape_annotations//test_auto_move//signs_mov_separ_signers/Lana_5642.mov" TargetMode="External"/><Relationship Id="rId873" Type="http://schemas.openxmlformats.org/officeDocument/2006/relationships/hyperlink" Target="http://csr.bu.edu/ftp/asl/asllvd/demos/verify_start_end_handshape_annotations//test_auto_move//signs_mov_separ_signers/Dana_5642.mov" TargetMode="External"/><Relationship Id="rId874" Type="http://schemas.openxmlformats.org/officeDocument/2006/relationships/hyperlink" Target="http://secrets.rutgers.edu:8080/data/asl-ftp/asllvd/demos/verify_start_end_handshape_annotations//test_auto_move//signs_mov_separ_signers/Dana_5642.mov" TargetMode="External"/><Relationship Id="rId875" Type="http://schemas.openxmlformats.org/officeDocument/2006/relationships/hyperlink" Target="http://csr.bu.edu/ftp/asl/asllvd/demos/verify_start_end_handshape_annotations//test_auto_move//signs_mov_separ_signers/Liz_83.mov" TargetMode="External"/><Relationship Id="rId876" Type="http://schemas.openxmlformats.org/officeDocument/2006/relationships/hyperlink" Target="http://secrets.rutgers.edu:8080/data/asl-ftp/asllvd/demos/verify_start_end_handshape_annotations//test_auto_move//signs_mov_separ_signers/Liz_83.mov" TargetMode="External"/><Relationship Id="rId877" Type="http://schemas.openxmlformats.org/officeDocument/2006/relationships/hyperlink" Target="http://csr.bu.edu/ftp/asl/asllvd/demos/verify_start_end_handshape_annotations//test_auto_move//signs_mov_separ_signers/Liz_3656.mov" TargetMode="External"/><Relationship Id="rId878" Type="http://schemas.openxmlformats.org/officeDocument/2006/relationships/hyperlink" Target="http://secrets.rutgers.edu:8080/data/asl-ftp/asllvd/demos/verify_start_end_handshape_annotations//test_auto_move//signs_mov_separ_signers/Liz_3656.mov" TargetMode="External"/><Relationship Id="rId879" Type="http://schemas.openxmlformats.org/officeDocument/2006/relationships/hyperlink" Target="http://csr.bu.edu/ftp/asl/asllvd/demos/verify_start_end_handshape_annotations//test_auto_move//signs_mov_separ_signers/Tyler_83.mov" TargetMode="External"/><Relationship Id="rId880" Type="http://schemas.openxmlformats.org/officeDocument/2006/relationships/hyperlink" Target="http://secrets.rutgers.edu:8080/data/asl-ftp/asllvd/demos/verify_start_end_handshape_annotations//test_auto_move//signs_mov_separ_signers/Tyler_83.mov" TargetMode="External"/><Relationship Id="rId881" Type="http://schemas.openxmlformats.org/officeDocument/2006/relationships/hyperlink" Target="http://csr.bu.edu/ftp/asl/asllvd/demos/verify_start_end_handshape_annotations//test_auto_move//signs_mov_separ_signers/Tyler_3656.mov" TargetMode="External"/><Relationship Id="rId882" Type="http://schemas.openxmlformats.org/officeDocument/2006/relationships/hyperlink" Target="http://secrets.rutgers.edu:8080/data/asl-ftp/asllvd/demos/verify_start_end_handshape_annotations//test_auto_move//signs_mov_separ_signers/Tyler_3656.mov" TargetMode="External"/><Relationship Id="rId883" Type="http://schemas.openxmlformats.org/officeDocument/2006/relationships/hyperlink" Target="http://csr.bu.edu/ftp/asl/asllvd/demos/verify_start_end_handshape_annotations//test_auto_move//signs_mov/83_3656_15757_merged.mov" TargetMode="External"/><Relationship Id="rId884" Type="http://schemas.openxmlformats.org/officeDocument/2006/relationships/hyperlink" Target="http://csr.bu.edu/ftp/asl/asllvd/demos/verify_start_end_handshape_annotations//test_auto_move//signs_mov_separ_signers/Naomi_83.mov" TargetMode="External"/><Relationship Id="rId885" Type="http://schemas.openxmlformats.org/officeDocument/2006/relationships/hyperlink" Target="http://secrets.rutgers.edu:8080/data/asl-ftp/asllvd/demos/verify_start_end_handshape_annotations//test_auto_move//signs_mov/83_3656_15757_merged.mov" TargetMode="External"/><Relationship Id="rId886" Type="http://schemas.openxmlformats.org/officeDocument/2006/relationships/hyperlink" Target="http://secrets.rutgers.edu:8080/data/asl-ftp/asllvd/demos/verify_start_end_handshape_annotations//test_auto_move//signs_mov_separ_signers/Naomi_83.mov" TargetMode="External"/><Relationship Id="rId887" Type="http://schemas.openxmlformats.org/officeDocument/2006/relationships/hyperlink" Target="http://csr.bu.edu/ftp/asl/asllvd/demos/verify_start_end_handshape_annotations//test_auto_move//signs_mov_separ_signers/Naomi_3656.mov" TargetMode="External"/><Relationship Id="rId888" Type="http://schemas.openxmlformats.org/officeDocument/2006/relationships/hyperlink" Target="http://secrets.rutgers.edu:8080/data/asl-ftp/asllvd/demos/verify_start_end_handshape_annotations//test_auto_move//signs_mov_separ_signers/Naomi_3656.mov" TargetMode="External"/><Relationship Id="rId889" Type="http://schemas.openxmlformats.org/officeDocument/2006/relationships/hyperlink" Target="http://csr.bu.edu/ftp/asl/asllvd/demos/verify_start_end_handshape_annotations//test_auto_move//signs_mov_separ_signers/Brady_83.mov" TargetMode="External"/><Relationship Id="rId890" Type="http://schemas.openxmlformats.org/officeDocument/2006/relationships/hyperlink" Target="http://secrets.rutgers.edu:8080/data/asl-ftp/asllvd/demos/verify_start_end_handshape_annotations//test_auto_move//signs_mov_separ_signers/Brady_83.mov" TargetMode="External"/><Relationship Id="rId891" Type="http://schemas.openxmlformats.org/officeDocument/2006/relationships/hyperlink" Target="http://csr.bu.edu/ftp/asl/asllvd/demos/verify_start_end_handshape_annotations//test_auto_move//signs_mov_separ_signers/Brady_3656.mov" TargetMode="External"/><Relationship Id="rId892" Type="http://schemas.openxmlformats.org/officeDocument/2006/relationships/hyperlink" Target="http://secrets.rutgers.edu:8080/data/asl-ftp/asllvd/demos/verify_start_end_handshape_annotations//test_auto_move//signs_mov_separ_signers/Brady_3656.mov" TargetMode="External"/><Relationship Id="rId893" Type="http://schemas.openxmlformats.org/officeDocument/2006/relationships/hyperlink" Target="http://csr.bu.edu/ftp/asl/asllvd/demos/verify_start_end_handshape_annotations//test_auto_move//signs_mov_separ_signers/Brady_15757.mov" TargetMode="External"/><Relationship Id="rId894" Type="http://schemas.openxmlformats.org/officeDocument/2006/relationships/hyperlink" Target="http://secrets.rutgers.edu:8080/data/asl-ftp/asllvd/demos/verify_start_end_handshape_annotations//test_auto_move//signs_mov_separ_signers/Brady_15757.mov" TargetMode="External"/><Relationship Id="rId895" Type="http://schemas.openxmlformats.org/officeDocument/2006/relationships/hyperlink" Target="http://csr.bu.edu/ftp/asl/asllvd/demos/verify_start_end_handshape_annotations//test_auto_move//signs_mov_separ_signers/Liz_87.mov" TargetMode="External"/><Relationship Id="rId896" Type="http://schemas.openxmlformats.org/officeDocument/2006/relationships/hyperlink" Target="http://secrets.rutgers.edu:8080/data/asl-ftp/asllvd/demos/verify_start_end_handshape_annotations//test_auto_move//signs_mov_separ_signers/Liz_87.mov" TargetMode="External"/><Relationship Id="rId897" Type="http://schemas.openxmlformats.org/officeDocument/2006/relationships/hyperlink" Target="http://csr.bu.edu/ftp/asl/asllvd/demos/verify_start_end_handshape_annotations//test_auto_move//signs_mov/87.mov" TargetMode="External"/><Relationship Id="rId898" Type="http://schemas.openxmlformats.org/officeDocument/2006/relationships/hyperlink" Target="http://csr.bu.edu/ftp/asl/asllvd/demos/verify_start_end_handshape_annotations//test_auto_move//signs_mov_separ_signers/Tyler_87.mov" TargetMode="External"/><Relationship Id="rId899" Type="http://schemas.openxmlformats.org/officeDocument/2006/relationships/hyperlink" Target="http://secrets.rutgers.edu:8080/data/asl-ftp/asllvd/demos/verify_start_end_handshape_annotations//test_auto_move//signs_mov/87.mov" TargetMode="External"/><Relationship Id="rId900" Type="http://schemas.openxmlformats.org/officeDocument/2006/relationships/hyperlink" Target="http://secrets.rutgers.edu:8080/data/asl-ftp/asllvd/demos/verify_start_end_handshape_annotations//test_auto_move//signs_mov_separ_signers/Tyler_87.mov" TargetMode="External"/><Relationship Id="rId901" Type="http://schemas.openxmlformats.org/officeDocument/2006/relationships/hyperlink" Target="http://csr.bu.edu/ftp/asl/asllvd/demos/verify_start_end_handshape_annotations//test_auto_move//signs_mov_separ_signers/Naomi_87.mov" TargetMode="External"/><Relationship Id="rId902" Type="http://schemas.openxmlformats.org/officeDocument/2006/relationships/hyperlink" Target="http://secrets.rutgers.edu:8080/data/asl-ftp/asllvd/demos/verify_start_end_handshape_annotations//test_auto_move//signs_mov_separ_signers/Naomi_87.mov" TargetMode="External"/><Relationship Id="rId903" Type="http://schemas.openxmlformats.org/officeDocument/2006/relationships/hyperlink" Target="http://csr.bu.edu/ftp/asl/asllvd/demos/verify_start_end_handshape_annotations//test_auto_move//signs_mov_separ_signers/Brady_87.mov" TargetMode="External"/><Relationship Id="rId904" Type="http://schemas.openxmlformats.org/officeDocument/2006/relationships/hyperlink" Target="http://secrets.rutgers.edu:8080/data/asl-ftp/asllvd/demos/verify_start_end_handshape_annotations//test_auto_move//signs_mov_separ_signers/Brady_87.mov" TargetMode="External"/><Relationship Id="rId905" Type="http://schemas.openxmlformats.org/officeDocument/2006/relationships/hyperlink" Target="http://csr.bu.edu/ftp/asl/asllvd/demos/verify_start_end_handshape_annotations//test_auto_move//signs_mov/89.mov" TargetMode="External"/><Relationship Id="rId906" Type="http://schemas.openxmlformats.org/officeDocument/2006/relationships/hyperlink" Target="http://csr.bu.edu/ftp/asl/asllvd/demos/verify_start_end_handshape_annotations//test_auto_move//signs_mov_separ_signers/Liz_89.mov" TargetMode="External"/><Relationship Id="rId907" Type="http://schemas.openxmlformats.org/officeDocument/2006/relationships/hyperlink" Target="http://secrets.rutgers.edu:8080/data/asl-ftp/asllvd/demos/verify_start_end_handshape_annotations//test_auto_move//signs_mov/89.mov" TargetMode="External"/><Relationship Id="rId908" Type="http://schemas.openxmlformats.org/officeDocument/2006/relationships/hyperlink" Target="http://secrets.rutgers.edu:8080/data/asl-ftp/asllvd/demos/verify_start_end_handshape_annotations//test_auto_move//signs_mov_separ_signers/Liz_89.mov" TargetMode="External"/><Relationship Id="rId909" Type="http://schemas.openxmlformats.org/officeDocument/2006/relationships/hyperlink" Target="http://csr.bu.edu/ftp/asl/asllvd/demos/verify_start_end_handshape_annotations//test_auto_move//signs_mov/5531.mov" TargetMode="External"/><Relationship Id="rId910" Type="http://schemas.openxmlformats.org/officeDocument/2006/relationships/hyperlink" Target="http://csr.bu.edu/ftp/asl/asllvd/demos/verify_start_end_handshape_annotations//test_auto_move//signs_mov_separ_signers/Brady_5531.mov" TargetMode="External"/><Relationship Id="rId911" Type="http://schemas.openxmlformats.org/officeDocument/2006/relationships/hyperlink" Target="http://secrets.rutgers.edu:8080/data/asl-ftp/asllvd/demos/verify_start_end_handshape_annotations//test_auto_move//signs_mov/5531.mov" TargetMode="External"/><Relationship Id="rId912" Type="http://schemas.openxmlformats.org/officeDocument/2006/relationships/hyperlink" Target="http://secrets.rutgers.edu:8080/data/asl-ftp/asllvd/demos/verify_start_end_handshape_annotations//test_auto_move//signs_mov_separ_signers/Brady_5531.mov" TargetMode="External"/><Relationship Id="rId913" Type="http://schemas.openxmlformats.org/officeDocument/2006/relationships/hyperlink" Target="http://csr.bu.edu/ftp/asl/asllvd/demos/verify_start_end_handshape_annotations//test_auto_move//signs_mov_separ_signers/Liz_91.mov" TargetMode="External"/><Relationship Id="rId914" Type="http://schemas.openxmlformats.org/officeDocument/2006/relationships/hyperlink" Target="http://secrets.rutgers.edu:8080/data/asl-ftp/asllvd/demos/verify_start_end_handshape_annotations//test_auto_move//signs_mov_separ_signers/Liz_91.mov" TargetMode="External"/><Relationship Id="rId915" Type="http://schemas.openxmlformats.org/officeDocument/2006/relationships/hyperlink" Target="http://csr.bu.edu/ftp/asl/asllvd/demos/verify_start_end_handshape_annotations//test_auto_move//signs_mov/91.mov" TargetMode="External"/><Relationship Id="rId916" Type="http://schemas.openxmlformats.org/officeDocument/2006/relationships/hyperlink" Target="http://csr.bu.edu/ftp/asl/asllvd/demos/verify_start_end_handshape_annotations//test_auto_move//signs_mov_separ_signers/Naomi_91.mov" TargetMode="External"/><Relationship Id="rId917" Type="http://schemas.openxmlformats.org/officeDocument/2006/relationships/hyperlink" Target="http://secrets.rutgers.edu:8080/data/asl-ftp/asllvd/demos/verify_start_end_handshape_annotations//test_auto_move//signs_mov/91.mov" TargetMode="External"/><Relationship Id="rId918" Type="http://schemas.openxmlformats.org/officeDocument/2006/relationships/hyperlink" Target="http://secrets.rutgers.edu:8080/data/asl-ftp/asllvd/demos/verify_start_end_handshape_annotations//test_auto_move//signs_mov_separ_signers/Naomi_91.mov" TargetMode="External"/><Relationship Id="rId919" Type="http://schemas.openxmlformats.org/officeDocument/2006/relationships/hyperlink" Target="http://csr.bu.edu/ftp/asl/asllvd/demos/verify_start_end_handshape_annotations//test_auto_move//signs_mov_separ_signers/Brady_91.mov" TargetMode="External"/><Relationship Id="rId920" Type="http://schemas.openxmlformats.org/officeDocument/2006/relationships/hyperlink" Target="http://secrets.rutgers.edu:8080/data/asl-ftp/asllvd/demos/verify_start_end_handshape_annotations//test_auto_move//signs_mov_separ_signers/Brady_91.mov" TargetMode="External"/><Relationship Id="rId921" Type="http://schemas.openxmlformats.org/officeDocument/2006/relationships/hyperlink" Target="http://csr.bu.edu/ftp/asl/asllvd/demos/verify_start_end_handshape_annotations//test_auto_move//signs_mov/92.mov" TargetMode="External"/><Relationship Id="rId922" Type="http://schemas.openxmlformats.org/officeDocument/2006/relationships/hyperlink" Target="http://csr.bu.edu/ftp/asl/asllvd/demos/verify_start_end_handshape_annotations//test_auto_move//signs_mov_separ_signers/Liz_92.mov" TargetMode="External"/><Relationship Id="rId923" Type="http://schemas.openxmlformats.org/officeDocument/2006/relationships/hyperlink" Target="http://secrets.rutgers.edu:8080/data/asl-ftp/asllvd/demos/verify_start_end_handshape_annotations//test_auto_move//signs_mov/92.mov" TargetMode="External"/><Relationship Id="rId924" Type="http://schemas.openxmlformats.org/officeDocument/2006/relationships/hyperlink" Target="http://secrets.rutgers.edu:8080/data/asl-ftp/asllvd/demos/verify_start_end_handshape_annotations//test_auto_move//signs_mov_separ_signers/Liz_92.mov" TargetMode="External"/><Relationship Id="rId925" Type="http://schemas.openxmlformats.org/officeDocument/2006/relationships/hyperlink" Target="http://csr.bu.edu/ftp/asl/asllvd/demos/verify_start_end_handshape_annotations//test_auto_move//signs_mov_separ_signers/Tyler_92.mov" TargetMode="External"/><Relationship Id="rId926" Type="http://schemas.openxmlformats.org/officeDocument/2006/relationships/hyperlink" Target="http://secrets.rutgers.edu:8080/data/asl-ftp/asllvd/demos/verify_start_end_handshape_annotations//test_auto_move//signs_mov_separ_signers/Tyler_92.mov" TargetMode="External"/><Relationship Id="rId927" Type="http://schemas.openxmlformats.org/officeDocument/2006/relationships/hyperlink" Target="http://csr.bu.edu/ftp/asl/asllvd/demos/verify_start_end_handshape_annotations//test_auto_move//signs_mov/3987.mov" TargetMode="External"/><Relationship Id="rId928" Type="http://schemas.openxmlformats.org/officeDocument/2006/relationships/hyperlink" Target="http://csr.bu.edu/ftp/asl/asllvd/demos/verify_start_end_handshape_annotations//test_auto_move//signs_mov_separ_signers/Naomi_3987.mov" TargetMode="External"/><Relationship Id="rId929" Type="http://schemas.openxmlformats.org/officeDocument/2006/relationships/hyperlink" Target="http://secrets.rutgers.edu:8080/data/asl-ftp/asllvd/demos/verify_start_end_handshape_annotations//test_auto_move//signs_mov/3987.mov" TargetMode="External"/><Relationship Id="rId930" Type="http://schemas.openxmlformats.org/officeDocument/2006/relationships/hyperlink" Target="http://secrets.rutgers.edu:8080/data/asl-ftp/asllvd/demos/verify_start_end_handshape_annotations//test_auto_move//signs_mov_separ_signers/Naomi_3987.mov" TargetMode="External"/><Relationship Id="rId931" Type="http://schemas.openxmlformats.org/officeDocument/2006/relationships/hyperlink" Target="http://csr.bu.edu/ftp/asl/asllvd/demos/verify_start_end_handshape_annotations//test_auto_move//signs_mov/16543.mov" TargetMode="External"/><Relationship Id="rId932" Type="http://schemas.openxmlformats.org/officeDocument/2006/relationships/hyperlink" Target="http://csr.bu.edu/ftp/asl/asllvd/demos/verify_start_end_handshape_annotations//test_auto_move//signs_mov_separ_signers/Brady_16543.mov" TargetMode="External"/><Relationship Id="rId933" Type="http://schemas.openxmlformats.org/officeDocument/2006/relationships/hyperlink" Target="http://secrets.rutgers.edu:8080/data/asl-ftp/asllvd/demos/verify_start_end_handshape_annotations//test_auto_move//signs_mov/16543.mov" TargetMode="External"/><Relationship Id="rId934" Type="http://schemas.openxmlformats.org/officeDocument/2006/relationships/hyperlink" Target="http://secrets.rutgers.edu:8080/data/asl-ftp/asllvd/demos/verify_start_end_handshape_annotations//test_auto_move//signs_mov_separ_signers/Brady_16543.mov" TargetMode="External"/><Relationship Id="rId935" Type="http://schemas.openxmlformats.org/officeDocument/2006/relationships/hyperlink" Target="http://csr.bu.edu/ftp/asl/asllvd/demos/verify_start_end_handshape_annotations//test_auto_move//signs_mov_separ_signers/Liz_93.mov" TargetMode="External"/><Relationship Id="rId936" Type="http://schemas.openxmlformats.org/officeDocument/2006/relationships/hyperlink" Target="http://secrets.rutgers.edu:8080/data/asl-ftp/asllvd/demos/verify_start_end_handshape_annotations//test_auto_move//signs_mov_separ_signers/Liz_93.mov" TargetMode="External"/><Relationship Id="rId937" Type="http://schemas.openxmlformats.org/officeDocument/2006/relationships/hyperlink" Target="http://csr.bu.edu/ftp/asl/asllvd/demos/verify_start_end_handshape_annotations//test_auto_move//signs_mov_separ_signers/Liz_15118.mov" TargetMode="External"/><Relationship Id="rId938" Type="http://schemas.openxmlformats.org/officeDocument/2006/relationships/hyperlink" Target="http://secrets.rutgers.edu:8080/data/asl-ftp/asllvd/demos/verify_start_end_handshape_annotations//test_auto_move//signs_mov_separ_signers/Liz_15118.mov" TargetMode="External"/><Relationship Id="rId939" Type="http://schemas.openxmlformats.org/officeDocument/2006/relationships/hyperlink" Target="http://csr.bu.edu/ftp/asl/asllvd/demos/verify_start_end_handshape_annotations//test_auto_move//signs_mov/93_15118_merged.mov" TargetMode="External"/><Relationship Id="rId940" Type="http://schemas.openxmlformats.org/officeDocument/2006/relationships/hyperlink" Target="http://csr.bu.edu/ftp/asl/asllvd/demos/verify_start_end_handshape_annotations//test_auto_move//signs_mov_separ_signers/Naomi_93.mov" TargetMode="External"/><Relationship Id="rId941" Type="http://schemas.openxmlformats.org/officeDocument/2006/relationships/hyperlink" Target="http://secrets.rutgers.edu:8080/data/asl-ftp/asllvd/demos/verify_start_end_handshape_annotations//test_auto_move//signs_mov/93_15118_merged.mov" TargetMode="External"/><Relationship Id="rId942" Type="http://schemas.openxmlformats.org/officeDocument/2006/relationships/hyperlink" Target="http://secrets.rutgers.edu:8080/data/asl-ftp/asllvd/demos/verify_start_end_handshape_annotations//test_auto_move//signs_mov_separ_signers/Naomi_93.mov" TargetMode="External"/><Relationship Id="rId943" Type="http://schemas.openxmlformats.org/officeDocument/2006/relationships/hyperlink" Target="http://csr.bu.edu/ftp/asl/asllvd/demos/verify_start_end_handshape_annotations//test_auto_move//signs_mov_separ_signers/Naomi_15118.mov" TargetMode="External"/><Relationship Id="rId944" Type="http://schemas.openxmlformats.org/officeDocument/2006/relationships/hyperlink" Target="http://secrets.rutgers.edu:8080/data/asl-ftp/asllvd/demos/verify_start_end_handshape_annotations//test_auto_move//signs_mov_separ_signers/Naomi_15118.mov" TargetMode="External"/><Relationship Id="rId945" Type="http://schemas.openxmlformats.org/officeDocument/2006/relationships/hyperlink" Target="http://csr.bu.edu/ftp/asl/asllvd/demos/verify_start_end_handshape_annotations//test_auto_move//signs_mov_separ_signers/Brady_93.mov" TargetMode="External"/><Relationship Id="rId946" Type="http://schemas.openxmlformats.org/officeDocument/2006/relationships/hyperlink" Target="http://secrets.rutgers.edu:8080/data/asl-ftp/asllvd/demos/verify_start_end_handshape_annotations//test_auto_move//signs_mov_separ_signers/Brady_93.mov" TargetMode="External"/><Relationship Id="rId947" Type="http://schemas.openxmlformats.org/officeDocument/2006/relationships/hyperlink" Target="http://csr.bu.edu/ftp/asl/asllvd/demos/verify_start_end_handshape_annotations//test_auto_move//signs_mov_separ_signers/Brady_15118.mov" TargetMode="External"/><Relationship Id="rId948" Type="http://schemas.openxmlformats.org/officeDocument/2006/relationships/hyperlink" Target="http://secrets.rutgers.edu:8080/data/asl-ftp/asllvd/demos/verify_start_end_handshape_annotations//test_auto_move//signs_mov_separ_signers/Brady_15118.mov" TargetMode="External"/><Relationship Id="rId949" Type="http://schemas.openxmlformats.org/officeDocument/2006/relationships/hyperlink" Target="http://csr.bu.edu/ftp/asl/asllvd/demos/verify_start_end_handshape_annotations//test_auto_move//signs_mov_separ_signers/Liz_15580.mov" TargetMode="External"/><Relationship Id="rId950" Type="http://schemas.openxmlformats.org/officeDocument/2006/relationships/hyperlink" Target="http://secrets.rutgers.edu:8080/data/asl-ftp/asllvd/demos/verify_start_end_handshape_annotations//test_auto_move//signs_mov_separ_signers/Liz_15580.mov" TargetMode="External"/><Relationship Id="rId951" Type="http://schemas.openxmlformats.org/officeDocument/2006/relationships/hyperlink" Target="http://csr.bu.edu/ftp/asl/asllvd/demos/verify_start_end_handshape_annotations//test_auto_move//signs_mov/15580.mov" TargetMode="External"/><Relationship Id="rId952" Type="http://schemas.openxmlformats.org/officeDocument/2006/relationships/hyperlink" Target="http://csr.bu.edu/ftp/asl/asllvd/demos/verify_start_end_handshape_annotations//test_auto_move//signs_mov_separ_signers/Naomi_15580.mov" TargetMode="External"/><Relationship Id="rId953" Type="http://schemas.openxmlformats.org/officeDocument/2006/relationships/hyperlink" Target="http://secrets.rutgers.edu:8080/data/asl-ftp/asllvd/demos/verify_start_end_handshape_annotations//test_auto_move//signs_mov/15580.mov" TargetMode="External"/><Relationship Id="rId954" Type="http://schemas.openxmlformats.org/officeDocument/2006/relationships/hyperlink" Target="http://secrets.rutgers.edu:8080/data/asl-ftp/asllvd/demos/verify_start_end_handshape_annotations//test_auto_move//signs_mov_separ_signers/Naomi_15580.mov" TargetMode="External"/><Relationship Id="rId955" Type="http://schemas.openxmlformats.org/officeDocument/2006/relationships/hyperlink" Target="http://csr.bu.edu/ftp/asl/asllvd/demos/verify_start_end_handshape_annotations//test_auto_move//signs_mov_separ_signers/Brady_15580.mov" TargetMode="External"/><Relationship Id="rId956" Type="http://schemas.openxmlformats.org/officeDocument/2006/relationships/hyperlink" Target="http://secrets.rutgers.edu:8080/data/asl-ftp/asllvd/demos/verify_start_end_handshape_annotations//test_auto_move//signs_mov_separ_signers/Brady_15580.mov" TargetMode="External"/><Relationship Id="rId957" Type="http://schemas.openxmlformats.org/officeDocument/2006/relationships/hyperlink" Target="http://csr.bu.edu/ftp/asl/asllvd/demos/verify_start_end_handshape_annotations//test_auto_move//signs_mov/15582.mov" TargetMode="External"/><Relationship Id="rId958" Type="http://schemas.openxmlformats.org/officeDocument/2006/relationships/hyperlink" Target="http://csr.bu.edu/ftp/asl/asllvd/demos/verify_start_end_handshape_annotations//test_auto_move//signs_mov_separ_signers/Liz_15582.mov" TargetMode="External"/><Relationship Id="rId959" Type="http://schemas.openxmlformats.org/officeDocument/2006/relationships/hyperlink" Target="http://secrets.rutgers.edu:8080/data/asl-ftp/asllvd/demos/verify_start_end_handshape_annotations//test_auto_move//signs_mov/15582.mov" TargetMode="External"/><Relationship Id="rId960" Type="http://schemas.openxmlformats.org/officeDocument/2006/relationships/hyperlink" Target="http://secrets.rutgers.edu:8080/data/asl-ftp/asllvd/demos/verify_start_end_handshape_annotations//test_auto_move//signs_mov_separ_signers/Liz_15582.mov" TargetMode="External"/><Relationship Id="rId961" Type="http://schemas.openxmlformats.org/officeDocument/2006/relationships/hyperlink" Target="http://csr.bu.edu/ftp/asl/asllvd/demos/verify_start_end_handshape_annotations//test_auto_move//signs_mov_separ_signers/Brady_15582.mov" TargetMode="External"/><Relationship Id="rId962" Type="http://schemas.openxmlformats.org/officeDocument/2006/relationships/hyperlink" Target="http://secrets.rutgers.edu:8080/data/asl-ftp/asllvd/demos/verify_start_end_handshape_annotations//test_auto_move//signs_mov_separ_signers/Brady_15582.mov" TargetMode="External"/><Relationship Id="rId963" Type="http://schemas.openxmlformats.org/officeDocument/2006/relationships/hyperlink" Target="http://csr.bu.edu/ftp/asl/asllvd/demos/verify_start_end_handshape_annotations//test_auto_move//signs_mov/16401.mov" TargetMode="External"/><Relationship Id="rId964" Type="http://schemas.openxmlformats.org/officeDocument/2006/relationships/hyperlink" Target="http://csr.bu.edu/ftp/asl/asllvd/demos/verify_start_end_handshape_annotations//test_auto_move//signs_mov_separ_signers/Liz_16401.mov" TargetMode="External"/><Relationship Id="rId965" Type="http://schemas.openxmlformats.org/officeDocument/2006/relationships/hyperlink" Target="http://secrets.rutgers.edu:8080/data/asl-ftp/asllvd/demos/verify_start_end_handshape_annotations//test_auto_move//signs_mov/16401.mov" TargetMode="External"/><Relationship Id="rId966" Type="http://schemas.openxmlformats.org/officeDocument/2006/relationships/hyperlink" Target="http://secrets.rutgers.edu:8080/data/asl-ftp/asllvd/demos/verify_start_end_handshape_annotations//test_auto_move//signs_mov_separ_signers/Liz_16401.mov" TargetMode="External"/><Relationship Id="rId967" Type="http://schemas.openxmlformats.org/officeDocument/2006/relationships/hyperlink" Target="http://csr.bu.edu/ftp/asl/asllvd/demos/verify_start_end_handshape_annotations//test_auto_move//signs_mov_separ_signers/Brady_16401.mov" TargetMode="External"/><Relationship Id="rId968" Type="http://schemas.openxmlformats.org/officeDocument/2006/relationships/hyperlink" Target="http://secrets.rutgers.edu:8080/data/asl-ftp/asllvd/demos/verify_start_end_handshape_annotations//test_auto_move//signs_mov_separ_signers/Brady_16401.mov" TargetMode="External"/><Relationship Id="rId969" Type="http://schemas.openxmlformats.org/officeDocument/2006/relationships/hyperlink" Target="http://csr.bu.edu/ftp/asl/asllvd/demos/verify_start_end_handshape_annotations//test_auto_move//signs_mov_separ_signers/Liz_94.mov" TargetMode="External"/><Relationship Id="rId970" Type="http://schemas.openxmlformats.org/officeDocument/2006/relationships/hyperlink" Target="http://secrets.rutgers.edu:8080/data/asl-ftp/asllvd/demos/verify_start_end_handshape_annotations//test_auto_move//signs_mov_separ_signers/Liz_94.mov" TargetMode="External"/><Relationship Id="rId971" Type="http://schemas.openxmlformats.org/officeDocument/2006/relationships/hyperlink" Target="http://csr.bu.edu/ftp/asl/asllvd/demos/verify_start_end_handshape_annotations//test_auto_move//signs_mov_separ_signers/Tyler_94.mov" TargetMode="External"/><Relationship Id="rId972" Type="http://schemas.openxmlformats.org/officeDocument/2006/relationships/hyperlink" Target="http://secrets.rutgers.edu:8080/data/asl-ftp/asllvd/demos/verify_start_end_handshape_annotations//test_auto_move//signs_mov_separ_signers/Tyler_94.mov" TargetMode="External"/><Relationship Id="rId973" Type="http://schemas.openxmlformats.org/officeDocument/2006/relationships/hyperlink" Target="http://csr.bu.edu/ftp/asl/asllvd/demos/verify_start_end_handshape_annotations//test_auto_move//signs_mov/94.mov" TargetMode="External"/><Relationship Id="rId974" Type="http://schemas.openxmlformats.org/officeDocument/2006/relationships/hyperlink" Target="http://csr.bu.edu/ftp/asl/asllvd/demos/verify_start_end_handshape_annotations//test_auto_move//signs_mov_separ_signers/Naomi_94.mov" TargetMode="External"/><Relationship Id="rId975" Type="http://schemas.openxmlformats.org/officeDocument/2006/relationships/hyperlink" Target="http://secrets.rutgers.edu:8080/data/asl-ftp/asllvd/demos/verify_start_end_handshape_annotations//test_auto_move//signs_mov/94.mov" TargetMode="External"/><Relationship Id="rId976" Type="http://schemas.openxmlformats.org/officeDocument/2006/relationships/hyperlink" Target="http://secrets.rutgers.edu:8080/data/asl-ftp/asllvd/demos/verify_start_end_handshape_annotations//test_auto_move//signs_mov_separ_signers/Naomi_94.mov" TargetMode="External"/><Relationship Id="rId977" Type="http://schemas.openxmlformats.org/officeDocument/2006/relationships/hyperlink" Target="http://csr.bu.edu/ftp/asl/asllvd/demos/verify_start_end_handshape_annotations//test_auto_move//signs_mov_separ_signers/Brady_94.mov" TargetMode="External"/><Relationship Id="rId978" Type="http://schemas.openxmlformats.org/officeDocument/2006/relationships/hyperlink" Target="http://secrets.rutgers.edu:8080/data/asl-ftp/asllvd/demos/verify_start_end_handshape_annotations//test_auto_move//signs_mov_separ_signers/Brady_94.mov" TargetMode="External"/><Relationship Id="rId979" Type="http://schemas.openxmlformats.org/officeDocument/2006/relationships/hyperlink" Target="http://csr.bu.edu/ftp/asl/asllvd/demos/verify_start_end_handshape_annotations//test_auto_move//signs_mov_separ_signers/Lana_94.mov" TargetMode="External"/><Relationship Id="rId980" Type="http://schemas.openxmlformats.org/officeDocument/2006/relationships/hyperlink" Target="http://secrets.rutgers.edu:8080/data/asl-ftp/asllvd/demos/verify_start_end_handshape_annotations//test_auto_move//signs_mov_separ_signers/Lana_94.mov" TargetMode="External"/><Relationship Id="rId981" Type="http://schemas.openxmlformats.org/officeDocument/2006/relationships/hyperlink" Target="http://csr.bu.edu/ftp/asl/asllvd/demos/verify_start_end_handshape_annotations//test_auto_move//signs_mov_separ_signers/Liz_98.mov" TargetMode="External"/><Relationship Id="rId982" Type="http://schemas.openxmlformats.org/officeDocument/2006/relationships/hyperlink" Target="http://secrets.rutgers.edu:8080/data/asl-ftp/asllvd/demos/verify_start_end_handshape_annotations//test_auto_move//signs_mov_separ_signers/Liz_98.mov" TargetMode="External"/><Relationship Id="rId983" Type="http://schemas.openxmlformats.org/officeDocument/2006/relationships/hyperlink" Target="http://csr.bu.edu/ftp/asl/asllvd/demos/verify_start_end_handshape_annotations//test_auto_move//signs_mov/98.mov" TargetMode="External"/><Relationship Id="rId984" Type="http://schemas.openxmlformats.org/officeDocument/2006/relationships/hyperlink" Target="http://csr.bu.edu/ftp/asl/asllvd/demos/verify_start_end_handshape_annotations//test_auto_move//signs_mov_separ_signers/Tyler_98.mov" TargetMode="External"/><Relationship Id="rId985" Type="http://schemas.openxmlformats.org/officeDocument/2006/relationships/hyperlink" Target="http://secrets.rutgers.edu:8080/data/asl-ftp/asllvd/demos/verify_start_end_handshape_annotations//test_auto_move//signs_mov/98.mov" TargetMode="External"/><Relationship Id="rId986" Type="http://schemas.openxmlformats.org/officeDocument/2006/relationships/hyperlink" Target="http://secrets.rutgers.edu:8080/data/asl-ftp/asllvd/demos/verify_start_end_handshape_annotations//test_auto_move//signs_mov_separ_signers/Tyler_98.mov" TargetMode="External"/><Relationship Id="rId987" Type="http://schemas.openxmlformats.org/officeDocument/2006/relationships/hyperlink" Target="http://csr.bu.edu/ftp/asl/asllvd/demos/verify_start_end_handshape_annotations//test_auto_move//signs_mov_separ_signers/Naomi_98.mov" TargetMode="External"/><Relationship Id="rId988" Type="http://schemas.openxmlformats.org/officeDocument/2006/relationships/hyperlink" Target="http://secrets.rutgers.edu:8080/data/asl-ftp/asllvd/demos/verify_start_end_handshape_annotations//test_auto_move//signs_mov_separ_signers/Naomi_98.mov" TargetMode="External"/><Relationship Id="rId989" Type="http://schemas.openxmlformats.org/officeDocument/2006/relationships/hyperlink" Target="http://csr.bu.edu/ftp/asl/asllvd/demos/verify_start_end_handshape_annotations//test_auto_move//signs_mov_separ_signers/Brady_98.mov" TargetMode="External"/><Relationship Id="rId990" Type="http://schemas.openxmlformats.org/officeDocument/2006/relationships/hyperlink" Target="http://secrets.rutgers.edu:8080/data/asl-ftp/asllvd/demos/verify_start_end_handshape_annotations//test_auto_move//signs_mov_separ_signers/Brady_98.mov" TargetMode="External"/><Relationship Id="rId991" Type="http://schemas.openxmlformats.org/officeDocument/2006/relationships/hyperlink" Target="http://csr.bu.edu/ftp/asl/asllvd/demos/verify_start_end_handshape_annotations//test_auto_move//signs_mov_separ_signers/Liz_99.mov" TargetMode="External"/><Relationship Id="rId992" Type="http://schemas.openxmlformats.org/officeDocument/2006/relationships/hyperlink" Target="http://secrets.rutgers.edu:8080/data/asl-ftp/asllvd/demos/verify_start_end_handshape_annotations//test_auto_move//signs_mov_separ_signers/Liz_99.mov" TargetMode="External"/><Relationship Id="rId993" Type="http://schemas.openxmlformats.org/officeDocument/2006/relationships/hyperlink" Target="http://csr.bu.edu/ftp/asl/asllvd/demos/verify_start_end_handshape_annotations//test_auto_move//signs_mov_separ_signers/Liz_3986.mov" TargetMode="External"/><Relationship Id="rId994" Type="http://schemas.openxmlformats.org/officeDocument/2006/relationships/hyperlink" Target="http://secrets.rutgers.edu:8080/data/asl-ftp/asllvd/demos/verify_start_end_handshape_annotations//test_auto_move//signs_mov_separ_signers/Liz_3986.mov" TargetMode="External"/><Relationship Id="rId995" Type="http://schemas.openxmlformats.org/officeDocument/2006/relationships/hyperlink" Target="http://csr.bu.edu/ftp/asl/asllvd/demos/verify_start_end_handshape_annotations//test_auto_move//signs_mov_separ_signers/Tyler_99.mov" TargetMode="External"/><Relationship Id="rId996" Type="http://schemas.openxmlformats.org/officeDocument/2006/relationships/hyperlink" Target="http://secrets.rutgers.edu:8080/data/asl-ftp/asllvd/demos/verify_start_end_handshape_annotations//test_auto_move//signs_mov_separ_signers/Tyler_99.mov" TargetMode="External"/><Relationship Id="rId997" Type="http://schemas.openxmlformats.org/officeDocument/2006/relationships/hyperlink" Target="http://csr.bu.edu/ftp/asl/asllvd/demos/verify_start_end_handshape_annotations//test_auto_move//signs_mov_separ_signers/Naomi_99.mov" TargetMode="External"/><Relationship Id="rId998" Type="http://schemas.openxmlformats.org/officeDocument/2006/relationships/hyperlink" Target="http://secrets.rutgers.edu:8080/data/asl-ftp/asllvd/demos/verify_start_end_handshape_annotations//test_auto_move//signs_mov_separ_signers/Naomi_99.mov" TargetMode="External"/><Relationship Id="rId999" Type="http://schemas.openxmlformats.org/officeDocument/2006/relationships/hyperlink" Target="http://csr.bu.edu/ftp/asl/asllvd/demos/verify_start_end_handshape_annotations//test_auto_move//signs_mov_separ_signers/Brady_99.mov" TargetMode="External"/><Relationship Id="rId1000" Type="http://schemas.openxmlformats.org/officeDocument/2006/relationships/hyperlink" Target="http://secrets.rutgers.edu:8080/data/asl-ftp/asllvd/demos/verify_start_end_handshape_annotations//test_auto_move//signs_mov_separ_signers/Brady_99.mov" TargetMode="External"/><Relationship Id="rId1001" Type="http://schemas.openxmlformats.org/officeDocument/2006/relationships/hyperlink" Target="http://csr.bu.edu/ftp/asl/asllvd/demos/verify_start_end_handshape_annotations//test_auto_move//signs_mov/99_3986_15733_15931_15962_merged.mov" TargetMode="External"/><Relationship Id="rId1002" Type="http://schemas.openxmlformats.org/officeDocument/2006/relationships/hyperlink" Target="http://csr.bu.edu/ftp/asl/asllvd/demos/verify_start_end_handshape_annotations//test_auto_move//signs_mov_separ_signers/Brady_3986.mov" TargetMode="External"/><Relationship Id="rId1003" Type="http://schemas.openxmlformats.org/officeDocument/2006/relationships/hyperlink" Target="http://secrets.rutgers.edu:8080/data/asl-ftp/asllvd/demos/verify_start_end_handshape_annotations//test_auto_move//signs_mov/99_3986_15733_15931_15962_merged.mov" TargetMode="External"/><Relationship Id="rId1004" Type="http://schemas.openxmlformats.org/officeDocument/2006/relationships/hyperlink" Target="http://secrets.rutgers.edu:8080/data/asl-ftp/asllvd/demos/verify_start_end_handshape_annotations//test_auto_move//signs_mov_separ_signers/Brady_3986.mov" TargetMode="External"/><Relationship Id="rId1005" Type="http://schemas.openxmlformats.org/officeDocument/2006/relationships/hyperlink" Target="http://csr.bu.edu/ftp/asl/asllvd/demos/verify_start_end_handshape_annotations//test_auto_move//signs_mov_separ_signers/Brady_15733.mov" TargetMode="External"/><Relationship Id="rId1006" Type="http://schemas.openxmlformats.org/officeDocument/2006/relationships/hyperlink" Target="http://secrets.rutgers.edu:8080/data/asl-ftp/asllvd/demos/verify_start_end_handshape_annotations//test_auto_move//signs_mov_separ_signers/Brady_15733.mov" TargetMode="External"/><Relationship Id="rId1007" Type="http://schemas.openxmlformats.org/officeDocument/2006/relationships/hyperlink" Target="http://csr.bu.edu/ftp/asl/asllvd/demos/verify_start_end_handshape_annotations//test_auto_move//signs_mov_separ_signers/Brady_15931.mov" TargetMode="External"/><Relationship Id="rId1008" Type="http://schemas.openxmlformats.org/officeDocument/2006/relationships/hyperlink" Target="http://secrets.rutgers.edu:8080/data/asl-ftp/asllvd/demos/verify_start_end_handshape_annotations//test_auto_move//signs_mov_separ_signers/Brady_15931.mov" TargetMode="External"/><Relationship Id="rId1009" Type="http://schemas.openxmlformats.org/officeDocument/2006/relationships/hyperlink" Target="http://csr.bu.edu/ftp/asl/asllvd/demos/verify_start_end_handshape_annotations//test_auto_move//signs_mov_separ_signers/Brady_15962.mov" TargetMode="External"/><Relationship Id="rId1010" Type="http://schemas.openxmlformats.org/officeDocument/2006/relationships/hyperlink" Target="http://secrets.rutgers.edu:8080/data/asl-ftp/asllvd/demos/verify_start_end_handshape_annotations//test_auto_move//signs_mov_separ_signers/Brady_15962.mov" TargetMode="External"/><Relationship Id="rId1011" Type="http://schemas.openxmlformats.org/officeDocument/2006/relationships/hyperlink" Target="http://csr.bu.edu/ftp/asl/asllvd/demos/verify_start_end_handshape_annotations//test_auto_move//signs_mov_separ_signers/Lana_99.mov" TargetMode="External"/><Relationship Id="rId1012" Type="http://schemas.openxmlformats.org/officeDocument/2006/relationships/hyperlink" Target="http://secrets.rutgers.edu:8080/data/asl-ftp/asllvd/demos/verify_start_end_handshape_annotations//test_auto_move//signs_mov_separ_signers/Lana_99.mov" TargetMode="External"/><Relationship Id="rId1013" Type="http://schemas.openxmlformats.org/officeDocument/2006/relationships/hyperlink" Target="http://csr.bu.edu/ftp/asl/asllvd/demos/verify_start_end_handshape_annotations//test_auto_move//signs_mov_separ_signers/Dana_99.mov" TargetMode="External"/><Relationship Id="rId1014" Type="http://schemas.openxmlformats.org/officeDocument/2006/relationships/hyperlink" Target="http://secrets.rutgers.edu:8080/data/asl-ftp/asllvd/demos/verify_start_end_handshape_annotations//test_auto_move//signs_mov_separ_signers/Dana_99.mov" TargetMode="External"/><Relationship Id="rId1015" Type="http://schemas.openxmlformats.org/officeDocument/2006/relationships/hyperlink" Target="http://csr.bu.edu/ftp/asl/asllvd/demos/verify_start_end_handshape_annotations//test_auto_move//signs_mov/15994.mov" TargetMode="External"/><Relationship Id="rId1016" Type="http://schemas.openxmlformats.org/officeDocument/2006/relationships/hyperlink" Target="http://csr.bu.edu/ftp/asl/asllvd/demos/verify_start_end_handshape_annotations//test_auto_move//signs_mov_separ_signers/Liz_15994.mov" TargetMode="External"/><Relationship Id="rId1017" Type="http://schemas.openxmlformats.org/officeDocument/2006/relationships/hyperlink" Target="http://secrets.rutgers.edu:8080/data/asl-ftp/asllvd/demos/verify_start_end_handshape_annotations//test_auto_move//signs_mov/15994.mov" TargetMode="External"/><Relationship Id="rId1018" Type="http://schemas.openxmlformats.org/officeDocument/2006/relationships/hyperlink" Target="http://secrets.rutgers.edu:8080/data/asl-ftp/asllvd/demos/verify_start_end_handshape_annotations//test_auto_move//signs_mov_separ_signers/Liz_15994.mov" TargetMode="External"/><Relationship Id="rId1019" Type="http://schemas.openxmlformats.org/officeDocument/2006/relationships/hyperlink" Target="http://csr.bu.edu/ftp/asl/asllvd/demos/verify_start_end_handshape_annotations//test_auto_move//signs_mov_separ_signers/Brady_15994.mov" TargetMode="External"/><Relationship Id="rId1020" Type="http://schemas.openxmlformats.org/officeDocument/2006/relationships/hyperlink" Target="http://secrets.rutgers.edu:8080/data/asl-ftp/asllvd/demos/verify_start_end_handshape_annotations//test_auto_move//signs_mov_separ_signers/Brady_15994.mov" TargetMode="External"/><Relationship Id="rId1021" Type="http://schemas.openxmlformats.org/officeDocument/2006/relationships/hyperlink" Target="http://csr.bu.edu/ftp/asl/asllvd/demos/verify_start_end_handshape_annotations//test_auto_move//signs_mov/16375.mov" TargetMode="External"/><Relationship Id="rId1022" Type="http://schemas.openxmlformats.org/officeDocument/2006/relationships/hyperlink" Target="http://csr.bu.edu/ftp/asl/asllvd/demos/verify_start_end_handshape_annotations//test_auto_move//signs_mov_separ_signers/Liz_16375.mov" TargetMode="External"/><Relationship Id="rId1023" Type="http://schemas.openxmlformats.org/officeDocument/2006/relationships/hyperlink" Target="http://secrets.rutgers.edu:8080/data/asl-ftp/asllvd/demos/verify_start_end_handshape_annotations//test_auto_move//signs_mov/16375.mov" TargetMode="External"/><Relationship Id="rId1024" Type="http://schemas.openxmlformats.org/officeDocument/2006/relationships/hyperlink" Target="http://secrets.rutgers.edu:8080/data/asl-ftp/asllvd/demos/verify_start_end_handshape_annotations//test_auto_move//signs_mov_separ_signers/Liz_16375.mov" TargetMode="External"/><Relationship Id="rId1025" Type="http://schemas.openxmlformats.org/officeDocument/2006/relationships/hyperlink" Target="http://csr.bu.edu/ftp/asl/asllvd/demos/verify_start_end_handshape_annotations//test_auto_move//signs_mov_separ_signers/Liz_100.mov" TargetMode="External"/><Relationship Id="rId1026" Type="http://schemas.openxmlformats.org/officeDocument/2006/relationships/hyperlink" Target="http://secrets.rutgers.edu:8080/data/asl-ftp/asllvd/demos/verify_start_end_handshape_annotations//test_auto_move//signs_mov_separ_signers/Liz_100.mov" TargetMode="External"/><Relationship Id="rId1027" Type="http://schemas.openxmlformats.org/officeDocument/2006/relationships/hyperlink" Target="http://csr.bu.edu/ftp/asl/asllvd/demos/verify_start_end_handshape_annotations//test_auto_move//signs_mov_separ_signers/Tyler_100.mov" TargetMode="External"/><Relationship Id="rId1028" Type="http://schemas.openxmlformats.org/officeDocument/2006/relationships/hyperlink" Target="http://secrets.rutgers.edu:8080/data/asl-ftp/asllvd/demos/verify_start_end_handshape_annotations//test_auto_move//signs_mov_separ_signers/Tyler_100.mov" TargetMode="External"/><Relationship Id="rId1029" Type="http://schemas.openxmlformats.org/officeDocument/2006/relationships/hyperlink" Target="http://csr.bu.edu/ftp/asl/asllvd/demos/verify_start_end_handshape_annotations//test_auto_move//signs_mov/100.mov" TargetMode="External"/><Relationship Id="rId1030" Type="http://schemas.openxmlformats.org/officeDocument/2006/relationships/hyperlink" Target="http://csr.bu.edu/ftp/asl/asllvd/demos/verify_start_end_handshape_annotations//test_auto_move//signs_mov_separ_signers/Naomi_100.mov" TargetMode="External"/><Relationship Id="rId1031" Type="http://schemas.openxmlformats.org/officeDocument/2006/relationships/hyperlink" Target="http://secrets.rutgers.edu:8080/data/asl-ftp/asllvd/demos/verify_start_end_handshape_annotations//test_auto_move//signs_mov/100.mov" TargetMode="External"/><Relationship Id="rId1032" Type="http://schemas.openxmlformats.org/officeDocument/2006/relationships/hyperlink" Target="http://secrets.rutgers.edu:8080/data/asl-ftp/asllvd/demos/verify_start_end_handshape_annotations//test_auto_move//signs_mov_separ_signers/Naomi_100.mov" TargetMode="External"/><Relationship Id="rId1033" Type="http://schemas.openxmlformats.org/officeDocument/2006/relationships/hyperlink" Target="http://csr.bu.edu/ftp/asl/asllvd/demos/verify_start_end_handshape_annotations//test_auto_move//signs_mov_separ_signers/Brady_100.mov" TargetMode="External"/><Relationship Id="rId1034" Type="http://schemas.openxmlformats.org/officeDocument/2006/relationships/hyperlink" Target="http://secrets.rutgers.edu:8080/data/asl-ftp/asllvd/demos/verify_start_end_handshape_annotations//test_auto_move//signs_mov_separ_signers/Brady_100.mov" TargetMode="External"/><Relationship Id="rId1035" Type="http://schemas.openxmlformats.org/officeDocument/2006/relationships/hyperlink" Target="http://csr.bu.edu/ftp/asl/asllvd/demos/verify_start_end_handshape_annotations//test_auto_move//signs_mov_separ_signers/Lana_100.mov" TargetMode="External"/><Relationship Id="rId1036" Type="http://schemas.openxmlformats.org/officeDocument/2006/relationships/hyperlink" Target="http://secrets.rutgers.edu:8080/data/asl-ftp/asllvd/demos/verify_start_end_handshape_annotations//test_auto_move//signs_mov_separ_signers/Lana_100.mov" TargetMode="External"/><Relationship Id="rId1037" Type="http://schemas.openxmlformats.org/officeDocument/2006/relationships/hyperlink" Target="http://csr.bu.edu/ftp/asl/asllvd/demos/verify_start_end_handshape_annotations//test_auto_move//signs_mov_separ_signers/Dana_100.mov" TargetMode="External"/><Relationship Id="rId1038" Type="http://schemas.openxmlformats.org/officeDocument/2006/relationships/hyperlink" Target="http://secrets.rutgers.edu:8080/data/asl-ftp/asllvd/demos/verify_start_end_handshape_annotations//test_auto_move//signs_mov_separ_signers/Dana_100.mov" TargetMode="External"/><Relationship Id="rId1039" Type="http://schemas.openxmlformats.org/officeDocument/2006/relationships/hyperlink" Target="http://csr.bu.edu/ftp/asl/asllvd/demos/verify_start_end_handshape_annotations//test_auto_move//signs_mov_separ_signers/Liz_105.mov" TargetMode="External"/><Relationship Id="rId1040" Type="http://schemas.openxmlformats.org/officeDocument/2006/relationships/hyperlink" Target="http://secrets.rutgers.edu:8080/data/asl-ftp/asllvd/demos/verify_start_end_handshape_annotations//test_auto_move//signs_mov_separ_signers/Liz_105.mov" TargetMode="External"/><Relationship Id="rId1041" Type="http://schemas.openxmlformats.org/officeDocument/2006/relationships/hyperlink" Target="http://csr.bu.edu/ftp/asl/asllvd/demos/verify_start_end_handshape_annotations//test_auto_move//signs_mov/105.mov" TargetMode="External"/><Relationship Id="rId1042" Type="http://schemas.openxmlformats.org/officeDocument/2006/relationships/hyperlink" Target="http://csr.bu.edu/ftp/asl/asllvd/demos/verify_start_end_handshape_annotations//test_auto_move//signs_mov_separ_signers/Tyler_105.mov" TargetMode="External"/><Relationship Id="rId1043" Type="http://schemas.openxmlformats.org/officeDocument/2006/relationships/hyperlink" Target="http://secrets.rutgers.edu:8080/data/asl-ftp/asllvd/demos/verify_start_end_handshape_annotations//test_auto_move//signs_mov/105.mov" TargetMode="External"/><Relationship Id="rId1044" Type="http://schemas.openxmlformats.org/officeDocument/2006/relationships/hyperlink" Target="http://secrets.rutgers.edu:8080/data/asl-ftp/asllvd/demos/verify_start_end_handshape_annotations//test_auto_move//signs_mov_separ_signers/Tyler_105.mov" TargetMode="External"/><Relationship Id="rId1045" Type="http://schemas.openxmlformats.org/officeDocument/2006/relationships/hyperlink" Target="http://csr.bu.edu/ftp/asl/asllvd/demos/verify_start_end_handshape_annotations//test_auto_move//signs_mov_separ_signers/Naomi_105.mov" TargetMode="External"/><Relationship Id="rId1046" Type="http://schemas.openxmlformats.org/officeDocument/2006/relationships/hyperlink" Target="http://secrets.rutgers.edu:8080/data/asl-ftp/asllvd/demos/verify_start_end_handshape_annotations//test_auto_move//signs_mov_separ_signers/Naomi_105.mov" TargetMode="External"/><Relationship Id="rId1047" Type="http://schemas.openxmlformats.org/officeDocument/2006/relationships/hyperlink" Target="http://csr.bu.edu/ftp/asl/asllvd/demos/verify_start_end_handshape_annotations//test_auto_move//signs_mov_separ_signers/Brady_105.mov" TargetMode="External"/><Relationship Id="rId1048" Type="http://schemas.openxmlformats.org/officeDocument/2006/relationships/hyperlink" Target="http://secrets.rutgers.edu:8080/data/asl-ftp/asllvd/demos/verify_start_end_handshape_annotations//test_auto_move//signs_mov_separ_signers/Brady_105.mov" TargetMode="External"/><Relationship Id="rId1049" Type="http://schemas.openxmlformats.org/officeDocument/2006/relationships/hyperlink" Target="http://csr.bu.edu/ftp/asl/asllvd/demos/verify_start_end_handshape_annotations//test_auto_move//signs_mov_separ_signers/Liz_106.mov" TargetMode="External"/><Relationship Id="rId1050" Type="http://schemas.openxmlformats.org/officeDocument/2006/relationships/hyperlink" Target="http://secrets.rutgers.edu:8080/data/asl-ftp/asllvd/demos/verify_start_end_handshape_annotations//test_auto_move//signs_mov_separ_signers/Liz_106.mov" TargetMode="External"/><Relationship Id="rId1051" Type="http://schemas.openxmlformats.org/officeDocument/2006/relationships/hyperlink" Target="http://csr.bu.edu/ftp/asl/asllvd/demos/verify_start_end_handshape_annotations//test_auto_move//signs_mov_separ_signers/Tyler_106.mov" TargetMode="External"/><Relationship Id="rId1052" Type="http://schemas.openxmlformats.org/officeDocument/2006/relationships/hyperlink" Target="http://secrets.rutgers.edu:8080/data/asl-ftp/asllvd/demos/verify_start_end_handshape_annotations//test_auto_move//signs_mov_separ_signers/Tyler_106.mov" TargetMode="External"/><Relationship Id="rId1053" Type="http://schemas.openxmlformats.org/officeDocument/2006/relationships/hyperlink" Target="http://csr.bu.edu/ftp/asl/asllvd/demos/verify_start_end_handshape_annotations//test_auto_move//signs_mov/106.mov" TargetMode="External"/><Relationship Id="rId1054" Type="http://schemas.openxmlformats.org/officeDocument/2006/relationships/hyperlink" Target="http://csr.bu.edu/ftp/asl/asllvd/demos/verify_start_end_handshape_annotations//test_auto_move//signs_mov_separ_signers/Naomi_106.mov" TargetMode="External"/><Relationship Id="rId1055" Type="http://schemas.openxmlformats.org/officeDocument/2006/relationships/hyperlink" Target="http://secrets.rutgers.edu:8080/data/asl-ftp/asllvd/demos/verify_start_end_handshape_annotations//test_auto_move//signs_mov/106.mov" TargetMode="External"/><Relationship Id="rId1056" Type="http://schemas.openxmlformats.org/officeDocument/2006/relationships/hyperlink" Target="http://secrets.rutgers.edu:8080/data/asl-ftp/asllvd/demos/verify_start_end_handshape_annotations//test_auto_move//signs_mov_separ_signers/Naomi_106.mov" TargetMode="External"/><Relationship Id="rId1057" Type="http://schemas.openxmlformats.org/officeDocument/2006/relationships/hyperlink" Target="http://csr.bu.edu/ftp/asl/asllvd/demos/verify_start_end_handshape_annotations//test_auto_move//signs_mov_separ_signers/Brady_106.mov" TargetMode="External"/><Relationship Id="rId1058" Type="http://schemas.openxmlformats.org/officeDocument/2006/relationships/hyperlink" Target="http://secrets.rutgers.edu:8080/data/asl-ftp/asllvd/demos/verify_start_end_handshape_annotations//test_auto_move//signs_mov_separ_signers/Brady_106.mov" TargetMode="External"/><Relationship Id="rId1059" Type="http://schemas.openxmlformats.org/officeDocument/2006/relationships/hyperlink" Target="http://csr.bu.edu/ftp/asl/asllvd/demos/verify_start_end_handshape_annotations//test_auto_move//signs_mov_separ_signers/Dana_106.mov" TargetMode="External"/><Relationship Id="rId1060" Type="http://schemas.openxmlformats.org/officeDocument/2006/relationships/hyperlink" Target="http://secrets.rutgers.edu:8080/data/asl-ftp/asllvd/demos/verify_start_end_handshape_annotations//test_auto_move//signs_mov_separ_signers/Dana_106.mov" TargetMode="External"/><Relationship Id="rId1061" Type="http://schemas.openxmlformats.org/officeDocument/2006/relationships/hyperlink" Target="http://csr.bu.edu/ftp/asl/asllvd/demos/verify_start_end_handshape_annotations//test_auto_move//signs_mov/5532.mov" TargetMode="External"/><Relationship Id="rId1062" Type="http://schemas.openxmlformats.org/officeDocument/2006/relationships/hyperlink" Target="http://csr.bu.edu/ftp/asl/asllvd/demos/verify_start_end_handshape_annotations//test_auto_move//signs_mov_separ_signers/Lana_5532.mov" TargetMode="External"/><Relationship Id="rId1063" Type="http://schemas.openxmlformats.org/officeDocument/2006/relationships/hyperlink" Target="http://secrets.rutgers.edu:8080/data/asl-ftp/asllvd/demos/verify_start_end_handshape_annotations//test_auto_move//signs_mov/5532.mov" TargetMode="External"/><Relationship Id="rId1064" Type="http://schemas.openxmlformats.org/officeDocument/2006/relationships/hyperlink" Target="http://secrets.rutgers.edu:8080/data/asl-ftp/asllvd/demos/verify_start_end_handshape_annotations//test_auto_move//signs_mov_separ_signers/Lana_5532.mov" TargetMode="External"/><Relationship Id="rId1065" Type="http://schemas.openxmlformats.org/officeDocument/2006/relationships/hyperlink" Target="http://csr.bu.edu/ftp/asl/asllvd/demos/verify_start_end_handshape_annotations//test_auto_move//signs_mov_separ_signers/Liz_107.mov" TargetMode="External"/><Relationship Id="rId1066" Type="http://schemas.openxmlformats.org/officeDocument/2006/relationships/hyperlink" Target="http://secrets.rutgers.edu:8080/data/asl-ftp/asllvd/demos/verify_start_end_handshape_annotations//test_auto_move//signs_mov_separ_signers/Liz_107.mov" TargetMode="External"/><Relationship Id="rId1067" Type="http://schemas.openxmlformats.org/officeDocument/2006/relationships/hyperlink" Target="http://csr.bu.edu/ftp/asl/asllvd/demos/verify_start_end_handshape_annotations//test_auto_move//signs_mov_separ_signers/Liz_3324.mov" TargetMode="External"/><Relationship Id="rId1068" Type="http://schemas.openxmlformats.org/officeDocument/2006/relationships/hyperlink" Target="http://secrets.rutgers.edu:8080/data/asl-ftp/asllvd/demos/verify_start_end_handshape_annotations//test_auto_move//signs_mov_separ_signers/Liz_3324.mov" TargetMode="External"/><Relationship Id="rId1069" Type="http://schemas.openxmlformats.org/officeDocument/2006/relationships/hyperlink" Target="http://csr.bu.edu/ftp/asl/asllvd/demos/verify_start_end_handshape_annotations//test_auto_move//signs_mov/107_3324_merged.mov" TargetMode="External"/><Relationship Id="rId1070" Type="http://schemas.openxmlformats.org/officeDocument/2006/relationships/hyperlink" Target="http://csr.bu.edu/ftp/asl/asllvd/demos/verify_start_end_handshape_annotations//test_auto_move//signs_mov_separ_signers/Naomi_107.mov" TargetMode="External"/><Relationship Id="rId1071" Type="http://schemas.openxmlformats.org/officeDocument/2006/relationships/hyperlink" Target="http://secrets.rutgers.edu:8080/data/asl-ftp/asllvd/demos/verify_start_end_handshape_annotations//test_auto_move//signs_mov/107_3324_merged.mov" TargetMode="External"/><Relationship Id="rId1072" Type="http://schemas.openxmlformats.org/officeDocument/2006/relationships/hyperlink" Target="http://secrets.rutgers.edu:8080/data/asl-ftp/asllvd/demos/verify_start_end_handshape_annotations//test_auto_move//signs_mov_separ_signers/Naomi_107.mov" TargetMode="External"/><Relationship Id="rId1073" Type="http://schemas.openxmlformats.org/officeDocument/2006/relationships/hyperlink" Target="http://csr.bu.edu/ftp/asl/asllvd/demos/verify_start_end_handshape_annotations//test_auto_move//signs_mov_separ_signers/Naomi_3324.mov" TargetMode="External"/><Relationship Id="rId1074" Type="http://schemas.openxmlformats.org/officeDocument/2006/relationships/hyperlink" Target="http://secrets.rutgers.edu:8080/data/asl-ftp/asllvd/demos/verify_start_end_handshape_annotations//test_auto_move//signs_mov_separ_signers/Naomi_3324.mov" TargetMode="External"/><Relationship Id="rId1075" Type="http://schemas.openxmlformats.org/officeDocument/2006/relationships/hyperlink" Target="http://csr.bu.edu/ftp/asl/asllvd/demos/verify_start_end_handshape_annotations//test_auto_move//signs_mov_separ_signers/Brady_107.mov" TargetMode="External"/><Relationship Id="rId1076" Type="http://schemas.openxmlformats.org/officeDocument/2006/relationships/hyperlink" Target="http://secrets.rutgers.edu:8080/data/asl-ftp/asllvd/demos/verify_start_end_handshape_annotations//test_auto_move//signs_mov_separ_signers/Brady_107.mov" TargetMode="External"/><Relationship Id="rId1077" Type="http://schemas.openxmlformats.org/officeDocument/2006/relationships/hyperlink" Target="http://csr.bu.edu/ftp/asl/asllvd/demos/verify_start_end_handshape_annotations//test_auto_move//signs_mov_separ_signers/Brady_3324.mov" TargetMode="External"/><Relationship Id="rId1078" Type="http://schemas.openxmlformats.org/officeDocument/2006/relationships/hyperlink" Target="http://secrets.rutgers.edu:8080/data/asl-ftp/asllvd/demos/verify_start_end_handshape_annotations//test_auto_move//signs_mov_separ_signers/Brady_3324.mov" TargetMode="External"/><Relationship Id="rId1079" Type="http://schemas.openxmlformats.org/officeDocument/2006/relationships/hyperlink" Target="http://csr.bu.edu/ftp/asl/asllvd/demos/verify_start_end_handshape_annotations//test_auto_move//signs_mov_separ_signers/Liz_110.mov" TargetMode="External"/><Relationship Id="rId1080" Type="http://schemas.openxmlformats.org/officeDocument/2006/relationships/hyperlink" Target="http://secrets.rutgers.edu:8080/data/asl-ftp/asllvd/demos/verify_start_end_handshape_annotations//test_auto_move//signs_mov_separ_signers/Liz_110.mov" TargetMode="External"/><Relationship Id="rId1081" Type="http://schemas.openxmlformats.org/officeDocument/2006/relationships/hyperlink" Target="http://csr.bu.edu/ftp/asl/asllvd/demos/verify_start_end_handshape_annotations//test_auto_move//signs_mov/110.mov" TargetMode="External"/><Relationship Id="rId1082" Type="http://schemas.openxmlformats.org/officeDocument/2006/relationships/hyperlink" Target="http://csr.bu.edu/ftp/asl/asllvd/demos/verify_start_end_handshape_annotations//test_auto_move//signs_mov_separ_signers/Tyler_110.mov" TargetMode="External"/><Relationship Id="rId1083" Type="http://schemas.openxmlformats.org/officeDocument/2006/relationships/hyperlink" Target="http://secrets.rutgers.edu:8080/data/asl-ftp/asllvd/demos/verify_start_end_handshape_annotations//test_auto_move//signs_mov/110.mov" TargetMode="External"/><Relationship Id="rId1084" Type="http://schemas.openxmlformats.org/officeDocument/2006/relationships/hyperlink" Target="http://secrets.rutgers.edu:8080/data/asl-ftp/asllvd/demos/verify_start_end_handshape_annotations//test_auto_move//signs_mov_separ_signers/Tyler_110.mov" TargetMode="External"/><Relationship Id="rId1085" Type="http://schemas.openxmlformats.org/officeDocument/2006/relationships/hyperlink" Target="http://csr.bu.edu/ftp/asl/asllvd/demos/verify_start_end_handshape_annotations//test_auto_move//signs_mov_separ_signers/Naomi_110.mov" TargetMode="External"/><Relationship Id="rId1086" Type="http://schemas.openxmlformats.org/officeDocument/2006/relationships/hyperlink" Target="http://secrets.rutgers.edu:8080/data/asl-ftp/asllvd/demos/verify_start_end_handshape_annotations//test_auto_move//signs_mov_separ_signers/Naomi_110.mov" TargetMode="External"/><Relationship Id="rId1087" Type="http://schemas.openxmlformats.org/officeDocument/2006/relationships/hyperlink" Target="http://csr.bu.edu/ftp/asl/asllvd/demos/verify_start_end_handshape_annotations//test_auto_move//signs_mov_separ_signers/Brady_110.mov" TargetMode="External"/><Relationship Id="rId1088" Type="http://schemas.openxmlformats.org/officeDocument/2006/relationships/hyperlink" Target="http://secrets.rutgers.edu:8080/data/asl-ftp/asllvd/demos/verify_start_end_handshape_annotations//test_auto_move//signs_mov_separ_signers/Brady_110.mov" TargetMode="External"/><Relationship Id="rId1089" Type="http://schemas.openxmlformats.org/officeDocument/2006/relationships/hyperlink" Target="http://csr.bu.edu/ftp/asl/asllvd/demos/verify_start_end_handshape_annotations//test_auto_move//signs_mov_separ_signers/Liz_112.mov" TargetMode="External"/><Relationship Id="rId1090" Type="http://schemas.openxmlformats.org/officeDocument/2006/relationships/hyperlink" Target="http://secrets.rutgers.edu:8080/data/asl-ftp/asllvd/demos/verify_start_end_handshape_annotations//test_auto_move//signs_mov_separ_signers/Liz_112.mov" TargetMode="External"/><Relationship Id="rId1091" Type="http://schemas.openxmlformats.org/officeDocument/2006/relationships/hyperlink" Target="http://csr.bu.edu/ftp/asl/asllvd/demos/verify_start_end_handshape_annotations//test_auto_move//signs_mov_separ_signers/Tyler_112.mov" TargetMode="External"/><Relationship Id="rId1092" Type="http://schemas.openxmlformats.org/officeDocument/2006/relationships/hyperlink" Target="http://secrets.rutgers.edu:8080/data/asl-ftp/asllvd/demos/verify_start_end_handshape_annotations//test_auto_move//signs_mov_separ_signers/Tyler_112.mov" TargetMode="External"/><Relationship Id="rId1093" Type="http://schemas.openxmlformats.org/officeDocument/2006/relationships/hyperlink" Target="http://csr.bu.edu/ftp/asl/asllvd/demos/verify_start_end_handshape_annotations//test_auto_move//signs_mov_separ_signers/Tyler_3435.mov" TargetMode="External"/><Relationship Id="rId1094" Type="http://schemas.openxmlformats.org/officeDocument/2006/relationships/hyperlink" Target="http://secrets.rutgers.edu:8080/data/asl-ftp/asllvd/demos/verify_start_end_handshape_annotations//test_auto_move//signs_mov_separ_signers/Tyler_3435.mov" TargetMode="External"/><Relationship Id="rId1095" Type="http://schemas.openxmlformats.org/officeDocument/2006/relationships/hyperlink" Target="http://csr.bu.edu/ftp/asl/asllvd/demos/verify_start_end_handshape_annotations//test_auto_move//signs_mov/112_3435_merged.mov" TargetMode="External"/><Relationship Id="rId1096" Type="http://schemas.openxmlformats.org/officeDocument/2006/relationships/hyperlink" Target="http://csr.bu.edu/ftp/asl/asllvd/demos/verify_start_end_handshape_annotations//test_auto_move//signs_mov_separ_signers/Naomi_112.mov" TargetMode="External"/><Relationship Id="rId1097" Type="http://schemas.openxmlformats.org/officeDocument/2006/relationships/hyperlink" Target="http://secrets.rutgers.edu:8080/data/asl-ftp/asllvd/demos/verify_start_end_handshape_annotations//test_auto_move//signs_mov/112_3435_merged.mov" TargetMode="External"/><Relationship Id="rId1098" Type="http://schemas.openxmlformats.org/officeDocument/2006/relationships/hyperlink" Target="http://secrets.rutgers.edu:8080/data/asl-ftp/asllvd/demos/verify_start_end_handshape_annotations//test_auto_move//signs_mov_separ_signers/Naomi_112.mov" TargetMode="External"/><Relationship Id="rId1099" Type="http://schemas.openxmlformats.org/officeDocument/2006/relationships/hyperlink" Target="http://csr.bu.edu/ftp/asl/asllvd/demos/verify_start_end_handshape_annotations//test_auto_move//signs_mov_separ_signers/Naomi_3435.mov" TargetMode="External"/><Relationship Id="rId1100" Type="http://schemas.openxmlformats.org/officeDocument/2006/relationships/hyperlink" Target="http://secrets.rutgers.edu:8080/data/asl-ftp/asllvd/demos/verify_start_end_handshape_annotations//test_auto_move//signs_mov_separ_signers/Naomi_3435.mov" TargetMode="External"/><Relationship Id="rId1101" Type="http://schemas.openxmlformats.org/officeDocument/2006/relationships/hyperlink" Target="http://csr.bu.edu/ftp/asl/asllvd/demos/verify_start_end_handshape_annotations//test_auto_move//signs_mov_separ_signers/Brady_112.mov" TargetMode="External"/><Relationship Id="rId1102" Type="http://schemas.openxmlformats.org/officeDocument/2006/relationships/hyperlink" Target="http://secrets.rutgers.edu:8080/data/asl-ftp/asllvd/demos/verify_start_end_handshape_annotations//test_auto_move//signs_mov_separ_signers/Brady_112.mov" TargetMode="External"/><Relationship Id="rId1103" Type="http://schemas.openxmlformats.org/officeDocument/2006/relationships/hyperlink" Target="http://csr.bu.edu/ftp/asl/asllvd/demos/verify_start_end_handshape_annotations//test_auto_move//signs_mov_separ_signers/Lana_112.mov" TargetMode="External"/><Relationship Id="rId1104" Type="http://schemas.openxmlformats.org/officeDocument/2006/relationships/hyperlink" Target="http://secrets.rutgers.edu:8080/data/asl-ftp/asllvd/demos/verify_start_end_handshape_annotations//test_auto_move//signs_mov_separ_signers/Lana_112.mov" TargetMode="External"/><Relationship Id="rId1105" Type="http://schemas.openxmlformats.org/officeDocument/2006/relationships/hyperlink" Target="http://csr.bu.edu/ftp/asl/asllvd/demos/verify_start_end_handshape_annotations//test_auto_move//signs_mov_separ_signers/Dana_112.mov" TargetMode="External"/><Relationship Id="rId1106" Type="http://schemas.openxmlformats.org/officeDocument/2006/relationships/hyperlink" Target="http://secrets.rutgers.edu:8080/data/asl-ftp/asllvd/demos/verify_start_end_handshape_annotations//test_auto_move//signs_mov_separ_signers/Dana_112.mov" TargetMode="External"/><Relationship Id="rId1107" Type="http://schemas.openxmlformats.org/officeDocument/2006/relationships/hyperlink" Target="http://csr.bu.edu/ftp/asl/asllvd/demos/verify_start_end_handshape_annotations//test_auto_move//signs_mov/3442.mov" TargetMode="External"/><Relationship Id="rId1108" Type="http://schemas.openxmlformats.org/officeDocument/2006/relationships/hyperlink" Target="http://csr.bu.edu/ftp/asl/asllvd/demos/verify_start_end_handshape_annotations//test_auto_move//signs_mov_separ_signers/Liz_3442.mov" TargetMode="External"/><Relationship Id="rId1109" Type="http://schemas.openxmlformats.org/officeDocument/2006/relationships/hyperlink" Target="http://secrets.rutgers.edu:8080/data/asl-ftp/asllvd/demos/verify_start_end_handshape_annotations//test_auto_move//signs_mov/3442.mov" TargetMode="External"/><Relationship Id="rId1110" Type="http://schemas.openxmlformats.org/officeDocument/2006/relationships/hyperlink" Target="http://secrets.rutgers.edu:8080/data/asl-ftp/asllvd/demos/verify_start_end_handshape_annotations//test_auto_move//signs_mov_separ_signers/Liz_3442.mov" TargetMode="External"/><Relationship Id="rId1111" Type="http://schemas.openxmlformats.org/officeDocument/2006/relationships/hyperlink" Target="http://csr.bu.edu/ftp/asl/asllvd/demos/verify_start_end_handshape_annotations//test_auto_move//signs_mov/5091.mov" TargetMode="External"/><Relationship Id="rId1112" Type="http://schemas.openxmlformats.org/officeDocument/2006/relationships/hyperlink" Target="http://csr.bu.edu/ftp/asl/asllvd/demos/verify_start_end_handshape_annotations//test_auto_move//signs_mov_separ_signers/Liz_5091.mov" TargetMode="External"/><Relationship Id="rId1113" Type="http://schemas.openxmlformats.org/officeDocument/2006/relationships/hyperlink" Target="http://secrets.rutgers.edu:8080/data/asl-ftp/asllvd/demos/verify_start_end_handshape_annotations//test_auto_move//signs_mov/5091.mov" TargetMode="External"/><Relationship Id="rId1114" Type="http://schemas.openxmlformats.org/officeDocument/2006/relationships/hyperlink" Target="http://secrets.rutgers.edu:8080/data/asl-ftp/asllvd/demos/verify_start_end_handshape_annotations//test_auto_move//signs_mov_separ_signers/Liz_5091.mov" TargetMode="External"/><Relationship Id="rId1115" Type="http://schemas.openxmlformats.org/officeDocument/2006/relationships/hyperlink" Target="http://csr.bu.edu/ftp/asl/asllvd/demos/verify_start_end_handshape_annotations//test_auto_move//signs_mov_separ_signers/Brady_5091.mov" TargetMode="External"/><Relationship Id="rId1116" Type="http://schemas.openxmlformats.org/officeDocument/2006/relationships/hyperlink" Target="http://secrets.rutgers.edu:8080/data/asl-ftp/asllvd/demos/verify_start_end_handshape_annotations//test_auto_move//signs_mov_separ_signers/Brady_5091.mov" TargetMode="External"/><Relationship Id="rId1117" Type="http://schemas.openxmlformats.org/officeDocument/2006/relationships/hyperlink" Target="http://csr.bu.edu/ftp/asl/asllvd/demos/verify_start_end_handshape_annotations//test_auto_move//signs_mov/15683.mov" TargetMode="External"/><Relationship Id="rId1118" Type="http://schemas.openxmlformats.org/officeDocument/2006/relationships/hyperlink" Target="http://csr.bu.edu/ftp/asl/asllvd/demos/verify_start_end_handshape_annotations//test_auto_move//signs_mov_separ_signers/Tyler_15683.mov" TargetMode="External"/><Relationship Id="rId1119" Type="http://schemas.openxmlformats.org/officeDocument/2006/relationships/hyperlink" Target="http://secrets.rutgers.edu:8080/data/asl-ftp/asllvd/demos/verify_start_end_handshape_annotations//test_auto_move//signs_mov/15683.mov" TargetMode="External"/><Relationship Id="rId1120" Type="http://schemas.openxmlformats.org/officeDocument/2006/relationships/hyperlink" Target="http://secrets.rutgers.edu:8080/data/asl-ftp/asllvd/demos/verify_start_end_handshape_annotations//test_auto_move//signs_mov_separ_signers/Tyler_15683.mov" TargetMode="External"/><Relationship Id="rId1121" Type="http://schemas.openxmlformats.org/officeDocument/2006/relationships/hyperlink" Target="http://csr.bu.edu/ftp/asl/asllvd/demos/verify_start_end_handshape_annotations//test_auto_move//signs_mov_separ_signers/Brady_15683.mov" TargetMode="External"/><Relationship Id="rId1122" Type="http://schemas.openxmlformats.org/officeDocument/2006/relationships/hyperlink" Target="http://secrets.rutgers.edu:8080/data/asl-ftp/asllvd/demos/verify_start_end_handshape_annotations//test_auto_move//signs_mov_separ_signers/Brady_15683.mov" TargetMode="External"/><Relationship Id="rId1123" Type="http://schemas.openxmlformats.org/officeDocument/2006/relationships/hyperlink" Target="http://csr.bu.edu/ftp/asl/asllvd/demos/verify_start_end_handshape_annotations//test_auto_move//signs_mov_separ_signers/Liz_15684.mov" TargetMode="External"/><Relationship Id="rId1124" Type="http://schemas.openxmlformats.org/officeDocument/2006/relationships/hyperlink" Target="http://secrets.rutgers.edu:8080/data/asl-ftp/asllvd/demos/verify_start_end_handshape_annotations//test_auto_move//signs_mov_separ_signers/Liz_15684.mov" TargetMode="External"/><Relationship Id="rId1125" Type="http://schemas.openxmlformats.org/officeDocument/2006/relationships/hyperlink" Target="http://csr.bu.edu/ftp/asl/asllvd/demos/verify_start_end_handshape_annotations//test_auto_move//signs_mov/15684.mov" TargetMode="External"/><Relationship Id="rId1126" Type="http://schemas.openxmlformats.org/officeDocument/2006/relationships/hyperlink" Target="http://csr.bu.edu/ftp/asl/asllvd/demos/verify_start_end_handshape_annotations//test_auto_move//signs_mov_separ_signers/Naomi_15684.mov" TargetMode="External"/><Relationship Id="rId1127" Type="http://schemas.openxmlformats.org/officeDocument/2006/relationships/hyperlink" Target="http://secrets.rutgers.edu:8080/data/asl-ftp/asllvd/demos/verify_start_end_handshape_annotations//test_auto_move//signs_mov/15684.mov" TargetMode="External"/><Relationship Id="rId1128" Type="http://schemas.openxmlformats.org/officeDocument/2006/relationships/hyperlink" Target="http://secrets.rutgers.edu:8080/data/asl-ftp/asllvd/demos/verify_start_end_handshape_annotations//test_auto_move//signs_mov_separ_signers/Naomi_15684.mov" TargetMode="External"/><Relationship Id="rId1129" Type="http://schemas.openxmlformats.org/officeDocument/2006/relationships/hyperlink" Target="http://csr.bu.edu/ftp/asl/asllvd/demos/verify_start_end_handshape_annotations//test_auto_move//signs_mov_separ_signers/Brady_15684.mov" TargetMode="External"/><Relationship Id="rId1130" Type="http://schemas.openxmlformats.org/officeDocument/2006/relationships/hyperlink" Target="http://secrets.rutgers.edu:8080/data/asl-ftp/asllvd/demos/verify_start_end_handshape_annotations//test_auto_move//signs_mov_separ_signers/Brady_15684.mov" TargetMode="External"/><Relationship Id="rId1131" Type="http://schemas.openxmlformats.org/officeDocument/2006/relationships/hyperlink" Target="http://csr.bu.edu/ftp/asl/asllvd/demos/verify_start_end_handshape_annotations//test_auto_move//signs_mov/15685.mov" TargetMode="External"/><Relationship Id="rId1132" Type="http://schemas.openxmlformats.org/officeDocument/2006/relationships/hyperlink" Target="http://csr.bu.edu/ftp/asl/asllvd/demos/verify_start_end_handshape_annotations//test_auto_move//signs_mov_separ_signers/Naomi_15685.mov" TargetMode="External"/><Relationship Id="rId1133" Type="http://schemas.openxmlformats.org/officeDocument/2006/relationships/hyperlink" Target="http://secrets.rutgers.edu:8080/data/asl-ftp/asllvd/demos/verify_start_end_handshape_annotations//test_auto_move//signs_mov/15685.mov" TargetMode="External"/><Relationship Id="rId1134" Type="http://schemas.openxmlformats.org/officeDocument/2006/relationships/hyperlink" Target="http://secrets.rutgers.edu:8080/data/asl-ftp/asllvd/demos/verify_start_end_handshape_annotations//test_auto_move//signs_mov_separ_signers/Naomi_15685.mov" TargetMode="External"/><Relationship Id="rId1135" Type="http://schemas.openxmlformats.org/officeDocument/2006/relationships/hyperlink" Target="http://csr.bu.edu/ftp/asl/asllvd/demos/verify_start_end_handshape_annotations//test_auto_move//signs_mov_separ_signers/Liz_116.mov" TargetMode="External"/><Relationship Id="rId1136" Type="http://schemas.openxmlformats.org/officeDocument/2006/relationships/hyperlink" Target="http://secrets.rutgers.edu:8080/data/asl-ftp/asllvd/demos/verify_start_end_handshape_annotations//test_auto_move//signs_mov_separ_signers/Liz_116.mov" TargetMode="External"/><Relationship Id="rId1137" Type="http://schemas.openxmlformats.org/officeDocument/2006/relationships/hyperlink" Target="http://csr.bu.edu/ftp/asl/asllvd/demos/verify_start_end_handshape_annotations//test_auto_move//signs_mov_separ_signers/Tyler_116.mov" TargetMode="External"/><Relationship Id="rId1138" Type="http://schemas.openxmlformats.org/officeDocument/2006/relationships/hyperlink" Target="http://secrets.rutgers.edu:8080/data/asl-ftp/asllvd/demos/verify_start_end_handshape_annotations//test_auto_move//signs_mov_separ_signers/Tyler_116.mov" TargetMode="External"/><Relationship Id="rId1139" Type="http://schemas.openxmlformats.org/officeDocument/2006/relationships/hyperlink" Target="http://csr.bu.edu/ftp/asl/asllvd/demos/verify_start_end_handshape_annotations//test_auto_move//signs_mov_separ_signers/Naomi_116.mov" TargetMode="External"/><Relationship Id="rId1140" Type="http://schemas.openxmlformats.org/officeDocument/2006/relationships/hyperlink" Target="http://secrets.rutgers.edu:8080/data/asl-ftp/asllvd/demos/verify_start_end_handshape_annotations//test_auto_move//signs_mov_separ_signers/Naomi_116.mov" TargetMode="External"/><Relationship Id="rId1141" Type="http://schemas.openxmlformats.org/officeDocument/2006/relationships/hyperlink" Target="http://csr.bu.edu/ftp/asl/asllvd/demos/verify_start_end_handshape_annotations//test_auto_move//signs_mov/116_5899_merged.mov" TargetMode="External"/><Relationship Id="rId1142" Type="http://schemas.openxmlformats.org/officeDocument/2006/relationships/hyperlink" Target="http://csr.bu.edu/ftp/asl/asllvd/demos/verify_start_end_handshape_annotations//test_auto_move//signs_mov_separ_signers/Brady_116.mov" TargetMode="External"/><Relationship Id="rId1143" Type="http://schemas.openxmlformats.org/officeDocument/2006/relationships/hyperlink" Target="http://secrets.rutgers.edu:8080/data/asl-ftp/asllvd/demos/verify_start_end_handshape_annotations//test_auto_move//signs_mov/116_5899_merged.mov" TargetMode="External"/><Relationship Id="rId1144" Type="http://schemas.openxmlformats.org/officeDocument/2006/relationships/hyperlink" Target="http://secrets.rutgers.edu:8080/data/asl-ftp/asllvd/demos/verify_start_end_handshape_annotations//test_auto_move//signs_mov_separ_signers/Brady_116.mov" TargetMode="External"/><Relationship Id="rId1145" Type="http://schemas.openxmlformats.org/officeDocument/2006/relationships/hyperlink" Target="http://csr.bu.edu/ftp/asl/asllvd/demos/verify_start_end_handshape_annotations//test_auto_move//signs_mov_separ_signers/Brady_5899.mov" TargetMode="External"/><Relationship Id="rId1146" Type="http://schemas.openxmlformats.org/officeDocument/2006/relationships/hyperlink" Target="http://secrets.rutgers.edu:8080/data/asl-ftp/asllvd/demos/verify_start_end_handshape_annotations//test_auto_move//signs_mov_separ_signers/Brady_5899.mov" TargetMode="External"/><Relationship Id="rId1147" Type="http://schemas.openxmlformats.org/officeDocument/2006/relationships/hyperlink" Target="http://csr.bu.edu/ftp/asl/asllvd/demos/verify_start_end_handshape_annotations//test_auto_move//signs_mov_separ_signers/Lana_116.mov" TargetMode="External"/><Relationship Id="rId1148" Type="http://schemas.openxmlformats.org/officeDocument/2006/relationships/hyperlink" Target="http://secrets.rutgers.edu:8080/data/asl-ftp/asllvd/demos/verify_start_end_handshape_annotations//test_auto_move//signs_mov_separ_signers/Lana_116.mov" TargetMode="External"/><Relationship Id="rId1149" Type="http://schemas.openxmlformats.org/officeDocument/2006/relationships/hyperlink" Target="http://csr.bu.edu/ftp/asl/asllvd/demos/verify_start_end_handshape_annotations//test_auto_move//signs_mov_separ_signers/Dana_116.mov" TargetMode="External"/><Relationship Id="rId1150" Type="http://schemas.openxmlformats.org/officeDocument/2006/relationships/hyperlink" Target="http://secrets.rutgers.edu:8080/data/asl-ftp/asllvd/demos/verify_start_end_handshape_annotations//test_auto_move//signs_mov_separ_signers/Dana_116.mov" TargetMode="External"/><Relationship Id="rId1151" Type="http://schemas.openxmlformats.org/officeDocument/2006/relationships/hyperlink" Target="http://csr.bu.edu/ftp/asl/asllvd/demos/verify_start_end_handshape_annotations//test_auto_move//signs_mov/117.mov" TargetMode="External"/><Relationship Id="rId1152" Type="http://schemas.openxmlformats.org/officeDocument/2006/relationships/hyperlink" Target="http://csr.bu.edu/ftp/asl/asllvd/demos/verify_start_end_handshape_annotations//test_auto_move//signs_mov_separ_signers/Tyler_117.mov" TargetMode="External"/><Relationship Id="rId1153" Type="http://schemas.openxmlformats.org/officeDocument/2006/relationships/hyperlink" Target="http://secrets.rutgers.edu:8080/data/asl-ftp/asllvd/demos/verify_start_end_handshape_annotations//test_auto_move//signs_mov/117.mov" TargetMode="External"/><Relationship Id="rId1154" Type="http://schemas.openxmlformats.org/officeDocument/2006/relationships/hyperlink" Target="http://secrets.rutgers.edu:8080/data/asl-ftp/asllvd/demos/verify_start_end_handshape_annotations//test_auto_move//signs_mov_separ_signers/Tyler_117.mov" TargetMode="External"/><Relationship Id="rId1155" Type="http://schemas.openxmlformats.org/officeDocument/2006/relationships/hyperlink" Target="http://csr.bu.edu/ftp/asl/asllvd/demos/verify_start_end_handshape_annotations//test_auto_move//signs_mov_separ_signers/Naomi_117.mov" TargetMode="External"/><Relationship Id="rId1156" Type="http://schemas.openxmlformats.org/officeDocument/2006/relationships/hyperlink" Target="http://secrets.rutgers.edu:8080/data/asl-ftp/asllvd/demos/verify_start_end_handshape_annotations//test_auto_move//signs_mov_separ_signers/Naomi_117.mov" TargetMode="External"/><Relationship Id="rId1157" Type="http://schemas.openxmlformats.org/officeDocument/2006/relationships/hyperlink" Target="http://csr.bu.edu/ftp/asl/asllvd/demos/verify_start_end_handshape_annotations//test_auto_move//signs_mov/5092.mov" TargetMode="External"/><Relationship Id="rId1158" Type="http://schemas.openxmlformats.org/officeDocument/2006/relationships/hyperlink" Target="http://csr.bu.edu/ftp/asl/asllvd/demos/verify_start_end_handshape_annotations//test_auto_move//signs_mov_separ_signers/Liz_5092.mov" TargetMode="External"/><Relationship Id="rId1159" Type="http://schemas.openxmlformats.org/officeDocument/2006/relationships/hyperlink" Target="http://secrets.rutgers.edu:8080/data/asl-ftp/asllvd/demos/verify_start_end_handshape_annotations//test_auto_move//signs_mov/5092.mov" TargetMode="External"/><Relationship Id="rId1160" Type="http://schemas.openxmlformats.org/officeDocument/2006/relationships/hyperlink" Target="http://secrets.rutgers.edu:8080/data/asl-ftp/asllvd/demos/verify_start_end_handshape_annotations//test_auto_move//signs_mov_separ_signers/Liz_5092.mov" TargetMode="External"/><Relationship Id="rId1161" Type="http://schemas.openxmlformats.org/officeDocument/2006/relationships/hyperlink" Target="http://csr.bu.edu/ftp/asl/asllvd/demos/verify_start_end_handshape_annotations//test_auto_move//signs_mov_separ_signers/Brady_5092.mov" TargetMode="External"/><Relationship Id="rId1162" Type="http://schemas.openxmlformats.org/officeDocument/2006/relationships/hyperlink" Target="http://secrets.rutgers.edu:8080/data/asl-ftp/asllvd/demos/verify_start_end_handshape_annotations//test_auto_move//signs_mov_separ_signers/Brady_5092.mov" TargetMode="External"/><Relationship Id="rId1163" Type="http://schemas.openxmlformats.org/officeDocument/2006/relationships/hyperlink" Target="http://csr.bu.edu/ftp/asl/asllvd/demos/verify_start_end_handshape_annotations//test_auto_move//signs_mov/16149.mov" TargetMode="External"/><Relationship Id="rId1164" Type="http://schemas.openxmlformats.org/officeDocument/2006/relationships/hyperlink" Target="http://csr.bu.edu/ftp/asl/asllvd/demos/verify_start_end_handshape_annotations//test_auto_move//signs_mov_separ_signers/Liz_16149.mov" TargetMode="External"/><Relationship Id="rId1165" Type="http://schemas.openxmlformats.org/officeDocument/2006/relationships/hyperlink" Target="http://secrets.rutgers.edu:8080/data/asl-ftp/asllvd/demos/verify_start_end_handshape_annotations//test_auto_move//signs_mov/16149.mov" TargetMode="External"/><Relationship Id="rId1166" Type="http://schemas.openxmlformats.org/officeDocument/2006/relationships/hyperlink" Target="http://secrets.rutgers.edu:8080/data/asl-ftp/asllvd/demos/verify_start_end_handshape_annotations//test_auto_move//signs_mov_separ_signers/Liz_16149.mov" TargetMode="External"/><Relationship Id="rId1167" Type="http://schemas.openxmlformats.org/officeDocument/2006/relationships/hyperlink" Target="http://csr.bu.edu/ftp/asl/asllvd/demos/verify_start_end_handshape_annotations//test_auto_move//signs_mov/16237.mov" TargetMode="External"/><Relationship Id="rId1168" Type="http://schemas.openxmlformats.org/officeDocument/2006/relationships/hyperlink" Target="http://csr.bu.edu/ftp/asl/asllvd/demos/verify_start_end_handshape_annotations//test_auto_move//signs_mov_separ_signers/Brady_16237.mov" TargetMode="External"/><Relationship Id="rId1169" Type="http://schemas.openxmlformats.org/officeDocument/2006/relationships/hyperlink" Target="http://secrets.rutgers.edu:8080/data/asl-ftp/asllvd/demos/verify_start_end_handshape_annotations//test_auto_move//signs_mov/16237.mov" TargetMode="External"/><Relationship Id="rId1170" Type="http://schemas.openxmlformats.org/officeDocument/2006/relationships/hyperlink" Target="http://secrets.rutgers.edu:8080/data/asl-ftp/asllvd/demos/verify_start_end_handshape_annotations//test_auto_move//signs_mov_separ_signers/Brady_16237.mov" TargetMode="External"/><Relationship Id="rId1171" Type="http://schemas.openxmlformats.org/officeDocument/2006/relationships/hyperlink" Target="http://csr.bu.edu/ftp/asl/asllvd/demos/verify_start_end_handshape_annotations//test_auto_move//signs_mov/120.mov" TargetMode="External"/><Relationship Id="rId1172" Type="http://schemas.openxmlformats.org/officeDocument/2006/relationships/hyperlink" Target="http://csr.bu.edu/ftp/asl/asllvd/demos/verify_start_end_handshape_annotations//test_auto_move//signs_mov_separ_signers/Naomi_120.mov" TargetMode="External"/><Relationship Id="rId1173" Type="http://schemas.openxmlformats.org/officeDocument/2006/relationships/hyperlink" Target="http://secrets.rutgers.edu:8080/data/asl-ftp/asllvd/demos/verify_start_end_handshape_annotations//test_auto_move//signs_mov/120.mov" TargetMode="External"/><Relationship Id="rId1174" Type="http://schemas.openxmlformats.org/officeDocument/2006/relationships/hyperlink" Target="http://secrets.rutgers.edu:8080/data/asl-ftp/asllvd/demos/verify_start_end_handshape_annotations//test_auto_move//signs_mov_separ_signers/Naomi_120.mov" TargetMode="External"/><Relationship Id="rId1175" Type="http://schemas.openxmlformats.org/officeDocument/2006/relationships/hyperlink" Target="http://csr.bu.edu/ftp/asl/asllvd/demos/verify_start_end_handshape_annotations//test_auto_move//signs_mov/5387.mov" TargetMode="External"/><Relationship Id="rId1176" Type="http://schemas.openxmlformats.org/officeDocument/2006/relationships/hyperlink" Target="http://csr.bu.edu/ftp/asl/asllvd/demos/verify_start_end_handshape_annotations//test_auto_move//signs_mov_separ_signers/Liz_5387.mov" TargetMode="External"/><Relationship Id="rId1177" Type="http://schemas.openxmlformats.org/officeDocument/2006/relationships/hyperlink" Target="http://secrets.rutgers.edu:8080/data/asl-ftp/asllvd/demos/verify_start_end_handshape_annotations//test_auto_move//signs_mov/5387.mov" TargetMode="External"/><Relationship Id="rId1178" Type="http://schemas.openxmlformats.org/officeDocument/2006/relationships/hyperlink" Target="http://secrets.rutgers.edu:8080/data/asl-ftp/asllvd/demos/verify_start_end_handshape_annotations//test_auto_move//signs_mov_separ_signers/Liz_5387.mov" TargetMode="External"/><Relationship Id="rId1179" Type="http://schemas.openxmlformats.org/officeDocument/2006/relationships/hyperlink" Target="http://csr.bu.edu/ftp/asl/asllvd/demos/verify_start_end_handshape_annotations//test_auto_move//signs_mov/5388.mov" TargetMode="External"/><Relationship Id="rId1180" Type="http://schemas.openxmlformats.org/officeDocument/2006/relationships/hyperlink" Target="http://csr.bu.edu/ftp/asl/asllvd/demos/verify_start_end_handshape_annotations//test_auto_move//signs_mov_separ_signers/Brady_5388.mov" TargetMode="External"/><Relationship Id="rId1181" Type="http://schemas.openxmlformats.org/officeDocument/2006/relationships/hyperlink" Target="http://secrets.rutgers.edu:8080/data/asl-ftp/asllvd/demos/verify_start_end_handshape_annotations//test_auto_move//signs_mov/5388.mov" TargetMode="External"/><Relationship Id="rId1182" Type="http://schemas.openxmlformats.org/officeDocument/2006/relationships/hyperlink" Target="http://secrets.rutgers.edu:8080/data/asl-ftp/asllvd/demos/verify_start_end_handshape_annotations//test_auto_move//signs_mov_separ_signers/Brady_5388.mov" TargetMode="External"/><Relationship Id="rId1183" Type="http://schemas.openxmlformats.org/officeDocument/2006/relationships/hyperlink" Target="http://csr.bu.edu/ftp/asl/asllvd/demos/verify_start_end_handshape_annotations//test_auto_move//signs_mov/5389.mov" TargetMode="External"/><Relationship Id="rId1184" Type="http://schemas.openxmlformats.org/officeDocument/2006/relationships/hyperlink" Target="http://csr.bu.edu/ftp/asl/asllvd/demos/verify_start_end_handshape_annotations//test_auto_move//signs_mov_separ_signers/Tyler_5389.mov" TargetMode="External"/><Relationship Id="rId1185" Type="http://schemas.openxmlformats.org/officeDocument/2006/relationships/hyperlink" Target="http://secrets.rutgers.edu:8080/data/asl-ftp/asllvd/demos/verify_start_end_handshape_annotations//test_auto_move//signs_mov/5389.mov" TargetMode="External"/><Relationship Id="rId1186" Type="http://schemas.openxmlformats.org/officeDocument/2006/relationships/hyperlink" Target="http://secrets.rutgers.edu:8080/data/asl-ftp/asllvd/demos/verify_start_end_handshape_annotations//test_auto_move//signs_mov_separ_signers/Tyler_5389.mov" TargetMode="External"/><Relationship Id="rId1187" Type="http://schemas.openxmlformats.org/officeDocument/2006/relationships/hyperlink" Target="http://csr.bu.edu/ftp/asl/asllvd/demos/verify_start_end_handshape_annotations//test_auto_move//signs_mov_separ_signers/Liz_122.mov" TargetMode="External"/><Relationship Id="rId1188" Type="http://schemas.openxmlformats.org/officeDocument/2006/relationships/hyperlink" Target="http://secrets.rutgers.edu:8080/data/asl-ftp/asllvd/demos/verify_start_end_handshape_annotations//test_auto_move//signs_mov_separ_signers/Liz_122.mov" TargetMode="External"/><Relationship Id="rId1189" Type="http://schemas.openxmlformats.org/officeDocument/2006/relationships/hyperlink" Target="http://csr.bu.edu/ftp/asl/asllvd/demos/verify_start_end_handshape_annotations//test_auto_move//signs_mov_separ_signers/Liz_3650.mov" TargetMode="External"/><Relationship Id="rId1190" Type="http://schemas.openxmlformats.org/officeDocument/2006/relationships/hyperlink" Target="http://secrets.rutgers.edu:8080/data/asl-ftp/asllvd/demos/verify_start_end_handshape_annotations//test_auto_move//signs_mov_separ_signers/Liz_3650.mov" TargetMode="External"/><Relationship Id="rId1191" Type="http://schemas.openxmlformats.org/officeDocument/2006/relationships/hyperlink" Target="http://csr.bu.edu/ftp/asl/asllvd/demos/verify_start_end_handshape_annotations//test_auto_move//signs_mov_separ_signers/Liz_3651.mov" TargetMode="External"/><Relationship Id="rId1192" Type="http://schemas.openxmlformats.org/officeDocument/2006/relationships/hyperlink" Target="http://secrets.rutgers.edu:8080/data/asl-ftp/asllvd/demos/verify_start_end_handshape_annotations//test_auto_move//signs_mov_separ_signers/Liz_3651.mov" TargetMode="External"/><Relationship Id="rId1193" Type="http://schemas.openxmlformats.org/officeDocument/2006/relationships/hyperlink" Target="http://csr.bu.edu/ftp/asl/asllvd/demos/verify_start_end_handshape_annotations//test_auto_move//signs_mov_separ_signers/Tyler_122.mov" TargetMode="External"/><Relationship Id="rId1194" Type="http://schemas.openxmlformats.org/officeDocument/2006/relationships/hyperlink" Target="http://secrets.rutgers.edu:8080/data/asl-ftp/asllvd/demos/verify_start_end_handshape_annotations//test_auto_move//signs_mov_separ_signers/Tyler_122.mov" TargetMode="External"/><Relationship Id="rId1195" Type="http://schemas.openxmlformats.org/officeDocument/2006/relationships/hyperlink" Target="http://csr.bu.edu/ftp/asl/asllvd/demos/verify_start_end_handshape_annotations//test_auto_move//signs_mov_separ_signers/Tyler_3650.mov" TargetMode="External"/><Relationship Id="rId1196" Type="http://schemas.openxmlformats.org/officeDocument/2006/relationships/hyperlink" Target="http://secrets.rutgers.edu:8080/data/asl-ftp/asllvd/demos/verify_start_end_handshape_annotations//test_auto_move//signs_mov_separ_signers/Tyler_3650.mov" TargetMode="External"/><Relationship Id="rId1197" Type="http://schemas.openxmlformats.org/officeDocument/2006/relationships/hyperlink" Target="http://csr.bu.edu/ftp/asl/asllvd/demos/verify_start_end_handshape_annotations//test_auto_move//signs_mov/122_3650_3651_merged.mov" TargetMode="External"/><Relationship Id="rId1198" Type="http://schemas.openxmlformats.org/officeDocument/2006/relationships/hyperlink" Target="http://csr.bu.edu/ftp/asl/asllvd/demos/verify_start_end_handshape_annotations//test_auto_move//signs_mov_separ_signers/Tyler_3651.mov" TargetMode="External"/><Relationship Id="rId1199" Type="http://schemas.openxmlformats.org/officeDocument/2006/relationships/hyperlink" Target="http://secrets.rutgers.edu:8080/data/asl-ftp/asllvd/demos/verify_start_end_handshape_annotations//test_auto_move//signs_mov/122_3650_3651_merged.mov" TargetMode="External"/><Relationship Id="rId1200" Type="http://schemas.openxmlformats.org/officeDocument/2006/relationships/hyperlink" Target="http://secrets.rutgers.edu:8080/data/asl-ftp/asllvd/demos/verify_start_end_handshape_annotations//test_auto_move//signs_mov_separ_signers/Tyler_3651.mov" TargetMode="External"/><Relationship Id="rId1201" Type="http://schemas.openxmlformats.org/officeDocument/2006/relationships/hyperlink" Target="http://csr.bu.edu/ftp/asl/asllvd/demos/verify_start_end_handshape_annotations//test_auto_move//signs_mov_separ_signers/Naomi_122.mov" TargetMode="External"/><Relationship Id="rId1202" Type="http://schemas.openxmlformats.org/officeDocument/2006/relationships/hyperlink" Target="http://secrets.rutgers.edu:8080/data/asl-ftp/asllvd/demos/verify_start_end_handshape_annotations//test_auto_move//signs_mov_separ_signers/Naomi_122.mov" TargetMode="External"/><Relationship Id="rId1203" Type="http://schemas.openxmlformats.org/officeDocument/2006/relationships/hyperlink" Target="http://csr.bu.edu/ftp/asl/asllvd/demos/verify_start_end_handshape_annotations//test_auto_move//signs_mov_separ_signers/Naomi_3650.mov" TargetMode="External"/><Relationship Id="rId1204" Type="http://schemas.openxmlformats.org/officeDocument/2006/relationships/hyperlink" Target="http://secrets.rutgers.edu:8080/data/asl-ftp/asllvd/demos/verify_start_end_handshape_annotations//test_auto_move//signs_mov_separ_signers/Naomi_3650.mov" TargetMode="External"/><Relationship Id="rId1205" Type="http://schemas.openxmlformats.org/officeDocument/2006/relationships/hyperlink" Target="http://csr.bu.edu/ftp/asl/asllvd/demos/verify_start_end_handshape_annotations//test_auto_move//signs_mov_separ_signers/Naomi_3651.mov" TargetMode="External"/><Relationship Id="rId1206" Type="http://schemas.openxmlformats.org/officeDocument/2006/relationships/hyperlink" Target="http://secrets.rutgers.edu:8080/data/asl-ftp/asllvd/demos/verify_start_end_handshape_annotations//test_auto_move//signs_mov_separ_signers/Naomi_3651.mov" TargetMode="External"/><Relationship Id="rId1207" Type="http://schemas.openxmlformats.org/officeDocument/2006/relationships/hyperlink" Target="http://csr.bu.edu/ftp/asl/asllvd/demos/verify_start_end_handshape_annotations//test_auto_move//signs_mov_separ_signers/Brady_122.mov" TargetMode="External"/><Relationship Id="rId1208" Type="http://schemas.openxmlformats.org/officeDocument/2006/relationships/hyperlink" Target="http://secrets.rutgers.edu:8080/data/asl-ftp/asllvd/demos/verify_start_end_handshape_annotations//test_auto_move//signs_mov_separ_signers/Brady_122.mov" TargetMode="External"/><Relationship Id="rId1209" Type="http://schemas.openxmlformats.org/officeDocument/2006/relationships/hyperlink" Target="http://csr.bu.edu/ftp/asl/asllvd/demos/verify_start_end_handshape_annotations//test_auto_move//signs_mov_separ_signers/Brady_3650.mov" TargetMode="External"/><Relationship Id="rId1210" Type="http://schemas.openxmlformats.org/officeDocument/2006/relationships/hyperlink" Target="http://secrets.rutgers.edu:8080/data/asl-ftp/asllvd/demos/verify_start_end_handshape_annotations//test_auto_move//signs_mov_separ_signers/Brady_3650.mov" TargetMode="External"/><Relationship Id="rId1211" Type="http://schemas.openxmlformats.org/officeDocument/2006/relationships/hyperlink" Target="http://csr.bu.edu/ftp/asl/asllvd/demos/verify_start_end_handshape_annotations//test_auto_move//signs_mov_separ_signers/Brady_3651.mov" TargetMode="External"/><Relationship Id="rId1212" Type="http://schemas.openxmlformats.org/officeDocument/2006/relationships/hyperlink" Target="http://secrets.rutgers.edu:8080/data/asl-ftp/asllvd/demos/verify_start_end_handshape_annotations//test_auto_move//signs_mov_separ_signers/Brady_3651.mov" TargetMode="External"/><Relationship Id="rId1213" Type="http://schemas.openxmlformats.org/officeDocument/2006/relationships/hyperlink" Target="http://csr.bu.edu/ftp/asl/asllvd/demos/verify_start_end_handshape_annotations//test_auto_move//signs_mov_separ_signers/Liz_124.mov" TargetMode="External"/><Relationship Id="rId1214" Type="http://schemas.openxmlformats.org/officeDocument/2006/relationships/hyperlink" Target="http://secrets.rutgers.edu:8080/data/asl-ftp/asllvd/demos/verify_start_end_handshape_annotations//test_auto_move//signs_mov_separ_signers/Liz_124.mov" TargetMode="External"/><Relationship Id="rId1215" Type="http://schemas.openxmlformats.org/officeDocument/2006/relationships/hyperlink" Target="http://csr.bu.edu/ftp/asl/asllvd/demos/verify_start_end_handshape_annotations//test_auto_move//signs_mov/124.mov" TargetMode="External"/><Relationship Id="rId1216" Type="http://schemas.openxmlformats.org/officeDocument/2006/relationships/hyperlink" Target="http://csr.bu.edu/ftp/asl/asllvd/demos/verify_start_end_handshape_annotations//test_auto_move//signs_mov_separ_signers/Naomi_124.mov" TargetMode="External"/><Relationship Id="rId1217" Type="http://schemas.openxmlformats.org/officeDocument/2006/relationships/hyperlink" Target="http://secrets.rutgers.edu:8080/data/asl-ftp/asllvd/demos/verify_start_end_handshape_annotations//test_auto_move//signs_mov/124.mov" TargetMode="External"/><Relationship Id="rId1218" Type="http://schemas.openxmlformats.org/officeDocument/2006/relationships/hyperlink" Target="http://secrets.rutgers.edu:8080/data/asl-ftp/asllvd/demos/verify_start_end_handshape_annotations//test_auto_move//signs_mov_separ_signers/Naomi_124.mov" TargetMode="External"/><Relationship Id="rId1219" Type="http://schemas.openxmlformats.org/officeDocument/2006/relationships/hyperlink" Target="http://csr.bu.edu/ftp/asl/asllvd/demos/verify_start_end_handshape_annotations//test_auto_move//signs_mov_separ_signers/Brady_124.mov" TargetMode="External"/><Relationship Id="rId1220" Type="http://schemas.openxmlformats.org/officeDocument/2006/relationships/hyperlink" Target="http://secrets.rutgers.edu:8080/data/asl-ftp/asllvd/demos/verify_start_end_handshape_annotations//test_auto_move//signs_mov_separ_signers/Brady_124.mov" TargetMode="External"/><Relationship Id="rId1221" Type="http://schemas.openxmlformats.org/officeDocument/2006/relationships/hyperlink" Target="http://csr.bu.edu/ftp/asl/asllvd/demos/verify_start_end_handshape_annotations//test_auto_move//signs_mov_separ_signers/Liz_127.mov" TargetMode="External"/><Relationship Id="rId1222" Type="http://schemas.openxmlformats.org/officeDocument/2006/relationships/hyperlink" Target="http://secrets.rutgers.edu:8080/data/asl-ftp/asllvd/demos/verify_start_end_handshape_annotations//test_auto_move//signs_mov_separ_signers/Liz_127.mov" TargetMode="External"/><Relationship Id="rId1223" Type="http://schemas.openxmlformats.org/officeDocument/2006/relationships/hyperlink" Target="http://csr.bu.edu/ftp/asl/asllvd/demos/verify_start_end_handshape_annotations//test_auto_move//signs_mov_separ_signers/Liz_3577.mov" TargetMode="External"/><Relationship Id="rId1224" Type="http://schemas.openxmlformats.org/officeDocument/2006/relationships/hyperlink" Target="http://secrets.rutgers.edu:8080/data/asl-ftp/asllvd/demos/verify_start_end_handshape_annotations//test_auto_move//signs_mov_separ_signers/Liz_3577.mov" TargetMode="External"/><Relationship Id="rId1225" Type="http://schemas.openxmlformats.org/officeDocument/2006/relationships/hyperlink" Target="http://csr.bu.edu/ftp/asl/asllvd/demos/verify_start_end_handshape_annotations//test_auto_move//signs_mov_separ_signers/Liz_3582.mov" TargetMode="External"/><Relationship Id="rId1226" Type="http://schemas.openxmlformats.org/officeDocument/2006/relationships/hyperlink" Target="http://secrets.rutgers.edu:8080/data/asl-ftp/asllvd/demos/verify_start_end_handshape_annotations//test_auto_move//signs_mov_separ_signers/Liz_3582.mov" TargetMode="External"/><Relationship Id="rId1227" Type="http://schemas.openxmlformats.org/officeDocument/2006/relationships/hyperlink" Target="http://csr.bu.edu/ftp/asl/asllvd/demos/verify_start_end_handshape_annotations//test_auto_move//signs_mov/127_3577_3582_merged.mov" TargetMode="External"/><Relationship Id="rId1228" Type="http://schemas.openxmlformats.org/officeDocument/2006/relationships/hyperlink" Target="http://csr.bu.edu/ftp/asl/asllvd/demos/verify_start_end_handshape_annotations//test_auto_move//signs_mov_separ_signers/Tyler_127.mov" TargetMode="External"/><Relationship Id="rId1229" Type="http://schemas.openxmlformats.org/officeDocument/2006/relationships/hyperlink" Target="http://secrets.rutgers.edu:8080/data/asl-ftp/asllvd/demos/verify_start_end_handshape_annotations//test_auto_move//signs_mov/127_3577_3582_merged.mov" TargetMode="External"/><Relationship Id="rId1230" Type="http://schemas.openxmlformats.org/officeDocument/2006/relationships/hyperlink" Target="http://secrets.rutgers.edu:8080/data/asl-ftp/asllvd/demos/verify_start_end_handshape_annotations//test_auto_move//signs_mov_separ_signers/Tyler_127.mov" TargetMode="External"/><Relationship Id="rId1231" Type="http://schemas.openxmlformats.org/officeDocument/2006/relationships/hyperlink" Target="http://csr.bu.edu/ftp/asl/asllvd/demos/verify_start_end_handshape_annotations//test_auto_move//signs_mov_separ_signers/Naomi_127.mov" TargetMode="External"/><Relationship Id="rId1232" Type="http://schemas.openxmlformats.org/officeDocument/2006/relationships/hyperlink" Target="http://secrets.rutgers.edu:8080/data/asl-ftp/asllvd/demos/verify_start_end_handshape_annotations//test_auto_move//signs_mov_separ_signers/Naomi_127.mov" TargetMode="External"/><Relationship Id="rId1233" Type="http://schemas.openxmlformats.org/officeDocument/2006/relationships/hyperlink" Target="http://csr.bu.edu/ftp/asl/asllvd/demos/verify_start_end_handshape_annotations//test_auto_move//signs_mov_separ_signers/Brady_127.mov" TargetMode="External"/><Relationship Id="rId1234" Type="http://schemas.openxmlformats.org/officeDocument/2006/relationships/hyperlink" Target="http://secrets.rutgers.edu:8080/data/asl-ftp/asllvd/demos/verify_start_end_handshape_annotations//test_auto_move//signs_mov_separ_signers/Brady_127.mov" TargetMode="External"/><Relationship Id="rId1235" Type="http://schemas.openxmlformats.org/officeDocument/2006/relationships/hyperlink" Target="http://csr.bu.edu/ftp/asl/asllvd/demos/verify_start_end_handshape_annotations//test_auto_move//signs_mov_separ_signers/Brady_3577.mov" TargetMode="External"/><Relationship Id="rId1236" Type="http://schemas.openxmlformats.org/officeDocument/2006/relationships/hyperlink" Target="http://secrets.rutgers.edu:8080/data/asl-ftp/asllvd/demos/verify_start_end_handshape_annotations//test_auto_move//signs_mov_separ_signers/Brady_3577.mov" TargetMode="External"/><Relationship Id="rId1237" Type="http://schemas.openxmlformats.org/officeDocument/2006/relationships/hyperlink" Target="http://csr.bu.edu/ftp/asl/asllvd/demos/verify_start_end_handshape_annotations//test_auto_move//signs_mov_separ_signers/Lana_127.mov" TargetMode="External"/><Relationship Id="rId1238" Type="http://schemas.openxmlformats.org/officeDocument/2006/relationships/hyperlink" Target="http://secrets.rutgers.edu:8080/data/asl-ftp/asllvd/demos/verify_start_end_handshape_annotations//test_auto_move//signs_mov_separ_signers/Lana_127.mov" TargetMode="External"/><Relationship Id="rId1239" Type="http://schemas.openxmlformats.org/officeDocument/2006/relationships/hyperlink" Target="http://csr.bu.edu/ftp/asl/asllvd/demos/verify_start_end_handshape_annotations//test_auto_move//signs_mov_separ_signers/Liz_128.mov" TargetMode="External"/><Relationship Id="rId1240" Type="http://schemas.openxmlformats.org/officeDocument/2006/relationships/hyperlink" Target="http://secrets.rutgers.edu:8080/data/asl-ftp/asllvd/demos/verify_start_end_handshape_annotations//test_auto_move//signs_mov_separ_signers/Liz_128.mov" TargetMode="External"/><Relationship Id="rId1241" Type="http://schemas.openxmlformats.org/officeDocument/2006/relationships/hyperlink" Target="http://csr.bu.edu/ftp/asl/asllvd/demos/verify_start_end_handshape_annotations//test_auto_move//signs_mov_separ_signers/Liz_3843.mov" TargetMode="External"/><Relationship Id="rId1242" Type="http://schemas.openxmlformats.org/officeDocument/2006/relationships/hyperlink" Target="http://secrets.rutgers.edu:8080/data/asl-ftp/asllvd/demos/verify_start_end_handshape_annotations//test_auto_move//signs_mov_separ_signers/Liz_3843.mov" TargetMode="External"/><Relationship Id="rId1243" Type="http://schemas.openxmlformats.org/officeDocument/2006/relationships/hyperlink" Target="http://csr.bu.edu/ftp/asl/asllvd/demos/verify_start_end_handshape_annotations//test_auto_move//signs_mov_separ_signers/Tyler_128.mov" TargetMode="External"/><Relationship Id="rId1244" Type="http://schemas.openxmlformats.org/officeDocument/2006/relationships/hyperlink" Target="http://secrets.rutgers.edu:8080/data/asl-ftp/asllvd/demos/verify_start_end_handshape_annotations//test_auto_move//signs_mov_separ_signers/Tyler_128.mov" TargetMode="External"/><Relationship Id="rId1245" Type="http://schemas.openxmlformats.org/officeDocument/2006/relationships/hyperlink" Target="http://csr.bu.edu/ftp/asl/asllvd/demos/verify_start_end_handshape_annotations//test_auto_move//signs_mov/128_3843_3855_merged.mov" TargetMode="External"/><Relationship Id="rId1246" Type="http://schemas.openxmlformats.org/officeDocument/2006/relationships/hyperlink" Target="http://csr.bu.edu/ftp/asl/asllvd/demos/verify_start_end_handshape_annotations//test_auto_move//signs_mov_separ_signers/Tyler_3843.mov" TargetMode="External"/><Relationship Id="rId1247" Type="http://schemas.openxmlformats.org/officeDocument/2006/relationships/hyperlink" Target="http://secrets.rutgers.edu:8080/data/asl-ftp/asllvd/demos/verify_start_end_handshape_annotations//test_auto_move//signs_mov/128_3843_3855_merged.mov" TargetMode="External"/><Relationship Id="rId1248" Type="http://schemas.openxmlformats.org/officeDocument/2006/relationships/hyperlink" Target="http://secrets.rutgers.edu:8080/data/asl-ftp/asllvd/demos/verify_start_end_handshape_annotations//test_auto_move//signs_mov_separ_signers/Tyler_3843.mov" TargetMode="External"/><Relationship Id="rId1249" Type="http://schemas.openxmlformats.org/officeDocument/2006/relationships/hyperlink" Target="http://csr.bu.edu/ftp/asl/asllvd/demos/verify_start_end_handshape_annotations//test_auto_move//signs_mov_separ_signers/Tyler_3855.mov" TargetMode="External"/><Relationship Id="rId1250" Type="http://schemas.openxmlformats.org/officeDocument/2006/relationships/hyperlink" Target="http://secrets.rutgers.edu:8080/data/asl-ftp/asllvd/demos/verify_start_end_handshape_annotations//test_auto_move//signs_mov_separ_signers/Tyler_3855.mov" TargetMode="External"/><Relationship Id="rId1251" Type="http://schemas.openxmlformats.org/officeDocument/2006/relationships/hyperlink" Target="http://csr.bu.edu/ftp/asl/asllvd/demos/verify_start_end_handshape_annotations//test_auto_move//signs_mov_separ_signers/Naomi_128.mov" TargetMode="External"/><Relationship Id="rId1252" Type="http://schemas.openxmlformats.org/officeDocument/2006/relationships/hyperlink" Target="http://secrets.rutgers.edu:8080/data/asl-ftp/asllvd/demos/verify_start_end_handshape_annotations//test_auto_move//signs_mov_separ_signers/Naomi_128.mov" TargetMode="External"/><Relationship Id="rId1253" Type="http://schemas.openxmlformats.org/officeDocument/2006/relationships/hyperlink" Target="http://csr.bu.edu/ftp/asl/asllvd/demos/verify_start_end_handshape_annotations//test_auto_move//signs_mov_separ_signers/Naomi_3843.mov" TargetMode="External"/><Relationship Id="rId1254" Type="http://schemas.openxmlformats.org/officeDocument/2006/relationships/hyperlink" Target="http://secrets.rutgers.edu:8080/data/asl-ftp/asllvd/demos/verify_start_end_handshape_annotations//test_auto_move//signs_mov_separ_signers/Naomi_3843.mov" TargetMode="External"/><Relationship Id="rId1255" Type="http://schemas.openxmlformats.org/officeDocument/2006/relationships/hyperlink" Target="http://csr.bu.edu/ftp/asl/asllvd/demos/verify_start_end_handshape_annotations//test_auto_move//signs_mov_separ_signers/Brady_128.mov" TargetMode="External"/><Relationship Id="rId1256" Type="http://schemas.openxmlformats.org/officeDocument/2006/relationships/hyperlink" Target="http://secrets.rutgers.edu:8080/data/asl-ftp/asllvd/demos/verify_start_end_handshape_annotations//test_auto_move//signs_mov_separ_signers/Brady_128.mov" TargetMode="External"/><Relationship Id="rId1257" Type="http://schemas.openxmlformats.org/officeDocument/2006/relationships/hyperlink" Target="http://csr.bu.edu/ftp/asl/asllvd/demos/verify_start_end_handshape_annotations//test_auto_move//signs_mov_separ_signers/Liz_5897.mov" TargetMode="External"/><Relationship Id="rId1258" Type="http://schemas.openxmlformats.org/officeDocument/2006/relationships/hyperlink" Target="http://secrets.rutgers.edu:8080/data/asl-ftp/asllvd/demos/verify_start_end_handshape_annotations//test_auto_move//signs_mov_separ_signers/Liz_5897.mov" TargetMode="External"/><Relationship Id="rId1259" Type="http://schemas.openxmlformats.org/officeDocument/2006/relationships/hyperlink" Target="http://csr.bu.edu/ftp/asl/asllvd/demos/verify_start_end_handshape_annotations//test_auto_move//signs_mov_separ_signers/Naomi_5897.mov" TargetMode="External"/><Relationship Id="rId1260" Type="http://schemas.openxmlformats.org/officeDocument/2006/relationships/hyperlink" Target="http://secrets.rutgers.edu:8080/data/asl-ftp/asllvd/demos/verify_start_end_handshape_annotations//test_auto_move//signs_mov_separ_signers/Naomi_5897.mov" TargetMode="External"/><Relationship Id="rId1261" Type="http://schemas.openxmlformats.org/officeDocument/2006/relationships/hyperlink" Target="http://csr.bu.edu/ftp/asl/asllvd/demos/verify_start_end_handshape_annotations//test_auto_move//signs_mov/5897_5989_16219_merged.mov" TargetMode="External"/><Relationship Id="rId1262" Type="http://schemas.openxmlformats.org/officeDocument/2006/relationships/hyperlink" Target="http://csr.bu.edu/ftp/asl/asllvd/demos/verify_start_end_handshape_annotations//test_auto_move//signs_mov_separ_signers/Brady_5897.mov" TargetMode="External"/><Relationship Id="rId1263" Type="http://schemas.openxmlformats.org/officeDocument/2006/relationships/hyperlink" Target="http://secrets.rutgers.edu:8080/data/asl-ftp/asllvd/demos/verify_start_end_handshape_annotations//test_auto_move//signs_mov/5897_5989_16219_merged.mov" TargetMode="External"/><Relationship Id="rId1264" Type="http://schemas.openxmlformats.org/officeDocument/2006/relationships/hyperlink" Target="http://secrets.rutgers.edu:8080/data/asl-ftp/asllvd/demos/verify_start_end_handshape_annotations//test_auto_move//signs_mov_separ_signers/Brady_5897.mov" TargetMode="External"/><Relationship Id="rId1265" Type="http://schemas.openxmlformats.org/officeDocument/2006/relationships/hyperlink" Target="http://csr.bu.edu/ftp/asl/asllvd/demos/verify_start_end_handshape_annotations//test_auto_move//signs_mov_separ_signers/Brady_5989.mov" TargetMode="External"/><Relationship Id="rId1266" Type="http://schemas.openxmlformats.org/officeDocument/2006/relationships/hyperlink" Target="http://secrets.rutgers.edu:8080/data/asl-ftp/asllvd/demos/verify_start_end_handshape_annotations//test_auto_move//signs_mov_separ_signers/Brady_5989.mov" TargetMode="External"/><Relationship Id="rId1267" Type="http://schemas.openxmlformats.org/officeDocument/2006/relationships/hyperlink" Target="http://csr.bu.edu/ftp/asl/asllvd/demos/verify_start_end_handshape_annotations//test_auto_move//signs_mov_separ_signers/Brady_16219.mov" TargetMode="External"/><Relationship Id="rId1268" Type="http://schemas.openxmlformats.org/officeDocument/2006/relationships/hyperlink" Target="http://secrets.rutgers.edu:8080/data/asl-ftp/asllvd/demos/verify_start_end_handshape_annotations//test_auto_move//signs_mov_separ_signers/Brady_16219.mov" TargetMode="External"/><Relationship Id="rId1269" Type="http://schemas.openxmlformats.org/officeDocument/2006/relationships/hyperlink" Target="http://csr.bu.edu/ftp/asl/asllvd/demos/verify_start_end_handshape_annotations//test_auto_move//signs_mov_separ_signers/Liz_16220.mov" TargetMode="External"/><Relationship Id="rId1270" Type="http://schemas.openxmlformats.org/officeDocument/2006/relationships/hyperlink" Target="http://secrets.rutgers.edu:8080/data/asl-ftp/asllvd/demos/verify_start_end_handshape_annotations//test_auto_move//signs_mov_separ_signers/Liz_16220.mov" TargetMode="External"/><Relationship Id="rId1271" Type="http://schemas.openxmlformats.org/officeDocument/2006/relationships/hyperlink" Target="http://csr.bu.edu/ftp/asl/asllvd/demos/verify_start_end_handshape_annotations//test_auto_move//signs_mov/16220.mov" TargetMode="External"/><Relationship Id="rId1272" Type="http://schemas.openxmlformats.org/officeDocument/2006/relationships/hyperlink" Target="http://csr.bu.edu/ftp/asl/asllvd/demos/verify_start_end_handshape_annotations//test_auto_move//signs_mov_separ_signers/Tyler_16220.mov" TargetMode="External"/><Relationship Id="rId1273" Type="http://schemas.openxmlformats.org/officeDocument/2006/relationships/hyperlink" Target="http://secrets.rutgers.edu:8080/data/asl-ftp/asllvd/demos/verify_start_end_handshape_annotations//test_auto_move//signs_mov/16220.mov" TargetMode="External"/><Relationship Id="rId1274" Type="http://schemas.openxmlformats.org/officeDocument/2006/relationships/hyperlink" Target="http://secrets.rutgers.edu:8080/data/asl-ftp/asllvd/demos/verify_start_end_handshape_annotations//test_auto_move//signs_mov_separ_signers/Tyler_16220.mov" TargetMode="External"/><Relationship Id="rId1275" Type="http://schemas.openxmlformats.org/officeDocument/2006/relationships/hyperlink" Target="http://csr.bu.edu/ftp/asl/asllvd/demos/verify_start_end_handshape_annotations//test_auto_move//signs_mov_separ_signers/Naomi_16220.mov" TargetMode="External"/><Relationship Id="rId1276" Type="http://schemas.openxmlformats.org/officeDocument/2006/relationships/hyperlink" Target="http://secrets.rutgers.edu:8080/data/asl-ftp/asllvd/demos/verify_start_end_handshape_annotations//test_auto_move//signs_mov_separ_signers/Naomi_16220.mov" TargetMode="External"/><Relationship Id="rId1277" Type="http://schemas.openxmlformats.org/officeDocument/2006/relationships/hyperlink" Target="http://csr.bu.edu/ftp/asl/asllvd/demos/verify_start_end_handshape_annotations//test_auto_move//signs_mov_separ_signers/Tyler_129.mov" TargetMode="External"/><Relationship Id="rId1278" Type="http://schemas.openxmlformats.org/officeDocument/2006/relationships/hyperlink" Target="http://secrets.rutgers.edu:8080/data/asl-ftp/asllvd/demos/verify_start_end_handshape_annotations//test_auto_move//signs_mov_separ_signers/Tyler_129.mov" TargetMode="External"/><Relationship Id="rId1279" Type="http://schemas.openxmlformats.org/officeDocument/2006/relationships/hyperlink" Target="http://csr.bu.edu/ftp/asl/asllvd/demos/verify_start_end_handshape_annotations//test_auto_move//signs_mov_separ_signers/Naomi_129.mov" TargetMode="External"/><Relationship Id="rId1280" Type="http://schemas.openxmlformats.org/officeDocument/2006/relationships/hyperlink" Target="http://secrets.rutgers.edu:8080/data/asl-ftp/asllvd/demos/verify_start_end_handshape_annotations//test_auto_move//signs_mov_separ_signers/Naomi_129.mov" TargetMode="External"/><Relationship Id="rId1281" Type="http://schemas.openxmlformats.org/officeDocument/2006/relationships/hyperlink" Target="http://csr.bu.edu/ftp/asl/asllvd/demos/verify_start_end_handshape_annotations//test_auto_move//signs_mov/129.mov" TargetMode="External"/><Relationship Id="rId1282" Type="http://schemas.openxmlformats.org/officeDocument/2006/relationships/hyperlink" Target="http://csr.bu.edu/ftp/asl/asllvd/demos/verify_start_end_handshape_annotations//test_auto_move//signs_mov_separ_signers/Brady_129.mov" TargetMode="External"/><Relationship Id="rId1283" Type="http://schemas.openxmlformats.org/officeDocument/2006/relationships/hyperlink" Target="http://secrets.rutgers.edu:8080/data/asl-ftp/asllvd/demos/verify_start_end_handshape_annotations//test_auto_move//signs_mov/129.mov" TargetMode="External"/><Relationship Id="rId1284" Type="http://schemas.openxmlformats.org/officeDocument/2006/relationships/hyperlink" Target="http://secrets.rutgers.edu:8080/data/asl-ftp/asllvd/demos/verify_start_end_handshape_annotations//test_auto_move//signs_mov_separ_signers/Brady_129.mov" TargetMode="External"/><Relationship Id="rId1285" Type="http://schemas.openxmlformats.org/officeDocument/2006/relationships/hyperlink" Target="http://csr.bu.edu/ftp/asl/asllvd/demos/verify_start_end_handshape_annotations//test_auto_move//signs_mov_separ_signers/Lana_129.mov" TargetMode="External"/><Relationship Id="rId1286" Type="http://schemas.openxmlformats.org/officeDocument/2006/relationships/hyperlink" Target="http://secrets.rutgers.edu:8080/data/asl-ftp/asllvd/demos/verify_start_end_handshape_annotations//test_auto_move//signs_mov_separ_signers/Lana_129.mov" TargetMode="External"/><Relationship Id="rId1287" Type="http://schemas.openxmlformats.org/officeDocument/2006/relationships/hyperlink" Target="http://csr.bu.edu/ftp/asl/asllvd/demos/verify_start_end_handshape_annotations//test_auto_move//signs_mov_separ_signers/Dana_129.mov" TargetMode="External"/><Relationship Id="rId1288" Type="http://schemas.openxmlformats.org/officeDocument/2006/relationships/hyperlink" Target="http://secrets.rutgers.edu:8080/data/asl-ftp/asllvd/demos/verify_start_end_handshape_annotations//test_auto_move//signs_mov_separ_signers/Dana_129.mov" TargetMode="External"/><Relationship Id="rId1289" Type="http://schemas.openxmlformats.org/officeDocument/2006/relationships/hyperlink" Target="http://csr.bu.edu/ftp/asl/asllvd/demos/verify_start_end_handshape_annotations//test_auto_move//signs_mov/5038.mov" TargetMode="External"/><Relationship Id="rId1290" Type="http://schemas.openxmlformats.org/officeDocument/2006/relationships/hyperlink" Target="http://csr.bu.edu/ftp/asl/asllvd/demos/verify_start_end_handshape_annotations//test_auto_move//signs_mov_separ_signers/Liz_5038.mov" TargetMode="External"/><Relationship Id="rId1291" Type="http://schemas.openxmlformats.org/officeDocument/2006/relationships/hyperlink" Target="http://secrets.rutgers.edu:8080/data/asl-ftp/asllvd/demos/verify_start_end_handshape_annotations//test_auto_move//signs_mov/5038.mov" TargetMode="External"/><Relationship Id="rId1292" Type="http://schemas.openxmlformats.org/officeDocument/2006/relationships/hyperlink" Target="http://secrets.rutgers.edu:8080/data/asl-ftp/asllvd/demos/verify_start_end_handshape_annotations//test_auto_move//signs_mov_separ_signers/Liz_5038.mov" TargetMode="External"/><Relationship Id="rId1293" Type="http://schemas.openxmlformats.org/officeDocument/2006/relationships/hyperlink" Target="http://csr.bu.edu/ftp/asl/asllvd/demos/verify_start_end_handshape_annotations//test_auto_move//signs_mov_separ_signers/Naomi_5038.mov" TargetMode="External"/><Relationship Id="rId1294" Type="http://schemas.openxmlformats.org/officeDocument/2006/relationships/hyperlink" Target="http://secrets.rutgers.edu:8080/data/asl-ftp/asllvd/demos/verify_start_end_handshape_annotations//test_auto_move//signs_mov_separ_signers/Naomi_5038.mov" TargetMode="External"/><Relationship Id="rId1295" Type="http://schemas.openxmlformats.org/officeDocument/2006/relationships/hyperlink" Target="http://csr.bu.edu/ftp/asl/asllvd/demos/verify_start_end_handshape_annotations//test_auto_move//signs_mov_separ_signers/Naomi_133.mov" TargetMode="External"/><Relationship Id="rId1296" Type="http://schemas.openxmlformats.org/officeDocument/2006/relationships/hyperlink" Target="http://secrets.rutgers.edu:8080/data/asl-ftp/asllvd/demos/verify_start_end_handshape_annotations//test_auto_move//signs_mov_separ_signers/Naomi_133.mov" TargetMode="External"/><Relationship Id="rId1297" Type="http://schemas.openxmlformats.org/officeDocument/2006/relationships/hyperlink" Target="http://csr.bu.edu/ftp/asl/asllvd/demos/verify_start_end_handshape_annotations//test_auto_move//signs_mov/133_3573_merged.mov" TargetMode="External"/><Relationship Id="rId1298" Type="http://schemas.openxmlformats.org/officeDocument/2006/relationships/hyperlink" Target="http://csr.bu.edu/ftp/asl/asllvd/demos/verify_start_end_handshape_annotations//test_auto_move//signs_mov_separ_signers/Brady_133.mov" TargetMode="External"/><Relationship Id="rId1299" Type="http://schemas.openxmlformats.org/officeDocument/2006/relationships/hyperlink" Target="http://secrets.rutgers.edu:8080/data/asl-ftp/asllvd/demos/verify_start_end_handshape_annotations//test_auto_move//signs_mov/133_3573_merged.mov" TargetMode="External"/><Relationship Id="rId1300" Type="http://schemas.openxmlformats.org/officeDocument/2006/relationships/hyperlink" Target="http://secrets.rutgers.edu:8080/data/asl-ftp/asllvd/demos/verify_start_end_handshape_annotations//test_auto_move//signs_mov_separ_signers/Brady_133.mov" TargetMode="External"/><Relationship Id="rId1301" Type="http://schemas.openxmlformats.org/officeDocument/2006/relationships/hyperlink" Target="http://csr.bu.edu/ftp/asl/asllvd/demos/verify_start_end_handshape_annotations//test_auto_move//signs_mov_separ_signers/Brady_3573.mov" TargetMode="External"/><Relationship Id="rId1302" Type="http://schemas.openxmlformats.org/officeDocument/2006/relationships/hyperlink" Target="http://secrets.rutgers.edu:8080/data/asl-ftp/asllvd/demos/verify_start_end_handshape_annotations//test_auto_move//signs_mov_separ_signers/Brady_3573.mov" TargetMode="External"/><Relationship Id="rId1303" Type="http://schemas.openxmlformats.org/officeDocument/2006/relationships/hyperlink" Target="http://csr.bu.edu/ftp/asl/asllvd/demos/verify_start_end_handshape_annotations//test_auto_move//signs_mov/16265.mov" TargetMode="External"/><Relationship Id="rId1304" Type="http://schemas.openxmlformats.org/officeDocument/2006/relationships/hyperlink" Target="http://csr.bu.edu/ftp/asl/asllvd/demos/verify_start_end_handshape_annotations//test_auto_move//signs_mov_separ_signers/Liz_16265.mov" TargetMode="External"/><Relationship Id="rId1305" Type="http://schemas.openxmlformats.org/officeDocument/2006/relationships/hyperlink" Target="http://secrets.rutgers.edu:8080/data/asl-ftp/asllvd/demos/verify_start_end_handshape_annotations//test_auto_move//signs_mov/16265.mov" TargetMode="External"/><Relationship Id="rId1306" Type="http://schemas.openxmlformats.org/officeDocument/2006/relationships/hyperlink" Target="http://secrets.rutgers.edu:8080/data/asl-ftp/asllvd/demos/verify_start_end_handshape_annotations//test_auto_move//signs_mov_separ_signers/Liz_16265.mov" TargetMode="External"/><Relationship Id="rId1307" Type="http://schemas.openxmlformats.org/officeDocument/2006/relationships/hyperlink" Target="http://csr.bu.edu/ftp/asl/asllvd/demos/verify_start_end_handshape_annotations//test_auto_move//signs_mov/16276.mov" TargetMode="External"/><Relationship Id="rId1308" Type="http://schemas.openxmlformats.org/officeDocument/2006/relationships/hyperlink" Target="http://csr.bu.edu/ftp/asl/asllvd/demos/verify_start_end_handshape_annotations//test_auto_move//signs_mov_separ_signers/Liz_16276.mov" TargetMode="External"/><Relationship Id="rId1309" Type="http://schemas.openxmlformats.org/officeDocument/2006/relationships/hyperlink" Target="http://secrets.rutgers.edu:8080/data/asl-ftp/asllvd/demos/verify_start_end_handshape_annotations//test_auto_move//signs_mov/16276.mov" TargetMode="External"/><Relationship Id="rId1310" Type="http://schemas.openxmlformats.org/officeDocument/2006/relationships/hyperlink" Target="http://secrets.rutgers.edu:8080/data/asl-ftp/asllvd/demos/verify_start_end_handshape_annotations//test_auto_move//signs_mov_separ_signers/Liz_16276.mov" TargetMode="External"/><Relationship Id="rId1311" Type="http://schemas.openxmlformats.org/officeDocument/2006/relationships/hyperlink" Target="http://csr.bu.edu/ftp/asl/asllvd/demos/verify_start_end_handshape_annotations//test_auto_move//signs_mov_separ_signers/Liz_138.mov" TargetMode="External"/><Relationship Id="rId1312" Type="http://schemas.openxmlformats.org/officeDocument/2006/relationships/hyperlink" Target="http://secrets.rutgers.edu:8080/data/asl-ftp/asllvd/demos/verify_start_end_handshape_annotations//test_auto_move//signs_mov_separ_signers/Liz_138.mov" TargetMode="External"/><Relationship Id="rId1313" Type="http://schemas.openxmlformats.org/officeDocument/2006/relationships/hyperlink" Target="http://csr.bu.edu/ftp/asl/asllvd/demos/verify_start_end_handshape_annotations//test_auto_move//signs_mov/138.mov" TargetMode="External"/><Relationship Id="rId1314" Type="http://schemas.openxmlformats.org/officeDocument/2006/relationships/hyperlink" Target="http://csr.bu.edu/ftp/asl/asllvd/demos/verify_start_end_handshape_annotations//test_auto_move//signs_mov_separ_signers/Naomi_138.mov" TargetMode="External"/><Relationship Id="rId1315" Type="http://schemas.openxmlformats.org/officeDocument/2006/relationships/hyperlink" Target="http://secrets.rutgers.edu:8080/data/asl-ftp/asllvd/demos/verify_start_end_handshape_annotations//test_auto_move//signs_mov/138.mov" TargetMode="External"/><Relationship Id="rId1316" Type="http://schemas.openxmlformats.org/officeDocument/2006/relationships/hyperlink" Target="http://secrets.rutgers.edu:8080/data/asl-ftp/asllvd/demos/verify_start_end_handshape_annotations//test_auto_move//signs_mov_separ_signers/Naomi_138.mov" TargetMode="External"/><Relationship Id="rId1317" Type="http://schemas.openxmlformats.org/officeDocument/2006/relationships/hyperlink" Target="http://csr.bu.edu/ftp/asl/asllvd/demos/verify_start_end_handshape_annotations//test_auto_move//signs_mov_separ_signers/Brady_138.mov" TargetMode="External"/><Relationship Id="rId1318" Type="http://schemas.openxmlformats.org/officeDocument/2006/relationships/hyperlink" Target="http://secrets.rutgers.edu:8080/data/asl-ftp/asllvd/demos/verify_start_end_handshape_annotations//test_auto_move//signs_mov_separ_signers/Brady_138.mov" TargetMode="External"/><Relationship Id="rId1319" Type="http://schemas.openxmlformats.org/officeDocument/2006/relationships/hyperlink" Target="http://csr.bu.edu/ftp/asl/asllvd/demos/verify_start_end_handshape_annotations//test_auto_move//signs_mov/140.mov" TargetMode="External"/><Relationship Id="rId1320" Type="http://schemas.openxmlformats.org/officeDocument/2006/relationships/hyperlink" Target="http://csr.bu.edu/ftp/asl/asllvd/demos/verify_start_end_handshape_annotations//test_auto_move//signs_mov_separ_signers/Liz_140.mov" TargetMode="External"/><Relationship Id="rId1321" Type="http://schemas.openxmlformats.org/officeDocument/2006/relationships/hyperlink" Target="http://secrets.rutgers.edu:8080/data/asl-ftp/asllvd/demos/verify_start_end_handshape_annotations//test_auto_move//signs_mov/140.mov" TargetMode="External"/><Relationship Id="rId1322" Type="http://schemas.openxmlformats.org/officeDocument/2006/relationships/hyperlink" Target="http://secrets.rutgers.edu:8080/data/asl-ftp/asllvd/demos/verify_start_end_handshape_annotations//test_auto_move//signs_mov_separ_signers/Liz_140.mov" TargetMode="External"/><Relationship Id="rId1323" Type="http://schemas.openxmlformats.org/officeDocument/2006/relationships/hyperlink" Target="http://csr.bu.edu/ftp/asl/asllvd/demos/verify_start_end_handshape_annotations//test_auto_move//signs_mov_separ_signers/Brady_140.mov" TargetMode="External"/><Relationship Id="rId1324" Type="http://schemas.openxmlformats.org/officeDocument/2006/relationships/hyperlink" Target="http://secrets.rutgers.edu:8080/data/asl-ftp/asllvd/demos/verify_start_end_handshape_annotations//test_auto_move//signs_mov_separ_signers/Brady_140.mov" TargetMode="External"/><Relationship Id="rId1325" Type="http://schemas.openxmlformats.org/officeDocument/2006/relationships/hyperlink" Target="http://csr.bu.edu/ftp/asl/asllvd/demos/verify_start_end_handshape_annotations//test_auto_move//signs_mov_separ_signers/Liz_141.mov" TargetMode="External"/><Relationship Id="rId1326" Type="http://schemas.openxmlformats.org/officeDocument/2006/relationships/hyperlink" Target="http://secrets.rutgers.edu:8080/data/asl-ftp/asllvd/demos/verify_start_end_handshape_annotations//test_auto_move//signs_mov_separ_signers/Liz_141.mov" TargetMode="External"/><Relationship Id="rId1327" Type="http://schemas.openxmlformats.org/officeDocument/2006/relationships/hyperlink" Target="http://csr.bu.edu/ftp/asl/asllvd/demos/verify_start_end_handshape_annotations//test_auto_move//signs_mov_separ_signers/Tyler_141.mov" TargetMode="External"/><Relationship Id="rId1328" Type="http://schemas.openxmlformats.org/officeDocument/2006/relationships/hyperlink" Target="http://secrets.rutgers.edu:8080/data/asl-ftp/asllvd/demos/verify_start_end_handshape_annotations//test_auto_move//signs_mov_separ_signers/Tyler_141.mov" TargetMode="External"/><Relationship Id="rId1329" Type="http://schemas.openxmlformats.org/officeDocument/2006/relationships/hyperlink" Target="http://csr.bu.edu/ftp/asl/asllvd/demos/verify_start_end_handshape_annotations//test_auto_move//signs_mov/141.mov" TargetMode="External"/><Relationship Id="rId1330" Type="http://schemas.openxmlformats.org/officeDocument/2006/relationships/hyperlink" Target="http://csr.bu.edu/ftp/asl/asllvd/demos/verify_start_end_handshape_annotations//test_auto_move//signs_mov_separ_signers/Naomi_141.mov" TargetMode="External"/><Relationship Id="rId1331" Type="http://schemas.openxmlformats.org/officeDocument/2006/relationships/hyperlink" Target="http://secrets.rutgers.edu:8080/data/asl-ftp/asllvd/demos/verify_start_end_handshape_annotations//test_auto_move//signs_mov/141.mov" TargetMode="External"/><Relationship Id="rId1332" Type="http://schemas.openxmlformats.org/officeDocument/2006/relationships/hyperlink" Target="http://secrets.rutgers.edu:8080/data/asl-ftp/asllvd/demos/verify_start_end_handshape_annotations//test_auto_move//signs_mov_separ_signers/Naomi_141.mov" TargetMode="External"/><Relationship Id="rId1333" Type="http://schemas.openxmlformats.org/officeDocument/2006/relationships/hyperlink" Target="http://csr.bu.edu/ftp/asl/asllvd/demos/verify_start_end_handshape_annotations//test_auto_move//signs_mov_separ_signers/Brady_141.mov" TargetMode="External"/><Relationship Id="rId1334" Type="http://schemas.openxmlformats.org/officeDocument/2006/relationships/hyperlink" Target="http://secrets.rutgers.edu:8080/data/asl-ftp/asllvd/demos/verify_start_end_handshape_annotations//test_auto_move//signs_mov_separ_signers/Brady_141.mov" TargetMode="External"/><Relationship Id="rId1335" Type="http://schemas.openxmlformats.org/officeDocument/2006/relationships/hyperlink" Target="http://csr.bu.edu/ftp/asl/asllvd/demos/verify_start_end_handshape_annotations//test_auto_move//signs_mov_separ_signers/Lana_141.mov" TargetMode="External"/><Relationship Id="rId1336" Type="http://schemas.openxmlformats.org/officeDocument/2006/relationships/hyperlink" Target="http://secrets.rutgers.edu:8080/data/asl-ftp/asllvd/demos/verify_start_end_handshape_annotations//test_auto_move//signs_mov_separ_signers/Lana_141.mov" TargetMode="External"/><Relationship Id="rId1337" Type="http://schemas.openxmlformats.org/officeDocument/2006/relationships/hyperlink" Target="http://csr.bu.edu/ftp/asl/asllvd/demos/verify_start_end_handshape_annotations//test_auto_move//signs_mov_separ_signers/Dana_141.mov" TargetMode="External"/><Relationship Id="rId1338" Type="http://schemas.openxmlformats.org/officeDocument/2006/relationships/hyperlink" Target="http://secrets.rutgers.edu:8080/data/asl-ftp/asllvd/demos/verify_start_end_handshape_annotations//test_auto_move//signs_mov_separ_signers/Dana_141.mov" TargetMode="External"/><Relationship Id="rId1339" Type="http://schemas.openxmlformats.org/officeDocument/2006/relationships/hyperlink" Target="http://csr.bu.edu/ftp/asl/asllvd/demos/verify_start_end_handshape_annotations//test_auto_move//signs_mov_separ_signers/Liz_143.mov" TargetMode="External"/><Relationship Id="rId1340" Type="http://schemas.openxmlformats.org/officeDocument/2006/relationships/hyperlink" Target="http://secrets.rutgers.edu:8080/data/asl-ftp/asllvd/demos/verify_start_end_handshape_annotations//test_auto_move//signs_mov_separ_signers/Liz_143.mov" TargetMode="External"/><Relationship Id="rId1341" Type="http://schemas.openxmlformats.org/officeDocument/2006/relationships/hyperlink" Target="http://csr.bu.edu/ftp/asl/asllvd/demos/verify_start_end_handshape_annotations//test_auto_move//signs_mov_separ_signers/Liz_3643.mov" TargetMode="External"/><Relationship Id="rId1342" Type="http://schemas.openxmlformats.org/officeDocument/2006/relationships/hyperlink" Target="http://secrets.rutgers.edu:8080/data/asl-ftp/asllvd/demos/verify_start_end_handshape_annotations//test_auto_move//signs_mov_separ_signers/Liz_3643.mov" TargetMode="External"/><Relationship Id="rId1343" Type="http://schemas.openxmlformats.org/officeDocument/2006/relationships/hyperlink" Target="http://csr.bu.edu/ftp/asl/asllvd/demos/verify_start_end_handshape_annotations//test_auto_move//signs_mov_separ_signers/Tyler_143.mov" TargetMode="External"/><Relationship Id="rId1344" Type="http://schemas.openxmlformats.org/officeDocument/2006/relationships/hyperlink" Target="http://secrets.rutgers.edu:8080/data/asl-ftp/asllvd/demos/verify_start_end_handshape_annotations//test_auto_move//signs_mov_separ_signers/Tyler_143.mov" TargetMode="External"/><Relationship Id="rId1345" Type="http://schemas.openxmlformats.org/officeDocument/2006/relationships/hyperlink" Target="http://csr.bu.edu/ftp/asl/asllvd/demos/verify_start_end_handshape_annotations//test_auto_move//signs_mov/143_3643_5095_merged.mov" TargetMode="External"/><Relationship Id="rId1346" Type="http://schemas.openxmlformats.org/officeDocument/2006/relationships/hyperlink" Target="http://csr.bu.edu/ftp/asl/asllvd/demos/verify_start_end_handshape_annotations//test_auto_move//signs_mov_separ_signers/Tyler_3643.mov" TargetMode="External"/><Relationship Id="rId1347" Type="http://schemas.openxmlformats.org/officeDocument/2006/relationships/hyperlink" Target="http://secrets.rutgers.edu:8080/data/asl-ftp/asllvd/demos/verify_start_end_handshape_annotations//test_auto_move//signs_mov/143_3643_5095_merged.mov" TargetMode="External"/><Relationship Id="rId1348" Type="http://schemas.openxmlformats.org/officeDocument/2006/relationships/hyperlink" Target="http://secrets.rutgers.edu:8080/data/asl-ftp/asllvd/demos/verify_start_end_handshape_annotations//test_auto_move//signs_mov_separ_signers/Tyler_3643.mov" TargetMode="External"/><Relationship Id="rId1349" Type="http://schemas.openxmlformats.org/officeDocument/2006/relationships/hyperlink" Target="http://csr.bu.edu/ftp/asl/asllvd/demos/verify_start_end_handshape_annotations//test_auto_move//signs_mov_separ_signers/Naomi_143.mov" TargetMode="External"/><Relationship Id="rId1350" Type="http://schemas.openxmlformats.org/officeDocument/2006/relationships/hyperlink" Target="http://secrets.rutgers.edu:8080/data/asl-ftp/asllvd/demos/verify_start_end_handshape_annotations//test_auto_move//signs_mov_separ_signers/Naomi_143.mov" TargetMode="External"/><Relationship Id="rId1351" Type="http://schemas.openxmlformats.org/officeDocument/2006/relationships/hyperlink" Target="http://csr.bu.edu/ftp/asl/asllvd/demos/verify_start_end_handshape_annotations//test_auto_move//signs_mov_separ_signers/Naomi_3643.mov" TargetMode="External"/><Relationship Id="rId1352" Type="http://schemas.openxmlformats.org/officeDocument/2006/relationships/hyperlink" Target="http://secrets.rutgers.edu:8080/data/asl-ftp/asllvd/demos/verify_start_end_handshape_annotations//test_auto_move//signs_mov_separ_signers/Naomi_3643.mov" TargetMode="External"/><Relationship Id="rId1353" Type="http://schemas.openxmlformats.org/officeDocument/2006/relationships/hyperlink" Target="http://csr.bu.edu/ftp/asl/asllvd/demos/verify_start_end_handshape_annotations//test_auto_move//signs_mov_separ_signers/Naomi_5095.mov" TargetMode="External"/><Relationship Id="rId1354" Type="http://schemas.openxmlformats.org/officeDocument/2006/relationships/hyperlink" Target="http://secrets.rutgers.edu:8080/data/asl-ftp/asllvd/demos/verify_start_end_handshape_annotations//test_auto_move//signs_mov_separ_signers/Naomi_5095.mov" TargetMode="External"/><Relationship Id="rId1355" Type="http://schemas.openxmlformats.org/officeDocument/2006/relationships/hyperlink" Target="http://csr.bu.edu/ftp/asl/asllvd/demos/verify_start_end_handshape_annotations//test_auto_move//signs_mov/5096.mov" TargetMode="External"/><Relationship Id="rId1356" Type="http://schemas.openxmlformats.org/officeDocument/2006/relationships/hyperlink" Target="http://csr.bu.edu/ftp/asl/asllvd/demos/verify_start_end_handshape_annotations//test_auto_move//signs_mov_separ_signers/Liz_5096.mov" TargetMode="External"/><Relationship Id="rId1357" Type="http://schemas.openxmlformats.org/officeDocument/2006/relationships/hyperlink" Target="http://secrets.rutgers.edu:8080/data/asl-ftp/asllvd/demos/verify_start_end_handshape_annotations//test_auto_move//signs_mov/5096.mov" TargetMode="External"/><Relationship Id="rId1358" Type="http://schemas.openxmlformats.org/officeDocument/2006/relationships/hyperlink" Target="http://secrets.rutgers.edu:8080/data/asl-ftp/asllvd/demos/verify_start_end_handshape_annotations//test_auto_move//signs_mov_separ_signers/Liz_5096.mov" TargetMode="External"/><Relationship Id="rId1359" Type="http://schemas.openxmlformats.org/officeDocument/2006/relationships/hyperlink" Target="http://csr.bu.edu/ftp/asl/asllvd/demos/verify_start_end_handshape_annotations//test_auto_move//signs_mov_separ_signers/Brady_5096.mov" TargetMode="External"/><Relationship Id="rId1360" Type="http://schemas.openxmlformats.org/officeDocument/2006/relationships/hyperlink" Target="http://secrets.rutgers.edu:8080/data/asl-ftp/asllvd/demos/verify_start_end_handshape_annotations//test_auto_move//signs_mov_separ_signers/Brady_5096.mov" TargetMode="External"/><Relationship Id="rId1361" Type="http://schemas.openxmlformats.org/officeDocument/2006/relationships/hyperlink" Target="http://csr.bu.edu/ftp/asl/asllvd/demos/verify_start_end_handshape_annotations//test_auto_move//signs_mov/5661.mov" TargetMode="External"/><Relationship Id="rId1362" Type="http://schemas.openxmlformats.org/officeDocument/2006/relationships/hyperlink" Target="http://csr.bu.edu/ftp/asl/asllvd/demos/verify_start_end_handshape_annotations//test_auto_move//signs_mov_separ_signers/Tyler_5661.mov" TargetMode="External"/><Relationship Id="rId1363" Type="http://schemas.openxmlformats.org/officeDocument/2006/relationships/hyperlink" Target="http://secrets.rutgers.edu:8080/data/asl-ftp/asllvd/demos/verify_start_end_handshape_annotations//test_auto_move//signs_mov/5661.mov" TargetMode="External"/><Relationship Id="rId1364" Type="http://schemas.openxmlformats.org/officeDocument/2006/relationships/hyperlink" Target="http://secrets.rutgers.edu:8080/data/asl-ftp/asllvd/demos/verify_start_end_handshape_annotations//test_auto_move//signs_mov_separ_signers/Tyler_5661.mov" TargetMode="External"/><Relationship Id="rId1365" Type="http://schemas.openxmlformats.org/officeDocument/2006/relationships/hyperlink" Target="http://csr.bu.edu/ftp/asl/asllvd/demos/verify_start_end_handshape_annotations//test_auto_move//signs_mov_separ_signers/Liz_145.mov" TargetMode="External"/><Relationship Id="rId1366" Type="http://schemas.openxmlformats.org/officeDocument/2006/relationships/hyperlink" Target="http://secrets.rutgers.edu:8080/data/asl-ftp/asllvd/demos/verify_start_end_handshape_annotations//test_auto_move//signs_mov_separ_signers/Liz_145.mov" TargetMode="External"/><Relationship Id="rId1367" Type="http://schemas.openxmlformats.org/officeDocument/2006/relationships/hyperlink" Target="http://csr.bu.edu/ftp/asl/asllvd/demos/verify_start_end_handshape_annotations//test_auto_move//signs_mov/145.mov" TargetMode="External"/><Relationship Id="rId1368" Type="http://schemas.openxmlformats.org/officeDocument/2006/relationships/hyperlink" Target="http://csr.bu.edu/ftp/asl/asllvd/demos/verify_start_end_handshape_annotations//test_auto_move//signs_mov_separ_signers/Tyler_145.mov" TargetMode="External"/><Relationship Id="rId1369" Type="http://schemas.openxmlformats.org/officeDocument/2006/relationships/hyperlink" Target="http://secrets.rutgers.edu:8080/data/asl-ftp/asllvd/demos/verify_start_end_handshape_annotations//test_auto_move//signs_mov/145.mov" TargetMode="External"/><Relationship Id="rId1370" Type="http://schemas.openxmlformats.org/officeDocument/2006/relationships/hyperlink" Target="http://secrets.rutgers.edu:8080/data/asl-ftp/asllvd/demos/verify_start_end_handshape_annotations//test_auto_move//signs_mov_separ_signers/Tyler_145.mov" TargetMode="External"/><Relationship Id="rId1371" Type="http://schemas.openxmlformats.org/officeDocument/2006/relationships/hyperlink" Target="http://csr.bu.edu/ftp/asl/asllvd/demos/verify_start_end_handshape_annotations//test_auto_move//signs_mov_separ_signers/Naomi_145.mov" TargetMode="External"/><Relationship Id="rId1372" Type="http://schemas.openxmlformats.org/officeDocument/2006/relationships/hyperlink" Target="http://secrets.rutgers.edu:8080/data/asl-ftp/asllvd/demos/verify_start_end_handshape_annotations//test_auto_move//signs_mov_separ_signers/Naomi_145.mov" TargetMode="External"/><Relationship Id="rId1373" Type="http://schemas.openxmlformats.org/officeDocument/2006/relationships/hyperlink" Target="http://csr.bu.edu/ftp/asl/asllvd/demos/verify_start_end_handshape_annotations//test_auto_move//signs_mov_separ_signers/Brady_145.mov" TargetMode="External"/><Relationship Id="rId1374" Type="http://schemas.openxmlformats.org/officeDocument/2006/relationships/hyperlink" Target="http://secrets.rutgers.edu:8080/data/asl-ftp/asllvd/demos/verify_start_end_handshape_annotations//test_auto_move//signs_mov_separ_signers/Brady_145.mov" TargetMode="External"/><Relationship Id="rId1375" Type="http://schemas.openxmlformats.org/officeDocument/2006/relationships/hyperlink" Target="http://csr.bu.edu/ftp/asl/asllvd/demos/verify_start_end_handshape_annotations//test_auto_move//signs_mov_separ_signers/Liz_146.mov" TargetMode="External"/><Relationship Id="rId1376" Type="http://schemas.openxmlformats.org/officeDocument/2006/relationships/hyperlink" Target="http://secrets.rutgers.edu:8080/data/asl-ftp/asllvd/demos/verify_start_end_handshape_annotations//test_auto_move//signs_mov_separ_signers/Liz_146.mov" TargetMode="External"/><Relationship Id="rId1377" Type="http://schemas.openxmlformats.org/officeDocument/2006/relationships/hyperlink" Target="http://csr.bu.edu/ftp/asl/asllvd/demos/verify_start_end_handshape_annotations//test_auto_move//signs_mov/146_3914_merged.mov" TargetMode="External"/><Relationship Id="rId1378" Type="http://schemas.openxmlformats.org/officeDocument/2006/relationships/hyperlink" Target="http://csr.bu.edu/ftp/asl/asllvd/demos/verify_start_end_handshape_annotations//test_auto_move//signs_mov_separ_signers/Liz_3914.mov" TargetMode="External"/><Relationship Id="rId1379" Type="http://schemas.openxmlformats.org/officeDocument/2006/relationships/hyperlink" Target="http://secrets.rutgers.edu:8080/data/asl-ftp/asllvd/demos/verify_start_end_handshape_annotations//test_auto_move//signs_mov/146_3914_merged.mov" TargetMode="External"/><Relationship Id="rId1380" Type="http://schemas.openxmlformats.org/officeDocument/2006/relationships/hyperlink" Target="http://secrets.rutgers.edu:8080/data/asl-ftp/asllvd/demos/verify_start_end_handshape_annotations//test_auto_move//signs_mov_separ_signers/Liz_3914.mov" TargetMode="External"/><Relationship Id="rId1381" Type="http://schemas.openxmlformats.org/officeDocument/2006/relationships/hyperlink" Target="http://csr.bu.edu/ftp/asl/asllvd/demos/verify_start_end_handshape_annotations//test_auto_move//signs_mov_separ_signers/Naomi_146.mov" TargetMode="External"/><Relationship Id="rId1382" Type="http://schemas.openxmlformats.org/officeDocument/2006/relationships/hyperlink" Target="http://secrets.rutgers.edu:8080/data/asl-ftp/asllvd/demos/verify_start_end_handshape_annotations//test_auto_move//signs_mov_separ_signers/Naomi_146.mov" TargetMode="External"/><Relationship Id="rId1383" Type="http://schemas.openxmlformats.org/officeDocument/2006/relationships/hyperlink" Target="http://csr.bu.edu/ftp/asl/asllvd/demos/verify_start_end_handshape_annotations//test_auto_move//signs_mov_separ_signers/Brady_146.mov" TargetMode="External"/><Relationship Id="rId1384" Type="http://schemas.openxmlformats.org/officeDocument/2006/relationships/hyperlink" Target="http://secrets.rutgers.edu:8080/data/asl-ftp/asllvd/demos/verify_start_end_handshape_annotations//test_auto_move//signs_mov_separ_signers/Brady_146.mov" TargetMode="External"/><Relationship Id="rId1385" Type="http://schemas.openxmlformats.org/officeDocument/2006/relationships/hyperlink" Target="http://csr.bu.edu/ftp/asl/asllvd/demos/verify_start_end_handshape_annotations//test_auto_move//signs_mov/15951.mov" TargetMode="External"/><Relationship Id="rId1386" Type="http://schemas.openxmlformats.org/officeDocument/2006/relationships/hyperlink" Target="http://csr.bu.edu/ftp/asl/asllvd/demos/verify_start_end_handshape_annotations//test_auto_move//signs_mov_separ_signers/Tyler_15951.mov" TargetMode="External"/><Relationship Id="rId1387" Type="http://schemas.openxmlformats.org/officeDocument/2006/relationships/hyperlink" Target="http://secrets.rutgers.edu:8080/data/asl-ftp/asllvd/demos/verify_start_end_handshape_annotations//test_auto_move//signs_mov/15951.mov" TargetMode="External"/><Relationship Id="rId1388" Type="http://schemas.openxmlformats.org/officeDocument/2006/relationships/hyperlink" Target="http://secrets.rutgers.edu:8080/data/asl-ftp/asllvd/demos/verify_start_end_handshape_annotations//test_auto_move//signs_mov_separ_signers/Tyler_15951.mov" TargetMode="External"/><Relationship Id="rId1389" Type="http://schemas.openxmlformats.org/officeDocument/2006/relationships/hyperlink" Target="http://csr.bu.edu/ftp/asl/asllvd/demos/verify_start_end_handshape_annotations//test_auto_move//signs_mov/16221.mov" TargetMode="External"/><Relationship Id="rId1390" Type="http://schemas.openxmlformats.org/officeDocument/2006/relationships/hyperlink" Target="http://csr.bu.edu/ftp/asl/asllvd/demos/verify_start_end_handshape_annotations//test_auto_move//signs_mov_separ_signers/Liz_16221.mov" TargetMode="External"/><Relationship Id="rId1391" Type="http://schemas.openxmlformats.org/officeDocument/2006/relationships/hyperlink" Target="http://secrets.rutgers.edu:8080/data/asl-ftp/asllvd/demos/verify_start_end_handshape_annotations//test_auto_move//signs_mov/16221.mov" TargetMode="External"/><Relationship Id="rId1392" Type="http://schemas.openxmlformats.org/officeDocument/2006/relationships/hyperlink" Target="http://secrets.rutgers.edu:8080/data/asl-ftp/asllvd/demos/verify_start_end_handshape_annotations//test_auto_move//signs_mov_separ_signers/Liz_16221.mov" TargetMode="External"/><Relationship Id="rId1393" Type="http://schemas.openxmlformats.org/officeDocument/2006/relationships/hyperlink" Target="http://csr.bu.edu/ftp/asl/asllvd/demos/verify_start_end_handshape_annotations//test_auto_move//signs_mov_separ_signers/Brady_16221.mov" TargetMode="External"/><Relationship Id="rId1394" Type="http://schemas.openxmlformats.org/officeDocument/2006/relationships/hyperlink" Target="http://secrets.rutgers.edu:8080/data/asl-ftp/asllvd/demos/verify_start_end_handshape_annotations//test_auto_move//signs_mov_separ_signers/Brady_16221.mov" TargetMode="External"/><Relationship Id="rId1395" Type="http://schemas.openxmlformats.org/officeDocument/2006/relationships/hyperlink" Target="http://csr.bu.edu/ftp/asl/asllvd/demos/verify_start_end_handshape_annotations//test_auto_move//signs_mov/147.mov" TargetMode="External"/><Relationship Id="rId1396" Type="http://schemas.openxmlformats.org/officeDocument/2006/relationships/hyperlink" Target="http://csr.bu.edu/ftp/asl/asllvd/demos/verify_start_end_handshape_annotations//test_auto_move//signs_mov_separ_signers/Tyler_147.mov" TargetMode="External"/><Relationship Id="rId1397" Type="http://schemas.openxmlformats.org/officeDocument/2006/relationships/hyperlink" Target="http://secrets.rutgers.edu:8080/data/asl-ftp/asllvd/demos/verify_start_end_handshape_annotations//test_auto_move//signs_mov/147.mov" TargetMode="External"/><Relationship Id="rId1398" Type="http://schemas.openxmlformats.org/officeDocument/2006/relationships/hyperlink" Target="http://secrets.rutgers.edu:8080/data/asl-ftp/asllvd/demos/verify_start_end_handshape_annotations//test_auto_move//signs_mov_separ_signers/Tyler_147.mov" TargetMode="External"/><Relationship Id="rId1399" Type="http://schemas.openxmlformats.org/officeDocument/2006/relationships/hyperlink" Target="http://csr.bu.edu/ftp/asl/asllvd/demos/verify_start_end_handshape_annotations//test_auto_move//signs_mov_separ_signers/Brady_147.mov" TargetMode="External"/><Relationship Id="rId1400" Type="http://schemas.openxmlformats.org/officeDocument/2006/relationships/hyperlink" Target="http://secrets.rutgers.edu:8080/data/asl-ftp/asllvd/demos/verify_start_end_handshape_annotations//test_auto_move//signs_mov_separ_signers/Brady_147.mov" TargetMode="External"/><Relationship Id="rId1401" Type="http://schemas.openxmlformats.org/officeDocument/2006/relationships/hyperlink" Target="http://csr.bu.edu/ftp/asl/asllvd/demos/verify_start_end_handshape_annotations//test_auto_move//signs_mov_separ_signers/Liz_149.mov" TargetMode="External"/><Relationship Id="rId1402" Type="http://schemas.openxmlformats.org/officeDocument/2006/relationships/hyperlink" Target="http://secrets.rutgers.edu:8080/data/asl-ftp/asllvd/demos/verify_start_end_handshape_annotations//test_auto_move//signs_mov_separ_signers/Liz_149.mov" TargetMode="External"/><Relationship Id="rId1403" Type="http://schemas.openxmlformats.org/officeDocument/2006/relationships/hyperlink" Target="http://csr.bu.edu/ftp/asl/asllvd/demos/verify_start_end_handshape_annotations//test_auto_move//signs_mov/149.mov" TargetMode="External"/><Relationship Id="rId1404" Type="http://schemas.openxmlformats.org/officeDocument/2006/relationships/hyperlink" Target="http://csr.bu.edu/ftp/asl/asllvd/demos/verify_start_end_handshape_annotations//test_auto_move//signs_mov_separ_signers/Naomi_149.mov" TargetMode="External"/><Relationship Id="rId1405" Type="http://schemas.openxmlformats.org/officeDocument/2006/relationships/hyperlink" Target="http://secrets.rutgers.edu:8080/data/asl-ftp/asllvd/demos/verify_start_end_handshape_annotations//test_auto_move//signs_mov/149.mov" TargetMode="External"/><Relationship Id="rId1406" Type="http://schemas.openxmlformats.org/officeDocument/2006/relationships/hyperlink" Target="http://secrets.rutgers.edu:8080/data/asl-ftp/asllvd/demos/verify_start_end_handshape_annotations//test_auto_move//signs_mov_separ_signers/Naomi_149.mov" TargetMode="External"/><Relationship Id="rId1407" Type="http://schemas.openxmlformats.org/officeDocument/2006/relationships/hyperlink" Target="http://csr.bu.edu/ftp/asl/asllvd/demos/verify_start_end_handshape_annotations//test_auto_move//signs_mov_separ_signers/Brady_149.mov" TargetMode="External"/><Relationship Id="rId1408" Type="http://schemas.openxmlformats.org/officeDocument/2006/relationships/hyperlink" Target="http://secrets.rutgers.edu:8080/data/asl-ftp/asllvd/demos/verify_start_end_handshape_annotations//test_auto_move//signs_mov_separ_signers/Brady_149.mov" TargetMode="External"/><Relationship Id="rId1409" Type="http://schemas.openxmlformats.org/officeDocument/2006/relationships/hyperlink" Target="http://csr.bu.edu/ftp/asl/asllvd/demos/verify_start_end_handshape_annotations//test_auto_move//signs_mov_separ_signers/Liz_150.mov" TargetMode="External"/><Relationship Id="rId1410" Type="http://schemas.openxmlformats.org/officeDocument/2006/relationships/hyperlink" Target="http://secrets.rutgers.edu:8080/data/asl-ftp/asllvd/demos/verify_start_end_handshape_annotations//test_auto_move//signs_mov_separ_signers/Liz_150.mov" TargetMode="External"/><Relationship Id="rId1411" Type="http://schemas.openxmlformats.org/officeDocument/2006/relationships/hyperlink" Target="http://csr.bu.edu/ftp/asl/asllvd/demos/verify_start_end_handshape_annotations//test_auto_move//signs_mov/150.mov" TargetMode="External"/><Relationship Id="rId1412" Type="http://schemas.openxmlformats.org/officeDocument/2006/relationships/hyperlink" Target="http://csr.bu.edu/ftp/asl/asllvd/demos/verify_start_end_handshape_annotations//test_auto_move//signs_mov_separ_signers/Naomi_150.mov" TargetMode="External"/><Relationship Id="rId1413" Type="http://schemas.openxmlformats.org/officeDocument/2006/relationships/hyperlink" Target="http://secrets.rutgers.edu:8080/data/asl-ftp/asllvd/demos/verify_start_end_handshape_annotations//test_auto_move//signs_mov/150.mov" TargetMode="External"/><Relationship Id="rId1414" Type="http://schemas.openxmlformats.org/officeDocument/2006/relationships/hyperlink" Target="http://secrets.rutgers.edu:8080/data/asl-ftp/asllvd/demos/verify_start_end_handshape_annotations//test_auto_move//signs_mov_separ_signers/Naomi_150.mov" TargetMode="External"/><Relationship Id="rId1415" Type="http://schemas.openxmlformats.org/officeDocument/2006/relationships/hyperlink" Target="http://csr.bu.edu/ftp/asl/asllvd/demos/verify_start_end_handshape_annotations//test_auto_move//signs_mov_separ_signers/Brady_150.mov" TargetMode="External"/><Relationship Id="rId1416" Type="http://schemas.openxmlformats.org/officeDocument/2006/relationships/hyperlink" Target="http://secrets.rutgers.edu:8080/data/asl-ftp/asllvd/demos/verify_start_end_handshape_annotations//test_auto_move//signs_mov_separ_signers/Brady_150.mov" TargetMode="External"/><Relationship Id="rId1417" Type="http://schemas.openxmlformats.org/officeDocument/2006/relationships/hyperlink" Target="http://csr.bu.edu/ftp/asl/asllvd/demos/verify_start_end_handshape_annotations//test_auto_move//signs_mov_separ_signers/Dana_150.mov" TargetMode="External"/><Relationship Id="rId1418" Type="http://schemas.openxmlformats.org/officeDocument/2006/relationships/hyperlink" Target="http://secrets.rutgers.edu:8080/data/asl-ftp/asllvd/demos/verify_start_end_handshape_annotations//test_auto_move//signs_mov_separ_signers/Dana_150.mov" TargetMode="External"/><Relationship Id="rId1419" Type="http://schemas.openxmlformats.org/officeDocument/2006/relationships/hyperlink" Target="http://csr.bu.edu/ftp/asl/asllvd/demos/verify_start_end_handshape_annotations//test_auto_move//signs_mov/5533.mov" TargetMode="External"/><Relationship Id="rId1420" Type="http://schemas.openxmlformats.org/officeDocument/2006/relationships/hyperlink" Target="http://csr.bu.edu/ftp/asl/asllvd/demos/verify_start_end_handshape_annotations//test_auto_move//signs_mov_separ_signers/Lana_5533.mov" TargetMode="External"/><Relationship Id="rId1421" Type="http://schemas.openxmlformats.org/officeDocument/2006/relationships/hyperlink" Target="http://secrets.rutgers.edu:8080/data/asl-ftp/asllvd/demos/verify_start_end_handshape_annotations//test_auto_move//signs_mov/5533.mov" TargetMode="External"/><Relationship Id="rId1422" Type="http://schemas.openxmlformats.org/officeDocument/2006/relationships/hyperlink" Target="http://secrets.rutgers.edu:8080/data/asl-ftp/asllvd/demos/verify_start_end_handshape_annotations//test_auto_move//signs_mov_separ_signers/Lana_5533.mov" TargetMode="External"/><Relationship Id="rId1423" Type="http://schemas.openxmlformats.org/officeDocument/2006/relationships/hyperlink" Target="http://csr.bu.edu/ftp/asl/asllvd/demos/verify_start_end_handshape_annotations//test_auto_move//signs_mov_separ_signers/Liz_15605.mov" TargetMode="External"/><Relationship Id="rId1424" Type="http://schemas.openxmlformats.org/officeDocument/2006/relationships/hyperlink" Target="http://secrets.rutgers.edu:8080/data/asl-ftp/asllvd/demos/verify_start_end_handshape_annotations//test_auto_move//signs_mov_separ_signers/Liz_15605.mov" TargetMode="External"/><Relationship Id="rId1425" Type="http://schemas.openxmlformats.org/officeDocument/2006/relationships/hyperlink" Target="http://csr.bu.edu/ftp/asl/asllvd/demos/verify_start_end_handshape_annotations//test_auto_move//signs_mov/15605.mov" TargetMode="External"/><Relationship Id="rId1426" Type="http://schemas.openxmlformats.org/officeDocument/2006/relationships/hyperlink" Target="http://csr.bu.edu/ftp/asl/asllvd/demos/verify_start_end_handshape_annotations//test_auto_move//signs_mov_separ_signers/Brady_15605.mov" TargetMode="External"/><Relationship Id="rId1427" Type="http://schemas.openxmlformats.org/officeDocument/2006/relationships/hyperlink" Target="http://secrets.rutgers.edu:8080/data/asl-ftp/asllvd/demos/verify_start_end_handshape_annotations//test_auto_move//signs_mov/15605.mov" TargetMode="External"/><Relationship Id="rId1428" Type="http://schemas.openxmlformats.org/officeDocument/2006/relationships/hyperlink" Target="http://secrets.rutgers.edu:8080/data/asl-ftp/asllvd/demos/verify_start_end_handshape_annotations//test_auto_move//signs_mov_separ_signers/Brady_15605.mov" TargetMode="External"/><Relationship Id="rId1429" Type="http://schemas.openxmlformats.org/officeDocument/2006/relationships/hyperlink" Target="http://csr.bu.edu/ftp/asl/asllvd/demos/verify_start_end_handshape_annotations//test_auto_move//signs_mov_separ_signers/Dana_15605.mov" TargetMode="External"/><Relationship Id="rId1430" Type="http://schemas.openxmlformats.org/officeDocument/2006/relationships/hyperlink" Target="http://secrets.rutgers.edu:8080/data/asl-ftp/asllvd/demos/verify_start_end_handshape_annotations//test_auto_move//signs_mov_separ_signers/Dana_15605.mov" TargetMode="External"/><Relationship Id="rId1431" Type="http://schemas.openxmlformats.org/officeDocument/2006/relationships/hyperlink" Target="http://csr.bu.edu/ftp/asl/asllvd/demos/verify_start_end_handshape_annotations//test_auto_move//signs_mov/16222.mov" TargetMode="External"/><Relationship Id="rId1432" Type="http://schemas.openxmlformats.org/officeDocument/2006/relationships/hyperlink" Target="http://csr.bu.edu/ftp/asl/asllvd/demos/verify_start_end_handshape_annotations//test_auto_move//signs_mov_separ_signers/Lana_16222.mov" TargetMode="External"/><Relationship Id="rId1433" Type="http://schemas.openxmlformats.org/officeDocument/2006/relationships/hyperlink" Target="http://secrets.rutgers.edu:8080/data/asl-ftp/asllvd/demos/verify_start_end_handshape_annotations//test_auto_move//signs_mov/16222.mov" TargetMode="External"/><Relationship Id="rId1434" Type="http://schemas.openxmlformats.org/officeDocument/2006/relationships/hyperlink" Target="http://secrets.rutgers.edu:8080/data/asl-ftp/asllvd/demos/verify_start_end_handshape_annotations//test_auto_move//signs_mov_separ_signers/Lana_16222.mov" TargetMode="External"/><Relationship Id="rId1435" Type="http://schemas.openxmlformats.org/officeDocument/2006/relationships/hyperlink" Target="http://csr.bu.edu/ftp/asl/asllvd/demos/verify_start_end_handshape_annotations//test_auto_move//signs_mov_separ_signers/Liz_151.mov" TargetMode="External"/><Relationship Id="rId1436" Type="http://schemas.openxmlformats.org/officeDocument/2006/relationships/hyperlink" Target="http://secrets.rutgers.edu:8080/data/asl-ftp/asllvd/demos/verify_start_end_handshape_annotations//test_auto_move//signs_mov_separ_signers/Liz_151.mov" TargetMode="External"/><Relationship Id="rId1437" Type="http://schemas.openxmlformats.org/officeDocument/2006/relationships/hyperlink" Target="http://csr.bu.edu/ftp/asl/asllvd/demos/verify_start_end_handshape_annotations//test_auto_move//signs_mov/151.mov" TargetMode="External"/><Relationship Id="rId1438" Type="http://schemas.openxmlformats.org/officeDocument/2006/relationships/hyperlink" Target="http://csr.bu.edu/ftp/asl/asllvd/demos/verify_start_end_handshape_annotations//test_auto_move//signs_mov_separ_signers/Naomi_151.mov" TargetMode="External"/><Relationship Id="rId1439" Type="http://schemas.openxmlformats.org/officeDocument/2006/relationships/hyperlink" Target="http://secrets.rutgers.edu:8080/data/asl-ftp/asllvd/demos/verify_start_end_handshape_annotations//test_auto_move//signs_mov/151.mov" TargetMode="External"/><Relationship Id="rId1440" Type="http://schemas.openxmlformats.org/officeDocument/2006/relationships/hyperlink" Target="http://secrets.rutgers.edu:8080/data/asl-ftp/asllvd/demos/verify_start_end_handshape_annotations//test_auto_move//signs_mov_separ_signers/Naomi_151.mov" TargetMode="External"/><Relationship Id="rId1441" Type="http://schemas.openxmlformats.org/officeDocument/2006/relationships/hyperlink" Target="http://csr.bu.edu/ftp/asl/asllvd/demos/verify_start_end_handshape_annotations//test_auto_move//signs_mov_separ_signers/Brady_151.mov" TargetMode="External"/><Relationship Id="rId1442" Type="http://schemas.openxmlformats.org/officeDocument/2006/relationships/hyperlink" Target="http://secrets.rutgers.edu:8080/data/asl-ftp/asllvd/demos/verify_start_end_handshape_annotations//test_auto_move//signs_mov_separ_signers/Brady_151.mov" TargetMode="External"/><Relationship Id="rId1443" Type="http://schemas.openxmlformats.org/officeDocument/2006/relationships/hyperlink" Target="http://csr.bu.edu/ftp/asl/asllvd/demos/verify_start_end_handshape_annotations//test_auto_move//signs_mov_separ_signers/Liz_5739.mov" TargetMode="External"/><Relationship Id="rId1444" Type="http://schemas.openxmlformats.org/officeDocument/2006/relationships/hyperlink" Target="http://secrets.rutgers.edu:8080/data/asl-ftp/asllvd/demos/verify_start_end_handshape_annotations//test_auto_move//signs_mov_separ_signers/Liz_5739.mov" TargetMode="External"/><Relationship Id="rId1445" Type="http://schemas.openxmlformats.org/officeDocument/2006/relationships/hyperlink" Target="http://csr.bu.edu/ftp/asl/asllvd/demos/verify_start_end_handshape_annotations//test_auto_move//signs_mov/5739.mov" TargetMode="External"/><Relationship Id="rId1446" Type="http://schemas.openxmlformats.org/officeDocument/2006/relationships/hyperlink" Target="http://csr.bu.edu/ftp/asl/asllvd/demos/verify_start_end_handshape_annotations//test_auto_move//signs_mov_separ_signers/Tyler_5739.mov" TargetMode="External"/><Relationship Id="rId1447" Type="http://schemas.openxmlformats.org/officeDocument/2006/relationships/hyperlink" Target="http://secrets.rutgers.edu:8080/data/asl-ftp/asllvd/demos/verify_start_end_handshape_annotations//test_auto_move//signs_mov/5739.mov" TargetMode="External"/><Relationship Id="rId1448" Type="http://schemas.openxmlformats.org/officeDocument/2006/relationships/hyperlink" Target="http://secrets.rutgers.edu:8080/data/asl-ftp/asllvd/demos/verify_start_end_handshape_annotations//test_auto_move//signs_mov_separ_signers/Tyler_5739.mov" TargetMode="External"/><Relationship Id="rId1449" Type="http://schemas.openxmlformats.org/officeDocument/2006/relationships/hyperlink" Target="http://csr.bu.edu/ftp/asl/asllvd/demos/verify_start_end_handshape_annotations//test_auto_move//signs_mov_separ_signers/Naomi_5739.mov" TargetMode="External"/><Relationship Id="rId1450" Type="http://schemas.openxmlformats.org/officeDocument/2006/relationships/hyperlink" Target="http://secrets.rutgers.edu:8080/data/asl-ftp/asllvd/demos/verify_start_end_handshape_annotations//test_auto_move//signs_mov_separ_signers/Naomi_5739.mov" TargetMode="External"/><Relationship Id="rId1451" Type="http://schemas.openxmlformats.org/officeDocument/2006/relationships/hyperlink" Target="http://csr.bu.edu/ftp/asl/asllvd/demos/verify_start_end_handshape_annotations//test_auto_move//signs_mov_separ_signers/Brady_5739.mov" TargetMode="External"/><Relationship Id="rId1452" Type="http://schemas.openxmlformats.org/officeDocument/2006/relationships/hyperlink" Target="http://secrets.rutgers.edu:8080/data/asl-ftp/asllvd/demos/verify_start_end_handshape_annotations//test_auto_move//signs_mov_separ_signers/Brady_5739.mov" TargetMode="External"/><Relationship Id="rId1453" Type="http://schemas.openxmlformats.org/officeDocument/2006/relationships/hyperlink" Target="http://csr.bu.edu/ftp/asl/asllvd/demos/verify_start_end_handshape_annotations//test_auto_move//signs_mov/153.mov" TargetMode="External"/><Relationship Id="rId1454" Type="http://schemas.openxmlformats.org/officeDocument/2006/relationships/hyperlink" Target="http://csr.bu.edu/ftp/asl/asllvd/demos/verify_start_end_handshape_annotations//test_auto_move//signs_mov_separ_signers/Liz_153.mov" TargetMode="External"/><Relationship Id="rId1455" Type="http://schemas.openxmlformats.org/officeDocument/2006/relationships/hyperlink" Target="http://secrets.rutgers.edu:8080/data/asl-ftp/asllvd/demos/verify_start_end_handshape_annotations//test_auto_move//signs_mov/153.mov" TargetMode="External"/><Relationship Id="rId1456" Type="http://schemas.openxmlformats.org/officeDocument/2006/relationships/hyperlink" Target="http://secrets.rutgers.edu:8080/data/asl-ftp/asllvd/demos/verify_start_end_handshape_annotations//test_auto_move//signs_mov_separ_signers/Liz_153.mov" TargetMode="External"/><Relationship Id="rId1457" Type="http://schemas.openxmlformats.org/officeDocument/2006/relationships/hyperlink" Target="http://csr.bu.edu/ftp/asl/asllvd/demos/verify_start_end_handshape_annotations//test_auto_move//signs_mov_separ_signers/Brady_153.mov" TargetMode="External"/><Relationship Id="rId1458" Type="http://schemas.openxmlformats.org/officeDocument/2006/relationships/hyperlink" Target="http://secrets.rutgers.edu:8080/data/asl-ftp/asllvd/demos/verify_start_end_handshape_annotations//test_auto_move//signs_mov_separ_signers/Brady_153.mov" TargetMode="External"/><Relationship Id="rId1459" Type="http://schemas.openxmlformats.org/officeDocument/2006/relationships/hyperlink" Target="http://csr.bu.edu/ftp/asl/asllvd/demos/verify_start_end_handshape_annotations//test_auto_move//signs_mov_separ_signers/Liz_158.mov" TargetMode="External"/><Relationship Id="rId1460" Type="http://schemas.openxmlformats.org/officeDocument/2006/relationships/hyperlink" Target="http://secrets.rutgers.edu:8080/data/asl-ftp/asllvd/demos/verify_start_end_handshape_annotations//test_auto_move//signs_mov_separ_signers/Liz_158.mov" TargetMode="External"/><Relationship Id="rId1461" Type="http://schemas.openxmlformats.org/officeDocument/2006/relationships/hyperlink" Target="http://csr.bu.edu/ftp/asl/asllvd/demos/verify_start_end_handshape_annotations//test_auto_move//signs_mov/158.mov" TargetMode="External"/><Relationship Id="rId1462" Type="http://schemas.openxmlformats.org/officeDocument/2006/relationships/hyperlink" Target="http://csr.bu.edu/ftp/asl/asllvd/demos/verify_start_end_handshape_annotations//test_auto_move//signs_mov_separ_signers/Tyler_158.mov" TargetMode="External"/><Relationship Id="rId1463" Type="http://schemas.openxmlformats.org/officeDocument/2006/relationships/hyperlink" Target="http://secrets.rutgers.edu:8080/data/asl-ftp/asllvd/demos/verify_start_end_handshape_annotations//test_auto_move//signs_mov/158.mov" TargetMode="External"/><Relationship Id="rId1464" Type="http://schemas.openxmlformats.org/officeDocument/2006/relationships/hyperlink" Target="http://secrets.rutgers.edu:8080/data/asl-ftp/asllvd/demos/verify_start_end_handshape_annotations//test_auto_move//signs_mov_separ_signers/Tyler_158.mov" TargetMode="External"/><Relationship Id="rId1465" Type="http://schemas.openxmlformats.org/officeDocument/2006/relationships/hyperlink" Target="http://csr.bu.edu/ftp/asl/asllvd/demos/verify_start_end_handshape_annotations//test_auto_move//signs_mov_separ_signers/Naomi_158.mov" TargetMode="External"/><Relationship Id="rId1466" Type="http://schemas.openxmlformats.org/officeDocument/2006/relationships/hyperlink" Target="http://secrets.rutgers.edu:8080/data/asl-ftp/asllvd/demos/verify_start_end_handshape_annotations//test_auto_move//signs_mov_separ_signers/Naomi_158.mov" TargetMode="External"/><Relationship Id="rId1467" Type="http://schemas.openxmlformats.org/officeDocument/2006/relationships/hyperlink" Target="http://csr.bu.edu/ftp/asl/asllvd/demos/verify_start_end_handshape_annotations//test_auto_move//signs_mov_separ_signers/Brady_158.mov" TargetMode="External"/><Relationship Id="rId1468" Type="http://schemas.openxmlformats.org/officeDocument/2006/relationships/hyperlink" Target="http://secrets.rutgers.edu:8080/data/asl-ftp/asllvd/demos/verify_start_end_handshape_annotations//test_auto_move//signs_mov_separ_signers/Brady_158.mov" TargetMode="External"/><Relationship Id="rId1469" Type="http://schemas.openxmlformats.org/officeDocument/2006/relationships/hyperlink" Target="http://csr.bu.edu/ftp/asl/asllvd/demos/verify_start_end_handshape_annotations//test_auto_move//signs_mov/15559.mov" TargetMode="External"/><Relationship Id="rId1470" Type="http://schemas.openxmlformats.org/officeDocument/2006/relationships/hyperlink" Target="http://csr.bu.edu/ftp/asl/asllvd/demos/verify_start_end_handshape_annotations//test_auto_move//signs_mov_separ_signers/Liz_15559.mov" TargetMode="External"/><Relationship Id="rId1471" Type="http://schemas.openxmlformats.org/officeDocument/2006/relationships/hyperlink" Target="http://secrets.rutgers.edu:8080/data/asl-ftp/asllvd/demos/verify_start_end_handshape_annotations//test_auto_move//signs_mov/15559.mov" TargetMode="External"/><Relationship Id="rId1472" Type="http://schemas.openxmlformats.org/officeDocument/2006/relationships/hyperlink" Target="http://secrets.rutgers.edu:8080/data/asl-ftp/asllvd/demos/verify_start_end_handshape_annotations//test_auto_move//signs_mov_separ_signers/Liz_15559.mov" TargetMode="External"/><Relationship Id="rId1473" Type="http://schemas.openxmlformats.org/officeDocument/2006/relationships/hyperlink" Target="http://csr.bu.edu/ftp/asl/asllvd/demos/verify_start_end_handshape_annotations//test_auto_move//signs_mov_separ_signers/Brady_15559.mov" TargetMode="External"/><Relationship Id="rId1474" Type="http://schemas.openxmlformats.org/officeDocument/2006/relationships/hyperlink" Target="http://secrets.rutgers.edu:8080/data/asl-ftp/asllvd/demos/verify_start_end_handshape_annotations//test_auto_move//signs_mov_separ_signers/Brady_15559.mov" TargetMode="External"/><Relationship Id="rId1475" Type="http://schemas.openxmlformats.org/officeDocument/2006/relationships/hyperlink" Target="http://csr.bu.edu/ftp/asl/asllvd/demos/verify_start_end_handshape_annotations//test_auto_move//signs_mov/15595.mov" TargetMode="External"/><Relationship Id="rId1476" Type="http://schemas.openxmlformats.org/officeDocument/2006/relationships/hyperlink" Target="http://csr.bu.edu/ftp/asl/asllvd/demos/verify_start_end_handshape_annotations//test_auto_move//signs_mov_separ_signers/Brady_15595.mov" TargetMode="External"/><Relationship Id="rId1477" Type="http://schemas.openxmlformats.org/officeDocument/2006/relationships/hyperlink" Target="http://secrets.rutgers.edu:8080/data/asl-ftp/asllvd/demos/verify_start_end_handshape_annotations//test_auto_move//signs_mov/15595.mov" TargetMode="External"/><Relationship Id="rId1478" Type="http://schemas.openxmlformats.org/officeDocument/2006/relationships/hyperlink" Target="http://secrets.rutgers.edu:8080/data/asl-ftp/asllvd/demos/verify_start_end_handshape_annotations//test_auto_move//signs_mov_separ_signers/Brady_15595.mov" TargetMode="External"/><Relationship Id="rId1479" Type="http://schemas.openxmlformats.org/officeDocument/2006/relationships/hyperlink" Target="http://csr.bu.edu/ftp/asl/asllvd/demos/verify_start_end_handshape_annotations//test_auto_move//signs_mov/15602.mov" TargetMode="External"/><Relationship Id="rId1480" Type="http://schemas.openxmlformats.org/officeDocument/2006/relationships/hyperlink" Target="http://csr.bu.edu/ftp/asl/asllvd/demos/verify_start_end_handshape_annotations//test_auto_move//signs_mov_separ_signers/Liz_15602.mov" TargetMode="External"/><Relationship Id="rId1481" Type="http://schemas.openxmlformats.org/officeDocument/2006/relationships/hyperlink" Target="http://secrets.rutgers.edu:8080/data/asl-ftp/asllvd/demos/verify_start_end_handshape_annotations//test_auto_move//signs_mov/15602.mov" TargetMode="External"/><Relationship Id="rId1482" Type="http://schemas.openxmlformats.org/officeDocument/2006/relationships/hyperlink" Target="http://secrets.rutgers.edu:8080/data/asl-ftp/asllvd/demos/verify_start_end_handshape_annotations//test_auto_move//signs_mov_separ_signers/Liz_15602.mov" TargetMode="External"/><Relationship Id="rId1483" Type="http://schemas.openxmlformats.org/officeDocument/2006/relationships/hyperlink" Target="http://csr.bu.edu/ftp/asl/asllvd/demos/verify_start_end_handshape_annotations//test_auto_move//signs_mov/16497.mov" TargetMode="External"/><Relationship Id="rId1484" Type="http://schemas.openxmlformats.org/officeDocument/2006/relationships/hyperlink" Target="http://csr.bu.edu/ftp/asl/asllvd/demos/verify_start_end_handshape_annotations//test_auto_move//signs_mov_separ_signers/Brady_16497.mov" TargetMode="External"/><Relationship Id="rId1485" Type="http://schemas.openxmlformats.org/officeDocument/2006/relationships/hyperlink" Target="http://secrets.rutgers.edu:8080/data/asl-ftp/asllvd/demos/verify_start_end_handshape_annotations//test_auto_move//signs_mov/16497.mov" TargetMode="External"/><Relationship Id="rId1486" Type="http://schemas.openxmlformats.org/officeDocument/2006/relationships/hyperlink" Target="http://secrets.rutgers.edu:8080/data/asl-ftp/asllvd/demos/verify_start_end_handshape_annotations//test_auto_move//signs_mov_separ_signers/Brady_16497.mov" TargetMode="External"/><Relationship Id="rId1487" Type="http://schemas.openxmlformats.org/officeDocument/2006/relationships/hyperlink" Target="http://csr.bu.edu/ftp/asl/asllvd/demos/verify_start_end_handshape_annotations//test_auto_move//signs_mov_separ_signers/Liz_159.mov" TargetMode="External"/><Relationship Id="rId1488" Type="http://schemas.openxmlformats.org/officeDocument/2006/relationships/hyperlink" Target="http://secrets.rutgers.edu:8080/data/asl-ftp/asllvd/demos/verify_start_end_handshape_annotations//test_auto_move//signs_mov_separ_signers/Liz_159.mov" TargetMode="External"/><Relationship Id="rId1489" Type="http://schemas.openxmlformats.org/officeDocument/2006/relationships/hyperlink" Target="http://csr.bu.edu/ftp/asl/asllvd/demos/verify_start_end_handshape_annotations//test_auto_move//signs_mov_separ_signers/Tyler_159.mov" TargetMode="External"/><Relationship Id="rId1490" Type="http://schemas.openxmlformats.org/officeDocument/2006/relationships/hyperlink" Target="http://secrets.rutgers.edu:8080/data/asl-ftp/asllvd/demos/verify_start_end_handshape_annotations//test_auto_move//signs_mov_separ_signers/Tyler_159.mov" TargetMode="External"/><Relationship Id="rId1491" Type="http://schemas.openxmlformats.org/officeDocument/2006/relationships/hyperlink" Target="http://csr.bu.edu/ftp/asl/asllvd/demos/verify_start_end_handshape_annotations//test_auto_move//signs_mov/159_3645_merged.mov" TargetMode="External"/><Relationship Id="rId1492" Type="http://schemas.openxmlformats.org/officeDocument/2006/relationships/hyperlink" Target="http://csr.bu.edu/ftp/asl/asllvd/demos/verify_start_end_handshape_annotations//test_auto_move//signs_mov_separ_signers/Tyler_3645.mov" TargetMode="External"/><Relationship Id="rId1493" Type="http://schemas.openxmlformats.org/officeDocument/2006/relationships/hyperlink" Target="http://secrets.rutgers.edu:8080/data/asl-ftp/asllvd/demos/verify_start_end_handshape_annotations//test_auto_move//signs_mov/159_3645_merged.mov" TargetMode="External"/><Relationship Id="rId1494" Type="http://schemas.openxmlformats.org/officeDocument/2006/relationships/hyperlink" Target="http://secrets.rutgers.edu:8080/data/asl-ftp/asllvd/demos/verify_start_end_handshape_annotations//test_auto_move//signs_mov_separ_signers/Tyler_3645.mov" TargetMode="External"/><Relationship Id="rId1495" Type="http://schemas.openxmlformats.org/officeDocument/2006/relationships/hyperlink" Target="http://csr.bu.edu/ftp/asl/asllvd/demos/verify_start_end_handshape_annotations//test_auto_move//signs_mov_separ_signers/Naomi_159.mov" TargetMode="External"/><Relationship Id="rId1496" Type="http://schemas.openxmlformats.org/officeDocument/2006/relationships/hyperlink" Target="http://secrets.rutgers.edu:8080/data/asl-ftp/asllvd/demos/verify_start_end_handshape_annotations//test_auto_move//signs_mov_separ_signers/Naomi_159.mov" TargetMode="External"/><Relationship Id="rId1497" Type="http://schemas.openxmlformats.org/officeDocument/2006/relationships/hyperlink" Target="http://csr.bu.edu/ftp/asl/asllvd/demos/verify_start_end_handshape_annotations//test_auto_move//signs_mov_separ_signers/Naomi_3645.mov" TargetMode="External"/><Relationship Id="rId1498" Type="http://schemas.openxmlformats.org/officeDocument/2006/relationships/hyperlink" Target="http://secrets.rutgers.edu:8080/data/asl-ftp/asllvd/demos/verify_start_end_handshape_annotations//test_auto_move//signs_mov_separ_signers/Naomi_3645.mov" TargetMode="External"/><Relationship Id="rId1499" Type="http://schemas.openxmlformats.org/officeDocument/2006/relationships/hyperlink" Target="http://csr.bu.edu/ftp/asl/asllvd/demos/verify_start_end_handshape_annotations//test_auto_move//signs_mov_separ_signers/Brady_159.mov" TargetMode="External"/><Relationship Id="rId1500" Type="http://schemas.openxmlformats.org/officeDocument/2006/relationships/hyperlink" Target="http://secrets.rutgers.edu:8080/data/asl-ftp/asllvd/demos/verify_start_end_handshape_annotations//test_auto_move//signs_mov_separ_signers/Brady_159.mov" TargetMode="External"/><Relationship Id="rId1501" Type="http://schemas.openxmlformats.org/officeDocument/2006/relationships/hyperlink" Target="http://csr.bu.edu/ftp/asl/asllvd/demos/verify_start_end_handshape_annotations//test_auto_move//signs_mov/16376.mov" TargetMode="External"/><Relationship Id="rId1502" Type="http://schemas.openxmlformats.org/officeDocument/2006/relationships/hyperlink" Target="http://csr.bu.edu/ftp/asl/asllvd/demos/verify_start_end_handshape_annotations//test_auto_move//signs_mov_separ_signers/Liz_16376.mov" TargetMode="External"/><Relationship Id="rId1503" Type="http://schemas.openxmlformats.org/officeDocument/2006/relationships/hyperlink" Target="http://secrets.rutgers.edu:8080/data/asl-ftp/asllvd/demos/verify_start_end_handshape_annotations//test_auto_move//signs_mov/16376.mov" TargetMode="External"/><Relationship Id="rId1504" Type="http://schemas.openxmlformats.org/officeDocument/2006/relationships/hyperlink" Target="http://secrets.rutgers.edu:8080/data/asl-ftp/asllvd/demos/verify_start_end_handshape_annotations//test_auto_move//signs_mov_separ_signers/Liz_16376.mov" TargetMode="External"/><Relationship Id="rId1505" Type="http://schemas.openxmlformats.org/officeDocument/2006/relationships/hyperlink" Target="http://csr.bu.edu/ftp/asl/asllvd/demos/verify_start_end_handshape_annotations//test_auto_move//signs_mov_separ_signers/Brady_16376.mov" TargetMode="External"/><Relationship Id="rId1506" Type="http://schemas.openxmlformats.org/officeDocument/2006/relationships/hyperlink" Target="http://secrets.rutgers.edu:8080/data/asl-ftp/asllvd/demos/verify_start_end_handshape_annotations//test_auto_move//signs_mov_separ_signers/Brady_16376.mov" TargetMode="External"/><Relationship Id="rId1507" Type="http://schemas.openxmlformats.org/officeDocument/2006/relationships/hyperlink" Target="http://csr.bu.edu/ftp/asl/asllvd/demos/verify_start_end_handshape_annotations//test_auto_move//signs_mov_separ_signers/Liz_161.mov" TargetMode="External"/><Relationship Id="rId1508" Type="http://schemas.openxmlformats.org/officeDocument/2006/relationships/hyperlink" Target="http://secrets.rutgers.edu:8080/data/asl-ftp/asllvd/demos/verify_start_end_handshape_annotations//test_auto_move//signs_mov_separ_signers/Liz_161.mov" TargetMode="External"/><Relationship Id="rId1509" Type="http://schemas.openxmlformats.org/officeDocument/2006/relationships/hyperlink" Target="http://csr.bu.edu/ftp/asl/asllvd/demos/verify_start_end_handshape_annotations//test_auto_move//signs_mov_separ_signers/Tyler_161.mov" TargetMode="External"/><Relationship Id="rId1510" Type="http://schemas.openxmlformats.org/officeDocument/2006/relationships/hyperlink" Target="http://secrets.rutgers.edu:8080/data/asl-ftp/asllvd/demos/verify_start_end_handshape_annotations//test_auto_move//signs_mov_separ_signers/Tyler_161.mov" TargetMode="External"/><Relationship Id="rId1511" Type="http://schemas.openxmlformats.org/officeDocument/2006/relationships/hyperlink" Target="http://csr.bu.edu/ftp/asl/asllvd/demos/verify_start_end_handshape_annotations//test_auto_move//signs_mov/161.mov" TargetMode="External"/><Relationship Id="rId1512" Type="http://schemas.openxmlformats.org/officeDocument/2006/relationships/hyperlink" Target="http://csr.bu.edu/ftp/asl/asllvd/demos/verify_start_end_handshape_annotations//test_auto_move//signs_mov_separ_signers/Naomi_161.mov" TargetMode="External"/><Relationship Id="rId1513" Type="http://schemas.openxmlformats.org/officeDocument/2006/relationships/hyperlink" Target="http://secrets.rutgers.edu:8080/data/asl-ftp/asllvd/demos/verify_start_end_handshape_annotations//test_auto_move//signs_mov/161.mov" TargetMode="External"/><Relationship Id="rId1514" Type="http://schemas.openxmlformats.org/officeDocument/2006/relationships/hyperlink" Target="http://secrets.rutgers.edu:8080/data/asl-ftp/asllvd/demos/verify_start_end_handshape_annotations//test_auto_move//signs_mov_separ_signers/Naomi_161.mov" TargetMode="External"/><Relationship Id="rId1515" Type="http://schemas.openxmlformats.org/officeDocument/2006/relationships/hyperlink" Target="http://csr.bu.edu/ftp/asl/asllvd/demos/verify_start_end_handshape_annotations//test_auto_move//signs_mov_separ_signers/Brady_161.mov" TargetMode="External"/><Relationship Id="rId1516" Type="http://schemas.openxmlformats.org/officeDocument/2006/relationships/hyperlink" Target="http://secrets.rutgers.edu:8080/data/asl-ftp/asllvd/demos/verify_start_end_handshape_annotations//test_auto_move//signs_mov_separ_signers/Brady_161.mov" TargetMode="External"/><Relationship Id="rId1517" Type="http://schemas.openxmlformats.org/officeDocument/2006/relationships/hyperlink" Target="http://csr.bu.edu/ftp/asl/asllvd/demos/verify_start_end_handshape_annotations//test_auto_move//signs_mov_separ_signers/Lana_161.mov" TargetMode="External"/><Relationship Id="rId1518" Type="http://schemas.openxmlformats.org/officeDocument/2006/relationships/hyperlink" Target="http://secrets.rutgers.edu:8080/data/asl-ftp/asllvd/demos/verify_start_end_handshape_annotations//test_auto_move//signs_mov_separ_signers/Lana_161.mov" TargetMode="External"/><Relationship Id="rId1519" Type="http://schemas.openxmlformats.org/officeDocument/2006/relationships/hyperlink" Target="http://csr.bu.edu/ftp/asl/asllvd/demos/verify_start_end_handshape_annotations//test_auto_move//signs_mov_separ_signers/Dana_161.mov" TargetMode="External"/><Relationship Id="rId1520" Type="http://schemas.openxmlformats.org/officeDocument/2006/relationships/hyperlink" Target="http://secrets.rutgers.edu:8080/data/asl-ftp/asllvd/demos/verify_start_end_handshape_annotations//test_auto_move//signs_mov_separ_signers/Dana_161.mov" TargetMode="External"/><Relationship Id="rId1521" Type="http://schemas.openxmlformats.org/officeDocument/2006/relationships/hyperlink" Target="http://csr.bu.edu/ftp/asl/asllvd/demos/verify_start_end_handshape_annotations//test_auto_move//signs_mov_separ_signers/Liz_162.mov" TargetMode="External"/><Relationship Id="rId1522" Type="http://schemas.openxmlformats.org/officeDocument/2006/relationships/hyperlink" Target="http://secrets.rutgers.edu:8080/data/asl-ftp/asllvd/demos/verify_start_end_handshape_annotations//test_auto_move//signs_mov_separ_signers/Liz_162.mov" TargetMode="External"/><Relationship Id="rId1523" Type="http://schemas.openxmlformats.org/officeDocument/2006/relationships/hyperlink" Target="http://csr.bu.edu/ftp/asl/asllvd/demos/verify_start_end_handshape_annotations//test_auto_move//signs_mov/162.mov" TargetMode="External"/><Relationship Id="rId1524" Type="http://schemas.openxmlformats.org/officeDocument/2006/relationships/hyperlink" Target="http://csr.bu.edu/ftp/asl/asllvd/demos/verify_start_end_handshape_annotations//test_auto_move//signs_mov_separ_signers/Tyler_162.mov" TargetMode="External"/><Relationship Id="rId1525" Type="http://schemas.openxmlformats.org/officeDocument/2006/relationships/hyperlink" Target="http://secrets.rutgers.edu:8080/data/asl-ftp/asllvd/demos/verify_start_end_handshape_annotations//test_auto_move//signs_mov/162.mov" TargetMode="External"/><Relationship Id="rId1526" Type="http://schemas.openxmlformats.org/officeDocument/2006/relationships/hyperlink" Target="http://secrets.rutgers.edu:8080/data/asl-ftp/asllvd/demos/verify_start_end_handshape_annotations//test_auto_move//signs_mov_separ_signers/Tyler_162.mov" TargetMode="External"/><Relationship Id="rId1527" Type="http://schemas.openxmlformats.org/officeDocument/2006/relationships/hyperlink" Target="http://csr.bu.edu/ftp/asl/asllvd/demos/verify_start_end_handshape_annotations//test_auto_move//signs_mov_separ_signers/Naomi_162.mov" TargetMode="External"/><Relationship Id="rId1528" Type="http://schemas.openxmlformats.org/officeDocument/2006/relationships/hyperlink" Target="http://secrets.rutgers.edu:8080/data/asl-ftp/asllvd/demos/verify_start_end_handshape_annotations//test_auto_move//signs_mov_separ_signers/Naomi_162.mov" TargetMode="External"/><Relationship Id="rId1529" Type="http://schemas.openxmlformats.org/officeDocument/2006/relationships/hyperlink" Target="http://csr.bu.edu/ftp/asl/asllvd/demos/verify_start_end_handshape_annotations//test_auto_move//signs_mov_separ_signers/Brady_162.mov" TargetMode="External"/><Relationship Id="rId1530" Type="http://schemas.openxmlformats.org/officeDocument/2006/relationships/hyperlink" Target="http://secrets.rutgers.edu:8080/data/asl-ftp/asllvd/demos/verify_start_end_handshape_annotations//test_auto_move//signs_mov_separ_signers/Brady_162.mov" TargetMode="External"/><Relationship Id="rId1531" Type="http://schemas.openxmlformats.org/officeDocument/2006/relationships/hyperlink" Target="http://csr.bu.edu/ftp/asl/asllvd/demos/verify_start_end_handshape_annotations//test_auto_move//signs_mov_separ_signers/Liz_163.mov" TargetMode="External"/><Relationship Id="rId1532" Type="http://schemas.openxmlformats.org/officeDocument/2006/relationships/hyperlink" Target="http://secrets.rutgers.edu:8080/data/asl-ftp/asllvd/demos/verify_start_end_handshape_annotations//test_auto_move//signs_mov_separ_signers/Liz_163.mov" TargetMode="External"/><Relationship Id="rId1533" Type="http://schemas.openxmlformats.org/officeDocument/2006/relationships/hyperlink" Target="http://csr.bu.edu/ftp/asl/asllvd/demos/verify_start_end_handshape_annotations//test_auto_move//signs_mov/163.mov" TargetMode="External"/><Relationship Id="rId1534" Type="http://schemas.openxmlformats.org/officeDocument/2006/relationships/hyperlink" Target="http://csr.bu.edu/ftp/asl/asllvd/demos/verify_start_end_handshape_annotations//test_auto_move//signs_mov_separ_signers/Tyler_163.mov" TargetMode="External"/><Relationship Id="rId1535" Type="http://schemas.openxmlformats.org/officeDocument/2006/relationships/hyperlink" Target="http://secrets.rutgers.edu:8080/data/asl-ftp/asllvd/demos/verify_start_end_handshape_annotations//test_auto_move//signs_mov/163.mov" TargetMode="External"/><Relationship Id="rId1536" Type="http://schemas.openxmlformats.org/officeDocument/2006/relationships/hyperlink" Target="http://secrets.rutgers.edu:8080/data/asl-ftp/asllvd/demos/verify_start_end_handshape_annotations//test_auto_move//signs_mov_separ_signers/Tyler_163.mov" TargetMode="External"/><Relationship Id="rId1537" Type="http://schemas.openxmlformats.org/officeDocument/2006/relationships/hyperlink" Target="http://csr.bu.edu/ftp/asl/asllvd/demos/verify_start_end_handshape_annotations//test_auto_move//signs_mov_separ_signers/Naomi_163.mov" TargetMode="External"/><Relationship Id="rId1538" Type="http://schemas.openxmlformats.org/officeDocument/2006/relationships/hyperlink" Target="http://secrets.rutgers.edu:8080/data/asl-ftp/asllvd/demos/verify_start_end_handshape_annotations//test_auto_move//signs_mov_separ_signers/Naomi_163.mov" TargetMode="External"/><Relationship Id="rId1539" Type="http://schemas.openxmlformats.org/officeDocument/2006/relationships/hyperlink" Target="http://csr.bu.edu/ftp/asl/asllvd/demos/verify_start_end_handshape_annotations//test_auto_move//signs_mov_separ_signers/Brady_163.mov" TargetMode="External"/><Relationship Id="rId1540" Type="http://schemas.openxmlformats.org/officeDocument/2006/relationships/hyperlink" Target="http://secrets.rutgers.edu:8080/data/asl-ftp/asllvd/demos/verify_start_end_handshape_annotations//test_auto_move//signs_mov_separ_signers/Brady_163.mov" TargetMode="External"/><Relationship Id="rId1541" Type="http://schemas.openxmlformats.org/officeDocument/2006/relationships/hyperlink" Target="http://csr.bu.edu/ftp/asl/asllvd/demos/verify_start_end_handshape_annotations//test_auto_move//signs_mov_separ_signers/Liz_165.mov" TargetMode="External"/><Relationship Id="rId1542" Type="http://schemas.openxmlformats.org/officeDocument/2006/relationships/hyperlink" Target="http://secrets.rutgers.edu:8080/data/asl-ftp/asllvd/demos/verify_start_end_handshape_annotations//test_auto_move//signs_mov_separ_signers/Liz_165.mov" TargetMode="External"/><Relationship Id="rId1543" Type="http://schemas.openxmlformats.org/officeDocument/2006/relationships/hyperlink" Target="http://csr.bu.edu/ftp/asl/asllvd/demos/verify_start_end_handshape_annotations//test_auto_move//signs_mov/165.mov" TargetMode="External"/><Relationship Id="rId1544" Type="http://schemas.openxmlformats.org/officeDocument/2006/relationships/hyperlink" Target="http://csr.bu.edu/ftp/asl/asllvd/demos/verify_start_end_handshape_annotations//test_auto_move//signs_mov_separ_signers/Tyler_165.mov" TargetMode="External"/><Relationship Id="rId1545" Type="http://schemas.openxmlformats.org/officeDocument/2006/relationships/hyperlink" Target="http://secrets.rutgers.edu:8080/data/asl-ftp/asllvd/demos/verify_start_end_handshape_annotations//test_auto_move//signs_mov/165.mov" TargetMode="External"/><Relationship Id="rId1546" Type="http://schemas.openxmlformats.org/officeDocument/2006/relationships/hyperlink" Target="http://secrets.rutgers.edu:8080/data/asl-ftp/asllvd/demos/verify_start_end_handshape_annotations//test_auto_move//signs_mov_separ_signers/Tyler_165.mov" TargetMode="External"/><Relationship Id="rId1547" Type="http://schemas.openxmlformats.org/officeDocument/2006/relationships/hyperlink" Target="http://csr.bu.edu/ftp/asl/asllvd/demos/verify_start_end_handshape_annotations//test_auto_move//signs_mov_separ_signers/Naomi_165.mov" TargetMode="External"/><Relationship Id="rId1548" Type="http://schemas.openxmlformats.org/officeDocument/2006/relationships/hyperlink" Target="http://secrets.rutgers.edu:8080/data/asl-ftp/asllvd/demos/verify_start_end_handshape_annotations//test_auto_move//signs_mov_separ_signers/Naomi_165.mov" TargetMode="External"/><Relationship Id="rId1549" Type="http://schemas.openxmlformats.org/officeDocument/2006/relationships/hyperlink" Target="http://csr.bu.edu/ftp/asl/asllvd/demos/verify_start_end_handshape_annotations//test_auto_move//signs_mov_separ_signers/Brady_165.mov" TargetMode="External"/><Relationship Id="rId1550" Type="http://schemas.openxmlformats.org/officeDocument/2006/relationships/hyperlink" Target="http://secrets.rutgers.edu:8080/data/asl-ftp/asllvd/demos/verify_start_end_handshape_annotations//test_auto_move//signs_mov_separ_signers/Brady_165.mov" TargetMode="External"/><Relationship Id="rId1551" Type="http://schemas.openxmlformats.org/officeDocument/2006/relationships/hyperlink" Target="http://csr.bu.edu/ftp/asl/asllvd/demos/verify_start_end_handshape_annotations//test_auto_move//signs_mov_separ_signers/Liz_169.mov" TargetMode="External"/><Relationship Id="rId1552" Type="http://schemas.openxmlformats.org/officeDocument/2006/relationships/hyperlink" Target="http://secrets.rutgers.edu:8080/data/asl-ftp/asllvd/demos/verify_start_end_handshape_annotations//test_auto_move//signs_mov_separ_signers/Liz_169.mov" TargetMode="External"/><Relationship Id="rId1553" Type="http://schemas.openxmlformats.org/officeDocument/2006/relationships/hyperlink" Target="http://csr.bu.edu/ftp/asl/asllvd/demos/verify_start_end_handshape_annotations//test_auto_move//signs_mov_separ_signers/Tyler_169.mov" TargetMode="External"/><Relationship Id="rId1554" Type="http://schemas.openxmlformats.org/officeDocument/2006/relationships/hyperlink" Target="http://secrets.rutgers.edu:8080/data/asl-ftp/asllvd/demos/verify_start_end_handshape_annotations//test_auto_move//signs_mov_separ_signers/Tyler_169.mov" TargetMode="External"/><Relationship Id="rId1555" Type="http://schemas.openxmlformats.org/officeDocument/2006/relationships/hyperlink" Target="http://csr.bu.edu/ftp/asl/asllvd/demos/verify_start_end_handshape_annotations//test_auto_move//signs_mov/169_3308_5042_merged.mov" TargetMode="External"/><Relationship Id="rId1556" Type="http://schemas.openxmlformats.org/officeDocument/2006/relationships/hyperlink" Target="http://csr.bu.edu/ftp/asl/asllvd/demos/verify_start_end_handshape_annotations//test_auto_move//signs_mov_separ_signers/Tyler_3308.mov" TargetMode="External"/><Relationship Id="rId1557" Type="http://schemas.openxmlformats.org/officeDocument/2006/relationships/hyperlink" Target="http://secrets.rutgers.edu:8080/data/asl-ftp/asllvd/demos/verify_start_end_handshape_annotations//test_auto_move//signs_mov/169_3308_5042_merged.mov" TargetMode="External"/><Relationship Id="rId1558" Type="http://schemas.openxmlformats.org/officeDocument/2006/relationships/hyperlink" Target="http://secrets.rutgers.edu:8080/data/asl-ftp/asllvd/demos/verify_start_end_handshape_annotations//test_auto_move//signs_mov_separ_signers/Tyler_3308.mov" TargetMode="External"/><Relationship Id="rId1559" Type="http://schemas.openxmlformats.org/officeDocument/2006/relationships/hyperlink" Target="http://csr.bu.edu/ftp/asl/asllvd/demos/verify_start_end_handshape_annotations//test_auto_move//signs_mov_separ_signers/Tyler_5042.mov" TargetMode="External"/><Relationship Id="rId1560" Type="http://schemas.openxmlformats.org/officeDocument/2006/relationships/hyperlink" Target="http://secrets.rutgers.edu:8080/data/asl-ftp/asllvd/demos/verify_start_end_handshape_annotations//test_auto_move//signs_mov_separ_signers/Tyler_5042.mov" TargetMode="External"/><Relationship Id="rId1561" Type="http://schemas.openxmlformats.org/officeDocument/2006/relationships/hyperlink" Target="http://csr.bu.edu/ftp/asl/asllvd/demos/verify_start_end_handshape_annotations//test_auto_move//signs_mov_separ_signers/Naomi_169.mov" TargetMode="External"/><Relationship Id="rId1562" Type="http://schemas.openxmlformats.org/officeDocument/2006/relationships/hyperlink" Target="http://secrets.rutgers.edu:8080/data/asl-ftp/asllvd/demos/verify_start_end_handshape_annotations//test_auto_move//signs_mov_separ_signers/Naomi_169.mov" TargetMode="External"/><Relationship Id="rId1563" Type="http://schemas.openxmlformats.org/officeDocument/2006/relationships/hyperlink" Target="http://csr.bu.edu/ftp/asl/asllvd/demos/verify_start_end_handshape_annotations//test_auto_move//signs_mov_separ_signers/Brady_169.mov" TargetMode="External"/><Relationship Id="rId1564" Type="http://schemas.openxmlformats.org/officeDocument/2006/relationships/hyperlink" Target="http://secrets.rutgers.edu:8080/data/asl-ftp/asllvd/demos/verify_start_end_handshape_annotations//test_auto_move//signs_mov_separ_signers/Brady_169.mov" TargetMode="External"/><Relationship Id="rId1565" Type="http://schemas.openxmlformats.org/officeDocument/2006/relationships/hyperlink" Target="http://csr.bu.edu/ftp/asl/asllvd/demos/verify_start_end_handshape_annotations//test_auto_move//signs_mov_separ_signers/Liz_16420.mov" TargetMode="External"/><Relationship Id="rId1566" Type="http://schemas.openxmlformats.org/officeDocument/2006/relationships/hyperlink" Target="http://secrets.rutgers.edu:8080/data/asl-ftp/asllvd/demos/verify_start_end_handshape_annotations//test_auto_move//signs_mov_separ_signers/Liz_16420.mov" TargetMode="External"/><Relationship Id="rId1567" Type="http://schemas.openxmlformats.org/officeDocument/2006/relationships/hyperlink" Target="http://csr.bu.edu/ftp/asl/asllvd/demos/verify_start_end_handshape_annotations//test_auto_move//signs_mov_separ_signers/Liz_16421.mov" TargetMode="External"/><Relationship Id="rId1568" Type="http://schemas.openxmlformats.org/officeDocument/2006/relationships/hyperlink" Target="http://secrets.rutgers.edu:8080/data/asl-ftp/asllvd/demos/verify_start_end_handshape_annotations//test_auto_move//signs_mov_separ_signers/Liz_16421.mov" TargetMode="External"/><Relationship Id="rId1569" Type="http://schemas.openxmlformats.org/officeDocument/2006/relationships/hyperlink" Target="http://csr.bu.edu/ftp/asl/asllvd/demos/verify_start_end_handshape_annotations//test_auto_move//signs_mov/16420_16421_merged.mov" TargetMode="External"/><Relationship Id="rId1570" Type="http://schemas.openxmlformats.org/officeDocument/2006/relationships/hyperlink" Target="http://csr.bu.edu/ftp/asl/asllvd/demos/verify_start_end_handshape_annotations//test_auto_move//signs_mov_separ_signers/Naomi_16420.mov" TargetMode="External"/><Relationship Id="rId1571" Type="http://schemas.openxmlformats.org/officeDocument/2006/relationships/hyperlink" Target="http://secrets.rutgers.edu:8080/data/asl-ftp/asllvd/demos/verify_start_end_handshape_annotations//test_auto_move//signs_mov/16420_16421_merged.mov" TargetMode="External"/><Relationship Id="rId1572" Type="http://schemas.openxmlformats.org/officeDocument/2006/relationships/hyperlink" Target="http://secrets.rutgers.edu:8080/data/asl-ftp/asllvd/demos/verify_start_end_handshape_annotations//test_auto_move//signs_mov_separ_signers/Naomi_16420.mov" TargetMode="External"/><Relationship Id="rId1573" Type="http://schemas.openxmlformats.org/officeDocument/2006/relationships/hyperlink" Target="http://csr.bu.edu/ftp/asl/asllvd/demos/verify_start_end_handshape_annotations//test_auto_move//signs_mov_separ_signers/Brady_16420.mov" TargetMode="External"/><Relationship Id="rId1574" Type="http://schemas.openxmlformats.org/officeDocument/2006/relationships/hyperlink" Target="http://secrets.rutgers.edu:8080/data/asl-ftp/asllvd/demos/verify_start_end_handshape_annotations//test_auto_move//signs_mov_separ_signers/Brady_16420.mov" TargetMode="External"/><Relationship Id="rId1575" Type="http://schemas.openxmlformats.org/officeDocument/2006/relationships/hyperlink" Target="http://csr.bu.edu/ftp/asl/asllvd/demos/verify_start_end_handshape_annotations//test_auto_move//signs_mov_separ_signers/Brady_16421.mov" TargetMode="External"/><Relationship Id="rId1576" Type="http://schemas.openxmlformats.org/officeDocument/2006/relationships/hyperlink" Target="http://secrets.rutgers.edu:8080/data/asl-ftp/asllvd/demos/verify_start_end_handshape_annotations//test_auto_move//signs_mov_separ_signers/Brady_16421.mov" TargetMode="External"/><Relationship Id="rId1577" Type="http://schemas.openxmlformats.org/officeDocument/2006/relationships/hyperlink" Target="http://csr.bu.edu/ftp/asl/asllvd/demos/verify_start_end_handshape_annotations//test_auto_move//signs_mov_separ_signers/Lana_16420.mov" TargetMode="External"/><Relationship Id="rId1578" Type="http://schemas.openxmlformats.org/officeDocument/2006/relationships/hyperlink" Target="http://secrets.rutgers.edu:8080/data/asl-ftp/asllvd/demos/verify_start_end_handshape_annotations//test_auto_move//signs_mov_separ_signers/Lana_16420.mov" TargetMode="External"/><Relationship Id="rId1579" Type="http://schemas.openxmlformats.org/officeDocument/2006/relationships/hyperlink" Target="http://csr.bu.edu/ftp/asl/asllvd/demos/verify_start_end_handshape_annotations//test_auto_move//signs_mov_separ_signers/Liz_170.mov" TargetMode="External"/><Relationship Id="rId1580" Type="http://schemas.openxmlformats.org/officeDocument/2006/relationships/hyperlink" Target="http://secrets.rutgers.edu:8080/data/asl-ftp/asllvd/demos/verify_start_end_handshape_annotations//test_auto_move//signs_mov_separ_signers/Liz_170.mov" TargetMode="External"/><Relationship Id="rId1581" Type="http://schemas.openxmlformats.org/officeDocument/2006/relationships/hyperlink" Target="http://csr.bu.edu/ftp/asl/asllvd/demos/verify_start_end_handshape_annotations//test_auto_move//signs_mov/170.mov" TargetMode="External"/><Relationship Id="rId1582" Type="http://schemas.openxmlformats.org/officeDocument/2006/relationships/hyperlink" Target="http://csr.bu.edu/ftp/asl/asllvd/demos/verify_start_end_handshape_annotations//test_auto_move//signs_mov_separ_signers/Tyler_170.mov" TargetMode="External"/><Relationship Id="rId1583" Type="http://schemas.openxmlformats.org/officeDocument/2006/relationships/hyperlink" Target="http://secrets.rutgers.edu:8080/data/asl-ftp/asllvd/demos/verify_start_end_handshape_annotations//test_auto_move//signs_mov/170.mov" TargetMode="External"/><Relationship Id="rId1584" Type="http://schemas.openxmlformats.org/officeDocument/2006/relationships/hyperlink" Target="http://secrets.rutgers.edu:8080/data/asl-ftp/asllvd/demos/verify_start_end_handshape_annotations//test_auto_move//signs_mov_separ_signers/Tyler_170.mov" TargetMode="External"/><Relationship Id="rId1585" Type="http://schemas.openxmlformats.org/officeDocument/2006/relationships/hyperlink" Target="http://csr.bu.edu/ftp/asl/asllvd/demos/verify_start_end_handshape_annotations//test_auto_move//signs_mov_separ_signers/Naomi_170.mov" TargetMode="External"/><Relationship Id="rId1586" Type="http://schemas.openxmlformats.org/officeDocument/2006/relationships/hyperlink" Target="http://secrets.rutgers.edu:8080/data/asl-ftp/asllvd/demos/verify_start_end_handshape_annotations//test_auto_move//signs_mov_separ_signers/Naomi_170.mov" TargetMode="External"/><Relationship Id="rId1587" Type="http://schemas.openxmlformats.org/officeDocument/2006/relationships/hyperlink" Target="http://csr.bu.edu/ftp/asl/asllvd/demos/verify_start_end_handshape_annotations//test_auto_move//signs_mov_separ_signers/Brady_170.mov" TargetMode="External"/><Relationship Id="rId1588" Type="http://schemas.openxmlformats.org/officeDocument/2006/relationships/hyperlink" Target="http://secrets.rutgers.edu:8080/data/asl-ftp/asllvd/demos/verify_start_end_handshape_annotations//test_auto_move//signs_mov_separ_signers/Brady_170.mov" TargetMode="External"/><Relationship Id="rId1589" Type="http://schemas.openxmlformats.org/officeDocument/2006/relationships/hyperlink" Target="http://csr.bu.edu/ftp/asl/asllvd/demos/verify_start_end_handshape_annotations//test_auto_move//signs_mov/171.mov" TargetMode="External"/><Relationship Id="rId1590" Type="http://schemas.openxmlformats.org/officeDocument/2006/relationships/hyperlink" Target="http://csr.bu.edu/ftp/asl/asllvd/demos/verify_start_end_handshape_annotations//test_auto_move//signs_mov_separ_signers/Liz_171.mov" TargetMode="External"/><Relationship Id="rId1591" Type="http://schemas.openxmlformats.org/officeDocument/2006/relationships/hyperlink" Target="http://secrets.rutgers.edu:8080/data/asl-ftp/asllvd/demos/verify_start_end_handshape_annotations//test_auto_move//signs_mov/171.mov" TargetMode="External"/><Relationship Id="rId1592" Type="http://schemas.openxmlformats.org/officeDocument/2006/relationships/hyperlink" Target="http://secrets.rutgers.edu:8080/data/asl-ftp/asllvd/demos/verify_start_end_handshape_annotations//test_auto_move//signs_mov_separ_signers/Liz_171.mov" TargetMode="External"/><Relationship Id="rId1593" Type="http://schemas.openxmlformats.org/officeDocument/2006/relationships/hyperlink" Target="http://csr.bu.edu/ftp/asl/asllvd/demos/verify_start_end_handshape_annotations//test_auto_move//signs_mov_separ_signers/Tyler_171.mov" TargetMode="External"/><Relationship Id="rId1594" Type="http://schemas.openxmlformats.org/officeDocument/2006/relationships/hyperlink" Target="http://secrets.rutgers.edu:8080/data/asl-ftp/asllvd/demos/verify_start_end_handshape_annotations//test_auto_move//signs_mov_separ_signers/Tyler_171.mov" TargetMode="External"/><Relationship Id="rId1595" Type="http://schemas.openxmlformats.org/officeDocument/2006/relationships/hyperlink" Target="http://csr.bu.edu/ftp/asl/asllvd/demos/verify_start_end_handshape_annotations//test_auto_move//signs_mov/5098.mov" TargetMode="External"/><Relationship Id="rId1596" Type="http://schemas.openxmlformats.org/officeDocument/2006/relationships/hyperlink" Target="http://csr.bu.edu/ftp/asl/asllvd/demos/verify_start_end_handshape_annotations//test_auto_move//signs_mov_separ_signers/Naomi_5098.mov" TargetMode="External"/><Relationship Id="rId1597" Type="http://schemas.openxmlformats.org/officeDocument/2006/relationships/hyperlink" Target="http://secrets.rutgers.edu:8080/data/asl-ftp/asllvd/demos/verify_start_end_handshape_annotations//test_auto_move//signs_mov/5098.mov" TargetMode="External"/><Relationship Id="rId1598" Type="http://schemas.openxmlformats.org/officeDocument/2006/relationships/hyperlink" Target="http://secrets.rutgers.edu:8080/data/asl-ftp/asllvd/demos/verify_start_end_handshape_annotations//test_auto_move//signs_mov_separ_signers/Naomi_5098.mov" TargetMode="External"/><Relationship Id="rId1599" Type="http://schemas.openxmlformats.org/officeDocument/2006/relationships/hyperlink" Target="http://csr.bu.edu/ftp/asl/asllvd/demos/verify_start_end_handshape_annotations//test_auto_move//signs_mov/172.mov" TargetMode="External"/><Relationship Id="rId1600" Type="http://schemas.openxmlformats.org/officeDocument/2006/relationships/hyperlink" Target="http://csr.bu.edu/ftp/asl/asllvd/demos/verify_start_end_handshape_annotations//test_auto_move//signs_mov_separ_signers/Tyler_172.mov" TargetMode="External"/><Relationship Id="rId1601" Type="http://schemas.openxmlformats.org/officeDocument/2006/relationships/hyperlink" Target="http://secrets.rutgers.edu:8080/data/asl-ftp/asllvd/demos/verify_start_end_handshape_annotations//test_auto_move//signs_mov/172.mov" TargetMode="External"/><Relationship Id="rId1602" Type="http://schemas.openxmlformats.org/officeDocument/2006/relationships/hyperlink" Target="http://secrets.rutgers.edu:8080/data/asl-ftp/asllvd/demos/verify_start_end_handshape_annotations//test_auto_move//signs_mov_separ_signers/Tyler_172.mov" TargetMode="External"/><Relationship Id="rId1603" Type="http://schemas.openxmlformats.org/officeDocument/2006/relationships/hyperlink" Target="http://csr.bu.edu/ftp/asl/asllvd/demos/verify_start_end_handshape_annotations//test_auto_move//signs_mov_separ_signers/Naomi_172.mov" TargetMode="External"/><Relationship Id="rId1604" Type="http://schemas.openxmlformats.org/officeDocument/2006/relationships/hyperlink" Target="http://secrets.rutgers.edu:8080/data/asl-ftp/asllvd/demos/verify_start_end_handshape_annotations//test_auto_move//signs_mov_separ_signers/Naomi_172.mov" TargetMode="External"/><Relationship Id="rId1605" Type="http://schemas.openxmlformats.org/officeDocument/2006/relationships/hyperlink" Target="http://csr.bu.edu/ftp/asl/asllvd/demos/verify_start_end_handshape_annotations//test_auto_move//signs_mov/16223.mov" TargetMode="External"/><Relationship Id="rId1606" Type="http://schemas.openxmlformats.org/officeDocument/2006/relationships/hyperlink" Target="http://csr.bu.edu/ftp/asl/asllvd/demos/verify_start_end_handshape_annotations//test_auto_move//signs_mov_separ_signers/Liz_16223.mov" TargetMode="External"/><Relationship Id="rId1607" Type="http://schemas.openxmlformats.org/officeDocument/2006/relationships/hyperlink" Target="http://secrets.rutgers.edu:8080/data/asl-ftp/asllvd/demos/verify_start_end_handshape_annotations//test_auto_move//signs_mov/16223.mov" TargetMode="External"/><Relationship Id="rId1608" Type="http://schemas.openxmlformats.org/officeDocument/2006/relationships/hyperlink" Target="http://secrets.rutgers.edu:8080/data/asl-ftp/asllvd/demos/verify_start_end_handshape_annotations//test_auto_move//signs_mov_separ_signers/Liz_16223.mov" TargetMode="External"/><Relationship Id="rId1609" Type="http://schemas.openxmlformats.org/officeDocument/2006/relationships/hyperlink" Target="http://csr.bu.edu/ftp/asl/asllvd/demos/verify_start_end_handshape_annotations//test_auto_move//signs_mov/175.mov" TargetMode="External"/><Relationship Id="rId1610" Type="http://schemas.openxmlformats.org/officeDocument/2006/relationships/hyperlink" Target="http://csr.bu.edu/ftp/asl/asllvd/demos/verify_start_end_handshape_annotations//test_auto_move//signs_mov_separ_signers/Tyler_175.mov" TargetMode="External"/><Relationship Id="rId1611" Type="http://schemas.openxmlformats.org/officeDocument/2006/relationships/hyperlink" Target="http://secrets.rutgers.edu:8080/data/asl-ftp/asllvd/demos/verify_start_end_handshape_annotations//test_auto_move//signs_mov/175.mov" TargetMode="External"/><Relationship Id="rId1612" Type="http://schemas.openxmlformats.org/officeDocument/2006/relationships/hyperlink" Target="http://secrets.rutgers.edu:8080/data/asl-ftp/asllvd/demos/verify_start_end_handshape_annotations//test_auto_move//signs_mov_separ_signers/Tyler_175.mov" TargetMode="External"/><Relationship Id="rId1613" Type="http://schemas.openxmlformats.org/officeDocument/2006/relationships/hyperlink" Target="http://csr.bu.edu/ftp/asl/asllvd/demos/verify_start_end_handshape_annotations//test_auto_move//signs_mov/3307.mov" TargetMode="External"/><Relationship Id="rId1614" Type="http://schemas.openxmlformats.org/officeDocument/2006/relationships/hyperlink" Target="http://csr.bu.edu/ftp/asl/asllvd/demos/verify_start_end_handshape_annotations//test_auto_move//signs_mov_separ_signers/Liz_3307.mov" TargetMode="External"/><Relationship Id="rId1615" Type="http://schemas.openxmlformats.org/officeDocument/2006/relationships/hyperlink" Target="http://secrets.rutgers.edu:8080/data/asl-ftp/asllvd/demos/verify_start_end_handshape_annotations//test_auto_move//signs_mov/3307.mov" TargetMode="External"/><Relationship Id="rId1616" Type="http://schemas.openxmlformats.org/officeDocument/2006/relationships/hyperlink" Target="http://secrets.rutgers.edu:8080/data/asl-ftp/asllvd/demos/verify_start_end_handshape_annotations//test_auto_move//signs_mov_separ_signers/Liz_3307.mov" TargetMode="External"/><Relationship Id="rId1617" Type="http://schemas.openxmlformats.org/officeDocument/2006/relationships/hyperlink" Target="http://csr.bu.edu/ftp/asl/asllvd/demos/verify_start_end_handshape_annotations//test_auto_move//signs_mov/5662.mov" TargetMode="External"/><Relationship Id="rId1618" Type="http://schemas.openxmlformats.org/officeDocument/2006/relationships/hyperlink" Target="http://csr.bu.edu/ftp/asl/asllvd/demos/verify_start_end_handshape_annotations//test_auto_move//signs_mov_separ_signers/Liz_5662.mov" TargetMode="External"/><Relationship Id="rId1619" Type="http://schemas.openxmlformats.org/officeDocument/2006/relationships/hyperlink" Target="http://secrets.rutgers.edu:8080/data/asl-ftp/asllvd/demos/verify_start_end_handshape_annotations//test_auto_move//signs_mov/5662.mov" TargetMode="External"/><Relationship Id="rId1620" Type="http://schemas.openxmlformats.org/officeDocument/2006/relationships/hyperlink" Target="http://secrets.rutgers.edu:8080/data/asl-ftp/asllvd/demos/verify_start_end_handshape_annotations//test_auto_move//signs_mov_separ_signers/Liz_5662.mov" TargetMode="External"/><Relationship Id="rId1621" Type="http://schemas.openxmlformats.org/officeDocument/2006/relationships/hyperlink" Target="http://csr.bu.edu/ftp/asl/asllvd/demos/verify_start_end_handshape_annotations//test_auto_move//signs_mov_separ_signers/Naomi_5662.mov" TargetMode="External"/><Relationship Id="rId1622" Type="http://schemas.openxmlformats.org/officeDocument/2006/relationships/hyperlink" Target="http://secrets.rutgers.edu:8080/data/asl-ftp/asllvd/demos/verify_start_end_handshape_annotations//test_auto_move//signs_mov_separ_signers/Naomi_5662.mov" TargetMode="External"/><Relationship Id="rId1623" Type="http://schemas.openxmlformats.org/officeDocument/2006/relationships/hyperlink" Target="http://csr.bu.edu/ftp/asl/asllvd/demos/verify_start_end_handshape_annotations//test_auto_move//signs_mov/15995.mov" TargetMode="External"/><Relationship Id="rId1624" Type="http://schemas.openxmlformats.org/officeDocument/2006/relationships/hyperlink" Target="http://csr.bu.edu/ftp/asl/asllvd/demos/verify_start_end_handshape_annotations//test_auto_move//signs_mov_separ_signers/Liz_15995.mov" TargetMode="External"/><Relationship Id="rId1625" Type="http://schemas.openxmlformats.org/officeDocument/2006/relationships/hyperlink" Target="http://secrets.rutgers.edu:8080/data/asl-ftp/asllvd/demos/verify_start_end_handshape_annotations//test_auto_move//signs_mov/15995.mov" TargetMode="External"/><Relationship Id="rId1626" Type="http://schemas.openxmlformats.org/officeDocument/2006/relationships/hyperlink" Target="http://secrets.rutgers.edu:8080/data/asl-ftp/asllvd/demos/verify_start_end_handshape_annotations//test_auto_move//signs_mov_separ_signers/Liz_15995.mov" TargetMode="External"/><Relationship Id="rId1627" Type="http://schemas.openxmlformats.org/officeDocument/2006/relationships/hyperlink" Target="http://csr.bu.edu/ftp/asl/asllvd/demos/verify_start_end_handshape_annotations//test_auto_move//signs_mov/15996.mov" TargetMode="External"/><Relationship Id="rId1628" Type="http://schemas.openxmlformats.org/officeDocument/2006/relationships/hyperlink" Target="http://csr.bu.edu/ftp/asl/asllvd/demos/verify_start_end_handshape_annotations//test_auto_move//signs_mov_separ_signers/Brady_15996.mov" TargetMode="External"/><Relationship Id="rId1629" Type="http://schemas.openxmlformats.org/officeDocument/2006/relationships/hyperlink" Target="http://secrets.rutgers.edu:8080/data/asl-ftp/asllvd/demos/verify_start_end_handshape_annotations//test_auto_move//signs_mov/15996.mov" TargetMode="External"/><Relationship Id="rId1630" Type="http://schemas.openxmlformats.org/officeDocument/2006/relationships/hyperlink" Target="http://secrets.rutgers.edu:8080/data/asl-ftp/asllvd/demos/verify_start_end_handshape_annotations//test_auto_move//signs_mov_separ_signers/Brady_15996.mov" TargetMode="External"/><Relationship Id="rId1631" Type="http://schemas.openxmlformats.org/officeDocument/2006/relationships/hyperlink" Target="http://csr.bu.edu/ftp/asl/asllvd/demos/verify_start_end_handshape_annotations//test_auto_move//signs_mov_separ_signers/Liz_180.mov" TargetMode="External"/><Relationship Id="rId1632" Type="http://schemas.openxmlformats.org/officeDocument/2006/relationships/hyperlink" Target="http://secrets.rutgers.edu:8080/data/asl-ftp/asllvd/demos/verify_start_end_handshape_annotations//test_auto_move//signs_mov_separ_signers/Liz_180.mov" TargetMode="External"/><Relationship Id="rId1633" Type="http://schemas.openxmlformats.org/officeDocument/2006/relationships/hyperlink" Target="http://csr.bu.edu/ftp/asl/asllvd/demos/verify_start_end_handshape_annotations//test_auto_move//signs_mov/180.mov" TargetMode="External"/><Relationship Id="rId1634" Type="http://schemas.openxmlformats.org/officeDocument/2006/relationships/hyperlink" Target="http://csr.bu.edu/ftp/asl/asllvd/demos/verify_start_end_handshape_annotations//test_auto_move//signs_mov_separ_signers/Naomi_180.mov" TargetMode="External"/><Relationship Id="rId1635" Type="http://schemas.openxmlformats.org/officeDocument/2006/relationships/hyperlink" Target="http://secrets.rutgers.edu:8080/data/asl-ftp/asllvd/demos/verify_start_end_handshape_annotations//test_auto_move//signs_mov/180.mov" TargetMode="External"/><Relationship Id="rId1636" Type="http://schemas.openxmlformats.org/officeDocument/2006/relationships/hyperlink" Target="http://secrets.rutgers.edu:8080/data/asl-ftp/asllvd/demos/verify_start_end_handshape_annotations//test_auto_move//signs_mov_separ_signers/Naomi_180.mov" TargetMode="External"/><Relationship Id="rId1637" Type="http://schemas.openxmlformats.org/officeDocument/2006/relationships/hyperlink" Target="http://csr.bu.edu/ftp/asl/asllvd/demos/verify_start_end_handshape_annotations//test_auto_move//signs_mov_separ_signers/Brady_180.mov" TargetMode="External"/><Relationship Id="rId1638" Type="http://schemas.openxmlformats.org/officeDocument/2006/relationships/hyperlink" Target="http://secrets.rutgers.edu:8080/data/asl-ftp/asllvd/demos/verify_start_end_handshape_annotations//test_auto_move//signs_mov_separ_signers/Brady_180.mov" TargetMode="External"/><Relationship Id="rId1639" Type="http://schemas.openxmlformats.org/officeDocument/2006/relationships/hyperlink" Target="http://csr.bu.edu/ftp/asl/asllvd/demos/verify_start_end_handshape_annotations//test_auto_move//signs_mov/15398.mov" TargetMode="External"/><Relationship Id="rId1640" Type="http://schemas.openxmlformats.org/officeDocument/2006/relationships/hyperlink" Target="http://csr.bu.edu/ftp/asl/asllvd/demos/verify_start_end_handshape_annotations//test_auto_move//signs_mov_separ_signers/Tyler_15398.mov" TargetMode="External"/><Relationship Id="rId1641" Type="http://schemas.openxmlformats.org/officeDocument/2006/relationships/hyperlink" Target="http://secrets.rutgers.edu:8080/data/asl-ftp/asllvd/demos/verify_start_end_handshape_annotations//test_auto_move//signs_mov/15398.mov" TargetMode="External"/><Relationship Id="rId1642" Type="http://schemas.openxmlformats.org/officeDocument/2006/relationships/hyperlink" Target="http://secrets.rutgers.edu:8080/data/asl-ftp/asllvd/demos/verify_start_end_handshape_annotations//test_auto_move//signs_mov_separ_signers/Tyler_15398.mov" TargetMode="External"/><Relationship Id="rId1643" Type="http://schemas.openxmlformats.org/officeDocument/2006/relationships/hyperlink" Target="http://csr.bu.edu/ftp/asl/asllvd/demos/verify_start_end_handshape_annotations//test_auto_move//signs_mov_separ_signers/Liz_181.mov" TargetMode="External"/><Relationship Id="rId1644" Type="http://schemas.openxmlformats.org/officeDocument/2006/relationships/hyperlink" Target="http://secrets.rutgers.edu:8080/data/asl-ftp/asllvd/demos/verify_start_end_handshape_annotations//test_auto_move//signs_mov_separ_signers/Liz_181.mov" TargetMode="External"/><Relationship Id="rId1645" Type="http://schemas.openxmlformats.org/officeDocument/2006/relationships/hyperlink" Target="http://csr.bu.edu/ftp/asl/asllvd/demos/verify_start_end_handshape_annotations//test_auto_move//signs_mov/181.mov" TargetMode="External"/><Relationship Id="rId1646" Type="http://schemas.openxmlformats.org/officeDocument/2006/relationships/hyperlink" Target="http://csr.bu.edu/ftp/asl/asllvd/demos/verify_start_end_handshape_annotations//test_auto_move//signs_mov_separ_signers/Tyler_181.mov" TargetMode="External"/><Relationship Id="rId1647" Type="http://schemas.openxmlformats.org/officeDocument/2006/relationships/hyperlink" Target="http://secrets.rutgers.edu:8080/data/asl-ftp/asllvd/demos/verify_start_end_handshape_annotations//test_auto_move//signs_mov/181.mov" TargetMode="External"/><Relationship Id="rId1648" Type="http://schemas.openxmlformats.org/officeDocument/2006/relationships/hyperlink" Target="http://secrets.rutgers.edu:8080/data/asl-ftp/asllvd/demos/verify_start_end_handshape_annotations//test_auto_move//signs_mov_separ_signers/Tyler_181.mov" TargetMode="External"/><Relationship Id="rId1649" Type="http://schemas.openxmlformats.org/officeDocument/2006/relationships/hyperlink" Target="http://csr.bu.edu/ftp/asl/asllvd/demos/verify_start_end_handshape_annotations//test_auto_move//signs_mov_separ_signers/Naomi_181.mov" TargetMode="External"/><Relationship Id="rId1650" Type="http://schemas.openxmlformats.org/officeDocument/2006/relationships/hyperlink" Target="http://secrets.rutgers.edu:8080/data/asl-ftp/asllvd/demos/verify_start_end_handshape_annotations//test_auto_move//signs_mov_separ_signers/Naomi_181.mov" TargetMode="External"/><Relationship Id="rId1651" Type="http://schemas.openxmlformats.org/officeDocument/2006/relationships/hyperlink" Target="http://csr.bu.edu/ftp/asl/asllvd/demos/verify_start_end_handshape_annotations//test_auto_move//signs_mov_separ_signers/Brady_181.mov" TargetMode="External"/><Relationship Id="rId1652" Type="http://schemas.openxmlformats.org/officeDocument/2006/relationships/hyperlink" Target="http://secrets.rutgers.edu:8080/data/asl-ftp/asllvd/demos/verify_start_end_handshape_annotations//test_auto_move//signs_mov_separ_signers/Brady_181.mov" TargetMode="External"/><Relationship Id="rId1653" Type="http://schemas.openxmlformats.org/officeDocument/2006/relationships/hyperlink" Target="http://csr.bu.edu/ftp/asl/asllvd/demos/verify_start_end_handshape_annotations//test_auto_move//signs_mov_separ_signers/Liz_182.mov" TargetMode="External"/><Relationship Id="rId1654" Type="http://schemas.openxmlformats.org/officeDocument/2006/relationships/hyperlink" Target="http://secrets.rutgers.edu:8080/data/asl-ftp/asllvd/demos/verify_start_end_handshape_annotations//test_auto_move//signs_mov_separ_signers/Liz_182.mov" TargetMode="External"/><Relationship Id="rId1655" Type="http://schemas.openxmlformats.org/officeDocument/2006/relationships/hyperlink" Target="http://csr.bu.edu/ftp/asl/asllvd/demos/verify_start_end_handshape_annotations//test_auto_move//signs_mov/182.mov" TargetMode="External"/><Relationship Id="rId1656" Type="http://schemas.openxmlformats.org/officeDocument/2006/relationships/hyperlink" Target="http://csr.bu.edu/ftp/asl/asllvd/demos/verify_start_end_handshape_annotations//test_auto_move//signs_mov_separ_signers/Tyler_182.mov" TargetMode="External"/><Relationship Id="rId1657" Type="http://schemas.openxmlformats.org/officeDocument/2006/relationships/hyperlink" Target="http://secrets.rutgers.edu:8080/data/asl-ftp/asllvd/demos/verify_start_end_handshape_annotations//test_auto_move//signs_mov/182.mov" TargetMode="External"/><Relationship Id="rId1658" Type="http://schemas.openxmlformats.org/officeDocument/2006/relationships/hyperlink" Target="http://secrets.rutgers.edu:8080/data/asl-ftp/asllvd/demos/verify_start_end_handshape_annotations//test_auto_move//signs_mov_separ_signers/Tyler_182.mov" TargetMode="External"/><Relationship Id="rId1659" Type="http://schemas.openxmlformats.org/officeDocument/2006/relationships/hyperlink" Target="http://csr.bu.edu/ftp/asl/asllvd/demos/verify_start_end_handshape_annotations//test_auto_move//signs_mov_separ_signers/Naomi_182.mov" TargetMode="External"/><Relationship Id="rId1660" Type="http://schemas.openxmlformats.org/officeDocument/2006/relationships/hyperlink" Target="http://secrets.rutgers.edu:8080/data/asl-ftp/asllvd/demos/verify_start_end_handshape_annotations//test_auto_move//signs_mov_separ_signers/Naomi_182.mov" TargetMode="External"/><Relationship Id="rId1661" Type="http://schemas.openxmlformats.org/officeDocument/2006/relationships/hyperlink" Target="http://csr.bu.edu/ftp/asl/asllvd/demos/verify_start_end_handshape_annotations//test_auto_move//signs_mov_separ_signers/Brady_182.mov" TargetMode="External"/><Relationship Id="rId1662" Type="http://schemas.openxmlformats.org/officeDocument/2006/relationships/hyperlink" Target="http://secrets.rutgers.edu:8080/data/asl-ftp/asllvd/demos/verify_start_end_handshape_annotations//test_auto_move//signs_mov_separ_signers/Brady_182.mov" TargetMode="External"/><Relationship Id="rId1663" Type="http://schemas.openxmlformats.org/officeDocument/2006/relationships/hyperlink" Target="http://csr.bu.edu/ftp/asl/asllvd/demos/verify_start_end_handshape_annotations//test_auto_move//signs_mov_separ_signers/Liz_184.mov" TargetMode="External"/><Relationship Id="rId1664" Type="http://schemas.openxmlformats.org/officeDocument/2006/relationships/hyperlink" Target="http://secrets.rutgers.edu:8080/data/asl-ftp/asllvd/demos/verify_start_end_handshape_annotations//test_auto_move//signs_mov_separ_signers/Liz_184.mov" TargetMode="External"/><Relationship Id="rId1665" Type="http://schemas.openxmlformats.org/officeDocument/2006/relationships/hyperlink" Target="http://csr.bu.edu/ftp/asl/asllvd/demos/verify_start_end_handshape_annotations//test_auto_move//signs_mov_separ_signers/Naomi_184.mov" TargetMode="External"/><Relationship Id="rId1666" Type="http://schemas.openxmlformats.org/officeDocument/2006/relationships/hyperlink" Target="http://secrets.rutgers.edu:8080/data/asl-ftp/asllvd/demos/verify_start_end_handshape_annotations//test_auto_move//signs_mov_separ_signers/Naomi_184.mov" TargetMode="External"/><Relationship Id="rId1667" Type="http://schemas.openxmlformats.org/officeDocument/2006/relationships/hyperlink" Target="http://csr.bu.edu/ftp/asl/asllvd/demos/verify_start_end_handshape_annotations//test_auto_move//signs_mov/184.mov" TargetMode="External"/><Relationship Id="rId1668" Type="http://schemas.openxmlformats.org/officeDocument/2006/relationships/hyperlink" Target="http://csr.bu.edu/ftp/asl/asllvd/demos/verify_start_end_handshape_annotations//test_auto_move//signs_mov_separ_signers/Brady_184.mov" TargetMode="External"/><Relationship Id="rId1669" Type="http://schemas.openxmlformats.org/officeDocument/2006/relationships/hyperlink" Target="http://secrets.rutgers.edu:8080/data/asl-ftp/asllvd/demos/verify_start_end_handshape_annotations//test_auto_move//signs_mov/184.mov" TargetMode="External"/><Relationship Id="rId1670" Type="http://schemas.openxmlformats.org/officeDocument/2006/relationships/hyperlink" Target="http://secrets.rutgers.edu:8080/data/asl-ftp/asllvd/demos/verify_start_end_handshape_annotations//test_auto_move//signs_mov_separ_signers/Brady_184.mov" TargetMode="External"/><Relationship Id="rId1671" Type="http://schemas.openxmlformats.org/officeDocument/2006/relationships/hyperlink" Target="http://csr.bu.edu/ftp/asl/asllvd/demos/verify_start_end_handshape_annotations//test_auto_move//signs_mov_separ_signers/Lana_184.mov" TargetMode="External"/><Relationship Id="rId1672" Type="http://schemas.openxmlformats.org/officeDocument/2006/relationships/hyperlink" Target="http://secrets.rutgers.edu:8080/data/asl-ftp/asllvd/demos/verify_start_end_handshape_annotations//test_auto_move//signs_mov_separ_signers/Lana_184.mov" TargetMode="External"/><Relationship Id="rId1673" Type="http://schemas.openxmlformats.org/officeDocument/2006/relationships/hyperlink" Target="http://csr.bu.edu/ftp/asl/asllvd/demos/verify_start_end_handshape_annotations//test_auto_move//signs_mov_separ_signers/Dana_184.mov" TargetMode="External"/><Relationship Id="rId1674" Type="http://schemas.openxmlformats.org/officeDocument/2006/relationships/hyperlink" Target="http://secrets.rutgers.edu:8080/data/asl-ftp/asllvd/demos/verify_start_end_handshape_annotations//test_auto_move//signs_mov_separ_signers/Dana_184.mov" TargetMode="External"/><Relationship Id="rId1675" Type="http://schemas.openxmlformats.org/officeDocument/2006/relationships/hyperlink" Target="http://csr.bu.edu/ftp/asl/asllvd/demos/verify_start_end_handshape_annotations//test_auto_move//signs_mov_separ_signers/Liz_185.mov" TargetMode="External"/><Relationship Id="rId1676" Type="http://schemas.openxmlformats.org/officeDocument/2006/relationships/hyperlink" Target="http://secrets.rutgers.edu:8080/data/asl-ftp/asllvd/demos/verify_start_end_handshape_annotations//test_auto_move//signs_mov_separ_signers/Liz_185.mov" TargetMode="External"/><Relationship Id="rId1677" Type="http://schemas.openxmlformats.org/officeDocument/2006/relationships/hyperlink" Target="http://csr.bu.edu/ftp/asl/asllvd/demos/verify_start_end_handshape_annotations//test_auto_move//signs_mov_separ_signers/Liz_3710.mov" TargetMode="External"/><Relationship Id="rId1678" Type="http://schemas.openxmlformats.org/officeDocument/2006/relationships/hyperlink" Target="http://secrets.rutgers.edu:8080/data/asl-ftp/asllvd/demos/verify_start_end_handshape_annotations//test_auto_move//signs_mov_separ_signers/Liz_3710.mov" TargetMode="External"/><Relationship Id="rId1679" Type="http://schemas.openxmlformats.org/officeDocument/2006/relationships/hyperlink" Target="http://csr.bu.edu/ftp/asl/asllvd/demos/verify_start_end_handshape_annotations//test_auto_move//signs_mov/185_3710_merged.mov" TargetMode="External"/><Relationship Id="rId1680" Type="http://schemas.openxmlformats.org/officeDocument/2006/relationships/hyperlink" Target="http://csr.bu.edu/ftp/asl/asllvd/demos/verify_start_end_handshape_annotations//test_auto_move//signs_mov_separ_signers/Tyler_185.mov" TargetMode="External"/><Relationship Id="rId1681" Type="http://schemas.openxmlformats.org/officeDocument/2006/relationships/hyperlink" Target="http://secrets.rutgers.edu:8080/data/asl-ftp/asllvd/demos/verify_start_end_handshape_annotations//test_auto_move//signs_mov/185_3710_merged.mov" TargetMode="External"/><Relationship Id="rId1682" Type="http://schemas.openxmlformats.org/officeDocument/2006/relationships/hyperlink" Target="http://secrets.rutgers.edu:8080/data/asl-ftp/asllvd/demos/verify_start_end_handshape_annotations//test_auto_move//signs_mov_separ_signers/Tyler_185.mov" TargetMode="External"/><Relationship Id="rId1683" Type="http://schemas.openxmlformats.org/officeDocument/2006/relationships/hyperlink" Target="http://csr.bu.edu/ftp/asl/asllvd/demos/verify_start_end_handshape_annotations//test_auto_move//signs_mov_separ_signers/Naomi_185.mov" TargetMode="External"/><Relationship Id="rId1684" Type="http://schemas.openxmlformats.org/officeDocument/2006/relationships/hyperlink" Target="http://secrets.rutgers.edu:8080/data/asl-ftp/asllvd/demos/verify_start_end_handshape_annotations//test_auto_move//signs_mov_separ_signers/Naomi_185.mov" TargetMode="External"/><Relationship Id="rId1685" Type="http://schemas.openxmlformats.org/officeDocument/2006/relationships/hyperlink" Target="http://csr.bu.edu/ftp/asl/asllvd/demos/verify_start_end_handshape_annotations//test_auto_move//signs_mov_separ_signers/Brady_185.mov" TargetMode="External"/><Relationship Id="rId1686" Type="http://schemas.openxmlformats.org/officeDocument/2006/relationships/hyperlink" Target="http://secrets.rutgers.edu:8080/data/asl-ftp/asllvd/demos/verify_start_end_handshape_annotations//test_auto_move//signs_mov_separ_signers/Brady_185.mov" TargetMode="External"/><Relationship Id="rId1687" Type="http://schemas.openxmlformats.org/officeDocument/2006/relationships/hyperlink" Target="http://csr.bu.edu/ftp/asl/asllvd/demos/verify_start_end_handshape_annotations//test_auto_move//signs_mov_separ_signers/Brady_3710.mov" TargetMode="External"/><Relationship Id="rId1688" Type="http://schemas.openxmlformats.org/officeDocument/2006/relationships/hyperlink" Target="http://secrets.rutgers.edu:8080/data/asl-ftp/asllvd/demos/verify_start_end_handshape_annotations//test_auto_move//signs_mov_separ_signers/Brady_3710.mov" TargetMode="External"/><Relationship Id="rId1689" Type="http://schemas.openxmlformats.org/officeDocument/2006/relationships/hyperlink" Target="http://csr.bu.edu/ftp/asl/asllvd/demos/verify_start_end_handshape_annotations//test_auto_move//signs_mov_separ_signers/Liz_186.mov" TargetMode="External"/><Relationship Id="rId1690" Type="http://schemas.openxmlformats.org/officeDocument/2006/relationships/hyperlink" Target="http://secrets.rutgers.edu:8080/data/asl-ftp/asllvd/demos/verify_start_end_handshape_annotations//test_auto_move//signs_mov_separ_signers/Liz_186.mov" TargetMode="External"/><Relationship Id="rId1691" Type="http://schemas.openxmlformats.org/officeDocument/2006/relationships/hyperlink" Target="http://csr.bu.edu/ftp/asl/asllvd/demos/verify_start_end_handshape_annotations//test_auto_move//signs_mov/186.mov" TargetMode="External"/><Relationship Id="rId1692" Type="http://schemas.openxmlformats.org/officeDocument/2006/relationships/hyperlink" Target="http://csr.bu.edu/ftp/asl/asllvd/demos/verify_start_end_handshape_annotations//test_auto_move//signs_mov_separ_signers/Tyler_186.mov" TargetMode="External"/><Relationship Id="rId1693" Type="http://schemas.openxmlformats.org/officeDocument/2006/relationships/hyperlink" Target="http://secrets.rutgers.edu:8080/data/asl-ftp/asllvd/demos/verify_start_end_handshape_annotations//test_auto_move//signs_mov/186.mov" TargetMode="External"/><Relationship Id="rId1694" Type="http://schemas.openxmlformats.org/officeDocument/2006/relationships/hyperlink" Target="http://secrets.rutgers.edu:8080/data/asl-ftp/asllvd/demos/verify_start_end_handshape_annotations//test_auto_move//signs_mov_separ_signers/Tyler_186.mov" TargetMode="External"/><Relationship Id="rId1695" Type="http://schemas.openxmlformats.org/officeDocument/2006/relationships/hyperlink" Target="http://csr.bu.edu/ftp/asl/asllvd/demos/verify_start_end_handshape_annotations//test_auto_move//signs_mov_separ_signers/Naomi_186.mov" TargetMode="External"/><Relationship Id="rId1696" Type="http://schemas.openxmlformats.org/officeDocument/2006/relationships/hyperlink" Target="http://secrets.rutgers.edu:8080/data/asl-ftp/asllvd/demos/verify_start_end_handshape_annotations//test_auto_move//signs_mov_separ_signers/Naomi_186.mov" TargetMode="External"/><Relationship Id="rId1697" Type="http://schemas.openxmlformats.org/officeDocument/2006/relationships/hyperlink" Target="http://csr.bu.edu/ftp/asl/asllvd/demos/verify_start_end_handshape_annotations//test_auto_move//signs_mov_separ_signers/Brady_186.mov" TargetMode="External"/><Relationship Id="rId1698" Type="http://schemas.openxmlformats.org/officeDocument/2006/relationships/hyperlink" Target="http://secrets.rutgers.edu:8080/data/asl-ftp/asllvd/demos/verify_start_end_handshape_annotations//test_auto_move//signs_mov_separ_signers/Brady_186.mov" TargetMode="External"/><Relationship Id="rId1699" Type="http://schemas.openxmlformats.org/officeDocument/2006/relationships/hyperlink" Target="http://csr.bu.edu/ftp/asl/asllvd/demos/verify_start_end_handshape_annotations//test_auto_move//signs_mov/187.mov" TargetMode="External"/><Relationship Id="rId1700" Type="http://schemas.openxmlformats.org/officeDocument/2006/relationships/hyperlink" Target="http://csr.bu.edu/ftp/asl/asllvd/demos/verify_start_end_handshape_annotations//test_auto_move//signs_mov_separ_signers/Brady_187.mov" TargetMode="External"/><Relationship Id="rId1701" Type="http://schemas.openxmlformats.org/officeDocument/2006/relationships/hyperlink" Target="http://secrets.rutgers.edu:8080/data/asl-ftp/asllvd/demos/verify_start_end_handshape_annotations//test_auto_move//signs_mov/187.mov" TargetMode="External"/><Relationship Id="rId1702" Type="http://schemas.openxmlformats.org/officeDocument/2006/relationships/hyperlink" Target="http://secrets.rutgers.edu:8080/data/asl-ftp/asllvd/demos/verify_start_end_handshape_annotations//test_auto_move//signs_mov_separ_signers/Brady_187.mov" TargetMode="External"/><Relationship Id="rId1703" Type="http://schemas.openxmlformats.org/officeDocument/2006/relationships/hyperlink" Target="http://csr.bu.edu/ftp/asl/asllvd/demos/verify_start_end_handshape_annotations//test_auto_move//signs_mov_separ_signers/Liz_188.mov" TargetMode="External"/><Relationship Id="rId1704" Type="http://schemas.openxmlformats.org/officeDocument/2006/relationships/hyperlink" Target="http://secrets.rutgers.edu:8080/data/asl-ftp/asllvd/demos/verify_start_end_handshape_annotations//test_auto_move//signs_mov_separ_signers/Liz_188.mov" TargetMode="External"/><Relationship Id="rId1705" Type="http://schemas.openxmlformats.org/officeDocument/2006/relationships/hyperlink" Target="http://csr.bu.edu/ftp/asl/asllvd/demos/verify_start_end_handshape_annotations//test_auto_move//signs_mov/188.mov" TargetMode="External"/><Relationship Id="rId1706" Type="http://schemas.openxmlformats.org/officeDocument/2006/relationships/hyperlink" Target="http://csr.bu.edu/ftp/asl/asllvd/demos/verify_start_end_handshape_annotations//test_auto_move//signs_mov_separ_signers/Tyler_188.mov" TargetMode="External"/><Relationship Id="rId1707" Type="http://schemas.openxmlformats.org/officeDocument/2006/relationships/hyperlink" Target="http://secrets.rutgers.edu:8080/data/asl-ftp/asllvd/demos/verify_start_end_handshape_annotations//test_auto_move//signs_mov/188.mov" TargetMode="External"/><Relationship Id="rId1708" Type="http://schemas.openxmlformats.org/officeDocument/2006/relationships/hyperlink" Target="http://secrets.rutgers.edu:8080/data/asl-ftp/asllvd/demos/verify_start_end_handshape_annotations//test_auto_move//signs_mov_separ_signers/Tyler_188.mov" TargetMode="External"/><Relationship Id="rId1709" Type="http://schemas.openxmlformats.org/officeDocument/2006/relationships/hyperlink" Target="http://csr.bu.edu/ftp/asl/asllvd/demos/verify_start_end_handshape_annotations//test_auto_move//signs_mov_separ_signers/Naomi_188.mov" TargetMode="External"/><Relationship Id="rId1710" Type="http://schemas.openxmlformats.org/officeDocument/2006/relationships/hyperlink" Target="http://secrets.rutgers.edu:8080/data/asl-ftp/asllvd/demos/verify_start_end_handshape_annotations//test_auto_move//signs_mov_separ_signers/Naomi_188.mov" TargetMode="External"/><Relationship Id="rId1711" Type="http://schemas.openxmlformats.org/officeDocument/2006/relationships/hyperlink" Target="http://csr.bu.edu/ftp/asl/asllvd/demos/verify_start_end_handshape_annotations//test_auto_move//signs_mov_separ_signers/Brady_188.mov" TargetMode="External"/><Relationship Id="rId1712" Type="http://schemas.openxmlformats.org/officeDocument/2006/relationships/hyperlink" Target="http://secrets.rutgers.edu:8080/data/asl-ftp/asllvd/demos/verify_start_end_handshape_annotations//test_auto_move//signs_mov_separ_signers/Brady_188.mov" TargetMode="External"/><Relationship Id="rId1713" Type="http://schemas.openxmlformats.org/officeDocument/2006/relationships/hyperlink" Target="http://csr.bu.edu/ftp/asl/asllvd/demos/verify_start_end_handshape_annotations//test_auto_move//signs_mov_separ_signers/Liz_189.mov" TargetMode="External"/><Relationship Id="rId1714" Type="http://schemas.openxmlformats.org/officeDocument/2006/relationships/hyperlink" Target="http://secrets.rutgers.edu:8080/data/asl-ftp/asllvd/demos/verify_start_end_handshape_annotations//test_auto_move//signs_mov_separ_signers/Liz_189.mov" TargetMode="External"/><Relationship Id="rId1715" Type="http://schemas.openxmlformats.org/officeDocument/2006/relationships/hyperlink" Target="http://csr.bu.edu/ftp/asl/asllvd/demos/verify_start_end_handshape_annotations//test_auto_move//signs_mov_separ_signers/Liz_5598.mov" TargetMode="External"/><Relationship Id="rId1716" Type="http://schemas.openxmlformats.org/officeDocument/2006/relationships/hyperlink" Target="http://secrets.rutgers.edu:8080/data/asl-ftp/asllvd/demos/verify_start_end_handshape_annotations//test_auto_move//signs_mov_separ_signers/Liz_5598.mov" TargetMode="External"/><Relationship Id="rId1717" Type="http://schemas.openxmlformats.org/officeDocument/2006/relationships/hyperlink" Target="http://csr.bu.edu/ftp/asl/asllvd/demos/verify_start_end_handshape_annotations//test_auto_move//signs_mov_separ_signers/Tyler_189.mov" TargetMode="External"/><Relationship Id="rId1718" Type="http://schemas.openxmlformats.org/officeDocument/2006/relationships/hyperlink" Target="http://secrets.rutgers.edu:8080/data/asl-ftp/asllvd/demos/verify_start_end_handshape_annotations//test_auto_move//signs_mov_separ_signers/Tyler_189.mov" TargetMode="External"/><Relationship Id="rId1719" Type="http://schemas.openxmlformats.org/officeDocument/2006/relationships/hyperlink" Target="http://csr.bu.edu/ftp/asl/asllvd/demos/verify_start_end_handshape_annotations//test_auto_move//signs_mov/189_5598_15545_merged.mov" TargetMode="External"/><Relationship Id="rId1720" Type="http://schemas.openxmlformats.org/officeDocument/2006/relationships/hyperlink" Target="http://csr.bu.edu/ftp/asl/asllvd/demos/verify_start_end_handshape_annotations//test_auto_move//signs_mov_separ_signers/Naomi_189.mov" TargetMode="External"/><Relationship Id="rId1721" Type="http://schemas.openxmlformats.org/officeDocument/2006/relationships/hyperlink" Target="http://secrets.rutgers.edu:8080/data/asl-ftp/asllvd/demos/verify_start_end_handshape_annotations//test_auto_move//signs_mov/189_5598_15545_merged.mov" TargetMode="External"/><Relationship Id="rId1722" Type="http://schemas.openxmlformats.org/officeDocument/2006/relationships/hyperlink" Target="http://secrets.rutgers.edu:8080/data/asl-ftp/asllvd/demos/verify_start_end_handshape_annotations//test_auto_move//signs_mov_separ_signers/Naomi_189.mov" TargetMode="External"/><Relationship Id="rId1723" Type="http://schemas.openxmlformats.org/officeDocument/2006/relationships/hyperlink" Target="http://csr.bu.edu/ftp/asl/asllvd/demos/verify_start_end_handshape_annotations//test_auto_move//signs_mov_separ_signers/Brady_189.mov" TargetMode="External"/><Relationship Id="rId1724" Type="http://schemas.openxmlformats.org/officeDocument/2006/relationships/hyperlink" Target="http://secrets.rutgers.edu:8080/data/asl-ftp/asllvd/demos/verify_start_end_handshape_annotations//test_auto_move//signs_mov_separ_signers/Brady_189.mov" TargetMode="External"/><Relationship Id="rId1725" Type="http://schemas.openxmlformats.org/officeDocument/2006/relationships/hyperlink" Target="http://csr.bu.edu/ftp/asl/asllvd/demos/verify_start_end_handshape_annotations//test_auto_move//signs_mov_separ_signers/Brady_5598.mov" TargetMode="External"/><Relationship Id="rId1726" Type="http://schemas.openxmlformats.org/officeDocument/2006/relationships/hyperlink" Target="http://secrets.rutgers.edu:8080/data/asl-ftp/asllvd/demos/verify_start_end_handshape_annotations//test_auto_move//signs_mov_separ_signers/Brady_5598.mov" TargetMode="External"/><Relationship Id="rId1727" Type="http://schemas.openxmlformats.org/officeDocument/2006/relationships/hyperlink" Target="http://csr.bu.edu/ftp/asl/asllvd/demos/verify_start_end_handshape_annotations//test_auto_move//signs_mov_separ_signers/Brady_15545.mov" TargetMode="External"/><Relationship Id="rId1728" Type="http://schemas.openxmlformats.org/officeDocument/2006/relationships/hyperlink" Target="http://secrets.rutgers.edu:8080/data/asl-ftp/asllvd/demos/verify_start_end_handshape_annotations//test_auto_move//signs_mov_separ_signers/Brady_15545.mov" TargetMode="External"/><Relationship Id="rId1729" Type="http://schemas.openxmlformats.org/officeDocument/2006/relationships/hyperlink" Target="http://csr.bu.edu/ftp/asl/asllvd/demos/verify_start_end_handshape_annotations//test_auto_move//signs_mov/191.mov" TargetMode="External"/><Relationship Id="rId1730" Type="http://schemas.openxmlformats.org/officeDocument/2006/relationships/hyperlink" Target="http://csr.bu.edu/ftp/asl/asllvd/demos/verify_start_end_handshape_annotations//test_auto_move//signs_mov_separ_signers/Tyler_191.mov" TargetMode="External"/><Relationship Id="rId1731" Type="http://schemas.openxmlformats.org/officeDocument/2006/relationships/hyperlink" Target="http://secrets.rutgers.edu:8080/data/asl-ftp/asllvd/demos/verify_start_end_handshape_annotations//test_auto_move//signs_mov/191.mov" TargetMode="External"/><Relationship Id="rId1732" Type="http://schemas.openxmlformats.org/officeDocument/2006/relationships/hyperlink" Target="http://secrets.rutgers.edu:8080/data/asl-ftp/asllvd/demos/verify_start_end_handshape_annotations//test_auto_move//signs_mov_separ_signers/Tyler_191.mov" TargetMode="External"/><Relationship Id="rId1733" Type="http://schemas.openxmlformats.org/officeDocument/2006/relationships/hyperlink" Target="http://csr.bu.edu/ftp/asl/asllvd/demos/verify_start_end_handshape_annotations//test_auto_move//signs_mov_separ_signers/Naomi_191.mov" TargetMode="External"/><Relationship Id="rId1734" Type="http://schemas.openxmlformats.org/officeDocument/2006/relationships/hyperlink" Target="http://secrets.rutgers.edu:8080/data/asl-ftp/asllvd/demos/verify_start_end_handshape_annotations//test_auto_move//signs_mov_separ_signers/Naomi_191.mov" TargetMode="External"/><Relationship Id="rId1735" Type="http://schemas.openxmlformats.org/officeDocument/2006/relationships/hyperlink" Target="http://csr.bu.edu/ftp/asl/asllvd/demos/verify_start_end_handshape_annotations//test_auto_move//signs_mov/16224.mov" TargetMode="External"/><Relationship Id="rId1736" Type="http://schemas.openxmlformats.org/officeDocument/2006/relationships/hyperlink" Target="http://csr.bu.edu/ftp/asl/asllvd/demos/verify_start_end_handshape_annotations//test_auto_move//signs_mov_separ_signers/Brady_16224.mov" TargetMode="External"/><Relationship Id="rId1737" Type="http://schemas.openxmlformats.org/officeDocument/2006/relationships/hyperlink" Target="http://secrets.rutgers.edu:8080/data/asl-ftp/asllvd/demos/verify_start_end_handshape_annotations//test_auto_move//signs_mov/16224.mov" TargetMode="External"/><Relationship Id="rId1738" Type="http://schemas.openxmlformats.org/officeDocument/2006/relationships/hyperlink" Target="http://secrets.rutgers.edu:8080/data/asl-ftp/asllvd/demos/verify_start_end_handshape_annotations//test_auto_move//signs_mov_separ_signers/Brady_16224.mov" TargetMode="External"/><Relationship Id="rId1739" Type="http://schemas.openxmlformats.org/officeDocument/2006/relationships/hyperlink" Target="http://csr.bu.edu/ftp/asl/asllvd/demos/verify_start_end_handshape_annotations//test_auto_move//signs_mov/192.mov" TargetMode="External"/><Relationship Id="rId1740" Type="http://schemas.openxmlformats.org/officeDocument/2006/relationships/hyperlink" Target="http://csr.bu.edu/ftp/asl/asllvd/demos/verify_start_end_handshape_annotations//test_auto_move//signs_mov_separ_signers/Naomi_192.mov" TargetMode="External"/><Relationship Id="rId1741" Type="http://schemas.openxmlformats.org/officeDocument/2006/relationships/hyperlink" Target="http://secrets.rutgers.edu:8080/data/asl-ftp/asllvd/demos/verify_start_end_handshape_annotations//test_auto_move//signs_mov/192.mov" TargetMode="External"/><Relationship Id="rId1742" Type="http://schemas.openxmlformats.org/officeDocument/2006/relationships/hyperlink" Target="http://secrets.rutgers.edu:8080/data/asl-ftp/asllvd/demos/verify_start_end_handshape_annotations//test_auto_move//signs_mov_separ_signers/Naomi_192.mov" TargetMode="External"/><Relationship Id="rId1743" Type="http://schemas.openxmlformats.org/officeDocument/2006/relationships/hyperlink" Target="http://csr.bu.edu/ftp/asl/asllvd/demos/verify_start_end_handshape_annotations//test_auto_move//signs_mov_separ_signers/Lana_192.mov" TargetMode="External"/><Relationship Id="rId1744" Type="http://schemas.openxmlformats.org/officeDocument/2006/relationships/hyperlink" Target="http://secrets.rutgers.edu:8080/data/asl-ftp/asllvd/demos/verify_start_end_handshape_annotations//test_auto_move//signs_mov_separ_signers/Lana_192.mov" TargetMode="External"/><Relationship Id="rId1745" Type="http://schemas.openxmlformats.org/officeDocument/2006/relationships/hyperlink" Target="http://csr.bu.edu/ftp/asl/asllvd/demos/verify_start_end_handshape_annotations//test_auto_move//signs_mov/16225.mov" TargetMode="External"/><Relationship Id="rId1746" Type="http://schemas.openxmlformats.org/officeDocument/2006/relationships/hyperlink" Target="http://csr.bu.edu/ftp/asl/asllvd/demos/verify_start_end_handshape_annotations//test_auto_move//signs_mov_separ_signers/Brady_16225.mov" TargetMode="External"/><Relationship Id="rId1747" Type="http://schemas.openxmlformats.org/officeDocument/2006/relationships/hyperlink" Target="http://secrets.rutgers.edu:8080/data/asl-ftp/asllvd/demos/verify_start_end_handshape_annotations//test_auto_move//signs_mov/16225.mov" TargetMode="External"/><Relationship Id="rId1748" Type="http://schemas.openxmlformats.org/officeDocument/2006/relationships/hyperlink" Target="http://secrets.rutgers.edu:8080/data/asl-ftp/asllvd/demos/verify_start_end_handshape_annotations//test_auto_move//signs_mov_separ_signers/Brady_16225.mov" TargetMode="External"/><Relationship Id="rId1749" Type="http://schemas.openxmlformats.org/officeDocument/2006/relationships/hyperlink" Target="http://csr.bu.edu/ftp/asl/asllvd/demos/verify_start_end_handshape_annotations//test_auto_move//signs_mov_separ_signers/Dana_16225.mov" TargetMode="External"/><Relationship Id="rId1750" Type="http://schemas.openxmlformats.org/officeDocument/2006/relationships/hyperlink" Target="http://secrets.rutgers.edu:8080/data/asl-ftp/asllvd/demos/verify_start_end_handshape_annotations//test_auto_move//signs_mov_separ_signers/Dana_16225.mov" TargetMode="External"/><Relationship Id="rId1751" Type="http://schemas.openxmlformats.org/officeDocument/2006/relationships/hyperlink" Target="http://csr.bu.edu/ftp/asl/asllvd/demos/verify_start_end_handshape_annotations//test_auto_move//signs_mov/16532.mov" TargetMode="External"/><Relationship Id="rId1752" Type="http://schemas.openxmlformats.org/officeDocument/2006/relationships/hyperlink" Target="http://csr.bu.edu/ftp/asl/asllvd/demos/verify_start_end_handshape_annotations//test_auto_move//signs_mov_separ_signers/Tyler_16532.mov" TargetMode="External"/><Relationship Id="rId1753" Type="http://schemas.openxmlformats.org/officeDocument/2006/relationships/hyperlink" Target="http://secrets.rutgers.edu:8080/data/asl-ftp/asllvd/demos/verify_start_end_handshape_annotations//test_auto_move//signs_mov/16532.mov" TargetMode="External"/><Relationship Id="rId1754" Type="http://schemas.openxmlformats.org/officeDocument/2006/relationships/hyperlink" Target="http://secrets.rutgers.edu:8080/data/asl-ftp/asllvd/demos/verify_start_end_handshape_annotations//test_auto_move//signs_mov_separ_signers/Tyler_16532.mov" TargetMode="External"/><Relationship Id="rId1755" Type="http://schemas.openxmlformats.org/officeDocument/2006/relationships/hyperlink" Target="http://csr.bu.edu/ftp/asl/asllvd/demos/verify_start_end_handshape_annotations//test_auto_move//signs_mov_separ_signers/Liz_196.mov" TargetMode="External"/><Relationship Id="rId1756" Type="http://schemas.openxmlformats.org/officeDocument/2006/relationships/hyperlink" Target="http://secrets.rutgers.edu:8080/data/asl-ftp/asllvd/demos/verify_start_end_handshape_annotations//test_auto_move//signs_mov_separ_signers/Liz_196.mov" TargetMode="External"/><Relationship Id="rId1757" Type="http://schemas.openxmlformats.org/officeDocument/2006/relationships/hyperlink" Target="http://csr.bu.edu/ftp/asl/asllvd/demos/verify_start_end_handshape_annotations//test_auto_move//signs_mov/196.mov" TargetMode="External"/><Relationship Id="rId1758" Type="http://schemas.openxmlformats.org/officeDocument/2006/relationships/hyperlink" Target="http://csr.bu.edu/ftp/asl/asllvd/demos/verify_start_end_handshape_annotations//test_auto_move//signs_mov_separ_signers/Tyler_196.mov" TargetMode="External"/><Relationship Id="rId1759" Type="http://schemas.openxmlformats.org/officeDocument/2006/relationships/hyperlink" Target="http://secrets.rutgers.edu:8080/data/asl-ftp/asllvd/demos/verify_start_end_handshape_annotations//test_auto_move//signs_mov/196.mov" TargetMode="External"/><Relationship Id="rId1760" Type="http://schemas.openxmlformats.org/officeDocument/2006/relationships/hyperlink" Target="http://secrets.rutgers.edu:8080/data/asl-ftp/asllvd/demos/verify_start_end_handshape_annotations//test_auto_move//signs_mov_separ_signers/Tyler_196.mov" TargetMode="External"/><Relationship Id="rId1761" Type="http://schemas.openxmlformats.org/officeDocument/2006/relationships/hyperlink" Target="http://csr.bu.edu/ftp/asl/asllvd/demos/verify_start_end_handshape_annotations//test_auto_move//signs_mov_separ_signers/Naomi_196.mov" TargetMode="External"/><Relationship Id="rId1762" Type="http://schemas.openxmlformats.org/officeDocument/2006/relationships/hyperlink" Target="http://secrets.rutgers.edu:8080/data/asl-ftp/asllvd/demos/verify_start_end_handshape_annotations//test_auto_move//signs_mov_separ_signers/Naomi_196.mov" TargetMode="External"/><Relationship Id="rId1763" Type="http://schemas.openxmlformats.org/officeDocument/2006/relationships/hyperlink" Target="http://csr.bu.edu/ftp/asl/asllvd/demos/verify_start_end_handshape_annotations//test_auto_move//signs_mov/197.mov" TargetMode="External"/><Relationship Id="rId1764" Type="http://schemas.openxmlformats.org/officeDocument/2006/relationships/hyperlink" Target="http://csr.bu.edu/ftp/asl/asllvd/demos/verify_start_end_handshape_annotations//test_auto_move//signs_mov_separ_signers/Liz_197.mov" TargetMode="External"/><Relationship Id="rId1765" Type="http://schemas.openxmlformats.org/officeDocument/2006/relationships/hyperlink" Target="http://secrets.rutgers.edu:8080/data/asl-ftp/asllvd/demos/verify_start_end_handshape_annotations//test_auto_move//signs_mov/197.mov" TargetMode="External"/><Relationship Id="rId1766" Type="http://schemas.openxmlformats.org/officeDocument/2006/relationships/hyperlink" Target="http://secrets.rutgers.edu:8080/data/asl-ftp/asllvd/demos/verify_start_end_handshape_annotations//test_auto_move//signs_mov_separ_signers/Liz_197.mov" TargetMode="External"/><Relationship Id="rId1767" Type="http://schemas.openxmlformats.org/officeDocument/2006/relationships/hyperlink" Target="http://csr.bu.edu/ftp/asl/asllvd/demos/verify_start_end_handshape_annotations//test_auto_move//signs_mov_separ_signers/Liz_15357.mov" TargetMode="External"/><Relationship Id="rId1768" Type="http://schemas.openxmlformats.org/officeDocument/2006/relationships/hyperlink" Target="http://secrets.rutgers.edu:8080/data/asl-ftp/asllvd/demos/verify_start_end_handshape_annotations//test_auto_move//signs_mov_separ_signers/Liz_15357.mov" TargetMode="External"/><Relationship Id="rId1769" Type="http://schemas.openxmlformats.org/officeDocument/2006/relationships/hyperlink" Target="http://csr.bu.edu/ftp/asl/asllvd/demos/verify_start_end_handshape_annotations//test_auto_move//signs_mov_separ_signers/Liz_15375.mov" TargetMode="External"/><Relationship Id="rId1770" Type="http://schemas.openxmlformats.org/officeDocument/2006/relationships/hyperlink" Target="http://secrets.rutgers.edu:8080/data/asl-ftp/asllvd/demos/verify_start_end_handshape_annotations//test_auto_move//signs_mov_separ_signers/Liz_15375.mov" TargetMode="External"/><Relationship Id="rId1771" Type="http://schemas.openxmlformats.org/officeDocument/2006/relationships/hyperlink" Target="http://csr.bu.edu/ftp/asl/asllvd/demos/verify_start_end_handshape_annotations//test_auto_move//signs_mov/15357_15375_merged.mov" TargetMode="External"/><Relationship Id="rId1772" Type="http://schemas.openxmlformats.org/officeDocument/2006/relationships/hyperlink" Target="http://csr.bu.edu/ftp/asl/asllvd/demos/verify_start_end_handshape_annotations//test_auto_move//signs_mov_separ_signers/Tyler_15357.mov" TargetMode="External"/><Relationship Id="rId1773" Type="http://schemas.openxmlformats.org/officeDocument/2006/relationships/hyperlink" Target="http://secrets.rutgers.edu:8080/data/asl-ftp/asllvd/demos/verify_start_end_handshape_annotations//test_auto_move//signs_mov/15357_15375_merged.mov" TargetMode="External"/><Relationship Id="rId1774" Type="http://schemas.openxmlformats.org/officeDocument/2006/relationships/hyperlink" Target="http://secrets.rutgers.edu:8080/data/asl-ftp/asllvd/demos/verify_start_end_handshape_annotations//test_auto_move//signs_mov_separ_signers/Tyler_15357.mov" TargetMode="External"/><Relationship Id="rId1775" Type="http://schemas.openxmlformats.org/officeDocument/2006/relationships/hyperlink" Target="http://csr.bu.edu/ftp/asl/asllvd/demos/verify_start_end_handshape_annotations//test_auto_move//signs_mov_separ_signers/Naomi_15357.mov" TargetMode="External"/><Relationship Id="rId1776" Type="http://schemas.openxmlformats.org/officeDocument/2006/relationships/hyperlink" Target="http://secrets.rutgers.edu:8080/data/asl-ftp/asllvd/demos/verify_start_end_handshape_annotations//test_auto_move//signs_mov_separ_signers/Naomi_15357.mov" TargetMode="External"/><Relationship Id="rId1777" Type="http://schemas.openxmlformats.org/officeDocument/2006/relationships/hyperlink" Target="http://csr.bu.edu/ftp/asl/asllvd/demos/verify_start_end_handshape_annotations//test_auto_move//signs_mov_separ_signers/Brady_15357.mov" TargetMode="External"/><Relationship Id="rId1778" Type="http://schemas.openxmlformats.org/officeDocument/2006/relationships/hyperlink" Target="http://secrets.rutgers.edu:8080/data/asl-ftp/asllvd/demos/verify_start_end_handshape_annotations//test_auto_move//signs_mov_separ_signers/Brady_15357.mov" TargetMode="External"/><Relationship Id="rId1779" Type="http://schemas.openxmlformats.org/officeDocument/2006/relationships/hyperlink" Target="http://csr.bu.edu/ftp/asl/asllvd/demos/verify_start_end_handshape_annotations//test_auto_move//signs_mov/15381.mov" TargetMode="External"/><Relationship Id="rId1780" Type="http://schemas.openxmlformats.org/officeDocument/2006/relationships/hyperlink" Target="http://csr.bu.edu/ftp/asl/asllvd/demos/verify_start_end_handshape_annotations//test_auto_move//signs_mov_separ_signers/Liz_15381.mov" TargetMode="External"/><Relationship Id="rId1781" Type="http://schemas.openxmlformats.org/officeDocument/2006/relationships/hyperlink" Target="http://secrets.rutgers.edu:8080/data/asl-ftp/asllvd/demos/verify_start_end_handshape_annotations//test_auto_move//signs_mov/15381.mov" TargetMode="External"/><Relationship Id="rId1782" Type="http://schemas.openxmlformats.org/officeDocument/2006/relationships/hyperlink" Target="http://secrets.rutgers.edu:8080/data/asl-ftp/asllvd/demos/verify_start_end_handshape_annotations//test_auto_move//signs_mov_separ_signers/Liz_15381.mov" TargetMode="External"/><Relationship Id="rId1783" Type="http://schemas.openxmlformats.org/officeDocument/2006/relationships/hyperlink" Target="http://csr.bu.edu/ftp/asl/asllvd/demos/verify_start_end_handshape_annotations//test_auto_move//signs_mov/15420.mov" TargetMode="External"/><Relationship Id="rId1784" Type="http://schemas.openxmlformats.org/officeDocument/2006/relationships/hyperlink" Target="http://csr.bu.edu/ftp/asl/asllvd/demos/verify_start_end_handshape_annotations//test_auto_move//signs_mov_separ_signers/Liz_15420.mov" TargetMode="External"/><Relationship Id="rId1785" Type="http://schemas.openxmlformats.org/officeDocument/2006/relationships/hyperlink" Target="http://secrets.rutgers.edu:8080/data/asl-ftp/asllvd/demos/verify_start_end_handshape_annotations//test_auto_move//signs_mov/15420.mov" TargetMode="External"/><Relationship Id="rId1786" Type="http://schemas.openxmlformats.org/officeDocument/2006/relationships/hyperlink" Target="http://secrets.rutgers.edu:8080/data/asl-ftp/asllvd/demos/verify_start_end_handshape_annotations//test_auto_move//signs_mov_separ_signers/Liz_15420.mov" TargetMode="External"/><Relationship Id="rId1787" Type="http://schemas.openxmlformats.org/officeDocument/2006/relationships/hyperlink" Target="http://csr.bu.edu/ftp/asl/asllvd/demos/verify_start_end_handshape_annotations//test_auto_move//signs_mov_separ_signers/Brady_15420.mov" TargetMode="External"/><Relationship Id="rId1788" Type="http://schemas.openxmlformats.org/officeDocument/2006/relationships/hyperlink" Target="http://secrets.rutgers.edu:8080/data/asl-ftp/asllvd/demos/verify_start_end_handshape_annotations//test_auto_move//signs_mov_separ_signers/Brady_15420.mov" TargetMode="External"/><Relationship Id="rId1789" Type="http://schemas.openxmlformats.org/officeDocument/2006/relationships/hyperlink" Target="http://csr.bu.edu/ftp/asl/asllvd/demos/verify_start_end_handshape_annotations//test_auto_move//signs_mov_separ_signers/Liz_198.mov" TargetMode="External"/><Relationship Id="rId1790" Type="http://schemas.openxmlformats.org/officeDocument/2006/relationships/hyperlink" Target="http://secrets.rutgers.edu:8080/data/asl-ftp/asllvd/demos/verify_start_end_handshape_annotations//test_auto_move//signs_mov_separ_signers/Liz_198.mov" TargetMode="External"/><Relationship Id="rId1791" Type="http://schemas.openxmlformats.org/officeDocument/2006/relationships/hyperlink" Target="http://csr.bu.edu/ftp/asl/asllvd/demos/verify_start_end_handshape_annotations//test_auto_move//signs_mov/198.mov" TargetMode="External"/><Relationship Id="rId1792" Type="http://schemas.openxmlformats.org/officeDocument/2006/relationships/hyperlink" Target="http://csr.bu.edu/ftp/asl/asllvd/demos/verify_start_end_handshape_annotations//test_auto_move//signs_mov_separ_signers/Tyler_198.mov" TargetMode="External"/><Relationship Id="rId1793" Type="http://schemas.openxmlformats.org/officeDocument/2006/relationships/hyperlink" Target="http://secrets.rutgers.edu:8080/data/asl-ftp/asllvd/demos/verify_start_end_handshape_annotations//test_auto_move//signs_mov/198.mov" TargetMode="External"/><Relationship Id="rId1794" Type="http://schemas.openxmlformats.org/officeDocument/2006/relationships/hyperlink" Target="http://secrets.rutgers.edu:8080/data/asl-ftp/asllvd/demos/verify_start_end_handshape_annotations//test_auto_move//signs_mov_separ_signers/Tyler_198.mov" TargetMode="External"/><Relationship Id="rId1795" Type="http://schemas.openxmlformats.org/officeDocument/2006/relationships/hyperlink" Target="http://csr.bu.edu/ftp/asl/asllvd/demos/verify_start_end_handshape_annotations//test_auto_move//signs_mov_separ_signers/Naomi_198.mov" TargetMode="External"/><Relationship Id="rId1796" Type="http://schemas.openxmlformats.org/officeDocument/2006/relationships/hyperlink" Target="http://secrets.rutgers.edu:8080/data/asl-ftp/asllvd/demos/verify_start_end_handshape_annotations//test_auto_move//signs_mov_separ_signers/Naomi_198.mov" TargetMode="External"/><Relationship Id="rId1797" Type="http://schemas.openxmlformats.org/officeDocument/2006/relationships/hyperlink" Target="http://csr.bu.edu/ftp/asl/asllvd/demos/verify_start_end_handshape_annotations//test_auto_move//signs_mov_separ_signers/Brady_5100.mov" TargetMode="External"/><Relationship Id="rId1798" Type="http://schemas.openxmlformats.org/officeDocument/2006/relationships/hyperlink" Target="http://secrets.rutgers.edu:8080/data/asl-ftp/asllvd/demos/verify_start_end_handshape_annotations//test_auto_move//signs_mov_separ_signers/Brady_5100.mov" TargetMode="External"/><Relationship Id="rId1799" Type="http://schemas.openxmlformats.org/officeDocument/2006/relationships/hyperlink" Target="http://csr.bu.edu/ftp/asl/asllvd/demos/verify_start_end_handshape_annotations//test_auto_move//signs_mov/5100_5948_merged.mov" TargetMode="External"/><Relationship Id="rId1800" Type="http://schemas.openxmlformats.org/officeDocument/2006/relationships/hyperlink" Target="http://csr.bu.edu/ftp/asl/asllvd/demos/verify_start_end_handshape_annotations//test_auto_move//signs_mov_separ_signers/Brady_5948.mov" TargetMode="External"/><Relationship Id="rId1801" Type="http://schemas.openxmlformats.org/officeDocument/2006/relationships/hyperlink" Target="http://secrets.rutgers.edu:8080/data/asl-ftp/asllvd/demos/verify_start_end_handshape_annotations//test_auto_move//signs_mov/5100_5948_merged.mov" TargetMode="External"/><Relationship Id="rId1802" Type="http://schemas.openxmlformats.org/officeDocument/2006/relationships/hyperlink" Target="http://secrets.rutgers.edu:8080/data/asl-ftp/asllvd/demos/verify_start_end_handshape_annotations//test_auto_move//signs_mov_separ_signers/Brady_5948.mov" TargetMode="External"/><Relationship Id="rId1803" Type="http://schemas.openxmlformats.org/officeDocument/2006/relationships/hyperlink" Target="http://csr.bu.edu/ftp/asl/asllvd/demos/verify_start_end_handshape_annotations//test_auto_move//signs_mov_separ_signers/Lana_5100.mov" TargetMode="External"/><Relationship Id="rId1804" Type="http://schemas.openxmlformats.org/officeDocument/2006/relationships/hyperlink" Target="http://secrets.rutgers.edu:8080/data/asl-ftp/asllvd/demos/verify_start_end_handshape_annotations//test_auto_move//signs_mov_separ_signers/Lana_5100.mov" TargetMode="External"/><Relationship Id="rId1805" Type="http://schemas.openxmlformats.org/officeDocument/2006/relationships/hyperlink" Target="http://csr.bu.edu/ftp/asl/asllvd/demos/verify_start_end_handshape_annotations//test_auto_move//signs_mov_separ_signers/Dana_5100.mov" TargetMode="External"/><Relationship Id="rId1806" Type="http://schemas.openxmlformats.org/officeDocument/2006/relationships/hyperlink" Target="http://secrets.rutgers.edu:8080/data/asl-ftp/asllvd/demos/verify_start_end_handshape_annotations//test_auto_move//signs_mov_separ_signers/Dana_5100.mov" TargetMode="External"/><Relationship Id="rId1807" Type="http://schemas.openxmlformats.org/officeDocument/2006/relationships/hyperlink" Target="http://csr.bu.edu/ftp/asl/asllvd/demos/verify_start_end_handshape_annotations//test_auto_move//signs_mov/199.mov" TargetMode="External"/><Relationship Id="rId1808" Type="http://schemas.openxmlformats.org/officeDocument/2006/relationships/hyperlink" Target="http://csr.bu.edu/ftp/asl/asllvd/demos/verify_start_end_handshape_annotations//test_auto_move//signs_mov_separ_signers/Tyler_199.mov" TargetMode="External"/><Relationship Id="rId1809" Type="http://schemas.openxmlformats.org/officeDocument/2006/relationships/hyperlink" Target="http://secrets.rutgers.edu:8080/data/asl-ftp/asllvd/demos/verify_start_end_handshape_annotations//test_auto_move//signs_mov/199.mov" TargetMode="External"/><Relationship Id="rId1810" Type="http://schemas.openxmlformats.org/officeDocument/2006/relationships/hyperlink" Target="http://secrets.rutgers.edu:8080/data/asl-ftp/asllvd/demos/verify_start_end_handshape_annotations//test_auto_move//signs_mov_separ_signers/Tyler_199.mov" TargetMode="External"/><Relationship Id="rId1811" Type="http://schemas.openxmlformats.org/officeDocument/2006/relationships/hyperlink" Target="http://csr.bu.edu/ftp/asl/asllvd/demos/verify_start_end_handshape_annotations//test_auto_move//signs_mov_separ_signers/Brady_199.mov" TargetMode="External"/><Relationship Id="rId1812" Type="http://schemas.openxmlformats.org/officeDocument/2006/relationships/hyperlink" Target="http://secrets.rutgers.edu:8080/data/asl-ftp/asllvd/demos/verify_start_end_handshape_annotations//test_auto_move//signs_mov_separ_signers/Brady_199.mov" TargetMode="External"/><Relationship Id="rId1813" Type="http://schemas.openxmlformats.org/officeDocument/2006/relationships/hyperlink" Target="http://csr.bu.edu/ftp/asl/asllvd/demos/verify_start_end_handshape_annotations//test_auto_move//signs_mov/5101.mov" TargetMode="External"/><Relationship Id="rId1814" Type="http://schemas.openxmlformats.org/officeDocument/2006/relationships/hyperlink" Target="http://csr.bu.edu/ftp/asl/asllvd/demos/verify_start_end_handshape_annotations//test_auto_move//signs_mov_separ_signers/Naomi_5101.mov" TargetMode="External"/><Relationship Id="rId1815" Type="http://schemas.openxmlformats.org/officeDocument/2006/relationships/hyperlink" Target="http://secrets.rutgers.edu:8080/data/asl-ftp/asllvd/demos/verify_start_end_handshape_annotations//test_auto_move//signs_mov/5101.mov" TargetMode="External"/><Relationship Id="rId1816" Type="http://schemas.openxmlformats.org/officeDocument/2006/relationships/hyperlink" Target="http://secrets.rutgers.edu:8080/data/asl-ftp/asllvd/demos/verify_start_end_handshape_annotations//test_auto_move//signs_mov_separ_signers/Naomi_5101.mov" TargetMode="External"/><Relationship Id="rId1817" Type="http://schemas.openxmlformats.org/officeDocument/2006/relationships/hyperlink" Target="http://csr.bu.edu/ftp/asl/asllvd/demos/verify_start_end_handshape_annotations//test_auto_move//signs_mov/16226.mov" TargetMode="External"/><Relationship Id="rId1818" Type="http://schemas.openxmlformats.org/officeDocument/2006/relationships/hyperlink" Target="http://csr.bu.edu/ftp/asl/asllvd/demos/verify_start_end_handshape_annotations//test_auto_move//signs_mov_separ_signers/Liz_16226.mov" TargetMode="External"/><Relationship Id="rId1819" Type="http://schemas.openxmlformats.org/officeDocument/2006/relationships/hyperlink" Target="http://secrets.rutgers.edu:8080/data/asl-ftp/asllvd/demos/verify_start_end_handshape_annotations//test_auto_move//signs_mov/16226.mov" TargetMode="External"/><Relationship Id="rId1820" Type="http://schemas.openxmlformats.org/officeDocument/2006/relationships/hyperlink" Target="http://secrets.rutgers.edu:8080/data/asl-ftp/asllvd/demos/verify_start_end_handshape_annotations//test_auto_move//signs_mov_separ_signers/Liz_16226.mov" TargetMode="External"/><Relationship Id="rId1821" Type="http://schemas.openxmlformats.org/officeDocument/2006/relationships/hyperlink" Target="http://csr.bu.edu/ftp/asl/asllvd/demos/verify_start_end_handshape_annotations//test_auto_move//signs_mov_separ_signers/Liz_200.mov" TargetMode="External"/><Relationship Id="rId1822" Type="http://schemas.openxmlformats.org/officeDocument/2006/relationships/hyperlink" Target="http://secrets.rutgers.edu:8080/data/asl-ftp/asllvd/demos/verify_start_end_handshape_annotations//test_auto_move//signs_mov_separ_signers/Liz_200.mov" TargetMode="External"/><Relationship Id="rId1823" Type="http://schemas.openxmlformats.org/officeDocument/2006/relationships/hyperlink" Target="http://csr.bu.edu/ftp/asl/asllvd/demos/verify_start_end_handshape_annotations//test_auto_move//signs_mov/200.mov" TargetMode="External"/><Relationship Id="rId1824" Type="http://schemas.openxmlformats.org/officeDocument/2006/relationships/hyperlink" Target="http://csr.bu.edu/ftp/asl/asllvd/demos/verify_start_end_handshape_annotations//test_auto_move//signs_mov_separ_signers/Tyler_200.mov" TargetMode="External"/><Relationship Id="rId1825" Type="http://schemas.openxmlformats.org/officeDocument/2006/relationships/hyperlink" Target="http://secrets.rutgers.edu:8080/data/asl-ftp/asllvd/demos/verify_start_end_handshape_annotations//test_auto_move//signs_mov/200.mov" TargetMode="External"/><Relationship Id="rId1826" Type="http://schemas.openxmlformats.org/officeDocument/2006/relationships/hyperlink" Target="http://secrets.rutgers.edu:8080/data/asl-ftp/asllvd/demos/verify_start_end_handshape_annotations//test_auto_move//signs_mov_separ_signers/Tyler_200.mov" TargetMode="External"/><Relationship Id="rId1827" Type="http://schemas.openxmlformats.org/officeDocument/2006/relationships/hyperlink" Target="http://csr.bu.edu/ftp/asl/asllvd/demos/verify_start_end_handshape_annotations//test_auto_move//signs_mov_separ_signers/Naomi_200.mov" TargetMode="External"/><Relationship Id="rId1828" Type="http://schemas.openxmlformats.org/officeDocument/2006/relationships/hyperlink" Target="http://secrets.rutgers.edu:8080/data/asl-ftp/asllvd/demos/verify_start_end_handshape_annotations//test_auto_move//signs_mov_separ_signers/Naomi_200.mov" TargetMode="External"/><Relationship Id="rId1829" Type="http://schemas.openxmlformats.org/officeDocument/2006/relationships/hyperlink" Target="http://csr.bu.edu/ftp/asl/asllvd/demos/verify_start_end_handshape_annotations//test_auto_move//signs_mov_separ_signers/Brady_200.mov" TargetMode="External"/><Relationship Id="rId1830" Type="http://schemas.openxmlformats.org/officeDocument/2006/relationships/hyperlink" Target="http://secrets.rutgers.edu:8080/data/asl-ftp/asllvd/demos/verify_start_end_handshape_annotations//test_auto_move//signs_mov_separ_signers/Brady_200.mov" TargetMode="External"/><Relationship Id="rId1831" Type="http://schemas.openxmlformats.org/officeDocument/2006/relationships/hyperlink" Target="http://csr.bu.edu/ftp/asl/asllvd/demos/verify_start_end_handshape_annotations//test_auto_move//signs_mov/201.mov" TargetMode="External"/><Relationship Id="rId1832" Type="http://schemas.openxmlformats.org/officeDocument/2006/relationships/hyperlink" Target="http://csr.bu.edu/ftp/asl/asllvd/demos/verify_start_end_handshape_annotations//test_auto_move//signs_mov_separ_signers/Liz_201.mov" TargetMode="External"/><Relationship Id="rId1833" Type="http://schemas.openxmlformats.org/officeDocument/2006/relationships/hyperlink" Target="http://secrets.rutgers.edu:8080/data/asl-ftp/asllvd/demos/verify_start_end_handshape_annotations//test_auto_move//signs_mov/201.mov" TargetMode="External"/><Relationship Id="rId1834" Type="http://schemas.openxmlformats.org/officeDocument/2006/relationships/hyperlink" Target="http://secrets.rutgers.edu:8080/data/asl-ftp/asllvd/demos/verify_start_end_handshape_annotations//test_auto_move//signs_mov_separ_signers/Liz_201.mov" TargetMode="External"/><Relationship Id="rId1835" Type="http://schemas.openxmlformats.org/officeDocument/2006/relationships/hyperlink" Target="http://csr.bu.edu/ftp/asl/asllvd/demos/verify_start_end_handshape_annotations//test_auto_move//signs_mov_separ_signers/Brady_201.mov" TargetMode="External"/><Relationship Id="rId1836" Type="http://schemas.openxmlformats.org/officeDocument/2006/relationships/hyperlink" Target="http://secrets.rutgers.edu:8080/data/asl-ftp/asllvd/demos/verify_start_end_handshape_annotations//test_auto_move//signs_mov_separ_signers/Brady_201.mov" TargetMode="External"/><Relationship Id="rId1837" Type="http://schemas.openxmlformats.org/officeDocument/2006/relationships/hyperlink" Target="http://csr.bu.edu/ftp/asl/asllvd/demos/verify_start_end_handshape_annotations//test_auto_move//signs_mov/3782_3915_merged.mov" TargetMode="External"/><Relationship Id="rId1838" Type="http://schemas.openxmlformats.org/officeDocument/2006/relationships/hyperlink" Target="http://csr.bu.edu/ftp/asl/asllvd/demos/verify_start_end_handshape_annotations//test_auto_move//signs_mov_separ_signers/Liz_3782.mov" TargetMode="External"/><Relationship Id="rId1839" Type="http://schemas.openxmlformats.org/officeDocument/2006/relationships/hyperlink" Target="http://secrets.rutgers.edu:8080/data/asl-ftp/asllvd/demos/verify_start_end_handshape_annotations//test_auto_move//signs_mov/3782_3915_merged.mov" TargetMode="External"/><Relationship Id="rId1840" Type="http://schemas.openxmlformats.org/officeDocument/2006/relationships/hyperlink" Target="http://secrets.rutgers.edu:8080/data/asl-ftp/asllvd/demos/verify_start_end_handshape_annotations//test_auto_move//signs_mov_separ_signers/Liz_3782.mov" TargetMode="External"/><Relationship Id="rId1841" Type="http://schemas.openxmlformats.org/officeDocument/2006/relationships/hyperlink" Target="http://csr.bu.edu/ftp/asl/asllvd/demos/verify_start_end_handshape_annotations//test_auto_move//signs_mov_separ_signers/Liz_3915.mov" TargetMode="External"/><Relationship Id="rId1842" Type="http://schemas.openxmlformats.org/officeDocument/2006/relationships/hyperlink" Target="http://secrets.rutgers.edu:8080/data/asl-ftp/asllvd/demos/verify_start_end_handshape_annotations//test_auto_move//signs_mov_separ_signers/Liz_3915.mov" TargetMode="External"/><Relationship Id="rId1843" Type="http://schemas.openxmlformats.org/officeDocument/2006/relationships/hyperlink" Target="http://csr.bu.edu/ftp/asl/asllvd/demos/verify_start_end_handshape_annotations//test_auto_move//signs_mov_separ_signers/Tyler_15331.mov" TargetMode="External"/><Relationship Id="rId1844" Type="http://schemas.openxmlformats.org/officeDocument/2006/relationships/hyperlink" Target="http://secrets.rutgers.edu:8080/data/asl-ftp/asllvd/demos/verify_start_end_handshape_annotations//test_auto_move//signs_mov_separ_signers/Tyler_15331.mov" TargetMode="External"/><Relationship Id="rId1845" Type="http://schemas.openxmlformats.org/officeDocument/2006/relationships/hyperlink" Target="http://csr.bu.edu/ftp/asl/asllvd/demos/verify_start_end_handshape_annotations//test_auto_move//signs_mov/15331.mov" TargetMode="External"/><Relationship Id="rId1846" Type="http://schemas.openxmlformats.org/officeDocument/2006/relationships/hyperlink" Target="http://csr.bu.edu/ftp/asl/asllvd/demos/verify_start_end_handshape_annotations//test_auto_move//signs_mov_separ_signers/Naomi_15331.mov" TargetMode="External"/><Relationship Id="rId1847" Type="http://schemas.openxmlformats.org/officeDocument/2006/relationships/hyperlink" Target="http://secrets.rutgers.edu:8080/data/asl-ftp/asllvd/demos/verify_start_end_handshape_annotations//test_auto_move//signs_mov/15331.mov" TargetMode="External"/><Relationship Id="rId1848" Type="http://schemas.openxmlformats.org/officeDocument/2006/relationships/hyperlink" Target="http://secrets.rutgers.edu:8080/data/asl-ftp/asllvd/demos/verify_start_end_handshape_annotations//test_auto_move//signs_mov_separ_signers/Naomi_15331.mov" TargetMode="External"/><Relationship Id="rId1849" Type="http://schemas.openxmlformats.org/officeDocument/2006/relationships/hyperlink" Target="http://csr.bu.edu/ftp/asl/asllvd/demos/verify_start_end_handshape_annotations//test_auto_move//signs_mov_separ_signers/Brady_15331.mov" TargetMode="External"/><Relationship Id="rId1850" Type="http://schemas.openxmlformats.org/officeDocument/2006/relationships/hyperlink" Target="http://secrets.rutgers.edu:8080/data/asl-ftp/asllvd/demos/verify_start_end_handshape_annotations//test_auto_move//signs_mov_separ_signers/Brady_15331.mov" TargetMode="External"/><Relationship Id="rId1851" Type="http://schemas.openxmlformats.org/officeDocument/2006/relationships/hyperlink" Target="http://csr.bu.edu/ftp/asl/asllvd/demos/verify_start_end_handshape_annotations//test_auto_move//signs_mov/15332.mov" TargetMode="External"/><Relationship Id="rId1852" Type="http://schemas.openxmlformats.org/officeDocument/2006/relationships/hyperlink" Target="http://csr.bu.edu/ftp/asl/asllvd/demos/verify_start_end_handshape_annotations//test_auto_move//signs_mov_separ_signers/Tyler_15332.mov" TargetMode="External"/><Relationship Id="rId1853" Type="http://schemas.openxmlformats.org/officeDocument/2006/relationships/hyperlink" Target="http://secrets.rutgers.edu:8080/data/asl-ftp/asllvd/demos/verify_start_end_handshape_annotations//test_auto_move//signs_mov/15332.mov" TargetMode="External"/><Relationship Id="rId1854" Type="http://schemas.openxmlformats.org/officeDocument/2006/relationships/hyperlink" Target="http://secrets.rutgers.edu:8080/data/asl-ftp/asllvd/demos/verify_start_end_handshape_annotations//test_auto_move//signs_mov_separ_signers/Tyler_15332.mov" TargetMode="External"/><Relationship Id="rId1855" Type="http://schemas.openxmlformats.org/officeDocument/2006/relationships/hyperlink" Target="http://csr.bu.edu/ftp/asl/asllvd/demos/verify_start_end_handshape_annotations//test_auto_move//signs_mov_separ_signers/Brady_15332.mov" TargetMode="External"/><Relationship Id="rId1856" Type="http://schemas.openxmlformats.org/officeDocument/2006/relationships/hyperlink" Target="http://secrets.rutgers.edu:8080/data/asl-ftp/asllvd/demos/verify_start_end_handshape_annotations//test_auto_move//signs_mov_separ_signers/Brady_15332.mov" TargetMode="External"/><Relationship Id="rId1857" Type="http://schemas.openxmlformats.org/officeDocument/2006/relationships/hyperlink" Target="http://csr.bu.edu/ftp/asl/asllvd/demos/verify_start_end_handshape_annotations//test_auto_move//signs_mov_separ_signers/Liz_204.mov" TargetMode="External"/><Relationship Id="rId1858" Type="http://schemas.openxmlformats.org/officeDocument/2006/relationships/hyperlink" Target="http://secrets.rutgers.edu:8080/data/asl-ftp/asllvd/demos/verify_start_end_handshape_annotations//test_auto_move//signs_mov_separ_signers/Liz_204.mov" TargetMode="External"/><Relationship Id="rId1859" Type="http://schemas.openxmlformats.org/officeDocument/2006/relationships/hyperlink" Target="http://csr.bu.edu/ftp/asl/asllvd/demos/verify_start_end_handshape_annotations//test_auto_move//signs_mov_separ_signers/Tyler_204.mov" TargetMode="External"/><Relationship Id="rId1860" Type="http://schemas.openxmlformats.org/officeDocument/2006/relationships/hyperlink" Target="http://secrets.rutgers.edu:8080/data/asl-ftp/asllvd/demos/verify_start_end_handshape_annotations//test_auto_move//signs_mov_separ_signers/Tyler_204.mov" TargetMode="External"/><Relationship Id="rId1861" Type="http://schemas.openxmlformats.org/officeDocument/2006/relationships/hyperlink" Target="http://csr.bu.edu/ftp/asl/asllvd/demos/verify_start_end_handshape_annotations//test_auto_move//signs_mov/204_16066_merged.mov" TargetMode="External"/><Relationship Id="rId1862" Type="http://schemas.openxmlformats.org/officeDocument/2006/relationships/hyperlink" Target="http://csr.bu.edu/ftp/asl/asllvd/demos/verify_start_end_handshape_annotations//test_auto_move//signs_mov_separ_signers/Naomi_204.mov" TargetMode="External"/><Relationship Id="rId1863" Type="http://schemas.openxmlformats.org/officeDocument/2006/relationships/hyperlink" Target="http://secrets.rutgers.edu:8080/data/asl-ftp/asllvd/demos/verify_start_end_handshape_annotations//test_auto_move//signs_mov/204_16066_merged.mov" TargetMode="External"/><Relationship Id="rId1864" Type="http://schemas.openxmlformats.org/officeDocument/2006/relationships/hyperlink" Target="http://secrets.rutgers.edu:8080/data/asl-ftp/asllvd/demos/verify_start_end_handshape_annotations//test_auto_move//signs_mov_separ_signers/Naomi_204.mov" TargetMode="External"/><Relationship Id="rId1865" Type="http://schemas.openxmlformats.org/officeDocument/2006/relationships/hyperlink" Target="http://csr.bu.edu/ftp/asl/asllvd/demos/verify_start_end_handshape_annotations//test_auto_move//signs_mov_separ_signers/Brady_204.mov" TargetMode="External"/><Relationship Id="rId1866" Type="http://schemas.openxmlformats.org/officeDocument/2006/relationships/hyperlink" Target="http://secrets.rutgers.edu:8080/data/asl-ftp/asllvd/demos/verify_start_end_handshape_annotations//test_auto_move//signs_mov_separ_signers/Brady_204.mov" TargetMode="External"/><Relationship Id="rId1867" Type="http://schemas.openxmlformats.org/officeDocument/2006/relationships/hyperlink" Target="http://csr.bu.edu/ftp/asl/asllvd/demos/verify_start_end_handshape_annotations//test_auto_move//signs_mov_separ_signers/Brady_16066.mov" TargetMode="External"/><Relationship Id="rId1868" Type="http://schemas.openxmlformats.org/officeDocument/2006/relationships/hyperlink" Target="http://secrets.rutgers.edu:8080/data/asl-ftp/asllvd/demos/verify_start_end_handshape_annotations//test_auto_move//signs_mov_separ_signers/Brady_16066.mov" TargetMode="External"/><Relationship Id="rId1869" Type="http://schemas.openxmlformats.org/officeDocument/2006/relationships/hyperlink" Target="http://csr.bu.edu/ftp/asl/asllvd/demos/verify_start_end_handshape_annotations//test_auto_move//signs_mov_separ_signers/Lana_204.mov" TargetMode="External"/><Relationship Id="rId1870" Type="http://schemas.openxmlformats.org/officeDocument/2006/relationships/hyperlink" Target="http://secrets.rutgers.edu:8080/data/asl-ftp/asllvd/demos/verify_start_end_handshape_annotations//test_auto_move//signs_mov_separ_signers/Lana_204.mov" TargetMode="External"/><Relationship Id="rId1871" Type="http://schemas.openxmlformats.org/officeDocument/2006/relationships/hyperlink" Target="http://csr.bu.edu/ftp/asl/asllvd/demos/verify_start_end_handshape_annotations//test_auto_move//signs_mov/16070.mov" TargetMode="External"/><Relationship Id="rId1872" Type="http://schemas.openxmlformats.org/officeDocument/2006/relationships/hyperlink" Target="http://csr.bu.edu/ftp/asl/asllvd/demos/verify_start_end_handshape_annotations//test_auto_move//signs_mov_separ_signers/Liz_16070.mov" TargetMode="External"/><Relationship Id="rId1873" Type="http://schemas.openxmlformats.org/officeDocument/2006/relationships/hyperlink" Target="http://secrets.rutgers.edu:8080/data/asl-ftp/asllvd/demos/verify_start_end_handshape_annotations//test_auto_move//signs_mov/16070.mov" TargetMode="External"/><Relationship Id="rId1874" Type="http://schemas.openxmlformats.org/officeDocument/2006/relationships/hyperlink" Target="http://secrets.rutgers.edu:8080/data/asl-ftp/asllvd/demos/verify_start_end_handshape_annotations//test_auto_move//signs_mov_separ_signers/Liz_16070.mov" TargetMode="External"/><Relationship Id="rId1875" Type="http://schemas.openxmlformats.org/officeDocument/2006/relationships/hyperlink" Target="http://csr.bu.edu/ftp/asl/asllvd/demos/verify_start_end_handshape_annotations//test_auto_move//signs_mov/16432.mov" TargetMode="External"/><Relationship Id="rId1876" Type="http://schemas.openxmlformats.org/officeDocument/2006/relationships/hyperlink" Target="http://csr.bu.edu/ftp/asl/asllvd/demos/verify_start_end_handshape_annotations//test_auto_move//signs_mov_separ_signers/Liz_16432.mov" TargetMode="External"/><Relationship Id="rId1877" Type="http://schemas.openxmlformats.org/officeDocument/2006/relationships/hyperlink" Target="http://secrets.rutgers.edu:8080/data/asl-ftp/asllvd/demos/verify_start_end_handshape_annotations//test_auto_move//signs_mov/16432.mov" TargetMode="External"/><Relationship Id="rId1878" Type="http://schemas.openxmlformats.org/officeDocument/2006/relationships/hyperlink" Target="http://secrets.rutgers.edu:8080/data/asl-ftp/asllvd/demos/verify_start_end_handshape_annotations//test_auto_move//signs_mov_separ_signers/Liz_16432.mov" TargetMode="External"/><Relationship Id="rId1879" Type="http://schemas.openxmlformats.org/officeDocument/2006/relationships/hyperlink" Target="http://csr.bu.edu/ftp/asl/asllvd/demos/verify_start_end_handshape_annotations//test_auto_move//signs_mov_separ_signers/Liz_206.mov" TargetMode="External"/><Relationship Id="rId1880" Type="http://schemas.openxmlformats.org/officeDocument/2006/relationships/hyperlink" Target="http://secrets.rutgers.edu:8080/data/asl-ftp/asllvd/demos/verify_start_end_handshape_annotations//test_auto_move//signs_mov_separ_signers/Liz_206.mov" TargetMode="External"/><Relationship Id="rId1881" Type="http://schemas.openxmlformats.org/officeDocument/2006/relationships/hyperlink" Target="http://csr.bu.edu/ftp/asl/asllvd/demos/verify_start_end_handshape_annotations//test_auto_move//signs_mov_separ_signers/Liz_3451.mov" TargetMode="External"/><Relationship Id="rId1882" Type="http://schemas.openxmlformats.org/officeDocument/2006/relationships/hyperlink" Target="http://secrets.rutgers.edu:8080/data/asl-ftp/asllvd/demos/verify_start_end_handshape_annotations//test_auto_move//signs_mov_separ_signers/Liz_3451.mov" TargetMode="External"/><Relationship Id="rId1883" Type="http://schemas.openxmlformats.org/officeDocument/2006/relationships/hyperlink" Target="http://csr.bu.edu/ftp/asl/asllvd/demos/verify_start_end_handshape_annotations//test_auto_move//signs_mov/206_3451_merged.mov" TargetMode="External"/><Relationship Id="rId1884" Type="http://schemas.openxmlformats.org/officeDocument/2006/relationships/hyperlink" Target="http://csr.bu.edu/ftp/asl/asllvd/demos/verify_start_end_handshape_annotations//test_auto_move//signs_mov_separ_signers/Tyler_206.mov" TargetMode="External"/><Relationship Id="rId1885" Type="http://schemas.openxmlformats.org/officeDocument/2006/relationships/hyperlink" Target="http://secrets.rutgers.edu:8080/data/asl-ftp/asllvd/demos/verify_start_end_handshape_annotations//test_auto_move//signs_mov/206_3451_merged.mov" TargetMode="External"/><Relationship Id="rId1886" Type="http://schemas.openxmlformats.org/officeDocument/2006/relationships/hyperlink" Target="http://secrets.rutgers.edu:8080/data/asl-ftp/asllvd/demos/verify_start_end_handshape_annotations//test_auto_move//signs_mov_separ_signers/Tyler_206.mov" TargetMode="External"/><Relationship Id="rId1887" Type="http://schemas.openxmlformats.org/officeDocument/2006/relationships/hyperlink" Target="http://csr.bu.edu/ftp/asl/asllvd/demos/verify_start_end_handshape_annotations//test_auto_move//signs_mov_separ_signers/Naomi_206.mov" TargetMode="External"/><Relationship Id="rId1888" Type="http://schemas.openxmlformats.org/officeDocument/2006/relationships/hyperlink" Target="http://secrets.rutgers.edu:8080/data/asl-ftp/asllvd/demos/verify_start_end_handshape_annotations//test_auto_move//signs_mov_separ_signers/Naomi_206.mov" TargetMode="External"/><Relationship Id="rId1889" Type="http://schemas.openxmlformats.org/officeDocument/2006/relationships/hyperlink" Target="http://csr.bu.edu/ftp/asl/asllvd/demos/verify_start_end_handshape_annotations//test_auto_move//signs_mov_separ_signers/Brady_206.mov" TargetMode="External"/><Relationship Id="rId1890" Type="http://schemas.openxmlformats.org/officeDocument/2006/relationships/hyperlink" Target="http://secrets.rutgers.edu:8080/data/asl-ftp/asllvd/demos/verify_start_end_handshape_annotations//test_auto_move//signs_mov_separ_signers/Brady_206.mov" TargetMode="External"/><Relationship Id="rId1891" Type="http://schemas.openxmlformats.org/officeDocument/2006/relationships/hyperlink" Target="http://csr.bu.edu/ftp/asl/asllvd/demos/verify_start_end_handshape_annotations//test_auto_move//signs_mov/5102.mov" TargetMode="External"/><Relationship Id="rId1892" Type="http://schemas.openxmlformats.org/officeDocument/2006/relationships/hyperlink" Target="http://csr.bu.edu/ftp/asl/asllvd/demos/verify_start_end_handshape_annotations//test_auto_move//signs_mov_separ_signers/Brady_5102.mov" TargetMode="External"/><Relationship Id="rId1893" Type="http://schemas.openxmlformats.org/officeDocument/2006/relationships/hyperlink" Target="http://secrets.rutgers.edu:8080/data/asl-ftp/asllvd/demos/verify_start_end_handshape_annotations//test_auto_move//signs_mov/5102.mov" TargetMode="External"/><Relationship Id="rId1894" Type="http://schemas.openxmlformats.org/officeDocument/2006/relationships/hyperlink" Target="http://secrets.rutgers.edu:8080/data/asl-ftp/asllvd/demos/verify_start_end_handshape_annotations//test_auto_move//signs_mov_separ_signers/Brady_5102.mov" TargetMode="External"/><Relationship Id="rId1895" Type="http://schemas.openxmlformats.org/officeDocument/2006/relationships/hyperlink" Target="http://csr.bu.edu/ftp/asl/asllvd/demos/verify_start_end_handshape_annotations//test_auto_move//signs_mov_separ_signers/Liz_207.mov" TargetMode="External"/><Relationship Id="rId1896" Type="http://schemas.openxmlformats.org/officeDocument/2006/relationships/hyperlink" Target="http://secrets.rutgers.edu:8080/data/asl-ftp/asllvd/demos/verify_start_end_handshape_annotations//test_auto_move//signs_mov_separ_signers/Liz_207.mov" TargetMode="External"/><Relationship Id="rId1897" Type="http://schemas.openxmlformats.org/officeDocument/2006/relationships/hyperlink" Target="http://csr.bu.edu/ftp/asl/asllvd/demos/verify_start_end_handshape_annotations//test_auto_move//signs_mov_separ_signers/Liz_3437.mov" TargetMode="External"/><Relationship Id="rId1898" Type="http://schemas.openxmlformats.org/officeDocument/2006/relationships/hyperlink" Target="http://secrets.rutgers.edu:8080/data/asl-ftp/asllvd/demos/verify_start_end_handshape_annotations//test_auto_move//signs_mov_separ_signers/Liz_3437.mov" TargetMode="External"/><Relationship Id="rId1899" Type="http://schemas.openxmlformats.org/officeDocument/2006/relationships/hyperlink" Target="http://csr.bu.edu/ftp/asl/asllvd/demos/verify_start_end_handshape_annotations//test_auto_move//signs_mov/207_3437_merged.mov" TargetMode="External"/><Relationship Id="rId1900" Type="http://schemas.openxmlformats.org/officeDocument/2006/relationships/hyperlink" Target="http://csr.bu.edu/ftp/asl/asllvd/demos/verify_start_end_handshape_annotations//test_auto_move//signs_mov_separ_signers/Tyler_207.mov" TargetMode="External"/><Relationship Id="rId1901" Type="http://schemas.openxmlformats.org/officeDocument/2006/relationships/hyperlink" Target="http://secrets.rutgers.edu:8080/data/asl-ftp/asllvd/demos/verify_start_end_handshape_annotations//test_auto_move//signs_mov/207_3437_merged.mov" TargetMode="External"/><Relationship Id="rId1902" Type="http://schemas.openxmlformats.org/officeDocument/2006/relationships/hyperlink" Target="http://secrets.rutgers.edu:8080/data/asl-ftp/asllvd/demos/verify_start_end_handshape_annotations//test_auto_move//signs_mov_separ_signers/Tyler_207.mov" TargetMode="External"/><Relationship Id="rId1903" Type="http://schemas.openxmlformats.org/officeDocument/2006/relationships/hyperlink" Target="http://csr.bu.edu/ftp/asl/asllvd/demos/verify_start_end_handshape_annotations//test_auto_move//signs_mov_separ_signers/Naomi_207.mov" TargetMode="External"/><Relationship Id="rId1904" Type="http://schemas.openxmlformats.org/officeDocument/2006/relationships/hyperlink" Target="http://secrets.rutgers.edu:8080/data/asl-ftp/asllvd/demos/verify_start_end_handshape_annotations//test_auto_move//signs_mov_separ_signers/Naomi_207.mov" TargetMode="External"/><Relationship Id="rId1905" Type="http://schemas.openxmlformats.org/officeDocument/2006/relationships/hyperlink" Target="http://csr.bu.edu/ftp/asl/asllvd/demos/verify_start_end_handshape_annotations//test_auto_move//signs_mov_separ_signers/Brady_207.mov" TargetMode="External"/><Relationship Id="rId1906" Type="http://schemas.openxmlformats.org/officeDocument/2006/relationships/hyperlink" Target="http://secrets.rutgers.edu:8080/data/asl-ftp/asllvd/demos/verify_start_end_handshape_annotations//test_auto_move//signs_mov_separ_signers/Brady_207.mov" TargetMode="External"/><Relationship Id="rId1907" Type="http://schemas.openxmlformats.org/officeDocument/2006/relationships/hyperlink" Target="http://csr.bu.edu/ftp/asl/asllvd/demos/verify_start_end_handshape_annotations//test_auto_move//signs_mov_separ_signers/Brady_3437.mov" TargetMode="External"/><Relationship Id="rId1908" Type="http://schemas.openxmlformats.org/officeDocument/2006/relationships/hyperlink" Target="http://secrets.rutgers.edu:8080/data/asl-ftp/asllvd/demos/verify_start_end_handshape_annotations//test_auto_move//signs_mov_separ_signers/Brady_3437.mov" TargetMode="External"/><Relationship Id="rId1909" Type="http://schemas.openxmlformats.org/officeDocument/2006/relationships/hyperlink" Target="http://csr.bu.edu/ftp/asl/asllvd/demos/verify_start_end_handshape_annotations//test_auto_move//signs_mov/5985.mov" TargetMode="External"/><Relationship Id="rId1910" Type="http://schemas.openxmlformats.org/officeDocument/2006/relationships/hyperlink" Target="http://csr.bu.edu/ftp/asl/asllvd/demos/verify_start_end_handshape_annotations//test_auto_move//signs_mov_separ_signers/Lana_5985.mov" TargetMode="External"/><Relationship Id="rId1911" Type="http://schemas.openxmlformats.org/officeDocument/2006/relationships/hyperlink" Target="http://secrets.rutgers.edu:8080/data/asl-ftp/asllvd/demos/verify_start_end_handshape_annotations//test_auto_move//signs_mov/5985.mov" TargetMode="External"/><Relationship Id="rId1912" Type="http://schemas.openxmlformats.org/officeDocument/2006/relationships/hyperlink" Target="http://secrets.rutgers.edu:8080/data/asl-ftp/asllvd/demos/verify_start_end_handshape_annotations//test_auto_move//signs_mov_separ_signers/Lana_5985.mov" TargetMode="External"/><Relationship Id="rId1913" Type="http://schemas.openxmlformats.org/officeDocument/2006/relationships/hyperlink" Target="http://csr.bu.edu/ftp/asl/asllvd/demos/verify_start_end_handshape_annotations//test_auto_move//signs_mov_separ_signers/Dana_5985.mov" TargetMode="External"/><Relationship Id="rId1914" Type="http://schemas.openxmlformats.org/officeDocument/2006/relationships/hyperlink" Target="http://secrets.rutgers.edu:8080/data/asl-ftp/asllvd/demos/verify_start_end_handshape_annotations//test_auto_move//signs_mov_separ_signers/Dana_5985.mov" TargetMode="External"/><Relationship Id="rId1915" Type="http://schemas.openxmlformats.org/officeDocument/2006/relationships/hyperlink" Target="http://csr.bu.edu/ftp/asl/asllvd/demos/verify_start_end_handshape_annotations//test_auto_move//signs_mov_separ_signers/Liz_15328.mov" TargetMode="External"/><Relationship Id="rId1916" Type="http://schemas.openxmlformats.org/officeDocument/2006/relationships/hyperlink" Target="http://secrets.rutgers.edu:8080/data/asl-ftp/asllvd/demos/verify_start_end_handshape_annotations//test_auto_move//signs_mov_separ_signers/Liz_15328.mov" TargetMode="External"/><Relationship Id="rId1917" Type="http://schemas.openxmlformats.org/officeDocument/2006/relationships/hyperlink" Target="http://csr.bu.edu/ftp/asl/asllvd/demos/verify_start_end_handshape_annotations//test_auto_move//signs_mov_separ_signers/Tyler_15328.mov" TargetMode="External"/><Relationship Id="rId1918" Type="http://schemas.openxmlformats.org/officeDocument/2006/relationships/hyperlink" Target="http://secrets.rutgers.edu:8080/data/asl-ftp/asllvd/demos/verify_start_end_handshape_annotations//test_auto_move//signs_mov_separ_signers/Tyler_15328.mov" TargetMode="External"/><Relationship Id="rId1919" Type="http://schemas.openxmlformats.org/officeDocument/2006/relationships/hyperlink" Target="http://csr.bu.edu/ftp/asl/asllvd/demos/verify_start_end_handshape_annotations//test_auto_move//signs_mov_separ_signers/Naomi_15328.mov" TargetMode="External"/><Relationship Id="rId1920" Type="http://schemas.openxmlformats.org/officeDocument/2006/relationships/hyperlink" Target="http://secrets.rutgers.edu:8080/data/asl-ftp/asllvd/demos/verify_start_end_handshape_annotations//test_auto_move//signs_mov_separ_signers/Naomi_15328.mov" TargetMode="External"/><Relationship Id="rId1921" Type="http://schemas.openxmlformats.org/officeDocument/2006/relationships/hyperlink" Target="http://csr.bu.edu/ftp/asl/asllvd/demos/verify_start_end_handshape_annotations//test_auto_move//signs_mov/15328_15557_merged.mov" TargetMode="External"/><Relationship Id="rId1922" Type="http://schemas.openxmlformats.org/officeDocument/2006/relationships/hyperlink" Target="http://csr.bu.edu/ftp/asl/asllvd/demos/verify_start_end_handshape_annotations//test_auto_move//signs_mov_separ_signers/Brady_15328.mov" TargetMode="External"/><Relationship Id="rId1923" Type="http://schemas.openxmlformats.org/officeDocument/2006/relationships/hyperlink" Target="http://secrets.rutgers.edu:8080/data/asl-ftp/asllvd/demos/verify_start_end_handshape_annotations//test_auto_move//signs_mov/15328_15557_merged.mov" TargetMode="External"/><Relationship Id="rId1924" Type="http://schemas.openxmlformats.org/officeDocument/2006/relationships/hyperlink" Target="http://secrets.rutgers.edu:8080/data/asl-ftp/asllvd/demos/verify_start_end_handshape_annotations//test_auto_move//signs_mov_separ_signers/Brady_15328.mov" TargetMode="External"/><Relationship Id="rId1925" Type="http://schemas.openxmlformats.org/officeDocument/2006/relationships/hyperlink" Target="http://csr.bu.edu/ftp/asl/asllvd/demos/verify_start_end_handshape_annotations//test_auto_move//signs_mov_separ_signers/Brady_15557.mov" TargetMode="External"/><Relationship Id="rId1926" Type="http://schemas.openxmlformats.org/officeDocument/2006/relationships/hyperlink" Target="http://secrets.rutgers.edu:8080/data/asl-ftp/asllvd/demos/verify_start_end_handshape_annotations//test_auto_move//signs_mov_separ_signers/Brady_15557.mov" TargetMode="External"/><Relationship Id="rId1927" Type="http://schemas.openxmlformats.org/officeDocument/2006/relationships/hyperlink" Target="http://csr.bu.edu/ftp/asl/asllvd/demos/verify_start_end_handshape_annotations//test_auto_move//signs_mov_separ_signers/Lana_15328.mov" TargetMode="External"/><Relationship Id="rId1928" Type="http://schemas.openxmlformats.org/officeDocument/2006/relationships/hyperlink" Target="http://secrets.rutgers.edu:8080/data/asl-ftp/asllvd/demos/verify_start_end_handshape_annotations//test_auto_move//signs_mov_separ_signers/Lana_15328.mov" TargetMode="External"/><Relationship Id="rId1929" Type="http://schemas.openxmlformats.org/officeDocument/2006/relationships/hyperlink" Target="http://csr.bu.edu/ftp/asl/asllvd/demos/verify_start_end_handshape_annotations//test_auto_move//signs_mov_separ_signers/Dana_15328.mov" TargetMode="External"/><Relationship Id="rId1930" Type="http://schemas.openxmlformats.org/officeDocument/2006/relationships/hyperlink" Target="http://secrets.rutgers.edu:8080/data/asl-ftp/asllvd/demos/verify_start_end_handshape_annotations//test_auto_move//signs_mov_separ_signers/Dana_15328.mov" TargetMode="External"/><Relationship Id="rId1931" Type="http://schemas.openxmlformats.org/officeDocument/2006/relationships/hyperlink" Target="http://csr.bu.edu/ftp/asl/asllvd/demos/verify_start_end_handshape_annotations//test_auto_move//signs_mov_separ_signers/Liz_15587.mov" TargetMode="External"/><Relationship Id="rId1932" Type="http://schemas.openxmlformats.org/officeDocument/2006/relationships/hyperlink" Target="http://secrets.rutgers.edu:8080/data/asl-ftp/asllvd/demos/verify_start_end_handshape_annotations//test_auto_move//signs_mov_separ_signers/Liz_15587.mov" TargetMode="External"/><Relationship Id="rId1933" Type="http://schemas.openxmlformats.org/officeDocument/2006/relationships/hyperlink" Target="http://csr.bu.edu/ftp/asl/asllvd/demos/verify_start_end_handshape_annotations//test_auto_move//signs_mov/15587_16266_merged.mov" TargetMode="External"/><Relationship Id="rId1934" Type="http://schemas.openxmlformats.org/officeDocument/2006/relationships/hyperlink" Target="http://csr.bu.edu/ftp/asl/asllvd/demos/verify_start_end_handshape_annotations//test_auto_move//signs_mov_separ_signers/Brady_15587.mov" TargetMode="External"/><Relationship Id="rId1935" Type="http://schemas.openxmlformats.org/officeDocument/2006/relationships/hyperlink" Target="http://secrets.rutgers.edu:8080/data/asl-ftp/asllvd/demos/verify_start_end_handshape_annotations//test_auto_move//signs_mov/15587_16266_merged.mov" TargetMode="External"/><Relationship Id="rId1936" Type="http://schemas.openxmlformats.org/officeDocument/2006/relationships/hyperlink" Target="http://secrets.rutgers.edu:8080/data/asl-ftp/asllvd/demos/verify_start_end_handshape_annotations//test_auto_move//signs_mov_separ_signers/Brady_15587.mov" TargetMode="External"/><Relationship Id="rId1937" Type="http://schemas.openxmlformats.org/officeDocument/2006/relationships/hyperlink" Target="http://csr.bu.edu/ftp/asl/asllvd/demos/verify_start_end_handshape_annotations//test_auto_move//signs_mov_separ_signers/Brady_16266.mov" TargetMode="External"/><Relationship Id="rId1938" Type="http://schemas.openxmlformats.org/officeDocument/2006/relationships/hyperlink" Target="http://secrets.rutgers.edu:8080/data/asl-ftp/asllvd/demos/verify_start_end_handshape_annotations//test_auto_move//signs_mov_separ_signers/Brady_16266.mov" TargetMode="External"/><Relationship Id="rId1939" Type="http://schemas.openxmlformats.org/officeDocument/2006/relationships/hyperlink" Target="http://csr.bu.edu/ftp/asl/asllvd/demos/verify_start_end_handshape_annotations//test_auto_move//signs_mov/208.mov" TargetMode="External"/><Relationship Id="rId1940" Type="http://schemas.openxmlformats.org/officeDocument/2006/relationships/hyperlink" Target="http://csr.bu.edu/ftp/asl/asllvd/demos/verify_start_end_handshape_annotations//test_auto_move//signs_mov_separ_signers/Liz_208.mov" TargetMode="External"/><Relationship Id="rId1941" Type="http://schemas.openxmlformats.org/officeDocument/2006/relationships/hyperlink" Target="http://secrets.rutgers.edu:8080/data/asl-ftp/asllvd/demos/verify_start_end_handshape_annotations//test_auto_move//signs_mov/208.mov" TargetMode="External"/><Relationship Id="rId1942" Type="http://schemas.openxmlformats.org/officeDocument/2006/relationships/hyperlink" Target="http://secrets.rutgers.edu:8080/data/asl-ftp/asllvd/demos/verify_start_end_handshape_annotations//test_auto_move//signs_mov_separ_signers/Liz_208.mov" TargetMode="External"/><Relationship Id="rId1943" Type="http://schemas.openxmlformats.org/officeDocument/2006/relationships/hyperlink" Target="http://csr.bu.edu/ftp/asl/asllvd/demos/verify_start_end_handshape_annotations//test_auto_move//signs_mov_separ_signers/Brady_208.mov" TargetMode="External"/><Relationship Id="rId1944" Type="http://schemas.openxmlformats.org/officeDocument/2006/relationships/hyperlink" Target="http://secrets.rutgers.edu:8080/data/asl-ftp/asllvd/demos/verify_start_end_handshape_annotations//test_auto_move//signs_mov_separ_signers/Brady_208.mov" TargetMode="External"/><Relationship Id="rId1945" Type="http://schemas.openxmlformats.org/officeDocument/2006/relationships/hyperlink" Target="http://csr.bu.edu/ftp/asl/asllvd/demos/verify_start_end_handshape_annotations//test_auto_move//signs_mov/5103.mov" TargetMode="External"/><Relationship Id="rId1946" Type="http://schemas.openxmlformats.org/officeDocument/2006/relationships/hyperlink" Target="http://csr.bu.edu/ftp/asl/asllvd/demos/verify_start_end_handshape_annotations//test_auto_move//signs_mov_separ_signers/Naomi_5103.mov" TargetMode="External"/><Relationship Id="rId1947" Type="http://schemas.openxmlformats.org/officeDocument/2006/relationships/hyperlink" Target="http://secrets.rutgers.edu:8080/data/asl-ftp/asllvd/demos/verify_start_end_handshape_annotations//test_auto_move//signs_mov/5103.mov" TargetMode="External"/><Relationship Id="rId1948" Type="http://schemas.openxmlformats.org/officeDocument/2006/relationships/hyperlink" Target="http://secrets.rutgers.edu:8080/data/asl-ftp/asllvd/demos/verify_start_end_handshape_annotations//test_auto_move//signs_mov_separ_signers/Naomi_5103.mov" TargetMode="External"/><Relationship Id="rId1949" Type="http://schemas.openxmlformats.org/officeDocument/2006/relationships/hyperlink" Target="http://csr.bu.edu/ftp/asl/asllvd/demos/verify_start_end_handshape_annotations//test_auto_move//signs_mov/16045.mov" TargetMode="External"/><Relationship Id="rId1950" Type="http://schemas.openxmlformats.org/officeDocument/2006/relationships/hyperlink" Target="http://csr.bu.edu/ftp/asl/asllvd/demos/verify_start_end_handshape_annotations//test_auto_move//signs_mov_separ_signers/Liz_16045.mov" TargetMode="External"/><Relationship Id="rId1951" Type="http://schemas.openxmlformats.org/officeDocument/2006/relationships/hyperlink" Target="http://secrets.rutgers.edu:8080/data/asl-ftp/asllvd/demos/verify_start_end_handshape_annotations//test_auto_move//signs_mov/16045.mov" TargetMode="External"/><Relationship Id="rId1952" Type="http://schemas.openxmlformats.org/officeDocument/2006/relationships/hyperlink" Target="http://secrets.rutgers.edu:8080/data/asl-ftp/asllvd/demos/verify_start_end_handshape_annotations//test_auto_move//signs_mov_separ_signers/Liz_16045.mov" TargetMode="External"/><Relationship Id="rId1953" Type="http://schemas.openxmlformats.org/officeDocument/2006/relationships/hyperlink" Target="http://csr.bu.edu/ftp/asl/asllvd/demos/verify_start_end_handshape_annotations//test_auto_move//signs_mov_separ_signers/Brady_16045.mov" TargetMode="External"/><Relationship Id="rId1954" Type="http://schemas.openxmlformats.org/officeDocument/2006/relationships/hyperlink" Target="http://secrets.rutgers.edu:8080/data/asl-ftp/asllvd/demos/verify_start_end_handshape_annotations//test_auto_move//signs_mov_separ_signers/Brady_16045.mov" TargetMode="External"/><Relationship Id="rId1955" Type="http://schemas.openxmlformats.org/officeDocument/2006/relationships/hyperlink" Target="http://csr.bu.edu/ftp/asl/asllvd/demos/verify_start_end_handshape_annotations//test_auto_move//signs_mov/16200.mov" TargetMode="External"/><Relationship Id="rId1956" Type="http://schemas.openxmlformats.org/officeDocument/2006/relationships/hyperlink" Target="http://csr.bu.edu/ftp/asl/asllvd/demos/verify_start_end_handshape_annotations//test_auto_move//signs_mov_separ_signers/Lana_16200.mov" TargetMode="External"/><Relationship Id="rId1957" Type="http://schemas.openxmlformats.org/officeDocument/2006/relationships/hyperlink" Target="http://secrets.rutgers.edu:8080/data/asl-ftp/asllvd/demos/verify_start_end_handshape_annotations//test_auto_move//signs_mov/16200.mov" TargetMode="External"/><Relationship Id="rId1958" Type="http://schemas.openxmlformats.org/officeDocument/2006/relationships/hyperlink" Target="http://secrets.rutgers.edu:8080/data/asl-ftp/asllvd/demos/verify_start_end_handshape_annotations//test_auto_move//signs_mov_separ_signers/Lana_16200.mov" TargetMode="External"/><Relationship Id="rId1959" Type="http://schemas.openxmlformats.org/officeDocument/2006/relationships/hyperlink" Target="http://csr.bu.edu/ftp/asl/asllvd/demos/verify_start_end_handshape_annotations//test_auto_move//signs_mov_separ_signers/Dana_16200.mov" TargetMode="External"/><Relationship Id="rId1960" Type="http://schemas.openxmlformats.org/officeDocument/2006/relationships/hyperlink" Target="http://secrets.rutgers.edu:8080/data/asl-ftp/asllvd/demos/verify_start_end_handshape_annotations//test_auto_move//signs_mov_separ_signers/Dana_16200.mov" TargetMode="External"/><Relationship Id="rId1961" Type="http://schemas.openxmlformats.org/officeDocument/2006/relationships/hyperlink" Target="http://csr.bu.edu/ftp/asl/asllvd/demos/verify_start_end_handshape_annotations//test_auto_move//signs_mov_separ_signers/Liz_210.mov" TargetMode="External"/><Relationship Id="rId1962" Type="http://schemas.openxmlformats.org/officeDocument/2006/relationships/hyperlink" Target="http://secrets.rutgers.edu:8080/data/asl-ftp/asllvd/demos/verify_start_end_handshape_annotations//test_auto_move//signs_mov_separ_signers/Liz_210.mov" TargetMode="External"/><Relationship Id="rId1963" Type="http://schemas.openxmlformats.org/officeDocument/2006/relationships/hyperlink" Target="http://csr.bu.edu/ftp/asl/asllvd/demos/verify_start_end_handshape_annotations//test_auto_move//signs_mov/210.mov" TargetMode="External"/><Relationship Id="rId1964" Type="http://schemas.openxmlformats.org/officeDocument/2006/relationships/hyperlink" Target="http://csr.bu.edu/ftp/asl/asllvd/demos/verify_start_end_handshape_annotations//test_auto_move//signs_mov_separ_signers/Tyler_210.mov" TargetMode="External"/><Relationship Id="rId1965" Type="http://schemas.openxmlformats.org/officeDocument/2006/relationships/hyperlink" Target="http://secrets.rutgers.edu:8080/data/asl-ftp/asllvd/demos/verify_start_end_handshape_annotations//test_auto_move//signs_mov/210.mov" TargetMode="External"/><Relationship Id="rId1966" Type="http://schemas.openxmlformats.org/officeDocument/2006/relationships/hyperlink" Target="http://secrets.rutgers.edu:8080/data/asl-ftp/asllvd/demos/verify_start_end_handshape_annotations//test_auto_move//signs_mov_separ_signers/Tyler_210.mov" TargetMode="External"/><Relationship Id="rId1967" Type="http://schemas.openxmlformats.org/officeDocument/2006/relationships/hyperlink" Target="http://csr.bu.edu/ftp/asl/asllvd/demos/verify_start_end_handshape_annotations//test_auto_move//signs_mov_separ_signers/Naomi_210.mov" TargetMode="External"/><Relationship Id="rId1968" Type="http://schemas.openxmlformats.org/officeDocument/2006/relationships/hyperlink" Target="http://secrets.rutgers.edu:8080/data/asl-ftp/asllvd/demos/verify_start_end_handshape_annotations//test_auto_move//signs_mov_separ_signers/Naomi_210.mov" TargetMode="External"/><Relationship Id="rId1969" Type="http://schemas.openxmlformats.org/officeDocument/2006/relationships/hyperlink" Target="http://csr.bu.edu/ftp/asl/asllvd/demos/verify_start_end_handshape_annotations//test_auto_move//signs_mov_separ_signers/Brady_210.mov" TargetMode="External"/><Relationship Id="rId1970" Type="http://schemas.openxmlformats.org/officeDocument/2006/relationships/hyperlink" Target="http://secrets.rutgers.edu:8080/data/asl-ftp/asllvd/demos/verify_start_end_handshape_annotations//test_auto_move//signs_mov_separ_signers/Brady_210.mov" TargetMode="External"/><Relationship Id="rId1971" Type="http://schemas.openxmlformats.org/officeDocument/2006/relationships/hyperlink" Target="http://csr.bu.edu/ftp/asl/asllvd/demos/verify_start_end_handshape_annotations//test_auto_move//signs_mov_separ_signers/Liz_213.mov" TargetMode="External"/><Relationship Id="rId1972" Type="http://schemas.openxmlformats.org/officeDocument/2006/relationships/hyperlink" Target="http://secrets.rutgers.edu:8080/data/asl-ftp/asllvd/demos/verify_start_end_handshape_annotations//test_auto_move//signs_mov_separ_signers/Liz_213.mov" TargetMode="External"/><Relationship Id="rId1973" Type="http://schemas.openxmlformats.org/officeDocument/2006/relationships/hyperlink" Target="http://csr.bu.edu/ftp/asl/asllvd/demos/verify_start_end_handshape_annotations//test_auto_move//signs_mov_separ_signers/Naomi_213.mov" TargetMode="External"/><Relationship Id="rId1974" Type="http://schemas.openxmlformats.org/officeDocument/2006/relationships/hyperlink" Target="http://secrets.rutgers.edu:8080/data/asl-ftp/asllvd/demos/verify_start_end_handshape_annotations//test_auto_move//signs_mov_separ_signers/Naomi_213.mov" TargetMode="External"/><Relationship Id="rId1975" Type="http://schemas.openxmlformats.org/officeDocument/2006/relationships/hyperlink" Target="http://csr.bu.edu/ftp/asl/asllvd/demos/verify_start_end_handshape_annotations//test_auto_move//signs_mov/213.mov" TargetMode="External"/><Relationship Id="rId1976" Type="http://schemas.openxmlformats.org/officeDocument/2006/relationships/hyperlink" Target="http://csr.bu.edu/ftp/asl/asllvd/demos/verify_start_end_handshape_annotations//test_auto_move//signs_mov_separ_signers/Brady_213.mov" TargetMode="External"/><Relationship Id="rId1977" Type="http://schemas.openxmlformats.org/officeDocument/2006/relationships/hyperlink" Target="http://secrets.rutgers.edu:8080/data/asl-ftp/asllvd/demos/verify_start_end_handshape_annotations//test_auto_move//signs_mov/213.mov" TargetMode="External"/><Relationship Id="rId1978" Type="http://schemas.openxmlformats.org/officeDocument/2006/relationships/hyperlink" Target="http://secrets.rutgers.edu:8080/data/asl-ftp/asllvd/demos/verify_start_end_handshape_annotations//test_auto_move//signs_mov_separ_signers/Brady_213.mov" TargetMode="External"/><Relationship Id="rId1979" Type="http://schemas.openxmlformats.org/officeDocument/2006/relationships/hyperlink" Target="http://csr.bu.edu/ftp/asl/asllvd/demos/verify_start_end_handshape_annotations//test_auto_move//signs_mov_separ_signers/Lana_213.mov" TargetMode="External"/><Relationship Id="rId1980" Type="http://schemas.openxmlformats.org/officeDocument/2006/relationships/hyperlink" Target="http://secrets.rutgers.edu:8080/data/asl-ftp/asllvd/demos/verify_start_end_handshape_annotations//test_auto_move//signs_mov_separ_signers/Lana_213.mov" TargetMode="External"/><Relationship Id="rId1981" Type="http://schemas.openxmlformats.org/officeDocument/2006/relationships/hyperlink" Target="http://csr.bu.edu/ftp/asl/asllvd/demos/verify_start_end_handshape_annotations//test_auto_move//signs_mov_separ_signers/Dana_213.mov" TargetMode="External"/><Relationship Id="rId1982" Type="http://schemas.openxmlformats.org/officeDocument/2006/relationships/hyperlink" Target="http://secrets.rutgers.edu:8080/data/asl-ftp/asllvd/demos/verify_start_end_handshape_annotations//test_auto_move//signs_mov_separ_signers/Dana_213.mov" TargetMode="External"/><Relationship Id="rId1983" Type="http://schemas.openxmlformats.org/officeDocument/2006/relationships/hyperlink" Target="http://csr.bu.edu/ftp/asl/asllvd/demos/verify_start_end_handshape_annotations//test_auto_move//signs_mov/3411.mov" TargetMode="External"/><Relationship Id="rId1984" Type="http://schemas.openxmlformats.org/officeDocument/2006/relationships/hyperlink" Target="http://csr.bu.edu/ftp/asl/asllvd/demos/verify_start_end_handshape_annotations//test_auto_move//signs_mov_separ_signers/Liz_3411.mov" TargetMode="External"/><Relationship Id="rId1985" Type="http://schemas.openxmlformats.org/officeDocument/2006/relationships/hyperlink" Target="http://secrets.rutgers.edu:8080/data/asl-ftp/asllvd/demos/verify_start_end_handshape_annotations//test_auto_move//signs_mov/3411.mov" TargetMode="External"/><Relationship Id="rId1986" Type="http://schemas.openxmlformats.org/officeDocument/2006/relationships/hyperlink" Target="http://secrets.rutgers.edu:8080/data/asl-ftp/asllvd/demos/verify_start_end_handshape_annotations//test_auto_move//signs_mov_separ_signers/Liz_3411.mov" TargetMode="External"/><Relationship Id="rId1987" Type="http://schemas.openxmlformats.org/officeDocument/2006/relationships/hyperlink" Target="http://csr.bu.edu/ftp/asl/asllvd/demos/verify_start_end_handshape_annotations//test_auto_move//signs_mov_separ_signers/Brady_3411.mov" TargetMode="External"/><Relationship Id="rId1988" Type="http://schemas.openxmlformats.org/officeDocument/2006/relationships/hyperlink" Target="http://secrets.rutgers.edu:8080/data/asl-ftp/asllvd/demos/verify_start_end_handshape_annotations//test_auto_move//signs_mov_separ_signers/Brady_3411.mov" TargetMode="External"/><Relationship Id="rId1989" Type="http://schemas.openxmlformats.org/officeDocument/2006/relationships/hyperlink" Target="http://csr.bu.edu/ftp/asl/asllvd/demos/verify_start_end_handshape_annotations//test_auto_move//signs_mov/5903.mov" TargetMode="External"/><Relationship Id="rId1990" Type="http://schemas.openxmlformats.org/officeDocument/2006/relationships/hyperlink" Target="http://csr.bu.edu/ftp/asl/asllvd/demos/verify_start_end_handshape_annotations//test_auto_move//signs_mov_separ_signers/Liz_5903.mov" TargetMode="External"/><Relationship Id="rId1991" Type="http://schemas.openxmlformats.org/officeDocument/2006/relationships/hyperlink" Target="http://secrets.rutgers.edu:8080/data/asl-ftp/asllvd/demos/verify_start_end_handshape_annotations//test_auto_move//signs_mov/5903.mov" TargetMode="External"/><Relationship Id="rId1992" Type="http://schemas.openxmlformats.org/officeDocument/2006/relationships/hyperlink" Target="http://secrets.rutgers.edu:8080/data/asl-ftp/asllvd/demos/verify_start_end_handshape_annotations//test_auto_move//signs_mov_separ_signers/Liz_5903.mov" TargetMode="External"/><Relationship Id="rId1993" Type="http://schemas.openxmlformats.org/officeDocument/2006/relationships/hyperlink" Target="http://csr.bu.edu/ftp/asl/asllvd/demos/verify_start_end_handshape_annotations//test_auto_move//signs_mov_separ_signers/Brady_5903.mov" TargetMode="External"/><Relationship Id="rId1994" Type="http://schemas.openxmlformats.org/officeDocument/2006/relationships/hyperlink" Target="http://secrets.rutgers.edu:8080/data/asl-ftp/asllvd/demos/verify_start_end_handshape_annotations//test_auto_move//signs_mov_separ_signers/Brady_5903.mov" TargetMode="External"/><Relationship Id="rId1995" Type="http://schemas.openxmlformats.org/officeDocument/2006/relationships/hyperlink" Target="http://csr.bu.edu/ftp/asl/asllvd/demos/verify_start_end_handshape_annotations//test_auto_move//signs_mov/15126.mov" TargetMode="External"/><Relationship Id="rId1996" Type="http://schemas.openxmlformats.org/officeDocument/2006/relationships/hyperlink" Target="http://csr.bu.edu/ftp/asl/asllvd/demos/verify_start_end_handshape_annotations//test_auto_move//signs_mov_separ_signers/Liz_15126.mov" TargetMode="External"/><Relationship Id="rId1997" Type="http://schemas.openxmlformats.org/officeDocument/2006/relationships/hyperlink" Target="http://secrets.rutgers.edu:8080/data/asl-ftp/asllvd/demos/verify_start_end_handshape_annotations//test_auto_move//signs_mov/15126.mov" TargetMode="External"/><Relationship Id="rId1998" Type="http://schemas.openxmlformats.org/officeDocument/2006/relationships/hyperlink" Target="http://secrets.rutgers.edu:8080/data/asl-ftp/asllvd/demos/verify_start_end_handshape_annotations//test_auto_move//signs_mov_separ_signers/Liz_15126.mov" TargetMode="External"/><Relationship Id="rId1999" Type="http://schemas.openxmlformats.org/officeDocument/2006/relationships/hyperlink" Target="http://csr.bu.edu/ftp/asl/asllvd/demos/verify_start_end_handshape_annotations//test_auto_move//signs_mov_separ_signers/Brady_15126.mov" TargetMode="External"/><Relationship Id="rId2000" Type="http://schemas.openxmlformats.org/officeDocument/2006/relationships/hyperlink" Target="http://secrets.rutgers.edu:8080/data/asl-ftp/asllvd/demos/verify_start_end_handshape_annotations//test_auto_move//signs_mov_separ_signers/Brady_15126.mov" TargetMode="External"/><Relationship Id="rId2001" Type="http://schemas.openxmlformats.org/officeDocument/2006/relationships/hyperlink" Target="http://csr.bu.edu/ftp/asl/asllvd/demos/verify_start_end_handshape_annotations//test_auto_move//signs_mov_separ_signers/Liz_15567.mov" TargetMode="External"/><Relationship Id="rId2002" Type="http://schemas.openxmlformats.org/officeDocument/2006/relationships/hyperlink" Target="http://secrets.rutgers.edu:8080/data/asl-ftp/asllvd/demos/verify_start_end_handshape_annotations//test_auto_move//signs_mov_separ_signers/Liz_15567.mov" TargetMode="External"/><Relationship Id="rId2003" Type="http://schemas.openxmlformats.org/officeDocument/2006/relationships/hyperlink" Target="http://csr.bu.edu/ftp/asl/asllvd/demos/verify_start_end_handshape_annotations//test_auto_move//signs_mov_separ_signers/Liz_15603.mov" TargetMode="External"/><Relationship Id="rId2004" Type="http://schemas.openxmlformats.org/officeDocument/2006/relationships/hyperlink" Target="http://secrets.rutgers.edu:8080/data/asl-ftp/asllvd/demos/verify_start_end_handshape_annotations//test_auto_move//signs_mov_separ_signers/Liz_15603.mov" TargetMode="External"/><Relationship Id="rId2005" Type="http://schemas.openxmlformats.org/officeDocument/2006/relationships/hyperlink" Target="http://csr.bu.edu/ftp/asl/asllvd/demos/verify_start_end_handshape_annotations//test_auto_move//signs_mov_separ_signers/Tyler_15567.mov" TargetMode="External"/><Relationship Id="rId2006" Type="http://schemas.openxmlformats.org/officeDocument/2006/relationships/hyperlink" Target="http://secrets.rutgers.edu:8080/data/asl-ftp/asllvd/demos/verify_start_end_handshape_annotations//test_auto_move//signs_mov_separ_signers/Tyler_15567.mov" TargetMode="External"/><Relationship Id="rId2007" Type="http://schemas.openxmlformats.org/officeDocument/2006/relationships/hyperlink" Target="http://csr.bu.edu/ftp/asl/asllvd/demos/verify_start_end_handshape_annotations//test_auto_move//signs_mov/15567_15603_merged.mov" TargetMode="External"/><Relationship Id="rId2008" Type="http://schemas.openxmlformats.org/officeDocument/2006/relationships/hyperlink" Target="http://csr.bu.edu/ftp/asl/asllvd/demos/verify_start_end_handshape_annotations//test_auto_move//signs_mov_separ_signers/Tyler_15603.mov" TargetMode="External"/><Relationship Id="rId2009" Type="http://schemas.openxmlformats.org/officeDocument/2006/relationships/hyperlink" Target="http://secrets.rutgers.edu:8080/data/asl-ftp/asllvd/demos/verify_start_end_handshape_annotations//test_auto_move//signs_mov/15567_15603_merged.mov" TargetMode="External"/><Relationship Id="rId2010" Type="http://schemas.openxmlformats.org/officeDocument/2006/relationships/hyperlink" Target="http://secrets.rutgers.edu:8080/data/asl-ftp/asllvd/demos/verify_start_end_handshape_annotations//test_auto_move//signs_mov_separ_signers/Tyler_15603.mov" TargetMode="External"/><Relationship Id="rId2011" Type="http://schemas.openxmlformats.org/officeDocument/2006/relationships/hyperlink" Target="http://csr.bu.edu/ftp/asl/asllvd/demos/verify_start_end_handshape_annotations//test_auto_move//signs_mov_separ_signers/Naomi_15567.mov" TargetMode="External"/><Relationship Id="rId2012" Type="http://schemas.openxmlformats.org/officeDocument/2006/relationships/hyperlink" Target="http://secrets.rutgers.edu:8080/data/asl-ftp/asllvd/demos/verify_start_end_handshape_annotations//test_auto_move//signs_mov_separ_signers/Naomi_15567.mov" TargetMode="External"/><Relationship Id="rId2013" Type="http://schemas.openxmlformats.org/officeDocument/2006/relationships/hyperlink" Target="http://csr.bu.edu/ftp/asl/asllvd/demos/verify_start_end_handshape_annotations//test_auto_move//signs_mov_separ_signers/Brady_15567.mov" TargetMode="External"/><Relationship Id="rId2014" Type="http://schemas.openxmlformats.org/officeDocument/2006/relationships/hyperlink" Target="http://secrets.rutgers.edu:8080/data/asl-ftp/asllvd/demos/verify_start_end_handshape_annotations//test_auto_move//signs_mov_separ_signers/Brady_15567.mov" TargetMode="External"/><Relationship Id="rId2015" Type="http://schemas.openxmlformats.org/officeDocument/2006/relationships/hyperlink" Target="http://csr.bu.edu/ftp/asl/asllvd/demos/verify_start_end_handshape_annotations//test_auto_move//signs_mov_separ_signers/Brady_15603.mov" TargetMode="External"/><Relationship Id="rId2016" Type="http://schemas.openxmlformats.org/officeDocument/2006/relationships/hyperlink" Target="http://secrets.rutgers.edu:8080/data/asl-ftp/asllvd/demos/verify_start_end_handshape_annotations//test_auto_move//signs_mov_separ_signers/Brady_15603.mov" TargetMode="External"/><Relationship Id="rId2017" Type="http://schemas.openxmlformats.org/officeDocument/2006/relationships/hyperlink" Target="http://csr.bu.edu/ftp/asl/asllvd/demos/verify_start_end_handshape_annotations//test_auto_move//signs_mov_separ_signers/Liz_215.mov" TargetMode="External"/><Relationship Id="rId2018" Type="http://schemas.openxmlformats.org/officeDocument/2006/relationships/hyperlink" Target="http://secrets.rutgers.edu:8080/data/asl-ftp/asllvd/demos/verify_start_end_handshape_annotations//test_auto_move//signs_mov_separ_signers/Liz_215.mov" TargetMode="External"/><Relationship Id="rId2019" Type="http://schemas.openxmlformats.org/officeDocument/2006/relationships/hyperlink" Target="http://csr.bu.edu/ftp/asl/asllvd/demos/verify_start_end_handshape_annotations//test_auto_move//signs_mov/215.mov" TargetMode="External"/><Relationship Id="rId2020" Type="http://schemas.openxmlformats.org/officeDocument/2006/relationships/hyperlink" Target="http://csr.bu.edu/ftp/asl/asllvd/demos/verify_start_end_handshape_annotations//test_auto_move//signs_mov_separ_signers/Tyler_215.mov" TargetMode="External"/><Relationship Id="rId2021" Type="http://schemas.openxmlformats.org/officeDocument/2006/relationships/hyperlink" Target="http://secrets.rutgers.edu:8080/data/asl-ftp/asllvd/demos/verify_start_end_handshape_annotations//test_auto_move//signs_mov/215.mov" TargetMode="External"/><Relationship Id="rId2022" Type="http://schemas.openxmlformats.org/officeDocument/2006/relationships/hyperlink" Target="http://secrets.rutgers.edu:8080/data/asl-ftp/asllvd/demos/verify_start_end_handshape_annotations//test_auto_move//signs_mov_separ_signers/Tyler_215.mov" TargetMode="External"/><Relationship Id="rId2023" Type="http://schemas.openxmlformats.org/officeDocument/2006/relationships/hyperlink" Target="http://csr.bu.edu/ftp/asl/asllvd/demos/verify_start_end_handshape_annotations//test_auto_move//signs_mov_separ_signers/Naomi_215.mov" TargetMode="External"/><Relationship Id="rId2024" Type="http://schemas.openxmlformats.org/officeDocument/2006/relationships/hyperlink" Target="http://secrets.rutgers.edu:8080/data/asl-ftp/asllvd/demos/verify_start_end_handshape_annotations//test_auto_move//signs_mov_separ_signers/Naomi_215.mov" TargetMode="External"/><Relationship Id="rId2025" Type="http://schemas.openxmlformats.org/officeDocument/2006/relationships/hyperlink" Target="http://csr.bu.edu/ftp/asl/asllvd/demos/verify_start_end_handshape_annotations//test_auto_move//signs_mov_separ_signers/Brady_215.mov" TargetMode="External"/><Relationship Id="rId2026" Type="http://schemas.openxmlformats.org/officeDocument/2006/relationships/hyperlink" Target="http://secrets.rutgers.edu:8080/data/asl-ftp/asllvd/demos/verify_start_end_handshape_annotations//test_auto_move//signs_mov_separ_signers/Brady_215.mov" TargetMode="External"/><Relationship Id="rId2027" Type="http://schemas.openxmlformats.org/officeDocument/2006/relationships/hyperlink" Target="http://csr.bu.edu/ftp/asl/asllvd/demos/verify_start_end_handshape_annotations//test_auto_move//signs_mov_separ_signers/Liz_216.mov" TargetMode="External"/><Relationship Id="rId2028" Type="http://schemas.openxmlformats.org/officeDocument/2006/relationships/hyperlink" Target="http://secrets.rutgers.edu:8080/data/asl-ftp/asllvd/demos/verify_start_end_handshape_annotations//test_auto_move//signs_mov_separ_signers/Liz_216.mov" TargetMode="External"/><Relationship Id="rId2029" Type="http://schemas.openxmlformats.org/officeDocument/2006/relationships/hyperlink" Target="http://csr.bu.edu/ftp/asl/asllvd/demos/verify_start_end_handshape_annotations//test_auto_move//signs_mov/216.mov" TargetMode="External"/><Relationship Id="rId2030" Type="http://schemas.openxmlformats.org/officeDocument/2006/relationships/hyperlink" Target="http://csr.bu.edu/ftp/asl/asllvd/demos/verify_start_end_handshape_annotations//test_auto_move//signs_mov_separ_signers/Tyler_216.mov" TargetMode="External"/><Relationship Id="rId2031" Type="http://schemas.openxmlformats.org/officeDocument/2006/relationships/hyperlink" Target="http://secrets.rutgers.edu:8080/data/asl-ftp/asllvd/demos/verify_start_end_handshape_annotations//test_auto_move//signs_mov/216.mov" TargetMode="External"/><Relationship Id="rId2032" Type="http://schemas.openxmlformats.org/officeDocument/2006/relationships/hyperlink" Target="http://secrets.rutgers.edu:8080/data/asl-ftp/asllvd/demos/verify_start_end_handshape_annotations//test_auto_move//signs_mov_separ_signers/Tyler_216.mov" TargetMode="External"/><Relationship Id="rId2033" Type="http://schemas.openxmlformats.org/officeDocument/2006/relationships/hyperlink" Target="http://csr.bu.edu/ftp/asl/asllvd/demos/verify_start_end_handshape_annotations//test_auto_move//signs_mov_separ_signers/Naomi_216.mov" TargetMode="External"/><Relationship Id="rId2034" Type="http://schemas.openxmlformats.org/officeDocument/2006/relationships/hyperlink" Target="http://secrets.rutgers.edu:8080/data/asl-ftp/asllvd/demos/verify_start_end_handshape_annotations//test_auto_move//signs_mov_separ_signers/Naomi_216.mov" TargetMode="External"/><Relationship Id="rId2035" Type="http://schemas.openxmlformats.org/officeDocument/2006/relationships/hyperlink" Target="http://csr.bu.edu/ftp/asl/asllvd/demos/verify_start_end_handshape_annotations//test_auto_move//signs_mov_separ_signers/Brady_216.mov" TargetMode="External"/><Relationship Id="rId2036" Type="http://schemas.openxmlformats.org/officeDocument/2006/relationships/hyperlink" Target="http://secrets.rutgers.edu:8080/data/asl-ftp/asllvd/demos/verify_start_end_handshape_annotations//test_auto_move//signs_mov_separ_signers/Brady_216.mov" TargetMode="External"/><Relationship Id="rId2037" Type="http://schemas.openxmlformats.org/officeDocument/2006/relationships/hyperlink" Target="http://csr.bu.edu/ftp/asl/asllvd/demos/verify_start_end_handshape_annotations//test_auto_move//signs_mov/16238.mov" TargetMode="External"/><Relationship Id="rId2038" Type="http://schemas.openxmlformats.org/officeDocument/2006/relationships/hyperlink" Target="http://csr.bu.edu/ftp/asl/asllvd/demos/verify_start_end_handshape_annotations//test_auto_move//signs_mov_separ_signers/Lana_16238.mov" TargetMode="External"/><Relationship Id="rId2039" Type="http://schemas.openxmlformats.org/officeDocument/2006/relationships/hyperlink" Target="http://secrets.rutgers.edu:8080/data/asl-ftp/asllvd/demos/verify_start_end_handshape_annotations//test_auto_move//signs_mov/16238.mov" TargetMode="External"/><Relationship Id="rId2040" Type="http://schemas.openxmlformats.org/officeDocument/2006/relationships/hyperlink" Target="http://secrets.rutgers.edu:8080/data/asl-ftp/asllvd/demos/verify_start_end_handshape_annotations//test_auto_move//signs_mov_separ_signers/Lana_16238.mov" TargetMode="External"/><Relationship Id="rId2041" Type="http://schemas.openxmlformats.org/officeDocument/2006/relationships/hyperlink" Target="http://csr.bu.edu/ftp/asl/asllvd/demos/verify_start_end_handshape_annotations//test_auto_move//signs_mov_separ_signers/Dana_16238.mov" TargetMode="External"/><Relationship Id="rId2042" Type="http://schemas.openxmlformats.org/officeDocument/2006/relationships/hyperlink" Target="http://secrets.rutgers.edu:8080/data/asl-ftp/asllvd/demos/verify_start_end_handshape_annotations//test_auto_move//signs_mov_separ_signers/Dana_16238.mov" TargetMode="External"/><Relationship Id="rId2043" Type="http://schemas.openxmlformats.org/officeDocument/2006/relationships/hyperlink" Target="http://csr.bu.edu/ftp/asl/asllvd/demos/verify_start_end_handshape_annotations//test_auto_move//signs_mov_separ_signers/Liz_218.mov" TargetMode="External"/><Relationship Id="rId2044" Type="http://schemas.openxmlformats.org/officeDocument/2006/relationships/hyperlink" Target="http://secrets.rutgers.edu:8080/data/asl-ftp/asllvd/demos/verify_start_end_handshape_annotations//test_auto_move//signs_mov_separ_signers/Liz_218.mov" TargetMode="External"/><Relationship Id="rId2045" Type="http://schemas.openxmlformats.org/officeDocument/2006/relationships/hyperlink" Target="http://csr.bu.edu/ftp/asl/asllvd/demos/verify_start_end_handshape_annotations//test_auto_move//signs_mov/218_3763_merged.mov" TargetMode="External"/><Relationship Id="rId2046" Type="http://schemas.openxmlformats.org/officeDocument/2006/relationships/hyperlink" Target="http://csr.bu.edu/ftp/asl/asllvd/demos/verify_start_end_handshape_annotations//test_auto_move//signs_mov_separ_signers/Naomi_218.mov" TargetMode="External"/><Relationship Id="rId2047" Type="http://schemas.openxmlformats.org/officeDocument/2006/relationships/hyperlink" Target="http://secrets.rutgers.edu:8080/data/asl-ftp/asllvd/demos/verify_start_end_handshape_annotations//test_auto_move//signs_mov/218_3763_merged.mov" TargetMode="External"/><Relationship Id="rId2048" Type="http://schemas.openxmlformats.org/officeDocument/2006/relationships/hyperlink" Target="http://secrets.rutgers.edu:8080/data/asl-ftp/asllvd/demos/verify_start_end_handshape_annotations//test_auto_move//signs_mov_separ_signers/Naomi_218.mov" TargetMode="External"/><Relationship Id="rId2049" Type="http://schemas.openxmlformats.org/officeDocument/2006/relationships/hyperlink" Target="http://csr.bu.edu/ftp/asl/asllvd/demos/verify_start_end_handshape_annotations//test_auto_move//signs_mov_separ_signers/Brady_218.mov" TargetMode="External"/><Relationship Id="rId2050" Type="http://schemas.openxmlformats.org/officeDocument/2006/relationships/hyperlink" Target="http://secrets.rutgers.edu:8080/data/asl-ftp/asllvd/demos/verify_start_end_handshape_annotations//test_auto_move//signs_mov_separ_signers/Brady_218.mov" TargetMode="External"/><Relationship Id="rId2051" Type="http://schemas.openxmlformats.org/officeDocument/2006/relationships/hyperlink" Target="http://csr.bu.edu/ftp/asl/asllvd/demos/verify_start_end_handshape_annotations//test_auto_move//signs_mov_separ_signers/Brady_3763.mov" TargetMode="External"/><Relationship Id="rId2052" Type="http://schemas.openxmlformats.org/officeDocument/2006/relationships/hyperlink" Target="http://secrets.rutgers.edu:8080/data/asl-ftp/asllvd/demos/verify_start_end_handshape_annotations//test_auto_move//signs_mov_separ_signers/Brady_3763.mov" TargetMode="External"/><Relationship Id="rId2053" Type="http://schemas.openxmlformats.org/officeDocument/2006/relationships/hyperlink" Target="http://csr.bu.edu/ftp/asl/asllvd/demos/verify_start_end_handshape_annotations//test_auto_move//signs_mov/5358.mov" TargetMode="External"/><Relationship Id="rId2054" Type="http://schemas.openxmlformats.org/officeDocument/2006/relationships/hyperlink" Target="http://csr.bu.edu/ftp/asl/asllvd/demos/verify_start_end_handshape_annotations//test_auto_move//signs_mov_separ_signers/Liz_5358.mov" TargetMode="External"/><Relationship Id="rId2055" Type="http://schemas.openxmlformats.org/officeDocument/2006/relationships/hyperlink" Target="http://secrets.rutgers.edu:8080/data/asl-ftp/asllvd/demos/verify_start_end_handshape_annotations//test_auto_move//signs_mov/5358.mov" TargetMode="External"/><Relationship Id="rId2056" Type="http://schemas.openxmlformats.org/officeDocument/2006/relationships/hyperlink" Target="http://secrets.rutgers.edu:8080/data/asl-ftp/asllvd/demos/verify_start_end_handshape_annotations//test_auto_move//signs_mov_separ_signers/Liz_5358.mov" TargetMode="External"/><Relationship Id="rId2057" Type="http://schemas.openxmlformats.org/officeDocument/2006/relationships/hyperlink" Target="http://csr.bu.edu/ftp/asl/asllvd/demos/verify_start_end_handshape_annotations//test_auto_move//signs_mov_separ_signers/Tyler_5358.mov" TargetMode="External"/><Relationship Id="rId2058" Type="http://schemas.openxmlformats.org/officeDocument/2006/relationships/hyperlink" Target="http://secrets.rutgers.edu:8080/data/asl-ftp/asllvd/demos/verify_start_end_handshape_annotations//test_auto_move//signs_mov_separ_signers/Tyler_5358.mov" TargetMode="External"/><Relationship Id="rId2059" Type="http://schemas.openxmlformats.org/officeDocument/2006/relationships/hyperlink" Target="http://csr.bu.edu/ftp/asl/asllvd/demos/verify_start_end_handshape_annotations//test_auto_move//signs_mov/224.mov" TargetMode="External"/><Relationship Id="rId2060" Type="http://schemas.openxmlformats.org/officeDocument/2006/relationships/hyperlink" Target="http://csr.bu.edu/ftp/asl/asllvd/demos/verify_start_end_handshape_annotations//test_auto_move//signs_mov_separ_signers/Tyler_224.mov" TargetMode="External"/><Relationship Id="rId2061" Type="http://schemas.openxmlformats.org/officeDocument/2006/relationships/hyperlink" Target="http://secrets.rutgers.edu:8080/data/asl-ftp/asllvd/demos/verify_start_end_handshape_annotations//test_auto_move//signs_mov/224.mov" TargetMode="External"/><Relationship Id="rId2062" Type="http://schemas.openxmlformats.org/officeDocument/2006/relationships/hyperlink" Target="http://secrets.rutgers.edu:8080/data/asl-ftp/asllvd/demos/verify_start_end_handshape_annotations//test_auto_move//signs_mov_separ_signers/Tyler_224.mov" TargetMode="External"/><Relationship Id="rId2063" Type="http://schemas.openxmlformats.org/officeDocument/2006/relationships/hyperlink" Target="http://csr.bu.edu/ftp/asl/asllvd/demos/verify_start_end_handshape_annotations//test_auto_move//signs_mov_separ_signers/Naomi_224.mov" TargetMode="External"/><Relationship Id="rId2064" Type="http://schemas.openxmlformats.org/officeDocument/2006/relationships/hyperlink" Target="http://secrets.rutgers.edu:8080/data/asl-ftp/asllvd/demos/verify_start_end_handshape_annotations//test_auto_move//signs_mov_separ_signers/Naomi_224.mov" TargetMode="External"/><Relationship Id="rId2065" Type="http://schemas.openxmlformats.org/officeDocument/2006/relationships/hyperlink" Target="http://csr.bu.edu/ftp/asl/asllvd/demos/verify_start_end_handshape_annotations//test_auto_move//signs_mov/5535.mov" TargetMode="External"/><Relationship Id="rId2066" Type="http://schemas.openxmlformats.org/officeDocument/2006/relationships/hyperlink" Target="http://csr.bu.edu/ftp/asl/asllvd/demos/verify_start_end_handshape_annotations//test_auto_move//signs_mov_separ_signers/Liz_5535.mov" TargetMode="External"/><Relationship Id="rId2067" Type="http://schemas.openxmlformats.org/officeDocument/2006/relationships/hyperlink" Target="http://secrets.rutgers.edu:8080/data/asl-ftp/asllvd/demos/verify_start_end_handshape_annotations//test_auto_move//signs_mov/5535.mov" TargetMode="External"/><Relationship Id="rId2068" Type="http://schemas.openxmlformats.org/officeDocument/2006/relationships/hyperlink" Target="http://secrets.rutgers.edu:8080/data/asl-ftp/asllvd/demos/verify_start_end_handshape_annotations//test_auto_move//signs_mov_separ_signers/Liz_5535.mov" TargetMode="External"/><Relationship Id="rId2069" Type="http://schemas.openxmlformats.org/officeDocument/2006/relationships/hyperlink" Target="http://csr.bu.edu/ftp/asl/asllvd/demos/verify_start_end_handshape_annotations//test_auto_move//signs_mov_separ_signers/Brady_5535.mov" TargetMode="External"/><Relationship Id="rId2070" Type="http://schemas.openxmlformats.org/officeDocument/2006/relationships/hyperlink" Target="http://secrets.rutgers.edu:8080/data/asl-ftp/asllvd/demos/verify_start_end_handshape_annotations//test_auto_move//signs_mov_separ_signers/Brady_5535.mov" TargetMode="External"/><Relationship Id="rId2071" Type="http://schemas.openxmlformats.org/officeDocument/2006/relationships/hyperlink" Target="http://csr.bu.edu/ftp/asl/asllvd/demos/verify_start_end_handshape_annotations//test_auto_move//signs_mov/229.mov" TargetMode="External"/><Relationship Id="rId2072" Type="http://schemas.openxmlformats.org/officeDocument/2006/relationships/hyperlink" Target="http://csr.bu.edu/ftp/asl/asllvd/demos/verify_start_end_handshape_annotations//test_auto_move//signs_mov_separ_signers/Liz_229.mov" TargetMode="External"/><Relationship Id="rId2073" Type="http://schemas.openxmlformats.org/officeDocument/2006/relationships/hyperlink" Target="http://secrets.rutgers.edu:8080/data/asl-ftp/asllvd/demos/verify_start_end_handshape_annotations//test_auto_move//signs_mov/229.mov" TargetMode="External"/><Relationship Id="rId2074" Type="http://schemas.openxmlformats.org/officeDocument/2006/relationships/hyperlink" Target="http://secrets.rutgers.edu:8080/data/asl-ftp/asllvd/demos/verify_start_end_handshape_annotations//test_auto_move//signs_mov_separ_signers/Liz_229.mov" TargetMode="External"/><Relationship Id="rId2075" Type="http://schemas.openxmlformats.org/officeDocument/2006/relationships/hyperlink" Target="http://csr.bu.edu/ftp/asl/asllvd/demos/verify_start_end_handshape_annotations//test_auto_move//signs_mov_separ_signers/Naomi_229.mov" TargetMode="External"/><Relationship Id="rId2076" Type="http://schemas.openxmlformats.org/officeDocument/2006/relationships/hyperlink" Target="http://secrets.rutgers.edu:8080/data/asl-ftp/asllvd/demos/verify_start_end_handshape_annotations//test_auto_move//signs_mov_separ_signers/Naomi_229.mov" TargetMode="External"/><Relationship Id="rId2077" Type="http://schemas.openxmlformats.org/officeDocument/2006/relationships/hyperlink" Target="http://csr.bu.edu/ftp/asl/asllvd/demos/verify_start_end_handshape_annotations//test_auto_move//signs_mov/15039.mov" TargetMode="External"/><Relationship Id="rId2078" Type="http://schemas.openxmlformats.org/officeDocument/2006/relationships/hyperlink" Target="http://csr.bu.edu/ftp/asl/asllvd/demos/verify_start_end_handshape_annotations//test_auto_move//signs_mov_separ_signers/Brady_15039.mov" TargetMode="External"/><Relationship Id="rId2079" Type="http://schemas.openxmlformats.org/officeDocument/2006/relationships/hyperlink" Target="http://secrets.rutgers.edu:8080/data/asl-ftp/asllvd/demos/verify_start_end_handshape_annotations//test_auto_move//signs_mov/15039.mov" TargetMode="External"/><Relationship Id="rId2080" Type="http://schemas.openxmlformats.org/officeDocument/2006/relationships/hyperlink" Target="http://secrets.rutgers.edu:8080/data/asl-ftp/asllvd/demos/verify_start_end_handshape_annotations//test_auto_move//signs_mov_separ_signers/Brady_15039.mov" TargetMode="External"/><Relationship Id="rId2081" Type="http://schemas.openxmlformats.org/officeDocument/2006/relationships/hyperlink" Target="http://csr.bu.edu/ftp/asl/asllvd/demos/verify_start_end_handshape_annotations//test_auto_move//signs_mov/231.mov" TargetMode="External"/><Relationship Id="rId2082" Type="http://schemas.openxmlformats.org/officeDocument/2006/relationships/hyperlink" Target="http://csr.bu.edu/ftp/asl/asllvd/demos/verify_start_end_handshape_annotations//test_auto_move//signs_mov_separ_signers/Liz_231.mov" TargetMode="External"/><Relationship Id="rId2083" Type="http://schemas.openxmlformats.org/officeDocument/2006/relationships/hyperlink" Target="http://secrets.rutgers.edu:8080/data/asl-ftp/asllvd/demos/verify_start_end_handshape_annotations//test_auto_move//signs_mov/231.mov" TargetMode="External"/><Relationship Id="rId2084" Type="http://schemas.openxmlformats.org/officeDocument/2006/relationships/hyperlink" Target="http://secrets.rutgers.edu:8080/data/asl-ftp/asllvd/demos/verify_start_end_handshape_annotations//test_auto_move//signs_mov_separ_signers/Liz_231.mov" TargetMode="External"/><Relationship Id="rId2085" Type="http://schemas.openxmlformats.org/officeDocument/2006/relationships/hyperlink" Target="http://csr.bu.edu/ftp/asl/asllvd/demos/verify_start_end_handshape_annotations//test_auto_move//signs_mov_separ_signers/Brady_231.mov" TargetMode="External"/><Relationship Id="rId2086" Type="http://schemas.openxmlformats.org/officeDocument/2006/relationships/hyperlink" Target="http://secrets.rutgers.edu:8080/data/asl-ftp/asllvd/demos/verify_start_end_handshape_annotations//test_auto_move//signs_mov_separ_signers/Brady_231.mov" TargetMode="External"/><Relationship Id="rId2087" Type="http://schemas.openxmlformats.org/officeDocument/2006/relationships/hyperlink" Target="http://csr.bu.edu/ftp/asl/asllvd/demos/verify_start_end_handshape_annotations//test_auto_move//signs_mov/234.mov" TargetMode="External"/><Relationship Id="rId2088" Type="http://schemas.openxmlformats.org/officeDocument/2006/relationships/hyperlink" Target="http://csr.bu.edu/ftp/asl/asllvd/demos/verify_start_end_handshape_annotations//test_auto_move//signs_mov_separ_signers/Liz_234.mov" TargetMode="External"/><Relationship Id="rId2089" Type="http://schemas.openxmlformats.org/officeDocument/2006/relationships/hyperlink" Target="http://secrets.rutgers.edu:8080/data/asl-ftp/asllvd/demos/verify_start_end_handshape_annotations//test_auto_move//signs_mov/234.mov" TargetMode="External"/><Relationship Id="rId2090" Type="http://schemas.openxmlformats.org/officeDocument/2006/relationships/hyperlink" Target="http://secrets.rutgers.edu:8080/data/asl-ftp/asllvd/demos/verify_start_end_handshape_annotations//test_auto_move//signs_mov_separ_signers/Liz_234.mov" TargetMode="External"/><Relationship Id="rId2091" Type="http://schemas.openxmlformats.org/officeDocument/2006/relationships/hyperlink" Target="http://csr.bu.edu/ftp/asl/asllvd/demos/verify_start_end_handshape_annotations//test_auto_move//signs_mov_separ_signers/Brady_234.mov" TargetMode="External"/><Relationship Id="rId2092" Type="http://schemas.openxmlformats.org/officeDocument/2006/relationships/hyperlink" Target="http://secrets.rutgers.edu:8080/data/asl-ftp/asllvd/demos/verify_start_end_handshape_annotations//test_auto_move//signs_mov_separ_signers/Brady_234.mov" TargetMode="External"/><Relationship Id="rId2093" Type="http://schemas.openxmlformats.org/officeDocument/2006/relationships/hyperlink" Target="http://csr.bu.edu/ftp/asl/asllvd/demos/verify_start_end_handshape_annotations//test_auto_move//signs_mov_separ_signers/Liz_236.mov" TargetMode="External"/><Relationship Id="rId2094" Type="http://schemas.openxmlformats.org/officeDocument/2006/relationships/hyperlink" Target="http://secrets.rutgers.edu:8080/data/asl-ftp/asllvd/demos/verify_start_end_handshape_annotations//test_auto_move//signs_mov_separ_signers/Liz_236.mov" TargetMode="External"/><Relationship Id="rId2095" Type="http://schemas.openxmlformats.org/officeDocument/2006/relationships/hyperlink" Target="http://csr.bu.edu/ftp/asl/asllvd/demos/verify_start_end_handshape_annotations//test_auto_move//signs_mov_separ_signers/Liz_3596.mov" TargetMode="External"/><Relationship Id="rId2096" Type="http://schemas.openxmlformats.org/officeDocument/2006/relationships/hyperlink" Target="http://secrets.rutgers.edu:8080/data/asl-ftp/asllvd/demos/verify_start_end_handshape_annotations//test_auto_move//signs_mov_separ_signers/Liz_3596.mov" TargetMode="External"/><Relationship Id="rId2097" Type="http://schemas.openxmlformats.org/officeDocument/2006/relationships/hyperlink" Target="http://csr.bu.edu/ftp/asl/asllvd/demos/verify_start_end_handshape_annotations//test_auto_move//signs_mov_separ_signers/Tyler_236.mov" TargetMode="External"/><Relationship Id="rId2098" Type="http://schemas.openxmlformats.org/officeDocument/2006/relationships/hyperlink" Target="http://secrets.rutgers.edu:8080/data/asl-ftp/asllvd/demos/verify_start_end_handshape_annotations//test_auto_move//signs_mov_separ_signers/Tyler_236.mov" TargetMode="External"/><Relationship Id="rId2099" Type="http://schemas.openxmlformats.org/officeDocument/2006/relationships/hyperlink" Target="http://csr.bu.edu/ftp/asl/asllvd/demos/verify_start_end_handshape_annotations//test_auto_move//signs_mov/236_3596_merged.mov" TargetMode="External"/><Relationship Id="rId2100" Type="http://schemas.openxmlformats.org/officeDocument/2006/relationships/hyperlink" Target="http://csr.bu.edu/ftp/asl/asllvd/demos/verify_start_end_handshape_annotations//test_auto_move//signs_mov_separ_signers/Naomi_236.mov" TargetMode="External"/><Relationship Id="rId2101" Type="http://schemas.openxmlformats.org/officeDocument/2006/relationships/hyperlink" Target="http://secrets.rutgers.edu:8080/data/asl-ftp/asllvd/demos/verify_start_end_handshape_annotations//test_auto_move//signs_mov/236_3596_merged.mov" TargetMode="External"/><Relationship Id="rId2102" Type="http://schemas.openxmlformats.org/officeDocument/2006/relationships/hyperlink" Target="http://secrets.rutgers.edu:8080/data/asl-ftp/asllvd/demos/verify_start_end_handshape_annotations//test_auto_move//signs_mov_separ_signers/Naomi_236.mov" TargetMode="External"/><Relationship Id="rId2103" Type="http://schemas.openxmlformats.org/officeDocument/2006/relationships/hyperlink" Target="http://csr.bu.edu/ftp/asl/asllvd/demos/verify_start_end_handshape_annotations//test_auto_move//signs_mov_separ_signers/Naomi_3596.mov" TargetMode="External"/><Relationship Id="rId2104" Type="http://schemas.openxmlformats.org/officeDocument/2006/relationships/hyperlink" Target="http://secrets.rutgers.edu:8080/data/asl-ftp/asllvd/demos/verify_start_end_handshape_annotations//test_auto_move//signs_mov_separ_signers/Naomi_3596.mov" TargetMode="External"/><Relationship Id="rId2105" Type="http://schemas.openxmlformats.org/officeDocument/2006/relationships/hyperlink" Target="http://csr.bu.edu/ftp/asl/asllvd/demos/verify_start_end_handshape_annotations//test_auto_move//signs_mov_separ_signers/Brady_236.mov" TargetMode="External"/><Relationship Id="rId2106" Type="http://schemas.openxmlformats.org/officeDocument/2006/relationships/hyperlink" Target="http://secrets.rutgers.edu:8080/data/asl-ftp/asllvd/demos/verify_start_end_handshape_annotations//test_auto_move//signs_mov_separ_signers/Brady_236.mov" TargetMode="External"/><Relationship Id="rId2107" Type="http://schemas.openxmlformats.org/officeDocument/2006/relationships/hyperlink" Target="http://csr.bu.edu/ftp/asl/asllvd/demos/verify_start_end_handshape_annotations//test_auto_move//signs_mov_separ_signers/Brady_3596.mov" TargetMode="External"/><Relationship Id="rId2108" Type="http://schemas.openxmlformats.org/officeDocument/2006/relationships/hyperlink" Target="http://secrets.rutgers.edu:8080/data/asl-ftp/asllvd/demos/verify_start_end_handshape_annotations//test_auto_move//signs_mov_separ_signers/Brady_3596.mov" TargetMode="External"/><Relationship Id="rId2109" Type="http://schemas.openxmlformats.org/officeDocument/2006/relationships/hyperlink" Target="http://csr.bu.edu/ftp/asl/asllvd/demos/verify_start_end_handshape_annotations//test_auto_move//signs_mov/15154.mov" TargetMode="External"/><Relationship Id="rId2110" Type="http://schemas.openxmlformats.org/officeDocument/2006/relationships/hyperlink" Target="http://csr.bu.edu/ftp/asl/asllvd/demos/verify_start_end_handshape_annotations//test_auto_move//signs_mov_separ_signers/Liz_15154.mov" TargetMode="External"/><Relationship Id="rId2111" Type="http://schemas.openxmlformats.org/officeDocument/2006/relationships/hyperlink" Target="http://secrets.rutgers.edu:8080/data/asl-ftp/asllvd/demos/verify_start_end_handshape_annotations//test_auto_move//signs_mov/15154.mov" TargetMode="External"/><Relationship Id="rId2112" Type="http://schemas.openxmlformats.org/officeDocument/2006/relationships/hyperlink" Target="http://secrets.rutgers.edu:8080/data/asl-ftp/asllvd/demos/verify_start_end_handshape_annotations//test_auto_move//signs_mov_separ_signers/Liz_15154.mov" TargetMode="External"/><Relationship Id="rId2113" Type="http://schemas.openxmlformats.org/officeDocument/2006/relationships/hyperlink" Target="http://csr.bu.edu/ftp/asl/asllvd/demos/verify_start_end_handshape_annotations//test_auto_move//signs_mov_separ_signers/Liz_15189.mov" TargetMode="External"/><Relationship Id="rId2114" Type="http://schemas.openxmlformats.org/officeDocument/2006/relationships/hyperlink" Target="http://secrets.rutgers.edu:8080/data/asl-ftp/asllvd/demos/verify_start_end_handshape_annotations//test_auto_move//signs_mov_separ_signers/Liz_15189.mov" TargetMode="External"/><Relationship Id="rId2115" Type="http://schemas.openxmlformats.org/officeDocument/2006/relationships/hyperlink" Target="http://csr.bu.edu/ftp/asl/asllvd/demos/verify_start_end_handshape_annotations//test_auto_move//signs_mov_separ_signers/Liz_15193.mov" TargetMode="External"/><Relationship Id="rId2116" Type="http://schemas.openxmlformats.org/officeDocument/2006/relationships/hyperlink" Target="http://secrets.rutgers.edu:8080/data/asl-ftp/asllvd/demos/verify_start_end_handshape_annotations//test_auto_move//signs_mov_separ_signers/Liz_15193.mov" TargetMode="External"/><Relationship Id="rId2117" Type="http://schemas.openxmlformats.org/officeDocument/2006/relationships/hyperlink" Target="http://csr.bu.edu/ftp/asl/asllvd/demos/verify_start_end_handshape_annotations//test_auto_move//signs_mov_separ_signers/Liz_15203.mov" TargetMode="External"/><Relationship Id="rId2118" Type="http://schemas.openxmlformats.org/officeDocument/2006/relationships/hyperlink" Target="http://secrets.rutgers.edu:8080/data/asl-ftp/asllvd/demos/verify_start_end_handshape_annotations//test_auto_move//signs_mov_separ_signers/Liz_15203.mov" TargetMode="External"/><Relationship Id="rId2119" Type="http://schemas.openxmlformats.org/officeDocument/2006/relationships/hyperlink" Target="http://csr.bu.edu/ftp/asl/asllvd/demos/verify_start_end_handshape_annotations//test_auto_move//signs_mov_separ_signers/Tyler_15189.mov" TargetMode="External"/><Relationship Id="rId2120" Type="http://schemas.openxmlformats.org/officeDocument/2006/relationships/hyperlink" Target="http://secrets.rutgers.edu:8080/data/asl-ftp/asllvd/demos/verify_start_end_handshape_annotations//test_auto_move//signs_mov_separ_signers/Tyler_15189.mov" TargetMode="External"/><Relationship Id="rId2121" Type="http://schemas.openxmlformats.org/officeDocument/2006/relationships/hyperlink" Target="http://csr.bu.edu/ftp/asl/asllvd/demos/verify_start_end_handshape_annotations//test_auto_move//signs_mov/15189_15193_15203_15333_merged.mov" TargetMode="External"/><Relationship Id="rId2122" Type="http://schemas.openxmlformats.org/officeDocument/2006/relationships/hyperlink" Target="http://csr.bu.edu/ftp/asl/asllvd/demos/verify_start_end_handshape_annotations//test_auto_move//signs_mov_separ_signers/Naomi_15189.mov" TargetMode="External"/><Relationship Id="rId2123" Type="http://schemas.openxmlformats.org/officeDocument/2006/relationships/hyperlink" Target="http://secrets.rutgers.edu:8080/data/asl-ftp/asllvd/demos/verify_start_end_handshape_annotations//test_auto_move//signs_mov/15189_15193_15203_15333_merged.mov" TargetMode="External"/><Relationship Id="rId2124" Type="http://schemas.openxmlformats.org/officeDocument/2006/relationships/hyperlink" Target="http://secrets.rutgers.edu:8080/data/asl-ftp/asllvd/demos/verify_start_end_handshape_annotations//test_auto_move//signs_mov_separ_signers/Naomi_15189.mov" TargetMode="External"/><Relationship Id="rId2125" Type="http://schemas.openxmlformats.org/officeDocument/2006/relationships/hyperlink" Target="http://csr.bu.edu/ftp/asl/asllvd/demos/verify_start_end_handshape_annotations//test_auto_move//signs_mov_separ_signers/Brady_15189.mov" TargetMode="External"/><Relationship Id="rId2126" Type="http://schemas.openxmlformats.org/officeDocument/2006/relationships/hyperlink" Target="http://secrets.rutgers.edu:8080/data/asl-ftp/asllvd/demos/verify_start_end_handshape_annotations//test_auto_move//signs_mov_separ_signers/Brady_15189.mov" TargetMode="External"/><Relationship Id="rId2127" Type="http://schemas.openxmlformats.org/officeDocument/2006/relationships/hyperlink" Target="http://csr.bu.edu/ftp/asl/asllvd/demos/verify_start_end_handshape_annotations//test_auto_move//signs_mov_separ_signers/Brady_15193.mov" TargetMode="External"/><Relationship Id="rId2128" Type="http://schemas.openxmlformats.org/officeDocument/2006/relationships/hyperlink" Target="http://secrets.rutgers.edu:8080/data/asl-ftp/asllvd/demos/verify_start_end_handshape_annotations//test_auto_move//signs_mov_separ_signers/Brady_15193.mov" TargetMode="External"/><Relationship Id="rId2129" Type="http://schemas.openxmlformats.org/officeDocument/2006/relationships/hyperlink" Target="http://csr.bu.edu/ftp/asl/asllvd/demos/verify_start_end_handshape_annotations//test_auto_move//signs_mov_separ_signers/Brady_15203.mov" TargetMode="External"/><Relationship Id="rId2130" Type="http://schemas.openxmlformats.org/officeDocument/2006/relationships/hyperlink" Target="http://secrets.rutgers.edu:8080/data/asl-ftp/asllvd/demos/verify_start_end_handshape_annotations//test_auto_move//signs_mov_separ_signers/Brady_15203.mov" TargetMode="External"/><Relationship Id="rId2131" Type="http://schemas.openxmlformats.org/officeDocument/2006/relationships/hyperlink" Target="http://csr.bu.edu/ftp/asl/asllvd/demos/verify_start_end_handshape_annotations//test_auto_move//signs_mov_separ_signers/Brady_15333.mov" TargetMode="External"/><Relationship Id="rId2132" Type="http://schemas.openxmlformats.org/officeDocument/2006/relationships/hyperlink" Target="http://secrets.rutgers.edu:8080/data/asl-ftp/asllvd/demos/verify_start_end_handshape_annotations//test_auto_move//signs_mov_separ_signers/Brady_15333.mov" TargetMode="External"/><Relationship Id="rId2133" Type="http://schemas.openxmlformats.org/officeDocument/2006/relationships/hyperlink" Target="http://csr.bu.edu/ftp/asl/asllvd/demos/verify_start_end_handshape_annotations//test_auto_move//signs_mov_separ_signers/Liz_15399.mov" TargetMode="External"/><Relationship Id="rId2134" Type="http://schemas.openxmlformats.org/officeDocument/2006/relationships/hyperlink" Target="http://secrets.rutgers.edu:8080/data/asl-ftp/asllvd/demos/verify_start_end_handshape_annotations//test_auto_move//signs_mov_separ_signers/Liz_15399.mov" TargetMode="External"/><Relationship Id="rId2135" Type="http://schemas.openxmlformats.org/officeDocument/2006/relationships/hyperlink" Target="http://csr.bu.edu/ftp/asl/asllvd/demos/verify_start_end_handshape_annotations//test_auto_move//signs_mov_separ_signers/Liz_15416.mov" TargetMode="External"/><Relationship Id="rId2136" Type="http://schemas.openxmlformats.org/officeDocument/2006/relationships/hyperlink" Target="http://secrets.rutgers.edu:8080/data/asl-ftp/asllvd/demos/verify_start_end_handshape_annotations//test_auto_move//signs_mov_separ_signers/Liz_15416.mov" TargetMode="External"/><Relationship Id="rId2137" Type="http://schemas.openxmlformats.org/officeDocument/2006/relationships/hyperlink" Target="http://csr.bu.edu/ftp/asl/asllvd/demos/verify_start_end_handshape_annotations//test_auto_move//signs_mov/15399_15416_merged.mov" TargetMode="External"/><Relationship Id="rId2138" Type="http://schemas.openxmlformats.org/officeDocument/2006/relationships/hyperlink" Target="http://csr.bu.edu/ftp/asl/asllvd/demos/verify_start_end_handshape_annotations//test_auto_move//signs_mov_separ_signers/Tyler_15399.mov" TargetMode="External"/><Relationship Id="rId2139" Type="http://schemas.openxmlformats.org/officeDocument/2006/relationships/hyperlink" Target="http://secrets.rutgers.edu:8080/data/asl-ftp/asllvd/demos/verify_start_end_handshape_annotations//test_auto_move//signs_mov/15399_15416_merged.mov" TargetMode="External"/><Relationship Id="rId2140" Type="http://schemas.openxmlformats.org/officeDocument/2006/relationships/hyperlink" Target="http://secrets.rutgers.edu:8080/data/asl-ftp/asllvd/demos/verify_start_end_handshape_annotations//test_auto_move//signs_mov_separ_signers/Tyler_15399.mov" TargetMode="External"/><Relationship Id="rId2141" Type="http://schemas.openxmlformats.org/officeDocument/2006/relationships/hyperlink" Target="http://csr.bu.edu/ftp/asl/asllvd/demos/verify_start_end_handshape_annotations//test_auto_move//signs_mov_separ_signers/Naomi_15399.mov" TargetMode="External"/><Relationship Id="rId2142" Type="http://schemas.openxmlformats.org/officeDocument/2006/relationships/hyperlink" Target="http://secrets.rutgers.edu:8080/data/asl-ftp/asllvd/demos/verify_start_end_handshape_annotations//test_auto_move//signs_mov_separ_signers/Naomi_15399.mov" TargetMode="External"/><Relationship Id="rId2143" Type="http://schemas.openxmlformats.org/officeDocument/2006/relationships/hyperlink" Target="http://csr.bu.edu/ftp/asl/asllvd/demos/verify_start_end_handshape_annotations//test_auto_move//signs_mov_separ_signers/Brady_15399.mov" TargetMode="External"/><Relationship Id="rId2144" Type="http://schemas.openxmlformats.org/officeDocument/2006/relationships/hyperlink" Target="http://secrets.rutgers.edu:8080/data/asl-ftp/asllvd/demos/verify_start_end_handshape_annotations//test_auto_move//signs_mov_separ_signers/Brady_15399.mov" TargetMode="External"/><Relationship Id="rId2145" Type="http://schemas.openxmlformats.org/officeDocument/2006/relationships/hyperlink" Target="http://csr.bu.edu/ftp/asl/asllvd/demos/verify_start_end_handshape_annotations//test_auto_move//signs_mov_separ_signers/Brady_15416.mov" TargetMode="External"/><Relationship Id="rId2146" Type="http://schemas.openxmlformats.org/officeDocument/2006/relationships/hyperlink" Target="http://secrets.rutgers.edu:8080/data/asl-ftp/asllvd/demos/verify_start_end_handshape_annotations//test_auto_move//signs_mov_separ_signers/Brady_15416.mov" TargetMode="External"/><Relationship Id="rId2147" Type="http://schemas.openxmlformats.org/officeDocument/2006/relationships/hyperlink" Target="http://csr.bu.edu/ftp/asl/asllvd/demos/verify_start_end_handshape_annotations//test_auto_move//signs_mov/15435.mov" TargetMode="External"/><Relationship Id="rId2148" Type="http://schemas.openxmlformats.org/officeDocument/2006/relationships/hyperlink" Target="http://csr.bu.edu/ftp/asl/asllvd/demos/verify_start_end_handshape_annotations//test_auto_move//signs_mov_separ_signers/Brady_15435.mov" TargetMode="External"/><Relationship Id="rId2149" Type="http://schemas.openxmlformats.org/officeDocument/2006/relationships/hyperlink" Target="http://secrets.rutgers.edu:8080/data/asl-ftp/asllvd/demos/verify_start_end_handshape_annotations//test_auto_move//signs_mov/15435.mov" TargetMode="External"/><Relationship Id="rId2150" Type="http://schemas.openxmlformats.org/officeDocument/2006/relationships/hyperlink" Target="http://secrets.rutgers.edu:8080/data/asl-ftp/asllvd/demos/verify_start_end_handshape_annotations//test_auto_move//signs_mov_separ_signers/Brady_15435.mov" TargetMode="External"/><Relationship Id="rId2151" Type="http://schemas.openxmlformats.org/officeDocument/2006/relationships/hyperlink" Target="http://csr.bu.edu/ftp/asl/asllvd/demos/verify_start_end_handshape_annotations//test_auto_move//signs_mov/15465.mov" TargetMode="External"/><Relationship Id="rId2152" Type="http://schemas.openxmlformats.org/officeDocument/2006/relationships/hyperlink" Target="http://csr.bu.edu/ftp/asl/asllvd/demos/verify_start_end_handshape_annotations//test_auto_move//signs_mov_separ_signers/Liz_15465.mov" TargetMode="External"/><Relationship Id="rId2153" Type="http://schemas.openxmlformats.org/officeDocument/2006/relationships/hyperlink" Target="http://secrets.rutgers.edu:8080/data/asl-ftp/asllvd/demos/verify_start_end_handshape_annotations//test_auto_move//signs_mov/15465.mov" TargetMode="External"/><Relationship Id="rId2154" Type="http://schemas.openxmlformats.org/officeDocument/2006/relationships/hyperlink" Target="http://secrets.rutgers.edu:8080/data/asl-ftp/asllvd/demos/verify_start_end_handshape_annotations//test_auto_move//signs_mov_separ_signers/Liz_15465.mov" TargetMode="External"/><Relationship Id="rId2155" Type="http://schemas.openxmlformats.org/officeDocument/2006/relationships/hyperlink" Target="http://csr.bu.edu/ftp/asl/asllvd/demos/verify_start_end_handshape_annotations//test_auto_move//signs_mov_separ_signers/Liz_16103.mov" TargetMode="External"/><Relationship Id="rId2156" Type="http://schemas.openxmlformats.org/officeDocument/2006/relationships/hyperlink" Target="http://secrets.rutgers.edu:8080/data/asl-ftp/asllvd/demos/verify_start_end_handshape_annotations//test_auto_move//signs_mov_separ_signers/Liz_16103.mov" TargetMode="External"/><Relationship Id="rId2157" Type="http://schemas.openxmlformats.org/officeDocument/2006/relationships/hyperlink" Target="http://csr.bu.edu/ftp/asl/asllvd/demos/verify_start_end_handshape_annotations//test_auto_move//signs_mov_separ_signers/Liz_16239.mov" TargetMode="External"/><Relationship Id="rId2158" Type="http://schemas.openxmlformats.org/officeDocument/2006/relationships/hyperlink" Target="http://secrets.rutgers.edu:8080/data/asl-ftp/asllvd/demos/verify_start_end_handshape_annotations//test_auto_move//signs_mov_separ_signers/Liz_16239.mov" TargetMode="External"/><Relationship Id="rId2159" Type="http://schemas.openxmlformats.org/officeDocument/2006/relationships/hyperlink" Target="http://csr.bu.edu/ftp/asl/asllvd/demos/verify_start_end_handshape_annotations//test_auto_move//signs_mov/16103_16239_merged.mov" TargetMode="External"/><Relationship Id="rId2160" Type="http://schemas.openxmlformats.org/officeDocument/2006/relationships/hyperlink" Target="http://csr.bu.edu/ftp/asl/asllvd/demos/verify_start_end_handshape_annotations//test_auto_move//signs_mov_separ_signers/Tyler_16103.mov" TargetMode="External"/><Relationship Id="rId2161" Type="http://schemas.openxmlformats.org/officeDocument/2006/relationships/hyperlink" Target="http://secrets.rutgers.edu:8080/data/asl-ftp/asllvd/demos/verify_start_end_handshape_annotations//test_auto_move//signs_mov/16103_16239_merged.mov" TargetMode="External"/><Relationship Id="rId2162" Type="http://schemas.openxmlformats.org/officeDocument/2006/relationships/hyperlink" Target="http://secrets.rutgers.edu:8080/data/asl-ftp/asllvd/demos/verify_start_end_handshape_annotations//test_auto_move//signs_mov_separ_signers/Tyler_16103.mov" TargetMode="External"/><Relationship Id="rId2163" Type="http://schemas.openxmlformats.org/officeDocument/2006/relationships/hyperlink" Target="http://csr.bu.edu/ftp/asl/asllvd/demos/verify_start_end_handshape_annotations//test_auto_move//signs_mov_separ_signers/Naomi_16103.mov" TargetMode="External"/><Relationship Id="rId2164" Type="http://schemas.openxmlformats.org/officeDocument/2006/relationships/hyperlink" Target="http://secrets.rutgers.edu:8080/data/asl-ftp/asllvd/demos/verify_start_end_handshape_annotations//test_auto_move//signs_mov_separ_signers/Naomi_16103.mov" TargetMode="External"/><Relationship Id="rId2165" Type="http://schemas.openxmlformats.org/officeDocument/2006/relationships/hyperlink" Target="http://csr.bu.edu/ftp/asl/asllvd/demos/verify_start_end_handshape_annotations//test_auto_move//signs_mov_separ_signers/Brady_16103.mov" TargetMode="External"/><Relationship Id="rId2166" Type="http://schemas.openxmlformats.org/officeDocument/2006/relationships/hyperlink" Target="http://secrets.rutgers.edu:8080/data/asl-ftp/asllvd/demos/verify_start_end_handshape_annotations//test_auto_move//signs_mov_separ_signers/Brady_16103.mov" TargetMode="External"/><Relationship Id="rId2167" Type="http://schemas.openxmlformats.org/officeDocument/2006/relationships/hyperlink" Target="http://csr.bu.edu/ftp/asl/asllvd/demos/verify_start_end_handshape_annotations//test_auto_move//signs_mov_separ_signers/Brady_16239.mov" TargetMode="External"/><Relationship Id="rId2168" Type="http://schemas.openxmlformats.org/officeDocument/2006/relationships/hyperlink" Target="http://secrets.rutgers.edu:8080/data/asl-ftp/asllvd/demos/verify_start_end_handshape_annotations//test_auto_move//signs_mov_separ_signers/Brady_16239.mov" TargetMode="External"/><Relationship Id="rId2169" Type="http://schemas.openxmlformats.org/officeDocument/2006/relationships/hyperlink" Target="http://csr.bu.edu/ftp/asl/asllvd/demos/verify_start_end_handshape_annotations//test_auto_move//signs_mov_separ_signers/Liz_241.mov" TargetMode="External"/><Relationship Id="rId2170" Type="http://schemas.openxmlformats.org/officeDocument/2006/relationships/hyperlink" Target="http://secrets.rutgers.edu:8080/data/asl-ftp/asllvd/demos/verify_start_end_handshape_annotations//test_auto_move//signs_mov_separ_signers/Liz_241.mov" TargetMode="External"/><Relationship Id="rId2171" Type="http://schemas.openxmlformats.org/officeDocument/2006/relationships/hyperlink" Target="http://csr.bu.edu/ftp/asl/asllvd/demos/verify_start_end_handshape_annotations//test_auto_move//signs_mov/241.mov" TargetMode="External"/><Relationship Id="rId2172" Type="http://schemas.openxmlformats.org/officeDocument/2006/relationships/hyperlink" Target="http://csr.bu.edu/ftp/asl/asllvd/demos/verify_start_end_handshape_annotations//test_auto_move//signs_mov_separ_signers/Tyler_241.mov" TargetMode="External"/><Relationship Id="rId2173" Type="http://schemas.openxmlformats.org/officeDocument/2006/relationships/hyperlink" Target="http://secrets.rutgers.edu:8080/data/asl-ftp/asllvd/demos/verify_start_end_handshape_annotations//test_auto_move//signs_mov/241.mov" TargetMode="External"/><Relationship Id="rId2174" Type="http://schemas.openxmlformats.org/officeDocument/2006/relationships/hyperlink" Target="http://secrets.rutgers.edu:8080/data/asl-ftp/asllvd/demos/verify_start_end_handshape_annotations//test_auto_move//signs_mov_separ_signers/Tyler_241.mov" TargetMode="External"/><Relationship Id="rId2175" Type="http://schemas.openxmlformats.org/officeDocument/2006/relationships/hyperlink" Target="http://csr.bu.edu/ftp/asl/asllvd/demos/verify_start_end_handshape_annotations//test_auto_move//signs_mov_separ_signers/Naomi_241.mov" TargetMode="External"/><Relationship Id="rId2176" Type="http://schemas.openxmlformats.org/officeDocument/2006/relationships/hyperlink" Target="http://secrets.rutgers.edu:8080/data/asl-ftp/asllvd/demos/verify_start_end_handshape_annotations//test_auto_move//signs_mov_separ_signers/Naomi_241.mov" TargetMode="External"/><Relationship Id="rId2177" Type="http://schemas.openxmlformats.org/officeDocument/2006/relationships/hyperlink" Target="http://csr.bu.edu/ftp/asl/asllvd/demos/verify_start_end_handshape_annotations//test_auto_move//signs_mov_separ_signers/Liz_245.mov" TargetMode="External"/><Relationship Id="rId2178" Type="http://schemas.openxmlformats.org/officeDocument/2006/relationships/hyperlink" Target="http://secrets.rutgers.edu:8080/data/asl-ftp/asllvd/demos/verify_start_end_handshape_annotations//test_auto_move//signs_mov_separ_signers/Liz_245.mov" TargetMode="External"/><Relationship Id="rId2179" Type="http://schemas.openxmlformats.org/officeDocument/2006/relationships/hyperlink" Target="http://csr.bu.edu/ftp/asl/asllvd/demos/verify_start_end_handshape_annotations//test_auto_move//signs_mov/245.mov" TargetMode="External"/><Relationship Id="rId2180" Type="http://schemas.openxmlformats.org/officeDocument/2006/relationships/hyperlink" Target="http://csr.bu.edu/ftp/asl/asllvd/demos/verify_start_end_handshape_annotations//test_auto_move//signs_mov_separ_signers/Tyler_245.mov" TargetMode="External"/><Relationship Id="rId2181" Type="http://schemas.openxmlformats.org/officeDocument/2006/relationships/hyperlink" Target="http://secrets.rutgers.edu:8080/data/asl-ftp/asllvd/demos/verify_start_end_handshape_annotations//test_auto_move//signs_mov/245.mov" TargetMode="External"/><Relationship Id="rId2182" Type="http://schemas.openxmlformats.org/officeDocument/2006/relationships/hyperlink" Target="http://secrets.rutgers.edu:8080/data/asl-ftp/asllvd/demos/verify_start_end_handshape_annotations//test_auto_move//signs_mov_separ_signers/Tyler_245.mov" TargetMode="External"/><Relationship Id="rId2183" Type="http://schemas.openxmlformats.org/officeDocument/2006/relationships/hyperlink" Target="http://csr.bu.edu/ftp/asl/asllvd/demos/verify_start_end_handshape_annotations//test_auto_move//signs_mov_separ_signers/Naomi_245.mov" TargetMode="External"/><Relationship Id="rId2184" Type="http://schemas.openxmlformats.org/officeDocument/2006/relationships/hyperlink" Target="http://secrets.rutgers.edu:8080/data/asl-ftp/asllvd/demos/verify_start_end_handshape_annotations//test_auto_move//signs_mov_separ_signers/Naomi_245.mov" TargetMode="External"/><Relationship Id="rId2185" Type="http://schemas.openxmlformats.org/officeDocument/2006/relationships/hyperlink" Target="http://csr.bu.edu/ftp/asl/asllvd/demos/verify_start_end_handshape_annotations//test_auto_move//signs_mov_separ_signers/Brady_245.mov" TargetMode="External"/><Relationship Id="rId2186" Type="http://schemas.openxmlformats.org/officeDocument/2006/relationships/hyperlink" Target="http://secrets.rutgers.edu:8080/data/asl-ftp/asllvd/demos/verify_start_end_handshape_annotations//test_auto_move//signs_mov_separ_signers/Brady_245.mov" TargetMode="External"/><Relationship Id="rId2187" Type="http://schemas.openxmlformats.org/officeDocument/2006/relationships/hyperlink" Target="http://csr.bu.edu/ftp/asl/asllvd/demos/verify_start_end_handshape_annotations//test_auto_move//signs_mov_separ_signers/Liz_15529.mov" TargetMode="External"/><Relationship Id="rId2188" Type="http://schemas.openxmlformats.org/officeDocument/2006/relationships/hyperlink" Target="http://secrets.rutgers.edu:8080/data/asl-ftp/asllvd/demos/verify_start_end_handshape_annotations//test_auto_move//signs_mov_separ_signers/Liz_15529.mov" TargetMode="External"/><Relationship Id="rId2189" Type="http://schemas.openxmlformats.org/officeDocument/2006/relationships/hyperlink" Target="http://csr.bu.edu/ftp/asl/asllvd/demos/verify_start_end_handshape_annotations//test_auto_move//signs_mov/15529.mov" TargetMode="External"/><Relationship Id="rId2190" Type="http://schemas.openxmlformats.org/officeDocument/2006/relationships/hyperlink" Target="http://csr.bu.edu/ftp/asl/asllvd/demos/verify_start_end_handshape_annotations//test_auto_move//signs_mov_separ_signers/Tyler_15529.mov" TargetMode="External"/><Relationship Id="rId2191" Type="http://schemas.openxmlformats.org/officeDocument/2006/relationships/hyperlink" Target="http://secrets.rutgers.edu:8080/data/asl-ftp/asllvd/demos/verify_start_end_handshape_annotations//test_auto_move//signs_mov/15529.mov" TargetMode="External"/><Relationship Id="rId2192" Type="http://schemas.openxmlformats.org/officeDocument/2006/relationships/hyperlink" Target="http://secrets.rutgers.edu:8080/data/asl-ftp/asllvd/demos/verify_start_end_handshape_annotations//test_auto_move//signs_mov_separ_signers/Tyler_15529.mov" TargetMode="External"/><Relationship Id="rId2193" Type="http://schemas.openxmlformats.org/officeDocument/2006/relationships/hyperlink" Target="http://csr.bu.edu/ftp/asl/asllvd/demos/verify_start_end_handshape_annotations//test_auto_move//signs_mov_separ_signers/Naomi_15529.mov" TargetMode="External"/><Relationship Id="rId2194" Type="http://schemas.openxmlformats.org/officeDocument/2006/relationships/hyperlink" Target="http://secrets.rutgers.edu:8080/data/asl-ftp/asllvd/demos/verify_start_end_handshape_annotations//test_auto_move//signs_mov_separ_signers/Naomi_15529.mov" TargetMode="External"/><Relationship Id="rId2195" Type="http://schemas.openxmlformats.org/officeDocument/2006/relationships/hyperlink" Target="http://csr.bu.edu/ftp/asl/asllvd/demos/verify_start_end_handshape_annotations//test_auto_move//signs_mov_separ_signers/Brady_15529.mov" TargetMode="External"/><Relationship Id="rId2196" Type="http://schemas.openxmlformats.org/officeDocument/2006/relationships/hyperlink" Target="http://secrets.rutgers.edu:8080/data/asl-ftp/asllvd/demos/verify_start_end_handshape_annotations//test_auto_move//signs_mov_separ_signers/Brady_15529.mov" TargetMode="External"/><Relationship Id="rId2197" Type="http://schemas.openxmlformats.org/officeDocument/2006/relationships/hyperlink" Target="http://csr.bu.edu/ftp/asl/asllvd/demos/verify_start_end_handshape_annotations//test_auto_move//signs_mov_separ_signers/Liz_249.mov" TargetMode="External"/><Relationship Id="rId2198" Type="http://schemas.openxmlformats.org/officeDocument/2006/relationships/hyperlink" Target="http://secrets.rutgers.edu:8080/data/asl-ftp/asllvd/demos/verify_start_end_handshape_annotations//test_auto_move//signs_mov_separ_signers/Liz_249.mov" TargetMode="External"/><Relationship Id="rId2199" Type="http://schemas.openxmlformats.org/officeDocument/2006/relationships/hyperlink" Target="http://csr.bu.edu/ftp/asl/asllvd/demos/verify_start_end_handshape_annotations//test_auto_move//signs_mov_separ_signers/Tyler_249.mov" TargetMode="External"/><Relationship Id="rId2200" Type="http://schemas.openxmlformats.org/officeDocument/2006/relationships/hyperlink" Target="http://secrets.rutgers.edu:8080/data/asl-ftp/asllvd/demos/verify_start_end_handshape_annotations//test_auto_move//signs_mov_separ_signers/Tyler_249.mov" TargetMode="External"/><Relationship Id="rId2201" Type="http://schemas.openxmlformats.org/officeDocument/2006/relationships/hyperlink" Target="http://csr.bu.edu/ftp/asl/asllvd/demos/verify_start_end_handshape_annotations//test_auto_move//signs_mov/249.mov" TargetMode="External"/><Relationship Id="rId2202" Type="http://schemas.openxmlformats.org/officeDocument/2006/relationships/hyperlink" Target="http://csr.bu.edu/ftp/asl/asllvd/demos/verify_start_end_handshape_annotations//test_auto_move//signs_mov_separ_signers/Naomi_249.mov" TargetMode="External"/><Relationship Id="rId2203" Type="http://schemas.openxmlformats.org/officeDocument/2006/relationships/hyperlink" Target="http://secrets.rutgers.edu:8080/data/asl-ftp/asllvd/demos/verify_start_end_handshape_annotations//test_auto_move//signs_mov/249.mov" TargetMode="External"/><Relationship Id="rId2204" Type="http://schemas.openxmlformats.org/officeDocument/2006/relationships/hyperlink" Target="http://secrets.rutgers.edu:8080/data/asl-ftp/asllvd/demos/verify_start_end_handshape_annotations//test_auto_move//signs_mov_separ_signers/Naomi_249.mov" TargetMode="External"/><Relationship Id="rId2205" Type="http://schemas.openxmlformats.org/officeDocument/2006/relationships/hyperlink" Target="http://csr.bu.edu/ftp/asl/asllvd/demos/verify_start_end_handshape_annotations//test_auto_move//signs_mov_separ_signers/Brady_249.mov" TargetMode="External"/><Relationship Id="rId2206" Type="http://schemas.openxmlformats.org/officeDocument/2006/relationships/hyperlink" Target="http://secrets.rutgers.edu:8080/data/asl-ftp/asllvd/demos/verify_start_end_handshape_annotations//test_auto_move//signs_mov_separ_signers/Brady_249.mov" TargetMode="External"/><Relationship Id="rId2207" Type="http://schemas.openxmlformats.org/officeDocument/2006/relationships/hyperlink" Target="http://csr.bu.edu/ftp/asl/asllvd/demos/verify_start_end_handshape_annotations//test_auto_move//signs_mov_separ_signers/Lana_249.mov" TargetMode="External"/><Relationship Id="rId2208" Type="http://schemas.openxmlformats.org/officeDocument/2006/relationships/hyperlink" Target="http://secrets.rutgers.edu:8080/data/asl-ftp/asllvd/demos/verify_start_end_handshape_annotations//test_auto_move//signs_mov_separ_signers/Lana_249.mov" TargetMode="External"/><Relationship Id="rId2209" Type="http://schemas.openxmlformats.org/officeDocument/2006/relationships/hyperlink" Target="http://csr.bu.edu/ftp/asl/asllvd/demos/verify_start_end_handshape_annotations//test_auto_move//signs_mov_separ_signers/Liz_250.mov" TargetMode="External"/><Relationship Id="rId2210" Type="http://schemas.openxmlformats.org/officeDocument/2006/relationships/hyperlink" Target="http://secrets.rutgers.edu:8080/data/asl-ftp/asllvd/demos/verify_start_end_handshape_annotations//test_auto_move//signs_mov_separ_signers/Liz_250.mov" TargetMode="External"/><Relationship Id="rId2211" Type="http://schemas.openxmlformats.org/officeDocument/2006/relationships/hyperlink" Target="http://csr.bu.edu/ftp/asl/asllvd/demos/verify_start_end_handshape_annotations//test_auto_move//signs_mov/250.mov" TargetMode="External"/><Relationship Id="rId2212" Type="http://schemas.openxmlformats.org/officeDocument/2006/relationships/hyperlink" Target="http://csr.bu.edu/ftp/asl/asllvd/demos/verify_start_end_handshape_annotations//test_auto_move//signs_mov_separ_signers/Brady_250.mov" TargetMode="External"/><Relationship Id="rId2213" Type="http://schemas.openxmlformats.org/officeDocument/2006/relationships/hyperlink" Target="http://secrets.rutgers.edu:8080/data/asl-ftp/asllvd/demos/verify_start_end_handshape_annotations//test_auto_move//signs_mov/250.mov" TargetMode="External"/><Relationship Id="rId2214" Type="http://schemas.openxmlformats.org/officeDocument/2006/relationships/hyperlink" Target="http://secrets.rutgers.edu:8080/data/asl-ftp/asllvd/demos/verify_start_end_handshape_annotations//test_auto_move//signs_mov_separ_signers/Brady_250.mov" TargetMode="External"/><Relationship Id="rId2215" Type="http://schemas.openxmlformats.org/officeDocument/2006/relationships/hyperlink" Target="http://csr.bu.edu/ftp/asl/asllvd/demos/verify_start_end_handshape_annotations//test_auto_move//signs_mov_separ_signers/Lana_250.mov" TargetMode="External"/><Relationship Id="rId2216" Type="http://schemas.openxmlformats.org/officeDocument/2006/relationships/hyperlink" Target="http://secrets.rutgers.edu:8080/data/asl-ftp/asllvd/demos/verify_start_end_handshape_annotations//test_auto_move//signs_mov_separ_signers/Lana_250.mov" TargetMode="External"/><Relationship Id="rId2217" Type="http://schemas.openxmlformats.org/officeDocument/2006/relationships/hyperlink" Target="http://csr.bu.edu/ftp/asl/asllvd/demos/verify_start_end_handshape_annotations//test_auto_move//signs_mov_separ_signers/Liz_3642.mov" TargetMode="External"/><Relationship Id="rId2218" Type="http://schemas.openxmlformats.org/officeDocument/2006/relationships/hyperlink" Target="http://secrets.rutgers.edu:8080/data/asl-ftp/asllvd/demos/verify_start_end_handshape_annotations//test_auto_move//signs_mov_separ_signers/Liz_3642.mov" TargetMode="External"/><Relationship Id="rId2219" Type="http://schemas.openxmlformats.org/officeDocument/2006/relationships/hyperlink" Target="http://csr.bu.edu/ftp/asl/asllvd/demos/verify_start_end_handshape_annotations//test_auto_move//signs_mov_separ_signers/Liz_3668.mov" TargetMode="External"/><Relationship Id="rId2220" Type="http://schemas.openxmlformats.org/officeDocument/2006/relationships/hyperlink" Target="http://secrets.rutgers.edu:8080/data/asl-ftp/asllvd/demos/verify_start_end_handshape_annotations//test_auto_move//signs_mov_separ_signers/Liz_3668.mov" TargetMode="External"/><Relationship Id="rId2221" Type="http://schemas.openxmlformats.org/officeDocument/2006/relationships/hyperlink" Target="http://csr.bu.edu/ftp/asl/asllvd/demos/verify_start_end_handshape_annotations//test_auto_move//signs_mov/3642_3668_merged.mov" TargetMode="External"/><Relationship Id="rId2222" Type="http://schemas.openxmlformats.org/officeDocument/2006/relationships/hyperlink" Target="http://csr.bu.edu/ftp/asl/asllvd/demos/verify_start_end_handshape_annotations//test_auto_move//signs_mov_separ_signers/Tyler_3642.mov" TargetMode="External"/><Relationship Id="rId2223" Type="http://schemas.openxmlformats.org/officeDocument/2006/relationships/hyperlink" Target="http://secrets.rutgers.edu:8080/data/asl-ftp/asllvd/demos/verify_start_end_handshape_annotations//test_auto_move//signs_mov/3642_3668_merged.mov" TargetMode="External"/><Relationship Id="rId2224" Type="http://schemas.openxmlformats.org/officeDocument/2006/relationships/hyperlink" Target="http://secrets.rutgers.edu:8080/data/asl-ftp/asllvd/demos/verify_start_end_handshape_annotations//test_auto_move//signs_mov_separ_signers/Tyler_3642.mov" TargetMode="External"/><Relationship Id="rId2225" Type="http://schemas.openxmlformats.org/officeDocument/2006/relationships/hyperlink" Target="http://csr.bu.edu/ftp/asl/asllvd/demos/verify_start_end_handshape_annotations//test_auto_move//signs_mov_separ_signers/Tyler_3668.mov" TargetMode="External"/><Relationship Id="rId2226" Type="http://schemas.openxmlformats.org/officeDocument/2006/relationships/hyperlink" Target="http://secrets.rutgers.edu:8080/data/asl-ftp/asllvd/demos/verify_start_end_handshape_annotations//test_auto_move//signs_mov_separ_signers/Tyler_3668.mov" TargetMode="External"/><Relationship Id="rId2227" Type="http://schemas.openxmlformats.org/officeDocument/2006/relationships/hyperlink" Target="http://csr.bu.edu/ftp/asl/asllvd/demos/verify_start_end_handshape_annotations//test_auto_move//signs_mov_separ_signers/Naomi_3642.mov" TargetMode="External"/><Relationship Id="rId2228" Type="http://schemas.openxmlformats.org/officeDocument/2006/relationships/hyperlink" Target="http://secrets.rutgers.edu:8080/data/asl-ftp/asllvd/demos/verify_start_end_handshape_annotations//test_auto_move//signs_mov_separ_signers/Naomi_3642.mov" TargetMode="External"/><Relationship Id="rId2229" Type="http://schemas.openxmlformats.org/officeDocument/2006/relationships/hyperlink" Target="http://csr.bu.edu/ftp/asl/asllvd/demos/verify_start_end_handshape_annotations//test_auto_move//signs_mov_separ_signers/Naomi_3668.mov" TargetMode="External"/><Relationship Id="rId2230" Type="http://schemas.openxmlformats.org/officeDocument/2006/relationships/hyperlink" Target="http://secrets.rutgers.edu:8080/data/asl-ftp/asllvd/demos/verify_start_end_handshape_annotations//test_auto_move//signs_mov_separ_signers/Naomi_3668.mov" TargetMode="External"/><Relationship Id="rId2231" Type="http://schemas.openxmlformats.org/officeDocument/2006/relationships/hyperlink" Target="http://csr.bu.edu/ftp/asl/asllvd/demos/verify_start_end_handshape_annotations//test_auto_move//signs_mov/15686.mov" TargetMode="External"/><Relationship Id="rId2232" Type="http://schemas.openxmlformats.org/officeDocument/2006/relationships/hyperlink" Target="http://csr.bu.edu/ftp/asl/asllvd/demos/verify_start_end_handshape_annotations//test_auto_move//signs_mov_separ_signers/Naomi_15686.mov" TargetMode="External"/><Relationship Id="rId2233" Type="http://schemas.openxmlformats.org/officeDocument/2006/relationships/hyperlink" Target="http://secrets.rutgers.edu:8080/data/asl-ftp/asllvd/demos/verify_start_end_handshape_annotations//test_auto_move//signs_mov/15686.mov" TargetMode="External"/><Relationship Id="rId2234" Type="http://schemas.openxmlformats.org/officeDocument/2006/relationships/hyperlink" Target="http://secrets.rutgers.edu:8080/data/asl-ftp/asllvd/demos/verify_start_end_handshape_annotations//test_auto_move//signs_mov_separ_signers/Naomi_15686.mov" TargetMode="External"/><Relationship Id="rId2235" Type="http://schemas.openxmlformats.org/officeDocument/2006/relationships/hyperlink" Target="http://csr.bu.edu/ftp/asl/asllvd/demos/verify_start_end_handshape_annotations//test_auto_move//signs_mov/15848_15861_merged.mov" TargetMode="External"/><Relationship Id="rId2236" Type="http://schemas.openxmlformats.org/officeDocument/2006/relationships/hyperlink" Target="http://csr.bu.edu/ftp/asl/asllvd/demos/verify_start_end_handshape_annotations//test_auto_move//signs_mov_separ_signers/Brady_15848.mov" TargetMode="External"/><Relationship Id="rId2237" Type="http://schemas.openxmlformats.org/officeDocument/2006/relationships/hyperlink" Target="http://secrets.rutgers.edu:8080/data/asl-ftp/asllvd/demos/verify_start_end_handshape_annotations//test_auto_move//signs_mov/15848_15861_merged.mov" TargetMode="External"/><Relationship Id="rId2238" Type="http://schemas.openxmlformats.org/officeDocument/2006/relationships/hyperlink" Target="http://secrets.rutgers.edu:8080/data/asl-ftp/asllvd/demos/verify_start_end_handshape_annotations//test_auto_move//signs_mov_separ_signers/Brady_15848.mov" TargetMode="External"/><Relationship Id="rId2239" Type="http://schemas.openxmlformats.org/officeDocument/2006/relationships/hyperlink" Target="http://csr.bu.edu/ftp/asl/asllvd/demos/verify_start_end_handshape_annotations//test_auto_move//signs_mov_separ_signers/Brady_15861.mov" TargetMode="External"/><Relationship Id="rId2240" Type="http://schemas.openxmlformats.org/officeDocument/2006/relationships/hyperlink" Target="http://secrets.rutgers.edu:8080/data/asl-ftp/asllvd/demos/verify_start_end_handshape_annotations//test_auto_move//signs_mov_separ_signers/Brady_15861.mov" TargetMode="External"/><Relationship Id="rId2241" Type="http://schemas.openxmlformats.org/officeDocument/2006/relationships/hyperlink" Target="http://csr.bu.edu/ftp/asl/asllvd/demos/verify_start_end_handshape_annotations//test_auto_move//signs_mov_separ_signers/Liz_15874.mov" TargetMode="External"/><Relationship Id="rId2242" Type="http://schemas.openxmlformats.org/officeDocument/2006/relationships/hyperlink" Target="http://secrets.rutgers.edu:8080/data/asl-ftp/asllvd/demos/verify_start_end_handshape_annotations//test_auto_move//signs_mov_separ_signers/Liz_15874.mov" TargetMode="External"/><Relationship Id="rId2243" Type="http://schemas.openxmlformats.org/officeDocument/2006/relationships/hyperlink" Target="http://csr.bu.edu/ftp/asl/asllvd/demos/verify_start_end_handshape_annotations//test_auto_move//signs_mov_separ_signers/Tyler_15874.mov" TargetMode="External"/><Relationship Id="rId2244" Type="http://schemas.openxmlformats.org/officeDocument/2006/relationships/hyperlink" Target="http://secrets.rutgers.edu:8080/data/asl-ftp/asllvd/demos/verify_start_end_handshape_annotations//test_auto_move//signs_mov_separ_signers/Tyler_15874.mov" TargetMode="External"/><Relationship Id="rId2245" Type="http://schemas.openxmlformats.org/officeDocument/2006/relationships/hyperlink" Target="http://csr.bu.edu/ftp/asl/asllvd/demos/verify_start_end_handshape_annotations//test_auto_move//signs_mov_separ_signers/Tyler_16104.mov" TargetMode="External"/><Relationship Id="rId2246" Type="http://schemas.openxmlformats.org/officeDocument/2006/relationships/hyperlink" Target="http://secrets.rutgers.edu:8080/data/asl-ftp/asllvd/demos/verify_start_end_handshape_annotations//test_auto_move//signs_mov_separ_signers/Tyler_16104.mov" TargetMode="External"/><Relationship Id="rId2247" Type="http://schemas.openxmlformats.org/officeDocument/2006/relationships/hyperlink" Target="http://csr.bu.edu/ftp/asl/asllvd/demos/verify_start_end_handshape_annotations//test_auto_move//signs_mov/15874_16104_16240_merged.mov" TargetMode="External"/><Relationship Id="rId2248" Type="http://schemas.openxmlformats.org/officeDocument/2006/relationships/hyperlink" Target="http://csr.bu.edu/ftp/asl/asllvd/demos/verify_start_end_handshape_annotations//test_auto_move//signs_mov_separ_signers/Brady_15874.mov" TargetMode="External"/><Relationship Id="rId2249" Type="http://schemas.openxmlformats.org/officeDocument/2006/relationships/hyperlink" Target="http://secrets.rutgers.edu:8080/data/asl-ftp/asllvd/demos/verify_start_end_handshape_annotations//test_auto_move//signs_mov/15874_16104_16240_merged.mov" TargetMode="External"/><Relationship Id="rId2250" Type="http://schemas.openxmlformats.org/officeDocument/2006/relationships/hyperlink" Target="http://secrets.rutgers.edu:8080/data/asl-ftp/asllvd/demos/verify_start_end_handshape_annotations//test_auto_move//signs_mov_separ_signers/Brady_15874.mov" TargetMode="External"/><Relationship Id="rId2251" Type="http://schemas.openxmlformats.org/officeDocument/2006/relationships/hyperlink" Target="http://csr.bu.edu/ftp/asl/asllvd/demos/verify_start_end_handshape_annotations//test_auto_move//signs_mov_separ_signers/Brady_16104.mov" TargetMode="External"/><Relationship Id="rId2252" Type="http://schemas.openxmlformats.org/officeDocument/2006/relationships/hyperlink" Target="http://secrets.rutgers.edu:8080/data/asl-ftp/asllvd/demos/verify_start_end_handshape_annotations//test_auto_move//signs_mov_separ_signers/Brady_16104.mov" TargetMode="External"/><Relationship Id="rId2253" Type="http://schemas.openxmlformats.org/officeDocument/2006/relationships/hyperlink" Target="http://csr.bu.edu/ftp/asl/asllvd/demos/verify_start_end_handshape_annotations//test_auto_move//signs_mov_separ_signers/Brady_16240.mov" TargetMode="External"/><Relationship Id="rId2254" Type="http://schemas.openxmlformats.org/officeDocument/2006/relationships/hyperlink" Target="http://secrets.rutgers.edu:8080/data/asl-ftp/asllvd/demos/verify_start_end_handshape_annotations//test_auto_move//signs_mov_separ_signers/Brady_16240.mov" TargetMode="External"/><Relationship Id="rId2255" Type="http://schemas.openxmlformats.org/officeDocument/2006/relationships/hyperlink" Target="http://csr.bu.edu/ftp/asl/asllvd/demos/verify_start_end_handshape_annotations//test_auto_move//signs_mov_separ_signers/Lana_15874.mov" TargetMode="External"/><Relationship Id="rId2256" Type="http://schemas.openxmlformats.org/officeDocument/2006/relationships/hyperlink" Target="http://secrets.rutgers.edu:8080/data/asl-ftp/asllvd/demos/verify_start_end_handshape_annotations//test_auto_move//signs_mov_separ_signers/Lana_15874.mov" TargetMode="External"/><Relationship Id="rId2257" Type="http://schemas.openxmlformats.org/officeDocument/2006/relationships/hyperlink" Target="http://csr.bu.edu/ftp/asl/asllvd/demos/verify_start_end_handshape_annotations//test_auto_move//signs_mov_separ_signers/Dana_15874.mov" TargetMode="External"/><Relationship Id="rId2258" Type="http://schemas.openxmlformats.org/officeDocument/2006/relationships/hyperlink" Target="http://secrets.rutgers.edu:8080/data/asl-ftp/asllvd/demos/verify_start_end_handshape_annotations//test_auto_move//signs_mov_separ_signers/Dana_15874.mov" TargetMode="External"/><Relationship Id="rId2259" Type="http://schemas.openxmlformats.org/officeDocument/2006/relationships/hyperlink" Target="http://csr.bu.edu/ftp/asl/asllvd/demos/verify_start_end_handshape_annotations//test_auto_move//signs_mov/16241.mov" TargetMode="External"/><Relationship Id="rId2260" Type="http://schemas.openxmlformats.org/officeDocument/2006/relationships/hyperlink" Target="http://csr.bu.edu/ftp/asl/asllvd/demos/verify_start_end_handshape_annotations//test_auto_move//signs_mov_separ_signers/Tyler_16241.mov" TargetMode="External"/><Relationship Id="rId2261" Type="http://schemas.openxmlformats.org/officeDocument/2006/relationships/hyperlink" Target="http://secrets.rutgers.edu:8080/data/asl-ftp/asllvd/demos/verify_start_end_handshape_annotations//test_auto_move//signs_mov/16241.mov" TargetMode="External"/><Relationship Id="rId2262" Type="http://schemas.openxmlformats.org/officeDocument/2006/relationships/hyperlink" Target="http://secrets.rutgers.edu:8080/data/asl-ftp/asllvd/demos/verify_start_end_handshape_annotations//test_auto_move//signs_mov_separ_signers/Tyler_16241.mov" TargetMode="External"/><Relationship Id="rId2263" Type="http://schemas.openxmlformats.org/officeDocument/2006/relationships/hyperlink" Target="http://csr.bu.edu/ftp/asl/asllvd/demos/verify_start_end_handshape_annotations//test_auto_move//signs_mov/16242.mov" TargetMode="External"/><Relationship Id="rId2264" Type="http://schemas.openxmlformats.org/officeDocument/2006/relationships/hyperlink" Target="http://csr.bu.edu/ftp/asl/asllvd/demos/verify_start_end_handshape_annotations//test_auto_move//signs_mov_separ_signers/Liz_16242.mov" TargetMode="External"/><Relationship Id="rId2265" Type="http://schemas.openxmlformats.org/officeDocument/2006/relationships/hyperlink" Target="http://secrets.rutgers.edu:8080/data/asl-ftp/asllvd/demos/verify_start_end_handshape_annotations//test_auto_move//signs_mov/16242.mov" TargetMode="External"/><Relationship Id="rId2266" Type="http://schemas.openxmlformats.org/officeDocument/2006/relationships/hyperlink" Target="http://secrets.rutgers.edu:8080/data/asl-ftp/asllvd/demos/verify_start_end_handshape_annotations//test_auto_move//signs_mov_separ_signers/Liz_16242.mov" TargetMode="External"/><Relationship Id="rId2267" Type="http://schemas.openxmlformats.org/officeDocument/2006/relationships/hyperlink" Target="http://csr.bu.edu/ftp/asl/asllvd/demos/verify_start_end_handshape_annotations//test_auto_move//signs_mov_separ_signers/Brady_16242.mov" TargetMode="External"/><Relationship Id="rId2268" Type="http://schemas.openxmlformats.org/officeDocument/2006/relationships/hyperlink" Target="http://secrets.rutgers.edu:8080/data/asl-ftp/asllvd/demos/verify_start_end_handshape_annotations//test_auto_move//signs_mov_separ_signers/Brady_16242.mov" TargetMode="External"/><Relationship Id="rId2269" Type="http://schemas.openxmlformats.org/officeDocument/2006/relationships/hyperlink" Target="http://csr.bu.edu/ftp/asl/asllvd/demos/verify_start_end_handshape_annotations//test_auto_move//signs_mov_separ_signers/Liz_255.mov" TargetMode="External"/><Relationship Id="rId2270" Type="http://schemas.openxmlformats.org/officeDocument/2006/relationships/hyperlink" Target="http://secrets.rutgers.edu:8080/data/asl-ftp/asllvd/demos/verify_start_end_handshape_annotations//test_auto_move//signs_mov_separ_signers/Liz_255.mov" TargetMode="External"/><Relationship Id="rId2271" Type="http://schemas.openxmlformats.org/officeDocument/2006/relationships/hyperlink" Target="http://csr.bu.edu/ftp/asl/asllvd/demos/verify_start_end_handshape_annotations//test_auto_move//signs_mov_separ_signers/Liz_3379.mov" TargetMode="External"/><Relationship Id="rId2272" Type="http://schemas.openxmlformats.org/officeDocument/2006/relationships/hyperlink" Target="http://secrets.rutgers.edu:8080/data/asl-ftp/asllvd/demos/verify_start_end_handshape_annotations//test_auto_move//signs_mov_separ_signers/Liz_3379.mov" TargetMode="External"/><Relationship Id="rId2273" Type="http://schemas.openxmlformats.org/officeDocument/2006/relationships/hyperlink" Target="http://csr.bu.edu/ftp/asl/asllvd/demos/verify_start_end_handshape_annotations//test_auto_move//signs_mov_separ_signers/Tyler_255.mov" TargetMode="External"/><Relationship Id="rId2274" Type="http://schemas.openxmlformats.org/officeDocument/2006/relationships/hyperlink" Target="http://secrets.rutgers.edu:8080/data/asl-ftp/asllvd/demos/verify_start_end_handshape_annotations//test_auto_move//signs_mov_separ_signers/Tyler_255.mov" TargetMode="External"/><Relationship Id="rId2275" Type="http://schemas.openxmlformats.org/officeDocument/2006/relationships/hyperlink" Target="http://csr.bu.edu/ftp/asl/asllvd/demos/verify_start_end_handshape_annotations//test_auto_move//signs_mov/255_3379_merged.mov" TargetMode="External"/><Relationship Id="rId2276" Type="http://schemas.openxmlformats.org/officeDocument/2006/relationships/hyperlink" Target="http://csr.bu.edu/ftp/asl/asllvd/demos/verify_start_end_handshape_annotations//test_auto_move//signs_mov_separ_signers/Naomi_255.mov" TargetMode="External"/><Relationship Id="rId2277" Type="http://schemas.openxmlformats.org/officeDocument/2006/relationships/hyperlink" Target="http://secrets.rutgers.edu:8080/data/asl-ftp/asllvd/demos/verify_start_end_handshape_annotations//test_auto_move//signs_mov/255_3379_merged.mov" TargetMode="External"/><Relationship Id="rId2278" Type="http://schemas.openxmlformats.org/officeDocument/2006/relationships/hyperlink" Target="http://secrets.rutgers.edu:8080/data/asl-ftp/asllvd/demos/verify_start_end_handshape_annotations//test_auto_move//signs_mov_separ_signers/Naomi_255.mov" TargetMode="External"/><Relationship Id="rId2279" Type="http://schemas.openxmlformats.org/officeDocument/2006/relationships/hyperlink" Target="http://csr.bu.edu/ftp/asl/asllvd/demos/verify_start_end_handshape_annotations//test_auto_move//signs_mov_separ_signers/Brady_255.mov" TargetMode="External"/><Relationship Id="rId2280" Type="http://schemas.openxmlformats.org/officeDocument/2006/relationships/hyperlink" Target="http://secrets.rutgers.edu:8080/data/asl-ftp/asllvd/demos/verify_start_end_handshape_annotations//test_auto_move//signs_mov_separ_signers/Brady_255.mov" TargetMode="External"/><Relationship Id="rId2281" Type="http://schemas.openxmlformats.org/officeDocument/2006/relationships/hyperlink" Target="http://csr.bu.edu/ftp/asl/asllvd/demos/verify_start_end_handshape_annotations//test_auto_move//signs_mov_separ_signers/Brady_3379.mov" TargetMode="External"/><Relationship Id="rId2282" Type="http://schemas.openxmlformats.org/officeDocument/2006/relationships/hyperlink" Target="http://secrets.rutgers.edu:8080/data/asl-ftp/asllvd/demos/verify_start_end_handshape_annotations//test_auto_move//signs_mov_separ_signers/Brady_3379.mov" TargetMode="External"/><Relationship Id="rId2283" Type="http://schemas.openxmlformats.org/officeDocument/2006/relationships/hyperlink" Target="http://csr.bu.edu/ftp/asl/asllvd/demos/verify_start_end_handshape_annotations//test_auto_move//signs_mov_separ_signers/Lana_255.mov" TargetMode="External"/><Relationship Id="rId2284" Type="http://schemas.openxmlformats.org/officeDocument/2006/relationships/hyperlink" Target="http://secrets.rutgers.edu:8080/data/asl-ftp/asllvd/demos/verify_start_end_handshape_annotations//test_auto_move//signs_mov_separ_signers/Lana_255.mov" TargetMode="External"/><Relationship Id="rId2285" Type="http://schemas.openxmlformats.org/officeDocument/2006/relationships/hyperlink" Target="http://csr.bu.edu/ftp/asl/asllvd/demos/verify_start_end_handshape_annotations//test_auto_move//signs_mov_separ_signers/Dana_255.mov" TargetMode="External"/><Relationship Id="rId2286" Type="http://schemas.openxmlformats.org/officeDocument/2006/relationships/hyperlink" Target="http://secrets.rutgers.edu:8080/data/asl-ftp/asllvd/demos/verify_start_end_handshape_annotations//test_auto_move//signs_mov_separ_signers/Dana_255.mov" TargetMode="External"/><Relationship Id="rId2287" Type="http://schemas.openxmlformats.org/officeDocument/2006/relationships/hyperlink" Target="http://csr.bu.edu/ftp/asl/asllvd/demos/verify_start_end_handshape_annotations//test_auto_move//signs_mov/15158.mov" TargetMode="External"/><Relationship Id="rId2288" Type="http://schemas.openxmlformats.org/officeDocument/2006/relationships/hyperlink" Target="http://csr.bu.edu/ftp/asl/asllvd/demos/verify_start_end_handshape_annotations//test_auto_move//signs_mov_separ_signers/Liz_15158.mov" TargetMode="External"/><Relationship Id="rId2289" Type="http://schemas.openxmlformats.org/officeDocument/2006/relationships/hyperlink" Target="http://secrets.rutgers.edu:8080/data/asl-ftp/asllvd/demos/verify_start_end_handshape_annotations//test_auto_move//signs_mov/15158.mov" TargetMode="External"/><Relationship Id="rId2290" Type="http://schemas.openxmlformats.org/officeDocument/2006/relationships/hyperlink" Target="http://secrets.rutgers.edu:8080/data/asl-ftp/asllvd/demos/verify_start_end_handshape_annotations//test_auto_move//signs_mov_separ_signers/Liz_15158.mov" TargetMode="External"/><Relationship Id="rId2291" Type="http://schemas.openxmlformats.org/officeDocument/2006/relationships/hyperlink" Target="http://csr.bu.edu/ftp/asl/asllvd/demos/verify_start_end_handshape_annotations//test_auto_move//signs_mov_separ_signers/Brady_15158.mov" TargetMode="External"/><Relationship Id="rId2292" Type="http://schemas.openxmlformats.org/officeDocument/2006/relationships/hyperlink" Target="http://secrets.rutgers.edu:8080/data/asl-ftp/asllvd/demos/verify_start_end_handshape_annotations//test_auto_move//signs_mov_separ_signers/Brady_15158.mov" TargetMode="External"/><Relationship Id="rId2293" Type="http://schemas.openxmlformats.org/officeDocument/2006/relationships/hyperlink" Target="http://csr.bu.edu/ftp/asl/asllvd/demos/verify_start_end_handshape_annotations//test_auto_move//signs_mov_separ_signers/Liz_15649.mov" TargetMode="External"/><Relationship Id="rId2294" Type="http://schemas.openxmlformats.org/officeDocument/2006/relationships/hyperlink" Target="http://secrets.rutgers.edu:8080/data/asl-ftp/asllvd/demos/verify_start_end_handshape_annotations//test_auto_move//signs_mov_separ_signers/Liz_15649.mov" TargetMode="External"/><Relationship Id="rId2295" Type="http://schemas.openxmlformats.org/officeDocument/2006/relationships/hyperlink" Target="http://csr.bu.edu/ftp/asl/asllvd/demos/verify_start_end_handshape_annotations//test_auto_move//signs_mov/15649.mov" TargetMode="External"/><Relationship Id="rId2296" Type="http://schemas.openxmlformats.org/officeDocument/2006/relationships/hyperlink" Target="http://csr.bu.edu/ftp/asl/asllvd/demos/verify_start_end_handshape_annotations//test_auto_move//signs_mov_separ_signers/Tyler_15649.mov" TargetMode="External"/><Relationship Id="rId2297" Type="http://schemas.openxmlformats.org/officeDocument/2006/relationships/hyperlink" Target="http://secrets.rutgers.edu:8080/data/asl-ftp/asllvd/demos/verify_start_end_handshape_annotations//test_auto_move//signs_mov/15649.mov" TargetMode="External"/><Relationship Id="rId2298" Type="http://schemas.openxmlformats.org/officeDocument/2006/relationships/hyperlink" Target="http://secrets.rutgers.edu:8080/data/asl-ftp/asllvd/demos/verify_start_end_handshape_annotations//test_auto_move//signs_mov_separ_signers/Tyler_15649.mov" TargetMode="External"/><Relationship Id="rId2299" Type="http://schemas.openxmlformats.org/officeDocument/2006/relationships/hyperlink" Target="http://csr.bu.edu/ftp/asl/asllvd/demos/verify_start_end_handshape_annotations//test_auto_move//signs_mov_separ_signers/Naomi_15649.mov" TargetMode="External"/><Relationship Id="rId2300" Type="http://schemas.openxmlformats.org/officeDocument/2006/relationships/hyperlink" Target="http://secrets.rutgers.edu:8080/data/asl-ftp/asllvd/demos/verify_start_end_handshape_annotations//test_auto_move//signs_mov_separ_signers/Naomi_15649.mov" TargetMode="External"/><Relationship Id="rId2301" Type="http://schemas.openxmlformats.org/officeDocument/2006/relationships/hyperlink" Target="http://csr.bu.edu/ftp/asl/asllvd/demos/verify_start_end_handshape_annotations//test_auto_move//signs_mov_separ_signers/Brady_15649.mov" TargetMode="External"/><Relationship Id="rId2302" Type="http://schemas.openxmlformats.org/officeDocument/2006/relationships/hyperlink" Target="http://secrets.rutgers.edu:8080/data/asl-ftp/asllvd/demos/verify_start_end_handshape_annotations//test_auto_move//signs_mov_separ_signers/Brady_15649.mov" TargetMode="External"/><Relationship Id="rId2303" Type="http://schemas.openxmlformats.org/officeDocument/2006/relationships/hyperlink" Target="http://csr.bu.edu/ftp/asl/asllvd/demos/verify_start_end_handshape_annotations//test_auto_move//signs_mov_separ_signers/Liz_257.mov" TargetMode="External"/><Relationship Id="rId2304" Type="http://schemas.openxmlformats.org/officeDocument/2006/relationships/hyperlink" Target="http://secrets.rutgers.edu:8080/data/asl-ftp/asllvd/demos/verify_start_end_handshape_annotations//test_auto_move//signs_mov_separ_signers/Liz_257.mov" TargetMode="External"/><Relationship Id="rId2305" Type="http://schemas.openxmlformats.org/officeDocument/2006/relationships/hyperlink" Target="http://csr.bu.edu/ftp/asl/asllvd/demos/verify_start_end_handshape_annotations//test_auto_move//signs_mov_separ_signers/Tyler_257.mov" TargetMode="External"/><Relationship Id="rId2306" Type="http://schemas.openxmlformats.org/officeDocument/2006/relationships/hyperlink" Target="http://secrets.rutgers.edu:8080/data/asl-ftp/asllvd/demos/verify_start_end_handshape_annotations//test_auto_move//signs_mov_separ_signers/Tyler_257.mov" TargetMode="External"/><Relationship Id="rId2307" Type="http://schemas.openxmlformats.org/officeDocument/2006/relationships/hyperlink" Target="http://csr.bu.edu/ftp/asl/asllvd/demos/verify_start_end_handshape_annotations//test_auto_move//signs_mov/257_3951_3976_merged.mov" TargetMode="External"/><Relationship Id="rId2308" Type="http://schemas.openxmlformats.org/officeDocument/2006/relationships/hyperlink" Target="http://csr.bu.edu/ftp/asl/asllvd/demos/verify_start_end_handshape_annotations//test_auto_move//signs_mov_separ_signers/Naomi_257.mov" TargetMode="External"/><Relationship Id="rId2309" Type="http://schemas.openxmlformats.org/officeDocument/2006/relationships/hyperlink" Target="http://secrets.rutgers.edu:8080/data/asl-ftp/asllvd/demos/verify_start_end_handshape_annotations//test_auto_move//signs_mov/257_3951_3976_merged.mov" TargetMode="External"/><Relationship Id="rId2310" Type="http://schemas.openxmlformats.org/officeDocument/2006/relationships/hyperlink" Target="http://secrets.rutgers.edu:8080/data/asl-ftp/asllvd/demos/verify_start_end_handshape_annotations//test_auto_move//signs_mov_separ_signers/Naomi_257.mov" TargetMode="External"/><Relationship Id="rId2311" Type="http://schemas.openxmlformats.org/officeDocument/2006/relationships/hyperlink" Target="http://csr.bu.edu/ftp/asl/asllvd/demos/verify_start_end_handshape_annotations//test_auto_move//signs_mov_separ_signers/Brady_257.mov" TargetMode="External"/><Relationship Id="rId2312" Type="http://schemas.openxmlformats.org/officeDocument/2006/relationships/hyperlink" Target="http://secrets.rutgers.edu:8080/data/asl-ftp/asllvd/demos/verify_start_end_handshape_annotations//test_auto_move//signs_mov_separ_signers/Brady_257.mov" TargetMode="External"/><Relationship Id="rId2313" Type="http://schemas.openxmlformats.org/officeDocument/2006/relationships/hyperlink" Target="http://csr.bu.edu/ftp/asl/asllvd/demos/verify_start_end_handshape_annotations//test_auto_move//signs_mov_separ_signers/Brady_3951.mov" TargetMode="External"/><Relationship Id="rId2314" Type="http://schemas.openxmlformats.org/officeDocument/2006/relationships/hyperlink" Target="http://secrets.rutgers.edu:8080/data/asl-ftp/asllvd/demos/verify_start_end_handshape_annotations//test_auto_move//signs_mov_separ_signers/Brady_3951.mov" TargetMode="External"/><Relationship Id="rId2315" Type="http://schemas.openxmlformats.org/officeDocument/2006/relationships/hyperlink" Target="http://csr.bu.edu/ftp/asl/asllvd/demos/verify_start_end_handshape_annotations//test_auto_move//signs_mov_separ_signers/Brady_3976.mov" TargetMode="External"/><Relationship Id="rId2316" Type="http://schemas.openxmlformats.org/officeDocument/2006/relationships/hyperlink" Target="http://secrets.rutgers.edu:8080/data/asl-ftp/asllvd/demos/verify_start_end_handshape_annotations//test_auto_move//signs_mov_separ_signers/Brady_3976.mov" TargetMode="External"/><Relationship Id="rId2317" Type="http://schemas.openxmlformats.org/officeDocument/2006/relationships/hyperlink" Target="http://csr.bu.edu/ftp/asl/asllvd/demos/verify_start_end_handshape_annotations//test_auto_move//signs_mov_separ_signers/Liz_260.mov" TargetMode="External"/><Relationship Id="rId2318" Type="http://schemas.openxmlformats.org/officeDocument/2006/relationships/hyperlink" Target="http://secrets.rutgers.edu:8080/data/asl-ftp/asllvd/demos/verify_start_end_handshape_annotations//test_auto_move//signs_mov_separ_signers/Liz_260.mov" TargetMode="External"/><Relationship Id="rId2319" Type="http://schemas.openxmlformats.org/officeDocument/2006/relationships/hyperlink" Target="http://csr.bu.edu/ftp/asl/asllvd/demos/verify_start_end_handshape_annotations//test_auto_move//signs_mov/260.mov" TargetMode="External"/><Relationship Id="rId2320" Type="http://schemas.openxmlformats.org/officeDocument/2006/relationships/hyperlink" Target="http://csr.bu.edu/ftp/asl/asllvd/demos/verify_start_end_handshape_annotations//test_auto_move//signs_mov_separ_signers/Tyler_260.mov" TargetMode="External"/><Relationship Id="rId2321" Type="http://schemas.openxmlformats.org/officeDocument/2006/relationships/hyperlink" Target="http://secrets.rutgers.edu:8080/data/asl-ftp/asllvd/demos/verify_start_end_handshape_annotations//test_auto_move//signs_mov/260.mov" TargetMode="External"/><Relationship Id="rId2322" Type="http://schemas.openxmlformats.org/officeDocument/2006/relationships/hyperlink" Target="http://secrets.rutgers.edu:8080/data/asl-ftp/asllvd/demos/verify_start_end_handshape_annotations//test_auto_move//signs_mov_separ_signers/Tyler_260.mov" TargetMode="External"/><Relationship Id="rId2323" Type="http://schemas.openxmlformats.org/officeDocument/2006/relationships/hyperlink" Target="http://csr.bu.edu/ftp/asl/asllvd/demos/verify_start_end_handshape_annotations//test_auto_move//signs_mov_separ_signers/Naomi_260.mov" TargetMode="External"/><Relationship Id="rId2324" Type="http://schemas.openxmlformats.org/officeDocument/2006/relationships/hyperlink" Target="http://secrets.rutgers.edu:8080/data/asl-ftp/asllvd/demos/verify_start_end_handshape_annotations//test_auto_move//signs_mov_separ_signers/Naomi_260.mov" TargetMode="External"/><Relationship Id="rId2325" Type="http://schemas.openxmlformats.org/officeDocument/2006/relationships/hyperlink" Target="http://csr.bu.edu/ftp/asl/asllvd/demos/verify_start_end_handshape_annotations//test_auto_move//signs_mov_separ_signers/Brady_260.mov" TargetMode="External"/><Relationship Id="rId2326" Type="http://schemas.openxmlformats.org/officeDocument/2006/relationships/hyperlink" Target="http://secrets.rutgers.edu:8080/data/asl-ftp/asllvd/demos/verify_start_end_handshape_annotations//test_auto_move//signs_mov_separ_signers/Brady_260.mov" TargetMode="External"/><Relationship Id="rId2327" Type="http://schemas.openxmlformats.org/officeDocument/2006/relationships/hyperlink" Target="http://csr.bu.edu/ftp/asl/asllvd/demos/verify_start_end_handshape_annotations//test_auto_move//signs_mov/3988.mov" TargetMode="External"/><Relationship Id="rId2328" Type="http://schemas.openxmlformats.org/officeDocument/2006/relationships/hyperlink" Target="http://csr.bu.edu/ftp/asl/asllvd/demos/verify_start_end_handshape_annotations//test_auto_move//signs_mov_separ_signers/Brady_3988.mov" TargetMode="External"/><Relationship Id="rId2329" Type="http://schemas.openxmlformats.org/officeDocument/2006/relationships/hyperlink" Target="http://secrets.rutgers.edu:8080/data/asl-ftp/asllvd/demos/verify_start_end_handshape_annotations//test_auto_move//signs_mov/3988.mov" TargetMode="External"/><Relationship Id="rId2330" Type="http://schemas.openxmlformats.org/officeDocument/2006/relationships/hyperlink" Target="http://secrets.rutgers.edu:8080/data/asl-ftp/asllvd/demos/verify_start_end_handshape_annotations//test_auto_move//signs_mov_separ_signers/Brady_3988.mov" TargetMode="External"/><Relationship Id="rId2331" Type="http://schemas.openxmlformats.org/officeDocument/2006/relationships/hyperlink" Target="http://csr.bu.edu/ftp/asl/asllvd/demos/verify_start_end_handshape_annotations//test_auto_move//signs_mov_separ_signers/Liz_261.mov" TargetMode="External"/><Relationship Id="rId2332" Type="http://schemas.openxmlformats.org/officeDocument/2006/relationships/hyperlink" Target="http://secrets.rutgers.edu:8080/data/asl-ftp/asllvd/demos/verify_start_end_handshape_annotations//test_auto_move//signs_mov_separ_signers/Liz_261.mov" TargetMode="External"/><Relationship Id="rId2333" Type="http://schemas.openxmlformats.org/officeDocument/2006/relationships/hyperlink" Target="http://csr.bu.edu/ftp/asl/asllvd/demos/verify_start_end_handshape_annotations//test_auto_move//signs_mov_separ_signers/Tyler_261.mov" TargetMode="External"/><Relationship Id="rId2334" Type="http://schemas.openxmlformats.org/officeDocument/2006/relationships/hyperlink" Target="http://secrets.rutgers.edu:8080/data/asl-ftp/asllvd/demos/verify_start_end_handshape_annotations//test_auto_move//signs_mov_separ_signers/Tyler_261.mov" TargetMode="External"/><Relationship Id="rId2335" Type="http://schemas.openxmlformats.org/officeDocument/2006/relationships/hyperlink" Target="http://csr.bu.edu/ftp/asl/asllvd/demos/verify_start_end_handshape_annotations//test_auto_move//signs_mov/261.mov" TargetMode="External"/><Relationship Id="rId2336" Type="http://schemas.openxmlformats.org/officeDocument/2006/relationships/hyperlink" Target="http://csr.bu.edu/ftp/asl/asllvd/demos/verify_start_end_handshape_annotations//test_auto_move//signs_mov_separ_signers/Naomi_261.mov" TargetMode="External"/><Relationship Id="rId2337" Type="http://schemas.openxmlformats.org/officeDocument/2006/relationships/hyperlink" Target="http://secrets.rutgers.edu:8080/data/asl-ftp/asllvd/demos/verify_start_end_handshape_annotations//test_auto_move//signs_mov/261.mov" TargetMode="External"/><Relationship Id="rId2338" Type="http://schemas.openxmlformats.org/officeDocument/2006/relationships/hyperlink" Target="http://secrets.rutgers.edu:8080/data/asl-ftp/asllvd/demos/verify_start_end_handshape_annotations//test_auto_move//signs_mov_separ_signers/Naomi_261.mov" TargetMode="External"/><Relationship Id="rId2339" Type="http://schemas.openxmlformats.org/officeDocument/2006/relationships/hyperlink" Target="http://csr.bu.edu/ftp/asl/asllvd/demos/verify_start_end_handshape_annotations//test_auto_move//signs_mov_separ_signers/Brady_261.mov" TargetMode="External"/><Relationship Id="rId2340" Type="http://schemas.openxmlformats.org/officeDocument/2006/relationships/hyperlink" Target="http://secrets.rutgers.edu:8080/data/asl-ftp/asllvd/demos/verify_start_end_handshape_annotations//test_auto_move//signs_mov_separ_signers/Brady_261.mov" TargetMode="External"/><Relationship Id="rId2341" Type="http://schemas.openxmlformats.org/officeDocument/2006/relationships/hyperlink" Target="http://csr.bu.edu/ftp/asl/asllvd/demos/verify_start_end_handshape_annotations//test_auto_move//signs_mov_separ_signers/Lana_261.mov" TargetMode="External"/><Relationship Id="rId2342" Type="http://schemas.openxmlformats.org/officeDocument/2006/relationships/hyperlink" Target="http://secrets.rutgers.edu:8080/data/asl-ftp/asllvd/demos/verify_start_end_handshape_annotations//test_auto_move//signs_mov_separ_signers/Lana_261.mov" TargetMode="External"/><Relationship Id="rId2343" Type="http://schemas.openxmlformats.org/officeDocument/2006/relationships/hyperlink" Target="http://csr.bu.edu/ftp/asl/asllvd/demos/verify_start_end_handshape_annotations//test_auto_move//signs_mov_separ_signers/Liz_264.mov" TargetMode="External"/><Relationship Id="rId2344" Type="http://schemas.openxmlformats.org/officeDocument/2006/relationships/hyperlink" Target="http://secrets.rutgers.edu:8080/data/asl-ftp/asllvd/demos/verify_start_end_handshape_annotations//test_auto_move//signs_mov_separ_signers/Liz_264.mov" TargetMode="External"/><Relationship Id="rId2345" Type="http://schemas.openxmlformats.org/officeDocument/2006/relationships/hyperlink" Target="http://csr.bu.edu/ftp/asl/asllvd/demos/verify_start_end_handshape_annotations//test_auto_move//signs_mov/264_3444_merged.mov" TargetMode="External"/><Relationship Id="rId2346" Type="http://schemas.openxmlformats.org/officeDocument/2006/relationships/hyperlink" Target="http://csr.bu.edu/ftp/asl/asllvd/demos/verify_start_end_handshape_annotations//test_auto_move//signs_mov_separ_signers/Liz_3444.mov" TargetMode="External"/><Relationship Id="rId2347" Type="http://schemas.openxmlformats.org/officeDocument/2006/relationships/hyperlink" Target="http://secrets.rutgers.edu:8080/data/asl-ftp/asllvd/demos/verify_start_end_handshape_annotations//test_auto_move//signs_mov/264_3444_merged.mov" TargetMode="External"/><Relationship Id="rId2348" Type="http://schemas.openxmlformats.org/officeDocument/2006/relationships/hyperlink" Target="http://secrets.rutgers.edu:8080/data/asl-ftp/asllvd/demos/verify_start_end_handshape_annotations//test_auto_move//signs_mov_separ_signers/Liz_3444.mov" TargetMode="External"/><Relationship Id="rId2349" Type="http://schemas.openxmlformats.org/officeDocument/2006/relationships/hyperlink" Target="http://csr.bu.edu/ftp/asl/asllvd/demos/verify_start_end_handshape_annotations//test_auto_move//signs_mov_separ_signers/Naomi_264.mov" TargetMode="External"/><Relationship Id="rId2350" Type="http://schemas.openxmlformats.org/officeDocument/2006/relationships/hyperlink" Target="http://secrets.rutgers.edu:8080/data/asl-ftp/asllvd/demos/verify_start_end_handshape_annotations//test_auto_move//signs_mov_separ_signers/Naomi_264.mov" TargetMode="External"/><Relationship Id="rId2351" Type="http://schemas.openxmlformats.org/officeDocument/2006/relationships/hyperlink" Target="http://csr.bu.edu/ftp/asl/asllvd/demos/verify_start_end_handshape_annotations//test_auto_move//signs_mov_separ_signers/Tyler_3922.mov" TargetMode="External"/><Relationship Id="rId2352" Type="http://schemas.openxmlformats.org/officeDocument/2006/relationships/hyperlink" Target="http://secrets.rutgers.edu:8080/data/asl-ftp/asllvd/demos/verify_start_end_handshape_annotations//test_auto_move//signs_mov_separ_signers/Tyler_3922.mov" TargetMode="External"/><Relationship Id="rId2353" Type="http://schemas.openxmlformats.org/officeDocument/2006/relationships/hyperlink" Target="http://csr.bu.edu/ftp/asl/asllvd/demos/verify_start_end_handshape_annotations//test_auto_move//signs_mov/3922_5698_merged.mov" TargetMode="External"/><Relationship Id="rId2354" Type="http://schemas.openxmlformats.org/officeDocument/2006/relationships/hyperlink" Target="http://csr.bu.edu/ftp/asl/asllvd/demos/verify_start_end_handshape_annotations//test_auto_move//signs_mov_separ_signers/Tyler_5698.mov" TargetMode="External"/><Relationship Id="rId2355" Type="http://schemas.openxmlformats.org/officeDocument/2006/relationships/hyperlink" Target="http://secrets.rutgers.edu:8080/data/asl-ftp/asllvd/demos/verify_start_end_handshape_annotations//test_auto_move//signs_mov/3922_5698_merged.mov" TargetMode="External"/><Relationship Id="rId2356" Type="http://schemas.openxmlformats.org/officeDocument/2006/relationships/hyperlink" Target="http://secrets.rutgers.edu:8080/data/asl-ftp/asllvd/demos/verify_start_end_handshape_annotations//test_auto_move//signs_mov_separ_signers/Tyler_5698.mov" TargetMode="External"/><Relationship Id="rId2357" Type="http://schemas.openxmlformats.org/officeDocument/2006/relationships/hyperlink" Target="http://csr.bu.edu/ftp/asl/asllvd/demos/verify_start_end_handshape_annotations//test_auto_move//signs_mov_separ_signers/Brady_3922.mov" TargetMode="External"/><Relationship Id="rId2358" Type="http://schemas.openxmlformats.org/officeDocument/2006/relationships/hyperlink" Target="http://secrets.rutgers.edu:8080/data/asl-ftp/asllvd/demos/verify_start_end_handshape_annotations//test_auto_move//signs_mov_separ_signers/Brady_3922.mov" TargetMode="External"/><Relationship Id="rId2359" Type="http://schemas.openxmlformats.org/officeDocument/2006/relationships/hyperlink" Target="http://csr.bu.edu/ftp/asl/asllvd/demos/verify_start_end_handshape_annotations//test_auto_move//signs_mov/5699.mov" TargetMode="External"/><Relationship Id="rId2360" Type="http://schemas.openxmlformats.org/officeDocument/2006/relationships/hyperlink" Target="http://csr.bu.edu/ftp/asl/asllvd/demos/verify_start_end_handshape_annotations//test_auto_move//signs_mov_separ_signers/Naomi_5699.mov" TargetMode="External"/><Relationship Id="rId2361" Type="http://schemas.openxmlformats.org/officeDocument/2006/relationships/hyperlink" Target="http://secrets.rutgers.edu:8080/data/asl-ftp/asllvd/demos/verify_start_end_handshape_annotations//test_auto_move//signs_mov/5699.mov" TargetMode="External"/><Relationship Id="rId2362" Type="http://schemas.openxmlformats.org/officeDocument/2006/relationships/hyperlink" Target="http://secrets.rutgers.edu:8080/data/asl-ftp/asllvd/demos/verify_start_end_handshape_annotations//test_auto_move//signs_mov_separ_signers/Naomi_5699.mov" TargetMode="External"/><Relationship Id="rId2363" Type="http://schemas.openxmlformats.org/officeDocument/2006/relationships/hyperlink" Target="http://csr.bu.edu/ftp/asl/asllvd/demos/verify_start_end_handshape_annotations//test_auto_move//signs_mov/5949_5950_merged.mov" TargetMode="External"/><Relationship Id="rId2364" Type="http://schemas.openxmlformats.org/officeDocument/2006/relationships/hyperlink" Target="http://csr.bu.edu/ftp/asl/asllvd/demos/verify_start_end_handshape_annotations//test_auto_move//signs_mov_separ_signers/Brady_5949.mov" TargetMode="External"/><Relationship Id="rId2365" Type="http://schemas.openxmlformats.org/officeDocument/2006/relationships/hyperlink" Target="http://secrets.rutgers.edu:8080/data/asl-ftp/asllvd/demos/verify_start_end_handshape_annotations//test_auto_move//signs_mov/5949_5950_merged.mov" TargetMode="External"/><Relationship Id="rId2366" Type="http://schemas.openxmlformats.org/officeDocument/2006/relationships/hyperlink" Target="http://secrets.rutgers.edu:8080/data/asl-ftp/asllvd/demos/verify_start_end_handshape_annotations//test_auto_move//signs_mov_separ_signers/Brady_5949.mov" TargetMode="External"/><Relationship Id="rId2367" Type="http://schemas.openxmlformats.org/officeDocument/2006/relationships/hyperlink" Target="http://csr.bu.edu/ftp/asl/asllvd/demos/verify_start_end_handshape_annotations//test_auto_move//signs_mov_separ_signers/Brady_5950.mov" TargetMode="External"/><Relationship Id="rId2368" Type="http://schemas.openxmlformats.org/officeDocument/2006/relationships/hyperlink" Target="http://secrets.rutgers.edu:8080/data/asl-ftp/asllvd/demos/verify_start_end_handshape_annotations//test_auto_move//signs_mov_separ_signers/Brady_5950.mov" TargetMode="External"/><Relationship Id="rId2369" Type="http://schemas.openxmlformats.org/officeDocument/2006/relationships/hyperlink" Target="http://csr.bu.edu/ftp/asl/asllvd/demos/verify_start_end_handshape_annotations//test_auto_move//signs_mov_separ_signers/Liz_267.mov" TargetMode="External"/><Relationship Id="rId2370" Type="http://schemas.openxmlformats.org/officeDocument/2006/relationships/hyperlink" Target="http://secrets.rutgers.edu:8080/data/asl-ftp/asllvd/demos/verify_start_end_handshape_annotations//test_auto_move//signs_mov_separ_signers/Liz_267.mov" TargetMode="External"/><Relationship Id="rId2371" Type="http://schemas.openxmlformats.org/officeDocument/2006/relationships/hyperlink" Target="http://csr.bu.edu/ftp/asl/asllvd/demos/verify_start_end_handshape_annotations//test_auto_move//signs_mov/267.mov" TargetMode="External"/><Relationship Id="rId2372" Type="http://schemas.openxmlformats.org/officeDocument/2006/relationships/hyperlink" Target="http://csr.bu.edu/ftp/asl/asllvd/demos/verify_start_end_handshape_annotations//test_auto_move//signs_mov_separ_signers/Tyler_267.mov" TargetMode="External"/><Relationship Id="rId2373" Type="http://schemas.openxmlformats.org/officeDocument/2006/relationships/hyperlink" Target="http://secrets.rutgers.edu:8080/data/asl-ftp/asllvd/demos/verify_start_end_handshape_annotations//test_auto_move//signs_mov/267.mov" TargetMode="External"/><Relationship Id="rId2374" Type="http://schemas.openxmlformats.org/officeDocument/2006/relationships/hyperlink" Target="http://secrets.rutgers.edu:8080/data/asl-ftp/asllvd/demos/verify_start_end_handshape_annotations//test_auto_move//signs_mov_separ_signers/Tyler_267.mov" TargetMode="External"/><Relationship Id="rId2375" Type="http://schemas.openxmlformats.org/officeDocument/2006/relationships/hyperlink" Target="http://csr.bu.edu/ftp/asl/asllvd/demos/verify_start_end_handshape_annotations//test_auto_move//signs_mov_separ_signers/Naomi_267.mov" TargetMode="External"/><Relationship Id="rId2376" Type="http://schemas.openxmlformats.org/officeDocument/2006/relationships/hyperlink" Target="http://secrets.rutgers.edu:8080/data/asl-ftp/asllvd/demos/verify_start_end_handshape_annotations//test_auto_move//signs_mov_separ_signers/Naomi_267.mov" TargetMode="External"/><Relationship Id="rId2377" Type="http://schemas.openxmlformats.org/officeDocument/2006/relationships/hyperlink" Target="http://csr.bu.edu/ftp/asl/asllvd/demos/verify_start_end_handshape_annotations//test_auto_move//signs_mov_separ_signers/Brady_267.mov" TargetMode="External"/><Relationship Id="rId2378" Type="http://schemas.openxmlformats.org/officeDocument/2006/relationships/hyperlink" Target="http://secrets.rutgers.edu:8080/data/asl-ftp/asllvd/demos/verify_start_end_handshape_annotations//test_auto_move//signs_mov_separ_signers/Brady_267.mov" TargetMode="External"/><Relationship Id="rId2379" Type="http://schemas.openxmlformats.org/officeDocument/2006/relationships/hyperlink" Target="http://csr.bu.edu/ftp/asl/asllvd/demos/verify_start_end_handshape_annotations//test_auto_move//signs_mov_separ_signers/Liz_268.mov" TargetMode="External"/><Relationship Id="rId2380" Type="http://schemas.openxmlformats.org/officeDocument/2006/relationships/hyperlink" Target="http://secrets.rutgers.edu:8080/data/asl-ftp/asllvd/demos/verify_start_end_handshape_annotations//test_auto_move//signs_mov_separ_signers/Liz_268.mov" TargetMode="External"/><Relationship Id="rId2381" Type="http://schemas.openxmlformats.org/officeDocument/2006/relationships/hyperlink" Target="http://csr.bu.edu/ftp/asl/asllvd/demos/verify_start_end_handshape_annotations//test_auto_move//signs_mov_separ_signers/Tyler_268.mov" TargetMode="External"/><Relationship Id="rId2382" Type="http://schemas.openxmlformats.org/officeDocument/2006/relationships/hyperlink" Target="http://secrets.rutgers.edu:8080/data/asl-ftp/asllvd/demos/verify_start_end_handshape_annotations//test_auto_move//signs_mov_separ_signers/Tyler_268.mov" TargetMode="External"/><Relationship Id="rId2383" Type="http://schemas.openxmlformats.org/officeDocument/2006/relationships/hyperlink" Target="http://csr.bu.edu/ftp/asl/asllvd/demos/verify_start_end_handshape_annotations//test_auto_move//signs_mov/268_3578_merged.mov" TargetMode="External"/><Relationship Id="rId2384" Type="http://schemas.openxmlformats.org/officeDocument/2006/relationships/hyperlink" Target="http://csr.bu.edu/ftp/asl/asllvd/demos/verify_start_end_handshape_annotations//test_auto_move//signs_mov_separ_signers/Naomi_268.mov" TargetMode="External"/><Relationship Id="rId2385" Type="http://schemas.openxmlformats.org/officeDocument/2006/relationships/hyperlink" Target="http://secrets.rutgers.edu:8080/data/asl-ftp/asllvd/demos/verify_start_end_handshape_annotations//test_auto_move//signs_mov/268_3578_merged.mov" TargetMode="External"/><Relationship Id="rId2386" Type="http://schemas.openxmlformats.org/officeDocument/2006/relationships/hyperlink" Target="http://secrets.rutgers.edu:8080/data/asl-ftp/asllvd/demos/verify_start_end_handshape_annotations//test_auto_move//signs_mov_separ_signers/Naomi_268.mov" TargetMode="External"/><Relationship Id="rId2387" Type="http://schemas.openxmlformats.org/officeDocument/2006/relationships/hyperlink" Target="http://csr.bu.edu/ftp/asl/asllvd/demos/verify_start_end_handshape_annotations//test_auto_move//signs_mov_separ_signers/Brady_268.mov" TargetMode="External"/><Relationship Id="rId2388" Type="http://schemas.openxmlformats.org/officeDocument/2006/relationships/hyperlink" Target="http://secrets.rutgers.edu:8080/data/asl-ftp/asllvd/demos/verify_start_end_handshape_annotations//test_auto_move//signs_mov_separ_signers/Brady_268.mov" TargetMode="External"/><Relationship Id="rId2389" Type="http://schemas.openxmlformats.org/officeDocument/2006/relationships/hyperlink" Target="http://csr.bu.edu/ftp/asl/asllvd/demos/verify_start_end_handshape_annotations//test_auto_move//signs_mov_separ_signers/Brady_3578.mov" TargetMode="External"/><Relationship Id="rId2390" Type="http://schemas.openxmlformats.org/officeDocument/2006/relationships/hyperlink" Target="http://secrets.rutgers.edu:8080/data/asl-ftp/asllvd/demos/verify_start_end_handshape_annotations//test_auto_move//signs_mov_separ_signers/Brady_3578.mov" TargetMode="External"/><Relationship Id="rId2391" Type="http://schemas.openxmlformats.org/officeDocument/2006/relationships/hyperlink" Target="http://csr.bu.edu/ftp/asl/asllvd/demos/verify_start_end_handshape_annotations//test_auto_move//signs_mov/5108.mov" TargetMode="External"/><Relationship Id="rId2392" Type="http://schemas.openxmlformats.org/officeDocument/2006/relationships/hyperlink" Target="http://csr.bu.edu/ftp/asl/asllvd/demos/verify_start_end_handshape_annotations//test_auto_move//signs_mov_separ_signers/Liz_5108.mov" TargetMode="External"/><Relationship Id="rId2393" Type="http://schemas.openxmlformats.org/officeDocument/2006/relationships/hyperlink" Target="http://secrets.rutgers.edu:8080/data/asl-ftp/asllvd/demos/verify_start_end_handshape_annotations//test_auto_move//signs_mov/5108.mov" TargetMode="External"/><Relationship Id="rId2394" Type="http://schemas.openxmlformats.org/officeDocument/2006/relationships/hyperlink" Target="http://secrets.rutgers.edu:8080/data/asl-ftp/asllvd/demos/verify_start_end_handshape_annotations//test_auto_move//signs_mov_separ_signers/Liz_5108.mov" TargetMode="External"/><Relationship Id="rId2395" Type="http://schemas.openxmlformats.org/officeDocument/2006/relationships/hyperlink" Target="http://csr.bu.edu/ftp/asl/asllvd/demos/verify_start_end_handshape_annotations//test_auto_move//signs_mov_separ_signers/Naomi_5108.mov" TargetMode="External"/><Relationship Id="rId2396" Type="http://schemas.openxmlformats.org/officeDocument/2006/relationships/hyperlink" Target="http://secrets.rutgers.edu:8080/data/asl-ftp/asllvd/demos/verify_start_end_handshape_annotations//test_auto_move//signs_mov_separ_signers/Naomi_5108.mov" TargetMode="External"/><Relationship Id="rId2397" Type="http://schemas.openxmlformats.org/officeDocument/2006/relationships/hyperlink" Target="http://csr.bu.edu/ftp/asl/asllvd/demos/verify_start_end_handshape_annotations//test_auto_move//signs_mov_separ_signers/Liz_270.mov" TargetMode="External"/><Relationship Id="rId2398" Type="http://schemas.openxmlformats.org/officeDocument/2006/relationships/hyperlink" Target="http://secrets.rutgers.edu:8080/data/asl-ftp/asllvd/demos/verify_start_end_handshape_annotations//test_auto_move//signs_mov_separ_signers/Liz_270.mov" TargetMode="External"/><Relationship Id="rId2399" Type="http://schemas.openxmlformats.org/officeDocument/2006/relationships/hyperlink" Target="http://csr.bu.edu/ftp/asl/asllvd/demos/verify_start_end_handshape_annotations//test_auto_move//signs_mov/270.mov" TargetMode="External"/><Relationship Id="rId2400" Type="http://schemas.openxmlformats.org/officeDocument/2006/relationships/hyperlink" Target="http://csr.bu.edu/ftp/asl/asllvd/demos/verify_start_end_handshape_annotations//test_auto_move//signs_mov_separ_signers/Tyler_270.mov" TargetMode="External"/><Relationship Id="rId2401" Type="http://schemas.openxmlformats.org/officeDocument/2006/relationships/hyperlink" Target="http://secrets.rutgers.edu:8080/data/asl-ftp/asllvd/demos/verify_start_end_handshape_annotations//test_auto_move//signs_mov/270.mov" TargetMode="External"/><Relationship Id="rId2402" Type="http://schemas.openxmlformats.org/officeDocument/2006/relationships/hyperlink" Target="http://secrets.rutgers.edu:8080/data/asl-ftp/asllvd/demos/verify_start_end_handshape_annotations//test_auto_move//signs_mov_separ_signers/Tyler_270.mov" TargetMode="External"/><Relationship Id="rId2403" Type="http://schemas.openxmlformats.org/officeDocument/2006/relationships/hyperlink" Target="http://csr.bu.edu/ftp/asl/asllvd/demos/verify_start_end_handshape_annotations//test_auto_move//signs_mov_separ_signers/Naomi_270.mov" TargetMode="External"/><Relationship Id="rId2404" Type="http://schemas.openxmlformats.org/officeDocument/2006/relationships/hyperlink" Target="http://secrets.rutgers.edu:8080/data/asl-ftp/asllvd/demos/verify_start_end_handshape_annotations//test_auto_move//signs_mov_separ_signers/Naomi_270.mov" TargetMode="External"/><Relationship Id="rId2405" Type="http://schemas.openxmlformats.org/officeDocument/2006/relationships/hyperlink" Target="http://csr.bu.edu/ftp/asl/asllvd/demos/verify_start_end_handshape_annotations//test_auto_move//signs_mov_separ_signers/Brady_270.mov" TargetMode="External"/><Relationship Id="rId2406" Type="http://schemas.openxmlformats.org/officeDocument/2006/relationships/hyperlink" Target="http://secrets.rutgers.edu:8080/data/asl-ftp/asllvd/demos/verify_start_end_handshape_annotations//test_auto_move//signs_mov_separ_signers/Brady_270.mov" TargetMode="External"/><Relationship Id="rId2407" Type="http://schemas.openxmlformats.org/officeDocument/2006/relationships/hyperlink" Target="http://csr.bu.edu/ftp/asl/asllvd/demos/verify_start_end_handshape_annotations//test_auto_move//signs_mov/3579.mov" TargetMode="External"/><Relationship Id="rId2408" Type="http://schemas.openxmlformats.org/officeDocument/2006/relationships/hyperlink" Target="http://csr.bu.edu/ftp/asl/asllvd/demos/verify_start_end_handshape_annotations//test_auto_move//signs_mov_separ_signers/Liz_3579.mov" TargetMode="External"/><Relationship Id="rId2409" Type="http://schemas.openxmlformats.org/officeDocument/2006/relationships/hyperlink" Target="http://secrets.rutgers.edu:8080/data/asl-ftp/asllvd/demos/verify_start_end_handshape_annotations//test_auto_move//signs_mov/3579.mov" TargetMode="External"/><Relationship Id="rId2410" Type="http://schemas.openxmlformats.org/officeDocument/2006/relationships/hyperlink" Target="http://secrets.rutgers.edu:8080/data/asl-ftp/asllvd/demos/verify_start_end_handshape_annotations//test_auto_move//signs_mov_separ_signers/Liz_3579.mov" TargetMode="External"/><Relationship Id="rId2411" Type="http://schemas.openxmlformats.org/officeDocument/2006/relationships/hyperlink" Target="http://csr.bu.edu/ftp/asl/asllvd/demos/verify_start_end_handshape_annotations//test_auto_move//signs_mov_separ_signers/Liz_272.mov" TargetMode="External"/><Relationship Id="rId2412" Type="http://schemas.openxmlformats.org/officeDocument/2006/relationships/hyperlink" Target="http://secrets.rutgers.edu:8080/data/asl-ftp/asllvd/demos/verify_start_end_handshape_annotations//test_auto_move//signs_mov_separ_signers/Liz_272.mov" TargetMode="External"/><Relationship Id="rId2413" Type="http://schemas.openxmlformats.org/officeDocument/2006/relationships/hyperlink" Target="http://csr.bu.edu/ftp/asl/asllvd/demos/verify_start_end_handshape_annotations//test_auto_move//signs_mov_separ_signers/Liz_15830.mov" TargetMode="External"/><Relationship Id="rId2414" Type="http://schemas.openxmlformats.org/officeDocument/2006/relationships/hyperlink" Target="http://secrets.rutgers.edu:8080/data/asl-ftp/asllvd/demos/verify_start_end_handshape_annotations//test_auto_move//signs_mov_separ_signers/Liz_15830.mov" TargetMode="External"/><Relationship Id="rId2415" Type="http://schemas.openxmlformats.org/officeDocument/2006/relationships/hyperlink" Target="http://csr.bu.edu/ftp/asl/asllvd/demos/verify_start_end_handshape_annotations//test_auto_move//signs_mov/272_15830_merged.mov" TargetMode="External"/><Relationship Id="rId2416" Type="http://schemas.openxmlformats.org/officeDocument/2006/relationships/hyperlink" Target="http://csr.bu.edu/ftp/asl/asllvd/demos/verify_start_end_handshape_annotations//test_auto_move//signs_mov_separ_signers/Tyler_272.mov" TargetMode="External"/><Relationship Id="rId2417" Type="http://schemas.openxmlformats.org/officeDocument/2006/relationships/hyperlink" Target="http://secrets.rutgers.edu:8080/data/asl-ftp/asllvd/demos/verify_start_end_handshape_annotations//test_auto_move//signs_mov/272_15830_merged.mov" TargetMode="External"/><Relationship Id="rId2418" Type="http://schemas.openxmlformats.org/officeDocument/2006/relationships/hyperlink" Target="http://secrets.rutgers.edu:8080/data/asl-ftp/asllvd/demos/verify_start_end_handshape_annotations//test_auto_move//signs_mov_separ_signers/Tyler_272.mov" TargetMode="External"/><Relationship Id="rId2419" Type="http://schemas.openxmlformats.org/officeDocument/2006/relationships/hyperlink" Target="http://csr.bu.edu/ftp/asl/asllvd/demos/verify_start_end_handshape_annotations//test_auto_move//signs_mov_separ_signers/Naomi_272.mov" TargetMode="External"/><Relationship Id="rId2420" Type="http://schemas.openxmlformats.org/officeDocument/2006/relationships/hyperlink" Target="http://secrets.rutgers.edu:8080/data/asl-ftp/asllvd/demos/verify_start_end_handshape_annotations//test_auto_move//signs_mov_separ_signers/Naomi_272.mov" TargetMode="External"/><Relationship Id="rId2421" Type="http://schemas.openxmlformats.org/officeDocument/2006/relationships/hyperlink" Target="http://csr.bu.edu/ftp/asl/asllvd/demos/verify_start_end_handshape_annotations//test_auto_move//signs_mov_separ_signers/Brady_272.mov" TargetMode="External"/><Relationship Id="rId2422" Type="http://schemas.openxmlformats.org/officeDocument/2006/relationships/hyperlink" Target="http://secrets.rutgers.edu:8080/data/asl-ftp/asllvd/demos/verify_start_end_handshape_annotations//test_auto_move//signs_mov_separ_signers/Brady_272.mov" TargetMode="External"/><Relationship Id="rId2423" Type="http://schemas.openxmlformats.org/officeDocument/2006/relationships/hyperlink" Target="http://csr.bu.edu/ftp/asl/asllvd/demos/verify_start_end_handshape_annotations//test_auto_move//signs_mov_separ_signers/Brady_15830.mov" TargetMode="External"/><Relationship Id="rId2424" Type="http://schemas.openxmlformats.org/officeDocument/2006/relationships/hyperlink" Target="http://secrets.rutgers.edu:8080/data/asl-ftp/asllvd/demos/verify_start_end_handshape_annotations//test_auto_move//signs_mov_separ_signers/Brady_15830.mov" TargetMode="External"/><Relationship Id="rId2425" Type="http://schemas.openxmlformats.org/officeDocument/2006/relationships/hyperlink" Target="http://csr.bu.edu/ftp/asl/asllvd/demos/verify_start_end_handshape_annotations//test_auto_move//signs_mov_separ_signers/Liz_275.mov" TargetMode="External"/><Relationship Id="rId2426" Type="http://schemas.openxmlformats.org/officeDocument/2006/relationships/hyperlink" Target="http://secrets.rutgers.edu:8080/data/asl-ftp/asllvd/demos/verify_start_end_handshape_annotations//test_auto_move//signs_mov_separ_signers/Liz_275.mov" TargetMode="External"/><Relationship Id="rId2427" Type="http://schemas.openxmlformats.org/officeDocument/2006/relationships/hyperlink" Target="http://csr.bu.edu/ftp/asl/asllvd/demos/verify_start_end_handshape_annotations//test_auto_move//signs_mov/275.mov" TargetMode="External"/><Relationship Id="rId2428" Type="http://schemas.openxmlformats.org/officeDocument/2006/relationships/hyperlink" Target="http://csr.bu.edu/ftp/asl/asllvd/demos/verify_start_end_handshape_annotations//test_auto_move//signs_mov_separ_signers/Tyler_275.mov" TargetMode="External"/><Relationship Id="rId2429" Type="http://schemas.openxmlformats.org/officeDocument/2006/relationships/hyperlink" Target="http://secrets.rutgers.edu:8080/data/asl-ftp/asllvd/demos/verify_start_end_handshape_annotations//test_auto_move//signs_mov/275.mov" TargetMode="External"/><Relationship Id="rId2430" Type="http://schemas.openxmlformats.org/officeDocument/2006/relationships/hyperlink" Target="http://secrets.rutgers.edu:8080/data/asl-ftp/asllvd/demos/verify_start_end_handshape_annotations//test_auto_move//signs_mov_separ_signers/Tyler_275.mov" TargetMode="External"/><Relationship Id="rId2431" Type="http://schemas.openxmlformats.org/officeDocument/2006/relationships/hyperlink" Target="http://csr.bu.edu/ftp/asl/asllvd/demos/verify_start_end_handshape_annotations//test_auto_move//signs_mov_separ_signers/Naomi_275.mov" TargetMode="External"/><Relationship Id="rId2432" Type="http://schemas.openxmlformats.org/officeDocument/2006/relationships/hyperlink" Target="http://secrets.rutgers.edu:8080/data/asl-ftp/asllvd/demos/verify_start_end_handshape_annotations//test_auto_move//signs_mov_separ_signers/Naomi_275.mov" TargetMode="External"/><Relationship Id="rId2433" Type="http://schemas.openxmlformats.org/officeDocument/2006/relationships/hyperlink" Target="http://csr.bu.edu/ftp/asl/asllvd/demos/verify_start_end_handshape_annotations//test_auto_move//signs_mov_separ_signers/Brady_275.mov" TargetMode="External"/><Relationship Id="rId2434" Type="http://schemas.openxmlformats.org/officeDocument/2006/relationships/hyperlink" Target="http://secrets.rutgers.edu:8080/data/asl-ftp/asllvd/demos/verify_start_end_handshape_annotations//test_auto_move//signs_mov_separ_signers/Brady_275.mov" TargetMode="External"/><Relationship Id="rId2435" Type="http://schemas.openxmlformats.org/officeDocument/2006/relationships/hyperlink" Target="http://csr.bu.edu/ftp/asl/asllvd/demos/verify_start_end_handshape_annotations//test_auto_move//signs_mov_separ_signers/Liz_3455.mov" TargetMode="External"/><Relationship Id="rId2436" Type="http://schemas.openxmlformats.org/officeDocument/2006/relationships/hyperlink" Target="http://secrets.rutgers.edu:8080/data/asl-ftp/asllvd/demos/verify_start_end_handshape_annotations//test_auto_move//signs_mov_separ_signers/Liz_3455.mov" TargetMode="External"/><Relationship Id="rId2437" Type="http://schemas.openxmlformats.org/officeDocument/2006/relationships/hyperlink" Target="http://csr.bu.edu/ftp/asl/asllvd/demos/verify_start_end_handshape_annotations//test_auto_move//signs_mov/3455_3470_5929_merged.mov" TargetMode="External"/><Relationship Id="rId2438" Type="http://schemas.openxmlformats.org/officeDocument/2006/relationships/hyperlink" Target="http://csr.bu.edu/ftp/asl/asllvd/demos/verify_start_end_handshape_annotations//test_auto_move//signs_mov_separ_signers/Brady_3455.mov" TargetMode="External"/><Relationship Id="rId2439" Type="http://schemas.openxmlformats.org/officeDocument/2006/relationships/hyperlink" Target="http://secrets.rutgers.edu:8080/data/asl-ftp/asllvd/demos/verify_start_end_handshape_annotations//test_auto_move//signs_mov/3455_3470_5929_merged.mov" TargetMode="External"/><Relationship Id="rId2440" Type="http://schemas.openxmlformats.org/officeDocument/2006/relationships/hyperlink" Target="http://secrets.rutgers.edu:8080/data/asl-ftp/asllvd/demos/verify_start_end_handshape_annotations//test_auto_move//signs_mov_separ_signers/Brady_3455.mov" TargetMode="External"/><Relationship Id="rId2441" Type="http://schemas.openxmlformats.org/officeDocument/2006/relationships/hyperlink" Target="http://csr.bu.edu/ftp/asl/asllvd/demos/verify_start_end_handshape_annotations//test_auto_move//signs_mov_separ_signers/Brady_3470.mov" TargetMode="External"/><Relationship Id="rId2442" Type="http://schemas.openxmlformats.org/officeDocument/2006/relationships/hyperlink" Target="http://secrets.rutgers.edu:8080/data/asl-ftp/asllvd/demos/verify_start_end_handshape_annotations//test_auto_move//signs_mov_separ_signers/Brady_3470.mov" TargetMode="External"/><Relationship Id="rId2443" Type="http://schemas.openxmlformats.org/officeDocument/2006/relationships/hyperlink" Target="http://csr.bu.edu/ftp/asl/asllvd/demos/verify_start_end_handshape_annotations//test_auto_move//signs_mov_separ_signers/Brady_5929.mov" TargetMode="External"/><Relationship Id="rId2444" Type="http://schemas.openxmlformats.org/officeDocument/2006/relationships/hyperlink" Target="http://secrets.rutgers.edu:8080/data/asl-ftp/asllvd/demos/verify_start_end_handshape_annotations//test_auto_move//signs_mov_separ_signers/Brady_5929.mov" TargetMode="External"/><Relationship Id="rId2445" Type="http://schemas.openxmlformats.org/officeDocument/2006/relationships/hyperlink" Target="http://csr.bu.edu/ftp/asl/asllvd/demos/verify_start_end_handshape_annotations//test_auto_move//signs_mov_separ_signers/Tyler_277.mov" TargetMode="External"/><Relationship Id="rId2446" Type="http://schemas.openxmlformats.org/officeDocument/2006/relationships/hyperlink" Target="http://secrets.rutgers.edu:8080/data/asl-ftp/asllvd/demos/verify_start_end_handshape_annotations//test_auto_move//signs_mov_separ_signers/Tyler_277.mov" TargetMode="External"/><Relationship Id="rId2447" Type="http://schemas.openxmlformats.org/officeDocument/2006/relationships/hyperlink" Target="http://csr.bu.edu/ftp/asl/asllvd/demos/verify_start_end_handshape_annotations//test_auto_move//signs_mov/277_3950_3992_merged.mov" TargetMode="External"/><Relationship Id="rId2448" Type="http://schemas.openxmlformats.org/officeDocument/2006/relationships/hyperlink" Target="http://csr.bu.edu/ftp/asl/asllvd/demos/verify_start_end_handshape_annotations//test_auto_move//signs_mov_separ_signers/Brady_277.mov" TargetMode="External"/><Relationship Id="rId2449" Type="http://schemas.openxmlformats.org/officeDocument/2006/relationships/hyperlink" Target="http://secrets.rutgers.edu:8080/data/asl-ftp/asllvd/demos/verify_start_end_handshape_annotations//test_auto_move//signs_mov/277_3950_3992_merged.mov" TargetMode="External"/><Relationship Id="rId2450" Type="http://schemas.openxmlformats.org/officeDocument/2006/relationships/hyperlink" Target="http://secrets.rutgers.edu:8080/data/asl-ftp/asllvd/demos/verify_start_end_handshape_annotations//test_auto_move//signs_mov_separ_signers/Brady_277.mov" TargetMode="External"/><Relationship Id="rId2451" Type="http://schemas.openxmlformats.org/officeDocument/2006/relationships/hyperlink" Target="http://csr.bu.edu/ftp/asl/asllvd/demos/verify_start_end_handshape_annotations//test_auto_move//signs_mov_separ_signers/Brady_3950.mov" TargetMode="External"/><Relationship Id="rId2452" Type="http://schemas.openxmlformats.org/officeDocument/2006/relationships/hyperlink" Target="http://secrets.rutgers.edu:8080/data/asl-ftp/asllvd/demos/verify_start_end_handshape_annotations//test_auto_move//signs_mov_separ_signers/Brady_3950.mov" TargetMode="External"/><Relationship Id="rId2453" Type="http://schemas.openxmlformats.org/officeDocument/2006/relationships/hyperlink" Target="http://csr.bu.edu/ftp/asl/asllvd/demos/verify_start_end_handshape_annotations//test_auto_move//signs_mov_separ_signers/Brady_3992.mov" TargetMode="External"/><Relationship Id="rId2454" Type="http://schemas.openxmlformats.org/officeDocument/2006/relationships/hyperlink" Target="http://secrets.rutgers.edu:8080/data/asl-ftp/asllvd/demos/verify_start_end_handshape_annotations//test_auto_move//signs_mov_separ_signers/Brady_3992.mov" TargetMode="External"/><Relationship Id="rId2455" Type="http://schemas.openxmlformats.org/officeDocument/2006/relationships/hyperlink" Target="http://csr.bu.edu/ftp/asl/asllvd/demos/verify_start_end_handshape_annotations//test_auto_move//signs_mov_separ_signers/Liz_278.mov" TargetMode="External"/><Relationship Id="rId2456" Type="http://schemas.openxmlformats.org/officeDocument/2006/relationships/hyperlink" Target="http://secrets.rutgers.edu:8080/data/asl-ftp/asllvd/demos/verify_start_end_handshape_annotations//test_auto_move//signs_mov_separ_signers/Liz_278.mov" TargetMode="External"/><Relationship Id="rId2457" Type="http://schemas.openxmlformats.org/officeDocument/2006/relationships/hyperlink" Target="http://csr.bu.edu/ftp/asl/asllvd/demos/verify_start_end_handshape_annotations//test_auto_move//signs_mov/278.mov" TargetMode="External"/><Relationship Id="rId2458" Type="http://schemas.openxmlformats.org/officeDocument/2006/relationships/hyperlink" Target="http://csr.bu.edu/ftp/asl/asllvd/demos/verify_start_end_handshape_annotations//test_auto_move//signs_mov_separ_signers/Tyler_278.mov" TargetMode="External"/><Relationship Id="rId2459" Type="http://schemas.openxmlformats.org/officeDocument/2006/relationships/hyperlink" Target="http://secrets.rutgers.edu:8080/data/asl-ftp/asllvd/demos/verify_start_end_handshape_annotations//test_auto_move//signs_mov/278.mov" TargetMode="External"/><Relationship Id="rId2460" Type="http://schemas.openxmlformats.org/officeDocument/2006/relationships/hyperlink" Target="http://secrets.rutgers.edu:8080/data/asl-ftp/asllvd/demos/verify_start_end_handshape_annotations//test_auto_move//signs_mov_separ_signers/Tyler_278.mov" TargetMode="External"/><Relationship Id="rId2461" Type="http://schemas.openxmlformats.org/officeDocument/2006/relationships/hyperlink" Target="http://csr.bu.edu/ftp/asl/asllvd/demos/verify_start_end_handshape_annotations//test_auto_move//signs_mov_separ_signers/Naomi_278.mov" TargetMode="External"/><Relationship Id="rId2462" Type="http://schemas.openxmlformats.org/officeDocument/2006/relationships/hyperlink" Target="http://secrets.rutgers.edu:8080/data/asl-ftp/asllvd/demos/verify_start_end_handshape_annotations//test_auto_move//signs_mov_separ_signers/Naomi_278.mov" TargetMode="External"/><Relationship Id="rId2463" Type="http://schemas.openxmlformats.org/officeDocument/2006/relationships/hyperlink" Target="http://csr.bu.edu/ftp/asl/asllvd/demos/verify_start_end_handshape_annotations//test_auto_move//signs_mov_separ_signers/Brady_278.mov" TargetMode="External"/><Relationship Id="rId2464" Type="http://schemas.openxmlformats.org/officeDocument/2006/relationships/hyperlink" Target="http://secrets.rutgers.edu:8080/data/asl-ftp/asllvd/demos/verify_start_end_handshape_annotations//test_auto_move//signs_mov_separ_signers/Brady_278.mov" TargetMode="External"/><Relationship Id="rId2465" Type="http://schemas.openxmlformats.org/officeDocument/2006/relationships/hyperlink" Target="http://csr.bu.edu/ftp/asl/asllvd/demos/verify_start_end_handshape_annotations//test_auto_move//signs_mov_separ_signers/Liz_280.mov" TargetMode="External"/><Relationship Id="rId2466" Type="http://schemas.openxmlformats.org/officeDocument/2006/relationships/hyperlink" Target="http://secrets.rutgers.edu:8080/data/asl-ftp/asllvd/demos/verify_start_end_handshape_annotations//test_auto_move//signs_mov_separ_signers/Liz_280.mov" TargetMode="External"/><Relationship Id="rId2467" Type="http://schemas.openxmlformats.org/officeDocument/2006/relationships/hyperlink" Target="http://csr.bu.edu/ftp/asl/asllvd/demos/verify_start_end_handshape_annotations//test_auto_move//signs_mov/280.mov" TargetMode="External"/><Relationship Id="rId2468" Type="http://schemas.openxmlformats.org/officeDocument/2006/relationships/hyperlink" Target="http://csr.bu.edu/ftp/asl/asllvd/demos/verify_start_end_handshape_annotations//test_auto_move//signs_mov_separ_signers/Tyler_280.mov" TargetMode="External"/><Relationship Id="rId2469" Type="http://schemas.openxmlformats.org/officeDocument/2006/relationships/hyperlink" Target="http://secrets.rutgers.edu:8080/data/asl-ftp/asllvd/demos/verify_start_end_handshape_annotations//test_auto_move//signs_mov/280.mov" TargetMode="External"/><Relationship Id="rId2470" Type="http://schemas.openxmlformats.org/officeDocument/2006/relationships/hyperlink" Target="http://secrets.rutgers.edu:8080/data/asl-ftp/asllvd/demos/verify_start_end_handshape_annotations//test_auto_move//signs_mov_separ_signers/Tyler_280.mov" TargetMode="External"/><Relationship Id="rId2471" Type="http://schemas.openxmlformats.org/officeDocument/2006/relationships/hyperlink" Target="http://csr.bu.edu/ftp/asl/asllvd/demos/verify_start_end_handshape_annotations//test_auto_move//signs_mov_separ_signers/Naomi_280.mov" TargetMode="External"/><Relationship Id="rId2472" Type="http://schemas.openxmlformats.org/officeDocument/2006/relationships/hyperlink" Target="http://secrets.rutgers.edu:8080/data/asl-ftp/asllvd/demos/verify_start_end_handshape_annotations//test_auto_move//signs_mov_separ_signers/Naomi_280.mov" TargetMode="External"/><Relationship Id="rId2473" Type="http://schemas.openxmlformats.org/officeDocument/2006/relationships/hyperlink" Target="http://csr.bu.edu/ftp/asl/asllvd/demos/verify_start_end_handshape_annotations//test_auto_move//signs_mov/3580.mov" TargetMode="External"/><Relationship Id="rId2474" Type="http://schemas.openxmlformats.org/officeDocument/2006/relationships/hyperlink" Target="http://csr.bu.edu/ftp/asl/asllvd/demos/verify_start_end_handshape_annotations//test_auto_move//signs_mov_separ_signers/Liz_3580.mov" TargetMode="External"/><Relationship Id="rId2475" Type="http://schemas.openxmlformats.org/officeDocument/2006/relationships/hyperlink" Target="http://secrets.rutgers.edu:8080/data/asl-ftp/asllvd/demos/verify_start_end_handshape_annotations//test_auto_move//signs_mov/3580.mov" TargetMode="External"/><Relationship Id="rId2476" Type="http://schemas.openxmlformats.org/officeDocument/2006/relationships/hyperlink" Target="http://secrets.rutgers.edu:8080/data/asl-ftp/asllvd/demos/verify_start_end_handshape_annotations//test_auto_move//signs_mov_separ_signers/Liz_3580.mov" TargetMode="External"/><Relationship Id="rId2477" Type="http://schemas.openxmlformats.org/officeDocument/2006/relationships/hyperlink" Target="http://csr.bu.edu/ftp/asl/asllvd/demos/verify_start_end_handshape_annotations//test_auto_move//signs_mov_separ_signers/Liz_15320.mov" TargetMode="External"/><Relationship Id="rId2478" Type="http://schemas.openxmlformats.org/officeDocument/2006/relationships/hyperlink" Target="http://secrets.rutgers.edu:8080/data/asl-ftp/asllvd/demos/verify_start_end_handshape_annotations//test_auto_move//signs_mov_separ_signers/Liz_15320.mov" TargetMode="External"/><Relationship Id="rId2479" Type="http://schemas.openxmlformats.org/officeDocument/2006/relationships/hyperlink" Target="http://csr.bu.edu/ftp/asl/asllvd/demos/verify_start_end_handshape_annotations//test_auto_move//signs_mov_separ_signers/Liz_15330.mov" TargetMode="External"/><Relationship Id="rId2480" Type="http://schemas.openxmlformats.org/officeDocument/2006/relationships/hyperlink" Target="http://secrets.rutgers.edu:8080/data/asl-ftp/asllvd/demos/verify_start_end_handshape_annotations//test_auto_move//signs_mov_separ_signers/Liz_15330.mov" TargetMode="External"/><Relationship Id="rId2481" Type="http://schemas.openxmlformats.org/officeDocument/2006/relationships/hyperlink" Target="http://csr.bu.edu/ftp/asl/asllvd/demos/verify_start_end_handshape_annotations//test_auto_move//signs_mov_separ_signers/Naomi_15320.mov" TargetMode="External"/><Relationship Id="rId2482" Type="http://schemas.openxmlformats.org/officeDocument/2006/relationships/hyperlink" Target="http://secrets.rutgers.edu:8080/data/asl-ftp/asllvd/demos/verify_start_end_handshape_annotations//test_auto_move//signs_mov_separ_signers/Naomi_15320.mov" TargetMode="External"/><Relationship Id="rId2483" Type="http://schemas.openxmlformats.org/officeDocument/2006/relationships/hyperlink" Target="http://csr.bu.edu/ftp/asl/asllvd/demos/verify_start_end_handshape_annotations//test_auto_move//signs_mov/15320_15330_15334_merged.mov" TargetMode="External"/><Relationship Id="rId2484" Type="http://schemas.openxmlformats.org/officeDocument/2006/relationships/hyperlink" Target="http://csr.bu.edu/ftp/asl/asllvd/demos/verify_start_end_handshape_annotations//test_auto_move//signs_mov_separ_signers/Naomi_15330.mov" TargetMode="External"/><Relationship Id="rId2485" Type="http://schemas.openxmlformats.org/officeDocument/2006/relationships/hyperlink" Target="http://secrets.rutgers.edu:8080/data/asl-ftp/asllvd/demos/verify_start_end_handshape_annotations//test_auto_move//signs_mov/15320_15330_15334_merged.mov" TargetMode="External"/><Relationship Id="rId2486" Type="http://schemas.openxmlformats.org/officeDocument/2006/relationships/hyperlink" Target="http://secrets.rutgers.edu:8080/data/asl-ftp/asllvd/demos/verify_start_end_handshape_annotations//test_auto_move//signs_mov_separ_signers/Naomi_15330.mov" TargetMode="External"/><Relationship Id="rId2487" Type="http://schemas.openxmlformats.org/officeDocument/2006/relationships/hyperlink" Target="http://csr.bu.edu/ftp/asl/asllvd/demos/verify_start_end_handshape_annotations//test_auto_move//signs_mov_separ_signers/Brady_15320.mov" TargetMode="External"/><Relationship Id="rId2488" Type="http://schemas.openxmlformats.org/officeDocument/2006/relationships/hyperlink" Target="http://secrets.rutgers.edu:8080/data/asl-ftp/asllvd/demos/verify_start_end_handshape_annotations//test_auto_move//signs_mov_separ_signers/Brady_15320.mov" TargetMode="External"/><Relationship Id="rId2489" Type="http://schemas.openxmlformats.org/officeDocument/2006/relationships/hyperlink" Target="http://csr.bu.edu/ftp/asl/asllvd/demos/verify_start_end_handshape_annotations//test_auto_move//signs_mov_separ_signers/Brady_15330.mov" TargetMode="External"/><Relationship Id="rId2490" Type="http://schemas.openxmlformats.org/officeDocument/2006/relationships/hyperlink" Target="http://secrets.rutgers.edu:8080/data/asl-ftp/asllvd/demos/verify_start_end_handshape_annotations//test_auto_move//signs_mov_separ_signers/Brady_15330.mov" TargetMode="External"/><Relationship Id="rId2491" Type="http://schemas.openxmlformats.org/officeDocument/2006/relationships/hyperlink" Target="http://csr.bu.edu/ftp/asl/asllvd/demos/verify_start_end_handshape_annotations//test_auto_move//signs_mov_separ_signers/Brady_15334.mov" TargetMode="External"/><Relationship Id="rId2492" Type="http://schemas.openxmlformats.org/officeDocument/2006/relationships/hyperlink" Target="http://secrets.rutgers.edu:8080/data/asl-ftp/asllvd/demos/verify_start_end_handshape_annotations//test_auto_move//signs_mov_separ_signers/Brady_15334.mov" TargetMode="External"/><Relationship Id="rId2493" Type="http://schemas.openxmlformats.org/officeDocument/2006/relationships/hyperlink" Target="http://csr.bu.edu/ftp/asl/asllvd/demos/verify_start_end_handshape_annotations//test_auto_move//signs_mov/15335.mov" TargetMode="External"/><Relationship Id="rId2494" Type="http://schemas.openxmlformats.org/officeDocument/2006/relationships/hyperlink" Target="http://csr.bu.edu/ftp/asl/asllvd/demos/verify_start_end_handshape_annotations//test_auto_move//signs_mov_separ_signers/Brady_15335.mov" TargetMode="External"/><Relationship Id="rId2495" Type="http://schemas.openxmlformats.org/officeDocument/2006/relationships/hyperlink" Target="http://secrets.rutgers.edu:8080/data/asl-ftp/asllvd/demos/verify_start_end_handshape_annotations//test_auto_move//signs_mov/15335.mov" TargetMode="External"/><Relationship Id="rId2496" Type="http://schemas.openxmlformats.org/officeDocument/2006/relationships/hyperlink" Target="http://secrets.rutgers.edu:8080/data/asl-ftp/asllvd/demos/verify_start_end_handshape_annotations//test_auto_move//signs_mov_separ_signers/Brady_15335.mov" TargetMode="External"/><Relationship Id="rId2497" Type="http://schemas.openxmlformats.org/officeDocument/2006/relationships/hyperlink" Target="http://csr.bu.edu/ftp/asl/asllvd/demos/verify_start_end_handshape_annotations//test_auto_move//signs_mov_separ_signers/Liz_282.mov" TargetMode="External"/><Relationship Id="rId2498" Type="http://schemas.openxmlformats.org/officeDocument/2006/relationships/hyperlink" Target="http://secrets.rutgers.edu:8080/data/asl-ftp/asllvd/demos/verify_start_end_handshape_annotations//test_auto_move//signs_mov_separ_signers/Liz_282.mov" TargetMode="External"/><Relationship Id="rId2499" Type="http://schemas.openxmlformats.org/officeDocument/2006/relationships/hyperlink" Target="http://csr.bu.edu/ftp/asl/asllvd/demos/verify_start_end_handshape_annotations//test_auto_move//signs_mov/282.mov" TargetMode="External"/><Relationship Id="rId2500" Type="http://schemas.openxmlformats.org/officeDocument/2006/relationships/hyperlink" Target="http://csr.bu.edu/ftp/asl/asllvd/demos/verify_start_end_handshape_annotations//test_auto_move//signs_mov_separ_signers/Tyler_282.mov" TargetMode="External"/><Relationship Id="rId2501" Type="http://schemas.openxmlformats.org/officeDocument/2006/relationships/hyperlink" Target="http://secrets.rutgers.edu:8080/data/asl-ftp/asllvd/demos/verify_start_end_handshape_annotations//test_auto_move//signs_mov/282.mov" TargetMode="External"/><Relationship Id="rId2502" Type="http://schemas.openxmlformats.org/officeDocument/2006/relationships/hyperlink" Target="http://secrets.rutgers.edu:8080/data/asl-ftp/asllvd/demos/verify_start_end_handshape_annotations//test_auto_move//signs_mov_separ_signers/Tyler_282.mov" TargetMode="External"/><Relationship Id="rId2503" Type="http://schemas.openxmlformats.org/officeDocument/2006/relationships/hyperlink" Target="http://csr.bu.edu/ftp/asl/asllvd/demos/verify_start_end_handshape_annotations//test_auto_move//signs_mov_separ_signers/Naomi_282.mov" TargetMode="External"/><Relationship Id="rId2504" Type="http://schemas.openxmlformats.org/officeDocument/2006/relationships/hyperlink" Target="http://secrets.rutgers.edu:8080/data/asl-ftp/asllvd/demos/verify_start_end_handshape_annotations//test_auto_move//signs_mov_separ_signers/Naomi_282.mov" TargetMode="External"/><Relationship Id="rId2505" Type="http://schemas.openxmlformats.org/officeDocument/2006/relationships/hyperlink" Target="http://csr.bu.edu/ftp/asl/asllvd/demos/verify_start_end_handshape_annotations//test_auto_move//signs_mov_separ_signers/Liz_283.mov" TargetMode="External"/><Relationship Id="rId2506" Type="http://schemas.openxmlformats.org/officeDocument/2006/relationships/hyperlink" Target="http://secrets.rutgers.edu:8080/data/asl-ftp/asllvd/demos/verify_start_end_handshape_annotations//test_auto_move//signs_mov_separ_signers/Liz_283.mov" TargetMode="External"/><Relationship Id="rId2507" Type="http://schemas.openxmlformats.org/officeDocument/2006/relationships/hyperlink" Target="http://csr.bu.edu/ftp/asl/asllvd/demos/verify_start_end_handshape_annotations//test_auto_move//signs_mov_separ_signers/Tyler_283.mov" TargetMode="External"/><Relationship Id="rId2508" Type="http://schemas.openxmlformats.org/officeDocument/2006/relationships/hyperlink" Target="http://secrets.rutgers.edu:8080/data/asl-ftp/asllvd/demos/verify_start_end_handshape_annotations//test_auto_move//signs_mov_separ_signers/Tyler_283.mov" TargetMode="External"/><Relationship Id="rId2509" Type="http://schemas.openxmlformats.org/officeDocument/2006/relationships/hyperlink" Target="http://csr.bu.edu/ftp/asl/asllvd/demos/verify_start_end_handshape_annotations//test_auto_move//signs_mov_separ_signers/Naomi_283.mov" TargetMode="External"/><Relationship Id="rId2510" Type="http://schemas.openxmlformats.org/officeDocument/2006/relationships/hyperlink" Target="http://secrets.rutgers.edu:8080/data/asl-ftp/asllvd/demos/verify_start_end_handshape_annotations//test_auto_move//signs_mov_separ_signers/Naomi_283.mov" TargetMode="External"/><Relationship Id="rId2511" Type="http://schemas.openxmlformats.org/officeDocument/2006/relationships/hyperlink" Target="http://csr.bu.edu/ftp/asl/asllvd/demos/verify_start_end_handshape_annotations//test_auto_move//signs_mov/283_3998_16398_merged.mov" TargetMode="External"/><Relationship Id="rId2512" Type="http://schemas.openxmlformats.org/officeDocument/2006/relationships/hyperlink" Target="http://csr.bu.edu/ftp/asl/asllvd/demos/verify_start_end_handshape_annotations//test_auto_move//signs_mov_separ_signers/Brady_283.mov" TargetMode="External"/><Relationship Id="rId2513" Type="http://schemas.openxmlformats.org/officeDocument/2006/relationships/hyperlink" Target="http://secrets.rutgers.edu:8080/data/asl-ftp/asllvd/demos/verify_start_end_handshape_annotations//test_auto_move//signs_mov/283_3998_16398_merged.mov" TargetMode="External"/><Relationship Id="rId2514" Type="http://schemas.openxmlformats.org/officeDocument/2006/relationships/hyperlink" Target="http://secrets.rutgers.edu:8080/data/asl-ftp/asllvd/demos/verify_start_end_handshape_annotations//test_auto_move//signs_mov_separ_signers/Brady_283.mov" TargetMode="External"/><Relationship Id="rId2515" Type="http://schemas.openxmlformats.org/officeDocument/2006/relationships/hyperlink" Target="http://csr.bu.edu/ftp/asl/asllvd/demos/verify_start_end_handshape_annotations//test_auto_move//signs_mov_separ_signers/Brady_3998.mov" TargetMode="External"/><Relationship Id="rId2516" Type="http://schemas.openxmlformats.org/officeDocument/2006/relationships/hyperlink" Target="http://secrets.rutgers.edu:8080/data/asl-ftp/asllvd/demos/verify_start_end_handshape_annotations//test_auto_move//signs_mov_separ_signers/Brady_3998.mov" TargetMode="External"/><Relationship Id="rId2517" Type="http://schemas.openxmlformats.org/officeDocument/2006/relationships/hyperlink" Target="http://csr.bu.edu/ftp/asl/asllvd/demos/verify_start_end_handshape_annotations//test_auto_move//signs_mov_separ_signers/Brady_16398.mov" TargetMode="External"/><Relationship Id="rId2518" Type="http://schemas.openxmlformats.org/officeDocument/2006/relationships/hyperlink" Target="http://secrets.rutgers.edu:8080/data/asl-ftp/asllvd/demos/verify_start_end_handshape_annotations//test_auto_move//signs_mov_separ_signers/Brady_16398.mov" TargetMode="External"/><Relationship Id="rId2519" Type="http://schemas.openxmlformats.org/officeDocument/2006/relationships/hyperlink" Target="http://csr.bu.edu/ftp/asl/asllvd/demos/verify_start_end_handshape_annotations//test_auto_move//signs_mov_separ_signers/Lana_283.mov" TargetMode="External"/><Relationship Id="rId2520" Type="http://schemas.openxmlformats.org/officeDocument/2006/relationships/hyperlink" Target="http://secrets.rutgers.edu:8080/data/asl-ftp/asllvd/demos/verify_start_end_handshape_annotations//test_auto_move//signs_mov_separ_signers/Lana_283.mov" TargetMode="External"/><Relationship Id="rId2521" Type="http://schemas.openxmlformats.org/officeDocument/2006/relationships/hyperlink" Target="http://csr.bu.edu/ftp/asl/asllvd/demos/verify_start_end_handshape_annotations//test_auto_move//signs_mov_separ_signers/Dana_283.mov" TargetMode="External"/><Relationship Id="rId2522" Type="http://schemas.openxmlformats.org/officeDocument/2006/relationships/hyperlink" Target="http://secrets.rutgers.edu:8080/data/asl-ftp/asllvd/demos/verify_start_end_handshape_annotations//test_auto_move//signs_mov_separ_signers/Dana_283.mov" TargetMode="External"/><Relationship Id="rId2523" Type="http://schemas.openxmlformats.org/officeDocument/2006/relationships/hyperlink" Target="http://csr.bu.edu/ftp/asl/asllvd/demos/verify_start_end_handshape_annotations//test_auto_move//signs_mov_separ_signers/Liz_286.mov" TargetMode="External"/><Relationship Id="rId2524" Type="http://schemas.openxmlformats.org/officeDocument/2006/relationships/hyperlink" Target="http://secrets.rutgers.edu:8080/data/asl-ftp/asllvd/demos/verify_start_end_handshape_annotations//test_auto_move//signs_mov_separ_signers/Liz_286.mov" TargetMode="External"/><Relationship Id="rId2525" Type="http://schemas.openxmlformats.org/officeDocument/2006/relationships/hyperlink" Target="http://csr.bu.edu/ftp/asl/asllvd/demos/verify_start_end_handshape_annotations//test_auto_move//signs_mov/286.mov" TargetMode="External"/><Relationship Id="rId2526" Type="http://schemas.openxmlformats.org/officeDocument/2006/relationships/hyperlink" Target="http://csr.bu.edu/ftp/asl/asllvd/demos/verify_start_end_handshape_annotations//test_auto_move//signs_mov_separ_signers/Tyler_286.mov" TargetMode="External"/><Relationship Id="rId2527" Type="http://schemas.openxmlformats.org/officeDocument/2006/relationships/hyperlink" Target="http://secrets.rutgers.edu:8080/data/asl-ftp/asllvd/demos/verify_start_end_handshape_annotations//test_auto_move//signs_mov/286.mov" TargetMode="External"/><Relationship Id="rId2528" Type="http://schemas.openxmlformats.org/officeDocument/2006/relationships/hyperlink" Target="http://secrets.rutgers.edu:8080/data/asl-ftp/asllvd/demos/verify_start_end_handshape_annotations//test_auto_move//signs_mov_separ_signers/Tyler_286.mov" TargetMode="External"/><Relationship Id="rId2529" Type="http://schemas.openxmlformats.org/officeDocument/2006/relationships/hyperlink" Target="http://csr.bu.edu/ftp/asl/asllvd/demos/verify_start_end_handshape_annotations//test_auto_move//signs_mov_separ_signers/Brady_286.mov" TargetMode="External"/><Relationship Id="rId2530" Type="http://schemas.openxmlformats.org/officeDocument/2006/relationships/hyperlink" Target="http://secrets.rutgers.edu:8080/data/asl-ftp/asllvd/demos/verify_start_end_handshape_annotations//test_auto_move//signs_mov_separ_signers/Brady_286.mov" TargetMode="External"/><Relationship Id="rId2531" Type="http://schemas.openxmlformats.org/officeDocument/2006/relationships/hyperlink" Target="http://csr.bu.edu/ftp/asl/asllvd/demos/verify_start_end_handshape_annotations//test_auto_move//signs_mov/15386.mov" TargetMode="External"/><Relationship Id="rId2532" Type="http://schemas.openxmlformats.org/officeDocument/2006/relationships/hyperlink" Target="http://csr.bu.edu/ftp/asl/asllvd/demos/verify_start_end_handshape_annotations//test_auto_move//signs_mov_separ_signers/Naomi_15386.mov" TargetMode="External"/><Relationship Id="rId2533" Type="http://schemas.openxmlformats.org/officeDocument/2006/relationships/hyperlink" Target="http://secrets.rutgers.edu:8080/data/asl-ftp/asllvd/demos/verify_start_end_handshape_annotations//test_auto_move//signs_mov/15386.mov" TargetMode="External"/><Relationship Id="rId2534" Type="http://schemas.openxmlformats.org/officeDocument/2006/relationships/hyperlink" Target="http://secrets.rutgers.edu:8080/data/asl-ftp/asllvd/demos/verify_start_end_handshape_annotations//test_auto_move//signs_mov_separ_signers/Naomi_15386.mov" TargetMode="External"/><Relationship Id="rId2535" Type="http://schemas.openxmlformats.org/officeDocument/2006/relationships/hyperlink" Target="http://csr.bu.edu/ftp/asl/asllvd/demos/verify_start_end_handshape_annotations//test_auto_move//signs_mov_separ_signers/Liz_15388.mov" TargetMode="External"/><Relationship Id="rId2536" Type="http://schemas.openxmlformats.org/officeDocument/2006/relationships/hyperlink" Target="http://secrets.rutgers.edu:8080/data/asl-ftp/asllvd/demos/verify_start_end_handshape_annotations//test_auto_move//signs_mov_separ_signers/Liz_15388.mov" TargetMode="External"/><Relationship Id="rId2537" Type="http://schemas.openxmlformats.org/officeDocument/2006/relationships/hyperlink" Target="http://csr.bu.edu/ftp/asl/asllvd/demos/verify_start_end_handshape_annotations//test_auto_move//signs_mov/15388_16243_merged.mov" TargetMode="External"/><Relationship Id="rId2538" Type="http://schemas.openxmlformats.org/officeDocument/2006/relationships/hyperlink" Target="http://csr.bu.edu/ftp/asl/asllvd/demos/verify_start_end_handshape_annotations//test_auto_move//signs_mov_separ_signers/Tyler_15388.mov" TargetMode="External"/><Relationship Id="rId2539" Type="http://schemas.openxmlformats.org/officeDocument/2006/relationships/hyperlink" Target="http://secrets.rutgers.edu:8080/data/asl-ftp/asllvd/demos/verify_start_end_handshape_annotations//test_auto_move//signs_mov/15388_16243_merged.mov" TargetMode="External"/><Relationship Id="rId2540" Type="http://schemas.openxmlformats.org/officeDocument/2006/relationships/hyperlink" Target="http://secrets.rutgers.edu:8080/data/asl-ftp/asllvd/demos/verify_start_end_handshape_annotations//test_auto_move//signs_mov_separ_signers/Tyler_15388.mov" TargetMode="External"/><Relationship Id="rId2541" Type="http://schemas.openxmlformats.org/officeDocument/2006/relationships/hyperlink" Target="http://csr.bu.edu/ftp/asl/asllvd/demos/verify_start_end_handshape_annotations//test_auto_move//signs_mov_separ_signers/Brady_15388.mov" TargetMode="External"/><Relationship Id="rId2542" Type="http://schemas.openxmlformats.org/officeDocument/2006/relationships/hyperlink" Target="http://secrets.rutgers.edu:8080/data/asl-ftp/asllvd/demos/verify_start_end_handshape_annotations//test_auto_move//signs_mov_separ_signers/Brady_15388.mov" TargetMode="External"/><Relationship Id="rId2543" Type="http://schemas.openxmlformats.org/officeDocument/2006/relationships/hyperlink" Target="http://csr.bu.edu/ftp/asl/asllvd/demos/verify_start_end_handshape_annotations//test_auto_move//signs_mov_separ_signers/Brady_16243.mov" TargetMode="External"/><Relationship Id="rId2544" Type="http://schemas.openxmlformats.org/officeDocument/2006/relationships/hyperlink" Target="http://secrets.rutgers.edu:8080/data/asl-ftp/asllvd/demos/verify_start_end_handshape_annotations//test_auto_move//signs_mov_separ_signers/Brady_16243.mov" TargetMode="External"/><Relationship Id="rId2545" Type="http://schemas.openxmlformats.org/officeDocument/2006/relationships/hyperlink" Target="http://csr.bu.edu/ftp/asl/asllvd/demos/verify_start_end_handshape_annotations//test_auto_move//signs_mov/16244.mov" TargetMode="External"/><Relationship Id="rId2546" Type="http://schemas.openxmlformats.org/officeDocument/2006/relationships/hyperlink" Target="http://csr.bu.edu/ftp/asl/asllvd/demos/verify_start_end_handshape_annotations//test_auto_move//signs_mov_separ_signers/Naomi_16244.mov" TargetMode="External"/><Relationship Id="rId2547" Type="http://schemas.openxmlformats.org/officeDocument/2006/relationships/hyperlink" Target="http://secrets.rutgers.edu:8080/data/asl-ftp/asllvd/demos/verify_start_end_handshape_annotations//test_auto_move//signs_mov/16244.mov" TargetMode="External"/><Relationship Id="rId2548" Type="http://schemas.openxmlformats.org/officeDocument/2006/relationships/hyperlink" Target="http://secrets.rutgers.edu:8080/data/asl-ftp/asllvd/demos/verify_start_end_handshape_annotations//test_auto_move//signs_mov_separ_signers/Naomi_16244.mov" TargetMode="External"/><Relationship Id="rId2549" Type="http://schemas.openxmlformats.org/officeDocument/2006/relationships/hyperlink" Target="http://csr.bu.edu/ftp/asl/asllvd/demos/verify_start_end_handshape_annotations//test_auto_move//signs_mov_separ_signers/Liz_287.mov" TargetMode="External"/><Relationship Id="rId2550" Type="http://schemas.openxmlformats.org/officeDocument/2006/relationships/hyperlink" Target="http://secrets.rutgers.edu:8080/data/asl-ftp/asllvd/demos/verify_start_end_handshape_annotations//test_auto_move//signs_mov_separ_signers/Liz_287.mov" TargetMode="External"/><Relationship Id="rId2551" Type="http://schemas.openxmlformats.org/officeDocument/2006/relationships/hyperlink" Target="http://csr.bu.edu/ftp/asl/asllvd/demos/verify_start_end_handshape_annotations//test_auto_move//signs_mov/287.mov" TargetMode="External"/><Relationship Id="rId2552" Type="http://schemas.openxmlformats.org/officeDocument/2006/relationships/hyperlink" Target="http://csr.bu.edu/ftp/asl/asllvd/demos/verify_start_end_handshape_annotations//test_auto_move//signs_mov_separ_signers/Tyler_287.mov" TargetMode="External"/><Relationship Id="rId2553" Type="http://schemas.openxmlformats.org/officeDocument/2006/relationships/hyperlink" Target="http://secrets.rutgers.edu:8080/data/asl-ftp/asllvd/demos/verify_start_end_handshape_annotations//test_auto_move//signs_mov/287.mov" TargetMode="External"/><Relationship Id="rId2554" Type="http://schemas.openxmlformats.org/officeDocument/2006/relationships/hyperlink" Target="http://secrets.rutgers.edu:8080/data/asl-ftp/asllvd/demos/verify_start_end_handshape_annotations//test_auto_move//signs_mov_separ_signers/Tyler_287.mov" TargetMode="External"/><Relationship Id="rId2555" Type="http://schemas.openxmlformats.org/officeDocument/2006/relationships/hyperlink" Target="http://csr.bu.edu/ftp/asl/asllvd/demos/verify_start_end_handshape_annotations//test_auto_move//signs_mov_separ_signers/Naomi_287.mov" TargetMode="External"/><Relationship Id="rId2556" Type="http://schemas.openxmlformats.org/officeDocument/2006/relationships/hyperlink" Target="http://secrets.rutgers.edu:8080/data/asl-ftp/asllvd/demos/verify_start_end_handshape_annotations//test_auto_move//signs_mov_separ_signers/Naomi_287.mov" TargetMode="External"/><Relationship Id="rId2557" Type="http://schemas.openxmlformats.org/officeDocument/2006/relationships/hyperlink" Target="http://csr.bu.edu/ftp/asl/asllvd/demos/verify_start_end_handshape_annotations//test_auto_move//signs_mov_separ_signers/Brady_287.mov" TargetMode="External"/><Relationship Id="rId2558" Type="http://schemas.openxmlformats.org/officeDocument/2006/relationships/hyperlink" Target="http://secrets.rutgers.edu:8080/data/asl-ftp/asllvd/demos/verify_start_end_handshape_annotations//test_auto_move//signs_mov_separ_signers/Brady_287.mov" TargetMode="External"/><Relationship Id="rId2559" Type="http://schemas.openxmlformats.org/officeDocument/2006/relationships/hyperlink" Target="http://csr.bu.edu/ftp/asl/asllvd/demos/verify_start_end_handshape_annotations//test_auto_move//signs_mov/15492.mov" TargetMode="External"/><Relationship Id="rId2560" Type="http://schemas.openxmlformats.org/officeDocument/2006/relationships/hyperlink" Target="http://csr.bu.edu/ftp/asl/asllvd/demos/verify_start_end_handshape_annotations//test_auto_move//signs_mov_separ_signers/Liz_15492.mov" TargetMode="External"/><Relationship Id="rId2561" Type="http://schemas.openxmlformats.org/officeDocument/2006/relationships/hyperlink" Target="http://secrets.rutgers.edu:8080/data/asl-ftp/asllvd/demos/verify_start_end_handshape_annotations//test_auto_move//signs_mov/15492.mov" TargetMode="External"/><Relationship Id="rId2562" Type="http://schemas.openxmlformats.org/officeDocument/2006/relationships/hyperlink" Target="http://secrets.rutgers.edu:8080/data/asl-ftp/asllvd/demos/verify_start_end_handshape_annotations//test_auto_move//signs_mov_separ_signers/Liz_15492.mov" TargetMode="External"/><Relationship Id="rId2563" Type="http://schemas.openxmlformats.org/officeDocument/2006/relationships/hyperlink" Target="http://csr.bu.edu/ftp/asl/asllvd/demos/verify_start_end_handshape_annotations//test_auto_move//signs_mov_separ_signers/Brady_15492.mov" TargetMode="External"/><Relationship Id="rId2564" Type="http://schemas.openxmlformats.org/officeDocument/2006/relationships/hyperlink" Target="http://secrets.rutgers.edu:8080/data/asl-ftp/asllvd/demos/verify_start_end_handshape_annotations//test_auto_move//signs_mov_separ_signers/Brady_15492.mov" TargetMode="External"/><Relationship Id="rId2565" Type="http://schemas.openxmlformats.org/officeDocument/2006/relationships/hyperlink" Target="http://csr.bu.edu/ftp/asl/asllvd/demos/verify_start_end_handshape_annotations//test_auto_move//signs_mov_separ_signers/Liz_288.mov" TargetMode="External"/><Relationship Id="rId2566" Type="http://schemas.openxmlformats.org/officeDocument/2006/relationships/hyperlink" Target="http://secrets.rutgers.edu:8080/data/asl-ftp/asllvd/demos/verify_start_end_handshape_annotations//test_auto_move//signs_mov_separ_signers/Liz_288.mov" TargetMode="External"/><Relationship Id="rId2567" Type="http://schemas.openxmlformats.org/officeDocument/2006/relationships/hyperlink" Target="http://csr.bu.edu/ftp/asl/asllvd/demos/verify_start_end_handshape_annotations//test_auto_move//signs_mov/288.mov" TargetMode="External"/><Relationship Id="rId2568" Type="http://schemas.openxmlformats.org/officeDocument/2006/relationships/hyperlink" Target="http://csr.bu.edu/ftp/asl/asllvd/demos/verify_start_end_handshape_annotations//test_auto_move//signs_mov_separ_signers/Tyler_288.mov" TargetMode="External"/><Relationship Id="rId2569" Type="http://schemas.openxmlformats.org/officeDocument/2006/relationships/hyperlink" Target="http://secrets.rutgers.edu:8080/data/asl-ftp/asllvd/demos/verify_start_end_handshape_annotations//test_auto_move//signs_mov/288.mov" TargetMode="External"/><Relationship Id="rId2570" Type="http://schemas.openxmlformats.org/officeDocument/2006/relationships/hyperlink" Target="http://secrets.rutgers.edu:8080/data/asl-ftp/asllvd/demos/verify_start_end_handshape_annotations//test_auto_move//signs_mov_separ_signers/Tyler_288.mov" TargetMode="External"/><Relationship Id="rId2571" Type="http://schemas.openxmlformats.org/officeDocument/2006/relationships/hyperlink" Target="http://csr.bu.edu/ftp/asl/asllvd/demos/verify_start_end_handshape_annotations//test_auto_move//signs_mov_separ_signers/Naomi_288.mov" TargetMode="External"/><Relationship Id="rId2572" Type="http://schemas.openxmlformats.org/officeDocument/2006/relationships/hyperlink" Target="http://secrets.rutgers.edu:8080/data/asl-ftp/asllvd/demos/verify_start_end_handshape_annotations//test_auto_move//signs_mov_separ_signers/Naomi_288.mov" TargetMode="External"/><Relationship Id="rId2573" Type="http://schemas.openxmlformats.org/officeDocument/2006/relationships/hyperlink" Target="http://csr.bu.edu/ftp/asl/asllvd/demos/verify_start_end_handshape_annotations//test_auto_move//signs_mov_separ_signers/Brady_288.mov" TargetMode="External"/><Relationship Id="rId2574" Type="http://schemas.openxmlformats.org/officeDocument/2006/relationships/hyperlink" Target="http://secrets.rutgers.edu:8080/data/asl-ftp/asllvd/demos/verify_start_end_handshape_annotations//test_auto_move//signs_mov_separ_signers/Brady_288.mov" TargetMode="External"/><Relationship Id="rId2575" Type="http://schemas.openxmlformats.org/officeDocument/2006/relationships/hyperlink" Target="http://csr.bu.edu/ftp/asl/asllvd/demos/verify_start_end_handshape_annotations//test_auto_move//signs_mov_separ_signers/Liz_5675.mov" TargetMode="External"/><Relationship Id="rId2576" Type="http://schemas.openxmlformats.org/officeDocument/2006/relationships/hyperlink" Target="http://secrets.rutgers.edu:8080/data/asl-ftp/asllvd/demos/verify_start_end_handshape_annotations//test_auto_move//signs_mov_separ_signers/Liz_5675.mov" TargetMode="External"/><Relationship Id="rId2577" Type="http://schemas.openxmlformats.org/officeDocument/2006/relationships/hyperlink" Target="http://csr.bu.edu/ftp/asl/asllvd/demos/verify_start_end_handshape_annotations//test_auto_move//signs_mov/5675.mov" TargetMode="External"/><Relationship Id="rId2578" Type="http://schemas.openxmlformats.org/officeDocument/2006/relationships/hyperlink" Target="http://csr.bu.edu/ftp/asl/asllvd/demos/verify_start_end_handshape_annotations//test_auto_move//signs_mov_separ_signers/Tyler_5675.mov" TargetMode="External"/><Relationship Id="rId2579" Type="http://schemas.openxmlformats.org/officeDocument/2006/relationships/hyperlink" Target="http://secrets.rutgers.edu:8080/data/asl-ftp/asllvd/demos/verify_start_end_handshape_annotations//test_auto_move//signs_mov/5675.mov" TargetMode="External"/><Relationship Id="rId2580" Type="http://schemas.openxmlformats.org/officeDocument/2006/relationships/hyperlink" Target="http://secrets.rutgers.edu:8080/data/asl-ftp/asllvd/demos/verify_start_end_handshape_annotations//test_auto_move//signs_mov_separ_signers/Tyler_5675.mov" TargetMode="External"/><Relationship Id="rId2581" Type="http://schemas.openxmlformats.org/officeDocument/2006/relationships/hyperlink" Target="http://csr.bu.edu/ftp/asl/asllvd/demos/verify_start_end_handshape_annotations//test_auto_move//signs_mov_separ_signers/Naomi_5675.mov" TargetMode="External"/><Relationship Id="rId2582" Type="http://schemas.openxmlformats.org/officeDocument/2006/relationships/hyperlink" Target="http://secrets.rutgers.edu:8080/data/asl-ftp/asllvd/demos/verify_start_end_handshape_annotations//test_auto_move//signs_mov_separ_signers/Naomi_5675.mov" TargetMode="External"/><Relationship Id="rId2583" Type="http://schemas.openxmlformats.org/officeDocument/2006/relationships/hyperlink" Target="http://csr.bu.edu/ftp/asl/asllvd/demos/verify_start_end_handshape_annotations//test_auto_move//signs_mov_separ_signers/Brady_5675.mov" TargetMode="External"/><Relationship Id="rId2584" Type="http://schemas.openxmlformats.org/officeDocument/2006/relationships/hyperlink" Target="http://secrets.rutgers.edu:8080/data/asl-ftp/asllvd/demos/verify_start_end_handshape_annotations//test_auto_move//signs_mov_separ_signers/Brady_5675.mov" TargetMode="External"/><Relationship Id="rId2585" Type="http://schemas.openxmlformats.org/officeDocument/2006/relationships/hyperlink" Target="http://csr.bu.edu/ftp/asl/asllvd/demos/verify_start_end_handshape_annotations//test_auto_move//signs_mov/290.mov" TargetMode="External"/><Relationship Id="rId2586" Type="http://schemas.openxmlformats.org/officeDocument/2006/relationships/hyperlink" Target="http://csr.bu.edu/ftp/asl/asllvd/demos/verify_start_end_handshape_annotations//test_auto_move//signs_mov_separ_signers/Liz_290.mov" TargetMode="External"/><Relationship Id="rId2587" Type="http://schemas.openxmlformats.org/officeDocument/2006/relationships/hyperlink" Target="http://secrets.rutgers.edu:8080/data/asl-ftp/asllvd/demos/verify_start_end_handshape_annotations//test_auto_move//signs_mov/290.mov" TargetMode="External"/><Relationship Id="rId2588" Type="http://schemas.openxmlformats.org/officeDocument/2006/relationships/hyperlink" Target="http://secrets.rutgers.edu:8080/data/asl-ftp/asllvd/demos/verify_start_end_handshape_annotations//test_auto_move//signs_mov_separ_signers/Liz_290.mov" TargetMode="External"/><Relationship Id="rId2589" Type="http://schemas.openxmlformats.org/officeDocument/2006/relationships/hyperlink" Target="http://csr.bu.edu/ftp/asl/asllvd/demos/verify_start_end_handshape_annotations//test_auto_move//signs_mov_separ_signers/Brady_290.mov" TargetMode="External"/><Relationship Id="rId2590" Type="http://schemas.openxmlformats.org/officeDocument/2006/relationships/hyperlink" Target="http://secrets.rutgers.edu:8080/data/asl-ftp/asllvd/demos/verify_start_end_handshape_annotations//test_auto_move//signs_mov_separ_signers/Brady_290.mov" TargetMode="External"/><Relationship Id="rId2591" Type="http://schemas.openxmlformats.org/officeDocument/2006/relationships/hyperlink" Target="http://csr.bu.edu/ftp/asl/asllvd/demos/verify_start_end_handshape_annotations//test_auto_move//signs_mov_separ_signers/Liz_291.mov" TargetMode="External"/><Relationship Id="rId2592" Type="http://schemas.openxmlformats.org/officeDocument/2006/relationships/hyperlink" Target="http://secrets.rutgers.edu:8080/data/asl-ftp/asllvd/demos/verify_start_end_handshape_annotations//test_auto_move//signs_mov_separ_signers/Liz_291.mov" TargetMode="External"/><Relationship Id="rId2593" Type="http://schemas.openxmlformats.org/officeDocument/2006/relationships/hyperlink" Target="http://csr.bu.edu/ftp/asl/asllvd/demos/verify_start_end_handshape_annotations//test_auto_move//signs_mov/291.mov" TargetMode="External"/><Relationship Id="rId2594" Type="http://schemas.openxmlformats.org/officeDocument/2006/relationships/hyperlink" Target="http://csr.bu.edu/ftp/asl/asllvd/demos/verify_start_end_handshape_annotations//test_auto_move//signs_mov_separ_signers/Tyler_291.mov" TargetMode="External"/><Relationship Id="rId2595" Type="http://schemas.openxmlformats.org/officeDocument/2006/relationships/hyperlink" Target="http://secrets.rutgers.edu:8080/data/asl-ftp/asllvd/demos/verify_start_end_handshape_annotations//test_auto_move//signs_mov/291.mov" TargetMode="External"/><Relationship Id="rId2596" Type="http://schemas.openxmlformats.org/officeDocument/2006/relationships/hyperlink" Target="http://secrets.rutgers.edu:8080/data/asl-ftp/asllvd/demos/verify_start_end_handshape_annotations//test_auto_move//signs_mov_separ_signers/Tyler_291.mov" TargetMode="External"/><Relationship Id="rId2597" Type="http://schemas.openxmlformats.org/officeDocument/2006/relationships/hyperlink" Target="http://csr.bu.edu/ftp/asl/asllvd/demos/verify_start_end_handshape_annotations//test_auto_move//signs_mov_separ_signers/Naomi_291.mov" TargetMode="External"/><Relationship Id="rId2598" Type="http://schemas.openxmlformats.org/officeDocument/2006/relationships/hyperlink" Target="http://secrets.rutgers.edu:8080/data/asl-ftp/asllvd/demos/verify_start_end_handshape_annotations//test_auto_move//signs_mov_separ_signers/Naomi_291.mov" TargetMode="External"/><Relationship Id="rId2599" Type="http://schemas.openxmlformats.org/officeDocument/2006/relationships/hyperlink" Target="http://csr.bu.edu/ftp/asl/asllvd/demos/verify_start_end_handshape_annotations//test_auto_move//signs_mov_separ_signers/Brady_291.mov" TargetMode="External"/><Relationship Id="rId2600" Type="http://schemas.openxmlformats.org/officeDocument/2006/relationships/hyperlink" Target="http://secrets.rutgers.edu:8080/data/asl-ftp/asllvd/demos/verify_start_end_handshape_annotations//test_auto_move//signs_mov_separ_signers/Brady_291.mov" TargetMode="External"/><Relationship Id="rId2601" Type="http://schemas.openxmlformats.org/officeDocument/2006/relationships/hyperlink" Target="http://csr.bu.edu/ftp/asl/asllvd/demos/verify_start_end_handshape_annotations//test_auto_move//signs_mov/3581.mov" TargetMode="External"/><Relationship Id="rId2602" Type="http://schemas.openxmlformats.org/officeDocument/2006/relationships/hyperlink" Target="http://csr.bu.edu/ftp/asl/asllvd/demos/verify_start_end_handshape_annotations//test_auto_move//signs_mov_separ_signers/Liz_3581.mov" TargetMode="External"/><Relationship Id="rId2603" Type="http://schemas.openxmlformats.org/officeDocument/2006/relationships/hyperlink" Target="http://secrets.rutgers.edu:8080/data/asl-ftp/asllvd/demos/verify_start_end_handshape_annotations//test_auto_move//signs_mov/3581.mov" TargetMode="External"/><Relationship Id="rId2604" Type="http://schemas.openxmlformats.org/officeDocument/2006/relationships/hyperlink" Target="http://secrets.rutgers.edu:8080/data/asl-ftp/asllvd/demos/verify_start_end_handshape_annotations//test_auto_move//signs_mov_separ_signers/Liz_3581.mov" TargetMode="External"/><Relationship Id="rId2605" Type="http://schemas.openxmlformats.org/officeDocument/2006/relationships/hyperlink" Target="http://csr.bu.edu/ftp/asl/asllvd/demos/verify_start_end_handshape_annotations//test_auto_move//signs_mov_separ_signers/Naomi_3581.mov" TargetMode="External"/><Relationship Id="rId2606" Type="http://schemas.openxmlformats.org/officeDocument/2006/relationships/hyperlink" Target="http://secrets.rutgers.edu:8080/data/asl-ftp/asllvd/demos/verify_start_end_handshape_annotations//test_auto_move//signs_mov_separ_signers/Naomi_3581.mov" TargetMode="External"/><Relationship Id="rId2607" Type="http://schemas.openxmlformats.org/officeDocument/2006/relationships/hyperlink" Target="http://csr.bu.edu/ftp/asl/asllvd/demos/verify_start_end_handshape_annotations//test_auto_move//signs_mov/16245.mov" TargetMode="External"/><Relationship Id="rId2608" Type="http://schemas.openxmlformats.org/officeDocument/2006/relationships/hyperlink" Target="http://csr.bu.edu/ftp/asl/asllvd/demos/verify_start_end_handshape_annotations//test_auto_move//signs_mov_separ_signers/Brady_16245.mov" TargetMode="External"/><Relationship Id="rId2609" Type="http://schemas.openxmlformats.org/officeDocument/2006/relationships/hyperlink" Target="http://secrets.rutgers.edu:8080/data/asl-ftp/asllvd/demos/verify_start_end_handshape_annotations//test_auto_move//signs_mov/16245.mov" TargetMode="External"/><Relationship Id="rId2610" Type="http://schemas.openxmlformats.org/officeDocument/2006/relationships/hyperlink" Target="http://secrets.rutgers.edu:8080/data/asl-ftp/asllvd/demos/verify_start_end_handshape_annotations//test_auto_move//signs_mov_separ_signers/Brady_16245.mov" TargetMode="External"/><Relationship Id="rId2611" Type="http://schemas.openxmlformats.org/officeDocument/2006/relationships/hyperlink" Target="http://csr.bu.edu/ftp/asl/asllvd/demos/verify_start_end_handshape_annotations//test_auto_move//signs_mov/293.mov" TargetMode="External"/><Relationship Id="rId2612" Type="http://schemas.openxmlformats.org/officeDocument/2006/relationships/hyperlink" Target="http://csr.bu.edu/ftp/asl/asllvd/demos/verify_start_end_handshape_annotations//test_auto_move//signs_mov_separ_signers/Liz_293.mov" TargetMode="External"/><Relationship Id="rId2613" Type="http://schemas.openxmlformats.org/officeDocument/2006/relationships/hyperlink" Target="http://secrets.rutgers.edu:8080/data/asl-ftp/asllvd/demos/verify_start_end_handshape_annotations//test_auto_move//signs_mov/293.mov" TargetMode="External"/><Relationship Id="rId2614" Type="http://schemas.openxmlformats.org/officeDocument/2006/relationships/hyperlink" Target="http://secrets.rutgers.edu:8080/data/asl-ftp/asllvd/demos/verify_start_end_handshape_annotations//test_auto_move//signs_mov_separ_signers/Liz_293.mov" TargetMode="External"/><Relationship Id="rId2615" Type="http://schemas.openxmlformats.org/officeDocument/2006/relationships/hyperlink" Target="http://csr.bu.edu/ftp/asl/asllvd/demos/verify_start_end_handshape_annotations//test_auto_move//signs_mov_separ_signers/Brady_293.mov" TargetMode="External"/><Relationship Id="rId2616" Type="http://schemas.openxmlformats.org/officeDocument/2006/relationships/hyperlink" Target="http://secrets.rutgers.edu:8080/data/asl-ftp/asllvd/demos/verify_start_end_handshape_annotations//test_auto_move//signs_mov_separ_signers/Brady_293.mov" TargetMode="External"/><Relationship Id="rId2617" Type="http://schemas.openxmlformats.org/officeDocument/2006/relationships/hyperlink" Target="http://csr.bu.edu/ftp/asl/asllvd/demos/verify_start_end_handshape_annotations//test_auto_move//signs_mov_separ_signers/Liz_295.mov" TargetMode="External"/><Relationship Id="rId2618" Type="http://schemas.openxmlformats.org/officeDocument/2006/relationships/hyperlink" Target="http://secrets.rutgers.edu:8080/data/asl-ftp/asllvd/demos/verify_start_end_handshape_annotations//test_auto_move//signs_mov_separ_signers/Liz_295.mov" TargetMode="External"/><Relationship Id="rId2619" Type="http://schemas.openxmlformats.org/officeDocument/2006/relationships/hyperlink" Target="http://csr.bu.edu/ftp/asl/asllvd/demos/verify_start_end_handshape_annotations//test_auto_move//signs_mov_separ_signers/Tyler_295.mov" TargetMode="External"/><Relationship Id="rId2620" Type="http://schemas.openxmlformats.org/officeDocument/2006/relationships/hyperlink" Target="http://secrets.rutgers.edu:8080/data/asl-ftp/asllvd/demos/verify_start_end_handshape_annotations//test_auto_move//signs_mov_separ_signers/Tyler_295.mov" TargetMode="External"/><Relationship Id="rId2621" Type="http://schemas.openxmlformats.org/officeDocument/2006/relationships/hyperlink" Target="http://csr.bu.edu/ftp/asl/asllvd/demos/verify_start_end_handshape_annotations//test_auto_move//signs_mov/295.mov" TargetMode="External"/><Relationship Id="rId2622" Type="http://schemas.openxmlformats.org/officeDocument/2006/relationships/hyperlink" Target="http://csr.bu.edu/ftp/asl/asllvd/demos/verify_start_end_handshape_annotations//test_auto_move//signs_mov_separ_signers/Naomi_295.mov" TargetMode="External"/><Relationship Id="rId2623" Type="http://schemas.openxmlformats.org/officeDocument/2006/relationships/hyperlink" Target="http://secrets.rutgers.edu:8080/data/asl-ftp/asllvd/demos/verify_start_end_handshape_annotations//test_auto_move//signs_mov/295.mov" TargetMode="External"/><Relationship Id="rId2624" Type="http://schemas.openxmlformats.org/officeDocument/2006/relationships/hyperlink" Target="http://secrets.rutgers.edu:8080/data/asl-ftp/asllvd/demos/verify_start_end_handshape_annotations//test_auto_move//signs_mov_separ_signers/Naomi_295.mov" TargetMode="External"/><Relationship Id="rId2625" Type="http://schemas.openxmlformats.org/officeDocument/2006/relationships/hyperlink" Target="http://csr.bu.edu/ftp/asl/asllvd/demos/verify_start_end_handshape_annotations//test_auto_move//signs_mov_separ_signers/Brady_295.mov" TargetMode="External"/><Relationship Id="rId2626" Type="http://schemas.openxmlformats.org/officeDocument/2006/relationships/hyperlink" Target="http://secrets.rutgers.edu:8080/data/asl-ftp/asllvd/demos/verify_start_end_handshape_annotations//test_auto_move//signs_mov_separ_signers/Brady_295.mov" TargetMode="External"/><Relationship Id="rId2627" Type="http://schemas.openxmlformats.org/officeDocument/2006/relationships/hyperlink" Target="http://csr.bu.edu/ftp/asl/asllvd/demos/verify_start_end_handshape_annotations//test_auto_move//signs_mov_separ_signers/Lana_295.mov" TargetMode="External"/><Relationship Id="rId2628" Type="http://schemas.openxmlformats.org/officeDocument/2006/relationships/hyperlink" Target="http://secrets.rutgers.edu:8080/data/asl-ftp/asllvd/demos/verify_start_end_handshape_annotations//test_auto_move//signs_mov_separ_signers/Lana_295.mov" TargetMode="External"/><Relationship Id="rId2629" Type="http://schemas.openxmlformats.org/officeDocument/2006/relationships/hyperlink" Target="http://csr.bu.edu/ftp/asl/asllvd/demos/verify_start_end_handshape_annotations//test_auto_move//signs_mov_separ_signers/Dana_295.mov" TargetMode="External"/><Relationship Id="rId2630" Type="http://schemas.openxmlformats.org/officeDocument/2006/relationships/hyperlink" Target="http://secrets.rutgers.edu:8080/data/asl-ftp/asllvd/demos/verify_start_end_handshape_annotations//test_auto_move//signs_mov_separ_signers/Dana_295.mov" TargetMode="External"/><Relationship Id="rId2631" Type="http://schemas.openxmlformats.org/officeDocument/2006/relationships/hyperlink" Target="http://csr.bu.edu/ftp/asl/asllvd/demos/verify_start_end_handshape_annotations//test_auto_move//signs_mov_separ_signers/Liz_296.mov" TargetMode="External"/><Relationship Id="rId2632" Type="http://schemas.openxmlformats.org/officeDocument/2006/relationships/hyperlink" Target="http://secrets.rutgers.edu:8080/data/asl-ftp/asllvd/demos/verify_start_end_handshape_annotations//test_auto_move//signs_mov_separ_signers/Liz_296.mov" TargetMode="External"/><Relationship Id="rId2633" Type="http://schemas.openxmlformats.org/officeDocument/2006/relationships/hyperlink" Target="http://csr.bu.edu/ftp/asl/asllvd/demos/verify_start_end_handshape_annotations//test_auto_move//signs_mov/296_5110_merged.mov" TargetMode="External"/><Relationship Id="rId2634" Type="http://schemas.openxmlformats.org/officeDocument/2006/relationships/hyperlink" Target="http://csr.bu.edu/ftp/asl/asllvd/demos/verify_start_end_handshape_annotations//test_auto_move//signs_mov_separ_signers/Brady_296.mov" TargetMode="External"/><Relationship Id="rId2635" Type="http://schemas.openxmlformats.org/officeDocument/2006/relationships/hyperlink" Target="http://secrets.rutgers.edu:8080/data/asl-ftp/asllvd/demos/verify_start_end_handshape_annotations//test_auto_move//signs_mov/296_5110_merged.mov" TargetMode="External"/><Relationship Id="rId2636" Type="http://schemas.openxmlformats.org/officeDocument/2006/relationships/hyperlink" Target="http://secrets.rutgers.edu:8080/data/asl-ftp/asllvd/demos/verify_start_end_handshape_annotations//test_auto_move//signs_mov_separ_signers/Brady_296.mov" TargetMode="External"/><Relationship Id="rId2637" Type="http://schemas.openxmlformats.org/officeDocument/2006/relationships/hyperlink" Target="http://csr.bu.edu/ftp/asl/asllvd/demos/verify_start_end_handshape_annotations//test_auto_move//signs_mov_separ_signers/Brady_5110.mov" TargetMode="External"/><Relationship Id="rId2638" Type="http://schemas.openxmlformats.org/officeDocument/2006/relationships/hyperlink" Target="http://secrets.rutgers.edu:8080/data/asl-ftp/asllvd/demos/verify_start_end_handshape_annotations//test_auto_move//signs_mov_separ_signers/Brady_5110.mov" TargetMode="External"/><Relationship Id="rId2639" Type="http://schemas.openxmlformats.org/officeDocument/2006/relationships/hyperlink" Target="http://csr.bu.edu/ftp/asl/asllvd/demos/verify_start_end_handshape_annotations//test_auto_move//signs_mov_separ_signers/Lana_296.mov" TargetMode="External"/><Relationship Id="rId2640" Type="http://schemas.openxmlformats.org/officeDocument/2006/relationships/hyperlink" Target="http://secrets.rutgers.edu:8080/data/asl-ftp/asllvd/demos/verify_start_end_handshape_annotations//test_auto_move//signs_mov_separ_signers/Lana_296.mov" TargetMode="External"/><Relationship Id="rId2641" Type="http://schemas.openxmlformats.org/officeDocument/2006/relationships/hyperlink" Target="http://csr.bu.edu/ftp/asl/asllvd/demos/verify_start_end_handshape_annotations//test_auto_move//signs_mov/16246.mov" TargetMode="External"/><Relationship Id="rId2642" Type="http://schemas.openxmlformats.org/officeDocument/2006/relationships/hyperlink" Target="http://csr.bu.edu/ftp/asl/asllvd/demos/verify_start_end_handshape_annotations//test_auto_move//signs_mov_separ_signers/Naomi_16246.mov" TargetMode="External"/><Relationship Id="rId2643" Type="http://schemas.openxmlformats.org/officeDocument/2006/relationships/hyperlink" Target="http://secrets.rutgers.edu:8080/data/asl-ftp/asllvd/demos/verify_start_end_handshape_annotations//test_auto_move//signs_mov/16246.mov" TargetMode="External"/><Relationship Id="rId2644" Type="http://schemas.openxmlformats.org/officeDocument/2006/relationships/hyperlink" Target="http://secrets.rutgers.edu:8080/data/asl-ftp/asllvd/demos/verify_start_end_handshape_annotations//test_auto_move//signs_mov_separ_signers/Naomi_16246.mov" TargetMode="External"/><Relationship Id="rId2645" Type="http://schemas.openxmlformats.org/officeDocument/2006/relationships/hyperlink" Target="http://csr.bu.edu/ftp/asl/asllvd/demos/verify_start_end_handshape_annotations//test_auto_move//signs_mov/16555.mov" TargetMode="External"/><Relationship Id="rId2646" Type="http://schemas.openxmlformats.org/officeDocument/2006/relationships/hyperlink" Target="http://csr.bu.edu/ftp/asl/asllvd/demos/verify_start_end_handshape_annotations//test_auto_move//signs_mov_separ_signers/Tyler_16555.mov" TargetMode="External"/><Relationship Id="rId2647" Type="http://schemas.openxmlformats.org/officeDocument/2006/relationships/hyperlink" Target="http://secrets.rutgers.edu:8080/data/asl-ftp/asllvd/demos/verify_start_end_handshape_annotations//test_auto_move//signs_mov/16555.mov" TargetMode="External"/><Relationship Id="rId2648" Type="http://schemas.openxmlformats.org/officeDocument/2006/relationships/hyperlink" Target="http://secrets.rutgers.edu:8080/data/asl-ftp/asllvd/demos/verify_start_end_handshape_annotations//test_auto_move//signs_mov_separ_signers/Tyler_16555.mov" TargetMode="External"/><Relationship Id="rId2649" Type="http://schemas.openxmlformats.org/officeDocument/2006/relationships/hyperlink" Target="http://csr.bu.edu/ftp/asl/asllvd/demos/verify_start_end_handshape_annotations//test_auto_move//signs_mov_separ_signers/Liz_298.mov" TargetMode="External"/><Relationship Id="rId2650" Type="http://schemas.openxmlformats.org/officeDocument/2006/relationships/hyperlink" Target="http://secrets.rutgers.edu:8080/data/asl-ftp/asllvd/demos/verify_start_end_handshape_annotations//test_auto_move//signs_mov_separ_signers/Liz_298.mov" TargetMode="External"/><Relationship Id="rId2651" Type="http://schemas.openxmlformats.org/officeDocument/2006/relationships/hyperlink" Target="http://csr.bu.edu/ftp/asl/asllvd/demos/verify_start_end_handshape_annotations//test_auto_move//signs_mov_separ_signers/Tyler_298.mov" TargetMode="External"/><Relationship Id="rId2652" Type="http://schemas.openxmlformats.org/officeDocument/2006/relationships/hyperlink" Target="http://secrets.rutgers.edu:8080/data/asl-ftp/asllvd/demos/verify_start_end_handshape_annotations//test_auto_move//signs_mov_separ_signers/Tyler_298.mov" TargetMode="External"/><Relationship Id="rId2653" Type="http://schemas.openxmlformats.org/officeDocument/2006/relationships/hyperlink" Target="http://csr.bu.edu/ftp/asl/asllvd/demos/verify_start_end_handshape_annotations//test_auto_move//signs_mov/298.mov" TargetMode="External"/><Relationship Id="rId2654" Type="http://schemas.openxmlformats.org/officeDocument/2006/relationships/hyperlink" Target="http://csr.bu.edu/ftp/asl/asllvd/demos/verify_start_end_handshape_annotations//test_auto_move//signs_mov_separ_signers/Naomi_298.mov" TargetMode="External"/><Relationship Id="rId2655" Type="http://schemas.openxmlformats.org/officeDocument/2006/relationships/hyperlink" Target="http://secrets.rutgers.edu:8080/data/asl-ftp/asllvd/demos/verify_start_end_handshape_annotations//test_auto_move//signs_mov/298.mov" TargetMode="External"/><Relationship Id="rId2656" Type="http://schemas.openxmlformats.org/officeDocument/2006/relationships/hyperlink" Target="http://secrets.rutgers.edu:8080/data/asl-ftp/asllvd/demos/verify_start_end_handshape_annotations//test_auto_move//signs_mov_separ_signers/Naomi_298.mov" TargetMode="External"/><Relationship Id="rId2657" Type="http://schemas.openxmlformats.org/officeDocument/2006/relationships/hyperlink" Target="http://csr.bu.edu/ftp/asl/asllvd/demos/verify_start_end_handshape_annotations//test_auto_move//signs_mov_separ_signers/Brady_298.mov" TargetMode="External"/><Relationship Id="rId2658" Type="http://schemas.openxmlformats.org/officeDocument/2006/relationships/hyperlink" Target="http://secrets.rutgers.edu:8080/data/asl-ftp/asllvd/demos/verify_start_end_handshape_annotations//test_auto_move//signs_mov_separ_signers/Brady_298.mov" TargetMode="External"/><Relationship Id="rId2659" Type="http://schemas.openxmlformats.org/officeDocument/2006/relationships/hyperlink" Target="http://csr.bu.edu/ftp/asl/asllvd/demos/verify_start_end_handshape_annotations//test_auto_move//signs_mov_separ_signers/Lana_298.mov" TargetMode="External"/><Relationship Id="rId2660" Type="http://schemas.openxmlformats.org/officeDocument/2006/relationships/hyperlink" Target="http://secrets.rutgers.edu:8080/data/asl-ftp/asllvd/demos/verify_start_end_handshape_annotations//test_auto_move//signs_mov_separ_signers/Lana_298.mov" TargetMode="External"/><Relationship Id="rId2661" Type="http://schemas.openxmlformats.org/officeDocument/2006/relationships/hyperlink" Target="http://csr.bu.edu/ftp/asl/asllvd/demos/verify_start_end_handshape_annotations//test_auto_move//signs_mov_separ_signers/Liz_15173.mov" TargetMode="External"/><Relationship Id="rId2662" Type="http://schemas.openxmlformats.org/officeDocument/2006/relationships/hyperlink" Target="http://secrets.rutgers.edu:8080/data/asl-ftp/asllvd/demos/verify_start_end_handshape_annotations//test_auto_move//signs_mov_separ_signers/Liz_15173.mov" TargetMode="External"/><Relationship Id="rId2663" Type="http://schemas.openxmlformats.org/officeDocument/2006/relationships/hyperlink" Target="http://csr.bu.edu/ftp/asl/asllvd/demos/verify_start_end_handshape_annotations//test_auto_move//signs_mov_separ_signers/Liz_15194.mov" TargetMode="External"/><Relationship Id="rId2664" Type="http://schemas.openxmlformats.org/officeDocument/2006/relationships/hyperlink" Target="http://secrets.rutgers.edu:8080/data/asl-ftp/asllvd/demos/verify_start_end_handshape_annotations//test_auto_move//signs_mov_separ_signers/Liz_15194.mov" TargetMode="External"/><Relationship Id="rId2665" Type="http://schemas.openxmlformats.org/officeDocument/2006/relationships/hyperlink" Target="http://csr.bu.edu/ftp/asl/asllvd/demos/verify_start_end_handshape_annotations//test_auto_move//signs_mov/15173_15194_merged.mov" TargetMode="External"/><Relationship Id="rId2666" Type="http://schemas.openxmlformats.org/officeDocument/2006/relationships/hyperlink" Target="http://csr.bu.edu/ftp/asl/asllvd/demos/verify_start_end_handshape_annotations//test_auto_move//signs_mov_separ_signers/Tyler_15173.mov" TargetMode="External"/><Relationship Id="rId2667" Type="http://schemas.openxmlformats.org/officeDocument/2006/relationships/hyperlink" Target="http://secrets.rutgers.edu:8080/data/asl-ftp/asllvd/demos/verify_start_end_handshape_annotations//test_auto_move//signs_mov/15173_15194_merged.mov" TargetMode="External"/><Relationship Id="rId2668" Type="http://schemas.openxmlformats.org/officeDocument/2006/relationships/hyperlink" Target="http://secrets.rutgers.edu:8080/data/asl-ftp/asllvd/demos/verify_start_end_handshape_annotations//test_auto_move//signs_mov_separ_signers/Tyler_15173.mov" TargetMode="External"/><Relationship Id="rId2669" Type="http://schemas.openxmlformats.org/officeDocument/2006/relationships/hyperlink" Target="http://csr.bu.edu/ftp/asl/asllvd/demos/verify_start_end_handshape_annotations//test_auto_move//signs_mov_separ_signers/Naomi_15173.mov" TargetMode="External"/><Relationship Id="rId2670" Type="http://schemas.openxmlformats.org/officeDocument/2006/relationships/hyperlink" Target="http://secrets.rutgers.edu:8080/data/asl-ftp/asllvd/demos/verify_start_end_handshape_annotations//test_auto_move//signs_mov_separ_signers/Naomi_15173.mov" TargetMode="External"/><Relationship Id="rId2671" Type="http://schemas.openxmlformats.org/officeDocument/2006/relationships/hyperlink" Target="http://csr.bu.edu/ftp/asl/asllvd/demos/verify_start_end_handshape_annotations//test_auto_move//signs_mov_separ_signers/Brady_15173.mov" TargetMode="External"/><Relationship Id="rId2672" Type="http://schemas.openxmlformats.org/officeDocument/2006/relationships/hyperlink" Target="http://secrets.rutgers.edu:8080/data/asl-ftp/asllvd/demos/verify_start_end_handshape_annotations//test_auto_move//signs_mov_separ_signers/Brady_15173.mov" TargetMode="External"/><Relationship Id="rId2673" Type="http://schemas.openxmlformats.org/officeDocument/2006/relationships/hyperlink" Target="http://csr.bu.edu/ftp/asl/asllvd/demos/verify_start_end_handshape_annotations//test_auto_move//signs_mov_separ_signers/Brady_15194.mov" TargetMode="External"/><Relationship Id="rId2674" Type="http://schemas.openxmlformats.org/officeDocument/2006/relationships/hyperlink" Target="http://secrets.rutgers.edu:8080/data/asl-ftp/asllvd/demos/verify_start_end_handshape_annotations//test_auto_move//signs_mov_separ_signers/Brady_15194.mov" TargetMode="External"/><Relationship Id="rId2675" Type="http://schemas.openxmlformats.org/officeDocument/2006/relationships/hyperlink" Target="http://csr.bu.edu/ftp/asl/asllvd/demos/verify_start_end_handshape_annotations//test_auto_move//signs_mov/4562.mov" TargetMode="External"/><Relationship Id="rId2676" Type="http://schemas.openxmlformats.org/officeDocument/2006/relationships/hyperlink" Target="http://csr.bu.edu/ftp/asl/asllvd/demos/verify_start_end_handshape_annotations//test_auto_move//signs_mov_separ_signers/Dana_4562.mov" TargetMode="External"/><Relationship Id="rId2677" Type="http://schemas.openxmlformats.org/officeDocument/2006/relationships/hyperlink" Target="http://secrets.rutgers.edu:8080/data/asl-ftp/asllvd/demos/verify_start_end_handshape_annotations//test_auto_move//signs_mov/4562.mov" TargetMode="External"/><Relationship Id="rId2678" Type="http://schemas.openxmlformats.org/officeDocument/2006/relationships/hyperlink" Target="http://secrets.rutgers.edu:8080/data/asl-ftp/asllvd/demos/verify_start_end_handshape_annotations//test_auto_move//signs_mov_separ_signers/Dana_4562.mov" TargetMode="External"/><Relationship Id="rId2679" Type="http://schemas.openxmlformats.org/officeDocument/2006/relationships/hyperlink" Target="http://csr.bu.edu/ftp/asl/asllvd/demos/verify_start_end_handshape_annotations//test_auto_move//signs_mov_separ_signers/Liz_300.mov" TargetMode="External"/><Relationship Id="rId2680" Type="http://schemas.openxmlformats.org/officeDocument/2006/relationships/hyperlink" Target="http://secrets.rutgers.edu:8080/data/asl-ftp/asllvd/demos/verify_start_end_handshape_annotations//test_auto_move//signs_mov_separ_signers/Liz_300.mov" TargetMode="External"/><Relationship Id="rId2681" Type="http://schemas.openxmlformats.org/officeDocument/2006/relationships/hyperlink" Target="http://csr.bu.edu/ftp/asl/asllvd/demos/verify_start_end_handshape_annotations//test_auto_move//signs_mov_separ_signers/Liz_3589.mov" TargetMode="External"/><Relationship Id="rId2682" Type="http://schemas.openxmlformats.org/officeDocument/2006/relationships/hyperlink" Target="http://secrets.rutgers.edu:8080/data/asl-ftp/asllvd/demos/verify_start_end_handshape_annotations//test_auto_move//signs_mov_separ_signers/Liz_3589.mov" TargetMode="External"/><Relationship Id="rId2683" Type="http://schemas.openxmlformats.org/officeDocument/2006/relationships/hyperlink" Target="http://csr.bu.edu/ftp/asl/asllvd/demos/verify_start_end_handshape_annotations//test_auto_move//signs_mov_separ_signers/Tyler_300.mov" TargetMode="External"/><Relationship Id="rId2684" Type="http://schemas.openxmlformats.org/officeDocument/2006/relationships/hyperlink" Target="http://secrets.rutgers.edu:8080/data/asl-ftp/asllvd/demos/verify_start_end_handshape_annotations//test_auto_move//signs_mov_separ_signers/Tyler_300.mov" TargetMode="External"/><Relationship Id="rId2685" Type="http://schemas.openxmlformats.org/officeDocument/2006/relationships/hyperlink" Target="http://csr.bu.edu/ftp/asl/asllvd/demos/verify_start_end_handshape_annotations//test_auto_move//signs_mov_separ_signers/Tyler_3589.mov" TargetMode="External"/><Relationship Id="rId2686" Type="http://schemas.openxmlformats.org/officeDocument/2006/relationships/hyperlink" Target="http://secrets.rutgers.edu:8080/data/asl-ftp/asllvd/demos/verify_start_end_handshape_annotations//test_auto_move//signs_mov_separ_signers/Tyler_3589.mov" TargetMode="External"/><Relationship Id="rId2687" Type="http://schemas.openxmlformats.org/officeDocument/2006/relationships/hyperlink" Target="http://csr.bu.edu/ftp/asl/asllvd/demos/verify_start_end_handshape_annotations//test_auto_move//signs_mov/300_3589_merged.mov" TargetMode="External"/><Relationship Id="rId2688" Type="http://schemas.openxmlformats.org/officeDocument/2006/relationships/hyperlink" Target="http://csr.bu.edu/ftp/asl/asllvd/demos/verify_start_end_handshape_annotations//test_auto_move//signs_mov_separ_signers/Naomi_300.mov" TargetMode="External"/><Relationship Id="rId2689" Type="http://schemas.openxmlformats.org/officeDocument/2006/relationships/hyperlink" Target="http://secrets.rutgers.edu:8080/data/asl-ftp/asllvd/demos/verify_start_end_handshape_annotations//test_auto_move//signs_mov/300_3589_merged.mov" TargetMode="External"/><Relationship Id="rId2690" Type="http://schemas.openxmlformats.org/officeDocument/2006/relationships/hyperlink" Target="http://secrets.rutgers.edu:8080/data/asl-ftp/asllvd/demos/verify_start_end_handshape_annotations//test_auto_move//signs_mov_separ_signers/Naomi_300.mov" TargetMode="External"/><Relationship Id="rId2691" Type="http://schemas.openxmlformats.org/officeDocument/2006/relationships/hyperlink" Target="http://csr.bu.edu/ftp/asl/asllvd/demos/verify_start_end_handshape_annotations//test_auto_move//signs_mov_separ_signers/Naomi_3589.mov" TargetMode="External"/><Relationship Id="rId2692" Type="http://schemas.openxmlformats.org/officeDocument/2006/relationships/hyperlink" Target="http://secrets.rutgers.edu:8080/data/asl-ftp/asllvd/demos/verify_start_end_handshape_annotations//test_auto_move//signs_mov_separ_signers/Naomi_3589.mov" TargetMode="External"/><Relationship Id="rId2693" Type="http://schemas.openxmlformats.org/officeDocument/2006/relationships/hyperlink" Target="http://csr.bu.edu/ftp/asl/asllvd/demos/verify_start_end_handshape_annotations//test_auto_move//signs_mov_separ_signers/Brady_300.mov" TargetMode="External"/><Relationship Id="rId2694" Type="http://schemas.openxmlformats.org/officeDocument/2006/relationships/hyperlink" Target="http://secrets.rutgers.edu:8080/data/asl-ftp/asllvd/demos/verify_start_end_handshape_annotations//test_auto_move//signs_mov_separ_signers/Brady_300.mov" TargetMode="External"/><Relationship Id="rId2695" Type="http://schemas.openxmlformats.org/officeDocument/2006/relationships/hyperlink" Target="http://csr.bu.edu/ftp/asl/asllvd/demos/verify_start_end_handshape_annotations//test_auto_move//signs_mov_separ_signers/Brady_3589.mov" TargetMode="External"/><Relationship Id="rId2696" Type="http://schemas.openxmlformats.org/officeDocument/2006/relationships/hyperlink" Target="http://secrets.rutgers.edu:8080/data/asl-ftp/asllvd/demos/verify_start_end_handshape_annotations//test_auto_move//signs_mov_separ_signers/Brady_3589.mov" TargetMode="External"/><Relationship Id="rId2697" Type="http://schemas.openxmlformats.org/officeDocument/2006/relationships/hyperlink" Target="http://csr.bu.edu/ftp/asl/asllvd/demos/verify_start_end_handshape_annotations//test_auto_move//signs_mov_separ_signers/Lana_300.mov" TargetMode="External"/><Relationship Id="rId2698" Type="http://schemas.openxmlformats.org/officeDocument/2006/relationships/hyperlink" Target="http://secrets.rutgers.edu:8080/data/asl-ftp/asllvd/demos/verify_start_end_handshape_annotations//test_auto_move//signs_mov_separ_signers/Lana_300.mov" TargetMode="External"/><Relationship Id="rId2699" Type="http://schemas.openxmlformats.org/officeDocument/2006/relationships/hyperlink" Target="http://csr.bu.edu/ftp/asl/asllvd/demos/verify_start_end_handshape_annotations//test_auto_move//signs_mov_separ_signers/Dana_300.mov" TargetMode="External"/><Relationship Id="rId2700" Type="http://schemas.openxmlformats.org/officeDocument/2006/relationships/hyperlink" Target="http://secrets.rutgers.edu:8080/data/asl-ftp/asllvd/demos/verify_start_end_handshape_annotations//test_auto_move//signs_mov_separ_signers/Dana_300.mov" TargetMode="External"/><Relationship Id="rId2701" Type="http://schemas.openxmlformats.org/officeDocument/2006/relationships/hyperlink" Target="http://csr.bu.edu/ftp/asl/asllvd/demos/verify_start_end_handshape_annotations//test_auto_move//signs_mov_separ_signers/Liz_15303.mov" TargetMode="External"/><Relationship Id="rId2702" Type="http://schemas.openxmlformats.org/officeDocument/2006/relationships/hyperlink" Target="http://secrets.rutgers.edu:8080/data/asl-ftp/asllvd/demos/verify_start_end_handshape_annotations//test_auto_move//signs_mov_separ_signers/Liz_15303.mov" TargetMode="External"/><Relationship Id="rId2703" Type="http://schemas.openxmlformats.org/officeDocument/2006/relationships/hyperlink" Target="http://csr.bu.edu/ftp/asl/asllvd/demos/verify_start_end_handshape_annotations//test_auto_move//signs_mov/15303.mov" TargetMode="External"/><Relationship Id="rId2704" Type="http://schemas.openxmlformats.org/officeDocument/2006/relationships/hyperlink" Target="http://csr.bu.edu/ftp/asl/asllvd/demos/verify_start_end_handshape_annotations//test_auto_move//signs_mov_separ_signers/Tyler_15303.mov" TargetMode="External"/><Relationship Id="rId2705" Type="http://schemas.openxmlformats.org/officeDocument/2006/relationships/hyperlink" Target="http://secrets.rutgers.edu:8080/data/asl-ftp/asllvd/demos/verify_start_end_handshape_annotations//test_auto_move//signs_mov/15303.mov" TargetMode="External"/><Relationship Id="rId2706" Type="http://schemas.openxmlformats.org/officeDocument/2006/relationships/hyperlink" Target="http://secrets.rutgers.edu:8080/data/asl-ftp/asllvd/demos/verify_start_end_handshape_annotations//test_auto_move//signs_mov_separ_signers/Tyler_15303.mov" TargetMode="External"/><Relationship Id="rId2707" Type="http://schemas.openxmlformats.org/officeDocument/2006/relationships/hyperlink" Target="http://csr.bu.edu/ftp/asl/asllvd/demos/verify_start_end_handshape_annotations//test_auto_move//signs_mov_separ_signers/Naomi_15303.mov" TargetMode="External"/><Relationship Id="rId2708" Type="http://schemas.openxmlformats.org/officeDocument/2006/relationships/hyperlink" Target="http://secrets.rutgers.edu:8080/data/asl-ftp/asllvd/demos/verify_start_end_handshape_annotations//test_auto_move//signs_mov_separ_signers/Naomi_15303.mov" TargetMode="External"/><Relationship Id="rId2709" Type="http://schemas.openxmlformats.org/officeDocument/2006/relationships/hyperlink" Target="http://csr.bu.edu/ftp/asl/asllvd/demos/verify_start_end_handshape_annotations//test_auto_move//signs_mov_separ_signers/Brady_15303.mov" TargetMode="External"/><Relationship Id="rId2710" Type="http://schemas.openxmlformats.org/officeDocument/2006/relationships/hyperlink" Target="http://secrets.rutgers.edu:8080/data/asl-ftp/asllvd/demos/verify_start_end_handshape_annotations//test_auto_move//signs_mov_separ_signers/Brady_15303.mov" TargetMode="External"/><Relationship Id="rId2711" Type="http://schemas.openxmlformats.org/officeDocument/2006/relationships/hyperlink" Target="http://csr.bu.edu/ftp/asl/asllvd/demos/verify_start_end_handshape_annotations//test_auto_move//signs_mov_separ_signers/Liz_301.mov" TargetMode="External"/><Relationship Id="rId2712" Type="http://schemas.openxmlformats.org/officeDocument/2006/relationships/hyperlink" Target="http://secrets.rutgers.edu:8080/data/asl-ftp/asllvd/demos/verify_start_end_handshape_annotations//test_auto_move//signs_mov_separ_signers/Liz_301.mov" TargetMode="External"/><Relationship Id="rId2713" Type="http://schemas.openxmlformats.org/officeDocument/2006/relationships/hyperlink" Target="http://csr.bu.edu/ftp/asl/asllvd/demos/verify_start_end_handshape_annotations//test_auto_move//signs_mov_separ_signers/Liz_3495.mov" TargetMode="External"/><Relationship Id="rId2714" Type="http://schemas.openxmlformats.org/officeDocument/2006/relationships/hyperlink" Target="http://secrets.rutgers.edu:8080/data/asl-ftp/asllvd/demos/verify_start_end_handshape_annotations//test_auto_move//signs_mov_separ_signers/Liz_3495.mov" TargetMode="External"/><Relationship Id="rId2715" Type="http://schemas.openxmlformats.org/officeDocument/2006/relationships/hyperlink" Target="http://csr.bu.edu/ftp/asl/asllvd/demos/verify_start_end_handshape_annotations//test_auto_move//signs_mov_separ_signers/Tyler_301.mov" TargetMode="External"/><Relationship Id="rId2716" Type="http://schemas.openxmlformats.org/officeDocument/2006/relationships/hyperlink" Target="http://secrets.rutgers.edu:8080/data/asl-ftp/asllvd/demos/verify_start_end_handshape_annotations//test_auto_move//signs_mov_separ_signers/Tyler_301.mov" TargetMode="External"/><Relationship Id="rId2717" Type="http://schemas.openxmlformats.org/officeDocument/2006/relationships/hyperlink" Target="http://csr.bu.edu/ftp/asl/asllvd/demos/verify_start_end_handshape_annotations//test_auto_move//signs_mov_separ_signers/Naomi_301.mov" TargetMode="External"/><Relationship Id="rId2718" Type="http://schemas.openxmlformats.org/officeDocument/2006/relationships/hyperlink" Target="http://secrets.rutgers.edu:8080/data/asl-ftp/asllvd/demos/verify_start_end_handshape_annotations//test_auto_move//signs_mov_separ_signers/Naomi_301.mov" TargetMode="External"/><Relationship Id="rId2719" Type="http://schemas.openxmlformats.org/officeDocument/2006/relationships/hyperlink" Target="http://csr.bu.edu/ftp/asl/asllvd/demos/verify_start_end_handshape_annotations//test_auto_move//signs_mov/301_3495_5927_merged.mov" TargetMode="External"/><Relationship Id="rId2720" Type="http://schemas.openxmlformats.org/officeDocument/2006/relationships/hyperlink" Target="http://csr.bu.edu/ftp/asl/asllvd/demos/verify_start_end_handshape_annotations//test_auto_move//signs_mov_separ_signers/Brady_301.mov" TargetMode="External"/><Relationship Id="rId2721" Type="http://schemas.openxmlformats.org/officeDocument/2006/relationships/hyperlink" Target="http://secrets.rutgers.edu:8080/data/asl-ftp/asllvd/demos/verify_start_end_handshape_annotations//test_auto_move//signs_mov/301_3495_5927_merged.mov" TargetMode="External"/><Relationship Id="rId2722" Type="http://schemas.openxmlformats.org/officeDocument/2006/relationships/hyperlink" Target="http://secrets.rutgers.edu:8080/data/asl-ftp/asllvd/demos/verify_start_end_handshape_annotations//test_auto_move//signs_mov_separ_signers/Brady_301.mov" TargetMode="External"/><Relationship Id="rId2723" Type="http://schemas.openxmlformats.org/officeDocument/2006/relationships/hyperlink" Target="http://csr.bu.edu/ftp/asl/asllvd/demos/verify_start_end_handshape_annotations//test_auto_move//signs_mov_separ_signers/Brady_3495.mov" TargetMode="External"/><Relationship Id="rId2724" Type="http://schemas.openxmlformats.org/officeDocument/2006/relationships/hyperlink" Target="http://secrets.rutgers.edu:8080/data/asl-ftp/asllvd/demos/verify_start_end_handshape_annotations//test_auto_move//signs_mov_separ_signers/Brady_3495.mov" TargetMode="External"/><Relationship Id="rId2725" Type="http://schemas.openxmlformats.org/officeDocument/2006/relationships/hyperlink" Target="http://csr.bu.edu/ftp/asl/asllvd/demos/verify_start_end_handshape_annotations//test_auto_move//signs_mov_separ_signers/Brady_5927.mov" TargetMode="External"/><Relationship Id="rId2726" Type="http://schemas.openxmlformats.org/officeDocument/2006/relationships/hyperlink" Target="http://secrets.rutgers.edu:8080/data/asl-ftp/asllvd/demos/verify_start_end_handshape_annotations//test_auto_move//signs_mov_separ_signers/Brady_5927.mov" TargetMode="External"/><Relationship Id="rId2727" Type="http://schemas.openxmlformats.org/officeDocument/2006/relationships/hyperlink" Target="http://csr.bu.edu/ftp/asl/asllvd/demos/verify_start_end_handshape_annotations//test_auto_move//signs_mov_separ_signers/Lana_301.mov" TargetMode="External"/><Relationship Id="rId2728" Type="http://schemas.openxmlformats.org/officeDocument/2006/relationships/hyperlink" Target="http://secrets.rutgers.edu:8080/data/asl-ftp/asllvd/demos/verify_start_end_handshape_annotations//test_auto_move//signs_mov_separ_signers/Lana_301.mov" TargetMode="External"/><Relationship Id="rId2729" Type="http://schemas.openxmlformats.org/officeDocument/2006/relationships/hyperlink" Target="http://csr.bu.edu/ftp/asl/asllvd/demos/verify_start_end_handshape_annotations//test_auto_move//signs_mov_separ_signers/Dana_301.mov" TargetMode="External"/><Relationship Id="rId2730" Type="http://schemas.openxmlformats.org/officeDocument/2006/relationships/hyperlink" Target="http://secrets.rutgers.edu:8080/data/asl-ftp/asllvd/demos/verify_start_end_handshape_annotations//test_auto_move//signs_mov_separ_signers/Dana_301.mov" TargetMode="External"/><Relationship Id="rId2731" Type="http://schemas.openxmlformats.org/officeDocument/2006/relationships/hyperlink" Target="http://csr.bu.edu/ftp/asl/asllvd/demos/verify_start_end_handshape_annotations//test_auto_move//signs_mov_separ_signers/Liz_302.mov" TargetMode="External"/><Relationship Id="rId2732" Type="http://schemas.openxmlformats.org/officeDocument/2006/relationships/hyperlink" Target="http://secrets.rutgers.edu:8080/data/asl-ftp/asllvd/demos/verify_start_end_handshape_annotations//test_auto_move//signs_mov_separ_signers/Liz_302.mov" TargetMode="External"/><Relationship Id="rId2733" Type="http://schemas.openxmlformats.org/officeDocument/2006/relationships/hyperlink" Target="http://csr.bu.edu/ftp/asl/asllvd/demos/verify_start_end_handshape_annotations//test_auto_move//signs_mov/302.mov" TargetMode="External"/><Relationship Id="rId2734" Type="http://schemas.openxmlformats.org/officeDocument/2006/relationships/hyperlink" Target="http://csr.bu.edu/ftp/asl/asllvd/demos/verify_start_end_handshape_annotations//test_auto_move//signs_mov_separ_signers/Tyler_302.mov" TargetMode="External"/><Relationship Id="rId2735" Type="http://schemas.openxmlformats.org/officeDocument/2006/relationships/hyperlink" Target="http://secrets.rutgers.edu:8080/data/asl-ftp/asllvd/demos/verify_start_end_handshape_annotations//test_auto_move//signs_mov/302.mov" TargetMode="External"/><Relationship Id="rId2736" Type="http://schemas.openxmlformats.org/officeDocument/2006/relationships/hyperlink" Target="http://secrets.rutgers.edu:8080/data/asl-ftp/asllvd/demos/verify_start_end_handshape_annotations//test_auto_move//signs_mov_separ_signers/Tyler_302.mov" TargetMode="External"/><Relationship Id="rId2737" Type="http://schemas.openxmlformats.org/officeDocument/2006/relationships/hyperlink" Target="http://csr.bu.edu/ftp/asl/asllvd/demos/verify_start_end_handshape_annotations//test_auto_move//signs_mov_separ_signers/Naomi_302.mov" TargetMode="External"/><Relationship Id="rId2738" Type="http://schemas.openxmlformats.org/officeDocument/2006/relationships/hyperlink" Target="http://secrets.rutgers.edu:8080/data/asl-ftp/asllvd/demos/verify_start_end_handshape_annotations//test_auto_move//signs_mov_separ_signers/Naomi_302.mov" TargetMode="External"/><Relationship Id="rId2739" Type="http://schemas.openxmlformats.org/officeDocument/2006/relationships/hyperlink" Target="http://csr.bu.edu/ftp/asl/asllvd/demos/verify_start_end_handshape_annotations//test_auto_move//signs_mov_separ_signers/Brady_302.mov" TargetMode="External"/><Relationship Id="rId2740" Type="http://schemas.openxmlformats.org/officeDocument/2006/relationships/hyperlink" Target="http://secrets.rutgers.edu:8080/data/asl-ftp/asllvd/demos/verify_start_end_handshape_annotations//test_auto_move//signs_mov_separ_signers/Brady_302.mov" TargetMode="External"/><Relationship Id="rId2741" Type="http://schemas.openxmlformats.org/officeDocument/2006/relationships/hyperlink" Target="http://csr.bu.edu/ftp/asl/asllvd/demos/verify_start_end_handshape_annotations//test_auto_move//signs_mov_separ_signers/Liz_304.mov" TargetMode="External"/><Relationship Id="rId2742" Type="http://schemas.openxmlformats.org/officeDocument/2006/relationships/hyperlink" Target="http://secrets.rutgers.edu:8080/data/asl-ftp/asllvd/demos/verify_start_end_handshape_annotations//test_auto_move//signs_mov_separ_signers/Liz_304.mov" TargetMode="External"/><Relationship Id="rId2743" Type="http://schemas.openxmlformats.org/officeDocument/2006/relationships/hyperlink" Target="http://csr.bu.edu/ftp/asl/asllvd/demos/verify_start_end_handshape_annotations//test_auto_move//signs_mov/304_5608_merged.mov" TargetMode="External"/><Relationship Id="rId2744" Type="http://schemas.openxmlformats.org/officeDocument/2006/relationships/hyperlink" Target="http://csr.bu.edu/ftp/asl/asllvd/demos/verify_start_end_handshape_annotations//test_auto_move//signs_mov_separ_signers/Liz_5608.mov" TargetMode="External"/><Relationship Id="rId2745" Type="http://schemas.openxmlformats.org/officeDocument/2006/relationships/hyperlink" Target="http://secrets.rutgers.edu:8080/data/asl-ftp/asllvd/demos/verify_start_end_handshape_annotations//test_auto_move//signs_mov/304_5608_merged.mov" TargetMode="External"/><Relationship Id="rId2746" Type="http://schemas.openxmlformats.org/officeDocument/2006/relationships/hyperlink" Target="http://secrets.rutgers.edu:8080/data/asl-ftp/asllvd/demos/verify_start_end_handshape_annotations//test_auto_move//signs_mov_separ_signers/Liz_5608.mov" TargetMode="External"/><Relationship Id="rId2747" Type="http://schemas.openxmlformats.org/officeDocument/2006/relationships/hyperlink" Target="http://csr.bu.edu/ftp/asl/asllvd/demos/verify_start_end_handshape_annotations//test_auto_move//signs_mov_separ_signers/Tyler_304.mov" TargetMode="External"/><Relationship Id="rId2748" Type="http://schemas.openxmlformats.org/officeDocument/2006/relationships/hyperlink" Target="http://secrets.rutgers.edu:8080/data/asl-ftp/asllvd/demos/verify_start_end_handshape_annotations//test_auto_move//signs_mov_separ_signers/Tyler_304.mov" TargetMode="External"/><Relationship Id="rId2749" Type="http://schemas.openxmlformats.org/officeDocument/2006/relationships/hyperlink" Target="http://csr.bu.edu/ftp/asl/asllvd/demos/verify_start_end_handshape_annotations//test_auto_move//signs_mov_separ_signers/Naomi_304.mov" TargetMode="External"/><Relationship Id="rId2750" Type="http://schemas.openxmlformats.org/officeDocument/2006/relationships/hyperlink" Target="http://secrets.rutgers.edu:8080/data/asl-ftp/asllvd/demos/verify_start_end_handshape_annotations//test_auto_move//signs_mov_separ_signers/Naomi_304.mov" TargetMode="External"/><Relationship Id="rId2751" Type="http://schemas.openxmlformats.org/officeDocument/2006/relationships/hyperlink" Target="http://csr.bu.edu/ftp/asl/asllvd/demos/verify_start_end_handshape_annotations//test_auto_move//signs_mov/16301.mov" TargetMode="External"/><Relationship Id="rId2752" Type="http://schemas.openxmlformats.org/officeDocument/2006/relationships/hyperlink" Target="http://csr.bu.edu/ftp/asl/asllvd/demos/verify_start_end_handshape_annotations//test_auto_move//signs_mov_separ_signers/Liz_16301.mov" TargetMode="External"/><Relationship Id="rId2753" Type="http://schemas.openxmlformats.org/officeDocument/2006/relationships/hyperlink" Target="http://secrets.rutgers.edu:8080/data/asl-ftp/asllvd/demos/verify_start_end_handshape_annotations//test_auto_move//signs_mov/16301.mov" TargetMode="External"/><Relationship Id="rId2754" Type="http://schemas.openxmlformats.org/officeDocument/2006/relationships/hyperlink" Target="http://secrets.rutgers.edu:8080/data/asl-ftp/asllvd/demos/verify_start_end_handshape_annotations//test_auto_move//signs_mov_separ_signers/Liz_16301.mov" TargetMode="External"/><Relationship Id="rId2755" Type="http://schemas.openxmlformats.org/officeDocument/2006/relationships/hyperlink" Target="http://csr.bu.edu/ftp/asl/asllvd/demos/verify_start_end_handshape_annotations//test_auto_move//signs_mov_separ_signers/Brady_16301.mov" TargetMode="External"/><Relationship Id="rId2756" Type="http://schemas.openxmlformats.org/officeDocument/2006/relationships/hyperlink" Target="http://secrets.rutgers.edu:8080/data/asl-ftp/asllvd/demos/verify_start_end_handshape_annotations//test_auto_move//signs_mov_separ_signers/Brady_16301.mov" TargetMode="External"/><Relationship Id="rId2757" Type="http://schemas.openxmlformats.org/officeDocument/2006/relationships/hyperlink" Target="http://csr.bu.edu/ftp/asl/asllvd/demos/verify_start_end_handshape_annotations//test_auto_move//signs_mov/3294_5056_merged.mov" TargetMode="External"/><Relationship Id="rId2758" Type="http://schemas.openxmlformats.org/officeDocument/2006/relationships/hyperlink" Target="http://csr.bu.edu/ftp/asl/asllvd/demos/verify_start_end_handshape_annotations//test_auto_move//signs_mov_separ_signers/Brady_3294.mov" TargetMode="External"/><Relationship Id="rId2759" Type="http://schemas.openxmlformats.org/officeDocument/2006/relationships/hyperlink" Target="http://secrets.rutgers.edu:8080/data/asl-ftp/asllvd/demos/verify_start_end_handshape_annotations//test_auto_move//signs_mov/3294_5056_merged.mov" TargetMode="External"/><Relationship Id="rId2760" Type="http://schemas.openxmlformats.org/officeDocument/2006/relationships/hyperlink" Target="http://secrets.rutgers.edu:8080/data/asl-ftp/asllvd/demos/verify_start_end_handshape_annotations//test_auto_move//signs_mov_separ_signers/Brady_3294.mov" TargetMode="External"/><Relationship Id="rId2761" Type="http://schemas.openxmlformats.org/officeDocument/2006/relationships/hyperlink" Target="http://csr.bu.edu/ftp/asl/asllvd/demos/verify_start_end_handshape_annotations//test_auto_move//signs_mov_separ_signers/Brady_5056.mov" TargetMode="External"/><Relationship Id="rId2762" Type="http://schemas.openxmlformats.org/officeDocument/2006/relationships/hyperlink" Target="http://secrets.rutgers.edu:8080/data/asl-ftp/asllvd/demos/verify_start_end_handshape_annotations//test_auto_move//signs_mov_separ_signers/Brady_5056.mov" TargetMode="External"/><Relationship Id="rId2763" Type="http://schemas.openxmlformats.org/officeDocument/2006/relationships/hyperlink" Target="http://csr.bu.edu/ftp/asl/asllvd/demos/verify_start_end_handshape_annotations//test_auto_move//signs_mov_separ_signers/Liz_305.mov" TargetMode="External"/><Relationship Id="rId2764" Type="http://schemas.openxmlformats.org/officeDocument/2006/relationships/hyperlink" Target="http://secrets.rutgers.edu:8080/data/asl-ftp/asllvd/demos/verify_start_end_handshape_annotations//test_auto_move//signs_mov_separ_signers/Liz_305.mov" TargetMode="External"/><Relationship Id="rId2765" Type="http://schemas.openxmlformats.org/officeDocument/2006/relationships/hyperlink" Target="http://csr.bu.edu/ftp/asl/asllvd/demos/verify_start_end_handshape_annotations//test_auto_move//signs_mov/305.mov" TargetMode="External"/><Relationship Id="rId2766" Type="http://schemas.openxmlformats.org/officeDocument/2006/relationships/hyperlink" Target="http://csr.bu.edu/ftp/asl/asllvd/demos/verify_start_end_handshape_annotations//test_auto_move//signs_mov_separ_signers/Tyler_305.mov" TargetMode="External"/><Relationship Id="rId2767" Type="http://schemas.openxmlformats.org/officeDocument/2006/relationships/hyperlink" Target="http://secrets.rutgers.edu:8080/data/asl-ftp/asllvd/demos/verify_start_end_handshape_annotations//test_auto_move//signs_mov/305.mov" TargetMode="External"/><Relationship Id="rId2768" Type="http://schemas.openxmlformats.org/officeDocument/2006/relationships/hyperlink" Target="http://secrets.rutgers.edu:8080/data/asl-ftp/asllvd/demos/verify_start_end_handshape_annotations//test_auto_move//signs_mov_separ_signers/Tyler_305.mov" TargetMode="External"/><Relationship Id="rId2769" Type="http://schemas.openxmlformats.org/officeDocument/2006/relationships/hyperlink" Target="http://csr.bu.edu/ftp/asl/asllvd/demos/verify_start_end_handshape_annotations//test_auto_move//signs_mov_separ_signers/Naomi_305.mov" TargetMode="External"/><Relationship Id="rId2770" Type="http://schemas.openxmlformats.org/officeDocument/2006/relationships/hyperlink" Target="http://secrets.rutgers.edu:8080/data/asl-ftp/asllvd/demos/verify_start_end_handshape_annotations//test_auto_move//signs_mov_separ_signers/Naomi_305.mov" TargetMode="External"/><Relationship Id="rId2771" Type="http://schemas.openxmlformats.org/officeDocument/2006/relationships/hyperlink" Target="http://csr.bu.edu/ftp/asl/asllvd/demos/verify_start_end_handshape_annotations//test_auto_move//signs_mov_separ_signers/Tyler_306.mov" TargetMode="External"/><Relationship Id="rId2772" Type="http://schemas.openxmlformats.org/officeDocument/2006/relationships/hyperlink" Target="http://secrets.rutgers.edu:8080/data/asl-ftp/asllvd/demos/verify_start_end_handshape_annotations//test_auto_move//signs_mov_separ_signers/Tyler_306.mov" TargetMode="External"/><Relationship Id="rId2773" Type="http://schemas.openxmlformats.org/officeDocument/2006/relationships/hyperlink" Target="http://csr.bu.edu/ftp/asl/asllvd/demos/verify_start_end_handshape_annotations//test_auto_move//signs_mov/306.mov" TargetMode="External"/><Relationship Id="rId2774" Type="http://schemas.openxmlformats.org/officeDocument/2006/relationships/hyperlink" Target="http://csr.bu.edu/ftp/asl/asllvd/demos/verify_start_end_handshape_annotations//test_auto_move//signs_mov_separ_signers/Naomi_306.mov" TargetMode="External"/><Relationship Id="rId2775" Type="http://schemas.openxmlformats.org/officeDocument/2006/relationships/hyperlink" Target="http://secrets.rutgers.edu:8080/data/asl-ftp/asllvd/demos/verify_start_end_handshape_annotations//test_auto_move//signs_mov/306.mov" TargetMode="External"/><Relationship Id="rId2776" Type="http://schemas.openxmlformats.org/officeDocument/2006/relationships/hyperlink" Target="http://secrets.rutgers.edu:8080/data/asl-ftp/asllvd/demos/verify_start_end_handshape_annotations//test_auto_move//signs_mov_separ_signers/Naomi_306.mov" TargetMode="External"/><Relationship Id="rId2777" Type="http://schemas.openxmlformats.org/officeDocument/2006/relationships/hyperlink" Target="http://csr.bu.edu/ftp/asl/asllvd/demos/verify_start_end_handshape_annotations//test_auto_move//signs_mov_separ_signers/Brady_306.mov" TargetMode="External"/><Relationship Id="rId2778" Type="http://schemas.openxmlformats.org/officeDocument/2006/relationships/hyperlink" Target="http://secrets.rutgers.edu:8080/data/asl-ftp/asllvd/demos/verify_start_end_handshape_annotations//test_auto_move//signs_mov_separ_signers/Brady_306.mov" TargetMode="External"/><Relationship Id="rId2779" Type="http://schemas.openxmlformats.org/officeDocument/2006/relationships/hyperlink" Target="http://csr.bu.edu/ftp/asl/asllvd/demos/verify_start_end_handshape_annotations//test_auto_move//signs_mov/5112.mov" TargetMode="External"/><Relationship Id="rId2780" Type="http://schemas.openxmlformats.org/officeDocument/2006/relationships/hyperlink" Target="http://csr.bu.edu/ftp/asl/asllvd/demos/verify_start_end_handshape_annotations//test_auto_move//signs_mov_separ_signers/Lana_5112.mov" TargetMode="External"/><Relationship Id="rId2781" Type="http://schemas.openxmlformats.org/officeDocument/2006/relationships/hyperlink" Target="http://secrets.rutgers.edu:8080/data/asl-ftp/asllvd/demos/verify_start_end_handshape_annotations//test_auto_move//signs_mov/5112.mov" TargetMode="External"/><Relationship Id="rId2782" Type="http://schemas.openxmlformats.org/officeDocument/2006/relationships/hyperlink" Target="http://secrets.rutgers.edu:8080/data/asl-ftp/asllvd/demos/verify_start_end_handshape_annotations//test_auto_move//signs_mov_separ_signers/Lana_5112.mov" TargetMode="External"/><Relationship Id="rId2783" Type="http://schemas.openxmlformats.org/officeDocument/2006/relationships/hyperlink" Target="http://csr.bu.edu/ftp/asl/asllvd/demos/verify_start_end_handshape_annotations//test_auto_move//signs_mov/16247.mov" TargetMode="External"/><Relationship Id="rId2784" Type="http://schemas.openxmlformats.org/officeDocument/2006/relationships/hyperlink" Target="http://csr.bu.edu/ftp/asl/asllvd/demos/verify_start_end_handshape_annotations//test_auto_move//signs_mov_separ_signers/Liz_16247.mov" TargetMode="External"/><Relationship Id="rId2785" Type="http://schemas.openxmlformats.org/officeDocument/2006/relationships/hyperlink" Target="http://secrets.rutgers.edu:8080/data/asl-ftp/asllvd/demos/verify_start_end_handshape_annotations//test_auto_move//signs_mov/16247.mov" TargetMode="External"/><Relationship Id="rId2786" Type="http://schemas.openxmlformats.org/officeDocument/2006/relationships/hyperlink" Target="http://secrets.rutgers.edu:8080/data/asl-ftp/asllvd/demos/verify_start_end_handshape_annotations//test_auto_move//signs_mov_separ_signers/Liz_16247.mov" TargetMode="External"/><Relationship Id="rId2787" Type="http://schemas.openxmlformats.org/officeDocument/2006/relationships/hyperlink" Target="http://csr.bu.edu/ftp/asl/asllvd/demos/verify_start_end_handshape_annotations//test_auto_move//signs_mov_separ_signers/Dana_16247.mov" TargetMode="External"/><Relationship Id="rId2788" Type="http://schemas.openxmlformats.org/officeDocument/2006/relationships/hyperlink" Target="http://secrets.rutgers.edu:8080/data/asl-ftp/asllvd/demos/verify_start_end_handshape_annotations//test_auto_move//signs_mov_separ_signers/Dana_16247.mov" TargetMode="External"/><Relationship Id="rId2789" Type="http://schemas.openxmlformats.org/officeDocument/2006/relationships/hyperlink" Target="http://csr.bu.edu/ftp/asl/asllvd/demos/verify_start_end_handshape_annotations//test_auto_move//signs_mov/307.mov" TargetMode="External"/><Relationship Id="rId2790" Type="http://schemas.openxmlformats.org/officeDocument/2006/relationships/hyperlink" Target="http://csr.bu.edu/ftp/asl/asllvd/demos/verify_start_end_handshape_annotations//test_auto_move//signs_mov_separ_signers/Liz_307.mov" TargetMode="External"/><Relationship Id="rId2791" Type="http://schemas.openxmlformats.org/officeDocument/2006/relationships/hyperlink" Target="http://secrets.rutgers.edu:8080/data/asl-ftp/asllvd/demos/verify_start_end_handshape_annotations//test_auto_move//signs_mov/307.mov" TargetMode="External"/><Relationship Id="rId2792" Type="http://schemas.openxmlformats.org/officeDocument/2006/relationships/hyperlink" Target="http://secrets.rutgers.edu:8080/data/asl-ftp/asllvd/demos/verify_start_end_handshape_annotations//test_auto_move//signs_mov_separ_signers/Liz_307.mov" TargetMode="External"/><Relationship Id="rId2793" Type="http://schemas.openxmlformats.org/officeDocument/2006/relationships/hyperlink" Target="http://csr.bu.edu/ftp/asl/asllvd/demos/verify_start_end_handshape_annotations//test_auto_move//signs_mov_separ_signers/Liz_3583.mov" TargetMode="External"/><Relationship Id="rId2794" Type="http://schemas.openxmlformats.org/officeDocument/2006/relationships/hyperlink" Target="http://secrets.rutgers.edu:8080/data/asl-ftp/asllvd/demos/verify_start_end_handshape_annotations//test_auto_move//signs_mov_separ_signers/Liz_3583.mov" TargetMode="External"/><Relationship Id="rId2795" Type="http://schemas.openxmlformats.org/officeDocument/2006/relationships/hyperlink" Target="http://csr.bu.edu/ftp/asl/asllvd/demos/verify_start_end_handshape_annotations//test_auto_move//signs_mov_separ_signers/Liz_3849.mov" TargetMode="External"/><Relationship Id="rId2796" Type="http://schemas.openxmlformats.org/officeDocument/2006/relationships/hyperlink" Target="http://secrets.rutgers.edu:8080/data/asl-ftp/asllvd/demos/verify_start_end_handshape_annotations//test_auto_move//signs_mov_separ_signers/Liz_3849.mov" TargetMode="External"/><Relationship Id="rId2797" Type="http://schemas.openxmlformats.org/officeDocument/2006/relationships/hyperlink" Target="http://csr.bu.edu/ftp/asl/asllvd/demos/verify_start_end_handshape_annotations//test_auto_move//signs_mov_separ_signers/Liz_5633.mov" TargetMode="External"/><Relationship Id="rId2798" Type="http://schemas.openxmlformats.org/officeDocument/2006/relationships/hyperlink" Target="http://secrets.rutgers.edu:8080/data/asl-ftp/asllvd/demos/verify_start_end_handshape_annotations//test_auto_move//signs_mov_separ_signers/Liz_5633.mov" TargetMode="External"/><Relationship Id="rId2799" Type="http://schemas.openxmlformats.org/officeDocument/2006/relationships/hyperlink" Target="http://csr.bu.edu/ftp/asl/asllvd/demos/verify_start_end_handshape_annotations//test_auto_move//signs_mov_separ_signers/Tyler_3583.mov" TargetMode="External"/><Relationship Id="rId2800" Type="http://schemas.openxmlformats.org/officeDocument/2006/relationships/hyperlink" Target="http://secrets.rutgers.edu:8080/data/asl-ftp/asllvd/demos/verify_start_end_handshape_annotations//test_auto_move//signs_mov_separ_signers/Tyler_3583.mov" TargetMode="External"/><Relationship Id="rId2801" Type="http://schemas.openxmlformats.org/officeDocument/2006/relationships/hyperlink" Target="http://csr.bu.edu/ftp/asl/asllvd/demos/verify_start_end_handshape_annotations//test_auto_move//signs_mov/3583_3849_5633_5635_5951_merged.mov" TargetMode="External"/><Relationship Id="rId2802" Type="http://schemas.openxmlformats.org/officeDocument/2006/relationships/hyperlink" Target="http://csr.bu.edu/ftp/asl/asllvd/demos/verify_start_end_handshape_annotations//test_auto_move//signs_mov_separ_signers/Naomi_3583.mov" TargetMode="External"/><Relationship Id="rId2803" Type="http://schemas.openxmlformats.org/officeDocument/2006/relationships/hyperlink" Target="http://secrets.rutgers.edu:8080/data/asl-ftp/asllvd/demos/verify_start_end_handshape_annotations//test_auto_move//signs_mov/3583_3849_5633_5635_5951_merged.mov" TargetMode="External"/><Relationship Id="rId2804" Type="http://schemas.openxmlformats.org/officeDocument/2006/relationships/hyperlink" Target="http://secrets.rutgers.edu:8080/data/asl-ftp/asllvd/demos/verify_start_end_handshape_annotations//test_auto_move//signs_mov_separ_signers/Naomi_3583.mov" TargetMode="External"/><Relationship Id="rId2805" Type="http://schemas.openxmlformats.org/officeDocument/2006/relationships/hyperlink" Target="http://csr.bu.edu/ftp/asl/asllvd/demos/verify_start_end_handshape_annotations//test_auto_move//signs_mov_separ_signers/Brady_3583.mov" TargetMode="External"/><Relationship Id="rId2806" Type="http://schemas.openxmlformats.org/officeDocument/2006/relationships/hyperlink" Target="http://secrets.rutgers.edu:8080/data/asl-ftp/asllvd/demos/verify_start_end_handshape_annotations//test_auto_move//signs_mov_separ_signers/Brady_3583.mov" TargetMode="External"/><Relationship Id="rId2807" Type="http://schemas.openxmlformats.org/officeDocument/2006/relationships/hyperlink" Target="http://csr.bu.edu/ftp/asl/asllvd/demos/verify_start_end_handshape_annotations//test_auto_move//signs_mov_separ_signers/Brady_3849.mov" TargetMode="External"/><Relationship Id="rId2808" Type="http://schemas.openxmlformats.org/officeDocument/2006/relationships/hyperlink" Target="http://secrets.rutgers.edu:8080/data/asl-ftp/asllvd/demos/verify_start_end_handshape_annotations//test_auto_move//signs_mov_separ_signers/Brady_3849.mov" TargetMode="External"/><Relationship Id="rId2809" Type="http://schemas.openxmlformats.org/officeDocument/2006/relationships/hyperlink" Target="http://csr.bu.edu/ftp/asl/asllvd/demos/verify_start_end_handshape_annotations//test_auto_move//signs_mov_separ_signers/Brady_5633.mov" TargetMode="External"/><Relationship Id="rId2810" Type="http://schemas.openxmlformats.org/officeDocument/2006/relationships/hyperlink" Target="http://secrets.rutgers.edu:8080/data/asl-ftp/asllvd/demos/verify_start_end_handshape_annotations//test_auto_move//signs_mov_separ_signers/Brady_5633.mov" TargetMode="External"/><Relationship Id="rId2811" Type="http://schemas.openxmlformats.org/officeDocument/2006/relationships/hyperlink" Target="http://csr.bu.edu/ftp/asl/asllvd/demos/verify_start_end_handshape_annotations//test_auto_move//signs_mov_separ_signers/Brady_5635.mov" TargetMode="External"/><Relationship Id="rId2812" Type="http://schemas.openxmlformats.org/officeDocument/2006/relationships/hyperlink" Target="http://secrets.rutgers.edu:8080/data/asl-ftp/asllvd/demos/verify_start_end_handshape_annotations//test_auto_move//signs_mov_separ_signers/Brady_5635.mov" TargetMode="External"/><Relationship Id="rId2813" Type="http://schemas.openxmlformats.org/officeDocument/2006/relationships/hyperlink" Target="http://csr.bu.edu/ftp/asl/asllvd/demos/verify_start_end_handshape_annotations//test_auto_move//signs_mov_separ_signers/Brady_5951.mov" TargetMode="External"/><Relationship Id="rId2814" Type="http://schemas.openxmlformats.org/officeDocument/2006/relationships/hyperlink" Target="http://secrets.rutgers.edu:8080/data/asl-ftp/asllvd/demos/verify_start_end_handshape_annotations//test_auto_move//signs_mov_separ_signers/Brady_5951.mov" TargetMode="External"/><Relationship Id="rId2815" Type="http://schemas.openxmlformats.org/officeDocument/2006/relationships/hyperlink" Target="http://csr.bu.edu/ftp/asl/asllvd/demos/verify_start_end_handshape_annotations//test_auto_move//signs_mov_separ_signers/Liz_311.mov" TargetMode="External"/><Relationship Id="rId2816" Type="http://schemas.openxmlformats.org/officeDocument/2006/relationships/hyperlink" Target="http://secrets.rutgers.edu:8080/data/asl-ftp/asllvd/demos/verify_start_end_handshape_annotations//test_auto_move//signs_mov_separ_signers/Liz_311.mov" TargetMode="External"/><Relationship Id="rId2817" Type="http://schemas.openxmlformats.org/officeDocument/2006/relationships/hyperlink" Target="http://csr.bu.edu/ftp/asl/asllvd/demos/verify_start_end_handshape_annotations//test_auto_move//signs_mov_separ_signers/Liz_3678.mov" TargetMode="External"/><Relationship Id="rId2818" Type="http://schemas.openxmlformats.org/officeDocument/2006/relationships/hyperlink" Target="http://secrets.rutgers.edu:8080/data/asl-ftp/asllvd/demos/verify_start_end_handshape_annotations//test_auto_move//signs_mov_separ_signers/Liz_3678.mov" TargetMode="External"/><Relationship Id="rId2819" Type="http://schemas.openxmlformats.org/officeDocument/2006/relationships/hyperlink" Target="http://csr.bu.edu/ftp/asl/asllvd/demos/verify_start_end_handshape_annotations//test_auto_move//signs_mov_separ_signers/Tyler_311.mov" TargetMode="External"/><Relationship Id="rId2820" Type="http://schemas.openxmlformats.org/officeDocument/2006/relationships/hyperlink" Target="http://secrets.rutgers.edu:8080/data/asl-ftp/asllvd/demos/verify_start_end_handshape_annotations//test_auto_move//signs_mov_separ_signers/Tyler_311.mov" TargetMode="External"/><Relationship Id="rId2821" Type="http://schemas.openxmlformats.org/officeDocument/2006/relationships/hyperlink" Target="http://csr.bu.edu/ftp/asl/asllvd/demos/verify_start_end_handshape_annotations//test_auto_move//signs_mov/311_3678_merged.mov" TargetMode="External"/><Relationship Id="rId2822" Type="http://schemas.openxmlformats.org/officeDocument/2006/relationships/hyperlink" Target="http://csr.bu.edu/ftp/asl/asllvd/demos/verify_start_end_handshape_annotations//test_auto_move//signs_mov_separ_signers/Naomi_311.mov" TargetMode="External"/><Relationship Id="rId2823" Type="http://schemas.openxmlformats.org/officeDocument/2006/relationships/hyperlink" Target="http://secrets.rutgers.edu:8080/data/asl-ftp/asllvd/demos/verify_start_end_handshape_annotations//test_auto_move//signs_mov/311_3678_merged.mov" TargetMode="External"/><Relationship Id="rId2824" Type="http://schemas.openxmlformats.org/officeDocument/2006/relationships/hyperlink" Target="http://secrets.rutgers.edu:8080/data/asl-ftp/asllvd/demos/verify_start_end_handshape_annotations//test_auto_move//signs_mov_separ_signers/Naomi_311.mov" TargetMode="External"/><Relationship Id="rId2825" Type="http://schemas.openxmlformats.org/officeDocument/2006/relationships/hyperlink" Target="http://csr.bu.edu/ftp/asl/asllvd/demos/verify_start_end_handshape_annotations//test_auto_move//signs_mov_separ_signers/Naomi_3678.mov" TargetMode="External"/><Relationship Id="rId2826" Type="http://schemas.openxmlformats.org/officeDocument/2006/relationships/hyperlink" Target="http://secrets.rutgers.edu:8080/data/asl-ftp/asllvd/demos/verify_start_end_handshape_annotations//test_auto_move//signs_mov_separ_signers/Naomi_3678.mov" TargetMode="External"/><Relationship Id="rId2827" Type="http://schemas.openxmlformats.org/officeDocument/2006/relationships/hyperlink" Target="http://csr.bu.edu/ftp/asl/asllvd/demos/verify_start_end_handshape_annotations//test_auto_move//signs_mov_separ_signers/Brady_311.mov" TargetMode="External"/><Relationship Id="rId2828" Type="http://schemas.openxmlformats.org/officeDocument/2006/relationships/hyperlink" Target="http://secrets.rutgers.edu:8080/data/asl-ftp/asllvd/demos/verify_start_end_handshape_annotations//test_auto_move//signs_mov_separ_signers/Brady_311.mov" TargetMode="External"/><Relationship Id="rId2829" Type="http://schemas.openxmlformats.org/officeDocument/2006/relationships/hyperlink" Target="http://csr.bu.edu/ftp/asl/asllvd/demos/verify_start_end_handshape_annotations//test_auto_move//signs_mov_separ_signers/Lana_311.mov" TargetMode="External"/><Relationship Id="rId2830" Type="http://schemas.openxmlformats.org/officeDocument/2006/relationships/hyperlink" Target="http://secrets.rutgers.edu:8080/data/asl-ftp/asllvd/demos/verify_start_end_handshape_annotations//test_auto_move//signs_mov_separ_signers/Lana_311.mov" TargetMode="External"/><Relationship Id="rId2831" Type="http://schemas.openxmlformats.org/officeDocument/2006/relationships/hyperlink" Target="http://csr.bu.edu/ftp/asl/asllvd/demos/verify_start_end_handshape_annotations//test_auto_move//signs_mov/313.mov" TargetMode="External"/><Relationship Id="rId2832" Type="http://schemas.openxmlformats.org/officeDocument/2006/relationships/hyperlink" Target="http://csr.bu.edu/ftp/asl/asllvd/demos/verify_start_end_handshape_annotations//test_auto_move//signs_mov_separ_signers/Liz_313.mov" TargetMode="External"/><Relationship Id="rId2833" Type="http://schemas.openxmlformats.org/officeDocument/2006/relationships/hyperlink" Target="http://secrets.rutgers.edu:8080/data/asl-ftp/asllvd/demos/verify_start_end_handshape_annotations//test_auto_move//signs_mov/313.mov" TargetMode="External"/><Relationship Id="rId2834" Type="http://schemas.openxmlformats.org/officeDocument/2006/relationships/hyperlink" Target="http://secrets.rutgers.edu:8080/data/asl-ftp/asllvd/demos/verify_start_end_handshape_annotations//test_auto_move//signs_mov_separ_signers/Liz_313.mov" TargetMode="External"/><Relationship Id="rId2835" Type="http://schemas.openxmlformats.org/officeDocument/2006/relationships/hyperlink" Target="http://csr.bu.edu/ftp/asl/asllvd/demos/verify_start_end_handshape_annotations//test_auto_move//signs_mov_separ_signers/Tyler_313.mov" TargetMode="External"/><Relationship Id="rId2836" Type="http://schemas.openxmlformats.org/officeDocument/2006/relationships/hyperlink" Target="http://secrets.rutgers.edu:8080/data/asl-ftp/asllvd/demos/verify_start_end_handshape_annotations//test_auto_move//signs_mov_separ_signers/Tyler_313.mov" TargetMode="External"/><Relationship Id="rId2837" Type="http://schemas.openxmlformats.org/officeDocument/2006/relationships/hyperlink" Target="http://csr.bu.edu/ftp/asl/asllvd/demos/verify_start_end_handshape_annotations//test_auto_move//signs_mov/16248.mov" TargetMode="External"/><Relationship Id="rId2838" Type="http://schemas.openxmlformats.org/officeDocument/2006/relationships/hyperlink" Target="http://csr.bu.edu/ftp/asl/asllvd/demos/verify_start_end_handshape_annotations//test_auto_move//signs_mov_separ_signers/Naomi_16248.mov" TargetMode="External"/><Relationship Id="rId2839" Type="http://schemas.openxmlformats.org/officeDocument/2006/relationships/hyperlink" Target="http://secrets.rutgers.edu:8080/data/asl-ftp/asllvd/demos/verify_start_end_handshape_annotations//test_auto_move//signs_mov/16248.mov" TargetMode="External"/><Relationship Id="rId2840" Type="http://schemas.openxmlformats.org/officeDocument/2006/relationships/hyperlink" Target="http://secrets.rutgers.edu:8080/data/asl-ftp/asllvd/demos/verify_start_end_handshape_annotations//test_auto_move//signs_mov_separ_signers/Naomi_16248.mov" TargetMode="External"/><Relationship Id="rId2841" Type="http://schemas.openxmlformats.org/officeDocument/2006/relationships/hyperlink" Target="http://csr.bu.edu/ftp/asl/asllvd/demos/verify_start_end_handshape_annotations//test_auto_move//signs_mov_separ_signers/Brady_16248.mov" TargetMode="External"/><Relationship Id="rId2842" Type="http://schemas.openxmlformats.org/officeDocument/2006/relationships/hyperlink" Target="http://secrets.rutgers.edu:8080/data/asl-ftp/asllvd/demos/verify_start_end_handshape_annotations//test_auto_move//signs_mov_separ_signers/Brady_16248.mov" TargetMode="External"/><Relationship Id="rId2843" Type="http://schemas.openxmlformats.org/officeDocument/2006/relationships/hyperlink" Target="http://csr.bu.edu/ftp/asl/asllvd/demos/verify_start_end_handshape_annotations//test_auto_move//signs_mov/314.mov" TargetMode="External"/><Relationship Id="rId2844" Type="http://schemas.openxmlformats.org/officeDocument/2006/relationships/hyperlink" Target="http://csr.bu.edu/ftp/asl/asllvd/demos/verify_start_end_handshape_annotations//test_auto_move//signs_mov_separ_signers/Liz_314.mov" TargetMode="External"/><Relationship Id="rId2845" Type="http://schemas.openxmlformats.org/officeDocument/2006/relationships/hyperlink" Target="http://secrets.rutgers.edu:8080/data/asl-ftp/asllvd/demos/verify_start_end_handshape_annotations//test_auto_move//signs_mov/314.mov" TargetMode="External"/><Relationship Id="rId2846" Type="http://schemas.openxmlformats.org/officeDocument/2006/relationships/hyperlink" Target="http://secrets.rutgers.edu:8080/data/asl-ftp/asllvd/demos/verify_start_end_handshape_annotations//test_auto_move//signs_mov_separ_signers/Liz_314.mov" TargetMode="External"/><Relationship Id="rId2847" Type="http://schemas.openxmlformats.org/officeDocument/2006/relationships/hyperlink" Target="http://csr.bu.edu/ftp/asl/asllvd/demos/verify_start_end_handshape_annotations//test_auto_move//signs_mov_separ_signers/Naomi_314.mov" TargetMode="External"/><Relationship Id="rId2848" Type="http://schemas.openxmlformats.org/officeDocument/2006/relationships/hyperlink" Target="http://secrets.rutgers.edu:8080/data/asl-ftp/asllvd/demos/verify_start_end_handshape_annotations//test_auto_move//signs_mov_separ_signers/Naomi_314.mov" TargetMode="External"/><Relationship Id="rId2849" Type="http://schemas.openxmlformats.org/officeDocument/2006/relationships/hyperlink" Target="http://csr.bu.edu/ftp/asl/asllvd/demos/verify_start_end_handshape_annotations//test_auto_move//signs_mov/15953.mov" TargetMode="External"/><Relationship Id="rId2850" Type="http://schemas.openxmlformats.org/officeDocument/2006/relationships/hyperlink" Target="http://csr.bu.edu/ftp/asl/asllvd/demos/verify_start_end_handshape_annotations//test_auto_move//signs_mov_separ_signers/Tyler_15953.mov" TargetMode="External"/><Relationship Id="rId2851" Type="http://schemas.openxmlformats.org/officeDocument/2006/relationships/hyperlink" Target="http://secrets.rutgers.edu:8080/data/asl-ftp/asllvd/demos/verify_start_end_handshape_annotations//test_auto_move//signs_mov/15953.mov" TargetMode="External"/><Relationship Id="rId2852" Type="http://schemas.openxmlformats.org/officeDocument/2006/relationships/hyperlink" Target="http://secrets.rutgers.edu:8080/data/asl-ftp/asllvd/demos/verify_start_end_handshape_annotations//test_auto_move//signs_mov_separ_signers/Tyler_15953.mov" TargetMode="External"/><Relationship Id="rId2853" Type="http://schemas.openxmlformats.org/officeDocument/2006/relationships/hyperlink" Target="http://csr.bu.edu/ftp/asl/asllvd/demos/verify_start_end_handshape_annotations//test_auto_move//signs_mov_separ_signers/Liz_15997.mov" TargetMode="External"/><Relationship Id="rId2854" Type="http://schemas.openxmlformats.org/officeDocument/2006/relationships/hyperlink" Target="http://secrets.rutgers.edu:8080/data/asl-ftp/asllvd/demos/verify_start_end_handshape_annotations//test_auto_move//signs_mov_separ_signers/Liz_15997.mov" TargetMode="External"/><Relationship Id="rId2855" Type="http://schemas.openxmlformats.org/officeDocument/2006/relationships/hyperlink" Target="http://csr.bu.edu/ftp/asl/asllvd/demos/verify_start_end_handshape_annotations//test_auto_move//signs_mov/15997_16249_merged.mov" TargetMode="External"/><Relationship Id="rId2856" Type="http://schemas.openxmlformats.org/officeDocument/2006/relationships/hyperlink" Target="http://csr.bu.edu/ftp/asl/asllvd/demos/verify_start_end_handshape_annotations//test_auto_move//signs_mov_separ_signers/Brady_15997.mov" TargetMode="External"/><Relationship Id="rId2857" Type="http://schemas.openxmlformats.org/officeDocument/2006/relationships/hyperlink" Target="http://secrets.rutgers.edu:8080/data/asl-ftp/asllvd/demos/verify_start_end_handshape_annotations//test_auto_move//signs_mov/15997_16249_merged.mov" TargetMode="External"/><Relationship Id="rId2858" Type="http://schemas.openxmlformats.org/officeDocument/2006/relationships/hyperlink" Target="http://secrets.rutgers.edu:8080/data/asl-ftp/asllvd/demos/verify_start_end_handshape_annotations//test_auto_move//signs_mov_separ_signers/Brady_15997.mov" TargetMode="External"/><Relationship Id="rId2859" Type="http://schemas.openxmlformats.org/officeDocument/2006/relationships/hyperlink" Target="http://csr.bu.edu/ftp/asl/asllvd/demos/verify_start_end_handshape_annotations//test_auto_move//signs_mov_separ_signers/Brady_16249.mov" TargetMode="External"/><Relationship Id="rId2860" Type="http://schemas.openxmlformats.org/officeDocument/2006/relationships/hyperlink" Target="http://secrets.rutgers.edu:8080/data/asl-ftp/asllvd/demos/verify_start_end_handshape_annotations//test_auto_move//signs_mov_separ_signers/Brady_16249.mov" TargetMode="External"/><Relationship Id="rId2861" Type="http://schemas.openxmlformats.org/officeDocument/2006/relationships/hyperlink" Target="http://csr.bu.edu/ftp/asl/asllvd/demos/verify_start_end_handshape_annotations//test_auto_move//signs_mov_separ_signers/Liz_315.mov" TargetMode="External"/><Relationship Id="rId2862" Type="http://schemas.openxmlformats.org/officeDocument/2006/relationships/hyperlink" Target="http://secrets.rutgers.edu:8080/data/asl-ftp/asllvd/demos/verify_start_end_handshape_annotations//test_auto_move//signs_mov_separ_signers/Liz_315.mov" TargetMode="External"/><Relationship Id="rId2863" Type="http://schemas.openxmlformats.org/officeDocument/2006/relationships/hyperlink" Target="http://csr.bu.edu/ftp/asl/asllvd/demos/verify_start_end_handshape_annotations//test_auto_move//signs_mov/315.mov" TargetMode="External"/><Relationship Id="rId2864" Type="http://schemas.openxmlformats.org/officeDocument/2006/relationships/hyperlink" Target="http://csr.bu.edu/ftp/asl/asllvd/demos/verify_start_end_handshape_annotations//test_auto_move//signs_mov_separ_signers/Tyler_315.mov" TargetMode="External"/><Relationship Id="rId2865" Type="http://schemas.openxmlformats.org/officeDocument/2006/relationships/hyperlink" Target="http://secrets.rutgers.edu:8080/data/asl-ftp/asllvd/demos/verify_start_end_handshape_annotations//test_auto_move//signs_mov/315.mov" TargetMode="External"/><Relationship Id="rId2866" Type="http://schemas.openxmlformats.org/officeDocument/2006/relationships/hyperlink" Target="http://secrets.rutgers.edu:8080/data/asl-ftp/asllvd/demos/verify_start_end_handshape_annotations//test_auto_move//signs_mov_separ_signers/Tyler_315.mov" TargetMode="External"/><Relationship Id="rId2867" Type="http://schemas.openxmlformats.org/officeDocument/2006/relationships/hyperlink" Target="http://csr.bu.edu/ftp/asl/asllvd/demos/verify_start_end_handshape_annotations//test_auto_move//signs_mov_separ_signers/Naomi_315.mov" TargetMode="External"/><Relationship Id="rId2868" Type="http://schemas.openxmlformats.org/officeDocument/2006/relationships/hyperlink" Target="http://secrets.rutgers.edu:8080/data/asl-ftp/asllvd/demos/verify_start_end_handshape_annotations//test_auto_move//signs_mov_separ_signers/Naomi_315.mov" TargetMode="External"/><Relationship Id="rId2869" Type="http://schemas.openxmlformats.org/officeDocument/2006/relationships/hyperlink" Target="http://csr.bu.edu/ftp/asl/asllvd/demos/verify_start_end_handshape_annotations//test_auto_move//signs_mov_separ_signers/Brady_315.mov" TargetMode="External"/><Relationship Id="rId2870" Type="http://schemas.openxmlformats.org/officeDocument/2006/relationships/hyperlink" Target="http://secrets.rutgers.edu:8080/data/asl-ftp/asllvd/demos/verify_start_end_handshape_annotations//test_auto_move//signs_mov_separ_signers/Brady_315.mov" TargetMode="External"/><Relationship Id="rId2871" Type="http://schemas.openxmlformats.org/officeDocument/2006/relationships/hyperlink" Target="http://csr.bu.edu/ftp/asl/asllvd/demos/verify_start_end_handshape_annotations//test_auto_move//signs_mov/317.mov" TargetMode="External"/><Relationship Id="rId2872" Type="http://schemas.openxmlformats.org/officeDocument/2006/relationships/hyperlink" Target="http://csr.bu.edu/ftp/asl/asllvd/demos/verify_start_end_handshape_annotations//test_auto_move//signs_mov_separ_signers/Tyler_317.mov" TargetMode="External"/><Relationship Id="rId2873" Type="http://schemas.openxmlformats.org/officeDocument/2006/relationships/hyperlink" Target="http://secrets.rutgers.edu:8080/data/asl-ftp/asllvd/demos/verify_start_end_handshape_annotations//test_auto_move//signs_mov/317.mov" TargetMode="External"/><Relationship Id="rId2874" Type="http://schemas.openxmlformats.org/officeDocument/2006/relationships/hyperlink" Target="http://secrets.rutgers.edu:8080/data/asl-ftp/asllvd/demos/verify_start_end_handshape_annotations//test_auto_move//signs_mov_separ_signers/Tyler_317.mov" TargetMode="External"/><Relationship Id="rId2875" Type="http://schemas.openxmlformats.org/officeDocument/2006/relationships/hyperlink" Target="http://csr.bu.edu/ftp/asl/asllvd/demos/verify_start_end_handshape_annotations//test_auto_move//signs_mov_separ_signers/Brady_317.mov" TargetMode="External"/><Relationship Id="rId2876" Type="http://schemas.openxmlformats.org/officeDocument/2006/relationships/hyperlink" Target="http://secrets.rutgers.edu:8080/data/asl-ftp/asllvd/demos/verify_start_end_handshape_annotations//test_auto_move//signs_mov_separ_signers/Brady_317.mov" TargetMode="External"/><Relationship Id="rId2877" Type="http://schemas.openxmlformats.org/officeDocument/2006/relationships/hyperlink" Target="http://csr.bu.edu/ftp/asl/asllvd/demos/verify_start_end_handshape_annotations//test_auto_move//signs_mov_separ_signers/Liz_3956.mov" TargetMode="External"/><Relationship Id="rId2878" Type="http://schemas.openxmlformats.org/officeDocument/2006/relationships/hyperlink" Target="http://secrets.rutgers.edu:8080/data/asl-ftp/asllvd/demos/verify_start_end_handshape_annotations//test_auto_move//signs_mov_separ_signers/Liz_3956.mov" TargetMode="External"/><Relationship Id="rId2879" Type="http://schemas.openxmlformats.org/officeDocument/2006/relationships/hyperlink" Target="http://csr.bu.edu/ftp/asl/asllvd/demos/verify_start_end_handshape_annotations//test_auto_move//signs_mov/3956.mov" TargetMode="External"/><Relationship Id="rId2880" Type="http://schemas.openxmlformats.org/officeDocument/2006/relationships/hyperlink" Target="http://csr.bu.edu/ftp/asl/asllvd/demos/verify_start_end_handshape_annotations//test_auto_move//signs_mov_separ_signers/Naomi_3956.mov" TargetMode="External"/><Relationship Id="rId2881" Type="http://schemas.openxmlformats.org/officeDocument/2006/relationships/hyperlink" Target="http://secrets.rutgers.edu:8080/data/asl-ftp/asllvd/demos/verify_start_end_handshape_annotations//test_auto_move//signs_mov/3956.mov" TargetMode="External"/><Relationship Id="rId2882" Type="http://schemas.openxmlformats.org/officeDocument/2006/relationships/hyperlink" Target="http://secrets.rutgers.edu:8080/data/asl-ftp/asllvd/demos/verify_start_end_handshape_annotations//test_auto_move//signs_mov_separ_signers/Naomi_3956.mov" TargetMode="External"/><Relationship Id="rId2883" Type="http://schemas.openxmlformats.org/officeDocument/2006/relationships/hyperlink" Target="http://csr.bu.edu/ftp/asl/asllvd/demos/verify_start_end_handshape_annotations//test_auto_move//signs_mov_separ_signers/Brady_3956.mov" TargetMode="External"/><Relationship Id="rId2884" Type="http://schemas.openxmlformats.org/officeDocument/2006/relationships/hyperlink" Target="http://secrets.rutgers.edu:8080/data/asl-ftp/asllvd/demos/verify_start_end_handshape_annotations//test_auto_move//signs_mov_separ_signers/Brady_3956.mov" TargetMode="External"/><Relationship Id="rId2885" Type="http://schemas.openxmlformats.org/officeDocument/2006/relationships/hyperlink" Target="http://csr.bu.edu/ftp/asl/asllvd/demos/verify_start_end_handshape_annotations//test_auto_move//signs_mov_separ_signers/Liz_320.mov" TargetMode="External"/><Relationship Id="rId2886" Type="http://schemas.openxmlformats.org/officeDocument/2006/relationships/hyperlink" Target="http://secrets.rutgers.edu:8080/data/asl-ftp/asllvd/demos/verify_start_end_handshape_annotations//test_auto_move//signs_mov_separ_signers/Liz_320.mov" TargetMode="External"/><Relationship Id="rId2887" Type="http://schemas.openxmlformats.org/officeDocument/2006/relationships/hyperlink" Target="http://csr.bu.edu/ftp/asl/asllvd/demos/verify_start_end_handshape_annotations//test_auto_move//signs_mov/320.mov" TargetMode="External"/><Relationship Id="rId2888" Type="http://schemas.openxmlformats.org/officeDocument/2006/relationships/hyperlink" Target="http://csr.bu.edu/ftp/asl/asllvd/demos/verify_start_end_handshape_annotations//test_auto_move//signs_mov_separ_signers/Tyler_320.mov" TargetMode="External"/><Relationship Id="rId2889" Type="http://schemas.openxmlformats.org/officeDocument/2006/relationships/hyperlink" Target="http://secrets.rutgers.edu:8080/data/asl-ftp/asllvd/demos/verify_start_end_handshape_annotations//test_auto_move//signs_mov/320.mov" TargetMode="External"/><Relationship Id="rId2890" Type="http://schemas.openxmlformats.org/officeDocument/2006/relationships/hyperlink" Target="http://secrets.rutgers.edu:8080/data/asl-ftp/asllvd/demos/verify_start_end_handshape_annotations//test_auto_move//signs_mov_separ_signers/Tyler_320.mov" TargetMode="External"/><Relationship Id="rId2891" Type="http://schemas.openxmlformats.org/officeDocument/2006/relationships/hyperlink" Target="http://csr.bu.edu/ftp/asl/asllvd/demos/verify_start_end_handshape_annotations//test_auto_move//signs_mov_separ_signers/Naomi_320.mov" TargetMode="External"/><Relationship Id="rId2892" Type="http://schemas.openxmlformats.org/officeDocument/2006/relationships/hyperlink" Target="http://secrets.rutgers.edu:8080/data/asl-ftp/asllvd/demos/verify_start_end_handshape_annotations//test_auto_move//signs_mov_separ_signers/Naomi_320.mov" TargetMode="External"/><Relationship Id="rId2893" Type="http://schemas.openxmlformats.org/officeDocument/2006/relationships/hyperlink" Target="http://csr.bu.edu/ftp/asl/asllvd/demos/verify_start_end_handshape_annotations//test_auto_move//signs_mov_separ_signers/Brady_320.mov" TargetMode="External"/><Relationship Id="rId2894" Type="http://schemas.openxmlformats.org/officeDocument/2006/relationships/hyperlink" Target="http://secrets.rutgers.edu:8080/data/asl-ftp/asllvd/demos/verify_start_end_handshape_annotations//test_auto_move//signs_mov_separ_signers/Brady_320.mov" TargetMode="External"/><Relationship Id="rId2895" Type="http://schemas.openxmlformats.org/officeDocument/2006/relationships/hyperlink" Target="http://csr.bu.edu/ftp/asl/asllvd/demos/verify_start_end_handshape_annotations//test_auto_move//signs_mov_separ_signers/Liz_321.mov" TargetMode="External"/><Relationship Id="rId2896" Type="http://schemas.openxmlformats.org/officeDocument/2006/relationships/hyperlink" Target="http://secrets.rutgers.edu:8080/data/asl-ftp/asllvd/demos/verify_start_end_handshape_annotations//test_auto_move//signs_mov_separ_signers/Liz_321.mov" TargetMode="External"/><Relationship Id="rId2897" Type="http://schemas.openxmlformats.org/officeDocument/2006/relationships/hyperlink" Target="http://csr.bu.edu/ftp/asl/asllvd/demos/verify_start_end_handshape_annotations//test_auto_move//signs_mov_separ_signers/Liz_16411.mov" TargetMode="External"/><Relationship Id="rId2898" Type="http://schemas.openxmlformats.org/officeDocument/2006/relationships/hyperlink" Target="http://secrets.rutgers.edu:8080/data/asl-ftp/asllvd/demos/verify_start_end_handshape_annotations//test_auto_move//signs_mov_separ_signers/Liz_16411.mov" TargetMode="External"/><Relationship Id="rId2899" Type="http://schemas.openxmlformats.org/officeDocument/2006/relationships/hyperlink" Target="http://csr.bu.edu/ftp/asl/asllvd/demos/verify_start_end_handshape_annotations//test_auto_move//signs_mov/321_16411_merged.mov" TargetMode="External"/><Relationship Id="rId2900" Type="http://schemas.openxmlformats.org/officeDocument/2006/relationships/hyperlink" Target="http://csr.bu.edu/ftp/asl/asllvd/demos/verify_start_end_handshape_annotations//test_auto_move//signs_mov_separ_signers/Tyler_321.mov" TargetMode="External"/><Relationship Id="rId2901" Type="http://schemas.openxmlformats.org/officeDocument/2006/relationships/hyperlink" Target="http://secrets.rutgers.edu:8080/data/asl-ftp/asllvd/demos/verify_start_end_handshape_annotations//test_auto_move//signs_mov/321_16411_merged.mov" TargetMode="External"/><Relationship Id="rId2902" Type="http://schemas.openxmlformats.org/officeDocument/2006/relationships/hyperlink" Target="http://secrets.rutgers.edu:8080/data/asl-ftp/asllvd/demos/verify_start_end_handshape_annotations//test_auto_move//signs_mov_separ_signers/Tyler_321.mov" TargetMode="External"/><Relationship Id="rId2903" Type="http://schemas.openxmlformats.org/officeDocument/2006/relationships/hyperlink" Target="http://csr.bu.edu/ftp/asl/asllvd/demos/verify_start_end_handshape_annotations//test_auto_move//signs_mov_separ_signers/Naomi_321.mov" TargetMode="External"/><Relationship Id="rId2904" Type="http://schemas.openxmlformats.org/officeDocument/2006/relationships/hyperlink" Target="http://secrets.rutgers.edu:8080/data/asl-ftp/asllvd/demos/verify_start_end_handshape_annotations//test_auto_move//signs_mov_separ_signers/Naomi_321.mov" TargetMode="External"/><Relationship Id="rId2905" Type="http://schemas.openxmlformats.org/officeDocument/2006/relationships/hyperlink" Target="http://csr.bu.edu/ftp/asl/asllvd/demos/verify_start_end_handshape_annotations//test_auto_move//signs_mov_separ_signers/Brady_321.mov" TargetMode="External"/><Relationship Id="rId2906" Type="http://schemas.openxmlformats.org/officeDocument/2006/relationships/hyperlink" Target="http://secrets.rutgers.edu:8080/data/asl-ftp/asllvd/demos/verify_start_end_handshape_annotations//test_auto_move//signs_mov_separ_signers/Brady_321.mov" TargetMode="External"/><Relationship Id="rId2907" Type="http://schemas.openxmlformats.org/officeDocument/2006/relationships/hyperlink" Target="http://csr.bu.edu/ftp/asl/asllvd/demos/verify_start_end_handshape_annotations//test_auto_move//signs_mov_separ_signers/Brady_16411.mov" TargetMode="External"/><Relationship Id="rId2908" Type="http://schemas.openxmlformats.org/officeDocument/2006/relationships/hyperlink" Target="http://secrets.rutgers.edu:8080/data/asl-ftp/asllvd/demos/verify_start_end_handshape_annotations//test_auto_move//signs_mov_separ_signers/Brady_16411.mov" TargetMode="External"/><Relationship Id="rId2909" Type="http://schemas.openxmlformats.org/officeDocument/2006/relationships/hyperlink" Target="http://csr.bu.edu/ftp/asl/asllvd/demos/verify_start_end_handshape_annotations//test_auto_move//signs_mov_separ_signers/Liz_322.mov" TargetMode="External"/><Relationship Id="rId2910" Type="http://schemas.openxmlformats.org/officeDocument/2006/relationships/hyperlink" Target="http://secrets.rutgers.edu:8080/data/asl-ftp/asllvd/demos/verify_start_end_handshape_annotations//test_auto_move//signs_mov_separ_signers/Liz_322.mov" TargetMode="External"/><Relationship Id="rId2911" Type="http://schemas.openxmlformats.org/officeDocument/2006/relationships/hyperlink" Target="http://csr.bu.edu/ftp/asl/asllvd/demos/verify_start_end_handshape_annotations//test_auto_move//signs_mov_separ_signers/Tyler_322.mov" TargetMode="External"/><Relationship Id="rId2912" Type="http://schemas.openxmlformats.org/officeDocument/2006/relationships/hyperlink" Target="http://secrets.rutgers.edu:8080/data/asl-ftp/asllvd/demos/verify_start_end_handshape_annotations//test_auto_move//signs_mov_separ_signers/Tyler_322.mov" TargetMode="External"/><Relationship Id="rId2913" Type="http://schemas.openxmlformats.org/officeDocument/2006/relationships/hyperlink" Target="http://csr.bu.edu/ftp/asl/asllvd/demos/verify_start_end_handshape_annotations//test_auto_move//signs_mov/322.mov" TargetMode="External"/><Relationship Id="rId2914" Type="http://schemas.openxmlformats.org/officeDocument/2006/relationships/hyperlink" Target="http://csr.bu.edu/ftp/asl/asllvd/demos/verify_start_end_handshape_annotations//test_auto_move//signs_mov_separ_signers/Naomi_322.mov" TargetMode="External"/><Relationship Id="rId2915" Type="http://schemas.openxmlformats.org/officeDocument/2006/relationships/hyperlink" Target="http://secrets.rutgers.edu:8080/data/asl-ftp/asllvd/demos/verify_start_end_handshape_annotations//test_auto_move//signs_mov/322.mov" TargetMode="External"/><Relationship Id="rId2916" Type="http://schemas.openxmlformats.org/officeDocument/2006/relationships/hyperlink" Target="http://secrets.rutgers.edu:8080/data/asl-ftp/asllvd/demos/verify_start_end_handshape_annotations//test_auto_move//signs_mov_separ_signers/Naomi_322.mov" TargetMode="External"/><Relationship Id="rId2917" Type="http://schemas.openxmlformats.org/officeDocument/2006/relationships/hyperlink" Target="http://csr.bu.edu/ftp/asl/asllvd/demos/verify_start_end_handshape_annotations//test_auto_move//signs_mov_separ_signers/Brady_322.mov" TargetMode="External"/><Relationship Id="rId2918" Type="http://schemas.openxmlformats.org/officeDocument/2006/relationships/hyperlink" Target="http://secrets.rutgers.edu:8080/data/asl-ftp/asllvd/demos/verify_start_end_handshape_annotations//test_auto_move//signs_mov_separ_signers/Brady_322.mov" TargetMode="External"/><Relationship Id="rId2919" Type="http://schemas.openxmlformats.org/officeDocument/2006/relationships/hyperlink" Target="http://csr.bu.edu/ftp/asl/asllvd/demos/verify_start_end_handshape_annotations//test_auto_move//signs_mov_separ_signers/Lana_322.mov" TargetMode="External"/><Relationship Id="rId2920" Type="http://schemas.openxmlformats.org/officeDocument/2006/relationships/hyperlink" Target="http://secrets.rutgers.edu:8080/data/asl-ftp/asllvd/demos/verify_start_end_handshape_annotations//test_auto_move//signs_mov_separ_signers/Lana_322.mov" TargetMode="External"/><Relationship Id="rId2921" Type="http://schemas.openxmlformats.org/officeDocument/2006/relationships/hyperlink" Target="http://csr.bu.edu/ftp/asl/asllvd/demos/verify_start_end_handshape_annotations//test_auto_move//signs_mov_separ_signers/Dana_322.mov" TargetMode="External"/><Relationship Id="rId2922" Type="http://schemas.openxmlformats.org/officeDocument/2006/relationships/hyperlink" Target="http://secrets.rutgers.edu:8080/data/asl-ftp/asllvd/demos/verify_start_end_handshape_annotations//test_auto_move//signs_mov_separ_signers/Dana_322.mov" TargetMode="External"/><Relationship Id="rId2923" Type="http://schemas.openxmlformats.org/officeDocument/2006/relationships/hyperlink" Target="http://csr.bu.edu/ftp/asl/asllvd/demos/verify_start_end_handshape_annotations//test_auto_move//signs_mov_separ_signers/Liz_323.mov" TargetMode="External"/><Relationship Id="rId2924" Type="http://schemas.openxmlformats.org/officeDocument/2006/relationships/hyperlink" Target="http://secrets.rutgers.edu:8080/data/asl-ftp/asllvd/demos/verify_start_end_handshape_annotations//test_auto_move//signs_mov_separ_signers/Liz_323.mov" TargetMode="External"/><Relationship Id="rId2925" Type="http://schemas.openxmlformats.org/officeDocument/2006/relationships/hyperlink" Target="http://csr.bu.edu/ftp/asl/asllvd/demos/verify_start_end_handshape_annotations//test_auto_move//signs_mov/323.mov" TargetMode="External"/><Relationship Id="rId2926" Type="http://schemas.openxmlformats.org/officeDocument/2006/relationships/hyperlink" Target="http://csr.bu.edu/ftp/asl/asllvd/demos/verify_start_end_handshape_annotations//test_auto_move//signs_mov_separ_signers/Tyler_323.mov" TargetMode="External"/><Relationship Id="rId2927" Type="http://schemas.openxmlformats.org/officeDocument/2006/relationships/hyperlink" Target="http://secrets.rutgers.edu:8080/data/asl-ftp/asllvd/demos/verify_start_end_handshape_annotations//test_auto_move//signs_mov/323.mov" TargetMode="External"/><Relationship Id="rId2928" Type="http://schemas.openxmlformats.org/officeDocument/2006/relationships/hyperlink" Target="http://secrets.rutgers.edu:8080/data/asl-ftp/asllvd/demos/verify_start_end_handshape_annotations//test_auto_move//signs_mov_separ_signers/Tyler_323.mov" TargetMode="External"/><Relationship Id="rId2929" Type="http://schemas.openxmlformats.org/officeDocument/2006/relationships/hyperlink" Target="http://csr.bu.edu/ftp/asl/asllvd/demos/verify_start_end_handshape_annotations//test_auto_move//signs_mov_separ_signers/Naomi_323.mov" TargetMode="External"/><Relationship Id="rId2930" Type="http://schemas.openxmlformats.org/officeDocument/2006/relationships/hyperlink" Target="http://secrets.rutgers.edu:8080/data/asl-ftp/asllvd/demos/verify_start_end_handshape_annotations//test_auto_move//signs_mov_separ_signers/Naomi_323.mov" TargetMode="External"/><Relationship Id="rId2931" Type="http://schemas.openxmlformats.org/officeDocument/2006/relationships/hyperlink" Target="http://csr.bu.edu/ftp/asl/asllvd/demos/verify_start_end_handshape_annotations//test_auto_move//signs_mov_separ_signers/Brady_323.mov" TargetMode="External"/><Relationship Id="rId2932" Type="http://schemas.openxmlformats.org/officeDocument/2006/relationships/hyperlink" Target="http://secrets.rutgers.edu:8080/data/asl-ftp/asllvd/demos/verify_start_end_handshape_annotations//test_auto_move//signs_mov_separ_signers/Brady_323.mov" TargetMode="External"/><Relationship Id="rId2933" Type="http://schemas.openxmlformats.org/officeDocument/2006/relationships/hyperlink" Target="http://csr.bu.edu/ftp/asl/asllvd/demos/verify_start_end_handshape_annotations//test_auto_move//signs_mov_separ_signers/Liz_324.mov" TargetMode="External"/><Relationship Id="rId2934" Type="http://schemas.openxmlformats.org/officeDocument/2006/relationships/hyperlink" Target="http://secrets.rutgers.edu:8080/data/asl-ftp/asllvd/demos/verify_start_end_handshape_annotations//test_auto_move//signs_mov_separ_signers/Liz_324.mov" TargetMode="External"/><Relationship Id="rId2935" Type="http://schemas.openxmlformats.org/officeDocument/2006/relationships/hyperlink" Target="http://csr.bu.edu/ftp/asl/asllvd/demos/verify_start_end_handshape_annotations//test_auto_move//signs_mov/324.mov" TargetMode="External"/><Relationship Id="rId2936" Type="http://schemas.openxmlformats.org/officeDocument/2006/relationships/hyperlink" Target="http://csr.bu.edu/ftp/asl/asllvd/demos/verify_start_end_handshape_annotations//test_auto_move//signs_mov_separ_signers/Tyler_324.mov" TargetMode="External"/><Relationship Id="rId2937" Type="http://schemas.openxmlformats.org/officeDocument/2006/relationships/hyperlink" Target="http://secrets.rutgers.edu:8080/data/asl-ftp/asllvd/demos/verify_start_end_handshape_annotations//test_auto_move//signs_mov/324.mov" TargetMode="External"/><Relationship Id="rId2938" Type="http://schemas.openxmlformats.org/officeDocument/2006/relationships/hyperlink" Target="http://secrets.rutgers.edu:8080/data/asl-ftp/asllvd/demos/verify_start_end_handshape_annotations//test_auto_move//signs_mov_separ_signers/Tyler_324.mov" TargetMode="External"/><Relationship Id="rId2939" Type="http://schemas.openxmlformats.org/officeDocument/2006/relationships/hyperlink" Target="http://csr.bu.edu/ftp/asl/asllvd/demos/verify_start_end_handshape_annotations//test_auto_move//signs_mov_separ_signers/Naomi_324.mov" TargetMode="External"/><Relationship Id="rId2940" Type="http://schemas.openxmlformats.org/officeDocument/2006/relationships/hyperlink" Target="http://secrets.rutgers.edu:8080/data/asl-ftp/asllvd/demos/verify_start_end_handshape_annotations//test_auto_move//signs_mov_separ_signers/Naomi_324.mov" TargetMode="External"/><Relationship Id="rId2941" Type="http://schemas.openxmlformats.org/officeDocument/2006/relationships/hyperlink" Target="http://csr.bu.edu/ftp/asl/asllvd/demos/verify_start_end_handshape_annotations//test_auto_move//signs_mov_separ_signers/Brady_324.mov" TargetMode="External"/><Relationship Id="rId2942" Type="http://schemas.openxmlformats.org/officeDocument/2006/relationships/hyperlink" Target="http://secrets.rutgers.edu:8080/data/asl-ftp/asllvd/demos/verify_start_end_handshape_annotations//test_auto_move//signs_mov_separ_signers/Brady_324.mov" TargetMode="External"/><Relationship Id="rId2943" Type="http://schemas.openxmlformats.org/officeDocument/2006/relationships/hyperlink" Target="http://csr.bu.edu/ftp/asl/asllvd/demos/verify_start_end_handshape_annotations//test_auto_move//signs_mov_separ_signers/Liz_326.mov" TargetMode="External"/><Relationship Id="rId2944" Type="http://schemas.openxmlformats.org/officeDocument/2006/relationships/hyperlink" Target="http://secrets.rutgers.edu:8080/data/asl-ftp/asllvd/demos/verify_start_end_handshape_annotations//test_auto_move//signs_mov_separ_signers/Liz_326.mov" TargetMode="External"/><Relationship Id="rId2945" Type="http://schemas.openxmlformats.org/officeDocument/2006/relationships/hyperlink" Target="http://csr.bu.edu/ftp/asl/asllvd/demos/verify_start_end_handshape_annotations//test_auto_move//signs_mov_separ_signers/Liz_3593.mov" TargetMode="External"/><Relationship Id="rId2946" Type="http://schemas.openxmlformats.org/officeDocument/2006/relationships/hyperlink" Target="http://secrets.rutgers.edu:8080/data/asl-ftp/asllvd/demos/verify_start_end_handshape_annotations//test_auto_move//signs_mov_separ_signers/Liz_3593.mov" TargetMode="External"/><Relationship Id="rId2947" Type="http://schemas.openxmlformats.org/officeDocument/2006/relationships/hyperlink" Target="http://csr.bu.edu/ftp/asl/asllvd/demos/verify_start_end_handshape_annotations//test_auto_move//signs_mov/326_3593_merged.mov" TargetMode="External"/><Relationship Id="rId2948" Type="http://schemas.openxmlformats.org/officeDocument/2006/relationships/hyperlink" Target="http://csr.bu.edu/ftp/asl/asllvd/demos/verify_start_end_handshape_annotations//test_auto_move//signs_mov_separ_signers/Naomi_326.mov" TargetMode="External"/><Relationship Id="rId2949" Type="http://schemas.openxmlformats.org/officeDocument/2006/relationships/hyperlink" Target="http://secrets.rutgers.edu:8080/data/asl-ftp/asllvd/demos/verify_start_end_handshape_annotations//test_auto_move//signs_mov/326_3593_merged.mov" TargetMode="External"/><Relationship Id="rId2950" Type="http://schemas.openxmlformats.org/officeDocument/2006/relationships/hyperlink" Target="http://secrets.rutgers.edu:8080/data/asl-ftp/asllvd/demos/verify_start_end_handshape_annotations//test_auto_move//signs_mov_separ_signers/Naomi_326.mov" TargetMode="External"/><Relationship Id="rId2951" Type="http://schemas.openxmlformats.org/officeDocument/2006/relationships/hyperlink" Target="http://csr.bu.edu/ftp/asl/asllvd/demos/verify_start_end_handshape_annotations//test_auto_move//signs_mov_separ_signers/Naomi_3593.mov" TargetMode="External"/><Relationship Id="rId2952" Type="http://schemas.openxmlformats.org/officeDocument/2006/relationships/hyperlink" Target="http://secrets.rutgers.edu:8080/data/asl-ftp/asllvd/demos/verify_start_end_handshape_annotations//test_auto_move//signs_mov_separ_signers/Naomi_3593.mov" TargetMode="External"/><Relationship Id="rId2953" Type="http://schemas.openxmlformats.org/officeDocument/2006/relationships/hyperlink" Target="http://csr.bu.edu/ftp/asl/asllvd/demos/verify_start_end_handshape_annotations//test_auto_move//signs_mov_separ_signers/Brady_326.mov" TargetMode="External"/><Relationship Id="rId2954" Type="http://schemas.openxmlformats.org/officeDocument/2006/relationships/hyperlink" Target="http://secrets.rutgers.edu:8080/data/asl-ftp/asllvd/demos/verify_start_end_handshape_annotations//test_auto_move//signs_mov_separ_signers/Brady_326.mov" TargetMode="External"/><Relationship Id="rId2955" Type="http://schemas.openxmlformats.org/officeDocument/2006/relationships/hyperlink" Target="http://csr.bu.edu/ftp/asl/asllvd/demos/verify_start_end_handshape_annotations//test_auto_move//signs_mov_separ_signers/Brady_3593.mov" TargetMode="External"/><Relationship Id="rId2956" Type="http://schemas.openxmlformats.org/officeDocument/2006/relationships/hyperlink" Target="http://secrets.rutgers.edu:8080/data/asl-ftp/asllvd/demos/verify_start_end_handshape_annotations//test_auto_move//signs_mov_separ_signers/Brady_3593.mov" TargetMode="External"/><Relationship Id="rId2957" Type="http://schemas.openxmlformats.org/officeDocument/2006/relationships/hyperlink" Target="http://csr.bu.edu/ftp/asl/asllvd/demos/verify_start_end_handshape_annotations//test_auto_move//signs_mov/16250.mov" TargetMode="External"/><Relationship Id="rId2958" Type="http://schemas.openxmlformats.org/officeDocument/2006/relationships/hyperlink" Target="http://csr.bu.edu/ftp/asl/asllvd/demos/verify_start_end_handshape_annotations//test_auto_move//signs_mov_separ_signers/Tyler_16250.mov" TargetMode="External"/><Relationship Id="rId2959" Type="http://schemas.openxmlformats.org/officeDocument/2006/relationships/hyperlink" Target="http://secrets.rutgers.edu:8080/data/asl-ftp/asllvd/demos/verify_start_end_handshape_annotations//test_auto_move//signs_mov/16250.mov" TargetMode="External"/><Relationship Id="rId2960" Type="http://schemas.openxmlformats.org/officeDocument/2006/relationships/hyperlink" Target="http://secrets.rutgers.edu:8080/data/asl-ftp/asllvd/demos/verify_start_end_handshape_annotations//test_auto_move//signs_mov_separ_signers/Tyler_16250.mov" TargetMode="External"/><Relationship Id="rId2961" Type="http://schemas.openxmlformats.org/officeDocument/2006/relationships/hyperlink" Target="http://csr.bu.edu/ftp/asl/asllvd/demos/verify_start_end_handshape_annotations//test_auto_move//signs_mov/327.mov" TargetMode="External"/><Relationship Id="rId2962" Type="http://schemas.openxmlformats.org/officeDocument/2006/relationships/hyperlink" Target="http://csr.bu.edu/ftp/asl/asllvd/demos/verify_start_end_handshape_annotations//test_auto_move//signs_mov_separ_signers/Liz_327.mov" TargetMode="External"/><Relationship Id="rId2963" Type="http://schemas.openxmlformats.org/officeDocument/2006/relationships/hyperlink" Target="http://secrets.rutgers.edu:8080/data/asl-ftp/asllvd/demos/verify_start_end_handshape_annotations//test_auto_move//signs_mov/327.mov" TargetMode="External"/><Relationship Id="rId2964" Type="http://schemas.openxmlformats.org/officeDocument/2006/relationships/hyperlink" Target="http://secrets.rutgers.edu:8080/data/asl-ftp/asllvd/demos/verify_start_end_handshape_annotations//test_auto_move//signs_mov_separ_signers/Liz_327.mov" TargetMode="External"/><Relationship Id="rId2965" Type="http://schemas.openxmlformats.org/officeDocument/2006/relationships/hyperlink" Target="http://csr.bu.edu/ftp/asl/asllvd/demos/verify_start_end_handshape_annotations//test_auto_move//signs_mov_separ_signers/Brady_327.mov" TargetMode="External"/><Relationship Id="rId2966" Type="http://schemas.openxmlformats.org/officeDocument/2006/relationships/hyperlink" Target="http://secrets.rutgers.edu:8080/data/asl-ftp/asllvd/demos/verify_start_end_handshape_annotations//test_auto_move//signs_mov_separ_signers/Brady_327.mov" TargetMode="External"/><Relationship Id="rId2967" Type="http://schemas.openxmlformats.org/officeDocument/2006/relationships/hyperlink" Target="http://csr.bu.edu/ftp/asl/asllvd/demos/verify_start_end_handshape_annotations//test_auto_move//signs_mov/329.mov" TargetMode="External"/><Relationship Id="rId2968" Type="http://schemas.openxmlformats.org/officeDocument/2006/relationships/hyperlink" Target="http://csr.bu.edu/ftp/asl/asllvd/demos/verify_start_end_handshape_annotations//test_auto_move//signs_mov_separ_signers/Naomi_329.mov" TargetMode="External"/><Relationship Id="rId2969" Type="http://schemas.openxmlformats.org/officeDocument/2006/relationships/hyperlink" Target="http://secrets.rutgers.edu:8080/data/asl-ftp/asllvd/demos/verify_start_end_handshape_annotations//test_auto_move//signs_mov/329.mov" TargetMode="External"/><Relationship Id="rId2970" Type="http://schemas.openxmlformats.org/officeDocument/2006/relationships/hyperlink" Target="http://secrets.rutgers.edu:8080/data/asl-ftp/asllvd/demos/verify_start_end_handshape_annotations//test_auto_move//signs_mov_separ_signers/Naomi_329.mov" TargetMode="External"/><Relationship Id="rId2971" Type="http://schemas.openxmlformats.org/officeDocument/2006/relationships/hyperlink" Target="http://csr.bu.edu/ftp/asl/asllvd/demos/verify_start_end_handshape_annotations//test_auto_move//signs_mov_separ_signers/Brady_329.mov" TargetMode="External"/><Relationship Id="rId2972" Type="http://schemas.openxmlformats.org/officeDocument/2006/relationships/hyperlink" Target="http://secrets.rutgers.edu:8080/data/asl-ftp/asllvd/demos/verify_start_end_handshape_annotations//test_auto_move//signs_mov_separ_signers/Brady_329.mov" TargetMode="External"/><Relationship Id="rId2973" Type="http://schemas.openxmlformats.org/officeDocument/2006/relationships/hyperlink" Target="http://csr.bu.edu/ftp/asl/asllvd/demos/verify_start_end_handshape_annotations//test_auto_move//signs_mov_separ_signers/Liz_330.mov" TargetMode="External"/><Relationship Id="rId2974" Type="http://schemas.openxmlformats.org/officeDocument/2006/relationships/hyperlink" Target="http://secrets.rutgers.edu:8080/data/asl-ftp/asllvd/demos/verify_start_end_handshape_annotations//test_auto_move//signs_mov_separ_signers/Liz_330.mov" TargetMode="External"/><Relationship Id="rId2975" Type="http://schemas.openxmlformats.org/officeDocument/2006/relationships/hyperlink" Target="http://csr.bu.edu/ftp/asl/asllvd/demos/verify_start_end_handshape_annotations//test_auto_move//signs_mov/330.mov" TargetMode="External"/><Relationship Id="rId2976" Type="http://schemas.openxmlformats.org/officeDocument/2006/relationships/hyperlink" Target="http://csr.bu.edu/ftp/asl/asllvd/demos/verify_start_end_handshape_annotations//test_auto_move//signs_mov_separ_signers/Tyler_330.mov" TargetMode="External"/><Relationship Id="rId2977" Type="http://schemas.openxmlformats.org/officeDocument/2006/relationships/hyperlink" Target="http://secrets.rutgers.edu:8080/data/asl-ftp/asllvd/demos/verify_start_end_handshape_annotations//test_auto_move//signs_mov/330.mov" TargetMode="External"/><Relationship Id="rId2978" Type="http://schemas.openxmlformats.org/officeDocument/2006/relationships/hyperlink" Target="http://secrets.rutgers.edu:8080/data/asl-ftp/asllvd/demos/verify_start_end_handshape_annotations//test_auto_move//signs_mov_separ_signers/Tyler_330.mov" TargetMode="External"/><Relationship Id="rId2979" Type="http://schemas.openxmlformats.org/officeDocument/2006/relationships/hyperlink" Target="http://csr.bu.edu/ftp/asl/asllvd/demos/verify_start_end_handshape_annotations//test_auto_move//signs_mov_separ_signers/Naomi_330.mov" TargetMode="External"/><Relationship Id="rId2980" Type="http://schemas.openxmlformats.org/officeDocument/2006/relationships/hyperlink" Target="http://secrets.rutgers.edu:8080/data/asl-ftp/asllvd/demos/verify_start_end_handshape_annotations//test_auto_move//signs_mov_separ_signers/Naomi_330.mov" TargetMode="External"/><Relationship Id="rId2981" Type="http://schemas.openxmlformats.org/officeDocument/2006/relationships/hyperlink" Target="http://csr.bu.edu/ftp/asl/asllvd/demos/verify_start_end_handshape_annotations//test_auto_move//signs_mov_separ_signers/Brady_330.mov" TargetMode="External"/><Relationship Id="rId2982" Type="http://schemas.openxmlformats.org/officeDocument/2006/relationships/hyperlink" Target="http://secrets.rutgers.edu:8080/data/asl-ftp/asllvd/demos/verify_start_end_handshape_annotations//test_auto_move//signs_mov_separ_signers/Brady_330.mov" TargetMode="External"/><Relationship Id="rId2983" Type="http://schemas.openxmlformats.org/officeDocument/2006/relationships/hyperlink" Target="http://csr.bu.edu/ftp/asl/asllvd/demos/verify_start_end_handshape_annotations//test_auto_move//signs_mov_separ_signers/Liz_331.mov" TargetMode="External"/><Relationship Id="rId2984" Type="http://schemas.openxmlformats.org/officeDocument/2006/relationships/hyperlink" Target="http://secrets.rutgers.edu:8080/data/asl-ftp/asllvd/demos/verify_start_end_handshape_annotations//test_auto_move//signs_mov_separ_signers/Liz_331.mov" TargetMode="External"/><Relationship Id="rId2985" Type="http://schemas.openxmlformats.org/officeDocument/2006/relationships/hyperlink" Target="http://csr.bu.edu/ftp/asl/asllvd/demos/verify_start_end_handshape_annotations//test_auto_move//signs_mov_separ_signers/Tyler_331.mov" TargetMode="External"/><Relationship Id="rId2986" Type="http://schemas.openxmlformats.org/officeDocument/2006/relationships/hyperlink" Target="http://secrets.rutgers.edu:8080/data/asl-ftp/asllvd/demos/verify_start_end_handshape_annotations//test_auto_move//signs_mov_separ_signers/Tyler_331.mov" TargetMode="External"/><Relationship Id="rId2987" Type="http://schemas.openxmlformats.org/officeDocument/2006/relationships/hyperlink" Target="http://csr.bu.edu/ftp/asl/asllvd/demos/verify_start_end_handshape_annotations//test_auto_move//signs_mov/331.mov" TargetMode="External"/><Relationship Id="rId2988" Type="http://schemas.openxmlformats.org/officeDocument/2006/relationships/hyperlink" Target="http://csr.bu.edu/ftp/asl/asllvd/demos/verify_start_end_handshape_annotations//test_auto_move//signs_mov_separ_signers/Naomi_331.mov" TargetMode="External"/><Relationship Id="rId2989" Type="http://schemas.openxmlformats.org/officeDocument/2006/relationships/hyperlink" Target="http://secrets.rutgers.edu:8080/data/asl-ftp/asllvd/demos/verify_start_end_handshape_annotations//test_auto_move//signs_mov/331.mov" TargetMode="External"/><Relationship Id="rId2990" Type="http://schemas.openxmlformats.org/officeDocument/2006/relationships/hyperlink" Target="http://secrets.rutgers.edu:8080/data/asl-ftp/asllvd/demos/verify_start_end_handshape_annotations//test_auto_move//signs_mov_separ_signers/Naomi_331.mov" TargetMode="External"/><Relationship Id="rId2991" Type="http://schemas.openxmlformats.org/officeDocument/2006/relationships/hyperlink" Target="http://csr.bu.edu/ftp/asl/asllvd/demos/verify_start_end_handshape_annotations//test_auto_move//signs_mov_separ_signers/Brady_331.mov" TargetMode="External"/><Relationship Id="rId2992" Type="http://schemas.openxmlformats.org/officeDocument/2006/relationships/hyperlink" Target="http://secrets.rutgers.edu:8080/data/asl-ftp/asllvd/demos/verify_start_end_handshape_annotations//test_auto_move//signs_mov_separ_signers/Brady_331.mov" TargetMode="External"/><Relationship Id="rId2993" Type="http://schemas.openxmlformats.org/officeDocument/2006/relationships/hyperlink" Target="http://csr.bu.edu/ftp/asl/asllvd/demos/verify_start_end_handshape_annotations//test_auto_move//signs_mov_separ_signers/Dana_331.mov" TargetMode="External"/><Relationship Id="rId2994" Type="http://schemas.openxmlformats.org/officeDocument/2006/relationships/hyperlink" Target="http://secrets.rutgers.edu:8080/data/asl-ftp/asllvd/demos/verify_start_end_handshape_annotations//test_auto_move//signs_mov_separ_signers/Dana_331.mov" TargetMode="External"/><Relationship Id="rId2995" Type="http://schemas.openxmlformats.org/officeDocument/2006/relationships/hyperlink" Target="http://csr.bu.edu/ftp/asl/asllvd/demos/verify_start_end_handshape_annotations//test_auto_move//signs_mov/5115.mov" TargetMode="External"/><Relationship Id="rId2996" Type="http://schemas.openxmlformats.org/officeDocument/2006/relationships/hyperlink" Target="http://csr.bu.edu/ftp/asl/asllvd/demos/verify_start_end_handshape_annotations//test_auto_move//signs_mov_separ_signers/Lana_5115.mov" TargetMode="External"/><Relationship Id="rId2997" Type="http://schemas.openxmlformats.org/officeDocument/2006/relationships/hyperlink" Target="http://secrets.rutgers.edu:8080/data/asl-ftp/asllvd/demos/verify_start_end_handshape_annotations//test_auto_move//signs_mov/5115.mov" TargetMode="External"/><Relationship Id="rId2998" Type="http://schemas.openxmlformats.org/officeDocument/2006/relationships/hyperlink" Target="http://secrets.rutgers.edu:8080/data/asl-ftp/asllvd/demos/verify_start_end_handshape_annotations//test_auto_move//signs_mov_separ_signers/Lana_5115.mov" TargetMode="External"/><Relationship Id="rId2999" Type="http://schemas.openxmlformats.org/officeDocument/2006/relationships/hyperlink" Target="http://csr.bu.edu/ftp/asl/asllvd/demos/verify_start_end_handshape_annotations//test_auto_move//signs_mov/332.mov" TargetMode="External"/><Relationship Id="rId3000" Type="http://schemas.openxmlformats.org/officeDocument/2006/relationships/hyperlink" Target="http://csr.bu.edu/ftp/asl/asllvd/demos/verify_start_end_handshape_annotations//test_auto_move//signs_mov_separ_signers/Tyler_332.mov" TargetMode="External"/><Relationship Id="rId3001" Type="http://schemas.openxmlformats.org/officeDocument/2006/relationships/hyperlink" Target="http://secrets.rutgers.edu:8080/data/asl-ftp/asllvd/demos/verify_start_end_handshape_annotations//test_auto_move//signs_mov/332.mov" TargetMode="External"/><Relationship Id="rId3002" Type="http://schemas.openxmlformats.org/officeDocument/2006/relationships/hyperlink" Target="http://secrets.rutgers.edu:8080/data/asl-ftp/asllvd/demos/verify_start_end_handshape_annotations//test_auto_move//signs_mov_separ_signers/Tyler_332.mov" TargetMode="External"/><Relationship Id="rId3003" Type="http://schemas.openxmlformats.org/officeDocument/2006/relationships/hyperlink" Target="http://csr.bu.edu/ftp/asl/asllvd/demos/verify_start_end_handshape_annotations//test_auto_move//signs_mov_separ_signers/Liz_5116.mov" TargetMode="External"/><Relationship Id="rId3004" Type="http://schemas.openxmlformats.org/officeDocument/2006/relationships/hyperlink" Target="http://secrets.rutgers.edu:8080/data/asl-ftp/asllvd/demos/verify_start_end_handshape_annotations//test_auto_move//signs_mov_separ_signers/Liz_5116.mov" TargetMode="External"/><Relationship Id="rId3005" Type="http://schemas.openxmlformats.org/officeDocument/2006/relationships/hyperlink" Target="http://csr.bu.edu/ftp/asl/asllvd/demos/verify_start_end_handshape_annotations//test_auto_move//signs_mov/5116.mov" TargetMode="External"/><Relationship Id="rId3006" Type="http://schemas.openxmlformats.org/officeDocument/2006/relationships/hyperlink" Target="http://csr.bu.edu/ftp/asl/asllvd/demos/verify_start_end_handshape_annotations//test_auto_move//signs_mov_separ_signers/Naomi_5116.mov" TargetMode="External"/><Relationship Id="rId3007" Type="http://schemas.openxmlformats.org/officeDocument/2006/relationships/hyperlink" Target="http://secrets.rutgers.edu:8080/data/asl-ftp/asllvd/demos/verify_start_end_handshape_annotations//test_auto_move//signs_mov/5116.mov" TargetMode="External"/><Relationship Id="rId3008" Type="http://schemas.openxmlformats.org/officeDocument/2006/relationships/hyperlink" Target="http://secrets.rutgers.edu:8080/data/asl-ftp/asllvd/demos/verify_start_end_handshape_annotations//test_auto_move//signs_mov_separ_signers/Naomi_5116.mov" TargetMode="External"/><Relationship Id="rId3009" Type="http://schemas.openxmlformats.org/officeDocument/2006/relationships/hyperlink" Target="http://csr.bu.edu/ftp/asl/asllvd/demos/verify_start_end_handshape_annotations//test_auto_move//signs_mov_separ_signers/Brady_5116.mov" TargetMode="External"/><Relationship Id="rId3010" Type="http://schemas.openxmlformats.org/officeDocument/2006/relationships/hyperlink" Target="http://secrets.rutgers.edu:8080/data/asl-ftp/asllvd/demos/verify_start_end_handshape_annotations//test_auto_move//signs_mov_separ_signers/Brady_5116.mov" TargetMode="External"/><Relationship Id="rId3011" Type="http://schemas.openxmlformats.org/officeDocument/2006/relationships/hyperlink" Target="http://csr.bu.edu/ftp/asl/asllvd/demos/verify_start_end_handshape_annotations//test_auto_move//signs_mov_separ_signers/Liz_15207.mov" TargetMode="External"/><Relationship Id="rId3012" Type="http://schemas.openxmlformats.org/officeDocument/2006/relationships/hyperlink" Target="http://secrets.rutgers.edu:8080/data/asl-ftp/asllvd/demos/verify_start_end_handshape_annotations//test_auto_move//signs_mov_separ_signers/Liz_15207.mov" TargetMode="External"/><Relationship Id="rId3013" Type="http://schemas.openxmlformats.org/officeDocument/2006/relationships/hyperlink" Target="http://csr.bu.edu/ftp/asl/asllvd/demos/verify_start_end_handshape_annotations//test_auto_move//signs_mov_separ_signers/Tyler_15207.mov" TargetMode="External"/><Relationship Id="rId3014" Type="http://schemas.openxmlformats.org/officeDocument/2006/relationships/hyperlink" Target="http://secrets.rutgers.edu:8080/data/asl-ftp/asllvd/demos/verify_start_end_handshape_annotations//test_auto_move//signs_mov_separ_signers/Tyler_15207.mov" TargetMode="External"/><Relationship Id="rId3015" Type="http://schemas.openxmlformats.org/officeDocument/2006/relationships/hyperlink" Target="http://csr.bu.edu/ftp/asl/asllvd/demos/verify_start_end_handshape_annotations//test_auto_move//signs_mov/15207_15214_merged.mov" TargetMode="External"/><Relationship Id="rId3016" Type="http://schemas.openxmlformats.org/officeDocument/2006/relationships/hyperlink" Target="http://csr.bu.edu/ftp/asl/asllvd/demos/verify_start_end_handshape_annotations//test_auto_move//signs_mov_separ_signers/Naomi_15207.mov" TargetMode="External"/><Relationship Id="rId3017" Type="http://schemas.openxmlformats.org/officeDocument/2006/relationships/hyperlink" Target="http://secrets.rutgers.edu:8080/data/asl-ftp/asllvd/demos/verify_start_end_handshape_annotations//test_auto_move//signs_mov/15207_15214_merged.mov" TargetMode="External"/><Relationship Id="rId3018" Type="http://schemas.openxmlformats.org/officeDocument/2006/relationships/hyperlink" Target="http://secrets.rutgers.edu:8080/data/asl-ftp/asllvd/demos/verify_start_end_handshape_annotations//test_auto_move//signs_mov_separ_signers/Naomi_15207.mov" TargetMode="External"/><Relationship Id="rId3019" Type="http://schemas.openxmlformats.org/officeDocument/2006/relationships/hyperlink" Target="http://csr.bu.edu/ftp/asl/asllvd/demos/verify_start_end_handshape_annotations//test_auto_move//signs_mov_separ_signers/Brady_15207.mov" TargetMode="External"/><Relationship Id="rId3020" Type="http://schemas.openxmlformats.org/officeDocument/2006/relationships/hyperlink" Target="http://secrets.rutgers.edu:8080/data/asl-ftp/asllvd/demos/verify_start_end_handshape_annotations//test_auto_move//signs_mov_separ_signers/Brady_15207.mov" TargetMode="External"/><Relationship Id="rId3021" Type="http://schemas.openxmlformats.org/officeDocument/2006/relationships/hyperlink" Target="http://csr.bu.edu/ftp/asl/asllvd/demos/verify_start_end_handshape_annotations//test_auto_move//signs_mov_separ_signers/Brady_15214.mov" TargetMode="External"/><Relationship Id="rId3022" Type="http://schemas.openxmlformats.org/officeDocument/2006/relationships/hyperlink" Target="http://secrets.rutgers.edu:8080/data/asl-ftp/asllvd/demos/verify_start_end_handshape_annotations//test_auto_move//signs_mov_separ_signers/Brady_15214.mov" TargetMode="External"/><Relationship Id="rId3023" Type="http://schemas.openxmlformats.org/officeDocument/2006/relationships/hyperlink" Target="http://csr.bu.edu/ftp/asl/asllvd/demos/verify_start_end_handshape_annotations//test_auto_move//signs_mov_separ_signers/Liz_333.mov" TargetMode="External"/><Relationship Id="rId3024" Type="http://schemas.openxmlformats.org/officeDocument/2006/relationships/hyperlink" Target="http://secrets.rutgers.edu:8080/data/asl-ftp/asllvd/demos/verify_start_end_handshape_annotations//test_auto_move//signs_mov_separ_signers/Liz_333.mov" TargetMode="External"/><Relationship Id="rId3025" Type="http://schemas.openxmlformats.org/officeDocument/2006/relationships/hyperlink" Target="http://csr.bu.edu/ftp/asl/asllvd/demos/verify_start_end_handshape_annotations//test_auto_move//signs_mov/333.mov" TargetMode="External"/><Relationship Id="rId3026" Type="http://schemas.openxmlformats.org/officeDocument/2006/relationships/hyperlink" Target="http://csr.bu.edu/ftp/asl/asllvd/demos/verify_start_end_handshape_annotations//test_auto_move//signs_mov_separ_signers/Tyler_333.mov" TargetMode="External"/><Relationship Id="rId3027" Type="http://schemas.openxmlformats.org/officeDocument/2006/relationships/hyperlink" Target="http://secrets.rutgers.edu:8080/data/asl-ftp/asllvd/demos/verify_start_end_handshape_annotations//test_auto_move//signs_mov/333.mov" TargetMode="External"/><Relationship Id="rId3028" Type="http://schemas.openxmlformats.org/officeDocument/2006/relationships/hyperlink" Target="http://secrets.rutgers.edu:8080/data/asl-ftp/asllvd/demos/verify_start_end_handshape_annotations//test_auto_move//signs_mov_separ_signers/Tyler_333.mov" TargetMode="External"/><Relationship Id="rId3029" Type="http://schemas.openxmlformats.org/officeDocument/2006/relationships/hyperlink" Target="http://csr.bu.edu/ftp/asl/asllvd/demos/verify_start_end_handshape_annotations//test_auto_move//signs_mov_separ_signers/Naomi_333.mov" TargetMode="External"/><Relationship Id="rId3030" Type="http://schemas.openxmlformats.org/officeDocument/2006/relationships/hyperlink" Target="http://secrets.rutgers.edu:8080/data/asl-ftp/asllvd/demos/verify_start_end_handshape_annotations//test_auto_move//signs_mov_separ_signers/Naomi_333.mov" TargetMode="External"/><Relationship Id="rId3031" Type="http://schemas.openxmlformats.org/officeDocument/2006/relationships/hyperlink" Target="http://csr.bu.edu/ftp/asl/asllvd/demos/verify_start_end_handshape_annotations//test_auto_move//signs_mov_separ_signers/Brady_333.mov" TargetMode="External"/><Relationship Id="rId3032" Type="http://schemas.openxmlformats.org/officeDocument/2006/relationships/hyperlink" Target="http://secrets.rutgers.edu:8080/data/asl-ftp/asllvd/demos/verify_start_end_handshape_annotations//test_auto_move//signs_mov_separ_signers/Brady_333.mov" TargetMode="External"/><Relationship Id="rId3033" Type="http://schemas.openxmlformats.org/officeDocument/2006/relationships/hyperlink" Target="http://csr.bu.edu/ftp/asl/asllvd/demos/verify_start_end_handshape_annotations//test_auto_move//signs_mov/334.mov" TargetMode="External"/><Relationship Id="rId3034" Type="http://schemas.openxmlformats.org/officeDocument/2006/relationships/hyperlink" Target="http://csr.bu.edu/ftp/asl/asllvd/demos/verify_start_end_handshape_annotations//test_auto_move//signs_mov_separ_signers/Liz_334.mov" TargetMode="External"/><Relationship Id="rId3035" Type="http://schemas.openxmlformats.org/officeDocument/2006/relationships/hyperlink" Target="http://secrets.rutgers.edu:8080/data/asl-ftp/asllvd/demos/verify_start_end_handshape_annotations//test_auto_move//signs_mov/334.mov" TargetMode="External"/><Relationship Id="rId3036" Type="http://schemas.openxmlformats.org/officeDocument/2006/relationships/hyperlink" Target="http://secrets.rutgers.edu:8080/data/asl-ftp/asllvd/demos/verify_start_end_handshape_annotations//test_auto_move//signs_mov_separ_signers/Liz_334.mov" TargetMode="External"/><Relationship Id="rId3037" Type="http://schemas.openxmlformats.org/officeDocument/2006/relationships/hyperlink" Target="http://csr.bu.edu/ftp/asl/asllvd/demos/verify_start_end_handshape_annotations//test_auto_move//signs_mov_separ_signers/Tyler_334.mov" TargetMode="External"/><Relationship Id="rId3038" Type="http://schemas.openxmlformats.org/officeDocument/2006/relationships/hyperlink" Target="http://secrets.rutgers.edu:8080/data/asl-ftp/asllvd/demos/verify_start_end_handshape_annotations//test_auto_move//signs_mov_separ_signers/Tyler_334.mov" TargetMode="External"/><Relationship Id="rId3039" Type="http://schemas.openxmlformats.org/officeDocument/2006/relationships/hyperlink" Target="http://csr.bu.edu/ftp/asl/asllvd/demos/verify_start_end_handshape_annotations//test_auto_move//signs_mov_separ_signers/Liz_3585.mov" TargetMode="External"/><Relationship Id="rId3040" Type="http://schemas.openxmlformats.org/officeDocument/2006/relationships/hyperlink" Target="http://secrets.rutgers.edu:8080/data/asl-ftp/asllvd/demos/verify_start_end_handshape_annotations//test_auto_move//signs_mov_separ_signers/Liz_3585.mov" TargetMode="External"/><Relationship Id="rId3041" Type="http://schemas.openxmlformats.org/officeDocument/2006/relationships/hyperlink" Target="http://csr.bu.edu/ftp/asl/asllvd/demos/verify_start_end_handshape_annotations//test_auto_move//signs_mov_separ_signers/Naomi_3585.mov" TargetMode="External"/><Relationship Id="rId3042" Type="http://schemas.openxmlformats.org/officeDocument/2006/relationships/hyperlink" Target="http://secrets.rutgers.edu:8080/data/asl-ftp/asllvd/demos/verify_start_end_handshape_annotations//test_auto_move//signs_mov_separ_signers/Naomi_3585.mov" TargetMode="External"/><Relationship Id="rId3043" Type="http://schemas.openxmlformats.org/officeDocument/2006/relationships/hyperlink" Target="http://csr.bu.edu/ftp/asl/asllvd/demos/verify_start_end_handshape_annotations//test_auto_move//signs_mov/3585_3865_5390_merged.mov" TargetMode="External"/><Relationship Id="rId3044" Type="http://schemas.openxmlformats.org/officeDocument/2006/relationships/hyperlink" Target="http://csr.bu.edu/ftp/asl/asllvd/demos/verify_start_end_handshape_annotations//test_auto_move//signs_mov_separ_signers/Brady_3585.mov" TargetMode="External"/><Relationship Id="rId3045" Type="http://schemas.openxmlformats.org/officeDocument/2006/relationships/hyperlink" Target="http://secrets.rutgers.edu:8080/data/asl-ftp/asllvd/demos/verify_start_end_handshape_annotations//test_auto_move//signs_mov/3585_3865_5390_merged.mov" TargetMode="External"/><Relationship Id="rId3046" Type="http://schemas.openxmlformats.org/officeDocument/2006/relationships/hyperlink" Target="http://secrets.rutgers.edu:8080/data/asl-ftp/asllvd/demos/verify_start_end_handshape_annotations//test_auto_move//signs_mov_separ_signers/Brady_3585.mov" TargetMode="External"/><Relationship Id="rId3047" Type="http://schemas.openxmlformats.org/officeDocument/2006/relationships/hyperlink" Target="http://csr.bu.edu/ftp/asl/asllvd/demos/verify_start_end_handshape_annotations//test_auto_move//signs_mov_separ_signers/Brady_3865.mov" TargetMode="External"/><Relationship Id="rId3048" Type="http://schemas.openxmlformats.org/officeDocument/2006/relationships/hyperlink" Target="http://secrets.rutgers.edu:8080/data/asl-ftp/asllvd/demos/verify_start_end_handshape_annotations//test_auto_move//signs_mov_separ_signers/Brady_3865.mov" TargetMode="External"/><Relationship Id="rId3049" Type="http://schemas.openxmlformats.org/officeDocument/2006/relationships/hyperlink" Target="http://csr.bu.edu/ftp/asl/asllvd/demos/verify_start_end_handshape_annotations//test_auto_move//signs_mov_separ_signers/Brady_5390.mov" TargetMode="External"/><Relationship Id="rId3050" Type="http://schemas.openxmlformats.org/officeDocument/2006/relationships/hyperlink" Target="http://secrets.rutgers.edu:8080/data/asl-ftp/asllvd/demos/verify_start_end_handshape_annotations//test_auto_move//signs_mov_separ_signers/Brady_5390.mov" TargetMode="External"/><Relationship Id="rId3051" Type="http://schemas.openxmlformats.org/officeDocument/2006/relationships/hyperlink" Target="http://csr.bu.edu/ftp/asl/asllvd/demos/verify_start_end_handshape_annotations//test_auto_move//signs_mov_separ_signers/Liz_5952.mov" TargetMode="External"/><Relationship Id="rId3052" Type="http://schemas.openxmlformats.org/officeDocument/2006/relationships/hyperlink" Target="http://secrets.rutgers.edu:8080/data/asl-ftp/asllvd/demos/verify_start_end_handshape_annotations//test_auto_move//signs_mov_separ_signers/Liz_5952.mov" TargetMode="External"/><Relationship Id="rId3053" Type="http://schemas.openxmlformats.org/officeDocument/2006/relationships/hyperlink" Target="http://csr.bu.edu/ftp/asl/asllvd/demos/verify_start_end_handshape_annotations//test_auto_move//signs_mov/5952.mov" TargetMode="External"/><Relationship Id="rId3054" Type="http://schemas.openxmlformats.org/officeDocument/2006/relationships/hyperlink" Target="http://csr.bu.edu/ftp/asl/asllvd/demos/verify_start_end_handshape_annotations//test_auto_move//signs_mov_separ_signers/Tyler_5952.mov" TargetMode="External"/><Relationship Id="rId3055" Type="http://schemas.openxmlformats.org/officeDocument/2006/relationships/hyperlink" Target="http://secrets.rutgers.edu:8080/data/asl-ftp/asllvd/demos/verify_start_end_handshape_annotations//test_auto_move//signs_mov/5952.mov" TargetMode="External"/><Relationship Id="rId3056" Type="http://schemas.openxmlformats.org/officeDocument/2006/relationships/hyperlink" Target="http://secrets.rutgers.edu:8080/data/asl-ftp/asllvd/demos/verify_start_end_handshape_annotations//test_auto_move//signs_mov_separ_signers/Tyler_5952.mov" TargetMode="External"/><Relationship Id="rId3057" Type="http://schemas.openxmlformats.org/officeDocument/2006/relationships/hyperlink" Target="http://csr.bu.edu/ftp/asl/asllvd/demos/verify_start_end_handshape_annotations//test_auto_move//signs_mov_separ_signers/Naomi_5952.mov" TargetMode="External"/><Relationship Id="rId3058" Type="http://schemas.openxmlformats.org/officeDocument/2006/relationships/hyperlink" Target="http://secrets.rutgers.edu:8080/data/asl-ftp/asllvd/demos/verify_start_end_handshape_annotations//test_auto_move//signs_mov_separ_signers/Naomi_5952.mov" TargetMode="External"/><Relationship Id="rId3059" Type="http://schemas.openxmlformats.org/officeDocument/2006/relationships/hyperlink" Target="http://csr.bu.edu/ftp/asl/asllvd/demos/verify_start_end_handshape_annotations//test_auto_move//signs_mov_separ_signers/Brady_5952.mov" TargetMode="External"/><Relationship Id="rId3060" Type="http://schemas.openxmlformats.org/officeDocument/2006/relationships/hyperlink" Target="http://secrets.rutgers.edu:8080/data/asl-ftp/asllvd/demos/verify_start_end_handshape_annotations//test_auto_move//signs_mov_separ_signers/Brady_5952.mov" TargetMode="External"/><Relationship Id="rId3061" Type="http://schemas.openxmlformats.org/officeDocument/2006/relationships/hyperlink" Target="http://csr.bu.edu/ftp/asl/asllvd/demos/verify_start_end_handshape_annotations//test_auto_move//signs_mov/5991.mov" TargetMode="External"/><Relationship Id="rId3062" Type="http://schemas.openxmlformats.org/officeDocument/2006/relationships/hyperlink" Target="http://csr.bu.edu/ftp/asl/asllvd/demos/verify_start_end_handshape_annotations//test_auto_move//signs_mov_separ_signers/Liz_5991.mov" TargetMode="External"/><Relationship Id="rId3063" Type="http://schemas.openxmlformats.org/officeDocument/2006/relationships/hyperlink" Target="http://secrets.rutgers.edu:8080/data/asl-ftp/asllvd/demos/verify_start_end_handshape_annotations//test_auto_move//signs_mov/5991.mov" TargetMode="External"/><Relationship Id="rId3064" Type="http://schemas.openxmlformats.org/officeDocument/2006/relationships/hyperlink" Target="http://secrets.rutgers.edu:8080/data/asl-ftp/asllvd/demos/verify_start_end_handshape_annotations//test_auto_move//signs_mov_separ_signers/Liz_5991.mov" TargetMode="External"/><Relationship Id="rId3065" Type="http://schemas.openxmlformats.org/officeDocument/2006/relationships/hyperlink" Target="http://csr.bu.edu/ftp/asl/asllvd/demos/verify_start_end_handshape_annotations//test_auto_move//signs_mov_separ_signers/Tyler_5991.mov" TargetMode="External"/><Relationship Id="rId3066" Type="http://schemas.openxmlformats.org/officeDocument/2006/relationships/hyperlink" Target="http://secrets.rutgers.edu:8080/data/asl-ftp/asllvd/demos/verify_start_end_handshape_annotations//test_auto_move//signs_mov_separ_signers/Tyler_5991.mov" TargetMode="External"/><Relationship Id="rId3067" Type="http://schemas.openxmlformats.org/officeDocument/2006/relationships/hyperlink" Target="http://csr.bu.edu/ftp/asl/asllvd/demos/verify_start_end_handshape_annotations//test_auto_move//signs_mov_separ_signers/Liz_15100.mov" TargetMode="External"/><Relationship Id="rId3068" Type="http://schemas.openxmlformats.org/officeDocument/2006/relationships/hyperlink" Target="http://secrets.rutgers.edu:8080/data/asl-ftp/asllvd/demos/verify_start_end_handshape_annotations//test_auto_move//signs_mov_separ_signers/Liz_15100.mov" TargetMode="External"/><Relationship Id="rId3069" Type="http://schemas.openxmlformats.org/officeDocument/2006/relationships/hyperlink" Target="http://csr.bu.edu/ftp/asl/asllvd/demos/verify_start_end_handshape_annotations//test_auto_move//signs_mov_separ_signers/Tyler_15100.mov" TargetMode="External"/><Relationship Id="rId3070" Type="http://schemas.openxmlformats.org/officeDocument/2006/relationships/hyperlink" Target="http://secrets.rutgers.edu:8080/data/asl-ftp/asllvd/demos/verify_start_end_handshape_annotations//test_auto_move//signs_mov_separ_signers/Tyler_15100.mov" TargetMode="External"/><Relationship Id="rId3071" Type="http://schemas.openxmlformats.org/officeDocument/2006/relationships/hyperlink" Target="http://csr.bu.edu/ftp/asl/asllvd/demos/verify_start_end_handshape_annotations//test_auto_move//signs_mov/15100_16515_merged.mov" TargetMode="External"/><Relationship Id="rId3072" Type="http://schemas.openxmlformats.org/officeDocument/2006/relationships/hyperlink" Target="http://csr.bu.edu/ftp/asl/asllvd/demos/verify_start_end_handshape_annotations//test_auto_move//signs_mov_separ_signers/Naomi_15100.mov" TargetMode="External"/><Relationship Id="rId3073" Type="http://schemas.openxmlformats.org/officeDocument/2006/relationships/hyperlink" Target="http://secrets.rutgers.edu:8080/data/asl-ftp/asllvd/demos/verify_start_end_handshape_annotations//test_auto_move//signs_mov/15100_16515_merged.mov" TargetMode="External"/><Relationship Id="rId3074" Type="http://schemas.openxmlformats.org/officeDocument/2006/relationships/hyperlink" Target="http://secrets.rutgers.edu:8080/data/asl-ftp/asllvd/demos/verify_start_end_handshape_annotations//test_auto_move//signs_mov_separ_signers/Naomi_15100.mov" TargetMode="External"/><Relationship Id="rId3075" Type="http://schemas.openxmlformats.org/officeDocument/2006/relationships/hyperlink" Target="http://csr.bu.edu/ftp/asl/asllvd/demos/verify_start_end_handshape_annotations//test_auto_move//signs_mov_separ_signers/Brady_15100.mov" TargetMode="External"/><Relationship Id="rId3076" Type="http://schemas.openxmlformats.org/officeDocument/2006/relationships/hyperlink" Target="http://secrets.rutgers.edu:8080/data/asl-ftp/asllvd/demos/verify_start_end_handshape_annotations//test_auto_move//signs_mov_separ_signers/Brady_15100.mov" TargetMode="External"/><Relationship Id="rId3077" Type="http://schemas.openxmlformats.org/officeDocument/2006/relationships/hyperlink" Target="http://csr.bu.edu/ftp/asl/asllvd/demos/verify_start_end_handshape_annotations//test_auto_move//signs_mov_separ_signers/Brady_16515.mov" TargetMode="External"/><Relationship Id="rId3078" Type="http://schemas.openxmlformats.org/officeDocument/2006/relationships/hyperlink" Target="http://secrets.rutgers.edu:8080/data/asl-ftp/asllvd/demos/verify_start_end_handshape_annotations//test_auto_move//signs_mov_separ_signers/Brady_16515.mov" TargetMode="External"/><Relationship Id="rId3079" Type="http://schemas.openxmlformats.org/officeDocument/2006/relationships/hyperlink" Target="http://csr.bu.edu/ftp/asl/asllvd/demos/verify_start_end_handshape_annotations//test_auto_move//signs_mov_separ_signers/Liz_338.mov" TargetMode="External"/><Relationship Id="rId3080" Type="http://schemas.openxmlformats.org/officeDocument/2006/relationships/hyperlink" Target="http://secrets.rutgers.edu:8080/data/asl-ftp/asllvd/demos/verify_start_end_handshape_annotations//test_auto_move//signs_mov_separ_signers/Liz_338.mov" TargetMode="External"/><Relationship Id="rId3081" Type="http://schemas.openxmlformats.org/officeDocument/2006/relationships/hyperlink" Target="http://csr.bu.edu/ftp/asl/asllvd/demos/verify_start_end_handshape_annotations//test_auto_move//signs_mov_separ_signers/Tyler_338.mov" TargetMode="External"/><Relationship Id="rId3082" Type="http://schemas.openxmlformats.org/officeDocument/2006/relationships/hyperlink" Target="http://secrets.rutgers.edu:8080/data/asl-ftp/asllvd/demos/verify_start_end_handshape_annotations//test_auto_move//signs_mov_separ_signers/Tyler_338.mov" TargetMode="External"/><Relationship Id="rId3083" Type="http://schemas.openxmlformats.org/officeDocument/2006/relationships/hyperlink" Target="http://csr.bu.edu/ftp/asl/asllvd/demos/verify_start_end_handshape_annotations//test_auto_move//signs_mov/338.mov" TargetMode="External"/><Relationship Id="rId3084" Type="http://schemas.openxmlformats.org/officeDocument/2006/relationships/hyperlink" Target="http://csr.bu.edu/ftp/asl/asllvd/demos/verify_start_end_handshape_annotations//test_auto_move//signs_mov_separ_signers/Naomi_338.mov" TargetMode="External"/><Relationship Id="rId3085" Type="http://schemas.openxmlformats.org/officeDocument/2006/relationships/hyperlink" Target="http://secrets.rutgers.edu:8080/data/asl-ftp/asllvd/demos/verify_start_end_handshape_annotations//test_auto_move//signs_mov/338.mov" TargetMode="External"/><Relationship Id="rId3086" Type="http://schemas.openxmlformats.org/officeDocument/2006/relationships/hyperlink" Target="http://secrets.rutgers.edu:8080/data/asl-ftp/asllvd/demos/verify_start_end_handshape_annotations//test_auto_move//signs_mov_separ_signers/Naomi_338.mov" TargetMode="External"/><Relationship Id="rId3087" Type="http://schemas.openxmlformats.org/officeDocument/2006/relationships/hyperlink" Target="http://csr.bu.edu/ftp/asl/asllvd/demos/verify_start_end_handshape_annotations//test_auto_move//signs_mov_separ_signers/Brady_338.mov" TargetMode="External"/><Relationship Id="rId3088" Type="http://schemas.openxmlformats.org/officeDocument/2006/relationships/hyperlink" Target="http://secrets.rutgers.edu:8080/data/asl-ftp/asllvd/demos/verify_start_end_handshape_annotations//test_auto_move//signs_mov_separ_signers/Brady_338.mov" TargetMode="External"/><Relationship Id="rId3089" Type="http://schemas.openxmlformats.org/officeDocument/2006/relationships/hyperlink" Target="http://csr.bu.edu/ftp/asl/asllvd/demos/verify_start_end_handshape_annotations//test_auto_move//signs_mov_separ_signers/Lana_338.mov" TargetMode="External"/><Relationship Id="rId3090" Type="http://schemas.openxmlformats.org/officeDocument/2006/relationships/hyperlink" Target="http://secrets.rutgers.edu:8080/data/asl-ftp/asllvd/demos/verify_start_end_handshape_annotations//test_auto_move//signs_mov_separ_signers/Lana_338.mov" TargetMode="External"/><Relationship Id="rId3091" Type="http://schemas.openxmlformats.org/officeDocument/2006/relationships/hyperlink" Target="http://csr.bu.edu/ftp/asl/asllvd/demos/verify_start_end_handshape_annotations//test_auto_move//signs_mov_separ_signers/Dana_338.mov" TargetMode="External"/><Relationship Id="rId3092" Type="http://schemas.openxmlformats.org/officeDocument/2006/relationships/hyperlink" Target="http://secrets.rutgers.edu:8080/data/asl-ftp/asllvd/demos/verify_start_end_handshape_annotations//test_auto_move//signs_mov_separ_signers/Dana_338.mov" TargetMode="External"/><Relationship Id="rId3093" Type="http://schemas.openxmlformats.org/officeDocument/2006/relationships/hyperlink" Target="http://csr.bu.edu/ftp/asl/asllvd/demos/verify_start_end_handshape_annotations//test_auto_move//signs_mov_separ_signers/Liz_15716.mov" TargetMode="External"/><Relationship Id="rId3094" Type="http://schemas.openxmlformats.org/officeDocument/2006/relationships/hyperlink" Target="http://secrets.rutgers.edu:8080/data/asl-ftp/asllvd/demos/verify_start_end_handshape_annotations//test_auto_move//signs_mov_separ_signers/Liz_15716.mov" TargetMode="External"/><Relationship Id="rId3095" Type="http://schemas.openxmlformats.org/officeDocument/2006/relationships/hyperlink" Target="http://csr.bu.edu/ftp/asl/asllvd/demos/verify_start_end_handshape_annotations//test_auto_move//signs_mov_separ_signers/Tyler_15716.mov" TargetMode="External"/><Relationship Id="rId3096" Type="http://schemas.openxmlformats.org/officeDocument/2006/relationships/hyperlink" Target="http://secrets.rutgers.edu:8080/data/asl-ftp/asllvd/demos/verify_start_end_handshape_annotations//test_auto_move//signs_mov_separ_signers/Tyler_15716.mov" TargetMode="External"/><Relationship Id="rId3097" Type="http://schemas.openxmlformats.org/officeDocument/2006/relationships/hyperlink" Target="http://csr.bu.edu/ftp/asl/asllvd/demos/verify_start_end_handshape_annotations//test_auto_move//signs_mov/15716.mov" TargetMode="External"/><Relationship Id="rId3098" Type="http://schemas.openxmlformats.org/officeDocument/2006/relationships/hyperlink" Target="http://csr.bu.edu/ftp/asl/asllvd/demos/verify_start_end_handshape_annotations//test_auto_move//signs_mov_separ_signers/Naomi_15716.mov" TargetMode="External"/><Relationship Id="rId3099" Type="http://schemas.openxmlformats.org/officeDocument/2006/relationships/hyperlink" Target="http://secrets.rutgers.edu:8080/data/asl-ftp/asllvd/demos/verify_start_end_handshape_annotations//test_auto_move//signs_mov/15716.mov" TargetMode="External"/><Relationship Id="rId3100" Type="http://schemas.openxmlformats.org/officeDocument/2006/relationships/hyperlink" Target="http://secrets.rutgers.edu:8080/data/asl-ftp/asllvd/demos/verify_start_end_handshape_annotations//test_auto_move//signs_mov_separ_signers/Naomi_15716.mov" TargetMode="External"/><Relationship Id="rId3101" Type="http://schemas.openxmlformats.org/officeDocument/2006/relationships/hyperlink" Target="http://csr.bu.edu/ftp/asl/asllvd/demos/verify_start_end_handshape_annotations//test_auto_move//signs_mov_separ_signers/Brady_15716.mov" TargetMode="External"/><Relationship Id="rId3102" Type="http://schemas.openxmlformats.org/officeDocument/2006/relationships/hyperlink" Target="http://secrets.rutgers.edu:8080/data/asl-ftp/asllvd/demos/verify_start_end_handshape_annotations//test_auto_move//signs_mov_separ_signers/Brady_15716.mov" TargetMode="External"/><Relationship Id="rId3103" Type="http://schemas.openxmlformats.org/officeDocument/2006/relationships/hyperlink" Target="http://csr.bu.edu/ftp/asl/asllvd/demos/verify_start_end_handshape_annotations//test_auto_move//signs_mov_separ_signers/Lana_15716.mov" TargetMode="External"/><Relationship Id="rId3104" Type="http://schemas.openxmlformats.org/officeDocument/2006/relationships/hyperlink" Target="http://secrets.rutgers.edu:8080/data/asl-ftp/asllvd/demos/verify_start_end_handshape_annotations//test_auto_move//signs_mov_separ_signers/Lana_15716.mov" TargetMode="External"/><Relationship Id="rId3105" Type="http://schemas.openxmlformats.org/officeDocument/2006/relationships/hyperlink" Target="http://csr.bu.edu/ftp/asl/asllvd/demos/verify_start_end_handshape_annotations//test_auto_move//signs_mov_separ_signers/Dana_15716.mov" TargetMode="External"/><Relationship Id="rId3106" Type="http://schemas.openxmlformats.org/officeDocument/2006/relationships/hyperlink" Target="http://secrets.rutgers.edu:8080/data/asl-ftp/asllvd/demos/verify_start_end_handshape_annotations//test_auto_move//signs_mov_separ_signers/Dana_15716.mov" TargetMode="External"/><Relationship Id="rId3107" Type="http://schemas.openxmlformats.org/officeDocument/2006/relationships/hyperlink" Target="http://csr.bu.edu/ftp/asl/asllvd/demos/verify_start_end_handshape_annotations//test_auto_move//signs_mov/339.mov" TargetMode="External"/><Relationship Id="rId3108" Type="http://schemas.openxmlformats.org/officeDocument/2006/relationships/hyperlink" Target="http://csr.bu.edu/ftp/asl/asllvd/demos/verify_start_end_handshape_annotations//test_auto_move//signs_mov_separ_signers/Naomi_339.mov" TargetMode="External"/><Relationship Id="rId3109" Type="http://schemas.openxmlformats.org/officeDocument/2006/relationships/hyperlink" Target="http://secrets.rutgers.edu:8080/data/asl-ftp/asllvd/demos/verify_start_end_handshape_annotations//test_auto_move//signs_mov/339.mov" TargetMode="External"/><Relationship Id="rId3110" Type="http://schemas.openxmlformats.org/officeDocument/2006/relationships/hyperlink" Target="http://secrets.rutgers.edu:8080/data/asl-ftp/asllvd/demos/verify_start_end_handshape_annotations//test_auto_move//signs_mov_separ_signers/Naomi_339.mov" TargetMode="External"/><Relationship Id="rId3111" Type="http://schemas.openxmlformats.org/officeDocument/2006/relationships/hyperlink" Target="http://csr.bu.edu/ftp/asl/asllvd/demos/verify_start_end_handshape_annotations//test_auto_move//signs_mov_separ_signers/Brady_339.mov" TargetMode="External"/><Relationship Id="rId3112" Type="http://schemas.openxmlformats.org/officeDocument/2006/relationships/hyperlink" Target="http://secrets.rutgers.edu:8080/data/asl-ftp/asllvd/demos/verify_start_end_handshape_annotations//test_auto_move//signs_mov_separ_signers/Brady_339.mov" TargetMode="External"/><Relationship Id="rId3113" Type="http://schemas.openxmlformats.org/officeDocument/2006/relationships/hyperlink" Target="http://csr.bu.edu/ftp/asl/asllvd/demos/verify_start_end_handshape_annotations//test_auto_move//signs_mov/5117.mov" TargetMode="External"/><Relationship Id="rId3114" Type="http://schemas.openxmlformats.org/officeDocument/2006/relationships/hyperlink" Target="http://csr.bu.edu/ftp/asl/asllvd/demos/verify_start_end_handshape_annotations//test_auto_move//signs_mov_separ_signers/Liz_5117.mov" TargetMode="External"/><Relationship Id="rId3115" Type="http://schemas.openxmlformats.org/officeDocument/2006/relationships/hyperlink" Target="http://secrets.rutgers.edu:8080/data/asl-ftp/asllvd/demos/verify_start_end_handshape_annotations//test_auto_move//signs_mov/5117.mov" TargetMode="External"/><Relationship Id="rId3116" Type="http://schemas.openxmlformats.org/officeDocument/2006/relationships/hyperlink" Target="http://secrets.rutgers.edu:8080/data/asl-ftp/asllvd/demos/verify_start_end_handshape_annotations//test_auto_move//signs_mov_separ_signers/Liz_5117.mov" TargetMode="External"/><Relationship Id="rId3117" Type="http://schemas.openxmlformats.org/officeDocument/2006/relationships/hyperlink" Target="http://csr.bu.edu/ftp/asl/asllvd/demos/verify_start_end_handshape_annotations//test_auto_move//signs_mov/16533.mov" TargetMode="External"/><Relationship Id="rId3118" Type="http://schemas.openxmlformats.org/officeDocument/2006/relationships/hyperlink" Target="http://csr.bu.edu/ftp/asl/asllvd/demos/verify_start_end_handshape_annotations//test_auto_move//signs_mov_separ_signers/Tyler_16533.mov" TargetMode="External"/><Relationship Id="rId3119" Type="http://schemas.openxmlformats.org/officeDocument/2006/relationships/hyperlink" Target="http://secrets.rutgers.edu:8080/data/asl-ftp/asllvd/demos/verify_start_end_handshape_annotations//test_auto_move//signs_mov/16533.mov" TargetMode="External"/><Relationship Id="rId3120" Type="http://schemas.openxmlformats.org/officeDocument/2006/relationships/hyperlink" Target="http://secrets.rutgers.edu:8080/data/asl-ftp/asllvd/demos/verify_start_end_handshape_annotations//test_auto_move//signs_mov_separ_signers/Tyler_16533.mov" TargetMode="External"/><Relationship Id="rId3121" Type="http://schemas.openxmlformats.org/officeDocument/2006/relationships/hyperlink" Target="http://csr.bu.edu/ftp/asl/asllvd/demos/verify_start_end_handshape_annotations//test_auto_move//signs_mov_separ_signers/Liz_342.mov" TargetMode="External"/><Relationship Id="rId3122" Type="http://schemas.openxmlformats.org/officeDocument/2006/relationships/hyperlink" Target="http://secrets.rutgers.edu:8080/data/asl-ftp/asllvd/demos/verify_start_end_handshape_annotations//test_auto_move//signs_mov_separ_signers/Liz_342.mov" TargetMode="External"/><Relationship Id="rId3123" Type="http://schemas.openxmlformats.org/officeDocument/2006/relationships/hyperlink" Target="http://csr.bu.edu/ftp/asl/asllvd/demos/verify_start_end_handshape_annotations//test_auto_move//signs_mov/342.mov" TargetMode="External"/><Relationship Id="rId3124" Type="http://schemas.openxmlformats.org/officeDocument/2006/relationships/hyperlink" Target="http://csr.bu.edu/ftp/asl/asllvd/demos/verify_start_end_handshape_annotations//test_auto_move//signs_mov_separ_signers/Tyler_342.mov" TargetMode="External"/><Relationship Id="rId3125" Type="http://schemas.openxmlformats.org/officeDocument/2006/relationships/hyperlink" Target="http://secrets.rutgers.edu:8080/data/asl-ftp/asllvd/demos/verify_start_end_handshape_annotations//test_auto_move//signs_mov/342.mov" TargetMode="External"/><Relationship Id="rId3126" Type="http://schemas.openxmlformats.org/officeDocument/2006/relationships/hyperlink" Target="http://secrets.rutgers.edu:8080/data/asl-ftp/asllvd/demos/verify_start_end_handshape_annotations//test_auto_move//signs_mov_separ_signers/Tyler_342.mov" TargetMode="External"/><Relationship Id="rId3127" Type="http://schemas.openxmlformats.org/officeDocument/2006/relationships/hyperlink" Target="http://csr.bu.edu/ftp/asl/asllvd/demos/verify_start_end_handshape_annotations//test_auto_move//signs_mov_separ_signers/Naomi_342.mov" TargetMode="External"/><Relationship Id="rId3128" Type="http://schemas.openxmlformats.org/officeDocument/2006/relationships/hyperlink" Target="http://secrets.rutgers.edu:8080/data/asl-ftp/asllvd/demos/verify_start_end_handshape_annotations//test_auto_move//signs_mov_separ_signers/Naomi_342.mov" TargetMode="External"/><Relationship Id="rId3129" Type="http://schemas.openxmlformats.org/officeDocument/2006/relationships/hyperlink" Target="http://csr.bu.edu/ftp/asl/asllvd/demos/verify_start_end_handshape_annotations//test_auto_move//signs_mov_separ_signers/Brady_342.mov" TargetMode="External"/><Relationship Id="rId3130" Type="http://schemas.openxmlformats.org/officeDocument/2006/relationships/hyperlink" Target="http://secrets.rutgers.edu:8080/data/asl-ftp/asllvd/demos/verify_start_end_handshape_annotations//test_auto_move//signs_mov_separ_signers/Brady_342.mov" TargetMode="External"/><Relationship Id="rId3131" Type="http://schemas.openxmlformats.org/officeDocument/2006/relationships/hyperlink" Target="http://csr.bu.edu/ftp/asl/asllvd/demos/verify_start_end_handshape_annotations//test_auto_move//signs_mov_separ_signers/Liz_15537.mov" TargetMode="External"/><Relationship Id="rId3132" Type="http://schemas.openxmlformats.org/officeDocument/2006/relationships/hyperlink" Target="http://secrets.rutgers.edu:8080/data/asl-ftp/asllvd/demos/verify_start_end_handshape_annotations//test_auto_move//signs_mov_separ_signers/Liz_15537.mov" TargetMode="External"/><Relationship Id="rId3133" Type="http://schemas.openxmlformats.org/officeDocument/2006/relationships/hyperlink" Target="http://csr.bu.edu/ftp/asl/asllvd/demos/verify_start_end_handshape_annotations//test_auto_move//signs_mov_separ_signers/Tyler_15537.mov" TargetMode="External"/><Relationship Id="rId3134" Type="http://schemas.openxmlformats.org/officeDocument/2006/relationships/hyperlink" Target="http://secrets.rutgers.edu:8080/data/asl-ftp/asllvd/demos/verify_start_end_handshape_annotations//test_auto_move//signs_mov_separ_signers/Tyler_15537.mov" TargetMode="External"/><Relationship Id="rId3135" Type="http://schemas.openxmlformats.org/officeDocument/2006/relationships/hyperlink" Target="http://csr.bu.edu/ftp/asl/asllvd/demos/verify_start_end_handshape_annotations//test_auto_move//signs_mov/15537.mov" TargetMode="External"/><Relationship Id="rId3136" Type="http://schemas.openxmlformats.org/officeDocument/2006/relationships/hyperlink" Target="http://csr.bu.edu/ftp/asl/asllvd/demos/verify_start_end_handshape_annotations//test_auto_move//signs_mov_separ_signers/Naomi_15537.mov" TargetMode="External"/><Relationship Id="rId3137" Type="http://schemas.openxmlformats.org/officeDocument/2006/relationships/hyperlink" Target="http://secrets.rutgers.edu:8080/data/asl-ftp/asllvd/demos/verify_start_end_handshape_annotations//test_auto_move//signs_mov/15537.mov" TargetMode="External"/><Relationship Id="rId3138" Type="http://schemas.openxmlformats.org/officeDocument/2006/relationships/hyperlink" Target="http://secrets.rutgers.edu:8080/data/asl-ftp/asllvd/demos/verify_start_end_handshape_annotations//test_auto_move//signs_mov_separ_signers/Naomi_15537.mov" TargetMode="External"/><Relationship Id="rId3139" Type="http://schemas.openxmlformats.org/officeDocument/2006/relationships/hyperlink" Target="http://csr.bu.edu/ftp/asl/asllvd/demos/verify_start_end_handshape_annotations//test_auto_move//signs_mov_separ_signers/Brady_15537.mov" TargetMode="External"/><Relationship Id="rId3140" Type="http://schemas.openxmlformats.org/officeDocument/2006/relationships/hyperlink" Target="http://secrets.rutgers.edu:8080/data/asl-ftp/asllvd/demos/verify_start_end_handshape_annotations//test_auto_move//signs_mov_separ_signers/Brady_15537.mov" TargetMode="External"/><Relationship Id="rId3141" Type="http://schemas.openxmlformats.org/officeDocument/2006/relationships/hyperlink" Target="http://csr.bu.edu/ftp/asl/asllvd/demos/verify_start_end_handshape_annotations//test_auto_move//signs_mov_separ_signers/Lana_15537.mov" TargetMode="External"/><Relationship Id="rId3142" Type="http://schemas.openxmlformats.org/officeDocument/2006/relationships/hyperlink" Target="http://secrets.rutgers.edu:8080/data/asl-ftp/asllvd/demos/verify_start_end_handshape_annotations//test_auto_move//signs_mov_separ_signers/Lana_15537.mov" TargetMode="External"/><Relationship Id="rId3143" Type="http://schemas.openxmlformats.org/officeDocument/2006/relationships/hyperlink" Target="http://csr.bu.edu/ftp/asl/asllvd/demos/verify_start_end_handshape_annotations//test_auto_move//signs_mov_separ_signers/Dana_15537.mov" TargetMode="External"/><Relationship Id="rId3144" Type="http://schemas.openxmlformats.org/officeDocument/2006/relationships/hyperlink" Target="http://secrets.rutgers.edu:8080/data/asl-ftp/asllvd/demos/verify_start_end_handshape_annotations//test_auto_move//signs_mov_separ_signers/Dana_15537.mov" TargetMode="External"/><Relationship Id="rId3145" Type="http://schemas.openxmlformats.org/officeDocument/2006/relationships/hyperlink" Target="http://csr.bu.edu/ftp/asl/asllvd/demos/verify_start_end_handshape_annotations//test_auto_move//signs_mov_separ_signers/Liz_343.mov" TargetMode="External"/><Relationship Id="rId3146" Type="http://schemas.openxmlformats.org/officeDocument/2006/relationships/hyperlink" Target="http://secrets.rutgers.edu:8080/data/asl-ftp/asllvd/demos/verify_start_end_handshape_annotations//test_auto_move//signs_mov_separ_signers/Liz_343.mov" TargetMode="External"/><Relationship Id="rId3147" Type="http://schemas.openxmlformats.org/officeDocument/2006/relationships/hyperlink" Target="http://csr.bu.edu/ftp/asl/asllvd/demos/verify_start_end_handshape_annotations//test_auto_move//signs_mov_separ_signers/Tyler_343.mov" TargetMode="External"/><Relationship Id="rId3148" Type="http://schemas.openxmlformats.org/officeDocument/2006/relationships/hyperlink" Target="http://secrets.rutgers.edu:8080/data/asl-ftp/asllvd/demos/verify_start_end_handshape_annotations//test_auto_move//signs_mov_separ_signers/Tyler_343.mov" TargetMode="External"/><Relationship Id="rId3149" Type="http://schemas.openxmlformats.org/officeDocument/2006/relationships/hyperlink" Target="http://csr.bu.edu/ftp/asl/asllvd/demos/verify_start_end_handshape_annotations//test_auto_move//signs_mov_separ_signers/Tyler_3445.mov" TargetMode="External"/><Relationship Id="rId3150" Type="http://schemas.openxmlformats.org/officeDocument/2006/relationships/hyperlink" Target="http://secrets.rutgers.edu:8080/data/asl-ftp/asllvd/demos/verify_start_end_handshape_annotations//test_auto_move//signs_mov_separ_signers/Tyler_3445.mov" TargetMode="External"/><Relationship Id="rId3151" Type="http://schemas.openxmlformats.org/officeDocument/2006/relationships/hyperlink" Target="http://csr.bu.edu/ftp/asl/asllvd/demos/verify_start_end_handshape_annotations//test_auto_move//signs_mov/343_3445_merged.mov" TargetMode="External"/><Relationship Id="rId3152" Type="http://schemas.openxmlformats.org/officeDocument/2006/relationships/hyperlink" Target="http://csr.bu.edu/ftp/asl/asllvd/demos/verify_start_end_handshape_annotations//test_auto_move//signs_mov_separ_signers/Naomi_343.mov" TargetMode="External"/><Relationship Id="rId3153" Type="http://schemas.openxmlformats.org/officeDocument/2006/relationships/hyperlink" Target="http://secrets.rutgers.edu:8080/data/asl-ftp/asllvd/demos/verify_start_end_handshape_annotations//test_auto_move//signs_mov/343_3445_merged.mov" TargetMode="External"/><Relationship Id="rId3154" Type="http://schemas.openxmlformats.org/officeDocument/2006/relationships/hyperlink" Target="http://secrets.rutgers.edu:8080/data/asl-ftp/asllvd/demos/verify_start_end_handshape_annotations//test_auto_move//signs_mov_separ_signers/Naomi_343.mov" TargetMode="External"/><Relationship Id="rId3155" Type="http://schemas.openxmlformats.org/officeDocument/2006/relationships/hyperlink" Target="http://csr.bu.edu/ftp/asl/asllvd/demos/verify_start_end_handshape_annotations//test_auto_move//signs_mov_separ_signers/Brady_343.mov" TargetMode="External"/><Relationship Id="rId3156" Type="http://schemas.openxmlformats.org/officeDocument/2006/relationships/hyperlink" Target="http://secrets.rutgers.edu:8080/data/asl-ftp/asllvd/demos/verify_start_end_handshape_annotations//test_auto_move//signs_mov_separ_signers/Brady_343.mov" TargetMode="External"/><Relationship Id="rId3157" Type="http://schemas.openxmlformats.org/officeDocument/2006/relationships/hyperlink" Target="http://csr.bu.edu/ftp/asl/asllvd/demos/verify_start_end_handshape_annotations//test_auto_move//signs_mov_separ_signers/Brady_3445.mov" TargetMode="External"/><Relationship Id="rId3158" Type="http://schemas.openxmlformats.org/officeDocument/2006/relationships/hyperlink" Target="http://secrets.rutgers.edu:8080/data/asl-ftp/asllvd/demos/verify_start_end_handshape_annotations//test_auto_move//signs_mov_separ_signers/Brady_3445.mov" TargetMode="External"/><Relationship Id="rId3159" Type="http://schemas.openxmlformats.org/officeDocument/2006/relationships/hyperlink" Target="http://csr.bu.edu/ftp/asl/asllvd/demos/verify_start_end_handshape_annotations//test_auto_move//signs_mov_separ_signers/Lana_343.mov" TargetMode="External"/><Relationship Id="rId3160" Type="http://schemas.openxmlformats.org/officeDocument/2006/relationships/hyperlink" Target="http://secrets.rutgers.edu:8080/data/asl-ftp/asllvd/demos/verify_start_end_handshape_annotations//test_auto_move//signs_mov_separ_signers/Lana_343.mov" TargetMode="External"/><Relationship Id="rId3161" Type="http://schemas.openxmlformats.org/officeDocument/2006/relationships/hyperlink" Target="http://csr.bu.edu/ftp/asl/asllvd/demos/verify_start_end_handshape_annotations//test_auto_move//signs_mov/15414.mov" TargetMode="External"/><Relationship Id="rId3162" Type="http://schemas.openxmlformats.org/officeDocument/2006/relationships/hyperlink" Target="http://csr.bu.edu/ftp/asl/asllvd/demos/verify_start_end_handshape_annotations//test_auto_move//signs_mov_separ_signers/Liz_15414.mov" TargetMode="External"/><Relationship Id="rId3163" Type="http://schemas.openxmlformats.org/officeDocument/2006/relationships/hyperlink" Target="http://secrets.rutgers.edu:8080/data/asl-ftp/asllvd/demos/verify_start_end_handshape_annotations//test_auto_move//signs_mov/15414.mov" TargetMode="External"/><Relationship Id="rId3164" Type="http://schemas.openxmlformats.org/officeDocument/2006/relationships/hyperlink" Target="http://secrets.rutgers.edu:8080/data/asl-ftp/asllvd/demos/verify_start_end_handshape_annotations//test_auto_move//signs_mov_separ_signers/Liz_15414.mov" TargetMode="External"/><Relationship Id="rId3165" Type="http://schemas.openxmlformats.org/officeDocument/2006/relationships/hyperlink" Target="http://csr.bu.edu/ftp/asl/asllvd/demos/verify_start_end_handshape_annotations//test_auto_move//signs_mov_separ_signers/Tyler_15414.mov" TargetMode="External"/><Relationship Id="rId3166" Type="http://schemas.openxmlformats.org/officeDocument/2006/relationships/hyperlink" Target="http://secrets.rutgers.edu:8080/data/asl-ftp/asllvd/demos/verify_start_end_handshape_annotations//test_auto_move//signs_mov_separ_signers/Tyler_15414.mov" TargetMode="External"/><Relationship Id="rId3167" Type="http://schemas.openxmlformats.org/officeDocument/2006/relationships/hyperlink" Target="http://csr.bu.edu/ftp/asl/asllvd/demos/verify_start_end_handshape_annotations//test_auto_move//signs_mov_separ_signers/Naomi_15455.mov" TargetMode="External"/><Relationship Id="rId3168" Type="http://schemas.openxmlformats.org/officeDocument/2006/relationships/hyperlink" Target="http://secrets.rutgers.edu:8080/data/asl-ftp/asllvd/demos/verify_start_end_handshape_annotations//test_auto_move//signs_mov_separ_signers/Naomi_15455.mov" TargetMode="External"/><Relationship Id="rId3169" Type="http://schemas.openxmlformats.org/officeDocument/2006/relationships/hyperlink" Target="http://csr.bu.edu/ftp/asl/asllvd/demos/verify_start_end_handshape_annotations//test_auto_move//signs_mov_separ_signers/Naomi_15466.mov" TargetMode="External"/><Relationship Id="rId3170" Type="http://schemas.openxmlformats.org/officeDocument/2006/relationships/hyperlink" Target="http://secrets.rutgers.edu:8080/data/asl-ftp/asllvd/demos/verify_start_end_handshape_annotations//test_auto_move//signs_mov_separ_signers/Naomi_15466.mov" TargetMode="External"/><Relationship Id="rId3171" Type="http://schemas.openxmlformats.org/officeDocument/2006/relationships/hyperlink" Target="http://csr.bu.edu/ftp/asl/asllvd/demos/verify_start_end_handshape_annotations//test_auto_move//signs_mov/15455_15466_merged.mov" TargetMode="External"/><Relationship Id="rId3172" Type="http://schemas.openxmlformats.org/officeDocument/2006/relationships/hyperlink" Target="http://csr.bu.edu/ftp/asl/asllvd/demos/verify_start_end_handshape_annotations//test_auto_move//signs_mov_separ_signers/Brady_15455.mov" TargetMode="External"/><Relationship Id="rId3173" Type="http://schemas.openxmlformats.org/officeDocument/2006/relationships/hyperlink" Target="http://secrets.rutgers.edu:8080/data/asl-ftp/asllvd/demos/verify_start_end_handshape_annotations//test_auto_move//signs_mov/15455_15466_merged.mov" TargetMode="External"/><Relationship Id="rId3174" Type="http://schemas.openxmlformats.org/officeDocument/2006/relationships/hyperlink" Target="http://secrets.rutgers.edu:8080/data/asl-ftp/asllvd/demos/verify_start_end_handshape_annotations//test_auto_move//signs_mov_separ_signers/Brady_15455.mov" TargetMode="External"/><Relationship Id="rId3175" Type="http://schemas.openxmlformats.org/officeDocument/2006/relationships/hyperlink" Target="http://csr.bu.edu/ftp/asl/asllvd/demos/verify_start_end_handshape_annotations//test_auto_move//signs_mov_separ_signers/Brady_15466.mov" TargetMode="External"/><Relationship Id="rId3176" Type="http://schemas.openxmlformats.org/officeDocument/2006/relationships/hyperlink" Target="http://secrets.rutgers.edu:8080/data/asl-ftp/asllvd/demos/verify_start_end_handshape_annotations//test_auto_move//signs_mov_separ_signers/Brady_15466.mov" TargetMode="External"/><Relationship Id="rId3177" Type="http://schemas.openxmlformats.org/officeDocument/2006/relationships/hyperlink" Target="http://csr.bu.edu/ftp/asl/asllvd/demos/verify_start_end_handshape_annotations//test_auto_move//signs_mov_separ_signers/Dana_15455.mov" TargetMode="External"/><Relationship Id="rId3178" Type="http://schemas.openxmlformats.org/officeDocument/2006/relationships/hyperlink" Target="http://secrets.rutgers.edu:8080/data/asl-ftp/asllvd/demos/verify_start_end_handshape_annotations//test_auto_move//signs_mov_separ_signers/Dana_15455.mov" TargetMode="External"/><Relationship Id="rId3179" Type="http://schemas.openxmlformats.org/officeDocument/2006/relationships/hyperlink" Target="http://csr.bu.edu/ftp/asl/asllvd/demos/verify_start_end_handshape_annotations//test_auto_move//signs_mov/15998.mov" TargetMode="External"/><Relationship Id="rId3180" Type="http://schemas.openxmlformats.org/officeDocument/2006/relationships/hyperlink" Target="http://csr.bu.edu/ftp/asl/asllvd/demos/verify_start_end_handshape_annotations//test_auto_move//signs_mov_separ_signers/Liz_15998.mov" TargetMode="External"/><Relationship Id="rId3181" Type="http://schemas.openxmlformats.org/officeDocument/2006/relationships/hyperlink" Target="http://secrets.rutgers.edu:8080/data/asl-ftp/asllvd/demos/verify_start_end_handshape_annotations//test_auto_move//signs_mov/15998.mov" TargetMode="External"/><Relationship Id="rId3182" Type="http://schemas.openxmlformats.org/officeDocument/2006/relationships/hyperlink" Target="http://secrets.rutgers.edu:8080/data/asl-ftp/asllvd/demos/verify_start_end_handshape_annotations//test_auto_move//signs_mov_separ_signers/Liz_15998.mov" TargetMode="External"/><Relationship Id="rId3183" Type="http://schemas.openxmlformats.org/officeDocument/2006/relationships/hyperlink" Target="http://csr.bu.edu/ftp/asl/asllvd/demos/verify_start_end_handshape_annotations//test_auto_move//signs_mov_separ_signers/Naomi_15998.mov" TargetMode="External"/><Relationship Id="rId3184" Type="http://schemas.openxmlformats.org/officeDocument/2006/relationships/hyperlink" Target="http://secrets.rutgers.edu:8080/data/asl-ftp/asllvd/demos/verify_start_end_handshape_annotations//test_auto_move//signs_mov_separ_signers/Naomi_15998.mov" TargetMode="External"/><Relationship Id="rId3185" Type="http://schemas.openxmlformats.org/officeDocument/2006/relationships/hyperlink" Target="http://csr.bu.edu/ftp/asl/asllvd/demos/verify_start_end_handshape_annotations//test_auto_move//signs_mov/16267.mov" TargetMode="External"/><Relationship Id="rId3186" Type="http://schemas.openxmlformats.org/officeDocument/2006/relationships/hyperlink" Target="http://csr.bu.edu/ftp/asl/asllvd/demos/verify_start_end_handshape_annotations//test_auto_move//signs_mov_separ_signers/Tyler_16267.mov" TargetMode="External"/><Relationship Id="rId3187" Type="http://schemas.openxmlformats.org/officeDocument/2006/relationships/hyperlink" Target="http://secrets.rutgers.edu:8080/data/asl-ftp/asllvd/demos/verify_start_end_handshape_annotations//test_auto_move//signs_mov/16267.mov" TargetMode="External"/><Relationship Id="rId3188" Type="http://schemas.openxmlformats.org/officeDocument/2006/relationships/hyperlink" Target="http://secrets.rutgers.edu:8080/data/asl-ftp/asllvd/demos/verify_start_end_handshape_annotations//test_auto_move//signs_mov_separ_signers/Tyler_16267.mov" TargetMode="External"/><Relationship Id="rId3189" Type="http://schemas.openxmlformats.org/officeDocument/2006/relationships/hyperlink" Target="http://csr.bu.edu/ftp/asl/asllvd/demos/verify_start_end_handshape_annotations//test_auto_move//signs_mov_separ_signers/Brady_16267.mov" TargetMode="External"/><Relationship Id="rId3190" Type="http://schemas.openxmlformats.org/officeDocument/2006/relationships/hyperlink" Target="http://secrets.rutgers.edu:8080/data/asl-ftp/asllvd/demos/verify_start_end_handshape_annotations//test_auto_move//signs_mov_separ_signers/Brady_16267.mov" TargetMode="External"/><Relationship Id="rId3191" Type="http://schemas.openxmlformats.org/officeDocument/2006/relationships/hyperlink" Target="http://csr.bu.edu/ftp/asl/asllvd/demos/verify_start_end_handshape_annotations//test_auto_move//signs_mov_separ_signers/Naomi_346.mov" TargetMode="External"/><Relationship Id="rId3192" Type="http://schemas.openxmlformats.org/officeDocument/2006/relationships/hyperlink" Target="http://secrets.rutgers.edu:8080/data/asl-ftp/asllvd/demos/verify_start_end_handshape_annotations//test_auto_move//signs_mov_separ_signers/Naomi_346.mov" TargetMode="External"/><Relationship Id="rId3193" Type="http://schemas.openxmlformats.org/officeDocument/2006/relationships/hyperlink" Target="http://csr.bu.edu/ftp/asl/asllvd/demos/verify_start_end_handshape_annotations//test_auto_move//signs_mov/346_5822_merged.mov" TargetMode="External"/><Relationship Id="rId3194" Type="http://schemas.openxmlformats.org/officeDocument/2006/relationships/hyperlink" Target="http://csr.bu.edu/ftp/asl/asllvd/demos/verify_start_end_handshape_annotations//test_auto_move//signs_mov_separ_signers/Brady_346.mov" TargetMode="External"/><Relationship Id="rId3195" Type="http://schemas.openxmlformats.org/officeDocument/2006/relationships/hyperlink" Target="http://secrets.rutgers.edu:8080/data/asl-ftp/asllvd/demos/verify_start_end_handshape_annotations//test_auto_move//signs_mov/346_5822_merged.mov" TargetMode="External"/><Relationship Id="rId3196" Type="http://schemas.openxmlformats.org/officeDocument/2006/relationships/hyperlink" Target="http://secrets.rutgers.edu:8080/data/asl-ftp/asllvd/demos/verify_start_end_handshape_annotations//test_auto_move//signs_mov_separ_signers/Brady_346.mov" TargetMode="External"/><Relationship Id="rId3197" Type="http://schemas.openxmlformats.org/officeDocument/2006/relationships/hyperlink" Target="http://csr.bu.edu/ftp/asl/asllvd/demos/verify_start_end_handshape_annotations//test_auto_move//signs_mov_separ_signers/Brady_5822.mov" TargetMode="External"/><Relationship Id="rId3198" Type="http://schemas.openxmlformats.org/officeDocument/2006/relationships/hyperlink" Target="http://secrets.rutgers.edu:8080/data/asl-ftp/asllvd/demos/verify_start_end_handshape_annotations//test_auto_move//signs_mov_separ_signers/Brady_5822.mov" TargetMode="External"/><Relationship Id="rId3199" Type="http://schemas.openxmlformats.org/officeDocument/2006/relationships/hyperlink" Target="http://csr.bu.edu/ftp/asl/asllvd/demos/verify_start_end_handshape_annotations//test_auto_move//signs_mov/5844.mov" TargetMode="External"/><Relationship Id="rId3200" Type="http://schemas.openxmlformats.org/officeDocument/2006/relationships/hyperlink" Target="http://csr.bu.edu/ftp/asl/asllvd/demos/verify_start_end_handshape_annotations//test_auto_move//signs_mov_separ_signers/Liz_5844.mov" TargetMode="External"/><Relationship Id="rId3201" Type="http://schemas.openxmlformats.org/officeDocument/2006/relationships/hyperlink" Target="http://secrets.rutgers.edu:8080/data/asl-ftp/asllvd/demos/verify_start_end_handshape_annotations//test_auto_move//signs_mov/5844.mov" TargetMode="External"/><Relationship Id="rId3202" Type="http://schemas.openxmlformats.org/officeDocument/2006/relationships/hyperlink" Target="http://secrets.rutgers.edu:8080/data/asl-ftp/asllvd/demos/verify_start_end_handshape_annotations//test_auto_move//signs_mov_separ_signers/Liz_5844.mov" TargetMode="External"/><Relationship Id="rId3203" Type="http://schemas.openxmlformats.org/officeDocument/2006/relationships/hyperlink" Target="http://csr.bu.edu/ftp/asl/asllvd/demos/verify_start_end_handshape_annotations//test_auto_move//signs_mov_separ_signers/Liz_347.mov" TargetMode="External"/><Relationship Id="rId3204" Type="http://schemas.openxmlformats.org/officeDocument/2006/relationships/hyperlink" Target="http://secrets.rutgers.edu:8080/data/asl-ftp/asllvd/demos/verify_start_end_handshape_annotations//test_auto_move//signs_mov_separ_signers/Liz_347.mov" TargetMode="External"/><Relationship Id="rId3205" Type="http://schemas.openxmlformats.org/officeDocument/2006/relationships/hyperlink" Target="http://csr.bu.edu/ftp/asl/asllvd/demos/verify_start_end_handshape_annotations//test_auto_move//signs_mov/347.mov" TargetMode="External"/><Relationship Id="rId3206" Type="http://schemas.openxmlformats.org/officeDocument/2006/relationships/hyperlink" Target="http://csr.bu.edu/ftp/asl/asllvd/demos/verify_start_end_handshape_annotations//test_auto_move//signs_mov_separ_signers/Naomi_347.mov" TargetMode="External"/><Relationship Id="rId3207" Type="http://schemas.openxmlformats.org/officeDocument/2006/relationships/hyperlink" Target="http://secrets.rutgers.edu:8080/data/asl-ftp/asllvd/demos/verify_start_end_handshape_annotations//test_auto_move//signs_mov/347.mov" TargetMode="External"/><Relationship Id="rId3208" Type="http://schemas.openxmlformats.org/officeDocument/2006/relationships/hyperlink" Target="http://secrets.rutgers.edu:8080/data/asl-ftp/asllvd/demos/verify_start_end_handshape_annotations//test_auto_move//signs_mov_separ_signers/Naomi_347.mov" TargetMode="External"/><Relationship Id="rId3209" Type="http://schemas.openxmlformats.org/officeDocument/2006/relationships/hyperlink" Target="http://csr.bu.edu/ftp/asl/asllvd/demos/verify_start_end_handshape_annotations//test_auto_move//signs_mov_separ_signers/Brady_347.mov" TargetMode="External"/><Relationship Id="rId3210" Type="http://schemas.openxmlformats.org/officeDocument/2006/relationships/hyperlink" Target="http://secrets.rutgers.edu:8080/data/asl-ftp/asllvd/demos/verify_start_end_handshape_annotations//test_auto_move//signs_mov_separ_signers/Brady_347.mov" TargetMode="External"/><Relationship Id="rId3211" Type="http://schemas.openxmlformats.org/officeDocument/2006/relationships/hyperlink" Target="http://csr.bu.edu/ftp/asl/asllvd/demos/verify_start_end_handshape_annotations//test_auto_move//signs_mov_separ_signers/Liz_3586.mov" TargetMode="External"/><Relationship Id="rId3212" Type="http://schemas.openxmlformats.org/officeDocument/2006/relationships/hyperlink" Target="http://secrets.rutgers.edu:8080/data/asl-ftp/asllvd/demos/verify_start_end_handshape_annotations//test_auto_move//signs_mov_separ_signers/Liz_3586.mov" TargetMode="External"/><Relationship Id="rId3213" Type="http://schemas.openxmlformats.org/officeDocument/2006/relationships/hyperlink" Target="http://csr.bu.edu/ftp/asl/asllvd/demos/verify_start_end_handshape_annotations//test_auto_move//signs_mov/3586.mov" TargetMode="External"/><Relationship Id="rId3214" Type="http://schemas.openxmlformats.org/officeDocument/2006/relationships/hyperlink" Target="http://csr.bu.edu/ftp/asl/asllvd/demos/verify_start_end_handshape_annotations//test_auto_move//signs_mov_separ_signers/Tyler_3586.mov" TargetMode="External"/><Relationship Id="rId3215" Type="http://schemas.openxmlformats.org/officeDocument/2006/relationships/hyperlink" Target="http://secrets.rutgers.edu:8080/data/asl-ftp/asllvd/demos/verify_start_end_handshape_annotations//test_auto_move//signs_mov/3586.mov" TargetMode="External"/><Relationship Id="rId3216" Type="http://schemas.openxmlformats.org/officeDocument/2006/relationships/hyperlink" Target="http://secrets.rutgers.edu:8080/data/asl-ftp/asllvd/demos/verify_start_end_handshape_annotations//test_auto_move//signs_mov_separ_signers/Tyler_3586.mov" TargetMode="External"/><Relationship Id="rId3217" Type="http://schemas.openxmlformats.org/officeDocument/2006/relationships/hyperlink" Target="http://csr.bu.edu/ftp/asl/asllvd/demos/verify_start_end_handshape_annotations//test_auto_move//signs_mov_separ_signers/Naomi_3586.mov" TargetMode="External"/><Relationship Id="rId3218" Type="http://schemas.openxmlformats.org/officeDocument/2006/relationships/hyperlink" Target="http://secrets.rutgers.edu:8080/data/asl-ftp/asllvd/demos/verify_start_end_handshape_annotations//test_auto_move//signs_mov_separ_signers/Naomi_3586.mov" TargetMode="External"/><Relationship Id="rId3219" Type="http://schemas.openxmlformats.org/officeDocument/2006/relationships/hyperlink" Target="http://csr.bu.edu/ftp/asl/asllvd/demos/verify_start_end_handshape_annotations//test_auto_move//signs_mov_separ_signers/Brady_3586.mov" TargetMode="External"/><Relationship Id="rId3220" Type="http://schemas.openxmlformats.org/officeDocument/2006/relationships/hyperlink" Target="http://secrets.rutgers.edu:8080/data/asl-ftp/asllvd/demos/verify_start_end_handshape_annotations//test_auto_move//signs_mov_separ_signers/Brady_3586.mov" TargetMode="External"/><Relationship Id="rId3221" Type="http://schemas.openxmlformats.org/officeDocument/2006/relationships/hyperlink" Target="http://csr.bu.edu/ftp/asl/asllvd/demos/verify_start_end_handshape_annotations//test_auto_move//signs_mov_separ_signers/Liz_350.mov" TargetMode="External"/><Relationship Id="rId3222" Type="http://schemas.openxmlformats.org/officeDocument/2006/relationships/hyperlink" Target="http://secrets.rutgers.edu:8080/data/asl-ftp/asllvd/demos/verify_start_end_handshape_annotations//test_auto_move//signs_mov_separ_signers/Liz_350.mov" TargetMode="External"/><Relationship Id="rId3223" Type="http://schemas.openxmlformats.org/officeDocument/2006/relationships/hyperlink" Target="http://csr.bu.edu/ftp/asl/asllvd/demos/verify_start_end_handshape_annotations//test_auto_move//signs_mov/350.mov" TargetMode="External"/><Relationship Id="rId3224" Type="http://schemas.openxmlformats.org/officeDocument/2006/relationships/hyperlink" Target="http://csr.bu.edu/ftp/asl/asllvd/demos/verify_start_end_handshape_annotations//test_auto_move//signs_mov_separ_signers/Tyler_350.mov" TargetMode="External"/><Relationship Id="rId3225" Type="http://schemas.openxmlformats.org/officeDocument/2006/relationships/hyperlink" Target="http://secrets.rutgers.edu:8080/data/asl-ftp/asllvd/demos/verify_start_end_handshape_annotations//test_auto_move//signs_mov/350.mov" TargetMode="External"/><Relationship Id="rId3226" Type="http://schemas.openxmlformats.org/officeDocument/2006/relationships/hyperlink" Target="http://secrets.rutgers.edu:8080/data/asl-ftp/asllvd/demos/verify_start_end_handshape_annotations//test_auto_move//signs_mov_separ_signers/Tyler_350.mov" TargetMode="External"/><Relationship Id="rId3227" Type="http://schemas.openxmlformats.org/officeDocument/2006/relationships/hyperlink" Target="http://csr.bu.edu/ftp/asl/asllvd/demos/verify_start_end_handshape_annotations//test_auto_move//signs_mov_separ_signers/Naomi_350.mov" TargetMode="External"/><Relationship Id="rId3228" Type="http://schemas.openxmlformats.org/officeDocument/2006/relationships/hyperlink" Target="http://secrets.rutgers.edu:8080/data/asl-ftp/asllvd/demos/verify_start_end_handshape_annotations//test_auto_move//signs_mov_separ_signers/Naomi_350.mov" TargetMode="External"/><Relationship Id="rId3229" Type="http://schemas.openxmlformats.org/officeDocument/2006/relationships/hyperlink" Target="http://csr.bu.edu/ftp/asl/asllvd/demos/verify_start_end_handshape_annotations//test_auto_move//signs_mov_separ_signers/Brady_350.mov" TargetMode="External"/><Relationship Id="rId3230" Type="http://schemas.openxmlformats.org/officeDocument/2006/relationships/hyperlink" Target="http://secrets.rutgers.edu:8080/data/asl-ftp/asllvd/demos/verify_start_end_handshape_annotations//test_auto_move//signs_mov_separ_signers/Brady_350.mov" TargetMode="External"/><Relationship Id="rId3231" Type="http://schemas.openxmlformats.org/officeDocument/2006/relationships/hyperlink" Target="http://csr.bu.edu/ftp/asl/asllvd/demos/verify_start_end_handshape_annotations//test_auto_move//signs_mov/352.mov" TargetMode="External"/><Relationship Id="rId3232" Type="http://schemas.openxmlformats.org/officeDocument/2006/relationships/hyperlink" Target="http://csr.bu.edu/ftp/asl/asllvd/demos/verify_start_end_handshape_annotations//test_auto_move//signs_mov_separ_signers/Naomi_352.mov" TargetMode="External"/><Relationship Id="rId3233" Type="http://schemas.openxmlformats.org/officeDocument/2006/relationships/hyperlink" Target="http://secrets.rutgers.edu:8080/data/asl-ftp/asllvd/demos/verify_start_end_handshape_annotations//test_auto_move//signs_mov/352.mov" TargetMode="External"/><Relationship Id="rId3234" Type="http://schemas.openxmlformats.org/officeDocument/2006/relationships/hyperlink" Target="http://secrets.rutgers.edu:8080/data/asl-ftp/asllvd/demos/verify_start_end_handshape_annotations//test_auto_move//signs_mov_separ_signers/Naomi_352.mov" TargetMode="External"/><Relationship Id="rId3235" Type="http://schemas.openxmlformats.org/officeDocument/2006/relationships/hyperlink" Target="http://csr.bu.edu/ftp/asl/asllvd/demos/verify_start_end_handshape_annotations//test_auto_move//signs_mov_separ_signers/Brady_352.mov" TargetMode="External"/><Relationship Id="rId3236" Type="http://schemas.openxmlformats.org/officeDocument/2006/relationships/hyperlink" Target="http://secrets.rutgers.edu:8080/data/asl-ftp/asllvd/demos/verify_start_end_handshape_annotations//test_auto_move//signs_mov_separ_signers/Brady_352.mov" TargetMode="External"/><Relationship Id="rId3237" Type="http://schemas.openxmlformats.org/officeDocument/2006/relationships/hyperlink" Target="http://csr.bu.edu/ftp/asl/asllvd/demos/verify_start_end_handshape_annotations//test_auto_move//signs_mov/15301.mov" TargetMode="External"/><Relationship Id="rId3238" Type="http://schemas.openxmlformats.org/officeDocument/2006/relationships/hyperlink" Target="http://csr.bu.edu/ftp/asl/asllvd/demos/verify_start_end_handshape_annotations//test_auto_move//signs_mov_separ_signers/Liz_15301.mov" TargetMode="External"/><Relationship Id="rId3239" Type="http://schemas.openxmlformats.org/officeDocument/2006/relationships/hyperlink" Target="http://secrets.rutgers.edu:8080/data/asl-ftp/asllvd/demos/verify_start_end_handshape_annotations//test_auto_move//signs_mov/15301.mov" TargetMode="External"/><Relationship Id="rId3240" Type="http://schemas.openxmlformats.org/officeDocument/2006/relationships/hyperlink" Target="http://secrets.rutgers.edu:8080/data/asl-ftp/asllvd/demos/verify_start_end_handshape_annotations//test_auto_move//signs_mov_separ_signers/Liz_15301.mov" TargetMode="External"/><Relationship Id="rId3241" Type="http://schemas.openxmlformats.org/officeDocument/2006/relationships/hyperlink" Target="http://csr.bu.edu/ftp/asl/asllvd/demos/verify_start_end_handshape_annotations//test_auto_move//signs_mov_separ_signers/Tyler_15301.mov" TargetMode="External"/><Relationship Id="rId3242" Type="http://schemas.openxmlformats.org/officeDocument/2006/relationships/hyperlink" Target="http://secrets.rutgers.edu:8080/data/asl-ftp/asllvd/demos/verify_start_end_handshape_annotations//test_auto_move//signs_mov_separ_signers/Tyler_15301.mov" TargetMode="External"/><Relationship Id="rId3243" Type="http://schemas.openxmlformats.org/officeDocument/2006/relationships/hyperlink" Target="http://csr.bu.edu/ftp/asl/asllvd/demos/verify_start_end_handshape_annotations//test_auto_move//signs_mov/15336.mov" TargetMode="External"/><Relationship Id="rId3244" Type="http://schemas.openxmlformats.org/officeDocument/2006/relationships/hyperlink" Target="http://csr.bu.edu/ftp/asl/asllvd/demos/verify_start_end_handshape_annotations//test_auto_move//signs_mov_separ_signers/Liz_15336.mov" TargetMode="External"/><Relationship Id="rId3245" Type="http://schemas.openxmlformats.org/officeDocument/2006/relationships/hyperlink" Target="http://secrets.rutgers.edu:8080/data/asl-ftp/asllvd/demos/verify_start_end_handshape_annotations//test_auto_move//signs_mov/15336.mov" TargetMode="External"/><Relationship Id="rId3246" Type="http://schemas.openxmlformats.org/officeDocument/2006/relationships/hyperlink" Target="http://secrets.rutgers.edu:8080/data/asl-ftp/asllvd/demos/verify_start_end_handshape_annotations//test_auto_move//signs_mov_separ_signers/Liz_15336.mov" TargetMode="External"/><Relationship Id="rId3247" Type="http://schemas.openxmlformats.org/officeDocument/2006/relationships/hyperlink" Target="http://csr.bu.edu/ftp/asl/asllvd/demos/verify_start_end_handshape_annotations//test_auto_move//signs_mov/15337.mov" TargetMode="External"/><Relationship Id="rId3248" Type="http://schemas.openxmlformats.org/officeDocument/2006/relationships/hyperlink" Target="http://csr.bu.edu/ftp/asl/asllvd/demos/verify_start_end_handshape_annotations//test_auto_move//signs_mov_separ_signers/Brady_15337.mov" TargetMode="External"/><Relationship Id="rId3249" Type="http://schemas.openxmlformats.org/officeDocument/2006/relationships/hyperlink" Target="http://secrets.rutgers.edu:8080/data/asl-ftp/asllvd/demos/verify_start_end_handshape_annotations//test_auto_move//signs_mov/15337.mov" TargetMode="External"/><Relationship Id="rId3250" Type="http://schemas.openxmlformats.org/officeDocument/2006/relationships/hyperlink" Target="http://secrets.rutgers.edu:8080/data/asl-ftp/asllvd/demos/verify_start_end_handshape_annotations//test_auto_move//signs_mov_separ_signers/Brady_15337.mov" TargetMode="External"/><Relationship Id="rId3251" Type="http://schemas.openxmlformats.org/officeDocument/2006/relationships/hyperlink" Target="http://csr.bu.edu/ftp/asl/asllvd/demos/verify_start_end_handshape_annotations//test_auto_move//signs_mov_separ_signers/Naomi_16538.mov" TargetMode="External"/><Relationship Id="rId3252" Type="http://schemas.openxmlformats.org/officeDocument/2006/relationships/hyperlink" Target="http://secrets.rutgers.edu:8080/data/asl-ftp/asllvd/demos/verify_start_end_handshape_annotations//test_auto_move//signs_mov_separ_signers/Naomi_16538.mov" TargetMode="External"/><Relationship Id="rId3253" Type="http://schemas.openxmlformats.org/officeDocument/2006/relationships/hyperlink" Target="http://csr.bu.edu/ftp/asl/asllvd/demos/verify_start_end_handshape_annotations//test_auto_move//signs_mov/16538.mov" TargetMode="External"/><Relationship Id="rId3254" Type="http://schemas.openxmlformats.org/officeDocument/2006/relationships/hyperlink" Target="http://csr.bu.edu/ftp/asl/asllvd/demos/verify_start_end_handshape_annotations//test_auto_move//signs_mov_separ_signers/Lana_16538.mov" TargetMode="External"/><Relationship Id="rId3255" Type="http://schemas.openxmlformats.org/officeDocument/2006/relationships/hyperlink" Target="http://secrets.rutgers.edu:8080/data/asl-ftp/asllvd/demos/verify_start_end_handshape_annotations//test_auto_move//signs_mov/16538.mov" TargetMode="External"/><Relationship Id="rId3256" Type="http://schemas.openxmlformats.org/officeDocument/2006/relationships/hyperlink" Target="http://secrets.rutgers.edu:8080/data/asl-ftp/asllvd/demos/verify_start_end_handshape_annotations//test_auto_move//signs_mov_separ_signers/Lana_16538.mov" TargetMode="External"/><Relationship Id="rId3257" Type="http://schemas.openxmlformats.org/officeDocument/2006/relationships/hyperlink" Target="http://csr.bu.edu/ftp/asl/asllvd/demos/verify_start_end_handshape_annotations//test_auto_move//signs_mov_separ_signers/Dana_16538.mov" TargetMode="External"/><Relationship Id="rId3258" Type="http://schemas.openxmlformats.org/officeDocument/2006/relationships/hyperlink" Target="http://secrets.rutgers.edu:8080/data/asl-ftp/asllvd/demos/verify_start_end_handshape_annotations//test_auto_move//signs_mov_separ_signers/Dana_16538.mov" TargetMode="External"/><Relationship Id="rId3259" Type="http://schemas.openxmlformats.org/officeDocument/2006/relationships/hyperlink" Target="http://csr.bu.edu/ftp/asl/asllvd/demos/verify_start_end_handshape_annotations//test_auto_move//signs_mov/16539.mov" TargetMode="External"/><Relationship Id="rId3260" Type="http://schemas.openxmlformats.org/officeDocument/2006/relationships/hyperlink" Target="http://csr.bu.edu/ftp/asl/asllvd/demos/verify_start_end_handshape_annotations//test_auto_move//signs_mov_separ_signers/Tyler_16539.mov" TargetMode="External"/><Relationship Id="rId3261" Type="http://schemas.openxmlformats.org/officeDocument/2006/relationships/hyperlink" Target="http://secrets.rutgers.edu:8080/data/asl-ftp/asllvd/demos/verify_start_end_handshape_annotations//test_auto_move//signs_mov/16539.mov" TargetMode="External"/><Relationship Id="rId3262" Type="http://schemas.openxmlformats.org/officeDocument/2006/relationships/hyperlink" Target="http://secrets.rutgers.edu:8080/data/asl-ftp/asllvd/demos/verify_start_end_handshape_annotations//test_auto_move//signs_mov_separ_signers/Tyler_16539.mov" TargetMode="External"/><Relationship Id="rId3263" Type="http://schemas.openxmlformats.org/officeDocument/2006/relationships/hyperlink" Target="http://csr.bu.edu/ftp/asl/asllvd/demos/verify_start_end_handshape_annotations//test_auto_move//signs_mov_separ_signers/Liz_354.mov" TargetMode="External"/><Relationship Id="rId3264" Type="http://schemas.openxmlformats.org/officeDocument/2006/relationships/hyperlink" Target="http://secrets.rutgers.edu:8080/data/asl-ftp/asllvd/demos/verify_start_end_handshape_annotations//test_auto_move//signs_mov_separ_signers/Liz_354.mov" TargetMode="External"/><Relationship Id="rId3265" Type="http://schemas.openxmlformats.org/officeDocument/2006/relationships/hyperlink" Target="http://csr.bu.edu/ftp/asl/asllvd/demos/verify_start_end_handshape_annotations//test_auto_move//signs_mov_separ_signers/Tyler_354.mov" TargetMode="External"/><Relationship Id="rId3266" Type="http://schemas.openxmlformats.org/officeDocument/2006/relationships/hyperlink" Target="http://secrets.rutgers.edu:8080/data/asl-ftp/asllvd/demos/verify_start_end_handshape_annotations//test_auto_move//signs_mov_separ_signers/Tyler_354.mov" TargetMode="External"/><Relationship Id="rId3267" Type="http://schemas.openxmlformats.org/officeDocument/2006/relationships/hyperlink" Target="http://csr.bu.edu/ftp/asl/asllvd/demos/verify_start_end_handshape_annotations//test_auto_move//signs_mov/354.mov" TargetMode="External"/><Relationship Id="rId3268" Type="http://schemas.openxmlformats.org/officeDocument/2006/relationships/hyperlink" Target="http://csr.bu.edu/ftp/asl/asllvd/demos/verify_start_end_handshape_annotations//test_auto_move//signs_mov_separ_signers/Naomi_354.mov" TargetMode="External"/><Relationship Id="rId3269" Type="http://schemas.openxmlformats.org/officeDocument/2006/relationships/hyperlink" Target="http://secrets.rutgers.edu:8080/data/asl-ftp/asllvd/demos/verify_start_end_handshape_annotations//test_auto_move//signs_mov/354.mov" TargetMode="External"/><Relationship Id="rId3270" Type="http://schemas.openxmlformats.org/officeDocument/2006/relationships/hyperlink" Target="http://secrets.rutgers.edu:8080/data/asl-ftp/asllvd/demos/verify_start_end_handshape_annotations//test_auto_move//signs_mov_separ_signers/Naomi_354.mov" TargetMode="External"/><Relationship Id="rId3271" Type="http://schemas.openxmlformats.org/officeDocument/2006/relationships/hyperlink" Target="http://csr.bu.edu/ftp/asl/asllvd/demos/verify_start_end_handshape_annotations//test_auto_move//signs_mov_separ_signers/Brady_354.mov" TargetMode="External"/><Relationship Id="rId3272" Type="http://schemas.openxmlformats.org/officeDocument/2006/relationships/hyperlink" Target="http://secrets.rutgers.edu:8080/data/asl-ftp/asllvd/demos/verify_start_end_handshape_annotations//test_auto_move//signs_mov_separ_signers/Brady_354.mov" TargetMode="External"/><Relationship Id="rId3273" Type="http://schemas.openxmlformats.org/officeDocument/2006/relationships/hyperlink" Target="http://csr.bu.edu/ftp/asl/asllvd/demos/verify_start_end_handshape_annotations//test_auto_move//signs_mov_separ_signers/Lana_354.mov" TargetMode="External"/><Relationship Id="rId3274" Type="http://schemas.openxmlformats.org/officeDocument/2006/relationships/hyperlink" Target="http://secrets.rutgers.edu:8080/data/asl-ftp/asllvd/demos/verify_start_end_handshape_annotations//test_auto_move//signs_mov_separ_signers/Lana_354.mov" TargetMode="External"/><Relationship Id="rId3275" Type="http://schemas.openxmlformats.org/officeDocument/2006/relationships/hyperlink" Target="http://csr.bu.edu/ftp/asl/asllvd/demos/verify_start_end_handshape_annotations//test_auto_move//signs_mov_separ_signers/Liz_355.mov" TargetMode="External"/><Relationship Id="rId3276" Type="http://schemas.openxmlformats.org/officeDocument/2006/relationships/hyperlink" Target="http://secrets.rutgers.edu:8080/data/asl-ftp/asllvd/demos/verify_start_end_handshape_annotations//test_auto_move//signs_mov_separ_signers/Liz_355.mov" TargetMode="External"/><Relationship Id="rId3277" Type="http://schemas.openxmlformats.org/officeDocument/2006/relationships/hyperlink" Target="http://csr.bu.edu/ftp/asl/asllvd/demos/verify_start_end_handshape_annotations//test_auto_move//signs_mov/355.mov" TargetMode="External"/><Relationship Id="rId3278" Type="http://schemas.openxmlformats.org/officeDocument/2006/relationships/hyperlink" Target="http://csr.bu.edu/ftp/asl/asllvd/demos/verify_start_end_handshape_annotations//test_auto_move//signs_mov_separ_signers/Tyler_355.mov" TargetMode="External"/><Relationship Id="rId3279" Type="http://schemas.openxmlformats.org/officeDocument/2006/relationships/hyperlink" Target="http://secrets.rutgers.edu:8080/data/asl-ftp/asllvd/demos/verify_start_end_handshape_annotations//test_auto_move//signs_mov/355.mov" TargetMode="External"/><Relationship Id="rId3280" Type="http://schemas.openxmlformats.org/officeDocument/2006/relationships/hyperlink" Target="http://secrets.rutgers.edu:8080/data/asl-ftp/asllvd/demos/verify_start_end_handshape_annotations//test_auto_move//signs_mov_separ_signers/Tyler_355.mov" TargetMode="External"/><Relationship Id="rId3281" Type="http://schemas.openxmlformats.org/officeDocument/2006/relationships/hyperlink" Target="http://csr.bu.edu/ftp/asl/asllvd/demos/verify_start_end_handshape_annotations//test_auto_move//signs_mov_separ_signers/Naomi_355.mov" TargetMode="External"/><Relationship Id="rId3282" Type="http://schemas.openxmlformats.org/officeDocument/2006/relationships/hyperlink" Target="http://secrets.rutgers.edu:8080/data/asl-ftp/asllvd/demos/verify_start_end_handshape_annotations//test_auto_move//signs_mov_separ_signers/Naomi_355.mov" TargetMode="External"/><Relationship Id="rId3283" Type="http://schemas.openxmlformats.org/officeDocument/2006/relationships/hyperlink" Target="http://csr.bu.edu/ftp/asl/asllvd/demos/verify_start_end_handshape_annotations//test_auto_move//signs_mov_separ_signers/Brady_355.mov" TargetMode="External"/><Relationship Id="rId3284" Type="http://schemas.openxmlformats.org/officeDocument/2006/relationships/hyperlink" Target="http://secrets.rutgers.edu:8080/data/asl-ftp/asllvd/demos/verify_start_end_handshape_annotations//test_auto_move//signs_mov_separ_signers/Brady_355.mov" TargetMode="External"/><Relationship Id="rId3285" Type="http://schemas.openxmlformats.org/officeDocument/2006/relationships/hyperlink" Target="http://csr.bu.edu/ftp/asl/asllvd/demos/verify_start_end_handshape_annotations//test_auto_move//signs_mov/16422.mov" TargetMode="External"/><Relationship Id="rId3286" Type="http://schemas.openxmlformats.org/officeDocument/2006/relationships/hyperlink" Target="http://csr.bu.edu/ftp/asl/asllvd/demos/verify_start_end_handshape_annotations//test_auto_move//signs_mov_separ_signers/Lana_16422.mov" TargetMode="External"/><Relationship Id="rId3287" Type="http://schemas.openxmlformats.org/officeDocument/2006/relationships/hyperlink" Target="http://secrets.rutgers.edu:8080/data/asl-ftp/asllvd/demos/verify_start_end_handshape_annotations//test_auto_move//signs_mov/16422.mov" TargetMode="External"/><Relationship Id="rId3288" Type="http://schemas.openxmlformats.org/officeDocument/2006/relationships/hyperlink" Target="http://secrets.rutgers.edu:8080/data/asl-ftp/asllvd/demos/verify_start_end_handshape_annotations//test_auto_move//signs_mov_separ_signers/Lana_16422.mov" TargetMode="External"/><Relationship Id="rId3289" Type="http://schemas.openxmlformats.org/officeDocument/2006/relationships/hyperlink" Target="http://csr.bu.edu/ftp/asl/asllvd/demos/verify_start_end_handshape_annotations//test_auto_move//signs_mov_separ_signers/Liz_356.mov" TargetMode="External"/><Relationship Id="rId3290" Type="http://schemas.openxmlformats.org/officeDocument/2006/relationships/hyperlink" Target="http://secrets.rutgers.edu:8080/data/asl-ftp/asllvd/demos/verify_start_end_handshape_annotations//test_auto_move//signs_mov_separ_signers/Liz_356.mov" TargetMode="External"/><Relationship Id="rId3291" Type="http://schemas.openxmlformats.org/officeDocument/2006/relationships/hyperlink" Target="http://csr.bu.edu/ftp/asl/asllvd/demos/verify_start_end_handshape_annotations//test_auto_move//signs_mov/356.mov" TargetMode="External"/><Relationship Id="rId3292" Type="http://schemas.openxmlformats.org/officeDocument/2006/relationships/hyperlink" Target="http://csr.bu.edu/ftp/asl/asllvd/demos/verify_start_end_handshape_annotations//test_auto_move//signs_mov_separ_signers/Tyler_356.mov" TargetMode="External"/><Relationship Id="rId3293" Type="http://schemas.openxmlformats.org/officeDocument/2006/relationships/hyperlink" Target="http://secrets.rutgers.edu:8080/data/asl-ftp/asllvd/demos/verify_start_end_handshape_annotations//test_auto_move//signs_mov/356.mov" TargetMode="External"/><Relationship Id="rId3294" Type="http://schemas.openxmlformats.org/officeDocument/2006/relationships/hyperlink" Target="http://secrets.rutgers.edu:8080/data/asl-ftp/asllvd/demos/verify_start_end_handshape_annotations//test_auto_move//signs_mov_separ_signers/Tyler_356.mov" TargetMode="External"/><Relationship Id="rId3295" Type="http://schemas.openxmlformats.org/officeDocument/2006/relationships/hyperlink" Target="http://csr.bu.edu/ftp/asl/asllvd/demos/verify_start_end_handshape_annotations//test_auto_move//signs_mov_separ_signers/Naomi_356.mov" TargetMode="External"/><Relationship Id="rId3296" Type="http://schemas.openxmlformats.org/officeDocument/2006/relationships/hyperlink" Target="http://secrets.rutgers.edu:8080/data/asl-ftp/asllvd/demos/verify_start_end_handshape_annotations//test_auto_move//signs_mov_separ_signers/Naomi_356.mov" TargetMode="External"/><Relationship Id="rId3297" Type="http://schemas.openxmlformats.org/officeDocument/2006/relationships/hyperlink" Target="http://csr.bu.edu/ftp/asl/asllvd/demos/verify_start_end_handshape_annotations//test_auto_move//signs_mov_separ_signers/Brady_356.mov" TargetMode="External"/><Relationship Id="rId3298" Type="http://schemas.openxmlformats.org/officeDocument/2006/relationships/hyperlink" Target="http://secrets.rutgers.edu:8080/data/asl-ftp/asllvd/demos/verify_start_end_handshape_annotations//test_auto_move//signs_mov_separ_signers/Brady_356.mov" TargetMode="External"/><Relationship Id="rId3299" Type="http://schemas.openxmlformats.org/officeDocument/2006/relationships/hyperlink" Target="http://csr.bu.edu/ftp/asl/asllvd/demos/verify_start_end_handshape_annotations//test_auto_move//signs_mov_separ_signers/Liz_357.mov" TargetMode="External"/><Relationship Id="rId3300" Type="http://schemas.openxmlformats.org/officeDocument/2006/relationships/hyperlink" Target="http://secrets.rutgers.edu:8080/data/asl-ftp/asllvd/demos/verify_start_end_handshape_annotations//test_auto_move//signs_mov_separ_signers/Liz_357.mov" TargetMode="External"/><Relationship Id="rId3301" Type="http://schemas.openxmlformats.org/officeDocument/2006/relationships/hyperlink" Target="http://csr.bu.edu/ftp/asl/asllvd/demos/verify_start_end_handshape_annotations//test_auto_move//signs_mov/357.mov" TargetMode="External"/><Relationship Id="rId3302" Type="http://schemas.openxmlformats.org/officeDocument/2006/relationships/hyperlink" Target="http://csr.bu.edu/ftp/asl/asllvd/demos/verify_start_end_handshape_annotations//test_auto_move//signs_mov_separ_signers/Tyler_357.mov" TargetMode="External"/><Relationship Id="rId3303" Type="http://schemas.openxmlformats.org/officeDocument/2006/relationships/hyperlink" Target="http://secrets.rutgers.edu:8080/data/asl-ftp/asllvd/demos/verify_start_end_handshape_annotations//test_auto_move//signs_mov/357.mov" TargetMode="External"/><Relationship Id="rId3304" Type="http://schemas.openxmlformats.org/officeDocument/2006/relationships/hyperlink" Target="http://secrets.rutgers.edu:8080/data/asl-ftp/asllvd/demos/verify_start_end_handshape_annotations//test_auto_move//signs_mov_separ_signers/Tyler_357.mov" TargetMode="External"/><Relationship Id="rId3305" Type="http://schemas.openxmlformats.org/officeDocument/2006/relationships/hyperlink" Target="http://csr.bu.edu/ftp/asl/asllvd/demos/verify_start_end_handshape_annotations//test_auto_move//signs_mov_separ_signers/Naomi_357.mov" TargetMode="External"/><Relationship Id="rId3306" Type="http://schemas.openxmlformats.org/officeDocument/2006/relationships/hyperlink" Target="http://secrets.rutgers.edu:8080/data/asl-ftp/asllvd/demos/verify_start_end_handshape_annotations//test_auto_move//signs_mov_separ_signers/Naomi_357.mov" TargetMode="External"/><Relationship Id="rId3307" Type="http://schemas.openxmlformats.org/officeDocument/2006/relationships/hyperlink" Target="http://csr.bu.edu/ftp/asl/asllvd/demos/verify_start_end_handshape_annotations//test_auto_move//signs_mov_separ_signers/Brady_357.mov" TargetMode="External"/><Relationship Id="rId3308" Type="http://schemas.openxmlformats.org/officeDocument/2006/relationships/hyperlink" Target="http://secrets.rutgers.edu:8080/data/asl-ftp/asllvd/demos/verify_start_end_handshape_annotations//test_auto_move//signs_mov_separ_signers/Brady_357.mov" TargetMode="External"/><Relationship Id="rId3309" Type="http://schemas.openxmlformats.org/officeDocument/2006/relationships/hyperlink" Target="http://csr.bu.edu/ftp/asl/asllvd/demos/verify_start_end_handshape_annotations//test_auto_move//signs_mov_separ_signers/Liz_359.mov" TargetMode="External"/><Relationship Id="rId3310" Type="http://schemas.openxmlformats.org/officeDocument/2006/relationships/hyperlink" Target="http://secrets.rutgers.edu:8080/data/asl-ftp/asllvd/demos/verify_start_end_handshape_annotations//test_auto_move//signs_mov_separ_signers/Liz_359.mov" TargetMode="External"/><Relationship Id="rId3311" Type="http://schemas.openxmlformats.org/officeDocument/2006/relationships/hyperlink" Target="http://csr.bu.edu/ftp/asl/asllvd/demos/verify_start_end_handshape_annotations//test_auto_move//signs_mov/359.mov" TargetMode="External"/><Relationship Id="rId3312" Type="http://schemas.openxmlformats.org/officeDocument/2006/relationships/hyperlink" Target="http://csr.bu.edu/ftp/asl/asllvd/demos/verify_start_end_handshape_annotations//test_auto_move//signs_mov_separ_signers/Tyler_359.mov" TargetMode="External"/><Relationship Id="rId3313" Type="http://schemas.openxmlformats.org/officeDocument/2006/relationships/hyperlink" Target="http://secrets.rutgers.edu:8080/data/asl-ftp/asllvd/demos/verify_start_end_handshape_annotations//test_auto_move//signs_mov/359.mov" TargetMode="External"/><Relationship Id="rId3314" Type="http://schemas.openxmlformats.org/officeDocument/2006/relationships/hyperlink" Target="http://secrets.rutgers.edu:8080/data/asl-ftp/asllvd/demos/verify_start_end_handshape_annotations//test_auto_move//signs_mov_separ_signers/Tyler_359.mov" TargetMode="External"/><Relationship Id="rId3315" Type="http://schemas.openxmlformats.org/officeDocument/2006/relationships/hyperlink" Target="http://csr.bu.edu/ftp/asl/asllvd/demos/verify_start_end_handshape_annotations//test_auto_move//signs_mov_separ_signers/Naomi_359.mov" TargetMode="External"/><Relationship Id="rId3316" Type="http://schemas.openxmlformats.org/officeDocument/2006/relationships/hyperlink" Target="http://secrets.rutgers.edu:8080/data/asl-ftp/asllvd/demos/verify_start_end_handshape_annotations//test_auto_move//signs_mov_separ_signers/Naomi_359.mov" TargetMode="External"/><Relationship Id="rId3317" Type="http://schemas.openxmlformats.org/officeDocument/2006/relationships/hyperlink" Target="http://csr.bu.edu/ftp/asl/asllvd/demos/verify_start_end_handshape_annotations//test_auto_move//signs_mov_separ_signers/Brady_359.mov" TargetMode="External"/><Relationship Id="rId3318" Type="http://schemas.openxmlformats.org/officeDocument/2006/relationships/hyperlink" Target="http://secrets.rutgers.edu:8080/data/asl-ftp/asllvd/demos/verify_start_end_handshape_annotations//test_auto_move//signs_mov_separ_signers/Brady_359.mov" TargetMode="External"/><Relationship Id="rId3319" Type="http://schemas.openxmlformats.org/officeDocument/2006/relationships/hyperlink" Target="http://csr.bu.edu/ftp/asl/asllvd/demos/verify_start_end_handshape_annotations//test_auto_move//signs_mov_separ_signers/Liz_363.mov" TargetMode="External"/><Relationship Id="rId3320" Type="http://schemas.openxmlformats.org/officeDocument/2006/relationships/hyperlink" Target="http://secrets.rutgers.edu:8080/data/asl-ftp/asllvd/demos/verify_start_end_handshape_annotations//test_auto_move//signs_mov_separ_signers/Liz_363.mov" TargetMode="External"/><Relationship Id="rId3321" Type="http://schemas.openxmlformats.org/officeDocument/2006/relationships/hyperlink" Target="http://csr.bu.edu/ftp/asl/asllvd/demos/verify_start_end_handshape_annotations//test_auto_move//signs_mov/363.mov" TargetMode="External"/><Relationship Id="rId3322" Type="http://schemas.openxmlformats.org/officeDocument/2006/relationships/hyperlink" Target="http://csr.bu.edu/ftp/asl/asllvd/demos/verify_start_end_handshape_annotations//test_auto_move//signs_mov_separ_signers/Tyler_363.mov" TargetMode="External"/><Relationship Id="rId3323" Type="http://schemas.openxmlformats.org/officeDocument/2006/relationships/hyperlink" Target="http://secrets.rutgers.edu:8080/data/asl-ftp/asllvd/demos/verify_start_end_handshape_annotations//test_auto_move//signs_mov/363.mov" TargetMode="External"/><Relationship Id="rId3324" Type="http://schemas.openxmlformats.org/officeDocument/2006/relationships/hyperlink" Target="http://secrets.rutgers.edu:8080/data/asl-ftp/asllvd/demos/verify_start_end_handshape_annotations//test_auto_move//signs_mov_separ_signers/Tyler_363.mov" TargetMode="External"/><Relationship Id="rId3325" Type="http://schemas.openxmlformats.org/officeDocument/2006/relationships/hyperlink" Target="http://csr.bu.edu/ftp/asl/asllvd/demos/verify_start_end_handshape_annotations//test_auto_move//signs_mov_separ_signers/Brady_363.mov" TargetMode="External"/><Relationship Id="rId3326" Type="http://schemas.openxmlformats.org/officeDocument/2006/relationships/hyperlink" Target="http://secrets.rutgers.edu:8080/data/asl-ftp/asllvd/demos/verify_start_end_handshape_annotations//test_auto_move//signs_mov_separ_signers/Brady_363.mov" TargetMode="External"/><Relationship Id="rId3327" Type="http://schemas.openxmlformats.org/officeDocument/2006/relationships/hyperlink" Target="http://csr.bu.edu/ftp/asl/asllvd/demos/verify_start_end_handshape_annotations//test_auto_move//signs_mov_separ_signers/Liz_15418.mov" TargetMode="External"/><Relationship Id="rId3328" Type="http://schemas.openxmlformats.org/officeDocument/2006/relationships/hyperlink" Target="http://secrets.rutgers.edu:8080/data/asl-ftp/asllvd/demos/verify_start_end_handshape_annotations//test_auto_move//signs_mov_separ_signers/Liz_15418.mov" TargetMode="External"/><Relationship Id="rId3329" Type="http://schemas.openxmlformats.org/officeDocument/2006/relationships/hyperlink" Target="http://csr.bu.edu/ftp/asl/asllvd/demos/verify_start_end_handshape_annotations//test_auto_move//signs_mov/15418.mov" TargetMode="External"/><Relationship Id="rId3330" Type="http://schemas.openxmlformats.org/officeDocument/2006/relationships/hyperlink" Target="http://csr.bu.edu/ftp/asl/asllvd/demos/verify_start_end_handshape_annotations//test_auto_move//signs_mov_separ_signers/Naomi_15418.mov" TargetMode="External"/><Relationship Id="rId3331" Type="http://schemas.openxmlformats.org/officeDocument/2006/relationships/hyperlink" Target="http://secrets.rutgers.edu:8080/data/asl-ftp/asllvd/demos/verify_start_end_handshape_annotations//test_auto_move//signs_mov/15418.mov" TargetMode="External"/><Relationship Id="rId3332" Type="http://schemas.openxmlformats.org/officeDocument/2006/relationships/hyperlink" Target="http://secrets.rutgers.edu:8080/data/asl-ftp/asllvd/demos/verify_start_end_handshape_annotations//test_auto_move//signs_mov_separ_signers/Naomi_15418.mov" TargetMode="External"/><Relationship Id="rId3333" Type="http://schemas.openxmlformats.org/officeDocument/2006/relationships/hyperlink" Target="http://csr.bu.edu/ftp/asl/asllvd/demos/verify_start_end_handshape_annotations//test_auto_move//signs_mov_separ_signers/Brady_15418.mov" TargetMode="External"/><Relationship Id="rId3334" Type="http://schemas.openxmlformats.org/officeDocument/2006/relationships/hyperlink" Target="http://secrets.rutgers.edu:8080/data/asl-ftp/asllvd/demos/verify_start_end_handshape_annotations//test_auto_move//signs_mov_separ_signers/Brady_15418.mov" TargetMode="External"/><Relationship Id="rId3335" Type="http://schemas.openxmlformats.org/officeDocument/2006/relationships/hyperlink" Target="http://csr.bu.edu/ftp/asl/asllvd/demos/verify_start_end_handshape_annotations//test_auto_move//signs_mov_separ_signers/Liz_365.mov" TargetMode="External"/><Relationship Id="rId3336" Type="http://schemas.openxmlformats.org/officeDocument/2006/relationships/hyperlink" Target="http://secrets.rutgers.edu:8080/data/asl-ftp/asllvd/demos/verify_start_end_handshape_annotations//test_auto_move//signs_mov_separ_signers/Liz_365.mov" TargetMode="External"/><Relationship Id="rId3337" Type="http://schemas.openxmlformats.org/officeDocument/2006/relationships/hyperlink" Target="http://csr.bu.edu/ftp/asl/asllvd/demos/verify_start_end_handshape_annotations//test_auto_move//signs_mov/365.mov" TargetMode="External"/><Relationship Id="rId3338" Type="http://schemas.openxmlformats.org/officeDocument/2006/relationships/hyperlink" Target="http://csr.bu.edu/ftp/asl/asllvd/demos/verify_start_end_handshape_annotations//test_auto_move//signs_mov_separ_signers/Tyler_365.mov" TargetMode="External"/><Relationship Id="rId3339" Type="http://schemas.openxmlformats.org/officeDocument/2006/relationships/hyperlink" Target="http://secrets.rutgers.edu:8080/data/asl-ftp/asllvd/demos/verify_start_end_handshape_annotations//test_auto_move//signs_mov/365.mov" TargetMode="External"/><Relationship Id="rId3340" Type="http://schemas.openxmlformats.org/officeDocument/2006/relationships/hyperlink" Target="http://secrets.rutgers.edu:8080/data/asl-ftp/asllvd/demos/verify_start_end_handshape_annotations//test_auto_move//signs_mov_separ_signers/Tyler_365.mov" TargetMode="External"/><Relationship Id="rId3341" Type="http://schemas.openxmlformats.org/officeDocument/2006/relationships/hyperlink" Target="http://csr.bu.edu/ftp/asl/asllvd/demos/verify_start_end_handshape_annotations//test_auto_move//signs_mov_separ_signers/Brady_365.mov" TargetMode="External"/><Relationship Id="rId3342" Type="http://schemas.openxmlformats.org/officeDocument/2006/relationships/hyperlink" Target="http://secrets.rutgers.edu:8080/data/asl-ftp/asllvd/demos/verify_start_end_handshape_annotations//test_auto_move//signs_mov_separ_signers/Brady_365.mov" TargetMode="External"/><Relationship Id="rId3343" Type="http://schemas.openxmlformats.org/officeDocument/2006/relationships/hyperlink" Target="http://csr.bu.edu/ftp/asl/asllvd/demos/verify_start_end_handshape_annotations//test_auto_move//signs_mov_separ_signers/Liz_5004.mov" TargetMode="External"/><Relationship Id="rId3344" Type="http://schemas.openxmlformats.org/officeDocument/2006/relationships/hyperlink" Target="http://secrets.rutgers.edu:8080/data/asl-ftp/asllvd/demos/verify_start_end_handshape_annotations//test_auto_move//signs_mov_separ_signers/Liz_5004.mov" TargetMode="External"/><Relationship Id="rId3345" Type="http://schemas.openxmlformats.org/officeDocument/2006/relationships/hyperlink" Target="http://csr.bu.edu/ftp/asl/asllvd/demos/verify_start_end_handshape_annotations//test_auto_move//signs_mov/5004.mov" TargetMode="External"/><Relationship Id="rId3346" Type="http://schemas.openxmlformats.org/officeDocument/2006/relationships/hyperlink" Target="http://csr.bu.edu/ftp/asl/asllvd/demos/verify_start_end_handshape_annotations//test_auto_move//signs_mov_separ_signers/Naomi_5004.mov" TargetMode="External"/><Relationship Id="rId3347" Type="http://schemas.openxmlformats.org/officeDocument/2006/relationships/hyperlink" Target="http://secrets.rutgers.edu:8080/data/asl-ftp/asllvd/demos/verify_start_end_handshape_annotations//test_auto_move//signs_mov/5004.mov" TargetMode="External"/><Relationship Id="rId3348" Type="http://schemas.openxmlformats.org/officeDocument/2006/relationships/hyperlink" Target="http://secrets.rutgers.edu:8080/data/asl-ftp/asllvd/demos/verify_start_end_handshape_annotations//test_auto_move//signs_mov_separ_signers/Naomi_5004.mov" TargetMode="External"/><Relationship Id="rId3349" Type="http://schemas.openxmlformats.org/officeDocument/2006/relationships/hyperlink" Target="http://csr.bu.edu/ftp/asl/asllvd/demos/verify_start_end_handshape_annotations//test_auto_move//signs_mov_separ_signers/Brady_5004.mov" TargetMode="External"/><Relationship Id="rId3350" Type="http://schemas.openxmlformats.org/officeDocument/2006/relationships/hyperlink" Target="http://secrets.rutgers.edu:8080/data/asl-ftp/asllvd/demos/verify_start_end_handshape_annotations//test_auto_move//signs_mov_separ_signers/Brady_5004.mov" TargetMode="External"/><Relationship Id="rId3351" Type="http://schemas.openxmlformats.org/officeDocument/2006/relationships/hyperlink" Target="http://csr.bu.edu/ftp/asl/asllvd/demos/verify_start_end_handshape_annotations//test_auto_move//signs_mov_separ_signers/Liz_370.mov" TargetMode="External"/><Relationship Id="rId3352" Type="http://schemas.openxmlformats.org/officeDocument/2006/relationships/hyperlink" Target="http://secrets.rutgers.edu:8080/data/asl-ftp/asllvd/demos/verify_start_end_handshape_annotations//test_auto_move//signs_mov_separ_signers/Liz_370.mov" TargetMode="External"/><Relationship Id="rId3353" Type="http://schemas.openxmlformats.org/officeDocument/2006/relationships/hyperlink" Target="http://csr.bu.edu/ftp/asl/asllvd/demos/verify_start_end_handshape_annotations//test_auto_move//signs_mov/370_3558_merged.mov" TargetMode="External"/><Relationship Id="rId3354" Type="http://schemas.openxmlformats.org/officeDocument/2006/relationships/hyperlink" Target="http://csr.bu.edu/ftp/asl/asllvd/demos/verify_start_end_handshape_annotations//test_auto_move//signs_mov_separ_signers/Liz_3558.mov" TargetMode="External"/><Relationship Id="rId3355" Type="http://schemas.openxmlformats.org/officeDocument/2006/relationships/hyperlink" Target="http://secrets.rutgers.edu:8080/data/asl-ftp/asllvd/demos/verify_start_end_handshape_annotations//test_auto_move//signs_mov/370_3558_merged.mov" TargetMode="External"/><Relationship Id="rId3356" Type="http://schemas.openxmlformats.org/officeDocument/2006/relationships/hyperlink" Target="http://secrets.rutgers.edu:8080/data/asl-ftp/asllvd/demos/verify_start_end_handshape_annotations//test_auto_move//signs_mov_separ_signers/Liz_3558.mov" TargetMode="External"/><Relationship Id="rId3357" Type="http://schemas.openxmlformats.org/officeDocument/2006/relationships/hyperlink" Target="http://csr.bu.edu/ftp/asl/asllvd/demos/verify_start_end_handshape_annotations//test_auto_move//signs_mov_separ_signers/Tyler_370.mov" TargetMode="External"/><Relationship Id="rId3358" Type="http://schemas.openxmlformats.org/officeDocument/2006/relationships/hyperlink" Target="http://secrets.rutgers.edu:8080/data/asl-ftp/asllvd/demos/verify_start_end_handshape_annotations//test_auto_move//signs_mov_separ_signers/Tyler_370.mov" TargetMode="External"/><Relationship Id="rId3359" Type="http://schemas.openxmlformats.org/officeDocument/2006/relationships/hyperlink" Target="http://csr.bu.edu/ftp/asl/asllvd/demos/verify_start_end_handshape_annotations//test_auto_move//signs_mov_separ_signers/Naomi_370.mov" TargetMode="External"/><Relationship Id="rId3360" Type="http://schemas.openxmlformats.org/officeDocument/2006/relationships/hyperlink" Target="http://secrets.rutgers.edu:8080/data/asl-ftp/asllvd/demos/verify_start_end_handshape_annotations//test_auto_move//signs_mov_separ_signers/Naomi_370.mov" TargetMode="External"/><Relationship Id="rId3361" Type="http://schemas.openxmlformats.org/officeDocument/2006/relationships/hyperlink" Target="http://csr.bu.edu/ftp/asl/asllvd/demos/verify_start_end_handshape_annotations//test_auto_move//signs_mov/5120.mov" TargetMode="External"/><Relationship Id="rId3362" Type="http://schemas.openxmlformats.org/officeDocument/2006/relationships/hyperlink" Target="http://csr.bu.edu/ftp/asl/asllvd/demos/verify_start_end_handshape_annotations//test_auto_move//signs_mov_separ_signers/Brady_5120.mov" TargetMode="External"/><Relationship Id="rId3363" Type="http://schemas.openxmlformats.org/officeDocument/2006/relationships/hyperlink" Target="http://secrets.rutgers.edu:8080/data/asl-ftp/asllvd/demos/verify_start_end_handshape_annotations//test_auto_move//signs_mov/5120.mov" TargetMode="External"/><Relationship Id="rId3364" Type="http://schemas.openxmlformats.org/officeDocument/2006/relationships/hyperlink" Target="http://secrets.rutgers.edu:8080/data/asl-ftp/asllvd/demos/verify_start_end_handshape_annotations//test_auto_move//signs_mov_separ_signers/Brady_5120.mov" TargetMode="External"/><Relationship Id="rId3365" Type="http://schemas.openxmlformats.org/officeDocument/2006/relationships/hyperlink" Target="http://csr.bu.edu/ftp/asl/asllvd/demos/verify_start_end_handshape_annotations//test_auto_move//signs_mov_separ_signers/Liz_373.mov" TargetMode="External"/><Relationship Id="rId3366" Type="http://schemas.openxmlformats.org/officeDocument/2006/relationships/hyperlink" Target="http://secrets.rutgers.edu:8080/data/asl-ftp/asllvd/demos/verify_start_end_handshape_annotations//test_auto_move//signs_mov_separ_signers/Liz_373.mov" TargetMode="External"/><Relationship Id="rId3367" Type="http://schemas.openxmlformats.org/officeDocument/2006/relationships/hyperlink" Target="http://csr.bu.edu/ftp/asl/asllvd/demos/verify_start_end_handshape_annotations//test_auto_move//signs_mov_separ_signers/Liz_5009.mov" TargetMode="External"/><Relationship Id="rId3368" Type="http://schemas.openxmlformats.org/officeDocument/2006/relationships/hyperlink" Target="http://secrets.rutgers.edu:8080/data/asl-ftp/asllvd/demos/verify_start_end_handshape_annotations//test_auto_move//signs_mov_separ_signers/Liz_5009.mov" TargetMode="External"/><Relationship Id="rId3369" Type="http://schemas.openxmlformats.org/officeDocument/2006/relationships/hyperlink" Target="http://csr.bu.edu/ftp/asl/asllvd/demos/verify_start_end_handshape_annotations//test_auto_move//signs_mov_separ_signers/Tyler_373.mov" TargetMode="External"/><Relationship Id="rId3370" Type="http://schemas.openxmlformats.org/officeDocument/2006/relationships/hyperlink" Target="http://secrets.rutgers.edu:8080/data/asl-ftp/asllvd/demos/verify_start_end_handshape_annotations//test_auto_move//signs_mov_separ_signers/Tyler_373.mov" TargetMode="External"/><Relationship Id="rId3371" Type="http://schemas.openxmlformats.org/officeDocument/2006/relationships/hyperlink" Target="http://csr.bu.edu/ftp/asl/asllvd/demos/verify_start_end_handshape_annotations//test_auto_move//signs_mov/373_5009_merged.mov" TargetMode="External"/><Relationship Id="rId3372" Type="http://schemas.openxmlformats.org/officeDocument/2006/relationships/hyperlink" Target="http://csr.bu.edu/ftp/asl/asllvd/demos/verify_start_end_handshape_annotations//test_auto_move//signs_mov_separ_signers/Naomi_373.mov" TargetMode="External"/><Relationship Id="rId3373" Type="http://schemas.openxmlformats.org/officeDocument/2006/relationships/hyperlink" Target="http://secrets.rutgers.edu:8080/data/asl-ftp/asllvd/demos/verify_start_end_handshape_annotations//test_auto_move//signs_mov/373_5009_merged.mov" TargetMode="External"/><Relationship Id="rId3374" Type="http://schemas.openxmlformats.org/officeDocument/2006/relationships/hyperlink" Target="http://secrets.rutgers.edu:8080/data/asl-ftp/asllvd/demos/verify_start_end_handshape_annotations//test_auto_move//signs_mov_separ_signers/Naomi_373.mov" TargetMode="External"/><Relationship Id="rId3375" Type="http://schemas.openxmlformats.org/officeDocument/2006/relationships/hyperlink" Target="http://csr.bu.edu/ftp/asl/asllvd/demos/verify_start_end_handshape_annotations//test_auto_move//signs_mov_separ_signers/Brady_373.mov" TargetMode="External"/><Relationship Id="rId3376" Type="http://schemas.openxmlformats.org/officeDocument/2006/relationships/hyperlink" Target="http://secrets.rutgers.edu:8080/data/asl-ftp/asllvd/demos/verify_start_end_handshape_annotations//test_auto_move//signs_mov_separ_signers/Brady_373.mov" TargetMode="External"/><Relationship Id="rId3377" Type="http://schemas.openxmlformats.org/officeDocument/2006/relationships/hyperlink" Target="http://csr.bu.edu/ftp/asl/asllvd/demos/verify_start_end_handshape_annotations//test_auto_move//signs_mov_separ_signers/Brady_5009.mov" TargetMode="External"/><Relationship Id="rId3378" Type="http://schemas.openxmlformats.org/officeDocument/2006/relationships/hyperlink" Target="http://secrets.rutgers.edu:8080/data/asl-ftp/asllvd/demos/verify_start_end_handshape_annotations//test_auto_move//signs_mov_separ_signers/Brady_5009.mov" TargetMode="External"/><Relationship Id="rId3379" Type="http://schemas.openxmlformats.org/officeDocument/2006/relationships/hyperlink" Target="http://csr.bu.edu/ftp/asl/asllvd/demos/verify_start_end_handshape_annotations//test_auto_move//signs_mov_separ_signers/Lana_373.mov" TargetMode="External"/><Relationship Id="rId3380" Type="http://schemas.openxmlformats.org/officeDocument/2006/relationships/hyperlink" Target="http://secrets.rutgers.edu:8080/data/asl-ftp/asllvd/demos/verify_start_end_handshape_annotations//test_auto_move//signs_mov_separ_signers/Lana_373.mov" TargetMode="External"/><Relationship Id="rId3381" Type="http://schemas.openxmlformats.org/officeDocument/2006/relationships/hyperlink" Target="http://csr.bu.edu/ftp/asl/asllvd/demos/verify_start_end_handshape_annotations//test_auto_move//signs_mov_separ_signers/Dana_373.mov" TargetMode="External"/><Relationship Id="rId3382" Type="http://schemas.openxmlformats.org/officeDocument/2006/relationships/hyperlink" Target="http://secrets.rutgers.edu:8080/data/asl-ftp/asllvd/demos/verify_start_end_handshape_annotations//test_auto_move//signs_mov_separ_signers/Dana_373.mov" TargetMode="External"/><Relationship Id="rId3383" Type="http://schemas.openxmlformats.org/officeDocument/2006/relationships/hyperlink" Target="http://csr.bu.edu/ftp/asl/asllvd/demos/verify_start_end_handshape_annotations//test_auto_move//signs_mov_separ_signers/Liz_374.mov" TargetMode="External"/><Relationship Id="rId3384" Type="http://schemas.openxmlformats.org/officeDocument/2006/relationships/hyperlink" Target="http://secrets.rutgers.edu:8080/data/asl-ftp/asllvd/demos/verify_start_end_handshape_annotations//test_auto_move//signs_mov_separ_signers/Liz_374.mov" TargetMode="External"/><Relationship Id="rId3385" Type="http://schemas.openxmlformats.org/officeDocument/2006/relationships/hyperlink" Target="http://csr.bu.edu/ftp/asl/asllvd/demos/verify_start_end_handshape_annotations//test_auto_move//signs_mov/374.mov" TargetMode="External"/><Relationship Id="rId3386" Type="http://schemas.openxmlformats.org/officeDocument/2006/relationships/hyperlink" Target="http://csr.bu.edu/ftp/asl/asllvd/demos/verify_start_end_handshape_annotations//test_auto_move//signs_mov_separ_signers/Tyler_374.mov" TargetMode="External"/><Relationship Id="rId3387" Type="http://schemas.openxmlformats.org/officeDocument/2006/relationships/hyperlink" Target="http://secrets.rutgers.edu:8080/data/asl-ftp/asllvd/demos/verify_start_end_handshape_annotations//test_auto_move//signs_mov/374.mov" TargetMode="External"/><Relationship Id="rId3388" Type="http://schemas.openxmlformats.org/officeDocument/2006/relationships/hyperlink" Target="http://secrets.rutgers.edu:8080/data/asl-ftp/asllvd/demos/verify_start_end_handshape_annotations//test_auto_move//signs_mov_separ_signers/Tyler_374.mov" TargetMode="External"/><Relationship Id="rId3389" Type="http://schemas.openxmlformats.org/officeDocument/2006/relationships/hyperlink" Target="http://csr.bu.edu/ftp/asl/asllvd/demos/verify_start_end_handshape_annotations//test_auto_move//signs_mov_separ_signers/Naomi_374.mov" TargetMode="External"/><Relationship Id="rId3390" Type="http://schemas.openxmlformats.org/officeDocument/2006/relationships/hyperlink" Target="http://secrets.rutgers.edu:8080/data/asl-ftp/asllvd/demos/verify_start_end_handshape_annotations//test_auto_move//signs_mov_separ_signers/Naomi_374.mov" TargetMode="External"/><Relationship Id="rId3391" Type="http://schemas.openxmlformats.org/officeDocument/2006/relationships/hyperlink" Target="http://csr.bu.edu/ftp/asl/asllvd/demos/verify_start_end_handshape_annotations//test_auto_move//signs_mov_separ_signers/Brady_374.mov" TargetMode="External"/><Relationship Id="rId3392" Type="http://schemas.openxmlformats.org/officeDocument/2006/relationships/hyperlink" Target="http://secrets.rutgers.edu:8080/data/asl-ftp/asllvd/demos/verify_start_end_handshape_annotations//test_auto_move//signs_mov_separ_signers/Brady_374.mov" TargetMode="External"/><Relationship Id="rId3393" Type="http://schemas.openxmlformats.org/officeDocument/2006/relationships/hyperlink" Target="http://csr.bu.edu/ftp/asl/asllvd/demos/verify_start_end_handshape_annotations//test_auto_move//signs_mov_separ_signers/Liz_375.mov" TargetMode="External"/><Relationship Id="rId3394" Type="http://schemas.openxmlformats.org/officeDocument/2006/relationships/hyperlink" Target="http://secrets.rutgers.edu:8080/data/asl-ftp/asllvd/demos/verify_start_end_handshape_annotations//test_auto_move//signs_mov_separ_signers/Liz_375.mov" TargetMode="External"/><Relationship Id="rId3395" Type="http://schemas.openxmlformats.org/officeDocument/2006/relationships/hyperlink" Target="http://csr.bu.edu/ftp/asl/asllvd/demos/verify_start_end_handshape_annotations//test_auto_move//signs_mov/375.mov" TargetMode="External"/><Relationship Id="rId3396" Type="http://schemas.openxmlformats.org/officeDocument/2006/relationships/hyperlink" Target="http://csr.bu.edu/ftp/asl/asllvd/demos/verify_start_end_handshape_annotations//test_auto_move//signs_mov_separ_signers/Tyler_375.mov" TargetMode="External"/><Relationship Id="rId3397" Type="http://schemas.openxmlformats.org/officeDocument/2006/relationships/hyperlink" Target="http://secrets.rutgers.edu:8080/data/asl-ftp/asllvd/demos/verify_start_end_handshape_annotations//test_auto_move//signs_mov/375.mov" TargetMode="External"/><Relationship Id="rId3398" Type="http://schemas.openxmlformats.org/officeDocument/2006/relationships/hyperlink" Target="http://secrets.rutgers.edu:8080/data/asl-ftp/asllvd/demos/verify_start_end_handshape_annotations//test_auto_move//signs_mov_separ_signers/Tyler_375.mov" TargetMode="External"/><Relationship Id="rId3399" Type="http://schemas.openxmlformats.org/officeDocument/2006/relationships/hyperlink" Target="http://csr.bu.edu/ftp/asl/asllvd/demos/verify_start_end_handshape_annotations//test_auto_move//signs_mov_separ_signers/Naomi_375.mov" TargetMode="External"/><Relationship Id="rId3400" Type="http://schemas.openxmlformats.org/officeDocument/2006/relationships/hyperlink" Target="http://secrets.rutgers.edu:8080/data/asl-ftp/asllvd/demos/verify_start_end_handshape_annotations//test_auto_move//signs_mov_separ_signers/Naomi_375.mov" TargetMode="External"/><Relationship Id="rId3401" Type="http://schemas.openxmlformats.org/officeDocument/2006/relationships/hyperlink" Target="http://csr.bu.edu/ftp/asl/asllvd/demos/verify_start_end_handshape_annotations//test_auto_move//signs_mov_separ_signers/Brady_375.mov" TargetMode="External"/><Relationship Id="rId3402" Type="http://schemas.openxmlformats.org/officeDocument/2006/relationships/hyperlink" Target="http://secrets.rutgers.edu:8080/data/asl-ftp/asllvd/demos/verify_start_end_handshape_annotations//test_auto_move//signs_mov_separ_signers/Brady_375.mov" TargetMode="External"/><Relationship Id="rId3403" Type="http://schemas.openxmlformats.org/officeDocument/2006/relationships/hyperlink" Target="http://csr.bu.edu/ftp/asl/asllvd/demos/verify_start_end_handshape_annotations//test_auto_move//signs_mov_separ_signers/Liz_377.mov" TargetMode="External"/><Relationship Id="rId3404" Type="http://schemas.openxmlformats.org/officeDocument/2006/relationships/hyperlink" Target="http://secrets.rutgers.edu:8080/data/asl-ftp/asllvd/demos/verify_start_end_handshape_annotations//test_auto_move//signs_mov_separ_signers/Liz_377.mov" TargetMode="External"/><Relationship Id="rId3405" Type="http://schemas.openxmlformats.org/officeDocument/2006/relationships/hyperlink" Target="http://csr.bu.edu/ftp/asl/asllvd/demos/verify_start_end_handshape_annotations//test_auto_move//signs_mov_separ_signers/Liz_3333.mov" TargetMode="External"/><Relationship Id="rId3406" Type="http://schemas.openxmlformats.org/officeDocument/2006/relationships/hyperlink" Target="http://secrets.rutgers.edu:8080/data/asl-ftp/asllvd/demos/verify_start_end_handshape_annotations//test_auto_move//signs_mov_separ_signers/Liz_3333.mov" TargetMode="External"/><Relationship Id="rId3407" Type="http://schemas.openxmlformats.org/officeDocument/2006/relationships/hyperlink" Target="http://csr.bu.edu/ftp/asl/asllvd/demos/verify_start_end_handshape_annotations//test_auto_move//signs_mov_separ_signers/Liz_5046.mov" TargetMode="External"/><Relationship Id="rId3408" Type="http://schemas.openxmlformats.org/officeDocument/2006/relationships/hyperlink" Target="http://secrets.rutgers.edu:8080/data/asl-ftp/asllvd/demos/verify_start_end_handshape_annotations//test_auto_move//signs_mov_separ_signers/Liz_5046.mov" TargetMode="External"/><Relationship Id="rId3409" Type="http://schemas.openxmlformats.org/officeDocument/2006/relationships/hyperlink" Target="http://csr.bu.edu/ftp/asl/asllvd/demos/verify_start_end_handshape_annotations//test_auto_move//signs_mov_separ_signers/Liz_5047.mov" TargetMode="External"/><Relationship Id="rId3410" Type="http://schemas.openxmlformats.org/officeDocument/2006/relationships/hyperlink" Target="http://secrets.rutgers.edu:8080/data/asl-ftp/asllvd/demos/verify_start_end_handshape_annotations//test_auto_move//signs_mov_separ_signers/Liz_5047.mov" TargetMode="External"/><Relationship Id="rId3411" Type="http://schemas.openxmlformats.org/officeDocument/2006/relationships/hyperlink" Target="http://csr.bu.edu/ftp/asl/asllvd/demos/verify_start_end_handshape_annotations//test_auto_move//signs_mov_separ_signers/Tyler_377.mov" TargetMode="External"/><Relationship Id="rId3412" Type="http://schemas.openxmlformats.org/officeDocument/2006/relationships/hyperlink" Target="http://secrets.rutgers.edu:8080/data/asl-ftp/asllvd/demos/verify_start_end_handshape_annotations//test_auto_move//signs_mov_separ_signers/Tyler_377.mov" TargetMode="External"/><Relationship Id="rId3413" Type="http://schemas.openxmlformats.org/officeDocument/2006/relationships/hyperlink" Target="http://csr.bu.edu/ftp/asl/asllvd/demos/verify_start_end_handshape_annotations//test_auto_move//signs_mov_separ_signers/Naomi_377.mov" TargetMode="External"/><Relationship Id="rId3414" Type="http://schemas.openxmlformats.org/officeDocument/2006/relationships/hyperlink" Target="http://secrets.rutgers.edu:8080/data/asl-ftp/asllvd/demos/verify_start_end_handshape_annotations//test_auto_move//signs_mov_separ_signers/Naomi_377.mov" TargetMode="External"/><Relationship Id="rId3415" Type="http://schemas.openxmlformats.org/officeDocument/2006/relationships/hyperlink" Target="http://csr.bu.edu/ftp/asl/asllvd/demos/verify_start_end_handshape_annotations//test_auto_move//signs_mov_separ_signers/Naomi_3333.mov" TargetMode="External"/><Relationship Id="rId3416" Type="http://schemas.openxmlformats.org/officeDocument/2006/relationships/hyperlink" Target="http://secrets.rutgers.edu:8080/data/asl-ftp/asllvd/demos/verify_start_end_handshape_annotations//test_auto_move//signs_mov_separ_signers/Naomi_3333.mov" TargetMode="External"/><Relationship Id="rId3417" Type="http://schemas.openxmlformats.org/officeDocument/2006/relationships/hyperlink" Target="http://csr.bu.edu/ftp/asl/asllvd/demos/verify_start_end_handshape_annotations//test_auto_move//signs_mov/377_3333_5046_5047_merged.mov" TargetMode="External"/><Relationship Id="rId3418" Type="http://schemas.openxmlformats.org/officeDocument/2006/relationships/hyperlink" Target="http://csr.bu.edu/ftp/asl/asllvd/demos/verify_start_end_handshape_annotations//test_auto_move//signs_mov_separ_signers/Naomi_5046.mov" TargetMode="External"/><Relationship Id="rId3419" Type="http://schemas.openxmlformats.org/officeDocument/2006/relationships/hyperlink" Target="http://secrets.rutgers.edu:8080/data/asl-ftp/asllvd/demos/verify_start_end_handshape_annotations//test_auto_move//signs_mov/377_3333_5046_5047_merged.mov" TargetMode="External"/><Relationship Id="rId3420" Type="http://schemas.openxmlformats.org/officeDocument/2006/relationships/hyperlink" Target="http://secrets.rutgers.edu:8080/data/asl-ftp/asllvd/demos/verify_start_end_handshape_annotations//test_auto_move//signs_mov_separ_signers/Naomi_5046.mov" TargetMode="External"/><Relationship Id="rId3421" Type="http://schemas.openxmlformats.org/officeDocument/2006/relationships/hyperlink" Target="http://csr.bu.edu/ftp/asl/asllvd/demos/verify_start_end_handshape_annotations//test_auto_move//signs_mov_separ_signers/Brady_377.mov" TargetMode="External"/><Relationship Id="rId3422" Type="http://schemas.openxmlformats.org/officeDocument/2006/relationships/hyperlink" Target="http://secrets.rutgers.edu:8080/data/asl-ftp/asllvd/demos/verify_start_end_handshape_annotations//test_auto_move//signs_mov_separ_signers/Brady_377.mov" TargetMode="External"/><Relationship Id="rId3423" Type="http://schemas.openxmlformats.org/officeDocument/2006/relationships/hyperlink" Target="http://csr.bu.edu/ftp/asl/asllvd/demos/verify_start_end_handshape_annotations//test_auto_move//signs_mov_separ_signers/Brady_3333.mov" TargetMode="External"/><Relationship Id="rId3424" Type="http://schemas.openxmlformats.org/officeDocument/2006/relationships/hyperlink" Target="http://secrets.rutgers.edu:8080/data/asl-ftp/asllvd/demos/verify_start_end_handshape_annotations//test_auto_move//signs_mov_separ_signers/Brady_3333.mov" TargetMode="External"/><Relationship Id="rId3425" Type="http://schemas.openxmlformats.org/officeDocument/2006/relationships/hyperlink" Target="http://csr.bu.edu/ftp/asl/asllvd/demos/verify_start_end_handshape_annotations//test_auto_move//signs_mov_separ_signers/Brady_5046.mov" TargetMode="External"/><Relationship Id="rId3426" Type="http://schemas.openxmlformats.org/officeDocument/2006/relationships/hyperlink" Target="http://secrets.rutgers.edu:8080/data/asl-ftp/asllvd/demos/verify_start_end_handshape_annotations//test_auto_move//signs_mov_separ_signers/Brady_5046.mov" TargetMode="External"/><Relationship Id="rId3427" Type="http://schemas.openxmlformats.org/officeDocument/2006/relationships/hyperlink" Target="http://csr.bu.edu/ftp/asl/asllvd/demos/verify_start_end_handshape_annotations//test_auto_move//signs_mov_separ_signers/Brady_5047.mov" TargetMode="External"/><Relationship Id="rId3428" Type="http://schemas.openxmlformats.org/officeDocument/2006/relationships/hyperlink" Target="http://secrets.rutgers.edu:8080/data/asl-ftp/asllvd/demos/verify_start_end_handshape_annotations//test_auto_move//signs_mov_separ_signers/Brady_5047.mov" TargetMode="External"/><Relationship Id="rId3429" Type="http://schemas.openxmlformats.org/officeDocument/2006/relationships/hyperlink" Target="http://csr.bu.edu/ftp/asl/asllvd/demos/verify_start_end_handshape_annotations//test_auto_move//signs_mov_separ_signers/Lana_377.mov" TargetMode="External"/><Relationship Id="rId3430" Type="http://schemas.openxmlformats.org/officeDocument/2006/relationships/hyperlink" Target="http://secrets.rutgers.edu:8080/data/asl-ftp/asllvd/demos/verify_start_end_handshape_annotations//test_auto_move//signs_mov_separ_signers/Lana_377.mov" TargetMode="External"/><Relationship Id="rId3431" Type="http://schemas.openxmlformats.org/officeDocument/2006/relationships/hyperlink" Target="http://csr.bu.edu/ftp/asl/asllvd/demos/verify_start_end_handshape_annotations//test_auto_move//signs_mov_separ_signers/Dana_377.mov" TargetMode="External"/><Relationship Id="rId3432" Type="http://schemas.openxmlformats.org/officeDocument/2006/relationships/hyperlink" Target="http://secrets.rutgers.edu:8080/data/asl-ftp/asllvd/demos/verify_start_end_handshape_annotations//test_auto_move//signs_mov_separ_signers/Dana_377.mov" TargetMode="External"/><Relationship Id="rId3433" Type="http://schemas.openxmlformats.org/officeDocument/2006/relationships/hyperlink" Target="http://csr.bu.edu/ftp/asl/asllvd/demos/verify_start_end_handshape_annotations//test_auto_move//signs_mov_separ_signers/Dana_3333.mov" TargetMode="External"/><Relationship Id="rId3434" Type="http://schemas.openxmlformats.org/officeDocument/2006/relationships/hyperlink" Target="http://secrets.rutgers.edu:8080/data/asl-ftp/asllvd/demos/verify_start_end_handshape_annotations//test_auto_move//signs_mov_separ_signers/Dana_3333.mov" TargetMode="External"/><Relationship Id="rId3435" Type="http://schemas.openxmlformats.org/officeDocument/2006/relationships/hyperlink" Target="http://csr.bu.edu/ftp/asl/asllvd/demos/verify_start_end_handshape_annotations//test_auto_move//signs_mov/15555.mov" TargetMode="External"/><Relationship Id="rId3436" Type="http://schemas.openxmlformats.org/officeDocument/2006/relationships/hyperlink" Target="http://csr.bu.edu/ftp/asl/asllvd/demos/verify_start_end_handshape_annotations//test_auto_move//signs_mov_separ_signers/Liz_15555.mov" TargetMode="External"/><Relationship Id="rId3437" Type="http://schemas.openxmlformats.org/officeDocument/2006/relationships/hyperlink" Target="http://secrets.rutgers.edu:8080/data/asl-ftp/asllvd/demos/verify_start_end_handshape_annotations//test_auto_move//signs_mov/15555.mov" TargetMode="External"/><Relationship Id="rId3438" Type="http://schemas.openxmlformats.org/officeDocument/2006/relationships/hyperlink" Target="http://secrets.rutgers.edu:8080/data/asl-ftp/asllvd/demos/verify_start_end_handshape_annotations//test_auto_move//signs_mov_separ_signers/Liz_15555.mov" TargetMode="External"/><Relationship Id="rId3439" Type="http://schemas.openxmlformats.org/officeDocument/2006/relationships/hyperlink" Target="http://csr.bu.edu/ftp/asl/asllvd/demos/verify_start_end_handshape_annotations//test_auto_move//signs_mov_separ_signers/Brady_15555.mov" TargetMode="External"/><Relationship Id="rId3440" Type="http://schemas.openxmlformats.org/officeDocument/2006/relationships/hyperlink" Target="http://secrets.rutgers.edu:8080/data/asl-ftp/asllvd/demos/verify_start_end_handshape_annotations//test_auto_move//signs_mov_separ_signers/Brady_15555.mov" TargetMode="External"/><Relationship Id="rId3441" Type="http://schemas.openxmlformats.org/officeDocument/2006/relationships/hyperlink" Target="http://csr.bu.edu/ftp/asl/asllvd/demos/verify_start_end_handshape_annotations//test_auto_move//signs_mov_separ_signers/Liz_379.mov" TargetMode="External"/><Relationship Id="rId3442" Type="http://schemas.openxmlformats.org/officeDocument/2006/relationships/hyperlink" Target="http://secrets.rutgers.edu:8080/data/asl-ftp/asllvd/demos/verify_start_end_handshape_annotations//test_auto_move//signs_mov_separ_signers/Liz_379.mov" TargetMode="External"/><Relationship Id="rId3443" Type="http://schemas.openxmlformats.org/officeDocument/2006/relationships/hyperlink" Target="http://csr.bu.edu/ftp/asl/asllvd/demos/verify_start_end_handshape_annotations//test_auto_move//signs_mov/379.mov" TargetMode="External"/><Relationship Id="rId3444" Type="http://schemas.openxmlformats.org/officeDocument/2006/relationships/hyperlink" Target="http://csr.bu.edu/ftp/asl/asllvd/demos/verify_start_end_handshape_annotations//test_auto_move//signs_mov_separ_signers/Tyler_379.mov" TargetMode="External"/><Relationship Id="rId3445" Type="http://schemas.openxmlformats.org/officeDocument/2006/relationships/hyperlink" Target="http://secrets.rutgers.edu:8080/data/asl-ftp/asllvd/demos/verify_start_end_handshape_annotations//test_auto_move//signs_mov/379.mov" TargetMode="External"/><Relationship Id="rId3446" Type="http://schemas.openxmlformats.org/officeDocument/2006/relationships/hyperlink" Target="http://secrets.rutgers.edu:8080/data/asl-ftp/asllvd/demos/verify_start_end_handshape_annotations//test_auto_move//signs_mov_separ_signers/Tyler_379.mov" TargetMode="External"/><Relationship Id="rId3447" Type="http://schemas.openxmlformats.org/officeDocument/2006/relationships/hyperlink" Target="http://csr.bu.edu/ftp/asl/asllvd/demos/verify_start_end_handshape_annotations//test_auto_move//signs_mov_separ_signers/Naomi_379.mov" TargetMode="External"/><Relationship Id="rId3448" Type="http://schemas.openxmlformats.org/officeDocument/2006/relationships/hyperlink" Target="http://secrets.rutgers.edu:8080/data/asl-ftp/asllvd/demos/verify_start_end_handshape_annotations//test_auto_move//signs_mov_separ_signers/Naomi_379.mov" TargetMode="External"/><Relationship Id="rId3449" Type="http://schemas.openxmlformats.org/officeDocument/2006/relationships/hyperlink" Target="http://csr.bu.edu/ftp/asl/asllvd/demos/verify_start_end_handshape_annotations//test_auto_move//signs_mov_separ_signers/Brady_379.mov" TargetMode="External"/><Relationship Id="rId3450" Type="http://schemas.openxmlformats.org/officeDocument/2006/relationships/hyperlink" Target="http://secrets.rutgers.edu:8080/data/asl-ftp/asllvd/demos/verify_start_end_handshape_annotations//test_auto_move//signs_mov_separ_signers/Brady_379.mov" TargetMode="External"/><Relationship Id="rId3451" Type="http://schemas.openxmlformats.org/officeDocument/2006/relationships/hyperlink" Target="http://csr.bu.edu/ftp/asl/asllvd/demos/verify_start_end_handshape_annotations//test_auto_move//signs_mov_separ_signers/Liz_15010.mov" TargetMode="External"/><Relationship Id="rId3452" Type="http://schemas.openxmlformats.org/officeDocument/2006/relationships/hyperlink" Target="http://secrets.rutgers.edu:8080/data/asl-ftp/asllvd/demos/verify_start_end_handshape_annotations//test_auto_move//signs_mov_separ_signers/Liz_15010.mov" TargetMode="External"/><Relationship Id="rId3453" Type="http://schemas.openxmlformats.org/officeDocument/2006/relationships/hyperlink" Target="http://csr.bu.edu/ftp/asl/asllvd/demos/verify_start_end_handshape_annotations//test_auto_move//signs_mov/15010.mov" TargetMode="External"/><Relationship Id="rId3454" Type="http://schemas.openxmlformats.org/officeDocument/2006/relationships/hyperlink" Target="http://csr.bu.edu/ftp/asl/asllvd/demos/verify_start_end_handshape_annotations//test_auto_move//signs_mov_separ_signers/Tyler_15010.mov" TargetMode="External"/><Relationship Id="rId3455" Type="http://schemas.openxmlformats.org/officeDocument/2006/relationships/hyperlink" Target="http://secrets.rutgers.edu:8080/data/asl-ftp/asllvd/demos/verify_start_end_handshape_annotations//test_auto_move//signs_mov/15010.mov" TargetMode="External"/><Relationship Id="rId3456" Type="http://schemas.openxmlformats.org/officeDocument/2006/relationships/hyperlink" Target="http://secrets.rutgers.edu:8080/data/asl-ftp/asllvd/demos/verify_start_end_handshape_annotations//test_auto_move//signs_mov_separ_signers/Tyler_15010.mov" TargetMode="External"/><Relationship Id="rId3457" Type="http://schemas.openxmlformats.org/officeDocument/2006/relationships/hyperlink" Target="http://csr.bu.edu/ftp/asl/asllvd/demos/verify_start_end_handshape_annotations//test_auto_move//signs_mov_separ_signers/Naomi_15010.mov" TargetMode="External"/><Relationship Id="rId3458" Type="http://schemas.openxmlformats.org/officeDocument/2006/relationships/hyperlink" Target="http://secrets.rutgers.edu:8080/data/asl-ftp/asllvd/demos/verify_start_end_handshape_annotations//test_auto_move//signs_mov_separ_signers/Naomi_15010.mov" TargetMode="External"/><Relationship Id="rId3459" Type="http://schemas.openxmlformats.org/officeDocument/2006/relationships/hyperlink" Target="http://csr.bu.edu/ftp/asl/asllvd/demos/verify_start_end_handshape_annotations//test_auto_move//signs_mov_separ_signers/Brady_15010.mov" TargetMode="External"/><Relationship Id="rId3460" Type="http://schemas.openxmlformats.org/officeDocument/2006/relationships/hyperlink" Target="http://secrets.rutgers.edu:8080/data/asl-ftp/asllvd/demos/verify_start_end_handshape_annotations//test_auto_move//signs_mov_separ_signers/Brady_15010.mov" TargetMode="External"/><Relationship Id="rId3461" Type="http://schemas.openxmlformats.org/officeDocument/2006/relationships/hyperlink" Target="http://csr.bu.edu/ftp/asl/asllvd/demos/verify_start_end_handshape_annotations//test_auto_move//signs_mov_separ_signers/Liz_380.mov" TargetMode="External"/><Relationship Id="rId3462" Type="http://schemas.openxmlformats.org/officeDocument/2006/relationships/hyperlink" Target="http://secrets.rutgers.edu:8080/data/asl-ftp/asllvd/demos/verify_start_end_handshape_annotations//test_auto_move//signs_mov_separ_signers/Liz_380.mov" TargetMode="External"/><Relationship Id="rId3463" Type="http://schemas.openxmlformats.org/officeDocument/2006/relationships/hyperlink" Target="http://csr.bu.edu/ftp/asl/asllvd/demos/verify_start_end_handshape_annotations//test_auto_move//signs_mov_separ_signers/Liz_3588.mov" TargetMode="External"/><Relationship Id="rId3464" Type="http://schemas.openxmlformats.org/officeDocument/2006/relationships/hyperlink" Target="http://secrets.rutgers.edu:8080/data/asl-ftp/asllvd/demos/verify_start_end_handshape_annotations//test_auto_move//signs_mov_separ_signers/Liz_3588.mov" TargetMode="External"/><Relationship Id="rId3465" Type="http://schemas.openxmlformats.org/officeDocument/2006/relationships/hyperlink" Target="http://csr.bu.edu/ftp/asl/asllvd/demos/verify_start_end_handshape_annotations//test_auto_move//signs_mov_separ_signers/Tyler_380.mov" TargetMode="External"/><Relationship Id="rId3466" Type="http://schemas.openxmlformats.org/officeDocument/2006/relationships/hyperlink" Target="http://secrets.rutgers.edu:8080/data/asl-ftp/asllvd/demos/verify_start_end_handshape_annotations//test_auto_move//signs_mov_separ_signers/Tyler_380.mov" TargetMode="External"/><Relationship Id="rId3467" Type="http://schemas.openxmlformats.org/officeDocument/2006/relationships/hyperlink" Target="http://csr.bu.edu/ftp/asl/asllvd/demos/verify_start_end_handshape_annotations//test_auto_move//signs_mov/380_3588_merged.mov" TargetMode="External"/><Relationship Id="rId3468" Type="http://schemas.openxmlformats.org/officeDocument/2006/relationships/hyperlink" Target="http://csr.bu.edu/ftp/asl/asllvd/demos/verify_start_end_handshape_annotations//test_auto_move//signs_mov_separ_signers/Tyler_3588.mov" TargetMode="External"/><Relationship Id="rId3469" Type="http://schemas.openxmlformats.org/officeDocument/2006/relationships/hyperlink" Target="http://secrets.rutgers.edu:8080/data/asl-ftp/asllvd/demos/verify_start_end_handshape_annotations//test_auto_move//signs_mov/380_3588_merged.mov" TargetMode="External"/><Relationship Id="rId3470" Type="http://schemas.openxmlformats.org/officeDocument/2006/relationships/hyperlink" Target="http://secrets.rutgers.edu:8080/data/asl-ftp/asllvd/demos/verify_start_end_handshape_annotations//test_auto_move//signs_mov_separ_signers/Tyler_3588.mov" TargetMode="External"/><Relationship Id="rId3471" Type="http://schemas.openxmlformats.org/officeDocument/2006/relationships/hyperlink" Target="http://csr.bu.edu/ftp/asl/asllvd/demos/verify_start_end_handshape_annotations//test_auto_move//signs_mov_separ_signers/Naomi_380.mov" TargetMode="External"/><Relationship Id="rId3472" Type="http://schemas.openxmlformats.org/officeDocument/2006/relationships/hyperlink" Target="http://secrets.rutgers.edu:8080/data/asl-ftp/asllvd/demos/verify_start_end_handshape_annotations//test_auto_move//signs_mov_separ_signers/Naomi_380.mov" TargetMode="External"/><Relationship Id="rId3473" Type="http://schemas.openxmlformats.org/officeDocument/2006/relationships/hyperlink" Target="http://csr.bu.edu/ftp/asl/asllvd/demos/verify_start_end_handshape_annotations//test_auto_move//signs_mov_separ_signers/Naomi_3588.mov" TargetMode="External"/><Relationship Id="rId3474" Type="http://schemas.openxmlformats.org/officeDocument/2006/relationships/hyperlink" Target="http://secrets.rutgers.edu:8080/data/asl-ftp/asllvd/demos/verify_start_end_handshape_annotations//test_auto_move//signs_mov_separ_signers/Naomi_3588.mov" TargetMode="External"/><Relationship Id="rId3475" Type="http://schemas.openxmlformats.org/officeDocument/2006/relationships/hyperlink" Target="http://csr.bu.edu/ftp/asl/asllvd/demos/verify_start_end_handshape_annotations//test_auto_move//signs_mov_separ_signers/Brady_380.mov" TargetMode="External"/><Relationship Id="rId3476" Type="http://schemas.openxmlformats.org/officeDocument/2006/relationships/hyperlink" Target="http://secrets.rutgers.edu:8080/data/asl-ftp/asllvd/demos/verify_start_end_handshape_annotations//test_auto_move//signs_mov_separ_signers/Brady_380.mov" TargetMode="External"/><Relationship Id="rId3477" Type="http://schemas.openxmlformats.org/officeDocument/2006/relationships/hyperlink" Target="http://csr.bu.edu/ftp/asl/asllvd/demos/verify_start_end_handshape_annotations//test_auto_move//signs_mov_separ_signers/Brady_3588.mov" TargetMode="External"/><Relationship Id="rId3478" Type="http://schemas.openxmlformats.org/officeDocument/2006/relationships/hyperlink" Target="http://secrets.rutgers.edu:8080/data/asl-ftp/asllvd/demos/verify_start_end_handshape_annotations//test_auto_move//signs_mov_separ_signers/Brady_3588.mov" TargetMode="External"/><Relationship Id="rId3479" Type="http://schemas.openxmlformats.org/officeDocument/2006/relationships/hyperlink" Target="http://csr.bu.edu/ftp/asl/asllvd/demos/verify_start_end_handshape_annotations//test_auto_move//signs_mov_separ_signers/Liz_382.mov" TargetMode="External"/><Relationship Id="rId3480" Type="http://schemas.openxmlformats.org/officeDocument/2006/relationships/hyperlink" Target="http://secrets.rutgers.edu:8080/data/asl-ftp/asllvd/demos/verify_start_end_handshape_annotations//test_auto_move//signs_mov_separ_signers/Liz_382.mov" TargetMode="External"/><Relationship Id="rId3481" Type="http://schemas.openxmlformats.org/officeDocument/2006/relationships/hyperlink" Target="http://csr.bu.edu/ftp/asl/asllvd/demos/verify_start_end_handshape_annotations//test_auto_move//signs_mov_separ_signers/Tyler_382.mov" TargetMode="External"/><Relationship Id="rId3482" Type="http://schemas.openxmlformats.org/officeDocument/2006/relationships/hyperlink" Target="http://secrets.rutgers.edu:8080/data/asl-ftp/asllvd/demos/verify_start_end_handshape_annotations//test_auto_move//signs_mov_separ_signers/Tyler_382.mov" TargetMode="External"/><Relationship Id="rId3483" Type="http://schemas.openxmlformats.org/officeDocument/2006/relationships/hyperlink" Target="http://csr.bu.edu/ftp/asl/asllvd/demos/verify_start_end_handshape_annotations//test_auto_move//signs_mov/382.mov" TargetMode="External"/><Relationship Id="rId3484" Type="http://schemas.openxmlformats.org/officeDocument/2006/relationships/hyperlink" Target="http://csr.bu.edu/ftp/asl/asllvd/demos/verify_start_end_handshape_annotations//test_auto_move//signs_mov_separ_signers/Naomi_382.mov" TargetMode="External"/><Relationship Id="rId3485" Type="http://schemas.openxmlformats.org/officeDocument/2006/relationships/hyperlink" Target="http://secrets.rutgers.edu:8080/data/asl-ftp/asllvd/demos/verify_start_end_handshape_annotations//test_auto_move//signs_mov/382.mov" TargetMode="External"/><Relationship Id="rId3486" Type="http://schemas.openxmlformats.org/officeDocument/2006/relationships/hyperlink" Target="http://secrets.rutgers.edu:8080/data/asl-ftp/asllvd/demos/verify_start_end_handshape_annotations//test_auto_move//signs_mov_separ_signers/Naomi_382.mov" TargetMode="External"/><Relationship Id="rId3487" Type="http://schemas.openxmlformats.org/officeDocument/2006/relationships/hyperlink" Target="http://csr.bu.edu/ftp/asl/asllvd/demos/verify_start_end_handshape_annotations//test_auto_move//signs_mov_separ_signers/Brady_382.mov" TargetMode="External"/><Relationship Id="rId3488" Type="http://schemas.openxmlformats.org/officeDocument/2006/relationships/hyperlink" Target="http://secrets.rutgers.edu:8080/data/asl-ftp/asllvd/demos/verify_start_end_handshape_annotations//test_auto_move//signs_mov_separ_signers/Brady_382.mov" TargetMode="External"/><Relationship Id="rId3489" Type="http://schemas.openxmlformats.org/officeDocument/2006/relationships/hyperlink" Target="http://csr.bu.edu/ftp/asl/asllvd/demos/verify_start_end_handshape_annotations//test_auto_move//signs_mov_separ_signers/Lana_382.mov" TargetMode="External"/><Relationship Id="rId3490" Type="http://schemas.openxmlformats.org/officeDocument/2006/relationships/hyperlink" Target="http://secrets.rutgers.edu:8080/data/asl-ftp/asllvd/demos/verify_start_end_handshape_annotations//test_auto_move//signs_mov_separ_signers/Lana_382.mov" TargetMode="External"/><Relationship Id="rId3491" Type="http://schemas.openxmlformats.org/officeDocument/2006/relationships/hyperlink" Target="http://csr.bu.edu/ftp/asl/asllvd/demos/verify_start_end_handshape_annotations//test_auto_move//signs_mov_separ_signers/Dana_382.mov" TargetMode="External"/><Relationship Id="rId3492" Type="http://schemas.openxmlformats.org/officeDocument/2006/relationships/hyperlink" Target="http://secrets.rutgers.edu:8080/data/asl-ftp/asllvd/demos/verify_start_end_handshape_annotations//test_auto_move//signs_mov_separ_signers/Dana_382.mov" TargetMode="External"/><Relationship Id="rId3493" Type="http://schemas.openxmlformats.org/officeDocument/2006/relationships/hyperlink" Target="http://csr.bu.edu/ftp/asl/asllvd/demos/verify_start_end_handshape_annotations//test_auto_move//signs_mov_separ_signers/Liz_384.mov" TargetMode="External"/><Relationship Id="rId3494" Type="http://schemas.openxmlformats.org/officeDocument/2006/relationships/hyperlink" Target="http://secrets.rutgers.edu:8080/data/asl-ftp/asllvd/demos/verify_start_end_handshape_annotations//test_auto_move//signs_mov_separ_signers/Liz_384.mov" TargetMode="External"/><Relationship Id="rId3495" Type="http://schemas.openxmlformats.org/officeDocument/2006/relationships/hyperlink" Target="http://csr.bu.edu/ftp/asl/asllvd/demos/verify_start_end_handshape_annotations//test_auto_move//signs_mov_separ_signers/Liz_3647.mov" TargetMode="External"/><Relationship Id="rId3496" Type="http://schemas.openxmlformats.org/officeDocument/2006/relationships/hyperlink" Target="http://secrets.rutgers.edu:8080/data/asl-ftp/asllvd/demos/verify_start_end_handshape_annotations//test_auto_move//signs_mov_separ_signers/Liz_3647.mov" TargetMode="External"/><Relationship Id="rId3497" Type="http://schemas.openxmlformats.org/officeDocument/2006/relationships/hyperlink" Target="http://csr.bu.edu/ftp/asl/asllvd/demos/verify_start_end_handshape_annotations//test_auto_move//signs_mov_separ_signers/Tyler_384.mov" TargetMode="External"/><Relationship Id="rId3498" Type="http://schemas.openxmlformats.org/officeDocument/2006/relationships/hyperlink" Target="http://secrets.rutgers.edu:8080/data/asl-ftp/asllvd/demos/verify_start_end_handshape_annotations//test_auto_move//signs_mov_separ_signers/Tyler_384.mov" TargetMode="External"/><Relationship Id="rId3499" Type="http://schemas.openxmlformats.org/officeDocument/2006/relationships/hyperlink" Target="http://csr.bu.edu/ftp/asl/asllvd/demos/verify_start_end_handshape_annotations//test_auto_move//signs_mov_separ_signers/Naomi_384.mov" TargetMode="External"/><Relationship Id="rId3500" Type="http://schemas.openxmlformats.org/officeDocument/2006/relationships/hyperlink" Target="http://secrets.rutgers.edu:8080/data/asl-ftp/asllvd/demos/verify_start_end_handshape_annotations//test_auto_move//signs_mov_separ_signers/Naomi_384.mov" TargetMode="External"/><Relationship Id="rId3501" Type="http://schemas.openxmlformats.org/officeDocument/2006/relationships/hyperlink" Target="http://csr.bu.edu/ftp/asl/asllvd/demos/verify_start_end_handshape_annotations//test_auto_move//signs_mov/384_3647_3648_merged.mov" TargetMode="External"/><Relationship Id="rId3502" Type="http://schemas.openxmlformats.org/officeDocument/2006/relationships/hyperlink" Target="http://csr.bu.edu/ftp/asl/asllvd/demos/verify_start_end_handshape_annotations//test_auto_move//signs_mov_separ_signers/Naomi_3647.mov" TargetMode="External"/><Relationship Id="rId3503" Type="http://schemas.openxmlformats.org/officeDocument/2006/relationships/hyperlink" Target="http://secrets.rutgers.edu:8080/data/asl-ftp/asllvd/demos/verify_start_end_handshape_annotations//test_auto_move//signs_mov/384_3647_3648_merged.mov" TargetMode="External"/><Relationship Id="rId3504" Type="http://schemas.openxmlformats.org/officeDocument/2006/relationships/hyperlink" Target="http://secrets.rutgers.edu:8080/data/asl-ftp/asllvd/demos/verify_start_end_handshape_annotations//test_auto_move//signs_mov_separ_signers/Naomi_3647.mov" TargetMode="External"/><Relationship Id="rId3505" Type="http://schemas.openxmlformats.org/officeDocument/2006/relationships/hyperlink" Target="http://csr.bu.edu/ftp/asl/asllvd/demos/verify_start_end_handshape_annotations//test_auto_move//signs_mov_separ_signers/Naomi_3648.mov" TargetMode="External"/><Relationship Id="rId3506" Type="http://schemas.openxmlformats.org/officeDocument/2006/relationships/hyperlink" Target="http://secrets.rutgers.edu:8080/data/asl-ftp/asllvd/demos/verify_start_end_handshape_annotations//test_auto_move//signs_mov_separ_signers/Naomi_3648.mov" TargetMode="External"/><Relationship Id="rId3507" Type="http://schemas.openxmlformats.org/officeDocument/2006/relationships/hyperlink" Target="http://csr.bu.edu/ftp/asl/asllvd/demos/verify_start_end_handshape_annotations//test_auto_move//signs_mov_separ_signers/Brady_384.mov" TargetMode="External"/><Relationship Id="rId3508" Type="http://schemas.openxmlformats.org/officeDocument/2006/relationships/hyperlink" Target="http://secrets.rutgers.edu:8080/data/asl-ftp/asllvd/demos/verify_start_end_handshape_annotations//test_auto_move//signs_mov_separ_signers/Brady_384.mov" TargetMode="External"/><Relationship Id="rId3509" Type="http://schemas.openxmlformats.org/officeDocument/2006/relationships/hyperlink" Target="http://csr.bu.edu/ftp/asl/asllvd/demos/verify_start_end_handshape_annotations//test_auto_move//signs_mov_separ_signers/Brady_3647.mov" TargetMode="External"/><Relationship Id="rId3510" Type="http://schemas.openxmlformats.org/officeDocument/2006/relationships/hyperlink" Target="http://secrets.rutgers.edu:8080/data/asl-ftp/asllvd/demos/verify_start_end_handshape_annotations//test_auto_move//signs_mov_separ_signers/Brady_3647.mov" TargetMode="External"/><Relationship Id="rId3511" Type="http://schemas.openxmlformats.org/officeDocument/2006/relationships/hyperlink" Target="http://csr.bu.edu/ftp/asl/asllvd/demos/verify_start_end_handshape_annotations//test_auto_move//signs_mov_separ_signers/Brady_3648.mov" TargetMode="External"/><Relationship Id="rId3512" Type="http://schemas.openxmlformats.org/officeDocument/2006/relationships/hyperlink" Target="http://secrets.rutgers.edu:8080/data/asl-ftp/asllvd/demos/verify_start_end_handshape_annotations//test_auto_move//signs_mov_separ_signers/Brady_3648.mov" TargetMode="External"/><Relationship Id="rId3513" Type="http://schemas.openxmlformats.org/officeDocument/2006/relationships/hyperlink" Target="http://csr.bu.edu/ftp/asl/asllvd/demos/verify_start_end_handshape_annotations//test_auto_move//signs_mov_separ_signers/Lana_384.mov" TargetMode="External"/><Relationship Id="rId3514" Type="http://schemas.openxmlformats.org/officeDocument/2006/relationships/hyperlink" Target="http://secrets.rutgers.edu:8080/data/asl-ftp/asllvd/demos/verify_start_end_handshape_annotations//test_auto_move//signs_mov_separ_signers/Lana_384.mov" TargetMode="External"/><Relationship Id="rId3515" Type="http://schemas.openxmlformats.org/officeDocument/2006/relationships/hyperlink" Target="http://csr.bu.edu/ftp/asl/asllvd/demos/verify_start_end_handshape_annotations//test_auto_move//signs_mov/5124.mov" TargetMode="External"/><Relationship Id="rId3516" Type="http://schemas.openxmlformats.org/officeDocument/2006/relationships/hyperlink" Target="http://csr.bu.edu/ftp/asl/asllvd/demos/verify_start_end_handshape_annotations//test_auto_move//signs_mov_separ_signers/Tyler_5124.mov" TargetMode="External"/><Relationship Id="rId3517" Type="http://schemas.openxmlformats.org/officeDocument/2006/relationships/hyperlink" Target="http://secrets.rutgers.edu:8080/data/asl-ftp/asllvd/demos/verify_start_end_handshape_annotations//test_auto_move//signs_mov/5124.mov" TargetMode="External"/><Relationship Id="rId3518" Type="http://schemas.openxmlformats.org/officeDocument/2006/relationships/hyperlink" Target="http://secrets.rutgers.edu:8080/data/asl-ftp/asllvd/demos/verify_start_end_handshape_annotations//test_auto_move//signs_mov_separ_signers/Tyler_5124.mov" TargetMode="External"/><Relationship Id="rId3519" Type="http://schemas.openxmlformats.org/officeDocument/2006/relationships/hyperlink" Target="http://csr.bu.edu/ftp/asl/asllvd/demos/verify_start_end_handshape_annotations//test_auto_move//signs_mov_separ_signers/Dana_5124.mov" TargetMode="External"/><Relationship Id="rId3520" Type="http://schemas.openxmlformats.org/officeDocument/2006/relationships/hyperlink" Target="http://secrets.rutgers.edu:8080/data/asl-ftp/asllvd/demos/verify_start_end_handshape_annotations//test_auto_move//signs_mov_separ_signers/Dana_5124.mov" TargetMode="External"/><Relationship Id="rId3521" Type="http://schemas.openxmlformats.org/officeDocument/2006/relationships/hyperlink" Target="http://csr.bu.edu/ftp/asl/asllvd/demos/verify_start_end_handshape_annotations//test_auto_move//signs_mov_separ_signers/Liz_15687.mov" TargetMode="External"/><Relationship Id="rId3522" Type="http://schemas.openxmlformats.org/officeDocument/2006/relationships/hyperlink" Target="http://secrets.rutgers.edu:8080/data/asl-ftp/asllvd/demos/verify_start_end_handshape_annotations//test_auto_move//signs_mov_separ_signers/Liz_15687.mov" TargetMode="External"/><Relationship Id="rId3523" Type="http://schemas.openxmlformats.org/officeDocument/2006/relationships/hyperlink" Target="http://csr.bu.edu/ftp/asl/asllvd/demos/verify_start_end_handshape_annotations//test_auto_move//signs_mov/15687.mov" TargetMode="External"/><Relationship Id="rId3524" Type="http://schemas.openxmlformats.org/officeDocument/2006/relationships/hyperlink" Target="http://csr.bu.edu/ftp/asl/asllvd/demos/verify_start_end_handshape_annotations//test_auto_move//signs_mov_separ_signers/Tyler_15687.mov" TargetMode="External"/><Relationship Id="rId3525" Type="http://schemas.openxmlformats.org/officeDocument/2006/relationships/hyperlink" Target="http://secrets.rutgers.edu:8080/data/asl-ftp/asllvd/demos/verify_start_end_handshape_annotations//test_auto_move//signs_mov/15687.mov" TargetMode="External"/><Relationship Id="rId3526" Type="http://schemas.openxmlformats.org/officeDocument/2006/relationships/hyperlink" Target="http://secrets.rutgers.edu:8080/data/asl-ftp/asllvd/demos/verify_start_end_handshape_annotations//test_auto_move//signs_mov_separ_signers/Tyler_15687.mov" TargetMode="External"/><Relationship Id="rId3527" Type="http://schemas.openxmlformats.org/officeDocument/2006/relationships/hyperlink" Target="http://csr.bu.edu/ftp/asl/asllvd/demos/verify_start_end_handshape_annotations//test_auto_move//signs_mov_separ_signers/Naomi_15687.mov" TargetMode="External"/><Relationship Id="rId3528" Type="http://schemas.openxmlformats.org/officeDocument/2006/relationships/hyperlink" Target="http://secrets.rutgers.edu:8080/data/asl-ftp/asllvd/demos/verify_start_end_handshape_annotations//test_auto_move//signs_mov_separ_signers/Naomi_15687.mov" TargetMode="External"/><Relationship Id="rId3529" Type="http://schemas.openxmlformats.org/officeDocument/2006/relationships/hyperlink" Target="http://csr.bu.edu/ftp/asl/asllvd/demos/verify_start_end_handshape_annotations//test_auto_move//signs_mov_separ_signers/Brady_15687.mov" TargetMode="External"/><Relationship Id="rId3530" Type="http://schemas.openxmlformats.org/officeDocument/2006/relationships/hyperlink" Target="http://secrets.rutgers.edu:8080/data/asl-ftp/asllvd/demos/verify_start_end_handshape_annotations//test_auto_move//signs_mov_separ_signers/Brady_15687.mov" TargetMode="External"/><Relationship Id="rId3531" Type="http://schemas.openxmlformats.org/officeDocument/2006/relationships/hyperlink" Target="http://csr.bu.edu/ftp/asl/asllvd/demos/verify_start_end_handshape_annotations//test_auto_move//signs_mov/15773.mov" TargetMode="External"/><Relationship Id="rId3532" Type="http://schemas.openxmlformats.org/officeDocument/2006/relationships/hyperlink" Target="http://csr.bu.edu/ftp/asl/asllvd/demos/verify_start_end_handshape_annotations//test_auto_move//signs_mov_separ_signers/Liz_15773.mov" TargetMode="External"/><Relationship Id="rId3533" Type="http://schemas.openxmlformats.org/officeDocument/2006/relationships/hyperlink" Target="http://secrets.rutgers.edu:8080/data/asl-ftp/asllvd/demos/verify_start_end_handshape_annotations//test_auto_move//signs_mov/15773.mov" TargetMode="External"/><Relationship Id="rId3534" Type="http://schemas.openxmlformats.org/officeDocument/2006/relationships/hyperlink" Target="http://secrets.rutgers.edu:8080/data/asl-ftp/asllvd/demos/verify_start_end_handshape_annotations//test_auto_move//signs_mov_separ_signers/Liz_15773.mov" TargetMode="External"/><Relationship Id="rId3535" Type="http://schemas.openxmlformats.org/officeDocument/2006/relationships/hyperlink" Target="http://csr.bu.edu/ftp/asl/asllvd/demos/verify_start_end_handshape_annotations//test_auto_move//signs_mov_separ_signers/Brady_15773.mov" TargetMode="External"/><Relationship Id="rId3536" Type="http://schemas.openxmlformats.org/officeDocument/2006/relationships/hyperlink" Target="http://secrets.rutgers.edu:8080/data/asl-ftp/asllvd/demos/verify_start_end_handshape_annotations//test_auto_move//signs_mov_separ_signers/Brady_15773.mov" TargetMode="External"/><Relationship Id="rId3537" Type="http://schemas.openxmlformats.org/officeDocument/2006/relationships/hyperlink" Target="http://csr.bu.edu/ftp/asl/asllvd/demos/verify_start_end_handshape_annotations//test_auto_move//signs_mov_separ_signers/Liz_16105.mov" TargetMode="External"/><Relationship Id="rId3538" Type="http://schemas.openxmlformats.org/officeDocument/2006/relationships/hyperlink" Target="http://secrets.rutgers.edu:8080/data/asl-ftp/asllvd/demos/verify_start_end_handshape_annotations//test_auto_move//signs_mov_separ_signers/Liz_16105.mov" TargetMode="External"/><Relationship Id="rId3539" Type="http://schemas.openxmlformats.org/officeDocument/2006/relationships/hyperlink" Target="http://csr.bu.edu/ftp/asl/asllvd/demos/verify_start_end_handshape_annotations//test_auto_move//signs_mov/16105.mov" TargetMode="External"/><Relationship Id="rId3540" Type="http://schemas.openxmlformats.org/officeDocument/2006/relationships/hyperlink" Target="http://csr.bu.edu/ftp/asl/asllvd/demos/verify_start_end_handshape_annotations//test_auto_move//signs_mov_separ_signers/Tyler_16105.mov" TargetMode="External"/><Relationship Id="rId3541" Type="http://schemas.openxmlformats.org/officeDocument/2006/relationships/hyperlink" Target="http://secrets.rutgers.edu:8080/data/asl-ftp/asllvd/demos/verify_start_end_handshape_annotations//test_auto_move//signs_mov/16105.mov" TargetMode="External"/><Relationship Id="rId3542" Type="http://schemas.openxmlformats.org/officeDocument/2006/relationships/hyperlink" Target="http://secrets.rutgers.edu:8080/data/asl-ftp/asllvd/demos/verify_start_end_handshape_annotations//test_auto_move//signs_mov_separ_signers/Tyler_16105.mov" TargetMode="External"/><Relationship Id="rId3543" Type="http://schemas.openxmlformats.org/officeDocument/2006/relationships/hyperlink" Target="http://csr.bu.edu/ftp/asl/asllvd/demos/verify_start_end_handshape_annotations//test_auto_move//signs_mov_separ_signers/Naomi_16105.mov" TargetMode="External"/><Relationship Id="rId3544" Type="http://schemas.openxmlformats.org/officeDocument/2006/relationships/hyperlink" Target="http://secrets.rutgers.edu:8080/data/asl-ftp/asllvd/demos/verify_start_end_handshape_annotations//test_auto_move//signs_mov_separ_signers/Naomi_16105.mov" TargetMode="External"/><Relationship Id="rId3545" Type="http://schemas.openxmlformats.org/officeDocument/2006/relationships/hyperlink" Target="http://csr.bu.edu/ftp/asl/asllvd/demos/verify_start_end_handshape_annotations//test_auto_move//signs_mov_separ_signers/Brady_16105.mov" TargetMode="External"/><Relationship Id="rId3546" Type="http://schemas.openxmlformats.org/officeDocument/2006/relationships/hyperlink" Target="http://secrets.rutgers.edu:8080/data/asl-ftp/asllvd/demos/verify_start_end_handshape_annotations//test_auto_move//signs_mov_separ_signers/Brady_16105.mov" TargetMode="External"/><Relationship Id="rId3547" Type="http://schemas.openxmlformats.org/officeDocument/2006/relationships/hyperlink" Target="http://csr.bu.edu/ftp/asl/asllvd/demos/verify_start_end_handshape_annotations//test_auto_move//signs_mov_separ_signers/Liz_386.mov" TargetMode="External"/><Relationship Id="rId3548" Type="http://schemas.openxmlformats.org/officeDocument/2006/relationships/hyperlink" Target="http://secrets.rutgers.edu:8080/data/asl-ftp/asllvd/demos/verify_start_end_handshape_annotations//test_auto_move//signs_mov_separ_signers/Liz_386.mov" TargetMode="External"/><Relationship Id="rId3549" Type="http://schemas.openxmlformats.org/officeDocument/2006/relationships/hyperlink" Target="http://csr.bu.edu/ftp/asl/asllvd/demos/verify_start_end_handshape_annotations//test_auto_move//signs_mov_separ_signers/Liz_3694.mov" TargetMode="External"/><Relationship Id="rId3550" Type="http://schemas.openxmlformats.org/officeDocument/2006/relationships/hyperlink" Target="http://secrets.rutgers.edu:8080/data/asl-ftp/asllvd/demos/verify_start_end_handshape_annotations//test_auto_move//signs_mov_separ_signers/Liz_3694.mov" TargetMode="External"/><Relationship Id="rId3551" Type="http://schemas.openxmlformats.org/officeDocument/2006/relationships/hyperlink" Target="http://csr.bu.edu/ftp/asl/asllvd/demos/verify_start_end_handshape_annotations//test_auto_move//signs_mov/386_3694_merged.mov" TargetMode="External"/><Relationship Id="rId3552" Type="http://schemas.openxmlformats.org/officeDocument/2006/relationships/hyperlink" Target="http://csr.bu.edu/ftp/asl/asllvd/demos/verify_start_end_handshape_annotations//test_auto_move//signs_mov_separ_signers/Tyler_386.mov" TargetMode="External"/><Relationship Id="rId3553" Type="http://schemas.openxmlformats.org/officeDocument/2006/relationships/hyperlink" Target="http://secrets.rutgers.edu:8080/data/asl-ftp/asllvd/demos/verify_start_end_handshape_annotations//test_auto_move//signs_mov/386_3694_merged.mov" TargetMode="External"/><Relationship Id="rId3554" Type="http://schemas.openxmlformats.org/officeDocument/2006/relationships/hyperlink" Target="http://secrets.rutgers.edu:8080/data/asl-ftp/asllvd/demos/verify_start_end_handshape_annotations//test_auto_move//signs_mov_separ_signers/Tyler_386.mov" TargetMode="External"/><Relationship Id="rId3555" Type="http://schemas.openxmlformats.org/officeDocument/2006/relationships/hyperlink" Target="http://csr.bu.edu/ftp/asl/asllvd/demos/verify_start_end_handshape_annotations//test_auto_move//signs_mov_separ_signers/Tyler_3694.mov" TargetMode="External"/><Relationship Id="rId3556" Type="http://schemas.openxmlformats.org/officeDocument/2006/relationships/hyperlink" Target="http://secrets.rutgers.edu:8080/data/asl-ftp/asllvd/demos/verify_start_end_handshape_annotations//test_auto_move//signs_mov_separ_signers/Tyler_3694.mov" TargetMode="External"/><Relationship Id="rId3557" Type="http://schemas.openxmlformats.org/officeDocument/2006/relationships/hyperlink" Target="http://csr.bu.edu/ftp/asl/asllvd/demos/verify_start_end_handshape_annotations//test_auto_move//signs_mov_separ_signers/Naomi_386.mov" TargetMode="External"/><Relationship Id="rId3558" Type="http://schemas.openxmlformats.org/officeDocument/2006/relationships/hyperlink" Target="http://secrets.rutgers.edu:8080/data/asl-ftp/asllvd/demos/verify_start_end_handshape_annotations//test_auto_move//signs_mov_separ_signers/Naomi_386.mov" TargetMode="External"/><Relationship Id="rId3559" Type="http://schemas.openxmlformats.org/officeDocument/2006/relationships/hyperlink" Target="http://csr.bu.edu/ftp/asl/asllvd/demos/verify_start_end_handshape_annotations//test_auto_move//signs_mov_separ_signers/Brady_386.mov" TargetMode="External"/><Relationship Id="rId3560" Type="http://schemas.openxmlformats.org/officeDocument/2006/relationships/hyperlink" Target="http://secrets.rutgers.edu:8080/data/asl-ftp/asllvd/demos/verify_start_end_handshape_annotations//test_auto_move//signs_mov_separ_signers/Brady_386.mov" TargetMode="External"/><Relationship Id="rId3561" Type="http://schemas.openxmlformats.org/officeDocument/2006/relationships/hyperlink" Target="http://csr.bu.edu/ftp/asl/asllvd/demos/verify_start_end_handshape_annotations//test_auto_move//signs_mov/5906.mov" TargetMode="External"/><Relationship Id="rId3562" Type="http://schemas.openxmlformats.org/officeDocument/2006/relationships/hyperlink" Target="http://csr.bu.edu/ftp/asl/asllvd/demos/verify_start_end_handshape_annotations//test_auto_move//signs_mov_separ_signers/Liz_5906.mov" TargetMode="External"/><Relationship Id="rId3563" Type="http://schemas.openxmlformats.org/officeDocument/2006/relationships/hyperlink" Target="http://secrets.rutgers.edu:8080/data/asl-ftp/asllvd/demos/verify_start_end_handshape_annotations//test_auto_move//signs_mov/5906.mov" TargetMode="External"/><Relationship Id="rId3564" Type="http://schemas.openxmlformats.org/officeDocument/2006/relationships/hyperlink" Target="http://secrets.rutgers.edu:8080/data/asl-ftp/asllvd/demos/verify_start_end_handshape_annotations//test_auto_move//signs_mov_separ_signers/Liz_5906.mov" TargetMode="External"/><Relationship Id="rId3565" Type="http://schemas.openxmlformats.org/officeDocument/2006/relationships/hyperlink" Target="http://csr.bu.edu/ftp/asl/asllvd/demos/verify_start_end_handshape_annotations//test_auto_move//signs_mov_separ_signers/Liz_388.mov" TargetMode="External"/><Relationship Id="rId3566" Type="http://schemas.openxmlformats.org/officeDocument/2006/relationships/hyperlink" Target="http://secrets.rutgers.edu:8080/data/asl-ftp/asllvd/demos/verify_start_end_handshape_annotations//test_auto_move//signs_mov_separ_signers/Liz_388.mov" TargetMode="External"/><Relationship Id="rId3567" Type="http://schemas.openxmlformats.org/officeDocument/2006/relationships/hyperlink" Target="http://csr.bu.edu/ftp/asl/asllvd/demos/verify_start_end_handshape_annotations//test_auto_move//signs_mov_separ_signers/Liz_3472.mov" TargetMode="External"/><Relationship Id="rId3568" Type="http://schemas.openxmlformats.org/officeDocument/2006/relationships/hyperlink" Target="http://secrets.rutgers.edu:8080/data/asl-ftp/asllvd/demos/verify_start_end_handshape_annotations//test_auto_move//signs_mov_separ_signers/Liz_3472.mov" TargetMode="External"/><Relationship Id="rId3569" Type="http://schemas.openxmlformats.org/officeDocument/2006/relationships/hyperlink" Target="http://csr.bu.edu/ftp/asl/asllvd/demos/verify_start_end_handshape_annotations//test_auto_move//signs_mov_separ_signers/Tyler_388.mov" TargetMode="External"/><Relationship Id="rId3570" Type="http://schemas.openxmlformats.org/officeDocument/2006/relationships/hyperlink" Target="http://secrets.rutgers.edu:8080/data/asl-ftp/asllvd/demos/verify_start_end_handshape_annotations//test_auto_move//signs_mov_separ_signers/Tyler_388.mov" TargetMode="External"/><Relationship Id="rId3571" Type="http://schemas.openxmlformats.org/officeDocument/2006/relationships/hyperlink" Target="http://csr.bu.edu/ftp/asl/asllvd/demos/verify_start_end_handshape_annotations//test_auto_move//signs_mov/388_3472_merged.mov" TargetMode="External"/><Relationship Id="rId3572" Type="http://schemas.openxmlformats.org/officeDocument/2006/relationships/hyperlink" Target="http://csr.bu.edu/ftp/asl/asllvd/demos/verify_start_end_handshape_annotations//test_auto_move//signs_mov_separ_signers/Naomi_388.mov" TargetMode="External"/><Relationship Id="rId3573" Type="http://schemas.openxmlformats.org/officeDocument/2006/relationships/hyperlink" Target="http://secrets.rutgers.edu:8080/data/asl-ftp/asllvd/demos/verify_start_end_handshape_annotations//test_auto_move//signs_mov/388_3472_merged.mov" TargetMode="External"/><Relationship Id="rId3574" Type="http://schemas.openxmlformats.org/officeDocument/2006/relationships/hyperlink" Target="http://secrets.rutgers.edu:8080/data/asl-ftp/asllvd/demos/verify_start_end_handshape_annotations//test_auto_move//signs_mov_separ_signers/Naomi_388.mov" TargetMode="External"/><Relationship Id="rId3575" Type="http://schemas.openxmlformats.org/officeDocument/2006/relationships/hyperlink" Target="http://csr.bu.edu/ftp/asl/asllvd/demos/verify_start_end_handshape_annotations//test_auto_move//signs_mov_separ_signers/Naomi_3472.mov" TargetMode="External"/><Relationship Id="rId3576" Type="http://schemas.openxmlformats.org/officeDocument/2006/relationships/hyperlink" Target="http://secrets.rutgers.edu:8080/data/asl-ftp/asllvd/demos/verify_start_end_handshape_annotations//test_auto_move//signs_mov_separ_signers/Naomi_3472.mov" TargetMode="External"/><Relationship Id="rId3577" Type="http://schemas.openxmlformats.org/officeDocument/2006/relationships/hyperlink" Target="http://csr.bu.edu/ftp/asl/asllvd/demos/verify_start_end_handshape_annotations//test_auto_move//signs_mov_separ_signers/Brady_388.mov" TargetMode="External"/><Relationship Id="rId3578" Type="http://schemas.openxmlformats.org/officeDocument/2006/relationships/hyperlink" Target="http://secrets.rutgers.edu:8080/data/asl-ftp/asllvd/demos/verify_start_end_handshape_annotations//test_auto_move//signs_mov_separ_signers/Brady_388.mov" TargetMode="External"/><Relationship Id="rId3579" Type="http://schemas.openxmlformats.org/officeDocument/2006/relationships/hyperlink" Target="http://csr.bu.edu/ftp/asl/asllvd/demos/verify_start_end_handshape_annotations//test_auto_move//signs_mov_separ_signers/Brady_3472.mov" TargetMode="External"/><Relationship Id="rId3580" Type="http://schemas.openxmlformats.org/officeDocument/2006/relationships/hyperlink" Target="http://secrets.rutgers.edu:8080/data/asl-ftp/asllvd/demos/verify_start_end_handshape_annotations//test_auto_move//signs_mov_separ_signers/Brady_3472.mov" TargetMode="External"/><Relationship Id="rId3581" Type="http://schemas.openxmlformats.org/officeDocument/2006/relationships/hyperlink" Target="http://csr.bu.edu/ftp/asl/asllvd/demos/verify_start_end_handshape_annotations//test_auto_move//signs_mov_separ_signers/Lana_388.mov" TargetMode="External"/><Relationship Id="rId3582" Type="http://schemas.openxmlformats.org/officeDocument/2006/relationships/hyperlink" Target="http://secrets.rutgers.edu:8080/data/asl-ftp/asllvd/demos/verify_start_end_handshape_annotations//test_auto_move//signs_mov_separ_signers/Lana_388.mov" TargetMode="External"/><Relationship Id="rId3583" Type="http://schemas.openxmlformats.org/officeDocument/2006/relationships/hyperlink" Target="http://csr.bu.edu/ftp/asl/asllvd/demos/verify_start_end_handshape_annotations//test_auto_move//signs_mov_separ_signers/Liz_15316.mov" TargetMode="External"/><Relationship Id="rId3584" Type="http://schemas.openxmlformats.org/officeDocument/2006/relationships/hyperlink" Target="http://secrets.rutgers.edu:8080/data/asl-ftp/asllvd/demos/verify_start_end_handshape_annotations//test_auto_move//signs_mov_separ_signers/Liz_15316.mov" TargetMode="External"/><Relationship Id="rId3585" Type="http://schemas.openxmlformats.org/officeDocument/2006/relationships/hyperlink" Target="http://csr.bu.edu/ftp/asl/asllvd/demos/verify_start_end_handshape_annotations//test_auto_move//signs_mov/15316.mov" TargetMode="External"/><Relationship Id="rId3586" Type="http://schemas.openxmlformats.org/officeDocument/2006/relationships/hyperlink" Target="http://csr.bu.edu/ftp/asl/asllvd/demos/verify_start_end_handshape_annotations//test_auto_move//signs_mov_separ_signers/Tyler_15316.mov" TargetMode="External"/><Relationship Id="rId3587" Type="http://schemas.openxmlformats.org/officeDocument/2006/relationships/hyperlink" Target="http://secrets.rutgers.edu:8080/data/asl-ftp/asllvd/demos/verify_start_end_handshape_annotations//test_auto_move//signs_mov/15316.mov" TargetMode="External"/><Relationship Id="rId3588" Type="http://schemas.openxmlformats.org/officeDocument/2006/relationships/hyperlink" Target="http://secrets.rutgers.edu:8080/data/asl-ftp/asllvd/demos/verify_start_end_handshape_annotations//test_auto_move//signs_mov_separ_signers/Tyler_15316.mov" TargetMode="External"/><Relationship Id="rId3589" Type="http://schemas.openxmlformats.org/officeDocument/2006/relationships/hyperlink" Target="http://csr.bu.edu/ftp/asl/asllvd/demos/verify_start_end_handshape_annotations//test_auto_move//signs_mov_separ_signers/Naomi_15316.mov" TargetMode="External"/><Relationship Id="rId3590" Type="http://schemas.openxmlformats.org/officeDocument/2006/relationships/hyperlink" Target="http://secrets.rutgers.edu:8080/data/asl-ftp/asllvd/demos/verify_start_end_handshape_annotations//test_auto_move//signs_mov_separ_signers/Naomi_15316.mov" TargetMode="External"/><Relationship Id="rId3591" Type="http://schemas.openxmlformats.org/officeDocument/2006/relationships/hyperlink" Target="http://csr.bu.edu/ftp/asl/asllvd/demos/verify_start_end_handshape_annotations//test_auto_move//signs_mov_separ_signers/Brady_15316.mov" TargetMode="External"/><Relationship Id="rId3592" Type="http://schemas.openxmlformats.org/officeDocument/2006/relationships/hyperlink" Target="http://secrets.rutgers.edu:8080/data/asl-ftp/asllvd/demos/verify_start_end_handshape_annotations//test_auto_move//signs_mov_separ_signers/Brady_15316.mov" TargetMode="External"/><Relationship Id="rId3593" Type="http://schemas.openxmlformats.org/officeDocument/2006/relationships/hyperlink" Target="http://csr.bu.edu/ftp/asl/asllvd/demos/verify_start_end_handshape_annotations//test_auto_move//signs_mov/15338.mov" TargetMode="External"/><Relationship Id="rId3594" Type="http://schemas.openxmlformats.org/officeDocument/2006/relationships/hyperlink" Target="http://csr.bu.edu/ftp/asl/asllvd/demos/verify_start_end_handshape_annotations//test_auto_move//signs_mov_separ_signers/Tyler_15338.mov" TargetMode="External"/><Relationship Id="rId3595" Type="http://schemas.openxmlformats.org/officeDocument/2006/relationships/hyperlink" Target="http://secrets.rutgers.edu:8080/data/asl-ftp/asllvd/demos/verify_start_end_handshape_annotations//test_auto_move//signs_mov/15338.mov" TargetMode="External"/><Relationship Id="rId3596" Type="http://schemas.openxmlformats.org/officeDocument/2006/relationships/hyperlink" Target="http://secrets.rutgers.edu:8080/data/asl-ftp/asllvd/demos/verify_start_end_handshape_annotations//test_auto_move//signs_mov_separ_signers/Tyler_15338.mov" TargetMode="External"/><Relationship Id="rId3597" Type="http://schemas.openxmlformats.org/officeDocument/2006/relationships/hyperlink" Target="http://csr.bu.edu/ftp/asl/asllvd/demos/verify_start_end_handshape_annotations//test_auto_move//signs_mov/389.mov" TargetMode="External"/><Relationship Id="rId3598" Type="http://schemas.openxmlformats.org/officeDocument/2006/relationships/hyperlink" Target="http://csr.bu.edu/ftp/asl/asllvd/demos/verify_start_end_handshape_annotations//test_auto_move//signs_mov_separ_signers/Naomi_389.mov" TargetMode="External"/><Relationship Id="rId3599" Type="http://schemas.openxmlformats.org/officeDocument/2006/relationships/hyperlink" Target="http://secrets.rutgers.edu:8080/data/asl-ftp/asllvd/demos/verify_start_end_handshape_annotations//test_auto_move//signs_mov/389.mov" TargetMode="External"/><Relationship Id="rId3600" Type="http://schemas.openxmlformats.org/officeDocument/2006/relationships/hyperlink" Target="http://secrets.rutgers.edu:8080/data/asl-ftp/asllvd/demos/verify_start_end_handshape_annotations//test_auto_move//signs_mov_separ_signers/Naomi_389.mov" TargetMode="External"/><Relationship Id="rId3601" Type="http://schemas.openxmlformats.org/officeDocument/2006/relationships/hyperlink" Target="http://csr.bu.edu/ftp/asl/asllvd/demos/verify_start_end_handshape_annotations//test_auto_move//signs_mov/5125.mov" TargetMode="External"/><Relationship Id="rId3602" Type="http://schemas.openxmlformats.org/officeDocument/2006/relationships/hyperlink" Target="http://csr.bu.edu/ftp/asl/asllvd/demos/verify_start_end_handshape_annotations//test_auto_move//signs_mov_separ_signers/Liz_5125.mov" TargetMode="External"/><Relationship Id="rId3603" Type="http://schemas.openxmlformats.org/officeDocument/2006/relationships/hyperlink" Target="http://secrets.rutgers.edu:8080/data/asl-ftp/asllvd/demos/verify_start_end_handshape_annotations//test_auto_move//signs_mov/5125.mov" TargetMode="External"/><Relationship Id="rId3604" Type="http://schemas.openxmlformats.org/officeDocument/2006/relationships/hyperlink" Target="http://secrets.rutgers.edu:8080/data/asl-ftp/asllvd/demos/verify_start_end_handshape_annotations//test_auto_move//signs_mov_separ_signers/Liz_5125.mov" TargetMode="External"/><Relationship Id="rId3605" Type="http://schemas.openxmlformats.org/officeDocument/2006/relationships/hyperlink" Target="http://csr.bu.edu/ftp/asl/asllvd/demos/verify_start_end_handshape_annotations//test_auto_move//signs_mov/390.mov" TargetMode="External"/><Relationship Id="rId3606" Type="http://schemas.openxmlformats.org/officeDocument/2006/relationships/hyperlink" Target="http://csr.bu.edu/ftp/asl/asllvd/demos/verify_start_end_handshape_annotations//test_auto_move//signs_mov_separ_signers/Liz_390.mov" TargetMode="External"/><Relationship Id="rId3607" Type="http://schemas.openxmlformats.org/officeDocument/2006/relationships/hyperlink" Target="http://secrets.rutgers.edu:8080/data/asl-ftp/asllvd/demos/verify_start_end_handshape_annotations//test_auto_move//signs_mov/390.mov" TargetMode="External"/><Relationship Id="rId3608" Type="http://schemas.openxmlformats.org/officeDocument/2006/relationships/hyperlink" Target="http://secrets.rutgers.edu:8080/data/asl-ftp/asllvd/demos/verify_start_end_handshape_annotations//test_auto_move//signs_mov_separ_signers/Liz_390.mov" TargetMode="External"/><Relationship Id="rId3609" Type="http://schemas.openxmlformats.org/officeDocument/2006/relationships/hyperlink" Target="http://csr.bu.edu/ftp/asl/asllvd/demos/verify_start_end_handshape_annotations//test_auto_move//signs_mov_separ_signers/Brady_390.mov" TargetMode="External"/><Relationship Id="rId3610" Type="http://schemas.openxmlformats.org/officeDocument/2006/relationships/hyperlink" Target="http://secrets.rutgers.edu:8080/data/asl-ftp/asllvd/demos/verify_start_end_handshape_annotations//test_auto_move//signs_mov_separ_signers/Brady_390.mov" TargetMode="External"/><Relationship Id="rId3611" Type="http://schemas.openxmlformats.org/officeDocument/2006/relationships/hyperlink" Target="http://csr.bu.edu/ftp/asl/asllvd/demos/verify_start_end_handshape_annotations//test_auto_move//signs_mov/15319.mov" TargetMode="External"/><Relationship Id="rId3612" Type="http://schemas.openxmlformats.org/officeDocument/2006/relationships/hyperlink" Target="http://csr.bu.edu/ftp/asl/asllvd/demos/verify_start_end_handshape_annotations//test_auto_move//signs_mov_separ_signers/Brady_15319.mov" TargetMode="External"/><Relationship Id="rId3613" Type="http://schemas.openxmlformats.org/officeDocument/2006/relationships/hyperlink" Target="http://secrets.rutgers.edu:8080/data/asl-ftp/asllvd/demos/verify_start_end_handshape_annotations//test_auto_move//signs_mov/15319.mov" TargetMode="External"/><Relationship Id="rId3614" Type="http://schemas.openxmlformats.org/officeDocument/2006/relationships/hyperlink" Target="http://secrets.rutgers.edu:8080/data/asl-ftp/asllvd/demos/verify_start_end_handshape_annotations//test_auto_move//signs_mov_separ_signers/Brady_15319.mov" TargetMode="External"/><Relationship Id="rId3615" Type="http://schemas.openxmlformats.org/officeDocument/2006/relationships/hyperlink" Target="http://csr.bu.edu/ftp/asl/asllvd/demos/verify_start_end_handshape_annotations//test_auto_move//signs_mov/391.mov" TargetMode="External"/><Relationship Id="rId3616" Type="http://schemas.openxmlformats.org/officeDocument/2006/relationships/hyperlink" Target="http://csr.bu.edu/ftp/asl/asllvd/demos/verify_start_end_handshape_annotations//test_auto_move//signs_mov_separ_signers/Naomi_391.mov" TargetMode="External"/><Relationship Id="rId3617" Type="http://schemas.openxmlformats.org/officeDocument/2006/relationships/hyperlink" Target="http://secrets.rutgers.edu:8080/data/asl-ftp/asllvd/demos/verify_start_end_handshape_annotations//test_auto_move//signs_mov/391.mov" TargetMode="External"/><Relationship Id="rId3618" Type="http://schemas.openxmlformats.org/officeDocument/2006/relationships/hyperlink" Target="http://secrets.rutgers.edu:8080/data/asl-ftp/asllvd/demos/verify_start_end_handshape_annotations//test_auto_move//signs_mov_separ_signers/Naomi_391.mov" TargetMode="External"/><Relationship Id="rId3619" Type="http://schemas.openxmlformats.org/officeDocument/2006/relationships/hyperlink" Target="http://csr.bu.edu/ftp/asl/asllvd/demos/verify_start_end_handshape_annotations//test_auto_move//signs_mov_separ_signers/Brady_391.mov" TargetMode="External"/><Relationship Id="rId3620" Type="http://schemas.openxmlformats.org/officeDocument/2006/relationships/hyperlink" Target="http://secrets.rutgers.edu:8080/data/asl-ftp/asllvd/demos/verify_start_end_handshape_annotations//test_auto_move//signs_mov_separ_signers/Brady_391.mov" TargetMode="External"/><Relationship Id="rId3621" Type="http://schemas.openxmlformats.org/officeDocument/2006/relationships/hyperlink" Target="http://csr.bu.edu/ftp/asl/asllvd/demos/verify_start_end_handshape_annotations//test_auto_move//signs_mov/5126.mov" TargetMode="External"/><Relationship Id="rId3622" Type="http://schemas.openxmlformats.org/officeDocument/2006/relationships/hyperlink" Target="http://csr.bu.edu/ftp/asl/asllvd/demos/verify_start_end_handshape_annotations//test_auto_move//signs_mov_separ_signers/Tyler_5126.mov" TargetMode="External"/><Relationship Id="rId3623" Type="http://schemas.openxmlformats.org/officeDocument/2006/relationships/hyperlink" Target="http://secrets.rutgers.edu:8080/data/asl-ftp/asllvd/demos/verify_start_end_handshape_annotations//test_auto_move//signs_mov/5126.mov" TargetMode="External"/><Relationship Id="rId3624" Type="http://schemas.openxmlformats.org/officeDocument/2006/relationships/hyperlink" Target="http://secrets.rutgers.edu:8080/data/asl-ftp/asllvd/demos/verify_start_end_handshape_annotations//test_auto_move//signs_mov_separ_signers/Tyler_5126.mov" TargetMode="External"/><Relationship Id="rId3625" Type="http://schemas.openxmlformats.org/officeDocument/2006/relationships/hyperlink" Target="http://csr.bu.edu/ftp/asl/asllvd/demos/verify_start_end_handshape_annotations//test_auto_move//signs_mov/16268.mov" TargetMode="External"/><Relationship Id="rId3626" Type="http://schemas.openxmlformats.org/officeDocument/2006/relationships/hyperlink" Target="http://csr.bu.edu/ftp/asl/asllvd/demos/verify_start_end_handshape_annotations//test_auto_move//signs_mov_separ_signers/Liz_16268.mov" TargetMode="External"/><Relationship Id="rId3627" Type="http://schemas.openxmlformats.org/officeDocument/2006/relationships/hyperlink" Target="http://secrets.rutgers.edu:8080/data/asl-ftp/asllvd/demos/verify_start_end_handshape_annotations//test_auto_move//signs_mov/16268.mov" TargetMode="External"/><Relationship Id="rId3628" Type="http://schemas.openxmlformats.org/officeDocument/2006/relationships/hyperlink" Target="http://secrets.rutgers.edu:8080/data/asl-ftp/asllvd/demos/verify_start_end_handshape_annotations//test_auto_move//signs_mov_separ_signers/Liz_16268.mov" TargetMode="External"/><Relationship Id="rId3629" Type="http://schemas.openxmlformats.org/officeDocument/2006/relationships/hyperlink" Target="http://csr.bu.edu/ftp/asl/asllvd/demos/verify_start_end_handshape_annotations//test_auto_move//signs_mov_separ_signers/Liz_394.mov" TargetMode="External"/><Relationship Id="rId3630" Type="http://schemas.openxmlformats.org/officeDocument/2006/relationships/hyperlink" Target="http://secrets.rutgers.edu:8080/data/asl-ftp/asllvd/demos/verify_start_end_handshape_annotations//test_auto_move//signs_mov_separ_signers/Liz_394.mov" TargetMode="External"/><Relationship Id="rId3631" Type="http://schemas.openxmlformats.org/officeDocument/2006/relationships/hyperlink" Target="http://csr.bu.edu/ftp/asl/asllvd/demos/verify_start_end_handshape_annotations//test_auto_move//signs_mov/394.mov" TargetMode="External"/><Relationship Id="rId3632" Type="http://schemas.openxmlformats.org/officeDocument/2006/relationships/hyperlink" Target="http://csr.bu.edu/ftp/asl/asllvd/demos/verify_start_end_handshape_annotations//test_auto_move//signs_mov_separ_signers/Naomi_394.mov" TargetMode="External"/><Relationship Id="rId3633" Type="http://schemas.openxmlformats.org/officeDocument/2006/relationships/hyperlink" Target="http://secrets.rutgers.edu:8080/data/asl-ftp/asllvd/demos/verify_start_end_handshape_annotations//test_auto_move//signs_mov/394.mov" TargetMode="External"/><Relationship Id="rId3634" Type="http://schemas.openxmlformats.org/officeDocument/2006/relationships/hyperlink" Target="http://secrets.rutgers.edu:8080/data/asl-ftp/asllvd/demos/verify_start_end_handshape_annotations//test_auto_move//signs_mov_separ_signers/Naomi_394.mov" TargetMode="External"/><Relationship Id="rId3635" Type="http://schemas.openxmlformats.org/officeDocument/2006/relationships/hyperlink" Target="http://csr.bu.edu/ftp/asl/asllvd/demos/verify_start_end_handshape_annotations//test_auto_move//signs_mov_separ_signers/Lana_394.mov" TargetMode="External"/><Relationship Id="rId3636" Type="http://schemas.openxmlformats.org/officeDocument/2006/relationships/hyperlink" Target="http://secrets.rutgers.edu:8080/data/asl-ftp/asllvd/demos/verify_start_end_handshape_annotations//test_auto_move//signs_mov_separ_signers/Lana_394.mov" TargetMode="External"/><Relationship Id="rId3637" Type="http://schemas.openxmlformats.org/officeDocument/2006/relationships/hyperlink" Target="http://csr.bu.edu/ftp/asl/asllvd/demos/verify_start_end_handshape_annotations//test_auto_move//signs_mov_separ_signers/Dana_394.mov" TargetMode="External"/><Relationship Id="rId3638" Type="http://schemas.openxmlformats.org/officeDocument/2006/relationships/hyperlink" Target="http://secrets.rutgers.edu:8080/data/asl-ftp/asllvd/demos/verify_start_end_handshape_annotations//test_auto_move//signs_mov_separ_signers/Dana_394.mov" TargetMode="External"/><Relationship Id="rId3639" Type="http://schemas.openxmlformats.org/officeDocument/2006/relationships/hyperlink" Target="http://csr.bu.edu/ftp/asl/asllvd/demos/verify_start_end_handshape_annotations//test_auto_move//signs_mov_separ_signers/Liz_3370.mov" TargetMode="External"/><Relationship Id="rId3640" Type="http://schemas.openxmlformats.org/officeDocument/2006/relationships/hyperlink" Target="http://secrets.rutgers.edu:8080/data/asl-ftp/asllvd/demos/verify_start_end_handshape_annotations//test_auto_move//signs_mov_separ_signers/Liz_3370.mov" TargetMode="External"/><Relationship Id="rId3641" Type="http://schemas.openxmlformats.org/officeDocument/2006/relationships/hyperlink" Target="http://csr.bu.edu/ftp/asl/asllvd/demos/verify_start_end_handshape_annotations//test_auto_move//signs_mov/3370_5609_merged.mov" TargetMode="External"/><Relationship Id="rId3642" Type="http://schemas.openxmlformats.org/officeDocument/2006/relationships/hyperlink" Target="http://csr.bu.edu/ftp/asl/asllvd/demos/verify_start_end_handshape_annotations//test_auto_move//signs_mov_separ_signers/Brady_3370.mov" TargetMode="External"/><Relationship Id="rId3643" Type="http://schemas.openxmlformats.org/officeDocument/2006/relationships/hyperlink" Target="http://secrets.rutgers.edu:8080/data/asl-ftp/asllvd/demos/verify_start_end_handshape_annotations//test_auto_move//signs_mov/3370_5609_merged.mov" TargetMode="External"/><Relationship Id="rId3644" Type="http://schemas.openxmlformats.org/officeDocument/2006/relationships/hyperlink" Target="http://secrets.rutgers.edu:8080/data/asl-ftp/asllvd/demos/verify_start_end_handshape_annotations//test_auto_move//signs_mov_separ_signers/Brady_3370.mov" TargetMode="External"/><Relationship Id="rId3645" Type="http://schemas.openxmlformats.org/officeDocument/2006/relationships/hyperlink" Target="http://csr.bu.edu/ftp/asl/asllvd/demos/verify_start_end_handshape_annotations//test_auto_move//signs_mov_separ_signers/Brady_5609.mov" TargetMode="External"/><Relationship Id="rId3646" Type="http://schemas.openxmlformats.org/officeDocument/2006/relationships/hyperlink" Target="http://secrets.rutgers.edu:8080/data/asl-ftp/asllvd/demos/verify_start_end_handshape_annotations//test_auto_move//signs_mov_separ_signers/Brady_5609.mov" TargetMode="External"/><Relationship Id="rId3647" Type="http://schemas.openxmlformats.org/officeDocument/2006/relationships/hyperlink" Target="http://csr.bu.edu/ftp/asl/asllvd/demos/verify_start_end_handshape_annotations//test_auto_move//signs_mov/16534.mov" TargetMode="External"/><Relationship Id="rId3648" Type="http://schemas.openxmlformats.org/officeDocument/2006/relationships/hyperlink" Target="http://csr.bu.edu/ftp/asl/asllvd/demos/verify_start_end_handshape_annotations//test_auto_move//signs_mov_separ_signers/Tyler_16534.mov" TargetMode="External"/><Relationship Id="rId3649" Type="http://schemas.openxmlformats.org/officeDocument/2006/relationships/hyperlink" Target="http://secrets.rutgers.edu:8080/data/asl-ftp/asllvd/demos/verify_start_end_handshape_annotations//test_auto_move//signs_mov/16534.mov" TargetMode="External"/><Relationship Id="rId3650" Type="http://schemas.openxmlformats.org/officeDocument/2006/relationships/hyperlink" Target="http://secrets.rutgers.edu:8080/data/asl-ftp/asllvd/demos/verify_start_end_handshape_annotations//test_auto_move//signs_mov_separ_signers/Tyler_16534.mov" TargetMode="External"/><Relationship Id="rId3651" Type="http://schemas.openxmlformats.org/officeDocument/2006/relationships/hyperlink" Target="http://csr.bu.edu/ftp/asl/asllvd/demos/verify_start_end_handshape_annotations//test_auto_move//signs_mov/395.mov" TargetMode="External"/><Relationship Id="rId3652" Type="http://schemas.openxmlformats.org/officeDocument/2006/relationships/hyperlink" Target="http://csr.bu.edu/ftp/asl/asllvd/demos/verify_start_end_handshape_annotations//test_auto_move//signs_mov_separ_signers/Tyler_395.mov" TargetMode="External"/><Relationship Id="rId3653" Type="http://schemas.openxmlformats.org/officeDocument/2006/relationships/hyperlink" Target="http://secrets.rutgers.edu:8080/data/asl-ftp/asllvd/demos/verify_start_end_handshape_annotations//test_auto_move//signs_mov/395.mov" TargetMode="External"/><Relationship Id="rId3654" Type="http://schemas.openxmlformats.org/officeDocument/2006/relationships/hyperlink" Target="http://secrets.rutgers.edu:8080/data/asl-ftp/asllvd/demos/verify_start_end_handshape_annotations//test_auto_move//signs_mov_separ_signers/Tyler_395.mov" TargetMode="External"/><Relationship Id="rId3655" Type="http://schemas.openxmlformats.org/officeDocument/2006/relationships/hyperlink" Target="http://csr.bu.edu/ftp/asl/asllvd/demos/verify_start_end_handshape_annotations//test_auto_move//signs_mov/5610.mov" TargetMode="External"/><Relationship Id="rId3656" Type="http://schemas.openxmlformats.org/officeDocument/2006/relationships/hyperlink" Target="http://csr.bu.edu/ftp/asl/asllvd/demos/verify_start_end_handshape_annotations//test_auto_move//signs_mov_separ_signers/Liz_5610.mov" TargetMode="External"/><Relationship Id="rId3657" Type="http://schemas.openxmlformats.org/officeDocument/2006/relationships/hyperlink" Target="http://secrets.rutgers.edu:8080/data/asl-ftp/asllvd/demos/verify_start_end_handshape_annotations//test_auto_move//signs_mov/5610.mov" TargetMode="External"/><Relationship Id="rId3658" Type="http://schemas.openxmlformats.org/officeDocument/2006/relationships/hyperlink" Target="http://secrets.rutgers.edu:8080/data/asl-ftp/asllvd/demos/verify_start_end_handshape_annotations//test_auto_move//signs_mov_separ_signers/Liz_5610.mov" TargetMode="External"/><Relationship Id="rId3659" Type="http://schemas.openxmlformats.org/officeDocument/2006/relationships/hyperlink" Target="http://csr.bu.edu/ftp/asl/asllvd/demos/verify_start_end_handshape_annotations//test_auto_move//signs_mov/5611.mov" TargetMode="External"/><Relationship Id="rId3660" Type="http://schemas.openxmlformats.org/officeDocument/2006/relationships/hyperlink" Target="http://csr.bu.edu/ftp/asl/asllvd/demos/verify_start_end_handshape_annotations//test_auto_move//signs_mov_separ_signers/Brady_5611.mov" TargetMode="External"/><Relationship Id="rId3661" Type="http://schemas.openxmlformats.org/officeDocument/2006/relationships/hyperlink" Target="http://secrets.rutgers.edu:8080/data/asl-ftp/asllvd/demos/verify_start_end_handshape_annotations//test_auto_move//signs_mov/5611.mov" TargetMode="External"/><Relationship Id="rId3662" Type="http://schemas.openxmlformats.org/officeDocument/2006/relationships/hyperlink" Target="http://secrets.rutgers.edu:8080/data/asl-ftp/asllvd/demos/verify_start_end_handshape_annotations//test_auto_move//signs_mov_separ_signers/Brady_5611.mov" TargetMode="External"/><Relationship Id="rId3663" Type="http://schemas.openxmlformats.org/officeDocument/2006/relationships/hyperlink" Target="http://csr.bu.edu/ftp/asl/asllvd/demos/verify_start_end_handshape_annotations//test_auto_move//signs_mov/396.mov" TargetMode="External"/><Relationship Id="rId3664" Type="http://schemas.openxmlformats.org/officeDocument/2006/relationships/hyperlink" Target="http://csr.bu.edu/ftp/asl/asllvd/demos/verify_start_end_handshape_annotations//test_auto_move//signs_mov_separ_signers/Liz_396.mov" TargetMode="External"/><Relationship Id="rId3665" Type="http://schemas.openxmlformats.org/officeDocument/2006/relationships/hyperlink" Target="http://secrets.rutgers.edu:8080/data/asl-ftp/asllvd/demos/verify_start_end_handshape_annotations//test_auto_move//signs_mov/396.mov" TargetMode="External"/><Relationship Id="rId3666" Type="http://schemas.openxmlformats.org/officeDocument/2006/relationships/hyperlink" Target="http://secrets.rutgers.edu:8080/data/asl-ftp/asllvd/demos/verify_start_end_handshape_annotations//test_auto_move//signs_mov_separ_signers/Liz_396.mov" TargetMode="External"/><Relationship Id="rId3667" Type="http://schemas.openxmlformats.org/officeDocument/2006/relationships/hyperlink" Target="http://csr.bu.edu/ftp/asl/asllvd/demos/verify_start_end_handshape_annotations//test_auto_move//signs_mov_separ_signers/Brady_396.mov" TargetMode="External"/><Relationship Id="rId3668" Type="http://schemas.openxmlformats.org/officeDocument/2006/relationships/hyperlink" Target="http://secrets.rutgers.edu:8080/data/asl-ftp/asllvd/demos/verify_start_end_handshape_annotations//test_auto_move//signs_mov_separ_signers/Brady_396.mov" TargetMode="External"/><Relationship Id="rId3669" Type="http://schemas.openxmlformats.org/officeDocument/2006/relationships/hyperlink" Target="http://csr.bu.edu/ftp/asl/asllvd/demos/verify_start_end_handshape_annotations//test_auto_move//signs_mov/15467.mov" TargetMode="External"/><Relationship Id="rId3670" Type="http://schemas.openxmlformats.org/officeDocument/2006/relationships/hyperlink" Target="http://csr.bu.edu/ftp/asl/asllvd/demos/verify_start_end_handshape_annotations//test_auto_move//signs_mov_separ_signers/Tyler_15467.mov" TargetMode="External"/><Relationship Id="rId3671" Type="http://schemas.openxmlformats.org/officeDocument/2006/relationships/hyperlink" Target="http://secrets.rutgers.edu:8080/data/asl-ftp/asllvd/demos/verify_start_end_handshape_annotations//test_auto_move//signs_mov/15467.mov" TargetMode="External"/><Relationship Id="rId3672" Type="http://schemas.openxmlformats.org/officeDocument/2006/relationships/hyperlink" Target="http://secrets.rutgers.edu:8080/data/asl-ftp/asllvd/demos/verify_start_end_handshape_annotations//test_auto_move//signs_mov_separ_signers/Tyler_15467.mov" TargetMode="External"/><Relationship Id="rId3673" Type="http://schemas.openxmlformats.org/officeDocument/2006/relationships/hyperlink" Target="http://csr.bu.edu/ftp/asl/asllvd/demos/verify_start_end_handshape_annotations//test_auto_move//signs_mov_separ_signers/Naomi_15467.mov" TargetMode="External"/><Relationship Id="rId3674" Type="http://schemas.openxmlformats.org/officeDocument/2006/relationships/hyperlink" Target="http://secrets.rutgers.edu:8080/data/asl-ftp/asllvd/demos/verify_start_end_handshape_annotations//test_auto_move//signs_mov_separ_signers/Naomi_15467.mov" TargetMode="External"/><Relationship Id="rId3675" Type="http://schemas.openxmlformats.org/officeDocument/2006/relationships/hyperlink" Target="http://csr.bu.edu/ftp/asl/asllvd/demos/verify_start_end_handshape_annotations//test_auto_move//signs_mov_separ_signers/Liz_15572.mov" TargetMode="External"/><Relationship Id="rId3676" Type="http://schemas.openxmlformats.org/officeDocument/2006/relationships/hyperlink" Target="http://secrets.rutgers.edu:8080/data/asl-ftp/asllvd/demos/verify_start_end_handshape_annotations//test_auto_move//signs_mov_separ_signers/Liz_15572.mov" TargetMode="External"/><Relationship Id="rId3677" Type="http://schemas.openxmlformats.org/officeDocument/2006/relationships/hyperlink" Target="http://csr.bu.edu/ftp/asl/asllvd/demos/verify_start_end_handshape_annotations//test_auto_move//signs_mov_separ_signers/Liz_15606.mov" TargetMode="External"/><Relationship Id="rId3678" Type="http://schemas.openxmlformats.org/officeDocument/2006/relationships/hyperlink" Target="http://secrets.rutgers.edu:8080/data/asl-ftp/asllvd/demos/verify_start_end_handshape_annotations//test_auto_move//signs_mov_separ_signers/Liz_15606.mov" TargetMode="External"/><Relationship Id="rId3679" Type="http://schemas.openxmlformats.org/officeDocument/2006/relationships/hyperlink" Target="http://csr.bu.edu/ftp/asl/asllvd/demos/verify_start_end_handshape_annotations//test_auto_move//signs_mov/15572_15606_merged.mov" TargetMode="External"/><Relationship Id="rId3680" Type="http://schemas.openxmlformats.org/officeDocument/2006/relationships/hyperlink" Target="http://csr.bu.edu/ftp/asl/asllvd/demos/verify_start_end_handshape_annotations//test_auto_move//signs_mov_separ_signers/Tyler_15572.mov" TargetMode="External"/><Relationship Id="rId3681" Type="http://schemas.openxmlformats.org/officeDocument/2006/relationships/hyperlink" Target="http://secrets.rutgers.edu:8080/data/asl-ftp/asllvd/demos/verify_start_end_handshape_annotations//test_auto_move//signs_mov/15572_15606_merged.mov" TargetMode="External"/><Relationship Id="rId3682" Type="http://schemas.openxmlformats.org/officeDocument/2006/relationships/hyperlink" Target="http://secrets.rutgers.edu:8080/data/asl-ftp/asllvd/demos/verify_start_end_handshape_annotations//test_auto_move//signs_mov_separ_signers/Tyler_15572.mov" TargetMode="External"/><Relationship Id="rId3683" Type="http://schemas.openxmlformats.org/officeDocument/2006/relationships/hyperlink" Target="http://csr.bu.edu/ftp/asl/asllvd/demos/verify_start_end_handshape_annotations//test_auto_move//signs_mov_separ_signers/Naomi_15572.mov" TargetMode="External"/><Relationship Id="rId3684" Type="http://schemas.openxmlformats.org/officeDocument/2006/relationships/hyperlink" Target="http://secrets.rutgers.edu:8080/data/asl-ftp/asllvd/demos/verify_start_end_handshape_annotations//test_auto_move//signs_mov_separ_signers/Naomi_15572.mov" TargetMode="External"/><Relationship Id="rId3685" Type="http://schemas.openxmlformats.org/officeDocument/2006/relationships/hyperlink" Target="http://csr.bu.edu/ftp/asl/asllvd/demos/verify_start_end_handshape_annotations//test_auto_move//signs_mov_separ_signers/Brady_15572.mov" TargetMode="External"/><Relationship Id="rId3686" Type="http://schemas.openxmlformats.org/officeDocument/2006/relationships/hyperlink" Target="http://secrets.rutgers.edu:8080/data/asl-ftp/asllvd/demos/verify_start_end_handshape_annotations//test_auto_move//signs_mov_separ_signers/Brady_15572.mov" TargetMode="External"/><Relationship Id="rId3687" Type="http://schemas.openxmlformats.org/officeDocument/2006/relationships/hyperlink" Target="http://csr.bu.edu/ftp/asl/asllvd/demos/verify_start_end_handshape_annotations//test_auto_move//signs_mov_separ_signers/Brady_15606.mov" TargetMode="External"/><Relationship Id="rId3688" Type="http://schemas.openxmlformats.org/officeDocument/2006/relationships/hyperlink" Target="http://secrets.rutgers.edu:8080/data/asl-ftp/asllvd/demos/verify_start_end_handshape_annotations//test_auto_move//signs_mov_separ_signers/Brady_15606.mov" TargetMode="External"/><Relationship Id="rId3689" Type="http://schemas.openxmlformats.org/officeDocument/2006/relationships/hyperlink" Target="http://csr.bu.edu/ftp/asl/asllvd/demos/verify_start_end_handshape_annotations//test_auto_move//signs_mov_separ_signers/Liz_397.mov" TargetMode="External"/><Relationship Id="rId3690" Type="http://schemas.openxmlformats.org/officeDocument/2006/relationships/hyperlink" Target="http://secrets.rutgers.edu:8080/data/asl-ftp/asllvd/demos/verify_start_end_handshape_annotations//test_auto_move//signs_mov_separ_signers/Liz_397.mov" TargetMode="External"/><Relationship Id="rId3691" Type="http://schemas.openxmlformats.org/officeDocument/2006/relationships/hyperlink" Target="http://csr.bu.edu/ftp/asl/asllvd/demos/verify_start_end_handshape_annotations//test_auto_move//signs_mov/397.mov" TargetMode="External"/><Relationship Id="rId3692" Type="http://schemas.openxmlformats.org/officeDocument/2006/relationships/hyperlink" Target="http://csr.bu.edu/ftp/asl/asllvd/demos/verify_start_end_handshape_annotations//test_auto_move//signs_mov_separ_signers/Naomi_397.mov" TargetMode="External"/><Relationship Id="rId3693" Type="http://schemas.openxmlformats.org/officeDocument/2006/relationships/hyperlink" Target="http://secrets.rutgers.edu:8080/data/asl-ftp/asllvd/demos/verify_start_end_handshape_annotations//test_auto_move//signs_mov/397.mov" TargetMode="External"/><Relationship Id="rId3694" Type="http://schemas.openxmlformats.org/officeDocument/2006/relationships/hyperlink" Target="http://secrets.rutgers.edu:8080/data/asl-ftp/asllvd/demos/verify_start_end_handshape_annotations//test_auto_move//signs_mov_separ_signers/Naomi_397.mov" TargetMode="External"/><Relationship Id="rId3695" Type="http://schemas.openxmlformats.org/officeDocument/2006/relationships/hyperlink" Target="http://csr.bu.edu/ftp/asl/asllvd/demos/verify_start_end_handshape_annotations//test_auto_move//signs_mov_separ_signers/Brady_397.mov" TargetMode="External"/><Relationship Id="rId3696" Type="http://schemas.openxmlformats.org/officeDocument/2006/relationships/hyperlink" Target="http://secrets.rutgers.edu:8080/data/asl-ftp/asllvd/demos/verify_start_end_handshape_annotations//test_auto_move//signs_mov_separ_signers/Brady_397.mov" TargetMode="External"/><Relationship Id="rId3697" Type="http://schemas.openxmlformats.org/officeDocument/2006/relationships/hyperlink" Target="http://csr.bu.edu/ftp/asl/asllvd/demos/verify_start_end_handshape_annotations//test_auto_move//signs_mov_separ_signers/Liz_3874.mov" TargetMode="External"/><Relationship Id="rId3698" Type="http://schemas.openxmlformats.org/officeDocument/2006/relationships/hyperlink" Target="http://secrets.rutgers.edu:8080/data/asl-ftp/asllvd/demos/verify_start_end_handshape_annotations//test_auto_move//signs_mov_separ_signers/Liz_3874.mov" TargetMode="External"/><Relationship Id="rId3699" Type="http://schemas.openxmlformats.org/officeDocument/2006/relationships/hyperlink" Target="http://csr.bu.edu/ftp/asl/asllvd/demos/verify_start_end_handshape_annotations//test_auto_move//signs_mov/3874.mov" TargetMode="External"/><Relationship Id="rId3700" Type="http://schemas.openxmlformats.org/officeDocument/2006/relationships/hyperlink" Target="http://csr.bu.edu/ftp/asl/asllvd/demos/verify_start_end_handshape_annotations//test_auto_move//signs_mov_separ_signers/Tyler_3874.mov" TargetMode="External"/><Relationship Id="rId3701" Type="http://schemas.openxmlformats.org/officeDocument/2006/relationships/hyperlink" Target="http://secrets.rutgers.edu:8080/data/asl-ftp/asllvd/demos/verify_start_end_handshape_annotations//test_auto_move//signs_mov/3874.mov" TargetMode="External"/><Relationship Id="rId3702" Type="http://schemas.openxmlformats.org/officeDocument/2006/relationships/hyperlink" Target="http://secrets.rutgers.edu:8080/data/asl-ftp/asllvd/demos/verify_start_end_handshape_annotations//test_auto_move//signs_mov_separ_signers/Tyler_3874.mov" TargetMode="External"/><Relationship Id="rId3703" Type="http://schemas.openxmlformats.org/officeDocument/2006/relationships/hyperlink" Target="http://csr.bu.edu/ftp/asl/asllvd/demos/verify_start_end_handshape_annotations//test_auto_move//signs_mov_separ_signers/Brady_3874.mov" TargetMode="External"/><Relationship Id="rId3704" Type="http://schemas.openxmlformats.org/officeDocument/2006/relationships/hyperlink" Target="http://secrets.rutgers.edu:8080/data/asl-ftp/asllvd/demos/verify_start_end_handshape_annotations//test_auto_move//signs_mov_separ_signers/Brady_3874.mov" TargetMode="External"/><Relationship Id="rId3705" Type="http://schemas.openxmlformats.org/officeDocument/2006/relationships/hyperlink" Target="http://csr.bu.edu/ftp/asl/asllvd/demos/verify_start_end_handshape_annotations//test_auto_move//signs_mov_separ_signers/Liz_398.mov" TargetMode="External"/><Relationship Id="rId3706" Type="http://schemas.openxmlformats.org/officeDocument/2006/relationships/hyperlink" Target="http://secrets.rutgers.edu:8080/data/asl-ftp/asllvd/demos/verify_start_end_handshape_annotations//test_auto_move//signs_mov_separ_signers/Liz_398.mov" TargetMode="External"/><Relationship Id="rId3707" Type="http://schemas.openxmlformats.org/officeDocument/2006/relationships/hyperlink" Target="http://csr.bu.edu/ftp/asl/asllvd/demos/verify_start_end_handshape_annotations//test_auto_move//signs_mov/398.mov" TargetMode="External"/><Relationship Id="rId3708" Type="http://schemas.openxmlformats.org/officeDocument/2006/relationships/hyperlink" Target="http://csr.bu.edu/ftp/asl/asllvd/demos/verify_start_end_handshape_annotations//test_auto_move//signs_mov_separ_signers/Tyler_398.mov" TargetMode="External"/><Relationship Id="rId3709" Type="http://schemas.openxmlformats.org/officeDocument/2006/relationships/hyperlink" Target="http://secrets.rutgers.edu:8080/data/asl-ftp/asllvd/demos/verify_start_end_handshape_annotations//test_auto_move//signs_mov/398.mov" TargetMode="External"/><Relationship Id="rId3710" Type="http://schemas.openxmlformats.org/officeDocument/2006/relationships/hyperlink" Target="http://secrets.rutgers.edu:8080/data/asl-ftp/asllvd/demos/verify_start_end_handshape_annotations//test_auto_move//signs_mov_separ_signers/Tyler_398.mov" TargetMode="External"/><Relationship Id="rId3711" Type="http://schemas.openxmlformats.org/officeDocument/2006/relationships/hyperlink" Target="http://csr.bu.edu/ftp/asl/asllvd/demos/verify_start_end_handshape_annotations//test_auto_move//signs_mov_separ_signers/Naomi_398.mov" TargetMode="External"/><Relationship Id="rId3712" Type="http://schemas.openxmlformats.org/officeDocument/2006/relationships/hyperlink" Target="http://secrets.rutgers.edu:8080/data/asl-ftp/asllvd/demos/verify_start_end_handshape_annotations//test_auto_move//signs_mov_separ_signers/Naomi_398.mov" TargetMode="External"/><Relationship Id="rId3713" Type="http://schemas.openxmlformats.org/officeDocument/2006/relationships/hyperlink" Target="http://csr.bu.edu/ftp/asl/asllvd/demos/verify_start_end_handshape_annotations//test_auto_move//signs_mov_separ_signers/Liz_399.mov" TargetMode="External"/><Relationship Id="rId3714" Type="http://schemas.openxmlformats.org/officeDocument/2006/relationships/hyperlink" Target="http://secrets.rutgers.edu:8080/data/asl-ftp/asllvd/demos/verify_start_end_handshape_annotations//test_auto_move//signs_mov_separ_signers/Liz_399.mov" TargetMode="External"/><Relationship Id="rId3715" Type="http://schemas.openxmlformats.org/officeDocument/2006/relationships/hyperlink" Target="http://csr.bu.edu/ftp/asl/asllvd/demos/verify_start_end_handshape_annotations//test_auto_move//signs_mov/399.mov" TargetMode="External"/><Relationship Id="rId3716" Type="http://schemas.openxmlformats.org/officeDocument/2006/relationships/hyperlink" Target="http://csr.bu.edu/ftp/asl/asllvd/demos/verify_start_end_handshape_annotations//test_auto_move//signs_mov_separ_signers/Tyler_399.mov" TargetMode="External"/><Relationship Id="rId3717" Type="http://schemas.openxmlformats.org/officeDocument/2006/relationships/hyperlink" Target="http://secrets.rutgers.edu:8080/data/asl-ftp/asllvd/demos/verify_start_end_handshape_annotations//test_auto_move//signs_mov/399.mov" TargetMode="External"/><Relationship Id="rId3718" Type="http://schemas.openxmlformats.org/officeDocument/2006/relationships/hyperlink" Target="http://secrets.rutgers.edu:8080/data/asl-ftp/asllvd/demos/verify_start_end_handshape_annotations//test_auto_move//signs_mov_separ_signers/Tyler_399.mov" TargetMode="External"/><Relationship Id="rId3719" Type="http://schemas.openxmlformats.org/officeDocument/2006/relationships/hyperlink" Target="http://csr.bu.edu/ftp/asl/asllvd/demos/verify_start_end_handshape_annotations//test_auto_move//signs_mov_separ_signers/Naomi_399.mov" TargetMode="External"/><Relationship Id="rId3720" Type="http://schemas.openxmlformats.org/officeDocument/2006/relationships/hyperlink" Target="http://secrets.rutgers.edu:8080/data/asl-ftp/asllvd/demos/verify_start_end_handshape_annotations//test_auto_move//signs_mov_separ_signers/Naomi_399.mov" TargetMode="External"/><Relationship Id="rId3721" Type="http://schemas.openxmlformats.org/officeDocument/2006/relationships/hyperlink" Target="http://csr.bu.edu/ftp/asl/asllvd/demos/verify_start_end_handshape_annotations//test_auto_move//signs_mov_separ_signers/Brady_399.mov" TargetMode="External"/><Relationship Id="rId3722" Type="http://schemas.openxmlformats.org/officeDocument/2006/relationships/hyperlink" Target="http://secrets.rutgers.edu:8080/data/asl-ftp/asllvd/demos/verify_start_end_handshape_annotations//test_auto_move//signs_mov_separ_signers/Brady_399.mov" TargetMode="External"/><Relationship Id="rId3723" Type="http://schemas.openxmlformats.org/officeDocument/2006/relationships/hyperlink" Target="http://csr.bu.edu/ftp/asl/asllvd/demos/verify_start_end_handshape_annotations//test_auto_move//signs_mov_separ_signers/Liz_401.mov" TargetMode="External"/><Relationship Id="rId3724" Type="http://schemas.openxmlformats.org/officeDocument/2006/relationships/hyperlink" Target="http://secrets.rutgers.edu:8080/data/asl-ftp/asllvd/demos/verify_start_end_handshape_annotations//test_auto_move//signs_mov_separ_signers/Liz_401.mov" TargetMode="External"/><Relationship Id="rId3725" Type="http://schemas.openxmlformats.org/officeDocument/2006/relationships/hyperlink" Target="http://csr.bu.edu/ftp/asl/asllvd/demos/verify_start_end_handshape_annotations//test_auto_move//signs_mov_separ_signers/Liz_5651.mov" TargetMode="External"/><Relationship Id="rId3726" Type="http://schemas.openxmlformats.org/officeDocument/2006/relationships/hyperlink" Target="http://secrets.rutgers.edu:8080/data/asl-ftp/asllvd/demos/verify_start_end_handshape_annotations//test_auto_move//signs_mov_separ_signers/Liz_5651.mov" TargetMode="External"/><Relationship Id="rId3727" Type="http://schemas.openxmlformats.org/officeDocument/2006/relationships/hyperlink" Target="http://csr.bu.edu/ftp/asl/asllvd/demos/verify_start_end_handshape_annotations//test_auto_move//signs_mov/401_5651_merged.mov" TargetMode="External"/><Relationship Id="rId3728" Type="http://schemas.openxmlformats.org/officeDocument/2006/relationships/hyperlink" Target="http://csr.bu.edu/ftp/asl/asllvd/demos/verify_start_end_handshape_annotations//test_auto_move//signs_mov_separ_signers/Tyler_401.mov" TargetMode="External"/><Relationship Id="rId3729" Type="http://schemas.openxmlformats.org/officeDocument/2006/relationships/hyperlink" Target="http://secrets.rutgers.edu:8080/data/asl-ftp/asllvd/demos/verify_start_end_handshape_annotations//test_auto_move//signs_mov/401_5651_merged.mov" TargetMode="External"/><Relationship Id="rId3730" Type="http://schemas.openxmlformats.org/officeDocument/2006/relationships/hyperlink" Target="http://secrets.rutgers.edu:8080/data/asl-ftp/asllvd/demos/verify_start_end_handshape_annotations//test_auto_move//signs_mov_separ_signers/Tyler_401.mov" TargetMode="External"/><Relationship Id="rId3731" Type="http://schemas.openxmlformats.org/officeDocument/2006/relationships/hyperlink" Target="http://csr.bu.edu/ftp/asl/asllvd/demos/verify_start_end_handshape_annotations//test_auto_move//signs_mov_separ_signers/Brady_401.mov" TargetMode="External"/><Relationship Id="rId3732" Type="http://schemas.openxmlformats.org/officeDocument/2006/relationships/hyperlink" Target="http://secrets.rutgers.edu:8080/data/asl-ftp/asllvd/demos/verify_start_end_handshape_annotations//test_auto_move//signs_mov_separ_signers/Brady_401.mov" TargetMode="External"/><Relationship Id="rId3733" Type="http://schemas.openxmlformats.org/officeDocument/2006/relationships/hyperlink" Target="http://csr.bu.edu/ftp/asl/asllvd/demos/verify_start_end_handshape_annotations//test_auto_move//signs_mov_separ_signers/Brady_5651.mov" TargetMode="External"/><Relationship Id="rId3734" Type="http://schemas.openxmlformats.org/officeDocument/2006/relationships/hyperlink" Target="http://secrets.rutgers.edu:8080/data/asl-ftp/asllvd/demos/verify_start_end_handshape_annotations//test_auto_move//signs_mov_separ_signers/Brady_5651.mov" TargetMode="External"/><Relationship Id="rId3735" Type="http://schemas.openxmlformats.org/officeDocument/2006/relationships/hyperlink" Target="http://csr.bu.edu/ftp/asl/asllvd/demos/verify_start_end_handshape_annotations//test_auto_move//signs_mov/16192.mov" TargetMode="External"/><Relationship Id="rId3736" Type="http://schemas.openxmlformats.org/officeDocument/2006/relationships/hyperlink" Target="http://csr.bu.edu/ftp/asl/asllvd/demos/verify_start_end_handshape_annotations//test_auto_move//signs_mov_separ_signers/Naomi_16192.mov" TargetMode="External"/><Relationship Id="rId3737" Type="http://schemas.openxmlformats.org/officeDocument/2006/relationships/hyperlink" Target="http://secrets.rutgers.edu:8080/data/asl-ftp/asllvd/demos/verify_start_end_handshape_annotations//test_auto_move//signs_mov/16192.mov" TargetMode="External"/><Relationship Id="rId3738" Type="http://schemas.openxmlformats.org/officeDocument/2006/relationships/hyperlink" Target="http://secrets.rutgers.edu:8080/data/asl-ftp/asllvd/demos/verify_start_end_handshape_annotations//test_auto_move//signs_mov_separ_signers/Naomi_16192.mov" TargetMode="External"/><Relationship Id="rId3739" Type="http://schemas.openxmlformats.org/officeDocument/2006/relationships/hyperlink" Target="http://csr.bu.edu/ftp/asl/asllvd/demos/verify_start_end_handshape_annotations//test_auto_move//signs_mov/16535.mov" TargetMode="External"/><Relationship Id="rId3740" Type="http://schemas.openxmlformats.org/officeDocument/2006/relationships/hyperlink" Target="http://csr.bu.edu/ftp/asl/asllvd/demos/verify_start_end_handshape_annotations//test_auto_move//signs_mov_separ_signers/Liz_16535.mov" TargetMode="External"/><Relationship Id="rId3741" Type="http://schemas.openxmlformats.org/officeDocument/2006/relationships/hyperlink" Target="http://secrets.rutgers.edu:8080/data/asl-ftp/asllvd/demos/verify_start_end_handshape_annotations//test_auto_move//signs_mov/16535.mov" TargetMode="External"/><Relationship Id="rId3742" Type="http://schemas.openxmlformats.org/officeDocument/2006/relationships/hyperlink" Target="http://secrets.rutgers.edu:8080/data/asl-ftp/asllvd/demos/verify_start_end_handshape_annotations//test_auto_move//signs_mov_separ_signers/Liz_16535.mov" TargetMode="External"/><Relationship Id="rId3743" Type="http://schemas.openxmlformats.org/officeDocument/2006/relationships/hyperlink" Target="http://csr.bu.edu/ftp/asl/asllvd/demos/verify_start_end_handshape_annotations//test_auto_move//signs_mov_separ_signers/Brady_16535.mov" TargetMode="External"/><Relationship Id="rId3744" Type="http://schemas.openxmlformats.org/officeDocument/2006/relationships/hyperlink" Target="http://secrets.rutgers.edu:8080/data/asl-ftp/asllvd/demos/verify_start_end_handshape_annotations//test_auto_move//signs_mov_separ_signers/Brady_16535.mov" TargetMode="External"/><Relationship Id="rId3745" Type="http://schemas.openxmlformats.org/officeDocument/2006/relationships/hyperlink" Target="http://csr.bu.edu/ftp/asl/asllvd/demos/verify_start_end_handshape_annotations//test_auto_move//signs_mov_separ_signers/Liz_402.mov" TargetMode="External"/><Relationship Id="rId3746" Type="http://schemas.openxmlformats.org/officeDocument/2006/relationships/hyperlink" Target="http://secrets.rutgers.edu:8080/data/asl-ftp/asllvd/demos/verify_start_end_handshape_annotations//test_auto_move//signs_mov_separ_signers/Liz_402.mov" TargetMode="External"/><Relationship Id="rId3747" Type="http://schemas.openxmlformats.org/officeDocument/2006/relationships/hyperlink" Target="http://csr.bu.edu/ftp/asl/asllvd/demos/verify_start_end_handshape_annotations//test_auto_move//signs_mov_separ_signers/Tyler_402.mov" TargetMode="External"/><Relationship Id="rId3748" Type="http://schemas.openxmlformats.org/officeDocument/2006/relationships/hyperlink" Target="http://secrets.rutgers.edu:8080/data/asl-ftp/asllvd/demos/verify_start_end_handshape_annotations//test_auto_move//signs_mov_separ_signers/Tyler_402.mov" TargetMode="External"/><Relationship Id="rId3749" Type="http://schemas.openxmlformats.org/officeDocument/2006/relationships/hyperlink" Target="http://csr.bu.edu/ftp/asl/asllvd/demos/verify_start_end_handshape_annotations//test_auto_move//signs_mov/402.mov" TargetMode="External"/><Relationship Id="rId3750" Type="http://schemas.openxmlformats.org/officeDocument/2006/relationships/hyperlink" Target="http://csr.bu.edu/ftp/asl/asllvd/demos/verify_start_end_handshape_annotations//test_auto_move//signs_mov_separ_signers/Naomi_402.mov" TargetMode="External"/><Relationship Id="rId3751" Type="http://schemas.openxmlformats.org/officeDocument/2006/relationships/hyperlink" Target="http://secrets.rutgers.edu:8080/data/asl-ftp/asllvd/demos/verify_start_end_handshape_annotations//test_auto_move//signs_mov/402.mov" TargetMode="External"/><Relationship Id="rId3752" Type="http://schemas.openxmlformats.org/officeDocument/2006/relationships/hyperlink" Target="http://secrets.rutgers.edu:8080/data/asl-ftp/asllvd/demos/verify_start_end_handshape_annotations//test_auto_move//signs_mov_separ_signers/Naomi_402.mov" TargetMode="External"/><Relationship Id="rId3753" Type="http://schemas.openxmlformats.org/officeDocument/2006/relationships/hyperlink" Target="http://csr.bu.edu/ftp/asl/asllvd/demos/verify_start_end_handshape_annotations//test_auto_move//signs_mov_separ_signers/Brady_402.mov" TargetMode="External"/><Relationship Id="rId3754" Type="http://schemas.openxmlformats.org/officeDocument/2006/relationships/hyperlink" Target="http://secrets.rutgers.edu:8080/data/asl-ftp/asllvd/demos/verify_start_end_handshape_annotations//test_auto_move//signs_mov_separ_signers/Brady_402.mov" TargetMode="External"/><Relationship Id="rId3755" Type="http://schemas.openxmlformats.org/officeDocument/2006/relationships/hyperlink" Target="http://csr.bu.edu/ftp/asl/asllvd/demos/verify_start_end_handshape_annotations//test_auto_move//signs_mov_separ_signers/Lana_402.mov" TargetMode="External"/><Relationship Id="rId3756" Type="http://schemas.openxmlformats.org/officeDocument/2006/relationships/hyperlink" Target="http://secrets.rutgers.edu:8080/data/asl-ftp/asllvd/demos/verify_start_end_handshape_annotations//test_auto_move//signs_mov_separ_signers/Lana_402.mov" TargetMode="External"/><Relationship Id="rId3757" Type="http://schemas.openxmlformats.org/officeDocument/2006/relationships/hyperlink" Target="http://csr.bu.edu/ftp/asl/asllvd/demos/verify_start_end_handshape_annotations//test_auto_move//signs_mov_separ_signers/Dana_402.mov" TargetMode="External"/><Relationship Id="rId3758" Type="http://schemas.openxmlformats.org/officeDocument/2006/relationships/hyperlink" Target="http://secrets.rutgers.edu:8080/data/asl-ftp/asllvd/demos/verify_start_end_handshape_annotations//test_auto_move//signs_mov_separ_signers/Dana_402.mov" TargetMode="External"/><Relationship Id="rId3759" Type="http://schemas.openxmlformats.org/officeDocument/2006/relationships/hyperlink" Target="http://csr.bu.edu/ftp/asl/asllvd/demos/verify_start_end_handshape_annotations//test_auto_move//signs_mov_separ_signers/Liz_15148.mov" TargetMode="External"/><Relationship Id="rId3760" Type="http://schemas.openxmlformats.org/officeDocument/2006/relationships/hyperlink" Target="http://secrets.rutgers.edu:8080/data/asl-ftp/asllvd/demos/verify_start_end_handshape_annotations//test_auto_move//signs_mov_separ_signers/Liz_15148.mov" TargetMode="External"/><Relationship Id="rId3761" Type="http://schemas.openxmlformats.org/officeDocument/2006/relationships/hyperlink" Target="http://csr.bu.edu/ftp/asl/asllvd/demos/verify_start_end_handshape_annotations//test_auto_move//signs_mov/15148.mov" TargetMode="External"/><Relationship Id="rId3762" Type="http://schemas.openxmlformats.org/officeDocument/2006/relationships/hyperlink" Target="http://csr.bu.edu/ftp/asl/asllvd/demos/verify_start_end_handshape_annotations//test_auto_move//signs_mov_separ_signers/Tyler_15148.mov" TargetMode="External"/><Relationship Id="rId3763" Type="http://schemas.openxmlformats.org/officeDocument/2006/relationships/hyperlink" Target="http://secrets.rutgers.edu:8080/data/asl-ftp/asllvd/demos/verify_start_end_handshape_annotations//test_auto_move//signs_mov/15148.mov" TargetMode="External"/><Relationship Id="rId3764" Type="http://schemas.openxmlformats.org/officeDocument/2006/relationships/hyperlink" Target="http://secrets.rutgers.edu:8080/data/asl-ftp/asllvd/demos/verify_start_end_handshape_annotations//test_auto_move//signs_mov_separ_signers/Tyler_15148.mov" TargetMode="External"/><Relationship Id="rId3765" Type="http://schemas.openxmlformats.org/officeDocument/2006/relationships/hyperlink" Target="http://csr.bu.edu/ftp/asl/asllvd/demos/verify_start_end_handshape_annotations//test_auto_move//signs_mov_separ_signers/Naomi_15148.mov" TargetMode="External"/><Relationship Id="rId3766" Type="http://schemas.openxmlformats.org/officeDocument/2006/relationships/hyperlink" Target="http://secrets.rutgers.edu:8080/data/asl-ftp/asllvd/demos/verify_start_end_handshape_annotations//test_auto_move//signs_mov_separ_signers/Naomi_15148.mov" TargetMode="External"/><Relationship Id="rId3767" Type="http://schemas.openxmlformats.org/officeDocument/2006/relationships/hyperlink" Target="http://csr.bu.edu/ftp/asl/asllvd/demos/verify_start_end_handshape_annotations//test_auto_move//signs_mov_separ_signers/Brady_15148.mov" TargetMode="External"/><Relationship Id="rId3768" Type="http://schemas.openxmlformats.org/officeDocument/2006/relationships/hyperlink" Target="http://secrets.rutgers.edu:8080/data/asl-ftp/asllvd/demos/verify_start_end_handshape_annotations//test_auto_move//signs_mov_separ_signers/Brady_15148.mov" TargetMode="External"/><Relationship Id="rId3769" Type="http://schemas.openxmlformats.org/officeDocument/2006/relationships/hyperlink" Target="http://csr.bu.edu/ftp/asl/asllvd/demos/verify_start_end_handshape_annotations//test_auto_move//signs_mov/404.mov" TargetMode="External"/><Relationship Id="rId3770" Type="http://schemas.openxmlformats.org/officeDocument/2006/relationships/hyperlink" Target="http://csr.bu.edu/ftp/asl/asllvd/demos/verify_start_end_handshape_annotations//test_auto_move//signs_mov_separ_signers/Liz_404.mov" TargetMode="External"/><Relationship Id="rId3771" Type="http://schemas.openxmlformats.org/officeDocument/2006/relationships/hyperlink" Target="http://secrets.rutgers.edu:8080/data/asl-ftp/asllvd/demos/verify_start_end_handshape_annotations//test_auto_move//signs_mov/404.mov" TargetMode="External"/><Relationship Id="rId3772" Type="http://schemas.openxmlformats.org/officeDocument/2006/relationships/hyperlink" Target="http://secrets.rutgers.edu:8080/data/asl-ftp/asllvd/demos/verify_start_end_handshape_annotations//test_auto_move//signs_mov_separ_signers/Liz_404.mov" TargetMode="External"/><Relationship Id="rId3773" Type="http://schemas.openxmlformats.org/officeDocument/2006/relationships/hyperlink" Target="http://csr.bu.edu/ftp/asl/asllvd/demos/verify_start_end_handshape_annotations//test_auto_move//signs_mov/5128.mov" TargetMode="External"/><Relationship Id="rId3774" Type="http://schemas.openxmlformats.org/officeDocument/2006/relationships/hyperlink" Target="http://csr.bu.edu/ftp/asl/asllvd/demos/verify_start_end_handshape_annotations//test_auto_move//signs_mov_separ_signers/Tyler_5128.mov" TargetMode="External"/><Relationship Id="rId3775" Type="http://schemas.openxmlformats.org/officeDocument/2006/relationships/hyperlink" Target="http://secrets.rutgers.edu:8080/data/asl-ftp/asllvd/demos/verify_start_end_handshape_annotations//test_auto_move//signs_mov/5128.mov" TargetMode="External"/><Relationship Id="rId3776" Type="http://schemas.openxmlformats.org/officeDocument/2006/relationships/hyperlink" Target="http://secrets.rutgers.edu:8080/data/asl-ftp/asllvd/demos/verify_start_end_handshape_annotations//test_auto_move//signs_mov_separ_signers/Tyler_5128.mov" TargetMode="External"/><Relationship Id="rId3777" Type="http://schemas.openxmlformats.org/officeDocument/2006/relationships/hyperlink" Target="http://csr.bu.edu/ftp/asl/asllvd/demos/verify_start_end_handshape_annotations//test_auto_move//signs_mov_separ_signers/Brady_5128.mov" TargetMode="External"/><Relationship Id="rId3778" Type="http://schemas.openxmlformats.org/officeDocument/2006/relationships/hyperlink" Target="http://secrets.rutgers.edu:8080/data/asl-ftp/asllvd/demos/verify_start_end_handshape_annotations//test_auto_move//signs_mov_separ_signers/Brady_5128.mov" TargetMode="External"/><Relationship Id="rId3779" Type="http://schemas.openxmlformats.org/officeDocument/2006/relationships/hyperlink" Target="http://csr.bu.edu/ftp/asl/asllvd/demos/verify_start_end_handshape_annotations//test_auto_move//signs_mov_separ_signers/Liz_407.mov" TargetMode="External"/><Relationship Id="rId3780" Type="http://schemas.openxmlformats.org/officeDocument/2006/relationships/hyperlink" Target="http://secrets.rutgers.edu:8080/data/asl-ftp/asllvd/demos/verify_start_end_handshape_annotations//test_auto_move//signs_mov_separ_signers/Liz_407.mov" TargetMode="External"/><Relationship Id="rId3781" Type="http://schemas.openxmlformats.org/officeDocument/2006/relationships/hyperlink" Target="http://csr.bu.edu/ftp/asl/asllvd/demos/verify_start_end_handshape_annotations//test_auto_move//signs_mov_separ_signers/Liz_3385.mov" TargetMode="External"/><Relationship Id="rId3782" Type="http://schemas.openxmlformats.org/officeDocument/2006/relationships/hyperlink" Target="http://secrets.rutgers.edu:8080/data/asl-ftp/asllvd/demos/verify_start_end_handshape_annotations//test_auto_move//signs_mov_separ_signers/Liz_3385.mov" TargetMode="External"/><Relationship Id="rId3783" Type="http://schemas.openxmlformats.org/officeDocument/2006/relationships/hyperlink" Target="http://csr.bu.edu/ftp/asl/asllvd/demos/verify_start_end_handshape_annotations//test_auto_move//signs_mov_separ_signers/Tyler_407.mov" TargetMode="External"/><Relationship Id="rId3784" Type="http://schemas.openxmlformats.org/officeDocument/2006/relationships/hyperlink" Target="http://secrets.rutgers.edu:8080/data/asl-ftp/asllvd/demos/verify_start_end_handshape_annotations//test_auto_move//signs_mov_separ_signers/Tyler_407.mov" TargetMode="External"/><Relationship Id="rId3785" Type="http://schemas.openxmlformats.org/officeDocument/2006/relationships/hyperlink" Target="http://csr.bu.edu/ftp/asl/asllvd/demos/verify_start_end_handshape_annotations//test_auto_move//signs_mov/407_3385_merged.mov" TargetMode="External"/><Relationship Id="rId3786" Type="http://schemas.openxmlformats.org/officeDocument/2006/relationships/hyperlink" Target="http://csr.bu.edu/ftp/asl/asllvd/demos/verify_start_end_handshape_annotations//test_auto_move//signs_mov_separ_signers/Tyler_3385.mov" TargetMode="External"/><Relationship Id="rId3787" Type="http://schemas.openxmlformats.org/officeDocument/2006/relationships/hyperlink" Target="http://secrets.rutgers.edu:8080/data/asl-ftp/asllvd/demos/verify_start_end_handshape_annotations//test_auto_move//signs_mov/407_3385_merged.mov" TargetMode="External"/><Relationship Id="rId3788" Type="http://schemas.openxmlformats.org/officeDocument/2006/relationships/hyperlink" Target="http://secrets.rutgers.edu:8080/data/asl-ftp/asllvd/demos/verify_start_end_handshape_annotations//test_auto_move//signs_mov_separ_signers/Tyler_3385.mov" TargetMode="External"/><Relationship Id="rId3789" Type="http://schemas.openxmlformats.org/officeDocument/2006/relationships/hyperlink" Target="http://csr.bu.edu/ftp/asl/asllvd/demos/verify_start_end_handshape_annotations//test_auto_move//signs_mov_separ_signers/Naomi_407.mov" TargetMode="External"/><Relationship Id="rId3790" Type="http://schemas.openxmlformats.org/officeDocument/2006/relationships/hyperlink" Target="http://secrets.rutgers.edu:8080/data/asl-ftp/asllvd/demos/verify_start_end_handshape_annotations//test_auto_move//signs_mov_separ_signers/Naomi_407.mov" TargetMode="External"/><Relationship Id="rId3791" Type="http://schemas.openxmlformats.org/officeDocument/2006/relationships/hyperlink" Target="http://csr.bu.edu/ftp/asl/asllvd/demos/verify_start_end_handshape_annotations//test_auto_move//signs_mov_separ_signers/Naomi_3385.mov" TargetMode="External"/><Relationship Id="rId3792" Type="http://schemas.openxmlformats.org/officeDocument/2006/relationships/hyperlink" Target="http://secrets.rutgers.edu:8080/data/asl-ftp/asllvd/demos/verify_start_end_handshape_annotations//test_auto_move//signs_mov_separ_signers/Naomi_3385.mov" TargetMode="External"/><Relationship Id="rId3793" Type="http://schemas.openxmlformats.org/officeDocument/2006/relationships/hyperlink" Target="http://csr.bu.edu/ftp/asl/asllvd/demos/verify_start_end_handshape_annotations//test_auto_move//signs_mov_separ_signers/Brady_407.mov" TargetMode="External"/><Relationship Id="rId3794" Type="http://schemas.openxmlformats.org/officeDocument/2006/relationships/hyperlink" Target="http://secrets.rutgers.edu:8080/data/asl-ftp/asllvd/demos/verify_start_end_handshape_annotations//test_auto_move//signs_mov_separ_signers/Brady_407.mov" TargetMode="External"/><Relationship Id="rId3795" Type="http://schemas.openxmlformats.org/officeDocument/2006/relationships/hyperlink" Target="http://csr.bu.edu/ftp/asl/asllvd/demos/verify_start_end_handshape_annotations//test_auto_move//signs_mov_separ_signers/Brady_3385.mov" TargetMode="External"/><Relationship Id="rId3796" Type="http://schemas.openxmlformats.org/officeDocument/2006/relationships/hyperlink" Target="http://secrets.rutgers.edu:8080/data/asl-ftp/asllvd/demos/verify_start_end_handshape_annotations//test_auto_move//signs_mov_separ_signers/Brady_3385.mov" TargetMode="External"/><Relationship Id="rId3797" Type="http://schemas.openxmlformats.org/officeDocument/2006/relationships/hyperlink" Target="http://csr.bu.edu/ftp/asl/asllvd/demos/verify_start_end_handshape_annotations//test_auto_move//signs_mov_separ_signers/Liz_410.mov" TargetMode="External"/><Relationship Id="rId3798" Type="http://schemas.openxmlformats.org/officeDocument/2006/relationships/hyperlink" Target="http://secrets.rutgers.edu:8080/data/asl-ftp/asllvd/demos/verify_start_end_handshape_annotations//test_auto_move//signs_mov_separ_signers/Liz_410.mov" TargetMode="External"/><Relationship Id="rId3799" Type="http://schemas.openxmlformats.org/officeDocument/2006/relationships/hyperlink" Target="http://csr.bu.edu/ftp/asl/asllvd/demos/verify_start_end_handshape_annotations//test_auto_move//signs_mov/410.mov" TargetMode="External"/><Relationship Id="rId3800" Type="http://schemas.openxmlformats.org/officeDocument/2006/relationships/hyperlink" Target="http://csr.bu.edu/ftp/asl/asllvd/demos/verify_start_end_handshape_annotations//test_auto_move//signs_mov_separ_signers/Naomi_410.mov" TargetMode="External"/><Relationship Id="rId3801" Type="http://schemas.openxmlformats.org/officeDocument/2006/relationships/hyperlink" Target="http://secrets.rutgers.edu:8080/data/asl-ftp/asllvd/demos/verify_start_end_handshape_annotations//test_auto_move//signs_mov/410.mov" TargetMode="External"/><Relationship Id="rId3802" Type="http://schemas.openxmlformats.org/officeDocument/2006/relationships/hyperlink" Target="http://secrets.rutgers.edu:8080/data/asl-ftp/asllvd/demos/verify_start_end_handshape_annotations//test_auto_move//signs_mov_separ_signers/Naomi_410.mov" TargetMode="External"/><Relationship Id="rId3803" Type="http://schemas.openxmlformats.org/officeDocument/2006/relationships/hyperlink" Target="http://csr.bu.edu/ftp/asl/asllvd/demos/verify_start_end_handshape_annotations//test_auto_move//signs_mov_separ_signers/Brady_410.mov" TargetMode="External"/><Relationship Id="rId3804" Type="http://schemas.openxmlformats.org/officeDocument/2006/relationships/hyperlink" Target="http://secrets.rutgers.edu:8080/data/asl-ftp/asllvd/demos/verify_start_end_handshape_annotations//test_auto_move//signs_mov_separ_signers/Brady_410.mov" TargetMode="External"/><Relationship Id="rId3805" Type="http://schemas.openxmlformats.org/officeDocument/2006/relationships/hyperlink" Target="http://csr.bu.edu/ftp/asl/asllvd/demos/verify_start_end_handshape_annotations//test_auto_move//signs_mov_separ_signers/Liz_411.mov" TargetMode="External"/><Relationship Id="rId3806" Type="http://schemas.openxmlformats.org/officeDocument/2006/relationships/hyperlink" Target="http://secrets.rutgers.edu:8080/data/asl-ftp/asllvd/demos/verify_start_end_handshape_annotations//test_auto_move//signs_mov_separ_signers/Liz_411.mov" TargetMode="External"/><Relationship Id="rId3807" Type="http://schemas.openxmlformats.org/officeDocument/2006/relationships/hyperlink" Target="http://csr.bu.edu/ftp/asl/asllvd/demos/verify_start_end_handshape_annotations//test_auto_move//signs_mov/411.mov" TargetMode="External"/><Relationship Id="rId3808" Type="http://schemas.openxmlformats.org/officeDocument/2006/relationships/hyperlink" Target="http://csr.bu.edu/ftp/asl/asllvd/demos/verify_start_end_handshape_annotations//test_auto_move//signs_mov_separ_signers/Tyler_411.mov" TargetMode="External"/><Relationship Id="rId3809" Type="http://schemas.openxmlformats.org/officeDocument/2006/relationships/hyperlink" Target="http://secrets.rutgers.edu:8080/data/asl-ftp/asllvd/demos/verify_start_end_handshape_annotations//test_auto_move//signs_mov/411.mov" TargetMode="External"/><Relationship Id="rId3810" Type="http://schemas.openxmlformats.org/officeDocument/2006/relationships/hyperlink" Target="http://secrets.rutgers.edu:8080/data/asl-ftp/asllvd/demos/verify_start_end_handshape_annotations//test_auto_move//signs_mov_separ_signers/Tyler_411.mov" TargetMode="External"/><Relationship Id="rId3811" Type="http://schemas.openxmlformats.org/officeDocument/2006/relationships/hyperlink" Target="http://csr.bu.edu/ftp/asl/asllvd/demos/verify_start_end_handshape_annotations//test_auto_move//signs_mov_separ_signers/Naomi_411.mov" TargetMode="External"/><Relationship Id="rId3812" Type="http://schemas.openxmlformats.org/officeDocument/2006/relationships/hyperlink" Target="http://secrets.rutgers.edu:8080/data/asl-ftp/asllvd/demos/verify_start_end_handshape_annotations//test_auto_move//signs_mov_separ_signers/Naomi_411.mov" TargetMode="External"/><Relationship Id="rId3813" Type="http://schemas.openxmlformats.org/officeDocument/2006/relationships/hyperlink" Target="http://csr.bu.edu/ftp/asl/asllvd/demos/verify_start_end_handshape_annotations//test_auto_move//signs_mov_separ_signers/Brady_411.mov" TargetMode="External"/><Relationship Id="rId3814" Type="http://schemas.openxmlformats.org/officeDocument/2006/relationships/hyperlink" Target="http://secrets.rutgers.edu:8080/data/asl-ftp/asllvd/demos/verify_start_end_handshape_annotations//test_auto_move//signs_mov_separ_signers/Brady_411.mov" TargetMode="External"/><Relationship Id="rId3815" Type="http://schemas.openxmlformats.org/officeDocument/2006/relationships/hyperlink" Target="http://csr.bu.edu/ftp/asl/asllvd/demos/verify_start_end_handshape_annotations//test_auto_move//signs_mov_separ_signers/Liz_15152.mov" TargetMode="External"/><Relationship Id="rId3816" Type="http://schemas.openxmlformats.org/officeDocument/2006/relationships/hyperlink" Target="http://secrets.rutgers.edu:8080/data/asl-ftp/asllvd/demos/verify_start_end_handshape_annotations//test_auto_move//signs_mov_separ_signers/Liz_15152.mov" TargetMode="External"/><Relationship Id="rId3817" Type="http://schemas.openxmlformats.org/officeDocument/2006/relationships/hyperlink" Target="http://csr.bu.edu/ftp/asl/asllvd/demos/verify_start_end_handshape_annotations//test_auto_move//signs_mov_separ_signers/Liz_15170.mov" TargetMode="External"/><Relationship Id="rId3818" Type="http://schemas.openxmlformats.org/officeDocument/2006/relationships/hyperlink" Target="http://secrets.rutgers.edu:8080/data/asl-ftp/asllvd/demos/verify_start_end_handshape_annotations//test_auto_move//signs_mov_separ_signers/Liz_15170.mov" TargetMode="External"/><Relationship Id="rId3819" Type="http://schemas.openxmlformats.org/officeDocument/2006/relationships/hyperlink" Target="http://csr.bu.edu/ftp/asl/asllvd/demos/verify_start_end_handshape_annotations//test_auto_move//signs_mov_separ_signers/Tyler_15152.mov" TargetMode="External"/><Relationship Id="rId3820" Type="http://schemas.openxmlformats.org/officeDocument/2006/relationships/hyperlink" Target="http://secrets.rutgers.edu:8080/data/asl-ftp/asllvd/demos/verify_start_end_handshape_annotations//test_auto_move//signs_mov_separ_signers/Tyler_15152.mov" TargetMode="External"/><Relationship Id="rId3821" Type="http://schemas.openxmlformats.org/officeDocument/2006/relationships/hyperlink" Target="http://csr.bu.edu/ftp/asl/asllvd/demos/verify_start_end_handshape_annotations//test_auto_move//signs_mov/15152_15170_merged.mov" TargetMode="External"/><Relationship Id="rId3822" Type="http://schemas.openxmlformats.org/officeDocument/2006/relationships/hyperlink" Target="http://csr.bu.edu/ftp/asl/asllvd/demos/verify_start_end_handshape_annotations//test_auto_move//signs_mov_separ_signers/Naomi_15152.mov" TargetMode="External"/><Relationship Id="rId3823" Type="http://schemas.openxmlformats.org/officeDocument/2006/relationships/hyperlink" Target="http://secrets.rutgers.edu:8080/data/asl-ftp/asllvd/demos/verify_start_end_handshape_annotations//test_auto_move//signs_mov/15152_15170_merged.mov" TargetMode="External"/><Relationship Id="rId3824" Type="http://schemas.openxmlformats.org/officeDocument/2006/relationships/hyperlink" Target="http://secrets.rutgers.edu:8080/data/asl-ftp/asllvd/demos/verify_start_end_handshape_annotations//test_auto_move//signs_mov_separ_signers/Naomi_15152.mov" TargetMode="External"/><Relationship Id="rId3825" Type="http://schemas.openxmlformats.org/officeDocument/2006/relationships/hyperlink" Target="http://csr.bu.edu/ftp/asl/asllvd/demos/verify_start_end_handshape_annotations//test_auto_move//signs_mov_separ_signers/Brady_15152.mov" TargetMode="External"/><Relationship Id="rId3826" Type="http://schemas.openxmlformats.org/officeDocument/2006/relationships/hyperlink" Target="http://secrets.rutgers.edu:8080/data/asl-ftp/asllvd/demos/verify_start_end_handshape_annotations//test_auto_move//signs_mov_separ_signers/Brady_15152.mov" TargetMode="External"/><Relationship Id="rId3827" Type="http://schemas.openxmlformats.org/officeDocument/2006/relationships/hyperlink" Target="http://csr.bu.edu/ftp/asl/asllvd/demos/verify_start_end_handshape_annotations//test_auto_move//signs_mov_separ_signers/Brady_15170.mov" TargetMode="External"/><Relationship Id="rId3828" Type="http://schemas.openxmlformats.org/officeDocument/2006/relationships/hyperlink" Target="http://secrets.rutgers.edu:8080/data/asl-ftp/asllvd/demos/verify_start_end_handshape_annotations//test_auto_move//signs_mov_separ_signers/Brady_15170.mov" TargetMode="External"/><Relationship Id="rId3829" Type="http://schemas.openxmlformats.org/officeDocument/2006/relationships/hyperlink" Target="http://csr.bu.edu/ftp/asl/asllvd/demos/verify_start_end_handshape_annotations//test_auto_move//signs_mov_separ_signers/Lana_15152.mov" TargetMode="External"/><Relationship Id="rId3830" Type="http://schemas.openxmlformats.org/officeDocument/2006/relationships/hyperlink" Target="http://secrets.rutgers.edu:8080/data/asl-ftp/asllvd/demos/verify_start_end_handshape_annotations//test_auto_move//signs_mov_separ_signers/Lana_15152.mov" TargetMode="External"/><Relationship Id="rId3831" Type="http://schemas.openxmlformats.org/officeDocument/2006/relationships/hyperlink" Target="http://csr.bu.edu/ftp/asl/asllvd/demos/verify_start_end_handshape_annotations//test_auto_move//signs_mov_separ_signers/Dana_15152.mov" TargetMode="External"/><Relationship Id="rId3832" Type="http://schemas.openxmlformats.org/officeDocument/2006/relationships/hyperlink" Target="http://secrets.rutgers.edu:8080/data/asl-ftp/asllvd/demos/verify_start_end_handshape_annotations//test_auto_move//signs_mov_separ_signers/Dana_15152.mov" TargetMode="External"/><Relationship Id="rId3833" Type="http://schemas.openxmlformats.org/officeDocument/2006/relationships/hyperlink" Target="http://csr.bu.edu/ftp/asl/asllvd/demos/verify_start_end_handshape_annotations//test_auto_move//signs_mov_separ_signers/Liz_15192.mov" TargetMode="External"/><Relationship Id="rId3834" Type="http://schemas.openxmlformats.org/officeDocument/2006/relationships/hyperlink" Target="http://secrets.rutgers.edu:8080/data/asl-ftp/asllvd/demos/verify_start_end_handshape_annotations//test_auto_move//signs_mov_separ_signers/Liz_15192.mov" TargetMode="External"/><Relationship Id="rId3835" Type="http://schemas.openxmlformats.org/officeDocument/2006/relationships/hyperlink" Target="http://csr.bu.edu/ftp/asl/asllvd/demos/verify_start_end_handshape_annotations//test_auto_move//signs_mov_separ_signers/Tyler_15192.mov" TargetMode="External"/><Relationship Id="rId3836" Type="http://schemas.openxmlformats.org/officeDocument/2006/relationships/hyperlink" Target="http://secrets.rutgers.edu:8080/data/asl-ftp/asllvd/demos/verify_start_end_handshape_annotations//test_auto_move//signs_mov_separ_signers/Tyler_15192.mov" TargetMode="External"/><Relationship Id="rId3837" Type="http://schemas.openxmlformats.org/officeDocument/2006/relationships/hyperlink" Target="http://csr.bu.edu/ftp/asl/asllvd/demos/verify_start_end_handshape_annotations//test_auto_move//signs_mov/15192.mov" TargetMode="External"/><Relationship Id="rId3838" Type="http://schemas.openxmlformats.org/officeDocument/2006/relationships/hyperlink" Target="http://csr.bu.edu/ftp/asl/asllvd/demos/verify_start_end_handshape_annotations//test_auto_move//signs_mov_separ_signers/Naomi_15192.mov" TargetMode="External"/><Relationship Id="rId3839" Type="http://schemas.openxmlformats.org/officeDocument/2006/relationships/hyperlink" Target="http://secrets.rutgers.edu:8080/data/asl-ftp/asllvd/demos/verify_start_end_handshape_annotations//test_auto_move//signs_mov/15192.mov" TargetMode="External"/><Relationship Id="rId3840" Type="http://schemas.openxmlformats.org/officeDocument/2006/relationships/hyperlink" Target="http://secrets.rutgers.edu:8080/data/asl-ftp/asllvd/demos/verify_start_end_handshape_annotations//test_auto_move//signs_mov_separ_signers/Naomi_15192.mov" TargetMode="External"/><Relationship Id="rId3841" Type="http://schemas.openxmlformats.org/officeDocument/2006/relationships/hyperlink" Target="http://csr.bu.edu/ftp/asl/asllvd/demos/verify_start_end_handshape_annotations//test_auto_move//signs_mov_separ_signers/Brady_15192.mov" TargetMode="External"/><Relationship Id="rId3842" Type="http://schemas.openxmlformats.org/officeDocument/2006/relationships/hyperlink" Target="http://secrets.rutgers.edu:8080/data/asl-ftp/asllvd/demos/verify_start_end_handshape_annotations//test_auto_move//signs_mov_separ_signers/Brady_15192.mov" TargetMode="External"/><Relationship Id="rId3843" Type="http://schemas.openxmlformats.org/officeDocument/2006/relationships/hyperlink" Target="http://csr.bu.edu/ftp/asl/asllvd/demos/verify_start_end_handshape_annotations//test_auto_move//signs_mov_separ_signers/Lana_15192.mov" TargetMode="External"/><Relationship Id="rId3844" Type="http://schemas.openxmlformats.org/officeDocument/2006/relationships/hyperlink" Target="http://secrets.rutgers.edu:8080/data/asl-ftp/asllvd/demos/verify_start_end_handshape_annotations//test_auto_move//signs_mov_separ_signers/Lana_15192.mov" TargetMode="External"/><Relationship Id="rId3845" Type="http://schemas.openxmlformats.org/officeDocument/2006/relationships/hyperlink" Target="http://csr.bu.edu/ftp/asl/asllvd/demos/verify_start_end_handshape_annotations//test_auto_move//signs_mov_separ_signers/Dana_15192.mov" TargetMode="External"/><Relationship Id="rId3846" Type="http://schemas.openxmlformats.org/officeDocument/2006/relationships/hyperlink" Target="http://secrets.rutgers.edu:8080/data/asl-ftp/asllvd/demos/verify_start_end_handshape_annotations//test_auto_move//signs_mov_separ_signers/Dana_15192.mov" TargetMode="External"/><Relationship Id="rId3847" Type="http://schemas.openxmlformats.org/officeDocument/2006/relationships/hyperlink" Target="http://csr.bu.edu/ftp/asl/asllvd/demos/verify_start_end_handshape_annotations//test_auto_move//signs_mov_separ_signers/Liz_15206.mov" TargetMode="External"/><Relationship Id="rId3848" Type="http://schemas.openxmlformats.org/officeDocument/2006/relationships/hyperlink" Target="http://secrets.rutgers.edu:8080/data/asl-ftp/asllvd/demos/verify_start_end_handshape_annotations//test_auto_move//signs_mov_separ_signers/Liz_15206.mov" TargetMode="External"/><Relationship Id="rId3849" Type="http://schemas.openxmlformats.org/officeDocument/2006/relationships/hyperlink" Target="http://csr.bu.edu/ftp/asl/asllvd/demos/verify_start_end_handshape_annotations//test_auto_move//signs_mov_separ_signers/Liz_15210.mov" TargetMode="External"/><Relationship Id="rId3850" Type="http://schemas.openxmlformats.org/officeDocument/2006/relationships/hyperlink" Target="http://secrets.rutgers.edu:8080/data/asl-ftp/asllvd/demos/verify_start_end_handshape_annotations//test_auto_move//signs_mov_separ_signers/Liz_15210.mov" TargetMode="External"/><Relationship Id="rId3851" Type="http://schemas.openxmlformats.org/officeDocument/2006/relationships/hyperlink" Target="http://csr.bu.edu/ftp/asl/asllvd/demos/verify_start_end_handshape_annotations//test_auto_move//signs_mov/15206_15210_merged.mov" TargetMode="External"/><Relationship Id="rId3852" Type="http://schemas.openxmlformats.org/officeDocument/2006/relationships/hyperlink" Target="http://csr.bu.edu/ftp/asl/asllvd/demos/verify_start_end_handshape_annotations//test_auto_move//signs_mov_separ_signers/Tyler_15206.mov" TargetMode="External"/><Relationship Id="rId3853" Type="http://schemas.openxmlformats.org/officeDocument/2006/relationships/hyperlink" Target="http://secrets.rutgers.edu:8080/data/asl-ftp/asllvd/demos/verify_start_end_handshape_annotations//test_auto_move//signs_mov/15206_15210_merged.mov" TargetMode="External"/><Relationship Id="rId3854" Type="http://schemas.openxmlformats.org/officeDocument/2006/relationships/hyperlink" Target="http://secrets.rutgers.edu:8080/data/asl-ftp/asllvd/demos/verify_start_end_handshape_annotations//test_auto_move//signs_mov_separ_signers/Tyler_15206.mov" TargetMode="External"/><Relationship Id="rId3855" Type="http://schemas.openxmlformats.org/officeDocument/2006/relationships/hyperlink" Target="http://csr.bu.edu/ftp/asl/asllvd/demos/verify_start_end_handshape_annotations//test_auto_move//signs_mov_separ_signers/Naomi_15206.mov" TargetMode="External"/><Relationship Id="rId3856" Type="http://schemas.openxmlformats.org/officeDocument/2006/relationships/hyperlink" Target="http://secrets.rutgers.edu:8080/data/asl-ftp/asllvd/demos/verify_start_end_handshape_annotations//test_auto_move//signs_mov_separ_signers/Naomi_15206.mov" TargetMode="External"/><Relationship Id="rId3857" Type="http://schemas.openxmlformats.org/officeDocument/2006/relationships/hyperlink" Target="http://csr.bu.edu/ftp/asl/asllvd/demos/verify_start_end_handshape_annotations//test_auto_move//signs_mov_separ_signers/Brady_15206.mov" TargetMode="External"/><Relationship Id="rId3858" Type="http://schemas.openxmlformats.org/officeDocument/2006/relationships/hyperlink" Target="http://secrets.rutgers.edu:8080/data/asl-ftp/asllvd/demos/verify_start_end_handshape_annotations//test_auto_move//signs_mov_separ_signers/Brady_15206.mov" TargetMode="External"/><Relationship Id="rId3859" Type="http://schemas.openxmlformats.org/officeDocument/2006/relationships/hyperlink" Target="http://csr.bu.edu/ftp/asl/asllvd/demos/verify_start_end_handshape_annotations//test_auto_move//signs_mov_separ_signers/Brady_15210.mov" TargetMode="External"/><Relationship Id="rId3860" Type="http://schemas.openxmlformats.org/officeDocument/2006/relationships/hyperlink" Target="http://secrets.rutgers.edu:8080/data/asl-ftp/asllvd/demos/verify_start_end_handshape_annotations//test_auto_move//signs_mov_separ_signers/Brady_15210.mov" TargetMode="External"/><Relationship Id="rId3861" Type="http://schemas.openxmlformats.org/officeDocument/2006/relationships/hyperlink" Target="http://csr.bu.edu/ftp/asl/asllvd/demos/verify_start_end_handshape_annotations//test_auto_move//signs_mov_separ_signers/Liz_15914.mov" TargetMode="External"/><Relationship Id="rId3862" Type="http://schemas.openxmlformats.org/officeDocument/2006/relationships/hyperlink" Target="http://secrets.rutgers.edu:8080/data/asl-ftp/asllvd/demos/verify_start_end_handshape_annotations//test_auto_move//signs_mov_separ_signers/Liz_15914.mov" TargetMode="External"/><Relationship Id="rId3863" Type="http://schemas.openxmlformats.org/officeDocument/2006/relationships/hyperlink" Target="http://csr.bu.edu/ftp/asl/asllvd/demos/verify_start_end_handshape_annotations//test_auto_move//signs_mov/15914_15979_merged.mov" TargetMode="External"/><Relationship Id="rId3864" Type="http://schemas.openxmlformats.org/officeDocument/2006/relationships/hyperlink" Target="http://csr.bu.edu/ftp/asl/asllvd/demos/verify_start_end_handshape_annotations//test_auto_move//signs_mov_separ_signers/Naomi_15914.mov" TargetMode="External"/><Relationship Id="rId3865" Type="http://schemas.openxmlformats.org/officeDocument/2006/relationships/hyperlink" Target="http://secrets.rutgers.edu:8080/data/asl-ftp/asllvd/demos/verify_start_end_handshape_annotations//test_auto_move//signs_mov/15914_15979_merged.mov" TargetMode="External"/><Relationship Id="rId3866" Type="http://schemas.openxmlformats.org/officeDocument/2006/relationships/hyperlink" Target="http://secrets.rutgers.edu:8080/data/asl-ftp/asllvd/demos/verify_start_end_handshape_annotations//test_auto_move//signs_mov_separ_signers/Naomi_15914.mov" TargetMode="External"/><Relationship Id="rId3867" Type="http://schemas.openxmlformats.org/officeDocument/2006/relationships/hyperlink" Target="http://csr.bu.edu/ftp/asl/asllvd/demos/verify_start_end_handshape_annotations//test_auto_move//signs_mov_separ_signers/Brady_15914.mov" TargetMode="External"/><Relationship Id="rId3868" Type="http://schemas.openxmlformats.org/officeDocument/2006/relationships/hyperlink" Target="http://secrets.rutgers.edu:8080/data/asl-ftp/asllvd/demos/verify_start_end_handshape_annotations//test_auto_move//signs_mov_separ_signers/Brady_15914.mov" TargetMode="External"/><Relationship Id="rId3869" Type="http://schemas.openxmlformats.org/officeDocument/2006/relationships/hyperlink" Target="http://csr.bu.edu/ftp/asl/asllvd/demos/verify_start_end_handshape_annotations//test_auto_move//signs_mov_separ_signers/Brady_15979.mov" TargetMode="External"/><Relationship Id="rId3870" Type="http://schemas.openxmlformats.org/officeDocument/2006/relationships/hyperlink" Target="http://secrets.rutgers.edu:8080/data/asl-ftp/asllvd/demos/verify_start_end_handshape_annotations//test_auto_move//signs_mov_separ_signers/Brady_15979.mov" TargetMode="External"/><Relationship Id="rId3871" Type="http://schemas.openxmlformats.org/officeDocument/2006/relationships/hyperlink" Target="http://csr.bu.edu/ftp/asl/asllvd/demos/verify_start_end_handshape_annotations//test_auto_move//signs_mov/413.mov" TargetMode="External"/><Relationship Id="rId3872" Type="http://schemas.openxmlformats.org/officeDocument/2006/relationships/hyperlink" Target="http://csr.bu.edu/ftp/asl/asllvd/demos/verify_start_end_handshape_annotations//test_auto_move//signs_mov_separ_signers/Tyler_413.mov" TargetMode="External"/><Relationship Id="rId3873" Type="http://schemas.openxmlformats.org/officeDocument/2006/relationships/hyperlink" Target="http://secrets.rutgers.edu:8080/data/asl-ftp/asllvd/demos/verify_start_end_handshape_annotations//test_auto_move//signs_mov/413.mov" TargetMode="External"/><Relationship Id="rId3874" Type="http://schemas.openxmlformats.org/officeDocument/2006/relationships/hyperlink" Target="http://secrets.rutgers.edu:8080/data/asl-ftp/asllvd/demos/verify_start_end_handshape_annotations//test_auto_move//signs_mov_separ_signers/Tyler_413.mov" TargetMode="External"/><Relationship Id="rId3875" Type="http://schemas.openxmlformats.org/officeDocument/2006/relationships/hyperlink" Target="http://csr.bu.edu/ftp/asl/asllvd/demos/verify_start_end_handshape_annotations//test_auto_move//signs_mov/5130.mov" TargetMode="External"/><Relationship Id="rId3876" Type="http://schemas.openxmlformats.org/officeDocument/2006/relationships/hyperlink" Target="http://csr.bu.edu/ftp/asl/asllvd/demos/verify_start_end_handshape_annotations//test_auto_move//signs_mov_separ_signers/Naomi_5130.mov" TargetMode="External"/><Relationship Id="rId3877" Type="http://schemas.openxmlformats.org/officeDocument/2006/relationships/hyperlink" Target="http://secrets.rutgers.edu:8080/data/asl-ftp/asllvd/demos/verify_start_end_handshape_annotations//test_auto_move//signs_mov/5130.mov" TargetMode="External"/><Relationship Id="rId3878" Type="http://schemas.openxmlformats.org/officeDocument/2006/relationships/hyperlink" Target="http://secrets.rutgers.edu:8080/data/asl-ftp/asllvd/demos/verify_start_end_handshape_annotations//test_auto_move//signs_mov_separ_signers/Naomi_5130.mov" TargetMode="External"/><Relationship Id="rId3879" Type="http://schemas.openxmlformats.org/officeDocument/2006/relationships/hyperlink" Target="http://csr.bu.edu/ftp/asl/asllvd/demos/verify_start_end_handshape_annotations//test_auto_move//signs_mov_separ_signers/Brady_5130.mov" TargetMode="External"/><Relationship Id="rId3880" Type="http://schemas.openxmlformats.org/officeDocument/2006/relationships/hyperlink" Target="http://secrets.rutgers.edu:8080/data/asl-ftp/asllvd/demos/verify_start_end_handshape_annotations//test_auto_move//signs_mov_separ_signers/Brady_5130.mov" TargetMode="External"/><Relationship Id="rId3881" Type="http://schemas.openxmlformats.org/officeDocument/2006/relationships/hyperlink" Target="http://csr.bu.edu/ftp/asl/asllvd/demos/verify_start_end_handshape_annotations//test_auto_move//signs_mov/5131.mov" TargetMode="External"/><Relationship Id="rId3882" Type="http://schemas.openxmlformats.org/officeDocument/2006/relationships/hyperlink" Target="http://csr.bu.edu/ftp/asl/asllvd/demos/verify_start_end_handshape_annotations//test_auto_move//signs_mov_separ_signers/Liz_5131.mov" TargetMode="External"/><Relationship Id="rId3883" Type="http://schemas.openxmlformats.org/officeDocument/2006/relationships/hyperlink" Target="http://secrets.rutgers.edu:8080/data/asl-ftp/asllvd/demos/verify_start_end_handshape_annotations//test_auto_move//signs_mov/5131.mov" TargetMode="External"/><Relationship Id="rId3884" Type="http://schemas.openxmlformats.org/officeDocument/2006/relationships/hyperlink" Target="http://secrets.rutgers.edu:8080/data/asl-ftp/asllvd/demos/verify_start_end_handshape_annotations//test_auto_move//signs_mov_separ_signers/Liz_5131.mov" TargetMode="External"/><Relationship Id="rId3885" Type="http://schemas.openxmlformats.org/officeDocument/2006/relationships/hyperlink" Target="http://csr.bu.edu/ftp/asl/asllvd/demos/verify_start_end_handshape_annotations//test_auto_move//signs_mov_separ_signers/Liz_414.mov" TargetMode="External"/><Relationship Id="rId3886" Type="http://schemas.openxmlformats.org/officeDocument/2006/relationships/hyperlink" Target="http://secrets.rutgers.edu:8080/data/asl-ftp/asllvd/demos/verify_start_end_handshape_annotations//test_auto_move//signs_mov_separ_signers/Liz_414.mov" TargetMode="External"/><Relationship Id="rId3887" Type="http://schemas.openxmlformats.org/officeDocument/2006/relationships/hyperlink" Target="http://csr.bu.edu/ftp/asl/asllvd/demos/verify_start_end_handshape_annotations//test_auto_move//signs_mov/414.mov" TargetMode="External"/><Relationship Id="rId3888" Type="http://schemas.openxmlformats.org/officeDocument/2006/relationships/hyperlink" Target="http://csr.bu.edu/ftp/asl/asllvd/demos/verify_start_end_handshape_annotations//test_auto_move//signs_mov_separ_signers/Tyler_414.mov" TargetMode="External"/><Relationship Id="rId3889" Type="http://schemas.openxmlformats.org/officeDocument/2006/relationships/hyperlink" Target="http://secrets.rutgers.edu:8080/data/asl-ftp/asllvd/demos/verify_start_end_handshape_annotations//test_auto_move//signs_mov/414.mov" TargetMode="External"/><Relationship Id="rId3890" Type="http://schemas.openxmlformats.org/officeDocument/2006/relationships/hyperlink" Target="http://secrets.rutgers.edu:8080/data/asl-ftp/asllvd/demos/verify_start_end_handshape_annotations//test_auto_move//signs_mov_separ_signers/Tyler_414.mov" TargetMode="External"/><Relationship Id="rId3891" Type="http://schemas.openxmlformats.org/officeDocument/2006/relationships/hyperlink" Target="http://csr.bu.edu/ftp/asl/asllvd/demos/verify_start_end_handshape_annotations//test_auto_move//signs_mov_separ_signers/Naomi_414.mov" TargetMode="External"/><Relationship Id="rId3892" Type="http://schemas.openxmlformats.org/officeDocument/2006/relationships/hyperlink" Target="http://secrets.rutgers.edu:8080/data/asl-ftp/asllvd/demos/verify_start_end_handshape_annotations//test_auto_move//signs_mov_separ_signers/Naomi_414.mov" TargetMode="External"/><Relationship Id="rId3893" Type="http://schemas.openxmlformats.org/officeDocument/2006/relationships/hyperlink" Target="http://csr.bu.edu/ftp/asl/asllvd/demos/verify_start_end_handshape_annotations//test_auto_move//signs_mov_separ_signers/Brady_414.mov" TargetMode="External"/><Relationship Id="rId3894" Type="http://schemas.openxmlformats.org/officeDocument/2006/relationships/hyperlink" Target="http://secrets.rutgers.edu:8080/data/asl-ftp/asllvd/demos/verify_start_end_handshape_annotations//test_auto_move//signs_mov_separ_signers/Brady_414.mov" TargetMode="External"/><Relationship Id="rId3895" Type="http://schemas.openxmlformats.org/officeDocument/2006/relationships/hyperlink" Target="http://csr.bu.edu/ftp/asl/asllvd/demos/verify_start_end_handshape_annotations//test_auto_move//signs_mov_separ_signers/Liz_15412.mov" TargetMode="External"/><Relationship Id="rId3896" Type="http://schemas.openxmlformats.org/officeDocument/2006/relationships/hyperlink" Target="http://secrets.rutgers.edu:8080/data/asl-ftp/asllvd/demos/verify_start_end_handshape_annotations//test_auto_move//signs_mov_separ_signers/Liz_15412.mov" TargetMode="External"/><Relationship Id="rId3897" Type="http://schemas.openxmlformats.org/officeDocument/2006/relationships/hyperlink" Target="http://csr.bu.edu/ftp/asl/asllvd/demos/verify_start_end_handshape_annotations//test_auto_move//signs_mov/15412.mov" TargetMode="External"/><Relationship Id="rId3898" Type="http://schemas.openxmlformats.org/officeDocument/2006/relationships/hyperlink" Target="http://csr.bu.edu/ftp/asl/asllvd/demos/verify_start_end_handshape_annotations//test_auto_move//signs_mov_separ_signers/Tyler_15412.mov" TargetMode="External"/><Relationship Id="rId3899" Type="http://schemas.openxmlformats.org/officeDocument/2006/relationships/hyperlink" Target="http://secrets.rutgers.edu:8080/data/asl-ftp/asllvd/demos/verify_start_end_handshape_annotations//test_auto_move//signs_mov/15412.mov" TargetMode="External"/><Relationship Id="rId3900" Type="http://schemas.openxmlformats.org/officeDocument/2006/relationships/hyperlink" Target="http://secrets.rutgers.edu:8080/data/asl-ftp/asllvd/demos/verify_start_end_handshape_annotations//test_auto_move//signs_mov_separ_signers/Tyler_15412.mov" TargetMode="External"/><Relationship Id="rId3901" Type="http://schemas.openxmlformats.org/officeDocument/2006/relationships/hyperlink" Target="http://csr.bu.edu/ftp/asl/asllvd/demos/verify_start_end_handshape_annotations//test_auto_move//signs_mov_separ_signers/Naomi_15412.mov" TargetMode="External"/><Relationship Id="rId3902" Type="http://schemas.openxmlformats.org/officeDocument/2006/relationships/hyperlink" Target="http://secrets.rutgers.edu:8080/data/asl-ftp/asllvd/demos/verify_start_end_handshape_annotations//test_auto_move//signs_mov_separ_signers/Naomi_15412.mov" TargetMode="External"/><Relationship Id="rId3903" Type="http://schemas.openxmlformats.org/officeDocument/2006/relationships/hyperlink" Target="http://csr.bu.edu/ftp/asl/asllvd/demos/verify_start_end_handshape_annotations//test_auto_move//signs_mov_separ_signers/Brady_15412.mov" TargetMode="External"/><Relationship Id="rId3904" Type="http://schemas.openxmlformats.org/officeDocument/2006/relationships/hyperlink" Target="http://secrets.rutgers.edu:8080/data/asl-ftp/asllvd/demos/verify_start_end_handshape_annotations//test_auto_move//signs_mov_separ_signers/Brady_15412.mov" TargetMode="External"/><Relationship Id="rId3905" Type="http://schemas.openxmlformats.org/officeDocument/2006/relationships/hyperlink" Target="http://csr.bu.edu/ftp/asl/asllvd/demos/verify_start_end_handshape_annotations//test_auto_move//signs_mov_separ_signers/Liz_415.mov" TargetMode="External"/><Relationship Id="rId3906" Type="http://schemas.openxmlformats.org/officeDocument/2006/relationships/hyperlink" Target="http://secrets.rutgers.edu:8080/data/asl-ftp/asllvd/demos/verify_start_end_handshape_annotations//test_auto_move//signs_mov_separ_signers/Liz_415.mov" TargetMode="External"/><Relationship Id="rId3907" Type="http://schemas.openxmlformats.org/officeDocument/2006/relationships/hyperlink" Target="http://csr.bu.edu/ftp/asl/asllvd/demos/verify_start_end_handshape_annotations//test_auto_move//signs_mov/415.mov" TargetMode="External"/><Relationship Id="rId3908" Type="http://schemas.openxmlformats.org/officeDocument/2006/relationships/hyperlink" Target="http://csr.bu.edu/ftp/asl/asllvd/demos/verify_start_end_handshape_annotations//test_auto_move//signs_mov_separ_signers/Tyler_415.mov" TargetMode="External"/><Relationship Id="rId3909" Type="http://schemas.openxmlformats.org/officeDocument/2006/relationships/hyperlink" Target="http://secrets.rutgers.edu:8080/data/asl-ftp/asllvd/demos/verify_start_end_handshape_annotations//test_auto_move//signs_mov/415.mov" TargetMode="External"/><Relationship Id="rId3910" Type="http://schemas.openxmlformats.org/officeDocument/2006/relationships/hyperlink" Target="http://secrets.rutgers.edu:8080/data/asl-ftp/asllvd/demos/verify_start_end_handshape_annotations//test_auto_move//signs_mov_separ_signers/Tyler_415.mov" TargetMode="External"/><Relationship Id="rId3911" Type="http://schemas.openxmlformats.org/officeDocument/2006/relationships/hyperlink" Target="http://csr.bu.edu/ftp/asl/asllvd/demos/verify_start_end_handshape_annotations//test_auto_move//signs_mov_separ_signers/Naomi_415.mov" TargetMode="External"/><Relationship Id="rId3912" Type="http://schemas.openxmlformats.org/officeDocument/2006/relationships/hyperlink" Target="http://secrets.rutgers.edu:8080/data/asl-ftp/asllvd/demos/verify_start_end_handshape_annotations//test_auto_move//signs_mov_separ_signers/Naomi_415.mov" TargetMode="External"/><Relationship Id="rId3913" Type="http://schemas.openxmlformats.org/officeDocument/2006/relationships/hyperlink" Target="http://csr.bu.edu/ftp/asl/asllvd/demos/verify_start_end_handshape_annotations//test_auto_move//signs_mov/5992.mov" TargetMode="External"/><Relationship Id="rId3914" Type="http://schemas.openxmlformats.org/officeDocument/2006/relationships/hyperlink" Target="http://csr.bu.edu/ftp/asl/asllvd/demos/verify_start_end_handshape_annotations//test_auto_move//signs_mov_separ_signers/Brady_5992.mov" TargetMode="External"/><Relationship Id="rId3915" Type="http://schemas.openxmlformats.org/officeDocument/2006/relationships/hyperlink" Target="http://secrets.rutgers.edu:8080/data/asl-ftp/asllvd/demos/verify_start_end_handshape_annotations//test_auto_move//signs_mov/5992.mov" TargetMode="External"/><Relationship Id="rId3916" Type="http://schemas.openxmlformats.org/officeDocument/2006/relationships/hyperlink" Target="http://secrets.rutgers.edu:8080/data/asl-ftp/asllvd/demos/verify_start_end_handshape_annotations//test_auto_move//signs_mov_separ_signers/Brady_5992.mov" TargetMode="External"/><Relationship Id="rId3917" Type="http://schemas.openxmlformats.org/officeDocument/2006/relationships/hyperlink" Target="http://csr.bu.edu/ftp/asl/asllvd/demos/verify_start_end_handshape_annotations//test_auto_move//signs_mov/15607.mov" TargetMode="External"/><Relationship Id="rId3918" Type="http://schemas.openxmlformats.org/officeDocument/2006/relationships/hyperlink" Target="http://csr.bu.edu/ftp/asl/asllvd/demos/verify_start_end_handshape_annotations//test_auto_move//signs_mov_separ_signers/Liz_15607.mov" TargetMode="External"/><Relationship Id="rId3919" Type="http://schemas.openxmlformats.org/officeDocument/2006/relationships/hyperlink" Target="http://secrets.rutgers.edu:8080/data/asl-ftp/asllvd/demos/verify_start_end_handshape_annotations//test_auto_move//signs_mov/15607.mov" TargetMode="External"/><Relationship Id="rId3920" Type="http://schemas.openxmlformats.org/officeDocument/2006/relationships/hyperlink" Target="http://secrets.rutgers.edu:8080/data/asl-ftp/asllvd/demos/verify_start_end_handshape_annotations//test_auto_move//signs_mov_separ_signers/Liz_15607.mov" TargetMode="External"/><Relationship Id="rId3921" Type="http://schemas.openxmlformats.org/officeDocument/2006/relationships/hyperlink" Target="http://csr.bu.edu/ftp/asl/asllvd/demos/verify_start_end_handshape_annotations//test_auto_move//signs_mov_separ_signers/Brady_15607.mov" TargetMode="External"/><Relationship Id="rId3922" Type="http://schemas.openxmlformats.org/officeDocument/2006/relationships/hyperlink" Target="http://secrets.rutgers.edu:8080/data/asl-ftp/asllvd/demos/verify_start_end_handshape_annotations//test_auto_move//signs_mov_separ_signers/Brady_15607.mov" TargetMode="External"/><Relationship Id="rId3923" Type="http://schemas.openxmlformats.org/officeDocument/2006/relationships/hyperlink" Target="http://csr.bu.edu/ftp/asl/asllvd/demos/verify_start_end_handshape_annotations//test_auto_move//signs_mov_separ_signers/Liz_417.mov" TargetMode="External"/><Relationship Id="rId3924" Type="http://schemas.openxmlformats.org/officeDocument/2006/relationships/hyperlink" Target="http://secrets.rutgers.edu:8080/data/asl-ftp/asllvd/demos/verify_start_end_handshape_annotations//test_auto_move//signs_mov_separ_signers/Liz_417.mov" TargetMode="External"/><Relationship Id="rId3925" Type="http://schemas.openxmlformats.org/officeDocument/2006/relationships/hyperlink" Target="http://csr.bu.edu/ftp/asl/asllvd/demos/verify_start_end_handshape_annotations//test_auto_move//signs_mov/417.mov" TargetMode="External"/><Relationship Id="rId3926" Type="http://schemas.openxmlformats.org/officeDocument/2006/relationships/hyperlink" Target="http://csr.bu.edu/ftp/asl/asllvd/demos/verify_start_end_handshape_annotations//test_auto_move//signs_mov_separ_signers/Tyler_417.mov" TargetMode="External"/><Relationship Id="rId3927" Type="http://schemas.openxmlformats.org/officeDocument/2006/relationships/hyperlink" Target="http://secrets.rutgers.edu:8080/data/asl-ftp/asllvd/demos/verify_start_end_handshape_annotations//test_auto_move//signs_mov/417.mov" TargetMode="External"/><Relationship Id="rId3928" Type="http://schemas.openxmlformats.org/officeDocument/2006/relationships/hyperlink" Target="http://secrets.rutgers.edu:8080/data/asl-ftp/asllvd/demos/verify_start_end_handshape_annotations//test_auto_move//signs_mov_separ_signers/Tyler_417.mov" TargetMode="External"/><Relationship Id="rId3929" Type="http://schemas.openxmlformats.org/officeDocument/2006/relationships/hyperlink" Target="http://csr.bu.edu/ftp/asl/asllvd/demos/verify_start_end_handshape_annotations//test_auto_move//signs_mov_separ_signers/Naomi_417.mov" TargetMode="External"/><Relationship Id="rId3930" Type="http://schemas.openxmlformats.org/officeDocument/2006/relationships/hyperlink" Target="http://secrets.rutgers.edu:8080/data/asl-ftp/asllvd/demos/verify_start_end_handshape_annotations//test_auto_move//signs_mov_separ_signers/Naomi_417.mov" TargetMode="External"/><Relationship Id="rId3931" Type="http://schemas.openxmlformats.org/officeDocument/2006/relationships/hyperlink" Target="http://csr.bu.edu/ftp/asl/asllvd/demos/verify_start_end_handshape_annotations//test_auto_move//signs_mov/5132.mov" TargetMode="External"/><Relationship Id="rId3932" Type="http://schemas.openxmlformats.org/officeDocument/2006/relationships/hyperlink" Target="http://csr.bu.edu/ftp/asl/asllvd/demos/verify_start_end_handshape_annotations//test_auto_move//signs_mov_separ_signers/Brady_5132.mov" TargetMode="External"/><Relationship Id="rId3933" Type="http://schemas.openxmlformats.org/officeDocument/2006/relationships/hyperlink" Target="http://secrets.rutgers.edu:8080/data/asl-ftp/asllvd/demos/verify_start_end_handshape_annotations//test_auto_move//signs_mov/5132.mov" TargetMode="External"/><Relationship Id="rId3934" Type="http://schemas.openxmlformats.org/officeDocument/2006/relationships/hyperlink" Target="http://secrets.rutgers.edu:8080/data/asl-ftp/asllvd/demos/verify_start_end_handshape_annotations//test_auto_move//signs_mov_separ_signers/Brady_5132.mov" TargetMode="External"/><Relationship Id="rId3935" Type="http://schemas.openxmlformats.org/officeDocument/2006/relationships/hyperlink" Target="http://csr.bu.edu/ftp/asl/asllvd/demos/verify_start_end_handshape_annotations//test_auto_move//signs_mov_separ_signers/Liz_421.mov" TargetMode="External"/><Relationship Id="rId3936" Type="http://schemas.openxmlformats.org/officeDocument/2006/relationships/hyperlink" Target="http://secrets.rutgers.edu:8080/data/asl-ftp/asllvd/demos/verify_start_end_handshape_annotations//test_auto_move//signs_mov_separ_signers/Liz_421.mov" TargetMode="External"/><Relationship Id="rId3937" Type="http://schemas.openxmlformats.org/officeDocument/2006/relationships/hyperlink" Target="http://csr.bu.edu/ftp/asl/asllvd/demos/verify_start_end_handshape_annotations//test_auto_move//signs_mov_separ_signers/Tyler_421.mov" TargetMode="External"/><Relationship Id="rId3938" Type="http://schemas.openxmlformats.org/officeDocument/2006/relationships/hyperlink" Target="http://secrets.rutgers.edu:8080/data/asl-ftp/asllvd/demos/verify_start_end_handshape_annotations//test_auto_move//signs_mov_separ_signers/Tyler_421.mov" TargetMode="External"/><Relationship Id="rId3939" Type="http://schemas.openxmlformats.org/officeDocument/2006/relationships/hyperlink" Target="http://csr.bu.edu/ftp/asl/asllvd/demos/verify_start_end_handshape_annotations//test_auto_move//signs_mov/421.mov" TargetMode="External"/><Relationship Id="rId3940" Type="http://schemas.openxmlformats.org/officeDocument/2006/relationships/hyperlink" Target="http://csr.bu.edu/ftp/asl/asllvd/demos/verify_start_end_handshape_annotations//test_auto_move//signs_mov_separ_signers/Naomi_421.mov" TargetMode="External"/><Relationship Id="rId3941" Type="http://schemas.openxmlformats.org/officeDocument/2006/relationships/hyperlink" Target="http://secrets.rutgers.edu:8080/data/asl-ftp/asllvd/demos/verify_start_end_handshape_annotations//test_auto_move//signs_mov/421.mov" TargetMode="External"/><Relationship Id="rId3942" Type="http://schemas.openxmlformats.org/officeDocument/2006/relationships/hyperlink" Target="http://secrets.rutgers.edu:8080/data/asl-ftp/asllvd/demos/verify_start_end_handshape_annotations//test_auto_move//signs_mov_separ_signers/Naomi_421.mov" TargetMode="External"/><Relationship Id="rId3943" Type="http://schemas.openxmlformats.org/officeDocument/2006/relationships/hyperlink" Target="http://csr.bu.edu/ftp/asl/asllvd/demos/verify_start_end_handshape_annotations//test_auto_move//signs_mov_separ_signers/Brady_421.mov" TargetMode="External"/><Relationship Id="rId3944" Type="http://schemas.openxmlformats.org/officeDocument/2006/relationships/hyperlink" Target="http://secrets.rutgers.edu:8080/data/asl-ftp/asllvd/demos/verify_start_end_handshape_annotations//test_auto_move//signs_mov_separ_signers/Brady_421.mov" TargetMode="External"/><Relationship Id="rId3945" Type="http://schemas.openxmlformats.org/officeDocument/2006/relationships/hyperlink" Target="http://csr.bu.edu/ftp/asl/asllvd/demos/verify_start_end_handshape_annotations//test_auto_move//signs_mov_separ_signers/Lana_421.mov" TargetMode="External"/><Relationship Id="rId3946" Type="http://schemas.openxmlformats.org/officeDocument/2006/relationships/hyperlink" Target="http://secrets.rutgers.edu:8080/data/asl-ftp/asllvd/demos/verify_start_end_handshape_annotations//test_auto_move//signs_mov_separ_signers/Lana_421.mov" TargetMode="External"/><Relationship Id="rId3947" Type="http://schemas.openxmlformats.org/officeDocument/2006/relationships/hyperlink" Target="http://csr.bu.edu/ftp/asl/asllvd/demos/verify_start_end_handshape_annotations//test_auto_move//signs_mov_separ_signers/Dana_421.mov" TargetMode="External"/><Relationship Id="rId3948" Type="http://schemas.openxmlformats.org/officeDocument/2006/relationships/hyperlink" Target="http://secrets.rutgers.edu:8080/data/asl-ftp/asllvd/demos/verify_start_end_handshape_annotations//test_auto_move//signs_mov_separ_signers/Dana_421.mov" TargetMode="External"/><Relationship Id="rId3949" Type="http://schemas.openxmlformats.org/officeDocument/2006/relationships/hyperlink" Target="http://csr.bu.edu/ftp/asl/asllvd/demos/verify_start_end_handshape_annotations//test_auto_move//signs_mov/422.mov" TargetMode="External"/><Relationship Id="rId3950" Type="http://schemas.openxmlformats.org/officeDocument/2006/relationships/hyperlink" Target="http://csr.bu.edu/ftp/asl/asllvd/demos/verify_start_end_handshape_annotations//test_auto_move//signs_mov_separ_signers/Liz_422.mov" TargetMode="External"/><Relationship Id="rId3951" Type="http://schemas.openxmlformats.org/officeDocument/2006/relationships/hyperlink" Target="http://secrets.rutgers.edu:8080/data/asl-ftp/asllvd/demos/verify_start_end_handshape_annotations//test_auto_move//signs_mov/422.mov" TargetMode="External"/><Relationship Id="rId3952" Type="http://schemas.openxmlformats.org/officeDocument/2006/relationships/hyperlink" Target="http://secrets.rutgers.edu:8080/data/asl-ftp/asllvd/demos/verify_start_end_handshape_annotations//test_auto_move//signs_mov_separ_signers/Liz_422.mov" TargetMode="External"/><Relationship Id="rId3953" Type="http://schemas.openxmlformats.org/officeDocument/2006/relationships/hyperlink" Target="http://csr.bu.edu/ftp/asl/asllvd/demos/verify_start_end_handshape_annotations//test_auto_move//signs_mov_separ_signers/Tyler_422.mov" TargetMode="External"/><Relationship Id="rId3954" Type="http://schemas.openxmlformats.org/officeDocument/2006/relationships/hyperlink" Target="http://secrets.rutgers.edu:8080/data/asl-ftp/asllvd/demos/verify_start_end_handshape_annotations//test_auto_move//signs_mov_separ_signers/Tyler_422.mov" TargetMode="External"/><Relationship Id="rId3955" Type="http://schemas.openxmlformats.org/officeDocument/2006/relationships/hyperlink" Target="http://csr.bu.edu/ftp/asl/asllvd/demos/verify_start_end_handshape_annotations//test_auto_move//signs_mov_separ_signers/Liz_425.mov" TargetMode="External"/><Relationship Id="rId3956" Type="http://schemas.openxmlformats.org/officeDocument/2006/relationships/hyperlink" Target="http://secrets.rutgers.edu:8080/data/asl-ftp/asllvd/demos/verify_start_end_handshape_annotations//test_auto_move//signs_mov_separ_signers/Liz_425.mov" TargetMode="External"/><Relationship Id="rId3957" Type="http://schemas.openxmlformats.org/officeDocument/2006/relationships/hyperlink" Target="http://csr.bu.edu/ftp/asl/asllvd/demos/verify_start_end_handshape_annotations//test_auto_move//signs_mov_separ_signers/Tyler_425.mov" TargetMode="External"/><Relationship Id="rId3958" Type="http://schemas.openxmlformats.org/officeDocument/2006/relationships/hyperlink" Target="http://secrets.rutgers.edu:8080/data/asl-ftp/asllvd/demos/verify_start_end_handshape_annotations//test_auto_move//signs_mov_separ_signers/Tyler_425.mov" TargetMode="External"/><Relationship Id="rId3959" Type="http://schemas.openxmlformats.org/officeDocument/2006/relationships/hyperlink" Target="http://csr.bu.edu/ftp/asl/asllvd/demos/verify_start_end_handshape_annotations//test_auto_move//signs_mov/425.mov" TargetMode="External"/><Relationship Id="rId3960" Type="http://schemas.openxmlformats.org/officeDocument/2006/relationships/hyperlink" Target="http://csr.bu.edu/ftp/asl/asllvd/demos/verify_start_end_handshape_annotations//test_auto_move//signs_mov_separ_signers/Naomi_425.mov" TargetMode="External"/><Relationship Id="rId3961" Type="http://schemas.openxmlformats.org/officeDocument/2006/relationships/hyperlink" Target="http://secrets.rutgers.edu:8080/data/asl-ftp/asllvd/demos/verify_start_end_handshape_annotations//test_auto_move//signs_mov/425.mov" TargetMode="External"/><Relationship Id="rId3962" Type="http://schemas.openxmlformats.org/officeDocument/2006/relationships/hyperlink" Target="http://secrets.rutgers.edu:8080/data/asl-ftp/asllvd/demos/verify_start_end_handshape_annotations//test_auto_move//signs_mov_separ_signers/Naomi_425.mov" TargetMode="External"/><Relationship Id="rId3963" Type="http://schemas.openxmlformats.org/officeDocument/2006/relationships/hyperlink" Target="http://csr.bu.edu/ftp/asl/asllvd/demos/verify_start_end_handshape_annotations//test_auto_move//signs_mov_separ_signers/Brady_425.mov" TargetMode="External"/><Relationship Id="rId3964" Type="http://schemas.openxmlformats.org/officeDocument/2006/relationships/hyperlink" Target="http://secrets.rutgers.edu:8080/data/asl-ftp/asllvd/demos/verify_start_end_handshape_annotations//test_auto_move//signs_mov_separ_signers/Brady_425.mov" TargetMode="External"/><Relationship Id="rId3965" Type="http://schemas.openxmlformats.org/officeDocument/2006/relationships/hyperlink" Target="http://csr.bu.edu/ftp/asl/asllvd/demos/verify_start_end_handshape_annotations//test_auto_move//signs_mov_separ_signers/Lana_425.mov" TargetMode="External"/><Relationship Id="rId3966" Type="http://schemas.openxmlformats.org/officeDocument/2006/relationships/hyperlink" Target="http://secrets.rutgers.edu:8080/data/asl-ftp/asllvd/demos/verify_start_end_handshape_annotations//test_auto_move//signs_mov_separ_signers/Lana_425.mov" TargetMode="External"/><Relationship Id="rId3967" Type="http://schemas.openxmlformats.org/officeDocument/2006/relationships/hyperlink" Target="http://csr.bu.edu/ftp/asl/asllvd/demos/verify_start_end_handshape_annotations//test_auto_move//signs_mov_separ_signers/Dana_425.mov" TargetMode="External"/><Relationship Id="rId3968" Type="http://schemas.openxmlformats.org/officeDocument/2006/relationships/hyperlink" Target="http://secrets.rutgers.edu:8080/data/asl-ftp/asllvd/demos/verify_start_end_handshape_annotations//test_auto_move//signs_mov_separ_signers/Dana_425.mov" TargetMode="External"/><Relationship Id="rId3969" Type="http://schemas.openxmlformats.org/officeDocument/2006/relationships/hyperlink" Target="http://csr.bu.edu/ftp/asl/asllvd/demos/verify_start_end_handshape_annotations//test_auto_move//signs_mov_separ_signers/Liz_426.mov" TargetMode="External"/><Relationship Id="rId3970" Type="http://schemas.openxmlformats.org/officeDocument/2006/relationships/hyperlink" Target="http://secrets.rutgers.edu:8080/data/asl-ftp/asllvd/demos/verify_start_end_handshape_annotations//test_auto_move//signs_mov_separ_signers/Liz_426.mov" TargetMode="External"/><Relationship Id="rId3971" Type="http://schemas.openxmlformats.org/officeDocument/2006/relationships/hyperlink" Target="http://csr.bu.edu/ftp/asl/asllvd/demos/verify_start_end_handshape_annotations//test_auto_move//signs_mov_separ_signers/Tyler_426.mov" TargetMode="External"/><Relationship Id="rId3972" Type="http://schemas.openxmlformats.org/officeDocument/2006/relationships/hyperlink" Target="http://secrets.rutgers.edu:8080/data/asl-ftp/asllvd/demos/verify_start_end_handshape_annotations//test_auto_move//signs_mov_separ_signers/Tyler_426.mov" TargetMode="External"/><Relationship Id="rId3973" Type="http://schemas.openxmlformats.org/officeDocument/2006/relationships/hyperlink" Target="http://csr.bu.edu/ftp/asl/asllvd/demos/verify_start_end_handshape_annotations//test_auto_move//signs_mov/426_3590_merged.mov" TargetMode="External"/><Relationship Id="rId3974" Type="http://schemas.openxmlformats.org/officeDocument/2006/relationships/hyperlink" Target="http://csr.bu.edu/ftp/asl/asllvd/demos/verify_start_end_handshape_annotations//test_auto_move//signs_mov_separ_signers/Naomi_426.mov" TargetMode="External"/><Relationship Id="rId3975" Type="http://schemas.openxmlformats.org/officeDocument/2006/relationships/hyperlink" Target="http://secrets.rutgers.edu:8080/data/asl-ftp/asllvd/demos/verify_start_end_handshape_annotations//test_auto_move//signs_mov/426_3590_merged.mov" TargetMode="External"/><Relationship Id="rId3976" Type="http://schemas.openxmlformats.org/officeDocument/2006/relationships/hyperlink" Target="http://secrets.rutgers.edu:8080/data/asl-ftp/asllvd/demos/verify_start_end_handshape_annotations//test_auto_move//signs_mov_separ_signers/Naomi_426.mov" TargetMode="External"/><Relationship Id="rId3977" Type="http://schemas.openxmlformats.org/officeDocument/2006/relationships/hyperlink" Target="http://csr.bu.edu/ftp/asl/asllvd/demos/verify_start_end_handshape_annotations//test_auto_move//signs_mov_separ_signers/Naomi_3590.mov" TargetMode="External"/><Relationship Id="rId3978" Type="http://schemas.openxmlformats.org/officeDocument/2006/relationships/hyperlink" Target="http://secrets.rutgers.edu:8080/data/asl-ftp/asllvd/demos/verify_start_end_handshape_annotations//test_auto_move//signs_mov_separ_signers/Naomi_3590.mov" TargetMode="External"/><Relationship Id="rId3979" Type="http://schemas.openxmlformats.org/officeDocument/2006/relationships/hyperlink" Target="http://csr.bu.edu/ftp/asl/asllvd/demos/verify_start_end_handshape_annotations//test_auto_move//signs_mov_separ_signers/Brady_426.mov" TargetMode="External"/><Relationship Id="rId3980" Type="http://schemas.openxmlformats.org/officeDocument/2006/relationships/hyperlink" Target="http://secrets.rutgers.edu:8080/data/asl-ftp/asllvd/demos/verify_start_end_handshape_annotations//test_auto_move//signs_mov_separ_signers/Brady_426.mov" TargetMode="External"/><Relationship Id="rId3981" Type="http://schemas.openxmlformats.org/officeDocument/2006/relationships/hyperlink" Target="http://csr.bu.edu/ftp/asl/asllvd/demos/verify_start_end_handshape_annotations//test_auto_move//signs_mov/3591.mov" TargetMode="External"/><Relationship Id="rId3982" Type="http://schemas.openxmlformats.org/officeDocument/2006/relationships/hyperlink" Target="http://csr.bu.edu/ftp/asl/asllvd/demos/verify_start_end_handshape_annotations//test_auto_move//signs_mov_separ_signers/Lana_3591.mov" TargetMode="External"/><Relationship Id="rId3983" Type="http://schemas.openxmlformats.org/officeDocument/2006/relationships/hyperlink" Target="http://secrets.rutgers.edu:8080/data/asl-ftp/asllvd/demos/verify_start_end_handshape_annotations//test_auto_move//signs_mov/3591.mov" TargetMode="External"/><Relationship Id="rId3984" Type="http://schemas.openxmlformats.org/officeDocument/2006/relationships/hyperlink" Target="http://secrets.rutgers.edu:8080/data/asl-ftp/asllvd/demos/verify_start_end_handshape_annotations//test_auto_move//signs_mov_separ_signers/Lana_3591.mov" TargetMode="External"/><Relationship Id="rId3985" Type="http://schemas.openxmlformats.org/officeDocument/2006/relationships/hyperlink" Target="http://csr.bu.edu/ftp/asl/asllvd/demos/verify_start_end_handshape_annotations//test_auto_move//signs_mov_separ_signers/Dana_3591.mov" TargetMode="External"/><Relationship Id="rId3986" Type="http://schemas.openxmlformats.org/officeDocument/2006/relationships/hyperlink" Target="http://secrets.rutgers.edu:8080/data/asl-ftp/asllvd/demos/verify_start_end_handshape_annotations//test_auto_move//signs_mov_separ_signers/Dana_3591.mov" TargetMode="External"/><Relationship Id="rId3987" Type="http://schemas.openxmlformats.org/officeDocument/2006/relationships/hyperlink" Target="http://csr.bu.edu/ftp/asl/asllvd/demos/verify_start_end_handshape_annotations//test_auto_move//signs_mov/5133.mov" TargetMode="External"/><Relationship Id="rId3988" Type="http://schemas.openxmlformats.org/officeDocument/2006/relationships/hyperlink" Target="http://csr.bu.edu/ftp/asl/asllvd/demos/verify_start_end_handshape_annotations//test_auto_move//signs_mov_separ_signers/Liz_5133.mov" TargetMode="External"/><Relationship Id="rId3989" Type="http://schemas.openxmlformats.org/officeDocument/2006/relationships/hyperlink" Target="http://secrets.rutgers.edu:8080/data/asl-ftp/asllvd/demos/verify_start_end_handshape_annotations//test_auto_move//signs_mov/5133.mov" TargetMode="External"/><Relationship Id="rId3990" Type="http://schemas.openxmlformats.org/officeDocument/2006/relationships/hyperlink" Target="http://secrets.rutgers.edu:8080/data/asl-ftp/asllvd/demos/verify_start_end_handshape_annotations//test_auto_move//signs_mov_separ_signers/Liz_5133.mov" TargetMode="External"/><Relationship Id="rId3991" Type="http://schemas.openxmlformats.org/officeDocument/2006/relationships/hyperlink" Target="http://csr.bu.edu/ftp/asl/asllvd/demos/verify_start_end_handshape_annotations//test_auto_move//signs_mov_separ_signers/Liz_5134.mov" TargetMode="External"/><Relationship Id="rId3992" Type="http://schemas.openxmlformats.org/officeDocument/2006/relationships/hyperlink" Target="http://secrets.rutgers.edu:8080/data/asl-ftp/asllvd/demos/verify_start_end_handshape_annotations//test_auto_move//signs_mov_separ_signers/Liz_5134.mov" TargetMode="External"/><Relationship Id="rId3993" Type="http://schemas.openxmlformats.org/officeDocument/2006/relationships/hyperlink" Target="http://csr.bu.edu/ftp/asl/asllvd/demos/verify_start_end_handshape_annotations//test_auto_move//signs_mov/5134_5391_merged.mov" TargetMode="External"/><Relationship Id="rId3994" Type="http://schemas.openxmlformats.org/officeDocument/2006/relationships/hyperlink" Target="http://csr.bu.edu/ftp/asl/asllvd/demos/verify_start_end_handshape_annotations//test_auto_move//signs_mov_separ_signers/Naomi_5134.mov" TargetMode="External"/><Relationship Id="rId3995" Type="http://schemas.openxmlformats.org/officeDocument/2006/relationships/hyperlink" Target="http://secrets.rutgers.edu:8080/data/asl-ftp/asllvd/demos/verify_start_end_handshape_annotations//test_auto_move//signs_mov/5134_5391_merged.mov" TargetMode="External"/><Relationship Id="rId3996" Type="http://schemas.openxmlformats.org/officeDocument/2006/relationships/hyperlink" Target="http://secrets.rutgers.edu:8080/data/asl-ftp/asllvd/demos/verify_start_end_handshape_annotations//test_auto_move//signs_mov_separ_signers/Naomi_5134.mov" TargetMode="External"/><Relationship Id="rId3997" Type="http://schemas.openxmlformats.org/officeDocument/2006/relationships/hyperlink" Target="http://csr.bu.edu/ftp/asl/asllvd/demos/verify_start_end_handshape_annotations//test_auto_move//signs_mov_separ_signers/Brady_5134.mov" TargetMode="External"/><Relationship Id="rId3998" Type="http://schemas.openxmlformats.org/officeDocument/2006/relationships/hyperlink" Target="http://secrets.rutgers.edu:8080/data/asl-ftp/asllvd/demos/verify_start_end_handshape_annotations//test_auto_move//signs_mov_separ_signers/Brady_5134.mov" TargetMode="External"/><Relationship Id="rId3999" Type="http://schemas.openxmlformats.org/officeDocument/2006/relationships/hyperlink" Target="http://csr.bu.edu/ftp/asl/asllvd/demos/verify_start_end_handshape_annotations//test_auto_move//signs_mov_separ_signers/Brady_5391.mov" TargetMode="External"/><Relationship Id="rId4000" Type="http://schemas.openxmlformats.org/officeDocument/2006/relationships/hyperlink" Target="http://secrets.rutgers.edu:8080/data/asl-ftp/asllvd/demos/verify_start_end_handshape_annotations//test_auto_move//signs_mov_separ_signers/Brady_5391.mov" TargetMode="External"/><Relationship Id="rId4001" Type="http://schemas.openxmlformats.org/officeDocument/2006/relationships/hyperlink" Target="http://csr.bu.edu/ftp/asl/asllvd/demos/verify_start_end_handshape_annotations//test_auto_move//signs_mov_separ_signers/Liz_429.mov" TargetMode="External"/><Relationship Id="rId4002" Type="http://schemas.openxmlformats.org/officeDocument/2006/relationships/hyperlink" Target="http://secrets.rutgers.edu:8080/data/asl-ftp/asllvd/demos/verify_start_end_handshape_annotations//test_auto_move//signs_mov_separ_signers/Liz_429.mov" TargetMode="External"/><Relationship Id="rId4003" Type="http://schemas.openxmlformats.org/officeDocument/2006/relationships/hyperlink" Target="http://csr.bu.edu/ftp/asl/asllvd/demos/verify_start_end_handshape_annotations//test_auto_move//signs_mov/429.mov" TargetMode="External"/><Relationship Id="rId4004" Type="http://schemas.openxmlformats.org/officeDocument/2006/relationships/hyperlink" Target="http://csr.bu.edu/ftp/asl/asllvd/demos/verify_start_end_handshape_annotations//test_auto_move//signs_mov_separ_signers/Tyler_429.mov" TargetMode="External"/><Relationship Id="rId4005" Type="http://schemas.openxmlformats.org/officeDocument/2006/relationships/hyperlink" Target="http://secrets.rutgers.edu:8080/data/asl-ftp/asllvd/demos/verify_start_end_handshape_annotations//test_auto_move//signs_mov/429.mov" TargetMode="External"/><Relationship Id="rId4006" Type="http://schemas.openxmlformats.org/officeDocument/2006/relationships/hyperlink" Target="http://secrets.rutgers.edu:8080/data/asl-ftp/asllvd/demos/verify_start_end_handshape_annotations//test_auto_move//signs_mov_separ_signers/Tyler_429.mov" TargetMode="External"/><Relationship Id="rId4007" Type="http://schemas.openxmlformats.org/officeDocument/2006/relationships/hyperlink" Target="http://csr.bu.edu/ftp/asl/asllvd/demos/verify_start_end_handshape_annotations//test_auto_move//signs_mov_separ_signers/Naomi_429.mov" TargetMode="External"/><Relationship Id="rId4008" Type="http://schemas.openxmlformats.org/officeDocument/2006/relationships/hyperlink" Target="http://secrets.rutgers.edu:8080/data/asl-ftp/asllvd/demos/verify_start_end_handshape_annotations//test_auto_move//signs_mov_separ_signers/Naomi_429.mov" TargetMode="External"/><Relationship Id="rId4009" Type="http://schemas.openxmlformats.org/officeDocument/2006/relationships/hyperlink" Target="http://csr.bu.edu/ftp/asl/asllvd/demos/verify_start_end_handshape_annotations//test_auto_move//signs_mov_separ_signers/Brady_429.mov" TargetMode="External"/><Relationship Id="rId4010" Type="http://schemas.openxmlformats.org/officeDocument/2006/relationships/hyperlink" Target="http://secrets.rutgers.edu:8080/data/asl-ftp/asllvd/demos/verify_start_end_handshape_annotations//test_auto_move//signs_mov_separ_signers/Brady_429.mov" TargetMode="External"/><Relationship Id="rId4011" Type="http://schemas.openxmlformats.org/officeDocument/2006/relationships/hyperlink" Target="http://csr.bu.edu/ftp/asl/asllvd/demos/verify_start_end_handshape_annotations//test_auto_move//signs_mov/5978.mov" TargetMode="External"/><Relationship Id="rId4012" Type="http://schemas.openxmlformats.org/officeDocument/2006/relationships/hyperlink" Target="http://csr.bu.edu/ftp/asl/asllvd/demos/verify_start_end_handshape_annotations//test_auto_move//signs_mov_separ_signers/Naomi_5978.mov" TargetMode="External"/><Relationship Id="rId4013" Type="http://schemas.openxmlformats.org/officeDocument/2006/relationships/hyperlink" Target="http://secrets.rutgers.edu:8080/data/asl-ftp/asllvd/demos/verify_start_end_handshape_annotations//test_auto_move//signs_mov/5978.mov" TargetMode="External"/><Relationship Id="rId4014" Type="http://schemas.openxmlformats.org/officeDocument/2006/relationships/hyperlink" Target="http://secrets.rutgers.edu:8080/data/asl-ftp/asllvd/demos/verify_start_end_handshape_annotations//test_auto_move//signs_mov_separ_signers/Naomi_5978.mov" TargetMode="External"/><Relationship Id="rId4015" Type="http://schemas.openxmlformats.org/officeDocument/2006/relationships/hyperlink" Target="http://csr.bu.edu/ftp/asl/asllvd/demos/verify_start_end_handshape_annotations//test_auto_move//signs_mov_separ_signers/Liz_4779.mov" TargetMode="External"/><Relationship Id="rId4016" Type="http://schemas.openxmlformats.org/officeDocument/2006/relationships/hyperlink" Target="http://secrets.rutgers.edu:8080/data/asl-ftp/asllvd/demos/verify_start_end_handshape_annotations//test_auto_move//signs_mov_separ_signers/Liz_4779.mov" TargetMode="External"/><Relationship Id="rId4017" Type="http://schemas.openxmlformats.org/officeDocument/2006/relationships/hyperlink" Target="http://csr.bu.edu/ftp/asl/asllvd/demos/verify_start_end_handshape_annotations//test_auto_move//signs_mov/4779.mov" TargetMode="External"/><Relationship Id="rId4018" Type="http://schemas.openxmlformats.org/officeDocument/2006/relationships/hyperlink" Target="http://csr.bu.edu/ftp/asl/asllvd/demos/verify_start_end_handshape_annotations//test_auto_move//signs_mov_separ_signers/Tyler_4779.mov" TargetMode="External"/><Relationship Id="rId4019" Type="http://schemas.openxmlformats.org/officeDocument/2006/relationships/hyperlink" Target="http://secrets.rutgers.edu:8080/data/asl-ftp/asllvd/demos/verify_start_end_handshape_annotations//test_auto_move//signs_mov/4779.mov" TargetMode="External"/><Relationship Id="rId4020" Type="http://schemas.openxmlformats.org/officeDocument/2006/relationships/hyperlink" Target="http://secrets.rutgers.edu:8080/data/asl-ftp/asllvd/demos/verify_start_end_handshape_annotations//test_auto_move//signs_mov_separ_signers/Tyler_4779.mov" TargetMode="External"/><Relationship Id="rId4021" Type="http://schemas.openxmlformats.org/officeDocument/2006/relationships/hyperlink" Target="http://csr.bu.edu/ftp/asl/asllvd/demos/verify_start_end_handshape_annotations//test_auto_move//signs_mov_separ_signers/Brady_4779.mov" TargetMode="External"/><Relationship Id="rId4022" Type="http://schemas.openxmlformats.org/officeDocument/2006/relationships/hyperlink" Target="http://secrets.rutgers.edu:8080/data/asl-ftp/asllvd/demos/verify_start_end_handshape_annotations//test_auto_move//signs_mov_separ_signers/Brady_4779.mov" TargetMode="External"/><Relationship Id="rId4023" Type="http://schemas.openxmlformats.org/officeDocument/2006/relationships/hyperlink" Target="http://csr.bu.edu/ftp/asl/asllvd/demos/verify_start_end_handshape_annotations//test_auto_move//signs_mov/432.mov" TargetMode="External"/><Relationship Id="rId4024" Type="http://schemas.openxmlformats.org/officeDocument/2006/relationships/hyperlink" Target="http://csr.bu.edu/ftp/asl/asllvd/demos/verify_start_end_handshape_annotations//test_auto_move//signs_mov_separ_signers/Liz_432.mov" TargetMode="External"/><Relationship Id="rId4025" Type="http://schemas.openxmlformats.org/officeDocument/2006/relationships/hyperlink" Target="http://secrets.rutgers.edu:8080/data/asl-ftp/asllvd/demos/verify_start_end_handshape_annotations//test_auto_move//signs_mov/432.mov" TargetMode="External"/><Relationship Id="rId4026" Type="http://schemas.openxmlformats.org/officeDocument/2006/relationships/hyperlink" Target="http://secrets.rutgers.edu:8080/data/asl-ftp/asllvd/demos/verify_start_end_handshape_annotations//test_auto_move//signs_mov_separ_signers/Liz_432.mov" TargetMode="External"/><Relationship Id="rId4027" Type="http://schemas.openxmlformats.org/officeDocument/2006/relationships/hyperlink" Target="http://csr.bu.edu/ftp/asl/asllvd/demos/verify_start_end_handshape_annotations//test_auto_move//signs_mov/5011.mov" TargetMode="External"/><Relationship Id="rId4028" Type="http://schemas.openxmlformats.org/officeDocument/2006/relationships/hyperlink" Target="http://csr.bu.edu/ftp/asl/asllvd/demos/verify_start_end_handshape_annotations//test_auto_move//signs_mov_separ_signers/Tyler_5011.mov" TargetMode="External"/><Relationship Id="rId4029" Type="http://schemas.openxmlformats.org/officeDocument/2006/relationships/hyperlink" Target="http://secrets.rutgers.edu:8080/data/asl-ftp/asllvd/demos/verify_start_end_handshape_annotations//test_auto_move//signs_mov/5011.mov" TargetMode="External"/><Relationship Id="rId4030" Type="http://schemas.openxmlformats.org/officeDocument/2006/relationships/hyperlink" Target="http://secrets.rutgers.edu:8080/data/asl-ftp/asllvd/demos/verify_start_end_handshape_annotations//test_auto_move//signs_mov_separ_signers/Tyler_5011.mov" TargetMode="External"/><Relationship Id="rId4031" Type="http://schemas.openxmlformats.org/officeDocument/2006/relationships/hyperlink" Target="http://csr.bu.edu/ftp/asl/asllvd/demos/verify_start_end_handshape_annotations//test_auto_move//signs_mov/5994.mov" TargetMode="External"/><Relationship Id="rId4032" Type="http://schemas.openxmlformats.org/officeDocument/2006/relationships/hyperlink" Target="http://csr.bu.edu/ftp/asl/asllvd/demos/verify_start_end_handshape_annotations//test_auto_move//signs_mov_separ_signers/Brady_5994.mov" TargetMode="External"/><Relationship Id="rId4033" Type="http://schemas.openxmlformats.org/officeDocument/2006/relationships/hyperlink" Target="http://secrets.rutgers.edu:8080/data/asl-ftp/asllvd/demos/verify_start_end_handshape_annotations//test_auto_move//signs_mov/5994.mov" TargetMode="External"/><Relationship Id="rId4034" Type="http://schemas.openxmlformats.org/officeDocument/2006/relationships/hyperlink" Target="http://secrets.rutgers.edu:8080/data/asl-ftp/asllvd/demos/verify_start_end_handshape_annotations//test_auto_move//signs_mov_separ_signers/Brady_5994.mov" TargetMode="External"/><Relationship Id="rId4035" Type="http://schemas.openxmlformats.org/officeDocument/2006/relationships/hyperlink" Target="http://csr.bu.edu/ftp/asl/asllvd/demos/verify_start_end_handshape_annotations//test_auto_move//signs_mov_separ_signers/Liz_433.mov" TargetMode="External"/><Relationship Id="rId4036" Type="http://schemas.openxmlformats.org/officeDocument/2006/relationships/hyperlink" Target="http://secrets.rutgers.edu:8080/data/asl-ftp/asllvd/demos/verify_start_end_handshape_annotations//test_auto_move//signs_mov_separ_signers/Liz_433.mov" TargetMode="External"/><Relationship Id="rId4037" Type="http://schemas.openxmlformats.org/officeDocument/2006/relationships/hyperlink" Target="http://csr.bu.edu/ftp/asl/asllvd/demos/verify_start_end_handshape_annotations//test_auto_move//signs_mov/433.mov" TargetMode="External"/><Relationship Id="rId4038" Type="http://schemas.openxmlformats.org/officeDocument/2006/relationships/hyperlink" Target="http://csr.bu.edu/ftp/asl/asllvd/demos/verify_start_end_handshape_annotations//test_auto_move//signs_mov_separ_signers/Tyler_433.mov" TargetMode="External"/><Relationship Id="rId4039" Type="http://schemas.openxmlformats.org/officeDocument/2006/relationships/hyperlink" Target="http://secrets.rutgers.edu:8080/data/asl-ftp/asllvd/demos/verify_start_end_handshape_annotations//test_auto_move//signs_mov/433.mov" TargetMode="External"/><Relationship Id="rId4040" Type="http://schemas.openxmlformats.org/officeDocument/2006/relationships/hyperlink" Target="http://secrets.rutgers.edu:8080/data/asl-ftp/asllvd/demos/verify_start_end_handshape_annotations//test_auto_move//signs_mov_separ_signers/Tyler_433.mov" TargetMode="External"/><Relationship Id="rId4041" Type="http://schemas.openxmlformats.org/officeDocument/2006/relationships/hyperlink" Target="http://csr.bu.edu/ftp/asl/asllvd/demos/verify_start_end_handshape_annotations//test_auto_move//signs_mov_separ_signers/Dana_433.mov" TargetMode="External"/><Relationship Id="rId4042" Type="http://schemas.openxmlformats.org/officeDocument/2006/relationships/hyperlink" Target="http://secrets.rutgers.edu:8080/data/asl-ftp/asllvd/demos/verify_start_end_handshape_annotations//test_auto_move//signs_mov_separ_signers/Dana_433.mov" TargetMode="External"/><Relationship Id="rId4043" Type="http://schemas.openxmlformats.org/officeDocument/2006/relationships/hyperlink" Target="http://csr.bu.edu/ftp/asl/asllvd/demos/verify_start_end_handshape_annotations//test_auto_move//signs_mov_separ_signers/Liz_15150.mov" TargetMode="External"/><Relationship Id="rId4044" Type="http://schemas.openxmlformats.org/officeDocument/2006/relationships/hyperlink" Target="http://secrets.rutgers.edu:8080/data/asl-ftp/asllvd/demos/verify_start_end_handshape_annotations//test_auto_move//signs_mov_separ_signers/Liz_15150.mov" TargetMode="External"/><Relationship Id="rId4045" Type="http://schemas.openxmlformats.org/officeDocument/2006/relationships/hyperlink" Target="http://csr.bu.edu/ftp/asl/asllvd/demos/verify_start_end_handshape_annotations//test_auto_move//signs_mov_separ_signers/Liz_15282.mov" TargetMode="External"/><Relationship Id="rId4046" Type="http://schemas.openxmlformats.org/officeDocument/2006/relationships/hyperlink" Target="http://secrets.rutgers.edu:8080/data/asl-ftp/asllvd/demos/verify_start_end_handshape_annotations//test_auto_move//signs_mov_separ_signers/Liz_15282.mov" TargetMode="External"/><Relationship Id="rId4047" Type="http://schemas.openxmlformats.org/officeDocument/2006/relationships/hyperlink" Target="http://csr.bu.edu/ftp/asl/asllvd/demos/verify_start_end_handshape_annotations//test_auto_move//signs_mov/15150_15282_merged.mov" TargetMode="External"/><Relationship Id="rId4048" Type="http://schemas.openxmlformats.org/officeDocument/2006/relationships/hyperlink" Target="http://csr.bu.edu/ftp/asl/asllvd/demos/verify_start_end_handshape_annotations//test_auto_move//signs_mov_separ_signers/Tyler_15150.mov" TargetMode="External"/><Relationship Id="rId4049" Type="http://schemas.openxmlformats.org/officeDocument/2006/relationships/hyperlink" Target="http://secrets.rutgers.edu:8080/data/asl-ftp/asllvd/demos/verify_start_end_handshape_annotations//test_auto_move//signs_mov/15150_15282_merged.mov" TargetMode="External"/><Relationship Id="rId4050" Type="http://schemas.openxmlformats.org/officeDocument/2006/relationships/hyperlink" Target="http://secrets.rutgers.edu:8080/data/asl-ftp/asllvd/demos/verify_start_end_handshape_annotations//test_auto_move//signs_mov_separ_signers/Tyler_15150.mov" TargetMode="External"/><Relationship Id="rId4051" Type="http://schemas.openxmlformats.org/officeDocument/2006/relationships/hyperlink" Target="http://csr.bu.edu/ftp/asl/asllvd/demos/verify_start_end_handshape_annotations//test_auto_move//signs_mov_separ_signers/Naomi_15150.mov" TargetMode="External"/><Relationship Id="rId4052" Type="http://schemas.openxmlformats.org/officeDocument/2006/relationships/hyperlink" Target="http://secrets.rutgers.edu:8080/data/asl-ftp/asllvd/demos/verify_start_end_handshape_annotations//test_auto_move//signs_mov_separ_signers/Naomi_15150.mov" TargetMode="External"/><Relationship Id="rId4053" Type="http://schemas.openxmlformats.org/officeDocument/2006/relationships/hyperlink" Target="http://csr.bu.edu/ftp/asl/asllvd/demos/verify_start_end_handshape_annotations//test_auto_move//signs_mov_separ_signers/Brady_15150.mov" TargetMode="External"/><Relationship Id="rId4054" Type="http://schemas.openxmlformats.org/officeDocument/2006/relationships/hyperlink" Target="http://secrets.rutgers.edu:8080/data/asl-ftp/asllvd/demos/verify_start_end_handshape_annotations//test_auto_move//signs_mov_separ_signers/Brady_15150.mov" TargetMode="External"/><Relationship Id="rId4055" Type="http://schemas.openxmlformats.org/officeDocument/2006/relationships/hyperlink" Target="http://csr.bu.edu/ftp/asl/asllvd/demos/verify_start_end_handshape_annotations//test_auto_move//signs_mov/15339.mov" TargetMode="External"/><Relationship Id="rId4056" Type="http://schemas.openxmlformats.org/officeDocument/2006/relationships/hyperlink" Target="http://csr.bu.edu/ftp/asl/asllvd/demos/verify_start_end_handshape_annotations//test_auto_move//signs_mov_separ_signers/Liz_15339.mov" TargetMode="External"/><Relationship Id="rId4057" Type="http://schemas.openxmlformats.org/officeDocument/2006/relationships/hyperlink" Target="http://secrets.rutgers.edu:8080/data/asl-ftp/asllvd/demos/verify_start_end_handshape_annotations//test_auto_move//signs_mov/15339.mov" TargetMode="External"/><Relationship Id="rId4058" Type="http://schemas.openxmlformats.org/officeDocument/2006/relationships/hyperlink" Target="http://secrets.rutgers.edu:8080/data/asl-ftp/asllvd/demos/verify_start_end_handshape_annotations//test_auto_move//signs_mov_separ_signers/Liz_15339.mov" TargetMode="External"/><Relationship Id="rId4059" Type="http://schemas.openxmlformats.org/officeDocument/2006/relationships/hyperlink" Target="http://csr.bu.edu/ftp/asl/asllvd/demos/verify_start_end_handshape_annotations//test_auto_move//signs_mov_separ_signers/Lana_15339.mov" TargetMode="External"/><Relationship Id="rId4060" Type="http://schemas.openxmlformats.org/officeDocument/2006/relationships/hyperlink" Target="http://secrets.rutgers.edu:8080/data/asl-ftp/asllvd/demos/verify_start_end_handshape_annotations//test_auto_move//signs_mov_separ_signers/Lana_15339.mov" TargetMode="External"/><Relationship Id="rId4061" Type="http://schemas.openxmlformats.org/officeDocument/2006/relationships/hyperlink" Target="http://csr.bu.edu/ftp/asl/asllvd/demos/verify_start_end_handshape_annotations//test_auto_move//signs_mov_separ_signers/Liz_435.mov" TargetMode="External"/><Relationship Id="rId4062" Type="http://schemas.openxmlformats.org/officeDocument/2006/relationships/hyperlink" Target="http://secrets.rutgers.edu:8080/data/asl-ftp/asllvd/demos/verify_start_end_handshape_annotations//test_auto_move//signs_mov_separ_signers/Liz_435.mov" TargetMode="External"/><Relationship Id="rId4063" Type="http://schemas.openxmlformats.org/officeDocument/2006/relationships/hyperlink" Target="http://csr.bu.edu/ftp/asl/asllvd/demos/verify_start_end_handshape_annotations//test_auto_move//signs_mov_separ_signers/Tyler_435.mov" TargetMode="External"/><Relationship Id="rId4064" Type="http://schemas.openxmlformats.org/officeDocument/2006/relationships/hyperlink" Target="http://secrets.rutgers.edu:8080/data/asl-ftp/asllvd/demos/verify_start_end_handshape_annotations//test_auto_move//signs_mov_separ_signers/Tyler_435.mov" TargetMode="External"/><Relationship Id="rId4065" Type="http://schemas.openxmlformats.org/officeDocument/2006/relationships/hyperlink" Target="http://csr.bu.edu/ftp/asl/asllvd/demos/verify_start_end_handshape_annotations//test_auto_move//signs_mov/435.mov" TargetMode="External"/><Relationship Id="rId4066" Type="http://schemas.openxmlformats.org/officeDocument/2006/relationships/hyperlink" Target="http://csr.bu.edu/ftp/asl/asllvd/demos/verify_start_end_handshape_annotations//test_auto_move//signs_mov_separ_signers/Naomi_435.mov" TargetMode="External"/><Relationship Id="rId4067" Type="http://schemas.openxmlformats.org/officeDocument/2006/relationships/hyperlink" Target="http://secrets.rutgers.edu:8080/data/asl-ftp/asllvd/demos/verify_start_end_handshape_annotations//test_auto_move//signs_mov/435.mov" TargetMode="External"/><Relationship Id="rId4068" Type="http://schemas.openxmlformats.org/officeDocument/2006/relationships/hyperlink" Target="http://secrets.rutgers.edu:8080/data/asl-ftp/asllvd/demos/verify_start_end_handshape_annotations//test_auto_move//signs_mov_separ_signers/Naomi_435.mov" TargetMode="External"/><Relationship Id="rId4069" Type="http://schemas.openxmlformats.org/officeDocument/2006/relationships/hyperlink" Target="http://csr.bu.edu/ftp/asl/asllvd/demos/verify_start_end_handshape_annotations//test_auto_move//signs_mov_separ_signers/Brady_435.mov" TargetMode="External"/><Relationship Id="rId4070" Type="http://schemas.openxmlformats.org/officeDocument/2006/relationships/hyperlink" Target="http://secrets.rutgers.edu:8080/data/asl-ftp/asllvd/demos/verify_start_end_handshape_annotations//test_auto_move//signs_mov_separ_signers/Brady_435.mov" TargetMode="External"/><Relationship Id="rId4071" Type="http://schemas.openxmlformats.org/officeDocument/2006/relationships/hyperlink" Target="http://csr.bu.edu/ftp/asl/asllvd/demos/verify_start_end_handshape_annotations//test_auto_move//signs_mov_separ_signers/Lana_435.mov" TargetMode="External"/><Relationship Id="rId4072" Type="http://schemas.openxmlformats.org/officeDocument/2006/relationships/hyperlink" Target="http://secrets.rutgers.edu:8080/data/asl-ftp/asllvd/demos/verify_start_end_handshape_annotations//test_auto_move//signs_mov_separ_signers/Lana_435.mov" TargetMode="External"/><Relationship Id="rId4073" Type="http://schemas.openxmlformats.org/officeDocument/2006/relationships/hyperlink" Target="http://csr.bu.edu/ftp/asl/asllvd/demos/verify_start_end_handshape_annotations//test_auto_move//signs_mov_separ_signers/Dana_435.mov" TargetMode="External"/><Relationship Id="rId4074" Type="http://schemas.openxmlformats.org/officeDocument/2006/relationships/hyperlink" Target="http://secrets.rutgers.edu:8080/data/asl-ftp/asllvd/demos/verify_start_end_handshape_annotations//test_auto_move//signs_mov_separ_signers/Dana_435.mov" TargetMode="External"/><Relationship Id="rId4075" Type="http://schemas.openxmlformats.org/officeDocument/2006/relationships/hyperlink" Target="http://csr.bu.edu/ftp/asl/asllvd/demos/verify_start_end_handshape_annotations//test_auto_move//signs_mov/439.mov" TargetMode="External"/><Relationship Id="rId4076" Type="http://schemas.openxmlformats.org/officeDocument/2006/relationships/hyperlink" Target="http://csr.bu.edu/ftp/asl/asllvd/demos/verify_start_end_handshape_annotations//test_auto_move//signs_mov_separ_signers/Tyler_439.mov" TargetMode="External"/><Relationship Id="rId4077" Type="http://schemas.openxmlformats.org/officeDocument/2006/relationships/hyperlink" Target="http://secrets.rutgers.edu:8080/data/asl-ftp/asllvd/demos/verify_start_end_handshape_annotations//test_auto_move//signs_mov/439.mov" TargetMode="External"/><Relationship Id="rId4078" Type="http://schemas.openxmlformats.org/officeDocument/2006/relationships/hyperlink" Target="http://secrets.rutgers.edu:8080/data/asl-ftp/asllvd/demos/verify_start_end_handshape_annotations//test_auto_move//signs_mov_separ_signers/Tyler_439.mov" TargetMode="External"/><Relationship Id="rId4079" Type="http://schemas.openxmlformats.org/officeDocument/2006/relationships/hyperlink" Target="http://csr.bu.edu/ftp/asl/asllvd/demos/verify_start_end_handshape_annotations//test_auto_move//signs_mov_separ_signers/Naomi_439.mov" TargetMode="External"/><Relationship Id="rId4080" Type="http://schemas.openxmlformats.org/officeDocument/2006/relationships/hyperlink" Target="http://secrets.rutgers.edu:8080/data/asl-ftp/asllvd/demos/verify_start_end_handshape_annotations//test_auto_move//signs_mov_separ_signers/Naomi_439.mov" TargetMode="External"/><Relationship Id="rId4081" Type="http://schemas.openxmlformats.org/officeDocument/2006/relationships/hyperlink" Target="http://csr.bu.edu/ftp/asl/asllvd/demos/verify_start_end_handshape_annotations//test_auto_move//signs_mov/16269.mov" TargetMode="External"/><Relationship Id="rId4082" Type="http://schemas.openxmlformats.org/officeDocument/2006/relationships/hyperlink" Target="http://csr.bu.edu/ftp/asl/asllvd/demos/verify_start_end_handshape_annotations//test_auto_move//signs_mov_separ_signers/Liz_16269.mov" TargetMode="External"/><Relationship Id="rId4083" Type="http://schemas.openxmlformats.org/officeDocument/2006/relationships/hyperlink" Target="http://secrets.rutgers.edu:8080/data/asl-ftp/asllvd/demos/verify_start_end_handshape_annotations//test_auto_move//signs_mov/16269.mov" TargetMode="External"/><Relationship Id="rId4084" Type="http://schemas.openxmlformats.org/officeDocument/2006/relationships/hyperlink" Target="http://secrets.rutgers.edu:8080/data/asl-ftp/asllvd/demos/verify_start_end_handshape_annotations//test_auto_move//signs_mov_separ_signers/Liz_16269.mov" TargetMode="External"/><Relationship Id="rId4085" Type="http://schemas.openxmlformats.org/officeDocument/2006/relationships/hyperlink" Target="http://csr.bu.edu/ftp/asl/asllvd/demos/verify_start_end_handshape_annotations//test_auto_move//signs_mov_separ_signers/Liz_441.mov" TargetMode="External"/><Relationship Id="rId4086" Type="http://schemas.openxmlformats.org/officeDocument/2006/relationships/hyperlink" Target="http://secrets.rutgers.edu:8080/data/asl-ftp/asllvd/demos/verify_start_end_handshape_annotations//test_auto_move//signs_mov_separ_signers/Liz_441.mov" TargetMode="External"/><Relationship Id="rId4087" Type="http://schemas.openxmlformats.org/officeDocument/2006/relationships/hyperlink" Target="http://csr.bu.edu/ftp/asl/asllvd/demos/verify_start_end_handshape_annotations//test_auto_move//signs_mov/441.mov" TargetMode="External"/><Relationship Id="rId4088" Type="http://schemas.openxmlformats.org/officeDocument/2006/relationships/hyperlink" Target="http://csr.bu.edu/ftp/asl/asllvd/demos/verify_start_end_handshape_annotations//test_auto_move//signs_mov_separ_signers/Tyler_441.mov" TargetMode="External"/><Relationship Id="rId4089" Type="http://schemas.openxmlformats.org/officeDocument/2006/relationships/hyperlink" Target="http://secrets.rutgers.edu:8080/data/asl-ftp/asllvd/demos/verify_start_end_handshape_annotations//test_auto_move//signs_mov/441.mov" TargetMode="External"/><Relationship Id="rId4090" Type="http://schemas.openxmlformats.org/officeDocument/2006/relationships/hyperlink" Target="http://secrets.rutgers.edu:8080/data/asl-ftp/asllvd/demos/verify_start_end_handshape_annotations//test_auto_move//signs_mov_separ_signers/Tyler_441.mov" TargetMode="External"/><Relationship Id="rId4091" Type="http://schemas.openxmlformats.org/officeDocument/2006/relationships/hyperlink" Target="http://csr.bu.edu/ftp/asl/asllvd/demos/verify_start_end_handshape_annotations//test_auto_move//signs_mov_separ_signers/Naomi_441.mov" TargetMode="External"/><Relationship Id="rId4092" Type="http://schemas.openxmlformats.org/officeDocument/2006/relationships/hyperlink" Target="http://secrets.rutgers.edu:8080/data/asl-ftp/asllvd/demos/verify_start_end_handshape_annotations//test_auto_move//signs_mov_separ_signers/Naomi_441.mov" TargetMode="External"/><Relationship Id="rId4093" Type="http://schemas.openxmlformats.org/officeDocument/2006/relationships/hyperlink" Target="http://csr.bu.edu/ftp/asl/asllvd/demos/verify_start_end_handshape_annotations//test_auto_move//signs_mov_separ_signers/Brady_441.mov" TargetMode="External"/><Relationship Id="rId4094" Type="http://schemas.openxmlformats.org/officeDocument/2006/relationships/hyperlink" Target="http://secrets.rutgers.edu:8080/data/asl-ftp/asllvd/demos/verify_start_end_handshape_annotations//test_auto_move//signs_mov_separ_signers/Brady_441.mov" TargetMode="External"/><Relationship Id="rId4095" Type="http://schemas.openxmlformats.org/officeDocument/2006/relationships/hyperlink" Target="http://csr.bu.edu/ftp/asl/asllvd/demos/verify_start_end_handshape_annotations//test_auto_move//signs_mov_separ_signers/Liz_442.mov" TargetMode="External"/><Relationship Id="rId4096" Type="http://schemas.openxmlformats.org/officeDocument/2006/relationships/hyperlink" Target="http://secrets.rutgers.edu:8080/data/asl-ftp/asllvd/demos/verify_start_end_handshape_annotations//test_auto_move//signs_mov_separ_signers/Liz_442.mov" TargetMode="External"/><Relationship Id="rId4097" Type="http://schemas.openxmlformats.org/officeDocument/2006/relationships/hyperlink" Target="http://csr.bu.edu/ftp/asl/asllvd/demos/verify_start_end_handshape_annotations//test_auto_move//signs_mov_separ_signers/Tyler_442.mov" TargetMode="External"/><Relationship Id="rId4098" Type="http://schemas.openxmlformats.org/officeDocument/2006/relationships/hyperlink" Target="http://secrets.rutgers.edu:8080/data/asl-ftp/asllvd/demos/verify_start_end_handshape_annotations//test_auto_move//signs_mov_separ_signers/Tyler_442.mov" TargetMode="External"/><Relationship Id="rId4099" Type="http://schemas.openxmlformats.org/officeDocument/2006/relationships/hyperlink" Target="http://csr.bu.edu/ftp/asl/asllvd/demos/verify_start_end_handshape_annotations//test_auto_move//signs_mov/442.mov" TargetMode="External"/><Relationship Id="rId4100" Type="http://schemas.openxmlformats.org/officeDocument/2006/relationships/hyperlink" Target="http://csr.bu.edu/ftp/asl/asllvd/demos/verify_start_end_handshape_annotations//test_auto_move//signs_mov_separ_signers/Naomi_442.mov" TargetMode="External"/><Relationship Id="rId4101" Type="http://schemas.openxmlformats.org/officeDocument/2006/relationships/hyperlink" Target="http://secrets.rutgers.edu:8080/data/asl-ftp/asllvd/demos/verify_start_end_handshape_annotations//test_auto_move//signs_mov/442.mov" TargetMode="External"/><Relationship Id="rId4102" Type="http://schemas.openxmlformats.org/officeDocument/2006/relationships/hyperlink" Target="http://secrets.rutgers.edu:8080/data/asl-ftp/asllvd/demos/verify_start_end_handshape_annotations//test_auto_move//signs_mov_separ_signers/Naomi_442.mov" TargetMode="External"/><Relationship Id="rId4103" Type="http://schemas.openxmlformats.org/officeDocument/2006/relationships/hyperlink" Target="http://csr.bu.edu/ftp/asl/asllvd/demos/verify_start_end_handshape_annotations//test_auto_move//signs_mov_separ_signers/Brady_442.mov" TargetMode="External"/><Relationship Id="rId4104" Type="http://schemas.openxmlformats.org/officeDocument/2006/relationships/hyperlink" Target="http://secrets.rutgers.edu:8080/data/asl-ftp/asllvd/demos/verify_start_end_handshape_annotations//test_auto_move//signs_mov_separ_signers/Brady_442.mov" TargetMode="External"/><Relationship Id="rId4105" Type="http://schemas.openxmlformats.org/officeDocument/2006/relationships/hyperlink" Target="http://csr.bu.edu/ftp/asl/asllvd/demos/verify_start_end_handshape_annotations//test_auto_move//signs_mov_separ_signers/Lana_442.mov" TargetMode="External"/><Relationship Id="rId4106" Type="http://schemas.openxmlformats.org/officeDocument/2006/relationships/hyperlink" Target="http://secrets.rutgers.edu:8080/data/asl-ftp/asllvd/demos/verify_start_end_handshape_annotations//test_auto_move//signs_mov_separ_signers/Lana_442.mov" TargetMode="External"/><Relationship Id="rId4107" Type="http://schemas.openxmlformats.org/officeDocument/2006/relationships/hyperlink" Target="http://csr.bu.edu/ftp/asl/asllvd/demos/verify_start_end_handshape_annotations//test_auto_move//signs_mov_separ_signers/Dana_442.mov" TargetMode="External"/><Relationship Id="rId4108" Type="http://schemas.openxmlformats.org/officeDocument/2006/relationships/hyperlink" Target="http://secrets.rutgers.edu:8080/data/asl-ftp/asllvd/demos/verify_start_end_handshape_annotations//test_auto_move//signs_mov_separ_signers/Dana_442.mov" TargetMode="External"/><Relationship Id="rId4109" Type="http://schemas.openxmlformats.org/officeDocument/2006/relationships/hyperlink" Target="http://csr.bu.edu/ftp/asl/asllvd/demos/verify_start_end_handshape_annotations//test_auto_move//signs_mov/445.mov" TargetMode="External"/><Relationship Id="rId4110" Type="http://schemas.openxmlformats.org/officeDocument/2006/relationships/hyperlink" Target="http://csr.bu.edu/ftp/asl/asllvd/demos/verify_start_end_handshape_annotations//test_auto_move//signs_mov_separ_signers/Liz_445.mov" TargetMode="External"/><Relationship Id="rId4111" Type="http://schemas.openxmlformats.org/officeDocument/2006/relationships/hyperlink" Target="http://secrets.rutgers.edu:8080/data/asl-ftp/asllvd/demos/verify_start_end_handshape_annotations//test_auto_move//signs_mov/445.mov" TargetMode="External"/><Relationship Id="rId4112" Type="http://schemas.openxmlformats.org/officeDocument/2006/relationships/hyperlink" Target="http://secrets.rutgers.edu:8080/data/asl-ftp/asllvd/demos/verify_start_end_handshape_annotations//test_auto_move//signs_mov_separ_signers/Liz_445.mov" TargetMode="External"/><Relationship Id="rId4113" Type="http://schemas.openxmlformats.org/officeDocument/2006/relationships/hyperlink" Target="http://csr.bu.edu/ftp/asl/asllvd/demos/verify_start_end_handshape_annotations//test_auto_move//signs_mov/15040.mov" TargetMode="External"/><Relationship Id="rId4114" Type="http://schemas.openxmlformats.org/officeDocument/2006/relationships/hyperlink" Target="http://csr.bu.edu/ftp/asl/asllvd/demos/verify_start_end_handshape_annotations//test_auto_move//signs_mov_separ_signers/Brady_15040.mov" TargetMode="External"/><Relationship Id="rId4115" Type="http://schemas.openxmlformats.org/officeDocument/2006/relationships/hyperlink" Target="http://secrets.rutgers.edu:8080/data/asl-ftp/asllvd/demos/verify_start_end_handshape_annotations//test_auto_move//signs_mov/15040.mov" TargetMode="External"/><Relationship Id="rId4116" Type="http://schemas.openxmlformats.org/officeDocument/2006/relationships/hyperlink" Target="http://secrets.rutgers.edu:8080/data/asl-ftp/asllvd/demos/verify_start_end_handshape_annotations//test_auto_move//signs_mov_separ_signers/Brady_15040.mov" TargetMode="External"/><Relationship Id="rId4117" Type="http://schemas.openxmlformats.org/officeDocument/2006/relationships/hyperlink" Target="http://csr.bu.edu/ftp/asl/asllvd/demos/verify_start_end_handshape_annotations//test_auto_move//signs_mov/448.mov" TargetMode="External"/><Relationship Id="rId4118" Type="http://schemas.openxmlformats.org/officeDocument/2006/relationships/hyperlink" Target="http://csr.bu.edu/ftp/asl/asllvd/demos/verify_start_end_handshape_annotations//test_auto_move//signs_mov_separ_signers/Liz_448.mov" TargetMode="External"/><Relationship Id="rId4119" Type="http://schemas.openxmlformats.org/officeDocument/2006/relationships/hyperlink" Target="http://secrets.rutgers.edu:8080/data/asl-ftp/asllvd/demos/verify_start_end_handshape_annotations//test_auto_move//signs_mov/448.mov" TargetMode="External"/><Relationship Id="rId4120" Type="http://schemas.openxmlformats.org/officeDocument/2006/relationships/hyperlink" Target="http://secrets.rutgers.edu:8080/data/asl-ftp/asllvd/demos/verify_start_end_handshape_annotations//test_auto_move//signs_mov_separ_signers/Liz_448.mov" TargetMode="External"/><Relationship Id="rId4121" Type="http://schemas.openxmlformats.org/officeDocument/2006/relationships/hyperlink" Target="http://csr.bu.edu/ftp/asl/asllvd/demos/verify_start_end_handshape_annotations//test_auto_move//signs_mov_separ_signers/Brady_448.mov" TargetMode="External"/><Relationship Id="rId4122" Type="http://schemas.openxmlformats.org/officeDocument/2006/relationships/hyperlink" Target="http://secrets.rutgers.edu:8080/data/asl-ftp/asllvd/demos/verify_start_end_handshape_annotations//test_auto_move//signs_mov_separ_signers/Brady_448.mov" TargetMode="External"/><Relationship Id="rId4123" Type="http://schemas.openxmlformats.org/officeDocument/2006/relationships/hyperlink" Target="http://csr.bu.edu/ftp/asl/asllvd/demos/verify_start_end_handshape_annotations//test_auto_move//signs_mov_separ_signers/Liz_5012.mov" TargetMode="External"/><Relationship Id="rId4124" Type="http://schemas.openxmlformats.org/officeDocument/2006/relationships/hyperlink" Target="http://secrets.rutgers.edu:8080/data/asl-ftp/asllvd/demos/verify_start_end_handshape_annotations//test_auto_move//signs_mov_separ_signers/Liz_5012.mov" TargetMode="External"/><Relationship Id="rId4125" Type="http://schemas.openxmlformats.org/officeDocument/2006/relationships/hyperlink" Target="http://csr.bu.edu/ftp/asl/asllvd/demos/verify_start_end_handshape_annotations//test_auto_move//signs_mov/5012.mov" TargetMode="External"/><Relationship Id="rId4126" Type="http://schemas.openxmlformats.org/officeDocument/2006/relationships/hyperlink" Target="http://csr.bu.edu/ftp/asl/asllvd/demos/verify_start_end_handshape_annotations//test_auto_move//signs_mov_separ_signers/Tyler_5012.mov" TargetMode="External"/><Relationship Id="rId4127" Type="http://schemas.openxmlformats.org/officeDocument/2006/relationships/hyperlink" Target="http://secrets.rutgers.edu:8080/data/asl-ftp/asllvd/demos/verify_start_end_handshape_annotations//test_auto_move//signs_mov/5012.mov" TargetMode="External"/><Relationship Id="rId4128" Type="http://schemas.openxmlformats.org/officeDocument/2006/relationships/hyperlink" Target="http://secrets.rutgers.edu:8080/data/asl-ftp/asllvd/demos/verify_start_end_handshape_annotations//test_auto_move//signs_mov_separ_signers/Tyler_5012.mov" TargetMode="External"/><Relationship Id="rId4129" Type="http://schemas.openxmlformats.org/officeDocument/2006/relationships/hyperlink" Target="http://csr.bu.edu/ftp/asl/asllvd/demos/verify_start_end_handshape_annotations//test_auto_move//signs_mov_separ_signers/Naomi_5012.mov" TargetMode="External"/><Relationship Id="rId4130" Type="http://schemas.openxmlformats.org/officeDocument/2006/relationships/hyperlink" Target="http://secrets.rutgers.edu:8080/data/asl-ftp/asllvd/demos/verify_start_end_handshape_annotations//test_auto_move//signs_mov_separ_signers/Naomi_5012.mov" TargetMode="External"/><Relationship Id="rId4131" Type="http://schemas.openxmlformats.org/officeDocument/2006/relationships/hyperlink" Target="http://csr.bu.edu/ftp/asl/asllvd/demos/verify_start_end_handshape_annotations//test_auto_move//signs_mov_separ_signers/Brady_5012.mov" TargetMode="External"/><Relationship Id="rId4132" Type="http://schemas.openxmlformats.org/officeDocument/2006/relationships/hyperlink" Target="http://secrets.rutgers.edu:8080/data/asl-ftp/asllvd/demos/verify_start_end_handshape_annotations//test_auto_move//signs_mov_separ_signers/Brady_5012.mov" TargetMode="External"/><Relationship Id="rId4133" Type="http://schemas.openxmlformats.org/officeDocument/2006/relationships/hyperlink" Target="http://csr.bu.edu/ftp/asl/asllvd/demos/verify_start_end_handshape_annotations//test_auto_move//signs_mov_separ_signers/Liz_449.mov" TargetMode="External"/><Relationship Id="rId4134" Type="http://schemas.openxmlformats.org/officeDocument/2006/relationships/hyperlink" Target="http://secrets.rutgers.edu:8080/data/asl-ftp/asllvd/demos/verify_start_end_handshape_annotations//test_auto_move//signs_mov_separ_signers/Liz_449.mov" TargetMode="External"/><Relationship Id="rId4135" Type="http://schemas.openxmlformats.org/officeDocument/2006/relationships/hyperlink" Target="http://csr.bu.edu/ftp/asl/asllvd/demos/verify_start_end_handshape_annotations//test_auto_move//signs_mov/449.mov" TargetMode="External"/><Relationship Id="rId4136" Type="http://schemas.openxmlformats.org/officeDocument/2006/relationships/hyperlink" Target="http://csr.bu.edu/ftp/asl/asllvd/demos/verify_start_end_handshape_annotations//test_auto_move//signs_mov_separ_signers/Tyler_449.mov" TargetMode="External"/><Relationship Id="rId4137" Type="http://schemas.openxmlformats.org/officeDocument/2006/relationships/hyperlink" Target="http://secrets.rutgers.edu:8080/data/asl-ftp/asllvd/demos/verify_start_end_handshape_annotations//test_auto_move//signs_mov/449.mov" TargetMode="External"/><Relationship Id="rId4138" Type="http://schemas.openxmlformats.org/officeDocument/2006/relationships/hyperlink" Target="http://secrets.rutgers.edu:8080/data/asl-ftp/asllvd/demos/verify_start_end_handshape_annotations//test_auto_move//signs_mov_separ_signers/Tyler_449.mov" TargetMode="External"/><Relationship Id="rId4139" Type="http://schemas.openxmlformats.org/officeDocument/2006/relationships/hyperlink" Target="http://csr.bu.edu/ftp/asl/asllvd/demos/verify_start_end_handshape_annotations//test_auto_move//signs_mov_separ_signers/Naomi_449.mov" TargetMode="External"/><Relationship Id="rId4140" Type="http://schemas.openxmlformats.org/officeDocument/2006/relationships/hyperlink" Target="http://secrets.rutgers.edu:8080/data/asl-ftp/asllvd/demos/verify_start_end_handshape_annotations//test_auto_move//signs_mov_separ_signers/Naomi_449.mov" TargetMode="External"/><Relationship Id="rId4141" Type="http://schemas.openxmlformats.org/officeDocument/2006/relationships/hyperlink" Target="http://csr.bu.edu/ftp/asl/asllvd/demos/verify_start_end_handshape_annotations//test_auto_move//signs_mov_separ_signers/Brady_449.mov" TargetMode="External"/><Relationship Id="rId4142" Type="http://schemas.openxmlformats.org/officeDocument/2006/relationships/hyperlink" Target="http://secrets.rutgers.edu:8080/data/asl-ftp/asllvd/demos/verify_start_end_handshape_annotations//test_auto_move//signs_mov_separ_signers/Brady_449.mov" TargetMode="External"/><Relationship Id="rId4143" Type="http://schemas.openxmlformats.org/officeDocument/2006/relationships/hyperlink" Target="http://csr.bu.edu/ftp/asl/asllvd/demos/verify_start_end_handshape_annotations//test_auto_move//signs_mov_separ_signers/Liz_451.mov" TargetMode="External"/><Relationship Id="rId4144" Type="http://schemas.openxmlformats.org/officeDocument/2006/relationships/hyperlink" Target="http://secrets.rutgers.edu:8080/data/asl-ftp/asllvd/demos/verify_start_end_handshape_annotations//test_auto_move//signs_mov_separ_signers/Liz_451.mov" TargetMode="External"/><Relationship Id="rId4145" Type="http://schemas.openxmlformats.org/officeDocument/2006/relationships/hyperlink" Target="http://csr.bu.edu/ftp/asl/asllvd/demos/verify_start_end_handshape_annotations//test_auto_move//signs_mov/451_3327_merged.mov" TargetMode="External"/><Relationship Id="rId4146" Type="http://schemas.openxmlformats.org/officeDocument/2006/relationships/hyperlink" Target="http://csr.bu.edu/ftp/asl/asllvd/demos/verify_start_end_handshape_annotations//test_auto_move//signs_mov_separ_signers/Liz_3327.mov" TargetMode="External"/><Relationship Id="rId4147" Type="http://schemas.openxmlformats.org/officeDocument/2006/relationships/hyperlink" Target="http://secrets.rutgers.edu:8080/data/asl-ftp/asllvd/demos/verify_start_end_handshape_annotations//test_auto_move//signs_mov/451_3327_merged.mov" TargetMode="External"/><Relationship Id="rId4148" Type="http://schemas.openxmlformats.org/officeDocument/2006/relationships/hyperlink" Target="http://secrets.rutgers.edu:8080/data/asl-ftp/asllvd/demos/verify_start_end_handshape_annotations//test_auto_move//signs_mov_separ_signers/Liz_3327.mov" TargetMode="External"/><Relationship Id="rId4149" Type="http://schemas.openxmlformats.org/officeDocument/2006/relationships/hyperlink" Target="http://csr.bu.edu/ftp/asl/asllvd/demos/verify_start_end_handshape_annotations//test_auto_move//signs_mov_separ_signers/Naomi_451.mov" TargetMode="External"/><Relationship Id="rId4150" Type="http://schemas.openxmlformats.org/officeDocument/2006/relationships/hyperlink" Target="http://secrets.rutgers.edu:8080/data/asl-ftp/asllvd/demos/verify_start_end_handshape_annotations//test_auto_move//signs_mov_separ_signers/Naomi_451.mov" TargetMode="External"/><Relationship Id="rId4151" Type="http://schemas.openxmlformats.org/officeDocument/2006/relationships/hyperlink" Target="http://csr.bu.edu/ftp/asl/asllvd/demos/verify_start_end_handshape_annotations//test_auto_move//signs_mov_separ_signers/Naomi_3327.mov" TargetMode="External"/><Relationship Id="rId4152" Type="http://schemas.openxmlformats.org/officeDocument/2006/relationships/hyperlink" Target="http://secrets.rutgers.edu:8080/data/asl-ftp/asllvd/demos/verify_start_end_handshape_annotations//test_auto_move//signs_mov_separ_signers/Naomi_3327.mov" TargetMode="External"/><Relationship Id="rId4153" Type="http://schemas.openxmlformats.org/officeDocument/2006/relationships/hyperlink" Target="http://csr.bu.edu/ftp/asl/asllvd/demos/verify_start_end_handshape_annotations//test_auto_move//signs_mov/5138.mov" TargetMode="External"/><Relationship Id="rId4154" Type="http://schemas.openxmlformats.org/officeDocument/2006/relationships/hyperlink" Target="http://csr.bu.edu/ftp/asl/asllvd/demos/verify_start_end_handshape_annotations//test_auto_move//signs_mov_separ_signers/Tyler_5138.mov" TargetMode="External"/><Relationship Id="rId4155" Type="http://schemas.openxmlformats.org/officeDocument/2006/relationships/hyperlink" Target="http://secrets.rutgers.edu:8080/data/asl-ftp/asllvd/demos/verify_start_end_handshape_annotations//test_auto_move//signs_mov/5138.mov" TargetMode="External"/><Relationship Id="rId4156" Type="http://schemas.openxmlformats.org/officeDocument/2006/relationships/hyperlink" Target="http://secrets.rutgers.edu:8080/data/asl-ftp/asllvd/demos/verify_start_end_handshape_annotations//test_auto_move//signs_mov_separ_signers/Tyler_5138.mov" TargetMode="External"/><Relationship Id="rId4157" Type="http://schemas.openxmlformats.org/officeDocument/2006/relationships/hyperlink" Target="http://csr.bu.edu/ftp/asl/asllvd/demos/verify_start_end_handshape_annotations//test_auto_move//signs_mov/16559_16560_merged.mov" TargetMode="External"/><Relationship Id="rId4158" Type="http://schemas.openxmlformats.org/officeDocument/2006/relationships/hyperlink" Target="http://csr.bu.edu/ftp/asl/asllvd/demos/verify_start_end_handshape_annotations//test_auto_move//signs_mov_separ_signers/Brady_16559.mov" TargetMode="External"/><Relationship Id="rId4159" Type="http://schemas.openxmlformats.org/officeDocument/2006/relationships/hyperlink" Target="http://secrets.rutgers.edu:8080/data/asl-ftp/asllvd/demos/verify_start_end_handshape_annotations//test_auto_move//signs_mov/16559_16560_merged.mov" TargetMode="External"/><Relationship Id="rId4160" Type="http://schemas.openxmlformats.org/officeDocument/2006/relationships/hyperlink" Target="http://secrets.rutgers.edu:8080/data/asl-ftp/asllvd/demos/verify_start_end_handshape_annotations//test_auto_move//signs_mov_separ_signers/Brady_16559.mov" TargetMode="External"/><Relationship Id="rId4161" Type="http://schemas.openxmlformats.org/officeDocument/2006/relationships/hyperlink" Target="http://csr.bu.edu/ftp/asl/asllvd/demos/verify_start_end_handshape_annotations//test_auto_move//signs_mov_separ_signers/Brady_16560.mov" TargetMode="External"/><Relationship Id="rId4162" Type="http://schemas.openxmlformats.org/officeDocument/2006/relationships/hyperlink" Target="http://secrets.rutgers.edu:8080/data/asl-ftp/asllvd/demos/verify_start_end_handshape_annotations//test_auto_move//signs_mov_separ_signers/Brady_16560.mov" TargetMode="External"/><Relationship Id="rId4163" Type="http://schemas.openxmlformats.org/officeDocument/2006/relationships/hyperlink" Target="http://csr.bu.edu/ftp/asl/asllvd/demos/verify_start_end_handshape_annotations//test_auto_move//signs_mov_separ_signers/Liz_452.mov" TargetMode="External"/><Relationship Id="rId4164" Type="http://schemas.openxmlformats.org/officeDocument/2006/relationships/hyperlink" Target="http://secrets.rutgers.edu:8080/data/asl-ftp/asllvd/demos/verify_start_end_handshape_annotations//test_auto_move//signs_mov_separ_signers/Liz_452.mov" TargetMode="External"/><Relationship Id="rId4165" Type="http://schemas.openxmlformats.org/officeDocument/2006/relationships/hyperlink" Target="http://csr.bu.edu/ftp/asl/asllvd/demos/verify_start_end_handshape_annotations//test_auto_move//signs_mov/452.mov" TargetMode="External"/><Relationship Id="rId4166" Type="http://schemas.openxmlformats.org/officeDocument/2006/relationships/hyperlink" Target="http://csr.bu.edu/ftp/asl/asllvd/demos/verify_start_end_handshape_annotations//test_auto_move//signs_mov_separ_signers/Tyler_452.mov" TargetMode="External"/><Relationship Id="rId4167" Type="http://schemas.openxmlformats.org/officeDocument/2006/relationships/hyperlink" Target="http://secrets.rutgers.edu:8080/data/asl-ftp/asllvd/demos/verify_start_end_handshape_annotations//test_auto_move//signs_mov/452.mov" TargetMode="External"/><Relationship Id="rId4168" Type="http://schemas.openxmlformats.org/officeDocument/2006/relationships/hyperlink" Target="http://secrets.rutgers.edu:8080/data/asl-ftp/asllvd/demos/verify_start_end_handshape_annotations//test_auto_move//signs_mov_separ_signers/Tyler_452.mov" TargetMode="External"/><Relationship Id="rId4169" Type="http://schemas.openxmlformats.org/officeDocument/2006/relationships/hyperlink" Target="http://csr.bu.edu/ftp/asl/asllvd/demos/verify_start_end_handshape_annotations//test_auto_move//signs_mov_separ_signers/Naomi_452.mov" TargetMode="External"/><Relationship Id="rId4170" Type="http://schemas.openxmlformats.org/officeDocument/2006/relationships/hyperlink" Target="http://secrets.rutgers.edu:8080/data/asl-ftp/asllvd/demos/verify_start_end_handshape_annotations//test_auto_move//signs_mov_separ_signers/Naomi_452.mov" TargetMode="External"/><Relationship Id="rId4171" Type="http://schemas.openxmlformats.org/officeDocument/2006/relationships/hyperlink" Target="http://csr.bu.edu/ftp/asl/asllvd/demos/verify_start_end_handshape_annotations//test_auto_move//signs_mov_separ_signers/Brady_452.mov" TargetMode="External"/><Relationship Id="rId4172" Type="http://schemas.openxmlformats.org/officeDocument/2006/relationships/hyperlink" Target="http://secrets.rutgers.edu:8080/data/asl-ftp/asllvd/demos/verify_start_end_handshape_annotations//test_auto_move//signs_mov_separ_signers/Brady_452.mov" TargetMode="External"/><Relationship Id="rId4173" Type="http://schemas.openxmlformats.org/officeDocument/2006/relationships/hyperlink" Target="http://csr.bu.edu/ftp/asl/asllvd/demos/verify_start_end_handshape_annotations//test_auto_move//signs_mov/5139.mov" TargetMode="External"/><Relationship Id="rId4174" Type="http://schemas.openxmlformats.org/officeDocument/2006/relationships/hyperlink" Target="http://csr.bu.edu/ftp/asl/asllvd/demos/verify_start_end_handshape_annotations//test_auto_move//signs_mov_separ_signers/Naomi_5139.mov" TargetMode="External"/><Relationship Id="rId4175" Type="http://schemas.openxmlformats.org/officeDocument/2006/relationships/hyperlink" Target="http://secrets.rutgers.edu:8080/data/asl-ftp/asllvd/demos/verify_start_end_handshape_annotations//test_auto_move//signs_mov/5139.mov" TargetMode="External"/><Relationship Id="rId4176" Type="http://schemas.openxmlformats.org/officeDocument/2006/relationships/hyperlink" Target="http://secrets.rutgers.edu:8080/data/asl-ftp/asllvd/demos/verify_start_end_handshape_annotations//test_auto_move//signs_mov_separ_signers/Naomi_5139.mov" TargetMode="External"/><Relationship Id="rId4177" Type="http://schemas.openxmlformats.org/officeDocument/2006/relationships/hyperlink" Target="http://csr.bu.edu/ftp/asl/asllvd/demos/verify_start_end_handshape_annotations//test_auto_move//signs_mov/5845.mov" TargetMode="External"/><Relationship Id="rId4178" Type="http://schemas.openxmlformats.org/officeDocument/2006/relationships/hyperlink" Target="http://csr.bu.edu/ftp/asl/asllvd/demos/verify_start_end_handshape_annotations//test_auto_move//signs_mov_separ_signers/Liz_5845.mov" TargetMode="External"/><Relationship Id="rId4179" Type="http://schemas.openxmlformats.org/officeDocument/2006/relationships/hyperlink" Target="http://secrets.rutgers.edu:8080/data/asl-ftp/asllvd/demos/verify_start_end_handshape_annotations//test_auto_move//signs_mov/5845.mov" TargetMode="External"/><Relationship Id="rId4180" Type="http://schemas.openxmlformats.org/officeDocument/2006/relationships/hyperlink" Target="http://secrets.rutgers.edu:8080/data/asl-ftp/asllvd/demos/verify_start_end_handshape_annotations//test_auto_move//signs_mov_separ_signers/Liz_5845.mov" TargetMode="External"/><Relationship Id="rId4181" Type="http://schemas.openxmlformats.org/officeDocument/2006/relationships/hyperlink" Target="http://csr.bu.edu/ftp/asl/asllvd/demos/verify_start_end_handshape_annotations//test_auto_move//signs_mov_separ_signers/Tyler_5845.mov" TargetMode="External"/><Relationship Id="rId4182" Type="http://schemas.openxmlformats.org/officeDocument/2006/relationships/hyperlink" Target="http://secrets.rutgers.edu:8080/data/asl-ftp/asllvd/demos/verify_start_end_handshape_annotations//test_auto_move//signs_mov_separ_signers/Tyler_5845.mov" TargetMode="External"/><Relationship Id="rId4183" Type="http://schemas.openxmlformats.org/officeDocument/2006/relationships/hyperlink" Target="http://csr.bu.edu/ftp/asl/asllvd/demos/verify_start_end_handshape_annotations//test_auto_move//signs_mov_separ_signers/Naomi_456.mov" TargetMode="External"/><Relationship Id="rId4184" Type="http://schemas.openxmlformats.org/officeDocument/2006/relationships/hyperlink" Target="http://secrets.rutgers.edu:8080/data/asl-ftp/asllvd/demos/verify_start_end_handshape_annotations//test_auto_move//signs_mov_separ_signers/Naomi_456.mov" TargetMode="External"/><Relationship Id="rId4185" Type="http://schemas.openxmlformats.org/officeDocument/2006/relationships/hyperlink" Target="http://csr.bu.edu/ftp/asl/asllvd/demos/verify_start_end_handshape_annotations//test_auto_move//signs_mov/456.mov" TargetMode="External"/><Relationship Id="rId4186" Type="http://schemas.openxmlformats.org/officeDocument/2006/relationships/hyperlink" Target="http://csr.bu.edu/ftp/asl/asllvd/demos/verify_start_end_handshape_annotations//test_auto_move//signs_mov_separ_signers/Brady_456.mov" TargetMode="External"/><Relationship Id="rId4187" Type="http://schemas.openxmlformats.org/officeDocument/2006/relationships/hyperlink" Target="http://secrets.rutgers.edu:8080/data/asl-ftp/asllvd/demos/verify_start_end_handshape_annotations//test_auto_move//signs_mov/456.mov" TargetMode="External"/><Relationship Id="rId4188" Type="http://schemas.openxmlformats.org/officeDocument/2006/relationships/hyperlink" Target="http://secrets.rutgers.edu:8080/data/asl-ftp/asllvd/demos/verify_start_end_handshape_annotations//test_auto_move//signs_mov_separ_signers/Brady_456.mov" TargetMode="External"/><Relationship Id="rId4189" Type="http://schemas.openxmlformats.org/officeDocument/2006/relationships/hyperlink" Target="http://csr.bu.edu/ftp/asl/asllvd/demos/verify_start_end_handshape_annotations//test_auto_move//signs_mov_separ_signers/Lana_456.mov" TargetMode="External"/><Relationship Id="rId4190" Type="http://schemas.openxmlformats.org/officeDocument/2006/relationships/hyperlink" Target="http://secrets.rutgers.edu:8080/data/asl-ftp/asllvd/demos/verify_start_end_handshape_annotations//test_auto_move//signs_mov_separ_signers/Lana_456.mov" TargetMode="External"/><Relationship Id="rId4191" Type="http://schemas.openxmlformats.org/officeDocument/2006/relationships/hyperlink" Target="http://csr.bu.edu/ftp/asl/asllvd/demos/verify_start_end_handshape_annotations//test_auto_move//signs_mov_separ_signers/Dana_456.mov" TargetMode="External"/><Relationship Id="rId4192" Type="http://schemas.openxmlformats.org/officeDocument/2006/relationships/hyperlink" Target="http://secrets.rutgers.edu:8080/data/asl-ftp/asllvd/demos/verify_start_end_handshape_annotations//test_auto_move//signs_mov_separ_signers/Dana_456.mov" TargetMode="External"/><Relationship Id="rId4193" Type="http://schemas.openxmlformats.org/officeDocument/2006/relationships/hyperlink" Target="http://csr.bu.edu/ftp/asl/asllvd/demos/verify_start_end_handshape_annotations//test_auto_move//signs_mov/5140.mov" TargetMode="External"/><Relationship Id="rId4194" Type="http://schemas.openxmlformats.org/officeDocument/2006/relationships/hyperlink" Target="http://csr.bu.edu/ftp/asl/asllvd/demos/verify_start_end_handshape_annotations//test_auto_move//signs_mov_separ_signers/Liz_5140.mov" TargetMode="External"/><Relationship Id="rId4195" Type="http://schemas.openxmlformats.org/officeDocument/2006/relationships/hyperlink" Target="http://secrets.rutgers.edu:8080/data/asl-ftp/asllvd/demos/verify_start_end_handshape_annotations//test_auto_move//signs_mov/5140.mov" TargetMode="External"/><Relationship Id="rId4196" Type="http://schemas.openxmlformats.org/officeDocument/2006/relationships/hyperlink" Target="http://secrets.rutgers.edu:8080/data/asl-ftp/asllvd/demos/verify_start_end_handshape_annotations//test_auto_move//signs_mov_separ_signers/Liz_5140.mov" TargetMode="External"/><Relationship Id="rId4197" Type="http://schemas.openxmlformats.org/officeDocument/2006/relationships/hyperlink" Target="http://csr.bu.edu/ftp/asl/asllvd/demos/verify_start_end_handshape_annotations//test_auto_move//signs_mov/16270.mov" TargetMode="External"/><Relationship Id="rId4198" Type="http://schemas.openxmlformats.org/officeDocument/2006/relationships/hyperlink" Target="http://csr.bu.edu/ftp/asl/asllvd/demos/verify_start_end_handshape_annotations//test_auto_move//signs_mov_separ_signers/Tyler_16270.mov" TargetMode="External"/><Relationship Id="rId4199" Type="http://schemas.openxmlformats.org/officeDocument/2006/relationships/hyperlink" Target="http://secrets.rutgers.edu:8080/data/asl-ftp/asllvd/demos/verify_start_end_handshape_annotations//test_auto_move//signs_mov/16270.mov" TargetMode="External"/><Relationship Id="rId4200" Type="http://schemas.openxmlformats.org/officeDocument/2006/relationships/hyperlink" Target="http://secrets.rutgers.edu:8080/data/asl-ftp/asllvd/demos/verify_start_end_handshape_annotations//test_auto_move//signs_mov_separ_signers/Tyler_16270.mov" TargetMode="External"/><Relationship Id="rId4201" Type="http://schemas.openxmlformats.org/officeDocument/2006/relationships/hyperlink" Target="http://csr.bu.edu/ftp/asl/asllvd/demos/verify_start_end_handshape_annotations//test_auto_move//signs_mov_separ_signers/Liz_458.mov" TargetMode="External"/><Relationship Id="rId4202" Type="http://schemas.openxmlformats.org/officeDocument/2006/relationships/hyperlink" Target="http://secrets.rutgers.edu:8080/data/asl-ftp/asllvd/demos/verify_start_end_handshape_annotations//test_auto_move//signs_mov_separ_signers/Liz_458.mov" TargetMode="External"/><Relationship Id="rId4203" Type="http://schemas.openxmlformats.org/officeDocument/2006/relationships/hyperlink" Target="http://csr.bu.edu/ftp/asl/asllvd/demos/verify_start_end_handshape_annotations//test_auto_move//signs_mov_separ_signers/Tyler_458.mov" TargetMode="External"/><Relationship Id="rId4204" Type="http://schemas.openxmlformats.org/officeDocument/2006/relationships/hyperlink" Target="http://secrets.rutgers.edu:8080/data/asl-ftp/asllvd/demos/verify_start_end_handshape_annotations//test_auto_move//signs_mov_separ_signers/Tyler_458.mov" TargetMode="External"/><Relationship Id="rId4205" Type="http://schemas.openxmlformats.org/officeDocument/2006/relationships/hyperlink" Target="http://csr.bu.edu/ftp/asl/asllvd/demos/verify_start_end_handshape_annotations//test_auto_move//signs_mov/458.mov" TargetMode="External"/><Relationship Id="rId4206" Type="http://schemas.openxmlformats.org/officeDocument/2006/relationships/hyperlink" Target="http://csr.bu.edu/ftp/asl/asllvd/demos/verify_start_end_handshape_annotations//test_auto_move//signs_mov_separ_signers/Naomi_458.mov" TargetMode="External"/><Relationship Id="rId4207" Type="http://schemas.openxmlformats.org/officeDocument/2006/relationships/hyperlink" Target="http://secrets.rutgers.edu:8080/data/asl-ftp/asllvd/demos/verify_start_end_handshape_annotations//test_auto_move//signs_mov/458.mov" TargetMode="External"/><Relationship Id="rId4208" Type="http://schemas.openxmlformats.org/officeDocument/2006/relationships/hyperlink" Target="http://secrets.rutgers.edu:8080/data/asl-ftp/asllvd/demos/verify_start_end_handshape_annotations//test_auto_move//signs_mov_separ_signers/Naomi_458.mov" TargetMode="External"/><Relationship Id="rId4209" Type="http://schemas.openxmlformats.org/officeDocument/2006/relationships/hyperlink" Target="http://csr.bu.edu/ftp/asl/asllvd/demos/verify_start_end_handshape_annotations//test_auto_move//signs_mov_separ_signers/Brady_458.mov" TargetMode="External"/><Relationship Id="rId4210" Type="http://schemas.openxmlformats.org/officeDocument/2006/relationships/hyperlink" Target="http://secrets.rutgers.edu:8080/data/asl-ftp/asllvd/demos/verify_start_end_handshape_annotations//test_auto_move//signs_mov_separ_signers/Brady_458.mov" TargetMode="External"/><Relationship Id="rId4211" Type="http://schemas.openxmlformats.org/officeDocument/2006/relationships/hyperlink" Target="http://csr.bu.edu/ftp/asl/asllvd/demos/verify_start_end_handshape_annotations//test_auto_move//signs_mov_separ_signers/Lana_458.mov" TargetMode="External"/><Relationship Id="rId4212" Type="http://schemas.openxmlformats.org/officeDocument/2006/relationships/hyperlink" Target="http://secrets.rutgers.edu:8080/data/asl-ftp/asllvd/demos/verify_start_end_handshape_annotations//test_auto_move//signs_mov_separ_signers/Lana_458.mov" TargetMode="External"/><Relationship Id="rId4213" Type="http://schemas.openxmlformats.org/officeDocument/2006/relationships/hyperlink" Target="http://csr.bu.edu/ftp/asl/asllvd/demos/verify_start_end_handshape_annotations//test_auto_move//signs_mov_separ_signers/Dana_458.mov" TargetMode="External"/><Relationship Id="rId4214" Type="http://schemas.openxmlformats.org/officeDocument/2006/relationships/hyperlink" Target="http://secrets.rutgers.edu:8080/data/asl-ftp/asllvd/demos/verify_start_end_handshape_annotations//test_auto_move//signs_mov_separ_signers/Dana_458.mov" TargetMode="External"/><Relationship Id="rId4215" Type="http://schemas.openxmlformats.org/officeDocument/2006/relationships/hyperlink" Target="http://csr.bu.edu/ftp/asl/asllvd/demos/verify_start_end_handshape_annotations//test_auto_move//signs_mov/15178.mov" TargetMode="External"/><Relationship Id="rId4216" Type="http://schemas.openxmlformats.org/officeDocument/2006/relationships/hyperlink" Target="http://csr.bu.edu/ftp/asl/asllvd/demos/verify_start_end_handshape_annotations//test_auto_move//signs_mov_separ_signers/Liz_15178.mov" TargetMode="External"/><Relationship Id="rId4217" Type="http://schemas.openxmlformats.org/officeDocument/2006/relationships/hyperlink" Target="http://secrets.rutgers.edu:8080/data/asl-ftp/asllvd/demos/verify_start_end_handshape_annotations//test_auto_move//signs_mov/15178.mov" TargetMode="External"/><Relationship Id="rId4218" Type="http://schemas.openxmlformats.org/officeDocument/2006/relationships/hyperlink" Target="http://secrets.rutgers.edu:8080/data/asl-ftp/asllvd/demos/verify_start_end_handshape_annotations//test_auto_move//signs_mov_separ_signers/Liz_15178.mov" TargetMode="External"/><Relationship Id="rId4219" Type="http://schemas.openxmlformats.org/officeDocument/2006/relationships/hyperlink" Target="http://csr.bu.edu/ftp/asl/asllvd/demos/verify_start_end_handshape_annotations//test_auto_move//signs_mov_separ_signers/Brady_15178.mov" TargetMode="External"/><Relationship Id="rId4220" Type="http://schemas.openxmlformats.org/officeDocument/2006/relationships/hyperlink" Target="http://secrets.rutgers.edu:8080/data/asl-ftp/asllvd/demos/verify_start_end_handshape_annotations//test_auto_move//signs_mov_separ_signers/Brady_15178.mov" TargetMode="External"/><Relationship Id="rId4221" Type="http://schemas.openxmlformats.org/officeDocument/2006/relationships/hyperlink" Target="http://csr.bu.edu/ftp/asl/asllvd/demos/verify_start_end_handshape_annotations//test_auto_move//signs_mov/15188_15258_merged.mov" TargetMode="External"/><Relationship Id="rId4222" Type="http://schemas.openxmlformats.org/officeDocument/2006/relationships/hyperlink" Target="http://csr.bu.edu/ftp/asl/asllvd/demos/verify_start_end_handshape_annotations//test_auto_move//signs_mov_separ_signers/Liz_15188.mov" TargetMode="External"/><Relationship Id="rId4223" Type="http://schemas.openxmlformats.org/officeDocument/2006/relationships/hyperlink" Target="http://secrets.rutgers.edu:8080/data/asl-ftp/asllvd/demos/verify_start_end_handshape_annotations//test_auto_move//signs_mov/15188_15258_merged.mov" TargetMode="External"/><Relationship Id="rId4224" Type="http://schemas.openxmlformats.org/officeDocument/2006/relationships/hyperlink" Target="http://secrets.rutgers.edu:8080/data/asl-ftp/asllvd/demos/verify_start_end_handshape_annotations//test_auto_move//signs_mov_separ_signers/Liz_15188.mov" TargetMode="External"/><Relationship Id="rId4225" Type="http://schemas.openxmlformats.org/officeDocument/2006/relationships/hyperlink" Target="http://csr.bu.edu/ftp/asl/asllvd/demos/verify_start_end_handshape_annotations//test_auto_move//signs_mov_separ_signers/Liz_15258.mov" TargetMode="External"/><Relationship Id="rId4226" Type="http://schemas.openxmlformats.org/officeDocument/2006/relationships/hyperlink" Target="http://secrets.rutgers.edu:8080/data/asl-ftp/asllvd/demos/verify_start_end_handshape_annotations//test_auto_move//signs_mov_separ_signers/Liz_15258.mov" TargetMode="External"/><Relationship Id="rId4227" Type="http://schemas.openxmlformats.org/officeDocument/2006/relationships/hyperlink" Target="http://csr.bu.edu/ftp/asl/asllvd/demos/verify_start_end_handshape_annotations//test_auto_move//signs_mov_separ_signers/Liz_459.mov" TargetMode="External"/><Relationship Id="rId4228" Type="http://schemas.openxmlformats.org/officeDocument/2006/relationships/hyperlink" Target="http://secrets.rutgers.edu:8080/data/asl-ftp/asllvd/demos/verify_start_end_handshape_annotations//test_auto_move//signs_mov_separ_signers/Liz_459.mov" TargetMode="External"/><Relationship Id="rId4229" Type="http://schemas.openxmlformats.org/officeDocument/2006/relationships/hyperlink" Target="http://csr.bu.edu/ftp/asl/asllvd/demos/verify_start_end_handshape_annotations//test_auto_move//signs_mov/459.mov" TargetMode="External"/><Relationship Id="rId4230" Type="http://schemas.openxmlformats.org/officeDocument/2006/relationships/hyperlink" Target="http://csr.bu.edu/ftp/asl/asllvd/demos/verify_start_end_handshape_annotations//test_auto_move//signs_mov_separ_signers/Tyler_459.mov" TargetMode="External"/><Relationship Id="rId4231" Type="http://schemas.openxmlformats.org/officeDocument/2006/relationships/hyperlink" Target="http://secrets.rutgers.edu:8080/data/asl-ftp/asllvd/demos/verify_start_end_handshape_annotations//test_auto_move//signs_mov/459.mov" TargetMode="External"/><Relationship Id="rId4232" Type="http://schemas.openxmlformats.org/officeDocument/2006/relationships/hyperlink" Target="http://secrets.rutgers.edu:8080/data/asl-ftp/asllvd/demos/verify_start_end_handshape_annotations//test_auto_move//signs_mov_separ_signers/Tyler_459.mov" TargetMode="External"/><Relationship Id="rId4233" Type="http://schemas.openxmlformats.org/officeDocument/2006/relationships/hyperlink" Target="http://csr.bu.edu/ftp/asl/asllvd/demos/verify_start_end_handshape_annotations//test_auto_move//signs_mov_separ_signers/Naomi_459.mov" TargetMode="External"/><Relationship Id="rId4234" Type="http://schemas.openxmlformats.org/officeDocument/2006/relationships/hyperlink" Target="http://secrets.rutgers.edu:8080/data/asl-ftp/asllvd/demos/verify_start_end_handshape_annotations//test_auto_move//signs_mov_separ_signers/Naomi_459.mov" TargetMode="External"/><Relationship Id="rId4235" Type="http://schemas.openxmlformats.org/officeDocument/2006/relationships/hyperlink" Target="http://csr.bu.edu/ftp/asl/asllvd/demos/verify_start_end_handshape_annotations//test_auto_move//signs_mov_separ_signers/Brady_459.mov" TargetMode="External"/><Relationship Id="rId4236" Type="http://schemas.openxmlformats.org/officeDocument/2006/relationships/hyperlink" Target="http://secrets.rutgers.edu:8080/data/asl-ftp/asllvd/demos/verify_start_end_handshape_annotations//test_auto_move//signs_mov_separ_signers/Brady_459.mov" TargetMode="External"/><Relationship Id="rId4237" Type="http://schemas.openxmlformats.org/officeDocument/2006/relationships/hyperlink" Target="http://csr.bu.edu/ftp/asl/asllvd/demos/verify_start_end_handshape_annotations//test_auto_move//signs_mov/15913.mov" TargetMode="External"/><Relationship Id="rId4238" Type="http://schemas.openxmlformats.org/officeDocument/2006/relationships/hyperlink" Target="http://csr.bu.edu/ftp/asl/asllvd/demos/verify_start_end_handshape_annotations//test_auto_move//signs_mov_separ_signers/Naomi_15913.mov" TargetMode="External"/><Relationship Id="rId4239" Type="http://schemas.openxmlformats.org/officeDocument/2006/relationships/hyperlink" Target="http://secrets.rutgers.edu:8080/data/asl-ftp/asllvd/demos/verify_start_end_handshape_annotations//test_auto_move//signs_mov/15913.mov" TargetMode="External"/><Relationship Id="rId4240" Type="http://schemas.openxmlformats.org/officeDocument/2006/relationships/hyperlink" Target="http://secrets.rutgers.edu:8080/data/asl-ftp/asllvd/demos/verify_start_end_handshape_annotations//test_auto_move//signs_mov_separ_signers/Naomi_15913.mov" TargetMode="External"/><Relationship Id="rId4241" Type="http://schemas.openxmlformats.org/officeDocument/2006/relationships/hyperlink" Target="http://csr.bu.edu/ftp/asl/asllvd/demos/verify_start_end_handshape_annotations//test_auto_move//signs_mov_separ_signers/Brady_15913.mov" TargetMode="External"/><Relationship Id="rId4242" Type="http://schemas.openxmlformats.org/officeDocument/2006/relationships/hyperlink" Target="http://secrets.rutgers.edu:8080/data/asl-ftp/asllvd/demos/verify_start_end_handshape_annotations//test_auto_move//signs_mov_separ_signers/Brady_15913.mov" TargetMode="External"/><Relationship Id="rId4243" Type="http://schemas.openxmlformats.org/officeDocument/2006/relationships/hyperlink" Target="http://csr.bu.edu/ftp/asl/asllvd/demos/verify_start_end_handshape_annotations//test_auto_move//signs_mov/15959.mov" TargetMode="External"/><Relationship Id="rId4244" Type="http://schemas.openxmlformats.org/officeDocument/2006/relationships/hyperlink" Target="http://csr.bu.edu/ftp/asl/asllvd/demos/verify_start_end_handshape_annotations//test_auto_move//signs_mov_separ_signers/Liz_15959.mov" TargetMode="External"/><Relationship Id="rId4245" Type="http://schemas.openxmlformats.org/officeDocument/2006/relationships/hyperlink" Target="http://secrets.rutgers.edu:8080/data/asl-ftp/asllvd/demos/verify_start_end_handshape_annotations//test_auto_move//signs_mov/15959.mov" TargetMode="External"/><Relationship Id="rId4246" Type="http://schemas.openxmlformats.org/officeDocument/2006/relationships/hyperlink" Target="http://secrets.rutgers.edu:8080/data/asl-ftp/asllvd/demos/verify_start_end_handshape_annotations//test_auto_move//signs_mov_separ_signers/Liz_15959.mov" TargetMode="External"/><Relationship Id="rId4247" Type="http://schemas.openxmlformats.org/officeDocument/2006/relationships/hyperlink" Target="http://csr.bu.edu/ftp/asl/asllvd/demos/verify_start_end_handshape_annotations//test_auto_move//signs_mov_separ_signers/Naomi_15959.mov" TargetMode="External"/><Relationship Id="rId4248" Type="http://schemas.openxmlformats.org/officeDocument/2006/relationships/hyperlink" Target="http://secrets.rutgers.edu:8080/data/asl-ftp/asllvd/demos/verify_start_end_handshape_annotations//test_auto_move//signs_mov_separ_signers/Naomi_15959.mov" TargetMode="External"/><Relationship Id="rId4249" Type="http://schemas.openxmlformats.org/officeDocument/2006/relationships/hyperlink" Target="http://csr.bu.edu/ftp/asl/asllvd/demos/verify_start_end_handshape_annotations//test_auto_move//signs_mov_separ_signers/Liz_460.mov" TargetMode="External"/><Relationship Id="rId4250" Type="http://schemas.openxmlformats.org/officeDocument/2006/relationships/hyperlink" Target="http://secrets.rutgers.edu:8080/data/asl-ftp/asllvd/demos/verify_start_end_handshape_annotations//test_auto_move//signs_mov_separ_signers/Liz_460.mov" TargetMode="External"/><Relationship Id="rId4251" Type="http://schemas.openxmlformats.org/officeDocument/2006/relationships/hyperlink" Target="http://csr.bu.edu/ftp/asl/asllvd/demos/verify_start_end_handshape_annotations//test_auto_move//signs_mov/460.mov" TargetMode="External"/><Relationship Id="rId4252" Type="http://schemas.openxmlformats.org/officeDocument/2006/relationships/hyperlink" Target="http://csr.bu.edu/ftp/asl/asllvd/demos/verify_start_end_handshape_annotations//test_auto_move//signs_mov_separ_signers/Tyler_460.mov" TargetMode="External"/><Relationship Id="rId4253" Type="http://schemas.openxmlformats.org/officeDocument/2006/relationships/hyperlink" Target="http://secrets.rutgers.edu:8080/data/asl-ftp/asllvd/demos/verify_start_end_handshape_annotations//test_auto_move//signs_mov/460.mov" TargetMode="External"/><Relationship Id="rId4254" Type="http://schemas.openxmlformats.org/officeDocument/2006/relationships/hyperlink" Target="http://secrets.rutgers.edu:8080/data/asl-ftp/asllvd/demos/verify_start_end_handshape_annotations//test_auto_move//signs_mov_separ_signers/Tyler_460.mov" TargetMode="External"/><Relationship Id="rId4255" Type="http://schemas.openxmlformats.org/officeDocument/2006/relationships/hyperlink" Target="http://csr.bu.edu/ftp/asl/asllvd/demos/verify_start_end_handshape_annotations//test_auto_move//signs_mov_separ_signers/Naomi_460.mov" TargetMode="External"/><Relationship Id="rId4256" Type="http://schemas.openxmlformats.org/officeDocument/2006/relationships/hyperlink" Target="http://secrets.rutgers.edu:8080/data/asl-ftp/asllvd/demos/verify_start_end_handshape_annotations//test_auto_move//signs_mov_separ_signers/Naomi_460.mov" TargetMode="External"/><Relationship Id="rId4257" Type="http://schemas.openxmlformats.org/officeDocument/2006/relationships/hyperlink" Target="http://csr.bu.edu/ftp/asl/asllvd/demos/verify_start_end_handshape_annotations//test_auto_move//signs_mov_separ_signers/Brady_460.mov" TargetMode="External"/><Relationship Id="rId4258" Type="http://schemas.openxmlformats.org/officeDocument/2006/relationships/hyperlink" Target="http://secrets.rutgers.edu:8080/data/asl-ftp/asllvd/demos/verify_start_end_handshape_annotations//test_auto_move//signs_mov_separ_signers/Brady_460.mov" TargetMode="External"/><Relationship Id="rId4259" Type="http://schemas.openxmlformats.org/officeDocument/2006/relationships/hyperlink" Target="http://csr.bu.edu/ftp/asl/asllvd/demos/verify_start_end_handshape_annotations//test_auto_move//signs_mov_separ_signers/Liz_461.mov" TargetMode="External"/><Relationship Id="rId4260" Type="http://schemas.openxmlformats.org/officeDocument/2006/relationships/hyperlink" Target="http://secrets.rutgers.edu:8080/data/asl-ftp/asllvd/demos/verify_start_end_handshape_annotations//test_auto_move//signs_mov_separ_signers/Liz_461.mov" TargetMode="External"/><Relationship Id="rId4261" Type="http://schemas.openxmlformats.org/officeDocument/2006/relationships/hyperlink" Target="http://csr.bu.edu/ftp/asl/asllvd/demos/verify_start_end_handshape_annotations//test_auto_move//signs_mov/461.mov" TargetMode="External"/><Relationship Id="rId4262" Type="http://schemas.openxmlformats.org/officeDocument/2006/relationships/hyperlink" Target="http://csr.bu.edu/ftp/asl/asllvd/demos/verify_start_end_handshape_annotations//test_auto_move//signs_mov_separ_signers/Tyler_461.mov" TargetMode="External"/><Relationship Id="rId4263" Type="http://schemas.openxmlformats.org/officeDocument/2006/relationships/hyperlink" Target="http://secrets.rutgers.edu:8080/data/asl-ftp/asllvd/demos/verify_start_end_handshape_annotations//test_auto_move//signs_mov/461.mov" TargetMode="External"/><Relationship Id="rId4264" Type="http://schemas.openxmlformats.org/officeDocument/2006/relationships/hyperlink" Target="http://secrets.rutgers.edu:8080/data/asl-ftp/asllvd/demos/verify_start_end_handshape_annotations//test_auto_move//signs_mov_separ_signers/Tyler_461.mov" TargetMode="External"/><Relationship Id="rId4265" Type="http://schemas.openxmlformats.org/officeDocument/2006/relationships/hyperlink" Target="http://csr.bu.edu/ftp/asl/asllvd/demos/verify_start_end_handshape_annotations//test_auto_move//signs_mov_separ_signers/Brady_461.mov" TargetMode="External"/><Relationship Id="rId4266" Type="http://schemas.openxmlformats.org/officeDocument/2006/relationships/hyperlink" Target="http://secrets.rutgers.edu:8080/data/asl-ftp/asllvd/demos/verify_start_end_handshape_annotations//test_auto_move//signs_mov_separ_signers/Brady_461.mov" TargetMode="External"/><Relationship Id="rId4267" Type="http://schemas.openxmlformats.org/officeDocument/2006/relationships/hyperlink" Target="http://csr.bu.edu/ftp/asl/asllvd/demos/verify_start_end_handshape_annotations//test_auto_move//signs_mov_separ_signers/Liz_462.mov" TargetMode="External"/><Relationship Id="rId4268" Type="http://schemas.openxmlformats.org/officeDocument/2006/relationships/hyperlink" Target="http://secrets.rutgers.edu:8080/data/asl-ftp/asllvd/demos/verify_start_end_handshape_annotations//test_auto_move//signs_mov_separ_signers/Liz_462.mov" TargetMode="External"/><Relationship Id="rId4269" Type="http://schemas.openxmlformats.org/officeDocument/2006/relationships/hyperlink" Target="http://csr.bu.edu/ftp/asl/asllvd/demos/verify_start_end_handshape_annotations//test_auto_move//signs_mov/462.mov" TargetMode="External"/><Relationship Id="rId4270" Type="http://schemas.openxmlformats.org/officeDocument/2006/relationships/hyperlink" Target="http://csr.bu.edu/ftp/asl/asllvd/demos/verify_start_end_handshape_annotations//test_auto_move//signs_mov_separ_signers/Tyler_462.mov" TargetMode="External"/><Relationship Id="rId4271" Type="http://schemas.openxmlformats.org/officeDocument/2006/relationships/hyperlink" Target="http://secrets.rutgers.edu:8080/data/asl-ftp/asllvd/demos/verify_start_end_handshape_annotations//test_auto_move//signs_mov/462.mov" TargetMode="External"/><Relationship Id="rId4272" Type="http://schemas.openxmlformats.org/officeDocument/2006/relationships/hyperlink" Target="http://secrets.rutgers.edu:8080/data/asl-ftp/asllvd/demos/verify_start_end_handshape_annotations//test_auto_move//signs_mov_separ_signers/Tyler_462.mov" TargetMode="External"/><Relationship Id="rId4273" Type="http://schemas.openxmlformats.org/officeDocument/2006/relationships/hyperlink" Target="http://csr.bu.edu/ftp/asl/asllvd/demos/verify_start_end_handshape_annotations//test_auto_move//signs_mov_separ_signers/Brady_462.mov" TargetMode="External"/><Relationship Id="rId4274" Type="http://schemas.openxmlformats.org/officeDocument/2006/relationships/hyperlink" Target="http://secrets.rutgers.edu:8080/data/asl-ftp/asllvd/demos/verify_start_end_handshape_annotations//test_auto_move//signs_mov_separ_signers/Brady_462.mov" TargetMode="External"/><Relationship Id="rId4275" Type="http://schemas.openxmlformats.org/officeDocument/2006/relationships/hyperlink" Target="http://csr.bu.edu/ftp/asl/asllvd/demos/verify_start_end_handshape_annotations//test_auto_move//signs_mov_separ_signers/Liz_464.mov" TargetMode="External"/><Relationship Id="rId4276" Type="http://schemas.openxmlformats.org/officeDocument/2006/relationships/hyperlink" Target="http://secrets.rutgers.edu:8080/data/asl-ftp/asllvd/demos/verify_start_end_handshape_annotations//test_auto_move//signs_mov_separ_signers/Liz_464.mov" TargetMode="External"/><Relationship Id="rId4277" Type="http://schemas.openxmlformats.org/officeDocument/2006/relationships/hyperlink" Target="http://csr.bu.edu/ftp/asl/asllvd/demos/verify_start_end_handshape_annotations//test_auto_move//signs_mov_separ_signers/Liz_3850.mov" TargetMode="External"/><Relationship Id="rId4278" Type="http://schemas.openxmlformats.org/officeDocument/2006/relationships/hyperlink" Target="http://secrets.rutgers.edu:8080/data/asl-ftp/asllvd/demos/verify_start_end_handshape_annotations//test_auto_move//signs_mov_separ_signers/Liz_3850.mov" TargetMode="External"/><Relationship Id="rId4279" Type="http://schemas.openxmlformats.org/officeDocument/2006/relationships/hyperlink" Target="http://csr.bu.edu/ftp/asl/asllvd/demos/verify_start_end_handshape_annotations//test_auto_move//signs_mov_separ_signers/Liz_3852.mov" TargetMode="External"/><Relationship Id="rId4280" Type="http://schemas.openxmlformats.org/officeDocument/2006/relationships/hyperlink" Target="http://secrets.rutgers.edu:8080/data/asl-ftp/asllvd/demos/verify_start_end_handshape_annotations//test_auto_move//signs_mov_separ_signers/Liz_3852.mov" TargetMode="External"/><Relationship Id="rId4281" Type="http://schemas.openxmlformats.org/officeDocument/2006/relationships/hyperlink" Target="http://csr.bu.edu/ftp/asl/asllvd/demos/verify_start_end_handshape_annotations//test_auto_move//signs_mov_separ_signers/Tyler_464.mov" TargetMode="External"/><Relationship Id="rId4282" Type="http://schemas.openxmlformats.org/officeDocument/2006/relationships/hyperlink" Target="http://secrets.rutgers.edu:8080/data/asl-ftp/asllvd/demos/verify_start_end_handshape_annotations//test_auto_move//signs_mov_separ_signers/Tyler_464.mov" TargetMode="External"/><Relationship Id="rId4283" Type="http://schemas.openxmlformats.org/officeDocument/2006/relationships/hyperlink" Target="http://csr.bu.edu/ftp/asl/asllvd/demos/verify_start_end_handshape_annotations//test_auto_move//signs_mov/464_3850_3852_15096_merged.mov" TargetMode="External"/><Relationship Id="rId4284" Type="http://schemas.openxmlformats.org/officeDocument/2006/relationships/hyperlink" Target="http://csr.bu.edu/ftp/asl/asllvd/demos/verify_start_end_handshape_annotations//test_auto_move//signs_mov_separ_signers/Naomi_464.mov" TargetMode="External"/><Relationship Id="rId4285" Type="http://schemas.openxmlformats.org/officeDocument/2006/relationships/hyperlink" Target="http://secrets.rutgers.edu:8080/data/asl-ftp/asllvd/demos/verify_start_end_handshape_annotations//test_auto_move//signs_mov/464_3850_3852_15096_merged.mov" TargetMode="External"/><Relationship Id="rId4286" Type="http://schemas.openxmlformats.org/officeDocument/2006/relationships/hyperlink" Target="http://secrets.rutgers.edu:8080/data/asl-ftp/asllvd/demos/verify_start_end_handshape_annotations//test_auto_move//signs_mov_separ_signers/Naomi_464.mov" TargetMode="External"/><Relationship Id="rId4287" Type="http://schemas.openxmlformats.org/officeDocument/2006/relationships/hyperlink" Target="http://csr.bu.edu/ftp/asl/asllvd/demos/verify_start_end_handshape_annotations//test_auto_move//signs_mov_separ_signers/Brady_464.mov" TargetMode="External"/><Relationship Id="rId4288" Type="http://schemas.openxmlformats.org/officeDocument/2006/relationships/hyperlink" Target="http://secrets.rutgers.edu:8080/data/asl-ftp/asllvd/demos/verify_start_end_handshape_annotations//test_auto_move//signs_mov_separ_signers/Brady_464.mov" TargetMode="External"/><Relationship Id="rId4289" Type="http://schemas.openxmlformats.org/officeDocument/2006/relationships/hyperlink" Target="http://csr.bu.edu/ftp/asl/asllvd/demos/verify_start_end_handshape_annotations//test_auto_move//signs_mov_separ_signers/Brady_3850.mov" TargetMode="External"/><Relationship Id="rId4290" Type="http://schemas.openxmlformats.org/officeDocument/2006/relationships/hyperlink" Target="http://secrets.rutgers.edu:8080/data/asl-ftp/asllvd/demos/verify_start_end_handshape_annotations//test_auto_move//signs_mov_separ_signers/Brady_3850.mov" TargetMode="External"/><Relationship Id="rId4291" Type="http://schemas.openxmlformats.org/officeDocument/2006/relationships/hyperlink" Target="http://csr.bu.edu/ftp/asl/asllvd/demos/verify_start_end_handshape_annotations//test_auto_move//signs_mov_separ_signers/Brady_3852.mov" TargetMode="External"/><Relationship Id="rId4292" Type="http://schemas.openxmlformats.org/officeDocument/2006/relationships/hyperlink" Target="http://secrets.rutgers.edu:8080/data/asl-ftp/asllvd/demos/verify_start_end_handshape_annotations//test_auto_move//signs_mov_separ_signers/Brady_3852.mov" TargetMode="External"/><Relationship Id="rId4293" Type="http://schemas.openxmlformats.org/officeDocument/2006/relationships/hyperlink" Target="http://csr.bu.edu/ftp/asl/asllvd/demos/verify_start_end_handshape_annotations//test_auto_move//signs_mov_separ_signers/Brady_15096.mov" TargetMode="External"/><Relationship Id="rId4294" Type="http://schemas.openxmlformats.org/officeDocument/2006/relationships/hyperlink" Target="http://secrets.rutgers.edu:8080/data/asl-ftp/asllvd/demos/verify_start_end_handshape_annotations//test_auto_move//signs_mov_separ_signers/Brady_15096.mov" TargetMode="External"/><Relationship Id="rId4295" Type="http://schemas.openxmlformats.org/officeDocument/2006/relationships/hyperlink" Target="http://csr.bu.edu/ftp/asl/asllvd/demos/verify_start_end_handshape_annotations//test_auto_move//signs_mov_separ_signers/Liz_467.mov" TargetMode="External"/><Relationship Id="rId4296" Type="http://schemas.openxmlformats.org/officeDocument/2006/relationships/hyperlink" Target="http://secrets.rutgers.edu:8080/data/asl-ftp/asllvd/demos/verify_start_end_handshape_annotations//test_auto_move//signs_mov_separ_signers/Liz_467.mov" TargetMode="External"/><Relationship Id="rId4297" Type="http://schemas.openxmlformats.org/officeDocument/2006/relationships/hyperlink" Target="http://csr.bu.edu/ftp/asl/asllvd/demos/verify_start_end_handshape_annotations//test_auto_move//signs_mov_separ_signers/Liz_5336.mov" TargetMode="External"/><Relationship Id="rId4298" Type="http://schemas.openxmlformats.org/officeDocument/2006/relationships/hyperlink" Target="http://secrets.rutgers.edu:8080/data/asl-ftp/asllvd/demos/verify_start_end_handshape_annotations//test_auto_move//signs_mov_separ_signers/Liz_5336.mov" TargetMode="External"/><Relationship Id="rId4299" Type="http://schemas.openxmlformats.org/officeDocument/2006/relationships/hyperlink" Target="http://csr.bu.edu/ftp/asl/asllvd/demos/verify_start_end_handshape_annotations//test_auto_move//signs_mov_separ_signers/Tyler_467.mov" TargetMode="External"/><Relationship Id="rId4300" Type="http://schemas.openxmlformats.org/officeDocument/2006/relationships/hyperlink" Target="http://secrets.rutgers.edu:8080/data/asl-ftp/asllvd/demos/verify_start_end_handshape_annotations//test_auto_move//signs_mov_separ_signers/Tyler_467.mov" TargetMode="External"/><Relationship Id="rId4301" Type="http://schemas.openxmlformats.org/officeDocument/2006/relationships/hyperlink" Target="http://csr.bu.edu/ftp/asl/asllvd/demos/verify_start_end_handshape_annotations//test_auto_move//signs_mov_separ_signers/Tyler_5336.mov" TargetMode="External"/><Relationship Id="rId4302" Type="http://schemas.openxmlformats.org/officeDocument/2006/relationships/hyperlink" Target="http://secrets.rutgers.edu:8080/data/asl-ftp/asllvd/demos/verify_start_end_handshape_annotations//test_auto_move//signs_mov_separ_signers/Tyler_5336.mov" TargetMode="External"/><Relationship Id="rId4303" Type="http://schemas.openxmlformats.org/officeDocument/2006/relationships/hyperlink" Target="http://csr.bu.edu/ftp/asl/asllvd/demos/verify_start_end_handshape_annotations//test_auto_move//signs_mov_separ_signers/Tyler_5399.mov" TargetMode="External"/><Relationship Id="rId4304" Type="http://schemas.openxmlformats.org/officeDocument/2006/relationships/hyperlink" Target="http://secrets.rutgers.edu:8080/data/asl-ftp/asllvd/demos/verify_start_end_handshape_annotations//test_auto_move//signs_mov_separ_signers/Tyler_5399.mov" TargetMode="External"/><Relationship Id="rId4305" Type="http://schemas.openxmlformats.org/officeDocument/2006/relationships/hyperlink" Target="http://csr.bu.edu/ftp/asl/asllvd/demos/verify_start_end_handshape_annotations//test_auto_move//signs_mov/467_5336_5399_merged.mov" TargetMode="External"/><Relationship Id="rId4306" Type="http://schemas.openxmlformats.org/officeDocument/2006/relationships/hyperlink" Target="http://csr.bu.edu/ftp/asl/asllvd/demos/verify_start_end_handshape_annotations//test_auto_move//signs_mov_separ_signers/Naomi_467.mov" TargetMode="External"/><Relationship Id="rId4307" Type="http://schemas.openxmlformats.org/officeDocument/2006/relationships/hyperlink" Target="http://secrets.rutgers.edu:8080/data/asl-ftp/asllvd/demos/verify_start_end_handshape_annotations//test_auto_move//signs_mov/467_5336_5399_merged.mov" TargetMode="External"/><Relationship Id="rId4308" Type="http://schemas.openxmlformats.org/officeDocument/2006/relationships/hyperlink" Target="http://secrets.rutgers.edu:8080/data/asl-ftp/asllvd/demos/verify_start_end_handshape_annotations//test_auto_move//signs_mov_separ_signers/Naomi_467.mov" TargetMode="External"/><Relationship Id="rId4309" Type="http://schemas.openxmlformats.org/officeDocument/2006/relationships/hyperlink" Target="http://csr.bu.edu/ftp/asl/asllvd/demos/verify_start_end_handshape_annotations//test_auto_move//signs_mov_separ_signers/Naomi_5336.mov" TargetMode="External"/><Relationship Id="rId4310" Type="http://schemas.openxmlformats.org/officeDocument/2006/relationships/hyperlink" Target="http://secrets.rutgers.edu:8080/data/asl-ftp/asllvd/demos/verify_start_end_handshape_annotations//test_auto_move//signs_mov_separ_signers/Naomi_5336.mov" TargetMode="External"/><Relationship Id="rId4311" Type="http://schemas.openxmlformats.org/officeDocument/2006/relationships/hyperlink" Target="http://csr.bu.edu/ftp/asl/asllvd/demos/verify_start_end_handshape_annotations//test_auto_move//signs_mov_separ_signers/Brady_467.mov" TargetMode="External"/><Relationship Id="rId4312" Type="http://schemas.openxmlformats.org/officeDocument/2006/relationships/hyperlink" Target="http://secrets.rutgers.edu:8080/data/asl-ftp/asllvd/demos/verify_start_end_handshape_annotations//test_auto_move//signs_mov_separ_signers/Brady_467.mov" TargetMode="External"/><Relationship Id="rId4313" Type="http://schemas.openxmlformats.org/officeDocument/2006/relationships/hyperlink" Target="http://csr.bu.edu/ftp/asl/asllvd/demos/verify_start_end_handshape_annotations//test_auto_move//signs_mov_separ_signers/Lana_467.mov" TargetMode="External"/><Relationship Id="rId4314" Type="http://schemas.openxmlformats.org/officeDocument/2006/relationships/hyperlink" Target="http://secrets.rutgers.edu:8080/data/asl-ftp/asllvd/demos/verify_start_end_handshape_annotations//test_auto_move//signs_mov_separ_signers/Lana_467.mov" TargetMode="External"/><Relationship Id="rId4315" Type="http://schemas.openxmlformats.org/officeDocument/2006/relationships/hyperlink" Target="http://csr.bu.edu/ftp/asl/asllvd/demos/verify_start_end_handshape_annotations//test_auto_move//signs_mov_separ_signers/Lana_5336.mov" TargetMode="External"/><Relationship Id="rId4316" Type="http://schemas.openxmlformats.org/officeDocument/2006/relationships/hyperlink" Target="http://secrets.rutgers.edu:8080/data/asl-ftp/asllvd/demos/verify_start_end_handshape_annotations//test_auto_move//signs_mov_separ_signers/Lana_5336.mov" TargetMode="External"/><Relationship Id="rId4317" Type="http://schemas.openxmlformats.org/officeDocument/2006/relationships/hyperlink" Target="http://csr.bu.edu/ftp/asl/asllvd/demos/verify_start_end_handshape_annotations//test_auto_move//signs_mov_separ_signers/Dana_467.mov" TargetMode="External"/><Relationship Id="rId4318" Type="http://schemas.openxmlformats.org/officeDocument/2006/relationships/hyperlink" Target="http://secrets.rutgers.edu:8080/data/asl-ftp/asllvd/demos/verify_start_end_handshape_annotations//test_auto_move//signs_mov_separ_signers/Dana_467.mov" TargetMode="External"/><Relationship Id="rId4319" Type="http://schemas.openxmlformats.org/officeDocument/2006/relationships/hyperlink" Target="http://csr.bu.edu/ftp/asl/asllvd/demos/verify_start_end_handshape_annotations//test_auto_move//signs_mov_separ_signers/Liz_468.mov" TargetMode="External"/><Relationship Id="rId4320" Type="http://schemas.openxmlformats.org/officeDocument/2006/relationships/hyperlink" Target="http://secrets.rutgers.edu:8080/data/asl-ftp/asllvd/demos/verify_start_end_handshape_annotations//test_auto_move//signs_mov_separ_signers/Liz_468.mov" TargetMode="External"/><Relationship Id="rId4321" Type="http://schemas.openxmlformats.org/officeDocument/2006/relationships/hyperlink" Target="http://csr.bu.edu/ftp/asl/asllvd/demos/verify_start_end_handshape_annotations//test_auto_move//signs_mov/468.mov" TargetMode="External"/><Relationship Id="rId4322" Type="http://schemas.openxmlformats.org/officeDocument/2006/relationships/hyperlink" Target="http://csr.bu.edu/ftp/asl/asllvd/demos/verify_start_end_handshape_annotations//test_auto_move//signs_mov_separ_signers/Tyler_468.mov" TargetMode="External"/><Relationship Id="rId4323" Type="http://schemas.openxmlformats.org/officeDocument/2006/relationships/hyperlink" Target="http://secrets.rutgers.edu:8080/data/asl-ftp/asllvd/demos/verify_start_end_handshape_annotations//test_auto_move//signs_mov/468.mov" TargetMode="External"/><Relationship Id="rId4324" Type="http://schemas.openxmlformats.org/officeDocument/2006/relationships/hyperlink" Target="http://secrets.rutgers.edu:8080/data/asl-ftp/asllvd/demos/verify_start_end_handshape_annotations//test_auto_move//signs_mov_separ_signers/Tyler_468.mov" TargetMode="External"/><Relationship Id="rId4325" Type="http://schemas.openxmlformats.org/officeDocument/2006/relationships/hyperlink" Target="http://csr.bu.edu/ftp/asl/asllvd/demos/verify_start_end_handshape_annotations//test_auto_move//signs_mov_separ_signers/Naomi_468.mov" TargetMode="External"/><Relationship Id="rId4326" Type="http://schemas.openxmlformats.org/officeDocument/2006/relationships/hyperlink" Target="http://secrets.rutgers.edu:8080/data/asl-ftp/asllvd/demos/verify_start_end_handshape_annotations//test_auto_move//signs_mov_separ_signers/Naomi_468.mov" TargetMode="External"/><Relationship Id="rId4327" Type="http://schemas.openxmlformats.org/officeDocument/2006/relationships/hyperlink" Target="http://csr.bu.edu/ftp/asl/asllvd/demos/verify_start_end_handshape_annotations//test_auto_move//signs_mov_separ_signers/Brady_468.mov" TargetMode="External"/><Relationship Id="rId4328" Type="http://schemas.openxmlformats.org/officeDocument/2006/relationships/hyperlink" Target="http://secrets.rutgers.edu:8080/data/asl-ftp/asllvd/demos/verify_start_end_handshape_annotations//test_auto_move//signs_mov_separ_signers/Brady_468.mov" TargetMode="External"/><Relationship Id="rId4329" Type="http://schemas.openxmlformats.org/officeDocument/2006/relationships/hyperlink" Target="http://csr.bu.edu/ftp/asl/asllvd/demos/verify_start_end_handshape_annotations//test_auto_move//signs_mov/15657_15671_merged.mov" TargetMode="External"/><Relationship Id="rId4330" Type="http://schemas.openxmlformats.org/officeDocument/2006/relationships/hyperlink" Target="http://csr.bu.edu/ftp/asl/asllvd/demos/verify_start_end_handshape_annotations//test_auto_move//signs_mov_separ_signers/Liz_15657.mov" TargetMode="External"/><Relationship Id="rId4331" Type="http://schemas.openxmlformats.org/officeDocument/2006/relationships/hyperlink" Target="http://secrets.rutgers.edu:8080/data/asl-ftp/asllvd/demos/verify_start_end_handshape_annotations//test_auto_move//signs_mov/15657_15671_merged.mov" TargetMode="External"/><Relationship Id="rId4332" Type="http://schemas.openxmlformats.org/officeDocument/2006/relationships/hyperlink" Target="http://secrets.rutgers.edu:8080/data/asl-ftp/asllvd/demos/verify_start_end_handshape_annotations//test_auto_move//signs_mov_separ_signers/Liz_15657.mov" TargetMode="External"/><Relationship Id="rId4333" Type="http://schemas.openxmlformats.org/officeDocument/2006/relationships/hyperlink" Target="http://csr.bu.edu/ftp/asl/asllvd/demos/verify_start_end_handshape_annotations//test_auto_move//signs_mov_separ_signers/Liz_15671.mov" TargetMode="External"/><Relationship Id="rId4334" Type="http://schemas.openxmlformats.org/officeDocument/2006/relationships/hyperlink" Target="http://secrets.rutgers.edu:8080/data/asl-ftp/asllvd/demos/verify_start_end_handshape_annotations//test_auto_move//signs_mov_separ_signers/Liz_15671.mov" TargetMode="External"/><Relationship Id="rId4335" Type="http://schemas.openxmlformats.org/officeDocument/2006/relationships/hyperlink" Target="http://csr.bu.edu/ftp/asl/asllvd/demos/verify_start_end_handshape_annotations//test_auto_move//signs_mov/469.mov" TargetMode="External"/><Relationship Id="rId4336" Type="http://schemas.openxmlformats.org/officeDocument/2006/relationships/hyperlink" Target="http://csr.bu.edu/ftp/asl/asllvd/demos/verify_start_end_handshape_annotations//test_auto_move//signs_mov_separ_signers/Liz_469.mov" TargetMode="External"/><Relationship Id="rId4337" Type="http://schemas.openxmlformats.org/officeDocument/2006/relationships/hyperlink" Target="http://secrets.rutgers.edu:8080/data/asl-ftp/asllvd/demos/verify_start_end_handshape_annotations//test_auto_move//signs_mov/469.mov" TargetMode="External"/><Relationship Id="rId4338" Type="http://schemas.openxmlformats.org/officeDocument/2006/relationships/hyperlink" Target="http://secrets.rutgers.edu:8080/data/asl-ftp/asllvd/demos/verify_start_end_handshape_annotations//test_auto_move//signs_mov_separ_signers/Liz_469.mov" TargetMode="External"/><Relationship Id="rId4339" Type="http://schemas.openxmlformats.org/officeDocument/2006/relationships/hyperlink" Target="http://csr.bu.edu/ftp/asl/asllvd/demos/verify_start_end_handshape_annotations//test_auto_move//signs_mov_separ_signers/Liz_471.mov" TargetMode="External"/><Relationship Id="rId4340" Type="http://schemas.openxmlformats.org/officeDocument/2006/relationships/hyperlink" Target="http://secrets.rutgers.edu:8080/data/asl-ftp/asllvd/demos/verify_start_end_handshape_annotations//test_auto_move//signs_mov_separ_signers/Liz_471.mov" TargetMode="External"/><Relationship Id="rId4341" Type="http://schemas.openxmlformats.org/officeDocument/2006/relationships/hyperlink" Target="http://csr.bu.edu/ftp/asl/asllvd/demos/verify_start_end_handshape_annotations//test_auto_move//signs_mov_separ_signers/Liz_3386.mov" TargetMode="External"/><Relationship Id="rId4342" Type="http://schemas.openxmlformats.org/officeDocument/2006/relationships/hyperlink" Target="http://secrets.rutgers.edu:8080/data/asl-ftp/asllvd/demos/verify_start_end_handshape_annotations//test_auto_move//signs_mov_separ_signers/Liz_3386.mov" TargetMode="External"/><Relationship Id="rId4343" Type="http://schemas.openxmlformats.org/officeDocument/2006/relationships/hyperlink" Target="http://csr.bu.edu/ftp/asl/asllvd/demos/verify_start_end_handshape_annotations//test_auto_move//signs_mov_separ_signers/Tyler_471.mov" TargetMode="External"/><Relationship Id="rId4344" Type="http://schemas.openxmlformats.org/officeDocument/2006/relationships/hyperlink" Target="http://secrets.rutgers.edu:8080/data/asl-ftp/asllvd/demos/verify_start_end_handshape_annotations//test_auto_move//signs_mov_separ_signers/Tyler_471.mov" TargetMode="External"/><Relationship Id="rId4345" Type="http://schemas.openxmlformats.org/officeDocument/2006/relationships/hyperlink" Target="http://csr.bu.edu/ftp/asl/asllvd/demos/verify_start_end_handshape_annotations//test_auto_move//signs_mov/471_3386_5142_merged.mov" TargetMode="External"/><Relationship Id="rId4346" Type="http://schemas.openxmlformats.org/officeDocument/2006/relationships/hyperlink" Target="http://csr.bu.edu/ftp/asl/asllvd/demos/verify_start_end_handshape_annotations//test_auto_move//signs_mov_separ_signers/Naomi_471.mov" TargetMode="External"/><Relationship Id="rId4347" Type="http://schemas.openxmlformats.org/officeDocument/2006/relationships/hyperlink" Target="http://secrets.rutgers.edu:8080/data/asl-ftp/asllvd/demos/verify_start_end_handshape_annotations//test_auto_move//signs_mov/471_3386_5142_merged.mov" TargetMode="External"/><Relationship Id="rId4348" Type="http://schemas.openxmlformats.org/officeDocument/2006/relationships/hyperlink" Target="http://secrets.rutgers.edu:8080/data/asl-ftp/asllvd/demos/verify_start_end_handshape_annotations//test_auto_move//signs_mov_separ_signers/Naomi_471.mov" TargetMode="External"/><Relationship Id="rId4349" Type="http://schemas.openxmlformats.org/officeDocument/2006/relationships/hyperlink" Target="http://csr.bu.edu/ftp/asl/asllvd/demos/verify_start_end_handshape_annotations//test_auto_move//signs_mov_separ_signers/Brady_471.mov" TargetMode="External"/><Relationship Id="rId4350" Type="http://schemas.openxmlformats.org/officeDocument/2006/relationships/hyperlink" Target="http://secrets.rutgers.edu:8080/data/asl-ftp/asllvd/demos/verify_start_end_handshape_annotations//test_auto_move//signs_mov_separ_signers/Brady_471.mov" TargetMode="External"/><Relationship Id="rId4351" Type="http://schemas.openxmlformats.org/officeDocument/2006/relationships/hyperlink" Target="http://csr.bu.edu/ftp/asl/asllvd/demos/verify_start_end_handshape_annotations//test_auto_move//signs_mov_separ_signers/Brady_3386.mov" TargetMode="External"/><Relationship Id="rId4352" Type="http://schemas.openxmlformats.org/officeDocument/2006/relationships/hyperlink" Target="http://secrets.rutgers.edu:8080/data/asl-ftp/asllvd/demos/verify_start_end_handshape_annotations//test_auto_move//signs_mov_separ_signers/Brady_3386.mov" TargetMode="External"/><Relationship Id="rId4353" Type="http://schemas.openxmlformats.org/officeDocument/2006/relationships/hyperlink" Target="http://csr.bu.edu/ftp/asl/asllvd/demos/verify_start_end_handshape_annotations//test_auto_move//signs_mov_separ_signers/Brady_5142.mov" TargetMode="External"/><Relationship Id="rId4354" Type="http://schemas.openxmlformats.org/officeDocument/2006/relationships/hyperlink" Target="http://secrets.rutgers.edu:8080/data/asl-ftp/asllvd/demos/verify_start_end_handshape_annotations//test_auto_move//signs_mov_separ_signers/Brady_5142.mov" TargetMode="External"/><Relationship Id="rId4355" Type="http://schemas.openxmlformats.org/officeDocument/2006/relationships/hyperlink" Target="http://csr.bu.edu/ftp/asl/asllvd/demos/verify_start_end_handshape_annotations//test_auto_move//signs_mov_separ_signers/Tyler_475.mov" TargetMode="External"/><Relationship Id="rId4356" Type="http://schemas.openxmlformats.org/officeDocument/2006/relationships/hyperlink" Target="http://secrets.rutgers.edu:8080/data/asl-ftp/asllvd/demos/verify_start_end_handshape_annotations//test_auto_move//signs_mov_separ_signers/Tyler_475.mov" TargetMode="External"/><Relationship Id="rId4357" Type="http://schemas.openxmlformats.org/officeDocument/2006/relationships/hyperlink" Target="http://csr.bu.edu/ftp/asl/asllvd/demos/verify_start_end_handshape_annotations//test_auto_move//signs_mov_separ_signers/Tyler_3592.mov" TargetMode="External"/><Relationship Id="rId4358" Type="http://schemas.openxmlformats.org/officeDocument/2006/relationships/hyperlink" Target="http://secrets.rutgers.edu:8080/data/asl-ftp/asllvd/demos/verify_start_end_handshape_annotations//test_auto_move//signs_mov_separ_signers/Tyler_3592.mov" TargetMode="External"/><Relationship Id="rId4359" Type="http://schemas.openxmlformats.org/officeDocument/2006/relationships/hyperlink" Target="http://csr.bu.edu/ftp/asl/asllvd/demos/verify_start_end_handshape_annotations//test_auto_move//signs_mov_separ_signers/Naomi_475.mov" TargetMode="External"/><Relationship Id="rId4360" Type="http://schemas.openxmlformats.org/officeDocument/2006/relationships/hyperlink" Target="http://secrets.rutgers.edu:8080/data/asl-ftp/asllvd/demos/verify_start_end_handshape_annotations//test_auto_move//signs_mov_separ_signers/Naomi_475.mov" TargetMode="External"/><Relationship Id="rId4361" Type="http://schemas.openxmlformats.org/officeDocument/2006/relationships/hyperlink" Target="http://csr.bu.edu/ftp/asl/asllvd/demos/verify_start_end_handshape_annotations//test_auto_move//signs_mov/475_3592_merged.mov" TargetMode="External"/><Relationship Id="rId4362" Type="http://schemas.openxmlformats.org/officeDocument/2006/relationships/hyperlink" Target="http://csr.bu.edu/ftp/asl/asllvd/demos/verify_start_end_handshape_annotations//test_auto_move//signs_mov_separ_signers/Naomi_3592.mov" TargetMode="External"/><Relationship Id="rId4363" Type="http://schemas.openxmlformats.org/officeDocument/2006/relationships/hyperlink" Target="http://secrets.rutgers.edu:8080/data/asl-ftp/asllvd/demos/verify_start_end_handshape_annotations//test_auto_move//signs_mov/475_3592_merged.mov" TargetMode="External"/><Relationship Id="rId4364" Type="http://schemas.openxmlformats.org/officeDocument/2006/relationships/hyperlink" Target="http://secrets.rutgers.edu:8080/data/asl-ftp/asllvd/demos/verify_start_end_handshape_annotations//test_auto_move//signs_mov_separ_signers/Naomi_3592.mov" TargetMode="External"/><Relationship Id="rId4365" Type="http://schemas.openxmlformats.org/officeDocument/2006/relationships/hyperlink" Target="http://csr.bu.edu/ftp/asl/asllvd/demos/verify_start_end_handshape_annotations//test_auto_move//signs_mov_separ_signers/Brady_475.mov" TargetMode="External"/><Relationship Id="rId4366" Type="http://schemas.openxmlformats.org/officeDocument/2006/relationships/hyperlink" Target="http://secrets.rutgers.edu:8080/data/asl-ftp/asllvd/demos/verify_start_end_handshape_annotations//test_auto_move//signs_mov_separ_signers/Brady_475.mov" TargetMode="External"/><Relationship Id="rId4367" Type="http://schemas.openxmlformats.org/officeDocument/2006/relationships/hyperlink" Target="http://csr.bu.edu/ftp/asl/asllvd/demos/verify_start_end_handshape_annotations//test_auto_move//signs_mov_separ_signers/Lana_475.mov" TargetMode="External"/><Relationship Id="rId4368" Type="http://schemas.openxmlformats.org/officeDocument/2006/relationships/hyperlink" Target="http://secrets.rutgers.edu:8080/data/asl-ftp/asllvd/demos/verify_start_end_handshape_annotations//test_auto_move//signs_mov_separ_signers/Lana_475.mov" TargetMode="External"/><Relationship Id="rId4369" Type="http://schemas.openxmlformats.org/officeDocument/2006/relationships/hyperlink" Target="http://csr.bu.edu/ftp/asl/asllvd/demos/verify_start_end_handshape_annotations//test_auto_move//signs_mov_separ_signers/Dana_475.mov" TargetMode="External"/><Relationship Id="rId4370" Type="http://schemas.openxmlformats.org/officeDocument/2006/relationships/hyperlink" Target="http://secrets.rutgers.edu:8080/data/asl-ftp/asllvd/demos/verify_start_end_handshape_annotations//test_auto_move//signs_mov_separ_signers/Dana_475.mov" TargetMode="External"/><Relationship Id="rId4371" Type="http://schemas.openxmlformats.org/officeDocument/2006/relationships/hyperlink" Target="http://csr.bu.edu/ftp/asl/asllvd/demos/verify_start_end_handshape_annotations//test_auto_move//signs_mov_separ_signers/Liz_3697.mov" TargetMode="External"/><Relationship Id="rId4372" Type="http://schemas.openxmlformats.org/officeDocument/2006/relationships/hyperlink" Target="http://secrets.rutgers.edu:8080/data/asl-ftp/asllvd/demos/verify_start_end_handshape_annotations//test_auto_move//signs_mov_separ_signers/Liz_3697.mov" TargetMode="External"/><Relationship Id="rId4373" Type="http://schemas.openxmlformats.org/officeDocument/2006/relationships/hyperlink" Target="http://csr.bu.edu/ftp/asl/asllvd/demos/verify_start_end_handshape_annotations//test_auto_move//signs_mov/3697_15528_15541_merged.mov" TargetMode="External"/><Relationship Id="rId4374" Type="http://schemas.openxmlformats.org/officeDocument/2006/relationships/hyperlink" Target="http://csr.bu.edu/ftp/asl/asllvd/demos/verify_start_end_handshape_annotations//test_auto_move//signs_mov_separ_signers/Liz_15528.mov" TargetMode="External"/><Relationship Id="rId4375" Type="http://schemas.openxmlformats.org/officeDocument/2006/relationships/hyperlink" Target="http://secrets.rutgers.edu:8080/data/asl-ftp/asllvd/demos/verify_start_end_handshape_annotations//test_auto_move//signs_mov/3697_15528_15541_merged.mov" TargetMode="External"/><Relationship Id="rId4376" Type="http://schemas.openxmlformats.org/officeDocument/2006/relationships/hyperlink" Target="http://secrets.rutgers.edu:8080/data/asl-ftp/asllvd/demos/verify_start_end_handshape_annotations//test_auto_move//signs_mov_separ_signers/Liz_15528.mov" TargetMode="External"/><Relationship Id="rId4377" Type="http://schemas.openxmlformats.org/officeDocument/2006/relationships/hyperlink" Target="http://csr.bu.edu/ftp/asl/asllvd/demos/verify_start_end_handshape_annotations//test_auto_move//signs_mov_separ_signers/Liz_15541.mov" TargetMode="External"/><Relationship Id="rId4378" Type="http://schemas.openxmlformats.org/officeDocument/2006/relationships/hyperlink" Target="http://secrets.rutgers.edu:8080/data/asl-ftp/asllvd/demos/verify_start_end_handshape_annotations//test_auto_move//signs_mov_separ_signers/Liz_15541.mov" TargetMode="External"/><Relationship Id="rId4379" Type="http://schemas.openxmlformats.org/officeDocument/2006/relationships/hyperlink" Target="http://csr.bu.edu/ftp/asl/asllvd/demos/verify_start_end_handshape_annotations//test_auto_move//signs_mov_separ_signers/Brady_3697.mov" TargetMode="External"/><Relationship Id="rId4380" Type="http://schemas.openxmlformats.org/officeDocument/2006/relationships/hyperlink" Target="http://secrets.rutgers.edu:8080/data/asl-ftp/asllvd/demos/verify_start_end_handshape_annotations//test_auto_move//signs_mov_separ_signers/Brady_3697.mov" TargetMode="External"/><Relationship Id="rId4381" Type="http://schemas.openxmlformats.org/officeDocument/2006/relationships/hyperlink" Target="http://csr.bu.edu/ftp/asl/asllvd/demos/verify_start_end_handshape_annotations//test_auto_move//signs_mov/15575.mov" TargetMode="External"/><Relationship Id="rId4382" Type="http://schemas.openxmlformats.org/officeDocument/2006/relationships/hyperlink" Target="http://csr.bu.edu/ftp/asl/asllvd/demos/verify_start_end_handshape_annotations//test_auto_move//signs_mov_separ_signers/Liz_15575.mov" TargetMode="External"/><Relationship Id="rId4383" Type="http://schemas.openxmlformats.org/officeDocument/2006/relationships/hyperlink" Target="http://secrets.rutgers.edu:8080/data/asl-ftp/asllvd/demos/verify_start_end_handshape_annotations//test_auto_move//signs_mov/15575.mov" TargetMode="External"/><Relationship Id="rId4384" Type="http://schemas.openxmlformats.org/officeDocument/2006/relationships/hyperlink" Target="http://secrets.rutgers.edu:8080/data/asl-ftp/asllvd/demos/verify_start_end_handshape_annotations//test_auto_move//signs_mov_separ_signers/Liz_15575.mov" TargetMode="External"/><Relationship Id="rId4385" Type="http://schemas.openxmlformats.org/officeDocument/2006/relationships/hyperlink" Target="http://csr.bu.edu/ftp/asl/asllvd/demos/verify_start_end_handshape_annotations//test_auto_move//signs_mov_separ_signers/Tyler_15575.mov" TargetMode="External"/><Relationship Id="rId4386" Type="http://schemas.openxmlformats.org/officeDocument/2006/relationships/hyperlink" Target="http://secrets.rutgers.edu:8080/data/asl-ftp/asllvd/demos/verify_start_end_handshape_annotations//test_auto_move//signs_mov_separ_signers/Tyler_15575.mov" TargetMode="External"/><Relationship Id="rId4387" Type="http://schemas.openxmlformats.org/officeDocument/2006/relationships/hyperlink" Target="http://csr.bu.edu/ftp/asl/asllvd/demos/verify_start_end_handshape_annotations//test_auto_move//signs_mov_separ_signers/Liz_15608.mov" TargetMode="External"/><Relationship Id="rId4388" Type="http://schemas.openxmlformats.org/officeDocument/2006/relationships/hyperlink" Target="http://secrets.rutgers.edu:8080/data/asl-ftp/asllvd/demos/verify_start_end_handshape_annotations//test_auto_move//signs_mov_separ_signers/Liz_15608.mov" TargetMode="External"/><Relationship Id="rId4389" Type="http://schemas.openxmlformats.org/officeDocument/2006/relationships/hyperlink" Target="http://csr.bu.edu/ftp/asl/asllvd/demos/verify_start_end_handshape_annotations//test_auto_move//signs_mov/15608.mov" TargetMode="External"/><Relationship Id="rId4390" Type="http://schemas.openxmlformats.org/officeDocument/2006/relationships/hyperlink" Target="http://csr.bu.edu/ftp/asl/asllvd/demos/verify_start_end_handshape_annotations//test_auto_move//signs_mov_separ_signers/Tyler_15608.mov" TargetMode="External"/><Relationship Id="rId4391" Type="http://schemas.openxmlformats.org/officeDocument/2006/relationships/hyperlink" Target="http://secrets.rutgers.edu:8080/data/asl-ftp/asllvd/demos/verify_start_end_handshape_annotations//test_auto_move//signs_mov/15608.mov" TargetMode="External"/><Relationship Id="rId4392" Type="http://schemas.openxmlformats.org/officeDocument/2006/relationships/hyperlink" Target="http://secrets.rutgers.edu:8080/data/asl-ftp/asllvd/demos/verify_start_end_handshape_annotations//test_auto_move//signs_mov_separ_signers/Tyler_15608.mov" TargetMode="External"/><Relationship Id="rId4393" Type="http://schemas.openxmlformats.org/officeDocument/2006/relationships/hyperlink" Target="http://csr.bu.edu/ftp/asl/asllvd/demos/verify_start_end_handshape_annotations//test_auto_move//signs_mov_separ_signers/Naomi_15608.mov" TargetMode="External"/><Relationship Id="rId4394" Type="http://schemas.openxmlformats.org/officeDocument/2006/relationships/hyperlink" Target="http://secrets.rutgers.edu:8080/data/asl-ftp/asllvd/demos/verify_start_end_handshape_annotations//test_auto_move//signs_mov_separ_signers/Naomi_15608.mov" TargetMode="External"/><Relationship Id="rId4395" Type="http://schemas.openxmlformats.org/officeDocument/2006/relationships/hyperlink" Target="http://csr.bu.edu/ftp/asl/asllvd/demos/verify_start_end_handshape_annotations//test_auto_move//signs_mov_separ_signers/Brady_15608.mov" TargetMode="External"/><Relationship Id="rId4396" Type="http://schemas.openxmlformats.org/officeDocument/2006/relationships/hyperlink" Target="http://secrets.rutgers.edu:8080/data/asl-ftp/asllvd/demos/verify_start_end_handshape_annotations//test_auto_move//signs_mov_separ_signers/Brady_15608.mov" TargetMode="External"/><Relationship Id="rId4397" Type="http://schemas.openxmlformats.org/officeDocument/2006/relationships/hyperlink" Target="http://csr.bu.edu/ftp/asl/asllvd/demos/verify_start_end_handshape_annotations//test_auto_move//signs_mov_separ_signers/Liz_15609.mov" TargetMode="External"/><Relationship Id="rId4398" Type="http://schemas.openxmlformats.org/officeDocument/2006/relationships/hyperlink" Target="http://secrets.rutgers.edu:8080/data/asl-ftp/asllvd/demos/verify_start_end_handshape_annotations//test_auto_move//signs_mov_separ_signers/Liz_15609.mov" TargetMode="External"/><Relationship Id="rId4399" Type="http://schemas.openxmlformats.org/officeDocument/2006/relationships/hyperlink" Target="http://csr.bu.edu/ftp/asl/asllvd/demos/verify_start_end_handshape_annotations//test_auto_move//signs_mov/15609.mov" TargetMode="External"/><Relationship Id="rId4400" Type="http://schemas.openxmlformats.org/officeDocument/2006/relationships/hyperlink" Target="http://csr.bu.edu/ftp/asl/asllvd/demos/verify_start_end_handshape_annotations//test_auto_move//signs_mov_separ_signers/Tyler_15609.mov" TargetMode="External"/><Relationship Id="rId4401" Type="http://schemas.openxmlformats.org/officeDocument/2006/relationships/hyperlink" Target="http://secrets.rutgers.edu:8080/data/asl-ftp/asllvd/demos/verify_start_end_handshape_annotations//test_auto_move//signs_mov/15609.mov" TargetMode="External"/><Relationship Id="rId4402" Type="http://schemas.openxmlformats.org/officeDocument/2006/relationships/hyperlink" Target="http://secrets.rutgers.edu:8080/data/asl-ftp/asllvd/demos/verify_start_end_handshape_annotations//test_auto_move//signs_mov_separ_signers/Tyler_15609.mov" TargetMode="External"/><Relationship Id="rId4403" Type="http://schemas.openxmlformats.org/officeDocument/2006/relationships/hyperlink" Target="http://csr.bu.edu/ftp/asl/asllvd/demos/verify_start_end_handshape_annotations//test_auto_move//signs_mov_separ_signers/Naomi_15609.mov" TargetMode="External"/><Relationship Id="rId4404" Type="http://schemas.openxmlformats.org/officeDocument/2006/relationships/hyperlink" Target="http://secrets.rutgers.edu:8080/data/asl-ftp/asllvd/demos/verify_start_end_handshape_annotations//test_auto_move//signs_mov_separ_signers/Naomi_15609.mov" TargetMode="External"/><Relationship Id="rId4405" Type="http://schemas.openxmlformats.org/officeDocument/2006/relationships/hyperlink" Target="http://csr.bu.edu/ftp/asl/asllvd/demos/verify_start_end_handshape_annotations//test_auto_move//signs_mov_separ_signers/Brady_15609.mov" TargetMode="External"/><Relationship Id="rId4406" Type="http://schemas.openxmlformats.org/officeDocument/2006/relationships/hyperlink" Target="http://secrets.rutgers.edu:8080/data/asl-ftp/asllvd/demos/verify_start_end_handshape_annotations//test_auto_move//signs_mov_separ_signers/Brady_15609.mov" TargetMode="External"/><Relationship Id="rId4407" Type="http://schemas.openxmlformats.org/officeDocument/2006/relationships/hyperlink" Target="http://csr.bu.edu/ftp/asl/asllvd/demos/verify_start_end_handshape_annotations//test_auto_move//signs_mov/15688.mov" TargetMode="External"/><Relationship Id="rId4408" Type="http://schemas.openxmlformats.org/officeDocument/2006/relationships/hyperlink" Target="http://csr.bu.edu/ftp/asl/asllvd/demos/verify_start_end_handshape_annotations//test_auto_move//signs_mov_separ_signers/Liz_15688.mov" TargetMode="External"/><Relationship Id="rId4409" Type="http://schemas.openxmlformats.org/officeDocument/2006/relationships/hyperlink" Target="http://secrets.rutgers.edu:8080/data/asl-ftp/asllvd/demos/verify_start_end_handshape_annotations//test_auto_move//signs_mov/15688.mov" TargetMode="External"/><Relationship Id="rId4410" Type="http://schemas.openxmlformats.org/officeDocument/2006/relationships/hyperlink" Target="http://secrets.rutgers.edu:8080/data/asl-ftp/asllvd/demos/verify_start_end_handshape_annotations//test_auto_move//signs_mov_separ_signers/Liz_15688.mov" TargetMode="External"/><Relationship Id="rId4411" Type="http://schemas.openxmlformats.org/officeDocument/2006/relationships/hyperlink" Target="http://csr.bu.edu/ftp/asl/asllvd/demos/verify_start_end_handshape_annotations//test_auto_move//signs_mov/15775.mov" TargetMode="External"/><Relationship Id="rId4412" Type="http://schemas.openxmlformats.org/officeDocument/2006/relationships/hyperlink" Target="http://csr.bu.edu/ftp/asl/asllvd/demos/verify_start_end_handshape_annotations//test_auto_move//signs_mov_separ_signers/Naomi_15775.mov" TargetMode="External"/><Relationship Id="rId4413" Type="http://schemas.openxmlformats.org/officeDocument/2006/relationships/hyperlink" Target="http://secrets.rutgers.edu:8080/data/asl-ftp/asllvd/demos/verify_start_end_handshape_annotations//test_auto_move//signs_mov/15775.mov" TargetMode="External"/><Relationship Id="rId4414" Type="http://schemas.openxmlformats.org/officeDocument/2006/relationships/hyperlink" Target="http://secrets.rutgers.edu:8080/data/asl-ftp/asllvd/demos/verify_start_end_handshape_annotations//test_auto_move//signs_mov_separ_signers/Naomi_15775.mov" TargetMode="External"/><Relationship Id="rId4415" Type="http://schemas.openxmlformats.org/officeDocument/2006/relationships/hyperlink" Target="http://csr.bu.edu/ftp/asl/asllvd/demos/verify_start_end_handshape_annotations//test_auto_move//signs_mov/15776.mov" TargetMode="External"/><Relationship Id="rId4416" Type="http://schemas.openxmlformats.org/officeDocument/2006/relationships/hyperlink" Target="http://csr.bu.edu/ftp/asl/asllvd/demos/verify_start_end_handshape_annotations//test_auto_move//signs_mov_separ_signers/Liz_15776.mov" TargetMode="External"/><Relationship Id="rId4417" Type="http://schemas.openxmlformats.org/officeDocument/2006/relationships/hyperlink" Target="http://secrets.rutgers.edu:8080/data/asl-ftp/asllvd/demos/verify_start_end_handshape_annotations//test_auto_move//signs_mov/15776.mov" TargetMode="External"/><Relationship Id="rId4418" Type="http://schemas.openxmlformats.org/officeDocument/2006/relationships/hyperlink" Target="http://secrets.rutgers.edu:8080/data/asl-ftp/asllvd/demos/verify_start_end_handshape_annotations//test_auto_move//signs_mov_separ_signers/Liz_15776.mov" TargetMode="External"/><Relationship Id="rId4419" Type="http://schemas.openxmlformats.org/officeDocument/2006/relationships/hyperlink" Target="http://csr.bu.edu/ftp/asl/asllvd/demos/verify_start_end_handshape_annotations//test_auto_move//signs_mov/15777.mov" TargetMode="External"/><Relationship Id="rId4420" Type="http://schemas.openxmlformats.org/officeDocument/2006/relationships/hyperlink" Target="http://csr.bu.edu/ftp/asl/asllvd/demos/verify_start_end_handshape_annotations//test_auto_move//signs_mov_separ_signers/Brady_15777.mov" TargetMode="External"/><Relationship Id="rId4421" Type="http://schemas.openxmlformats.org/officeDocument/2006/relationships/hyperlink" Target="http://secrets.rutgers.edu:8080/data/asl-ftp/asllvd/demos/verify_start_end_handshape_annotations//test_auto_move//signs_mov/15777.mov" TargetMode="External"/><Relationship Id="rId4422" Type="http://schemas.openxmlformats.org/officeDocument/2006/relationships/hyperlink" Target="http://secrets.rutgers.edu:8080/data/asl-ftp/asllvd/demos/verify_start_end_handshape_annotations//test_auto_move//signs_mov_separ_signers/Brady_15777.mov" TargetMode="External"/><Relationship Id="rId4423" Type="http://schemas.openxmlformats.org/officeDocument/2006/relationships/hyperlink" Target="http://csr.bu.edu/ftp/asl/asllvd/demos/verify_start_end_handshape_annotations//test_auto_move//signs_mov_separ_signers/Liz_15838.mov" TargetMode="External"/><Relationship Id="rId4424" Type="http://schemas.openxmlformats.org/officeDocument/2006/relationships/hyperlink" Target="http://secrets.rutgers.edu:8080/data/asl-ftp/asllvd/demos/verify_start_end_handshape_annotations//test_auto_move//signs_mov_separ_signers/Liz_15838.mov" TargetMode="External"/><Relationship Id="rId4425" Type="http://schemas.openxmlformats.org/officeDocument/2006/relationships/hyperlink" Target="http://csr.bu.edu/ftp/asl/asllvd/demos/verify_start_end_handshape_annotations//test_auto_move//signs_mov/15838.mov" TargetMode="External"/><Relationship Id="rId4426" Type="http://schemas.openxmlformats.org/officeDocument/2006/relationships/hyperlink" Target="http://csr.bu.edu/ftp/asl/asllvd/demos/verify_start_end_handshape_annotations//test_auto_move//signs_mov_separ_signers/Naomi_15838.mov" TargetMode="External"/><Relationship Id="rId4427" Type="http://schemas.openxmlformats.org/officeDocument/2006/relationships/hyperlink" Target="http://secrets.rutgers.edu:8080/data/asl-ftp/asllvd/demos/verify_start_end_handshape_annotations//test_auto_move//signs_mov/15838.mov" TargetMode="External"/><Relationship Id="rId4428" Type="http://schemas.openxmlformats.org/officeDocument/2006/relationships/hyperlink" Target="http://secrets.rutgers.edu:8080/data/asl-ftp/asllvd/demos/verify_start_end_handshape_annotations//test_auto_move//signs_mov_separ_signers/Naomi_15838.mov" TargetMode="External"/><Relationship Id="rId4429" Type="http://schemas.openxmlformats.org/officeDocument/2006/relationships/hyperlink" Target="http://csr.bu.edu/ftp/asl/asllvd/demos/verify_start_end_handshape_annotations//test_auto_move//signs_mov_separ_signers/Brady_15838.mov" TargetMode="External"/><Relationship Id="rId4430" Type="http://schemas.openxmlformats.org/officeDocument/2006/relationships/hyperlink" Target="http://secrets.rutgers.edu:8080/data/asl-ftp/asllvd/demos/verify_start_end_handshape_annotations//test_auto_move//signs_mov_separ_signers/Brady_15838.mov" TargetMode="External"/><Relationship Id="rId4431" Type="http://schemas.openxmlformats.org/officeDocument/2006/relationships/hyperlink" Target="http://csr.bu.edu/ftp/asl/asllvd/demos/verify_start_end_handshape_annotations//test_auto_move//signs_mov_separ_signers/Liz_15875.mov" TargetMode="External"/><Relationship Id="rId4432" Type="http://schemas.openxmlformats.org/officeDocument/2006/relationships/hyperlink" Target="http://secrets.rutgers.edu:8080/data/asl-ftp/asllvd/demos/verify_start_end_handshape_annotations//test_auto_move//signs_mov_separ_signers/Liz_15875.mov" TargetMode="External"/><Relationship Id="rId4433" Type="http://schemas.openxmlformats.org/officeDocument/2006/relationships/hyperlink" Target="http://csr.bu.edu/ftp/asl/asllvd/demos/verify_start_end_handshape_annotations//test_auto_move//signs_mov_separ_signers/Liz_15876.mov" TargetMode="External"/><Relationship Id="rId4434" Type="http://schemas.openxmlformats.org/officeDocument/2006/relationships/hyperlink" Target="http://secrets.rutgers.edu:8080/data/asl-ftp/asllvd/demos/verify_start_end_handshape_annotations//test_auto_move//signs_mov_separ_signers/Liz_15876.mov" TargetMode="External"/><Relationship Id="rId4435" Type="http://schemas.openxmlformats.org/officeDocument/2006/relationships/hyperlink" Target="http://csr.bu.edu/ftp/asl/asllvd/demos/verify_start_end_handshape_annotations//test_auto_move//signs_mov_separ_signers/Naomi_15875.mov" TargetMode="External"/><Relationship Id="rId4436" Type="http://schemas.openxmlformats.org/officeDocument/2006/relationships/hyperlink" Target="http://secrets.rutgers.edu:8080/data/asl-ftp/asllvd/demos/verify_start_end_handshape_annotations//test_auto_move//signs_mov_separ_signers/Naomi_15875.mov" TargetMode="External"/><Relationship Id="rId4437" Type="http://schemas.openxmlformats.org/officeDocument/2006/relationships/hyperlink" Target="http://csr.bu.edu/ftp/asl/asllvd/demos/verify_start_end_handshape_annotations//test_auto_move//signs_mov/15875_15876_merged.mov" TargetMode="External"/><Relationship Id="rId4438" Type="http://schemas.openxmlformats.org/officeDocument/2006/relationships/hyperlink" Target="http://csr.bu.edu/ftp/asl/asllvd/demos/verify_start_end_handshape_annotations//test_auto_move//signs_mov_separ_signers/Naomi_15876.mov" TargetMode="External"/><Relationship Id="rId4439" Type="http://schemas.openxmlformats.org/officeDocument/2006/relationships/hyperlink" Target="http://secrets.rutgers.edu:8080/data/asl-ftp/asllvd/demos/verify_start_end_handshape_annotations//test_auto_move//signs_mov/15875_15876_merged.mov" TargetMode="External"/><Relationship Id="rId4440" Type="http://schemas.openxmlformats.org/officeDocument/2006/relationships/hyperlink" Target="http://secrets.rutgers.edu:8080/data/asl-ftp/asllvd/demos/verify_start_end_handshape_annotations//test_auto_move//signs_mov_separ_signers/Naomi_15876.mov" TargetMode="External"/><Relationship Id="rId4441" Type="http://schemas.openxmlformats.org/officeDocument/2006/relationships/hyperlink" Target="http://csr.bu.edu/ftp/asl/asllvd/demos/verify_start_end_handshape_annotations//test_auto_move//signs_mov_separ_signers/Brady_15875.mov" TargetMode="External"/><Relationship Id="rId4442" Type="http://schemas.openxmlformats.org/officeDocument/2006/relationships/hyperlink" Target="http://secrets.rutgers.edu:8080/data/asl-ftp/asllvd/demos/verify_start_end_handshape_annotations//test_auto_move//signs_mov_separ_signers/Brady_15875.mov" TargetMode="External"/><Relationship Id="rId4443" Type="http://schemas.openxmlformats.org/officeDocument/2006/relationships/hyperlink" Target="http://csr.bu.edu/ftp/asl/asllvd/demos/verify_start_end_handshape_annotations//test_auto_move//signs_mov_separ_signers/Brady_15876.mov" TargetMode="External"/><Relationship Id="rId4444" Type="http://schemas.openxmlformats.org/officeDocument/2006/relationships/hyperlink" Target="http://secrets.rutgers.edu:8080/data/asl-ftp/asllvd/demos/verify_start_end_handshape_annotations//test_auto_move//signs_mov_separ_signers/Brady_15876.mov" TargetMode="External"/><Relationship Id="rId4445" Type="http://schemas.openxmlformats.org/officeDocument/2006/relationships/hyperlink" Target="http://csr.bu.edu/ftp/asl/asllvd/demos/verify_start_end_handshape_annotations//test_auto_move//signs_mov_separ_signers/Lana_15875.mov" TargetMode="External"/><Relationship Id="rId4446" Type="http://schemas.openxmlformats.org/officeDocument/2006/relationships/hyperlink" Target="http://secrets.rutgers.edu:8080/data/asl-ftp/asllvd/demos/verify_start_end_handshape_annotations//test_auto_move//signs_mov_separ_signers/Lana_15875.mov" TargetMode="External"/><Relationship Id="rId4447" Type="http://schemas.openxmlformats.org/officeDocument/2006/relationships/hyperlink" Target="http://csr.bu.edu/ftp/asl/asllvd/demos/verify_start_end_handshape_annotations//test_auto_move//signs_mov_separ_signers/Dana_15875.mov" TargetMode="External"/><Relationship Id="rId4448" Type="http://schemas.openxmlformats.org/officeDocument/2006/relationships/hyperlink" Target="http://secrets.rutgers.edu:8080/data/asl-ftp/asllvd/demos/verify_start_end_handshape_annotations//test_auto_move//signs_mov_separ_signers/Dana_15875.mov" TargetMode="External"/><Relationship Id="rId4449" Type="http://schemas.openxmlformats.org/officeDocument/2006/relationships/hyperlink" Target="http://csr.bu.edu/ftp/asl/asllvd/demos/verify_start_end_handshape_annotations//test_auto_move//signs_mov/15877.mov" TargetMode="External"/><Relationship Id="rId4450" Type="http://schemas.openxmlformats.org/officeDocument/2006/relationships/hyperlink" Target="http://csr.bu.edu/ftp/asl/asllvd/demos/verify_start_end_handshape_annotations//test_auto_move//signs_mov_separ_signers/Tyler_15877.mov" TargetMode="External"/><Relationship Id="rId4451" Type="http://schemas.openxmlformats.org/officeDocument/2006/relationships/hyperlink" Target="http://secrets.rutgers.edu:8080/data/asl-ftp/asllvd/demos/verify_start_end_handshape_annotations//test_auto_move//signs_mov/15877.mov" TargetMode="External"/><Relationship Id="rId4452" Type="http://schemas.openxmlformats.org/officeDocument/2006/relationships/hyperlink" Target="http://secrets.rutgers.edu:8080/data/asl-ftp/asllvd/demos/verify_start_end_handshape_annotations//test_auto_move//signs_mov_separ_signers/Tyler_15877.mov" TargetMode="External"/><Relationship Id="rId4453" Type="http://schemas.openxmlformats.org/officeDocument/2006/relationships/hyperlink" Target="http://csr.bu.edu/ftp/asl/asllvd/demos/verify_start_end_handshape_annotations//test_auto_move//signs_mov_separ_signers/Liz_15878.mov" TargetMode="External"/><Relationship Id="rId4454" Type="http://schemas.openxmlformats.org/officeDocument/2006/relationships/hyperlink" Target="http://secrets.rutgers.edu:8080/data/asl-ftp/asllvd/demos/verify_start_end_handshape_annotations//test_auto_move//signs_mov_separ_signers/Liz_15878.mov" TargetMode="External"/><Relationship Id="rId4455" Type="http://schemas.openxmlformats.org/officeDocument/2006/relationships/hyperlink" Target="http://csr.bu.edu/ftp/asl/asllvd/demos/verify_start_end_handshape_annotations//test_auto_move//signs_mov/15878_15999_merged.mov" TargetMode="External"/><Relationship Id="rId4456" Type="http://schemas.openxmlformats.org/officeDocument/2006/relationships/hyperlink" Target="http://csr.bu.edu/ftp/asl/asllvd/demos/verify_start_end_handshape_annotations//test_auto_move//signs_mov_separ_signers/Liz_15999.mov" TargetMode="External"/><Relationship Id="rId4457" Type="http://schemas.openxmlformats.org/officeDocument/2006/relationships/hyperlink" Target="http://secrets.rutgers.edu:8080/data/asl-ftp/asllvd/demos/verify_start_end_handshape_annotations//test_auto_move//signs_mov/15878_15999_merged.mov" TargetMode="External"/><Relationship Id="rId4458" Type="http://schemas.openxmlformats.org/officeDocument/2006/relationships/hyperlink" Target="http://secrets.rutgers.edu:8080/data/asl-ftp/asllvd/demos/verify_start_end_handshape_annotations//test_auto_move//signs_mov_separ_signers/Liz_15999.mov" TargetMode="External"/><Relationship Id="rId4459" Type="http://schemas.openxmlformats.org/officeDocument/2006/relationships/hyperlink" Target="http://csr.bu.edu/ftp/asl/asllvd/demos/verify_start_end_handshape_annotations//test_auto_move//signs_mov_separ_signers/Brady_15878.mov" TargetMode="External"/><Relationship Id="rId4460" Type="http://schemas.openxmlformats.org/officeDocument/2006/relationships/hyperlink" Target="http://secrets.rutgers.edu:8080/data/asl-ftp/asllvd/demos/verify_start_end_handshape_annotations//test_auto_move//signs_mov_separ_signers/Brady_15878.mov" TargetMode="External"/><Relationship Id="rId4461" Type="http://schemas.openxmlformats.org/officeDocument/2006/relationships/hyperlink" Target="http://csr.bu.edu/ftp/asl/asllvd/demos/verify_start_end_handshape_annotations//test_auto_move//signs_mov_separ_signers/Brady_15999.mov" TargetMode="External"/><Relationship Id="rId4462" Type="http://schemas.openxmlformats.org/officeDocument/2006/relationships/hyperlink" Target="http://secrets.rutgers.edu:8080/data/asl-ftp/asllvd/demos/verify_start_end_handshape_annotations//test_auto_move//signs_mov_separ_signers/Brady_15999.mov" TargetMode="External"/><Relationship Id="rId4463" Type="http://schemas.openxmlformats.org/officeDocument/2006/relationships/hyperlink" Target="http://csr.bu.edu/ftp/asl/asllvd/demos/verify_start_end_handshape_annotations//test_auto_move//signs_mov_separ_signers/Liz_16140.mov" TargetMode="External"/><Relationship Id="rId4464" Type="http://schemas.openxmlformats.org/officeDocument/2006/relationships/hyperlink" Target="http://secrets.rutgers.edu:8080/data/asl-ftp/asllvd/demos/verify_start_end_handshape_annotations//test_auto_move//signs_mov_separ_signers/Liz_16140.mov" TargetMode="External"/><Relationship Id="rId4465" Type="http://schemas.openxmlformats.org/officeDocument/2006/relationships/hyperlink" Target="http://csr.bu.edu/ftp/asl/asllvd/demos/verify_start_end_handshape_annotations//test_auto_move//signs_mov/16140.mov" TargetMode="External"/><Relationship Id="rId4466" Type="http://schemas.openxmlformats.org/officeDocument/2006/relationships/hyperlink" Target="http://csr.bu.edu/ftp/asl/asllvd/demos/verify_start_end_handshape_annotations//test_auto_move//signs_mov_separ_signers/Tyler_16140.mov" TargetMode="External"/><Relationship Id="rId4467" Type="http://schemas.openxmlformats.org/officeDocument/2006/relationships/hyperlink" Target="http://secrets.rutgers.edu:8080/data/asl-ftp/asllvd/demos/verify_start_end_handshape_annotations//test_auto_move//signs_mov/16140.mov" TargetMode="External"/><Relationship Id="rId4468" Type="http://schemas.openxmlformats.org/officeDocument/2006/relationships/hyperlink" Target="http://secrets.rutgers.edu:8080/data/asl-ftp/asllvd/demos/verify_start_end_handshape_annotations//test_auto_move//signs_mov_separ_signers/Tyler_16140.mov" TargetMode="External"/><Relationship Id="rId4469" Type="http://schemas.openxmlformats.org/officeDocument/2006/relationships/hyperlink" Target="http://csr.bu.edu/ftp/asl/asllvd/demos/verify_start_end_handshape_annotations//test_auto_move//signs_mov_separ_signers/Naomi_16140.mov" TargetMode="External"/><Relationship Id="rId4470" Type="http://schemas.openxmlformats.org/officeDocument/2006/relationships/hyperlink" Target="http://secrets.rutgers.edu:8080/data/asl-ftp/asllvd/demos/verify_start_end_handshape_annotations//test_auto_move//signs_mov_separ_signers/Naomi_16140.mov" TargetMode="External"/><Relationship Id="rId4471" Type="http://schemas.openxmlformats.org/officeDocument/2006/relationships/hyperlink" Target="http://csr.bu.edu/ftp/asl/asllvd/demos/verify_start_end_handshape_annotations//test_auto_move//signs_mov_separ_signers/Brady_16140.mov" TargetMode="External"/><Relationship Id="rId4472" Type="http://schemas.openxmlformats.org/officeDocument/2006/relationships/hyperlink" Target="http://secrets.rutgers.edu:8080/data/asl-ftp/asllvd/demos/verify_start_end_handshape_annotations//test_auto_move//signs_mov_separ_signers/Brady_16140.mov" TargetMode="External"/><Relationship Id="rId4473" Type="http://schemas.openxmlformats.org/officeDocument/2006/relationships/hyperlink" Target="http://csr.bu.edu/ftp/asl/asllvd/demos/verify_start_end_handshape_annotations//test_auto_move//signs_mov/16402.mov" TargetMode="External"/><Relationship Id="rId4474" Type="http://schemas.openxmlformats.org/officeDocument/2006/relationships/hyperlink" Target="http://csr.bu.edu/ftp/asl/asllvd/demos/verify_start_end_handshape_annotations//test_auto_move//signs_mov_separ_signers/Tyler_16402.mov" TargetMode="External"/><Relationship Id="rId4475" Type="http://schemas.openxmlformats.org/officeDocument/2006/relationships/hyperlink" Target="http://secrets.rutgers.edu:8080/data/asl-ftp/asllvd/demos/verify_start_end_handshape_annotations//test_auto_move//signs_mov/16402.mov" TargetMode="External"/><Relationship Id="rId4476" Type="http://schemas.openxmlformats.org/officeDocument/2006/relationships/hyperlink" Target="http://secrets.rutgers.edu:8080/data/asl-ftp/asllvd/demos/verify_start_end_handshape_annotations//test_auto_move//signs_mov_separ_signers/Tyler_16402.mov" TargetMode="External"/><Relationship Id="rId4477" Type="http://schemas.openxmlformats.org/officeDocument/2006/relationships/hyperlink" Target="http://csr.bu.edu/ftp/asl/asllvd/demos/verify_start_end_handshape_annotations//test_auto_move//signs_mov_separ_signers/Liz_477.mov" TargetMode="External"/><Relationship Id="rId4478" Type="http://schemas.openxmlformats.org/officeDocument/2006/relationships/hyperlink" Target="http://secrets.rutgers.edu:8080/data/asl-ftp/asllvd/demos/verify_start_end_handshape_annotations//test_auto_move//signs_mov_separ_signers/Liz_477.mov" TargetMode="External"/><Relationship Id="rId4479" Type="http://schemas.openxmlformats.org/officeDocument/2006/relationships/hyperlink" Target="http://csr.bu.edu/ftp/asl/asllvd/demos/verify_start_end_handshape_annotations//test_auto_move//signs_mov/477.mov" TargetMode="External"/><Relationship Id="rId4480" Type="http://schemas.openxmlformats.org/officeDocument/2006/relationships/hyperlink" Target="http://csr.bu.edu/ftp/asl/asllvd/demos/verify_start_end_handshape_annotations//test_auto_move//signs_mov_separ_signers/Tyler_477.mov" TargetMode="External"/><Relationship Id="rId4481" Type="http://schemas.openxmlformats.org/officeDocument/2006/relationships/hyperlink" Target="http://secrets.rutgers.edu:8080/data/asl-ftp/asllvd/demos/verify_start_end_handshape_annotations//test_auto_move//signs_mov/477.mov" TargetMode="External"/><Relationship Id="rId4482" Type="http://schemas.openxmlformats.org/officeDocument/2006/relationships/hyperlink" Target="http://secrets.rutgers.edu:8080/data/asl-ftp/asllvd/demos/verify_start_end_handshape_annotations//test_auto_move//signs_mov_separ_signers/Tyler_477.mov" TargetMode="External"/><Relationship Id="rId4483" Type="http://schemas.openxmlformats.org/officeDocument/2006/relationships/hyperlink" Target="http://csr.bu.edu/ftp/asl/asllvd/demos/verify_start_end_handshape_annotations//test_auto_move//signs_mov_separ_signers/Naomi_477.mov" TargetMode="External"/><Relationship Id="rId4484" Type="http://schemas.openxmlformats.org/officeDocument/2006/relationships/hyperlink" Target="http://secrets.rutgers.edu:8080/data/asl-ftp/asllvd/demos/verify_start_end_handshape_annotations//test_auto_move//signs_mov_separ_signers/Naomi_477.mov" TargetMode="External"/><Relationship Id="rId4485" Type="http://schemas.openxmlformats.org/officeDocument/2006/relationships/hyperlink" Target="http://csr.bu.edu/ftp/asl/asllvd/demos/verify_start_end_handshape_annotations//test_auto_move//signs_mov_separ_signers/Brady_477.mov" TargetMode="External"/><Relationship Id="rId4486" Type="http://schemas.openxmlformats.org/officeDocument/2006/relationships/hyperlink" Target="http://secrets.rutgers.edu:8080/data/asl-ftp/asllvd/demos/verify_start_end_handshape_annotations//test_auto_move//signs_mov_separ_signers/Brady_477.mov" TargetMode="External"/><Relationship Id="rId4487" Type="http://schemas.openxmlformats.org/officeDocument/2006/relationships/hyperlink" Target="http://csr.bu.edu/ftp/asl/asllvd/demos/verify_start_end_handshape_annotations//test_auto_move//signs_mov_separ_signers/Liz_478.mov" TargetMode="External"/><Relationship Id="rId4488" Type="http://schemas.openxmlformats.org/officeDocument/2006/relationships/hyperlink" Target="http://secrets.rutgers.edu:8080/data/asl-ftp/asllvd/demos/verify_start_end_handshape_annotations//test_auto_move//signs_mov_separ_signers/Liz_478.mov" TargetMode="External"/><Relationship Id="rId4489" Type="http://schemas.openxmlformats.org/officeDocument/2006/relationships/hyperlink" Target="http://csr.bu.edu/ftp/asl/asllvd/demos/verify_start_end_handshape_annotations//test_auto_move//signs_mov_separ_signers/Liz_3615.mov" TargetMode="External"/><Relationship Id="rId4490" Type="http://schemas.openxmlformats.org/officeDocument/2006/relationships/hyperlink" Target="http://secrets.rutgers.edu:8080/data/asl-ftp/asllvd/demos/verify_start_end_handshape_annotations//test_auto_move//signs_mov_separ_signers/Liz_3615.mov" TargetMode="External"/><Relationship Id="rId4491" Type="http://schemas.openxmlformats.org/officeDocument/2006/relationships/hyperlink" Target="http://csr.bu.edu/ftp/asl/asllvd/demos/verify_start_end_handshape_annotations//test_auto_move//signs_mov_separ_signers/Liz_3617.mov" TargetMode="External"/><Relationship Id="rId4492" Type="http://schemas.openxmlformats.org/officeDocument/2006/relationships/hyperlink" Target="http://secrets.rutgers.edu:8080/data/asl-ftp/asllvd/demos/verify_start_end_handshape_annotations//test_auto_move//signs_mov_separ_signers/Liz_3617.mov" TargetMode="External"/><Relationship Id="rId4493" Type="http://schemas.openxmlformats.org/officeDocument/2006/relationships/hyperlink" Target="http://csr.bu.edu/ftp/asl/asllvd/demos/verify_start_end_handshape_annotations//test_auto_move//signs_mov_separ_signers/Liz_15013.mov" TargetMode="External"/><Relationship Id="rId4494" Type="http://schemas.openxmlformats.org/officeDocument/2006/relationships/hyperlink" Target="http://secrets.rutgers.edu:8080/data/asl-ftp/asllvd/demos/verify_start_end_handshape_annotations//test_auto_move//signs_mov_separ_signers/Liz_15013.mov" TargetMode="External"/><Relationship Id="rId4495" Type="http://schemas.openxmlformats.org/officeDocument/2006/relationships/hyperlink" Target="http://csr.bu.edu/ftp/asl/asllvd/demos/verify_start_end_handshape_annotations//test_auto_move//signs_mov_separ_signers/Liz_15022.mov" TargetMode="External"/><Relationship Id="rId4496" Type="http://schemas.openxmlformats.org/officeDocument/2006/relationships/hyperlink" Target="http://secrets.rutgers.edu:8080/data/asl-ftp/asllvd/demos/verify_start_end_handshape_annotations//test_auto_move//signs_mov_separ_signers/Liz_15022.mov" TargetMode="External"/><Relationship Id="rId4497" Type="http://schemas.openxmlformats.org/officeDocument/2006/relationships/hyperlink" Target="http://csr.bu.edu/ftp/asl/asllvd/demos/verify_start_end_handshape_annotations//test_auto_move//signs_mov_separ_signers/Tyler_478.mov" TargetMode="External"/><Relationship Id="rId4498" Type="http://schemas.openxmlformats.org/officeDocument/2006/relationships/hyperlink" Target="http://secrets.rutgers.edu:8080/data/asl-ftp/asllvd/demos/verify_start_end_handshape_annotations//test_auto_move//signs_mov_separ_signers/Tyler_478.mov" TargetMode="External"/><Relationship Id="rId4499" Type="http://schemas.openxmlformats.org/officeDocument/2006/relationships/hyperlink" Target="http://csr.bu.edu/ftp/asl/asllvd/demos/verify_start_end_handshape_annotations//test_auto_move//signs_mov_separ_signers/Tyler_3615.mov" TargetMode="External"/><Relationship Id="rId4500" Type="http://schemas.openxmlformats.org/officeDocument/2006/relationships/hyperlink" Target="http://secrets.rutgers.edu:8080/data/asl-ftp/asllvd/demos/verify_start_end_handshape_annotations//test_auto_move//signs_mov_separ_signers/Tyler_3615.mov" TargetMode="External"/><Relationship Id="rId4501" Type="http://schemas.openxmlformats.org/officeDocument/2006/relationships/hyperlink" Target="http://csr.bu.edu/ftp/asl/asllvd/demos/verify_start_end_handshape_annotations//test_auto_move//signs_mov_separ_signers/Tyler_3617.mov" TargetMode="External"/><Relationship Id="rId4502" Type="http://schemas.openxmlformats.org/officeDocument/2006/relationships/hyperlink" Target="http://secrets.rutgers.edu:8080/data/asl-ftp/asllvd/demos/verify_start_end_handshape_annotations//test_auto_move//signs_mov_separ_signers/Tyler_3617.mov" TargetMode="External"/><Relationship Id="rId4503" Type="http://schemas.openxmlformats.org/officeDocument/2006/relationships/hyperlink" Target="http://csr.bu.edu/ftp/asl/asllvd/demos/verify_start_end_handshape_annotations//test_auto_move//signs_mov_separ_signers/Tyler_15013.mov" TargetMode="External"/><Relationship Id="rId4504" Type="http://schemas.openxmlformats.org/officeDocument/2006/relationships/hyperlink" Target="http://secrets.rutgers.edu:8080/data/asl-ftp/asllvd/demos/verify_start_end_handshape_annotations//test_auto_move//signs_mov_separ_signers/Tyler_15013.mov" TargetMode="External"/><Relationship Id="rId4505" Type="http://schemas.openxmlformats.org/officeDocument/2006/relationships/hyperlink" Target="http://csr.bu.edu/ftp/asl/asllvd/demos/verify_start_end_handshape_annotations//test_auto_move//signs_mov/478_3615_3617_15013_15022_15028_merged.mov" TargetMode="External"/><Relationship Id="rId4506" Type="http://schemas.openxmlformats.org/officeDocument/2006/relationships/hyperlink" Target="http://csr.bu.edu/ftp/asl/asllvd/demos/verify_start_end_handshape_annotations//test_auto_move//signs_mov_separ_signers/Tyler_15022.mov" TargetMode="External"/><Relationship Id="rId4507" Type="http://schemas.openxmlformats.org/officeDocument/2006/relationships/hyperlink" Target="http://secrets.rutgers.edu:8080/data/asl-ftp/asllvd/demos/verify_start_end_handshape_annotations//test_auto_move//signs_mov/478_3615_3617_15013_15022_15028_merged.mov" TargetMode="External"/><Relationship Id="rId4508" Type="http://schemas.openxmlformats.org/officeDocument/2006/relationships/hyperlink" Target="http://secrets.rutgers.edu:8080/data/asl-ftp/asllvd/demos/verify_start_end_handshape_annotations//test_auto_move//signs_mov_separ_signers/Tyler_15022.mov" TargetMode="External"/><Relationship Id="rId4509" Type="http://schemas.openxmlformats.org/officeDocument/2006/relationships/hyperlink" Target="http://csr.bu.edu/ftp/asl/asllvd/demos/verify_start_end_handshape_annotations//test_auto_move//signs_mov_separ_signers/Tyler_15028.mov" TargetMode="External"/><Relationship Id="rId4510" Type="http://schemas.openxmlformats.org/officeDocument/2006/relationships/hyperlink" Target="http://secrets.rutgers.edu:8080/data/asl-ftp/asllvd/demos/verify_start_end_handshape_annotations//test_auto_move//signs_mov_separ_signers/Tyler_15028.mov" TargetMode="External"/><Relationship Id="rId4511" Type="http://schemas.openxmlformats.org/officeDocument/2006/relationships/hyperlink" Target="http://csr.bu.edu/ftp/asl/asllvd/demos/verify_start_end_handshape_annotations//test_auto_move//signs_mov_separ_signers/Naomi_478.mov" TargetMode="External"/><Relationship Id="rId4512" Type="http://schemas.openxmlformats.org/officeDocument/2006/relationships/hyperlink" Target="http://secrets.rutgers.edu:8080/data/asl-ftp/asllvd/demos/verify_start_end_handshape_annotations//test_auto_move//signs_mov_separ_signers/Naomi_478.mov" TargetMode="External"/><Relationship Id="rId4513" Type="http://schemas.openxmlformats.org/officeDocument/2006/relationships/hyperlink" Target="http://csr.bu.edu/ftp/asl/asllvd/demos/verify_start_end_handshape_annotations//test_auto_move//signs_mov_separ_signers/Naomi_3615.mov" TargetMode="External"/><Relationship Id="rId4514" Type="http://schemas.openxmlformats.org/officeDocument/2006/relationships/hyperlink" Target="http://secrets.rutgers.edu:8080/data/asl-ftp/asllvd/demos/verify_start_end_handshape_annotations//test_auto_move//signs_mov_separ_signers/Naomi_3615.mov" TargetMode="External"/><Relationship Id="rId4515" Type="http://schemas.openxmlformats.org/officeDocument/2006/relationships/hyperlink" Target="http://csr.bu.edu/ftp/asl/asllvd/demos/verify_start_end_handshape_annotations//test_auto_move//signs_mov_separ_signers/Naomi_3617.mov" TargetMode="External"/><Relationship Id="rId4516" Type="http://schemas.openxmlformats.org/officeDocument/2006/relationships/hyperlink" Target="http://secrets.rutgers.edu:8080/data/asl-ftp/asllvd/demos/verify_start_end_handshape_annotations//test_auto_move//signs_mov_separ_signers/Naomi_3617.mov" TargetMode="External"/><Relationship Id="rId4517" Type="http://schemas.openxmlformats.org/officeDocument/2006/relationships/hyperlink" Target="http://csr.bu.edu/ftp/asl/asllvd/demos/verify_start_end_handshape_annotations//test_auto_move//signs_mov_separ_signers/Brady_478.mov" TargetMode="External"/><Relationship Id="rId4518" Type="http://schemas.openxmlformats.org/officeDocument/2006/relationships/hyperlink" Target="http://secrets.rutgers.edu:8080/data/asl-ftp/asllvd/demos/verify_start_end_handshape_annotations//test_auto_move//signs_mov_separ_signers/Brady_478.mov" TargetMode="External"/><Relationship Id="rId4519" Type="http://schemas.openxmlformats.org/officeDocument/2006/relationships/hyperlink" Target="http://csr.bu.edu/ftp/asl/asllvd/demos/verify_start_end_handshape_annotations//test_auto_move//signs_mov_separ_signers/Brady_3615.mov" TargetMode="External"/><Relationship Id="rId4520" Type="http://schemas.openxmlformats.org/officeDocument/2006/relationships/hyperlink" Target="http://secrets.rutgers.edu:8080/data/asl-ftp/asllvd/demos/verify_start_end_handshape_annotations//test_auto_move//signs_mov_separ_signers/Brady_3615.mov" TargetMode="External"/><Relationship Id="rId4521" Type="http://schemas.openxmlformats.org/officeDocument/2006/relationships/hyperlink" Target="http://csr.bu.edu/ftp/asl/asllvd/demos/verify_start_end_handshape_annotations//test_auto_move//signs_mov_separ_signers/Brady_3617.mov" TargetMode="External"/><Relationship Id="rId4522" Type="http://schemas.openxmlformats.org/officeDocument/2006/relationships/hyperlink" Target="http://secrets.rutgers.edu:8080/data/asl-ftp/asllvd/demos/verify_start_end_handshape_annotations//test_auto_move//signs_mov_separ_signers/Brady_3617.mov" TargetMode="External"/><Relationship Id="rId4523" Type="http://schemas.openxmlformats.org/officeDocument/2006/relationships/hyperlink" Target="http://csr.bu.edu/ftp/asl/asllvd/demos/verify_start_end_handshape_annotations//test_auto_move//signs_mov_separ_signers/Lana_478.mov" TargetMode="External"/><Relationship Id="rId4524" Type="http://schemas.openxmlformats.org/officeDocument/2006/relationships/hyperlink" Target="http://secrets.rutgers.edu:8080/data/asl-ftp/asllvd/demos/verify_start_end_handshape_annotations//test_auto_move//signs_mov_separ_signers/Lana_478.mov" TargetMode="External"/><Relationship Id="rId4525" Type="http://schemas.openxmlformats.org/officeDocument/2006/relationships/hyperlink" Target="http://csr.bu.edu/ftp/asl/asllvd/demos/verify_start_end_handshape_annotations//test_auto_move//signs_mov_separ_signers/Dana_478.mov" TargetMode="External"/><Relationship Id="rId4526" Type="http://schemas.openxmlformats.org/officeDocument/2006/relationships/hyperlink" Target="http://secrets.rutgers.edu:8080/data/asl-ftp/asllvd/demos/verify_start_end_handshape_annotations//test_auto_move//signs_mov_separ_signers/Dana_478.mov" TargetMode="External"/><Relationship Id="rId4527" Type="http://schemas.openxmlformats.org/officeDocument/2006/relationships/hyperlink" Target="http://csr.bu.edu/ftp/asl/asllvd/demos/verify_start_end_handshape_annotations//test_auto_move//signs_mov/15879.mov" TargetMode="External"/><Relationship Id="rId4528" Type="http://schemas.openxmlformats.org/officeDocument/2006/relationships/hyperlink" Target="http://csr.bu.edu/ftp/asl/asllvd/demos/verify_start_end_handshape_annotations//test_auto_move//signs_mov_separ_signers/Liz_15879.mov" TargetMode="External"/><Relationship Id="rId4529" Type="http://schemas.openxmlformats.org/officeDocument/2006/relationships/hyperlink" Target="http://secrets.rutgers.edu:8080/data/asl-ftp/asllvd/demos/verify_start_end_handshape_annotations//test_auto_move//signs_mov/15879.mov" TargetMode="External"/><Relationship Id="rId4530" Type="http://schemas.openxmlformats.org/officeDocument/2006/relationships/hyperlink" Target="http://secrets.rutgers.edu:8080/data/asl-ftp/asllvd/demos/verify_start_end_handshape_annotations//test_auto_move//signs_mov_separ_signers/Liz_15879.mov" TargetMode="External"/><Relationship Id="rId4531" Type="http://schemas.openxmlformats.org/officeDocument/2006/relationships/hyperlink" Target="http://csr.bu.edu/ftp/asl/asllvd/demos/verify_start_end_handshape_annotations//test_auto_move//signs_mov_separ_signers/Brady_15879.mov" TargetMode="External"/><Relationship Id="rId4532" Type="http://schemas.openxmlformats.org/officeDocument/2006/relationships/hyperlink" Target="http://secrets.rutgers.edu:8080/data/asl-ftp/asllvd/demos/verify_start_end_handshape_annotations//test_auto_move//signs_mov_separ_signers/Brady_15879.mov" TargetMode="External"/><Relationship Id="rId4533" Type="http://schemas.openxmlformats.org/officeDocument/2006/relationships/hyperlink" Target="http://csr.bu.edu/ftp/asl/asllvd/demos/verify_start_end_handshape_annotations//test_auto_move//signs_mov_separ_signers/Liz_480.mov" TargetMode="External"/><Relationship Id="rId4534" Type="http://schemas.openxmlformats.org/officeDocument/2006/relationships/hyperlink" Target="http://secrets.rutgers.edu:8080/data/asl-ftp/asllvd/demos/verify_start_end_handshape_annotations//test_auto_move//signs_mov_separ_signers/Liz_480.mov" TargetMode="External"/><Relationship Id="rId4535" Type="http://schemas.openxmlformats.org/officeDocument/2006/relationships/hyperlink" Target="http://csr.bu.edu/ftp/asl/asllvd/demos/verify_start_end_handshape_annotations//test_auto_move//signs_mov_separ_signers/Tyler_480.mov" TargetMode="External"/><Relationship Id="rId4536" Type="http://schemas.openxmlformats.org/officeDocument/2006/relationships/hyperlink" Target="http://secrets.rutgers.edu:8080/data/asl-ftp/asllvd/demos/verify_start_end_handshape_annotations//test_auto_move//signs_mov_separ_signers/Tyler_480.mov" TargetMode="External"/><Relationship Id="rId4537" Type="http://schemas.openxmlformats.org/officeDocument/2006/relationships/hyperlink" Target="http://csr.bu.edu/ftp/asl/asllvd/demos/verify_start_end_handshape_annotations//test_auto_move//signs_mov/480.mov" TargetMode="External"/><Relationship Id="rId4538" Type="http://schemas.openxmlformats.org/officeDocument/2006/relationships/hyperlink" Target="http://csr.bu.edu/ftp/asl/asllvd/demos/verify_start_end_handshape_annotations//test_auto_move//signs_mov_separ_signers/Naomi_480.mov" TargetMode="External"/><Relationship Id="rId4539" Type="http://schemas.openxmlformats.org/officeDocument/2006/relationships/hyperlink" Target="http://secrets.rutgers.edu:8080/data/asl-ftp/asllvd/demos/verify_start_end_handshape_annotations//test_auto_move//signs_mov/480.mov" TargetMode="External"/><Relationship Id="rId4540" Type="http://schemas.openxmlformats.org/officeDocument/2006/relationships/hyperlink" Target="http://secrets.rutgers.edu:8080/data/asl-ftp/asllvd/demos/verify_start_end_handshape_annotations//test_auto_move//signs_mov_separ_signers/Naomi_480.mov" TargetMode="External"/><Relationship Id="rId4541" Type="http://schemas.openxmlformats.org/officeDocument/2006/relationships/hyperlink" Target="http://csr.bu.edu/ftp/asl/asllvd/demos/verify_start_end_handshape_annotations//test_auto_move//signs_mov_separ_signers/Brady_480.mov" TargetMode="External"/><Relationship Id="rId4542" Type="http://schemas.openxmlformats.org/officeDocument/2006/relationships/hyperlink" Target="http://secrets.rutgers.edu:8080/data/asl-ftp/asllvd/demos/verify_start_end_handshape_annotations//test_auto_move//signs_mov_separ_signers/Brady_480.mov" TargetMode="External"/><Relationship Id="rId4543" Type="http://schemas.openxmlformats.org/officeDocument/2006/relationships/hyperlink" Target="http://csr.bu.edu/ftp/asl/asllvd/demos/verify_start_end_handshape_annotations//test_auto_move//signs_mov_separ_signers/Lana_480.mov" TargetMode="External"/><Relationship Id="rId4544" Type="http://schemas.openxmlformats.org/officeDocument/2006/relationships/hyperlink" Target="http://secrets.rutgers.edu:8080/data/asl-ftp/asllvd/demos/verify_start_end_handshape_annotations//test_auto_move//signs_mov_separ_signers/Lana_480.mov" TargetMode="External"/><Relationship Id="rId4545" Type="http://schemas.openxmlformats.org/officeDocument/2006/relationships/hyperlink" Target="http://csr.bu.edu/ftp/asl/asllvd/demos/verify_start_end_handshape_annotations//test_auto_move//signs_mov_separ_signers/Dana_480.mov" TargetMode="External"/><Relationship Id="rId4546" Type="http://schemas.openxmlformats.org/officeDocument/2006/relationships/hyperlink" Target="http://secrets.rutgers.edu:8080/data/asl-ftp/asllvd/demos/verify_start_end_handshape_annotations//test_auto_move//signs_mov_separ_signers/Dana_480.mov" TargetMode="External"/><Relationship Id="rId4547" Type="http://schemas.openxmlformats.org/officeDocument/2006/relationships/hyperlink" Target="http://csr.bu.edu/ftp/asl/asllvd/demos/verify_start_end_handshape_annotations//test_auto_move//signs_mov_separ_signers/Liz_482.mov" TargetMode="External"/><Relationship Id="rId4548" Type="http://schemas.openxmlformats.org/officeDocument/2006/relationships/hyperlink" Target="http://secrets.rutgers.edu:8080/data/asl-ftp/asllvd/demos/verify_start_end_handshape_annotations//test_auto_move//signs_mov_separ_signers/Liz_482.mov" TargetMode="External"/><Relationship Id="rId4549" Type="http://schemas.openxmlformats.org/officeDocument/2006/relationships/hyperlink" Target="http://csr.bu.edu/ftp/asl/asllvd/demos/verify_start_end_handshape_annotations//test_auto_move//signs_mov/482.mov" TargetMode="External"/><Relationship Id="rId4550" Type="http://schemas.openxmlformats.org/officeDocument/2006/relationships/hyperlink" Target="http://csr.bu.edu/ftp/asl/asllvd/demos/verify_start_end_handshape_annotations//test_auto_move//signs_mov_separ_signers/Tyler_482.mov" TargetMode="External"/><Relationship Id="rId4551" Type="http://schemas.openxmlformats.org/officeDocument/2006/relationships/hyperlink" Target="http://secrets.rutgers.edu:8080/data/asl-ftp/asllvd/demos/verify_start_end_handshape_annotations//test_auto_move//signs_mov/482.mov" TargetMode="External"/><Relationship Id="rId4552" Type="http://schemas.openxmlformats.org/officeDocument/2006/relationships/hyperlink" Target="http://secrets.rutgers.edu:8080/data/asl-ftp/asllvd/demos/verify_start_end_handshape_annotations//test_auto_move//signs_mov_separ_signers/Tyler_482.mov" TargetMode="External"/><Relationship Id="rId4553" Type="http://schemas.openxmlformats.org/officeDocument/2006/relationships/hyperlink" Target="http://csr.bu.edu/ftp/asl/asllvd/demos/verify_start_end_handshape_annotations//test_auto_move//signs_mov_separ_signers/Brady_482.mov" TargetMode="External"/><Relationship Id="rId4554" Type="http://schemas.openxmlformats.org/officeDocument/2006/relationships/hyperlink" Target="http://secrets.rutgers.edu:8080/data/asl-ftp/asllvd/demos/verify_start_end_handshape_annotations//test_auto_move//signs_mov_separ_signers/Brady_482.mov" TargetMode="External"/><Relationship Id="rId4555" Type="http://schemas.openxmlformats.org/officeDocument/2006/relationships/hyperlink" Target="http://csr.bu.edu/ftp/asl/asllvd/demos/verify_start_end_handshape_annotations//test_auto_move//signs_mov_separ_signers/Liz_484.mov" TargetMode="External"/><Relationship Id="rId4556" Type="http://schemas.openxmlformats.org/officeDocument/2006/relationships/hyperlink" Target="http://secrets.rutgers.edu:8080/data/asl-ftp/asllvd/demos/verify_start_end_handshape_annotations//test_auto_move//signs_mov_separ_signers/Liz_484.mov" TargetMode="External"/><Relationship Id="rId4557" Type="http://schemas.openxmlformats.org/officeDocument/2006/relationships/hyperlink" Target="http://csr.bu.edu/ftp/asl/asllvd/demos/verify_start_end_handshape_annotations//test_auto_move//signs_mov/484.mov" TargetMode="External"/><Relationship Id="rId4558" Type="http://schemas.openxmlformats.org/officeDocument/2006/relationships/hyperlink" Target="http://csr.bu.edu/ftp/asl/asllvd/demos/verify_start_end_handshape_annotations//test_auto_move//signs_mov_separ_signers/Tyler_484.mov" TargetMode="External"/><Relationship Id="rId4559" Type="http://schemas.openxmlformats.org/officeDocument/2006/relationships/hyperlink" Target="http://secrets.rutgers.edu:8080/data/asl-ftp/asllvd/demos/verify_start_end_handshape_annotations//test_auto_move//signs_mov/484.mov" TargetMode="External"/><Relationship Id="rId4560" Type="http://schemas.openxmlformats.org/officeDocument/2006/relationships/hyperlink" Target="http://secrets.rutgers.edu:8080/data/asl-ftp/asllvd/demos/verify_start_end_handshape_annotations//test_auto_move//signs_mov_separ_signers/Tyler_484.mov" TargetMode="External"/><Relationship Id="rId4561" Type="http://schemas.openxmlformats.org/officeDocument/2006/relationships/hyperlink" Target="http://csr.bu.edu/ftp/asl/asllvd/demos/verify_start_end_handshape_annotations//test_auto_move//signs_mov_separ_signers/Naomi_484.mov" TargetMode="External"/><Relationship Id="rId4562" Type="http://schemas.openxmlformats.org/officeDocument/2006/relationships/hyperlink" Target="http://secrets.rutgers.edu:8080/data/asl-ftp/asllvd/demos/verify_start_end_handshape_annotations//test_auto_move//signs_mov_separ_signers/Naomi_484.mov" TargetMode="External"/><Relationship Id="rId4563" Type="http://schemas.openxmlformats.org/officeDocument/2006/relationships/hyperlink" Target="http://csr.bu.edu/ftp/asl/asllvd/demos/verify_start_end_handshape_annotations//test_auto_move//signs_mov/16278.mov" TargetMode="External"/><Relationship Id="rId4564" Type="http://schemas.openxmlformats.org/officeDocument/2006/relationships/hyperlink" Target="http://csr.bu.edu/ftp/asl/asllvd/demos/verify_start_end_handshape_annotations//test_auto_move//signs_mov_separ_signers/Brady_16278.mov" TargetMode="External"/><Relationship Id="rId4565" Type="http://schemas.openxmlformats.org/officeDocument/2006/relationships/hyperlink" Target="http://secrets.rutgers.edu:8080/data/asl-ftp/asllvd/demos/verify_start_end_handshape_annotations//test_auto_move//signs_mov/16278.mov" TargetMode="External"/><Relationship Id="rId4566" Type="http://schemas.openxmlformats.org/officeDocument/2006/relationships/hyperlink" Target="http://secrets.rutgers.edu:8080/data/asl-ftp/asllvd/demos/verify_start_end_handshape_annotations//test_auto_move//signs_mov_separ_signers/Brady_16278.mov" TargetMode="External"/><Relationship Id="rId4567" Type="http://schemas.openxmlformats.org/officeDocument/2006/relationships/hyperlink" Target="http://csr.bu.edu/ftp/asl/asllvd/demos/verify_start_end_handshape_annotations//test_auto_move//signs_mov_separ_signers/Liz_485.mov" TargetMode="External"/><Relationship Id="rId4568" Type="http://schemas.openxmlformats.org/officeDocument/2006/relationships/hyperlink" Target="http://secrets.rutgers.edu:8080/data/asl-ftp/asllvd/demos/verify_start_end_handshape_annotations//test_auto_move//signs_mov_separ_signers/Liz_485.mov" TargetMode="External"/><Relationship Id="rId4569" Type="http://schemas.openxmlformats.org/officeDocument/2006/relationships/hyperlink" Target="http://csr.bu.edu/ftp/asl/asllvd/demos/verify_start_end_handshape_annotations//test_auto_move//signs_mov_separ_signers/Tyler_485.mov" TargetMode="External"/><Relationship Id="rId4570" Type="http://schemas.openxmlformats.org/officeDocument/2006/relationships/hyperlink" Target="http://secrets.rutgers.edu:8080/data/asl-ftp/asllvd/demos/verify_start_end_handshape_annotations//test_auto_move//signs_mov_separ_signers/Tyler_485.mov" TargetMode="External"/><Relationship Id="rId4571" Type="http://schemas.openxmlformats.org/officeDocument/2006/relationships/hyperlink" Target="http://csr.bu.edu/ftp/asl/asllvd/demos/verify_start_end_handshape_annotations//test_auto_move//signs_mov/485.mov" TargetMode="External"/><Relationship Id="rId4572" Type="http://schemas.openxmlformats.org/officeDocument/2006/relationships/hyperlink" Target="http://csr.bu.edu/ftp/asl/asllvd/demos/verify_start_end_handshape_annotations//test_auto_move//signs_mov_separ_signers/Naomi_485.mov" TargetMode="External"/><Relationship Id="rId4573" Type="http://schemas.openxmlformats.org/officeDocument/2006/relationships/hyperlink" Target="http://secrets.rutgers.edu:8080/data/asl-ftp/asllvd/demos/verify_start_end_handshape_annotations//test_auto_move//signs_mov/485.mov" TargetMode="External"/><Relationship Id="rId4574" Type="http://schemas.openxmlformats.org/officeDocument/2006/relationships/hyperlink" Target="http://secrets.rutgers.edu:8080/data/asl-ftp/asllvd/demos/verify_start_end_handshape_annotations//test_auto_move//signs_mov_separ_signers/Naomi_485.mov" TargetMode="External"/><Relationship Id="rId4575" Type="http://schemas.openxmlformats.org/officeDocument/2006/relationships/hyperlink" Target="http://csr.bu.edu/ftp/asl/asllvd/demos/verify_start_end_handshape_annotations//test_auto_move//signs_mov_separ_signers/Brady_485.mov" TargetMode="External"/><Relationship Id="rId4576" Type="http://schemas.openxmlformats.org/officeDocument/2006/relationships/hyperlink" Target="http://secrets.rutgers.edu:8080/data/asl-ftp/asllvd/demos/verify_start_end_handshape_annotations//test_auto_move//signs_mov_separ_signers/Brady_485.mov" TargetMode="External"/><Relationship Id="rId4577" Type="http://schemas.openxmlformats.org/officeDocument/2006/relationships/hyperlink" Target="http://csr.bu.edu/ftp/asl/asllvd/demos/verify_start_end_handshape_annotations//test_auto_move//signs_mov_separ_signers/Lana_485.mov" TargetMode="External"/><Relationship Id="rId4578" Type="http://schemas.openxmlformats.org/officeDocument/2006/relationships/hyperlink" Target="http://secrets.rutgers.edu:8080/data/asl-ftp/asllvd/demos/verify_start_end_handshape_annotations//test_auto_move//signs_mov_separ_signers/Lana_485.mov" TargetMode="External"/><Relationship Id="rId4579" Type="http://schemas.openxmlformats.org/officeDocument/2006/relationships/hyperlink" Target="http://csr.bu.edu/ftp/asl/asllvd/demos/verify_start_end_handshape_annotations//test_auto_move//signs_mov/5846.mov" TargetMode="External"/><Relationship Id="rId4580" Type="http://schemas.openxmlformats.org/officeDocument/2006/relationships/hyperlink" Target="http://csr.bu.edu/ftp/asl/asllvd/demos/verify_start_end_handshape_annotations//test_auto_move//signs_mov_separ_signers/Dana_5846.mov" TargetMode="External"/><Relationship Id="rId4581" Type="http://schemas.openxmlformats.org/officeDocument/2006/relationships/hyperlink" Target="http://secrets.rutgers.edu:8080/data/asl-ftp/asllvd/demos/verify_start_end_handshape_annotations//test_auto_move//signs_mov/5846.mov" TargetMode="External"/><Relationship Id="rId4582" Type="http://schemas.openxmlformats.org/officeDocument/2006/relationships/hyperlink" Target="http://secrets.rutgers.edu:8080/data/asl-ftp/asllvd/demos/verify_start_end_handshape_annotations//test_auto_move//signs_mov_separ_signers/Dana_5846.mov" TargetMode="External"/><Relationship Id="rId4583" Type="http://schemas.openxmlformats.org/officeDocument/2006/relationships/hyperlink" Target="http://csr.bu.edu/ftp/asl/asllvd/demos/verify_start_end_handshape_annotations//test_auto_move//signs_mov_separ_signers/Liz_487.mov" TargetMode="External"/><Relationship Id="rId4584" Type="http://schemas.openxmlformats.org/officeDocument/2006/relationships/hyperlink" Target="http://secrets.rutgers.edu:8080/data/asl-ftp/asllvd/demos/verify_start_end_handshape_annotations//test_auto_move//signs_mov_separ_signers/Liz_487.mov" TargetMode="External"/><Relationship Id="rId4585" Type="http://schemas.openxmlformats.org/officeDocument/2006/relationships/hyperlink" Target="http://csr.bu.edu/ftp/asl/asllvd/demos/verify_start_end_handshape_annotations//test_auto_move//signs_mov_separ_signers/Liz_3427.mov" TargetMode="External"/><Relationship Id="rId4586" Type="http://schemas.openxmlformats.org/officeDocument/2006/relationships/hyperlink" Target="http://secrets.rutgers.edu:8080/data/asl-ftp/asllvd/demos/verify_start_end_handshape_annotations//test_auto_move//signs_mov_separ_signers/Liz_3427.mov" TargetMode="External"/><Relationship Id="rId4587" Type="http://schemas.openxmlformats.org/officeDocument/2006/relationships/hyperlink" Target="http://csr.bu.edu/ftp/asl/asllvd/demos/verify_start_end_handshape_annotations//test_auto_move//signs_mov_separ_signers/Tyler_487.mov" TargetMode="External"/><Relationship Id="rId4588" Type="http://schemas.openxmlformats.org/officeDocument/2006/relationships/hyperlink" Target="http://secrets.rutgers.edu:8080/data/asl-ftp/asllvd/demos/verify_start_end_handshape_annotations//test_auto_move//signs_mov_separ_signers/Tyler_487.mov" TargetMode="External"/><Relationship Id="rId4589" Type="http://schemas.openxmlformats.org/officeDocument/2006/relationships/hyperlink" Target="http://csr.bu.edu/ftp/asl/asllvd/demos/verify_start_end_handshape_annotations//test_auto_move//signs_mov/487_3427_5917_merged.mov" TargetMode="External"/><Relationship Id="rId4590" Type="http://schemas.openxmlformats.org/officeDocument/2006/relationships/hyperlink" Target="http://csr.bu.edu/ftp/asl/asllvd/demos/verify_start_end_handshape_annotations//test_auto_move//signs_mov_separ_signers/Naomi_487.mov" TargetMode="External"/><Relationship Id="rId4591" Type="http://schemas.openxmlformats.org/officeDocument/2006/relationships/hyperlink" Target="http://secrets.rutgers.edu:8080/data/asl-ftp/asllvd/demos/verify_start_end_handshape_annotations//test_auto_move//signs_mov/487_3427_5917_merged.mov" TargetMode="External"/><Relationship Id="rId4592" Type="http://schemas.openxmlformats.org/officeDocument/2006/relationships/hyperlink" Target="http://secrets.rutgers.edu:8080/data/asl-ftp/asllvd/demos/verify_start_end_handshape_annotations//test_auto_move//signs_mov_separ_signers/Naomi_487.mov" TargetMode="External"/><Relationship Id="rId4593" Type="http://schemas.openxmlformats.org/officeDocument/2006/relationships/hyperlink" Target="http://csr.bu.edu/ftp/asl/asllvd/demos/verify_start_end_handshape_annotations//test_auto_move//signs_mov_separ_signers/Brady_487.mov" TargetMode="External"/><Relationship Id="rId4594" Type="http://schemas.openxmlformats.org/officeDocument/2006/relationships/hyperlink" Target="http://secrets.rutgers.edu:8080/data/asl-ftp/asllvd/demos/verify_start_end_handshape_annotations//test_auto_move//signs_mov_separ_signers/Brady_487.mov" TargetMode="External"/><Relationship Id="rId4595" Type="http://schemas.openxmlformats.org/officeDocument/2006/relationships/hyperlink" Target="http://csr.bu.edu/ftp/asl/asllvd/demos/verify_start_end_handshape_annotations//test_auto_move//signs_mov_separ_signers/Brady_3427.mov" TargetMode="External"/><Relationship Id="rId4596" Type="http://schemas.openxmlformats.org/officeDocument/2006/relationships/hyperlink" Target="http://secrets.rutgers.edu:8080/data/asl-ftp/asllvd/demos/verify_start_end_handshape_annotations//test_auto_move//signs_mov_separ_signers/Brady_3427.mov" TargetMode="External"/><Relationship Id="rId4597" Type="http://schemas.openxmlformats.org/officeDocument/2006/relationships/hyperlink" Target="http://csr.bu.edu/ftp/asl/asllvd/demos/verify_start_end_handshape_annotations//test_auto_move//signs_mov_separ_signers/Brady_5917.mov" TargetMode="External"/><Relationship Id="rId4598" Type="http://schemas.openxmlformats.org/officeDocument/2006/relationships/hyperlink" Target="http://secrets.rutgers.edu:8080/data/asl-ftp/asllvd/demos/verify_start_end_handshape_annotations//test_auto_move//signs_mov_separ_signers/Brady_5917.mov" TargetMode="External"/><Relationship Id="rId4599" Type="http://schemas.openxmlformats.org/officeDocument/2006/relationships/hyperlink" Target="http://csr.bu.edu/ftp/asl/asllvd/demos/verify_start_end_handshape_annotations//test_auto_move//signs_mov_separ_signers/Lana_487.mov" TargetMode="External"/><Relationship Id="rId4600" Type="http://schemas.openxmlformats.org/officeDocument/2006/relationships/hyperlink" Target="http://secrets.rutgers.edu:8080/data/asl-ftp/asllvd/demos/verify_start_end_handshape_annotations//test_auto_move//signs_mov_separ_signers/Lana_487.mov" TargetMode="External"/><Relationship Id="rId4601" Type="http://schemas.openxmlformats.org/officeDocument/2006/relationships/hyperlink" Target="http://csr.bu.edu/ftp/asl/asllvd/demos/verify_start_end_handshape_annotations//test_auto_move//signs_mov_separ_signers/Liz_490.mov" TargetMode="External"/><Relationship Id="rId4602" Type="http://schemas.openxmlformats.org/officeDocument/2006/relationships/hyperlink" Target="http://secrets.rutgers.edu:8080/data/asl-ftp/asllvd/demos/verify_start_end_handshape_annotations//test_auto_move//signs_mov_separ_signers/Liz_490.mov" TargetMode="External"/><Relationship Id="rId4603" Type="http://schemas.openxmlformats.org/officeDocument/2006/relationships/hyperlink" Target="http://csr.bu.edu/ftp/asl/asllvd/demos/verify_start_end_handshape_annotations//test_auto_move//signs_mov_separ_signers/Liz_3387.mov" TargetMode="External"/><Relationship Id="rId4604" Type="http://schemas.openxmlformats.org/officeDocument/2006/relationships/hyperlink" Target="http://secrets.rutgers.edu:8080/data/asl-ftp/asllvd/demos/verify_start_end_handshape_annotations//test_auto_move//signs_mov_separ_signers/Liz_3387.mov" TargetMode="External"/><Relationship Id="rId4605" Type="http://schemas.openxmlformats.org/officeDocument/2006/relationships/hyperlink" Target="http://csr.bu.edu/ftp/asl/asllvd/demos/verify_start_end_handshape_annotations//test_auto_move//signs_mov_separ_signers/Tyler_490.mov" TargetMode="External"/><Relationship Id="rId4606" Type="http://schemas.openxmlformats.org/officeDocument/2006/relationships/hyperlink" Target="http://secrets.rutgers.edu:8080/data/asl-ftp/asllvd/demos/verify_start_end_handshape_annotations//test_auto_move//signs_mov_separ_signers/Tyler_490.mov" TargetMode="External"/><Relationship Id="rId4607" Type="http://schemas.openxmlformats.org/officeDocument/2006/relationships/hyperlink" Target="http://csr.bu.edu/ftp/asl/asllvd/demos/verify_start_end_handshape_annotations//test_auto_move//signs_mov_separ_signers/Tyler_3387.mov" TargetMode="External"/><Relationship Id="rId4608" Type="http://schemas.openxmlformats.org/officeDocument/2006/relationships/hyperlink" Target="http://secrets.rutgers.edu:8080/data/asl-ftp/asllvd/demos/verify_start_end_handshape_annotations//test_auto_move//signs_mov_separ_signers/Tyler_3387.mov" TargetMode="External"/><Relationship Id="rId4609" Type="http://schemas.openxmlformats.org/officeDocument/2006/relationships/hyperlink" Target="http://csr.bu.edu/ftp/asl/asllvd/demos/verify_start_end_handshape_annotations//test_auto_move//signs_mov/490_3387_5657_5658_merged.mov" TargetMode="External"/><Relationship Id="rId4610" Type="http://schemas.openxmlformats.org/officeDocument/2006/relationships/hyperlink" Target="http://csr.bu.edu/ftp/asl/asllvd/demos/verify_start_end_handshape_annotations//test_auto_move//signs_mov_separ_signers/Naomi_490.mov" TargetMode="External"/><Relationship Id="rId4611" Type="http://schemas.openxmlformats.org/officeDocument/2006/relationships/hyperlink" Target="http://secrets.rutgers.edu:8080/data/asl-ftp/asllvd/demos/verify_start_end_handshape_annotations//test_auto_move//signs_mov/490_3387_5657_5658_merged.mov" TargetMode="External"/><Relationship Id="rId4612" Type="http://schemas.openxmlformats.org/officeDocument/2006/relationships/hyperlink" Target="http://secrets.rutgers.edu:8080/data/asl-ftp/asllvd/demos/verify_start_end_handshape_annotations//test_auto_move//signs_mov_separ_signers/Naomi_490.mov" TargetMode="External"/><Relationship Id="rId4613" Type="http://schemas.openxmlformats.org/officeDocument/2006/relationships/hyperlink" Target="http://csr.bu.edu/ftp/asl/asllvd/demos/verify_start_end_handshape_annotations//test_auto_move//signs_mov_separ_signers/Naomi_3387.mov" TargetMode="External"/><Relationship Id="rId4614" Type="http://schemas.openxmlformats.org/officeDocument/2006/relationships/hyperlink" Target="http://secrets.rutgers.edu:8080/data/asl-ftp/asllvd/demos/verify_start_end_handshape_annotations//test_auto_move//signs_mov_separ_signers/Naomi_3387.mov" TargetMode="External"/><Relationship Id="rId4615" Type="http://schemas.openxmlformats.org/officeDocument/2006/relationships/hyperlink" Target="http://csr.bu.edu/ftp/asl/asllvd/demos/verify_start_end_handshape_annotations//test_auto_move//signs_mov_separ_signers/Brady_490.mov" TargetMode="External"/><Relationship Id="rId4616" Type="http://schemas.openxmlformats.org/officeDocument/2006/relationships/hyperlink" Target="http://secrets.rutgers.edu:8080/data/asl-ftp/asllvd/demos/verify_start_end_handshape_annotations//test_auto_move//signs_mov_separ_signers/Brady_490.mov" TargetMode="External"/><Relationship Id="rId4617" Type="http://schemas.openxmlformats.org/officeDocument/2006/relationships/hyperlink" Target="http://csr.bu.edu/ftp/asl/asllvd/demos/verify_start_end_handshape_annotations//test_auto_move//signs_mov_separ_signers/Brady_3387.mov" TargetMode="External"/><Relationship Id="rId4618" Type="http://schemas.openxmlformats.org/officeDocument/2006/relationships/hyperlink" Target="http://secrets.rutgers.edu:8080/data/asl-ftp/asllvd/demos/verify_start_end_handshape_annotations//test_auto_move//signs_mov_separ_signers/Brady_3387.mov" TargetMode="External"/><Relationship Id="rId4619" Type="http://schemas.openxmlformats.org/officeDocument/2006/relationships/hyperlink" Target="http://csr.bu.edu/ftp/asl/asllvd/demos/verify_start_end_handshape_annotations//test_auto_move//signs_mov_separ_signers/Brady_5657.mov" TargetMode="External"/><Relationship Id="rId4620" Type="http://schemas.openxmlformats.org/officeDocument/2006/relationships/hyperlink" Target="http://secrets.rutgers.edu:8080/data/asl-ftp/asllvd/demos/verify_start_end_handshape_annotations//test_auto_move//signs_mov_separ_signers/Brady_5657.mov" TargetMode="External"/><Relationship Id="rId4621" Type="http://schemas.openxmlformats.org/officeDocument/2006/relationships/hyperlink" Target="http://csr.bu.edu/ftp/asl/asllvd/demos/verify_start_end_handshape_annotations//test_auto_move//signs_mov_separ_signers/Brady_5658.mov" TargetMode="External"/><Relationship Id="rId4622" Type="http://schemas.openxmlformats.org/officeDocument/2006/relationships/hyperlink" Target="http://secrets.rutgers.edu:8080/data/asl-ftp/asllvd/demos/verify_start_end_handshape_annotations//test_auto_move//signs_mov_separ_signers/Brady_5658.mov" TargetMode="External"/><Relationship Id="rId4623" Type="http://schemas.openxmlformats.org/officeDocument/2006/relationships/hyperlink" Target="http://csr.bu.edu/ftp/asl/asllvd/demos/verify_start_end_handshape_annotations//test_auto_move//signs_mov_separ_signers/Liz_15021.mov" TargetMode="External"/><Relationship Id="rId4624" Type="http://schemas.openxmlformats.org/officeDocument/2006/relationships/hyperlink" Target="http://secrets.rutgers.edu:8080/data/asl-ftp/asllvd/demos/verify_start_end_handshape_annotations//test_auto_move//signs_mov_separ_signers/Liz_15021.mov" TargetMode="External"/><Relationship Id="rId4625" Type="http://schemas.openxmlformats.org/officeDocument/2006/relationships/hyperlink" Target="http://csr.bu.edu/ftp/asl/asllvd/demos/verify_start_end_handshape_annotations//test_auto_move//signs_mov/15021_15304_merged.mov" TargetMode="External"/><Relationship Id="rId4626" Type="http://schemas.openxmlformats.org/officeDocument/2006/relationships/hyperlink" Target="http://csr.bu.edu/ftp/asl/asllvd/demos/verify_start_end_handshape_annotations//test_auto_move//signs_mov_separ_signers/Liz_15304.mov" TargetMode="External"/><Relationship Id="rId4627" Type="http://schemas.openxmlformats.org/officeDocument/2006/relationships/hyperlink" Target="http://secrets.rutgers.edu:8080/data/asl-ftp/asllvd/demos/verify_start_end_handshape_annotations//test_auto_move//signs_mov/15021_15304_merged.mov" TargetMode="External"/><Relationship Id="rId4628" Type="http://schemas.openxmlformats.org/officeDocument/2006/relationships/hyperlink" Target="http://secrets.rutgers.edu:8080/data/asl-ftp/asllvd/demos/verify_start_end_handshape_annotations//test_auto_move//signs_mov_separ_signers/Liz_15304.mov" TargetMode="External"/><Relationship Id="rId4629" Type="http://schemas.openxmlformats.org/officeDocument/2006/relationships/hyperlink" Target="http://csr.bu.edu/ftp/asl/asllvd/demos/verify_start_end_handshape_annotations//test_auto_move//signs_mov_separ_signers/Naomi_15021.mov" TargetMode="External"/><Relationship Id="rId4630" Type="http://schemas.openxmlformats.org/officeDocument/2006/relationships/hyperlink" Target="http://secrets.rutgers.edu:8080/data/asl-ftp/asllvd/demos/verify_start_end_handshape_annotations//test_auto_move//signs_mov_separ_signers/Naomi_15021.mov" TargetMode="External"/><Relationship Id="rId4631" Type="http://schemas.openxmlformats.org/officeDocument/2006/relationships/hyperlink" Target="http://csr.bu.edu/ftp/asl/asllvd/demos/verify_start_end_handshape_annotations//test_auto_move//signs_mov_separ_signers/Brady_15021.mov" TargetMode="External"/><Relationship Id="rId4632" Type="http://schemas.openxmlformats.org/officeDocument/2006/relationships/hyperlink" Target="http://secrets.rutgers.edu:8080/data/asl-ftp/asllvd/demos/verify_start_end_handshape_annotations//test_auto_move//signs_mov_separ_signers/Brady_15021.mov" TargetMode="External"/><Relationship Id="rId4633" Type="http://schemas.openxmlformats.org/officeDocument/2006/relationships/hyperlink" Target="http://csr.bu.edu/ftp/asl/asllvd/demos/verify_start_end_handshape_annotations//test_auto_move//signs_mov_separ_signers/Liz_16572.mov" TargetMode="External"/><Relationship Id="rId4634" Type="http://schemas.openxmlformats.org/officeDocument/2006/relationships/hyperlink" Target="http://secrets.rutgers.edu:8080/data/asl-ftp/asllvd/demos/verify_start_end_handshape_annotations//test_auto_move//signs_mov_separ_signers/Liz_16572.mov" TargetMode="External"/><Relationship Id="rId4635" Type="http://schemas.openxmlformats.org/officeDocument/2006/relationships/hyperlink" Target="http://csr.bu.edu/ftp/asl/asllvd/demos/verify_start_end_handshape_annotations//test_auto_move//signs_mov/16572.mov" TargetMode="External"/><Relationship Id="rId4636" Type="http://schemas.openxmlformats.org/officeDocument/2006/relationships/hyperlink" Target="http://csr.bu.edu/ftp/asl/asllvd/demos/verify_start_end_handshape_annotations//test_auto_move//signs_mov_separ_signers/Tyler_16572.mov" TargetMode="External"/><Relationship Id="rId4637" Type="http://schemas.openxmlformats.org/officeDocument/2006/relationships/hyperlink" Target="http://secrets.rutgers.edu:8080/data/asl-ftp/asllvd/demos/verify_start_end_handshape_annotations//test_auto_move//signs_mov/16572.mov" TargetMode="External"/><Relationship Id="rId4638" Type="http://schemas.openxmlformats.org/officeDocument/2006/relationships/hyperlink" Target="http://secrets.rutgers.edu:8080/data/asl-ftp/asllvd/demos/verify_start_end_handshape_annotations//test_auto_move//signs_mov_separ_signers/Tyler_16572.mov" TargetMode="External"/><Relationship Id="rId4639" Type="http://schemas.openxmlformats.org/officeDocument/2006/relationships/hyperlink" Target="http://csr.bu.edu/ftp/asl/asllvd/demos/verify_start_end_handshape_annotations//test_auto_move//signs_mov_separ_signers/Naomi_16572.mov" TargetMode="External"/><Relationship Id="rId4640" Type="http://schemas.openxmlformats.org/officeDocument/2006/relationships/hyperlink" Target="http://secrets.rutgers.edu:8080/data/asl-ftp/asllvd/demos/verify_start_end_handshape_annotations//test_auto_move//signs_mov_separ_signers/Naomi_16572.mov" TargetMode="External"/><Relationship Id="rId4641" Type="http://schemas.openxmlformats.org/officeDocument/2006/relationships/hyperlink" Target="http://csr.bu.edu/ftp/asl/asllvd/demos/verify_start_end_handshape_annotations//test_auto_move//signs_mov_separ_signers/Brady_16572.mov" TargetMode="External"/><Relationship Id="rId4642" Type="http://schemas.openxmlformats.org/officeDocument/2006/relationships/hyperlink" Target="http://secrets.rutgers.edu:8080/data/asl-ftp/asllvd/demos/verify_start_end_handshape_annotations//test_auto_move//signs_mov_separ_signers/Brady_16572.mov" TargetMode="External"/><Relationship Id="rId4643" Type="http://schemas.openxmlformats.org/officeDocument/2006/relationships/hyperlink" Target="http://csr.bu.edu/ftp/asl/asllvd/demos/verify_start_end_handshape_annotations//test_auto_move//signs_mov_separ_signers/Liz_492.mov" TargetMode="External"/><Relationship Id="rId4644" Type="http://schemas.openxmlformats.org/officeDocument/2006/relationships/hyperlink" Target="http://secrets.rutgers.edu:8080/data/asl-ftp/asllvd/demos/verify_start_end_handshape_annotations//test_auto_move//signs_mov_separ_signers/Liz_492.mov" TargetMode="External"/><Relationship Id="rId4645" Type="http://schemas.openxmlformats.org/officeDocument/2006/relationships/hyperlink" Target="http://csr.bu.edu/ftp/asl/asllvd/demos/verify_start_end_handshape_annotations//test_auto_move//signs_mov/492.mov" TargetMode="External"/><Relationship Id="rId4646" Type="http://schemas.openxmlformats.org/officeDocument/2006/relationships/hyperlink" Target="http://csr.bu.edu/ftp/asl/asllvd/demos/verify_start_end_handshape_annotations//test_auto_move//signs_mov_separ_signers/Tyler_492.mov" TargetMode="External"/><Relationship Id="rId4647" Type="http://schemas.openxmlformats.org/officeDocument/2006/relationships/hyperlink" Target="http://secrets.rutgers.edu:8080/data/asl-ftp/asllvd/demos/verify_start_end_handshape_annotations//test_auto_move//signs_mov/492.mov" TargetMode="External"/><Relationship Id="rId4648" Type="http://schemas.openxmlformats.org/officeDocument/2006/relationships/hyperlink" Target="http://secrets.rutgers.edu:8080/data/asl-ftp/asllvd/demos/verify_start_end_handshape_annotations//test_auto_move//signs_mov_separ_signers/Tyler_492.mov" TargetMode="External"/><Relationship Id="rId4649" Type="http://schemas.openxmlformats.org/officeDocument/2006/relationships/hyperlink" Target="http://csr.bu.edu/ftp/asl/asllvd/demos/verify_start_end_handshape_annotations//test_auto_move//signs_mov_separ_signers/Naomi_492.mov" TargetMode="External"/><Relationship Id="rId4650" Type="http://schemas.openxmlformats.org/officeDocument/2006/relationships/hyperlink" Target="http://secrets.rutgers.edu:8080/data/asl-ftp/asllvd/demos/verify_start_end_handshape_annotations//test_auto_move//signs_mov_separ_signers/Naomi_492.mov" TargetMode="External"/><Relationship Id="rId4651" Type="http://schemas.openxmlformats.org/officeDocument/2006/relationships/hyperlink" Target="http://csr.bu.edu/ftp/asl/asllvd/demos/verify_start_end_handshape_annotations//test_auto_move//signs_mov_separ_signers/Brady_492.mov" TargetMode="External"/><Relationship Id="rId4652" Type="http://schemas.openxmlformats.org/officeDocument/2006/relationships/hyperlink" Target="http://secrets.rutgers.edu:8080/data/asl-ftp/asllvd/demos/verify_start_end_handshape_annotations//test_auto_move//signs_mov_separ_signers/Brady_492.mov" TargetMode="External"/><Relationship Id="rId4653" Type="http://schemas.openxmlformats.org/officeDocument/2006/relationships/hyperlink" Target="http://csr.bu.edu/ftp/asl/asllvd/demos/verify_start_end_handshape_annotations//test_auto_move//signs_mov/494.mov" TargetMode="External"/><Relationship Id="rId4654" Type="http://schemas.openxmlformats.org/officeDocument/2006/relationships/hyperlink" Target="http://csr.bu.edu/ftp/asl/asllvd/demos/verify_start_end_handshape_annotations//test_auto_move//signs_mov_separ_signers/Brady_494.mov" TargetMode="External"/><Relationship Id="rId4655" Type="http://schemas.openxmlformats.org/officeDocument/2006/relationships/hyperlink" Target="http://secrets.rutgers.edu:8080/data/asl-ftp/asllvd/demos/verify_start_end_handshape_annotations//test_auto_move//signs_mov/494.mov" TargetMode="External"/><Relationship Id="rId4656" Type="http://schemas.openxmlformats.org/officeDocument/2006/relationships/hyperlink" Target="http://secrets.rutgers.edu:8080/data/asl-ftp/asllvd/demos/verify_start_end_handshape_annotations//test_auto_move//signs_mov_separ_signers/Brady_494.mov" TargetMode="External"/><Relationship Id="rId4657" Type="http://schemas.openxmlformats.org/officeDocument/2006/relationships/hyperlink" Target="http://csr.bu.edu/ftp/asl/asllvd/demos/verify_start_end_handshape_annotations//test_auto_move//signs_mov/5143.mov" TargetMode="External"/><Relationship Id="rId4658" Type="http://schemas.openxmlformats.org/officeDocument/2006/relationships/hyperlink" Target="http://csr.bu.edu/ftp/asl/asllvd/demos/verify_start_end_handshape_annotations//test_auto_move//signs_mov_separ_signers/Liz_5143.mov" TargetMode="External"/><Relationship Id="rId4659" Type="http://schemas.openxmlformats.org/officeDocument/2006/relationships/hyperlink" Target="http://secrets.rutgers.edu:8080/data/asl-ftp/asllvd/demos/verify_start_end_handshape_annotations//test_auto_move//signs_mov/5143.mov" TargetMode="External"/><Relationship Id="rId4660" Type="http://schemas.openxmlformats.org/officeDocument/2006/relationships/hyperlink" Target="http://secrets.rutgers.edu:8080/data/asl-ftp/asllvd/demos/verify_start_end_handshape_annotations//test_auto_move//signs_mov_separ_signers/Liz_5143.mov" TargetMode="External"/><Relationship Id="rId4661" Type="http://schemas.openxmlformats.org/officeDocument/2006/relationships/hyperlink" Target="http://csr.bu.edu/ftp/asl/asllvd/demos/verify_start_end_handshape_annotations//test_auto_move//signs_mov_separ_signers/Liz_5847.mov" TargetMode="External"/><Relationship Id="rId4662" Type="http://schemas.openxmlformats.org/officeDocument/2006/relationships/hyperlink" Target="http://secrets.rutgers.edu:8080/data/asl-ftp/asllvd/demos/verify_start_end_handshape_annotations//test_auto_move//signs_mov_separ_signers/Liz_5847.mov" TargetMode="External"/><Relationship Id="rId4663" Type="http://schemas.openxmlformats.org/officeDocument/2006/relationships/hyperlink" Target="http://csr.bu.edu/ftp/asl/asllvd/demos/verify_start_end_handshape_annotations//test_auto_move//signs_mov/5847.mov" TargetMode="External"/><Relationship Id="rId4664" Type="http://schemas.openxmlformats.org/officeDocument/2006/relationships/hyperlink" Target="http://csr.bu.edu/ftp/asl/asllvd/demos/verify_start_end_handshape_annotations//test_auto_move//signs_mov_separ_signers/Tyler_5847.mov" TargetMode="External"/><Relationship Id="rId4665" Type="http://schemas.openxmlformats.org/officeDocument/2006/relationships/hyperlink" Target="http://secrets.rutgers.edu:8080/data/asl-ftp/asllvd/demos/verify_start_end_handshape_annotations//test_auto_move//signs_mov/5847.mov" TargetMode="External"/><Relationship Id="rId4666" Type="http://schemas.openxmlformats.org/officeDocument/2006/relationships/hyperlink" Target="http://secrets.rutgers.edu:8080/data/asl-ftp/asllvd/demos/verify_start_end_handshape_annotations//test_auto_move//signs_mov_separ_signers/Tyler_5847.mov" TargetMode="External"/><Relationship Id="rId4667" Type="http://schemas.openxmlformats.org/officeDocument/2006/relationships/hyperlink" Target="http://csr.bu.edu/ftp/asl/asllvd/demos/verify_start_end_handshape_annotations//test_auto_move//signs_mov_separ_signers/Naomi_5847.mov" TargetMode="External"/><Relationship Id="rId4668" Type="http://schemas.openxmlformats.org/officeDocument/2006/relationships/hyperlink" Target="http://secrets.rutgers.edu:8080/data/asl-ftp/asllvd/demos/verify_start_end_handshape_annotations//test_auto_move//signs_mov_separ_signers/Naomi_5847.mov" TargetMode="External"/><Relationship Id="rId4669" Type="http://schemas.openxmlformats.org/officeDocument/2006/relationships/hyperlink" Target="http://csr.bu.edu/ftp/asl/asllvd/demos/verify_start_end_handshape_annotations//test_auto_move//signs_mov/495.mov" TargetMode="External"/><Relationship Id="rId4670" Type="http://schemas.openxmlformats.org/officeDocument/2006/relationships/hyperlink" Target="http://csr.bu.edu/ftp/asl/asllvd/demos/verify_start_end_handshape_annotations//test_auto_move//signs_mov_separ_signers/Liz_495.mov" TargetMode="External"/><Relationship Id="rId4671" Type="http://schemas.openxmlformats.org/officeDocument/2006/relationships/hyperlink" Target="http://secrets.rutgers.edu:8080/data/asl-ftp/asllvd/demos/verify_start_end_handshape_annotations//test_auto_move//signs_mov/495.mov" TargetMode="External"/><Relationship Id="rId4672" Type="http://schemas.openxmlformats.org/officeDocument/2006/relationships/hyperlink" Target="http://secrets.rutgers.edu:8080/data/asl-ftp/asllvd/demos/verify_start_end_handshape_annotations//test_auto_move//signs_mov_separ_signers/Liz_495.mov" TargetMode="External"/><Relationship Id="rId4673" Type="http://schemas.openxmlformats.org/officeDocument/2006/relationships/hyperlink" Target="http://csr.bu.edu/ftp/asl/asllvd/demos/verify_start_end_handshape_annotations//test_auto_move//signs_mov_separ_signers/Brady_495.mov" TargetMode="External"/><Relationship Id="rId4674" Type="http://schemas.openxmlformats.org/officeDocument/2006/relationships/hyperlink" Target="http://secrets.rutgers.edu:8080/data/asl-ftp/asllvd/demos/verify_start_end_handshape_annotations//test_auto_move//signs_mov_separ_signers/Brady_495.mov" TargetMode="External"/><Relationship Id="rId4675" Type="http://schemas.openxmlformats.org/officeDocument/2006/relationships/hyperlink" Target="http://csr.bu.edu/ftp/asl/asllvd/demos/verify_start_end_handshape_annotations//test_auto_move//signs_mov_separ_signers/Liz_496.mov" TargetMode="External"/><Relationship Id="rId4676" Type="http://schemas.openxmlformats.org/officeDocument/2006/relationships/hyperlink" Target="http://secrets.rutgers.edu:8080/data/asl-ftp/asllvd/demos/verify_start_end_handshape_annotations//test_auto_move//signs_mov_separ_signers/Liz_496.mov" TargetMode="External"/><Relationship Id="rId4677" Type="http://schemas.openxmlformats.org/officeDocument/2006/relationships/hyperlink" Target="http://csr.bu.edu/ftp/asl/asllvd/demos/verify_start_end_handshape_annotations//test_auto_move//signs_mov_separ_signers/Liz_3594.mov" TargetMode="External"/><Relationship Id="rId4678" Type="http://schemas.openxmlformats.org/officeDocument/2006/relationships/hyperlink" Target="http://secrets.rutgers.edu:8080/data/asl-ftp/asllvd/demos/verify_start_end_handshape_annotations//test_auto_move//signs_mov_separ_signers/Liz_3594.mov" TargetMode="External"/><Relationship Id="rId4679" Type="http://schemas.openxmlformats.org/officeDocument/2006/relationships/hyperlink" Target="http://csr.bu.edu/ftp/asl/asllvd/demos/verify_start_end_handshape_annotations//test_auto_move//signs_mov_separ_signers/Tyler_496.mov" TargetMode="External"/><Relationship Id="rId4680" Type="http://schemas.openxmlformats.org/officeDocument/2006/relationships/hyperlink" Target="http://secrets.rutgers.edu:8080/data/asl-ftp/asllvd/demos/verify_start_end_handshape_annotations//test_auto_move//signs_mov_separ_signers/Tyler_496.mov" TargetMode="External"/><Relationship Id="rId4681" Type="http://schemas.openxmlformats.org/officeDocument/2006/relationships/hyperlink" Target="http://csr.bu.edu/ftp/asl/asllvd/demos/verify_start_end_handshape_annotations//test_auto_move//signs_mov/496_3594_merged.mov" TargetMode="External"/><Relationship Id="rId4682" Type="http://schemas.openxmlformats.org/officeDocument/2006/relationships/hyperlink" Target="http://csr.bu.edu/ftp/asl/asllvd/demos/verify_start_end_handshape_annotations//test_auto_move//signs_mov_separ_signers/Tyler_3594.mov" TargetMode="External"/><Relationship Id="rId4683" Type="http://schemas.openxmlformats.org/officeDocument/2006/relationships/hyperlink" Target="http://secrets.rutgers.edu:8080/data/asl-ftp/asllvd/demos/verify_start_end_handshape_annotations//test_auto_move//signs_mov/496_3594_merged.mov" TargetMode="External"/><Relationship Id="rId4684" Type="http://schemas.openxmlformats.org/officeDocument/2006/relationships/hyperlink" Target="http://secrets.rutgers.edu:8080/data/asl-ftp/asllvd/demos/verify_start_end_handshape_annotations//test_auto_move//signs_mov_separ_signers/Tyler_3594.mov" TargetMode="External"/><Relationship Id="rId4685" Type="http://schemas.openxmlformats.org/officeDocument/2006/relationships/hyperlink" Target="http://csr.bu.edu/ftp/asl/asllvd/demos/verify_start_end_handshape_annotations//test_auto_move//signs_mov_separ_signers/Naomi_496.mov" TargetMode="External"/><Relationship Id="rId4686" Type="http://schemas.openxmlformats.org/officeDocument/2006/relationships/hyperlink" Target="http://secrets.rutgers.edu:8080/data/asl-ftp/asllvd/demos/verify_start_end_handshape_annotations//test_auto_move//signs_mov_separ_signers/Naomi_496.mov" TargetMode="External"/><Relationship Id="rId4687" Type="http://schemas.openxmlformats.org/officeDocument/2006/relationships/hyperlink" Target="http://csr.bu.edu/ftp/asl/asllvd/demos/verify_start_end_handshape_annotations//test_auto_move//signs_mov_separ_signers/Naomi_3594.mov" TargetMode="External"/><Relationship Id="rId4688" Type="http://schemas.openxmlformats.org/officeDocument/2006/relationships/hyperlink" Target="http://secrets.rutgers.edu:8080/data/asl-ftp/asllvd/demos/verify_start_end_handshape_annotations//test_auto_move//signs_mov_separ_signers/Naomi_3594.mov" TargetMode="External"/><Relationship Id="rId4689" Type="http://schemas.openxmlformats.org/officeDocument/2006/relationships/hyperlink" Target="http://csr.bu.edu/ftp/asl/asllvd/demos/verify_start_end_handshape_annotations//test_auto_move//signs_mov_separ_signers/Brady_496.mov" TargetMode="External"/><Relationship Id="rId4690" Type="http://schemas.openxmlformats.org/officeDocument/2006/relationships/hyperlink" Target="http://secrets.rutgers.edu:8080/data/asl-ftp/asllvd/demos/verify_start_end_handshape_annotations//test_auto_move//signs_mov_separ_signers/Brady_496.mov" TargetMode="External"/><Relationship Id="rId4691" Type="http://schemas.openxmlformats.org/officeDocument/2006/relationships/hyperlink" Target="http://csr.bu.edu/ftp/asl/asllvd/demos/verify_start_end_handshape_annotations//test_auto_move//signs_mov_separ_signers/Liz_16177.mov" TargetMode="External"/><Relationship Id="rId4692" Type="http://schemas.openxmlformats.org/officeDocument/2006/relationships/hyperlink" Target="http://secrets.rutgers.edu:8080/data/asl-ftp/asllvd/demos/verify_start_end_handshape_annotations//test_auto_move//signs_mov_separ_signers/Liz_16177.mov" TargetMode="External"/><Relationship Id="rId4693" Type="http://schemas.openxmlformats.org/officeDocument/2006/relationships/hyperlink" Target="http://csr.bu.edu/ftp/asl/asllvd/demos/verify_start_end_handshape_annotations//test_auto_move//signs_mov/16177.mov" TargetMode="External"/><Relationship Id="rId4694" Type="http://schemas.openxmlformats.org/officeDocument/2006/relationships/hyperlink" Target="http://csr.bu.edu/ftp/asl/asllvd/demos/verify_start_end_handshape_annotations//test_auto_move//signs_mov_separ_signers/Tyler_16177.mov" TargetMode="External"/><Relationship Id="rId4695" Type="http://schemas.openxmlformats.org/officeDocument/2006/relationships/hyperlink" Target="http://secrets.rutgers.edu:8080/data/asl-ftp/asllvd/demos/verify_start_end_handshape_annotations//test_auto_move//signs_mov/16177.mov" TargetMode="External"/><Relationship Id="rId4696" Type="http://schemas.openxmlformats.org/officeDocument/2006/relationships/hyperlink" Target="http://secrets.rutgers.edu:8080/data/asl-ftp/asllvd/demos/verify_start_end_handshape_annotations//test_auto_move//signs_mov_separ_signers/Tyler_16177.mov" TargetMode="External"/><Relationship Id="rId4697" Type="http://schemas.openxmlformats.org/officeDocument/2006/relationships/hyperlink" Target="http://csr.bu.edu/ftp/asl/asllvd/demos/verify_start_end_handshape_annotations//test_auto_move//signs_mov_separ_signers/Naomi_16177.mov" TargetMode="External"/><Relationship Id="rId4698" Type="http://schemas.openxmlformats.org/officeDocument/2006/relationships/hyperlink" Target="http://secrets.rutgers.edu:8080/data/asl-ftp/asllvd/demos/verify_start_end_handshape_annotations//test_auto_move//signs_mov_separ_signers/Naomi_16177.mov" TargetMode="External"/><Relationship Id="rId4699" Type="http://schemas.openxmlformats.org/officeDocument/2006/relationships/hyperlink" Target="http://csr.bu.edu/ftp/asl/asllvd/demos/verify_start_end_handshape_annotations//test_auto_move//signs_mov_separ_signers/Brady_16177.mov" TargetMode="External"/><Relationship Id="rId4700" Type="http://schemas.openxmlformats.org/officeDocument/2006/relationships/hyperlink" Target="http://secrets.rutgers.edu:8080/data/asl-ftp/asllvd/demos/verify_start_end_handshape_annotations//test_auto_move//signs_mov_separ_signers/Brady_16177.mov" TargetMode="External"/><Relationship Id="rId4701" Type="http://schemas.openxmlformats.org/officeDocument/2006/relationships/hyperlink" Target="http://csr.bu.edu/ftp/asl/asllvd/demos/verify_start_end_handshape_annotations//test_auto_move//signs_mov_separ_signers/Liz_498.mov" TargetMode="External"/><Relationship Id="rId4702" Type="http://schemas.openxmlformats.org/officeDocument/2006/relationships/hyperlink" Target="http://secrets.rutgers.edu:8080/data/asl-ftp/asllvd/demos/verify_start_end_handshape_annotations//test_auto_move//signs_mov_separ_signers/Liz_498.mov" TargetMode="External"/><Relationship Id="rId4703" Type="http://schemas.openxmlformats.org/officeDocument/2006/relationships/hyperlink" Target="http://csr.bu.edu/ftp/asl/asllvd/demos/verify_start_end_handshape_annotations//test_auto_move//signs_mov_separ_signers/Tyler_498.mov" TargetMode="External"/><Relationship Id="rId4704" Type="http://schemas.openxmlformats.org/officeDocument/2006/relationships/hyperlink" Target="http://secrets.rutgers.edu:8080/data/asl-ftp/asllvd/demos/verify_start_end_handshape_annotations//test_auto_move//signs_mov_separ_signers/Tyler_498.mov" TargetMode="External"/><Relationship Id="rId4705" Type="http://schemas.openxmlformats.org/officeDocument/2006/relationships/hyperlink" Target="http://csr.bu.edu/ftp/asl/asllvd/demos/verify_start_end_handshape_annotations//test_auto_move//signs_mov/498.mov" TargetMode="External"/><Relationship Id="rId4706" Type="http://schemas.openxmlformats.org/officeDocument/2006/relationships/hyperlink" Target="http://csr.bu.edu/ftp/asl/asllvd/demos/verify_start_end_handshape_annotations//test_auto_move//signs_mov_separ_signers/Naomi_498.mov" TargetMode="External"/><Relationship Id="rId4707" Type="http://schemas.openxmlformats.org/officeDocument/2006/relationships/hyperlink" Target="http://secrets.rutgers.edu:8080/data/asl-ftp/asllvd/demos/verify_start_end_handshape_annotations//test_auto_move//signs_mov/498.mov" TargetMode="External"/><Relationship Id="rId4708" Type="http://schemas.openxmlformats.org/officeDocument/2006/relationships/hyperlink" Target="http://secrets.rutgers.edu:8080/data/asl-ftp/asllvd/demos/verify_start_end_handshape_annotations//test_auto_move//signs_mov_separ_signers/Naomi_498.mov" TargetMode="External"/><Relationship Id="rId4709" Type="http://schemas.openxmlformats.org/officeDocument/2006/relationships/hyperlink" Target="http://csr.bu.edu/ftp/asl/asllvd/demos/verify_start_end_handshape_annotations//test_auto_move//signs_mov_separ_signers/Brady_498.mov" TargetMode="External"/><Relationship Id="rId4710" Type="http://schemas.openxmlformats.org/officeDocument/2006/relationships/hyperlink" Target="http://secrets.rutgers.edu:8080/data/asl-ftp/asllvd/demos/verify_start_end_handshape_annotations//test_auto_move//signs_mov_separ_signers/Brady_498.mov" TargetMode="External"/><Relationship Id="rId4711" Type="http://schemas.openxmlformats.org/officeDocument/2006/relationships/hyperlink" Target="http://csr.bu.edu/ftp/asl/asllvd/demos/verify_start_end_handshape_annotations//test_auto_move//signs_mov_separ_signers/Lana_498.mov" TargetMode="External"/><Relationship Id="rId4712" Type="http://schemas.openxmlformats.org/officeDocument/2006/relationships/hyperlink" Target="http://secrets.rutgers.edu:8080/data/asl-ftp/asllvd/demos/verify_start_end_handshape_annotations//test_auto_move//signs_mov_separ_signers/Lana_498.mov" TargetMode="External"/><Relationship Id="rId4713" Type="http://schemas.openxmlformats.org/officeDocument/2006/relationships/hyperlink" Target="http://csr.bu.edu/ftp/asl/asllvd/demos/verify_start_end_handshape_annotations//test_auto_move//signs_mov_separ_signers/Liz_499.mov" TargetMode="External"/><Relationship Id="rId4714" Type="http://schemas.openxmlformats.org/officeDocument/2006/relationships/hyperlink" Target="http://secrets.rutgers.edu:8080/data/asl-ftp/asllvd/demos/verify_start_end_handshape_annotations//test_auto_move//signs_mov_separ_signers/Liz_499.mov" TargetMode="External"/><Relationship Id="rId4715" Type="http://schemas.openxmlformats.org/officeDocument/2006/relationships/hyperlink" Target="http://csr.bu.edu/ftp/asl/asllvd/demos/verify_start_end_handshape_annotations//test_auto_move//signs_mov/499.mov" TargetMode="External"/><Relationship Id="rId4716" Type="http://schemas.openxmlformats.org/officeDocument/2006/relationships/hyperlink" Target="http://csr.bu.edu/ftp/asl/asllvd/demos/verify_start_end_handshape_annotations//test_auto_move//signs_mov_separ_signers/Tyler_499.mov" TargetMode="External"/><Relationship Id="rId4717" Type="http://schemas.openxmlformats.org/officeDocument/2006/relationships/hyperlink" Target="http://secrets.rutgers.edu:8080/data/asl-ftp/asllvd/demos/verify_start_end_handshape_annotations//test_auto_move//signs_mov/499.mov" TargetMode="External"/><Relationship Id="rId4718" Type="http://schemas.openxmlformats.org/officeDocument/2006/relationships/hyperlink" Target="http://secrets.rutgers.edu:8080/data/asl-ftp/asllvd/demos/verify_start_end_handshape_annotations//test_auto_move//signs_mov_separ_signers/Tyler_499.mov" TargetMode="External"/><Relationship Id="rId4719" Type="http://schemas.openxmlformats.org/officeDocument/2006/relationships/hyperlink" Target="http://csr.bu.edu/ftp/asl/asllvd/demos/verify_start_end_handshape_annotations//test_auto_move//signs_mov_separ_signers/Naomi_499.mov" TargetMode="External"/><Relationship Id="rId4720" Type="http://schemas.openxmlformats.org/officeDocument/2006/relationships/hyperlink" Target="http://secrets.rutgers.edu:8080/data/asl-ftp/asllvd/demos/verify_start_end_handshape_annotations//test_auto_move//signs_mov_separ_signers/Naomi_499.mov" TargetMode="External"/><Relationship Id="rId4721" Type="http://schemas.openxmlformats.org/officeDocument/2006/relationships/hyperlink" Target="http://csr.bu.edu/ftp/asl/asllvd/demos/verify_start_end_handshape_annotations//test_auto_move//signs_mov_separ_signers/Brady_499.mov" TargetMode="External"/><Relationship Id="rId4722" Type="http://schemas.openxmlformats.org/officeDocument/2006/relationships/hyperlink" Target="http://secrets.rutgers.edu:8080/data/asl-ftp/asllvd/demos/verify_start_end_handshape_annotations//test_auto_move//signs_mov_separ_signers/Brady_499.mov" TargetMode="External"/><Relationship Id="rId4723" Type="http://schemas.openxmlformats.org/officeDocument/2006/relationships/hyperlink" Target="http://csr.bu.edu/ftp/asl/asllvd/demos/verify_start_end_handshape_annotations//test_auto_move//signs_mov_separ_signers/Liz_3595.mov" TargetMode="External"/><Relationship Id="rId4724" Type="http://schemas.openxmlformats.org/officeDocument/2006/relationships/hyperlink" Target="http://secrets.rutgers.edu:8080/data/asl-ftp/asllvd/demos/verify_start_end_handshape_annotations//test_auto_move//signs_mov_separ_signers/Liz_3595.mov" TargetMode="External"/><Relationship Id="rId4725" Type="http://schemas.openxmlformats.org/officeDocument/2006/relationships/hyperlink" Target="http://csr.bu.edu/ftp/asl/asllvd/demos/verify_start_end_handshape_annotations//test_auto_move//signs_mov/3595.mov" TargetMode="External"/><Relationship Id="rId4726" Type="http://schemas.openxmlformats.org/officeDocument/2006/relationships/hyperlink" Target="http://csr.bu.edu/ftp/asl/asllvd/demos/verify_start_end_handshape_annotations//test_auto_move//signs_mov_separ_signers/Tyler_3595.mov" TargetMode="External"/><Relationship Id="rId4727" Type="http://schemas.openxmlformats.org/officeDocument/2006/relationships/hyperlink" Target="http://secrets.rutgers.edu:8080/data/asl-ftp/asllvd/demos/verify_start_end_handshape_annotations//test_auto_move//signs_mov/3595.mov" TargetMode="External"/><Relationship Id="rId4728" Type="http://schemas.openxmlformats.org/officeDocument/2006/relationships/hyperlink" Target="http://secrets.rutgers.edu:8080/data/asl-ftp/asllvd/demos/verify_start_end_handshape_annotations//test_auto_move//signs_mov_separ_signers/Tyler_3595.mov" TargetMode="External"/><Relationship Id="rId4729" Type="http://schemas.openxmlformats.org/officeDocument/2006/relationships/hyperlink" Target="http://csr.bu.edu/ftp/asl/asllvd/demos/verify_start_end_handshape_annotations//test_auto_move//signs_mov_separ_signers/Naomi_3595.mov" TargetMode="External"/><Relationship Id="rId4730" Type="http://schemas.openxmlformats.org/officeDocument/2006/relationships/hyperlink" Target="http://secrets.rutgers.edu:8080/data/asl-ftp/asllvd/demos/verify_start_end_handshape_annotations//test_auto_move//signs_mov_separ_signers/Naomi_3595.mov" TargetMode="External"/><Relationship Id="rId4731" Type="http://schemas.openxmlformats.org/officeDocument/2006/relationships/hyperlink" Target="http://csr.bu.edu/ftp/asl/asllvd/demos/verify_start_end_handshape_annotations//test_auto_move//signs_mov_separ_signers/Brady_3595.mov" TargetMode="External"/><Relationship Id="rId4732" Type="http://schemas.openxmlformats.org/officeDocument/2006/relationships/hyperlink" Target="http://secrets.rutgers.edu:8080/data/asl-ftp/asllvd/demos/verify_start_end_handshape_annotations//test_auto_move//signs_mov_separ_signers/Brady_3595.mov" TargetMode="External"/><Relationship Id="rId4733" Type="http://schemas.openxmlformats.org/officeDocument/2006/relationships/hyperlink" Target="http://csr.bu.edu/ftp/asl/asllvd/demos/verify_start_end_handshape_annotations//test_auto_move//signs_mov_separ_signers/Liz_5980.mov" TargetMode="External"/><Relationship Id="rId4734" Type="http://schemas.openxmlformats.org/officeDocument/2006/relationships/hyperlink" Target="http://secrets.rutgers.edu:8080/data/asl-ftp/asllvd/demos/verify_start_end_handshape_annotations//test_auto_move//signs_mov_separ_signers/Liz_5980.mov" TargetMode="External"/><Relationship Id="rId4735" Type="http://schemas.openxmlformats.org/officeDocument/2006/relationships/hyperlink" Target="http://csr.bu.edu/ftp/asl/asllvd/demos/verify_start_end_handshape_annotations//test_auto_move//signs_mov/5980.mov" TargetMode="External"/><Relationship Id="rId4736" Type="http://schemas.openxmlformats.org/officeDocument/2006/relationships/hyperlink" Target="http://csr.bu.edu/ftp/asl/asllvd/demos/verify_start_end_handshape_annotations//test_auto_move//signs_mov_separ_signers/Naomi_5980.mov" TargetMode="External"/><Relationship Id="rId4737" Type="http://schemas.openxmlformats.org/officeDocument/2006/relationships/hyperlink" Target="http://secrets.rutgers.edu:8080/data/asl-ftp/asllvd/demos/verify_start_end_handshape_annotations//test_auto_move//signs_mov/5980.mov" TargetMode="External"/><Relationship Id="rId4738" Type="http://schemas.openxmlformats.org/officeDocument/2006/relationships/hyperlink" Target="http://secrets.rutgers.edu:8080/data/asl-ftp/asllvd/demos/verify_start_end_handshape_annotations//test_auto_move//signs_mov_separ_signers/Naomi_5980.mov" TargetMode="External"/><Relationship Id="rId4739" Type="http://schemas.openxmlformats.org/officeDocument/2006/relationships/hyperlink" Target="http://csr.bu.edu/ftp/asl/asllvd/demos/verify_start_end_handshape_annotations//test_auto_move//signs_mov_separ_signers/Brady_5980.mov" TargetMode="External"/><Relationship Id="rId4740" Type="http://schemas.openxmlformats.org/officeDocument/2006/relationships/hyperlink" Target="http://secrets.rutgers.edu:8080/data/asl-ftp/asllvd/demos/verify_start_end_handshape_annotations//test_auto_move//signs_mov_separ_signers/Brady_5980.mov" TargetMode="External"/><Relationship Id="rId4741" Type="http://schemas.openxmlformats.org/officeDocument/2006/relationships/hyperlink" Target="http://csr.bu.edu/ftp/asl/asllvd/demos/verify_start_end_handshape_annotations//test_auto_move//signs_mov_separ_signers/Liz_504.mov" TargetMode="External"/><Relationship Id="rId4742" Type="http://schemas.openxmlformats.org/officeDocument/2006/relationships/hyperlink" Target="http://secrets.rutgers.edu:8080/data/asl-ftp/asllvd/demos/verify_start_end_handshape_annotations//test_auto_move//signs_mov_separ_signers/Liz_504.mov" TargetMode="External"/><Relationship Id="rId4743" Type="http://schemas.openxmlformats.org/officeDocument/2006/relationships/hyperlink" Target="http://csr.bu.edu/ftp/asl/asllvd/demos/verify_start_end_handshape_annotations//test_auto_move//signs_mov_separ_signers/Liz_5653.mov" TargetMode="External"/><Relationship Id="rId4744" Type="http://schemas.openxmlformats.org/officeDocument/2006/relationships/hyperlink" Target="http://secrets.rutgers.edu:8080/data/asl-ftp/asllvd/demos/verify_start_end_handshape_annotations//test_auto_move//signs_mov_separ_signers/Liz_5653.mov" TargetMode="External"/><Relationship Id="rId4745" Type="http://schemas.openxmlformats.org/officeDocument/2006/relationships/hyperlink" Target="http://csr.bu.edu/ftp/asl/asllvd/demos/verify_start_end_handshape_annotations//test_auto_move//signs_mov/504_5653_merged.mov" TargetMode="External"/><Relationship Id="rId4746" Type="http://schemas.openxmlformats.org/officeDocument/2006/relationships/hyperlink" Target="http://csr.bu.edu/ftp/asl/asllvd/demos/verify_start_end_handshape_annotations//test_auto_move//signs_mov_separ_signers/Tyler_504.mov" TargetMode="External"/><Relationship Id="rId4747" Type="http://schemas.openxmlformats.org/officeDocument/2006/relationships/hyperlink" Target="http://secrets.rutgers.edu:8080/data/asl-ftp/asllvd/demos/verify_start_end_handshape_annotations//test_auto_move//signs_mov/504_5653_merged.mov" TargetMode="External"/><Relationship Id="rId4748" Type="http://schemas.openxmlformats.org/officeDocument/2006/relationships/hyperlink" Target="http://secrets.rutgers.edu:8080/data/asl-ftp/asllvd/demos/verify_start_end_handshape_annotations//test_auto_move//signs_mov_separ_signers/Tyler_504.mov" TargetMode="External"/><Relationship Id="rId4749" Type="http://schemas.openxmlformats.org/officeDocument/2006/relationships/hyperlink" Target="http://csr.bu.edu/ftp/asl/asllvd/demos/verify_start_end_handshape_annotations//test_auto_move//signs_mov_separ_signers/Naomi_504.mov" TargetMode="External"/><Relationship Id="rId4750" Type="http://schemas.openxmlformats.org/officeDocument/2006/relationships/hyperlink" Target="http://secrets.rutgers.edu:8080/data/asl-ftp/asllvd/demos/verify_start_end_handshape_annotations//test_auto_move//signs_mov_separ_signers/Naomi_504.mov" TargetMode="External"/><Relationship Id="rId4751" Type="http://schemas.openxmlformats.org/officeDocument/2006/relationships/hyperlink" Target="http://csr.bu.edu/ftp/asl/asllvd/demos/verify_start_end_handshape_annotations//test_auto_move//signs_mov_separ_signers/Brady_504.mov" TargetMode="External"/><Relationship Id="rId4752" Type="http://schemas.openxmlformats.org/officeDocument/2006/relationships/hyperlink" Target="http://secrets.rutgers.edu:8080/data/asl-ftp/asllvd/demos/verify_start_end_handshape_annotations//test_auto_move//signs_mov_separ_signers/Brady_504.mov" TargetMode="External"/><Relationship Id="rId4753" Type="http://schemas.openxmlformats.org/officeDocument/2006/relationships/hyperlink" Target="http://csr.bu.edu/ftp/asl/asllvd/demos/verify_start_end_handshape_annotations//test_auto_move//signs_mov_separ_signers/Brady_5653.mov" TargetMode="External"/><Relationship Id="rId4754" Type="http://schemas.openxmlformats.org/officeDocument/2006/relationships/hyperlink" Target="http://secrets.rutgers.edu:8080/data/asl-ftp/asllvd/demos/verify_start_end_handshape_annotations//test_auto_move//signs_mov_separ_signers/Brady_5653.mov" TargetMode="External"/><Relationship Id="rId4755" Type="http://schemas.openxmlformats.org/officeDocument/2006/relationships/hyperlink" Target="http://csr.bu.edu/ftp/asl/asllvd/demos/verify_start_end_handshape_annotations//test_auto_move//signs_mov/15732.mov" TargetMode="External"/><Relationship Id="rId4756" Type="http://schemas.openxmlformats.org/officeDocument/2006/relationships/hyperlink" Target="http://csr.bu.edu/ftp/asl/asllvd/demos/verify_start_end_handshape_annotations//test_auto_move//signs_mov_separ_signers/Liz_15732.mov" TargetMode="External"/><Relationship Id="rId4757" Type="http://schemas.openxmlformats.org/officeDocument/2006/relationships/hyperlink" Target="http://secrets.rutgers.edu:8080/data/asl-ftp/asllvd/demos/verify_start_end_handshape_annotations//test_auto_move//signs_mov/15732.mov" TargetMode="External"/><Relationship Id="rId4758" Type="http://schemas.openxmlformats.org/officeDocument/2006/relationships/hyperlink" Target="http://secrets.rutgers.edu:8080/data/asl-ftp/asllvd/demos/verify_start_end_handshape_annotations//test_auto_move//signs_mov_separ_signers/Liz_15732.mov" TargetMode="External"/><Relationship Id="rId4759" Type="http://schemas.openxmlformats.org/officeDocument/2006/relationships/hyperlink" Target="http://csr.bu.edu/ftp/asl/asllvd/demos/verify_start_end_handshape_annotations//test_auto_move//signs_mov/16181.mov" TargetMode="External"/><Relationship Id="rId4760" Type="http://schemas.openxmlformats.org/officeDocument/2006/relationships/hyperlink" Target="http://csr.bu.edu/ftp/asl/asllvd/demos/verify_start_end_handshape_annotations//test_auto_move//signs_mov_separ_signers/Tyler_16181.mov" TargetMode="External"/><Relationship Id="rId4761" Type="http://schemas.openxmlformats.org/officeDocument/2006/relationships/hyperlink" Target="http://secrets.rutgers.edu:8080/data/asl-ftp/asllvd/demos/verify_start_end_handshape_annotations//test_auto_move//signs_mov/16181.mov" TargetMode="External"/><Relationship Id="rId4762" Type="http://schemas.openxmlformats.org/officeDocument/2006/relationships/hyperlink" Target="http://secrets.rutgers.edu:8080/data/asl-ftp/asllvd/demos/verify_start_end_handshape_annotations//test_auto_move//signs_mov_separ_signers/Tyler_16181.mov" TargetMode="External"/><Relationship Id="rId4763" Type="http://schemas.openxmlformats.org/officeDocument/2006/relationships/hyperlink" Target="http://csr.bu.edu/ftp/asl/asllvd/demos/verify_start_end_handshape_annotations//test_auto_move//signs_mov_separ_signers/Brady_16181.mov" TargetMode="External"/><Relationship Id="rId4764" Type="http://schemas.openxmlformats.org/officeDocument/2006/relationships/hyperlink" Target="http://secrets.rutgers.edu:8080/data/asl-ftp/asllvd/demos/verify_start_end_handshape_annotations//test_auto_move//signs_mov_separ_signers/Brady_16181.mov" TargetMode="External"/><Relationship Id="rId4765" Type="http://schemas.openxmlformats.org/officeDocument/2006/relationships/hyperlink" Target="http://csr.bu.edu/ftp/asl/asllvd/demos/verify_start_end_handshape_annotations//test_auto_move//signs_mov_separ_signers/Liz_505.mov" TargetMode="External"/><Relationship Id="rId4766" Type="http://schemas.openxmlformats.org/officeDocument/2006/relationships/hyperlink" Target="http://secrets.rutgers.edu:8080/data/asl-ftp/asllvd/demos/verify_start_end_handshape_annotations//test_auto_move//signs_mov_separ_signers/Liz_505.mov" TargetMode="External"/><Relationship Id="rId4767" Type="http://schemas.openxmlformats.org/officeDocument/2006/relationships/hyperlink" Target="http://csr.bu.edu/ftp/asl/asllvd/demos/verify_start_end_handshape_annotations//test_auto_move//signs_mov/505.mov" TargetMode="External"/><Relationship Id="rId4768" Type="http://schemas.openxmlformats.org/officeDocument/2006/relationships/hyperlink" Target="http://csr.bu.edu/ftp/asl/asllvd/demos/verify_start_end_handshape_annotations//test_auto_move//signs_mov_separ_signers/Naomi_505.mov" TargetMode="External"/><Relationship Id="rId4769" Type="http://schemas.openxmlformats.org/officeDocument/2006/relationships/hyperlink" Target="http://secrets.rutgers.edu:8080/data/asl-ftp/asllvd/demos/verify_start_end_handshape_annotations//test_auto_move//signs_mov/505.mov" TargetMode="External"/><Relationship Id="rId4770" Type="http://schemas.openxmlformats.org/officeDocument/2006/relationships/hyperlink" Target="http://secrets.rutgers.edu:8080/data/asl-ftp/asllvd/demos/verify_start_end_handshape_annotations//test_auto_move//signs_mov_separ_signers/Naomi_505.mov" TargetMode="External"/><Relationship Id="rId4771" Type="http://schemas.openxmlformats.org/officeDocument/2006/relationships/hyperlink" Target="http://csr.bu.edu/ftp/asl/asllvd/demos/verify_start_end_handshape_annotations//test_auto_move//signs_mov_separ_signers/Brady_505.mov" TargetMode="External"/><Relationship Id="rId4772" Type="http://schemas.openxmlformats.org/officeDocument/2006/relationships/hyperlink" Target="http://secrets.rutgers.edu:8080/data/asl-ftp/asllvd/demos/verify_start_end_handshape_annotations//test_auto_move//signs_mov_separ_signers/Brady_505.mov" TargetMode="External"/><Relationship Id="rId4773" Type="http://schemas.openxmlformats.org/officeDocument/2006/relationships/hyperlink" Target="http://csr.bu.edu/ftp/asl/asllvd/demos/verify_start_end_handshape_annotations//test_auto_move//signs_mov_separ_signers/Liz_506.mov" TargetMode="External"/><Relationship Id="rId4774" Type="http://schemas.openxmlformats.org/officeDocument/2006/relationships/hyperlink" Target="http://secrets.rutgers.edu:8080/data/asl-ftp/asllvd/demos/verify_start_end_handshape_annotations//test_auto_move//signs_mov_separ_signers/Liz_506.mov" TargetMode="External"/><Relationship Id="rId4775" Type="http://schemas.openxmlformats.org/officeDocument/2006/relationships/hyperlink" Target="http://csr.bu.edu/ftp/asl/asllvd/demos/verify_start_end_handshape_annotations//test_auto_move//signs_mov_separ_signers/Liz_3352.mov" TargetMode="External"/><Relationship Id="rId4776" Type="http://schemas.openxmlformats.org/officeDocument/2006/relationships/hyperlink" Target="http://secrets.rutgers.edu:8080/data/asl-ftp/asllvd/demos/verify_start_end_handshape_annotations//test_auto_move//signs_mov_separ_signers/Liz_3352.mov" TargetMode="External"/><Relationship Id="rId4777" Type="http://schemas.openxmlformats.org/officeDocument/2006/relationships/hyperlink" Target="http://csr.bu.edu/ftp/asl/asllvd/demos/verify_start_end_handshape_annotations//test_auto_move//signs_mov_separ_signers/Liz_5564.mov" TargetMode="External"/><Relationship Id="rId4778" Type="http://schemas.openxmlformats.org/officeDocument/2006/relationships/hyperlink" Target="http://secrets.rutgers.edu:8080/data/asl-ftp/asllvd/demos/verify_start_end_handshape_annotations//test_auto_move//signs_mov_separ_signers/Liz_5564.mov" TargetMode="External"/><Relationship Id="rId4779" Type="http://schemas.openxmlformats.org/officeDocument/2006/relationships/hyperlink" Target="http://csr.bu.edu/ftp/asl/asllvd/demos/verify_start_end_handshape_annotations//test_auto_move//signs_mov/506_3352_5564_merged.mov" TargetMode="External"/><Relationship Id="rId4780" Type="http://schemas.openxmlformats.org/officeDocument/2006/relationships/hyperlink" Target="http://csr.bu.edu/ftp/asl/asllvd/demos/verify_start_end_handshape_annotations//test_auto_move//signs_mov_separ_signers/Tyler_506.mov" TargetMode="External"/><Relationship Id="rId4781" Type="http://schemas.openxmlformats.org/officeDocument/2006/relationships/hyperlink" Target="http://secrets.rutgers.edu:8080/data/asl-ftp/asllvd/demos/verify_start_end_handshape_annotations//test_auto_move//signs_mov/506_3352_5564_merged.mov" TargetMode="External"/><Relationship Id="rId4782" Type="http://schemas.openxmlformats.org/officeDocument/2006/relationships/hyperlink" Target="http://secrets.rutgers.edu:8080/data/asl-ftp/asllvd/demos/verify_start_end_handshape_annotations//test_auto_move//signs_mov_separ_signers/Tyler_506.mov" TargetMode="External"/><Relationship Id="rId4783" Type="http://schemas.openxmlformats.org/officeDocument/2006/relationships/hyperlink" Target="http://csr.bu.edu/ftp/asl/asllvd/demos/verify_start_end_handshape_annotations//test_auto_move//signs_mov_separ_signers/Naomi_506.mov" TargetMode="External"/><Relationship Id="rId4784" Type="http://schemas.openxmlformats.org/officeDocument/2006/relationships/hyperlink" Target="http://secrets.rutgers.edu:8080/data/asl-ftp/asllvd/demos/verify_start_end_handshape_annotations//test_auto_move//signs_mov_separ_signers/Naomi_506.mov" TargetMode="External"/><Relationship Id="rId4785" Type="http://schemas.openxmlformats.org/officeDocument/2006/relationships/hyperlink" Target="http://csr.bu.edu/ftp/asl/asllvd/demos/verify_start_end_handshape_annotations//test_auto_move//signs_mov_separ_signers/Brady_506.mov" TargetMode="External"/><Relationship Id="rId4786" Type="http://schemas.openxmlformats.org/officeDocument/2006/relationships/hyperlink" Target="http://secrets.rutgers.edu:8080/data/asl-ftp/asllvd/demos/verify_start_end_handshape_annotations//test_auto_move//signs_mov_separ_signers/Brady_506.mov" TargetMode="External"/><Relationship Id="rId4787" Type="http://schemas.openxmlformats.org/officeDocument/2006/relationships/hyperlink" Target="http://csr.bu.edu/ftp/asl/asllvd/demos/verify_start_end_handshape_annotations//test_auto_move//signs_mov_separ_signers/Brady_3352.mov" TargetMode="External"/><Relationship Id="rId4788" Type="http://schemas.openxmlformats.org/officeDocument/2006/relationships/hyperlink" Target="http://secrets.rutgers.edu:8080/data/asl-ftp/asllvd/demos/verify_start_end_handshape_annotations//test_auto_move//signs_mov_separ_signers/Brady_3352.mov" TargetMode="External"/><Relationship Id="rId4789" Type="http://schemas.openxmlformats.org/officeDocument/2006/relationships/hyperlink" Target="http://csr.bu.edu/ftp/asl/asllvd/demos/verify_start_end_handshape_annotations//test_auto_move//signs_mov/15503.mov" TargetMode="External"/><Relationship Id="rId4790" Type="http://schemas.openxmlformats.org/officeDocument/2006/relationships/hyperlink" Target="http://csr.bu.edu/ftp/asl/asllvd/demos/verify_start_end_handshape_annotations//test_auto_move//signs_mov_separ_signers/Liz_15503.mov" TargetMode="External"/><Relationship Id="rId4791" Type="http://schemas.openxmlformats.org/officeDocument/2006/relationships/hyperlink" Target="http://secrets.rutgers.edu:8080/data/asl-ftp/asllvd/demos/verify_start_end_handshape_annotations//test_auto_move//signs_mov/15503.mov" TargetMode="External"/><Relationship Id="rId4792" Type="http://schemas.openxmlformats.org/officeDocument/2006/relationships/hyperlink" Target="http://secrets.rutgers.edu:8080/data/asl-ftp/asllvd/demos/verify_start_end_handshape_annotations//test_auto_move//signs_mov_separ_signers/Liz_15503.mov" TargetMode="External"/><Relationship Id="rId4793" Type="http://schemas.openxmlformats.org/officeDocument/2006/relationships/hyperlink" Target="http://csr.bu.edu/ftp/asl/asllvd/demos/verify_start_end_handshape_annotations//test_auto_move//signs_mov_separ_signers/Brady_15503.mov" TargetMode="External"/><Relationship Id="rId4794" Type="http://schemas.openxmlformats.org/officeDocument/2006/relationships/hyperlink" Target="http://secrets.rutgers.edu:8080/data/asl-ftp/asllvd/demos/verify_start_end_handshape_annotations//test_auto_move//signs_mov_separ_signers/Brady_15503.mov" TargetMode="External"/><Relationship Id="rId4795" Type="http://schemas.openxmlformats.org/officeDocument/2006/relationships/hyperlink" Target="http://csr.bu.edu/ftp/asl/asllvd/demos/verify_start_end_handshape_annotations//test_auto_move//signs_mov/15514.mov" TargetMode="External"/><Relationship Id="rId4796" Type="http://schemas.openxmlformats.org/officeDocument/2006/relationships/hyperlink" Target="http://csr.bu.edu/ftp/asl/asllvd/demos/verify_start_end_handshape_annotations//test_auto_move//signs_mov_separ_signers/Liz_15514.mov" TargetMode="External"/><Relationship Id="rId4797" Type="http://schemas.openxmlformats.org/officeDocument/2006/relationships/hyperlink" Target="http://secrets.rutgers.edu:8080/data/asl-ftp/asllvd/demos/verify_start_end_handshape_annotations//test_auto_move//signs_mov/15514.mov" TargetMode="External"/><Relationship Id="rId4798" Type="http://schemas.openxmlformats.org/officeDocument/2006/relationships/hyperlink" Target="http://secrets.rutgers.edu:8080/data/asl-ftp/asllvd/demos/verify_start_end_handshape_annotations//test_auto_move//signs_mov_separ_signers/Liz_15514.mov" TargetMode="External"/><Relationship Id="rId4799" Type="http://schemas.openxmlformats.org/officeDocument/2006/relationships/hyperlink" Target="http://csr.bu.edu/ftp/asl/asllvd/demos/verify_start_end_handshape_annotations//test_auto_move//signs_mov_separ_signers/Liz_507.mov" TargetMode="External"/><Relationship Id="rId4800" Type="http://schemas.openxmlformats.org/officeDocument/2006/relationships/hyperlink" Target="http://secrets.rutgers.edu:8080/data/asl-ftp/asllvd/demos/verify_start_end_handshape_annotations//test_auto_move//signs_mov_separ_signers/Liz_507.mov" TargetMode="External"/><Relationship Id="rId4801" Type="http://schemas.openxmlformats.org/officeDocument/2006/relationships/hyperlink" Target="http://csr.bu.edu/ftp/asl/asllvd/demos/verify_start_end_handshape_annotations//test_auto_move//signs_mov/507.mov" TargetMode="External"/><Relationship Id="rId4802" Type="http://schemas.openxmlformats.org/officeDocument/2006/relationships/hyperlink" Target="http://csr.bu.edu/ftp/asl/asllvd/demos/verify_start_end_handshape_annotations//test_auto_move//signs_mov_separ_signers/Tyler_507.mov" TargetMode="External"/><Relationship Id="rId4803" Type="http://schemas.openxmlformats.org/officeDocument/2006/relationships/hyperlink" Target="http://secrets.rutgers.edu:8080/data/asl-ftp/asllvd/demos/verify_start_end_handshape_annotations//test_auto_move//signs_mov/507.mov" TargetMode="External"/><Relationship Id="rId4804" Type="http://schemas.openxmlformats.org/officeDocument/2006/relationships/hyperlink" Target="http://secrets.rutgers.edu:8080/data/asl-ftp/asllvd/demos/verify_start_end_handshape_annotations//test_auto_move//signs_mov_separ_signers/Tyler_507.mov" TargetMode="External"/><Relationship Id="rId4805" Type="http://schemas.openxmlformats.org/officeDocument/2006/relationships/hyperlink" Target="http://csr.bu.edu/ftp/asl/asllvd/demos/verify_start_end_handshape_annotations//test_auto_move//signs_mov_separ_signers/Naomi_507.mov" TargetMode="External"/><Relationship Id="rId4806" Type="http://schemas.openxmlformats.org/officeDocument/2006/relationships/hyperlink" Target="http://secrets.rutgers.edu:8080/data/asl-ftp/asllvd/demos/verify_start_end_handshape_annotations//test_auto_move//signs_mov_separ_signers/Naomi_507.mov" TargetMode="External"/><Relationship Id="rId4807" Type="http://schemas.openxmlformats.org/officeDocument/2006/relationships/hyperlink" Target="http://csr.bu.edu/ftp/asl/asllvd/demos/verify_start_end_handshape_annotations//test_auto_move//signs_mov_separ_signers/Brady_507.mov" TargetMode="External"/><Relationship Id="rId4808" Type="http://schemas.openxmlformats.org/officeDocument/2006/relationships/hyperlink" Target="http://secrets.rutgers.edu:8080/data/asl-ftp/asllvd/demos/verify_start_end_handshape_annotations//test_auto_move//signs_mov_separ_signers/Brady_507.mov" TargetMode="External"/><Relationship Id="rId4809" Type="http://schemas.openxmlformats.org/officeDocument/2006/relationships/hyperlink" Target="http://csr.bu.edu/ftp/asl/asllvd/demos/verify_start_end_handshape_annotations//test_auto_move//signs_mov/513.mov" TargetMode="External"/><Relationship Id="rId4810" Type="http://schemas.openxmlformats.org/officeDocument/2006/relationships/hyperlink" Target="http://csr.bu.edu/ftp/asl/asllvd/demos/verify_start_end_handshape_annotations//test_auto_move//signs_mov_separ_signers/Naomi_513.mov" TargetMode="External"/><Relationship Id="rId4811" Type="http://schemas.openxmlformats.org/officeDocument/2006/relationships/hyperlink" Target="http://secrets.rutgers.edu:8080/data/asl-ftp/asllvd/demos/verify_start_end_handshape_annotations//test_auto_move//signs_mov/513.mov" TargetMode="External"/><Relationship Id="rId4812" Type="http://schemas.openxmlformats.org/officeDocument/2006/relationships/hyperlink" Target="http://secrets.rutgers.edu:8080/data/asl-ftp/asllvd/demos/verify_start_end_handshape_annotations//test_auto_move//signs_mov_separ_signers/Naomi_513.mov" TargetMode="External"/><Relationship Id="rId4813" Type="http://schemas.openxmlformats.org/officeDocument/2006/relationships/hyperlink" Target="http://csr.bu.edu/ftp/asl/asllvd/demos/verify_start_end_handshape_annotations//test_auto_move//signs_mov_separ_signers/Dana_513.mov" TargetMode="External"/><Relationship Id="rId4814" Type="http://schemas.openxmlformats.org/officeDocument/2006/relationships/hyperlink" Target="http://secrets.rutgers.edu:8080/data/asl-ftp/asllvd/demos/verify_start_end_handshape_annotations//test_auto_move//signs_mov_separ_signers/Dana_513.mov" TargetMode="External"/><Relationship Id="rId4815" Type="http://schemas.openxmlformats.org/officeDocument/2006/relationships/hyperlink" Target="http://csr.bu.edu/ftp/asl/asllvd/demos/verify_start_end_handshape_annotations//test_auto_move//signs_mov_separ_signers/Tyler_3867.mov" TargetMode="External"/><Relationship Id="rId4816" Type="http://schemas.openxmlformats.org/officeDocument/2006/relationships/hyperlink" Target="http://secrets.rutgers.edu:8080/data/asl-ftp/asllvd/demos/verify_start_end_handshape_annotations//test_auto_move//signs_mov_separ_signers/Tyler_3867.mov" TargetMode="External"/><Relationship Id="rId4817" Type="http://schemas.openxmlformats.org/officeDocument/2006/relationships/hyperlink" Target="http://csr.bu.edu/ftp/asl/asllvd/demos/verify_start_end_handshape_annotations//test_auto_move//signs_mov/3867.mov" TargetMode="External"/><Relationship Id="rId4818" Type="http://schemas.openxmlformats.org/officeDocument/2006/relationships/hyperlink" Target="http://csr.bu.edu/ftp/asl/asllvd/demos/verify_start_end_handshape_annotations//test_auto_move//signs_mov_separ_signers/Brady_3867.mov" TargetMode="External"/><Relationship Id="rId4819" Type="http://schemas.openxmlformats.org/officeDocument/2006/relationships/hyperlink" Target="http://secrets.rutgers.edu:8080/data/asl-ftp/asllvd/demos/verify_start_end_handshape_annotations//test_auto_move//signs_mov/3867.mov" TargetMode="External"/><Relationship Id="rId4820" Type="http://schemas.openxmlformats.org/officeDocument/2006/relationships/hyperlink" Target="http://secrets.rutgers.edu:8080/data/asl-ftp/asllvd/demos/verify_start_end_handshape_annotations//test_auto_move//signs_mov_separ_signers/Brady_3867.mov" TargetMode="External"/><Relationship Id="rId4821" Type="http://schemas.openxmlformats.org/officeDocument/2006/relationships/hyperlink" Target="http://csr.bu.edu/ftp/asl/asllvd/demos/verify_start_end_handshape_annotations//test_auto_move//signs_mov_separ_signers/Lana_3867.mov" TargetMode="External"/><Relationship Id="rId4822" Type="http://schemas.openxmlformats.org/officeDocument/2006/relationships/hyperlink" Target="http://secrets.rutgers.edu:8080/data/asl-ftp/asllvd/demos/verify_start_end_handshape_annotations//test_auto_move//signs_mov_separ_signers/Lana_3867.mov" TargetMode="External"/><Relationship Id="rId4823" Type="http://schemas.openxmlformats.org/officeDocument/2006/relationships/hyperlink" Target="http://csr.bu.edu/ftp/asl/asllvd/demos/verify_start_end_handshape_annotations//test_auto_move//signs_mov/5144.mov" TargetMode="External"/><Relationship Id="rId4824" Type="http://schemas.openxmlformats.org/officeDocument/2006/relationships/hyperlink" Target="http://csr.bu.edu/ftp/asl/asllvd/demos/verify_start_end_handshape_annotations//test_auto_move//signs_mov_separ_signers/Liz_5144.mov" TargetMode="External"/><Relationship Id="rId4825" Type="http://schemas.openxmlformats.org/officeDocument/2006/relationships/hyperlink" Target="http://secrets.rutgers.edu:8080/data/asl-ftp/asllvd/demos/verify_start_end_handshape_annotations//test_auto_move//signs_mov/5144.mov" TargetMode="External"/><Relationship Id="rId4826" Type="http://schemas.openxmlformats.org/officeDocument/2006/relationships/hyperlink" Target="http://secrets.rutgers.edu:8080/data/asl-ftp/asllvd/demos/verify_start_end_handshape_annotations//test_auto_move//signs_mov_separ_signers/Liz_5144.mov" TargetMode="External"/><Relationship Id="rId4827" Type="http://schemas.openxmlformats.org/officeDocument/2006/relationships/hyperlink" Target="http://csr.bu.edu/ftp/asl/asllvd/demos/verify_start_end_handshape_annotations//test_auto_move//signs_mov/5145.mov" TargetMode="External"/><Relationship Id="rId4828" Type="http://schemas.openxmlformats.org/officeDocument/2006/relationships/hyperlink" Target="http://csr.bu.edu/ftp/asl/asllvd/demos/verify_start_end_handshape_annotations//test_auto_move//signs_mov_separ_signers/Liz_5145.mov" TargetMode="External"/><Relationship Id="rId4829" Type="http://schemas.openxmlformats.org/officeDocument/2006/relationships/hyperlink" Target="http://secrets.rutgers.edu:8080/data/asl-ftp/asllvd/demos/verify_start_end_handshape_annotations//test_auto_move//signs_mov/5145.mov" TargetMode="External"/><Relationship Id="rId4830" Type="http://schemas.openxmlformats.org/officeDocument/2006/relationships/hyperlink" Target="http://secrets.rutgers.edu:8080/data/asl-ftp/asllvd/demos/verify_start_end_handshape_annotations//test_auto_move//signs_mov_separ_signers/Liz_5145.mov" TargetMode="External"/><Relationship Id="rId4831" Type="http://schemas.openxmlformats.org/officeDocument/2006/relationships/hyperlink" Target="http://csr.bu.edu/ftp/asl/asllvd/demos/verify_start_end_handshape_annotations//test_auto_move//signs_mov_separ_signers/Liz_515.mov" TargetMode="External"/><Relationship Id="rId4832" Type="http://schemas.openxmlformats.org/officeDocument/2006/relationships/hyperlink" Target="http://secrets.rutgers.edu:8080/data/asl-ftp/asllvd/demos/verify_start_end_handshape_annotations//test_auto_move//signs_mov_separ_signers/Liz_515.mov" TargetMode="External"/><Relationship Id="rId4833" Type="http://schemas.openxmlformats.org/officeDocument/2006/relationships/hyperlink" Target="http://csr.bu.edu/ftp/asl/asllvd/demos/verify_start_end_handshape_annotations//test_auto_move//signs_mov_separ_signers/Tyler_515.mov" TargetMode="External"/><Relationship Id="rId4834" Type="http://schemas.openxmlformats.org/officeDocument/2006/relationships/hyperlink" Target="http://secrets.rutgers.edu:8080/data/asl-ftp/asllvd/demos/verify_start_end_handshape_annotations//test_auto_move//signs_mov_separ_signers/Tyler_515.mov" TargetMode="External"/><Relationship Id="rId4835" Type="http://schemas.openxmlformats.org/officeDocument/2006/relationships/hyperlink" Target="http://csr.bu.edu/ftp/asl/asllvd/demos/verify_start_end_handshape_annotations//test_auto_move//signs_mov/515_3496_merged.mov" TargetMode="External"/><Relationship Id="rId4836" Type="http://schemas.openxmlformats.org/officeDocument/2006/relationships/hyperlink" Target="http://csr.bu.edu/ftp/asl/asllvd/demos/verify_start_end_handshape_annotations//test_auto_move//signs_mov_separ_signers/Tyler_3496.mov" TargetMode="External"/><Relationship Id="rId4837" Type="http://schemas.openxmlformats.org/officeDocument/2006/relationships/hyperlink" Target="http://secrets.rutgers.edu:8080/data/asl-ftp/asllvd/demos/verify_start_end_handshape_annotations//test_auto_move//signs_mov/515_3496_merged.mov" TargetMode="External"/><Relationship Id="rId4838" Type="http://schemas.openxmlformats.org/officeDocument/2006/relationships/hyperlink" Target="http://secrets.rutgers.edu:8080/data/asl-ftp/asllvd/demos/verify_start_end_handshape_annotations//test_auto_move//signs_mov_separ_signers/Tyler_3496.mov" TargetMode="External"/><Relationship Id="rId4839" Type="http://schemas.openxmlformats.org/officeDocument/2006/relationships/hyperlink" Target="http://csr.bu.edu/ftp/asl/asllvd/demos/verify_start_end_handshape_annotations//test_auto_move//signs_mov_separ_signers/Naomi_515.mov" TargetMode="External"/><Relationship Id="rId4840" Type="http://schemas.openxmlformats.org/officeDocument/2006/relationships/hyperlink" Target="http://secrets.rutgers.edu:8080/data/asl-ftp/asllvd/demos/verify_start_end_handshape_annotations//test_auto_move//signs_mov_separ_signers/Naomi_515.mov" TargetMode="External"/><Relationship Id="rId4841" Type="http://schemas.openxmlformats.org/officeDocument/2006/relationships/hyperlink" Target="http://csr.bu.edu/ftp/asl/asllvd/demos/verify_start_end_handshape_annotations//test_auto_move//signs_mov_separ_signers/Brady_515.mov" TargetMode="External"/><Relationship Id="rId4842" Type="http://schemas.openxmlformats.org/officeDocument/2006/relationships/hyperlink" Target="http://secrets.rutgers.edu:8080/data/asl-ftp/asllvd/demos/verify_start_end_handshape_annotations//test_auto_move//signs_mov_separ_signers/Brady_515.mov" TargetMode="External"/><Relationship Id="rId4843" Type="http://schemas.openxmlformats.org/officeDocument/2006/relationships/hyperlink" Target="http://csr.bu.edu/ftp/asl/asllvd/demos/verify_start_end_handshape_annotations//test_auto_move//signs_mov_separ_signers/Liz_516.mov" TargetMode="External"/><Relationship Id="rId4844" Type="http://schemas.openxmlformats.org/officeDocument/2006/relationships/hyperlink" Target="http://secrets.rutgers.edu:8080/data/asl-ftp/asllvd/demos/verify_start_end_handshape_annotations//test_auto_move//signs_mov_separ_signers/Liz_516.mov" TargetMode="External"/><Relationship Id="rId4845" Type="http://schemas.openxmlformats.org/officeDocument/2006/relationships/hyperlink" Target="http://csr.bu.edu/ftp/asl/asllvd/demos/verify_start_end_handshape_annotations//test_auto_move//signs_mov_separ_signers/Liz_3519.mov" TargetMode="External"/><Relationship Id="rId4846" Type="http://schemas.openxmlformats.org/officeDocument/2006/relationships/hyperlink" Target="http://secrets.rutgers.edu:8080/data/asl-ftp/asllvd/demos/verify_start_end_handshape_annotations//test_auto_move//signs_mov_separ_signers/Liz_3519.mov" TargetMode="External"/><Relationship Id="rId4847" Type="http://schemas.openxmlformats.org/officeDocument/2006/relationships/hyperlink" Target="http://csr.bu.edu/ftp/asl/asllvd/demos/verify_start_end_handshape_annotations//test_auto_move//signs_mov_separ_signers/Liz_5147.mov" TargetMode="External"/><Relationship Id="rId4848" Type="http://schemas.openxmlformats.org/officeDocument/2006/relationships/hyperlink" Target="http://secrets.rutgers.edu:8080/data/asl-ftp/asllvd/demos/verify_start_end_handshape_annotations//test_auto_move//signs_mov_separ_signers/Liz_5147.mov" TargetMode="External"/><Relationship Id="rId4849" Type="http://schemas.openxmlformats.org/officeDocument/2006/relationships/hyperlink" Target="http://csr.bu.edu/ftp/asl/asllvd/demos/verify_start_end_handshape_annotations//test_auto_move//signs_mov/516_3519_5147_5647_merged.mov" TargetMode="External"/><Relationship Id="rId4850" Type="http://schemas.openxmlformats.org/officeDocument/2006/relationships/hyperlink" Target="http://csr.bu.edu/ftp/asl/asllvd/demos/verify_start_end_handshape_annotations//test_auto_move//signs_mov_separ_signers/Liz_5647.mov" TargetMode="External"/><Relationship Id="rId4851" Type="http://schemas.openxmlformats.org/officeDocument/2006/relationships/hyperlink" Target="http://secrets.rutgers.edu:8080/data/asl-ftp/asllvd/demos/verify_start_end_handshape_annotations//test_auto_move//signs_mov/516_3519_5147_5647_merged.mov" TargetMode="External"/><Relationship Id="rId4852" Type="http://schemas.openxmlformats.org/officeDocument/2006/relationships/hyperlink" Target="http://secrets.rutgers.edu:8080/data/asl-ftp/asllvd/demos/verify_start_end_handshape_annotations//test_auto_move//signs_mov_separ_signers/Liz_5647.mov" TargetMode="External"/><Relationship Id="rId4853" Type="http://schemas.openxmlformats.org/officeDocument/2006/relationships/hyperlink" Target="http://csr.bu.edu/ftp/asl/asllvd/demos/verify_start_end_handshape_annotations//test_auto_move//signs_mov_separ_signers/Brady_516.mov" TargetMode="External"/><Relationship Id="rId4854" Type="http://schemas.openxmlformats.org/officeDocument/2006/relationships/hyperlink" Target="http://secrets.rutgers.edu:8080/data/asl-ftp/asllvd/demos/verify_start_end_handshape_annotations//test_auto_move//signs_mov_separ_signers/Brady_516.mov" TargetMode="External"/><Relationship Id="rId4855" Type="http://schemas.openxmlformats.org/officeDocument/2006/relationships/hyperlink" Target="http://csr.bu.edu/ftp/asl/asllvd/demos/verify_start_end_handshape_annotations//test_auto_move//signs_mov_separ_signers/Brady_3519.mov" TargetMode="External"/><Relationship Id="rId4856" Type="http://schemas.openxmlformats.org/officeDocument/2006/relationships/hyperlink" Target="http://secrets.rutgers.edu:8080/data/asl-ftp/asllvd/demos/verify_start_end_handshape_annotations//test_auto_move//signs_mov_separ_signers/Brady_3519.mov" TargetMode="External"/><Relationship Id="rId4857" Type="http://schemas.openxmlformats.org/officeDocument/2006/relationships/hyperlink" Target="http://csr.bu.edu/ftp/asl/asllvd/demos/verify_start_end_handshape_annotations//test_auto_move//signs_mov_separ_signers/Brady_5147.mov" TargetMode="External"/><Relationship Id="rId4858" Type="http://schemas.openxmlformats.org/officeDocument/2006/relationships/hyperlink" Target="http://secrets.rutgers.edu:8080/data/asl-ftp/asllvd/demos/verify_start_end_handshape_annotations//test_auto_move//signs_mov_separ_signers/Brady_5147.mov" TargetMode="External"/><Relationship Id="rId4859" Type="http://schemas.openxmlformats.org/officeDocument/2006/relationships/hyperlink" Target="http://csr.bu.edu/ftp/asl/asllvd/demos/verify_start_end_handshape_annotations//test_auto_move//signs_mov_separ_signers/Brady_5647.mov" TargetMode="External"/><Relationship Id="rId4860" Type="http://schemas.openxmlformats.org/officeDocument/2006/relationships/hyperlink" Target="http://secrets.rutgers.edu:8080/data/asl-ftp/asllvd/demos/verify_start_end_handshape_annotations//test_auto_move//signs_mov_separ_signers/Brady_5647.mov" TargetMode="External"/><Relationship Id="rId4861" Type="http://schemas.openxmlformats.org/officeDocument/2006/relationships/hyperlink" Target="http://csr.bu.edu/ftp/asl/asllvd/demos/verify_start_end_handshape_annotations//test_auto_move//signs_mov/5664_16000_merged.mov" TargetMode="External"/><Relationship Id="rId4862" Type="http://schemas.openxmlformats.org/officeDocument/2006/relationships/hyperlink" Target="http://csr.bu.edu/ftp/asl/asllvd/demos/verify_start_end_handshape_annotations//test_auto_move//signs_mov_separ_signers/Naomi_5664.mov" TargetMode="External"/><Relationship Id="rId4863" Type="http://schemas.openxmlformats.org/officeDocument/2006/relationships/hyperlink" Target="http://secrets.rutgers.edu:8080/data/asl-ftp/asllvd/demos/verify_start_end_handshape_annotations//test_auto_move//signs_mov/5664_16000_merged.mov" TargetMode="External"/><Relationship Id="rId4864" Type="http://schemas.openxmlformats.org/officeDocument/2006/relationships/hyperlink" Target="http://secrets.rutgers.edu:8080/data/asl-ftp/asllvd/demos/verify_start_end_handshape_annotations//test_auto_move//signs_mov_separ_signers/Naomi_5664.mov" TargetMode="External"/><Relationship Id="rId4865" Type="http://schemas.openxmlformats.org/officeDocument/2006/relationships/hyperlink" Target="http://csr.bu.edu/ftp/asl/asllvd/demos/verify_start_end_handshape_annotations//test_auto_move//signs_mov_separ_signers/Naomi_16000.mov" TargetMode="External"/><Relationship Id="rId4866" Type="http://schemas.openxmlformats.org/officeDocument/2006/relationships/hyperlink" Target="http://secrets.rutgers.edu:8080/data/asl-ftp/asllvd/demos/verify_start_end_handshape_annotations//test_auto_move//signs_mov_separ_signers/Naomi_16000.mov" TargetMode="External"/><Relationship Id="rId4867" Type="http://schemas.openxmlformats.org/officeDocument/2006/relationships/hyperlink" Target="http://csr.bu.edu/ftp/asl/asllvd/demos/verify_start_end_handshape_annotations//test_auto_move//signs_mov/16141.mov" TargetMode="External"/><Relationship Id="rId4868" Type="http://schemas.openxmlformats.org/officeDocument/2006/relationships/hyperlink" Target="http://csr.bu.edu/ftp/asl/asllvd/demos/verify_start_end_handshape_annotations//test_auto_move//signs_mov_separ_signers/Liz_16141.mov" TargetMode="External"/><Relationship Id="rId4869" Type="http://schemas.openxmlformats.org/officeDocument/2006/relationships/hyperlink" Target="http://secrets.rutgers.edu:8080/data/asl-ftp/asllvd/demos/verify_start_end_handshape_annotations//test_auto_move//signs_mov/16141.mov" TargetMode="External"/><Relationship Id="rId4870" Type="http://schemas.openxmlformats.org/officeDocument/2006/relationships/hyperlink" Target="http://secrets.rutgers.edu:8080/data/asl-ftp/asllvd/demos/verify_start_end_handshape_annotations//test_auto_move//signs_mov_separ_signers/Liz_16141.mov" TargetMode="External"/><Relationship Id="rId4871" Type="http://schemas.openxmlformats.org/officeDocument/2006/relationships/hyperlink" Target="http://csr.bu.edu/ftp/asl/asllvd/demos/verify_start_end_handshape_annotations//test_auto_move//signs_mov_separ_signers/Brady_16141.mov" TargetMode="External"/><Relationship Id="rId4872" Type="http://schemas.openxmlformats.org/officeDocument/2006/relationships/hyperlink" Target="http://secrets.rutgers.edu:8080/data/asl-ftp/asllvd/demos/verify_start_end_handshape_annotations//test_auto_move//signs_mov_separ_signers/Brady_16141.mov" TargetMode="External"/><Relationship Id="rId4873" Type="http://schemas.openxmlformats.org/officeDocument/2006/relationships/hyperlink" Target="http://csr.bu.edu/ftp/asl/asllvd/demos/verify_start_end_handshape_annotations//test_auto_move//signs_mov/16142.mov" TargetMode="External"/><Relationship Id="rId4874" Type="http://schemas.openxmlformats.org/officeDocument/2006/relationships/hyperlink" Target="http://csr.bu.edu/ftp/asl/asllvd/demos/verify_start_end_handshape_annotations//test_auto_move//signs_mov_separ_signers/Liz_16142.mov" TargetMode="External"/><Relationship Id="rId4875" Type="http://schemas.openxmlformats.org/officeDocument/2006/relationships/hyperlink" Target="http://secrets.rutgers.edu:8080/data/asl-ftp/asllvd/demos/verify_start_end_handshape_annotations//test_auto_move//signs_mov/16142.mov" TargetMode="External"/><Relationship Id="rId4876" Type="http://schemas.openxmlformats.org/officeDocument/2006/relationships/hyperlink" Target="http://secrets.rutgers.edu:8080/data/asl-ftp/asllvd/demos/verify_start_end_handshape_annotations//test_auto_move//signs_mov_separ_signers/Liz_16142.mov" TargetMode="External"/><Relationship Id="rId4877" Type="http://schemas.openxmlformats.org/officeDocument/2006/relationships/hyperlink" Target="http://csr.bu.edu/ftp/asl/asllvd/demos/verify_start_end_handshape_annotations//test_auto_move//signs_mov_separ_signers/Naomi_16142.mov" TargetMode="External"/><Relationship Id="rId4878" Type="http://schemas.openxmlformats.org/officeDocument/2006/relationships/hyperlink" Target="http://secrets.rutgers.edu:8080/data/asl-ftp/asllvd/demos/verify_start_end_handshape_annotations//test_auto_move//signs_mov_separ_signers/Naomi_16142.mov" TargetMode="External"/><Relationship Id="rId4879" Type="http://schemas.openxmlformats.org/officeDocument/2006/relationships/hyperlink" Target="http://csr.bu.edu/ftp/asl/asllvd/demos/verify_start_end_handshape_annotations//test_auto_move//signs_mov/16143.mov" TargetMode="External"/><Relationship Id="rId4880" Type="http://schemas.openxmlformats.org/officeDocument/2006/relationships/hyperlink" Target="http://csr.bu.edu/ftp/asl/asllvd/demos/verify_start_end_handshape_annotations//test_auto_move//signs_mov_separ_signers/Brady_16143.mov" TargetMode="External"/><Relationship Id="rId4881" Type="http://schemas.openxmlformats.org/officeDocument/2006/relationships/hyperlink" Target="http://secrets.rutgers.edu:8080/data/asl-ftp/asllvd/demos/verify_start_end_handshape_annotations//test_auto_move//signs_mov/16143.mov" TargetMode="External"/><Relationship Id="rId4882" Type="http://schemas.openxmlformats.org/officeDocument/2006/relationships/hyperlink" Target="http://secrets.rutgers.edu:8080/data/asl-ftp/asllvd/demos/verify_start_end_handshape_annotations//test_auto_move//signs_mov_separ_signers/Brady_16143.mov" TargetMode="External"/><Relationship Id="rId4883" Type="http://schemas.openxmlformats.org/officeDocument/2006/relationships/hyperlink" Target="http://csr.bu.edu/ftp/asl/asllvd/demos/verify_start_end_handshape_annotations//test_auto_move//signs_mov/16144.mov" TargetMode="External"/><Relationship Id="rId4884" Type="http://schemas.openxmlformats.org/officeDocument/2006/relationships/hyperlink" Target="http://csr.bu.edu/ftp/asl/asllvd/demos/verify_start_end_handshape_annotations//test_auto_move//signs_mov_separ_signers/Tyler_16144.mov" TargetMode="External"/><Relationship Id="rId4885" Type="http://schemas.openxmlformats.org/officeDocument/2006/relationships/hyperlink" Target="http://secrets.rutgers.edu:8080/data/asl-ftp/asllvd/demos/verify_start_end_handshape_annotations//test_auto_move//signs_mov/16144.mov" TargetMode="External"/><Relationship Id="rId4886" Type="http://schemas.openxmlformats.org/officeDocument/2006/relationships/hyperlink" Target="http://secrets.rutgers.edu:8080/data/asl-ftp/asllvd/demos/verify_start_end_handshape_annotations//test_auto_move//signs_mov_separ_signers/Tyler_16144.mov" TargetMode="External"/><Relationship Id="rId4887" Type="http://schemas.openxmlformats.org/officeDocument/2006/relationships/hyperlink" Target="http://csr.bu.edu/ftp/asl/asllvd/demos/verify_start_end_handshape_annotations//test_auto_move//signs_mov/16498.mov" TargetMode="External"/><Relationship Id="rId4888" Type="http://schemas.openxmlformats.org/officeDocument/2006/relationships/hyperlink" Target="http://csr.bu.edu/ftp/asl/asllvd/demos/verify_start_end_handshape_annotations//test_auto_move//signs_mov_separ_signers/Tyler_16498.mov" TargetMode="External"/><Relationship Id="rId4889" Type="http://schemas.openxmlformats.org/officeDocument/2006/relationships/hyperlink" Target="http://secrets.rutgers.edu:8080/data/asl-ftp/asllvd/demos/verify_start_end_handshape_annotations//test_auto_move//signs_mov/16498.mov" TargetMode="External"/><Relationship Id="rId4890" Type="http://schemas.openxmlformats.org/officeDocument/2006/relationships/hyperlink" Target="http://secrets.rutgers.edu:8080/data/asl-ftp/asllvd/demos/verify_start_end_handshape_annotations//test_auto_move//signs_mov_separ_signers/Tyler_16498.mov" TargetMode="External"/><Relationship Id="rId4891" Type="http://schemas.openxmlformats.org/officeDocument/2006/relationships/hyperlink" Target="http://csr.bu.edu/ftp/asl/asllvd/demos/verify_start_end_handshape_annotations//test_auto_move//signs_mov/16499.mov" TargetMode="External"/><Relationship Id="rId4892" Type="http://schemas.openxmlformats.org/officeDocument/2006/relationships/hyperlink" Target="http://csr.bu.edu/ftp/asl/asllvd/demos/verify_start_end_handshape_annotations//test_auto_move//signs_mov_separ_signers/Tyler_16499.mov" TargetMode="External"/><Relationship Id="rId4893" Type="http://schemas.openxmlformats.org/officeDocument/2006/relationships/hyperlink" Target="http://secrets.rutgers.edu:8080/data/asl-ftp/asllvd/demos/verify_start_end_handshape_annotations//test_auto_move//signs_mov/16499.mov" TargetMode="External"/><Relationship Id="rId4894" Type="http://schemas.openxmlformats.org/officeDocument/2006/relationships/hyperlink" Target="http://secrets.rutgers.edu:8080/data/asl-ftp/asllvd/demos/verify_start_end_handshape_annotations//test_auto_move//signs_mov_separ_signers/Tyler_16499.mov" TargetMode="External"/><Relationship Id="rId4895" Type="http://schemas.openxmlformats.org/officeDocument/2006/relationships/hyperlink" Target="http://csr.bu.edu/ftp/asl/asllvd/demos/verify_start_end_handshape_annotations//test_auto_move//signs_mov_separ_signers/Liz_517.mov" TargetMode="External"/><Relationship Id="rId4896" Type="http://schemas.openxmlformats.org/officeDocument/2006/relationships/hyperlink" Target="http://secrets.rutgers.edu:8080/data/asl-ftp/asllvd/demos/verify_start_end_handshape_annotations//test_auto_move//signs_mov_separ_signers/Liz_517.mov" TargetMode="External"/><Relationship Id="rId4897" Type="http://schemas.openxmlformats.org/officeDocument/2006/relationships/hyperlink" Target="http://csr.bu.edu/ftp/asl/asllvd/demos/verify_start_end_handshape_annotations//test_auto_move//signs_mov/517.mov" TargetMode="External"/><Relationship Id="rId4898" Type="http://schemas.openxmlformats.org/officeDocument/2006/relationships/hyperlink" Target="http://csr.bu.edu/ftp/asl/asllvd/demos/verify_start_end_handshape_annotations//test_auto_move//signs_mov_separ_signers/Naomi_517.mov" TargetMode="External"/><Relationship Id="rId4899" Type="http://schemas.openxmlformats.org/officeDocument/2006/relationships/hyperlink" Target="http://secrets.rutgers.edu:8080/data/asl-ftp/asllvd/demos/verify_start_end_handshape_annotations//test_auto_move//signs_mov/517.mov" TargetMode="External"/><Relationship Id="rId4900" Type="http://schemas.openxmlformats.org/officeDocument/2006/relationships/hyperlink" Target="http://secrets.rutgers.edu:8080/data/asl-ftp/asllvd/demos/verify_start_end_handshape_annotations//test_auto_move//signs_mov_separ_signers/Naomi_517.mov" TargetMode="External"/><Relationship Id="rId4901" Type="http://schemas.openxmlformats.org/officeDocument/2006/relationships/hyperlink" Target="http://csr.bu.edu/ftp/asl/asllvd/demos/verify_start_end_handshape_annotations//test_auto_move//signs_mov_separ_signers/Brady_517.mov" TargetMode="External"/><Relationship Id="rId4902" Type="http://schemas.openxmlformats.org/officeDocument/2006/relationships/hyperlink" Target="http://secrets.rutgers.edu:8080/data/asl-ftp/asllvd/demos/verify_start_end_handshape_annotations//test_auto_move//signs_mov_separ_signers/Brady_517.mov" TargetMode="External"/><Relationship Id="rId4903" Type="http://schemas.openxmlformats.org/officeDocument/2006/relationships/hyperlink" Target="http://csr.bu.edu/ftp/asl/asllvd/demos/verify_start_end_handshape_annotations//test_auto_move//signs_mov/518.mov" TargetMode="External"/><Relationship Id="rId4904" Type="http://schemas.openxmlformats.org/officeDocument/2006/relationships/hyperlink" Target="http://csr.bu.edu/ftp/asl/asllvd/demos/verify_start_end_handshape_annotations//test_auto_move//signs_mov_separ_signers/Liz_518.mov" TargetMode="External"/><Relationship Id="rId4905" Type="http://schemas.openxmlformats.org/officeDocument/2006/relationships/hyperlink" Target="http://secrets.rutgers.edu:8080/data/asl-ftp/asllvd/demos/verify_start_end_handshape_annotations//test_auto_move//signs_mov/518.mov" TargetMode="External"/><Relationship Id="rId4906" Type="http://schemas.openxmlformats.org/officeDocument/2006/relationships/hyperlink" Target="http://secrets.rutgers.edu:8080/data/asl-ftp/asllvd/demos/verify_start_end_handshape_annotations//test_auto_move//signs_mov_separ_signers/Liz_518.mov" TargetMode="External"/><Relationship Id="rId4907" Type="http://schemas.openxmlformats.org/officeDocument/2006/relationships/hyperlink" Target="http://csr.bu.edu/ftp/asl/asllvd/demos/verify_start_end_handshape_annotations//test_auto_move//signs_mov_separ_signers/Naomi_518.mov" TargetMode="External"/><Relationship Id="rId4908" Type="http://schemas.openxmlformats.org/officeDocument/2006/relationships/hyperlink" Target="http://secrets.rutgers.edu:8080/data/asl-ftp/asllvd/demos/verify_start_end_handshape_annotations//test_auto_move//signs_mov_separ_signers/Naomi_518.mov" TargetMode="External"/><Relationship Id="rId4909" Type="http://schemas.openxmlformats.org/officeDocument/2006/relationships/hyperlink" Target="http://csr.bu.edu/ftp/asl/asllvd/demos/verify_start_end_handshape_annotations//test_auto_move//signs_mov_separ_signers/Liz_521.mov" TargetMode="External"/><Relationship Id="rId4910" Type="http://schemas.openxmlformats.org/officeDocument/2006/relationships/hyperlink" Target="http://secrets.rutgers.edu:8080/data/asl-ftp/asllvd/demos/verify_start_end_handshape_annotations//test_auto_move//signs_mov_separ_signers/Liz_521.mov" TargetMode="External"/><Relationship Id="rId4911" Type="http://schemas.openxmlformats.org/officeDocument/2006/relationships/hyperlink" Target="http://csr.bu.edu/ftp/asl/asllvd/demos/verify_start_end_handshape_annotations//test_auto_move//signs_mov/521.mov" TargetMode="External"/><Relationship Id="rId4912" Type="http://schemas.openxmlformats.org/officeDocument/2006/relationships/hyperlink" Target="http://csr.bu.edu/ftp/asl/asllvd/demos/verify_start_end_handshape_annotations//test_auto_move//signs_mov_separ_signers/Tyler_521.mov" TargetMode="External"/><Relationship Id="rId4913" Type="http://schemas.openxmlformats.org/officeDocument/2006/relationships/hyperlink" Target="http://secrets.rutgers.edu:8080/data/asl-ftp/asllvd/demos/verify_start_end_handshape_annotations//test_auto_move//signs_mov/521.mov" TargetMode="External"/><Relationship Id="rId4914" Type="http://schemas.openxmlformats.org/officeDocument/2006/relationships/hyperlink" Target="http://secrets.rutgers.edu:8080/data/asl-ftp/asllvd/demos/verify_start_end_handshape_annotations//test_auto_move//signs_mov_separ_signers/Tyler_521.mov" TargetMode="External"/><Relationship Id="rId4915" Type="http://schemas.openxmlformats.org/officeDocument/2006/relationships/hyperlink" Target="http://csr.bu.edu/ftp/asl/asllvd/demos/verify_start_end_handshape_annotations//test_auto_move//signs_mov_separ_signers/Brady_521.mov" TargetMode="External"/><Relationship Id="rId4916" Type="http://schemas.openxmlformats.org/officeDocument/2006/relationships/hyperlink" Target="http://secrets.rutgers.edu:8080/data/asl-ftp/asllvd/demos/verify_start_end_handshape_annotations//test_auto_move//signs_mov_separ_signers/Brady_521.mov" TargetMode="External"/><Relationship Id="rId4917" Type="http://schemas.openxmlformats.org/officeDocument/2006/relationships/hyperlink" Target="http://csr.bu.edu/ftp/asl/asllvd/demos/verify_start_end_handshape_annotations//test_auto_move//signs_mov/5148.mov" TargetMode="External"/><Relationship Id="rId4918" Type="http://schemas.openxmlformats.org/officeDocument/2006/relationships/hyperlink" Target="http://csr.bu.edu/ftp/asl/asllvd/demos/verify_start_end_handshape_annotations//test_auto_move//signs_mov_separ_signers/Naomi_5148.mov" TargetMode="External"/><Relationship Id="rId4919" Type="http://schemas.openxmlformats.org/officeDocument/2006/relationships/hyperlink" Target="http://secrets.rutgers.edu:8080/data/asl-ftp/asllvd/demos/verify_start_end_handshape_annotations//test_auto_move//signs_mov/5148.mov" TargetMode="External"/><Relationship Id="rId4920" Type="http://schemas.openxmlformats.org/officeDocument/2006/relationships/hyperlink" Target="http://secrets.rutgers.edu:8080/data/asl-ftp/asllvd/demos/verify_start_end_handshape_annotations//test_auto_move//signs_mov_separ_signers/Naomi_5148.mov" TargetMode="External"/><Relationship Id="rId4921" Type="http://schemas.openxmlformats.org/officeDocument/2006/relationships/hyperlink" Target="http://csr.bu.edu/ftp/asl/asllvd/demos/verify_start_end_handshape_annotations//test_auto_move//signs_mov_separ_signers/Liz_524.mov" TargetMode="External"/><Relationship Id="rId4922" Type="http://schemas.openxmlformats.org/officeDocument/2006/relationships/hyperlink" Target="http://secrets.rutgers.edu:8080/data/asl-ftp/asllvd/demos/verify_start_end_handshape_annotations//test_auto_move//signs_mov_separ_signers/Liz_524.mov" TargetMode="External"/><Relationship Id="rId4923" Type="http://schemas.openxmlformats.org/officeDocument/2006/relationships/hyperlink" Target="http://csr.bu.edu/ftp/asl/asllvd/demos/verify_start_end_handshape_annotations//test_auto_move//signs_mov/524.mov" TargetMode="External"/><Relationship Id="rId4924" Type="http://schemas.openxmlformats.org/officeDocument/2006/relationships/hyperlink" Target="http://csr.bu.edu/ftp/asl/asllvd/demos/verify_start_end_handshape_annotations//test_auto_move//signs_mov_separ_signers/Tyler_524.mov" TargetMode="External"/><Relationship Id="rId4925" Type="http://schemas.openxmlformats.org/officeDocument/2006/relationships/hyperlink" Target="http://secrets.rutgers.edu:8080/data/asl-ftp/asllvd/demos/verify_start_end_handshape_annotations//test_auto_move//signs_mov/524.mov" TargetMode="External"/><Relationship Id="rId4926" Type="http://schemas.openxmlformats.org/officeDocument/2006/relationships/hyperlink" Target="http://secrets.rutgers.edu:8080/data/asl-ftp/asllvd/demos/verify_start_end_handshape_annotations//test_auto_move//signs_mov_separ_signers/Tyler_524.mov" TargetMode="External"/><Relationship Id="rId4927" Type="http://schemas.openxmlformats.org/officeDocument/2006/relationships/hyperlink" Target="http://csr.bu.edu/ftp/asl/asllvd/demos/verify_start_end_handshape_annotations//test_auto_move//signs_mov_separ_signers/Naomi_524.mov" TargetMode="External"/><Relationship Id="rId4928" Type="http://schemas.openxmlformats.org/officeDocument/2006/relationships/hyperlink" Target="http://secrets.rutgers.edu:8080/data/asl-ftp/asllvd/demos/verify_start_end_handshape_annotations//test_auto_move//signs_mov_separ_signers/Naomi_524.mov" TargetMode="External"/><Relationship Id="rId4929" Type="http://schemas.openxmlformats.org/officeDocument/2006/relationships/hyperlink" Target="http://csr.bu.edu/ftp/asl/asllvd/demos/verify_start_end_handshape_annotations//test_auto_move//signs_mov_separ_signers/Brady_524.mov" TargetMode="External"/><Relationship Id="rId4930" Type="http://schemas.openxmlformats.org/officeDocument/2006/relationships/hyperlink" Target="http://secrets.rutgers.edu:8080/data/asl-ftp/asllvd/demos/verify_start_end_handshape_annotations//test_auto_move//signs_mov_separ_signers/Brady_524.mov" TargetMode="External"/><Relationship Id="rId4931" Type="http://schemas.openxmlformats.org/officeDocument/2006/relationships/hyperlink" Target="http://csr.bu.edu/ftp/asl/asllvd/demos/verify_start_end_handshape_annotations//test_auto_move//signs_mov/526.mov" TargetMode="External"/><Relationship Id="rId4932" Type="http://schemas.openxmlformats.org/officeDocument/2006/relationships/hyperlink" Target="http://csr.bu.edu/ftp/asl/asllvd/demos/verify_start_end_handshape_annotations//test_auto_move//signs_mov_separ_signers/Liz_526.mov" TargetMode="External"/><Relationship Id="rId4933" Type="http://schemas.openxmlformats.org/officeDocument/2006/relationships/hyperlink" Target="http://secrets.rutgers.edu:8080/data/asl-ftp/asllvd/demos/verify_start_end_handshape_annotations//test_auto_move//signs_mov/526.mov" TargetMode="External"/><Relationship Id="rId4934" Type="http://schemas.openxmlformats.org/officeDocument/2006/relationships/hyperlink" Target="http://secrets.rutgers.edu:8080/data/asl-ftp/asllvd/demos/verify_start_end_handshape_annotations//test_auto_move//signs_mov_separ_signers/Liz_526.mov" TargetMode="External"/><Relationship Id="rId4935" Type="http://schemas.openxmlformats.org/officeDocument/2006/relationships/hyperlink" Target="http://csr.bu.edu/ftp/asl/asllvd/demos/verify_start_end_handshape_annotations//test_auto_move//signs_mov_separ_signers/Naomi_526.mov" TargetMode="External"/><Relationship Id="rId4936" Type="http://schemas.openxmlformats.org/officeDocument/2006/relationships/hyperlink" Target="http://secrets.rutgers.edu:8080/data/asl-ftp/asllvd/demos/verify_start_end_handshape_annotations//test_auto_move//signs_mov_separ_signers/Naomi_526.mov" TargetMode="External"/><Relationship Id="rId4937" Type="http://schemas.openxmlformats.org/officeDocument/2006/relationships/hyperlink" Target="http://csr.bu.edu/ftp/asl/asllvd/demos/verify_start_end_handshape_annotations//test_auto_move//signs_mov_separ_signers/Liz_3892.mov" TargetMode="External"/><Relationship Id="rId4938" Type="http://schemas.openxmlformats.org/officeDocument/2006/relationships/hyperlink" Target="http://secrets.rutgers.edu:8080/data/asl-ftp/asllvd/demos/verify_start_end_handshape_annotations//test_auto_move//signs_mov_separ_signers/Liz_3892.mov" TargetMode="External"/><Relationship Id="rId4939" Type="http://schemas.openxmlformats.org/officeDocument/2006/relationships/hyperlink" Target="http://csr.bu.edu/ftp/asl/asllvd/demos/verify_start_end_handshape_annotations//test_auto_move//signs_mov/3892_5612_merged.mov" TargetMode="External"/><Relationship Id="rId4940" Type="http://schemas.openxmlformats.org/officeDocument/2006/relationships/hyperlink" Target="http://csr.bu.edu/ftp/asl/asllvd/demos/verify_start_end_handshape_annotations//test_auto_move//signs_mov_separ_signers/Tyler_3892.mov" TargetMode="External"/><Relationship Id="rId4941" Type="http://schemas.openxmlformats.org/officeDocument/2006/relationships/hyperlink" Target="http://secrets.rutgers.edu:8080/data/asl-ftp/asllvd/demos/verify_start_end_handshape_annotations//test_auto_move//signs_mov/3892_5612_merged.mov" TargetMode="External"/><Relationship Id="rId4942" Type="http://schemas.openxmlformats.org/officeDocument/2006/relationships/hyperlink" Target="http://secrets.rutgers.edu:8080/data/asl-ftp/asllvd/demos/verify_start_end_handshape_annotations//test_auto_move//signs_mov_separ_signers/Tyler_3892.mov" TargetMode="External"/><Relationship Id="rId4943" Type="http://schemas.openxmlformats.org/officeDocument/2006/relationships/hyperlink" Target="http://csr.bu.edu/ftp/asl/asllvd/demos/verify_start_end_handshape_annotations//test_auto_move//signs_mov_separ_signers/Brady_3892.mov" TargetMode="External"/><Relationship Id="rId4944" Type="http://schemas.openxmlformats.org/officeDocument/2006/relationships/hyperlink" Target="http://secrets.rutgers.edu:8080/data/asl-ftp/asllvd/demos/verify_start_end_handshape_annotations//test_auto_move//signs_mov_separ_signers/Brady_3892.mov" TargetMode="External"/><Relationship Id="rId4945" Type="http://schemas.openxmlformats.org/officeDocument/2006/relationships/hyperlink" Target="http://csr.bu.edu/ftp/asl/asllvd/demos/verify_start_end_handshape_annotations//test_auto_move//signs_mov_separ_signers/Brady_5612.mov" TargetMode="External"/><Relationship Id="rId4946" Type="http://schemas.openxmlformats.org/officeDocument/2006/relationships/hyperlink" Target="http://secrets.rutgers.edu:8080/data/asl-ftp/asllvd/demos/verify_start_end_handshape_annotations//test_auto_move//signs_mov_separ_signers/Brady_5612.mov" TargetMode="External"/><Relationship Id="rId4947" Type="http://schemas.openxmlformats.org/officeDocument/2006/relationships/hyperlink" Target="http://csr.bu.edu/ftp/asl/asllvd/demos/verify_start_end_handshape_annotations//test_auto_move//signs_mov_separ_signers/Liz_529.mov" TargetMode="External"/><Relationship Id="rId4948" Type="http://schemas.openxmlformats.org/officeDocument/2006/relationships/hyperlink" Target="http://secrets.rutgers.edu:8080/data/asl-ftp/asllvd/demos/verify_start_end_handshape_annotations//test_auto_move//signs_mov_separ_signers/Liz_529.mov" TargetMode="External"/><Relationship Id="rId4949" Type="http://schemas.openxmlformats.org/officeDocument/2006/relationships/hyperlink" Target="http://csr.bu.edu/ftp/asl/asllvd/demos/verify_start_end_handshape_annotations//test_auto_move//signs_mov_separ_signers/Liz_3597.mov" TargetMode="External"/><Relationship Id="rId4950" Type="http://schemas.openxmlformats.org/officeDocument/2006/relationships/hyperlink" Target="http://secrets.rutgers.edu:8080/data/asl-ftp/asllvd/demos/verify_start_end_handshape_annotations//test_auto_move//signs_mov_separ_signers/Liz_3597.mov" TargetMode="External"/><Relationship Id="rId4951" Type="http://schemas.openxmlformats.org/officeDocument/2006/relationships/hyperlink" Target="http://csr.bu.edu/ftp/asl/asllvd/demos/verify_start_end_handshape_annotations//test_auto_move//signs_mov_separ_signers/Liz_3738.mov" TargetMode="External"/><Relationship Id="rId4952" Type="http://schemas.openxmlformats.org/officeDocument/2006/relationships/hyperlink" Target="http://secrets.rutgers.edu:8080/data/asl-ftp/asllvd/demos/verify_start_end_handshape_annotations//test_auto_move//signs_mov_separ_signers/Liz_3738.mov" TargetMode="External"/><Relationship Id="rId4953" Type="http://schemas.openxmlformats.org/officeDocument/2006/relationships/hyperlink" Target="http://csr.bu.edu/ftp/asl/asllvd/demos/verify_start_end_handshape_annotations//test_auto_move//signs_mov/529_3597_3738_merged.mov" TargetMode="External"/><Relationship Id="rId4954" Type="http://schemas.openxmlformats.org/officeDocument/2006/relationships/hyperlink" Target="http://csr.bu.edu/ftp/asl/asllvd/demos/verify_start_end_handshape_annotations//test_auto_move//signs_mov_separ_signers/Tyler_529.mov" TargetMode="External"/><Relationship Id="rId4955" Type="http://schemas.openxmlformats.org/officeDocument/2006/relationships/hyperlink" Target="http://secrets.rutgers.edu:8080/data/asl-ftp/asllvd/demos/verify_start_end_handshape_annotations//test_auto_move//signs_mov/529_3597_3738_merged.mov" TargetMode="External"/><Relationship Id="rId4956" Type="http://schemas.openxmlformats.org/officeDocument/2006/relationships/hyperlink" Target="http://secrets.rutgers.edu:8080/data/asl-ftp/asllvd/demos/verify_start_end_handshape_annotations//test_auto_move//signs_mov_separ_signers/Tyler_529.mov" TargetMode="External"/><Relationship Id="rId4957" Type="http://schemas.openxmlformats.org/officeDocument/2006/relationships/hyperlink" Target="http://csr.bu.edu/ftp/asl/asllvd/demos/verify_start_end_handshape_annotations//test_auto_move//signs_mov_separ_signers/Tyler_3597.mov" TargetMode="External"/><Relationship Id="rId4958" Type="http://schemas.openxmlformats.org/officeDocument/2006/relationships/hyperlink" Target="http://secrets.rutgers.edu:8080/data/asl-ftp/asllvd/demos/verify_start_end_handshape_annotations//test_auto_move//signs_mov_separ_signers/Tyler_3597.mov" TargetMode="External"/><Relationship Id="rId4959" Type="http://schemas.openxmlformats.org/officeDocument/2006/relationships/hyperlink" Target="http://csr.bu.edu/ftp/asl/asllvd/demos/verify_start_end_handshape_annotations//test_auto_move//signs_mov_separ_signers/Naomi_529.mov" TargetMode="External"/><Relationship Id="rId4960" Type="http://schemas.openxmlformats.org/officeDocument/2006/relationships/hyperlink" Target="http://secrets.rutgers.edu:8080/data/asl-ftp/asllvd/demos/verify_start_end_handshape_annotations//test_auto_move//signs_mov_separ_signers/Naomi_529.mov" TargetMode="External"/><Relationship Id="rId4961" Type="http://schemas.openxmlformats.org/officeDocument/2006/relationships/hyperlink" Target="http://csr.bu.edu/ftp/asl/asllvd/demos/verify_start_end_handshape_annotations//test_auto_move//signs_mov_separ_signers/Naomi_3597.mov" TargetMode="External"/><Relationship Id="rId4962" Type="http://schemas.openxmlformats.org/officeDocument/2006/relationships/hyperlink" Target="http://secrets.rutgers.edu:8080/data/asl-ftp/asllvd/demos/verify_start_end_handshape_annotations//test_auto_move//signs_mov_separ_signers/Naomi_3597.mov" TargetMode="External"/><Relationship Id="rId4963" Type="http://schemas.openxmlformats.org/officeDocument/2006/relationships/hyperlink" Target="http://csr.bu.edu/ftp/asl/asllvd/demos/verify_start_end_handshape_annotations//test_auto_move//signs_mov_separ_signers/Brady_529.mov" TargetMode="External"/><Relationship Id="rId4964" Type="http://schemas.openxmlformats.org/officeDocument/2006/relationships/hyperlink" Target="http://secrets.rutgers.edu:8080/data/asl-ftp/asllvd/demos/verify_start_end_handshape_annotations//test_auto_move//signs_mov_separ_signers/Brady_529.mov" TargetMode="External"/><Relationship Id="rId4965" Type="http://schemas.openxmlformats.org/officeDocument/2006/relationships/hyperlink" Target="http://csr.bu.edu/ftp/asl/asllvd/demos/verify_start_end_handshape_annotations//test_auto_move//signs_mov_separ_signers/Liz_535.mov" TargetMode="External"/><Relationship Id="rId4966" Type="http://schemas.openxmlformats.org/officeDocument/2006/relationships/hyperlink" Target="http://secrets.rutgers.edu:8080/data/asl-ftp/asllvd/demos/verify_start_end_handshape_annotations//test_auto_move//signs_mov_separ_signers/Liz_535.mov" TargetMode="External"/><Relationship Id="rId4967" Type="http://schemas.openxmlformats.org/officeDocument/2006/relationships/hyperlink" Target="http://csr.bu.edu/ftp/asl/asllvd/demos/verify_start_end_handshape_annotations//test_auto_move//signs_mov/535.mov" TargetMode="External"/><Relationship Id="rId4968" Type="http://schemas.openxmlformats.org/officeDocument/2006/relationships/hyperlink" Target="http://csr.bu.edu/ftp/asl/asllvd/demos/verify_start_end_handshape_annotations//test_auto_move//signs_mov_separ_signers/Tyler_535.mov" TargetMode="External"/><Relationship Id="rId4969" Type="http://schemas.openxmlformats.org/officeDocument/2006/relationships/hyperlink" Target="http://secrets.rutgers.edu:8080/data/asl-ftp/asllvd/demos/verify_start_end_handshape_annotations//test_auto_move//signs_mov/535.mov" TargetMode="External"/><Relationship Id="rId4970" Type="http://schemas.openxmlformats.org/officeDocument/2006/relationships/hyperlink" Target="http://secrets.rutgers.edu:8080/data/asl-ftp/asllvd/demos/verify_start_end_handshape_annotations//test_auto_move//signs_mov_separ_signers/Tyler_535.mov" TargetMode="External"/><Relationship Id="rId4971" Type="http://schemas.openxmlformats.org/officeDocument/2006/relationships/hyperlink" Target="http://csr.bu.edu/ftp/asl/asllvd/demos/verify_start_end_handshape_annotations//test_auto_move//signs_mov_separ_signers/Naomi_535.mov" TargetMode="External"/><Relationship Id="rId4972" Type="http://schemas.openxmlformats.org/officeDocument/2006/relationships/hyperlink" Target="http://secrets.rutgers.edu:8080/data/asl-ftp/asllvd/demos/verify_start_end_handshape_annotations//test_auto_move//signs_mov_separ_signers/Naomi_535.mov" TargetMode="External"/><Relationship Id="rId4973" Type="http://schemas.openxmlformats.org/officeDocument/2006/relationships/hyperlink" Target="http://csr.bu.edu/ftp/asl/asllvd/demos/verify_start_end_handshape_annotations//test_auto_move//signs_mov_separ_signers/Brady_535.mov" TargetMode="External"/><Relationship Id="rId4974" Type="http://schemas.openxmlformats.org/officeDocument/2006/relationships/hyperlink" Target="http://secrets.rutgers.edu:8080/data/asl-ftp/asllvd/demos/verify_start_end_handshape_annotations//test_auto_move//signs_mov_separ_signers/Brady_535.mov" TargetMode="External"/><Relationship Id="rId4975" Type="http://schemas.openxmlformats.org/officeDocument/2006/relationships/hyperlink" Target="http://csr.bu.edu/ftp/asl/asllvd/demos/verify_start_end_handshape_annotations//test_auto_move//signs_mov_separ_signers/Liz_15910.mov" TargetMode="External"/><Relationship Id="rId4976" Type="http://schemas.openxmlformats.org/officeDocument/2006/relationships/hyperlink" Target="http://secrets.rutgers.edu:8080/data/asl-ftp/asllvd/demos/verify_start_end_handshape_annotations//test_auto_move//signs_mov_separ_signers/Liz_15910.mov" TargetMode="External"/><Relationship Id="rId4977" Type="http://schemas.openxmlformats.org/officeDocument/2006/relationships/hyperlink" Target="http://csr.bu.edu/ftp/asl/asllvd/demos/verify_start_end_handshape_annotations//test_auto_move//signs_mov/15910.mov" TargetMode="External"/><Relationship Id="rId4978" Type="http://schemas.openxmlformats.org/officeDocument/2006/relationships/hyperlink" Target="http://csr.bu.edu/ftp/asl/asllvd/demos/verify_start_end_handshape_annotations//test_auto_move//signs_mov_separ_signers/Tyler_15910.mov" TargetMode="External"/><Relationship Id="rId4979" Type="http://schemas.openxmlformats.org/officeDocument/2006/relationships/hyperlink" Target="http://secrets.rutgers.edu:8080/data/asl-ftp/asllvd/demos/verify_start_end_handshape_annotations//test_auto_move//signs_mov/15910.mov" TargetMode="External"/><Relationship Id="rId4980" Type="http://schemas.openxmlformats.org/officeDocument/2006/relationships/hyperlink" Target="http://secrets.rutgers.edu:8080/data/asl-ftp/asllvd/demos/verify_start_end_handshape_annotations//test_auto_move//signs_mov_separ_signers/Tyler_15910.mov" TargetMode="External"/><Relationship Id="rId4981" Type="http://schemas.openxmlformats.org/officeDocument/2006/relationships/hyperlink" Target="http://csr.bu.edu/ftp/asl/asllvd/demos/verify_start_end_handshape_annotations//test_auto_move//signs_mov_separ_signers/Naomi_15910.mov" TargetMode="External"/><Relationship Id="rId4982" Type="http://schemas.openxmlformats.org/officeDocument/2006/relationships/hyperlink" Target="http://secrets.rutgers.edu:8080/data/asl-ftp/asllvd/demos/verify_start_end_handshape_annotations//test_auto_move//signs_mov_separ_signers/Naomi_15910.mov" TargetMode="External"/><Relationship Id="rId4983" Type="http://schemas.openxmlformats.org/officeDocument/2006/relationships/hyperlink" Target="http://csr.bu.edu/ftp/asl/asllvd/demos/verify_start_end_handshape_annotations//test_auto_move//signs_mov_separ_signers/Brady_15910.mov" TargetMode="External"/><Relationship Id="rId4984" Type="http://schemas.openxmlformats.org/officeDocument/2006/relationships/hyperlink" Target="http://secrets.rutgers.edu:8080/data/asl-ftp/asllvd/demos/verify_start_end_handshape_annotations//test_auto_move//signs_mov_separ_signers/Brady_15910.mov" TargetMode="External"/><Relationship Id="rId4985" Type="http://schemas.openxmlformats.org/officeDocument/2006/relationships/hyperlink" Target="http://csr.bu.edu/ftp/asl/asllvd/demos/verify_start_end_handshape_annotations//test_auto_move//signs_mov/15927.mov" TargetMode="External"/><Relationship Id="rId4986" Type="http://schemas.openxmlformats.org/officeDocument/2006/relationships/hyperlink" Target="http://csr.bu.edu/ftp/asl/asllvd/demos/verify_start_end_handshape_annotations//test_auto_move//signs_mov_separ_signers/Liz_15927.mov" TargetMode="External"/><Relationship Id="rId4987" Type="http://schemas.openxmlformats.org/officeDocument/2006/relationships/hyperlink" Target="http://secrets.rutgers.edu:8080/data/asl-ftp/asllvd/demos/verify_start_end_handshape_annotations//test_auto_move//signs_mov/15927.mov" TargetMode="External"/><Relationship Id="rId4988" Type="http://schemas.openxmlformats.org/officeDocument/2006/relationships/hyperlink" Target="http://secrets.rutgers.edu:8080/data/asl-ftp/asllvd/demos/verify_start_end_handshape_annotations//test_auto_move//signs_mov_separ_signers/Liz_15927.mov" TargetMode="External"/><Relationship Id="rId4989" Type="http://schemas.openxmlformats.org/officeDocument/2006/relationships/hyperlink" Target="http://csr.bu.edu/ftp/asl/asllvd/demos/verify_start_end_handshape_annotations//test_auto_move//signs_mov/538.mov" TargetMode="External"/><Relationship Id="rId4990" Type="http://schemas.openxmlformats.org/officeDocument/2006/relationships/hyperlink" Target="http://csr.bu.edu/ftp/asl/asllvd/demos/verify_start_end_handshape_annotations//test_auto_move//signs_mov_separ_signers/Liz_538.mov" TargetMode="External"/><Relationship Id="rId4991" Type="http://schemas.openxmlformats.org/officeDocument/2006/relationships/hyperlink" Target="http://secrets.rutgers.edu:8080/data/asl-ftp/asllvd/demos/verify_start_end_handshape_annotations//test_auto_move//signs_mov/538.mov" TargetMode="External"/><Relationship Id="rId4992" Type="http://schemas.openxmlformats.org/officeDocument/2006/relationships/hyperlink" Target="http://secrets.rutgers.edu:8080/data/asl-ftp/asllvd/demos/verify_start_end_handshape_annotations//test_auto_move//signs_mov_separ_signers/Liz_538.mov" TargetMode="External"/><Relationship Id="rId4993" Type="http://schemas.openxmlformats.org/officeDocument/2006/relationships/hyperlink" Target="http://csr.bu.edu/ftp/asl/asllvd/demos/verify_start_end_handshape_annotations//test_auto_move//signs_mov_separ_signers/Brady_538.mov" TargetMode="External"/><Relationship Id="rId4994" Type="http://schemas.openxmlformats.org/officeDocument/2006/relationships/hyperlink" Target="http://secrets.rutgers.edu:8080/data/asl-ftp/asllvd/demos/verify_start_end_handshape_annotations//test_auto_move//signs_mov_separ_signers/Brady_538.mov" TargetMode="External"/><Relationship Id="rId4995" Type="http://schemas.openxmlformats.org/officeDocument/2006/relationships/hyperlink" Target="http://csr.bu.edu/ftp/asl/asllvd/demos/verify_start_end_handshape_annotations//test_auto_move//signs_mov_separ_signers/Liz_3459.mov" TargetMode="External"/><Relationship Id="rId4996" Type="http://schemas.openxmlformats.org/officeDocument/2006/relationships/hyperlink" Target="http://secrets.rutgers.edu:8080/data/asl-ftp/asllvd/demos/verify_start_end_handshape_annotations//test_auto_move//signs_mov_separ_signers/Liz_3459.mov" TargetMode="External"/><Relationship Id="rId4997" Type="http://schemas.openxmlformats.org/officeDocument/2006/relationships/hyperlink" Target="http://csr.bu.edu/ftp/asl/asllvd/demos/verify_start_end_handshape_annotations//test_auto_move//signs_mov_separ_signers/Tyler_3459.mov" TargetMode="External"/><Relationship Id="rId4998" Type="http://schemas.openxmlformats.org/officeDocument/2006/relationships/hyperlink" Target="http://secrets.rutgers.edu:8080/data/asl-ftp/asllvd/demos/verify_start_end_handshape_annotations//test_auto_move//signs_mov_separ_signers/Tyler_3459.mov" TargetMode="External"/><Relationship Id="rId4999" Type="http://schemas.openxmlformats.org/officeDocument/2006/relationships/hyperlink" Target="http://csr.bu.edu/ftp/asl/asllvd/demos/verify_start_end_handshape_annotations//test_auto_move//signs_mov/3459_15755_merged.mov" TargetMode="External"/><Relationship Id="rId5000" Type="http://schemas.openxmlformats.org/officeDocument/2006/relationships/hyperlink" Target="http://csr.bu.edu/ftp/asl/asllvd/demos/verify_start_end_handshape_annotations//test_auto_move//signs_mov_separ_signers/Naomi_3459.mov" TargetMode="External"/><Relationship Id="rId5001" Type="http://schemas.openxmlformats.org/officeDocument/2006/relationships/hyperlink" Target="http://secrets.rutgers.edu:8080/data/asl-ftp/asllvd/demos/verify_start_end_handshape_annotations//test_auto_move//signs_mov/3459_15755_merged.mov" TargetMode="External"/><Relationship Id="rId5002" Type="http://schemas.openxmlformats.org/officeDocument/2006/relationships/hyperlink" Target="http://secrets.rutgers.edu:8080/data/asl-ftp/asllvd/demos/verify_start_end_handshape_annotations//test_auto_move//signs_mov_separ_signers/Naomi_3459.mov" TargetMode="External"/><Relationship Id="rId5003" Type="http://schemas.openxmlformats.org/officeDocument/2006/relationships/hyperlink" Target="http://csr.bu.edu/ftp/asl/asllvd/demos/verify_start_end_handshape_annotations//test_auto_move//signs_mov_separ_signers/Brady_3459.mov" TargetMode="External"/><Relationship Id="rId5004" Type="http://schemas.openxmlformats.org/officeDocument/2006/relationships/hyperlink" Target="http://secrets.rutgers.edu:8080/data/asl-ftp/asllvd/demos/verify_start_end_handshape_annotations//test_auto_move//signs_mov_separ_signers/Brady_3459.mov" TargetMode="External"/><Relationship Id="rId5005" Type="http://schemas.openxmlformats.org/officeDocument/2006/relationships/hyperlink" Target="http://csr.bu.edu/ftp/asl/asllvd/demos/verify_start_end_handshape_annotations//test_auto_move//signs_mov_separ_signers/Brady_15755.mov" TargetMode="External"/><Relationship Id="rId5006" Type="http://schemas.openxmlformats.org/officeDocument/2006/relationships/hyperlink" Target="http://secrets.rutgers.edu:8080/data/asl-ftp/asllvd/demos/verify_start_end_handshape_annotations//test_auto_move//signs_mov_separ_signers/Brady_15755.mov" TargetMode="External"/><Relationship Id="rId5007" Type="http://schemas.openxmlformats.org/officeDocument/2006/relationships/hyperlink" Target="http://csr.bu.edu/ftp/asl/asllvd/demos/verify_start_end_handshape_annotations//test_auto_move//signs_mov_separ_signers/Liz_15907.mov" TargetMode="External"/><Relationship Id="rId5008" Type="http://schemas.openxmlformats.org/officeDocument/2006/relationships/hyperlink" Target="http://secrets.rutgers.edu:8080/data/asl-ftp/asllvd/demos/verify_start_end_handshape_annotations//test_auto_move//signs_mov_separ_signers/Liz_15907.mov" TargetMode="External"/><Relationship Id="rId5009" Type="http://schemas.openxmlformats.org/officeDocument/2006/relationships/hyperlink" Target="http://csr.bu.edu/ftp/asl/asllvd/demos/verify_start_end_handshape_annotations//test_auto_move//signs_mov_separ_signers/Liz_15918.mov" TargetMode="External"/><Relationship Id="rId5010" Type="http://schemas.openxmlformats.org/officeDocument/2006/relationships/hyperlink" Target="http://secrets.rutgers.edu:8080/data/asl-ftp/asllvd/demos/verify_start_end_handshape_annotations//test_auto_move//signs_mov_separ_signers/Liz_15918.mov" TargetMode="External"/><Relationship Id="rId5011" Type="http://schemas.openxmlformats.org/officeDocument/2006/relationships/hyperlink" Target="http://csr.bu.edu/ftp/asl/asllvd/demos/verify_start_end_handshape_annotations//test_auto_move//signs_mov_separ_signers/Tyler_15907.mov" TargetMode="External"/><Relationship Id="rId5012" Type="http://schemas.openxmlformats.org/officeDocument/2006/relationships/hyperlink" Target="http://secrets.rutgers.edu:8080/data/asl-ftp/asllvd/demos/verify_start_end_handshape_annotations//test_auto_move//signs_mov_separ_signers/Tyler_15907.mov" TargetMode="External"/><Relationship Id="rId5013" Type="http://schemas.openxmlformats.org/officeDocument/2006/relationships/hyperlink" Target="http://csr.bu.edu/ftp/asl/asllvd/demos/verify_start_end_handshape_annotations//test_auto_move//signs_mov_separ_signers/Tyler_15918.mov" TargetMode="External"/><Relationship Id="rId5014" Type="http://schemas.openxmlformats.org/officeDocument/2006/relationships/hyperlink" Target="http://secrets.rutgers.edu:8080/data/asl-ftp/asllvd/demos/verify_start_end_handshape_annotations//test_auto_move//signs_mov_separ_signers/Tyler_15918.mov" TargetMode="External"/><Relationship Id="rId5015" Type="http://schemas.openxmlformats.org/officeDocument/2006/relationships/hyperlink" Target="http://csr.bu.edu/ftp/asl/asllvd/demos/verify_start_end_handshape_annotations//test_auto_move//signs_mov/15907_15918_merged.mov" TargetMode="External"/><Relationship Id="rId5016" Type="http://schemas.openxmlformats.org/officeDocument/2006/relationships/hyperlink" Target="http://csr.bu.edu/ftp/asl/asllvd/demos/verify_start_end_handshape_annotations//test_auto_move//signs_mov_separ_signers/Naomi_15907.mov" TargetMode="External"/><Relationship Id="rId5017" Type="http://schemas.openxmlformats.org/officeDocument/2006/relationships/hyperlink" Target="http://secrets.rutgers.edu:8080/data/asl-ftp/asllvd/demos/verify_start_end_handshape_annotations//test_auto_move//signs_mov/15907_15918_merged.mov" TargetMode="External"/><Relationship Id="rId5018" Type="http://schemas.openxmlformats.org/officeDocument/2006/relationships/hyperlink" Target="http://secrets.rutgers.edu:8080/data/asl-ftp/asllvd/demos/verify_start_end_handshape_annotations//test_auto_move//signs_mov_separ_signers/Naomi_15907.mov" TargetMode="External"/><Relationship Id="rId5019" Type="http://schemas.openxmlformats.org/officeDocument/2006/relationships/hyperlink" Target="http://csr.bu.edu/ftp/asl/asllvd/demos/verify_start_end_handshape_annotations//test_auto_move//signs_mov_separ_signers/Naomi_15918.mov" TargetMode="External"/><Relationship Id="rId5020" Type="http://schemas.openxmlformats.org/officeDocument/2006/relationships/hyperlink" Target="http://secrets.rutgers.edu:8080/data/asl-ftp/asllvd/demos/verify_start_end_handshape_annotations//test_auto_move//signs_mov_separ_signers/Naomi_15918.mov" TargetMode="External"/><Relationship Id="rId5021" Type="http://schemas.openxmlformats.org/officeDocument/2006/relationships/hyperlink" Target="http://csr.bu.edu/ftp/asl/asllvd/demos/verify_start_end_handshape_annotations//test_auto_move//signs_mov_separ_signers/Brady_15907.mov" TargetMode="External"/><Relationship Id="rId5022" Type="http://schemas.openxmlformats.org/officeDocument/2006/relationships/hyperlink" Target="http://secrets.rutgers.edu:8080/data/asl-ftp/asllvd/demos/verify_start_end_handshape_annotations//test_auto_move//signs_mov_separ_signers/Brady_15907.mov" TargetMode="External"/><Relationship Id="rId5023" Type="http://schemas.openxmlformats.org/officeDocument/2006/relationships/hyperlink" Target="http://csr.bu.edu/ftp/asl/asllvd/demos/verify_start_end_handshape_annotations//test_auto_move//signs_mov_separ_signers/Brady_15918.mov" TargetMode="External"/><Relationship Id="rId5024" Type="http://schemas.openxmlformats.org/officeDocument/2006/relationships/hyperlink" Target="http://secrets.rutgers.edu:8080/data/asl-ftp/asllvd/demos/verify_start_end_handshape_annotations//test_auto_move//signs_mov_separ_signers/Brady_15918.mov" TargetMode="External"/><Relationship Id="rId5025" Type="http://schemas.openxmlformats.org/officeDocument/2006/relationships/hyperlink" Target="http://csr.bu.edu/ftp/asl/asllvd/demos/verify_start_end_handshape_annotations//test_auto_move//signs_mov_separ_signers/Lana_15907.mov" TargetMode="External"/><Relationship Id="rId5026" Type="http://schemas.openxmlformats.org/officeDocument/2006/relationships/hyperlink" Target="http://secrets.rutgers.edu:8080/data/asl-ftp/asllvd/demos/verify_start_end_handshape_annotations//test_auto_move//signs_mov_separ_signers/Lana_15907.mov" TargetMode="External"/><Relationship Id="rId5027" Type="http://schemas.openxmlformats.org/officeDocument/2006/relationships/hyperlink" Target="http://csr.bu.edu/ftp/asl/asllvd/demos/verify_start_end_handshape_annotations//test_auto_move//signs_mov_separ_signers/Dana_15907.mov" TargetMode="External"/><Relationship Id="rId5028" Type="http://schemas.openxmlformats.org/officeDocument/2006/relationships/hyperlink" Target="http://secrets.rutgers.edu:8080/data/asl-ftp/asllvd/demos/verify_start_end_handshape_annotations//test_auto_move//signs_mov_separ_signers/Dana_15907.mov" TargetMode="External"/><Relationship Id="rId5029" Type="http://schemas.openxmlformats.org/officeDocument/2006/relationships/hyperlink" Target="http://csr.bu.edu/ftp/asl/asllvd/demos/verify_start_end_handshape_annotations//test_auto_move//signs_mov_separ_signers/Liz_15956.mov" TargetMode="External"/><Relationship Id="rId5030" Type="http://schemas.openxmlformats.org/officeDocument/2006/relationships/hyperlink" Target="http://secrets.rutgers.edu:8080/data/asl-ftp/asllvd/demos/verify_start_end_handshape_annotations//test_auto_move//signs_mov_separ_signers/Liz_15956.mov" TargetMode="External"/><Relationship Id="rId5031" Type="http://schemas.openxmlformats.org/officeDocument/2006/relationships/hyperlink" Target="http://csr.bu.edu/ftp/asl/asllvd/demos/verify_start_end_handshape_annotations//test_auto_move//signs_mov_separ_signers/Liz_15957.mov" TargetMode="External"/><Relationship Id="rId5032" Type="http://schemas.openxmlformats.org/officeDocument/2006/relationships/hyperlink" Target="http://secrets.rutgers.edu:8080/data/asl-ftp/asllvd/demos/verify_start_end_handshape_annotations//test_auto_move//signs_mov_separ_signers/Liz_15957.mov" TargetMode="External"/><Relationship Id="rId5033" Type="http://schemas.openxmlformats.org/officeDocument/2006/relationships/hyperlink" Target="http://csr.bu.edu/ftp/asl/asllvd/demos/verify_start_end_handshape_annotations//test_auto_move//signs_mov/15956_15957_merged.mov" TargetMode="External"/><Relationship Id="rId5034" Type="http://schemas.openxmlformats.org/officeDocument/2006/relationships/hyperlink" Target="http://csr.bu.edu/ftp/asl/asllvd/demos/verify_start_end_handshape_annotations//test_auto_move//signs_mov_separ_signers/Tyler_15956.mov" TargetMode="External"/><Relationship Id="rId5035" Type="http://schemas.openxmlformats.org/officeDocument/2006/relationships/hyperlink" Target="http://secrets.rutgers.edu:8080/data/asl-ftp/asllvd/demos/verify_start_end_handshape_annotations//test_auto_move//signs_mov/15956_15957_merged.mov" TargetMode="External"/><Relationship Id="rId5036" Type="http://schemas.openxmlformats.org/officeDocument/2006/relationships/hyperlink" Target="http://secrets.rutgers.edu:8080/data/asl-ftp/asllvd/demos/verify_start_end_handshape_annotations//test_auto_move//signs_mov_separ_signers/Tyler_15956.mov" TargetMode="External"/><Relationship Id="rId5037" Type="http://schemas.openxmlformats.org/officeDocument/2006/relationships/hyperlink" Target="http://csr.bu.edu/ftp/asl/asllvd/demos/verify_start_end_handshape_annotations//test_auto_move//signs_mov_separ_signers/Naomi_15956.mov" TargetMode="External"/><Relationship Id="rId5038" Type="http://schemas.openxmlformats.org/officeDocument/2006/relationships/hyperlink" Target="http://secrets.rutgers.edu:8080/data/asl-ftp/asllvd/demos/verify_start_end_handshape_annotations//test_auto_move//signs_mov_separ_signers/Naomi_15956.mov" TargetMode="External"/><Relationship Id="rId5039" Type="http://schemas.openxmlformats.org/officeDocument/2006/relationships/hyperlink" Target="http://csr.bu.edu/ftp/asl/asllvd/demos/verify_start_end_handshape_annotations//test_auto_move//signs_mov_separ_signers/Brady_15956.mov" TargetMode="External"/><Relationship Id="rId5040" Type="http://schemas.openxmlformats.org/officeDocument/2006/relationships/hyperlink" Target="http://secrets.rutgers.edu:8080/data/asl-ftp/asllvd/demos/verify_start_end_handshape_annotations//test_auto_move//signs_mov_separ_signers/Brady_15956.mov" TargetMode="External"/><Relationship Id="rId5041" Type="http://schemas.openxmlformats.org/officeDocument/2006/relationships/hyperlink" Target="http://csr.bu.edu/ftp/asl/asllvd/demos/verify_start_end_handshape_annotations//test_auto_move//signs_mov_separ_signers/Brady_15957.mov" TargetMode="External"/><Relationship Id="rId5042" Type="http://schemas.openxmlformats.org/officeDocument/2006/relationships/hyperlink" Target="http://secrets.rutgers.edu:8080/data/asl-ftp/asllvd/demos/verify_start_end_handshape_annotations//test_auto_move//signs_mov_separ_signers/Brady_15957.mov" TargetMode="External"/><Relationship Id="rId5043" Type="http://schemas.openxmlformats.org/officeDocument/2006/relationships/hyperlink" Target="http://csr.bu.edu/ftp/asl/asllvd/demos/verify_start_end_handshape_annotations//test_auto_move//signs_mov_separ_signers/Liz_540.mov" TargetMode="External"/><Relationship Id="rId5044" Type="http://schemas.openxmlformats.org/officeDocument/2006/relationships/hyperlink" Target="http://secrets.rutgers.edu:8080/data/asl-ftp/asllvd/demos/verify_start_end_handshape_annotations//test_auto_move//signs_mov_separ_signers/Liz_540.mov" TargetMode="External"/><Relationship Id="rId5045" Type="http://schemas.openxmlformats.org/officeDocument/2006/relationships/hyperlink" Target="http://csr.bu.edu/ftp/asl/asllvd/demos/verify_start_end_handshape_annotations//test_auto_move//signs_mov/540.mov" TargetMode="External"/><Relationship Id="rId5046" Type="http://schemas.openxmlformats.org/officeDocument/2006/relationships/hyperlink" Target="http://csr.bu.edu/ftp/asl/asllvd/demos/verify_start_end_handshape_annotations//test_auto_move//signs_mov_separ_signers/Tyler_540.mov" TargetMode="External"/><Relationship Id="rId5047" Type="http://schemas.openxmlformats.org/officeDocument/2006/relationships/hyperlink" Target="http://secrets.rutgers.edu:8080/data/asl-ftp/asllvd/demos/verify_start_end_handshape_annotations//test_auto_move//signs_mov/540.mov" TargetMode="External"/><Relationship Id="rId5048" Type="http://schemas.openxmlformats.org/officeDocument/2006/relationships/hyperlink" Target="http://secrets.rutgers.edu:8080/data/asl-ftp/asllvd/demos/verify_start_end_handshape_annotations//test_auto_move//signs_mov_separ_signers/Tyler_540.mov" TargetMode="External"/><Relationship Id="rId5049" Type="http://schemas.openxmlformats.org/officeDocument/2006/relationships/hyperlink" Target="http://csr.bu.edu/ftp/asl/asllvd/demos/verify_start_end_handshape_annotations//test_auto_move//signs_mov_separ_signers/Naomi_540.mov" TargetMode="External"/><Relationship Id="rId5050" Type="http://schemas.openxmlformats.org/officeDocument/2006/relationships/hyperlink" Target="http://secrets.rutgers.edu:8080/data/asl-ftp/asllvd/demos/verify_start_end_handshape_annotations//test_auto_move//signs_mov_separ_signers/Naomi_540.mov" TargetMode="External"/><Relationship Id="rId5051" Type="http://schemas.openxmlformats.org/officeDocument/2006/relationships/hyperlink" Target="http://csr.bu.edu/ftp/asl/asllvd/demos/verify_start_end_handshape_annotations//test_auto_move//signs_mov_separ_signers/Brady_540.mov" TargetMode="External"/><Relationship Id="rId5052" Type="http://schemas.openxmlformats.org/officeDocument/2006/relationships/hyperlink" Target="http://secrets.rutgers.edu:8080/data/asl-ftp/asllvd/demos/verify_start_end_handshape_annotations//test_auto_move//signs_mov_separ_signers/Brady_540.mov" TargetMode="External"/><Relationship Id="rId5053" Type="http://schemas.openxmlformats.org/officeDocument/2006/relationships/hyperlink" Target="http://csr.bu.edu/ftp/asl/asllvd/demos/verify_start_end_handshape_annotations//test_auto_move//signs_mov_separ_signers/Liz_543.mov" TargetMode="External"/><Relationship Id="rId5054" Type="http://schemas.openxmlformats.org/officeDocument/2006/relationships/hyperlink" Target="http://secrets.rutgers.edu:8080/data/asl-ftp/asllvd/demos/verify_start_end_handshape_annotations//test_auto_move//signs_mov_separ_signers/Liz_543.mov" TargetMode="External"/><Relationship Id="rId5055" Type="http://schemas.openxmlformats.org/officeDocument/2006/relationships/hyperlink" Target="http://csr.bu.edu/ftp/asl/asllvd/demos/verify_start_end_handshape_annotations//test_auto_move//signs_mov_separ_signers/Liz_5306.mov" TargetMode="External"/><Relationship Id="rId5056" Type="http://schemas.openxmlformats.org/officeDocument/2006/relationships/hyperlink" Target="http://secrets.rutgers.edu:8080/data/asl-ftp/asllvd/demos/verify_start_end_handshape_annotations//test_auto_move//signs_mov_separ_signers/Liz_5306.mov" TargetMode="External"/><Relationship Id="rId5057" Type="http://schemas.openxmlformats.org/officeDocument/2006/relationships/hyperlink" Target="http://csr.bu.edu/ftp/asl/asllvd/demos/verify_start_end_handshape_annotations//test_auto_move//signs_mov_separ_signers/Tyler_543.mov" TargetMode="External"/><Relationship Id="rId5058" Type="http://schemas.openxmlformats.org/officeDocument/2006/relationships/hyperlink" Target="http://secrets.rutgers.edu:8080/data/asl-ftp/asllvd/demos/verify_start_end_handshape_annotations//test_auto_move//signs_mov_separ_signers/Tyler_543.mov" TargetMode="External"/><Relationship Id="rId5059" Type="http://schemas.openxmlformats.org/officeDocument/2006/relationships/hyperlink" Target="http://csr.bu.edu/ftp/asl/asllvd/demos/verify_start_end_handshape_annotations//test_auto_move//signs_mov/543_5306_merged.mov" TargetMode="External"/><Relationship Id="rId5060" Type="http://schemas.openxmlformats.org/officeDocument/2006/relationships/hyperlink" Target="http://csr.bu.edu/ftp/asl/asllvd/demos/verify_start_end_handshape_annotations//test_auto_move//signs_mov_separ_signers/Naomi_543.mov" TargetMode="External"/><Relationship Id="rId5061" Type="http://schemas.openxmlformats.org/officeDocument/2006/relationships/hyperlink" Target="http://secrets.rutgers.edu:8080/data/asl-ftp/asllvd/demos/verify_start_end_handshape_annotations//test_auto_move//signs_mov/543_5306_merged.mov" TargetMode="External"/><Relationship Id="rId5062" Type="http://schemas.openxmlformats.org/officeDocument/2006/relationships/hyperlink" Target="http://secrets.rutgers.edu:8080/data/asl-ftp/asllvd/demos/verify_start_end_handshape_annotations//test_auto_move//signs_mov_separ_signers/Naomi_543.mov" TargetMode="External"/><Relationship Id="rId5063" Type="http://schemas.openxmlformats.org/officeDocument/2006/relationships/hyperlink" Target="http://csr.bu.edu/ftp/asl/asllvd/demos/verify_start_end_handshape_annotations//test_auto_move//signs_mov_separ_signers/Brady_543.mov" TargetMode="External"/><Relationship Id="rId5064" Type="http://schemas.openxmlformats.org/officeDocument/2006/relationships/hyperlink" Target="http://secrets.rutgers.edu:8080/data/asl-ftp/asllvd/demos/verify_start_end_handshape_annotations//test_auto_move//signs_mov_separ_signers/Brady_543.mov" TargetMode="External"/><Relationship Id="rId5065" Type="http://schemas.openxmlformats.org/officeDocument/2006/relationships/hyperlink" Target="http://csr.bu.edu/ftp/asl/asllvd/demos/verify_start_end_handshape_annotations//test_auto_move//signs_mov_separ_signers/Brady_5306.mov" TargetMode="External"/><Relationship Id="rId5066" Type="http://schemas.openxmlformats.org/officeDocument/2006/relationships/hyperlink" Target="http://secrets.rutgers.edu:8080/data/asl-ftp/asllvd/demos/verify_start_end_handshape_annotations//test_auto_move//signs_mov_separ_signers/Brady_5306.mov" TargetMode="External"/><Relationship Id="rId5067" Type="http://schemas.openxmlformats.org/officeDocument/2006/relationships/hyperlink" Target="http://csr.bu.edu/ftp/asl/asllvd/demos/verify_start_end_handshape_annotations//test_auto_move//signs_mov_separ_signers/Lana_543.mov" TargetMode="External"/><Relationship Id="rId5068" Type="http://schemas.openxmlformats.org/officeDocument/2006/relationships/hyperlink" Target="http://secrets.rutgers.edu:8080/data/asl-ftp/asllvd/demos/verify_start_end_handshape_annotations//test_auto_move//signs_mov_separ_signers/Lana_543.mov" TargetMode="External"/><Relationship Id="rId5069" Type="http://schemas.openxmlformats.org/officeDocument/2006/relationships/hyperlink" Target="http://csr.bu.edu/ftp/asl/asllvd/demos/verify_start_end_handshape_annotations//test_auto_move//signs_mov_separ_signers/Dana_543.mov" TargetMode="External"/><Relationship Id="rId5070" Type="http://schemas.openxmlformats.org/officeDocument/2006/relationships/hyperlink" Target="http://secrets.rutgers.edu:8080/data/asl-ftp/asllvd/demos/verify_start_end_handshape_annotations//test_auto_move//signs_mov_separ_signers/Dana_543.mov" TargetMode="External"/><Relationship Id="rId5071" Type="http://schemas.openxmlformats.org/officeDocument/2006/relationships/hyperlink" Target="http://csr.bu.edu/ftp/asl/asllvd/demos/verify_start_end_handshape_annotations//test_auto_move//signs_mov_separ_signers/Liz_5640.mov" TargetMode="External"/><Relationship Id="rId5072" Type="http://schemas.openxmlformats.org/officeDocument/2006/relationships/hyperlink" Target="http://secrets.rutgers.edu:8080/data/asl-ftp/asllvd/demos/verify_start_end_handshape_annotations//test_auto_move//signs_mov_separ_signers/Liz_5640.mov" TargetMode="External"/><Relationship Id="rId5073" Type="http://schemas.openxmlformats.org/officeDocument/2006/relationships/hyperlink" Target="http://csr.bu.edu/ftp/asl/asllvd/demos/verify_start_end_handshape_annotations//test_auto_move//signs_mov/5640.mov" TargetMode="External"/><Relationship Id="rId5074" Type="http://schemas.openxmlformats.org/officeDocument/2006/relationships/hyperlink" Target="http://csr.bu.edu/ftp/asl/asllvd/demos/verify_start_end_handshape_annotations//test_auto_move//signs_mov_separ_signers/Tyler_5640.mov" TargetMode="External"/><Relationship Id="rId5075" Type="http://schemas.openxmlformats.org/officeDocument/2006/relationships/hyperlink" Target="http://secrets.rutgers.edu:8080/data/asl-ftp/asllvd/demos/verify_start_end_handshape_annotations//test_auto_move//signs_mov/5640.mov" TargetMode="External"/><Relationship Id="rId5076" Type="http://schemas.openxmlformats.org/officeDocument/2006/relationships/hyperlink" Target="http://secrets.rutgers.edu:8080/data/asl-ftp/asllvd/demos/verify_start_end_handshape_annotations//test_auto_move//signs_mov_separ_signers/Tyler_5640.mov" TargetMode="External"/><Relationship Id="rId5077" Type="http://schemas.openxmlformats.org/officeDocument/2006/relationships/hyperlink" Target="http://csr.bu.edu/ftp/asl/asllvd/demos/verify_start_end_handshape_annotations//test_auto_move//signs_mov_separ_signers/Naomi_5640.mov" TargetMode="External"/><Relationship Id="rId5078" Type="http://schemas.openxmlformats.org/officeDocument/2006/relationships/hyperlink" Target="http://secrets.rutgers.edu:8080/data/asl-ftp/asllvd/demos/verify_start_end_handshape_annotations//test_auto_move//signs_mov_separ_signers/Naomi_5640.mov" TargetMode="External"/><Relationship Id="rId5079" Type="http://schemas.openxmlformats.org/officeDocument/2006/relationships/hyperlink" Target="http://csr.bu.edu/ftp/asl/asllvd/demos/verify_start_end_handshape_annotations//test_auto_move//signs_mov_separ_signers/Brady_5640.mov" TargetMode="External"/><Relationship Id="rId5080" Type="http://schemas.openxmlformats.org/officeDocument/2006/relationships/hyperlink" Target="http://secrets.rutgers.edu:8080/data/asl-ftp/asllvd/demos/verify_start_end_handshape_annotations//test_auto_move//signs_mov_separ_signers/Brady_5640.mov" TargetMode="External"/><Relationship Id="rId5081" Type="http://schemas.openxmlformats.org/officeDocument/2006/relationships/hyperlink" Target="http://csr.bu.edu/ftp/asl/asllvd/demos/verify_start_end_handshape_annotations//test_auto_move//signs_mov_separ_signers/Tyler_545.mov" TargetMode="External"/><Relationship Id="rId5082" Type="http://schemas.openxmlformats.org/officeDocument/2006/relationships/hyperlink" Target="http://secrets.rutgers.edu:8080/data/asl-ftp/asllvd/demos/verify_start_end_handshape_annotations//test_auto_move//signs_mov_separ_signers/Tyler_545.mov" TargetMode="External"/><Relationship Id="rId5083" Type="http://schemas.openxmlformats.org/officeDocument/2006/relationships/hyperlink" Target="http://csr.bu.edu/ftp/asl/asllvd/demos/verify_start_end_handshape_annotations//test_auto_move//signs_mov/545.mov" TargetMode="External"/><Relationship Id="rId5084" Type="http://schemas.openxmlformats.org/officeDocument/2006/relationships/hyperlink" Target="http://csr.bu.edu/ftp/asl/asllvd/demos/verify_start_end_handshape_annotations//test_auto_move//signs_mov_separ_signers/Naomi_545.mov" TargetMode="External"/><Relationship Id="rId5085" Type="http://schemas.openxmlformats.org/officeDocument/2006/relationships/hyperlink" Target="http://secrets.rutgers.edu:8080/data/asl-ftp/asllvd/demos/verify_start_end_handshape_annotations//test_auto_move//signs_mov/545.mov" TargetMode="External"/><Relationship Id="rId5086" Type="http://schemas.openxmlformats.org/officeDocument/2006/relationships/hyperlink" Target="http://secrets.rutgers.edu:8080/data/asl-ftp/asllvd/demos/verify_start_end_handshape_annotations//test_auto_move//signs_mov_separ_signers/Naomi_545.mov" TargetMode="External"/><Relationship Id="rId5087" Type="http://schemas.openxmlformats.org/officeDocument/2006/relationships/hyperlink" Target="http://csr.bu.edu/ftp/asl/asllvd/demos/verify_start_end_handshape_annotations//test_auto_move//signs_mov_separ_signers/Brady_545.mov" TargetMode="External"/><Relationship Id="rId5088" Type="http://schemas.openxmlformats.org/officeDocument/2006/relationships/hyperlink" Target="http://secrets.rutgers.edu:8080/data/asl-ftp/asllvd/demos/verify_start_end_handshape_annotations//test_auto_move//signs_mov_separ_signers/Brady_545.mov" TargetMode="External"/><Relationship Id="rId5089" Type="http://schemas.openxmlformats.org/officeDocument/2006/relationships/hyperlink" Target="http://csr.bu.edu/ftp/asl/asllvd/demos/verify_start_end_handshape_annotations//test_auto_move//signs_mov/3598.mov" TargetMode="External"/><Relationship Id="rId5090" Type="http://schemas.openxmlformats.org/officeDocument/2006/relationships/hyperlink" Target="http://csr.bu.edu/ftp/asl/asllvd/demos/verify_start_end_handshape_annotations//test_auto_move//signs_mov_separ_signers/Liz_3598.mov" TargetMode="External"/><Relationship Id="rId5091" Type="http://schemas.openxmlformats.org/officeDocument/2006/relationships/hyperlink" Target="http://secrets.rutgers.edu:8080/data/asl-ftp/asllvd/demos/verify_start_end_handshape_annotations//test_auto_move//signs_mov/3598.mov" TargetMode="External"/><Relationship Id="rId5092" Type="http://schemas.openxmlformats.org/officeDocument/2006/relationships/hyperlink" Target="http://secrets.rutgers.edu:8080/data/asl-ftp/asllvd/demos/verify_start_end_handshape_annotations//test_auto_move//signs_mov_separ_signers/Liz_3598.mov" TargetMode="External"/><Relationship Id="rId5093" Type="http://schemas.openxmlformats.org/officeDocument/2006/relationships/hyperlink" Target="http://csr.bu.edu/ftp/asl/asllvd/demos/verify_start_end_handshape_annotations//test_auto_move//signs_mov/5149.mov" TargetMode="External"/><Relationship Id="rId5094" Type="http://schemas.openxmlformats.org/officeDocument/2006/relationships/hyperlink" Target="http://csr.bu.edu/ftp/asl/asllvd/demos/verify_start_end_handshape_annotations//test_auto_move//signs_mov_separ_signers/Liz_5149.mov" TargetMode="External"/><Relationship Id="rId5095" Type="http://schemas.openxmlformats.org/officeDocument/2006/relationships/hyperlink" Target="http://secrets.rutgers.edu:8080/data/asl-ftp/asllvd/demos/verify_start_end_handshape_annotations//test_auto_move//signs_mov/5149.mov" TargetMode="External"/><Relationship Id="rId5096" Type="http://schemas.openxmlformats.org/officeDocument/2006/relationships/hyperlink" Target="http://secrets.rutgers.edu:8080/data/asl-ftp/asllvd/demos/verify_start_end_handshape_annotations//test_auto_move//signs_mov_separ_signers/Liz_5149.mov" TargetMode="External"/><Relationship Id="rId5097" Type="http://schemas.openxmlformats.org/officeDocument/2006/relationships/hyperlink" Target="http://csr.bu.edu/ftp/asl/asllvd/demos/verify_start_end_handshape_annotations//test_auto_move//signs_mov_separ_signers/Naomi_5149.mov" TargetMode="External"/><Relationship Id="rId5098" Type="http://schemas.openxmlformats.org/officeDocument/2006/relationships/hyperlink" Target="http://secrets.rutgers.edu:8080/data/asl-ftp/asllvd/demos/verify_start_end_handshape_annotations//test_auto_move//signs_mov_separ_signers/Naomi_5149.mov" TargetMode="External"/><Relationship Id="rId5099" Type="http://schemas.openxmlformats.org/officeDocument/2006/relationships/hyperlink" Target="http://csr.bu.edu/ftp/asl/asllvd/demos/verify_start_end_handshape_annotations//test_auto_move//signs_mov/5392.mov" TargetMode="External"/><Relationship Id="rId5100" Type="http://schemas.openxmlformats.org/officeDocument/2006/relationships/hyperlink" Target="http://csr.bu.edu/ftp/asl/asllvd/demos/verify_start_end_handshape_annotations//test_auto_move//signs_mov_separ_signers/Brady_5392.mov" TargetMode="External"/><Relationship Id="rId5101" Type="http://schemas.openxmlformats.org/officeDocument/2006/relationships/hyperlink" Target="http://secrets.rutgers.edu:8080/data/asl-ftp/asllvd/demos/verify_start_end_handshape_annotations//test_auto_move//signs_mov/5392.mov" TargetMode="External"/><Relationship Id="rId5102" Type="http://schemas.openxmlformats.org/officeDocument/2006/relationships/hyperlink" Target="http://secrets.rutgers.edu:8080/data/asl-ftp/asllvd/demos/verify_start_end_handshape_annotations//test_auto_move//signs_mov_separ_signers/Brady_5392.mov" TargetMode="External"/><Relationship Id="rId5103" Type="http://schemas.openxmlformats.org/officeDocument/2006/relationships/hyperlink" Target="http://csr.bu.edu/ftp/asl/asllvd/demos/verify_start_end_handshape_annotations//test_auto_move//signs_mov/16542.mov" TargetMode="External"/><Relationship Id="rId5104" Type="http://schemas.openxmlformats.org/officeDocument/2006/relationships/hyperlink" Target="http://csr.bu.edu/ftp/asl/asllvd/demos/verify_start_end_handshape_annotations//test_auto_move//signs_mov_separ_signers/Tyler_16542.mov" TargetMode="External"/><Relationship Id="rId5105" Type="http://schemas.openxmlformats.org/officeDocument/2006/relationships/hyperlink" Target="http://secrets.rutgers.edu:8080/data/asl-ftp/asllvd/demos/verify_start_end_handshape_annotations//test_auto_move//signs_mov/16542.mov" TargetMode="External"/><Relationship Id="rId5106" Type="http://schemas.openxmlformats.org/officeDocument/2006/relationships/hyperlink" Target="http://secrets.rutgers.edu:8080/data/asl-ftp/asllvd/demos/verify_start_end_handshape_annotations//test_auto_move//signs_mov_separ_signers/Tyler_16542.mov" TargetMode="External"/><Relationship Id="rId5107" Type="http://schemas.openxmlformats.org/officeDocument/2006/relationships/hyperlink" Target="http://csr.bu.edu/ftp/asl/asllvd/demos/verify_start_end_handshape_annotations//test_auto_move//signs_mov_separ_signers/Liz_547.mov" TargetMode="External"/><Relationship Id="rId5108" Type="http://schemas.openxmlformats.org/officeDocument/2006/relationships/hyperlink" Target="http://secrets.rutgers.edu:8080/data/asl-ftp/asllvd/demos/verify_start_end_handshape_annotations//test_auto_move//signs_mov_separ_signers/Liz_547.mov" TargetMode="External"/><Relationship Id="rId5109" Type="http://schemas.openxmlformats.org/officeDocument/2006/relationships/hyperlink" Target="http://csr.bu.edu/ftp/asl/asllvd/demos/verify_start_end_handshape_annotations//test_auto_move//signs_mov_separ_signers/Liz_3599.mov" TargetMode="External"/><Relationship Id="rId5110" Type="http://schemas.openxmlformats.org/officeDocument/2006/relationships/hyperlink" Target="http://secrets.rutgers.edu:8080/data/asl-ftp/asllvd/demos/verify_start_end_handshape_annotations//test_auto_move//signs_mov_separ_signers/Liz_3599.mov" TargetMode="External"/><Relationship Id="rId5111" Type="http://schemas.openxmlformats.org/officeDocument/2006/relationships/hyperlink" Target="http://csr.bu.edu/ftp/asl/asllvd/demos/verify_start_end_handshape_annotations//test_auto_move//signs_mov_separ_signers/Tyler_547.mov" TargetMode="External"/><Relationship Id="rId5112" Type="http://schemas.openxmlformats.org/officeDocument/2006/relationships/hyperlink" Target="http://secrets.rutgers.edu:8080/data/asl-ftp/asllvd/demos/verify_start_end_handshape_annotations//test_auto_move//signs_mov_separ_signers/Tyler_547.mov" TargetMode="External"/><Relationship Id="rId5113" Type="http://schemas.openxmlformats.org/officeDocument/2006/relationships/hyperlink" Target="http://csr.bu.edu/ftp/asl/asllvd/demos/verify_start_end_handshape_annotations//test_auto_move//signs_mov_separ_signers/Naomi_547.mov" TargetMode="External"/><Relationship Id="rId5114" Type="http://schemas.openxmlformats.org/officeDocument/2006/relationships/hyperlink" Target="http://secrets.rutgers.edu:8080/data/asl-ftp/asllvd/demos/verify_start_end_handshape_annotations//test_auto_move//signs_mov_separ_signers/Naomi_547.mov" TargetMode="External"/><Relationship Id="rId5115" Type="http://schemas.openxmlformats.org/officeDocument/2006/relationships/hyperlink" Target="http://csr.bu.edu/ftp/asl/asllvd/demos/verify_start_end_handshape_annotations//test_auto_move//signs_mov/547_3599_5321_merged.mov" TargetMode="External"/><Relationship Id="rId5116" Type="http://schemas.openxmlformats.org/officeDocument/2006/relationships/hyperlink" Target="http://csr.bu.edu/ftp/asl/asllvd/demos/verify_start_end_handshape_annotations//test_auto_move//signs_mov_separ_signers/Brady_547.mov" TargetMode="External"/><Relationship Id="rId5117" Type="http://schemas.openxmlformats.org/officeDocument/2006/relationships/hyperlink" Target="http://secrets.rutgers.edu:8080/data/asl-ftp/asllvd/demos/verify_start_end_handshape_annotations//test_auto_move//signs_mov/547_3599_5321_merged.mov" TargetMode="External"/><Relationship Id="rId5118" Type="http://schemas.openxmlformats.org/officeDocument/2006/relationships/hyperlink" Target="http://secrets.rutgers.edu:8080/data/asl-ftp/asllvd/demos/verify_start_end_handshape_annotations//test_auto_move//signs_mov_separ_signers/Brady_547.mov" TargetMode="External"/><Relationship Id="rId5119" Type="http://schemas.openxmlformats.org/officeDocument/2006/relationships/hyperlink" Target="http://csr.bu.edu/ftp/asl/asllvd/demos/verify_start_end_handshape_annotations//test_auto_move//signs_mov_separ_signers/Brady_3599.mov" TargetMode="External"/><Relationship Id="rId5120" Type="http://schemas.openxmlformats.org/officeDocument/2006/relationships/hyperlink" Target="http://secrets.rutgers.edu:8080/data/asl-ftp/asllvd/demos/verify_start_end_handshape_annotations//test_auto_move//signs_mov_separ_signers/Brady_3599.mov" TargetMode="External"/><Relationship Id="rId5121" Type="http://schemas.openxmlformats.org/officeDocument/2006/relationships/hyperlink" Target="http://csr.bu.edu/ftp/asl/asllvd/demos/verify_start_end_handshape_annotations//test_auto_move//signs_mov_separ_signers/Brady_5321.mov" TargetMode="External"/><Relationship Id="rId5122" Type="http://schemas.openxmlformats.org/officeDocument/2006/relationships/hyperlink" Target="http://secrets.rutgers.edu:8080/data/asl-ftp/asllvd/demos/verify_start_end_handshape_annotations//test_auto_move//signs_mov_separ_signers/Brady_5321.mov" TargetMode="External"/><Relationship Id="rId5123" Type="http://schemas.openxmlformats.org/officeDocument/2006/relationships/hyperlink" Target="http://csr.bu.edu/ftp/asl/asllvd/demos/verify_start_end_handshape_annotations//test_auto_move//signs_mov_separ_signers/Lana_547.mov" TargetMode="External"/><Relationship Id="rId5124" Type="http://schemas.openxmlformats.org/officeDocument/2006/relationships/hyperlink" Target="http://secrets.rutgers.edu:8080/data/asl-ftp/asllvd/demos/verify_start_end_handshape_annotations//test_auto_move//signs_mov_separ_signers/Lana_547.mov" TargetMode="External"/><Relationship Id="rId5125" Type="http://schemas.openxmlformats.org/officeDocument/2006/relationships/hyperlink" Target="http://csr.bu.edu/ftp/asl/asllvd/demos/verify_start_end_handshape_annotations//test_auto_move//signs_mov_separ_signers/Dana_547.mov" TargetMode="External"/><Relationship Id="rId5126" Type="http://schemas.openxmlformats.org/officeDocument/2006/relationships/hyperlink" Target="http://secrets.rutgers.edu:8080/data/asl-ftp/asllvd/demos/verify_start_end_handshape_annotations//test_auto_move//signs_mov_separ_signers/Dana_547.mov" TargetMode="External"/><Relationship Id="rId5127" Type="http://schemas.openxmlformats.org/officeDocument/2006/relationships/hyperlink" Target="http://csr.bu.edu/ftp/asl/asllvd/demos/verify_start_end_handshape_annotations//test_auto_move//signs_mov_separ_signers/Liz_15597.mov" TargetMode="External"/><Relationship Id="rId5128" Type="http://schemas.openxmlformats.org/officeDocument/2006/relationships/hyperlink" Target="http://secrets.rutgers.edu:8080/data/asl-ftp/asllvd/demos/verify_start_end_handshape_annotations//test_auto_move//signs_mov_separ_signers/Liz_15597.mov" TargetMode="External"/><Relationship Id="rId5129" Type="http://schemas.openxmlformats.org/officeDocument/2006/relationships/hyperlink" Target="http://csr.bu.edu/ftp/asl/asllvd/demos/verify_start_end_handshape_annotations//test_auto_move//signs_mov/15597.mov" TargetMode="External"/><Relationship Id="rId5130" Type="http://schemas.openxmlformats.org/officeDocument/2006/relationships/hyperlink" Target="http://csr.bu.edu/ftp/asl/asllvd/demos/verify_start_end_handshape_annotations//test_auto_move//signs_mov_separ_signers/Tyler_15597.mov" TargetMode="External"/><Relationship Id="rId5131" Type="http://schemas.openxmlformats.org/officeDocument/2006/relationships/hyperlink" Target="http://secrets.rutgers.edu:8080/data/asl-ftp/asllvd/demos/verify_start_end_handshape_annotations//test_auto_move//signs_mov/15597.mov" TargetMode="External"/><Relationship Id="rId5132" Type="http://schemas.openxmlformats.org/officeDocument/2006/relationships/hyperlink" Target="http://secrets.rutgers.edu:8080/data/asl-ftp/asllvd/demos/verify_start_end_handshape_annotations//test_auto_move//signs_mov_separ_signers/Tyler_15597.mov" TargetMode="External"/><Relationship Id="rId5133" Type="http://schemas.openxmlformats.org/officeDocument/2006/relationships/hyperlink" Target="http://csr.bu.edu/ftp/asl/asllvd/demos/verify_start_end_handshape_annotations//test_auto_move//signs_mov_separ_signers/Naomi_15597.mov" TargetMode="External"/><Relationship Id="rId5134" Type="http://schemas.openxmlformats.org/officeDocument/2006/relationships/hyperlink" Target="http://secrets.rutgers.edu:8080/data/asl-ftp/asllvd/demos/verify_start_end_handshape_annotations//test_auto_move//signs_mov_separ_signers/Naomi_15597.mov" TargetMode="External"/><Relationship Id="rId5135" Type="http://schemas.openxmlformats.org/officeDocument/2006/relationships/hyperlink" Target="http://csr.bu.edu/ftp/asl/asllvd/demos/verify_start_end_handshape_annotations//test_auto_move//signs_mov_separ_signers/Brady_15597.mov" TargetMode="External"/><Relationship Id="rId5136" Type="http://schemas.openxmlformats.org/officeDocument/2006/relationships/hyperlink" Target="http://secrets.rutgers.edu:8080/data/asl-ftp/asllvd/demos/verify_start_end_handshape_annotations//test_auto_move//signs_mov_separ_signers/Brady_15597.mov" TargetMode="External"/><Relationship Id="rId5137" Type="http://schemas.openxmlformats.org/officeDocument/2006/relationships/hyperlink" Target="http://csr.bu.edu/ftp/asl/asllvd/demos/verify_start_end_handshape_annotations//test_auto_move//signs_mov_separ_signers/Liz_16357.mov" TargetMode="External"/><Relationship Id="rId5138" Type="http://schemas.openxmlformats.org/officeDocument/2006/relationships/hyperlink" Target="http://secrets.rutgers.edu:8080/data/asl-ftp/asllvd/demos/verify_start_end_handshape_annotations//test_auto_move//signs_mov_separ_signers/Liz_16357.mov" TargetMode="External"/><Relationship Id="rId5139" Type="http://schemas.openxmlformats.org/officeDocument/2006/relationships/hyperlink" Target="http://csr.bu.edu/ftp/asl/asllvd/demos/verify_start_end_handshape_annotations//test_auto_move//signs_mov/16357.mov" TargetMode="External"/><Relationship Id="rId5140" Type="http://schemas.openxmlformats.org/officeDocument/2006/relationships/hyperlink" Target="http://csr.bu.edu/ftp/asl/asllvd/demos/verify_start_end_handshape_annotations//test_auto_move//signs_mov_separ_signers/Naomi_16357.mov" TargetMode="External"/><Relationship Id="rId5141" Type="http://schemas.openxmlformats.org/officeDocument/2006/relationships/hyperlink" Target="http://secrets.rutgers.edu:8080/data/asl-ftp/asllvd/demos/verify_start_end_handshape_annotations//test_auto_move//signs_mov/16357.mov" TargetMode="External"/><Relationship Id="rId5142" Type="http://schemas.openxmlformats.org/officeDocument/2006/relationships/hyperlink" Target="http://secrets.rutgers.edu:8080/data/asl-ftp/asllvd/demos/verify_start_end_handshape_annotations//test_auto_move//signs_mov_separ_signers/Naomi_16357.mov" TargetMode="External"/><Relationship Id="rId5143" Type="http://schemas.openxmlformats.org/officeDocument/2006/relationships/hyperlink" Target="http://csr.bu.edu/ftp/asl/asllvd/demos/verify_start_end_handshape_annotations//test_auto_move//signs_mov_separ_signers/Brady_16357.mov" TargetMode="External"/><Relationship Id="rId5144" Type="http://schemas.openxmlformats.org/officeDocument/2006/relationships/hyperlink" Target="http://secrets.rutgers.edu:8080/data/asl-ftp/asllvd/demos/verify_start_end_handshape_annotations//test_auto_move//signs_mov_separ_signers/Brady_16357.mov" TargetMode="External"/><Relationship Id="rId5145" Type="http://schemas.openxmlformats.org/officeDocument/2006/relationships/hyperlink" Target="http://csr.bu.edu/ftp/asl/asllvd/demos/verify_start_end_handshape_annotations//test_auto_move//signs_mov_separ_signers/Liz_549.mov" TargetMode="External"/><Relationship Id="rId5146" Type="http://schemas.openxmlformats.org/officeDocument/2006/relationships/hyperlink" Target="http://secrets.rutgers.edu:8080/data/asl-ftp/asllvd/demos/verify_start_end_handshape_annotations//test_auto_move//signs_mov_separ_signers/Liz_549.mov" TargetMode="External"/><Relationship Id="rId5147" Type="http://schemas.openxmlformats.org/officeDocument/2006/relationships/hyperlink" Target="http://csr.bu.edu/ftp/asl/asllvd/demos/verify_start_end_handshape_annotations//test_auto_move//signs_mov_separ_signers/Liz_3603.mov" TargetMode="External"/><Relationship Id="rId5148" Type="http://schemas.openxmlformats.org/officeDocument/2006/relationships/hyperlink" Target="http://secrets.rutgers.edu:8080/data/asl-ftp/asllvd/demos/verify_start_end_handshape_annotations//test_auto_move//signs_mov_separ_signers/Liz_3603.mov" TargetMode="External"/><Relationship Id="rId5149" Type="http://schemas.openxmlformats.org/officeDocument/2006/relationships/hyperlink" Target="http://csr.bu.edu/ftp/asl/asllvd/demos/verify_start_end_handshape_annotations//test_auto_move//signs_mov_separ_signers/Liz_3839.mov" TargetMode="External"/><Relationship Id="rId5150" Type="http://schemas.openxmlformats.org/officeDocument/2006/relationships/hyperlink" Target="http://secrets.rutgers.edu:8080/data/asl-ftp/asllvd/demos/verify_start_end_handshape_annotations//test_auto_move//signs_mov_separ_signers/Liz_3839.mov" TargetMode="External"/><Relationship Id="rId5151" Type="http://schemas.openxmlformats.org/officeDocument/2006/relationships/hyperlink" Target="http://csr.bu.edu/ftp/asl/asllvd/demos/verify_start_end_handshape_annotations//test_auto_move//signs_mov_separ_signers/Liz_3897.mov" TargetMode="External"/><Relationship Id="rId5152" Type="http://schemas.openxmlformats.org/officeDocument/2006/relationships/hyperlink" Target="http://secrets.rutgers.edu:8080/data/asl-ftp/asllvd/demos/verify_start_end_handshape_annotations//test_auto_move//signs_mov_separ_signers/Liz_3897.mov" TargetMode="External"/><Relationship Id="rId5153" Type="http://schemas.openxmlformats.org/officeDocument/2006/relationships/hyperlink" Target="http://csr.bu.edu/ftp/asl/asllvd/demos/verify_start_end_handshape_annotations//test_auto_move//signs_mov_separ_signers/Tyler_549.mov" TargetMode="External"/><Relationship Id="rId5154" Type="http://schemas.openxmlformats.org/officeDocument/2006/relationships/hyperlink" Target="http://secrets.rutgers.edu:8080/data/asl-ftp/asllvd/demos/verify_start_end_handshape_annotations//test_auto_move//signs_mov_separ_signers/Tyler_549.mov" TargetMode="External"/><Relationship Id="rId5155" Type="http://schemas.openxmlformats.org/officeDocument/2006/relationships/hyperlink" Target="http://csr.bu.edu/ftp/asl/asllvd/demos/verify_start_end_handshape_annotations//test_auto_move//signs_mov/549_3603_3839_3897_merged.mov" TargetMode="External"/><Relationship Id="rId5156" Type="http://schemas.openxmlformats.org/officeDocument/2006/relationships/hyperlink" Target="http://csr.bu.edu/ftp/asl/asllvd/demos/verify_start_end_handshape_annotations//test_auto_move//signs_mov_separ_signers/Tyler_3603.mov" TargetMode="External"/><Relationship Id="rId5157" Type="http://schemas.openxmlformats.org/officeDocument/2006/relationships/hyperlink" Target="http://secrets.rutgers.edu:8080/data/asl-ftp/asllvd/demos/verify_start_end_handshape_annotations//test_auto_move//signs_mov/549_3603_3839_3897_merged.mov" TargetMode="External"/><Relationship Id="rId5158" Type="http://schemas.openxmlformats.org/officeDocument/2006/relationships/hyperlink" Target="http://secrets.rutgers.edu:8080/data/asl-ftp/asllvd/demos/verify_start_end_handshape_annotations//test_auto_move//signs_mov_separ_signers/Tyler_3603.mov" TargetMode="External"/><Relationship Id="rId5159" Type="http://schemas.openxmlformats.org/officeDocument/2006/relationships/hyperlink" Target="http://csr.bu.edu/ftp/asl/asllvd/demos/verify_start_end_handshape_annotations//test_auto_move//signs_mov_separ_signers/Naomi_549.mov" TargetMode="External"/><Relationship Id="rId5160" Type="http://schemas.openxmlformats.org/officeDocument/2006/relationships/hyperlink" Target="http://secrets.rutgers.edu:8080/data/asl-ftp/asllvd/demos/verify_start_end_handshape_annotations//test_auto_move//signs_mov_separ_signers/Naomi_549.mov" TargetMode="External"/><Relationship Id="rId5161" Type="http://schemas.openxmlformats.org/officeDocument/2006/relationships/hyperlink" Target="http://csr.bu.edu/ftp/asl/asllvd/demos/verify_start_end_handshape_annotations//test_auto_move//signs_mov_separ_signers/Naomi_3603.mov" TargetMode="External"/><Relationship Id="rId5162" Type="http://schemas.openxmlformats.org/officeDocument/2006/relationships/hyperlink" Target="http://secrets.rutgers.edu:8080/data/asl-ftp/asllvd/demos/verify_start_end_handshape_annotations//test_auto_move//signs_mov_separ_signers/Naomi_3603.mov" TargetMode="External"/><Relationship Id="rId5163" Type="http://schemas.openxmlformats.org/officeDocument/2006/relationships/hyperlink" Target="http://csr.bu.edu/ftp/asl/asllvd/demos/verify_start_end_handshape_annotations//test_auto_move//signs_mov_separ_signers/Brady_549.mov" TargetMode="External"/><Relationship Id="rId5164" Type="http://schemas.openxmlformats.org/officeDocument/2006/relationships/hyperlink" Target="http://secrets.rutgers.edu:8080/data/asl-ftp/asllvd/demos/verify_start_end_handshape_annotations//test_auto_move//signs_mov_separ_signers/Brady_549.mov" TargetMode="External"/><Relationship Id="rId5165" Type="http://schemas.openxmlformats.org/officeDocument/2006/relationships/hyperlink" Target="http://csr.bu.edu/ftp/asl/asllvd/demos/verify_start_end_handshape_annotations//test_auto_move//signs_mov_separ_signers/Brady_3603.mov" TargetMode="External"/><Relationship Id="rId5166" Type="http://schemas.openxmlformats.org/officeDocument/2006/relationships/hyperlink" Target="http://secrets.rutgers.edu:8080/data/asl-ftp/asllvd/demos/verify_start_end_handshape_annotations//test_auto_move//signs_mov_separ_signers/Brady_3603.mov" TargetMode="External"/><Relationship Id="rId5167" Type="http://schemas.openxmlformats.org/officeDocument/2006/relationships/hyperlink" Target="http://csr.bu.edu/ftp/asl/asllvd/demos/verify_start_end_handshape_annotations//test_auto_move//signs_mov_separ_signers/Brady_3839.mov" TargetMode="External"/><Relationship Id="rId5168" Type="http://schemas.openxmlformats.org/officeDocument/2006/relationships/hyperlink" Target="http://secrets.rutgers.edu:8080/data/asl-ftp/asllvd/demos/verify_start_end_handshape_annotations//test_auto_move//signs_mov_separ_signers/Brady_3839.mov" TargetMode="External"/><Relationship Id="rId5169" Type="http://schemas.openxmlformats.org/officeDocument/2006/relationships/hyperlink" Target="http://csr.bu.edu/ftp/asl/asllvd/demos/verify_start_end_handshape_annotations//test_auto_move//signs_mov_separ_signers/Brady_3897.mov" TargetMode="External"/><Relationship Id="rId5170" Type="http://schemas.openxmlformats.org/officeDocument/2006/relationships/hyperlink" Target="http://secrets.rutgers.edu:8080/data/asl-ftp/asllvd/demos/verify_start_end_handshape_annotations//test_auto_move//signs_mov_separ_signers/Brady_3897.mov" TargetMode="External"/><Relationship Id="rId5171" Type="http://schemas.openxmlformats.org/officeDocument/2006/relationships/hyperlink" Target="http://csr.bu.edu/ftp/asl/asllvd/demos/verify_start_end_handshape_annotations//test_auto_move//signs_mov_separ_signers/Liz_15531.mov" TargetMode="External"/><Relationship Id="rId5172" Type="http://schemas.openxmlformats.org/officeDocument/2006/relationships/hyperlink" Target="http://secrets.rutgers.edu:8080/data/asl-ftp/asllvd/demos/verify_start_end_handshape_annotations//test_auto_move//signs_mov_separ_signers/Liz_15531.mov" TargetMode="External"/><Relationship Id="rId5173" Type="http://schemas.openxmlformats.org/officeDocument/2006/relationships/hyperlink" Target="http://csr.bu.edu/ftp/asl/asllvd/demos/verify_start_end_handshape_annotations//test_auto_move//signs_mov/15531.mov" TargetMode="External"/><Relationship Id="rId5174" Type="http://schemas.openxmlformats.org/officeDocument/2006/relationships/hyperlink" Target="http://csr.bu.edu/ftp/asl/asllvd/demos/verify_start_end_handshape_annotations//test_auto_move//signs_mov_separ_signers/Tyler_15531.mov" TargetMode="External"/><Relationship Id="rId5175" Type="http://schemas.openxmlformats.org/officeDocument/2006/relationships/hyperlink" Target="http://secrets.rutgers.edu:8080/data/asl-ftp/asllvd/demos/verify_start_end_handshape_annotations//test_auto_move//signs_mov/15531.mov" TargetMode="External"/><Relationship Id="rId5176" Type="http://schemas.openxmlformats.org/officeDocument/2006/relationships/hyperlink" Target="http://secrets.rutgers.edu:8080/data/asl-ftp/asllvd/demos/verify_start_end_handshape_annotations//test_auto_move//signs_mov_separ_signers/Tyler_15531.mov" TargetMode="External"/><Relationship Id="rId5177" Type="http://schemas.openxmlformats.org/officeDocument/2006/relationships/hyperlink" Target="http://csr.bu.edu/ftp/asl/asllvd/demos/verify_start_end_handshape_annotations//test_auto_move//signs_mov_separ_signers/Naomi_15531.mov" TargetMode="External"/><Relationship Id="rId5178" Type="http://schemas.openxmlformats.org/officeDocument/2006/relationships/hyperlink" Target="http://secrets.rutgers.edu:8080/data/asl-ftp/asllvd/demos/verify_start_end_handshape_annotations//test_auto_move//signs_mov_separ_signers/Naomi_15531.mov" TargetMode="External"/><Relationship Id="rId5179" Type="http://schemas.openxmlformats.org/officeDocument/2006/relationships/hyperlink" Target="http://csr.bu.edu/ftp/asl/asllvd/demos/verify_start_end_handshape_annotations//test_auto_move//signs_mov_separ_signers/Brady_15531.mov" TargetMode="External"/><Relationship Id="rId5180" Type="http://schemas.openxmlformats.org/officeDocument/2006/relationships/hyperlink" Target="http://secrets.rutgers.edu:8080/data/asl-ftp/asllvd/demos/verify_start_end_handshape_annotations//test_auto_move//signs_mov_separ_signers/Brady_15531.mov" TargetMode="External"/><Relationship Id="rId5181" Type="http://schemas.openxmlformats.org/officeDocument/2006/relationships/hyperlink" Target="http://csr.bu.edu/ftp/asl/asllvd/demos/verify_start_end_handshape_annotations//test_auto_move//signs_mov_separ_signers/Liz_550.mov" TargetMode="External"/><Relationship Id="rId5182" Type="http://schemas.openxmlformats.org/officeDocument/2006/relationships/hyperlink" Target="http://secrets.rutgers.edu:8080/data/asl-ftp/asllvd/demos/verify_start_end_handshape_annotations//test_auto_move//signs_mov_separ_signers/Liz_550.mov" TargetMode="External"/><Relationship Id="rId5183" Type="http://schemas.openxmlformats.org/officeDocument/2006/relationships/hyperlink" Target="http://csr.bu.edu/ftp/asl/asllvd/demos/verify_start_end_handshape_annotations//test_auto_move//signs_mov/550.mov" TargetMode="External"/><Relationship Id="rId5184" Type="http://schemas.openxmlformats.org/officeDocument/2006/relationships/hyperlink" Target="http://csr.bu.edu/ftp/asl/asllvd/demos/verify_start_end_handshape_annotations//test_auto_move//signs_mov_separ_signers/Naomi_550.mov" TargetMode="External"/><Relationship Id="rId5185" Type="http://schemas.openxmlformats.org/officeDocument/2006/relationships/hyperlink" Target="http://secrets.rutgers.edu:8080/data/asl-ftp/asllvd/demos/verify_start_end_handshape_annotations//test_auto_move//signs_mov/550.mov" TargetMode="External"/><Relationship Id="rId5186" Type="http://schemas.openxmlformats.org/officeDocument/2006/relationships/hyperlink" Target="http://secrets.rutgers.edu:8080/data/asl-ftp/asllvd/demos/verify_start_end_handshape_annotations//test_auto_move//signs_mov_separ_signers/Naomi_550.mov" TargetMode="External"/><Relationship Id="rId5187" Type="http://schemas.openxmlformats.org/officeDocument/2006/relationships/hyperlink" Target="http://csr.bu.edu/ftp/asl/asllvd/demos/verify_start_end_handshape_annotations//test_auto_move//signs_mov_separ_signers/Brady_550.mov" TargetMode="External"/><Relationship Id="rId5188" Type="http://schemas.openxmlformats.org/officeDocument/2006/relationships/hyperlink" Target="http://secrets.rutgers.edu:8080/data/asl-ftp/asllvd/demos/verify_start_end_handshape_annotations//test_auto_move//signs_mov_separ_signers/Brady_550.mov" TargetMode="External"/><Relationship Id="rId5189" Type="http://schemas.openxmlformats.org/officeDocument/2006/relationships/hyperlink" Target="http://csr.bu.edu/ftp/asl/asllvd/demos/verify_start_end_handshape_annotations//test_auto_move//signs_mov/551.mov" TargetMode="External"/><Relationship Id="rId5190" Type="http://schemas.openxmlformats.org/officeDocument/2006/relationships/hyperlink" Target="http://csr.bu.edu/ftp/asl/asllvd/demos/verify_start_end_handshape_annotations//test_auto_move//signs_mov_separ_signers/Naomi_551.mov" TargetMode="External"/><Relationship Id="rId5191" Type="http://schemas.openxmlformats.org/officeDocument/2006/relationships/hyperlink" Target="http://secrets.rutgers.edu:8080/data/asl-ftp/asllvd/demos/verify_start_end_handshape_annotations//test_auto_move//signs_mov/551.mov" TargetMode="External"/><Relationship Id="rId5192" Type="http://schemas.openxmlformats.org/officeDocument/2006/relationships/hyperlink" Target="http://secrets.rutgers.edu:8080/data/asl-ftp/asllvd/demos/verify_start_end_handshape_annotations//test_auto_move//signs_mov_separ_signers/Naomi_551.mov" TargetMode="External"/><Relationship Id="rId5193" Type="http://schemas.openxmlformats.org/officeDocument/2006/relationships/hyperlink" Target="http://csr.bu.edu/ftp/asl/asllvd/demos/verify_start_end_handshape_annotations//test_auto_move//signs_mov_separ_signers/Brady_551.mov" TargetMode="External"/><Relationship Id="rId5194" Type="http://schemas.openxmlformats.org/officeDocument/2006/relationships/hyperlink" Target="http://secrets.rutgers.edu:8080/data/asl-ftp/asllvd/demos/verify_start_end_handshape_annotations//test_auto_move//signs_mov_separ_signers/Brady_551.mov" TargetMode="External"/><Relationship Id="rId5195" Type="http://schemas.openxmlformats.org/officeDocument/2006/relationships/hyperlink" Target="http://csr.bu.edu/ftp/asl/asllvd/demos/verify_start_end_handshape_annotations//test_auto_move//signs_mov_separ_signers/Liz_553.mov" TargetMode="External"/><Relationship Id="rId5196" Type="http://schemas.openxmlformats.org/officeDocument/2006/relationships/hyperlink" Target="http://secrets.rutgers.edu:8080/data/asl-ftp/asllvd/demos/verify_start_end_handshape_annotations//test_auto_move//signs_mov_separ_signers/Liz_553.mov" TargetMode="External"/><Relationship Id="rId5197" Type="http://schemas.openxmlformats.org/officeDocument/2006/relationships/hyperlink" Target="http://csr.bu.edu/ftp/asl/asllvd/demos/verify_start_end_handshape_annotations//test_auto_move//signs_mov_separ_signers/Tyler_553.mov" TargetMode="External"/><Relationship Id="rId5198" Type="http://schemas.openxmlformats.org/officeDocument/2006/relationships/hyperlink" Target="http://secrets.rutgers.edu:8080/data/asl-ftp/asllvd/demos/verify_start_end_handshape_annotations//test_auto_move//signs_mov_separ_signers/Tyler_553.mov" TargetMode="External"/><Relationship Id="rId5199" Type="http://schemas.openxmlformats.org/officeDocument/2006/relationships/hyperlink" Target="http://csr.bu.edu/ftp/asl/asllvd/demos/verify_start_end_handshape_annotations//test_auto_move//signs_mov/553.mov" TargetMode="External"/><Relationship Id="rId5200" Type="http://schemas.openxmlformats.org/officeDocument/2006/relationships/hyperlink" Target="http://csr.bu.edu/ftp/asl/asllvd/demos/verify_start_end_handshape_annotations//test_auto_move//signs_mov_separ_signers/Naomi_553.mov" TargetMode="External"/><Relationship Id="rId5201" Type="http://schemas.openxmlformats.org/officeDocument/2006/relationships/hyperlink" Target="http://secrets.rutgers.edu:8080/data/asl-ftp/asllvd/demos/verify_start_end_handshape_annotations//test_auto_move//signs_mov/553.mov" TargetMode="External"/><Relationship Id="rId5202" Type="http://schemas.openxmlformats.org/officeDocument/2006/relationships/hyperlink" Target="http://secrets.rutgers.edu:8080/data/asl-ftp/asllvd/demos/verify_start_end_handshape_annotations//test_auto_move//signs_mov_separ_signers/Naomi_553.mov" TargetMode="External"/><Relationship Id="rId5203" Type="http://schemas.openxmlformats.org/officeDocument/2006/relationships/hyperlink" Target="http://csr.bu.edu/ftp/asl/asllvd/demos/verify_start_end_handshape_annotations//test_auto_move//signs_mov_separ_signers/Brady_553.mov" TargetMode="External"/><Relationship Id="rId5204" Type="http://schemas.openxmlformats.org/officeDocument/2006/relationships/hyperlink" Target="http://secrets.rutgers.edu:8080/data/asl-ftp/asllvd/demos/verify_start_end_handshape_annotations//test_auto_move//signs_mov_separ_signers/Brady_553.mov" TargetMode="External"/><Relationship Id="rId5205" Type="http://schemas.openxmlformats.org/officeDocument/2006/relationships/hyperlink" Target="http://csr.bu.edu/ftp/asl/asllvd/demos/verify_start_end_handshape_annotations//test_auto_move//signs_mov_separ_signers/Lana_553.mov" TargetMode="External"/><Relationship Id="rId5206" Type="http://schemas.openxmlformats.org/officeDocument/2006/relationships/hyperlink" Target="http://secrets.rutgers.edu:8080/data/asl-ftp/asllvd/demos/verify_start_end_handshape_annotations//test_auto_move//signs_mov_separ_signers/Lana_553.mov" TargetMode="External"/><Relationship Id="rId5207" Type="http://schemas.openxmlformats.org/officeDocument/2006/relationships/hyperlink" Target="http://csr.bu.edu/ftp/asl/asllvd/demos/verify_start_end_handshape_annotations//test_auto_move//signs_mov_separ_signers/Dana_553.mov" TargetMode="External"/><Relationship Id="rId5208" Type="http://schemas.openxmlformats.org/officeDocument/2006/relationships/hyperlink" Target="http://secrets.rutgers.edu:8080/data/asl-ftp/asllvd/demos/verify_start_end_handshape_annotations//test_auto_move//signs_mov_separ_signers/Dana_553.mov" TargetMode="External"/><Relationship Id="rId5209" Type="http://schemas.openxmlformats.org/officeDocument/2006/relationships/hyperlink" Target="http://csr.bu.edu/ftp/asl/asllvd/demos/verify_start_end_handshape_annotations//test_auto_move//signs_mov/3600.mov" TargetMode="External"/><Relationship Id="rId5210" Type="http://schemas.openxmlformats.org/officeDocument/2006/relationships/hyperlink" Target="http://csr.bu.edu/ftp/asl/asllvd/demos/verify_start_end_handshape_annotations//test_auto_move//signs_mov_separ_signers/Liz_3600.mov" TargetMode="External"/><Relationship Id="rId5211" Type="http://schemas.openxmlformats.org/officeDocument/2006/relationships/hyperlink" Target="http://secrets.rutgers.edu:8080/data/asl-ftp/asllvd/demos/verify_start_end_handshape_annotations//test_auto_move//signs_mov/3600.mov" TargetMode="External"/><Relationship Id="rId5212" Type="http://schemas.openxmlformats.org/officeDocument/2006/relationships/hyperlink" Target="http://secrets.rutgers.edu:8080/data/asl-ftp/asllvd/demos/verify_start_end_handshape_annotations//test_auto_move//signs_mov_separ_signers/Liz_3600.mov" TargetMode="External"/><Relationship Id="rId5213" Type="http://schemas.openxmlformats.org/officeDocument/2006/relationships/hyperlink" Target="http://csr.bu.edu/ftp/asl/asllvd/demos/verify_start_end_handshape_annotations//test_auto_move//signs_mov_separ_signers/Naomi_3600.mov" TargetMode="External"/><Relationship Id="rId5214" Type="http://schemas.openxmlformats.org/officeDocument/2006/relationships/hyperlink" Target="http://secrets.rutgers.edu:8080/data/asl-ftp/asllvd/demos/verify_start_end_handshape_annotations//test_auto_move//signs_mov_separ_signers/Naomi_3600.mov" TargetMode="External"/><Relationship Id="rId5215" Type="http://schemas.openxmlformats.org/officeDocument/2006/relationships/hyperlink" Target="http://csr.bu.edu/ftp/asl/asllvd/demos/verify_start_end_handshape_annotations//test_auto_move//signs_mov_separ_signers/Liz_15530.mov" TargetMode="External"/><Relationship Id="rId5216" Type="http://schemas.openxmlformats.org/officeDocument/2006/relationships/hyperlink" Target="http://secrets.rutgers.edu:8080/data/asl-ftp/asllvd/demos/verify_start_end_handshape_annotations//test_auto_move//signs_mov_separ_signers/Liz_15530.mov" TargetMode="External"/><Relationship Id="rId5217" Type="http://schemas.openxmlformats.org/officeDocument/2006/relationships/hyperlink" Target="http://csr.bu.edu/ftp/asl/asllvd/demos/verify_start_end_handshape_annotations//test_auto_move//signs_mov_separ_signers/Liz_15574.mov" TargetMode="External"/><Relationship Id="rId5218" Type="http://schemas.openxmlformats.org/officeDocument/2006/relationships/hyperlink" Target="http://secrets.rutgers.edu:8080/data/asl-ftp/asllvd/demos/verify_start_end_handshape_annotations//test_auto_move//signs_mov_separ_signers/Liz_15574.mov" TargetMode="External"/><Relationship Id="rId5219" Type="http://schemas.openxmlformats.org/officeDocument/2006/relationships/hyperlink" Target="http://csr.bu.edu/ftp/asl/asllvd/demos/verify_start_end_handshape_annotations//test_auto_move//signs_mov_separ_signers/Tyler_15530.mov" TargetMode="External"/><Relationship Id="rId5220" Type="http://schemas.openxmlformats.org/officeDocument/2006/relationships/hyperlink" Target="http://secrets.rutgers.edu:8080/data/asl-ftp/asllvd/demos/verify_start_end_handshape_annotations//test_auto_move//signs_mov_separ_signers/Tyler_15530.mov" TargetMode="External"/><Relationship Id="rId5221" Type="http://schemas.openxmlformats.org/officeDocument/2006/relationships/hyperlink" Target="http://csr.bu.edu/ftp/asl/asllvd/demos/verify_start_end_handshape_annotations//test_auto_move//signs_mov/15530_15574_merged.mov" TargetMode="External"/><Relationship Id="rId5222" Type="http://schemas.openxmlformats.org/officeDocument/2006/relationships/hyperlink" Target="http://csr.bu.edu/ftp/asl/asllvd/demos/verify_start_end_handshape_annotations//test_auto_move//signs_mov_separ_signers/Naomi_15530.mov" TargetMode="External"/><Relationship Id="rId5223" Type="http://schemas.openxmlformats.org/officeDocument/2006/relationships/hyperlink" Target="http://secrets.rutgers.edu:8080/data/asl-ftp/asllvd/demos/verify_start_end_handshape_annotations//test_auto_move//signs_mov/15530_15574_merged.mov" TargetMode="External"/><Relationship Id="rId5224" Type="http://schemas.openxmlformats.org/officeDocument/2006/relationships/hyperlink" Target="http://secrets.rutgers.edu:8080/data/asl-ftp/asllvd/demos/verify_start_end_handshape_annotations//test_auto_move//signs_mov_separ_signers/Naomi_15530.mov" TargetMode="External"/><Relationship Id="rId5225" Type="http://schemas.openxmlformats.org/officeDocument/2006/relationships/hyperlink" Target="http://csr.bu.edu/ftp/asl/asllvd/demos/verify_start_end_handshape_annotations//test_auto_move//signs_mov_separ_signers/Naomi_15574.mov" TargetMode="External"/><Relationship Id="rId5226" Type="http://schemas.openxmlformats.org/officeDocument/2006/relationships/hyperlink" Target="http://secrets.rutgers.edu:8080/data/asl-ftp/asllvd/demos/verify_start_end_handshape_annotations//test_auto_move//signs_mov_separ_signers/Naomi_15574.mov" TargetMode="External"/><Relationship Id="rId5227" Type="http://schemas.openxmlformats.org/officeDocument/2006/relationships/hyperlink" Target="http://csr.bu.edu/ftp/asl/asllvd/demos/verify_start_end_handshape_annotations//test_auto_move//signs_mov_separ_signers/Brady_15530.mov" TargetMode="External"/><Relationship Id="rId5228" Type="http://schemas.openxmlformats.org/officeDocument/2006/relationships/hyperlink" Target="http://secrets.rutgers.edu:8080/data/asl-ftp/asllvd/demos/verify_start_end_handshape_annotations//test_auto_move//signs_mov_separ_signers/Brady_15530.mov" TargetMode="External"/><Relationship Id="rId5229" Type="http://schemas.openxmlformats.org/officeDocument/2006/relationships/hyperlink" Target="http://csr.bu.edu/ftp/asl/asllvd/demos/verify_start_end_handshape_annotations//test_auto_move//signs_mov_separ_signers/Brady_15574.mov" TargetMode="External"/><Relationship Id="rId5230" Type="http://schemas.openxmlformats.org/officeDocument/2006/relationships/hyperlink" Target="http://secrets.rutgers.edu:8080/data/asl-ftp/asllvd/demos/verify_start_end_handshape_annotations//test_auto_move//signs_mov_separ_signers/Brady_15574.mov" TargetMode="External"/><Relationship Id="rId5231" Type="http://schemas.openxmlformats.org/officeDocument/2006/relationships/hyperlink" Target="http://csr.bu.edu/ftp/asl/asllvd/demos/verify_start_end_handshape_annotations//test_auto_move//signs_mov_separ_signers/Liz_555.mov" TargetMode="External"/><Relationship Id="rId5232" Type="http://schemas.openxmlformats.org/officeDocument/2006/relationships/hyperlink" Target="http://secrets.rutgers.edu:8080/data/asl-ftp/asllvd/demos/verify_start_end_handshape_annotations//test_auto_move//signs_mov_separ_signers/Liz_555.mov" TargetMode="External"/><Relationship Id="rId5233" Type="http://schemas.openxmlformats.org/officeDocument/2006/relationships/hyperlink" Target="http://csr.bu.edu/ftp/asl/asllvd/demos/verify_start_end_handshape_annotations//test_auto_move//signs_mov_separ_signers/Tyler_555.mov" TargetMode="External"/><Relationship Id="rId5234" Type="http://schemas.openxmlformats.org/officeDocument/2006/relationships/hyperlink" Target="http://secrets.rutgers.edu:8080/data/asl-ftp/asllvd/demos/verify_start_end_handshape_annotations//test_auto_move//signs_mov_separ_signers/Tyler_555.mov" TargetMode="External"/><Relationship Id="rId5235" Type="http://schemas.openxmlformats.org/officeDocument/2006/relationships/hyperlink" Target="http://csr.bu.edu/ftp/asl/asllvd/demos/verify_start_end_handshape_annotations//test_auto_move//signs_mov/555_5893_merged.mov" TargetMode="External"/><Relationship Id="rId5236" Type="http://schemas.openxmlformats.org/officeDocument/2006/relationships/hyperlink" Target="http://csr.bu.edu/ftp/asl/asllvd/demos/verify_start_end_handshape_annotations//test_auto_move//signs_mov_separ_signers/Tyler_5893.mov" TargetMode="External"/><Relationship Id="rId5237" Type="http://schemas.openxmlformats.org/officeDocument/2006/relationships/hyperlink" Target="http://secrets.rutgers.edu:8080/data/asl-ftp/asllvd/demos/verify_start_end_handshape_annotations//test_auto_move//signs_mov/555_5893_merged.mov" TargetMode="External"/><Relationship Id="rId5238" Type="http://schemas.openxmlformats.org/officeDocument/2006/relationships/hyperlink" Target="http://secrets.rutgers.edu:8080/data/asl-ftp/asllvd/demos/verify_start_end_handshape_annotations//test_auto_move//signs_mov_separ_signers/Tyler_5893.mov" TargetMode="External"/><Relationship Id="rId5239" Type="http://schemas.openxmlformats.org/officeDocument/2006/relationships/hyperlink" Target="http://csr.bu.edu/ftp/asl/asllvd/demos/verify_start_end_handshape_annotations//test_auto_move//signs_mov_separ_signers/Naomi_555.mov" TargetMode="External"/><Relationship Id="rId5240" Type="http://schemas.openxmlformats.org/officeDocument/2006/relationships/hyperlink" Target="http://secrets.rutgers.edu:8080/data/asl-ftp/asllvd/demos/verify_start_end_handshape_annotations//test_auto_move//signs_mov_separ_signers/Naomi_555.mov" TargetMode="External"/><Relationship Id="rId5241" Type="http://schemas.openxmlformats.org/officeDocument/2006/relationships/hyperlink" Target="http://csr.bu.edu/ftp/asl/asllvd/demos/verify_start_end_handshape_annotations//test_auto_move//signs_mov_separ_signers/Naomi_5893.mov" TargetMode="External"/><Relationship Id="rId5242" Type="http://schemas.openxmlformats.org/officeDocument/2006/relationships/hyperlink" Target="http://secrets.rutgers.edu:8080/data/asl-ftp/asllvd/demos/verify_start_end_handshape_annotations//test_auto_move//signs_mov_separ_signers/Naomi_5893.mov" TargetMode="External"/><Relationship Id="rId5243" Type="http://schemas.openxmlformats.org/officeDocument/2006/relationships/hyperlink" Target="http://csr.bu.edu/ftp/asl/asllvd/demos/verify_start_end_handshape_annotations//test_auto_move//signs_mov/16303.mov" TargetMode="External"/><Relationship Id="rId5244" Type="http://schemas.openxmlformats.org/officeDocument/2006/relationships/hyperlink" Target="http://csr.bu.edu/ftp/asl/asllvd/demos/verify_start_end_handshape_annotations//test_auto_move//signs_mov_separ_signers/Liz_16303.mov" TargetMode="External"/><Relationship Id="rId5245" Type="http://schemas.openxmlformats.org/officeDocument/2006/relationships/hyperlink" Target="http://secrets.rutgers.edu:8080/data/asl-ftp/asllvd/demos/verify_start_end_handshape_annotations//test_auto_move//signs_mov/16303.mov" TargetMode="External"/><Relationship Id="rId5246" Type="http://schemas.openxmlformats.org/officeDocument/2006/relationships/hyperlink" Target="http://secrets.rutgers.edu:8080/data/asl-ftp/asllvd/demos/verify_start_end_handshape_annotations//test_auto_move//signs_mov_separ_signers/Liz_16303.mov" TargetMode="External"/><Relationship Id="rId5247" Type="http://schemas.openxmlformats.org/officeDocument/2006/relationships/hyperlink" Target="http://csr.bu.edu/ftp/asl/asllvd/demos/verify_start_end_handshape_annotations//test_auto_move//signs_mov_separ_signers/Liz_556.mov" TargetMode="External"/><Relationship Id="rId5248" Type="http://schemas.openxmlformats.org/officeDocument/2006/relationships/hyperlink" Target="http://secrets.rutgers.edu:8080/data/asl-ftp/asllvd/demos/verify_start_end_handshape_annotations//test_auto_move//signs_mov_separ_signers/Liz_556.mov" TargetMode="External"/><Relationship Id="rId5249" Type="http://schemas.openxmlformats.org/officeDocument/2006/relationships/hyperlink" Target="http://csr.bu.edu/ftp/asl/asllvd/demos/verify_start_end_handshape_annotations//test_auto_move//signs_mov_separ_signers/Liz_3601.mov" TargetMode="External"/><Relationship Id="rId5250" Type="http://schemas.openxmlformats.org/officeDocument/2006/relationships/hyperlink" Target="http://secrets.rutgers.edu:8080/data/asl-ftp/asllvd/demos/verify_start_end_handshape_annotations//test_auto_move//signs_mov_separ_signers/Liz_3601.mov" TargetMode="External"/><Relationship Id="rId5251" Type="http://schemas.openxmlformats.org/officeDocument/2006/relationships/hyperlink" Target="http://csr.bu.edu/ftp/asl/asllvd/demos/verify_start_end_handshape_annotations//test_auto_move//signs_mov_separ_signers/Tyler_556.mov" TargetMode="External"/><Relationship Id="rId5252" Type="http://schemas.openxmlformats.org/officeDocument/2006/relationships/hyperlink" Target="http://secrets.rutgers.edu:8080/data/asl-ftp/asllvd/demos/verify_start_end_handshape_annotations//test_auto_move//signs_mov_separ_signers/Tyler_556.mov" TargetMode="External"/><Relationship Id="rId5253" Type="http://schemas.openxmlformats.org/officeDocument/2006/relationships/hyperlink" Target="http://csr.bu.edu/ftp/asl/asllvd/demos/verify_start_end_handshape_annotations//test_auto_move//signs_mov/556_3601_merged.mov" TargetMode="External"/><Relationship Id="rId5254" Type="http://schemas.openxmlformats.org/officeDocument/2006/relationships/hyperlink" Target="http://csr.bu.edu/ftp/asl/asllvd/demos/verify_start_end_handshape_annotations//test_auto_move//signs_mov_separ_signers/Naomi_556.mov" TargetMode="External"/><Relationship Id="rId5255" Type="http://schemas.openxmlformats.org/officeDocument/2006/relationships/hyperlink" Target="http://secrets.rutgers.edu:8080/data/asl-ftp/asllvd/demos/verify_start_end_handshape_annotations//test_auto_move//signs_mov/556_3601_merged.mov" TargetMode="External"/><Relationship Id="rId5256" Type="http://schemas.openxmlformats.org/officeDocument/2006/relationships/hyperlink" Target="http://secrets.rutgers.edu:8080/data/asl-ftp/asllvd/demos/verify_start_end_handshape_annotations//test_auto_move//signs_mov_separ_signers/Naomi_556.mov" TargetMode="External"/><Relationship Id="rId5257" Type="http://schemas.openxmlformats.org/officeDocument/2006/relationships/hyperlink" Target="http://csr.bu.edu/ftp/asl/asllvd/demos/verify_start_end_handshape_annotations//test_auto_move//signs_mov_separ_signers/Naomi_3601.mov" TargetMode="External"/><Relationship Id="rId5258" Type="http://schemas.openxmlformats.org/officeDocument/2006/relationships/hyperlink" Target="http://secrets.rutgers.edu:8080/data/asl-ftp/asllvd/demos/verify_start_end_handshape_annotations//test_auto_move//signs_mov_separ_signers/Naomi_3601.mov" TargetMode="External"/><Relationship Id="rId5259" Type="http://schemas.openxmlformats.org/officeDocument/2006/relationships/hyperlink" Target="http://csr.bu.edu/ftp/asl/asllvd/demos/verify_start_end_handshape_annotations//test_auto_move//signs_mov_separ_signers/Brady_556.mov" TargetMode="External"/><Relationship Id="rId5260" Type="http://schemas.openxmlformats.org/officeDocument/2006/relationships/hyperlink" Target="http://secrets.rutgers.edu:8080/data/asl-ftp/asllvd/demos/verify_start_end_handshape_annotations//test_auto_move//signs_mov_separ_signers/Brady_556.mov" TargetMode="External"/><Relationship Id="rId5261" Type="http://schemas.openxmlformats.org/officeDocument/2006/relationships/hyperlink" Target="http://csr.bu.edu/ftp/asl/asllvd/demos/verify_start_end_handshape_annotations//test_auto_move//signs_mov_separ_signers/Brady_3601.mov" TargetMode="External"/><Relationship Id="rId5262" Type="http://schemas.openxmlformats.org/officeDocument/2006/relationships/hyperlink" Target="http://secrets.rutgers.edu:8080/data/asl-ftp/asllvd/demos/verify_start_end_handshape_annotations//test_auto_move//signs_mov_separ_signers/Brady_3601.mov" TargetMode="External"/><Relationship Id="rId5263" Type="http://schemas.openxmlformats.org/officeDocument/2006/relationships/hyperlink" Target="http://csr.bu.edu/ftp/asl/asllvd/demos/verify_start_end_handshape_annotations//test_auto_move//signs_mov/3635.mov" TargetMode="External"/><Relationship Id="rId5264" Type="http://schemas.openxmlformats.org/officeDocument/2006/relationships/hyperlink" Target="http://csr.bu.edu/ftp/asl/asllvd/demos/verify_start_end_handshape_annotations//test_auto_move//signs_mov_separ_signers/Liz_3635.mov" TargetMode="External"/><Relationship Id="rId5265" Type="http://schemas.openxmlformats.org/officeDocument/2006/relationships/hyperlink" Target="http://secrets.rutgers.edu:8080/data/asl-ftp/asllvd/demos/verify_start_end_handshape_annotations//test_auto_move//signs_mov/3635.mov" TargetMode="External"/><Relationship Id="rId5266" Type="http://schemas.openxmlformats.org/officeDocument/2006/relationships/hyperlink" Target="http://secrets.rutgers.edu:8080/data/asl-ftp/asllvd/demos/verify_start_end_handshape_annotations//test_auto_move//signs_mov_separ_signers/Liz_3635.mov" TargetMode="External"/><Relationship Id="rId5267" Type="http://schemas.openxmlformats.org/officeDocument/2006/relationships/hyperlink" Target="http://csr.bu.edu/ftp/asl/asllvd/demos/verify_start_end_handshape_annotations//test_auto_move//signs_mov_separ_signers/Naomi_3635.mov" TargetMode="External"/><Relationship Id="rId5268" Type="http://schemas.openxmlformats.org/officeDocument/2006/relationships/hyperlink" Target="http://secrets.rutgers.edu:8080/data/asl-ftp/asllvd/demos/verify_start_end_handshape_annotations//test_auto_move//signs_mov_separ_signers/Naomi_3635.mov" TargetMode="External"/><Relationship Id="rId5269" Type="http://schemas.openxmlformats.org/officeDocument/2006/relationships/hyperlink" Target="http://csr.bu.edu/ftp/asl/asllvd/demos/verify_start_end_handshape_annotations//test_auto_move//signs_mov_separ_signers/Liz_3636.mov" TargetMode="External"/><Relationship Id="rId5270" Type="http://schemas.openxmlformats.org/officeDocument/2006/relationships/hyperlink" Target="http://secrets.rutgers.edu:8080/data/asl-ftp/asllvd/demos/verify_start_end_handshape_annotations//test_auto_move//signs_mov_separ_signers/Liz_3636.mov" TargetMode="External"/><Relationship Id="rId5271" Type="http://schemas.openxmlformats.org/officeDocument/2006/relationships/hyperlink" Target="http://csr.bu.edu/ftp/asl/asllvd/demos/verify_start_end_handshape_annotations//test_auto_move//signs_mov/3636.mov" TargetMode="External"/><Relationship Id="rId5272" Type="http://schemas.openxmlformats.org/officeDocument/2006/relationships/hyperlink" Target="http://csr.bu.edu/ftp/asl/asllvd/demos/verify_start_end_handshape_annotations//test_auto_move//signs_mov_separ_signers/Tyler_3636.mov" TargetMode="External"/><Relationship Id="rId5273" Type="http://schemas.openxmlformats.org/officeDocument/2006/relationships/hyperlink" Target="http://secrets.rutgers.edu:8080/data/asl-ftp/asllvd/demos/verify_start_end_handshape_annotations//test_auto_move//signs_mov/3636.mov" TargetMode="External"/><Relationship Id="rId5274" Type="http://schemas.openxmlformats.org/officeDocument/2006/relationships/hyperlink" Target="http://secrets.rutgers.edu:8080/data/asl-ftp/asllvd/demos/verify_start_end_handshape_annotations//test_auto_move//signs_mov_separ_signers/Tyler_3636.mov" TargetMode="External"/><Relationship Id="rId5275" Type="http://schemas.openxmlformats.org/officeDocument/2006/relationships/hyperlink" Target="http://csr.bu.edu/ftp/asl/asllvd/demos/verify_start_end_handshape_annotations//test_auto_move//signs_mov_separ_signers/Naomi_3636.mov" TargetMode="External"/><Relationship Id="rId5276" Type="http://schemas.openxmlformats.org/officeDocument/2006/relationships/hyperlink" Target="http://secrets.rutgers.edu:8080/data/asl-ftp/asllvd/demos/verify_start_end_handshape_annotations//test_auto_move//signs_mov_separ_signers/Naomi_3636.mov" TargetMode="External"/><Relationship Id="rId5277" Type="http://schemas.openxmlformats.org/officeDocument/2006/relationships/hyperlink" Target="http://csr.bu.edu/ftp/asl/asllvd/demos/verify_start_end_handshape_annotations//test_auto_move//signs_mov_separ_signers/Liz_558.mov" TargetMode="External"/><Relationship Id="rId5278" Type="http://schemas.openxmlformats.org/officeDocument/2006/relationships/hyperlink" Target="http://secrets.rutgers.edu:8080/data/asl-ftp/asllvd/demos/verify_start_end_handshape_annotations//test_auto_move//signs_mov_separ_signers/Liz_558.mov" TargetMode="External"/><Relationship Id="rId5279" Type="http://schemas.openxmlformats.org/officeDocument/2006/relationships/hyperlink" Target="http://csr.bu.edu/ftp/asl/asllvd/demos/verify_start_end_handshape_annotations//test_auto_move//signs_mov_separ_signers/Liz_3544.mov" TargetMode="External"/><Relationship Id="rId5280" Type="http://schemas.openxmlformats.org/officeDocument/2006/relationships/hyperlink" Target="http://secrets.rutgers.edu:8080/data/asl-ftp/asllvd/demos/verify_start_end_handshape_annotations//test_auto_move//signs_mov_separ_signers/Liz_3544.mov" TargetMode="External"/><Relationship Id="rId5281" Type="http://schemas.openxmlformats.org/officeDocument/2006/relationships/hyperlink" Target="http://csr.bu.edu/ftp/asl/asllvd/demos/verify_start_end_handshape_annotations//test_auto_move//signs_mov_separ_signers/Liz_3623.mov" TargetMode="External"/><Relationship Id="rId5282" Type="http://schemas.openxmlformats.org/officeDocument/2006/relationships/hyperlink" Target="http://secrets.rutgers.edu:8080/data/asl-ftp/asllvd/demos/verify_start_end_handshape_annotations//test_auto_move//signs_mov_separ_signers/Liz_3623.mov" TargetMode="External"/><Relationship Id="rId5283" Type="http://schemas.openxmlformats.org/officeDocument/2006/relationships/hyperlink" Target="http://csr.bu.edu/ftp/asl/asllvd/demos/verify_start_end_handshape_annotations//test_auto_move//signs_mov_separ_signers/Tyler_558.mov" TargetMode="External"/><Relationship Id="rId5284" Type="http://schemas.openxmlformats.org/officeDocument/2006/relationships/hyperlink" Target="http://secrets.rutgers.edu:8080/data/asl-ftp/asllvd/demos/verify_start_end_handshape_annotations//test_auto_move//signs_mov_separ_signers/Tyler_558.mov" TargetMode="External"/><Relationship Id="rId5285" Type="http://schemas.openxmlformats.org/officeDocument/2006/relationships/hyperlink" Target="http://csr.bu.edu/ftp/asl/asllvd/demos/verify_start_end_handshape_annotations//test_auto_move//signs_mov/558_3544_3623_merged.mov" TargetMode="External"/><Relationship Id="rId5286" Type="http://schemas.openxmlformats.org/officeDocument/2006/relationships/hyperlink" Target="http://csr.bu.edu/ftp/asl/asllvd/demos/verify_start_end_handshape_annotations//test_auto_move//signs_mov_separ_signers/Tyler_3544.mov" TargetMode="External"/><Relationship Id="rId5287" Type="http://schemas.openxmlformats.org/officeDocument/2006/relationships/hyperlink" Target="http://secrets.rutgers.edu:8080/data/asl-ftp/asllvd/demos/verify_start_end_handshape_annotations//test_auto_move//signs_mov/558_3544_3623_merged.mov" TargetMode="External"/><Relationship Id="rId5288" Type="http://schemas.openxmlformats.org/officeDocument/2006/relationships/hyperlink" Target="http://secrets.rutgers.edu:8080/data/asl-ftp/asllvd/demos/verify_start_end_handshape_annotations//test_auto_move//signs_mov_separ_signers/Tyler_3544.mov" TargetMode="External"/><Relationship Id="rId5289" Type="http://schemas.openxmlformats.org/officeDocument/2006/relationships/hyperlink" Target="http://csr.bu.edu/ftp/asl/asllvd/demos/verify_start_end_handshape_annotations//test_auto_move//signs_mov_separ_signers/Naomi_558.mov" TargetMode="External"/><Relationship Id="rId5290" Type="http://schemas.openxmlformats.org/officeDocument/2006/relationships/hyperlink" Target="http://secrets.rutgers.edu:8080/data/asl-ftp/asllvd/demos/verify_start_end_handshape_annotations//test_auto_move//signs_mov_separ_signers/Naomi_558.mov" TargetMode="External"/><Relationship Id="rId5291" Type="http://schemas.openxmlformats.org/officeDocument/2006/relationships/hyperlink" Target="http://csr.bu.edu/ftp/asl/asllvd/demos/verify_start_end_handshape_annotations//test_auto_move//signs_mov_separ_signers/Naomi_3544.mov" TargetMode="External"/><Relationship Id="rId5292" Type="http://schemas.openxmlformats.org/officeDocument/2006/relationships/hyperlink" Target="http://secrets.rutgers.edu:8080/data/asl-ftp/asllvd/demos/verify_start_end_handshape_annotations//test_auto_move//signs_mov_separ_signers/Naomi_3544.mov" TargetMode="External"/><Relationship Id="rId5293" Type="http://schemas.openxmlformats.org/officeDocument/2006/relationships/hyperlink" Target="http://csr.bu.edu/ftp/asl/asllvd/demos/verify_start_end_handshape_annotations//test_auto_move//signs_mov_separ_signers/Brady_558.mov" TargetMode="External"/><Relationship Id="rId5294" Type="http://schemas.openxmlformats.org/officeDocument/2006/relationships/hyperlink" Target="http://secrets.rutgers.edu:8080/data/asl-ftp/asllvd/demos/verify_start_end_handshape_annotations//test_auto_move//signs_mov_separ_signers/Brady_558.mov" TargetMode="External"/><Relationship Id="rId5295" Type="http://schemas.openxmlformats.org/officeDocument/2006/relationships/hyperlink" Target="http://csr.bu.edu/ftp/asl/asllvd/demos/verify_start_end_handshape_annotations//test_auto_move//signs_mov_separ_signers/Brady_3544.mov" TargetMode="External"/><Relationship Id="rId5296" Type="http://schemas.openxmlformats.org/officeDocument/2006/relationships/hyperlink" Target="http://secrets.rutgers.edu:8080/data/asl-ftp/asllvd/demos/verify_start_end_handshape_annotations//test_auto_move//signs_mov_separ_signers/Brady_3544.mov" TargetMode="External"/><Relationship Id="rId5297" Type="http://schemas.openxmlformats.org/officeDocument/2006/relationships/hyperlink" Target="http://csr.bu.edu/ftp/asl/asllvd/demos/verify_start_end_handshape_annotations//test_auto_move//signs_mov_separ_signers/Liz_564.mov" TargetMode="External"/><Relationship Id="rId5298" Type="http://schemas.openxmlformats.org/officeDocument/2006/relationships/hyperlink" Target="http://secrets.rutgers.edu:8080/data/asl-ftp/asllvd/demos/verify_start_end_handshape_annotations//test_auto_move//signs_mov_separ_signers/Liz_564.mov" TargetMode="External"/><Relationship Id="rId5299" Type="http://schemas.openxmlformats.org/officeDocument/2006/relationships/hyperlink" Target="http://csr.bu.edu/ftp/asl/asllvd/demos/verify_start_end_handshape_annotations//test_auto_move//signs_mov/564_5025_merged.mov" TargetMode="External"/><Relationship Id="rId5300" Type="http://schemas.openxmlformats.org/officeDocument/2006/relationships/hyperlink" Target="http://csr.bu.edu/ftp/asl/asllvd/demos/verify_start_end_handshape_annotations//test_auto_move//signs_mov_separ_signers/Naomi_564.mov" TargetMode="External"/><Relationship Id="rId5301" Type="http://schemas.openxmlformats.org/officeDocument/2006/relationships/hyperlink" Target="http://secrets.rutgers.edu:8080/data/asl-ftp/asllvd/demos/verify_start_end_handshape_annotations//test_auto_move//signs_mov/564_5025_merged.mov" TargetMode="External"/><Relationship Id="rId5302" Type="http://schemas.openxmlformats.org/officeDocument/2006/relationships/hyperlink" Target="http://secrets.rutgers.edu:8080/data/asl-ftp/asllvd/demos/verify_start_end_handshape_annotations//test_auto_move//signs_mov_separ_signers/Naomi_564.mov" TargetMode="External"/><Relationship Id="rId5303" Type="http://schemas.openxmlformats.org/officeDocument/2006/relationships/hyperlink" Target="http://csr.bu.edu/ftp/asl/asllvd/demos/verify_start_end_handshape_annotations//test_auto_move//signs_mov_separ_signers/Brady_564.mov" TargetMode="External"/><Relationship Id="rId5304" Type="http://schemas.openxmlformats.org/officeDocument/2006/relationships/hyperlink" Target="http://secrets.rutgers.edu:8080/data/asl-ftp/asllvd/demos/verify_start_end_handshape_annotations//test_auto_move//signs_mov_separ_signers/Brady_564.mov" TargetMode="External"/><Relationship Id="rId5305" Type="http://schemas.openxmlformats.org/officeDocument/2006/relationships/hyperlink" Target="http://csr.bu.edu/ftp/asl/asllvd/demos/verify_start_end_handshape_annotations//test_auto_move//signs_mov_separ_signers/Brady_5025.mov" TargetMode="External"/><Relationship Id="rId5306" Type="http://schemas.openxmlformats.org/officeDocument/2006/relationships/hyperlink" Target="http://secrets.rutgers.edu:8080/data/asl-ftp/asllvd/demos/verify_start_end_handshape_annotations//test_auto_move//signs_mov_separ_signers/Brady_5025.mov" TargetMode="External"/><Relationship Id="rId5307" Type="http://schemas.openxmlformats.org/officeDocument/2006/relationships/hyperlink" Target="http://csr.bu.edu/ftp/asl/asllvd/demos/verify_start_end_handshape_annotations//test_auto_move//signs_mov/15008.mov" TargetMode="External"/><Relationship Id="rId5308" Type="http://schemas.openxmlformats.org/officeDocument/2006/relationships/hyperlink" Target="http://csr.bu.edu/ftp/asl/asllvd/demos/verify_start_end_handshape_annotations//test_auto_move//signs_mov_separ_signers/Dana_15008.mov" TargetMode="External"/><Relationship Id="rId5309" Type="http://schemas.openxmlformats.org/officeDocument/2006/relationships/hyperlink" Target="http://secrets.rutgers.edu:8080/data/asl-ftp/asllvd/demos/verify_start_end_handshape_annotations//test_auto_move//signs_mov/15008.mov" TargetMode="External"/><Relationship Id="rId5310" Type="http://schemas.openxmlformats.org/officeDocument/2006/relationships/hyperlink" Target="http://secrets.rutgers.edu:8080/data/asl-ftp/asllvd/demos/verify_start_end_handshape_annotations//test_auto_move//signs_mov_separ_signers/Dana_15008.mov" TargetMode="External"/><Relationship Id="rId5311" Type="http://schemas.openxmlformats.org/officeDocument/2006/relationships/hyperlink" Target="http://csr.bu.edu/ftp/asl/asllvd/demos/verify_start_end_handshape_annotations//test_auto_move//signs_mov_separ_signers/Liz_15009.mov" TargetMode="External"/><Relationship Id="rId5312" Type="http://schemas.openxmlformats.org/officeDocument/2006/relationships/hyperlink" Target="http://secrets.rutgers.edu:8080/data/asl-ftp/asllvd/demos/verify_start_end_handshape_annotations//test_auto_move//signs_mov_separ_signers/Liz_15009.mov" TargetMode="External"/><Relationship Id="rId5313" Type="http://schemas.openxmlformats.org/officeDocument/2006/relationships/hyperlink" Target="http://csr.bu.edu/ftp/asl/asllvd/demos/verify_start_end_handshape_annotations//test_auto_move//signs_mov/15009.mov" TargetMode="External"/><Relationship Id="rId5314" Type="http://schemas.openxmlformats.org/officeDocument/2006/relationships/hyperlink" Target="http://csr.bu.edu/ftp/asl/asllvd/demos/verify_start_end_handshape_annotations//test_auto_move//signs_mov_separ_signers/Tyler_15009.mov" TargetMode="External"/><Relationship Id="rId5315" Type="http://schemas.openxmlformats.org/officeDocument/2006/relationships/hyperlink" Target="http://secrets.rutgers.edu:8080/data/asl-ftp/asllvd/demos/verify_start_end_handshape_annotations//test_auto_move//signs_mov/15009.mov" TargetMode="External"/><Relationship Id="rId5316" Type="http://schemas.openxmlformats.org/officeDocument/2006/relationships/hyperlink" Target="http://secrets.rutgers.edu:8080/data/asl-ftp/asllvd/demos/verify_start_end_handshape_annotations//test_auto_move//signs_mov_separ_signers/Tyler_15009.mov" TargetMode="External"/><Relationship Id="rId5317" Type="http://schemas.openxmlformats.org/officeDocument/2006/relationships/hyperlink" Target="http://csr.bu.edu/ftp/asl/asllvd/demos/verify_start_end_handshape_annotations//test_auto_move//signs_mov_separ_signers/Naomi_15009.mov" TargetMode="External"/><Relationship Id="rId5318" Type="http://schemas.openxmlformats.org/officeDocument/2006/relationships/hyperlink" Target="http://secrets.rutgers.edu:8080/data/asl-ftp/asllvd/demos/verify_start_end_handshape_annotations//test_auto_move//signs_mov_separ_signers/Naomi_15009.mov" TargetMode="External"/><Relationship Id="rId5319" Type="http://schemas.openxmlformats.org/officeDocument/2006/relationships/hyperlink" Target="http://csr.bu.edu/ftp/asl/asllvd/demos/verify_start_end_handshape_annotations//test_auto_move//signs_mov_separ_signers/Lana_15009.mov" TargetMode="External"/><Relationship Id="rId5320" Type="http://schemas.openxmlformats.org/officeDocument/2006/relationships/hyperlink" Target="http://secrets.rutgers.edu:8080/data/asl-ftp/asllvd/demos/verify_start_end_handshape_annotations//test_auto_move//signs_mov_separ_signers/Lana_15009.mov" TargetMode="External"/><Relationship Id="rId5321" Type="http://schemas.openxmlformats.org/officeDocument/2006/relationships/hyperlink" Target="http://csr.bu.edu/ftp/asl/asllvd/demos/verify_start_end_handshape_annotations//test_auto_move//signs_mov_separ_signers/Liz_15133.mov" TargetMode="External"/><Relationship Id="rId5322" Type="http://schemas.openxmlformats.org/officeDocument/2006/relationships/hyperlink" Target="http://secrets.rutgers.edu:8080/data/asl-ftp/asllvd/demos/verify_start_end_handshape_annotations//test_auto_move//signs_mov_separ_signers/Liz_15133.mov" TargetMode="External"/><Relationship Id="rId5323" Type="http://schemas.openxmlformats.org/officeDocument/2006/relationships/hyperlink" Target="http://csr.bu.edu/ftp/asl/asllvd/demos/verify_start_end_handshape_annotations//test_auto_move//signs_mov_separ_signers/Tyler_15133.mov" TargetMode="External"/><Relationship Id="rId5324" Type="http://schemas.openxmlformats.org/officeDocument/2006/relationships/hyperlink" Target="http://secrets.rutgers.edu:8080/data/asl-ftp/asllvd/demos/verify_start_end_handshape_annotations//test_auto_move//signs_mov_separ_signers/Tyler_15133.mov" TargetMode="External"/><Relationship Id="rId5325" Type="http://schemas.openxmlformats.org/officeDocument/2006/relationships/hyperlink" Target="http://csr.bu.edu/ftp/asl/asllvd/demos/verify_start_end_handshape_annotations//test_auto_move//signs_mov/15133_16304_merged.mov" TargetMode="External"/><Relationship Id="rId5326" Type="http://schemas.openxmlformats.org/officeDocument/2006/relationships/hyperlink" Target="http://csr.bu.edu/ftp/asl/asllvd/demos/verify_start_end_handshape_annotations//test_auto_move//signs_mov_separ_signers/Tyler_16304.mov" TargetMode="External"/><Relationship Id="rId5327" Type="http://schemas.openxmlformats.org/officeDocument/2006/relationships/hyperlink" Target="http://secrets.rutgers.edu:8080/data/asl-ftp/asllvd/demos/verify_start_end_handshape_annotations//test_auto_move//signs_mov/15133_16304_merged.mov" TargetMode="External"/><Relationship Id="rId5328" Type="http://schemas.openxmlformats.org/officeDocument/2006/relationships/hyperlink" Target="http://secrets.rutgers.edu:8080/data/asl-ftp/asllvd/demos/verify_start_end_handshape_annotations//test_auto_move//signs_mov_separ_signers/Tyler_16304.mov" TargetMode="External"/><Relationship Id="rId5329" Type="http://schemas.openxmlformats.org/officeDocument/2006/relationships/hyperlink" Target="http://csr.bu.edu/ftp/asl/asllvd/demos/verify_start_end_handshape_annotations//test_auto_move//signs_mov_separ_signers/Naomi_15133.mov" TargetMode="External"/><Relationship Id="rId5330" Type="http://schemas.openxmlformats.org/officeDocument/2006/relationships/hyperlink" Target="http://secrets.rutgers.edu:8080/data/asl-ftp/asllvd/demos/verify_start_end_handshape_annotations//test_auto_move//signs_mov_separ_signers/Naomi_15133.mov" TargetMode="External"/><Relationship Id="rId5331" Type="http://schemas.openxmlformats.org/officeDocument/2006/relationships/hyperlink" Target="http://csr.bu.edu/ftp/asl/asllvd/demos/verify_start_end_handshape_annotations//test_auto_move//signs_mov_separ_signers/Brady_15133.mov" TargetMode="External"/><Relationship Id="rId5332" Type="http://schemas.openxmlformats.org/officeDocument/2006/relationships/hyperlink" Target="http://secrets.rutgers.edu:8080/data/asl-ftp/asllvd/demos/verify_start_end_handshape_annotations//test_auto_move//signs_mov_separ_signers/Brady_15133.mov" TargetMode="External"/><Relationship Id="rId5333" Type="http://schemas.openxmlformats.org/officeDocument/2006/relationships/hyperlink" Target="http://csr.bu.edu/ftp/asl/asllvd/demos/verify_start_end_handshape_annotations//test_auto_move//signs_mov_separ_signers/Brady_16304.mov" TargetMode="External"/><Relationship Id="rId5334" Type="http://schemas.openxmlformats.org/officeDocument/2006/relationships/hyperlink" Target="http://secrets.rutgers.edu:8080/data/asl-ftp/asllvd/demos/verify_start_end_handshape_annotations//test_auto_move//signs_mov_separ_signers/Brady_16304.mov" TargetMode="External"/><Relationship Id="rId5335" Type="http://schemas.openxmlformats.org/officeDocument/2006/relationships/hyperlink" Target="http://csr.bu.edu/ftp/asl/asllvd/demos/verify_start_end_handshape_annotations//test_auto_move//signs_mov_separ_signers/Liz_565.mov" TargetMode="External"/><Relationship Id="rId5336" Type="http://schemas.openxmlformats.org/officeDocument/2006/relationships/hyperlink" Target="http://secrets.rutgers.edu:8080/data/asl-ftp/asllvd/demos/verify_start_end_handshape_annotations//test_auto_move//signs_mov_separ_signers/Liz_565.mov" TargetMode="External"/><Relationship Id="rId5337" Type="http://schemas.openxmlformats.org/officeDocument/2006/relationships/hyperlink" Target="http://csr.bu.edu/ftp/asl/asllvd/demos/verify_start_end_handshape_annotations//test_auto_move//signs_mov_separ_signers/Liz_3467.mov" TargetMode="External"/><Relationship Id="rId5338" Type="http://schemas.openxmlformats.org/officeDocument/2006/relationships/hyperlink" Target="http://secrets.rutgers.edu:8080/data/asl-ftp/asllvd/demos/verify_start_end_handshape_annotations//test_auto_move//signs_mov_separ_signers/Liz_3467.mov" TargetMode="External"/><Relationship Id="rId5339" Type="http://schemas.openxmlformats.org/officeDocument/2006/relationships/hyperlink" Target="http://csr.bu.edu/ftp/asl/asllvd/demos/verify_start_end_handshape_annotations//test_auto_move//signs_mov/565_3467_merged.mov" TargetMode="External"/><Relationship Id="rId5340" Type="http://schemas.openxmlformats.org/officeDocument/2006/relationships/hyperlink" Target="http://csr.bu.edu/ftp/asl/asllvd/demos/verify_start_end_handshape_annotations//test_auto_move//signs_mov_separ_signers/Tyler_565.mov" TargetMode="External"/><Relationship Id="rId5341" Type="http://schemas.openxmlformats.org/officeDocument/2006/relationships/hyperlink" Target="http://secrets.rutgers.edu:8080/data/asl-ftp/asllvd/demos/verify_start_end_handshape_annotations//test_auto_move//signs_mov/565_3467_merged.mov" TargetMode="External"/><Relationship Id="rId5342" Type="http://schemas.openxmlformats.org/officeDocument/2006/relationships/hyperlink" Target="http://secrets.rutgers.edu:8080/data/asl-ftp/asllvd/demos/verify_start_end_handshape_annotations//test_auto_move//signs_mov_separ_signers/Tyler_565.mov" TargetMode="External"/><Relationship Id="rId5343" Type="http://schemas.openxmlformats.org/officeDocument/2006/relationships/hyperlink" Target="http://csr.bu.edu/ftp/asl/asllvd/demos/verify_start_end_handshape_annotations//test_auto_move//signs_mov_separ_signers/Naomi_565.mov" TargetMode="External"/><Relationship Id="rId5344" Type="http://schemas.openxmlformats.org/officeDocument/2006/relationships/hyperlink" Target="http://secrets.rutgers.edu:8080/data/asl-ftp/asllvd/demos/verify_start_end_handshape_annotations//test_auto_move//signs_mov_separ_signers/Naomi_565.mov" TargetMode="External"/><Relationship Id="rId5345" Type="http://schemas.openxmlformats.org/officeDocument/2006/relationships/hyperlink" Target="http://csr.bu.edu/ftp/asl/asllvd/demos/verify_start_end_handshape_annotations//test_auto_move//signs_mov_separ_signers/Brady_565.mov" TargetMode="External"/><Relationship Id="rId5346" Type="http://schemas.openxmlformats.org/officeDocument/2006/relationships/hyperlink" Target="http://secrets.rutgers.edu:8080/data/asl-ftp/asllvd/demos/verify_start_end_handshape_annotations//test_auto_move//signs_mov_separ_signers/Brady_565.mov" TargetMode="External"/><Relationship Id="rId5347" Type="http://schemas.openxmlformats.org/officeDocument/2006/relationships/hyperlink" Target="http://csr.bu.edu/ftp/asl/asllvd/demos/verify_start_end_handshape_annotations//test_auto_move//signs_mov_separ_signers/Liz_568.mov" TargetMode="External"/><Relationship Id="rId5348" Type="http://schemas.openxmlformats.org/officeDocument/2006/relationships/hyperlink" Target="http://secrets.rutgers.edu:8080/data/asl-ftp/asllvd/demos/verify_start_end_handshape_annotations//test_auto_move//signs_mov_separ_signers/Liz_568.mov" TargetMode="External"/><Relationship Id="rId5349" Type="http://schemas.openxmlformats.org/officeDocument/2006/relationships/hyperlink" Target="http://csr.bu.edu/ftp/asl/asllvd/demos/verify_start_end_handshape_annotations//test_auto_move//signs_mov/568.mov" TargetMode="External"/><Relationship Id="rId5350" Type="http://schemas.openxmlformats.org/officeDocument/2006/relationships/hyperlink" Target="http://csr.bu.edu/ftp/asl/asllvd/demos/verify_start_end_handshape_annotations//test_auto_move//signs_mov_separ_signers/Tyler_568.mov" TargetMode="External"/><Relationship Id="rId5351" Type="http://schemas.openxmlformats.org/officeDocument/2006/relationships/hyperlink" Target="http://secrets.rutgers.edu:8080/data/asl-ftp/asllvd/demos/verify_start_end_handshape_annotations//test_auto_move//signs_mov/568.mov" TargetMode="External"/><Relationship Id="rId5352" Type="http://schemas.openxmlformats.org/officeDocument/2006/relationships/hyperlink" Target="http://secrets.rutgers.edu:8080/data/asl-ftp/asllvd/demos/verify_start_end_handshape_annotations//test_auto_move//signs_mov_separ_signers/Tyler_568.mov" TargetMode="External"/><Relationship Id="rId5353" Type="http://schemas.openxmlformats.org/officeDocument/2006/relationships/hyperlink" Target="http://csr.bu.edu/ftp/asl/asllvd/demos/verify_start_end_handshape_annotations//test_auto_move//signs_mov_separ_signers/Naomi_568.mov" TargetMode="External"/><Relationship Id="rId5354" Type="http://schemas.openxmlformats.org/officeDocument/2006/relationships/hyperlink" Target="http://secrets.rutgers.edu:8080/data/asl-ftp/asllvd/demos/verify_start_end_handshape_annotations//test_auto_move//signs_mov_separ_signers/Naomi_568.mov" TargetMode="External"/><Relationship Id="rId5355" Type="http://schemas.openxmlformats.org/officeDocument/2006/relationships/hyperlink" Target="http://csr.bu.edu/ftp/asl/asllvd/demos/verify_start_end_handshape_annotations//test_auto_move//signs_mov_separ_signers/Brady_568.mov" TargetMode="External"/><Relationship Id="rId5356" Type="http://schemas.openxmlformats.org/officeDocument/2006/relationships/hyperlink" Target="http://secrets.rutgers.edu:8080/data/asl-ftp/asllvd/demos/verify_start_end_handshape_annotations//test_auto_move//signs_mov_separ_signers/Brady_568.mov" TargetMode="External"/><Relationship Id="rId5357" Type="http://schemas.openxmlformats.org/officeDocument/2006/relationships/hyperlink" Target="http://csr.bu.edu/ftp/asl/asllvd/demos/verify_start_end_handshape_annotations//test_auto_move//signs_mov_separ_signers/Liz_569.mov" TargetMode="External"/><Relationship Id="rId5358" Type="http://schemas.openxmlformats.org/officeDocument/2006/relationships/hyperlink" Target="http://secrets.rutgers.edu:8080/data/asl-ftp/asllvd/demos/verify_start_end_handshape_annotations//test_auto_move//signs_mov_separ_signers/Liz_569.mov" TargetMode="External"/><Relationship Id="rId5359" Type="http://schemas.openxmlformats.org/officeDocument/2006/relationships/hyperlink" Target="http://csr.bu.edu/ftp/asl/asllvd/demos/verify_start_end_handshape_annotations//test_auto_move//signs_mov/569.mov" TargetMode="External"/><Relationship Id="rId5360" Type="http://schemas.openxmlformats.org/officeDocument/2006/relationships/hyperlink" Target="http://csr.bu.edu/ftp/asl/asllvd/demos/verify_start_end_handshape_annotations//test_auto_move//signs_mov_separ_signers/Tyler_569.mov" TargetMode="External"/><Relationship Id="rId5361" Type="http://schemas.openxmlformats.org/officeDocument/2006/relationships/hyperlink" Target="http://secrets.rutgers.edu:8080/data/asl-ftp/asllvd/demos/verify_start_end_handshape_annotations//test_auto_move//signs_mov/569.mov" TargetMode="External"/><Relationship Id="rId5362" Type="http://schemas.openxmlformats.org/officeDocument/2006/relationships/hyperlink" Target="http://secrets.rutgers.edu:8080/data/asl-ftp/asllvd/demos/verify_start_end_handshape_annotations//test_auto_move//signs_mov_separ_signers/Tyler_569.mov" TargetMode="External"/><Relationship Id="rId5363" Type="http://schemas.openxmlformats.org/officeDocument/2006/relationships/hyperlink" Target="http://csr.bu.edu/ftp/asl/asllvd/demos/verify_start_end_handshape_annotations//test_auto_move//signs_mov_separ_signers/Naomi_569.mov" TargetMode="External"/><Relationship Id="rId5364" Type="http://schemas.openxmlformats.org/officeDocument/2006/relationships/hyperlink" Target="http://secrets.rutgers.edu:8080/data/asl-ftp/asllvd/demos/verify_start_end_handshape_annotations//test_auto_move//signs_mov_separ_signers/Naomi_569.mov" TargetMode="External"/><Relationship Id="rId5365" Type="http://schemas.openxmlformats.org/officeDocument/2006/relationships/hyperlink" Target="http://csr.bu.edu/ftp/asl/asllvd/demos/verify_start_end_handshape_annotations//test_auto_move//signs_mov_separ_signers/Brady_569.mov" TargetMode="External"/><Relationship Id="rId5366" Type="http://schemas.openxmlformats.org/officeDocument/2006/relationships/hyperlink" Target="http://secrets.rutgers.edu:8080/data/asl-ftp/asllvd/demos/verify_start_end_handshape_annotations//test_auto_move//signs_mov_separ_signers/Brady_569.mov" TargetMode="External"/><Relationship Id="rId5367" Type="http://schemas.openxmlformats.org/officeDocument/2006/relationships/hyperlink" Target="http://csr.bu.edu/ftp/asl/asllvd/demos/verify_start_end_handshape_annotations//test_auto_move//signs_mov_separ_signers/Liz_578.mov" TargetMode="External"/><Relationship Id="rId5368" Type="http://schemas.openxmlformats.org/officeDocument/2006/relationships/hyperlink" Target="http://secrets.rutgers.edu:8080/data/asl-ftp/asllvd/demos/verify_start_end_handshape_annotations//test_auto_move//signs_mov_separ_signers/Liz_578.mov" TargetMode="External"/><Relationship Id="rId5369" Type="http://schemas.openxmlformats.org/officeDocument/2006/relationships/hyperlink" Target="http://csr.bu.edu/ftp/asl/asllvd/demos/verify_start_end_handshape_annotations//test_auto_move//signs_mov/578.mov" TargetMode="External"/><Relationship Id="rId5370" Type="http://schemas.openxmlformats.org/officeDocument/2006/relationships/hyperlink" Target="http://csr.bu.edu/ftp/asl/asllvd/demos/verify_start_end_handshape_annotations//test_auto_move//signs_mov_separ_signers/Tyler_578.mov" TargetMode="External"/><Relationship Id="rId5371" Type="http://schemas.openxmlformats.org/officeDocument/2006/relationships/hyperlink" Target="http://secrets.rutgers.edu:8080/data/asl-ftp/asllvd/demos/verify_start_end_handshape_annotations//test_auto_move//signs_mov/578.mov" TargetMode="External"/><Relationship Id="rId5372" Type="http://schemas.openxmlformats.org/officeDocument/2006/relationships/hyperlink" Target="http://secrets.rutgers.edu:8080/data/asl-ftp/asllvd/demos/verify_start_end_handshape_annotations//test_auto_move//signs_mov_separ_signers/Tyler_578.mov" TargetMode="External"/><Relationship Id="rId5373" Type="http://schemas.openxmlformats.org/officeDocument/2006/relationships/hyperlink" Target="http://csr.bu.edu/ftp/asl/asllvd/demos/verify_start_end_handshape_annotations//test_auto_move//signs_mov_separ_signers/Naomi_578.mov" TargetMode="External"/><Relationship Id="rId5374" Type="http://schemas.openxmlformats.org/officeDocument/2006/relationships/hyperlink" Target="http://secrets.rutgers.edu:8080/data/asl-ftp/asllvd/demos/verify_start_end_handshape_annotations//test_auto_move//signs_mov_separ_signers/Naomi_578.mov" TargetMode="External"/><Relationship Id="rId5375" Type="http://schemas.openxmlformats.org/officeDocument/2006/relationships/hyperlink" Target="http://csr.bu.edu/ftp/asl/asllvd/demos/verify_start_end_handshape_annotations//test_auto_move//signs_mov_separ_signers/Brady_578.mov" TargetMode="External"/><Relationship Id="rId5376" Type="http://schemas.openxmlformats.org/officeDocument/2006/relationships/hyperlink" Target="http://secrets.rutgers.edu:8080/data/asl-ftp/asllvd/demos/verify_start_end_handshape_annotations//test_auto_move//signs_mov_separ_signers/Brady_578.mov" TargetMode="External"/><Relationship Id="rId5377" Type="http://schemas.openxmlformats.org/officeDocument/2006/relationships/hyperlink" Target="http://csr.bu.edu/ftp/asl/asllvd/demos/verify_start_end_handshape_annotations//test_auto_move//signs_mov_separ_signers/Liz_580.mov" TargetMode="External"/><Relationship Id="rId5378" Type="http://schemas.openxmlformats.org/officeDocument/2006/relationships/hyperlink" Target="http://secrets.rutgers.edu:8080/data/asl-ftp/asllvd/demos/verify_start_end_handshape_annotations//test_auto_move//signs_mov_separ_signers/Liz_580.mov" TargetMode="External"/><Relationship Id="rId5379" Type="http://schemas.openxmlformats.org/officeDocument/2006/relationships/hyperlink" Target="http://csr.bu.edu/ftp/asl/asllvd/demos/verify_start_end_handshape_annotations//test_auto_move//signs_mov/580.mov" TargetMode="External"/><Relationship Id="rId5380" Type="http://schemas.openxmlformats.org/officeDocument/2006/relationships/hyperlink" Target="http://csr.bu.edu/ftp/asl/asllvd/demos/verify_start_end_handshape_annotations//test_auto_move//signs_mov_separ_signers/Tyler_580.mov" TargetMode="External"/><Relationship Id="rId5381" Type="http://schemas.openxmlformats.org/officeDocument/2006/relationships/hyperlink" Target="http://secrets.rutgers.edu:8080/data/asl-ftp/asllvd/demos/verify_start_end_handshape_annotations//test_auto_move//signs_mov/580.mov" TargetMode="External"/><Relationship Id="rId5382" Type="http://schemas.openxmlformats.org/officeDocument/2006/relationships/hyperlink" Target="http://secrets.rutgers.edu:8080/data/asl-ftp/asllvd/demos/verify_start_end_handshape_annotations//test_auto_move//signs_mov_separ_signers/Tyler_580.mov" TargetMode="External"/><Relationship Id="rId5383" Type="http://schemas.openxmlformats.org/officeDocument/2006/relationships/hyperlink" Target="http://csr.bu.edu/ftp/asl/asllvd/demos/verify_start_end_handshape_annotations//test_auto_move//signs_mov_separ_signers/Naomi_580.mov" TargetMode="External"/><Relationship Id="rId5384" Type="http://schemas.openxmlformats.org/officeDocument/2006/relationships/hyperlink" Target="http://secrets.rutgers.edu:8080/data/asl-ftp/asllvd/demos/verify_start_end_handshape_annotations//test_auto_move//signs_mov_separ_signers/Naomi_580.mov" TargetMode="External"/><Relationship Id="rId5385" Type="http://schemas.openxmlformats.org/officeDocument/2006/relationships/hyperlink" Target="http://csr.bu.edu/ftp/asl/asllvd/demos/verify_start_end_handshape_annotations//test_auto_move//signs_mov_separ_signers/Brady_580.mov" TargetMode="External"/><Relationship Id="rId5386" Type="http://schemas.openxmlformats.org/officeDocument/2006/relationships/hyperlink" Target="http://secrets.rutgers.edu:8080/data/asl-ftp/asllvd/demos/verify_start_end_handshape_annotations//test_auto_move//signs_mov_separ_signers/Brady_580.mov" TargetMode="External"/><Relationship Id="rId5387" Type="http://schemas.openxmlformats.org/officeDocument/2006/relationships/hyperlink" Target="http://csr.bu.edu/ftp/asl/asllvd/demos/verify_start_end_handshape_annotations//test_auto_move//signs_mov_separ_signers/Liz_582.mov" TargetMode="External"/><Relationship Id="rId5388" Type="http://schemas.openxmlformats.org/officeDocument/2006/relationships/hyperlink" Target="http://secrets.rutgers.edu:8080/data/asl-ftp/asllvd/demos/verify_start_end_handshape_annotations//test_auto_move//signs_mov_separ_signers/Liz_582.mov" TargetMode="External"/><Relationship Id="rId5389" Type="http://schemas.openxmlformats.org/officeDocument/2006/relationships/hyperlink" Target="http://csr.bu.edu/ftp/asl/asllvd/demos/verify_start_end_handshape_annotations//test_auto_move//signs_mov/582.mov" TargetMode="External"/><Relationship Id="rId5390" Type="http://schemas.openxmlformats.org/officeDocument/2006/relationships/hyperlink" Target="http://csr.bu.edu/ftp/asl/asllvd/demos/verify_start_end_handshape_annotations//test_auto_move//signs_mov_separ_signers/Naomi_582.mov" TargetMode="External"/><Relationship Id="rId5391" Type="http://schemas.openxmlformats.org/officeDocument/2006/relationships/hyperlink" Target="http://secrets.rutgers.edu:8080/data/asl-ftp/asllvd/demos/verify_start_end_handshape_annotations//test_auto_move//signs_mov/582.mov" TargetMode="External"/><Relationship Id="rId5392" Type="http://schemas.openxmlformats.org/officeDocument/2006/relationships/hyperlink" Target="http://secrets.rutgers.edu:8080/data/asl-ftp/asllvd/demos/verify_start_end_handshape_annotations//test_auto_move//signs_mov_separ_signers/Naomi_582.mov" TargetMode="External"/><Relationship Id="rId5393" Type="http://schemas.openxmlformats.org/officeDocument/2006/relationships/hyperlink" Target="http://csr.bu.edu/ftp/asl/asllvd/demos/verify_start_end_handshape_annotations//test_auto_move//signs_mov_separ_signers/Brady_582.mov" TargetMode="External"/><Relationship Id="rId5394" Type="http://schemas.openxmlformats.org/officeDocument/2006/relationships/hyperlink" Target="http://secrets.rutgers.edu:8080/data/asl-ftp/asllvd/demos/verify_start_end_handshape_annotations//test_auto_move//signs_mov_separ_signers/Brady_582.mov" TargetMode="External"/><Relationship Id="rId5395" Type="http://schemas.openxmlformats.org/officeDocument/2006/relationships/hyperlink" Target="http://csr.bu.edu/ftp/asl/asllvd/demos/verify_start_end_handshape_annotations//test_auto_move//signs_mov/583.mov" TargetMode="External"/><Relationship Id="rId5396" Type="http://schemas.openxmlformats.org/officeDocument/2006/relationships/hyperlink" Target="http://csr.bu.edu/ftp/asl/asllvd/demos/verify_start_end_handshape_annotations//test_auto_move//signs_mov_separ_signers/Tyler_583.mov" TargetMode="External"/><Relationship Id="rId5397" Type="http://schemas.openxmlformats.org/officeDocument/2006/relationships/hyperlink" Target="http://secrets.rutgers.edu:8080/data/asl-ftp/asllvd/demos/verify_start_end_handshape_annotations//test_auto_move//signs_mov/583.mov" TargetMode="External"/><Relationship Id="rId5398" Type="http://schemas.openxmlformats.org/officeDocument/2006/relationships/hyperlink" Target="http://secrets.rutgers.edu:8080/data/asl-ftp/asllvd/demos/verify_start_end_handshape_annotations//test_auto_move//signs_mov_separ_signers/Tyler_583.mov" TargetMode="External"/><Relationship Id="rId5399" Type="http://schemas.openxmlformats.org/officeDocument/2006/relationships/hyperlink" Target="http://csr.bu.edu/ftp/asl/asllvd/demos/verify_start_end_handshape_annotations//test_auto_move//signs_mov_separ_signers/Brady_583.mov" TargetMode="External"/><Relationship Id="rId5400" Type="http://schemas.openxmlformats.org/officeDocument/2006/relationships/hyperlink" Target="http://secrets.rutgers.edu:8080/data/asl-ftp/asllvd/demos/verify_start_end_handshape_annotations//test_auto_move//signs_mov_separ_signers/Brady_583.mov" TargetMode="External"/><Relationship Id="rId5401" Type="http://schemas.openxmlformats.org/officeDocument/2006/relationships/hyperlink" Target="http://csr.bu.edu/ftp/asl/asllvd/demos/verify_start_end_handshape_annotations//test_auto_move//signs_mov/15400.mov" TargetMode="External"/><Relationship Id="rId5402" Type="http://schemas.openxmlformats.org/officeDocument/2006/relationships/hyperlink" Target="http://csr.bu.edu/ftp/asl/asllvd/demos/verify_start_end_handshape_annotations//test_auto_move//signs_mov_separ_signers/Liz_15400.mov" TargetMode="External"/><Relationship Id="rId5403" Type="http://schemas.openxmlformats.org/officeDocument/2006/relationships/hyperlink" Target="http://secrets.rutgers.edu:8080/data/asl-ftp/asllvd/demos/verify_start_end_handshape_annotations//test_auto_move//signs_mov/15400.mov" TargetMode="External"/><Relationship Id="rId5404" Type="http://schemas.openxmlformats.org/officeDocument/2006/relationships/hyperlink" Target="http://secrets.rutgers.edu:8080/data/asl-ftp/asllvd/demos/verify_start_end_handshape_annotations//test_auto_move//signs_mov_separ_signers/Liz_15400.mov" TargetMode="External"/><Relationship Id="rId5405" Type="http://schemas.openxmlformats.org/officeDocument/2006/relationships/hyperlink" Target="http://csr.bu.edu/ftp/asl/asllvd/demos/verify_start_end_handshape_annotations//test_auto_move//signs_mov_separ_signers/Naomi_15400.mov" TargetMode="External"/><Relationship Id="rId5406" Type="http://schemas.openxmlformats.org/officeDocument/2006/relationships/hyperlink" Target="http://secrets.rutgers.edu:8080/data/asl-ftp/asllvd/demos/verify_start_end_handshape_annotations//test_auto_move//signs_mov_separ_signers/Naomi_15400.mov" TargetMode="External"/><Relationship Id="rId5407" Type="http://schemas.openxmlformats.org/officeDocument/2006/relationships/hyperlink" Target="http://csr.bu.edu/ftp/asl/asllvd/demos/verify_start_end_handshape_annotations//test_auto_move//signs_mov_separ_signers/Liz_584.mov" TargetMode="External"/><Relationship Id="rId5408" Type="http://schemas.openxmlformats.org/officeDocument/2006/relationships/hyperlink" Target="http://secrets.rutgers.edu:8080/data/asl-ftp/asllvd/demos/verify_start_end_handshape_annotations//test_auto_move//signs_mov_separ_signers/Liz_584.mov" TargetMode="External"/><Relationship Id="rId5409" Type="http://schemas.openxmlformats.org/officeDocument/2006/relationships/hyperlink" Target="http://csr.bu.edu/ftp/asl/asllvd/demos/verify_start_end_handshape_annotations//test_auto_move//signs_mov/584_5024_merged.mov" TargetMode="External"/><Relationship Id="rId5410" Type="http://schemas.openxmlformats.org/officeDocument/2006/relationships/hyperlink" Target="http://csr.bu.edu/ftp/asl/asllvd/demos/verify_start_end_handshape_annotations//test_auto_move//signs_mov_separ_signers/Naomi_584.mov" TargetMode="External"/><Relationship Id="rId5411" Type="http://schemas.openxmlformats.org/officeDocument/2006/relationships/hyperlink" Target="http://secrets.rutgers.edu:8080/data/asl-ftp/asllvd/demos/verify_start_end_handshape_annotations//test_auto_move//signs_mov/584_5024_merged.mov" TargetMode="External"/><Relationship Id="rId5412" Type="http://schemas.openxmlformats.org/officeDocument/2006/relationships/hyperlink" Target="http://secrets.rutgers.edu:8080/data/asl-ftp/asllvd/demos/verify_start_end_handshape_annotations//test_auto_move//signs_mov_separ_signers/Naomi_584.mov" TargetMode="External"/><Relationship Id="rId5413" Type="http://schemas.openxmlformats.org/officeDocument/2006/relationships/hyperlink" Target="http://csr.bu.edu/ftp/asl/asllvd/demos/verify_start_end_handshape_annotations//test_auto_move//signs_mov_separ_signers/Brady_584.mov" TargetMode="External"/><Relationship Id="rId5414" Type="http://schemas.openxmlformats.org/officeDocument/2006/relationships/hyperlink" Target="http://secrets.rutgers.edu:8080/data/asl-ftp/asllvd/demos/verify_start_end_handshape_annotations//test_auto_move//signs_mov_separ_signers/Brady_584.mov" TargetMode="External"/><Relationship Id="rId5415" Type="http://schemas.openxmlformats.org/officeDocument/2006/relationships/hyperlink" Target="http://csr.bu.edu/ftp/asl/asllvd/demos/verify_start_end_handshape_annotations//test_auto_move//signs_mov_separ_signers/Brady_5024.mov" TargetMode="External"/><Relationship Id="rId5416" Type="http://schemas.openxmlformats.org/officeDocument/2006/relationships/hyperlink" Target="http://secrets.rutgers.edu:8080/data/asl-ftp/asllvd/demos/verify_start_end_handshape_annotations//test_auto_move//signs_mov_separ_signers/Brady_5024.mov" TargetMode="External"/><Relationship Id="rId5417" Type="http://schemas.openxmlformats.org/officeDocument/2006/relationships/hyperlink" Target="http://csr.bu.edu/ftp/asl/asllvd/demos/verify_start_end_handshape_annotations//test_auto_move//signs_mov_separ_signers/Liz_5152.mov" TargetMode="External"/><Relationship Id="rId5418" Type="http://schemas.openxmlformats.org/officeDocument/2006/relationships/hyperlink" Target="http://secrets.rutgers.edu:8080/data/asl-ftp/asllvd/demos/verify_start_end_handshape_annotations//test_auto_move//signs_mov_separ_signers/Liz_5152.mov" TargetMode="External"/><Relationship Id="rId5419" Type="http://schemas.openxmlformats.org/officeDocument/2006/relationships/hyperlink" Target="http://csr.bu.edu/ftp/asl/asllvd/demos/verify_start_end_handshape_annotations//test_auto_move//signs_mov_separ_signers/Liz_5953.mov" TargetMode="External"/><Relationship Id="rId5420" Type="http://schemas.openxmlformats.org/officeDocument/2006/relationships/hyperlink" Target="http://secrets.rutgers.edu:8080/data/asl-ftp/asllvd/demos/verify_start_end_handshape_annotations//test_auto_move//signs_mov_separ_signers/Liz_5953.mov" TargetMode="External"/><Relationship Id="rId5421" Type="http://schemas.openxmlformats.org/officeDocument/2006/relationships/hyperlink" Target="http://csr.bu.edu/ftp/asl/asllvd/demos/verify_start_end_handshape_annotations//test_auto_move//signs_mov_separ_signers/Tyler_5152.mov" TargetMode="External"/><Relationship Id="rId5422" Type="http://schemas.openxmlformats.org/officeDocument/2006/relationships/hyperlink" Target="http://secrets.rutgers.edu:8080/data/asl-ftp/asllvd/demos/verify_start_end_handshape_annotations//test_auto_move//signs_mov_separ_signers/Tyler_5152.mov" TargetMode="External"/><Relationship Id="rId5423" Type="http://schemas.openxmlformats.org/officeDocument/2006/relationships/hyperlink" Target="http://csr.bu.edu/ftp/asl/asllvd/demos/verify_start_end_handshape_annotations//test_auto_move//signs_mov/5152_5953_merged.mov" TargetMode="External"/><Relationship Id="rId5424" Type="http://schemas.openxmlformats.org/officeDocument/2006/relationships/hyperlink" Target="http://csr.bu.edu/ftp/asl/asllvd/demos/verify_start_end_handshape_annotations//test_auto_move//signs_mov_separ_signers/Naomi_5152.mov" TargetMode="External"/><Relationship Id="rId5425" Type="http://schemas.openxmlformats.org/officeDocument/2006/relationships/hyperlink" Target="http://secrets.rutgers.edu:8080/data/asl-ftp/asllvd/demos/verify_start_end_handshape_annotations//test_auto_move//signs_mov/5152_5953_merged.mov" TargetMode="External"/><Relationship Id="rId5426" Type="http://schemas.openxmlformats.org/officeDocument/2006/relationships/hyperlink" Target="http://secrets.rutgers.edu:8080/data/asl-ftp/asllvd/demos/verify_start_end_handshape_annotations//test_auto_move//signs_mov_separ_signers/Naomi_5152.mov" TargetMode="External"/><Relationship Id="rId5427" Type="http://schemas.openxmlformats.org/officeDocument/2006/relationships/hyperlink" Target="http://csr.bu.edu/ftp/asl/asllvd/demos/verify_start_end_handshape_annotations//test_auto_move//signs_mov_separ_signers/Naomi_5953.mov" TargetMode="External"/><Relationship Id="rId5428" Type="http://schemas.openxmlformats.org/officeDocument/2006/relationships/hyperlink" Target="http://secrets.rutgers.edu:8080/data/asl-ftp/asllvd/demos/verify_start_end_handshape_annotations//test_auto_move//signs_mov_separ_signers/Naomi_5953.mov" TargetMode="External"/><Relationship Id="rId5429" Type="http://schemas.openxmlformats.org/officeDocument/2006/relationships/hyperlink" Target="http://csr.bu.edu/ftp/asl/asllvd/demos/verify_start_end_handshape_annotations//test_auto_move//signs_mov_separ_signers/Brady_5152.mov" TargetMode="External"/><Relationship Id="rId5430" Type="http://schemas.openxmlformats.org/officeDocument/2006/relationships/hyperlink" Target="http://secrets.rutgers.edu:8080/data/asl-ftp/asllvd/demos/verify_start_end_handshape_annotations//test_auto_move//signs_mov_separ_signers/Brady_5152.mov" TargetMode="External"/><Relationship Id="rId5431" Type="http://schemas.openxmlformats.org/officeDocument/2006/relationships/hyperlink" Target="http://csr.bu.edu/ftp/asl/asllvd/demos/verify_start_end_handshape_annotations//test_auto_move//signs_mov_separ_signers/Brady_5953.mov" TargetMode="External"/><Relationship Id="rId5432" Type="http://schemas.openxmlformats.org/officeDocument/2006/relationships/hyperlink" Target="http://secrets.rutgers.edu:8080/data/asl-ftp/asllvd/demos/verify_start_end_handshape_annotations//test_auto_move//signs_mov_separ_signers/Brady_5953.mov" TargetMode="External"/><Relationship Id="rId5433" Type="http://schemas.openxmlformats.org/officeDocument/2006/relationships/hyperlink" Target="http://csr.bu.edu/ftp/asl/asllvd/demos/verify_start_end_handshape_annotations//test_auto_move//signs_mov/15610.mov" TargetMode="External"/><Relationship Id="rId5434" Type="http://schemas.openxmlformats.org/officeDocument/2006/relationships/hyperlink" Target="http://csr.bu.edu/ftp/asl/asllvd/demos/verify_start_end_handshape_annotations//test_auto_move//signs_mov_separ_signers/Tyler_15610.mov" TargetMode="External"/><Relationship Id="rId5435" Type="http://schemas.openxmlformats.org/officeDocument/2006/relationships/hyperlink" Target="http://secrets.rutgers.edu:8080/data/asl-ftp/asllvd/demos/verify_start_end_handshape_annotations//test_auto_move//signs_mov/15610.mov" TargetMode="External"/><Relationship Id="rId5436" Type="http://schemas.openxmlformats.org/officeDocument/2006/relationships/hyperlink" Target="http://secrets.rutgers.edu:8080/data/asl-ftp/asllvd/demos/verify_start_end_handshape_annotations//test_auto_move//signs_mov_separ_signers/Tyler_15610.mov" TargetMode="External"/><Relationship Id="rId5437" Type="http://schemas.openxmlformats.org/officeDocument/2006/relationships/hyperlink" Target="http://csr.bu.edu/ftp/asl/asllvd/demos/verify_start_end_handshape_annotations//test_auto_move//signs_mov_separ_signers/Liz_586.mov" TargetMode="External"/><Relationship Id="rId5438" Type="http://schemas.openxmlformats.org/officeDocument/2006/relationships/hyperlink" Target="http://secrets.rutgers.edu:8080/data/asl-ftp/asllvd/demos/verify_start_end_handshape_annotations//test_auto_move//signs_mov_separ_signers/Liz_586.mov" TargetMode="External"/><Relationship Id="rId5439" Type="http://schemas.openxmlformats.org/officeDocument/2006/relationships/hyperlink" Target="http://csr.bu.edu/ftp/asl/asllvd/demos/verify_start_end_handshape_annotations//test_auto_move//signs_mov_separ_signers/Liz_3315.mov" TargetMode="External"/><Relationship Id="rId5440" Type="http://schemas.openxmlformats.org/officeDocument/2006/relationships/hyperlink" Target="http://secrets.rutgers.edu:8080/data/asl-ftp/asllvd/demos/verify_start_end_handshape_annotations//test_auto_move//signs_mov_separ_signers/Liz_3315.mov" TargetMode="External"/><Relationship Id="rId5441" Type="http://schemas.openxmlformats.org/officeDocument/2006/relationships/hyperlink" Target="http://csr.bu.edu/ftp/asl/asllvd/demos/verify_start_end_handshape_annotations//test_auto_move//signs_mov/586_3315_merged.mov" TargetMode="External"/><Relationship Id="rId5442" Type="http://schemas.openxmlformats.org/officeDocument/2006/relationships/hyperlink" Target="http://csr.bu.edu/ftp/asl/asllvd/demos/verify_start_end_handshape_annotations//test_auto_move//signs_mov_separ_signers/Tyler_586.mov" TargetMode="External"/><Relationship Id="rId5443" Type="http://schemas.openxmlformats.org/officeDocument/2006/relationships/hyperlink" Target="http://secrets.rutgers.edu:8080/data/asl-ftp/asllvd/demos/verify_start_end_handshape_annotations//test_auto_move//signs_mov/586_3315_merged.mov" TargetMode="External"/><Relationship Id="rId5444" Type="http://schemas.openxmlformats.org/officeDocument/2006/relationships/hyperlink" Target="http://secrets.rutgers.edu:8080/data/asl-ftp/asllvd/demos/verify_start_end_handshape_annotations//test_auto_move//signs_mov_separ_signers/Tyler_586.mov" TargetMode="External"/><Relationship Id="rId5445" Type="http://schemas.openxmlformats.org/officeDocument/2006/relationships/hyperlink" Target="http://csr.bu.edu/ftp/asl/asllvd/demos/verify_start_end_handshape_annotations//test_auto_move//signs_mov_separ_signers/Naomi_586.mov" TargetMode="External"/><Relationship Id="rId5446" Type="http://schemas.openxmlformats.org/officeDocument/2006/relationships/hyperlink" Target="http://secrets.rutgers.edu:8080/data/asl-ftp/asllvd/demos/verify_start_end_handshape_annotations//test_auto_move//signs_mov_separ_signers/Naomi_586.mov" TargetMode="External"/><Relationship Id="rId5447" Type="http://schemas.openxmlformats.org/officeDocument/2006/relationships/hyperlink" Target="http://csr.bu.edu/ftp/asl/asllvd/demos/verify_start_end_handshape_annotations//test_auto_move//signs_mov_separ_signers/Brady_586.mov" TargetMode="External"/><Relationship Id="rId5448" Type="http://schemas.openxmlformats.org/officeDocument/2006/relationships/hyperlink" Target="http://secrets.rutgers.edu:8080/data/asl-ftp/asllvd/demos/verify_start_end_handshape_annotations//test_auto_move//signs_mov_separ_signers/Brady_586.mov" TargetMode="External"/><Relationship Id="rId5449" Type="http://schemas.openxmlformats.org/officeDocument/2006/relationships/hyperlink" Target="http://csr.bu.edu/ftp/asl/asllvd/demos/verify_start_end_handshape_annotations//test_auto_move//signs_mov_separ_signers/Liz_15725.mov" TargetMode="External"/><Relationship Id="rId5450" Type="http://schemas.openxmlformats.org/officeDocument/2006/relationships/hyperlink" Target="http://secrets.rutgers.edu:8080/data/asl-ftp/asllvd/demos/verify_start_end_handshape_annotations//test_auto_move//signs_mov_separ_signers/Liz_15725.mov" TargetMode="External"/><Relationship Id="rId5451" Type="http://schemas.openxmlformats.org/officeDocument/2006/relationships/hyperlink" Target="http://csr.bu.edu/ftp/asl/asllvd/demos/verify_start_end_handshape_annotations//test_auto_move//signs_mov/15725.mov" TargetMode="External"/><Relationship Id="rId5452" Type="http://schemas.openxmlformats.org/officeDocument/2006/relationships/hyperlink" Target="http://csr.bu.edu/ftp/asl/asllvd/demos/verify_start_end_handshape_annotations//test_auto_move//signs_mov_separ_signers/Tyler_15725.mov" TargetMode="External"/><Relationship Id="rId5453" Type="http://schemas.openxmlformats.org/officeDocument/2006/relationships/hyperlink" Target="http://secrets.rutgers.edu:8080/data/asl-ftp/asllvd/demos/verify_start_end_handshape_annotations//test_auto_move//signs_mov/15725.mov" TargetMode="External"/><Relationship Id="rId5454" Type="http://schemas.openxmlformats.org/officeDocument/2006/relationships/hyperlink" Target="http://secrets.rutgers.edu:8080/data/asl-ftp/asllvd/demos/verify_start_end_handshape_annotations//test_auto_move//signs_mov_separ_signers/Tyler_15725.mov" TargetMode="External"/><Relationship Id="rId5455" Type="http://schemas.openxmlformats.org/officeDocument/2006/relationships/hyperlink" Target="http://csr.bu.edu/ftp/asl/asllvd/demos/verify_start_end_handshape_annotations//test_auto_move//signs_mov_separ_signers/Naomi_15725.mov" TargetMode="External"/><Relationship Id="rId5456" Type="http://schemas.openxmlformats.org/officeDocument/2006/relationships/hyperlink" Target="http://secrets.rutgers.edu:8080/data/asl-ftp/asllvd/demos/verify_start_end_handshape_annotations//test_auto_move//signs_mov_separ_signers/Naomi_15725.mov" TargetMode="External"/><Relationship Id="rId5457" Type="http://schemas.openxmlformats.org/officeDocument/2006/relationships/hyperlink" Target="http://csr.bu.edu/ftp/asl/asllvd/demos/verify_start_end_handshape_annotations//test_auto_move//signs_mov_separ_signers/Liz_15825.mov" TargetMode="External"/><Relationship Id="rId5458" Type="http://schemas.openxmlformats.org/officeDocument/2006/relationships/hyperlink" Target="http://secrets.rutgers.edu:8080/data/asl-ftp/asllvd/demos/verify_start_end_handshape_annotations//test_auto_move//signs_mov_separ_signers/Liz_15825.mov" TargetMode="External"/><Relationship Id="rId5459" Type="http://schemas.openxmlformats.org/officeDocument/2006/relationships/hyperlink" Target="http://csr.bu.edu/ftp/asl/asllvd/demos/verify_start_end_handshape_annotations//test_auto_move//signs_mov/15825_15869_merged.mov" TargetMode="External"/><Relationship Id="rId5460" Type="http://schemas.openxmlformats.org/officeDocument/2006/relationships/hyperlink" Target="http://csr.bu.edu/ftp/asl/asllvd/demos/verify_start_end_handshape_annotations//test_auto_move//signs_mov_separ_signers/Liz_15869.mov" TargetMode="External"/><Relationship Id="rId5461" Type="http://schemas.openxmlformats.org/officeDocument/2006/relationships/hyperlink" Target="http://secrets.rutgers.edu:8080/data/asl-ftp/asllvd/demos/verify_start_end_handshape_annotations//test_auto_move//signs_mov/15825_15869_merged.mov" TargetMode="External"/><Relationship Id="rId5462" Type="http://schemas.openxmlformats.org/officeDocument/2006/relationships/hyperlink" Target="http://secrets.rutgers.edu:8080/data/asl-ftp/asllvd/demos/verify_start_end_handshape_annotations//test_auto_move//signs_mov_separ_signers/Liz_15869.mov" TargetMode="External"/><Relationship Id="rId5463" Type="http://schemas.openxmlformats.org/officeDocument/2006/relationships/hyperlink" Target="http://csr.bu.edu/ftp/asl/asllvd/demos/verify_start_end_handshape_annotations//test_auto_move//signs_mov_separ_signers/Brady_15825.mov" TargetMode="External"/><Relationship Id="rId5464" Type="http://schemas.openxmlformats.org/officeDocument/2006/relationships/hyperlink" Target="http://secrets.rutgers.edu:8080/data/asl-ftp/asllvd/demos/verify_start_end_handshape_annotations//test_auto_move//signs_mov_separ_signers/Brady_15825.mov" TargetMode="External"/><Relationship Id="rId5465" Type="http://schemas.openxmlformats.org/officeDocument/2006/relationships/hyperlink" Target="http://csr.bu.edu/ftp/asl/asllvd/demos/verify_start_end_handshape_annotations//test_auto_move//signs_mov/589.mov" TargetMode="External"/><Relationship Id="rId5466" Type="http://schemas.openxmlformats.org/officeDocument/2006/relationships/hyperlink" Target="http://csr.bu.edu/ftp/asl/asllvd/demos/verify_start_end_handshape_annotations//test_auto_move//signs_mov_separ_signers/Liz_589.mov" TargetMode="External"/><Relationship Id="rId5467" Type="http://schemas.openxmlformats.org/officeDocument/2006/relationships/hyperlink" Target="http://secrets.rutgers.edu:8080/data/asl-ftp/asllvd/demos/verify_start_end_handshape_annotations//test_auto_move//signs_mov/589.mov" TargetMode="External"/><Relationship Id="rId5468" Type="http://schemas.openxmlformats.org/officeDocument/2006/relationships/hyperlink" Target="http://secrets.rutgers.edu:8080/data/asl-ftp/asllvd/demos/verify_start_end_handshape_annotations//test_auto_move//signs_mov_separ_signers/Liz_589.mov" TargetMode="External"/><Relationship Id="rId5469" Type="http://schemas.openxmlformats.org/officeDocument/2006/relationships/hyperlink" Target="http://csr.bu.edu/ftp/asl/asllvd/demos/verify_start_end_handshape_annotations//test_auto_move//signs_mov_separ_signers/Brady_589.mov" TargetMode="External"/><Relationship Id="rId5470" Type="http://schemas.openxmlformats.org/officeDocument/2006/relationships/hyperlink" Target="http://secrets.rutgers.edu:8080/data/asl-ftp/asllvd/demos/verify_start_end_handshape_annotations//test_auto_move//signs_mov_separ_signers/Brady_589.mov" TargetMode="External"/><Relationship Id="rId5471" Type="http://schemas.openxmlformats.org/officeDocument/2006/relationships/hyperlink" Target="http://csr.bu.edu/ftp/asl/asllvd/demos/verify_start_end_handshape_annotations//test_auto_move//signs_mov/5153.mov" TargetMode="External"/><Relationship Id="rId5472" Type="http://schemas.openxmlformats.org/officeDocument/2006/relationships/hyperlink" Target="http://csr.bu.edu/ftp/asl/asllvd/demos/verify_start_end_handshape_annotations//test_auto_move//signs_mov_separ_signers/Liz_5153.mov" TargetMode="External"/><Relationship Id="rId5473" Type="http://schemas.openxmlformats.org/officeDocument/2006/relationships/hyperlink" Target="http://secrets.rutgers.edu:8080/data/asl-ftp/asllvd/demos/verify_start_end_handshape_annotations//test_auto_move//signs_mov/5153.mov" TargetMode="External"/><Relationship Id="rId5474" Type="http://schemas.openxmlformats.org/officeDocument/2006/relationships/hyperlink" Target="http://secrets.rutgers.edu:8080/data/asl-ftp/asllvd/demos/verify_start_end_handshape_annotations//test_auto_move//signs_mov_separ_signers/Liz_5153.mov" TargetMode="External"/><Relationship Id="rId5475" Type="http://schemas.openxmlformats.org/officeDocument/2006/relationships/hyperlink" Target="http://csr.bu.edu/ftp/asl/asllvd/demos/verify_start_end_handshape_annotations//test_auto_move//signs_mov_separ_signers/Naomi_5153.mov" TargetMode="External"/><Relationship Id="rId5476" Type="http://schemas.openxmlformats.org/officeDocument/2006/relationships/hyperlink" Target="http://secrets.rutgers.edu:8080/data/asl-ftp/asllvd/demos/verify_start_end_handshape_annotations//test_auto_move//signs_mov_separ_signers/Naomi_5153.mov" TargetMode="External"/><Relationship Id="rId5477" Type="http://schemas.openxmlformats.org/officeDocument/2006/relationships/hyperlink" Target="http://csr.bu.edu/ftp/asl/asllvd/demos/verify_start_end_handshape_annotations//test_auto_move//signs_mov/5536.mov" TargetMode="External"/><Relationship Id="rId5478" Type="http://schemas.openxmlformats.org/officeDocument/2006/relationships/hyperlink" Target="http://csr.bu.edu/ftp/asl/asllvd/demos/verify_start_end_handshape_annotations//test_auto_move//signs_mov_separ_signers/Tyler_5536.mov" TargetMode="External"/><Relationship Id="rId5479" Type="http://schemas.openxmlformats.org/officeDocument/2006/relationships/hyperlink" Target="http://secrets.rutgers.edu:8080/data/asl-ftp/asllvd/demos/verify_start_end_handshape_annotations//test_auto_move//signs_mov/5536.mov" TargetMode="External"/><Relationship Id="rId5480" Type="http://schemas.openxmlformats.org/officeDocument/2006/relationships/hyperlink" Target="http://secrets.rutgers.edu:8080/data/asl-ftp/asllvd/demos/verify_start_end_handshape_annotations//test_auto_move//signs_mov_separ_signers/Tyler_5536.mov" TargetMode="External"/><Relationship Id="rId5481" Type="http://schemas.openxmlformats.org/officeDocument/2006/relationships/hyperlink" Target="http://csr.bu.edu/ftp/asl/asllvd/demos/verify_start_end_handshape_annotations//test_auto_move//signs_mov_separ_signers/Naomi_5536.mov" TargetMode="External"/><Relationship Id="rId5482" Type="http://schemas.openxmlformats.org/officeDocument/2006/relationships/hyperlink" Target="http://secrets.rutgers.edu:8080/data/asl-ftp/asllvd/demos/verify_start_end_handshape_annotations//test_auto_move//signs_mov_separ_signers/Naomi_5536.mov" TargetMode="External"/><Relationship Id="rId5483" Type="http://schemas.openxmlformats.org/officeDocument/2006/relationships/hyperlink" Target="http://csr.bu.edu/ftp/asl/asllvd/demos/verify_start_end_handshape_annotations//test_auto_move//signs_mov_separ_signers/Liz_590.mov" TargetMode="External"/><Relationship Id="rId5484" Type="http://schemas.openxmlformats.org/officeDocument/2006/relationships/hyperlink" Target="http://secrets.rutgers.edu:8080/data/asl-ftp/asllvd/demos/verify_start_end_handshape_annotations//test_auto_move//signs_mov_separ_signers/Liz_590.mov" TargetMode="External"/><Relationship Id="rId5485" Type="http://schemas.openxmlformats.org/officeDocument/2006/relationships/hyperlink" Target="http://csr.bu.edu/ftp/asl/asllvd/demos/verify_start_end_handshape_annotations//test_auto_move//signs_mov/590.mov" TargetMode="External"/><Relationship Id="rId5486" Type="http://schemas.openxmlformats.org/officeDocument/2006/relationships/hyperlink" Target="http://csr.bu.edu/ftp/asl/asllvd/demos/verify_start_end_handshape_annotations//test_auto_move//signs_mov_separ_signers/Naomi_590.mov" TargetMode="External"/><Relationship Id="rId5487" Type="http://schemas.openxmlformats.org/officeDocument/2006/relationships/hyperlink" Target="http://secrets.rutgers.edu:8080/data/asl-ftp/asllvd/demos/verify_start_end_handshape_annotations//test_auto_move//signs_mov/590.mov" TargetMode="External"/><Relationship Id="rId5488" Type="http://schemas.openxmlformats.org/officeDocument/2006/relationships/hyperlink" Target="http://secrets.rutgers.edu:8080/data/asl-ftp/asllvd/demos/verify_start_end_handshape_annotations//test_auto_move//signs_mov_separ_signers/Naomi_590.mov" TargetMode="External"/><Relationship Id="rId5489" Type="http://schemas.openxmlformats.org/officeDocument/2006/relationships/hyperlink" Target="http://csr.bu.edu/ftp/asl/asllvd/demos/verify_start_end_handshape_annotations//test_auto_move//signs_mov_separ_signers/Brady_590.mov" TargetMode="External"/><Relationship Id="rId5490" Type="http://schemas.openxmlformats.org/officeDocument/2006/relationships/hyperlink" Target="http://secrets.rutgers.edu:8080/data/asl-ftp/asllvd/demos/verify_start_end_handshape_annotations//test_auto_move//signs_mov_separ_signers/Brady_590.mov" TargetMode="External"/><Relationship Id="rId5491" Type="http://schemas.openxmlformats.org/officeDocument/2006/relationships/hyperlink" Target="http://csr.bu.edu/ftp/asl/asllvd/demos/verify_start_end_handshape_annotations//test_auto_move//signs_mov_separ_signers/Liz_591.mov" TargetMode="External"/><Relationship Id="rId5492" Type="http://schemas.openxmlformats.org/officeDocument/2006/relationships/hyperlink" Target="http://secrets.rutgers.edu:8080/data/asl-ftp/asllvd/demos/verify_start_end_handshape_annotations//test_auto_move//signs_mov_separ_signers/Liz_591.mov" TargetMode="External"/><Relationship Id="rId5493" Type="http://schemas.openxmlformats.org/officeDocument/2006/relationships/hyperlink" Target="http://csr.bu.edu/ftp/asl/asllvd/demos/verify_start_end_handshape_annotations//test_auto_move//signs_mov/591.mov" TargetMode="External"/><Relationship Id="rId5494" Type="http://schemas.openxmlformats.org/officeDocument/2006/relationships/hyperlink" Target="http://csr.bu.edu/ftp/asl/asllvd/demos/verify_start_end_handshape_annotations//test_auto_move//signs_mov_separ_signers/Tyler_591.mov" TargetMode="External"/><Relationship Id="rId5495" Type="http://schemas.openxmlformats.org/officeDocument/2006/relationships/hyperlink" Target="http://secrets.rutgers.edu:8080/data/asl-ftp/asllvd/demos/verify_start_end_handshape_annotations//test_auto_move//signs_mov/591.mov" TargetMode="External"/><Relationship Id="rId5496" Type="http://schemas.openxmlformats.org/officeDocument/2006/relationships/hyperlink" Target="http://secrets.rutgers.edu:8080/data/asl-ftp/asllvd/demos/verify_start_end_handshape_annotations//test_auto_move//signs_mov_separ_signers/Tyler_591.mov" TargetMode="External"/><Relationship Id="rId5497" Type="http://schemas.openxmlformats.org/officeDocument/2006/relationships/hyperlink" Target="http://csr.bu.edu/ftp/asl/asllvd/demos/verify_start_end_handshape_annotations//test_auto_move//signs_mov_separ_signers/Naomi_591.mov" TargetMode="External"/><Relationship Id="rId5498" Type="http://schemas.openxmlformats.org/officeDocument/2006/relationships/hyperlink" Target="http://secrets.rutgers.edu:8080/data/asl-ftp/asllvd/demos/verify_start_end_handshape_annotations//test_auto_move//signs_mov_separ_signers/Naomi_591.mov" TargetMode="External"/><Relationship Id="rId5499" Type="http://schemas.openxmlformats.org/officeDocument/2006/relationships/hyperlink" Target="http://csr.bu.edu/ftp/asl/asllvd/demos/verify_start_end_handshape_annotations//test_auto_move//signs_mov_separ_signers/Brady_591.mov" TargetMode="External"/><Relationship Id="rId5500" Type="http://schemas.openxmlformats.org/officeDocument/2006/relationships/hyperlink" Target="http://secrets.rutgers.edu:8080/data/asl-ftp/asllvd/demos/verify_start_end_handshape_annotations//test_auto_move//signs_mov_separ_signers/Brady_591.mov" TargetMode="External"/><Relationship Id="rId5501" Type="http://schemas.openxmlformats.org/officeDocument/2006/relationships/hyperlink" Target="http://csr.bu.edu/ftp/asl/asllvd/demos/verify_start_end_handshape_annotations//test_auto_move//signs_mov/15650.mov" TargetMode="External"/><Relationship Id="rId5502" Type="http://schemas.openxmlformats.org/officeDocument/2006/relationships/hyperlink" Target="http://csr.bu.edu/ftp/asl/asllvd/demos/verify_start_end_handshape_annotations//test_auto_move//signs_mov_separ_signers/Liz_15650.mov" TargetMode="External"/><Relationship Id="rId5503" Type="http://schemas.openxmlformats.org/officeDocument/2006/relationships/hyperlink" Target="http://secrets.rutgers.edu:8080/data/asl-ftp/asllvd/demos/verify_start_end_handshape_annotations//test_auto_move//signs_mov/15650.mov" TargetMode="External"/><Relationship Id="rId5504" Type="http://schemas.openxmlformats.org/officeDocument/2006/relationships/hyperlink" Target="http://secrets.rutgers.edu:8080/data/asl-ftp/asllvd/demos/verify_start_end_handshape_annotations//test_auto_move//signs_mov_separ_signers/Liz_15650.mov" TargetMode="External"/><Relationship Id="rId5505" Type="http://schemas.openxmlformats.org/officeDocument/2006/relationships/hyperlink" Target="http://csr.bu.edu/ftp/asl/asllvd/demos/verify_start_end_handshape_annotations//test_auto_move//signs_mov_separ_signers/Brady_15650.mov" TargetMode="External"/><Relationship Id="rId5506" Type="http://schemas.openxmlformats.org/officeDocument/2006/relationships/hyperlink" Target="http://secrets.rutgers.edu:8080/data/asl-ftp/asllvd/demos/verify_start_end_handshape_annotations//test_auto_move//signs_mov_separ_signers/Brady_15650.mov" TargetMode="External"/><Relationship Id="rId5507" Type="http://schemas.openxmlformats.org/officeDocument/2006/relationships/hyperlink" Target="http://csr.bu.edu/ftp/asl/asllvd/demos/verify_start_end_handshape_annotations//test_auto_move//signs_mov_separ_signers/Liz_15670.mov" TargetMode="External"/><Relationship Id="rId5508" Type="http://schemas.openxmlformats.org/officeDocument/2006/relationships/hyperlink" Target="http://secrets.rutgers.edu:8080/data/asl-ftp/asllvd/demos/verify_start_end_handshape_annotations//test_auto_move//signs_mov_separ_signers/Liz_15670.mov" TargetMode="External"/><Relationship Id="rId5509" Type="http://schemas.openxmlformats.org/officeDocument/2006/relationships/hyperlink" Target="http://csr.bu.edu/ftp/asl/asllvd/demos/verify_start_end_handshape_annotations//test_auto_move//signs_mov/15670.mov" TargetMode="External"/><Relationship Id="rId5510" Type="http://schemas.openxmlformats.org/officeDocument/2006/relationships/hyperlink" Target="http://csr.bu.edu/ftp/asl/asllvd/demos/verify_start_end_handshape_annotations//test_auto_move//signs_mov_separ_signers/Tyler_15670.mov" TargetMode="External"/><Relationship Id="rId5511" Type="http://schemas.openxmlformats.org/officeDocument/2006/relationships/hyperlink" Target="http://secrets.rutgers.edu:8080/data/asl-ftp/asllvd/demos/verify_start_end_handshape_annotations//test_auto_move//signs_mov/15670.mov" TargetMode="External"/><Relationship Id="rId5512" Type="http://schemas.openxmlformats.org/officeDocument/2006/relationships/hyperlink" Target="http://secrets.rutgers.edu:8080/data/asl-ftp/asllvd/demos/verify_start_end_handshape_annotations//test_auto_move//signs_mov_separ_signers/Tyler_15670.mov" TargetMode="External"/><Relationship Id="rId5513" Type="http://schemas.openxmlformats.org/officeDocument/2006/relationships/hyperlink" Target="http://csr.bu.edu/ftp/asl/asllvd/demos/verify_start_end_handshape_annotations//test_auto_move//signs_mov_separ_signers/Naomi_15670.mov" TargetMode="External"/><Relationship Id="rId5514" Type="http://schemas.openxmlformats.org/officeDocument/2006/relationships/hyperlink" Target="http://secrets.rutgers.edu:8080/data/asl-ftp/asllvd/demos/verify_start_end_handshape_annotations//test_auto_move//signs_mov_separ_signers/Naomi_15670.mov" TargetMode="External"/><Relationship Id="rId5515" Type="http://schemas.openxmlformats.org/officeDocument/2006/relationships/hyperlink" Target="http://csr.bu.edu/ftp/asl/asllvd/demos/verify_start_end_handshape_annotations//test_auto_move//signs_mov_separ_signers/Brady_15670.mov" TargetMode="External"/><Relationship Id="rId5516" Type="http://schemas.openxmlformats.org/officeDocument/2006/relationships/hyperlink" Target="http://secrets.rutgers.edu:8080/data/asl-ftp/asllvd/demos/verify_start_end_handshape_annotations//test_auto_move//signs_mov_separ_signers/Brady_15670.mov" TargetMode="External"/><Relationship Id="rId5517" Type="http://schemas.openxmlformats.org/officeDocument/2006/relationships/hyperlink" Target="http://csr.bu.edu/ftp/asl/asllvd/demos/verify_start_end_handshape_annotations//test_auto_move//signs_mov_separ_signers/Liz_593.mov" TargetMode="External"/><Relationship Id="rId5518" Type="http://schemas.openxmlformats.org/officeDocument/2006/relationships/hyperlink" Target="http://secrets.rutgers.edu:8080/data/asl-ftp/asllvd/demos/verify_start_end_handshape_annotations//test_auto_move//signs_mov_separ_signers/Liz_593.mov" TargetMode="External"/><Relationship Id="rId5519" Type="http://schemas.openxmlformats.org/officeDocument/2006/relationships/hyperlink" Target="http://csr.bu.edu/ftp/asl/asllvd/demos/verify_start_end_handshape_annotations//test_auto_move//signs_mov/593.mov" TargetMode="External"/><Relationship Id="rId5520" Type="http://schemas.openxmlformats.org/officeDocument/2006/relationships/hyperlink" Target="http://csr.bu.edu/ftp/asl/asllvd/demos/verify_start_end_handshape_annotations//test_auto_move//signs_mov_separ_signers/Naomi_593.mov" TargetMode="External"/><Relationship Id="rId5521" Type="http://schemas.openxmlformats.org/officeDocument/2006/relationships/hyperlink" Target="http://secrets.rutgers.edu:8080/data/asl-ftp/asllvd/demos/verify_start_end_handshape_annotations//test_auto_move//signs_mov/593.mov" TargetMode="External"/><Relationship Id="rId5522" Type="http://schemas.openxmlformats.org/officeDocument/2006/relationships/hyperlink" Target="http://secrets.rutgers.edu:8080/data/asl-ftp/asllvd/demos/verify_start_end_handshape_annotations//test_auto_move//signs_mov_separ_signers/Naomi_593.mov" TargetMode="External"/><Relationship Id="rId5523" Type="http://schemas.openxmlformats.org/officeDocument/2006/relationships/hyperlink" Target="http://csr.bu.edu/ftp/asl/asllvd/demos/verify_start_end_handshape_annotations//test_auto_move//signs_mov_separ_signers/Brady_593.mov" TargetMode="External"/><Relationship Id="rId5524" Type="http://schemas.openxmlformats.org/officeDocument/2006/relationships/hyperlink" Target="http://secrets.rutgers.edu:8080/data/asl-ftp/asllvd/demos/verify_start_end_handshape_annotations//test_auto_move//signs_mov_separ_signers/Brady_593.mov" TargetMode="External"/><Relationship Id="rId5525" Type="http://schemas.openxmlformats.org/officeDocument/2006/relationships/hyperlink" Target="http://csr.bu.edu/ftp/asl/asllvd/demos/verify_start_end_handshape_annotations//test_auto_move//signs_mov_separ_signers/Liz_5682.mov" TargetMode="External"/><Relationship Id="rId5526" Type="http://schemas.openxmlformats.org/officeDocument/2006/relationships/hyperlink" Target="http://secrets.rutgers.edu:8080/data/asl-ftp/asllvd/demos/verify_start_end_handshape_annotations//test_auto_move//signs_mov_separ_signers/Liz_5682.mov" TargetMode="External"/><Relationship Id="rId5527" Type="http://schemas.openxmlformats.org/officeDocument/2006/relationships/hyperlink" Target="http://csr.bu.edu/ftp/asl/asllvd/demos/verify_start_end_handshape_annotations//test_auto_move//signs_mov_separ_signers/Liz_5697.mov" TargetMode="External"/><Relationship Id="rId5528" Type="http://schemas.openxmlformats.org/officeDocument/2006/relationships/hyperlink" Target="http://secrets.rutgers.edu:8080/data/asl-ftp/asllvd/demos/verify_start_end_handshape_annotations//test_auto_move//signs_mov_separ_signers/Liz_5697.mov" TargetMode="External"/><Relationship Id="rId5529" Type="http://schemas.openxmlformats.org/officeDocument/2006/relationships/hyperlink" Target="http://csr.bu.edu/ftp/asl/asllvd/demos/verify_start_end_handshape_annotations//test_auto_move//signs_mov/5682_5697_15845_merged.mov" TargetMode="External"/><Relationship Id="rId5530" Type="http://schemas.openxmlformats.org/officeDocument/2006/relationships/hyperlink" Target="http://csr.bu.edu/ftp/asl/asllvd/demos/verify_start_end_handshape_annotations//test_auto_move//signs_mov_separ_signers/Liz_15845.mov" TargetMode="External"/><Relationship Id="rId5531" Type="http://schemas.openxmlformats.org/officeDocument/2006/relationships/hyperlink" Target="http://secrets.rutgers.edu:8080/data/asl-ftp/asllvd/demos/verify_start_end_handshape_annotations//test_auto_move//signs_mov/5682_5697_15845_merged.mov" TargetMode="External"/><Relationship Id="rId5532" Type="http://schemas.openxmlformats.org/officeDocument/2006/relationships/hyperlink" Target="http://secrets.rutgers.edu:8080/data/asl-ftp/asllvd/demos/verify_start_end_handshape_annotations//test_auto_move//signs_mov_separ_signers/Liz_15845.mov" TargetMode="External"/><Relationship Id="rId5533" Type="http://schemas.openxmlformats.org/officeDocument/2006/relationships/hyperlink" Target="http://csr.bu.edu/ftp/asl/asllvd/demos/verify_start_end_handshape_annotations//test_auto_move//signs_mov_separ_signers/Brady_5682.mov" TargetMode="External"/><Relationship Id="rId5534" Type="http://schemas.openxmlformats.org/officeDocument/2006/relationships/hyperlink" Target="http://secrets.rutgers.edu:8080/data/asl-ftp/asllvd/demos/verify_start_end_handshape_annotations//test_auto_move//signs_mov_separ_signers/Brady_5682.mov" TargetMode="External"/><Relationship Id="rId5535" Type="http://schemas.openxmlformats.org/officeDocument/2006/relationships/hyperlink" Target="http://csr.bu.edu/ftp/asl/asllvd/demos/verify_start_end_handshape_annotations//test_auto_move//signs_mov_separ_signers/Brady_5697.mov" TargetMode="External"/><Relationship Id="rId5536" Type="http://schemas.openxmlformats.org/officeDocument/2006/relationships/hyperlink" Target="http://secrets.rutgers.edu:8080/data/asl-ftp/asllvd/demos/verify_start_end_handshape_annotations//test_auto_move//signs_mov_separ_signers/Brady_5697.mov" TargetMode="External"/><Relationship Id="rId5537" Type="http://schemas.openxmlformats.org/officeDocument/2006/relationships/hyperlink" Target="http://csr.bu.edu/ftp/asl/asllvd/demos/verify_start_end_handshape_annotations//test_auto_move//signs_mov_separ_signers/Dana_5682.mov" TargetMode="External"/><Relationship Id="rId5538" Type="http://schemas.openxmlformats.org/officeDocument/2006/relationships/hyperlink" Target="http://secrets.rutgers.edu:8080/data/asl-ftp/asllvd/demos/verify_start_end_handshape_annotations//test_auto_move//signs_mov_separ_signers/Dana_5682.mov" TargetMode="External"/><Relationship Id="rId5539" Type="http://schemas.openxmlformats.org/officeDocument/2006/relationships/hyperlink" Target="http://csr.bu.edu/ftp/asl/asllvd/demos/verify_start_end_handshape_annotations//test_auto_move//signs_mov_separ_signers/Liz_15855.mov" TargetMode="External"/><Relationship Id="rId5540" Type="http://schemas.openxmlformats.org/officeDocument/2006/relationships/hyperlink" Target="http://secrets.rutgers.edu:8080/data/asl-ftp/asllvd/demos/verify_start_end_handshape_annotations//test_auto_move//signs_mov_separ_signers/Liz_15855.mov" TargetMode="External"/><Relationship Id="rId5541" Type="http://schemas.openxmlformats.org/officeDocument/2006/relationships/hyperlink" Target="http://csr.bu.edu/ftp/asl/asllvd/demos/verify_start_end_handshape_annotations//test_auto_move//signs_mov_separ_signers/Liz_15857.mov" TargetMode="External"/><Relationship Id="rId5542" Type="http://schemas.openxmlformats.org/officeDocument/2006/relationships/hyperlink" Target="http://secrets.rutgers.edu:8080/data/asl-ftp/asllvd/demos/verify_start_end_handshape_annotations//test_auto_move//signs_mov_separ_signers/Liz_15857.mov" TargetMode="External"/><Relationship Id="rId5543" Type="http://schemas.openxmlformats.org/officeDocument/2006/relationships/hyperlink" Target="http://csr.bu.edu/ftp/asl/asllvd/demos/verify_start_end_handshape_annotations//test_auto_move//signs_mov_separ_signers/Tyler_15855.mov" TargetMode="External"/><Relationship Id="rId5544" Type="http://schemas.openxmlformats.org/officeDocument/2006/relationships/hyperlink" Target="http://secrets.rutgers.edu:8080/data/asl-ftp/asllvd/demos/verify_start_end_handshape_annotations//test_auto_move//signs_mov_separ_signers/Tyler_15855.mov" TargetMode="External"/><Relationship Id="rId5545" Type="http://schemas.openxmlformats.org/officeDocument/2006/relationships/hyperlink" Target="http://csr.bu.edu/ftp/asl/asllvd/demos/verify_start_end_handshape_annotations//test_auto_move//signs_mov_separ_signers/Tyler_15857.mov" TargetMode="External"/><Relationship Id="rId5546" Type="http://schemas.openxmlformats.org/officeDocument/2006/relationships/hyperlink" Target="http://secrets.rutgers.edu:8080/data/asl-ftp/asllvd/demos/verify_start_end_handshape_annotations//test_auto_move//signs_mov_separ_signers/Tyler_15857.mov" TargetMode="External"/><Relationship Id="rId5547" Type="http://schemas.openxmlformats.org/officeDocument/2006/relationships/hyperlink" Target="http://csr.bu.edu/ftp/asl/asllvd/demos/verify_start_end_handshape_annotations//test_auto_move//signs_mov/15855_15857_15859_16337_merged.mov" TargetMode="External"/><Relationship Id="rId5548" Type="http://schemas.openxmlformats.org/officeDocument/2006/relationships/hyperlink" Target="http://csr.bu.edu/ftp/asl/asllvd/demos/verify_start_end_handshape_annotations//test_auto_move//signs_mov_separ_signers/Naomi_15855.mov" TargetMode="External"/><Relationship Id="rId5549" Type="http://schemas.openxmlformats.org/officeDocument/2006/relationships/hyperlink" Target="http://secrets.rutgers.edu:8080/data/asl-ftp/asllvd/demos/verify_start_end_handshape_annotations//test_auto_move//signs_mov/15855_15857_15859_16337_merged.mov" TargetMode="External"/><Relationship Id="rId5550" Type="http://schemas.openxmlformats.org/officeDocument/2006/relationships/hyperlink" Target="http://secrets.rutgers.edu:8080/data/asl-ftp/asllvd/demos/verify_start_end_handshape_annotations//test_auto_move//signs_mov_separ_signers/Naomi_15855.mov" TargetMode="External"/><Relationship Id="rId5551" Type="http://schemas.openxmlformats.org/officeDocument/2006/relationships/hyperlink" Target="http://csr.bu.edu/ftp/asl/asllvd/demos/verify_start_end_handshape_annotations//test_auto_move//signs_mov_separ_signers/Naomi_15857.mov" TargetMode="External"/><Relationship Id="rId5552" Type="http://schemas.openxmlformats.org/officeDocument/2006/relationships/hyperlink" Target="http://secrets.rutgers.edu:8080/data/asl-ftp/asllvd/demos/verify_start_end_handshape_annotations//test_auto_move//signs_mov_separ_signers/Naomi_15857.mov" TargetMode="External"/><Relationship Id="rId5553" Type="http://schemas.openxmlformats.org/officeDocument/2006/relationships/hyperlink" Target="http://csr.bu.edu/ftp/asl/asllvd/demos/verify_start_end_handshape_annotations//test_auto_move//signs_mov_separ_signers/Brady_15855.mov" TargetMode="External"/><Relationship Id="rId5554" Type="http://schemas.openxmlformats.org/officeDocument/2006/relationships/hyperlink" Target="http://secrets.rutgers.edu:8080/data/asl-ftp/asllvd/demos/verify_start_end_handshape_annotations//test_auto_move//signs_mov_separ_signers/Brady_15855.mov" TargetMode="External"/><Relationship Id="rId5555" Type="http://schemas.openxmlformats.org/officeDocument/2006/relationships/hyperlink" Target="http://csr.bu.edu/ftp/asl/asllvd/demos/verify_start_end_handshape_annotations//test_auto_move//signs_mov_separ_signers/Brady_15857.mov" TargetMode="External"/><Relationship Id="rId5556" Type="http://schemas.openxmlformats.org/officeDocument/2006/relationships/hyperlink" Target="http://secrets.rutgers.edu:8080/data/asl-ftp/asllvd/demos/verify_start_end_handshape_annotations//test_auto_move//signs_mov_separ_signers/Brady_15857.mov" TargetMode="External"/><Relationship Id="rId5557" Type="http://schemas.openxmlformats.org/officeDocument/2006/relationships/hyperlink" Target="http://csr.bu.edu/ftp/asl/asllvd/demos/verify_start_end_handshape_annotations//test_auto_move//signs_mov_separ_signers/Brady_15859.mov" TargetMode="External"/><Relationship Id="rId5558" Type="http://schemas.openxmlformats.org/officeDocument/2006/relationships/hyperlink" Target="http://secrets.rutgers.edu:8080/data/asl-ftp/asllvd/demos/verify_start_end_handshape_annotations//test_auto_move//signs_mov_separ_signers/Brady_15859.mov" TargetMode="External"/><Relationship Id="rId5559" Type="http://schemas.openxmlformats.org/officeDocument/2006/relationships/hyperlink" Target="http://csr.bu.edu/ftp/asl/asllvd/demos/verify_start_end_handshape_annotations//test_auto_move//signs_mov_separ_signers/Brady_16337.mov" TargetMode="External"/><Relationship Id="rId5560" Type="http://schemas.openxmlformats.org/officeDocument/2006/relationships/hyperlink" Target="http://secrets.rutgers.edu:8080/data/asl-ftp/asllvd/demos/verify_start_end_handshape_annotations//test_auto_move//signs_mov_separ_signers/Brady_16337.mov" TargetMode="External"/><Relationship Id="rId5561" Type="http://schemas.openxmlformats.org/officeDocument/2006/relationships/hyperlink" Target="http://csr.bu.edu/ftp/asl/asllvd/demos/verify_start_end_handshape_annotations//test_auto_move//signs_mov_separ_signers/Liz_594.mov" TargetMode="External"/><Relationship Id="rId5562" Type="http://schemas.openxmlformats.org/officeDocument/2006/relationships/hyperlink" Target="http://secrets.rutgers.edu:8080/data/asl-ftp/asllvd/demos/verify_start_end_handshape_annotations//test_auto_move//signs_mov_separ_signers/Liz_594.mov" TargetMode="External"/><Relationship Id="rId5563" Type="http://schemas.openxmlformats.org/officeDocument/2006/relationships/hyperlink" Target="http://csr.bu.edu/ftp/asl/asllvd/demos/verify_start_end_handshape_annotations//test_auto_move//signs_mov/594.mov" TargetMode="External"/><Relationship Id="rId5564" Type="http://schemas.openxmlformats.org/officeDocument/2006/relationships/hyperlink" Target="http://csr.bu.edu/ftp/asl/asllvd/demos/verify_start_end_handshape_annotations//test_auto_move//signs_mov_separ_signers/Tyler_594.mov" TargetMode="External"/><Relationship Id="rId5565" Type="http://schemas.openxmlformats.org/officeDocument/2006/relationships/hyperlink" Target="http://secrets.rutgers.edu:8080/data/asl-ftp/asllvd/demos/verify_start_end_handshape_annotations//test_auto_move//signs_mov/594.mov" TargetMode="External"/><Relationship Id="rId5566" Type="http://schemas.openxmlformats.org/officeDocument/2006/relationships/hyperlink" Target="http://secrets.rutgers.edu:8080/data/asl-ftp/asllvd/demos/verify_start_end_handshape_annotations//test_auto_move//signs_mov_separ_signers/Tyler_594.mov" TargetMode="External"/><Relationship Id="rId5567" Type="http://schemas.openxmlformats.org/officeDocument/2006/relationships/hyperlink" Target="http://csr.bu.edu/ftp/asl/asllvd/demos/verify_start_end_handshape_annotations//test_auto_move//signs_mov_separ_signers/Naomi_594.mov" TargetMode="External"/><Relationship Id="rId5568" Type="http://schemas.openxmlformats.org/officeDocument/2006/relationships/hyperlink" Target="http://secrets.rutgers.edu:8080/data/asl-ftp/asllvd/demos/verify_start_end_handshape_annotations//test_auto_move//signs_mov_separ_signers/Naomi_594.mov" TargetMode="External"/><Relationship Id="rId5569" Type="http://schemas.openxmlformats.org/officeDocument/2006/relationships/hyperlink" Target="http://csr.bu.edu/ftp/asl/asllvd/demos/verify_start_end_handshape_annotations//test_auto_move//signs_mov_separ_signers/Brady_594.mov" TargetMode="External"/><Relationship Id="rId5570" Type="http://schemas.openxmlformats.org/officeDocument/2006/relationships/hyperlink" Target="http://secrets.rutgers.edu:8080/data/asl-ftp/asllvd/demos/verify_start_end_handshape_annotations//test_auto_move//signs_mov_separ_signers/Brady_594.mov" TargetMode="External"/><Relationship Id="rId5571" Type="http://schemas.openxmlformats.org/officeDocument/2006/relationships/hyperlink" Target="http://csr.bu.edu/ftp/asl/asllvd/demos/verify_start_end_handshape_annotations//test_auto_move//signs_mov/15939.mov" TargetMode="External"/><Relationship Id="rId5572" Type="http://schemas.openxmlformats.org/officeDocument/2006/relationships/hyperlink" Target="http://csr.bu.edu/ftp/asl/asllvd/demos/verify_start_end_handshape_annotations//test_auto_move//signs_mov_separ_signers/Liz_15939.mov" TargetMode="External"/><Relationship Id="rId5573" Type="http://schemas.openxmlformats.org/officeDocument/2006/relationships/hyperlink" Target="http://secrets.rutgers.edu:8080/data/asl-ftp/asllvd/demos/verify_start_end_handshape_annotations//test_auto_move//signs_mov/15939.mov" TargetMode="External"/><Relationship Id="rId5574" Type="http://schemas.openxmlformats.org/officeDocument/2006/relationships/hyperlink" Target="http://secrets.rutgers.edu:8080/data/asl-ftp/asllvd/demos/verify_start_end_handshape_annotations//test_auto_move//signs_mov_separ_signers/Liz_15939.mov" TargetMode="External"/><Relationship Id="rId5575" Type="http://schemas.openxmlformats.org/officeDocument/2006/relationships/hyperlink" Target="http://csr.bu.edu/ftp/asl/asllvd/demos/verify_start_end_handshape_annotations//test_auto_move//signs_mov_separ_signers/Brady_15939.mov" TargetMode="External"/><Relationship Id="rId5576" Type="http://schemas.openxmlformats.org/officeDocument/2006/relationships/hyperlink" Target="http://secrets.rutgers.edu:8080/data/asl-ftp/asllvd/demos/verify_start_end_handshape_annotations//test_auto_move//signs_mov_separ_signers/Brady_15939.mov" TargetMode="External"/><Relationship Id="rId5577" Type="http://schemas.openxmlformats.org/officeDocument/2006/relationships/hyperlink" Target="http://csr.bu.edu/ftp/asl/asllvd/demos/verify_start_end_handshape_annotations//test_auto_move//signs_mov_separ_signers/Liz_595.mov" TargetMode="External"/><Relationship Id="rId5578" Type="http://schemas.openxmlformats.org/officeDocument/2006/relationships/hyperlink" Target="http://secrets.rutgers.edu:8080/data/asl-ftp/asllvd/demos/verify_start_end_handshape_annotations//test_auto_move//signs_mov_separ_signers/Liz_595.mov" TargetMode="External"/><Relationship Id="rId5579" Type="http://schemas.openxmlformats.org/officeDocument/2006/relationships/hyperlink" Target="http://csr.bu.edu/ftp/asl/asllvd/demos/verify_start_end_handshape_annotations//test_auto_move//signs_mov/595.mov" TargetMode="External"/><Relationship Id="rId5580" Type="http://schemas.openxmlformats.org/officeDocument/2006/relationships/hyperlink" Target="http://csr.bu.edu/ftp/asl/asllvd/demos/verify_start_end_handshape_annotations//test_auto_move//signs_mov_separ_signers/Tyler_595.mov" TargetMode="External"/><Relationship Id="rId5581" Type="http://schemas.openxmlformats.org/officeDocument/2006/relationships/hyperlink" Target="http://secrets.rutgers.edu:8080/data/asl-ftp/asllvd/demos/verify_start_end_handshape_annotations//test_auto_move//signs_mov/595.mov" TargetMode="External"/><Relationship Id="rId5582" Type="http://schemas.openxmlformats.org/officeDocument/2006/relationships/hyperlink" Target="http://secrets.rutgers.edu:8080/data/asl-ftp/asllvd/demos/verify_start_end_handshape_annotations//test_auto_move//signs_mov_separ_signers/Tyler_595.mov" TargetMode="External"/><Relationship Id="rId5583" Type="http://schemas.openxmlformats.org/officeDocument/2006/relationships/hyperlink" Target="http://csr.bu.edu/ftp/asl/asllvd/demos/verify_start_end_handshape_annotations//test_auto_move//signs_mov_separ_signers/Brady_595.mov" TargetMode="External"/><Relationship Id="rId5584" Type="http://schemas.openxmlformats.org/officeDocument/2006/relationships/hyperlink" Target="http://secrets.rutgers.edu:8080/data/asl-ftp/asllvd/demos/verify_start_end_handshape_annotations//test_auto_move//signs_mov_separ_signers/Brady_595.mov" TargetMode="External"/><Relationship Id="rId5585" Type="http://schemas.openxmlformats.org/officeDocument/2006/relationships/hyperlink" Target="http://csr.bu.edu/ftp/asl/asllvd/demos/verify_start_end_handshape_annotations//test_auto_move//signs_mov/16305.mov" TargetMode="External"/><Relationship Id="rId5586" Type="http://schemas.openxmlformats.org/officeDocument/2006/relationships/hyperlink" Target="http://csr.bu.edu/ftp/asl/asllvd/demos/verify_start_end_handshape_annotations//test_auto_move//signs_mov_separ_signers/Naomi_16305.mov" TargetMode="External"/><Relationship Id="rId5587" Type="http://schemas.openxmlformats.org/officeDocument/2006/relationships/hyperlink" Target="http://secrets.rutgers.edu:8080/data/asl-ftp/asllvd/demos/verify_start_end_handshape_annotations//test_auto_move//signs_mov/16305.mov" TargetMode="External"/><Relationship Id="rId5588" Type="http://schemas.openxmlformats.org/officeDocument/2006/relationships/hyperlink" Target="http://secrets.rutgers.edu:8080/data/asl-ftp/asllvd/demos/verify_start_end_handshape_annotations//test_auto_move//signs_mov_separ_signers/Naomi_16305.mov" TargetMode="External"/><Relationship Id="rId5589" Type="http://schemas.openxmlformats.org/officeDocument/2006/relationships/hyperlink" Target="http://csr.bu.edu/ftp/asl/asllvd/demos/verify_start_end_handshape_annotations//test_auto_move//signs_mov/596.mov" TargetMode="External"/><Relationship Id="rId5590" Type="http://schemas.openxmlformats.org/officeDocument/2006/relationships/hyperlink" Target="http://csr.bu.edu/ftp/asl/asllvd/demos/verify_start_end_handshape_annotations//test_auto_move//signs_mov_separ_signers/Naomi_596.mov" TargetMode="External"/><Relationship Id="rId5591" Type="http://schemas.openxmlformats.org/officeDocument/2006/relationships/hyperlink" Target="http://secrets.rutgers.edu:8080/data/asl-ftp/asllvd/demos/verify_start_end_handshape_annotations//test_auto_move//signs_mov/596.mov" TargetMode="External"/><Relationship Id="rId5592" Type="http://schemas.openxmlformats.org/officeDocument/2006/relationships/hyperlink" Target="http://secrets.rutgers.edu:8080/data/asl-ftp/asllvd/demos/verify_start_end_handshape_annotations//test_auto_move//signs_mov_separ_signers/Naomi_596.mov" TargetMode="External"/><Relationship Id="rId5593" Type="http://schemas.openxmlformats.org/officeDocument/2006/relationships/hyperlink" Target="http://csr.bu.edu/ftp/asl/asllvd/demos/verify_start_end_handshape_annotations//test_auto_move//signs_mov/5954.mov" TargetMode="External"/><Relationship Id="rId5594" Type="http://schemas.openxmlformats.org/officeDocument/2006/relationships/hyperlink" Target="http://csr.bu.edu/ftp/asl/asllvd/demos/verify_start_end_handshape_annotations//test_auto_move//signs_mov_separ_signers/Liz_5954.mov" TargetMode="External"/><Relationship Id="rId5595" Type="http://schemas.openxmlformats.org/officeDocument/2006/relationships/hyperlink" Target="http://secrets.rutgers.edu:8080/data/asl-ftp/asllvd/demos/verify_start_end_handshape_annotations//test_auto_move//signs_mov/5954.mov" TargetMode="External"/><Relationship Id="rId5596" Type="http://schemas.openxmlformats.org/officeDocument/2006/relationships/hyperlink" Target="http://secrets.rutgers.edu:8080/data/asl-ftp/asllvd/demos/verify_start_end_handshape_annotations//test_auto_move//signs_mov_separ_signers/Liz_5954.mov" TargetMode="External"/><Relationship Id="rId5597" Type="http://schemas.openxmlformats.org/officeDocument/2006/relationships/hyperlink" Target="http://csr.bu.edu/ftp/asl/asllvd/demos/verify_start_end_handshape_annotations//test_auto_move//signs_mov/5998.mov" TargetMode="External"/><Relationship Id="rId5598" Type="http://schemas.openxmlformats.org/officeDocument/2006/relationships/hyperlink" Target="http://csr.bu.edu/ftp/asl/asllvd/demos/verify_start_end_handshape_annotations//test_auto_move//signs_mov_separ_signers/Tyler_5998.mov" TargetMode="External"/><Relationship Id="rId5599" Type="http://schemas.openxmlformats.org/officeDocument/2006/relationships/hyperlink" Target="http://secrets.rutgers.edu:8080/data/asl-ftp/asllvd/demos/verify_start_end_handshape_annotations//test_auto_move//signs_mov/5998.mov" TargetMode="External"/><Relationship Id="rId5600" Type="http://schemas.openxmlformats.org/officeDocument/2006/relationships/hyperlink" Target="http://secrets.rutgers.edu:8080/data/asl-ftp/asllvd/demos/verify_start_end_handshape_annotations//test_auto_move//signs_mov_separ_signers/Tyler_5998.mov" TargetMode="External"/><Relationship Id="rId5601" Type="http://schemas.openxmlformats.org/officeDocument/2006/relationships/hyperlink" Target="http://csr.bu.edu/ftp/asl/asllvd/demos/verify_start_end_handshape_annotations//test_auto_move//signs_mov_separ_signers/Liz_598.mov" TargetMode="External"/><Relationship Id="rId5602" Type="http://schemas.openxmlformats.org/officeDocument/2006/relationships/hyperlink" Target="http://secrets.rutgers.edu:8080/data/asl-ftp/asllvd/demos/verify_start_end_handshape_annotations//test_auto_move//signs_mov_separ_signers/Liz_598.mov" TargetMode="External"/><Relationship Id="rId5603" Type="http://schemas.openxmlformats.org/officeDocument/2006/relationships/hyperlink" Target="http://csr.bu.edu/ftp/asl/asllvd/demos/verify_start_end_handshape_annotations//test_auto_move//signs_mov/598.mov" TargetMode="External"/><Relationship Id="rId5604" Type="http://schemas.openxmlformats.org/officeDocument/2006/relationships/hyperlink" Target="http://csr.bu.edu/ftp/asl/asllvd/demos/verify_start_end_handshape_annotations//test_auto_move//signs_mov_separ_signers/Tyler_598.mov" TargetMode="External"/><Relationship Id="rId5605" Type="http://schemas.openxmlformats.org/officeDocument/2006/relationships/hyperlink" Target="http://secrets.rutgers.edu:8080/data/asl-ftp/asllvd/demos/verify_start_end_handshape_annotations//test_auto_move//signs_mov/598.mov" TargetMode="External"/><Relationship Id="rId5606" Type="http://schemas.openxmlformats.org/officeDocument/2006/relationships/hyperlink" Target="http://secrets.rutgers.edu:8080/data/asl-ftp/asllvd/demos/verify_start_end_handshape_annotations//test_auto_move//signs_mov_separ_signers/Tyler_598.mov" TargetMode="External"/><Relationship Id="rId5607" Type="http://schemas.openxmlformats.org/officeDocument/2006/relationships/hyperlink" Target="http://csr.bu.edu/ftp/asl/asllvd/demos/verify_start_end_handshape_annotations//test_auto_move//signs_mov_separ_signers/Brady_598.mov" TargetMode="External"/><Relationship Id="rId5608" Type="http://schemas.openxmlformats.org/officeDocument/2006/relationships/hyperlink" Target="http://secrets.rutgers.edu:8080/data/asl-ftp/asllvd/demos/verify_start_end_handshape_annotations//test_auto_move//signs_mov_separ_signers/Brady_598.mov" TargetMode="External"/><Relationship Id="rId5609" Type="http://schemas.openxmlformats.org/officeDocument/2006/relationships/hyperlink" Target="http://csr.bu.edu/ftp/asl/asllvd/demos/verify_start_end_handshape_annotations//test_auto_move//signs_mov/16306.mov" TargetMode="External"/><Relationship Id="rId5610" Type="http://schemas.openxmlformats.org/officeDocument/2006/relationships/hyperlink" Target="http://csr.bu.edu/ftp/asl/asllvd/demos/verify_start_end_handshape_annotations//test_auto_move//signs_mov_separ_signers/Naomi_16306.mov" TargetMode="External"/><Relationship Id="rId5611" Type="http://schemas.openxmlformats.org/officeDocument/2006/relationships/hyperlink" Target="http://secrets.rutgers.edu:8080/data/asl-ftp/asllvd/demos/verify_start_end_handshape_annotations//test_auto_move//signs_mov/16306.mov" TargetMode="External"/><Relationship Id="rId5612" Type="http://schemas.openxmlformats.org/officeDocument/2006/relationships/hyperlink" Target="http://secrets.rutgers.edu:8080/data/asl-ftp/asllvd/demos/verify_start_end_handshape_annotations//test_auto_move//signs_mov_separ_signers/Naomi_16306.mov" TargetMode="External"/><Relationship Id="rId5613" Type="http://schemas.openxmlformats.org/officeDocument/2006/relationships/hyperlink" Target="http://csr.bu.edu/ftp/asl/asllvd/demos/verify_start_end_handshape_annotations//test_auto_move//signs_mov_separ_signers/Liz_599.mov" TargetMode="External"/><Relationship Id="rId5614" Type="http://schemas.openxmlformats.org/officeDocument/2006/relationships/hyperlink" Target="http://secrets.rutgers.edu:8080/data/asl-ftp/asllvd/demos/verify_start_end_handshape_annotations//test_auto_move//signs_mov_separ_signers/Liz_599.mov" TargetMode="External"/><Relationship Id="rId5615" Type="http://schemas.openxmlformats.org/officeDocument/2006/relationships/hyperlink" Target="http://csr.bu.edu/ftp/asl/asllvd/demos/verify_start_end_handshape_annotations//test_auto_move//signs_mov/599.mov" TargetMode="External"/><Relationship Id="rId5616" Type="http://schemas.openxmlformats.org/officeDocument/2006/relationships/hyperlink" Target="http://csr.bu.edu/ftp/asl/asllvd/demos/verify_start_end_handshape_annotations//test_auto_move//signs_mov_separ_signers/Tyler_599.mov" TargetMode="External"/><Relationship Id="rId5617" Type="http://schemas.openxmlformats.org/officeDocument/2006/relationships/hyperlink" Target="http://secrets.rutgers.edu:8080/data/asl-ftp/asllvd/demos/verify_start_end_handshape_annotations//test_auto_move//signs_mov/599.mov" TargetMode="External"/><Relationship Id="rId5618" Type="http://schemas.openxmlformats.org/officeDocument/2006/relationships/hyperlink" Target="http://secrets.rutgers.edu:8080/data/asl-ftp/asllvd/demos/verify_start_end_handshape_annotations//test_auto_move//signs_mov_separ_signers/Tyler_599.mov" TargetMode="External"/><Relationship Id="rId5619" Type="http://schemas.openxmlformats.org/officeDocument/2006/relationships/hyperlink" Target="http://csr.bu.edu/ftp/asl/asllvd/demos/verify_start_end_handshape_annotations//test_auto_move//signs_mov_separ_signers/Naomi_599.mov" TargetMode="External"/><Relationship Id="rId5620" Type="http://schemas.openxmlformats.org/officeDocument/2006/relationships/hyperlink" Target="http://secrets.rutgers.edu:8080/data/asl-ftp/asllvd/demos/verify_start_end_handshape_annotations//test_auto_move//signs_mov_separ_signers/Naomi_599.mov" TargetMode="External"/><Relationship Id="rId5621" Type="http://schemas.openxmlformats.org/officeDocument/2006/relationships/hyperlink" Target="http://csr.bu.edu/ftp/asl/asllvd/demos/verify_start_end_handshape_annotations//test_auto_move//signs_mov_separ_signers/Brady_599.mov" TargetMode="External"/><Relationship Id="rId5622" Type="http://schemas.openxmlformats.org/officeDocument/2006/relationships/hyperlink" Target="http://secrets.rutgers.edu:8080/data/asl-ftp/asllvd/demos/verify_start_end_handshape_annotations//test_auto_move//signs_mov_separ_signers/Brady_599.mov" TargetMode="External"/><Relationship Id="rId5623" Type="http://schemas.openxmlformats.org/officeDocument/2006/relationships/hyperlink" Target="http://csr.bu.edu/ftp/asl/asllvd/demos/verify_start_end_handshape_annotations//test_auto_move//signs_mov_separ_signers/Liz_600.mov" TargetMode="External"/><Relationship Id="rId5624" Type="http://schemas.openxmlformats.org/officeDocument/2006/relationships/hyperlink" Target="http://secrets.rutgers.edu:8080/data/asl-ftp/asllvd/demos/verify_start_end_handshape_annotations//test_auto_move//signs_mov_separ_signers/Liz_600.mov" TargetMode="External"/><Relationship Id="rId5625" Type="http://schemas.openxmlformats.org/officeDocument/2006/relationships/hyperlink" Target="http://csr.bu.edu/ftp/asl/asllvd/demos/verify_start_end_handshape_annotations//test_auto_move//signs_mov/600.mov" TargetMode="External"/><Relationship Id="rId5626" Type="http://schemas.openxmlformats.org/officeDocument/2006/relationships/hyperlink" Target="http://csr.bu.edu/ftp/asl/asllvd/demos/verify_start_end_handshape_annotations//test_auto_move//signs_mov_separ_signers/Tyler_600.mov" TargetMode="External"/><Relationship Id="rId5627" Type="http://schemas.openxmlformats.org/officeDocument/2006/relationships/hyperlink" Target="http://secrets.rutgers.edu:8080/data/asl-ftp/asllvd/demos/verify_start_end_handshape_annotations//test_auto_move//signs_mov/600.mov" TargetMode="External"/><Relationship Id="rId5628" Type="http://schemas.openxmlformats.org/officeDocument/2006/relationships/hyperlink" Target="http://secrets.rutgers.edu:8080/data/asl-ftp/asllvd/demos/verify_start_end_handshape_annotations//test_auto_move//signs_mov_separ_signers/Tyler_600.mov" TargetMode="External"/><Relationship Id="rId5629" Type="http://schemas.openxmlformats.org/officeDocument/2006/relationships/hyperlink" Target="http://csr.bu.edu/ftp/asl/asllvd/demos/verify_start_end_handshape_annotations//test_auto_move//signs_mov_separ_signers/Naomi_600.mov" TargetMode="External"/><Relationship Id="rId5630" Type="http://schemas.openxmlformats.org/officeDocument/2006/relationships/hyperlink" Target="http://secrets.rutgers.edu:8080/data/asl-ftp/asllvd/demos/verify_start_end_handshape_annotations//test_auto_move//signs_mov_separ_signers/Naomi_600.mov" TargetMode="External"/><Relationship Id="rId5631" Type="http://schemas.openxmlformats.org/officeDocument/2006/relationships/hyperlink" Target="http://csr.bu.edu/ftp/asl/asllvd/demos/verify_start_end_handshape_annotations//test_auto_move//signs_mov_separ_signers/Brady_600.mov" TargetMode="External"/><Relationship Id="rId5632" Type="http://schemas.openxmlformats.org/officeDocument/2006/relationships/hyperlink" Target="http://secrets.rutgers.edu:8080/data/asl-ftp/asllvd/demos/verify_start_end_handshape_annotations//test_auto_move//signs_mov_separ_signers/Brady_600.mov" TargetMode="External"/><Relationship Id="rId5633" Type="http://schemas.openxmlformats.org/officeDocument/2006/relationships/hyperlink" Target="http://csr.bu.edu/ftp/asl/asllvd/demos/verify_start_end_handshape_annotations//test_auto_move//signs_mov_separ_signers/Liz_602.mov" TargetMode="External"/><Relationship Id="rId5634" Type="http://schemas.openxmlformats.org/officeDocument/2006/relationships/hyperlink" Target="http://secrets.rutgers.edu:8080/data/asl-ftp/asllvd/demos/verify_start_end_handshape_annotations//test_auto_move//signs_mov_separ_signers/Liz_602.mov" TargetMode="External"/><Relationship Id="rId5635" Type="http://schemas.openxmlformats.org/officeDocument/2006/relationships/hyperlink" Target="http://csr.bu.edu/ftp/asl/asllvd/demos/verify_start_end_handshape_annotations//test_auto_move//signs_mov/602.mov" TargetMode="External"/><Relationship Id="rId5636" Type="http://schemas.openxmlformats.org/officeDocument/2006/relationships/hyperlink" Target="http://csr.bu.edu/ftp/asl/asllvd/demos/verify_start_end_handshape_annotations//test_auto_move//signs_mov_separ_signers/Tyler_602.mov" TargetMode="External"/><Relationship Id="rId5637" Type="http://schemas.openxmlformats.org/officeDocument/2006/relationships/hyperlink" Target="http://secrets.rutgers.edu:8080/data/asl-ftp/asllvd/demos/verify_start_end_handshape_annotations//test_auto_move//signs_mov/602.mov" TargetMode="External"/><Relationship Id="rId5638" Type="http://schemas.openxmlformats.org/officeDocument/2006/relationships/hyperlink" Target="http://secrets.rutgers.edu:8080/data/asl-ftp/asllvd/demos/verify_start_end_handshape_annotations//test_auto_move//signs_mov_separ_signers/Tyler_602.mov" TargetMode="External"/><Relationship Id="rId5639" Type="http://schemas.openxmlformats.org/officeDocument/2006/relationships/hyperlink" Target="http://csr.bu.edu/ftp/asl/asllvd/demos/verify_start_end_handshape_annotations//test_auto_move//signs_mov_separ_signers/Naomi_602.mov" TargetMode="External"/><Relationship Id="rId5640" Type="http://schemas.openxmlformats.org/officeDocument/2006/relationships/hyperlink" Target="http://secrets.rutgers.edu:8080/data/asl-ftp/asllvd/demos/verify_start_end_handshape_annotations//test_auto_move//signs_mov_separ_signers/Naomi_602.mov" TargetMode="External"/><Relationship Id="rId5641" Type="http://schemas.openxmlformats.org/officeDocument/2006/relationships/hyperlink" Target="http://csr.bu.edu/ftp/asl/asllvd/demos/verify_start_end_handshape_annotations//test_auto_move//signs_mov_separ_signers/Brady_602.mov" TargetMode="External"/><Relationship Id="rId5642" Type="http://schemas.openxmlformats.org/officeDocument/2006/relationships/hyperlink" Target="http://secrets.rutgers.edu:8080/data/asl-ftp/asllvd/demos/verify_start_end_handshape_annotations//test_auto_move//signs_mov_separ_signers/Brady_602.mov" TargetMode="External"/><Relationship Id="rId5643" Type="http://schemas.openxmlformats.org/officeDocument/2006/relationships/hyperlink" Target="http://csr.bu.edu/ftp/asl/asllvd/demos/verify_start_end_handshape_annotations//test_auto_move//signs_mov_separ_signers/Liz_604.mov" TargetMode="External"/><Relationship Id="rId5644" Type="http://schemas.openxmlformats.org/officeDocument/2006/relationships/hyperlink" Target="http://secrets.rutgers.edu:8080/data/asl-ftp/asllvd/demos/verify_start_end_handshape_annotations//test_auto_move//signs_mov_separ_signers/Liz_604.mov" TargetMode="External"/><Relationship Id="rId5645" Type="http://schemas.openxmlformats.org/officeDocument/2006/relationships/hyperlink" Target="http://csr.bu.edu/ftp/asl/asllvd/demos/verify_start_end_handshape_annotations//test_auto_move//signs_mov/604.mov" TargetMode="External"/><Relationship Id="rId5646" Type="http://schemas.openxmlformats.org/officeDocument/2006/relationships/hyperlink" Target="http://csr.bu.edu/ftp/asl/asllvd/demos/verify_start_end_handshape_annotations//test_auto_move//signs_mov_separ_signers/Tyler_604.mov" TargetMode="External"/><Relationship Id="rId5647" Type="http://schemas.openxmlformats.org/officeDocument/2006/relationships/hyperlink" Target="http://secrets.rutgers.edu:8080/data/asl-ftp/asllvd/demos/verify_start_end_handshape_annotations//test_auto_move//signs_mov/604.mov" TargetMode="External"/><Relationship Id="rId5648" Type="http://schemas.openxmlformats.org/officeDocument/2006/relationships/hyperlink" Target="http://secrets.rutgers.edu:8080/data/asl-ftp/asllvd/demos/verify_start_end_handshape_annotations//test_auto_move//signs_mov_separ_signers/Tyler_604.mov" TargetMode="External"/><Relationship Id="rId5649" Type="http://schemas.openxmlformats.org/officeDocument/2006/relationships/hyperlink" Target="http://csr.bu.edu/ftp/asl/asllvd/demos/verify_start_end_handshape_annotations//test_auto_move//signs_mov_separ_signers/Brady_604.mov" TargetMode="External"/><Relationship Id="rId5650" Type="http://schemas.openxmlformats.org/officeDocument/2006/relationships/hyperlink" Target="http://secrets.rutgers.edu:8080/data/asl-ftp/asllvd/demos/verify_start_end_handshape_annotations//test_auto_move//signs_mov_separ_signers/Brady_604.mov" TargetMode="External"/><Relationship Id="rId5651" Type="http://schemas.openxmlformats.org/officeDocument/2006/relationships/hyperlink" Target="http://csr.bu.edu/ftp/asl/asllvd/demos/verify_start_end_handshape_annotations//test_auto_move//signs_mov/16307.mov" TargetMode="External"/><Relationship Id="rId5652" Type="http://schemas.openxmlformats.org/officeDocument/2006/relationships/hyperlink" Target="http://csr.bu.edu/ftp/asl/asllvd/demos/verify_start_end_handshape_annotations//test_auto_move//signs_mov_separ_signers/Naomi_16307.mov" TargetMode="External"/><Relationship Id="rId5653" Type="http://schemas.openxmlformats.org/officeDocument/2006/relationships/hyperlink" Target="http://secrets.rutgers.edu:8080/data/asl-ftp/asllvd/demos/verify_start_end_handshape_annotations//test_auto_move//signs_mov/16307.mov" TargetMode="External"/><Relationship Id="rId5654" Type="http://schemas.openxmlformats.org/officeDocument/2006/relationships/hyperlink" Target="http://secrets.rutgers.edu:8080/data/asl-ftp/asllvd/demos/verify_start_end_handshape_annotations//test_auto_move//signs_mov_separ_signers/Naomi_16307.mov" TargetMode="External"/><Relationship Id="rId5655" Type="http://schemas.openxmlformats.org/officeDocument/2006/relationships/hyperlink" Target="http://csr.bu.edu/ftp/asl/asllvd/demos/verify_start_end_handshape_annotations//test_auto_move//signs_mov_separ_signers/Liz_605.mov" TargetMode="External"/><Relationship Id="rId5656" Type="http://schemas.openxmlformats.org/officeDocument/2006/relationships/hyperlink" Target="http://secrets.rutgers.edu:8080/data/asl-ftp/asllvd/demos/verify_start_end_handshape_annotations//test_auto_move//signs_mov_separ_signers/Liz_605.mov" TargetMode="External"/><Relationship Id="rId5657" Type="http://schemas.openxmlformats.org/officeDocument/2006/relationships/hyperlink" Target="http://csr.bu.edu/ftp/asl/asllvd/demos/verify_start_end_handshape_annotations//test_auto_move//signs_mov/605.mov" TargetMode="External"/><Relationship Id="rId5658" Type="http://schemas.openxmlformats.org/officeDocument/2006/relationships/hyperlink" Target="http://csr.bu.edu/ftp/asl/asllvd/demos/verify_start_end_handshape_annotations//test_auto_move//signs_mov_separ_signers/Tyler_605.mov" TargetMode="External"/><Relationship Id="rId5659" Type="http://schemas.openxmlformats.org/officeDocument/2006/relationships/hyperlink" Target="http://secrets.rutgers.edu:8080/data/asl-ftp/asllvd/demos/verify_start_end_handshape_annotations//test_auto_move//signs_mov/605.mov" TargetMode="External"/><Relationship Id="rId5660" Type="http://schemas.openxmlformats.org/officeDocument/2006/relationships/hyperlink" Target="http://secrets.rutgers.edu:8080/data/asl-ftp/asllvd/demos/verify_start_end_handshape_annotations//test_auto_move//signs_mov_separ_signers/Tyler_605.mov" TargetMode="External"/><Relationship Id="rId5661" Type="http://schemas.openxmlformats.org/officeDocument/2006/relationships/hyperlink" Target="http://csr.bu.edu/ftp/asl/asllvd/demos/verify_start_end_handshape_annotations//test_auto_move//signs_mov_separ_signers/Naomi_605.mov" TargetMode="External"/><Relationship Id="rId5662" Type="http://schemas.openxmlformats.org/officeDocument/2006/relationships/hyperlink" Target="http://secrets.rutgers.edu:8080/data/asl-ftp/asllvd/demos/verify_start_end_handshape_annotations//test_auto_move//signs_mov_separ_signers/Naomi_605.mov" TargetMode="External"/><Relationship Id="rId5663" Type="http://schemas.openxmlformats.org/officeDocument/2006/relationships/hyperlink" Target="http://csr.bu.edu/ftp/asl/asllvd/demos/verify_start_end_handshape_annotations//test_auto_move//signs_mov_separ_signers/Brady_605.mov" TargetMode="External"/><Relationship Id="rId5664" Type="http://schemas.openxmlformats.org/officeDocument/2006/relationships/hyperlink" Target="http://secrets.rutgers.edu:8080/data/asl-ftp/asllvd/demos/verify_start_end_handshape_annotations//test_auto_move//signs_mov_separ_signers/Brady_605.mov" TargetMode="External"/><Relationship Id="rId5665" Type="http://schemas.openxmlformats.org/officeDocument/2006/relationships/hyperlink" Target="http://csr.bu.edu/ftp/asl/asllvd/demos/verify_start_end_handshape_annotations//test_auto_move//signs_mov_separ_signers/Liz_606.mov" TargetMode="External"/><Relationship Id="rId5666" Type="http://schemas.openxmlformats.org/officeDocument/2006/relationships/hyperlink" Target="http://secrets.rutgers.edu:8080/data/asl-ftp/asllvd/demos/verify_start_end_handshape_annotations//test_auto_move//signs_mov_separ_signers/Liz_606.mov" TargetMode="External"/><Relationship Id="rId5667" Type="http://schemas.openxmlformats.org/officeDocument/2006/relationships/hyperlink" Target="http://csr.bu.edu/ftp/asl/asllvd/demos/verify_start_end_handshape_annotations//test_auto_move//signs_mov/606.mov" TargetMode="External"/><Relationship Id="rId5668" Type="http://schemas.openxmlformats.org/officeDocument/2006/relationships/hyperlink" Target="http://csr.bu.edu/ftp/asl/asllvd/demos/verify_start_end_handshape_annotations//test_auto_move//signs_mov_separ_signers/Naomi_606.mov" TargetMode="External"/><Relationship Id="rId5669" Type="http://schemas.openxmlformats.org/officeDocument/2006/relationships/hyperlink" Target="http://secrets.rutgers.edu:8080/data/asl-ftp/asllvd/demos/verify_start_end_handshape_annotations//test_auto_move//signs_mov/606.mov" TargetMode="External"/><Relationship Id="rId5670" Type="http://schemas.openxmlformats.org/officeDocument/2006/relationships/hyperlink" Target="http://secrets.rutgers.edu:8080/data/asl-ftp/asllvd/demos/verify_start_end_handshape_annotations//test_auto_move//signs_mov_separ_signers/Naomi_606.mov" TargetMode="External"/><Relationship Id="rId5671" Type="http://schemas.openxmlformats.org/officeDocument/2006/relationships/hyperlink" Target="http://csr.bu.edu/ftp/asl/asllvd/demos/verify_start_end_handshape_annotations//test_auto_move//signs_mov_separ_signers/Brady_606.mov" TargetMode="External"/><Relationship Id="rId5672" Type="http://schemas.openxmlformats.org/officeDocument/2006/relationships/hyperlink" Target="http://secrets.rutgers.edu:8080/data/asl-ftp/asllvd/demos/verify_start_end_handshape_annotations//test_auto_move//signs_mov_separ_signers/Brady_606.mov" TargetMode="External"/><Relationship Id="rId5673" Type="http://schemas.openxmlformats.org/officeDocument/2006/relationships/hyperlink" Target="http://csr.bu.edu/ftp/asl/asllvd/demos/verify_start_end_handshape_annotations//test_auto_move//signs_mov/15034.mov" TargetMode="External"/><Relationship Id="rId5674" Type="http://schemas.openxmlformats.org/officeDocument/2006/relationships/hyperlink" Target="http://csr.bu.edu/ftp/asl/asllvd/demos/verify_start_end_handshape_annotations//test_auto_move//signs_mov_separ_signers/Tyler_15034.mov" TargetMode="External"/><Relationship Id="rId5675" Type="http://schemas.openxmlformats.org/officeDocument/2006/relationships/hyperlink" Target="http://secrets.rutgers.edu:8080/data/asl-ftp/asllvd/demos/verify_start_end_handshape_annotations//test_auto_move//signs_mov/15034.mov" TargetMode="External"/><Relationship Id="rId5676" Type="http://schemas.openxmlformats.org/officeDocument/2006/relationships/hyperlink" Target="http://secrets.rutgers.edu:8080/data/asl-ftp/asllvd/demos/verify_start_end_handshape_annotations//test_auto_move//signs_mov_separ_signers/Tyler_15034.mov" TargetMode="External"/><Relationship Id="rId5677" Type="http://schemas.openxmlformats.org/officeDocument/2006/relationships/hyperlink" Target="http://csr.bu.edu/ftp/asl/asllvd/demos/verify_start_end_handshape_annotations//test_auto_move//signs_mov_separ_signers/Brady_15034.mov" TargetMode="External"/><Relationship Id="rId5678" Type="http://schemas.openxmlformats.org/officeDocument/2006/relationships/hyperlink" Target="http://secrets.rutgers.edu:8080/data/asl-ftp/asllvd/demos/verify_start_end_handshape_annotations//test_auto_move//signs_mov_separ_signers/Brady_15034.mov" TargetMode="External"/><Relationship Id="rId5679" Type="http://schemas.openxmlformats.org/officeDocument/2006/relationships/hyperlink" Target="http://csr.bu.edu/ftp/asl/asllvd/demos/verify_start_end_handshape_annotations//test_auto_move//signs_mov_separ_signers/Liz_607.mov" TargetMode="External"/><Relationship Id="rId5680" Type="http://schemas.openxmlformats.org/officeDocument/2006/relationships/hyperlink" Target="http://secrets.rutgers.edu:8080/data/asl-ftp/asllvd/demos/verify_start_end_handshape_annotations//test_auto_move//signs_mov_separ_signers/Liz_607.mov" TargetMode="External"/><Relationship Id="rId5681" Type="http://schemas.openxmlformats.org/officeDocument/2006/relationships/hyperlink" Target="http://csr.bu.edu/ftp/asl/asllvd/demos/verify_start_end_handshape_annotations//test_auto_move//signs_mov_separ_signers/Tyler_607.mov" TargetMode="External"/><Relationship Id="rId5682" Type="http://schemas.openxmlformats.org/officeDocument/2006/relationships/hyperlink" Target="http://secrets.rutgers.edu:8080/data/asl-ftp/asllvd/demos/verify_start_end_handshape_annotations//test_auto_move//signs_mov_separ_signers/Tyler_607.mov" TargetMode="External"/><Relationship Id="rId5683" Type="http://schemas.openxmlformats.org/officeDocument/2006/relationships/hyperlink" Target="http://csr.bu.edu/ftp/asl/asllvd/demos/verify_start_end_handshape_annotations//test_auto_move//signs_mov/607.mov" TargetMode="External"/><Relationship Id="rId5684" Type="http://schemas.openxmlformats.org/officeDocument/2006/relationships/hyperlink" Target="http://csr.bu.edu/ftp/asl/asllvd/demos/verify_start_end_handshape_annotations//test_auto_move//signs_mov_separ_signers/Naomi_607.mov" TargetMode="External"/><Relationship Id="rId5685" Type="http://schemas.openxmlformats.org/officeDocument/2006/relationships/hyperlink" Target="http://secrets.rutgers.edu:8080/data/asl-ftp/asllvd/demos/verify_start_end_handshape_annotations//test_auto_move//signs_mov/607.mov" TargetMode="External"/><Relationship Id="rId5686" Type="http://schemas.openxmlformats.org/officeDocument/2006/relationships/hyperlink" Target="http://secrets.rutgers.edu:8080/data/asl-ftp/asllvd/demos/verify_start_end_handshape_annotations//test_auto_move//signs_mov_separ_signers/Naomi_607.mov" TargetMode="External"/><Relationship Id="rId5687" Type="http://schemas.openxmlformats.org/officeDocument/2006/relationships/hyperlink" Target="http://csr.bu.edu/ftp/asl/asllvd/demos/verify_start_end_handshape_annotations//test_auto_move//signs_mov_separ_signers/Brady_607.mov" TargetMode="External"/><Relationship Id="rId5688" Type="http://schemas.openxmlformats.org/officeDocument/2006/relationships/hyperlink" Target="http://secrets.rutgers.edu:8080/data/asl-ftp/asllvd/demos/verify_start_end_handshape_annotations//test_auto_move//signs_mov_separ_signers/Brady_607.mov" TargetMode="External"/><Relationship Id="rId5689" Type="http://schemas.openxmlformats.org/officeDocument/2006/relationships/hyperlink" Target="http://csr.bu.edu/ftp/asl/asllvd/demos/verify_start_end_handshape_annotations//test_auto_move//signs_mov_separ_signers/Lana_607.mov" TargetMode="External"/><Relationship Id="rId5690" Type="http://schemas.openxmlformats.org/officeDocument/2006/relationships/hyperlink" Target="http://secrets.rutgers.edu:8080/data/asl-ftp/asllvd/demos/verify_start_end_handshape_annotations//test_auto_move//signs_mov_separ_signers/Lana_607.mov" TargetMode="External"/><Relationship Id="rId5691" Type="http://schemas.openxmlformats.org/officeDocument/2006/relationships/hyperlink" Target="http://csr.bu.edu/ftp/asl/asllvd/demos/verify_start_end_handshape_annotations//test_auto_move//signs_mov_separ_signers/Dana_607.mov" TargetMode="External"/><Relationship Id="rId5692" Type="http://schemas.openxmlformats.org/officeDocument/2006/relationships/hyperlink" Target="http://secrets.rutgers.edu:8080/data/asl-ftp/asllvd/demos/verify_start_end_handshape_annotations//test_auto_move//signs_mov_separ_signers/Dana_607.mov" TargetMode="External"/><Relationship Id="rId5693" Type="http://schemas.openxmlformats.org/officeDocument/2006/relationships/hyperlink" Target="http://csr.bu.edu/ftp/asl/asllvd/demos/verify_start_end_handshape_annotations//test_auto_move//signs_mov_separ_signers/Liz_609.mov" TargetMode="External"/><Relationship Id="rId5694" Type="http://schemas.openxmlformats.org/officeDocument/2006/relationships/hyperlink" Target="http://secrets.rutgers.edu:8080/data/asl-ftp/asllvd/demos/verify_start_end_handshape_annotations//test_auto_move//signs_mov_separ_signers/Liz_609.mov" TargetMode="External"/><Relationship Id="rId5695" Type="http://schemas.openxmlformats.org/officeDocument/2006/relationships/hyperlink" Target="http://csr.bu.edu/ftp/asl/asllvd/demos/verify_start_end_handshape_annotations//test_auto_move//signs_mov_separ_signers/Liz_3630.mov" TargetMode="External"/><Relationship Id="rId5696" Type="http://schemas.openxmlformats.org/officeDocument/2006/relationships/hyperlink" Target="http://secrets.rutgers.edu:8080/data/asl-ftp/asllvd/demos/verify_start_end_handshape_annotations//test_auto_move//signs_mov_separ_signers/Liz_3630.mov" TargetMode="External"/><Relationship Id="rId5697" Type="http://schemas.openxmlformats.org/officeDocument/2006/relationships/hyperlink" Target="http://csr.bu.edu/ftp/asl/asllvd/demos/verify_start_end_handshape_annotations//test_auto_move//signs_mov_separ_signers/Liz_3646.mov" TargetMode="External"/><Relationship Id="rId5698" Type="http://schemas.openxmlformats.org/officeDocument/2006/relationships/hyperlink" Target="http://secrets.rutgers.edu:8080/data/asl-ftp/asllvd/demos/verify_start_end_handshape_annotations//test_auto_move//signs_mov_separ_signers/Liz_3646.mov" TargetMode="External"/><Relationship Id="rId5699" Type="http://schemas.openxmlformats.org/officeDocument/2006/relationships/hyperlink" Target="http://csr.bu.edu/ftp/asl/asllvd/demos/verify_start_end_handshape_annotations//test_auto_move//signs_mov_separ_signers/Tyler_609.mov" TargetMode="External"/><Relationship Id="rId5700" Type="http://schemas.openxmlformats.org/officeDocument/2006/relationships/hyperlink" Target="http://secrets.rutgers.edu:8080/data/asl-ftp/asllvd/demos/verify_start_end_handshape_annotations//test_auto_move//signs_mov_separ_signers/Tyler_609.mov" TargetMode="External"/><Relationship Id="rId5701" Type="http://schemas.openxmlformats.org/officeDocument/2006/relationships/hyperlink" Target="http://csr.bu.edu/ftp/asl/asllvd/demos/verify_start_end_handshape_annotations//test_auto_move//signs_mov_separ_signers/Tyler_3630.mov" TargetMode="External"/><Relationship Id="rId5702" Type="http://schemas.openxmlformats.org/officeDocument/2006/relationships/hyperlink" Target="http://secrets.rutgers.edu:8080/data/asl-ftp/asllvd/demos/verify_start_end_handshape_annotations//test_auto_move//signs_mov_separ_signers/Tyler_3630.mov" TargetMode="External"/><Relationship Id="rId5703" Type="http://schemas.openxmlformats.org/officeDocument/2006/relationships/hyperlink" Target="http://csr.bu.edu/ftp/asl/asllvd/demos/verify_start_end_handshape_annotations//test_auto_move//signs_mov/609_3630_3646_merged.mov" TargetMode="External"/><Relationship Id="rId5704" Type="http://schemas.openxmlformats.org/officeDocument/2006/relationships/hyperlink" Target="http://csr.bu.edu/ftp/asl/asllvd/demos/verify_start_end_handshape_annotations//test_auto_move//signs_mov_separ_signers/Naomi_609.mov" TargetMode="External"/><Relationship Id="rId5705" Type="http://schemas.openxmlformats.org/officeDocument/2006/relationships/hyperlink" Target="http://secrets.rutgers.edu:8080/data/asl-ftp/asllvd/demos/verify_start_end_handshape_annotations//test_auto_move//signs_mov/609_3630_3646_merged.mov" TargetMode="External"/><Relationship Id="rId5706" Type="http://schemas.openxmlformats.org/officeDocument/2006/relationships/hyperlink" Target="http://secrets.rutgers.edu:8080/data/asl-ftp/asllvd/demos/verify_start_end_handshape_annotations//test_auto_move//signs_mov_separ_signers/Naomi_609.mov" TargetMode="External"/><Relationship Id="rId5707" Type="http://schemas.openxmlformats.org/officeDocument/2006/relationships/hyperlink" Target="http://csr.bu.edu/ftp/asl/asllvd/demos/verify_start_end_handshape_annotations//test_auto_move//signs_mov_separ_signers/Naomi_3630.mov" TargetMode="External"/><Relationship Id="rId5708" Type="http://schemas.openxmlformats.org/officeDocument/2006/relationships/hyperlink" Target="http://secrets.rutgers.edu:8080/data/asl-ftp/asllvd/demos/verify_start_end_handshape_annotations//test_auto_move//signs_mov_separ_signers/Naomi_3630.mov" TargetMode="External"/><Relationship Id="rId5709" Type="http://schemas.openxmlformats.org/officeDocument/2006/relationships/hyperlink" Target="http://csr.bu.edu/ftp/asl/asllvd/demos/verify_start_end_handshape_annotations//test_auto_move//signs_mov_separ_signers/Naomi_3646.mov" TargetMode="External"/><Relationship Id="rId5710" Type="http://schemas.openxmlformats.org/officeDocument/2006/relationships/hyperlink" Target="http://secrets.rutgers.edu:8080/data/asl-ftp/asllvd/demos/verify_start_end_handshape_annotations//test_auto_move//signs_mov_separ_signers/Naomi_3646.mov" TargetMode="External"/><Relationship Id="rId5711" Type="http://schemas.openxmlformats.org/officeDocument/2006/relationships/hyperlink" Target="http://csr.bu.edu/ftp/asl/asllvd/demos/verify_start_end_handshape_annotations//test_auto_move//signs_mov_separ_signers/Brady_609.mov" TargetMode="External"/><Relationship Id="rId5712" Type="http://schemas.openxmlformats.org/officeDocument/2006/relationships/hyperlink" Target="http://secrets.rutgers.edu:8080/data/asl-ftp/asllvd/demos/verify_start_end_handshape_annotations//test_auto_move//signs_mov_separ_signers/Brady_609.mov" TargetMode="External"/><Relationship Id="rId5713" Type="http://schemas.openxmlformats.org/officeDocument/2006/relationships/hyperlink" Target="http://csr.bu.edu/ftp/asl/asllvd/demos/verify_start_end_handshape_annotations//test_auto_move//signs_mov_separ_signers/Brady_3630.mov" TargetMode="External"/><Relationship Id="rId5714" Type="http://schemas.openxmlformats.org/officeDocument/2006/relationships/hyperlink" Target="http://secrets.rutgers.edu:8080/data/asl-ftp/asllvd/demos/verify_start_end_handshape_annotations//test_auto_move//signs_mov_separ_signers/Brady_3630.mov" TargetMode="External"/><Relationship Id="rId5715" Type="http://schemas.openxmlformats.org/officeDocument/2006/relationships/hyperlink" Target="http://csr.bu.edu/ftp/asl/asllvd/demos/verify_start_end_handshape_annotations//test_auto_move//signs_mov_separ_signers/Brady_3646.mov" TargetMode="External"/><Relationship Id="rId5716" Type="http://schemas.openxmlformats.org/officeDocument/2006/relationships/hyperlink" Target="http://secrets.rutgers.edu:8080/data/asl-ftp/asllvd/demos/verify_start_end_handshape_annotations//test_auto_move//signs_mov_separ_signers/Brady_3646.mov" TargetMode="External"/><Relationship Id="rId5717" Type="http://schemas.openxmlformats.org/officeDocument/2006/relationships/hyperlink" Target="http://csr.bu.edu/ftp/asl/asllvd/demos/verify_start_end_handshape_annotations//test_auto_move//signs_mov_separ_signers/Liz_16545.mov" TargetMode="External"/><Relationship Id="rId5718" Type="http://schemas.openxmlformats.org/officeDocument/2006/relationships/hyperlink" Target="http://secrets.rutgers.edu:8080/data/asl-ftp/asllvd/demos/verify_start_end_handshape_annotations//test_auto_move//signs_mov_separ_signers/Liz_16545.mov" TargetMode="External"/><Relationship Id="rId5719" Type="http://schemas.openxmlformats.org/officeDocument/2006/relationships/hyperlink" Target="http://csr.bu.edu/ftp/asl/asllvd/demos/verify_start_end_handshape_annotations//test_auto_move//signs_mov/16545.mov" TargetMode="External"/><Relationship Id="rId5720" Type="http://schemas.openxmlformats.org/officeDocument/2006/relationships/hyperlink" Target="http://csr.bu.edu/ftp/asl/asllvd/demos/verify_start_end_handshape_annotations//test_auto_move//signs_mov_separ_signers/Tyler_16545.mov" TargetMode="External"/><Relationship Id="rId5721" Type="http://schemas.openxmlformats.org/officeDocument/2006/relationships/hyperlink" Target="http://secrets.rutgers.edu:8080/data/asl-ftp/asllvd/demos/verify_start_end_handshape_annotations//test_auto_move//signs_mov/16545.mov" TargetMode="External"/><Relationship Id="rId5722" Type="http://schemas.openxmlformats.org/officeDocument/2006/relationships/hyperlink" Target="http://secrets.rutgers.edu:8080/data/asl-ftp/asllvd/demos/verify_start_end_handshape_annotations//test_auto_move//signs_mov_separ_signers/Tyler_16545.mov" TargetMode="External"/><Relationship Id="rId5723" Type="http://schemas.openxmlformats.org/officeDocument/2006/relationships/hyperlink" Target="http://csr.bu.edu/ftp/asl/asllvd/demos/verify_start_end_handshape_annotations//test_auto_move//signs_mov_separ_signers/Brady_16545.mov" TargetMode="External"/><Relationship Id="rId5724" Type="http://schemas.openxmlformats.org/officeDocument/2006/relationships/hyperlink" Target="http://secrets.rutgers.edu:8080/data/asl-ftp/asllvd/demos/verify_start_end_handshape_annotations//test_auto_move//signs_mov_separ_signers/Brady_16545.mov" TargetMode="External"/><Relationship Id="rId5725" Type="http://schemas.openxmlformats.org/officeDocument/2006/relationships/hyperlink" Target="http://csr.bu.edu/ftp/asl/asllvd/demos/verify_start_end_handshape_annotations//test_auto_move//signs_mov_separ_signers/Liz_611.mov" TargetMode="External"/><Relationship Id="rId5726" Type="http://schemas.openxmlformats.org/officeDocument/2006/relationships/hyperlink" Target="http://secrets.rutgers.edu:8080/data/asl-ftp/asllvd/demos/verify_start_end_handshape_annotations//test_auto_move//signs_mov_separ_signers/Liz_611.mov" TargetMode="External"/><Relationship Id="rId5727" Type="http://schemas.openxmlformats.org/officeDocument/2006/relationships/hyperlink" Target="http://csr.bu.edu/ftp/asl/asllvd/demos/verify_start_end_handshape_annotations//test_auto_move//signs_mov_separ_signers/Liz_3753.mov" TargetMode="External"/><Relationship Id="rId5728" Type="http://schemas.openxmlformats.org/officeDocument/2006/relationships/hyperlink" Target="http://secrets.rutgers.edu:8080/data/asl-ftp/asllvd/demos/verify_start_end_handshape_annotations//test_auto_move//signs_mov_separ_signers/Liz_3753.mov" TargetMode="External"/><Relationship Id="rId5729" Type="http://schemas.openxmlformats.org/officeDocument/2006/relationships/hyperlink" Target="http://csr.bu.edu/ftp/asl/asllvd/demos/verify_start_end_handshape_annotations//test_auto_move//signs_mov_separ_signers/Tyler_611.mov" TargetMode="External"/><Relationship Id="rId5730" Type="http://schemas.openxmlformats.org/officeDocument/2006/relationships/hyperlink" Target="http://secrets.rutgers.edu:8080/data/asl-ftp/asllvd/demos/verify_start_end_handshape_annotations//test_auto_move//signs_mov_separ_signers/Tyler_611.mov" TargetMode="External"/><Relationship Id="rId5731" Type="http://schemas.openxmlformats.org/officeDocument/2006/relationships/hyperlink" Target="http://csr.bu.edu/ftp/asl/asllvd/demos/verify_start_end_handshape_annotations//test_auto_move//signs_mov/611_3753_merged.mov" TargetMode="External"/><Relationship Id="rId5732" Type="http://schemas.openxmlformats.org/officeDocument/2006/relationships/hyperlink" Target="http://csr.bu.edu/ftp/asl/asllvd/demos/verify_start_end_handshape_annotations//test_auto_move//signs_mov_separ_signers/Naomi_611.mov" TargetMode="External"/><Relationship Id="rId5733" Type="http://schemas.openxmlformats.org/officeDocument/2006/relationships/hyperlink" Target="http://secrets.rutgers.edu:8080/data/asl-ftp/asllvd/demos/verify_start_end_handshape_annotations//test_auto_move//signs_mov/611_3753_merged.mov" TargetMode="External"/><Relationship Id="rId5734" Type="http://schemas.openxmlformats.org/officeDocument/2006/relationships/hyperlink" Target="http://secrets.rutgers.edu:8080/data/asl-ftp/asllvd/demos/verify_start_end_handshape_annotations//test_auto_move//signs_mov_separ_signers/Naomi_611.mov" TargetMode="External"/><Relationship Id="rId5735" Type="http://schemas.openxmlformats.org/officeDocument/2006/relationships/hyperlink" Target="http://csr.bu.edu/ftp/asl/asllvd/demos/verify_start_end_handshape_annotations//test_auto_move//signs_mov_separ_signers/Brady_611.mov" TargetMode="External"/><Relationship Id="rId5736" Type="http://schemas.openxmlformats.org/officeDocument/2006/relationships/hyperlink" Target="http://secrets.rutgers.edu:8080/data/asl-ftp/asllvd/demos/verify_start_end_handshape_annotations//test_auto_move//signs_mov_separ_signers/Brady_611.mov" TargetMode="External"/><Relationship Id="rId5737" Type="http://schemas.openxmlformats.org/officeDocument/2006/relationships/hyperlink" Target="http://csr.bu.edu/ftp/asl/asllvd/demos/verify_start_end_handshape_annotations//test_auto_move//signs_mov_separ_signers/Brady_3753.mov" TargetMode="External"/><Relationship Id="rId5738" Type="http://schemas.openxmlformats.org/officeDocument/2006/relationships/hyperlink" Target="http://secrets.rutgers.edu:8080/data/asl-ftp/asllvd/demos/verify_start_end_handshape_annotations//test_auto_move//signs_mov_separ_signers/Brady_3753.mov" TargetMode="External"/><Relationship Id="rId5739" Type="http://schemas.openxmlformats.org/officeDocument/2006/relationships/hyperlink" Target="http://csr.bu.edu/ftp/asl/asllvd/demos/verify_start_end_handshape_annotations//test_auto_move//signs_mov_separ_signers/Lana_611.mov" TargetMode="External"/><Relationship Id="rId5740" Type="http://schemas.openxmlformats.org/officeDocument/2006/relationships/hyperlink" Target="http://secrets.rutgers.edu:8080/data/asl-ftp/asllvd/demos/verify_start_end_handshape_annotations//test_auto_move//signs_mov_separ_signers/Lana_611.mov" TargetMode="External"/><Relationship Id="rId5741" Type="http://schemas.openxmlformats.org/officeDocument/2006/relationships/hyperlink" Target="http://csr.bu.edu/ftp/asl/asllvd/demos/verify_start_end_handshape_annotations//test_auto_move//signs_mov_separ_signers/Dana_611.mov" TargetMode="External"/><Relationship Id="rId5742" Type="http://schemas.openxmlformats.org/officeDocument/2006/relationships/hyperlink" Target="http://secrets.rutgers.edu:8080/data/asl-ftp/asllvd/demos/verify_start_end_handshape_annotations//test_auto_move//signs_mov_separ_signers/Dana_611.mov" TargetMode="External"/><Relationship Id="rId5743" Type="http://schemas.openxmlformats.org/officeDocument/2006/relationships/hyperlink" Target="http://csr.bu.edu/ftp/asl/asllvd/demos/verify_start_end_handshape_annotations//test_auto_move//signs_mov_separ_signers/Liz_15719.mov" TargetMode="External"/><Relationship Id="rId5744" Type="http://schemas.openxmlformats.org/officeDocument/2006/relationships/hyperlink" Target="http://secrets.rutgers.edu:8080/data/asl-ftp/asllvd/demos/verify_start_end_handshape_annotations//test_auto_move//signs_mov_separ_signers/Liz_15719.mov" TargetMode="External"/><Relationship Id="rId5745" Type="http://schemas.openxmlformats.org/officeDocument/2006/relationships/hyperlink" Target="http://csr.bu.edu/ftp/asl/asllvd/demos/verify_start_end_handshape_annotations//test_auto_move//signs_mov_separ_signers/Tyler_15719.mov" TargetMode="External"/><Relationship Id="rId5746" Type="http://schemas.openxmlformats.org/officeDocument/2006/relationships/hyperlink" Target="http://secrets.rutgers.edu:8080/data/asl-ftp/asllvd/demos/verify_start_end_handshape_annotations//test_auto_move//signs_mov_separ_signers/Tyler_15719.mov" TargetMode="External"/><Relationship Id="rId5747" Type="http://schemas.openxmlformats.org/officeDocument/2006/relationships/hyperlink" Target="http://csr.bu.edu/ftp/asl/asllvd/demos/verify_start_end_handshape_annotations//test_auto_move//signs_mov/15719_15751_merged.mov" TargetMode="External"/><Relationship Id="rId5748" Type="http://schemas.openxmlformats.org/officeDocument/2006/relationships/hyperlink" Target="http://csr.bu.edu/ftp/asl/asllvd/demos/verify_start_end_handshape_annotations//test_auto_move//signs_mov_separ_signers/Naomi_15719.mov" TargetMode="External"/><Relationship Id="rId5749" Type="http://schemas.openxmlformats.org/officeDocument/2006/relationships/hyperlink" Target="http://secrets.rutgers.edu:8080/data/asl-ftp/asllvd/demos/verify_start_end_handshape_annotations//test_auto_move//signs_mov/15719_15751_merged.mov" TargetMode="External"/><Relationship Id="rId5750" Type="http://schemas.openxmlformats.org/officeDocument/2006/relationships/hyperlink" Target="http://secrets.rutgers.edu:8080/data/asl-ftp/asllvd/demos/verify_start_end_handshape_annotations//test_auto_move//signs_mov_separ_signers/Naomi_15719.mov" TargetMode="External"/><Relationship Id="rId5751" Type="http://schemas.openxmlformats.org/officeDocument/2006/relationships/hyperlink" Target="http://csr.bu.edu/ftp/asl/asllvd/demos/verify_start_end_handshape_annotations//test_auto_move//signs_mov_separ_signers/Brady_15719.mov" TargetMode="External"/><Relationship Id="rId5752" Type="http://schemas.openxmlformats.org/officeDocument/2006/relationships/hyperlink" Target="http://secrets.rutgers.edu:8080/data/asl-ftp/asllvd/demos/verify_start_end_handshape_annotations//test_auto_move//signs_mov_separ_signers/Brady_15719.mov" TargetMode="External"/><Relationship Id="rId5753" Type="http://schemas.openxmlformats.org/officeDocument/2006/relationships/hyperlink" Target="http://csr.bu.edu/ftp/asl/asllvd/demos/verify_start_end_handshape_annotations//test_auto_move//signs_mov_separ_signers/Brady_15751.mov" TargetMode="External"/><Relationship Id="rId5754" Type="http://schemas.openxmlformats.org/officeDocument/2006/relationships/hyperlink" Target="http://secrets.rutgers.edu:8080/data/asl-ftp/asllvd/demos/verify_start_end_handshape_annotations//test_auto_move//signs_mov_separ_signers/Brady_15751.mov" TargetMode="External"/><Relationship Id="rId5755" Type="http://schemas.openxmlformats.org/officeDocument/2006/relationships/hyperlink" Target="http://csr.bu.edu/ftp/asl/asllvd/demos/verify_start_end_handshape_annotations//test_auto_move//signs_mov_separ_signers/Liz_612.mov" TargetMode="External"/><Relationship Id="rId5756" Type="http://schemas.openxmlformats.org/officeDocument/2006/relationships/hyperlink" Target="http://secrets.rutgers.edu:8080/data/asl-ftp/asllvd/demos/verify_start_end_handshape_annotations//test_auto_move//signs_mov_separ_signers/Liz_612.mov" TargetMode="External"/><Relationship Id="rId5757" Type="http://schemas.openxmlformats.org/officeDocument/2006/relationships/hyperlink" Target="http://csr.bu.edu/ftp/asl/asllvd/demos/verify_start_end_handshape_annotations//test_auto_move//signs_mov/612.mov" TargetMode="External"/><Relationship Id="rId5758" Type="http://schemas.openxmlformats.org/officeDocument/2006/relationships/hyperlink" Target="http://csr.bu.edu/ftp/asl/asllvd/demos/verify_start_end_handshape_annotations//test_auto_move//signs_mov_separ_signers/Tyler_612.mov" TargetMode="External"/><Relationship Id="rId5759" Type="http://schemas.openxmlformats.org/officeDocument/2006/relationships/hyperlink" Target="http://secrets.rutgers.edu:8080/data/asl-ftp/asllvd/demos/verify_start_end_handshape_annotations//test_auto_move//signs_mov/612.mov" TargetMode="External"/><Relationship Id="rId5760" Type="http://schemas.openxmlformats.org/officeDocument/2006/relationships/hyperlink" Target="http://secrets.rutgers.edu:8080/data/asl-ftp/asllvd/demos/verify_start_end_handshape_annotations//test_auto_move//signs_mov_separ_signers/Tyler_612.mov" TargetMode="External"/><Relationship Id="rId5761" Type="http://schemas.openxmlformats.org/officeDocument/2006/relationships/hyperlink" Target="http://csr.bu.edu/ftp/asl/asllvd/demos/verify_start_end_handshape_annotations//test_auto_move//signs_mov_separ_signers/Naomi_612.mov" TargetMode="External"/><Relationship Id="rId5762" Type="http://schemas.openxmlformats.org/officeDocument/2006/relationships/hyperlink" Target="http://secrets.rutgers.edu:8080/data/asl-ftp/asllvd/demos/verify_start_end_handshape_annotations//test_auto_move//signs_mov_separ_signers/Naomi_612.mov" TargetMode="External"/><Relationship Id="rId5763" Type="http://schemas.openxmlformats.org/officeDocument/2006/relationships/hyperlink" Target="http://csr.bu.edu/ftp/asl/asllvd/demos/verify_start_end_handshape_annotations//test_auto_move//signs_mov_separ_signers/Brady_612.mov" TargetMode="External"/><Relationship Id="rId5764" Type="http://schemas.openxmlformats.org/officeDocument/2006/relationships/hyperlink" Target="http://secrets.rutgers.edu:8080/data/asl-ftp/asllvd/demos/verify_start_end_handshape_annotations//test_auto_move//signs_mov_separ_signers/Brady_612.mov" TargetMode="External"/><Relationship Id="rId5765" Type="http://schemas.openxmlformats.org/officeDocument/2006/relationships/hyperlink" Target="http://csr.bu.edu/ftp/asl/asllvd/demos/verify_start_end_handshape_annotations//test_auto_move//signs_mov_separ_signers/Liz_613.mov" TargetMode="External"/><Relationship Id="rId5766" Type="http://schemas.openxmlformats.org/officeDocument/2006/relationships/hyperlink" Target="http://secrets.rutgers.edu:8080/data/asl-ftp/asllvd/demos/verify_start_end_handshape_annotations//test_auto_move//signs_mov_separ_signers/Liz_613.mov" TargetMode="External"/><Relationship Id="rId5767" Type="http://schemas.openxmlformats.org/officeDocument/2006/relationships/hyperlink" Target="http://csr.bu.edu/ftp/asl/asllvd/demos/verify_start_end_handshape_annotations//test_auto_move//signs_mov/613.mov" TargetMode="External"/><Relationship Id="rId5768" Type="http://schemas.openxmlformats.org/officeDocument/2006/relationships/hyperlink" Target="http://csr.bu.edu/ftp/asl/asllvd/demos/verify_start_end_handshape_annotations//test_auto_move//signs_mov_separ_signers/Naomi_613.mov" TargetMode="External"/><Relationship Id="rId5769" Type="http://schemas.openxmlformats.org/officeDocument/2006/relationships/hyperlink" Target="http://secrets.rutgers.edu:8080/data/asl-ftp/asllvd/demos/verify_start_end_handshape_annotations//test_auto_move//signs_mov/613.mov" TargetMode="External"/><Relationship Id="rId5770" Type="http://schemas.openxmlformats.org/officeDocument/2006/relationships/hyperlink" Target="http://secrets.rutgers.edu:8080/data/asl-ftp/asllvd/demos/verify_start_end_handshape_annotations//test_auto_move//signs_mov_separ_signers/Naomi_613.mov" TargetMode="External"/><Relationship Id="rId5771" Type="http://schemas.openxmlformats.org/officeDocument/2006/relationships/hyperlink" Target="http://csr.bu.edu/ftp/asl/asllvd/demos/verify_start_end_handshape_annotations//test_auto_move//signs_mov_separ_signers/Brady_613.mov" TargetMode="External"/><Relationship Id="rId5772" Type="http://schemas.openxmlformats.org/officeDocument/2006/relationships/hyperlink" Target="http://secrets.rutgers.edu:8080/data/asl-ftp/asllvd/demos/verify_start_end_handshape_annotations//test_auto_move//signs_mov_separ_signers/Brady_613.mov" TargetMode="External"/><Relationship Id="rId5773" Type="http://schemas.openxmlformats.org/officeDocument/2006/relationships/hyperlink" Target="http://csr.bu.edu/ftp/asl/asllvd/demos/verify_start_end_handshape_annotations//test_auto_move//signs_mov_separ_signers/Liz_614.mov" TargetMode="External"/><Relationship Id="rId5774" Type="http://schemas.openxmlformats.org/officeDocument/2006/relationships/hyperlink" Target="http://secrets.rutgers.edu:8080/data/asl-ftp/asllvd/demos/verify_start_end_handshape_annotations//test_auto_move//signs_mov_separ_signers/Liz_614.mov" TargetMode="External"/><Relationship Id="rId5775" Type="http://schemas.openxmlformats.org/officeDocument/2006/relationships/hyperlink" Target="http://csr.bu.edu/ftp/asl/asllvd/demos/verify_start_end_handshape_annotations//test_auto_move//signs_mov_separ_signers/Liz_3607.mov" TargetMode="External"/><Relationship Id="rId5776" Type="http://schemas.openxmlformats.org/officeDocument/2006/relationships/hyperlink" Target="http://secrets.rutgers.edu:8080/data/asl-ftp/asllvd/demos/verify_start_end_handshape_annotations//test_auto_move//signs_mov_separ_signers/Liz_3607.mov" TargetMode="External"/><Relationship Id="rId5777" Type="http://schemas.openxmlformats.org/officeDocument/2006/relationships/hyperlink" Target="http://csr.bu.edu/ftp/asl/asllvd/demos/verify_start_end_handshape_annotations//test_auto_move//signs_mov_separ_signers/Liz_3886.mov" TargetMode="External"/><Relationship Id="rId5778" Type="http://schemas.openxmlformats.org/officeDocument/2006/relationships/hyperlink" Target="http://secrets.rutgers.edu:8080/data/asl-ftp/asllvd/demos/verify_start_end_handshape_annotations//test_auto_move//signs_mov_separ_signers/Liz_3886.mov" TargetMode="External"/><Relationship Id="rId5779" Type="http://schemas.openxmlformats.org/officeDocument/2006/relationships/hyperlink" Target="http://csr.bu.edu/ftp/asl/asllvd/demos/verify_start_end_handshape_annotations//test_auto_move//signs_mov_separ_signers/Tyler_614.mov" TargetMode="External"/><Relationship Id="rId5780" Type="http://schemas.openxmlformats.org/officeDocument/2006/relationships/hyperlink" Target="http://secrets.rutgers.edu:8080/data/asl-ftp/asllvd/demos/verify_start_end_handshape_annotations//test_auto_move//signs_mov_separ_signers/Tyler_614.mov" TargetMode="External"/><Relationship Id="rId5781" Type="http://schemas.openxmlformats.org/officeDocument/2006/relationships/hyperlink" Target="http://csr.bu.edu/ftp/asl/asllvd/demos/verify_start_end_handshape_annotations//test_auto_move//signs_mov/614_3607_3886_merged.mov" TargetMode="External"/><Relationship Id="rId5782" Type="http://schemas.openxmlformats.org/officeDocument/2006/relationships/hyperlink" Target="http://csr.bu.edu/ftp/asl/asllvd/demos/verify_start_end_handshape_annotations//test_auto_move//signs_mov_separ_signers/Tyler_3607.mov" TargetMode="External"/><Relationship Id="rId5783" Type="http://schemas.openxmlformats.org/officeDocument/2006/relationships/hyperlink" Target="http://secrets.rutgers.edu:8080/data/asl-ftp/asllvd/demos/verify_start_end_handshape_annotations//test_auto_move//signs_mov/614_3607_3886_merged.mov" TargetMode="External"/><Relationship Id="rId5784" Type="http://schemas.openxmlformats.org/officeDocument/2006/relationships/hyperlink" Target="http://secrets.rutgers.edu:8080/data/asl-ftp/asllvd/demos/verify_start_end_handshape_annotations//test_auto_move//signs_mov_separ_signers/Tyler_3607.mov" TargetMode="External"/><Relationship Id="rId5785" Type="http://schemas.openxmlformats.org/officeDocument/2006/relationships/hyperlink" Target="http://csr.bu.edu/ftp/asl/asllvd/demos/verify_start_end_handshape_annotations//test_auto_move//signs_mov_separ_signers/Naomi_614.mov" TargetMode="External"/><Relationship Id="rId5786" Type="http://schemas.openxmlformats.org/officeDocument/2006/relationships/hyperlink" Target="http://secrets.rutgers.edu:8080/data/asl-ftp/asllvd/demos/verify_start_end_handshape_annotations//test_auto_move//signs_mov_separ_signers/Naomi_614.mov" TargetMode="External"/><Relationship Id="rId5787" Type="http://schemas.openxmlformats.org/officeDocument/2006/relationships/hyperlink" Target="http://csr.bu.edu/ftp/asl/asllvd/demos/verify_start_end_handshape_annotations//test_auto_move//signs_mov_separ_signers/Naomi_3607.mov" TargetMode="External"/><Relationship Id="rId5788" Type="http://schemas.openxmlformats.org/officeDocument/2006/relationships/hyperlink" Target="http://secrets.rutgers.edu:8080/data/asl-ftp/asllvd/demos/verify_start_end_handshape_annotations//test_auto_move//signs_mov_separ_signers/Naomi_3607.mov" TargetMode="External"/><Relationship Id="rId5789" Type="http://schemas.openxmlformats.org/officeDocument/2006/relationships/hyperlink" Target="http://csr.bu.edu/ftp/asl/asllvd/demos/verify_start_end_handshape_annotations//test_auto_move//signs_mov_separ_signers/Brady_614.mov" TargetMode="External"/><Relationship Id="rId5790" Type="http://schemas.openxmlformats.org/officeDocument/2006/relationships/hyperlink" Target="http://secrets.rutgers.edu:8080/data/asl-ftp/asllvd/demos/verify_start_end_handshape_annotations//test_auto_move//signs_mov_separ_signers/Brady_614.mov" TargetMode="External"/><Relationship Id="rId5791" Type="http://schemas.openxmlformats.org/officeDocument/2006/relationships/hyperlink" Target="http://csr.bu.edu/ftp/asl/asllvd/demos/verify_start_end_handshape_annotations//test_auto_move//signs_mov_separ_signers/Brady_3607.mov" TargetMode="External"/><Relationship Id="rId5792" Type="http://schemas.openxmlformats.org/officeDocument/2006/relationships/hyperlink" Target="http://secrets.rutgers.edu:8080/data/asl-ftp/asllvd/demos/verify_start_end_handshape_annotations//test_auto_move//signs_mov_separ_signers/Brady_3607.mov" TargetMode="External"/><Relationship Id="rId5793" Type="http://schemas.openxmlformats.org/officeDocument/2006/relationships/hyperlink" Target="http://csr.bu.edu/ftp/asl/asllvd/demos/verify_start_end_handshape_annotations//test_auto_move//signs_mov_separ_signers/Brady_3886.mov" TargetMode="External"/><Relationship Id="rId5794" Type="http://schemas.openxmlformats.org/officeDocument/2006/relationships/hyperlink" Target="http://secrets.rutgers.edu:8080/data/asl-ftp/asllvd/demos/verify_start_end_handshape_annotations//test_auto_move//signs_mov_separ_signers/Brady_3886.mov" TargetMode="External"/><Relationship Id="rId5795" Type="http://schemas.openxmlformats.org/officeDocument/2006/relationships/hyperlink" Target="http://csr.bu.edu/ftp/asl/asllvd/demos/verify_start_end_handshape_annotations//test_auto_move//signs_mov_separ_signers/Liz_615.mov" TargetMode="External"/><Relationship Id="rId5796" Type="http://schemas.openxmlformats.org/officeDocument/2006/relationships/hyperlink" Target="http://secrets.rutgers.edu:8080/data/asl-ftp/asllvd/demos/verify_start_end_handshape_annotations//test_auto_move//signs_mov_separ_signers/Liz_615.mov" TargetMode="External"/><Relationship Id="rId5797" Type="http://schemas.openxmlformats.org/officeDocument/2006/relationships/hyperlink" Target="http://csr.bu.edu/ftp/asl/asllvd/demos/verify_start_end_handshape_annotations//test_auto_move//signs_mov/615.mov" TargetMode="External"/><Relationship Id="rId5798" Type="http://schemas.openxmlformats.org/officeDocument/2006/relationships/hyperlink" Target="http://csr.bu.edu/ftp/asl/asllvd/demos/verify_start_end_handshape_annotations//test_auto_move//signs_mov_separ_signers/Brady_615.mov" TargetMode="External"/><Relationship Id="rId5799" Type="http://schemas.openxmlformats.org/officeDocument/2006/relationships/hyperlink" Target="http://secrets.rutgers.edu:8080/data/asl-ftp/asllvd/demos/verify_start_end_handshape_annotations//test_auto_move//signs_mov/615.mov" TargetMode="External"/><Relationship Id="rId5800" Type="http://schemas.openxmlformats.org/officeDocument/2006/relationships/hyperlink" Target="http://secrets.rutgers.edu:8080/data/asl-ftp/asllvd/demos/verify_start_end_handshape_annotations//test_auto_move//signs_mov_separ_signers/Brady_615.mov" TargetMode="External"/><Relationship Id="rId5801" Type="http://schemas.openxmlformats.org/officeDocument/2006/relationships/hyperlink" Target="http://csr.bu.edu/ftp/asl/asllvd/demos/verify_start_end_handshape_annotations//test_auto_move//signs_mov_separ_signers/Lana_615.mov" TargetMode="External"/><Relationship Id="rId5802" Type="http://schemas.openxmlformats.org/officeDocument/2006/relationships/hyperlink" Target="http://secrets.rutgers.edu:8080/data/asl-ftp/asllvd/demos/verify_start_end_handshape_annotations//test_auto_move//signs_mov_separ_signers/Lana_615.mov" TargetMode="External"/><Relationship Id="rId5803" Type="http://schemas.openxmlformats.org/officeDocument/2006/relationships/hyperlink" Target="http://csr.bu.edu/ftp/asl/asllvd/demos/verify_start_end_handshape_annotations//test_auto_move//signs_mov_separ_signers/Dana_615.mov" TargetMode="External"/><Relationship Id="rId5804" Type="http://schemas.openxmlformats.org/officeDocument/2006/relationships/hyperlink" Target="http://secrets.rutgers.edu:8080/data/asl-ftp/asllvd/demos/verify_start_end_handshape_annotations//test_auto_move//signs_mov_separ_signers/Dana_615.mov" TargetMode="External"/><Relationship Id="rId5805" Type="http://schemas.openxmlformats.org/officeDocument/2006/relationships/hyperlink" Target="http://csr.bu.edu/ftp/asl/asllvd/demos/verify_start_end_handshape_annotations//test_auto_move//signs_mov_separ_signers/Liz_5710.mov" TargetMode="External"/><Relationship Id="rId5806" Type="http://schemas.openxmlformats.org/officeDocument/2006/relationships/hyperlink" Target="http://secrets.rutgers.edu:8080/data/asl-ftp/asllvd/demos/verify_start_end_handshape_annotations//test_auto_move//signs_mov_separ_signers/Liz_5710.mov" TargetMode="External"/><Relationship Id="rId5807" Type="http://schemas.openxmlformats.org/officeDocument/2006/relationships/hyperlink" Target="http://csr.bu.edu/ftp/asl/asllvd/demos/verify_start_end_handshape_annotations//test_auto_move//signs_mov/5710.mov" TargetMode="External"/><Relationship Id="rId5808" Type="http://schemas.openxmlformats.org/officeDocument/2006/relationships/hyperlink" Target="http://csr.bu.edu/ftp/asl/asllvd/demos/verify_start_end_handshape_annotations//test_auto_move//signs_mov_separ_signers/Tyler_5710.mov" TargetMode="External"/><Relationship Id="rId5809" Type="http://schemas.openxmlformats.org/officeDocument/2006/relationships/hyperlink" Target="http://secrets.rutgers.edu:8080/data/asl-ftp/asllvd/demos/verify_start_end_handshape_annotations//test_auto_move//signs_mov/5710.mov" TargetMode="External"/><Relationship Id="rId5810" Type="http://schemas.openxmlformats.org/officeDocument/2006/relationships/hyperlink" Target="http://secrets.rutgers.edu:8080/data/asl-ftp/asllvd/demos/verify_start_end_handshape_annotations//test_auto_move//signs_mov_separ_signers/Tyler_5710.mov" TargetMode="External"/><Relationship Id="rId5811" Type="http://schemas.openxmlformats.org/officeDocument/2006/relationships/hyperlink" Target="http://csr.bu.edu/ftp/asl/asllvd/demos/verify_start_end_handshape_annotations//test_auto_move//signs_mov_separ_signers/Naomi_5710.mov" TargetMode="External"/><Relationship Id="rId5812" Type="http://schemas.openxmlformats.org/officeDocument/2006/relationships/hyperlink" Target="http://secrets.rutgers.edu:8080/data/asl-ftp/asllvd/demos/verify_start_end_handshape_annotations//test_auto_move//signs_mov_separ_signers/Naomi_5710.mov" TargetMode="External"/><Relationship Id="rId5813" Type="http://schemas.openxmlformats.org/officeDocument/2006/relationships/hyperlink" Target="http://csr.bu.edu/ftp/asl/asllvd/demos/verify_start_end_handshape_annotations//test_auto_move//signs_mov_separ_signers/Tyler_617.mov" TargetMode="External"/><Relationship Id="rId5814" Type="http://schemas.openxmlformats.org/officeDocument/2006/relationships/hyperlink" Target="http://secrets.rutgers.edu:8080/data/asl-ftp/asllvd/demos/verify_start_end_handshape_annotations//test_auto_move//signs_mov_separ_signers/Tyler_617.mov" TargetMode="External"/><Relationship Id="rId5815" Type="http://schemas.openxmlformats.org/officeDocument/2006/relationships/hyperlink" Target="http://csr.bu.edu/ftp/asl/asllvd/demos/verify_start_end_handshape_annotations//test_auto_move//signs_mov/617.mov" TargetMode="External"/><Relationship Id="rId5816" Type="http://schemas.openxmlformats.org/officeDocument/2006/relationships/hyperlink" Target="http://csr.bu.edu/ftp/asl/asllvd/demos/verify_start_end_handshape_annotations//test_auto_move//signs_mov_separ_signers/Naomi_617.mov" TargetMode="External"/><Relationship Id="rId5817" Type="http://schemas.openxmlformats.org/officeDocument/2006/relationships/hyperlink" Target="http://secrets.rutgers.edu:8080/data/asl-ftp/asllvd/demos/verify_start_end_handshape_annotations//test_auto_move//signs_mov/617.mov" TargetMode="External"/><Relationship Id="rId5818" Type="http://schemas.openxmlformats.org/officeDocument/2006/relationships/hyperlink" Target="http://secrets.rutgers.edu:8080/data/asl-ftp/asllvd/demos/verify_start_end_handshape_annotations//test_auto_move//signs_mov_separ_signers/Naomi_617.mov" TargetMode="External"/><Relationship Id="rId5819" Type="http://schemas.openxmlformats.org/officeDocument/2006/relationships/hyperlink" Target="http://csr.bu.edu/ftp/asl/asllvd/demos/verify_start_end_handshape_annotations//test_auto_move//signs_mov_separ_signers/Lana_617.mov" TargetMode="External"/><Relationship Id="rId5820" Type="http://schemas.openxmlformats.org/officeDocument/2006/relationships/hyperlink" Target="http://secrets.rutgers.edu:8080/data/asl-ftp/asllvd/demos/verify_start_end_handshape_annotations//test_auto_move//signs_mov_separ_signers/Lana_617.mov" TargetMode="External"/><Relationship Id="rId5821" Type="http://schemas.openxmlformats.org/officeDocument/2006/relationships/hyperlink" Target="http://csr.bu.edu/ftp/asl/asllvd/demos/verify_start_end_handshape_annotations//test_auto_move//signs_mov/5155.mov" TargetMode="External"/><Relationship Id="rId5822" Type="http://schemas.openxmlformats.org/officeDocument/2006/relationships/hyperlink" Target="http://csr.bu.edu/ftp/asl/asllvd/demos/verify_start_end_handshape_annotations//test_auto_move//signs_mov_separ_signers/Liz_5155.mov" TargetMode="External"/><Relationship Id="rId5823" Type="http://schemas.openxmlformats.org/officeDocument/2006/relationships/hyperlink" Target="http://secrets.rutgers.edu:8080/data/asl-ftp/asllvd/demos/verify_start_end_handshape_annotations//test_auto_move//signs_mov/5155.mov" TargetMode="External"/><Relationship Id="rId5824" Type="http://schemas.openxmlformats.org/officeDocument/2006/relationships/hyperlink" Target="http://secrets.rutgers.edu:8080/data/asl-ftp/asllvd/demos/verify_start_end_handshape_annotations//test_auto_move//signs_mov_separ_signers/Liz_5155.mov" TargetMode="External"/><Relationship Id="rId5825" Type="http://schemas.openxmlformats.org/officeDocument/2006/relationships/hyperlink" Target="http://csr.bu.edu/ftp/asl/asllvd/demos/verify_start_end_handshape_annotations//test_auto_move//signs_mov_separ_signers/Brady_5155.mov" TargetMode="External"/><Relationship Id="rId5826" Type="http://schemas.openxmlformats.org/officeDocument/2006/relationships/hyperlink" Target="http://secrets.rutgers.edu:8080/data/asl-ftp/asllvd/demos/verify_start_end_handshape_annotations//test_auto_move//signs_mov_separ_signers/Brady_5155.mov" TargetMode="External"/><Relationship Id="rId5827" Type="http://schemas.openxmlformats.org/officeDocument/2006/relationships/hyperlink" Target="http://csr.bu.edu/ftp/asl/asllvd/demos/verify_start_end_handshape_annotations//test_auto_move//signs_mov/16001.mov" TargetMode="External"/><Relationship Id="rId5828" Type="http://schemas.openxmlformats.org/officeDocument/2006/relationships/hyperlink" Target="http://csr.bu.edu/ftp/asl/asllvd/demos/verify_start_end_handshape_annotations//test_auto_move//signs_mov_separ_signers/Tyler_16001.mov" TargetMode="External"/><Relationship Id="rId5829" Type="http://schemas.openxmlformats.org/officeDocument/2006/relationships/hyperlink" Target="http://secrets.rutgers.edu:8080/data/asl-ftp/asllvd/demos/verify_start_end_handshape_annotations//test_auto_move//signs_mov/16001.mov" TargetMode="External"/><Relationship Id="rId5830" Type="http://schemas.openxmlformats.org/officeDocument/2006/relationships/hyperlink" Target="http://secrets.rutgers.edu:8080/data/asl-ftp/asllvd/demos/verify_start_end_handshape_annotations//test_auto_move//signs_mov_separ_signers/Tyler_16001.mov" TargetMode="External"/><Relationship Id="rId5831" Type="http://schemas.openxmlformats.org/officeDocument/2006/relationships/hyperlink" Target="http://csr.bu.edu/ftp/asl/asllvd/demos/verify_start_end_handshape_annotations//test_auto_move//signs_mov_separ_signers/Brady_16001.mov" TargetMode="External"/><Relationship Id="rId5832" Type="http://schemas.openxmlformats.org/officeDocument/2006/relationships/hyperlink" Target="http://secrets.rutgers.edu:8080/data/asl-ftp/asllvd/demos/verify_start_end_handshape_annotations//test_auto_move//signs_mov_separ_signers/Brady_16001.mov" TargetMode="External"/><Relationship Id="rId5833" Type="http://schemas.openxmlformats.org/officeDocument/2006/relationships/hyperlink" Target="http://csr.bu.edu/ftp/asl/asllvd/demos/verify_start_end_handshape_annotations//test_auto_move//signs_mov_separ_signers/Liz_618.mov" TargetMode="External"/><Relationship Id="rId5834" Type="http://schemas.openxmlformats.org/officeDocument/2006/relationships/hyperlink" Target="http://secrets.rutgers.edu:8080/data/asl-ftp/asllvd/demos/verify_start_end_handshape_annotations//test_auto_move//signs_mov_separ_signers/Liz_618.mov" TargetMode="External"/><Relationship Id="rId5835" Type="http://schemas.openxmlformats.org/officeDocument/2006/relationships/hyperlink" Target="http://csr.bu.edu/ftp/asl/asllvd/demos/verify_start_end_handshape_annotations//test_auto_move//signs_mov_separ_signers/Tyler_618.mov" TargetMode="External"/><Relationship Id="rId5836" Type="http://schemas.openxmlformats.org/officeDocument/2006/relationships/hyperlink" Target="http://secrets.rutgers.edu:8080/data/asl-ftp/asllvd/demos/verify_start_end_handshape_annotations//test_auto_move//signs_mov_separ_signers/Tyler_618.mov" TargetMode="External"/><Relationship Id="rId5837" Type="http://schemas.openxmlformats.org/officeDocument/2006/relationships/hyperlink" Target="http://csr.bu.edu/ftp/asl/asllvd/demos/verify_start_end_handshape_annotations//test_auto_move//signs_mov_separ_signers/Naomi_618.mov" TargetMode="External"/><Relationship Id="rId5838" Type="http://schemas.openxmlformats.org/officeDocument/2006/relationships/hyperlink" Target="http://secrets.rutgers.edu:8080/data/asl-ftp/asllvd/demos/verify_start_end_handshape_annotations//test_auto_move//signs_mov_separ_signers/Naomi_618.mov" TargetMode="External"/><Relationship Id="rId5839" Type="http://schemas.openxmlformats.org/officeDocument/2006/relationships/hyperlink" Target="http://csr.bu.edu/ftp/asl/asllvd/demos/verify_start_end_handshape_annotations//test_auto_move//signs_mov/618_5030_merged.mov" TargetMode="External"/><Relationship Id="rId5840" Type="http://schemas.openxmlformats.org/officeDocument/2006/relationships/hyperlink" Target="http://csr.bu.edu/ftp/asl/asllvd/demos/verify_start_end_handshape_annotations//test_auto_move//signs_mov_separ_signers/Brady_618.mov" TargetMode="External"/><Relationship Id="rId5841" Type="http://schemas.openxmlformats.org/officeDocument/2006/relationships/hyperlink" Target="http://secrets.rutgers.edu:8080/data/asl-ftp/asllvd/demos/verify_start_end_handshape_annotations//test_auto_move//signs_mov/618_5030_merged.mov" TargetMode="External"/><Relationship Id="rId5842" Type="http://schemas.openxmlformats.org/officeDocument/2006/relationships/hyperlink" Target="http://secrets.rutgers.edu:8080/data/asl-ftp/asllvd/demos/verify_start_end_handshape_annotations//test_auto_move//signs_mov_separ_signers/Brady_618.mov" TargetMode="External"/><Relationship Id="rId5843" Type="http://schemas.openxmlformats.org/officeDocument/2006/relationships/hyperlink" Target="http://csr.bu.edu/ftp/asl/asllvd/demos/verify_start_end_handshape_annotations//test_auto_move//signs_mov_separ_signers/Brady_5030.mov" TargetMode="External"/><Relationship Id="rId5844" Type="http://schemas.openxmlformats.org/officeDocument/2006/relationships/hyperlink" Target="http://secrets.rutgers.edu:8080/data/asl-ftp/asllvd/demos/verify_start_end_handshape_annotations//test_auto_move//signs_mov_separ_signers/Brady_5030.mov" TargetMode="External"/><Relationship Id="rId5845" Type="http://schemas.openxmlformats.org/officeDocument/2006/relationships/hyperlink" Target="http://csr.bu.edu/ftp/asl/asllvd/demos/verify_start_end_handshape_annotations//test_auto_move//signs_mov_separ_signers/Lana_618.mov" TargetMode="External"/><Relationship Id="rId5846" Type="http://schemas.openxmlformats.org/officeDocument/2006/relationships/hyperlink" Target="http://secrets.rutgers.edu:8080/data/asl-ftp/asllvd/demos/verify_start_end_handshape_annotations//test_auto_move//signs_mov_separ_signers/Lana_618.mov" TargetMode="External"/><Relationship Id="rId5847" Type="http://schemas.openxmlformats.org/officeDocument/2006/relationships/hyperlink" Target="http://csr.bu.edu/ftp/asl/asllvd/demos/verify_start_end_handshape_annotations//test_auto_move//signs_mov_separ_signers/Dana_618.mov" TargetMode="External"/><Relationship Id="rId5848" Type="http://schemas.openxmlformats.org/officeDocument/2006/relationships/hyperlink" Target="http://secrets.rutgers.edu:8080/data/asl-ftp/asllvd/demos/verify_start_end_handshape_annotations//test_auto_move//signs_mov_separ_signers/Dana_618.mov" TargetMode="External"/><Relationship Id="rId5849" Type="http://schemas.openxmlformats.org/officeDocument/2006/relationships/hyperlink" Target="http://csr.bu.edu/ftp/asl/asllvd/demos/verify_start_end_handshape_annotations//test_auto_move//signs_mov_separ_signers/Liz_620.mov" TargetMode="External"/><Relationship Id="rId5850" Type="http://schemas.openxmlformats.org/officeDocument/2006/relationships/hyperlink" Target="http://secrets.rutgers.edu:8080/data/asl-ftp/asllvd/demos/verify_start_end_handshape_annotations//test_auto_move//signs_mov_separ_signers/Liz_620.mov" TargetMode="External"/><Relationship Id="rId5851" Type="http://schemas.openxmlformats.org/officeDocument/2006/relationships/hyperlink" Target="http://csr.bu.edu/ftp/asl/asllvd/demos/verify_start_end_handshape_annotations//test_auto_move//signs_mov_separ_signers/Liz_3610.mov" TargetMode="External"/><Relationship Id="rId5852" Type="http://schemas.openxmlformats.org/officeDocument/2006/relationships/hyperlink" Target="http://secrets.rutgers.edu:8080/data/asl-ftp/asllvd/demos/verify_start_end_handshape_annotations//test_auto_move//signs_mov_separ_signers/Liz_3610.mov" TargetMode="External"/><Relationship Id="rId5853" Type="http://schemas.openxmlformats.org/officeDocument/2006/relationships/hyperlink" Target="http://csr.bu.edu/ftp/asl/asllvd/demos/verify_start_end_handshape_annotations//test_auto_move//signs_mov_separ_signers/Tyler_620.mov" TargetMode="External"/><Relationship Id="rId5854" Type="http://schemas.openxmlformats.org/officeDocument/2006/relationships/hyperlink" Target="http://secrets.rutgers.edu:8080/data/asl-ftp/asllvd/demos/verify_start_end_handshape_annotations//test_auto_move//signs_mov_separ_signers/Tyler_620.mov" TargetMode="External"/><Relationship Id="rId5855" Type="http://schemas.openxmlformats.org/officeDocument/2006/relationships/hyperlink" Target="http://csr.bu.edu/ftp/asl/asllvd/demos/verify_start_end_handshape_annotations//test_auto_move//signs_mov/620_3610_merged.mov" TargetMode="External"/><Relationship Id="rId5856" Type="http://schemas.openxmlformats.org/officeDocument/2006/relationships/hyperlink" Target="http://csr.bu.edu/ftp/asl/asllvd/demos/verify_start_end_handshape_annotations//test_auto_move//signs_mov_separ_signers/Naomi_620.mov" TargetMode="External"/><Relationship Id="rId5857" Type="http://schemas.openxmlformats.org/officeDocument/2006/relationships/hyperlink" Target="http://secrets.rutgers.edu:8080/data/asl-ftp/asllvd/demos/verify_start_end_handshape_annotations//test_auto_move//signs_mov/620_3610_merged.mov" TargetMode="External"/><Relationship Id="rId5858" Type="http://schemas.openxmlformats.org/officeDocument/2006/relationships/hyperlink" Target="http://secrets.rutgers.edu:8080/data/asl-ftp/asllvd/demos/verify_start_end_handshape_annotations//test_auto_move//signs_mov_separ_signers/Naomi_620.mov" TargetMode="External"/><Relationship Id="rId5859" Type="http://schemas.openxmlformats.org/officeDocument/2006/relationships/hyperlink" Target="http://csr.bu.edu/ftp/asl/asllvd/demos/verify_start_end_handshape_annotations//test_auto_move//signs_mov_separ_signers/Naomi_3610.mov" TargetMode="External"/><Relationship Id="rId5860" Type="http://schemas.openxmlformats.org/officeDocument/2006/relationships/hyperlink" Target="http://secrets.rutgers.edu:8080/data/asl-ftp/asllvd/demos/verify_start_end_handshape_annotations//test_auto_move//signs_mov_separ_signers/Naomi_3610.mov" TargetMode="External"/><Relationship Id="rId5861" Type="http://schemas.openxmlformats.org/officeDocument/2006/relationships/hyperlink" Target="http://csr.bu.edu/ftp/asl/asllvd/demos/verify_start_end_handshape_annotations//test_auto_move//signs_mov_separ_signers/Brady_620.mov" TargetMode="External"/><Relationship Id="rId5862" Type="http://schemas.openxmlformats.org/officeDocument/2006/relationships/hyperlink" Target="http://secrets.rutgers.edu:8080/data/asl-ftp/asllvd/demos/verify_start_end_handshape_annotations//test_auto_move//signs_mov_separ_signers/Brady_620.mov" TargetMode="External"/><Relationship Id="rId5863" Type="http://schemas.openxmlformats.org/officeDocument/2006/relationships/hyperlink" Target="http://csr.bu.edu/ftp/asl/asllvd/demos/verify_start_end_handshape_annotations//test_auto_move//signs_mov_separ_signers/Brady_3610.mov" TargetMode="External"/><Relationship Id="rId5864" Type="http://schemas.openxmlformats.org/officeDocument/2006/relationships/hyperlink" Target="http://secrets.rutgers.edu:8080/data/asl-ftp/asllvd/demos/verify_start_end_handshape_annotations//test_auto_move//signs_mov_separ_signers/Brady_3610.mov" TargetMode="External"/><Relationship Id="rId5865" Type="http://schemas.openxmlformats.org/officeDocument/2006/relationships/hyperlink" Target="http://csr.bu.edu/ftp/asl/asllvd/demos/verify_start_end_handshape_annotations//test_auto_move//signs_mov_separ_signers/Lana_620.mov" TargetMode="External"/><Relationship Id="rId5866" Type="http://schemas.openxmlformats.org/officeDocument/2006/relationships/hyperlink" Target="http://secrets.rutgers.edu:8080/data/asl-ftp/asllvd/demos/verify_start_end_handshape_annotations//test_auto_move//signs_mov_separ_signers/Lana_620.mov" TargetMode="External"/><Relationship Id="rId5867" Type="http://schemas.openxmlformats.org/officeDocument/2006/relationships/hyperlink" Target="http://csr.bu.edu/ftp/asl/asllvd/demos/verify_start_end_handshape_annotations//test_auto_move//signs_mov/16319.mov" TargetMode="External"/><Relationship Id="rId5868" Type="http://schemas.openxmlformats.org/officeDocument/2006/relationships/hyperlink" Target="http://csr.bu.edu/ftp/asl/asllvd/demos/verify_start_end_handshape_annotations//test_auto_move//signs_mov_separ_signers/Tyler_16319.mov" TargetMode="External"/><Relationship Id="rId5869" Type="http://schemas.openxmlformats.org/officeDocument/2006/relationships/hyperlink" Target="http://secrets.rutgers.edu:8080/data/asl-ftp/asllvd/demos/verify_start_end_handshape_annotations//test_auto_move//signs_mov/16319.mov" TargetMode="External"/><Relationship Id="rId5870" Type="http://schemas.openxmlformats.org/officeDocument/2006/relationships/hyperlink" Target="http://secrets.rutgers.edu:8080/data/asl-ftp/asllvd/demos/verify_start_end_handshape_annotations//test_auto_move//signs_mov_separ_signers/Tyler_16319.mov" TargetMode="External"/><Relationship Id="rId5871" Type="http://schemas.openxmlformats.org/officeDocument/2006/relationships/hyperlink" Target="http://csr.bu.edu/ftp/asl/asllvd/demos/verify_start_end_handshape_annotations//test_auto_move//signs_mov_separ_signers/Dana_16319.mov" TargetMode="External"/><Relationship Id="rId5872" Type="http://schemas.openxmlformats.org/officeDocument/2006/relationships/hyperlink" Target="http://secrets.rutgers.edu:8080/data/asl-ftp/asllvd/demos/verify_start_end_handshape_annotations//test_auto_move//signs_mov_separ_signers/Dana_16319.mov" TargetMode="External"/><Relationship Id="rId5873" Type="http://schemas.openxmlformats.org/officeDocument/2006/relationships/hyperlink" Target="http://csr.bu.edu/ftp/asl/asllvd/demos/verify_start_end_handshape_annotations//test_auto_move//signs_mov_separ_signers/Liz_622.mov" TargetMode="External"/><Relationship Id="rId5874" Type="http://schemas.openxmlformats.org/officeDocument/2006/relationships/hyperlink" Target="http://secrets.rutgers.edu:8080/data/asl-ftp/asllvd/demos/verify_start_end_handshape_annotations//test_auto_move//signs_mov_separ_signers/Liz_622.mov" TargetMode="External"/><Relationship Id="rId5875" Type="http://schemas.openxmlformats.org/officeDocument/2006/relationships/hyperlink" Target="http://csr.bu.edu/ftp/asl/asllvd/demos/verify_start_end_handshape_annotations//test_auto_move//signs_mov_separ_signers/Liz_3342.mov" TargetMode="External"/><Relationship Id="rId5876" Type="http://schemas.openxmlformats.org/officeDocument/2006/relationships/hyperlink" Target="http://secrets.rutgers.edu:8080/data/asl-ftp/asllvd/demos/verify_start_end_handshape_annotations//test_auto_move//signs_mov_separ_signers/Liz_3342.mov" TargetMode="External"/><Relationship Id="rId5877" Type="http://schemas.openxmlformats.org/officeDocument/2006/relationships/hyperlink" Target="http://csr.bu.edu/ftp/asl/asllvd/demos/verify_start_end_handshape_annotations//test_auto_move//signs_mov_separ_signers/Tyler_622.mov" TargetMode="External"/><Relationship Id="rId5878" Type="http://schemas.openxmlformats.org/officeDocument/2006/relationships/hyperlink" Target="http://secrets.rutgers.edu:8080/data/asl-ftp/asllvd/demos/verify_start_end_handshape_annotations//test_auto_move//signs_mov_separ_signers/Tyler_622.mov" TargetMode="External"/><Relationship Id="rId5879" Type="http://schemas.openxmlformats.org/officeDocument/2006/relationships/hyperlink" Target="http://csr.bu.edu/ftp/asl/asllvd/demos/verify_start_end_handshape_annotations//test_auto_move//signs_mov/622_3342_merged.mov" TargetMode="External"/><Relationship Id="rId5880" Type="http://schemas.openxmlformats.org/officeDocument/2006/relationships/hyperlink" Target="http://csr.bu.edu/ftp/asl/asllvd/demos/verify_start_end_handshape_annotations//test_auto_move//signs_mov_separ_signers/Naomi_622.mov" TargetMode="External"/><Relationship Id="rId5881" Type="http://schemas.openxmlformats.org/officeDocument/2006/relationships/hyperlink" Target="http://secrets.rutgers.edu:8080/data/asl-ftp/asllvd/demos/verify_start_end_handshape_annotations//test_auto_move//signs_mov/622_3342_merged.mov" TargetMode="External"/><Relationship Id="rId5882" Type="http://schemas.openxmlformats.org/officeDocument/2006/relationships/hyperlink" Target="http://secrets.rutgers.edu:8080/data/asl-ftp/asllvd/demos/verify_start_end_handshape_annotations//test_auto_move//signs_mov_separ_signers/Naomi_622.mov" TargetMode="External"/><Relationship Id="rId5883" Type="http://schemas.openxmlformats.org/officeDocument/2006/relationships/hyperlink" Target="http://csr.bu.edu/ftp/asl/asllvd/demos/verify_start_end_handshape_annotations//test_auto_move//signs_mov_separ_signers/Naomi_3342.mov" TargetMode="External"/><Relationship Id="rId5884" Type="http://schemas.openxmlformats.org/officeDocument/2006/relationships/hyperlink" Target="http://secrets.rutgers.edu:8080/data/asl-ftp/asllvd/demos/verify_start_end_handshape_annotations//test_auto_move//signs_mov_separ_signers/Naomi_3342.mov" TargetMode="External"/><Relationship Id="rId5885" Type="http://schemas.openxmlformats.org/officeDocument/2006/relationships/hyperlink" Target="http://csr.bu.edu/ftp/asl/asllvd/demos/verify_start_end_handshape_annotations//test_auto_move//signs_mov_separ_signers/Brady_622.mov" TargetMode="External"/><Relationship Id="rId5886" Type="http://schemas.openxmlformats.org/officeDocument/2006/relationships/hyperlink" Target="http://secrets.rutgers.edu:8080/data/asl-ftp/asllvd/demos/verify_start_end_handshape_annotations//test_auto_move//signs_mov_separ_signers/Brady_622.mov" TargetMode="External"/><Relationship Id="rId5887" Type="http://schemas.openxmlformats.org/officeDocument/2006/relationships/hyperlink" Target="http://csr.bu.edu/ftp/asl/asllvd/demos/verify_start_end_handshape_annotations//test_auto_move//signs_mov_separ_signers/Brady_3342.mov" TargetMode="External"/><Relationship Id="rId5888" Type="http://schemas.openxmlformats.org/officeDocument/2006/relationships/hyperlink" Target="http://secrets.rutgers.edu:8080/data/asl-ftp/asllvd/demos/verify_start_end_handshape_annotations//test_auto_move//signs_mov_separ_signers/Brady_3342.mov" TargetMode="External"/><Relationship Id="rId5889" Type="http://schemas.openxmlformats.org/officeDocument/2006/relationships/hyperlink" Target="http://csr.bu.edu/ftp/asl/asllvd/demos/verify_start_end_handshape_annotations//test_auto_move//signs_mov_separ_signers/Lana_622.mov" TargetMode="External"/><Relationship Id="rId5890" Type="http://schemas.openxmlformats.org/officeDocument/2006/relationships/hyperlink" Target="http://secrets.rutgers.edu:8080/data/asl-ftp/asllvd/demos/verify_start_end_handshape_annotations//test_auto_move//signs_mov_separ_signers/Lana_622.mov" TargetMode="External"/><Relationship Id="rId5891" Type="http://schemas.openxmlformats.org/officeDocument/2006/relationships/hyperlink" Target="http://csr.bu.edu/ftp/asl/asllvd/demos/verify_start_end_handshape_annotations//test_auto_move//signs_mov_separ_signers/Liz_15912.mov" TargetMode="External"/><Relationship Id="rId5892" Type="http://schemas.openxmlformats.org/officeDocument/2006/relationships/hyperlink" Target="http://secrets.rutgers.edu:8080/data/asl-ftp/asllvd/demos/verify_start_end_handshape_annotations//test_auto_move//signs_mov_separ_signers/Liz_15912.mov" TargetMode="External"/><Relationship Id="rId5893" Type="http://schemas.openxmlformats.org/officeDocument/2006/relationships/hyperlink" Target="http://csr.bu.edu/ftp/asl/asllvd/demos/verify_start_end_handshape_annotations//test_auto_move//signs_mov_separ_signers/Liz_15961.mov" TargetMode="External"/><Relationship Id="rId5894" Type="http://schemas.openxmlformats.org/officeDocument/2006/relationships/hyperlink" Target="http://secrets.rutgers.edu:8080/data/asl-ftp/asllvd/demos/verify_start_end_handshape_annotations//test_auto_move//signs_mov_separ_signers/Liz_15961.mov" TargetMode="External"/><Relationship Id="rId5895" Type="http://schemas.openxmlformats.org/officeDocument/2006/relationships/hyperlink" Target="http://csr.bu.edu/ftp/asl/asllvd/demos/verify_start_end_handshape_annotations//test_auto_move//signs_mov_separ_signers/Tyler_15912.mov" TargetMode="External"/><Relationship Id="rId5896" Type="http://schemas.openxmlformats.org/officeDocument/2006/relationships/hyperlink" Target="http://secrets.rutgers.edu:8080/data/asl-ftp/asllvd/demos/verify_start_end_handshape_annotations//test_auto_move//signs_mov_separ_signers/Tyler_15912.mov" TargetMode="External"/><Relationship Id="rId5897" Type="http://schemas.openxmlformats.org/officeDocument/2006/relationships/hyperlink" Target="http://csr.bu.edu/ftp/asl/asllvd/demos/verify_start_end_handshape_annotations//test_auto_move//signs_mov_separ_signers/Naomi_15912.mov" TargetMode="External"/><Relationship Id="rId5898" Type="http://schemas.openxmlformats.org/officeDocument/2006/relationships/hyperlink" Target="http://secrets.rutgers.edu:8080/data/asl-ftp/asllvd/demos/verify_start_end_handshape_annotations//test_auto_move//signs_mov_separ_signers/Naomi_15912.mov" TargetMode="External"/><Relationship Id="rId5899" Type="http://schemas.openxmlformats.org/officeDocument/2006/relationships/hyperlink" Target="http://csr.bu.edu/ftp/asl/asllvd/demos/verify_start_end_handshape_annotations//test_auto_move//signs_mov/15912_15961_merged.mov" TargetMode="External"/><Relationship Id="rId5900" Type="http://schemas.openxmlformats.org/officeDocument/2006/relationships/hyperlink" Target="http://csr.bu.edu/ftp/asl/asllvd/demos/verify_start_end_handshape_annotations//test_auto_move//signs_mov_separ_signers/Naomi_15961.mov" TargetMode="External"/><Relationship Id="rId5901" Type="http://schemas.openxmlformats.org/officeDocument/2006/relationships/hyperlink" Target="http://secrets.rutgers.edu:8080/data/asl-ftp/asllvd/demos/verify_start_end_handshape_annotations//test_auto_move//signs_mov/15912_15961_merged.mov" TargetMode="External"/><Relationship Id="rId5902" Type="http://schemas.openxmlformats.org/officeDocument/2006/relationships/hyperlink" Target="http://secrets.rutgers.edu:8080/data/asl-ftp/asllvd/demos/verify_start_end_handshape_annotations//test_auto_move//signs_mov_separ_signers/Naomi_15961.mov" TargetMode="External"/><Relationship Id="rId5903" Type="http://schemas.openxmlformats.org/officeDocument/2006/relationships/hyperlink" Target="http://csr.bu.edu/ftp/asl/asllvd/demos/verify_start_end_handshape_annotations//test_auto_move//signs_mov_separ_signers/Brady_15912.mov" TargetMode="External"/><Relationship Id="rId5904" Type="http://schemas.openxmlformats.org/officeDocument/2006/relationships/hyperlink" Target="http://secrets.rutgers.edu:8080/data/asl-ftp/asllvd/demos/verify_start_end_handshape_annotations//test_auto_move//signs_mov_separ_signers/Brady_15912.mov" TargetMode="External"/><Relationship Id="rId5905" Type="http://schemas.openxmlformats.org/officeDocument/2006/relationships/hyperlink" Target="http://csr.bu.edu/ftp/asl/asllvd/demos/verify_start_end_handshape_annotations//test_auto_move//signs_mov_separ_signers/Brady_15961.mov" TargetMode="External"/><Relationship Id="rId5906" Type="http://schemas.openxmlformats.org/officeDocument/2006/relationships/hyperlink" Target="http://secrets.rutgers.edu:8080/data/asl-ftp/asllvd/demos/verify_start_end_handshape_annotations//test_auto_move//signs_mov_separ_signers/Brady_15961.mov" TargetMode="External"/><Relationship Id="rId5907" Type="http://schemas.openxmlformats.org/officeDocument/2006/relationships/hyperlink" Target="http://csr.bu.edu/ftp/asl/asllvd/demos/verify_start_end_handshape_annotations//test_auto_move//signs_mov_separ_signers/Lana_15912.mov" TargetMode="External"/><Relationship Id="rId5908" Type="http://schemas.openxmlformats.org/officeDocument/2006/relationships/hyperlink" Target="http://secrets.rutgers.edu:8080/data/asl-ftp/asllvd/demos/verify_start_end_handshape_annotations//test_auto_move//signs_mov_separ_signers/Lana_15912.mov" TargetMode="External"/><Relationship Id="rId5909" Type="http://schemas.openxmlformats.org/officeDocument/2006/relationships/hyperlink" Target="http://csr.bu.edu/ftp/asl/asllvd/demos/verify_start_end_handshape_annotations//test_auto_move//signs_mov_separ_signers/Dana_15912.mov" TargetMode="External"/><Relationship Id="rId5910" Type="http://schemas.openxmlformats.org/officeDocument/2006/relationships/hyperlink" Target="http://secrets.rutgers.edu:8080/data/asl-ftp/asllvd/demos/verify_start_end_handshape_annotations//test_auto_move//signs_mov_separ_signers/Dana_15912.mov" TargetMode="External"/><Relationship Id="rId5911" Type="http://schemas.openxmlformats.org/officeDocument/2006/relationships/hyperlink" Target="http://csr.bu.edu/ftp/asl/asllvd/demos/verify_start_end_handshape_annotations//test_auto_move//signs_mov_separ_signers/Liz_625.mov" TargetMode="External"/><Relationship Id="rId5912" Type="http://schemas.openxmlformats.org/officeDocument/2006/relationships/hyperlink" Target="http://secrets.rutgers.edu:8080/data/asl-ftp/asllvd/demos/verify_start_end_handshape_annotations//test_auto_move//signs_mov_separ_signers/Liz_625.mov" TargetMode="External"/><Relationship Id="rId5913" Type="http://schemas.openxmlformats.org/officeDocument/2006/relationships/hyperlink" Target="http://csr.bu.edu/ftp/asl/asllvd/demos/verify_start_end_handshape_annotations//test_auto_move//signs_mov/625.mov" TargetMode="External"/><Relationship Id="rId5914" Type="http://schemas.openxmlformats.org/officeDocument/2006/relationships/hyperlink" Target="http://csr.bu.edu/ftp/asl/asllvd/demos/verify_start_end_handshape_annotations//test_auto_move//signs_mov_separ_signers/Tyler_625.mov" TargetMode="External"/><Relationship Id="rId5915" Type="http://schemas.openxmlformats.org/officeDocument/2006/relationships/hyperlink" Target="http://secrets.rutgers.edu:8080/data/asl-ftp/asllvd/demos/verify_start_end_handshape_annotations//test_auto_move//signs_mov/625.mov" TargetMode="External"/><Relationship Id="rId5916" Type="http://schemas.openxmlformats.org/officeDocument/2006/relationships/hyperlink" Target="http://secrets.rutgers.edu:8080/data/asl-ftp/asllvd/demos/verify_start_end_handshape_annotations//test_auto_move//signs_mov_separ_signers/Tyler_625.mov" TargetMode="External"/><Relationship Id="rId5917" Type="http://schemas.openxmlformats.org/officeDocument/2006/relationships/hyperlink" Target="http://csr.bu.edu/ftp/asl/asllvd/demos/verify_start_end_handshape_annotations//test_auto_move//signs_mov_separ_signers/Naomi_625.mov" TargetMode="External"/><Relationship Id="rId5918" Type="http://schemas.openxmlformats.org/officeDocument/2006/relationships/hyperlink" Target="http://secrets.rutgers.edu:8080/data/asl-ftp/asllvd/demos/verify_start_end_handshape_annotations//test_auto_move//signs_mov_separ_signers/Naomi_625.mov" TargetMode="External"/><Relationship Id="rId5919" Type="http://schemas.openxmlformats.org/officeDocument/2006/relationships/hyperlink" Target="http://csr.bu.edu/ftp/asl/asllvd/demos/verify_start_end_handshape_annotations//test_auto_move//signs_mov_separ_signers/Brady_625.mov" TargetMode="External"/><Relationship Id="rId5920" Type="http://schemas.openxmlformats.org/officeDocument/2006/relationships/hyperlink" Target="http://secrets.rutgers.edu:8080/data/asl-ftp/asllvd/demos/verify_start_end_handshape_annotations//test_auto_move//signs_mov_separ_signers/Brady_625.mov" TargetMode="External"/><Relationship Id="rId5921" Type="http://schemas.openxmlformats.org/officeDocument/2006/relationships/hyperlink" Target="http://csr.bu.edu/ftp/asl/asllvd/demos/verify_start_end_handshape_annotations//test_auto_move//signs_mov/627.mov" TargetMode="External"/><Relationship Id="rId5922" Type="http://schemas.openxmlformats.org/officeDocument/2006/relationships/hyperlink" Target="http://csr.bu.edu/ftp/asl/asllvd/demos/verify_start_end_handshape_annotations//test_auto_move//signs_mov_separ_signers/Liz_627.mov" TargetMode="External"/><Relationship Id="rId5923" Type="http://schemas.openxmlformats.org/officeDocument/2006/relationships/hyperlink" Target="http://secrets.rutgers.edu:8080/data/asl-ftp/asllvd/demos/verify_start_end_handshape_annotations//test_auto_move//signs_mov/627.mov" TargetMode="External"/><Relationship Id="rId5924" Type="http://schemas.openxmlformats.org/officeDocument/2006/relationships/hyperlink" Target="http://secrets.rutgers.edu:8080/data/asl-ftp/asllvd/demos/verify_start_end_handshape_annotations//test_auto_move//signs_mov_separ_signers/Liz_627.mov" TargetMode="External"/><Relationship Id="rId5925" Type="http://schemas.openxmlformats.org/officeDocument/2006/relationships/hyperlink" Target="http://csr.bu.edu/ftp/asl/asllvd/demos/verify_start_end_handshape_annotations//test_auto_move//signs_mov_separ_signers/Naomi_627.mov" TargetMode="External"/><Relationship Id="rId5926" Type="http://schemas.openxmlformats.org/officeDocument/2006/relationships/hyperlink" Target="http://secrets.rutgers.edu:8080/data/asl-ftp/asllvd/demos/verify_start_end_handshape_annotations//test_auto_move//signs_mov_separ_signers/Naomi_627.mov" TargetMode="External"/><Relationship Id="rId5927" Type="http://schemas.openxmlformats.org/officeDocument/2006/relationships/hyperlink" Target="http://csr.bu.edu/ftp/asl/asllvd/demos/verify_start_end_handshape_annotations//test_auto_move//signs_mov/15147.mov" TargetMode="External"/><Relationship Id="rId5928" Type="http://schemas.openxmlformats.org/officeDocument/2006/relationships/hyperlink" Target="http://csr.bu.edu/ftp/asl/asllvd/demos/verify_start_end_handshape_annotations//test_auto_move//signs_mov_separ_signers/Tyler_15147.mov" TargetMode="External"/><Relationship Id="rId5929" Type="http://schemas.openxmlformats.org/officeDocument/2006/relationships/hyperlink" Target="http://secrets.rutgers.edu:8080/data/asl-ftp/asllvd/demos/verify_start_end_handshape_annotations//test_auto_move//signs_mov/15147.mov" TargetMode="External"/><Relationship Id="rId5930" Type="http://schemas.openxmlformats.org/officeDocument/2006/relationships/hyperlink" Target="http://secrets.rutgers.edu:8080/data/asl-ftp/asllvd/demos/verify_start_end_handshape_annotations//test_auto_move//signs_mov_separ_signers/Tyler_15147.mov" TargetMode="External"/><Relationship Id="rId5931" Type="http://schemas.openxmlformats.org/officeDocument/2006/relationships/hyperlink" Target="http://csr.bu.edu/ftp/asl/asllvd/demos/verify_start_end_handshape_annotations//test_auto_move//signs_mov_separ_signers/Brady_15147.mov" TargetMode="External"/><Relationship Id="rId5932" Type="http://schemas.openxmlformats.org/officeDocument/2006/relationships/hyperlink" Target="http://secrets.rutgers.edu:8080/data/asl-ftp/asllvd/demos/verify_start_end_handshape_annotations//test_auto_move//signs_mov_separ_signers/Brady_15147.mov" TargetMode="External"/><Relationship Id="rId5933" Type="http://schemas.openxmlformats.org/officeDocument/2006/relationships/hyperlink" Target="http://csr.bu.edu/ftp/asl/asllvd/demos/verify_start_end_handshape_annotations//test_auto_move//signs_mov_separ_signers/Liz_15417.mov" TargetMode="External"/><Relationship Id="rId5934" Type="http://schemas.openxmlformats.org/officeDocument/2006/relationships/hyperlink" Target="http://secrets.rutgers.edu:8080/data/asl-ftp/asllvd/demos/verify_start_end_handshape_annotations//test_auto_move//signs_mov_separ_signers/Liz_15417.mov" TargetMode="External"/><Relationship Id="rId5935" Type="http://schemas.openxmlformats.org/officeDocument/2006/relationships/hyperlink" Target="http://csr.bu.edu/ftp/asl/asllvd/demos/verify_start_end_handshape_annotations//test_auto_move//signs_mov/15417.mov" TargetMode="External"/><Relationship Id="rId5936" Type="http://schemas.openxmlformats.org/officeDocument/2006/relationships/hyperlink" Target="http://csr.bu.edu/ftp/asl/asllvd/demos/verify_start_end_handshape_annotations//test_auto_move//signs_mov_separ_signers/Tyler_15417.mov" TargetMode="External"/><Relationship Id="rId5937" Type="http://schemas.openxmlformats.org/officeDocument/2006/relationships/hyperlink" Target="http://secrets.rutgers.edu:8080/data/asl-ftp/asllvd/demos/verify_start_end_handshape_annotations//test_auto_move//signs_mov/15417.mov" TargetMode="External"/><Relationship Id="rId5938" Type="http://schemas.openxmlformats.org/officeDocument/2006/relationships/hyperlink" Target="http://secrets.rutgers.edu:8080/data/asl-ftp/asllvd/demos/verify_start_end_handshape_annotations//test_auto_move//signs_mov_separ_signers/Tyler_15417.mov" TargetMode="External"/><Relationship Id="rId5939" Type="http://schemas.openxmlformats.org/officeDocument/2006/relationships/hyperlink" Target="http://csr.bu.edu/ftp/asl/asllvd/demos/verify_start_end_handshape_annotations//test_auto_move//signs_mov_separ_signers/Naomi_15417.mov" TargetMode="External"/><Relationship Id="rId5940" Type="http://schemas.openxmlformats.org/officeDocument/2006/relationships/hyperlink" Target="http://secrets.rutgers.edu:8080/data/asl-ftp/asllvd/demos/verify_start_end_handshape_annotations//test_auto_move//signs_mov_separ_signers/Naomi_15417.mov" TargetMode="External"/><Relationship Id="rId5941" Type="http://schemas.openxmlformats.org/officeDocument/2006/relationships/hyperlink" Target="http://csr.bu.edu/ftp/asl/asllvd/demos/verify_start_end_handshape_annotations//test_auto_move//signs_mov_separ_signers/Brady_15468.mov" TargetMode="External"/><Relationship Id="rId5942" Type="http://schemas.openxmlformats.org/officeDocument/2006/relationships/hyperlink" Target="http://secrets.rutgers.edu:8080/data/asl-ftp/asllvd/demos/verify_start_end_handshape_annotations//test_auto_move//signs_mov_separ_signers/Brady_15468.mov" TargetMode="External"/><Relationship Id="rId5943" Type="http://schemas.openxmlformats.org/officeDocument/2006/relationships/hyperlink" Target="http://csr.bu.edu/ftp/asl/asllvd/demos/verify_start_end_handshape_annotations//test_auto_move//signs_mov/15468.mov" TargetMode="External"/><Relationship Id="rId5944" Type="http://schemas.openxmlformats.org/officeDocument/2006/relationships/hyperlink" Target="http://csr.bu.edu/ftp/asl/asllvd/demos/verify_start_end_handshape_annotations//test_auto_move//signs_mov_separ_signers/Lana_15468.mov" TargetMode="External"/><Relationship Id="rId5945" Type="http://schemas.openxmlformats.org/officeDocument/2006/relationships/hyperlink" Target="http://secrets.rutgers.edu:8080/data/asl-ftp/asllvd/demos/verify_start_end_handshape_annotations//test_auto_move//signs_mov/15468.mov" TargetMode="External"/><Relationship Id="rId5946" Type="http://schemas.openxmlformats.org/officeDocument/2006/relationships/hyperlink" Target="http://secrets.rutgers.edu:8080/data/asl-ftp/asllvd/demos/verify_start_end_handshape_annotations//test_auto_move//signs_mov_separ_signers/Lana_15468.mov" TargetMode="External"/><Relationship Id="rId5947" Type="http://schemas.openxmlformats.org/officeDocument/2006/relationships/hyperlink" Target="http://csr.bu.edu/ftp/asl/asllvd/demos/verify_start_end_handshape_annotations//test_auto_move//signs_mov_separ_signers/Dana_15468.mov" TargetMode="External"/><Relationship Id="rId5948" Type="http://schemas.openxmlformats.org/officeDocument/2006/relationships/hyperlink" Target="http://secrets.rutgers.edu:8080/data/asl-ftp/asllvd/demos/verify_start_end_handshape_annotations//test_auto_move//signs_mov_separ_signers/Dana_15468.mov" TargetMode="External"/><Relationship Id="rId5949" Type="http://schemas.openxmlformats.org/officeDocument/2006/relationships/hyperlink" Target="http://csr.bu.edu/ftp/asl/asllvd/demos/verify_start_end_handshape_annotations//test_auto_move//signs_mov_separ_signers/Liz_15515.mov" TargetMode="External"/><Relationship Id="rId5950" Type="http://schemas.openxmlformats.org/officeDocument/2006/relationships/hyperlink" Target="http://secrets.rutgers.edu:8080/data/asl-ftp/asllvd/demos/verify_start_end_handshape_annotations//test_auto_move//signs_mov_separ_signers/Liz_15515.mov" TargetMode="External"/><Relationship Id="rId5951" Type="http://schemas.openxmlformats.org/officeDocument/2006/relationships/hyperlink" Target="http://csr.bu.edu/ftp/asl/asllvd/demos/verify_start_end_handshape_annotations//test_auto_move//signs_mov/15515.mov" TargetMode="External"/><Relationship Id="rId5952" Type="http://schemas.openxmlformats.org/officeDocument/2006/relationships/hyperlink" Target="http://csr.bu.edu/ftp/asl/asllvd/demos/verify_start_end_handshape_annotations//test_auto_move//signs_mov_separ_signers/Naomi_15515.mov" TargetMode="External"/><Relationship Id="rId5953" Type="http://schemas.openxmlformats.org/officeDocument/2006/relationships/hyperlink" Target="http://secrets.rutgers.edu:8080/data/asl-ftp/asllvd/demos/verify_start_end_handshape_annotations//test_auto_move//signs_mov/15515.mov" TargetMode="External"/><Relationship Id="rId5954" Type="http://schemas.openxmlformats.org/officeDocument/2006/relationships/hyperlink" Target="http://secrets.rutgers.edu:8080/data/asl-ftp/asllvd/demos/verify_start_end_handshape_annotations//test_auto_move//signs_mov_separ_signers/Naomi_15515.mov" TargetMode="External"/><Relationship Id="rId5955" Type="http://schemas.openxmlformats.org/officeDocument/2006/relationships/hyperlink" Target="http://csr.bu.edu/ftp/asl/asllvd/demos/verify_start_end_handshape_annotations//test_auto_move//signs_mov_separ_signers/Brady_15515.mov" TargetMode="External"/><Relationship Id="rId5956" Type="http://schemas.openxmlformats.org/officeDocument/2006/relationships/hyperlink" Target="http://secrets.rutgers.edu:8080/data/asl-ftp/asllvd/demos/verify_start_end_handshape_annotations//test_auto_move//signs_mov_separ_signers/Brady_15515.mov" TargetMode="External"/><Relationship Id="rId5957" Type="http://schemas.openxmlformats.org/officeDocument/2006/relationships/hyperlink" Target="http://csr.bu.edu/ftp/asl/asllvd/demos/verify_start_end_handshape_annotations//test_auto_move//signs_mov/15516.mov" TargetMode="External"/><Relationship Id="rId5958" Type="http://schemas.openxmlformats.org/officeDocument/2006/relationships/hyperlink" Target="http://csr.bu.edu/ftp/asl/asllvd/demos/verify_start_end_handshape_annotations//test_auto_move//signs_mov_separ_signers/Tyler_15516.mov" TargetMode="External"/><Relationship Id="rId5959" Type="http://schemas.openxmlformats.org/officeDocument/2006/relationships/hyperlink" Target="http://secrets.rutgers.edu:8080/data/asl-ftp/asllvd/demos/verify_start_end_handshape_annotations//test_auto_move//signs_mov/15516.mov" TargetMode="External"/><Relationship Id="rId5960" Type="http://schemas.openxmlformats.org/officeDocument/2006/relationships/hyperlink" Target="http://secrets.rutgers.edu:8080/data/asl-ftp/asllvd/demos/verify_start_end_handshape_annotations//test_auto_move//signs_mov_separ_signers/Tyler_15516.mov" TargetMode="External"/><Relationship Id="rId5961" Type="http://schemas.openxmlformats.org/officeDocument/2006/relationships/hyperlink" Target="http://csr.bu.edu/ftp/asl/asllvd/demos/verify_start_end_handshape_annotations//test_auto_move//signs_mov_separ_signers/Liz_15561.mov" TargetMode="External"/><Relationship Id="rId5962" Type="http://schemas.openxmlformats.org/officeDocument/2006/relationships/hyperlink" Target="http://secrets.rutgers.edu:8080/data/asl-ftp/asllvd/demos/verify_start_end_handshape_annotations//test_auto_move//signs_mov_separ_signers/Liz_15561.mov" TargetMode="External"/><Relationship Id="rId5963" Type="http://schemas.openxmlformats.org/officeDocument/2006/relationships/hyperlink" Target="http://csr.bu.edu/ftp/asl/asllvd/demos/verify_start_end_handshape_annotations//test_auto_move//signs_mov_separ_signers/Naomi_15561.mov" TargetMode="External"/><Relationship Id="rId5964" Type="http://schemas.openxmlformats.org/officeDocument/2006/relationships/hyperlink" Target="http://secrets.rutgers.edu:8080/data/asl-ftp/asllvd/demos/verify_start_end_handshape_annotations//test_auto_move//signs_mov_separ_signers/Naomi_15561.mov" TargetMode="External"/><Relationship Id="rId5965" Type="http://schemas.openxmlformats.org/officeDocument/2006/relationships/hyperlink" Target="http://csr.bu.edu/ftp/asl/asllvd/demos/verify_start_end_handshape_annotations//test_auto_move//signs_mov/15561.mov" TargetMode="External"/><Relationship Id="rId5966" Type="http://schemas.openxmlformats.org/officeDocument/2006/relationships/hyperlink" Target="http://csr.bu.edu/ftp/asl/asllvd/demos/verify_start_end_handshape_annotations//test_auto_move//signs_mov_separ_signers/Brady_15561.mov" TargetMode="External"/><Relationship Id="rId5967" Type="http://schemas.openxmlformats.org/officeDocument/2006/relationships/hyperlink" Target="http://secrets.rutgers.edu:8080/data/asl-ftp/asllvd/demos/verify_start_end_handshape_annotations//test_auto_move//signs_mov/15561.mov" TargetMode="External"/><Relationship Id="rId5968" Type="http://schemas.openxmlformats.org/officeDocument/2006/relationships/hyperlink" Target="http://secrets.rutgers.edu:8080/data/asl-ftp/asllvd/demos/verify_start_end_handshape_annotations//test_auto_move//signs_mov_separ_signers/Brady_15561.mov" TargetMode="External"/><Relationship Id="rId5969" Type="http://schemas.openxmlformats.org/officeDocument/2006/relationships/hyperlink" Target="http://csr.bu.edu/ftp/asl/asllvd/demos/verify_start_end_handshape_annotations//test_auto_move//signs_mov_separ_signers/Lana_15561.mov" TargetMode="External"/><Relationship Id="rId5970" Type="http://schemas.openxmlformats.org/officeDocument/2006/relationships/hyperlink" Target="http://secrets.rutgers.edu:8080/data/asl-ftp/asllvd/demos/verify_start_end_handshape_annotations//test_auto_move//signs_mov_separ_signers/Lana_15561.mov" TargetMode="External"/><Relationship Id="rId5971" Type="http://schemas.openxmlformats.org/officeDocument/2006/relationships/hyperlink" Target="http://csr.bu.edu/ftp/asl/asllvd/demos/verify_start_end_handshape_annotations//test_auto_move//signs_mov_separ_signers/Dana_15561.mov" TargetMode="External"/><Relationship Id="rId5972" Type="http://schemas.openxmlformats.org/officeDocument/2006/relationships/hyperlink" Target="http://secrets.rutgers.edu:8080/data/asl-ftp/asllvd/demos/verify_start_end_handshape_annotations//test_auto_move//signs_mov_separ_signers/Dana_15561.mov" TargetMode="External"/><Relationship Id="rId5973" Type="http://schemas.openxmlformats.org/officeDocument/2006/relationships/hyperlink" Target="http://csr.bu.edu/ftp/asl/asllvd/demos/verify_start_end_handshape_annotations//test_auto_move//signs_mov_separ_signers/Liz_15585.mov" TargetMode="External"/><Relationship Id="rId5974" Type="http://schemas.openxmlformats.org/officeDocument/2006/relationships/hyperlink" Target="http://secrets.rutgers.edu:8080/data/asl-ftp/asllvd/demos/verify_start_end_handshape_annotations//test_auto_move//signs_mov_separ_signers/Liz_15585.mov" TargetMode="External"/><Relationship Id="rId5975" Type="http://schemas.openxmlformats.org/officeDocument/2006/relationships/hyperlink" Target="http://csr.bu.edu/ftp/asl/asllvd/demos/verify_start_end_handshape_annotations//test_auto_move//signs_mov_separ_signers/Tyler_15585.mov" TargetMode="External"/><Relationship Id="rId5976" Type="http://schemas.openxmlformats.org/officeDocument/2006/relationships/hyperlink" Target="http://secrets.rutgers.edu:8080/data/asl-ftp/asllvd/demos/verify_start_end_handshape_annotations//test_auto_move//signs_mov_separ_signers/Tyler_15585.mov" TargetMode="External"/><Relationship Id="rId5977" Type="http://schemas.openxmlformats.org/officeDocument/2006/relationships/hyperlink" Target="http://csr.bu.edu/ftp/asl/asllvd/demos/verify_start_end_handshape_annotations//test_auto_move//signs_mov/15585_15611_merged.mov" TargetMode="External"/><Relationship Id="rId5978" Type="http://schemas.openxmlformats.org/officeDocument/2006/relationships/hyperlink" Target="http://csr.bu.edu/ftp/asl/asllvd/demos/verify_start_end_handshape_annotations//test_auto_move//signs_mov_separ_signers/Tyler_15611.mov" TargetMode="External"/><Relationship Id="rId5979" Type="http://schemas.openxmlformats.org/officeDocument/2006/relationships/hyperlink" Target="http://secrets.rutgers.edu:8080/data/asl-ftp/asllvd/demos/verify_start_end_handshape_annotations//test_auto_move//signs_mov/15585_15611_merged.mov" TargetMode="External"/><Relationship Id="rId5980" Type="http://schemas.openxmlformats.org/officeDocument/2006/relationships/hyperlink" Target="http://secrets.rutgers.edu:8080/data/asl-ftp/asllvd/demos/verify_start_end_handshape_annotations//test_auto_move//signs_mov_separ_signers/Tyler_15611.mov" TargetMode="External"/><Relationship Id="rId5981" Type="http://schemas.openxmlformats.org/officeDocument/2006/relationships/hyperlink" Target="http://csr.bu.edu/ftp/asl/asllvd/demos/verify_start_end_handshape_annotations//test_auto_move//signs_mov_separ_signers/Brady_15585.mov" TargetMode="External"/><Relationship Id="rId5982" Type="http://schemas.openxmlformats.org/officeDocument/2006/relationships/hyperlink" Target="http://secrets.rutgers.edu:8080/data/asl-ftp/asllvd/demos/verify_start_end_handshape_annotations//test_auto_move//signs_mov_separ_signers/Brady_15585.mov" TargetMode="External"/><Relationship Id="rId5983" Type="http://schemas.openxmlformats.org/officeDocument/2006/relationships/hyperlink" Target="http://csr.bu.edu/ftp/asl/asllvd/demos/verify_start_end_handshape_annotations//test_auto_move//signs_mov_separ_signers/Brady_15611.mov" TargetMode="External"/><Relationship Id="rId5984" Type="http://schemas.openxmlformats.org/officeDocument/2006/relationships/hyperlink" Target="http://secrets.rutgers.edu:8080/data/asl-ftp/asllvd/demos/verify_start_end_handshape_annotations//test_auto_move//signs_mov_separ_signers/Brady_15611.mov" TargetMode="External"/><Relationship Id="rId5985" Type="http://schemas.openxmlformats.org/officeDocument/2006/relationships/hyperlink" Target="http://csr.bu.edu/ftp/asl/asllvd/demos/verify_start_end_handshape_annotations//test_auto_move//signs_mov/15612.mov" TargetMode="External"/><Relationship Id="rId5986" Type="http://schemas.openxmlformats.org/officeDocument/2006/relationships/hyperlink" Target="http://csr.bu.edu/ftp/asl/asllvd/demos/verify_start_end_handshape_annotations//test_auto_move//signs_mov_separ_signers/Liz_15612.mov" TargetMode="External"/><Relationship Id="rId5987" Type="http://schemas.openxmlformats.org/officeDocument/2006/relationships/hyperlink" Target="http://secrets.rutgers.edu:8080/data/asl-ftp/asllvd/demos/verify_start_end_handshape_annotations//test_auto_move//signs_mov/15612.mov" TargetMode="External"/><Relationship Id="rId5988" Type="http://schemas.openxmlformats.org/officeDocument/2006/relationships/hyperlink" Target="http://secrets.rutgers.edu:8080/data/asl-ftp/asllvd/demos/verify_start_end_handshape_annotations//test_auto_move//signs_mov_separ_signers/Liz_15612.mov" TargetMode="External"/><Relationship Id="rId5989" Type="http://schemas.openxmlformats.org/officeDocument/2006/relationships/hyperlink" Target="http://csr.bu.edu/ftp/asl/asllvd/demos/verify_start_end_handshape_annotations//test_auto_move//signs_mov_separ_signers/Brady_15612.mov" TargetMode="External"/><Relationship Id="rId5990" Type="http://schemas.openxmlformats.org/officeDocument/2006/relationships/hyperlink" Target="http://secrets.rutgers.edu:8080/data/asl-ftp/asllvd/demos/verify_start_end_handshape_annotations//test_auto_move//signs_mov_separ_signers/Brady_15612.mov" TargetMode="External"/><Relationship Id="rId5991" Type="http://schemas.openxmlformats.org/officeDocument/2006/relationships/hyperlink" Target="http://csr.bu.edu/ftp/asl/asllvd/demos/verify_start_end_handshape_annotations//test_auto_move//signs_mov/15613.mov" TargetMode="External"/><Relationship Id="rId5992" Type="http://schemas.openxmlformats.org/officeDocument/2006/relationships/hyperlink" Target="http://csr.bu.edu/ftp/asl/asllvd/demos/verify_start_end_handshape_annotations//test_auto_move//signs_mov_separ_signers/Liz_15613.mov" TargetMode="External"/><Relationship Id="rId5993" Type="http://schemas.openxmlformats.org/officeDocument/2006/relationships/hyperlink" Target="http://secrets.rutgers.edu:8080/data/asl-ftp/asllvd/demos/verify_start_end_handshape_annotations//test_auto_move//signs_mov/15613.mov" TargetMode="External"/><Relationship Id="rId5994" Type="http://schemas.openxmlformats.org/officeDocument/2006/relationships/hyperlink" Target="http://secrets.rutgers.edu:8080/data/asl-ftp/asllvd/demos/verify_start_end_handshape_annotations//test_auto_move//signs_mov_separ_signers/Liz_15613.mov" TargetMode="External"/><Relationship Id="rId5995" Type="http://schemas.openxmlformats.org/officeDocument/2006/relationships/hyperlink" Target="http://csr.bu.edu/ftp/asl/asllvd/demos/verify_start_end_handshape_annotations//test_auto_move//signs_mov_separ_signers/Brady_15613.mov" TargetMode="External"/><Relationship Id="rId5996" Type="http://schemas.openxmlformats.org/officeDocument/2006/relationships/hyperlink" Target="http://secrets.rutgers.edu:8080/data/asl-ftp/asllvd/demos/verify_start_end_handshape_annotations//test_auto_move//signs_mov_separ_signers/Brady_15613.mov" TargetMode="External"/><Relationship Id="rId5997" Type="http://schemas.openxmlformats.org/officeDocument/2006/relationships/hyperlink" Target="http://csr.bu.edu/ftp/asl/asllvd/demos/verify_start_end_handshape_annotations//test_auto_move//signs_mov/15689.mov" TargetMode="External"/><Relationship Id="rId5998" Type="http://schemas.openxmlformats.org/officeDocument/2006/relationships/hyperlink" Target="http://csr.bu.edu/ftp/asl/asllvd/demos/verify_start_end_handshape_annotations//test_auto_move//signs_mov_separ_signers/Brady_15689.mov" TargetMode="External"/><Relationship Id="rId5999" Type="http://schemas.openxmlformats.org/officeDocument/2006/relationships/hyperlink" Target="http://secrets.rutgers.edu:8080/data/asl-ftp/asllvd/demos/verify_start_end_handshape_annotations//test_auto_move//signs_mov/15689.mov" TargetMode="External"/><Relationship Id="rId6000" Type="http://schemas.openxmlformats.org/officeDocument/2006/relationships/hyperlink" Target="http://secrets.rutgers.edu:8080/data/asl-ftp/asllvd/demos/verify_start_end_handshape_annotations//test_auto_move//signs_mov_separ_signers/Brady_15689.mov" TargetMode="External"/><Relationship Id="rId6001" Type="http://schemas.openxmlformats.org/officeDocument/2006/relationships/hyperlink" Target="http://csr.bu.edu/ftp/asl/asllvd/demos/verify_start_end_handshape_annotations//test_auto_move//signs_mov/15690.mov" TargetMode="External"/><Relationship Id="rId6002" Type="http://schemas.openxmlformats.org/officeDocument/2006/relationships/hyperlink" Target="http://csr.bu.edu/ftp/asl/asllvd/demos/verify_start_end_handshape_annotations//test_auto_move//signs_mov_separ_signers/Tyler_15690.mov" TargetMode="External"/><Relationship Id="rId6003" Type="http://schemas.openxmlformats.org/officeDocument/2006/relationships/hyperlink" Target="http://secrets.rutgers.edu:8080/data/asl-ftp/asllvd/demos/verify_start_end_handshape_annotations//test_auto_move//signs_mov/15690.mov" TargetMode="External"/><Relationship Id="rId6004" Type="http://schemas.openxmlformats.org/officeDocument/2006/relationships/hyperlink" Target="http://secrets.rutgers.edu:8080/data/asl-ftp/asllvd/demos/verify_start_end_handshape_annotations//test_auto_move//signs_mov_separ_signers/Tyler_15690.mov" TargetMode="External"/><Relationship Id="rId6005" Type="http://schemas.openxmlformats.org/officeDocument/2006/relationships/hyperlink" Target="http://csr.bu.edu/ftp/asl/asllvd/demos/verify_start_end_handshape_annotations//test_auto_move//signs_mov_separ_signers/Liz_15691.mov" TargetMode="External"/><Relationship Id="rId6006" Type="http://schemas.openxmlformats.org/officeDocument/2006/relationships/hyperlink" Target="http://secrets.rutgers.edu:8080/data/asl-ftp/asllvd/demos/verify_start_end_handshape_annotations//test_auto_move//signs_mov_separ_signers/Liz_15691.mov" TargetMode="External"/><Relationship Id="rId6007" Type="http://schemas.openxmlformats.org/officeDocument/2006/relationships/hyperlink" Target="http://csr.bu.edu/ftp/asl/asllvd/demos/verify_start_end_handshape_annotations//test_auto_move//signs_mov/15691.mov" TargetMode="External"/><Relationship Id="rId6008" Type="http://schemas.openxmlformats.org/officeDocument/2006/relationships/hyperlink" Target="http://csr.bu.edu/ftp/asl/asllvd/demos/verify_start_end_handshape_annotations//test_auto_move//signs_mov_separ_signers/Tyler_15691.mov" TargetMode="External"/><Relationship Id="rId6009" Type="http://schemas.openxmlformats.org/officeDocument/2006/relationships/hyperlink" Target="http://secrets.rutgers.edu:8080/data/asl-ftp/asllvd/demos/verify_start_end_handshape_annotations//test_auto_move//signs_mov/15691.mov" TargetMode="External"/><Relationship Id="rId6010" Type="http://schemas.openxmlformats.org/officeDocument/2006/relationships/hyperlink" Target="http://secrets.rutgers.edu:8080/data/asl-ftp/asllvd/demos/verify_start_end_handshape_annotations//test_auto_move//signs_mov_separ_signers/Tyler_15691.mov" TargetMode="External"/><Relationship Id="rId6011" Type="http://schemas.openxmlformats.org/officeDocument/2006/relationships/hyperlink" Target="http://csr.bu.edu/ftp/asl/asllvd/demos/verify_start_end_handshape_annotations//test_auto_move//signs_mov_separ_signers/Naomi_15691.mov" TargetMode="External"/><Relationship Id="rId6012" Type="http://schemas.openxmlformats.org/officeDocument/2006/relationships/hyperlink" Target="http://secrets.rutgers.edu:8080/data/asl-ftp/asllvd/demos/verify_start_end_handshape_annotations//test_auto_move//signs_mov_separ_signers/Naomi_15691.mov" TargetMode="External"/><Relationship Id="rId6013" Type="http://schemas.openxmlformats.org/officeDocument/2006/relationships/hyperlink" Target="http://csr.bu.edu/ftp/asl/asllvd/demos/verify_start_end_handshape_annotations//test_auto_move//signs_mov_separ_signers/Brady_15691.mov" TargetMode="External"/><Relationship Id="rId6014" Type="http://schemas.openxmlformats.org/officeDocument/2006/relationships/hyperlink" Target="http://secrets.rutgers.edu:8080/data/asl-ftp/asllvd/demos/verify_start_end_handshape_annotations//test_auto_move//signs_mov_separ_signers/Brady_15691.mov" TargetMode="External"/><Relationship Id="rId6015" Type="http://schemas.openxmlformats.org/officeDocument/2006/relationships/hyperlink" Target="http://csr.bu.edu/ftp/asl/asllvd/demos/verify_start_end_handshape_annotations//test_auto_move//signs_mov/15692.mov" TargetMode="External"/><Relationship Id="rId6016" Type="http://schemas.openxmlformats.org/officeDocument/2006/relationships/hyperlink" Target="http://csr.bu.edu/ftp/asl/asllvd/demos/verify_start_end_handshape_annotations//test_auto_move//signs_mov_separ_signers/Liz_15692.mov" TargetMode="External"/><Relationship Id="rId6017" Type="http://schemas.openxmlformats.org/officeDocument/2006/relationships/hyperlink" Target="http://secrets.rutgers.edu:8080/data/asl-ftp/asllvd/demos/verify_start_end_handshape_annotations//test_auto_move//signs_mov/15692.mov" TargetMode="External"/><Relationship Id="rId6018" Type="http://schemas.openxmlformats.org/officeDocument/2006/relationships/hyperlink" Target="http://secrets.rutgers.edu:8080/data/asl-ftp/asllvd/demos/verify_start_end_handshape_annotations//test_auto_move//signs_mov_separ_signers/Liz_15692.mov" TargetMode="External"/><Relationship Id="rId6019" Type="http://schemas.openxmlformats.org/officeDocument/2006/relationships/hyperlink" Target="http://csr.bu.edu/ftp/asl/asllvd/demos/verify_start_end_handshape_annotations//test_auto_move//signs_mov_separ_signers/Liz_16329.mov" TargetMode="External"/><Relationship Id="rId6020" Type="http://schemas.openxmlformats.org/officeDocument/2006/relationships/hyperlink" Target="http://secrets.rutgers.edu:8080/data/asl-ftp/asllvd/demos/verify_start_end_handshape_annotations//test_auto_move//signs_mov_separ_signers/Liz_16329.mov" TargetMode="External"/><Relationship Id="rId6021" Type="http://schemas.openxmlformats.org/officeDocument/2006/relationships/hyperlink" Target="http://csr.bu.edu/ftp/asl/asllvd/demos/verify_start_end_handshape_annotations//test_auto_move//signs_mov/16329.mov" TargetMode="External"/><Relationship Id="rId6022" Type="http://schemas.openxmlformats.org/officeDocument/2006/relationships/hyperlink" Target="http://csr.bu.edu/ftp/asl/asllvd/demos/verify_start_end_handshape_annotations//test_auto_move//signs_mov_separ_signers/Tyler_16329.mov" TargetMode="External"/><Relationship Id="rId6023" Type="http://schemas.openxmlformats.org/officeDocument/2006/relationships/hyperlink" Target="http://secrets.rutgers.edu:8080/data/asl-ftp/asllvd/demos/verify_start_end_handshape_annotations//test_auto_move//signs_mov/16329.mov" TargetMode="External"/><Relationship Id="rId6024" Type="http://schemas.openxmlformats.org/officeDocument/2006/relationships/hyperlink" Target="http://secrets.rutgers.edu:8080/data/asl-ftp/asllvd/demos/verify_start_end_handshape_annotations//test_auto_move//signs_mov_separ_signers/Tyler_16329.mov" TargetMode="External"/><Relationship Id="rId6025" Type="http://schemas.openxmlformats.org/officeDocument/2006/relationships/hyperlink" Target="http://csr.bu.edu/ftp/asl/asllvd/demos/verify_start_end_handshape_annotations//test_auto_move//signs_mov_separ_signers/Naomi_16329.mov" TargetMode="External"/><Relationship Id="rId6026" Type="http://schemas.openxmlformats.org/officeDocument/2006/relationships/hyperlink" Target="http://secrets.rutgers.edu:8080/data/asl-ftp/asllvd/demos/verify_start_end_handshape_annotations//test_auto_move//signs_mov_separ_signers/Naomi_16329.mov" TargetMode="External"/><Relationship Id="rId6027" Type="http://schemas.openxmlformats.org/officeDocument/2006/relationships/hyperlink" Target="http://csr.bu.edu/ftp/asl/asllvd/demos/verify_start_end_handshape_annotations//test_auto_move//signs_mov_separ_signers/Brady_16329.mov" TargetMode="External"/><Relationship Id="rId6028" Type="http://schemas.openxmlformats.org/officeDocument/2006/relationships/hyperlink" Target="http://secrets.rutgers.edu:8080/data/asl-ftp/asllvd/demos/verify_start_end_handshape_annotations//test_auto_move//signs_mov_separ_signers/Brady_16329.mov" TargetMode="External"/><Relationship Id="rId6029" Type="http://schemas.openxmlformats.org/officeDocument/2006/relationships/hyperlink" Target="http://csr.bu.edu/ftp/asl/asllvd/demos/verify_start_end_handshape_annotations//test_auto_move//signs_mov_separ_signers/Liz_628.mov" TargetMode="External"/><Relationship Id="rId6030" Type="http://schemas.openxmlformats.org/officeDocument/2006/relationships/hyperlink" Target="http://secrets.rutgers.edu:8080/data/asl-ftp/asllvd/demos/verify_start_end_handshape_annotations//test_auto_move//signs_mov_separ_signers/Liz_628.mov" TargetMode="External"/><Relationship Id="rId6031" Type="http://schemas.openxmlformats.org/officeDocument/2006/relationships/hyperlink" Target="http://csr.bu.edu/ftp/asl/asllvd/demos/verify_start_end_handshape_annotations//test_auto_move//signs_mov/628_5643_merged.mov" TargetMode="External"/><Relationship Id="rId6032" Type="http://schemas.openxmlformats.org/officeDocument/2006/relationships/hyperlink" Target="http://csr.bu.edu/ftp/asl/asllvd/demos/verify_start_end_handshape_annotations//test_auto_move//signs_mov_separ_signers/Tyler_628.mov" TargetMode="External"/><Relationship Id="rId6033" Type="http://schemas.openxmlformats.org/officeDocument/2006/relationships/hyperlink" Target="http://secrets.rutgers.edu:8080/data/asl-ftp/asllvd/demos/verify_start_end_handshape_annotations//test_auto_move//signs_mov/628_5643_merged.mov" TargetMode="External"/><Relationship Id="rId6034" Type="http://schemas.openxmlformats.org/officeDocument/2006/relationships/hyperlink" Target="http://secrets.rutgers.edu:8080/data/asl-ftp/asllvd/demos/verify_start_end_handshape_annotations//test_auto_move//signs_mov_separ_signers/Tyler_628.mov" TargetMode="External"/><Relationship Id="rId6035" Type="http://schemas.openxmlformats.org/officeDocument/2006/relationships/hyperlink" Target="http://csr.bu.edu/ftp/asl/asllvd/demos/verify_start_end_handshape_annotations//test_auto_move//signs_mov_separ_signers/Brady_628.mov" TargetMode="External"/><Relationship Id="rId6036" Type="http://schemas.openxmlformats.org/officeDocument/2006/relationships/hyperlink" Target="http://secrets.rutgers.edu:8080/data/asl-ftp/asllvd/demos/verify_start_end_handshape_annotations//test_auto_move//signs_mov_separ_signers/Brady_628.mov" TargetMode="External"/><Relationship Id="rId6037" Type="http://schemas.openxmlformats.org/officeDocument/2006/relationships/hyperlink" Target="http://csr.bu.edu/ftp/asl/asllvd/demos/verify_start_end_handshape_annotations//test_auto_move//signs_mov_separ_signers/Brady_5643.mov" TargetMode="External"/><Relationship Id="rId6038" Type="http://schemas.openxmlformats.org/officeDocument/2006/relationships/hyperlink" Target="http://secrets.rutgers.edu:8080/data/asl-ftp/asllvd/demos/verify_start_end_handshape_annotations//test_auto_move//signs_mov_separ_signers/Brady_5643.mov" TargetMode="External"/><Relationship Id="rId6039" Type="http://schemas.openxmlformats.org/officeDocument/2006/relationships/hyperlink" Target="http://csr.bu.edu/ftp/asl/asllvd/demos/verify_start_end_handshape_annotations//test_auto_move//signs_mov/15358.mov" TargetMode="External"/><Relationship Id="rId6040" Type="http://schemas.openxmlformats.org/officeDocument/2006/relationships/hyperlink" Target="http://csr.bu.edu/ftp/asl/asllvd/demos/verify_start_end_handshape_annotations//test_auto_move//signs_mov_separ_signers/Liz_15358.mov" TargetMode="External"/><Relationship Id="rId6041" Type="http://schemas.openxmlformats.org/officeDocument/2006/relationships/hyperlink" Target="http://secrets.rutgers.edu:8080/data/asl-ftp/asllvd/demos/verify_start_end_handshape_annotations//test_auto_move//signs_mov/15358.mov" TargetMode="External"/><Relationship Id="rId6042" Type="http://schemas.openxmlformats.org/officeDocument/2006/relationships/hyperlink" Target="http://secrets.rutgers.edu:8080/data/asl-ftp/asllvd/demos/verify_start_end_handshape_annotations//test_auto_move//signs_mov_separ_signers/Liz_15358.mov" TargetMode="External"/><Relationship Id="rId6043" Type="http://schemas.openxmlformats.org/officeDocument/2006/relationships/hyperlink" Target="http://csr.bu.edu/ftp/asl/asllvd/demos/verify_start_end_handshape_annotations//test_auto_move//signs_mov_separ_signers/Naomi_15358.mov" TargetMode="External"/><Relationship Id="rId6044" Type="http://schemas.openxmlformats.org/officeDocument/2006/relationships/hyperlink" Target="http://secrets.rutgers.edu:8080/data/asl-ftp/asllvd/demos/verify_start_end_handshape_annotations//test_auto_move//signs_mov_separ_signers/Naomi_15358.mov" TargetMode="External"/><Relationship Id="rId6045" Type="http://schemas.openxmlformats.org/officeDocument/2006/relationships/hyperlink" Target="http://csr.bu.edu/ftp/asl/asllvd/demos/verify_start_end_handshape_annotations//test_auto_move//signs_mov/16136.mov" TargetMode="External"/><Relationship Id="rId6046" Type="http://schemas.openxmlformats.org/officeDocument/2006/relationships/hyperlink" Target="http://csr.bu.edu/ftp/asl/asllvd/demos/verify_start_end_handshape_annotations//test_auto_move//signs_mov_separ_signers/Liz_16136.mov" TargetMode="External"/><Relationship Id="rId6047" Type="http://schemas.openxmlformats.org/officeDocument/2006/relationships/hyperlink" Target="http://secrets.rutgers.edu:8080/data/asl-ftp/asllvd/demos/verify_start_end_handshape_annotations//test_auto_move//signs_mov/16136.mov" TargetMode="External"/><Relationship Id="rId6048" Type="http://schemas.openxmlformats.org/officeDocument/2006/relationships/hyperlink" Target="http://secrets.rutgers.edu:8080/data/asl-ftp/asllvd/demos/verify_start_end_handshape_annotations//test_auto_move//signs_mov_separ_signers/Liz_16136.mov" TargetMode="External"/><Relationship Id="rId6049" Type="http://schemas.openxmlformats.org/officeDocument/2006/relationships/hyperlink" Target="http://csr.bu.edu/ftp/asl/asllvd/demos/verify_start_end_handshape_annotations//test_auto_move//signs_mov_separ_signers/Tyler_16137.mov" TargetMode="External"/><Relationship Id="rId6050" Type="http://schemas.openxmlformats.org/officeDocument/2006/relationships/hyperlink" Target="http://secrets.rutgers.edu:8080/data/asl-ftp/asllvd/demos/verify_start_end_handshape_annotations//test_auto_move//signs_mov_separ_signers/Tyler_16137.mov" TargetMode="External"/><Relationship Id="rId6051" Type="http://schemas.openxmlformats.org/officeDocument/2006/relationships/hyperlink" Target="http://csr.bu.edu/ftp/asl/asllvd/demos/verify_start_end_handshape_annotations//test_auto_move//signs_mov/16137.mov" TargetMode="External"/><Relationship Id="rId6052" Type="http://schemas.openxmlformats.org/officeDocument/2006/relationships/hyperlink" Target="http://csr.bu.edu/ftp/asl/asllvd/demos/verify_start_end_handshape_annotations//test_auto_move//signs_mov_separ_signers/Naomi_16137.mov" TargetMode="External"/><Relationship Id="rId6053" Type="http://schemas.openxmlformats.org/officeDocument/2006/relationships/hyperlink" Target="http://secrets.rutgers.edu:8080/data/asl-ftp/asllvd/demos/verify_start_end_handshape_annotations//test_auto_move//signs_mov/16137.mov" TargetMode="External"/><Relationship Id="rId6054" Type="http://schemas.openxmlformats.org/officeDocument/2006/relationships/hyperlink" Target="http://secrets.rutgers.edu:8080/data/asl-ftp/asllvd/demos/verify_start_end_handshape_annotations//test_auto_move//signs_mov_separ_signers/Naomi_16137.mov" TargetMode="External"/><Relationship Id="rId6055" Type="http://schemas.openxmlformats.org/officeDocument/2006/relationships/hyperlink" Target="http://csr.bu.edu/ftp/asl/asllvd/demos/verify_start_end_handshape_annotations//test_auto_move//signs_mov_separ_signers/Brady_16137.mov" TargetMode="External"/><Relationship Id="rId6056" Type="http://schemas.openxmlformats.org/officeDocument/2006/relationships/hyperlink" Target="http://secrets.rutgers.edu:8080/data/asl-ftp/asllvd/demos/verify_start_end_handshape_annotations//test_auto_move//signs_mov_separ_signers/Brady_16137.mov" TargetMode="External"/><Relationship Id="rId6057" Type="http://schemas.openxmlformats.org/officeDocument/2006/relationships/hyperlink" Target="http://csr.bu.edu/ftp/asl/asllvd/demos/verify_start_end_handshape_annotations//test_auto_move//signs_mov/16145.mov" TargetMode="External"/><Relationship Id="rId6058" Type="http://schemas.openxmlformats.org/officeDocument/2006/relationships/hyperlink" Target="http://csr.bu.edu/ftp/asl/asllvd/demos/verify_start_end_handshape_annotations//test_auto_move//signs_mov_separ_signers/Liz_16145.mov" TargetMode="External"/><Relationship Id="rId6059" Type="http://schemas.openxmlformats.org/officeDocument/2006/relationships/hyperlink" Target="http://secrets.rutgers.edu:8080/data/asl-ftp/asllvd/demos/verify_start_end_handshape_annotations//test_auto_move//signs_mov/16145.mov" TargetMode="External"/><Relationship Id="rId6060" Type="http://schemas.openxmlformats.org/officeDocument/2006/relationships/hyperlink" Target="http://secrets.rutgers.edu:8080/data/asl-ftp/asllvd/demos/verify_start_end_handshape_annotations//test_auto_move//signs_mov_separ_signers/Liz_16145.mov" TargetMode="External"/><Relationship Id="rId6061" Type="http://schemas.openxmlformats.org/officeDocument/2006/relationships/hyperlink" Target="http://csr.bu.edu/ftp/asl/asllvd/demos/verify_start_end_handshape_annotations//test_auto_move//signs_mov_separ_signers/Liz_16320.mov" TargetMode="External"/><Relationship Id="rId6062" Type="http://schemas.openxmlformats.org/officeDocument/2006/relationships/hyperlink" Target="http://secrets.rutgers.edu:8080/data/asl-ftp/asllvd/demos/verify_start_end_handshape_annotations//test_auto_move//signs_mov_separ_signers/Liz_16320.mov" TargetMode="External"/><Relationship Id="rId6063" Type="http://schemas.openxmlformats.org/officeDocument/2006/relationships/hyperlink" Target="http://csr.bu.edu/ftp/asl/asllvd/demos/verify_start_end_handshape_annotations//test_auto_move//signs_mov/16320_16321_merged.mov" TargetMode="External"/><Relationship Id="rId6064" Type="http://schemas.openxmlformats.org/officeDocument/2006/relationships/hyperlink" Target="http://csr.bu.edu/ftp/asl/asllvd/demos/verify_start_end_handshape_annotations//test_auto_move//signs_mov_separ_signers/Brady_16320.mov" TargetMode="External"/><Relationship Id="rId6065" Type="http://schemas.openxmlformats.org/officeDocument/2006/relationships/hyperlink" Target="http://secrets.rutgers.edu:8080/data/asl-ftp/asllvd/demos/verify_start_end_handshape_annotations//test_auto_move//signs_mov/16320_16321_merged.mov" TargetMode="External"/><Relationship Id="rId6066" Type="http://schemas.openxmlformats.org/officeDocument/2006/relationships/hyperlink" Target="http://secrets.rutgers.edu:8080/data/asl-ftp/asllvd/demos/verify_start_end_handshape_annotations//test_auto_move//signs_mov_separ_signers/Brady_16320.mov" TargetMode="External"/><Relationship Id="rId6067" Type="http://schemas.openxmlformats.org/officeDocument/2006/relationships/hyperlink" Target="http://csr.bu.edu/ftp/asl/asllvd/demos/verify_start_end_handshape_annotations//test_auto_move//signs_mov_separ_signers/Brady_16321.mov" TargetMode="External"/><Relationship Id="rId6068" Type="http://schemas.openxmlformats.org/officeDocument/2006/relationships/hyperlink" Target="http://secrets.rutgers.edu:8080/data/asl-ftp/asllvd/demos/verify_start_end_handshape_annotations//test_auto_move//signs_mov_separ_signers/Brady_16321.mov" TargetMode="External"/><Relationship Id="rId6069" Type="http://schemas.openxmlformats.org/officeDocument/2006/relationships/hyperlink" Target="http://csr.bu.edu/ftp/asl/asllvd/demos/verify_start_end_handshape_annotations//test_auto_move//signs_mov_separ_signers/Liz_632.mov" TargetMode="External"/><Relationship Id="rId6070" Type="http://schemas.openxmlformats.org/officeDocument/2006/relationships/hyperlink" Target="http://secrets.rutgers.edu:8080/data/asl-ftp/asllvd/demos/verify_start_end_handshape_annotations//test_auto_move//signs_mov_separ_signers/Liz_632.mov" TargetMode="External"/><Relationship Id="rId6071" Type="http://schemas.openxmlformats.org/officeDocument/2006/relationships/hyperlink" Target="http://csr.bu.edu/ftp/asl/asllvd/demos/verify_start_end_handshape_annotations//test_auto_move//signs_mov/632.mov" TargetMode="External"/><Relationship Id="rId6072" Type="http://schemas.openxmlformats.org/officeDocument/2006/relationships/hyperlink" Target="http://csr.bu.edu/ftp/asl/asllvd/demos/verify_start_end_handshape_annotations//test_auto_move//signs_mov_separ_signers/Tyler_632.mov" TargetMode="External"/><Relationship Id="rId6073" Type="http://schemas.openxmlformats.org/officeDocument/2006/relationships/hyperlink" Target="http://secrets.rutgers.edu:8080/data/asl-ftp/asllvd/demos/verify_start_end_handshape_annotations//test_auto_move//signs_mov/632.mov" TargetMode="External"/><Relationship Id="rId6074" Type="http://schemas.openxmlformats.org/officeDocument/2006/relationships/hyperlink" Target="http://secrets.rutgers.edu:8080/data/asl-ftp/asllvd/demos/verify_start_end_handshape_annotations//test_auto_move//signs_mov_separ_signers/Tyler_632.mov" TargetMode="External"/><Relationship Id="rId6075" Type="http://schemas.openxmlformats.org/officeDocument/2006/relationships/hyperlink" Target="http://csr.bu.edu/ftp/asl/asllvd/demos/verify_start_end_handshape_annotations//test_auto_move//signs_mov_separ_signers/Naomi_632.mov" TargetMode="External"/><Relationship Id="rId6076" Type="http://schemas.openxmlformats.org/officeDocument/2006/relationships/hyperlink" Target="http://secrets.rutgers.edu:8080/data/asl-ftp/asllvd/demos/verify_start_end_handshape_annotations//test_auto_move//signs_mov_separ_signers/Naomi_632.mov" TargetMode="External"/><Relationship Id="rId6077" Type="http://schemas.openxmlformats.org/officeDocument/2006/relationships/hyperlink" Target="http://csr.bu.edu/ftp/asl/asllvd/demos/verify_start_end_handshape_annotations//test_auto_move//signs_mov_separ_signers/Liz_633.mov" TargetMode="External"/><Relationship Id="rId6078" Type="http://schemas.openxmlformats.org/officeDocument/2006/relationships/hyperlink" Target="http://secrets.rutgers.edu:8080/data/asl-ftp/asllvd/demos/verify_start_end_handshape_annotations//test_auto_move//signs_mov_separ_signers/Liz_633.mov" TargetMode="External"/><Relationship Id="rId6079" Type="http://schemas.openxmlformats.org/officeDocument/2006/relationships/hyperlink" Target="http://csr.bu.edu/ftp/asl/asllvd/demos/verify_start_end_handshape_annotations//test_auto_move//signs_mov/633.mov" TargetMode="External"/><Relationship Id="rId6080" Type="http://schemas.openxmlformats.org/officeDocument/2006/relationships/hyperlink" Target="http://csr.bu.edu/ftp/asl/asllvd/demos/verify_start_end_handshape_annotations//test_auto_move//signs_mov_separ_signers/Tyler_633.mov" TargetMode="External"/><Relationship Id="rId6081" Type="http://schemas.openxmlformats.org/officeDocument/2006/relationships/hyperlink" Target="http://secrets.rutgers.edu:8080/data/asl-ftp/asllvd/demos/verify_start_end_handshape_annotations//test_auto_move//signs_mov/633.mov" TargetMode="External"/><Relationship Id="rId6082" Type="http://schemas.openxmlformats.org/officeDocument/2006/relationships/hyperlink" Target="http://secrets.rutgers.edu:8080/data/asl-ftp/asllvd/demos/verify_start_end_handshape_annotations//test_auto_move//signs_mov_separ_signers/Tyler_633.mov" TargetMode="External"/><Relationship Id="rId6083" Type="http://schemas.openxmlformats.org/officeDocument/2006/relationships/hyperlink" Target="http://csr.bu.edu/ftp/asl/asllvd/demos/verify_start_end_handshape_annotations//test_auto_move//signs_mov_separ_signers/Naomi_633.mov" TargetMode="External"/><Relationship Id="rId6084" Type="http://schemas.openxmlformats.org/officeDocument/2006/relationships/hyperlink" Target="http://secrets.rutgers.edu:8080/data/asl-ftp/asllvd/demos/verify_start_end_handshape_annotations//test_auto_move//signs_mov_separ_signers/Naomi_633.mov" TargetMode="External"/><Relationship Id="rId6085" Type="http://schemas.openxmlformats.org/officeDocument/2006/relationships/hyperlink" Target="http://csr.bu.edu/ftp/asl/asllvd/demos/verify_start_end_handshape_annotations//test_auto_move//signs_mov_separ_signers/Brady_633.mov" TargetMode="External"/><Relationship Id="rId6086" Type="http://schemas.openxmlformats.org/officeDocument/2006/relationships/hyperlink" Target="http://secrets.rutgers.edu:8080/data/asl-ftp/asllvd/demos/verify_start_end_handshape_annotations//test_auto_move//signs_mov_separ_signers/Brady_633.mov" TargetMode="External"/><Relationship Id="rId6087" Type="http://schemas.openxmlformats.org/officeDocument/2006/relationships/hyperlink" Target="http://csr.bu.edu/ftp/asl/asllvd/demos/verify_start_end_handshape_annotations//test_auto_move//signs_mov/15550.mov" TargetMode="External"/><Relationship Id="rId6088" Type="http://schemas.openxmlformats.org/officeDocument/2006/relationships/hyperlink" Target="http://csr.bu.edu/ftp/asl/asllvd/demos/verify_start_end_handshape_annotations//test_auto_move//signs_mov_separ_signers/Liz_15550.mov" TargetMode="External"/><Relationship Id="rId6089" Type="http://schemas.openxmlformats.org/officeDocument/2006/relationships/hyperlink" Target="http://secrets.rutgers.edu:8080/data/asl-ftp/asllvd/demos/verify_start_end_handshape_annotations//test_auto_move//signs_mov/15550.mov" TargetMode="External"/><Relationship Id="rId6090" Type="http://schemas.openxmlformats.org/officeDocument/2006/relationships/hyperlink" Target="http://secrets.rutgers.edu:8080/data/asl-ftp/asllvd/demos/verify_start_end_handshape_annotations//test_auto_move//signs_mov_separ_signers/Liz_15550.mov" TargetMode="External"/><Relationship Id="rId6091" Type="http://schemas.openxmlformats.org/officeDocument/2006/relationships/hyperlink" Target="http://csr.bu.edu/ftp/asl/asllvd/demos/verify_start_end_handshape_annotations//test_auto_move//signs_mov_separ_signers/Brady_15550.mov" TargetMode="External"/><Relationship Id="rId6092" Type="http://schemas.openxmlformats.org/officeDocument/2006/relationships/hyperlink" Target="http://secrets.rutgers.edu:8080/data/asl-ftp/asllvd/demos/verify_start_end_handshape_annotations//test_auto_move//signs_mov_separ_signers/Brady_15550.mov" TargetMode="External"/><Relationship Id="rId6093" Type="http://schemas.openxmlformats.org/officeDocument/2006/relationships/hyperlink" Target="http://csr.bu.edu/ftp/asl/asllvd/demos/verify_start_end_handshape_annotations//test_auto_move//signs_mov_separ_signers/Liz_634.mov" TargetMode="External"/><Relationship Id="rId6094" Type="http://schemas.openxmlformats.org/officeDocument/2006/relationships/hyperlink" Target="http://secrets.rutgers.edu:8080/data/asl-ftp/asllvd/demos/verify_start_end_handshape_annotations//test_auto_move//signs_mov_separ_signers/Liz_634.mov" TargetMode="External"/><Relationship Id="rId6095" Type="http://schemas.openxmlformats.org/officeDocument/2006/relationships/hyperlink" Target="http://csr.bu.edu/ftp/asl/asllvd/demos/verify_start_end_handshape_annotations//test_auto_move//signs_mov_separ_signers/Tyler_634.mov" TargetMode="External"/><Relationship Id="rId6096" Type="http://schemas.openxmlformats.org/officeDocument/2006/relationships/hyperlink" Target="http://secrets.rutgers.edu:8080/data/asl-ftp/asllvd/demos/verify_start_end_handshape_annotations//test_auto_move//signs_mov_separ_signers/Tyler_634.mov" TargetMode="External"/><Relationship Id="rId6097" Type="http://schemas.openxmlformats.org/officeDocument/2006/relationships/hyperlink" Target="http://csr.bu.edu/ftp/asl/asllvd/demos/verify_start_end_handshape_annotations//test_auto_move//signs_mov/634_3378_merged.mov" TargetMode="External"/><Relationship Id="rId6098" Type="http://schemas.openxmlformats.org/officeDocument/2006/relationships/hyperlink" Target="http://csr.bu.edu/ftp/asl/asllvd/demos/verify_start_end_handshape_annotations//test_auto_move//signs_mov_separ_signers/Tyler_3378.mov" TargetMode="External"/><Relationship Id="rId6099" Type="http://schemas.openxmlformats.org/officeDocument/2006/relationships/hyperlink" Target="http://secrets.rutgers.edu:8080/data/asl-ftp/asllvd/demos/verify_start_end_handshape_annotations//test_auto_move//signs_mov/634_3378_merged.mov" TargetMode="External"/><Relationship Id="rId6100" Type="http://schemas.openxmlformats.org/officeDocument/2006/relationships/hyperlink" Target="http://secrets.rutgers.edu:8080/data/asl-ftp/asllvd/demos/verify_start_end_handshape_annotations//test_auto_move//signs_mov_separ_signers/Tyler_3378.mov" TargetMode="External"/><Relationship Id="rId6101" Type="http://schemas.openxmlformats.org/officeDocument/2006/relationships/hyperlink" Target="http://csr.bu.edu/ftp/asl/asllvd/demos/verify_start_end_handshape_annotations//test_auto_move//signs_mov_separ_signers/Naomi_634.mov" TargetMode="External"/><Relationship Id="rId6102" Type="http://schemas.openxmlformats.org/officeDocument/2006/relationships/hyperlink" Target="http://secrets.rutgers.edu:8080/data/asl-ftp/asllvd/demos/verify_start_end_handshape_annotations//test_auto_move//signs_mov_separ_signers/Naomi_634.mov" TargetMode="External"/><Relationship Id="rId6103" Type="http://schemas.openxmlformats.org/officeDocument/2006/relationships/hyperlink" Target="http://csr.bu.edu/ftp/asl/asllvd/demos/verify_start_end_handshape_annotations//test_auto_move//signs_mov_separ_signers/Brady_634.mov" TargetMode="External"/><Relationship Id="rId6104" Type="http://schemas.openxmlformats.org/officeDocument/2006/relationships/hyperlink" Target="http://secrets.rutgers.edu:8080/data/asl-ftp/asllvd/demos/verify_start_end_handshape_annotations//test_auto_move//signs_mov_separ_signers/Brady_634.mov" TargetMode="External"/><Relationship Id="rId6105" Type="http://schemas.openxmlformats.org/officeDocument/2006/relationships/hyperlink" Target="http://csr.bu.edu/ftp/asl/asllvd/demos/verify_start_end_handshape_annotations//test_auto_move//signs_mov_separ_signers/Brady_3378.mov" TargetMode="External"/><Relationship Id="rId6106" Type="http://schemas.openxmlformats.org/officeDocument/2006/relationships/hyperlink" Target="http://secrets.rutgers.edu:8080/data/asl-ftp/asllvd/demos/verify_start_end_handshape_annotations//test_auto_move//signs_mov_separ_signers/Brady_3378.mov" TargetMode="External"/><Relationship Id="rId6107" Type="http://schemas.openxmlformats.org/officeDocument/2006/relationships/hyperlink" Target="http://csr.bu.edu/ftp/asl/asllvd/demos/verify_start_end_handshape_annotations//test_auto_move//signs_mov/3478.mov" TargetMode="External"/><Relationship Id="rId6108" Type="http://schemas.openxmlformats.org/officeDocument/2006/relationships/hyperlink" Target="http://csr.bu.edu/ftp/asl/asllvd/demos/verify_start_end_handshape_annotations//test_auto_move//signs_mov_separ_signers/Brady_3478.mov" TargetMode="External"/><Relationship Id="rId6109" Type="http://schemas.openxmlformats.org/officeDocument/2006/relationships/hyperlink" Target="http://secrets.rutgers.edu:8080/data/asl-ftp/asllvd/demos/verify_start_end_handshape_annotations//test_auto_move//signs_mov/3478.mov" TargetMode="External"/><Relationship Id="rId6110" Type="http://schemas.openxmlformats.org/officeDocument/2006/relationships/hyperlink" Target="http://secrets.rutgers.edu:8080/data/asl-ftp/asllvd/demos/verify_start_end_handshape_annotations//test_auto_move//signs_mov_separ_signers/Brady_3478.mov" TargetMode="External"/><Relationship Id="rId6111" Type="http://schemas.openxmlformats.org/officeDocument/2006/relationships/hyperlink" Target="http://csr.bu.edu/ftp/asl/asllvd/demos/verify_start_end_handshape_annotations//test_auto_move//signs_mov_separ_signers/Liz_3543.mov" TargetMode="External"/><Relationship Id="rId6112" Type="http://schemas.openxmlformats.org/officeDocument/2006/relationships/hyperlink" Target="http://secrets.rutgers.edu:8080/data/asl-ftp/asllvd/demos/verify_start_end_handshape_annotations//test_auto_move//signs_mov_separ_signers/Liz_3543.mov" TargetMode="External"/><Relationship Id="rId6113" Type="http://schemas.openxmlformats.org/officeDocument/2006/relationships/hyperlink" Target="http://csr.bu.edu/ftp/asl/asllvd/demos/verify_start_end_handshape_annotations//test_auto_move//signs_mov/3543_3757_merged.mov" TargetMode="External"/><Relationship Id="rId6114" Type="http://schemas.openxmlformats.org/officeDocument/2006/relationships/hyperlink" Target="http://csr.bu.edu/ftp/asl/asllvd/demos/verify_start_end_handshape_annotations//test_auto_move//signs_mov_separ_signers/Liz_3757.mov" TargetMode="External"/><Relationship Id="rId6115" Type="http://schemas.openxmlformats.org/officeDocument/2006/relationships/hyperlink" Target="http://secrets.rutgers.edu:8080/data/asl-ftp/asllvd/demos/verify_start_end_handshape_annotations//test_auto_move//signs_mov/3543_3757_merged.mov" TargetMode="External"/><Relationship Id="rId6116" Type="http://schemas.openxmlformats.org/officeDocument/2006/relationships/hyperlink" Target="http://secrets.rutgers.edu:8080/data/asl-ftp/asllvd/demos/verify_start_end_handshape_annotations//test_auto_move//signs_mov_separ_signers/Liz_3757.mov" TargetMode="External"/><Relationship Id="rId6117" Type="http://schemas.openxmlformats.org/officeDocument/2006/relationships/hyperlink" Target="http://csr.bu.edu/ftp/asl/asllvd/demos/verify_start_end_handshape_annotations//test_auto_move//signs_mov_separ_signers/Brady_3543.mov" TargetMode="External"/><Relationship Id="rId6118" Type="http://schemas.openxmlformats.org/officeDocument/2006/relationships/hyperlink" Target="http://secrets.rutgers.edu:8080/data/asl-ftp/asllvd/demos/verify_start_end_handshape_annotations//test_auto_move//signs_mov_separ_signers/Brady_3543.mov" TargetMode="External"/><Relationship Id="rId6119" Type="http://schemas.openxmlformats.org/officeDocument/2006/relationships/hyperlink" Target="http://csr.bu.edu/ftp/asl/asllvd/demos/verify_start_end_handshape_annotations//test_auto_move//signs_mov_separ_signers/Brady_3757.mov" TargetMode="External"/><Relationship Id="rId6120" Type="http://schemas.openxmlformats.org/officeDocument/2006/relationships/hyperlink" Target="http://secrets.rutgers.edu:8080/data/asl-ftp/asllvd/demos/verify_start_end_handshape_annotations//test_auto_move//signs_mov_separ_signers/Brady_3757.mov" TargetMode="External"/><Relationship Id="rId6121" Type="http://schemas.openxmlformats.org/officeDocument/2006/relationships/hyperlink" Target="http://csr.bu.edu/ftp/asl/asllvd/demos/verify_start_end_handshape_annotations//test_auto_move//signs_mov/5955.mov" TargetMode="External"/><Relationship Id="rId6122" Type="http://schemas.openxmlformats.org/officeDocument/2006/relationships/hyperlink" Target="http://csr.bu.edu/ftp/asl/asllvd/demos/verify_start_end_handshape_annotations//test_auto_move//signs_mov_separ_signers/Liz_5955.mov" TargetMode="External"/><Relationship Id="rId6123" Type="http://schemas.openxmlformats.org/officeDocument/2006/relationships/hyperlink" Target="http://secrets.rutgers.edu:8080/data/asl-ftp/asllvd/demos/verify_start_end_handshape_annotations//test_auto_move//signs_mov/5955.mov" TargetMode="External"/><Relationship Id="rId6124" Type="http://schemas.openxmlformats.org/officeDocument/2006/relationships/hyperlink" Target="http://secrets.rutgers.edu:8080/data/asl-ftp/asllvd/demos/verify_start_end_handshape_annotations//test_auto_move//signs_mov_separ_signers/Liz_5955.mov" TargetMode="External"/><Relationship Id="rId6125" Type="http://schemas.openxmlformats.org/officeDocument/2006/relationships/hyperlink" Target="http://csr.bu.edu/ftp/asl/asllvd/demos/verify_start_end_handshape_annotations//test_auto_move//signs_mov/16519.mov" TargetMode="External"/><Relationship Id="rId6126" Type="http://schemas.openxmlformats.org/officeDocument/2006/relationships/hyperlink" Target="http://csr.bu.edu/ftp/asl/asllvd/demos/verify_start_end_handshape_annotations//test_auto_move//signs_mov_separ_signers/Liz_16519.mov" TargetMode="External"/><Relationship Id="rId6127" Type="http://schemas.openxmlformats.org/officeDocument/2006/relationships/hyperlink" Target="http://secrets.rutgers.edu:8080/data/asl-ftp/asllvd/demos/verify_start_end_handshape_annotations//test_auto_move//signs_mov/16519.mov" TargetMode="External"/><Relationship Id="rId6128" Type="http://schemas.openxmlformats.org/officeDocument/2006/relationships/hyperlink" Target="http://secrets.rutgers.edu:8080/data/asl-ftp/asllvd/demos/verify_start_end_handshape_annotations//test_auto_move//signs_mov_separ_signers/Liz_16519.mov" TargetMode="External"/><Relationship Id="rId6129" Type="http://schemas.openxmlformats.org/officeDocument/2006/relationships/hyperlink" Target="http://csr.bu.edu/ftp/asl/asllvd/demos/verify_start_end_handshape_annotations//test_auto_move//signs_mov_separ_signers/Liz_635.mov" TargetMode="External"/><Relationship Id="rId6130" Type="http://schemas.openxmlformats.org/officeDocument/2006/relationships/hyperlink" Target="http://secrets.rutgers.edu:8080/data/asl-ftp/asllvd/demos/verify_start_end_handshape_annotations//test_auto_move//signs_mov_separ_signers/Liz_635.mov" TargetMode="External"/><Relationship Id="rId6131" Type="http://schemas.openxmlformats.org/officeDocument/2006/relationships/hyperlink" Target="http://csr.bu.edu/ftp/asl/asllvd/demos/verify_start_end_handshape_annotations//test_auto_move//signs_mov/635.mov" TargetMode="External"/><Relationship Id="rId6132" Type="http://schemas.openxmlformats.org/officeDocument/2006/relationships/hyperlink" Target="http://csr.bu.edu/ftp/asl/asllvd/demos/verify_start_end_handshape_annotations//test_auto_move//signs_mov_separ_signers/Tyler_635.mov" TargetMode="External"/><Relationship Id="rId6133" Type="http://schemas.openxmlformats.org/officeDocument/2006/relationships/hyperlink" Target="http://secrets.rutgers.edu:8080/data/asl-ftp/asllvd/demos/verify_start_end_handshape_annotations//test_auto_move//signs_mov/635.mov" TargetMode="External"/><Relationship Id="rId6134" Type="http://schemas.openxmlformats.org/officeDocument/2006/relationships/hyperlink" Target="http://secrets.rutgers.edu:8080/data/asl-ftp/asllvd/demos/verify_start_end_handshape_annotations//test_auto_move//signs_mov_separ_signers/Tyler_635.mov" TargetMode="External"/><Relationship Id="rId6135" Type="http://schemas.openxmlformats.org/officeDocument/2006/relationships/hyperlink" Target="http://csr.bu.edu/ftp/asl/asllvd/demos/verify_start_end_handshape_annotations//test_auto_move//signs_mov_separ_signers/Naomi_635.mov" TargetMode="External"/><Relationship Id="rId6136" Type="http://schemas.openxmlformats.org/officeDocument/2006/relationships/hyperlink" Target="http://secrets.rutgers.edu:8080/data/asl-ftp/asllvd/demos/verify_start_end_handshape_annotations//test_auto_move//signs_mov_separ_signers/Naomi_635.mov" TargetMode="External"/><Relationship Id="rId6137" Type="http://schemas.openxmlformats.org/officeDocument/2006/relationships/hyperlink" Target="http://csr.bu.edu/ftp/asl/asllvd/demos/verify_start_end_handshape_annotations//test_auto_move//signs_mov_separ_signers/Brady_635.mov" TargetMode="External"/><Relationship Id="rId6138" Type="http://schemas.openxmlformats.org/officeDocument/2006/relationships/hyperlink" Target="http://secrets.rutgers.edu:8080/data/asl-ftp/asllvd/demos/verify_start_end_handshape_annotations//test_auto_move//signs_mov_separ_signers/Brady_635.mov" TargetMode="External"/><Relationship Id="rId6139" Type="http://schemas.openxmlformats.org/officeDocument/2006/relationships/hyperlink" Target="http://csr.bu.edu/ftp/asl/asllvd/demos/verify_start_end_handshape_annotations//test_auto_move//signs_mov_separ_signers/Liz_639.mov" TargetMode="External"/><Relationship Id="rId6140" Type="http://schemas.openxmlformats.org/officeDocument/2006/relationships/hyperlink" Target="http://secrets.rutgers.edu:8080/data/asl-ftp/asllvd/demos/verify_start_end_handshape_annotations//test_auto_move//signs_mov_separ_signers/Liz_639.mov" TargetMode="External"/><Relationship Id="rId6141" Type="http://schemas.openxmlformats.org/officeDocument/2006/relationships/hyperlink" Target="http://csr.bu.edu/ftp/asl/asllvd/demos/verify_start_end_handshape_annotations//test_auto_move//signs_mov_separ_signers/Liz_3605.mov" TargetMode="External"/><Relationship Id="rId6142" Type="http://schemas.openxmlformats.org/officeDocument/2006/relationships/hyperlink" Target="http://secrets.rutgers.edu:8080/data/asl-ftp/asllvd/demos/verify_start_end_handshape_annotations//test_auto_move//signs_mov_separ_signers/Liz_3605.mov" TargetMode="External"/><Relationship Id="rId6143" Type="http://schemas.openxmlformats.org/officeDocument/2006/relationships/hyperlink" Target="http://csr.bu.edu/ftp/asl/asllvd/demos/verify_start_end_handshape_annotations//test_auto_move//signs_mov/639_3605_merged.mov" TargetMode="External"/><Relationship Id="rId6144" Type="http://schemas.openxmlformats.org/officeDocument/2006/relationships/hyperlink" Target="http://csr.bu.edu/ftp/asl/asllvd/demos/verify_start_end_handshape_annotations//test_auto_move//signs_mov_separ_signers/Tyler_639.mov" TargetMode="External"/><Relationship Id="rId6145" Type="http://schemas.openxmlformats.org/officeDocument/2006/relationships/hyperlink" Target="http://secrets.rutgers.edu:8080/data/asl-ftp/asllvd/demos/verify_start_end_handshape_annotations//test_auto_move//signs_mov/639_3605_merged.mov" TargetMode="External"/><Relationship Id="rId6146" Type="http://schemas.openxmlformats.org/officeDocument/2006/relationships/hyperlink" Target="http://secrets.rutgers.edu:8080/data/asl-ftp/asllvd/demos/verify_start_end_handshape_annotations//test_auto_move//signs_mov_separ_signers/Tyler_639.mov" TargetMode="External"/><Relationship Id="rId6147" Type="http://schemas.openxmlformats.org/officeDocument/2006/relationships/hyperlink" Target="http://csr.bu.edu/ftp/asl/asllvd/demos/verify_start_end_handshape_annotations//test_auto_move//signs_mov_separ_signers/Tyler_3605.mov" TargetMode="External"/><Relationship Id="rId6148" Type="http://schemas.openxmlformats.org/officeDocument/2006/relationships/hyperlink" Target="http://secrets.rutgers.edu:8080/data/asl-ftp/asllvd/demos/verify_start_end_handshape_annotations//test_auto_move//signs_mov_separ_signers/Tyler_3605.mov" TargetMode="External"/><Relationship Id="rId6149" Type="http://schemas.openxmlformats.org/officeDocument/2006/relationships/hyperlink" Target="http://csr.bu.edu/ftp/asl/asllvd/demos/verify_start_end_handshape_annotations//test_auto_move//signs_mov_separ_signers/Naomi_639.mov" TargetMode="External"/><Relationship Id="rId6150" Type="http://schemas.openxmlformats.org/officeDocument/2006/relationships/hyperlink" Target="http://secrets.rutgers.edu:8080/data/asl-ftp/asllvd/demos/verify_start_end_handshape_annotations//test_auto_move//signs_mov_separ_signers/Naomi_639.mov" TargetMode="External"/><Relationship Id="rId6151" Type="http://schemas.openxmlformats.org/officeDocument/2006/relationships/hyperlink" Target="http://csr.bu.edu/ftp/asl/asllvd/demos/verify_start_end_handshape_annotations//test_auto_move//signs_mov_separ_signers/Brady_639.mov" TargetMode="External"/><Relationship Id="rId6152" Type="http://schemas.openxmlformats.org/officeDocument/2006/relationships/hyperlink" Target="http://secrets.rutgers.edu:8080/data/asl-ftp/asllvd/demos/verify_start_end_handshape_annotations//test_auto_move//signs_mov_separ_signers/Brady_639.mov" TargetMode="External"/><Relationship Id="rId6153" Type="http://schemas.openxmlformats.org/officeDocument/2006/relationships/hyperlink" Target="http://csr.bu.edu/ftp/asl/asllvd/demos/verify_start_end_handshape_annotations//test_auto_move//signs_mov_separ_signers/Liz_641.mov" TargetMode="External"/><Relationship Id="rId6154" Type="http://schemas.openxmlformats.org/officeDocument/2006/relationships/hyperlink" Target="http://secrets.rutgers.edu:8080/data/asl-ftp/asllvd/demos/verify_start_end_handshape_annotations//test_auto_move//signs_mov_separ_signers/Liz_641.mov" TargetMode="External"/><Relationship Id="rId6155" Type="http://schemas.openxmlformats.org/officeDocument/2006/relationships/hyperlink" Target="http://csr.bu.edu/ftp/asl/asllvd/demos/verify_start_end_handshape_annotations//test_auto_move//signs_mov_separ_signers/Liz_15026.mov" TargetMode="External"/><Relationship Id="rId6156" Type="http://schemas.openxmlformats.org/officeDocument/2006/relationships/hyperlink" Target="http://secrets.rutgers.edu:8080/data/asl-ftp/asllvd/demos/verify_start_end_handshape_annotations//test_auto_move//signs_mov_separ_signers/Liz_15026.mov" TargetMode="External"/><Relationship Id="rId6157" Type="http://schemas.openxmlformats.org/officeDocument/2006/relationships/hyperlink" Target="http://csr.bu.edu/ftp/asl/asllvd/demos/verify_start_end_handshape_annotations//test_auto_move//signs_mov_separ_signers/Tyler_641.mov" TargetMode="External"/><Relationship Id="rId6158" Type="http://schemas.openxmlformats.org/officeDocument/2006/relationships/hyperlink" Target="http://secrets.rutgers.edu:8080/data/asl-ftp/asllvd/demos/verify_start_end_handshape_annotations//test_auto_move//signs_mov_separ_signers/Tyler_641.mov" TargetMode="External"/><Relationship Id="rId6159" Type="http://schemas.openxmlformats.org/officeDocument/2006/relationships/hyperlink" Target="http://csr.bu.edu/ftp/asl/asllvd/demos/verify_start_end_handshape_annotations//test_auto_move//signs_mov/641_15026_merged.mov" TargetMode="External"/><Relationship Id="rId6160" Type="http://schemas.openxmlformats.org/officeDocument/2006/relationships/hyperlink" Target="http://csr.bu.edu/ftp/asl/asllvd/demos/verify_start_end_handshape_annotations//test_auto_move//signs_mov_separ_signers/Naomi_641.mov" TargetMode="External"/><Relationship Id="rId6161" Type="http://schemas.openxmlformats.org/officeDocument/2006/relationships/hyperlink" Target="http://secrets.rutgers.edu:8080/data/asl-ftp/asllvd/demos/verify_start_end_handshape_annotations//test_auto_move//signs_mov/641_15026_merged.mov" TargetMode="External"/><Relationship Id="rId6162" Type="http://schemas.openxmlformats.org/officeDocument/2006/relationships/hyperlink" Target="http://secrets.rutgers.edu:8080/data/asl-ftp/asllvd/demos/verify_start_end_handshape_annotations//test_auto_move//signs_mov_separ_signers/Naomi_641.mov" TargetMode="External"/><Relationship Id="rId6163" Type="http://schemas.openxmlformats.org/officeDocument/2006/relationships/hyperlink" Target="http://csr.bu.edu/ftp/asl/asllvd/demos/verify_start_end_handshape_annotations//test_auto_move//signs_mov_separ_signers/Brady_641.mov" TargetMode="External"/><Relationship Id="rId6164" Type="http://schemas.openxmlformats.org/officeDocument/2006/relationships/hyperlink" Target="http://secrets.rutgers.edu:8080/data/asl-ftp/asllvd/demos/verify_start_end_handshape_annotations//test_auto_move//signs_mov_separ_signers/Brady_641.mov" TargetMode="External"/><Relationship Id="rId6165" Type="http://schemas.openxmlformats.org/officeDocument/2006/relationships/hyperlink" Target="http://csr.bu.edu/ftp/asl/asllvd/demos/verify_start_end_handshape_annotations//test_auto_move//signs_mov_separ_signers/Lana_641.mov" TargetMode="External"/><Relationship Id="rId6166" Type="http://schemas.openxmlformats.org/officeDocument/2006/relationships/hyperlink" Target="http://secrets.rutgers.edu:8080/data/asl-ftp/asllvd/demos/verify_start_end_handshape_annotations//test_auto_move//signs_mov_separ_signers/Lana_641.mov" TargetMode="External"/><Relationship Id="rId6167" Type="http://schemas.openxmlformats.org/officeDocument/2006/relationships/hyperlink" Target="http://csr.bu.edu/ftp/asl/asllvd/demos/verify_start_end_handshape_annotations//test_auto_move//signs_mov_separ_signers/Dana_641.mov" TargetMode="External"/><Relationship Id="rId6168" Type="http://schemas.openxmlformats.org/officeDocument/2006/relationships/hyperlink" Target="http://secrets.rutgers.edu:8080/data/asl-ftp/asllvd/demos/verify_start_end_handshape_annotations//test_auto_move//signs_mov_separ_signers/Dana_641.mov" TargetMode="External"/><Relationship Id="rId6169" Type="http://schemas.openxmlformats.org/officeDocument/2006/relationships/hyperlink" Target="http://csr.bu.edu/ftp/asl/asllvd/demos/verify_start_end_handshape_annotations//test_auto_move//signs_mov_separ_signers/Tyler_647.mov" TargetMode="External"/><Relationship Id="rId6170" Type="http://schemas.openxmlformats.org/officeDocument/2006/relationships/hyperlink" Target="http://secrets.rutgers.edu:8080/data/asl-ftp/asllvd/demos/verify_start_end_handshape_annotations//test_auto_move//signs_mov_separ_signers/Tyler_647.mov" TargetMode="External"/><Relationship Id="rId6171" Type="http://schemas.openxmlformats.org/officeDocument/2006/relationships/hyperlink" Target="http://csr.bu.edu/ftp/asl/asllvd/demos/verify_start_end_handshape_annotations//test_auto_move//signs_mov_separ_signers/Naomi_647.mov" TargetMode="External"/><Relationship Id="rId6172" Type="http://schemas.openxmlformats.org/officeDocument/2006/relationships/hyperlink" Target="http://secrets.rutgers.edu:8080/data/asl-ftp/asllvd/demos/verify_start_end_handshape_annotations//test_auto_move//signs_mov_separ_signers/Naomi_647.mov" TargetMode="External"/><Relationship Id="rId6173" Type="http://schemas.openxmlformats.org/officeDocument/2006/relationships/hyperlink" Target="http://csr.bu.edu/ftp/asl/asllvd/demos/verify_start_end_handshape_annotations//test_auto_move//signs_mov/647.mov" TargetMode="External"/><Relationship Id="rId6174" Type="http://schemas.openxmlformats.org/officeDocument/2006/relationships/hyperlink" Target="http://csr.bu.edu/ftp/asl/asllvd/demos/verify_start_end_handshape_annotations//test_auto_move//signs_mov_separ_signers/Brady_647.mov" TargetMode="External"/><Relationship Id="rId6175" Type="http://schemas.openxmlformats.org/officeDocument/2006/relationships/hyperlink" Target="http://secrets.rutgers.edu:8080/data/asl-ftp/asllvd/demos/verify_start_end_handshape_annotations//test_auto_move//signs_mov/647.mov" TargetMode="External"/><Relationship Id="rId6176" Type="http://schemas.openxmlformats.org/officeDocument/2006/relationships/hyperlink" Target="http://secrets.rutgers.edu:8080/data/asl-ftp/asllvd/demos/verify_start_end_handshape_annotations//test_auto_move//signs_mov_separ_signers/Brady_647.mov" TargetMode="External"/><Relationship Id="rId6177" Type="http://schemas.openxmlformats.org/officeDocument/2006/relationships/hyperlink" Target="http://csr.bu.edu/ftp/asl/asllvd/demos/verify_start_end_handshape_annotations//test_auto_move//signs_mov_separ_signers/Lana_647.mov" TargetMode="External"/><Relationship Id="rId6178" Type="http://schemas.openxmlformats.org/officeDocument/2006/relationships/hyperlink" Target="http://secrets.rutgers.edu:8080/data/asl-ftp/asllvd/demos/verify_start_end_handshape_annotations//test_auto_move//signs_mov_separ_signers/Lana_647.mov" TargetMode="External"/><Relationship Id="rId6179" Type="http://schemas.openxmlformats.org/officeDocument/2006/relationships/hyperlink" Target="http://csr.bu.edu/ftp/asl/asllvd/demos/verify_start_end_handshape_annotations//test_auto_move//signs_mov_separ_signers/Dana_647.mov" TargetMode="External"/><Relationship Id="rId6180" Type="http://schemas.openxmlformats.org/officeDocument/2006/relationships/hyperlink" Target="http://secrets.rutgers.edu:8080/data/asl-ftp/asllvd/demos/verify_start_end_handshape_annotations//test_auto_move//signs_mov_separ_signers/Dana_647.mov" TargetMode="External"/><Relationship Id="rId6181" Type="http://schemas.openxmlformats.org/officeDocument/2006/relationships/hyperlink" Target="http://csr.bu.edu/ftp/asl/asllvd/demos/verify_start_end_handshape_annotations//test_auto_move//signs_mov_separ_signers/Liz_653.mov" TargetMode="External"/><Relationship Id="rId6182" Type="http://schemas.openxmlformats.org/officeDocument/2006/relationships/hyperlink" Target="http://secrets.rutgers.edu:8080/data/asl-ftp/asllvd/demos/verify_start_end_handshape_annotations//test_auto_move//signs_mov_separ_signers/Liz_653.mov" TargetMode="External"/><Relationship Id="rId6183" Type="http://schemas.openxmlformats.org/officeDocument/2006/relationships/hyperlink" Target="http://csr.bu.edu/ftp/asl/asllvd/demos/verify_start_end_handshape_annotations//test_auto_move//signs_mov_separ_signers/Tyler_653.mov" TargetMode="External"/><Relationship Id="rId6184" Type="http://schemas.openxmlformats.org/officeDocument/2006/relationships/hyperlink" Target="http://secrets.rutgers.edu:8080/data/asl-ftp/asllvd/demos/verify_start_end_handshape_annotations//test_auto_move//signs_mov_separ_signers/Tyler_653.mov" TargetMode="External"/><Relationship Id="rId6185" Type="http://schemas.openxmlformats.org/officeDocument/2006/relationships/hyperlink" Target="http://csr.bu.edu/ftp/asl/asllvd/demos/verify_start_end_handshape_annotations//test_auto_move//signs_mov/653.mov" TargetMode="External"/><Relationship Id="rId6186" Type="http://schemas.openxmlformats.org/officeDocument/2006/relationships/hyperlink" Target="http://csr.bu.edu/ftp/asl/asllvd/demos/verify_start_end_handshape_annotations//test_auto_move//signs_mov_separ_signers/Naomi_653.mov" TargetMode="External"/><Relationship Id="rId6187" Type="http://schemas.openxmlformats.org/officeDocument/2006/relationships/hyperlink" Target="http://secrets.rutgers.edu:8080/data/asl-ftp/asllvd/demos/verify_start_end_handshape_annotations//test_auto_move//signs_mov/653.mov" TargetMode="External"/><Relationship Id="rId6188" Type="http://schemas.openxmlformats.org/officeDocument/2006/relationships/hyperlink" Target="http://secrets.rutgers.edu:8080/data/asl-ftp/asllvd/demos/verify_start_end_handshape_annotations//test_auto_move//signs_mov_separ_signers/Naomi_653.mov" TargetMode="External"/><Relationship Id="rId6189" Type="http://schemas.openxmlformats.org/officeDocument/2006/relationships/hyperlink" Target="http://csr.bu.edu/ftp/asl/asllvd/demos/verify_start_end_handshape_annotations//test_auto_move//signs_mov_separ_signers/Brady_653.mov" TargetMode="External"/><Relationship Id="rId6190" Type="http://schemas.openxmlformats.org/officeDocument/2006/relationships/hyperlink" Target="http://secrets.rutgers.edu:8080/data/asl-ftp/asllvd/demos/verify_start_end_handshape_annotations//test_auto_move//signs_mov_separ_signers/Brady_653.mov" TargetMode="External"/><Relationship Id="rId6191" Type="http://schemas.openxmlformats.org/officeDocument/2006/relationships/hyperlink" Target="http://csr.bu.edu/ftp/asl/asllvd/demos/verify_start_end_handshape_annotations//test_auto_move//signs_mov_separ_signers/Lana_653.mov" TargetMode="External"/><Relationship Id="rId6192" Type="http://schemas.openxmlformats.org/officeDocument/2006/relationships/hyperlink" Target="http://secrets.rutgers.edu:8080/data/asl-ftp/asllvd/demos/verify_start_end_handshape_annotations//test_auto_move//signs_mov_separ_signers/Lana_653.mov" TargetMode="External"/><Relationship Id="rId6193" Type="http://schemas.openxmlformats.org/officeDocument/2006/relationships/hyperlink" Target="http://csr.bu.edu/ftp/asl/asllvd/demos/verify_start_end_handshape_annotations//test_auto_move//signs_mov_separ_signers/Dana_653.mov" TargetMode="External"/><Relationship Id="rId6194" Type="http://schemas.openxmlformats.org/officeDocument/2006/relationships/hyperlink" Target="http://secrets.rutgers.edu:8080/data/asl-ftp/asllvd/demos/verify_start_end_handshape_annotations//test_auto_move//signs_mov_separ_signers/Dana_653.mov" TargetMode="External"/><Relationship Id="rId6195" Type="http://schemas.openxmlformats.org/officeDocument/2006/relationships/hyperlink" Target="http://csr.bu.edu/ftp/asl/asllvd/demos/verify_start_end_handshape_annotations//test_auto_move//signs_mov_separ_signers/Liz_654.mov" TargetMode="External"/><Relationship Id="rId6196" Type="http://schemas.openxmlformats.org/officeDocument/2006/relationships/hyperlink" Target="http://secrets.rutgers.edu:8080/data/asl-ftp/asllvd/demos/verify_start_end_handshape_annotations//test_auto_move//signs_mov_separ_signers/Liz_654.mov" TargetMode="External"/><Relationship Id="rId6197" Type="http://schemas.openxmlformats.org/officeDocument/2006/relationships/hyperlink" Target="http://csr.bu.edu/ftp/asl/asllvd/demos/verify_start_end_handshape_annotations//test_auto_move//signs_mov_separ_signers/Liz_3608.mov" TargetMode="External"/><Relationship Id="rId6198" Type="http://schemas.openxmlformats.org/officeDocument/2006/relationships/hyperlink" Target="http://secrets.rutgers.edu:8080/data/asl-ftp/asllvd/demos/verify_start_end_handshape_annotations//test_auto_move//signs_mov_separ_signers/Liz_3608.mov" TargetMode="External"/><Relationship Id="rId6199" Type="http://schemas.openxmlformats.org/officeDocument/2006/relationships/hyperlink" Target="http://csr.bu.edu/ftp/asl/asllvd/demos/verify_start_end_handshape_annotations//test_auto_move//signs_mov_separ_signers/Tyler_654.mov" TargetMode="External"/><Relationship Id="rId6200" Type="http://schemas.openxmlformats.org/officeDocument/2006/relationships/hyperlink" Target="http://secrets.rutgers.edu:8080/data/asl-ftp/asllvd/demos/verify_start_end_handshape_annotations//test_auto_move//signs_mov_separ_signers/Tyler_654.mov" TargetMode="External"/><Relationship Id="rId6201" Type="http://schemas.openxmlformats.org/officeDocument/2006/relationships/hyperlink" Target="http://csr.bu.edu/ftp/asl/asllvd/demos/verify_start_end_handshape_annotations//test_auto_move//signs_mov/654_3608_3848_merged.mov" TargetMode="External"/><Relationship Id="rId6202" Type="http://schemas.openxmlformats.org/officeDocument/2006/relationships/hyperlink" Target="http://csr.bu.edu/ftp/asl/asllvd/demos/verify_start_end_handshape_annotations//test_auto_move//signs_mov_separ_signers/Naomi_654.mov" TargetMode="External"/><Relationship Id="rId6203" Type="http://schemas.openxmlformats.org/officeDocument/2006/relationships/hyperlink" Target="http://secrets.rutgers.edu:8080/data/asl-ftp/asllvd/demos/verify_start_end_handshape_annotations//test_auto_move//signs_mov/654_3608_3848_merged.mov" TargetMode="External"/><Relationship Id="rId6204" Type="http://schemas.openxmlformats.org/officeDocument/2006/relationships/hyperlink" Target="http://secrets.rutgers.edu:8080/data/asl-ftp/asllvd/demos/verify_start_end_handshape_annotations//test_auto_move//signs_mov_separ_signers/Naomi_654.mov" TargetMode="External"/><Relationship Id="rId6205" Type="http://schemas.openxmlformats.org/officeDocument/2006/relationships/hyperlink" Target="http://csr.bu.edu/ftp/asl/asllvd/demos/verify_start_end_handshape_annotations//test_auto_move//signs_mov_separ_signers/Naomi_3608.mov" TargetMode="External"/><Relationship Id="rId6206" Type="http://schemas.openxmlformats.org/officeDocument/2006/relationships/hyperlink" Target="http://secrets.rutgers.edu:8080/data/asl-ftp/asllvd/demos/verify_start_end_handshape_annotations//test_auto_move//signs_mov_separ_signers/Naomi_3608.mov" TargetMode="External"/><Relationship Id="rId6207" Type="http://schemas.openxmlformats.org/officeDocument/2006/relationships/hyperlink" Target="http://csr.bu.edu/ftp/asl/asllvd/demos/verify_start_end_handshape_annotations//test_auto_move//signs_mov_separ_signers/Brady_654.mov" TargetMode="External"/><Relationship Id="rId6208" Type="http://schemas.openxmlformats.org/officeDocument/2006/relationships/hyperlink" Target="http://secrets.rutgers.edu:8080/data/asl-ftp/asllvd/demos/verify_start_end_handshape_annotations//test_auto_move//signs_mov_separ_signers/Brady_654.mov" TargetMode="External"/><Relationship Id="rId6209" Type="http://schemas.openxmlformats.org/officeDocument/2006/relationships/hyperlink" Target="http://csr.bu.edu/ftp/asl/asllvd/demos/verify_start_end_handshape_annotations//test_auto_move//signs_mov_separ_signers/Brady_3608.mov" TargetMode="External"/><Relationship Id="rId6210" Type="http://schemas.openxmlformats.org/officeDocument/2006/relationships/hyperlink" Target="http://secrets.rutgers.edu:8080/data/asl-ftp/asllvd/demos/verify_start_end_handshape_annotations//test_auto_move//signs_mov_separ_signers/Brady_3608.mov" TargetMode="External"/><Relationship Id="rId6211" Type="http://schemas.openxmlformats.org/officeDocument/2006/relationships/hyperlink" Target="http://csr.bu.edu/ftp/asl/asllvd/demos/verify_start_end_handshape_annotations//test_auto_move//signs_mov_separ_signers/Brady_3848.mov" TargetMode="External"/><Relationship Id="rId6212" Type="http://schemas.openxmlformats.org/officeDocument/2006/relationships/hyperlink" Target="http://secrets.rutgers.edu:8080/data/asl-ftp/asllvd/demos/verify_start_end_handshape_annotations//test_auto_move//signs_mov_separ_signers/Brady_3848.mov" TargetMode="External"/><Relationship Id="rId6213" Type="http://schemas.openxmlformats.org/officeDocument/2006/relationships/hyperlink" Target="http://csr.bu.edu/ftp/asl/asllvd/demos/verify_start_end_handshape_annotations//test_auto_move//signs_mov/5428.mov" TargetMode="External"/><Relationship Id="rId6214" Type="http://schemas.openxmlformats.org/officeDocument/2006/relationships/hyperlink" Target="http://csr.bu.edu/ftp/asl/asllvd/demos/verify_start_end_handshape_annotations//test_auto_move//signs_mov_separ_signers/Liz_5428.mov" TargetMode="External"/><Relationship Id="rId6215" Type="http://schemas.openxmlformats.org/officeDocument/2006/relationships/hyperlink" Target="http://secrets.rutgers.edu:8080/data/asl-ftp/asllvd/demos/verify_start_end_handshape_annotations//test_auto_move//signs_mov/5428.mov" TargetMode="External"/><Relationship Id="rId6216" Type="http://schemas.openxmlformats.org/officeDocument/2006/relationships/hyperlink" Target="http://secrets.rutgers.edu:8080/data/asl-ftp/asllvd/demos/verify_start_end_handshape_annotations//test_auto_move//signs_mov_separ_signers/Liz_5428.mov" TargetMode="External"/><Relationship Id="rId6217" Type="http://schemas.openxmlformats.org/officeDocument/2006/relationships/hyperlink" Target="http://csr.bu.edu/ftp/asl/asllvd/demos/verify_start_end_handshape_annotations//test_auto_move//signs_mov_separ_signers/Tyler_5428.mov" TargetMode="External"/><Relationship Id="rId6218" Type="http://schemas.openxmlformats.org/officeDocument/2006/relationships/hyperlink" Target="http://secrets.rutgers.edu:8080/data/asl-ftp/asllvd/demos/verify_start_end_handshape_annotations//test_auto_move//signs_mov_separ_signers/Tyler_5428.mov" TargetMode="External"/><Relationship Id="rId6219" Type="http://schemas.openxmlformats.org/officeDocument/2006/relationships/hyperlink" Target="http://csr.bu.edu/ftp/asl/asllvd/demos/verify_start_end_handshape_annotations//test_auto_move//signs_mov/657.mov" TargetMode="External"/><Relationship Id="rId6220" Type="http://schemas.openxmlformats.org/officeDocument/2006/relationships/hyperlink" Target="http://csr.bu.edu/ftp/asl/asllvd/demos/verify_start_end_handshape_annotations//test_auto_move//signs_mov_separ_signers/Naomi_657.mov" TargetMode="External"/><Relationship Id="rId6221" Type="http://schemas.openxmlformats.org/officeDocument/2006/relationships/hyperlink" Target="http://secrets.rutgers.edu:8080/data/asl-ftp/asllvd/demos/verify_start_end_handshape_annotations//test_auto_move//signs_mov/657.mov" TargetMode="External"/><Relationship Id="rId6222" Type="http://schemas.openxmlformats.org/officeDocument/2006/relationships/hyperlink" Target="http://secrets.rutgers.edu:8080/data/asl-ftp/asllvd/demos/verify_start_end_handshape_annotations//test_auto_move//signs_mov_separ_signers/Naomi_657.mov" TargetMode="External"/><Relationship Id="rId6223" Type="http://schemas.openxmlformats.org/officeDocument/2006/relationships/hyperlink" Target="http://csr.bu.edu/ftp/asl/asllvd/demos/verify_start_end_handshape_annotations//test_auto_move//signs_mov_separ_signers/Liz_659.mov" TargetMode="External"/><Relationship Id="rId6224" Type="http://schemas.openxmlformats.org/officeDocument/2006/relationships/hyperlink" Target="http://secrets.rutgers.edu:8080/data/asl-ftp/asllvd/demos/verify_start_end_handshape_annotations//test_auto_move//signs_mov_separ_signers/Liz_659.mov" TargetMode="External"/><Relationship Id="rId6225" Type="http://schemas.openxmlformats.org/officeDocument/2006/relationships/hyperlink" Target="http://csr.bu.edu/ftp/asl/asllvd/demos/verify_start_end_handshape_annotations//test_auto_move//signs_mov/659.mov" TargetMode="External"/><Relationship Id="rId6226" Type="http://schemas.openxmlformats.org/officeDocument/2006/relationships/hyperlink" Target="http://csr.bu.edu/ftp/asl/asllvd/demos/verify_start_end_handshape_annotations//test_auto_move//signs_mov_separ_signers/Tyler_659.mov" TargetMode="External"/><Relationship Id="rId6227" Type="http://schemas.openxmlformats.org/officeDocument/2006/relationships/hyperlink" Target="http://secrets.rutgers.edu:8080/data/asl-ftp/asllvd/demos/verify_start_end_handshape_annotations//test_auto_move//signs_mov/659.mov" TargetMode="External"/><Relationship Id="rId6228" Type="http://schemas.openxmlformats.org/officeDocument/2006/relationships/hyperlink" Target="http://secrets.rutgers.edu:8080/data/asl-ftp/asllvd/demos/verify_start_end_handshape_annotations//test_auto_move//signs_mov_separ_signers/Tyler_659.mov" TargetMode="External"/><Relationship Id="rId6229" Type="http://schemas.openxmlformats.org/officeDocument/2006/relationships/hyperlink" Target="http://csr.bu.edu/ftp/asl/asllvd/demos/verify_start_end_handshape_annotations//test_auto_move//signs_mov_separ_signers/Naomi_659.mov" TargetMode="External"/><Relationship Id="rId6230" Type="http://schemas.openxmlformats.org/officeDocument/2006/relationships/hyperlink" Target="http://secrets.rutgers.edu:8080/data/asl-ftp/asllvd/demos/verify_start_end_handshape_annotations//test_auto_move//signs_mov_separ_signers/Naomi_659.mov" TargetMode="External"/><Relationship Id="rId6231" Type="http://schemas.openxmlformats.org/officeDocument/2006/relationships/hyperlink" Target="http://csr.bu.edu/ftp/asl/asllvd/demos/verify_start_end_handshape_annotations//test_auto_move//signs_mov_separ_signers/Brady_659.mov" TargetMode="External"/><Relationship Id="rId6232" Type="http://schemas.openxmlformats.org/officeDocument/2006/relationships/hyperlink" Target="http://secrets.rutgers.edu:8080/data/asl-ftp/asllvd/demos/verify_start_end_handshape_annotations//test_auto_move//signs_mov_separ_signers/Brady_659.mov" TargetMode="External"/><Relationship Id="rId6233" Type="http://schemas.openxmlformats.org/officeDocument/2006/relationships/hyperlink" Target="http://csr.bu.edu/ftp/asl/asllvd/demos/verify_start_end_handshape_annotations//test_auto_move//signs_mov_separ_signers/Liz_15453.mov" TargetMode="External"/><Relationship Id="rId6234" Type="http://schemas.openxmlformats.org/officeDocument/2006/relationships/hyperlink" Target="http://secrets.rutgers.edu:8080/data/asl-ftp/asllvd/demos/verify_start_end_handshape_annotations//test_auto_move//signs_mov_separ_signers/Liz_15453.mov" TargetMode="External"/><Relationship Id="rId6235" Type="http://schemas.openxmlformats.org/officeDocument/2006/relationships/hyperlink" Target="http://csr.bu.edu/ftp/asl/asllvd/demos/verify_start_end_handshape_annotations//test_auto_move//signs_mov/15453.mov" TargetMode="External"/><Relationship Id="rId6236" Type="http://schemas.openxmlformats.org/officeDocument/2006/relationships/hyperlink" Target="http://csr.bu.edu/ftp/asl/asllvd/demos/verify_start_end_handshape_annotations//test_auto_move//signs_mov_separ_signers/Tyler_15453.mov" TargetMode="External"/><Relationship Id="rId6237" Type="http://schemas.openxmlformats.org/officeDocument/2006/relationships/hyperlink" Target="http://secrets.rutgers.edu:8080/data/asl-ftp/asllvd/demos/verify_start_end_handshape_annotations//test_auto_move//signs_mov/15453.mov" TargetMode="External"/><Relationship Id="rId6238" Type="http://schemas.openxmlformats.org/officeDocument/2006/relationships/hyperlink" Target="http://secrets.rutgers.edu:8080/data/asl-ftp/asllvd/demos/verify_start_end_handshape_annotations//test_auto_move//signs_mov_separ_signers/Tyler_15453.mov" TargetMode="External"/><Relationship Id="rId6239" Type="http://schemas.openxmlformats.org/officeDocument/2006/relationships/hyperlink" Target="http://csr.bu.edu/ftp/asl/asllvd/demos/verify_start_end_handshape_annotations//test_auto_move//signs_mov_separ_signers/Naomi_15453.mov" TargetMode="External"/><Relationship Id="rId6240" Type="http://schemas.openxmlformats.org/officeDocument/2006/relationships/hyperlink" Target="http://secrets.rutgers.edu:8080/data/asl-ftp/asllvd/demos/verify_start_end_handshape_annotations//test_auto_move//signs_mov_separ_signers/Naomi_15453.mov" TargetMode="External"/><Relationship Id="rId6241" Type="http://schemas.openxmlformats.org/officeDocument/2006/relationships/hyperlink" Target="http://csr.bu.edu/ftp/asl/asllvd/demos/verify_start_end_handshape_annotations//test_auto_move//signs_mov_separ_signers/Brady_15453.mov" TargetMode="External"/><Relationship Id="rId6242" Type="http://schemas.openxmlformats.org/officeDocument/2006/relationships/hyperlink" Target="http://secrets.rutgers.edu:8080/data/asl-ftp/asllvd/demos/verify_start_end_handshape_annotations//test_auto_move//signs_mov_separ_signers/Brady_15453.mov" TargetMode="External"/><Relationship Id="rId6243" Type="http://schemas.openxmlformats.org/officeDocument/2006/relationships/hyperlink" Target="http://csr.bu.edu/ftp/asl/asllvd/demos/verify_start_end_handshape_annotations//test_auto_move//signs_mov_separ_signers/Liz_662.mov" TargetMode="External"/><Relationship Id="rId6244" Type="http://schemas.openxmlformats.org/officeDocument/2006/relationships/hyperlink" Target="http://secrets.rutgers.edu:8080/data/asl-ftp/asllvd/demos/verify_start_end_handshape_annotations//test_auto_move//signs_mov_separ_signers/Liz_662.mov" TargetMode="External"/><Relationship Id="rId6245" Type="http://schemas.openxmlformats.org/officeDocument/2006/relationships/hyperlink" Target="http://csr.bu.edu/ftp/asl/asllvd/demos/verify_start_end_handshape_annotations//test_auto_move//signs_mov/662.mov" TargetMode="External"/><Relationship Id="rId6246" Type="http://schemas.openxmlformats.org/officeDocument/2006/relationships/hyperlink" Target="http://csr.bu.edu/ftp/asl/asllvd/demos/verify_start_end_handshape_annotations//test_auto_move//signs_mov_separ_signers/Tyler_662.mov" TargetMode="External"/><Relationship Id="rId6247" Type="http://schemas.openxmlformats.org/officeDocument/2006/relationships/hyperlink" Target="http://secrets.rutgers.edu:8080/data/asl-ftp/asllvd/demos/verify_start_end_handshape_annotations//test_auto_move//signs_mov/662.mov" TargetMode="External"/><Relationship Id="rId6248" Type="http://schemas.openxmlformats.org/officeDocument/2006/relationships/hyperlink" Target="http://secrets.rutgers.edu:8080/data/asl-ftp/asllvd/demos/verify_start_end_handshape_annotations//test_auto_move//signs_mov_separ_signers/Tyler_662.mov" TargetMode="External"/><Relationship Id="rId6249" Type="http://schemas.openxmlformats.org/officeDocument/2006/relationships/hyperlink" Target="http://csr.bu.edu/ftp/asl/asllvd/demos/verify_start_end_handshape_annotations//test_auto_move//signs_mov_separ_signers/Naomi_662.mov" TargetMode="External"/><Relationship Id="rId6250" Type="http://schemas.openxmlformats.org/officeDocument/2006/relationships/hyperlink" Target="http://secrets.rutgers.edu:8080/data/asl-ftp/asllvd/demos/verify_start_end_handshape_annotations//test_auto_move//signs_mov_separ_signers/Naomi_662.mov" TargetMode="External"/><Relationship Id="rId6251" Type="http://schemas.openxmlformats.org/officeDocument/2006/relationships/hyperlink" Target="http://csr.bu.edu/ftp/asl/asllvd/demos/verify_start_end_handshape_annotations//test_auto_move//signs_mov_separ_signers/Brady_662.mov" TargetMode="External"/><Relationship Id="rId6252" Type="http://schemas.openxmlformats.org/officeDocument/2006/relationships/hyperlink" Target="http://secrets.rutgers.edu:8080/data/asl-ftp/asllvd/demos/verify_start_end_handshape_annotations//test_auto_move//signs_mov_separ_signers/Brady_662.mov" TargetMode="External"/><Relationship Id="rId6253" Type="http://schemas.openxmlformats.org/officeDocument/2006/relationships/hyperlink" Target="http://csr.bu.edu/ftp/asl/asllvd/demos/verify_start_end_handshape_annotations//test_auto_move//signs_mov_separ_signers/Liz_666.mov" TargetMode="External"/><Relationship Id="rId6254" Type="http://schemas.openxmlformats.org/officeDocument/2006/relationships/hyperlink" Target="http://secrets.rutgers.edu:8080/data/asl-ftp/asllvd/demos/verify_start_end_handshape_annotations//test_auto_move//signs_mov_separ_signers/Liz_666.mov" TargetMode="External"/><Relationship Id="rId6255" Type="http://schemas.openxmlformats.org/officeDocument/2006/relationships/hyperlink" Target="http://csr.bu.edu/ftp/asl/asllvd/demos/verify_start_end_handshape_annotations//test_auto_move//signs_mov/666.mov" TargetMode="External"/><Relationship Id="rId6256" Type="http://schemas.openxmlformats.org/officeDocument/2006/relationships/hyperlink" Target="http://csr.bu.edu/ftp/asl/asllvd/demos/verify_start_end_handshape_annotations//test_auto_move//signs_mov_separ_signers/Tyler_666.mov" TargetMode="External"/><Relationship Id="rId6257" Type="http://schemas.openxmlformats.org/officeDocument/2006/relationships/hyperlink" Target="http://secrets.rutgers.edu:8080/data/asl-ftp/asllvd/demos/verify_start_end_handshape_annotations//test_auto_move//signs_mov/666.mov" TargetMode="External"/><Relationship Id="rId6258" Type="http://schemas.openxmlformats.org/officeDocument/2006/relationships/hyperlink" Target="http://secrets.rutgers.edu:8080/data/asl-ftp/asllvd/demos/verify_start_end_handshape_annotations//test_auto_move//signs_mov_separ_signers/Tyler_666.mov" TargetMode="External"/><Relationship Id="rId6259" Type="http://schemas.openxmlformats.org/officeDocument/2006/relationships/hyperlink" Target="http://csr.bu.edu/ftp/asl/asllvd/demos/verify_start_end_handshape_annotations//test_auto_move//signs_mov_separ_signers/Naomi_666.mov" TargetMode="External"/><Relationship Id="rId6260" Type="http://schemas.openxmlformats.org/officeDocument/2006/relationships/hyperlink" Target="http://secrets.rutgers.edu:8080/data/asl-ftp/asllvd/demos/verify_start_end_handshape_annotations//test_auto_move//signs_mov_separ_signers/Naomi_666.mov" TargetMode="External"/><Relationship Id="rId6261" Type="http://schemas.openxmlformats.org/officeDocument/2006/relationships/hyperlink" Target="http://csr.bu.edu/ftp/asl/asllvd/demos/verify_start_end_handshape_annotations//test_auto_move//signs_mov/16322.mov" TargetMode="External"/><Relationship Id="rId6262" Type="http://schemas.openxmlformats.org/officeDocument/2006/relationships/hyperlink" Target="http://csr.bu.edu/ftp/asl/asllvd/demos/verify_start_end_handshape_annotations//test_auto_move//signs_mov_separ_signers/Brady_16322.mov" TargetMode="External"/><Relationship Id="rId6263" Type="http://schemas.openxmlformats.org/officeDocument/2006/relationships/hyperlink" Target="http://secrets.rutgers.edu:8080/data/asl-ftp/asllvd/demos/verify_start_end_handshape_annotations//test_auto_move//signs_mov/16322.mov" TargetMode="External"/><Relationship Id="rId6264" Type="http://schemas.openxmlformats.org/officeDocument/2006/relationships/hyperlink" Target="http://secrets.rutgers.edu:8080/data/asl-ftp/asllvd/demos/verify_start_end_handshape_annotations//test_auto_move//signs_mov_separ_signers/Brady_16322.mov" TargetMode="External"/><Relationship Id="rId6265" Type="http://schemas.openxmlformats.org/officeDocument/2006/relationships/hyperlink" Target="http://csr.bu.edu/ftp/asl/asllvd/demos/verify_start_end_handshape_annotations//test_auto_move//signs_mov_separ_signers/Liz_668.mov" TargetMode="External"/><Relationship Id="rId6266" Type="http://schemas.openxmlformats.org/officeDocument/2006/relationships/hyperlink" Target="http://secrets.rutgers.edu:8080/data/asl-ftp/asllvd/demos/verify_start_end_handshape_annotations//test_auto_move//signs_mov_separ_signers/Liz_668.mov" TargetMode="External"/><Relationship Id="rId6267" Type="http://schemas.openxmlformats.org/officeDocument/2006/relationships/hyperlink" Target="http://csr.bu.edu/ftp/asl/asllvd/demos/verify_start_end_handshape_annotations//test_auto_move//signs_mov/668.mov" TargetMode="External"/><Relationship Id="rId6268" Type="http://schemas.openxmlformats.org/officeDocument/2006/relationships/hyperlink" Target="http://csr.bu.edu/ftp/asl/asllvd/demos/verify_start_end_handshape_annotations//test_auto_move//signs_mov_separ_signers/Naomi_668.mov" TargetMode="External"/><Relationship Id="rId6269" Type="http://schemas.openxmlformats.org/officeDocument/2006/relationships/hyperlink" Target="http://secrets.rutgers.edu:8080/data/asl-ftp/asllvd/demos/verify_start_end_handshape_annotations//test_auto_move//signs_mov/668.mov" TargetMode="External"/><Relationship Id="rId6270" Type="http://schemas.openxmlformats.org/officeDocument/2006/relationships/hyperlink" Target="http://secrets.rutgers.edu:8080/data/asl-ftp/asllvd/demos/verify_start_end_handshape_annotations//test_auto_move//signs_mov_separ_signers/Naomi_668.mov" TargetMode="External"/><Relationship Id="rId6271" Type="http://schemas.openxmlformats.org/officeDocument/2006/relationships/hyperlink" Target="http://csr.bu.edu/ftp/asl/asllvd/demos/verify_start_end_handshape_annotations//test_auto_move//signs_mov_separ_signers/Brady_668.mov" TargetMode="External"/><Relationship Id="rId6272" Type="http://schemas.openxmlformats.org/officeDocument/2006/relationships/hyperlink" Target="http://secrets.rutgers.edu:8080/data/asl-ftp/asllvd/demos/verify_start_end_handshape_annotations//test_auto_move//signs_mov_separ_signers/Brady_668.mov" TargetMode="External"/><Relationship Id="rId6273" Type="http://schemas.openxmlformats.org/officeDocument/2006/relationships/hyperlink" Target="http://csr.bu.edu/ftp/asl/asllvd/demos/verify_start_end_handshape_annotations//test_auto_move//signs_mov/5032.mov" TargetMode="External"/><Relationship Id="rId6274" Type="http://schemas.openxmlformats.org/officeDocument/2006/relationships/hyperlink" Target="http://csr.bu.edu/ftp/asl/asllvd/demos/verify_start_end_handshape_annotations//test_auto_move//signs_mov_separ_signers/Tyler_5032.mov" TargetMode="External"/><Relationship Id="rId6275" Type="http://schemas.openxmlformats.org/officeDocument/2006/relationships/hyperlink" Target="http://secrets.rutgers.edu:8080/data/asl-ftp/asllvd/demos/verify_start_end_handshape_annotations//test_auto_move//signs_mov/5032.mov" TargetMode="External"/><Relationship Id="rId6276" Type="http://schemas.openxmlformats.org/officeDocument/2006/relationships/hyperlink" Target="http://secrets.rutgers.edu:8080/data/asl-ftp/asllvd/demos/verify_start_end_handshape_annotations//test_auto_move//signs_mov_separ_signers/Tyler_5032.mov" TargetMode="External"/><Relationship Id="rId6277" Type="http://schemas.openxmlformats.org/officeDocument/2006/relationships/hyperlink" Target="http://csr.bu.edu/ftp/asl/asllvd/demos/verify_start_end_handshape_annotations//test_auto_move//signs_mov_separ_signers/Brady_5032.mov" TargetMode="External"/><Relationship Id="rId6278" Type="http://schemas.openxmlformats.org/officeDocument/2006/relationships/hyperlink" Target="http://secrets.rutgers.edu:8080/data/asl-ftp/asllvd/demos/verify_start_end_handshape_annotations//test_auto_move//signs_mov_separ_signers/Brady_5032.mov" TargetMode="External"/><Relationship Id="rId6279" Type="http://schemas.openxmlformats.org/officeDocument/2006/relationships/hyperlink" Target="http://csr.bu.edu/ftp/asl/asllvd/demos/verify_start_end_handshape_annotations//test_auto_move//signs_mov/5033.mov" TargetMode="External"/><Relationship Id="rId6280" Type="http://schemas.openxmlformats.org/officeDocument/2006/relationships/hyperlink" Target="http://csr.bu.edu/ftp/asl/asllvd/demos/verify_start_end_handshape_annotations//test_auto_move//signs_mov_separ_signers/Liz_5033.mov" TargetMode="External"/><Relationship Id="rId6281" Type="http://schemas.openxmlformats.org/officeDocument/2006/relationships/hyperlink" Target="http://secrets.rutgers.edu:8080/data/asl-ftp/asllvd/demos/verify_start_end_handshape_annotations//test_auto_move//signs_mov/5033.mov" TargetMode="External"/><Relationship Id="rId6282" Type="http://schemas.openxmlformats.org/officeDocument/2006/relationships/hyperlink" Target="http://secrets.rutgers.edu:8080/data/asl-ftp/asllvd/demos/verify_start_end_handshape_annotations//test_auto_move//signs_mov_separ_signers/Liz_5033.mov" TargetMode="External"/><Relationship Id="rId6283" Type="http://schemas.openxmlformats.org/officeDocument/2006/relationships/hyperlink" Target="http://csr.bu.edu/ftp/asl/asllvd/demos/verify_start_end_handshape_annotations//test_auto_move//signs_mov_separ_signers/Liz_15644.mov" TargetMode="External"/><Relationship Id="rId6284" Type="http://schemas.openxmlformats.org/officeDocument/2006/relationships/hyperlink" Target="http://secrets.rutgers.edu:8080/data/asl-ftp/asllvd/demos/verify_start_end_handshape_annotations//test_auto_move//signs_mov_separ_signers/Liz_15644.mov" TargetMode="External"/><Relationship Id="rId6285" Type="http://schemas.openxmlformats.org/officeDocument/2006/relationships/hyperlink" Target="http://csr.bu.edu/ftp/asl/asllvd/demos/verify_start_end_handshape_annotations//test_auto_move//signs_mov_separ_signers/Tyler_15644.mov" TargetMode="External"/><Relationship Id="rId6286" Type="http://schemas.openxmlformats.org/officeDocument/2006/relationships/hyperlink" Target="http://secrets.rutgers.edu:8080/data/asl-ftp/asllvd/demos/verify_start_end_handshape_annotations//test_auto_move//signs_mov_separ_signers/Tyler_15644.mov" TargetMode="External"/><Relationship Id="rId6287" Type="http://schemas.openxmlformats.org/officeDocument/2006/relationships/hyperlink" Target="http://csr.bu.edu/ftp/asl/asllvd/demos/verify_start_end_handshape_annotations//test_auto_move//signs_mov/15644.mov" TargetMode="External"/><Relationship Id="rId6288" Type="http://schemas.openxmlformats.org/officeDocument/2006/relationships/hyperlink" Target="http://csr.bu.edu/ftp/asl/asllvd/demos/verify_start_end_handshape_annotations//test_auto_move//signs_mov_separ_signers/Naomi_15644.mov" TargetMode="External"/><Relationship Id="rId6289" Type="http://schemas.openxmlformats.org/officeDocument/2006/relationships/hyperlink" Target="http://secrets.rutgers.edu:8080/data/asl-ftp/asllvd/demos/verify_start_end_handshape_annotations//test_auto_move//signs_mov/15644.mov" TargetMode="External"/><Relationship Id="rId6290" Type="http://schemas.openxmlformats.org/officeDocument/2006/relationships/hyperlink" Target="http://secrets.rutgers.edu:8080/data/asl-ftp/asllvd/demos/verify_start_end_handshape_annotations//test_auto_move//signs_mov_separ_signers/Naomi_15644.mov" TargetMode="External"/><Relationship Id="rId6291" Type="http://schemas.openxmlformats.org/officeDocument/2006/relationships/hyperlink" Target="http://csr.bu.edu/ftp/asl/asllvd/demos/verify_start_end_handshape_annotations//test_auto_move//signs_mov_separ_signers/Brady_15644.mov" TargetMode="External"/><Relationship Id="rId6292" Type="http://schemas.openxmlformats.org/officeDocument/2006/relationships/hyperlink" Target="http://secrets.rutgers.edu:8080/data/asl-ftp/asllvd/demos/verify_start_end_handshape_annotations//test_auto_move//signs_mov_separ_signers/Brady_15644.mov" TargetMode="External"/><Relationship Id="rId6293" Type="http://schemas.openxmlformats.org/officeDocument/2006/relationships/hyperlink" Target="http://csr.bu.edu/ftp/asl/asllvd/demos/verify_start_end_handshape_annotations//test_auto_move//signs_mov_separ_signers/Lana_15644.mov" TargetMode="External"/><Relationship Id="rId6294" Type="http://schemas.openxmlformats.org/officeDocument/2006/relationships/hyperlink" Target="http://secrets.rutgers.edu:8080/data/asl-ftp/asllvd/demos/verify_start_end_handshape_annotations//test_auto_move//signs_mov_separ_signers/Lana_15644.mov" TargetMode="External"/><Relationship Id="rId6295" Type="http://schemas.openxmlformats.org/officeDocument/2006/relationships/hyperlink" Target="http://csr.bu.edu/ftp/asl/asllvd/demos/verify_start_end_handshape_annotations//test_auto_move//signs_mov_separ_signers/Liz_671.mov" TargetMode="External"/><Relationship Id="rId6296" Type="http://schemas.openxmlformats.org/officeDocument/2006/relationships/hyperlink" Target="http://secrets.rutgers.edu:8080/data/asl-ftp/asllvd/demos/verify_start_end_handshape_annotations//test_auto_move//signs_mov_separ_signers/Liz_671.mov" TargetMode="External"/><Relationship Id="rId6297" Type="http://schemas.openxmlformats.org/officeDocument/2006/relationships/hyperlink" Target="http://csr.bu.edu/ftp/asl/asllvd/demos/verify_start_end_handshape_annotations//test_auto_move//signs_mov/671.mov" TargetMode="External"/><Relationship Id="rId6298" Type="http://schemas.openxmlformats.org/officeDocument/2006/relationships/hyperlink" Target="http://csr.bu.edu/ftp/asl/asllvd/demos/verify_start_end_handshape_annotations//test_auto_move//signs_mov_separ_signers/Naomi_671.mov" TargetMode="External"/><Relationship Id="rId6299" Type="http://schemas.openxmlformats.org/officeDocument/2006/relationships/hyperlink" Target="http://secrets.rutgers.edu:8080/data/asl-ftp/asllvd/demos/verify_start_end_handshape_annotations//test_auto_move//signs_mov/671.mov" TargetMode="External"/><Relationship Id="rId6300" Type="http://schemas.openxmlformats.org/officeDocument/2006/relationships/hyperlink" Target="http://secrets.rutgers.edu:8080/data/asl-ftp/asllvd/demos/verify_start_end_handshape_annotations//test_auto_move//signs_mov_separ_signers/Naomi_671.mov" TargetMode="External"/><Relationship Id="rId6301" Type="http://schemas.openxmlformats.org/officeDocument/2006/relationships/hyperlink" Target="http://csr.bu.edu/ftp/asl/asllvd/demos/verify_start_end_handshape_annotations//test_auto_move//signs_mov_separ_signers/Brady_671.mov" TargetMode="External"/><Relationship Id="rId6302" Type="http://schemas.openxmlformats.org/officeDocument/2006/relationships/hyperlink" Target="http://secrets.rutgers.edu:8080/data/asl-ftp/asllvd/demos/verify_start_end_handshape_annotations//test_auto_move//signs_mov_separ_signers/Brady_671.mov" TargetMode="External"/><Relationship Id="rId6303" Type="http://schemas.openxmlformats.org/officeDocument/2006/relationships/hyperlink" Target="http://csr.bu.edu/ftp/asl/asllvd/demos/verify_start_end_handshape_annotations//test_auto_move//signs_mov_separ_signers/Liz_15012.mov" TargetMode="External"/><Relationship Id="rId6304" Type="http://schemas.openxmlformats.org/officeDocument/2006/relationships/hyperlink" Target="http://secrets.rutgers.edu:8080/data/asl-ftp/asllvd/demos/verify_start_end_handshape_annotations//test_auto_move//signs_mov_separ_signers/Liz_15012.mov" TargetMode="External"/><Relationship Id="rId6305" Type="http://schemas.openxmlformats.org/officeDocument/2006/relationships/hyperlink" Target="http://csr.bu.edu/ftp/asl/asllvd/demos/verify_start_end_handshape_annotations//test_auto_move//signs_mov_separ_signers/Tyler_15012.mov" TargetMode="External"/><Relationship Id="rId6306" Type="http://schemas.openxmlformats.org/officeDocument/2006/relationships/hyperlink" Target="http://secrets.rutgers.edu:8080/data/asl-ftp/asllvd/demos/verify_start_end_handshape_annotations//test_auto_move//signs_mov_separ_signers/Tyler_15012.mov" TargetMode="External"/><Relationship Id="rId6307" Type="http://schemas.openxmlformats.org/officeDocument/2006/relationships/hyperlink" Target="http://csr.bu.edu/ftp/asl/asllvd/demos/verify_start_end_handshape_annotations//test_auto_move//signs_mov/15012.mov" TargetMode="External"/><Relationship Id="rId6308" Type="http://schemas.openxmlformats.org/officeDocument/2006/relationships/hyperlink" Target="http://csr.bu.edu/ftp/asl/asllvd/demos/verify_start_end_handshape_annotations//test_auto_move//signs_mov_separ_signers/Naomi_15012.mov" TargetMode="External"/><Relationship Id="rId6309" Type="http://schemas.openxmlformats.org/officeDocument/2006/relationships/hyperlink" Target="http://secrets.rutgers.edu:8080/data/asl-ftp/asllvd/demos/verify_start_end_handshape_annotations//test_auto_move//signs_mov/15012.mov" TargetMode="External"/><Relationship Id="rId6310" Type="http://schemas.openxmlformats.org/officeDocument/2006/relationships/hyperlink" Target="http://secrets.rutgers.edu:8080/data/asl-ftp/asllvd/demos/verify_start_end_handshape_annotations//test_auto_move//signs_mov_separ_signers/Naomi_15012.mov" TargetMode="External"/><Relationship Id="rId6311" Type="http://schemas.openxmlformats.org/officeDocument/2006/relationships/hyperlink" Target="http://csr.bu.edu/ftp/asl/asllvd/demos/verify_start_end_handshape_annotations//test_auto_move//signs_mov_separ_signers/Brady_15012.mov" TargetMode="External"/><Relationship Id="rId6312" Type="http://schemas.openxmlformats.org/officeDocument/2006/relationships/hyperlink" Target="http://secrets.rutgers.edu:8080/data/asl-ftp/asllvd/demos/verify_start_end_handshape_annotations//test_auto_move//signs_mov_separ_signers/Brady_15012.mov" TargetMode="External"/><Relationship Id="rId6313" Type="http://schemas.openxmlformats.org/officeDocument/2006/relationships/hyperlink" Target="http://csr.bu.edu/ftp/asl/asllvd/demos/verify_start_end_handshape_annotations//test_auto_move//signs_mov_separ_signers/Lana_15012.mov" TargetMode="External"/><Relationship Id="rId6314" Type="http://schemas.openxmlformats.org/officeDocument/2006/relationships/hyperlink" Target="http://secrets.rutgers.edu:8080/data/asl-ftp/asllvd/demos/verify_start_end_handshape_annotations//test_auto_move//signs_mov_separ_signers/Lana_15012.mov" TargetMode="External"/><Relationship Id="rId6315" Type="http://schemas.openxmlformats.org/officeDocument/2006/relationships/hyperlink" Target="http://csr.bu.edu/ftp/asl/asllvd/demos/verify_start_end_handshape_annotations//test_auto_move//signs_mov_separ_signers/Dana_15012.mov" TargetMode="External"/><Relationship Id="rId6316" Type="http://schemas.openxmlformats.org/officeDocument/2006/relationships/hyperlink" Target="http://secrets.rutgers.edu:8080/data/asl-ftp/asllvd/demos/verify_start_end_handshape_annotations//test_auto_move//signs_mov_separ_signers/Dana_15012.mov" TargetMode="External"/><Relationship Id="rId6317" Type="http://schemas.openxmlformats.org/officeDocument/2006/relationships/hyperlink" Target="http://csr.bu.edu/ftp/asl/asllvd/demos/verify_start_end_handshape_annotations//test_auto_move//signs_mov_separ_signers/Liz_673.mov" TargetMode="External"/><Relationship Id="rId6318" Type="http://schemas.openxmlformats.org/officeDocument/2006/relationships/hyperlink" Target="http://secrets.rutgers.edu:8080/data/asl-ftp/asllvd/demos/verify_start_end_handshape_annotations//test_auto_move//signs_mov_separ_signers/Liz_673.mov" TargetMode="External"/><Relationship Id="rId6319" Type="http://schemas.openxmlformats.org/officeDocument/2006/relationships/hyperlink" Target="http://csr.bu.edu/ftp/asl/asllvd/demos/verify_start_end_handshape_annotations//test_auto_move//signs_mov/673.mov" TargetMode="External"/><Relationship Id="rId6320" Type="http://schemas.openxmlformats.org/officeDocument/2006/relationships/hyperlink" Target="http://csr.bu.edu/ftp/asl/asllvd/demos/verify_start_end_handshape_annotations//test_auto_move//signs_mov_separ_signers/Tyler_673.mov" TargetMode="External"/><Relationship Id="rId6321" Type="http://schemas.openxmlformats.org/officeDocument/2006/relationships/hyperlink" Target="http://secrets.rutgers.edu:8080/data/asl-ftp/asllvd/demos/verify_start_end_handshape_annotations//test_auto_move//signs_mov/673.mov" TargetMode="External"/><Relationship Id="rId6322" Type="http://schemas.openxmlformats.org/officeDocument/2006/relationships/hyperlink" Target="http://secrets.rutgers.edu:8080/data/asl-ftp/asllvd/demos/verify_start_end_handshape_annotations//test_auto_move//signs_mov_separ_signers/Tyler_673.mov" TargetMode="External"/><Relationship Id="rId6323" Type="http://schemas.openxmlformats.org/officeDocument/2006/relationships/hyperlink" Target="http://csr.bu.edu/ftp/asl/asllvd/demos/verify_start_end_handshape_annotations//test_auto_move//signs_mov_separ_signers/Naomi_673.mov" TargetMode="External"/><Relationship Id="rId6324" Type="http://schemas.openxmlformats.org/officeDocument/2006/relationships/hyperlink" Target="http://secrets.rutgers.edu:8080/data/asl-ftp/asllvd/demos/verify_start_end_handshape_annotations//test_auto_move//signs_mov_separ_signers/Naomi_673.mov" TargetMode="External"/><Relationship Id="rId6325" Type="http://schemas.openxmlformats.org/officeDocument/2006/relationships/hyperlink" Target="http://csr.bu.edu/ftp/asl/asllvd/demos/verify_start_end_handshape_annotations//test_auto_move//signs_mov/5031_16323_merged.mov" TargetMode="External"/><Relationship Id="rId6326" Type="http://schemas.openxmlformats.org/officeDocument/2006/relationships/hyperlink" Target="http://csr.bu.edu/ftp/asl/asllvd/demos/verify_start_end_handshape_annotations//test_auto_move//signs_mov_separ_signers/Brady_5031.mov" TargetMode="External"/><Relationship Id="rId6327" Type="http://schemas.openxmlformats.org/officeDocument/2006/relationships/hyperlink" Target="http://secrets.rutgers.edu:8080/data/asl-ftp/asllvd/demos/verify_start_end_handshape_annotations//test_auto_move//signs_mov/5031_16323_merged.mov" TargetMode="External"/><Relationship Id="rId6328" Type="http://schemas.openxmlformats.org/officeDocument/2006/relationships/hyperlink" Target="http://secrets.rutgers.edu:8080/data/asl-ftp/asllvd/demos/verify_start_end_handshape_annotations//test_auto_move//signs_mov_separ_signers/Brady_5031.mov" TargetMode="External"/><Relationship Id="rId6329" Type="http://schemas.openxmlformats.org/officeDocument/2006/relationships/hyperlink" Target="http://csr.bu.edu/ftp/asl/asllvd/demos/verify_start_end_handshape_annotations//test_auto_move//signs_mov_separ_signers/Brady_16323.mov" TargetMode="External"/><Relationship Id="rId6330" Type="http://schemas.openxmlformats.org/officeDocument/2006/relationships/hyperlink" Target="http://secrets.rutgers.edu:8080/data/asl-ftp/asllvd/demos/verify_start_end_handshape_annotations//test_auto_move//signs_mov_separ_signers/Brady_16323.mov" TargetMode="External"/><Relationship Id="rId6331" Type="http://schemas.openxmlformats.org/officeDocument/2006/relationships/hyperlink" Target="http://csr.bu.edu/ftp/asl/asllvd/demos/verify_start_end_handshape_annotations//test_auto_move//signs_mov_separ_signers/Liz_674.mov" TargetMode="External"/><Relationship Id="rId6332" Type="http://schemas.openxmlformats.org/officeDocument/2006/relationships/hyperlink" Target="http://secrets.rutgers.edu:8080/data/asl-ftp/asllvd/demos/verify_start_end_handshape_annotations//test_auto_move//signs_mov_separ_signers/Liz_674.mov" TargetMode="External"/><Relationship Id="rId6333" Type="http://schemas.openxmlformats.org/officeDocument/2006/relationships/hyperlink" Target="http://csr.bu.edu/ftp/asl/asllvd/demos/verify_start_end_handshape_annotations//test_auto_move//signs_mov/674.mov" TargetMode="External"/><Relationship Id="rId6334" Type="http://schemas.openxmlformats.org/officeDocument/2006/relationships/hyperlink" Target="http://csr.bu.edu/ftp/asl/asllvd/demos/verify_start_end_handshape_annotations//test_auto_move//signs_mov_separ_signers/Tyler_674.mov" TargetMode="External"/><Relationship Id="rId6335" Type="http://schemas.openxmlformats.org/officeDocument/2006/relationships/hyperlink" Target="http://secrets.rutgers.edu:8080/data/asl-ftp/asllvd/demos/verify_start_end_handshape_annotations//test_auto_move//signs_mov/674.mov" TargetMode="External"/><Relationship Id="rId6336" Type="http://schemas.openxmlformats.org/officeDocument/2006/relationships/hyperlink" Target="http://secrets.rutgers.edu:8080/data/asl-ftp/asllvd/demos/verify_start_end_handshape_annotations//test_auto_move//signs_mov_separ_signers/Tyler_674.mov" TargetMode="External"/><Relationship Id="rId6337" Type="http://schemas.openxmlformats.org/officeDocument/2006/relationships/hyperlink" Target="http://csr.bu.edu/ftp/asl/asllvd/demos/verify_start_end_handshape_annotations//test_auto_move//signs_mov_separ_signers/Naomi_674.mov" TargetMode="External"/><Relationship Id="rId6338" Type="http://schemas.openxmlformats.org/officeDocument/2006/relationships/hyperlink" Target="http://secrets.rutgers.edu:8080/data/asl-ftp/asllvd/demos/verify_start_end_handshape_annotations//test_auto_move//signs_mov_separ_signers/Naomi_674.mov" TargetMode="External"/><Relationship Id="rId6339" Type="http://schemas.openxmlformats.org/officeDocument/2006/relationships/hyperlink" Target="http://csr.bu.edu/ftp/asl/asllvd/demos/verify_start_end_handshape_annotations//test_auto_move//signs_mov_separ_signers/Brady_674.mov" TargetMode="External"/><Relationship Id="rId6340" Type="http://schemas.openxmlformats.org/officeDocument/2006/relationships/hyperlink" Target="http://secrets.rutgers.edu:8080/data/asl-ftp/asllvd/demos/verify_start_end_handshape_annotations//test_auto_move//signs_mov_separ_signers/Brady_674.mov" TargetMode="External"/><Relationship Id="rId6341" Type="http://schemas.openxmlformats.org/officeDocument/2006/relationships/hyperlink" Target="http://csr.bu.edu/ftp/asl/asllvd/demos/verify_start_end_handshape_annotations//test_auto_move//signs_mov_separ_signers/Liz_3609.mov" TargetMode="External"/><Relationship Id="rId6342" Type="http://schemas.openxmlformats.org/officeDocument/2006/relationships/hyperlink" Target="http://secrets.rutgers.edu:8080/data/asl-ftp/asllvd/demos/verify_start_end_handshape_annotations//test_auto_move//signs_mov_separ_signers/Liz_3609.mov" TargetMode="External"/><Relationship Id="rId6343" Type="http://schemas.openxmlformats.org/officeDocument/2006/relationships/hyperlink" Target="http://csr.bu.edu/ftp/asl/asllvd/demos/verify_start_end_handshape_annotations//test_auto_move//signs_mov_separ_signers/Liz_15464.mov" TargetMode="External"/><Relationship Id="rId6344" Type="http://schemas.openxmlformats.org/officeDocument/2006/relationships/hyperlink" Target="http://secrets.rutgers.edu:8080/data/asl-ftp/asllvd/demos/verify_start_end_handshape_annotations//test_auto_move//signs_mov_separ_signers/Liz_15464.mov" TargetMode="External"/><Relationship Id="rId6345" Type="http://schemas.openxmlformats.org/officeDocument/2006/relationships/hyperlink" Target="http://csr.bu.edu/ftp/asl/asllvd/demos/verify_start_end_handshape_annotations//test_auto_move//signs_mov/3609_15464_merged.mov" TargetMode="External"/><Relationship Id="rId6346" Type="http://schemas.openxmlformats.org/officeDocument/2006/relationships/hyperlink" Target="http://csr.bu.edu/ftp/asl/asllvd/demos/verify_start_end_handshape_annotations//test_auto_move//signs_mov_separ_signers/Tyler_3609.mov" TargetMode="External"/><Relationship Id="rId6347" Type="http://schemas.openxmlformats.org/officeDocument/2006/relationships/hyperlink" Target="http://secrets.rutgers.edu:8080/data/asl-ftp/asllvd/demos/verify_start_end_handshape_annotations//test_auto_move//signs_mov/3609_15464_merged.mov" TargetMode="External"/><Relationship Id="rId6348" Type="http://schemas.openxmlformats.org/officeDocument/2006/relationships/hyperlink" Target="http://secrets.rutgers.edu:8080/data/asl-ftp/asllvd/demos/verify_start_end_handshape_annotations//test_auto_move//signs_mov_separ_signers/Tyler_3609.mov" TargetMode="External"/><Relationship Id="rId6349" Type="http://schemas.openxmlformats.org/officeDocument/2006/relationships/hyperlink" Target="http://csr.bu.edu/ftp/asl/asllvd/demos/verify_start_end_handshape_annotations//test_auto_move//signs_mov_separ_signers/Naomi_3609.mov" TargetMode="External"/><Relationship Id="rId6350" Type="http://schemas.openxmlformats.org/officeDocument/2006/relationships/hyperlink" Target="http://secrets.rutgers.edu:8080/data/asl-ftp/asllvd/demos/verify_start_end_handshape_annotations//test_auto_move//signs_mov_separ_signers/Naomi_3609.mov" TargetMode="External"/><Relationship Id="rId6351" Type="http://schemas.openxmlformats.org/officeDocument/2006/relationships/hyperlink" Target="http://csr.bu.edu/ftp/asl/asllvd/demos/verify_start_end_handshape_annotations//test_auto_move//signs_mov_separ_signers/Brady_3609.mov" TargetMode="External"/><Relationship Id="rId6352" Type="http://schemas.openxmlformats.org/officeDocument/2006/relationships/hyperlink" Target="http://secrets.rutgers.edu:8080/data/asl-ftp/asllvd/demos/verify_start_end_handshape_annotations//test_auto_move//signs_mov_separ_signers/Brady_3609.mov" TargetMode="External"/><Relationship Id="rId6353" Type="http://schemas.openxmlformats.org/officeDocument/2006/relationships/hyperlink" Target="http://csr.bu.edu/ftp/asl/asllvd/demos/verify_start_end_handshape_annotations//test_auto_move//signs_mov_separ_signers/Liz_676.mov" TargetMode="External"/><Relationship Id="rId6354" Type="http://schemas.openxmlformats.org/officeDocument/2006/relationships/hyperlink" Target="http://secrets.rutgers.edu:8080/data/asl-ftp/asllvd/demos/verify_start_end_handshape_annotations//test_auto_move//signs_mov_separ_signers/Liz_676.mov" TargetMode="External"/><Relationship Id="rId6355" Type="http://schemas.openxmlformats.org/officeDocument/2006/relationships/hyperlink" Target="http://csr.bu.edu/ftp/asl/asllvd/demos/verify_start_end_handshape_annotations//test_auto_move//signs_mov/676_3505_merged.mov" TargetMode="External"/><Relationship Id="rId6356" Type="http://schemas.openxmlformats.org/officeDocument/2006/relationships/hyperlink" Target="http://csr.bu.edu/ftp/asl/asllvd/demos/verify_start_end_handshape_annotations//test_auto_move//signs_mov_separ_signers/Tyler_676.mov" TargetMode="External"/><Relationship Id="rId6357" Type="http://schemas.openxmlformats.org/officeDocument/2006/relationships/hyperlink" Target="http://secrets.rutgers.edu:8080/data/asl-ftp/asllvd/demos/verify_start_end_handshape_annotations//test_auto_move//signs_mov/676_3505_merged.mov" TargetMode="External"/><Relationship Id="rId6358" Type="http://schemas.openxmlformats.org/officeDocument/2006/relationships/hyperlink" Target="http://secrets.rutgers.edu:8080/data/asl-ftp/asllvd/demos/verify_start_end_handshape_annotations//test_auto_move//signs_mov_separ_signers/Tyler_676.mov" TargetMode="External"/><Relationship Id="rId6359" Type="http://schemas.openxmlformats.org/officeDocument/2006/relationships/hyperlink" Target="http://csr.bu.edu/ftp/asl/asllvd/demos/verify_start_end_handshape_annotations//test_auto_move//signs_mov_separ_signers/Tyler_3505.mov" TargetMode="External"/><Relationship Id="rId6360" Type="http://schemas.openxmlformats.org/officeDocument/2006/relationships/hyperlink" Target="http://secrets.rutgers.edu:8080/data/asl-ftp/asllvd/demos/verify_start_end_handshape_annotations//test_auto_move//signs_mov_separ_signers/Tyler_3505.mov" TargetMode="External"/><Relationship Id="rId6361" Type="http://schemas.openxmlformats.org/officeDocument/2006/relationships/hyperlink" Target="http://csr.bu.edu/ftp/asl/asllvd/demos/verify_start_end_handshape_annotations//test_auto_move//signs_mov_separ_signers/Naomi_676.mov" TargetMode="External"/><Relationship Id="rId6362" Type="http://schemas.openxmlformats.org/officeDocument/2006/relationships/hyperlink" Target="http://secrets.rutgers.edu:8080/data/asl-ftp/asllvd/demos/verify_start_end_handshape_annotations//test_auto_move//signs_mov_separ_signers/Naomi_676.mov" TargetMode="External"/><Relationship Id="rId6363" Type="http://schemas.openxmlformats.org/officeDocument/2006/relationships/hyperlink" Target="http://csr.bu.edu/ftp/asl/asllvd/demos/verify_start_end_handshape_annotations//test_auto_move//signs_mov_separ_signers/Liz_15042.mov" TargetMode="External"/><Relationship Id="rId6364" Type="http://schemas.openxmlformats.org/officeDocument/2006/relationships/hyperlink" Target="http://secrets.rutgers.edu:8080/data/asl-ftp/asllvd/demos/verify_start_end_handshape_annotations//test_auto_move//signs_mov_separ_signers/Liz_15042.mov" TargetMode="External"/><Relationship Id="rId6365" Type="http://schemas.openxmlformats.org/officeDocument/2006/relationships/hyperlink" Target="http://csr.bu.edu/ftp/asl/asllvd/demos/verify_start_end_handshape_annotations//test_auto_move//signs_mov_separ_signers/Tyler_15042.mov" TargetMode="External"/><Relationship Id="rId6366" Type="http://schemas.openxmlformats.org/officeDocument/2006/relationships/hyperlink" Target="http://secrets.rutgers.edu:8080/data/asl-ftp/asllvd/demos/verify_start_end_handshape_annotations//test_auto_move//signs_mov_separ_signers/Tyler_15042.mov" TargetMode="External"/><Relationship Id="rId6367" Type="http://schemas.openxmlformats.org/officeDocument/2006/relationships/hyperlink" Target="http://csr.bu.edu/ftp/asl/asllvd/demos/verify_start_end_handshape_annotations//test_auto_move//signs_mov_separ_signers/Naomi_15042.mov" TargetMode="External"/><Relationship Id="rId6368" Type="http://schemas.openxmlformats.org/officeDocument/2006/relationships/hyperlink" Target="http://secrets.rutgers.edu:8080/data/asl-ftp/asllvd/demos/verify_start_end_handshape_annotations//test_auto_move//signs_mov_separ_signers/Naomi_15042.mov" TargetMode="External"/><Relationship Id="rId6369" Type="http://schemas.openxmlformats.org/officeDocument/2006/relationships/hyperlink" Target="http://csr.bu.edu/ftp/asl/asllvd/demos/verify_start_end_handshape_annotations//test_auto_move//signs_mov/15042_16157_merged.mov" TargetMode="External"/><Relationship Id="rId6370" Type="http://schemas.openxmlformats.org/officeDocument/2006/relationships/hyperlink" Target="http://csr.bu.edu/ftp/asl/asllvd/demos/verify_start_end_handshape_annotations//test_auto_move//signs_mov_separ_signers/Brady_15042.mov" TargetMode="External"/><Relationship Id="rId6371" Type="http://schemas.openxmlformats.org/officeDocument/2006/relationships/hyperlink" Target="http://secrets.rutgers.edu:8080/data/asl-ftp/asllvd/demos/verify_start_end_handshape_annotations//test_auto_move//signs_mov/15042_16157_merged.mov" TargetMode="External"/><Relationship Id="rId6372" Type="http://schemas.openxmlformats.org/officeDocument/2006/relationships/hyperlink" Target="http://secrets.rutgers.edu:8080/data/asl-ftp/asllvd/demos/verify_start_end_handshape_annotations//test_auto_move//signs_mov_separ_signers/Brady_15042.mov" TargetMode="External"/><Relationship Id="rId6373" Type="http://schemas.openxmlformats.org/officeDocument/2006/relationships/hyperlink" Target="http://csr.bu.edu/ftp/asl/asllvd/demos/verify_start_end_handshape_annotations//test_auto_move//signs_mov_separ_signers/Brady_16157.mov" TargetMode="External"/><Relationship Id="rId6374" Type="http://schemas.openxmlformats.org/officeDocument/2006/relationships/hyperlink" Target="http://secrets.rutgers.edu:8080/data/asl-ftp/asllvd/demos/verify_start_end_handshape_annotations//test_auto_move//signs_mov_separ_signers/Brady_16157.mov" TargetMode="External"/><Relationship Id="rId6375" Type="http://schemas.openxmlformats.org/officeDocument/2006/relationships/hyperlink" Target="http://csr.bu.edu/ftp/asl/asllvd/demos/verify_start_end_handshape_annotations//test_auto_move//signs_mov_separ_signers/Lana_15042.mov" TargetMode="External"/><Relationship Id="rId6376" Type="http://schemas.openxmlformats.org/officeDocument/2006/relationships/hyperlink" Target="http://secrets.rutgers.edu:8080/data/asl-ftp/asllvd/demos/verify_start_end_handshape_annotations//test_auto_move//signs_mov_separ_signers/Lana_15042.mov" TargetMode="External"/><Relationship Id="rId6377" Type="http://schemas.openxmlformats.org/officeDocument/2006/relationships/hyperlink" Target="http://csr.bu.edu/ftp/asl/asllvd/demos/verify_start_end_handshape_annotations//test_auto_move//signs_mov_separ_signers/Dana_15042.mov" TargetMode="External"/><Relationship Id="rId6378" Type="http://schemas.openxmlformats.org/officeDocument/2006/relationships/hyperlink" Target="http://secrets.rutgers.edu:8080/data/asl-ftp/asllvd/demos/verify_start_end_handshape_annotations//test_auto_move//signs_mov_separ_signers/Dana_15042.mov" TargetMode="External"/><Relationship Id="rId6379" Type="http://schemas.openxmlformats.org/officeDocument/2006/relationships/hyperlink" Target="http://csr.bu.edu/ftp/asl/asllvd/demos/verify_start_end_handshape_annotations//test_auto_move//signs_mov_separ_signers/Liz_16166.mov" TargetMode="External"/><Relationship Id="rId6380" Type="http://schemas.openxmlformats.org/officeDocument/2006/relationships/hyperlink" Target="http://secrets.rutgers.edu:8080/data/asl-ftp/asllvd/demos/verify_start_end_handshape_annotations//test_auto_move//signs_mov_separ_signers/Liz_16166.mov" TargetMode="External"/><Relationship Id="rId6381" Type="http://schemas.openxmlformats.org/officeDocument/2006/relationships/hyperlink" Target="http://csr.bu.edu/ftp/asl/asllvd/demos/verify_start_end_handshape_annotations//test_auto_move//signs_mov_separ_signers/Tyler_16166.mov" TargetMode="External"/><Relationship Id="rId6382" Type="http://schemas.openxmlformats.org/officeDocument/2006/relationships/hyperlink" Target="http://secrets.rutgers.edu:8080/data/asl-ftp/asllvd/demos/verify_start_end_handshape_annotations//test_auto_move//signs_mov_separ_signers/Tyler_16166.mov" TargetMode="External"/><Relationship Id="rId6383" Type="http://schemas.openxmlformats.org/officeDocument/2006/relationships/hyperlink" Target="http://csr.bu.edu/ftp/asl/asllvd/demos/verify_start_end_handshape_annotations//test_auto_move//signs_mov/16166_16167_merged.mov" TargetMode="External"/><Relationship Id="rId6384" Type="http://schemas.openxmlformats.org/officeDocument/2006/relationships/hyperlink" Target="http://csr.bu.edu/ftp/asl/asllvd/demos/verify_start_end_handshape_annotations//test_auto_move//signs_mov_separ_signers/Naomi_16166.mov" TargetMode="External"/><Relationship Id="rId6385" Type="http://schemas.openxmlformats.org/officeDocument/2006/relationships/hyperlink" Target="http://secrets.rutgers.edu:8080/data/asl-ftp/asllvd/demos/verify_start_end_handshape_annotations//test_auto_move//signs_mov/16166_16167_merged.mov" TargetMode="External"/><Relationship Id="rId6386" Type="http://schemas.openxmlformats.org/officeDocument/2006/relationships/hyperlink" Target="http://secrets.rutgers.edu:8080/data/asl-ftp/asllvd/demos/verify_start_end_handshape_annotations//test_auto_move//signs_mov_separ_signers/Naomi_16166.mov" TargetMode="External"/><Relationship Id="rId6387" Type="http://schemas.openxmlformats.org/officeDocument/2006/relationships/hyperlink" Target="http://csr.bu.edu/ftp/asl/asllvd/demos/verify_start_end_handshape_annotations//test_auto_move//signs_mov_separ_signers/Brady_16166.mov" TargetMode="External"/><Relationship Id="rId6388" Type="http://schemas.openxmlformats.org/officeDocument/2006/relationships/hyperlink" Target="http://secrets.rutgers.edu:8080/data/asl-ftp/asllvd/demos/verify_start_end_handshape_annotations//test_auto_move//signs_mov_separ_signers/Brady_16166.mov" TargetMode="External"/><Relationship Id="rId6389" Type="http://schemas.openxmlformats.org/officeDocument/2006/relationships/hyperlink" Target="http://csr.bu.edu/ftp/asl/asllvd/demos/verify_start_end_handshape_annotations//test_auto_move//signs_mov_separ_signers/Brady_16167.mov" TargetMode="External"/><Relationship Id="rId6390" Type="http://schemas.openxmlformats.org/officeDocument/2006/relationships/hyperlink" Target="http://secrets.rutgers.edu:8080/data/asl-ftp/asllvd/demos/verify_start_end_handshape_annotations//test_auto_move//signs_mov_separ_signers/Brady_16167.mov" TargetMode="External"/><Relationship Id="rId6391" Type="http://schemas.openxmlformats.org/officeDocument/2006/relationships/hyperlink" Target="http://csr.bu.edu/ftp/asl/asllvd/demos/verify_start_end_handshape_annotations//test_auto_move//signs_mov_separ_signers/Liz_679.mov" TargetMode="External"/><Relationship Id="rId6392" Type="http://schemas.openxmlformats.org/officeDocument/2006/relationships/hyperlink" Target="http://secrets.rutgers.edu:8080/data/asl-ftp/asllvd/demos/verify_start_end_handshape_annotations//test_auto_move//signs_mov_separ_signers/Liz_679.mov" TargetMode="External"/><Relationship Id="rId6393" Type="http://schemas.openxmlformats.org/officeDocument/2006/relationships/hyperlink" Target="http://csr.bu.edu/ftp/asl/asllvd/demos/verify_start_end_handshape_annotations//test_auto_move//signs_mov_separ_signers/Tyler_679.mov" TargetMode="External"/><Relationship Id="rId6394" Type="http://schemas.openxmlformats.org/officeDocument/2006/relationships/hyperlink" Target="http://secrets.rutgers.edu:8080/data/asl-ftp/asllvd/demos/verify_start_end_handshape_annotations//test_auto_move//signs_mov_separ_signers/Tyler_679.mov" TargetMode="External"/><Relationship Id="rId6395" Type="http://schemas.openxmlformats.org/officeDocument/2006/relationships/hyperlink" Target="http://csr.bu.edu/ftp/asl/asllvd/demos/verify_start_end_handshape_annotations//test_auto_move//signs_mov/679_3319_merged.mov" TargetMode="External"/><Relationship Id="rId6396" Type="http://schemas.openxmlformats.org/officeDocument/2006/relationships/hyperlink" Target="http://csr.bu.edu/ftp/asl/asllvd/demos/verify_start_end_handshape_annotations//test_auto_move//signs_mov_separ_signers/Tyler_3319.mov" TargetMode="External"/><Relationship Id="rId6397" Type="http://schemas.openxmlformats.org/officeDocument/2006/relationships/hyperlink" Target="http://secrets.rutgers.edu:8080/data/asl-ftp/asllvd/demos/verify_start_end_handshape_annotations//test_auto_move//signs_mov/679_3319_merged.mov" TargetMode="External"/><Relationship Id="rId6398" Type="http://schemas.openxmlformats.org/officeDocument/2006/relationships/hyperlink" Target="http://secrets.rutgers.edu:8080/data/asl-ftp/asllvd/demos/verify_start_end_handshape_annotations//test_auto_move//signs_mov_separ_signers/Tyler_3319.mov" TargetMode="External"/><Relationship Id="rId6399" Type="http://schemas.openxmlformats.org/officeDocument/2006/relationships/hyperlink" Target="http://csr.bu.edu/ftp/asl/asllvd/demos/verify_start_end_handshape_annotations//test_auto_move//signs_mov_separ_signers/Brady_679.mov" TargetMode="External"/><Relationship Id="rId6400" Type="http://schemas.openxmlformats.org/officeDocument/2006/relationships/hyperlink" Target="http://secrets.rutgers.edu:8080/data/asl-ftp/asllvd/demos/verify_start_end_handshape_annotations//test_auto_move//signs_mov_separ_signers/Brady_679.mov" TargetMode="External"/><Relationship Id="rId6401" Type="http://schemas.openxmlformats.org/officeDocument/2006/relationships/hyperlink" Target="http://csr.bu.edu/ftp/asl/asllvd/demos/verify_start_end_handshape_annotations//test_auto_move//signs_mov_separ_signers/Lana_679.mov" TargetMode="External"/><Relationship Id="rId6402" Type="http://schemas.openxmlformats.org/officeDocument/2006/relationships/hyperlink" Target="http://secrets.rutgers.edu:8080/data/asl-ftp/asllvd/demos/verify_start_end_handshape_annotations//test_auto_move//signs_mov_separ_signers/Lana_679.mov" TargetMode="External"/><Relationship Id="rId6403" Type="http://schemas.openxmlformats.org/officeDocument/2006/relationships/hyperlink" Target="http://csr.bu.edu/ftp/asl/asllvd/demos/verify_start_end_handshape_annotations//test_auto_move//signs_mov_separ_signers/Dana_679.mov" TargetMode="External"/><Relationship Id="rId6404" Type="http://schemas.openxmlformats.org/officeDocument/2006/relationships/hyperlink" Target="http://secrets.rutgers.edu:8080/data/asl-ftp/asllvd/demos/verify_start_end_handshape_annotations//test_auto_move//signs_mov_separ_signers/Dana_679.mov" TargetMode="External"/><Relationship Id="rId6405" Type="http://schemas.openxmlformats.org/officeDocument/2006/relationships/hyperlink" Target="http://csr.bu.edu/ftp/asl/asllvd/demos/verify_start_end_handshape_annotations//test_auto_move//signs_mov_separ_signers/Liz_15077.mov" TargetMode="External"/><Relationship Id="rId6406" Type="http://schemas.openxmlformats.org/officeDocument/2006/relationships/hyperlink" Target="http://secrets.rutgers.edu:8080/data/asl-ftp/asllvd/demos/verify_start_end_handshape_annotations//test_auto_move//signs_mov_separ_signers/Liz_15077.mov" TargetMode="External"/><Relationship Id="rId6407" Type="http://schemas.openxmlformats.org/officeDocument/2006/relationships/hyperlink" Target="http://csr.bu.edu/ftp/asl/asllvd/demos/verify_start_end_handshape_annotations//test_auto_move//signs_mov_separ_signers/Tyler_15077.mov" TargetMode="External"/><Relationship Id="rId6408" Type="http://schemas.openxmlformats.org/officeDocument/2006/relationships/hyperlink" Target="http://secrets.rutgers.edu:8080/data/asl-ftp/asllvd/demos/verify_start_end_handshape_annotations//test_auto_move//signs_mov_separ_signers/Tyler_15077.mov" TargetMode="External"/><Relationship Id="rId6409" Type="http://schemas.openxmlformats.org/officeDocument/2006/relationships/hyperlink" Target="http://csr.bu.edu/ftp/asl/asllvd/demos/verify_start_end_handshape_annotations//test_auto_move//signs_mov/15077_15283_merged.mov" TargetMode="External"/><Relationship Id="rId6410" Type="http://schemas.openxmlformats.org/officeDocument/2006/relationships/hyperlink" Target="http://csr.bu.edu/ftp/asl/asllvd/demos/verify_start_end_handshape_annotations//test_auto_move//signs_mov_separ_signers/Naomi_15077.mov" TargetMode="External"/><Relationship Id="rId6411" Type="http://schemas.openxmlformats.org/officeDocument/2006/relationships/hyperlink" Target="http://secrets.rutgers.edu:8080/data/asl-ftp/asllvd/demos/verify_start_end_handshape_annotations//test_auto_move//signs_mov/15077_15283_merged.mov" TargetMode="External"/><Relationship Id="rId6412" Type="http://schemas.openxmlformats.org/officeDocument/2006/relationships/hyperlink" Target="http://secrets.rutgers.edu:8080/data/asl-ftp/asllvd/demos/verify_start_end_handshape_annotations//test_auto_move//signs_mov_separ_signers/Naomi_15077.mov" TargetMode="External"/><Relationship Id="rId6413" Type="http://schemas.openxmlformats.org/officeDocument/2006/relationships/hyperlink" Target="http://csr.bu.edu/ftp/asl/asllvd/demos/verify_start_end_handshape_annotations//test_auto_move//signs_mov_separ_signers/Naomi_15283.mov" TargetMode="External"/><Relationship Id="rId6414" Type="http://schemas.openxmlformats.org/officeDocument/2006/relationships/hyperlink" Target="http://secrets.rutgers.edu:8080/data/asl-ftp/asllvd/demos/verify_start_end_handshape_annotations//test_auto_move//signs_mov_separ_signers/Naomi_15283.mov" TargetMode="External"/><Relationship Id="rId6415" Type="http://schemas.openxmlformats.org/officeDocument/2006/relationships/hyperlink" Target="http://csr.bu.edu/ftp/asl/asllvd/demos/verify_start_end_handshape_annotations//test_auto_move//signs_mov_separ_signers/Brady_15077.mov" TargetMode="External"/><Relationship Id="rId6416" Type="http://schemas.openxmlformats.org/officeDocument/2006/relationships/hyperlink" Target="http://secrets.rutgers.edu:8080/data/asl-ftp/asllvd/demos/verify_start_end_handshape_annotations//test_auto_move//signs_mov_separ_signers/Brady_15077.mov" TargetMode="External"/><Relationship Id="rId6417" Type="http://schemas.openxmlformats.org/officeDocument/2006/relationships/hyperlink" Target="http://csr.bu.edu/ftp/asl/asllvd/demos/verify_start_end_handshape_annotations//test_auto_move//signs_mov/15469.mov" TargetMode="External"/><Relationship Id="rId6418" Type="http://schemas.openxmlformats.org/officeDocument/2006/relationships/hyperlink" Target="http://csr.bu.edu/ftp/asl/asllvd/demos/verify_start_end_handshape_annotations//test_auto_move//signs_mov_separ_signers/Liz_15469.mov" TargetMode="External"/><Relationship Id="rId6419" Type="http://schemas.openxmlformats.org/officeDocument/2006/relationships/hyperlink" Target="http://secrets.rutgers.edu:8080/data/asl-ftp/asllvd/demos/verify_start_end_handshape_annotations//test_auto_move//signs_mov/15469.mov" TargetMode="External"/><Relationship Id="rId6420" Type="http://schemas.openxmlformats.org/officeDocument/2006/relationships/hyperlink" Target="http://secrets.rutgers.edu:8080/data/asl-ftp/asllvd/demos/verify_start_end_handshape_annotations//test_auto_move//signs_mov_separ_signers/Liz_15469.mov" TargetMode="External"/><Relationship Id="rId6421" Type="http://schemas.openxmlformats.org/officeDocument/2006/relationships/hyperlink" Target="http://csr.bu.edu/ftp/asl/asllvd/demos/verify_start_end_handshape_annotations//test_auto_move//signs_mov_separ_signers/Brady_15469.mov" TargetMode="External"/><Relationship Id="rId6422" Type="http://schemas.openxmlformats.org/officeDocument/2006/relationships/hyperlink" Target="http://secrets.rutgers.edu:8080/data/asl-ftp/asllvd/demos/verify_start_end_handshape_annotations//test_auto_move//signs_mov_separ_signers/Brady_15469.mov" TargetMode="External"/><Relationship Id="rId6423" Type="http://schemas.openxmlformats.org/officeDocument/2006/relationships/hyperlink" Target="http://csr.bu.edu/ftp/asl/asllvd/demos/verify_start_end_handshape_annotations//test_auto_move//signs_mov/680.mov" TargetMode="External"/><Relationship Id="rId6424" Type="http://schemas.openxmlformats.org/officeDocument/2006/relationships/hyperlink" Target="http://csr.bu.edu/ftp/asl/asllvd/demos/verify_start_end_handshape_annotations//test_auto_move//signs_mov_separ_signers/Tyler_680.mov" TargetMode="External"/><Relationship Id="rId6425" Type="http://schemas.openxmlformats.org/officeDocument/2006/relationships/hyperlink" Target="http://secrets.rutgers.edu:8080/data/asl-ftp/asllvd/demos/verify_start_end_handshape_annotations//test_auto_move//signs_mov/680.mov" TargetMode="External"/><Relationship Id="rId6426" Type="http://schemas.openxmlformats.org/officeDocument/2006/relationships/hyperlink" Target="http://secrets.rutgers.edu:8080/data/asl-ftp/asllvd/demos/verify_start_end_handshape_annotations//test_auto_move//signs_mov_separ_signers/Tyler_680.mov" TargetMode="External"/><Relationship Id="rId6427" Type="http://schemas.openxmlformats.org/officeDocument/2006/relationships/hyperlink" Target="http://csr.bu.edu/ftp/asl/asllvd/demos/verify_start_end_handshape_annotations//test_auto_move//signs_mov_separ_signers/Liz_16201.mov" TargetMode="External"/><Relationship Id="rId6428" Type="http://schemas.openxmlformats.org/officeDocument/2006/relationships/hyperlink" Target="http://secrets.rutgers.edu:8080/data/asl-ftp/asllvd/demos/verify_start_end_handshape_annotations//test_auto_move//signs_mov_separ_signers/Liz_16201.mov" TargetMode="External"/><Relationship Id="rId6429" Type="http://schemas.openxmlformats.org/officeDocument/2006/relationships/hyperlink" Target="http://csr.bu.edu/ftp/asl/asllvd/demos/verify_start_end_handshape_annotations//test_auto_move//signs_mov_separ_signers/Naomi_16201.mov" TargetMode="External"/><Relationship Id="rId6430" Type="http://schemas.openxmlformats.org/officeDocument/2006/relationships/hyperlink" Target="http://secrets.rutgers.edu:8080/data/asl-ftp/asllvd/demos/verify_start_end_handshape_annotations//test_auto_move//signs_mov_separ_signers/Naomi_16201.mov" TargetMode="External"/><Relationship Id="rId6431" Type="http://schemas.openxmlformats.org/officeDocument/2006/relationships/hyperlink" Target="http://csr.bu.edu/ftp/asl/asllvd/demos/verify_start_end_handshape_annotations//test_auto_move//signs_mov/16201.mov" TargetMode="External"/><Relationship Id="rId6432" Type="http://schemas.openxmlformats.org/officeDocument/2006/relationships/hyperlink" Target="http://csr.bu.edu/ftp/asl/asllvd/demos/verify_start_end_handshape_annotations//test_auto_move//signs_mov_separ_signers/Brady_16201.mov" TargetMode="External"/><Relationship Id="rId6433" Type="http://schemas.openxmlformats.org/officeDocument/2006/relationships/hyperlink" Target="http://secrets.rutgers.edu:8080/data/asl-ftp/asllvd/demos/verify_start_end_handshape_annotations//test_auto_move//signs_mov/16201.mov" TargetMode="External"/><Relationship Id="rId6434" Type="http://schemas.openxmlformats.org/officeDocument/2006/relationships/hyperlink" Target="http://secrets.rutgers.edu:8080/data/asl-ftp/asllvd/demos/verify_start_end_handshape_annotations//test_auto_move//signs_mov_separ_signers/Brady_16201.mov" TargetMode="External"/><Relationship Id="rId6435" Type="http://schemas.openxmlformats.org/officeDocument/2006/relationships/hyperlink" Target="http://csr.bu.edu/ftp/asl/asllvd/demos/verify_start_end_handshape_annotations//test_auto_move//signs_mov_separ_signers/Lana_16201.mov" TargetMode="External"/><Relationship Id="rId6436" Type="http://schemas.openxmlformats.org/officeDocument/2006/relationships/hyperlink" Target="http://secrets.rutgers.edu:8080/data/asl-ftp/asllvd/demos/verify_start_end_handshape_annotations//test_auto_move//signs_mov_separ_signers/Lana_16201.mov" TargetMode="External"/><Relationship Id="rId6437" Type="http://schemas.openxmlformats.org/officeDocument/2006/relationships/hyperlink" Target="http://csr.bu.edu/ftp/asl/asllvd/demos/verify_start_end_handshape_annotations//test_auto_move//signs_mov_separ_signers/Dana_16201.mov" TargetMode="External"/><Relationship Id="rId6438" Type="http://schemas.openxmlformats.org/officeDocument/2006/relationships/hyperlink" Target="http://secrets.rutgers.edu:8080/data/asl-ftp/asllvd/demos/verify_start_end_handshape_annotations//test_auto_move//signs_mov_separ_signers/Dana_16201.mov" TargetMode="External"/><Relationship Id="rId6439" Type="http://schemas.openxmlformats.org/officeDocument/2006/relationships/hyperlink" Target="http://csr.bu.edu/ftp/asl/asllvd/demos/verify_start_end_handshape_annotations//test_auto_move//signs_mov_separ_signers/Liz_681.mov" TargetMode="External"/><Relationship Id="rId6440" Type="http://schemas.openxmlformats.org/officeDocument/2006/relationships/hyperlink" Target="http://secrets.rutgers.edu:8080/data/asl-ftp/asllvd/demos/verify_start_end_handshape_annotations//test_auto_move//signs_mov_separ_signers/Liz_681.mov" TargetMode="External"/><Relationship Id="rId6441" Type="http://schemas.openxmlformats.org/officeDocument/2006/relationships/hyperlink" Target="http://csr.bu.edu/ftp/asl/asllvd/demos/verify_start_end_handshape_annotations//test_auto_move//signs_mov_separ_signers/Tyler_681.mov" TargetMode="External"/><Relationship Id="rId6442" Type="http://schemas.openxmlformats.org/officeDocument/2006/relationships/hyperlink" Target="http://secrets.rutgers.edu:8080/data/asl-ftp/asllvd/demos/verify_start_end_handshape_annotations//test_auto_move//signs_mov_separ_signers/Tyler_681.mov" TargetMode="External"/><Relationship Id="rId6443" Type="http://schemas.openxmlformats.org/officeDocument/2006/relationships/hyperlink" Target="http://csr.bu.edu/ftp/asl/asllvd/demos/verify_start_end_handshape_annotations//test_auto_move//signs_mov/681.mov" TargetMode="External"/><Relationship Id="rId6444" Type="http://schemas.openxmlformats.org/officeDocument/2006/relationships/hyperlink" Target="http://csr.bu.edu/ftp/asl/asllvd/demos/verify_start_end_handshape_annotations//test_auto_move//signs_mov_separ_signers/Naomi_681.mov" TargetMode="External"/><Relationship Id="rId6445" Type="http://schemas.openxmlformats.org/officeDocument/2006/relationships/hyperlink" Target="http://secrets.rutgers.edu:8080/data/asl-ftp/asllvd/demos/verify_start_end_handshape_annotations//test_auto_move//signs_mov/681.mov" TargetMode="External"/><Relationship Id="rId6446" Type="http://schemas.openxmlformats.org/officeDocument/2006/relationships/hyperlink" Target="http://secrets.rutgers.edu:8080/data/asl-ftp/asllvd/demos/verify_start_end_handshape_annotations//test_auto_move//signs_mov_separ_signers/Naomi_681.mov" TargetMode="External"/><Relationship Id="rId6447" Type="http://schemas.openxmlformats.org/officeDocument/2006/relationships/hyperlink" Target="http://csr.bu.edu/ftp/asl/asllvd/demos/verify_start_end_handshape_annotations//test_auto_move//signs_mov_separ_signers/Brady_681.mov" TargetMode="External"/><Relationship Id="rId6448" Type="http://schemas.openxmlformats.org/officeDocument/2006/relationships/hyperlink" Target="http://secrets.rutgers.edu:8080/data/asl-ftp/asllvd/demos/verify_start_end_handshape_annotations//test_auto_move//signs_mov_separ_signers/Brady_681.mov" TargetMode="External"/><Relationship Id="rId6449" Type="http://schemas.openxmlformats.org/officeDocument/2006/relationships/hyperlink" Target="http://csr.bu.edu/ftp/asl/asllvd/demos/verify_start_end_handshape_annotations//test_auto_move//signs_mov_separ_signers/Lana_681.mov" TargetMode="External"/><Relationship Id="rId6450" Type="http://schemas.openxmlformats.org/officeDocument/2006/relationships/hyperlink" Target="http://secrets.rutgers.edu:8080/data/asl-ftp/asllvd/demos/verify_start_end_handshape_annotations//test_auto_move//signs_mov_separ_signers/Lana_681.mov" TargetMode="External"/><Relationship Id="rId6451" Type="http://schemas.openxmlformats.org/officeDocument/2006/relationships/hyperlink" Target="http://csr.bu.edu/ftp/asl/asllvd/demos/verify_start_end_handshape_annotations//test_auto_move//signs_mov_separ_signers/Liz_15145.mov" TargetMode="External"/><Relationship Id="rId6452" Type="http://schemas.openxmlformats.org/officeDocument/2006/relationships/hyperlink" Target="http://secrets.rutgers.edu:8080/data/asl-ftp/asllvd/demos/verify_start_end_handshape_annotations//test_auto_move//signs_mov_separ_signers/Liz_15145.mov" TargetMode="External"/><Relationship Id="rId6453" Type="http://schemas.openxmlformats.org/officeDocument/2006/relationships/hyperlink" Target="http://csr.bu.edu/ftp/asl/asllvd/demos/verify_start_end_handshape_annotations//test_auto_move//signs_mov/15145.mov" TargetMode="External"/><Relationship Id="rId6454" Type="http://schemas.openxmlformats.org/officeDocument/2006/relationships/hyperlink" Target="http://csr.bu.edu/ftp/asl/asllvd/demos/verify_start_end_handshape_annotations//test_auto_move//signs_mov_separ_signers/Tyler_15145.mov" TargetMode="External"/><Relationship Id="rId6455" Type="http://schemas.openxmlformats.org/officeDocument/2006/relationships/hyperlink" Target="http://secrets.rutgers.edu:8080/data/asl-ftp/asllvd/demos/verify_start_end_handshape_annotations//test_auto_move//signs_mov/15145.mov" TargetMode="External"/><Relationship Id="rId6456" Type="http://schemas.openxmlformats.org/officeDocument/2006/relationships/hyperlink" Target="http://secrets.rutgers.edu:8080/data/asl-ftp/asllvd/demos/verify_start_end_handshape_annotations//test_auto_move//signs_mov_separ_signers/Tyler_15145.mov" TargetMode="External"/><Relationship Id="rId6457" Type="http://schemas.openxmlformats.org/officeDocument/2006/relationships/hyperlink" Target="http://csr.bu.edu/ftp/asl/asllvd/demos/verify_start_end_handshape_annotations//test_auto_move//signs_mov_separ_signers/Naomi_15145.mov" TargetMode="External"/><Relationship Id="rId6458" Type="http://schemas.openxmlformats.org/officeDocument/2006/relationships/hyperlink" Target="http://secrets.rutgers.edu:8080/data/asl-ftp/asllvd/demos/verify_start_end_handshape_annotations//test_auto_move//signs_mov_separ_signers/Naomi_15145.mov" TargetMode="External"/><Relationship Id="rId6459" Type="http://schemas.openxmlformats.org/officeDocument/2006/relationships/hyperlink" Target="http://csr.bu.edu/ftp/asl/asllvd/demos/verify_start_end_handshape_annotations//test_auto_move//signs_mov_separ_signers/Brady_15145.mov" TargetMode="External"/><Relationship Id="rId6460" Type="http://schemas.openxmlformats.org/officeDocument/2006/relationships/hyperlink" Target="http://secrets.rutgers.edu:8080/data/asl-ftp/asllvd/demos/verify_start_end_handshape_annotations//test_auto_move//signs_mov_separ_signers/Brady_15145.mov" TargetMode="External"/><Relationship Id="rId6461" Type="http://schemas.openxmlformats.org/officeDocument/2006/relationships/hyperlink" Target="http://csr.bu.edu/ftp/asl/asllvd/demos/verify_start_end_handshape_annotations//test_auto_move//signs_mov_separ_signers/Liz_16055.mov" TargetMode="External"/><Relationship Id="rId6462" Type="http://schemas.openxmlformats.org/officeDocument/2006/relationships/hyperlink" Target="http://secrets.rutgers.edu:8080/data/asl-ftp/asllvd/demos/verify_start_end_handshape_annotations//test_auto_move//signs_mov_separ_signers/Liz_16055.mov" TargetMode="External"/><Relationship Id="rId6463" Type="http://schemas.openxmlformats.org/officeDocument/2006/relationships/hyperlink" Target="http://csr.bu.edu/ftp/asl/asllvd/demos/verify_start_end_handshape_annotations//test_auto_move//signs_mov/16055.mov" TargetMode="External"/><Relationship Id="rId6464" Type="http://schemas.openxmlformats.org/officeDocument/2006/relationships/hyperlink" Target="http://csr.bu.edu/ftp/asl/asllvd/demos/verify_start_end_handshape_annotations//test_auto_move//signs_mov_separ_signers/Tyler_16055.mov" TargetMode="External"/><Relationship Id="rId6465" Type="http://schemas.openxmlformats.org/officeDocument/2006/relationships/hyperlink" Target="http://secrets.rutgers.edu:8080/data/asl-ftp/asllvd/demos/verify_start_end_handshape_annotations//test_auto_move//signs_mov/16055.mov" TargetMode="External"/><Relationship Id="rId6466" Type="http://schemas.openxmlformats.org/officeDocument/2006/relationships/hyperlink" Target="http://secrets.rutgers.edu:8080/data/asl-ftp/asllvd/demos/verify_start_end_handshape_annotations//test_auto_move//signs_mov_separ_signers/Tyler_16055.mov" TargetMode="External"/><Relationship Id="rId6467" Type="http://schemas.openxmlformats.org/officeDocument/2006/relationships/hyperlink" Target="http://csr.bu.edu/ftp/asl/asllvd/demos/verify_start_end_handshape_annotations//test_auto_move//signs_mov_separ_signers/Naomi_16055.mov" TargetMode="External"/><Relationship Id="rId6468" Type="http://schemas.openxmlformats.org/officeDocument/2006/relationships/hyperlink" Target="http://secrets.rutgers.edu:8080/data/asl-ftp/asllvd/demos/verify_start_end_handshape_annotations//test_auto_move//signs_mov_separ_signers/Naomi_16055.mov" TargetMode="External"/><Relationship Id="rId6469" Type="http://schemas.openxmlformats.org/officeDocument/2006/relationships/hyperlink" Target="http://csr.bu.edu/ftp/asl/asllvd/demos/verify_start_end_handshape_annotations//test_auto_move//signs_mov_separ_signers/Brady_16055.mov" TargetMode="External"/><Relationship Id="rId6470" Type="http://schemas.openxmlformats.org/officeDocument/2006/relationships/hyperlink" Target="http://secrets.rutgers.edu:8080/data/asl-ftp/asllvd/demos/verify_start_end_handshape_annotations//test_auto_move//signs_mov_separ_signers/Brady_16055.mov" TargetMode="External"/><Relationship Id="rId6471" Type="http://schemas.openxmlformats.org/officeDocument/2006/relationships/hyperlink" Target="http://csr.bu.edu/ftp/asl/asllvd/demos/verify_start_end_handshape_annotations//test_auto_move//signs_mov_separ_signers/Liz_682.mov" TargetMode="External"/><Relationship Id="rId6472" Type="http://schemas.openxmlformats.org/officeDocument/2006/relationships/hyperlink" Target="http://secrets.rutgers.edu:8080/data/asl-ftp/asllvd/demos/verify_start_end_handshape_annotations//test_auto_move//signs_mov_separ_signers/Liz_682.mov" TargetMode="External"/><Relationship Id="rId6473" Type="http://schemas.openxmlformats.org/officeDocument/2006/relationships/hyperlink" Target="http://csr.bu.edu/ftp/asl/asllvd/demos/verify_start_end_handshape_annotations//test_auto_move//signs_mov_separ_signers/Liz_3686.mov" TargetMode="External"/><Relationship Id="rId6474" Type="http://schemas.openxmlformats.org/officeDocument/2006/relationships/hyperlink" Target="http://secrets.rutgers.edu:8080/data/asl-ftp/asllvd/demos/verify_start_end_handshape_annotations//test_auto_move//signs_mov_separ_signers/Liz_3686.mov" TargetMode="External"/><Relationship Id="rId6475" Type="http://schemas.openxmlformats.org/officeDocument/2006/relationships/hyperlink" Target="http://csr.bu.edu/ftp/asl/asllvd/demos/verify_start_end_handshape_annotations//test_auto_move//signs_mov_separ_signers/Tyler_682.mov" TargetMode="External"/><Relationship Id="rId6476" Type="http://schemas.openxmlformats.org/officeDocument/2006/relationships/hyperlink" Target="http://secrets.rutgers.edu:8080/data/asl-ftp/asllvd/demos/verify_start_end_handshape_annotations//test_auto_move//signs_mov_separ_signers/Tyler_682.mov" TargetMode="External"/><Relationship Id="rId6477" Type="http://schemas.openxmlformats.org/officeDocument/2006/relationships/hyperlink" Target="http://csr.bu.edu/ftp/asl/asllvd/demos/verify_start_end_handshape_annotations//test_auto_move//signs_mov_separ_signers/Tyler_3686.mov" TargetMode="External"/><Relationship Id="rId6478" Type="http://schemas.openxmlformats.org/officeDocument/2006/relationships/hyperlink" Target="http://secrets.rutgers.edu:8080/data/asl-ftp/asllvd/demos/verify_start_end_handshape_annotations//test_auto_move//signs_mov_separ_signers/Tyler_3686.mov" TargetMode="External"/><Relationship Id="rId6479" Type="http://schemas.openxmlformats.org/officeDocument/2006/relationships/hyperlink" Target="http://csr.bu.edu/ftp/asl/asllvd/demos/verify_start_end_handshape_annotations//test_auto_move//signs_mov/682_3686_5284_merged.mov" TargetMode="External"/><Relationship Id="rId6480" Type="http://schemas.openxmlformats.org/officeDocument/2006/relationships/hyperlink" Target="http://csr.bu.edu/ftp/asl/asllvd/demos/verify_start_end_handshape_annotations//test_auto_move//signs_mov_separ_signers/Naomi_682.mov" TargetMode="External"/><Relationship Id="rId6481" Type="http://schemas.openxmlformats.org/officeDocument/2006/relationships/hyperlink" Target="http://secrets.rutgers.edu:8080/data/asl-ftp/asllvd/demos/verify_start_end_handshape_annotations//test_auto_move//signs_mov/682_3686_5284_merged.mov" TargetMode="External"/><Relationship Id="rId6482" Type="http://schemas.openxmlformats.org/officeDocument/2006/relationships/hyperlink" Target="http://secrets.rutgers.edu:8080/data/asl-ftp/asllvd/demos/verify_start_end_handshape_annotations//test_auto_move//signs_mov_separ_signers/Naomi_682.mov" TargetMode="External"/><Relationship Id="rId6483" Type="http://schemas.openxmlformats.org/officeDocument/2006/relationships/hyperlink" Target="http://csr.bu.edu/ftp/asl/asllvd/demos/verify_start_end_handshape_annotations//test_auto_move//signs_mov_separ_signers/Brady_682.mov" TargetMode="External"/><Relationship Id="rId6484" Type="http://schemas.openxmlformats.org/officeDocument/2006/relationships/hyperlink" Target="http://secrets.rutgers.edu:8080/data/asl-ftp/asllvd/demos/verify_start_end_handshape_annotations//test_auto_move//signs_mov_separ_signers/Brady_682.mov" TargetMode="External"/><Relationship Id="rId6485" Type="http://schemas.openxmlformats.org/officeDocument/2006/relationships/hyperlink" Target="http://csr.bu.edu/ftp/asl/asllvd/demos/verify_start_end_handshape_annotations//test_auto_move//signs_mov_separ_signers/Brady_3686.mov" TargetMode="External"/><Relationship Id="rId6486" Type="http://schemas.openxmlformats.org/officeDocument/2006/relationships/hyperlink" Target="http://secrets.rutgers.edu:8080/data/asl-ftp/asllvd/demos/verify_start_end_handshape_annotations//test_auto_move//signs_mov_separ_signers/Brady_3686.mov" TargetMode="External"/><Relationship Id="rId6487" Type="http://schemas.openxmlformats.org/officeDocument/2006/relationships/hyperlink" Target="http://csr.bu.edu/ftp/asl/asllvd/demos/verify_start_end_handshape_annotations//test_auto_move//signs_mov_separ_signers/Brady_5284.mov" TargetMode="External"/><Relationship Id="rId6488" Type="http://schemas.openxmlformats.org/officeDocument/2006/relationships/hyperlink" Target="http://secrets.rutgers.edu:8080/data/asl-ftp/asllvd/demos/verify_start_end_handshape_annotations//test_auto_move//signs_mov_separ_signers/Brady_5284.mov" TargetMode="External"/><Relationship Id="rId6489" Type="http://schemas.openxmlformats.org/officeDocument/2006/relationships/hyperlink" Target="http://csr.bu.edu/ftp/asl/asllvd/demos/verify_start_end_handshape_annotations//test_auto_move//signs_mov_separ_signers/Lana_682.mov" TargetMode="External"/><Relationship Id="rId6490" Type="http://schemas.openxmlformats.org/officeDocument/2006/relationships/hyperlink" Target="http://secrets.rutgers.edu:8080/data/asl-ftp/asllvd/demos/verify_start_end_handshape_annotations//test_auto_move//signs_mov_separ_signers/Lana_682.mov" TargetMode="External"/><Relationship Id="rId6491" Type="http://schemas.openxmlformats.org/officeDocument/2006/relationships/hyperlink" Target="http://csr.bu.edu/ftp/asl/asllvd/demos/verify_start_end_handshape_annotations//test_auto_move//signs_mov_separ_signers/Dana_682.mov" TargetMode="External"/><Relationship Id="rId6492" Type="http://schemas.openxmlformats.org/officeDocument/2006/relationships/hyperlink" Target="http://secrets.rutgers.edu:8080/data/asl-ftp/asllvd/demos/verify_start_end_handshape_annotations//test_auto_move//signs_mov_separ_signers/Dana_682.mov" TargetMode="External"/><Relationship Id="rId6493" Type="http://schemas.openxmlformats.org/officeDocument/2006/relationships/hyperlink" Target="http://csr.bu.edu/ftp/asl/asllvd/demos/verify_start_end_handshape_annotations//test_auto_move//signs_mov/15850.mov" TargetMode="External"/><Relationship Id="rId6494" Type="http://schemas.openxmlformats.org/officeDocument/2006/relationships/hyperlink" Target="http://csr.bu.edu/ftp/asl/asllvd/demos/verify_start_end_handshape_annotations//test_auto_move//signs_mov_separ_signers/Liz_15850.mov" TargetMode="External"/><Relationship Id="rId6495" Type="http://schemas.openxmlformats.org/officeDocument/2006/relationships/hyperlink" Target="http://secrets.rutgers.edu:8080/data/asl-ftp/asllvd/demos/verify_start_end_handshape_annotations//test_auto_move//signs_mov/15850.mov" TargetMode="External"/><Relationship Id="rId6496" Type="http://schemas.openxmlformats.org/officeDocument/2006/relationships/hyperlink" Target="http://secrets.rutgers.edu:8080/data/asl-ftp/asllvd/demos/verify_start_end_handshape_annotations//test_auto_move//signs_mov_separ_signers/Liz_15850.mov" TargetMode="External"/><Relationship Id="rId6497" Type="http://schemas.openxmlformats.org/officeDocument/2006/relationships/hyperlink" Target="http://csr.bu.edu/ftp/asl/asllvd/demos/verify_start_end_handshape_annotations//test_auto_move//signs_mov_separ_signers/Brady_15850.mov" TargetMode="External"/><Relationship Id="rId6498" Type="http://schemas.openxmlformats.org/officeDocument/2006/relationships/hyperlink" Target="http://secrets.rutgers.edu:8080/data/asl-ftp/asllvd/demos/verify_start_end_handshape_annotations//test_auto_move//signs_mov_separ_signers/Brady_15850.mov" TargetMode="External"/><Relationship Id="rId6499" Type="http://schemas.openxmlformats.org/officeDocument/2006/relationships/hyperlink" Target="http://csr.bu.edu/ftp/asl/asllvd/demos/verify_start_end_handshape_annotations//test_auto_move//signs_mov_separ_signers/Liz_15863.mov" TargetMode="External"/><Relationship Id="rId6500" Type="http://schemas.openxmlformats.org/officeDocument/2006/relationships/hyperlink" Target="http://secrets.rutgers.edu:8080/data/asl-ftp/asllvd/demos/verify_start_end_handshape_annotations//test_auto_move//signs_mov_separ_signers/Liz_15863.mov" TargetMode="External"/><Relationship Id="rId6501" Type="http://schemas.openxmlformats.org/officeDocument/2006/relationships/hyperlink" Target="http://csr.bu.edu/ftp/asl/asllvd/demos/verify_start_end_handshape_annotations//test_auto_move//signs_mov/15863.mov" TargetMode="External"/><Relationship Id="rId6502" Type="http://schemas.openxmlformats.org/officeDocument/2006/relationships/hyperlink" Target="http://csr.bu.edu/ftp/asl/asllvd/demos/verify_start_end_handshape_annotations//test_auto_move//signs_mov_separ_signers/Naomi_15863.mov" TargetMode="External"/><Relationship Id="rId6503" Type="http://schemas.openxmlformats.org/officeDocument/2006/relationships/hyperlink" Target="http://secrets.rutgers.edu:8080/data/asl-ftp/asllvd/demos/verify_start_end_handshape_annotations//test_auto_move//signs_mov/15863.mov" TargetMode="External"/><Relationship Id="rId6504" Type="http://schemas.openxmlformats.org/officeDocument/2006/relationships/hyperlink" Target="http://secrets.rutgers.edu:8080/data/asl-ftp/asllvd/demos/verify_start_end_handshape_annotations//test_auto_move//signs_mov_separ_signers/Naomi_15863.mov" TargetMode="External"/><Relationship Id="rId6505" Type="http://schemas.openxmlformats.org/officeDocument/2006/relationships/hyperlink" Target="http://csr.bu.edu/ftp/asl/asllvd/demos/verify_start_end_handshape_annotations//test_auto_move//signs_mov_separ_signers/Brady_15863.mov" TargetMode="External"/><Relationship Id="rId6506" Type="http://schemas.openxmlformats.org/officeDocument/2006/relationships/hyperlink" Target="http://secrets.rutgers.edu:8080/data/asl-ftp/asllvd/demos/verify_start_end_handshape_annotations//test_auto_move//signs_mov_separ_signers/Brady_15863.mov" TargetMode="External"/><Relationship Id="rId6507" Type="http://schemas.openxmlformats.org/officeDocument/2006/relationships/hyperlink" Target="http://csr.bu.edu/ftp/asl/asllvd/demos/verify_start_end_handshape_annotations//test_auto_move//signs_mov/16176.mov" TargetMode="External"/><Relationship Id="rId6508" Type="http://schemas.openxmlformats.org/officeDocument/2006/relationships/hyperlink" Target="http://csr.bu.edu/ftp/asl/asllvd/demos/verify_start_end_handshape_annotations//test_auto_move//signs_mov_separ_signers/Tyler_16176.mov" TargetMode="External"/><Relationship Id="rId6509" Type="http://schemas.openxmlformats.org/officeDocument/2006/relationships/hyperlink" Target="http://secrets.rutgers.edu:8080/data/asl-ftp/asllvd/demos/verify_start_end_handshape_annotations//test_auto_move//signs_mov/16176.mov" TargetMode="External"/><Relationship Id="rId6510" Type="http://schemas.openxmlformats.org/officeDocument/2006/relationships/hyperlink" Target="http://secrets.rutgers.edu:8080/data/asl-ftp/asllvd/demos/verify_start_end_handshape_annotations//test_auto_move//signs_mov_separ_signers/Tyler_16176.mov" TargetMode="External"/><Relationship Id="rId6511" Type="http://schemas.openxmlformats.org/officeDocument/2006/relationships/hyperlink" Target="http://csr.bu.edu/ftp/asl/asllvd/demos/verify_start_end_handshape_annotations//test_auto_move//signs_mov/16324.mov" TargetMode="External"/><Relationship Id="rId6512" Type="http://schemas.openxmlformats.org/officeDocument/2006/relationships/hyperlink" Target="http://csr.bu.edu/ftp/asl/asllvd/demos/verify_start_end_handshape_annotations//test_auto_move//signs_mov_separ_signers/Liz_16324.mov" TargetMode="External"/><Relationship Id="rId6513" Type="http://schemas.openxmlformats.org/officeDocument/2006/relationships/hyperlink" Target="http://secrets.rutgers.edu:8080/data/asl-ftp/asllvd/demos/verify_start_end_handshape_annotations//test_auto_move//signs_mov/16324.mov" TargetMode="External"/><Relationship Id="rId6514" Type="http://schemas.openxmlformats.org/officeDocument/2006/relationships/hyperlink" Target="http://secrets.rutgers.edu:8080/data/asl-ftp/asllvd/demos/verify_start_end_handshape_annotations//test_auto_move//signs_mov_separ_signers/Liz_16324.mov" TargetMode="External"/><Relationship Id="rId6515" Type="http://schemas.openxmlformats.org/officeDocument/2006/relationships/hyperlink" Target="http://csr.bu.edu/ftp/asl/asllvd/demos/verify_start_end_handshape_annotations//test_auto_move//signs_mov_separ_signers/Brady_16324.mov" TargetMode="External"/><Relationship Id="rId6516" Type="http://schemas.openxmlformats.org/officeDocument/2006/relationships/hyperlink" Target="http://secrets.rutgers.edu:8080/data/asl-ftp/asllvd/demos/verify_start_end_handshape_annotations//test_auto_move//signs_mov_separ_signers/Brady_16324.mov" TargetMode="External"/><Relationship Id="rId6517" Type="http://schemas.openxmlformats.org/officeDocument/2006/relationships/hyperlink" Target="http://csr.bu.edu/ftp/asl/asllvd/demos/verify_start_end_handshape_annotations//test_auto_move//signs_mov/683.mov" TargetMode="External"/><Relationship Id="rId6518" Type="http://schemas.openxmlformats.org/officeDocument/2006/relationships/hyperlink" Target="http://csr.bu.edu/ftp/asl/asllvd/demos/verify_start_end_handshape_annotations//test_auto_move//signs_mov_separ_signers/Liz_683.mov" TargetMode="External"/><Relationship Id="rId6519" Type="http://schemas.openxmlformats.org/officeDocument/2006/relationships/hyperlink" Target="http://secrets.rutgers.edu:8080/data/asl-ftp/asllvd/demos/verify_start_end_handshape_annotations//test_auto_move//signs_mov/683.mov" TargetMode="External"/><Relationship Id="rId6520" Type="http://schemas.openxmlformats.org/officeDocument/2006/relationships/hyperlink" Target="http://secrets.rutgers.edu:8080/data/asl-ftp/asllvd/demos/verify_start_end_handshape_annotations//test_auto_move//signs_mov_separ_signers/Liz_683.mov" TargetMode="External"/><Relationship Id="rId6521" Type="http://schemas.openxmlformats.org/officeDocument/2006/relationships/hyperlink" Target="http://csr.bu.edu/ftp/asl/asllvd/demos/verify_start_end_handshape_annotations//test_auto_move//signs_mov_separ_signers/Naomi_683.mov" TargetMode="External"/><Relationship Id="rId6522" Type="http://schemas.openxmlformats.org/officeDocument/2006/relationships/hyperlink" Target="http://secrets.rutgers.edu:8080/data/asl-ftp/asllvd/demos/verify_start_end_handshape_annotations//test_auto_move//signs_mov_separ_signers/Naomi_683.mov" TargetMode="External"/><Relationship Id="rId6523" Type="http://schemas.openxmlformats.org/officeDocument/2006/relationships/hyperlink" Target="http://csr.bu.edu/ftp/asl/asllvd/demos/verify_start_end_handshape_annotations//test_auto_move//signs_mov/5163.mov" TargetMode="External"/><Relationship Id="rId6524" Type="http://schemas.openxmlformats.org/officeDocument/2006/relationships/hyperlink" Target="http://csr.bu.edu/ftp/asl/asllvd/demos/verify_start_end_handshape_annotations//test_auto_move//signs_mov_separ_signers/Tyler_5163.mov" TargetMode="External"/><Relationship Id="rId6525" Type="http://schemas.openxmlformats.org/officeDocument/2006/relationships/hyperlink" Target="http://secrets.rutgers.edu:8080/data/asl-ftp/asllvd/demos/verify_start_end_handshape_annotations//test_auto_move//signs_mov/5163.mov" TargetMode="External"/><Relationship Id="rId6526" Type="http://schemas.openxmlformats.org/officeDocument/2006/relationships/hyperlink" Target="http://secrets.rutgers.edu:8080/data/asl-ftp/asllvd/demos/verify_start_end_handshape_annotations//test_auto_move//signs_mov_separ_signers/Tyler_5163.mov" TargetMode="External"/><Relationship Id="rId6527" Type="http://schemas.openxmlformats.org/officeDocument/2006/relationships/hyperlink" Target="http://csr.bu.edu/ftp/asl/asllvd/demos/verify_start_end_handshape_annotations//test_auto_move//signs_mov_separ_signers/Brady_5163.mov" TargetMode="External"/><Relationship Id="rId6528" Type="http://schemas.openxmlformats.org/officeDocument/2006/relationships/hyperlink" Target="http://secrets.rutgers.edu:8080/data/asl-ftp/asllvd/demos/verify_start_end_handshape_annotations//test_auto_move//signs_mov_separ_signers/Brady_5163.mov" TargetMode="External"/><Relationship Id="rId6529" Type="http://schemas.openxmlformats.org/officeDocument/2006/relationships/hyperlink" Target="http://csr.bu.edu/ftp/asl/asllvd/demos/verify_start_end_handshape_annotations//test_auto_move//signs_mov_separ_signers/Liz_688.mov" TargetMode="External"/><Relationship Id="rId6530" Type="http://schemas.openxmlformats.org/officeDocument/2006/relationships/hyperlink" Target="http://secrets.rutgers.edu:8080/data/asl-ftp/asllvd/demos/verify_start_end_handshape_annotations//test_auto_move//signs_mov_separ_signers/Liz_688.mov" TargetMode="External"/><Relationship Id="rId6531" Type="http://schemas.openxmlformats.org/officeDocument/2006/relationships/hyperlink" Target="http://csr.bu.edu/ftp/asl/asllvd/demos/verify_start_end_handshape_annotations//test_auto_move//signs_mov_separ_signers/Liz_5727.mov" TargetMode="External"/><Relationship Id="rId6532" Type="http://schemas.openxmlformats.org/officeDocument/2006/relationships/hyperlink" Target="http://secrets.rutgers.edu:8080/data/asl-ftp/asllvd/demos/verify_start_end_handshape_annotations//test_auto_move//signs_mov_separ_signers/Liz_5727.mov" TargetMode="External"/><Relationship Id="rId6533" Type="http://schemas.openxmlformats.org/officeDocument/2006/relationships/hyperlink" Target="http://csr.bu.edu/ftp/asl/asllvd/demos/verify_start_end_handshape_annotations//test_auto_move//signs_mov/688_5727_merged.mov" TargetMode="External"/><Relationship Id="rId6534" Type="http://schemas.openxmlformats.org/officeDocument/2006/relationships/hyperlink" Target="http://csr.bu.edu/ftp/asl/asllvd/demos/verify_start_end_handshape_annotations//test_auto_move//signs_mov_separ_signers/Tyler_688.mov" TargetMode="External"/><Relationship Id="rId6535" Type="http://schemas.openxmlformats.org/officeDocument/2006/relationships/hyperlink" Target="http://secrets.rutgers.edu:8080/data/asl-ftp/asllvd/demos/verify_start_end_handshape_annotations//test_auto_move//signs_mov/688_5727_merged.mov" TargetMode="External"/><Relationship Id="rId6536" Type="http://schemas.openxmlformats.org/officeDocument/2006/relationships/hyperlink" Target="http://secrets.rutgers.edu:8080/data/asl-ftp/asllvd/demos/verify_start_end_handshape_annotations//test_auto_move//signs_mov_separ_signers/Tyler_688.mov" TargetMode="External"/><Relationship Id="rId6537" Type="http://schemas.openxmlformats.org/officeDocument/2006/relationships/hyperlink" Target="http://csr.bu.edu/ftp/asl/asllvd/demos/verify_start_end_handshape_annotations//test_auto_move//signs_mov_separ_signers/Naomi_688.mov" TargetMode="External"/><Relationship Id="rId6538" Type="http://schemas.openxmlformats.org/officeDocument/2006/relationships/hyperlink" Target="http://secrets.rutgers.edu:8080/data/asl-ftp/asllvd/demos/verify_start_end_handshape_annotations//test_auto_move//signs_mov_separ_signers/Naomi_688.mov" TargetMode="External"/><Relationship Id="rId6539" Type="http://schemas.openxmlformats.org/officeDocument/2006/relationships/hyperlink" Target="http://csr.bu.edu/ftp/asl/asllvd/demos/verify_start_end_handshape_annotations//test_auto_move//signs_mov_separ_signers/Brady_688.mov" TargetMode="External"/><Relationship Id="rId6540" Type="http://schemas.openxmlformats.org/officeDocument/2006/relationships/hyperlink" Target="http://secrets.rutgers.edu:8080/data/asl-ftp/asllvd/demos/verify_start_end_handshape_annotations//test_auto_move//signs_mov_separ_signers/Brady_688.mov" TargetMode="External"/><Relationship Id="rId6541" Type="http://schemas.openxmlformats.org/officeDocument/2006/relationships/hyperlink" Target="http://csr.bu.edu/ftp/asl/asllvd/demos/verify_start_end_handshape_annotations//test_auto_move//signs_mov_separ_signers/Brady_5727.mov" TargetMode="External"/><Relationship Id="rId6542" Type="http://schemas.openxmlformats.org/officeDocument/2006/relationships/hyperlink" Target="http://secrets.rutgers.edu:8080/data/asl-ftp/asllvd/demos/verify_start_end_handshape_annotations//test_auto_move//signs_mov_separ_signers/Brady_5727.mov" TargetMode="External"/><Relationship Id="rId6543" Type="http://schemas.openxmlformats.org/officeDocument/2006/relationships/hyperlink" Target="http://csr.bu.edu/ftp/asl/asllvd/demos/verify_start_end_handshape_annotations//test_auto_move//signs_mov_separ_signers/Liz_689.mov" TargetMode="External"/><Relationship Id="rId6544" Type="http://schemas.openxmlformats.org/officeDocument/2006/relationships/hyperlink" Target="http://secrets.rutgers.edu:8080/data/asl-ftp/asllvd/demos/verify_start_end_handshape_annotations//test_auto_move//signs_mov_separ_signers/Liz_689.mov" TargetMode="External"/><Relationship Id="rId6545" Type="http://schemas.openxmlformats.org/officeDocument/2006/relationships/hyperlink" Target="http://csr.bu.edu/ftp/asl/asllvd/demos/verify_start_end_handshape_annotations//test_auto_move//signs_mov_separ_signers/Liz_3628.mov" TargetMode="External"/><Relationship Id="rId6546" Type="http://schemas.openxmlformats.org/officeDocument/2006/relationships/hyperlink" Target="http://secrets.rutgers.edu:8080/data/asl-ftp/asllvd/demos/verify_start_end_handshape_annotations//test_auto_move//signs_mov_separ_signers/Liz_3628.mov" TargetMode="External"/><Relationship Id="rId6547" Type="http://schemas.openxmlformats.org/officeDocument/2006/relationships/hyperlink" Target="http://csr.bu.edu/ftp/asl/asllvd/demos/verify_start_end_handshape_annotations//test_auto_move//signs_mov_separ_signers/Liz_3629.mov" TargetMode="External"/><Relationship Id="rId6548" Type="http://schemas.openxmlformats.org/officeDocument/2006/relationships/hyperlink" Target="http://secrets.rutgers.edu:8080/data/asl-ftp/asllvd/demos/verify_start_end_handshape_annotations//test_auto_move//signs_mov_separ_signers/Liz_3629.mov" TargetMode="External"/><Relationship Id="rId6549" Type="http://schemas.openxmlformats.org/officeDocument/2006/relationships/hyperlink" Target="http://csr.bu.edu/ftp/asl/asllvd/demos/verify_start_end_handshape_annotations//test_auto_move//signs_mov_separ_signers/Liz_3637.mov" TargetMode="External"/><Relationship Id="rId6550" Type="http://schemas.openxmlformats.org/officeDocument/2006/relationships/hyperlink" Target="http://secrets.rutgers.edu:8080/data/asl-ftp/asllvd/demos/verify_start_end_handshape_annotations//test_auto_move//signs_mov_separ_signers/Liz_3637.mov" TargetMode="External"/><Relationship Id="rId6551" Type="http://schemas.openxmlformats.org/officeDocument/2006/relationships/hyperlink" Target="http://csr.bu.edu/ftp/asl/asllvd/demos/verify_start_end_handshape_annotations//test_auto_move//signs_mov_separ_signers/Tyler_689.mov" TargetMode="External"/><Relationship Id="rId6552" Type="http://schemas.openxmlformats.org/officeDocument/2006/relationships/hyperlink" Target="http://secrets.rutgers.edu:8080/data/asl-ftp/asllvd/demos/verify_start_end_handshape_annotations//test_auto_move//signs_mov_separ_signers/Tyler_689.mov" TargetMode="External"/><Relationship Id="rId6553" Type="http://schemas.openxmlformats.org/officeDocument/2006/relationships/hyperlink" Target="http://csr.bu.edu/ftp/asl/asllvd/demos/verify_start_end_handshape_annotations//test_auto_move//signs_mov_separ_signers/Tyler_3628.mov" TargetMode="External"/><Relationship Id="rId6554" Type="http://schemas.openxmlformats.org/officeDocument/2006/relationships/hyperlink" Target="http://secrets.rutgers.edu:8080/data/asl-ftp/asllvd/demos/verify_start_end_handshape_annotations//test_auto_move//signs_mov_separ_signers/Tyler_3628.mov" TargetMode="External"/><Relationship Id="rId6555" Type="http://schemas.openxmlformats.org/officeDocument/2006/relationships/hyperlink" Target="http://csr.bu.edu/ftp/asl/asllvd/demos/verify_start_end_handshape_annotations//test_auto_move//signs_mov_separ_signers/Naomi_689.mov" TargetMode="External"/><Relationship Id="rId6556" Type="http://schemas.openxmlformats.org/officeDocument/2006/relationships/hyperlink" Target="http://secrets.rutgers.edu:8080/data/asl-ftp/asllvd/demos/verify_start_end_handshape_annotations//test_auto_move//signs_mov_separ_signers/Naomi_689.mov" TargetMode="External"/><Relationship Id="rId6557" Type="http://schemas.openxmlformats.org/officeDocument/2006/relationships/hyperlink" Target="http://csr.bu.edu/ftp/asl/asllvd/demos/verify_start_end_handshape_annotations//test_auto_move//signs_mov/689_3628_3629_3637_merged.mov" TargetMode="External"/><Relationship Id="rId6558" Type="http://schemas.openxmlformats.org/officeDocument/2006/relationships/hyperlink" Target="http://csr.bu.edu/ftp/asl/asllvd/demos/verify_start_end_handshape_annotations//test_auto_move//signs_mov_separ_signers/Naomi_3628.mov" TargetMode="External"/><Relationship Id="rId6559" Type="http://schemas.openxmlformats.org/officeDocument/2006/relationships/hyperlink" Target="http://secrets.rutgers.edu:8080/data/asl-ftp/asllvd/demos/verify_start_end_handshape_annotations//test_auto_move//signs_mov/689_3628_3629_3637_merged.mov" TargetMode="External"/><Relationship Id="rId6560" Type="http://schemas.openxmlformats.org/officeDocument/2006/relationships/hyperlink" Target="http://secrets.rutgers.edu:8080/data/asl-ftp/asllvd/demos/verify_start_end_handshape_annotations//test_auto_move//signs_mov_separ_signers/Naomi_3628.mov" TargetMode="External"/><Relationship Id="rId6561" Type="http://schemas.openxmlformats.org/officeDocument/2006/relationships/hyperlink" Target="http://csr.bu.edu/ftp/asl/asllvd/demos/verify_start_end_handshape_annotations//test_auto_move//signs_mov_separ_signers/Naomi_3629.mov" TargetMode="External"/><Relationship Id="rId6562" Type="http://schemas.openxmlformats.org/officeDocument/2006/relationships/hyperlink" Target="http://secrets.rutgers.edu:8080/data/asl-ftp/asllvd/demos/verify_start_end_handshape_annotations//test_auto_move//signs_mov_separ_signers/Naomi_3629.mov" TargetMode="External"/><Relationship Id="rId6563" Type="http://schemas.openxmlformats.org/officeDocument/2006/relationships/hyperlink" Target="http://csr.bu.edu/ftp/asl/asllvd/demos/verify_start_end_handshape_annotations//test_auto_move//signs_mov_separ_signers/Naomi_3637.mov" TargetMode="External"/><Relationship Id="rId6564" Type="http://schemas.openxmlformats.org/officeDocument/2006/relationships/hyperlink" Target="http://secrets.rutgers.edu:8080/data/asl-ftp/asllvd/demos/verify_start_end_handshape_annotations//test_auto_move//signs_mov_separ_signers/Naomi_3637.mov" TargetMode="External"/><Relationship Id="rId6565" Type="http://schemas.openxmlformats.org/officeDocument/2006/relationships/hyperlink" Target="http://csr.bu.edu/ftp/asl/asllvd/demos/verify_start_end_handshape_annotations//test_auto_move//signs_mov_separ_signers/Brady_689.mov" TargetMode="External"/><Relationship Id="rId6566" Type="http://schemas.openxmlformats.org/officeDocument/2006/relationships/hyperlink" Target="http://secrets.rutgers.edu:8080/data/asl-ftp/asllvd/demos/verify_start_end_handshape_annotations//test_auto_move//signs_mov_separ_signers/Brady_689.mov" TargetMode="External"/><Relationship Id="rId6567" Type="http://schemas.openxmlformats.org/officeDocument/2006/relationships/hyperlink" Target="http://csr.bu.edu/ftp/asl/asllvd/demos/verify_start_end_handshape_annotations//test_auto_move//signs_mov_separ_signers/Brady_3628.mov" TargetMode="External"/><Relationship Id="rId6568" Type="http://schemas.openxmlformats.org/officeDocument/2006/relationships/hyperlink" Target="http://secrets.rutgers.edu:8080/data/asl-ftp/asllvd/demos/verify_start_end_handshape_annotations//test_auto_move//signs_mov_separ_signers/Brady_3628.mov" TargetMode="External"/><Relationship Id="rId6569" Type="http://schemas.openxmlformats.org/officeDocument/2006/relationships/hyperlink" Target="http://csr.bu.edu/ftp/asl/asllvd/demos/verify_start_end_handshape_annotations//test_auto_move//signs_mov_separ_signers/Brady_3629.mov" TargetMode="External"/><Relationship Id="rId6570" Type="http://schemas.openxmlformats.org/officeDocument/2006/relationships/hyperlink" Target="http://secrets.rutgers.edu:8080/data/asl-ftp/asllvd/demos/verify_start_end_handshape_annotations//test_auto_move//signs_mov_separ_signers/Brady_3629.mov" TargetMode="External"/><Relationship Id="rId6571" Type="http://schemas.openxmlformats.org/officeDocument/2006/relationships/hyperlink" Target="http://csr.bu.edu/ftp/asl/asllvd/demos/verify_start_end_handshape_annotations//test_auto_move//signs_mov_separ_signers/Brady_3637.mov" TargetMode="External"/><Relationship Id="rId6572" Type="http://schemas.openxmlformats.org/officeDocument/2006/relationships/hyperlink" Target="http://secrets.rutgers.edu:8080/data/asl-ftp/asllvd/demos/verify_start_end_handshape_annotations//test_auto_move//signs_mov_separ_signers/Brady_3637.mov" TargetMode="External"/><Relationship Id="rId6573" Type="http://schemas.openxmlformats.org/officeDocument/2006/relationships/hyperlink" Target="http://csr.bu.edu/ftp/asl/asllvd/demos/verify_start_end_handshape_annotations//test_auto_move//signs_mov_separ_signers/Lana_689.mov" TargetMode="External"/><Relationship Id="rId6574" Type="http://schemas.openxmlformats.org/officeDocument/2006/relationships/hyperlink" Target="http://secrets.rutgers.edu:8080/data/asl-ftp/asllvd/demos/verify_start_end_handshape_annotations//test_auto_move//signs_mov_separ_signers/Lana_689.mov" TargetMode="External"/><Relationship Id="rId6575" Type="http://schemas.openxmlformats.org/officeDocument/2006/relationships/hyperlink" Target="http://csr.bu.edu/ftp/asl/asllvd/demos/verify_start_end_handshape_annotations//test_auto_move//signs_mov_separ_signers/Dana_689.mov" TargetMode="External"/><Relationship Id="rId6576" Type="http://schemas.openxmlformats.org/officeDocument/2006/relationships/hyperlink" Target="http://secrets.rutgers.edu:8080/data/asl-ftp/asllvd/demos/verify_start_end_handshape_annotations//test_auto_move//signs_mov_separ_signers/Dana_689.mov" TargetMode="External"/><Relationship Id="rId6577" Type="http://schemas.openxmlformats.org/officeDocument/2006/relationships/hyperlink" Target="http://csr.bu.edu/ftp/asl/asllvd/demos/verify_start_end_handshape_annotations//test_auto_move//signs_mov_separ_signers/Liz_3638.mov" TargetMode="External"/><Relationship Id="rId6578" Type="http://schemas.openxmlformats.org/officeDocument/2006/relationships/hyperlink" Target="http://secrets.rutgers.edu:8080/data/asl-ftp/asllvd/demos/verify_start_end_handshape_annotations//test_auto_move//signs_mov_separ_signers/Liz_3638.mov" TargetMode="External"/><Relationship Id="rId6579" Type="http://schemas.openxmlformats.org/officeDocument/2006/relationships/hyperlink" Target="http://csr.bu.edu/ftp/asl/asllvd/demos/verify_start_end_handshape_annotations//test_auto_move//signs_mov_separ_signers/Liz_5322.mov" TargetMode="External"/><Relationship Id="rId6580" Type="http://schemas.openxmlformats.org/officeDocument/2006/relationships/hyperlink" Target="http://secrets.rutgers.edu:8080/data/asl-ftp/asllvd/demos/verify_start_end_handshape_annotations//test_auto_move//signs_mov_separ_signers/Liz_5322.mov" TargetMode="External"/><Relationship Id="rId6581" Type="http://schemas.openxmlformats.org/officeDocument/2006/relationships/hyperlink" Target="http://csr.bu.edu/ftp/asl/asllvd/demos/verify_start_end_handshape_annotations//test_auto_move//signs_mov_separ_signers/Tyler_3638.mov" TargetMode="External"/><Relationship Id="rId6582" Type="http://schemas.openxmlformats.org/officeDocument/2006/relationships/hyperlink" Target="http://secrets.rutgers.edu:8080/data/asl-ftp/asllvd/demos/verify_start_end_handshape_annotations//test_auto_move//signs_mov_separ_signers/Tyler_3638.mov" TargetMode="External"/><Relationship Id="rId6583" Type="http://schemas.openxmlformats.org/officeDocument/2006/relationships/hyperlink" Target="http://csr.bu.edu/ftp/asl/asllvd/demos/verify_start_end_handshape_annotations//test_auto_move//signs_mov_separ_signers/Tyler_5322.mov" TargetMode="External"/><Relationship Id="rId6584" Type="http://schemas.openxmlformats.org/officeDocument/2006/relationships/hyperlink" Target="http://secrets.rutgers.edu:8080/data/asl-ftp/asllvd/demos/verify_start_end_handshape_annotations//test_auto_move//signs_mov_separ_signers/Tyler_5322.mov" TargetMode="External"/><Relationship Id="rId6585" Type="http://schemas.openxmlformats.org/officeDocument/2006/relationships/hyperlink" Target="http://csr.bu.edu/ftp/asl/asllvd/demos/verify_start_end_handshape_annotations//test_auto_move//signs_mov/3638_5322_16338_merged.mov" TargetMode="External"/><Relationship Id="rId6586" Type="http://schemas.openxmlformats.org/officeDocument/2006/relationships/hyperlink" Target="http://csr.bu.edu/ftp/asl/asllvd/demos/verify_start_end_handshape_annotations//test_auto_move//signs_mov_separ_signers/Tyler_16338.mov" TargetMode="External"/><Relationship Id="rId6587" Type="http://schemas.openxmlformats.org/officeDocument/2006/relationships/hyperlink" Target="http://secrets.rutgers.edu:8080/data/asl-ftp/asllvd/demos/verify_start_end_handshape_annotations//test_auto_move//signs_mov/3638_5322_16338_merged.mov" TargetMode="External"/><Relationship Id="rId6588" Type="http://schemas.openxmlformats.org/officeDocument/2006/relationships/hyperlink" Target="http://secrets.rutgers.edu:8080/data/asl-ftp/asllvd/demos/verify_start_end_handshape_annotations//test_auto_move//signs_mov_separ_signers/Tyler_16338.mov" TargetMode="External"/><Relationship Id="rId6589" Type="http://schemas.openxmlformats.org/officeDocument/2006/relationships/hyperlink" Target="http://csr.bu.edu/ftp/asl/asllvd/demos/verify_start_end_handshape_annotations//test_auto_move//signs_mov_separ_signers/Naomi_3638.mov" TargetMode="External"/><Relationship Id="rId6590" Type="http://schemas.openxmlformats.org/officeDocument/2006/relationships/hyperlink" Target="http://secrets.rutgers.edu:8080/data/asl-ftp/asllvd/demos/verify_start_end_handshape_annotations//test_auto_move//signs_mov_separ_signers/Naomi_3638.mov" TargetMode="External"/><Relationship Id="rId6591" Type="http://schemas.openxmlformats.org/officeDocument/2006/relationships/hyperlink" Target="http://csr.bu.edu/ftp/asl/asllvd/demos/verify_start_end_handshape_annotations//test_auto_move//signs_mov_separ_signers/Naomi_5322.mov" TargetMode="External"/><Relationship Id="rId6592" Type="http://schemas.openxmlformats.org/officeDocument/2006/relationships/hyperlink" Target="http://secrets.rutgers.edu:8080/data/asl-ftp/asllvd/demos/verify_start_end_handshape_annotations//test_auto_move//signs_mov_separ_signers/Naomi_5322.mov" TargetMode="External"/><Relationship Id="rId6593" Type="http://schemas.openxmlformats.org/officeDocument/2006/relationships/hyperlink" Target="http://csr.bu.edu/ftp/asl/asllvd/demos/verify_start_end_handshape_annotations//test_auto_move//signs_mov_separ_signers/Brady_3638.mov" TargetMode="External"/><Relationship Id="rId6594" Type="http://schemas.openxmlformats.org/officeDocument/2006/relationships/hyperlink" Target="http://secrets.rutgers.edu:8080/data/asl-ftp/asllvd/demos/verify_start_end_handshape_annotations//test_auto_move//signs_mov_separ_signers/Brady_3638.mov" TargetMode="External"/><Relationship Id="rId6595" Type="http://schemas.openxmlformats.org/officeDocument/2006/relationships/hyperlink" Target="http://csr.bu.edu/ftp/asl/asllvd/demos/verify_start_end_handshape_annotations//test_auto_move//signs_mov_separ_signers/Dana_3638.mov" TargetMode="External"/><Relationship Id="rId6596" Type="http://schemas.openxmlformats.org/officeDocument/2006/relationships/hyperlink" Target="http://secrets.rutgers.edu:8080/data/asl-ftp/asllvd/demos/verify_start_end_handshape_annotations//test_auto_move//signs_mov_separ_signers/Dana_3638.mov" TargetMode="External"/><Relationship Id="rId6597" Type="http://schemas.openxmlformats.org/officeDocument/2006/relationships/hyperlink" Target="http://csr.bu.edu/ftp/asl/asllvd/demos/verify_start_end_handshape_annotations//test_auto_move//signs_mov_separ_signers/Liz_690.mov" TargetMode="External"/><Relationship Id="rId6598" Type="http://schemas.openxmlformats.org/officeDocument/2006/relationships/hyperlink" Target="http://secrets.rutgers.edu:8080/data/asl-ftp/asllvd/demos/verify_start_end_handshape_annotations//test_auto_move//signs_mov_separ_signers/Liz_690.mov" TargetMode="External"/><Relationship Id="rId6599" Type="http://schemas.openxmlformats.org/officeDocument/2006/relationships/hyperlink" Target="http://csr.bu.edu/ftp/asl/asllvd/demos/verify_start_end_handshape_annotations//test_auto_move//signs_mov_separ_signers/Liz_3773.mov" TargetMode="External"/><Relationship Id="rId6600" Type="http://schemas.openxmlformats.org/officeDocument/2006/relationships/hyperlink" Target="http://secrets.rutgers.edu:8080/data/asl-ftp/asllvd/demos/verify_start_end_handshape_annotations//test_auto_move//signs_mov_separ_signers/Liz_3773.mov" TargetMode="External"/><Relationship Id="rId6601" Type="http://schemas.openxmlformats.org/officeDocument/2006/relationships/hyperlink" Target="http://csr.bu.edu/ftp/asl/asllvd/demos/verify_start_end_handshape_annotations//test_auto_move//signs_mov/690_3773_merged.mov" TargetMode="External"/><Relationship Id="rId6602" Type="http://schemas.openxmlformats.org/officeDocument/2006/relationships/hyperlink" Target="http://csr.bu.edu/ftp/asl/asllvd/demos/verify_start_end_handshape_annotations//test_auto_move//signs_mov_separ_signers/Tyler_690.mov" TargetMode="External"/><Relationship Id="rId6603" Type="http://schemas.openxmlformats.org/officeDocument/2006/relationships/hyperlink" Target="http://secrets.rutgers.edu:8080/data/asl-ftp/asllvd/demos/verify_start_end_handshape_annotations//test_auto_move//signs_mov/690_3773_merged.mov" TargetMode="External"/><Relationship Id="rId6604" Type="http://schemas.openxmlformats.org/officeDocument/2006/relationships/hyperlink" Target="http://secrets.rutgers.edu:8080/data/asl-ftp/asllvd/demos/verify_start_end_handshape_annotations//test_auto_move//signs_mov_separ_signers/Tyler_690.mov" TargetMode="External"/><Relationship Id="rId6605" Type="http://schemas.openxmlformats.org/officeDocument/2006/relationships/hyperlink" Target="http://csr.bu.edu/ftp/asl/asllvd/demos/verify_start_end_handshape_annotations//test_auto_move//signs_mov_separ_signers/Naomi_690.mov" TargetMode="External"/><Relationship Id="rId6606" Type="http://schemas.openxmlformats.org/officeDocument/2006/relationships/hyperlink" Target="http://secrets.rutgers.edu:8080/data/asl-ftp/asllvd/demos/verify_start_end_handshape_annotations//test_auto_move//signs_mov_separ_signers/Naomi_690.mov" TargetMode="External"/><Relationship Id="rId6607" Type="http://schemas.openxmlformats.org/officeDocument/2006/relationships/hyperlink" Target="http://csr.bu.edu/ftp/asl/asllvd/demos/verify_start_end_handshape_annotations//test_auto_move//signs_mov_separ_signers/Brady_690.mov" TargetMode="External"/><Relationship Id="rId6608" Type="http://schemas.openxmlformats.org/officeDocument/2006/relationships/hyperlink" Target="http://secrets.rutgers.edu:8080/data/asl-ftp/asllvd/demos/verify_start_end_handshape_annotations//test_auto_move//signs_mov_separ_signers/Brady_690.mov" TargetMode="External"/><Relationship Id="rId6609" Type="http://schemas.openxmlformats.org/officeDocument/2006/relationships/hyperlink" Target="http://csr.bu.edu/ftp/asl/asllvd/demos/verify_start_end_handshape_annotations//test_auto_move//signs_mov_separ_signers/Brady_3773.mov" TargetMode="External"/><Relationship Id="rId6610" Type="http://schemas.openxmlformats.org/officeDocument/2006/relationships/hyperlink" Target="http://secrets.rutgers.edu:8080/data/asl-ftp/asllvd/demos/verify_start_end_handshape_annotations//test_auto_move//signs_mov_separ_signers/Brady_3773.mov" TargetMode="External"/><Relationship Id="rId6611" Type="http://schemas.openxmlformats.org/officeDocument/2006/relationships/hyperlink" Target="http://csr.bu.edu/ftp/asl/asllvd/demos/verify_start_end_handshape_annotations//test_auto_move//signs_mov_separ_signers/Liz_691.mov" TargetMode="External"/><Relationship Id="rId6612" Type="http://schemas.openxmlformats.org/officeDocument/2006/relationships/hyperlink" Target="http://secrets.rutgers.edu:8080/data/asl-ftp/asllvd/demos/verify_start_end_handshape_annotations//test_auto_move//signs_mov_separ_signers/Liz_691.mov" TargetMode="External"/><Relationship Id="rId6613" Type="http://schemas.openxmlformats.org/officeDocument/2006/relationships/hyperlink" Target="http://csr.bu.edu/ftp/asl/asllvd/demos/verify_start_end_handshape_annotations//test_auto_move//signs_mov/691.mov" TargetMode="External"/><Relationship Id="rId6614" Type="http://schemas.openxmlformats.org/officeDocument/2006/relationships/hyperlink" Target="http://csr.bu.edu/ftp/asl/asllvd/demos/verify_start_end_handshape_annotations//test_auto_move//signs_mov_separ_signers/Naomi_691.mov" TargetMode="External"/><Relationship Id="rId6615" Type="http://schemas.openxmlformats.org/officeDocument/2006/relationships/hyperlink" Target="http://secrets.rutgers.edu:8080/data/asl-ftp/asllvd/demos/verify_start_end_handshape_annotations//test_auto_move//signs_mov/691.mov" TargetMode="External"/><Relationship Id="rId6616" Type="http://schemas.openxmlformats.org/officeDocument/2006/relationships/hyperlink" Target="http://secrets.rutgers.edu:8080/data/asl-ftp/asllvd/demos/verify_start_end_handshape_annotations//test_auto_move//signs_mov_separ_signers/Naomi_691.mov" TargetMode="External"/><Relationship Id="rId6617" Type="http://schemas.openxmlformats.org/officeDocument/2006/relationships/hyperlink" Target="http://csr.bu.edu/ftp/asl/asllvd/demos/verify_start_end_handshape_annotations//test_auto_move//signs_mov_separ_signers/Brady_691.mov" TargetMode="External"/><Relationship Id="rId6618" Type="http://schemas.openxmlformats.org/officeDocument/2006/relationships/hyperlink" Target="http://secrets.rutgers.edu:8080/data/asl-ftp/asllvd/demos/verify_start_end_handshape_annotations//test_auto_move//signs_mov_separ_signers/Brady_691.mov" TargetMode="External"/><Relationship Id="rId6619" Type="http://schemas.openxmlformats.org/officeDocument/2006/relationships/hyperlink" Target="http://csr.bu.edu/ftp/asl/asllvd/demos/verify_start_end_handshape_annotations//test_auto_move//signs_mov_separ_signers/Liz_694.mov" TargetMode="External"/><Relationship Id="rId6620" Type="http://schemas.openxmlformats.org/officeDocument/2006/relationships/hyperlink" Target="http://secrets.rutgers.edu:8080/data/asl-ftp/asllvd/demos/verify_start_end_handshape_annotations//test_auto_move//signs_mov_separ_signers/Liz_694.mov" TargetMode="External"/><Relationship Id="rId6621" Type="http://schemas.openxmlformats.org/officeDocument/2006/relationships/hyperlink" Target="http://csr.bu.edu/ftp/asl/asllvd/demos/verify_start_end_handshape_annotations//test_auto_move//signs_mov/694.mov" TargetMode="External"/><Relationship Id="rId6622" Type="http://schemas.openxmlformats.org/officeDocument/2006/relationships/hyperlink" Target="http://csr.bu.edu/ftp/asl/asllvd/demos/verify_start_end_handshape_annotations//test_auto_move//signs_mov_separ_signers/Tyler_694.mov" TargetMode="External"/><Relationship Id="rId6623" Type="http://schemas.openxmlformats.org/officeDocument/2006/relationships/hyperlink" Target="http://secrets.rutgers.edu:8080/data/asl-ftp/asllvd/demos/verify_start_end_handshape_annotations//test_auto_move//signs_mov/694.mov" TargetMode="External"/><Relationship Id="rId6624" Type="http://schemas.openxmlformats.org/officeDocument/2006/relationships/hyperlink" Target="http://secrets.rutgers.edu:8080/data/asl-ftp/asllvd/demos/verify_start_end_handshape_annotations//test_auto_move//signs_mov_separ_signers/Tyler_694.mov" TargetMode="External"/><Relationship Id="rId6625" Type="http://schemas.openxmlformats.org/officeDocument/2006/relationships/hyperlink" Target="http://csr.bu.edu/ftp/asl/asllvd/demos/verify_start_end_handshape_annotations//test_auto_move//signs_mov_separ_signers/Brady_694.mov" TargetMode="External"/><Relationship Id="rId6626" Type="http://schemas.openxmlformats.org/officeDocument/2006/relationships/hyperlink" Target="http://secrets.rutgers.edu:8080/data/asl-ftp/asllvd/demos/verify_start_end_handshape_annotations//test_auto_move//signs_mov_separ_signers/Brady_694.mov" TargetMode="External"/><Relationship Id="rId6627" Type="http://schemas.openxmlformats.org/officeDocument/2006/relationships/hyperlink" Target="http://csr.bu.edu/ftp/asl/asllvd/demos/verify_start_end_handshape_annotations//test_auto_move//signs_mov/5308.mov" TargetMode="External"/><Relationship Id="rId6628" Type="http://schemas.openxmlformats.org/officeDocument/2006/relationships/hyperlink" Target="http://csr.bu.edu/ftp/asl/asllvd/demos/verify_start_end_handshape_annotations//test_auto_move//signs_mov_separ_signers/Naomi_5308.mov" TargetMode="External"/><Relationship Id="rId6629" Type="http://schemas.openxmlformats.org/officeDocument/2006/relationships/hyperlink" Target="http://secrets.rutgers.edu:8080/data/asl-ftp/asllvd/demos/verify_start_end_handshape_annotations//test_auto_move//signs_mov/5308.mov" TargetMode="External"/><Relationship Id="rId6630" Type="http://schemas.openxmlformats.org/officeDocument/2006/relationships/hyperlink" Target="http://secrets.rutgers.edu:8080/data/asl-ftp/asllvd/demos/verify_start_end_handshape_annotations//test_auto_move//signs_mov_separ_signers/Naomi_5308.mov" TargetMode="External"/><Relationship Id="rId6631" Type="http://schemas.openxmlformats.org/officeDocument/2006/relationships/hyperlink" Target="http://csr.bu.edu/ftp/asl/asllvd/demos/verify_start_end_handshape_annotations//test_auto_move//signs_mov_separ_signers/Liz_15215.mov" TargetMode="External"/><Relationship Id="rId6632" Type="http://schemas.openxmlformats.org/officeDocument/2006/relationships/hyperlink" Target="http://secrets.rutgers.edu:8080/data/asl-ftp/asllvd/demos/verify_start_end_handshape_annotations//test_auto_move//signs_mov_separ_signers/Liz_15215.mov" TargetMode="External"/><Relationship Id="rId6633" Type="http://schemas.openxmlformats.org/officeDocument/2006/relationships/hyperlink" Target="http://csr.bu.edu/ftp/asl/asllvd/demos/verify_start_end_handshape_annotations//test_auto_move//signs_mov/15215.mov" TargetMode="External"/><Relationship Id="rId6634" Type="http://schemas.openxmlformats.org/officeDocument/2006/relationships/hyperlink" Target="http://csr.bu.edu/ftp/asl/asllvd/demos/verify_start_end_handshape_annotations//test_auto_move//signs_mov_separ_signers/Tyler_15215.mov" TargetMode="External"/><Relationship Id="rId6635" Type="http://schemas.openxmlformats.org/officeDocument/2006/relationships/hyperlink" Target="http://secrets.rutgers.edu:8080/data/asl-ftp/asllvd/demos/verify_start_end_handshape_annotations//test_auto_move//signs_mov/15215.mov" TargetMode="External"/><Relationship Id="rId6636" Type="http://schemas.openxmlformats.org/officeDocument/2006/relationships/hyperlink" Target="http://secrets.rutgers.edu:8080/data/asl-ftp/asllvd/demos/verify_start_end_handshape_annotations//test_auto_move//signs_mov_separ_signers/Tyler_15215.mov" TargetMode="External"/><Relationship Id="rId6637" Type="http://schemas.openxmlformats.org/officeDocument/2006/relationships/hyperlink" Target="http://csr.bu.edu/ftp/asl/asllvd/demos/verify_start_end_handshape_annotations//test_auto_move//signs_mov_separ_signers/Naomi_15215.mov" TargetMode="External"/><Relationship Id="rId6638" Type="http://schemas.openxmlformats.org/officeDocument/2006/relationships/hyperlink" Target="http://secrets.rutgers.edu:8080/data/asl-ftp/asllvd/demos/verify_start_end_handshape_annotations//test_auto_move//signs_mov_separ_signers/Naomi_15215.mov" TargetMode="External"/><Relationship Id="rId6639" Type="http://schemas.openxmlformats.org/officeDocument/2006/relationships/hyperlink" Target="http://csr.bu.edu/ftp/asl/asllvd/demos/verify_start_end_handshape_annotations//test_auto_move//signs_mov/15401_16325_merged.mov" TargetMode="External"/><Relationship Id="rId6640" Type="http://schemas.openxmlformats.org/officeDocument/2006/relationships/hyperlink" Target="http://csr.bu.edu/ftp/asl/asllvd/demos/verify_start_end_handshape_annotations//test_auto_move//signs_mov_separ_signers/Brady_15401.mov" TargetMode="External"/><Relationship Id="rId6641" Type="http://schemas.openxmlformats.org/officeDocument/2006/relationships/hyperlink" Target="http://secrets.rutgers.edu:8080/data/asl-ftp/asllvd/demos/verify_start_end_handshape_annotations//test_auto_move//signs_mov/15401_16325_merged.mov" TargetMode="External"/><Relationship Id="rId6642" Type="http://schemas.openxmlformats.org/officeDocument/2006/relationships/hyperlink" Target="http://secrets.rutgers.edu:8080/data/asl-ftp/asllvd/demos/verify_start_end_handshape_annotations//test_auto_move//signs_mov_separ_signers/Brady_15401.mov" TargetMode="External"/><Relationship Id="rId6643" Type="http://schemas.openxmlformats.org/officeDocument/2006/relationships/hyperlink" Target="http://csr.bu.edu/ftp/asl/asllvd/demos/verify_start_end_handshape_annotations//test_auto_move//signs_mov_separ_signers/Brady_16325.mov" TargetMode="External"/><Relationship Id="rId6644" Type="http://schemas.openxmlformats.org/officeDocument/2006/relationships/hyperlink" Target="http://secrets.rutgers.edu:8080/data/asl-ftp/asllvd/demos/verify_start_end_handshape_annotations//test_auto_move//signs_mov_separ_signers/Brady_16325.mov" TargetMode="External"/><Relationship Id="rId6645" Type="http://schemas.openxmlformats.org/officeDocument/2006/relationships/hyperlink" Target="http://csr.bu.edu/ftp/asl/asllvd/demos/verify_start_end_handshape_annotations//test_auto_move//signs_mov_separ_signers/Liz_696.mov" TargetMode="External"/><Relationship Id="rId6646" Type="http://schemas.openxmlformats.org/officeDocument/2006/relationships/hyperlink" Target="http://secrets.rutgers.edu:8080/data/asl-ftp/asllvd/demos/verify_start_end_handshape_annotations//test_auto_move//signs_mov_separ_signers/Liz_696.mov" TargetMode="External"/><Relationship Id="rId6647" Type="http://schemas.openxmlformats.org/officeDocument/2006/relationships/hyperlink" Target="http://csr.bu.edu/ftp/asl/asllvd/demos/verify_start_end_handshape_annotations//test_auto_move//signs_mov/696.mov" TargetMode="External"/><Relationship Id="rId6648" Type="http://schemas.openxmlformats.org/officeDocument/2006/relationships/hyperlink" Target="http://csr.bu.edu/ftp/asl/asllvd/demos/verify_start_end_handshape_annotations//test_auto_move//signs_mov_separ_signers/Tyler_696.mov" TargetMode="External"/><Relationship Id="rId6649" Type="http://schemas.openxmlformats.org/officeDocument/2006/relationships/hyperlink" Target="http://secrets.rutgers.edu:8080/data/asl-ftp/asllvd/demos/verify_start_end_handshape_annotations//test_auto_move//signs_mov/696.mov" TargetMode="External"/><Relationship Id="rId6650" Type="http://schemas.openxmlformats.org/officeDocument/2006/relationships/hyperlink" Target="http://secrets.rutgers.edu:8080/data/asl-ftp/asllvd/demos/verify_start_end_handshape_annotations//test_auto_move//signs_mov_separ_signers/Tyler_696.mov" TargetMode="External"/><Relationship Id="rId6651" Type="http://schemas.openxmlformats.org/officeDocument/2006/relationships/hyperlink" Target="http://csr.bu.edu/ftp/asl/asllvd/demos/verify_start_end_handshape_annotations//test_auto_move//signs_mov_separ_signers/Naomi_696.mov" TargetMode="External"/><Relationship Id="rId6652" Type="http://schemas.openxmlformats.org/officeDocument/2006/relationships/hyperlink" Target="http://secrets.rutgers.edu:8080/data/asl-ftp/asllvd/demos/verify_start_end_handshape_annotations//test_auto_move//signs_mov_separ_signers/Naomi_696.mov" TargetMode="External"/><Relationship Id="rId6653" Type="http://schemas.openxmlformats.org/officeDocument/2006/relationships/hyperlink" Target="http://csr.bu.edu/ftp/asl/asllvd/demos/verify_start_end_handshape_annotations//test_auto_move//signs_mov_separ_signers/Brady_696.mov" TargetMode="External"/><Relationship Id="rId6654" Type="http://schemas.openxmlformats.org/officeDocument/2006/relationships/hyperlink" Target="http://secrets.rutgers.edu:8080/data/asl-ftp/asllvd/demos/verify_start_end_handshape_annotations//test_auto_move//signs_mov_separ_signers/Brady_696.mov" TargetMode="External"/><Relationship Id="rId6655" Type="http://schemas.openxmlformats.org/officeDocument/2006/relationships/hyperlink" Target="http://csr.bu.edu/ftp/asl/asllvd/demos/verify_start_end_handshape_annotations//test_auto_move//signs_mov_separ_signers/Liz_15548.mov" TargetMode="External"/><Relationship Id="rId6656" Type="http://schemas.openxmlformats.org/officeDocument/2006/relationships/hyperlink" Target="http://secrets.rutgers.edu:8080/data/asl-ftp/asllvd/demos/verify_start_end_handshape_annotations//test_auto_move//signs_mov_separ_signers/Liz_15548.mov" TargetMode="External"/><Relationship Id="rId6657" Type="http://schemas.openxmlformats.org/officeDocument/2006/relationships/hyperlink" Target="http://csr.bu.edu/ftp/asl/asllvd/demos/verify_start_end_handshape_annotations//test_auto_move//signs_mov/15548.mov" TargetMode="External"/><Relationship Id="rId6658" Type="http://schemas.openxmlformats.org/officeDocument/2006/relationships/hyperlink" Target="http://csr.bu.edu/ftp/asl/asllvd/demos/verify_start_end_handshape_annotations//test_auto_move//signs_mov_separ_signers/Brady_15548.mov" TargetMode="External"/><Relationship Id="rId6659" Type="http://schemas.openxmlformats.org/officeDocument/2006/relationships/hyperlink" Target="http://secrets.rutgers.edu:8080/data/asl-ftp/asllvd/demos/verify_start_end_handshape_annotations//test_auto_move//signs_mov/15548.mov" TargetMode="External"/><Relationship Id="rId6660" Type="http://schemas.openxmlformats.org/officeDocument/2006/relationships/hyperlink" Target="http://secrets.rutgers.edu:8080/data/asl-ftp/asllvd/demos/verify_start_end_handshape_annotations//test_auto_move//signs_mov_separ_signers/Brady_15548.mov" TargetMode="External"/><Relationship Id="rId6661" Type="http://schemas.openxmlformats.org/officeDocument/2006/relationships/hyperlink" Target="http://csr.bu.edu/ftp/asl/asllvd/demos/verify_start_end_handshape_annotations//test_auto_move//signs_mov_separ_signers/Dana_15548.mov" TargetMode="External"/><Relationship Id="rId6662" Type="http://schemas.openxmlformats.org/officeDocument/2006/relationships/hyperlink" Target="http://secrets.rutgers.edu:8080/data/asl-ftp/asllvd/demos/verify_start_end_handshape_annotations//test_auto_move//signs_mov_separ_signers/Dana_15548.mov" TargetMode="External"/><Relationship Id="rId6663" Type="http://schemas.openxmlformats.org/officeDocument/2006/relationships/hyperlink" Target="http://csr.bu.edu/ftp/asl/asllvd/demos/verify_start_end_handshape_annotations//test_auto_move//signs_mov/16326.mov" TargetMode="External"/><Relationship Id="rId6664" Type="http://schemas.openxmlformats.org/officeDocument/2006/relationships/hyperlink" Target="http://csr.bu.edu/ftp/asl/asllvd/demos/verify_start_end_handshape_annotations//test_auto_move//signs_mov_separ_signers/Lana_16326.mov" TargetMode="External"/><Relationship Id="rId6665" Type="http://schemas.openxmlformats.org/officeDocument/2006/relationships/hyperlink" Target="http://secrets.rutgers.edu:8080/data/asl-ftp/asllvd/demos/verify_start_end_handshape_annotations//test_auto_move//signs_mov/16326.mov" TargetMode="External"/><Relationship Id="rId6666" Type="http://schemas.openxmlformats.org/officeDocument/2006/relationships/hyperlink" Target="http://secrets.rutgers.edu:8080/data/asl-ftp/asllvd/demos/verify_start_end_handshape_annotations//test_auto_move//signs_mov_separ_signers/Lana_16326.mov" TargetMode="External"/><Relationship Id="rId6667" Type="http://schemas.openxmlformats.org/officeDocument/2006/relationships/hyperlink" Target="http://csr.bu.edu/ftp/asl/asllvd/demos/verify_start_end_handshape_annotations//test_auto_move//signs_mov_separ_signers/Liz_697.mov" TargetMode="External"/><Relationship Id="rId6668" Type="http://schemas.openxmlformats.org/officeDocument/2006/relationships/hyperlink" Target="http://secrets.rutgers.edu:8080/data/asl-ftp/asllvd/demos/verify_start_end_handshape_annotations//test_auto_move//signs_mov_separ_signers/Liz_697.mov" TargetMode="External"/><Relationship Id="rId6669" Type="http://schemas.openxmlformats.org/officeDocument/2006/relationships/hyperlink" Target="http://csr.bu.edu/ftp/asl/asllvd/demos/verify_start_end_handshape_annotations//test_auto_move//signs_mov_separ_signers/Tyler_697.mov" TargetMode="External"/><Relationship Id="rId6670" Type="http://schemas.openxmlformats.org/officeDocument/2006/relationships/hyperlink" Target="http://secrets.rutgers.edu:8080/data/asl-ftp/asllvd/demos/verify_start_end_handshape_annotations//test_auto_move//signs_mov_separ_signers/Tyler_697.mov" TargetMode="External"/><Relationship Id="rId6671" Type="http://schemas.openxmlformats.org/officeDocument/2006/relationships/hyperlink" Target="http://csr.bu.edu/ftp/asl/asllvd/demos/verify_start_end_handshape_annotations//test_auto_move//signs_mov/697.mov" TargetMode="External"/><Relationship Id="rId6672" Type="http://schemas.openxmlformats.org/officeDocument/2006/relationships/hyperlink" Target="http://csr.bu.edu/ftp/asl/asllvd/demos/verify_start_end_handshape_annotations//test_auto_move//signs_mov_separ_signers/Naomi_697.mov" TargetMode="External"/><Relationship Id="rId6673" Type="http://schemas.openxmlformats.org/officeDocument/2006/relationships/hyperlink" Target="http://secrets.rutgers.edu:8080/data/asl-ftp/asllvd/demos/verify_start_end_handshape_annotations//test_auto_move//signs_mov/697.mov" TargetMode="External"/><Relationship Id="rId6674" Type="http://schemas.openxmlformats.org/officeDocument/2006/relationships/hyperlink" Target="http://secrets.rutgers.edu:8080/data/asl-ftp/asllvd/demos/verify_start_end_handshape_annotations//test_auto_move//signs_mov_separ_signers/Naomi_697.mov" TargetMode="External"/><Relationship Id="rId6675" Type="http://schemas.openxmlformats.org/officeDocument/2006/relationships/hyperlink" Target="http://csr.bu.edu/ftp/asl/asllvd/demos/verify_start_end_handshape_annotations//test_auto_move//signs_mov_separ_signers/Brady_697.mov" TargetMode="External"/><Relationship Id="rId6676" Type="http://schemas.openxmlformats.org/officeDocument/2006/relationships/hyperlink" Target="http://secrets.rutgers.edu:8080/data/asl-ftp/asllvd/demos/verify_start_end_handshape_annotations//test_auto_move//signs_mov_separ_signers/Brady_697.mov" TargetMode="External"/><Relationship Id="rId6677" Type="http://schemas.openxmlformats.org/officeDocument/2006/relationships/hyperlink" Target="http://csr.bu.edu/ftp/asl/asllvd/demos/verify_start_end_handshape_annotations//test_auto_move//signs_mov_separ_signers/Lana_697.mov" TargetMode="External"/><Relationship Id="rId6678" Type="http://schemas.openxmlformats.org/officeDocument/2006/relationships/hyperlink" Target="http://secrets.rutgers.edu:8080/data/asl-ftp/asllvd/demos/verify_start_end_handshape_annotations//test_auto_move//signs_mov_separ_signers/Lana_697.mov" TargetMode="External"/><Relationship Id="rId6679" Type="http://schemas.openxmlformats.org/officeDocument/2006/relationships/hyperlink" Target="http://csr.bu.edu/ftp/asl/asllvd/demos/verify_start_end_handshape_annotations//test_auto_move//signs_mov_separ_signers/Dana_697.mov" TargetMode="External"/><Relationship Id="rId6680" Type="http://schemas.openxmlformats.org/officeDocument/2006/relationships/hyperlink" Target="http://secrets.rutgers.edu:8080/data/asl-ftp/asllvd/demos/verify_start_end_handshape_annotations//test_auto_move//signs_mov_separ_signers/Dana_697.mov" TargetMode="External"/><Relationship Id="rId6681" Type="http://schemas.openxmlformats.org/officeDocument/2006/relationships/hyperlink" Target="http://csr.bu.edu/ftp/asl/asllvd/demos/verify_start_end_handshape_annotations//test_auto_move//signs_mov_separ_signers/Liz_698.mov" TargetMode="External"/><Relationship Id="rId6682" Type="http://schemas.openxmlformats.org/officeDocument/2006/relationships/hyperlink" Target="http://secrets.rutgers.edu:8080/data/asl-ftp/asllvd/demos/verify_start_end_handshape_annotations//test_auto_move//signs_mov_separ_signers/Liz_698.mov" TargetMode="External"/><Relationship Id="rId6683" Type="http://schemas.openxmlformats.org/officeDocument/2006/relationships/hyperlink" Target="http://csr.bu.edu/ftp/asl/asllvd/demos/verify_start_end_handshape_annotations//test_auto_move//signs_mov/698.mov" TargetMode="External"/><Relationship Id="rId6684" Type="http://schemas.openxmlformats.org/officeDocument/2006/relationships/hyperlink" Target="http://csr.bu.edu/ftp/asl/asllvd/demos/verify_start_end_handshape_annotations//test_auto_move//signs_mov_separ_signers/Tyler_698.mov" TargetMode="External"/><Relationship Id="rId6685" Type="http://schemas.openxmlformats.org/officeDocument/2006/relationships/hyperlink" Target="http://secrets.rutgers.edu:8080/data/asl-ftp/asllvd/demos/verify_start_end_handshape_annotations//test_auto_move//signs_mov/698.mov" TargetMode="External"/><Relationship Id="rId6686" Type="http://schemas.openxmlformats.org/officeDocument/2006/relationships/hyperlink" Target="http://secrets.rutgers.edu:8080/data/asl-ftp/asllvd/demos/verify_start_end_handshape_annotations//test_auto_move//signs_mov_separ_signers/Tyler_698.mov" TargetMode="External"/><Relationship Id="rId6687" Type="http://schemas.openxmlformats.org/officeDocument/2006/relationships/hyperlink" Target="http://csr.bu.edu/ftp/asl/asllvd/demos/verify_start_end_handshape_annotations//test_auto_move//signs_mov_separ_signers/Naomi_698.mov" TargetMode="External"/><Relationship Id="rId6688" Type="http://schemas.openxmlformats.org/officeDocument/2006/relationships/hyperlink" Target="http://secrets.rutgers.edu:8080/data/asl-ftp/asllvd/demos/verify_start_end_handshape_annotations//test_auto_move//signs_mov_separ_signers/Naomi_698.mov" TargetMode="External"/><Relationship Id="rId6689" Type="http://schemas.openxmlformats.org/officeDocument/2006/relationships/hyperlink" Target="http://csr.bu.edu/ftp/asl/asllvd/demos/verify_start_end_handshape_annotations//test_auto_move//signs_mov_separ_signers/Brady_698.mov" TargetMode="External"/><Relationship Id="rId6690" Type="http://schemas.openxmlformats.org/officeDocument/2006/relationships/hyperlink" Target="http://secrets.rutgers.edu:8080/data/asl-ftp/asllvd/demos/verify_start_end_handshape_annotations//test_auto_move//signs_mov_separ_signers/Brady_698.mov" TargetMode="External"/><Relationship Id="rId6691" Type="http://schemas.openxmlformats.org/officeDocument/2006/relationships/hyperlink" Target="http://csr.bu.edu/ftp/asl/asllvd/demos/verify_start_end_handshape_annotations//test_auto_move//signs_mov_separ_signers/Liz_700.mov" TargetMode="External"/><Relationship Id="rId6692" Type="http://schemas.openxmlformats.org/officeDocument/2006/relationships/hyperlink" Target="http://secrets.rutgers.edu:8080/data/asl-ftp/asllvd/demos/verify_start_end_handshape_annotations//test_auto_move//signs_mov_separ_signers/Liz_700.mov" TargetMode="External"/><Relationship Id="rId6693" Type="http://schemas.openxmlformats.org/officeDocument/2006/relationships/hyperlink" Target="http://csr.bu.edu/ftp/asl/asllvd/demos/verify_start_end_handshape_annotations//test_auto_move//signs_mov/700_5338_merged.mov" TargetMode="External"/><Relationship Id="rId6694" Type="http://schemas.openxmlformats.org/officeDocument/2006/relationships/hyperlink" Target="http://csr.bu.edu/ftp/asl/asllvd/demos/verify_start_end_handshape_annotations//test_auto_move//signs_mov_separ_signers/Naomi_700.mov" TargetMode="External"/><Relationship Id="rId6695" Type="http://schemas.openxmlformats.org/officeDocument/2006/relationships/hyperlink" Target="http://secrets.rutgers.edu:8080/data/asl-ftp/asllvd/demos/verify_start_end_handshape_annotations//test_auto_move//signs_mov/700_5338_merged.mov" TargetMode="External"/><Relationship Id="rId6696" Type="http://schemas.openxmlformats.org/officeDocument/2006/relationships/hyperlink" Target="http://secrets.rutgers.edu:8080/data/asl-ftp/asllvd/demos/verify_start_end_handshape_annotations//test_auto_move//signs_mov_separ_signers/Naomi_700.mov" TargetMode="External"/><Relationship Id="rId6697" Type="http://schemas.openxmlformats.org/officeDocument/2006/relationships/hyperlink" Target="http://csr.bu.edu/ftp/asl/asllvd/demos/verify_start_end_handshape_annotations//test_auto_move//signs_mov_separ_signers/Brady_700.mov" TargetMode="External"/><Relationship Id="rId6698" Type="http://schemas.openxmlformats.org/officeDocument/2006/relationships/hyperlink" Target="http://secrets.rutgers.edu:8080/data/asl-ftp/asllvd/demos/verify_start_end_handshape_annotations//test_auto_move//signs_mov_separ_signers/Brady_700.mov" TargetMode="External"/><Relationship Id="rId6699" Type="http://schemas.openxmlformats.org/officeDocument/2006/relationships/hyperlink" Target="http://csr.bu.edu/ftp/asl/asllvd/demos/verify_start_end_handshape_annotations//test_auto_move//signs_mov_separ_signers/Brady_5338.mov" TargetMode="External"/><Relationship Id="rId6700" Type="http://schemas.openxmlformats.org/officeDocument/2006/relationships/hyperlink" Target="http://secrets.rutgers.edu:8080/data/asl-ftp/asllvd/demos/verify_start_end_handshape_annotations//test_auto_move//signs_mov_separ_signers/Brady_5338.mov" TargetMode="External"/><Relationship Id="rId6701" Type="http://schemas.openxmlformats.org/officeDocument/2006/relationships/hyperlink" Target="http://csr.bu.edu/ftp/asl/asllvd/demos/verify_start_end_handshape_annotations//test_auto_move//signs_mov_separ_signers/Liz_15525.mov" TargetMode="External"/><Relationship Id="rId6702" Type="http://schemas.openxmlformats.org/officeDocument/2006/relationships/hyperlink" Target="http://secrets.rutgers.edu:8080/data/asl-ftp/asllvd/demos/verify_start_end_handshape_annotations//test_auto_move//signs_mov_separ_signers/Liz_15525.mov" TargetMode="External"/><Relationship Id="rId6703" Type="http://schemas.openxmlformats.org/officeDocument/2006/relationships/hyperlink" Target="http://csr.bu.edu/ftp/asl/asllvd/demos/verify_start_end_handshape_annotations//test_auto_move//signs_mov_separ_signers/Liz_15526.mov" TargetMode="External"/><Relationship Id="rId6704" Type="http://schemas.openxmlformats.org/officeDocument/2006/relationships/hyperlink" Target="http://secrets.rutgers.edu:8080/data/asl-ftp/asllvd/demos/verify_start_end_handshape_annotations//test_auto_move//signs_mov_separ_signers/Liz_15526.mov" TargetMode="External"/><Relationship Id="rId6705" Type="http://schemas.openxmlformats.org/officeDocument/2006/relationships/hyperlink" Target="http://csr.bu.edu/ftp/asl/asllvd/demos/verify_start_end_handshape_annotations//test_auto_move//signs_mov_separ_signers/Liz_15573.mov" TargetMode="External"/><Relationship Id="rId6706" Type="http://schemas.openxmlformats.org/officeDocument/2006/relationships/hyperlink" Target="http://secrets.rutgers.edu:8080/data/asl-ftp/asllvd/demos/verify_start_end_handshape_annotations//test_auto_move//signs_mov_separ_signers/Liz_15573.mov" TargetMode="External"/><Relationship Id="rId6707" Type="http://schemas.openxmlformats.org/officeDocument/2006/relationships/hyperlink" Target="http://csr.bu.edu/ftp/asl/asllvd/demos/verify_start_end_handshape_annotations//test_auto_move//signs_mov_separ_signers/Tyler_15525.mov" TargetMode="External"/><Relationship Id="rId6708" Type="http://schemas.openxmlformats.org/officeDocument/2006/relationships/hyperlink" Target="http://secrets.rutgers.edu:8080/data/asl-ftp/asllvd/demos/verify_start_end_handshape_annotations//test_auto_move//signs_mov_separ_signers/Tyler_15525.mov" TargetMode="External"/><Relationship Id="rId6709" Type="http://schemas.openxmlformats.org/officeDocument/2006/relationships/hyperlink" Target="http://csr.bu.edu/ftp/asl/asllvd/demos/verify_start_end_handshape_annotations//test_auto_move//signs_mov/15525_15526_15573_merged.mov" TargetMode="External"/><Relationship Id="rId6710" Type="http://schemas.openxmlformats.org/officeDocument/2006/relationships/hyperlink" Target="http://csr.bu.edu/ftp/asl/asllvd/demos/verify_start_end_handshape_annotations//test_auto_move//signs_mov_separ_signers/Naomi_15525.mov" TargetMode="External"/><Relationship Id="rId6711" Type="http://schemas.openxmlformats.org/officeDocument/2006/relationships/hyperlink" Target="http://secrets.rutgers.edu:8080/data/asl-ftp/asllvd/demos/verify_start_end_handshape_annotations//test_auto_move//signs_mov/15525_15526_15573_merged.mov" TargetMode="External"/><Relationship Id="rId6712" Type="http://schemas.openxmlformats.org/officeDocument/2006/relationships/hyperlink" Target="http://secrets.rutgers.edu:8080/data/asl-ftp/asllvd/demos/verify_start_end_handshape_annotations//test_auto_move//signs_mov_separ_signers/Naomi_15525.mov" TargetMode="External"/><Relationship Id="rId6713" Type="http://schemas.openxmlformats.org/officeDocument/2006/relationships/hyperlink" Target="http://csr.bu.edu/ftp/asl/asllvd/demos/verify_start_end_handshape_annotations//test_auto_move//signs_mov_separ_signers/Naomi_15526.mov" TargetMode="External"/><Relationship Id="rId6714" Type="http://schemas.openxmlformats.org/officeDocument/2006/relationships/hyperlink" Target="http://secrets.rutgers.edu:8080/data/asl-ftp/asllvd/demos/verify_start_end_handshape_annotations//test_auto_move//signs_mov_separ_signers/Naomi_15526.mov" TargetMode="External"/><Relationship Id="rId6715" Type="http://schemas.openxmlformats.org/officeDocument/2006/relationships/hyperlink" Target="http://csr.bu.edu/ftp/asl/asllvd/demos/verify_start_end_handshape_annotations//test_auto_move//signs_mov_separ_signers/Naomi_15573.mov" TargetMode="External"/><Relationship Id="rId6716" Type="http://schemas.openxmlformats.org/officeDocument/2006/relationships/hyperlink" Target="http://secrets.rutgers.edu:8080/data/asl-ftp/asllvd/demos/verify_start_end_handshape_annotations//test_auto_move//signs_mov_separ_signers/Naomi_15573.mov" TargetMode="External"/><Relationship Id="rId6717" Type="http://schemas.openxmlformats.org/officeDocument/2006/relationships/hyperlink" Target="http://csr.bu.edu/ftp/asl/asllvd/demos/verify_start_end_handshape_annotations//test_auto_move//signs_mov_separ_signers/Brady_15525.mov" TargetMode="External"/><Relationship Id="rId6718" Type="http://schemas.openxmlformats.org/officeDocument/2006/relationships/hyperlink" Target="http://secrets.rutgers.edu:8080/data/asl-ftp/asllvd/demos/verify_start_end_handshape_annotations//test_auto_move//signs_mov_separ_signers/Brady_15525.mov" TargetMode="External"/><Relationship Id="rId6719" Type="http://schemas.openxmlformats.org/officeDocument/2006/relationships/hyperlink" Target="http://csr.bu.edu/ftp/asl/asllvd/demos/verify_start_end_handshape_annotations//test_auto_move//signs_mov_separ_signers/Lana_15525.mov" TargetMode="External"/><Relationship Id="rId6720" Type="http://schemas.openxmlformats.org/officeDocument/2006/relationships/hyperlink" Target="http://secrets.rutgers.edu:8080/data/asl-ftp/asllvd/demos/verify_start_end_handshape_annotations//test_auto_move//signs_mov_separ_signers/Lana_15525.mov" TargetMode="External"/><Relationship Id="rId6721" Type="http://schemas.openxmlformats.org/officeDocument/2006/relationships/hyperlink" Target="http://csr.bu.edu/ftp/asl/asllvd/demos/verify_start_end_handshape_annotations//test_auto_move//signs_mov_separ_signers/Liz_15617.mov" TargetMode="External"/><Relationship Id="rId6722" Type="http://schemas.openxmlformats.org/officeDocument/2006/relationships/hyperlink" Target="http://secrets.rutgers.edu:8080/data/asl-ftp/asllvd/demos/verify_start_end_handshape_annotations//test_auto_move//signs_mov_separ_signers/Liz_15617.mov" TargetMode="External"/><Relationship Id="rId6723" Type="http://schemas.openxmlformats.org/officeDocument/2006/relationships/hyperlink" Target="http://csr.bu.edu/ftp/asl/asllvd/demos/verify_start_end_handshape_annotations//test_auto_move//signs_mov_separ_signers/Tyler_15617.mov" TargetMode="External"/><Relationship Id="rId6724" Type="http://schemas.openxmlformats.org/officeDocument/2006/relationships/hyperlink" Target="http://secrets.rutgers.edu:8080/data/asl-ftp/asllvd/demos/verify_start_end_handshape_annotations//test_auto_move//signs_mov_separ_signers/Tyler_15617.mov" TargetMode="External"/><Relationship Id="rId6725" Type="http://schemas.openxmlformats.org/officeDocument/2006/relationships/hyperlink" Target="http://csr.bu.edu/ftp/asl/asllvd/demos/verify_start_end_handshape_annotations//test_auto_move//signs_mov/15617_15618_merged.mov" TargetMode="External"/><Relationship Id="rId6726" Type="http://schemas.openxmlformats.org/officeDocument/2006/relationships/hyperlink" Target="http://csr.bu.edu/ftp/asl/asllvd/demos/verify_start_end_handshape_annotations//test_auto_move//signs_mov_separ_signers/Tyler_15618.mov" TargetMode="External"/><Relationship Id="rId6727" Type="http://schemas.openxmlformats.org/officeDocument/2006/relationships/hyperlink" Target="http://secrets.rutgers.edu:8080/data/asl-ftp/asllvd/demos/verify_start_end_handshape_annotations//test_auto_move//signs_mov/15617_15618_merged.mov" TargetMode="External"/><Relationship Id="rId6728" Type="http://schemas.openxmlformats.org/officeDocument/2006/relationships/hyperlink" Target="http://secrets.rutgers.edu:8080/data/asl-ftp/asllvd/demos/verify_start_end_handshape_annotations//test_auto_move//signs_mov_separ_signers/Tyler_15618.mov" TargetMode="External"/><Relationship Id="rId6729" Type="http://schemas.openxmlformats.org/officeDocument/2006/relationships/hyperlink" Target="http://csr.bu.edu/ftp/asl/asllvd/demos/verify_start_end_handshape_annotations//test_auto_move//signs_mov_separ_signers/Naomi_15617.mov" TargetMode="External"/><Relationship Id="rId6730" Type="http://schemas.openxmlformats.org/officeDocument/2006/relationships/hyperlink" Target="http://secrets.rutgers.edu:8080/data/asl-ftp/asllvd/demos/verify_start_end_handshape_annotations//test_auto_move//signs_mov_separ_signers/Naomi_15617.mov" TargetMode="External"/><Relationship Id="rId6731" Type="http://schemas.openxmlformats.org/officeDocument/2006/relationships/hyperlink" Target="http://csr.bu.edu/ftp/asl/asllvd/demos/verify_start_end_handshape_annotations//test_auto_move//signs_mov_separ_signers/Brady_15617.mov" TargetMode="External"/><Relationship Id="rId6732" Type="http://schemas.openxmlformats.org/officeDocument/2006/relationships/hyperlink" Target="http://secrets.rutgers.edu:8080/data/asl-ftp/asllvd/demos/verify_start_end_handshape_annotations//test_auto_move//signs_mov_separ_signers/Brady_15617.mov" TargetMode="External"/><Relationship Id="rId6733" Type="http://schemas.openxmlformats.org/officeDocument/2006/relationships/hyperlink" Target="http://csr.bu.edu/ftp/asl/asllvd/demos/verify_start_end_handshape_annotations//test_auto_move//signs_mov_separ_signers/Dana_15617.mov" TargetMode="External"/><Relationship Id="rId6734" Type="http://schemas.openxmlformats.org/officeDocument/2006/relationships/hyperlink" Target="http://secrets.rutgers.edu:8080/data/asl-ftp/asllvd/demos/verify_start_end_handshape_annotations//test_auto_move//signs_mov_separ_signers/Dana_15617.mov" TargetMode="External"/><Relationship Id="rId6735" Type="http://schemas.openxmlformats.org/officeDocument/2006/relationships/hyperlink" Target="http://csr.bu.edu/ftp/asl/asllvd/demos/verify_start_end_handshape_annotations//test_auto_move//signs_mov_separ_signers/Tyler_3034.mov" TargetMode="External"/><Relationship Id="rId6736" Type="http://schemas.openxmlformats.org/officeDocument/2006/relationships/hyperlink" Target="http://secrets.rutgers.edu:8080/data/asl-ftp/asllvd/demos/verify_start_end_handshape_annotations//test_auto_move//signs_mov_separ_signers/Tyler_3034.mov" TargetMode="External"/><Relationship Id="rId6737" Type="http://schemas.openxmlformats.org/officeDocument/2006/relationships/hyperlink" Target="http://csr.bu.edu/ftp/asl/asllvd/demos/verify_start_end_handshape_annotations//test_auto_move//signs_mov/3034_5468_merged.mov" TargetMode="External"/><Relationship Id="rId6738" Type="http://schemas.openxmlformats.org/officeDocument/2006/relationships/hyperlink" Target="http://csr.bu.edu/ftp/asl/asllvd/demos/verify_start_end_handshape_annotations//test_auto_move//signs_mov_separ_signers/Brady_3034.mov" TargetMode="External"/><Relationship Id="rId6739" Type="http://schemas.openxmlformats.org/officeDocument/2006/relationships/hyperlink" Target="http://secrets.rutgers.edu:8080/data/asl-ftp/asllvd/demos/verify_start_end_handshape_annotations//test_auto_move//signs_mov/3034_5468_merged.mov" TargetMode="External"/><Relationship Id="rId6740" Type="http://schemas.openxmlformats.org/officeDocument/2006/relationships/hyperlink" Target="http://secrets.rutgers.edu:8080/data/asl-ftp/asllvd/demos/verify_start_end_handshape_annotations//test_auto_move//signs_mov_separ_signers/Brady_3034.mov" TargetMode="External"/><Relationship Id="rId6741" Type="http://schemas.openxmlformats.org/officeDocument/2006/relationships/hyperlink" Target="http://csr.bu.edu/ftp/asl/asllvd/demos/verify_start_end_handshape_annotations//test_auto_move//signs_mov_separ_signers/Brady_5468.mov" TargetMode="External"/><Relationship Id="rId6742" Type="http://schemas.openxmlformats.org/officeDocument/2006/relationships/hyperlink" Target="http://secrets.rutgers.edu:8080/data/asl-ftp/asllvd/demos/verify_start_end_handshape_annotations//test_auto_move//signs_mov_separ_signers/Brady_5468.mov" TargetMode="External"/><Relationship Id="rId6743" Type="http://schemas.openxmlformats.org/officeDocument/2006/relationships/hyperlink" Target="http://csr.bu.edu/ftp/asl/asllvd/demos/verify_start_end_handshape_annotations//test_auto_move//signs_mov/16547.mov" TargetMode="External"/><Relationship Id="rId6744" Type="http://schemas.openxmlformats.org/officeDocument/2006/relationships/hyperlink" Target="http://csr.bu.edu/ftp/asl/asllvd/demos/verify_start_end_handshape_annotations//test_auto_move//signs_mov_separ_signers/Liz_16547.mov" TargetMode="External"/><Relationship Id="rId6745" Type="http://schemas.openxmlformats.org/officeDocument/2006/relationships/hyperlink" Target="http://secrets.rutgers.edu:8080/data/asl-ftp/asllvd/demos/verify_start_end_handshape_annotations//test_auto_move//signs_mov/16547.mov" TargetMode="External"/><Relationship Id="rId6746" Type="http://schemas.openxmlformats.org/officeDocument/2006/relationships/hyperlink" Target="http://secrets.rutgers.edu:8080/data/asl-ftp/asllvd/demos/verify_start_end_handshape_annotations//test_auto_move//signs_mov_separ_signers/Liz_16547.mov" TargetMode="External"/><Relationship Id="rId6747" Type="http://schemas.openxmlformats.org/officeDocument/2006/relationships/hyperlink" Target="http://csr.bu.edu/ftp/asl/asllvd/demos/verify_start_end_handshape_annotations//test_auto_move//signs_mov_separ_signers/Liz_702.mov" TargetMode="External"/><Relationship Id="rId6748" Type="http://schemas.openxmlformats.org/officeDocument/2006/relationships/hyperlink" Target="http://secrets.rutgers.edu:8080/data/asl-ftp/asllvd/demos/verify_start_end_handshape_annotations//test_auto_move//signs_mov_separ_signers/Liz_702.mov" TargetMode="External"/><Relationship Id="rId6749" Type="http://schemas.openxmlformats.org/officeDocument/2006/relationships/hyperlink" Target="http://csr.bu.edu/ftp/asl/asllvd/demos/verify_start_end_handshape_annotations//test_auto_move//signs_mov_separ_signers/Tyler_702.mov" TargetMode="External"/><Relationship Id="rId6750" Type="http://schemas.openxmlformats.org/officeDocument/2006/relationships/hyperlink" Target="http://secrets.rutgers.edu:8080/data/asl-ftp/asllvd/demos/verify_start_end_handshape_annotations//test_auto_move//signs_mov_separ_signers/Tyler_702.mov" TargetMode="External"/><Relationship Id="rId6751" Type="http://schemas.openxmlformats.org/officeDocument/2006/relationships/hyperlink" Target="http://csr.bu.edu/ftp/asl/asllvd/demos/verify_start_end_handshape_annotations//test_auto_move//signs_mov_separ_signers/Naomi_702.mov" TargetMode="External"/><Relationship Id="rId6752" Type="http://schemas.openxmlformats.org/officeDocument/2006/relationships/hyperlink" Target="http://secrets.rutgers.edu:8080/data/asl-ftp/asllvd/demos/verify_start_end_handshape_annotations//test_auto_move//signs_mov_separ_signers/Naomi_702.mov" TargetMode="External"/><Relationship Id="rId6753" Type="http://schemas.openxmlformats.org/officeDocument/2006/relationships/hyperlink" Target="http://csr.bu.edu/ftp/asl/asllvd/demos/verify_start_end_handshape_annotations//test_auto_move//signs_mov/702_3613_merged.mov" TargetMode="External"/><Relationship Id="rId6754" Type="http://schemas.openxmlformats.org/officeDocument/2006/relationships/hyperlink" Target="http://csr.bu.edu/ftp/asl/asllvd/demos/verify_start_end_handshape_annotations//test_auto_move//signs_mov_separ_signers/Naomi_3613.mov" TargetMode="External"/><Relationship Id="rId6755" Type="http://schemas.openxmlformats.org/officeDocument/2006/relationships/hyperlink" Target="http://secrets.rutgers.edu:8080/data/asl-ftp/asllvd/demos/verify_start_end_handshape_annotations//test_auto_move//signs_mov/702_3613_merged.mov" TargetMode="External"/><Relationship Id="rId6756" Type="http://schemas.openxmlformats.org/officeDocument/2006/relationships/hyperlink" Target="http://secrets.rutgers.edu:8080/data/asl-ftp/asllvd/demos/verify_start_end_handshape_annotations//test_auto_move//signs_mov_separ_signers/Naomi_3613.mov" TargetMode="External"/><Relationship Id="rId6757" Type="http://schemas.openxmlformats.org/officeDocument/2006/relationships/hyperlink" Target="http://csr.bu.edu/ftp/asl/asllvd/demos/verify_start_end_handshape_annotations//test_auto_move//signs_mov_separ_signers/Brady_702.mov" TargetMode="External"/><Relationship Id="rId6758" Type="http://schemas.openxmlformats.org/officeDocument/2006/relationships/hyperlink" Target="http://secrets.rutgers.edu:8080/data/asl-ftp/asllvd/demos/verify_start_end_handshape_annotations//test_auto_move//signs_mov_separ_signers/Brady_702.mov" TargetMode="External"/><Relationship Id="rId6759" Type="http://schemas.openxmlformats.org/officeDocument/2006/relationships/hyperlink" Target="http://csr.bu.edu/ftp/asl/asllvd/demos/verify_start_end_handshape_annotations//test_auto_move//signs_mov_separ_signers/Brady_3613.mov" TargetMode="External"/><Relationship Id="rId6760" Type="http://schemas.openxmlformats.org/officeDocument/2006/relationships/hyperlink" Target="http://secrets.rutgers.edu:8080/data/asl-ftp/asllvd/demos/verify_start_end_handshape_annotations//test_auto_move//signs_mov_separ_signers/Brady_3613.mov" TargetMode="External"/><Relationship Id="rId6761" Type="http://schemas.openxmlformats.org/officeDocument/2006/relationships/hyperlink" Target="http://csr.bu.edu/ftp/asl/asllvd/demos/verify_start_end_handshape_annotations//test_auto_move//signs_mov_separ_signers/Lana_702.mov" TargetMode="External"/><Relationship Id="rId6762" Type="http://schemas.openxmlformats.org/officeDocument/2006/relationships/hyperlink" Target="http://secrets.rutgers.edu:8080/data/asl-ftp/asllvd/demos/verify_start_end_handshape_annotations//test_auto_move//signs_mov_separ_signers/Lana_702.mov" TargetMode="External"/><Relationship Id="rId6763" Type="http://schemas.openxmlformats.org/officeDocument/2006/relationships/hyperlink" Target="http://csr.bu.edu/ftp/asl/asllvd/demos/verify_start_end_handshape_annotations//test_auto_move//signs_mov_separ_signers/Dana_702.mov" TargetMode="External"/><Relationship Id="rId6764" Type="http://schemas.openxmlformats.org/officeDocument/2006/relationships/hyperlink" Target="http://secrets.rutgers.edu:8080/data/asl-ftp/asllvd/demos/verify_start_end_handshape_annotations//test_auto_move//signs_mov_separ_signers/Dana_702.mov" TargetMode="External"/><Relationship Id="rId6765" Type="http://schemas.openxmlformats.org/officeDocument/2006/relationships/hyperlink" Target="http://csr.bu.edu/ftp/asl/asllvd/demos/verify_start_end_handshape_annotations//test_auto_move//signs_mov/5048.mov" TargetMode="External"/><Relationship Id="rId6766" Type="http://schemas.openxmlformats.org/officeDocument/2006/relationships/hyperlink" Target="http://csr.bu.edu/ftp/asl/asllvd/demos/verify_start_end_handshape_annotations//test_auto_move//signs_mov_separ_signers/Liz_5048.mov" TargetMode="External"/><Relationship Id="rId6767" Type="http://schemas.openxmlformats.org/officeDocument/2006/relationships/hyperlink" Target="http://secrets.rutgers.edu:8080/data/asl-ftp/asllvd/demos/verify_start_end_handshape_annotations//test_auto_move//signs_mov/5048.mov" TargetMode="External"/><Relationship Id="rId6768" Type="http://schemas.openxmlformats.org/officeDocument/2006/relationships/hyperlink" Target="http://secrets.rutgers.edu:8080/data/asl-ftp/asllvd/demos/verify_start_end_handshape_annotations//test_auto_move//signs_mov_separ_signers/Liz_5048.mov" TargetMode="External"/><Relationship Id="rId6769" Type="http://schemas.openxmlformats.org/officeDocument/2006/relationships/hyperlink" Target="http://csr.bu.edu/ftp/asl/asllvd/demos/verify_start_end_handshape_annotations//test_auto_move//signs_mov_separ_signers/Naomi_5048.mov" TargetMode="External"/><Relationship Id="rId6770" Type="http://schemas.openxmlformats.org/officeDocument/2006/relationships/hyperlink" Target="http://secrets.rutgers.edu:8080/data/asl-ftp/asllvd/demos/verify_start_end_handshape_annotations//test_auto_move//signs_mov_separ_signers/Naomi_5048.mov" TargetMode="External"/><Relationship Id="rId6771" Type="http://schemas.openxmlformats.org/officeDocument/2006/relationships/hyperlink" Target="http://csr.bu.edu/ftp/asl/asllvd/demos/verify_start_end_handshape_annotations//test_auto_move//signs_mov_separ_signers/Liz_15693.mov" TargetMode="External"/><Relationship Id="rId6772" Type="http://schemas.openxmlformats.org/officeDocument/2006/relationships/hyperlink" Target="http://secrets.rutgers.edu:8080/data/asl-ftp/asllvd/demos/verify_start_end_handshape_annotations//test_auto_move//signs_mov_separ_signers/Liz_15693.mov" TargetMode="External"/><Relationship Id="rId6773" Type="http://schemas.openxmlformats.org/officeDocument/2006/relationships/hyperlink" Target="http://csr.bu.edu/ftp/asl/asllvd/demos/verify_start_end_handshape_annotations//test_auto_move//signs_mov/15693.mov" TargetMode="External"/><Relationship Id="rId6774" Type="http://schemas.openxmlformats.org/officeDocument/2006/relationships/hyperlink" Target="http://csr.bu.edu/ftp/asl/asllvd/demos/verify_start_end_handshape_annotations//test_auto_move//signs_mov_separ_signers/Brady_15693.mov" TargetMode="External"/><Relationship Id="rId6775" Type="http://schemas.openxmlformats.org/officeDocument/2006/relationships/hyperlink" Target="http://secrets.rutgers.edu:8080/data/asl-ftp/asllvd/demos/verify_start_end_handshape_annotations//test_auto_move//signs_mov/15693.mov" TargetMode="External"/><Relationship Id="rId6776" Type="http://schemas.openxmlformats.org/officeDocument/2006/relationships/hyperlink" Target="http://secrets.rutgers.edu:8080/data/asl-ftp/asllvd/demos/verify_start_end_handshape_annotations//test_auto_move//signs_mov_separ_signers/Brady_15693.mov" TargetMode="External"/><Relationship Id="rId6777" Type="http://schemas.openxmlformats.org/officeDocument/2006/relationships/hyperlink" Target="http://csr.bu.edu/ftp/asl/asllvd/demos/verify_start_end_handshape_annotations//test_auto_move//signs_mov_separ_signers/Lana_15693.mov" TargetMode="External"/><Relationship Id="rId6778" Type="http://schemas.openxmlformats.org/officeDocument/2006/relationships/hyperlink" Target="http://secrets.rutgers.edu:8080/data/asl-ftp/asllvd/demos/verify_start_end_handshape_annotations//test_auto_move//signs_mov_separ_signers/Lana_15693.mov" TargetMode="External"/><Relationship Id="rId6779" Type="http://schemas.openxmlformats.org/officeDocument/2006/relationships/hyperlink" Target="http://csr.bu.edu/ftp/asl/asllvd/demos/verify_start_end_handshape_annotations//test_auto_move//signs_mov_separ_signers/Dana_15693.mov" TargetMode="External"/><Relationship Id="rId6780" Type="http://schemas.openxmlformats.org/officeDocument/2006/relationships/hyperlink" Target="http://secrets.rutgers.edu:8080/data/asl-ftp/asllvd/demos/verify_start_end_handshape_annotations//test_auto_move//signs_mov_separ_signers/Dana_15693.mov" TargetMode="External"/><Relationship Id="rId6781" Type="http://schemas.openxmlformats.org/officeDocument/2006/relationships/hyperlink" Target="http://csr.bu.edu/ftp/asl/asllvd/demos/verify_start_end_handshape_annotations//test_auto_move//signs_mov/16153.mov" TargetMode="External"/><Relationship Id="rId6782" Type="http://schemas.openxmlformats.org/officeDocument/2006/relationships/hyperlink" Target="http://csr.bu.edu/ftp/asl/asllvd/demos/verify_start_end_handshape_annotations//test_auto_move//signs_mov_separ_signers/Liz_16153.mov" TargetMode="External"/><Relationship Id="rId6783" Type="http://schemas.openxmlformats.org/officeDocument/2006/relationships/hyperlink" Target="http://secrets.rutgers.edu:8080/data/asl-ftp/asllvd/demos/verify_start_end_handshape_annotations//test_auto_move//signs_mov/16153.mov" TargetMode="External"/><Relationship Id="rId6784" Type="http://schemas.openxmlformats.org/officeDocument/2006/relationships/hyperlink" Target="http://secrets.rutgers.edu:8080/data/asl-ftp/asllvd/demos/verify_start_end_handshape_annotations//test_auto_move//signs_mov_separ_signers/Liz_16153.mov" TargetMode="External"/><Relationship Id="rId6785" Type="http://schemas.openxmlformats.org/officeDocument/2006/relationships/hyperlink" Target="http://csr.bu.edu/ftp/asl/asllvd/demos/verify_start_end_handshape_annotations//test_auto_move//signs_mov_separ_signers/Brady_16153.mov" TargetMode="External"/><Relationship Id="rId6786" Type="http://schemas.openxmlformats.org/officeDocument/2006/relationships/hyperlink" Target="http://secrets.rutgers.edu:8080/data/asl-ftp/asllvd/demos/verify_start_end_handshape_annotations//test_auto_move//signs_mov_separ_signers/Brady_16153.mov" TargetMode="External"/><Relationship Id="rId6787" Type="http://schemas.openxmlformats.org/officeDocument/2006/relationships/hyperlink" Target="http://csr.bu.edu/ftp/asl/asllvd/demos/verify_start_end_handshape_annotations//test_auto_move//signs_mov_separ_signers/Liz_706.mov" TargetMode="External"/><Relationship Id="rId6788" Type="http://schemas.openxmlformats.org/officeDocument/2006/relationships/hyperlink" Target="http://secrets.rutgers.edu:8080/data/asl-ftp/asllvd/demos/verify_start_end_handshape_annotations//test_auto_move//signs_mov_separ_signers/Liz_706.mov" TargetMode="External"/><Relationship Id="rId6789" Type="http://schemas.openxmlformats.org/officeDocument/2006/relationships/hyperlink" Target="http://csr.bu.edu/ftp/asl/asllvd/demos/verify_start_end_handshape_annotations//test_auto_move//signs_mov/706.mov" TargetMode="External"/><Relationship Id="rId6790" Type="http://schemas.openxmlformats.org/officeDocument/2006/relationships/hyperlink" Target="http://csr.bu.edu/ftp/asl/asllvd/demos/verify_start_end_handshape_annotations//test_auto_move//signs_mov_separ_signers/Tyler_706.mov" TargetMode="External"/><Relationship Id="rId6791" Type="http://schemas.openxmlformats.org/officeDocument/2006/relationships/hyperlink" Target="http://secrets.rutgers.edu:8080/data/asl-ftp/asllvd/demos/verify_start_end_handshape_annotations//test_auto_move//signs_mov/706.mov" TargetMode="External"/><Relationship Id="rId6792" Type="http://schemas.openxmlformats.org/officeDocument/2006/relationships/hyperlink" Target="http://secrets.rutgers.edu:8080/data/asl-ftp/asllvd/demos/verify_start_end_handshape_annotations//test_auto_move//signs_mov_separ_signers/Tyler_706.mov" TargetMode="External"/><Relationship Id="rId6793" Type="http://schemas.openxmlformats.org/officeDocument/2006/relationships/hyperlink" Target="http://csr.bu.edu/ftp/asl/asllvd/demos/verify_start_end_handshape_annotations//test_auto_move//signs_mov_separ_signers/Naomi_706.mov" TargetMode="External"/><Relationship Id="rId6794" Type="http://schemas.openxmlformats.org/officeDocument/2006/relationships/hyperlink" Target="http://secrets.rutgers.edu:8080/data/asl-ftp/asllvd/demos/verify_start_end_handshape_annotations//test_auto_move//signs_mov_separ_signers/Naomi_706.mov" TargetMode="External"/><Relationship Id="rId6795" Type="http://schemas.openxmlformats.org/officeDocument/2006/relationships/hyperlink" Target="http://csr.bu.edu/ftp/asl/asllvd/demos/verify_start_end_handshape_annotations//test_auto_move//signs_mov_separ_signers/Brady_706.mov" TargetMode="External"/><Relationship Id="rId6796" Type="http://schemas.openxmlformats.org/officeDocument/2006/relationships/hyperlink" Target="http://secrets.rutgers.edu:8080/data/asl-ftp/asllvd/demos/verify_start_end_handshape_annotations//test_auto_move//signs_mov_separ_signers/Brady_706.mov" TargetMode="External"/><Relationship Id="rId6797" Type="http://schemas.openxmlformats.org/officeDocument/2006/relationships/hyperlink" Target="http://csr.bu.edu/ftp/asl/asllvd/demos/verify_start_end_handshape_annotations//test_auto_move//signs_mov_separ_signers/Liz_3614.mov" TargetMode="External"/><Relationship Id="rId6798" Type="http://schemas.openxmlformats.org/officeDocument/2006/relationships/hyperlink" Target="http://secrets.rutgers.edu:8080/data/asl-ftp/asllvd/demos/verify_start_end_handshape_annotations//test_auto_move//signs_mov_separ_signers/Liz_3614.mov" TargetMode="External"/><Relationship Id="rId6799" Type="http://schemas.openxmlformats.org/officeDocument/2006/relationships/hyperlink" Target="http://csr.bu.edu/ftp/asl/asllvd/demos/verify_start_end_handshape_annotations//test_auto_move//signs_mov/3614.mov" TargetMode="External"/><Relationship Id="rId6800" Type="http://schemas.openxmlformats.org/officeDocument/2006/relationships/hyperlink" Target="http://csr.bu.edu/ftp/asl/asllvd/demos/verify_start_end_handshape_annotations//test_auto_move//signs_mov_separ_signers/Naomi_3614.mov" TargetMode="External"/><Relationship Id="rId6801" Type="http://schemas.openxmlformats.org/officeDocument/2006/relationships/hyperlink" Target="http://secrets.rutgers.edu:8080/data/asl-ftp/asllvd/demos/verify_start_end_handshape_annotations//test_auto_move//signs_mov/3614.mov" TargetMode="External"/><Relationship Id="rId6802" Type="http://schemas.openxmlformats.org/officeDocument/2006/relationships/hyperlink" Target="http://secrets.rutgers.edu:8080/data/asl-ftp/asllvd/demos/verify_start_end_handshape_annotations//test_auto_move//signs_mov_separ_signers/Naomi_3614.mov" TargetMode="External"/><Relationship Id="rId6803" Type="http://schemas.openxmlformats.org/officeDocument/2006/relationships/hyperlink" Target="http://csr.bu.edu/ftp/asl/asllvd/demos/verify_start_end_handshape_annotations//test_auto_move//signs_mov_separ_signers/Brady_3614.mov" TargetMode="External"/><Relationship Id="rId6804" Type="http://schemas.openxmlformats.org/officeDocument/2006/relationships/hyperlink" Target="http://secrets.rutgers.edu:8080/data/asl-ftp/asllvd/demos/verify_start_end_handshape_annotations//test_auto_move//signs_mov_separ_signers/Brady_3614.mov" TargetMode="External"/><Relationship Id="rId6805" Type="http://schemas.openxmlformats.org/officeDocument/2006/relationships/hyperlink" Target="http://csr.bu.edu/ftp/asl/asllvd/demos/verify_start_end_handshape_annotations//test_auto_move//signs_mov_separ_signers/Liz_709.mov" TargetMode="External"/><Relationship Id="rId6806" Type="http://schemas.openxmlformats.org/officeDocument/2006/relationships/hyperlink" Target="http://secrets.rutgers.edu:8080/data/asl-ftp/asllvd/demos/verify_start_end_handshape_annotations//test_auto_move//signs_mov_separ_signers/Liz_709.mov" TargetMode="External"/><Relationship Id="rId6807" Type="http://schemas.openxmlformats.org/officeDocument/2006/relationships/hyperlink" Target="http://csr.bu.edu/ftp/asl/asllvd/demos/verify_start_end_handshape_annotations//test_auto_move//signs_mov/709_5711_merged.mov" TargetMode="External"/><Relationship Id="rId6808" Type="http://schemas.openxmlformats.org/officeDocument/2006/relationships/hyperlink" Target="http://csr.bu.edu/ftp/asl/asllvd/demos/verify_start_end_handshape_annotations//test_auto_move//signs_mov_separ_signers/Liz_5711.mov" TargetMode="External"/><Relationship Id="rId6809" Type="http://schemas.openxmlformats.org/officeDocument/2006/relationships/hyperlink" Target="http://secrets.rutgers.edu:8080/data/asl-ftp/asllvd/demos/verify_start_end_handshape_annotations//test_auto_move//signs_mov/709_5711_merged.mov" TargetMode="External"/><Relationship Id="rId6810" Type="http://schemas.openxmlformats.org/officeDocument/2006/relationships/hyperlink" Target="http://secrets.rutgers.edu:8080/data/asl-ftp/asllvd/demos/verify_start_end_handshape_annotations//test_auto_move//signs_mov_separ_signers/Liz_5711.mov" TargetMode="External"/><Relationship Id="rId6811" Type="http://schemas.openxmlformats.org/officeDocument/2006/relationships/hyperlink" Target="http://csr.bu.edu/ftp/asl/asllvd/demos/verify_start_end_handshape_annotations//test_auto_move//signs_mov_separ_signers/Naomi_709.mov" TargetMode="External"/><Relationship Id="rId6812" Type="http://schemas.openxmlformats.org/officeDocument/2006/relationships/hyperlink" Target="http://secrets.rutgers.edu:8080/data/asl-ftp/asllvd/demos/verify_start_end_handshape_annotations//test_auto_move//signs_mov_separ_signers/Naomi_709.mov" TargetMode="External"/><Relationship Id="rId6813" Type="http://schemas.openxmlformats.org/officeDocument/2006/relationships/hyperlink" Target="http://csr.bu.edu/ftp/asl/asllvd/demos/verify_start_end_handshape_annotations//test_auto_move//signs_mov_separ_signers/Brady_709.mov" TargetMode="External"/><Relationship Id="rId6814" Type="http://schemas.openxmlformats.org/officeDocument/2006/relationships/hyperlink" Target="http://secrets.rutgers.edu:8080/data/asl-ftp/asllvd/demos/verify_start_end_handshape_annotations//test_auto_move//signs_mov_separ_signers/Brady_709.mov" TargetMode="External"/><Relationship Id="rId6815" Type="http://schemas.openxmlformats.org/officeDocument/2006/relationships/hyperlink" Target="http://csr.bu.edu/ftp/asl/asllvd/demos/verify_start_end_handshape_annotations//test_auto_move//signs_mov/5850.mov" TargetMode="External"/><Relationship Id="rId6816" Type="http://schemas.openxmlformats.org/officeDocument/2006/relationships/hyperlink" Target="http://csr.bu.edu/ftp/asl/asllvd/demos/verify_start_end_handshape_annotations//test_auto_move//signs_mov_separ_signers/Tyler_5850.mov" TargetMode="External"/><Relationship Id="rId6817" Type="http://schemas.openxmlformats.org/officeDocument/2006/relationships/hyperlink" Target="http://secrets.rutgers.edu:8080/data/asl-ftp/asllvd/demos/verify_start_end_handshape_annotations//test_auto_move//signs_mov/5850.mov" TargetMode="External"/><Relationship Id="rId6818" Type="http://schemas.openxmlformats.org/officeDocument/2006/relationships/hyperlink" Target="http://secrets.rutgers.edu:8080/data/asl-ftp/asllvd/demos/verify_start_end_handshape_annotations//test_auto_move//signs_mov_separ_signers/Tyler_5850.mov" TargetMode="External"/><Relationship Id="rId6819" Type="http://schemas.openxmlformats.org/officeDocument/2006/relationships/hyperlink" Target="http://csr.bu.edu/ftp/asl/asllvd/demos/verify_start_end_handshape_annotations//test_auto_move//signs_mov/15044.mov" TargetMode="External"/><Relationship Id="rId6820" Type="http://schemas.openxmlformats.org/officeDocument/2006/relationships/hyperlink" Target="http://csr.bu.edu/ftp/asl/asllvd/demos/verify_start_end_handshape_annotations//test_auto_move//signs_mov_separ_signers/Brady_15044.mov" TargetMode="External"/><Relationship Id="rId6821" Type="http://schemas.openxmlformats.org/officeDocument/2006/relationships/hyperlink" Target="http://secrets.rutgers.edu:8080/data/asl-ftp/asllvd/demos/verify_start_end_handshape_annotations//test_auto_move//signs_mov/15044.mov" TargetMode="External"/><Relationship Id="rId6822" Type="http://schemas.openxmlformats.org/officeDocument/2006/relationships/hyperlink" Target="http://secrets.rutgers.edu:8080/data/asl-ftp/asllvd/demos/verify_start_end_handshape_annotations//test_auto_move//signs_mov_separ_signers/Brady_15044.mov" TargetMode="External"/><Relationship Id="rId6823" Type="http://schemas.openxmlformats.org/officeDocument/2006/relationships/hyperlink" Target="http://csr.bu.edu/ftp/asl/asllvd/demos/verify_start_end_handshape_annotations//test_auto_move//signs_mov_separ_signers/Liz_711.mov" TargetMode="External"/><Relationship Id="rId6824" Type="http://schemas.openxmlformats.org/officeDocument/2006/relationships/hyperlink" Target="http://secrets.rutgers.edu:8080/data/asl-ftp/asllvd/demos/verify_start_end_handshape_annotations//test_auto_move//signs_mov_separ_signers/Liz_711.mov" TargetMode="External"/><Relationship Id="rId6825" Type="http://schemas.openxmlformats.org/officeDocument/2006/relationships/hyperlink" Target="http://csr.bu.edu/ftp/asl/asllvd/demos/verify_start_end_handshape_annotations//test_auto_move//signs_mov/711.mov" TargetMode="External"/><Relationship Id="rId6826" Type="http://schemas.openxmlformats.org/officeDocument/2006/relationships/hyperlink" Target="http://csr.bu.edu/ftp/asl/asllvd/demos/verify_start_end_handshape_annotations//test_auto_move//signs_mov_separ_signers/Naomi_711.mov" TargetMode="External"/><Relationship Id="rId6827" Type="http://schemas.openxmlformats.org/officeDocument/2006/relationships/hyperlink" Target="http://secrets.rutgers.edu:8080/data/asl-ftp/asllvd/demos/verify_start_end_handshape_annotations//test_auto_move//signs_mov/711.mov" TargetMode="External"/><Relationship Id="rId6828" Type="http://schemas.openxmlformats.org/officeDocument/2006/relationships/hyperlink" Target="http://secrets.rutgers.edu:8080/data/asl-ftp/asllvd/demos/verify_start_end_handshape_annotations//test_auto_move//signs_mov_separ_signers/Naomi_711.mov" TargetMode="External"/><Relationship Id="rId6829" Type="http://schemas.openxmlformats.org/officeDocument/2006/relationships/hyperlink" Target="http://csr.bu.edu/ftp/asl/asllvd/demos/verify_start_end_handshape_annotations//test_auto_move//signs_mov_separ_signers/Brady_711.mov" TargetMode="External"/><Relationship Id="rId6830" Type="http://schemas.openxmlformats.org/officeDocument/2006/relationships/hyperlink" Target="http://secrets.rutgers.edu:8080/data/asl-ftp/asllvd/demos/verify_start_end_handshape_annotations//test_auto_move//signs_mov_separ_signers/Brady_711.mov" TargetMode="External"/><Relationship Id="rId6831" Type="http://schemas.openxmlformats.org/officeDocument/2006/relationships/hyperlink" Target="http://csr.bu.edu/ftp/asl/asllvd/demos/verify_start_end_handshape_annotations//test_auto_move//signs_mov_separ_signers/Liz_712.mov" TargetMode="External"/><Relationship Id="rId6832" Type="http://schemas.openxmlformats.org/officeDocument/2006/relationships/hyperlink" Target="http://secrets.rutgers.edu:8080/data/asl-ftp/asllvd/demos/verify_start_end_handshape_annotations//test_auto_move//signs_mov_separ_signers/Liz_712.mov" TargetMode="External"/><Relationship Id="rId6833" Type="http://schemas.openxmlformats.org/officeDocument/2006/relationships/hyperlink" Target="http://csr.bu.edu/ftp/asl/asllvd/demos/verify_start_end_handshape_annotations//test_auto_move//signs_mov/712.mov" TargetMode="External"/><Relationship Id="rId6834" Type="http://schemas.openxmlformats.org/officeDocument/2006/relationships/hyperlink" Target="http://csr.bu.edu/ftp/asl/asllvd/demos/verify_start_end_handshape_annotations//test_auto_move//signs_mov_separ_signers/Tyler_712.mov" TargetMode="External"/><Relationship Id="rId6835" Type="http://schemas.openxmlformats.org/officeDocument/2006/relationships/hyperlink" Target="http://secrets.rutgers.edu:8080/data/asl-ftp/asllvd/demos/verify_start_end_handshape_annotations//test_auto_move//signs_mov/712.mov" TargetMode="External"/><Relationship Id="rId6836" Type="http://schemas.openxmlformats.org/officeDocument/2006/relationships/hyperlink" Target="http://secrets.rutgers.edu:8080/data/asl-ftp/asllvd/demos/verify_start_end_handshape_annotations//test_auto_move//signs_mov_separ_signers/Tyler_712.mov" TargetMode="External"/><Relationship Id="rId6837" Type="http://schemas.openxmlformats.org/officeDocument/2006/relationships/hyperlink" Target="http://csr.bu.edu/ftp/asl/asllvd/demos/verify_start_end_handshape_annotations//test_auto_move//signs_mov_separ_signers/Brady_712.mov" TargetMode="External"/><Relationship Id="rId6838" Type="http://schemas.openxmlformats.org/officeDocument/2006/relationships/hyperlink" Target="http://secrets.rutgers.edu:8080/data/asl-ftp/asllvd/demos/verify_start_end_handshape_annotations//test_auto_move//signs_mov_separ_signers/Brady_712.mov" TargetMode="External"/><Relationship Id="rId6839" Type="http://schemas.openxmlformats.org/officeDocument/2006/relationships/hyperlink" Target="http://csr.bu.edu/ftp/asl/asllvd/demos/verify_start_end_handshape_annotations//test_auto_move//signs_mov/16271.mov" TargetMode="External"/><Relationship Id="rId6840" Type="http://schemas.openxmlformats.org/officeDocument/2006/relationships/hyperlink" Target="http://csr.bu.edu/ftp/asl/asllvd/demos/verify_start_end_handshape_annotations//test_auto_move//signs_mov_separ_signers/Naomi_16271.mov" TargetMode="External"/><Relationship Id="rId6841" Type="http://schemas.openxmlformats.org/officeDocument/2006/relationships/hyperlink" Target="http://secrets.rutgers.edu:8080/data/asl-ftp/asllvd/demos/verify_start_end_handshape_annotations//test_auto_move//signs_mov/16271.mov" TargetMode="External"/><Relationship Id="rId6842" Type="http://schemas.openxmlformats.org/officeDocument/2006/relationships/hyperlink" Target="http://secrets.rutgers.edu:8080/data/asl-ftp/asllvd/demos/verify_start_end_handshape_annotations//test_auto_move//signs_mov_separ_signers/Naomi_16271.mov" TargetMode="External"/><Relationship Id="rId6843" Type="http://schemas.openxmlformats.org/officeDocument/2006/relationships/hyperlink" Target="http://csr.bu.edu/ftp/asl/asllvd/demos/verify_start_end_handshape_annotations//test_auto_move//signs_mov_separ_signers/Liz_715.mov" TargetMode="External"/><Relationship Id="rId6844" Type="http://schemas.openxmlformats.org/officeDocument/2006/relationships/hyperlink" Target="http://secrets.rutgers.edu:8080/data/asl-ftp/asllvd/demos/verify_start_end_handshape_annotations//test_auto_move//signs_mov_separ_signers/Liz_715.mov" TargetMode="External"/><Relationship Id="rId6845" Type="http://schemas.openxmlformats.org/officeDocument/2006/relationships/hyperlink" Target="http://csr.bu.edu/ftp/asl/asllvd/demos/verify_start_end_handshape_annotations//test_auto_move//signs_mov_separ_signers/Tyler_715.mov" TargetMode="External"/><Relationship Id="rId6846" Type="http://schemas.openxmlformats.org/officeDocument/2006/relationships/hyperlink" Target="http://secrets.rutgers.edu:8080/data/asl-ftp/asllvd/demos/verify_start_end_handshape_annotations//test_auto_move//signs_mov_separ_signers/Tyler_715.mov" TargetMode="External"/><Relationship Id="rId6847" Type="http://schemas.openxmlformats.org/officeDocument/2006/relationships/hyperlink" Target="http://csr.bu.edu/ftp/asl/asllvd/demos/verify_start_end_handshape_annotations//test_auto_move//signs_mov_separ_signers/Tyler_3832.mov" TargetMode="External"/><Relationship Id="rId6848" Type="http://schemas.openxmlformats.org/officeDocument/2006/relationships/hyperlink" Target="http://secrets.rutgers.edu:8080/data/asl-ftp/asllvd/demos/verify_start_end_handshape_annotations//test_auto_move//signs_mov_separ_signers/Tyler_3832.mov" TargetMode="External"/><Relationship Id="rId6849" Type="http://schemas.openxmlformats.org/officeDocument/2006/relationships/hyperlink" Target="http://csr.bu.edu/ftp/asl/asllvd/demos/verify_start_end_handshape_annotations//test_auto_move//signs_mov/715_3832_merged.mov" TargetMode="External"/><Relationship Id="rId6850" Type="http://schemas.openxmlformats.org/officeDocument/2006/relationships/hyperlink" Target="http://csr.bu.edu/ftp/asl/asllvd/demos/verify_start_end_handshape_annotations//test_auto_move//signs_mov_separ_signers/Naomi_715.mov" TargetMode="External"/><Relationship Id="rId6851" Type="http://schemas.openxmlformats.org/officeDocument/2006/relationships/hyperlink" Target="http://secrets.rutgers.edu:8080/data/asl-ftp/asllvd/demos/verify_start_end_handshape_annotations//test_auto_move//signs_mov/715_3832_merged.mov" TargetMode="External"/><Relationship Id="rId6852" Type="http://schemas.openxmlformats.org/officeDocument/2006/relationships/hyperlink" Target="http://secrets.rutgers.edu:8080/data/asl-ftp/asllvd/demos/verify_start_end_handshape_annotations//test_auto_move//signs_mov_separ_signers/Naomi_715.mov" TargetMode="External"/><Relationship Id="rId6853" Type="http://schemas.openxmlformats.org/officeDocument/2006/relationships/hyperlink" Target="http://csr.bu.edu/ftp/asl/asllvd/demos/verify_start_end_handshape_annotations//test_auto_move//signs_mov_separ_signers/Brady_715.mov" TargetMode="External"/><Relationship Id="rId6854" Type="http://schemas.openxmlformats.org/officeDocument/2006/relationships/hyperlink" Target="http://secrets.rutgers.edu:8080/data/asl-ftp/asllvd/demos/verify_start_end_handshape_annotations//test_auto_move//signs_mov_separ_signers/Brady_715.mov" TargetMode="External"/><Relationship Id="rId6855" Type="http://schemas.openxmlformats.org/officeDocument/2006/relationships/hyperlink" Target="http://csr.bu.edu/ftp/asl/asllvd/demos/verify_start_end_handshape_annotations//test_auto_move//signs_mov_separ_signers/Brady_3832.mov" TargetMode="External"/><Relationship Id="rId6856" Type="http://schemas.openxmlformats.org/officeDocument/2006/relationships/hyperlink" Target="http://secrets.rutgers.edu:8080/data/asl-ftp/asllvd/demos/verify_start_end_handshape_annotations//test_auto_move//signs_mov_separ_signers/Brady_3832.mov" TargetMode="External"/><Relationship Id="rId6857" Type="http://schemas.openxmlformats.org/officeDocument/2006/relationships/hyperlink" Target="http://csr.bu.edu/ftp/asl/asllvd/demos/verify_start_end_handshape_annotations//test_auto_move//signs_mov_separ_signers/Lana_715.mov" TargetMode="External"/><Relationship Id="rId6858" Type="http://schemas.openxmlformats.org/officeDocument/2006/relationships/hyperlink" Target="http://secrets.rutgers.edu:8080/data/asl-ftp/asllvd/demos/verify_start_end_handshape_annotations//test_auto_move//signs_mov_separ_signers/Lana_715.mov" TargetMode="External"/><Relationship Id="rId6859" Type="http://schemas.openxmlformats.org/officeDocument/2006/relationships/hyperlink" Target="http://csr.bu.edu/ftp/asl/asllvd/demos/verify_start_end_handshape_annotations//test_auto_move//signs_mov_separ_signers/Dana_715.mov" TargetMode="External"/><Relationship Id="rId6860" Type="http://schemas.openxmlformats.org/officeDocument/2006/relationships/hyperlink" Target="http://secrets.rutgers.edu:8080/data/asl-ftp/asllvd/demos/verify_start_end_handshape_annotations//test_auto_move//signs_mov_separ_signers/Dana_715.mov" TargetMode="External"/><Relationship Id="rId6861" Type="http://schemas.openxmlformats.org/officeDocument/2006/relationships/hyperlink" Target="http://csr.bu.edu/ftp/asl/asllvd/demos/verify_start_end_handshape_annotations//test_auto_move//signs_mov/717.mov" TargetMode="External"/><Relationship Id="rId6862" Type="http://schemas.openxmlformats.org/officeDocument/2006/relationships/hyperlink" Target="http://csr.bu.edu/ftp/asl/asllvd/demos/verify_start_end_handshape_annotations//test_auto_move//signs_mov_separ_signers/Liz_717.mov" TargetMode="External"/><Relationship Id="rId6863" Type="http://schemas.openxmlformats.org/officeDocument/2006/relationships/hyperlink" Target="http://secrets.rutgers.edu:8080/data/asl-ftp/asllvd/demos/verify_start_end_handshape_annotations//test_auto_move//signs_mov/717.mov" TargetMode="External"/><Relationship Id="rId6864" Type="http://schemas.openxmlformats.org/officeDocument/2006/relationships/hyperlink" Target="http://secrets.rutgers.edu:8080/data/asl-ftp/asllvd/demos/verify_start_end_handshape_annotations//test_auto_move//signs_mov_separ_signers/Liz_717.mov" TargetMode="External"/><Relationship Id="rId6865" Type="http://schemas.openxmlformats.org/officeDocument/2006/relationships/hyperlink" Target="http://csr.bu.edu/ftp/asl/asllvd/demos/verify_start_end_handshape_annotations//test_auto_move//signs_mov_separ_signers/Naomi_717.mov" TargetMode="External"/><Relationship Id="rId6866" Type="http://schemas.openxmlformats.org/officeDocument/2006/relationships/hyperlink" Target="http://secrets.rutgers.edu:8080/data/asl-ftp/asllvd/demos/verify_start_end_handshape_annotations//test_auto_move//signs_mov_separ_signers/Naomi_717.mov" TargetMode="External"/><Relationship Id="rId6867" Type="http://schemas.openxmlformats.org/officeDocument/2006/relationships/hyperlink" Target="http://csr.bu.edu/ftp/asl/asllvd/demos/verify_start_end_handshape_annotations//test_auto_move//signs_mov/5166.mov" TargetMode="External"/><Relationship Id="rId6868" Type="http://schemas.openxmlformats.org/officeDocument/2006/relationships/hyperlink" Target="http://csr.bu.edu/ftp/asl/asllvd/demos/verify_start_end_handshape_annotations//test_auto_move//signs_mov_separ_signers/Tyler_5166.mov" TargetMode="External"/><Relationship Id="rId6869" Type="http://schemas.openxmlformats.org/officeDocument/2006/relationships/hyperlink" Target="http://secrets.rutgers.edu:8080/data/asl-ftp/asllvd/demos/verify_start_end_handshape_annotations//test_auto_move//signs_mov/5166.mov" TargetMode="External"/><Relationship Id="rId6870" Type="http://schemas.openxmlformats.org/officeDocument/2006/relationships/hyperlink" Target="http://secrets.rutgers.edu:8080/data/asl-ftp/asllvd/demos/verify_start_end_handshape_annotations//test_auto_move//signs_mov_separ_signers/Tyler_5166.mov" TargetMode="External"/><Relationship Id="rId6871" Type="http://schemas.openxmlformats.org/officeDocument/2006/relationships/hyperlink" Target="http://csr.bu.edu/ftp/asl/asllvd/demos/verify_start_end_handshape_annotations//test_auto_move//signs_mov_separ_signers/Brady_5166.mov" TargetMode="External"/><Relationship Id="rId6872" Type="http://schemas.openxmlformats.org/officeDocument/2006/relationships/hyperlink" Target="http://secrets.rutgers.edu:8080/data/asl-ftp/asllvd/demos/verify_start_end_handshape_annotations//test_auto_move//signs_mov_separ_signers/Brady_5166.mov" TargetMode="External"/><Relationship Id="rId6873" Type="http://schemas.openxmlformats.org/officeDocument/2006/relationships/hyperlink" Target="http://csr.bu.edu/ftp/asl/asllvd/demos/verify_start_end_handshape_annotations//test_auto_move//signs_mov_separ_signers/Liz_719.mov" TargetMode="External"/><Relationship Id="rId6874" Type="http://schemas.openxmlformats.org/officeDocument/2006/relationships/hyperlink" Target="http://secrets.rutgers.edu:8080/data/asl-ftp/asllvd/demos/verify_start_end_handshape_annotations//test_auto_move//signs_mov_separ_signers/Liz_719.mov" TargetMode="External"/><Relationship Id="rId6875" Type="http://schemas.openxmlformats.org/officeDocument/2006/relationships/hyperlink" Target="http://csr.bu.edu/ftp/asl/asllvd/demos/verify_start_end_handshape_annotations//test_auto_move//signs_mov/719.mov" TargetMode="External"/><Relationship Id="rId6876" Type="http://schemas.openxmlformats.org/officeDocument/2006/relationships/hyperlink" Target="http://csr.bu.edu/ftp/asl/asllvd/demos/verify_start_end_handshape_annotations//test_auto_move//signs_mov_separ_signers/Tyler_719.mov" TargetMode="External"/><Relationship Id="rId6877" Type="http://schemas.openxmlformats.org/officeDocument/2006/relationships/hyperlink" Target="http://secrets.rutgers.edu:8080/data/asl-ftp/asllvd/demos/verify_start_end_handshape_annotations//test_auto_move//signs_mov/719.mov" TargetMode="External"/><Relationship Id="rId6878" Type="http://schemas.openxmlformats.org/officeDocument/2006/relationships/hyperlink" Target="http://secrets.rutgers.edu:8080/data/asl-ftp/asllvd/demos/verify_start_end_handshape_annotations//test_auto_move//signs_mov_separ_signers/Tyler_719.mov" TargetMode="External"/><Relationship Id="rId6879" Type="http://schemas.openxmlformats.org/officeDocument/2006/relationships/hyperlink" Target="http://csr.bu.edu/ftp/asl/asllvd/demos/verify_start_end_handshape_annotations//test_auto_move//signs_mov_separ_signers/Naomi_719.mov" TargetMode="External"/><Relationship Id="rId6880" Type="http://schemas.openxmlformats.org/officeDocument/2006/relationships/hyperlink" Target="http://secrets.rutgers.edu:8080/data/asl-ftp/asllvd/demos/verify_start_end_handshape_annotations//test_auto_move//signs_mov_separ_signers/Naomi_719.mov" TargetMode="External"/><Relationship Id="rId6881" Type="http://schemas.openxmlformats.org/officeDocument/2006/relationships/hyperlink" Target="http://csr.bu.edu/ftp/asl/asllvd/demos/verify_start_end_handshape_annotations//test_auto_move//signs_mov_separ_signers/Brady_719.mov" TargetMode="External"/><Relationship Id="rId6882" Type="http://schemas.openxmlformats.org/officeDocument/2006/relationships/hyperlink" Target="http://secrets.rutgers.edu:8080/data/asl-ftp/asllvd/demos/verify_start_end_handshape_annotations//test_auto_move//signs_mov_separ_signers/Brady_719.mov" TargetMode="External"/><Relationship Id="rId6883" Type="http://schemas.openxmlformats.org/officeDocument/2006/relationships/hyperlink" Target="http://csr.bu.edu/ftp/asl/asllvd/demos/verify_start_end_handshape_annotations//test_auto_move//signs_mov_separ_signers/Liz_720.mov" TargetMode="External"/><Relationship Id="rId6884" Type="http://schemas.openxmlformats.org/officeDocument/2006/relationships/hyperlink" Target="http://secrets.rutgers.edu:8080/data/asl-ftp/asllvd/demos/verify_start_end_handshape_annotations//test_auto_move//signs_mov_separ_signers/Liz_720.mov" TargetMode="External"/><Relationship Id="rId6885" Type="http://schemas.openxmlformats.org/officeDocument/2006/relationships/hyperlink" Target="http://csr.bu.edu/ftp/asl/asllvd/demos/verify_start_end_handshape_annotations//test_auto_move//signs_mov_separ_signers/Liz_3762.mov" TargetMode="External"/><Relationship Id="rId6886" Type="http://schemas.openxmlformats.org/officeDocument/2006/relationships/hyperlink" Target="http://secrets.rutgers.edu:8080/data/asl-ftp/asllvd/demos/verify_start_end_handshape_annotations//test_auto_move//signs_mov_separ_signers/Liz_3762.mov" TargetMode="External"/><Relationship Id="rId6887" Type="http://schemas.openxmlformats.org/officeDocument/2006/relationships/hyperlink" Target="http://csr.bu.edu/ftp/asl/asllvd/demos/verify_start_end_handshape_annotations//test_auto_move//signs_mov/720_3762_merged.mov" TargetMode="External"/><Relationship Id="rId6888" Type="http://schemas.openxmlformats.org/officeDocument/2006/relationships/hyperlink" Target="http://csr.bu.edu/ftp/asl/asllvd/demos/verify_start_end_handshape_annotations//test_auto_move//signs_mov_separ_signers/Tyler_720.mov" TargetMode="External"/><Relationship Id="rId6889" Type="http://schemas.openxmlformats.org/officeDocument/2006/relationships/hyperlink" Target="http://secrets.rutgers.edu:8080/data/asl-ftp/asllvd/demos/verify_start_end_handshape_annotations//test_auto_move//signs_mov/720_3762_merged.mov" TargetMode="External"/><Relationship Id="rId6890" Type="http://schemas.openxmlformats.org/officeDocument/2006/relationships/hyperlink" Target="http://secrets.rutgers.edu:8080/data/asl-ftp/asllvd/demos/verify_start_end_handshape_annotations//test_auto_move//signs_mov_separ_signers/Tyler_720.mov" TargetMode="External"/><Relationship Id="rId6891" Type="http://schemas.openxmlformats.org/officeDocument/2006/relationships/hyperlink" Target="http://csr.bu.edu/ftp/asl/asllvd/demos/verify_start_end_handshape_annotations//test_auto_move//signs_mov_separ_signers/Naomi_720.mov" TargetMode="External"/><Relationship Id="rId6892" Type="http://schemas.openxmlformats.org/officeDocument/2006/relationships/hyperlink" Target="http://secrets.rutgers.edu:8080/data/asl-ftp/asllvd/demos/verify_start_end_handshape_annotations//test_auto_move//signs_mov_separ_signers/Naomi_720.mov" TargetMode="External"/><Relationship Id="rId6893" Type="http://schemas.openxmlformats.org/officeDocument/2006/relationships/hyperlink" Target="http://csr.bu.edu/ftp/asl/asllvd/demos/verify_start_end_handshape_annotations//test_auto_move//signs_mov_separ_signers/Brady_720.mov" TargetMode="External"/><Relationship Id="rId6894" Type="http://schemas.openxmlformats.org/officeDocument/2006/relationships/hyperlink" Target="http://secrets.rutgers.edu:8080/data/asl-ftp/asllvd/demos/verify_start_end_handshape_annotations//test_auto_move//signs_mov_separ_signers/Brady_720.mov" TargetMode="External"/><Relationship Id="rId6895" Type="http://schemas.openxmlformats.org/officeDocument/2006/relationships/hyperlink" Target="http://csr.bu.edu/ftp/asl/asllvd/demos/verify_start_end_handshape_annotations//test_auto_move//signs_mov_separ_signers/Brady_3762.mov" TargetMode="External"/><Relationship Id="rId6896" Type="http://schemas.openxmlformats.org/officeDocument/2006/relationships/hyperlink" Target="http://secrets.rutgers.edu:8080/data/asl-ftp/asllvd/demos/verify_start_end_handshape_annotations//test_auto_move//signs_mov_separ_signers/Brady_3762.mov" TargetMode="External"/><Relationship Id="rId6897" Type="http://schemas.openxmlformats.org/officeDocument/2006/relationships/hyperlink" Target="http://csr.bu.edu/ftp/asl/asllvd/demos/verify_start_end_handshape_annotations//test_auto_move//signs_mov/721.mov" TargetMode="External"/><Relationship Id="rId6898" Type="http://schemas.openxmlformats.org/officeDocument/2006/relationships/hyperlink" Target="http://csr.bu.edu/ftp/asl/asllvd/demos/verify_start_end_handshape_annotations//test_auto_move//signs_mov_separ_signers/Tyler_721.mov" TargetMode="External"/><Relationship Id="rId6899" Type="http://schemas.openxmlformats.org/officeDocument/2006/relationships/hyperlink" Target="http://secrets.rutgers.edu:8080/data/asl-ftp/asllvd/demos/verify_start_end_handshape_annotations//test_auto_move//signs_mov/721.mov" TargetMode="External"/><Relationship Id="rId6900" Type="http://schemas.openxmlformats.org/officeDocument/2006/relationships/hyperlink" Target="http://secrets.rutgers.edu:8080/data/asl-ftp/asllvd/demos/verify_start_end_handshape_annotations//test_auto_move//signs_mov_separ_signers/Tyler_721.mov" TargetMode="External"/><Relationship Id="rId6901" Type="http://schemas.openxmlformats.org/officeDocument/2006/relationships/hyperlink" Target="http://csr.bu.edu/ftp/asl/asllvd/demos/verify_start_end_handshape_annotations//test_auto_move//signs_mov_separ_signers/Liz_5167.mov" TargetMode="External"/><Relationship Id="rId6902" Type="http://schemas.openxmlformats.org/officeDocument/2006/relationships/hyperlink" Target="http://secrets.rutgers.edu:8080/data/asl-ftp/asllvd/demos/verify_start_end_handshape_annotations//test_auto_move//signs_mov_separ_signers/Liz_5167.mov" TargetMode="External"/><Relationship Id="rId6903" Type="http://schemas.openxmlformats.org/officeDocument/2006/relationships/hyperlink" Target="http://csr.bu.edu/ftp/asl/asllvd/demos/verify_start_end_handshape_annotations//test_auto_move//signs_mov/5167.mov" TargetMode="External"/><Relationship Id="rId6904" Type="http://schemas.openxmlformats.org/officeDocument/2006/relationships/hyperlink" Target="http://csr.bu.edu/ftp/asl/asllvd/demos/verify_start_end_handshape_annotations//test_auto_move//signs_mov_separ_signers/Naomi_5167.mov" TargetMode="External"/><Relationship Id="rId6905" Type="http://schemas.openxmlformats.org/officeDocument/2006/relationships/hyperlink" Target="http://secrets.rutgers.edu:8080/data/asl-ftp/asllvd/demos/verify_start_end_handshape_annotations//test_auto_move//signs_mov/5167.mov" TargetMode="External"/><Relationship Id="rId6906" Type="http://schemas.openxmlformats.org/officeDocument/2006/relationships/hyperlink" Target="http://secrets.rutgers.edu:8080/data/asl-ftp/asllvd/demos/verify_start_end_handshape_annotations//test_auto_move//signs_mov_separ_signers/Naomi_5167.mov" TargetMode="External"/><Relationship Id="rId6907" Type="http://schemas.openxmlformats.org/officeDocument/2006/relationships/hyperlink" Target="http://csr.bu.edu/ftp/asl/asllvd/demos/verify_start_end_handshape_annotations//test_auto_move//signs_mov_separ_signers/Brady_5167.mov" TargetMode="External"/><Relationship Id="rId6908" Type="http://schemas.openxmlformats.org/officeDocument/2006/relationships/hyperlink" Target="http://secrets.rutgers.edu:8080/data/asl-ftp/asllvd/demos/verify_start_end_handshape_annotations//test_auto_move//signs_mov_separ_signers/Brady_5167.mov" TargetMode="External"/><Relationship Id="rId6909" Type="http://schemas.openxmlformats.org/officeDocument/2006/relationships/hyperlink" Target="http://csr.bu.edu/ftp/asl/asllvd/demos/verify_start_end_handshape_annotations//test_auto_move//signs_mov_separ_signers/Liz_722.mov" TargetMode="External"/><Relationship Id="rId6910" Type="http://schemas.openxmlformats.org/officeDocument/2006/relationships/hyperlink" Target="http://secrets.rutgers.edu:8080/data/asl-ftp/asllvd/demos/verify_start_end_handshape_annotations//test_auto_move//signs_mov_separ_signers/Liz_722.mov" TargetMode="External"/><Relationship Id="rId6911" Type="http://schemas.openxmlformats.org/officeDocument/2006/relationships/hyperlink" Target="http://csr.bu.edu/ftp/asl/asllvd/demos/verify_start_end_handshape_annotations//test_auto_move//signs_mov_separ_signers/Liz_15023.mov" TargetMode="External"/><Relationship Id="rId6912" Type="http://schemas.openxmlformats.org/officeDocument/2006/relationships/hyperlink" Target="http://secrets.rutgers.edu:8080/data/asl-ftp/asllvd/demos/verify_start_end_handshape_annotations//test_auto_move//signs_mov_separ_signers/Liz_15023.mov" TargetMode="External"/><Relationship Id="rId6913" Type="http://schemas.openxmlformats.org/officeDocument/2006/relationships/hyperlink" Target="http://csr.bu.edu/ftp/asl/asllvd/demos/verify_start_end_handshape_annotations//test_auto_move//signs_mov_separ_signers/Tyler_722.mov" TargetMode="External"/><Relationship Id="rId6914" Type="http://schemas.openxmlformats.org/officeDocument/2006/relationships/hyperlink" Target="http://secrets.rutgers.edu:8080/data/asl-ftp/asllvd/demos/verify_start_end_handshape_annotations//test_auto_move//signs_mov_separ_signers/Tyler_722.mov" TargetMode="External"/><Relationship Id="rId6915" Type="http://schemas.openxmlformats.org/officeDocument/2006/relationships/hyperlink" Target="http://csr.bu.edu/ftp/asl/asllvd/demos/verify_start_end_handshape_annotations//test_auto_move//signs_mov_separ_signers/Naomi_722.mov" TargetMode="External"/><Relationship Id="rId6916" Type="http://schemas.openxmlformats.org/officeDocument/2006/relationships/hyperlink" Target="http://secrets.rutgers.edu:8080/data/asl-ftp/asllvd/demos/verify_start_end_handshape_annotations//test_auto_move//signs_mov_separ_signers/Naomi_722.mov" TargetMode="External"/><Relationship Id="rId6917" Type="http://schemas.openxmlformats.org/officeDocument/2006/relationships/hyperlink" Target="http://csr.bu.edu/ftp/asl/asllvd/demos/verify_start_end_handshape_annotations//test_auto_move//signs_mov/722_15023_merged.mov" TargetMode="External"/><Relationship Id="rId6918" Type="http://schemas.openxmlformats.org/officeDocument/2006/relationships/hyperlink" Target="http://csr.bu.edu/ftp/asl/asllvd/demos/verify_start_end_handshape_annotations//test_auto_move//signs_mov_separ_signers/Naomi_15023.mov" TargetMode="External"/><Relationship Id="rId6919" Type="http://schemas.openxmlformats.org/officeDocument/2006/relationships/hyperlink" Target="http://secrets.rutgers.edu:8080/data/asl-ftp/asllvd/demos/verify_start_end_handshape_annotations//test_auto_move//signs_mov/722_15023_merged.mov" TargetMode="External"/><Relationship Id="rId6920" Type="http://schemas.openxmlformats.org/officeDocument/2006/relationships/hyperlink" Target="http://secrets.rutgers.edu:8080/data/asl-ftp/asllvd/demos/verify_start_end_handshape_annotations//test_auto_move//signs_mov_separ_signers/Naomi_15023.mov" TargetMode="External"/><Relationship Id="rId6921" Type="http://schemas.openxmlformats.org/officeDocument/2006/relationships/hyperlink" Target="http://csr.bu.edu/ftp/asl/asllvd/demos/verify_start_end_handshape_annotations//test_auto_move//signs_mov_separ_signers/Brady_722.mov" TargetMode="External"/><Relationship Id="rId6922" Type="http://schemas.openxmlformats.org/officeDocument/2006/relationships/hyperlink" Target="http://secrets.rutgers.edu:8080/data/asl-ftp/asllvd/demos/verify_start_end_handshape_annotations//test_auto_move//signs_mov_separ_signers/Brady_722.mov" TargetMode="External"/><Relationship Id="rId6923" Type="http://schemas.openxmlformats.org/officeDocument/2006/relationships/hyperlink" Target="http://csr.bu.edu/ftp/asl/asllvd/demos/verify_start_end_handshape_annotations//test_auto_move//signs_mov_separ_signers/Brady_15023.mov" TargetMode="External"/><Relationship Id="rId6924" Type="http://schemas.openxmlformats.org/officeDocument/2006/relationships/hyperlink" Target="http://secrets.rutgers.edu:8080/data/asl-ftp/asllvd/demos/verify_start_end_handshape_annotations//test_auto_move//signs_mov_separ_signers/Brady_15023.mov" TargetMode="External"/><Relationship Id="rId6925" Type="http://schemas.openxmlformats.org/officeDocument/2006/relationships/hyperlink" Target="http://csr.bu.edu/ftp/asl/asllvd/demos/verify_start_end_handshape_annotations//test_auto_move//signs_mov_separ_signers/Lana_722.mov" TargetMode="External"/><Relationship Id="rId6926" Type="http://schemas.openxmlformats.org/officeDocument/2006/relationships/hyperlink" Target="http://secrets.rutgers.edu:8080/data/asl-ftp/asllvd/demos/verify_start_end_handshape_annotations//test_auto_move//signs_mov_separ_signers/Lana_722.mov" TargetMode="External"/><Relationship Id="rId6927" Type="http://schemas.openxmlformats.org/officeDocument/2006/relationships/hyperlink" Target="http://csr.bu.edu/ftp/asl/asllvd/demos/verify_start_end_handshape_annotations//test_auto_move//signs_mov_separ_signers/Dana_722.mov" TargetMode="External"/><Relationship Id="rId6928" Type="http://schemas.openxmlformats.org/officeDocument/2006/relationships/hyperlink" Target="http://secrets.rutgers.edu:8080/data/asl-ftp/asllvd/demos/verify_start_end_handshape_annotations//test_auto_move//signs_mov_separ_signers/Dana_722.mov" TargetMode="External"/><Relationship Id="rId6929" Type="http://schemas.openxmlformats.org/officeDocument/2006/relationships/hyperlink" Target="http://csr.bu.edu/ftp/asl/asllvd/demos/verify_start_end_handshape_annotations//test_auto_move//signs_mov_separ_signers/Liz_16053.mov" TargetMode="External"/><Relationship Id="rId6930" Type="http://schemas.openxmlformats.org/officeDocument/2006/relationships/hyperlink" Target="http://secrets.rutgers.edu:8080/data/asl-ftp/asllvd/demos/verify_start_end_handshape_annotations//test_auto_move//signs_mov_separ_signers/Liz_16053.mov" TargetMode="External"/><Relationship Id="rId6931" Type="http://schemas.openxmlformats.org/officeDocument/2006/relationships/hyperlink" Target="http://csr.bu.edu/ftp/asl/asllvd/demos/verify_start_end_handshape_annotations//test_auto_move//signs_mov/16053.mov" TargetMode="External"/><Relationship Id="rId6932" Type="http://schemas.openxmlformats.org/officeDocument/2006/relationships/hyperlink" Target="http://csr.bu.edu/ftp/asl/asllvd/demos/verify_start_end_handshape_annotations//test_auto_move//signs_mov_separ_signers/Naomi_16053.mov" TargetMode="External"/><Relationship Id="rId6933" Type="http://schemas.openxmlformats.org/officeDocument/2006/relationships/hyperlink" Target="http://secrets.rutgers.edu:8080/data/asl-ftp/asllvd/demos/verify_start_end_handshape_annotations//test_auto_move//signs_mov/16053.mov" TargetMode="External"/><Relationship Id="rId6934" Type="http://schemas.openxmlformats.org/officeDocument/2006/relationships/hyperlink" Target="http://secrets.rutgers.edu:8080/data/asl-ftp/asllvd/demos/verify_start_end_handshape_annotations//test_auto_move//signs_mov_separ_signers/Naomi_16053.mov" TargetMode="External"/><Relationship Id="rId6935" Type="http://schemas.openxmlformats.org/officeDocument/2006/relationships/hyperlink" Target="http://csr.bu.edu/ftp/asl/asllvd/demos/verify_start_end_handshape_annotations//test_auto_move//signs_mov_separ_signers/Brady_16053.mov" TargetMode="External"/><Relationship Id="rId6936" Type="http://schemas.openxmlformats.org/officeDocument/2006/relationships/hyperlink" Target="http://secrets.rutgers.edu:8080/data/asl-ftp/asllvd/demos/verify_start_end_handshape_annotations//test_auto_move//signs_mov_separ_signers/Brady_16053.mov" TargetMode="External"/><Relationship Id="rId6937" Type="http://schemas.openxmlformats.org/officeDocument/2006/relationships/hyperlink" Target="http://csr.bu.edu/ftp/asl/asllvd/demos/verify_start_end_handshape_annotations//test_auto_move//signs_mov/16339.mov" TargetMode="External"/><Relationship Id="rId6938" Type="http://schemas.openxmlformats.org/officeDocument/2006/relationships/hyperlink" Target="http://csr.bu.edu/ftp/asl/asllvd/demos/verify_start_end_handshape_annotations//test_auto_move//signs_mov_separ_signers/Tyler_16339.mov" TargetMode="External"/><Relationship Id="rId6939" Type="http://schemas.openxmlformats.org/officeDocument/2006/relationships/hyperlink" Target="http://secrets.rutgers.edu:8080/data/asl-ftp/asllvd/demos/verify_start_end_handshape_annotations//test_auto_move//signs_mov/16339.mov" TargetMode="External"/><Relationship Id="rId6940" Type="http://schemas.openxmlformats.org/officeDocument/2006/relationships/hyperlink" Target="http://secrets.rutgers.edu:8080/data/asl-ftp/asllvd/demos/verify_start_end_handshape_annotations//test_auto_move//signs_mov_separ_signers/Tyler_16339.mov" TargetMode="External"/><Relationship Id="rId6941" Type="http://schemas.openxmlformats.org/officeDocument/2006/relationships/hyperlink" Target="http://csr.bu.edu/ftp/asl/asllvd/demos/verify_start_end_handshape_annotations//test_auto_move//signs_mov_separ_signers/Liz_728.mov" TargetMode="External"/><Relationship Id="rId6942" Type="http://schemas.openxmlformats.org/officeDocument/2006/relationships/hyperlink" Target="http://secrets.rutgers.edu:8080/data/asl-ftp/asllvd/demos/verify_start_end_handshape_annotations//test_auto_move//signs_mov_separ_signers/Liz_728.mov" TargetMode="External"/><Relationship Id="rId6943" Type="http://schemas.openxmlformats.org/officeDocument/2006/relationships/hyperlink" Target="http://csr.bu.edu/ftp/asl/asllvd/demos/verify_start_end_handshape_annotations//test_auto_move//signs_mov/728.mov" TargetMode="External"/><Relationship Id="rId6944" Type="http://schemas.openxmlformats.org/officeDocument/2006/relationships/hyperlink" Target="http://csr.bu.edu/ftp/asl/asllvd/demos/verify_start_end_handshape_annotations//test_auto_move//signs_mov_separ_signers/Tyler_728.mov" TargetMode="External"/><Relationship Id="rId6945" Type="http://schemas.openxmlformats.org/officeDocument/2006/relationships/hyperlink" Target="http://secrets.rutgers.edu:8080/data/asl-ftp/asllvd/demos/verify_start_end_handshape_annotations//test_auto_move//signs_mov/728.mov" TargetMode="External"/><Relationship Id="rId6946" Type="http://schemas.openxmlformats.org/officeDocument/2006/relationships/hyperlink" Target="http://secrets.rutgers.edu:8080/data/asl-ftp/asllvd/demos/verify_start_end_handshape_annotations//test_auto_move//signs_mov_separ_signers/Tyler_728.mov" TargetMode="External"/><Relationship Id="rId6947" Type="http://schemas.openxmlformats.org/officeDocument/2006/relationships/hyperlink" Target="http://csr.bu.edu/ftp/asl/asllvd/demos/verify_start_end_handshape_annotations//test_auto_move//signs_mov_separ_signers/Naomi_728.mov" TargetMode="External"/><Relationship Id="rId6948" Type="http://schemas.openxmlformats.org/officeDocument/2006/relationships/hyperlink" Target="http://secrets.rutgers.edu:8080/data/asl-ftp/asllvd/demos/verify_start_end_handshape_annotations//test_auto_move//signs_mov_separ_signers/Naomi_728.mov" TargetMode="External"/><Relationship Id="rId6949" Type="http://schemas.openxmlformats.org/officeDocument/2006/relationships/hyperlink" Target="http://csr.bu.edu/ftp/asl/asllvd/demos/verify_start_end_handshape_annotations//test_auto_move//signs_mov_separ_signers/Brady_728.mov" TargetMode="External"/><Relationship Id="rId6950" Type="http://schemas.openxmlformats.org/officeDocument/2006/relationships/hyperlink" Target="http://secrets.rutgers.edu:8080/data/asl-ftp/asllvd/demos/verify_start_end_handshape_annotations//test_auto_move//signs_mov_separ_signers/Brady_728.mov" TargetMode="External"/><Relationship Id="rId6951" Type="http://schemas.openxmlformats.org/officeDocument/2006/relationships/hyperlink" Target="http://csr.bu.edu/ftp/asl/asllvd/demos/verify_start_end_handshape_annotations//test_auto_move//signs_mov_separ_signers/Liz_731.mov" TargetMode="External"/><Relationship Id="rId6952" Type="http://schemas.openxmlformats.org/officeDocument/2006/relationships/hyperlink" Target="http://secrets.rutgers.edu:8080/data/asl-ftp/asllvd/demos/verify_start_end_handshape_annotations//test_auto_move//signs_mov_separ_signers/Liz_731.mov" TargetMode="External"/><Relationship Id="rId6953" Type="http://schemas.openxmlformats.org/officeDocument/2006/relationships/hyperlink" Target="http://csr.bu.edu/ftp/asl/asllvd/demos/verify_start_end_handshape_annotations//test_auto_move//signs_mov/731.mov" TargetMode="External"/><Relationship Id="rId6954" Type="http://schemas.openxmlformats.org/officeDocument/2006/relationships/hyperlink" Target="http://csr.bu.edu/ftp/asl/asllvd/demos/verify_start_end_handshape_annotations//test_auto_move//signs_mov_separ_signers/Naomi_731.mov" TargetMode="External"/><Relationship Id="rId6955" Type="http://schemas.openxmlformats.org/officeDocument/2006/relationships/hyperlink" Target="http://secrets.rutgers.edu:8080/data/asl-ftp/asllvd/demos/verify_start_end_handshape_annotations//test_auto_move//signs_mov/731.mov" TargetMode="External"/><Relationship Id="rId6956" Type="http://schemas.openxmlformats.org/officeDocument/2006/relationships/hyperlink" Target="http://secrets.rutgers.edu:8080/data/asl-ftp/asllvd/demos/verify_start_end_handshape_annotations//test_auto_move//signs_mov_separ_signers/Naomi_731.mov" TargetMode="External"/><Relationship Id="rId6957" Type="http://schemas.openxmlformats.org/officeDocument/2006/relationships/hyperlink" Target="http://csr.bu.edu/ftp/asl/asllvd/demos/verify_start_end_handshape_annotations//test_auto_move//signs_mov_separ_signers/Brady_731.mov" TargetMode="External"/><Relationship Id="rId6958" Type="http://schemas.openxmlformats.org/officeDocument/2006/relationships/hyperlink" Target="http://secrets.rutgers.edu:8080/data/asl-ftp/asllvd/demos/verify_start_end_handshape_annotations//test_auto_move//signs_mov_separ_signers/Brady_731.mov" TargetMode="External"/><Relationship Id="rId6959" Type="http://schemas.openxmlformats.org/officeDocument/2006/relationships/hyperlink" Target="http://csr.bu.edu/ftp/asl/asllvd/demos/verify_start_end_handshape_annotations//test_auto_move//signs_mov_separ_signers/Liz_3616.mov" TargetMode="External"/><Relationship Id="rId6960" Type="http://schemas.openxmlformats.org/officeDocument/2006/relationships/hyperlink" Target="http://secrets.rutgers.edu:8080/data/asl-ftp/asllvd/demos/verify_start_end_handshape_annotations//test_auto_move//signs_mov_separ_signers/Liz_3616.mov" TargetMode="External"/><Relationship Id="rId6961" Type="http://schemas.openxmlformats.org/officeDocument/2006/relationships/hyperlink" Target="http://csr.bu.edu/ftp/asl/asllvd/demos/verify_start_end_handshape_annotations//test_auto_move//signs_mov/3616.mov" TargetMode="External"/><Relationship Id="rId6962" Type="http://schemas.openxmlformats.org/officeDocument/2006/relationships/hyperlink" Target="http://csr.bu.edu/ftp/asl/asllvd/demos/verify_start_end_handshape_annotations//test_auto_move//signs_mov_separ_signers/Tyler_3616.mov" TargetMode="External"/><Relationship Id="rId6963" Type="http://schemas.openxmlformats.org/officeDocument/2006/relationships/hyperlink" Target="http://secrets.rutgers.edu:8080/data/asl-ftp/asllvd/demos/verify_start_end_handshape_annotations//test_auto_move//signs_mov/3616.mov" TargetMode="External"/><Relationship Id="rId6964" Type="http://schemas.openxmlformats.org/officeDocument/2006/relationships/hyperlink" Target="http://secrets.rutgers.edu:8080/data/asl-ftp/asllvd/demos/verify_start_end_handshape_annotations//test_auto_move//signs_mov_separ_signers/Tyler_3616.mov" TargetMode="External"/><Relationship Id="rId6965" Type="http://schemas.openxmlformats.org/officeDocument/2006/relationships/hyperlink" Target="http://csr.bu.edu/ftp/asl/asllvd/demos/verify_start_end_handshape_annotations//test_auto_move//signs_mov_separ_signers/Naomi_3616.mov" TargetMode="External"/><Relationship Id="rId6966" Type="http://schemas.openxmlformats.org/officeDocument/2006/relationships/hyperlink" Target="http://secrets.rutgers.edu:8080/data/asl-ftp/asllvd/demos/verify_start_end_handshape_annotations//test_auto_move//signs_mov_separ_signers/Naomi_3616.mov" TargetMode="External"/><Relationship Id="rId6967" Type="http://schemas.openxmlformats.org/officeDocument/2006/relationships/hyperlink" Target="http://csr.bu.edu/ftp/asl/asllvd/demos/verify_start_end_handshape_annotations//test_auto_move//signs_mov_separ_signers/Brady_3616.mov" TargetMode="External"/><Relationship Id="rId6968" Type="http://schemas.openxmlformats.org/officeDocument/2006/relationships/hyperlink" Target="http://secrets.rutgers.edu:8080/data/asl-ftp/asllvd/demos/verify_start_end_handshape_annotations//test_auto_move//signs_mov_separ_signers/Brady_3616.mov" TargetMode="External"/><Relationship Id="rId6969" Type="http://schemas.openxmlformats.org/officeDocument/2006/relationships/hyperlink" Target="http://csr.bu.edu/ftp/asl/asllvd/demos/verify_start_end_handshape_annotations//test_auto_move//signs_mov_separ_signers/Liz_735.mov" TargetMode="External"/><Relationship Id="rId6970" Type="http://schemas.openxmlformats.org/officeDocument/2006/relationships/hyperlink" Target="http://secrets.rutgers.edu:8080/data/asl-ftp/asllvd/demos/verify_start_end_handshape_annotations//test_auto_move//signs_mov_separ_signers/Liz_735.mov" TargetMode="External"/><Relationship Id="rId6971" Type="http://schemas.openxmlformats.org/officeDocument/2006/relationships/hyperlink" Target="http://csr.bu.edu/ftp/asl/asllvd/demos/verify_start_end_handshape_annotations//test_auto_move//signs_mov/735.mov" TargetMode="External"/><Relationship Id="rId6972" Type="http://schemas.openxmlformats.org/officeDocument/2006/relationships/hyperlink" Target="http://csr.bu.edu/ftp/asl/asllvd/demos/verify_start_end_handshape_annotations//test_auto_move//signs_mov_separ_signers/Naomi_735.mov" TargetMode="External"/><Relationship Id="rId6973" Type="http://schemas.openxmlformats.org/officeDocument/2006/relationships/hyperlink" Target="http://secrets.rutgers.edu:8080/data/asl-ftp/asllvd/demos/verify_start_end_handshape_annotations//test_auto_move//signs_mov/735.mov" TargetMode="External"/><Relationship Id="rId6974" Type="http://schemas.openxmlformats.org/officeDocument/2006/relationships/hyperlink" Target="http://secrets.rutgers.edu:8080/data/asl-ftp/asllvd/demos/verify_start_end_handshape_annotations//test_auto_move//signs_mov_separ_signers/Naomi_735.mov" TargetMode="External"/><Relationship Id="rId6975" Type="http://schemas.openxmlformats.org/officeDocument/2006/relationships/hyperlink" Target="http://csr.bu.edu/ftp/asl/asllvd/demos/verify_start_end_handshape_annotations//test_auto_move//signs_mov_separ_signers/Brady_735.mov" TargetMode="External"/><Relationship Id="rId6976" Type="http://schemas.openxmlformats.org/officeDocument/2006/relationships/hyperlink" Target="http://secrets.rutgers.edu:8080/data/asl-ftp/asllvd/demos/verify_start_end_handshape_annotations//test_auto_move//signs_mov_separ_signers/Brady_735.mov" TargetMode="External"/><Relationship Id="rId6977" Type="http://schemas.openxmlformats.org/officeDocument/2006/relationships/hyperlink" Target="http://csr.bu.edu/ftp/asl/asllvd/demos/verify_start_end_handshape_annotations//test_auto_move//signs_mov/16340.mov" TargetMode="External"/><Relationship Id="rId6978" Type="http://schemas.openxmlformats.org/officeDocument/2006/relationships/hyperlink" Target="http://csr.bu.edu/ftp/asl/asllvd/demos/verify_start_end_handshape_annotations//test_auto_move//signs_mov_separ_signers/Tyler_16340.mov" TargetMode="External"/><Relationship Id="rId6979" Type="http://schemas.openxmlformats.org/officeDocument/2006/relationships/hyperlink" Target="http://secrets.rutgers.edu:8080/data/asl-ftp/asllvd/demos/verify_start_end_handshape_annotations//test_auto_move//signs_mov/16340.mov" TargetMode="External"/><Relationship Id="rId6980" Type="http://schemas.openxmlformats.org/officeDocument/2006/relationships/hyperlink" Target="http://secrets.rutgers.edu:8080/data/asl-ftp/asllvd/demos/verify_start_end_handshape_annotations//test_auto_move//signs_mov_separ_signers/Tyler_16340.mov" TargetMode="External"/><Relationship Id="rId6981" Type="http://schemas.openxmlformats.org/officeDocument/2006/relationships/hyperlink" Target="http://csr.bu.edu/ftp/asl/asllvd/demos/verify_start_end_handshape_annotations//test_auto_move//signs_mov_separ_signers/Liz_736.mov" TargetMode="External"/><Relationship Id="rId6982" Type="http://schemas.openxmlformats.org/officeDocument/2006/relationships/hyperlink" Target="http://secrets.rutgers.edu:8080/data/asl-ftp/asllvd/demos/verify_start_end_handshape_annotations//test_auto_move//signs_mov_separ_signers/Liz_736.mov" TargetMode="External"/><Relationship Id="rId6983" Type="http://schemas.openxmlformats.org/officeDocument/2006/relationships/hyperlink" Target="http://csr.bu.edu/ftp/asl/asllvd/demos/verify_start_end_handshape_annotations//test_auto_move//signs_mov_separ_signers/Tyler_736.mov" TargetMode="External"/><Relationship Id="rId6984" Type="http://schemas.openxmlformats.org/officeDocument/2006/relationships/hyperlink" Target="http://secrets.rutgers.edu:8080/data/asl-ftp/asllvd/demos/verify_start_end_handshape_annotations//test_auto_move//signs_mov_separ_signers/Tyler_736.mov" TargetMode="External"/><Relationship Id="rId6985" Type="http://schemas.openxmlformats.org/officeDocument/2006/relationships/hyperlink" Target="http://csr.bu.edu/ftp/asl/asllvd/demos/verify_start_end_handshape_annotations//test_auto_move//signs_mov/736.mov" TargetMode="External"/><Relationship Id="rId6986" Type="http://schemas.openxmlformats.org/officeDocument/2006/relationships/hyperlink" Target="http://csr.bu.edu/ftp/asl/asllvd/demos/verify_start_end_handshape_annotations//test_auto_move//signs_mov_separ_signers/Naomi_736.mov" TargetMode="External"/><Relationship Id="rId6987" Type="http://schemas.openxmlformats.org/officeDocument/2006/relationships/hyperlink" Target="http://secrets.rutgers.edu:8080/data/asl-ftp/asllvd/demos/verify_start_end_handshape_annotations//test_auto_move//signs_mov/736.mov" TargetMode="External"/><Relationship Id="rId6988" Type="http://schemas.openxmlformats.org/officeDocument/2006/relationships/hyperlink" Target="http://secrets.rutgers.edu:8080/data/asl-ftp/asllvd/demos/verify_start_end_handshape_annotations//test_auto_move//signs_mov_separ_signers/Naomi_736.mov" TargetMode="External"/><Relationship Id="rId6989" Type="http://schemas.openxmlformats.org/officeDocument/2006/relationships/hyperlink" Target="http://csr.bu.edu/ftp/asl/asllvd/demos/verify_start_end_handshape_annotations//test_auto_move//signs_mov_separ_signers/Brady_736.mov" TargetMode="External"/><Relationship Id="rId6990" Type="http://schemas.openxmlformats.org/officeDocument/2006/relationships/hyperlink" Target="http://secrets.rutgers.edu:8080/data/asl-ftp/asllvd/demos/verify_start_end_handshape_annotations//test_auto_move//signs_mov_separ_signers/Brady_736.mov" TargetMode="External"/><Relationship Id="rId6991" Type="http://schemas.openxmlformats.org/officeDocument/2006/relationships/hyperlink" Target="http://csr.bu.edu/ftp/asl/asllvd/demos/verify_start_end_handshape_annotations//test_auto_move//signs_mov_separ_signers/Lana_736.mov" TargetMode="External"/><Relationship Id="rId6992" Type="http://schemas.openxmlformats.org/officeDocument/2006/relationships/hyperlink" Target="http://secrets.rutgers.edu:8080/data/asl-ftp/asllvd/demos/verify_start_end_handshape_annotations//test_auto_move//signs_mov_separ_signers/Lana_736.mov" TargetMode="External"/><Relationship Id="rId6993" Type="http://schemas.openxmlformats.org/officeDocument/2006/relationships/hyperlink" Target="http://csr.bu.edu/ftp/asl/asllvd/demos/verify_start_end_handshape_annotations//test_auto_move//signs_mov_separ_signers/Dana_736.mov" TargetMode="External"/><Relationship Id="rId6994" Type="http://schemas.openxmlformats.org/officeDocument/2006/relationships/hyperlink" Target="http://secrets.rutgers.edu:8080/data/asl-ftp/asllvd/demos/verify_start_end_handshape_annotations//test_auto_move//signs_mov_separ_signers/Dana_736.mov" TargetMode="External"/><Relationship Id="rId6995" Type="http://schemas.openxmlformats.org/officeDocument/2006/relationships/hyperlink" Target="http://csr.bu.edu/ftp/asl/asllvd/demos/verify_start_end_handshape_annotations//test_auto_move//signs_mov/3303.mov" TargetMode="External"/><Relationship Id="rId6996" Type="http://schemas.openxmlformats.org/officeDocument/2006/relationships/hyperlink" Target="http://csr.bu.edu/ftp/asl/asllvd/demos/verify_start_end_handshape_annotations//test_auto_move//signs_mov_separ_signers/Naomi_3303.mov" TargetMode="External"/><Relationship Id="rId6997" Type="http://schemas.openxmlformats.org/officeDocument/2006/relationships/hyperlink" Target="http://secrets.rutgers.edu:8080/data/asl-ftp/asllvd/demos/verify_start_end_handshape_annotations//test_auto_move//signs_mov/3303.mov" TargetMode="External"/><Relationship Id="rId6998" Type="http://schemas.openxmlformats.org/officeDocument/2006/relationships/hyperlink" Target="http://secrets.rutgers.edu:8080/data/asl-ftp/asllvd/demos/verify_start_end_handshape_annotations//test_auto_move//signs_mov_separ_signers/Naomi_3303.mov" TargetMode="External"/><Relationship Id="rId6999" Type="http://schemas.openxmlformats.org/officeDocument/2006/relationships/hyperlink" Target="http://csr.bu.edu/ftp/asl/asllvd/demos/verify_start_end_handshape_annotations//test_auto_move//signs_mov_separ_signers/Liz_15151.mov" TargetMode="External"/><Relationship Id="rId7000" Type="http://schemas.openxmlformats.org/officeDocument/2006/relationships/hyperlink" Target="http://secrets.rutgers.edu:8080/data/asl-ftp/asllvd/demos/verify_start_end_handshape_annotations//test_auto_move//signs_mov_separ_signers/Liz_15151.mov" TargetMode="External"/><Relationship Id="rId7001" Type="http://schemas.openxmlformats.org/officeDocument/2006/relationships/hyperlink" Target="http://csr.bu.edu/ftp/asl/asllvd/demos/verify_start_end_handshape_annotations//test_auto_move//signs_mov/15151.mov" TargetMode="External"/><Relationship Id="rId7002" Type="http://schemas.openxmlformats.org/officeDocument/2006/relationships/hyperlink" Target="http://csr.bu.edu/ftp/asl/asllvd/demos/verify_start_end_handshape_annotations//test_auto_move//signs_mov_separ_signers/Tyler_15151.mov" TargetMode="External"/><Relationship Id="rId7003" Type="http://schemas.openxmlformats.org/officeDocument/2006/relationships/hyperlink" Target="http://secrets.rutgers.edu:8080/data/asl-ftp/asllvd/demos/verify_start_end_handshape_annotations//test_auto_move//signs_mov/15151.mov" TargetMode="External"/><Relationship Id="rId7004" Type="http://schemas.openxmlformats.org/officeDocument/2006/relationships/hyperlink" Target="http://secrets.rutgers.edu:8080/data/asl-ftp/asllvd/demos/verify_start_end_handshape_annotations//test_auto_move//signs_mov_separ_signers/Tyler_15151.mov" TargetMode="External"/><Relationship Id="rId7005" Type="http://schemas.openxmlformats.org/officeDocument/2006/relationships/hyperlink" Target="http://csr.bu.edu/ftp/asl/asllvd/demos/verify_start_end_handshape_annotations//test_auto_move//signs_mov_separ_signers/Naomi_15151.mov" TargetMode="External"/><Relationship Id="rId7006" Type="http://schemas.openxmlformats.org/officeDocument/2006/relationships/hyperlink" Target="http://secrets.rutgers.edu:8080/data/asl-ftp/asllvd/demos/verify_start_end_handshape_annotations//test_auto_move//signs_mov_separ_signers/Naomi_15151.mov" TargetMode="External"/><Relationship Id="rId7007" Type="http://schemas.openxmlformats.org/officeDocument/2006/relationships/hyperlink" Target="http://csr.bu.edu/ftp/asl/asllvd/demos/verify_start_end_handshape_annotations//test_auto_move//signs_mov_separ_signers/Brady_15151.mov" TargetMode="External"/><Relationship Id="rId7008" Type="http://schemas.openxmlformats.org/officeDocument/2006/relationships/hyperlink" Target="http://secrets.rutgers.edu:8080/data/asl-ftp/asllvd/demos/verify_start_end_handshape_annotations//test_auto_move//signs_mov_separ_signers/Brady_15151.mov" TargetMode="External"/><Relationship Id="rId7009" Type="http://schemas.openxmlformats.org/officeDocument/2006/relationships/hyperlink" Target="http://csr.bu.edu/ftp/asl/asllvd/demos/verify_start_end_handshape_annotations//test_auto_move//signs_mov_separ_signers/Liz_737.mov" TargetMode="External"/><Relationship Id="rId7010" Type="http://schemas.openxmlformats.org/officeDocument/2006/relationships/hyperlink" Target="http://secrets.rutgers.edu:8080/data/asl-ftp/asllvd/demos/verify_start_end_handshape_annotations//test_auto_move//signs_mov_separ_signers/Liz_737.mov" TargetMode="External"/><Relationship Id="rId7011" Type="http://schemas.openxmlformats.org/officeDocument/2006/relationships/hyperlink" Target="http://csr.bu.edu/ftp/asl/asllvd/demos/verify_start_end_handshape_annotations//test_auto_move//signs_mov/737.mov" TargetMode="External"/><Relationship Id="rId7012" Type="http://schemas.openxmlformats.org/officeDocument/2006/relationships/hyperlink" Target="http://csr.bu.edu/ftp/asl/asllvd/demos/verify_start_end_handshape_annotations//test_auto_move//signs_mov_separ_signers/Tyler_737.mov" TargetMode="External"/><Relationship Id="rId7013" Type="http://schemas.openxmlformats.org/officeDocument/2006/relationships/hyperlink" Target="http://secrets.rutgers.edu:8080/data/asl-ftp/asllvd/demos/verify_start_end_handshape_annotations//test_auto_move//signs_mov/737.mov" TargetMode="External"/><Relationship Id="rId7014" Type="http://schemas.openxmlformats.org/officeDocument/2006/relationships/hyperlink" Target="http://secrets.rutgers.edu:8080/data/asl-ftp/asllvd/demos/verify_start_end_handshape_annotations//test_auto_move//signs_mov_separ_signers/Tyler_737.mov" TargetMode="External"/><Relationship Id="rId7015" Type="http://schemas.openxmlformats.org/officeDocument/2006/relationships/hyperlink" Target="http://csr.bu.edu/ftp/asl/asllvd/demos/verify_start_end_handshape_annotations//test_auto_move//signs_mov_separ_signers/Naomi_737.mov" TargetMode="External"/><Relationship Id="rId7016" Type="http://schemas.openxmlformats.org/officeDocument/2006/relationships/hyperlink" Target="http://secrets.rutgers.edu:8080/data/asl-ftp/asllvd/demos/verify_start_end_handshape_annotations//test_auto_move//signs_mov_separ_signers/Naomi_737.mov" TargetMode="External"/><Relationship Id="rId7017" Type="http://schemas.openxmlformats.org/officeDocument/2006/relationships/hyperlink" Target="http://csr.bu.edu/ftp/asl/asllvd/demos/verify_start_end_handshape_annotations//test_auto_move//signs_mov_separ_signers/Brady_737.mov" TargetMode="External"/><Relationship Id="rId7018" Type="http://schemas.openxmlformats.org/officeDocument/2006/relationships/hyperlink" Target="http://secrets.rutgers.edu:8080/data/asl-ftp/asllvd/demos/verify_start_end_handshape_annotations//test_auto_move//signs_mov_separ_signers/Brady_737.mov" TargetMode="External"/><Relationship Id="rId7019" Type="http://schemas.openxmlformats.org/officeDocument/2006/relationships/hyperlink" Target="http://csr.bu.edu/ftp/asl/asllvd/demos/verify_start_end_handshape_annotations//test_auto_move//signs_mov_separ_signers/Liz_3366.mov" TargetMode="External"/><Relationship Id="rId7020" Type="http://schemas.openxmlformats.org/officeDocument/2006/relationships/hyperlink" Target="http://secrets.rutgers.edu:8080/data/asl-ftp/asllvd/demos/verify_start_end_handshape_annotations//test_auto_move//signs_mov_separ_signers/Liz_3366.mov" TargetMode="External"/><Relationship Id="rId7021" Type="http://schemas.openxmlformats.org/officeDocument/2006/relationships/hyperlink" Target="http://csr.bu.edu/ftp/asl/asllvd/demos/verify_start_end_handshape_annotations//test_auto_move//signs_mov_separ_signers/Tyler_3366.mov" TargetMode="External"/><Relationship Id="rId7022" Type="http://schemas.openxmlformats.org/officeDocument/2006/relationships/hyperlink" Target="http://secrets.rutgers.edu:8080/data/asl-ftp/asllvd/demos/verify_start_end_handshape_annotations//test_auto_move//signs_mov_separ_signers/Tyler_3366.mov" TargetMode="External"/><Relationship Id="rId7023" Type="http://schemas.openxmlformats.org/officeDocument/2006/relationships/hyperlink" Target="http://csr.bu.edu/ftp/asl/asllvd/demos/verify_start_end_handshape_annotations//test_auto_move//signs_mov/3366_5644_merged.mov" TargetMode="External"/><Relationship Id="rId7024" Type="http://schemas.openxmlformats.org/officeDocument/2006/relationships/hyperlink" Target="http://csr.bu.edu/ftp/asl/asllvd/demos/verify_start_end_handshape_annotations//test_auto_move//signs_mov_separ_signers/Naomi_3366.mov" TargetMode="External"/><Relationship Id="rId7025" Type="http://schemas.openxmlformats.org/officeDocument/2006/relationships/hyperlink" Target="http://secrets.rutgers.edu:8080/data/asl-ftp/asllvd/demos/verify_start_end_handshape_annotations//test_auto_move//signs_mov/3366_5644_merged.mov" TargetMode="External"/><Relationship Id="rId7026" Type="http://schemas.openxmlformats.org/officeDocument/2006/relationships/hyperlink" Target="http://secrets.rutgers.edu:8080/data/asl-ftp/asllvd/demos/verify_start_end_handshape_annotations//test_auto_move//signs_mov_separ_signers/Naomi_3366.mov" TargetMode="External"/><Relationship Id="rId7027" Type="http://schemas.openxmlformats.org/officeDocument/2006/relationships/hyperlink" Target="http://csr.bu.edu/ftp/asl/asllvd/demos/verify_start_end_handshape_annotations//test_auto_move//signs_mov_separ_signers/Brady_3366.mov" TargetMode="External"/><Relationship Id="rId7028" Type="http://schemas.openxmlformats.org/officeDocument/2006/relationships/hyperlink" Target="http://secrets.rutgers.edu:8080/data/asl-ftp/asllvd/demos/verify_start_end_handshape_annotations//test_auto_move//signs_mov_separ_signers/Brady_3366.mov" TargetMode="External"/><Relationship Id="rId7029" Type="http://schemas.openxmlformats.org/officeDocument/2006/relationships/hyperlink" Target="http://csr.bu.edu/ftp/asl/asllvd/demos/verify_start_end_handshape_annotations//test_auto_move//signs_mov_separ_signers/Brady_5644.mov" TargetMode="External"/><Relationship Id="rId7030" Type="http://schemas.openxmlformats.org/officeDocument/2006/relationships/hyperlink" Target="http://secrets.rutgers.edu:8080/data/asl-ftp/asllvd/demos/verify_start_end_handshape_annotations//test_auto_move//signs_mov_separ_signers/Brady_5644.mov" TargetMode="External"/><Relationship Id="rId7031" Type="http://schemas.openxmlformats.org/officeDocument/2006/relationships/hyperlink" Target="http://csr.bu.edu/ftp/asl/asllvd/demos/verify_start_end_handshape_annotations//test_auto_move//signs_mov/5925.mov" TargetMode="External"/><Relationship Id="rId7032" Type="http://schemas.openxmlformats.org/officeDocument/2006/relationships/hyperlink" Target="http://csr.bu.edu/ftp/asl/asllvd/demos/verify_start_end_handshape_annotations//test_auto_move//signs_mov_separ_signers/Liz_5925.mov" TargetMode="External"/><Relationship Id="rId7033" Type="http://schemas.openxmlformats.org/officeDocument/2006/relationships/hyperlink" Target="http://secrets.rutgers.edu:8080/data/asl-ftp/asllvd/demos/verify_start_end_handshape_annotations//test_auto_move//signs_mov/5925.mov" TargetMode="External"/><Relationship Id="rId7034" Type="http://schemas.openxmlformats.org/officeDocument/2006/relationships/hyperlink" Target="http://secrets.rutgers.edu:8080/data/asl-ftp/asllvd/demos/verify_start_end_handshape_annotations//test_auto_move//signs_mov_separ_signers/Liz_5925.mov" TargetMode="External"/><Relationship Id="rId7035" Type="http://schemas.openxmlformats.org/officeDocument/2006/relationships/hyperlink" Target="http://csr.bu.edu/ftp/asl/asllvd/demos/verify_start_end_handshape_annotations//test_auto_move//signs_mov_separ_signers/Brady_5925.mov" TargetMode="External"/><Relationship Id="rId7036" Type="http://schemas.openxmlformats.org/officeDocument/2006/relationships/hyperlink" Target="http://secrets.rutgers.edu:8080/data/asl-ftp/asllvd/demos/verify_start_end_handshape_annotations//test_auto_move//signs_mov_separ_signers/Brady_5925.mov" TargetMode="External"/><Relationship Id="rId7037" Type="http://schemas.openxmlformats.org/officeDocument/2006/relationships/hyperlink" Target="http://csr.bu.edu/ftp/asl/asllvd/demos/verify_start_end_handshape_annotations//test_auto_move//signs_mov_separ_signers/Liz_740.mov" TargetMode="External"/><Relationship Id="rId7038" Type="http://schemas.openxmlformats.org/officeDocument/2006/relationships/hyperlink" Target="http://secrets.rutgers.edu:8080/data/asl-ftp/asllvd/demos/verify_start_end_handshape_annotations//test_auto_move//signs_mov_separ_signers/Liz_740.mov" TargetMode="External"/><Relationship Id="rId7039" Type="http://schemas.openxmlformats.org/officeDocument/2006/relationships/hyperlink" Target="http://csr.bu.edu/ftp/asl/asllvd/demos/verify_start_end_handshape_annotations//test_auto_move//signs_mov_separ_signers/Liz_5168.mov" TargetMode="External"/><Relationship Id="rId7040" Type="http://schemas.openxmlformats.org/officeDocument/2006/relationships/hyperlink" Target="http://secrets.rutgers.edu:8080/data/asl-ftp/asllvd/demos/verify_start_end_handshape_annotations//test_auto_move//signs_mov_separ_signers/Liz_5168.mov" TargetMode="External"/><Relationship Id="rId7041" Type="http://schemas.openxmlformats.org/officeDocument/2006/relationships/hyperlink" Target="http://csr.bu.edu/ftp/asl/asllvd/demos/verify_start_end_handshape_annotations//test_auto_move//signs_mov/740_5168_15030_merged.mov" TargetMode="External"/><Relationship Id="rId7042" Type="http://schemas.openxmlformats.org/officeDocument/2006/relationships/hyperlink" Target="http://csr.bu.edu/ftp/asl/asllvd/demos/verify_start_end_handshape_annotations//test_auto_move//signs_mov_separ_signers/Naomi_740.mov" TargetMode="External"/><Relationship Id="rId7043" Type="http://schemas.openxmlformats.org/officeDocument/2006/relationships/hyperlink" Target="http://secrets.rutgers.edu:8080/data/asl-ftp/asllvd/demos/verify_start_end_handshape_annotations//test_auto_move//signs_mov/740_5168_15030_merged.mov" TargetMode="External"/><Relationship Id="rId7044" Type="http://schemas.openxmlformats.org/officeDocument/2006/relationships/hyperlink" Target="http://secrets.rutgers.edu:8080/data/asl-ftp/asllvd/demos/verify_start_end_handshape_annotations//test_auto_move//signs_mov_separ_signers/Naomi_740.mov" TargetMode="External"/><Relationship Id="rId7045" Type="http://schemas.openxmlformats.org/officeDocument/2006/relationships/hyperlink" Target="http://csr.bu.edu/ftp/asl/asllvd/demos/verify_start_end_handshape_annotations//test_auto_move//signs_mov_separ_signers/Brady_740.mov" TargetMode="External"/><Relationship Id="rId7046" Type="http://schemas.openxmlformats.org/officeDocument/2006/relationships/hyperlink" Target="http://secrets.rutgers.edu:8080/data/asl-ftp/asllvd/demos/verify_start_end_handshape_annotations//test_auto_move//signs_mov_separ_signers/Brady_740.mov" TargetMode="External"/><Relationship Id="rId7047" Type="http://schemas.openxmlformats.org/officeDocument/2006/relationships/hyperlink" Target="http://csr.bu.edu/ftp/asl/asllvd/demos/verify_start_end_handshape_annotations//test_auto_move//signs_mov_separ_signers/Brady_5168.mov" TargetMode="External"/><Relationship Id="rId7048" Type="http://schemas.openxmlformats.org/officeDocument/2006/relationships/hyperlink" Target="http://secrets.rutgers.edu:8080/data/asl-ftp/asllvd/demos/verify_start_end_handshape_annotations//test_auto_move//signs_mov_separ_signers/Brady_5168.mov" TargetMode="External"/><Relationship Id="rId7049" Type="http://schemas.openxmlformats.org/officeDocument/2006/relationships/hyperlink" Target="http://csr.bu.edu/ftp/asl/asllvd/demos/verify_start_end_handshape_annotations//test_auto_move//signs_mov_separ_signers/Brady_15030.mov" TargetMode="External"/><Relationship Id="rId7050" Type="http://schemas.openxmlformats.org/officeDocument/2006/relationships/hyperlink" Target="http://secrets.rutgers.edu:8080/data/asl-ftp/asllvd/demos/verify_start_end_handshape_annotations//test_auto_move//signs_mov_separ_signers/Brady_15030.mov" TargetMode="External"/><Relationship Id="rId7051" Type="http://schemas.openxmlformats.org/officeDocument/2006/relationships/hyperlink" Target="http://csr.bu.edu/ftp/asl/asllvd/demos/verify_start_end_handshape_annotations//test_auto_move//signs_mov/15045.mov" TargetMode="External"/><Relationship Id="rId7052" Type="http://schemas.openxmlformats.org/officeDocument/2006/relationships/hyperlink" Target="http://csr.bu.edu/ftp/asl/asllvd/demos/verify_start_end_handshape_annotations//test_auto_move//signs_mov_separ_signers/Tyler_15045.mov" TargetMode="External"/><Relationship Id="rId7053" Type="http://schemas.openxmlformats.org/officeDocument/2006/relationships/hyperlink" Target="http://secrets.rutgers.edu:8080/data/asl-ftp/asllvd/demos/verify_start_end_handshape_annotations//test_auto_move//signs_mov/15045.mov" TargetMode="External"/><Relationship Id="rId7054" Type="http://schemas.openxmlformats.org/officeDocument/2006/relationships/hyperlink" Target="http://secrets.rutgers.edu:8080/data/asl-ftp/asllvd/demos/verify_start_end_handshape_annotations//test_auto_move//signs_mov_separ_signers/Tyler_15045.mov" TargetMode="External"/><Relationship Id="rId7055" Type="http://schemas.openxmlformats.org/officeDocument/2006/relationships/hyperlink" Target="http://csr.bu.edu/ftp/asl/asllvd/demos/verify_start_end_handshape_annotations//test_auto_move//signs_mov_separ_signers/Liz_742.mov" TargetMode="External"/><Relationship Id="rId7056" Type="http://schemas.openxmlformats.org/officeDocument/2006/relationships/hyperlink" Target="http://secrets.rutgers.edu:8080/data/asl-ftp/asllvd/demos/verify_start_end_handshape_annotations//test_auto_move//signs_mov_separ_signers/Liz_742.mov" TargetMode="External"/><Relationship Id="rId7057" Type="http://schemas.openxmlformats.org/officeDocument/2006/relationships/hyperlink" Target="http://csr.bu.edu/ftp/asl/asllvd/demos/verify_start_end_handshape_annotations//test_auto_move//signs_mov/742.mov" TargetMode="External"/><Relationship Id="rId7058" Type="http://schemas.openxmlformats.org/officeDocument/2006/relationships/hyperlink" Target="http://csr.bu.edu/ftp/asl/asllvd/demos/verify_start_end_handshape_annotations//test_auto_move//signs_mov_separ_signers/Tyler_742.mov" TargetMode="External"/><Relationship Id="rId7059" Type="http://schemas.openxmlformats.org/officeDocument/2006/relationships/hyperlink" Target="http://secrets.rutgers.edu:8080/data/asl-ftp/asllvd/demos/verify_start_end_handshape_annotations//test_auto_move//signs_mov/742.mov" TargetMode="External"/><Relationship Id="rId7060" Type="http://schemas.openxmlformats.org/officeDocument/2006/relationships/hyperlink" Target="http://secrets.rutgers.edu:8080/data/asl-ftp/asllvd/demos/verify_start_end_handshape_annotations//test_auto_move//signs_mov_separ_signers/Tyler_742.mov" TargetMode="External"/><Relationship Id="rId7061" Type="http://schemas.openxmlformats.org/officeDocument/2006/relationships/hyperlink" Target="http://csr.bu.edu/ftp/asl/asllvd/demos/verify_start_end_handshape_annotations//test_auto_move//signs_mov_separ_signers/Naomi_742.mov" TargetMode="External"/><Relationship Id="rId7062" Type="http://schemas.openxmlformats.org/officeDocument/2006/relationships/hyperlink" Target="http://secrets.rutgers.edu:8080/data/asl-ftp/asllvd/demos/verify_start_end_handshape_annotations//test_auto_move//signs_mov_separ_signers/Naomi_742.mov" TargetMode="External"/><Relationship Id="rId7063" Type="http://schemas.openxmlformats.org/officeDocument/2006/relationships/hyperlink" Target="http://csr.bu.edu/ftp/asl/asllvd/demos/verify_start_end_handshape_annotations//test_auto_move//signs_mov_separ_signers/Brady_742.mov" TargetMode="External"/><Relationship Id="rId7064" Type="http://schemas.openxmlformats.org/officeDocument/2006/relationships/hyperlink" Target="http://secrets.rutgers.edu:8080/data/asl-ftp/asllvd/demos/verify_start_end_handshape_annotations//test_auto_move//signs_mov_separ_signers/Brady_742.mov" TargetMode="External"/><Relationship Id="rId7065" Type="http://schemas.openxmlformats.org/officeDocument/2006/relationships/hyperlink" Target="http://csr.bu.edu/ftp/asl/asllvd/demos/verify_start_end_handshape_annotations//test_auto_move//signs_mov/3619.mov" TargetMode="External"/><Relationship Id="rId7066" Type="http://schemas.openxmlformats.org/officeDocument/2006/relationships/hyperlink" Target="http://csr.bu.edu/ftp/asl/asllvd/demos/verify_start_end_handshape_annotations//test_auto_move//signs_mov_separ_signers/Liz_3619.mov" TargetMode="External"/><Relationship Id="rId7067" Type="http://schemas.openxmlformats.org/officeDocument/2006/relationships/hyperlink" Target="http://secrets.rutgers.edu:8080/data/asl-ftp/asllvd/demos/verify_start_end_handshape_annotations//test_auto_move//signs_mov/3619.mov" TargetMode="External"/><Relationship Id="rId7068" Type="http://schemas.openxmlformats.org/officeDocument/2006/relationships/hyperlink" Target="http://secrets.rutgers.edu:8080/data/asl-ftp/asllvd/demos/verify_start_end_handshape_annotations//test_auto_move//signs_mov_separ_signers/Liz_3619.mov" TargetMode="External"/><Relationship Id="rId7069" Type="http://schemas.openxmlformats.org/officeDocument/2006/relationships/hyperlink" Target="http://csr.bu.edu/ftp/asl/asllvd/demos/verify_start_end_handshape_annotations//test_auto_move//signs_mov_separ_signers/Naomi_3619.mov" TargetMode="External"/><Relationship Id="rId7070" Type="http://schemas.openxmlformats.org/officeDocument/2006/relationships/hyperlink" Target="http://secrets.rutgers.edu:8080/data/asl-ftp/asllvd/demos/verify_start_end_handshape_annotations//test_auto_move//signs_mov_separ_signers/Naomi_3619.mov" TargetMode="External"/><Relationship Id="rId7071" Type="http://schemas.openxmlformats.org/officeDocument/2006/relationships/hyperlink" Target="http://csr.bu.edu/ftp/asl/asllvd/demos/verify_start_end_handshape_annotations//test_auto_move//signs_mov_separ_signers/Liz_745.mov" TargetMode="External"/><Relationship Id="rId7072" Type="http://schemas.openxmlformats.org/officeDocument/2006/relationships/hyperlink" Target="http://secrets.rutgers.edu:8080/data/asl-ftp/asllvd/demos/verify_start_end_handshape_annotations//test_auto_move//signs_mov_separ_signers/Liz_745.mov" TargetMode="External"/><Relationship Id="rId7073" Type="http://schemas.openxmlformats.org/officeDocument/2006/relationships/hyperlink" Target="http://csr.bu.edu/ftp/asl/asllvd/demos/verify_start_end_handshape_annotations//test_auto_move//signs_mov_separ_signers/Liz_3680.mov" TargetMode="External"/><Relationship Id="rId7074" Type="http://schemas.openxmlformats.org/officeDocument/2006/relationships/hyperlink" Target="http://secrets.rutgers.edu:8080/data/asl-ftp/asllvd/demos/verify_start_end_handshape_annotations//test_auto_move//signs_mov_separ_signers/Liz_3680.mov" TargetMode="External"/><Relationship Id="rId7075" Type="http://schemas.openxmlformats.org/officeDocument/2006/relationships/hyperlink" Target="http://csr.bu.edu/ftp/asl/asllvd/demos/verify_start_end_handshape_annotations//test_auto_move//signs_mov_separ_signers/Tyler_745.mov" TargetMode="External"/><Relationship Id="rId7076" Type="http://schemas.openxmlformats.org/officeDocument/2006/relationships/hyperlink" Target="http://secrets.rutgers.edu:8080/data/asl-ftp/asllvd/demos/verify_start_end_handshape_annotations//test_auto_move//signs_mov_separ_signers/Tyler_745.mov" TargetMode="External"/><Relationship Id="rId7077" Type="http://schemas.openxmlformats.org/officeDocument/2006/relationships/hyperlink" Target="http://csr.bu.edu/ftp/asl/asllvd/demos/verify_start_end_handshape_annotations//test_auto_move//signs_mov_separ_signers/Tyler_3680.mov" TargetMode="External"/><Relationship Id="rId7078" Type="http://schemas.openxmlformats.org/officeDocument/2006/relationships/hyperlink" Target="http://secrets.rutgers.edu:8080/data/asl-ftp/asllvd/demos/verify_start_end_handshape_annotations//test_auto_move//signs_mov_separ_signers/Tyler_3680.mov" TargetMode="External"/><Relationship Id="rId7079" Type="http://schemas.openxmlformats.org/officeDocument/2006/relationships/hyperlink" Target="http://csr.bu.edu/ftp/asl/asllvd/demos/verify_start_end_handshape_annotations//test_auto_move//signs_mov/745_3680_merged.mov" TargetMode="External"/><Relationship Id="rId7080" Type="http://schemas.openxmlformats.org/officeDocument/2006/relationships/hyperlink" Target="http://csr.bu.edu/ftp/asl/asllvd/demos/verify_start_end_handshape_annotations//test_auto_move//signs_mov_separ_signers/Naomi_745.mov" TargetMode="External"/><Relationship Id="rId7081" Type="http://schemas.openxmlformats.org/officeDocument/2006/relationships/hyperlink" Target="http://secrets.rutgers.edu:8080/data/asl-ftp/asllvd/demos/verify_start_end_handshape_annotations//test_auto_move//signs_mov/745_3680_merged.mov" TargetMode="External"/><Relationship Id="rId7082" Type="http://schemas.openxmlformats.org/officeDocument/2006/relationships/hyperlink" Target="http://secrets.rutgers.edu:8080/data/asl-ftp/asllvd/demos/verify_start_end_handshape_annotations//test_auto_move//signs_mov_separ_signers/Naomi_745.mov" TargetMode="External"/><Relationship Id="rId7083" Type="http://schemas.openxmlformats.org/officeDocument/2006/relationships/hyperlink" Target="http://csr.bu.edu/ftp/asl/asllvd/demos/verify_start_end_handshape_annotations//test_auto_move//signs_mov_separ_signers/Brady_745.mov" TargetMode="External"/><Relationship Id="rId7084" Type="http://schemas.openxmlformats.org/officeDocument/2006/relationships/hyperlink" Target="http://secrets.rutgers.edu:8080/data/asl-ftp/asllvd/demos/verify_start_end_handshape_annotations//test_auto_move//signs_mov_separ_signers/Brady_745.mov" TargetMode="External"/><Relationship Id="rId7085" Type="http://schemas.openxmlformats.org/officeDocument/2006/relationships/hyperlink" Target="http://csr.bu.edu/ftp/asl/asllvd/demos/verify_start_end_handshape_annotations//test_auto_move//signs_mov_separ_signers/Brady_3680.mov" TargetMode="External"/><Relationship Id="rId7086" Type="http://schemas.openxmlformats.org/officeDocument/2006/relationships/hyperlink" Target="http://secrets.rutgers.edu:8080/data/asl-ftp/asllvd/demos/verify_start_end_handshape_annotations//test_auto_move//signs_mov_separ_signers/Brady_3680.mov" TargetMode="External"/><Relationship Id="rId7087" Type="http://schemas.openxmlformats.org/officeDocument/2006/relationships/hyperlink" Target="http://csr.bu.edu/ftp/asl/asllvd/demos/verify_start_end_handshape_annotations//test_auto_move//signs_mov_separ_signers/Lana_745.mov" TargetMode="External"/><Relationship Id="rId7088" Type="http://schemas.openxmlformats.org/officeDocument/2006/relationships/hyperlink" Target="http://secrets.rutgers.edu:8080/data/asl-ftp/asllvd/demos/verify_start_end_handshape_annotations//test_auto_move//signs_mov_separ_signers/Lana_745.mov" TargetMode="External"/><Relationship Id="rId7089" Type="http://schemas.openxmlformats.org/officeDocument/2006/relationships/hyperlink" Target="http://csr.bu.edu/ftp/asl/asllvd/demos/verify_start_end_handshape_annotations//test_auto_move//signs_mov_separ_signers/Dana_745.mov" TargetMode="External"/><Relationship Id="rId7090" Type="http://schemas.openxmlformats.org/officeDocument/2006/relationships/hyperlink" Target="http://secrets.rutgers.edu:8080/data/asl-ftp/asllvd/demos/verify_start_end_handshape_annotations//test_auto_move//signs_mov_separ_signers/Dana_745.mov" TargetMode="External"/><Relationship Id="rId7091" Type="http://schemas.openxmlformats.org/officeDocument/2006/relationships/hyperlink" Target="http://csr.bu.edu/ftp/asl/asllvd/demos/verify_start_end_handshape_annotations//test_auto_move//signs_mov_separ_signers/Liz_15942.mov" TargetMode="External"/><Relationship Id="rId7092" Type="http://schemas.openxmlformats.org/officeDocument/2006/relationships/hyperlink" Target="http://secrets.rutgers.edu:8080/data/asl-ftp/asllvd/demos/verify_start_end_handshape_annotations//test_auto_move//signs_mov_separ_signers/Liz_15942.mov" TargetMode="External"/><Relationship Id="rId7093" Type="http://schemas.openxmlformats.org/officeDocument/2006/relationships/hyperlink" Target="http://csr.bu.edu/ftp/asl/asllvd/demos/verify_start_end_handshape_annotations//test_auto_move//signs_mov/15942_15974_merged.mov" TargetMode="External"/><Relationship Id="rId7094" Type="http://schemas.openxmlformats.org/officeDocument/2006/relationships/hyperlink" Target="http://csr.bu.edu/ftp/asl/asllvd/demos/verify_start_end_handshape_annotations//test_auto_move//signs_mov_separ_signers/Liz_15974.mov" TargetMode="External"/><Relationship Id="rId7095" Type="http://schemas.openxmlformats.org/officeDocument/2006/relationships/hyperlink" Target="http://secrets.rutgers.edu:8080/data/asl-ftp/asllvd/demos/verify_start_end_handshape_annotations//test_auto_move//signs_mov/15942_15974_merged.mov" TargetMode="External"/><Relationship Id="rId7096" Type="http://schemas.openxmlformats.org/officeDocument/2006/relationships/hyperlink" Target="http://secrets.rutgers.edu:8080/data/asl-ftp/asllvd/demos/verify_start_end_handshape_annotations//test_auto_move//signs_mov_separ_signers/Liz_15974.mov" TargetMode="External"/><Relationship Id="rId7097" Type="http://schemas.openxmlformats.org/officeDocument/2006/relationships/hyperlink" Target="http://csr.bu.edu/ftp/asl/asllvd/demos/verify_start_end_handshape_annotations//test_auto_move//signs_mov_separ_signers/Brady_15942.mov" TargetMode="External"/><Relationship Id="rId7098" Type="http://schemas.openxmlformats.org/officeDocument/2006/relationships/hyperlink" Target="http://secrets.rutgers.edu:8080/data/asl-ftp/asllvd/demos/verify_start_end_handshape_annotations//test_auto_move//signs_mov_separ_signers/Brady_15942.mov" TargetMode="External"/><Relationship Id="rId7099" Type="http://schemas.openxmlformats.org/officeDocument/2006/relationships/hyperlink" Target="http://csr.bu.edu/ftp/asl/asllvd/demos/verify_start_end_handshape_annotations//test_auto_move//signs_mov_separ_signers/Liz_746.mov" TargetMode="External"/><Relationship Id="rId7100" Type="http://schemas.openxmlformats.org/officeDocument/2006/relationships/hyperlink" Target="http://secrets.rutgers.edu:8080/data/asl-ftp/asllvd/demos/verify_start_end_handshape_annotations//test_auto_move//signs_mov_separ_signers/Liz_746.mov" TargetMode="External"/><Relationship Id="rId7101" Type="http://schemas.openxmlformats.org/officeDocument/2006/relationships/hyperlink" Target="http://csr.bu.edu/ftp/asl/asllvd/demos/verify_start_end_handshape_annotations//test_auto_move//signs_mov/746.mov" TargetMode="External"/><Relationship Id="rId7102" Type="http://schemas.openxmlformats.org/officeDocument/2006/relationships/hyperlink" Target="http://csr.bu.edu/ftp/asl/asllvd/demos/verify_start_end_handshape_annotations//test_auto_move//signs_mov_separ_signers/Tyler_746.mov" TargetMode="External"/><Relationship Id="rId7103" Type="http://schemas.openxmlformats.org/officeDocument/2006/relationships/hyperlink" Target="http://secrets.rutgers.edu:8080/data/asl-ftp/asllvd/demos/verify_start_end_handshape_annotations//test_auto_move//signs_mov/746.mov" TargetMode="External"/><Relationship Id="rId7104" Type="http://schemas.openxmlformats.org/officeDocument/2006/relationships/hyperlink" Target="http://secrets.rutgers.edu:8080/data/asl-ftp/asllvd/demos/verify_start_end_handshape_annotations//test_auto_move//signs_mov_separ_signers/Tyler_746.mov" TargetMode="External"/><Relationship Id="rId7105" Type="http://schemas.openxmlformats.org/officeDocument/2006/relationships/hyperlink" Target="http://csr.bu.edu/ftp/asl/asllvd/demos/verify_start_end_handshape_annotations//test_auto_move//signs_mov_separ_signers/Naomi_746.mov" TargetMode="External"/><Relationship Id="rId7106" Type="http://schemas.openxmlformats.org/officeDocument/2006/relationships/hyperlink" Target="http://secrets.rutgers.edu:8080/data/asl-ftp/asllvd/demos/verify_start_end_handshape_annotations//test_auto_move//signs_mov_separ_signers/Naomi_746.mov" TargetMode="External"/><Relationship Id="rId7107" Type="http://schemas.openxmlformats.org/officeDocument/2006/relationships/hyperlink" Target="http://csr.bu.edu/ftp/asl/asllvd/demos/verify_start_end_handshape_annotations//test_auto_move//signs_mov_separ_signers/Brady_746.mov" TargetMode="External"/><Relationship Id="rId7108" Type="http://schemas.openxmlformats.org/officeDocument/2006/relationships/hyperlink" Target="http://secrets.rutgers.edu:8080/data/asl-ftp/asllvd/demos/verify_start_end_handshape_annotations//test_auto_move//signs_mov_separ_signers/Brady_746.mov" TargetMode="External"/><Relationship Id="rId7109" Type="http://schemas.openxmlformats.org/officeDocument/2006/relationships/hyperlink" Target="http://csr.bu.edu/ftp/asl/asllvd/demos/verify_start_end_handshape_annotations//test_auto_move//signs_mov/15950.mov" TargetMode="External"/><Relationship Id="rId7110" Type="http://schemas.openxmlformats.org/officeDocument/2006/relationships/hyperlink" Target="http://csr.bu.edu/ftp/asl/asllvd/demos/verify_start_end_handshape_annotations//test_auto_move//signs_mov_separ_signers/Liz_15950.mov" TargetMode="External"/><Relationship Id="rId7111" Type="http://schemas.openxmlformats.org/officeDocument/2006/relationships/hyperlink" Target="http://secrets.rutgers.edu:8080/data/asl-ftp/asllvd/demos/verify_start_end_handshape_annotations//test_auto_move//signs_mov/15950.mov" TargetMode="External"/><Relationship Id="rId7112" Type="http://schemas.openxmlformats.org/officeDocument/2006/relationships/hyperlink" Target="http://secrets.rutgers.edu:8080/data/asl-ftp/asllvd/demos/verify_start_end_handshape_annotations//test_auto_move//signs_mov_separ_signers/Liz_15950.mov" TargetMode="External"/><Relationship Id="rId7113" Type="http://schemas.openxmlformats.org/officeDocument/2006/relationships/hyperlink" Target="http://csr.bu.edu/ftp/asl/asllvd/demos/verify_start_end_handshape_annotations//test_auto_move//signs_mov_separ_signers/Brady_15950.mov" TargetMode="External"/><Relationship Id="rId7114" Type="http://schemas.openxmlformats.org/officeDocument/2006/relationships/hyperlink" Target="http://secrets.rutgers.edu:8080/data/asl-ftp/asllvd/demos/verify_start_end_handshape_annotations//test_auto_move//signs_mov_separ_signers/Brady_15950.mov" TargetMode="External"/><Relationship Id="rId7115" Type="http://schemas.openxmlformats.org/officeDocument/2006/relationships/hyperlink" Target="http://csr.bu.edu/ftp/asl/asllvd/demos/verify_start_end_handshape_annotations//test_auto_move//signs_mov_separ_signers/Liz_747.mov" TargetMode="External"/><Relationship Id="rId7116" Type="http://schemas.openxmlformats.org/officeDocument/2006/relationships/hyperlink" Target="http://secrets.rutgers.edu:8080/data/asl-ftp/asllvd/demos/verify_start_end_handshape_annotations//test_auto_move//signs_mov_separ_signers/Liz_747.mov" TargetMode="External"/><Relationship Id="rId7117" Type="http://schemas.openxmlformats.org/officeDocument/2006/relationships/hyperlink" Target="http://csr.bu.edu/ftp/asl/asllvd/demos/verify_start_end_handshape_annotations//test_auto_move//signs_mov_separ_signers/Tyler_747.mov" TargetMode="External"/><Relationship Id="rId7118" Type="http://schemas.openxmlformats.org/officeDocument/2006/relationships/hyperlink" Target="http://secrets.rutgers.edu:8080/data/asl-ftp/asllvd/demos/verify_start_end_handshape_annotations//test_auto_move//signs_mov_separ_signers/Tyler_747.mov" TargetMode="External"/><Relationship Id="rId7119" Type="http://schemas.openxmlformats.org/officeDocument/2006/relationships/hyperlink" Target="http://csr.bu.edu/ftp/asl/asllvd/demos/verify_start_end_handshape_annotations//test_auto_move//signs_mov_separ_signers/Tyler_3304.mov" TargetMode="External"/><Relationship Id="rId7120" Type="http://schemas.openxmlformats.org/officeDocument/2006/relationships/hyperlink" Target="http://secrets.rutgers.edu:8080/data/asl-ftp/asllvd/demos/verify_start_end_handshape_annotations//test_auto_move//signs_mov_separ_signers/Tyler_3304.mov" TargetMode="External"/><Relationship Id="rId7121" Type="http://schemas.openxmlformats.org/officeDocument/2006/relationships/hyperlink" Target="http://csr.bu.edu/ftp/asl/asllvd/demos/verify_start_end_handshape_annotations//test_auto_move//signs_mov/747_3304_merged.mov" TargetMode="External"/><Relationship Id="rId7122" Type="http://schemas.openxmlformats.org/officeDocument/2006/relationships/hyperlink" Target="http://csr.bu.edu/ftp/asl/asllvd/demos/verify_start_end_handshape_annotations//test_auto_move//signs_mov_separ_signers/Naomi_747.mov" TargetMode="External"/><Relationship Id="rId7123" Type="http://schemas.openxmlformats.org/officeDocument/2006/relationships/hyperlink" Target="http://secrets.rutgers.edu:8080/data/asl-ftp/asllvd/demos/verify_start_end_handshape_annotations//test_auto_move//signs_mov/747_3304_merged.mov" TargetMode="External"/><Relationship Id="rId7124" Type="http://schemas.openxmlformats.org/officeDocument/2006/relationships/hyperlink" Target="http://secrets.rutgers.edu:8080/data/asl-ftp/asllvd/demos/verify_start_end_handshape_annotations//test_auto_move//signs_mov_separ_signers/Naomi_747.mov" TargetMode="External"/><Relationship Id="rId7125" Type="http://schemas.openxmlformats.org/officeDocument/2006/relationships/hyperlink" Target="http://csr.bu.edu/ftp/asl/asllvd/demos/verify_start_end_handshape_annotations//test_auto_move//signs_mov_separ_signers/Brady_747.mov" TargetMode="External"/><Relationship Id="rId7126" Type="http://schemas.openxmlformats.org/officeDocument/2006/relationships/hyperlink" Target="http://secrets.rutgers.edu:8080/data/asl-ftp/asllvd/demos/verify_start_end_handshape_annotations//test_auto_move//signs_mov_separ_signers/Brady_747.mov" TargetMode="External"/><Relationship Id="rId7127" Type="http://schemas.openxmlformats.org/officeDocument/2006/relationships/hyperlink" Target="http://csr.bu.edu/ftp/asl/asllvd/demos/verify_start_end_handshape_annotations//test_auto_move//signs_mov_separ_signers/Lana_747.mov" TargetMode="External"/><Relationship Id="rId7128" Type="http://schemas.openxmlformats.org/officeDocument/2006/relationships/hyperlink" Target="http://secrets.rutgers.edu:8080/data/asl-ftp/asllvd/demos/verify_start_end_handshape_annotations//test_auto_move//signs_mov_separ_signers/Lana_747.mov" TargetMode="External"/><Relationship Id="rId7129" Type="http://schemas.openxmlformats.org/officeDocument/2006/relationships/hyperlink" Target="http://csr.bu.edu/ftp/asl/asllvd/demos/verify_start_end_handshape_annotations//test_auto_move//signs_mov_separ_signers/Dana_747.mov" TargetMode="External"/><Relationship Id="rId7130" Type="http://schemas.openxmlformats.org/officeDocument/2006/relationships/hyperlink" Target="http://secrets.rutgers.edu:8080/data/asl-ftp/asllvd/demos/verify_start_end_handshape_annotations//test_auto_move//signs_mov_separ_signers/Dana_747.mov" TargetMode="External"/><Relationship Id="rId7131" Type="http://schemas.openxmlformats.org/officeDocument/2006/relationships/hyperlink" Target="http://csr.bu.edu/ftp/asl/asllvd/demos/verify_start_end_handshape_annotations//test_auto_move//signs_mov_separ_signers/Liz_748.mov" TargetMode="External"/><Relationship Id="rId7132" Type="http://schemas.openxmlformats.org/officeDocument/2006/relationships/hyperlink" Target="http://secrets.rutgers.edu:8080/data/asl-ftp/asllvd/demos/verify_start_end_handshape_annotations//test_auto_move//signs_mov_separ_signers/Liz_748.mov" TargetMode="External"/><Relationship Id="rId7133" Type="http://schemas.openxmlformats.org/officeDocument/2006/relationships/hyperlink" Target="http://csr.bu.edu/ftp/asl/asllvd/demos/verify_start_end_handshape_annotations//test_auto_move//signs_mov_separ_signers/Liz_3620.mov" TargetMode="External"/><Relationship Id="rId7134" Type="http://schemas.openxmlformats.org/officeDocument/2006/relationships/hyperlink" Target="http://secrets.rutgers.edu:8080/data/asl-ftp/asllvd/demos/verify_start_end_handshape_annotations//test_auto_move//signs_mov_separ_signers/Liz_3620.mov" TargetMode="External"/><Relationship Id="rId7135" Type="http://schemas.openxmlformats.org/officeDocument/2006/relationships/hyperlink" Target="http://csr.bu.edu/ftp/asl/asllvd/demos/verify_start_end_handshape_annotations//test_auto_move//signs_mov_separ_signers/Tyler_748.mov" TargetMode="External"/><Relationship Id="rId7136" Type="http://schemas.openxmlformats.org/officeDocument/2006/relationships/hyperlink" Target="http://secrets.rutgers.edu:8080/data/asl-ftp/asllvd/demos/verify_start_end_handshape_annotations//test_auto_move//signs_mov_separ_signers/Tyler_748.mov" TargetMode="External"/><Relationship Id="rId7137" Type="http://schemas.openxmlformats.org/officeDocument/2006/relationships/hyperlink" Target="http://csr.bu.edu/ftp/asl/asllvd/demos/verify_start_end_handshape_annotations//test_auto_move//signs_mov_separ_signers/Tyler_3620.mov" TargetMode="External"/><Relationship Id="rId7138" Type="http://schemas.openxmlformats.org/officeDocument/2006/relationships/hyperlink" Target="http://secrets.rutgers.edu:8080/data/asl-ftp/asllvd/demos/verify_start_end_handshape_annotations//test_auto_move//signs_mov_separ_signers/Tyler_3620.mov" TargetMode="External"/><Relationship Id="rId7139" Type="http://schemas.openxmlformats.org/officeDocument/2006/relationships/hyperlink" Target="http://csr.bu.edu/ftp/asl/asllvd/demos/verify_start_end_handshape_annotations//test_auto_move//signs_mov/748_3620_merged.mov" TargetMode="External"/><Relationship Id="rId7140" Type="http://schemas.openxmlformats.org/officeDocument/2006/relationships/hyperlink" Target="http://csr.bu.edu/ftp/asl/asllvd/demos/verify_start_end_handshape_annotations//test_auto_move//signs_mov_separ_signers/Naomi_748.mov" TargetMode="External"/><Relationship Id="rId7141" Type="http://schemas.openxmlformats.org/officeDocument/2006/relationships/hyperlink" Target="http://secrets.rutgers.edu:8080/data/asl-ftp/asllvd/demos/verify_start_end_handshape_annotations//test_auto_move//signs_mov/748_3620_merged.mov" TargetMode="External"/><Relationship Id="rId7142" Type="http://schemas.openxmlformats.org/officeDocument/2006/relationships/hyperlink" Target="http://secrets.rutgers.edu:8080/data/asl-ftp/asllvd/demos/verify_start_end_handshape_annotations//test_auto_move//signs_mov_separ_signers/Naomi_748.mov" TargetMode="External"/><Relationship Id="rId7143" Type="http://schemas.openxmlformats.org/officeDocument/2006/relationships/hyperlink" Target="http://csr.bu.edu/ftp/asl/asllvd/demos/verify_start_end_handshape_annotations//test_auto_move//signs_mov_separ_signers/Naomi_3620.mov" TargetMode="External"/><Relationship Id="rId7144" Type="http://schemas.openxmlformats.org/officeDocument/2006/relationships/hyperlink" Target="http://secrets.rutgers.edu:8080/data/asl-ftp/asllvd/demos/verify_start_end_handshape_annotations//test_auto_move//signs_mov_separ_signers/Naomi_3620.mov" TargetMode="External"/><Relationship Id="rId7145" Type="http://schemas.openxmlformats.org/officeDocument/2006/relationships/hyperlink" Target="http://csr.bu.edu/ftp/asl/asllvd/demos/verify_start_end_handshape_annotations//test_auto_move//signs_mov_separ_signers/Brady_748.mov" TargetMode="External"/><Relationship Id="rId7146" Type="http://schemas.openxmlformats.org/officeDocument/2006/relationships/hyperlink" Target="http://secrets.rutgers.edu:8080/data/asl-ftp/asllvd/demos/verify_start_end_handshape_annotations//test_auto_move//signs_mov_separ_signers/Brady_748.mov" TargetMode="External"/><Relationship Id="rId7147" Type="http://schemas.openxmlformats.org/officeDocument/2006/relationships/hyperlink" Target="http://csr.bu.edu/ftp/asl/asllvd/demos/verify_start_end_handshape_annotations//test_auto_move//signs_mov_separ_signers/Lana_748.mov" TargetMode="External"/><Relationship Id="rId7148" Type="http://schemas.openxmlformats.org/officeDocument/2006/relationships/hyperlink" Target="http://secrets.rutgers.edu:8080/data/asl-ftp/asllvd/demos/verify_start_end_handshape_annotations//test_auto_move//signs_mov_separ_signers/Lana_748.mov" TargetMode="External"/><Relationship Id="rId7149" Type="http://schemas.openxmlformats.org/officeDocument/2006/relationships/hyperlink" Target="http://csr.bu.edu/ftp/asl/asllvd/demos/verify_start_end_handshape_annotations//test_auto_move//signs_mov_separ_signers/Dana_748.mov" TargetMode="External"/><Relationship Id="rId7150" Type="http://schemas.openxmlformats.org/officeDocument/2006/relationships/hyperlink" Target="http://secrets.rutgers.edu:8080/data/asl-ftp/asllvd/demos/verify_start_end_handshape_annotations//test_auto_move//signs_mov_separ_signers/Dana_748.mov" TargetMode="External"/><Relationship Id="rId7151" Type="http://schemas.openxmlformats.org/officeDocument/2006/relationships/hyperlink" Target="http://csr.bu.edu/ftp/asl/asllvd/demos/verify_start_end_handshape_annotations//test_auto_move//signs_mov/15373.mov" TargetMode="External"/><Relationship Id="rId7152" Type="http://schemas.openxmlformats.org/officeDocument/2006/relationships/hyperlink" Target="http://csr.bu.edu/ftp/asl/asllvd/demos/verify_start_end_handshape_annotations//test_auto_move//signs_mov_separ_signers/Liz_15373.mov" TargetMode="External"/><Relationship Id="rId7153" Type="http://schemas.openxmlformats.org/officeDocument/2006/relationships/hyperlink" Target="http://secrets.rutgers.edu:8080/data/asl-ftp/asllvd/demos/verify_start_end_handshape_annotations//test_auto_move//signs_mov/15373.mov" TargetMode="External"/><Relationship Id="rId7154" Type="http://schemas.openxmlformats.org/officeDocument/2006/relationships/hyperlink" Target="http://secrets.rutgers.edu:8080/data/asl-ftp/asllvd/demos/verify_start_end_handshape_annotations//test_auto_move//signs_mov_separ_signers/Liz_15373.mov" TargetMode="External"/><Relationship Id="rId7155" Type="http://schemas.openxmlformats.org/officeDocument/2006/relationships/hyperlink" Target="http://csr.bu.edu/ftp/asl/asllvd/demos/verify_start_end_handshape_annotations//test_auto_move//signs_mov_separ_signers/Brady_15373.mov" TargetMode="External"/><Relationship Id="rId7156" Type="http://schemas.openxmlformats.org/officeDocument/2006/relationships/hyperlink" Target="http://secrets.rutgers.edu:8080/data/asl-ftp/asllvd/demos/verify_start_end_handshape_annotations//test_auto_move//signs_mov_separ_signers/Brady_15373.mov" TargetMode="External"/><Relationship Id="rId7157" Type="http://schemas.openxmlformats.org/officeDocument/2006/relationships/hyperlink" Target="http://csr.bu.edu/ftp/asl/asllvd/demos/verify_start_end_handshape_annotations//test_auto_move//signs_mov/751.mov" TargetMode="External"/><Relationship Id="rId7158" Type="http://schemas.openxmlformats.org/officeDocument/2006/relationships/hyperlink" Target="http://csr.bu.edu/ftp/asl/asllvd/demos/verify_start_end_handshape_annotations//test_auto_move//signs_mov_separ_signers/Liz_751.mov" TargetMode="External"/><Relationship Id="rId7159" Type="http://schemas.openxmlformats.org/officeDocument/2006/relationships/hyperlink" Target="http://secrets.rutgers.edu:8080/data/asl-ftp/asllvd/demos/verify_start_end_handshape_annotations//test_auto_move//signs_mov/751.mov" TargetMode="External"/><Relationship Id="rId7160" Type="http://schemas.openxmlformats.org/officeDocument/2006/relationships/hyperlink" Target="http://secrets.rutgers.edu:8080/data/asl-ftp/asllvd/demos/verify_start_end_handshape_annotations//test_auto_move//signs_mov_separ_signers/Liz_751.mov" TargetMode="External"/><Relationship Id="rId7161" Type="http://schemas.openxmlformats.org/officeDocument/2006/relationships/hyperlink" Target="http://csr.bu.edu/ftp/asl/asllvd/demos/verify_start_end_handshape_annotations//test_auto_move//signs_mov/753.mov" TargetMode="External"/><Relationship Id="rId7162" Type="http://schemas.openxmlformats.org/officeDocument/2006/relationships/hyperlink" Target="http://csr.bu.edu/ftp/asl/asllvd/demos/verify_start_end_handshape_annotations//test_auto_move//signs_mov_separ_signers/Liz_753.mov" TargetMode="External"/><Relationship Id="rId7163" Type="http://schemas.openxmlformats.org/officeDocument/2006/relationships/hyperlink" Target="http://secrets.rutgers.edu:8080/data/asl-ftp/asllvd/demos/verify_start_end_handshape_annotations//test_auto_move//signs_mov/753.mov" TargetMode="External"/><Relationship Id="rId7164" Type="http://schemas.openxmlformats.org/officeDocument/2006/relationships/hyperlink" Target="http://secrets.rutgers.edu:8080/data/asl-ftp/asllvd/demos/verify_start_end_handshape_annotations//test_auto_move//signs_mov_separ_signers/Liz_753.mov" TargetMode="External"/><Relationship Id="rId7165" Type="http://schemas.openxmlformats.org/officeDocument/2006/relationships/hyperlink" Target="http://csr.bu.edu/ftp/asl/asllvd/demos/verify_start_end_handshape_annotations//test_auto_move//signs_mov_separ_signers/Brady_753.mov" TargetMode="External"/><Relationship Id="rId7166" Type="http://schemas.openxmlformats.org/officeDocument/2006/relationships/hyperlink" Target="http://secrets.rutgers.edu:8080/data/asl-ftp/asllvd/demos/verify_start_end_handshape_annotations//test_auto_move//signs_mov_separ_signers/Brady_753.mov" TargetMode="External"/><Relationship Id="rId7167" Type="http://schemas.openxmlformats.org/officeDocument/2006/relationships/hyperlink" Target="http://csr.bu.edu/ftp/asl/asllvd/demos/verify_start_end_handshape_annotations//test_auto_move//signs_mov_separ_signers/Liz_16178.mov" TargetMode="External"/><Relationship Id="rId7168" Type="http://schemas.openxmlformats.org/officeDocument/2006/relationships/hyperlink" Target="http://secrets.rutgers.edu:8080/data/asl-ftp/asllvd/demos/verify_start_end_handshape_annotations//test_auto_move//signs_mov_separ_signers/Liz_16178.mov" TargetMode="External"/><Relationship Id="rId7169" Type="http://schemas.openxmlformats.org/officeDocument/2006/relationships/hyperlink" Target="http://csr.bu.edu/ftp/asl/asllvd/demos/verify_start_end_handshape_annotations//test_auto_move//signs_mov/16178.mov" TargetMode="External"/><Relationship Id="rId7170" Type="http://schemas.openxmlformats.org/officeDocument/2006/relationships/hyperlink" Target="http://csr.bu.edu/ftp/asl/asllvd/demos/verify_start_end_handshape_annotations//test_auto_move//signs_mov_separ_signers/Naomi_16178.mov" TargetMode="External"/><Relationship Id="rId7171" Type="http://schemas.openxmlformats.org/officeDocument/2006/relationships/hyperlink" Target="http://secrets.rutgers.edu:8080/data/asl-ftp/asllvd/demos/verify_start_end_handshape_annotations//test_auto_move//signs_mov/16178.mov" TargetMode="External"/><Relationship Id="rId7172" Type="http://schemas.openxmlformats.org/officeDocument/2006/relationships/hyperlink" Target="http://secrets.rutgers.edu:8080/data/asl-ftp/asllvd/demos/verify_start_end_handshape_annotations//test_auto_move//signs_mov_separ_signers/Naomi_16178.mov" TargetMode="External"/><Relationship Id="rId7173" Type="http://schemas.openxmlformats.org/officeDocument/2006/relationships/hyperlink" Target="http://csr.bu.edu/ftp/asl/asllvd/demos/verify_start_end_handshape_annotations//test_auto_move//signs_mov_separ_signers/Brady_16178.mov" TargetMode="External"/><Relationship Id="rId7174" Type="http://schemas.openxmlformats.org/officeDocument/2006/relationships/hyperlink" Target="http://secrets.rutgers.edu:8080/data/asl-ftp/asllvd/demos/verify_start_end_handshape_annotations//test_auto_move//signs_mov_separ_signers/Brady_16178.mov" TargetMode="External"/><Relationship Id="rId7175" Type="http://schemas.openxmlformats.org/officeDocument/2006/relationships/hyperlink" Target="http://csr.bu.edu/ftp/asl/asllvd/demos/verify_start_end_handshape_annotations//test_auto_move//signs_mov_separ_signers/Liz_756.mov" TargetMode="External"/><Relationship Id="rId7176" Type="http://schemas.openxmlformats.org/officeDocument/2006/relationships/hyperlink" Target="http://secrets.rutgers.edu:8080/data/asl-ftp/asllvd/demos/verify_start_end_handshape_annotations//test_auto_move//signs_mov_separ_signers/Liz_756.mov" TargetMode="External"/><Relationship Id="rId7177" Type="http://schemas.openxmlformats.org/officeDocument/2006/relationships/hyperlink" Target="http://csr.bu.edu/ftp/asl/asllvd/demos/verify_start_end_handshape_annotations//test_auto_move//signs_mov/756.mov" TargetMode="External"/><Relationship Id="rId7178" Type="http://schemas.openxmlformats.org/officeDocument/2006/relationships/hyperlink" Target="http://csr.bu.edu/ftp/asl/asllvd/demos/verify_start_end_handshape_annotations//test_auto_move//signs_mov_separ_signers/Naomi_756.mov" TargetMode="External"/><Relationship Id="rId7179" Type="http://schemas.openxmlformats.org/officeDocument/2006/relationships/hyperlink" Target="http://secrets.rutgers.edu:8080/data/asl-ftp/asllvd/demos/verify_start_end_handshape_annotations//test_auto_move//signs_mov/756.mov" TargetMode="External"/><Relationship Id="rId7180" Type="http://schemas.openxmlformats.org/officeDocument/2006/relationships/hyperlink" Target="http://secrets.rutgers.edu:8080/data/asl-ftp/asllvd/demos/verify_start_end_handshape_annotations//test_auto_move//signs_mov_separ_signers/Naomi_756.mov" TargetMode="External"/><Relationship Id="rId7181" Type="http://schemas.openxmlformats.org/officeDocument/2006/relationships/hyperlink" Target="http://csr.bu.edu/ftp/asl/asllvd/demos/verify_start_end_handshape_annotations//test_auto_move//signs_mov_separ_signers/Brady_756.mov" TargetMode="External"/><Relationship Id="rId7182" Type="http://schemas.openxmlformats.org/officeDocument/2006/relationships/hyperlink" Target="http://secrets.rutgers.edu:8080/data/asl-ftp/asllvd/demos/verify_start_end_handshape_annotations//test_auto_move//signs_mov_separ_signers/Brady_756.mov" TargetMode="External"/><Relationship Id="rId7183" Type="http://schemas.openxmlformats.org/officeDocument/2006/relationships/hyperlink" Target="http://csr.bu.edu/ftp/asl/asllvd/demos/verify_start_end_handshape_annotations//test_auto_move//signs_mov_separ_signers/Liz_757.mov" TargetMode="External"/><Relationship Id="rId7184" Type="http://schemas.openxmlformats.org/officeDocument/2006/relationships/hyperlink" Target="http://secrets.rutgers.edu:8080/data/asl-ftp/asllvd/demos/verify_start_end_handshape_annotations//test_auto_move//signs_mov_separ_signers/Liz_757.mov" TargetMode="External"/><Relationship Id="rId7185" Type="http://schemas.openxmlformats.org/officeDocument/2006/relationships/hyperlink" Target="http://csr.bu.edu/ftp/asl/asllvd/demos/verify_start_end_handshape_annotations//test_auto_move//signs_mov/757.mov" TargetMode="External"/><Relationship Id="rId7186" Type="http://schemas.openxmlformats.org/officeDocument/2006/relationships/hyperlink" Target="http://csr.bu.edu/ftp/asl/asllvd/demos/verify_start_end_handshape_annotations//test_auto_move//signs_mov_separ_signers/Naomi_757.mov" TargetMode="External"/><Relationship Id="rId7187" Type="http://schemas.openxmlformats.org/officeDocument/2006/relationships/hyperlink" Target="http://secrets.rutgers.edu:8080/data/asl-ftp/asllvd/demos/verify_start_end_handshape_annotations//test_auto_move//signs_mov/757.mov" TargetMode="External"/><Relationship Id="rId7188" Type="http://schemas.openxmlformats.org/officeDocument/2006/relationships/hyperlink" Target="http://secrets.rutgers.edu:8080/data/asl-ftp/asllvd/demos/verify_start_end_handshape_annotations//test_auto_move//signs_mov_separ_signers/Naomi_757.mov" TargetMode="External"/><Relationship Id="rId7189" Type="http://schemas.openxmlformats.org/officeDocument/2006/relationships/hyperlink" Target="http://csr.bu.edu/ftp/asl/asllvd/demos/verify_start_end_handshape_annotations//test_auto_move//signs_mov_separ_signers/Brady_757.mov" TargetMode="External"/><Relationship Id="rId7190" Type="http://schemas.openxmlformats.org/officeDocument/2006/relationships/hyperlink" Target="http://secrets.rutgers.edu:8080/data/asl-ftp/asllvd/demos/verify_start_end_handshape_annotations//test_auto_move//signs_mov_separ_signers/Brady_757.mov" TargetMode="External"/><Relationship Id="rId7191" Type="http://schemas.openxmlformats.org/officeDocument/2006/relationships/hyperlink" Target="http://csr.bu.edu/ftp/asl/asllvd/demos/verify_start_end_handshape_annotations//test_auto_move//signs_mov/758.mov" TargetMode="External"/><Relationship Id="rId7192" Type="http://schemas.openxmlformats.org/officeDocument/2006/relationships/hyperlink" Target="http://csr.bu.edu/ftp/asl/asllvd/demos/verify_start_end_handshape_annotations//test_auto_move//signs_mov_separ_signers/Naomi_758.mov" TargetMode="External"/><Relationship Id="rId7193" Type="http://schemas.openxmlformats.org/officeDocument/2006/relationships/hyperlink" Target="http://secrets.rutgers.edu:8080/data/asl-ftp/asllvd/demos/verify_start_end_handshape_annotations//test_auto_move//signs_mov/758.mov" TargetMode="External"/><Relationship Id="rId7194" Type="http://schemas.openxmlformats.org/officeDocument/2006/relationships/hyperlink" Target="http://secrets.rutgers.edu:8080/data/asl-ftp/asllvd/demos/verify_start_end_handshape_annotations//test_auto_move//signs_mov_separ_signers/Naomi_758.mov" TargetMode="External"/><Relationship Id="rId7195" Type="http://schemas.openxmlformats.org/officeDocument/2006/relationships/hyperlink" Target="http://csr.bu.edu/ftp/asl/asllvd/demos/verify_start_end_handshape_annotations//test_auto_move//signs_mov/3961.mov" TargetMode="External"/><Relationship Id="rId7196" Type="http://schemas.openxmlformats.org/officeDocument/2006/relationships/hyperlink" Target="http://csr.bu.edu/ftp/asl/asllvd/demos/verify_start_end_handshape_annotations//test_auto_move//signs_mov_separ_signers/Brady_3961.mov" TargetMode="External"/><Relationship Id="rId7197" Type="http://schemas.openxmlformats.org/officeDocument/2006/relationships/hyperlink" Target="http://secrets.rutgers.edu:8080/data/asl-ftp/asllvd/demos/verify_start_end_handshape_annotations//test_auto_move//signs_mov/3961.mov" TargetMode="External"/><Relationship Id="rId7198" Type="http://schemas.openxmlformats.org/officeDocument/2006/relationships/hyperlink" Target="http://secrets.rutgers.edu:8080/data/asl-ftp/asllvd/demos/verify_start_end_handshape_annotations//test_auto_move//signs_mov_separ_signers/Brady_3961.mov" TargetMode="External"/><Relationship Id="rId7199" Type="http://schemas.openxmlformats.org/officeDocument/2006/relationships/hyperlink" Target="http://csr.bu.edu/ftp/asl/asllvd/demos/verify_start_end_handshape_annotations//test_auto_move//signs_mov/15046.mov" TargetMode="External"/><Relationship Id="rId7200" Type="http://schemas.openxmlformats.org/officeDocument/2006/relationships/hyperlink" Target="http://csr.bu.edu/ftp/asl/asllvd/demos/verify_start_end_handshape_annotations//test_auto_move//signs_mov_separ_signers/Liz_15046.mov" TargetMode="External"/><Relationship Id="rId7201" Type="http://schemas.openxmlformats.org/officeDocument/2006/relationships/hyperlink" Target="http://secrets.rutgers.edu:8080/data/asl-ftp/asllvd/demos/verify_start_end_handshape_annotations//test_auto_move//signs_mov/15046.mov" TargetMode="External"/><Relationship Id="rId7202" Type="http://schemas.openxmlformats.org/officeDocument/2006/relationships/hyperlink" Target="http://secrets.rutgers.edu:8080/data/asl-ftp/asllvd/demos/verify_start_end_handshape_annotations//test_auto_move//signs_mov_separ_signers/Liz_15046.mov" TargetMode="External"/><Relationship Id="rId7203" Type="http://schemas.openxmlformats.org/officeDocument/2006/relationships/hyperlink" Target="http://csr.bu.edu/ftp/asl/asllvd/demos/verify_start_end_handshape_annotations//test_auto_move//signs_mov/15047.mov" TargetMode="External"/><Relationship Id="rId7204" Type="http://schemas.openxmlformats.org/officeDocument/2006/relationships/hyperlink" Target="http://csr.bu.edu/ftp/asl/asllvd/demos/verify_start_end_handshape_annotations//test_auto_move//signs_mov_separ_signers/Liz_15047.mov" TargetMode="External"/><Relationship Id="rId7205" Type="http://schemas.openxmlformats.org/officeDocument/2006/relationships/hyperlink" Target="http://secrets.rutgers.edu:8080/data/asl-ftp/asllvd/demos/verify_start_end_handshape_annotations//test_auto_move//signs_mov/15047.mov" TargetMode="External"/><Relationship Id="rId7206" Type="http://schemas.openxmlformats.org/officeDocument/2006/relationships/hyperlink" Target="http://secrets.rutgers.edu:8080/data/asl-ftp/asllvd/demos/verify_start_end_handshape_annotations//test_auto_move//signs_mov_separ_signers/Liz_15047.mov" TargetMode="External"/><Relationship Id="rId7207" Type="http://schemas.openxmlformats.org/officeDocument/2006/relationships/hyperlink" Target="http://csr.bu.edu/ftp/asl/asllvd/demos/verify_start_end_handshape_annotations//test_auto_move//signs_mov_separ_signers/Brady_15047.mov" TargetMode="External"/><Relationship Id="rId7208" Type="http://schemas.openxmlformats.org/officeDocument/2006/relationships/hyperlink" Target="http://secrets.rutgers.edu:8080/data/asl-ftp/asllvd/demos/verify_start_end_handshape_annotations//test_auto_move//signs_mov_separ_signers/Brady_15047.mov" TargetMode="External"/><Relationship Id="rId7209" Type="http://schemas.openxmlformats.org/officeDocument/2006/relationships/hyperlink" Target="http://csr.bu.edu/ftp/asl/asllvd/demos/verify_start_end_handshape_annotations//test_auto_move//signs_mov_separ_signers/Liz_759.mov" TargetMode="External"/><Relationship Id="rId7210" Type="http://schemas.openxmlformats.org/officeDocument/2006/relationships/hyperlink" Target="http://secrets.rutgers.edu:8080/data/asl-ftp/asllvd/demos/verify_start_end_handshape_annotations//test_auto_move//signs_mov_separ_signers/Liz_759.mov" TargetMode="External"/><Relationship Id="rId7211" Type="http://schemas.openxmlformats.org/officeDocument/2006/relationships/hyperlink" Target="http://csr.bu.edu/ftp/asl/asllvd/demos/verify_start_end_handshape_annotations//test_auto_move//signs_mov/759.mov" TargetMode="External"/><Relationship Id="rId7212" Type="http://schemas.openxmlformats.org/officeDocument/2006/relationships/hyperlink" Target="http://csr.bu.edu/ftp/asl/asllvd/demos/verify_start_end_handshape_annotations//test_auto_move//signs_mov_separ_signers/Naomi_759.mov" TargetMode="External"/><Relationship Id="rId7213" Type="http://schemas.openxmlformats.org/officeDocument/2006/relationships/hyperlink" Target="http://secrets.rutgers.edu:8080/data/asl-ftp/asllvd/demos/verify_start_end_handshape_annotations//test_auto_move//signs_mov/759.mov" TargetMode="External"/><Relationship Id="rId7214" Type="http://schemas.openxmlformats.org/officeDocument/2006/relationships/hyperlink" Target="http://secrets.rutgers.edu:8080/data/asl-ftp/asllvd/demos/verify_start_end_handshape_annotations//test_auto_move//signs_mov_separ_signers/Naomi_759.mov" TargetMode="External"/><Relationship Id="rId7215" Type="http://schemas.openxmlformats.org/officeDocument/2006/relationships/hyperlink" Target="http://csr.bu.edu/ftp/asl/asllvd/demos/verify_start_end_handshape_annotations//test_auto_move//signs_mov_separ_signers/Brady_759.mov" TargetMode="External"/><Relationship Id="rId7216" Type="http://schemas.openxmlformats.org/officeDocument/2006/relationships/hyperlink" Target="http://secrets.rutgers.edu:8080/data/asl-ftp/asllvd/demos/verify_start_end_handshape_annotations//test_auto_move//signs_mov_separ_signers/Brady_759.mov" TargetMode="External"/><Relationship Id="rId7217" Type="http://schemas.openxmlformats.org/officeDocument/2006/relationships/hyperlink" Target="http://csr.bu.edu/ftp/asl/asllvd/demos/verify_start_end_handshape_annotations//test_auto_move//signs_mov/760.mov" TargetMode="External"/><Relationship Id="rId7218" Type="http://schemas.openxmlformats.org/officeDocument/2006/relationships/hyperlink" Target="http://csr.bu.edu/ftp/asl/asllvd/demos/verify_start_end_handshape_annotations//test_auto_move//signs_mov_separ_signers/Liz_760.mov" TargetMode="External"/><Relationship Id="rId7219" Type="http://schemas.openxmlformats.org/officeDocument/2006/relationships/hyperlink" Target="http://secrets.rutgers.edu:8080/data/asl-ftp/asllvd/demos/verify_start_end_handshape_annotations//test_auto_move//signs_mov/760.mov" TargetMode="External"/><Relationship Id="rId7220" Type="http://schemas.openxmlformats.org/officeDocument/2006/relationships/hyperlink" Target="http://secrets.rutgers.edu:8080/data/asl-ftp/asllvd/demos/verify_start_end_handshape_annotations//test_auto_move//signs_mov_separ_signers/Liz_760.mov" TargetMode="External"/><Relationship Id="rId7221" Type="http://schemas.openxmlformats.org/officeDocument/2006/relationships/hyperlink" Target="http://csr.bu.edu/ftp/asl/asllvd/demos/verify_start_end_handshape_annotations//test_auto_move//signs_mov_separ_signers/Naomi_760.mov" TargetMode="External"/><Relationship Id="rId7222" Type="http://schemas.openxmlformats.org/officeDocument/2006/relationships/hyperlink" Target="http://secrets.rutgers.edu:8080/data/asl-ftp/asllvd/demos/verify_start_end_handshape_annotations//test_auto_move//signs_mov_separ_signers/Naomi_760.mov" TargetMode="External"/><Relationship Id="rId7223" Type="http://schemas.openxmlformats.org/officeDocument/2006/relationships/hyperlink" Target="http://csr.bu.edu/ftp/asl/asllvd/demos/verify_start_end_handshape_annotations//test_auto_move//signs_mov_separ_signers/Liz_762.mov" TargetMode="External"/><Relationship Id="rId7224" Type="http://schemas.openxmlformats.org/officeDocument/2006/relationships/hyperlink" Target="http://secrets.rutgers.edu:8080/data/asl-ftp/asllvd/demos/verify_start_end_handshape_annotations//test_auto_move//signs_mov_separ_signers/Liz_762.mov" TargetMode="External"/><Relationship Id="rId7225" Type="http://schemas.openxmlformats.org/officeDocument/2006/relationships/hyperlink" Target="http://csr.bu.edu/ftp/asl/asllvd/demos/verify_start_end_handshape_annotations//test_auto_move//signs_mov_separ_signers/Liz_15029.mov" TargetMode="External"/><Relationship Id="rId7226" Type="http://schemas.openxmlformats.org/officeDocument/2006/relationships/hyperlink" Target="http://secrets.rutgers.edu:8080/data/asl-ftp/asllvd/demos/verify_start_end_handshape_annotations//test_auto_move//signs_mov_separ_signers/Liz_15029.mov" TargetMode="External"/><Relationship Id="rId7227" Type="http://schemas.openxmlformats.org/officeDocument/2006/relationships/hyperlink" Target="http://csr.bu.edu/ftp/asl/asllvd/demos/verify_start_end_handshape_annotations//test_auto_move//signs_mov/762_15029_merged.mov" TargetMode="External"/><Relationship Id="rId7228" Type="http://schemas.openxmlformats.org/officeDocument/2006/relationships/hyperlink" Target="http://csr.bu.edu/ftp/asl/asllvd/demos/verify_start_end_handshape_annotations//test_auto_move//signs_mov_separ_signers/Tyler_762.mov" TargetMode="External"/><Relationship Id="rId7229" Type="http://schemas.openxmlformats.org/officeDocument/2006/relationships/hyperlink" Target="http://secrets.rutgers.edu:8080/data/asl-ftp/asllvd/demos/verify_start_end_handshape_annotations//test_auto_move//signs_mov/762_15029_merged.mov" TargetMode="External"/><Relationship Id="rId7230" Type="http://schemas.openxmlformats.org/officeDocument/2006/relationships/hyperlink" Target="http://secrets.rutgers.edu:8080/data/asl-ftp/asllvd/demos/verify_start_end_handshape_annotations//test_auto_move//signs_mov_separ_signers/Tyler_762.mov" TargetMode="External"/><Relationship Id="rId7231" Type="http://schemas.openxmlformats.org/officeDocument/2006/relationships/hyperlink" Target="http://csr.bu.edu/ftp/asl/asllvd/demos/verify_start_end_handshape_annotations//test_auto_move//signs_mov_separ_signers/Naomi_762.mov" TargetMode="External"/><Relationship Id="rId7232" Type="http://schemas.openxmlformats.org/officeDocument/2006/relationships/hyperlink" Target="http://secrets.rutgers.edu:8080/data/asl-ftp/asllvd/demos/verify_start_end_handshape_annotations//test_auto_move//signs_mov_separ_signers/Naomi_762.mov" TargetMode="External"/><Relationship Id="rId7233" Type="http://schemas.openxmlformats.org/officeDocument/2006/relationships/hyperlink" Target="http://csr.bu.edu/ftp/asl/asllvd/demos/verify_start_end_handshape_annotations//test_auto_move//signs_mov_separ_signers/Brady_762.mov" TargetMode="External"/><Relationship Id="rId7234" Type="http://schemas.openxmlformats.org/officeDocument/2006/relationships/hyperlink" Target="http://secrets.rutgers.edu:8080/data/asl-ftp/asllvd/demos/verify_start_end_handshape_annotations//test_auto_move//signs_mov_separ_signers/Brady_762.mov" TargetMode="External"/><Relationship Id="rId7235" Type="http://schemas.openxmlformats.org/officeDocument/2006/relationships/hyperlink" Target="http://csr.bu.edu/ftp/asl/asllvd/demos/verify_start_end_handshape_annotations//test_auto_move//signs_mov_separ_signers/Liz_767.mov" TargetMode="External"/><Relationship Id="rId7236" Type="http://schemas.openxmlformats.org/officeDocument/2006/relationships/hyperlink" Target="http://secrets.rutgers.edu:8080/data/asl-ftp/asllvd/demos/verify_start_end_handshape_annotations//test_auto_move//signs_mov_separ_signers/Liz_767.mov" TargetMode="External"/><Relationship Id="rId7237" Type="http://schemas.openxmlformats.org/officeDocument/2006/relationships/hyperlink" Target="http://csr.bu.edu/ftp/asl/asllvd/demos/verify_start_end_handshape_annotations//test_auto_move//signs_mov/767.mov" TargetMode="External"/><Relationship Id="rId7238" Type="http://schemas.openxmlformats.org/officeDocument/2006/relationships/hyperlink" Target="http://csr.bu.edu/ftp/asl/asllvd/demos/verify_start_end_handshape_annotations//test_auto_move//signs_mov_separ_signers/Tyler_767.mov" TargetMode="External"/><Relationship Id="rId7239" Type="http://schemas.openxmlformats.org/officeDocument/2006/relationships/hyperlink" Target="http://secrets.rutgers.edu:8080/data/asl-ftp/asllvd/demos/verify_start_end_handshape_annotations//test_auto_move//signs_mov/767.mov" TargetMode="External"/><Relationship Id="rId7240" Type="http://schemas.openxmlformats.org/officeDocument/2006/relationships/hyperlink" Target="http://secrets.rutgers.edu:8080/data/asl-ftp/asllvd/demos/verify_start_end_handshape_annotations//test_auto_move//signs_mov_separ_signers/Tyler_767.mov" TargetMode="External"/><Relationship Id="rId7241" Type="http://schemas.openxmlformats.org/officeDocument/2006/relationships/hyperlink" Target="http://csr.bu.edu/ftp/asl/asllvd/demos/verify_start_end_handshape_annotations//test_auto_move//signs_mov_separ_signers/Naomi_767.mov" TargetMode="External"/><Relationship Id="rId7242" Type="http://schemas.openxmlformats.org/officeDocument/2006/relationships/hyperlink" Target="http://secrets.rutgers.edu:8080/data/asl-ftp/asllvd/demos/verify_start_end_handshape_annotations//test_auto_move//signs_mov_separ_signers/Naomi_767.mov" TargetMode="External"/><Relationship Id="rId7243" Type="http://schemas.openxmlformats.org/officeDocument/2006/relationships/hyperlink" Target="http://csr.bu.edu/ftp/asl/asllvd/demos/verify_start_end_handshape_annotations//test_auto_move//signs_mov_separ_signers/Brady_767.mov" TargetMode="External"/><Relationship Id="rId7244" Type="http://schemas.openxmlformats.org/officeDocument/2006/relationships/hyperlink" Target="http://secrets.rutgers.edu:8080/data/asl-ftp/asllvd/demos/verify_start_end_handshape_annotations//test_auto_move//signs_mov_separ_signers/Brady_767.mov" TargetMode="External"/><Relationship Id="rId7245" Type="http://schemas.openxmlformats.org/officeDocument/2006/relationships/hyperlink" Target="http://csr.bu.edu/ftp/asl/asllvd/demos/verify_start_end_handshape_annotations//test_auto_move//signs_mov_separ_signers/Liz_768.mov" TargetMode="External"/><Relationship Id="rId7246" Type="http://schemas.openxmlformats.org/officeDocument/2006/relationships/hyperlink" Target="http://secrets.rutgers.edu:8080/data/asl-ftp/asllvd/demos/verify_start_end_handshape_annotations//test_auto_move//signs_mov_separ_signers/Liz_768.mov" TargetMode="External"/><Relationship Id="rId7247" Type="http://schemas.openxmlformats.org/officeDocument/2006/relationships/hyperlink" Target="http://csr.bu.edu/ftp/asl/asllvd/demos/verify_start_end_handshape_annotations//test_auto_move//signs_mov/768.mov" TargetMode="External"/><Relationship Id="rId7248" Type="http://schemas.openxmlformats.org/officeDocument/2006/relationships/hyperlink" Target="http://csr.bu.edu/ftp/asl/asllvd/demos/verify_start_end_handshape_annotations//test_auto_move//signs_mov_separ_signers/Tyler_768.mov" TargetMode="External"/><Relationship Id="rId7249" Type="http://schemas.openxmlformats.org/officeDocument/2006/relationships/hyperlink" Target="http://secrets.rutgers.edu:8080/data/asl-ftp/asllvd/demos/verify_start_end_handshape_annotations//test_auto_move//signs_mov/768.mov" TargetMode="External"/><Relationship Id="rId7250" Type="http://schemas.openxmlformats.org/officeDocument/2006/relationships/hyperlink" Target="http://secrets.rutgers.edu:8080/data/asl-ftp/asllvd/demos/verify_start_end_handshape_annotations//test_auto_move//signs_mov_separ_signers/Tyler_768.mov" TargetMode="External"/><Relationship Id="rId7251" Type="http://schemas.openxmlformats.org/officeDocument/2006/relationships/hyperlink" Target="http://csr.bu.edu/ftp/asl/asllvd/demos/verify_start_end_handshape_annotations//test_auto_move//signs_mov_separ_signers/Naomi_768.mov" TargetMode="External"/><Relationship Id="rId7252" Type="http://schemas.openxmlformats.org/officeDocument/2006/relationships/hyperlink" Target="http://secrets.rutgers.edu:8080/data/asl-ftp/asllvd/demos/verify_start_end_handshape_annotations//test_auto_move//signs_mov_separ_signers/Naomi_768.mov" TargetMode="External"/><Relationship Id="rId7253" Type="http://schemas.openxmlformats.org/officeDocument/2006/relationships/hyperlink" Target="http://csr.bu.edu/ftp/asl/asllvd/demos/verify_start_end_handshape_annotations//test_auto_move//signs_mov_separ_signers/Brady_768.mov" TargetMode="External"/><Relationship Id="rId7254" Type="http://schemas.openxmlformats.org/officeDocument/2006/relationships/hyperlink" Target="http://secrets.rutgers.edu:8080/data/asl-ftp/asllvd/demos/verify_start_end_handshape_annotations//test_auto_move//signs_mov_separ_signers/Brady_768.mov" TargetMode="External"/><Relationship Id="rId7255" Type="http://schemas.openxmlformats.org/officeDocument/2006/relationships/hyperlink" Target="http://csr.bu.edu/ftp/asl/asllvd/demos/verify_start_end_handshape_annotations//test_auto_move//signs_mov_separ_signers/Liz_769.mov" TargetMode="External"/><Relationship Id="rId7256" Type="http://schemas.openxmlformats.org/officeDocument/2006/relationships/hyperlink" Target="http://secrets.rutgers.edu:8080/data/asl-ftp/asllvd/demos/verify_start_end_handshape_annotations//test_auto_move//signs_mov_separ_signers/Liz_769.mov" TargetMode="External"/><Relationship Id="rId7257" Type="http://schemas.openxmlformats.org/officeDocument/2006/relationships/hyperlink" Target="http://csr.bu.edu/ftp/asl/asllvd/demos/verify_start_end_handshape_annotations//test_auto_move//signs_mov_separ_signers/Tyler_769.mov" TargetMode="External"/><Relationship Id="rId7258" Type="http://schemas.openxmlformats.org/officeDocument/2006/relationships/hyperlink" Target="http://secrets.rutgers.edu:8080/data/asl-ftp/asllvd/demos/verify_start_end_handshape_annotations//test_auto_move//signs_mov_separ_signers/Tyler_769.mov" TargetMode="External"/><Relationship Id="rId7259" Type="http://schemas.openxmlformats.org/officeDocument/2006/relationships/hyperlink" Target="http://csr.bu.edu/ftp/asl/asllvd/demos/verify_start_end_handshape_annotations//test_auto_move//signs_mov/769.mov" TargetMode="External"/><Relationship Id="rId7260" Type="http://schemas.openxmlformats.org/officeDocument/2006/relationships/hyperlink" Target="http://csr.bu.edu/ftp/asl/asllvd/demos/verify_start_end_handshape_annotations//test_auto_move//signs_mov_separ_signers/Naomi_769.mov" TargetMode="External"/><Relationship Id="rId7261" Type="http://schemas.openxmlformats.org/officeDocument/2006/relationships/hyperlink" Target="http://secrets.rutgers.edu:8080/data/asl-ftp/asllvd/demos/verify_start_end_handshape_annotations//test_auto_move//signs_mov/769.mov" TargetMode="External"/><Relationship Id="rId7262" Type="http://schemas.openxmlformats.org/officeDocument/2006/relationships/hyperlink" Target="http://secrets.rutgers.edu:8080/data/asl-ftp/asllvd/demos/verify_start_end_handshape_annotations//test_auto_move//signs_mov_separ_signers/Naomi_769.mov" TargetMode="External"/><Relationship Id="rId7263" Type="http://schemas.openxmlformats.org/officeDocument/2006/relationships/hyperlink" Target="http://csr.bu.edu/ftp/asl/asllvd/demos/verify_start_end_handshape_annotations//test_auto_move//signs_mov_separ_signers/Brady_769.mov" TargetMode="External"/><Relationship Id="rId7264" Type="http://schemas.openxmlformats.org/officeDocument/2006/relationships/hyperlink" Target="http://secrets.rutgers.edu:8080/data/asl-ftp/asllvd/demos/verify_start_end_handshape_annotations//test_auto_move//signs_mov_separ_signers/Brady_769.mov" TargetMode="External"/><Relationship Id="rId7265" Type="http://schemas.openxmlformats.org/officeDocument/2006/relationships/hyperlink" Target="http://csr.bu.edu/ftp/asl/asllvd/demos/verify_start_end_handshape_annotations//test_auto_move//signs_mov_separ_signers/Lana_769.mov" TargetMode="External"/><Relationship Id="rId7266" Type="http://schemas.openxmlformats.org/officeDocument/2006/relationships/hyperlink" Target="http://secrets.rutgers.edu:8080/data/asl-ftp/asllvd/demos/verify_start_end_handshape_annotations//test_auto_move//signs_mov_separ_signers/Lana_769.mov" TargetMode="External"/><Relationship Id="rId7267" Type="http://schemas.openxmlformats.org/officeDocument/2006/relationships/hyperlink" Target="http://csr.bu.edu/ftp/asl/asllvd/demos/verify_start_end_handshape_annotations//test_auto_move//signs_mov_separ_signers/Dana_769.mov" TargetMode="External"/><Relationship Id="rId7268" Type="http://schemas.openxmlformats.org/officeDocument/2006/relationships/hyperlink" Target="http://secrets.rutgers.edu:8080/data/asl-ftp/asllvd/demos/verify_start_end_handshape_annotations//test_auto_move//signs_mov_separ_signers/Dana_769.mov" TargetMode="External"/><Relationship Id="rId7269" Type="http://schemas.openxmlformats.org/officeDocument/2006/relationships/hyperlink" Target="http://csr.bu.edu/ftp/asl/asllvd/demos/verify_start_end_handshape_annotations//test_auto_move//signs_mov_separ_signers/Liz_771.mov" TargetMode="External"/><Relationship Id="rId7270" Type="http://schemas.openxmlformats.org/officeDocument/2006/relationships/hyperlink" Target="http://secrets.rutgers.edu:8080/data/asl-ftp/asllvd/demos/verify_start_end_handshape_annotations//test_auto_move//signs_mov_separ_signers/Liz_771.mov" TargetMode="External"/><Relationship Id="rId7271" Type="http://schemas.openxmlformats.org/officeDocument/2006/relationships/hyperlink" Target="http://csr.bu.edu/ftp/asl/asllvd/demos/verify_start_end_handshape_annotations//test_auto_move//signs_mov_separ_signers/Tyler_771.mov" TargetMode="External"/><Relationship Id="rId7272" Type="http://schemas.openxmlformats.org/officeDocument/2006/relationships/hyperlink" Target="http://secrets.rutgers.edu:8080/data/asl-ftp/asllvd/demos/verify_start_end_handshape_annotations//test_auto_move//signs_mov_separ_signers/Tyler_771.mov" TargetMode="External"/><Relationship Id="rId7273" Type="http://schemas.openxmlformats.org/officeDocument/2006/relationships/hyperlink" Target="http://csr.bu.edu/ftp/asl/asllvd/demos/verify_start_end_handshape_annotations//test_auto_move//signs_mov/771.mov" TargetMode="External"/><Relationship Id="rId7274" Type="http://schemas.openxmlformats.org/officeDocument/2006/relationships/hyperlink" Target="http://csr.bu.edu/ftp/asl/asllvd/demos/verify_start_end_handshape_annotations//test_auto_move//signs_mov_separ_signers/Naomi_771.mov" TargetMode="External"/><Relationship Id="rId7275" Type="http://schemas.openxmlformats.org/officeDocument/2006/relationships/hyperlink" Target="http://secrets.rutgers.edu:8080/data/asl-ftp/asllvd/demos/verify_start_end_handshape_annotations//test_auto_move//signs_mov/771.mov" TargetMode="External"/><Relationship Id="rId7276" Type="http://schemas.openxmlformats.org/officeDocument/2006/relationships/hyperlink" Target="http://secrets.rutgers.edu:8080/data/asl-ftp/asllvd/demos/verify_start_end_handshape_annotations//test_auto_move//signs_mov_separ_signers/Naomi_771.mov" TargetMode="External"/><Relationship Id="rId7277" Type="http://schemas.openxmlformats.org/officeDocument/2006/relationships/hyperlink" Target="http://csr.bu.edu/ftp/asl/asllvd/demos/verify_start_end_handshape_annotations//test_auto_move//signs_mov_separ_signers/Brady_771.mov" TargetMode="External"/><Relationship Id="rId7278" Type="http://schemas.openxmlformats.org/officeDocument/2006/relationships/hyperlink" Target="http://secrets.rutgers.edu:8080/data/asl-ftp/asllvd/demos/verify_start_end_handshape_annotations//test_auto_move//signs_mov_separ_signers/Brady_771.mov" TargetMode="External"/><Relationship Id="rId7279" Type="http://schemas.openxmlformats.org/officeDocument/2006/relationships/hyperlink" Target="http://csr.bu.edu/ftp/asl/asllvd/demos/verify_start_end_handshape_annotations//test_auto_move//signs_mov_separ_signers/Lana_771.mov" TargetMode="External"/><Relationship Id="rId7280" Type="http://schemas.openxmlformats.org/officeDocument/2006/relationships/hyperlink" Target="http://secrets.rutgers.edu:8080/data/asl-ftp/asllvd/demos/verify_start_end_handshape_annotations//test_auto_move//signs_mov_separ_signers/Lana_771.mov" TargetMode="External"/><Relationship Id="rId7281" Type="http://schemas.openxmlformats.org/officeDocument/2006/relationships/hyperlink" Target="http://csr.bu.edu/ftp/asl/asllvd/demos/verify_start_end_handshape_annotations//test_auto_move//signs_mov_separ_signers/Dana_771.mov" TargetMode="External"/><Relationship Id="rId7282" Type="http://schemas.openxmlformats.org/officeDocument/2006/relationships/hyperlink" Target="http://secrets.rutgers.edu:8080/data/asl-ftp/asllvd/demos/verify_start_end_handshape_annotations//test_auto_move//signs_mov_separ_signers/Dana_771.mov" TargetMode="External"/><Relationship Id="rId7283" Type="http://schemas.openxmlformats.org/officeDocument/2006/relationships/hyperlink" Target="http://csr.bu.edu/ftp/asl/asllvd/demos/verify_start_end_handshape_annotations//test_auto_move//signs_mov_separ_signers/Liz_774.mov" TargetMode="External"/><Relationship Id="rId7284" Type="http://schemas.openxmlformats.org/officeDocument/2006/relationships/hyperlink" Target="http://secrets.rutgers.edu:8080/data/asl-ftp/asllvd/demos/verify_start_end_handshape_annotations//test_auto_move//signs_mov_separ_signers/Liz_774.mov" TargetMode="External"/><Relationship Id="rId7285" Type="http://schemas.openxmlformats.org/officeDocument/2006/relationships/hyperlink" Target="http://csr.bu.edu/ftp/asl/asllvd/demos/verify_start_end_handshape_annotations//test_auto_move//signs_mov_separ_signers/Tyler_774.mov" TargetMode="External"/><Relationship Id="rId7286" Type="http://schemas.openxmlformats.org/officeDocument/2006/relationships/hyperlink" Target="http://secrets.rutgers.edu:8080/data/asl-ftp/asllvd/demos/verify_start_end_handshape_annotations//test_auto_move//signs_mov_separ_signers/Tyler_774.mov" TargetMode="External"/><Relationship Id="rId7287" Type="http://schemas.openxmlformats.org/officeDocument/2006/relationships/hyperlink" Target="http://csr.bu.edu/ftp/asl/asllvd/demos/verify_start_end_handshape_annotations//test_auto_move//signs_mov_separ_signers/Naomi_774.mov" TargetMode="External"/><Relationship Id="rId7288" Type="http://schemas.openxmlformats.org/officeDocument/2006/relationships/hyperlink" Target="http://secrets.rutgers.edu:8080/data/asl-ftp/asllvd/demos/verify_start_end_handshape_annotations//test_auto_move//signs_mov_separ_signers/Naomi_774.mov" TargetMode="External"/><Relationship Id="rId7289" Type="http://schemas.openxmlformats.org/officeDocument/2006/relationships/hyperlink" Target="http://csr.bu.edu/ftp/asl/asllvd/demos/verify_start_end_handshape_annotations//test_auto_move//signs_mov/774_5082_merged.mov" TargetMode="External"/><Relationship Id="rId7290" Type="http://schemas.openxmlformats.org/officeDocument/2006/relationships/hyperlink" Target="http://csr.bu.edu/ftp/asl/asllvd/demos/verify_start_end_handshape_annotations//test_auto_move//signs_mov_separ_signers/Brady_774.mov" TargetMode="External"/><Relationship Id="rId7291" Type="http://schemas.openxmlformats.org/officeDocument/2006/relationships/hyperlink" Target="http://secrets.rutgers.edu:8080/data/asl-ftp/asllvd/demos/verify_start_end_handshape_annotations//test_auto_move//signs_mov/774_5082_merged.mov" TargetMode="External"/><Relationship Id="rId7292" Type="http://schemas.openxmlformats.org/officeDocument/2006/relationships/hyperlink" Target="http://secrets.rutgers.edu:8080/data/asl-ftp/asllvd/demos/verify_start_end_handshape_annotations//test_auto_move//signs_mov_separ_signers/Brady_774.mov" TargetMode="External"/><Relationship Id="rId7293" Type="http://schemas.openxmlformats.org/officeDocument/2006/relationships/hyperlink" Target="http://csr.bu.edu/ftp/asl/asllvd/demos/verify_start_end_handshape_annotations//test_auto_move//signs_mov_separ_signers/Lana_774.mov" TargetMode="External"/><Relationship Id="rId7294" Type="http://schemas.openxmlformats.org/officeDocument/2006/relationships/hyperlink" Target="http://secrets.rutgers.edu:8080/data/asl-ftp/asllvd/demos/verify_start_end_handshape_annotations//test_auto_move//signs_mov_separ_signers/Lana_774.mov" TargetMode="External"/><Relationship Id="rId7295" Type="http://schemas.openxmlformats.org/officeDocument/2006/relationships/hyperlink" Target="http://csr.bu.edu/ftp/asl/asllvd/demos/verify_start_end_handshape_annotations//test_auto_move//signs_mov_separ_signers/Lana_5082.mov" TargetMode="External"/><Relationship Id="rId7296" Type="http://schemas.openxmlformats.org/officeDocument/2006/relationships/hyperlink" Target="http://secrets.rutgers.edu:8080/data/asl-ftp/asllvd/demos/verify_start_end_handshape_annotations//test_auto_move//signs_mov_separ_signers/Lana_5082.mov" TargetMode="External"/><Relationship Id="rId7297" Type="http://schemas.openxmlformats.org/officeDocument/2006/relationships/hyperlink" Target="http://csr.bu.edu/ftp/asl/asllvd/demos/verify_start_end_handshape_annotations//test_auto_move//signs_mov_separ_signers/Dana_774.mov" TargetMode="External"/><Relationship Id="rId7298" Type="http://schemas.openxmlformats.org/officeDocument/2006/relationships/hyperlink" Target="http://secrets.rutgers.edu:8080/data/asl-ftp/asllvd/demos/verify_start_end_handshape_annotations//test_auto_move//signs_mov_separ_signers/Dana_774.mov" TargetMode="External"/><Relationship Id="rId7299" Type="http://schemas.openxmlformats.org/officeDocument/2006/relationships/hyperlink" Target="http://csr.bu.edu/ftp/asl/asllvd/demos/verify_start_end_handshape_annotations//test_auto_move//signs_mov_separ_signers/Liz_5475.mov" TargetMode="External"/><Relationship Id="rId7300" Type="http://schemas.openxmlformats.org/officeDocument/2006/relationships/hyperlink" Target="http://secrets.rutgers.edu:8080/data/asl-ftp/asllvd/demos/verify_start_end_handshape_annotations//test_auto_move//signs_mov_separ_signers/Liz_5475.mov" TargetMode="External"/><Relationship Id="rId7301" Type="http://schemas.openxmlformats.org/officeDocument/2006/relationships/hyperlink" Target="http://csr.bu.edu/ftp/asl/asllvd/demos/verify_start_end_handshape_annotations//test_auto_move//signs_mov_separ_signers/Liz_5476.mov" TargetMode="External"/><Relationship Id="rId7302" Type="http://schemas.openxmlformats.org/officeDocument/2006/relationships/hyperlink" Target="http://secrets.rutgers.edu:8080/data/asl-ftp/asllvd/demos/verify_start_end_handshape_annotations//test_auto_move//signs_mov_separ_signers/Liz_5476.mov" TargetMode="External"/><Relationship Id="rId7303" Type="http://schemas.openxmlformats.org/officeDocument/2006/relationships/hyperlink" Target="http://csr.bu.edu/ftp/asl/asllvd/demos/verify_start_end_handshape_annotations//test_auto_move//signs_mov_separ_signers/Liz_5537.mov" TargetMode="External"/><Relationship Id="rId7304" Type="http://schemas.openxmlformats.org/officeDocument/2006/relationships/hyperlink" Target="http://secrets.rutgers.edu:8080/data/asl-ftp/asllvd/demos/verify_start_end_handshape_annotations//test_auto_move//signs_mov_separ_signers/Liz_5537.mov" TargetMode="External"/><Relationship Id="rId7305" Type="http://schemas.openxmlformats.org/officeDocument/2006/relationships/hyperlink" Target="http://csr.bu.edu/ftp/asl/asllvd/demos/verify_start_end_handshape_annotations//test_auto_move//signs_mov/5475_5476_5537_merged.mov" TargetMode="External"/><Relationship Id="rId7306" Type="http://schemas.openxmlformats.org/officeDocument/2006/relationships/hyperlink" Target="http://csr.bu.edu/ftp/asl/asllvd/demos/verify_start_end_handshape_annotations//test_auto_move//signs_mov_separ_signers/Tyler_5475.mov" TargetMode="External"/><Relationship Id="rId7307" Type="http://schemas.openxmlformats.org/officeDocument/2006/relationships/hyperlink" Target="http://secrets.rutgers.edu:8080/data/asl-ftp/asllvd/demos/verify_start_end_handshape_annotations//test_auto_move//signs_mov/5475_5476_5537_merged.mov" TargetMode="External"/><Relationship Id="rId7308" Type="http://schemas.openxmlformats.org/officeDocument/2006/relationships/hyperlink" Target="http://secrets.rutgers.edu:8080/data/asl-ftp/asllvd/demos/verify_start_end_handshape_annotations//test_auto_move//signs_mov_separ_signers/Tyler_5475.mov" TargetMode="External"/><Relationship Id="rId7309" Type="http://schemas.openxmlformats.org/officeDocument/2006/relationships/hyperlink" Target="http://csr.bu.edu/ftp/asl/asllvd/demos/verify_start_end_handshape_annotations//test_auto_move//signs_mov_separ_signers/Naomi_5475.mov" TargetMode="External"/><Relationship Id="rId7310" Type="http://schemas.openxmlformats.org/officeDocument/2006/relationships/hyperlink" Target="http://secrets.rutgers.edu:8080/data/asl-ftp/asllvd/demos/verify_start_end_handshape_annotations//test_auto_move//signs_mov_separ_signers/Naomi_5475.mov" TargetMode="External"/><Relationship Id="rId7311" Type="http://schemas.openxmlformats.org/officeDocument/2006/relationships/hyperlink" Target="http://csr.bu.edu/ftp/asl/asllvd/demos/verify_start_end_handshape_annotations//test_auto_move//signs_mov_separ_signers/Brady_5475.mov" TargetMode="External"/><Relationship Id="rId7312" Type="http://schemas.openxmlformats.org/officeDocument/2006/relationships/hyperlink" Target="http://secrets.rutgers.edu:8080/data/asl-ftp/asllvd/demos/verify_start_end_handshape_annotations//test_auto_move//signs_mov_separ_signers/Brady_5475.mov" TargetMode="External"/><Relationship Id="rId7313" Type="http://schemas.openxmlformats.org/officeDocument/2006/relationships/hyperlink" Target="http://csr.bu.edu/ftp/asl/asllvd/demos/verify_start_end_handshape_annotations//test_auto_move//signs_mov_separ_signers/Brady_5476.mov" TargetMode="External"/><Relationship Id="rId7314" Type="http://schemas.openxmlformats.org/officeDocument/2006/relationships/hyperlink" Target="http://secrets.rutgers.edu:8080/data/asl-ftp/asllvd/demos/verify_start_end_handshape_annotations//test_auto_move//signs_mov_separ_signers/Brady_5476.mov" TargetMode="External"/><Relationship Id="rId7315" Type="http://schemas.openxmlformats.org/officeDocument/2006/relationships/hyperlink" Target="http://csr.bu.edu/ftp/asl/asllvd/demos/verify_start_end_handshape_annotations//test_auto_move//signs_mov/16341.mov" TargetMode="External"/><Relationship Id="rId7316" Type="http://schemas.openxmlformats.org/officeDocument/2006/relationships/hyperlink" Target="http://csr.bu.edu/ftp/asl/asllvd/demos/verify_start_end_handshape_annotations//test_auto_move//signs_mov_separ_signers/Dana_16341.mov" TargetMode="External"/><Relationship Id="rId7317" Type="http://schemas.openxmlformats.org/officeDocument/2006/relationships/hyperlink" Target="http://secrets.rutgers.edu:8080/data/asl-ftp/asllvd/demos/verify_start_end_handshape_annotations//test_auto_move//signs_mov/16341.mov" TargetMode="External"/><Relationship Id="rId7318" Type="http://schemas.openxmlformats.org/officeDocument/2006/relationships/hyperlink" Target="http://secrets.rutgers.edu:8080/data/asl-ftp/asllvd/demos/verify_start_end_handshape_annotations//test_auto_move//signs_mov_separ_signers/Dana_16341.mov" TargetMode="External"/><Relationship Id="rId7319" Type="http://schemas.openxmlformats.org/officeDocument/2006/relationships/hyperlink" Target="http://csr.bu.edu/ftp/asl/asllvd/demos/verify_start_end_handshape_annotations//test_auto_move//signs_mov_separ_signers/Liz_775.mov" TargetMode="External"/><Relationship Id="rId7320" Type="http://schemas.openxmlformats.org/officeDocument/2006/relationships/hyperlink" Target="http://secrets.rutgers.edu:8080/data/asl-ftp/asllvd/demos/verify_start_end_handshape_annotations//test_auto_move//signs_mov_separ_signers/Liz_775.mov" TargetMode="External"/><Relationship Id="rId7321" Type="http://schemas.openxmlformats.org/officeDocument/2006/relationships/hyperlink" Target="http://csr.bu.edu/ftp/asl/asllvd/demos/verify_start_end_handshape_annotations//test_auto_move//signs_mov/775.mov" TargetMode="External"/><Relationship Id="rId7322" Type="http://schemas.openxmlformats.org/officeDocument/2006/relationships/hyperlink" Target="http://csr.bu.edu/ftp/asl/asllvd/demos/verify_start_end_handshape_annotations//test_auto_move//signs_mov_separ_signers/Tyler_775.mov" TargetMode="External"/><Relationship Id="rId7323" Type="http://schemas.openxmlformats.org/officeDocument/2006/relationships/hyperlink" Target="http://secrets.rutgers.edu:8080/data/asl-ftp/asllvd/demos/verify_start_end_handshape_annotations//test_auto_move//signs_mov/775.mov" TargetMode="External"/><Relationship Id="rId7324" Type="http://schemas.openxmlformats.org/officeDocument/2006/relationships/hyperlink" Target="http://secrets.rutgers.edu:8080/data/asl-ftp/asllvd/demos/verify_start_end_handshape_annotations//test_auto_move//signs_mov_separ_signers/Tyler_775.mov" TargetMode="External"/><Relationship Id="rId7325" Type="http://schemas.openxmlformats.org/officeDocument/2006/relationships/hyperlink" Target="http://csr.bu.edu/ftp/asl/asllvd/demos/verify_start_end_handshape_annotations//test_auto_move//signs_mov_separ_signers/Naomi_775.mov" TargetMode="External"/><Relationship Id="rId7326" Type="http://schemas.openxmlformats.org/officeDocument/2006/relationships/hyperlink" Target="http://secrets.rutgers.edu:8080/data/asl-ftp/asllvd/demos/verify_start_end_handshape_annotations//test_auto_move//signs_mov_separ_signers/Naomi_775.mov" TargetMode="External"/><Relationship Id="rId7327" Type="http://schemas.openxmlformats.org/officeDocument/2006/relationships/hyperlink" Target="http://csr.bu.edu/ftp/asl/asllvd/demos/verify_start_end_handshape_annotations//test_auto_move//signs_mov_separ_signers/Brady_775.mov" TargetMode="External"/><Relationship Id="rId7328" Type="http://schemas.openxmlformats.org/officeDocument/2006/relationships/hyperlink" Target="http://secrets.rutgers.edu:8080/data/asl-ftp/asllvd/demos/verify_start_end_handshape_annotations//test_auto_move//signs_mov_separ_signers/Brady_775.mov" TargetMode="External"/><Relationship Id="rId7329" Type="http://schemas.openxmlformats.org/officeDocument/2006/relationships/hyperlink" Target="http://csr.bu.edu/ftp/asl/asllvd/demos/verify_start_end_handshape_annotations//test_auto_move//signs_mov_separ_signers/Liz_16057.mov" TargetMode="External"/><Relationship Id="rId7330" Type="http://schemas.openxmlformats.org/officeDocument/2006/relationships/hyperlink" Target="http://secrets.rutgers.edu:8080/data/asl-ftp/asllvd/demos/verify_start_end_handshape_annotations//test_auto_move//signs_mov_separ_signers/Liz_16057.mov" TargetMode="External"/><Relationship Id="rId7331" Type="http://schemas.openxmlformats.org/officeDocument/2006/relationships/hyperlink" Target="http://csr.bu.edu/ftp/asl/asllvd/demos/verify_start_end_handshape_annotations//test_auto_move//signs_mov/16057.mov" TargetMode="External"/><Relationship Id="rId7332" Type="http://schemas.openxmlformats.org/officeDocument/2006/relationships/hyperlink" Target="http://csr.bu.edu/ftp/asl/asllvd/demos/verify_start_end_handshape_annotations//test_auto_move//signs_mov_separ_signers/Tyler_16057.mov" TargetMode="External"/><Relationship Id="rId7333" Type="http://schemas.openxmlformats.org/officeDocument/2006/relationships/hyperlink" Target="http://secrets.rutgers.edu:8080/data/asl-ftp/asllvd/demos/verify_start_end_handshape_annotations//test_auto_move//signs_mov/16057.mov" TargetMode="External"/><Relationship Id="rId7334" Type="http://schemas.openxmlformats.org/officeDocument/2006/relationships/hyperlink" Target="http://secrets.rutgers.edu:8080/data/asl-ftp/asllvd/demos/verify_start_end_handshape_annotations//test_auto_move//signs_mov_separ_signers/Tyler_16057.mov" TargetMode="External"/><Relationship Id="rId7335" Type="http://schemas.openxmlformats.org/officeDocument/2006/relationships/hyperlink" Target="http://csr.bu.edu/ftp/asl/asllvd/demos/verify_start_end_handshape_annotations//test_auto_move//signs_mov_separ_signers/Naomi_16057.mov" TargetMode="External"/><Relationship Id="rId7336" Type="http://schemas.openxmlformats.org/officeDocument/2006/relationships/hyperlink" Target="http://secrets.rutgers.edu:8080/data/asl-ftp/asllvd/demos/verify_start_end_handshape_annotations//test_auto_move//signs_mov_separ_signers/Naomi_16057.mov" TargetMode="External"/><Relationship Id="rId7337" Type="http://schemas.openxmlformats.org/officeDocument/2006/relationships/hyperlink" Target="http://csr.bu.edu/ftp/asl/asllvd/demos/verify_start_end_handshape_annotations//test_auto_move//signs_mov_separ_signers/Brady_16057.mov" TargetMode="External"/><Relationship Id="rId7338" Type="http://schemas.openxmlformats.org/officeDocument/2006/relationships/hyperlink" Target="http://secrets.rutgers.edu:8080/data/asl-ftp/asllvd/demos/verify_start_end_handshape_annotations//test_auto_move//signs_mov_separ_signers/Brady_16057.mov" TargetMode="External"/><Relationship Id="rId7339" Type="http://schemas.openxmlformats.org/officeDocument/2006/relationships/hyperlink" Target="http://csr.bu.edu/ftp/asl/asllvd/demos/verify_start_end_handshape_annotations//test_auto_move//signs_mov/776.mov" TargetMode="External"/><Relationship Id="rId7340" Type="http://schemas.openxmlformats.org/officeDocument/2006/relationships/hyperlink" Target="http://csr.bu.edu/ftp/asl/asllvd/demos/verify_start_end_handshape_annotations//test_auto_move//signs_mov_separ_signers/Liz_776.mov" TargetMode="External"/><Relationship Id="rId7341" Type="http://schemas.openxmlformats.org/officeDocument/2006/relationships/hyperlink" Target="http://secrets.rutgers.edu:8080/data/asl-ftp/asllvd/demos/verify_start_end_handshape_annotations//test_auto_move//signs_mov/776.mov" TargetMode="External"/><Relationship Id="rId7342" Type="http://schemas.openxmlformats.org/officeDocument/2006/relationships/hyperlink" Target="http://secrets.rutgers.edu:8080/data/asl-ftp/asllvd/demos/verify_start_end_handshape_annotations//test_auto_move//signs_mov_separ_signers/Liz_776.mov" TargetMode="External"/><Relationship Id="rId7343" Type="http://schemas.openxmlformats.org/officeDocument/2006/relationships/hyperlink" Target="http://csr.bu.edu/ftp/asl/asllvd/demos/verify_start_end_handshape_annotations//test_auto_move//signs_mov/780.mov" TargetMode="External"/><Relationship Id="rId7344" Type="http://schemas.openxmlformats.org/officeDocument/2006/relationships/hyperlink" Target="http://csr.bu.edu/ftp/asl/asllvd/demos/verify_start_end_handshape_annotations//test_auto_move//signs_mov_separ_signers/Liz_780.mov" TargetMode="External"/><Relationship Id="rId7345" Type="http://schemas.openxmlformats.org/officeDocument/2006/relationships/hyperlink" Target="http://secrets.rutgers.edu:8080/data/asl-ftp/asllvd/demos/verify_start_end_handshape_annotations//test_auto_move//signs_mov/780.mov" TargetMode="External"/><Relationship Id="rId7346" Type="http://schemas.openxmlformats.org/officeDocument/2006/relationships/hyperlink" Target="http://secrets.rutgers.edu:8080/data/asl-ftp/asllvd/demos/verify_start_end_handshape_annotations//test_auto_move//signs_mov_separ_signers/Liz_780.mov" TargetMode="External"/><Relationship Id="rId7347" Type="http://schemas.openxmlformats.org/officeDocument/2006/relationships/hyperlink" Target="http://csr.bu.edu/ftp/asl/asllvd/demos/verify_start_end_handshape_annotations//test_auto_move//signs_mov_separ_signers/Naomi_780.mov" TargetMode="External"/><Relationship Id="rId7348" Type="http://schemas.openxmlformats.org/officeDocument/2006/relationships/hyperlink" Target="http://secrets.rutgers.edu:8080/data/asl-ftp/asllvd/demos/verify_start_end_handshape_annotations//test_auto_move//signs_mov_separ_signers/Naomi_780.mov" TargetMode="External"/><Relationship Id="rId7349" Type="http://schemas.openxmlformats.org/officeDocument/2006/relationships/hyperlink" Target="http://csr.bu.edu/ftp/asl/asllvd/demos/verify_start_end_handshape_annotations//test_auto_move//signs_mov/15049.mov" TargetMode="External"/><Relationship Id="rId7350" Type="http://schemas.openxmlformats.org/officeDocument/2006/relationships/hyperlink" Target="http://csr.bu.edu/ftp/asl/asllvd/demos/verify_start_end_handshape_annotations//test_auto_move//signs_mov_separ_signers/Brady_15049.mov" TargetMode="External"/><Relationship Id="rId7351" Type="http://schemas.openxmlformats.org/officeDocument/2006/relationships/hyperlink" Target="http://secrets.rutgers.edu:8080/data/asl-ftp/asllvd/demos/verify_start_end_handshape_annotations//test_auto_move//signs_mov/15049.mov" TargetMode="External"/><Relationship Id="rId7352" Type="http://schemas.openxmlformats.org/officeDocument/2006/relationships/hyperlink" Target="http://secrets.rutgers.edu:8080/data/asl-ftp/asllvd/demos/verify_start_end_handshape_annotations//test_auto_move//signs_mov_separ_signers/Brady_15049.mov" TargetMode="External"/><Relationship Id="rId7353" Type="http://schemas.openxmlformats.org/officeDocument/2006/relationships/hyperlink" Target="http://csr.bu.edu/ftp/asl/asllvd/demos/verify_start_end_handshape_annotations//test_auto_move//signs_mov_separ_signers/Liz_782.mov" TargetMode="External"/><Relationship Id="rId7354" Type="http://schemas.openxmlformats.org/officeDocument/2006/relationships/hyperlink" Target="http://secrets.rutgers.edu:8080/data/asl-ftp/asllvd/demos/verify_start_end_handshape_annotations//test_auto_move//signs_mov_separ_signers/Liz_782.mov" TargetMode="External"/><Relationship Id="rId7355" Type="http://schemas.openxmlformats.org/officeDocument/2006/relationships/hyperlink" Target="http://csr.bu.edu/ftp/asl/asllvd/demos/verify_start_end_handshape_annotations//test_auto_move//signs_mov_separ_signers/Liz_3622.mov" TargetMode="External"/><Relationship Id="rId7356" Type="http://schemas.openxmlformats.org/officeDocument/2006/relationships/hyperlink" Target="http://secrets.rutgers.edu:8080/data/asl-ftp/asllvd/demos/verify_start_end_handshape_annotations//test_auto_move//signs_mov_separ_signers/Liz_3622.mov" TargetMode="External"/><Relationship Id="rId7357" Type="http://schemas.openxmlformats.org/officeDocument/2006/relationships/hyperlink" Target="http://csr.bu.edu/ftp/asl/asllvd/demos/verify_start_end_handshape_annotations//test_auto_move//signs_mov_separ_signers/Tyler_782.mov" TargetMode="External"/><Relationship Id="rId7358" Type="http://schemas.openxmlformats.org/officeDocument/2006/relationships/hyperlink" Target="http://secrets.rutgers.edu:8080/data/asl-ftp/asllvd/demos/verify_start_end_handshape_annotations//test_auto_move//signs_mov_separ_signers/Tyler_782.mov" TargetMode="External"/><Relationship Id="rId7359" Type="http://schemas.openxmlformats.org/officeDocument/2006/relationships/hyperlink" Target="http://csr.bu.edu/ftp/asl/asllvd/demos/verify_start_end_handshape_annotations//test_auto_move//signs_mov/782_3622_merged.mov" TargetMode="External"/><Relationship Id="rId7360" Type="http://schemas.openxmlformats.org/officeDocument/2006/relationships/hyperlink" Target="http://csr.bu.edu/ftp/asl/asllvd/demos/verify_start_end_handshape_annotations//test_auto_move//signs_mov_separ_signers/Tyler_3622.mov" TargetMode="External"/><Relationship Id="rId7361" Type="http://schemas.openxmlformats.org/officeDocument/2006/relationships/hyperlink" Target="http://secrets.rutgers.edu:8080/data/asl-ftp/asllvd/demos/verify_start_end_handshape_annotations//test_auto_move//signs_mov/782_3622_merged.mov" TargetMode="External"/><Relationship Id="rId7362" Type="http://schemas.openxmlformats.org/officeDocument/2006/relationships/hyperlink" Target="http://secrets.rutgers.edu:8080/data/asl-ftp/asllvd/demos/verify_start_end_handshape_annotations//test_auto_move//signs_mov_separ_signers/Tyler_3622.mov" TargetMode="External"/><Relationship Id="rId7363" Type="http://schemas.openxmlformats.org/officeDocument/2006/relationships/hyperlink" Target="http://csr.bu.edu/ftp/asl/asllvd/demos/verify_start_end_handshape_annotations//test_auto_move//signs_mov_separ_signers/Naomi_782.mov" TargetMode="External"/><Relationship Id="rId7364" Type="http://schemas.openxmlformats.org/officeDocument/2006/relationships/hyperlink" Target="http://secrets.rutgers.edu:8080/data/asl-ftp/asllvd/demos/verify_start_end_handshape_annotations//test_auto_move//signs_mov_separ_signers/Naomi_782.mov" TargetMode="External"/><Relationship Id="rId7365" Type="http://schemas.openxmlformats.org/officeDocument/2006/relationships/hyperlink" Target="http://csr.bu.edu/ftp/asl/asllvd/demos/verify_start_end_handshape_annotations//test_auto_move//signs_mov_separ_signers/Naomi_3622.mov" TargetMode="External"/><Relationship Id="rId7366" Type="http://schemas.openxmlformats.org/officeDocument/2006/relationships/hyperlink" Target="http://secrets.rutgers.edu:8080/data/asl-ftp/asllvd/demos/verify_start_end_handshape_annotations//test_auto_move//signs_mov_separ_signers/Naomi_3622.mov" TargetMode="External"/><Relationship Id="rId7367" Type="http://schemas.openxmlformats.org/officeDocument/2006/relationships/hyperlink" Target="http://csr.bu.edu/ftp/asl/asllvd/demos/verify_start_end_handshape_annotations//test_auto_move//signs_mov_separ_signers/Brady_782.mov" TargetMode="External"/><Relationship Id="rId7368" Type="http://schemas.openxmlformats.org/officeDocument/2006/relationships/hyperlink" Target="http://secrets.rutgers.edu:8080/data/asl-ftp/asllvd/demos/verify_start_end_handshape_annotations//test_auto_move//signs_mov_separ_signers/Brady_782.mov" TargetMode="External"/><Relationship Id="rId7369" Type="http://schemas.openxmlformats.org/officeDocument/2006/relationships/hyperlink" Target="http://csr.bu.edu/ftp/asl/asllvd/demos/verify_start_end_handshape_annotations//test_auto_move//signs_mov_separ_signers/Brady_3622.mov" TargetMode="External"/><Relationship Id="rId7370" Type="http://schemas.openxmlformats.org/officeDocument/2006/relationships/hyperlink" Target="http://secrets.rutgers.edu:8080/data/asl-ftp/asllvd/demos/verify_start_end_handshape_annotations//test_auto_move//signs_mov_separ_signers/Brady_3622.mov" TargetMode="External"/><Relationship Id="rId7371" Type="http://schemas.openxmlformats.org/officeDocument/2006/relationships/hyperlink" Target="http://csr.bu.edu/ftp/asl/asllvd/demos/verify_start_end_handshape_annotations//test_auto_move//signs_mov_separ_signers/Liz_786.mov" TargetMode="External"/><Relationship Id="rId7372" Type="http://schemas.openxmlformats.org/officeDocument/2006/relationships/hyperlink" Target="http://secrets.rutgers.edu:8080/data/asl-ftp/asllvd/demos/verify_start_end_handshape_annotations//test_auto_move//signs_mov_separ_signers/Liz_786.mov" TargetMode="External"/><Relationship Id="rId7373" Type="http://schemas.openxmlformats.org/officeDocument/2006/relationships/hyperlink" Target="http://csr.bu.edu/ftp/asl/asllvd/demos/verify_start_end_handshape_annotations//test_auto_move//signs_mov/786.mov" TargetMode="External"/><Relationship Id="rId7374" Type="http://schemas.openxmlformats.org/officeDocument/2006/relationships/hyperlink" Target="http://csr.bu.edu/ftp/asl/asllvd/demos/verify_start_end_handshape_annotations//test_auto_move//signs_mov_separ_signers/Tyler_786.mov" TargetMode="External"/><Relationship Id="rId7375" Type="http://schemas.openxmlformats.org/officeDocument/2006/relationships/hyperlink" Target="http://secrets.rutgers.edu:8080/data/asl-ftp/asllvd/demos/verify_start_end_handshape_annotations//test_auto_move//signs_mov/786.mov" TargetMode="External"/><Relationship Id="rId7376" Type="http://schemas.openxmlformats.org/officeDocument/2006/relationships/hyperlink" Target="http://secrets.rutgers.edu:8080/data/asl-ftp/asllvd/demos/verify_start_end_handshape_annotations//test_auto_move//signs_mov_separ_signers/Tyler_786.mov" TargetMode="External"/><Relationship Id="rId7377" Type="http://schemas.openxmlformats.org/officeDocument/2006/relationships/hyperlink" Target="http://csr.bu.edu/ftp/asl/asllvd/demos/verify_start_end_handshape_annotations//test_auto_move//signs_mov_separ_signers/Brady_786.mov" TargetMode="External"/><Relationship Id="rId7378" Type="http://schemas.openxmlformats.org/officeDocument/2006/relationships/hyperlink" Target="http://secrets.rutgers.edu:8080/data/asl-ftp/asllvd/demos/verify_start_end_handshape_annotations//test_auto_move//signs_mov_separ_signers/Brady_786.mov" TargetMode="External"/><Relationship Id="rId7379" Type="http://schemas.openxmlformats.org/officeDocument/2006/relationships/hyperlink" Target="http://csr.bu.edu/ftp/asl/asllvd/demos/verify_start_end_handshape_annotations//test_auto_move//signs_mov_separ_signers/Liz_788.mov" TargetMode="External"/><Relationship Id="rId7380" Type="http://schemas.openxmlformats.org/officeDocument/2006/relationships/hyperlink" Target="http://secrets.rutgers.edu:8080/data/asl-ftp/asllvd/demos/verify_start_end_handshape_annotations//test_auto_move//signs_mov_separ_signers/Liz_788.mov" TargetMode="External"/><Relationship Id="rId7381" Type="http://schemas.openxmlformats.org/officeDocument/2006/relationships/hyperlink" Target="http://csr.bu.edu/ftp/asl/asllvd/demos/verify_start_end_handshape_annotations//test_auto_move//signs_mov/788.mov" TargetMode="External"/><Relationship Id="rId7382" Type="http://schemas.openxmlformats.org/officeDocument/2006/relationships/hyperlink" Target="http://csr.bu.edu/ftp/asl/asllvd/demos/verify_start_end_handshape_annotations//test_auto_move//signs_mov_separ_signers/Tyler_788.mov" TargetMode="External"/><Relationship Id="rId7383" Type="http://schemas.openxmlformats.org/officeDocument/2006/relationships/hyperlink" Target="http://secrets.rutgers.edu:8080/data/asl-ftp/asllvd/demos/verify_start_end_handshape_annotations//test_auto_move//signs_mov/788.mov" TargetMode="External"/><Relationship Id="rId7384" Type="http://schemas.openxmlformats.org/officeDocument/2006/relationships/hyperlink" Target="http://secrets.rutgers.edu:8080/data/asl-ftp/asllvd/demos/verify_start_end_handshape_annotations//test_auto_move//signs_mov_separ_signers/Tyler_788.mov" TargetMode="External"/><Relationship Id="rId7385" Type="http://schemas.openxmlformats.org/officeDocument/2006/relationships/hyperlink" Target="http://csr.bu.edu/ftp/asl/asllvd/demos/verify_start_end_handshape_annotations//test_auto_move//signs_mov_separ_signers/Naomi_788.mov" TargetMode="External"/><Relationship Id="rId7386" Type="http://schemas.openxmlformats.org/officeDocument/2006/relationships/hyperlink" Target="http://secrets.rutgers.edu:8080/data/asl-ftp/asllvd/demos/verify_start_end_handshape_annotations//test_auto_move//signs_mov_separ_signers/Naomi_788.mov" TargetMode="External"/><Relationship Id="rId7387" Type="http://schemas.openxmlformats.org/officeDocument/2006/relationships/hyperlink" Target="http://csr.bu.edu/ftp/asl/asllvd/demos/verify_start_end_handshape_annotations//test_auto_move//signs_mov_separ_signers/Brady_788.mov" TargetMode="External"/><Relationship Id="rId7388" Type="http://schemas.openxmlformats.org/officeDocument/2006/relationships/hyperlink" Target="http://secrets.rutgers.edu:8080/data/asl-ftp/asllvd/demos/verify_start_end_handshape_annotations//test_auto_move//signs_mov_separ_signers/Brady_788.mov" TargetMode="External"/><Relationship Id="rId7389" Type="http://schemas.openxmlformats.org/officeDocument/2006/relationships/hyperlink" Target="http://csr.bu.edu/ftp/asl/asllvd/demos/verify_start_end_handshape_annotations//test_auto_move//signs_mov/16215.mov" TargetMode="External"/><Relationship Id="rId7390" Type="http://schemas.openxmlformats.org/officeDocument/2006/relationships/hyperlink" Target="http://csr.bu.edu/ftp/asl/asllvd/demos/verify_start_end_handshape_annotations//test_auto_move//signs_mov_separ_signers/Liz_16215.mov" TargetMode="External"/><Relationship Id="rId7391" Type="http://schemas.openxmlformats.org/officeDocument/2006/relationships/hyperlink" Target="http://secrets.rutgers.edu:8080/data/asl-ftp/asllvd/demos/verify_start_end_handshape_annotations//test_auto_move//signs_mov/16215.mov" TargetMode="External"/><Relationship Id="rId7392" Type="http://schemas.openxmlformats.org/officeDocument/2006/relationships/hyperlink" Target="http://secrets.rutgers.edu:8080/data/asl-ftp/asllvd/demos/verify_start_end_handshape_annotations//test_auto_move//signs_mov_separ_signers/Liz_16215.mov" TargetMode="External"/><Relationship Id="rId7393" Type="http://schemas.openxmlformats.org/officeDocument/2006/relationships/hyperlink" Target="http://csr.bu.edu/ftp/asl/asllvd/demos/verify_start_end_handshape_annotations//test_auto_move//signs_mov_separ_signers/Brady_16215.mov" TargetMode="External"/><Relationship Id="rId7394" Type="http://schemas.openxmlformats.org/officeDocument/2006/relationships/hyperlink" Target="http://secrets.rutgers.edu:8080/data/asl-ftp/asllvd/demos/verify_start_end_handshape_annotations//test_auto_move//signs_mov_separ_signers/Brady_16215.mov" TargetMode="External"/><Relationship Id="rId7395" Type="http://schemas.openxmlformats.org/officeDocument/2006/relationships/hyperlink" Target="http://csr.bu.edu/ftp/asl/asllvd/demos/verify_start_end_handshape_annotations//test_auto_move//signs_mov_separ_signers/Liz_790.mov" TargetMode="External"/><Relationship Id="rId7396" Type="http://schemas.openxmlformats.org/officeDocument/2006/relationships/hyperlink" Target="http://secrets.rutgers.edu:8080/data/asl-ftp/asllvd/demos/verify_start_end_handshape_annotations//test_auto_move//signs_mov_separ_signers/Liz_790.mov" TargetMode="External"/><Relationship Id="rId7397" Type="http://schemas.openxmlformats.org/officeDocument/2006/relationships/hyperlink" Target="http://csr.bu.edu/ftp/asl/asllvd/demos/verify_start_end_handshape_annotations//test_auto_move//signs_mov_separ_signers/Tyler_790.mov" TargetMode="External"/><Relationship Id="rId7398" Type="http://schemas.openxmlformats.org/officeDocument/2006/relationships/hyperlink" Target="http://secrets.rutgers.edu:8080/data/asl-ftp/asllvd/demos/verify_start_end_handshape_annotations//test_auto_move//signs_mov_separ_signers/Tyler_790.mov" TargetMode="External"/><Relationship Id="rId7399" Type="http://schemas.openxmlformats.org/officeDocument/2006/relationships/hyperlink" Target="http://csr.bu.edu/ftp/asl/asllvd/demos/verify_start_end_handshape_annotations//test_auto_move//signs_mov/790_3518_merged.mov" TargetMode="External"/><Relationship Id="rId7400" Type="http://schemas.openxmlformats.org/officeDocument/2006/relationships/hyperlink" Target="http://csr.bu.edu/ftp/asl/asllvd/demos/verify_start_end_handshape_annotations//test_auto_move//signs_mov_separ_signers/Tyler_3518.mov" TargetMode="External"/><Relationship Id="rId7401" Type="http://schemas.openxmlformats.org/officeDocument/2006/relationships/hyperlink" Target="http://secrets.rutgers.edu:8080/data/asl-ftp/asllvd/demos/verify_start_end_handshape_annotations//test_auto_move//signs_mov/790_3518_merged.mov" TargetMode="External"/><Relationship Id="rId7402" Type="http://schemas.openxmlformats.org/officeDocument/2006/relationships/hyperlink" Target="http://secrets.rutgers.edu:8080/data/asl-ftp/asllvd/demos/verify_start_end_handshape_annotations//test_auto_move//signs_mov_separ_signers/Tyler_3518.mov" TargetMode="External"/><Relationship Id="rId7403" Type="http://schemas.openxmlformats.org/officeDocument/2006/relationships/hyperlink" Target="http://csr.bu.edu/ftp/asl/asllvd/demos/verify_start_end_handshape_annotations//test_auto_move//signs_mov_separ_signers/Naomi_790.mov" TargetMode="External"/><Relationship Id="rId7404" Type="http://schemas.openxmlformats.org/officeDocument/2006/relationships/hyperlink" Target="http://secrets.rutgers.edu:8080/data/asl-ftp/asllvd/demos/verify_start_end_handshape_annotations//test_auto_move//signs_mov_separ_signers/Naomi_790.mov" TargetMode="External"/><Relationship Id="rId7405" Type="http://schemas.openxmlformats.org/officeDocument/2006/relationships/hyperlink" Target="http://csr.bu.edu/ftp/asl/asllvd/demos/verify_start_end_handshape_annotations//test_auto_move//signs_mov_separ_signers/Brady_790.mov" TargetMode="External"/><Relationship Id="rId7406" Type="http://schemas.openxmlformats.org/officeDocument/2006/relationships/hyperlink" Target="http://secrets.rutgers.edu:8080/data/asl-ftp/asllvd/demos/verify_start_end_handshape_annotations//test_auto_move//signs_mov_separ_signers/Brady_790.mov" TargetMode="External"/><Relationship Id="rId7407" Type="http://schemas.openxmlformats.org/officeDocument/2006/relationships/hyperlink" Target="http://csr.bu.edu/ftp/asl/asllvd/demos/verify_start_end_handshape_annotations//test_auto_move//signs_mov_separ_signers/Lana_790.mov" TargetMode="External"/><Relationship Id="rId7408" Type="http://schemas.openxmlformats.org/officeDocument/2006/relationships/hyperlink" Target="http://secrets.rutgers.edu:8080/data/asl-ftp/asllvd/demos/verify_start_end_handshape_annotations//test_auto_move//signs_mov_separ_signers/Lana_790.mov" TargetMode="External"/><Relationship Id="rId7409" Type="http://schemas.openxmlformats.org/officeDocument/2006/relationships/hyperlink" Target="http://csr.bu.edu/ftp/asl/asllvd/demos/verify_start_end_handshape_annotations//test_auto_move//signs_mov/15050.mov" TargetMode="External"/><Relationship Id="rId7410" Type="http://schemas.openxmlformats.org/officeDocument/2006/relationships/hyperlink" Target="http://csr.bu.edu/ftp/asl/asllvd/demos/verify_start_end_handshape_annotations//test_auto_move//signs_mov_separ_signers/Dana_15050.mov" TargetMode="External"/><Relationship Id="rId7411" Type="http://schemas.openxmlformats.org/officeDocument/2006/relationships/hyperlink" Target="http://secrets.rutgers.edu:8080/data/asl-ftp/asllvd/demos/verify_start_end_handshape_annotations//test_auto_move//signs_mov/15050.mov" TargetMode="External"/><Relationship Id="rId7412" Type="http://schemas.openxmlformats.org/officeDocument/2006/relationships/hyperlink" Target="http://secrets.rutgers.edu:8080/data/asl-ftp/asllvd/demos/verify_start_end_handshape_annotations//test_auto_move//signs_mov_separ_signers/Dana_15050.mov" TargetMode="External"/><Relationship Id="rId7413" Type="http://schemas.openxmlformats.org/officeDocument/2006/relationships/hyperlink" Target="http://csr.bu.edu/ftp/asl/asllvd/demos/verify_start_end_handshape_annotations//test_auto_move//signs_mov_separ_signers/Liz_15470.mov" TargetMode="External"/><Relationship Id="rId7414" Type="http://schemas.openxmlformats.org/officeDocument/2006/relationships/hyperlink" Target="http://secrets.rutgers.edu:8080/data/asl-ftp/asllvd/demos/verify_start_end_handshape_annotations//test_auto_move//signs_mov_separ_signers/Liz_15470.mov" TargetMode="External"/><Relationship Id="rId7415" Type="http://schemas.openxmlformats.org/officeDocument/2006/relationships/hyperlink" Target="http://csr.bu.edu/ftp/asl/asllvd/demos/verify_start_end_handshape_annotations//test_auto_move//signs_mov/15470.mov" TargetMode="External"/><Relationship Id="rId7416" Type="http://schemas.openxmlformats.org/officeDocument/2006/relationships/hyperlink" Target="http://csr.bu.edu/ftp/asl/asllvd/demos/verify_start_end_handshape_annotations//test_auto_move//signs_mov_separ_signers/Naomi_15470.mov" TargetMode="External"/><Relationship Id="rId7417" Type="http://schemas.openxmlformats.org/officeDocument/2006/relationships/hyperlink" Target="http://secrets.rutgers.edu:8080/data/asl-ftp/asllvd/demos/verify_start_end_handshape_annotations//test_auto_move//signs_mov/15470.mov" TargetMode="External"/><Relationship Id="rId7418" Type="http://schemas.openxmlformats.org/officeDocument/2006/relationships/hyperlink" Target="http://secrets.rutgers.edu:8080/data/asl-ftp/asllvd/demos/verify_start_end_handshape_annotations//test_auto_move//signs_mov_separ_signers/Naomi_15470.mov" TargetMode="External"/><Relationship Id="rId7419" Type="http://schemas.openxmlformats.org/officeDocument/2006/relationships/hyperlink" Target="http://csr.bu.edu/ftp/asl/asllvd/demos/verify_start_end_handshape_annotations//test_auto_move//signs_mov_separ_signers/Brady_15470.mov" TargetMode="External"/><Relationship Id="rId7420" Type="http://schemas.openxmlformats.org/officeDocument/2006/relationships/hyperlink" Target="http://secrets.rutgers.edu:8080/data/asl-ftp/asllvd/demos/verify_start_end_handshape_annotations//test_auto_move//signs_mov_separ_signers/Brady_15470.mov" TargetMode="External"/><Relationship Id="rId7421" Type="http://schemas.openxmlformats.org/officeDocument/2006/relationships/hyperlink" Target="http://csr.bu.edu/ftp/asl/asllvd/demos/verify_start_end_handshape_annotations//test_auto_move//signs_mov_separ_signers/Liz_793.mov" TargetMode="External"/><Relationship Id="rId7422" Type="http://schemas.openxmlformats.org/officeDocument/2006/relationships/hyperlink" Target="http://secrets.rutgers.edu:8080/data/asl-ftp/asllvd/demos/verify_start_end_handshape_annotations//test_auto_move//signs_mov_separ_signers/Liz_793.mov" TargetMode="External"/><Relationship Id="rId7423" Type="http://schemas.openxmlformats.org/officeDocument/2006/relationships/hyperlink" Target="http://csr.bu.edu/ftp/asl/asllvd/demos/verify_start_end_handshape_annotations//test_auto_move//signs_mov/793.mov" TargetMode="External"/><Relationship Id="rId7424" Type="http://schemas.openxmlformats.org/officeDocument/2006/relationships/hyperlink" Target="http://csr.bu.edu/ftp/asl/asllvd/demos/verify_start_end_handshape_annotations//test_auto_move//signs_mov_separ_signers/Tyler_793.mov" TargetMode="External"/><Relationship Id="rId7425" Type="http://schemas.openxmlformats.org/officeDocument/2006/relationships/hyperlink" Target="http://secrets.rutgers.edu:8080/data/asl-ftp/asllvd/demos/verify_start_end_handshape_annotations//test_auto_move//signs_mov/793.mov" TargetMode="External"/><Relationship Id="rId7426" Type="http://schemas.openxmlformats.org/officeDocument/2006/relationships/hyperlink" Target="http://secrets.rutgers.edu:8080/data/asl-ftp/asllvd/demos/verify_start_end_handshape_annotations//test_auto_move//signs_mov_separ_signers/Tyler_793.mov" TargetMode="External"/><Relationship Id="rId7427" Type="http://schemas.openxmlformats.org/officeDocument/2006/relationships/hyperlink" Target="http://csr.bu.edu/ftp/asl/asllvd/demos/verify_start_end_handshape_annotations//test_auto_move//signs_mov_separ_signers/Naomi_793.mov" TargetMode="External"/><Relationship Id="rId7428" Type="http://schemas.openxmlformats.org/officeDocument/2006/relationships/hyperlink" Target="http://secrets.rutgers.edu:8080/data/asl-ftp/asllvd/demos/verify_start_end_handshape_annotations//test_auto_move//signs_mov_separ_signers/Naomi_793.mov" TargetMode="External"/><Relationship Id="rId7429" Type="http://schemas.openxmlformats.org/officeDocument/2006/relationships/hyperlink" Target="http://csr.bu.edu/ftp/asl/asllvd/demos/verify_start_end_handshape_annotations//test_auto_move//signs_mov_separ_signers/Brady_793.mov" TargetMode="External"/><Relationship Id="rId7430" Type="http://schemas.openxmlformats.org/officeDocument/2006/relationships/hyperlink" Target="http://secrets.rutgers.edu:8080/data/asl-ftp/asllvd/demos/verify_start_end_handshape_annotations//test_auto_move//signs_mov_separ_signers/Brady_793.mov" TargetMode="External"/><Relationship Id="rId7431" Type="http://schemas.openxmlformats.org/officeDocument/2006/relationships/hyperlink" Target="http://csr.bu.edu/ftp/asl/asllvd/demos/verify_start_end_handshape_annotations//test_auto_move//signs_mov_separ_signers/Liz_794.mov" TargetMode="External"/><Relationship Id="rId7432" Type="http://schemas.openxmlformats.org/officeDocument/2006/relationships/hyperlink" Target="http://secrets.rutgers.edu:8080/data/asl-ftp/asllvd/demos/verify_start_end_handshape_annotations//test_auto_move//signs_mov_separ_signers/Liz_794.mov" TargetMode="External"/><Relationship Id="rId7433" Type="http://schemas.openxmlformats.org/officeDocument/2006/relationships/hyperlink" Target="http://csr.bu.edu/ftp/asl/asllvd/demos/verify_start_end_handshape_annotations//test_auto_move//signs_mov_separ_signers/Tyler_794.mov" TargetMode="External"/><Relationship Id="rId7434" Type="http://schemas.openxmlformats.org/officeDocument/2006/relationships/hyperlink" Target="http://secrets.rutgers.edu:8080/data/asl-ftp/asllvd/demos/verify_start_end_handshape_annotations//test_auto_move//signs_mov_separ_signers/Tyler_794.mov" TargetMode="External"/><Relationship Id="rId7435" Type="http://schemas.openxmlformats.org/officeDocument/2006/relationships/hyperlink" Target="http://csr.bu.edu/ftp/asl/asllvd/demos/verify_start_end_handshape_annotations//test_auto_move//signs_mov/794.mov" TargetMode="External"/><Relationship Id="rId7436" Type="http://schemas.openxmlformats.org/officeDocument/2006/relationships/hyperlink" Target="http://csr.bu.edu/ftp/asl/asllvd/demos/verify_start_end_handshape_annotations//test_auto_move//signs_mov_separ_signers/Naomi_794.mov" TargetMode="External"/><Relationship Id="rId7437" Type="http://schemas.openxmlformats.org/officeDocument/2006/relationships/hyperlink" Target="http://secrets.rutgers.edu:8080/data/asl-ftp/asllvd/demos/verify_start_end_handshape_annotations//test_auto_move//signs_mov/794.mov" TargetMode="External"/><Relationship Id="rId7438" Type="http://schemas.openxmlformats.org/officeDocument/2006/relationships/hyperlink" Target="http://secrets.rutgers.edu:8080/data/asl-ftp/asllvd/demos/verify_start_end_handshape_annotations//test_auto_move//signs_mov_separ_signers/Naomi_794.mov" TargetMode="External"/><Relationship Id="rId7439" Type="http://schemas.openxmlformats.org/officeDocument/2006/relationships/hyperlink" Target="http://csr.bu.edu/ftp/asl/asllvd/demos/verify_start_end_handshape_annotations//test_auto_move//signs_mov_separ_signers/Brady_794.mov" TargetMode="External"/><Relationship Id="rId7440" Type="http://schemas.openxmlformats.org/officeDocument/2006/relationships/hyperlink" Target="http://secrets.rutgers.edu:8080/data/asl-ftp/asllvd/demos/verify_start_end_handshape_annotations//test_auto_move//signs_mov_separ_signers/Brady_794.mov" TargetMode="External"/><Relationship Id="rId7441" Type="http://schemas.openxmlformats.org/officeDocument/2006/relationships/hyperlink" Target="http://csr.bu.edu/ftp/asl/asllvd/demos/verify_start_end_handshape_annotations//test_auto_move//signs_mov_separ_signers/Lana_794.mov" TargetMode="External"/><Relationship Id="rId7442" Type="http://schemas.openxmlformats.org/officeDocument/2006/relationships/hyperlink" Target="http://secrets.rutgers.edu:8080/data/asl-ftp/asllvd/demos/verify_start_end_handshape_annotations//test_auto_move//signs_mov_separ_signers/Lana_794.mov" TargetMode="External"/><Relationship Id="rId7443" Type="http://schemas.openxmlformats.org/officeDocument/2006/relationships/hyperlink" Target="http://csr.bu.edu/ftp/asl/asllvd/demos/verify_start_end_handshape_annotations//test_auto_move//signs_mov/5613.mov" TargetMode="External"/><Relationship Id="rId7444" Type="http://schemas.openxmlformats.org/officeDocument/2006/relationships/hyperlink" Target="http://csr.bu.edu/ftp/asl/asllvd/demos/verify_start_end_handshape_annotations//test_auto_move//signs_mov_separ_signers/Dana_5613.mov" TargetMode="External"/><Relationship Id="rId7445" Type="http://schemas.openxmlformats.org/officeDocument/2006/relationships/hyperlink" Target="http://secrets.rutgers.edu:8080/data/asl-ftp/asllvd/demos/verify_start_end_handshape_annotations//test_auto_move//signs_mov/5613.mov" TargetMode="External"/><Relationship Id="rId7446" Type="http://schemas.openxmlformats.org/officeDocument/2006/relationships/hyperlink" Target="http://secrets.rutgers.edu:8080/data/asl-ftp/asllvd/demos/verify_start_end_handshape_annotations//test_auto_move//signs_mov_separ_signers/Dana_5613.mov" TargetMode="External"/><Relationship Id="rId7447" Type="http://schemas.openxmlformats.org/officeDocument/2006/relationships/hyperlink" Target="http://csr.bu.edu/ftp/asl/asllvd/demos/verify_start_end_handshape_annotations//test_auto_move//signs_mov_separ_signers/Tyler_795.mov" TargetMode="External"/><Relationship Id="rId7448" Type="http://schemas.openxmlformats.org/officeDocument/2006/relationships/hyperlink" Target="http://secrets.rutgers.edu:8080/data/asl-ftp/asllvd/demos/verify_start_end_handshape_annotations//test_auto_move//signs_mov_separ_signers/Tyler_795.mov" TargetMode="External"/><Relationship Id="rId7449" Type="http://schemas.openxmlformats.org/officeDocument/2006/relationships/hyperlink" Target="http://csr.bu.edu/ftp/asl/asllvd/demos/verify_start_end_handshape_annotations//test_auto_move//signs_mov/795.mov" TargetMode="External"/><Relationship Id="rId7450" Type="http://schemas.openxmlformats.org/officeDocument/2006/relationships/hyperlink" Target="http://csr.bu.edu/ftp/asl/asllvd/demos/verify_start_end_handshape_annotations//test_auto_move//signs_mov_separ_signers/Naomi_795.mov" TargetMode="External"/><Relationship Id="rId7451" Type="http://schemas.openxmlformats.org/officeDocument/2006/relationships/hyperlink" Target="http://secrets.rutgers.edu:8080/data/asl-ftp/asllvd/demos/verify_start_end_handshape_annotations//test_auto_move//signs_mov/795.mov" TargetMode="External"/><Relationship Id="rId7452" Type="http://schemas.openxmlformats.org/officeDocument/2006/relationships/hyperlink" Target="http://secrets.rutgers.edu:8080/data/asl-ftp/asllvd/demos/verify_start_end_handshape_annotations//test_auto_move//signs_mov_separ_signers/Naomi_795.mov" TargetMode="External"/><Relationship Id="rId7453" Type="http://schemas.openxmlformats.org/officeDocument/2006/relationships/hyperlink" Target="http://csr.bu.edu/ftp/asl/asllvd/demos/verify_start_end_handshape_annotations//test_auto_move//signs_mov_separ_signers/Brady_795.mov" TargetMode="External"/><Relationship Id="rId7454" Type="http://schemas.openxmlformats.org/officeDocument/2006/relationships/hyperlink" Target="http://secrets.rutgers.edu:8080/data/asl-ftp/asllvd/demos/verify_start_end_handshape_annotations//test_auto_move//signs_mov_separ_signers/Brady_795.mov" TargetMode="External"/><Relationship Id="rId7455" Type="http://schemas.openxmlformats.org/officeDocument/2006/relationships/hyperlink" Target="http://csr.bu.edu/ftp/asl/asllvd/demos/verify_start_end_handshape_annotations//test_auto_move//signs_mov/3739.mov" TargetMode="External"/><Relationship Id="rId7456" Type="http://schemas.openxmlformats.org/officeDocument/2006/relationships/hyperlink" Target="http://csr.bu.edu/ftp/asl/asllvd/demos/verify_start_end_handshape_annotations//test_auto_move//signs_mov_separ_signers/Liz_3739.mov" TargetMode="External"/><Relationship Id="rId7457" Type="http://schemas.openxmlformats.org/officeDocument/2006/relationships/hyperlink" Target="http://secrets.rutgers.edu:8080/data/asl-ftp/asllvd/demos/verify_start_end_handshape_annotations//test_auto_move//signs_mov/3739.mov" TargetMode="External"/><Relationship Id="rId7458" Type="http://schemas.openxmlformats.org/officeDocument/2006/relationships/hyperlink" Target="http://secrets.rutgers.edu:8080/data/asl-ftp/asllvd/demos/verify_start_end_handshape_annotations//test_auto_move//signs_mov_separ_signers/Liz_3739.mov" TargetMode="External"/><Relationship Id="rId7459" Type="http://schemas.openxmlformats.org/officeDocument/2006/relationships/hyperlink" Target="http://csr.bu.edu/ftp/asl/asllvd/demos/verify_start_end_handshape_annotations//test_auto_move//signs_mov_separ_signers/Brady_3739.mov" TargetMode="External"/><Relationship Id="rId7460" Type="http://schemas.openxmlformats.org/officeDocument/2006/relationships/hyperlink" Target="http://secrets.rutgers.edu:8080/data/asl-ftp/asllvd/demos/verify_start_end_handshape_annotations//test_auto_move//signs_mov_separ_signers/Brady_3739.mov" TargetMode="External"/><Relationship Id="rId7461" Type="http://schemas.openxmlformats.org/officeDocument/2006/relationships/hyperlink" Target="http://csr.bu.edu/ftp/asl/asllvd/demos/verify_start_end_handshape_annotations//test_auto_move//signs_mov_separ_signers/Liz_796.mov" TargetMode="External"/><Relationship Id="rId7462" Type="http://schemas.openxmlformats.org/officeDocument/2006/relationships/hyperlink" Target="http://secrets.rutgers.edu:8080/data/asl-ftp/asllvd/demos/verify_start_end_handshape_annotations//test_auto_move//signs_mov_separ_signers/Liz_796.mov" TargetMode="External"/><Relationship Id="rId7463" Type="http://schemas.openxmlformats.org/officeDocument/2006/relationships/hyperlink" Target="http://csr.bu.edu/ftp/asl/asllvd/demos/verify_start_end_handshape_annotations//test_auto_move//signs_mov_separ_signers/Tyler_796.mov" TargetMode="External"/><Relationship Id="rId7464" Type="http://schemas.openxmlformats.org/officeDocument/2006/relationships/hyperlink" Target="http://secrets.rutgers.edu:8080/data/asl-ftp/asllvd/demos/verify_start_end_handshape_annotations//test_auto_move//signs_mov_separ_signers/Tyler_796.mov" TargetMode="External"/><Relationship Id="rId7465" Type="http://schemas.openxmlformats.org/officeDocument/2006/relationships/hyperlink" Target="http://csr.bu.edu/ftp/asl/asllvd/demos/verify_start_end_handshape_annotations//test_auto_move//signs_mov_separ_signers/Naomi_796.mov" TargetMode="External"/><Relationship Id="rId7466" Type="http://schemas.openxmlformats.org/officeDocument/2006/relationships/hyperlink" Target="http://secrets.rutgers.edu:8080/data/asl-ftp/asllvd/demos/verify_start_end_handshape_annotations//test_auto_move//signs_mov_separ_signers/Naomi_796.mov" TargetMode="External"/><Relationship Id="rId7467" Type="http://schemas.openxmlformats.org/officeDocument/2006/relationships/hyperlink" Target="http://csr.bu.edu/ftp/asl/asllvd/demos/verify_start_end_handshape_annotations//test_auto_move//signs_mov/796_15458_merged.mov" TargetMode="External"/><Relationship Id="rId7468" Type="http://schemas.openxmlformats.org/officeDocument/2006/relationships/hyperlink" Target="http://csr.bu.edu/ftp/asl/asllvd/demos/verify_start_end_handshape_annotations//test_auto_move//signs_mov_separ_signers/Brady_796.mov" TargetMode="External"/><Relationship Id="rId7469" Type="http://schemas.openxmlformats.org/officeDocument/2006/relationships/hyperlink" Target="http://secrets.rutgers.edu:8080/data/asl-ftp/asllvd/demos/verify_start_end_handshape_annotations//test_auto_move//signs_mov/796_15458_merged.mov" TargetMode="External"/><Relationship Id="rId7470" Type="http://schemas.openxmlformats.org/officeDocument/2006/relationships/hyperlink" Target="http://secrets.rutgers.edu:8080/data/asl-ftp/asllvd/demos/verify_start_end_handshape_annotations//test_auto_move//signs_mov_separ_signers/Brady_796.mov" TargetMode="External"/><Relationship Id="rId7471" Type="http://schemas.openxmlformats.org/officeDocument/2006/relationships/hyperlink" Target="http://csr.bu.edu/ftp/asl/asllvd/demos/verify_start_end_handshape_annotations//test_auto_move//signs_mov_separ_signers/Brady_15458.mov" TargetMode="External"/><Relationship Id="rId7472" Type="http://schemas.openxmlformats.org/officeDocument/2006/relationships/hyperlink" Target="http://secrets.rutgers.edu:8080/data/asl-ftp/asllvd/demos/verify_start_end_handshape_annotations//test_auto_move//signs_mov_separ_signers/Brady_15458.mov" TargetMode="External"/><Relationship Id="rId7473" Type="http://schemas.openxmlformats.org/officeDocument/2006/relationships/hyperlink" Target="http://csr.bu.edu/ftp/asl/asllvd/demos/verify_start_end_handshape_annotations//test_auto_move//signs_mov_separ_signers/Lana_796.mov" TargetMode="External"/><Relationship Id="rId7474" Type="http://schemas.openxmlformats.org/officeDocument/2006/relationships/hyperlink" Target="http://secrets.rutgers.edu:8080/data/asl-ftp/asllvd/demos/verify_start_end_handshape_annotations//test_auto_move//signs_mov_separ_signers/Lana_796.mov" TargetMode="External"/><Relationship Id="rId7475" Type="http://schemas.openxmlformats.org/officeDocument/2006/relationships/hyperlink" Target="http://csr.bu.edu/ftp/asl/asllvd/demos/verify_start_end_handshape_annotations//test_auto_move//signs_mov_separ_signers/Dana_796.mov" TargetMode="External"/><Relationship Id="rId7476" Type="http://schemas.openxmlformats.org/officeDocument/2006/relationships/hyperlink" Target="http://secrets.rutgers.edu:8080/data/asl-ftp/asllvd/demos/verify_start_end_handshape_annotations//test_auto_move//signs_mov_separ_signers/Dana_796.mov" TargetMode="External"/><Relationship Id="rId7477" Type="http://schemas.openxmlformats.org/officeDocument/2006/relationships/hyperlink" Target="http://csr.bu.edu/ftp/asl/asllvd/demos/verify_start_end_handshape_annotations//test_auto_move//signs_mov/15459.mov" TargetMode="External"/><Relationship Id="rId7478" Type="http://schemas.openxmlformats.org/officeDocument/2006/relationships/hyperlink" Target="http://csr.bu.edu/ftp/asl/asllvd/demos/verify_start_end_handshape_annotations//test_auto_move//signs_mov_separ_signers/Tyler_15459.mov" TargetMode="External"/><Relationship Id="rId7479" Type="http://schemas.openxmlformats.org/officeDocument/2006/relationships/hyperlink" Target="http://secrets.rutgers.edu:8080/data/asl-ftp/asllvd/demos/verify_start_end_handshape_annotations//test_auto_move//signs_mov/15459.mov" TargetMode="External"/><Relationship Id="rId7480" Type="http://schemas.openxmlformats.org/officeDocument/2006/relationships/hyperlink" Target="http://secrets.rutgers.edu:8080/data/asl-ftp/asllvd/demos/verify_start_end_handshape_annotations//test_auto_move//signs_mov_separ_signers/Tyler_15459.mov" TargetMode="External"/><Relationship Id="rId7481" Type="http://schemas.openxmlformats.org/officeDocument/2006/relationships/hyperlink" Target="http://csr.bu.edu/ftp/asl/asllvd/demos/verify_start_end_handshape_annotations//test_auto_move//signs_mov_separ_signers/Brady_15459.mov" TargetMode="External"/><Relationship Id="rId7482" Type="http://schemas.openxmlformats.org/officeDocument/2006/relationships/hyperlink" Target="http://secrets.rutgers.edu:8080/data/asl-ftp/asllvd/demos/verify_start_end_handshape_annotations//test_auto_move//signs_mov_separ_signers/Brady_15459.mov" TargetMode="External"/><Relationship Id="rId7483" Type="http://schemas.openxmlformats.org/officeDocument/2006/relationships/hyperlink" Target="http://csr.bu.edu/ftp/asl/asllvd/demos/verify_start_end_handshape_annotations//test_auto_move//signs_mov_separ_signers/Liz_797.mov" TargetMode="External"/><Relationship Id="rId7484" Type="http://schemas.openxmlformats.org/officeDocument/2006/relationships/hyperlink" Target="http://secrets.rutgers.edu:8080/data/asl-ftp/asllvd/demos/verify_start_end_handshape_annotations//test_auto_move//signs_mov_separ_signers/Liz_797.mov" TargetMode="External"/><Relationship Id="rId7485" Type="http://schemas.openxmlformats.org/officeDocument/2006/relationships/hyperlink" Target="http://csr.bu.edu/ftp/asl/asllvd/demos/verify_start_end_handshape_annotations//test_auto_move//signs_mov/797.mov" TargetMode="External"/><Relationship Id="rId7486" Type="http://schemas.openxmlformats.org/officeDocument/2006/relationships/hyperlink" Target="http://csr.bu.edu/ftp/asl/asllvd/demos/verify_start_end_handshape_annotations//test_auto_move//signs_mov_separ_signers/Naomi_797.mov" TargetMode="External"/><Relationship Id="rId7487" Type="http://schemas.openxmlformats.org/officeDocument/2006/relationships/hyperlink" Target="http://secrets.rutgers.edu:8080/data/asl-ftp/asllvd/demos/verify_start_end_handshape_annotations//test_auto_move//signs_mov/797.mov" TargetMode="External"/><Relationship Id="rId7488" Type="http://schemas.openxmlformats.org/officeDocument/2006/relationships/hyperlink" Target="http://secrets.rutgers.edu:8080/data/asl-ftp/asllvd/demos/verify_start_end_handshape_annotations//test_auto_move//signs_mov_separ_signers/Naomi_797.mov" TargetMode="External"/><Relationship Id="rId7489" Type="http://schemas.openxmlformats.org/officeDocument/2006/relationships/hyperlink" Target="http://csr.bu.edu/ftp/asl/asllvd/demos/verify_start_end_handshape_annotations//test_auto_move//signs_mov_separ_signers/Brady_797.mov" TargetMode="External"/><Relationship Id="rId7490" Type="http://schemas.openxmlformats.org/officeDocument/2006/relationships/hyperlink" Target="http://secrets.rutgers.edu:8080/data/asl-ftp/asllvd/demos/verify_start_end_handshape_annotations//test_auto_move//signs_mov_separ_signers/Brady_797.mov" TargetMode="External"/><Relationship Id="rId7491" Type="http://schemas.openxmlformats.org/officeDocument/2006/relationships/hyperlink" Target="http://csr.bu.edu/ftp/asl/asllvd/demos/verify_start_end_handshape_annotations//test_auto_move//signs_mov/5171_15778_merged.mov" TargetMode="External"/><Relationship Id="rId7492" Type="http://schemas.openxmlformats.org/officeDocument/2006/relationships/hyperlink" Target="http://csr.bu.edu/ftp/asl/asllvd/demos/verify_start_end_handshape_annotations//test_auto_move//signs_mov_separ_signers/Tyler_5171.mov" TargetMode="External"/><Relationship Id="rId7493" Type="http://schemas.openxmlformats.org/officeDocument/2006/relationships/hyperlink" Target="http://secrets.rutgers.edu:8080/data/asl-ftp/asllvd/demos/verify_start_end_handshape_annotations//test_auto_move//signs_mov/5171_15778_merged.mov" TargetMode="External"/><Relationship Id="rId7494" Type="http://schemas.openxmlformats.org/officeDocument/2006/relationships/hyperlink" Target="http://secrets.rutgers.edu:8080/data/asl-ftp/asllvd/demos/verify_start_end_handshape_annotations//test_auto_move//signs_mov_separ_signers/Tyler_5171.mov" TargetMode="External"/><Relationship Id="rId7495" Type="http://schemas.openxmlformats.org/officeDocument/2006/relationships/hyperlink" Target="http://csr.bu.edu/ftp/asl/asllvd/demos/verify_start_end_handshape_annotations//test_auto_move//signs_mov_separ_signers/Tyler_15778.mov" TargetMode="External"/><Relationship Id="rId7496" Type="http://schemas.openxmlformats.org/officeDocument/2006/relationships/hyperlink" Target="http://secrets.rutgers.edu:8080/data/asl-ftp/asllvd/demos/verify_start_end_handshape_annotations//test_auto_move//signs_mov_separ_signers/Tyler_15778.mov" TargetMode="External"/><Relationship Id="rId7497" Type="http://schemas.openxmlformats.org/officeDocument/2006/relationships/hyperlink" Target="http://csr.bu.edu/ftp/asl/asllvd/demos/verify_start_end_handshape_annotations//test_auto_move//signs_mov/15779.mov" TargetMode="External"/><Relationship Id="rId7498" Type="http://schemas.openxmlformats.org/officeDocument/2006/relationships/hyperlink" Target="http://csr.bu.edu/ftp/asl/asllvd/demos/verify_start_end_handshape_annotations//test_auto_move//signs_mov_separ_signers/Liz_15779.mov" TargetMode="External"/><Relationship Id="rId7499" Type="http://schemas.openxmlformats.org/officeDocument/2006/relationships/hyperlink" Target="http://secrets.rutgers.edu:8080/data/asl-ftp/asllvd/demos/verify_start_end_handshape_annotations//test_auto_move//signs_mov/15779.mov" TargetMode="External"/><Relationship Id="rId7500" Type="http://schemas.openxmlformats.org/officeDocument/2006/relationships/hyperlink" Target="http://secrets.rutgers.edu:8080/data/asl-ftp/asllvd/demos/verify_start_end_handshape_annotations//test_auto_move//signs_mov_separ_signers/Liz_15779.mov" TargetMode="External"/><Relationship Id="rId7501" Type="http://schemas.openxmlformats.org/officeDocument/2006/relationships/hyperlink" Target="http://csr.bu.edu/ftp/asl/asllvd/demos/verify_start_end_handshape_annotations//test_auto_move//signs_mov_separ_signers/Naomi_15779.mov" TargetMode="External"/><Relationship Id="rId7502" Type="http://schemas.openxmlformats.org/officeDocument/2006/relationships/hyperlink" Target="http://secrets.rutgers.edu:8080/data/asl-ftp/asllvd/demos/verify_start_end_handshape_annotations//test_auto_move//signs_mov_separ_signers/Naomi_15779.mov" TargetMode="External"/><Relationship Id="rId7503" Type="http://schemas.openxmlformats.org/officeDocument/2006/relationships/hyperlink" Target="http://csr.bu.edu/ftp/asl/asllvd/demos/verify_start_end_handshape_annotations//test_auto_move//signs_mov/16002.mov" TargetMode="External"/><Relationship Id="rId7504" Type="http://schemas.openxmlformats.org/officeDocument/2006/relationships/hyperlink" Target="http://csr.bu.edu/ftp/asl/asllvd/demos/verify_start_end_handshape_annotations//test_auto_move//signs_mov_separ_signers/Brady_16002.mov" TargetMode="External"/><Relationship Id="rId7505" Type="http://schemas.openxmlformats.org/officeDocument/2006/relationships/hyperlink" Target="http://secrets.rutgers.edu:8080/data/asl-ftp/asllvd/demos/verify_start_end_handshape_annotations//test_auto_move//signs_mov/16002.mov" TargetMode="External"/><Relationship Id="rId7506" Type="http://schemas.openxmlformats.org/officeDocument/2006/relationships/hyperlink" Target="http://secrets.rutgers.edu:8080/data/asl-ftp/asllvd/demos/verify_start_end_handshape_annotations//test_auto_move//signs_mov_separ_signers/Brady_16002.mov" TargetMode="External"/><Relationship Id="rId7507" Type="http://schemas.openxmlformats.org/officeDocument/2006/relationships/hyperlink" Target="http://csr.bu.edu/ftp/asl/asllvd/demos/verify_start_end_handshape_annotations//test_auto_move//signs_mov/16003.mov" TargetMode="External"/><Relationship Id="rId7508" Type="http://schemas.openxmlformats.org/officeDocument/2006/relationships/hyperlink" Target="http://csr.bu.edu/ftp/asl/asllvd/demos/verify_start_end_handshape_annotations//test_auto_move//signs_mov_separ_signers/Lana_16003.mov" TargetMode="External"/><Relationship Id="rId7509" Type="http://schemas.openxmlformats.org/officeDocument/2006/relationships/hyperlink" Target="http://secrets.rutgers.edu:8080/data/asl-ftp/asllvd/demos/verify_start_end_handshape_annotations//test_auto_move//signs_mov/16003.mov" TargetMode="External"/><Relationship Id="rId7510" Type="http://schemas.openxmlformats.org/officeDocument/2006/relationships/hyperlink" Target="http://secrets.rutgers.edu:8080/data/asl-ftp/asllvd/demos/verify_start_end_handshape_annotations//test_auto_move//signs_mov_separ_signers/Lana_16003.mov" TargetMode="External"/><Relationship Id="rId7511" Type="http://schemas.openxmlformats.org/officeDocument/2006/relationships/hyperlink" Target="http://csr.bu.edu/ftp/asl/asllvd/demos/verify_start_end_handshape_annotations//test_auto_move//signs_mov/16342.mov" TargetMode="External"/><Relationship Id="rId7512" Type="http://schemas.openxmlformats.org/officeDocument/2006/relationships/hyperlink" Target="http://csr.bu.edu/ftp/asl/asllvd/demos/verify_start_end_handshape_annotations//test_auto_move//signs_mov_separ_signers/Tyler_16342.mov" TargetMode="External"/><Relationship Id="rId7513" Type="http://schemas.openxmlformats.org/officeDocument/2006/relationships/hyperlink" Target="http://secrets.rutgers.edu:8080/data/asl-ftp/asllvd/demos/verify_start_end_handshape_annotations//test_auto_move//signs_mov/16342.mov" TargetMode="External"/><Relationship Id="rId7514" Type="http://schemas.openxmlformats.org/officeDocument/2006/relationships/hyperlink" Target="http://secrets.rutgers.edu:8080/data/asl-ftp/asllvd/demos/verify_start_end_handshape_annotations//test_auto_move//signs_mov_separ_signers/Tyler_16342.mov" TargetMode="External"/><Relationship Id="rId7515" Type="http://schemas.openxmlformats.org/officeDocument/2006/relationships/hyperlink" Target="http://csr.bu.edu/ftp/asl/asllvd/demos/verify_start_end_handshape_annotations//test_auto_move//signs_mov_separ_signers/Liz_16520.mov" TargetMode="External"/><Relationship Id="rId7516" Type="http://schemas.openxmlformats.org/officeDocument/2006/relationships/hyperlink" Target="http://secrets.rutgers.edu:8080/data/asl-ftp/asllvd/demos/verify_start_end_handshape_annotations//test_auto_move//signs_mov_separ_signers/Liz_16520.mov" TargetMode="External"/><Relationship Id="rId7517" Type="http://schemas.openxmlformats.org/officeDocument/2006/relationships/hyperlink" Target="http://csr.bu.edu/ftp/asl/asllvd/demos/verify_start_end_handshape_annotations//test_auto_move//signs_mov/16520.mov" TargetMode="External"/><Relationship Id="rId7518" Type="http://schemas.openxmlformats.org/officeDocument/2006/relationships/hyperlink" Target="http://csr.bu.edu/ftp/asl/asllvd/demos/verify_start_end_handshape_annotations//test_auto_move//signs_mov_separ_signers/Naomi_16520.mov" TargetMode="External"/><Relationship Id="rId7519" Type="http://schemas.openxmlformats.org/officeDocument/2006/relationships/hyperlink" Target="http://secrets.rutgers.edu:8080/data/asl-ftp/asllvd/demos/verify_start_end_handshape_annotations//test_auto_move//signs_mov/16520.mov" TargetMode="External"/><Relationship Id="rId7520" Type="http://schemas.openxmlformats.org/officeDocument/2006/relationships/hyperlink" Target="http://secrets.rutgers.edu:8080/data/asl-ftp/asllvd/demos/verify_start_end_handshape_annotations//test_auto_move//signs_mov_separ_signers/Naomi_16520.mov" TargetMode="External"/><Relationship Id="rId7521" Type="http://schemas.openxmlformats.org/officeDocument/2006/relationships/hyperlink" Target="http://csr.bu.edu/ftp/asl/asllvd/demos/verify_start_end_handshape_annotations//test_auto_move//signs_mov_separ_signers/Brady_16520.mov" TargetMode="External"/><Relationship Id="rId7522" Type="http://schemas.openxmlformats.org/officeDocument/2006/relationships/hyperlink" Target="http://secrets.rutgers.edu:8080/data/asl-ftp/asllvd/demos/verify_start_end_handshape_annotations//test_auto_move//signs_mov_separ_signers/Brady_16520.mov" TargetMode="External"/><Relationship Id="rId7523" Type="http://schemas.openxmlformats.org/officeDocument/2006/relationships/hyperlink" Target="http://csr.bu.edu/ftp/asl/asllvd/demos/verify_start_end_handshape_annotations//test_auto_move//signs_mov_separ_signers/Liz_806.mov" TargetMode="External"/><Relationship Id="rId7524" Type="http://schemas.openxmlformats.org/officeDocument/2006/relationships/hyperlink" Target="http://secrets.rutgers.edu:8080/data/asl-ftp/asllvd/demos/verify_start_end_handshape_annotations//test_auto_move//signs_mov_separ_signers/Liz_806.mov" TargetMode="External"/><Relationship Id="rId7525" Type="http://schemas.openxmlformats.org/officeDocument/2006/relationships/hyperlink" Target="http://csr.bu.edu/ftp/asl/asllvd/demos/verify_start_end_handshape_annotations//test_auto_move//signs_mov/806.mov" TargetMode="External"/><Relationship Id="rId7526" Type="http://schemas.openxmlformats.org/officeDocument/2006/relationships/hyperlink" Target="http://csr.bu.edu/ftp/asl/asllvd/demos/verify_start_end_handshape_annotations//test_auto_move//signs_mov_separ_signers/Tyler_806.mov" TargetMode="External"/><Relationship Id="rId7527" Type="http://schemas.openxmlformats.org/officeDocument/2006/relationships/hyperlink" Target="http://secrets.rutgers.edu:8080/data/asl-ftp/asllvd/demos/verify_start_end_handshape_annotations//test_auto_move//signs_mov/806.mov" TargetMode="External"/><Relationship Id="rId7528" Type="http://schemas.openxmlformats.org/officeDocument/2006/relationships/hyperlink" Target="http://secrets.rutgers.edu:8080/data/asl-ftp/asllvd/demos/verify_start_end_handshape_annotations//test_auto_move//signs_mov_separ_signers/Tyler_806.mov" TargetMode="External"/><Relationship Id="rId7529" Type="http://schemas.openxmlformats.org/officeDocument/2006/relationships/hyperlink" Target="http://csr.bu.edu/ftp/asl/asllvd/demos/verify_start_end_handshape_annotations//test_auto_move//signs_mov_separ_signers/Naomi_806.mov" TargetMode="External"/><Relationship Id="rId7530" Type="http://schemas.openxmlformats.org/officeDocument/2006/relationships/hyperlink" Target="http://secrets.rutgers.edu:8080/data/asl-ftp/asllvd/demos/verify_start_end_handshape_annotations//test_auto_move//signs_mov_separ_signers/Naomi_806.mov" TargetMode="External"/><Relationship Id="rId7531" Type="http://schemas.openxmlformats.org/officeDocument/2006/relationships/hyperlink" Target="http://csr.bu.edu/ftp/asl/asllvd/demos/verify_start_end_handshape_annotations//test_auto_move//signs_mov_separ_signers/Brady_806.mov" TargetMode="External"/><Relationship Id="rId7532" Type="http://schemas.openxmlformats.org/officeDocument/2006/relationships/hyperlink" Target="http://secrets.rutgers.edu:8080/data/asl-ftp/asllvd/demos/verify_start_end_handshape_annotations//test_auto_move//signs_mov_separ_signers/Brady_806.mov" TargetMode="External"/><Relationship Id="rId7533" Type="http://schemas.openxmlformats.org/officeDocument/2006/relationships/hyperlink" Target="http://csr.bu.edu/ftp/asl/asllvd/demos/verify_start_end_handshape_annotations//test_auto_move//signs_mov_separ_signers/Liz_15433.mov" TargetMode="External"/><Relationship Id="rId7534" Type="http://schemas.openxmlformats.org/officeDocument/2006/relationships/hyperlink" Target="http://secrets.rutgers.edu:8080/data/asl-ftp/asllvd/demos/verify_start_end_handshape_annotations//test_auto_move//signs_mov_separ_signers/Liz_15433.mov" TargetMode="External"/><Relationship Id="rId7535" Type="http://schemas.openxmlformats.org/officeDocument/2006/relationships/hyperlink" Target="http://csr.bu.edu/ftp/asl/asllvd/demos/verify_start_end_handshape_annotations//test_auto_move//signs_mov/15433.mov" TargetMode="External"/><Relationship Id="rId7536" Type="http://schemas.openxmlformats.org/officeDocument/2006/relationships/hyperlink" Target="http://csr.bu.edu/ftp/asl/asllvd/demos/verify_start_end_handshape_annotations//test_auto_move//signs_mov_separ_signers/Tyler_15433.mov" TargetMode="External"/><Relationship Id="rId7537" Type="http://schemas.openxmlformats.org/officeDocument/2006/relationships/hyperlink" Target="http://secrets.rutgers.edu:8080/data/asl-ftp/asllvd/demos/verify_start_end_handshape_annotations//test_auto_move//signs_mov/15433.mov" TargetMode="External"/><Relationship Id="rId7538" Type="http://schemas.openxmlformats.org/officeDocument/2006/relationships/hyperlink" Target="http://secrets.rutgers.edu:8080/data/asl-ftp/asllvd/demos/verify_start_end_handshape_annotations//test_auto_move//signs_mov_separ_signers/Tyler_15433.mov" TargetMode="External"/><Relationship Id="rId7539" Type="http://schemas.openxmlformats.org/officeDocument/2006/relationships/hyperlink" Target="http://csr.bu.edu/ftp/asl/asllvd/demos/verify_start_end_handshape_annotations//test_auto_move//signs_mov_separ_signers/Naomi_15433.mov" TargetMode="External"/><Relationship Id="rId7540" Type="http://schemas.openxmlformats.org/officeDocument/2006/relationships/hyperlink" Target="http://secrets.rutgers.edu:8080/data/asl-ftp/asllvd/demos/verify_start_end_handshape_annotations//test_auto_move//signs_mov_separ_signers/Naomi_15433.mov" TargetMode="External"/><Relationship Id="rId7541" Type="http://schemas.openxmlformats.org/officeDocument/2006/relationships/hyperlink" Target="http://csr.bu.edu/ftp/asl/asllvd/demos/verify_start_end_handshape_annotations//test_auto_move//signs_mov_separ_signers/Brady_15433.mov" TargetMode="External"/><Relationship Id="rId7542" Type="http://schemas.openxmlformats.org/officeDocument/2006/relationships/hyperlink" Target="http://secrets.rutgers.edu:8080/data/asl-ftp/asllvd/demos/verify_start_end_handshape_annotations//test_auto_move//signs_mov_separ_signers/Brady_15433.mov" TargetMode="External"/><Relationship Id="rId7543" Type="http://schemas.openxmlformats.org/officeDocument/2006/relationships/hyperlink" Target="http://csr.bu.edu/ftp/asl/asllvd/demos/verify_start_end_handshape_annotations//test_auto_move//signs_mov/15643.mov" TargetMode="External"/><Relationship Id="rId7544" Type="http://schemas.openxmlformats.org/officeDocument/2006/relationships/hyperlink" Target="http://csr.bu.edu/ftp/asl/asllvd/demos/verify_start_end_handshape_annotations//test_auto_move//signs_mov_separ_signers/Liz_15643.mov" TargetMode="External"/><Relationship Id="rId7545" Type="http://schemas.openxmlformats.org/officeDocument/2006/relationships/hyperlink" Target="http://secrets.rutgers.edu:8080/data/asl-ftp/asllvd/demos/verify_start_end_handshape_annotations//test_auto_move//signs_mov/15643.mov" TargetMode="External"/><Relationship Id="rId7546" Type="http://schemas.openxmlformats.org/officeDocument/2006/relationships/hyperlink" Target="http://secrets.rutgers.edu:8080/data/asl-ftp/asllvd/demos/verify_start_end_handshape_annotations//test_auto_move//signs_mov_separ_signers/Liz_15643.mov" TargetMode="External"/><Relationship Id="rId7547" Type="http://schemas.openxmlformats.org/officeDocument/2006/relationships/hyperlink" Target="http://csr.bu.edu/ftp/asl/asllvd/demos/verify_start_end_handshape_annotations//test_auto_move//signs_mov_separ_signers/Brady_15643.mov" TargetMode="External"/><Relationship Id="rId7548" Type="http://schemas.openxmlformats.org/officeDocument/2006/relationships/hyperlink" Target="http://secrets.rutgers.edu:8080/data/asl-ftp/asllvd/demos/verify_start_end_handshape_annotations//test_auto_move//signs_mov_separ_signers/Brady_15643.mov" TargetMode="External"/><Relationship Id="rId7549" Type="http://schemas.openxmlformats.org/officeDocument/2006/relationships/hyperlink" Target="http://csr.bu.edu/ftp/asl/asllvd/demos/verify_start_end_handshape_annotations//test_auto_move//signs_mov/15682.mov" TargetMode="External"/><Relationship Id="rId7550" Type="http://schemas.openxmlformats.org/officeDocument/2006/relationships/hyperlink" Target="http://csr.bu.edu/ftp/asl/asllvd/demos/verify_start_end_handshape_annotations//test_auto_move//signs_mov_separ_signers/Liz_15682.mov" TargetMode="External"/><Relationship Id="rId7551" Type="http://schemas.openxmlformats.org/officeDocument/2006/relationships/hyperlink" Target="http://secrets.rutgers.edu:8080/data/asl-ftp/asllvd/demos/verify_start_end_handshape_annotations//test_auto_move//signs_mov/15682.mov" TargetMode="External"/><Relationship Id="rId7552" Type="http://schemas.openxmlformats.org/officeDocument/2006/relationships/hyperlink" Target="http://secrets.rutgers.edu:8080/data/asl-ftp/asllvd/demos/verify_start_end_handshape_annotations//test_auto_move//signs_mov_separ_signers/Liz_15682.mov" TargetMode="External"/><Relationship Id="rId7553" Type="http://schemas.openxmlformats.org/officeDocument/2006/relationships/hyperlink" Target="http://csr.bu.edu/ftp/asl/asllvd/demos/verify_start_end_handshape_annotations//test_auto_move//signs_mov_separ_signers/Brady_15682.mov" TargetMode="External"/><Relationship Id="rId7554" Type="http://schemas.openxmlformats.org/officeDocument/2006/relationships/hyperlink" Target="http://secrets.rutgers.edu:8080/data/asl-ftp/asllvd/demos/verify_start_end_handshape_annotations//test_auto_move//signs_mov_separ_signers/Brady_15682.mov" TargetMode="External"/><Relationship Id="rId7555" Type="http://schemas.openxmlformats.org/officeDocument/2006/relationships/hyperlink" Target="http://csr.bu.edu/ftp/asl/asllvd/demos/verify_start_end_handshape_annotations//test_auto_move//signs_mov_separ_signers/Liz_811.mov" TargetMode="External"/><Relationship Id="rId7556" Type="http://schemas.openxmlformats.org/officeDocument/2006/relationships/hyperlink" Target="http://secrets.rutgers.edu:8080/data/asl-ftp/asllvd/demos/verify_start_end_handshape_annotations//test_auto_move//signs_mov_separ_signers/Liz_811.mov" TargetMode="External"/><Relationship Id="rId7557" Type="http://schemas.openxmlformats.org/officeDocument/2006/relationships/hyperlink" Target="http://csr.bu.edu/ftp/asl/asllvd/demos/verify_start_end_handshape_annotations//test_auto_move//signs_mov_separ_signers/Tyler_811.mov" TargetMode="External"/><Relationship Id="rId7558" Type="http://schemas.openxmlformats.org/officeDocument/2006/relationships/hyperlink" Target="http://secrets.rutgers.edu:8080/data/asl-ftp/asllvd/demos/verify_start_end_handshape_annotations//test_auto_move//signs_mov_separ_signers/Tyler_811.mov" TargetMode="External"/><Relationship Id="rId7559" Type="http://schemas.openxmlformats.org/officeDocument/2006/relationships/hyperlink" Target="http://csr.bu.edu/ftp/asl/asllvd/demos/verify_start_end_handshape_annotations//test_auto_move//signs_mov/811.mov" TargetMode="External"/><Relationship Id="rId7560" Type="http://schemas.openxmlformats.org/officeDocument/2006/relationships/hyperlink" Target="http://csr.bu.edu/ftp/asl/asllvd/demos/verify_start_end_handshape_annotations//test_auto_move//signs_mov_separ_signers/Naomi_811.mov" TargetMode="External"/><Relationship Id="rId7561" Type="http://schemas.openxmlformats.org/officeDocument/2006/relationships/hyperlink" Target="http://secrets.rutgers.edu:8080/data/asl-ftp/asllvd/demos/verify_start_end_handshape_annotations//test_auto_move//signs_mov/811.mov" TargetMode="External"/><Relationship Id="rId7562" Type="http://schemas.openxmlformats.org/officeDocument/2006/relationships/hyperlink" Target="http://secrets.rutgers.edu:8080/data/asl-ftp/asllvd/demos/verify_start_end_handshape_annotations//test_auto_move//signs_mov_separ_signers/Naomi_811.mov" TargetMode="External"/><Relationship Id="rId7563" Type="http://schemas.openxmlformats.org/officeDocument/2006/relationships/hyperlink" Target="http://csr.bu.edu/ftp/asl/asllvd/demos/verify_start_end_handshape_annotations//test_auto_move//signs_mov_separ_signers/Brady_811.mov" TargetMode="External"/><Relationship Id="rId7564" Type="http://schemas.openxmlformats.org/officeDocument/2006/relationships/hyperlink" Target="http://secrets.rutgers.edu:8080/data/asl-ftp/asllvd/demos/verify_start_end_handshape_annotations//test_auto_move//signs_mov_separ_signers/Brady_811.mov" TargetMode="External"/><Relationship Id="rId7565" Type="http://schemas.openxmlformats.org/officeDocument/2006/relationships/hyperlink" Target="http://csr.bu.edu/ftp/asl/asllvd/demos/verify_start_end_handshape_annotations//test_auto_move//signs_mov_separ_signers/Lana_811.mov" TargetMode="External"/><Relationship Id="rId7566" Type="http://schemas.openxmlformats.org/officeDocument/2006/relationships/hyperlink" Target="http://secrets.rutgers.edu:8080/data/asl-ftp/asllvd/demos/verify_start_end_handshape_annotations//test_auto_move//signs_mov_separ_signers/Lana_811.mov" TargetMode="External"/><Relationship Id="rId7567" Type="http://schemas.openxmlformats.org/officeDocument/2006/relationships/hyperlink" Target="http://csr.bu.edu/ftp/asl/asllvd/demos/verify_start_end_handshape_annotations//test_auto_move//signs_mov_separ_signers/Dana_811.mov" TargetMode="External"/><Relationship Id="rId7568" Type="http://schemas.openxmlformats.org/officeDocument/2006/relationships/hyperlink" Target="http://secrets.rutgers.edu:8080/data/asl-ftp/asllvd/demos/verify_start_end_handshape_annotations//test_auto_move//signs_mov_separ_signers/Dana_811.mov" TargetMode="External"/><Relationship Id="rId7569" Type="http://schemas.openxmlformats.org/officeDocument/2006/relationships/hyperlink" Target="http://csr.bu.edu/ftp/asl/asllvd/demos/verify_start_end_handshape_annotations//test_auto_move//signs_mov_separ_signers/Liz_812.mov" TargetMode="External"/><Relationship Id="rId7570" Type="http://schemas.openxmlformats.org/officeDocument/2006/relationships/hyperlink" Target="http://secrets.rutgers.edu:8080/data/asl-ftp/asllvd/demos/verify_start_end_handshape_annotations//test_auto_move//signs_mov_separ_signers/Liz_812.mov" TargetMode="External"/><Relationship Id="rId7571" Type="http://schemas.openxmlformats.org/officeDocument/2006/relationships/hyperlink" Target="http://csr.bu.edu/ftp/asl/asllvd/demos/verify_start_end_handshape_annotations//test_auto_move//signs_mov/812.mov" TargetMode="External"/><Relationship Id="rId7572" Type="http://schemas.openxmlformats.org/officeDocument/2006/relationships/hyperlink" Target="http://csr.bu.edu/ftp/asl/asllvd/demos/verify_start_end_handshape_annotations//test_auto_move//signs_mov_separ_signers/Naomi_812.mov" TargetMode="External"/><Relationship Id="rId7573" Type="http://schemas.openxmlformats.org/officeDocument/2006/relationships/hyperlink" Target="http://secrets.rutgers.edu:8080/data/asl-ftp/asllvd/demos/verify_start_end_handshape_annotations//test_auto_move//signs_mov/812.mov" TargetMode="External"/><Relationship Id="rId7574" Type="http://schemas.openxmlformats.org/officeDocument/2006/relationships/hyperlink" Target="http://secrets.rutgers.edu:8080/data/asl-ftp/asllvd/demos/verify_start_end_handshape_annotations//test_auto_move//signs_mov_separ_signers/Naomi_812.mov" TargetMode="External"/><Relationship Id="rId7575" Type="http://schemas.openxmlformats.org/officeDocument/2006/relationships/hyperlink" Target="http://csr.bu.edu/ftp/asl/asllvd/demos/verify_start_end_handshape_annotations//test_auto_move//signs_mov_separ_signers/Brady_812.mov" TargetMode="External"/><Relationship Id="rId7576" Type="http://schemas.openxmlformats.org/officeDocument/2006/relationships/hyperlink" Target="http://secrets.rutgers.edu:8080/data/asl-ftp/asllvd/demos/verify_start_end_handshape_annotations//test_auto_move//signs_mov_separ_signers/Brady_812.mov" TargetMode="External"/><Relationship Id="rId7577" Type="http://schemas.openxmlformats.org/officeDocument/2006/relationships/hyperlink" Target="http://csr.bu.edu/ftp/asl/asllvd/demos/verify_start_end_handshape_annotations//test_auto_move//signs_mov/813.mov" TargetMode="External"/><Relationship Id="rId7578" Type="http://schemas.openxmlformats.org/officeDocument/2006/relationships/hyperlink" Target="http://csr.bu.edu/ftp/asl/asllvd/demos/verify_start_end_handshape_annotations//test_auto_move//signs_mov_separ_signers/Tyler_813.mov" TargetMode="External"/><Relationship Id="rId7579" Type="http://schemas.openxmlformats.org/officeDocument/2006/relationships/hyperlink" Target="http://secrets.rutgers.edu:8080/data/asl-ftp/asllvd/demos/verify_start_end_handshape_annotations//test_auto_move//signs_mov/813.mov" TargetMode="External"/><Relationship Id="rId7580" Type="http://schemas.openxmlformats.org/officeDocument/2006/relationships/hyperlink" Target="http://secrets.rutgers.edu:8080/data/asl-ftp/asllvd/demos/verify_start_end_handshape_annotations//test_auto_move//signs_mov_separ_signers/Tyler_813.mov" TargetMode="External"/><Relationship Id="rId7581" Type="http://schemas.openxmlformats.org/officeDocument/2006/relationships/hyperlink" Target="http://csr.bu.edu/ftp/asl/asllvd/demos/verify_start_end_handshape_annotations//test_auto_move//signs_mov_separ_signers/Liz_5172.mov" TargetMode="External"/><Relationship Id="rId7582" Type="http://schemas.openxmlformats.org/officeDocument/2006/relationships/hyperlink" Target="http://secrets.rutgers.edu:8080/data/asl-ftp/asllvd/demos/verify_start_end_handshape_annotations//test_auto_move//signs_mov_separ_signers/Liz_5172.mov" TargetMode="External"/><Relationship Id="rId7583" Type="http://schemas.openxmlformats.org/officeDocument/2006/relationships/hyperlink" Target="http://csr.bu.edu/ftp/asl/asllvd/demos/verify_start_end_handshape_annotations//test_auto_move//signs_mov_separ_signers/Liz_15960.mov" TargetMode="External"/><Relationship Id="rId7584" Type="http://schemas.openxmlformats.org/officeDocument/2006/relationships/hyperlink" Target="http://secrets.rutgers.edu:8080/data/asl-ftp/asllvd/demos/verify_start_end_handshape_annotations//test_auto_move//signs_mov_separ_signers/Liz_15960.mov" TargetMode="External"/><Relationship Id="rId7585" Type="http://schemas.openxmlformats.org/officeDocument/2006/relationships/hyperlink" Target="http://csr.bu.edu/ftp/asl/asllvd/demos/verify_start_end_handshape_annotations//test_auto_move//signs_mov_separ_signers/Naomi_5172.mov" TargetMode="External"/><Relationship Id="rId7586" Type="http://schemas.openxmlformats.org/officeDocument/2006/relationships/hyperlink" Target="http://secrets.rutgers.edu:8080/data/asl-ftp/asllvd/demos/verify_start_end_handshape_annotations//test_auto_move//signs_mov_separ_signers/Naomi_5172.mov" TargetMode="External"/><Relationship Id="rId7587" Type="http://schemas.openxmlformats.org/officeDocument/2006/relationships/hyperlink" Target="http://csr.bu.edu/ftp/asl/asllvd/demos/verify_start_end_handshape_annotations//test_auto_move//signs_mov/5172_15960_merged.mov" TargetMode="External"/><Relationship Id="rId7588" Type="http://schemas.openxmlformats.org/officeDocument/2006/relationships/hyperlink" Target="http://csr.bu.edu/ftp/asl/asllvd/demos/verify_start_end_handshape_annotations//test_auto_move//signs_mov_separ_signers/Brady_5172.mov" TargetMode="External"/><Relationship Id="rId7589" Type="http://schemas.openxmlformats.org/officeDocument/2006/relationships/hyperlink" Target="http://secrets.rutgers.edu:8080/data/asl-ftp/asllvd/demos/verify_start_end_handshape_annotations//test_auto_move//signs_mov/5172_15960_merged.mov" TargetMode="External"/><Relationship Id="rId7590" Type="http://schemas.openxmlformats.org/officeDocument/2006/relationships/hyperlink" Target="http://secrets.rutgers.edu:8080/data/asl-ftp/asllvd/demos/verify_start_end_handshape_annotations//test_auto_move//signs_mov_separ_signers/Brady_5172.mov" TargetMode="External"/><Relationship Id="rId7591" Type="http://schemas.openxmlformats.org/officeDocument/2006/relationships/hyperlink" Target="http://csr.bu.edu/ftp/asl/asllvd/demos/verify_start_end_handshape_annotations//test_auto_move//signs_mov_separ_signers/Brady_15960.mov" TargetMode="External"/><Relationship Id="rId7592" Type="http://schemas.openxmlformats.org/officeDocument/2006/relationships/hyperlink" Target="http://secrets.rutgers.edu:8080/data/asl-ftp/asllvd/demos/verify_start_end_handshape_annotations//test_auto_move//signs_mov_separ_signers/Brady_15960.mov" TargetMode="External"/><Relationship Id="rId7593" Type="http://schemas.openxmlformats.org/officeDocument/2006/relationships/hyperlink" Target="http://csr.bu.edu/ftp/asl/asllvd/demos/verify_start_end_handshape_annotations//test_auto_move//signs_mov_separ_signers/Lana_5172.mov" TargetMode="External"/><Relationship Id="rId7594" Type="http://schemas.openxmlformats.org/officeDocument/2006/relationships/hyperlink" Target="http://secrets.rutgers.edu:8080/data/asl-ftp/asllvd/demos/verify_start_end_handshape_annotations//test_auto_move//signs_mov_separ_signers/Lana_5172.mov" TargetMode="External"/><Relationship Id="rId7595" Type="http://schemas.openxmlformats.org/officeDocument/2006/relationships/hyperlink" Target="http://csr.bu.edu/ftp/asl/asllvd/demos/verify_start_end_handshape_annotations//test_auto_move//signs_mov_separ_signers/Dana_5172.mov" TargetMode="External"/><Relationship Id="rId7596" Type="http://schemas.openxmlformats.org/officeDocument/2006/relationships/hyperlink" Target="http://secrets.rutgers.edu:8080/data/asl-ftp/asllvd/demos/verify_start_end_handshape_annotations//test_auto_move//signs_mov_separ_signers/Dana_5172.mov" TargetMode="External"/><Relationship Id="rId7597" Type="http://schemas.openxmlformats.org/officeDocument/2006/relationships/hyperlink" Target="http://csr.bu.edu/ftp/asl/asllvd/demos/verify_start_end_handshape_annotations//test_auto_move//signs_mov_separ_signers/Liz_15972.mov" TargetMode="External"/><Relationship Id="rId7598" Type="http://schemas.openxmlformats.org/officeDocument/2006/relationships/hyperlink" Target="http://secrets.rutgers.edu:8080/data/asl-ftp/asllvd/demos/verify_start_end_handshape_annotations//test_auto_move//signs_mov_separ_signers/Liz_15972.mov" TargetMode="External"/><Relationship Id="rId7599" Type="http://schemas.openxmlformats.org/officeDocument/2006/relationships/hyperlink" Target="http://csr.bu.edu/ftp/asl/asllvd/demos/verify_start_end_handshape_annotations//test_auto_move//signs_mov/15972.mov" TargetMode="External"/><Relationship Id="rId7600" Type="http://schemas.openxmlformats.org/officeDocument/2006/relationships/hyperlink" Target="http://csr.bu.edu/ftp/asl/asllvd/demos/verify_start_end_handshape_annotations//test_auto_move//signs_mov_separ_signers/Naomi_15972.mov" TargetMode="External"/><Relationship Id="rId7601" Type="http://schemas.openxmlformats.org/officeDocument/2006/relationships/hyperlink" Target="http://secrets.rutgers.edu:8080/data/asl-ftp/asllvd/demos/verify_start_end_handshape_annotations//test_auto_move//signs_mov/15972.mov" TargetMode="External"/><Relationship Id="rId7602" Type="http://schemas.openxmlformats.org/officeDocument/2006/relationships/hyperlink" Target="http://secrets.rutgers.edu:8080/data/asl-ftp/asllvd/demos/verify_start_end_handshape_annotations//test_auto_move//signs_mov_separ_signers/Naomi_15972.mov" TargetMode="External"/><Relationship Id="rId7603" Type="http://schemas.openxmlformats.org/officeDocument/2006/relationships/hyperlink" Target="http://csr.bu.edu/ftp/asl/asllvd/demos/verify_start_end_handshape_annotations//test_auto_move//signs_mov_separ_signers/Brady_15972.mov" TargetMode="External"/><Relationship Id="rId7604" Type="http://schemas.openxmlformats.org/officeDocument/2006/relationships/hyperlink" Target="http://secrets.rutgers.edu:8080/data/asl-ftp/asllvd/demos/verify_start_end_handshape_annotations//test_auto_move//signs_mov_separ_signers/Brady_15972.mov" TargetMode="External"/><Relationship Id="rId7605" Type="http://schemas.openxmlformats.org/officeDocument/2006/relationships/hyperlink" Target="http://csr.bu.edu/ftp/asl/asllvd/demos/verify_start_end_handshape_annotations//test_auto_move//signs_mov_separ_signers/Liz_15989.mov" TargetMode="External"/><Relationship Id="rId7606" Type="http://schemas.openxmlformats.org/officeDocument/2006/relationships/hyperlink" Target="http://secrets.rutgers.edu:8080/data/asl-ftp/asllvd/demos/verify_start_end_handshape_annotations//test_auto_move//signs_mov_separ_signers/Liz_15989.mov" TargetMode="External"/><Relationship Id="rId7607" Type="http://schemas.openxmlformats.org/officeDocument/2006/relationships/hyperlink" Target="http://csr.bu.edu/ftp/asl/asllvd/demos/verify_start_end_handshape_annotations//test_auto_move//signs_mov_separ_signers/Liz_16004.mov" TargetMode="External"/><Relationship Id="rId7608" Type="http://schemas.openxmlformats.org/officeDocument/2006/relationships/hyperlink" Target="http://secrets.rutgers.edu:8080/data/asl-ftp/asllvd/demos/verify_start_end_handshape_annotations//test_auto_move//signs_mov_separ_signers/Liz_16004.mov" TargetMode="External"/><Relationship Id="rId7609" Type="http://schemas.openxmlformats.org/officeDocument/2006/relationships/hyperlink" Target="http://csr.bu.edu/ftp/asl/asllvd/demos/verify_start_end_handshape_annotations//test_auto_move//signs_mov_separ_signers/Tyler_15989.mov" TargetMode="External"/><Relationship Id="rId7610" Type="http://schemas.openxmlformats.org/officeDocument/2006/relationships/hyperlink" Target="http://secrets.rutgers.edu:8080/data/asl-ftp/asllvd/demos/verify_start_end_handshape_annotations//test_auto_move//signs_mov_separ_signers/Tyler_15989.mov" TargetMode="External"/><Relationship Id="rId7611" Type="http://schemas.openxmlformats.org/officeDocument/2006/relationships/hyperlink" Target="http://csr.bu.edu/ftp/asl/asllvd/demos/verify_start_end_handshape_annotations//test_auto_move//signs_mov/15989_16004_merged.mov" TargetMode="External"/><Relationship Id="rId7612" Type="http://schemas.openxmlformats.org/officeDocument/2006/relationships/hyperlink" Target="http://csr.bu.edu/ftp/asl/asllvd/demos/verify_start_end_handshape_annotations//test_auto_move//signs_mov_separ_signers/Naomi_15989.mov" TargetMode="External"/><Relationship Id="rId7613" Type="http://schemas.openxmlformats.org/officeDocument/2006/relationships/hyperlink" Target="http://secrets.rutgers.edu:8080/data/asl-ftp/asllvd/demos/verify_start_end_handshape_annotations//test_auto_move//signs_mov/15989_16004_merged.mov" TargetMode="External"/><Relationship Id="rId7614" Type="http://schemas.openxmlformats.org/officeDocument/2006/relationships/hyperlink" Target="http://secrets.rutgers.edu:8080/data/asl-ftp/asllvd/demos/verify_start_end_handshape_annotations//test_auto_move//signs_mov_separ_signers/Naomi_15989.mov" TargetMode="External"/><Relationship Id="rId7615" Type="http://schemas.openxmlformats.org/officeDocument/2006/relationships/hyperlink" Target="http://csr.bu.edu/ftp/asl/asllvd/demos/verify_start_end_handshape_annotations//test_auto_move//signs_mov_separ_signers/Brady_15989.mov" TargetMode="External"/><Relationship Id="rId7616" Type="http://schemas.openxmlformats.org/officeDocument/2006/relationships/hyperlink" Target="http://secrets.rutgers.edu:8080/data/asl-ftp/asllvd/demos/verify_start_end_handshape_annotations//test_auto_move//signs_mov_separ_signers/Brady_15989.mov" TargetMode="External"/><Relationship Id="rId7617" Type="http://schemas.openxmlformats.org/officeDocument/2006/relationships/hyperlink" Target="http://csr.bu.edu/ftp/asl/asllvd/demos/verify_start_end_handshape_annotations//test_auto_move//signs_mov_separ_signers/Brady_16004.mov" TargetMode="External"/><Relationship Id="rId7618" Type="http://schemas.openxmlformats.org/officeDocument/2006/relationships/hyperlink" Target="http://secrets.rutgers.edu:8080/data/asl-ftp/asllvd/demos/verify_start_end_handshape_annotations//test_auto_move//signs_mov_separ_signers/Brady_16004.mov" TargetMode="External"/><Relationship Id="rId7619" Type="http://schemas.openxmlformats.org/officeDocument/2006/relationships/hyperlink" Target="http://csr.bu.edu/ftp/asl/asllvd/demos/verify_start_end_handshape_annotations//test_auto_move//signs_mov_separ_signers/Lana_15989.mov" TargetMode="External"/><Relationship Id="rId7620" Type="http://schemas.openxmlformats.org/officeDocument/2006/relationships/hyperlink" Target="http://secrets.rutgers.edu:8080/data/asl-ftp/asllvd/demos/verify_start_end_handshape_annotations//test_auto_move//signs_mov_separ_signers/Lana_15989.mov" TargetMode="External"/><Relationship Id="rId7621" Type="http://schemas.openxmlformats.org/officeDocument/2006/relationships/hyperlink" Target="http://csr.bu.edu/ftp/asl/asllvd/demos/verify_start_end_handshape_annotations//test_auto_move//signs_mov_separ_signers/Dana_15989.mov" TargetMode="External"/><Relationship Id="rId7622" Type="http://schemas.openxmlformats.org/officeDocument/2006/relationships/hyperlink" Target="http://secrets.rutgers.edu:8080/data/asl-ftp/asllvd/demos/verify_start_end_handshape_annotations//test_auto_move//signs_mov_separ_signers/Dana_15989.mov" TargetMode="External"/><Relationship Id="rId7623" Type="http://schemas.openxmlformats.org/officeDocument/2006/relationships/hyperlink" Target="http://csr.bu.edu/ftp/asl/asllvd/demos/verify_start_end_handshape_annotations//test_auto_move//signs_mov_separ_signers/Liz_814.mov" TargetMode="External"/><Relationship Id="rId7624" Type="http://schemas.openxmlformats.org/officeDocument/2006/relationships/hyperlink" Target="http://secrets.rutgers.edu:8080/data/asl-ftp/asllvd/demos/verify_start_end_handshape_annotations//test_auto_move//signs_mov_separ_signers/Liz_814.mov" TargetMode="External"/><Relationship Id="rId7625" Type="http://schemas.openxmlformats.org/officeDocument/2006/relationships/hyperlink" Target="http://csr.bu.edu/ftp/asl/asllvd/demos/verify_start_end_handshape_annotations//test_auto_move//signs_mov_separ_signers/Tyler_814.mov" TargetMode="External"/><Relationship Id="rId7626" Type="http://schemas.openxmlformats.org/officeDocument/2006/relationships/hyperlink" Target="http://secrets.rutgers.edu:8080/data/asl-ftp/asllvd/demos/verify_start_end_handshape_annotations//test_auto_move//signs_mov_separ_signers/Tyler_814.mov" TargetMode="External"/><Relationship Id="rId7627" Type="http://schemas.openxmlformats.org/officeDocument/2006/relationships/hyperlink" Target="http://csr.bu.edu/ftp/asl/asllvd/demos/verify_start_end_handshape_annotations//test_auto_move//signs_mov/814.mov" TargetMode="External"/><Relationship Id="rId7628" Type="http://schemas.openxmlformats.org/officeDocument/2006/relationships/hyperlink" Target="http://csr.bu.edu/ftp/asl/asllvd/demos/verify_start_end_handshape_annotations//test_auto_move//signs_mov_separ_signers/Naomi_814.mov" TargetMode="External"/><Relationship Id="rId7629" Type="http://schemas.openxmlformats.org/officeDocument/2006/relationships/hyperlink" Target="http://secrets.rutgers.edu:8080/data/asl-ftp/asllvd/demos/verify_start_end_handshape_annotations//test_auto_move//signs_mov/814.mov" TargetMode="External"/><Relationship Id="rId7630" Type="http://schemas.openxmlformats.org/officeDocument/2006/relationships/hyperlink" Target="http://secrets.rutgers.edu:8080/data/asl-ftp/asllvd/demos/verify_start_end_handshape_annotations//test_auto_move//signs_mov_separ_signers/Naomi_814.mov" TargetMode="External"/><Relationship Id="rId7631" Type="http://schemas.openxmlformats.org/officeDocument/2006/relationships/hyperlink" Target="http://csr.bu.edu/ftp/asl/asllvd/demos/verify_start_end_handshape_annotations//test_auto_move//signs_mov_separ_signers/Brady_814.mov" TargetMode="External"/><Relationship Id="rId7632" Type="http://schemas.openxmlformats.org/officeDocument/2006/relationships/hyperlink" Target="http://secrets.rutgers.edu:8080/data/asl-ftp/asllvd/demos/verify_start_end_handshape_annotations//test_auto_move//signs_mov_separ_signers/Brady_814.mov" TargetMode="External"/><Relationship Id="rId7633" Type="http://schemas.openxmlformats.org/officeDocument/2006/relationships/hyperlink" Target="http://csr.bu.edu/ftp/asl/asllvd/demos/verify_start_end_handshape_annotations//test_auto_move//signs_mov_separ_signers/Lana_814.mov" TargetMode="External"/><Relationship Id="rId7634" Type="http://schemas.openxmlformats.org/officeDocument/2006/relationships/hyperlink" Target="http://secrets.rutgers.edu:8080/data/asl-ftp/asllvd/demos/verify_start_end_handshape_annotations//test_auto_move//signs_mov_separ_signers/Lana_814.mov" TargetMode="External"/><Relationship Id="rId7635" Type="http://schemas.openxmlformats.org/officeDocument/2006/relationships/hyperlink" Target="http://csr.bu.edu/ftp/asl/asllvd/demos/verify_start_end_handshape_annotations//test_auto_move//signs_mov_separ_signers/Dana_814.mov" TargetMode="External"/><Relationship Id="rId7636" Type="http://schemas.openxmlformats.org/officeDocument/2006/relationships/hyperlink" Target="http://secrets.rutgers.edu:8080/data/asl-ftp/asllvd/demos/verify_start_end_handshape_annotations//test_auto_move//signs_mov_separ_signers/Dana_814.mov" TargetMode="External"/><Relationship Id="rId7637" Type="http://schemas.openxmlformats.org/officeDocument/2006/relationships/hyperlink" Target="http://csr.bu.edu/ftp/asl/asllvd/demos/verify_start_end_handshape_annotations//test_auto_move//signs_mov_separ_signers/Liz_15646.mov" TargetMode="External"/><Relationship Id="rId7638" Type="http://schemas.openxmlformats.org/officeDocument/2006/relationships/hyperlink" Target="http://secrets.rutgers.edu:8080/data/asl-ftp/asllvd/demos/verify_start_end_handshape_annotations//test_auto_move//signs_mov_separ_signers/Liz_15646.mov" TargetMode="External"/><Relationship Id="rId7639" Type="http://schemas.openxmlformats.org/officeDocument/2006/relationships/hyperlink" Target="http://csr.bu.edu/ftp/asl/asllvd/demos/verify_start_end_handshape_annotations//test_auto_move//signs_mov/15646.mov" TargetMode="External"/><Relationship Id="rId7640" Type="http://schemas.openxmlformats.org/officeDocument/2006/relationships/hyperlink" Target="http://csr.bu.edu/ftp/asl/asllvd/demos/verify_start_end_handshape_annotations//test_auto_move//signs_mov_separ_signers/Brady_15646.mov" TargetMode="External"/><Relationship Id="rId7641" Type="http://schemas.openxmlformats.org/officeDocument/2006/relationships/hyperlink" Target="http://secrets.rutgers.edu:8080/data/asl-ftp/asllvd/demos/verify_start_end_handshape_annotations//test_auto_move//signs_mov/15646.mov" TargetMode="External"/><Relationship Id="rId7642" Type="http://schemas.openxmlformats.org/officeDocument/2006/relationships/hyperlink" Target="http://secrets.rutgers.edu:8080/data/asl-ftp/asllvd/demos/verify_start_end_handshape_annotations//test_auto_move//signs_mov_separ_signers/Brady_15646.mov" TargetMode="External"/><Relationship Id="rId7643" Type="http://schemas.openxmlformats.org/officeDocument/2006/relationships/hyperlink" Target="http://csr.bu.edu/ftp/asl/asllvd/demos/verify_start_end_handshape_annotations//test_auto_move//signs_mov_separ_signers/Lana_15646.mov" TargetMode="External"/><Relationship Id="rId7644" Type="http://schemas.openxmlformats.org/officeDocument/2006/relationships/hyperlink" Target="http://secrets.rutgers.edu:8080/data/asl-ftp/asllvd/demos/verify_start_end_handshape_annotations//test_auto_move//signs_mov_separ_signers/Lana_15646.mov" TargetMode="External"/><Relationship Id="rId7645" Type="http://schemas.openxmlformats.org/officeDocument/2006/relationships/hyperlink" Target="http://csr.bu.edu/ftp/asl/asllvd/demos/verify_start_end_handshape_annotations//test_auto_move//signs_mov_separ_signers/Dana_15646.mov" TargetMode="External"/><Relationship Id="rId7646" Type="http://schemas.openxmlformats.org/officeDocument/2006/relationships/hyperlink" Target="http://secrets.rutgers.edu:8080/data/asl-ftp/asllvd/demos/verify_start_end_handshape_annotations//test_auto_move//signs_mov_separ_signers/Dana_15646.mov" TargetMode="External"/><Relationship Id="rId7647" Type="http://schemas.openxmlformats.org/officeDocument/2006/relationships/hyperlink" Target="http://csr.bu.edu/ftp/asl/asllvd/demos/verify_start_end_handshape_annotations//test_auto_move//signs_mov_separ_signers/Liz_15663.mov" TargetMode="External"/><Relationship Id="rId7648" Type="http://schemas.openxmlformats.org/officeDocument/2006/relationships/hyperlink" Target="http://secrets.rutgers.edu:8080/data/asl-ftp/asllvd/demos/verify_start_end_handshape_annotations//test_auto_move//signs_mov_separ_signers/Liz_15663.mov" TargetMode="External"/><Relationship Id="rId7649" Type="http://schemas.openxmlformats.org/officeDocument/2006/relationships/hyperlink" Target="http://csr.bu.edu/ftp/asl/asllvd/demos/verify_start_end_handshape_annotations//test_auto_move//signs_mov_separ_signers/Liz_15681.mov" TargetMode="External"/><Relationship Id="rId7650" Type="http://schemas.openxmlformats.org/officeDocument/2006/relationships/hyperlink" Target="http://secrets.rutgers.edu:8080/data/asl-ftp/asllvd/demos/verify_start_end_handshape_annotations//test_auto_move//signs_mov_separ_signers/Liz_15681.mov" TargetMode="External"/><Relationship Id="rId7651" Type="http://schemas.openxmlformats.org/officeDocument/2006/relationships/hyperlink" Target="http://csr.bu.edu/ftp/asl/asllvd/demos/verify_start_end_handshape_annotations//test_auto_move//signs_mov_separ_signers/Tyler_15663.mov" TargetMode="External"/><Relationship Id="rId7652" Type="http://schemas.openxmlformats.org/officeDocument/2006/relationships/hyperlink" Target="http://secrets.rutgers.edu:8080/data/asl-ftp/asllvd/demos/verify_start_end_handshape_annotations//test_auto_move//signs_mov_separ_signers/Tyler_15663.mov" TargetMode="External"/><Relationship Id="rId7653" Type="http://schemas.openxmlformats.org/officeDocument/2006/relationships/hyperlink" Target="http://csr.bu.edu/ftp/asl/asllvd/demos/verify_start_end_handshape_annotations//test_auto_move//signs_mov/15663_15681_merged.mov" TargetMode="External"/><Relationship Id="rId7654" Type="http://schemas.openxmlformats.org/officeDocument/2006/relationships/hyperlink" Target="http://csr.bu.edu/ftp/asl/asllvd/demos/verify_start_end_handshape_annotations//test_auto_move//signs_mov_separ_signers/Tyler_15681.mov" TargetMode="External"/><Relationship Id="rId7655" Type="http://schemas.openxmlformats.org/officeDocument/2006/relationships/hyperlink" Target="http://secrets.rutgers.edu:8080/data/asl-ftp/asllvd/demos/verify_start_end_handshape_annotations//test_auto_move//signs_mov/15663_15681_merged.mov" TargetMode="External"/><Relationship Id="rId7656" Type="http://schemas.openxmlformats.org/officeDocument/2006/relationships/hyperlink" Target="http://secrets.rutgers.edu:8080/data/asl-ftp/asllvd/demos/verify_start_end_handshape_annotations//test_auto_move//signs_mov_separ_signers/Tyler_15681.mov" TargetMode="External"/><Relationship Id="rId7657" Type="http://schemas.openxmlformats.org/officeDocument/2006/relationships/hyperlink" Target="http://csr.bu.edu/ftp/asl/asllvd/demos/verify_start_end_handshape_annotations//test_auto_move//signs_mov_separ_signers/Naomi_15663.mov" TargetMode="External"/><Relationship Id="rId7658" Type="http://schemas.openxmlformats.org/officeDocument/2006/relationships/hyperlink" Target="http://secrets.rutgers.edu:8080/data/asl-ftp/asllvd/demos/verify_start_end_handshape_annotations//test_auto_move//signs_mov_separ_signers/Naomi_15663.mov" TargetMode="External"/><Relationship Id="rId7659" Type="http://schemas.openxmlformats.org/officeDocument/2006/relationships/hyperlink" Target="http://csr.bu.edu/ftp/asl/asllvd/demos/verify_start_end_handshape_annotations//test_auto_move//signs_mov_separ_signers/Naomi_15681.mov" TargetMode="External"/><Relationship Id="rId7660" Type="http://schemas.openxmlformats.org/officeDocument/2006/relationships/hyperlink" Target="http://secrets.rutgers.edu:8080/data/asl-ftp/asllvd/demos/verify_start_end_handshape_annotations//test_auto_move//signs_mov_separ_signers/Naomi_15681.mov" TargetMode="External"/><Relationship Id="rId7661" Type="http://schemas.openxmlformats.org/officeDocument/2006/relationships/hyperlink" Target="http://csr.bu.edu/ftp/asl/asllvd/demos/verify_start_end_handshape_annotations//test_auto_move//signs_mov_separ_signers/Brady_15663.mov" TargetMode="External"/><Relationship Id="rId7662" Type="http://schemas.openxmlformats.org/officeDocument/2006/relationships/hyperlink" Target="http://secrets.rutgers.edu:8080/data/asl-ftp/asllvd/demos/verify_start_end_handshape_annotations//test_auto_move//signs_mov_separ_signers/Brady_15663.mov" TargetMode="External"/><Relationship Id="rId7663" Type="http://schemas.openxmlformats.org/officeDocument/2006/relationships/hyperlink" Target="http://csr.bu.edu/ftp/asl/asllvd/demos/verify_start_end_handshape_annotations//test_auto_move//signs_mov_separ_signers/Brady_15681.mov" TargetMode="External"/><Relationship Id="rId7664" Type="http://schemas.openxmlformats.org/officeDocument/2006/relationships/hyperlink" Target="http://secrets.rutgers.edu:8080/data/asl-ftp/asllvd/demos/verify_start_end_handshape_annotations//test_auto_move//signs_mov_separ_signers/Brady_15681.mov" TargetMode="External"/><Relationship Id="rId7665" Type="http://schemas.openxmlformats.org/officeDocument/2006/relationships/hyperlink" Target="http://csr.bu.edu/ftp/asl/asllvd/demos/verify_start_end_handshape_annotations//test_auto_move//signs_mov_separ_signers/Liz_818.mov" TargetMode="External"/><Relationship Id="rId7666" Type="http://schemas.openxmlformats.org/officeDocument/2006/relationships/hyperlink" Target="http://secrets.rutgers.edu:8080/data/asl-ftp/asllvd/demos/verify_start_end_handshape_annotations//test_auto_move//signs_mov_separ_signers/Liz_818.mov" TargetMode="External"/><Relationship Id="rId7667" Type="http://schemas.openxmlformats.org/officeDocument/2006/relationships/hyperlink" Target="http://csr.bu.edu/ftp/asl/asllvd/demos/verify_start_end_handshape_annotations//test_auto_move//signs_mov/818.mov" TargetMode="External"/><Relationship Id="rId7668" Type="http://schemas.openxmlformats.org/officeDocument/2006/relationships/hyperlink" Target="http://csr.bu.edu/ftp/asl/asllvd/demos/verify_start_end_handshape_annotations//test_auto_move//signs_mov_separ_signers/Tyler_818.mov" TargetMode="External"/><Relationship Id="rId7669" Type="http://schemas.openxmlformats.org/officeDocument/2006/relationships/hyperlink" Target="http://secrets.rutgers.edu:8080/data/asl-ftp/asllvd/demos/verify_start_end_handshape_annotations//test_auto_move//signs_mov/818.mov" TargetMode="External"/><Relationship Id="rId7670" Type="http://schemas.openxmlformats.org/officeDocument/2006/relationships/hyperlink" Target="http://secrets.rutgers.edu:8080/data/asl-ftp/asllvd/demos/verify_start_end_handshape_annotations//test_auto_move//signs_mov_separ_signers/Tyler_818.mov" TargetMode="External"/><Relationship Id="rId7671" Type="http://schemas.openxmlformats.org/officeDocument/2006/relationships/hyperlink" Target="http://csr.bu.edu/ftp/asl/asllvd/demos/verify_start_end_handshape_annotations//test_auto_move//signs_mov_separ_signers/Naomi_818.mov" TargetMode="External"/><Relationship Id="rId7672" Type="http://schemas.openxmlformats.org/officeDocument/2006/relationships/hyperlink" Target="http://secrets.rutgers.edu:8080/data/asl-ftp/asllvd/demos/verify_start_end_handshape_annotations//test_auto_move//signs_mov_separ_signers/Naomi_818.mov" TargetMode="External"/><Relationship Id="rId7673" Type="http://schemas.openxmlformats.org/officeDocument/2006/relationships/hyperlink" Target="http://csr.bu.edu/ftp/asl/asllvd/demos/verify_start_end_handshape_annotations//test_auto_move//signs_mov_separ_signers/Brady_818.mov" TargetMode="External"/><Relationship Id="rId7674" Type="http://schemas.openxmlformats.org/officeDocument/2006/relationships/hyperlink" Target="http://secrets.rutgers.edu:8080/data/asl-ftp/asllvd/demos/verify_start_end_handshape_annotations//test_auto_move//signs_mov_separ_signers/Brady_818.mov" TargetMode="External"/><Relationship Id="rId7675" Type="http://schemas.openxmlformats.org/officeDocument/2006/relationships/hyperlink" Target="http://csr.bu.edu/ftp/asl/asllvd/demos/verify_start_end_handshape_annotations//test_auto_move//signs_mov_separ_signers/Liz_819.mov" TargetMode="External"/><Relationship Id="rId7676" Type="http://schemas.openxmlformats.org/officeDocument/2006/relationships/hyperlink" Target="http://secrets.rutgers.edu:8080/data/asl-ftp/asllvd/demos/verify_start_end_handshape_annotations//test_auto_move//signs_mov_separ_signers/Liz_819.mov" TargetMode="External"/><Relationship Id="rId7677" Type="http://schemas.openxmlformats.org/officeDocument/2006/relationships/hyperlink" Target="http://csr.bu.edu/ftp/asl/asllvd/demos/verify_start_end_handshape_annotations//test_auto_move//signs_mov/819.mov" TargetMode="External"/><Relationship Id="rId7678" Type="http://schemas.openxmlformats.org/officeDocument/2006/relationships/hyperlink" Target="http://csr.bu.edu/ftp/asl/asllvd/demos/verify_start_end_handshape_annotations//test_auto_move//signs_mov_separ_signers/Naomi_819.mov" TargetMode="External"/><Relationship Id="rId7679" Type="http://schemas.openxmlformats.org/officeDocument/2006/relationships/hyperlink" Target="http://secrets.rutgers.edu:8080/data/asl-ftp/asllvd/demos/verify_start_end_handshape_annotations//test_auto_move//signs_mov/819.mov" TargetMode="External"/><Relationship Id="rId7680" Type="http://schemas.openxmlformats.org/officeDocument/2006/relationships/hyperlink" Target="http://secrets.rutgers.edu:8080/data/asl-ftp/asllvd/demos/verify_start_end_handshape_annotations//test_auto_move//signs_mov_separ_signers/Naomi_819.mov" TargetMode="External"/><Relationship Id="rId7681" Type="http://schemas.openxmlformats.org/officeDocument/2006/relationships/hyperlink" Target="http://csr.bu.edu/ftp/asl/asllvd/demos/verify_start_end_handshape_annotations//test_auto_move//signs_mov_separ_signers/Brady_819.mov" TargetMode="External"/><Relationship Id="rId7682" Type="http://schemas.openxmlformats.org/officeDocument/2006/relationships/hyperlink" Target="http://secrets.rutgers.edu:8080/data/asl-ftp/asllvd/demos/verify_start_end_handshape_annotations//test_auto_move//signs_mov_separ_signers/Brady_819.mov" TargetMode="External"/><Relationship Id="rId7683" Type="http://schemas.openxmlformats.org/officeDocument/2006/relationships/hyperlink" Target="http://csr.bu.edu/ftp/asl/asllvd/demos/verify_start_end_handshape_annotations//test_auto_move//signs_mov/5173.mov" TargetMode="External"/><Relationship Id="rId7684" Type="http://schemas.openxmlformats.org/officeDocument/2006/relationships/hyperlink" Target="http://csr.bu.edu/ftp/asl/asllvd/demos/verify_start_end_handshape_annotations//test_auto_move//signs_mov_separ_signers/Tyler_5173.mov" TargetMode="External"/><Relationship Id="rId7685" Type="http://schemas.openxmlformats.org/officeDocument/2006/relationships/hyperlink" Target="http://secrets.rutgers.edu:8080/data/asl-ftp/asllvd/demos/verify_start_end_handshape_annotations//test_auto_move//signs_mov/5173.mov" TargetMode="External"/><Relationship Id="rId7686" Type="http://schemas.openxmlformats.org/officeDocument/2006/relationships/hyperlink" Target="http://secrets.rutgers.edu:8080/data/asl-ftp/asllvd/demos/verify_start_end_handshape_annotations//test_auto_move//signs_mov_separ_signers/Tyler_5173.mov" TargetMode="External"/><Relationship Id="rId7687" Type="http://schemas.openxmlformats.org/officeDocument/2006/relationships/hyperlink" Target="http://csr.bu.edu/ftp/asl/asllvd/demos/verify_start_end_handshape_annotations//test_auto_move//signs_mov_separ_signers/Liz_824.mov" TargetMode="External"/><Relationship Id="rId7688" Type="http://schemas.openxmlformats.org/officeDocument/2006/relationships/hyperlink" Target="http://secrets.rutgers.edu:8080/data/asl-ftp/asllvd/demos/verify_start_end_handshape_annotations//test_auto_move//signs_mov_separ_signers/Liz_824.mov" TargetMode="External"/><Relationship Id="rId7689" Type="http://schemas.openxmlformats.org/officeDocument/2006/relationships/hyperlink" Target="http://csr.bu.edu/ftp/asl/asllvd/demos/verify_start_end_handshape_annotations//test_auto_move//signs_mov/824.mov" TargetMode="External"/><Relationship Id="rId7690" Type="http://schemas.openxmlformats.org/officeDocument/2006/relationships/hyperlink" Target="http://csr.bu.edu/ftp/asl/asllvd/demos/verify_start_end_handshape_annotations//test_auto_move//signs_mov_separ_signers/Naomi_824.mov" TargetMode="External"/><Relationship Id="rId7691" Type="http://schemas.openxmlformats.org/officeDocument/2006/relationships/hyperlink" Target="http://secrets.rutgers.edu:8080/data/asl-ftp/asllvd/demos/verify_start_end_handshape_annotations//test_auto_move//signs_mov/824.mov" TargetMode="External"/><Relationship Id="rId7692" Type="http://schemas.openxmlformats.org/officeDocument/2006/relationships/hyperlink" Target="http://secrets.rutgers.edu:8080/data/asl-ftp/asllvd/demos/verify_start_end_handshape_annotations//test_auto_move//signs_mov_separ_signers/Naomi_824.mov" TargetMode="External"/><Relationship Id="rId7693" Type="http://schemas.openxmlformats.org/officeDocument/2006/relationships/hyperlink" Target="http://csr.bu.edu/ftp/asl/asllvd/demos/verify_start_end_handshape_annotations//test_auto_move//signs_mov_separ_signers/Brady_824.mov" TargetMode="External"/><Relationship Id="rId7694" Type="http://schemas.openxmlformats.org/officeDocument/2006/relationships/hyperlink" Target="http://secrets.rutgers.edu:8080/data/asl-ftp/asllvd/demos/verify_start_end_handshape_annotations//test_auto_move//signs_mov_separ_signers/Brady_824.mov" TargetMode="External"/><Relationship Id="rId7695" Type="http://schemas.openxmlformats.org/officeDocument/2006/relationships/hyperlink" Target="http://csr.bu.edu/ftp/asl/asllvd/demos/verify_start_end_handshape_annotations//test_auto_move//signs_mov_separ_signers/Liz_825.mov" TargetMode="External"/><Relationship Id="rId7696" Type="http://schemas.openxmlformats.org/officeDocument/2006/relationships/hyperlink" Target="http://secrets.rutgers.edu:8080/data/asl-ftp/asllvd/demos/verify_start_end_handshape_annotations//test_auto_move//signs_mov_separ_signers/Liz_825.mov" TargetMode="External"/><Relationship Id="rId7697" Type="http://schemas.openxmlformats.org/officeDocument/2006/relationships/hyperlink" Target="http://csr.bu.edu/ftp/asl/asllvd/demos/verify_start_end_handshape_annotations//test_auto_move//signs_mov_separ_signers/Tyler_825.mov" TargetMode="External"/><Relationship Id="rId7698" Type="http://schemas.openxmlformats.org/officeDocument/2006/relationships/hyperlink" Target="http://secrets.rutgers.edu:8080/data/asl-ftp/asllvd/demos/verify_start_end_handshape_annotations//test_auto_move//signs_mov_separ_signers/Tyler_825.mov" TargetMode="External"/><Relationship Id="rId7699" Type="http://schemas.openxmlformats.org/officeDocument/2006/relationships/hyperlink" Target="http://csr.bu.edu/ftp/asl/asllvd/demos/verify_start_end_handshape_annotations//test_auto_move//signs_mov/825.mov" TargetMode="External"/><Relationship Id="rId7700" Type="http://schemas.openxmlformats.org/officeDocument/2006/relationships/hyperlink" Target="http://csr.bu.edu/ftp/asl/asllvd/demos/verify_start_end_handshape_annotations//test_auto_move//signs_mov_separ_signers/Naomi_825.mov" TargetMode="External"/><Relationship Id="rId7701" Type="http://schemas.openxmlformats.org/officeDocument/2006/relationships/hyperlink" Target="http://secrets.rutgers.edu:8080/data/asl-ftp/asllvd/demos/verify_start_end_handshape_annotations//test_auto_move//signs_mov/825.mov" TargetMode="External"/><Relationship Id="rId7702" Type="http://schemas.openxmlformats.org/officeDocument/2006/relationships/hyperlink" Target="http://secrets.rutgers.edu:8080/data/asl-ftp/asllvd/demos/verify_start_end_handshape_annotations//test_auto_move//signs_mov_separ_signers/Naomi_825.mov" TargetMode="External"/><Relationship Id="rId7703" Type="http://schemas.openxmlformats.org/officeDocument/2006/relationships/hyperlink" Target="http://csr.bu.edu/ftp/asl/asllvd/demos/verify_start_end_handshape_annotations//test_auto_move//signs_mov_separ_signers/Brady_825.mov" TargetMode="External"/><Relationship Id="rId7704" Type="http://schemas.openxmlformats.org/officeDocument/2006/relationships/hyperlink" Target="http://secrets.rutgers.edu:8080/data/asl-ftp/asllvd/demos/verify_start_end_handshape_annotations//test_auto_move//signs_mov_separ_signers/Brady_825.mov" TargetMode="External"/><Relationship Id="rId7705" Type="http://schemas.openxmlformats.org/officeDocument/2006/relationships/hyperlink" Target="http://csr.bu.edu/ftp/asl/asllvd/demos/verify_start_end_handshape_annotations//test_auto_move//signs_mov_separ_signers/Lana_825.mov" TargetMode="External"/><Relationship Id="rId7706" Type="http://schemas.openxmlformats.org/officeDocument/2006/relationships/hyperlink" Target="http://secrets.rutgers.edu:8080/data/asl-ftp/asllvd/demos/verify_start_end_handshape_annotations//test_auto_move//signs_mov_separ_signers/Lana_825.mov" TargetMode="External"/><Relationship Id="rId7707" Type="http://schemas.openxmlformats.org/officeDocument/2006/relationships/hyperlink" Target="http://csr.bu.edu/ftp/asl/asllvd/demos/verify_start_end_handshape_annotations//test_auto_move//signs_mov/16412.mov" TargetMode="External"/><Relationship Id="rId7708" Type="http://schemas.openxmlformats.org/officeDocument/2006/relationships/hyperlink" Target="http://csr.bu.edu/ftp/asl/asllvd/demos/verify_start_end_handshape_annotations//test_auto_move//signs_mov_separ_signers/Dana_16412.mov" TargetMode="External"/><Relationship Id="rId7709" Type="http://schemas.openxmlformats.org/officeDocument/2006/relationships/hyperlink" Target="http://secrets.rutgers.edu:8080/data/asl-ftp/asllvd/demos/verify_start_end_handshape_annotations//test_auto_move//signs_mov/16412.mov" TargetMode="External"/><Relationship Id="rId7710" Type="http://schemas.openxmlformats.org/officeDocument/2006/relationships/hyperlink" Target="http://secrets.rutgers.edu:8080/data/asl-ftp/asllvd/demos/verify_start_end_handshape_annotations//test_auto_move//signs_mov_separ_signers/Dana_16412.mov" TargetMode="External"/><Relationship Id="rId7711" Type="http://schemas.openxmlformats.org/officeDocument/2006/relationships/hyperlink" Target="http://csr.bu.edu/ftp/asl/asllvd/demos/verify_start_end_handshape_annotations//test_auto_move//signs_mov_separ_signers/Liz_827.mov" TargetMode="External"/><Relationship Id="rId7712" Type="http://schemas.openxmlformats.org/officeDocument/2006/relationships/hyperlink" Target="http://secrets.rutgers.edu:8080/data/asl-ftp/asllvd/demos/verify_start_end_handshape_annotations//test_auto_move//signs_mov_separ_signers/Liz_827.mov" TargetMode="External"/><Relationship Id="rId7713" Type="http://schemas.openxmlformats.org/officeDocument/2006/relationships/hyperlink" Target="http://csr.bu.edu/ftp/asl/asllvd/demos/verify_start_end_handshape_annotations//test_auto_move//signs_mov/827.mov" TargetMode="External"/><Relationship Id="rId7714" Type="http://schemas.openxmlformats.org/officeDocument/2006/relationships/hyperlink" Target="http://csr.bu.edu/ftp/asl/asllvd/demos/verify_start_end_handshape_annotations//test_auto_move//signs_mov_separ_signers/Naomi_827.mov" TargetMode="External"/><Relationship Id="rId7715" Type="http://schemas.openxmlformats.org/officeDocument/2006/relationships/hyperlink" Target="http://secrets.rutgers.edu:8080/data/asl-ftp/asllvd/demos/verify_start_end_handshape_annotations//test_auto_move//signs_mov/827.mov" TargetMode="External"/><Relationship Id="rId7716" Type="http://schemas.openxmlformats.org/officeDocument/2006/relationships/hyperlink" Target="http://secrets.rutgers.edu:8080/data/asl-ftp/asllvd/demos/verify_start_end_handshape_annotations//test_auto_move//signs_mov_separ_signers/Naomi_827.mov" TargetMode="External"/><Relationship Id="rId7717" Type="http://schemas.openxmlformats.org/officeDocument/2006/relationships/hyperlink" Target="http://csr.bu.edu/ftp/asl/asllvd/demos/verify_start_end_handshape_annotations//test_auto_move//signs_mov_separ_signers/Brady_827.mov" TargetMode="External"/><Relationship Id="rId7718" Type="http://schemas.openxmlformats.org/officeDocument/2006/relationships/hyperlink" Target="http://secrets.rutgers.edu:8080/data/asl-ftp/asllvd/demos/verify_start_end_handshape_annotations//test_auto_move//signs_mov_separ_signers/Brady_827.mov" TargetMode="External"/><Relationship Id="rId7719" Type="http://schemas.openxmlformats.org/officeDocument/2006/relationships/hyperlink" Target="http://csr.bu.edu/ftp/asl/asllvd/demos/verify_start_end_handshape_annotations//test_auto_move//signs_mov_separ_signers/Liz_837.mov" TargetMode="External"/><Relationship Id="rId7720" Type="http://schemas.openxmlformats.org/officeDocument/2006/relationships/hyperlink" Target="http://secrets.rutgers.edu:8080/data/asl-ftp/asllvd/demos/verify_start_end_handshape_annotations//test_auto_move//signs_mov_separ_signers/Liz_837.mov" TargetMode="External"/><Relationship Id="rId7721" Type="http://schemas.openxmlformats.org/officeDocument/2006/relationships/hyperlink" Target="http://csr.bu.edu/ftp/asl/asllvd/demos/verify_start_end_handshape_annotations//test_auto_move//signs_mov_separ_signers/Tyler_837.mov" TargetMode="External"/><Relationship Id="rId7722" Type="http://schemas.openxmlformats.org/officeDocument/2006/relationships/hyperlink" Target="http://secrets.rutgers.edu:8080/data/asl-ftp/asllvd/demos/verify_start_end_handshape_annotations//test_auto_move//signs_mov_separ_signers/Tyler_837.mov" TargetMode="External"/><Relationship Id="rId7723" Type="http://schemas.openxmlformats.org/officeDocument/2006/relationships/hyperlink" Target="http://csr.bu.edu/ftp/asl/asllvd/demos/verify_start_end_handshape_annotations//test_auto_move//signs_mov/837.mov" TargetMode="External"/><Relationship Id="rId7724" Type="http://schemas.openxmlformats.org/officeDocument/2006/relationships/hyperlink" Target="http://csr.bu.edu/ftp/asl/asllvd/demos/verify_start_end_handshape_annotations//test_auto_move//signs_mov_separ_signers/Naomi_837.mov" TargetMode="External"/><Relationship Id="rId7725" Type="http://schemas.openxmlformats.org/officeDocument/2006/relationships/hyperlink" Target="http://secrets.rutgers.edu:8080/data/asl-ftp/asllvd/demos/verify_start_end_handshape_annotations//test_auto_move//signs_mov/837.mov" TargetMode="External"/><Relationship Id="rId7726" Type="http://schemas.openxmlformats.org/officeDocument/2006/relationships/hyperlink" Target="http://secrets.rutgers.edu:8080/data/asl-ftp/asllvd/demos/verify_start_end_handshape_annotations//test_auto_move//signs_mov_separ_signers/Naomi_837.mov" TargetMode="External"/><Relationship Id="rId7727" Type="http://schemas.openxmlformats.org/officeDocument/2006/relationships/hyperlink" Target="http://csr.bu.edu/ftp/asl/asllvd/demos/verify_start_end_handshape_annotations//test_auto_move//signs_mov_separ_signers/Brady_837.mov" TargetMode="External"/><Relationship Id="rId7728" Type="http://schemas.openxmlformats.org/officeDocument/2006/relationships/hyperlink" Target="http://secrets.rutgers.edu:8080/data/asl-ftp/asllvd/demos/verify_start_end_handshape_annotations//test_auto_move//signs_mov_separ_signers/Brady_837.mov" TargetMode="External"/><Relationship Id="rId7729" Type="http://schemas.openxmlformats.org/officeDocument/2006/relationships/hyperlink" Target="http://csr.bu.edu/ftp/asl/asllvd/demos/verify_start_end_handshape_annotations//test_auto_move//signs_mov_separ_signers/Lana_837.mov" TargetMode="External"/><Relationship Id="rId7730" Type="http://schemas.openxmlformats.org/officeDocument/2006/relationships/hyperlink" Target="http://secrets.rutgers.edu:8080/data/asl-ftp/asllvd/demos/verify_start_end_handshape_annotations//test_auto_move//signs_mov_separ_signers/Lana_837.mov" TargetMode="External"/><Relationship Id="rId7731" Type="http://schemas.openxmlformats.org/officeDocument/2006/relationships/hyperlink" Target="http://csr.bu.edu/ftp/asl/asllvd/demos/verify_start_end_handshape_annotations//test_auto_move//signs_mov_separ_signers/Dana_837.mov" TargetMode="External"/><Relationship Id="rId7732" Type="http://schemas.openxmlformats.org/officeDocument/2006/relationships/hyperlink" Target="http://secrets.rutgers.edu:8080/data/asl-ftp/asllvd/demos/verify_start_end_handshape_annotations//test_auto_move//signs_mov_separ_signers/Dana_837.mov" TargetMode="External"/><Relationship Id="rId7733" Type="http://schemas.openxmlformats.org/officeDocument/2006/relationships/hyperlink" Target="http://csr.bu.edu/ftp/asl/asllvd/demos/verify_start_end_handshape_annotations//test_auto_move//signs_mov/15737.mov" TargetMode="External"/><Relationship Id="rId7734" Type="http://schemas.openxmlformats.org/officeDocument/2006/relationships/hyperlink" Target="http://csr.bu.edu/ftp/asl/asllvd/demos/verify_start_end_handshape_annotations//test_auto_move//signs_mov_separ_signers/Liz_15737.mov" TargetMode="External"/><Relationship Id="rId7735" Type="http://schemas.openxmlformats.org/officeDocument/2006/relationships/hyperlink" Target="http://secrets.rutgers.edu:8080/data/asl-ftp/asllvd/demos/verify_start_end_handshape_annotations//test_auto_move//signs_mov/15737.mov" TargetMode="External"/><Relationship Id="rId7736" Type="http://schemas.openxmlformats.org/officeDocument/2006/relationships/hyperlink" Target="http://secrets.rutgers.edu:8080/data/asl-ftp/asllvd/demos/verify_start_end_handshape_annotations//test_auto_move//signs_mov_separ_signers/Liz_15737.mov" TargetMode="External"/><Relationship Id="rId7737" Type="http://schemas.openxmlformats.org/officeDocument/2006/relationships/hyperlink" Target="http://csr.bu.edu/ftp/asl/asllvd/demos/verify_start_end_handshape_annotations//test_auto_move//signs_mov_separ_signers/Brady_15737.mov" TargetMode="External"/><Relationship Id="rId7738" Type="http://schemas.openxmlformats.org/officeDocument/2006/relationships/hyperlink" Target="http://secrets.rutgers.edu:8080/data/asl-ftp/asllvd/demos/verify_start_end_handshape_annotations//test_auto_move//signs_mov_separ_signers/Brady_15737.mov" TargetMode="External"/><Relationship Id="rId7739" Type="http://schemas.openxmlformats.org/officeDocument/2006/relationships/hyperlink" Target="http://csr.bu.edu/ftp/asl/asllvd/demos/verify_start_end_handshape_annotations//test_auto_move//signs_mov_separ_signers/Liz_15832.mov" TargetMode="External"/><Relationship Id="rId7740" Type="http://schemas.openxmlformats.org/officeDocument/2006/relationships/hyperlink" Target="http://secrets.rutgers.edu:8080/data/asl-ftp/asllvd/demos/verify_start_end_handshape_annotations//test_auto_move//signs_mov_separ_signers/Liz_15832.mov" TargetMode="External"/><Relationship Id="rId7741" Type="http://schemas.openxmlformats.org/officeDocument/2006/relationships/hyperlink" Target="http://csr.bu.edu/ftp/asl/asllvd/demos/verify_start_end_handshape_annotations//test_auto_move//signs_mov/15832.mov" TargetMode="External"/><Relationship Id="rId7742" Type="http://schemas.openxmlformats.org/officeDocument/2006/relationships/hyperlink" Target="http://csr.bu.edu/ftp/asl/asllvd/demos/verify_start_end_handshape_annotations//test_auto_move//signs_mov_separ_signers/Brady_15832.mov" TargetMode="External"/><Relationship Id="rId7743" Type="http://schemas.openxmlformats.org/officeDocument/2006/relationships/hyperlink" Target="http://secrets.rutgers.edu:8080/data/asl-ftp/asllvd/demos/verify_start_end_handshape_annotations//test_auto_move//signs_mov/15832.mov" TargetMode="External"/><Relationship Id="rId7744" Type="http://schemas.openxmlformats.org/officeDocument/2006/relationships/hyperlink" Target="http://secrets.rutgers.edu:8080/data/asl-ftp/asllvd/demos/verify_start_end_handshape_annotations//test_auto_move//signs_mov_separ_signers/Brady_15832.mov" TargetMode="External"/><Relationship Id="rId7745" Type="http://schemas.openxmlformats.org/officeDocument/2006/relationships/hyperlink" Target="http://csr.bu.edu/ftp/asl/asllvd/demos/verify_start_end_handshape_annotations//test_auto_move//signs_mov_separ_signers/Lana_15832.mov" TargetMode="External"/><Relationship Id="rId7746" Type="http://schemas.openxmlformats.org/officeDocument/2006/relationships/hyperlink" Target="http://secrets.rutgers.edu:8080/data/asl-ftp/asllvd/demos/verify_start_end_handshape_annotations//test_auto_move//signs_mov_separ_signers/Lana_15832.mov" TargetMode="External"/><Relationship Id="rId7747" Type="http://schemas.openxmlformats.org/officeDocument/2006/relationships/hyperlink" Target="http://csr.bu.edu/ftp/asl/asllvd/demos/verify_start_end_handshape_annotations//test_auto_move//signs_mov_separ_signers/Liz_842.mov" TargetMode="External"/><Relationship Id="rId7748" Type="http://schemas.openxmlformats.org/officeDocument/2006/relationships/hyperlink" Target="http://secrets.rutgers.edu:8080/data/asl-ftp/asllvd/demos/verify_start_end_handshape_annotations//test_auto_move//signs_mov_separ_signers/Liz_842.mov" TargetMode="External"/><Relationship Id="rId7749" Type="http://schemas.openxmlformats.org/officeDocument/2006/relationships/hyperlink" Target="http://csr.bu.edu/ftp/asl/asllvd/demos/verify_start_end_handshape_annotations//test_auto_move//signs_mov_separ_signers/Liz_3627.mov" TargetMode="External"/><Relationship Id="rId7750" Type="http://schemas.openxmlformats.org/officeDocument/2006/relationships/hyperlink" Target="http://secrets.rutgers.edu:8080/data/asl-ftp/asllvd/demos/verify_start_end_handshape_annotations//test_auto_move//signs_mov_separ_signers/Liz_3627.mov" TargetMode="External"/><Relationship Id="rId7751" Type="http://schemas.openxmlformats.org/officeDocument/2006/relationships/hyperlink" Target="http://csr.bu.edu/ftp/asl/asllvd/demos/verify_start_end_handshape_annotations//test_auto_move//signs_mov/842_3627_merged.mov" TargetMode="External"/><Relationship Id="rId7752" Type="http://schemas.openxmlformats.org/officeDocument/2006/relationships/hyperlink" Target="http://csr.bu.edu/ftp/asl/asllvd/demos/verify_start_end_handshape_annotations//test_auto_move//signs_mov_separ_signers/Tyler_842.mov" TargetMode="External"/><Relationship Id="rId7753" Type="http://schemas.openxmlformats.org/officeDocument/2006/relationships/hyperlink" Target="http://secrets.rutgers.edu:8080/data/asl-ftp/asllvd/demos/verify_start_end_handshape_annotations//test_auto_move//signs_mov/842_3627_merged.mov" TargetMode="External"/><Relationship Id="rId7754" Type="http://schemas.openxmlformats.org/officeDocument/2006/relationships/hyperlink" Target="http://secrets.rutgers.edu:8080/data/asl-ftp/asllvd/demos/verify_start_end_handshape_annotations//test_auto_move//signs_mov_separ_signers/Tyler_842.mov" TargetMode="External"/><Relationship Id="rId7755" Type="http://schemas.openxmlformats.org/officeDocument/2006/relationships/hyperlink" Target="http://csr.bu.edu/ftp/asl/asllvd/demos/verify_start_end_handshape_annotations//test_auto_move//signs_mov_separ_signers/Tyler_3627.mov" TargetMode="External"/><Relationship Id="rId7756" Type="http://schemas.openxmlformats.org/officeDocument/2006/relationships/hyperlink" Target="http://secrets.rutgers.edu:8080/data/asl-ftp/asllvd/demos/verify_start_end_handshape_annotations//test_auto_move//signs_mov_separ_signers/Tyler_3627.mov" TargetMode="External"/><Relationship Id="rId7757" Type="http://schemas.openxmlformats.org/officeDocument/2006/relationships/hyperlink" Target="http://csr.bu.edu/ftp/asl/asllvd/demos/verify_start_end_handshape_annotations//test_auto_move//signs_mov_separ_signers/Naomi_842.mov" TargetMode="External"/><Relationship Id="rId7758" Type="http://schemas.openxmlformats.org/officeDocument/2006/relationships/hyperlink" Target="http://secrets.rutgers.edu:8080/data/asl-ftp/asllvd/demos/verify_start_end_handshape_annotations//test_auto_move//signs_mov_separ_signers/Naomi_842.mov" TargetMode="External"/><Relationship Id="rId7759" Type="http://schemas.openxmlformats.org/officeDocument/2006/relationships/hyperlink" Target="http://csr.bu.edu/ftp/asl/asllvd/demos/verify_start_end_handshape_annotations//test_auto_move//signs_mov_separ_signers/Brady_842.mov" TargetMode="External"/><Relationship Id="rId7760" Type="http://schemas.openxmlformats.org/officeDocument/2006/relationships/hyperlink" Target="http://secrets.rutgers.edu:8080/data/asl-ftp/asllvd/demos/verify_start_end_handshape_annotations//test_auto_move//signs_mov_separ_signers/Brady_842.mov" TargetMode="External"/><Relationship Id="rId7761" Type="http://schemas.openxmlformats.org/officeDocument/2006/relationships/hyperlink" Target="http://csr.bu.edu/ftp/asl/asllvd/demos/verify_start_end_handshape_annotations//test_auto_move//signs_mov/3895.mov" TargetMode="External"/><Relationship Id="rId7762" Type="http://schemas.openxmlformats.org/officeDocument/2006/relationships/hyperlink" Target="http://csr.bu.edu/ftp/asl/asllvd/demos/verify_start_end_handshape_annotations//test_auto_move//signs_mov_separ_signers/Naomi_3895.mov" TargetMode="External"/><Relationship Id="rId7763" Type="http://schemas.openxmlformats.org/officeDocument/2006/relationships/hyperlink" Target="http://secrets.rutgers.edu:8080/data/asl-ftp/asllvd/demos/verify_start_end_handshape_annotations//test_auto_move//signs_mov/3895.mov" TargetMode="External"/><Relationship Id="rId7764" Type="http://schemas.openxmlformats.org/officeDocument/2006/relationships/hyperlink" Target="http://secrets.rutgers.edu:8080/data/asl-ftp/asllvd/demos/verify_start_end_handshape_annotations//test_auto_move//signs_mov_separ_signers/Naomi_3895.mov" TargetMode="External"/><Relationship Id="rId7765" Type="http://schemas.openxmlformats.org/officeDocument/2006/relationships/hyperlink" Target="http://csr.bu.edu/ftp/asl/asllvd/demos/verify_start_end_handshape_annotations//test_auto_move//signs_mov/15735.mov" TargetMode="External"/><Relationship Id="rId7766" Type="http://schemas.openxmlformats.org/officeDocument/2006/relationships/hyperlink" Target="http://csr.bu.edu/ftp/asl/asllvd/demos/verify_start_end_handshape_annotations//test_auto_move//signs_mov_separ_signers/Liz_15735.mov" TargetMode="External"/><Relationship Id="rId7767" Type="http://schemas.openxmlformats.org/officeDocument/2006/relationships/hyperlink" Target="http://secrets.rutgers.edu:8080/data/asl-ftp/asllvd/demos/verify_start_end_handshape_annotations//test_auto_move//signs_mov/15735.mov" TargetMode="External"/><Relationship Id="rId7768" Type="http://schemas.openxmlformats.org/officeDocument/2006/relationships/hyperlink" Target="http://secrets.rutgers.edu:8080/data/asl-ftp/asllvd/demos/verify_start_end_handshape_annotations//test_auto_move//signs_mov_separ_signers/Liz_15735.mov" TargetMode="External"/><Relationship Id="rId7769" Type="http://schemas.openxmlformats.org/officeDocument/2006/relationships/hyperlink" Target="http://csr.bu.edu/ftp/asl/asllvd/demos/verify_start_end_handshape_annotations//test_auto_move//signs_mov/15742.mov" TargetMode="External"/><Relationship Id="rId7770" Type="http://schemas.openxmlformats.org/officeDocument/2006/relationships/hyperlink" Target="http://csr.bu.edu/ftp/asl/asllvd/demos/verify_start_end_handshape_annotations//test_auto_move//signs_mov_separ_signers/Liz_15742.mov" TargetMode="External"/><Relationship Id="rId7771" Type="http://schemas.openxmlformats.org/officeDocument/2006/relationships/hyperlink" Target="http://secrets.rutgers.edu:8080/data/asl-ftp/asllvd/demos/verify_start_end_handshape_annotations//test_auto_move//signs_mov/15742.mov" TargetMode="External"/><Relationship Id="rId7772" Type="http://schemas.openxmlformats.org/officeDocument/2006/relationships/hyperlink" Target="http://secrets.rutgers.edu:8080/data/asl-ftp/asllvd/demos/verify_start_end_handshape_annotations//test_auto_move//signs_mov_separ_signers/Liz_15742.mov" TargetMode="External"/><Relationship Id="rId7773" Type="http://schemas.openxmlformats.org/officeDocument/2006/relationships/hyperlink" Target="http://csr.bu.edu/ftp/asl/asllvd/demos/verify_start_end_handshape_annotations//test_auto_move//signs_mov_separ_signers/Brady_15742.mov" TargetMode="External"/><Relationship Id="rId7774" Type="http://schemas.openxmlformats.org/officeDocument/2006/relationships/hyperlink" Target="http://secrets.rutgers.edu:8080/data/asl-ftp/asllvd/demos/verify_start_end_handshape_annotations//test_auto_move//signs_mov_separ_signers/Brady_15742.mov" TargetMode="External"/><Relationship Id="rId7775" Type="http://schemas.openxmlformats.org/officeDocument/2006/relationships/hyperlink" Target="http://csr.bu.edu/ftp/asl/asllvd/demos/verify_start_end_handshape_annotations//test_auto_move//signs_mov/16343.mov" TargetMode="External"/><Relationship Id="rId7776" Type="http://schemas.openxmlformats.org/officeDocument/2006/relationships/hyperlink" Target="http://csr.bu.edu/ftp/asl/asllvd/demos/verify_start_end_handshape_annotations//test_auto_move//signs_mov_separ_signers/Liz_16343.mov" TargetMode="External"/><Relationship Id="rId7777" Type="http://schemas.openxmlformats.org/officeDocument/2006/relationships/hyperlink" Target="http://secrets.rutgers.edu:8080/data/asl-ftp/asllvd/demos/verify_start_end_handshape_annotations//test_auto_move//signs_mov/16343.mov" TargetMode="External"/><Relationship Id="rId7778" Type="http://schemas.openxmlformats.org/officeDocument/2006/relationships/hyperlink" Target="http://secrets.rutgers.edu:8080/data/asl-ftp/asllvd/demos/verify_start_end_handshape_annotations//test_auto_move//signs_mov_separ_signers/Liz_16343.mov" TargetMode="External"/><Relationship Id="rId7779" Type="http://schemas.openxmlformats.org/officeDocument/2006/relationships/hyperlink" Target="http://csr.bu.edu/ftp/asl/asllvd/demos/verify_start_end_handshape_annotations//test_auto_move//signs_mov_separ_signers/Liz_852.mov" TargetMode="External"/><Relationship Id="rId7780" Type="http://schemas.openxmlformats.org/officeDocument/2006/relationships/hyperlink" Target="http://secrets.rutgers.edu:8080/data/asl-ftp/asllvd/demos/verify_start_end_handshape_annotations//test_auto_move//signs_mov_separ_signers/Liz_852.mov" TargetMode="External"/><Relationship Id="rId7781" Type="http://schemas.openxmlformats.org/officeDocument/2006/relationships/hyperlink" Target="http://csr.bu.edu/ftp/asl/asllvd/demos/verify_start_end_handshape_annotations//test_auto_move//signs_mov_separ_signers/Liz_15076.mov" TargetMode="External"/><Relationship Id="rId7782" Type="http://schemas.openxmlformats.org/officeDocument/2006/relationships/hyperlink" Target="http://secrets.rutgers.edu:8080/data/asl-ftp/asllvd/demos/verify_start_end_handshape_annotations//test_auto_move//signs_mov_separ_signers/Liz_15076.mov" TargetMode="External"/><Relationship Id="rId7783" Type="http://schemas.openxmlformats.org/officeDocument/2006/relationships/hyperlink" Target="http://csr.bu.edu/ftp/asl/asllvd/demos/verify_start_end_handshape_annotations//test_auto_move//signs_mov_separ_signers/Tyler_852.mov" TargetMode="External"/><Relationship Id="rId7784" Type="http://schemas.openxmlformats.org/officeDocument/2006/relationships/hyperlink" Target="http://secrets.rutgers.edu:8080/data/asl-ftp/asllvd/demos/verify_start_end_handshape_annotations//test_auto_move//signs_mov_separ_signers/Tyler_852.mov" TargetMode="External"/><Relationship Id="rId7785" Type="http://schemas.openxmlformats.org/officeDocument/2006/relationships/hyperlink" Target="http://csr.bu.edu/ftp/asl/asllvd/demos/verify_start_end_handshape_annotations//test_auto_move//signs_mov/852_15076_merged.mov" TargetMode="External"/><Relationship Id="rId7786" Type="http://schemas.openxmlformats.org/officeDocument/2006/relationships/hyperlink" Target="http://csr.bu.edu/ftp/asl/asllvd/demos/verify_start_end_handshape_annotations//test_auto_move//signs_mov_separ_signers/Naomi_852.mov" TargetMode="External"/><Relationship Id="rId7787" Type="http://schemas.openxmlformats.org/officeDocument/2006/relationships/hyperlink" Target="http://secrets.rutgers.edu:8080/data/asl-ftp/asllvd/demos/verify_start_end_handshape_annotations//test_auto_move//signs_mov/852_15076_merged.mov" TargetMode="External"/><Relationship Id="rId7788" Type="http://schemas.openxmlformats.org/officeDocument/2006/relationships/hyperlink" Target="http://secrets.rutgers.edu:8080/data/asl-ftp/asllvd/demos/verify_start_end_handshape_annotations//test_auto_move//signs_mov_separ_signers/Naomi_852.mov" TargetMode="External"/><Relationship Id="rId7789" Type="http://schemas.openxmlformats.org/officeDocument/2006/relationships/hyperlink" Target="http://csr.bu.edu/ftp/asl/asllvd/demos/verify_start_end_handshape_annotations//test_auto_move//signs_mov_separ_signers/Brady_852.mov" TargetMode="External"/><Relationship Id="rId7790" Type="http://schemas.openxmlformats.org/officeDocument/2006/relationships/hyperlink" Target="http://secrets.rutgers.edu:8080/data/asl-ftp/asllvd/demos/verify_start_end_handshape_annotations//test_auto_move//signs_mov_separ_signers/Brady_852.mov" TargetMode="External"/><Relationship Id="rId7791" Type="http://schemas.openxmlformats.org/officeDocument/2006/relationships/hyperlink" Target="http://csr.bu.edu/ftp/asl/asllvd/demos/verify_start_end_handshape_annotations//test_auto_move//signs_mov_separ_signers/Brady_15076.mov" TargetMode="External"/><Relationship Id="rId7792" Type="http://schemas.openxmlformats.org/officeDocument/2006/relationships/hyperlink" Target="http://secrets.rutgers.edu:8080/data/asl-ftp/asllvd/demos/verify_start_end_handshape_annotations//test_auto_move//signs_mov_separ_signers/Brady_15076.mov" TargetMode="External"/><Relationship Id="rId7793" Type="http://schemas.openxmlformats.org/officeDocument/2006/relationships/hyperlink" Target="http://csr.bu.edu/ftp/asl/asllvd/demos/verify_start_end_handshape_annotations//test_auto_move//signs_mov_separ_signers/Lana_852.mov" TargetMode="External"/><Relationship Id="rId7794" Type="http://schemas.openxmlformats.org/officeDocument/2006/relationships/hyperlink" Target="http://secrets.rutgers.edu:8080/data/asl-ftp/asllvd/demos/verify_start_end_handshape_annotations//test_auto_move//signs_mov_separ_signers/Lana_852.mov" TargetMode="External"/><Relationship Id="rId7795" Type="http://schemas.openxmlformats.org/officeDocument/2006/relationships/hyperlink" Target="http://csr.bu.edu/ftp/asl/asllvd/demos/verify_start_end_handshape_annotations//test_auto_move//signs_mov_separ_signers/Liz_15088.mov" TargetMode="External"/><Relationship Id="rId7796" Type="http://schemas.openxmlformats.org/officeDocument/2006/relationships/hyperlink" Target="http://secrets.rutgers.edu:8080/data/asl-ftp/asllvd/demos/verify_start_end_handshape_annotations//test_auto_move//signs_mov_separ_signers/Liz_15088.mov" TargetMode="External"/><Relationship Id="rId7797" Type="http://schemas.openxmlformats.org/officeDocument/2006/relationships/hyperlink" Target="http://csr.bu.edu/ftp/asl/asllvd/demos/verify_start_end_handshape_annotations//test_auto_move//signs_mov/15088.mov" TargetMode="External"/><Relationship Id="rId7798" Type="http://schemas.openxmlformats.org/officeDocument/2006/relationships/hyperlink" Target="http://csr.bu.edu/ftp/asl/asllvd/demos/verify_start_end_handshape_annotations//test_auto_move//signs_mov_separ_signers/Naomi_15088.mov" TargetMode="External"/><Relationship Id="rId7799" Type="http://schemas.openxmlformats.org/officeDocument/2006/relationships/hyperlink" Target="http://secrets.rutgers.edu:8080/data/asl-ftp/asllvd/demos/verify_start_end_handshape_annotations//test_auto_move//signs_mov/15088.mov" TargetMode="External"/><Relationship Id="rId7800" Type="http://schemas.openxmlformats.org/officeDocument/2006/relationships/hyperlink" Target="http://secrets.rutgers.edu:8080/data/asl-ftp/asllvd/demos/verify_start_end_handshape_annotations//test_auto_move//signs_mov_separ_signers/Naomi_15088.mov" TargetMode="External"/><Relationship Id="rId7801" Type="http://schemas.openxmlformats.org/officeDocument/2006/relationships/hyperlink" Target="http://csr.bu.edu/ftp/asl/asllvd/demos/verify_start_end_handshape_annotations//test_auto_move//signs_mov_separ_signers/Brady_15088.mov" TargetMode="External"/><Relationship Id="rId7802" Type="http://schemas.openxmlformats.org/officeDocument/2006/relationships/hyperlink" Target="http://secrets.rutgers.edu:8080/data/asl-ftp/asllvd/demos/verify_start_end_handshape_annotations//test_auto_move//signs_mov_separ_signers/Brady_15088.mov" TargetMode="External"/><Relationship Id="rId7803" Type="http://schemas.openxmlformats.org/officeDocument/2006/relationships/hyperlink" Target="http://csr.bu.edu/ftp/asl/asllvd/demos/verify_start_end_handshape_annotations//test_auto_move//signs_mov_separ_signers/Dana_15088.mov" TargetMode="External"/><Relationship Id="rId7804" Type="http://schemas.openxmlformats.org/officeDocument/2006/relationships/hyperlink" Target="http://secrets.rutgers.edu:8080/data/asl-ftp/asllvd/demos/verify_start_end_handshape_annotations//test_auto_move//signs_mov_separ_signers/Dana_15088.mov" TargetMode="External"/><Relationship Id="rId7805" Type="http://schemas.openxmlformats.org/officeDocument/2006/relationships/hyperlink" Target="http://csr.bu.edu/ftp/asl/asllvd/demos/verify_start_end_handshape_annotations//test_auto_move//signs_mov_separ_signers/Liz_853.mov" TargetMode="External"/><Relationship Id="rId7806" Type="http://schemas.openxmlformats.org/officeDocument/2006/relationships/hyperlink" Target="http://secrets.rutgers.edu:8080/data/asl-ftp/asllvd/demos/verify_start_end_handshape_annotations//test_auto_move//signs_mov_separ_signers/Liz_853.mov" TargetMode="External"/><Relationship Id="rId7807" Type="http://schemas.openxmlformats.org/officeDocument/2006/relationships/hyperlink" Target="http://csr.bu.edu/ftp/asl/asllvd/demos/verify_start_end_handshape_annotations//test_auto_move//signs_mov/853.mov" TargetMode="External"/><Relationship Id="rId7808" Type="http://schemas.openxmlformats.org/officeDocument/2006/relationships/hyperlink" Target="http://csr.bu.edu/ftp/asl/asllvd/demos/verify_start_end_handshape_annotations//test_auto_move//signs_mov_separ_signers/Tyler_853.mov" TargetMode="External"/><Relationship Id="rId7809" Type="http://schemas.openxmlformats.org/officeDocument/2006/relationships/hyperlink" Target="http://secrets.rutgers.edu:8080/data/asl-ftp/asllvd/demos/verify_start_end_handshape_annotations//test_auto_move//signs_mov/853.mov" TargetMode="External"/><Relationship Id="rId7810" Type="http://schemas.openxmlformats.org/officeDocument/2006/relationships/hyperlink" Target="http://secrets.rutgers.edu:8080/data/asl-ftp/asllvd/demos/verify_start_end_handshape_annotations//test_auto_move//signs_mov_separ_signers/Tyler_853.mov" TargetMode="External"/><Relationship Id="rId7811" Type="http://schemas.openxmlformats.org/officeDocument/2006/relationships/hyperlink" Target="http://csr.bu.edu/ftp/asl/asllvd/demos/verify_start_end_handshape_annotations//test_auto_move//signs_mov_separ_signers/Naomi_853.mov" TargetMode="External"/><Relationship Id="rId7812" Type="http://schemas.openxmlformats.org/officeDocument/2006/relationships/hyperlink" Target="http://secrets.rutgers.edu:8080/data/asl-ftp/asllvd/demos/verify_start_end_handshape_annotations//test_auto_move//signs_mov_separ_signers/Naomi_853.mov" TargetMode="External"/><Relationship Id="rId7813" Type="http://schemas.openxmlformats.org/officeDocument/2006/relationships/hyperlink" Target="http://csr.bu.edu/ftp/asl/asllvd/demos/verify_start_end_handshape_annotations//test_auto_move//signs_mov_separ_signers/Brady_853.mov" TargetMode="External"/><Relationship Id="rId7814" Type="http://schemas.openxmlformats.org/officeDocument/2006/relationships/hyperlink" Target="http://secrets.rutgers.edu:8080/data/asl-ftp/asllvd/demos/verify_start_end_handshape_annotations//test_auto_move//signs_mov_separ_signers/Brady_853.mov" TargetMode="External"/><Relationship Id="rId7815" Type="http://schemas.openxmlformats.org/officeDocument/2006/relationships/hyperlink" Target="http://csr.bu.edu/ftp/asl/asllvd/demos/verify_start_end_handshape_annotations//test_auto_move//signs_mov_separ_signers/Liz_855.mov" TargetMode="External"/><Relationship Id="rId7816" Type="http://schemas.openxmlformats.org/officeDocument/2006/relationships/hyperlink" Target="http://secrets.rutgers.edu:8080/data/asl-ftp/asllvd/demos/verify_start_end_handshape_annotations//test_auto_move//signs_mov_separ_signers/Liz_855.mov" TargetMode="External"/><Relationship Id="rId7817" Type="http://schemas.openxmlformats.org/officeDocument/2006/relationships/hyperlink" Target="http://csr.bu.edu/ftp/asl/asllvd/demos/verify_start_end_handshape_annotations//test_auto_move//signs_mov_separ_signers/Tyler_855.mov" TargetMode="External"/><Relationship Id="rId7818" Type="http://schemas.openxmlformats.org/officeDocument/2006/relationships/hyperlink" Target="http://secrets.rutgers.edu:8080/data/asl-ftp/asllvd/demos/verify_start_end_handshape_annotations//test_auto_move//signs_mov_separ_signers/Tyler_855.mov" TargetMode="External"/><Relationship Id="rId7819" Type="http://schemas.openxmlformats.org/officeDocument/2006/relationships/hyperlink" Target="http://csr.bu.edu/ftp/asl/asllvd/demos/verify_start_end_handshape_annotations//test_auto_move//signs_mov/855.mov" TargetMode="External"/><Relationship Id="rId7820" Type="http://schemas.openxmlformats.org/officeDocument/2006/relationships/hyperlink" Target="http://csr.bu.edu/ftp/asl/asllvd/demos/verify_start_end_handshape_annotations//test_auto_move//signs_mov_separ_signers/Naomi_855.mov" TargetMode="External"/><Relationship Id="rId7821" Type="http://schemas.openxmlformats.org/officeDocument/2006/relationships/hyperlink" Target="http://secrets.rutgers.edu:8080/data/asl-ftp/asllvd/demos/verify_start_end_handshape_annotations//test_auto_move//signs_mov/855.mov" TargetMode="External"/><Relationship Id="rId7822" Type="http://schemas.openxmlformats.org/officeDocument/2006/relationships/hyperlink" Target="http://secrets.rutgers.edu:8080/data/asl-ftp/asllvd/demos/verify_start_end_handshape_annotations//test_auto_move//signs_mov_separ_signers/Naomi_855.mov" TargetMode="External"/><Relationship Id="rId7823" Type="http://schemas.openxmlformats.org/officeDocument/2006/relationships/hyperlink" Target="http://csr.bu.edu/ftp/asl/asllvd/demos/verify_start_end_handshape_annotations//test_auto_move//signs_mov_separ_signers/Brady_855.mov" TargetMode="External"/><Relationship Id="rId7824" Type="http://schemas.openxmlformats.org/officeDocument/2006/relationships/hyperlink" Target="http://secrets.rutgers.edu:8080/data/asl-ftp/asllvd/demos/verify_start_end_handshape_annotations//test_auto_move//signs_mov_separ_signers/Brady_855.mov" TargetMode="External"/><Relationship Id="rId7825" Type="http://schemas.openxmlformats.org/officeDocument/2006/relationships/hyperlink" Target="http://csr.bu.edu/ftp/asl/asllvd/demos/verify_start_end_handshape_annotations//test_auto_move//signs_mov_separ_signers/Lana_855.mov" TargetMode="External"/><Relationship Id="rId7826" Type="http://schemas.openxmlformats.org/officeDocument/2006/relationships/hyperlink" Target="http://secrets.rutgers.edu:8080/data/asl-ftp/asllvd/demos/verify_start_end_handshape_annotations//test_auto_move//signs_mov_separ_signers/Lana_855.mov" TargetMode="External"/><Relationship Id="rId7827" Type="http://schemas.openxmlformats.org/officeDocument/2006/relationships/hyperlink" Target="http://csr.bu.edu/ftp/asl/asllvd/demos/verify_start_end_handshape_annotations//test_auto_move//signs_mov_separ_signers/Dana_855.mov" TargetMode="External"/><Relationship Id="rId7828" Type="http://schemas.openxmlformats.org/officeDocument/2006/relationships/hyperlink" Target="http://secrets.rutgers.edu:8080/data/asl-ftp/asllvd/demos/verify_start_end_handshape_annotations//test_auto_move//signs_mov_separ_signers/Dana_855.mov" TargetMode="External"/><Relationship Id="rId7829" Type="http://schemas.openxmlformats.org/officeDocument/2006/relationships/hyperlink" Target="http://csr.bu.edu/ftp/asl/asllvd/demos/verify_start_end_handshape_annotations//test_auto_move//signs_mov_separ_signers/Liz_15661.mov" TargetMode="External"/><Relationship Id="rId7830" Type="http://schemas.openxmlformats.org/officeDocument/2006/relationships/hyperlink" Target="http://secrets.rutgers.edu:8080/data/asl-ftp/asllvd/demos/verify_start_end_handshape_annotations//test_auto_move//signs_mov_separ_signers/Liz_15661.mov" TargetMode="External"/><Relationship Id="rId7831" Type="http://schemas.openxmlformats.org/officeDocument/2006/relationships/hyperlink" Target="http://csr.bu.edu/ftp/asl/asllvd/demos/verify_start_end_handshape_annotations//test_auto_move//signs_mov/15661.mov" TargetMode="External"/><Relationship Id="rId7832" Type="http://schemas.openxmlformats.org/officeDocument/2006/relationships/hyperlink" Target="http://csr.bu.edu/ftp/asl/asllvd/demos/verify_start_end_handshape_annotations//test_auto_move//signs_mov_separ_signers/Brady_15661.mov" TargetMode="External"/><Relationship Id="rId7833" Type="http://schemas.openxmlformats.org/officeDocument/2006/relationships/hyperlink" Target="http://secrets.rutgers.edu:8080/data/asl-ftp/asllvd/demos/verify_start_end_handshape_annotations//test_auto_move//signs_mov/15661.mov" TargetMode="External"/><Relationship Id="rId7834" Type="http://schemas.openxmlformats.org/officeDocument/2006/relationships/hyperlink" Target="http://secrets.rutgers.edu:8080/data/asl-ftp/asllvd/demos/verify_start_end_handshape_annotations//test_auto_move//signs_mov_separ_signers/Brady_15661.mov" TargetMode="External"/><Relationship Id="rId7835" Type="http://schemas.openxmlformats.org/officeDocument/2006/relationships/hyperlink" Target="http://csr.bu.edu/ftp/asl/asllvd/demos/verify_start_end_handshape_annotations//test_auto_move//signs_mov_separ_signers/Lana_15661.mov" TargetMode="External"/><Relationship Id="rId7836" Type="http://schemas.openxmlformats.org/officeDocument/2006/relationships/hyperlink" Target="http://secrets.rutgers.edu:8080/data/asl-ftp/asllvd/demos/verify_start_end_handshape_annotations//test_auto_move//signs_mov_separ_signers/Lana_15661.mov" TargetMode="External"/><Relationship Id="rId7837" Type="http://schemas.openxmlformats.org/officeDocument/2006/relationships/hyperlink" Target="http://csr.bu.edu/ftp/asl/asllvd/demos/verify_start_end_handshape_annotations//test_auto_move//signs_mov_separ_signers/Dana_15661.mov" TargetMode="External"/><Relationship Id="rId7838" Type="http://schemas.openxmlformats.org/officeDocument/2006/relationships/hyperlink" Target="http://secrets.rutgers.edu:8080/data/asl-ftp/asllvd/demos/verify_start_end_handshape_annotations//test_auto_move//signs_mov_separ_signers/Dana_15661.mov" TargetMode="External"/><Relationship Id="rId7839" Type="http://schemas.openxmlformats.org/officeDocument/2006/relationships/hyperlink" Target="http://csr.bu.edu/ftp/asl/asllvd/demos/verify_start_end_handshape_annotations//test_auto_move//signs_mov_separ_signers/Liz_856.mov" TargetMode="External"/><Relationship Id="rId7840" Type="http://schemas.openxmlformats.org/officeDocument/2006/relationships/hyperlink" Target="http://secrets.rutgers.edu:8080/data/asl-ftp/asllvd/demos/verify_start_end_handshape_annotations//test_auto_move//signs_mov_separ_signers/Liz_856.mov" TargetMode="External"/><Relationship Id="rId7841" Type="http://schemas.openxmlformats.org/officeDocument/2006/relationships/hyperlink" Target="http://csr.bu.edu/ftp/asl/asllvd/demos/verify_start_end_handshape_annotations//test_auto_move//signs_mov_separ_signers/Tyler_856.mov" TargetMode="External"/><Relationship Id="rId7842" Type="http://schemas.openxmlformats.org/officeDocument/2006/relationships/hyperlink" Target="http://secrets.rutgers.edu:8080/data/asl-ftp/asllvd/demos/verify_start_end_handshape_annotations//test_auto_move//signs_mov_separ_signers/Tyler_856.mov" TargetMode="External"/><Relationship Id="rId7843" Type="http://schemas.openxmlformats.org/officeDocument/2006/relationships/hyperlink" Target="http://csr.bu.edu/ftp/asl/asllvd/demos/verify_start_end_handshape_annotations//test_auto_move//signs_mov/856_3521_merged.mov" TargetMode="External"/><Relationship Id="rId7844" Type="http://schemas.openxmlformats.org/officeDocument/2006/relationships/hyperlink" Target="http://csr.bu.edu/ftp/asl/asllvd/demos/verify_start_end_handshape_annotations//test_auto_move//signs_mov_separ_signers/Tyler_3521.mov" TargetMode="External"/><Relationship Id="rId7845" Type="http://schemas.openxmlformats.org/officeDocument/2006/relationships/hyperlink" Target="http://secrets.rutgers.edu:8080/data/asl-ftp/asllvd/demos/verify_start_end_handshape_annotations//test_auto_move//signs_mov/856_3521_merged.mov" TargetMode="External"/><Relationship Id="rId7846" Type="http://schemas.openxmlformats.org/officeDocument/2006/relationships/hyperlink" Target="http://secrets.rutgers.edu:8080/data/asl-ftp/asllvd/demos/verify_start_end_handshape_annotations//test_auto_move//signs_mov_separ_signers/Tyler_3521.mov" TargetMode="External"/><Relationship Id="rId7847" Type="http://schemas.openxmlformats.org/officeDocument/2006/relationships/hyperlink" Target="http://csr.bu.edu/ftp/asl/asllvd/demos/verify_start_end_handshape_annotations//test_auto_move//signs_mov_separ_signers/Naomi_856.mov" TargetMode="External"/><Relationship Id="rId7848" Type="http://schemas.openxmlformats.org/officeDocument/2006/relationships/hyperlink" Target="http://secrets.rutgers.edu:8080/data/asl-ftp/asllvd/demos/verify_start_end_handshape_annotations//test_auto_move//signs_mov_separ_signers/Naomi_856.mov" TargetMode="External"/><Relationship Id="rId7849" Type="http://schemas.openxmlformats.org/officeDocument/2006/relationships/hyperlink" Target="http://csr.bu.edu/ftp/asl/asllvd/demos/verify_start_end_handshape_annotations//test_auto_move//signs_mov_separ_signers/Brady_856.mov" TargetMode="External"/><Relationship Id="rId7850" Type="http://schemas.openxmlformats.org/officeDocument/2006/relationships/hyperlink" Target="http://secrets.rutgers.edu:8080/data/asl-ftp/asllvd/demos/verify_start_end_handshape_annotations//test_auto_move//signs_mov_separ_signers/Brady_856.mov" TargetMode="External"/><Relationship Id="rId7851" Type="http://schemas.openxmlformats.org/officeDocument/2006/relationships/hyperlink" Target="http://csr.bu.edu/ftp/asl/asllvd/demos/verify_start_end_handshape_annotations//test_auto_move//signs_mov_separ_signers/Liz_15471.mov" TargetMode="External"/><Relationship Id="rId7852" Type="http://schemas.openxmlformats.org/officeDocument/2006/relationships/hyperlink" Target="http://secrets.rutgers.edu:8080/data/asl-ftp/asllvd/demos/verify_start_end_handshape_annotations//test_auto_move//signs_mov_separ_signers/Liz_15471.mov" TargetMode="External"/><Relationship Id="rId7853" Type="http://schemas.openxmlformats.org/officeDocument/2006/relationships/hyperlink" Target="http://csr.bu.edu/ftp/asl/asllvd/demos/verify_start_end_handshape_annotations//test_auto_move//signs_mov/15471.mov" TargetMode="External"/><Relationship Id="rId7854" Type="http://schemas.openxmlformats.org/officeDocument/2006/relationships/hyperlink" Target="http://csr.bu.edu/ftp/asl/asllvd/demos/verify_start_end_handshape_annotations//test_auto_move//signs_mov_separ_signers/Naomi_15471.mov" TargetMode="External"/><Relationship Id="rId7855" Type="http://schemas.openxmlformats.org/officeDocument/2006/relationships/hyperlink" Target="http://secrets.rutgers.edu:8080/data/asl-ftp/asllvd/demos/verify_start_end_handshape_annotations//test_auto_move//signs_mov/15471.mov" TargetMode="External"/><Relationship Id="rId7856" Type="http://schemas.openxmlformats.org/officeDocument/2006/relationships/hyperlink" Target="http://secrets.rutgers.edu:8080/data/asl-ftp/asllvd/demos/verify_start_end_handshape_annotations//test_auto_move//signs_mov_separ_signers/Naomi_15471.mov" TargetMode="External"/><Relationship Id="rId7857" Type="http://schemas.openxmlformats.org/officeDocument/2006/relationships/hyperlink" Target="http://csr.bu.edu/ftp/asl/asllvd/demos/verify_start_end_handshape_annotations//test_auto_move//signs_mov_separ_signers/Brady_15471.mov" TargetMode="External"/><Relationship Id="rId7858" Type="http://schemas.openxmlformats.org/officeDocument/2006/relationships/hyperlink" Target="http://secrets.rutgers.edu:8080/data/asl-ftp/asllvd/demos/verify_start_end_handshape_annotations//test_auto_move//signs_mov_separ_signers/Brady_15471.mov" TargetMode="External"/><Relationship Id="rId7859" Type="http://schemas.openxmlformats.org/officeDocument/2006/relationships/hyperlink" Target="http://csr.bu.edu/ftp/asl/asllvd/demos/verify_start_end_handshape_annotations//test_auto_move//signs_mov_separ_signers/Liz_859.mov" TargetMode="External"/><Relationship Id="rId7860" Type="http://schemas.openxmlformats.org/officeDocument/2006/relationships/hyperlink" Target="http://secrets.rutgers.edu:8080/data/asl-ftp/asllvd/demos/verify_start_end_handshape_annotations//test_auto_move//signs_mov_separ_signers/Liz_859.mov" TargetMode="External"/><Relationship Id="rId7861" Type="http://schemas.openxmlformats.org/officeDocument/2006/relationships/hyperlink" Target="http://csr.bu.edu/ftp/asl/asllvd/demos/verify_start_end_handshape_annotations//test_auto_move//signs_mov/859.mov" TargetMode="External"/><Relationship Id="rId7862" Type="http://schemas.openxmlformats.org/officeDocument/2006/relationships/hyperlink" Target="http://csr.bu.edu/ftp/asl/asllvd/demos/verify_start_end_handshape_annotations//test_auto_move//signs_mov_separ_signers/Tyler_859.mov" TargetMode="External"/><Relationship Id="rId7863" Type="http://schemas.openxmlformats.org/officeDocument/2006/relationships/hyperlink" Target="http://secrets.rutgers.edu:8080/data/asl-ftp/asllvd/demos/verify_start_end_handshape_annotations//test_auto_move//signs_mov/859.mov" TargetMode="External"/><Relationship Id="rId7864" Type="http://schemas.openxmlformats.org/officeDocument/2006/relationships/hyperlink" Target="http://secrets.rutgers.edu:8080/data/asl-ftp/asllvd/demos/verify_start_end_handshape_annotations//test_auto_move//signs_mov_separ_signers/Tyler_859.mov" TargetMode="External"/><Relationship Id="rId7865" Type="http://schemas.openxmlformats.org/officeDocument/2006/relationships/hyperlink" Target="http://csr.bu.edu/ftp/asl/asllvd/demos/verify_start_end_handshape_annotations//test_auto_move//signs_mov_separ_signers/Naomi_859.mov" TargetMode="External"/><Relationship Id="rId7866" Type="http://schemas.openxmlformats.org/officeDocument/2006/relationships/hyperlink" Target="http://secrets.rutgers.edu:8080/data/asl-ftp/asllvd/demos/verify_start_end_handshape_annotations//test_auto_move//signs_mov_separ_signers/Naomi_859.mov" TargetMode="External"/><Relationship Id="rId7867" Type="http://schemas.openxmlformats.org/officeDocument/2006/relationships/hyperlink" Target="http://csr.bu.edu/ftp/asl/asllvd/demos/verify_start_end_handshape_annotations//test_auto_move//signs_mov_separ_signers/Brady_859.mov" TargetMode="External"/><Relationship Id="rId7868" Type="http://schemas.openxmlformats.org/officeDocument/2006/relationships/hyperlink" Target="http://secrets.rutgers.edu:8080/data/asl-ftp/asllvd/demos/verify_start_end_handshape_annotations//test_auto_move//signs_mov_separ_signers/Brady_859.mov" TargetMode="External"/><Relationship Id="rId7869" Type="http://schemas.openxmlformats.org/officeDocument/2006/relationships/hyperlink" Target="http://csr.bu.edu/ftp/asl/asllvd/demos/verify_start_end_handshape_annotations//test_auto_move//signs_mov_separ_signers/Liz_3718.mov" TargetMode="External"/><Relationship Id="rId7870" Type="http://schemas.openxmlformats.org/officeDocument/2006/relationships/hyperlink" Target="http://secrets.rutgers.edu:8080/data/asl-ftp/asllvd/demos/verify_start_end_handshape_annotations//test_auto_move//signs_mov_separ_signers/Liz_3718.mov" TargetMode="External"/><Relationship Id="rId7871" Type="http://schemas.openxmlformats.org/officeDocument/2006/relationships/hyperlink" Target="http://csr.bu.edu/ftp/asl/asllvd/demos/verify_start_end_handshape_annotations//test_auto_move//signs_mov/3718_5918_merged.mov" TargetMode="External"/><Relationship Id="rId7872" Type="http://schemas.openxmlformats.org/officeDocument/2006/relationships/hyperlink" Target="http://csr.bu.edu/ftp/asl/asllvd/demos/verify_start_end_handshape_annotations//test_auto_move//signs_mov_separ_signers/Brady_3718.mov" TargetMode="External"/><Relationship Id="rId7873" Type="http://schemas.openxmlformats.org/officeDocument/2006/relationships/hyperlink" Target="http://secrets.rutgers.edu:8080/data/asl-ftp/asllvd/demos/verify_start_end_handshape_annotations//test_auto_move//signs_mov/3718_5918_merged.mov" TargetMode="External"/><Relationship Id="rId7874" Type="http://schemas.openxmlformats.org/officeDocument/2006/relationships/hyperlink" Target="http://secrets.rutgers.edu:8080/data/asl-ftp/asllvd/demos/verify_start_end_handshape_annotations//test_auto_move//signs_mov_separ_signers/Brady_3718.mov" TargetMode="External"/><Relationship Id="rId7875" Type="http://schemas.openxmlformats.org/officeDocument/2006/relationships/hyperlink" Target="http://csr.bu.edu/ftp/asl/asllvd/demos/verify_start_end_handshape_annotations//test_auto_move//signs_mov_separ_signers/Brady_5918.mov" TargetMode="External"/><Relationship Id="rId7876" Type="http://schemas.openxmlformats.org/officeDocument/2006/relationships/hyperlink" Target="http://secrets.rutgers.edu:8080/data/asl-ftp/asllvd/demos/verify_start_end_handshape_annotations//test_auto_move//signs_mov_separ_signers/Brady_5918.mov" TargetMode="External"/><Relationship Id="rId7877" Type="http://schemas.openxmlformats.org/officeDocument/2006/relationships/hyperlink" Target="http://csr.bu.edu/ftp/asl/asllvd/demos/verify_start_end_handshape_annotations//test_auto_move//signs_mov_separ_signers/Liz_860.mov" TargetMode="External"/><Relationship Id="rId7878" Type="http://schemas.openxmlformats.org/officeDocument/2006/relationships/hyperlink" Target="http://secrets.rutgers.edu:8080/data/asl-ftp/asllvd/demos/verify_start_end_handshape_annotations//test_auto_move//signs_mov_separ_signers/Liz_860.mov" TargetMode="External"/><Relationship Id="rId7879" Type="http://schemas.openxmlformats.org/officeDocument/2006/relationships/hyperlink" Target="http://csr.bu.edu/ftp/asl/asllvd/demos/verify_start_end_handshape_annotations//test_auto_move//signs_mov/860.mov" TargetMode="External"/><Relationship Id="rId7880" Type="http://schemas.openxmlformats.org/officeDocument/2006/relationships/hyperlink" Target="http://csr.bu.edu/ftp/asl/asllvd/demos/verify_start_end_handshape_annotations//test_auto_move//signs_mov_separ_signers/Tyler_860.mov" TargetMode="External"/><Relationship Id="rId7881" Type="http://schemas.openxmlformats.org/officeDocument/2006/relationships/hyperlink" Target="http://secrets.rutgers.edu:8080/data/asl-ftp/asllvd/demos/verify_start_end_handshape_annotations//test_auto_move//signs_mov/860.mov" TargetMode="External"/><Relationship Id="rId7882" Type="http://schemas.openxmlformats.org/officeDocument/2006/relationships/hyperlink" Target="http://secrets.rutgers.edu:8080/data/asl-ftp/asllvd/demos/verify_start_end_handshape_annotations//test_auto_move//signs_mov_separ_signers/Tyler_860.mov" TargetMode="External"/><Relationship Id="rId7883" Type="http://schemas.openxmlformats.org/officeDocument/2006/relationships/hyperlink" Target="http://csr.bu.edu/ftp/asl/asllvd/demos/verify_start_end_handshape_annotations//test_auto_move//signs_mov_separ_signers/Naomi_860.mov" TargetMode="External"/><Relationship Id="rId7884" Type="http://schemas.openxmlformats.org/officeDocument/2006/relationships/hyperlink" Target="http://secrets.rutgers.edu:8080/data/asl-ftp/asllvd/demos/verify_start_end_handshape_annotations//test_auto_move//signs_mov_separ_signers/Naomi_860.mov" TargetMode="External"/><Relationship Id="rId7885" Type="http://schemas.openxmlformats.org/officeDocument/2006/relationships/hyperlink" Target="http://csr.bu.edu/ftp/asl/asllvd/demos/verify_start_end_handshape_annotations//test_auto_move//signs_mov_separ_signers/Brady_860.mov" TargetMode="External"/><Relationship Id="rId7886" Type="http://schemas.openxmlformats.org/officeDocument/2006/relationships/hyperlink" Target="http://secrets.rutgers.edu:8080/data/asl-ftp/asllvd/demos/verify_start_end_handshape_annotations//test_auto_move//signs_mov_separ_signers/Brady_860.mov" TargetMode="External"/><Relationship Id="rId7887" Type="http://schemas.openxmlformats.org/officeDocument/2006/relationships/hyperlink" Target="http://csr.bu.edu/ftp/asl/asllvd/demos/verify_start_end_handshape_annotations//test_auto_move//signs_mov_separ_signers/Liz_861.mov" TargetMode="External"/><Relationship Id="rId7888" Type="http://schemas.openxmlformats.org/officeDocument/2006/relationships/hyperlink" Target="http://secrets.rutgers.edu:8080/data/asl-ftp/asllvd/demos/verify_start_end_handshape_annotations//test_auto_move//signs_mov_separ_signers/Liz_861.mov" TargetMode="External"/><Relationship Id="rId7889" Type="http://schemas.openxmlformats.org/officeDocument/2006/relationships/hyperlink" Target="http://csr.bu.edu/ftp/asl/asllvd/demos/verify_start_end_handshape_annotations//test_auto_move//signs_mov/861.mov" TargetMode="External"/><Relationship Id="rId7890" Type="http://schemas.openxmlformats.org/officeDocument/2006/relationships/hyperlink" Target="http://csr.bu.edu/ftp/asl/asllvd/demos/verify_start_end_handshape_annotations//test_auto_move//signs_mov_separ_signers/Tyler_861.mov" TargetMode="External"/><Relationship Id="rId7891" Type="http://schemas.openxmlformats.org/officeDocument/2006/relationships/hyperlink" Target="http://secrets.rutgers.edu:8080/data/asl-ftp/asllvd/demos/verify_start_end_handshape_annotations//test_auto_move//signs_mov/861.mov" TargetMode="External"/><Relationship Id="rId7892" Type="http://schemas.openxmlformats.org/officeDocument/2006/relationships/hyperlink" Target="http://secrets.rutgers.edu:8080/data/asl-ftp/asllvd/demos/verify_start_end_handshape_annotations//test_auto_move//signs_mov_separ_signers/Tyler_861.mov" TargetMode="External"/><Relationship Id="rId7893" Type="http://schemas.openxmlformats.org/officeDocument/2006/relationships/hyperlink" Target="http://csr.bu.edu/ftp/asl/asllvd/demos/verify_start_end_handshape_annotations//test_auto_move//signs_mov_separ_signers/Naomi_861.mov" TargetMode="External"/><Relationship Id="rId7894" Type="http://schemas.openxmlformats.org/officeDocument/2006/relationships/hyperlink" Target="http://secrets.rutgers.edu:8080/data/asl-ftp/asllvd/demos/verify_start_end_handshape_annotations//test_auto_move//signs_mov_separ_signers/Naomi_861.mov" TargetMode="External"/><Relationship Id="rId7895" Type="http://schemas.openxmlformats.org/officeDocument/2006/relationships/hyperlink" Target="http://csr.bu.edu/ftp/asl/asllvd/demos/verify_start_end_handshape_annotations//test_auto_move//signs_mov_separ_signers/Brady_861.mov" TargetMode="External"/><Relationship Id="rId7896" Type="http://schemas.openxmlformats.org/officeDocument/2006/relationships/hyperlink" Target="http://secrets.rutgers.edu:8080/data/asl-ftp/asllvd/demos/verify_start_end_handshape_annotations//test_auto_move//signs_mov_separ_signers/Brady_861.mov" TargetMode="External"/><Relationship Id="rId7897" Type="http://schemas.openxmlformats.org/officeDocument/2006/relationships/hyperlink" Target="http://csr.bu.edu/ftp/asl/asllvd/demos/verify_start_end_handshape_annotations//test_auto_move//signs_mov_separ_signers/Liz_862.mov" TargetMode="External"/><Relationship Id="rId7898" Type="http://schemas.openxmlformats.org/officeDocument/2006/relationships/hyperlink" Target="http://secrets.rutgers.edu:8080/data/asl-ftp/asllvd/demos/verify_start_end_handshape_annotations//test_auto_move//signs_mov_separ_signers/Liz_862.mov" TargetMode="External"/><Relationship Id="rId7899" Type="http://schemas.openxmlformats.org/officeDocument/2006/relationships/hyperlink" Target="http://csr.bu.edu/ftp/asl/asllvd/demos/verify_start_end_handshape_annotations//test_auto_move//signs_mov/862.mov" TargetMode="External"/><Relationship Id="rId7900" Type="http://schemas.openxmlformats.org/officeDocument/2006/relationships/hyperlink" Target="http://csr.bu.edu/ftp/asl/asllvd/demos/verify_start_end_handshape_annotations//test_auto_move//signs_mov_separ_signers/Tyler_862.mov" TargetMode="External"/><Relationship Id="rId7901" Type="http://schemas.openxmlformats.org/officeDocument/2006/relationships/hyperlink" Target="http://secrets.rutgers.edu:8080/data/asl-ftp/asllvd/demos/verify_start_end_handshape_annotations//test_auto_move//signs_mov/862.mov" TargetMode="External"/><Relationship Id="rId7902" Type="http://schemas.openxmlformats.org/officeDocument/2006/relationships/hyperlink" Target="http://secrets.rutgers.edu:8080/data/asl-ftp/asllvd/demos/verify_start_end_handshape_annotations//test_auto_move//signs_mov_separ_signers/Tyler_862.mov" TargetMode="External"/><Relationship Id="rId7903" Type="http://schemas.openxmlformats.org/officeDocument/2006/relationships/hyperlink" Target="http://csr.bu.edu/ftp/asl/asllvd/demos/verify_start_end_handshape_annotations//test_auto_move//signs_mov_separ_signers/Naomi_862.mov" TargetMode="External"/><Relationship Id="rId7904" Type="http://schemas.openxmlformats.org/officeDocument/2006/relationships/hyperlink" Target="http://secrets.rutgers.edu:8080/data/asl-ftp/asllvd/demos/verify_start_end_handshape_annotations//test_auto_move//signs_mov_separ_signers/Naomi_862.mov" TargetMode="External"/><Relationship Id="rId7905" Type="http://schemas.openxmlformats.org/officeDocument/2006/relationships/hyperlink" Target="http://csr.bu.edu/ftp/asl/asllvd/demos/verify_start_end_handshape_annotations//test_auto_move//signs_mov_separ_signers/Brady_862.mov" TargetMode="External"/><Relationship Id="rId7906" Type="http://schemas.openxmlformats.org/officeDocument/2006/relationships/hyperlink" Target="http://secrets.rutgers.edu:8080/data/asl-ftp/asllvd/demos/verify_start_end_handshape_annotations//test_auto_move//signs_mov_separ_signers/Brady_862.mov" TargetMode="External"/><Relationship Id="rId7907" Type="http://schemas.openxmlformats.org/officeDocument/2006/relationships/hyperlink" Target="http://csr.bu.edu/ftp/asl/asllvd/demos/verify_start_end_handshape_annotations//test_auto_move//signs_mov_separ_signers/Liz_863.mov" TargetMode="External"/><Relationship Id="rId7908" Type="http://schemas.openxmlformats.org/officeDocument/2006/relationships/hyperlink" Target="http://secrets.rutgers.edu:8080/data/asl-ftp/asllvd/demos/verify_start_end_handshape_annotations//test_auto_move//signs_mov_separ_signers/Liz_863.mov" TargetMode="External"/><Relationship Id="rId7909" Type="http://schemas.openxmlformats.org/officeDocument/2006/relationships/hyperlink" Target="http://csr.bu.edu/ftp/asl/asllvd/demos/verify_start_end_handshape_annotations//test_auto_move//signs_mov/863.mov" TargetMode="External"/><Relationship Id="rId7910" Type="http://schemas.openxmlformats.org/officeDocument/2006/relationships/hyperlink" Target="http://csr.bu.edu/ftp/asl/asllvd/demos/verify_start_end_handshape_annotations//test_auto_move//signs_mov_separ_signers/Tyler_863.mov" TargetMode="External"/><Relationship Id="rId7911" Type="http://schemas.openxmlformats.org/officeDocument/2006/relationships/hyperlink" Target="http://secrets.rutgers.edu:8080/data/asl-ftp/asllvd/demos/verify_start_end_handshape_annotations//test_auto_move//signs_mov/863.mov" TargetMode="External"/><Relationship Id="rId7912" Type="http://schemas.openxmlformats.org/officeDocument/2006/relationships/hyperlink" Target="http://secrets.rutgers.edu:8080/data/asl-ftp/asllvd/demos/verify_start_end_handshape_annotations//test_auto_move//signs_mov_separ_signers/Tyler_863.mov" TargetMode="External"/><Relationship Id="rId7913" Type="http://schemas.openxmlformats.org/officeDocument/2006/relationships/hyperlink" Target="http://csr.bu.edu/ftp/asl/asllvd/demos/verify_start_end_handshape_annotations//test_auto_move//signs_mov_separ_signers/Naomi_863.mov" TargetMode="External"/><Relationship Id="rId7914" Type="http://schemas.openxmlformats.org/officeDocument/2006/relationships/hyperlink" Target="http://secrets.rutgers.edu:8080/data/asl-ftp/asllvd/demos/verify_start_end_handshape_annotations//test_auto_move//signs_mov_separ_signers/Naomi_863.mov" TargetMode="External"/><Relationship Id="rId7915" Type="http://schemas.openxmlformats.org/officeDocument/2006/relationships/hyperlink" Target="http://csr.bu.edu/ftp/asl/asllvd/demos/verify_start_end_handshape_annotations//test_auto_move//signs_mov_separ_signers/Brady_863.mov" TargetMode="External"/><Relationship Id="rId7916" Type="http://schemas.openxmlformats.org/officeDocument/2006/relationships/hyperlink" Target="http://secrets.rutgers.edu:8080/data/asl-ftp/asllvd/demos/verify_start_end_handshape_annotations//test_auto_move//signs_mov_separ_signers/Brady_863.mov" TargetMode="External"/><Relationship Id="rId7917" Type="http://schemas.openxmlformats.org/officeDocument/2006/relationships/hyperlink" Target="http://csr.bu.edu/ftp/asl/asllvd/demos/verify_start_end_handshape_annotations//test_auto_move//signs_mov_separ_signers/Liz_864.mov" TargetMode="External"/><Relationship Id="rId7918" Type="http://schemas.openxmlformats.org/officeDocument/2006/relationships/hyperlink" Target="http://secrets.rutgers.edu:8080/data/asl-ftp/asllvd/demos/verify_start_end_handshape_annotations//test_auto_move//signs_mov_separ_signers/Liz_864.mov" TargetMode="External"/><Relationship Id="rId7919" Type="http://schemas.openxmlformats.org/officeDocument/2006/relationships/hyperlink" Target="http://csr.bu.edu/ftp/asl/asllvd/demos/verify_start_end_handshape_annotations//test_auto_move//signs_mov/864.mov" TargetMode="External"/><Relationship Id="rId7920" Type="http://schemas.openxmlformats.org/officeDocument/2006/relationships/hyperlink" Target="http://csr.bu.edu/ftp/asl/asllvd/demos/verify_start_end_handshape_annotations//test_auto_move//signs_mov_separ_signers/Tyler_864.mov" TargetMode="External"/><Relationship Id="rId7921" Type="http://schemas.openxmlformats.org/officeDocument/2006/relationships/hyperlink" Target="http://secrets.rutgers.edu:8080/data/asl-ftp/asllvd/demos/verify_start_end_handshape_annotations//test_auto_move//signs_mov/864.mov" TargetMode="External"/><Relationship Id="rId7922" Type="http://schemas.openxmlformats.org/officeDocument/2006/relationships/hyperlink" Target="http://secrets.rutgers.edu:8080/data/asl-ftp/asllvd/demos/verify_start_end_handshape_annotations//test_auto_move//signs_mov_separ_signers/Tyler_864.mov" TargetMode="External"/><Relationship Id="rId7923" Type="http://schemas.openxmlformats.org/officeDocument/2006/relationships/hyperlink" Target="http://csr.bu.edu/ftp/asl/asllvd/demos/verify_start_end_handshape_annotations//test_auto_move//signs_mov_separ_signers/Naomi_864.mov" TargetMode="External"/><Relationship Id="rId7924" Type="http://schemas.openxmlformats.org/officeDocument/2006/relationships/hyperlink" Target="http://secrets.rutgers.edu:8080/data/asl-ftp/asllvd/demos/verify_start_end_handshape_annotations//test_auto_move//signs_mov_separ_signers/Naomi_864.mov" TargetMode="External"/><Relationship Id="rId7925" Type="http://schemas.openxmlformats.org/officeDocument/2006/relationships/hyperlink" Target="http://csr.bu.edu/ftp/asl/asllvd/demos/verify_start_end_handshape_annotations//test_auto_move//signs_mov_separ_signers/Brady_864.mov" TargetMode="External"/><Relationship Id="rId7926" Type="http://schemas.openxmlformats.org/officeDocument/2006/relationships/hyperlink" Target="http://secrets.rutgers.edu:8080/data/asl-ftp/asllvd/demos/verify_start_end_handshape_annotations//test_auto_move//signs_mov_separ_signers/Brady_864.mov" TargetMode="External"/><Relationship Id="rId7927" Type="http://schemas.openxmlformats.org/officeDocument/2006/relationships/hyperlink" Target="http://csr.bu.edu/ftp/asl/asllvd/demos/verify_start_end_handshape_annotations//test_auto_move//signs_mov_separ_signers/Liz_865.mov" TargetMode="External"/><Relationship Id="rId7928" Type="http://schemas.openxmlformats.org/officeDocument/2006/relationships/hyperlink" Target="http://secrets.rutgers.edu:8080/data/asl-ftp/asllvd/demos/verify_start_end_handshape_annotations//test_auto_move//signs_mov_separ_signers/Liz_865.mov" TargetMode="External"/><Relationship Id="rId7929" Type="http://schemas.openxmlformats.org/officeDocument/2006/relationships/hyperlink" Target="http://csr.bu.edu/ftp/asl/asllvd/demos/verify_start_end_handshape_annotations//test_auto_move//signs_mov_separ_signers/Liz_3676.mov" TargetMode="External"/><Relationship Id="rId7930" Type="http://schemas.openxmlformats.org/officeDocument/2006/relationships/hyperlink" Target="http://secrets.rutgers.edu:8080/data/asl-ftp/asllvd/demos/verify_start_end_handshape_annotations//test_auto_move//signs_mov_separ_signers/Liz_3676.mov" TargetMode="External"/><Relationship Id="rId7931" Type="http://schemas.openxmlformats.org/officeDocument/2006/relationships/hyperlink" Target="http://csr.bu.edu/ftp/asl/asllvd/demos/verify_start_end_handshape_annotations//test_auto_move//signs_mov_separ_signers/Tyler_865.mov" TargetMode="External"/><Relationship Id="rId7932" Type="http://schemas.openxmlformats.org/officeDocument/2006/relationships/hyperlink" Target="http://secrets.rutgers.edu:8080/data/asl-ftp/asllvd/demos/verify_start_end_handshape_annotations//test_auto_move//signs_mov_separ_signers/Tyler_865.mov" TargetMode="External"/><Relationship Id="rId7933" Type="http://schemas.openxmlformats.org/officeDocument/2006/relationships/hyperlink" Target="http://csr.bu.edu/ftp/asl/asllvd/demos/verify_start_end_handshape_annotations//test_auto_move//signs_mov/865_3676_merged.mov" TargetMode="External"/><Relationship Id="rId7934" Type="http://schemas.openxmlformats.org/officeDocument/2006/relationships/hyperlink" Target="http://csr.bu.edu/ftp/asl/asllvd/demos/verify_start_end_handshape_annotations//test_auto_move//signs_mov_separ_signers/Naomi_865.mov" TargetMode="External"/><Relationship Id="rId7935" Type="http://schemas.openxmlformats.org/officeDocument/2006/relationships/hyperlink" Target="http://secrets.rutgers.edu:8080/data/asl-ftp/asllvd/demos/verify_start_end_handshape_annotations//test_auto_move//signs_mov/865_3676_merged.mov" TargetMode="External"/><Relationship Id="rId7936" Type="http://schemas.openxmlformats.org/officeDocument/2006/relationships/hyperlink" Target="http://secrets.rutgers.edu:8080/data/asl-ftp/asllvd/demos/verify_start_end_handshape_annotations//test_auto_move//signs_mov_separ_signers/Naomi_865.mov" TargetMode="External"/><Relationship Id="rId7937" Type="http://schemas.openxmlformats.org/officeDocument/2006/relationships/hyperlink" Target="http://csr.bu.edu/ftp/asl/asllvd/demos/verify_start_end_handshape_annotations//test_auto_move//signs_mov_separ_signers/Naomi_3676.mov" TargetMode="External"/><Relationship Id="rId7938" Type="http://schemas.openxmlformats.org/officeDocument/2006/relationships/hyperlink" Target="http://secrets.rutgers.edu:8080/data/asl-ftp/asllvd/demos/verify_start_end_handshape_annotations//test_auto_move//signs_mov_separ_signers/Naomi_3676.mov" TargetMode="External"/><Relationship Id="rId7939" Type="http://schemas.openxmlformats.org/officeDocument/2006/relationships/hyperlink" Target="http://csr.bu.edu/ftp/asl/asllvd/demos/verify_start_end_handshape_annotations//test_auto_move//signs_mov_separ_signers/Brady_865.mov" TargetMode="External"/><Relationship Id="rId7940" Type="http://schemas.openxmlformats.org/officeDocument/2006/relationships/hyperlink" Target="http://secrets.rutgers.edu:8080/data/asl-ftp/asllvd/demos/verify_start_end_handshape_annotations//test_auto_move//signs_mov_separ_signers/Brady_865.mov" TargetMode="External"/><Relationship Id="rId7941" Type="http://schemas.openxmlformats.org/officeDocument/2006/relationships/hyperlink" Target="http://csr.bu.edu/ftp/asl/asllvd/demos/verify_start_end_handshape_annotations//test_auto_move//signs_mov_separ_signers/Brady_3676.mov" TargetMode="External"/><Relationship Id="rId7942" Type="http://schemas.openxmlformats.org/officeDocument/2006/relationships/hyperlink" Target="http://secrets.rutgers.edu:8080/data/asl-ftp/asllvd/demos/verify_start_end_handshape_annotations//test_auto_move//signs_mov_separ_signers/Brady_3676.mov" TargetMode="External"/><Relationship Id="rId7943" Type="http://schemas.openxmlformats.org/officeDocument/2006/relationships/hyperlink" Target="http://csr.bu.edu/ftp/asl/asllvd/demos/verify_start_end_handshape_annotations//test_auto_move//signs_mov_separ_signers/Liz_15924.mov" TargetMode="External"/><Relationship Id="rId7944" Type="http://schemas.openxmlformats.org/officeDocument/2006/relationships/hyperlink" Target="http://secrets.rutgers.edu:8080/data/asl-ftp/asllvd/demos/verify_start_end_handshape_annotations//test_auto_move//signs_mov_separ_signers/Liz_15924.mov" TargetMode="External"/><Relationship Id="rId7945" Type="http://schemas.openxmlformats.org/officeDocument/2006/relationships/hyperlink" Target="http://csr.bu.edu/ftp/asl/asllvd/demos/verify_start_end_handshape_annotations//test_auto_move//signs_mov/15924.mov" TargetMode="External"/><Relationship Id="rId7946" Type="http://schemas.openxmlformats.org/officeDocument/2006/relationships/hyperlink" Target="http://csr.bu.edu/ftp/asl/asllvd/demos/verify_start_end_handshape_annotations//test_auto_move//signs_mov_separ_signers/Tyler_15924.mov" TargetMode="External"/><Relationship Id="rId7947" Type="http://schemas.openxmlformats.org/officeDocument/2006/relationships/hyperlink" Target="http://secrets.rutgers.edu:8080/data/asl-ftp/asllvd/demos/verify_start_end_handshape_annotations//test_auto_move//signs_mov/15924.mov" TargetMode="External"/><Relationship Id="rId7948" Type="http://schemas.openxmlformats.org/officeDocument/2006/relationships/hyperlink" Target="http://secrets.rutgers.edu:8080/data/asl-ftp/asllvd/demos/verify_start_end_handshape_annotations//test_auto_move//signs_mov_separ_signers/Tyler_15924.mov" TargetMode="External"/><Relationship Id="rId7949" Type="http://schemas.openxmlformats.org/officeDocument/2006/relationships/hyperlink" Target="http://csr.bu.edu/ftp/asl/asllvd/demos/verify_start_end_handshape_annotations//test_auto_move//signs_mov_separ_signers/Naomi_15924.mov" TargetMode="External"/><Relationship Id="rId7950" Type="http://schemas.openxmlformats.org/officeDocument/2006/relationships/hyperlink" Target="http://secrets.rutgers.edu:8080/data/asl-ftp/asllvd/demos/verify_start_end_handshape_annotations//test_auto_move//signs_mov_separ_signers/Naomi_15924.mov" TargetMode="External"/><Relationship Id="rId7951" Type="http://schemas.openxmlformats.org/officeDocument/2006/relationships/hyperlink" Target="http://csr.bu.edu/ftp/asl/asllvd/demos/verify_start_end_handshape_annotations//test_auto_move//signs_mov_separ_signers/Brady_15924.mov" TargetMode="External"/><Relationship Id="rId7952" Type="http://schemas.openxmlformats.org/officeDocument/2006/relationships/hyperlink" Target="http://secrets.rutgers.edu:8080/data/asl-ftp/asllvd/demos/verify_start_end_handshape_annotations//test_auto_move//signs_mov_separ_signers/Brady_15924.mov" TargetMode="External"/><Relationship Id="rId7953" Type="http://schemas.openxmlformats.org/officeDocument/2006/relationships/hyperlink" Target="http://csr.bu.edu/ftp/asl/asllvd/demos/verify_start_end_handshape_annotations//test_auto_move//signs_mov_separ_signers/Liz_866.mov" TargetMode="External"/><Relationship Id="rId7954" Type="http://schemas.openxmlformats.org/officeDocument/2006/relationships/hyperlink" Target="http://secrets.rutgers.edu:8080/data/asl-ftp/asllvd/demos/verify_start_end_handshape_annotations//test_auto_move//signs_mov_separ_signers/Liz_866.mov" TargetMode="External"/><Relationship Id="rId7955" Type="http://schemas.openxmlformats.org/officeDocument/2006/relationships/hyperlink" Target="http://csr.bu.edu/ftp/asl/asllvd/demos/verify_start_end_handshape_annotations//test_auto_move//signs_mov_separ_signers/Tyler_866.mov" TargetMode="External"/><Relationship Id="rId7956" Type="http://schemas.openxmlformats.org/officeDocument/2006/relationships/hyperlink" Target="http://secrets.rutgers.edu:8080/data/asl-ftp/asllvd/demos/verify_start_end_handshape_annotations//test_auto_move//signs_mov_separ_signers/Tyler_866.mov" TargetMode="External"/><Relationship Id="rId7957" Type="http://schemas.openxmlformats.org/officeDocument/2006/relationships/hyperlink" Target="http://csr.bu.edu/ftp/asl/asllvd/demos/verify_start_end_handshape_annotations//test_auto_move//signs_mov/866_16382_merged.mov" TargetMode="External"/><Relationship Id="rId7958" Type="http://schemas.openxmlformats.org/officeDocument/2006/relationships/hyperlink" Target="http://csr.bu.edu/ftp/asl/asllvd/demos/verify_start_end_handshape_annotations//test_auto_move//signs_mov_separ_signers/Naomi_866.mov" TargetMode="External"/><Relationship Id="rId7959" Type="http://schemas.openxmlformats.org/officeDocument/2006/relationships/hyperlink" Target="http://secrets.rutgers.edu:8080/data/asl-ftp/asllvd/demos/verify_start_end_handshape_annotations//test_auto_move//signs_mov/866_16382_merged.mov" TargetMode="External"/><Relationship Id="rId7960" Type="http://schemas.openxmlformats.org/officeDocument/2006/relationships/hyperlink" Target="http://secrets.rutgers.edu:8080/data/asl-ftp/asllvd/demos/verify_start_end_handshape_annotations//test_auto_move//signs_mov_separ_signers/Naomi_866.mov" TargetMode="External"/><Relationship Id="rId7961" Type="http://schemas.openxmlformats.org/officeDocument/2006/relationships/hyperlink" Target="http://csr.bu.edu/ftp/asl/asllvd/demos/verify_start_end_handshape_annotations//test_auto_move//signs_mov_separ_signers/Brady_866.mov" TargetMode="External"/><Relationship Id="rId7962" Type="http://schemas.openxmlformats.org/officeDocument/2006/relationships/hyperlink" Target="http://secrets.rutgers.edu:8080/data/asl-ftp/asllvd/demos/verify_start_end_handshape_annotations//test_auto_move//signs_mov_separ_signers/Brady_866.mov" TargetMode="External"/><Relationship Id="rId7963" Type="http://schemas.openxmlformats.org/officeDocument/2006/relationships/hyperlink" Target="http://csr.bu.edu/ftp/asl/asllvd/demos/verify_start_end_handshape_annotations//test_auto_move//signs_mov_separ_signers/Brady_16382.mov" TargetMode="External"/><Relationship Id="rId7964" Type="http://schemas.openxmlformats.org/officeDocument/2006/relationships/hyperlink" Target="http://secrets.rutgers.edu:8080/data/asl-ftp/asllvd/demos/verify_start_end_handshape_annotations//test_auto_move//signs_mov_separ_signers/Brady_16382.mov" TargetMode="External"/><Relationship Id="rId7965" Type="http://schemas.openxmlformats.org/officeDocument/2006/relationships/hyperlink" Target="http://csr.bu.edu/ftp/asl/asllvd/demos/verify_start_end_handshape_annotations//test_auto_move//signs_mov_separ_signers/Liz_868.mov" TargetMode="External"/><Relationship Id="rId7966" Type="http://schemas.openxmlformats.org/officeDocument/2006/relationships/hyperlink" Target="http://secrets.rutgers.edu:8080/data/asl-ftp/asllvd/demos/verify_start_end_handshape_annotations//test_auto_move//signs_mov_separ_signers/Liz_868.mov" TargetMode="External"/><Relationship Id="rId7967" Type="http://schemas.openxmlformats.org/officeDocument/2006/relationships/hyperlink" Target="http://csr.bu.edu/ftp/asl/asllvd/demos/verify_start_end_handshape_annotations//test_auto_move//signs_mov/868.mov" TargetMode="External"/><Relationship Id="rId7968" Type="http://schemas.openxmlformats.org/officeDocument/2006/relationships/hyperlink" Target="http://csr.bu.edu/ftp/asl/asllvd/demos/verify_start_end_handshape_annotations//test_auto_move//signs_mov_separ_signers/Tyler_868.mov" TargetMode="External"/><Relationship Id="rId7969" Type="http://schemas.openxmlformats.org/officeDocument/2006/relationships/hyperlink" Target="http://secrets.rutgers.edu:8080/data/asl-ftp/asllvd/demos/verify_start_end_handshape_annotations//test_auto_move//signs_mov/868.mov" TargetMode="External"/><Relationship Id="rId7970" Type="http://schemas.openxmlformats.org/officeDocument/2006/relationships/hyperlink" Target="http://secrets.rutgers.edu:8080/data/asl-ftp/asllvd/demos/verify_start_end_handshape_annotations//test_auto_move//signs_mov_separ_signers/Tyler_868.mov" TargetMode="External"/><Relationship Id="rId7971" Type="http://schemas.openxmlformats.org/officeDocument/2006/relationships/hyperlink" Target="http://csr.bu.edu/ftp/asl/asllvd/demos/verify_start_end_handshape_annotations//test_auto_move//signs_mov_separ_signers/Naomi_868.mov" TargetMode="External"/><Relationship Id="rId7972" Type="http://schemas.openxmlformats.org/officeDocument/2006/relationships/hyperlink" Target="http://secrets.rutgers.edu:8080/data/asl-ftp/asllvd/demos/verify_start_end_handshape_annotations//test_auto_move//signs_mov_separ_signers/Naomi_868.mov" TargetMode="External"/><Relationship Id="rId7973" Type="http://schemas.openxmlformats.org/officeDocument/2006/relationships/hyperlink" Target="http://csr.bu.edu/ftp/asl/asllvd/demos/verify_start_end_handshape_annotations//test_auto_move//signs_mov_separ_signers/Brady_868.mov" TargetMode="External"/><Relationship Id="rId7974" Type="http://schemas.openxmlformats.org/officeDocument/2006/relationships/hyperlink" Target="http://secrets.rutgers.edu:8080/data/asl-ftp/asllvd/demos/verify_start_end_handshape_annotations//test_auto_move//signs_mov_separ_signers/Brady_868.mov" TargetMode="External"/><Relationship Id="rId7975" Type="http://schemas.openxmlformats.org/officeDocument/2006/relationships/hyperlink" Target="http://csr.bu.edu/ftp/asl/asllvd/demos/verify_start_end_handshape_annotations//test_auto_move//signs_mov_separ_signers/Liz_870.mov" TargetMode="External"/><Relationship Id="rId7976" Type="http://schemas.openxmlformats.org/officeDocument/2006/relationships/hyperlink" Target="http://secrets.rutgers.edu:8080/data/asl-ftp/asllvd/demos/verify_start_end_handshape_annotations//test_auto_move//signs_mov_separ_signers/Liz_870.mov" TargetMode="External"/><Relationship Id="rId7977" Type="http://schemas.openxmlformats.org/officeDocument/2006/relationships/hyperlink" Target="http://csr.bu.edu/ftp/asl/asllvd/demos/verify_start_end_handshape_annotations//test_auto_move//signs_mov/870.mov" TargetMode="External"/><Relationship Id="rId7978" Type="http://schemas.openxmlformats.org/officeDocument/2006/relationships/hyperlink" Target="http://csr.bu.edu/ftp/asl/asllvd/demos/verify_start_end_handshape_annotations//test_auto_move//signs_mov_separ_signers/Tyler_870.mov" TargetMode="External"/><Relationship Id="rId7979" Type="http://schemas.openxmlformats.org/officeDocument/2006/relationships/hyperlink" Target="http://secrets.rutgers.edu:8080/data/asl-ftp/asllvd/demos/verify_start_end_handshape_annotations//test_auto_move//signs_mov/870.mov" TargetMode="External"/><Relationship Id="rId7980" Type="http://schemas.openxmlformats.org/officeDocument/2006/relationships/hyperlink" Target="http://secrets.rutgers.edu:8080/data/asl-ftp/asllvd/demos/verify_start_end_handshape_annotations//test_auto_move//signs_mov_separ_signers/Tyler_870.mov" TargetMode="External"/><Relationship Id="rId7981" Type="http://schemas.openxmlformats.org/officeDocument/2006/relationships/hyperlink" Target="http://csr.bu.edu/ftp/asl/asllvd/demos/verify_start_end_handshape_annotations//test_auto_move//signs_mov_separ_signers/Naomi_870.mov" TargetMode="External"/><Relationship Id="rId7982" Type="http://schemas.openxmlformats.org/officeDocument/2006/relationships/hyperlink" Target="http://secrets.rutgers.edu:8080/data/asl-ftp/asllvd/demos/verify_start_end_handshape_annotations//test_auto_move//signs_mov_separ_signers/Naomi_870.mov" TargetMode="External"/><Relationship Id="rId7983" Type="http://schemas.openxmlformats.org/officeDocument/2006/relationships/hyperlink" Target="http://csr.bu.edu/ftp/asl/asllvd/demos/verify_start_end_handshape_annotations//test_auto_move//signs_mov_separ_signers/Brady_870.mov" TargetMode="External"/><Relationship Id="rId7984" Type="http://schemas.openxmlformats.org/officeDocument/2006/relationships/hyperlink" Target="http://secrets.rutgers.edu:8080/data/asl-ftp/asllvd/demos/verify_start_end_handshape_annotations//test_auto_move//signs_mov_separ_signers/Brady_870.mov" TargetMode="External"/><Relationship Id="rId7985" Type="http://schemas.openxmlformats.org/officeDocument/2006/relationships/hyperlink" Target="http://csr.bu.edu/ftp/asl/asllvd/demos/verify_start_end_handshape_annotations//test_auto_move//signs_mov/871.mov" TargetMode="External"/><Relationship Id="rId7986" Type="http://schemas.openxmlformats.org/officeDocument/2006/relationships/hyperlink" Target="http://csr.bu.edu/ftp/asl/asllvd/demos/verify_start_end_handshape_annotations//test_auto_move//signs_mov_separ_signers/Lana_871.mov" TargetMode="External"/><Relationship Id="rId7987" Type="http://schemas.openxmlformats.org/officeDocument/2006/relationships/hyperlink" Target="http://secrets.rutgers.edu:8080/data/asl-ftp/asllvd/demos/verify_start_end_handshape_annotations//test_auto_move//signs_mov/871.mov" TargetMode="External"/><Relationship Id="rId7988" Type="http://schemas.openxmlformats.org/officeDocument/2006/relationships/hyperlink" Target="http://secrets.rutgers.edu:8080/data/asl-ftp/asllvd/demos/verify_start_end_handshape_annotations//test_auto_move//signs_mov_separ_signers/Lana_871.mov" TargetMode="External"/><Relationship Id="rId7989" Type="http://schemas.openxmlformats.org/officeDocument/2006/relationships/hyperlink" Target="http://csr.bu.edu/ftp/asl/asllvd/demos/verify_start_end_handshape_annotations//test_auto_move//signs_mov/3984.mov" TargetMode="External"/><Relationship Id="rId7990" Type="http://schemas.openxmlformats.org/officeDocument/2006/relationships/hyperlink" Target="http://csr.bu.edu/ftp/asl/asllvd/demos/verify_start_end_handshape_annotations//test_auto_move//signs_mov_separ_signers/Tyler_3984.mov" TargetMode="External"/><Relationship Id="rId7991" Type="http://schemas.openxmlformats.org/officeDocument/2006/relationships/hyperlink" Target="http://secrets.rutgers.edu:8080/data/asl-ftp/asllvd/demos/verify_start_end_handshape_annotations//test_auto_move//signs_mov/3984.mov" TargetMode="External"/><Relationship Id="rId7992" Type="http://schemas.openxmlformats.org/officeDocument/2006/relationships/hyperlink" Target="http://secrets.rutgers.edu:8080/data/asl-ftp/asllvd/demos/verify_start_end_handshape_annotations//test_auto_move//signs_mov_separ_signers/Tyler_3984.mov" TargetMode="External"/><Relationship Id="rId7993" Type="http://schemas.openxmlformats.org/officeDocument/2006/relationships/hyperlink" Target="http://csr.bu.edu/ftp/asl/asllvd/demos/verify_start_end_handshape_annotations//test_auto_move//signs_mov_separ_signers/Liz_5177.mov" TargetMode="External"/><Relationship Id="rId7994" Type="http://schemas.openxmlformats.org/officeDocument/2006/relationships/hyperlink" Target="http://secrets.rutgers.edu:8080/data/asl-ftp/asllvd/demos/verify_start_end_handshape_annotations//test_auto_move//signs_mov_separ_signers/Liz_5177.mov" TargetMode="External"/><Relationship Id="rId7995" Type="http://schemas.openxmlformats.org/officeDocument/2006/relationships/hyperlink" Target="http://csr.bu.edu/ftp/asl/asllvd/demos/verify_start_end_handshape_annotations//test_auto_move//signs_mov/5177.mov" TargetMode="External"/><Relationship Id="rId7996" Type="http://schemas.openxmlformats.org/officeDocument/2006/relationships/hyperlink" Target="http://csr.bu.edu/ftp/asl/asllvd/demos/verify_start_end_handshape_annotations//test_auto_move//signs_mov_separ_signers/Naomi_5177.mov" TargetMode="External"/><Relationship Id="rId7997" Type="http://schemas.openxmlformats.org/officeDocument/2006/relationships/hyperlink" Target="http://secrets.rutgers.edu:8080/data/asl-ftp/asllvd/demos/verify_start_end_handshape_annotations//test_auto_move//signs_mov/5177.mov" TargetMode="External"/><Relationship Id="rId7998" Type="http://schemas.openxmlformats.org/officeDocument/2006/relationships/hyperlink" Target="http://secrets.rutgers.edu:8080/data/asl-ftp/asllvd/demos/verify_start_end_handshape_annotations//test_auto_move//signs_mov_separ_signers/Naomi_5177.mov" TargetMode="External"/><Relationship Id="rId7999" Type="http://schemas.openxmlformats.org/officeDocument/2006/relationships/hyperlink" Target="http://csr.bu.edu/ftp/asl/asllvd/demos/verify_start_end_handshape_annotations//test_auto_move//signs_mov_separ_signers/Brady_5177.mov" TargetMode="External"/><Relationship Id="rId8000" Type="http://schemas.openxmlformats.org/officeDocument/2006/relationships/hyperlink" Target="http://secrets.rutgers.edu:8080/data/asl-ftp/asllvd/demos/verify_start_end_handshape_annotations//test_auto_move//signs_mov_separ_signers/Brady_5177.mov" TargetMode="External"/><Relationship Id="rId8001" Type="http://schemas.openxmlformats.org/officeDocument/2006/relationships/hyperlink" Target="http://csr.bu.edu/ftp/asl/asllvd/demos/verify_start_end_handshape_annotations//test_auto_move//signs_mov/15216.mov" TargetMode="External"/><Relationship Id="rId8002" Type="http://schemas.openxmlformats.org/officeDocument/2006/relationships/hyperlink" Target="http://csr.bu.edu/ftp/asl/asllvd/demos/verify_start_end_handshape_annotations//test_auto_move//signs_mov_separ_signers/Dana_15216.mov" TargetMode="External"/><Relationship Id="rId8003" Type="http://schemas.openxmlformats.org/officeDocument/2006/relationships/hyperlink" Target="http://secrets.rutgers.edu:8080/data/asl-ftp/asllvd/demos/verify_start_end_handshape_annotations//test_auto_move//signs_mov/15216.mov" TargetMode="External"/><Relationship Id="rId8004" Type="http://schemas.openxmlformats.org/officeDocument/2006/relationships/hyperlink" Target="http://secrets.rutgers.edu:8080/data/asl-ftp/asllvd/demos/verify_start_end_handshape_annotations//test_auto_move//signs_mov_separ_signers/Dana_15216.mov" TargetMode="External"/><Relationship Id="rId8005" Type="http://schemas.openxmlformats.org/officeDocument/2006/relationships/hyperlink" Target="http://csr.bu.edu/ftp/asl/asllvd/demos/verify_start_end_handshape_annotations//test_auto_move//signs_mov_separ_signers/Liz_872.mov" TargetMode="External"/><Relationship Id="rId8006" Type="http://schemas.openxmlformats.org/officeDocument/2006/relationships/hyperlink" Target="http://secrets.rutgers.edu:8080/data/asl-ftp/asllvd/demos/verify_start_end_handshape_annotations//test_auto_move//signs_mov_separ_signers/Liz_872.mov" TargetMode="External"/><Relationship Id="rId8007" Type="http://schemas.openxmlformats.org/officeDocument/2006/relationships/hyperlink" Target="http://csr.bu.edu/ftp/asl/asllvd/demos/verify_start_end_handshape_annotations//test_auto_move//signs_mov_separ_signers/Tyler_872.mov" TargetMode="External"/><Relationship Id="rId8008" Type="http://schemas.openxmlformats.org/officeDocument/2006/relationships/hyperlink" Target="http://secrets.rutgers.edu:8080/data/asl-ftp/asllvd/demos/verify_start_end_handshape_annotations//test_auto_move//signs_mov_separ_signers/Tyler_872.mov" TargetMode="External"/><Relationship Id="rId8009" Type="http://schemas.openxmlformats.org/officeDocument/2006/relationships/hyperlink" Target="http://csr.bu.edu/ftp/asl/asllvd/demos/verify_start_end_handshape_annotations//test_auto_move//signs_mov/872_3993_5016_merged.mov" TargetMode="External"/><Relationship Id="rId8010" Type="http://schemas.openxmlformats.org/officeDocument/2006/relationships/hyperlink" Target="http://csr.bu.edu/ftp/asl/asllvd/demos/verify_start_end_handshape_annotations//test_auto_move//signs_mov_separ_signers/Naomi_872.mov" TargetMode="External"/><Relationship Id="rId8011" Type="http://schemas.openxmlformats.org/officeDocument/2006/relationships/hyperlink" Target="http://secrets.rutgers.edu:8080/data/asl-ftp/asllvd/demos/verify_start_end_handshape_annotations//test_auto_move//signs_mov/872_3993_5016_merged.mov" TargetMode="External"/><Relationship Id="rId8012" Type="http://schemas.openxmlformats.org/officeDocument/2006/relationships/hyperlink" Target="http://secrets.rutgers.edu:8080/data/asl-ftp/asllvd/demos/verify_start_end_handshape_annotations//test_auto_move//signs_mov_separ_signers/Naomi_872.mov" TargetMode="External"/><Relationship Id="rId8013" Type="http://schemas.openxmlformats.org/officeDocument/2006/relationships/hyperlink" Target="http://csr.bu.edu/ftp/asl/asllvd/demos/verify_start_end_handshape_annotations//test_auto_move//signs_mov_separ_signers/Brady_872.mov" TargetMode="External"/><Relationship Id="rId8014" Type="http://schemas.openxmlformats.org/officeDocument/2006/relationships/hyperlink" Target="http://secrets.rutgers.edu:8080/data/asl-ftp/asllvd/demos/verify_start_end_handshape_annotations//test_auto_move//signs_mov_separ_signers/Brady_872.mov" TargetMode="External"/><Relationship Id="rId8015" Type="http://schemas.openxmlformats.org/officeDocument/2006/relationships/hyperlink" Target="http://csr.bu.edu/ftp/asl/asllvd/demos/verify_start_end_handshape_annotations//test_auto_move//signs_mov_separ_signers/Brady_3993.mov" TargetMode="External"/><Relationship Id="rId8016" Type="http://schemas.openxmlformats.org/officeDocument/2006/relationships/hyperlink" Target="http://secrets.rutgers.edu:8080/data/asl-ftp/asllvd/demos/verify_start_end_handshape_annotations//test_auto_move//signs_mov_separ_signers/Brady_3993.mov" TargetMode="External"/><Relationship Id="rId8017" Type="http://schemas.openxmlformats.org/officeDocument/2006/relationships/hyperlink" Target="http://csr.bu.edu/ftp/asl/asllvd/demos/verify_start_end_handshape_annotations//test_auto_move//signs_mov_separ_signers/Brady_5016.mov" TargetMode="External"/><Relationship Id="rId8018" Type="http://schemas.openxmlformats.org/officeDocument/2006/relationships/hyperlink" Target="http://secrets.rutgers.edu:8080/data/asl-ftp/asllvd/demos/verify_start_end_handshape_annotations//test_auto_move//signs_mov_separ_signers/Brady_5016.mov" TargetMode="External"/><Relationship Id="rId8019" Type="http://schemas.openxmlformats.org/officeDocument/2006/relationships/hyperlink" Target="http://csr.bu.edu/ftp/asl/asllvd/demos/verify_start_end_handshape_annotations//test_auto_move//signs_mov_separ_signers/Liz_15536.mov" TargetMode="External"/><Relationship Id="rId8020" Type="http://schemas.openxmlformats.org/officeDocument/2006/relationships/hyperlink" Target="http://secrets.rutgers.edu:8080/data/asl-ftp/asllvd/demos/verify_start_end_handshape_annotations//test_auto_move//signs_mov_separ_signers/Liz_15536.mov" TargetMode="External"/><Relationship Id="rId8021" Type="http://schemas.openxmlformats.org/officeDocument/2006/relationships/hyperlink" Target="http://csr.bu.edu/ftp/asl/asllvd/demos/verify_start_end_handshape_annotations//test_auto_move//signs_mov/15536_15619_merged.mov" TargetMode="External"/><Relationship Id="rId8022" Type="http://schemas.openxmlformats.org/officeDocument/2006/relationships/hyperlink" Target="http://csr.bu.edu/ftp/asl/asllvd/demos/verify_start_end_handshape_annotations//test_auto_move//signs_mov_separ_signers/Liz_15619.mov" TargetMode="External"/><Relationship Id="rId8023" Type="http://schemas.openxmlformats.org/officeDocument/2006/relationships/hyperlink" Target="http://secrets.rutgers.edu:8080/data/asl-ftp/asllvd/demos/verify_start_end_handshape_annotations//test_auto_move//signs_mov/15536_15619_merged.mov" TargetMode="External"/><Relationship Id="rId8024" Type="http://schemas.openxmlformats.org/officeDocument/2006/relationships/hyperlink" Target="http://secrets.rutgers.edu:8080/data/asl-ftp/asllvd/demos/verify_start_end_handshape_annotations//test_auto_move//signs_mov_separ_signers/Liz_15619.mov" TargetMode="External"/><Relationship Id="rId8025" Type="http://schemas.openxmlformats.org/officeDocument/2006/relationships/hyperlink" Target="http://csr.bu.edu/ftp/asl/asllvd/demos/verify_start_end_handshape_annotations//test_auto_move//signs_mov_separ_signers/Naomi_15536.mov" TargetMode="External"/><Relationship Id="rId8026" Type="http://schemas.openxmlformats.org/officeDocument/2006/relationships/hyperlink" Target="http://secrets.rutgers.edu:8080/data/asl-ftp/asllvd/demos/verify_start_end_handshape_annotations//test_auto_move//signs_mov_separ_signers/Naomi_15536.mov" TargetMode="External"/><Relationship Id="rId8027" Type="http://schemas.openxmlformats.org/officeDocument/2006/relationships/hyperlink" Target="http://csr.bu.edu/ftp/asl/asllvd/demos/verify_start_end_handshape_annotations//test_auto_move//signs_mov_separ_signers/Naomi_15619.mov" TargetMode="External"/><Relationship Id="rId8028" Type="http://schemas.openxmlformats.org/officeDocument/2006/relationships/hyperlink" Target="http://secrets.rutgers.edu:8080/data/asl-ftp/asllvd/demos/verify_start_end_handshape_annotations//test_auto_move//signs_mov_separ_signers/Naomi_15619.mov" TargetMode="External"/><Relationship Id="rId8029" Type="http://schemas.openxmlformats.org/officeDocument/2006/relationships/hyperlink" Target="http://csr.bu.edu/ftp/asl/asllvd/demos/verify_start_end_handshape_annotations//test_auto_move//signs_mov_separ_signers/Liz_15620.mov" TargetMode="External"/><Relationship Id="rId8030" Type="http://schemas.openxmlformats.org/officeDocument/2006/relationships/hyperlink" Target="http://secrets.rutgers.edu:8080/data/asl-ftp/asllvd/demos/verify_start_end_handshape_annotations//test_auto_move//signs_mov_separ_signers/Liz_15620.mov" TargetMode="External"/><Relationship Id="rId8031" Type="http://schemas.openxmlformats.org/officeDocument/2006/relationships/hyperlink" Target="http://csr.bu.edu/ftp/asl/asllvd/demos/verify_start_end_handshape_annotations//test_auto_move//signs_mov_separ_signers/Liz_15694.mov" TargetMode="External"/><Relationship Id="rId8032" Type="http://schemas.openxmlformats.org/officeDocument/2006/relationships/hyperlink" Target="http://secrets.rutgers.edu:8080/data/asl-ftp/asllvd/demos/verify_start_end_handshape_annotations//test_auto_move//signs_mov_separ_signers/Liz_15694.mov" TargetMode="External"/><Relationship Id="rId8033" Type="http://schemas.openxmlformats.org/officeDocument/2006/relationships/hyperlink" Target="http://csr.bu.edu/ftp/asl/asllvd/demos/verify_start_end_handshape_annotations//test_auto_move//signs_mov_separ_signers/Tyler_15620.mov" TargetMode="External"/><Relationship Id="rId8034" Type="http://schemas.openxmlformats.org/officeDocument/2006/relationships/hyperlink" Target="http://secrets.rutgers.edu:8080/data/asl-ftp/asllvd/demos/verify_start_end_handshape_annotations//test_auto_move//signs_mov_separ_signers/Tyler_15620.mov" TargetMode="External"/><Relationship Id="rId8035" Type="http://schemas.openxmlformats.org/officeDocument/2006/relationships/hyperlink" Target="http://csr.bu.edu/ftp/asl/asllvd/demos/verify_start_end_handshape_annotations//test_auto_move//signs_mov/15620_15694_merged.mov" TargetMode="External"/><Relationship Id="rId8036" Type="http://schemas.openxmlformats.org/officeDocument/2006/relationships/hyperlink" Target="http://csr.bu.edu/ftp/asl/asllvd/demos/verify_start_end_handshape_annotations//test_auto_move//signs_mov_separ_signers/Tyler_15694.mov" TargetMode="External"/><Relationship Id="rId8037" Type="http://schemas.openxmlformats.org/officeDocument/2006/relationships/hyperlink" Target="http://secrets.rutgers.edu:8080/data/asl-ftp/asllvd/demos/verify_start_end_handshape_annotations//test_auto_move//signs_mov/15620_15694_merged.mov" TargetMode="External"/><Relationship Id="rId8038" Type="http://schemas.openxmlformats.org/officeDocument/2006/relationships/hyperlink" Target="http://secrets.rutgers.edu:8080/data/asl-ftp/asllvd/demos/verify_start_end_handshape_annotations//test_auto_move//signs_mov_separ_signers/Tyler_15694.mov" TargetMode="External"/><Relationship Id="rId8039" Type="http://schemas.openxmlformats.org/officeDocument/2006/relationships/hyperlink" Target="http://csr.bu.edu/ftp/asl/asllvd/demos/verify_start_end_handshape_annotations//test_auto_move//signs_mov_separ_signers/Naomi_15620.mov" TargetMode="External"/><Relationship Id="rId8040" Type="http://schemas.openxmlformats.org/officeDocument/2006/relationships/hyperlink" Target="http://secrets.rutgers.edu:8080/data/asl-ftp/asllvd/demos/verify_start_end_handshape_annotations//test_auto_move//signs_mov_separ_signers/Naomi_15620.mov" TargetMode="External"/><Relationship Id="rId8041" Type="http://schemas.openxmlformats.org/officeDocument/2006/relationships/hyperlink" Target="http://csr.bu.edu/ftp/asl/asllvd/demos/verify_start_end_handshape_annotations//test_auto_move//signs_mov_separ_signers/Naomi_15694.mov" TargetMode="External"/><Relationship Id="rId8042" Type="http://schemas.openxmlformats.org/officeDocument/2006/relationships/hyperlink" Target="http://secrets.rutgers.edu:8080/data/asl-ftp/asllvd/demos/verify_start_end_handshape_annotations//test_auto_move//signs_mov_separ_signers/Naomi_15694.mov" TargetMode="External"/><Relationship Id="rId8043" Type="http://schemas.openxmlformats.org/officeDocument/2006/relationships/hyperlink" Target="http://csr.bu.edu/ftp/asl/asllvd/demos/verify_start_end_handshape_annotations//test_auto_move//signs_mov_separ_signers/Brady_15620.mov" TargetMode="External"/><Relationship Id="rId8044" Type="http://schemas.openxmlformats.org/officeDocument/2006/relationships/hyperlink" Target="http://secrets.rutgers.edu:8080/data/asl-ftp/asllvd/demos/verify_start_end_handshape_annotations//test_auto_move//signs_mov_separ_signers/Brady_15620.mov" TargetMode="External"/><Relationship Id="rId8045" Type="http://schemas.openxmlformats.org/officeDocument/2006/relationships/hyperlink" Target="http://csr.bu.edu/ftp/asl/asllvd/demos/verify_start_end_handshape_annotations//test_auto_move//signs_mov/16344.mov" TargetMode="External"/><Relationship Id="rId8046" Type="http://schemas.openxmlformats.org/officeDocument/2006/relationships/hyperlink" Target="http://csr.bu.edu/ftp/asl/asllvd/demos/verify_start_end_handshape_annotations//test_auto_move//signs_mov_separ_signers/Lana_16344.mov" TargetMode="External"/><Relationship Id="rId8047" Type="http://schemas.openxmlformats.org/officeDocument/2006/relationships/hyperlink" Target="http://secrets.rutgers.edu:8080/data/asl-ftp/asllvd/demos/verify_start_end_handshape_annotations//test_auto_move//signs_mov/16344.mov" TargetMode="External"/><Relationship Id="rId8048" Type="http://schemas.openxmlformats.org/officeDocument/2006/relationships/hyperlink" Target="http://secrets.rutgers.edu:8080/data/asl-ftp/asllvd/demos/verify_start_end_handshape_annotations//test_auto_move//signs_mov_separ_signers/Lana_16344.mov" TargetMode="External"/><Relationship Id="rId8049" Type="http://schemas.openxmlformats.org/officeDocument/2006/relationships/hyperlink" Target="http://csr.bu.edu/ftp/asl/asllvd/demos/verify_start_end_handshape_annotations//test_auto_move//signs_mov_separ_signers/Liz_873.mov" TargetMode="External"/><Relationship Id="rId8050" Type="http://schemas.openxmlformats.org/officeDocument/2006/relationships/hyperlink" Target="http://secrets.rutgers.edu:8080/data/asl-ftp/asllvd/demos/verify_start_end_handshape_annotations//test_auto_move//signs_mov_separ_signers/Liz_873.mov" TargetMode="External"/><Relationship Id="rId8051" Type="http://schemas.openxmlformats.org/officeDocument/2006/relationships/hyperlink" Target="http://csr.bu.edu/ftp/asl/asllvd/demos/verify_start_end_handshape_annotations//test_auto_move//signs_mov_separ_signers/Tyler_873.mov" TargetMode="External"/><Relationship Id="rId8052" Type="http://schemas.openxmlformats.org/officeDocument/2006/relationships/hyperlink" Target="http://secrets.rutgers.edu:8080/data/asl-ftp/asllvd/demos/verify_start_end_handshape_annotations//test_auto_move//signs_mov_separ_signers/Tyler_873.mov" TargetMode="External"/><Relationship Id="rId8053" Type="http://schemas.openxmlformats.org/officeDocument/2006/relationships/hyperlink" Target="http://csr.bu.edu/ftp/asl/asllvd/demos/verify_start_end_handshape_annotations//test_auto_move//signs_mov/873.mov" TargetMode="External"/><Relationship Id="rId8054" Type="http://schemas.openxmlformats.org/officeDocument/2006/relationships/hyperlink" Target="http://csr.bu.edu/ftp/asl/asllvd/demos/verify_start_end_handshape_annotations//test_auto_move//signs_mov_separ_signers/Naomi_873.mov" TargetMode="External"/><Relationship Id="rId8055" Type="http://schemas.openxmlformats.org/officeDocument/2006/relationships/hyperlink" Target="http://secrets.rutgers.edu:8080/data/asl-ftp/asllvd/demos/verify_start_end_handshape_annotations//test_auto_move//signs_mov/873.mov" TargetMode="External"/><Relationship Id="rId8056" Type="http://schemas.openxmlformats.org/officeDocument/2006/relationships/hyperlink" Target="http://secrets.rutgers.edu:8080/data/asl-ftp/asllvd/demos/verify_start_end_handshape_annotations//test_auto_move//signs_mov_separ_signers/Naomi_873.mov" TargetMode="External"/><Relationship Id="rId8057" Type="http://schemas.openxmlformats.org/officeDocument/2006/relationships/hyperlink" Target="http://csr.bu.edu/ftp/asl/asllvd/demos/verify_start_end_handshape_annotations//test_auto_move//signs_mov_separ_signers/Brady_873.mov" TargetMode="External"/><Relationship Id="rId8058" Type="http://schemas.openxmlformats.org/officeDocument/2006/relationships/hyperlink" Target="http://secrets.rutgers.edu:8080/data/asl-ftp/asllvd/demos/verify_start_end_handshape_annotations//test_auto_move//signs_mov_separ_signers/Brady_873.mov" TargetMode="External"/><Relationship Id="rId8059" Type="http://schemas.openxmlformats.org/officeDocument/2006/relationships/hyperlink" Target="http://csr.bu.edu/ftp/asl/asllvd/demos/verify_start_end_handshape_annotations//test_auto_move//signs_mov_separ_signers/Lana_873.mov" TargetMode="External"/><Relationship Id="rId8060" Type="http://schemas.openxmlformats.org/officeDocument/2006/relationships/hyperlink" Target="http://secrets.rutgers.edu:8080/data/asl-ftp/asllvd/demos/verify_start_end_handshape_annotations//test_auto_move//signs_mov_separ_signers/Lana_873.mov" TargetMode="External"/><Relationship Id="rId8061" Type="http://schemas.openxmlformats.org/officeDocument/2006/relationships/hyperlink" Target="http://csr.bu.edu/ftp/asl/asllvd/demos/verify_start_end_handshape_annotations//test_auto_move//signs_mov_separ_signers/Dana_873.mov" TargetMode="External"/><Relationship Id="rId8062" Type="http://schemas.openxmlformats.org/officeDocument/2006/relationships/hyperlink" Target="http://secrets.rutgers.edu:8080/data/asl-ftp/asllvd/demos/verify_start_end_handshape_annotations//test_auto_move//signs_mov_separ_signers/Dana_873.mov" TargetMode="External"/><Relationship Id="rId8063" Type="http://schemas.openxmlformats.org/officeDocument/2006/relationships/hyperlink" Target="http://csr.bu.edu/ftp/asl/asllvd/demos/verify_start_end_handshape_annotations//test_auto_move//signs_mov/15905.mov" TargetMode="External"/><Relationship Id="rId8064" Type="http://schemas.openxmlformats.org/officeDocument/2006/relationships/hyperlink" Target="http://csr.bu.edu/ftp/asl/asllvd/demos/verify_start_end_handshape_annotations//test_auto_move//signs_mov_separ_signers/Liz_15905.mov" TargetMode="External"/><Relationship Id="rId8065" Type="http://schemas.openxmlformats.org/officeDocument/2006/relationships/hyperlink" Target="http://secrets.rutgers.edu:8080/data/asl-ftp/asllvd/demos/verify_start_end_handshape_annotations//test_auto_move//signs_mov/15905.mov" TargetMode="External"/><Relationship Id="rId8066" Type="http://schemas.openxmlformats.org/officeDocument/2006/relationships/hyperlink" Target="http://secrets.rutgers.edu:8080/data/asl-ftp/asllvd/demos/verify_start_end_handshape_annotations//test_auto_move//signs_mov_separ_signers/Liz_15905.mov" TargetMode="External"/><Relationship Id="rId8067" Type="http://schemas.openxmlformats.org/officeDocument/2006/relationships/hyperlink" Target="http://csr.bu.edu/ftp/asl/asllvd/demos/verify_start_end_handshape_annotations//test_auto_move//signs_mov_separ_signers/Brady_15905.mov" TargetMode="External"/><Relationship Id="rId8068" Type="http://schemas.openxmlformats.org/officeDocument/2006/relationships/hyperlink" Target="http://secrets.rutgers.edu:8080/data/asl-ftp/asllvd/demos/verify_start_end_handshape_annotations//test_auto_move//signs_mov_separ_signers/Brady_15905.mov" TargetMode="External"/><Relationship Id="rId8069" Type="http://schemas.openxmlformats.org/officeDocument/2006/relationships/hyperlink" Target="http://csr.bu.edu/ftp/asl/asllvd/demos/verify_start_end_handshape_annotations//test_auto_move//signs_mov/15916.mov" TargetMode="External"/><Relationship Id="rId8070" Type="http://schemas.openxmlformats.org/officeDocument/2006/relationships/hyperlink" Target="http://csr.bu.edu/ftp/asl/asllvd/demos/verify_start_end_handshape_annotations//test_auto_move//signs_mov_separ_signers/Lana_15916.mov" TargetMode="External"/><Relationship Id="rId8071" Type="http://schemas.openxmlformats.org/officeDocument/2006/relationships/hyperlink" Target="http://secrets.rutgers.edu:8080/data/asl-ftp/asllvd/demos/verify_start_end_handshape_annotations//test_auto_move//signs_mov/15916.mov" TargetMode="External"/><Relationship Id="rId8072" Type="http://schemas.openxmlformats.org/officeDocument/2006/relationships/hyperlink" Target="http://secrets.rutgers.edu:8080/data/asl-ftp/asllvd/demos/verify_start_end_handshape_annotations//test_auto_move//signs_mov_separ_signers/Lana_15916.mov" TargetMode="External"/><Relationship Id="rId8073" Type="http://schemas.openxmlformats.org/officeDocument/2006/relationships/hyperlink" Target="http://csr.bu.edu/ftp/asl/asllvd/demos/verify_start_end_handshape_annotations//test_auto_move//signs_mov_separ_signers/Dana_15916.mov" TargetMode="External"/><Relationship Id="rId8074" Type="http://schemas.openxmlformats.org/officeDocument/2006/relationships/hyperlink" Target="http://secrets.rutgers.edu:8080/data/asl-ftp/asllvd/demos/verify_start_end_handshape_annotations//test_auto_move//signs_mov_separ_signers/Dana_15916.mov" TargetMode="External"/><Relationship Id="rId8075" Type="http://schemas.openxmlformats.org/officeDocument/2006/relationships/hyperlink" Target="http://csr.bu.edu/ftp/asl/asllvd/demos/verify_start_end_handshape_annotations//test_auto_move//signs_mov/15919.mov" TargetMode="External"/><Relationship Id="rId8076" Type="http://schemas.openxmlformats.org/officeDocument/2006/relationships/hyperlink" Target="http://csr.bu.edu/ftp/asl/asllvd/demos/verify_start_end_handshape_annotations//test_auto_move//signs_mov_separ_signers/Liz_15919.mov" TargetMode="External"/><Relationship Id="rId8077" Type="http://schemas.openxmlformats.org/officeDocument/2006/relationships/hyperlink" Target="http://secrets.rutgers.edu:8080/data/asl-ftp/asllvd/demos/verify_start_end_handshape_annotations//test_auto_move//signs_mov/15919.mov" TargetMode="External"/><Relationship Id="rId8078" Type="http://schemas.openxmlformats.org/officeDocument/2006/relationships/hyperlink" Target="http://secrets.rutgers.edu:8080/data/asl-ftp/asllvd/demos/verify_start_end_handshape_annotations//test_auto_move//signs_mov_separ_signers/Liz_15919.mov" TargetMode="External"/><Relationship Id="rId8079" Type="http://schemas.openxmlformats.org/officeDocument/2006/relationships/hyperlink" Target="http://csr.bu.edu/ftp/asl/asllvd/demos/verify_start_end_handshape_annotations//test_auto_move//signs_mov_separ_signers/Brady_15919.mov" TargetMode="External"/><Relationship Id="rId8080" Type="http://schemas.openxmlformats.org/officeDocument/2006/relationships/hyperlink" Target="http://secrets.rutgers.edu:8080/data/asl-ftp/asllvd/demos/verify_start_end_handshape_annotations//test_auto_move//signs_mov_separ_signers/Brady_15919.mov" TargetMode="External"/><Relationship Id="rId8081" Type="http://schemas.openxmlformats.org/officeDocument/2006/relationships/hyperlink" Target="http://csr.bu.edu/ftp/asl/asllvd/demos/verify_start_end_handshape_annotations//test_auto_move//signs_mov/15938.mov" TargetMode="External"/><Relationship Id="rId8082" Type="http://schemas.openxmlformats.org/officeDocument/2006/relationships/hyperlink" Target="http://csr.bu.edu/ftp/asl/asllvd/demos/verify_start_end_handshape_annotations//test_auto_move//signs_mov_separ_signers/Liz_15938.mov" TargetMode="External"/><Relationship Id="rId8083" Type="http://schemas.openxmlformats.org/officeDocument/2006/relationships/hyperlink" Target="http://secrets.rutgers.edu:8080/data/asl-ftp/asllvd/demos/verify_start_end_handshape_annotations//test_auto_move//signs_mov/15938.mov" TargetMode="External"/><Relationship Id="rId8084" Type="http://schemas.openxmlformats.org/officeDocument/2006/relationships/hyperlink" Target="http://secrets.rutgers.edu:8080/data/asl-ftp/asllvd/demos/verify_start_end_handshape_annotations//test_auto_move//signs_mov_separ_signers/Liz_15938.mov" TargetMode="External"/><Relationship Id="rId8085" Type="http://schemas.openxmlformats.org/officeDocument/2006/relationships/hyperlink" Target="http://csr.bu.edu/ftp/asl/asllvd/demos/verify_start_end_handshape_annotations//test_auto_move//signs_mov_separ_signers/Brady_15938.mov" TargetMode="External"/><Relationship Id="rId8086" Type="http://schemas.openxmlformats.org/officeDocument/2006/relationships/hyperlink" Target="http://secrets.rutgers.edu:8080/data/asl-ftp/asllvd/demos/verify_start_end_handshape_annotations//test_auto_move//signs_mov_separ_signers/Brady_15938.mov" TargetMode="External"/><Relationship Id="rId8087" Type="http://schemas.openxmlformats.org/officeDocument/2006/relationships/hyperlink" Target="http://csr.bu.edu/ftp/asl/asllvd/demos/verify_start_end_handshape_annotations//test_auto_move//signs_mov_separ_signers/Liz_15944.mov" TargetMode="External"/><Relationship Id="rId8088" Type="http://schemas.openxmlformats.org/officeDocument/2006/relationships/hyperlink" Target="http://secrets.rutgers.edu:8080/data/asl-ftp/asllvd/demos/verify_start_end_handshape_annotations//test_auto_move//signs_mov_separ_signers/Liz_15944.mov" TargetMode="External"/><Relationship Id="rId8089" Type="http://schemas.openxmlformats.org/officeDocument/2006/relationships/hyperlink" Target="http://csr.bu.edu/ftp/asl/asllvd/demos/verify_start_end_handshape_annotations//test_auto_move//signs_mov/15944.mov" TargetMode="External"/><Relationship Id="rId8090" Type="http://schemas.openxmlformats.org/officeDocument/2006/relationships/hyperlink" Target="http://csr.bu.edu/ftp/asl/asllvd/demos/verify_start_end_handshape_annotations//test_auto_move//signs_mov_separ_signers/Tyler_15944.mov" TargetMode="External"/><Relationship Id="rId8091" Type="http://schemas.openxmlformats.org/officeDocument/2006/relationships/hyperlink" Target="http://secrets.rutgers.edu:8080/data/asl-ftp/asllvd/demos/verify_start_end_handshape_annotations//test_auto_move//signs_mov/15944.mov" TargetMode="External"/><Relationship Id="rId8092" Type="http://schemas.openxmlformats.org/officeDocument/2006/relationships/hyperlink" Target="http://secrets.rutgers.edu:8080/data/asl-ftp/asllvd/demos/verify_start_end_handshape_annotations//test_auto_move//signs_mov_separ_signers/Tyler_15944.mov" TargetMode="External"/><Relationship Id="rId8093" Type="http://schemas.openxmlformats.org/officeDocument/2006/relationships/hyperlink" Target="http://csr.bu.edu/ftp/asl/asllvd/demos/verify_start_end_handshape_annotations//test_auto_move//signs_mov_separ_signers/Naomi_15944.mov" TargetMode="External"/><Relationship Id="rId8094" Type="http://schemas.openxmlformats.org/officeDocument/2006/relationships/hyperlink" Target="http://secrets.rutgers.edu:8080/data/asl-ftp/asllvd/demos/verify_start_end_handshape_annotations//test_auto_move//signs_mov_separ_signers/Naomi_15944.mov" TargetMode="External"/><Relationship Id="rId8095" Type="http://schemas.openxmlformats.org/officeDocument/2006/relationships/hyperlink" Target="http://csr.bu.edu/ftp/asl/asllvd/demos/verify_start_end_handshape_annotations//test_auto_move//signs_mov_separ_signers/Brady_15944.mov" TargetMode="External"/><Relationship Id="rId8096" Type="http://schemas.openxmlformats.org/officeDocument/2006/relationships/hyperlink" Target="http://secrets.rutgers.edu:8080/data/asl-ftp/asllvd/demos/verify_start_end_handshape_annotations//test_auto_move//signs_mov_separ_signers/Brady_15944.mov" TargetMode="External"/><Relationship Id="rId8097" Type="http://schemas.openxmlformats.org/officeDocument/2006/relationships/hyperlink" Target="http://csr.bu.edu/ftp/asl/asllvd/demos/verify_start_end_handshape_annotations//test_auto_move//signs_mov_separ_signers/Liz_15968.mov" TargetMode="External"/><Relationship Id="rId8098" Type="http://schemas.openxmlformats.org/officeDocument/2006/relationships/hyperlink" Target="http://secrets.rutgers.edu:8080/data/asl-ftp/asllvd/demos/verify_start_end_handshape_annotations//test_auto_move//signs_mov_separ_signers/Liz_15968.mov" TargetMode="External"/><Relationship Id="rId8099" Type="http://schemas.openxmlformats.org/officeDocument/2006/relationships/hyperlink" Target="http://csr.bu.edu/ftp/asl/asllvd/demos/verify_start_end_handshape_annotations//test_auto_move//signs_mov/15968_15976_merged.mov" TargetMode="External"/><Relationship Id="rId8100" Type="http://schemas.openxmlformats.org/officeDocument/2006/relationships/hyperlink" Target="http://csr.bu.edu/ftp/asl/asllvd/demos/verify_start_end_handshape_annotations//test_auto_move//signs_mov_separ_signers/Tyler_15968.mov" TargetMode="External"/><Relationship Id="rId8101" Type="http://schemas.openxmlformats.org/officeDocument/2006/relationships/hyperlink" Target="http://secrets.rutgers.edu:8080/data/asl-ftp/asllvd/demos/verify_start_end_handshape_annotations//test_auto_move//signs_mov/15968_15976_merged.mov" TargetMode="External"/><Relationship Id="rId8102" Type="http://schemas.openxmlformats.org/officeDocument/2006/relationships/hyperlink" Target="http://secrets.rutgers.edu:8080/data/asl-ftp/asllvd/demos/verify_start_end_handshape_annotations//test_auto_move//signs_mov_separ_signers/Tyler_15968.mov" TargetMode="External"/><Relationship Id="rId8103" Type="http://schemas.openxmlformats.org/officeDocument/2006/relationships/hyperlink" Target="http://csr.bu.edu/ftp/asl/asllvd/demos/verify_start_end_handshape_annotations//test_auto_move//signs_mov_separ_signers/Naomi_15968.mov" TargetMode="External"/><Relationship Id="rId8104" Type="http://schemas.openxmlformats.org/officeDocument/2006/relationships/hyperlink" Target="http://secrets.rutgers.edu:8080/data/asl-ftp/asllvd/demos/verify_start_end_handshape_annotations//test_auto_move//signs_mov_separ_signers/Naomi_15968.mov" TargetMode="External"/><Relationship Id="rId8105" Type="http://schemas.openxmlformats.org/officeDocument/2006/relationships/hyperlink" Target="http://csr.bu.edu/ftp/asl/asllvd/demos/verify_start_end_handshape_annotations//test_auto_move//signs_mov_separ_signers/Naomi_15976.mov" TargetMode="External"/><Relationship Id="rId8106" Type="http://schemas.openxmlformats.org/officeDocument/2006/relationships/hyperlink" Target="http://secrets.rutgers.edu:8080/data/asl-ftp/asllvd/demos/verify_start_end_handshape_annotations//test_auto_move//signs_mov_separ_signers/Naomi_15976.mov" TargetMode="External"/><Relationship Id="rId8107" Type="http://schemas.openxmlformats.org/officeDocument/2006/relationships/hyperlink" Target="http://csr.bu.edu/ftp/asl/asllvd/demos/verify_start_end_handshape_annotations//test_auto_move//signs_mov_separ_signers/Liz_15978.mov" TargetMode="External"/><Relationship Id="rId8108" Type="http://schemas.openxmlformats.org/officeDocument/2006/relationships/hyperlink" Target="http://secrets.rutgers.edu:8080/data/asl-ftp/asllvd/demos/verify_start_end_handshape_annotations//test_auto_move//signs_mov_separ_signers/Liz_15978.mov" TargetMode="External"/><Relationship Id="rId8109" Type="http://schemas.openxmlformats.org/officeDocument/2006/relationships/hyperlink" Target="http://csr.bu.edu/ftp/asl/asllvd/demos/verify_start_end_handshape_annotations//test_auto_move//signs_mov_separ_signers/Liz_15984.mov" TargetMode="External"/><Relationship Id="rId8110" Type="http://schemas.openxmlformats.org/officeDocument/2006/relationships/hyperlink" Target="http://secrets.rutgers.edu:8080/data/asl-ftp/asllvd/demos/verify_start_end_handshape_annotations//test_auto_move//signs_mov_separ_signers/Liz_15984.mov" TargetMode="External"/><Relationship Id="rId8111" Type="http://schemas.openxmlformats.org/officeDocument/2006/relationships/hyperlink" Target="http://csr.bu.edu/ftp/asl/asllvd/demos/verify_start_end_handshape_annotations//test_auto_move//signs_mov/15978_15984_merged.mov" TargetMode="External"/><Relationship Id="rId8112" Type="http://schemas.openxmlformats.org/officeDocument/2006/relationships/hyperlink" Target="http://csr.bu.edu/ftp/asl/asllvd/demos/verify_start_end_handshape_annotations//test_auto_move//signs_mov_separ_signers/Naomi_15978.mov" TargetMode="External"/><Relationship Id="rId8113" Type="http://schemas.openxmlformats.org/officeDocument/2006/relationships/hyperlink" Target="http://secrets.rutgers.edu:8080/data/asl-ftp/asllvd/demos/verify_start_end_handshape_annotations//test_auto_move//signs_mov/15978_15984_merged.mov" TargetMode="External"/><Relationship Id="rId8114" Type="http://schemas.openxmlformats.org/officeDocument/2006/relationships/hyperlink" Target="http://secrets.rutgers.edu:8080/data/asl-ftp/asllvd/demos/verify_start_end_handshape_annotations//test_auto_move//signs_mov_separ_signers/Naomi_15978.mov" TargetMode="External"/><Relationship Id="rId8115" Type="http://schemas.openxmlformats.org/officeDocument/2006/relationships/hyperlink" Target="http://csr.bu.edu/ftp/asl/asllvd/demos/verify_start_end_handshape_annotations//test_auto_move//signs_mov_separ_signers/Brady_15978.mov" TargetMode="External"/><Relationship Id="rId8116" Type="http://schemas.openxmlformats.org/officeDocument/2006/relationships/hyperlink" Target="http://secrets.rutgers.edu:8080/data/asl-ftp/asllvd/demos/verify_start_end_handshape_annotations//test_auto_move//signs_mov_separ_signers/Brady_15978.mov" TargetMode="External"/><Relationship Id="rId8117" Type="http://schemas.openxmlformats.org/officeDocument/2006/relationships/hyperlink" Target="http://csr.bu.edu/ftp/asl/asllvd/demos/verify_start_end_handshape_annotations//test_auto_move//signs_mov_separ_signers/Brady_15984.mov" TargetMode="External"/><Relationship Id="rId8118" Type="http://schemas.openxmlformats.org/officeDocument/2006/relationships/hyperlink" Target="http://secrets.rutgers.edu:8080/data/asl-ftp/asllvd/demos/verify_start_end_handshape_annotations//test_auto_move//signs_mov_separ_signers/Brady_15984.mov" TargetMode="External"/><Relationship Id="rId8119" Type="http://schemas.openxmlformats.org/officeDocument/2006/relationships/hyperlink" Target="http://csr.bu.edu/ftp/asl/asllvd/demos/verify_start_end_handshape_annotations//test_auto_move//signs_mov/15985.mov" TargetMode="External"/><Relationship Id="rId8120" Type="http://schemas.openxmlformats.org/officeDocument/2006/relationships/hyperlink" Target="http://csr.bu.edu/ftp/asl/asllvd/demos/verify_start_end_handshape_annotations//test_auto_move//signs_mov_separ_signers/Liz_15985.mov" TargetMode="External"/><Relationship Id="rId8121" Type="http://schemas.openxmlformats.org/officeDocument/2006/relationships/hyperlink" Target="http://secrets.rutgers.edu:8080/data/asl-ftp/asllvd/demos/verify_start_end_handshape_annotations//test_auto_move//signs_mov/15985.mov" TargetMode="External"/><Relationship Id="rId8122" Type="http://schemas.openxmlformats.org/officeDocument/2006/relationships/hyperlink" Target="http://secrets.rutgers.edu:8080/data/asl-ftp/asllvd/demos/verify_start_end_handshape_annotations//test_auto_move//signs_mov_separ_signers/Liz_15985.mov" TargetMode="External"/><Relationship Id="rId8123" Type="http://schemas.openxmlformats.org/officeDocument/2006/relationships/hyperlink" Target="http://csr.bu.edu/ftp/asl/asllvd/demos/verify_start_end_handshape_annotations//test_auto_move//signs_mov_separ_signers/Brady_15985.mov" TargetMode="External"/><Relationship Id="rId8124" Type="http://schemas.openxmlformats.org/officeDocument/2006/relationships/hyperlink" Target="http://secrets.rutgers.edu:8080/data/asl-ftp/asllvd/demos/verify_start_end_handshape_annotations//test_auto_move//signs_mov_separ_signers/Brady_15985.mov" TargetMode="External"/><Relationship Id="rId8125" Type="http://schemas.openxmlformats.org/officeDocument/2006/relationships/hyperlink" Target="http://csr.bu.edu/ftp/asl/asllvd/demos/verify_start_end_handshape_annotations//test_auto_move//signs_mov_separ_signers/Liz_16034.mov" TargetMode="External"/><Relationship Id="rId8126" Type="http://schemas.openxmlformats.org/officeDocument/2006/relationships/hyperlink" Target="http://secrets.rutgers.edu:8080/data/asl-ftp/asllvd/demos/verify_start_end_handshape_annotations//test_auto_move//signs_mov_separ_signers/Liz_16034.mov" TargetMode="External"/><Relationship Id="rId8127" Type="http://schemas.openxmlformats.org/officeDocument/2006/relationships/hyperlink" Target="http://csr.bu.edu/ftp/asl/asllvd/demos/verify_start_end_handshape_annotations//test_auto_move//signs_mov/16034.mov" TargetMode="External"/><Relationship Id="rId8128" Type="http://schemas.openxmlformats.org/officeDocument/2006/relationships/hyperlink" Target="http://csr.bu.edu/ftp/asl/asllvd/demos/verify_start_end_handshape_annotations//test_auto_move//signs_mov_separ_signers/Tyler_16034.mov" TargetMode="External"/><Relationship Id="rId8129" Type="http://schemas.openxmlformats.org/officeDocument/2006/relationships/hyperlink" Target="http://secrets.rutgers.edu:8080/data/asl-ftp/asllvd/demos/verify_start_end_handshape_annotations//test_auto_move//signs_mov/16034.mov" TargetMode="External"/><Relationship Id="rId8130" Type="http://schemas.openxmlformats.org/officeDocument/2006/relationships/hyperlink" Target="http://secrets.rutgers.edu:8080/data/asl-ftp/asllvd/demos/verify_start_end_handshape_annotations//test_auto_move//signs_mov_separ_signers/Tyler_16034.mov" TargetMode="External"/><Relationship Id="rId8131" Type="http://schemas.openxmlformats.org/officeDocument/2006/relationships/hyperlink" Target="http://csr.bu.edu/ftp/asl/asllvd/demos/verify_start_end_handshape_annotations//test_auto_move//signs_mov_separ_signers/Naomi_16034.mov" TargetMode="External"/><Relationship Id="rId8132" Type="http://schemas.openxmlformats.org/officeDocument/2006/relationships/hyperlink" Target="http://secrets.rutgers.edu:8080/data/asl-ftp/asllvd/demos/verify_start_end_handshape_annotations//test_auto_move//signs_mov_separ_signers/Naomi_16034.mov" TargetMode="External"/><Relationship Id="rId8133" Type="http://schemas.openxmlformats.org/officeDocument/2006/relationships/hyperlink" Target="http://csr.bu.edu/ftp/asl/asllvd/demos/verify_start_end_handshape_annotations//test_auto_move//signs_mov_separ_signers/Brady_16034.mov" TargetMode="External"/><Relationship Id="rId8134" Type="http://schemas.openxmlformats.org/officeDocument/2006/relationships/hyperlink" Target="http://secrets.rutgers.edu:8080/data/asl-ftp/asllvd/demos/verify_start_end_handshape_annotations//test_auto_move//signs_mov_separ_signers/Brady_16034.mov" TargetMode="External"/><Relationship Id="rId8135" Type="http://schemas.openxmlformats.org/officeDocument/2006/relationships/hyperlink" Target="http://csr.bu.edu/ftp/asl/asllvd/demos/verify_start_end_handshape_annotations//test_auto_move//signs_mov/16345.mov" TargetMode="External"/><Relationship Id="rId8136" Type="http://schemas.openxmlformats.org/officeDocument/2006/relationships/hyperlink" Target="http://csr.bu.edu/ftp/asl/asllvd/demos/verify_start_end_handshape_annotations//test_auto_move//signs_mov_separ_signers/Liz_16345.mov" TargetMode="External"/><Relationship Id="rId8137" Type="http://schemas.openxmlformats.org/officeDocument/2006/relationships/hyperlink" Target="http://secrets.rutgers.edu:8080/data/asl-ftp/asllvd/demos/verify_start_end_handshape_annotations//test_auto_move//signs_mov/16345.mov" TargetMode="External"/><Relationship Id="rId8138" Type="http://schemas.openxmlformats.org/officeDocument/2006/relationships/hyperlink" Target="http://secrets.rutgers.edu:8080/data/asl-ftp/asllvd/demos/verify_start_end_handshape_annotations//test_auto_move//signs_mov_separ_signers/Liz_16345.mov" TargetMode="External"/><Relationship Id="rId8139" Type="http://schemas.openxmlformats.org/officeDocument/2006/relationships/hyperlink" Target="http://csr.bu.edu/ftp/asl/asllvd/demos/verify_start_end_handshape_annotations//test_auto_move//signs_mov_separ_signers/Brady_16345.mov" TargetMode="External"/><Relationship Id="rId8140" Type="http://schemas.openxmlformats.org/officeDocument/2006/relationships/hyperlink" Target="http://secrets.rutgers.edu:8080/data/asl-ftp/asllvd/demos/verify_start_end_handshape_annotations//test_auto_move//signs_mov_separ_signers/Brady_16345.mov" TargetMode="External"/><Relationship Id="rId8141" Type="http://schemas.openxmlformats.org/officeDocument/2006/relationships/hyperlink" Target="http://csr.bu.edu/ftp/asl/asllvd/demos/verify_start_end_handshape_annotations//test_auto_move//signs_mov_separ_signers/Liz_878.mov" TargetMode="External"/><Relationship Id="rId8142" Type="http://schemas.openxmlformats.org/officeDocument/2006/relationships/hyperlink" Target="http://secrets.rutgers.edu:8080/data/asl-ftp/asllvd/demos/verify_start_end_handshape_annotations//test_auto_move//signs_mov_separ_signers/Liz_878.mov" TargetMode="External"/><Relationship Id="rId8143" Type="http://schemas.openxmlformats.org/officeDocument/2006/relationships/hyperlink" Target="http://csr.bu.edu/ftp/asl/asllvd/demos/verify_start_end_handshape_annotations//test_auto_move//signs_mov/878.mov" TargetMode="External"/><Relationship Id="rId8144" Type="http://schemas.openxmlformats.org/officeDocument/2006/relationships/hyperlink" Target="http://csr.bu.edu/ftp/asl/asllvd/demos/verify_start_end_handshape_annotations//test_auto_move//signs_mov_separ_signers/Naomi_878.mov" TargetMode="External"/><Relationship Id="rId8145" Type="http://schemas.openxmlformats.org/officeDocument/2006/relationships/hyperlink" Target="http://secrets.rutgers.edu:8080/data/asl-ftp/asllvd/demos/verify_start_end_handshape_annotations//test_auto_move//signs_mov/878.mov" TargetMode="External"/><Relationship Id="rId8146" Type="http://schemas.openxmlformats.org/officeDocument/2006/relationships/hyperlink" Target="http://secrets.rutgers.edu:8080/data/asl-ftp/asllvd/demos/verify_start_end_handshape_annotations//test_auto_move//signs_mov_separ_signers/Naomi_878.mov" TargetMode="External"/><Relationship Id="rId8147" Type="http://schemas.openxmlformats.org/officeDocument/2006/relationships/hyperlink" Target="http://csr.bu.edu/ftp/asl/asllvd/demos/verify_start_end_handshape_annotations//test_auto_move//signs_mov_separ_signers/Brady_878.mov" TargetMode="External"/><Relationship Id="rId8148" Type="http://schemas.openxmlformats.org/officeDocument/2006/relationships/hyperlink" Target="http://secrets.rutgers.edu:8080/data/asl-ftp/asllvd/demos/verify_start_end_handshape_annotations//test_auto_move//signs_mov_separ_signers/Brady_878.mov" TargetMode="External"/><Relationship Id="rId8149" Type="http://schemas.openxmlformats.org/officeDocument/2006/relationships/hyperlink" Target="http://csr.bu.edu/ftp/asl/asllvd/demos/verify_start_end_handshape_annotations//test_auto_move//signs_mov/16346.mov" TargetMode="External"/><Relationship Id="rId8150" Type="http://schemas.openxmlformats.org/officeDocument/2006/relationships/hyperlink" Target="http://csr.bu.edu/ftp/asl/asllvd/demos/verify_start_end_handshape_annotations//test_auto_move//signs_mov_separ_signers/Tyler_16346.mov" TargetMode="External"/><Relationship Id="rId8151" Type="http://schemas.openxmlformats.org/officeDocument/2006/relationships/hyperlink" Target="http://secrets.rutgers.edu:8080/data/asl-ftp/asllvd/demos/verify_start_end_handshape_annotations//test_auto_move//signs_mov/16346.mov" TargetMode="External"/><Relationship Id="rId8152" Type="http://schemas.openxmlformats.org/officeDocument/2006/relationships/hyperlink" Target="http://secrets.rutgers.edu:8080/data/asl-ftp/asllvd/demos/verify_start_end_handshape_annotations//test_auto_move//signs_mov_separ_signers/Tyler_16346.mov" TargetMode="External"/><Relationship Id="rId8153" Type="http://schemas.openxmlformats.org/officeDocument/2006/relationships/hyperlink" Target="http://csr.bu.edu/ftp/asl/asllvd/demos/verify_start_end_handshape_annotations//test_auto_move//signs_mov_separ_signers/Lana_16346.mov" TargetMode="External"/><Relationship Id="rId8154" Type="http://schemas.openxmlformats.org/officeDocument/2006/relationships/hyperlink" Target="http://secrets.rutgers.edu:8080/data/asl-ftp/asllvd/demos/verify_start_end_handshape_annotations//test_auto_move//signs_mov_separ_signers/Lana_16346.mov" TargetMode="External"/><Relationship Id="rId8155" Type="http://schemas.openxmlformats.org/officeDocument/2006/relationships/hyperlink" Target="http://csr.bu.edu/ftp/asl/asllvd/demos/verify_start_end_handshape_annotations//test_auto_move//signs_mov/880.mov" TargetMode="External"/><Relationship Id="rId8156" Type="http://schemas.openxmlformats.org/officeDocument/2006/relationships/hyperlink" Target="http://csr.bu.edu/ftp/asl/asllvd/demos/verify_start_end_handshape_annotations//test_auto_move//signs_mov_separ_signers/Lana_880.mov" TargetMode="External"/><Relationship Id="rId8157" Type="http://schemas.openxmlformats.org/officeDocument/2006/relationships/hyperlink" Target="http://secrets.rutgers.edu:8080/data/asl-ftp/asllvd/demos/verify_start_end_handshape_annotations//test_auto_move//signs_mov/880.mov" TargetMode="External"/><Relationship Id="rId8158" Type="http://schemas.openxmlformats.org/officeDocument/2006/relationships/hyperlink" Target="http://secrets.rutgers.edu:8080/data/asl-ftp/asllvd/demos/verify_start_end_handshape_annotations//test_auto_move//signs_mov_separ_signers/Lana_880.mov" TargetMode="External"/><Relationship Id="rId8159" Type="http://schemas.openxmlformats.org/officeDocument/2006/relationships/hyperlink" Target="http://csr.bu.edu/ftp/asl/asllvd/demos/verify_start_end_handshape_annotations//test_auto_move//signs_mov/5477.mov" TargetMode="External"/><Relationship Id="rId8160" Type="http://schemas.openxmlformats.org/officeDocument/2006/relationships/hyperlink" Target="http://csr.bu.edu/ftp/asl/asllvd/demos/verify_start_end_handshape_annotations//test_auto_move//signs_mov_separ_signers/Liz_5477.mov" TargetMode="External"/><Relationship Id="rId8161" Type="http://schemas.openxmlformats.org/officeDocument/2006/relationships/hyperlink" Target="http://secrets.rutgers.edu:8080/data/asl-ftp/asllvd/demos/verify_start_end_handshape_annotations//test_auto_move//signs_mov/5477.mov" TargetMode="External"/><Relationship Id="rId8162" Type="http://schemas.openxmlformats.org/officeDocument/2006/relationships/hyperlink" Target="http://secrets.rutgers.edu:8080/data/asl-ftp/asllvd/demos/verify_start_end_handshape_annotations//test_auto_move//signs_mov_separ_signers/Liz_5477.mov" TargetMode="External"/><Relationship Id="rId8163" Type="http://schemas.openxmlformats.org/officeDocument/2006/relationships/hyperlink" Target="http://csr.bu.edu/ftp/asl/asllvd/demos/verify_start_end_handshape_annotations//test_auto_move//signs_mov/5538.mov" TargetMode="External"/><Relationship Id="rId8164" Type="http://schemas.openxmlformats.org/officeDocument/2006/relationships/hyperlink" Target="http://csr.bu.edu/ftp/asl/asllvd/demos/verify_start_end_handshape_annotations//test_auto_move//signs_mov_separ_signers/Dana_5538.mov" TargetMode="External"/><Relationship Id="rId8165" Type="http://schemas.openxmlformats.org/officeDocument/2006/relationships/hyperlink" Target="http://secrets.rutgers.edu:8080/data/asl-ftp/asllvd/demos/verify_start_end_handshape_annotations//test_auto_move//signs_mov/5538.mov" TargetMode="External"/><Relationship Id="rId8166" Type="http://schemas.openxmlformats.org/officeDocument/2006/relationships/hyperlink" Target="http://secrets.rutgers.edu:8080/data/asl-ftp/asllvd/demos/verify_start_end_handshape_annotations//test_auto_move//signs_mov_separ_signers/Dana_5538.mov" TargetMode="External"/><Relationship Id="rId8167" Type="http://schemas.openxmlformats.org/officeDocument/2006/relationships/hyperlink" Target="http://csr.bu.edu/ftp/asl/asllvd/demos/verify_start_end_handshape_annotations//test_auto_move//signs_mov_separ_signers/Liz_16347.mov" TargetMode="External"/><Relationship Id="rId8168" Type="http://schemas.openxmlformats.org/officeDocument/2006/relationships/hyperlink" Target="http://secrets.rutgers.edu:8080/data/asl-ftp/asllvd/demos/verify_start_end_handshape_annotations//test_auto_move//signs_mov_separ_signers/Liz_16347.mov" TargetMode="External"/><Relationship Id="rId8169" Type="http://schemas.openxmlformats.org/officeDocument/2006/relationships/hyperlink" Target="http://csr.bu.edu/ftp/asl/asllvd/demos/verify_start_end_handshape_annotations//test_auto_move//signs_mov/16347.mov" TargetMode="External"/><Relationship Id="rId8170" Type="http://schemas.openxmlformats.org/officeDocument/2006/relationships/hyperlink" Target="http://csr.bu.edu/ftp/asl/asllvd/demos/verify_start_end_handshape_annotations//test_auto_move//signs_mov_separ_signers/Tyler_16347.mov" TargetMode="External"/><Relationship Id="rId8171" Type="http://schemas.openxmlformats.org/officeDocument/2006/relationships/hyperlink" Target="http://secrets.rutgers.edu:8080/data/asl-ftp/asllvd/demos/verify_start_end_handshape_annotations//test_auto_move//signs_mov/16347.mov" TargetMode="External"/><Relationship Id="rId8172" Type="http://schemas.openxmlformats.org/officeDocument/2006/relationships/hyperlink" Target="http://secrets.rutgers.edu:8080/data/asl-ftp/asllvd/demos/verify_start_end_handshape_annotations//test_auto_move//signs_mov_separ_signers/Tyler_16347.mov" TargetMode="External"/><Relationship Id="rId8173" Type="http://schemas.openxmlformats.org/officeDocument/2006/relationships/hyperlink" Target="http://csr.bu.edu/ftp/asl/asllvd/demos/verify_start_end_handshape_annotations//test_auto_move//signs_mov_separ_signers/Naomi_16347.mov" TargetMode="External"/><Relationship Id="rId8174" Type="http://schemas.openxmlformats.org/officeDocument/2006/relationships/hyperlink" Target="http://secrets.rutgers.edu:8080/data/asl-ftp/asllvd/demos/verify_start_end_handshape_annotations//test_auto_move//signs_mov_separ_signers/Naomi_16347.mov" TargetMode="External"/><Relationship Id="rId8175" Type="http://schemas.openxmlformats.org/officeDocument/2006/relationships/hyperlink" Target="http://csr.bu.edu/ftp/asl/asllvd/demos/verify_start_end_handshape_annotations//test_auto_move//signs_mov_separ_signers/Brady_16347.mov" TargetMode="External"/><Relationship Id="rId8176" Type="http://schemas.openxmlformats.org/officeDocument/2006/relationships/hyperlink" Target="http://secrets.rutgers.edu:8080/data/asl-ftp/asllvd/demos/verify_start_end_handshape_annotations//test_auto_move//signs_mov_separ_signers/Brady_16347.mov" TargetMode="External"/><Relationship Id="rId8177" Type="http://schemas.openxmlformats.org/officeDocument/2006/relationships/hyperlink" Target="http://csr.bu.edu/ftp/asl/asllvd/demos/verify_start_end_handshape_annotations//test_auto_move//signs_mov_separ_signers/Liz_881.mov" TargetMode="External"/><Relationship Id="rId8178" Type="http://schemas.openxmlformats.org/officeDocument/2006/relationships/hyperlink" Target="http://secrets.rutgers.edu:8080/data/asl-ftp/asllvd/demos/verify_start_end_handshape_annotations//test_auto_move//signs_mov_separ_signers/Liz_881.mov" TargetMode="External"/><Relationship Id="rId8179" Type="http://schemas.openxmlformats.org/officeDocument/2006/relationships/hyperlink" Target="http://csr.bu.edu/ftp/asl/asllvd/demos/verify_start_end_handshape_annotations//test_auto_move//signs_mov/881.mov" TargetMode="External"/><Relationship Id="rId8180" Type="http://schemas.openxmlformats.org/officeDocument/2006/relationships/hyperlink" Target="http://csr.bu.edu/ftp/asl/asllvd/demos/verify_start_end_handshape_annotations//test_auto_move//signs_mov_separ_signers/Naomi_881.mov" TargetMode="External"/><Relationship Id="rId8181" Type="http://schemas.openxmlformats.org/officeDocument/2006/relationships/hyperlink" Target="http://secrets.rutgers.edu:8080/data/asl-ftp/asllvd/demos/verify_start_end_handshape_annotations//test_auto_move//signs_mov/881.mov" TargetMode="External"/><Relationship Id="rId8182" Type="http://schemas.openxmlformats.org/officeDocument/2006/relationships/hyperlink" Target="http://secrets.rutgers.edu:8080/data/asl-ftp/asllvd/demos/verify_start_end_handshape_annotations//test_auto_move//signs_mov_separ_signers/Naomi_881.mov" TargetMode="External"/><Relationship Id="rId8183" Type="http://schemas.openxmlformats.org/officeDocument/2006/relationships/hyperlink" Target="http://csr.bu.edu/ftp/asl/asllvd/demos/verify_start_end_handshape_annotations//test_auto_move//signs_mov_separ_signers/Brady_881.mov" TargetMode="External"/><Relationship Id="rId8184" Type="http://schemas.openxmlformats.org/officeDocument/2006/relationships/hyperlink" Target="http://secrets.rutgers.edu:8080/data/asl-ftp/asllvd/demos/verify_start_end_handshape_annotations//test_auto_move//signs_mov_separ_signers/Brady_881.mov" TargetMode="External"/><Relationship Id="rId8185" Type="http://schemas.openxmlformats.org/officeDocument/2006/relationships/hyperlink" Target="http://csr.bu.edu/ftp/asl/asllvd/demos/verify_start_end_handshape_annotations//test_auto_move//signs_mov_separ_signers/Liz_883.mov" TargetMode="External"/><Relationship Id="rId8186" Type="http://schemas.openxmlformats.org/officeDocument/2006/relationships/hyperlink" Target="http://secrets.rutgers.edu:8080/data/asl-ftp/asllvd/demos/verify_start_end_handshape_annotations//test_auto_move//signs_mov_separ_signers/Liz_883.mov" TargetMode="External"/><Relationship Id="rId8187" Type="http://schemas.openxmlformats.org/officeDocument/2006/relationships/hyperlink" Target="http://csr.bu.edu/ftp/asl/asllvd/demos/verify_start_end_handshape_annotations//test_auto_move//signs_mov/883.mov" TargetMode="External"/><Relationship Id="rId8188" Type="http://schemas.openxmlformats.org/officeDocument/2006/relationships/hyperlink" Target="http://csr.bu.edu/ftp/asl/asllvd/demos/verify_start_end_handshape_annotations//test_auto_move//signs_mov_separ_signers/Naomi_883.mov" TargetMode="External"/><Relationship Id="rId8189" Type="http://schemas.openxmlformats.org/officeDocument/2006/relationships/hyperlink" Target="http://secrets.rutgers.edu:8080/data/asl-ftp/asllvd/demos/verify_start_end_handshape_annotations//test_auto_move//signs_mov/883.mov" TargetMode="External"/><Relationship Id="rId8190" Type="http://schemas.openxmlformats.org/officeDocument/2006/relationships/hyperlink" Target="http://secrets.rutgers.edu:8080/data/asl-ftp/asllvd/demos/verify_start_end_handshape_annotations//test_auto_move//signs_mov_separ_signers/Naomi_883.mov" TargetMode="External"/><Relationship Id="rId8191" Type="http://schemas.openxmlformats.org/officeDocument/2006/relationships/hyperlink" Target="http://csr.bu.edu/ftp/asl/asllvd/demos/verify_start_end_handshape_annotations//test_auto_move//signs_mov_separ_signers/Brady_883.mov" TargetMode="External"/><Relationship Id="rId8192" Type="http://schemas.openxmlformats.org/officeDocument/2006/relationships/hyperlink" Target="http://secrets.rutgers.edu:8080/data/asl-ftp/asllvd/demos/verify_start_end_handshape_annotations//test_auto_move//signs_mov_separ_signers/Brady_883.mov" TargetMode="External"/><Relationship Id="rId8193" Type="http://schemas.openxmlformats.org/officeDocument/2006/relationships/hyperlink" Target="http://csr.bu.edu/ftp/asl/asllvd/demos/verify_start_end_handshape_annotations//test_auto_move//signs_mov_separ_signers/Tyler_15103.mov" TargetMode="External"/><Relationship Id="rId8194" Type="http://schemas.openxmlformats.org/officeDocument/2006/relationships/hyperlink" Target="http://secrets.rutgers.edu:8080/data/asl-ftp/asllvd/demos/verify_start_end_handshape_annotations//test_auto_move//signs_mov_separ_signers/Tyler_15103.mov" TargetMode="External"/><Relationship Id="rId8195" Type="http://schemas.openxmlformats.org/officeDocument/2006/relationships/hyperlink" Target="http://csr.bu.edu/ftp/asl/asllvd/demos/verify_start_end_handshape_annotations//test_auto_move//signs_mov/15103.mov" TargetMode="External"/><Relationship Id="rId8196" Type="http://schemas.openxmlformats.org/officeDocument/2006/relationships/hyperlink" Target="http://csr.bu.edu/ftp/asl/asllvd/demos/verify_start_end_handshape_annotations//test_auto_move//signs_mov_separ_signers/Lana_15103.mov" TargetMode="External"/><Relationship Id="rId8197" Type="http://schemas.openxmlformats.org/officeDocument/2006/relationships/hyperlink" Target="http://secrets.rutgers.edu:8080/data/asl-ftp/asllvd/demos/verify_start_end_handshape_annotations//test_auto_move//signs_mov/15103.mov" TargetMode="External"/><Relationship Id="rId8198" Type="http://schemas.openxmlformats.org/officeDocument/2006/relationships/hyperlink" Target="http://secrets.rutgers.edu:8080/data/asl-ftp/asllvd/demos/verify_start_end_handshape_annotations//test_auto_move//signs_mov_separ_signers/Lana_15103.mov" TargetMode="External"/><Relationship Id="rId8199" Type="http://schemas.openxmlformats.org/officeDocument/2006/relationships/hyperlink" Target="http://csr.bu.edu/ftp/asl/asllvd/demos/verify_start_end_handshape_annotations//test_auto_move//signs_mov_separ_signers/Dana_15103.mov" TargetMode="External"/><Relationship Id="rId8200" Type="http://schemas.openxmlformats.org/officeDocument/2006/relationships/hyperlink" Target="http://secrets.rutgers.edu:8080/data/asl-ftp/asllvd/demos/verify_start_end_handshape_annotations//test_auto_move//signs_mov_separ_signers/Dana_15103.mov" TargetMode="External"/><Relationship Id="rId8201" Type="http://schemas.openxmlformats.org/officeDocument/2006/relationships/hyperlink" Target="http://csr.bu.edu/ftp/asl/asllvd/demos/verify_start_end_handshape_annotations//test_auto_move//signs_mov_separ_signers/Liz_15472.mov" TargetMode="External"/><Relationship Id="rId8202" Type="http://schemas.openxmlformats.org/officeDocument/2006/relationships/hyperlink" Target="http://secrets.rutgers.edu:8080/data/asl-ftp/asllvd/demos/verify_start_end_handshape_annotations//test_auto_move//signs_mov_separ_signers/Liz_15472.mov" TargetMode="External"/><Relationship Id="rId8203" Type="http://schemas.openxmlformats.org/officeDocument/2006/relationships/hyperlink" Target="http://csr.bu.edu/ftp/asl/asllvd/demos/verify_start_end_handshape_annotations//test_auto_move//signs_mov/15472.mov" TargetMode="External"/><Relationship Id="rId8204" Type="http://schemas.openxmlformats.org/officeDocument/2006/relationships/hyperlink" Target="http://csr.bu.edu/ftp/asl/asllvd/demos/verify_start_end_handshape_annotations//test_auto_move//signs_mov_separ_signers/Naomi_15472.mov" TargetMode="External"/><Relationship Id="rId8205" Type="http://schemas.openxmlformats.org/officeDocument/2006/relationships/hyperlink" Target="http://secrets.rutgers.edu:8080/data/asl-ftp/asllvd/demos/verify_start_end_handshape_annotations//test_auto_move//signs_mov/15472.mov" TargetMode="External"/><Relationship Id="rId8206" Type="http://schemas.openxmlformats.org/officeDocument/2006/relationships/hyperlink" Target="http://secrets.rutgers.edu:8080/data/asl-ftp/asllvd/demos/verify_start_end_handshape_annotations//test_auto_move//signs_mov_separ_signers/Naomi_15472.mov" TargetMode="External"/><Relationship Id="rId8207" Type="http://schemas.openxmlformats.org/officeDocument/2006/relationships/hyperlink" Target="http://csr.bu.edu/ftp/asl/asllvd/demos/verify_start_end_handshape_annotations//test_auto_move//signs_mov_separ_signers/Brady_15472.mov" TargetMode="External"/><Relationship Id="rId8208" Type="http://schemas.openxmlformats.org/officeDocument/2006/relationships/hyperlink" Target="http://secrets.rutgers.edu:8080/data/asl-ftp/asllvd/demos/verify_start_end_handshape_annotations//test_auto_move//signs_mov_separ_signers/Brady_15472.mov" TargetMode="External"/><Relationship Id="rId8209" Type="http://schemas.openxmlformats.org/officeDocument/2006/relationships/hyperlink" Target="http://csr.bu.edu/ftp/asl/asllvd/demos/verify_start_end_handshape_annotations//test_auto_move//signs_mov_separ_signers/Liz_887.mov" TargetMode="External"/><Relationship Id="rId8210" Type="http://schemas.openxmlformats.org/officeDocument/2006/relationships/hyperlink" Target="http://secrets.rutgers.edu:8080/data/asl-ftp/asllvd/demos/verify_start_end_handshape_annotations//test_auto_move//signs_mov_separ_signers/Liz_887.mov" TargetMode="External"/><Relationship Id="rId8211" Type="http://schemas.openxmlformats.org/officeDocument/2006/relationships/hyperlink" Target="http://csr.bu.edu/ftp/asl/asllvd/demos/verify_start_end_handshape_annotations//test_auto_move//signs_mov/887_3720_merged.mov" TargetMode="External"/><Relationship Id="rId8212" Type="http://schemas.openxmlformats.org/officeDocument/2006/relationships/hyperlink" Target="http://csr.bu.edu/ftp/asl/asllvd/demos/verify_start_end_handshape_annotations//test_auto_move//signs_mov_separ_signers/Liz_3720.mov" TargetMode="External"/><Relationship Id="rId8213" Type="http://schemas.openxmlformats.org/officeDocument/2006/relationships/hyperlink" Target="http://secrets.rutgers.edu:8080/data/asl-ftp/asllvd/demos/verify_start_end_handshape_annotations//test_auto_move//signs_mov/887_3720_merged.mov" TargetMode="External"/><Relationship Id="rId8214" Type="http://schemas.openxmlformats.org/officeDocument/2006/relationships/hyperlink" Target="http://secrets.rutgers.edu:8080/data/asl-ftp/asllvd/demos/verify_start_end_handshape_annotations//test_auto_move//signs_mov_separ_signers/Liz_3720.mov" TargetMode="External"/><Relationship Id="rId8215" Type="http://schemas.openxmlformats.org/officeDocument/2006/relationships/hyperlink" Target="http://csr.bu.edu/ftp/asl/asllvd/demos/verify_start_end_handshape_annotations//test_auto_move//signs_mov_separ_signers/Tyler_887.mov" TargetMode="External"/><Relationship Id="rId8216" Type="http://schemas.openxmlformats.org/officeDocument/2006/relationships/hyperlink" Target="http://secrets.rutgers.edu:8080/data/asl-ftp/asllvd/demos/verify_start_end_handshape_annotations//test_auto_move//signs_mov_separ_signers/Tyler_887.mov" TargetMode="External"/><Relationship Id="rId8217" Type="http://schemas.openxmlformats.org/officeDocument/2006/relationships/hyperlink" Target="http://csr.bu.edu/ftp/asl/asllvd/demos/verify_start_end_handshape_annotations//test_auto_move//signs_mov_separ_signers/Naomi_887.mov" TargetMode="External"/><Relationship Id="rId8218" Type="http://schemas.openxmlformats.org/officeDocument/2006/relationships/hyperlink" Target="http://secrets.rutgers.edu:8080/data/asl-ftp/asllvd/demos/verify_start_end_handshape_annotations//test_auto_move//signs_mov_separ_signers/Naomi_887.mov" TargetMode="External"/><Relationship Id="rId8219" Type="http://schemas.openxmlformats.org/officeDocument/2006/relationships/hyperlink" Target="http://csr.bu.edu/ftp/asl/asllvd/demos/verify_start_end_handshape_annotations//test_auto_move//signs_mov_separ_signers/Liz_15925.mov" TargetMode="External"/><Relationship Id="rId8220" Type="http://schemas.openxmlformats.org/officeDocument/2006/relationships/hyperlink" Target="http://secrets.rutgers.edu:8080/data/asl-ftp/asllvd/demos/verify_start_end_handshape_annotations//test_auto_move//signs_mov_separ_signers/Liz_15925.mov" TargetMode="External"/><Relationship Id="rId8221" Type="http://schemas.openxmlformats.org/officeDocument/2006/relationships/hyperlink" Target="http://csr.bu.edu/ftp/asl/asllvd/demos/verify_start_end_handshape_annotations//test_auto_move//signs_mov/15925.mov" TargetMode="External"/><Relationship Id="rId8222" Type="http://schemas.openxmlformats.org/officeDocument/2006/relationships/hyperlink" Target="http://csr.bu.edu/ftp/asl/asllvd/demos/verify_start_end_handshape_annotations//test_auto_move//signs_mov_separ_signers/Brady_15925.mov" TargetMode="External"/><Relationship Id="rId8223" Type="http://schemas.openxmlformats.org/officeDocument/2006/relationships/hyperlink" Target="http://secrets.rutgers.edu:8080/data/asl-ftp/asllvd/demos/verify_start_end_handshape_annotations//test_auto_move//signs_mov/15925.mov" TargetMode="External"/><Relationship Id="rId8224" Type="http://schemas.openxmlformats.org/officeDocument/2006/relationships/hyperlink" Target="http://secrets.rutgers.edu:8080/data/asl-ftp/asllvd/demos/verify_start_end_handshape_annotations//test_auto_move//signs_mov_separ_signers/Brady_15925.mov" TargetMode="External"/><Relationship Id="rId8225" Type="http://schemas.openxmlformats.org/officeDocument/2006/relationships/hyperlink" Target="http://csr.bu.edu/ftp/asl/asllvd/demos/verify_start_end_handshape_annotations//test_auto_move//signs_mov_separ_signers/Lana_15925.mov" TargetMode="External"/><Relationship Id="rId8226" Type="http://schemas.openxmlformats.org/officeDocument/2006/relationships/hyperlink" Target="http://secrets.rutgers.edu:8080/data/asl-ftp/asllvd/demos/verify_start_end_handshape_annotations//test_auto_move//signs_mov_separ_signers/Lana_15925.mov" TargetMode="External"/><Relationship Id="rId8227" Type="http://schemas.openxmlformats.org/officeDocument/2006/relationships/hyperlink" Target="http://csr.bu.edu/ftp/asl/asllvd/demos/verify_start_end_handshape_annotations//test_auto_move//signs_mov_separ_signers/Dana_15925.mov" TargetMode="External"/><Relationship Id="rId8228" Type="http://schemas.openxmlformats.org/officeDocument/2006/relationships/hyperlink" Target="http://secrets.rutgers.edu:8080/data/asl-ftp/asllvd/demos/verify_start_end_handshape_annotations//test_auto_move//signs_mov_separ_signers/Dana_15925.mov" TargetMode="External"/><Relationship Id="rId8229" Type="http://schemas.openxmlformats.org/officeDocument/2006/relationships/hyperlink" Target="http://csr.bu.edu/ftp/asl/asllvd/demos/verify_start_end_handshape_annotations//test_auto_move//signs_mov_separ_signers/Tyler_15943.mov" TargetMode="External"/><Relationship Id="rId8230" Type="http://schemas.openxmlformats.org/officeDocument/2006/relationships/hyperlink" Target="http://secrets.rutgers.edu:8080/data/asl-ftp/asllvd/demos/verify_start_end_handshape_annotations//test_auto_move//signs_mov_separ_signers/Tyler_15943.mov" TargetMode="External"/><Relationship Id="rId8231" Type="http://schemas.openxmlformats.org/officeDocument/2006/relationships/hyperlink" Target="http://csr.bu.edu/ftp/asl/asllvd/demos/verify_start_end_handshape_annotations//test_auto_move//signs_mov/15943.mov" TargetMode="External"/><Relationship Id="rId8232" Type="http://schemas.openxmlformats.org/officeDocument/2006/relationships/hyperlink" Target="http://csr.bu.edu/ftp/asl/asllvd/demos/verify_start_end_handshape_annotations//test_auto_move//signs_mov_separ_signers/Naomi_15943.mov" TargetMode="External"/><Relationship Id="rId8233" Type="http://schemas.openxmlformats.org/officeDocument/2006/relationships/hyperlink" Target="http://secrets.rutgers.edu:8080/data/asl-ftp/asllvd/demos/verify_start_end_handshape_annotations//test_auto_move//signs_mov/15943.mov" TargetMode="External"/><Relationship Id="rId8234" Type="http://schemas.openxmlformats.org/officeDocument/2006/relationships/hyperlink" Target="http://secrets.rutgers.edu:8080/data/asl-ftp/asllvd/demos/verify_start_end_handshape_annotations//test_auto_move//signs_mov_separ_signers/Naomi_15943.mov" TargetMode="External"/><Relationship Id="rId8235" Type="http://schemas.openxmlformats.org/officeDocument/2006/relationships/hyperlink" Target="http://csr.bu.edu/ftp/asl/asllvd/demos/verify_start_end_handshape_annotations//test_auto_move//signs_mov_separ_signers/Lana_15943.mov" TargetMode="External"/><Relationship Id="rId8236" Type="http://schemas.openxmlformats.org/officeDocument/2006/relationships/hyperlink" Target="http://secrets.rutgers.edu:8080/data/asl-ftp/asllvd/demos/verify_start_end_handshape_annotations//test_auto_move//signs_mov_separ_signers/Lana_15943.mov" TargetMode="External"/><Relationship Id="rId8237" Type="http://schemas.openxmlformats.org/officeDocument/2006/relationships/hyperlink" Target="http://csr.bu.edu/ftp/asl/asllvd/demos/verify_start_end_handshape_annotations//test_auto_move//signs_mov_separ_signers/Dana_15943.mov" TargetMode="External"/><Relationship Id="rId8238" Type="http://schemas.openxmlformats.org/officeDocument/2006/relationships/hyperlink" Target="http://secrets.rutgers.edu:8080/data/asl-ftp/asllvd/demos/verify_start_end_handshape_annotations//test_auto_move//signs_mov_separ_signers/Dana_15943.mov" TargetMode="External"/><Relationship Id="rId8239" Type="http://schemas.openxmlformats.org/officeDocument/2006/relationships/hyperlink" Target="http://csr.bu.edu/ftp/asl/asllvd/demos/verify_start_end_handshape_annotations//test_auto_move//signs_mov/15988.mov" TargetMode="External"/><Relationship Id="rId8240" Type="http://schemas.openxmlformats.org/officeDocument/2006/relationships/hyperlink" Target="http://csr.bu.edu/ftp/asl/asllvd/demos/verify_start_end_handshape_annotations//test_auto_move//signs_mov_separ_signers/Liz_15988.mov" TargetMode="External"/><Relationship Id="rId8241" Type="http://schemas.openxmlformats.org/officeDocument/2006/relationships/hyperlink" Target="http://secrets.rutgers.edu:8080/data/asl-ftp/asllvd/demos/verify_start_end_handshape_annotations//test_auto_move//signs_mov/15988.mov" TargetMode="External"/><Relationship Id="rId8242" Type="http://schemas.openxmlformats.org/officeDocument/2006/relationships/hyperlink" Target="http://secrets.rutgers.edu:8080/data/asl-ftp/asllvd/demos/verify_start_end_handshape_annotations//test_auto_move//signs_mov_separ_signers/Liz_15988.mov" TargetMode="External"/><Relationship Id="rId8243" Type="http://schemas.openxmlformats.org/officeDocument/2006/relationships/hyperlink" Target="http://csr.bu.edu/ftp/asl/asllvd/demos/verify_start_end_handshape_annotations//test_auto_move//signs_mov_separ_signers/Brady_15988.mov" TargetMode="External"/><Relationship Id="rId8244" Type="http://schemas.openxmlformats.org/officeDocument/2006/relationships/hyperlink" Target="http://secrets.rutgers.edu:8080/data/asl-ftp/asllvd/demos/verify_start_end_handshape_annotations//test_auto_move//signs_mov_separ_signers/Brady_15988.mov" TargetMode="External"/><Relationship Id="rId8245" Type="http://schemas.openxmlformats.org/officeDocument/2006/relationships/hyperlink" Target="http://csr.bu.edu/ftp/asl/asllvd/demos/verify_start_end_handshape_annotations//test_auto_move//signs_mov_separ_signers/Liz_16516.mov" TargetMode="External"/><Relationship Id="rId8246" Type="http://schemas.openxmlformats.org/officeDocument/2006/relationships/hyperlink" Target="http://secrets.rutgers.edu:8080/data/asl-ftp/asllvd/demos/verify_start_end_handshape_annotations//test_auto_move//signs_mov_separ_signers/Liz_16516.mov" TargetMode="External"/><Relationship Id="rId8247" Type="http://schemas.openxmlformats.org/officeDocument/2006/relationships/hyperlink" Target="http://csr.bu.edu/ftp/asl/asllvd/demos/verify_start_end_handshape_annotations//test_auto_move//signs_mov/16516.mov" TargetMode="External"/><Relationship Id="rId8248" Type="http://schemas.openxmlformats.org/officeDocument/2006/relationships/hyperlink" Target="http://csr.bu.edu/ftp/asl/asllvd/demos/verify_start_end_handshape_annotations//test_auto_move//signs_mov_separ_signers/Tyler_16516.mov" TargetMode="External"/><Relationship Id="rId8249" Type="http://schemas.openxmlformats.org/officeDocument/2006/relationships/hyperlink" Target="http://secrets.rutgers.edu:8080/data/asl-ftp/asllvd/demos/verify_start_end_handshape_annotations//test_auto_move//signs_mov/16516.mov" TargetMode="External"/><Relationship Id="rId8250" Type="http://schemas.openxmlformats.org/officeDocument/2006/relationships/hyperlink" Target="http://secrets.rutgers.edu:8080/data/asl-ftp/asllvd/demos/verify_start_end_handshape_annotations//test_auto_move//signs_mov_separ_signers/Tyler_16516.mov" TargetMode="External"/><Relationship Id="rId8251" Type="http://schemas.openxmlformats.org/officeDocument/2006/relationships/hyperlink" Target="http://csr.bu.edu/ftp/asl/asllvd/demos/verify_start_end_handshape_annotations//test_auto_move//signs_mov_separ_signers/Naomi_16516.mov" TargetMode="External"/><Relationship Id="rId8252" Type="http://schemas.openxmlformats.org/officeDocument/2006/relationships/hyperlink" Target="http://secrets.rutgers.edu:8080/data/asl-ftp/asllvd/demos/verify_start_end_handshape_annotations//test_auto_move//signs_mov_separ_signers/Naomi_16516.mov" TargetMode="External"/><Relationship Id="rId8253" Type="http://schemas.openxmlformats.org/officeDocument/2006/relationships/hyperlink" Target="http://csr.bu.edu/ftp/asl/asllvd/demos/verify_start_end_handshape_annotations//test_auto_move//signs_mov_separ_signers/Brady_16516.mov" TargetMode="External"/><Relationship Id="rId8254" Type="http://schemas.openxmlformats.org/officeDocument/2006/relationships/hyperlink" Target="http://secrets.rutgers.edu:8080/data/asl-ftp/asllvd/demos/verify_start_end_handshape_annotations//test_auto_move//signs_mov_separ_signers/Brady_16516.mov" TargetMode="External"/><Relationship Id="rId8255" Type="http://schemas.openxmlformats.org/officeDocument/2006/relationships/hyperlink" Target="http://csr.bu.edu/ftp/asl/asllvd/demos/verify_start_end_handshape_annotations//test_auto_move//signs_mov/888.mov" TargetMode="External"/><Relationship Id="rId8256" Type="http://schemas.openxmlformats.org/officeDocument/2006/relationships/hyperlink" Target="http://csr.bu.edu/ftp/asl/asllvd/demos/verify_start_end_handshape_annotations//test_auto_move//signs_mov_separ_signers/Liz_888.mov" TargetMode="External"/><Relationship Id="rId8257" Type="http://schemas.openxmlformats.org/officeDocument/2006/relationships/hyperlink" Target="http://secrets.rutgers.edu:8080/data/asl-ftp/asllvd/demos/verify_start_end_handshape_annotations//test_auto_move//signs_mov/888.mov" TargetMode="External"/><Relationship Id="rId8258" Type="http://schemas.openxmlformats.org/officeDocument/2006/relationships/hyperlink" Target="http://secrets.rutgers.edu:8080/data/asl-ftp/asllvd/demos/verify_start_end_handshape_annotations//test_auto_move//signs_mov_separ_signers/Liz_888.mov" TargetMode="External"/><Relationship Id="rId8259" Type="http://schemas.openxmlformats.org/officeDocument/2006/relationships/hyperlink" Target="http://csr.bu.edu/ftp/asl/asllvd/demos/verify_start_end_handshape_annotations//test_auto_move//signs_mov_separ_signers/Brady_888.mov" TargetMode="External"/><Relationship Id="rId8260" Type="http://schemas.openxmlformats.org/officeDocument/2006/relationships/hyperlink" Target="http://secrets.rutgers.edu:8080/data/asl-ftp/asllvd/demos/verify_start_end_handshape_annotations//test_auto_move//signs_mov_separ_signers/Brady_888.mov" TargetMode="External"/><Relationship Id="rId8261" Type="http://schemas.openxmlformats.org/officeDocument/2006/relationships/hyperlink" Target="http://csr.bu.edu/ftp/asl/asllvd/demos/verify_start_end_handshape_annotations//test_auto_move//signs_mov/5180.mov" TargetMode="External"/><Relationship Id="rId8262" Type="http://schemas.openxmlformats.org/officeDocument/2006/relationships/hyperlink" Target="http://csr.bu.edu/ftp/asl/asllvd/demos/verify_start_end_handshape_annotations//test_auto_move//signs_mov_separ_signers/Naomi_5180.mov" TargetMode="External"/><Relationship Id="rId8263" Type="http://schemas.openxmlformats.org/officeDocument/2006/relationships/hyperlink" Target="http://secrets.rutgers.edu:8080/data/asl-ftp/asllvd/demos/verify_start_end_handshape_annotations//test_auto_move//signs_mov/5180.mov" TargetMode="External"/><Relationship Id="rId8264" Type="http://schemas.openxmlformats.org/officeDocument/2006/relationships/hyperlink" Target="http://secrets.rutgers.edu:8080/data/asl-ftp/asllvd/demos/verify_start_end_handshape_annotations//test_auto_move//signs_mov_separ_signers/Naomi_5180.mov" TargetMode="External"/><Relationship Id="rId8265" Type="http://schemas.openxmlformats.org/officeDocument/2006/relationships/hyperlink" Target="http://csr.bu.edu/ftp/asl/asllvd/demos/verify_start_end_handshape_annotations//test_auto_move//signs_mov_separ_signers/Naomi_892.mov" TargetMode="External"/><Relationship Id="rId8266" Type="http://schemas.openxmlformats.org/officeDocument/2006/relationships/hyperlink" Target="http://secrets.rutgers.edu:8080/data/asl-ftp/asllvd/demos/verify_start_end_handshape_annotations//test_auto_move//signs_mov_separ_signers/Naomi_892.mov" TargetMode="External"/><Relationship Id="rId8267" Type="http://schemas.openxmlformats.org/officeDocument/2006/relationships/hyperlink" Target="http://csr.bu.edu/ftp/asl/asllvd/demos/verify_start_end_handshape_annotations//test_auto_move//signs_mov/892.mov" TargetMode="External"/><Relationship Id="rId8268" Type="http://schemas.openxmlformats.org/officeDocument/2006/relationships/hyperlink" Target="http://csr.bu.edu/ftp/asl/asllvd/demos/verify_start_end_handshape_annotations//test_auto_move//signs_mov_separ_signers/Brady_892.mov" TargetMode="External"/><Relationship Id="rId8269" Type="http://schemas.openxmlformats.org/officeDocument/2006/relationships/hyperlink" Target="http://secrets.rutgers.edu:8080/data/asl-ftp/asllvd/demos/verify_start_end_handshape_annotations//test_auto_move//signs_mov/892.mov" TargetMode="External"/><Relationship Id="rId8270" Type="http://schemas.openxmlformats.org/officeDocument/2006/relationships/hyperlink" Target="http://secrets.rutgers.edu:8080/data/asl-ftp/asllvd/demos/verify_start_end_handshape_annotations//test_auto_move//signs_mov_separ_signers/Brady_892.mov" TargetMode="External"/><Relationship Id="rId8271" Type="http://schemas.openxmlformats.org/officeDocument/2006/relationships/hyperlink" Target="http://csr.bu.edu/ftp/asl/asllvd/demos/verify_start_end_handshape_annotations//test_auto_move//signs_mov_separ_signers/Dana_892.mov" TargetMode="External"/><Relationship Id="rId8272" Type="http://schemas.openxmlformats.org/officeDocument/2006/relationships/hyperlink" Target="http://secrets.rutgers.edu:8080/data/asl-ftp/asllvd/demos/verify_start_end_handshape_annotations//test_auto_move//signs_mov_separ_signers/Dana_892.mov" TargetMode="External"/><Relationship Id="rId8273" Type="http://schemas.openxmlformats.org/officeDocument/2006/relationships/hyperlink" Target="http://csr.bu.edu/ftp/asl/asllvd/demos/verify_start_end_handshape_annotations//test_auto_move//signs_mov/5852.mov" TargetMode="External"/><Relationship Id="rId8274" Type="http://schemas.openxmlformats.org/officeDocument/2006/relationships/hyperlink" Target="http://csr.bu.edu/ftp/asl/asllvd/demos/verify_start_end_handshape_annotations//test_auto_move//signs_mov_separ_signers/Lana_5852.mov" TargetMode="External"/><Relationship Id="rId8275" Type="http://schemas.openxmlformats.org/officeDocument/2006/relationships/hyperlink" Target="http://secrets.rutgers.edu:8080/data/asl-ftp/asllvd/demos/verify_start_end_handshape_annotations//test_auto_move//signs_mov/5852.mov" TargetMode="External"/><Relationship Id="rId8276" Type="http://schemas.openxmlformats.org/officeDocument/2006/relationships/hyperlink" Target="http://secrets.rutgers.edu:8080/data/asl-ftp/asllvd/demos/verify_start_end_handshape_annotations//test_auto_move//signs_mov_separ_signers/Lana_5852.mov" TargetMode="External"/><Relationship Id="rId8277" Type="http://schemas.openxmlformats.org/officeDocument/2006/relationships/hyperlink" Target="http://csr.bu.edu/ftp/asl/asllvd/demos/verify_start_end_handshape_annotations//test_auto_move//signs_mov/15781.mov" TargetMode="External"/><Relationship Id="rId8278" Type="http://schemas.openxmlformats.org/officeDocument/2006/relationships/hyperlink" Target="http://csr.bu.edu/ftp/asl/asllvd/demos/verify_start_end_handshape_annotations//test_auto_move//signs_mov_separ_signers/Tyler_15781.mov" TargetMode="External"/><Relationship Id="rId8279" Type="http://schemas.openxmlformats.org/officeDocument/2006/relationships/hyperlink" Target="http://secrets.rutgers.edu:8080/data/asl-ftp/asllvd/demos/verify_start_end_handshape_annotations//test_auto_move//signs_mov/15781.mov" TargetMode="External"/><Relationship Id="rId8280" Type="http://schemas.openxmlformats.org/officeDocument/2006/relationships/hyperlink" Target="http://secrets.rutgers.edu:8080/data/asl-ftp/asllvd/demos/verify_start_end_handshape_annotations//test_auto_move//signs_mov_separ_signers/Tyler_15781.mov" TargetMode="External"/><Relationship Id="rId8281" Type="http://schemas.openxmlformats.org/officeDocument/2006/relationships/hyperlink" Target="http://csr.bu.edu/ftp/asl/asllvd/demos/verify_start_end_handshape_annotations//test_auto_move//signs_mov_separ_signers/Liz_893.mov" TargetMode="External"/><Relationship Id="rId8282" Type="http://schemas.openxmlformats.org/officeDocument/2006/relationships/hyperlink" Target="http://secrets.rutgers.edu:8080/data/asl-ftp/asllvd/demos/verify_start_end_handshape_annotations//test_auto_move//signs_mov_separ_signers/Liz_893.mov" TargetMode="External"/><Relationship Id="rId8283" Type="http://schemas.openxmlformats.org/officeDocument/2006/relationships/hyperlink" Target="http://csr.bu.edu/ftp/asl/asllvd/demos/verify_start_end_handshape_annotations//test_auto_move//signs_mov_separ_signers/Tyler_893.mov" TargetMode="External"/><Relationship Id="rId8284" Type="http://schemas.openxmlformats.org/officeDocument/2006/relationships/hyperlink" Target="http://secrets.rutgers.edu:8080/data/asl-ftp/asllvd/demos/verify_start_end_handshape_annotations//test_auto_move//signs_mov_separ_signers/Tyler_893.mov" TargetMode="External"/><Relationship Id="rId8285" Type="http://schemas.openxmlformats.org/officeDocument/2006/relationships/hyperlink" Target="http://csr.bu.edu/ftp/asl/asllvd/demos/verify_start_end_handshape_annotations//test_auto_move//signs_mov/893.mov" TargetMode="External"/><Relationship Id="rId8286" Type="http://schemas.openxmlformats.org/officeDocument/2006/relationships/hyperlink" Target="http://csr.bu.edu/ftp/asl/asllvd/demos/verify_start_end_handshape_annotations//test_auto_move//signs_mov_separ_signers/Naomi_893.mov" TargetMode="External"/><Relationship Id="rId8287" Type="http://schemas.openxmlformats.org/officeDocument/2006/relationships/hyperlink" Target="http://secrets.rutgers.edu:8080/data/asl-ftp/asllvd/demos/verify_start_end_handshape_annotations//test_auto_move//signs_mov/893.mov" TargetMode="External"/><Relationship Id="rId8288" Type="http://schemas.openxmlformats.org/officeDocument/2006/relationships/hyperlink" Target="http://secrets.rutgers.edu:8080/data/asl-ftp/asllvd/demos/verify_start_end_handshape_annotations//test_auto_move//signs_mov_separ_signers/Naomi_893.mov" TargetMode="External"/><Relationship Id="rId8289" Type="http://schemas.openxmlformats.org/officeDocument/2006/relationships/hyperlink" Target="http://csr.bu.edu/ftp/asl/asllvd/demos/verify_start_end_handshape_annotations//test_auto_move//signs_mov_separ_signers/Brady_893.mov" TargetMode="External"/><Relationship Id="rId8290" Type="http://schemas.openxmlformats.org/officeDocument/2006/relationships/hyperlink" Target="http://secrets.rutgers.edu:8080/data/asl-ftp/asllvd/demos/verify_start_end_handshape_annotations//test_auto_move//signs_mov_separ_signers/Brady_893.mov" TargetMode="External"/><Relationship Id="rId8291" Type="http://schemas.openxmlformats.org/officeDocument/2006/relationships/hyperlink" Target="http://csr.bu.edu/ftp/asl/asllvd/demos/verify_start_end_handshape_annotations//test_auto_move//signs_mov_separ_signers/Lana_893.mov" TargetMode="External"/><Relationship Id="rId8292" Type="http://schemas.openxmlformats.org/officeDocument/2006/relationships/hyperlink" Target="http://secrets.rutgers.edu:8080/data/asl-ftp/asllvd/demos/verify_start_end_handshape_annotations//test_auto_move//signs_mov_separ_signers/Lana_893.mov" TargetMode="External"/><Relationship Id="rId8293" Type="http://schemas.openxmlformats.org/officeDocument/2006/relationships/hyperlink" Target="http://csr.bu.edu/ftp/asl/asllvd/demos/verify_start_end_handshape_annotations//test_auto_move//signs_mov_separ_signers/Dana_893.mov" TargetMode="External"/><Relationship Id="rId8294" Type="http://schemas.openxmlformats.org/officeDocument/2006/relationships/hyperlink" Target="http://secrets.rutgers.edu:8080/data/asl-ftp/asllvd/demos/verify_start_end_handshape_annotations//test_auto_move//signs_mov_separ_signers/Dana_893.mov" TargetMode="External"/><Relationship Id="rId8295" Type="http://schemas.openxmlformats.org/officeDocument/2006/relationships/hyperlink" Target="http://csr.bu.edu/ftp/asl/asllvd/demos/verify_start_end_handshape_annotations//test_auto_move//signs_mov/3504.mov" TargetMode="External"/><Relationship Id="rId8296" Type="http://schemas.openxmlformats.org/officeDocument/2006/relationships/hyperlink" Target="http://csr.bu.edu/ftp/asl/asllvd/demos/verify_start_end_handshape_annotations//test_auto_move//signs_mov_separ_signers/Tyler_3504.mov" TargetMode="External"/><Relationship Id="rId8297" Type="http://schemas.openxmlformats.org/officeDocument/2006/relationships/hyperlink" Target="http://secrets.rutgers.edu:8080/data/asl-ftp/asllvd/demos/verify_start_end_handshape_annotations//test_auto_move//signs_mov/3504.mov" TargetMode="External"/><Relationship Id="rId8298" Type="http://schemas.openxmlformats.org/officeDocument/2006/relationships/hyperlink" Target="http://secrets.rutgers.edu:8080/data/asl-ftp/asllvd/demos/verify_start_end_handshape_annotations//test_auto_move//signs_mov_separ_signers/Tyler_3504.mov" TargetMode="External"/><Relationship Id="rId8299" Type="http://schemas.openxmlformats.org/officeDocument/2006/relationships/hyperlink" Target="http://csr.bu.edu/ftp/asl/asllvd/demos/verify_start_end_handshape_annotations//test_auto_move//signs_mov/15534.mov" TargetMode="External"/><Relationship Id="rId8300" Type="http://schemas.openxmlformats.org/officeDocument/2006/relationships/hyperlink" Target="http://csr.bu.edu/ftp/asl/asllvd/demos/verify_start_end_handshape_annotations//test_auto_move//signs_mov_separ_signers/Liz_15534.mov" TargetMode="External"/><Relationship Id="rId8301" Type="http://schemas.openxmlformats.org/officeDocument/2006/relationships/hyperlink" Target="http://secrets.rutgers.edu:8080/data/asl-ftp/asllvd/demos/verify_start_end_handshape_annotations//test_auto_move//signs_mov/15534.mov" TargetMode="External"/><Relationship Id="rId8302" Type="http://schemas.openxmlformats.org/officeDocument/2006/relationships/hyperlink" Target="http://secrets.rutgers.edu:8080/data/asl-ftp/asllvd/demos/verify_start_end_handshape_annotations//test_auto_move//signs_mov_separ_signers/Liz_15534.mov" TargetMode="External"/><Relationship Id="rId8303" Type="http://schemas.openxmlformats.org/officeDocument/2006/relationships/hyperlink" Target="http://csr.bu.edu/ftp/asl/asllvd/demos/verify_start_end_handshape_annotations//test_auto_move//signs_mov/15581.mov" TargetMode="External"/><Relationship Id="rId8304" Type="http://schemas.openxmlformats.org/officeDocument/2006/relationships/hyperlink" Target="http://csr.bu.edu/ftp/asl/asllvd/demos/verify_start_end_handshape_annotations//test_auto_move//signs_mov_separ_signers/Brady_15581.mov" TargetMode="External"/><Relationship Id="rId8305" Type="http://schemas.openxmlformats.org/officeDocument/2006/relationships/hyperlink" Target="http://secrets.rutgers.edu:8080/data/asl-ftp/asllvd/demos/verify_start_end_handshape_annotations//test_auto_move//signs_mov/15581.mov" TargetMode="External"/><Relationship Id="rId8306" Type="http://schemas.openxmlformats.org/officeDocument/2006/relationships/hyperlink" Target="http://secrets.rutgers.edu:8080/data/asl-ftp/asllvd/demos/verify_start_end_handshape_annotations//test_auto_move//signs_mov_separ_signers/Brady_15581.mov" TargetMode="External"/><Relationship Id="rId8307" Type="http://schemas.openxmlformats.org/officeDocument/2006/relationships/hyperlink" Target="http://csr.bu.edu/ftp/asl/asllvd/demos/verify_start_end_handshape_annotations//test_auto_move//signs_mov_separ_signers/Liz_15589.mov" TargetMode="External"/><Relationship Id="rId8308" Type="http://schemas.openxmlformats.org/officeDocument/2006/relationships/hyperlink" Target="http://secrets.rutgers.edu:8080/data/asl-ftp/asllvd/demos/verify_start_end_handshape_annotations//test_auto_move//signs_mov_separ_signers/Liz_15589.mov" TargetMode="External"/><Relationship Id="rId8309" Type="http://schemas.openxmlformats.org/officeDocument/2006/relationships/hyperlink" Target="http://csr.bu.edu/ftp/asl/asllvd/demos/verify_start_end_handshape_annotations//test_auto_move//signs_mov_separ_signers/Liz_15596.mov" TargetMode="External"/><Relationship Id="rId8310" Type="http://schemas.openxmlformats.org/officeDocument/2006/relationships/hyperlink" Target="http://secrets.rutgers.edu:8080/data/asl-ftp/asllvd/demos/verify_start_end_handshape_annotations//test_auto_move//signs_mov_separ_signers/Liz_15596.mov" TargetMode="External"/><Relationship Id="rId8311" Type="http://schemas.openxmlformats.org/officeDocument/2006/relationships/hyperlink" Target="http://csr.bu.edu/ftp/asl/asllvd/demos/verify_start_end_handshape_annotations//test_auto_move//signs_mov/15589_15596_15621_merged.mov" TargetMode="External"/><Relationship Id="rId8312" Type="http://schemas.openxmlformats.org/officeDocument/2006/relationships/hyperlink" Target="http://csr.bu.edu/ftp/asl/asllvd/demos/verify_start_end_handshape_annotations//test_auto_move//signs_mov_separ_signers/Brady_15589.mov" TargetMode="External"/><Relationship Id="rId8313" Type="http://schemas.openxmlformats.org/officeDocument/2006/relationships/hyperlink" Target="http://secrets.rutgers.edu:8080/data/asl-ftp/asllvd/demos/verify_start_end_handshape_annotations//test_auto_move//signs_mov/15589_15596_15621_merged.mov" TargetMode="External"/><Relationship Id="rId8314" Type="http://schemas.openxmlformats.org/officeDocument/2006/relationships/hyperlink" Target="http://secrets.rutgers.edu:8080/data/asl-ftp/asllvd/demos/verify_start_end_handshape_annotations//test_auto_move//signs_mov_separ_signers/Brady_15589.mov" TargetMode="External"/><Relationship Id="rId8315" Type="http://schemas.openxmlformats.org/officeDocument/2006/relationships/hyperlink" Target="http://csr.bu.edu/ftp/asl/asllvd/demos/verify_start_end_handshape_annotations//test_auto_move//signs_mov_separ_signers/Brady_15596.mov" TargetMode="External"/><Relationship Id="rId8316" Type="http://schemas.openxmlformats.org/officeDocument/2006/relationships/hyperlink" Target="http://secrets.rutgers.edu:8080/data/asl-ftp/asllvd/demos/verify_start_end_handshape_annotations//test_auto_move//signs_mov_separ_signers/Brady_15596.mov" TargetMode="External"/><Relationship Id="rId8317" Type="http://schemas.openxmlformats.org/officeDocument/2006/relationships/hyperlink" Target="http://csr.bu.edu/ftp/asl/asllvd/demos/verify_start_end_handshape_annotations//test_auto_move//signs_mov_separ_signers/Brady_15621.mov" TargetMode="External"/><Relationship Id="rId8318" Type="http://schemas.openxmlformats.org/officeDocument/2006/relationships/hyperlink" Target="http://secrets.rutgers.edu:8080/data/asl-ftp/asllvd/demos/verify_start_end_handshape_annotations//test_auto_move//signs_mov_separ_signers/Brady_15621.mov" TargetMode="External"/><Relationship Id="rId8319" Type="http://schemas.openxmlformats.org/officeDocument/2006/relationships/hyperlink" Target="http://csr.bu.edu/ftp/asl/asllvd/demos/verify_start_end_handshape_annotations//test_auto_move//signs_mov_separ_signers/Liz_15782.mov" TargetMode="External"/><Relationship Id="rId8320" Type="http://schemas.openxmlformats.org/officeDocument/2006/relationships/hyperlink" Target="http://secrets.rutgers.edu:8080/data/asl-ftp/asllvd/demos/verify_start_end_handshape_annotations//test_auto_move//signs_mov_separ_signers/Liz_15782.mov" TargetMode="External"/><Relationship Id="rId8321" Type="http://schemas.openxmlformats.org/officeDocument/2006/relationships/hyperlink" Target="http://csr.bu.edu/ftp/asl/asllvd/demos/verify_start_end_handshape_annotations//test_auto_move//signs_mov_separ_signers/Tyler_15782.mov" TargetMode="External"/><Relationship Id="rId8322" Type="http://schemas.openxmlformats.org/officeDocument/2006/relationships/hyperlink" Target="http://secrets.rutgers.edu:8080/data/asl-ftp/asllvd/demos/verify_start_end_handshape_annotations//test_auto_move//signs_mov_separ_signers/Tyler_15782.mov" TargetMode="External"/><Relationship Id="rId8323" Type="http://schemas.openxmlformats.org/officeDocument/2006/relationships/hyperlink" Target="http://csr.bu.edu/ftp/asl/asllvd/demos/verify_start_end_handshape_annotations//test_auto_move//signs_mov/15782.mov" TargetMode="External"/><Relationship Id="rId8324" Type="http://schemas.openxmlformats.org/officeDocument/2006/relationships/hyperlink" Target="http://csr.bu.edu/ftp/asl/asllvd/demos/verify_start_end_handshape_annotations//test_auto_move//signs_mov_separ_signers/Naomi_15782.mov" TargetMode="External"/><Relationship Id="rId8325" Type="http://schemas.openxmlformats.org/officeDocument/2006/relationships/hyperlink" Target="http://secrets.rutgers.edu:8080/data/asl-ftp/asllvd/demos/verify_start_end_handshape_annotations//test_auto_move//signs_mov/15782.mov" TargetMode="External"/><Relationship Id="rId8326" Type="http://schemas.openxmlformats.org/officeDocument/2006/relationships/hyperlink" Target="http://secrets.rutgers.edu:8080/data/asl-ftp/asllvd/demos/verify_start_end_handshape_annotations//test_auto_move//signs_mov_separ_signers/Naomi_15782.mov" TargetMode="External"/><Relationship Id="rId8327" Type="http://schemas.openxmlformats.org/officeDocument/2006/relationships/hyperlink" Target="http://csr.bu.edu/ftp/asl/asllvd/demos/verify_start_end_handshape_annotations//test_auto_move//signs_mov_separ_signers/Brady_15782.mov" TargetMode="External"/><Relationship Id="rId8328" Type="http://schemas.openxmlformats.org/officeDocument/2006/relationships/hyperlink" Target="http://secrets.rutgers.edu:8080/data/asl-ftp/asllvd/demos/verify_start_end_handshape_annotations//test_auto_move//signs_mov_separ_signers/Brady_15782.mov" TargetMode="External"/><Relationship Id="rId8329" Type="http://schemas.openxmlformats.org/officeDocument/2006/relationships/hyperlink" Target="http://csr.bu.edu/ftp/asl/asllvd/demos/verify_start_end_handshape_annotations//test_auto_move//signs_mov_separ_signers/Lana_15782.mov" TargetMode="External"/><Relationship Id="rId8330" Type="http://schemas.openxmlformats.org/officeDocument/2006/relationships/hyperlink" Target="http://secrets.rutgers.edu:8080/data/asl-ftp/asllvd/demos/verify_start_end_handshape_annotations//test_auto_move//signs_mov_separ_signers/Lana_15782.mov" TargetMode="External"/><Relationship Id="rId8331" Type="http://schemas.openxmlformats.org/officeDocument/2006/relationships/hyperlink" Target="http://csr.bu.edu/ftp/asl/asllvd/demos/verify_start_end_handshape_annotations//test_auto_move//signs_mov_separ_signers/Dana_15782.mov" TargetMode="External"/><Relationship Id="rId8332" Type="http://schemas.openxmlformats.org/officeDocument/2006/relationships/hyperlink" Target="http://secrets.rutgers.edu:8080/data/asl-ftp/asllvd/demos/verify_start_end_handshape_annotations//test_auto_move//signs_mov_separ_signers/Dana_15782.mov" TargetMode="External"/><Relationship Id="rId8333" Type="http://schemas.openxmlformats.org/officeDocument/2006/relationships/hyperlink" Target="http://csr.bu.edu/ftp/asl/asllvd/demos/verify_start_end_handshape_annotations//test_auto_move//signs_mov_separ_signers/Liz_15853.mov" TargetMode="External"/><Relationship Id="rId8334" Type="http://schemas.openxmlformats.org/officeDocument/2006/relationships/hyperlink" Target="http://secrets.rutgers.edu:8080/data/asl-ftp/asllvd/demos/verify_start_end_handshape_annotations//test_auto_move//signs_mov_separ_signers/Liz_15853.mov" TargetMode="External"/><Relationship Id="rId8335" Type="http://schemas.openxmlformats.org/officeDocument/2006/relationships/hyperlink" Target="http://csr.bu.edu/ftp/asl/asllvd/demos/verify_start_end_handshape_annotations//test_auto_move//signs_mov_separ_signers/Liz_15880.mov" TargetMode="External"/><Relationship Id="rId8336" Type="http://schemas.openxmlformats.org/officeDocument/2006/relationships/hyperlink" Target="http://secrets.rutgers.edu:8080/data/asl-ftp/asllvd/demos/verify_start_end_handshape_annotations//test_auto_move//signs_mov_separ_signers/Liz_15880.mov" TargetMode="External"/><Relationship Id="rId8337" Type="http://schemas.openxmlformats.org/officeDocument/2006/relationships/hyperlink" Target="http://csr.bu.edu/ftp/asl/asllvd/demos/verify_start_end_handshape_annotations//test_auto_move//signs_mov_separ_signers/Tyler_15853.mov" TargetMode="External"/><Relationship Id="rId8338" Type="http://schemas.openxmlformats.org/officeDocument/2006/relationships/hyperlink" Target="http://secrets.rutgers.edu:8080/data/asl-ftp/asllvd/demos/verify_start_end_handshape_annotations//test_auto_move//signs_mov_separ_signers/Tyler_15853.mov" TargetMode="External"/><Relationship Id="rId8339" Type="http://schemas.openxmlformats.org/officeDocument/2006/relationships/hyperlink" Target="http://csr.bu.edu/ftp/asl/asllvd/demos/verify_start_end_handshape_annotations//test_auto_move//signs_mov/15853_15880_merged.mov" TargetMode="External"/><Relationship Id="rId8340" Type="http://schemas.openxmlformats.org/officeDocument/2006/relationships/hyperlink" Target="http://csr.bu.edu/ftp/asl/asllvd/demos/verify_start_end_handshape_annotations//test_auto_move//signs_mov_separ_signers/Naomi_15853.mov" TargetMode="External"/><Relationship Id="rId8341" Type="http://schemas.openxmlformats.org/officeDocument/2006/relationships/hyperlink" Target="http://secrets.rutgers.edu:8080/data/asl-ftp/asllvd/demos/verify_start_end_handshape_annotations//test_auto_move//signs_mov/15853_15880_merged.mov" TargetMode="External"/><Relationship Id="rId8342" Type="http://schemas.openxmlformats.org/officeDocument/2006/relationships/hyperlink" Target="http://secrets.rutgers.edu:8080/data/asl-ftp/asllvd/demos/verify_start_end_handshape_annotations//test_auto_move//signs_mov_separ_signers/Naomi_15853.mov" TargetMode="External"/><Relationship Id="rId8343" Type="http://schemas.openxmlformats.org/officeDocument/2006/relationships/hyperlink" Target="http://csr.bu.edu/ftp/asl/asllvd/demos/verify_start_end_handshape_annotations//test_auto_move//signs_mov_separ_signers/Naomi_15880.mov" TargetMode="External"/><Relationship Id="rId8344" Type="http://schemas.openxmlformats.org/officeDocument/2006/relationships/hyperlink" Target="http://secrets.rutgers.edu:8080/data/asl-ftp/asllvd/demos/verify_start_end_handshape_annotations//test_auto_move//signs_mov_separ_signers/Naomi_15880.mov" TargetMode="External"/><Relationship Id="rId8345" Type="http://schemas.openxmlformats.org/officeDocument/2006/relationships/hyperlink" Target="http://csr.bu.edu/ftp/asl/asllvd/demos/verify_start_end_handshape_annotations//test_auto_move//signs_mov_separ_signers/Brady_15853.mov" TargetMode="External"/><Relationship Id="rId8346" Type="http://schemas.openxmlformats.org/officeDocument/2006/relationships/hyperlink" Target="http://secrets.rutgers.edu:8080/data/asl-ftp/asllvd/demos/verify_start_end_handshape_annotations//test_auto_move//signs_mov_separ_signers/Brady_15853.mov" TargetMode="External"/><Relationship Id="rId8347" Type="http://schemas.openxmlformats.org/officeDocument/2006/relationships/hyperlink" Target="http://csr.bu.edu/ftp/asl/asllvd/demos/verify_start_end_handshape_annotations//test_auto_move//signs_mov_separ_signers/Brady_15880.mov" TargetMode="External"/><Relationship Id="rId8348" Type="http://schemas.openxmlformats.org/officeDocument/2006/relationships/hyperlink" Target="http://secrets.rutgers.edu:8080/data/asl-ftp/asllvd/demos/verify_start_end_handshape_annotations//test_auto_move//signs_mov_separ_signers/Brady_15880.mov" TargetMode="External"/><Relationship Id="rId8349" Type="http://schemas.openxmlformats.org/officeDocument/2006/relationships/hyperlink" Target="http://csr.bu.edu/ftp/asl/asllvd/demos/verify_start_end_handshape_annotations//test_auto_move//signs_mov/15881.mov" TargetMode="External"/><Relationship Id="rId8350" Type="http://schemas.openxmlformats.org/officeDocument/2006/relationships/hyperlink" Target="http://csr.bu.edu/ftp/asl/asllvd/demos/verify_start_end_handshape_annotations//test_auto_move//signs_mov_separ_signers/Tyler_15881.mov" TargetMode="External"/><Relationship Id="rId8351" Type="http://schemas.openxmlformats.org/officeDocument/2006/relationships/hyperlink" Target="http://secrets.rutgers.edu:8080/data/asl-ftp/asllvd/demos/verify_start_end_handshape_annotations//test_auto_move//signs_mov/15881.mov" TargetMode="External"/><Relationship Id="rId8352" Type="http://schemas.openxmlformats.org/officeDocument/2006/relationships/hyperlink" Target="http://secrets.rutgers.edu:8080/data/asl-ftp/asllvd/demos/verify_start_end_handshape_annotations//test_auto_move//signs_mov_separ_signers/Tyler_15881.mov" TargetMode="External"/><Relationship Id="rId8353" Type="http://schemas.openxmlformats.org/officeDocument/2006/relationships/hyperlink" Target="http://csr.bu.edu/ftp/asl/asllvd/demos/verify_start_end_handshape_annotations//test_auto_move//signs_mov_separ_signers/Liz_16005.mov" TargetMode="External"/><Relationship Id="rId8354" Type="http://schemas.openxmlformats.org/officeDocument/2006/relationships/hyperlink" Target="http://secrets.rutgers.edu:8080/data/asl-ftp/asllvd/demos/verify_start_end_handshape_annotations//test_auto_move//signs_mov_separ_signers/Liz_16005.mov" TargetMode="External"/><Relationship Id="rId8355" Type="http://schemas.openxmlformats.org/officeDocument/2006/relationships/hyperlink" Target="http://csr.bu.edu/ftp/asl/asllvd/demos/verify_start_end_handshape_annotations//test_auto_move//signs_mov_separ_signers/Tyler_16005.mov" TargetMode="External"/><Relationship Id="rId8356" Type="http://schemas.openxmlformats.org/officeDocument/2006/relationships/hyperlink" Target="http://secrets.rutgers.edu:8080/data/asl-ftp/asllvd/demos/verify_start_end_handshape_annotations//test_auto_move//signs_mov_separ_signers/Tyler_16005.mov" TargetMode="External"/><Relationship Id="rId8357" Type="http://schemas.openxmlformats.org/officeDocument/2006/relationships/hyperlink" Target="http://csr.bu.edu/ftp/asl/asllvd/demos/verify_start_end_handshape_annotations//test_auto_move//signs_mov_separ_signers/Naomi_16005.mov" TargetMode="External"/><Relationship Id="rId8358" Type="http://schemas.openxmlformats.org/officeDocument/2006/relationships/hyperlink" Target="http://secrets.rutgers.edu:8080/data/asl-ftp/asllvd/demos/verify_start_end_handshape_annotations//test_auto_move//signs_mov_separ_signers/Naomi_16005.mov" TargetMode="External"/><Relationship Id="rId8359" Type="http://schemas.openxmlformats.org/officeDocument/2006/relationships/hyperlink" Target="http://csr.bu.edu/ftp/asl/asllvd/demos/verify_start_end_handshape_annotations//test_auto_move//signs_mov/16005_16006_merged.mov" TargetMode="External"/><Relationship Id="rId8360" Type="http://schemas.openxmlformats.org/officeDocument/2006/relationships/hyperlink" Target="http://csr.bu.edu/ftp/asl/asllvd/demos/verify_start_end_handshape_annotations//test_auto_move//signs_mov_separ_signers/Brady_16005.mov" TargetMode="External"/><Relationship Id="rId8361" Type="http://schemas.openxmlformats.org/officeDocument/2006/relationships/hyperlink" Target="http://secrets.rutgers.edu:8080/data/asl-ftp/asllvd/demos/verify_start_end_handshape_annotations//test_auto_move//signs_mov/16005_16006_merged.mov" TargetMode="External"/><Relationship Id="rId8362" Type="http://schemas.openxmlformats.org/officeDocument/2006/relationships/hyperlink" Target="http://secrets.rutgers.edu:8080/data/asl-ftp/asllvd/demos/verify_start_end_handshape_annotations//test_auto_move//signs_mov_separ_signers/Brady_16005.mov" TargetMode="External"/><Relationship Id="rId8363" Type="http://schemas.openxmlformats.org/officeDocument/2006/relationships/hyperlink" Target="http://csr.bu.edu/ftp/asl/asllvd/demos/verify_start_end_handshape_annotations//test_auto_move//signs_mov_separ_signers/Brady_16006.mov" TargetMode="External"/><Relationship Id="rId8364" Type="http://schemas.openxmlformats.org/officeDocument/2006/relationships/hyperlink" Target="http://secrets.rutgers.edu:8080/data/asl-ftp/asllvd/demos/verify_start_end_handshape_annotations//test_auto_move//signs_mov_separ_signers/Brady_16006.mov" TargetMode="External"/><Relationship Id="rId8365" Type="http://schemas.openxmlformats.org/officeDocument/2006/relationships/hyperlink" Target="http://csr.bu.edu/ftp/asl/asllvd/demos/verify_start_end_handshape_annotations//test_auto_move//signs_mov_separ_signers/Lana_16005.mov" TargetMode="External"/><Relationship Id="rId8366" Type="http://schemas.openxmlformats.org/officeDocument/2006/relationships/hyperlink" Target="http://secrets.rutgers.edu:8080/data/asl-ftp/asllvd/demos/verify_start_end_handshape_annotations//test_auto_move//signs_mov_separ_signers/Lana_16005.mov" TargetMode="External"/><Relationship Id="rId8367" Type="http://schemas.openxmlformats.org/officeDocument/2006/relationships/hyperlink" Target="http://csr.bu.edu/ftp/asl/asllvd/demos/verify_start_end_handshape_annotations//test_auto_move//signs_mov_separ_signers/Dana_16005.mov" TargetMode="External"/><Relationship Id="rId8368" Type="http://schemas.openxmlformats.org/officeDocument/2006/relationships/hyperlink" Target="http://secrets.rutgers.edu:8080/data/asl-ftp/asllvd/demos/verify_start_end_handshape_annotations//test_auto_move//signs_mov_separ_signers/Dana_16005.mov" TargetMode="External"/><Relationship Id="rId8369" Type="http://schemas.openxmlformats.org/officeDocument/2006/relationships/hyperlink" Target="http://csr.bu.edu/ftp/asl/asllvd/demos/verify_start_end_handshape_annotations//test_auto_move//signs_mov_separ_signers/Liz_16046.mov" TargetMode="External"/><Relationship Id="rId8370" Type="http://schemas.openxmlformats.org/officeDocument/2006/relationships/hyperlink" Target="http://secrets.rutgers.edu:8080/data/asl-ftp/asllvd/demos/verify_start_end_handshape_annotations//test_auto_move//signs_mov_separ_signers/Liz_16046.mov" TargetMode="External"/><Relationship Id="rId8371" Type="http://schemas.openxmlformats.org/officeDocument/2006/relationships/hyperlink" Target="http://csr.bu.edu/ftp/asl/asllvd/demos/verify_start_end_handshape_annotations//test_auto_move//signs_mov/16046.mov" TargetMode="External"/><Relationship Id="rId8372" Type="http://schemas.openxmlformats.org/officeDocument/2006/relationships/hyperlink" Target="http://csr.bu.edu/ftp/asl/asllvd/demos/verify_start_end_handshape_annotations//test_auto_move//signs_mov_separ_signers/Tyler_16046.mov" TargetMode="External"/><Relationship Id="rId8373" Type="http://schemas.openxmlformats.org/officeDocument/2006/relationships/hyperlink" Target="http://secrets.rutgers.edu:8080/data/asl-ftp/asllvd/demos/verify_start_end_handshape_annotations//test_auto_move//signs_mov/16046.mov" TargetMode="External"/><Relationship Id="rId8374" Type="http://schemas.openxmlformats.org/officeDocument/2006/relationships/hyperlink" Target="http://secrets.rutgers.edu:8080/data/asl-ftp/asllvd/demos/verify_start_end_handshape_annotations//test_auto_move//signs_mov_separ_signers/Tyler_16046.mov" TargetMode="External"/><Relationship Id="rId8375" Type="http://schemas.openxmlformats.org/officeDocument/2006/relationships/hyperlink" Target="http://csr.bu.edu/ftp/asl/asllvd/demos/verify_start_end_handshape_annotations//test_auto_move//signs_mov_separ_signers/Naomi_16046.mov" TargetMode="External"/><Relationship Id="rId8376" Type="http://schemas.openxmlformats.org/officeDocument/2006/relationships/hyperlink" Target="http://secrets.rutgers.edu:8080/data/asl-ftp/asllvd/demos/verify_start_end_handshape_annotations//test_auto_move//signs_mov_separ_signers/Naomi_16046.mov" TargetMode="External"/><Relationship Id="rId8377" Type="http://schemas.openxmlformats.org/officeDocument/2006/relationships/hyperlink" Target="http://csr.bu.edu/ftp/asl/asllvd/demos/verify_start_end_handshape_annotations//test_auto_move//signs_mov/16570.mov" TargetMode="External"/><Relationship Id="rId8378" Type="http://schemas.openxmlformats.org/officeDocument/2006/relationships/hyperlink" Target="http://csr.bu.edu/ftp/asl/asllvd/demos/verify_start_end_handshape_annotations//test_auto_move//signs_mov_separ_signers/Liz_16570.mov" TargetMode="External"/><Relationship Id="rId8379" Type="http://schemas.openxmlformats.org/officeDocument/2006/relationships/hyperlink" Target="http://secrets.rutgers.edu:8080/data/asl-ftp/asllvd/demos/verify_start_end_handshape_annotations//test_auto_move//signs_mov/16570.mov" TargetMode="External"/><Relationship Id="rId8380" Type="http://schemas.openxmlformats.org/officeDocument/2006/relationships/hyperlink" Target="http://secrets.rutgers.edu:8080/data/asl-ftp/asllvd/demos/verify_start_end_handshape_annotations//test_auto_move//signs_mov_separ_signers/Liz_16570.mov" TargetMode="External"/><Relationship Id="rId8381" Type="http://schemas.openxmlformats.org/officeDocument/2006/relationships/hyperlink" Target="http://csr.bu.edu/ftp/asl/asllvd/demos/verify_start_end_handshape_annotations//test_auto_move//signs_mov_separ_signers/Brady_16570.mov" TargetMode="External"/><Relationship Id="rId8382" Type="http://schemas.openxmlformats.org/officeDocument/2006/relationships/hyperlink" Target="http://secrets.rutgers.edu:8080/data/asl-ftp/asllvd/demos/verify_start_end_handshape_annotations//test_auto_move//signs_mov_separ_signers/Brady_16570.mov" TargetMode="External"/><Relationship Id="rId8383" Type="http://schemas.openxmlformats.org/officeDocument/2006/relationships/hyperlink" Target="http://csr.bu.edu/ftp/asl/asllvd/demos/verify_start_end_handshape_annotations//test_auto_move//signs_mov_separ_signers/Liz_896.mov" TargetMode="External"/><Relationship Id="rId8384" Type="http://schemas.openxmlformats.org/officeDocument/2006/relationships/hyperlink" Target="http://secrets.rutgers.edu:8080/data/asl-ftp/asllvd/demos/verify_start_end_handshape_annotations//test_auto_move//signs_mov_separ_signers/Liz_896.mov" TargetMode="External"/><Relationship Id="rId8385" Type="http://schemas.openxmlformats.org/officeDocument/2006/relationships/hyperlink" Target="http://csr.bu.edu/ftp/asl/asllvd/demos/verify_start_end_handshape_annotations//test_auto_move//signs_mov_separ_signers/Liz_3433.mov" TargetMode="External"/><Relationship Id="rId8386" Type="http://schemas.openxmlformats.org/officeDocument/2006/relationships/hyperlink" Target="http://secrets.rutgers.edu:8080/data/asl-ftp/asllvd/demos/verify_start_end_handshape_annotations//test_auto_move//signs_mov_separ_signers/Liz_3433.mov" TargetMode="External"/><Relationship Id="rId8387" Type="http://schemas.openxmlformats.org/officeDocument/2006/relationships/hyperlink" Target="http://csr.bu.edu/ftp/asl/asllvd/demos/verify_start_end_handshape_annotations//test_auto_move//signs_mov/896_3433_merged.mov" TargetMode="External"/><Relationship Id="rId8388" Type="http://schemas.openxmlformats.org/officeDocument/2006/relationships/hyperlink" Target="http://csr.bu.edu/ftp/asl/asllvd/demos/verify_start_end_handshape_annotations//test_auto_move//signs_mov_separ_signers/Tyler_896.mov" TargetMode="External"/><Relationship Id="rId8389" Type="http://schemas.openxmlformats.org/officeDocument/2006/relationships/hyperlink" Target="http://secrets.rutgers.edu:8080/data/asl-ftp/asllvd/demos/verify_start_end_handshape_annotations//test_auto_move//signs_mov/896_3433_merged.mov" TargetMode="External"/><Relationship Id="rId8390" Type="http://schemas.openxmlformats.org/officeDocument/2006/relationships/hyperlink" Target="http://secrets.rutgers.edu:8080/data/asl-ftp/asllvd/demos/verify_start_end_handshape_annotations//test_auto_move//signs_mov_separ_signers/Tyler_896.mov" TargetMode="External"/><Relationship Id="rId8391" Type="http://schemas.openxmlformats.org/officeDocument/2006/relationships/hyperlink" Target="http://csr.bu.edu/ftp/asl/asllvd/demos/verify_start_end_handshape_annotations//test_auto_move//signs_mov_separ_signers/Naomi_896.mov" TargetMode="External"/><Relationship Id="rId8392" Type="http://schemas.openxmlformats.org/officeDocument/2006/relationships/hyperlink" Target="http://secrets.rutgers.edu:8080/data/asl-ftp/asllvd/demos/verify_start_end_handshape_annotations//test_auto_move//signs_mov_separ_signers/Naomi_896.mov" TargetMode="External"/><Relationship Id="rId8393" Type="http://schemas.openxmlformats.org/officeDocument/2006/relationships/hyperlink" Target="http://csr.bu.edu/ftp/asl/asllvd/demos/verify_start_end_handshape_annotations//test_auto_move//signs_mov_separ_signers/Brady_896.mov" TargetMode="External"/><Relationship Id="rId8394" Type="http://schemas.openxmlformats.org/officeDocument/2006/relationships/hyperlink" Target="http://secrets.rutgers.edu:8080/data/asl-ftp/asllvd/demos/verify_start_end_handshape_annotations//test_auto_move//signs_mov_separ_signers/Brady_896.mov" TargetMode="External"/><Relationship Id="rId8395" Type="http://schemas.openxmlformats.org/officeDocument/2006/relationships/hyperlink" Target="http://csr.bu.edu/ftp/asl/asllvd/demos/verify_start_end_handshape_annotations//test_auto_move//signs_mov_separ_signers/Brady_3433.mov" TargetMode="External"/><Relationship Id="rId8396" Type="http://schemas.openxmlformats.org/officeDocument/2006/relationships/hyperlink" Target="http://secrets.rutgers.edu:8080/data/asl-ftp/asllvd/demos/verify_start_end_handshape_annotations//test_auto_move//signs_mov_separ_signers/Brady_3433.mov" TargetMode="External"/><Relationship Id="rId8397" Type="http://schemas.openxmlformats.org/officeDocument/2006/relationships/hyperlink" Target="http://csr.bu.edu/ftp/asl/asllvd/demos/verify_start_end_handshape_annotations//test_auto_move//signs_mov/15205.mov" TargetMode="External"/><Relationship Id="rId8398" Type="http://schemas.openxmlformats.org/officeDocument/2006/relationships/hyperlink" Target="http://csr.bu.edu/ftp/asl/asllvd/demos/verify_start_end_handshape_annotations//test_auto_move//signs_mov_separ_signers/Liz_15205.mov" TargetMode="External"/><Relationship Id="rId8399" Type="http://schemas.openxmlformats.org/officeDocument/2006/relationships/hyperlink" Target="http://secrets.rutgers.edu:8080/data/asl-ftp/asllvd/demos/verify_start_end_handshape_annotations//test_auto_move//signs_mov/15205.mov" TargetMode="External"/><Relationship Id="rId8400" Type="http://schemas.openxmlformats.org/officeDocument/2006/relationships/hyperlink" Target="http://secrets.rutgers.edu:8080/data/asl-ftp/asllvd/demos/verify_start_end_handshape_annotations//test_auto_move//signs_mov_separ_signers/Liz_15205.mov" TargetMode="External"/><Relationship Id="rId8401" Type="http://schemas.openxmlformats.org/officeDocument/2006/relationships/hyperlink" Target="http://csr.bu.edu/ftp/asl/asllvd/demos/verify_start_end_handshape_annotations//test_auto_move//signs_mov_separ_signers/Brady_15205.mov" TargetMode="External"/><Relationship Id="rId8402" Type="http://schemas.openxmlformats.org/officeDocument/2006/relationships/hyperlink" Target="http://secrets.rutgers.edu:8080/data/asl-ftp/asllvd/demos/verify_start_end_handshape_annotations//test_auto_move//signs_mov_separ_signers/Brady_15205.mov" TargetMode="External"/><Relationship Id="rId8403" Type="http://schemas.openxmlformats.org/officeDocument/2006/relationships/hyperlink" Target="http://csr.bu.edu/ftp/asl/asllvd/demos/verify_start_end_handshape_annotations//test_auto_move//signs_mov_separ_signers/Liz_899.mov" TargetMode="External"/><Relationship Id="rId8404" Type="http://schemas.openxmlformats.org/officeDocument/2006/relationships/hyperlink" Target="http://secrets.rutgers.edu:8080/data/asl-ftp/asllvd/demos/verify_start_end_handshape_annotations//test_auto_move//signs_mov_separ_signers/Liz_899.mov" TargetMode="External"/><Relationship Id="rId8405" Type="http://schemas.openxmlformats.org/officeDocument/2006/relationships/hyperlink" Target="http://csr.bu.edu/ftp/asl/asllvd/demos/verify_start_end_handshape_annotations//test_auto_move//signs_mov_separ_signers/Liz_3522.mov" TargetMode="External"/><Relationship Id="rId8406" Type="http://schemas.openxmlformats.org/officeDocument/2006/relationships/hyperlink" Target="http://secrets.rutgers.edu:8080/data/asl-ftp/asllvd/demos/verify_start_end_handshape_annotations//test_auto_move//signs_mov_separ_signers/Liz_3522.mov" TargetMode="External"/><Relationship Id="rId8407" Type="http://schemas.openxmlformats.org/officeDocument/2006/relationships/hyperlink" Target="http://csr.bu.edu/ftp/asl/asllvd/demos/verify_start_end_handshape_annotations//test_auto_move//signs_mov/899_3522_5323_merged.mov" TargetMode="External"/><Relationship Id="rId8408" Type="http://schemas.openxmlformats.org/officeDocument/2006/relationships/hyperlink" Target="http://csr.bu.edu/ftp/asl/asllvd/demos/verify_start_end_handshape_annotations//test_auto_move//signs_mov_separ_signers/Liz_5323.mov" TargetMode="External"/><Relationship Id="rId8409" Type="http://schemas.openxmlformats.org/officeDocument/2006/relationships/hyperlink" Target="http://secrets.rutgers.edu:8080/data/asl-ftp/asllvd/demos/verify_start_end_handshape_annotations//test_auto_move//signs_mov/899_3522_5323_merged.mov" TargetMode="External"/><Relationship Id="rId8410" Type="http://schemas.openxmlformats.org/officeDocument/2006/relationships/hyperlink" Target="http://secrets.rutgers.edu:8080/data/asl-ftp/asllvd/demos/verify_start_end_handshape_annotations//test_auto_move//signs_mov_separ_signers/Liz_5323.mov" TargetMode="External"/><Relationship Id="rId8411" Type="http://schemas.openxmlformats.org/officeDocument/2006/relationships/hyperlink" Target="http://csr.bu.edu/ftp/asl/asllvd/demos/verify_start_end_handshape_annotations//test_auto_move//signs_mov_separ_signers/Tyler_899.mov" TargetMode="External"/><Relationship Id="rId8412" Type="http://schemas.openxmlformats.org/officeDocument/2006/relationships/hyperlink" Target="http://secrets.rutgers.edu:8080/data/asl-ftp/asllvd/demos/verify_start_end_handshape_annotations//test_auto_move//signs_mov_separ_signers/Tyler_899.mov" TargetMode="External"/><Relationship Id="rId8413" Type="http://schemas.openxmlformats.org/officeDocument/2006/relationships/hyperlink" Target="http://csr.bu.edu/ftp/asl/asllvd/demos/verify_start_end_handshape_annotations//test_auto_move//signs_mov_separ_signers/Naomi_899.mov" TargetMode="External"/><Relationship Id="rId8414" Type="http://schemas.openxmlformats.org/officeDocument/2006/relationships/hyperlink" Target="http://secrets.rutgers.edu:8080/data/asl-ftp/asllvd/demos/verify_start_end_handshape_annotations//test_auto_move//signs_mov_separ_signers/Naomi_899.mov" TargetMode="External"/><Relationship Id="rId8415" Type="http://schemas.openxmlformats.org/officeDocument/2006/relationships/hyperlink" Target="http://csr.bu.edu/ftp/asl/asllvd/demos/verify_start_end_handshape_annotations//test_auto_move//signs_mov_separ_signers/Naomi_3522.mov" TargetMode="External"/><Relationship Id="rId8416" Type="http://schemas.openxmlformats.org/officeDocument/2006/relationships/hyperlink" Target="http://secrets.rutgers.edu:8080/data/asl-ftp/asllvd/demos/verify_start_end_handshape_annotations//test_auto_move//signs_mov_separ_signers/Naomi_3522.mov" TargetMode="External"/><Relationship Id="rId8417" Type="http://schemas.openxmlformats.org/officeDocument/2006/relationships/hyperlink" Target="http://csr.bu.edu/ftp/asl/asllvd/demos/verify_start_end_handshape_annotations//test_auto_move//signs_mov/15190_15202_merged.mov" TargetMode="External"/><Relationship Id="rId8418" Type="http://schemas.openxmlformats.org/officeDocument/2006/relationships/hyperlink" Target="http://csr.bu.edu/ftp/asl/asllvd/demos/verify_start_end_handshape_annotations//test_auto_move//signs_mov_separ_signers/Brady_15190.mov" TargetMode="External"/><Relationship Id="rId8419" Type="http://schemas.openxmlformats.org/officeDocument/2006/relationships/hyperlink" Target="http://secrets.rutgers.edu:8080/data/asl-ftp/asllvd/demos/verify_start_end_handshape_annotations//test_auto_move//signs_mov/15190_15202_merged.mov" TargetMode="External"/><Relationship Id="rId8420" Type="http://schemas.openxmlformats.org/officeDocument/2006/relationships/hyperlink" Target="http://secrets.rutgers.edu:8080/data/asl-ftp/asllvd/demos/verify_start_end_handshape_annotations//test_auto_move//signs_mov_separ_signers/Brady_15190.mov" TargetMode="External"/><Relationship Id="rId8421" Type="http://schemas.openxmlformats.org/officeDocument/2006/relationships/hyperlink" Target="http://csr.bu.edu/ftp/asl/asllvd/demos/verify_start_end_handshape_annotations//test_auto_move//signs_mov_separ_signers/Brady_15202.mov" TargetMode="External"/><Relationship Id="rId8422" Type="http://schemas.openxmlformats.org/officeDocument/2006/relationships/hyperlink" Target="http://secrets.rutgers.edu:8080/data/asl-ftp/asllvd/demos/verify_start_end_handshape_annotations//test_auto_move//signs_mov_separ_signers/Brady_15202.mov" TargetMode="External"/><Relationship Id="rId8423" Type="http://schemas.openxmlformats.org/officeDocument/2006/relationships/hyperlink" Target="http://csr.bu.edu/ftp/asl/asllvd/demos/verify_start_end_handshape_annotations//test_auto_move//signs_mov_separ_signers/Liz_15219.mov" TargetMode="External"/><Relationship Id="rId8424" Type="http://schemas.openxmlformats.org/officeDocument/2006/relationships/hyperlink" Target="http://secrets.rutgers.edu:8080/data/asl-ftp/asllvd/demos/verify_start_end_handshape_annotations//test_auto_move//signs_mov_separ_signers/Liz_15219.mov" TargetMode="External"/><Relationship Id="rId8425" Type="http://schemas.openxmlformats.org/officeDocument/2006/relationships/hyperlink" Target="http://csr.bu.edu/ftp/asl/asllvd/demos/verify_start_end_handshape_annotations//test_auto_move//signs_mov_separ_signers/Tyler_15219.mov" TargetMode="External"/><Relationship Id="rId8426" Type="http://schemas.openxmlformats.org/officeDocument/2006/relationships/hyperlink" Target="http://secrets.rutgers.edu:8080/data/asl-ftp/asllvd/demos/verify_start_end_handshape_annotations//test_auto_move//signs_mov_separ_signers/Tyler_15219.mov" TargetMode="External"/><Relationship Id="rId8427" Type="http://schemas.openxmlformats.org/officeDocument/2006/relationships/hyperlink" Target="http://csr.bu.edu/ftp/asl/asllvd/demos/verify_start_end_handshape_annotations//test_auto_move//signs_mov/15219_16348_16349_merged.mov" TargetMode="External"/><Relationship Id="rId8428" Type="http://schemas.openxmlformats.org/officeDocument/2006/relationships/hyperlink" Target="http://csr.bu.edu/ftp/asl/asllvd/demos/verify_start_end_handshape_annotations//test_auto_move//signs_mov_separ_signers/Naomi_15219.mov" TargetMode="External"/><Relationship Id="rId8429" Type="http://schemas.openxmlformats.org/officeDocument/2006/relationships/hyperlink" Target="http://secrets.rutgers.edu:8080/data/asl-ftp/asllvd/demos/verify_start_end_handshape_annotations//test_auto_move//signs_mov/15219_16348_16349_merged.mov" TargetMode="External"/><Relationship Id="rId8430" Type="http://schemas.openxmlformats.org/officeDocument/2006/relationships/hyperlink" Target="http://secrets.rutgers.edu:8080/data/asl-ftp/asllvd/demos/verify_start_end_handshape_annotations//test_auto_move//signs_mov_separ_signers/Naomi_15219.mov" TargetMode="External"/><Relationship Id="rId8431" Type="http://schemas.openxmlformats.org/officeDocument/2006/relationships/hyperlink" Target="http://csr.bu.edu/ftp/asl/asllvd/demos/verify_start_end_handshape_annotations//test_auto_move//signs_mov_separ_signers/Brady_15219.mov" TargetMode="External"/><Relationship Id="rId8432" Type="http://schemas.openxmlformats.org/officeDocument/2006/relationships/hyperlink" Target="http://secrets.rutgers.edu:8080/data/asl-ftp/asllvd/demos/verify_start_end_handshape_annotations//test_auto_move//signs_mov_separ_signers/Brady_15219.mov" TargetMode="External"/><Relationship Id="rId8433" Type="http://schemas.openxmlformats.org/officeDocument/2006/relationships/hyperlink" Target="http://csr.bu.edu/ftp/asl/asllvd/demos/verify_start_end_handshape_annotations//test_auto_move//signs_mov_separ_signers/Brady_16348.mov" TargetMode="External"/><Relationship Id="rId8434" Type="http://schemas.openxmlformats.org/officeDocument/2006/relationships/hyperlink" Target="http://secrets.rutgers.edu:8080/data/asl-ftp/asllvd/demos/verify_start_end_handshape_annotations//test_auto_move//signs_mov_separ_signers/Brady_16348.mov" TargetMode="External"/><Relationship Id="rId8435" Type="http://schemas.openxmlformats.org/officeDocument/2006/relationships/hyperlink" Target="http://csr.bu.edu/ftp/asl/asllvd/demos/verify_start_end_handshape_annotations//test_auto_move//signs_mov_separ_signers/Brady_16349.mov" TargetMode="External"/><Relationship Id="rId8436" Type="http://schemas.openxmlformats.org/officeDocument/2006/relationships/hyperlink" Target="http://secrets.rutgers.edu:8080/data/asl-ftp/asllvd/demos/verify_start_end_handshape_annotations//test_auto_move//signs_mov_separ_signers/Brady_16349.mov" TargetMode="External"/><Relationship Id="rId8437" Type="http://schemas.openxmlformats.org/officeDocument/2006/relationships/hyperlink" Target="http://csr.bu.edu/ftp/asl/asllvd/demos/verify_start_end_handshape_annotations//test_auto_move//signs_mov/16404.mov" TargetMode="External"/><Relationship Id="rId8438" Type="http://schemas.openxmlformats.org/officeDocument/2006/relationships/hyperlink" Target="http://csr.bu.edu/ftp/asl/asllvd/demos/verify_start_end_handshape_annotations//test_auto_move//signs_mov_separ_signers/Liz_16404.mov" TargetMode="External"/><Relationship Id="rId8439" Type="http://schemas.openxmlformats.org/officeDocument/2006/relationships/hyperlink" Target="http://secrets.rutgers.edu:8080/data/asl-ftp/asllvd/demos/verify_start_end_handshape_annotations//test_auto_move//signs_mov/16404.mov" TargetMode="External"/><Relationship Id="rId8440" Type="http://schemas.openxmlformats.org/officeDocument/2006/relationships/hyperlink" Target="http://secrets.rutgers.edu:8080/data/asl-ftp/asllvd/demos/verify_start_end_handshape_annotations//test_auto_move//signs_mov_separ_signers/Liz_16404.mov" TargetMode="External"/><Relationship Id="rId8441" Type="http://schemas.openxmlformats.org/officeDocument/2006/relationships/hyperlink" Target="http://csr.bu.edu/ftp/asl/asllvd/demos/verify_start_end_handshape_annotations//test_auto_move//signs_mov_separ_signers/Naomi_16404.mov" TargetMode="External"/><Relationship Id="rId8442" Type="http://schemas.openxmlformats.org/officeDocument/2006/relationships/hyperlink" Target="http://secrets.rutgers.edu:8080/data/asl-ftp/asllvd/demos/verify_start_end_handshape_annotations//test_auto_move//signs_mov_separ_signers/Naomi_16404.mov" TargetMode="External"/><Relationship Id="rId8443" Type="http://schemas.openxmlformats.org/officeDocument/2006/relationships/hyperlink" Target="http://csr.bu.edu/ftp/asl/asllvd/demos/verify_start_end_handshape_annotations//test_auto_move//signs_mov/901_3632_merged.mov" TargetMode="External"/><Relationship Id="rId8444" Type="http://schemas.openxmlformats.org/officeDocument/2006/relationships/hyperlink" Target="http://csr.bu.edu/ftp/asl/asllvd/demos/verify_start_end_handshape_annotations//test_auto_move//signs_mov_separ_signers/Tyler_901.mov" TargetMode="External"/><Relationship Id="rId8445" Type="http://schemas.openxmlformats.org/officeDocument/2006/relationships/hyperlink" Target="http://secrets.rutgers.edu:8080/data/asl-ftp/asllvd/demos/verify_start_end_handshape_annotations//test_auto_move//signs_mov/901_3632_merged.mov" TargetMode="External"/><Relationship Id="rId8446" Type="http://schemas.openxmlformats.org/officeDocument/2006/relationships/hyperlink" Target="http://secrets.rutgers.edu:8080/data/asl-ftp/asllvd/demos/verify_start_end_handshape_annotations//test_auto_move//signs_mov_separ_signers/Tyler_901.mov" TargetMode="External"/><Relationship Id="rId8447" Type="http://schemas.openxmlformats.org/officeDocument/2006/relationships/hyperlink" Target="http://csr.bu.edu/ftp/asl/asllvd/demos/verify_start_end_handshape_annotations//test_auto_move//signs_mov_separ_signers/Tyler_3632.mov" TargetMode="External"/><Relationship Id="rId8448" Type="http://schemas.openxmlformats.org/officeDocument/2006/relationships/hyperlink" Target="http://secrets.rutgers.edu:8080/data/asl-ftp/asllvd/demos/verify_start_end_handshape_annotations//test_auto_move//signs_mov_separ_signers/Tyler_3632.mov" TargetMode="External"/><Relationship Id="rId8449" Type="http://schemas.openxmlformats.org/officeDocument/2006/relationships/hyperlink" Target="http://csr.bu.edu/ftp/asl/asllvd/demos/verify_start_end_handshape_annotations//test_auto_move//signs_mov/5182_5183_merged.mov" TargetMode="External"/><Relationship Id="rId8450" Type="http://schemas.openxmlformats.org/officeDocument/2006/relationships/hyperlink" Target="http://csr.bu.edu/ftp/asl/asllvd/demos/verify_start_end_handshape_annotations//test_auto_move//signs_mov_separ_signers/Liz_5182.mov" TargetMode="External"/><Relationship Id="rId8451" Type="http://schemas.openxmlformats.org/officeDocument/2006/relationships/hyperlink" Target="http://secrets.rutgers.edu:8080/data/asl-ftp/asllvd/demos/verify_start_end_handshape_annotations//test_auto_move//signs_mov/5182_5183_merged.mov" TargetMode="External"/><Relationship Id="rId8452" Type="http://schemas.openxmlformats.org/officeDocument/2006/relationships/hyperlink" Target="http://secrets.rutgers.edu:8080/data/asl-ftp/asllvd/demos/verify_start_end_handshape_annotations//test_auto_move//signs_mov_separ_signers/Liz_5182.mov" TargetMode="External"/><Relationship Id="rId8453" Type="http://schemas.openxmlformats.org/officeDocument/2006/relationships/hyperlink" Target="http://csr.bu.edu/ftp/asl/asllvd/demos/verify_start_end_handshape_annotations//test_auto_move//signs_mov_separ_signers/Liz_5183.mov" TargetMode="External"/><Relationship Id="rId8454" Type="http://schemas.openxmlformats.org/officeDocument/2006/relationships/hyperlink" Target="http://secrets.rutgers.edu:8080/data/asl-ftp/asllvd/demos/verify_start_end_handshape_annotations//test_auto_move//signs_mov_separ_signers/Liz_5183.mov" TargetMode="External"/><Relationship Id="rId8455" Type="http://schemas.openxmlformats.org/officeDocument/2006/relationships/hyperlink" Target="http://csr.bu.edu/ftp/asl/asllvd/demos/verify_start_end_handshape_annotations//test_auto_move//signs_mov_separ_signers/Naomi_15135.mov" TargetMode="External"/><Relationship Id="rId8456" Type="http://schemas.openxmlformats.org/officeDocument/2006/relationships/hyperlink" Target="http://secrets.rutgers.edu:8080/data/asl-ftp/asllvd/demos/verify_start_end_handshape_annotations//test_auto_move//signs_mov_separ_signers/Naomi_15135.mov" TargetMode="External"/><Relationship Id="rId8457" Type="http://schemas.openxmlformats.org/officeDocument/2006/relationships/hyperlink" Target="http://csr.bu.edu/ftp/asl/asllvd/demos/verify_start_end_handshape_annotations//test_auto_move//signs_mov/15135_15136_merged.mov" TargetMode="External"/><Relationship Id="rId8458" Type="http://schemas.openxmlformats.org/officeDocument/2006/relationships/hyperlink" Target="http://csr.bu.edu/ftp/asl/asllvd/demos/verify_start_end_handshape_annotations//test_auto_move//signs_mov_separ_signers/Naomi_15136.mov" TargetMode="External"/><Relationship Id="rId8459" Type="http://schemas.openxmlformats.org/officeDocument/2006/relationships/hyperlink" Target="http://secrets.rutgers.edu:8080/data/asl-ftp/asllvd/demos/verify_start_end_handshape_annotations//test_auto_move//signs_mov/15135_15136_merged.mov" TargetMode="External"/><Relationship Id="rId8460" Type="http://schemas.openxmlformats.org/officeDocument/2006/relationships/hyperlink" Target="http://secrets.rutgers.edu:8080/data/asl-ftp/asllvd/demos/verify_start_end_handshape_annotations//test_auto_move//signs_mov_separ_signers/Naomi_15136.mov" TargetMode="External"/><Relationship Id="rId8461" Type="http://schemas.openxmlformats.org/officeDocument/2006/relationships/hyperlink" Target="http://csr.bu.edu/ftp/asl/asllvd/demos/verify_start_end_handshape_annotations//test_auto_move//signs_mov_separ_signers/Brady_15135.mov" TargetMode="External"/><Relationship Id="rId8462" Type="http://schemas.openxmlformats.org/officeDocument/2006/relationships/hyperlink" Target="http://secrets.rutgers.edu:8080/data/asl-ftp/asllvd/demos/verify_start_end_handshape_annotations//test_auto_move//signs_mov_separ_signers/Brady_15135.mov" TargetMode="External"/><Relationship Id="rId8463" Type="http://schemas.openxmlformats.org/officeDocument/2006/relationships/hyperlink" Target="http://csr.bu.edu/ftp/asl/asllvd/demos/verify_start_end_handshape_annotations//test_auto_move//signs_mov_separ_signers/Brady_15136.mov" TargetMode="External"/><Relationship Id="rId8464" Type="http://schemas.openxmlformats.org/officeDocument/2006/relationships/hyperlink" Target="http://secrets.rutgers.edu:8080/data/asl-ftp/asllvd/demos/verify_start_end_handshape_annotations//test_auto_move//signs_mov_separ_signers/Brady_15136.mov" TargetMode="External"/><Relationship Id="rId8465" Type="http://schemas.openxmlformats.org/officeDocument/2006/relationships/hyperlink" Target="http://csr.bu.edu/ftp/asl/asllvd/demos/verify_start_end_handshape_annotations//test_auto_move//signs_mov_separ_signers/Liz_16007.mov" TargetMode="External"/><Relationship Id="rId8466" Type="http://schemas.openxmlformats.org/officeDocument/2006/relationships/hyperlink" Target="http://secrets.rutgers.edu:8080/data/asl-ftp/asllvd/demos/verify_start_end_handshape_annotations//test_auto_move//signs_mov_separ_signers/Liz_16007.mov" TargetMode="External"/><Relationship Id="rId8467" Type="http://schemas.openxmlformats.org/officeDocument/2006/relationships/hyperlink" Target="http://csr.bu.edu/ftp/asl/asllvd/demos/verify_start_end_handshape_annotations//test_auto_move//signs_mov/16007.mov" TargetMode="External"/><Relationship Id="rId8468" Type="http://schemas.openxmlformats.org/officeDocument/2006/relationships/hyperlink" Target="http://csr.bu.edu/ftp/asl/asllvd/demos/verify_start_end_handshape_annotations//test_auto_move//signs_mov_separ_signers/Tyler_16007.mov" TargetMode="External"/><Relationship Id="rId8469" Type="http://schemas.openxmlformats.org/officeDocument/2006/relationships/hyperlink" Target="http://secrets.rutgers.edu:8080/data/asl-ftp/asllvd/demos/verify_start_end_handshape_annotations//test_auto_move//signs_mov/16007.mov" TargetMode="External"/><Relationship Id="rId8470" Type="http://schemas.openxmlformats.org/officeDocument/2006/relationships/hyperlink" Target="http://secrets.rutgers.edu:8080/data/asl-ftp/asllvd/demos/verify_start_end_handshape_annotations//test_auto_move//signs_mov_separ_signers/Tyler_16007.mov" TargetMode="External"/><Relationship Id="rId8471" Type="http://schemas.openxmlformats.org/officeDocument/2006/relationships/hyperlink" Target="http://csr.bu.edu/ftp/asl/asllvd/demos/verify_start_end_handshape_annotations//test_auto_move//signs_mov_separ_signers/Naomi_16007.mov" TargetMode="External"/><Relationship Id="rId8472" Type="http://schemas.openxmlformats.org/officeDocument/2006/relationships/hyperlink" Target="http://secrets.rutgers.edu:8080/data/asl-ftp/asllvd/demos/verify_start_end_handshape_annotations//test_auto_move//signs_mov_separ_signers/Naomi_16007.mov" TargetMode="External"/><Relationship Id="rId8473" Type="http://schemas.openxmlformats.org/officeDocument/2006/relationships/hyperlink" Target="http://csr.bu.edu/ftp/asl/asllvd/demos/verify_start_end_handshape_annotations//test_auto_move//signs_mov_separ_signers/Brady_16007.mov" TargetMode="External"/><Relationship Id="rId8474" Type="http://schemas.openxmlformats.org/officeDocument/2006/relationships/hyperlink" Target="http://secrets.rutgers.edu:8080/data/asl-ftp/asllvd/demos/verify_start_end_handshape_annotations//test_auto_move//signs_mov_separ_signers/Brady_16007.mov" TargetMode="External"/><Relationship Id="rId8475" Type="http://schemas.openxmlformats.org/officeDocument/2006/relationships/hyperlink" Target="http://csr.bu.edu/ftp/asl/asllvd/demos/verify_start_end_handshape_annotations//test_auto_move//signs_mov_separ_signers/Liz_906.mov" TargetMode="External"/><Relationship Id="rId8476" Type="http://schemas.openxmlformats.org/officeDocument/2006/relationships/hyperlink" Target="http://secrets.rutgers.edu:8080/data/asl-ftp/asllvd/demos/verify_start_end_handshape_annotations//test_auto_move//signs_mov_separ_signers/Liz_906.mov" TargetMode="External"/><Relationship Id="rId8477" Type="http://schemas.openxmlformats.org/officeDocument/2006/relationships/hyperlink" Target="http://csr.bu.edu/ftp/asl/asllvd/demos/verify_start_end_handshape_annotations//test_auto_move//signs_mov_separ_signers/Tyler_906.mov" TargetMode="External"/><Relationship Id="rId8478" Type="http://schemas.openxmlformats.org/officeDocument/2006/relationships/hyperlink" Target="http://secrets.rutgers.edu:8080/data/asl-ftp/asllvd/demos/verify_start_end_handshape_annotations//test_auto_move//signs_mov_separ_signers/Tyler_906.mov" TargetMode="External"/><Relationship Id="rId8479" Type="http://schemas.openxmlformats.org/officeDocument/2006/relationships/hyperlink" Target="http://csr.bu.edu/ftp/asl/asllvd/demos/verify_start_end_handshape_annotations//test_auto_move//signs_mov_separ_signers/Naomi_906.mov" TargetMode="External"/><Relationship Id="rId8480" Type="http://schemas.openxmlformats.org/officeDocument/2006/relationships/hyperlink" Target="http://secrets.rutgers.edu:8080/data/asl-ftp/asllvd/demos/verify_start_end_handshape_annotations//test_auto_move//signs_mov_separ_signers/Naomi_906.mov" TargetMode="External"/><Relationship Id="rId8481" Type="http://schemas.openxmlformats.org/officeDocument/2006/relationships/hyperlink" Target="http://csr.bu.edu/ftp/asl/asllvd/demos/verify_start_end_handshape_annotations//test_auto_move//signs_mov/906_5676_merged.mov" TargetMode="External"/><Relationship Id="rId8482" Type="http://schemas.openxmlformats.org/officeDocument/2006/relationships/hyperlink" Target="http://csr.bu.edu/ftp/asl/asllvd/demos/verify_start_end_handshape_annotations//test_auto_move//signs_mov_separ_signers/Naomi_5676.mov" TargetMode="External"/><Relationship Id="rId8483" Type="http://schemas.openxmlformats.org/officeDocument/2006/relationships/hyperlink" Target="http://secrets.rutgers.edu:8080/data/asl-ftp/asllvd/demos/verify_start_end_handshape_annotations//test_auto_move//signs_mov/906_5676_merged.mov" TargetMode="External"/><Relationship Id="rId8484" Type="http://schemas.openxmlformats.org/officeDocument/2006/relationships/hyperlink" Target="http://secrets.rutgers.edu:8080/data/asl-ftp/asllvd/demos/verify_start_end_handshape_annotations//test_auto_move//signs_mov_separ_signers/Naomi_5676.mov" TargetMode="External"/><Relationship Id="rId8485" Type="http://schemas.openxmlformats.org/officeDocument/2006/relationships/hyperlink" Target="http://csr.bu.edu/ftp/asl/asllvd/demos/verify_start_end_handshape_annotations//test_auto_move//signs_mov_separ_signers/Brady_906.mov" TargetMode="External"/><Relationship Id="rId8486" Type="http://schemas.openxmlformats.org/officeDocument/2006/relationships/hyperlink" Target="http://secrets.rutgers.edu:8080/data/asl-ftp/asllvd/demos/verify_start_end_handshape_annotations//test_auto_move//signs_mov_separ_signers/Brady_906.mov" TargetMode="External"/><Relationship Id="rId8487" Type="http://schemas.openxmlformats.org/officeDocument/2006/relationships/hyperlink" Target="http://csr.bu.edu/ftp/asl/asllvd/demos/verify_start_end_handshape_annotations//test_auto_move//signs_mov_separ_signers/Brady_5676.mov" TargetMode="External"/><Relationship Id="rId8488" Type="http://schemas.openxmlformats.org/officeDocument/2006/relationships/hyperlink" Target="http://secrets.rutgers.edu:8080/data/asl-ftp/asllvd/demos/verify_start_end_handshape_annotations//test_auto_move//signs_mov_separ_signers/Brady_5676.mov" TargetMode="External"/><Relationship Id="rId8489" Type="http://schemas.openxmlformats.org/officeDocument/2006/relationships/hyperlink" Target="http://csr.bu.edu/ftp/asl/asllvd/demos/verify_start_end_handshape_annotations//test_auto_move//signs_mov_separ_signers/Lana_906.mov" TargetMode="External"/><Relationship Id="rId8490" Type="http://schemas.openxmlformats.org/officeDocument/2006/relationships/hyperlink" Target="http://secrets.rutgers.edu:8080/data/asl-ftp/asllvd/demos/verify_start_end_handshape_annotations//test_auto_move//signs_mov_separ_signers/Lana_906.mov" TargetMode="External"/><Relationship Id="rId8491" Type="http://schemas.openxmlformats.org/officeDocument/2006/relationships/hyperlink" Target="http://csr.bu.edu/ftp/asl/asllvd/demos/verify_start_end_handshape_annotations//test_auto_move//signs_mov_separ_signers/Liz_15129.mov" TargetMode="External"/><Relationship Id="rId8492" Type="http://schemas.openxmlformats.org/officeDocument/2006/relationships/hyperlink" Target="http://secrets.rutgers.edu:8080/data/asl-ftp/asllvd/demos/verify_start_end_handshape_annotations//test_auto_move//signs_mov_separ_signers/Liz_15129.mov" TargetMode="External"/><Relationship Id="rId8493" Type="http://schemas.openxmlformats.org/officeDocument/2006/relationships/hyperlink" Target="http://csr.bu.edu/ftp/asl/asllvd/demos/verify_start_end_handshape_annotations//test_auto_move//signs_mov/15129_16359_merged.mov" TargetMode="External"/><Relationship Id="rId8494" Type="http://schemas.openxmlformats.org/officeDocument/2006/relationships/hyperlink" Target="http://csr.bu.edu/ftp/asl/asllvd/demos/verify_start_end_handshape_annotations//test_auto_move//signs_mov_separ_signers/Tyler_15129.mov" TargetMode="External"/><Relationship Id="rId8495" Type="http://schemas.openxmlformats.org/officeDocument/2006/relationships/hyperlink" Target="http://secrets.rutgers.edu:8080/data/asl-ftp/asllvd/demos/verify_start_end_handshape_annotations//test_auto_move//signs_mov/15129_16359_merged.mov" TargetMode="External"/><Relationship Id="rId8496" Type="http://schemas.openxmlformats.org/officeDocument/2006/relationships/hyperlink" Target="http://secrets.rutgers.edu:8080/data/asl-ftp/asllvd/demos/verify_start_end_handshape_annotations//test_auto_move//signs_mov_separ_signers/Tyler_15129.mov" TargetMode="External"/><Relationship Id="rId8497" Type="http://schemas.openxmlformats.org/officeDocument/2006/relationships/hyperlink" Target="http://csr.bu.edu/ftp/asl/asllvd/demos/verify_start_end_handshape_annotations//test_auto_move//signs_mov_separ_signers/Tyler_16359.mov" TargetMode="External"/><Relationship Id="rId8498" Type="http://schemas.openxmlformats.org/officeDocument/2006/relationships/hyperlink" Target="http://secrets.rutgers.edu:8080/data/asl-ftp/asllvd/demos/verify_start_end_handshape_annotations//test_auto_move//signs_mov_separ_signers/Tyler_16359.mov" TargetMode="External"/><Relationship Id="rId8499" Type="http://schemas.openxmlformats.org/officeDocument/2006/relationships/hyperlink" Target="http://csr.bu.edu/ftp/asl/asllvd/demos/verify_start_end_handshape_annotations//test_auto_move//signs_mov_separ_signers/Liz_907.mov" TargetMode="External"/><Relationship Id="rId8500" Type="http://schemas.openxmlformats.org/officeDocument/2006/relationships/hyperlink" Target="http://secrets.rutgers.edu:8080/data/asl-ftp/asllvd/demos/verify_start_end_handshape_annotations//test_auto_move//signs_mov_separ_signers/Liz_907.mov" TargetMode="External"/><Relationship Id="rId8501" Type="http://schemas.openxmlformats.org/officeDocument/2006/relationships/hyperlink" Target="http://csr.bu.edu/ftp/asl/asllvd/demos/verify_start_end_handshape_annotations//test_auto_move//signs_mov_separ_signers/Tyler_907.mov" TargetMode="External"/><Relationship Id="rId8502" Type="http://schemas.openxmlformats.org/officeDocument/2006/relationships/hyperlink" Target="http://secrets.rutgers.edu:8080/data/asl-ftp/asllvd/demos/verify_start_end_handshape_annotations//test_auto_move//signs_mov_separ_signers/Tyler_907.mov" TargetMode="External"/><Relationship Id="rId8503" Type="http://schemas.openxmlformats.org/officeDocument/2006/relationships/hyperlink" Target="http://csr.bu.edu/ftp/asl/asllvd/demos/verify_start_end_handshape_annotations//test_auto_move//signs_mov/907.mov" TargetMode="External"/><Relationship Id="rId8504" Type="http://schemas.openxmlformats.org/officeDocument/2006/relationships/hyperlink" Target="http://csr.bu.edu/ftp/asl/asllvd/demos/verify_start_end_handshape_annotations//test_auto_move//signs_mov_separ_signers/Naomi_907.mov" TargetMode="External"/><Relationship Id="rId8505" Type="http://schemas.openxmlformats.org/officeDocument/2006/relationships/hyperlink" Target="http://secrets.rutgers.edu:8080/data/asl-ftp/asllvd/demos/verify_start_end_handshape_annotations//test_auto_move//signs_mov/907.mov" TargetMode="External"/><Relationship Id="rId8506" Type="http://schemas.openxmlformats.org/officeDocument/2006/relationships/hyperlink" Target="http://secrets.rutgers.edu:8080/data/asl-ftp/asllvd/demos/verify_start_end_handshape_annotations//test_auto_move//signs_mov_separ_signers/Naomi_907.mov" TargetMode="External"/><Relationship Id="rId8507" Type="http://schemas.openxmlformats.org/officeDocument/2006/relationships/hyperlink" Target="http://csr.bu.edu/ftp/asl/asllvd/demos/verify_start_end_handshape_annotations//test_auto_move//signs_mov_separ_signers/Brady_907.mov" TargetMode="External"/><Relationship Id="rId8508" Type="http://schemas.openxmlformats.org/officeDocument/2006/relationships/hyperlink" Target="http://secrets.rutgers.edu:8080/data/asl-ftp/asllvd/demos/verify_start_end_handshape_annotations//test_auto_move//signs_mov_separ_signers/Brady_907.mov" TargetMode="External"/><Relationship Id="rId8509" Type="http://schemas.openxmlformats.org/officeDocument/2006/relationships/hyperlink" Target="http://csr.bu.edu/ftp/asl/asllvd/demos/verify_start_end_handshape_annotations//test_auto_move//signs_mov_separ_signers/Lana_907.mov" TargetMode="External"/><Relationship Id="rId8510" Type="http://schemas.openxmlformats.org/officeDocument/2006/relationships/hyperlink" Target="http://secrets.rutgers.edu:8080/data/asl-ftp/asllvd/demos/verify_start_end_handshape_annotations//test_auto_move//signs_mov_separ_signers/Lana_907.mov" TargetMode="External"/><Relationship Id="rId8511" Type="http://schemas.openxmlformats.org/officeDocument/2006/relationships/hyperlink" Target="http://csr.bu.edu/ftp/asl/asllvd/demos/verify_start_end_handshape_annotations//test_auto_move//signs_mov_separ_signers/Dana_907.mov" TargetMode="External"/><Relationship Id="rId8512" Type="http://schemas.openxmlformats.org/officeDocument/2006/relationships/hyperlink" Target="http://secrets.rutgers.edu:8080/data/asl-ftp/asllvd/demos/verify_start_end_handshape_annotations//test_auto_move//signs_mov_separ_signers/Dana_907.mov" TargetMode="External"/><Relationship Id="rId8513" Type="http://schemas.openxmlformats.org/officeDocument/2006/relationships/hyperlink" Target="http://csr.bu.edu/ftp/asl/asllvd/demos/verify_start_end_handshape_annotations//test_auto_move//signs_mov/15493.mov" TargetMode="External"/><Relationship Id="rId8514" Type="http://schemas.openxmlformats.org/officeDocument/2006/relationships/hyperlink" Target="http://csr.bu.edu/ftp/asl/asllvd/demos/verify_start_end_handshape_annotations//test_auto_move//signs_mov_separ_signers/Liz_15493.mov" TargetMode="External"/><Relationship Id="rId8515" Type="http://schemas.openxmlformats.org/officeDocument/2006/relationships/hyperlink" Target="http://secrets.rutgers.edu:8080/data/asl-ftp/asllvd/demos/verify_start_end_handshape_annotations//test_auto_move//signs_mov/15493.mov" TargetMode="External"/><Relationship Id="rId8516" Type="http://schemas.openxmlformats.org/officeDocument/2006/relationships/hyperlink" Target="http://secrets.rutgers.edu:8080/data/asl-ftp/asllvd/demos/verify_start_end_handshape_annotations//test_auto_move//signs_mov_separ_signers/Liz_15493.mov" TargetMode="External"/><Relationship Id="rId8517" Type="http://schemas.openxmlformats.org/officeDocument/2006/relationships/hyperlink" Target="http://csr.bu.edu/ftp/asl/asllvd/demos/verify_start_end_handshape_annotations//test_auto_move//signs_mov_separ_signers/Brady_15493.mov" TargetMode="External"/><Relationship Id="rId8518" Type="http://schemas.openxmlformats.org/officeDocument/2006/relationships/hyperlink" Target="http://secrets.rutgers.edu:8080/data/asl-ftp/asllvd/demos/verify_start_end_handshape_annotations//test_auto_move//signs_mov_separ_signers/Brady_15493.mov" TargetMode="External"/><Relationship Id="rId8519" Type="http://schemas.openxmlformats.org/officeDocument/2006/relationships/hyperlink" Target="http://csr.bu.edu/ftp/asl/asllvd/demos/verify_start_end_handshape_annotations//test_auto_move//signs_mov_separ_signers/Liz_16056.mov" TargetMode="External"/><Relationship Id="rId8520" Type="http://schemas.openxmlformats.org/officeDocument/2006/relationships/hyperlink" Target="http://secrets.rutgers.edu:8080/data/asl-ftp/asllvd/demos/verify_start_end_handshape_annotations//test_auto_move//signs_mov_separ_signers/Liz_16056.mov" TargetMode="External"/><Relationship Id="rId8521" Type="http://schemas.openxmlformats.org/officeDocument/2006/relationships/hyperlink" Target="http://csr.bu.edu/ftp/asl/asllvd/demos/verify_start_end_handshape_annotations//test_auto_move//signs_mov_separ_signers/Tyler_16056.mov" TargetMode="External"/><Relationship Id="rId8522" Type="http://schemas.openxmlformats.org/officeDocument/2006/relationships/hyperlink" Target="http://secrets.rutgers.edu:8080/data/asl-ftp/asllvd/demos/verify_start_end_handshape_annotations//test_auto_move//signs_mov_separ_signers/Tyler_16056.mov" TargetMode="External"/><Relationship Id="rId8523" Type="http://schemas.openxmlformats.org/officeDocument/2006/relationships/hyperlink" Target="http://csr.bu.edu/ftp/asl/asllvd/demos/verify_start_end_handshape_annotations//test_auto_move//signs_mov/16056_16554_merged.mov" TargetMode="External"/><Relationship Id="rId8524" Type="http://schemas.openxmlformats.org/officeDocument/2006/relationships/hyperlink" Target="http://csr.bu.edu/ftp/asl/asllvd/demos/verify_start_end_handshape_annotations//test_auto_move//signs_mov_separ_signers/Naomi_16056.mov" TargetMode="External"/><Relationship Id="rId8525" Type="http://schemas.openxmlformats.org/officeDocument/2006/relationships/hyperlink" Target="http://secrets.rutgers.edu:8080/data/asl-ftp/asllvd/demos/verify_start_end_handshape_annotations//test_auto_move//signs_mov/16056_16554_merged.mov" TargetMode="External"/><Relationship Id="rId8526" Type="http://schemas.openxmlformats.org/officeDocument/2006/relationships/hyperlink" Target="http://secrets.rutgers.edu:8080/data/asl-ftp/asllvd/demos/verify_start_end_handshape_annotations//test_auto_move//signs_mov_separ_signers/Naomi_16056.mov" TargetMode="External"/><Relationship Id="rId8527" Type="http://schemas.openxmlformats.org/officeDocument/2006/relationships/hyperlink" Target="http://csr.bu.edu/ftp/asl/asllvd/demos/verify_start_end_handshape_annotations//test_auto_move//signs_mov_separ_signers/Brady_16056.mov" TargetMode="External"/><Relationship Id="rId8528" Type="http://schemas.openxmlformats.org/officeDocument/2006/relationships/hyperlink" Target="http://secrets.rutgers.edu:8080/data/asl-ftp/asllvd/demos/verify_start_end_handshape_annotations//test_auto_move//signs_mov_separ_signers/Brady_16056.mov" TargetMode="External"/><Relationship Id="rId8529" Type="http://schemas.openxmlformats.org/officeDocument/2006/relationships/hyperlink" Target="http://csr.bu.edu/ftp/asl/asllvd/demos/verify_start_end_handshape_annotations//test_auto_move//signs_mov_separ_signers/Brady_16554.mov" TargetMode="External"/><Relationship Id="rId8530" Type="http://schemas.openxmlformats.org/officeDocument/2006/relationships/hyperlink" Target="http://secrets.rutgers.edu:8080/data/asl-ftp/asllvd/demos/verify_start_end_handshape_annotations//test_auto_move//signs_mov_separ_signers/Brady_16554.mov" TargetMode="External"/><Relationship Id="rId8531" Type="http://schemas.openxmlformats.org/officeDocument/2006/relationships/hyperlink" Target="http://csr.bu.edu/ftp/asl/asllvd/demos/verify_start_end_handshape_annotations//test_auto_move//signs_mov_separ_signers/Liz_908.mov" TargetMode="External"/><Relationship Id="rId8532" Type="http://schemas.openxmlformats.org/officeDocument/2006/relationships/hyperlink" Target="http://secrets.rutgers.edu:8080/data/asl-ftp/asllvd/demos/verify_start_end_handshape_annotations//test_auto_move//signs_mov_separ_signers/Liz_908.mov" TargetMode="External"/><Relationship Id="rId8533" Type="http://schemas.openxmlformats.org/officeDocument/2006/relationships/hyperlink" Target="http://csr.bu.edu/ftp/asl/asllvd/demos/verify_start_end_handshape_annotations//test_auto_move//signs_mov/908.mov" TargetMode="External"/><Relationship Id="rId8534" Type="http://schemas.openxmlformats.org/officeDocument/2006/relationships/hyperlink" Target="http://csr.bu.edu/ftp/asl/asllvd/demos/verify_start_end_handshape_annotations//test_auto_move//signs_mov_separ_signers/Tyler_908.mov" TargetMode="External"/><Relationship Id="rId8535" Type="http://schemas.openxmlformats.org/officeDocument/2006/relationships/hyperlink" Target="http://secrets.rutgers.edu:8080/data/asl-ftp/asllvd/demos/verify_start_end_handshape_annotations//test_auto_move//signs_mov/908.mov" TargetMode="External"/><Relationship Id="rId8536" Type="http://schemas.openxmlformats.org/officeDocument/2006/relationships/hyperlink" Target="http://secrets.rutgers.edu:8080/data/asl-ftp/asllvd/demos/verify_start_end_handshape_annotations//test_auto_move//signs_mov_separ_signers/Tyler_908.mov" TargetMode="External"/><Relationship Id="rId8537" Type="http://schemas.openxmlformats.org/officeDocument/2006/relationships/hyperlink" Target="http://csr.bu.edu/ftp/asl/asllvd/demos/verify_start_end_handshape_annotations//test_auto_move//signs_mov_separ_signers/Naomi_908.mov" TargetMode="External"/><Relationship Id="rId8538" Type="http://schemas.openxmlformats.org/officeDocument/2006/relationships/hyperlink" Target="http://secrets.rutgers.edu:8080/data/asl-ftp/asllvd/demos/verify_start_end_handshape_annotations//test_auto_move//signs_mov_separ_signers/Naomi_908.mov" TargetMode="External"/><Relationship Id="rId8539" Type="http://schemas.openxmlformats.org/officeDocument/2006/relationships/hyperlink" Target="http://csr.bu.edu/ftp/asl/asllvd/demos/verify_start_end_handshape_annotations//test_auto_move//signs_mov_separ_signers/Brady_908.mov" TargetMode="External"/><Relationship Id="rId8540" Type="http://schemas.openxmlformats.org/officeDocument/2006/relationships/hyperlink" Target="http://secrets.rutgers.edu:8080/data/asl-ftp/asllvd/demos/verify_start_end_handshape_annotations//test_auto_move//signs_mov_separ_signers/Brady_908.mov" TargetMode="External"/><Relationship Id="rId8541" Type="http://schemas.openxmlformats.org/officeDocument/2006/relationships/hyperlink" Target="http://csr.bu.edu/ftp/asl/asllvd/demos/verify_start_end_handshape_annotations//test_auto_move//signs_mov_separ_signers/Liz_15078.mov" TargetMode="External"/><Relationship Id="rId8542" Type="http://schemas.openxmlformats.org/officeDocument/2006/relationships/hyperlink" Target="http://secrets.rutgers.edu:8080/data/asl-ftp/asllvd/demos/verify_start_end_handshape_annotations//test_auto_move//signs_mov_separ_signers/Liz_15078.mov" TargetMode="External"/><Relationship Id="rId8543" Type="http://schemas.openxmlformats.org/officeDocument/2006/relationships/hyperlink" Target="http://csr.bu.edu/ftp/asl/asllvd/demos/verify_start_end_handshape_annotations//test_auto_move//signs_mov/15078.mov" TargetMode="External"/><Relationship Id="rId8544" Type="http://schemas.openxmlformats.org/officeDocument/2006/relationships/hyperlink" Target="http://csr.bu.edu/ftp/asl/asllvd/demos/verify_start_end_handshape_annotations//test_auto_move//signs_mov_separ_signers/Tyler_15078.mov" TargetMode="External"/><Relationship Id="rId8545" Type="http://schemas.openxmlformats.org/officeDocument/2006/relationships/hyperlink" Target="http://secrets.rutgers.edu:8080/data/asl-ftp/asllvd/demos/verify_start_end_handshape_annotations//test_auto_move//signs_mov/15078.mov" TargetMode="External"/><Relationship Id="rId8546" Type="http://schemas.openxmlformats.org/officeDocument/2006/relationships/hyperlink" Target="http://secrets.rutgers.edu:8080/data/asl-ftp/asllvd/demos/verify_start_end_handshape_annotations//test_auto_move//signs_mov_separ_signers/Tyler_15078.mov" TargetMode="External"/><Relationship Id="rId8547" Type="http://schemas.openxmlformats.org/officeDocument/2006/relationships/hyperlink" Target="http://csr.bu.edu/ftp/asl/asllvd/demos/verify_start_end_handshape_annotations//test_auto_move//signs_mov_separ_signers/Naomi_15078.mov" TargetMode="External"/><Relationship Id="rId8548" Type="http://schemas.openxmlformats.org/officeDocument/2006/relationships/hyperlink" Target="http://secrets.rutgers.edu:8080/data/asl-ftp/asllvd/demos/verify_start_end_handshape_annotations//test_auto_move//signs_mov_separ_signers/Naomi_15078.mov" TargetMode="External"/><Relationship Id="rId8549" Type="http://schemas.openxmlformats.org/officeDocument/2006/relationships/hyperlink" Target="http://csr.bu.edu/ftp/asl/asllvd/demos/verify_start_end_handshape_annotations//test_auto_move//signs_mov_separ_signers/Brady_15078.mov" TargetMode="External"/><Relationship Id="rId8550" Type="http://schemas.openxmlformats.org/officeDocument/2006/relationships/hyperlink" Target="http://secrets.rutgers.edu:8080/data/asl-ftp/asllvd/demos/verify_start_end_handshape_annotations//test_auto_move//signs_mov_separ_signers/Brady_15078.mov" TargetMode="External"/><Relationship Id="rId8551" Type="http://schemas.openxmlformats.org/officeDocument/2006/relationships/hyperlink" Target="http://csr.bu.edu/ftp/asl/asllvd/demos/verify_start_end_handshape_annotations//test_auto_move//signs_mov_separ_signers/Liz_909.mov" TargetMode="External"/><Relationship Id="rId8552" Type="http://schemas.openxmlformats.org/officeDocument/2006/relationships/hyperlink" Target="http://secrets.rutgers.edu:8080/data/asl-ftp/asllvd/demos/verify_start_end_handshape_annotations//test_auto_move//signs_mov_separ_signers/Liz_909.mov" TargetMode="External"/><Relationship Id="rId8553" Type="http://schemas.openxmlformats.org/officeDocument/2006/relationships/hyperlink" Target="http://csr.bu.edu/ftp/asl/asllvd/demos/verify_start_end_handshape_annotations//test_auto_move//signs_mov/909.mov" TargetMode="External"/><Relationship Id="rId8554" Type="http://schemas.openxmlformats.org/officeDocument/2006/relationships/hyperlink" Target="http://csr.bu.edu/ftp/asl/asllvd/demos/verify_start_end_handshape_annotations//test_auto_move//signs_mov_separ_signers/Naomi_909.mov" TargetMode="External"/><Relationship Id="rId8555" Type="http://schemas.openxmlformats.org/officeDocument/2006/relationships/hyperlink" Target="http://secrets.rutgers.edu:8080/data/asl-ftp/asllvd/demos/verify_start_end_handshape_annotations//test_auto_move//signs_mov/909.mov" TargetMode="External"/><Relationship Id="rId8556" Type="http://schemas.openxmlformats.org/officeDocument/2006/relationships/hyperlink" Target="http://secrets.rutgers.edu:8080/data/asl-ftp/asllvd/demos/verify_start_end_handshape_annotations//test_auto_move//signs_mov_separ_signers/Naomi_909.mov" TargetMode="External"/><Relationship Id="rId8557" Type="http://schemas.openxmlformats.org/officeDocument/2006/relationships/hyperlink" Target="http://csr.bu.edu/ftp/asl/asllvd/demos/verify_start_end_handshape_annotations//test_auto_move//signs_mov_separ_signers/Brady_909.mov" TargetMode="External"/><Relationship Id="rId8558" Type="http://schemas.openxmlformats.org/officeDocument/2006/relationships/hyperlink" Target="http://secrets.rutgers.edu:8080/data/asl-ftp/asllvd/demos/verify_start_end_handshape_annotations//test_auto_move//signs_mov_separ_signers/Brady_909.mov" TargetMode="External"/><Relationship Id="rId8559" Type="http://schemas.openxmlformats.org/officeDocument/2006/relationships/hyperlink" Target="http://csr.bu.edu/ftp/asl/asllvd/demos/verify_start_end_handshape_annotations//test_auto_move//signs_mov/5184.mov" TargetMode="External"/><Relationship Id="rId8560" Type="http://schemas.openxmlformats.org/officeDocument/2006/relationships/hyperlink" Target="http://csr.bu.edu/ftp/asl/asllvd/demos/verify_start_end_handshape_annotations//test_auto_move//signs_mov_separ_signers/Tyler_5184.mov" TargetMode="External"/><Relationship Id="rId8561" Type="http://schemas.openxmlformats.org/officeDocument/2006/relationships/hyperlink" Target="http://secrets.rutgers.edu:8080/data/asl-ftp/asllvd/demos/verify_start_end_handshape_annotations//test_auto_move//signs_mov/5184.mov" TargetMode="External"/><Relationship Id="rId8562" Type="http://schemas.openxmlformats.org/officeDocument/2006/relationships/hyperlink" Target="http://secrets.rutgers.edu:8080/data/asl-ftp/asllvd/demos/verify_start_end_handshape_annotations//test_auto_move//signs_mov_separ_signers/Tyler_5184.mov" TargetMode="External"/><Relationship Id="rId8563" Type="http://schemas.openxmlformats.org/officeDocument/2006/relationships/hyperlink" Target="http://csr.bu.edu/ftp/asl/asllvd/demos/verify_start_end_handshape_annotations//test_auto_move//signs_mov_separ_signers/Liz_912.mov" TargetMode="External"/><Relationship Id="rId8564" Type="http://schemas.openxmlformats.org/officeDocument/2006/relationships/hyperlink" Target="http://secrets.rutgers.edu:8080/data/asl-ftp/asllvd/demos/verify_start_end_handshape_annotations//test_auto_move//signs_mov_separ_signers/Liz_912.mov" TargetMode="External"/><Relationship Id="rId8565" Type="http://schemas.openxmlformats.org/officeDocument/2006/relationships/hyperlink" Target="http://csr.bu.edu/ftp/asl/asllvd/demos/verify_start_end_handshape_annotations//test_auto_move//signs_mov_separ_signers/Liz_3523.mov" TargetMode="External"/><Relationship Id="rId8566" Type="http://schemas.openxmlformats.org/officeDocument/2006/relationships/hyperlink" Target="http://secrets.rutgers.edu:8080/data/asl-ftp/asllvd/demos/verify_start_end_handshape_annotations//test_auto_move//signs_mov_separ_signers/Liz_3523.mov" TargetMode="External"/><Relationship Id="rId8567" Type="http://schemas.openxmlformats.org/officeDocument/2006/relationships/hyperlink" Target="http://csr.bu.edu/ftp/asl/asllvd/demos/verify_start_end_handshape_annotations//test_auto_move//signs_mov_separ_signers/Tyler_912.mov" TargetMode="External"/><Relationship Id="rId8568" Type="http://schemas.openxmlformats.org/officeDocument/2006/relationships/hyperlink" Target="http://secrets.rutgers.edu:8080/data/asl-ftp/asllvd/demos/verify_start_end_handshape_annotations//test_auto_move//signs_mov_separ_signers/Tyler_912.mov" TargetMode="External"/><Relationship Id="rId8569" Type="http://schemas.openxmlformats.org/officeDocument/2006/relationships/hyperlink" Target="http://csr.bu.edu/ftp/asl/asllvd/demos/verify_start_end_handshape_annotations//test_auto_move//signs_mov_separ_signers/Tyler_3523.mov" TargetMode="External"/><Relationship Id="rId8570" Type="http://schemas.openxmlformats.org/officeDocument/2006/relationships/hyperlink" Target="http://secrets.rutgers.edu:8080/data/asl-ftp/asllvd/demos/verify_start_end_handshape_annotations//test_auto_move//signs_mov_separ_signers/Tyler_3523.mov" TargetMode="External"/><Relationship Id="rId8571" Type="http://schemas.openxmlformats.org/officeDocument/2006/relationships/hyperlink" Target="http://csr.bu.edu/ftp/asl/asllvd/demos/verify_start_end_handshape_annotations//test_auto_move//signs_mov/912_3523_5905_merged.mov" TargetMode="External"/><Relationship Id="rId8572" Type="http://schemas.openxmlformats.org/officeDocument/2006/relationships/hyperlink" Target="http://csr.bu.edu/ftp/asl/asllvd/demos/verify_start_end_handshape_annotations//test_auto_move//signs_mov_separ_signers/Naomi_912.mov" TargetMode="External"/><Relationship Id="rId8573" Type="http://schemas.openxmlformats.org/officeDocument/2006/relationships/hyperlink" Target="http://secrets.rutgers.edu:8080/data/asl-ftp/asllvd/demos/verify_start_end_handshape_annotations//test_auto_move//signs_mov/912_3523_5905_merged.mov" TargetMode="External"/><Relationship Id="rId8574" Type="http://schemas.openxmlformats.org/officeDocument/2006/relationships/hyperlink" Target="http://secrets.rutgers.edu:8080/data/asl-ftp/asllvd/demos/verify_start_end_handshape_annotations//test_auto_move//signs_mov_separ_signers/Naomi_912.mov" TargetMode="External"/><Relationship Id="rId8575" Type="http://schemas.openxmlformats.org/officeDocument/2006/relationships/hyperlink" Target="http://csr.bu.edu/ftp/asl/asllvd/demos/verify_start_end_handshape_annotations//test_auto_move//signs_mov_separ_signers/Brady_912.mov" TargetMode="External"/><Relationship Id="rId8576" Type="http://schemas.openxmlformats.org/officeDocument/2006/relationships/hyperlink" Target="http://secrets.rutgers.edu:8080/data/asl-ftp/asllvd/demos/verify_start_end_handshape_annotations//test_auto_move//signs_mov_separ_signers/Brady_912.mov" TargetMode="External"/><Relationship Id="rId8577" Type="http://schemas.openxmlformats.org/officeDocument/2006/relationships/hyperlink" Target="http://csr.bu.edu/ftp/asl/asllvd/demos/verify_start_end_handshape_annotations//test_auto_move//signs_mov_separ_signers/Brady_3523.mov" TargetMode="External"/><Relationship Id="rId8578" Type="http://schemas.openxmlformats.org/officeDocument/2006/relationships/hyperlink" Target="http://secrets.rutgers.edu:8080/data/asl-ftp/asllvd/demos/verify_start_end_handshape_annotations//test_auto_move//signs_mov_separ_signers/Brady_3523.mov" TargetMode="External"/><Relationship Id="rId8579" Type="http://schemas.openxmlformats.org/officeDocument/2006/relationships/hyperlink" Target="http://csr.bu.edu/ftp/asl/asllvd/demos/verify_start_end_handshape_annotations//test_auto_move//signs_mov_separ_signers/Brady_5905.mov" TargetMode="External"/><Relationship Id="rId8580" Type="http://schemas.openxmlformats.org/officeDocument/2006/relationships/hyperlink" Target="http://secrets.rutgers.edu:8080/data/asl-ftp/asllvd/demos/verify_start_end_handshape_annotations//test_auto_move//signs_mov_separ_signers/Brady_5905.mov" TargetMode="External"/><Relationship Id="rId8581" Type="http://schemas.openxmlformats.org/officeDocument/2006/relationships/hyperlink" Target="http://csr.bu.edu/ftp/asl/asllvd/demos/verify_start_end_handshape_annotations//test_auto_move//signs_mov_separ_signers/Lana_912.mov" TargetMode="External"/><Relationship Id="rId8582" Type="http://schemas.openxmlformats.org/officeDocument/2006/relationships/hyperlink" Target="http://secrets.rutgers.edu:8080/data/asl-ftp/asllvd/demos/verify_start_end_handshape_annotations//test_auto_move//signs_mov_separ_signers/Lana_912.mov" TargetMode="External"/><Relationship Id="rId8583" Type="http://schemas.openxmlformats.org/officeDocument/2006/relationships/hyperlink" Target="http://csr.bu.edu/ftp/asl/asllvd/demos/verify_start_end_handshape_annotations//test_auto_move//signs_mov_separ_signers/Dana_912.mov" TargetMode="External"/><Relationship Id="rId8584" Type="http://schemas.openxmlformats.org/officeDocument/2006/relationships/hyperlink" Target="http://secrets.rutgers.edu:8080/data/asl-ftp/asllvd/demos/verify_start_end_handshape_annotations//test_auto_move//signs_mov_separ_signers/Dana_912.mov" TargetMode="External"/><Relationship Id="rId8585" Type="http://schemas.openxmlformats.org/officeDocument/2006/relationships/hyperlink" Target="http://csr.bu.edu/ftp/asl/asllvd/demos/verify_start_end_handshape_annotations//test_auto_move//signs_mov_separ_signers/Liz_5926.mov" TargetMode="External"/><Relationship Id="rId8586" Type="http://schemas.openxmlformats.org/officeDocument/2006/relationships/hyperlink" Target="http://secrets.rutgers.edu:8080/data/asl-ftp/asllvd/demos/verify_start_end_handshape_annotations//test_auto_move//signs_mov_separ_signers/Liz_5926.mov" TargetMode="External"/><Relationship Id="rId8587" Type="http://schemas.openxmlformats.org/officeDocument/2006/relationships/hyperlink" Target="http://csr.bu.edu/ftp/asl/asllvd/demos/verify_start_end_handshape_annotations//test_auto_move//signs_mov/5926.mov" TargetMode="External"/><Relationship Id="rId8588" Type="http://schemas.openxmlformats.org/officeDocument/2006/relationships/hyperlink" Target="http://csr.bu.edu/ftp/asl/asllvd/demos/verify_start_end_handshape_annotations//test_auto_move//signs_mov_separ_signers/Naomi_5926.mov" TargetMode="External"/><Relationship Id="rId8589" Type="http://schemas.openxmlformats.org/officeDocument/2006/relationships/hyperlink" Target="http://secrets.rutgers.edu:8080/data/asl-ftp/asllvd/demos/verify_start_end_handshape_annotations//test_auto_move//signs_mov/5926.mov" TargetMode="External"/><Relationship Id="rId8590" Type="http://schemas.openxmlformats.org/officeDocument/2006/relationships/hyperlink" Target="http://secrets.rutgers.edu:8080/data/asl-ftp/asllvd/demos/verify_start_end_handshape_annotations//test_auto_move//signs_mov_separ_signers/Naomi_5926.mov" TargetMode="External"/><Relationship Id="rId8591" Type="http://schemas.openxmlformats.org/officeDocument/2006/relationships/hyperlink" Target="http://csr.bu.edu/ftp/asl/asllvd/demos/verify_start_end_handshape_annotations//test_auto_move//signs_mov_separ_signers/Brady_5926.mov" TargetMode="External"/><Relationship Id="rId8592" Type="http://schemas.openxmlformats.org/officeDocument/2006/relationships/hyperlink" Target="http://secrets.rutgers.edu:8080/data/asl-ftp/asllvd/demos/verify_start_end_handshape_annotations//test_auto_move//signs_mov_separ_signers/Brady_5926.mov" TargetMode="External"/><Relationship Id="rId8593" Type="http://schemas.openxmlformats.org/officeDocument/2006/relationships/hyperlink" Target="http://csr.bu.edu/ftp/asl/asllvd/demos/verify_start_end_handshape_annotations//test_auto_move//signs_mov/15746.mov" TargetMode="External"/><Relationship Id="rId8594" Type="http://schemas.openxmlformats.org/officeDocument/2006/relationships/hyperlink" Target="http://csr.bu.edu/ftp/asl/asllvd/demos/verify_start_end_handshape_annotations//test_auto_move//signs_mov_separ_signers/Tyler_15746.mov" TargetMode="External"/><Relationship Id="rId8595" Type="http://schemas.openxmlformats.org/officeDocument/2006/relationships/hyperlink" Target="http://secrets.rutgers.edu:8080/data/asl-ftp/asllvd/demos/verify_start_end_handshape_annotations//test_auto_move//signs_mov/15746.mov" TargetMode="External"/><Relationship Id="rId8596" Type="http://schemas.openxmlformats.org/officeDocument/2006/relationships/hyperlink" Target="http://secrets.rutgers.edu:8080/data/asl-ftp/asllvd/demos/verify_start_end_handshape_annotations//test_auto_move//signs_mov_separ_signers/Tyler_15746.mov" TargetMode="External"/><Relationship Id="rId8597" Type="http://schemas.openxmlformats.org/officeDocument/2006/relationships/hyperlink" Target="http://csr.bu.edu/ftp/asl/asllvd/demos/verify_start_end_handshape_annotations//test_auto_move//signs_mov_separ_signers/Naomi_15746.mov" TargetMode="External"/><Relationship Id="rId8598" Type="http://schemas.openxmlformats.org/officeDocument/2006/relationships/hyperlink" Target="http://secrets.rutgers.edu:8080/data/asl-ftp/asllvd/demos/verify_start_end_handshape_annotations//test_auto_move//signs_mov_separ_signers/Naomi_15746.mov" TargetMode="External"/><Relationship Id="rId8599" Type="http://schemas.openxmlformats.org/officeDocument/2006/relationships/hyperlink" Target="http://csr.bu.edu/ftp/asl/asllvd/demos/verify_start_end_handshape_annotations//test_auto_move//signs_mov/15783.mov" TargetMode="External"/><Relationship Id="rId8600" Type="http://schemas.openxmlformats.org/officeDocument/2006/relationships/hyperlink" Target="http://csr.bu.edu/ftp/asl/asllvd/demos/verify_start_end_handshape_annotations//test_auto_move//signs_mov_separ_signers/Liz_15783.mov" TargetMode="External"/><Relationship Id="rId8601" Type="http://schemas.openxmlformats.org/officeDocument/2006/relationships/hyperlink" Target="http://secrets.rutgers.edu:8080/data/asl-ftp/asllvd/demos/verify_start_end_handshape_annotations//test_auto_move//signs_mov/15783.mov" TargetMode="External"/><Relationship Id="rId8602" Type="http://schemas.openxmlformats.org/officeDocument/2006/relationships/hyperlink" Target="http://secrets.rutgers.edu:8080/data/asl-ftp/asllvd/demos/verify_start_end_handshape_annotations//test_auto_move//signs_mov_separ_signers/Liz_15783.mov" TargetMode="External"/><Relationship Id="rId8603" Type="http://schemas.openxmlformats.org/officeDocument/2006/relationships/hyperlink" Target="http://csr.bu.edu/ftp/asl/asllvd/demos/verify_start_end_handshape_annotations//test_auto_move//signs_mov_separ_signers/Liz_913.mov" TargetMode="External"/><Relationship Id="rId8604" Type="http://schemas.openxmlformats.org/officeDocument/2006/relationships/hyperlink" Target="http://secrets.rutgers.edu:8080/data/asl-ftp/asllvd/demos/verify_start_end_handshape_annotations//test_auto_move//signs_mov_separ_signers/Liz_913.mov" TargetMode="External"/><Relationship Id="rId8605" Type="http://schemas.openxmlformats.org/officeDocument/2006/relationships/hyperlink" Target="http://csr.bu.edu/ftp/asl/asllvd/demos/verify_start_end_handshape_annotations//test_auto_move//signs_mov_separ_signers/Tyler_913.mov" TargetMode="External"/><Relationship Id="rId8606" Type="http://schemas.openxmlformats.org/officeDocument/2006/relationships/hyperlink" Target="http://secrets.rutgers.edu:8080/data/asl-ftp/asllvd/demos/verify_start_end_handshape_annotations//test_auto_move//signs_mov_separ_signers/Tyler_913.mov" TargetMode="External"/><Relationship Id="rId8607" Type="http://schemas.openxmlformats.org/officeDocument/2006/relationships/hyperlink" Target="http://csr.bu.edu/ftp/asl/asllvd/demos/verify_start_end_handshape_annotations//test_auto_move//signs_mov/913.mov" TargetMode="External"/><Relationship Id="rId8608" Type="http://schemas.openxmlformats.org/officeDocument/2006/relationships/hyperlink" Target="http://csr.bu.edu/ftp/asl/asllvd/demos/verify_start_end_handshape_annotations//test_auto_move//signs_mov_separ_signers/Naomi_913.mov" TargetMode="External"/><Relationship Id="rId8609" Type="http://schemas.openxmlformats.org/officeDocument/2006/relationships/hyperlink" Target="http://secrets.rutgers.edu:8080/data/asl-ftp/asllvd/demos/verify_start_end_handshape_annotations//test_auto_move//signs_mov/913.mov" TargetMode="External"/><Relationship Id="rId8610" Type="http://schemas.openxmlformats.org/officeDocument/2006/relationships/hyperlink" Target="http://secrets.rutgers.edu:8080/data/asl-ftp/asllvd/demos/verify_start_end_handshape_annotations//test_auto_move//signs_mov_separ_signers/Naomi_913.mov" TargetMode="External"/><Relationship Id="rId8611" Type="http://schemas.openxmlformats.org/officeDocument/2006/relationships/hyperlink" Target="http://csr.bu.edu/ftp/asl/asllvd/demos/verify_start_end_handshape_annotations//test_auto_move//signs_mov_separ_signers/Brady_913.mov" TargetMode="External"/><Relationship Id="rId8612" Type="http://schemas.openxmlformats.org/officeDocument/2006/relationships/hyperlink" Target="http://secrets.rutgers.edu:8080/data/asl-ftp/asllvd/demos/verify_start_end_handshape_annotations//test_auto_move//signs_mov_separ_signers/Brady_913.mov" TargetMode="External"/><Relationship Id="rId8613" Type="http://schemas.openxmlformats.org/officeDocument/2006/relationships/hyperlink" Target="http://csr.bu.edu/ftp/asl/asllvd/demos/verify_start_end_handshape_annotations//test_auto_move//signs_mov_separ_signers/Lana_913.mov" TargetMode="External"/><Relationship Id="rId8614" Type="http://schemas.openxmlformats.org/officeDocument/2006/relationships/hyperlink" Target="http://secrets.rutgers.edu:8080/data/asl-ftp/asllvd/demos/verify_start_end_handshape_annotations//test_auto_move//signs_mov_separ_signers/Lana_913.mov" TargetMode="External"/><Relationship Id="rId8615" Type="http://schemas.openxmlformats.org/officeDocument/2006/relationships/hyperlink" Target="http://csr.bu.edu/ftp/asl/asllvd/demos/verify_start_end_handshape_annotations//test_auto_move//signs_mov/3771.mov" TargetMode="External"/><Relationship Id="rId8616" Type="http://schemas.openxmlformats.org/officeDocument/2006/relationships/hyperlink" Target="http://csr.bu.edu/ftp/asl/asllvd/demos/verify_start_end_handshape_annotations//test_auto_move//signs_mov_separ_signers/Liz_3771.mov" TargetMode="External"/><Relationship Id="rId8617" Type="http://schemas.openxmlformats.org/officeDocument/2006/relationships/hyperlink" Target="http://secrets.rutgers.edu:8080/data/asl-ftp/asllvd/demos/verify_start_end_handshape_annotations//test_auto_move//signs_mov/3771.mov" TargetMode="External"/><Relationship Id="rId8618" Type="http://schemas.openxmlformats.org/officeDocument/2006/relationships/hyperlink" Target="http://secrets.rutgers.edu:8080/data/asl-ftp/asllvd/demos/verify_start_end_handshape_annotations//test_auto_move//signs_mov_separ_signers/Liz_3771.mov" TargetMode="External"/><Relationship Id="rId8619" Type="http://schemas.openxmlformats.org/officeDocument/2006/relationships/hyperlink" Target="http://csr.bu.edu/ftp/asl/asllvd/demos/verify_start_end_handshape_annotations//test_auto_move//signs_mov_separ_signers/Brady_3771.mov" TargetMode="External"/><Relationship Id="rId8620" Type="http://schemas.openxmlformats.org/officeDocument/2006/relationships/hyperlink" Target="http://secrets.rutgers.edu:8080/data/asl-ftp/asllvd/demos/verify_start_end_handshape_annotations//test_auto_move//signs_mov_separ_signers/Brady_3771.mov" TargetMode="External"/><Relationship Id="rId8621" Type="http://schemas.openxmlformats.org/officeDocument/2006/relationships/hyperlink" Target="http://csr.bu.edu/ftp/asl/asllvd/demos/verify_start_end_handshape_annotations//test_auto_move//signs_mov_separ_signers/Liz_914.mov" TargetMode="External"/><Relationship Id="rId8622" Type="http://schemas.openxmlformats.org/officeDocument/2006/relationships/hyperlink" Target="http://secrets.rutgers.edu:8080/data/asl-ftp/asllvd/demos/verify_start_end_handshape_annotations//test_auto_move//signs_mov_separ_signers/Liz_914.mov" TargetMode="External"/><Relationship Id="rId8623" Type="http://schemas.openxmlformats.org/officeDocument/2006/relationships/hyperlink" Target="http://csr.bu.edu/ftp/asl/asllvd/demos/verify_start_end_handshape_annotations//test_auto_move//signs_mov/914.mov" TargetMode="External"/><Relationship Id="rId8624" Type="http://schemas.openxmlformats.org/officeDocument/2006/relationships/hyperlink" Target="http://csr.bu.edu/ftp/asl/asllvd/demos/verify_start_end_handshape_annotations//test_auto_move//signs_mov_separ_signers/Naomi_914.mov" TargetMode="External"/><Relationship Id="rId8625" Type="http://schemas.openxmlformats.org/officeDocument/2006/relationships/hyperlink" Target="http://secrets.rutgers.edu:8080/data/asl-ftp/asllvd/demos/verify_start_end_handshape_annotations//test_auto_move//signs_mov/914.mov" TargetMode="External"/><Relationship Id="rId8626" Type="http://schemas.openxmlformats.org/officeDocument/2006/relationships/hyperlink" Target="http://secrets.rutgers.edu:8080/data/asl-ftp/asllvd/demos/verify_start_end_handshape_annotations//test_auto_move//signs_mov_separ_signers/Naomi_914.mov" TargetMode="External"/><Relationship Id="rId8627" Type="http://schemas.openxmlformats.org/officeDocument/2006/relationships/hyperlink" Target="http://csr.bu.edu/ftp/asl/asllvd/demos/verify_start_end_handshape_annotations//test_auto_move//signs_mov_separ_signers/Brady_914.mov" TargetMode="External"/><Relationship Id="rId8628" Type="http://schemas.openxmlformats.org/officeDocument/2006/relationships/hyperlink" Target="http://secrets.rutgers.edu:8080/data/asl-ftp/asllvd/demos/verify_start_end_handshape_annotations//test_auto_move//signs_mov_separ_signers/Brady_914.mov" TargetMode="External"/><Relationship Id="rId8629" Type="http://schemas.openxmlformats.org/officeDocument/2006/relationships/hyperlink" Target="http://csr.bu.edu/ftp/asl/asllvd/demos/verify_start_end_handshape_annotations//test_auto_move//signs_mov/915.mov" TargetMode="External"/><Relationship Id="rId8630" Type="http://schemas.openxmlformats.org/officeDocument/2006/relationships/hyperlink" Target="http://csr.bu.edu/ftp/asl/asllvd/demos/verify_start_end_handshape_annotations//test_auto_move//signs_mov_separ_signers/Lana_915.mov" TargetMode="External"/><Relationship Id="rId8631" Type="http://schemas.openxmlformats.org/officeDocument/2006/relationships/hyperlink" Target="http://secrets.rutgers.edu:8080/data/asl-ftp/asllvd/demos/verify_start_end_handshape_annotations//test_auto_move//signs_mov/915.mov" TargetMode="External"/><Relationship Id="rId8632" Type="http://schemas.openxmlformats.org/officeDocument/2006/relationships/hyperlink" Target="http://secrets.rutgers.edu:8080/data/asl-ftp/asllvd/demos/verify_start_end_handshape_annotations//test_auto_move//signs_mov_separ_signers/Lana_915.mov" TargetMode="External"/><Relationship Id="rId8633" Type="http://schemas.openxmlformats.org/officeDocument/2006/relationships/hyperlink" Target="http://csr.bu.edu/ftp/asl/asllvd/demos/verify_start_end_handshape_annotations//test_auto_move//signs_mov_separ_signers/Dana_915.mov" TargetMode="External"/><Relationship Id="rId8634" Type="http://schemas.openxmlformats.org/officeDocument/2006/relationships/hyperlink" Target="http://secrets.rutgers.edu:8080/data/asl-ftp/asllvd/demos/verify_start_end_handshape_annotations//test_auto_move//signs_mov_separ_signers/Dana_915.mov" TargetMode="External"/><Relationship Id="rId8635" Type="http://schemas.openxmlformats.org/officeDocument/2006/relationships/hyperlink" Target="http://csr.bu.edu/ftp/asl/asllvd/demos/verify_start_end_handshape_annotations//test_auto_move//signs_mov_separ_signers/Liz_3314.mov" TargetMode="External"/><Relationship Id="rId8636" Type="http://schemas.openxmlformats.org/officeDocument/2006/relationships/hyperlink" Target="http://secrets.rutgers.edu:8080/data/asl-ftp/asllvd/demos/verify_start_end_handshape_annotations//test_auto_move//signs_mov_separ_signers/Liz_3314.mov" TargetMode="External"/><Relationship Id="rId8637" Type="http://schemas.openxmlformats.org/officeDocument/2006/relationships/hyperlink" Target="http://csr.bu.edu/ftp/asl/asllvd/demos/verify_start_end_handshape_annotations//test_auto_move//signs_mov/3314.mov" TargetMode="External"/><Relationship Id="rId8638" Type="http://schemas.openxmlformats.org/officeDocument/2006/relationships/hyperlink" Target="http://csr.bu.edu/ftp/asl/asllvd/demos/verify_start_end_handshape_annotations//test_auto_move//signs_mov_separ_signers/Naomi_3314.mov" TargetMode="External"/><Relationship Id="rId8639" Type="http://schemas.openxmlformats.org/officeDocument/2006/relationships/hyperlink" Target="http://secrets.rutgers.edu:8080/data/asl-ftp/asllvd/demos/verify_start_end_handshape_annotations//test_auto_move//signs_mov/3314.mov" TargetMode="External"/><Relationship Id="rId8640" Type="http://schemas.openxmlformats.org/officeDocument/2006/relationships/hyperlink" Target="http://secrets.rutgers.edu:8080/data/asl-ftp/asllvd/demos/verify_start_end_handshape_annotations//test_auto_move//signs_mov_separ_signers/Naomi_3314.mov" TargetMode="External"/><Relationship Id="rId8641" Type="http://schemas.openxmlformats.org/officeDocument/2006/relationships/hyperlink" Target="http://csr.bu.edu/ftp/asl/asllvd/demos/verify_start_end_handshape_annotations//test_auto_move//signs_mov_separ_signers/Brady_3314.mov" TargetMode="External"/><Relationship Id="rId8642" Type="http://schemas.openxmlformats.org/officeDocument/2006/relationships/hyperlink" Target="http://secrets.rutgers.edu:8080/data/asl-ftp/asllvd/demos/verify_start_end_handshape_annotations//test_auto_move//signs_mov_separ_signers/Brady_3314.mov" TargetMode="External"/><Relationship Id="rId8643" Type="http://schemas.openxmlformats.org/officeDocument/2006/relationships/hyperlink" Target="http://csr.bu.edu/ftp/asl/asllvd/demos/verify_start_end_handshape_annotations//test_auto_move//signs_mov_separ_signers/Liz_15340.mov" TargetMode="External"/><Relationship Id="rId8644" Type="http://schemas.openxmlformats.org/officeDocument/2006/relationships/hyperlink" Target="http://secrets.rutgers.edu:8080/data/asl-ftp/asllvd/demos/verify_start_end_handshape_annotations//test_auto_move//signs_mov_separ_signers/Liz_15340.mov" TargetMode="External"/><Relationship Id="rId8645" Type="http://schemas.openxmlformats.org/officeDocument/2006/relationships/hyperlink" Target="http://csr.bu.edu/ftp/asl/asllvd/demos/verify_start_end_handshape_annotations//test_auto_move//signs_mov_separ_signers/Tyler_15340.mov" TargetMode="External"/><Relationship Id="rId8646" Type="http://schemas.openxmlformats.org/officeDocument/2006/relationships/hyperlink" Target="http://secrets.rutgers.edu:8080/data/asl-ftp/asllvd/demos/verify_start_end_handshape_annotations//test_auto_move//signs_mov_separ_signers/Tyler_15340.mov" TargetMode="External"/><Relationship Id="rId8647" Type="http://schemas.openxmlformats.org/officeDocument/2006/relationships/hyperlink" Target="http://csr.bu.edu/ftp/asl/asllvd/demos/verify_start_end_handshape_annotations//test_auto_move//signs_mov/15340_16150_merged.mov" TargetMode="External"/><Relationship Id="rId8648" Type="http://schemas.openxmlformats.org/officeDocument/2006/relationships/hyperlink" Target="http://csr.bu.edu/ftp/asl/asllvd/demos/verify_start_end_handshape_annotations//test_auto_move//signs_mov_separ_signers/Tyler_16150.mov" TargetMode="External"/><Relationship Id="rId8649" Type="http://schemas.openxmlformats.org/officeDocument/2006/relationships/hyperlink" Target="http://secrets.rutgers.edu:8080/data/asl-ftp/asllvd/demos/verify_start_end_handshape_annotations//test_auto_move//signs_mov/15340_16150_merged.mov" TargetMode="External"/><Relationship Id="rId8650" Type="http://schemas.openxmlformats.org/officeDocument/2006/relationships/hyperlink" Target="http://secrets.rutgers.edu:8080/data/asl-ftp/asllvd/demos/verify_start_end_handshape_annotations//test_auto_move//signs_mov_separ_signers/Tyler_16150.mov" TargetMode="External"/><Relationship Id="rId8651" Type="http://schemas.openxmlformats.org/officeDocument/2006/relationships/hyperlink" Target="http://csr.bu.edu/ftp/asl/asllvd/demos/verify_start_end_handshape_annotations//test_auto_move//signs_mov_separ_signers/Naomi_15340.mov" TargetMode="External"/><Relationship Id="rId8652" Type="http://schemas.openxmlformats.org/officeDocument/2006/relationships/hyperlink" Target="http://secrets.rutgers.edu:8080/data/asl-ftp/asllvd/demos/verify_start_end_handshape_annotations//test_auto_move//signs_mov_separ_signers/Naomi_15340.mov" TargetMode="External"/><Relationship Id="rId8653" Type="http://schemas.openxmlformats.org/officeDocument/2006/relationships/hyperlink" Target="http://csr.bu.edu/ftp/asl/asllvd/demos/verify_start_end_handshape_annotations//test_auto_move//signs_mov_separ_signers/Brady_15340.mov" TargetMode="External"/><Relationship Id="rId8654" Type="http://schemas.openxmlformats.org/officeDocument/2006/relationships/hyperlink" Target="http://secrets.rutgers.edu:8080/data/asl-ftp/asllvd/demos/verify_start_end_handshape_annotations//test_auto_move//signs_mov_separ_signers/Brady_15340.mov" TargetMode="External"/><Relationship Id="rId8655" Type="http://schemas.openxmlformats.org/officeDocument/2006/relationships/hyperlink" Target="http://csr.bu.edu/ftp/asl/asllvd/demos/verify_start_end_handshape_annotations//test_auto_move//signs_mov_separ_signers/Liz_916.mov" TargetMode="External"/><Relationship Id="rId8656" Type="http://schemas.openxmlformats.org/officeDocument/2006/relationships/hyperlink" Target="http://secrets.rutgers.edu:8080/data/asl-ftp/asllvd/demos/verify_start_end_handshape_annotations//test_auto_move//signs_mov_separ_signers/Liz_916.mov" TargetMode="External"/><Relationship Id="rId8657" Type="http://schemas.openxmlformats.org/officeDocument/2006/relationships/hyperlink" Target="http://csr.bu.edu/ftp/asl/asllvd/demos/verify_start_end_handshape_annotations//test_auto_move//signs_mov/916.mov" TargetMode="External"/><Relationship Id="rId8658" Type="http://schemas.openxmlformats.org/officeDocument/2006/relationships/hyperlink" Target="http://csr.bu.edu/ftp/asl/asllvd/demos/verify_start_end_handshape_annotations//test_auto_move//signs_mov_separ_signers/Tyler_916.mov" TargetMode="External"/><Relationship Id="rId8659" Type="http://schemas.openxmlformats.org/officeDocument/2006/relationships/hyperlink" Target="http://secrets.rutgers.edu:8080/data/asl-ftp/asllvd/demos/verify_start_end_handshape_annotations//test_auto_move//signs_mov/916.mov" TargetMode="External"/><Relationship Id="rId8660" Type="http://schemas.openxmlformats.org/officeDocument/2006/relationships/hyperlink" Target="http://secrets.rutgers.edu:8080/data/asl-ftp/asllvd/demos/verify_start_end_handshape_annotations//test_auto_move//signs_mov_separ_signers/Tyler_916.mov" TargetMode="External"/><Relationship Id="rId8661" Type="http://schemas.openxmlformats.org/officeDocument/2006/relationships/hyperlink" Target="http://csr.bu.edu/ftp/asl/asllvd/demos/verify_start_end_handshape_annotations//test_auto_move//signs_mov_separ_signers/Naomi_916.mov" TargetMode="External"/><Relationship Id="rId8662" Type="http://schemas.openxmlformats.org/officeDocument/2006/relationships/hyperlink" Target="http://secrets.rutgers.edu:8080/data/asl-ftp/asllvd/demos/verify_start_end_handshape_annotations//test_auto_move//signs_mov_separ_signers/Naomi_916.mov" TargetMode="External"/><Relationship Id="rId8663" Type="http://schemas.openxmlformats.org/officeDocument/2006/relationships/hyperlink" Target="http://csr.bu.edu/ftp/asl/asllvd/demos/verify_start_end_handshape_annotations//test_auto_move//signs_mov_separ_signers/Brady_916.mov" TargetMode="External"/><Relationship Id="rId8664" Type="http://schemas.openxmlformats.org/officeDocument/2006/relationships/hyperlink" Target="http://secrets.rutgers.edu:8080/data/asl-ftp/asllvd/demos/verify_start_end_handshape_annotations//test_auto_move//signs_mov_separ_signers/Brady_916.mov" TargetMode="External"/><Relationship Id="rId8665" Type="http://schemas.openxmlformats.org/officeDocument/2006/relationships/hyperlink" Target="http://csr.bu.edu/ftp/asl/asllvd/demos/verify_start_end_handshape_annotations//test_auto_move//signs_mov/15104_16365_merged.mov" TargetMode="External"/><Relationship Id="rId8666" Type="http://schemas.openxmlformats.org/officeDocument/2006/relationships/hyperlink" Target="http://csr.bu.edu/ftp/asl/asllvd/demos/verify_start_end_handshape_annotations//test_auto_move//signs_mov_separ_signers/Lana_15104.mov" TargetMode="External"/><Relationship Id="rId8667" Type="http://schemas.openxmlformats.org/officeDocument/2006/relationships/hyperlink" Target="http://secrets.rutgers.edu:8080/data/asl-ftp/asllvd/demos/verify_start_end_handshape_annotations//test_auto_move//signs_mov/15104_16365_merged.mov" TargetMode="External"/><Relationship Id="rId8668" Type="http://schemas.openxmlformats.org/officeDocument/2006/relationships/hyperlink" Target="http://secrets.rutgers.edu:8080/data/asl-ftp/asllvd/demos/verify_start_end_handshape_annotations//test_auto_move//signs_mov_separ_signers/Lana_15104.mov" TargetMode="External"/><Relationship Id="rId8669" Type="http://schemas.openxmlformats.org/officeDocument/2006/relationships/hyperlink" Target="http://csr.bu.edu/ftp/asl/asllvd/demos/verify_start_end_handshape_annotations//test_auto_move//signs_mov_separ_signers/Lana_16365.mov" TargetMode="External"/><Relationship Id="rId8670" Type="http://schemas.openxmlformats.org/officeDocument/2006/relationships/hyperlink" Target="http://secrets.rutgers.edu:8080/data/asl-ftp/asllvd/demos/verify_start_end_handshape_annotations//test_auto_move//signs_mov_separ_signers/Lana_16365.mov" TargetMode="External"/><Relationship Id="rId8671" Type="http://schemas.openxmlformats.org/officeDocument/2006/relationships/hyperlink" Target="http://csr.bu.edu/ftp/asl/asllvd/demos/verify_start_end_handshape_annotations//test_auto_move//signs_mov_separ_signers/Liz_917.mov" TargetMode="External"/><Relationship Id="rId8672" Type="http://schemas.openxmlformats.org/officeDocument/2006/relationships/hyperlink" Target="http://secrets.rutgers.edu:8080/data/asl-ftp/asllvd/demos/verify_start_end_handshape_annotations//test_auto_move//signs_mov_separ_signers/Liz_917.mov" TargetMode="External"/><Relationship Id="rId8673" Type="http://schemas.openxmlformats.org/officeDocument/2006/relationships/hyperlink" Target="http://csr.bu.edu/ftp/asl/asllvd/demos/verify_start_end_handshape_annotations//test_auto_move//signs_mov/917.mov" TargetMode="External"/><Relationship Id="rId8674" Type="http://schemas.openxmlformats.org/officeDocument/2006/relationships/hyperlink" Target="http://csr.bu.edu/ftp/asl/asllvd/demos/verify_start_end_handshape_annotations//test_auto_move//signs_mov_separ_signers/Tyler_917.mov" TargetMode="External"/><Relationship Id="rId8675" Type="http://schemas.openxmlformats.org/officeDocument/2006/relationships/hyperlink" Target="http://secrets.rutgers.edu:8080/data/asl-ftp/asllvd/demos/verify_start_end_handshape_annotations//test_auto_move//signs_mov/917.mov" TargetMode="External"/><Relationship Id="rId8676" Type="http://schemas.openxmlformats.org/officeDocument/2006/relationships/hyperlink" Target="http://secrets.rutgers.edu:8080/data/asl-ftp/asllvd/demos/verify_start_end_handshape_annotations//test_auto_move//signs_mov_separ_signers/Tyler_917.mov" TargetMode="External"/><Relationship Id="rId8677" Type="http://schemas.openxmlformats.org/officeDocument/2006/relationships/hyperlink" Target="http://csr.bu.edu/ftp/asl/asllvd/demos/verify_start_end_handshape_annotations//test_auto_move//signs_mov_separ_signers/Naomi_917.mov" TargetMode="External"/><Relationship Id="rId8678" Type="http://schemas.openxmlformats.org/officeDocument/2006/relationships/hyperlink" Target="http://secrets.rutgers.edu:8080/data/asl-ftp/asllvd/demos/verify_start_end_handshape_annotations//test_auto_move//signs_mov_separ_signers/Naomi_917.mov" TargetMode="External"/><Relationship Id="rId8679" Type="http://schemas.openxmlformats.org/officeDocument/2006/relationships/hyperlink" Target="http://csr.bu.edu/ftp/asl/asllvd/demos/verify_start_end_handshape_annotations//test_auto_move//signs_mov_separ_signers/Brady_917.mov" TargetMode="External"/><Relationship Id="rId8680" Type="http://schemas.openxmlformats.org/officeDocument/2006/relationships/hyperlink" Target="http://secrets.rutgers.edu:8080/data/asl-ftp/asllvd/demos/verify_start_end_handshape_annotations//test_auto_move//signs_mov_separ_signers/Brady_917.mov" TargetMode="External"/><Relationship Id="rId8681" Type="http://schemas.openxmlformats.org/officeDocument/2006/relationships/hyperlink" Target="http://csr.bu.edu/ftp/asl/asllvd/demos/verify_start_end_handshape_annotations//test_auto_move//signs_mov/920.mov" TargetMode="External"/><Relationship Id="rId8682" Type="http://schemas.openxmlformats.org/officeDocument/2006/relationships/hyperlink" Target="http://csr.bu.edu/ftp/asl/asllvd/demos/verify_start_end_handshape_annotations//test_auto_move//signs_mov_separ_signers/Liz_920.mov" TargetMode="External"/><Relationship Id="rId8683" Type="http://schemas.openxmlformats.org/officeDocument/2006/relationships/hyperlink" Target="http://secrets.rutgers.edu:8080/data/asl-ftp/asllvd/demos/verify_start_end_handshape_annotations//test_auto_move//signs_mov/920.mov" TargetMode="External"/><Relationship Id="rId8684" Type="http://schemas.openxmlformats.org/officeDocument/2006/relationships/hyperlink" Target="http://secrets.rutgers.edu:8080/data/asl-ftp/asllvd/demos/verify_start_end_handshape_annotations//test_auto_move//signs_mov_separ_signers/Liz_920.mov" TargetMode="External"/><Relationship Id="rId8685" Type="http://schemas.openxmlformats.org/officeDocument/2006/relationships/hyperlink" Target="http://csr.bu.edu/ftp/asl/asllvd/demos/verify_start_end_handshape_annotations//test_auto_move//signs_mov_separ_signers/Brady_920.mov" TargetMode="External"/><Relationship Id="rId8686" Type="http://schemas.openxmlformats.org/officeDocument/2006/relationships/hyperlink" Target="http://secrets.rutgers.edu:8080/data/asl-ftp/asllvd/demos/verify_start_end_handshape_annotations//test_auto_move//signs_mov_separ_signers/Brady_920.mov" TargetMode="External"/><Relationship Id="rId8687" Type="http://schemas.openxmlformats.org/officeDocument/2006/relationships/hyperlink" Target="http://csr.bu.edu/ftp/asl/asllvd/demos/verify_start_end_handshape_annotations//test_auto_move//signs_mov_separ_signers/Liz_3357.mov" TargetMode="External"/><Relationship Id="rId8688" Type="http://schemas.openxmlformats.org/officeDocument/2006/relationships/hyperlink" Target="http://secrets.rutgers.edu:8080/data/asl-ftp/asllvd/demos/verify_start_end_handshape_annotations//test_auto_move//signs_mov_separ_signers/Liz_3357.mov" TargetMode="External"/><Relationship Id="rId8689" Type="http://schemas.openxmlformats.org/officeDocument/2006/relationships/hyperlink" Target="http://csr.bu.edu/ftp/asl/asllvd/demos/verify_start_end_handshape_annotations//test_auto_move//signs_mov/3357.mov" TargetMode="External"/><Relationship Id="rId8690" Type="http://schemas.openxmlformats.org/officeDocument/2006/relationships/hyperlink" Target="http://csr.bu.edu/ftp/asl/asllvd/demos/verify_start_end_handshape_annotations//test_auto_move//signs_mov_separ_signers/Naomi_3357.mov" TargetMode="External"/><Relationship Id="rId8691" Type="http://schemas.openxmlformats.org/officeDocument/2006/relationships/hyperlink" Target="http://secrets.rutgers.edu:8080/data/asl-ftp/asllvd/demos/verify_start_end_handshape_annotations//test_auto_move//signs_mov/3357.mov" TargetMode="External"/><Relationship Id="rId8692" Type="http://schemas.openxmlformats.org/officeDocument/2006/relationships/hyperlink" Target="http://secrets.rutgers.edu:8080/data/asl-ftp/asllvd/demos/verify_start_end_handshape_annotations//test_auto_move//signs_mov_separ_signers/Naomi_3357.mov" TargetMode="External"/><Relationship Id="rId8693" Type="http://schemas.openxmlformats.org/officeDocument/2006/relationships/hyperlink" Target="http://csr.bu.edu/ftp/asl/asllvd/demos/verify_start_end_handshape_annotations//test_auto_move//signs_mov_separ_signers/Brady_3357.mov" TargetMode="External"/><Relationship Id="rId8694" Type="http://schemas.openxmlformats.org/officeDocument/2006/relationships/hyperlink" Target="http://secrets.rutgers.edu:8080/data/asl-ftp/asllvd/demos/verify_start_end_handshape_annotations//test_auto_move//signs_mov_separ_signers/Brady_3357.mov" TargetMode="External"/><Relationship Id="rId8695" Type="http://schemas.openxmlformats.org/officeDocument/2006/relationships/hyperlink" Target="http://csr.bu.edu/ftp/asl/asllvd/demos/verify_start_end_handshape_annotations//test_auto_move//signs_mov/922.mov" TargetMode="External"/><Relationship Id="rId8696" Type="http://schemas.openxmlformats.org/officeDocument/2006/relationships/hyperlink" Target="http://csr.bu.edu/ftp/asl/asllvd/demos/verify_start_end_handshape_annotations//test_auto_move//signs_mov_separ_signers/Tyler_922.mov" TargetMode="External"/><Relationship Id="rId8697" Type="http://schemas.openxmlformats.org/officeDocument/2006/relationships/hyperlink" Target="http://secrets.rutgers.edu:8080/data/asl-ftp/asllvd/demos/verify_start_end_handshape_annotations//test_auto_move//signs_mov/922.mov" TargetMode="External"/><Relationship Id="rId8698" Type="http://schemas.openxmlformats.org/officeDocument/2006/relationships/hyperlink" Target="http://secrets.rutgers.edu:8080/data/asl-ftp/asllvd/demos/verify_start_end_handshape_annotations//test_auto_move//signs_mov_separ_signers/Tyler_922.mov" TargetMode="External"/><Relationship Id="rId8699" Type="http://schemas.openxmlformats.org/officeDocument/2006/relationships/hyperlink" Target="http://csr.bu.edu/ftp/asl/asllvd/demos/verify_start_end_handshape_annotations//test_auto_move//signs_mov_separ_signers/Naomi_922.mov" TargetMode="External"/><Relationship Id="rId8700" Type="http://schemas.openxmlformats.org/officeDocument/2006/relationships/hyperlink" Target="http://secrets.rutgers.edu:8080/data/asl-ftp/asllvd/demos/verify_start_end_handshape_annotations//test_auto_move//signs_mov_separ_signers/Naomi_922.mov" TargetMode="External"/><Relationship Id="rId8701" Type="http://schemas.openxmlformats.org/officeDocument/2006/relationships/hyperlink" Target="http://csr.bu.edu/ftp/asl/asllvd/demos/verify_start_end_handshape_annotations//test_auto_move//signs_mov/16366.mov" TargetMode="External"/><Relationship Id="rId8702" Type="http://schemas.openxmlformats.org/officeDocument/2006/relationships/hyperlink" Target="http://csr.bu.edu/ftp/asl/asllvd/demos/verify_start_end_handshape_annotations//test_auto_move//signs_mov_separ_signers/Liz_16366.mov" TargetMode="External"/><Relationship Id="rId8703" Type="http://schemas.openxmlformats.org/officeDocument/2006/relationships/hyperlink" Target="http://secrets.rutgers.edu:8080/data/asl-ftp/asllvd/demos/verify_start_end_handshape_annotations//test_auto_move//signs_mov/16366.mov" TargetMode="External"/><Relationship Id="rId8704" Type="http://schemas.openxmlformats.org/officeDocument/2006/relationships/hyperlink" Target="http://secrets.rutgers.edu:8080/data/asl-ftp/asllvd/demos/verify_start_end_handshape_annotations//test_auto_move//signs_mov_separ_signers/Liz_16366.mov" TargetMode="External"/><Relationship Id="rId8705" Type="http://schemas.openxmlformats.org/officeDocument/2006/relationships/hyperlink" Target="http://csr.bu.edu/ftp/asl/asllvd/demos/verify_start_end_handshape_annotations//test_auto_move//signs_mov_separ_signers/Brady_16366.mov" TargetMode="External"/><Relationship Id="rId8706" Type="http://schemas.openxmlformats.org/officeDocument/2006/relationships/hyperlink" Target="http://secrets.rutgers.edu:8080/data/asl-ftp/asllvd/demos/verify_start_end_handshape_annotations//test_auto_move//signs_mov_separ_signers/Brady_16366.mov" TargetMode="External"/><Relationship Id="rId8707" Type="http://schemas.openxmlformats.org/officeDocument/2006/relationships/hyperlink" Target="http://csr.bu.edu/ftp/asl/asllvd/demos/verify_start_end_handshape_annotations//test_auto_move//signs_mov_separ_signers/Liz_930.mov" TargetMode="External"/><Relationship Id="rId8708" Type="http://schemas.openxmlformats.org/officeDocument/2006/relationships/hyperlink" Target="http://secrets.rutgers.edu:8080/data/asl-ftp/asllvd/demos/verify_start_end_handshape_annotations//test_auto_move//signs_mov_separ_signers/Liz_930.mov" TargetMode="External"/><Relationship Id="rId8709" Type="http://schemas.openxmlformats.org/officeDocument/2006/relationships/hyperlink" Target="http://csr.bu.edu/ftp/asl/asllvd/demos/verify_start_end_handshape_annotations//test_auto_move//signs_mov/930.mov" TargetMode="External"/><Relationship Id="rId8710" Type="http://schemas.openxmlformats.org/officeDocument/2006/relationships/hyperlink" Target="http://csr.bu.edu/ftp/asl/asllvd/demos/verify_start_end_handshape_annotations//test_auto_move//signs_mov_separ_signers/Tyler_930.mov" TargetMode="External"/><Relationship Id="rId8711" Type="http://schemas.openxmlformats.org/officeDocument/2006/relationships/hyperlink" Target="http://secrets.rutgers.edu:8080/data/asl-ftp/asllvd/demos/verify_start_end_handshape_annotations//test_auto_move//signs_mov/930.mov" TargetMode="External"/><Relationship Id="rId8712" Type="http://schemas.openxmlformats.org/officeDocument/2006/relationships/hyperlink" Target="http://secrets.rutgers.edu:8080/data/asl-ftp/asllvd/demos/verify_start_end_handshape_annotations//test_auto_move//signs_mov_separ_signers/Tyler_930.mov" TargetMode="External"/><Relationship Id="rId8713" Type="http://schemas.openxmlformats.org/officeDocument/2006/relationships/hyperlink" Target="http://csr.bu.edu/ftp/asl/asllvd/demos/verify_start_end_handshape_annotations//test_auto_move//signs_mov_separ_signers/Naomi_930.mov" TargetMode="External"/><Relationship Id="rId8714" Type="http://schemas.openxmlformats.org/officeDocument/2006/relationships/hyperlink" Target="http://secrets.rutgers.edu:8080/data/asl-ftp/asllvd/demos/verify_start_end_handshape_annotations//test_auto_move//signs_mov_separ_signers/Naomi_930.mov" TargetMode="External"/><Relationship Id="rId8715" Type="http://schemas.openxmlformats.org/officeDocument/2006/relationships/hyperlink" Target="http://csr.bu.edu/ftp/asl/asllvd/demos/verify_start_end_handshape_annotations//test_auto_move//signs_mov_separ_signers/Brady_930.mov" TargetMode="External"/><Relationship Id="rId8716" Type="http://schemas.openxmlformats.org/officeDocument/2006/relationships/hyperlink" Target="http://secrets.rutgers.edu:8080/data/asl-ftp/asllvd/demos/verify_start_end_handshape_annotations//test_auto_move//signs_mov_separ_signers/Brady_930.mov" TargetMode="External"/><Relationship Id="rId8717" Type="http://schemas.openxmlformats.org/officeDocument/2006/relationships/hyperlink" Target="http://csr.bu.edu/ftp/asl/asllvd/demos/verify_start_end_handshape_annotations//test_auto_move//signs_mov_separ_signers/Liz_3633.mov" TargetMode="External"/><Relationship Id="rId8718" Type="http://schemas.openxmlformats.org/officeDocument/2006/relationships/hyperlink" Target="http://secrets.rutgers.edu:8080/data/asl-ftp/asllvd/demos/verify_start_end_handshape_annotations//test_auto_move//signs_mov_separ_signers/Liz_3633.mov" TargetMode="External"/><Relationship Id="rId8719" Type="http://schemas.openxmlformats.org/officeDocument/2006/relationships/hyperlink" Target="http://csr.bu.edu/ftp/asl/asllvd/demos/verify_start_end_handshape_annotations//test_auto_move//signs_mov/3633.mov" TargetMode="External"/><Relationship Id="rId8720" Type="http://schemas.openxmlformats.org/officeDocument/2006/relationships/hyperlink" Target="http://csr.bu.edu/ftp/asl/asllvd/demos/verify_start_end_handshape_annotations//test_auto_move//signs_mov_separ_signers/Naomi_3633.mov" TargetMode="External"/><Relationship Id="rId8721" Type="http://schemas.openxmlformats.org/officeDocument/2006/relationships/hyperlink" Target="http://secrets.rutgers.edu:8080/data/asl-ftp/asllvd/demos/verify_start_end_handshape_annotations//test_auto_move//signs_mov/3633.mov" TargetMode="External"/><Relationship Id="rId8722" Type="http://schemas.openxmlformats.org/officeDocument/2006/relationships/hyperlink" Target="http://secrets.rutgers.edu:8080/data/asl-ftp/asllvd/demos/verify_start_end_handshape_annotations//test_auto_move//signs_mov_separ_signers/Naomi_3633.mov" TargetMode="External"/><Relationship Id="rId8723" Type="http://schemas.openxmlformats.org/officeDocument/2006/relationships/hyperlink" Target="http://csr.bu.edu/ftp/asl/asllvd/demos/verify_start_end_handshape_annotations//test_auto_move//signs_mov_separ_signers/Brady_3633.mov" TargetMode="External"/><Relationship Id="rId8724" Type="http://schemas.openxmlformats.org/officeDocument/2006/relationships/hyperlink" Target="http://secrets.rutgers.edu:8080/data/asl-ftp/asllvd/demos/verify_start_end_handshape_annotations//test_auto_move//signs_mov_separ_signers/Brady_3633.mov" TargetMode="External"/><Relationship Id="rId8725" Type="http://schemas.openxmlformats.org/officeDocument/2006/relationships/hyperlink" Target="http://csr.bu.edu/ftp/asl/asllvd/demos/verify_start_end_handshape_annotations//test_auto_move//signs_mov/5185.mov" TargetMode="External"/><Relationship Id="rId8726" Type="http://schemas.openxmlformats.org/officeDocument/2006/relationships/hyperlink" Target="http://csr.bu.edu/ftp/asl/asllvd/demos/verify_start_end_handshape_annotations//test_auto_move//signs_mov_separ_signers/Tyler_5185.mov" TargetMode="External"/><Relationship Id="rId8727" Type="http://schemas.openxmlformats.org/officeDocument/2006/relationships/hyperlink" Target="http://secrets.rutgers.edu:8080/data/asl-ftp/asllvd/demos/verify_start_end_handshape_annotations//test_auto_move//signs_mov/5185.mov" TargetMode="External"/><Relationship Id="rId8728" Type="http://schemas.openxmlformats.org/officeDocument/2006/relationships/hyperlink" Target="http://secrets.rutgers.edu:8080/data/asl-ftp/asllvd/demos/verify_start_end_handshape_annotations//test_auto_move//signs_mov_separ_signers/Tyler_5185.mov" TargetMode="External"/><Relationship Id="rId8729" Type="http://schemas.openxmlformats.org/officeDocument/2006/relationships/hyperlink" Target="http://csr.bu.edu/ftp/asl/asllvd/demos/verify_start_end_handshape_annotations//test_auto_move//signs_mov_separ_signers/Liz_934.mov" TargetMode="External"/><Relationship Id="rId8730" Type="http://schemas.openxmlformats.org/officeDocument/2006/relationships/hyperlink" Target="http://secrets.rutgers.edu:8080/data/asl-ftp/asllvd/demos/verify_start_end_handshape_annotations//test_auto_move//signs_mov_separ_signers/Liz_934.mov" TargetMode="External"/><Relationship Id="rId8731" Type="http://schemas.openxmlformats.org/officeDocument/2006/relationships/hyperlink" Target="http://csr.bu.edu/ftp/asl/asllvd/demos/verify_start_end_handshape_annotations//test_auto_move//signs_mov/934_5811_15187_merged.mov" TargetMode="External"/><Relationship Id="rId8732" Type="http://schemas.openxmlformats.org/officeDocument/2006/relationships/hyperlink" Target="http://csr.bu.edu/ftp/asl/asllvd/demos/verify_start_end_handshape_annotations//test_auto_move//signs_mov_separ_signers/Brady_934.mov" TargetMode="External"/><Relationship Id="rId8733" Type="http://schemas.openxmlformats.org/officeDocument/2006/relationships/hyperlink" Target="http://secrets.rutgers.edu:8080/data/asl-ftp/asllvd/demos/verify_start_end_handshape_annotations//test_auto_move//signs_mov/934_5811_15187_merged.mov" TargetMode="External"/><Relationship Id="rId8734" Type="http://schemas.openxmlformats.org/officeDocument/2006/relationships/hyperlink" Target="http://secrets.rutgers.edu:8080/data/asl-ftp/asllvd/demos/verify_start_end_handshape_annotations//test_auto_move//signs_mov_separ_signers/Brady_934.mov" TargetMode="External"/><Relationship Id="rId8735" Type="http://schemas.openxmlformats.org/officeDocument/2006/relationships/hyperlink" Target="http://csr.bu.edu/ftp/asl/asllvd/demos/verify_start_end_handshape_annotations//test_auto_move//signs_mov_separ_signers/Brady_5811.mov" TargetMode="External"/><Relationship Id="rId8736" Type="http://schemas.openxmlformats.org/officeDocument/2006/relationships/hyperlink" Target="http://secrets.rutgers.edu:8080/data/asl-ftp/asllvd/demos/verify_start_end_handshape_annotations//test_auto_move//signs_mov_separ_signers/Brady_5811.mov" TargetMode="External"/><Relationship Id="rId8737" Type="http://schemas.openxmlformats.org/officeDocument/2006/relationships/hyperlink" Target="http://csr.bu.edu/ftp/asl/asllvd/demos/verify_start_end_handshape_annotations//test_auto_move//signs_mov_separ_signers/Brady_15187.mov" TargetMode="External"/><Relationship Id="rId8738" Type="http://schemas.openxmlformats.org/officeDocument/2006/relationships/hyperlink" Target="http://secrets.rutgers.edu:8080/data/asl-ftp/asllvd/demos/verify_start_end_handshape_annotations//test_auto_move//signs_mov_separ_signers/Brady_15187.mov" TargetMode="External"/><Relationship Id="rId8739" Type="http://schemas.openxmlformats.org/officeDocument/2006/relationships/hyperlink" Target="http://csr.bu.edu/ftp/asl/asllvd/demos/verify_start_end_handshape_annotations//test_auto_move//signs_mov/15428.mov" TargetMode="External"/><Relationship Id="rId8740" Type="http://schemas.openxmlformats.org/officeDocument/2006/relationships/hyperlink" Target="http://csr.bu.edu/ftp/asl/asllvd/demos/verify_start_end_handshape_annotations//test_auto_move//signs_mov_separ_signers/Liz_15428.mov" TargetMode="External"/><Relationship Id="rId8741" Type="http://schemas.openxmlformats.org/officeDocument/2006/relationships/hyperlink" Target="http://secrets.rutgers.edu:8080/data/asl-ftp/asllvd/demos/verify_start_end_handshape_annotations//test_auto_move//signs_mov/15428.mov" TargetMode="External"/><Relationship Id="rId8742" Type="http://schemas.openxmlformats.org/officeDocument/2006/relationships/hyperlink" Target="http://secrets.rutgers.edu:8080/data/asl-ftp/asllvd/demos/verify_start_end_handshape_annotations//test_auto_move//signs_mov_separ_signers/Liz_15428.mov" TargetMode="External"/><Relationship Id="rId8743" Type="http://schemas.openxmlformats.org/officeDocument/2006/relationships/hyperlink" Target="http://csr.bu.edu/ftp/asl/asllvd/demos/verify_start_end_handshape_annotations//test_auto_move//signs_mov_separ_signers/Naomi_15428.mov" TargetMode="External"/><Relationship Id="rId8744" Type="http://schemas.openxmlformats.org/officeDocument/2006/relationships/hyperlink" Target="http://secrets.rutgers.edu:8080/data/asl-ftp/asllvd/demos/verify_start_end_handshape_annotations//test_auto_move//signs_mov_separ_signers/Naomi_15428.mov" TargetMode="External"/><Relationship Id="rId8745" Type="http://schemas.openxmlformats.org/officeDocument/2006/relationships/hyperlink" Target="http://csr.bu.edu/ftp/asl/asllvd/demos/verify_start_end_handshape_annotations//test_auto_move//signs_mov/15653.mov" TargetMode="External"/><Relationship Id="rId8746" Type="http://schemas.openxmlformats.org/officeDocument/2006/relationships/hyperlink" Target="http://csr.bu.edu/ftp/asl/asllvd/demos/verify_start_end_handshape_annotations//test_auto_move//signs_mov_separ_signers/Tyler_15653.mov" TargetMode="External"/><Relationship Id="rId8747" Type="http://schemas.openxmlformats.org/officeDocument/2006/relationships/hyperlink" Target="http://secrets.rutgers.edu:8080/data/asl-ftp/asllvd/demos/verify_start_end_handshape_annotations//test_auto_move//signs_mov/15653.mov" TargetMode="External"/><Relationship Id="rId8748" Type="http://schemas.openxmlformats.org/officeDocument/2006/relationships/hyperlink" Target="http://secrets.rutgers.edu:8080/data/asl-ftp/asllvd/demos/verify_start_end_handshape_annotations//test_auto_move//signs_mov_separ_signers/Tyler_15653.mov" TargetMode="External"/><Relationship Id="rId8749" Type="http://schemas.openxmlformats.org/officeDocument/2006/relationships/hyperlink" Target="http://csr.bu.edu/ftp/asl/asllvd/demos/verify_start_end_handshape_annotations//test_auto_move//signs_mov_separ_signers/Brady_15653.mov" TargetMode="External"/><Relationship Id="rId8750" Type="http://schemas.openxmlformats.org/officeDocument/2006/relationships/hyperlink" Target="http://secrets.rutgers.edu:8080/data/asl-ftp/asllvd/demos/verify_start_end_handshape_annotations//test_auto_move//signs_mov_separ_signers/Brady_15653.mov" TargetMode="External"/><Relationship Id="rId8751" Type="http://schemas.openxmlformats.org/officeDocument/2006/relationships/hyperlink" Target="http://csr.bu.edu/ftp/asl/asllvd/demos/verify_start_end_handshape_annotations//test_auto_move//signs_mov_separ_signers/Liz_15695.mov" TargetMode="External"/><Relationship Id="rId8752" Type="http://schemas.openxmlformats.org/officeDocument/2006/relationships/hyperlink" Target="http://secrets.rutgers.edu:8080/data/asl-ftp/asllvd/demos/verify_start_end_handshape_annotations//test_auto_move//signs_mov_separ_signers/Liz_15695.mov" TargetMode="External"/><Relationship Id="rId8753" Type="http://schemas.openxmlformats.org/officeDocument/2006/relationships/hyperlink" Target="http://csr.bu.edu/ftp/asl/asllvd/demos/verify_start_end_handshape_annotations//test_auto_move//signs_mov/15695.mov" TargetMode="External"/><Relationship Id="rId8754" Type="http://schemas.openxmlformats.org/officeDocument/2006/relationships/hyperlink" Target="http://csr.bu.edu/ftp/asl/asllvd/demos/verify_start_end_handshape_annotations//test_auto_move//signs_mov_separ_signers/Naomi_15695.mov" TargetMode="External"/><Relationship Id="rId8755" Type="http://schemas.openxmlformats.org/officeDocument/2006/relationships/hyperlink" Target="http://secrets.rutgers.edu:8080/data/asl-ftp/asllvd/demos/verify_start_end_handshape_annotations//test_auto_move//signs_mov/15695.mov" TargetMode="External"/><Relationship Id="rId8756" Type="http://schemas.openxmlformats.org/officeDocument/2006/relationships/hyperlink" Target="http://secrets.rutgers.edu:8080/data/asl-ftp/asllvd/demos/verify_start_end_handshape_annotations//test_auto_move//signs_mov_separ_signers/Naomi_15695.mov" TargetMode="External"/><Relationship Id="rId8757" Type="http://schemas.openxmlformats.org/officeDocument/2006/relationships/hyperlink" Target="http://csr.bu.edu/ftp/asl/asllvd/demos/verify_start_end_handshape_annotations//test_auto_move//signs_mov_separ_signers/Brady_15695.mov" TargetMode="External"/><Relationship Id="rId8758" Type="http://schemas.openxmlformats.org/officeDocument/2006/relationships/hyperlink" Target="http://secrets.rutgers.edu:8080/data/asl-ftp/asllvd/demos/verify_start_end_handshape_annotations//test_auto_move//signs_mov_separ_signers/Brady_15695.mov" TargetMode="External"/><Relationship Id="rId8759" Type="http://schemas.openxmlformats.org/officeDocument/2006/relationships/hyperlink" Target="http://csr.bu.edu/ftp/asl/asllvd/demos/verify_start_end_handshape_annotations//test_auto_move//signs_mov/15696.mov" TargetMode="External"/><Relationship Id="rId8760" Type="http://schemas.openxmlformats.org/officeDocument/2006/relationships/hyperlink" Target="http://csr.bu.edu/ftp/asl/asllvd/demos/verify_start_end_handshape_annotations//test_auto_move//signs_mov_separ_signers/Tyler_15696.mov" TargetMode="External"/><Relationship Id="rId8761" Type="http://schemas.openxmlformats.org/officeDocument/2006/relationships/hyperlink" Target="http://secrets.rutgers.edu:8080/data/asl-ftp/asllvd/demos/verify_start_end_handshape_annotations//test_auto_move//signs_mov/15696.mov" TargetMode="External"/><Relationship Id="rId8762" Type="http://schemas.openxmlformats.org/officeDocument/2006/relationships/hyperlink" Target="http://secrets.rutgers.edu:8080/data/asl-ftp/asllvd/demos/verify_start_end_handshape_annotations//test_auto_move//signs_mov_separ_signers/Tyler_15696.mov" TargetMode="External"/><Relationship Id="rId8763" Type="http://schemas.openxmlformats.org/officeDocument/2006/relationships/hyperlink" Target="http://csr.bu.edu/ftp/asl/asllvd/demos/verify_start_end_handshape_annotations//test_auto_move//signs_mov/16202.mov" TargetMode="External"/><Relationship Id="rId8764" Type="http://schemas.openxmlformats.org/officeDocument/2006/relationships/hyperlink" Target="http://csr.bu.edu/ftp/asl/asllvd/demos/verify_start_end_handshape_annotations//test_auto_move//signs_mov_separ_signers/Liz_16202.mov" TargetMode="External"/><Relationship Id="rId8765" Type="http://schemas.openxmlformats.org/officeDocument/2006/relationships/hyperlink" Target="http://secrets.rutgers.edu:8080/data/asl-ftp/asllvd/demos/verify_start_end_handshape_annotations//test_auto_move//signs_mov/16202.mov" TargetMode="External"/><Relationship Id="rId8766" Type="http://schemas.openxmlformats.org/officeDocument/2006/relationships/hyperlink" Target="http://secrets.rutgers.edu:8080/data/asl-ftp/asllvd/demos/verify_start_end_handshape_annotations//test_auto_move//signs_mov_separ_signers/Liz_16202.mov" TargetMode="External"/><Relationship Id="rId8767" Type="http://schemas.openxmlformats.org/officeDocument/2006/relationships/hyperlink" Target="http://csr.bu.edu/ftp/asl/asllvd/demos/verify_start_end_handshape_annotations//test_auto_move//signs_mov_separ_signers/Naomi_16202.mov" TargetMode="External"/><Relationship Id="rId8768" Type="http://schemas.openxmlformats.org/officeDocument/2006/relationships/hyperlink" Target="http://secrets.rutgers.edu:8080/data/asl-ftp/asllvd/demos/verify_start_end_handshape_annotations//test_auto_move//signs_mov_separ_signers/Naomi_16202.mov" TargetMode="External"/><Relationship Id="rId8769" Type="http://schemas.openxmlformats.org/officeDocument/2006/relationships/hyperlink" Target="http://csr.bu.edu/ftp/asl/asllvd/demos/verify_start_end_handshape_annotations//test_auto_move//signs_mov/936.mov" TargetMode="External"/><Relationship Id="rId8770" Type="http://schemas.openxmlformats.org/officeDocument/2006/relationships/hyperlink" Target="http://csr.bu.edu/ftp/asl/asllvd/demos/verify_start_end_handshape_annotations//test_auto_move//signs_mov_separ_signers/Naomi_936.mov" TargetMode="External"/><Relationship Id="rId8771" Type="http://schemas.openxmlformats.org/officeDocument/2006/relationships/hyperlink" Target="http://secrets.rutgers.edu:8080/data/asl-ftp/asllvd/demos/verify_start_end_handshape_annotations//test_auto_move//signs_mov/936.mov" TargetMode="External"/><Relationship Id="rId8772" Type="http://schemas.openxmlformats.org/officeDocument/2006/relationships/hyperlink" Target="http://secrets.rutgers.edu:8080/data/asl-ftp/asllvd/demos/verify_start_end_handshape_annotations//test_auto_move//signs_mov_separ_signers/Naomi_936.mov" TargetMode="External"/><Relationship Id="rId8773" Type="http://schemas.openxmlformats.org/officeDocument/2006/relationships/hyperlink" Target="http://csr.bu.edu/ftp/asl/asllvd/demos/verify_start_end_handshape_annotations//test_auto_move//signs_mov_separ_signers/Liz_937.mov" TargetMode="External"/><Relationship Id="rId8774" Type="http://schemas.openxmlformats.org/officeDocument/2006/relationships/hyperlink" Target="http://secrets.rutgers.edu:8080/data/asl-ftp/asllvd/demos/verify_start_end_handshape_annotations//test_auto_move//signs_mov_separ_signers/Liz_937.mov" TargetMode="External"/><Relationship Id="rId8775" Type="http://schemas.openxmlformats.org/officeDocument/2006/relationships/hyperlink" Target="http://csr.bu.edu/ftp/asl/asllvd/demos/verify_start_end_handshape_annotations//test_auto_move//signs_mov/937_5305_merged.mov" TargetMode="External"/><Relationship Id="rId8776" Type="http://schemas.openxmlformats.org/officeDocument/2006/relationships/hyperlink" Target="http://csr.bu.edu/ftp/asl/asllvd/demos/verify_start_end_handshape_annotations//test_auto_move//signs_mov_separ_signers/Naomi_937.mov" TargetMode="External"/><Relationship Id="rId8777" Type="http://schemas.openxmlformats.org/officeDocument/2006/relationships/hyperlink" Target="http://secrets.rutgers.edu:8080/data/asl-ftp/asllvd/demos/verify_start_end_handshape_annotations//test_auto_move//signs_mov/937_5305_merged.mov" TargetMode="External"/><Relationship Id="rId8778" Type="http://schemas.openxmlformats.org/officeDocument/2006/relationships/hyperlink" Target="http://secrets.rutgers.edu:8080/data/asl-ftp/asllvd/demos/verify_start_end_handshape_annotations//test_auto_move//signs_mov_separ_signers/Naomi_937.mov" TargetMode="External"/><Relationship Id="rId8779" Type="http://schemas.openxmlformats.org/officeDocument/2006/relationships/hyperlink" Target="http://csr.bu.edu/ftp/asl/asllvd/demos/verify_start_end_handshape_annotations//test_auto_move//signs_mov_separ_signers/Brady_937.mov" TargetMode="External"/><Relationship Id="rId8780" Type="http://schemas.openxmlformats.org/officeDocument/2006/relationships/hyperlink" Target="http://secrets.rutgers.edu:8080/data/asl-ftp/asllvd/demos/verify_start_end_handshape_annotations//test_auto_move//signs_mov_separ_signers/Brady_937.mov" TargetMode="External"/><Relationship Id="rId8781" Type="http://schemas.openxmlformats.org/officeDocument/2006/relationships/hyperlink" Target="http://csr.bu.edu/ftp/asl/asllvd/demos/verify_start_end_handshape_annotations//test_auto_move//signs_mov_separ_signers/Brady_5305.mov" TargetMode="External"/><Relationship Id="rId8782" Type="http://schemas.openxmlformats.org/officeDocument/2006/relationships/hyperlink" Target="http://secrets.rutgers.edu:8080/data/asl-ftp/asllvd/demos/verify_start_end_handshape_annotations//test_auto_move//signs_mov_separ_signers/Brady_5305.mov" TargetMode="External"/><Relationship Id="rId8783" Type="http://schemas.openxmlformats.org/officeDocument/2006/relationships/hyperlink" Target="http://csr.bu.edu/ftp/asl/asllvd/demos/verify_start_end_handshape_annotations//test_auto_move//signs_mov/5637.mov" TargetMode="External"/><Relationship Id="rId8784" Type="http://schemas.openxmlformats.org/officeDocument/2006/relationships/hyperlink" Target="http://csr.bu.edu/ftp/asl/asllvd/demos/verify_start_end_handshape_annotations//test_auto_move//signs_mov_separ_signers/Tyler_5637.mov" TargetMode="External"/><Relationship Id="rId8785" Type="http://schemas.openxmlformats.org/officeDocument/2006/relationships/hyperlink" Target="http://secrets.rutgers.edu:8080/data/asl-ftp/asllvd/demos/verify_start_end_handshape_annotations//test_auto_move//signs_mov/5637.mov" TargetMode="External"/><Relationship Id="rId8786" Type="http://schemas.openxmlformats.org/officeDocument/2006/relationships/hyperlink" Target="http://secrets.rutgers.edu:8080/data/asl-ftp/asllvd/demos/verify_start_end_handshape_annotations//test_auto_move//signs_mov_separ_signers/Tyler_5637.mov" TargetMode="External"/><Relationship Id="rId8787" Type="http://schemas.openxmlformats.org/officeDocument/2006/relationships/hyperlink" Target="http://csr.bu.edu/ftp/asl/asllvd/demos/verify_start_end_handshape_annotations//test_auto_move//signs_mov/941.mov" TargetMode="External"/><Relationship Id="rId8788" Type="http://schemas.openxmlformats.org/officeDocument/2006/relationships/hyperlink" Target="http://csr.bu.edu/ftp/asl/asllvd/demos/verify_start_end_handshape_annotations//test_auto_move//signs_mov_separ_signers/Tyler_941.mov" TargetMode="External"/><Relationship Id="rId8789" Type="http://schemas.openxmlformats.org/officeDocument/2006/relationships/hyperlink" Target="http://secrets.rutgers.edu:8080/data/asl-ftp/asllvd/demos/verify_start_end_handshape_annotations//test_auto_move//signs_mov/941.mov" TargetMode="External"/><Relationship Id="rId8790" Type="http://schemas.openxmlformats.org/officeDocument/2006/relationships/hyperlink" Target="http://secrets.rutgers.edu:8080/data/asl-ftp/asllvd/demos/verify_start_end_handshape_annotations//test_auto_move//signs_mov_separ_signers/Tyler_941.mov" TargetMode="External"/><Relationship Id="rId8791" Type="http://schemas.openxmlformats.org/officeDocument/2006/relationships/hyperlink" Target="http://csr.bu.edu/ftp/asl/asllvd/demos/verify_start_end_handshape_annotations//test_auto_move//signs_mov_separ_signers/Brady_941.mov" TargetMode="External"/><Relationship Id="rId8792" Type="http://schemas.openxmlformats.org/officeDocument/2006/relationships/hyperlink" Target="http://secrets.rutgers.edu:8080/data/asl-ftp/asllvd/demos/verify_start_end_handshape_annotations//test_auto_move//signs_mov_separ_signers/Brady_941.mov" TargetMode="External"/><Relationship Id="rId8793" Type="http://schemas.openxmlformats.org/officeDocument/2006/relationships/hyperlink" Target="http://csr.bu.edu/ftp/asl/asllvd/demos/verify_start_end_handshape_annotations//test_auto_move//signs_mov_separ_signers/Liz_15756.mov" TargetMode="External"/><Relationship Id="rId8794" Type="http://schemas.openxmlformats.org/officeDocument/2006/relationships/hyperlink" Target="http://secrets.rutgers.edu:8080/data/asl-ftp/asllvd/demos/verify_start_end_handshape_annotations//test_auto_move//signs_mov_separ_signers/Liz_15756.mov" TargetMode="External"/><Relationship Id="rId8795" Type="http://schemas.openxmlformats.org/officeDocument/2006/relationships/hyperlink" Target="http://csr.bu.edu/ftp/asl/asllvd/demos/verify_start_end_handshape_annotations//test_auto_move//signs_mov_separ_signers/Tyler_15756.mov" TargetMode="External"/><Relationship Id="rId8796" Type="http://schemas.openxmlformats.org/officeDocument/2006/relationships/hyperlink" Target="http://secrets.rutgers.edu:8080/data/asl-ftp/asllvd/demos/verify_start_end_handshape_annotations//test_auto_move//signs_mov_separ_signers/Tyler_15756.mov" TargetMode="External"/><Relationship Id="rId8797" Type="http://schemas.openxmlformats.org/officeDocument/2006/relationships/hyperlink" Target="http://csr.bu.edu/ftp/asl/asllvd/demos/verify_start_end_handshape_annotations//test_auto_move//signs_mov/15756_15759_merged.mov" TargetMode="External"/><Relationship Id="rId8798" Type="http://schemas.openxmlformats.org/officeDocument/2006/relationships/hyperlink" Target="http://csr.bu.edu/ftp/asl/asllvd/demos/verify_start_end_handshape_annotations//test_auto_move//signs_mov_separ_signers/Naomi_15756.mov" TargetMode="External"/><Relationship Id="rId8799" Type="http://schemas.openxmlformats.org/officeDocument/2006/relationships/hyperlink" Target="http://secrets.rutgers.edu:8080/data/asl-ftp/asllvd/demos/verify_start_end_handshape_annotations//test_auto_move//signs_mov/15756_15759_merged.mov" TargetMode="External"/><Relationship Id="rId8800" Type="http://schemas.openxmlformats.org/officeDocument/2006/relationships/hyperlink" Target="http://secrets.rutgers.edu:8080/data/asl-ftp/asllvd/demos/verify_start_end_handshape_annotations//test_auto_move//signs_mov_separ_signers/Naomi_15756.mov" TargetMode="External"/><Relationship Id="rId8801" Type="http://schemas.openxmlformats.org/officeDocument/2006/relationships/hyperlink" Target="http://csr.bu.edu/ftp/asl/asllvd/demos/verify_start_end_handshape_annotations//test_auto_move//signs_mov_separ_signers/Brady_15756.mov" TargetMode="External"/><Relationship Id="rId8802" Type="http://schemas.openxmlformats.org/officeDocument/2006/relationships/hyperlink" Target="http://secrets.rutgers.edu:8080/data/asl-ftp/asllvd/demos/verify_start_end_handshape_annotations//test_auto_move//signs_mov_separ_signers/Brady_15756.mov" TargetMode="External"/><Relationship Id="rId8803" Type="http://schemas.openxmlformats.org/officeDocument/2006/relationships/hyperlink" Target="http://csr.bu.edu/ftp/asl/asllvd/demos/verify_start_end_handshape_annotations//test_auto_move//signs_mov_separ_signers/Brady_15759.mov" TargetMode="External"/><Relationship Id="rId8804" Type="http://schemas.openxmlformats.org/officeDocument/2006/relationships/hyperlink" Target="http://secrets.rutgers.edu:8080/data/asl-ftp/asllvd/demos/verify_start_end_handshape_annotations//test_auto_move//signs_mov_separ_signers/Brady_15759.mov" TargetMode="External"/><Relationship Id="rId8805" Type="http://schemas.openxmlformats.org/officeDocument/2006/relationships/hyperlink" Target="http://csr.bu.edu/ftp/asl/asllvd/demos/verify_start_end_handshape_annotations//test_auto_move//signs_mov/943.mov" TargetMode="External"/><Relationship Id="rId8806" Type="http://schemas.openxmlformats.org/officeDocument/2006/relationships/hyperlink" Target="http://csr.bu.edu/ftp/asl/asllvd/demos/verify_start_end_handshape_annotations//test_auto_move//signs_mov_separ_signers/Tyler_943.mov" TargetMode="External"/><Relationship Id="rId8807" Type="http://schemas.openxmlformats.org/officeDocument/2006/relationships/hyperlink" Target="http://secrets.rutgers.edu:8080/data/asl-ftp/asllvd/demos/verify_start_end_handshape_annotations//test_auto_move//signs_mov/943.mov" TargetMode="External"/><Relationship Id="rId8808" Type="http://schemas.openxmlformats.org/officeDocument/2006/relationships/hyperlink" Target="http://secrets.rutgers.edu:8080/data/asl-ftp/asllvd/demos/verify_start_end_handshape_annotations//test_auto_move//signs_mov_separ_signers/Tyler_943.mov" TargetMode="External"/><Relationship Id="rId8809" Type="http://schemas.openxmlformats.org/officeDocument/2006/relationships/hyperlink" Target="http://csr.bu.edu/ftp/asl/asllvd/demos/verify_start_end_handshape_annotations//test_auto_move//signs_mov_separ_signers/Brady_943.mov" TargetMode="External"/><Relationship Id="rId8810" Type="http://schemas.openxmlformats.org/officeDocument/2006/relationships/hyperlink" Target="http://secrets.rutgers.edu:8080/data/asl-ftp/asllvd/demos/verify_start_end_handshape_annotations//test_auto_move//signs_mov_separ_signers/Brady_943.mov" TargetMode="External"/><Relationship Id="rId8811" Type="http://schemas.openxmlformats.org/officeDocument/2006/relationships/hyperlink" Target="http://csr.bu.edu/ftp/asl/asllvd/demos/verify_start_end_handshape_annotations//test_auto_move//signs_mov_separ_signers/Liz_946.mov" TargetMode="External"/><Relationship Id="rId8812" Type="http://schemas.openxmlformats.org/officeDocument/2006/relationships/hyperlink" Target="http://secrets.rutgers.edu:8080/data/asl-ftp/asllvd/demos/verify_start_end_handshape_annotations//test_auto_move//signs_mov_separ_signers/Liz_946.mov" TargetMode="External"/><Relationship Id="rId8813" Type="http://schemas.openxmlformats.org/officeDocument/2006/relationships/hyperlink" Target="http://csr.bu.edu/ftp/asl/asllvd/demos/verify_start_end_handshape_annotations//test_auto_move//signs_mov_separ_signers/Liz_3903.mov" TargetMode="External"/><Relationship Id="rId8814" Type="http://schemas.openxmlformats.org/officeDocument/2006/relationships/hyperlink" Target="http://secrets.rutgers.edu:8080/data/asl-ftp/asllvd/demos/verify_start_end_handshape_annotations//test_auto_move//signs_mov_separ_signers/Liz_3903.mov" TargetMode="External"/><Relationship Id="rId8815" Type="http://schemas.openxmlformats.org/officeDocument/2006/relationships/hyperlink" Target="http://csr.bu.edu/ftp/asl/asllvd/demos/verify_start_end_handshape_annotations//test_auto_move//signs_mov/946_3903_merged.mov" TargetMode="External"/><Relationship Id="rId8816" Type="http://schemas.openxmlformats.org/officeDocument/2006/relationships/hyperlink" Target="http://csr.bu.edu/ftp/asl/asllvd/demos/verify_start_end_handshape_annotations//test_auto_move//signs_mov_separ_signers/Tyler_946.mov" TargetMode="External"/><Relationship Id="rId8817" Type="http://schemas.openxmlformats.org/officeDocument/2006/relationships/hyperlink" Target="http://secrets.rutgers.edu:8080/data/asl-ftp/asllvd/demos/verify_start_end_handshape_annotations//test_auto_move//signs_mov/946_3903_merged.mov" TargetMode="External"/><Relationship Id="rId8818" Type="http://schemas.openxmlformats.org/officeDocument/2006/relationships/hyperlink" Target="http://secrets.rutgers.edu:8080/data/asl-ftp/asllvd/demos/verify_start_end_handshape_annotations//test_auto_move//signs_mov_separ_signers/Tyler_946.mov" TargetMode="External"/><Relationship Id="rId8819" Type="http://schemas.openxmlformats.org/officeDocument/2006/relationships/hyperlink" Target="http://csr.bu.edu/ftp/asl/asllvd/demos/verify_start_end_handshape_annotations//test_auto_move//signs_mov_separ_signers/Naomi_946.mov" TargetMode="External"/><Relationship Id="rId8820" Type="http://schemas.openxmlformats.org/officeDocument/2006/relationships/hyperlink" Target="http://secrets.rutgers.edu:8080/data/asl-ftp/asllvd/demos/verify_start_end_handshape_annotations//test_auto_move//signs_mov_separ_signers/Naomi_946.mov" TargetMode="External"/><Relationship Id="rId8821" Type="http://schemas.openxmlformats.org/officeDocument/2006/relationships/hyperlink" Target="http://csr.bu.edu/ftp/asl/asllvd/demos/verify_start_end_handshape_annotations//test_auto_move//signs_mov_separ_signers/Brady_946.mov" TargetMode="External"/><Relationship Id="rId8822" Type="http://schemas.openxmlformats.org/officeDocument/2006/relationships/hyperlink" Target="http://secrets.rutgers.edu:8080/data/asl-ftp/asllvd/demos/verify_start_end_handshape_annotations//test_auto_move//signs_mov_separ_signers/Brady_946.mov" TargetMode="External"/><Relationship Id="rId8823" Type="http://schemas.openxmlformats.org/officeDocument/2006/relationships/hyperlink" Target="http://csr.bu.edu/ftp/asl/asllvd/demos/verify_start_end_handshape_annotations//test_auto_move//signs_mov_separ_signers/Brady_3903.mov" TargetMode="External"/><Relationship Id="rId8824" Type="http://schemas.openxmlformats.org/officeDocument/2006/relationships/hyperlink" Target="http://secrets.rutgers.edu:8080/data/asl-ftp/asllvd/demos/verify_start_end_handshape_annotations//test_auto_move//signs_mov_separ_signers/Brady_3903.mov" TargetMode="External"/><Relationship Id="rId8825" Type="http://schemas.openxmlformats.org/officeDocument/2006/relationships/hyperlink" Target="http://csr.bu.edu/ftp/asl/asllvd/demos/verify_start_end_handshape_annotations//test_auto_move//signs_mov_separ_signers/Liz_15169.mov" TargetMode="External"/><Relationship Id="rId8826" Type="http://schemas.openxmlformats.org/officeDocument/2006/relationships/hyperlink" Target="http://secrets.rutgers.edu:8080/data/asl-ftp/asllvd/demos/verify_start_end_handshape_annotations//test_auto_move//signs_mov_separ_signers/Liz_15169.mov" TargetMode="External"/><Relationship Id="rId8827" Type="http://schemas.openxmlformats.org/officeDocument/2006/relationships/hyperlink" Target="http://csr.bu.edu/ftp/asl/asllvd/demos/verify_start_end_handshape_annotations//test_auto_move//signs_mov/15169.mov" TargetMode="External"/><Relationship Id="rId8828" Type="http://schemas.openxmlformats.org/officeDocument/2006/relationships/hyperlink" Target="http://csr.bu.edu/ftp/asl/asllvd/demos/verify_start_end_handshape_annotations//test_auto_move//signs_mov_separ_signers/Naomi_15169.mov" TargetMode="External"/><Relationship Id="rId8829" Type="http://schemas.openxmlformats.org/officeDocument/2006/relationships/hyperlink" Target="http://secrets.rutgers.edu:8080/data/asl-ftp/asllvd/demos/verify_start_end_handshape_annotations//test_auto_move//signs_mov/15169.mov" TargetMode="External"/><Relationship Id="rId8830" Type="http://schemas.openxmlformats.org/officeDocument/2006/relationships/hyperlink" Target="http://secrets.rutgers.edu:8080/data/asl-ftp/asllvd/demos/verify_start_end_handshape_annotations//test_auto_move//signs_mov_separ_signers/Naomi_15169.mov" TargetMode="External"/><Relationship Id="rId8831" Type="http://schemas.openxmlformats.org/officeDocument/2006/relationships/hyperlink" Target="http://csr.bu.edu/ftp/asl/asllvd/demos/verify_start_end_handshape_annotations//test_auto_move//signs_mov_separ_signers/Brady_15169.mov" TargetMode="External"/><Relationship Id="rId8832" Type="http://schemas.openxmlformats.org/officeDocument/2006/relationships/hyperlink" Target="http://secrets.rutgers.edu:8080/data/asl-ftp/asllvd/demos/verify_start_end_handshape_annotations//test_auto_move//signs_mov_separ_signers/Brady_15169.mov" TargetMode="External"/><Relationship Id="rId8833" Type="http://schemas.openxmlformats.org/officeDocument/2006/relationships/hyperlink" Target="http://csr.bu.edu/ftp/asl/asllvd/demos/verify_start_end_handshape_annotations//test_auto_move//signs_mov/16047.mov" TargetMode="External"/><Relationship Id="rId8834" Type="http://schemas.openxmlformats.org/officeDocument/2006/relationships/hyperlink" Target="http://csr.bu.edu/ftp/asl/asllvd/demos/verify_start_end_handshape_annotations//test_auto_move//signs_mov_separ_signers/Naomi_16047.mov" TargetMode="External"/><Relationship Id="rId8835" Type="http://schemas.openxmlformats.org/officeDocument/2006/relationships/hyperlink" Target="http://secrets.rutgers.edu:8080/data/asl-ftp/asllvd/demos/verify_start_end_handshape_annotations//test_auto_move//signs_mov/16047.mov" TargetMode="External"/><Relationship Id="rId8836" Type="http://schemas.openxmlformats.org/officeDocument/2006/relationships/hyperlink" Target="http://secrets.rutgers.edu:8080/data/asl-ftp/asllvd/demos/verify_start_end_handshape_annotations//test_auto_move//signs_mov_separ_signers/Naomi_16047.mov" TargetMode="External"/><Relationship Id="rId8837" Type="http://schemas.openxmlformats.org/officeDocument/2006/relationships/hyperlink" Target="http://csr.bu.edu/ftp/asl/asllvd/demos/verify_start_end_handshape_annotations//test_auto_move//signs_mov_separ_signers/Tyler_947.mov" TargetMode="External"/><Relationship Id="rId8838" Type="http://schemas.openxmlformats.org/officeDocument/2006/relationships/hyperlink" Target="http://secrets.rutgers.edu:8080/data/asl-ftp/asllvd/demos/verify_start_end_handshape_annotations//test_auto_move//signs_mov_separ_signers/Tyler_947.mov" TargetMode="External"/><Relationship Id="rId8839" Type="http://schemas.openxmlformats.org/officeDocument/2006/relationships/hyperlink" Target="http://csr.bu.edu/ftp/asl/asllvd/demos/verify_start_end_handshape_annotations//test_auto_move//signs_mov/947.mov" TargetMode="External"/><Relationship Id="rId8840" Type="http://schemas.openxmlformats.org/officeDocument/2006/relationships/hyperlink" Target="http://csr.bu.edu/ftp/asl/asllvd/demos/verify_start_end_handshape_annotations//test_auto_move//signs_mov_separ_signers/Naomi_947.mov" TargetMode="External"/><Relationship Id="rId8841" Type="http://schemas.openxmlformats.org/officeDocument/2006/relationships/hyperlink" Target="http://secrets.rutgers.edu:8080/data/asl-ftp/asllvd/demos/verify_start_end_handshape_annotations//test_auto_move//signs_mov/947.mov" TargetMode="External"/><Relationship Id="rId8842" Type="http://schemas.openxmlformats.org/officeDocument/2006/relationships/hyperlink" Target="http://secrets.rutgers.edu:8080/data/asl-ftp/asllvd/demos/verify_start_end_handshape_annotations//test_auto_move//signs_mov_separ_signers/Naomi_947.mov" TargetMode="External"/><Relationship Id="rId8843" Type="http://schemas.openxmlformats.org/officeDocument/2006/relationships/hyperlink" Target="http://csr.bu.edu/ftp/asl/asllvd/demos/verify_start_end_handshape_annotations//test_auto_move//signs_mov_separ_signers/Brady_947.mov" TargetMode="External"/><Relationship Id="rId8844" Type="http://schemas.openxmlformats.org/officeDocument/2006/relationships/hyperlink" Target="http://secrets.rutgers.edu:8080/data/asl-ftp/asllvd/demos/verify_start_end_handshape_annotations//test_auto_move//signs_mov_separ_signers/Brady_947.mov" TargetMode="External"/><Relationship Id="rId8845" Type="http://schemas.openxmlformats.org/officeDocument/2006/relationships/hyperlink" Target="http://csr.bu.edu/ftp/asl/asllvd/demos/verify_start_end_handshape_annotations//test_auto_move//signs_mov/16300.mov" TargetMode="External"/><Relationship Id="rId8846" Type="http://schemas.openxmlformats.org/officeDocument/2006/relationships/hyperlink" Target="http://csr.bu.edu/ftp/asl/asllvd/demos/verify_start_end_handshape_annotations//test_auto_move//signs_mov_separ_signers/Liz_16300.mov" TargetMode="External"/><Relationship Id="rId8847" Type="http://schemas.openxmlformats.org/officeDocument/2006/relationships/hyperlink" Target="http://secrets.rutgers.edu:8080/data/asl-ftp/asllvd/demos/verify_start_end_handshape_annotations//test_auto_move//signs_mov/16300.mov" TargetMode="External"/><Relationship Id="rId8848" Type="http://schemas.openxmlformats.org/officeDocument/2006/relationships/hyperlink" Target="http://secrets.rutgers.edu:8080/data/asl-ftp/asllvd/demos/verify_start_end_handshape_annotations//test_auto_move//signs_mov_separ_signers/Liz_16300.mov" TargetMode="External"/><Relationship Id="rId8849" Type="http://schemas.openxmlformats.org/officeDocument/2006/relationships/hyperlink" Target="http://csr.bu.edu/ftp/asl/asllvd/demos/verify_start_end_handshape_annotations//test_auto_move//signs_mov_separ_signers/Brady_16300.mov" TargetMode="External"/><Relationship Id="rId8850" Type="http://schemas.openxmlformats.org/officeDocument/2006/relationships/hyperlink" Target="http://secrets.rutgers.edu:8080/data/asl-ftp/asllvd/demos/verify_start_end_handshape_annotations//test_auto_move//signs_mov_separ_signers/Brady_16300.mov" TargetMode="External"/><Relationship Id="rId8851" Type="http://schemas.openxmlformats.org/officeDocument/2006/relationships/hyperlink" Target="http://csr.bu.edu/ftp/asl/asllvd/demos/verify_start_end_handshape_annotations//test_auto_move//signs_mov/948.mov" TargetMode="External"/><Relationship Id="rId8852" Type="http://schemas.openxmlformats.org/officeDocument/2006/relationships/hyperlink" Target="http://csr.bu.edu/ftp/asl/asllvd/demos/verify_start_end_handshape_annotations//test_auto_move//signs_mov_separ_signers/Liz_948.mov" TargetMode="External"/><Relationship Id="rId8853" Type="http://schemas.openxmlformats.org/officeDocument/2006/relationships/hyperlink" Target="http://secrets.rutgers.edu:8080/data/asl-ftp/asllvd/demos/verify_start_end_handshape_annotations//test_auto_move//signs_mov/948.mov" TargetMode="External"/><Relationship Id="rId8854" Type="http://schemas.openxmlformats.org/officeDocument/2006/relationships/hyperlink" Target="http://secrets.rutgers.edu:8080/data/asl-ftp/asllvd/demos/verify_start_end_handshape_annotations//test_auto_move//signs_mov_separ_signers/Liz_948.mov" TargetMode="External"/><Relationship Id="rId8855" Type="http://schemas.openxmlformats.org/officeDocument/2006/relationships/hyperlink" Target="http://csr.bu.edu/ftp/asl/asllvd/demos/verify_start_end_handshape_annotations//test_auto_move//signs_mov_separ_signers/Naomi_948.mov" TargetMode="External"/><Relationship Id="rId8856" Type="http://schemas.openxmlformats.org/officeDocument/2006/relationships/hyperlink" Target="http://secrets.rutgers.edu:8080/data/asl-ftp/asllvd/demos/verify_start_end_handshape_annotations//test_auto_move//signs_mov_separ_signers/Naomi_948.mov" TargetMode="External"/><Relationship Id="rId8857" Type="http://schemas.openxmlformats.org/officeDocument/2006/relationships/hyperlink" Target="http://csr.bu.edu/ftp/asl/asllvd/demos/verify_start_end_handshape_annotations//test_auto_move//signs_mov/950.mov" TargetMode="External"/><Relationship Id="rId8858" Type="http://schemas.openxmlformats.org/officeDocument/2006/relationships/hyperlink" Target="http://csr.bu.edu/ftp/asl/asllvd/demos/verify_start_end_handshape_annotations//test_auto_move//signs_mov_separ_signers/Tyler_950.mov" TargetMode="External"/><Relationship Id="rId8859" Type="http://schemas.openxmlformats.org/officeDocument/2006/relationships/hyperlink" Target="http://secrets.rutgers.edu:8080/data/asl-ftp/asllvd/demos/verify_start_end_handshape_annotations//test_auto_move//signs_mov/950.mov" TargetMode="External"/><Relationship Id="rId8860" Type="http://schemas.openxmlformats.org/officeDocument/2006/relationships/hyperlink" Target="http://secrets.rutgers.edu:8080/data/asl-ftp/asllvd/demos/verify_start_end_handshape_annotations//test_auto_move//signs_mov_separ_signers/Tyler_950.mov" TargetMode="External"/><Relationship Id="rId8861" Type="http://schemas.openxmlformats.org/officeDocument/2006/relationships/hyperlink" Target="http://csr.bu.edu/ftp/asl/asllvd/demos/verify_start_end_handshape_annotations//test_auto_move//signs_mov_separ_signers/Liz_15353.mov" TargetMode="External"/><Relationship Id="rId8862" Type="http://schemas.openxmlformats.org/officeDocument/2006/relationships/hyperlink" Target="http://secrets.rutgers.edu:8080/data/asl-ftp/asllvd/demos/verify_start_end_handshape_annotations//test_auto_move//signs_mov_separ_signers/Liz_15353.mov" TargetMode="External"/><Relationship Id="rId8863" Type="http://schemas.openxmlformats.org/officeDocument/2006/relationships/hyperlink" Target="http://csr.bu.edu/ftp/asl/asllvd/demos/verify_start_end_handshape_annotations//test_auto_move//signs_mov_separ_signers/Liz_16367.mov" TargetMode="External"/><Relationship Id="rId8864" Type="http://schemas.openxmlformats.org/officeDocument/2006/relationships/hyperlink" Target="http://secrets.rutgers.edu:8080/data/asl-ftp/asllvd/demos/verify_start_end_handshape_annotations//test_auto_move//signs_mov_separ_signers/Liz_16367.mov" TargetMode="External"/><Relationship Id="rId8865" Type="http://schemas.openxmlformats.org/officeDocument/2006/relationships/hyperlink" Target="http://csr.bu.edu/ftp/asl/asllvd/demos/verify_start_end_handshape_annotations//test_auto_move//signs_mov_separ_signers/Tyler_15353.mov" TargetMode="External"/><Relationship Id="rId8866" Type="http://schemas.openxmlformats.org/officeDocument/2006/relationships/hyperlink" Target="http://secrets.rutgers.edu:8080/data/asl-ftp/asllvd/demos/verify_start_end_handshape_annotations//test_auto_move//signs_mov_separ_signers/Tyler_15353.mov" TargetMode="External"/><Relationship Id="rId8867" Type="http://schemas.openxmlformats.org/officeDocument/2006/relationships/hyperlink" Target="http://csr.bu.edu/ftp/asl/asllvd/demos/verify_start_end_handshape_annotations//test_auto_move//signs_mov/15353_16367_merged.mov" TargetMode="External"/><Relationship Id="rId8868" Type="http://schemas.openxmlformats.org/officeDocument/2006/relationships/hyperlink" Target="http://csr.bu.edu/ftp/asl/asllvd/demos/verify_start_end_handshape_annotations//test_auto_move//signs_mov_separ_signers/Naomi_15353.mov" TargetMode="External"/><Relationship Id="rId8869" Type="http://schemas.openxmlformats.org/officeDocument/2006/relationships/hyperlink" Target="http://secrets.rutgers.edu:8080/data/asl-ftp/asllvd/demos/verify_start_end_handshape_annotations//test_auto_move//signs_mov/15353_16367_merged.mov" TargetMode="External"/><Relationship Id="rId8870" Type="http://schemas.openxmlformats.org/officeDocument/2006/relationships/hyperlink" Target="http://secrets.rutgers.edu:8080/data/asl-ftp/asllvd/demos/verify_start_end_handshape_annotations//test_auto_move//signs_mov_separ_signers/Naomi_15353.mov" TargetMode="External"/><Relationship Id="rId8871" Type="http://schemas.openxmlformats.org/officeDocument/2006/relationships/hyperlink" Target="http://csr.bu.edu/ftp/asl/asllvd/demos/verify_start_end_handshape_annotations//test_auto_move//signs_mov_separ_signers/Naomi_16367.mov" TargetMode="External"/><Relationship Id="rId8872" Type="http://schemas.openxmlformats.org/officeDocument/2006/relationships/hyperlink" Target="http://secrets.rutgers.edu:8080/data/asl-ftp/asllvd/demos/verify_start_end_handshape_annotations//test_auto_move//signs_mov_separ_signers/Naomi_16367.mov" TargetMode="External"/><Relationship Id="rId8873" Type="http://schemas.openxmlformats.org/officeDocument/2006/relationships/hyperlink" Target="http://csr.bu.edu/ftp/asl/asllvd/demos/verify_start_end_handshape_annotations//test_auto_move//signs_mov_separ_signers/Brady_15353.mov" TargetMode="External"/><Relationship Id="rId8874" Type="http://schemas.openxmlformats.org/officeDocument/2006/relationships/hyperlink" Target="http://secrets.rutgers.edu:8080/data/asl-ftp/asllvd/demos/verify_start_end_handshape_annotations//test_auto_move//signs_mov_separ_signers/Brady_15353.mov" TargetMode="External"/><Relationship Id="rId8875" Type="http://schemas.openxmlformats.org/officeDocument/2006/relationships/hyperlink" Target="http://csr.bu.edu/ftp/asl/asllvd/demos/verify_start_end_handshape_annotations//test_auto_move//signs_mov_separ_signers/Brady_16367.mov" TargetMode="External"/><Relationship Id="rId8876" Type="http://schemas.openxmlformats.org/officeDocument/2006/relationships/hyperlink" Target="http://secrets.rutgers.edu:8080/data/asl-ftp/asllvd/demos/verify_start_end_handshape_annotations//test_auto_move//signs_mov_separ_signers/Brady_16367.mov" TargetMode="External"/><Relationship Id="rId8877" Type="http://schemas.openxmlformats.org/officeDocument/2006/relationships/hyperlink" Target="http://csr.bu.edu/ftp/asl/asllvd/demos/verify_start_end_handshape_annotations//test_auto_move//signs_mov_separ_signers/Liz_958.mov" TargetMode="External"/><Relationship Id="rId8878" Type="http://schemas.openxmlformats.org/officeDocument/2006/relationships/hyperlink" Target="http://secrets.rutgers.edu:8080/data/asl-ftp/asllvd/demos/verify_start_end_handshape_annotations//test_auto_move//signs_mov_separ_signers/Liz_958.mov" TargetMode="External"/><Relationship Id="rId8879" Type="http://schemas.openxmlformats.org/officeDocument/2006/relationships/hyperlink" Target="http://csr.bu.edu/ftp/asl/asllvd/demos/verify_start_end_handshape_annotations//test_auto_move//signs_mov/958.mov" TargetMode="External"/><Relationship Id="rId8880" Type="http://schemas.openxmlformats.org/officeDocument/2006/relationships/hyperlink" Target="http://csr.bu.edu/ftp/asl/asllvd/demos/verify_start_end_handshape_annotations//test_auto_move//signs_mov_separ_signers/Naomi_958.mov" TargetMode="External"/><Relationship Id="rId8881" Type="http://schemas.openxmlformats.org/officeDocument/2006/relationships/hyperlink" Target="http://secrets.rutgers.edu:8080/data/asl-ftp/asllvd/demos/verify_start_end_handshape_annotations//test_auto_move//signs_mov/958.mov" TargetMode="External"/><Relationship Id="rId8882" Type="http://schemas.openxmlformats.org/officeDocument/2006/relationships/hyperlink" Target="http://secrets.rutgers.edu:8080/data/asl-ftp/asllvd/demos/verify_start_end_handshape_annotations//test_auto_move//signs_mov_separ_signers/Naomi_958.mov" TargetMode="External"/><Relationship Id="rId8883" Type="http://schemas.openxmlformats.org/officeDocument/2006/relationships/hyperlink" Target="http://csr.bu.edu/ftp/asl/asllvd/demos/verify_start_end_handshape_annotations//test_auto_move//signs_mov_separ_signers/Brady_958.mov" TargetMode="External"/><Relationship Id="rId8884" Type="http://schemas.openxmlformats.org/officeDocument/2006/relationships/hyperlink" Target="http://secrets.rutgers.edu:8080/data/asl-ftp/asllvd/demos/verify_start_end_handshape_annotations//test_auto_move//signs_mov_separ_signers/Brady_958.mov" TargetMode="External"/><Relationship Id="rId8885" Type="http://schemas.openxmlformats.org/officeDocument/2006/relationships/hyperlink" Target="http://csr.bu.edu/ftp/asl/asllvd/demos/verify_start_end_handshape_annotations//test_auto_move//signs_mov_separ_signers/Liz_5188.mov" TargetMode="External"/><Relationship Id="rId8886" Type="http://schemas.openxmlformats.org/officeDocument/2006/relationships/hyperlink" Target="http://secrets.rutgers.edu:8080/data/asl-ftp/asllvd/demos/verify_start_end_handshape_annotations//test_auto_move//signs_mov_separ_signers/Liz_5188.mov" TargetMode="External"/><Relationship Id="rId8887" Type="http://schemas.openxmlformats.org/officeDocument/2006/relationships/hyperlink" Target="http://csr.bu.edu/ftp/asl/asllvd/demos/verify_start_end_handshape_annotations//test_auto_move//signs_mov/5188.mov" TargetMode="External"/><Relationship Id="rId8888" Type="http://schemas.openxmlformats.org/officeDocument/2006/relationships/hyperlink" Target="http://csr.bu.edu/ftp/asl/asllvd/demos/verify_start_end_handshape_annotations//test_auto_move//signs_mov_separ_signers/Naomi_5188.mov" TargetMode="External"/><Relationship Id="rId8889" Type="http://schemas.openxmlformats.org/officeDocument/2006/relationships/hyperlink" Target="http://secrets.rutgers.edu:8080/data/asl-ftp/asllvd/demos/verify_start_end_handshape_annotations//test_auto_move//signs_mov/5188.mov" TargetMode="External"/><Relationship Id="rId8890" Type="http://schemas.openxmlformats.org/officeDocument/2006/relationships/hyperlink" Target="http://secrets.rutgers.edu:8080/data/asl-ftp/asllvd/demos/verify_start_end_handshape_annotations//test_auto_move//signs_mov_separ_signers/Naomi_5188.mov" TargetMode="External"/><Relationship Id="rId8891" Type="http://schemas.openxmlformats.org/officeDocument/2006/relationships/hyperlink" Target="http://csr.bu.edu/ftp/asl/asllvd/demos/verify_start_end_handshape_annotations//test_auto_move//signs_mov_separ_signers/Brady_5188.mov" TargetMode="External"/><Relationship Id="rId8892" Type="http://schemas.openxmlformats.org/officeDocument/2006/relationships/hyperlink" Target="http://secrets.rutgers.edu:8080/data/asl-ftp/asllvd/demos/verify_start_end_handshape_annotations//test_auto_move//signs_mov_separ_signers/Brady_5188.mov" TargetMode="External"/><Relationship Id="rId8893" Type="http://schemas.openxmlformats.org/officeDocument/2006/relationships/hyperlink" Target="http://csr.bu.edu/ftp/asl/asllvd/demos/verify_start_end_handshape_annotations//test_auto_move//signs_mov/15507.mov" TargetMode="External"/><Relationship Id="rId8894" Type="http://schemas.openxmlformats.org/officeDocument/2006/relationships/hyperlink" Target="http://csr.bu.edu/ftp/asl/asllvd/demos/verify_start_end_handshape_annotations//test_auto_move//signs_mov_separ_signers/Tyler_15507.mov" TargetMode="External"/><Relationship Id="rId8895" Type="http://schemas.openxmlformats.org/officeDocument/2006/relationships/hyperlink" Target="http://secrets.rutgers.edu:8080/data/asl-ftp/asllvd/demos/verify_start_end_handshape_annotations//test_auto_move//signs_mov/15507.mov" TargetMode="External"/><Relationship Id="rId8896" Type="http://schemas.openxmlformats.org/officeDocument/2006/relationships/hyperlink" Target="http://secrets.rutgers.edu:8080/data/asl-ftp/asllvd/demos/verify_start_end_handshape_annotations//test_auto_move//signs_mov_separ_signers/Tyler_15507.mov" TargetMode="External"/><Relationship Id="rId8897" Type="http://schemas.openxmlformats.org/officeDocument/2006/relationships/hyperlink" Target="http://csr.bu.edu/ftp/asl/asllvd/demos/verify_start_end_handshape_annotations//test_auto_move//signs_mov/15517.mov" TargetMode="External"/><Relationship Id="rId8898" Type="http://schemas.openxmlformats.org/officeDocument/2006/relationships/hyperlink" Target="http://csr.bu.edu/ftp/asl/asllvd/demos/verify_start_end_handshape_annotations//test_auto_move//signs_mov_separ_signers/Tyler_15517.mov" TargetMode="External"/><Relationship Id="rId8899" Type="http://schemas.openxmlformats.org/officeDocument/2006/relationships/hyperlink" Target="http://secrets.rutgers.edu:8080/data/asl-ftp/asllvd/demos/verify_start_end_handshape_annotations//test_auto_move//signs_mov/15517.mov" TargetMode="External"/><Relationship Id="rId8900" Type="http://schemas.openxmlformats.org/officeDocument/2006/relationships/hyperlink" Target="http://secrets.rutgers.edu:8080/data/asl-ftp/asllvd/demos/verify_start_end_handshape_annotations//test_auto_move//signs_mov_separ_signers/Tyler_15517.mov" TargetMode="External"/><Relationship Id="rId8901" Type="http://schemas.openxmlformats.org/officeDocument/2006/relationships/hyperlink" Target="http://csr.bu.edu/ftp/asl/asllvd/demos/verify_start_end_handshape_annotations//test_auto_move//signs_mov_separ_signers/Liz_15518.mov" TargetMode="External"/><Relationship Id="rId8902" Type="http://schemas.openxmlformats.org/officeDocument/2006/relationships/hyperlink" Target="http://secrets.rutgers.edu:8080/data/asl-ftp/asllvd/demos/verify_start_end_handshape_annotations//test_auto_move//signs_mov_separ_signers/Liz_15518.mov" TargetMode="External"/><Relationship Id="rId8903" Type="http://schemas.openxmlformats.org/officeDocument/2006/relationships/hyperlink" Target="http://csr.bu.edu/ftp/asl/asllvd/demos/verify_start_end_handshape_annotations//test_auto_move//signs_mov/15518.mov" TargetMode="External"/><Relationship Id="rId8904" Type="http://schemas.openxmlformats.org/officeDocument/2006/relationships/hyperlink" Target="http://csr.bu.edu/ftp/asl/asllvd/demos/verify_start_end_handshape_annotations//test_auto_move//signs_mov_separ_signers/Tyler_15518.mov" TargetMode="External"/><Relationship Id="rId8905" Type="http://schemas.openxmlformats.org/officeDocument/2006/relationships/hyperlink" Target="http://secrets.rutgers.edu:8080/data/asl-ftp/asllvd/demos/verify_start_end_handshape_annotations//test_auto_move//signs_mov/15518.mov" TargetMode="External"/><Relationship Id="rId8906" Type="http://schemas.openxmlformats.org/officeDocument/2006/relationships/hyperlink" Target="http://secrets.rutgers.edu:8080/data/asl-ftp/asllvd/demos/verify_start_end_handshape_annotations//test_auto_move//signs_mov_separ_signers/Tyler_15518.mov" TargetMode="External"/><Relationship Id="rId8907" Type="http://schemas.openxmlformats.org/officeDocument/2006/relationships/hyperlink" Target="http://csr.bu.edu/ftp/asl/asllvd/demos/verify_start_end_handshape_annotations//test_auto_move//signs_mov_separ_signers/Naomi_15518.mov" TargetMode="External"/><Relationship Id="rId8908" Type="http://schemas.openxmlformats.org/officeDocument/2006/relationships/hyperlink" Target="http://secrets.rutgers.edu:8080/data/asl-ftp/asllvd/demos/verify_start_end_handshape_annotations//test_auto_move//signs_mov_separ_signers/Naomi_15518.mov" TargetMode="External"/><Relationship Id="rId8909" Type="http://schemas.openxmlformats.org/officeDocument/2006/relationships/hyperlink" Target="http://csr.bu.edu/ftp/asl/asllvd/demos/verify_start_end_handshape_annotations//test_auto_move//signs_mov_separ_signers/Brady_15518.mov" TargetMode="External"/><Relationship Id="rId8910" Type="http://schemas.openxmlformats.org/officeDocument/2006/relationships/hyperlink" Target="http://secrets.rutgers.edu:8080/data/asl-ftp/asllvd/demos/verify_start_end_handshape_annotations//test_auto_move//signs_mov_separ_signers/Brady_15518.mov" TargetMode="External"/><Relationship Id="rId8911" Type="http://schemas.openxmlformats.org/officeDocument/2006/relationships/hyperlink" Target="http://csr.bu.edu/ftp/asl/asllvd/demos/verify_start_end_handshape_annotations//test_auto_move//signs_mov_separ_signers/Liz_15697.mov" TargetMode="External"/><Relationship Id="rId8912" Type="http://schemas.openxmlformats.org/officeDocument/2006/relationships/hyperlink" Target="http://secrets.rutgers.edu:8080/data/asl-ftp/asllvd/demos/verify_start_end_handshape_annotations//test_auto_move//signs_mov_separ_signers/Liz_15697.mov" TargetMode="External"/><Relationship Id="rId8913" Type="http://schemas.openxmlformats.org/officeDocument/2006/relationships/hyperlink" Target="http://csr.bu.edu/ftp/asl/asllvd/demos/verify_start_end_handshape_annotations//test_auto_move//signs_mov_separ_signers/Liz_15964.mov" TargetMode="External"/><Relationship Id="rId8914" Type="http://schemas.openxmlformats.org/officeDocument/2006/relationships/hyperlink" Target="http://secrets.rutgers.edu:8080/data/asl-ftp/asllvd/demos/verify_start_end_handshape_annotations//test_auto_move//signs_mov_separ_signers/Liz_15964.mov" TargetMode="External"/><Relationship Id="rId8915" Type="http://schemas.openxmlformats.org/officeDocument/2006/relationships/hyperlink" Target="http://csr.bu.edu/ftp/asl/asllvd/demos/verify_start_end_handshape_annotations//test_auto_move//signs_mov/15697_15964_15980_merged.mov" TargetMode="External"/><Relationship Id="rId8916" Type="http://schemas.openxmlformats.org/officeDocument/2006/relationships/hyperlink" Target="http://csr.bu.edu/ftp/asl/asllvd/demos/verify_start_end_handshape_annotations//test_auto_move//signs_mov_separ_signers/Naomi_15697.mov" TargetMode="External"/><Relationship Id="rId8917" Type="http://schemas.openxmlformats.org/officeDocument/2006/relationships/hyperlink" Target="http://secrets.rutgers.edu:8080/data/asl-ftp/asllvd/demos/verify_start_end_handshape_annotations//test_auto_move//signs_mov/15697_15964_15980_merged.mov" TargetMode="External"/><Relationship Id="rId8918" Type="http://schemas.openxmlformats.org/officeDocument/2006/relationships/hyperlink" Target="http://secrets.rutgers.edu:8080/data/asl-ftp/asllvd/demos/verify_start_end_handshape_annotations//test_auto_move//signs_mov_separ_signers/Naomi_15697.mov" TargetMode="External"/><Relationship Id="rId8919" Type="http://schemas.openxmlformats.org/officeDocument/2006/relationships/hyperlink" Target="http://csr.bu.edu/ftp/asl/asllvd/demos/verify_start_end_handshape_annotations//test_auto_move//signs_mov_separ_signers/Brady_15697.mov" TargetMode="External"/><Relationship Id="rId8920" Type="http://schemas.openxmlformats.org/officeDocument/2006/relationships/hyperlink" Target="http://secrets.rutgers.edu:8080/data/asl-ftp/asllvd/demos/verify_start_end_handshape_annotations//test_auto_move//signs_mov_separ_signers/Brady_15697.mov" TargetMode="External"/><Relationship Id="rId8921" Type="http://schemas.openxmlformats.org/officeDocument/2006/relationships/hyperlink" Target="http://csr.bu.edu/ftp/asl/asllvd/demos/verify_start_end_handshape_annotations//test_auto_move//signs_mov_separ_signers/Brady_15964.mov" TargetMode="External"/><Relationship Id="rId8922" Type="http://schemas.openxmlformats.org/officeDocument/2006/relationships/hyperlink" Target="http://secrets.rutgers.edu:8080/data/asl-ftp/asllvd/demos/verify_start_end_handshape_annotations//test_auto_move//signs_mov_separ_signers/Brady_15964.mov" TargetMode="External"/><Relationship Id="rId8923" Type="http://schemas.openxmlformats.org/officeDocument/2006/relationships/hyperlink" Target="http://csr.bu.edu/ftp/asl/asllvd/demos/verify_start_end_handshape_annotations//test_auto_move//signs_mov_separ_signers/Brady_15980.mov" TargetMode="External"/><Relationship Id="rId8924" Type="http://schemas.openxmlformats.org/officeDocument/2006/relationships/hyperlink" Target="http://secrets.rutgers.edu:8080/data/asl-ftp/asllvd/demos/verify_start_end_handshape_annotations//test_auto_move//signs_mov_separ_signers/Brady_15980.mov" TargetMode="External"/><Relationship Id="rId8925" Type="http://schemas.openxmlformats.org/officeDocument/2006/relationships/hyperlink" Target="http://csr.bu.edu/ftp/asl/asllvd/demos/verify_start_end_handshape_annotations//test_auto_move//signs_mov_separ_signers/Liz_15981.mov" TargetMode="External"/><Relationship Id="rId8926" Type="http://schemas.openxmlformats.org/officeDocument/2006/relationships/hyperlink" Target="http://secrets.rutgers.edu:8080/data/asl-ftp/asllvd/demos/verify_start_end_handshape_annotations//test_auto_move//signs_mov_separ_signers/Liz_15981.mov" TargetMode="External"/><Relationship Id="rId8927" Type="http://schemas.openxmlformats.org/officeDocument/2006/relationships/hyperlink" Target="http://csr.bu.edu/ftp/asl/asllvd/demos/verify_start_end_handshape_annotations//test_auto_move//signs_mov/15981_16009_merged.mov" TargetMode="External"/><Relationship Id="rId8928" Type="http://schemas.openxmlformats.org/officeDocument/2006/relationships/hyperlink" Target="http://csr.bu.edu/ftp/asl/asllvd/demos/verify_start_end_handshape_annotations//test_auto_move//signs_mov_separ_signers/Tyler_15981.mov" TargetMode="External"/><Relationship Id="rId8929" Type="http://schemas.openxmlformats.org/officeDocument/2006/relationships/hyperlink" Target="http://secrets.rutgers.edu:8080/data/asl-ftp/asllvd/demos/verify_start_end_handshape_annotations//test_auto_move//signs_mov/15981_16009_merged.mov" TargetMode="External"/><Relationship Id="rId8930" Type="http://schemas.openxmlformats.org/officeDocument/2006/relationships/hyperlink" Target="http://secrets.rutgers.edu:8080/data/asl-ftp/asllvd/demos/verify_start_end_handshape_annotations//test_auto_move//signs_mov_separ_signers/Tyler_15981.mov" TargetMode="External"/><Relationship Id="rId8931" Type="http://schemas.openxmlformats.org/officeDocument/2006/relationships/hyperlink" Target="http://csr.bu.edu/ftp/asl/asllvd/demos/verify_start_end_handshape_annotations//test_auto_move//signs_mov_separ_signers/Brady_15981.mov" TargetMode="External"/><Relationship Id="rId8932" Type="http://schemas.openxmlformats.org/officeDocument/2006/relationships/hyperlink" Target="http://secrets.rutgers.edu:8080/data/asl-ftp/asllvd/demos/verify_start_end_handshape_annotations//test_auto_move//signs_mov_separ_signers/Brady_15981.mov" TargetMode="External"/><Relationship Id="rId8933" Type="http://schemas.openxmlformats.org/officeDocument/2006/relationships/hyperlink" Target="http://csr.bu.edu/ftp/asl/asllvd/demos/verify_start_end_handshape_annotations//test_auto_move//signs_mov_separ_signers/Brady_16009.mov" TargetMode="External"/><Relationship Id="rId8934" Type="http://schemas.openxmlformats.org/officeDocument/2006/relationships/hyperlink" Target="http://secrets.rutgers.edu:8080/data/asl-ftp/asllvd/demos/verify_start_end_handshape_annotations//test_auto_move//signs_mov_separ_signers/Brady_16009.mov" TargetMode="External"/><Relationship Id="rId8935" Type="http://schemas.openxmlformats.org/officeDocument/2006/relationships/hyperlink" Target="http://csr.bu.edu/ftp/asl/asllvd/demos/verify_start_end_handshape_annotations//test_auto_move//signs_mov/16010.mov" TargetMode="External"/><Relationship Id="rId8936" Type="http://schemas.openxmlformats.org/officeDocument/2006/relationships/hyperlink" Target="http://csr.bu.edu/ftp/asl/asllvd/demos/verify_start_end_handshape_annotations//test_auto_move//signs_mov_separ_signers/Liz_16010.mov" TargetMode="External"/><Relationship Id="rId8937" Type="http://schemas.openxmlformats.org/officeDocument/2006/relationships/hyperlink" Target="http://secrets.rutgers.edu:8080/data/asl-ftp/asllvd/demos/verify_start_end_handshape_annotations//test_auto_move//signs_mov/16010.mov" TargetMode="External"/><Relationship Id="rId8938" Type="http://schemas.openxmlformats.org/officeDocument/2006/relationships/hyperlink" Target="http://secrets.rutgers.edu:8080/data/asl-ftp/asllvd/demos/verify_start_end_handshape_annotations//test_auto_move//signs_mov_separ_signers/Liz_16010.mov" TargetMode="External"/><Relationship Id="rId8939" Type="http://schemas.openxmlformats.org/officeDocument/2006/relationships/hyperlink" Target="http://csr.bu.edu/ftp/asl/asllvd/demos/verify_start_end_handshape_annotations//test_auto_move//signs_mov_separ_signers/Brady_16010.mov" TargetMode="External"/><Relationship Id="rId8940" Type="http://schemas.openxmlformats.org/officeDocument/2006/relationships/hyperlink" Target="http://secrets.rutgers.edu:8080/data/asl-ftp/asllvd/demos/verify_start_end_handshape_annotations//test_auto_move//signs_mov_separ_signers/Brady_16010.mov" TargetMode="External"/><Relationship Id="rId8941" Type="http://schemas.openxmlformats.org/officeDocument/2006/relationships/hyperlink" Target="http://csr.bu.edu/ftp/asl/asllvd/demos/verify_start_end_handshape_annotations//test_auto_move//signs_mov_separ_signers/Liz_16106.mov" TargetMode="External"/><Relationship Id="rId8942" Type="http://schemas.openxmlformats.org/officeDocument/2006/relationships/hyperlink" Target="http://secrets.rutgers.edu:8080/data/asl-ftp/asllvd/demos/verify_start_end_handshape_annotations//test_auto_move//signs_mov_separ_signers/Liz_16106.mov" TargetMode="External"/><Relationship Id="rId8943" Type="http://schemas.openxmlformats.org/officeDocument/2006/relationships/hyperlink" Target="http://csr.bu.edu/ftp/asl/asllvd/demos/verify_start_end_handshape_annotations//test_auto_move//signs_mov/16106.mov" TargetMode="External"/><Relationship Id="rId8944" Type="http://schemas.openxmlformats.org/officeDocument/2006/relationships/hyperlink" Target="http://csr.bu.edu/ftp/asl/asllvd/demos/verify_start_end_handshape_annotations//test_auto_move//signs_mov_separ_signers/Tyler_16106.mov" TargetMode="External"/><Relationship Id="rId8945" Type="http://schemas.openxmlformats.org/officeDocument/2006/relationships/hyperlink" Target="http://secrets.rutgers.edu:8080/data/asl-ftp/asllvd/demos/verify_start_end_handshape_annotations//test_auto_move//signs_mov/16106.mov" TargetMode="External"/><Relationship Id="rId8946" Type="http://schemas.openxmlformats.org/officeDocument/2006/relationships/hyperlink" Target="http://secrets.rutgers.edu:8080/data/asl-ftp/asllvd/demos/verify_start_end_handshape_annotations//test_auto_move//signs_mov_separ_signers/Tyler_16106.mov" TargetMode="External"/><Relationship Id="rId8947" Type="http://schemas.openxmlformats.org/officeDocument/2006/relationships/hyperlink" Target="http://csr.bu.edu/ftp/asl/asllvd/demos/verify_start_end_handshape_annotations//test_auto_move//signs_mov_separ_signers/Naomi_16106.mov" TargetMode="External"/><Relationship Id="rId8948" Type="http://schemas.openxmlformats.org/officeDocument/2006/relationships/hyperlink" Target="http://secrets.rutgers.edu:8080/data/asl-ftp/asllvd/demos/verify_start_end_handshape_annotations//test_auto_move//signs_mov_separ_signers/Naomi_16106.mov" TargetMode="External"/><Relationship Id="rId8949" Type="http://schemas.openxmlformats.org/officeDocument/2006/relationships/hyperlink" Target="http://csr.bu.edu/ftp/asl/asllvd/demos/verify_start_end_handshape_annotations//test_auto_move//signs_mov_separ_signers/Brady_16106.mov" TargetMode="External"/><Relationship Id="rId8950" Type="http://schemas.openxmlformats.org/officeDocument/2006/relationships/hyperlink" Target="http://secrets.rutgers.edu:8080/data/asl-ftp/asllvd/demos/verify_start_end_handshape_annotations//test_auto_move//signs_mov_separ_signers/Brady_16106.mov" TargetMode="External"/><Relationship Id="rId8951" Type="http://schemas.openxmlformats.org/officeDocument/2006/relationships/hyperlink" Target="http://csr.bu.edu/ftp/asl/asllvd/demos/verify_start_end_handshape_annotations//test_auto_move//signs_mov/16151.mov" TargetMode="External"/><Relationship Id="rId8952" Type="http://schemas.openxmlformats.org/officeDocument/2006/relationships/hyperlink" Target="http://csr.bu.edu/ftp/asl/asllvd/demos/verify_start_end_handshape_annotations//test_auto_move//signs_mov_separ_signers/Liz_16151.mov" TargetMode="External"/><Relationship Id="rId8953" Type="http://schemas.openxmlformats.org/officeDocument/2006/relationships/hyperlink" Target="http://secrets.rutgers.edu:8080/data/asl-ftp/asllvd/demos/verify_start_end_handshape_annotations//test_auto_move//signs_mov/16151.mov" TargetMode="External"/><Relationship Id="rId8954" Type="http://schemas.openxmlformats.org/officeDocument/2006/relationships/hyperlink" Target="http://secrets.rutgers.edu:8080/data/asl-ftp/asllvd/demos/verify_start_end_handshape_annotations//test_auto_move//signs_mov_separ_signers/Liz_16151.mov" TargetMode="External"/><Relationship Id="rId8955" Type="http://schemas.openxmlformats.org/officeDocument/2006/relationships/hyperlink" Target="http://csr.bu.edu/ftp/asl/asllvd/demos/verify_start_end_handshape_annotations//test_auto_move//signs_mov/16152.mov" TargetMode="External"/><Relationship Id="rId8956" Type="http://schemas.openxmlformats.org/officeDocument/2006/relationships/hyperlink" Target="http://csr.bu.edu/ftp/asl/asllvd/demos/verify_start_end_handshape_annotations//test_auto_move//signs_mov_separ_signers/Brady_16152.mov" TargetMode="External"/><Relationship Id="rId8957" Type="http://schemas.openxmlformats.org/officeDocument/2006/relationships/hyperlink" Target="http://secrets.rutgers.edu:8080/data/asl-ftp/asllvd/demos/verify_start_end_handshape_annotations//test_auto_move//signs_mov/16152.mov" TargetMode="External"/><Relationship Id="rId8958" Type="http://schemas.openxmlformats.org/officeDocument/2006/relationships/hyperlink" Target="http://secrets.rutgers.edu:8080/data/asl-ftp/asllvd/demos/verify_start_end_handshape_annotations//test_auto_move//signs_mov_separ_signers/Brady_16152.mov" TargetMode="External"/><Relationship Id="rId8959" Type="http://schemas.openxmlformats.org/officeDocument/2006/relationships/hyperlink" Target="http://csr.bu.edu/ftp/asl/asllvd/demos/verify_start_end_handshape_annotations//test_auto_move//signs_mov_separ_signers/Liz_961.mov" TargetMode="External"/><Relationship Id="rId8960" Type="http://schemas.openxmlformats.org/officeDocument/2006/relationships/hyperlink" Target="http://secrets.rutgers.edu:8080/data/asl-ftp/asllvd/demos/verify_start_end_handshape_annotations//test_auto_move//signs_mov_separ_signers/Liz_961.mov" TargetMode="External"/><Relationship Id="rId8961" Type="http://schemas.openxmlformats.org/officeDocument/2006/relationships/hyperlink" Target="http://csr.bu.edu/ftp/asl/asllvd/demos/verify_start_end_handshape_annotations//test_auto_move//signs_mov/961.mov" TargetMode="External"/><Relationship Id="rId8962" Type="http://schemas.openxmlformats.org/officeDocument/2006/relationships/hyperlink" Target="http://csr.bu.edu/ftp/asl/asllvd/demos/verify_start_end_handshape_annotations//test_auto_move//signs_mov_separ_signers/Tyler_961.mov" TargetMode="External"/><Relationship Id="rId8963" Type="http://schemas.openxmlformats.org/officeDocument/2006/relationships/hyperlink" Target="http://secrets.rutgers.edu:8080/data/asl-ftp/asllvd/demos/verify_start_end_handshape_annotations//test_auto_move//signs_mov/961.mov" TargetMode="External"/><Relationship Id="rId8964" Type="http://schemas.openxmlformats.org/officeDocument/2006/relationships/hyperlink" Target="http://secrets.rutgers.edu:8080/data/asl-ftp/asllvd/demos/verify_start_end_handshape_annotations//test_auto_move//signs_mov_separ_signers/Tyler_961.mov" TargetMode="External"/><Relationship Id="rId8965" Type="http://schemas.openxmlformats.org/officeDocument/2006/relationships/hyperlink" Target="http://csr.bu.edu/ftp/asl/asllvd/demos/verify_start_end_handshape_annotations//test_auto_move//signs_mov_separ_signers/Naomi_961.mov" TargetMode="External"/><Relationship Id="rId8966" Type="http://schemas.openxmlformats.org/officeDocument/2006/relationships/hyperlink" Target="http://secrets.rutgers.edu:8080/data/asl-ftp/asllvd/demos/verify_start_end_handshape_annotations//test_auto_move//signs_mov_separ_signers/Naomi_961.mov" TargetMode="External"/><Relationship Id="rId8967" Type="http://schemas.openxmlformats.org/officeDocument/2006/relationships/hyperlink" Target="http://csr.bu.edu/ftp/asl/asllvd/demos/verify_start_end_handshape_annotations//test_auto_move//signs_mov_separ_signers/Lana_961.mov" TargetMode="External"/><Relationship Id="rId8968" Type="http://schemas.openxmlformats.org/officeDocument/2006/relationships/hyperlink" Target="http://secrets.rutgers.edu:8080/data/asl-ftp/asllvd/demos/verify_start_end_handshape_annotations//test_auto_move//signs_mov_separ_signers/Lana_961.mov" TargetMode="External"/><Relationship Id="rId8969" Type="http://schemas.openxmlformats.org/officeDocument/2006/relationships/hyperlink" Target="http://csr.bu.edu/ftp/asl/asllvd/demos/verify_start_end_handshape_annotations//test_auto_move//signs_mov_separ_signers/Liz_16362.mov" TargetMode="External"/><Relationship Id="rId8970" Type="http://schemas.openxmlformats.org/officeDocument/2006/relationships/hyperlink" Target="http://secrets.rutgers.edu:8080/data/asl-ftp/asllvd/demos/verify_start_end_handshape_annotations//test_auto_move//signs_mov_separ_signers/Liz_16362.mov" TargetMode="External"/><Relationship Id="rId8971" Type="http://schemas.openxmlformats.org/officeDocument/2006/relationships/hyperlink" Target="http://csr.bu.edu/ftp/asl/asllvd/demos/verify_start_end_handshape_annotations//test_auto_move//signs_mov/16362_16371_merged.mov" TargetMode="External"/><Relationship Id="rId8972" Type="http://schemas.openxmlformats.org/officeDocument/2006/relationships/hyperlink" Target="http://csr.bu.edu/ftp/asl/asllvd/demos/verify_start_end_handshape_annotations//test_auto_move//signs_mov_separ_signers/Brady_16362.mov" TargetMode="External"/><Relationship Id="rId8973" Type="http://schemas.openxmlformats.org/officeDocument/2006/relationships/hyperlink" Target="http://secrets.rutgers.edu:8080/data/asl-ftp/asllvd/demos/verify_start_end_handshape_annotations//test_auto_move//signs_mov/16362_16371_merged.mov" TargetMode="External"/><Relationship Id="rId8974" Type="http://schemas.openxmlformats.org/officeDocument/2006/relationships/hyperlink" Target="http://secrets.rutgers.edu:8080/data/asl-ftp/asllvd/demos/verify_start_end_handshape_annotations//test_auto_move//signs_mov_separ_signers/Brady_16362.mov" TargetMode="External"/><Relationship Id="rId8975" Type="http://schemas.openxmlformats.org/officeDocument/2006/relationships/hyperlink" Target="http://csr.bu.edu/ftp/asl/asllvd/demos/verify_start_end_handshape_annotations//test_auto_move//signs_mov_separ_signers/Brady_16371.mov" TargetMode="External"/><Relationship Id="rId8976" Type="http://schemas.openxmlformats.org/officeDocument/2006/relationships/hyperlink" Target="http://secrets.rutgers.edu:8080/data/asl-ftp/asllvd/demos/verify_start_end_handshape_annotations//test_auto_move//signs_mov_separ_signers/Brady_16371.mov" TargetMode="External"/><Relationship Id="rId8977" Type="http://schemas.openxmlformats.org/officeDocument/2006/relationships/hyperlink" Target="http://csr.bu.edu/ftp/asl/asllvd/demos/verify_start_end_handshape_annotations//test_auto_move//signs_mov_separ_signers/Liz_962.mov" TargetMode="External"/><Relationship Id="rId8978" Type="http://schemas.openxmlformats.org/officeDocument/2006/relationships/hyperlink" Target="http://secrets.rutgers.edu:8080/data/asl-ftp/asllvd/demos/verify_start_end_handshape_annotations//test_auto_move//signs_mov_separ_signers/Liz_962.mov" TargetMode="External"/><Relationship Id="rId8979" Type="http://schemas.openxmlformats.org/officeDocument/2006/relationships/hyperlink" Target="http://csr.bu.edu/ftp/asl/asllvd/demos/verify_start_end_handshape_annotations//test_auto_move//signs_mov_separ_signers/Liz_3418.mov" TargetMode="External"/><Relationship Id="rId8980" Type="http://schemas.openxmlformats.org/officeDocument/2006/relationships/hyperlink" Target="http://secrets.rutgers.edu:8080/data/asl-ftp/asllvd/demos/verify_start_end_handshape_annotations//test_auto_move//signs_mov_separ_signers/Liz_3418.mov" TargetMode="External"/><Relationship Id="rId8981" Type="http://schemas.openxmlformats.org/officeDocument/2006/relationships/hyperlink" Target="http://csr.bu.edu/ftp/asl/asllvd/demos/verify_start_end_handshape_annotations//test_auto_move//signs_mov_separ_signers/Liz_3906.mov" TargetMode="External"/><Relationship Id="rId8982" Type="http://schemas.openxmlformats.org/officeDocument/2006/relationships/hyperlink" Target="http://secrets.rutgers.edu:8080/data/asl-ftp/asllvd/demos/verify_start_end_handshape_annotations//test_auto_move//signs_mov_separ_signers/Liz_3906.mov" TargetMode="External"/><Relationship Id="rId8983" Type="http://schemas.openxmlformats.org/officeDocument/2006/relationships/hyperlink" Target="http://csr.bu.edu/ftp/asl/asllvd/demos/verify_start_end_handshape_annotations//test_auto_move//signs_mov/962_3418_3906_merged.mov" TargetMode="External"/><Relationship Id="rId8984" Type="http://schemas.openxmlformats.org/officeDocument/2006/relationships/hyperlink" Target="http://csr.bu.edu/ftp/asl/asllvd/demos/verify_start_end_handshape_annotations//test_auto_move//signs_mov_separ_signers/Tyler_962.mov" TargetMode="External"/><Relationship Id="rId8985" Type="http://schemas.openxmlformats.org/officeDocument/2006/relationships/hyperlink" Target="http://secrets.rutgers.edu:8080/data/asl-ftp/asllvd/demos/verify_start_end_handshape_annotations//test_auto_move//signs_mov/962_3418_3906_merged.mov" TargetMode="External"/><Relationship Id="rId8986" Type="http://schemas.openxmlformats.org/officeDocument/2006/relationships/hyperlink" Target="http://secrets.rutgers.edu:8080/data/asl-ftp/asllvd/demos/verify_start_end_handshape_annotations//test_auto_move//signs_mov_separ_signers/Tyler_962.mov" TargetMode="External"/><Relationship Id="rId8987" Type="http://schemas.openxmlformats.org/officeDocument/2006/relationships/hyperlink" Target="http://csr.bu.edu/ftp/asl/asllvd/demos/verify_start_end_handshape_annotations//test_auto_move//signs_mov_separ_signers/Naomi_962.mov" TargetMode="External"/><Relationship Id="rId8988" Type="http://schemas.openxmlformats.org/officeDocument/2006/relationships/hyperlink" Target="http://secrets.rutgers.edu:8080/data/asl-ftp/asllvd/demos/verify_start_end_handshape_annotations//test_auto_move//signs_mov_separ_signers/Naomi_962.mov" TargetMode="External"/><Relationship Id="rId8989" Type="http://schemas.openxmlformats.org/officeDocument/2006/relationships/hyperlink" Target="http://csr.bu.edu/ftp/asl/asllvd/demos/verify_start_end_handshape_annotations//test_auto_move//signs_mov_separ_signers/Brady_962.mov" TargetMode="External"/><Relationship Id="rId8990" Type="http://schemas.openxmlformats.org/officeDocument/2006/relationships/hyperlink" Target="http://secrets.rutgers.edu:8080/data/asl-ftp/asllvd/demos/verify_start_end_handshape_annotations//test_auto_move//signs_mov_separ_signers/Brady_962.mov" TargetMode="External"/><Relationship Id="rId8991" Type="http://schemas.openxmlformats.org/officeDocument/2006/relationships/hyperlink" Target="http://csr.bu.edu/ftp/asl/asllvd/demos/verify_start_end_handshape_annotations//test_auto_move//signs_mov_separ_signers/Brady_3418.mov" TargetMode="External"/><Relationship Id="rId8992" Type="http://schemas.openxmlformats.org/officeDocument/2006/relationships/hyperlink" Target="http://secrets.rutgers.edu:8080/data/asl-ftp/asllvd/demos/verify_start_end_handshape_annotations//test_auto_move//signs_mov_separ_signers/Brady_3418.mov" TargetMode="External"/><Relationship Id="rId8993" Type="http://schemas.openxmlformats.org/officeDocument/2006/relationships/hyperlink" Target="http://csr.bu.edu/ftp/asl/asllvd/demos/verify_start_end_handshape_annotations//test_auto_move//signs_mov_separ_signers/Liz_963.mov" TargetMode="External"/><Relationship Id="rId8994" Type="http://schemas.openxmlformats.org/officeDocument/2006/relationships/hyperlink" Target="http://secrets.rutgers.edu:8080/data/asl-ftp/asllvd/demos/verify_start_end_handshape_annotations//test_auto_move//signs_mov_separ_signers/Liz_963.mov" TargetMode="External"/><Relationship Id="rId8995" Type="http://schemas.openxmlformats.org/officeDocument/2006/relationships/hyperlink" Target="http://csr.bu.edu/ftp/asl/asllvd/demos/verify_start_end_handshape_annotations//test_auto_move//signs_mov/963.mov" TargetMode="External"/><Relationship Id="rId8996" Type="http://schemas.openxmlformats.org/officeDocument/2006/relationships/hyperlink" Target="http://csr.bu.edu/ftp/asl/asllvd/demos/verify_start_end_handshape_annotations//test_auto_move//signs_mov_separ_signers/Tyler_963.mov" TargetMode="External"/><Relationship Id="rId8997" Type="http://schemas.openxmlformats.org/officeDocument/2006/relationships/hyperlink" Target="http://secrets.rutgers.edu:8080/data/asl-ftp/asllvd/demos/verify_start_end_handshape_annotations//test_auto_move//signs_mov/963.mov" TargetMode="External"/><Relationship Id="rId8998" Type="http://schemas.openxmlformats.org/officeDocument/2006/relationships/hyperlink" Target="http://secrets.rutgers.edu:8080/data/asl-ftp/asllvd/demos/verify_start_end_handshape_annotations//test_auto_move//signs_mov_separ_signers/Tyler_963.mov" TargetMode="External"/><Relationship Id="rId8999" Type="http://schemas.openxmlformats.org/officeDocument/2006/relationships/hyperlink" Target="http://csr.bu.edu/ftp/asl/asllvd/demos/verify_start_end_handshape_annotations//test_auto_move//signs_mov_separ_signers/Naomi_963.mov" TargetMode="External"/><Relationship Id="rId9000" Type="http://schemas.openxmlformats.org/officeDocument/2006/relationships/hyperlink" Target="http://secrets.rutgers.edu:8080/data/asl-ftp/asllvd/demos/verify_start_end_handshape_annotations//test_auto_move//signs_mov_separ_signers/Naomi_963.mov" TargetMode="External"/><Relationship Id="rId9001" Type="http://schemas.openxmlformats.org/officeDocument/2006/relationships/hyperlink" Target="http://csr.bu.edu/ftp/asl/asllvd/demos/verify_start_end_handshape_annotations//test_auto_move//signs_mov/3878.mov" TargetMode="External"/><Relationship Id="rId9002" Type="http://schemas.openxmlformats.org/officeDocument/2006/relationships/hyperlink" Target="http://csr.bu.edu/ftp/asl/asllvd/demos/verify_start_end_handshape_annotations//test_auto_move//signs_mov_separ_signers/Brady_3878.mov" TargetMode="External"/><Relationship Id="rId9003" Type="http://schemas.openxmlformats.org/officeDocument/2006/relationships/hyperlink" Target="http://secrets.rutgers.edu:8080/data/asl-ftp/asllvd/demos/verify_start_end_handshape_annotations//test_auto_move//signs_mov/3878.mov" TargetMode="External"/><Relationship Id="rId9004" Type="http://schemas.openxmlformats.org/officeDocument/2006/relationships/hyperlink" Target="http://secrets.rutgers.edu:8080/data/asl-ftp/asllvd/demos/verify_start_end_handshape_annotations//test_auto_move//signs_mov_separ_signers/Brady_3878.mov" TargetMode="External"/><Relationship Id="rId9005" Type="http://schemas.openxmlformats.org/officeDocument/2006/relationships/hyperlink" Target="http://csr.bu.edu/ftp/asl/asllvd/demos/verify_start_end_handshape_annotations//test_auto_move//signs_mov/5307.mov" TargetMode="External"/><Relationship Id="rId9006" Type="http://schemas.openxmlformats.org/officeDocument/2006/relationships/hyperlink" Target="http://csr.bu.edu/ftp/asl/asllvd/demos/verify_start_end_handshape_annotations//test_auto_move//signs_mov_separ_signers/Liz_5307.mov" TargetMode="External"/><Relationship Id="rId9007" Type="http://schemas.openxmlformats.org/officeDocument/2006/relationships/hyperlink" Target="http://secrets.rutgers.edu:8080/data/asl-ftp/asllvd/demos/verify_start_end_handshape_annotations//test_auto_move//signs_mov/5307.mov" TargetMode="External"/><Relationship Id="rId9008" Type="http://schemas.openxmlformats.org/officeDocument/2006/relationships/hyperlink" Target="http://secrets.rutgers.edu:8080/data/asl-ftp/asllvd/demos/verify_start_end_handshape_annotations//test_auto_move//signs_mov_separ_signers/Liz_5307.mov" TargetMode="External"/><Relationship Id="rId9009" Type="http://schemas.openxmlformats.org/officeDocument/2006/relationships/hyperlink" Target="http://csr.bu.edu/ftp/asl/asllvd/demos/verify_start_end_handshape_annotations//test_auto_move//signs_mov_separ_signers/Brady_5307.mov" TargetMode="External"/><Relationship Id="rId9010" Type="http://schemas.openxmlformats.org/officeDocument/2006/relationships/hyperlink" Target="http://secrets.rutgers.edu:8080/data/asl-ftp/asllvd/demos/verify_start_end_handshape_annotations//test_auto_move//signs_mov_separ_signers/Brady_5307.mov" TargetMode="External"/><Relationship Id="rId9011" Type="http://schemas.openxmlformats.org/officeDocument/2006/relationships/hyperlink" Target="http://csr.bu.edu/ftp/asl/asllvd/demos/verify_start_end_handshape_annotations//test_auto_move//signs_mov/4764.mov" TargetMode="External"/><Relationship Id="rId9012" Type="http://schemas.openxmlformats.org/officeDocument/2006/relationships/hyperlink" Target="http://csr.bu.edu/ftp/asl/asllvd/demos/verify_start_end_handshape_annotations//test_auto_move//signs_mov_separ_signers/Brady_4764.mov" TargetMode="External"/><Relationship Id="rId9013" Type="http://schemas.openxmlformats.org/officeDocument/2006/relationships/hyperlink" Target="http://secrets.rutgers.edu:8080/data/asl-ftp/asllvd/demos/verify_start_end_handshape_annotations//test_auto_move//signs_mov/4764.mov" TargetMode="External"/><Relationship Id="rId9014" Type="http://schemas.openxmlformats.org/officeDocument/2006/relationships/hyperlink" Target="http://secrets.rutgers.edu:8080/data/asl-ftp/asllvd/demos/verify_start_end_handshape_annotations//test_auto_move//signs_mov_separ_signers/Brady_4764.mov" TargetMode="External"/><Relationship Id="rId9015" Type="http://schemas.openxmlformats.org/officeDocument/2006/relationships/hyperlink" Target="http://csr.bu.edu/ftp/asl/asllvd/demos/verify_start_end_handshape_annotations//test_auto_move//signs_mov_separ_signers/Liz_964.mov" TargetMode="External"/><Relationship Id="rId9016" Type="http://schemas.openxmlformats.org/officeDocument/2006/relationships/hyperlink" Target="http://secrets.rutgers.edu:8080/data/asl-ftp/asllvd/demos/verify_start_end_handshape_annotations//test_auto_move//signs_mov_separ_signers/Liz_964.mov" TargetMode="External"/><Relationship Id="rId9017" Type="http://schemas.openxmlformats.org/officeDocument/2006/relationships/hyperlink" Target="http://csr.bu.edu/ftp/asl/asllvd/demos/verify_start_end_handshape_annotations//test_auto_move//signs_mov/964.mov" TargetMode="External"/><Relationship Id="rId9018" Type="http://schemas.openxmlformats.org/officeDocument/2006/relationships/hyperlink" Target="http://csr.bu.edu/ftp/asl/asllvd/demos/verify_start_end_handshape_annotations//test_auto_move//signs_mov_separ_signers/Naomi_964.mov" TargetMode="External"/><Relationship Id="rId9019" Type="http://schemas.openxmlformats.org/officeDocument/2006/relationships/hyperlink" Target="http://secrets.rutgers.edu:8080/data/asl-ftp/asllvd/demos/verify_start_end_handshape_annotations//test_auto_move//signs_mov/964.mov" TargetMode="External"/><Relationship Id="rId9020" Type="http://schemas.openxmlformats.org/officeDocument/2006/relationships/hyperlink" Target="http://secrets.rutgers.edu:8080/data/asl-ftp/asllvd/demos/verify_start_end_handshape_annotations//test_auto_move//signs_mov_separ_signers/Naomi_964.mov" TargetMode="External"/><Relationship Id="rId9021" Type="http://schemas.openxmlformats.org/officeDocument/2006/relationships/hyperlink" Target="http://csr.bu.edu/ftp/asl/asllvd/demos/verify_start_end_handshape_annotations//test_auto_move//signs_mov_separ_signers/Brady_964.mov" TargetMode="External"/><Relationship Id="rId9022" Type="http://schemas.openxmlformats.org/officeDocument/2006/relationships/hyperlink" Target="http://secrets.rutgers.edu:8080/data/asl-ftp/asllvd/demos/verify_start_end_handshape_annotations//test_auto_move//signs_mov_separ_signers/Brady_964.mov" TargetMode="External"/><Relationship Id="rId9023" Type="http://schemas.openxmlformats.org/officeDocument/2006/relationships/hyperlink" Target="http://csr.bu.edu/ftp/asl/asllvd/demos/verify_start_end_handshape_annotations//test_auto_move//signs_mov/5189.mov" TargetMode="External"/><Relationship Id="rId9024" Type="http://schemas.openxmlformats.org/officeDocument/2006/relationships/hyperlink" Target="http://csr.bu.edu/ftp/asl/asllvd/demos/verify_start_end_handshape_annotations//test_auto_move//signs_mov_separ_signers/Tyler_5189.mov" TargetMode="External"/><Relationship Id="rId9025" Type="http://schemas.openxmlformats.org/officeDocument/2006/relationships/hyperlink" Target="http://secrets.rutgers.edu:8080/data/asl-ftp/asllvd/demos/verify_start_end_handshape_annotations//test_auto_move//signs_mov/5189.mov" TargetMode="External"/><Relationship Id="rId9026" Type="http://schemas.openxmlformats.org/officeDocument/2006/relationships/hyperlink" Target="http://secrets.rutgers.edu:8080/data/asl-ftp/asllvd/demos/verify_start_end_handshape_annotations//test_auto_move//signs_mov_separ_signers/Tyler_5189.mov" TargetMode="External"/><Relationship Id="rId9027" Type="http://schemas.openxmlformats.org/officeDocument/2006/relationships/hyperlink" Target="http://csr.bu.edu/ftp/asl/asllvd/demos/verify_start_end_handshape_annotations//test_auto_move//signs_mov_separ_signers/Liz_968.mov" TargetMode="External"/><Relationship Id="rId9028" Type="http://schemas.openxmlformats.org/officeDocument/2006/relationships/hyperlink" Target="http://secrets.rutgers.edu:8080/data/asl-ftp/asllvd/demos/verify_start_end_handshape_annotations//test_auto_move//signs_mov_separ_signers/Liz_968.mov" TargetMode="External"/><Relationship Id="rId9029" Type="http://schemas.openxmlformats.org/officeDocument/2006/relationships/hyperlink" Target="http://csr.bu.edu/ftp/asl/asllvd/demos/verify_start_end_handshape_annotations//test_auto_move//signs_mov_separ_signers/Tyler_968.mov" TargetMode="External"/><Relationship Id="rId9030" Type="http://schemas.openxmlformats.org/officeDocument/2006/relationships/hyperlink" Target="http://secrets.rutgers.edu:8080/data/asl-ftp/asllvd/demos/verify_start_end_handshape_annotations//test_auto_move//signs_mov_separ_signers/Tyler_968.mov" TargetMode="External"/><Relationship Id="rId9031" Type="http://schemas.openxmlformats.org/officeDocument/2006/relationships/hyperlink" Target="http://csr.bu.edu/ftp/asl/asllvd/demos/verify_start_end_handshape_annotations//test_auto_move//signs_mov/968.mov" TargetMode="External"/><Relationship Id="rId9032" Type="http://schemas.openxmlformats.org/officeDocument/2006/relationships/hyperlink" Target="http://csr.bu.edu/ftp/asl/asllvd/demos/verify_start_end_handshape_annotations//test_auto_move//signs_mov_separ_signers/Naomi_968.mov" TargetMode="External"/><Relationship Id="rId9033" Type="http://schemas.openxmlformats.org/officeDocument/2006/relationships/hyperlink" Target="http://secrets.rutgers.edu:8080/data/asl-ftp/asllvd/demos/verify_start_end_handshape_annotations//test_auto_move//signs_mov/968.mov" TargetMode="External"/><Relationship Id="rId9034" Type="http://schemas.openxmlformats.org/officeDocument/2006/relationships/hyperlink" Target="http://secrets.rutgers.edu:8080/data/asl-ftp/asllvd/demos/verify_start_end_handshape_annotations//test_auto_move//signs_mov_separ_signers/Naomi_968.mov" TargetMode="External"/><Relationship Id="rId9035" Type="http://schemas.openxmlformats.org/officeDocument/2006/relationships/hyperlink" Target="http://csr.bu.edu/ftp/asl/asllvd/demos/verify_start_end_handshape_annotations//test_auto_move//signs_mov_separ_signers/Brady_968.mov" TargetMode="External"/><Relationship Id="rId9036" Type="http://schemas.openxmlformats.org/officeDocument/2006/relationships/hyperlink" Target="http://secrets.rutgers.edu:8080/data/asl-ftp/asllvd/demos/verify_start_end_handshape_annotations//test_auto_move//signs_mov_separ_signers/Brady_968.mov" TargetMode="External"/><Relationship Id="rId9037" Type="http://schemas.openxmlformats.org/officeDocument/2006/relationships/hyperlink" Target="http://csr.bu.edu/ftp/asl/asllvd/demos/verify_start_end_handshape_annotations//test_auto_move//signs_mov_separ_signers/Lana_968.mov" TargetMode="External"/><Relationship Id="rId9038" Type="http://schemas.openxmlformats.org/officeDocument/2006/relationships/hyperlink" Target="http://secrets.rutgers.edu:8080/data/asl-ftp/asllvd/demos/verify_start_end_handshape_annotations//test_auto_move//signs_mov_separ_signers/Lana_968.mov" TargetMode="External"/><Relationship Id="rId9039" Type="http://schemas.openxmlformats.org/officeDocument/2006/relationships/hyperlink" Target="http://csr.bu.edu/ftp/asl/asllvd/demos/verify_start_end_handshape_annotations//test_auto_move//signs_mov_separ_signers/Dana_968.mov" TargetMode="External"/><Relationship Id="rId9040" Type="http://schemas.openxmlformats.org/officeDocument/2006/relationships/hyperlink" Target="http://secrets.rutgers.edu:8080/data/asl-ftp/asllvd/demos/verify_start_end_handshape_annotations//test_auto_move//signs_mov_separ_signers/Dana_968.mov" TargetMode="External"/><Relationship Id="rId9041" Type="http://schemas.openxmlformats.org/officeDocument/2006/relationships/hyperlink" Target="http://csr.bu.edu/ftp/asl/asllvd/demos/verify_start_end_handshape_annotations//test_auto_move//signs_mov_separ_signers/Liz_15805.mov" TargetMode="External"/><Relationship Id="rId9042" Type="http://schemas.openxmlformats.org/officeDocument/2006/relationships/hyperlink" Target="http://secrets.rutgers.edu:8080/data/asl-ftp/asllvd/demos/verify_start_end_handshape_annotations//test_auto_move//signs_mov_separ_signers/Liz_15805.mov" TargetMode="External"/><Relationship Id="rId9043" Type="http://schemas.openxmlformats.org/officeDocument/2006/relationships/hyperlink" Target="http://csr.bu.edu/ftp/asl/asllvd/demos/verify_start_end_handshape_annotations//test_auto_move//signs_mov/15805.mov" TargetMode="External"/><Relationship Id="rId9044" Type="http://schemas.openxmlformats.org/officeDocument/2006/relationships/hyperlink" Target="http://csr.bu.edu/ftp/asl/asllvd/demos/verify_start_end_handshape_annotations//test_auto_move//signs_mov_separ_signers/Naomi_15805.mov" TargetMode="External"/><Relationship Id="rId9045" Type="http://schemas.openxmlformats.org/officeDocument/2006/relationships/hyperlink" Target="http://secrets.rutgers.edu:8080/data/asl-ftp/asllvd/demos/verify_start_end_handshape_annotations//test_auto_move//signs_mov/15805.mov" TargetMode="External"/><Relationship Id="rId9046" Type="http://schemas.openxmlformats.org/officeDocument/2006/relationships/hyperlink" Target="http://secrets.rutgers.edu:8080/data/asl-ftp/asllvd/demos/verify_start_end_handshape_annotations//test_auto_move//signs_mov_separ_signers/Naomi_15805.mov" TargetMode="External"/><Relationship Id="rId9047" Type="http://schemas.openxmlformats.org/officeDocument/2006/relationships/hyperlink" Target="http://csr.bu.edu/ftp/asl/asllvd/demos/verify_start_end_handshape_annotations//test_auto_move//signs_mov_separ_signers/Brady_15805.mov" TargetMode="External"/><Relationship Id="rId9048" Type="http://schemas.openxmlformats.org/officeDocument/2006/relationships/hyperlink" Target="http://secrets.rutgers.edu:8080/data/asl-ftp/asllvd/demos/verify_start_end_handshape_annotations//test_auto_move//signs_mov_separ_signers/Brady_15805.mov" TargetMode="External"/><Relationship Id="rId9049" Type="http://schemas.openxmlformats.org/officeDocument/2006/relationships/hyperlink" Target="http://csr.bu.edu/ftp/asl/asllvd/demos/verify_start_end_handshape_annotations//test_auto_move//signs_mov_separ_signers/Liz_971.mov" TargetMode="External"/><Relationship Id="rId9050" Type="http://schemas.openxmlformats.org/officeDocument/2006/relationships/hyperlink" Target="http://secrets.rutgers.edu:8080/data/asl-ftp/asllvd/demos/verify_start_end_handshape_annotations//test_auto_move//signs_mov_separ_signers/Liz_971.mov" TargetMode="External"/><Relationship Id="rId9051" Type="http://schemas.openxmlformats.org/officeDocument/2006/relationships/hyperlink" Target="http://csr.bu.edu/ftp/asl/asllvd/demos/verify_start_end_handshape_annotations//test_auto_move//signs_mov/971_3639_merged.mov" TargetMode="External"/><Relationship Id="rId9052" Type="http://schemas.openxmlformats.org/officeDocument/2006/relationships/hyperlink" Target="http://csr.bu.edu/ftp/asl/asllvd/demos/verify_start_end_handshape_annotations//test_auto_move//signs_mov_separ_signers/Naomi_971.mov" TargetMode="External"/><Relationship Id="rId9053" Type="http://schemas.openxmlformats.org/officeDocument/2006/relationships/hyperlink" Target="http://secrets.rutgers.edu:8080/data/asl-ftp/asllvd/demos/verify_start_end_handshape_annotations//test_auto_move//signs_mov/971_3639_merged.mov" TargetMode="External"/><Relationship Id="rId9054" Type="http://schemas.openxmlformats.org/officeDocument/2006/relationships/hyperlink" Target="http://secrets.rutgers.edu:8080/data/asl-ftp/asllvd/demos/verify_start_end_handshape_annotations//test_auto_move//signs_mov_separ_signers/Naomi_971.mov" TargetMode="External"/><Relationship Id="rId9055" Type="http://schemas.openxmlformats.org/officeDocument/2006/relationships/hyperlink" Target="http://csr.bu.edu/ftp/asl/asllvd/demos/verify_start_end_handshape_annotations//test_auto_move//signs_mov_separ_signers/Brady_971.mov" TargetMode="External"/><Relationship Id="rId9056" Type="http://schemas.openxmlformats.org/officeDocument/2006/relationships/hyperlink" Target="http://secrets.rutgers.edu:8080/data/asl-ftp/asllvd/demos/verify_start_end_handshape_annotations//test_auto_move//signs_mov_separ_signers/Brady_971.mov" TargetMode="External"/><Relationship Id="rId9057" Type="http://schemas.openxmlformats.org/officeDocument/2006/relationships/hyperlink" Target="http://csr.bu.edu/ftp/asl/asllvd/demos/verify_start_end_handshape_annotations//test_auto_move//signs_mov_separ_signers/Brady_3639.mov" TargetMode="External"/><Relationship Id="rId9058" Type="http://schemas.openxmlformats.org/officeDocument/2006/relationships/hyperlink" Target="http://secrets.rutgers.edu:8080/data/asl-ftp/asllvd/demos/verify_start_end_handshape_annotations//test_auto_move//signs_mov_separ_signers/Brady_3639.mov" TargetMode="External"/><Relationship Id="rId9059" Type="http://schemas.openxmlformats.org/officeDocument/2006/relationships/hyperlink" Target="http://csr.bu.edu/ftp/asl/asllvd/demos/verify_start_end_handshape_annotations//test_auto_move//signs_mov/5539.mov" TargetMode="External"/><Relationship Id="rId9060" Type="http://schemas.openxmlformats.org/officeDocument/2006/relationships/hyperlink" Target="http://csr.bu.edu/ftp/asl/asllvd/demos/verify_start_end_handshape_annotations//test_auto_move//signs_mov_separ_signers/Liz_5539.mov" TargetMode="External"/><Relationship Id="rId9061" Type="http://schemas.openxmlformats.org/officeDocument/2006/relationships/hyperlink" Target="http://secrets.rutgers.edu:8080/data/asl-ftp/asllvd/demos/verify_start_end_handshape_annotations//test_auto_move//signs_mov/5539.mov" TargetMode="External"/><Relationship Id="rId9062" Type="http://schemas.openxmlformats.org/officeDocument/2006/relationships/hyperlink" Target="http://secrets.rutgers.edu:8080/data/asl-ftp/asllvd/demos/verify_start_end_handshape_annotations//test_auto_move//signs_mov_separ_signers/Liz_5539.mov" TargetMode="External"/><Relationship Id="rId9063" Type="http://schemas.openxmlformats.org/officeDocument/2006/relationships/hyperlink" Target="http://csr.bu.edu/ftp/asl/asllvd/demos/verify_start_end_handshape_annotations//test_auto_move//signs_mov_separ_signers/Naomi_5539.mov" TargetMode="External"/><Relationship Id="rId9064" Type="http://schemas.openxmlformats.org/officeDocument/2006/relationships/hyperlink" Target="http://secrets.rutgers.edu:8080/data/asl-ftp/asllvd/demos/verify_start_end_handshape_annotations//test_auto_move//signs_mov_separ_signers/Naomi_5539.mov" TargetMode="External"/><Relationship Id="rId9065" Type="http://schemas.openxmlformats.org/officeDocument/2006/relationships/hyperlink" Target="http://csr.bu.edu/ftp/asl/asllvd/demos/verify_start_end_handshape_annotations//test_auto_move//signs_mov/16107.mov" TargetMode="External"/><Relationship Id="rId9066" Type="http://schemas.openxmlformats.org/officeDocument/2006/relationships/hyperlink" Target="http://csr.bu.edu/ftp/asl/asllvd/demos/verify_start_end_handshape_annotations//test_auto_move//signs_mov_separ_signers/Tyler_16107.mov" TargetMode="External"/><Relationship Id="rId9067" Type="http://schemas.openxmlformats.org/officeDocument/2006/relationships/hyperlink" Target="http://secrets.rutgers.edu:8080/data/asl-ftp/asllvd/demos/verify_start_end_handshape_annotations//test_auto_move//signs_mov/16107.mov" TargetMode="External"/><Relationship Id="rId9068" Type="http://schemas.openxmlformats.org/officeDocument/2006/relationships/hyperlink" Target="http://secrets.rutgers.edu:8080/data/asl-ftp/asllvd/demos/verify_start_end_handshape_annotations//test_auto_move//signs_mov_separ_signers/Tyler_16107.mov" TargetMode="External"/><Relationship Id="rId9069" Type="http://schemas.openxmlformats.org/officeDocument/2006/relationships/hyperlink" Target="http://csr.bu.edu/ftp/asl/asllvd/demos/verify_start_end_handshape_annotations//test_auto_move//signs_mov_separ_signers/Brady_16107.mov" TargetMode="External"/><Relationship Id="rId9070" Type="http://schemas.openxmlformats.org/officeDocument/2006/relationships/hyperlink" Target="http://secrets.rutgers.edu:8080/data/asl-ftp/asllvd/demos/verify_start_end_handshape_annotations//test_auto_move//signs_mov_separ_signers/Brady_16107.mov" TargetMode="External"/><Relationship Id="rId9071" Type="http://schemas.openxmlformats.org/officeDocument/2006/relationships/hyperlink" Target="http://csr.bu.edu/ftp/asl/asllvd/demos/verify_start_end_handshape_annotations//test_auto_move//signs_mov/975.mov" TargetMode="External"/><Relationship Id="rId9072" Type="http://schemas.openxmlformats.org/officeDocument/2006/relationships/hyperlink" Target="http://csr.bu.edu/ftp/asl/asllvd/demos/verify_start_end_handshape_annotations//test_auto_move//signs_mov_separ_signers/Liz_975.mov" TargetMode="External"/><Relationship Id="rId9073" Type="http://schemas.openxmlformats.org/officeDocument/2006/relationships/hyperlink" Target="http://secrets.rutgers.edu:8080/data/asl-ftp/asllvd/demos/verify_start_end_handshape_annotations//test_auto_move//signs_mov/975.mov" TargetMode="External"/><Relationship Id="rId9074" Type="http://schemas.openxmlformats.org/officeDocument/2006/relationships/hyperlink" Target="http://secrets.rutgers.edu:8080/data/asl-ftp/asllvd/demos/verify_start_end_handshape_annotations//test_auto_move//signs_mov_separ_signers/Liz_975.mov" TargetMode="External"/><Relationship Id="rId9075" Type="http://schemas.openxmlformats.org/officeDocument/2006/relationships/hyperlink" Target="http://csr.bu.edu/ftp/asl/asllvd/demos/verify_start_end_handshape_annotations//test_auto_move//signs_mov/3247.mov" TargetMode="External"/><Relationship Id="rId9076" Type="http://schemas.openxmlformats.org/officeDocument/2006/relationships/hyperlink" Target="http://csr.bu.edu/ftp/asl/asllvd/demos/verify_start_end_handshape_annotations//test_auto_move//signs_mov_separ_signers/Tyler_3247.mov" TargetMode="External"/><Relationship Id="rId9077" Type="http://schemas.openxmlformats.org/officeDocument/2006/relationships/hyperlink" Target="http://secrets.rutgers.edu:8080/data/asl-ftp/asllvd/demos/verify_start_end_handshape_annotations//test_auto_move//signs_mov/3247.mov" TargetMode="External"/><Relationship Id="rId9078" Type="http://schemas.openxmlformats.org/officeDocument/2006/relationships/hyperlink" Target="http://secrets.rutgers.edu:8080/data/asl-ftp/asllvd/demos/verify_start_end_handshape_annotations//test_auto_move//signs_mov_separ_signers/Tyler_3247.mov" TargetMode="External"/><Relationship Id="rId9079" Type="http://schemas.openxmlformats.org/officeDocument/2006/relationships/hyperlink" Target="http://csr.bu.edu/ftp/asl/asllvd/demos/verify_start_end_handshape_annotations//test_auto_move//signs_mov_separ_signers/Tyler_978.mov" TargetMode="External"/><Relationship Id="rId9080" Type="http://schemas.openxmlformats.org/officeDocument/2006/relationships/hyperlink" Target="http://secrets.rutgers.edu:8080/data/asl-ftp/asllvd/demos/verify_start_end_handshape_annotations//test_auto_move//signs_mov_separ_signers/Tyler_978.mov" TargetMode="External"/><Relationship Id="rId9081" Type="http://schemas.openxmlformats.org/officeDocument/2006/relationships/hyperlink" Target="http://csr.bu.edu/ftp/asl/asllvd/demos/verify_start_end_handshape_annotations//test_auto_move//signs_mov/978.mov" TargetMode="External"/><Relationship Id="rId9082" Type="http://schemas.openxmlformats.org/officeDocument/2006/relationships/hyperlink" Target="http://csr.bu.edu/ftp/asl/asllvd/demos/verify_start_end_handshape_annotations//test_auto_move//signs_mov_separ_signers/Naomi_978.mov" TargetMode="External"/><Relationship Id="rId9083" Type="http://schemas.openxmlformats.org/officeDocument/2006/relationships/hyperlink" Target="http://secrets.rutgers.edu:8080/data/asl-ftp/asllvd/demos/verify_start_end_handshape_annotations//test_auto_move//signs_mov/978.mov" TargetMode="External"/><Relationship Id="rId9084" Type="http://schemas.openxmlformats.org/officeDocument/2006/relationships/hyperlink" Target="http://secrets.rutgers.edu:8080/data/asl-ftp/asllvd/demos/verify_start_end_handshape_annotations//test_auto_move//signs_mov_separ_signers/Naomi_978.mov" TargetMode="External"/><Relationship Id="rId9085" Type="http://schemas.openxmlformats.org/officeDocument/2006/relationships/hyperlink" Target="http://csr.bu.edu/ftp/asl/asllvd/demos/verify_start_end_handshape_annotations//test_auto_move//signs_mov_separ_signers/Brady_978.mov" TargetMode="External"/><Relationship Id="rId9086" Type="http://schemas.openxmlformats.org/officeDocument/2006/relationships/hyperlink" Target="http://secrets.rutgers.edu:8080/data/asl-ftp/asllvd/demos/verify_start_end_handshape_annotations//test_auto_move//signs_mov_separ_signers/Brady_978.mov" TargetMode="External"/><Relationship Id="rId9087" Type="http://schemas.openxmlformats.org/officeDocument/2006/relationships/hyperlink" Target="http://csr.bu.edu/ftp/asl/asllvd/demos/verify_start_end_handshape_annotations//test_auto_move//signs_mov/16203.mov" TargetMode="External"/><Relationship Id="rId9088" Type="http://schemas.openxmlformats.org/officeDocument/2006/relationships/hyperlink" Target="http://csr.bu.edu/ftp/asl/asllvd/demos/verify_start_end_handshape_annotations//test_auto_move//signs_mov_separ_signers/Liz_16203.mov" TargetMode="External"/><Relationship Id="rId9089" Type="http://schemas.openxmlformats.org/officeDocument/2006/relationships/hyperlink" Target="http://secrets.rutgers.edu:8080/data/asl-ftp/asllvd/demos/verify_start_end_handshape_annotations//test_auto_move//signs_mov/16203.mov" TargetMode="External"/><Relationship Id="rId9090" Type="http://schemas.openxmlformats.org/officeDocument/2006/relationships/hyperlink" Target="http://secrets.rutgers.edu:8080/data/asl-ftp/asllvd/demos/verify_start_end_handshape_annotations//test_auto_move//signs_mov_separ_signers/Liz_16203.mov" TargetMode="External"/><Relationship Id="rId9091" Type="http://schemas.openxmlformats.org/officeDocument/2006/relationships/hyperlink" Target="http://csr.bu.edu/ftp/asl/asllvd/demos/verify_start_end_handshape_annotations//test_auto_move//signs_mov_separ_signers/Liz_979.mov" TargetMode="External"/><Relationship Id="rId9092" Type="http://schemas.openxmlformats.org/officeDocument/2006/relationships/hyperlink" Target="http://secrets.rutgers.edu:8080/data/asl-ftp/asllvd/demos/verify_start_end_handshape_annotations//test_auto_move//signs_mov_separ_signers/Liz_979.mov" TargetMode="External"/><Relationship Id="rId9093" Type="http://schemas.openxmlformats.org/officeDocument/2006/relationships/hyperlink" Target="http://csr.bu.edu/ftp/asl/asllvd/demos/verify_start_end_handshape_annotations//test_auto_move//signs_mov/979.mov" TargetMode="External"/><Relationship Id="rId9094" Type="http://schemas.openxmlformats.org/officeDocument/2006/relationships/hyperlink" Target="http://csr.bu.edu/ftp/asl/asllvd/demos/verify_start_end_handshape_annotations//test_auto_move//signs_mov_separ_signers/Tyler_979.mov" TargetMode="External"/><Relationship Id="rId9095" Type="http://schemas.openxmlformats.org/officeDocument/2006/relationships/hyperlink" Target="http://secrets.rutgers.edu:8080/data/asl-ftp/asllvd/demos/verify_start_end_handshape_annotations//test_auto_move//signs_mov/979.mov" TargetMode="External"/><Relationship Id="rId9096" Type="http://schemas.openxmlformats.org/officeDocument/2006/relationships/hyperlink" Target="http://secrets.rutgers.edu:8080/data/asl-ftp/asllvd/demos/verify_start_end_handshape_annotations//test_auto_move//signs_mov_separ_signers/Tyler_979.mov" TargetMode="External"/><Relationship Id="rId9097" Type="http://schemas.openxmlformats.org/officeDocument/2006/relationships/hyperlink" Target="http://csr.bu.edu/ftp/asl/asllvd/demos/verify_start_end_handshape_annotations//test_auto_move//signs_mov_separ_signers/Naomi_979.mov" TargetMode="External"/><Relationship Id="rId9098" Type="http://schemas.openxmlformats.org/officeDocument/2006/relationships/hyperlink" Target="http://secrets.rutgers.edu:8080/data/asl-ftp/asllvd/demos/verify_start_end_handshape_annotations//test_auto_move//signs_mov_separ_signers/Naomi_979.mov" TargetMode="External"/><Relationship Id="rId9099" Type="http://schemas.openxmlformats.org/officeDocument/2006/relationships/hyperlink" Target="http://csr.bu.edu/ftp/asl/asllvd/demos/verify_start_end_handshape_annotations//test_auto_move//signs_mov_separ_signers/Brady_979.mov" TargetMode="External"/><Relationship Id="rId9100" Type="http://schemas.openxmlformats.org/officeDocument/2006/relationships/hyperlink" Target="http://secrets.rutgers.edu:8080/data/asl-ftp/asllvd/demos/verify_start_end_handshape_annotations//test_auto_move//signs_mov_separ_signers/Brady_979.mov" TargetMode="External"/><Relationship Id="rId9101" Type="http://schemas.openxmlformats.org/officeDocument/2006/relationships/hyperlink" Target="http://csr.bu.edu/ftp/asl/asllvd/demos/verify_start_end_handshape_annotations//test_auto_move//signs_mov_separ_signers/Liz_980.mov" TargetMode="External"/><Relationship Id="rId9102" Type="http://schemas.openxmlformats.org/officeDocument/2006/relationships/hyperlink" Target="http://secrets.rutgers.edu:8080/data/asl-ftp/asllvd/demos/verify_start_end_handshape_annotations//test_auto_move//signs_mov_separ_signers/Liz_980.mov" TargetMode="External"/><Relationship Id="rId9103" Type="http://schemas.openxmlformats.org/officeDocument/2006/relationships/hyperlink" Target="http://csr.bu.edu/ftp/asl/asllvd/demos/verify_start_end_handshape_annotations//test_auto_move//signs_mov/980.mov" TargetMode="External"/><Relationship Id="rId9104" Type="http://schemas.openxmlformats.org/officeDocument/2006/relationships/hyperlink" Target="http://csr.bu.edu/ftp/asl/asllvd/demos/verify_start_end_handshape_annotations//test_auto_move//signs_mov_separ_signers/Tyler_980.mov" TargetMode="External"/><Relationship Id="rId9105" Type="http://schemas.openxmlformats.org/officeDocument/2006/relationships/hyperlink" Target="http://secrets.rutgers.edu:8080/data/asl-ftp/asllvd/demos/verify_start_end_handshape_annotations//test_auto_move//signs_mov/980.mov" TargetMode="External"/><Relationship Id="rId9106" Type="http://schemas.openxmlformats.org/officeDocument/2006/relationships/hyperlink" Target="http://secrets.rutgers.edu:8080/data/asl-ftp/asllvd/demos/verify_start_end_handshape_annotations//test_auto_move//signs_mov_separ_signers/Tyler_980.mov" TargetMode="External"/><Relationship Id="rId9107" Type="http://schemas.openxmlformats.org/officeDocument/2006/relationships/hyperlink" Target="http://csr.bu.edu/ftp/asl/asllvd/demos/verify_start_end_handshape_annotations//test_auto_move//signs_mov_separ_signers/Naomi_980.mov" TargetMode="External"/><Relationship Id="rId9108" Type="http://schemas.openxmlformats.org/officeDocument/2006/relationships/hyperlink" Target="http://secrets.rutgers.edu:8080/data/asl-ftp/asllvd/demos/verify_start_end_handshape_annotations//test_auto_move//signs_mov_separ_signers/Naomi_980.mov" TargetMode="External"/><Relationship Id="rId9109" Type="http://schemas.openxmlformats.org/officeDocument/2006/relationships/hyperlink" Target="http://csr.bu.edu/ftp/asl/asllvd/demos/verify_start_end_handshape_annotations//test_auto_move//signs_mov_separ_signers/Brady_980.mov" TargetMode="External"/><Relationship Id="rId9110" Type="http://schemas.openxmlformats.org/officeDocument/2006/relationships/hyperlink" Target="http://secrets.rutgers.edu:8080/data/asl-ftp/asllvd/demos/verify_start_end_handshape_annotations//test_auto_move//signs_mov_separ_signers/Brady_980.mov" TargetMode="External"/><Relationship Id="rId9111" Type="http://schemas.openxmlformats.org/officeDocument/2006/relationships/hyperlink" Target="http://csr.bu.edu/ftp/asl/asllvd/demos/verify_start_end_handshape_annotations//test_auto_move//signs_mov/15844.mov" TargetMode="External"/><Relationship Id="rId9112" Type="http://schemas.openxmlformats.org/officeDocument/2006/relationships/hyperlink" Target="http://csr.bu.edu/ftp/asl/asllvd/demos/verify_start_end_handshape_annotations//test_auto_move//signs_mov_separ_signers/Liz_15844.mov" TargetMode="External"/><Relationship Id="rId9113" Type="http://schemas.openxmlformats.org/officeDocument/2006/relationships/hyperlink" Target="http://secrets.rutgers.edu:8080/data/asl-ftp/asllvd/demos/verify_start_end_handshape_annotations//test_auto_move//signs_mov/15844.mov" TargetMode="External"/><Relationship Id="rId9114" Type="http://schemas.openxmlformats.org/officeDocument/2006/relationships/hyperlink" Target="http://secrets.rutgers.edu:8080/data/asl-ftp/asllvd/demos/verify_start_end_handshape_annotations//test_auto_move//signs_mov_separ_signers/Liz_15844.mov" TargetMode="External"/><Relationship Id="rId9115" Type="http://schemas.openxmlformats.org/officeDocument/2006/relationships/hyperlink" Target="http://csr.bu.edu/ftp/asl/asllvd/demos/verify_start_end_handshape_annotations//test_auto_move//signs_mov_separ_signers/Brady_15844.mov" TargetMode="External"/><Relationship Id="rId9116" Type="http://schemas.openxmlformats.org/officeDocument/2006/relationships/hyperlink" Target="http://secrets.rutgers.edu:8080/data/asl-ftp/asllvd/demos/verify_start_end_handshape_annotations//test_auto_move//signs_mov_separ_signers/Brady_15844.mov" TargetMode="External"/><Relationship Id="rId9117" Type="http://schemas.openxmlformats.org/officeDocument/2006/relationships/hyperlink" Target="http://csr.bu.edu/ftp/asl/asllvd/demos/verify_start_end_handshape_annotations//test_auto_move//signs_mov_separ_signers/Liz_982.mov" TargetMode="External"/><Relationship Id="rId9118" Type="http://schemas.openxmlformats.org/officeDocument/2006/relationships/hyperlink" Target="http://secrets.rutgers.edu:8080/data/asl-ftp/asllvd/demos/verify_start_end_handshape_annotations//test_auto_move//signs_mov_separ_signers/Liz_982.mov" TargetMode="External"/><Relationship Id="rId9119" Type="http://schemas.openxmlformats.org/officeDocument/2006/relationships/hyperlink" Target="http://csr.bu.edu/ftp/asl/asllvd/demos/verify_start_end_handshape_annotations//test_auto_move//signs_mov/982.mov" TargetMode="External"/><Relationship Id="rId9120" Type="http://schemas.openxmlformats.org/officeDocument/2006/relationships/hyperlink" Target="http://csr.bu.edu/ftp/asl/asllvd/demos/verify_start_end_handshape_annotations//test_auto_move//signs_mov_separ_signers/Tyler_982.mov" TargetMode="External"/><Relationship Id="rId9121" Type="http://schemas.openxmlformats.org/officeDocument/2006/relationships/hyperlink" Target="http://secrets.rutgers.edu:8080/data/asl-ftp/asllvd/demos/verify_start_end_handshape_annotations//test_auto_move//signs_mov/982.mov" TargetMode="External"/><Relationship Id="rId9122" Type="http://schemas.openxmlformats.org/officeDocument/2006/relationships/hyperlink" Target="http://secrets.rutgers.edu:8080/data/asl-ftp/asllvd/demos/verify_start_end_handshape_annotations//test_auto_move//signs_mov_separ_signers/Tyler_982.mov" TargetMode="External"/><Relationship Id="rId9123" Type="http://schemas.openxmlformats.org/officeDocument/2006/relationships/hyperlink" Target="http://csr.bu.edu/ftp/asl/asllvd/demos/verify_start_end_handshape_annotations//test_auto_move//signs_mov_separ_signers/Naomi_982.mov" TargetMode="External"/><Relationship Id="rId9124" Type="http://schemas.openxmlformats.org/officeDocument/2006/relationships/hyperlink" Target="http://secrets.rutgers.edu:8080/data/asl-ftp/asllvd/demos/verify_start_end_handshape_annotations//test_auto_move//signs_mov_separ_signers/Naomi_982.mov" TargetMode="External"/><Relationship Id="rId9125" Type="http://schemas.openxmlformats.org/officeDocument/2006/relationships/hyperlink" Target="http://csr.bu.edu/ftp/asl/asllvd/demos/verify_start_end_handshape_annotations//test_auto_move//signs_mov_separ_signers/Tyler_983.mov" TargetMode="External"/><Relationship Id="rId9126" Type="http://schemas.openxmlformats.org/officeDocument/2006/relationships/hyperlink" Target="http://secrets.rutgers.edu:8080/data/asl-ftp/asllvd/demos/verify_start_end_handshape_annotations//test_auto_move//signs_mov_separ_signers/Tyler_983.mov" TargetMode="External"/><Relationship Id="rId9127" Type="http://schemas.openxmlformats.org/officeDocument/2006/relationships/hyperlink" Target="http://csr.bu.edu/ftp/asl/asllvd/demos/verify_start_end_handshape_annotations//test_auto_move//signs_mov_separ_signers/Naomi_983.mov" TargetMode="External"/><Relationship Id="rId9128" Type="http://schemas.openxmlformats.org/officeDocument/2006/relationships/hyperlink" Target="http://secrets.rutgers.edu:8080/data/asl-ftp/asllvd/demos/verify_start_end_handshape_annotations//test_auto_move//signs_mov_separ_signers/Naomi_983.mov" TargetMode="External"/><Relationship Id="rId9129" Type="http://schemas.openxmlformats.org/officeDocument/2006/relationships/hyperlink" Target="http://csr.bu.edu/ftp/asl/asllvd/demos/verify_start_end_handshape_annotations//test_auto_move//signs_mov/983_5190_15221_merged.mov" TargetMode="External"/><Relationship Id="rId9130" Type="http://schemas.openxmlformats.org/officeDocument/2006/relationships/hyperlink" Target="http://csr.bu.edu/ftp/asl/asllvd/demos/verify_start_end_handshape_annotations//test_auto_move//signs_mov_separ_signers/Brady_983.mov" TargetMode="External"/><Relationship Id="rId9131" Type="http://schemas.openxmlformats.org/officeDocument/2006/relationships/hyperlink" Target="http://secrets.rutgers.edu:8080/data/asl-ftp/asllvd/demos/verify_start_end_handshape_annotations//test_auto_move//signs_mov/983_5190_15221_merged.mov" TargetMode="External"/><Relationship Id="rId9132" Type="http://schemas.openxmlformats.org/officeDocument/2006/relationships/hyperlink" Target="http://secrets.rutgers.edu:8080/data/asl-ftp/asllvd/demos/verify_start_end_handshape_annotations//test_auto_move//signs_mov_separ_signers/Brady_983.mov" TargetMode="External"/><Relationship Id="rId9133" Type="http://schemas.openxmlformats.org/officeDocument/2006/relationships/hyperlink" Target="http://csr.bu.edu/ftp/asl/asllvd/demos/verify_start_end_handshape_annotations//test_auto_move//signs_mov_separ_signers/Brady_5190.mov" TargetMode="External"/><Relationship Id="rId9134" Type="http://schemas.openxmlformats.org/officeDocument/2006/relationships/hyperlink" Target="http://secrets.rutgers.edu:8080/data/asl-ftp/asllvd/demos/verify_start_end_handshape_annotations//test_auto_move//signs_mov_separ_signers/Brady_5190.mov" TargetMode="External"/><Relationship Id="rId9135" Type="http://schemas.openxmlformats.org/officeDocument/2006/relationships/hyperlink" Target="http://csr.bu.edu/ftp/asl/asllvd/demos/verify_start_end_handshape_annotations//test_auto_move//signs_mov_separ_signers/Brady_15221.mov" TargetMode="External"/><Relationship Id="rId9136" Type="http://schemas.openxmlformats.org/officeDocument/2006/relationships/hyperlink" Target="http://secrets.rutgers.edu:8080/data/asl-ftp/asllvd/demos/verify_start_end_handshape_annotations//test_auto_move//signs_mov_separ_signers/Brady_15221.mov" TargetMode="External"/><Relationship Id="rId9137" Type="http://schemas.openxmlformats.org/officeDocument/2006/relationships/hyperlink" Target="http://csr.bu.edu/ftp/asl/asllvd/demos/verify_start_end_handshape_annotations//test_auto_move//signs_mov/15622.mov" TargetMode="External"/><Relationship Id="rId9138" Type="http://schemas.openxmlformats.org/officeDocument/2006/relationships/hyperlink" Target="http://csr.bu.edu/ftp/asl/asllvd/demos/verify_start_end_handshape_annotations//test_auto_move//signs_mov_separ_signers/Liz_15622.mov" TargetMode="External"/><Relationship Id="rId9139" Type="http://schemas.openxmlformats.org/officeDocument/2006/relationships/hyperlink" Target="http://secrets.rutgers.edu:8080/data/asl-ftp/asllvd/demos/verify_start_end_handshape_annotations//test_auto_move//signs_mov/15622.mov" TargetMode="External"/><Relationship Id="rId9140" Type="http://schemas.openxmlformats.org/officeDocument/2006/relationships/hyperlink" Target="http://secrets.rutgers.edu:8080/data/asl-ftp/asllvd/demos/verify_start_end_handshape_annotations//test_auto_move//signs_mov_separ_signers/Liz_15622.mov" TargetMode="External"/><Relationship Id="rId9141" Type="http://schemas.openxmlformats.org/officeDocument/2006/relationships/hyperlink" Target="http://csr.bu.edu/ftp/asl/asllvd/demos/verify_start_end_handshape_annotations//test_auto_move//signs_mov/15698.mov" TargetMode="External"/><Relationship Id="rId9142" Type="http://schemas.openxmlformats.org/officeDocument/2006/relationships/hyperlink" Target="http://csr.bu.edu/ftp/asl/asllvd/demos/verify_start_end_handshape_annotations//test_auto_move//signs_mov_separ_signers/Liz_15698.mov" TargetMode="External"/><Relationship Id="rId9143" Type="http://schemas.openxmlformats.org/officeDocument/2006/relationships/hyperlink" Target="http://secrets.rutgers.edu:8080/data/asl-ftp/asllvd/demos/verify_start_end_handshape_annotations//test_auto_move//signs_mov/15698.mov" TargetMode="External"/><Relationship Id="rId9144" Type="http://schemas.openxmlformats.org/officeDocument/2006/relationships/hyperlink" Target="http://secrets.rutgers.edu:8080/data/asl-ftp/asllvd/demos/verify_start_end_handshape_annotations//test_auto_move//signs_mov_separ_signers/Liz_15698.mov" TargetMode="External"/><Relationship Id="rId9145" Type="http://schemas.openxmlformats.org/officeDocument/2006/relationships/hyperlink" Target="http://csr.bu.edu/ftp/asl/asllvd/demos/verify_start_end_handshape_annotations//test_auto_move//signs_mov_separ_signers/Liz_15882.mov" TargetMode="External"/><Relationship Id="rId9146" Type="http://schemas.openxmlformats.org/officeDocument/2006/relationships/hyperlink" Target="http://secrets.rutgers.edu:8080/data/asl-ftp/asllvd/demos/verify_start_end_handshape_annotations//test_auto_move//signs_mov_separ_signers/Liz_15882.mov" TargetMode="External"/><Relationship Id="rId9147" Type="http://schemas.openxmlformats.org/officeDocument/2006/relationships/hyperlink" Target="http://csr.bu.edu/ftp/asl/asllvd/demos/verify_start_end_handshape_annotations//test_auto_move//signs_mov/15882.mov" TargetMode="External"/><Relationship Id="rId9148" Type="http://schemas.openxmlformats.org/officeDocument/2006/relationships/hyperlink" Target="http://csr.bu.edu/ftp/asl/asllvd/demos/verify_start_end_handshape_annotations//test_auto_move//signs_mov_separ_signers/Tyler_15882.mov" TargetMode="External"/><Relationship Id="rId9149" Type="http://schemas.openxmlformats.org/officeDocument/2006/relationships/hyperlink" Target="http://secrets.rutgers.edu:8080/data/asl-ftp/asllvd/demos/verify_start_end_handshape_annotations//test_auto_move//signs_mov/15882.mov" TargetMode="External"/><Relationship Id="rId9150" Type="http://schemas.openxmlformats.org/officeDocument/2006/relationships/hyperlink" Target="http://secrets.rutgers.edu:8080/data/asl-ftp/asllvd/demos/verify_start_end_handshape_annotations//test_auto_move//signs_mov_separ_signers/Tyler_15882.mov" TargetMode="External"/><Relationship Id="rId9151" Type="http://schemas.openxmlformats.org/officeDocument/2006/relationships/hyperlink" Target="http://csr.bu.edu/ftp/asl/asllvd/demos/verify_start_end_handshape_annotations//test_auto_move//signs_mov_separ_signers/Brady_15882.mov" TargetMode="External"/><Relationship Id="rId9152" Type="http://schemas.openxmlformats.org/officeDocument/2006/relationships/hyperlink" Target="http://secrets.rutgers.edu:8080/data/asl-ftp/asllvd/demos/verify_start_end_handshape_annotations//test_auto_move//signs_mov_separ_signers/Brady_15882.mov" TargetMode="External"/><Relationship Id="rId9153" Type="http://schemas.openxmlformats.org/officeDocument/2006/relationships/hyperlink" Target="http://csr.bu.edu/ftp/asl/asllvd/demos/verify_start_end_handshape_annotations//test_auto_move//signs_mov/15883.mov" TargetMode="External"/><Relationship Id="rId9154" Type="http://schemas.openxmlformats.org/officeDocument/2006/relationships/hyperlink" Target="http://csr.bu.edu/ftp/asl/asllvd/demos/verify_start_end_handshape_annotations//test_auto_move//signs_mov_separ_signers/Liz_15883.mov" TargetMode="External"/><Relationship Id="rId9155" Type="http://schemas.openxmlformats.org/officeDocument/2006/relationships/hyperlink" Target="http://secrets.rutgers.edu:8080/data/asl-ftp/asllvd/demos/verify_start_end_handshape_annotations//test_auto_move//signs_mov/15883.mov" TargetMode="External"/><Relationship Id="rId9156" Type="http://schemas.openxmlformats.org/officeDocument/2006/relationships/hyperlink" Target="http://secrets.rutgers.edu:8080/data/asl-ftp/asllvd/demos/verify_start_end_handshape_annotations//test_auto_move//signs_mov_separ_signers/Liz_15883.mov" TargetMode="External"/><Relationship Id="rId9157" Type="http://schemas.openxmlformats.org/officeDocument/2006/relationships/hyperlink" Target="http://csr.bu.edu/ftp/asl/asllvd/demos/verify_start_end_handshape_annotations//test_auto_move//signs_mov_separ_signers/Tyler_15884.mov" TargetMode="External"/><Relationship Id="rId9158" Type="http://schemas.openxmlformats.org/officeDocument/2006/relationships/hyperlink" Target="http://secrets.rutgers.edu:8080/data/asl-ftp/asllvd/demos/verify_start_end_handshape_annotations//test_auto_move//signs_mov_separ_signers/Tyler_15884.mov" TargetMode="External"/><Relationship Id="rId9159" Type="http://schemas.openxmlformats.org/officeDocument/2006/relationships/hyperlink" Target="http://csr.bu.edu/ftp/asl/asllvd/demos/verify_start_end_handshape_annotations//test_auto_move//signs_mov/15884.mov" TargetMode="External"/><Relationship Id="rId9160" Type="http://schemas.openxmlformats.org/officeDocument/2006/relationships/hyperlink" Target="http://csr.bu.edu/ftp/asl/asllvd/demos/verify_start_end_handshape_annotations//test_auto_move//signs_mov_separ_signers/Naomi_15884.mov" TargetMode="External"/><Relationship Id="rId9161" Type="http://schemas.openxmlformats.org/officeDocument/2006/relationships/hyperlink" Target="http://secrets.rutgers.edu:8080/data/asl-ftp/asllvd/demos/verify_start_end_handshape_annotations//test_auto_move//signs_mov/15884.mov" TargetMode="External"/><Relationship Id="rId9162" Type="http://schemas.openxmlformats.org/officeDocument/2006/relationships/hyperlink" Target="http://secrets.rutgers.edu:8080/data/asl-ftp/asllvd/demos/verify_start_end_handshape_annotations//test_auto_move//signs_mov_separ_signers/Naomi_15884.mov" TargetMode="External"/><Relationship Id="rId9163" Type="http://schemas.openxmlformats.org/officeDocument/2006/relationships/hyperlink" Target="http://csr.bu.edu/ftp/asl/asllvd/demos/verify_start_end_handshape_annotations//test_auto_move//signs_mov_separ_signers/Brady_15884.mov" TargetMode="External"/><Relationship Id="rId9164" Type="http://schemas.openxmlformats.org/officeDocument/2006/relationships/hyperlink" Target="http://secrets.rutgers.edu:8080/data/asl-ftp/asllvd/demos/verify_start_end_handshape_annotations//test_auto_move//signs_mov_separ_signers/Brady_15884.mov" TargetMode="External"/><Relationship Id="rId9165" Type="http://schemas.openxmlformats.org/officeDocument/2006/relationships/hyperlink" Target="http://csr.bu.edu/ftp/asl/asllvd/demos/verify_start_end_handshape_annotations//test_auto_move//signs_mov_separ_signers/Liz_984.mov" TargetMode="External"/><Relationship Id="rId9166" Type="http://schemas.openxmlformats.org/officeDocument/2006/relationships/hyperlink" Target="http://secrets.rutgers.edu:8080/data/asl-ftp/asllvd/demos/verify_start_end_handshape_annotations//test_auto_move//signs_mov_separ_signers/Liz_984.mov" TargetMode="External"/><Relationship Id="rId9167" Type="http://schemas.openxmlformats.org/officeDocument/2006/relationships/hyperlink" Target="http://csr.bu.edu/ftp/asl/asllvd/demos/verify_start_end_handshape_annotations//test_auto_move//signs_mov_separ_signers/Tyler_984.mov" TargetMode="External"/><Relationship Id="rId9168" Type="http://schemas.openxmlformats.org/officeDocument/2006/relationships/hyperlink" Target="http://secrets.rutgers.edu:8080/data/asl-ftp/asllvd/demos/verify_start_end_handshape_annotations//test_auto_move//signs_mov_separ_signers/Tyler_984.mov" TargetMode="External"/><Relationship Id="rId9169" Type="http://schemas.openxmlformats.org/officeDocument/2006/relationships/hyperlink" Target="http://csr.bu.edu/ftp/asl/asllvd/demos/verify_start_end_handshape_annotations//test_auto_move//signs_mov/984.mov" TargetMode="External"/><Relationship Id="rId9170" Type="http://schemas.openxmlformats.org/officeDocument/2006/relationships/hyperlink" Target="http://csr.bu.edu/ftp/asl/asllvd/demos/verify_start_end_handshape_annotations//test_auto_move//signs_mov_separ_signers/Naomi_984.mov" TargetMode="External"/><Relationship Id="rId9171" Type="http://schemas.openxmlformats.org/officeDocument/2006/relationships/hyperlink" Target="http://secrets.rutgers.edu:8080/data/asl-ftp/asllvd/demos/verify_start_end_handshape_annotations//test_auto_move//signs_mov/984.mov" TargetMode="External"/><Relationship Id="rId9172" Type="http://schemas.openxmlformats.org/officeDocument/2006/relationships/hyperlink" Target="http://secrets.rutgers.edu:8080/data/asl-ftp/asllvd/demos/verify_start_end_handshape_annotations//test_auto_move//signs_mov_separ_signers/Naomi_984.mov" TargetMode="External"/><Relationship Id="rId9173" Type="http://schemas.openxmlformats.org/officeDocument/2006/relationships/hyperlink" Target="http://csr.bu.edu/ftp/asl/asllvd/demos/verify_start_end_handshape_annotations//test_auto_move//signs_mov_separ_signers/Brady_984.mov" TargetMode="External"/><Relationship Id="rId9174" Type="http://schemas.openxmlformats.org/officeDocument/2006/relationships/hyperlink" Target="http://secrets.rutgers.edu:8080/data/asl-ftp/asllvd/demos/verify_start_end_handshape_annotations//test_auto_move//signs_mov_separ_signers/Brady_984.mov" TargetMode="External"/><Relationship Id="rId9175" Type="http://schemas.openxmlformats.org/officeDocument/2006/relationships/hyperlink" Target="http://csr.bu.edu/ftp/asl/asllvd/demos/verify_start_end_handshape_annotations//test_auto_move//signs_mov_separ_signers/Lana_984.mov" TargetMode="External"/><Relationship Id="rId9176" Type="http://schemas.openxmlformats.org/officeDocument/2006/relationships/hyperlink" Target="http://secrets.rutgers.edu:8080/data/asl-ftp/asllvd/demos/verify_start_end_handshape_annotations//test_auto_move//signs_mov_separ_signers/Lana_984.mov" TargetMode="External"/><Relationship Id="rId9177" Type="http://schemas.openxmlformats.org/officeDocument/2006/relationships/hyperlink" Target="http://csr.bu.edu/ftp/asl/asllvd/demos/verify_start_end_handshape_annotations//test_auto_move//signs_mov_separ_signers/Dana_984.mov" TargetMode="External"/><Relationship Id="rId9178" Type="http://schemas.openxmlformats.org/officeDocument/2006/relationships/hyperlink" Target="http://secrets.rutgers.edu:8080/data/asl-ftp/asllvd/demos/verify_start_end_handshape_annotations//test_auto_move//signs_mov_separ_signers/Dana_984.mov" TargetMode="External"/><Relationship Id="rId9179" Type="http://schemas.openxmlformats.org/officeDocument/2006/relationships/hyperlink" Target="http://csr.bu.edu/ftp/asl/asllvd/demos/verify_start_end_handshape_annotations//test_auto_move//signs_mov_separ_signers/Liz_15728.mov" TargetMode="External"/><Relationship Id="rId9180" Type="http://schemas.openxmlformats.org/officeDocument/2006/relationships/hyperlink" Target="http://secrets.rutgers.edu:8080/data/asl-ftp/asllvd/demos/verify_start_end_handshape_annotations//test_auto_move//signs_mov_separ_signers/Liz_15728.mov" TargetMode="External"/><Relationship Id="rId9181" Type="http://schemas.openxmlformats.org/officeDocument/2006/relationships/hyperlink" Target="http://csr.bu.edu/ftp/asl/asllvd/demos/verify_start_end_handshape_annotations//test_auto_move//signs_mov/15728.mov" TargetMode="External"/><Relationship Id="rId9182" Type="http://schemas.openxmlformats.org/officeDocument/2006/relationships/hyperlink" Target="http://csr.bu.edu/ftp/asl/asllvd/demos/verify_start_end_handshape_annotations//test_auto_move//signs_mov_separ_signers/Tyler_15728.mov" TargetMode="External"/><Relationship Id="rId9183" Type="http://schemas.openxmlformats.org/officeDocument/2006/relationships/hyperlink" Target="http://secrets.rutgers.edu:8080/data/asl-ftp/asllvd/demos/verify_start_end_handshape_annotations//test_auto_move//signs_mov/15728.mov" TargetMode="External"/><Relationship Id="rId9184" Type="http://schemas.openxmlformats.org/officeDocument/2006/relationships/hyperlink" Target="http://secrets.rutgers.edu:8080/data/asl-ftp/asllvd/demos/verify_start_end_handshape_annotations//test_auto_move//signs_mov_separ_signers/Tyler_15728.mov" TargetMode="External"/><Relationship Id="rId9185" Type="http://schemas.openxmlformats.org/officeDocument/2006/relationships/hyperlink" Target="http://csr.bu.edu/ftp/asl/asllvd/demos/verify_start_end_handshape_annotations//test_auto_move//signs_mov_separ_signers/Naomi_15728.mov" TargetMode="External"/><Relationship Id="rId9186" Type="http://schemas.openxmlformats.org/officeDocument/2006/relationships/hyperlink" Target="http://secrets.rutgers.edu:8080/data/asl-ftp/asllvd/demos/verify_start_end_handshape_annotations//test_auto_move//signs_mov_separ_signers/Naomi_15728.mov" TargetMode="External"/><Relationship Id="rId9187" Type="http://schemas.openxmlformats.org/officeDocument/2006/relationships/hyperlink" Target="http://csr.bu.edu/ftp/asl/asllvd/demos/verify_start_end_handshape_annotations//test_auto_move//signs_mov_separ_signers/Brady_15728.mov" TargetMode="External"/><Relationship Id="rId9188" Type="http://schemas.openxmlformats.org/officeDocument/2006/relationships/hyperlink" Target="http://secrets.rutgers.edu:8080/data/asl-ftp/asllvd/demos/verify_start_end_handshape_annotations//test_auto_move//signs_mov_separ_signers/Brady_15728.mov" TargetMode="External"/><Relationship Id="rId9189" Type="http://schemas.openxmlformats.org/officeDocument/2006/relationships/hyperlink" Target="http://csr.bu.edu/ftp/asl/asllvd/demos/verify_start_end_handshape_annotations//test_auto_move//signs_mov_separ_signers/Liz_985.mov" TargetMode="External"/><Relationship Id="rId9190" Type="http://schemas.openxmlformats.org/officeDocument/2006/relationships/hyperlink" Target="http://secrets.rutgers.edu:8080/data/asl-ftp/asllvd/demos/verify_start_end_handshape_annotations//test_auto_move//signs_mov_separ_signers/Liz_985.mov" TargetMode="External"/><Relationship Id="rId9191" Type="http://schemas.openxmlformats.org/officeDocument/2006/relationships/hyperlink" Target="http://csr.bu.edu/ftp/asl/asllvd/demos/verify_start_end_handshape_annotations//test_auto_move//signs_mov_separ_signers/Tyler_985.mov" TargetMode="External"/><Relationship Id="rId9192" Type="http://schemas.openxmlformats.org/officeDocument/2006/relationships/hyperlink" Target="http://secrets.rutgers.edu:8080/data/asl-ftp/asllvd/demos/verify_start_end_handshape_annotations//test_auto_move//signs_mov_separ_signers/Tyler_985.mov" TargetMode="External"/><Relationship Id="rId9193" Type="http://schemas.openxmlformats.org/officeDocument/2006/relationships/hyperlink" Target="http://csr.bu.edu/ftp/asl/asllvd/demos/verify_start_end_handshape_annotations//test_auto_move//signs_mov/985.mov" TargetMode="External"/><Relationship Id="rId9194" Type="http://schemas.openxmlformats.org/officeDocument/2006/relationships/hyperlink" Target="http://csr.bu.edu/ftp/asl/asllvd/demos/verify_start_end_handshape_annotations//test_auto_move//signs_mov_separ_signers/Naomi_985.mov" TargetMode="External"/><Relationship Id="rId9195" Type="http://schemas.openxmlformats.org/officeDocument/2006/relationships/hyperlink" Target="http://secrets.rutgers.edu:8080/data/asl-ftp/asllvd/demos/verify_start_end_handshape_annotations//test_auto_move//signs_mov/985.mov" TargetMode="External"/><Relationship Id="rId9196" Type="http://schemas.openxmlformats.org/officeDocument/2006/relationships/hyperlink" Target="http://secrets.rutgers.edu:8080/data/asl-ftp/asllvd/demos/verify_start_end_handshape_annotations//test_auto_move//signs_mov_separ_signers/Naomi_985.mov" TargetMode="External"/><Relationship Id="rId9197" Type="http://schemas.openxmlformats.org/officeDocument/2006/relationships/hyperlink" Target="http://csr.bu.edu/ftp/asl/asllvd/demos/verify_start_end_handshape_annotations//test_auto_move//signs_mov_separ_signers/Brady_985.mov" TargetMode="External"/><Relationship Id="rId9198" Type="http://schemas.openxmlformats.org/officeDocument/2006/relationships/hyperlink" Target="http://secrets.rutgers.edu:8080/data/asl-ftp/asllvd/demos/verify_start_end_handshape_annotations//test_auto_move//signs_mov_separ_signers/Brady_985.mov" TargetMode="External"/><Relationship Id="rId9199" Type="http://schemas.openxmlformats.org/officeDocument/2006/relationships/hyperlink" Target="http://csr.bu.edu/ftp/asl/asllvd/demos/verify_start_end_handshape_annotations//test_auto_move//signs_mov_separ_signers/Lana_985.mov" TargetMode="External"/><Relationship Id="rId9200" Type="http://schemas.openxmlformats.org/officeDocument/2006/relationships/hyperlink" Target="http://secrets.rutgers.edu:8080/data/asl-ftp/asllvd/demos/verify_start_end_handshape_annotations//test_auto_move//signs_mov_separ_signers/Lana_985.mov" TargetMode="External"/><Relationship Id="rId9201" Type="http://schemas.openxmlformats.org/officeDocument/2006/relationships/hyperlink" Target="http://csr.bu.edu/ftp/asl/asllvd/demos/verify_start_end_handshape_annotations//test_auto_move//signs_mov_separ_signers/Dana_985.mov" TargetMode="External"/><Relationship Id="rId9202" Type="http://schemas.openxmlformats.org/officeDocument/2006/relationships/hyperlink" Target="http://secrets.rutgers.edu:8080/data/asl-ftp/asllvd/demos/verify_start_end_handshape_annotations//test_auto_move//signs_mov_separ_signers/Dana_985.mov" TargetMode="External"/><Relationship Id="rId9203" Type="http://schemas.openxmlformats.org/officeDocument/2006/relationships/hyperlink" Target="http://csr.bu.edu/ftp/asl/asllvd/demos/verify_start_end_handshape_annotations//test_auto_move//signs_mov_separ_signers/Liz_987.mov" TargetMode="External"/><Relationship Id="rId9204" Type="http://schemas.openxmlformats.org/officeDocument/2006/relationships/hyperlink" Target="http://secrets.rutgers.edu:8080/data/asl-ftp/asllvd/demos/verify_start_end_handshape_annotations//test_auto_move//signs_mov_separ_signers/Liz_987.mov" TargetMode="External"/><Relationship Id="rId9205" Type="http://schemas.openxmlformats.org/officeDocument/2006/relationships/hyperlink" Target="http://csr.bu.edu/ftp/asl/asllvd/demos/verify_start_end_handshape_annotations//test_auto_move//signs_mov/987.mov" TargetMode="External"/><Relationship Id="rId9206" Type="http://schemas.openxmlformats.org/officeDocument/2006/relationships/hyperlink" Target="http://csr.bu.edu/ftp/asl/asllvd/demos/verify_start_end_handshape_annotations//test_auto_move//signs_mov_separ_signers/Naomi_987.mov" TargetMode="External"/><Relationship Id="rId9207" Type="http://schemas.openxmlformats.org/officeDocument/2006/relationships/hyperlink" Target="http://secrets.rutgers.edu:8080/data/asl-ftp/asllvd/demos/verify_start_end_handshape_annotations//test_auto_move//signs_mov/987.mov" TargetMode="External"/><Relationship Id="rId9208" Type="http://schemas.openxmlformats.org/officeDocument/2006/relationships/hyperlink" Target="http://secrets.rutgers.edu:8080/data/asl-ftp/asllvd/demos/verify_start_end_handshape_annotations//test_auto_move//signs_mov_separ_signers/Naomi_987.mov" TargetMode="External"/><Relationship Id="rId9209" Type="http://schemas.openxmlformats.org/officeDocument/2006/relationships/hyperlink" Target="http://csr.bu.edu/ftp/asl/asllvd/demos/verify_start_end_handshape_annotations//test_auto_move//signs_mov_separ_signers/Brady_987.mov" TargetMode="External"/><Relationship Id="rId9210" Type="http://schemas.openxmlformats.org/officeDocument/2006/relationships/hyperlink" Target="http://secrets.rutgers.edu:8080/data/asl-ftp/asllvd/demos/verify_start_end_handshape_annotations//test_auto_move//signs_mov_separ_signers/Brady_987.mov" TargetMode="External"/><Relationship Id="rId9211" Type="http://schemas.openxmlformats.org/officeDocument/2006/relationships/hyperlink" Target="http://csr.bu.edu/ftp/asl/asllvd/demos/verify_start_end_handshape_annotations//test_auto_move//signs_mov_separ_signers/Liz_3640.mov" TargetMode="External"/><Relationship Id="rId9212" Type="http://schemas.openxmlformats.org/officeDocument/2006/relationships/hyperlink" Target="http://secrets.rutgers.edu:8080/data/asl-ftp/asllvd/demos/verify_start_end_handshape_annotations//test_auto_move//signs_mov_separ_signers/Liz_3640.mov" TargetMode="External"/><Relationship Id="rId9213" Type="http://schemas.openxmlformats.org/officeDocument/2006/relationships/hyperlink" Target="http://csr.bu.edu/ftp/asl/asllvd/demos/verify_start_end_handshape_annotations//test_auto_move//signs_mov/3640.mov" TargetMode="External"/><Relationship Id="rId9214" Type="http://schemas.openxmlformats.org/officeDocument/2006/relationships/hyperlink" Target="http://csr.bu.edu/ftp/asl/asllvd/demos/verify_start_end_handshape_annotations//test_auto_move//signs_mov_separ_signers/Tyler_3640.mov" TargetMode="External"/><Relationship Id="rId9215" Type="http://schemas.openxmlformats.org/officeDocument/2006/relationships/hyperlink" Target="http://secrets.rutgers.edu:8080/data/asl-ftp/asllvd/demos/verify_start_end_handshape_annotations//test_auto_move//signs_mov/3640.mov" TargetMode="External"/><Relationship Id="rId9216" Type="http://schemas.openxmlformats.org/officeDocument/2006/relationships/hyperlink" Target="http://secrets.rutgers.edu:8080/data/asl-ftp/asllvd/demos/verify_start_end_handshape_annotations//test_auto_move//signs_mov_separ_signers/Tyler_3640.mov" TargetMode="External"/><Relationship Id="rId9217" Type="http://schemas.openxmlformats.org/officeDocument/2006/relationships/hyperlink" Target="http://csr.bu.edu/ftp/asl/asllvd/demos/verify_start_end_handshape_annotations//test_auto_move//signs_mov_separ_signers/Brady_3640.mov" TargetMode="External"/><Relationship Id="rId9218" Type="http://schemas.openxmlformats.org/officeDocument/2006/relationships/hyperlink" Target="http://secrets.rutgers.edu:8080/data/asl-ftp/asllvd/demos/verify_start_end_handshape_annotations//test_auto_move//signs_mov_separ_signers/Brady_3640.mov" TargetMode="External"/><Relationship Id="rId9219" Type="http://schemas.openxmlformats.org/officeDocument/2006/relationships/hyperlink" Target="http://csr.bu.edu/ftp/asl/asllvd/demos/verify_start_end_handshape_annotations//test_auto_move//signs_mov/3641.mov" TargetMode="External"/><Relationship Id="rId9220" Type="http://schemas.openxmlformats.org/officeDocument/2006/relationships/hyperlink" Target="http://csr.bu.edu/ftp/asl/asllvd/demos/verify_start_end_handshape_annotations//test_auto_move//signs_mov_separ_signers/Naomi_3641.mov" TargetMode="External"/><Relationship Id="rId9221" Type="http://schemas.openxmlformats.org/officeDocument/2006/relationships/hyperlink" Target="http://secrets.rutgers.edu:8080/data/asl-ftp/asllvd/demos/verify_start_end_handshape_annotations//test_auto_move//signs_mov/3641.mov" TargetMode="External"/><Relationship Id="rId9222" Type="http://schemas.openxmlformats.org/officeDocument/2006/relationships/hyperlink" Target="http://secrets.rutgers.edu:8080/data/asl-ftp/asllvd/demos/verify_start_end_handshape_annotations//test_auto_move//signs_mov_separ_signers/Naomi_3641.mov" TargetMode="External"/><Relationship Id="rId9223" Type="http://schemas.openxmlformats.org/officeDocument/2006/relationships/hyperlink" Target="http://csr.bu.edu/ftp/asl/asllvd/demos/verify_start_end_handshape_annotations//test_auto_move//signs_mov/5191.mov" TargetMode="External"/><Relationship Id="rId9224" Type="http://schemas.openxmlformats.org/officeDocument/2006/relationships/hyperlink" Target="http://csr.bu.edu/ftp/asl/asllvd/demos/verify_start_end_handshape_annotations//test_auto_move//signs_mov_separ_signers/Naomi_5191.mov" TargetMode="External"/><Relationship Id="rId9225" Type="http://schemas.openxmlformats.org/officeDocument/2006/relationships/hyperlink" Target="http://secrets.rutgers.edu:8080/data/asl-ftp/asllvd/demos/verify_start_end_handshape_annotations//test_auto_move//signs_mov/5191.mov" TargetMode="External"/><Relationship Id="rId9226" Type="http://schemas.openxmlformats.org/officeDocument/2006/relationships/hyperlink" Target="http://secrets.rutgers.edu:8080/data/asl-ftp/asllvd/demos/verify_start_end_handshape_annotations//test_auto_move//signs_mov_separ_signers/Naomi_5191.mov" TargetMode="External"/><Relationship Id="rId9227" Type="http://schemas.openxmlformats.org/officeDocument/2006/relationships/hyperlink" Target="http://csr.bu.edu/ftp/asl/asllvd/demos/verify_start_end_handshape_annotations//test_auto_move//signs_mov_separ_signers/Brady_5191.mov" TargetMode="External"/><Relationship Id="rId9228" Type="http://schemas.openxmlformats.org/officeDocument/2006/relationships/hyperlink" Target="http://secrets.rutgers.edu:8080/data/asl-ftp/asllvd/demos/verify_start_end_handshape_annotations//test_auto_move//signs_mov_separ_signers/Brady_5191.mov" TargetMode="External"/><Relationship Id="rId9229" Type="http://schemas.openxmlformats.org/officeDocument/2006/relationships/hyperlink" Target="http://csr.bu.edu/ftp/asl/asllvd/demos/verify_start_end_handshape_annotations//test_auto_move//signs_mov/5192.mov" TargetMode="External"/><Relationship Id="rId9230" Type="http://schemas.openxmlformats.org/officeDocument/2006/relationships/hyperlink" Target="http://csr.bu.edu/ftp/asl/asllvd/demos/verify_start_end_handshape_annotations//test_auto_move//signs_mov_separ_signers/Liz_5192.mov" TargetMode="External"/><Relationship Id="rId9231" Type="http://schemas.openxmlformats.org/officeDocument/2006/relationships/hyperlink" Target="http://secrets.rutgers.edu:8080/data/asl-ftp/asllvd/demos/verify_start_end_handshape_annotations//test_auto_move//signs_mov/5192.mov" TargetMode="External"/><Relationship Id="rId9232" Type="http://schemas.openxmlformats.org/officeDocument/2006/relationships/hyperlink" Target="http://secrets.rutgers.edu:8080/data/asl-ftp/asllvd/demos/verify_start_end_handshape_annotations//test_auto_move//signs_mov_separ_signers/Liz_5192.mov" TargetMode="External"/><Relationship Id="rId9233" Type="http://schemas.openxmlformats.org/officeDocument/2006/relationships/hyperlink" Target="http://csr.bu.edu/ftp/asl/asllvd/demos/verify_start_end_handshape_annotations//test_auto_move//signs_mov_separ_signers/Liz_990.mov" TargetMode="External"/><Relationship Id="rId9234" Type="http://schemas.openxmlformats.org/officeDocument/2006/relationships/hyperlink" Target="http://secrets.rutgers.edu:8080/data/asl-ftp/asllvd/demos/verify_start_end_handshape_annotations//test_auto_move//signs_mov_separ_signers/Liz_990.mov" TargetMode="External"/><Relationship Id="rId9235" Type="http://schemas.openxmlformats.org/officeDocument/2006/relationships/hyperlink" Target="http://csr.bu.edu/ftp/asl/asllvd/demos/verify_start_end_handshape_annotations//test_auto_move//signs_mov_separ_signers/Tyler_990.mov" TargetMode="External"/><Relationship Id="rId9236" Type="http://schemas.openxmlformats.org/officeDocument/2006/relationships/hyperlink" Target="http://secrets.rutgers.edu:8080/data/asl-ftp/asllvd/demos/verify_start_end_handshape_annotations//test_auto_move//signs_mov_separ_signers/Tyler_990.mov" TargetMode="External"/><Relationship Id="rId9237" Type="http://schemas.openxmlformats.org/officeDocument/2006/relationships/hyperlink" Target="http://csr.bu.edu/ftp/asl/asllvd/demos/verify_start_end_handshape_annotations//test_auto_move//signs_mov/990.mov" TargetMode="External"/><Relationship Id="rId9238" Type="http://schemas.openxmlformats.org/officeDocument/2006/relationships/hyperlink" Target="http://csr.bu.edu/ftp/asl/asllvd/demos/verify_start_end_handshape_annotations//test_auto_move//signs_mov_separ_signers/Naomi_990.mov" TargetMode="External"/><Relationship Id="rId9239" Type="http://schemas.openxmlformats.org/officeDocument/2006/relationships/hyperlink" Target="http://secrets.rutgers.edu:8080/data/asl-ftp/asllvd/demos/verify_start_end_handshape_annotations//test_auto_move//signs_mov/990.mov" TargetMode="External"/><Relationship Id="rId9240" Type="http://schemas.openxmlformats.org/officeDocument/2006/relationships/hyperlink" Target="http://secrets.rutgers.edu:8080/data/asl-ftp/asllvd/demos/verify_start_end_handshape_annotations//test_auto_move//signs_mov_separ_signers/Naomi_990.mov" TargetMode="External"/><Relationship Id="rId9241" Type="http://schemas.openxmlformats.org/officeDocument/2006/relationships/hyperlink" Target="http://csr.bu.edu/ftp/asl/asllvd/demos/verify_start_end_handshape_annotations//test_auto_move//signs_mov_separ_signers/Brady_990.mov" TargetMode="External"/><Relationship Id="rId9242" Type="http://schemas.openxmlformats.org/officeDocument/2006/relationships/hyperlink" Target="http://secrets.rutgers.edu:8080/data/asl-ftp/asllvd/demos/verify_start_end_handshape_annotations//test_auto_move//signs_mov_separ_signers/Brady_990.mov" TargetMode="External"/><Relationship Id="rId9243" Type="http://schemas.openxmlformats.org/officeDocument/2006/relationships/hyperlink" Target="http://csr.bu.edu/ftp/asl/asllvd/demos/verify_start_end_handshape_annotations//test_auto_move//signs_mov_separ_signers/Lana_990.mov" TargetMode="External"/><Relationship Id="rId9244" Type="http://schemas.openxmlformats.org/officeDocument/2006/relationships/hyperlink" Target="http://secrets.rutgers.edu:8080/data/asl-ftp/asllvd/demos/verify_start_end_handshape_annotations//test_auto_move//signs_mov_separ_signers/Lana_990.mov" TargetMode="External"/><Relationship Id="rId9245" Type="http://schemas.openxmlformats.org/officeDocument/2006/relationships/hyperlink" Target="http://csr.bu.edu/ftp/asl/asllvd/demos/verify_start_end_handshape_annotations//test_auto_move//signs_mov_separ_signers/Dana_990.mov" TargetMode="External"/><Relationship Id="rId9246" Type="http://schemas.openxmlformats.org/officeDocument/2006/relationships/hyperlink" Target="http://secrets.rutgers.edu:8080/data/asl-ftp/asllvd/demos/verify_start_end_handshape_annotations//test_auto_move//signs_mov_separ_signers/Dana_990.mov" TargetMode="External"/><Relationship Id="rId9247" Type="http://schemas.openxmlformats.org/officeDocument/2006/relationships/hyperlink" Target="http://csr.bu.edu/ftp/asl/asllvd/demos/verify_start_end_handshape_annotations//test_auto_move//signs_mov_separ_signers/Liz_15160.mov" TargetMode="External"/><Relationship Id="rId9248" Type="http://schemas.openxmlformats.org/officeDocument/2006/relationships/hyperlink" Target="http://secrets.rutgers.edu:8080/data/asl-ftp/asllvd/demos/verify_start_end_handshape_annotations//test_auto_move//signs_mov_separ_signers/Liz_15160.mov" TargetMode="External"/><Relationship Id="rId9249" Type="http://schemas.openxmlformats.org/officeDocument/2006/relationships/hyperlink" Target="http://csr.bu.edu/ftp/asl/asllvd/demos/verify_start_end_handshape_annotations//test_auto_move//signs_mov/15160.mov" TargetMode="External"/><Relationship Id="rId9250" Type="http://schemas.openxmlformats.org/officeDocument/2006/relationships/hyperlink" Target="http://csr.bu.edu/ftp/asl/asllvd/demos/verify_start_end_handshape_annotations//test_auto_move//signs_mov_separ_signers/Tyler_15160.mov" TargetMode="External"/><Relationship Id="rId9251" Type="http://schemas.openxmlformats.org/officeDocument/2006/relationships/hyperlink" Target="http://secrets.rutgers.edu:8080/data/asl-ftp/asllvd/demos/verify_start_end_handshape_annotations//test_auto_move//signs_mov/15160.mov" TargetMode="External"/><Relationship Id="rId9252" Type="http://schemas.openxmlformats.org/officeDocument/2006/relationships/hyperlink" Target="http://secrets.rutgers.edu:8080/data/asl-ftp/asllvd/demos/verify_start_end_handshape_annotations//test_auto_move//signs_mov_separ_signers/Tyler_15160.mov" TargetMode="External"/><Relationship Id="rId9253" Type="http://schemas.openxmlformats.org/officeDocument/2006/relationships/hyperlink" Target="http://csr.bu.edu/ftp/asl/asllvd/demos/verify_start_end_handshape_annotations//test_auto_move//signs_mov_separ_signers/Naomi_15160.mov" TargetMode="External"/><Relationship Id="rId9254" Type="http://schemas.openxmlformats.org/officeDocument/2006/relationships/hyperlink" Target="http://secrets.rutgers.edu:8080/data/asl-ftp/asllvd/demos/verify_start_end_handshape_annotations//test_auto_move//signs_mov_separ_signers/Naomi_15160.mov" TargetMode="External"/><Relationship Id="rId9255" Type="http://schemas.openxmlformats.org/officeDocument/2006/relationships/hyperlink" Target="http://csr.bu.edu/ftp/asl/asllvd/demos/verify_start_end_handshape_annotations//test_auto_move//signs_mov_separ_signers/Brady_15160.mov" TargetMode="External"/><Relationship Id="rId9256" Type="http://schemas.openxmlformats.org/officeDocument/2006/relationships/hyperlink" Target="http://secrets.rutgers.edu:8080/data/asl-ftp/asllvd/demos/verify_start_end_handshape_annotations//test_auto_move//signs_mov_separ_signers/Brady_15160.mov" TargetMode="External"/><Relationship Id="rId9257" Type="http://schemas.openxmlformats.org/officeDocument/2006/relationships/hyperlink" Target="http://csr.bu.edu/ftp/asl/asllvd/demos/verify_start_end_handshape_annotations//test_auto_move//signs_mov_separ_signers/Liz_991.mov" TargetMode="External"/><Relationship Id="rId9258" Type="http://schemas.openxmlformats.org/officeDocument/2006/relationships/hyperlink" Target="http://secrets.rutgers.edu:8080/data/asl-ftp/asllvd/demos/verify_start_end_handshape_annotations//test_auto_move//signs_mov_separ_signers/Liz_991.mov" TargetMode="External"/><Relationship Id="rId9259" Type="http://schemas.openxmlformats.org/officeDocument/2006/relationships/hyperlink" Target="http://csr.bu.edu/ftp/asl/asllvd/demos/verify_start_end_handshape_annotations//test_auto_move//signs_mov_separ_signers/Tyler_991.mov" TargetMode="External"/><Relationship Id="rId9260" Type="http://schemas.openxmlformats.org/officeDocument/2006/relationships/hyperlink" Target="http://secrets.rutgers.edu:8080/data/asl-ftp/asllvd/demos/verify_start_end_handshape_annotations//test_auto_move//signs_mov_separ_signers/Tyler_991.mov" TargetMode="External"/><Relationship Id="rId9261" Type="http://schemas.openxmlformats.org/officeDocument/2006/relationships/hyperlink" Target="http://csr.bu.edu/ftp/asl/asllvd/demos/verify_start_end_handshape_annotations//test_auto_move//signs_mov/991.mov" TargetMode="External"/><Relationship Id="rId9262" Type="http://schemas.openxmlformats.org/officeDocument/2006/relationships/hyperlink" Target="http://csr.bu.edu/ftp/asl/asllvd/demos/verify_start_end_handshape_annotations//test_auto_move//signs_mov_separ_signers/Naomi_991.mov" TargetMode="External"/><Relationship Id="rId9263" Type="http://schemas.openxmlformats.org/officeDocument/2006/relationships/hyperlink" Target="http://secrets.rutgers.edu:8080/data/asl-ftp/asllvd/demos/verify_start_end_handshape_annotations//test_auto_move//signs_mov/991.mov" TargetMode="External"/><Relationship Id="rId9264" Type="http://schemas.openxmlformats.org/officeDocument/2006/relationships/hyperlink" Target="http://secrets.rutgers.edu:8080/data/asl-ftp/asllvd/demos/verify_start_end_handshape_annotations//test_auto_move//signs_mov_separ_signers/Naomi_991.mov" TargetMode="External"/><Relationship Id="rId9265" Type="http://schemas.openxmlformats.org/officeDocument/2006/relationships/hyperlink" Target="http://csr.bu.edu/ftp/asl/asllvd/demos/verify_start_end_handshape_annotations//test_auto_move//signs_mov_separ_signers/Brady_991.mov" TargetMode="External"/><Relationship Id="rId9266" Type="http://schemas.openxmlformats.org/officeDocument/2006/relationships/hyperlink" Target="http://secrets.rutgers.edu:8080/data/asl-ftp/asllvd/demos/verify_start_end_handshape_annotations//test_auto_move//signs_mov_separ_signers/Brady_991.mov" TargetMode="External"/><Relationship Id="rId9267" Type="http://schemas.openxmlformats.org/officeDocument/2006/relationships/hyperlink" Target="http://csr.bu.edu/ftp/asl/asllvd/demos/verify_start_end_handshape_annotations//test_auto_move//signs_mov_separ_signers/Lana_991.mov" TargetMode="External"/><Relationship Id="rId9268" Type="http://schemas.openxmlformats.org/officeDocument/2006/relationships/hyperlink" Target="http://secrets.rutgers.edu:8080/data/asl-ftp/asllvd/demos/verify_start_end_handshape_annotations//test_auto_move//signs_mov_separ_signers/Lana_991.mov" TargetMode="External"/><Relationship Id="rId9269" Type="http://schemas.openxmlformats.org/officeDocument/2006/relationships/hyperlink" Target="http://csr.bu.edu/ftp/asl/asllvd/demos/verify_start_end_handshape_annotations//test_auto_move//signs_mov_separ_signers/Dana_991.mov" TargetMode="External"/><Relationship Id="rId9270" Type="http://schemas.openxmlformats.org/officeDocument/2006/relationships/hyperlink" Target="http://secrets.rutgers.edu:8080/data/asl-ftp/asllvd/demos/verify_start_end_handshape_annotations//test_auto_move//signs_mov_separ_signers/Dana_991.mov" TargetMode="External"/><Relationship Id="rId9271" Type="http://schemas.openxmlformats.org/officeDocument/2006/relationships/hyperlink" Target="http://csr.bu.edu/ftp/asl/asllvd/demos/verify_start_end_handshape_annotations//test_auto_move//signs_mov_separ_signers/Liz_15251.mov" TargetMode="External"/><Relationship Id="rId9272" Type="http://schemas.openxmlformats.org/officeDocument/2006/relationships/hyperlink" Target="http://secrets.rutgers.edu:8080/data/asl-ftp/asllvd/demos/verify_start_end_handshape_annotations//test_auto_move//signs_mov_separ_signers/Liz_15251.mov" TargetMode="External"/><Relationship Id="rId9273" Type="http://schemas.openxmlformats.org/officeDocument/2006/relationships/hyperlink" Target="http://csr.bu.edu/ftp/asl/asllvd/demos/verify_start_end_handshape_annotations//test_auto_move//signs_mov/15251.mov" TargetMode="External"/><Relationship Id="rId9274" Type="http://schemas.openxmlformats.org/officeDocument/2006/relationships/hyperlink" Target="http://csr.bu.edu/ftp/asl/asllvd/demos/verify_start_end_handshape_annotations//test_auto_move//signs_mov_separ_signers/Naomi_15251.mov" TargetMode="External"/><Relationship Id="rId9275" Type="http://schemas.openxmlformats.org/officeDocument/2006/relationships/hyperlink" Target="http://secrets.rutgers.edu:8080/data/asl-ftp/asllvd/demos/verify_start_end_handshape_annotations//test_auto_move//signs_mov/15251.mov" TargetMode="External"/><Relationship Id="rId9276" Type="http://schemas.openxmlformats.org/officeDocument/2006/relationships/hyperlink" Target="http://secrets.rutgers.edu:8080/data/asl-ftp/asllvd/demos/verify_start_end_handshape_annotations//test_auto_move//signs_mov_separ_signers/Naomi_15251.mov" TargetMode="External"/><Relationship Id="rId9277" Type="http://schemas.openxmlformats.org/officeDocument/2006/relationships/hyperlink" Target="http://csr.bu.edu/ftp/asl/asllvd/demos/verify_start_end_handshape_annotations//test_auto_move//signs_mov_separ_signers/Brady_15251.mov" TargetMode="External"/><Relationship Id="rId9278" Type="http://schemas.openxmlformats.org/officeDocument/2006/relationships/hyperlink" Target="http://secrets.rutgers.edu:8080/data/asl-ftp/asllvd/demos/verify_start_end_handshape_annotations//test_auto_move//signs_mov_separ_signers/Brady_15251.mov" TargetMode="External"/><Relationship Id="rId9279" Type="http://schemas.openxmlformats.org/officeDocument/2006/relationships/hyperlink" Target="http://csr.bu.edu/ftp/asl/asllvd/demos/verify_start_end_handshape_annotations//test_auto_move//signs_mov/15267.mov" TargetMode="External"/><Relationship Id="rId9280" Type="http://schemas.openxmlformats.org/officeDocument/2006/relationships/hyperlink" Target="http://csr.bu.edu/ftp/asl/asllvd/demos/verify_start_end_handshape_annotations//test_auto_move//signs_mov_separ_signers/Tyler_15267.mov" TargetMode="External"/><Relationship Id="rId9281" Type="http://schemas.openxmlformats.org/officeDocument/2006/relationships/hyperlink" Target="http://secrets.rutgers.edu:8080/data/asl-ftp/asllvd/demos/verify_start_end_handshape_annotations//test_auto_move//signs_mov/15267.mov" TargetMode="External"/><Relationship Id="rId9282" Type="http://schemas.openxmlformats.org/officeDocument/2006/relationships/hyperlink" Target="http://secrets.rutgers.edu:8080/data/asl-ftp/asllvd/demos/verify_start_end_handshape_annotations//test_auto_move//signs_mov_separ_signers/Tyler_15267.mov" TargetMode="External"/><Relationship Id="rId9283" Type="http://schemas.openxmlformats.org/officeDocument/2006/relationships/hyperlink" Target="http://csr.bu.edu/ftp/asl/asllvd/demos/verify_start_end_handshape_annotations//test_auto_move//signs_mov_separ_signers/Brady_15267.mov" TargetMode="External"/><Relationship Id="rId9284" Type="http://schemas.openxmlformats.org/officeDocument/2006/relationships/hyperlink" Target="http://secrets.rutgers.edu:8080/data/asl-ftp/asllvd/demos/verify_start_end_handshape_annotations//test_auto_move//signs_mov_separ_signers/Brady_15267.mov" TargetMode="External"/><Relationship Id="rId9285" Type="http://schemas.openxmlformats.org/officeDocument/2006/relationships/hyperlink" Target="http://csr.bu.edu/ftp/asl/asllvd/demos/verify_start_end_handshape_annotations//test_auto_move//signs_mov/15425.mov" TargetMode="External"/><Relationship Id="rId9286" Type="http://schemas.openxmlformats.org/officeDocument/2006/relationships/hyperlink" Target="http://csr.bu.edu/ftp/asl/asllvd/demos/verify_start_end_handshape_annotations//test_auto_move//signs_mov_separ_signers/Liz_15425.mov" TargetMode="External"/><Relationship Id="rId9287" Type="http://schemas.openxmlformats.org/officeDocument/2006/relationships/hyperlink" Target="http://secrets.rutgers.edu:8080/data/asl-ftp/asllvd/demos/verify_start_end_handshape_annotations//test_auto_move//signs_mov/15425.mov" TargetMode="External"/><Relationship Id="rId9288" Type="http://schemas.openxmlformats.org/officeDocument/2006/relationships/hyperlink" Target="http://secrets.rutgers.edu:8080/data/asl-ftp/asllvd/demos/verify_start_end_handshape_annotations//test_auto_move//signs_mov_separ_signers/Liz_15425.mov" TargetMode="External"/><Relationship Id="rId9289" Type="http://schemas.openxmlformats.org/officeDocument/2006/relationships/hyperlink" Target="http://csr.bu.edu/ftp/asl/asllvd/demos/verify_start_end_handshape_annotations//test_auto_move//signs_mov_separ_signers/Brady_15425.mov" TargetMode="External"/><Relationship Id="rId9290" Type="http://schemas.openxmlformats.org/officeDocument/2006/relationships/hyperlink" Target="http://secrets.rutgers.edu:8080/data/asl-ftp/asllvd/demos/verify_start_end_handshape_annotations//test_auto_move//signs_mov_separ_signers/Brady_15425.mov" TargetMode="External"/><Relationship Id="rId9291" Type="http://schemas.openxmlformats.org/officeDocument/2006/relationships/hyperlink" Target="http://csr.bu.edu/ftp/asl/asllvd/demos/verify_start_end_handshape_annotations//test_auto_move//signs_mov/15456.mov" TargetMode="External"/><Relationship Id="rId9292" Type="http://schemas.openxmlformats.org/officeDocument/2006/relationships/hyperlink" Target="http://csr.bu.edu/ftp/asl/asllvd/demos/verify_start_end_handshape_annotations//test_auto_move//signs_mov_separ_signers/Liz_15456.mov" TargetMode="External"/><Relationship Id="rId9293" Type="http://schemas.openxmlformats.org/officeDocument/2006/relationships/hyperlink" Target="http://secrets.rutgers.edu:8080/data/asl-ftp/asllvd/demos/verify_start_end_handshape_annotations//test_auto_move//signs_mov/15456.mov" TargetMode="External"/><Relationship Id="rId9294" Type="http://schemas.openxmlformats.org/officeDocument/2006/relationships/hyperlink" Target="http://secrets.rutgers.edu:8080/data/asl-ftp/asllvd/demos/verify_start_end_handshape_annotations//test_auto_move//signs_mov_separ_signers/Liz_15456.mov" TargetMode="External"/><Relationship Id="rId9295" Type="http://schemas.openxmlformats.org/officeDocument/2006/relationships/hyperlink" Target="http://csr.bu.edu/ftp/asl/asllvd/demos/verify_start_end_handshape_annotations//test_auto_move//signs_mov_separ_signers/Brady_15456.mov" TargetMode="External"/><Relationship Id="rId9296" Type="http://schemas.openxmlformats.org/officeDocument/2006/relationships/hyperlink" Target="http://secrets.rutgers.edu:8080/data/asl-ftp/asllvd/demos/verify_start_end_handshape_annotations//test_auto_move//signs_mov_separ_signers/Brady_15456.mov" TargetMode="External"/><Relationship Id="rId9297" Type="http://schemas.openxmlformats.org/officeDocument/2006/relationships/hyperlink" Target="http://csr.bu.edu/ftp/asl/asllvd/demos/verify_start_end_handshape_annotations//test_auto_move//signs_mov_separ_signers/Liz_992.mov" TargetMode="External"/><Relationship Id="rId9298" Type="http://schemas.openxmlformats.org/officeDocument/2006/relationships/hyperlink" Target="http://secrets.rutgers.edu:8080/data/asl-ftp/asllvd/demos/verify_start_end_handshape_annotations//test_auto_move//signs_mov_separ_signers/Liz_992.mov" TargetMode="External"/><Relationship Id="rId9299" Type="http://schemas.openxmlformats.org/officeDocument/2006/relationships/hyperlink" Target="http://csr.bu.edu/ftp/asl/asllvd/demos/verify_start_end_handshape_annotations//test_auto_move//signs_mov/992.mov" TargetMode="External"/><Relationship Id="rId9300" Type="http://schemas.openxmlformats.org/officeDocument/2006/relationships/hyperlink" Target="http://csr.bu.edu/ftp/asl/asllvd/demos/verify_start_end_handshape_annotations//test_auto_move//signs_mov_separ_signers/Tyler_992.mov" TargetMode="External"/><Relationship Id="rId9301" Type="http://schemas.openxmlformats.org/officeDocument/2006/relationships/hyperlink" Target="http://secrets.rutgers.edu:8080/data/asl-ftp/asllvd/demos/verify_start_end_handshape_annotations//test_auto_move//signs_mov/992.mov" TargetMode="External"/><Relationship Id="rId9302" Type="http://schemas.openxmlformats.org/officeDocument/2006/relationships/hyperlink" Target="http://secrets.rutgers.edu:8080/data/asl-ftp/asllvd/demos/verify_start_end_handshape_annotations//test_auto_move//signs_mov_separ_signers/Tyler_992.mov" TargetMode="External"/><Relationship Id="rId9303" Type="http://schemas.openxmlformats.org/officeDocument/2006/relationships/hyperlink" Target="http://csr.bu.edu/ftp/asl/asllvd/demos/verify_start_end_handshape_annotations//test_auto_move//signs_mov_separ_signers/Naomi_992.mov" TargetMode="External"/><Relationship Id="rId9304" Type="http://schemas.openxmlformats.org/officeDocument/2006/relationships/hyperlink" Target="http://secrets.rutgers.edu:8080/data/asl-ftp/asllvd/demos/verify_start_end_handshape_annotations//test_auto_move//signs_mov_separ_signers/Naomi_992.mov" TargetMode="External"/><Relationship Id="rId9305" Type="http://schemas.openxmlformats.org/officeDocument/2006/relationships/hyperlink" Target="http://csr.bu.edu/ftp/asl/asllvd/demos/verify_start_end_handshape_annotations//test_auto_move//signs_mov_separ_signers/Brady_992.mov" TargetMode="External"/><Relationship Id="rId9306" Type="http://schemas.openxmlformats.org/officeDocument/2006/relationships/hyperlink" Target="http://secrets.rutgers.edu:8080/data/asl-ftp/asllvd/demos/verify_start_end_handshape_annotations//test_auto_move//signs_mov_separ_signers/Brady_992.mov" TargetMode="External"/><Relationship Id="rId9307" Type="http://schemas.openxmlformats.org/officeDocument/2006/relationships/hyperlink" Target="http://csr.bu.edu/ftp/asl/asllvd/demos/verify_start_end_handshape_annotations//test_auto_move//signs_mov_separ_signers/Liz_993.mov" TargetMode="External"/><Relationship Id="rId9308" Type="http://schemas.openxmlformats.org/officeDocument/2006/relationships/hyperlink" Target="http://secrets.rutgers.edu:8080/data/asl-ftp/asllvd/demos/verify_start_end_handshape_annotations//test_auto_move//signs_mov_separ_signers/Liz_993.mov" TargetMode="External"/><Relationship Id="rId9309" Type="http://schemas.openxmlformats.org/officeDocument/2006/relationships/hyperlink" Target="http://csr.bu.edu/ftp/asl/asllvd/demos/verify_start_end_handshape_annotations//test_auto_move//signs_mov/993.mov" TargetMode="External"/><Relationship Id="rId9310" Type="http://schemas.openxmlformats.org/officeDocument/2006/relationships/hyperlink" Target="http://csr.bu.edu/ftp/asl/asllvd/demos/verify_start_end_handshape_annotations//test_auto_move//signs_mov_separ_signers/Tyler_993.mov" TargetMode="External"/><Relationship Id="rId9311" Type="http://schemas.openxmlformats.org/officeDocument/2006/relationships/hyperlink" Target="http://secrets.rutgers.edu:8080/data/asl-ftp/asllvd/demos/verify_start_end_handshape_annotations//test_auto_move//signs_mov/993.mov" TargetMode="External"/><Relationship Id="rId9312" Type="http://schemas.openxmlformats.org/officeDocument/2006/relationships/hyperlink" Target="http://secrets.rutgers.edu:8080/data/asl-ftp/asllvd/demos/verify_start_end_handshape_annotations//test_auto_move//signs_mov_separ_signers/Tyler_993.mov" TargetMode="External"/><Relationship Id="rId9313" Type="http://schemas.openxmlformats.org/officeDocument/2006/relationships/hyperlink" Target="http://csr.bu.edu/ftp/asl/asllvd/demos/verify_start_end_handshape_annotations//test_auto_move//signs_mov_separ_signers/Naomi_993.mov" TargetMode="External"/><Relationship Id="rId9314" Type="http://schemas.openxmlformats.org/officeDocument/2006/relationships/hyperlink" Target="http://secrets.rutgers.edu:8080/data/asl-ftp/asllvd/demos/verify_start_end_handshape_annotations//test_auto_move//signs_mov_separ_signers/Naomi_993.mov" TargetMode="External"/><Relationship Id="rId9315" Type="http://schemas.openxmlformats.org/officeDocument/2006/relationships/hyperlink" Target="http://csr.bu.edu/ftp/asl/asllvd/demos/verify_start_end_handshape_annotations//test_auto_move//signs_mov_separ_signers/Brady_993.mov" TargetMode="External"/><Relationship Id="rId9316" Type="http://schemas.openxmlformats.org/officeDocument/2006/relationships/hyperlink" Target="http://secrets.rutgers.edu:8080/data/asl-ftp/asllvd/demos/verify_start_end_handshape_annotations//test_auto_move//signs_mov_separ_signers/Brady_993.mov" TargetMode="External"/><Relationship Id="rId9317" Type="http://schemas.openxmlformats.org/officeDocument/2006/relationships/hyperlink" Target="http://csr.bu.edu/ftp/asl/asllvd/demos/verify_start_end_handshape_annotations//test_auto_move//signs_mov/995.mov" TargetMode="External"/><Relationship Id="rId9318" Type="http://schemas.openxmlformats.org/officeDocument/2006/relationships/hyperlink" Target="http://csr.bu.edu/ftp/asl/asllvd/demos/verify_start_end_handshape_annotations//test_auto_move//signs_mov_separ_signers/Tyler_995.mov" TargetMode="External"/><Relationship Id="rId9319" Type="http://schemas.openxmlformats.org/officeDocument/2006/relationships/hyperlink" Target="http://secrets.rutgers.edu:8080/data/asl-ftp/asllvd/demos/verify_start_end_handshape_annotations//test_auto_move//signs_mov/995.mov" TargetMode="External"/><Relationship Id="rId9320" Type="http://schemas.openxmlformats.org/officeDocument/2006/relationships/hyperlink" Target="http://secrets.rutgers.edu:8080/data/asl-ftp/asllvd/demos/verify_start_end_handshape_annotations//test_auto_move//signs_mov_separ_signers/Tyler_995.mov" TargetMode="External"/><Relationship Id="rId9321" Type="http://schemas.openxmlformats.org/officeDocument/2006/relationships/hyperlink" Target="http://csr.bu.edu/ftp/asl/asllvd/demos/verify_start_end_handshape_annotations//test_auto_move//signs_mov/4762.mov" TargetMode="External"/><Relationship Id="rId9322" Type="http://schemas.openxmlformats.org/officeDocument/2006/relationships/hyperlink" Target="http://csr.bu.edu/ftp/asl/asllvd/demos/verify_start_end_handshape_annotations//test_auto_move//signs_mov_separ_signers/Liz_4762.mov" TargetMode="External"/><Relationship Id="rId9323" Type="http://schemas.openxmlformats.org/officeDocument/2006/relationships/hyperlink" Target="http://secrets.rutgers.edu:8080/data/asl-ftp/asllvd/demos/verify_start_end_handshape_annotations//test_auto_move//signs_mov/4762.mov" TargetMode="External"/><Relationship Id="rId9324" Type="http://schemas.openxmlformats.org/officeDocument/2006/relationships/hyperlink" Target="http://secrets.rutgers.edu:8080/data/asl-ftp/asllvd/demos/verify_start_end_handshape_annotations//test_auto_move//signs_mov_separ_signers/Liz_4762.mov" TargetMode="External"/><Relationship Id="rId9325" Type="http://schemas.openxmlformats.org/officeDocument/2006/relationships/hyperlink" Target="http://csr.bu.edu/ftp/asl/asllvd/demos/verify_start_end_handshape_annotations//test_auto_move//signs_mov_separ_signers/Naomi_4762.mov" TargetMode="External"/><Relationship Id="rId9326" Type="http://schemas.openxmlformats.org/officeDocument/2006/relationships/hyperlink" Target="http://secrets.rutgers.edu:8080/data/asl-ftp/asllvd/demos/verify_start_end_handshape_annotations//test_auto_move//signs_mov_separ_signers/Naomi_4762.mov" TargetMode="External"/><Relationship Id="rId9327" Type="http://schemas.openxmlformats.org/officeDocument/2006/relationships/hyperlink" Target="http://csr.bu.edu/ftp/asl/asllvd/demos/verify_start_end_handshape_annotations//test_auto_move//signs_mov/4763.mov" TargetMode="External"/><Relationship Id="rId9328" Type="http://schemas.openxmlformats.org/officeDocument/2006/relationships/hyperlink" Target="http://csr.bu.edu/ftp/asl/asllvd/demos/verify_start_end_handshape_annotations//test_auto_move//signs_mov_separ_signers/Brady_4763.mov" TargetMode="External"/><Relationship Id="rId9329" Type="http://schemas.openxmlformats.org/officeDocument/2006/relationships/hyperlink" Target="http://secrets.rutgers.edu:8080/data/asl-ftp/asllvd/demos/verify_start_end_handshape_annotations//test_auto_move//signs_mov/4763.mov" TargetMode="External"/><Relationship Id="rId9330" Type="http://schemas.openxmlformats.org/officeDocument/2006/relationships/hyperlink" Target="http://secrets.rutgers.edu:8080/data/asl-ftp/asllvd/demos/verify_start_end_handshape_annotations//test_auto_move//signs_mov_separ_signers/Brady_4763.mov" TargetMode="External"/><Relationship Id="rId9331" Type="http://schemas.openxmlformats.org/officeDocument/2006/relationships/hyperlink" Target="http://csr.bu.edu/ftp/asl/asllvd/demos/verify_start_end_handshape_annotations//test_auto_move//signs_mov_separ_signers/Liz_997.mov" TargetMode="External"/><Relationship Id="rId9332" Type="http://schemas.openxmlformats.org/officeDocument/2006/relationships/hyperlink" Target="http://secrets.rutgers.edu:8080/data/asl-ftp/asllvd/demos/verify_start_end_handshape_annotations//test_auto_move//signs_mov_separ_signers/Liz_997.mov" TargetMode="External"/><Relationship Id="rId9333" Type="http://schemas.openxmlformats.org/officeDocument/2006/relationships/hyperlink" Target="http://csr.bu.edu/ftp/asl/asllvd/demos/verify_start_end_handshape_annotations//test_auto_move//signs_mov/997.mov" TargetMode="External"/><Relationship Id="rId9334" Type="http://schemas.openxmlformats.org/officeDocument/2006/relationships/hyperlink" Target="http://csr.bu.edu/ftp/asl/asllvd/demos/verify_start_end_handshape_annotations//test_auto_move//signs_mov_separ_signers/Tyler_997.mov" TargetMode="External"/><Relationship Id="rId9335" Type="http://schemas.openxmlformats.org/officeDocument/2006/relationships/hyperlink" Target="http://secrets.rutgers.edu:8080/data/asl-ftp/asllvd/demos/verify_start_end_handshape_annotations//test_auto_move//signs_mov/997.mov" TargetMode="External"/><Relationship Id="rId9336" Type="http://schemas.openxmlformats.org/officeDocument/2006/relationships/hyperlink" Target="http://secrets.rutgers.edu:8080/data/asl-ftp/asllvd/demos/verify_start_end_handshape_annotations//test_auto_move//signs_mov_separ_signers/Tyler_997.mov" TargetMode="External"/><Relationship Id="rId9337" Type="http://schemas.openxmlformats.org/officeDocument/2006/relationships/hyperlink" Target="http://csr.bu.edu/ftp/asl/asllvd/demos/verify_start_end_handshape_annotations//test_auto_move//signs_mov_separ_signers/Naomi_997.mov" TargetMode="External"/><Relationship Id="rId9338" Type="http://schemas.openxmlformats.org/officeDocument/2006/relationships/hyperlink" Target="http://secrets.rutgers.edu:8080/data/asl-ftp/asllvd/demos/verify_start_end_handshape_annotations//test_auto_move//signs_mov_separ_signers/Naomi_997.mov" TargetMode="External"/><Relationship Id="rId9339" Type="http://schemas.openxmlformats.org/officeDocument/2006/relationships/hyperlink" Target="http://csr.bu.edu/ftp/asl/asllvd/demos/verify_start_end_handshape_annotations//test_auto_move//signs_mov_separ_signers/Brady_997.mov" TargetMode="External"/><Relationship Id="rId9340" Type="http://schemas.openxmlformats.org/officeDocument/2006/relationships/hyperlink" Target="http://secrets.rutgers.edu:8080/data/asl-ftp/asllvd/demos/verify_start_end_handshape_annotations//test_auto_move//signs_mov_separ_signers/Brady_997.mov" TargetMode="External"/><Relationship Id="rId9341" Type="http://schemas.openxmlformats.org/officeDocument/2006/relationships/hyperlink" Target="http://csr.bu.edu/ftp/asl/asllvd/demos/verify_start_end_handshape_annotations//test_auto_move//signs_mov_separ_signers/Liz_998.mov" TargetMode="External"/><Relationship Id="rId9342" Type="http://schemas.openxmlformats.org/officeDocument/2006/relationships/hyperlink" Target="http://secrets.rutgers.edu:8080/data/asl-ftp/asllvd/demos/verify_start_end_handshape_annotations//test_auto_move//signs_mov_separ_signers/Liz_998.mov" TargetMode="External"/><Relationship Id="rId9343" Type="http://schemas.openxmlformats.org/officeDocument/2006/relationships/hyperlink" Target="http://csr.bu.edu/ftp/asl/asllvd/demos/verify_start_end_handshape_annotations//test_auto_move//signs_mov/998.mov" TargetMode="External"/><Relationship Id="rId9344" Type="http://schemas.openxmlformats.org/officeDocument/2006/relationships/hyperlink" Target="http://csr.bu.edu/ftp/asl/asllvd/demos/verify_start_end_handshape_annotations//test_auto_move//signs_mov_separ_signers/Tyler_998.mov" TargetMode="External"/><Relationship Id="rId9345" Type="http://schemas.openxmlformats.org/officeDocument/2006/relationships/hyperlink" Target="http://secrets.rutgers.edu:8080/data/asl-ftp/asllvd/demos/verify_start_end_handshape_annotations//test_auto_move//signs_mov/998.mov" TargetMode="External"/><Relationship Id="rId9346" Type="http://schemas.openxmlformats.org/officeDocument/2006/relationships/hyperlink" Target="http://secrets.rutgers.edu:8080/data/asl-ftp/asllvd/demos/verify_start_end_handshape_annotations//test_auto_move//signs_mov_separ_signers/Tyler_998.mov" TargetMode="External"/><Relationship Id="rId9347" Type="http://schemas.openxmlformats.org/officeDocument/2006/relationships/hyperlink" Target="http://csr.bu.edu/ftp/asl/asllvd/demos/verify_start_end_handshape_annotations//test_auto_move//signs_mov_separ_signers/Naomi_998.mov" TargetMode="External"/><Relationship Id="rId9348" Type="http://schemas.openxmlformats.org/officeDocument/2006/relationships/hyperlink" Target="http://secrets.rutgers.edu:8080/data/asl-ftp/asllvd/demos/verify_start_end_handshape_annotations//test_auto_move//signs_mov_separ_signers/Naomi_998.mov" TargetMode="External"/><Relationship Id="rId9349" Type="http://schemas.openxmlformats.org/officeDocument/2006/relationships/hyperlink" Target="http://csr.bu.edu/ftp/asl/asllvd/demos/verify_start_end_handshape_annotations//test_auto_move//signs_mov_separ_signers/Brady_998.mov" TargetMode="External"/><Relationship Id="rId9350" Type="http://schemas.openxmlformats.org/officeDocument/2006/relationships/hyperlink" Target="http://secrets.rutgers.edu:8080/data/asl-ftp/asllvd/demos/verify_start_end_handshape_annotations//test_auto_move//signs_mov_separ_signers/Brady_998.mov" TargetMode="External"/><Relationship Id="rId9351" Type="http://schemas.openxmlformats.org/officeDocument/2006/relationships/hyperlink" Target="http://csr.bu.edu/ftp/asl/asllvd/demos/verify_start_end_handshape_annotations//test_auto_move//signs_mov_separ_signers/Tyler_999.mov" TargetMode="External"/><Relationship Id="rId9352" Type="http://schemas.openxmlformats.org/officeDocument/2006/relationships/hyperlink" Target="http://secrets.rutgers.edu:8080/data/asl-ftp/asllvd/demos/verify_start_end_handshape_annotations//test_auto_move//signs_mov_separ_signers/Tyler_999.mov" TargetMode="External"/><Relationship Id="rId9353" Type="http://schemas.openxmlformats.org/officeDocument/2006/relationships/hyperlink" Target="http://csr.bu.edu/ftp/asl/asllvd/demos/verify_start_end_handshape_annotations//test_auto_move//signs_mov/999_5310_merged.mov" TargetMode="External"/><Relationship Id="rId9354" Type="http://schemas.openxmlformats.org/officeDocument/2006/relationships/hyperlink" Target="http://csr.bu.edu/ftp/asl/asllvd/demos/verify_start_end_handshape_annotations//test_auto_move//signs_mov_separ_signers/Brady_999.mov" TargetMode="External"/><Relationship Id="rId9355" Type="http://schemas.openxmlformats.org/officeDocument/2006/relationships/hyperlink" Target="http://secrets.rutgers.edu:8080/data/asl-ftp/asllvd/demos/verify_start_end_handshape_annotations//test_auto_move//signs_mov/999_5310_merged.mov" TargetMode="External"/><Relationship Id="rId9356" Type="http://schemas.openxmlformats.org/officeDocument/2006/relationships/hyperlink" Target="http://secrets.rutgers.edu:8080/data/asl-ftp/asllvd/demos/verify_start_end_handshape_annotations//test_auto_move//signs_mov_separ_signers/Brady_999.mov" TargetMode="External"/><Relationship Id="rId9357" Type="http://schemas.openxmlformats.org/officeDocument/2006/relationships/hyperlink" Target="http://csr.bu.edu/ftp/asl/asllvd/demos/verify_start_end_handshape_annotations//test_auto_move//signs_mov_separ_signers/Brady_5310.mov" TargetMode="External"/><Relationship Id="rId9358" Type="http://schemas.openxmlformats.org/officeDocument/2006/relationships/hyperlink" Target="http://secrets.rutgers.edu:8080/data/asl-ftp/asllvd/demos/verify_start_end_handshape_annotations//test_auto_move//signs_mov_separ_signers/Brady_5310.mov" TargetMode="External"/><Relationship Id="rId9359" Type="http://schemas.openxmlformats.org/officeDocument/2006/relationships/hyperlink" Target="http://csr.bu.edu/ftp/asl/asllvd/demos/verify_start_end_handshape_annotations//test_auto_move//signs_mov/16373.mov" TargetMode="External"/><Relationship Id="rId9360" Type="http://schemas.openxmlformats.org/officeDocument/2006/relationships/hyperlink" Target="http://csr.bu.edu/ftp/asl/asllvd/demos/verify_start_end_handshape_annotations//test_auto_move//signs_mov_separ_signers/Liz_16373.mov" TargetMode="External"/><Relationship Id="rId9361" Type="http://schemas.openxmlformats.org/officeDocument/2006/relationships/hyperlink" Target="http://secrets.rutgers.edu:8080/data/asl-ftp/asllvd/demos/verify_start_end_handshape_annotations//test_auto_move//signs_mov/16373.mov" TargetMode="External"/><Relationship Id="rId9362" Type="http://schemas.openxmlformats.org/officeDocument/2006/relationships/hyperlink" Target="http://secrets.rutgers.edu:8080/data/asl-ftp/asllvd/demos/verify_start_end_handshape_annotations//test_auto_move//signs_mov_separ_signers/Liz_16373.mov" TargetMode="External"/><Relationship Id="rId9363" Type="http://schemas.openxmlformats.org/officeDocument/2006/relationships/hyperlink" Target="http://csr.bu.edu/ftp/asl/asllvd/demos/verify_start_end_handshape_annotations//test_auto_move//signs_mov_separ_signers/Naomi_16373.mov" TargetMode="External"/><Relationship Id="rId9364" Type="http://schemas.openxmlformats.org/officeDocument/2006/relationships/hyperlink" Target="http://secrets.rutgers.edu:8080/data/asl-ftp/asllvd/demos/verify_start_end_handshape_annotations//test_auto_move//signs_mov_separ_signers/Naomi_16373.mov" TargetMode="External"/><Relationship Id="rId9365" Type="http://schemas.openxmlformats.org/officeDocument/2006/relationships/hyperlink" Target="http://csr.bu.edu/ftp/asl/asllvd/demos/verify_start_end_handshape_annotations//test_auto_move//signs_mov_separ_signers/Liz_1004.mov" TargetMode="External"/><Relationship Id="rId9366" Type="http://schemas.openxmlformats.org/officeDocument/2006/relationships/hyperlink" Target="http://secrets.rutgers.edu:8080/data/asl-ftp/asllvd/demos/verify_start_end_handshape_annotations//test_auto_move//signs_mov_separ_signers/Liz_1004.mov" TargetMode="External"/><Relationship Id="rId9367" Type="http://schemas.openxmlformats.org/officeDocument/2006/relationships/hyperlink" Target="http://csr.bu.edu/ftp/asl/asllvd/demos/verify_start_end_handshape_annotations//test_auto_move//signs_mov/1004.mov" TargetMode="External"/><Relationship Id="rId9368" Type="http://schemas.openxmlformats.org/officeDocument/2006/relationships/hyperlink" Target="http://csr.bu.edu/ftp/asl/asllvd/demos/verify_start_end_handshape_annotations//test_auto_move//signs_mov_separ_signers/Tyler_1004.mov" TargetMode="External"/><Relationship Id="rId9369" Type="http://schemas.openxmlformats.org/officeDocument/2006/relationships/hyperlink" Target="http://secrets.rutgers.edu:8080/data/asl-ftp/asllvd/demos/verify_start_end_handshape_annotations//test_auto_move//signs_mov/1004.mov" TargetMode="External"/><Relationship Id="rId9370" Type="http://schemas.openxmlformats.org/officeDocument/2006/relationships/hyperlink" Target="http://secrets.rutgers.edu:8080/data/asl-ftp/asllvd/demos/verify_start_end_handshape_annotations//test_auto_move//signs_mov_separ_signers/Tyler_1004.mov" TargetMode="External"/><Relationship Id="rId9371" Type="http://schemas.openxmlformats.org/officeDocument/2006/relationships/hyperlink" Target="http://csr.bu.edu/ftp/asl/asllvd/demos/verify_start_end_handshape_annotations//test_auto_move//signs_mov_separ_signers/Naomi_1004.mov" TargetMode="External"/><Relationship Id="rId9372" Type="http://schemas.openxmlformats.org/officeDocument/2006/relationships/hyperlink" Target="http://secrets.rutgers.edu:8080/data/asl-ftp/asllvd/demos/verify_start_end_handshape_annotations//test_auto_move//signs_mov_separ_signers/Naomi_1004.mov" TargetMode="External"/><Relationship Id="rId9373" Type="http://schemas.openxmlformats.org/officeDocument/2006/relationships/hyperlink" Target="http://csr.bu.edu/ftp/asl/asllvd/demos/verify_start_end_handshape_annotations//test_auto_move//signs_mov_separ_signers/Brady_1004.mov" TargetMode="External"/><Relationship Id="rId9374" Type="http://schemas.openxmlformats.org/officeDocument/2006/relationships/hyperlink" Target="http://secrets.rutgers.edu:8080/data/asl-ftp/asllvd/demos/verify_start_end_handshape_annotations//test_auto_move//signs_mov_separ_signers/Brady_1004.mov" TargetMode="External"/><Relationship Id="rId9375" Type="http://schemas.openxmlformats.org/officeDocument/2006/relationships/hyperlink" Target="http://csr.bu.edu/ftp/asl/asllvd/demos/verify_start_end_handshape_annotations//test_auto_move//signs_mov_separ_signers/Liz_15424.mov" TargetMode="External"/><Relationship Id="rId9376" Type="http://schemas.openxmlformats.org/officeDocument/2006/relationships/hyperlink" Target="http://secrets.rutgers.edu:8080/data/asl-ftp/asllvd/demos/verify_start_end_handshape_annotations//test_auto_move//signs_mov_separ_signers/Liz_15424.mov" TargetMode="External"/><Relationship Id="rId9377" Type="http://schemas.openxmlformats.org/officeDocument/2006/relationships/hyperlink" Target="http://csr.bu.edu/ftp/asl/asllvd/demos/verify_start_end_handshape_annotations//test_auto_move//signs_mov_separ_signers/Liz_15442.mov" TargetMode="External"/><Relationship Id="rId9378" Type="http://schemas.openxmlformats.org/officeDocument/2006/relationships/hyperlink" Target="http://secrets.rutgers.edu:8080/data/asl-ftp/asllvd/demos/verify_start_end_handshape_annotations//test_auto_move//signs_mov_separ_signers/Liz_15442.mov" TargetMode="External"/><Relationship Id="rId9379" Type="http://schemas.openxmlformats.org/officeDocument/2006/relationships/hyperlink" Target="http://csr.bu.edu/ftp/asl/asllvd/demos/verify_start_end_handshape_annotations//test_auto_move//signs_mov_separ_signers/Tyler_15424.mov" TargetMode="External"/><Relationship Id="rId9380" Type="http://schemas.openxmlformats.org/officeDocument/2006/relationships/hyperlink" Target="http://secrets.rutgers.edu:8080/data/asl-ftp/asllvd/demos/verify_start_end_handshape_annotations//test_auto_move//signs_mov_separ_signers/Tyler_15424.mov" TargetMode="External"/><Relationship Id="rId9381" Type="http://schemas.openxmlformats.org/officeDocument/2006/relationships/hyperlink" Target="http://csr.bu.edu/ftp/asl/asllvd/demos/verify_start_end_handshape_annotations//test_auto_move//signs_mov/15424_15442_merged.mov" TargetMode="External"/><Relationship Id="rId9382" Type="http://schemas.openxmlformats.org/officeDocument/2006/relationships/hyperlink" Target="http://csr.bu.edu/ftp/asl/asllvd/demos/verify_start_end_handshape_annotations//test_auto_move//signs_mov_separ_signers/Naomi_15424.mov" TargetMode="External"/><Relationship Id="rId9383" Type="http://schemas.openxmlformats.org/officeDocument/2006/relationships/hyperlink" Target="http://secrets.rutgers.edu:8080/data/asl-ftp/asllvd/demos/verify_start_end_handshape_annotations//test_auto_move//signs_mov/15424_15442_merged.mov" TargetMode="External"/><Relationship Id="rId9384" Type="http://schemas.openxmlformats.org/officeDocument/2006/relationships/hyperlink" Target="http://secrets.rutgers.edu:8080/data/asl-ftp/asllvd/demos/verify_start_end_handshape_annotations//test_auto_move//signs_mov_separ_signers/Naomi_15424.mov" TargetMode="External"/><Relationship Id="rId9385" Type="http://schemas.openxmlformats.org/officeDocument/2006/relationships/hyperlink" Target="http://csr.bu.edu/ftp/asl/asllvd/demos/verify_start_end_handshape_annotations//test_auto_move//signs_mov_separ_signers/Brady_15424.mov" TargetMode="External"/><Relationship Id="rId9386" Type="http://schemas.openxmlformats.org/officeDocument/2006/relationships/hyperlink" Target="http://secrets.rutgers.edu:8080/data/asl-ftp/asllvd/demos/verify_start_end_handshape_annotations//test_auto_move//signs_mov_separ_signers/Brady_15424.mov" TargetMode="External"/><Relationship Id="rId9387" Type="http://schemas.openxmlformats.org/officeDocument/2006/relationships/hyperlink" Target="http://csr.bu.edu/ftp/asl/asllvd/demos/verify_start_end_handshape_annotations//test_auto_move//signs_mov_separ_signers/Brady_15442.mov" TargetMode="External"/><Relationship Id="rId9388" Type="http://schemas.openxmlformats.org/officeDocument/2006/relationships/hyperlink" Target="http://secrets.rutgers.edu:8080/data/asl-ftp/asllvd/demos/verify_start_end_handshape_annotations//test_auto_move//signs_mov_separ_signers/Brady_15442.mov" TargetMode="External"/><Relationship Id="rId9389" Type="http://schemas.openxmlformats.org/officeDocument/2006/relationships/hyperlink" Target="http://csr.bu.edu/ftp/asl/asllvd/demos/verify_start_end_handshape_annotations//test_auto_move//signs_mov_separ_signers/Lana_15424.mov" TargetMode="External"/><Relationship Id="rId9390" Type="http://schemas.openxmlformats.org/officeDocument/2006/relationships/hyperlink" Target="http://secrets.rutgers.edu:8080/data/asl-ftp/asllvd/demos/verify_start_end_handshape_annotations//test_auto_move//signs_mov_separ_signers/Lana_15424.mov" TargetMode="External"/><Relationship Id="rId9391" Type="http://schemas.openxmlformats.org/officeDocument/2006/relationships/hyperlink" Target="http://csr.bu.edu/ftp/asl/asllvd/demos/verify_start_end_handshape_annotations//test_auto_move//signs_mov/1005_3891_merged.mov" TargetMode="External"/><Relationship Id="rId9392" Type="http://schemas.openxmlformats.org/officeDocument/2006/relationships/hyperlink" Target="http://csr.bu.edu/ftp/asl/asllvd/demos/verify_start_end_handshape_annotations//test_auto_move//signs_mov_separ_signers/Liz_1005.mov" TargetMode="External"/><Relationship Id="rId9393" Type="http://schemas.openxmlformats.org/officeDocument/2006/relationships/hyperlink" Target="http://secrets.rutgers.edu:8080/data/asl-ftp/asllvd/demos/verify_start_end_handshape_annotations//test_auto_move//signs_mov/1005_3891_merged.mov" TargetMode="External"/><Relationship Id="rId9394" Type="http://schemas.openxmlformats.org/officeDocument/2006/relationships/hyperlink" Target="http://secrets.rutgers.edu:8080/data/asl-ftp/asllvd/demos/verify_start_end_handshape_annotations//test_auto_move//signs_mov_separ_signers/Liz_1005.mov" TargetMode="External"/><Relationship Id="rId9395" Type="http://schemas.openxmlformats.org/officeDocument/2006/relationships/hyperlink" Target="http://csr.bu.edu/ftp/asl/asllvd/demos/verify_start_end_handshape_annotations//test_auto_move//signs_mov_separ_signers/Liz_3891.mov" TargetMode="External"/><Relationship Id="rId9396" Type="http://schemas.openxmlformats.org/officeDocument/2006/relationships/hyperlink" Target="http://secrets.rutgers.edu:8080/data/asl-ftp/asllvd/demos/verify_start_end_handshape_annotations//test_auto_move//signs_mov_separ_signers/Liz_3891.mov" TargetMode="External"/><Relationship Id="rId9397" Type="http://schemas.openxmlformats.org/officeDocument/2006/relationships/hyperlink" Target="http://csr.bu.edu/ftp/asl/asllvd/demos/verify_start_end_handshape_annotations//test_auto_move//signs_mov_separ_signers/Tyler_5325.mov" TargetMode="External"/><Relationship Id="rId9398" Type="http://schemas.openxmlformats.org/officeDocument/2006/relationships/hyperlink" Target="http://secrets.rutgers.edu:8080/data/asl-ftp/asllvd/demos/verify_start_end_handshape_annotations//test_auto_move//signs_mov_separ_signers/Tyler_5325.mov" TargetMode="External"/><Relationship Id="rId9399" Type="http://schemas.openxmlformats.org/officeDocument/2006/relationships/hyperlink" Target="http://csr.bu.edu/ftp/asl/asllvd/demos/verify_start_end_handshape_annotations//test_auto_move//signs_mov/5325_15222_merged.mov" TargetMode="External"/><Relationship Id="rId9400" Type="http://schemas.openxmlformats.org/officeDocument/2006/relationships/hyperlink" Target="http://csr.bu.edu/ftp/asl/asllvd/demos/verify_start_end_handshape_annotations//test_auto_move//signs_mov_separ_signers/Brady_5325.mov" TargetMode="External"/><Relationship Id="rId9401" Type="http://schemas.openxmlformats.org/officeDocument/2006/relationships/hyperlink" Target="http://secrets.rutgers.edu:8080/data/asl-ftp/asllvd/demos/verify_start_end_handshape_annotations//test_auto_move//signs_mov/5325_15222_merged.mov" TargetMode="External"/><Relationship Id="rId9402" Type="http://schemas.openxmlformats.org/officeDocument/2006/relationships/hyperlink" Target="http://secrets.rutgers.edu:8080/data/asl-ftp/asllvd/demos/verify_start_end_handshape_annotations//test_auto_move//signs_mov_separ_signers/Brady_5325.mov" TargetMode="External"/><Relationship Id="rId9403" Type="http://schemas.openxmlformats.org/officeDocument/2006/relationships/hyperlink" Target="http://csr.bu.edu/ftp/asl/asllvd/demos/verify_start_end_handshape_annotations//test_auto_move//signs_mov_separ_signers/Brady_15222.mov" TargetMode="External"/><Relationship Id="rId9404" Type="http://schemas.openxmlformats.org/officeDocument/2006/relationships/hyperlink" Target="http://secrets.rutgers.edu:8080/data/asl-ftp/asllvd/demos/verify_start_end_handshape_annotations//test_auto_move//signs_mov_separ_signers/Brady_15222.mov" TargetMode="External"/><Relationship Id="rId9405" Type="http://schemas.openxmlformats.org/officeDocument/2006/relationships/hyperlink" Target="http://csr.bu.edu/ftp/asl/asllvd/demos/verify_start_end_handshape_annotations//test_auto_move//signs_mov/16205.mov" TargetMode="External"/><Relationship Id="rId9406" Type="http://schemas.openxmlformats.org/officeDocument/2006/relationships/hyperlink" Target="http://csr.bu.edu/ftp/asl/asllvd/demos/verify_start_end_handshape_annotations//test_auto_move//signs_mov_separ_signers/Naomi_16205.mov" TargetMode="External"/><Relationship Id="rId9407" Type="http://schemas.openxmlformats.org/officeDocument/2006/relationships/hyperlink" Target="http://secrets.rutgers.edu:8080/data/asl-ftp/asllvd/demos/verify_start_end_handshape_annotations//test_auto_move//signs_mov/16205.mov" TargetMode="External"/><Relationship Id="rId9408" Type="http://schemas.openxmlformats.org/officeDocument/2006/relationships/hyperlink" Target="http://secrets.rutgers.edu:8080/data/asl-ftp/asllvd/demos/verify_start_end_handshape_annotations//test_auto_move//signs_mov_separ_signers/Naomi_16205.mov" TargetMode="External"/><Relationship Id="rId9409" Type="http://schemas.openxmlformats.org/officeDocument/2006/relationships/hyperlink" Target="http://csr.bu.edu/ftp/asl/asllvd/demos/verify_start_end_handshape_annotations//test_auto_move//signs_mov_separ_signers/Liz_1006.mov" TargetMode="External"/><Relationship Id="rId9410" Type="http://schemas.openxmlformats.org/officeDocument/2006/relationships/hyperlink" Target="http://secrets.rutgers.edu:8080/data/asl-ftp/asllvd/demos/verify_start_end_handshape_annotations//test_auto_move//signs_mov_separ_signers/Liz_1006.mov" TargetMode="External"/><Relationship Id="rId9411" Type="http://schemas.openxmlformats.org/officeDocument/2006/relationships/hyperlink" Target="http://csr.bu.edu/ftp/asl/asllvd/demos/verify_start_end_handshape_annotations//test_auto_move//signs_mov/1006.mov" TargetMode="External"/><Relationship Id="rId9412" Type="http://schemas.openxmlformats.org/officeDocument/2006/relationships/hyperlink" Target="http://csr.bu.edu/ftp/asl/asllvd/demos/verify_start_end_handshape_annotations//test_auto_move//signs_mov_separ_signers/Tyler_1006.mov" TargetMode="External"/><Relationship Id="rId9413" Type="http://schemas.openxmlformats.org/officeDocument/2006/relationships/hyperlink" Target="http://secrets.rutgers.edu:8080/data/asl-ftp/asllvd/demos/verify_start_end_handshape_annotations//test_auto_move//signs_mov/1006.mov" TargetMode="External"/><Relationship Id="rId9414" Type="http://schemas.openxmlformats.org/officeDocument/2006/relationships/hyperlink" Target="http://secrets.rutgers.edu:8080/data/asl-ftp/asllvd/demos/verify_start_end_handshape_annotations//test_auto_move//signs_mov_separ_signers/Tyler_1006.mov" TargetMode="External"/><Relationship Id="rId9415" Type="http://schemas.openxmlformats.org/officeDocument/2006/relationships/hyperlink" Target="http://csr.bu.edu/ftp/asl/asllvd/demos/verify_start_end_handshape_annotations//test_auto_move//signs_mov_separ_signers/Brady_1006.mov" TargetMode="External"/><Relationship Id="rId9416" Type="http://schemas.openxmlformats.org/officeDocument/2006/relationships/hyperlink" Target="http://secrets.rutgers.edu:8080/data/asl-ftp/asllvd/demos/verify_start_end_handshape_annotations//test_auto_move//signs_mov_separ_signers/Brady_1006.mov" TargetMode="External"/><Relationship Id="rId9417" Type="http://schemas.openxmlformats.org/officeDocument/2006/relationships/hyperlink" Target="http://csr.bu.edu/ftp/asl/asllvd/demos/verify_start_end_handshape_annotations//test_auto_move//signs_mov_separ_signers/Liz_1008.mov" TargetMode="External"/><Relationship Id="rId9418" Type="http://schemas.openxmlformats.org/officeDocument/2006/relationships/hyperlink" Target="http://secrets.rutgers.edu:8080/data/asl-ftp/asllvd/demos/verify_start_end_handshape_annotations//test_auto_move//signs_mov_separ_signers/Liz_1008.mov" TargetMode="External"/><Relationship Id="rId9419" Type="http://schemas.openxmlformats.org/officeDocument/2006/relationships/hyperlink" Target="http://csr.bu.edu/ftp/asl/asllvd/demos/verify_start_end_handshape_annotations//test_auto_move//signs_mov/1008.mov" TargetMode="External"/><Relationship Id="rId9420" Type="http://schemas.openxmlformats.org/officeDocument/2006/relationships/hyperlink" Target="http://csr.bu.edu/ftp/asl/asllvd/demos/verify_start_end_handshape_annotations//test_auto_move//signs_mov_separ_signers/Naomi_1008.mov" TargetMode="External"/><Relationship Id="rId9421" Type="http://schemas.openxmlformats.org/officeDocument/2006/relationships/hyperlink" Target="http://secrets.rutgers.edu:8080/data/asl-ftp/asllvd/demos/verify_start_end_handshape_annotations//test_auto_move//signs_mov/1008.mov" TargetMode="External"/><Relationship Id="rId9422" Type="http://schemas.openxmlformats.org/officeDocument/2006/relationships/hyperlink" Target="http://secrets.rutgers.edu:8080/data/asl-ftp/asllvd/demos/verify_start_end_handshape_annotations//test_auto_move//signs_mov_separ_signers/Naomi_1008.mov" TargetMode="External"/><Relationship Id="rId9423" Type="http://schemas.openxmlformats.org/officeDocument/2006/relationships/hyperlink" Target="http://csr.bu.edu/ftp/asl/asllvd/demos/verify_start_end_handshape_annotations//test_auto_move//signs_mov_separ_signers/Brady_1008.mov" TargetMode="External"/><Relationship Id="rId9424" Type="http://schemas.openxmlformats.org/officeDocument/2006/relationships/hyperlink" Target="http://secrets.rutgers.edu:8080/data/asl-ftp/asllvd/demos/verify_start_end_handshape_annotations//test_auto_move//signs_mov_separ_signers/Brady_1008.mov" TargetMode="External"/><Relationship Id="rId9425" Type="http://schemas.openxmlformats.org/officeDocument/2006/relationships/hyperlink" Target="http://csr.bu.edu/ftp/asl/asllvd/demos/verify_start_end_handshape_annotations//test_auto_move//signs_mov/5193.mov" TargetMode="External"/><Relationship Id="rId9426" Type="http://schemas.openxmlformats.org/officeDocument/2006/relationships/hyperlink" Target="http://csr.bu.edu/ftp/asl/asllvd/demos/verify_start_end_handshape_annotations//test_auto_move//signs_mov_separ_signers/Tyler_5193.mov" TargetMode="External"/><Relationship Id="rId9427" Type="http://schemas.openxmlformats.org/officeDocument/2006/relationships/hyperlink" Target="http://secrets.rutgers.edu:8080/data/asl-ftp/asllvd/demos/verify_start_end_handshape_annotations//test_auto_move//signs_mov/5193.mov" TargetMode="External"/><Relationship Id="rId9428" Type="http://schemas.openxmlformats.org/officeDocument/2006/relationships/hyperlink" Target="http://secrets.rutgers.edu:8080/data/asl-ftp/asllvd/demos/verify_start_end_handshape_annotations//test_auto_move//signs_mov_separ_signers/Tyler_5193.mov" TargetMode="External"/><Relationship Id="rId9429" Type="http://schemas.openxmlformats.org/officeDocument/2006/relationships/hyperlink" Target="http://csr.bu.edu/ftp/asl/asllvd/demos/verify_start_end_handshape_annotations//test_auto_move//signs_mov_separ_signers/Liz_1009.mov" TargetMode="External"/><Relationship Id="rId9430" Type="http://schemas.openxmlformats.org/officeDocument/2006/relationships/hyperlink" Target="http://secrets.rutgers.edu:8080/data/asl-ftp/asllvd/demos/verify_start_end_handshape_annotations//test_auto_move//signs_mov_separ_signers/Liz_1009.mov" TargetMode="External"/><Relationship Id="rId9431" Type="http://schemas.openxmlformats.org/officeDocument/2006/relationships/hyperlink" Target="http://csr.bu.edu/ftp/asl/asllvd/demos/verify_start_end_handshape_annotations//test_auto_move//signs_mov_separ_signers/Liz_3669.mov" TargetMode="External"/><Relationship Id="rId9432" Type="http://schemas.openxmlformats.org/officeDocument/2006/relationships/hyperlink" Target="http://secrets.rutgers.edu:8080/data/asl-ftp/asllvd/demos/verify_start_end_handshape_annotations//test_auto_move//signs_mov_separ_signers/Liz_3669.mov" TargetMode="External"/><Relationship Id="rId9433" Type="http://schemas.openxmlformats.org/officeDocument/2006/relationships/hyperlink" Target="http://csr.bu.edu/ftp/asl/asllvd/demos/verify_start_end_handshape_annotations//test_auto_move//signs_mov_separ_signers/Naomi_1009.mov" TargetMode="External"/><Relationship Id="rId9434" Type="http://schemas.openxmlformats.org/officeDocument/2006/relationships/hyperlink" Target="http://secrets.rutgers.edu:8080/data/asl-ftp/asllvd/demos/verify_start_end_handshape_annotations//test_auto_move//signs_mov_separ_signers/Naomi_1009.mov" TargetMode="External"/><Relationship Id="rId9435" Type="http://schemas.openxmlformats.org/officeDocument/2006/relationships/hyperlink" Target="http://csr.bu.edu/ftp/asl/asllvd/demos/verify_start_end_handshape_annotations//test_auto_move//signs_mov/1009_3669_merged.mov" TargetMode="External"/><Relationship Id="rId9436" Type="http://schemas.openxmlformats.org/officeDocument/2006/relationships/hyperlink" Target="http://csr.bu.edu/ftp/asl/asllvd/demos/verify_start_end_handshape_annotations//test_auto_move//signs_mov_separ_signers/Brady_1009.mov" TargetMode="External"/><Relationship Id="rId9437" Type="http://schemas.openxmlformats.org/officeDocument/2006/relationships/hyperlink" Target="http://secrets.rutgers.edu:8080/data/asl-ftp/asllvd/demos/verify_start_end_handshape_annotations//test_auto_move//signs_mov/1009_3669_merged.mov" TargetMode="External"/><Relationship Id="rId9438" Type="http://schemas.openxmlformats.org/officeDocument/2006/relationships/hyperlink" Target="http://secrets.rutgers.edu:8080/data/asl-ftp/asllvd/demos/verify_start_end_handshape_annotations//test_auto_move//signs_mov_separ_signers/Brady_1009.mov" TargetMode="External"/><Relationship Id="rId9439" Type="http://schemas.openxmlformats.org/officeDocument/2006/relationships/hyperlink" Target="http://csr.bu.edu/ftp/asl/asllvd/demos/verify_start_end_handshape_annotations//test_auto_move//signs_mov_separ_signers/Brady_3669.mov" TargetMode="External"/><Relationship Id="rId9440" Type="http://schemas.openxmlformats.org/officeDocument/2006/relationships/hyperlink" Target="http://secrets.rutgers.edu:8080/data/asl-ftp/asllvd/demos/verify_start_end_handshape_annotations//test_auto_move//signs_mov_separ_signers/Brady_3669.mov" TargetMode="External"/><Relationship Id="rId9441" Type="http://schemas.openxmlformats.org/officeDocument/2006/relationships/hyperlink" Target="http://csr.bu.edu/ftp/asl/asllvd/demos/verify_start_end_handshape_annotations//test_auto_move//signs_mov_separ_signers/Lana_1009.mov" TargetMode="External"/><Relationship Id="rId9442" Type="http://schemas.openxmlformats.org/officeDocument/2006/relationships/hyperlink" Target="http://secrets.rutgers.edu:8080/data/asl-ftp/asllvd/demos/verify_start_end_handshape_annotations//test_auto_move//signs_mov_separ_signers/Lana_1009.mov" TargetMode="External"/><Relationship Id="rId9443" Type="http://schemas.openxmlformats.org/officeDocument/2006/relationships/hyperlink" Target="http://csr.bu.edu/ftp/asl/asllvd/demos/verify_start_end_handshape_annotations//test_auto_move//signs_mov_separ_signers/Dana_1009.mov" TargetMode="External"/><Relationship Id="rId9444" Type="http://schemas.openxmlformats.org/officeDocument/2006/relationships/hyperlink" Target="http://secrets.rutgers.edu:8080/data/asl-ftp/asllvd/demos/verify_start_end_handshape_annotations//test_auto_move//signs_mov_separ_signers/Dana_1009.mov" TargetMode="External"/><Relationship Id="rId9445" Type="http://schemas.openxmlformats.org/officeDocument/2006/relationships/hyperlink" Target="http://csr.bu.edu/ftp/asl/asllvd/demos/verify_start_end_handshape_annotations//test_auto_move//signs_mov/3823.mov" TargetMode="External"/><Relationship Id="rId9446" Type="http://schemas.openxmlformats.org/officeDocument/2006/relationships/hyperlink" Target="http://csr.bu.edu/ftp/asl/asllvd/demos/verify_start_end_handshape_annotations//test_auto_move//signs_mov_separ_signers/Tyler_3823.mov" TargetMode="External"/><Relationship Id="rId9447" Type="http://schemas.openxmlformats.org/officeDocument/2006/relationships/hyperlink" Target="http://secrets.rutgers.edu:8080/data/asl-ftp/asllvd/demos/verify_start_end_handshape_annotations//test_auto_move//signs_mov/3823.mov" TargetMode="External"/><Relationship Id="rId9448" Type="http://schemas.openxmlformats.org/officeDocument/2006/relationships/hyperlink" Target="http://secrets.rutgers.edu:8080/data/asl-ftp/asllvd/demos/verify_start_end_handshape_annotations//test_auto_move//signs_mov_separ_signers/Tyler_3823.mov" TargetMode="External"/><Relationship Id="rId9449" Type="http://schemas.openxmlformats.org/officeDocument/2006/relationships/hyperlink" Target="http://csr.bu.edu/ftp/asl/asllvd/demos/verify_start_end_handshape_annotations//test_auto_move//signs_mov_separ_signers/Liz_5194.mov" TargetMode="External"/><Relationship Id="rId9450" Type="http://schemas.openxmlformats.org/officeDocument/2006/relationships/hyperlink" Target="http://secrets.rutgers.edu:8080/data/asl-ftp/asllvd/demos/verify_start_end_handshape_annotations//test_auto_move//signs_mov_separ_signers/Liz_5194.mov" TargetMode="External"/><Relationship Id="rId9451" Type="http://schemas.openxmlformats.org/officeDocument/2006/relationships/hyperlink" Target="http://csr.bu.edu/ftp/asl/asllvd/demos/verify_start_end_handshape_annotations//test_auto_move//signs_mov/5194.mov" TargetMode="External"/><Relationship Id="rId9452" Type="http://schemas.openxmlformats.org/officeDocument/2006/relationships/hyperlink" Target="http://csr.bu.edu/ftp/asl/asllvd/demos/verify_start_end_handshape_annotations//test_auto_move//signs_mov_separ_signers/Naomi_5194.mov" TargetMode="External"/><Relationship Id="rId9453" Type="http://schemas.openxmlformats.org/officeDocument/2006/relationships/hyperlink" Target="http://secrets.rutgers.edu:8080/data/asl-ftp/asllvd/demos/verify_start_end_handshape_annotations//test_auto_move//signs_mov/5194.mov" TargetMode="External"/><Relationship Id="rId9454" Type="http://schemas.openxmlformats.org/officeDocument/2006/relationships/hyperlink" Target="http://secrets.rutgers.edu:8080/data/asl-ftp/asllvd/demos/verify_start_end_handshape_annotations//test_auto_move//signs_mov_separ_signers/Naomi_5194.mov" TargetMode="External"/><Relationship Id="rId9455" Type="http://schemas.openxmlformats.org/officeDocument/2006/relationships/hyperlink" Target="http://csr.bu.edu/ftp/asl/asllvd/demos/verify_start_end_handshape_annotations//test_auto_move//signs_mov_separ_signers/Brady_5194.mov" TargetMode="External"/><Relationship Id="rId9456" Type="http://schemas.openxmlformats.org/officeDocument/2006/relationships/hyperlink" Target="http://secrets.rutgers.edu:8080/data/asl-ftp/asllvd/demos/verify_start_end_handshape_annotations//test_auto_move//signs_mov_separ_signers/Brady_5194.mov" TargetMode="External"/><Relationship Id="rId9457" Type="http://schemas.openxmlformats.org/officeDocument/2006/relationships/hyperlink" Target="http://csr.bu.edu/ftp/asl/asllvd/demos/verify_start_end_handshape_annotations//test_auto_move//signs_mov/15223.mov" TargetMode="External"/><Relationship Id="rId9458" Type="http://schemas.openxmlformats.org/officeDocument/2006/relationships/hyperlink" Target="http://csr.bu.edu/ftp/asl/asllvd/demos/verify_start_end_handshape_annotations//test_auto_move//signs_mov_separ_signers/Liz_15223.mov" TargetMode="External"/><Relationship Id="rId9459" Type="http://schemas.openxmlformats.org/officeDocument/2006/relationships/hyperlink" Target="http://secrets.rutgers.edu:8080/data/asl-ftp/asllvd/demos/verify_start_end_handshape_annotations//test_auto_move//signs_mov/15223.mov" TargetMode="External"/><Relationship Id="rId9460" Type="http://schemas.openxmlformats.org/officeDocument/2006/relationships/hyperlink" Target="http://secrets.rutgers.edu:8080/data/asl-ftp/asllvd/demos/verify_start_end_handshape_annotations//test_auto_move//signs_mov_separ_signers/Liz_15223.mov" TargetMode="External"/><Relationship Id="rId9461" Type="http://schemas.openxmlformats.org/officeDocument/2006/relationships/hyperlink" Target="http://csr.bu.edu/ftp/asl/asllvd/demos/verify_start_end_handshape_annotations//test_auto_move//signs_mov_separ_signers/Brady_15223.mov" TargetMode="External"/><Relationship Id="rId9462" Type="http://schemas.openxmlformats.org/officeDocument/2006/relationships/hyperlink" Target="http://secrets.rutgers.edu:8080/data/asl-ftp/asllvd/demos/verify_start_end_handshape_annotations//test_auto_move//signs_mov_separ_signers/Brady_15223.mov" TargetMode="External"/><Relationship Id="rId9463" Type="http://schemas.openxmlformats.org/officeDocument/2006/relationships/hyperlink" Target="http://csr.bu.edu/ftp/asl/asllvd/demos/verify_start_end_handshape_annotations//test_auto_move//signs_mov_separ_signers/Liz_1010.mov" TargetMode="External"/><Relationship Id="rId9464" Type="http://schemas.openxmlformats.org/officeDocument/2006/relationships/hyperlink" Target="http://secrets.rutgers.edu:8080/data/asl-ftp/asllvd/demos/verify_start_end_handshape_annotations//test_auto_move//signs_mov_separ_signers/Liz_1010.mov" TargetMode="External"/><Relationship Id="rId9465" Type="http://schemas.openxmlformats.org/officeDocument/2006/relationships/hyperlink" Target="http://csr.bu.edu/ftp/asl/asllvd/demos/verify_start_end_handshape_annotations//test_auto_move//signs_mov/1010.mov" TargetMode="External"/><Relationship Id="rId9466" Type="http://schemas.openxmlformats.org/officeDocument/2006/relationships/hyperlink" Target="http://csr.bu.edu/ftp/asl/asllvd/demos/verify_start_end_handshape_annotations//test_auto_move//signs_mov_separ_signers/Tyler_1010.mov" TargetMode="External"/><Relationship Id="rId9467" Type="http://schemas.openxmlformats.org/officeDocument/2006/relationships/hyperlink" Target="http://secrets.rutgers.edu:8080/data/asl-ftp/asllvd/demos/verify_start_end_handshape_annotations//test_auto_move//signs_mov/1010.mov" TargetMode="External"/><Relationship Id="rId9468" Type="http://schemas.openxmlformats.org/officeDocument/2006/relationships/hyperlink" Target="http://secrets.rutgers.edu:8080/data/asl-ftp/asllvd/demos/verify_start_end_handshape_annotations//test_auto_move//signs_mov_separ_signers/Tyler_1010.mov" TargetMode="External"/><Relationship Id="rId9469" Type="http://schemas.openxmlformats.org/officeDocument/2006/relationships/hyperlink" Target="http://csr.bu.edu/ftp/asl/asllvd/demos/verify_start_end_handshape_annotations//test_auto_move//signs_mov_separ_signers/Naomi_1010.mov" TargetMode="External"/><Relationship Id="rId9470" Type="http://schemas.openxmlformats.org/officeDocument/2006/relationships/hyperlink" Target="http://secrets.rutgers.edu:8080/data/asl-ftp/asllvd/demos/verify_start_end_handshape_annotations//test_auto_move//signs_mov_separ_signers/Naomi_1010.mov" TargetMode="External"/><Relationship Id="rId9471" Type="http://schemas.openxmlformats.org/officeDocument/2006/relationships/hyperlink" Target="http://csr.bu.edu/ftp/asl/asllvd/demos/verify_start_end_handshape_annotations//test_auto_move//signs_mov_separ_signers/Brady_1010.mov" TargetMode="External"/><Relationship Id="rId9472" Type="http://schemas.openxmlformats.org/officeDocument/2006/relationships/hyperlink" Target="http://secrets.rutgers.edu:8080/data/asl-ftp/asllvd/demos/verify_start_end_handshape_annotations//test_auto_move//signs_mov_separ_signers/Brady_1010.mov" TargetMode="External"/><Relationship Id="rId9473" Type="http://schemas.openxmlformats.org/officeDocument/2006/relationships/hyperlink" Target="http://csr.bu.edu/ftp/asl/asllvd/demos/verify_start_end_handshape_annotations//test_auto_move//signs_mov_separ_signers/Liz_1012.mov" TargetMode="External"/><Relationship Id="rId9474" Type="http://schemas.openxmlformats.org/officeDocument/2006/relationships/hyperlink" Target="http://secrets.rutgers.edu:8080/data/asl-ftp/asllvd/demos/verify_start_end_handshape_annotations//test_auto_move//signs_mov_separ_signers/Liz_1012.mov" TargetMode="External"/><Relationship Id="rId9475" Type="http://schemas.openxmlformats.org/officeDocument/2006/relationships/hyperlink" Target="http://csr.bu.edu/ftp/asl/asllvd/demos/verify_start_end_handshape_annotations//test_auto_move//signs_mov_separ_signers/Liz_3565.mov" TargetMode="External"/><Relationship Id="rId9476" Type="http://schemas.openxmlformats.org/officeDocument/2006/relationships/hyperlink" Target="http://secrets.rutgers.edu:8080/data/asl-ftp/asllvd/demos/verify_start_end_handshape_annotations//test_auto_move//signs_mov_separ_signers/Liz_3565.mov" TargetMode="External"/><Relationship Id="rId9477" Type="http://schemas.openxmlformats.org/officeDocument/2006/relationships/hyperlink" Target="http://csr.bu.edu/ftp/asl/asllvd/demos/verify_start_end_handshape_annotations//test_auto_move//signs_mov/1012_3565_merged.mov" TargetMode="External"/><Relationship Id="rId9478" Type="http://schemas.openxmlformats.org/officeDocument/2006/relationships/hyperlink" Target="http://csr.bu.edu/ftp/asl/asllvd/demos/verify_start_end_handshape_annotations//test_auto_move//signs_mov_separ_signers/Tyler_1012.mov" TargetMode="External"/><Relationship Id="rId9479" Type="http://schemas.openxmlformats.org/officeDocument/2006/relationships/hyperlink" Target="http://secrets.rutgers.edu:8080/data/asl-ftp/asllvd/demos/verify_start_end_handshape_annotations//test_auto_move//signs_mov/1012_3565_merged.mov" TargetMode="External"/><Relationship Id="rId9480" Type="http://schemas.openxmlformats.org/officeDocument/2006/relationships/hyperlink" Target="http://secrets.rutgers.edu:8080/data/asl-ftp/asllvd/demos/verify_start_end_handshape_annotations//test_auto_move//signs_mov_separ_signers/Tyler_1012.mov" TargetMode="External"/><Relationship Id="rId9481" Type="http://schemas.openxmlformats.org/officeDocument/2006/relationships/hyperlink" Target="http://csr.bu.edu/ftp/asl/asllvd/demos/verify_start_end_handshape_annotations//test_auto_move//signs_mov_separ_signers/Naomi_1012.mov" TargetMode="External"/><Relationship Id="rId9482" Type="http://schemas.openxmlformats.org/officeDocument/2006/relationships/hyperlink" Target="http://secrets.rutgers.edu:8080/data/asl-ftp/asllvd/demos/verify_start_end_handshape_annotations//test_auto_move//signs_mov_separ_signers/Naomi_1012.mov" TargetMode="External"/><Relationship Id="rId9483" Type="http://schemas.openxmlformats.org/officeDocument/2006/relationships/hyperlink" Target="http://csr.bu.edu/ftp/asl/asllvd/demos/verify_start_end_handshape_annotations//test_auto_move//signs_mov_separ_signers/Brady_1012.mov" TargetMode="External"/><Relationship Id="rId9484" Type="http://schemas.openxmlformats.org/officeDocument/2006/relationships/hyperlink" Target="http://secrets.rutgers.edu:8080/data/asl-ftp/asllvd/demos/verify_start_end_handshape_annotations//test_auto_move//signs_mov_separ_signers/Brady_1012.mov" TargetMode="External"/><Relationship Id="rId9485" Type="http://schemas.openxmlformats.org/officeDocument/2006/relationships/hyperlink" Target="http://csr.bu.edu/ftp/asl/asllvd/demos/verify_start_end_handshape_annotations//test_auto_move//signs_mov_separ_signers/Brady_3565.mov" TargetMode="External"/><Relationship Id="rId9486" Type="http://schemas.openxmlformats.org/officeDocument/2006/relationships/hyperlink" Target="http://secrets.rutgers.edu:8080/data/asl-ftp/asllvd/demos/verify_start_end_handshape_annotations//test_auto_move//signs_mov_separ_signers/Brady_3565.mov" TargetMode="External"/><Relationship Id="rId9487" Type="http://schemas.openxmlformats.org/officeDocument/2006/relationships/hyperlink" Target="http://csr.bu.edu/ftp/asl/asllvd/demos/verify_start_end_handshape_annotations//test_auto_move//signs_mov_separ_signers/Liz_1014.mov" TargetMode="External"/><Relationship Id="rId9488" Type="http://schemas.openxmlformats.org/officeDocument/2006/relationships/hyperlink" Target="http://secrets.rutgers.edu:8080/data/asl-ftp/asllvd/demos/verify_start_end_handshape_annotations//test_auto_move//signs_mov_separ_signers/Liz_1014.mov" TargetMode="External"/><Relationship Id="rId9489" Type="http://schemas.openxmlformats.org/officeDocument/2006/relationships/hyperlink" Target="http://csr.bu.edu/ftp/asl/asllvd/demos/verify_start_end_handshape_annotations//test_auto_move//signs_mov/1014.mov" TargetMode="External"/><Relationship Id="rId9490" Type="http://schemas.openxmlformats.org/officeDocument/2006/relationships/hyperlink" Target="http://csr.bu.edu/ftp/asl/asllvd/demos/verify_start_end_handshape_annotations//test_auto_move//signs_mov_separ_signers/Tyler_1014.mov" TargetMode="External"/><Relationship Id="rId9491" Type="http://schemas.openxmlformats.org/officeDocument/2006/relationships/hyperlink" Target="http://secrets.rutgers.edu:8080/data/asl-ftp/asllvd/demos/verify_start_end_handshape_annotations//test_auto_move//signs_mov/1014.mov" TargetMode="External"/><Relationship Id="rId9492" Type="http://schemas.openxmlformats.org/officeDocument/2006/relationships/hyperlink" Target="http://secrets.rutgers.edu:8080/data/asl-ftp/asllvd/demos/verify_start_end_handshape_annotations//test_auto_move//signs_mov_separ_signers/Tyler_1014.mov" TargetMode="External"/><Relationship Id="rId9493" Type="http://schemas.openxmlformats.org/officeDocument/2006/relationships/hyperlink" Target="http://csr.bu.edu/ftp/asl/asllvd/demos/verify_start_end_handshape_annotations//test_auto_move//signs_mov_separ_signers/Naomi_1014.mov" TargetMode="External"/><Relationship Id="rId9494" Type="http://schemas.openxmlformats.org/officeDocument/2006/relationships/hyperlink" Target="http://secrets.rutgers.edu:8080/data/asl-ftp/asllvd/demos/verify_start_end_handshape_annotations//test_auto_move//signs_mov_separ_signers/Naomi_1014.mov" TargetMode="External"/><Relationship Id="rId9495" Type="http://schemas.openxmlformats.org/officeDocument/2006/relationships/hyperlink" Target="http://csr.bu.edu/ftp/asl/asllvd/demos/verify_start_end_handshape_annotations//test_auto_move//signs_mov_separ_signers/Brady_1014.mov" TargetMode="External"/><Relationship Id="rId9496" Type="http://schemas.openxmlformats.org/officeDocument/2006/relationships/hyperlink" Target="http://secrets.rutgers.edu:8080/data/asl-ftp/asllvd/demos/verify_start_end_handshape_annotations//test_auto_move//signs_mov_separ_signers/Brady_1014.mov" TargetMode="External"/><Relationship Id="rId9497" Type="http://schemas.openxmlformats.org/officeDocument/2006/relationships/hyperlink" Target="http://csr.bu.edu/ftp/asl/asllvd/demos/verify_start_end_handshape_annotations//test_auto_move//signs_mov_separ_signers/Liz_1016.mov" TargetMode="External"/><Relationship Id="rId9498" Type="http://schemas.openxmlformats.org/officeDocument/2006/relationships/hyperlink" Target="http://secrets.rutgers.edu:8080/data/asl-ftp/asllvd/demos/verify_start_end_handshape_annotations//test_auto_move//signs_mov_separ_signers/Liz_1016.mov" TargetMode="External"/><Relationship Id="rId9499" Type="http://schemas.openxmlformats.org/officeDocument/2006/relationships/hyperlink" Target="http://csr.bu.edu/ftp/asl/asllvd/demos/verify_start_end_handshape_annotations//test_auto_move//signs_mov_separ_signers/Liz_15554.mov" TargetMode="External"/><Relationship Id="rId9500" Type="http://schemas.openxmlformats.org/officeDocument/2006/relationships/hyperlink" Target="http://secrets.rutgers.edu:8080/data/asl-ftp/asllvd/demos/verify_start_end_handshape_annotations//test_auto_move//signs_mov_separ_signers/Liz_15554.mov" TargetMode="External"/><Relationship Id="rId9501" Type="http://schemas.openxmlformats.org/officeDocument/2006/relationships/hyperlink" Target="http://csr.bu.edu/ftp/asl/asllvd/demos/verify_start_end_handshape_annotations//test_auto_move//signs_mov/1016_15554_merged.mov" TargetMode="External"/><Relationship Id="rId9502" Type="http://schemas.openxmlformats.org/officeDocument/2006/relationships/hyperlink" Target="http://csr.bu.edu/ftp/asl/asllvd/demos/verify_start_end_handshape_annotations//test_auto_move//signs_mov_separ_signers/Tyler_1016.mov" TargetMode="External"/><Relationship Id="rId9503" Type="http://schemas.openxmlformats.org/officeDocument/2006/relationships/hyperlink" Target="http://secrets.rutgers.edu:8080/data/asl-ftp/asllvd/demos/verify_start_end_handshape_annotations//test_auto_move//signs_mov/1016_15554_merged.mov" TargetMode="External"/><Relationship Id="rId9504" Type="http://schemas.openxmlformats.org/officeDocument/2006/relationships/hyperlink" Target="http://secrets.rutgers.edu:8080/data/asl-ftp/asllvd/demos/verify_start_end_handshape_annotations//test_auto_move//signs_mov_separ_signers/Tyler_1016.mov" TargetMode="External"/><Relationship Id="rId9505" Type="http://schemas.openxmlformats.org/officeDocument/2006/relationships/hyperlink" Target="http://csr.bu.edu/ftp/asl/asllvd/demos/verify_start_end_handshape_annotations//test_auto_move//signs_mov_separ_signers/Naomi_1016.mov" TargetMode="External"/><Relationship Id="rId9506" Type="http://schemas.openxmlformats.org/officeDocument/2006/relationships/hyperlink" Target="http://secrets.rutgers.edu:8080/data/asl-ftp/asllvd/demos/verify_start_end_handshape_annotations//test_auto_move//signs_mov_separ_signers/Naomi_1016.mov" TargetMode="External"/><Relationship Id="rId9507" Type="http://schemas.openxmlformats.org/officeDocument/2006/relationships/hyperlink" Target="http://csr.bu.edu/ftp/asl/asllvd/demos/verify_start_end_handshape_annotations//test_auto_move//signs_mov_separ_signers/Brady_1016.mov" TargetMode="External"/><Relationship Id="rId9508" Type="http://schemas.openxmlformats.org/officeDocument/2006/relationships/hyperlink" Target="http://secrets.rutgers.edu:8080/data/asl-ftp/asllvd/demos/verify_start_end_handshape_annotations//test_auto_move//signs_mov_separ_signers/Brady_1016.mov" TargetMode="External"/><Relationship Id="rId9509" Type="http://schemas.openxmlformats.org/officeDocument/2006/relationships/hyperlink" Target="http://csr.bu.edu/ftp/asl/asllvd/demos/verify_start_end_handshape_annotations//test_auto_move//signs_mov/16156.mov" TargetMode="External"/><Relationship Id="rId9510" Type="http://schemas.openxmlformats.org/officeDocument/2006/relationships/hyperlink" Target="http://csr.bu.edu/ftp/asl/asllvd/demos/verify_start_end_handshape_annotations//test_auto_move//signs_mov_separ_signers/Liz_16156.mov" TargetMode="External"/><Relationship Id="rId9511" Type="http://schemas.openxmlformats.org/officeDocument/2006/relationships/hyperlink" Target="http://secrets.rutgers.edu:8080/data/asl-ftp/asllvd/demos/verify_start_end_handshape_annotations//test_auto_move//signs_mov/16156.mov" TargetMode="External"/><Relationship Id="rId9512" Type="http://schemas.openxmlformats.org/officeDocument/2006/relationships/hyperlink" Target="http://secrets.rutgers.edu:8080/data/asl-ftp/asllvd/demos/verify_start_end_handshape_annotations//test_auto_move//signs_mov_separ_signers/Liz_16156.mov" TargetMode="External"/><Relationship Id="rId9513" Type="http://schemas.openxmlformats.org/officeDocument/2006/relationships/hyperlink" Target="http://csr.bu.edu/ftp/asl/asllvd/demos/verify_start_end_handshape_annotations//test_auto_move//signs_mov_separ_signers/Tyler_16156.mov" TargetMode="External"/><Relationship Id="rId9514" Type="http://schemas.openxmlformats.org/officeDocument/2006/relationships/hyperlink" Target="http://secrets.rutgers.edu:8080/data/asl-ftp/asllvd/demos/verify_start_end_handshape_annotations//test_auto_move//signs_mov_separ_signers/Tyler_16156.mov" TargetMode="External"/><Relationship Id="rId9515" Type="http://schemas.openxmlformats.org/officeDocument/2006/relationships/hyperlink" Target="http://csr.bu.edu/ftp/asl/asllvd/demos/verify_start_end_handshape_annotations//test_auto_move//signs_mov/16168.mov" TargetMode="External"/><Relationship Id="rId9516" Type="http://schemas.openxmlformats.org/officeDocument/2006/relationships/hyperlink" Target="http://csr.bu.edu/ftp/asl/asllvd/demos/verify_start_end_handshape_annotations//test_auto_move//signs_mov_separ_signers/Naomi_16168.mov" TargetMode="External"/><Relationship Id="rId9517" Type="http://schemas.openxmlformats.org/officeDocument/2006/relationships/hyperlink" Target="http://secrets.rutgers.edu:8080/data/asl-ftp/asllvd/demos/verify_start_end_handshape_annotations//test_auto_move//signs_mov/16168.mov" TargetMode="External"/><Relationship Id="rId9518" Type="http://schemas.openxmlformats.org/officeDocument/2006/relationships/hyperlink" Target="http://secrets.rutgers.edu:8080/data/asl-ftp/asllvd/demos/verify_start_end_handshape_annotations//test_auto_move//signs_mov_separ_signers/Naomi_16168.mov" TargetMode="External"/><Relationship Id="rId9519" Type="http://schemas.openxmlformats.org/officeDocument/2006/relationships/hyperlink" Target="http://csr.bu.edu/ftp/asl/asllvd/demos/verify_start_end_handshape_annotations//test_auto_move//signs_mov_separ_signers/Brady_16168.mov" TargetMode="External"/><Relationship Id="rId9520" Type="http://schemas.openxmlformats.org/officeDocument/2006/relationships/hyperlink" Target="http://secrets.rutgers.edu:8080/data/asl-ftp/asllvd/demos/verify_start_end_handshape_annotations//test_auto_move//signs_mov_separ_signers/Brady_16168.mov" TargetMode="External"/><Relationship Id="rId9521" Type="http://schemas.openxmlformats.org/officeDocument/2006/relationships/hyperlink" Target="http://csr.bu.edu/ftp/asl/asllvd/demos/verify_start_end_handshape_annotations//test_auto_move//signs_mov_separ_signers/Liz_1020.mov" TargetMode="External"/><Relationship Id="rId9522" Type="http://schemas.openxmlformats.org/officeDocument/2006/relationships/hyperlink" Target="http://secrets.rutgers.edu:8080/data/asl-ftp/asllvd/demos/verify_start_end_handshape_annotations//test_auto_move//signs_mov_separ_signers/Liz_1020.mov" TargetMode="External"/><Relationship Id="rId9523" Type="http://schemas.openxmlformats.org/officeDocument/2006/relationships/hyperlink" Target="http://csr.bu.edu/ftp/asl/asllvd/demos/verify_start_end_handshape_annotations//test_auto_move//signs_mov/1020.mov" TargetMode="External"/><Relationship Id="rId9524" Type="http://schemas.openxmlformats.org/officeDocument/2006/relationships/hyperlink" Target="http://csr.bu.edu/ftp/asl/asllvd/demos/verify_start_end_handshape_annotations//test_auto_move//signs_mov_separ_signers/Tyler_1020.mov" TargetMode="External"/><Relationship Id="rId9525" Type="http://schemas.openxmlformats.org/officeDocument/2006/relationships/hyperlink" Target="http://secrets.rutgers.edu:8080/data/asl-ftp/asllvd/demos/verify_start_end_handshape_annotations//test_auto_move//signs_mov/1020.mov" TargetMode="External"/><Relationship Id="rId9526" Type="http://schemas.openxmlformats.org/officeDocument/2006/relationships/hyperlink" Target="http://secrets.rutgers.edu:8080/data/asl-ftp/asllvd/demos/verify_start_end_handshape_annotations//test_auto_move//signs_mov_separ_signers/Tyler_1020.mov" TargetMode="External"/><Relationship Id="rId9527" Type="http://schemas.openxmlformats.org/officeDocument/2006/relationships/hyperlink" Target="http://csr.bu.edu/ftp/asl/asllvd/demos/verify_start_end_handshape_annotations//test_auto_move//signs_mov_separ_signers/Naomi_1020.mov" TargetMode="External"/><Relationship Id="rId9528" Type="http://schemas.openxmlformats.org/officeDocument/2006/relationships/hyperlink" Target="http://secrets.rutgers.edu:8080/data/asl-ftp/asllvd/demos/verify_start_end_handshape_annotations//test_auto_move//signs_mov_separ_signers/Naomi_1020.mov" TargetMode="External"/><Relationship Id="rId9529" Type="http://schemas.openxmlformats.org/officeDocument/2006/relationships/hyperlink" Target="http://csr.bu.edu/ftp/asl/asllvd/demos/verify_start_end_handshape_annotations//test_auto_move//signs_mov_separ_signers/Brady_1020.mov" TargetMode="External"/><Relationship Id="rId9530" Type="http://schemas.openxmlformats.org/officeDocument/2006/relationships/hyperlink" Target="http://secrets.rutgers.edu:8080/data/asl-ftp/asllvd/demos/verify_start_end_handshape_annotations//test_auto_move//signs_mov_separ_signers/Brady_1020.mov" TargetMode="External"/><Relationship Id="rId9531" Type="http://schemas.openxmlformats.org/officeDocument/2006/relationships/hyperlink" Target="http://csr.bu.edu/ftp/asl/asllvd/demos/verify_start_end_handshape_annotations//test_auto_move//signs_mov_separ_signers/Liz_16517.mov" TargetMode="External"/><Relationship Id="rId9532" Type="http://schemas.openxmlformats.org/officeDocument/2006/relationships/hyperlink" Target="http://secrets.rutgers.edu:8080/data/asl-ftp/asllvd/demos/verify_start_end_handshape_annotations//test_auto_move//signs_mov_separ_signers/Liz_16517.mov" TargetMode="External"/><Relationship Id="rId9533" Type="http://schemas.openxmlformats.org/officeDocument/2006/relationships/hyperlink" Target="http://csr.bu.edu/ftp/asl/asllvd/demos/verify_start_end_handshape_annotations//test_auto_move//signs_mov/16517.mov" TargetMode="External"/><Relationship Id="rId9534" Type="http://schemas.openxmlformats.org/officeDocument/2006/relationships/hyperlink" Target="http://csr.bu.edu/ftp/asl/asllvd/demos/verify_start_end_handshape_annotations//test_auto_move//signs_mov_separ_signers/Tyler_16517.mov" TargetMode="External"/><Relationship Id="rId9535" Type="http://schemas.openxmlformats.org/officeDocument/2006/relationships/hyperlink" Target="http://secrets.rutgers.edu:8080/data/asl-ftp/asllvd/demos/verify_start_end_handshape_annotations//test_auto_move//signs_mov/16517.mov" TargetMode="External"/><Relationship Id="rId9536" Type="http://schemas.openxmlformats.org/officeDocument/2006/relationships/hyperlink" Target="http://secrets.rutgers.edu:8080/data/asl-ftp/asllvd/demos/verify_start_end_handshape_annotations//test_auto_move//signs_mov_separ_signers/Tyler_16517.mov" TargetMode="External"/><Relationship Id="rId9537" Type="http://schemas.openxmlformats.org/officeDocument/2006/relationships/hyperlink" Target="http://csr.bu.edu/ftp/asl/asllvd/demos/verify_start_end_handshape_annotations//test_auto_move//signs_mov_separ_signers/Brady_16517.mov" TargetMode="External"/><Relationship Id="rId9538" Type="http://schemas.openxmlformats.org/officeDocument/2006/relationships/hyperlink" Target="http://secrets.rutgers.edu:8080/data/asl-ftp/asllvd/demos/verify_start_end_handshape_annotations//test_auto_move//signs_mov_separ_signers/Brady_16517.mov" TargetMode="External"/><Relationship Id="rId9539" Type="http://schemas.openxmlformats.org/officeDocument/2006/relationships/hyperlink" Target="http://csr.bu.edu/ftp/asl/asllvd/demos/verify_start_end_handshape_annotations//test_auto_move//signs_mov/16523.mov" TargetMode="External"/><Relationship Id="rId9540" Type="http://schemas.openxmlformats.org/officeDocument/2006/relationships/hyperlink" Target="http://csr.bu.edu/ftp/asl/asllvd/demos/verify_start_end_handshape_annotations//test_auto_move//signs_mov_separ_signers/Naomi_16523.mov" TargetMode="External"/><Relationship Id="rId9541" Type="http://schemas.openxmlformats.org/officeDocument/2006/relationships/hyperlink" Target="http://secrets.rutgers.edu:8080/data/asl-ftp/asllvd/demos/verify_start_end_handshape_annotations//test_auto_move//signs_mov/16523.mov" TargetMode="External"/><Relationship Id="rId9542" Type="http://schemas.openxmlformats.org/officeDocument/2006/relationships/hyperlink" Target="http://secrets.rutgers.edu:8080/data/asl-ftp/asllvd/demos/verify_start_end_handshape_annotations//test_auto_move//signs_mov_separ_signers/Naomi_16523.mov" TargetMode="External"/><Relationship Id="rId9543" Type="http://schemas.openxmlformats.org/officeDocument/2006/relationships/hyperlink" Target="http://csr.bu.edu/ftp/asl/asllvd/demos/verify_start_end_handshape_annotations//test_auto_move//signs_mov_separ_signers/Liz_1025.mov" TargetMode="External"/><Relationship Id="rId9544" Type="http://schemas.openxmlformats.org/officeDocument/2006/relationships/hyperlink" Target="http://secrets.rutgers.edu:8080/data/asl-ftp/asllvd/demos/verify_start_end_handshape_annotations//test_auto_move//signs_mov_separ_signers/Liz_1025.mov" TargetMode="External"/><Relationship Id="rId9545" Type="http://schemas.openxmlformats.org/officeDocument/2006/relationships/hyperlink" Target="http://csr.bu.edu/ftp/asl/asllvd/demos/verify_start_end_handshape_annotations//test_auto_move//signs_mov/1025.mov" TargetMode="External"/><Relationship Id="rId9546" Type="http://schemas.openxmlformats.org/officeDocument/2006/relationships/hyperlink" Target="http://csr.bu.edu/ftp/asl/asllvd/demos/verify_start_end_handshape_annotations//test_auto_move//signs_mov_separ_signers/Naomi_1025.mov" TargetMode="External"/><Relationship Id="rId9547" Type="http://schemas.openxmlformats.org/officeDocument/2006/relationships/hyperlink" Target="http://secrets.rutgers.edu:8080/data/asl-ftp/asllvd/demos/verify_start_end_handshape_annotations//test_auto_move//signs_mov/1025.mov" TargetMode="External"/><Relationship Id="rId9548" Type="http://schemas.openxmlformats.org/officeDocument/2006/relationships/hyperlink" Target="http://secrets.rutgers.edu:8080/data/asl-ftp/asllvd/demos/verify_start_end_handshape_annotations//test_auto_move//signs_mov_separ_signers/Naomi_1025.mov" TargetMode="External"/><Relationship Id="rId9549" Type="http://schemas.openxmlformats.org/officeDocument/2006/relationships/hyperlink" Target="http://csr.bu.edu/ftp/asl/asllvd/demos/verify_start_end_handshape_annotations//test_auto_move//signs_mov_separ_signers/Brady_1025.mov" TargetMode="External"/><Relationship Id="rId9550" Type="http://schemas.openxmlformats.org/officeDocument/2006/relationships/hyperlink" Target="http://secrets.rutgers.edu:8080/data/asl-ftp/asllvd/demos/verify_start_end_handshape_annotations//test_auto_move//signs_mov_separ_signers/Brady_1025.mov" TargetMode="External"/><Relationship Id="rId9551" Type="http://schemas.openxmlformats.org/officeDocument/2006/relationships/hyperlink" Target="http://csr.bu.edu/ftp/asl/asllvd/demos/verify_start_end_handshape_annotations//test_auto_move//signs_mov_separ_signers/Liz_5037.mov" TargetMode="External"/><Relationship Id="rId9552" Type="http://schemas.openxmlformats.org/officeDocument/2006/relationships/hyperlink" Target="http://secrets.rutgers.edu:8080/data/asl-ftp/asllvd/demos/verify_start_end_handshape_annotations//test_auto_move//signs_mov_separ_signers/Liz_5037.mov" TargetMode="External"/><Relationship Id="rId9553" Type="http://schemas.openxmlformats.org/officeDocument/2006/relationships/hyperlink" Target="http://csr.bu.edu/ftp/asl/asllvd/demos/verify_start_end_handshape_annotations//test_auto_move//signs_mov/5037.mov" TargetMode="External"/><Relationship Id="rId9554" Type="http://schemas.openxmlformats.org/officeDocument/2006/relationships/hyperlink" Target="http://csr.bu.edu/ftp/asl/asllvd/demos/verify_start_end_handshape_annotations//test_auto_move//signs_mov_separ_signers/Naomi_5037.mov" TargetMode="External"/><Relationship Id="rId9555" Type="http://schemas.openxmlformats.org/officeDocument/2006/relationships/hyperlink" Target="http://secrets.rutgers.edu:8080/data/asl-ftp/asllvd/demos/verify_start_end_handshape_annotations//test_auto_move//signs_mov/5037.mov" TargetMode="External"/><Relationship Id="rId9556" Type="http://schemas.openxmlformats.org/officeDocument/2006/relationships/hyperlink" Target="http://secrets.rutgers.edu:8080/data/asl-ftp/asllvd/demos/verify_start_end_handshape_annotations//test_auto_move//signs_mov_separ_signers/Naomi_5037.mov" TargetMode="External"/><Relationship Id="rId9557" Type="http://schemas.openxmlformats.org/officeDocument/2006/relationships/hyperlink" Target="http://csr.bu.edu/ftp/asl/asllvd/demos/verify_start_end_handshape_annotations//test_auto_move//signs_mov_separ_signers/Brady_5037.mov" TargetMode="External"/><Relationship Id="rId9558" Type="http://schemas.openxmlformats.org/officeDocument/2006/relationships/hyperlink" Target="http://secrets.rutgers.edu:8080/data/asl-ftp/asllvd/demos/verify_start_end_handshape_annotations//test_auto_move//signs_mov_separ_signers/Brady_5037.mov" TargetMode="External"/><Relationship Id="rId9559" Type="http://schemas.openxmlformats.org/officeDocument/2006/relationships/hyperlink" Target="http://csr.bu.edu/ftp/asl/asllvd/demos/verify_start_end_handshape_annotations//test_auto_move//signs_mov_separ_signers/Liz_1029.mov" TargetMode="External"/><Relationship Id="rId9560" Type="http://schemas.openxmlformats.org/officeDocument/2006/relationships/hyperlink" Target="http://secrets.rutgers.edu:8080/data/asl-ftp/asllvd/demos/verify_start_end_handshape_annotations//test_auto_move//signs_mov_separ_signers/Liz_1029.mov" TargetMode="External"/><Relationship Id="rId9561" Type="http://schemas.openxmlformats.org/officeDocument/2006/relationships/hyperlink" Target="http://csr.bu.edu/ftp/asl/asllvd/demos/verify_start_end_handshape_annotations//test_auto_move//signs_mov/1029.mov" TargetMode="External"/><Relationship Id="rId9562" Type="http://schemas.openxmlformats.org/officeDocument/2006/relationships/hyperlink" Target="http://csr.bu.edu/ftp/asl/asllvd/demos/verify_start_end_handshape_annotations//test_auto_move//signs_mov_separ_signers/Naomi_1029.mov" TargetMode="External"/><Relationship Id="rId9563" Type="http://schemas.openxmlformats.org/officeDocument/2006/relationships/hyperlink" Target="http://secrets.rutgers.edu:8080/data/asl-ftp/asllvd/demos/verify_start_end_handshape_annotations//test_auto_move//signs_mov/1029.mov" TargetMode="External"/><Relationship Id="rId9564" Type="http://schemas.openxmlformats.org/officeDocument/2006/relationships/hyperlink" Target="http://secrets.rutgers.edu:8080/data/asl-ftp/asllvd/demos/verify_start_end_handshape_annotations//test_auto_move//signs_mov_separ_signers/Naomi_1029.mov" TargetMode="External"/><Relationship Id="rId9565" Type="http://schemas.openxmlformats.org/officeDocument/2006/relationships/hyperlink" Target="http://csr.bu.edu/ftp/asl/asllvd/demos/verify_start_end_handshape_annotations//test_auto_move//signs_mov_separ_signers/Brady_1029.mov" TargetMode="External"/><Relationship Id="rId9566" Type="http://schemas.openxmlformats.org/officeDocument/2006/relationships/hyperlink" Target="http://secrets.rutgers.edu:8080/data/asl-ftp/asllvd/demos/verify_start_end_handshape_annotations//test_auto_move//signs_mov_separ_signers/Brady_1029.mov" TargetMode="External"/><Relationship Id="rId9567" Type="http://schemas.openxmlformats.org/officeDocument/2006/relationships/hyperlink" Target="http://csr.bu.edu/ftp/asl/asllvd/demos/verify_start_end_handshape_annotations//test_auto_move//signs_mov/1030.mov" TargetMode="External"/><Relationship Id="rId9568" Type="http://schemas.openxmlformats.org/officeDocument/2006/relationships/hyperlink" Target="http://csr.bu.edu/ftp/asl/asllvd/demos/verify_start_end_handshape_annotations//test_auto_move//signs_mov_separ_signers/Naomi_1030.mov" TargetMode="External"/><Relationship Id="rId9569" Type="http://schemas.openxmlformats.org/officeDocument/2006/relationships/hyperlink" Target="http://secrets.rutgers.edu:8080/data/asl-ftp/asllvd/demos/verify_start_end_handshape_annotations//test_auto_move//signs_mov/1030.mov" TargetMode="External"/><Relationship Id="rId9570" Type="http://schemas.openxmlformats.org/officeDocument/2006/relationships/hyperlink" Target="http://secrets.rutgers.edu:8080/data/asl-ftp/asllvd/demos/verify_start_end_handshape_annotations//test_auto_move//signs_mov_separ_signers/Naomi_1030.mov" TargetMode="External"/><Relationship Id="rId9571" Type="http://schemas.openxmlformats.org/officeDocument/2006/relationships/hyperlink" Target="http://csr.bu.edu/ftp/asl/asllvd/demos/verify_start_end_handshape_annotations//test_auto_move//signs_mov_separ_signers/Brady_1030.mov" TargetMode="External"/><Relationship Id="rId9572" Type="http://schemas.openxmlformats.org/officeDocument/2006/relationships/hyperlink" Target="http://secrets.rutgers.edu:8080/data/asl-ftp/asllvd/demos/verify_start_end_handshape_annotations//test_auto_move//signs_mov_separ_signers/Brady_1030.mov" TargetMode="External"/><Relationship Id="rId9573" Type="http://schemas.openxmlformats.org/officeDocument/2006/relationships/hyperlink" Target="http://csr.bu.edu/ftp/asl/asllvd/demos/verify_start_end_handshape_annotations//test_auto_move//signs_mov_separ_signers/Liz_1034.mov" TargetMode="External"/><Relationship Id="rId9574" Type="http://schemas.openxmlformats.org/officeDocument/2006/relationships/hyperlink" Target="http://secrets.rutgers.edu:8080/data/asl-ftp/asllvd/demos/verify_start_end_handshape_annotations//test_auto_move//signs_mov_separ_signers/Liz_1034.mov" TargetMode="External"/><Relationship Id="rId9575" Type="http://schemas.openxmlformats.org/officeDocument/2006/relationships/hyperlink" Target="http://csr.bu.edu/ftp/asl/asllvd/demos/verify_start_end_handshape_annotations//test_auto_move//signs_mov_separ_signers/Liz_3766.mov" TargetMode="External"/><Relationship Id="rId9576" Type="http://schemas.openxmlformats.org/officeDocument/2006/relationships/hyperlink" Target="http://secrets.rutgers.edu:8080/data/asl-ftp/asllvd/demos/verify_start_end_handshape_annotations//test_auto_move//signs_mov_separ_signers/Liz_3766.mov" TargetMode="External"/><Relationship Id="rId9577" Type="http://schemas.openxmlformats.org/officeDocument/2006/relationships/hyperlink" Target="http://csr.bu.edu/ftp/asl/asllvd/demos/verify_start_end_handshape_annotations//test_auto_move//signs_mov/1034_3766_merged.mov" TargetMode="External"/><Relationship Id="rId9578" Type="http://schemas.openxmlformats.org/officeDocument/2006/relationships/hyperlink" Target="http://csr.bu.edu/ftp/asl/asllvd/demos/verify_start_end_handshape_annotations//test_auto_move//signs_mov_separ_signers/Naomi_1034.mov" TargetMode="External"/><Relationship Id="rId9579" Type="http://schemas.openxmlformats.org/officeDocument/2006/relationships/hyperlink" Target="http://secrets.rutgers.edu:8080/data/asl-ftp/asllvd/demos/verify_start_end_handshape_annotations//test_auto_move//signs_mov/1034_3766_merged.mov" TargetMode="External"/><Relationship Id="rId9580" Type="http://schemas.openxmlformats.org/officeDocument/2006/relationships/hyperlink" Target="http://secrets.rutgers.edu:8080/data/asl-ftp/asllvd/demos/verify_start_end_handshape_annotations//test_auto_move//signs_mov_separ_signers/Naomi_1034.mov" TargetMode="External"/><Relationship Id="rId9581" Type="http://schemas.openxmlformats.org/officeDocument/2006/relationships/hyperlink" Target="http://csr.bu.edu/ftp/asl/asllvd/demos/verify_start_end_handshape_annotations//test_auto_move//signs_mov_separ_signers/Brady_1034.mov" TargetMode="External"/><Relationship Id="rId9582" Type="http://schemas.openxmlformats.org/officeDocument/2006/relationships/hyperlink" Target="http://secrets.rutgers.edu:8080/data/asl-ftp/asllvd/demos/verify_start_end_handshape_annotations//test_auto_move//signs_mov_separ_signers/Brady_1034.mov" TargetMode="External"/><Relationship Id="rId9583" Type="http://schemas.openxmlformats.org/officeDocument/2006/relationships/hyperlink" Target="http://csr.bu.edu/ftp/asl/asllvd/demos/verify_start_end_handshape_annotations//test_auto_move//signs_mov_separ_signers/Brady_3766.mov" TargetMode="External"/><Relationship Id="rId9584" Type="http://schemas.openxmlformats.org/officeDocument/2006/relationships/hyperlink" Target="http://secrets.rutgers.edu:8080/data/asl-ftp/asllvd/demos/verify_start_end_handshape_annotations//test_auto_move//signs_mov_separ_signers/Brady_3766.mov" TargetMode="External"/><Relationship Id="rId9585" Type="http://schemas.openxmlformats.org/officeDocument/2006/relationships/hyperlink" Target="http://csr.bu.edu/ftp/asl/asllvd/demos/verify_start_end_handshape_annotations//test_auto_move//signs_mov_separ_signers/Liz_15760.mov" TargetMode="External"/><Relationship Id="rId9586" Type="http://schemas.openxmlformats.org/officeDocument/2006/relationships/hyperlink" Target="http://secrets.rutgers.edu:8080/data/asl-ftp/asllvd/demos/verify_start_end_handshape_annotations//test_auto_move//signs_mov_separ_signers/Liz_15760.mov" TargetMode="External"/><Relationship Id="rId9587" Type="http://schemas.openxmlformats.org/officeDocument/2006/relationships/hyperlink" Target="http://csr.bu.edu/ftp/asl/asllvd/demos/verify_start_end_handshape_annotations//test_auto_move//signs_mov/15760.mov" TargetMode="External"/><Relationship Id="rId9588" Type="http://schemas.openxmlformats.org/officeDocument/2006/relationships/hyperlink" Target="http://csr.bu.edu/ftp/asl/asllvd/demos/verify_start_end_handshape_annotations//test_auto_move//signs_mov_separ_signers/Tyler_15760.mov" TargetMode="External"/><Relationship Id="rId9589" Type="http://schemas.openxmlformats.org/officeDocument/2006/relationships/hyperlink" Target="http://secrets.rutgers.edu:8080/data/asl-ftp/asllvd/demos/verify_start_end_handshape_annotations//test_auto_move//signs_mov/15760.mov" TargetMode="External"/><Relationship Id="rId9590" Type="http://schemas.openxmlformats.org/officeDocument/2006/relationships/hyperlink" Target="http://secrets.rutgers.edu:8080/data/asl-ftp/asllvd/demos/verify_start_end_handshape_annotations//test_auto_move//signs_mov_separ_signers/Tyler_15760.mov" TargetMode="External"/><Relationship Id="rId9591" Type="http://schemas.openxmlformats.org/officeDocument/2006/relationships/hyperlink" Target="http://csr.bu.edu/ftp/asl/asllvd/demos/verify_start_end_handshape_annotations//test_auto_move//signs_mov_separ_signers/Brady_15760.mov" TargetMode="External"/><Relationship Id="rId9592" Type="http://schemas.openxmlformats.org/officeDocument/2006/relationships/hyperlink" Target="http://secrets.rutgers.edu:8080/data/asl-ftp/asllvd/demos/verify_start_end_handshape_annotations//test_auto_move//signs_mov_separ_signers/Brady_15760.mov" TargetMode="External"/><Relationship Id="rId9593" Type="http://schemas.openxmlformats.org/officeDocument/2006/relationships/hyperlink" Target="http://csr.bu.edu/ftp/asl/asllvd/demos/verify_start_end_handshape_annotations//test_auto_move//signs_mov_separ_signers/Liz_1037.mov" TargetMode="External"/><Relationship Id="rId9594" Type="http://schemas.openxmlformats.org/officeDocument/2006/relationships/hyperlink" Target="http://secrets.rutgers.edu:8080/data/asl-ftp/asllvd/demos/verify_start_end_handshape_annotations//test_auto_move//signs_mov_separ_signers/Liz_1037.mov" TargetMode="External"/><Relationship Id="rId9595" Type="http://schemas.openxmlformats.org/officeDocument/2006/relationships/hyperlink" Target="http://csr.bu.edu/ftp/asl/asllvd/demos/verify_start_end_handshape_annotations//test_auto_move//signs_mov_separ_signers/Liz_3347.mov" TargetMode="External"/><Relationship Id="rId9596" Type="http://schemas.openxmlformats.org/officeDocument/2006/relationships/hyperlink" Target="http://secrets.rutgers.edu:8080/data/asl-ftp/asllvd/demos/verify_start_end_handshape_annotations//test_auto_move//signs_mov_separ_signers/Liz_3347.mov" TargetMode="External"/><Relationship Id="rId9597" Type="http://schemas.openxmlformats.org/officeDocument/2006/relationships/hyperlink" Target="http://csr.bu.edu/ftp/asl/asllvd/demos/verify_start_end_handshape_annotations//test_auto_move//signs_mov_separ_signers/Tyler_1037.mov" TargetMode="External"/><Relationship Id="rId9598" Type="http://schemas.openxmlformats.org/officeDocument/2006/relationships/hyperlink" Target="http://secrets.rutgers.edu:8080/data/asl-ftp/asllvd/demos/verify_start_end_handshape_annotations//test_auto_move//signs_mov_separ_signers/Tyler_1037.mov" TargetMode="External"/><Relationship Id="rId9599" Type="http://schemas.openxmlformats.org/officeDocument/2006/relationships/hyperlink" Target="http://csr.bu.edu/ftp/asl/asllvd/demos/verify_start_end_handshape_annotations//test_auto_move//signs_mov/1037_3347_merged.mov" TargetMode="External"/><Relationship Id="rId9600" Type="http://schemas.openxmlformats.org/officeDocument/2006/relationships/hyperlink" Target="http://csr.bu.edu/ftp/asl/asllvd/demos/verify_start_end_handshape_annotations//test_auto_move//signs_mov_separ_signers/Naomi_1037.mov" TargetMode="External"/><Relationship Id="rId9601" Type="http://schemas.openxmlformats.org/officeDocument/2006/relationships/hyperlink" Target="http://secrets.rutgers.edu:8080/data/asl-ftp/asllvd/demos/verify_start_end_handshape_annotations//test_auto_move//signs_mov/1037_3347_merged.mov" TargetMode="External"/><Relationship Id="rId9602" Type="http://schemas.openxmlformats.org/officeDocument/2006/relationships/hyperlink" Target="http://secrets.rutgers.edu:8080/data/asl-ftp/asllvd/demos/verify_start_end_handshape_annotations//test_auto_move//signs_mov_separ_signers/Naomi_1037.mov" TargetMode="External"/><Relationship Id="rId9603" Type="http://schemas.openxmlformats.org/officeDocument/2006/relationships/hyperlink" Target="http://csr.bu.edu/ftp/asl/asllvd/demos/verify_start_end_handshape_annotations//test_auto_move//signs_mov_separ_signers/Naomi_3347.mov" TargetMode="External"/><Relationship Id="rId9604" Type="http://schemas.openxmlformats.org/officeDocument/2006/relationships/hyperlink" Target="http://secrets.rutgers.edu:8080/data/asl-ftp/asllvd/demos/verify_start_end_handshape_annotations//test_auto_move//signs_mov_separ_signers/Naomi_3347.mov" TargetMode="External"/><Relationship Id="rId9605" Type="http://schemas.openxmlformats.org/officeDocument/2006/relationships/hyperlink" Target="http://csr.bu.edu/ftp/asl/asllvd/demos/verify_start_end_handshape_annotations//test_auto_move//signs_mov_separ_signers/Brady_1037.mov" TargetMode="External"/><Relationship Id="rId9606" Type="http://schemas.openxmlformats.org/officeDocument/2006/relationships/hyperlink" Target="http://secrets.rutgers.edu:8080/data/asl-ftp/asllvd/demos/verify_start_end_handshape_annotations//test_auto_move//signs_mov_separ_signers/Brady_1037.mov" TargetMode="External"/><Relationship Id="rId9607" Type="http://schemas.openxmlformats.org/officeDocument/2006/relationships/hyperlink" Target="http://csr.bu.edu/ftp/asl/asllvd/demos/verify_start_end_handshape_annotations//test_auto_move//signs_mov_separ_signers/Brady_3347.mov" TargetMode="External"/><Relationship Id="rId9608" Type="http://schemas.openxmlformats.org/officeDocument/2006/relationships/hyperlink" Target="http://secrets.rutgers.edu:8080/data/asl-ftp/asllvd/demos/verify_start_end_handshape_annotations//test_auto_move//signs_mov_separ_signers/Brady_3347.mov" TargetMode="External"/><Relationship Id="rId9609" Type="http://schemas.openxmlformats.org/officeDocument/2006/relationships/hyperlink" Target="http://csr.bu.edu/ftp/asl/asllvd/demos/verify_start_end_handshape_annotations//test_auto_move//signs_mov_separ_signers/Liz_1038.mov" TargetMode="External"/><Relationship Id="rId9610" Type="http://schemas.openxmlformats.org/officeDocument/2006/relationships/hyperlink" Target="http://secrets.rutgers.edu:8080/data/asl-ftp/asllvd/demos/verify_start_end_handshape_annotations//test_auto_move//signs_mov_separ_signers/Liz_1038.mov" TargetMode="External"/><Relationship Id="rId9611" Type="http://schemas.openxmlformats.org/officeDocument/2006/relationships/hyperlink" Target="http://csr.bu.edu/ftp/asl/asllvd/demos/verify_start_end_handshape_annotations//test_auto_move//signs_mov_separ_signers/Tyler_1038.mov" TargetMode="External"/><Relationship Id="rId9612" Type="http://schemas.openxmlformats.org/officeDocument/2006/relationships/hyperlink" Target="http://secrets.rutgers.edu:8080/data/asl-ftp/asllvd/demos/verify_start_end_handshape_annotations//test_auto_move//signs_mov_separ_signers/Tyler_1038.mov" TargetMode="External"/><Relationship Id="rId9613" Type="http://schemas.openxmlformats.org/officeDocument/2006/relationships/hyperlink" Target="http://csr.bu.edu/ftp/asl/asllvd/demos/verify_start_end_handshape_annotations//test_auto_move//signs_mov/1038.mov" TargetMode="External"/><Relationship Id="rId9614" Type="http://schemas.openxmlformats.org/officeDocument/2006/relationships/hyperlink" Target="http://csr.bu.edu/ftp/asl/asllvd/demos/verify_start_end_handshape_annotations//test_auto_move//signs_mov_separ_signers/Naomi_1038.mov" TargetMode="External"/><Relationship Id="rId9615" Type="http://schemas.openxmlformats.org/officeDocument/2006/relationships/hyperlink" Target="http://secrets.rutgers.edu:8080/data/asl-ftp/asllvd/demos/verify_start_end_handshape_annotations//test_auto_move//signs_mov/1038.mov" TargetMode="External"/><Relationship Id="rId9616" Type="http://schemas.openxmlformats.org/officeDocument/2006/relationships/hyperlink" Target="http://secrets.rutgers.edu:8080/data/asl-ftp/asllvd/demos/verify_start_end_handshape_annotations//test_auto_move//signs_mov_separ_signers/Naomi_1038.mov" TargetMode="External"/><Relationship Id="rId9617" Type="http://schemas.openxmlformats.org/officeDocument/2006/relationships/hyperlink" Target="http://csr.bu.edu/ftp/asl/asllvd/demos/verify_start_end_handshape_annotations//test_auto_move//signs_mov_separ_signers/Brady_1038.mov" TargetMode="External"/><Relationship Id="rId9618" Type="http://schemas.openxmlformats.org/officeDocument/2006/relationships/hyperlink" Target="http://secrets.rutgers.edu:8080/data/asl-ftp/asllvd/demos/verify_start_end_handshape_annotations//test_auto_move//signs_mov_separ_signers/Brady_1038.mov" TargetMode="External"/><Relationship Id="rId9619" Type="http://schemas.openxmlformats.org/officeDocument/2006/relationships/hyperlink" Target="http://csr.bu.edu/ftp/asl/asllvd/demos/verify_start_end_handshape_annotations//test_auto_move//signs_mov_separ_signers/Lana_1038.mov" TargetMode="External"/><Relationship Id="rId9620" Type="http://schemas.openxmlformats.org/officeDocument/2006/relationships/hyperlink" Target="http://secrets.rutgers.edu:8080/data/asl-ftp/asllvd/demos/verify_start_end_handshape_annotations//test_auto_move//signs_mov_separ_signers/Lana_1038.mov" TargetMode="External"/><Relationship Id="rId9621" Type="http://schemas.openxmlformats.org/officeDocument/2006/relationships/hyperlink" Target="http://csr.bu.edu/ftp/asl/asllvd/demos/verify_start_end_handshape_annotations//test_auto_move//signs_mov_separ_signers/Dana_1038.mov" TargetMode="External"/><Relationship Id="rId9622" Type="http://schemas.openxmlformats.org/officeDocument/2006/relationships/hyperlink" Target="http://secrets.rutgers.edu:8080/data/asl-ftp/asllvd/demos/verify_start_end_handshape_annotations//test_auto_move//signs_mov_separ_signers/Dana_1038.mov" TargetMode="External"/><Relationship Id="rId9623" Type="http://schemas.openxmlformats.org/officeDocument/2006/relationships/hyperlink" Target="http://csr.bu.edu/ftp/asl/asllvd/demos/verify_start_end_handshape_annotations//test_auto_move//signs_mov_separ_signers/Liz_1041.mov" TargetMode="External"/><Relationship Id="rId9624" Type="http://schemas.openxmlformats.org/officeDocument/2006/relationships/hyperlink" Target="http://secrets.rutgers.edu:8080/data/asl-ftp/asllvd/demos/verify_start_end_handshape_annotations//test_auto_move//signs_mov_separ_signers/Liz_1041.mov" TargetMode="External"/><Relationship Id="rId9625" Type="http://schemas.openxmlformats.org/officeDocument/2006/relationships/hyperlink" Target="http://csr.bu.edu/ftp/asl/asllvd/demos/verify_start_end_handshape_annotations//test_auto_move//signs_mov_separ_signers/Tyler_1041.mov" TargetMode="External"/><Relationship Id="rId9626" Type="http://schemas.openxmlformats.org/officeDocument/2006/relationships/hyperlink" Target="http://secrets.rutgers.edu:8080/data/asl-ftp/asllvd/demos/verify_start_end_handshape_annotations//test_auto_move//signs_mov_separ_signers/Tyler_1041.mov" TargetMode="External"/><Relationship Id="rId9627" Type="http://schemas.openxmlformats.org/officeDocument/2006/relationships/hyperlink" Target="http://csr.bu.edu/ftp/asl/asllvd/demos/verify_start_end_handshape_annotations//test_auto_move//signs_mov/1041.mov" TargetMode="External"/><Relationship Id="rId9628" Type="http://schemas.openxmlformats.org/officeDocument/2006/relationships/hyperlink" Target="http://csr.bu.edu/ftp/asl/asllvd/demos/verify_start_end_handshape_annotations//test_auto_move//signs_mov_separ_signers/Naomi_1041.mov" TargetMode="External"/><Relationship Id="rId9629" Type="http://schemas.openxmlformats.org/officeDocument/2006/relationships/hyperlink" Target="http://secrets.rutgers.edu:8080/data/asl-ftp/asllvd/demos/verify_start_end_handshape_annotations//test_auto_move//signs_mov/1041.mov" TargetMode="External"/><Relationship Id="rId9630" Type="http://schemas.openxmlformats.org/officeDocument/2006/relationships/hyperlink" Target="http://secrets.rutgers.edu:8080/data/asl-ftp/asllvd/demos/verify_start_end_handshape_annotations//test_auto_move//signs_mov_separ_signers/Naomi_1041.mov" TargetMode="External"/><Relationship Id="rId9631" Type="http://schemas.openxmlformats.org/officeDocument/2006/relationships/hyperlink" Target="http://csr.bu.edu/ftp/asl/asllvd/demos/verify_start_end_handshape_annotations//test_auto_move//signs_mov_separ_signers/Brady_1041.mov" TargetMode="External"/><Relationship Id="rId9632" Type="http://schemas.openxmlformats.org/officeDocument/2006/relationships/hyperlink" Target="http://secrets.rutgers.edu:8080/data/asl-ftp/asllvd/demos/verify_start_end_handshape_annotations//test_auto_move//signs_mov_separ_signers/Brady_1041.mov" TargetMode="External"/><Relationship Id="rId9633" Type="http://schemas.openxmlformats.org/officeDocument/2006/relationships/hyperlink" Target="http://csr.bu.edu/ftp/asl/asllvd/demos/verify_start_end_handshape_annotations//test_auto_move//signs_mov_separ_signers/Lana_1041.mov" TargetMode="External"/><Relationship Id="rId9634" Type="http://schemas.openxmlformats.org/officeDocument/2006/relationships/hyperlink" Target="http://secrets.rutgers.edu:8080/data/asl-ftp/asllvd/demos/verify_start_end_handshape_annotations//test_auto_move//signs_mov_separ_signers/Lana_1041.mov" TargetMode="External"/><Relationship Id="rId9635" Type="http://schemas.openxmlformats.org/officeDocument/2006/relationships/hyperlink" Target="http://csr.bu.edu/ftp/asl/asllvd/demos/verify_start_end_handshape_annotations//test_auto_move//signs_mov_separ_signers/Dana_1041.mov" TargetMode="External"/><Relationship Id="rId9636" Type="http://schemas.openxmlformats.org/officeDocument/2006/relationships/hyperlink" Target="http://secrets.rutgers.edu:8080/data/asl-ftp/asllvd/demos/verify_start_end_handshape_annotations//test_auto_move//signs_mov_separ_signers/Dana_1041.mov" TargetMode="External"/><Relationship Id="rId9637" Type="http://schemas.openxmlformats.org/officeDocument/2006/relationships/hyperlink" Target="http://csr.bu.edu/ftp/asl/asllvd/demos/verify_start_end_handshape_annotations//test_auto_move//signs_mov/1042.mov" TargetMode="External"/><Relationship Id="rId9638" Type="http://schemas.openxmlformats.org/officeDocument/2006/relationships/hyperlink" Target="http://csr.bu.edu/ftp/asl/asllvd/demos/verify_start_end_handshape_annotations//test_auto_move//signs_mov_separ_signers/Liz_1042.mov" TargetMode="External"/><Relationship Id="rId9639" Type="http://schemas.openxmlformats.org/officeDocument/2006/relationships/hyperlink" Target="http://secrets.rutgers.edu:8080/data/asl-ftp/asllvd/demos/verify_start_end_handshape_annotations//test_auto_move//signs_mov/1042.mov" TargetMode="External"/><Relationship Id="rId9640" Type="http://schemas.openxmlformats.org/officeDocument/2006/relationships/hyperlink" Target="http://secrets.rutgers.edu:8080/data/asl-ftp/asllvd/demos/verify_start_end_handshape_annotations//test_auto_move//signs_mov_separ_signers/Liz_1042.mov" TargetMode="External"/><Relationship Id="rId9641" Type="http://schemas.openxmlformats.org/officeDocument/2006/relationships/hyperlink" Target="http://csr.bu.edu/ftp/asl/asllvd/demos/verify_start_end_handshape_annotations//test_auto_move//signs_mov_separ_signers/Brady_1042.mov" TargetMode="External"/><Relationship Id="rId9642" Type="http://schemas.openxmlformats.org/officeDocument/2006/relationships/hyperlink" Target="http://secrets.rutgers.edu:8080/data/asl-ftp/asllvd/demos/verify_start_end_handshape_annotations//test_auto_move//signs_mov_separ_signers/Brady_1042.mov" TargetMode="External"/><Relationship Id="rId9643" Type="http://schemas.openxmlformats.org/officeDocument/2006/relationships/hyperlink" Target="http://csr.bu.edu/ftp/asl/asllvd/demos/verify_start_end_handshape_annotations//test_auto_move//signs_mov_separ_signers/Liz_3721.mov" TargetMode="External"/><Relationship Id="rId9644" Type="http://schemas.openxmlformats.org/officeDocument/2006/relationships/hyperlink" Target="http://secrets.rutgers.edu:8080/data/asl-ftp/asllvd/demos/verify_start_end_handshape_annotations//test_auto_move//signs_mov_separ_signers/Liz_3721.mov" TargetMode="External"/><Relationship Id="rId9645" Type="http://schemas.openxmlformats.org/officeDocument/2006/relationships/hyperlink" Target="http://csr.bu.edu/ftp/asl/asllvd/demos/verify_start_end_handshape_annotations//test_auto_move//signs_mov/3721.mov" TargetMode="External"/><Relationship Id="rId9646" Type="http://schemas.openxmlformats.org/officeDocument/2006/relationships/hyperlink" Target="http://csr.bu.edu/ftp/asl/asllvd/demos/verify_start_end_handshape_annotations//test_auto_move//signs_mov_separ_signers/Tyler_3721.mov" TargetMode="External"/><Relationship Id="rId9647" Type="http://schemas.openxmlformats.org/officeDocument/2006/relationships/hyperlink" Target="http://secrets.rutgers.edu:8080/data/asl-ftp/asllvd/demos/verify_start_end_handshape_annotations//test_auto_move//signs_mov/3721.mov" TargetMode="External"/><Relationship Id="rId9648" Type="http://schemas.openxmlformats.org/officeDocument/2006/relationships/hyperlink" Target="http://secrets.rutgers.edu:8080/data/asl-ftp/asllvd/demos/verify_start_end_handshape_annotations//test_auto_move//signs_mov_separ_signers/Tyler_3721.mov" TargetMode="External"/><Relationship Id="rId9649" Type="http://schemas.openxmlformats.org/officeDocument/2006/relationships/hyperlink" Target="http://csr.bu.edu/ftp/asl/asllvd/demos/verify_start_end_handshape_annotations//test_auto_move//signs_mov_separ_signers/Naomi_3721.mov" TargetMode="External"/><Relationship Id="rId9650" Type="http://schemas.openxmlformats.org/officeDocument/2006/relationships/hyperlink" Target="http://secrets.rutgers.edu:8080/data/asl-ftp/asllvd/demos/verify_start_end_handshape_annotations//test_auto_move//signs_mov_separ_signers/Naomi_3721.mov" TargetMode="External"/><Relationship Id="rId9651" Type="http://schemas.openxmlformats.org/officeDocument/2006/relationships/hyperlink" Target="http://csr.bu.edu/ftp/asl/asllvd/demos/verify_start_end_handshape_annotations//test_auto_move//signs_mov_separ_signers/Brady_3721.mov" TargetMode="External"/><Relationship Id="rId9652" Type="http://schemas.openxmlformats.org/officeDocument/2006/relationships/hyperlink" Target="http://secrets.rutgers.edu:8080/data/asl-ftp/asllvd/demos/verify_start_end_handshape_annotations//test_auto_move//signs_mov_separ_signers/Brady_3721.mov" TargetMode="External"/><Relationship Id="rId9653" Type="http://schemas.openxmlformats.org/officeDocument/2006/relationships/hyperlink" Target="http://csr.bu.edu/ftp/asl/asllvd/demos/verify_start_end_handshape_annotations//test_auto_move//signs_mov_separ_signers/Tyler_1043.mov" TargetMode="External"/><Relationship Id="rId9654" Type="http://schemas.openxmlformats.org/officeDocument/2006/relationships/hyperlink" Target="http://secrets.rutgers.edu:8080/data/asl-ftp/asllvd/demos/verify_start_end_handshape_annotations//test_auto_move//signs_mov_separ_signers/Tyler_1043.mov" TargetMode="External"/><Relationship Id="rId9655" Type="http://schemas.openxmlformats.org/officeDocument/2006/relationships/hyperlink" Target="http://csr.bu.edu/ftp/asl/asllvd/demos/verify_start_end_handshape_annotations//test_auto_move//signs_mov/1043.mov" TargetMode="External"/><Relationship Id="rId9656" Type="http://schemas.openxmlformats.org/officeDocument/2006/relationships/hyperlink" Target="http://csr.bu.edu/ftp/asl/asllvd/demos/verify_start_end_handshape_annotations//test_auto_move//signs_mov_separ_signers/Lana_1043.mov" TargetMode="External"/><Relationship Id="rId9657" Type="http://schemas.openxmlformats.org/officeDocument/2006/relationships/hyperlink" Target="http://secrets.rutgers.edu:8080/data/asl-ftp/asllvd/demos/verify_start_end_handshape_annotations//test_auto_move//signs_mov/1043.mov" TargetMode="External"/><Relationship Id="rId9658" Type="http://schemas.openxmlformats.org/officeDocument/2006/relationships/hyperlink" Target="http://secrets.rutgers.edu:8080/data/asl-ftp/asllvd/demos/verify_start_end_handshape_annotations//test_auto_move//signs_mov_separ_signers/Lana_1043.mov" TargetMode="External"/><Relationship Id="rId9659" Type="http://schemas.openxmlformats.org/officeDocument/2006/relationships/hyperlink" Target="http://csr.bu.edu/ftp/asl/asllvd/demos/verify_start_end_handshape_annotations//test_auto_move//signs_mov_separ_signers/Dana_1043.mov" TargetMode="External"/><Relationship Id="rId9660" Type="http://schemas.openxmlformats.org/officeDocument/2006/relationships/hyperlink" Target="http://secrets.rutgers.edu:8080/data/asl-ftp/asllvd/demos/verify_start_end_handshape_annotations//test_auto_move//signs_mov_separ_signers/Dana_1043.mov" TargetMode="External"/><Relationship Id="rId9661" Type="http://schemas.openxmlformats.org/officeDocument/2006/relationships/hyperlink" Target="http://csr.bu.edu/ftp/asl/asllvd/demos/verify_start_end_handshape_annotations//test_auto_move//signs_mov_separ_signers/Liz_3847.mov" TargetMode="External"/><Relationship Id="rId9662" Type="http://schemas.openxmlformats.org/officeDocument/2006/relationships/hyperlink" Target="http://secrets.rutgers.edu:8080/data/asl-ftp/asllvd/demos/verify_start_end_handshape_annotations//test_auto_move//signs_mov_separ_signers/Liz_3847.mov" TargetMode="External"/><Relationship Id="rId9663" Type="http://schemas.openxmlformats.org/officeDocument/2006/relationships/hyperlink" Target="http://csr.bu.edu/ftp/asl/asllvd/demos/verify_start_end_handshape_annotations//test_auto_move//signs_mov/3847_5196_merged.mov" TargetMode="External"/><Relationship Id="rId9664" Type="http://schemas.openxmlformats.org/officeDocument/2006/relationships/hyperlink" Target="http://csr.bu.edu/ftp/asl/asllvd/demos/verify_start_end_handshape_annotations//test_auto_move//signs_mov_separ_signers/Liz_5196.mov" TargetMode="External"/><Relationship Id="rId9665" Type="http://schemas.openxmlformats.org/officeDocument/2006/relationships/hyperlink" Target="http://secrets.rutgers.edu:8080/data/asl-ftp/asllvd/demos/verify_start_end_handshape_annotations//test_auto_move//signs_mov/3847_5196_merged.mov" TargetMode="External"/><Relationship Id="rId9666" Type="http://schemas.openxmlformats.org/officeDocument/2006/relationships/hyperlink" Target="http://secrets.rutgers.edu:8080/data/asl-ftp/asllvd/demos/verify_start_end_handshape_annotations//test_auto_move//signs_mov_separ_signers/Liz_5196.mov" TargetMode="External"/><Relationship Id="rId9667" Type="http://schemas.openxmlformats.org/officeDocument/2006/relationships/hyperlink" Target="http://csr.bu.edu/ftp/asl/asllvd/demos/verify_start_end_handshape_annotations//test_auto_move//signs_mov_separ_signers/Naomi_3847.mov" TargetMode="External"/><Relationship Id="rId9668" Type="http://schemas.openxmlformats.org/officeDocument/2006/relationships/hyperlink" Target="http://secrets.rutgers.edu:8080/data/asl-ftp/asllvd/demos/verify_start_end_handshape_annotations//test_auto_move//signs_mov_separ_signers/Naomi_3847.mov" TargetMode="External"/><Relationship Id="rId9669" Type="http://schemas.openxmlformats.org/officeDocument/2006/relationships/hyperlink" Target="http://csr.bu.edu/ftp/asl/asllvd/demos/verify_start_end_handshape_annotations//test_auto_move//signs_mov_separ_signers/Brady_3847.mov" TargetMode="External"/><Relationship Id="rId9670" Type="http://schemas.openxmlformats.org/officeDocument/2006/relationships/hyperlink" Target="http://secrets.rutgers.edu:8080/data/asl-ftp/asllvd/demos/verify_start_end_handshape_annotations//test_auto_move//signs_mov_separ_signers/Brady_3847.mov" TargetMode="External"/><Relationship Id="rId9671" Type="http://schemas.openxmlformats.org/officeDocument/2006/relationships/hyperlink" Target="http://csr.bu.edu/ftp/asl/asllvd/demos/verify_start_end_handshape_annotations//test_auto_move//signs_mov/5197.mov" TargetMode="External"/><Relationship Id="rId9672" Type="http://schemas.openxmlformats.org/officeDocument/2006/relationships/hyperlink" Target="http://csr.bu.edu/ftp/asl/asllvd/demos/verify_start_end_handshape_annotations//test_auto_move//signs_mov_separ_signers/Liz_5197.mov" TargetMode="External"/><Relationship Id="rId9673" Type="http://schemas.openxmlformats.org/officeDocument/2006/relationships/hyperlink" Target="http://secrets.rutgers.edu:8080/data/asl-ftp/asllvd/demos/verify_start_end_handshape_annotations//test_auto_move//signs_mov/5197.mov" TargetMode="External"/><Relationship Id="rId9674" Type="http://schemas.openxmlformats.org/officeDocument/2006/relationships/hyperlink" Target="http://secrets.rutgers.edu:8080/data/asl-ftp/asllvd/demos/verify_start_end_handshape_annotations//test_auto_move//signs_mov_separ_signers/Liz_5197.mov" TargetMode="External"/><Relationship Id="rId9675" Type="http://schemas.openxmlformats.org/officeDocument/2006/relationships/hyperlink" Target="http://csr.bu.edu/ftp/asl/asllvd/demos/verify_start_end_handshape_annotations//test_auto_move//signs_mov/1048.mov" TargetMode="External"/><Relationship Id="rId9676" Type="http://schemas.openxmlformats.org/officeDocument/2006/relationships/hyperlink" Target="http://csr.bu.edu/ftp/asl/asllvd/demos/verify_start_end_handshape_annotations//test_auto_move//signs_mov_separ_signers/Liz_1048.mov" TargetMode="External"/><Relationship Id="rId9677" Type="http://schemas.openxmlformats.org/officeDocument/2006/relationships/hyperlink" Target="http://secrets.rutgers.edu:8080/data/asl-ftp/asllvd/demos/verify_start_end_handshape_annotations//test_auto_move//signs_mov/1048.mov" TargetMode="External"/><Relationship Id="rId9678" Type="http://schemas.openxmlformats.org/officeDocument/2006/relationships/hyperlink" Target="http://secrets.rutgers.edu:8080/data/asl-ftp/asllvd/demos/verify_start_end_handshape_annotations//test_auto_move//signs_mov_separ_signers/Liz_1048.mov" TargetMode="External"/><Relationship Id="rId9679" Type="http://schemas.openxmlformats.org/officeDocument/2006/relationships/hyperlink" Target="http://csr.bu.edu/ftp/asl/asllvd/demos/verify_start_end_handshape_annotations//test_auto_move//signs_mov_separ_signers/Naomi_1048.mov" TargetMode="External"/><Relationship Id="rId9680" Type="http://schemas.openxmlformats.org/officeDocument/2006/relationships/hyperlink" Target="http://secrets.rutgers.edu:8080/data/asl-ftp/asllvd/demos/verify_start_end_handshape_annotations//test_auto_move//signs_mov_separ_signers/Naomi_1048.mov" TargetMode="External"/><Relationship Id="rId9681" Type="http://schemas.openxmlformats.org/officeDocument/2006/relationships/hyperlink" Target="http://csr.bu.edu/ftp/asl/asllvd/demos/verify_start_end_handshape_annotations//test_auto_move//signs_mov/15342.mov" TargetMode="External"/><Relationship Id="rId9682" Type="http://schemas.openxmlformats.org/officeDocument/2006/relationships/hyperlink" Target="http://csr.bu.edu/ftp/asl/asllvd/demos/verify_start_end_handshape_annotations//test_auto_move//signs_mov_separ_signers/Brady_15342.mov" TargetMode="External"/><Relationship Id="rId9683" Type="http://schemas.openxmlformats.org/officeDocument/2006/relationships/hyperlink" Target="http://secrets.rutgers.edu:8080/data/asl-ftp/asllvd/demos/verify_start_end_handshape_annotations//test_auto_move//signs_mov/15342.mov" TargetMode="External"/><Relationship Id="rId9684" Type="http://schemas.openxmlformats.org/officeDocument/2006/relationships/hyperlink" Target="http://secrets.rutgers.edu:8080/data/asl-ftp/asllvd/demos/verify_start_end_handshape_annotations//test_auto_move//signs_mov_separ_signers/Brady_15342.mov" TargetMode="External"/><Relationship Id="rId9685" Type="http://schemas.openxmlformats.org/officeDocument/2006/relationships/hyperlink" Target="http://csr.bu.edu/ftp/asl/asllvd/demos/verify_start_end_handshape_annotations//test_auto_move//signs_mov_separ_signers/Liz_15784.mov" TargetMode="External"/><Relationship Id="rId9686" Type="http://schemas.openxmlformats.org/officeDocument/2006/relationships/hyperlink" Target="http://secrets.rutgers.edu:8080/data/asl-ftp/asllvd/demos/verify_start_end_handshape_annotations//test_auto_move//signs_mov_separ_signers/Liz_15784.mov" TargetMode="External"/><Relationship Id="rId9687" Type="http://schemas.openxmlformats.org/officeDocument/2006/relationships/hyperlink" Target="http://csr.bu.edu/ftp/asl/asllvd/demos/verify_start_end_handshape_annotations//test_auto_move//signs_mov/15784.mov" TargetMode="External"/><Relationship Id="rId9688" Type="http://schemas.openxmlformats.org/officeDocument/2006/relationships/hyperlink" Target="http://csr.bu.edu/ftp/asl/asllvd/demos/verify_start_end_handshape_annotations//test_auto_move//signs_mov_separ_signers/Tyler_15784.mov" TargetMode="External"/><Relationship Id="rId9689" Type="http://schemas.openxmlformats.org/officeDocument/2006/relationships/hyperlink" Target="http://secrets.rutgers.edu:8080/data/asl-ftp/asllvd/demos/verify_start_end_handshape_annotations//test_auto_move//signs_mov/15784.mov" TargetMode="External"/><Relationship Id="rId9690" Type="http://schemas.openxmlformats.org/officeDocument/2006/relationships/hyperlink" Target="http://secrets.rutgers.edu:8080/data/asl-ftp/asllvd/demos/verify_start_end_handshape_annotations//test_auto_move//signs_mov_separ_signers/Tyler_15784.mov" TargetMode="External"/><Relationship Id="rId9691" Type="http://schemas.openxmlformats.org/officeDocument/2006/relationships/hyperlink" Target="http://csr.bu.edu/ftp/asl/asllvd/demos/verify_start_end_handshape_annotations//test_auto_move//signs_mov_separ_signers/Naomi_15784.mov" TargetMode="External"/><Relationship Id="rId9692" Type="http://schemas.openxmlformats.org/officeDocument/2006/relationships/hyperlink" Target="http://secrets.rutgers.edu:8080/data/asl-ftp/asllvd/demos/verify_start_end_handshape_annotations//test_auto_move//signs_mov_separ_signers/Naomi_15784.mov" TargetMode="External"/><Relationship Id="rId9693" Type="http://schemas.openxmlformats.org/officeDocument/2006/relationships/hyperlink" Target="http://csr.bu.edu/ftp/asl/asllvd/demos/verify_start_end_handshape_annotations//test_auto_move//signs_mov_separ_signers/Brady_15784.mov" TargetMode="External"/><Relationship Id="rId9694" Type="http://schemas.openxmlformats.org/officeDocument/2006/relationships/hyperlink" Target="http://secrets.rutgers.edu:8080/data/asl-ftp/asllvd/demos/verify_start_end_handshape_annotations//test_auto_move//signs_mov_separ_signers/Brady_15784.mov" TargetMode="External"/><Relationship Id="rId9695" Type="http://schemas.openxmlformats.org/officeDocument/2006/relationships/hyperlink" Target="http://csr.bu.edu/ftp/asl/asllvd/demos/verify_start_end_handshape_annotations//test_auto_move//signs_mov/16377.mov" TargetMode="External"/><Relationship Id="rId9696" Type="http://schemas.openxmlformats.org/officeDocument/2006/relationships/hyperlink" Target="http://csr.bu.edu/ftp/asl/asllvd/demos/verify_start_end_handshape_annotations//test_auto_move//signs_mov_separ_signers/Tyler_16377.mov" TargetMode="External"/><Relationship Id="rId9697" Type="http://schemas.openxmlformats.org/officeDocument/2006/relationships/hyperlink" Target="http://secrets.rutgers.edu:8080/data/asl-ftp/asllvd/demos/verify_start_end_handshape_annotations//test_auto_move//signs_mov/16377.mov" TargetMode="External"/><Relationship Id="rId9698" Type="http://schemas.openxmlformats.org/officeDocument/2006/relationships/hyperlink" Target="http://secrets.rutgers.edu:8080/data/asl-ftp/asllvd/demos/verify_start_end_handshape_annotations//test_auto_move//signs_mov_separ_signers/Tyler_16377.mov" TargetMode="External"/><Relationship Id="rId9699" Type="http://schemas.openxmlformats.org/officeDocument/2006/relationships/hyperlink" Target="http://csr.bu.edu/ftp/asl/asllvd/demos/verify_start_end_handshape_annotations//test_auto_move//signs_mov_separ_signers/Liz_1049.mov" TargetMode="External"/><Relationship Id="rId9700" Type="http://schemas.openxmlformats.org/officeDocument/2006/relationships/hyperlink" Target="http://secrets.rutgers.edu:8080/data/asl-ftp/asllvd/demos/verify_start_end_handshape_annotations//test_auto_move//signs_mov_separ_signers/Liz_1049.mov" TargetMode="External"/><Relationship Id="rId9701" Type="http://schemas.openxmlformats.org/officeDocument/2006/relationships/hyperlink" Target="http://csr.bu.edu/ftp/asl/asllvd/demos/verify_start_end_handshape_annotations//test_auto_move//signs_mov/1049.mov" TargetMode="External"/><Relationship Id="rId9702" Type="http://schemas.openxmlformats.org/officeDocument/2006/relationships/hyperlink" Target="http://csr.bu.edu/ftp/asl/asllvd/demos/verify_start_end_handshape_annotations//test_auto_move//signs_mov_separ_signers/Naomi_1049.mov" TargetMode="External"/><Relationship Id="rId9703" Type="http://schemas.openxmlformats.org/officeDocument/2006/relationships/hyperlink" Target="http://secrets.rutgers.edu:8080/data/asl-ftp/asllvd/demos/verify_start_end_handshape_annotations//test_auto_move//signs_mov/1049.mov" TargetMode="External"/><Relationship Id="rId9704" Type="http://schemas.openxmlformats.org/officeDocument/2006/relationships/hyperlink" Target="http://secrets.rutgers.edu:8080/data/asl-ftp/asllvd/demos/verify_start_end_handshape_annotations//test_auto_move//signs_mov_separ_signers/Naomi_1049.mov" TargetMode="External"/><Relationship Id="rId9705" Type="http://schemas.openxmlformats.org/officeDocument/2006/relationships/hyperlink" Target="http://csr.bu.edu/ftp/asl/asllvd/demos/verify_start_end_handshape_annotations//test_auto_move//signs_mov_separ_signers/Brady_1049.mov" TargetMode="External"/><Relationship Id="rId9706" Type="http://schemas.openxmlformats.org/officeDocument/2006/relationships/hyperlink" Target="http://secrets.rutgers.edu:8080/data/asl-ftp/asllvd/demos/verify_start_end_handshape_annotations//test_auto_move//signs_mov_separ_signers/Brady_1049.mov" TargetMode="External"/><Relationship Id="rId9707" Type="http://schemas.openxmlformats.org/officeDocument/2006/relationships/hyperlink" Target="http://csr.bu.edu/ftp/asl/asllvd/demos/verify_start_end_handshape_annotations//test_auto_move//signs_mov/5198.mov" TargetMode="External"/><Relationship Id="rId9708" Type="http://schemas.openxmlformats.org/officeDocument/2006/relationships/hyperlink" Target="http://csr.bu.edu/ftp/asl/asllvd/demos/verify_start_end_handshape_annotations//test_auto_move//signs_mov_separ_signers/Tyler_5198.mov" TargetMode="External"/><Relationship Id="rId9709" Type="http://schemas.openxmlformats.org/officeDocument/2006/relationships/hyperlink" Target="http://secrets.rutgers.edu:8080/data/asl-ftp/asllvd/demos/verify_start_end_handshape_annotations//test_auto_move//signs_mov/5198.mov" TargetMode="External"/><Relationship Id="rId9710" Type="http://schemas.openxmlformats.org/officeDocument/2006/relationships/hyperlink" Target="http://secrets.rutgers.edu:8080/data/asl-ftp/asllvd/demos/verify_start_end_handshape_annotations//test_auto_move//signs_mov_separ_signers/Tyler_5198.mov" TargetMode="External"/><Relationship Id="rId9711" Type="http://schemas.openxmlformats.org/officeDocument/2006/relationships/hyperlink" Target="http://csr.bu.edu/ftp/asl/asllvd/demos/verify_start_end_handshape_annotations//test_auto_move//signs_mov_separ_signers/Brady_5198.mov" TargetMode="External"/><Relationship Id="rId9712" Type="http://schemas.openxmlformats.org/officeDocument/2006/relationships/hyperlink" Target="http://secrets.rutgers.edu:8080/data/asl-ftp/asllvd/demos/verify_start_end_handshape_annotations//test_auto_move//signs_mov_separ_signers/Brady_5198.mov" TargetMode="External"/><Relationship Id="rId9713" Type="http://schemas.openxmlformats.org/officeDocument/2006/relationships/hyperlink" Target="http://csr.bu.edu/ftp/asl/asllvd/demos/verify_start_end_handshape_annotations//test_auto_move//signs_mov/1050.mov" TargetMode="External"/><Relationship Id="rId9714" Type="http://schemas.openxmlformats.org/officeDocument/2006/relationships/hyperlink" Target="http://csr.bu.edu/ftp/asl/asllvd/demos/verify_start_end_handshape_annotations//test_auto_move//signs_mov_separ_signers/Liz_1050.mov" TargetMode="External"/><Relationship Id="rId9715" Type="http://schemas.openxmlformats.org/officeDocument/2006/relationships/hyperlink" Target="http://secrets.rutgers.edu:8080/data/asl-ftp/asllvd/demos/verify_start_end_handshape_annotations//test_auto_move//signs_mov/1050.mov" TargetMode="External"/><Relationship Id="rId9716" Type="http://schemas.openxmlformats.org/officeDocument/2006/relationships/hyperlink" Target="http://secrets.rutgers.edu:8080/data/asl-ftp/asllvd/demos/verify_start_end_handshape_annotations//test_auto_move//signs_mov_separ_signers/Liz_1050.mov" TargetMode="External"/><Relationship Id="rId9717" Type="http://schemas.openxmlformats.org/officeDocument/2006/relationships/hyperlink" Target="http://csr.bu.edu/ftp/asl/asllvd/demos/verify_start_end_handshape_annotations//test_auto_move//signs_mov/5064.mov" TargetMode="External"/><Relationship Id="rId9718" Type="http://schemas.openxmlformats.org/officeDocument/2006/relationships/hyperlink" Target="http://csr.bu.edu/ftp/asl/asllvd/demos/verify_start_end_handshape_annotations//test_auto_move//signs_mov_separ_signers/Brady_5064.mov" TargetMode="External"/><Relationship Id="rId9719" Type="http://schemas.openxmlformats.org/officeDocument/2006/relationships/hyperlink" Target="http://secrets.rutgers.edu:8080/data/asl-ftp/asllvd/demos/verify_start_end_handshape_annotations//test_auto_move//signs_mov/5064.mov" TargetMode="External"/><Relationship Id="rId9720" Type="http://schemas.openxmlformats.org/officeDocument/2006/relationships/hyperlink" Target="http://secrets.rutgers.edu:8080/data/asl-ftp/asllvd/demos/verify_start_end_handshape_annotations//test_auto_move//signs_mov_separ_signers/Brady_5064.mov" TargetMode="External"/><Relationship Id="rId9721" Type="http://schemas.openxmlformats.org/officeDocument/2006/relationships/hyperlink" Target="http://csr.bu.edu/ftp/asl/asllvd/demos/verify_start_end_handshape_annotations//test_auto_move//signs_mov/16206.mov" TargetMode="External"/><Relationship Id="rId9722" Type="http://schemas.openxmlformats.org/officeDocument/2006/relationships/hyperlink" Target="http://csr.bu.edu/ftp/asl/asllvd/demos/verify_start_end_handshape_annotations//test_auto_move//signs_mov_separ_signers/Tyler_16206.mov" TargetMode="External"/><Relationship Id="rId9723" Type="http://schemas.openxmlformats.org/officeDocument/2006/relationships/hyperlink" Target="http://secrets.rutgers.edu:8080/data/asl-ftp/asllvd/demos/verify_start_end_handshape_annotations//test_auto_move//signs_mov/16206.mov" TargetMode="External"/><Relationship Id="rId9724" Type="http://schemas.openxmlformats.org/officeDocument/2006/relationships/hyperlink" Target="http://secrets.rutgers.edu:8080/data/asl-ftp/asllvd/demos/verify_start_end_handshape_annotations//test_auto_move//signs_mov_separ_signers/Tyler_16206.mov" TargetMode="External"/><Relationship Id="rId9725" Type="http://schemas.openxmlformats.org/officeDocument/2006/relationships/hyperlink" Target="http://csr.bu.edu/ftp/asl/asllvd/demos/verify_start_end_handshape_annotations//test_auto_move//signs_mov_separ_signers/Brady_16206.mov" TargetMode="External"/><Relationship Id="rId9726" Type="http://schemas.openxmlformats.org/officeDocument/2006/relationships/hyperlink" Target="http://secrets.rutgers.edu:8080/data/asl-ftp/asllvd/demos/verify_start_end_handshape_annotations//test_auto_move//signs_mov_separ_signers/Brady_16206.mov" TargetMode="External"/><Relationship Id="rId9727" Type="http://schemas.openxmlformats.org/officeDocument/2006/relationships/hyperlink" Target="http://csr.bu.edu/ftp/asl/asllvd/demos/verify_start_end_handshape_annotations//test_auto_move//signs_mov/1051.mov" TargetMode="External"/><Relationship Id="rId9728" Type="http://schemas.openxmlformats.org/officeDocument/2006/relationships/hyperlink" Target="http://csr.bu.edu/ftp/asl/asllvd/demos/verify_start_end_handshape_annotations//test_auto_move//signs_mov_separ_signers/Liz_1051.mov" TargetMode="External"/><Relationship Id="rId9729" Type="http://schemas.openxmlformats.org/officeDocument/2006/relationships/hyperlink" Target="http://secrets.rutgers.edu:8080/data/asl-ftp/asllvd/demos/verify_start_end_handshape_annotations//test_auto_move//signs_mov/1051.mov" TargetMode="External"/><Relationship Id="rId9730" Type="http://schemas.openxmlformats.org/officeDocument/2006/relationships/hyperlink" Target="http://secrets.rutgers.edu:8080/data/asl-ftp/asllvd/demos/verify_start_end_handshape_annotations//test_auto_move//signs_mov_separ_signers/Liz_1051.mov" TargetMode="External"/><Relationship Id="rId9731" Type="http://schemas.openxmlformats.org/officeDocument/2006/relationships/hyperlink" Target="http://csr.bu.edu/ftp/asl/asllvd/demos/verify_start_end_handshape_annotations//test_auto_move//signs_mov_separ_signers/Brady_1051.mov" TargetMode="External"/><Relationship Id="rId9732" Type="http://schemas.openxmlformats.org/officeDocument/2006/relationships/hyperlink" Target="http://secrets.rutgers.edu:8080/data/asl-ftp/asllvd/demos/verify_start_end_handshape_annotations//test_auto_move//signs_mov_separ_signers/Brady_1051.mov" TargetMode="External"/><Relationship Id="rId9733" Type="http://schemas.openxmlformats.org/officeDocument/2006/relationships/hyperlink" Target="http://csr.bu.edu/ftp/asl/asllvd/demos/verify_start_end_handshape_annotations//test_auto_move//signs_mov/15324.mov" TargetMode="External"/><Relationship Id="rId9734" Type="http://schemas.openxmlformats.org/officeDocument/2006/relationships/hyperlink" Target="http://csr.bu.edu/ftp/asl/asllvd/demos/verify_start_end_handshape_annotations//test_auto_move//signs_mov_separ_signers/Naomi_15324.mov" TargetMode="External"/><Relationship Id="rId9735" Type="http://schemas.openxmlformats.org/officeDocument/2006/relationships/hyperlink" Target="http://secrets.rutgers.edu:8080/data/asl-ftp/asllvd/demos/verify_start_end_handshape_annotations//test_auto_move//signs_mov/15324.mov" TargetMode="External"/><Relationship Id="rId9736" Type="http://schemas.openxmlformats.org/officeDocument/2006/relationships/hyperlink" Target="http://secrets.rutgers.edu:8080/data/asl-ftp/asllvd/demos/verify_start_end_handshape_annotations//test_auto_move//signs_mov_separ_signers/Naomi_15324.mov" TargetMode="External"/><Relationship Id="rId9737" Type="http://schemas.openxmlformats.org/officeDocument/2006/relationships/hyperlink" Target="http://csr.bu.edu/ftp/asl/asllvd/demos/verify_start_end_handshape_annotations//test_auto_move//signs_mov/15343.mov" TargetMode="External"/><Relationship Id="rId9738" Type="http://schemas.openxmlformats.org/officeDocument/2006/relationships/hyperlink" Target="http://csr.bu.edu/ftp/asl/asllvd/demos/verify_start_end_handshape_annotations//test_auto_move//signs_mov_separ_signers/Tyler_15343.mov" TargetMode="External"/><Relationship Id="rId9739" Type="http://schemas.openxmlformats.org/officeDocument/2006/relationships/hyperlink" Target="http://secrets.rutgers.edu:8080/data/asl-ftp/asllvd/demos/verify_start_end_handshape_annotations//test_auto_move//signs_mov/15343.mov" TargetMode="External"/><Relationship Id="rId9740" Type="http://schemas.openxmlformats.org/officeDocument/2006/relationships/hyperlink" Target="http://secrets.rutgers.edu:8080/data/asl-ftp/asllvd/demos/verify_start_end_handshape_annotations//test_auto_move//signs_mov_separ_signers/Tyler_15343.mov" TargetMode="External"/><Relationship Id="rId9741" Type="http://schemas.openxmlformats.org/officeDocument/2006/relationships/hyperlink" Target="http://csr.bu.edu/ftp/asl/asllvd/demos/verify_start_end_handshape_annotations//test_auto_move//signs_mov_separ_signers/Brady_15343.mov" TargetMode="External"/><Relationship Id="rId9742" Type="http://schemas.openxmlformats.org/officeDocument/2006/relationships/hyperlink" Target="http://secrets.rutgers.edu:8080/data/asl-ftp/asllvd/demos/verify_start_end_handshape_annotations//test_auto_move//signs_mov_separ_signers/Brady_15343.mov" TargetMode="External"/><Relationship Id="rId9743" Type="http://schemas.openxmlformats.org/officeDocument/2006/relationships/hyperlink" Target="http://csr.bu.edu/ftp/asl/asllvd/demos/verify_start_end_handshape_annotations//test_auto_move//signs_mov_separ_signers/Liz_1052.mov" TargetMode="External"/><Relationship Id="rId9744" Type="http://schemas.openxmlformats.org/officeDocument/2006/relationships/hyperlink" Target="http://secrets.rutgers.edu:8080/data/asl-ftp/asllvd/demos/verify_start_end_handshape_annotations//test_auto_move//signs_mov_separ_signers/Liz_1052.mov" TargetMode="External"/><Relationship Id="rId9745" Type="http://schemas.openxmlformats.org/officeDocument/2006/relationships/hyperlink" Target="http://csr.bu.edu/ftp/asl/asllvd/demos/verify_start_end_handshape_annotations//test_auto_move//signs_mov/1052_5063_merged.mov" TargetMode="External"/><Relationship Id="rId9746" Type="http://schemas.openxmlformats.org/officeDocument/2006/relationships/hyperlink" Target="http://csr.bu.edu/ftp/asl/asllvd/demos/verify_start_end_handshape_annotations//test_auto_move//signs_mov_separ_signers/Liz_5063.mov" TargetMode="External"/><Relationship Id="rId9747" Type="http://schemas.openxmlformats.org/officeDocument/2006/relationships/hyperlink" Target="http://secrets.rutgers.edu:8080/data/asl-ftp/asllvd/demos/verify_start_end_handshape_annotations//test_auto_move//signs_mov/1052_5063_merged.mov" TargetMode="External"/><Relationship Id="rId9748" Type="http://schemas.openxmlformats.org/officeDocument/2006/relationships/hyperlink" Target="http://secrets.rutgers.edu:8080/data/asl-ftp/asllvd/demos/verify_start_end_handshape_annotations//test_auto_move//signs_mov_separ_signers/Liz_5063.mov" TargetMode="External"/><Relationship Id="rId9749" Type="http://schemas.openxmlformats.org/officeDocument/2006/relationships/hyperlink" Target="http://csr.bu.edu/ftp/asl/asllvd/demos/verify_start_end_handshape_annotations//test_auto_move//signs_mov_separ_signers/Naomi_1052.mov" TargetMode="External"/><Relationship Id="rId9750" Type="http://schemas.openxmlformats.org/officeDocument/2006/relationships/hyperlink" Target="http://secrets.rutgers.edu:8080/data/asl-ftp/asllvd/demos/verify_start_end_handshape_annotations//test_auto_move//signs_mov_separ_signers/Naomi_1052.mov" TargetMode="External"/><Relationship Id="rId9751" Type="http://schemas.openxmlformats.org/officeDocument/2006/relationships/hyperlink" Target="http://csr.bu.edu/ftp/asl/asllvd/demos/verify_start_end_handshape_annotations//test_auto_move//signs_mov_separ_signers/Naomi_5063.mov" TargetMode="External"/><Relationship Id="rId9752" Type="http://schemas.openxmlformats.org/officeDocument/2006/relationships/hyperlink" Target="http://secrets.rutgers.edu:8080/data/asl-ftp/asllvd/demos/verify_start_end_handshape_annotations//test_auto_move//signs_mov_separ_signers/Naomi_5063.mov" TargetMode="External"/><Relationship Id="rId9753" Type="http://schemas.openxmlformats.org/officeDocument/2006/relationships/hyperlink" Target="http://csr.bu.edu/ftp/asl/asllvd/demos/verify_start_end_handshape_annotations//test_auto_move//signs_mov/5199_15224_merged.mov" TargetMode="External"/><Relationship Id="rId9754" Type="http://schemas.openxmlformats.org/officeDocument/2006/relationships/hyperlink" Target="http://csr.bu.edu/ftp/asl/asllvd/demos/verify_start_end_handshape_annotations//test_auto_move//signs_mov_separ_signers/Tyler_5199.mov" TargetMode="External"/><Relationship Id="rId9755" Type="http://schemas.openxmlformats.org/officeDocument/2006/relationships/hyperlink" Target="http://secrets.rutgers.edu:8080/data/asl-ftp/asllvd/demos/verify_start_end_handshape_annotations//test_auto_move//signs_mov/5199_15224_merged.mov" TargetMode="External"/><Relationship Id="rId9756" Type="http://schemas.openxmlformats.org/officeDocument/2006/relationships/hyperlink" Target="http://secrets.rutgers.edu:8080/data/asl-ftp/asllvd/demos/verify_start_end_handshape_annotations//test_auto_move//signs_mov_separ_signers/Tyler_5199.mov" TargetMode="External"/><Relationship Id="rId9757" Type="http://schemas.openxmlformats.org/officeDocument/2006/relationships/hyperlink" Target="http://csr.bu.edu/ftp/asl/asllvd/demos/verify_start_end_handshape_annotations//test_auto_move//signs_mov_separ_signers/Tyler_15224.mov" TargetMode="External"/><Relationship Id="rId9758" Type="http://schemas.openxmlformats.org/officeDocument/2006/relationships/hyperlink" Target="http://secrets.rutgers.edu:8080/data/asl-ftp/asllvd/demos/verify_start_end_handshape_annotations//test_auto_move//signs_mov_separ_signers/Tyler_15224.mov" TargetMode="External"/><Relationship Id="rId9759" Type="http://schemas.openxmlformats.org/officeDocument/2006/relationships/hyperlink" Target="http://csr.bu.edu/ftp/asl/asllvd/demos/verify_start_end_handshape_annotations//test_auto_move//signs_mov_separ_signers/Liz_1062.mov" TargetMode="External"/><Relationship Id="rId9760" Type="http://schemas.openxmlformats.org/officeDocument/2006/relationships/hyperlink" Target="http://secrets.rutgers.edu:8080/data/asl-ftp/asllvd/demos/verify_start_end_handshape_annotations//test_auto_move//signs_mov_separ_signers/Liz_1062.mov" TargetMode="External"/><Relationship Id="rId9761" Type="http://schemas.openxmlformats.org/officeDocument/2006/relationships/hyperlink" Target="http://csr.bu.edu/ftp/asl/asllvd/demos/verify_start_end_handshape_annotations//test_auto_move//signs_mov_separ_signers/Liz_3800.mov" TargetMode="External"/><Relationship Id="rId9762" Type="http://schemas.openxmlformats.org/officeDocument/2006/relationships/hyperlink" Target="http://secrets.rutgers.edu:8080/data/asl-ftp/asllvd/demos/verify_start_end_handshape_annotations//test_auto_move//signs_mov_separ_signers/Liz_3800.mov" TargetMode="External"/><Relationship Id="rId9763" Type="http://schemas.openxmlformats.org/officeDocument/2006/relationships/hyperlink" Target="http://csr.bu.edu/ftp/asl/asllvd/demos/verify_start_end_handshape_annotations//test_auto_move//signs_mov_separ_signers/Liz_15736.mov" TargetMode="External"/><Relationship Id="rId9764" Type="http://schemas.openxmlformats.org/officeDocument/2006/relationships/hyperlink" Target="http://secrets.rutgers.edu:8080/data/asl-ftp/asllvd/demos/verify_start_end_handshape_annotations//test_auto_move//signs_mov_separ_signers/Liz_15736.mov" TargetMode="External"/><Relationship Id="rId9765" Type="http://schemas.openxmlformats.org/officeDocument/2006/relationships/hyperlink" Target="http://csr.bu.edu/ftp/asl/asllvd/demos/verify_start_end_handshape_annotations//test_auto_move//signs_mov/1062_3800_15736_merged.mov" TargetMode="External"/><Relationship Id="rId9766" Type="http://schemas.openxmlformats.org/officeDocument/2006/relationships/hyperlink" Target="http://csr.bu.edu/ftp/asl/asllvd/demos/verify_start_end_handshape_annotations//test_auto_move//signs_mov_separ_signers/Tyler_1062.mov" TargetMode="External"/><Relationship Id="rId9767" Type="http://schemas.openxmlformats.org/officeDocument/2006/relationships/hyperlink" Target="http://secrets.rutgers.edu:8080/data/asl-ftp/asllvd/demos/verify_start_end_handshape_annotations//test_auto_move//signs_mov/1062_3800_15736_merged.mov" TargetMode="External"/><Relationship Id="rId9768" Type="http://schemas.openxmlformats.org/officeDocument/2006/relationships/hyperlink" Target="http://secrets.rutgers.edu:8080/data/asl-ftp/asllvd/demos/verify_start_end_handshape_annotations//test_auto_move//signs_mov_separ_signers/Tyler_1062.mov" TargetMode="External"/><Relationship Id="rId9769" Type="http://schemas.openxmlformats.org/officeDocument/2006/relationships/hyperlink" Target="http://csr.bu.edu/ftp/asl/asllvd/demos/verify_start_end_handshape_annotations//test_auto_move//signs_mov_separ_signers/Naomi_1062.mov" TargetMode="External"/><Relationship Id="rId9770" Type="http://schemas.openxmlformats.org/officeDocument/2006/relationships/hyperlink" Target="http://secrets.rutgers.edu:8080/data/asl-ftp/asllvd/demos/verify_start_end_handshape_annotations//test_auto_move//signs_mov_separ_signers/Naomi_1062.mov" TargetMode="External"/><Relationship Id="rId9771" Type="http://schemas.openxmlformats.org/officeDocument/2006/relationships/hyperlink" Target="http://csr.bu.edu/ftp/asl/asllvd/demos/verify_start_end_handshape_annotations//test_auto_move//signs_mov_separ_signers/Brady_1062.mov" TargetMode="External"/><Relationship Id="rId9772" Type="http://schemas.openxmlformats.org/officeDocument/2006/relationships/hyperlink" Target="http://secrets.rutgers.edu:8080/data/asl-ftp/asllvd/demos/verify_start_end_handshape_annotations//test_auto_move//signs_mov_separ_signers/Brady_1062.mov" TargetMode="External"/><Relationship Id="rId9773" Type="http://schemas.openxmlformats.org/officeDocument/2006/relationships/hyperlink" Target="http://csr.bu.edu/ftp/asl/asllvd/demos/verify_start_end_handshape_annotations//test_auto_move//signs_mov_separ_signers/Brady_3800.mov" TargetMode="External"/><Relationship Id="rId9774" Type="http://schemas.openxmlformats.org/officeDocument/2006/relationships/hyperlink" Target="http://secrets.rutgers.edu:8080/data/asl-ftp/asllvd/demos/verify_start_end_handshape_annotations//test_auto_move//signs_mov_separ_signers/Brady_3800.mov" TargetMode="External"/><Relationship Id="rId9775" Type="http://schemas.openxmlformats.org/officeDocument/2006/relationships/hyperlink" Target="http://csr.bu.edu/ftp/asl/asllvd/demos/verify_start_end_handshape_annotations//test_auto_move//signs_mov_separ_signers/Brady_15736.mov" TargetMode="External"/><Relationship Id="rId9776" Type="http://schemas.openxmlformats.org/officeDocument/2006/relationships/hyperlink" Target="http://secrets.rutgers.edu:8080/data/asl-ftp/asllvd/demos/verify_start_end_handshape_annotations//test_auto_move//signs_mov_separ_signers/Brady_15736.mov" TargetMode="External"/><Relationship Id="rId9777" Type="http://schemas.openxmlformats.org/officeDocument/2006/relationships/hyperlink" Target="http://csr.bu.edu/ftp/asl/asllvd/demos/verify_start_end_handshape_annotations//test_auto_move//signs_mov_separ_signers/Liz_1063.mov" TargetMode="External"/><Relationship Id="rId9778" Type="http://schemas.openxmlformats.org/officeDocument/2006/relationships/hyperlink" Target="http://secrets.rutgers.edu:8080/data/asl-ftp/asllvd/demos/verify_start_end_handshape_annotations//test_auto_move//signs_mov_separ_signers/Liz_1063.mov" TargetMode="External"/><Relationship Id="rId9779" Type="http://schemas.openxmlformats.org/officeDocument/2006/relationships/hyperlink" Target="http://csr.bu.edu/ftp/asl/asllvd/demos/verify_start_end_handshape_annotations//test_auto_move//signs_mov/1063.mov" TargetMode="External"/><Relationship Id="rId9780" Type="http://schemas.openxmlformats.org/officeDocument/2006/relationships/hyperlink" Target="http://csr.bu.edu/ftp/asl/asllvd/demos/verify_start_end_handshape_annotations//test_auto_move//signs_mov_separ_signers/Tyler_1063.mov" TargetMode="External"/><Relationship Id="rId9781" Type="http://schemas.openxmlformats.org/officeDocument/2006/relationships/hyperlink" Target="http://secrets.rutgers.edu:8080/data/asl-ftp/asllvd/demos/verify_start_end_handshape_annotations//test_auto_move//signs_mov/1063.mov" TargetMode="External"/><Relationship Id="rId9782" Type="http://schemas.openxmlformats.org/officeDocument/2006/relationships/hyperlink" Target="http://secrets.rutgers.edu:8080/data/asl-ftp/asllvd/demos/verify_start_end_handshape_annotations//test_auto_move//signs_mov_separ_signers/Tyler_1063.mov" TargetMode="External"/><Relationship Id="rId9783" Type="http://schemas.openxmlformats.org/officeDocument/2006/relationships/hyperlink" Target="http://csr.bu.edu/ftp/asl/asllvd/demos/verify_start_end_handshape_annotations//test_auto_move//signs_mov_separ_signers/Brady_1063.mov" TargetMode="External"/><Relationship Id="rId9784" Type="http://schemas.openxmlformats.org/officeDocument/2006/relationships/hyperlink" Target="http://secrets.rutgers.edu:8080/data/asl-ftp/asllvd/demos/verify_start_end_handshape_annotations//test_auto_move//signs_mov_separ_signers/Brady_1063.mov" TargetMode="External"/><Relationship Id="rId9785" Type="http://schemas.openxmlformats.org/officeDocument/2006/relationships/hyperlink" Target="http://csr.bu.edu/ftp/asl/asllvd/demos/verify_start_end_handshape_annotations//test_auto_move//signs_mov_separ_signers/Liz_1064.mov" TargetMode="External"/><Relationship Id="rId9786" Type="http://schemas.openxmlformats.org/officeDocument/2006/relationships/hyperlink" Target="http://secrets.rutgers.edu:8080/data/asl-ftp/asllvd/demos/verify_start_end_handshape_annotations//test_auto_move//signs_mov_separ_signers/Liz_1064.mov" TargetMode="External"/><Relationship Id="rId9787" Type="http://schemas.openxmlformats.org/officeDocument/2006/relationships/hyperlink" Target="http://csr.bu.edu/ftp/asl/asllvd/demos/verify_start_end_handshape_annotations//test_auto_move//signs_mov/1064.mov" TargetMode="External"/><Relationship Id="rId9788" Type="http://schemas.openxmlformats.org/officeDocument/2006/relationships/hyperlink" Target="http://csr.bu.edu/ftp/asl/asllvd/demos/verify_start_end_handshape_annotations//test_auto_move//signs_mov_separ_signers/Tyler_1064.mov" TargetMode="External"/><Relationship Id="rId9789" Type="http://schemas.openxmlformats.org/officeDocument/2006/relationships/hyperlink" Target="http://secrets.rutgers.edu:8080/data/asl-ftp/asllvd/demos/verify_start_end_handshape_annotations//test_auto_move//signs_mov/1064.mov" TargetMode="External"/><Relationship Id="rId9790" Type="http://schemas.openxmlformats.org/officeDocument/2006/relationships/hyperlink" Target="http://secrets.rutgers.edu:8080/data/asl-ftp/asllvd/demos/verify_start_end_handshape_annotations//test_auto_move//signs_mov_separ_signers/Tyler_1064.mov" TargetMode="External"/><Relationship Id="rId9791" Type="http://schemas.openxmlformats.org/officeDocument/2006/relationships/hyperlink" Target="http://csr.bu.edu/ftp/asl/asllvd/demos/verify_start_end_handshape_annotations//test_auto_move//signs_mov_separ_signers/Naomi_1064.mov" TargetMode="External"/><Relationship Id="rId9792" Type="http://schemas.openxmlformats.org/officeDocument/2006/relationships/hyperlink" Target="http://secrets.rutgers.edu:8080/data/asl-ftp/asllvd/demos/verify_start_end_handshape_annotations//test_auto_move//signs_mov_separ_signers/Naomi_1064.mov" TargetMode="External"/><Relationship Id="rId9793" Type="http://schemas.openxmlformats.org/officeDocument/2006/relationships/hyperlink" Target="http://csr.bu.edu/ftp/asl/asllvd/demos/verify_start_end_handshape_annotations//test_auto_move//signs_mov_separ_signers/Brady_1064.mov" TargetMode="External"/><Relationship Id="rId9794" Type="http://schemas.openxmlformats.org/officeDocument/2006/relationships/hyperlink" Target="http://secrets.rutgers.edu:8080/data/asl-ftp/asllvd/demos/verify_start_end_handshape_annotations//test_auto_move//signs_mov_separ_signers/Brady_1064.mov" TargetMode="External"/><Relationship Id="rId9795" Type="http://schemas.openxmlformats.org/officeDocument/2006/relationships/hyperlink" Target="http://csr.bu.edu/ftp/asl/asllvd/demos/verify_start_end_handshape_annotations//test_auto_move//signs_mov_separ_signers/Liz_1066.mov" TargetMode="External"/><Relationship Id="rId9796" Type="http://schemas.openxmlformats.org/officeDocument/2006/relationships/hyperlink" Target="http://secrets.rutgers.edu:8080/data/asl-ftp/asllvd/demos/verify_start_end_handshape_annotations//test_auto_move//signs_mov_separ_signers/Liz_1066.mov" TargetMode="External"/><Relationship Id="rId9797" Type="http://schemas.openxmlformats.org/officeDocument/2006/relationships/hyperlink" Target="http://csr.bu.edu/ftp/asl/asllvd/demos/verify_start_end_handshape_annotations//test_auto_move//signs_mov/1066.mov" TargetMode="External"/><Relationship Id="rId9798" Type="http://schemas.openxmlformats.org/officeDocument/2006/relationships/hyperlink" Target="http://csr.bu.edu/ftp/asl/asllvd/demos/verify_start_end_handshape_annotations//test_auto_move//signs_mov_separ_signers/Tyler_1066.mov" TargetMode="External"/><Relationship Id="rId9799" Type="http://schemas.openxmlformats.org/officeDocument/2006/relationships/hyperlink" Target="http://secrets.rutgers.edu:8080/data/asl-ftp/asllvd/demos/verify_start_end_handshape_annotations//test_auto_move//signs_mov/1066.mov" TargetMode="External"/><Relationship Id="rId9800" Type="http://schemas.openxmlformats.org/officeDocument/2006/relationships/hyperlink" Target="http://secrets.rutgers.edu:8080/data/asl-ftp/asllvd/demos/verify_start_end_handshape_annotations//test_auto_move//signs_mov_separ_signers/Tyler_1066.mov" TargetMode="External"/><Relationship Id="rId9801" Type="http://schemas.openxmlformats.org/officeDocument/2006/relationships/hyperlink" Target="http://csr.bu.edu/ftp/asl/asllvd/demos/verify_start_end_handshape_annotations//test_auto_move//signs_mov_separ_signers/Naomi_1066.mov" TargetMode="External"/><Relationship Id="rId9802" Type="http://schemas.openxmlformats.org/officeDocument/2006/relationships/hyperlink" Target="http://secrets.rutgers.edu:8080/data/asl-ftp/asllvd/demos/verify_start_end_handshape_annotations//test_auto_move//signs_mov_separ_signers/Naomi_1066.mov" TargetMode="External"/><Relationship Id="rId9803" Type="http://schemas.openxmlformats.org/officeDocument/2006/relationships/hyperlink" Target="http://csr.bu.edu/ftp/asl/asllvd/demos/verify_start_end_handshape_annotations//test_auto_move//signs_mov_separ_signers/Brady_1066.mov" TargetMode="External"/><Relationship Id="rId9804" Type="http://schemas.openxmlformats.org/officeDocument/2006/relationships/hyperlink" Target="http://secrets.rutgers.edu:8080/data/asl-ftp/asllvd/demos/verify_start_end_handshape_annotations//test_auto_move//signs_mov_separ_signers/Brady_1066.mov" TargetMode="External"/><Relationship Id="rId9805" Type="http://schemas.openxmlformats.org/officeDocument/2006/relationships/hyperlink" Target="http://csr.bu.edu/ftp/asl/asllvd/demos/verify_start_end_handshape_annotations//test_auto_move//signs_mov_separ_signers/Liz_1067.mov" TargetMode="External"/><Relationship Id="rId9806" Type="http://schemas.openxmlformats.org/officeDocument/2006/relationships/hyperlink" Target="http://secrets.rutgers.edu:8080/data/asl-ftp/asllvd/demos/verify_start_end_handshape_annotations//test_auto_move//signs_mov_separ_signers/Liz_1067.mov" TargetMode="External"/><Relationship Id="rId9807" Type="http://schemas.openxmlformats.org/officeDocument/2006/relationships/hyperlink" Target="http://csr.bu.edu/ftp/asl/asllvd/demos/verify_start_end_handshape_annotations//test_auto_move//signs_mov_separ_signers/Liz_3419.mov" TargetMode="External"/><Relationship Id="rId9808" Type="http://schemas.openxmlformats.org/officeDocument/2006/relationships/hyperlink" Target="http://secrets.rutgers.edu:8080/data/asl-ftp/asllvd/demos/verify_start_end_handshape_annotations//test_auto_move//signs_mov_separ_signers/Liz_3419.mov" TargetMode="External"/><Relationship Id="rId9809" Type="http://schemas.openxmlformats.org/officeDocument/2006/relationships/hyperlink" Target="http://csr.bu.edu/ftp/asl/asllvd/demos/verify_start_end_handshape_annotations//test_auto_move//signs_mov/1067_3419_merged.mov" TargetMode="External"/><Relationship Id="rId9810" Type="http://schemas.openxmlformats.org/officeDocument/2006/relationships/hyperlink" Target="http://csr.bu.edu/ftp/asl/asllvd/demos/verify_start_end_handshape_annotations//test_auto_move//signs_mov_separ_signers/Tyler_1067.mov" TargetMode="External"/><Relationship Id="rId9811" Type="http://schemas.openxmlformats.org/officeDocument/2006/relationships/hyperlink" Target="http://secrets.rutgers.edu:8080/data/asl-ftp/asllvd/demos/verify_start_end_handshape_annotations//test_auto_move//signs_mov/1067_3419_merged.mov" TargetMode="External"/><Relationship Id="rId9812" Type="http://schemas.openxmlformats.org/officeDocument/2006/relationships/hyperlink" Target="http://secrets.rutgers.edu:8080/data/asl-ftp/asllvd/demos/verify_start_end_handshape_annotations//test_auto_move//signs_mov_separ_signers/Tyler_1067.mov" TargetMode="External"/><Relationship Id="rId9813" Type="http://schemas.openxmlformats.org/officeDocument/2006/relationships/hyperlink" Target="http://csr.bu.edu/ftp/asl/asllvd/demos/verify_start_end_handshape_annotations//test_auto_move//signs_mov_separ_signers/Naomi_1067.mov" TargetMode="External"/><Relationship Id="rId9814" Type="http://schemas.openxmlformats.org/officeDocument/2006/relationships/hyperlink" Target="http://secrets.rutgers.edu:8080/data/asl-ftp/asllvd/demos/verify_start_end_handshape_annotations//test_auto_move//signs_mov_separ_signers/Naomi_1067.mov" TargetMode="External"/><Relationship Id="rId9815" Type="http://schemas.openxmlformats.org/officeDocument/2006/relationships/hyperlink" Target="http://csr.bu.edu/ftp/asl/asllvd/demos/verify_start_end_handshape_annotations//test_auto_move//signs_mov_separ_signers/Brady_1067.mov" TargetMode="External"/><Relationship Id="rId9816" Type="http://schemas.openxmlformats.org/officeDocument/2006/relationships/hyperlink" Target="http://secrets.rutgers.edu:8080/data/asl-ftp/asllvd/demos/verify_start_end_handshape_annotations//test_auto_move//signs_mov_separ_signers/Brady_1067.mov" TargetMode="External"/><Relationship Id="rId9817" Type="http://schemas.openxmlformats.org/officeDocument/2006/relationships/hyperlink" Target="http://csr.bu.edu/ftp/asl/asllvd/demos/verify_start_end_handshape_annotations//test_auto_move//signs_mov_separ_signers/Dana_1067.mov" TargetMode="External"/><Relationship Id="rId9818" Type="http://schemas.openxmlformats.org/officeDocument/2006/relationships/hyperlink" Target="http://secrets.rutgers.edu:8080/data/asl-ftp/asllvd/demos/verify_start_end_handshape_annotations//test_auto_move//signs_mov_separ_signers/Dana_1067.mov" TargetMode="External"/><Relationship Id="rId9819" Type="http://schemas.openxmlformats.org/officeDocument/2006/relationships/hyperlink" Target="http://csr.bu.edu/ftp/asl/asllvd/demos/verify_start_end_handshape_annotations//test_auto_move//signs_mov/1070.mov" TargetMode="External"/><Relationship Id="rId9820" Type="http://schemas.openxmlformats.org/officeDocument/2006/relationships/hyperlink" Target="http://csr.bu.edu/ftp/asl/asllvd/demos/verify_start_end_handshape_annotations//test_auto_move//signs_mov_separ_signers/Liz_1070.mov" TargetMode="External"/><Relationship Id="rId9821" Type="http://schemas.openxmlformats.org/officeDocument/2006/relationships/hyperlink" Target="http://secrets.rutgers.edu:8080/data/asl-ftp/asllvd/demos/verify_start_end_handshape_annotations//test_auto_move//signs_mov/1070.mov" TargetMode="External"/><Relationship Id="rId9822" Type="http://schemas.openxmlformats.org/officeDocument/2006/relationships/hyperlink" Target="http://secrets.rutgers.edu:8080/data/asl-ftp/asllvd/demos/verify_start_end_handshape_annotations//test_auto_move//signs_mov_separ_signers/Liz_1070.mov" TargetMode="External"/><Relationship Id="rId9823" Type="http://schemas.openxmlformats.org/officeDocument/2006/relationships/hyperlink" Target="http://csr.bu.edu/ftp/asl/asllvd/demos/verify_start_end_handshape_annotations//test_auto_move//signs_mov_separ_signers/Naomi_1070.mov" TargetMode="External"/><Relationship Id="rId9824" Type="http://schemas.openxmlformats.org/officeDocument/2006/relationships/hyperlink" Target="http://secrets.rutgers.edu:8080/data/asl-ftp/asllvd/demos/verify_start_end_handshape_annotations//test_auto_move//signs_mov_separ_signers/Naomi_1070.mov" TargetMode="External"/><Relationship Id="rId9825" Type="http://schemas.openxmlformats.org/officeDocument/2006/relationships/hyperlink" Target="http://csr.bu.edu/ftp/asl/asllvd/demos/verify_start_end_handshape_annotations//test_auto_move//signs_mov_separ_signers/Liz_1075.mov" TargetMode="External"/><Relationship Id="rId9826" Type="http://schemas.openxmlformats.org/officeDocument/2006/relationships/hyperlink" Target="http://secrets.rutgers.edu:8080/data/asl-ftp/asllvd/demos/verify_start_end_handshape_annotations//test_auto_move//signs_mov_separ_signers/Liz_1075.mov" TargetMode="External"/><Relationship Id="rId9827" Type="http://schemas.openxmlformats.org/officeDocument/2006/relationships/hyperlink" Target="http://csr.bu.edu/ftp/asl/asllvd/demos/verify_start_end_handshape_annotations//test_auto_move//signs_mov_separ_signers/Tyler_1075.mov" TargetMode="External"/><Relationship Id="rId9828" Type="http://schemas.openxmlformats.org/officeDocument/2006/relationships/hyperlink" Target="http://secrets.rutgers.edu:8080/data/asl-ftp/asllvd/demos/verify_start_end_handshape_annotations//test_auto_move//signs_mov_separ_signers/Tyler_1075.mov" TargetMode="External"/><Relationship Id="rId9829" Type="http://schemas.openxmlformats.org/officeDocument/2006/relationships/hyperlink" Target="http://csr.bu.edu/ftp/asl/asllvd/demos/verify_start_end_handshape_annotations//test_auto_move//signs_mov/1075.mov" TargetMode="External"/><Relationship Id="rId9830" Type="http://schemas.openxmlformats.org/officeDocument/2006/relationships/hyperlink" Target="http://csr.bu.edu/ftp/asl/asllvd/demos/verify_start_end_handshape_annotations//test_auto_move//signs_mov_separ_signers/Naomi_1075.mov" TargetMode="External"/><Relationship Id="rId9831" Type="http://schemas.openxmlformats.org/officeDocument/2006/relationships/hyperlink" Target="http://secrets.rutgers.edu:8080/data/asl-ftp/asllvd/demos/verify_start_end_handshape_annotations//test_auto_move//signs_mov/1075.mov" TargetMode="External"/><Relationship Id="rId9832" Type="http://schemas.openxmlformats.org/officeDocument/2006/relationships/hyperlink" Target="http://secrets.rutgers.edu:8080/data/asl-ftp/asllvd/demos/verify_start_end_handshape_annotations//test_auto_move//signs_mov_separ_signers/Naomi_1075.mov" TargetMode="External"/><Relationship Id="rId9833" Type="http://schemas.openxmlformats.org/officeDocument/2006/relationships/hyperlink" Target="http://csr.bu.edu/ftp/asl/asllvd/demos/verify_start_end_handshape_annotations//test_auto_move//signs_mov_separ_signers/Brady_1075.mov" TargetMode="External"/><Relationship Id="rId9834" Type="http://schemas.openxmlformats.org/officeDocument/2006/relationships/hyperlink" Target="http://secrets.rutgers.edu:8080/data/asl-ftp/asllvd/demos/verify_start_end_handshape_annotations//test_auto_move//signs_mov_separ_signers/Brady_1075.mov" TargetMode="External"/><Relationship Id="rId9835" Type="http://schemas.openxmlformats.org/officeDocument/2006/relationships/hyperlink" Target="http://csr.bu.edu/ftp/asl/asllvd/demos/verify_start_end_handshape_annotations//test_auto_move//signs_mov_separ_signers/Lana_1075.mov" TargetMode="External"/><Relationship Id="rId9836" Type="http://schemas.openxmlformats.org/officeDocument/2006/relationships/hyperlink" Target="http://secrets.rutgers.edu:8080/data/asl-ftp/asllvd/demos/verify_start_end_handshape_annotations//test_auto_move//signs_mov_separ_signers/Lana_1075.mov" TargetMode="External"/><Relationship Id="rId9837" Type="http://schemas.openxmlformats.org/officeDocument/2006/relationships/hyperlink" Target="http://csr.bu.edu/ftp/asl/asllvd/demos/verify_start_end_handshape_annotations//test_auto_move//signs_mov_separ_signers/Dana_1075.mov" TargetMode="External"/><Relationship Id="rId9838" Type="http://schemas.openxmlformats.org/officeDocument/2006/relationships/hyperlink" Target="http://secrets.rutgers.edu:8080/data/asl-ftp/asllvd/demos/verify_start_end_handshape_annotations//test_auto_move//signs_mov_separ_signers/Dana_1075.mov" TargetMode="External"/><Relationship Id="rId9839" Type="http://schemas.openxmlformats.org/officeDocument/2006/relationships/hyperlink" Target="http://csr.bu.edu/ftp/asl/asllvd/demos/verify_start_end_handshape_annotations//test_auto_move//signs_mov_separ_signers/Liz_1079.mov" TargetMode="External"/><Relationship Id="rId9840" Type="http://schemas.openxmlformats.org/officeDocument/2006/relationships/hyperlink" Target="http://secrets.rutgers.edu:8080/data/asl-ftp/asllvd/demos/verify_start_end_handshape_annotations//test_auto_move//signs_mov_separ_signers/Liz_1079.mov" TargetMode="External"/><Relationship Id="rId9841" Type="http://schemas.openxmlformats.org/officeDocument/2006/relationships/hyperlink" Target="http://csr.bu.edu/ftp/asl/asllvd/demos/verify_start_end_handshape_annotations//test_auto_move//signs_mov_separ_signers/Tyler_1079.mov" TargetMode="External"/><Relationship Id="rId9842" Type="http://schemas.openxmlformats.org/officeDocument/2006/relationships/hyperlink" Target="http://secrets.rutgers.edu:8080/data/asl-ftp/asllvd/demos/verify_start_end_handshape_annotations//test_auto_move//signs_mov_separ_signers/Tyler_1079.mov" TargetMode="External"/><Relationship Id="rId9843" Type="http://schemas.openxmlformats.org/officeDocument/2006/relationships/hyperlink" Target="http://csr.bu.edu/ftp/asl/asllvd/demos/verify_start_end_handshape_annotations//test_auto_move//signs_mov/1079_15120_merged.mov" TargetMode="External"/><Relationship Id="rId9844" Type="http://schemas.openxmlformats.org/officeDocument/2006/relationships/hyperlink" Target="http://csr.bu.edu/ftp/asl/asllvd/demos/verify_start_end_handshape_annotations//test_auto_move//signs_mov_separ_signers/Naomi_1079.mov" TargetMode="External"/><Relationship Id="rId9845" Type="http://schemas.openxmlformats.org/officeDocument/2006/relationships/hyperlink" Target="http://secrets.rutgers.edu:8080/data/asl-ftp/asllvd/demos/verify_start_end_handshape_annotations//test_auto_move//signs_mov/1079_15120_merged.mov" TargetMode="External"/><Relationship Id="rId9846" Type="http://schemas.openxmlformats.org/officeDocument/2006/relationships/hyperlink" Target="http://secrets.rutgers.edu:8080/data/asl-ftp/asllvd/demos/verify_start_end_handshape_annotations//test_auto_move//signs_mov_separ_signers/Naomi_1079.mov" TargetMode="External"/><Relationship Id="rId9847" Type="http://schemas.openxmlformats.org/officeDocument/2006/relationships/hyperlink" Target="http://csr.bu.edu/ftp/asl/asllvd/demos/verify_start_end_handshape_annotations//test_auto_move//signs_mov_separ_signers/Brady_1079.mov" TargetMode="External"/><Relationship Id="rId9848" Type="http://schemas.openxmlformats.org/officeDocument/2006/relationships/hyperlink" Target="http://secrets.rutgers.edu:8080/data/asl-ftp/asllvd/demos/verify_start_end_handshape_annotations//test_auto_move//signs_mov_separ_signers/Brady_1079.mov" TargetMode="External"/><Relationship Id="rId9849" Type="http://schemas.openxmlformats.org/officeDocument/2006/relationships/hyperlink" Target="http://csr.bu.edu/ftp/asl/asllvd/demos/verify_start_end_handshape_annotations//test_auto_move//signs_mov_separ_signers/Brady_15120.mov" TargetMode="External"/><Relationship Id="rId9850" Type="http://schemas.openxmlformats.org/officeDocument/2006/relationships/hyperlink" Target="http://secrets.rutgers.edu:8080/data/asl-ftp/asllvd/demos/verify_start_end_handshape_annotations//test_auto_move//signs_mov_separ_signers/Brady_15120.mov" TargetMode="External"/><Relationship Id="rId9851" Type="http://schemas.openxmlformats.org/officeDocument/2006/relationships/hyperlink" Target="http://csr.bu.edu/ftp/asl/asllvd/demos/verify_start_end_handshape_annotations//test_auto_move//signs_mov/15829.mov" TargetMode="External"/><Relationship Id="rId9852" Type="http://schemas.openxmlformats.org/officeDocument/2006/relationships/hyperlink" Target="http://csr.bu.edu/ftp/asl/asllvd/demos/verify_start_end_handshape_annotations//test_auto_move//signs_mov_separ_signers/Liz_15829.mov" TargetMode="External"/><Relationship Id="rId9853" Type="http://schemas.openxmlformats.org/officeDocument/2006/relationships/hyperlink" Target="http://secrets.rutgers.edu:8080/data/asl-ftp/asllvd/demos/verify_start_end_handshape_annotations//test_auto_move//signs_mov/15829.mov" TargetMode="External"/><Relationship Id="rId9854" Type="http://schemas.openxmlformats.org/officeDocument/2006/relationships/hyperlink" Target="http://secrets.rutgers.edu:8080/data/asl-ftp/asllvd/demos/verify_start_end_handshape_annotations//test_auto_move//signs_mov_separ_signers/Liz_15829.mov" TargetMode="External"/><Relationship Id="rId9855" Type="http://schemas.openxmlformats.org/officeDocument/2006/relationships/hyperlink" Target="http://csr.bu.edu/ftp/asl/asllvd/demos/verify_start_end_handshape_annotations//test_auto_move//signs_mov_separ_signers/Brady_15829.mov" TargetMode="External"/><Relationship Id="rId9856" Type="http://schemas.openxmlformats.org/officeDocument/2006/relationships/hyperlink" Target="http://secrets.rutgers.edu:8080/data/asl-ftp/asllvd/demos/verify_start_end_handshape_annotations//test_auto_move//signs_mov_separ_signers/Brady_15829.mov" TargetMode="External"/><Relationship Id="rId9857" Type="http://schemas.openxmlformats.org/officeDocument/2006/relationships/hyperlink" Target="http://csr.bu.edu/ftp/asl/asllvd/demos/verify_start_end_handshape_annotations//test_auto_move//signs_mov_separ_signers/Liz_1080.mov" TargetMode="External"/><Relationship Id="rId9858" Type="http://schemas.openxmlformats.org/officeDocument/2006/relationships/hyperlink" Target="http://secrets.rutgers.edu:8080/data/asl-ftp/asllvd/demos/verify_start_end_handshape_annotations//test_auto_move//signs_mov_separ_signers/Liz_1080.mov" TargetMode="External"/><Relationship Id="rId9859" Type="http://schemas.openxmlformats.org/officeDocument/2006/relationships/hyperlink" Target="http://csr.bu.edu/ftp/asl/asllvd/demos/verify_start_end_handshape_annotations//test_auto_move//signs_mov_separ_signers/Tyler_1080.mov" TargetMode="External"/><Relationship Id="rId9860" Type="http://schemas.openxmlformats.org/officeDocument/2006/relationships/hyperlink" Target="http://secrets.rutgers.edu:8080/data/asl-ftp/asllvd/demos/verify_start_end_handshape_annotations//test_auto_move//signs_mov_separ_signers/Tyler_1080.mov" TargetMode="External"/><Relationship Id="rId9861" Type="http://schemas.openxmlformats.org/officeDocument/2006/relationships/hyperlink" Target="http://csr.bu.edu/ftp/asl/asllvd/demos/verify_start_end_handshape_annotations//test_auto_move//signs_mov/1080.mov" TargetMode="External"/><Relationship Id="rId9862" Type="http://schemas.openxmlformats.org/officeDocument/2006/relationships/hyperlink" Target="http://csr.bu.edu/ftp/asl/asllvd/demos/verify_start_end_handshape_annotations//test_auto_move//signs_mov_separ_signers/Naomi_1080.mov" TargetMode="External"/><Relationship Id="rId9863" Type="http://schemas.openxmlformats.org/officeDocument/2006/relationships/hyperlink" Target="http://secrets.rutgers.edu:8080/data/asl-ftp/asllvd/demos/verify_start_end_handshape_annotations//test_auto_move//signs_mov/1080.mov" TargetMode="External"/><Relationship Id="rId9864" Type="http://schemas.openxmlformats.org/officeDocument/2006/relationships/hyperlink" Target="http://secrets.rutgers.edu:8080/data/asl-ftp/asllvd/demos/verify_start_end_handshape_annotations//test_auto_move//signs_mov_separ_signers/Naomi_1080.mov" TargetMode="External"/><Relationship Id="rId9865" Type="http://schemas.openxmlformats.org/officeDocument/2006/relationships/hyperlink" Target="http://csr.bu.edu/ftp/asl/asllvd/demos/verify_start_end_handshape_annotations//test_auto_move//signs_mov_separ_signers/Brady_1080.mov" TargetMode="External"/><Relationship Id="rId9866" Type="http://schemas.openxmlformats.org/officeDocument/2006/relationships/hyperlink" Target="http://secrets.rutgers.edu:8080/data/asl-ftp/asllvd/demos/verify_start_end_handshape_annotations//test_auto_move//signs_mov_separ_signers/Brady_1080.mov" TargetMode="External"/><Relationship Id="rId9867" Type="http://schemas.openxmlformats.org/officeDocument/2006/relationships/hyperlink" Target="http://csr.bu.edu/ftp/asl/asllvd/demos/verify_start_end_handshape_annotations//test_auto_move//signs_mov_separ_signers/Lana_1080.mov" TargetMode="External"/><Relationship Id="rId9868" Type="http://schemas.openxmlformats.org/officeDocument/2006/relationships/hyperlink" Target="http://secrets.rutgers.edu:8080/data/asl-ftp/asllvd/demos/verify_start_end_handshape_annotations//test_auto_move//signs_mov_separ_signers/Lana_1080.mov" TargetMode="External"/><Relationship Id="rId9869" Type="http://schemas.openxmlformats.org/officeDocument/2006/relationships/hyperlink" Target="http://csr.bu.edu/ftp/asl/asllvd/demos/verify_start_end_handshape_annotations//test_auto_move//signs_mov_separ_signers/Dana_1080.mov" TargetMode="External"/><Relationship Id="rId9870" Type="http://schemas.openxmlformats.org/officeDocument/2006/relationships/hyperlink" Target="http://secrets.rutgers.edu:8080/data/asl-ftp/asllvd/demos/verify_start_end_handshape_annotations//test_auto_move//signs_mov_separ_signers/Dana_1080.mov" TargetMode="External"/><Relationship Id="rId9871" Type="http://schemas.openxmlformats.org/officeDocument/2006/relationships/hyperlink" Target="http://csr.bu.edu/ftp/asl/asllvd/demos/verify_start_end_handshape_annotations//test_auto_move//signs_mov_separ_signers/Liz_1081.mov" TargetMode="External"/><Relationship Id="rId9872" Type="http://schemas.openxmlformats.org/officeDocument/2006/relationships/hyperlink" Target="http://secrets.rutgers.edu:8080/data/asl-ftp/asllvd/demos/verify_start_end_handshape_annotations//test_auto_move//signs_mov_separ_signers/Liz_1081.mov" TargetMode="External"/><Relationship Id="rId9873" Type="http://schemas.openxmlformats.org/officeDocument/2006/relationships/hyperlink" Target="http://csr.bu.edu/ftp/asl/asllvd/demos/verify_start_end_handshape_annotations//test_auto_move//signs_mov_separ_signers/Liz_3407.mov" TargetMode="External"/><Relationship Id="rId9874" Type="http://schemas.openxmlformats.org/officeDocument/2006/relationships/hyperlink" Target="http://secrets.rutgers.edu:8080/data/asl-ftp/asllvd/demos/verify_start_end_handshape_annotations//test_auto_move//signs_mov_separ_signers/Liz_3407.mov" TargetMode="External"/><Relationship Id="rId9875" Type="http://schemas.openxmlformats.org/officeDocument/2006/relationships/hyperlink" Target="http://csr.bu.edu/ftp/asl/asllvd/demos/verify_start_end_handshape_annotations//test_auto_move//signs_mov/1081_3407_15131_merged.mov" TargetMode="External"/><Relationship Id="rId9876" Type="http://schemas.openxmlformats.org/officeDocument/2006/relationships/hyperlink" Target="http://csr.bu.edu/ftp/asl/asllvd/demos/verify_start_end_handshape_annotations//test_auto_move//signs_mov_separ_signers/Naomi_1081.mov" TargetMode="External"/><Relationship Id="rId9877" Type="http://schemas.openxmlformats.org/officeDocument/2006/relationships/hyperlink" Target="http://secrets.rutgers.edu:8080/data/asl-ftp/asllvd/demos/verify_start_end_handshape_annotations//test_auto_move//signs_mov/1081_3407_15131_merged.mov" TargetMode="External"/><Relationship Id="rId9878" Type="http://schemas.openxmlformats.org/officeDocument/2006/relationships/hyperlink" Target="http://secrets.rutgers.edu:8080/data/asl-ftp/asllvd/demos/verify_start_end_handshape_annotations//test_auto_move//signs_mov_separ_signers/Naomi_1081.mov" TargetMode="External"/><Relationship Id="rId9879" Type="http://schemas.openxmlformats.org/officeDocument/2006/relationships/hyperlink" Target="http://csr.bu.edu/ftp/asl/asllvd/demos/verify_start_end_handshape_annotations//test_auto_move//signs_mov_separ_signers/Brady_1081.mov" TargetMode="External"/><Relationship Id="rId9880" Type="http://schemas.openxmlformats.org/officeDocument/2006/relationships/hyperlink" Target="http://secrets.rutgers.edu:8080/data/asl-ftp/asllvd/demos/verify_start_end_handshape_annotations//test_auto_move//signs_mov_separ_signers/Brady_1081.mov" TargetMode="External"/><Relationship Id="rId9881" Type="http://schemas.openxmlformats.org/officeDocument/2006/relationships/hyperlink" Target="http://csr.bu.edu/ftp/asl/asllvd/demos/verify_start_end_handshape_annotations//test_auto_move//signs_mov_separ_signers/Brady_3407.mov" TargetMode="External"/><Relationship Id="rId9882" Type="http://schemas.openxmlformats.org/officeDocument/2006/relationships/hyperlink" Target="http://secrets.rutgers.edu:8080/data/asl-ftp/asllvd/demos/verify_start_end_handshape_annotations//test_auto_move//signs_mov_separ_signers/Brady_3407.mov" TargetMode="External"/><Relationship Id="rId9883" Type="http://schemas.openxmlformats.org/officeDocument/2006/relationships/hyperlink" Target="http://csr.bu.edu/ftp/asl/asllvd/demos/verify_start_end_handshape_annotations//test_auto_move//signs_mov_separ_signers/Brady_15131.mov" TargetMode="External"/><Relationship Id="rId9884" Type="http://schemas.openxmlformats.org/officeDocument/2006/relationships/hyperlink" Target="http://secrets.rutgers.edu:8080/data/asl-ftp/asllvd/demos/verify_start_end_handshape_annotations//test_auto_move//signs_mov_separ_signers/Brady_15131.mov" TargetMode="External"/><Relationship Id="rId9885" Type="http://schemas.openxmlformats.org/officeDocument/2006/relationships/hyperlink" Target="http://csr.bu.edu/ftp/asl/asllvd/demos/verify_start_end_handshape_annotations//test_auto_move//signs_mov_separ_signers/Liz_1082.mov" TargetMode="External"/><Relationship Id="rId9886" Type="http://schemas.openxmlformats.org/officeDocument/2006/relationships/hyperlink" Target="http://secrets.rutgers.edu:8080/data/asl-ftp/asllvd/demos/verify_start_end_handshape_annotations//test_auto_move//signs_mov_separ_signers/Liz_1082.mov" TargetMode="External"/><Relationship Id="rId9887" Type="http://schemas.openxmlformats.org/officeDocument/2006/relationships/hyperlink" Target="http://csr.bu.edu/ftp/asl/asllvd/demos/verify_start_end_handshape_annotations//test_auto_move//signs_mov/1082.mov" TargetMode="External"/><Relationship Id="rId9888" Type="http://schemas.openxmlformats.org/officeDocument/2006/relationships/hyperlink" Target="http://csr.bu.edu/ftp/asl/asllvd/demos/verify_start_end_handshape_annotations//test_auto_move//signs_mov_separ_signers/Tyler_1082.mov" TargetMode="External"/><Relationship Id="rId9889" Type="http://schemas.openxmlformats.org/officeDocument/2006/relationships/hyperlink" Target="http://secrets.rutgers.edu:8080/data/asl-ftp/asllvd/demos/verify_start_end_handshape_annotations//test_auto_move//signs_mov/1082.mov" TargetMode="External"/><Relationship Id="rId9890" Type="http://schemas.openxmlformats.org/officeDocument/2006/relationships/hyperlink" Target="http://secrets.rutgers.edu:8080/data/asl-ftp/asllvd/demos/verify_start_end_handshape_annotations//test_auto_move//signs_mov_separ_signers/Tyler_1082.mov" TargetMode="External"/><Relationship Id="rId9891" Type="http://schemas.openxmlformats.org/officeDocument/2006/relationships/hyperlink" Target="http://csr.bu.edu/ftp/asl/asllvd/demos/verify_start_end_handshape_annotations//test_auto_move//signs_mov_separ_signers/Naomi_1082.mov" TargetMode="External"/><Relationship Id="rId9892" Type="http://schemas.openxmlformats.org/officeDocument/2006/relationships/hyperlink" Target="http://secrets.rutgers.edu:8080/data/asl-ftp/asllvd/demos/verify_start_end_handshape_annotations//test_auto_move//signs_mov_separ_signers/Naomi_1082.mov" TargetMode="External"/><Relationship Id="rId9893" Type="http://schemas.openxmlformats.org/officeDocument/2006/relationships/hyperlink" Target="http://csr.bu.edu/ftp/asl/asllvd/demos/verify_start_end_handshape_annotations//test_auto_move//signs_mov_separ_signers/Brady_1082.mov" TargetMode="External"/><Relationship Id="rId9894" Type="http://schemas.openxmlformats.org/officeDocument/2006/relationships/hyperlink" Target="http://secrets.rutgers.edu:8080/data/asl-ftp/asllvd/demos/verify_start_end_handshape_annotations//test_auto_move//signs_mov_separ_signers/Brady_1082.mov" TargetMode="External"/><Relationship Id="rId9895" Type="http://schemas.openxmlformats.org/officeDocument/2006/relationships/hyperlink" Target="http://csr.bu.edu/ftp/asl/asllvd/demos/verify_start_end_handshape_annotations//test_auto_move//signs_mov_separ_signers/Liz_1084.mov" TargetMode="External"/><Relationship Id="rId9896" Type="http://schemas.openxmlformats.org/officeDocument/2006/relationships/hyperlink" Target="http://secrets.rutgers.edu:8080/data/asl-ftp/asllvd/demos/verify_start_end_handshape_annotations//test_auto_move//signs_mov_separ_signers/Liz_1084.mov" TargetMode="External"/><Relationship Id="rId9897" Type="http://schemas.openxmlformats.org/officeDocument/2006/relationships/hyperlink" Target="http://csr.bu.edu/ftp/asl/asllvd/demos/verify_start_end_handshape_annotations//test_auto_move//signs_mov_separ_signers/Tyler_1084.mov" TargetMode="External"/><Relationship Id="rId9898" Type="http://schemas.openxmlformats.org/officeDocument/2006/relationships/hyperlink" Target="http://secrets.rutgers.edu:8080/data/asl-ftp/asllvd/demos/verify_start_end_handshape_annotations//test_auto_move//signs_mov_separ_signers/Tyler_1084.mov" TargetMode="External"/><Relationship Id="rId9899" Type="http://schemas.openxmlformats.org/officeDocument/2006/relationships/hyperlink" Target="http://csr.bu.edu/ftp/asl/asllvd/demos/verify_start_end_handshape_annotations//test_auto_move//signs_mov/1084.mov" TargetMode="External"/><Relationship Id="rId9900" Type="http://schemas.openxmlformats.org/officeDocument/2006/relationships/hyperlink" Target="http://csr.bu.edu/ftp/asl/asllvd/demos/verify_start_end_handshape_annotations//test_auto_move//signs_mov_separ_signers/Naomi_1084.mov" TargetMode="External"/><Relationship Id="rId9901" Type="http://schemas.openxmlformats.org/officeDocument/2006/relationships/hyperlink" Target="http://secrets.rutgers.edu:8080/data/asl-ftp/asllvd/demos/verify_start_end_handshape_annotations//test_auto_move//signs_mov/1084.mov" TargetMode="External"/><Relationship Id="rId9902" Type="http://schemas.openxmlformats.org/officeDocument/2006/relationships/hyperlink" Target="http://secrets.rutgers.edu:8080/data/asl-ftp/asllvd/demos/verify_start_end_handshape_annotations//test_auto_move//signs_mov_separ_signers/Naomi_1084.mov" TargetMode="External"/><Relationship Id="rId9903" Type="http://schemas.openxmlformats.org/officeDocument/2006/relationships/hyperlink" Target="http://csr.bu.edu/ftp/asl/asllvd/demos/verify_start_end_handshape_annotations//test_auto_move//signs_mov_separ_signers/Brady_1084.mov" TargetMode="External"/><Relationship Id="rId9904" Type="http://schemas.openxmlformats.org/officeDocument/2006/relationships/hyperlink" Target="http://secrets.rutgers.edu:8080/data/asl-ftp/asllvd/demos/verify_start_end_handshape_annotations//test_auto_move//signs_mov_separ_signers/Brady_1084.mov" TargetMode="External"/><Relationship Id="rId9905" Type="http://schemas.openxmlformats.org/officeDocument/2006/relationships/hyperlink" Target="http://csr.bu.edu/ftp/asl/asllvd/demos/verify_start_end_handshape_annotations//test_auto_move//signs_mov_separ_signers/Lana_1084.mov" TargetMode="External"/><Relationship Id="rId9906" Type="http://schemas.openxmlformats.org/officeDocument/2006/relationships/hyperlink" Target="http://secrets.rutgers.edu:8080/data/asl-ftp/asllvd/demos/verify_start_end_handshape_annotations//test_auto_move//signs_mov_separ_signers/Lana_1084.mov" TargetMode="External"/><Relationship Id="rId9907" Type="http://schemas.openxmlformats.org/officeDocument/2006/relationships/hyperlink" Target="http://csr.bu.edu/ftp/asl/asllvd/demos/verify_start_end_handshape_annotations//test_auto_move//signs_mov_separ_signers/Dana_1084.mov" TargetMode="External"/><Relationship Id="rId9908" Type="http://schemas.openxmlformats.org/officeDocument/2006/relationships/hyperlink" Target="http://secrets.rutgers.edu:8080/data/asl-ftp/asllvd/demos/verify_start_end_handshape_annotations//test_auto_move//signs_mov_separ_signers/Dana_1084.mov" TargetMode="External"/><Relationship Id="rId9909" Type="http://schemas.openxmlformats.org/officeDocument/2006/relationships/hyperlink" Target="http://csr.bu.edu/ftp/asl/asllvd/demos/verify_start_end_handshape_annotations//test_auto_move//signs_mov_separ_signers/Liz_15724.mov" TargetMode="External"/><Relationship Id="rId9910" Type="http://schemas.openxmlformats.org/officeDocument/2006/relationships/hyperlink" Target="http://secrets.rutgers.edu:8080/data/asl-ftp/asllvd/demos/verify_start_end_handshape_annotations//test_auto_move//signs_mov_separ_signers/Liz_15724.mov" TargetMode="External"/><Relationship Id="rId9911" Type="http://schemas.openxmlformats.org/officeDocument/2006/relationships/hyperlink" Target="http://csr.bu.edu/ftp/asl/asllvd/demos/verify_start_end_handshape_annotations//test_auto_move//signs_mov_separ_signers/Tyler_15724.mov" TargetMode="External"/><Relationship Id="rId9912" Type="http://schemas.openxmlformats.org/officeDocument/2006/relationships/hyperlink" Target="http://secrets.rutgers.edu:8080/data/asl-ftp/asllvd/demos/verify_start_end_handshape_annotations//test_auto_move//signs_mov_separ_signers/Tyler_15724.mov" TargetMode="External"/><Relationship Id="rId9913" Type="http://schemas.openxmlformats.org/officeDocument/2006/relationships/hyperlink" Target="http://csr.bu.edu/ftp/asl/asllvd/demos/verify_start_end_handshape_annotations//test_auto_move//signs_mov/15724.mov" TargetMode="External"/><Relationship Id="rId9914" Type="http://schemas.openxmlformats.org/officeDocument/2006/relationships/hyperlink" Target="http://csr.bu.edu/ftp/asl/asllvd/demos/verify_start_end_handshape_annotations//test_auto_move//signs_mov_separ_signers/Naomi_15724.mov" TargetMode="External"/><Relationship Id="rId9915" Type="http://schemas.openxmlformats.org/officeDocument/2006/relationships/hyperlink" Target="http://secrets.rutgers.edu:8080/data/asl-ftp/asllvd/demos/verify_start_end_handshape_annotations//test_auto_move//signs_mov/15724.mov" TargetMode="External"/><Relationship Id="rId9916" Type="http://schemas.openxmlformats.org/officeDocument/2006/relationships/hyperlink" Target="http://secrets.rutgers.edu:8080/data/asl-ftp/asllvd/demos/verify_start_end_handshape_annotations//test_auto_move//signs_mov_separ_signers/Naomi_15724.mov" TargetMode="External"/><Relationship Id="rId9917" Type="http://schemas.openxmlformats.org/officeDocument/2006/relationships/hyperlink" Target="http://csr.bu.edu/ftp/asl/asllvd/demos/verify_start_end_handshape_annotations//test_auto_move//signs_mov_separ_signers/Brady_15724.mov" TargetMode="External"/><Relationship Id="rId9918" Type="http://schemas.openxmlformats.org/officeDocument/2006/relationships/hyperlink" Target="http://secrets.rutgers.edu:8080/data/asl-ftp/asllvd/demos/verify_start_end_handshape_annotations//test_auto_move//signs_mov_separ_signers/Brady_15724.mov" TargetMode="External"/><Relationship Id="rId9919" Type="http://schemas.openxmlformats.org/officeDocument/2006/relationships/hyperlink" Target="http://csr.bu.edu/ftp/asl/asllvd/demos/verify_start_end_handshape_annotations//test_auto_move//signs_mov_separ_signers/Lana_15724.mov" TargetMode="External"/><Relationship Id="rId9920" Type="http://schemas.openxmlformats.org/officeDocument/2006/relationships/hyperlink" Target="http://secrets.rutgers.edu:8080/data/asl-ftp/asllvd/demos/verify_start_end_handshape_annotations//test_auto_move//signs_mov_separ_signers/Lana_15724.mov" TargetMode="External"/><Relationship Id="rId9921" Type="http://schemas.openxmlformats.org/officeDocument/2006/relationships/hyperlink" Target="http://csr.bu.edu/ftp/asl/asllvd/demos/verify_start_end_handshape_annotations//test_auto_move//signs_mov_separ_signers/Dana_15724.mov" TargetMode="External"/><Relationship Id="rId9922" Type="http://schemas.openxmlformats.org/officeDocument/2006/relationships/hyperlink" Target="http://secrets.rutgers.edu:8080/data/asl-ftp/asllvd/demos/verify_start_end_handshape_annotations//test_auto_move//signs_mov_separ_signers/Dana_15724.mov" TargetMode="External"/><Relationship Id="rId9923" Type="http://schemas.openxmlformats.org/officeDocument/2006/relationships/hyperlink" Target="http://csr.bu.edu/ftp/asl/asllvd/demos/verify_start_end_handshape_annotations//test_auto_move//signs_mov_separ_signers/Liz_1085.mov" TargetMode="External"/><Relationship Id="rId9924" Type="http://schemas.openxmlformats.org/officeDocument/2006/relationships/hyperlink" Target="http://secrets.rutgers.edu:8080/data/asl-ftp/asllvd/demos/verify_start_end_handshape_annotations//test_auto_move//signs_mov_separ_signers/Liz_1085.mov" TargetMode="External"/><Relationship Id="rId9925" Type="http://schemas.openxmlformats.org/officeDocument/2006/relationships/hyperlink" Target="http://csr.bu.edu/ftp/asl/asllvd/demos/verify_start_end_handshape_annotations//test_auto_move//signs_mov/1085.mov" TargetMode="External"/><Relationship Id="rId9926" Type="http://schemas.openxmlformats.org/officeDocument/2006/relationships/hyperlink" Target="http://csr.bu.edu/ftp/asl/asllvd/demos/verify_start_end_handshape_annotations//test_auto_move//signs_mov_separ_signers/Tyler_1085.mov" TargetMode="External"/><Relationship Id="rId9927" Type="http://schemas.openxmlformats.org/officeDocument/2006/relationships/hyperlink" Target="http://secrets.rutgers.edu:8080/data/asl-ftp/asllvd/demos/verify_start_end_handshape_annotations//test_auto_move//signs_mov/1085.mov" TargetMode="External"/><Relationship Id="rId9928" Type="http://schemas.openxmlformats.org/officeDocument/2006/relationships/hyperlink" Target="http://secrets.rutgers.edu:8080/data/asl-ftp/asllvd/demos/verify_start_end_handshape_annotations//test_auto_move//signs_mov_separ_signers/Tyler_1085.mov" TargetMode="External"/><Relationship Id="rId9929" Type="http://schemas.openxmlformats.org/officeDocument/2006/relationships/hyperlink" Target="http://csr.bu.edu/ftp/asl/asllvd/demos/verify_start_end_handshape_annotations//test_auto_move//signs_mov_separ_signers/Naomi_1085.mov" TargetMode="External"/><Relationship Id="rId9930" Type="http://schemas.openxmlformats.org/officeDocument/2006/relationships/hyperlink" Target="http://secrets.rutgers.edu:8080/data/asl-ftp/asllvd/demos/verify_start_end_handshape_annotations//test_auto_move//signs_mov_separ_signers/Naomi_1085.mov" TargetMode="External"/><Relationship Id="rId9931" Type="http://schemas.openxmlformats.org/officeDocument/2006/relationships/hyperlink" Target="http://csr.bu.edu/ftp/asl/asllvd/demos/verify_start_end_handshape_annotations//test_auto_move//signs_mov/16378.mov" TargetMode="External"/><Relationship Id="rId9932" Type="http://schemas.openxmlformats.org/officeDocument/2006/relationships/hyperlink" Target="http://csr.bu.edu/ftp/asl/asllvd/demos/verify_start_end_handshape_annotations//test_auto_move//signs_mov_separ_signers/Brady_16378.mov" TargetMode="External"/><Relationship Id="rId9933" Type="http://schemas.openxmlformats.org/officeDocument/2006/relationships/hyperlink" Target="http://secrets.rutgers.edu:8080/data/asl-ftp/asllvd/demos/verify_start_end_handshape_annotations//test_auto_move//signs_mov/16378.mov" TargetMode="External"/><Relationship Id="rId9934" Type="http://schemas.openxmlformats.org/officeDocument/2006/relationships/hyperlink" Target="http://secrets.rutgers.edu:8080/data/asl-ftp/asllvd/demos/verify_start_end_handshape_annotations//test_auto_move//signs_mov_separ_signers/Brady_16378.mov" TargetMode="External"/><Relationship Id="rId9935" Type="http://schemas.openxmlformats.org/officeDocument/2006/relationships/hyperlink" Target="http://csr.bu.edu/ftp/asl/asllvd/demos/verify_start_end_handshape_annotations//test_auto_move//signs_mov_separ_signers/Liz_1086.mov" TargetMode="External"/><Relationship Id="rId9936" Type="http://schemas.openxmlformats.org/officeDocument/2006/relationships/hyperlink" Target="http://secrets.rutgers.edu:8080/data/asl-ftp/asllvd/demos/verify_start_end_handshape_annotations//test_auto_move//signs_mov_separ_signers/Liz_1086.mov" TargetMode="External"/><Relationship Id="rId9937" Type="http://schemas.openxmlformats.org/officeDocument/2006/relationships/hyperlink" Target="http://csr.bu.edu/ftp/asl/asllvd/demos/verify_start_end_handshape_annotations//test_auto_move//signs_mov_separ_signers/Tyler_1086.mov" TargetMode="External"/><Relationship Id="rId9938" Type="http://schemas.openxmlformats.org/officeDocument/2006/relationships/hyperlink" Target="http://secrets.rutgers.edu:8080/data/asl-ftp/asllvd/demos/verify_start_end_handshape_annotations//test_auto_move//signs_mov_separ_signers/Tyler_1086.mov" TargetMode="External"/><Relationship Id="rId9939" Type="http://schemas.openxmlformats.org/officeDocument/2006/relationships/hyperlink" Target="http://csr.bu.edu/ftp/asl/asllvd/demos/verify_start_end_handshape_annotations//test_auto_move//signs_mov/1086.mov" TargetMode="External"/><Relationship Id="rId9940" Type="http://schemas.openxmlformats.org/officeDocument/2006/relationships/hyperlink" Target="http://csr.bu.edu/ftp/asl/asllvd/demos/verify_start_end_handshape_annotations//test_auto_move//signs_mov_separ_signers/Naomi_1086.mov" TargetMode="External"/><Relationship Id="rId9941" Type="http://schemas.openxmlformats.org/officeDocument/2006/relationships/hyperlink" Target="http://secrets.rutgers.edu:8080/data/asl-ftp/asllvd/demos/verify_start_end_handshape_annotations//test_auto_move//signs_mov/1086.mov" TargetMode="External"/><Relationship Id="rId9942" Type="http://schemas.openxmlformats.org/officeDocument/2006/relationships/hyperlink" Target="http://secrets.rutgers.edu:8080/data/asl-ftp/asllvd/demos/verify_start_end_handshape_annotations//test_auto_move//signs_mov_separ_signers/Naomi_1086.mov" TargetMode="External"/><Relationship Id="rId9943" Type="http://schemas.openxmlformats.org/officeDocument/2006/relationships/hyperlink" Target="http://csr.bu.edu/ftp/asl/asllvd/demos/verify_start_end_handshape_annotations//test_auto_move//signs_mov_separ_signers/Brady_1086.mov" TargetMode="External"/><Relationship Id="rId9944" Type="http://schemas.openxmlformats.org/officeDocument/2006/relationships/hyperlink" Target="http://secrets.rutgers.edu:8080/data/asl-ftp/asllvd/demos/verify_start_end_handshape_annotations//test_auto_move//signs_mov_separ_signers/Brady_1086.mov" TargetMode="External"/><Relationship Id="rId9945" Type="http://schemas.openxmlformats.org/officeDocument/2006/relationships/hyperlink" Target="http://csr.bu.edu/ftp/asl/asllvd/demos/verify_start_end_handshape_annotations//test_auto_move//signs_mov_separ_signers/Lana_1086.mov" TargetMode="External"/><Relationship Id="rId9946" Type="http://schemas.openxmlformats.org/officeDocument/2006/relationships/hyperlink" Target="http://secrets.rutgers.edu:8080/data/asl-ftp/asllvd/demos/verify_start_end_handshape_annotations//test_auto_move//signs_mov_separ_signers/Lana_1086.mov" TargetMode="External"/><Relationship Id="rId9947" Type="http://schemas.openxmlformats.org/officeDocument/2006/relationships/hyperlink" Target="http://csr.bu.edu/ftp/asl/asllvd/demos/verify_start_end_handshape_annotations//test_auto_move//signs_mov_separ_signers/Dana_1086.mov" TargetMode="External"/><Relationship Id="rId9948" Type="http://schemas.openxmlformats.org/officeDocument/2006/relationships/hyperlink" Target="http://secrets.rutgers.edu:8080/data/asl-ftp/asllvd/demos/verify_start_end_handshape_annotations//test_auto_move//signs_mov_separ_signers/Dana_1086.mov" TargetMode="External"/><Relationship Id="rId9949" Type="http://schemas.openxmlformats.org/officeDocument/2006/relationships/hyperlink" Target="http://csr.bu.edu/ftp/asl/asllvd/demos/verify_start_end_handshape_annotations//test_auto_move//signs_mov_separ_signers/Liz_1088.mov" TargetMode="External"/><Relationship Id="rId9950" Type="http://schemas.openxmlformats.org/officeDocument/2006/relationships/hyperlink" Target="http://secrets.rutgers.edu:8080/data/asl-ftp/asllvd/demos/verify_start_end_handshape_annotations//test_auto_move//signs_mov_separ_signers/Liz_1088.mov" TargetMode="External"/><Relationship Id="rId9951" Type="http://schemas.openxmlformats.org/officeDocument/2006/relationships/hyperlink" Target="http://csr.bu.edu/ftp/asl/asllvd/demos/verify_start_end_handshape_annotations//test_auto_move//signs_mov/1088.mov" TargetMode="External"/><Relationship Id="rId9952" Type="http://schemas.openxmlformats.org/officeDocument/2006/relationships/hyperlink" Target="http://csr.bu.edu/ftp/asl/asllvd/demos/verify_start_end_handshape_annotations//test_auto_move//signs_mov_separ_signers/Tyler_1088.mov" TargetMode="External"/><Relationship Id="rId9953" Type="http://schemas.openxmlformats.org/officeDocument/2006/relationships/hyperlink" Target="http://secrets.rutgers.edu:8080/data/asl-ftp/asllvd/demos/verify_start_end_handshape_annotations//test_auto_move//signs_mov/1088.mov" TargetMode="External"/><Relationship Id="rId9954" Type="http://schemas.openxmlformats.org/officeDocument/2006/relationships/hyperlink" Target="http://secrets.rutgers.edu:8080/data/asl-ftp/asllvd/demos/verify_start_end_handshape_annotations//test_auto_move//signs_mov_separ_signers/Tyler_1088.mov" TargetMode="External"/><Relationship Id="rId9955" Type="http://schemas.openxmlformats.org/officeDocument/2006/relationships/hyperlink" Target="http://csr.bu.edu/ftp/asl/asllvd/demos/verify_start_end_handshape_annotations//test_auto_move//signs_mov_separ_signers/Naomi_1088.mov" TargetMode="External"/><Relationship Id="rId9956" Type="http://schemas.openxmlformats.org/officeDocument/2006/relationships/hyperlink" Target="http://secrets.rutgers.edu:8080/data/asl-ftp/asllvd/demos/verify_start_end_handshape_annotations//test_auto_move//signs_mov_separ_signers/Naomi_1088.mov" TargetMode="External"/><Relationship Id="rId9957" Type="http://schemas.openxmlformats.org/officeDocument/2006/relationships/hyperlink" Target="http://csr.bu.edu/ftp/asl/asllvd/demos/verify_start_end_handshape_annotations//test_auto_move//signs_mov_separ_signers/Brady_1088.mov" TargetMode="External"/><Relationship Id="rId9958" Type="http://schemas.openxmlformats.org/officeDocument/2006/relationships/hyperlink" Target="http://secrets.rutgers.edu:8080/data/asl-ftp/asllvd/demos/verify_start_end_handshape_annotations//test_auto_move//signs_mov_separ_signers/Brady_1088.mov" TargetMode="External"/><Relationship Id="rId9959" Type="http://schemas.openxmlformats.org/officeDocument/2006/relationships/hyperlink" Target="http://csr.bu.edu/ftp/asl/asllvd/demos/verify_start_end_handshape_annotations//test_auto_move//signs_mov_separ_signers/Liz_1089.mov" TargetMode="External"/><Relationship Id="rId9960" Type="http://schemas.openxmlformats.org/officeDocument/2006/relationships/hyperlink" Target="http://secrets.rutgers.edu:8080/data/asl-ftp/asllvd/demos/verify_start_end_handshape_annotations//test_auto_move//signs_mov_separ_signers/Liz_1089.mov" TargetMode="External"/><Relationship Id="rId9961" Type="http://schemas.openxmlformats.org/officeDocument/2006/relationships/hyperlink" Target="http://csr.bu.edu/ftp/asl/asllvd/demos/verify_start_end_handshape_annotations//test_auto_move//signs_mov/1089.mov" TargetMode="External"/><Relationship Id="rId9962" Type="http://schemas.openxmlformats.org/officeDocument/2006/relationships/hyperlink" Target="http://csr.bu.edu/ftp/asl/asllvd/demos/verify_start_end_handshape_annotations//test_auto_move//signs_mov_separ_signers/Tyler_1089.mov" TargetMode="External"/><Relationship Id="rId9963" Type="http://schemas.openxmlformats.org/officeDocument/2006/relationships/hyperlink" Target="http://secrets.rutgers.edu:8080/data/asl-ftp/asllvd/demos/verify_start_end_handshape_annotations//test_auto_move//signs_mov/1089.mov" TargetMode="External"/><Relationship Id="rId9964" Type="http://schemas.openxmlformats.org/officeDocument/2006/relationships/hyperlink" Target="http://secrets.rutgers.edu:8080/data/asl-ftp/asllvd/demos/verify_start_end_handshape_annotations//test_auto_move//signs_mov_separ_signers/Tyler_1089.mov" TargetMode="External"/><Relationship Id="rId9965" Type="http://schemas.openxmlformats.org/officeDocument/2006/relationships/hyperlink" Target="http://csr.bu.edu/ftp/asl/asllvd/demos/verify_start_end_handshape_annotations//test_auto_move//signs_mov_separ_signers/Naomi_1089.mov" TargetMode="External"/><Relationship Id="rId9966" Type="http://schemas.openxmlformats.org/officeDocument/2006/relationships/hyperlink" Target="http://secrets.rutgers.edu:8080/data/asl-ftp/asllvd/demos/verify_start_end_handshape_annotations//test_auto_move//signs_mov_separ_signers/Naomi_1089.mov" TargetMode="External"/><Relationship Id="rId9967" Type="http://schemas.openxmlformats.org/officeDocument/2006/relationships/hyperlink" Target="http://csr.bu.edu/ftp/asl/asllvd/demos/verify_start_end_handshape_annotations//test_auto_move//signs_mov_separ_signers/Brady_1089.mov" TargetMode="External"/><Relationship Id="rId9968" Type="http://schemas.openxmlformats.org/officeDocument/2006/relationships/hyperlink" Target="http://secrets.rutgers.edu:8080/data/asl-ftp/asllvd/demos/verify_start_end_handshape_annotations//test_auto_move//signs_mov_separ_signers/Brady_1089.mov" TargetMode="External"/><Relationship Id="rId9969" Type="http://schemas.openxmlformats.org/officeDocument/2006/relationships/hyperlink" Target="http://csr.bu.edu/ftp/asl/asllvd/demos/verify_start_end_handshape_annotations//test_auto_move//signs_mov_separ_signers/Liz_1090.mov" TargetMode="External"/><Relationship Id="rId9970" Type="http://schemas.openxmlformats.org/officeDocument/2006/relationships/hyperlink" Target="http://secrets.rutgers.edu:8080/data/asl-ftp/asllvd/demos/verify_start_end_handshape_annotations//test_auto_move//signs_mov_separ_signers/Liz_1090.mov" TargetMode="External"/><Relationship Id="rId9971" Type="http://schemas.openxmlformats.org/officeDocument/2006/relationships/hyperlink" Target="http://csr.bu.edu/ftp/asl/asllvd/demos/verify_start_end_handshape_annotations//test_auto_move//signs_mov/1090.mov" TargetMode="External"/><Relationship Id="rId9972" Type="http://schemas.openxmlformats.org/officeDocument/2006/relationships/hyperlink" Target="http://csr.bu.edu/ftp/asl/asllvd/demos/verify_start_end_handshape_annotations//test_auto_move//signs_mov_separ_signers/Naomi_1090.mov" TargetMode="External"/><Relationship Id="rId9973" Type="http://schemas.openxmlformats.org/officeDocument/2006/relationships/hyperlink" Target="http://secrets.rutgers.edu:8080/data/asl-ftp/asllvd/demos/verify_start_end_handshape_annotations//test_auto_move//signs_mov/1090.mov" TargetMode="External"/><Relationship Id="rId9974" Type="http://schemas.openxmlformats.org/officeDocument/2006/relationships/hyperlink" Target="http://secrets.rutgers.edu:8080/data/asl-ftp/asllvd/demos/verify_start_end_handshape_annotations//test_auto_move//signs_mov_separ_signers/Naomi_1090.mov" TargetMode="External"/><Relationship Id="rId9975" Type="http://schemas.openxmlformats.org/officeDocument/2006/relationships/hyperlink" Target="http://csr.bu.edu/ftp/asl/asllvd/demos/verify_start_end_handshape_annotations//test_auto_move//signs_mov_separ_signers/Brady_1090.mov" TargetMode="External"/><Relationship Id="rId9976" Type="http://schemas.openxmlformats.org/officeDocument/2006/relationships/hyperlink" Target="http://secrets.rutgers.edu:8080/data/asl-ftp/asllvd/demos/verify_start_end_handshape_annotations//test_auto_move//signs_mov_separ_signers/Brady_1090.mov" TargetMode="External"/><Relationship Id="rId9977" Type="http://schemas.openxmlformats.org/officeDocument/2006/relationships/hyperlink" Target="http://csr.bu.edu/ftp/asl/asllvd/demos/verify_start_end_handshape_annotations//test_auto_move//signs_mov/5203.mov" TargetMode="External"/><Relationship Id="rId9978" Type="http://schemas.openxmlformats.org/officeDocument/2006/relationships/hyperlink" Target="http://csr.bu.edu/ftp/asl/asllvd/demos/verify_start_end_handshape_annotations//test_auto_move//signs_mov_separ_signers/Tyler_5203.mov" TargetMode="External"/><Relationship Id="rId9979" Type="http://schemas.openxmlformats.org/officeDocument/2006/relationships/hyperlink" Target="http://secrets.rutgers.edu:8080/data/asl-ftp/asllvd/demos/verify_start_end_handshape_annotations//test_auto_move//signs_mov/5203.mov" TargetMode="External"/><Relationship Id="rId9980" Type="http://schemas.openxmlformats.org/officeDocument/2006/relationships/hyperlink" Target="http://secrets.rutgers.edu:8080/data/asl-ftp/asllvd/demos/verify_start_end_handshape_annotations//test_auto_move//signs_mov_separ_signers/Tyler_5203.mov" TargetMode="External"/><Relationship Id="rId9981" Type="http://schemas.openxmlformats.org/officeDocument/2006/relationships/hyperlink" Target="http://csr.bu.edu/ftp/asl/asllvd/demos/verify_start_end_handshape_annotations//test_auto_move//signs_mov/5854.mov" TargetMode="External"/><Relationship Id="rId9982" Type="http://schemas.openxmlformats.org/officeDocument/2006/relationships/hyperlink" Target="http://csr.bu.edu/ftp/asl/asllvd/demos/verify_start_end_handshape_annotations//test_auto_move//signs_mov_separ_signers/Liz_5854.mov" TargetMode="External"/><Relationship Id="rId9983" Type="http://schemas.openxmlformats.org/officeDocument/2006/relationships/hyperlink" Target="http://secrets.rutgers.edu:8080/data/asl-ftp/asllvd/demos/verify_start_end_handshape_annotations//test_auto_move//signs_mov/5854.mov" TargetMode="External"/><Relationship Id="rId9984" Type="http://schemas.openxmlformats.org/officeDocument/2006/relationships/hyperlink" Target="http://secrets.rutgers.edu:8080/data/asl-ftp/asllvd/demos/verify_start_end_handshape_annotations//test_auto_move//signs_mov_separ_signers/Liz_5854.mov" TargetMode="External"/><Relationship Id="rId9985" Type="http://schemas.openxmlformats.org/officeDocument/2006/relationships/hyperlink" Target="http://csr.bu.edu/ftp/asl/asllvd/demos/verify_start_end_handshape_annotations//test_auto_move//signs_mov_separ_signers/Brady_5854.mov" TargetMode="External"/><Relationship Id="rId9986" Type="http://schemas.openxmlformats.org/officeDocument/2006/relationships/hyperlink" Target="http://secrets.rutgers.edu:8080/data/asl-ftp/asllvd/demos/verify_start_end_handshape_annotations//test_auto_move//signs_mov_separ_signers/Brady_5854.mov" TargetMode="External"/><Relationship Id="rId9987" Type="http://schemas.openxmlformats.org/officeDocument/2006/relationships/hyperlink" Target="http://csr.bu.edu/ftp/asl/asllvd/demos/verify_start_end_handshape_annotations//test_auto_move//signs_mov_separ_signers/Liz_1092.mov" TargetMode="External"/><Relationship Id="rId9988" Type="http://schemas.openxmlformats.org/officeDocument/2006/relationships/hyperlink" Target="http://secrets.rutgers.edu:8080/data/asl-ftp/asllvd/demos/verify_start_end_handshape_annotations//test_auto_move//signs_mov_separ_signers/Liz_1092.mov" TargetMode="External"/><Relationship Id="rId9989" Type="http://schemas.openxmlformats.org/officeDocument/2006/relationships/hyperlink" Target="http://csr.bu.edu/ftp/asl/asllvd/demos/verify_start_end_handshape_annotations//test_auto_move//signs_mov_separ_signers/Tyler_1092.mov" TargetMode="External"/><Relationship Id="rId9990" Type="http://schemas.openxmlformats.org/officeDocument/2006/relationships/hyperlink" Target="http://secrets.rutgers.edu:8080/data/asl-ftp/asllvd/demos/verify_start_end_handshape_annotations//test_auto_move//signs_mov_separ_signers/Tyler_1092.mov" TargetMode="External"/><Relationship Id="rId9991" Type="http://schemas.openxmlformats.org/officeDocument/2006/relationships/hyperlink" Target="http://csr.bu.edu/ftp/asl/asllvd/demos/verify_start_end_handshape_annotations//test_auto_move//signs_mov/1092.mov" TargetMode="External"/><Relationship Id="rId9992" Type="http://schemas.openxmlformats.org/officeDocument/2006/relationships/hyperlink" Target="http://csr.bu.edu/ftp/asl/asllvd/demos/verify_start_end_handshape_annotations//test_auto_move//signs_mov_separ_signers/Naomi_1092.mov" TargetMode="External"/><Relationship Id="rId9993" Type="http://schemas.openxmlformats.org/officeDocument/2006/relationships/hyperlink" Target="http://secrets.rutgers.edu:8080/data/asl-ftp/asllvd/demos/verify_start_end_handshape_annotations//test_auto_move//signs_mov/1092.mov" TargetMode="External"/><Relationship Id="rId9994" Type="http://schemas.openxmlformats.org/officeDocument/2006/relationships/hyperlink" Target="http://secrets.rutgers.edu:8080/data/asl-ftp/asllvd/demos/verify_start_end_handshape_annotations//test_auto_move//signs_mov_separ_signers/Naomi_1092.mov" TargetMode="External"/><Relationship Id="rId9995" Type="http://schemas.openxmlformats.org/officeDocument/2006/relationships/hyperlink" Target="http://csr.bu.edu/ftp/asl/asllvd/demos/verify_start_end_handshape_annotations//test_auto_move//signs_mov_separ_signers/Brady_1092.mov" TargetMode="External"/><Relationship Id="rId9996" Type="http://schemas.openxmlformats.org/officeDocument/2006/relationships/hyperlink" Target="http://secrets.rutgers.edu:8080/data/asl-ftp/asllvd/demos/verify_start_end_handshape_annotations//test_auto_move//signs_mov_separ_signers/Brady_1092.mov" TargetMode="External"/><Relationship Id="rId9997" Type="http://schemas.openxmlformats.org/officeDocument/2006/relationships/hyperlink" Target="http://csr.bu.edu/ftp/asl/asllvd/demos/verify_start_end_handshape_annotations//test_auto_move//signs_mov_separ_signers/Lana_1092.mov" TargetMode="External"/><Relationship Id="rId9998" Type="http://schemas.openxmlformats.org/officeDocument/2006/relationships/hyperlink" Target="http://secrets.rutgers.edu:8080/data/asl-ftp/asllvd/demos/verify_start_end_handshape_annotations//test_auto_move//signs_mov_separ_signers/Lana_1092.mov" TargetMode="External"/><Relationship Id="rId9999" Type="http://schemas.openxmlformats.org/officeDocument/2006/relationships/hyperlink" Target="http://csr.bu.edu/ftp/asl/asllvd/demos/verify_start_end_handshape_annotations//test_auto_move//signs_mov_separ_signers/Dana_1092.mov" TargetMode="External"/><Relationship Id="rId10000" Type="http://schemas.openxmlformats.org/officeDocument/2006/relationships/hyperlink" Target="http://secrets.rutgers.edu:8080/data/asl-ftp/asllvd/demos/verify_start_end_handshape_annotations//test_auto_move//signs_mov_separ_signers/Dana_1092.mov" TargetMode="External"/><Relationship Id="rId10001" Type="http://schemas.openxmlformats.org/officeDocument/2006/relationships/hyperlink" Target="http://csr.bu.edu/ftp/asl/asllvd/demos/verify_start_end_handshape_annotations//test_auto_move//signs_mov_separ_signers/Liz_1093.mov" TargetMode="External"/><Relationship Id="rId10002" Type="http://schemas.openxmlformats.org/officeDocument/2006/relationships/hyperlink" Target="http://secrets.rutgers.edu:8080/data/asl-ftp/asllvd/demos/verify_start_end_handshape_annotations//test_auto_move//signs_mov_separ_signers/Liz_1093.mov" TargetMode="External"/><Relationship Id="rId10003" Type="http://schemas.openxmlformats.org/officeDocument/2006/relationships/hyperlink" Target="http://csr.bu.edu/ftp/asl/asllvd/demos/verify_start_end_handshape_annotations//test_auto_move//signs_mov_separ_signers/Liz_3654.mov" TargetMode="External"/><Relationship Id="rId10004" Type="http://schemas.openxmlformats.org/officeDocument/2006/relationships/hyperlink" Target="http://secrets.rutgers.edu:8080/data/asl-ftp/asllvd/demos/verify_start_end_handshape_annotations//test_auto_move//signs_mov_separ_signers/Liz_3654.mov" TargetMode="External"/><Relationship Id="rId10005" Type="http://schemas.openxmlformats.org/officeDocument/2006/relationships/hyperlink" Target="http://csr.bu.edu/ftp/asl/asllvd/demos/verify_start_end_handshape_annotations//test_auto_move//signs_mov_separ_signers/Tyler_1093.mov" TargetMode="External"/><Relationship Id="rId10006" Type="http://schemas.openxmlformats.org/officeDocument/2006/relationships/hyperlink" Target="http://secrets.rutgers.edu:8080/data/asl-ftp/asllvd/demos/verify_start_end_handshape_annotations//test_auto_move//signs_mov_separ_signers/Tyler_1093.mov" TargetMode="External"/><Relationship Id="rId10007" Type="http://schemas.openxmlformats.org/officeDocument/2006/relationships/hyperlink" Target="http://csr.bu.edu/ftp/asl/asllvd/demos/verify_start_end_handshape_annotations//test_auto_move//signs_mov_separ_signers/Naomi_1093.mov" TargetMode="External"/><Relationship Id="rId10008" Type="http://schemas.openxmlformats.org/officeDocument/2006/relationships/hyperlink" Target="http://secrets.rutgers.edu:8080/data/asl-ftp/asllvd/demos/verify_start_end_handshape_annotations//test_auto_move//signs_mov_separ_signers/Naomi_1093.mov" TargetMode="External"/><Relationship Id="rId10009" Type="http://schemas.openxmlformats.org/officeDocument/2006/relationships/hyperlink" Target="http://csr.bu.edu/ftp/asl/asllvd/demos/verify_start_end_handshape_annotations//test_auto_move//signs_mov/1093_3654_merged.mov" TargetMode="External"/><Relationship Id="rId10010" Type="http://schemas.openxmlformats.org/officeDocument/2006/relationships/hyperlink" Target="http://csr.bu.edu/ftp/asl/asllvd/demos/verify_start_end_handshape_annotations//test_auto_move//signs_mov_separ_signers/Naomi_3654.mov" TargetMode="External"/><Relationship Id="rId10011" Type="http://schemas.openxmlformats.org/officeDocument/2006/relationships/hyperlink" Target="http://secrets.rutgers.edu:8080/data/asl-ftp/asllvd/demos/verify_start_end_handshape_annotations//test_auto_move//signs_mov/1093_3654_merged.mov" TargetMode="External"/><Relationship Id="rId10012" Type="http://schemas.openxmlformats.org/officeDocument/2006/relationships/hyperlink" Target="http://secrets.rutgers.edu:8080/data/asl-ftp/asllvd/demos/verify_start_end_handshape_annotations//test_auto_move//signs_mov_separ_signers/Naomi_3654.mov" TargetMode="External"/><Relationship Id="rId10013" Type="http://schemas.openxmlformats.org/officeDocument/2006/relationships/hyperlink" Target="http://csr.bu.edu/ftp/asl/asllvd/demos/verify_start_end_handshape_annotations//test_auto_move//signs_mov_separ_signers/Brady_1093.mov" TargetMode="External"/><Relationship Id="rId10014" Type="http://schemas.openxmlformats.org/officeDocument/2006/relationships/hyperlink" Target="http://secrets.rutgers.edu:8080/data/asl-ftp/asllvd/demos/verify_start_end_handshape_annotations//test_auto_move//signs_mov_separ_signers/Brady_1093.mov" TargetMode="External"/><Relationship Id="rId10015" Type="http://schemas.openxmlformats.org/officeDocument/2006/relationships/hyperlink" Target="http://csr.bu.edu/ftp/asl/asllvd/demos/verify_start_end_handshape_annotations//test_auto_move//signs_mov_separ_signers/Brady_3654.mov" TargetMode="External"/><Relationship Id="rId10016" Type="http://schemas.openxmlformats.org/officeDocument/2006/relationships/hyperlink" Target="http://secrets.rutgers.edu:8080/data/asl-ftp/asllvd/demos/verify_start_end_handshape_annotations//test_auto_move//signs_mov_separ_signers/Brady_3654.mov" TargetMode="External"/><Relationship Id="rId10017" Type="http://schemas.openxmlformats.org/officeDocument/2006/relationships/hyperlink" Target="http://csr.bu.edu/ftp/asl/asllvd/demos/verify_start_end_handshape_annotations//test_auto_move//signs_mov_separ_signers/Lana_1093.mov" TargetMode="External"/><Relationship Id="rId10018" Type="http://schemas.openxmlformats.org/officeDocument/2006/relationships/hyperlink" Target="http://secrets.rutgers.edu:8080/data/asl-ftp/asllvd/demos/verify_start_end_handshape_annotations//test_auto_move//signs_mov_separ_signers/Lana_1093.mov" TargetMode="External"/><Relationship Id="rId10019" Type="http://schemas.openxmlformats.org/officeDocument/2006/relationships/hyperlink" Target="http://csr.bu.edu/ftp/asl/asllvd/demos/verify_start_end_handshape_annotations//test_auto_move//signs_mov_separ_signers/Dana_1093.mov" TargetMode="External"/><Relationship Id="rId10020" Type="http://schemas.openxmlformats.org/officeDocument/2006/relationships/hyperlink" Target="http://secrets.rutgers.edu:8080/data/asl-ftp/asllvd/demos/verify_start_end_handshape_annotations//test_auto_move//signs_mov_separ_signers/Dana_1093.mov" TargetMode="External"/><Relationship Id="rId10021" Type="http://schemas.openxmlformats.org/officeDocument/2006/relationships/hyperlink" Target="http://csr.bu.edu/ftp/asl/asllvd/demos/verify_start_end_handshape_annotations//test_auto_move//signs_mov_separ_signers/Liz_1095.mov" TargetMode="External"/><Relationship Id="rId10022" Type="http://schemas.openxmlformats.org/officeDocument/2006/relationships/hyperlink" Target="http://secrets.rutgers.edu:8080/data/asl-ftp/asllvd/demos/verify_start_end_handshape_annotations//test_auto_move//signs_mov_separ_signers/Liz_1095.mov" TargetMode="External"/><Relationship Id="rId10023" Type="http://schemas.openxmlformats.org/officeDocument/2006/relationships/hyperlink" Target="http://csr.bu.edu/ftp/asl/asllvd/demos/verify_start_end_handshape_annotations//test_auto_move//signs_mov_separ_signers/Tyler_1095.mov" TargetMode="External"/><Relationship Id="rId10024" Type="http://schemas.openxmlformats.org/officeDocument/2006/relationships/hyperlink" Target="http://secrets.rutgers.edu:8080/data/asl-ftp/asllvd/demos/verify_start_end_handshape_annotations//test_auto_move//signs_mov_separ_signers/Tyler_1095.mov" TargetMode="External"/><Relationship Id="rId10025" Type="http://schemas.openxmlformats.org/officeDocument/2006/relationships/hyperlink" Target="http://csr.bu.edu/ftp/asl/asllvd/demos/verify_start_end_handshape_annotations//test_auto_move//signs_mov/1095_3655_merged.mov" TargetMode="External"/><Relationship Id="rId10026" Type="http://schemas.openxmlformats.org/officeDocument/2006/relationships/hyperlink" Target="http://csr.bu.edu/ftp/asl/asllvd/demos/verify_start_end_handshape_annotations//test_auto_move//signs_mov_separ_signers/Naomi_1095.mov" TargetMode="External"/><Relationship Id="rId10027" Type="http://schemas.openxmlformats.org/officeDocument/2006/relationships/hyperlink" Target="http://secrets.rutgers.edu:8080/data/asl-ftp/asllvd/demos/verify_start_end_handshape_annotations//test_auto_move//signs_mov/1095_3655_merged.mov" TargetMode="External"/><Relationship Id="rId10028" Type="http://schemas.openxmlformats.org/officeDocument/2006/relationships/hyperlink" Target="http://secrets.rutgers.edu:8080/data/asl-ftp/asllvd/demos/verify_start_end_handshape_annotations//test_auto_move//signs_mov_separ_signers/Naomi_1095.mov" TargetMode="External"/><Relationship Id="rId10029" Type="http://schemas.openxmlformats.org/officeDocument/2006/relationships/hyperlink" Target="http://csr.bu.edu/ftp/asl/asllvd/demos/verify_start_end_handshape_annotations//test_auto_move//signs_mov_separ_signers/Naomi_3655.mov" TargetMode="External"/><Relationship Id="rId10030" Type="http://schemas.openxmlformats.org/officeDocument/2006/relationships/hyperlink" Target="http://secrets.rutgers.edu:8080/data/asl-ftp/asllvd/demos/verify_start_end_handshape_annotations//test_auto_move//signs_mov_separ_signers/Naomi_3655.mov" TargetMode="External"/><Relationship Id="rId10031" Type="http://schemas.openxmlformats.org/officeDocument/2006/relationships/hyperlink" Target="http://csr.bu.edu/ftp/asl/asllvd/demos/verify_start_end_handshape_annotations//test_auto_move//signs_mov_separ_signers/Brady_1095.mov" TargetMode="External"/><Relationship Id="rId10032" Type="http://schemas.openxmlformats.org/officeDocument/2006/relationships/hyperlink" Target="http://secrets.rutgers.edu:8080/data/asl-ftp/asllvd/demos/verify_start_end_handshape_annotations//test_auto_move//signs_mov_separ_signers/Brady_1095.mov" TargetMode="External"/><Relationship Id="rId10033" Type="http://schemas.openxmlformats.org/officeDocument/2006/relationships/hyperlink" Target="http://csr.bu.edu/ftp/asl/asllvd/demos/verify_start_end_handshape_annotations//test_auto_move//signs_mov_separ_signers/Liz_15723.mov" TargetMode="External"/><Relationship Id="rId10034" Type="http://schemas.openxmlformats.org/officeDocument/2006/relationships/hyperlink" Target="http://secrets.rutgers.edu:8080/data/asl-ftp/asllvd/demos/verify_start_end_handshape_annotations//test_auto_move//signs_mov_separ_signers/Liz_15723.mov" TargetMode="External"/><Relationship Id="rId10035" Type="http://schemas.openxmlformats.org/officeDocument/2006/relationships/hyperlink" Target="http://csr.bu.edu/ftp/asl/asllvd/demos/verify_start_end_handshape_annotations//test_auto_move//signs_mov/15723.mov" TargetMode="External"/><Relationship Id="rId10036" Type="http://schemas.openxmlformats.org/officeDocument/2006/relationships/hyperlink" Target="http://csr.bu.edu/ftp/asl/asllvd/demos/verify_start_end_handshape_annotations//test_auto_move//signs_mov_separ_signers/Tyler_15723.mov" TargetMode="External"/><Relationship Id="rId10037" Type="http://schemas.openxmlformats.org/officeDocument/2006/relationships/hyperlink" Target="http://secrets.rutgers.edu:8080/data/asl-ftp/asllvd/demos/verify_start_end_handshape_annotations//test_auto_move//signs_mov/15723.mov" TargetMode="External"/><Relationship Id="rId10038" Type="http://schemas.openxmlformats.org/officeDocument/2006/relationships/hyperlink" Target="http://secrets.rutgers.edu:8080/data/asl-ftp/asllvd/demos/verify_start_end_handshape_annotations//test_auto_move//signs_mov_separ_signers/Tyler_15723.mov" TargetMode="External"/><Relationship Id="rId10039" Type="http://schemas.openxmlformats.org/officeDocument/2006/relationships/hyperlink" Target="http://csr.bu.edu/ftp/asl/asllvd/demos/verify_start_end_handshape_annotations//test_auto_move//signs_mov_separ_signers/Brady_15723.mov" TargetMode="External"/><Relationship Id="rId10040" Type="http://schemas.openxmlformats.org/officeDocument/2006/relationships/hyperlink" Target="http://secrets.rutgers.edu:8080/data/asl-ftp/asllvd/demos/verify_start_end_handshape_annotations//test_auto_move//signs_mov_separ_signers/Brady_15723.mov" TargetMode="External"/><Relationship Id="rId10041" Type="http://schemas.openxmlformats.org/officeDocument/2006/relationships/hyperlink" Target="http://csr.bu.edu/ftp/asl/asllvd/demos/verify_start_end_handshape_annotations//test_auto_move//signs_mov_separ_signers/Liz_1100.mov" TargetMode="External"/><Relationship Id="rId10042" Type="http://schemas.openxmlformats.org/officeDocument/2006/relationships/hyperlink" Target="http://secrets.rutgers.edu:8080/data/asl-ftp/asllvd/demos/verify_start_end_handshape_annotations//test_auto_move//signs_mov_separ_signers/Liz_1100.mov" TargetMode="External"/><Relationship Id="rId10043" Type="http://schemas.openxmlformats.org/officeDocument/2006/relationships/hyperlink" Target="http://csr.bu.edu/ftp/asl/asllvd/demos/verify_start_end_handshape_annotations//test_auto_move//signs_mov_separ_signers/Liz_5645.mov" TargetMode="External"/><Relationship Id="rId10044" Type="http://schemas.openxmlformats.org/officeDocument/2006/relationships/hyperlink" Target="http://secrets.rutgers.edu:8080/data/asl-ftp/asllvd/demos/verify_start_end_handshape_annotations//test_auto_move//signs_mov_separ_signers/Liz_5645.mov" TargetMode="External"/><Relationship Id="rId10045" Type="http://schemas.openxmlformats.org/officeDocument/2006/relationships/hyperlink" Target="http://csr.bu.edu/ftp/asl/asllvd/demos/verify_start_end_handshape_annotations//test_auto_move//signs_mov_separ_signers/Tyler_1100.mov" TargetMode="External"/><Relationship Id="rId10046" Type="http://schemas.openxmlformats.org/officeDocument/2006/relationships/hyperlink" Target="http://secrets.rutgers.edu:8080/data/asl-ftp/asllvd/demos/verify_start_end_handshape_annotations//test_auto_move//signs_mov_separ_signers/Tyler_1100.mov" TargetMode="External"/><Relationship Id="rId10047" Type="http://schemas.openxmlformats.org/officeDocument/2006/relationships/hyperlink" Target="http://csr.bu.edu/ftp/asl/asllvd/demos/verify_start_end_handshape_annotations//test_auto_move//signs_mov/1100_5645_merged.mov" TargetMode="External"/><Relationship Id="rId10048" Type="http://schemas.openxmlformats.org/officeDocument/2006/relationships/hyperlink" Target="http://csr.bu.edu/ftp/asl/asllvd/demos/verify_start_end_handshape_annotations//test_auto_move//signs_mov_separ_signers/Naomi_1100.mov" TargetMode="External"/><Relationship Id="rId10049" Type="http://schemas.openxmlformats.org/officeDocument/2006/relationships/hyperlink" Target="http://secrets.rutgers.edu:8080/data/asl-ftp/asllvd/demos/verify_start_end_handshape_annotations//test_auto_move//signs_mov/1100_5645_merged.mov" TargetMode="External"/><Relationship Id="rId10050" Type="http://schemas.openxmlformats.org/officeDocument/2006/relationships/hyperlink" Target="http://secrets.rutgers.edu:8080/data/asl-ftp/asllvd/demos/verify_start_end_handshape_annotations//test_auto_move//signs_mov_separ_signers/Naomi_1100.mov" TargetMode="External"/><Relationship Id="rId10051" Type="http://schemas.openxmlformats.org/officeDocument/2006/relationships/hyperlink" Target="http://csr.bu.edu/ftp/asl/asllvd/demos/verify_start_end_handshape_annotations//test_auto_move//signs_mov_separ_signers/Brady_1100.mov" TargetMode="External"/><Relationship Id="rId10052" Type="http://schemas.openxmlformats.org/officeDocument/2006/relationships/hyperlink" Target="http://secrets.rutgers.edu:8080/data/asl-ftp/asllvd/demos/verify_start_end_handshape_annotations//test_auto_move//signs_mov_separ_signers/Brady_1100.mov" TargetMode="External"/><Relationship Id="rId10053" Type="http://schemas.openxmlformats.org/officeDocument/2006/relationships/hyperlink" Target="http://csr.bu.edu/ftp/asl/asllvd/demos/verify_start_end_handshape_annotations//test_auto_move//signs_mov_separ_signers/Brady_5645.mov" TargetMode="External"/><Relationship Id="rId10054" Type="http://schemas.openxmlformats.org/officeDocument/2006/relationships/hyperlink" Target="http://secrets.rutgers.edu:8080/data/asl-ftp/asllvd/demos/verify_start_end_handshape_annotations//test_auto_move//signs_mov_separ_signers/Brady_5645.mov" TargetMode="External"/><Relationship Id="rId10055" Type="http://schemas.openxmlformats.org/officeDocument/2006/relationships/hyperlink" Target="http://csr.bu.edu/ftp/asl/asllvd/demos/verify_start_end_handshape_annotations//test_auto_move//signs_mov_separ_signers/Lana_1100.mov" TargetMode="External"/><Relationship Id="rId10056" Type="http://schemas.openxmlformats.org/officeDocument/2006/relationships/hyperlink" Target="http://secrets.rutgers.edu:8080/data/asl-ftp/asllvd/demos/verify_start_end_handshape_annotations//test_auto_move//signs_mov_separ_signers/Lana_1100.mov" TargetMode="External"/><Relationship Id="rId10057" Type="http://schemas.openxmlformats.org/officeDocument/2006/relationships/hyperlink" Target="http://csr.bu.edu/ftp/asl/asllvd/demos/verify_start_end_handshape_annotations//test_auto_move//signs_mov_separ_signers/Dana_1100.mov" TargetMode="External"/><Relationship Id="rId10058" Type="http://schemas.openxmlformats.org/officeDocument/2006/relationships/hyperlink" Target="http://secrets.rutgers.edu:8080/data/asl-ftp/asllvd/demos/verify_start_end_handshape_annotations//test_auto_move//signs_mov_separ_signers/Dana_1100.mov" TargetMode="External"/><Relationship Id="rId10059" Type="http://schemas.openxmlformats.org/officeDocument/2006/relationships/hyperlink" Target="http://csr.bu.edu/ftp/asl/asllvd/demos/verify_start_end_handshape_annotations//test_auto_move//signs_mov_separ_signers/Liz_1102.mov" TargetMode="External"/><Relationship Id="rId10060" Type="http://schemas.openxmlformats.org/officeDocument/2006/relationships/hyperlink" Target="http://secrets.rutgers.edu:8080/data/asl-ftp/asllvd/demos/verify_start_end_handshape_annotations//test_auto_move//signs_mov_separ_signers/Liz_1102.mov" TargetMode="External"/><Relationship Id="rId10061" Type="http://schemas.openxmlformats.org/officeDocument/2006/relationships/hyperlink" Target="http://csr.bu.edu/ftp/asl/asllvd/demos/verify_start_end_handshape_annotations//test_auto_move//signs_mov/1102.mov" TargetMode="External"/><Relationship Id="rId10062" Type="http://schemas.openxmlformats.org/officeDocument/2006/relationships/hyperlink" Target="http://csr.bu.edu/ftp/asl/asllvd/demos/verify_start_end_handshape_annotations//test_auto_move//signs_mov_separ_signers/Naomi_1102.mov" TargetMode="External"/><Relationship Id="rId10063" Type="http://schemas.openxmlformats.org/officeDocument/2006/relationships/hyperlink" Target="http://secrets.rutgers.edu:8080/data/asl-ftp/asllvd/demos/verify_start_end_handshape_annotations//test_auto_move//signs_mov/1102.mov" TargetMode="External"/><Relationship Id="rId10064" Type="http://schemas.openxmlformats.org/officeDocument/2006/relationships/hyperlink" Target="http://secrets.rutgers.edu:8080/data/asl-ftp/asllvd/demos/verify_start_end_handshape_annotations//test_auto_move//signs_mov_separ_signers/Naomi_1102.mov" TargetMode="External"/><Relationship Id="rId10065" Type="http://schemas.openxmlformats.org/officeDocument/2006/relationships/hyperlink" Target="http://csr.bu.edu/ftp/asl/asllvd/demos/verify_start_end_handshape_annotations//test_auto_move//signs_mov_separ_signers/Brady_1102.mov" TargetMode="External"/><Relationship Id="rId10066" Type="http://schemas.openxmlformats.org/officeDocument/2006/relationships/hyperlink" Target="http://secrets.rutgers.edu:8080/data/asl-ftp/asllvd/demos/verify_start_end_handshape_annotations//test_auto_move//signs_mov_separ_signers/Brady_1102.mov" TargetMode="External"/><Relationship Id="rId10067" Type="http://schemas.openxmlformats.org/officeDocument/2006/relationships/hyperlink" Target="http://csr.bu.edu/ftp/asl/asllvd/demos/verify_start_end_handshape_annotations//test_auto_move//signs_mov_separ_signers/Liz_1103.mov" TargetMode="External"/><Relationship Id="rId10068" Type="http://schemas.openxmlformats.org/officeDocument/2006/relationships/hyperlink" Target="http://secrets.rutgers.edu:8080/data/asl-ftp/asllvd/demos/verify_start_end_handshape_annotations//test_auto_move//signs_mov_separ_signers/Liz_1103.mov" TargetMode="External"/><Relationship Id="rId10069" Type="http://schemas.openxmlformats.org/officeDocument/2006/relationships/hyperlink" Target="http://csr.bu.edu/ftp/asl/asllvd/demos/verify_start_end_handshape_annotations//test_auto_move//signs_mov_separ_signers/Tyler_1103.mov" TargetMode="External"/><Relationship Id="rId10070" Type="http://schemas.openxmlformats.org/officeDocument/2006/relationships/hyperlink" Target="http://secrets.rutgers.edu:8080/data/asl-ftp/asllvd/demos/verify_start_end_handshape_annotations//test_auto_move//signs_mov_separ_signers/Tyler_1103.mov" TargetMode="External"/><Relationship Id="rId10071" Type="http://schemas.openxmlformats.org/officeDocument/2006/relationships/hyperlink" Target="http://csr.bu.edu/ftp/asl/asllvd/demos/verify_start_end_handshape_annotations//test_auto_move//signs_mov_separ_signers/Tyler_3340.mov" TargetMode="External"/><Relationship Id="rId10072" Type="http://schemas.openxmlformats.org/officeDocument/2006/relationships/hyperlink" Target="http://secrets.rutgers.edu:8080/data/asl-ftp/asllvd/demos/verify_start_end_handshape_annotations//test_auto_move//signs_mov_separ_signers/Tyler_3340.mov" TargetMode="External"/><Relationship Id="rId10073" Type="http://schemas.openxmlformats.org/officeDocument/2006/relationships/hyperlink" Target="http://csr.bu.edu/ftp/asl/asllvd/demos/verify_start_end_handshape_annotations//test_auto_move//signs_mov/1103_3340_merged.mov" TargetMode="External"/><Relationship Id="rId10074" Type="http://schemas.openxmlformats.org/officeDocument/2006/relationships/hyperlink" Target="http://csr.bu.edu/ftp/asl/asllvd/demos/verify_start_end_handshape_annotations//test_auto_move//signs_mov_separ_signers/Naomi_1103.mov" TargetMode="External"/><Relationship Id="rId10075" Type="http://schemas.openxmlformats.org/officeDocument/2006/relationships/hyperlink" Target="http://secrets.rutgers.edu:8080/data/asl-ftp/asllvd/demos/verify_start_end_handshape_annotations//test_auto_move//signs_mov/1103_3340_merged.mov" TargetMode="External"/><Relationship Id="rId10076" Type="http://schemas.openxmlformats.org/officeDocument/2006/relationships/hyperlink" Target="http://secrets.rutgers.edu:8080/data/asl-ftp/asllvd/demos/verify_start_end_handshape_annotations//test_auto_move//signs_mov_separ_signers/Naomi_1103.mov" TargetMode="External"/><Relationship Id="rId10077" Type="http://schemas.openxmlformats.org/officeDocument/2006/relationships/hyperlink" Target="http://csr.bu.edu/ftp/asl/asllvd/demos/verify_start_end_handshape_annotations//test_auto_move//signs_mov_separ_signers/Brady_1103.mov" TargetMode="External"/><Relationship Id="rId10078" Type="http://schemas.openxmlformats.org/officeDocument/2006/relationships/hyperlink" Target="http://secrets.rutgers.edu:8080/data/asl-ftp/asllvd/demos/verify_start_end_handshape_annotations//test_auto_move//signs_mov_separ_signers/Brady_1103.mov" TargetMode="External"/><Relationship Id="rId10079" Type="http://schemas.openxmlformats.org/officeDocument/2006/relationships/hyperlink" Target="http://csr.bu.edu/ftp/asl/asllvd/demos/verify_start_end_handshape_annotations//test_auto_move//signs_mov_separ_signers/Lana_1103.mov" TargetMode="External"/><Relationship Id="rId10080" Type="http://schemas.openxmlformats.org/officeDocument/2006/relationships/hyperlink" Target="http://secrets.rutgers.edu:8080/data/asl-ftp/asllvd/demos/verify_start_end_handshape_annotations//test_auto_move//signs_mov_separ_signers/Lana_1103.mov" TargetMode="External"/><Relationship Id="rId10081" Type="http://schemas.openxmlformats.org/officeDocument/2006/relationships/hyperlink" Target="http://csr.bu.edu/ftp/asl/asllvd/demos/verify_start_end_handshape_annotations//test_auto_move//signs_mov_separ_signers/Dana_1103.mov" TargetMode="External"/><Relationship Id="rId10082" Type="http://schemas.openxmlformats.org/officeDocument/2006/relationships/hyperlink" Target="http://secrets.rutgers.edu:8080/data/asl-ftp/asllvd/demos/verify_start_end_handshape_annotations//test_auto_move//signs_mov_separ_signers/Dana_1103.mov" TargetMode="External"/><Relationship Id="rId10083" Type="http://schemas.openxmlformats.org/officeDocument/2006/relationships/hyperlink" Target="http://csr.bu.edu/ftp/asl/asllvd/demos/verify_start_end_handshape_annotations//test_auto_move//signs_mov_separ_signers/Liz_1108.mov" TargetMode="External"/><Relationship Id="rId10084" Type="http://schemas.openxmlformats.org/officeDocument/2006/relationships/hyperlink" Target="http://secrets.rutgers.edu:8080/data/asl-ftp/asllvd/demos/verify_start_end_handshape_annotations//test_auto_move//signs_mov_separ_signers/Liz_1108.mov" TargetMode="External"/><Relationship Id="rId10085" Type="http://schemas.openxmlformats.org/officeDocument/2006/relationships/hyperlink" Target="http://csr.bu.edu/ftp/asl/asllvd/demos/verify_start_end_handshape_annotations//test_auto_move//signs_mov/1108.mov" TargetMode="External"/><Relationship Id="rId10086" Type="http://schemas.openxmlformats.org/officeDocument/2006/relationships/hyperlink" Target="http://csr.bu.edu/ftp/asl/asllvd/demos/verify_start_end_handshape_annotations//test_auto_move//signs_mov_separ_signers/Naomi_1108.mov" TargetMode="External"/><Relationship Id="rId10087" Type="http://schemas.openxmlformats.org/officeDocument/2006/relationships/hyperlink" Target="http://secrets.rutgers.edu:8080/data/asl-ftp/asllvd/demos/verify_start_end_handshape_annotations//test_auto_move//signs_mov/1108.mov" TargetMode="External"/><Relationship Id="rId10088" Type="http://schemas.openxmlformats.org/officeDocument/2006/relationships/hyperlink" Target="http://secrets.rutgers.edu:8080/data/asl-ftp/asllvd/demos/verify_start_end_handshape_annotations//test_auto_move//signs_mov_separ_signers/Naomi_1108.mov" TargetMode="External"/><Relationship Id="rId10089" Type="http://schemas.openxmlformats.org/officeDocument/2006/relationships/hyperlink" Target="http://csr.bu.edu/ftp/asl/asllvd/demos/verify_start_end_handshape_annotations//test_auto_move//signs_mov_separ_signers/Brady_1108.mov" TargetMode="External"/><Relationship Id="rId10090" Type="http://schemas.openxmlformats.org/officeDocument/2006/relationships/hyperlink" Target="http://secrets.rutgers.edu:8080/data/asl-ftp/asllvd/demos/verify_start_end_handshape_annotations//test_auto_move//signs_mov_separ_signers/Brady_1108.mov" TargetMode="External"/><Relationship Id="rId10091" Type="http://schemas.openxmlformats.org/officeDocument/2006/relationships/hyperlink" Target="http://csr.bu.edu/ftp/asl/asllvd/demos/verify_start_end_handshape_annotations//test_auto_move//signs_mov/15669.mov" TargetMode="External"/><Relationship Id="rId10092" Type="http://schemas.openxmlformats.org/officeDocument/2006/relationships/hyperlink" Target="http://csr.bu.edu/ftp/asl/asllvd/demos/verify_start_end_handshape_annotations//test_auto_move//signs_mov_separ_signers/Liz_15669.mov" TargetMode="External"/><Relationship Id="rId10093" Type="http://schemas.openxmlformats.org/officeDocument/2006/relationships/hyperlink" Target="http://secrets.rutgers.edu:8080/data/asl-ftp/asllvd/demos/verify_start_end_handshape_annotations//test_auto_move//signs_mov/15669.mov" TargetMode="External"/><Relationship Id="rId10094" Type="http://schemas.openxmlformats.org/officeDocument/2006/relationships/hyperlink" Target="http://secrets.rutgers.edu:8080/data/asl-ftp/asllvd/demos/verify_start_end_handshape_annotations//test_auto_move//signs_mov_separ_signers/Liz_15669.mov" TargetMode="External"/><Relationship Id="rId10095" Type="http://schemas.openxmlformats.org/officeDocument/2006/relationships/hyperlink" Target="http://csr.bu.edu/ftp/asl/asllvd/demos/verify_start_end_handshape_annotations//test_auto_move//signs_mov/15813.mov" TargetMode="External"/><Relationship Id="rId10096" Type="http://schemas.openxmlformats.org/officeDocument/2006/relationships/hyperlink" Target="http://csr.bu.edu/ftp/asl/asllvd/demos/verify_start_end_handshape_annotations//test_auto_move//signs_mov_separ_signers/Tyler_15813.mov" TargetMode="External"/><Relationship Id="rId10097" Type="http://schemas.openxmlformats.org/officeDocument/2006/relationships/hyperlink" Target="http://secrets.rutgers.edu:8080/data/asl-ftp/asllvd/demos/verify_start_end_handshape_annotations//test_auto_move//signs_mov/15813.mov" TargetMode="External"/><Relationship Id="rId10098" Type="http://schemas.openxmlformats.org/officeDocument/2006/relationships/hyperlink" Target="http://secrets.rutgers.edu:8080/data/asl-ftp/asllvd/demos/verify_start_end_handshape_annotations//test_auto_move//signs_mov_separ_signers/Tyler_15813.mov" TargetMode="External"/><Relationship Id="rId10099" Type="http://schemas.openxmlformats.org/officeDocument/2006/relationships/hyperlink" Target="http://csr.bu.edu/ftp/asl/asllvd/demos/verify_start_end_handshape_annotations//test_auto_move//signs_mov_separ_signers/Brady_15813.mov" TargetMode="External"/><Relationship Id="rId10100" Type="http://schemas.openxmlformats.org/officeDocument/2006/relationships/hyperlink" Target="http://secrets.rutgers.edu:8080/data/asl-ftp/asllvd/demos/verify_start_end_handshape_annotations//test_auto_move//signs_mov_separ_signers/Brady_15813.mov" TargetMode="External"/><Relationship Id="rId10101" Type="http://schemas.openxmlformats.org/officeDocument/2006/relationships/hyperlink" Target="http://csr.bu.edu/ftp/asl/asllvd/demos/verify_start_end_handshape_annotations//test_auto_move//signs_mov/15839.mov" TargetMode="External"/><Relationship Id="rId10102" Type="http://schemas.openxmlformats.org/officeDocument/2006/relationships/hyperlink" Target="http://csr.bu.edu/ftp/asl/asllvd/demos/verify_start_end_handshape_annotations//test_auto_move//signs_mov_separ_signers/Liz_15839.mov" TargetMode="External"/><Relationship Id="rId10103" Type="http://schemas.openxmlformats.org/officeDocument/2006/relationships/hyperlink" Target="http://secrets.rutgers.edu:8080/data/asl-ftp/asllvd/demos/verify_start_end_handshape_annotations//test_auto_move//signs_mov/15839.mov" TargetMode="External"/><Relationship Id="rId10104" Type="http://schemas.openxmlformats.org/officeDocument/2006/relationships/hyperlink" Target="http://secrets.rutgers.edu:8080/data/asl-ftp/asllvd/demos/verify_start_end_handshape_annotations//test_auto_move//signs_mov_separ_signers/Liz_15839.mov" TargetMode="External"/><Relationship Id="rId10105" Type="http://schemas.openxmlformats.org/officeDocument/2006/relationships/hyperlink" Target="http://csr.bu.edu/ftp/asl/asllvd/demos/verify_start_end_handshape_annotations//test_auto_move//signs_mov_separ_signers/Brady_15839.mov" TargetMode="External"/><Relationship Id="rId10106" Type="http://schemas.openxmlformats.org/officeDocument/2006/relationships/hyperlink" Target="http://secrets.rutgers.edu:8080/data/asl-ftp/asllvd/demos/verify_start_end_handshape_annotations//test_auto_move//signs_mov_separ_signers/Brady_15839.mov" TargetMode="External"/><Relationship Id="rId10107" Type="http://schemas.openxmlformats.org/officeDocument/2006/relationships/hyperlink" Target="http://csr.bu.edu/ftp/asl/asllvd/demos/verify_start_end_handshape_annotations//test_auto_move//signs_mov/15923.mov" TargetMode="External"/><Relationship Id="rId10108" Type="http://schemas.openxmlformats.org/officeDocument/2006/relationships/hyperlink" Target="http://csr.bu.edu/ftp/asl/asllvd/demos/verify_start_end_handshape_annotations//test_auto_move//signs_mov_separ_signers/Liz_15923.mov" TargetMode="External"/><Relationship Id="rId10109" Type="http://schemas.openxmlformats.org/officeDocument/2006/relationships/hyperlink" Target="http://secrets.rutgers.edu:8080/data/asl-ftp/asllvd/demos/verify_start_end_handshape_annotations//test_auto_move//signs_mov/15923.mov" TargetMode="External"/><Relationship Id="rId10110" Type="http://schemas.openxmlformats.org/officeDocument/2006/relationships/hyperlink" Target="http://secrets.rutgers.edu:8080/data/asl-ftp/asllvd/demos/verify_start_end_handshape_annotations//test_auto_move//signs_mov_separ_signers/Liz_15923.mov" TargetMode="External"/><Relationship Id="rId10111" Type="http://schemas.openxmlformats.org/officeDocument/2006/relationships/hyperlink" Target="http://csr.bu.edu/ftp/asl/asllvd/demos/verify_start_end_handshape_annotations//test_auto_move//signs_mov/16251.mov" TargetMode="External"/><Relationship Id="rId10112" Type="http://schemas.openxmlformats.org/officeDocument/2006/relationships/hyperlink" Target="http://csr.bu.edu/ftp/asl/asllvd/demos/verify_start_end_handshape_annotations//test_auto_move//signs_mov_separ_signers/Liz_16251.mov" TargetMode="External"/><Relationship Id="rId10113" Type="http://schemas.openxmlformats.org/officeDocument/2006/relationships/hyperlink" Target="http://secrets.rutgers.edu:8080/data/asl-ftp/asllvd/demos/verify_start_end_handshape_annotations//test_auto_move//signs_mov/16251.mov" TargetMode="External"/><Relationship Id="rId10114" Type="http://schemas.openxmlformats.org/officeDocument/2006/relationships/hyperlink" Target="http://secrets.rutgers.edu:8080/data/asl-ftp/asllvd/demos/verify_start_end_handshape_annotations//test_auto_move//signs_mov_separ_signers/Liz_16251.mov" TargetMode="External"/><Relationship Id="rId10115" Type="http://schemas.openxmlformats.org/officeDocument/2006/relationships/hyperlink" Target="http://csr.bu.edu/ftp/asl/asllvd/demos/verify_start_end_handshape_annotations//test_auto_move//signs_mov_separ_signers/Naomi_16251.mov" TargetMode="External"/><Relationship Id="rId10116" Type="http://schemas.openxmlformats.org/officeDocument/2006/relationships/hyperlink" Target="http://secrets.rutgers.edu:8080/data/asl-ftp/asllvd/demos/verify_start_end_handshape_annotations//test_auto_move//signs_mov_separ_signers/Naomi_16251.mov" TargetMode="External"/><Relationship Id="rId10117" Type="http://schemas.openxmlformats.org/officeDocument/2006/relationships/hyperlink" Target="http://csr.bu.edu/ftp/asl/asllvd/demos/verify_start_end_handshape_annotations//test_auto_move//signs_mov/16252.mov" TargetMode="External"/><Relationship Id="rId10118" Type="http://schemas.openxmlformats.org/officeDocument/2006/relationships/hyperlink" Target="http://csr.bu.edu/ftp/asl/asllvd/demos/verify_start_end_handshape_annotations//test_auto_move//signs_mov_separ_signers/Tyler_16252.mov" TargetMode="External"/><Relationship Id="rId10119" Type="http://schemas.openxmlformats.org/officeDocument/2006/relationships/hyperlink" Target="http://secrets.rutgers.edu:8080/data/asl-ftp/asllvd/demos/verify_start_end_handshape_annotations//test_auto_move//signs_mov/16252.mov" TargetMode="External"/><Relationship Id="rId10120" Type="http://schemas.openxmlformats.org/officeDocument/2006/relationships/hyperlink" Target="http://secrets.rutgers.edu:8080/data/asl-ftp/asllvd/demos/verify_start_end_handshape_annotations//test_auto_move//signs_mov_separ_signers/Tyler_16252.mov" TargetMode="External"/><Relationship Id="rId10121" Type="http://schemas.openxmlformats.org/officeDocument/2006/relationships/hyperlink" Target="http://csr.bu.edu/ftp/asl/asllvd/demos/verify_start_end_handshape_annotations//test_auto_move//signs_mov_separ_signers/Brady_16252.mov" TargetMode="External"/><Relationship Id="rId10122" Type="http://schemas.openxmlformats.org/officeDocument/2006/relationships/hyperlink" Target="http://secrets.rutgers.edu:8080/data/asl-ftp/asllvd/demos/verify_start_end_handshape_annotations//test_auto_move//signs_mov_separ_signers/Brady_16252.mov" TargetMode="External"/><Relationship Id="rId10123" Type="http://schemas.openxmlformats.org/officeDocument/2006/relationships/hyperlink" Target="http://csr.bu.edu/ftp/asl/asllvd/demos/verify_start_end_handshape_annotations//test_auto_move//signs_mov/1110.mov" TargetMode="External"/><Relationship Id="rId10124" Type="http://schemas.openxmlformats.org/officeDocument/2006/relationships/hyperlink" Target="http://csr.bu.edu/ftp/asl/asllvd/demos/verify_start_end_handshape_annotations//test_auto_move//signs_mov_separ_signers/Liz_1110.mov" TargetMode="External"/><Relationship Id="rId10125" Type="http://schemas.openxmlformats.org/officeDocument/2006/relationships/hyperlink" Target="http://secrets.rutgers.edu:8080/data/asl-ftp/asllvd/demos/verify_start_end_handshape_annotations//test_auto_move//signs_mov/1110.mov" TargetMode="External"/><Relationship Id="rId10126" Type="http://schemas.openxmlformats.org/officeDocument/2006/relationships/hyperlink" Target="http://secrets.rutgers.edu:8080/data/asl-ftp/asllvd/demos/verify_start_end_handshape_annotations//test_auto_move//signs_mov_separ_signers/Liz_1110.mov" TargetMode="External"/><Relationship Id="rId10127" Type="http://schemas.openxmlformats.org/officeDocument/2006/relationships/hyperlink" Target="http://csr.bu.edu/ftp/asl/asllvd/demos/verify_start_end_handshape_annotations//test_auto_move//signs_mov_separ_signers/Naomi_1110.mov" TargetMode="External"/><Relationship Id="rId10128" Type="http://schemas.openxmlformats.org/officeDocument/2006/relationships/hyperlink" Target="http://secrets.rutgers.edu:8080/data/asl-ftp/asllvd/demos/verify_start_end_handshape_annotations//test_auto_move//signs_mov_separ_signers/Naomi_1110.mov" TargetMode="External"/><Relationship Id="rId10129" Type="http://schemas.openxmlformats.org/officeDocument/2006/relationships/hyperlink" Target="http://csr.bu.edu/ftp/asl/asllvd/demos/verify_start_end_handshape_annotations//test_auto_move//signs_mov/3331.mov" TargetMode="External"/><Relationship Id="rId10130" Type="http://schemas.openxmlformats.org/officeDocument/2006/relationships/hyperlink" Target="http://csr.bu.edu/ftp/asl/asllvd/demos/verify_start_end_handshape_annotations//test_auto_move//signs_mov_separ_signers/Tyler_3331.mov" TargetMode="External"/><Relationship Id="rId10131" Type="http://schemas.openxmlformats.org/officeDocument/2006/relationships/hyperlink" Target="http://secrets.rutgers.edu:8080/data/asl-ftp/asllvd/demos/verify_start_end_handshape_annotations//test_auto_move//signs_mov/3331.mov" TargetMode="External"/><Relationship Id="rId10132" Type="http://schemas.openxmlformats.org/officeDocument/2006/relationships/hyperlink" Target="http://secrets.rutgers.edu:8080/data/asl-ftp/asllvd/demos/verify_start_end_handshape_annotations//test_auto_move//signs_mov_separ_signers/Tyler_3331.mov" TargetMode="External"/><Relationship Id="rId10133" Type="http://schemas.openxmlformats.org/officeDocument/2006/relationships/hyperlink" Target="http://csr.bu.edu/ftp/asl/asllvd/demos/verify_start_end_handshape_annotations//test_auto_move//signs_mov_separ_signers/Brady_3331.mov" TargetMode="External"/><Relationship Id="rId10134" Type="http://schemas.openxmlformats.org/officeDocument/2006/relationships/hyperlink" Target="http://secrets.rutgers.edu:8080/data/asl-ftp/asllvd/demos/verify_start_end_handshape_annotations//test_auto_move//signs_mov_separ_signers/Brady_3331.mov" TargetMode="External"/><Relationship Id="rId10135" Type="http://schemas.openxmlformats.org/officeDocument/2006/relationships/hyperlink" Target="http://csr.bu.edu/ftp/asl/asllvd/demos/verify_start_end_handshape_annotations//test_auto_move//signs_mov/5206.mov" TargetMode="External"/><Relationship Id="rId10136" Type="http://schemas.openxmlformats.org/officeDocument/2006/relationships/hyperlink" Target="http://csr.bu.edu/ftp/asl/asllvd/demos/verify_start_end_handshape_annotations//test_auto_move//signs_mov_separ_signers/Tyler_5206.mov" TargetMode="External"/><Relationship Id="rId10137" Type="http://schemas.openxmlformats.org/officeDocument/2006/relationships/hyperlink" Target="http://secrets.rutgers.edu:8080/data/asl-ftp/asllvd/demos/verify_start_end_handshape_annotations//test_auto_move//signs_mov/5206.mov" TargetMode="External"/><Relationship Id="rId10138" Type="http://schemas.openxmlformats.org/officeDocument/2006/relationships/hyperlink" Target="http://secrets.rutgers.edu:8080/data/asl-ftp/asllvd/demos/verify_start_end_handshape_annotations//test_auto_move//signs_mov_separ_signers/Tyler_5206.mov" TargetMode="External"/><Relationship Id="rId10139" Type="http://schemas.openxmlformats.org/officeDocument/2006/relationships/hyperlink" Target="http://csr.bu.edu/ftp/asl/asllvd/demos/verify_start_end_handshape_annotations//test_auto_move//signs_mov_separ_signers/Liz_1112.mov" TargetMode="External"/><Relationship Id="rId10140" Type="http://schemas.openxmlformats.org/officeDocument/2006/relationships/hyperlink" Target="http://secrets.rutgers.edu:8080/data/asl-ftp/asllvd/demos/verify_start_end_handshape_annotations//test_auto_move//signs_mov_separ_signers/Liz_1112.mov" TargetMode="External"/><Relationship Id="rId10141" Type="http://schemas.openxmlformats.org/officeDocument/2006/relationships/hyperlink" Target="http://csr.bu.edu/ftp/asl/asllvd/demos/verify_start_end_handshape_annotations//test_auto_move//signs_mov/1112.mov" TargetMode="External"/><Relationship Id="rId10142" Type="http://schemas.openxmlformats.org/officeDocument/2006/relationships/hyperlink" Target="http://csr.bu.edu/ftp/asl/asllvd/demos/verify_start_end_handshape_annotations//test_auto_move//signs_mov_separ_signers/Tyler_1112.mov" TargetMode="External"/><Relationship Id="rId10143" Type="http://schemas.openxmlformats.org/officeDocument/2006/relationships/hyperlink" Target="http://secrets.rutgers.edu:8080/data/asl-ftp/asllvd/demos/verify_start_end_handshape_annotations//test_auto_move//signs_mov/1112.mov" TargetMode="External"/><Relationship Id="rId10144" Type="http://schemas.openxmlformats.org/officeDocument/2006/relationships/hyperlink" Target="http://secrets.rutgers.edu:8080/data/asl-ftp/asllvd/demos/verify_start_end_handshape_annotations//test_auto_move//signs_mov_separ_signers/Tyler_1112.mov" TargetMode="External"/><Relationship Id="rId10145" Type="http://schemas.openxmlformats.org/officeDocument/2006/relationships/hyperlink" Target="http://csr.bu.edu/ftp/asl/asllvd/demos/verify_start_end_handshape_annotations//test_auto_move//signs_mov_separ_signers/Naomi_1112.mov" TargetMode="External"/><Relationship Id="rId10146" Type="http://schemas.openxmlformats.org/officeDocument/2006/relationships/hyperlink" Target="http://secrets.rutgers.edu:8080/data/asl-ftp/asllvd/demos/verify_start_end_handshape_annotations//test_auto_move//signs_mov_separ_signers/Naomi_1112.mov" TargetMode="External"/><Relationship Id="rId10147" Type="http://schemas.openxmlformats.org/officeDocument/2006/relationships/hyperlink" Target="http://csr.bu.edu/ftp/asl/asllvd/demos/verify_start_end_handshape_annotations//test_auto_move//signs_mov_separ_signers/Brady_1112.mov" TargetMode="External"/><Relationship Id="rId10148" Type="http://schemas.openxmlformats.org/officeDocument/2006/relationships/hyperlink" Target="http://secrets.rutgers.edu:8080/data/asl-ftp/asllvd/demos/verify_start_end_handshape_annotations//test_auto_move//signs_mov_separ_signers/Brady_1112.mov" TargetMode="External"/><Relationship Id="rId10149" Type="http://schemas.openxmlformats.org/officeDocument/2006/relationships/hyperlink" Target="http://csr.bu.edu/ftp/asl/asllvd/demos/verify_start_end_handshape_annotations//test_auto_move//signs_mov/1114.mov" TargetMode="External"/><Relationship Id="rId10150" Type="http://schemas.openxmlformats.org/officeDocument/2006/relationships/hyperlink" Target="http://csr.bu.edu/ftp/asl/asllvd/demos/verify_start_end_handshape_annotations//test_auto_move//signs_mov_separ_signers/Liz_1114.mov" TargetMode="External"/><Relationship Id="rId10151" Type="http://schemas.openxmlformats.org/officeDocument/2006/relationships/hyperlink" Target="http://secrets.rutgers.edu:8080/data/asl-ftp/asllvd/demos/verify_start_end_handshape_annotations//test_auto_move//signs_mov/1114.mov" TargetMode="External"/><Relationship Id="rId10152" Type="http://schemas.openxmlformats.org/officeDocument/2006/relationships/hyperlink" Target="http://secrets.rutgers.edu:8080/data/asl-ftp/asllvd/demos/verify_start_end_handshape_annotations//test_auto_move//signs_mov_separ_signers/Liz_1114.mov" TargetMode="External"/><Relationship Id="rId10153" Type="http://schemas.openxmlformats.org/officeDocument/2006/relationships/hyperlink" Target="http://csr.bu.edu/ftp/asl/asllvd/demos/verify_start_end_handshape_annotations//test_auto_move//signs_mov/5207.mov" TargetMode="External"/><Relationship Id="rId10154" Type="http://schemas.openxmlformats.org/officeDocument/2006/relationships/hyperlink" Target="http://csr.bu.edu/ftp/asl/asllvd/demos/verify_start_end_handshape_annotations//test_auto_move//signs_mov_separ_signers/Tyler_5207.mov" TargetMode="External"/><Relationship Id="rId10155" Type="http://schemas.openxmlformats.org/officeDocument/2006/relationships/hyperlink" Target="http://secrets.rutgers.edu:8080/data/asl-ftp/asllvd/demos/verify_start_end_handshape_annotations//test_auto_move//signs_mov/5207.mov" TargetMode="External"/><Relationship Id="rId10156" Type="http://schemas.openxmlformats.org/officeDocument/2006/relationships/hyperlink" Target="http://secrets.rutgers.edu:8080/data/asl-ftp/asllvd/demos/verify_start_end_handshape_annotations//test_auto_move//signs_mov_separ_signers/Tyler_5207.mov" TargetMode="External"/><Relationship Id="rId10157" Type="http://schemas.openxmlformats.org/officeDocument/2006/relationships/hyperlink" Target="http://csr.bu.edu/ftp/asl/asllvd/demos/verify_start_end_handshape_annotations//test_auto_move//signs_mov/5208.mov" TargetMode="External"/><Relationship Id="rId10158" Type="http://schemas.openxmlformats.org/officeDocument/2006/relationships/hyperlink" Target="http://csr.bu.edu/ftp/asl/asllvd/demos/verify_start_end_handshape_annotations//test_auto_move//signs_mov_separ_signers/Naomi_5208.mov" TargetMode="External"/><Relationship Id="rId10159" Type="http://schemas.openxmlformats.org/officeDocument/2006/relationships/hyperlink" Target="http://secrets.rutgers.edu:8080/data/asl-ftp/asllvd/demos/verify_start_end_handshape_annotations//test_auto_move//signs_mov/5208.mov" TargetMode="External"/><Relationship Id="rId10160" Type="http://schemas.openxmlformats.org/officeDocument/2006/relationships/hyperlink" Target="http://secrets.rutgers.edu:8080/data/asl-ftp/asllvd/demos/verify_start_end_handshape_annotations//test_auto_move//signs_mov_separ_signers/Naomi_5208.mov" TargetMode="External"/><Relationship Id="rId10161" Type="http://schemas.openxmlformats.org/officeDocument/2006/relationships/hyperlink" Target="http://csr.bu.edu/ftp/asl/asllvd/demos/verify_start_end_handshape_annotations//test_auto_move//signs_mov_separ_signers/Brady_5208.mov" TargetMode="External"/><Relationship Id="rId10162" Type="http://schemas.openxmlformats.org/officeDocument/2006/relationships/hyperlink" Target="http://secrets.rutgers.edu:8080/data/asl-ftp/asllvd/demos/verify_start_end_handshape_annotations//test_auto_move//signs_mov_separ_signers/Brady_5208.mov" TargetMode="External"/><Relationship Id="rId10163" Type="http://schemas.openxmlformats.org/officeDocument/2006/relationships/hyperlink" Target="http://csr.bu.edu/ftp/asl/asllvd/demos/verify_start_end_handshape_annotations//test_auto_move//signs_mov/15473.mov" TargetMode="External"/><Relationship Id="rId10164" Type="http://schemas.openxmlformats.org/officeDocument/2006/relationships/hyperlink" Target="http://csr.bu.edu/ftp/asl/asllvd/demos/verify_start_end_handshape_annotations//test_auto_move//signs_mov_separ_signers/Liz_15473.mov" TargetMode="External"/><Relationship Id="rId10165" Type="http://schemas.openxmlformats.org/officeDocument/2006/relationships/hyperlink" Target="http://secrets.rutgers.edu:8080/data/asl-ftp/asllvd/demos/verify_start_end_handshape_annotations//test_auto_move//signs_mov/15473.mov" TargetMode="External"/><Relationship Id="rId10166" Type="http://schemas.openxmlformats.org/officeDocument/2006/relationships/hyperlink" Target="http://secrets.rutgers.edu:8080/data/asl-ftp/asllvd/demos/verify_start_end_handshape_annotations//test_auto_move//signs_mov_separ_signers/Liz_15473.mov" TargetMode="External"/><Relationship Id="rId10167" Type="http://schemas.openxmlformats.org/officeDocument/2006/relationships/hyperlink" Target="http://csr.bu.edu/ftp/asl/asllvd/demos/verify_start_end_handshape_annotations//test_auto_move//signs_mov_separ_signers/Brady_15473.mov" TargetMode="External"/><Relationship Id="rId10168" Type="http://schemas.openxmlformats.org/officeDocument/2006/relationships/hyperlink" Target="http://secrets.rutgers.edu:8080/data/asl-ftp/asllvd/demos/verify_start_end_handshape_annotations//test_auto_move//signs_mov_separ_signers/Brady_15473.mov" TargetMode="External"/><Relationship Id="rId10169" Type="http://schemas.openxmlformats.org/officeDocument/2006/relationships/hyperlink" Target="http://csr.bu.edu/ftp/asl/asllvd/demos/verify_start_end_handshape_annotations//test_auto_move//signs_mov/16146.mov" TargetMode="External"/><Relationship Id="rId10170" Type="http://schemas.openxmlformats.org/officeDocument/2006/relationships/hyperlink" Target="http://csr.bu.edu/ftp/asl/asllvd/demos/verify_start_end_handshape_annotations//test_auto_move//signs_mov_separ_signers/Liz_16146.mov" TargetMode="External"/><Relationship Id="rId10171" Type="http://schemas.openxmlformats.org/officeDocument/2006/relationships/hyperlink" Target="http://secrets.rutgers.edu:8080/data/asl-ftp/asllvd/demos/verify_start_end_handshape_annotations//test_auto_move//signs_mov/16146.mov" TargetMode="External"/><Relationship Id="rId10172" Type="http://schemas.openxmlformats.org/officeDocument/2006/relationships/hyperlink" Target="http://secrets.rutgers.edu:8080/data/asl-ftp/asllvd/demos/verify_start_end_handshape_annotations//test_auto_move//signs_mov_separ_signers/Liz_16146.mov" TargetMode="External"/><Relationship Id="rId10173" Type="http://schemas.openxmlformats.org/officeDocument/2006/relationships/hyperlink" Target="http://csr.bu.edu/ftp/asl/asllvd/demos/verify_start_end_handshape_annotations//test_auto_move//signs_mov_separ_signers/Liz_16147.mov" TargetMode="External"/><Relationship Id="rId10174" Type="http://schemas.openxmlformats.org/officeDocument/2006/relationships/hyperlink" Target="http://secrets.rutgers.edu:8080/data/asl-ftp/asllvd/demos/verify_start_end_handshape_annotations//test_auto_move//signs_mov_separ_signers/Liz_16147.mov" TargetMode="External"/><Relationship Id="rId10175" Type="http://schemas.openxmlformats.org/officeDocument/2006/relationships/hyperlink" Target="http://csr.bu.edu/ftp/asl/asllvd/demos/verify_start_end_handshape_annotations//test_auto_move//signs_mov/16147_16379_merged.mov" TargetMode="External"/><Relationship Id="rId10176" Type="http://schemas.openxmlformats.org/officeDocument/2006/relationships/hyperlink" Target="http://csr.bu.edu/ftp/asl/asllvd/demos/verify_start_end_handshape_annotations//test_auto_move//signs_mov_separ_signers/Brady_16147.mov" TargetMode="External"/><Relationship Id="rId10177" Type="http://schemas.openxmlformats.org/officeDocument/2006/relationships/hyperlink" Target="http://secrets.rutgers.edu:8080/data/asl-ftp/asllvd/demos/verify_start_end_handshape_annotations//test_auto_move//signs_mov/16147_16379_merged.mov" TargetMode="External"/><Relationship Id="rId10178" Type="http://schemas.openxmlformats.org/officeDocument/2006/relationships/hyperlink" Target="http://secrets.rutgers.edu:8080/data/asl-ftp/asllvd/demos/verify_start_end_handshape_annotations//test_auto_move//signs_mov_separ_signers/Brady_16147.mov" TargetMode="External"/><Relationship Id="rId10179" Type="http://schemas.openxmlformats.org/officeDocument/2006/relationships/hyperlink" Target="http://csr.bu.edu/ftp/asl/asllvd/demos/verify_start_end_handshape_annotations//test_auto_move//signs_mov_separ_signers/Brady_16379.mov" TargetMode="External"/><Relationship Id="rId10180" Type="http://schemas.openxmlformats.org/officeDocument/2006/relationships/hyperlink" Target="http://secrets.rutgers.edu:8080/data/asl-ftp/asllvd/demos/verify_start_end_handshape_annotations//test_auto_move//signs_mov_separ_signers/Brady_16379.mov" TargetMode="External"/><Relationship Id="rId10181" Type="http://schemas.openxmlformats.org/officeDocument/2006/relationships/hyperlink" Target="http://csr.bu.edu/ftp/asl/asllvd/demos/verify_start_end_handshape_annotations//test_auto_move//signs_mov_separ_signers/Liz_1115.mov" TargetMode="External"/><Relationship Id="rId10182" Type="http://schemas.openxmlformats.org/officeDocument/2006/relationships/hyperlink" Target="http://secrets.rutgers.edu:8080/data/asl-ftp/asllvd/demos/verify_start_end_handshape_annotations//test_auto_move//signs_mov_separ_signers/Liz_1115.mov" TargetMode="External"/><Relationship Id="rId10183" Type="http://schemas.openxmlformats.org/officeDocument/2006/relationships/hyperlink" Target="http://csr.bu.edu/ftp/asl/asllvd/demos/verify_start_end_handshape_annotations//test_auto_move//signs_mov/1115.mov" TargetMode="External"/><Relationship Id="rId10184" Type="http://schemas.openxmlformats.org/officeDocument/2006/relationships/hyperlink" Target="http://csr.bu.edu/ftp/asl/asllvd/demos/verify_start_end_handshape_annotations//test_auto_move//signs_mov_separ_signers/Tyler_1115.mov" TargetMode="External"/><Relationship Id="rId10185" Type="http://schemas.openxmlformats.org/officeDocument/2006/relationships/hyperlink" Target="http://secrets.rutgers.edu:8080/data/asl-ftp/asllvd/demos/verify_start_end_handshape_annotations//test_auto_move//signs_mov/1115.mov" TargetMode="External"/><Relationship Id="rId10186" Type="http://schemas.openxmlformats.org/officeDocument/2006/relationships/hyperlink" Target="http://secrets.rutgers.edu:8080/data/asl-ftp/asllvd/demos/verify_start_end_handshape_annotations//test_auto_move//signs_mov_separ_signers/Tyler_1115.mov" TargetMode="External"/><Relationship Id="rId10187" Type="http://schemas.openxmlformats.org/officeDocument/2006/relationships/hyperlink" Target="http://csr.bu.edu/ftp/asl/asllvd/demos/verify_start_end_handshape_annotations//test_auto_move//signs_mov_separ_signers/Naomi_1115.mov" TargetMode="External"/><Relationship Id="rId10188" Type="http://schemas.openxmlformats.org/officeDocument/2006/relationships/hyperlink" Target="http://secrets.rutgers.edu:8080/data/asl-ftp/asllvd/demos/verify_start_end_handshape_annotations//test_auto_move//signs_mov_separ_signers/Naomi_1115.mov" TargetMode="External"/><Relationship Id="rId10189" Type="http://schemas.openxmlformats.org/officeDocument/2006/relationships/hyperlink" Target="http://csr.bu.edu/ftp/asl/asllvd/demos/verify_start_end_handshape_annotations//test_auto_move//signs_mov_separ_signers/Brady_1115.mov" TargetMode="External"/><Relationship Id="rId10190" Type="http://schemas.openxmlformats.org/officeDocument/2006/relationships/hyperlink" Target="http://secrets.rutgers.edu:8080/data/asl-ftp/asllvd/demos/verify_start_end_handshape_annotations//test_auto_move//signs_mov_separ_signers/Brady_1115.mov" TargetMode="External"/><Relationship Id="rId10191" Type="http://schemas.openxmlformats.org/officeDocument/2006/relationships/hyperlink" Target="http://csr.bu.edu/ftp/asl/asllvd/demos/verify_start_end_handshape_annotations//test_auto_move//signs_mov/1117.mov" TargetMode="External"/><Relationship Id="rId10192" Type="http://schemas.openxmlformats.org/officeDocument/2006/relationships/hyperlink" Target="http://csr.bu.edu/ftp/asl/asllvd/demos/verify_start_end_handshape_annotations//test_auto_move//signs_mov_separ_signers/Liz_1117.mov" TargetMode="External"/><Relationship Id="rId10193" Type="http://schemas.openxmlformats.org/officeDocument/2006/relationships/hyperlink" Target="http://secrets.rutgers.edu:8080/data/asl-ftp/asllvd/demos/verify_start_end_handshape_annotations//test_auto_move//signs_mov/1117.mov" TargetMode="External"/><Relationship Id="rId10194" Type="http://schemas.openxmlformats.org/officeDocument/2006/relationships/hyperlink" Target="http://secrets.rutgers.edu:8080/data/asl-ftp/asllvd/demos/verify_start_end_handshape_annotations//test_auto_move//signs_mov_separ_signers/Liz_1117.mov" TargetMode="External"/><Relationship Id="rId10195" Type="http://schemas.openxmlformats.org/officeDocument/2006/relationships/hyperlink" Target="http://csr.bu.edu/ftp/asl/asllvd/demos/verify_start_end_handshape_annotations//test_auto_move//signs_mov/5713.mov" TargetMode="External"/><Relationship Id="rId10196" Type="http://schemas.openxmlformats.org/officeDocument/2006/relationships/hyperlink" Target="http://csr.bu.edu/ftp/asl/asllvd/demos/verify_start_end_handshape_annotations//test_auto_move//signs_mov_separ_signers/Liz_5713.mov" TargetMode="External"/><Relationship Id="rId10197" Type="http://schemas.openxmlformats.org/officeDocument/2006/relationships/hyperlink" Target="http://secrets.rutgers.edu:8080/data/asl-ftp/asllvd/demos/verify_start_end_handshape_annotations//test_auto_move//signs_mov/5713.mov" TargetMode="External"/><Relationship Id="rId10198" Type="http://schemas.openxmlformats.org/officeDocument/2006/relationships/hyperlink" Target="http://secrets.rutgers.edu:8080/data/asl-ftp/asllvd/demos/verify_start_end_handshape_annotations//test_auto_move//signs_mov_separ_signers/Liz_5713.mov" TargetMode="External"/><Relationship Id="rId10199" Type="http://schemas.openxmlformats.org/officeDocument/2006/relationships/hyperlink" Target="http://csr.bu.edu/ftp/asl/asllvd/demos/verify_start_end_handshape_annotations//test_auto_move//signs_mov_separ_signers/Brady_5713.mov" TargetMode="External"/><Relationship Id="rId10200" Type="http://schemas.openxmlformats.org/officeDocument/2006/relationships/hyperlink" Target="http://secrets.rutgers.edu:8080/data/asl-ftp/asllvd/demos/verify_start_end_handshape_annotations//test_auto_move//signs_mov_separ_signers/Brady_5713.mov" TargetMode="External"/><Relationship Id="rId10201" Type="http://schemas.openxmlformats.org/officeDocument/2006/relationships/hyperlink" Target="http://csr.bu.edu/ftp/asl/asllvd/demos/verify_start_end_handshape_annotations//test_auto_move//signs_mov_separ_signers/Liz_1121.mov" TargetMode="External"/><Relationship Id="rId10202" Type="http://schemas.openxmlformats.org/officeDocument/2006/relationships/hyperlink" Target="http://secrets.rutgers.edu:8080/data/asl-ftp/asllvd/demos/verify_start_end_handshape_annotations//test_auto_move//signs_mov_separ_signers/Liz_1121.mov" TargetMode="External"/><Relationship Id="rId10203" Type="http://schemas.openxmlformats.org/officeDocument/2006/relationships/hyperlink" Target="http://csr.bu.edu/ftp/asl/asllvd/demos/verify_start_end_handshape_annotations//test_auto_move//signs_mov/1121.mov" TargetMode="External"/><Relationship Id="rId10204" Type="http://schemas.openxmlformats.org/officeDocument/2006/relationships/hyperlink" Target="http://csr.bu.edu/ftp/asl/asllvd/demos/verify_start_end_handshape_annotations//test_auto_move//signs_mov_separ_signers/Tyler_1121.mov" TargetMode="External"/><Relationship Id="rId10205" Type="http://schemas.openxmlformats.org/officeDocument/2006/relationships/hyperlink" Target="http://secrets.rutgers.edu:8080/data/asl-ftp/asllvd/demos/verify_start_end_handshape_annotations//test_auto_move//signs_mov/1121.mov" TargetMode="External"/><Relationship Id="rId10206" Type="http://schemas.openxmlformats.org/officeDocument/2006/relationships/hyperlink" Target="http://secrets.rutgers.edu:8080/data/asl-ftp/asllvd/demos/verify_start_end_handshape_annotations//test_auto_move//signs_mov_separ_signers/Tyler_1121.mov" TargetMode="External"/><Relationship Id="rId10207" Type="http://schemas.openxmlformats.org/officeDocument/2006/relationships/hyperlink" Target="http://csr.bu.edu/ftp/asl/asllvd/demos/verify_start_end_handshape_annotations//test_auto_move//signs_mov_separ_signers/Naomi_1121.mov" TargetMode="External"/><Relationship Id="rId10208" Type="http://schemas.openxmlformats.org/officeDocument/2006/relationships/hyperlink" Target="http://secrets.rutgers.edu:8080/data/asl-ftp/asllvd/demos/verify_start_end_handshape_annotations//test_auto_move//signs_mov_separ_signers/Naomi_1121.mov" TargetMode="External"/><Relationship Id="rId10209" Type="http://schemas.openxmlformats.org/officeDocument/2006/relationships/hyperlink" Target="http://csr.bu.edu/ftp/asl/asllvd/demos/verify_start_end_handshape_annotations//test_auto_move//signs_mov_separ_signers/Brady_1121.mov" TargetMode="External"/><Relationship Id="rId10210" Type="http://schemas.openxmlformats.org/officeDocument/2006/relationships/hyperlink" Target="http://secrets.rutgers.edu:8080/data/asl-ftp/asllvd/demos/verify_start_end_handshape_annotations//test_auto_move//signs_mov_separ_signers/Brady_1121.mov" TargetMode="External"/><Relationship Id="rId10211" Type="http://schemas.openxmlformats.org/officeDocument/2006/relationships/hyperlink" Target="http://csr.bu.edu/ftp/asl/asllvd/demos/verify_start_end_handshape_annotations//test_auto_move//signs_mov/15015.mov" TargetMode="External"/><Relationship Id="rId10212" Type="http://schemas.openxmlformats.org/officeDocument/2006/relationships/hyperlink" Target="http://csr.bu.edu/ftp/asl/asllvd/demos/verify_start_end_handshape_annotations//test_auto_move//signs_mov_separ_signers/Liz_15015.mov" TargetMode="External"/><Relationship Id="rId10213" Type="http://schemas.openxmlformats.org/officeDocument/2006/relationships/hyperlink" Target="http://secrets.rutgers.edu:8080/data/asl-ftp/asllvd/demos/verify_start_end_handshape_annotations//test_auto_move//signs_mov/15015.mov" TargetMode="External"/><Relationship Id="rId10214" Type="http://schemas.openxmlformats.org/officeDocument/2006/relationships/hyperlink" Target="http://secrets.rutgers.edu:8080/data/asl-ftp/asllvd/demos/verify_start_end_handshape_annotations//test_auto_move//signs_mov_separ_signers/Liz_15015.mov" TargetMode="External"/><Relationship Id="rId10215" Type="http://schemas.openxmlformats.org/officeDocument/2006/relationships/hyperlink" Target="http://csr.bu.edu/ftp/asl/asllvd/demos/verify_start_end_handshape_annotations//test_auto_move//signs_mov_separ_signers/Brady_15015.mov" TargetMode="External"/><Relationship Id="rId10216" Type="http://schemas.openxmlformats.org/officeDocument/2006/relationships/hyperlink" Target="http://secrets.rutgers.edu:8080/data/asl-ftp/asllvd/demos/verify_start_end_handshape_annotations//test_auto_move//signs_mov_separ_signers/Brady_15015.mov" TargetMode="External"/><Relationship Id="rId10217" Type="http://schemas.openxmlformats.org/officeDocument/2006/relationships/hyperlink" Target="http://csr.bu.edu/ftp/asl/asllvd/demos/verify_start_end_handshape_annotations//test_auto_move//signs_mov_separ_signers/Liz_1123.mov" TargetMode="External"/><Relationship Id="rId10218" Type="http://schemas.openxmlformats.org/officeDocument/2006/relationships/hyperlink" Target="http://secrets.rutgers.edu:8080/data/asl-ftp/asllvd/demos/verify_start_end_handshape_annotations//test_auto_move//signs_mov_separ_signers/Liz_1123.mov" TargetMode="External"/><Relationship Id="rId10219" Type="http://schemas.openxmlformats.org/officeDocument/2006/relationships/hyperlink" Target="http://csr.bu.edu/ftp/asl/asllvd/demos/verify_start_end_handshape_annotations//test_auto_move//signs_mov_separ_signers/Liz_5721.mov" TargetMode="External"/><Relationship Id="rId10220" Type="http://schemas.openxmlformats.org/officeDocument/2006/relationships/hyperlink" Target="http://secrets.rutgers.edu:8080/data/asl-ftp/asllvd/demos/verify_start_end_handshape_annotations//test_auto_move//signs_mov_separ_signers/Liz_5721.mov" TargetMode="External"/><Relationship Id="rId10221" Type="http://schemas.openxmlformats.org/officeDocument/2006/relationships/hyperlink" Target="http://csr.bu.edu/ftp/asl/asllvd/demos/verify_start_end_handshape_annotations//test_auto_move//signs_mov_separ_signers/Tyler_1123.mov" TargetMode="External"/><Relationship Id="rId10222" Type="http://schemas.openxmlformats.org/officeDocument/2006/relationships/hyperlink" Target="http://secrets.rutgers.edu:8080/data/asl-ftp/asllvd/demos/verify_start_end_handshape_annotations//test_auto_move//signs_mov_separ_signers/Tyler_1123.mov" TargetMode="External"/><Relationship Id="rId10223" Type="http://schemas.openxmlformats.org/officeDocument/2006/relationships/hyperlink" Target="http://csr.bu.edu/ftp/asl/asllvd/demos/verify_start_end_handshape_annotations//test_auto_move//signs_mov/1123_5721_5733_merged.mov" TargetMode="External"/><Relationship Id="rId10224" Type="http://schemas.openxmlformats.org/officeDocument/2006/relationships/hyperlink" Target="http://csr.bu.edu/ftp/asl/asllvd/demos/verify_start_end_handshape_annotations//test_auto_move//signs_mov_separ_signers/Naomi_1123.mov" TargetMode="External"/><Relationship Id="rId10225" Type="http://schemas.openxmlformats.org/officeDocument/2006/relationships/hyperlink" Target="http://secrets.rutgers.edu:8080/data/asl-ftp/asllvd/demos/verify_start_end_handshape_annotations//test_auto_move//signs_mov/1123_5721_5733_merged.mov" TargetMode="External"/><Relationship Id="rId10226" Type="http://schemas.openxmlformats.org/officeDocument/2006/relationships/hyperlink" Target="http://secrets.rutgers.edu:8080/data/asl-ftp/asllvd/demos/verify_start_end_handshape_annotations//test_auto_move//signs_mov_separ_signers/Naomi_1123.mov" TargetMode="External"/><Relationship Id="rId10227" Type="http://schemas.openxmlformats.org/officeDocument/2006/relationships/hyperlink" Target="http://csr.bu.edu/ftp/asl/asllvd/demos/verify_start_end_handshape_annotations//test_auto_move//signs_mov_separ_signers/Naomi_5721.mov" TargetMode="External"/><Relationship Id="rId10228" Type="http://schemas.openxmlformats.org/officeDocument/2006/relationships/hyperlink" Target="http://secrets.rutgers.edu:8080/data/asl-ftp/asllvd/demos/verify_start_end_handshape_annotations//test_auto_move//signs_mov_separ_signers/Naomi_5721.mov" TargetMode="External"/><Relationship Id="rId10229" Type="http://schemas.openxmlformats.org/officeDocument/2006/relationships/hyperlink" Target="http://csr.bu.edu/ftp/asl/asllvd/demos/verify_start_end_handshape_annotations//test_auto_move//signs_mov_separ_signers/Brady_1123.mov" TargetMode="External"/><Relationship Id="rId10230" Type="http://schemas.openxmlformats.org/officeDocument/2006/relationships/hyperlink" Target="http://secrets.rutgers.edu:8080/data/asl-ftp/asllvd/demos/verify_start_end_handshape_annotations//test_auto_move//signs_mov_separ_signers/Brady_1123.mov" TargetMode="External"/><Relationship Id="rId10231" Type="http://schemas.openxmlformats.org/officeDocument/2006/relationships/hyperlink" Target="http://csr.bu.edu/ftp/asl/asllvd/demos/verify_start_end_handshape_annotations//test_auto_move//signs_mov_separ_signers/Brady_5721.mov" TargetMode="External"/><Relationship Id="rId10232" Type="http://schemas.openxmlformats.org/officeDocument/2006/relationships/hyperlink" Target="http://secrets.rutgers.edu:8080/data/asl-ftp/asllvd/demos/verify_start_end_handshape_annotations//test_auto_move//signs_mov_separ_signers/Brady_5721.mov" TargetMode="External"/><Relationship Id="rId10233" Type="http://schemas.openxmlformats.org/officeDocument/2006/relationships/hyperlink" Target="http://csr.bu.edu/ftp/asl/asllvd/demos/verify_start_end_handshape_annotations//test_auto_move//signs_mov_separ_signers/Brady_5733.mov" TargetMode="External"/><Relationship Id="rId10234" Type="http://schemas.openxmlformats.org/officeDocument/2006/relationships/hyperlink" Target="http://secrets.rutgers.edu:8080/data/asl-ftp/asllvd/demos/verify_start_end_handshape_annotations//test_auto_move//signs_mov_separ_signers/Brady_5733.mov" TargetMode="External"/><Relationship Id="rId10235" Type="http://schemas.openxmlformats.org/officeDocument/2006/relationships/hyperlink" Target="http://csr.bu.edu/ftp/asl/asllvd/demos/verify_start_end_handshape_annotations//test_auto_move//signs_mov_separ_signers/Liz_5743.mov" TargetMode="External"/><Relationship Id="rId10236" Type="http://schemas.openxmlformats.org/officeDocument/2006/relationships/hyperlink" Target="http://secrets.rutgers.edu:8080/data/asl-ftp/asllvd/demos/verify_start_end_handshape_annotations//test_auto_move//signs_mov_separ_signers/Liz_5743.mov" TargetMode="External"/><Relationship Id="rId10237" Type="http://schemas.openxmlformats.org/officeDocument/2006/relationships/hyperlink" Target="http://csr.bu.edu/ftp/asl/asllvd/demos/verify_start_end_handshape_annotations//test_auto_move//signs_mov/5743.mov" TargetMode="External"/><Relationship Id="rId10238" Type="http://schemas.openxmlformats.org/officeDocument/2006/relationships/hyperlink" Target="http://csr.bu.edu/ftp/asl/asllvd/demos/verify_start_end_handshape_annotations//test_auto_move//signs_mov_separ_signers/Naomi_5743.mov" TargetMode="External"/><Relationship Id="rId10239" Type="http://schemas.openxmlformats.org/officeDocument/2006/relationships/hyperlink" Target="http://secrets.rutgers.edu:8080/data/asl-ftp/asllvd/demos/verify_start_end_handshape_annotations//test_auto_move//signs_mov/5743.mov" TargetMode="External"/><Relationship Id="rId10240" Type="http://schemas.openxmlformats.org/officeDocument/2006/relationships/hyperlink" Target="http://secrets.rutgers.edu:8080/data/asl-ftp/asllvd/demos/verify_start_end_handshape_annotations//test_auto_move//signs_mov_separ_signers/Naomi_5743.mov" TargetMode="External"/><Relationship Id="rId10241" Type="http://schemas.openxmlformats.org/officeDocument/2006/relationships/hyperlink" Target="http://csr.bu.edu/ftp/asl/asllvd/demos/verify_start_end_handshape_annotations//test_auto_move//signs_mov_separ_signers/Brady_5743.mov" TargetMode="External"/><Relationship Id="rId10242" Type="http://schemas.openxmlformats.org/officeDocument/2006/relationships/hyperlink" Target="http://secrets.rutgers.edu:8080/data/asl-ftp/asllvd/demos/verify_start_end_handshape_annotations//test_auto_move//signs_mov_separ_signers/Brady_5743.mov" TargetMode="External"/><Relationship Id="rId10243" Type="http://schemas.openxmlformats.org/officeDocument/2006/relationships/hyperlink" Target="http://csr.bu.edu/ftp/asl/asllvd/demos/verify_start_end_handshape_annotations//test_auto_move//signs_mov/1124.mov" TargetMode="External"/><Relationship Id="rId10244" Type="http://schemas.openxmlformats.org/officeDocument/2006/relationships/hyperlink" Target="http://csr.bu.edu/ftp/asl/asllvd/demos/verify_start_end_handshape_annotations//test_auto_move//signs_mov_separ_signers/Liz_1124.mov" TargetMode="External"/><Relationship Id="rId10245" Type="http://schemas.openxmlformats.org/officeDocument/2006/relationships/hyperlink" Target="http://secrets.rutgers.edu:8080/data/asl-ftp/asllvd/demos/verify_start_end_handshape_annotations//test_auto_move//signs_mov/1124.mov" TargetMode="External"/><Relationship Id="rId10246" Type="http://schemas.openxmlformats.org/officeDocument/2006/relationships/hyperlink" Target="http://secrets.rutgers.edu:8080/data/asl-ftp/asllvd/demos/verify_start_end_handshape_annotations//test_auto_move//signs_mov_separ_signers/Liz_1124.mov" TargetMode="External"/><Relationship Id="rId10247" Type="http://schemas.openxmlformats.org/officeDocument/2006/relationships/hyperlink" Target="http://csr.bu.edu/ftp/asl/asllvd/demos/verify_start_end_handshape_annotations//test_auto_move//signs_mov_separ_signers/Liz_1125.mov" TargetMode="External"/><Relationship Id="rId10248" Type="http://schemas.openxmlformats.org/officeDocument/2006/relationships/hyperlink" Target="http://secrets.rutgers.edu:8080/data/asl-ftp/asllvd/demos/verify_start_end_handshape_annotations//test_auto_move//signs_mov_separ_signers/Liz_1125.mov" TargetMode="External"/><Relationship Id="rId10249" Type="http://schemas.openxmlformats.org/officeDocument/2006/relationships/hyperlink" Target="http://csr.bu.edu/ftp/asl/asllvd/demos/verify_start_end_handshape_annotations//test_auto_move//signs_mov/1125_5209_merged.mov" TargetMode="External"/><Relationship Id="rId10250" Type="http://schemas.openxmlformats.org/officeDocument/2006/relationships/hyperlink" Target="http://csr.bu.edu/ftp/asl/asllvd/demos/verify_start_end_handshape_annotations//test_auto_move//signs_mov_separ_signers/Naomi_1125.mov" TargetMode="External"/><Relationship Id="rId10251" Type="http://schemas.openxmlformats.org/officeDocument/2006/relationships/hyperlink" Target="http://secrets.rutgers.edu:8080/data/asl-ftp/asllvd/demos/verify_start_end_handshape_annotations//test_auto_move//signs_mov/1125_5209_merged.mov" TargetMode="External"/><Relationship Id="rId10252" Type="http://schemas.openxmlformats.org/officeDocument/2006/relationships/hyperlink" Target="http://secrets.rutgers.edu:8080/data/asl-ftp/asllvd/demos/verify_start_end_handshape_annotations//test_auto_move//signs_mov_separ_signers/Naomi_1125.mov" TargetMode="External"/><Relationship Id="rId10253" Type="http://schemas.openxmlformats.org/officeDocument/2006/relationships/hyperlink" Target="http://csr.bu.edu/ftp/asl/asllvd/demos/verify_start_end_handshape_annotations//test_auto_move//signs_mov_separ_signers/Brady_1125.mov" TargetMode="External"/><Relationship Id="rId10254" Type="http://schemas.openxmlformats.org/officeDocument/2006/relationships/hyperlink" Target="http://secrets.rutgers.edu:8080/data/asl-ftp/asllvd/demos/verify_start_end_handshape_annotations//test_auto_move//signs_mov_separ_signers/Brady_1125.mov" TargetMode="External"/><Relationship Id="rId10255" Type="http://schemas.openxmlformats.org/officeDocument/2006/relationships/hyperlink" Target="http://csr.bu.edu/ftp/asl/asllvd/demos/verify_start_end_handshape_annotations//test_auto_move//signs_mov_separ_signers/Brady_5209.mov" TargetMode="External"/><Relationship Id="rId10256" Type="http://schemas.openxmlformats.org/officeDocument/2006/relationships/hyperlink" Target="http://secrets.rutgers.edu:8080/data/asl-ftp/asllvd/demos/verify_start_end_handshape_annotations//test_auto_move//signs_mov_separ_signers/Brady_5209.mov" TargetMode="External"/><Relationship Id="rId10257" Type="http://schemas.openxmlformats.org/officeDocument/2006/relationships/hyperlink" Target="http://csr.bu.edu/ftp/asl/asllvd/demos/verify_start_end_handshape_annotations//test_auto_move//signs_mov_separ_signers/Tyler_15758.mov" TargetMode="External"/><Relationship Id="rId10258" Type="http://schemas.openxmlformats.org/officeDocument/2006/relationships/hyperlink" Target="http://secrets.rutgers.edu:8080/data/asl-ftp/asllvd/demos/verify_start_end_handshape_annotations//test_auto_move//signs_mov_separ_signers/Tyler_15758.mov" TargetMode="External"/><Relationship Id="rId10259" Type="http://schemas.openxmlformats.org/officeDocument/2006/relationships/hyperlink" Target="http://csr.bu.edu/ftp/asl/asllvd/demos/verify_start_end_handshape_annotations//test_auto_move//signs_mov_separ_signers/Tyler_15786.mov" TargetMode="External"/><Relationship Id="rId10260" Type="http://schemas.openxmlformats.org/officeDocument/2006/relationships/hyperlink" Target="http://secrets.rutgers.edu:8080/data/asl-ftp/asllvd/demos/verify_start_end_handshape_annotations//test_auto_move//signs_mov_separ_signers/Tyler_15786.mov" TargetMode="External"/><Relationship Id="rId10261" Type="http://schemas.openxmlformats.org/officeDocument/2006/relationships/hyperlink" Target="http://csr.bu.edu/ftp/asl/asllvd/demos/verify_start_end_handshape_annotations//test_auto_move//signs_mov/15758_15786_merged.mov" TargetMode="External"/><Relationship Id="rId10262" Type="http://schemas.openxmlformats.org/officeDocument/2006/relationships/hyperlink" Target="http://csr.bu.edu/ftp/asl/asllvd/demos/verify_start_end_handshape_annotations//test_auto_move//signs_mov_separ_signers/Brady_15758.mov" TargetMode="External"/><Relationship Id="rId10263" Type="http://schemas.openxmlformats.org/officeDocument/2006/relationships/hyperlink" Target="http://secrets.rutgers.edu:8080/data/asl-ftp/asllvd/demos/verify_start_end_handshape_annotations//test_auto_move//signs_mov/15758_15786_merged.mov" TargetMode="External"/><Relationship Id="rId10264" Type="http://schemas.openxmlformats.org/officeDocument/2006/relationships/hyperlink" Target="http://secrets.rutgers.edu:8080/data/asl-ftp/asllvd/demos/verify_start_end_handshape_annotations//test_auto_move//signs_mov_separ_signers/Brady_15758.mov" TargetMode="External"/><Relationship Id="rId10265" Type="http://schemas.openxmlformats.org/officeDocument/2006/relationships/hyperlink" Target="http://csr.bu.edu/ftp/asl/asllvd/demos/verify_start_end_handshape_annotations//test_auto_move//signs_mov_separ_signers/Lana_15758.mov" TargetMode="External"/><Relationship Id="rId10266" Type="http://schemas.openxmlformats.org/officeDocument/2006/relationships/hyperlink" Target="http://secrets.rutgers.edu:8080/data/asl-ftp/asllvd/demos/verify_start_end_handshape_annotations//test_auto_move//signs_mov_separ_signers/Lana_15758.mov" TargetMode="External"/><Relationship Id="rId10267" Type="http://schemas.openxmlformats.org/officeDocument/2006/relationships/hyperlink" Target="http://csr.bu.edu/ftp/asl/asllvd/demos/verify_start_end_handshape_annotations//test_auto_move//signs_mov_separ_signers/Dana_15758.mov" TargetMode="External"/><Relationship Id="rId10268" Type="http://schemas.openxmlformats.org/officeDocument/2006/relationships/hyperlink" Target="http://secrets.rutgers.edu:8080/data/asl-ftp/asllvd/demos/verify_start_end_handshape_annotations//test_auto_move//signs_mov_separ_signers/Dana_15758.mov" TargetMode="External"/><Relationship Id="rId10269" Type="http://schemas.openxmlformats.org/officeDocument/2006/relationships/hyperlink" Target="http://csr.bu.edu/ftp/asl/asllvd/demos/verify_start_end_handshape_annotations//test_auto_move//signs_mov_separ_signers/Liz_1127.mov" TargetMode="External"/><Relationship Id="rId10270" Type="http://schemas.openxmlformats.org/officeDocument/2006/relationships/hyperlink" Target="http://secrets.rutgers.edu:8080/data/asl-ftp/asllvd/demos/verify_start_end_handshape_annotations//test_auto_move//signs_mov_separ_signers/Liz_1127.mov" TargetMode="External"/><Relationship Id="rId10271" Type="http://schemas.openxmlformats.org/officeDocument/2006/relationships/hyperlink" Target="http://csr.bu.edu/ftp/asl/asllvd/demos/verify_start_end_handshape_annotations//test_auto_move//signs_mov/1127.mov" TargetMode="External"/><Relationship Id="rId10272" Type="http://schemas.openxmlformats.org/officeDocument/2006/relationships/hyperlink" Target="http://csr.bu.edu/ftp/asl/asllvd/demos/verify_start_end_handshape_annotations//test_auto_move//signs_mov_separ_signers/Tyler_1127.mov" TargetMode="External"/><Relationship Id="rId10273" Type="http://schemas.openxmlformats.org/officeDocument/2006/relationships/hyperlink" Target="http://secrets.rutgers.edu:8080/data/asl-ftp/asllvd/demos/verify_start_end_handshape_annotations//test_auto_move//signs_mov/1127.mov" TargetMode="External"/><Relationship Id="rId10274" Type="http://schemas.openxmlformats.org/officeDocument/2006/relationships/hyperlink" Target="http://secrets.rutgers.edu:8080/data/asl-ftp/asllvd/demos/verify_start_end_handshape_annotations//test_auto_move//signs_mov_separ_signers/Tyler_1127.mov" TargetMode="External"/><Relationship Id="rId10275" Type="http://schemas.openxmlformats.org/officeDocument/2006/relationships/hyperlink" Target="http://csr.bu.edu/ftp/asl/asllvd/demos/verify_start_end_handshape_annotations//test_auto_move//signs_mov_separ_signers/Naomi_1127.mov" TargetMode="External"/><Relationship Id="rId10276" Type="http://schemas.openxmlformats.org/officeDocument/2006/relationships/hyperlink" Target="http://secrets.rutgers.edu:8080/data/asl-ftp/asllvd/demos/verify_start_end_handshape_annotations//test_auto_move//signs_mov_separ_signers/Naomi_1127.mov" TargetMode="External"/><Relationship Id="rId10277" Type="http://schemas.openxmlformats.org/officeDocument/2006/relationships/hyperlink" Target="http://csr.bu.edu/ftp/asl/asllvd/demos/verify_start_end_handshape_annotations//test_auto_move//signs_mov_separ_signers/Brady_1127.mov" TargetMode="External"/><Relationship Id="rId10278" Type="http://schemas.openxmlformats.org/officeDocument/2006/relationships/hyperlink" Target="http://secrets.rutgers.edu:8080/data/asl-ftp/asllvd/demos/verify_start_end_handshape_annotations//test_auto_move//signs_mov_separ_signers/Brady_1127.mov" TargetMode="External"/><Relationship Id="rId10279" Type="http://schemas.openxmlformats.org/officeDocument/2006/relationships/hyperlink" Target="http://csr.bu.edu/ftp/asl/asllvd/demos/verify_start_end_handshape_annotations//test_auto_move//signs_mov_separ_signers/Liz_1130.mov" TargetMode="External"/><Relationship Id="rId10280" Type="http://schemas.openxmlformats.org/officeDocument/2006/relationships/hyperlink" Target="http://secrets.rutgers.edu:8080/data/asl-ftp/asllvd/demos/verify_start_end_handshape_annotations//test_auto_move//signs_mov_separ_signers/Liz_1130.mov" TargetMode="External"/><Relationship Id="rId10281" Type="http://schemas.openxmlformats.org/officeDocument/2006/relationships/hyperlink" Target="http://csr.bu.edu/ftp/asl/asllvd/demos/verify_start_end_handshape_annotations//test_auto_move//signs_mov_separ_signers/Liz_3653.mov" TargetMode="External"/><Relationship Id="rId10282" Type="http://schemas.openxmlformats.org/officeDocument/2006/relationships/hyperlink" Target="http://secrets.rutgers.edu:8080/data/asl-ftp/asllvd/demos/verify_start_end_handshape_annotations//test_auto_move//signs_mov_separ_signers/Liz_3653.mov" TargetMode="External"/><Relationship Id="rId10283" Type="http://schemas.openxmlformats.org/officeDocument/2006/relationships/hyperlink" Target="http://csr.bu.edu/ftp/asl/asllvd/demos/verify_start_end_handshape_annotations//test_auto_move//signs_mov_separ_signers/Tyler_1130.mov" TargetMode="External"/><Relationship Id="rId10284" Type="http://schemas.openxmlformats.org/officeDocument/2006/relationships/hyperlink" Target="http://secrets.rutgers.edu:8080/data/asl-ftp/asllvd/demos/verify_start_end_handshape_annotations//test_auto_move//signs_mov_separ_signers/Tyler_1130.mov" TargetMode="External"/><Relationship Id="rId10285" Type="http://schemas.openxmlformats.org/officeDocument/2006/relationships/hyperlink" Target="http://csr.bu.edu/ftp/asl/asllvd/demos/verify_start_end_handshape_annotations//test_auto_move//signs_mov/1130_3653_merged.mov" TargetMode="External"/><Relationship Id="rId10286" Type="http://schemas.openxmlformats.org/officeDocument/2006/relationships/hyperlink" Target="http://csr.bu.edu/ftp/asl/asllvd/demos/verify_start_end_handshape_annotations//test_auto_move//signs_mov_separ_signers/Tyler_3653.mov" TargetMode="External"/><Relationship Id="rId10287" Type="http://schemas.openxmlformats.org/officeDocument/2006/relationships/hyperlink" Target="http://secrets.rutgers.edu:8080/data/asl-ftp/asllvd/demos/verify_start_end_handshape_annotations//test_auto_move//signs_mov/1130_3653_merged.mov" TargetMode="External"/><Relationship Id="rId10288" Type="http://schemas.openxmlformats.org/officeDocument/2006/relationships/hyperlink" Target="http://secrets.rutgers.edu:8080/data/asl-ftp/asllvd/demos/verify_start_end_handshape_annotations//test_auto_move//signs_mov_separ_signers/Tyler_3653.mov" TargetMode="External"/><Relationship Id="rId10289" Type="http://schemas.openxmlformats.org/officeDocument/2006/relationships/hyperlink" Target="http://csr.bu.edu/ftp/asl/asllvd/demos/verify_start_end_handshape_annotations//test_auto_move//signs_mov_separ_signers/Naomi_1130.mov" TargetMode="External"/><Relationship Id="rId10290" Type="http://schemas.openxmlformats.org/officeDocument/2006/relationships/hyperlink" Target="http://secrets.rutgers.edu:8080/data/asl-ftp/asllvd/demos/verify_start_end_handshape_annotations//test_auto_move//signs_mov_separ_signers/Naomi_1130.mov" TargetMode="External"/><Relationship Id="rId10291" Type="http://schemas.openxmlformats.org/officeDocument/2006/relationships/hyperlink" Target="http://csr.bu.edu/ftp/asl/asllvd/demos/verify_start_end_handshape_annotations//test_auto_move//signs_mov_separ_signers/Naomi_3653.mov" TargetMode="External"/><Relationship Id="rId10292" Type="http://schemas.openxmlformats.org/officeDocument/2006/relationships/hyperlink" Target="http://secrets.rutgers.edu:8080/data/asl-ftp/asllvd/demos/verify_start_end_handshape_annotations//test_auto_move//signs_mov_separ_signers/Naomi_3653.mov" TargetMode="External"/><Relationship Id="rId10293" Type="http://schemas.openxmlformats.org/officeDocument/2006/relationships/hyperlink" Target="http://csr.bu.edu/ftp/asl/asllvd/demos/verify_start_end_handshape_annotations//test_auto_move//signs_mov_separ_signers/Brady_1130.mov" TargetMode="External"/><Relationship Id="rId10294" Type="http://schemas.openxmlformats.org/officeDocument/2006/relationships/hyperlink" Target="http://secrets.rutgers.edu:8080/data/asl-ftp/asllvd/demos/verify_start_end_handshape_annotations//test_auto_move//signs_mov_separ_signers/Brady_1130.mov" TargetMode="External"/><Relationship Id="rId10295" Type="http://schemas.openxmlformats.org/officeDocument/2006/relationships/hyperlink" Target="http://csr.bu.edu/ftp/asl/asllvd/demos/verify_start_end_handshape_annotations//test_auto_move//signs_mov/16380.mov" TargetMode="External"/><Relationship Id="rId10296" Type="http://schemas.openxmlformats.org/officeDocument/2006/relationships/hyperlink" Target="http://csr.bu.edu/ftp/asl/asllvd/demos/verify_start_end_handshape_annotations//test_auto_move//signs_mov_separ_signers/Brady_16380.mov" TargetMode="External"/><Relationship Id="rId10297" Type="http://schemas.openxmlformats.org/officeDocument/2006/relationships/hyperlink" Target="http://secrets.rutgers.edu:8080/data/asl-ftp/asllvd/demos/verify_start_end_handshape_annotations//test_auto_move//signs_mov/16380.mov" TargetMode="External"/><Relationship Id="rId10298" Type="http://schemas.openxmlformats.org/officeDocument/2006/relationships/hyperlink" Target="http://secrets.rutgers.edu:8080/data/asl-ftp/asllvd/demos/verify_start_end_handshape_annotations//test_auto_move//signs_mov_separ_signers/Brady_16380.mov" TargetMode="External"/><Relationship Id="rId10299" Type="http://schemas.openxmlformats.org/officeDocument/2006/relationships/hyperlink" Target="http://csr.bu.edu/ftp/asl/asllvd/demos/verify_start_end_handshape_annotations//test_auto_move//signs_mov_separ_signers/Liz_1133.mov" TargetMode="External"/><Relationship Id="rId10300" Type="http://schemas.openxmlformats.org/officeDocument/2006/relationships/hyperlink" Target="http://secrets.rutgers.edu:8080/data/asl-ftp/asllvd/demos/verify_start_end_handshape_annotations//test_auto_move//signs_mov_separ_signers/Liz_1133.mov" TargetMode="External"/><Relationship Id="rId10301" Type="http://schemas.openxmlformats.org/officeDocument/2006/relationships/hyperlink" Target="http://csr.bu.edu/ftp/asl/asllvd/demos/verify_start_end_handshape_annotations//test_auto_move//signs_mov_separ_signers/Liz_3816.mov" TargetMode="External"/><Relationship Id="rId10302" Type="http://schemas.openxmlformats.org/officeDocument/2006/relationships/hyperlink" Target="http://secrets.rutgers.edu:8080/data/asl-ftp/asllvd/demos/verify_start_end_handshape_annotations//test_auto_move//signs_mov_separ_signers/Liz_3816.mov" TargetMode="External"/><Relationship Id="rId10303" Type="http://schemas.openxmlformats.org/officeDocument/2006/relationships/hyperlink" Target="http://csr.bu.edu/ftp/asl/asllvd/demos/verify_start_end_handshape_annotations//test_auto_move//signs_mov_separ_signers/Tyler_1133.mov" TargetMode="External"/><Relationship Id="rId10304" Type="http://schemas.openxmlformats.org/officeDocument/2006/relationships/hyperlink" Target="http://secrets.rutgers.edu:8080/data/asl-ftp/asllvd/demos/verify_start_end_handshape_annotations//test_auto_move//signs_mov_separ_signers/Tyler_1133.mov" TargetMode="External"/><Relationship Id="rId10305" Type="http://schemas.openxmlformats.org/officeDocument/2006/relationships/hyperlink" Target="http://csr.bu.edu/ftp/asl/asllvd/demos/verify_start_end_handshape_annotations//test_auto_move//signs_mov/1133_3816_merged.mov" TargetMode="External"/><Relationship Id="rId10306" Type="http://schemas.openxmlformats.org/officeDocument/2006/relationships/hyperlink" Target="http://csr.bu.edu/ftp/asl/asllvd/demos/verify_start_end_handshape_annotations//test_auto_move//signs_mov_separ_signers/Naomi_1133.mov" TargetMode="External"/><Relationship Id="rId10307" Type="http://schemas.openxmlformats.org/officeDocument/2006/relationships/hyperlink" Target="http://secrets.rutgers.edu:8080/data/asl-ftp/asllvd/demos/verify_start_end_handshape_annotations//test_auto_move//signs_mov/1133_3816_merged.mov" TargetMode="External"/><Relationship Id="rId10308" Type="http://schemas.openxmlformats.org/officeDocument/2006/relationships/hyperlink" Target="http://secrets.rutgers.edu:8080/data/asl-ftp/asllvd/demos/verify_start_end_handshape_annotations//test_auto_move//signs_mov_separ_signers/Naomi_1133.mov" TargetMode="External"/><Relationship Id="rId10309" Type="http://schemas.openxmlformats.org/officeDocument/2006/relationships/hyperlink" Target="http://csr.bu.edu/ftp/asl/asllvd/demos/verify_start_end_handshape_annotations//test_auto_move//signs_mov_separ_signers/Brady_1133.mov" TargetMode="External"/><Relationship Id="rId10310" Type="http://schemas.openxmlformats.org/officeDocument/2006/relationships/hyperlink" Target="http://secrets.rutgers.edu:8080/data/asl-ftp/asllvd/demos/verify_start_end_handshape_annotations//test_auto_move//signs_mov_separ_signers/Brady_1133.mov" TargetMode="External"/><Relationship Id="rId10311" Type="http://schemas.openxmlformats.org/officeDocument/2006/relationships/hyperlink" Target="http://csr.bu.edu/ftp/asl/asllvd/demos/verify_start_end_handshape_annotations//test_auto_move//signs_mov_separ_signers/Lana_1133.mov" TargetMode="External"/><Relationship Id="rId10312" Type="http://schemas.openxmlformats.org/officeDocument/2006/relationships/hyperlink" Target="http://secrets.rutgers.edu:8080/data/asl-ftp/asllvd/demos/verify_start_end_handshape_annotations//test_auto_move//signs_mov_separ_signers/Lana_1133.mov" TargetMode="External"/><Relationship Id="rId10313" Type="http://schemas.openxmlformats.org/officeDocument/2006/relationships/hyperlink" Target="http://csr.bu.edu/ftp/asl/asllvd/demos/verify_start_end_handshape_annotations//test_auto_move//signs_mov_separ_signers/Dana_1133.mov" TargetMode="External"/><Relationship Id="rId10314" Type="http://schemas.openxmlformats.org/officeDocument/2006/relationships/hyperlink" Target="http://secrets.rutgers.edu:8080/data/asl-ftp/asllvd/demos/verify_start_end_handshape_annotations//test_auto_move//signs_mov_separ_signers/Dana_1133.mov" TargetMode="External"/><Relationship Id="rId10315" Type="http://schemas.openxmlformats.org/officeDocument/2006/relationships/hyperlink" Target="http://csr.bu.edu/ftp/asl/asllvd/demos/verify_start_end_handshape_annotations//test_auto_move//signs_mov_separ_signers/Liz_1135.mov" TargetMode="External"/><Relationship Id="rId10316" Type="http://schemas.openxmlformats.org/officeDocument/2006/relationships/hyperlink" Target="http://secrets.rutgers.edu:8080/data/asl-ftp/asllvd/demos/verify_start_end_handshape_annotations//test_auto_move//signs_mov_separ_signers/Liz_1135.mov" TargetMode="External"/><Relationship Id="rId10317" Type="http://schemas.openxmlformats.org/officeDocument/2006/relationships/hyperlink" Target="http://csr.bu.edu/ftp/asl/asllvd/demos/verify_start_end_handshape_annotations//test_auto_move//signs_mov_separ_signers/Tyler_1135.mov" TargetMode="External"/><Relationship Id="rId10318" Type="http://schemas.openxmlformats.org/officeDocument/2006/relationships/hyperlink" Target="http://secrets.rutgers.edu:8080/data/asl-ftp/asllvd/demos/verify_start_end_handshape_annotations//test_auto_move//signs_mov_separ_signers/Tyler_1135.mov" TargetMode="External"/><Relationship Id="rId10319" Type="http://schemas.openxmlformats.org/officeDocument/2006/relationships/hyperlink" Target="http://csr.bu.edu/ftp/asl/asllvd/demos/verify_start_end_handshape_annotations//test_auto_move//signs_mov/1135.mov" TargetMode="External"/><Relationship Id="rId10320" Type="http://schemas.openxmlformats.org/officeDocument/2006/relationships/hyperlink" Target="http://csr.bu.edu/ftp/asl/asllvd/demos/verify_start_end_handshape_annotations//test_auto_move//signs_mov_separ_signers/Naomi_1135.mov" TargetMode="External"/><Relationship Id="rId10321" Type="http://schemas.openxmlformats.org/officeDocument/2006/relationships/hyperlink" Target="http://secrets.rutgers.edu:8080/data/asl-ftp/asllvd/demos/verify_start_end_handshape_annotations//test_auto_move//signs_mov/1135.mov" TargetMode="External"/><Relationship Id="rId10322" Type="http://schemas.openxmlformats.org/officeDocument/2006/relationships/hyperlink" Target="http://secrets.rutgers.edu:8080/data/asl-ftp/asllvd/demos/verify_start_end_handshape_annotations//test_auto_move//signs_mov_separ_signers/Naomi_1135.mov" TargetMode="External"/><Relationship Id="rId10323" Type="http://schemas.openxmlformats.org/officeDocument/2006/relationships/hyperlink" Target="http://csr.bu.edu/ftp/asl/asllvd/demos/verify_start_end_handshape_annotations//test_auto_move//signs_mov_separ_signers/Brady_1135.mov" TargetMode="External"/><Relationship Id="rId10324" Type="http://schemas.openxmlformats.org/officeDocument/2006/relationships/hyperlink" Target="http://secrets.rutgers.edu:8080/data/asl-ftp/asllvd/demos/verify_start_end_handshape_annotations//test_auto_move//signs_mov_separ_signers/Brady_1135.mov" TargetMode="External"/><Relationship Id="rId10325" Type="http://schemas.openxmlformats.org/officeDocument/2006/relationships/hyperlink" Target="http://csr.bu.edu/ftp/asl/asllvd/demos/verify_start_end_handshape_annotations//test_auto_move//signs_mov_separ_signers/Lana_1135.mov" TargetMode="External"/><Relationship Id="rId10326" Type="http://schemas.openxmlformats.org/officeDocument/2006/relationships/hyperlink" Target="http://secrets.rutgers.edu:8080/data/asl-ftp/asllvd/demos/verify_start_end_handshape_annotations//test_auto_move//signs_mov_separ_signers/Lana_1135.mov" TargetMode="External"/><Relationship Id="rId10327" Type="http://schemas.openxmlformats.org/officeDocument/2006/relationships/hyperlink" Target="http://csr.bu.edu/ftp/asl/asllvd/demos/verify_start_end_handshape_annotations//test_auto_move//signs_mov_separ_signers/Dana_1135.mov" TargetMode="External"/><Relationship Id="rId10328" Type="http://schemas.openxmlformats.org/officeDocument/2006/relationships/hyperlink" Target="http://secrets.rutgers.edu:8080/data/asl-ftp/asllvd/demos/verify_start_end_handshape_annotations//test_auto_move//signs_mov_separ_signers/Dana_1135.mov" TargetMode="External"/><Relationship Id="rId10329" Type="http://schemas.openxmlformats.org/officeDocument/2006/relationships/hyperlink" Target="http://csr.bu.edu/ftp/asl/asllvd/demos/verify_start_end_handshape_annotations//test_auto_move//signs_mov_separ_signers/Liz_1136.mov" TargetMode="External"/><Relationship Id="rId10330" Type="http://schemas.openxmlformats.org/officeDocument/2006/relationships/hyperlink" Target="http://secrets.rutgers.edu:8080/data/asl-ftp/asllvd/demos/verify_start_end_handshape_annotations//test_auto_move//signs_mov_separ_signers/Liz_1136.mov" TargetMode="External"/><Relationship Id="rId10331" Type="http://schemas.openxmlformats.org/officeDocument/2006/relationships/hyperlink" Target="http://csr.bu.edu/ftp/asl/asllvd/demos/verify_start_end_handshape_annotations//test_auto_move//signs_mov_separ_signers/Tyler_1136.mov" TargetMode="External"/><Relationship Id="rId10332" Type="http://schemas.openxmlformats.org/officeDocument/2006/relationships/hyperlink" Target="http://secrets.rutgers.edu:8080/data/asl-ftp/asllvd/demos/verify_start_end_handshape_annotations//test_auto_move//signs_mov_separ_signers/Tyler_1136.mov" TargetMode="External"/><Relationship Id="rId10333" Type="http://schemas.openxmlformats.org/officeDocument/2006/relationships/hyperlink" Target="http://csr.bu.edu/ftp/asl/asllvd/demos/verify_start_end_handshape_annotations//test_auto_move//signs_mov/1136.mov" TargetMode="External"/><Relationship Id="rId10334" Type="http://schemas.openxmlformats.org/officeDocument/2006/relationships/hyperlink" Target="http://csr.bu.edu/ftp/asl/asllvd/demos/verify_start_end_handshape_annotations//test_auto_move//signs_mov_separ_signers/Naomi_1136.mov" TargetMode="External"/><Relationship Id="rId10335" Type="http://schemas.openxmlformats.org/officeDocument/2006/relationships/hyperlink" Target="http://secrets.rutgers.edu:8080/data/asl-ftp/asllvd/demos/verify_start_end_handshape_annotations//test_auto_move//signs_mov/1136.mov" TargetMode="External"/><Relationship Id="rId10336" Type="http://schemas.openxmlformats.org/officeDocument/2006/relationships/hyperlink" Target="http://secrets.rutgers.edu:8080/data/asl-ftp/asllvd/demos/verify_start_end_handshape_annotations//test_auto_move//signs_mov_separ_signers/Naomi_1136.mov" TargetMode="External"/><Relationship Id="rId10337" Type="http://schemas.openxmlformats.org/officeDocument/2006/relationships/hyperlink" Target="http://csr.bu.edu/ftp/asl/asllvd/demos/verify_start_end_handshape_annotations//test_auto_move//signs_mov_separ_signers/Brady_1136.mov" TargetMode="External"/><Relationship Id="rId10338" Type="http://schemas.openxmlformats.org/officeDocument/2006/relationships/hyperlink" Target="http://secrets.rutgers.edu:8080/data/asl-ftp/asllvd/demos/verify_start_end_handshape_annotations//test_auto_move//signs_mov_separ_signers/Brady_1136.mov" TargetMode="External"/><Relationship Id="rId10339" Type="http://schemas.openxmlformats.org/officeDocument/2006/relationships/hyperlink" Target="http://csr.bu.edu/ftp/asl/asllvd/demos/verify_start_end_handshape_annotations//test_auto_move//signs_mov_separ_signers/Lana_1136.mov" TargetMode="External"/><Relationship Id="rId10340" Type="http://schemas.openxmlformats.org/officeDocument/2006/relationships/hyperlink" Target="http://secrets.rutgers.edu:8080/data/asl-ftp/asllvd/demos/verify_start_end_handshape_annotations//test_auto_move//signs_mov_separ_signers/Lana_1136.mov" TargetMode="External"/><Relationship Id="rId10341" Type="http://schemas.openxmlformats.org/officeDocument/2006/relationships/hyperlink" Target="http://csr.bu.edu/ftp/asl/asllvd/demos/verify_start_end_handshape_annotations//test_auto_move//signs_mov_separ_signers/Dana_1136.mov" TargetMode="External"/><Relationship Id="rId10342" Type="http://schemas.openxmlformats.org/officeDocument/2006/relationships/hyperlink" Target="http://secrets.rutgers.edu:8080/data/asl-ftp/asllvd/demos/verify_start_end_handshape_annotations//test_auto_move//signs_mov_separ_signers/Dana_1136.mov" TargetMode="External"/><Relationship Id="rId10343" Type="http://schemas.openxmlformats.org/officeDocument/2006/relationships/hyperlink" Target="http://csr.bu.edu/ftp/asl/asllvd/demos/verify_start_end_handshape_annotations//test_auto_move//signs_mov_separ_signers/Liz_15419.mov" TargetMode="External"/><Relationship Id="rId10344" Type="http://schemas.openxmlformats.org/officeDocument/2006/relationships/hyperlink" Target="http://secrets.rutgers.edu:8080/data/asl-ftp/asllvd/demos/verify_start_end_handshape_annotations//test_auto_move//signs_mov_separ_signers/Liz_15419.mov" TargetMode="External"/><Relationship Id="rId10345" Type="http://schemas.openxmlformats.org/officeDocument/2006/relationships/hyperlink" Target="http://csr.bu.edu/ftp/asl/asllvd/demos/verify_start_end_handshape_annotations//test_auto_move//signs_mov_separ_signers/Liz_15434.mov" TargetMode="External"/><Relationship Id="rId10346" Type="http://schemas.openxmlformats.org/officeDocument/2006/relationships/hyperlink" Target="http://secrets.rutgers.edu:8080/data/asl-ftp/asllvd/demos/verify_start_end_handshape_annotations//test_auto_move//signs_mov_separ_signers/Liz_15434.mov" TargetMode="External"/><Relationship Id="rId10347" Type="http://schemas.openxmlformats.org/officeDocument/2006/relationships/hyperlink" Target="http://csr.bu.edu/ftp/asl/asllvd/demos/verify_start_end_handshape_annotations//test_auto_move//signs_mov_separ_signers/Liz_15443.mov" TargetMode="External"/><Relationship Id="rId10348" Type="http://schemas.openxmlformats.org/officeDocument/2006/relationships/hyperlink" Target="http://secrets.rutgers.edu:8080/data/asl-ftp/asllvd/demos/verify_start_end_handshape_annotations//test_auto_move//signs_mov_separ_signers/Liz_15443.mov" TargetMode="External"/><Relationship Id="rId10349" Type="http://schemas.openxmlformats.org/officeDocument/2006/relationships/hyperlink" Target="http://csr.bu.edu/ftp/asl/asllvd/demos/verify_start_end_handshape_annotations//test_auto_move//signs_mov_separ_signers/Tyler_15419.mov" TargetMode="External"/><Relationship Id="rId10350" Type="http://schemas.openxmlformats.org/officeDocument/2006/relationships/hyperlink" Target="http://secrets.rutgers.edu:8080/data/asl-ftp/asllvd/demos/verify_start_end_handshape_annotations//test_auto_move//signs_mov_separ_signers/Tyler_15419.mov" TargetMode="External"/><Relationship Id="rId10351" Type="http://schemas.openxmlformats.org/officeDocument/2006/relationships/hyperlink" Target="http://csr.bu.edu/ftp/asl/asllvd/demos/verify_start_end_handshape_annotations//test_auto_move//signs_mov_separ_signers/Tyler_15434.mov" TargetMode="External"/><Relationship Id="rId10352" Type="http://schemas.openxmlformats.org/officeDocument/2006/relationships/hyperlink" Target="http://secrets.rutgers.edu:8080/data/asl-ftp/asllvd/demos/verify_start_end_handshape_annotations//test_auto_move//signs_mov_separ_signers/Tyler_15434.mov" TargetMode="External"/><Relationship Id="rId10353" Type="http://schemas.openxmlformats.org/officeDocument/2006/relationships/hyperlink" Target="http://csr.bu.edu/ftp/asl/asllvd/demos/verify_start_end_handshape_annotations//test_auto_move//signs_mov/15419_15434_15443_15445_merged.mov" TargetMode="External"/><Relationship Id="rId10354" Type="http://schemas.openxmlformats.org/officeDocument/2006/relationships/hyperlink" Target="http://csr.bu.edu/ftp/asl/asllvd/demos/verify_start_end_handshape_annotations//test_auto_move//signs_mov_separ_signers/Naomi_15419.mov" TargetMode="External"/><Relationship Id="rId10355" Type="http://schemas.openxmlformats.org/officeDocument/2006/relationships/hyperlink" Target="http://secrets.rutgers.edu:8080/data/asl-ftp/asllvd/demos/verify_start_end_handshape_annotations//test_auto_move//signs_mov/15419_15434_15443_15445_merged.mov" TargetMode="External"/><Relationship Id="rId10356" Type="http://schemas.openxmlformats.org/officeDocument/2006/relationships/hyperlink" Target="http://secrets.rutgers.edu:8080/data/asl-ftp/asllvd/demos/verify_start_end_handshape_annotations//test_auto_move//signs_mov_separ_signers/Naomi_15419.mov" TargetMode="External"/><Relationship Id="rId10357" Type="http://schemas.openxmlformats.org/officeDocument/2006/relationships/hyperlink" Target="http://csr.bu.edu/ftp/asl/asllvd/demos/verify_start_end_handshape_annotations//test_auto_move//signs_mov_separ_signers/Naomi_15434.mov" TargetMode="External"/><Relationship Id="rId10358" Type="http://schemas.openxmlformats.org/officeDocument/2006/relationships/hyperlink" Target="http://secrets.rutgers.edu:8080/data/asl-ftp/asllvd/demos/verify_start_end_handshape_annotations//test_auto_move//signs_mov_separ_signers/Naomi_15434.mov" TargetMode="External"/><Relationship Id="rId10359" Type="http://schemas.openxmlformats.org/officeDocument/2006/relationships/hyperlink" Target="http://csr.bu.edu/ftp/asl/asllvd/demos/verify_start_end_handshape_annotations//test_auto_move//signs_mov_separ_signers/Brady_15419.mov" TargetMode="External"/><Relationship Id="rId10360" Type="http://schemas.openxmlformats.org/officeDocument/2006/relationships/hyperlink" Target="http://secrets.rutgers.edu:8080/data/asl-ftp/asllvd/demos/verify_start_end_handshape_annotations//test_auto_move//signs_mov_separ_signers/Brady_15419.mov" TargetMode="External"/><Relationship Id="rId10361" Type="http://schemas.openxmlformats.org/officeDocument/2006/relationships/hyperlink" Target="http://csr.bu.edu/ftp/asl/asllvd/demos/verify_start_end_handshape_annotations//test_auto_move//signs_mov_separ_signers/Brady_15434.mov" TargetMode="External"/><Relationship Id="rId10362" Type="http://schemas.openxmlformats.org/officeDocument/2006/relationships/hyperlink" Target="http://secrets.rutgers.edu:8080/data/asl-ftp/asllvd/demos/verify_start_end_handshape_annotations//test_auto_move//signs_mov_separ_signers/Brady_15434.mov" TargetMode="External"/><Relationship Id="rId10363" Type="http://schemas.openxmlformats.org/officeDocument/2006/relationships/hyperlink" Target="http://csr.bu.edu/ftp/asl/asllvd/demos/verify_start_end_handshape_annotations//test_auto_move//signs_mov_separ_signers/Brady_15443.mov" TargetMode="External"/><Relationship Id="rId10364" Type="http://schemas.openxmlformats.org/officeDocument/2006/relationships/hyperlink" Target="http://secrets.rutgers.edu:8080/data/asl-ftp/asllvd/demos/verify_start_end_handshape_annotations//test_auto_move//signs_mov_separ_signers/Brady_15443.mov" TargetMode="External"/><Relationship Id="rId10365" Type="http://schemas.openxmlformats.org/officeDocument/2006/relationships/hyperlink" Target="http://csr.bu.edu/ftp/asl/asllvd/demos/verify_start_end_handshape_annotations//test_auto_move//signs_mov_separ_signers/Brady_15445.mov" TargetMode="External"/><Relationship Id="rId10366" Type="http://schemas.openxmlformats.org/officeDocument/2006/relationships/hyperlink" Target="http://secrets.rutgers.edu:8080/data/asl-ftp/asllvd/demos/verify_start_end_handshape_annotations//test_auto_move//signs_mov_separ_signers/Brady_15445.mov" TargetMode="External"/><Relationship Id="rId10367" Type="http://schemas.openxmlformats.org/officeDocument/2006/relationships/hyperlink" Target="http://csr.bu.edu/ftp/asl/asllvd/demos/verify_start_end_handshape_annotations//test_auto_move//signs_mov_separ_signers/Liz_15446.mov" TargetMode="External"/><Relationship Id="rId10368" Type="http://schemas.openxmlformats.org/officeDocument/2006/relationships/hyperlink" Target="http://secrets.rutgers.edu:8080/data/asl-ftp/asllvd/demos/verify_start_end_handshape_annotations//test_auto_move//signs_mov_separ_signers/Liz_15446.mov" TargetMode="External"/><Relationship Id="rId10369" Type="http://schemas.openxmlformats.org/officeDocument/2006/relationships/hyperlink" Target="http://csr.bu.edu/ftp/asl/asllvd/demos/verify_start_end_handshape_annotations//test_auto_move//signs_mov_separ_signers/Liz_15457.mov" TargetMode="External"/><Relationship Id="rId10370" Type="http://schemas.openxmlformats.org/officeDocument/2006/relationships/hyperlink" Target="http://secrets.rutgers.edu:8080/data/asl-ftp/asllvd/demos/verify_start_end_handshape_annotations//test_auto_move//signs_mov_separ_signers/Liz_15457.mov" TargetMode="External"/><Relationship Id="rId10371" Type="http://schemas.openxmlformats.org/officeDocument/2006/relationships/hyperlink" Target="http://csr.bu.edu/ftp/asl/asllvd/demos/verify_start_end_handshape_annotations//test_auto_move//signs_mov/15446_15457_merged.mov" TargetMode="External"/><Relationship Id="rId10372" Type="http://schemas.openxmlformats.org/officeDocument/2006/relationships/hyperlink" Target="http://csr.bu.edu/ftp/asl/asllvd/demos/verify_start_end_handshape_annotations//test_auto_move//signs_mov_separ_signers/Brady_15446.mov" TargetMode="External"/><Relationship Id="rId10373" Type="http://schemas.openxmlformats.org/officeDocument/2006/relationships/hyperlink" Target="http://secrets.rutgers.edu:8080/data/asl-ftp/asllvd/demos/verify_start_end_handshape_annotations//test_auto_move//signs_mov/15446_15457_merged.mov" TargetMode="External"/><Relationship Id="rId10374" Type="http://schemas.openxmlformats.org/officeDocument/2006/relationships/hyperlink" Target="http://secrets.rutgers.edu:8080/data/asl-ftp/asllvd/demos/verify_start_end_handshape_annotations//test_auto_move//signs_mov_separ_signers/Brady_15446.mov" TargetMode="External"/><Relationship Id="rId10375" Type="http://schemas.openxmlformats.org/officeDocument/2006/relationships/hyperlink" Target="http://csr.bu.edu/ftp/asl/asllvd/demos/verify_start_end_handshape_annotations//test_auto_move//signs_mov_separ_signers/Lana_15446.mov" TargetMode="External"/><Relationship Id="rId10376" Type="http://schemas.openxmlformats.org/officeDocument/2006/relationships/hyperlink" Target="http://secrets.rutgers.edu:8080/data/asl-ftp/asllvd/demos/verify_start_end_handshape_annotations//test_auto_move//signs_mov_separ_signers/Lana_15446.mov" TargetMode="External"/><Relationship Id="rId10377" Type="http://schemas.openxmlformats.org/officeDocument/2006/relationships/hyperlink" Target="http://csr.bu.edu/ftp/asl/asllvd/demos/verify_start_end_handshape_annotations//test_auto_move//signs_mov_separ_signers/Dana_15446.mov" TargetMode="External"/><Relationship Id="rId10378" Type="http://schemas.openxmlformats.org/officeDocument/2006/relationships/hyperlink" Target="http://secrets.rutgers.edu:8080/data/asl-ftp/asllvd/demos/verify_start_end_handshape_annotations//test_auto_move//signs_mov_separ_signers/Dana_15446.mov" TargetMode="External"/><Relationship Id="rId10379" Type="http://schemas.openxmlformats.org/officeDocument/2006/relationships/hyperlink" Target="http://csr.bu.edu/ftp/asl/asllvd/demos/verify_start_end_handshape_annotations//test_auto_move//signs_mov/15474.mov" TargetMode="External"/><Relationship Id="rId10380" Type="http://schemas.openxmlformats.org/officeDocument/2006/relationships/hyperlink" Target="http://csr.bu.edu/ftp/asl/asllvd/demos/verify_start_end_handshape_annotations//test_auto_move//signs_mov_separ_signers/Liz_15474.mov" TargetMode="External"/><Relationship Id="rId10381" Type="http://schemas.openxmlformats.org/officeDocument/2006/relationships/hyperlink" Target="http://secrets.rutgers.edu:8080/data/asl-ftp/asllvd/demos/verify_start_end_handshape_annotations//test_auto_move//signs_mov/15474.mov" TargetMode="External"/><Relationship Id="rId10382" Type="http://schemas.openxmlformats.org/officeDocument/2006/relationships/hyperlink" Target="http://secrets.rutgers.edu:8080/data/asl-ftp/asllvd/demos/verify_start_end_handshape_annotations//test_auto_move//signs_mov_separ_signers/Liz_15474.mov" TargetMode="External"/><Relationship Id="rId10383" Type="http://schemas.openxmlformats.org/officeDocument/2006/relationships/hyperlink" Target="http://csr.bu.edu/ftp/asl/asllvd/demos/verify_start_end_handshape_annotations//test_auto_move//signs_mov_separ_signers/Brady_15474.mov" TargetMode="External"/><Relationship Id="rId10384" Type="http://schemas.openxmlformats.org/officeDocument/2006/relationships/hyperlink" Target="http://secrets.rutgers.edu:8080/data/asl-ftp/asllvd/demos/verify_start_end_handshape_annotations//test_auto_move//signs_mov_separ_signers/Brady_15474.mov" TargetMode="External"/><Relationship Id="rId10385" Type="http://schemas.openxmlformats.org/officeDocument/2006/relationships/hyperlink" Target="http://csr.bu.edu/ftp/asl/asllvd/demos/verify_start_end_handshape_annotations//test_auto_move//signs_mov/16011.mov" TargetMode="External"/><Relationship Id="rId10386" Type="http://schemas.openxmlformats.org/officeDocument/2006/relationships/hyperlink" Target="http://csr.bu.edu/ftp/asl/asllvd/demos/verify_start_end_handshape_annotations//test_auto_move//signs_mov_separ_signers/Liz_16011.mov" TargetMode="External"/><Relationship Id="rId10387" Type="http://schemas.openxmlformats.org/officeDocument/2006/relationships/hyperlink" Target="http://secrets.rutgers.edu:8080/data/asl-ftp/asllvd/demos/verify_start_end_handshape_annotations//test_auto_move//signs_mov/16011.mov" TargetMode="External"/><Relationship Id="rId10388" Type="http://schemas.openxmlformats.org/officeDocument/2006/relationships/hyperlink" Target="http://secrets.rutgers.edu:8080/data/asl-ftp/asllvd/demos/verify_start_end_handshape_annotations//test_auto_move//signs_mov_separ_signers/Liz_16011.mov" TargetMode="External"/><Relationship Id="rId10389" Type="http://schemas.openxmlformats.org/officeDocument/2006/relationships/hyperlink" Target="http://csr.bu.edu/ftp/asl/asllvd/demos/verify_start_end_handshape_annotations//test_auto_move//signs_mov_separ_signers/Brady_16011.mov" TargetMode="External"/><Relationship Id="rId10390" Type="http://schemas.openxmlformats.org/officeDocument/2006/relationships/hyperlink" Target="http://secrets.rutgers.edu:8080/data/asl-ftp/asllvd/demos/verify_start_end_handshape_annotations//test_auto_move//signs_mov_separ_signers/Brady_16011.mov" TargetMode="External"/><Relationship Id="rId10391" Type="http://schemas.openxmlformats.org/officeDocument/2006/relationships/hyperlink" Target="http://csr.bu.edu/ftp/asl/asllvd/demos/verify_start_end_handshape_annotations//test_auto_move//signs_mov/1138.mov" TargetMode="External"/><Relationship Id="rId10392" Type="http://schemas.openxmlformats.org/officeDocument/2006/relationships/hyperlink" Target="http://csr.bu.edu/ftp/asl/asllvd/demos/verify_start_end_handshape_annotations//test_auto_move//signs_mov_separ_signers/Liz_1138.mov" TargetMode="External"/><Relationship Id="rId10393" Type="http://schemas.openxmlformats.org/officeDocument/2006/relationships/hyperlink" Target="http://secrets.rutgers.edu:8080/data/asl-ftp/asllvd/demos/verify_start_end_handshape_annotations//test_auto_move//signs_mov/1138.mov" TargetMode="External"/><Relationship Id="rId10394" Type="http://schemas.openxmlformats.org/officeDocument/2006/relationships/hyperlink" Target="http://secrets.rutgers.edu:8080/data/asl-ftp/asllvd/demos/verify_start_end_handshape_annotations//test_auto_move//signs_mov_separ_signers/Liz_1138.mov" TargetMode="External"/><Relationship Id="rId10395" Type="http://schemas.openxmlformats.org/officeDocument/2006/relationships/hyperlink" Target="http://csr.bu.edu/ftp/asl/asllvd/demos/verify_start_end_handshape_annotations//test_auto_move//signs_mov_separ_signers/Brady_1138.mov" TargetMode="External"/><Relationship Id="rId10396" Type="http://schemas.openxmlformats.org/officeDocument/2006/relationships/hyperlink" Target="http://secrets.rutgers.edu:8080/data/asl-ftp/asllvd/demos/verify_start_end_handshape_annotations//test_auto_move//signs_mov_separ_signers/Brady_1138.mov" TargetMode="External"/><Relationship Id="rId10397" Type="http://schemas.openxmlformats.org/officeDocument/2006/relationships/hyperlink" Target="http://csr.bu.edu/ftp/asl/asllvd/demos/verify_start_end_handshape_annotations//test_auto_move//signs_mov/5211.mov" TargetMode="External"/><Relationship Id="rId10398" Type="http://schemas.openxmlformats.org/officeDocument/2006/relationships/hyperlink" Target="http://csr.bu.edu/ftp/asl/asllvd/demos/verify_start_end_handshape_annotations//test_auto_move//signs_mov_separ_signers/Naomi_5211.mov" TargetMode="External"/><Relationship Id="rId10399" Type="http://schemas.openxmlformats.org/officeDocument/2006/relationships/hyperlink" Target="http://secrets.rutgers.edu:8080/data/asl-ftp/asllvd/demos/verify_start_end_handshape_annotations//test_auto_move//signs_mov/5211.mov" TargetMode="External"/><Relationship Id="rId10400" Type="http://schemas.openxmlformats.org/officeDocument/2006/relationships/hyperlink" Target="http://secrets.rutgers.edu:8080/data/asl-ftp/asllvd/demos/verify_start_end_handshape_annotations//test_auto_move//signs_mov_separ_signers/Naomi_5211.mov" TargetMode="External"/><Relationship Id="rId10401" Type="http://schemas.openxmlformats.org/officeDocument/2006/relationships/hyperlink" Target="http://csr.bu.edu/ftp/asl/asllvd/demos/verify_start_end_handshape_annotations//test_auto_move//signs_mov_separ_signers/Liz_1139.mov" TargetMode="External"/><Relationship Id="rId10402" Type="http://schemas.openxmlformats.org/officeDocument/2006/relationships/hyperlink" Target="http://secrets.rutgers.edu:8080/data/asl-ftp/asllvd/demos/verify_start_end_handshape_annotations//test_auto_move//signs_mov_separ_signers/Liz_1139.mov" TargetMode="External"/><Relationship Id="rId10403" Type="http://schemas.openxmlformats.org/officeDocument/2006/relationships/hyperlink" Target="http://csr.bu.edu/ftp/asl/asllvd/demos/verify_start_end_handshape_annotations//test_auto_move//signs_mov_separ_signers/Tyler_1139.mov" TargetMode="External"/><Relationship Id="rId10404" Type="http://schemas.openxmlformats.org/officeDocument/2006/relationships/hyperlink" Target="http://secrets.rutgers.edu:8080/data/asl-ftp/asllvd/demos/verify_start_end_handshape_annotations//test_auto_move//signs_mov_separ_signers/Tyler_1139.mov" TargetMode="External"/><Relationship Id="rId10405" Type="http://schemas.openxmlformats.org/officeDocument/2006/relationships/hyperlink" Target="http://csr.bu.edu/ftp/asl/asllvd/demos/verify_start_end_handshape_annotations//test_auto_move//signs_mov/1139.mov" TargetMode="External"/><Relationship Id="rId10406" Type="http://schemas.openxmlformats.org/officeDocument/2006/relationships/hyperlink" Target="http://csr.bu.edu/ftp/asl/asllvd/demos/verify_start_end_handshape_annotations//test_auto_move//signs_mov_separ_signers/Naomi_1139.mov" TargetMode="External"/><Relationship Id="rId10407" Type="http://schemas.openxmlformats.org/officeDocument/2006/relationships/hyperlink" Target="http://secrets.rutgers.edu:8080/data/asl-ftp/asllvd/demos/verify_start_end_handshape_annotations//test_auto_move//signs_mov/1139.mov" TargetMode="External"/><Relationship Id="rId10408" Type="http://schemas.openxmlformats.org/officeDocument/2006/relationships/hyperlink" Target="http://secrets.rutgers.edu:8080/data/asl-ftp/asllvd/demos/verify_start_end_handshape_annotations//test_auto_move//signs_mov_separ_signers/Naomi_1139.mov" TargetMode="External"/><Relationship Id="rId10409" Type="http://schemas.openxmlformats.org/officeDocument/2006/relationships/hyperlink" Target="http://csr.bu.edu/ftp/asl/asllvd/demos/verify_start_end_handshape_annotations//test_auto_move//signs_mov_separ_signers/Brady_1139.mov" TargetMode="External"/><Relationship Id="rId10410" Type="http://schemas.openxmlformats.org/officeDocument/2006/relationships/hyperlink" Target="http://secrets.rutgers.edu:8080/data/asl-ftp/asllvd/demos/verify_start_end_handshape_annotations//test_auto_move//signs_mov_separ_signers/Brady_1139.mov" TargetMode="External"/><Relationship Id="rId10411" Type="http://schemas.openxmlformats.org/officeDocument/2006/relationships/hyperlink" Target="http://csr.bu.edu/ftp/asl/asllvd/demos/verify_start_end_handshape_annotations//test_auto_move//signs_mov_separ_signers/Lana_1139.mov" TargetMode="External"/><Relationship Id="rId10412" Type="http://schemas.openxmlformats.org/officeDocument/2006/relationships/hyperlink" Target="http://secrets.rutgers.edu:8080/data/asl-ftp/asllvd/demos/verify_start_end_handshape_annotations//test_auto_move//signs_mov_separ_signers/Lana_1139.mov" TargetMode="External"/><Relationship Id="rId10413" Type="http://schemas.openxmlformats.org/officeDocument/2006/relationships/hyperlink" Target="http://csr.bu.edu/ftp/asl/asllvd/demos/verify_start_end_handshape_annotations//test_auto_move//signs_mov_separ_signers/Dana_1139.mov" TargetMode="External"/><Relationship Id="rId10414" Type="http://schemas.openxmlformats.org/officeDocument/2006/relationships/hyperlink" Target="http://secrets.rutgers.edu:8080/data/asl-ftp/asllvd/demos/verify_start_end_handshape_annotations//test_auto_move//signs_mov_separ_signers/Dana_1139.mov" TargetMode="External"/><Relationship Id="rId10415" Type="http://schemas.openxmlformats.org/officeDocument/2006/relationships/hyperlink" Target="http://csr.bu.edu/ftp/asl/asllvd/demos/verify_start_end_handshape_annotations//test_auto_move//signs_mov_separ_signers/Liz_1141.mov" TargetMode="External"/><Relationship Id="rId10416" Type="http://schemas.openxmlformats.org/officeDocument/2006/relationships/hyperlink" Target="http://secrets.rutgers.edu:8080/data/asl-ftp/asllvd/demos/verify_start_end_handshape_annotations//test_auto_move//signs_mov_separ_signers/Liz_1141.mov" TargetMode="External"/><Relationship Id="rId10417" Type="http://schemas.openxmlformats.org/officeDocument/2006/relationships/hyperlink" Target="http://csr.bu.edu/ftp/asl/asllvd/demos/verify_start_end_handshape_annotations//test_auto_move//signs_mov/1141.mov" TargetMode="External"/><Relationship Id="rId10418" Type="http://schemas.openxmlformats.org/officeDocument/2006/relationships/hyperlink" Target="http://csr.bu.edu/ftp/asl/asllvd/demos/verify_start_end_handshape_annotations//test_auto_move//signs_mov_separ_signers/Tyler_1141.mov" TargetMode="External"/><Relationship Id="rId10419" Type="http://schemas.openxmlformats.org/officeDocument/2006/relationships/hyperlink" Target="http://secrets.rutgers.edu:8080/data/asl-ftp/asllvd/demos/verify_start_end_handshape_annotations//test_auto_move//signs_mov/1141.mov" TargetMode="External"/><Relationship Id="rId10420" Type="http://schemas.openxmlformats.org/officeDocument/2006/relationships/hyperlink" Target="http://secrets.rutgers.edu:8080/data/asl-ftp/asllvd/demos/verify_start_end_handshape_annotations//test_auto_move//signs_mov_separ_signers/Tyler_1141.mov" TargetMode="External"/><Relationship Id="rId10421" Type="http://schemas.openxmlformats.org/officeDocument/2006/relationships/hyperlink" Target="http://csr.bu.edu/ftp/asl/asllvd/demos/verify_start_end_handshape_annotations//test_auto_move//signs_mov_separ_signers/Naomi_1141.mov" TargetMode="External"/><Relationship Id="rId10422" Type="http://schemas.openxmlformats.org/officeDocument/2006/relationships/hyperlink" Target="http://secrets.rutgers.edu:8080/data/asl-ftp/asllvd/demos/verify_start_end_handshape_annotations//test_auto_move//signs_mov_separ_signers/Naomi_1141.mov" TargetMode="External"/><Relationship Id="rId10423" Type="http://schemas.openxmlformats.org/officeDocument/2006/relationships/hyperlink" Target="http://csr.bu.edu/ftp/asl/asllvd/demos/verify_start_end_handshape_annotations//test_auto_move//signs_mov_separ_signers/Brady_1141.mov" TargetMode="External"/><Relationship Id="rId10424" Type="http://schemas.openxmlformats.org/officeDocument/2006/relationships/hyperlink" Target="http://secrets.rutgers.edu:8080/data/asl-ftp/asllvd/demos/verify_start_end_handshape_annotations//test_auto_move//signs_mov_separ_signers/Brady_1141.mov" TargetMode="External"/><Relationship Id="rId10425" Type="http://schemas.openxmlformats.org/officeDocument/2006/relationships/hyperlink" Target="http://csr.bu.edu/ftp/asl/asllvd/demos/verify_start_end_handshape_annotations//test_auto_move//signs_mov_separ_signers/Liz_1142.mov" TargetMode="External"/><Relationship Id="rId10426" Type="http://schemas.openxmlformats.org/officeDocument/2006/relationships/hyperlink" Target="http://secrets.rutgers.edu:8080/data/asl-ftp/asllvd/demos/verify_start_end_handshape_annotations//test_auto_move//signs_mov_separ_signers/Liz_1142.mov" TargetMode="External"/><Relationship Id="rId10427" Type="http://schemas.openxmlformats.org/officeDocument/2006/relationships/hyperlink" Target="http://csr.bu.edu/ftp/asl/asllvd/demos/verify_start_end_handshape_annotations//test_auto_move//signs_mov/1142.mov" TargetMode="External"/><Relationship Id="rId10428" Type="http://schemas.openxmlformats.org/officeDocument/2006/relationships/hyperlink" Target="http://csr.bu.edu/ftp/asl/asllvd/demos/verify_start_end_handshape_annotations//test_auto_move//signs_mov_separ_signers/Tyler_1142.mov" TargetMode="External"/><Relationship Id="rId10429" Type="http://schemas.openxmlformats.org/officeDocument/2006/relationships/hyperlink" Target="http://secrets.rutgers.edu:8080/data/asl-ftp/asllvd/demos/verify_start_end_handshape_annotations//test_auto_move//signs_mov/1142.mov" TargetMode="External"/><Relationship Id="rId10430" Type="http://schemas.openxmlformats.org/officeDocument/2006/relationships/hyperlink" Target="http://secrets.rutgers.edu:8080/data/asl-ftp/asllvd/demos/verify_start_end_handshape_annotations//test_auto_move//signs_mov_separ_signers/Tyler_1142.mov" TargetMode="External"/><Relationship Id="rId10431" Type="http://schemas.openxmlformats.org/officeDocument/2006/relationships/hyperlink" Target="http://csr.bu.edu/ftp/asl/asllvd/demos/verify_start_end_handshape_annotations//test_auto_move//signs_mov_separ_signers/Naomi_1142.mov" TargetMode="External"/><Relationship Id="rId10432" Type="http://schemas.openxmlformats.org/officeDocument/2006/relationships/hyperlink" Target="http://secrets.rutgers.edu:8080/data/asl-ftp/asllvd/demos/verify_start_end_handshape_annotations//test_auto_move//signs_mov_separ_signers/Naomi_1142.mov" TargetMode="External"/><Relationship Id="rId10433" Type="http://schemas.openxmlformats.org/officeDocument/2006/relationships/hyperlink" Target="http://csr.bu.edu/ftp/asl/asllvd/demos/verify_start_end_handshape_annotations//test_auto_move//signs_mov_separ_signers/Brady_1142.mov" TargetMode="External"/><Relationship Id="rId10434" Type="http://schemas.openxmlformats.org/officeDocument/2006/relationships/hyperlink" Target="http://secrets.rutgers.edu:8080/data/asl-ftp/asllvd/demos/verify_start_end_handshape_annotations//test_auto_move//signs_mov_separ_signers/Brady_1142.mov" TargetMode="External"/><Relationship Id="rId10435" Type="http://schemas.openxmlformats.org/officeDocument/2006/relationships/hyperlink" Target="http://csr.bu.edu/ftp/asl/asllvd/demos/verify_start_end_handshape_annotations//test_auto_move//signs_mov_separ_signers/Liz_15146.mov" TargetMode="External"/><Relationship Id="rId10436" Type="http://schemas.openxmlformats.org/officeDocument/2006/relationships/hyperlink" Target="http://secrets.rutgers.edu:8080/data/asl-ftp/asllvd/demos/verify_start_end_handshape_annotations//test_auto_move//signs_mov_separ_signers/Liz_15146.mov" TargetMode="External"/><Relationship Id="rId10437" Type="http://schemas.openxmlformats.org/officeDocument/2006/relationships/hyperlink" Target="http://csr.bu.edu/ftp/asl/asllvd/demos/verify_start_end_handshape_annotations//test_auto_move//signs_mov/15146.mov" TargetMode="External"/><Relationship Id="rId10438" Type="http://schemas.openxmlformats.org/officeDocument/2006/relationships/hyperlink" Target="http://csr.bu.edu/ftp/asl/asllvd/demos/verify_start_end_handshape_annotations//test_auto_move//signs_mov_separ_signers/Tyler_15146.mov" TargetMode="External"/><Relationship Id="rId10439" Type="http://schemas.openxmlformats.org/officeDocument/2006/relationships/hyperlink" Target="http://secrets.rutgers.edu:8080/data/asl-ftp/asllvd/demos/verify_start_end_handshape_annotations//test_auto_move//signs_mov/15146.mov" TargetMode="External"/><Relationship Id="rId10440" Type="http://schemas.openxmlformats.org/officeDocument/2006/relationships/hyperlink" Target="http://secrets.rutgers.edu:8080/data/asl-ftp/asllvd/demos/verify_start_end_handshape_annotations//test_auto_move//signs_mov_separ_signers/Tyler_15146.mov" TargetMode="External"/><Relationship Id="rId10441" Type="http://schemas.openxmlformats.org/officeDocument/2006/relationships/hyperlink" Target="http://csr.bu.edu/ftp/asl/asllvd/demos/verify_start_end_handshape_annotations//test_auto_move//signs_mov_separ_signers/Naomi_15146.mov" TargetMode="External"/><Relationship Id="rId10442" Type="http://schemas.openxmlformats.org/officeDocument/2006/relationships/hyperlink" Target="http://secrets.rutgers.edu:8080/data/asl-ftp/asllvd/demos/verify_start_end_handshape_annotations//test_auto_move//signs_mov_separ_signers/Naomi_15146.mov" TargetMode="External"/><Relationship Id="rId10443" Type="http://schemas.openxmlformats.org/officeDocument/2006/relationships/hyperlink" Target="http://csr.bu.edu/ftp/asl/asllvd/demos/verify_start_end_handshape_annotations//test_auto_move//signs_mov_separ_signers/Brady_15146.mov" TargetMode="External"/><Relationship Id="rId10444" Type="http://schemas.openxmlformats.org/officeDocument/2006/relationships/hyperlink" Target="http://secrets.rutgers.edu:8080/data/asl-ftp/asllvd/demos/verify_start_end_handshape_annotations//test_auto_move//signs_mov_separ_signers/Brady_15146.mov" TargetMode="External"/><Relationship Id="rId10445" Type="http://schemas.openxmlformats.org/officeDocument/2006/relationships/hyperlink" Target="http://csr.bu.edu/ftp/asl/asllvd/demos/verify_start_end_handshape_annotations//test_auto_move//signs_mov_separ_signers/Liz_1143.mov" TargetMode="External"/><Relationship Id="rId10446" Type="http://schemas.openxmlformats.org/officeDocument/2006/relationships/hyperlink" Target="http://secrets.rutgers.edu:8080/data/asl-ftp/asllvd/demos/verify_start_end_handshape_annotations//test_auto_move//signs_mov_separ_signers/Liz_1143.mov" TargetMode="External"/><Relationship Id="rId10447" Type="http://schemas.openxmlformats.org/officeDocument/2006/relationships/hyperlink" Target="http://csr.bu.edu/ftp/asl/asllvd/demos/verify_start_end_handshape_annotations//test_auto_move//signs_mov_separ_signers/Tyler_1143.mov" TargetMode="External"/><Relationship Id="rId10448" Type="http://schemas.openxmlformats.org/officeDocument/2006/relationships/hyperlink" Target="http://secrets.rutgers.edu:8080/data/asl-ftp/asllvd/demos/verify_start_end_handshape_annotations//test_auto_move//signs_mov_separ_signers/Tyler_1143.mov" TargetMode="External"/><Relationship Id="rId10449" Type="http://schemas.openxmlformats.org/officeDocument/2006/relationships/hyperlink" Target="http://csr.bu.edu/ftp/asl/asllvd/demos/verify_start_end_handshape_annotations//test_auto_move//signs_mov/1143.mov" TargetMode="External"/><Relationship Id="rId10450" Type="http://schemas.openxmlformats.org/officeDocument/2006/relationships/hyperlink" Target="http://csr.bu.edu/ftp/asl/asllvd/demos/verify_start_end_handshape_annotations//test_auto_move//signs_mov_separ_signers/Naomi_1143.mov" TargetMode="External"/><Relationship Id="rId10451" Type="http://schemas.openxmlformats.org/officeDocument/2006/relationships/hyperlink" Target="http://secrets.rutgers.edu:8080/data/asl-ftp/asllvd/demos/verify_start_end_handshape_annotations//test_auto_move//signs_mov/1143.mov" TargetMode="External"/><Relationship Id="rId10452" Type="http://schemas.openxmlformats.org/officeDocument/2006/relationships/hyperlink" Target="http://secrets.rutgers.edu:8080/data/asl-ftp/asllvd/demos/verify_start_end_handshape_annotations//test_auto_move//signs_mov_separ_signers/Naomi_1143.mov" TargetMode="External"/><Relationship Id="rId10453" Type="http://schemas.openxmlformats.org/officeDocument/2006/relationships/hyperlink" Target="http://csr.bu.edu/ftp/asl/asllvd/demos/verify_start_end_handshape_annotations//test_auto_move//signs_mov_separ_signers/Brady_1143.mov" TargetMode="External"/><Relationship Id="rId10454" Type="http://schemas.openxmlformats.org/officeDocument/2006/relationships/hyperlink" Target="http://secrets.rutgers.edu:8080/data/asl-ftp/asllvd/demos/verify_start_end_handshape_annotations//test_auto_move//signs_mov_separ_signers/Brady_1143.mov" TargetMode="External"/><Relationship Id="rId10455" Type="http://schemas.openxmlformats.org/officeDocument/2006/relationships/hyperlink" Target="http://csr.bu.edu/ftp/asl/asllvd/demos/verify_start_end_handshape_annotations//test_auto_move//signs_mov_separ_signers/Lana_1143.mov" TargetMode="External"/><Relationship Id="rId10456" Type="http://schemas.openxmlformats.org/officeDocument/2006/relationships/hyperlink" Target="http://secrets.rutgers.edu:8080/data/asl-ftp/asllvd/demos/verify_start_end_handshape_annotations//test_auto_move//signs_mov_separ_signers/Lana_1143.mov" TargetMode="External"/><Relationship Id="rId10457" Type="http://schemas.openxmlformats.org/officeDocument/2006/relationships/hyperlink" Target="http://csr.bu.edu/ftp/asl/asllvd/demos/verify_start_end_handshape_annotations//test_auto_move//signs_mov_separ_signers/Dana_1143.mov" TargetMode="External"/><Relationship Id="rId10458" Type="http://schemas.openxmlformats.org/officeDocument/2006/relationships/hyperlink" Target="http://secrets.rutgers.edu:8080/data/asl-ftp/asllvd/demos/verify_start_end_handshape_annotations//test_auto_move//signs_mov_separ_signers/Dana_1143.mov" TargetMode="External"/><Relationship Id="rId10459" Type="http://schemas.openxmlformats.org/officeDocument/2006/relationships/hyperlink" Target="http://csr.bu.edu/ftp/asl/asllvd/demos/verify_start_end_handshape_annotations//test_auto_move//signs_mov/16030.mov" TargetMode="External"/><Relationship Id="rId10460" Type="http://schemas.openxmlformats.org/officeDocument/2006/relationships/hyperlink" Target="http://csr.bu.edu/ftp/asl/asllvd/demos/verify_start_end_handshape_annotations//test_auto_move//signs_mov_separ_signers/Brady_16030.mov" TargetMode="External"/><Relationship Id="rId10461" Type="http://schemas.openxmlformats.org/officeDocument/2006/relationships/hyperlink" Target="http://secrets.rutgers.edu:8080/data/asl-ftp/asllvd/demos/verify_start_end_handshape_annotations//test_auto_move//signs_mov/16030.mov" TargetMode="External"/><Relationship Id="rId10462" Type="http://schemas.openxmlformats.org/officeDocument/2006/relationships/hyperlink" Target="http://secrets.rutgers.edu:8080/data/asl-ftp/asllvd/demos/verify_start_end_handshape_annotations//test_auto_move//signs_mov_separ_signers/Brady_16030.mov" TargetMode="External"/><Relationship Id="rId10463" Type="http://schemas.openxmlformats.org/officeDocument/2006/relationships/hyperlink" Target="http://csr.bu.edu/ftp/asl/asllvd/demos/verify_start_end_handshape_annotations//test_auto_move//signs_mov/16038.mov" TargetMode="External"/><Relationship Id="rId10464" Type="http://schemas.openxmlformats.org/officeDocument/2006/relationships/hyperlink" Target="http://csr.bu.edu/ftp/asl/asllvd/demos/verify_start_end_handshape_annotations//test_auto_move//signs_mov_separ_signers/Liz_16038.mov" TargetMode="External"/><Relationship Id="rId10465" Type="http://schemas.openxmlformats.org/officeDocument/2006/relationships/hyperlink" Target="http://secrets.rutgers.edu:8080/data/asl-ftp/asllvd/demos/verify_start_end_handshape_annotations//test_auto_move//signs_mov/16038.mov" TargetMode="External"/><Relationship Id="rId10466" Type="http://schemas.openxmlformats.org/officeDocument/2006/relationships/hyperlink" Target="http://secrets.rutgers.edu:8080/data/asl-ftp/asllvd/demos/verify_start_end_handshape_annotations//test_auto_move//signs_mov_separ_signers/Liz_16038.mov" TargetMode="External"/><Relationship Id="rId10467" Type="http://schemas.openxmlformats.org/officeDocument/2006/relationships/hyperlink" Target="http://csr.bu.edu/ftp/asl/asllvd/demos/verify_start_end_handshape_annotations//test_auto_move//signs_mov/16042.mov" TargetMode="External"/><Relationship Id="rId10468" Type="http://schemas.openxmlformats.org/officeDocument/2006/relationships/hyperlink" Target="http://csr.bu.edu/ftp/asl/asllvd/demos/verify_start_end_handshape_annotations//test_auto_move//signs_mov_separ_signers/Brady_16042.mov" TargetMode="External"/><Relationship Id="rId10469" Type="http://schemas.openxmlformats.org/officeDocument/2006/relationships/hyperlink" Target="http://secrets.rutgers.edu:8080/data/asl-ftp/asllvd/demos/verify_start_end_handshape_annotations//test_auto_move//signs_mov/16042.mov" TargetMode="External"/><Relationship Id="rId10470" Type="http://schemas.openxmlformats.org/officeDocument/2006/relationships/hyperlink" Target="http://secrets.rutgers.edu:8080/data/asl-ftp/asllvd/demos/verify_start_end_handshape_annotations//test_auto_move//signs_mov_separ_signers/Brady_16042.mov" TargetMode="External"/><Relationship Id="rId10471" Type="http://schemas.openxmlformats.org/officeDocument/2006/relationships/hyperlink" Target="http://csr.bu.edu/ftp/asl/asllvd/demos/verify_start_end_handshape_annotations//test_auto_move//signs_mov/16048.mov" TargetMode="External"/><Relationship Id="rId10472" Type="http://schemas.openxmlformats.org/officeDocument/2006/relationships/hyperlink" Target="http://csr.bu.edu/ftp/asl/asllvd/demos/verify_start_end_handshape_annotations//test_auto_move//signs_mov_separ_signers/Liz_16048.mov" TargetMode="External"/><Relationship Id="rId10473" Type="http://schemas.openxmlformats.org/officeDocument/2006/relationships/hyperlink" Target="http://secrets.rutgers.edu:8080/data/asl-ftp/asllvd/demos/verify_start_end_handshape_annotations//test_auto_move//signs_mov/16048.mov" TargetMode="External"/><Relationship Id="rId10474" Type="http://schemas.openxmlformats.org/officeDocument/2006/relationships/hyperlink" Target="http://secrets.rutgers.edu:8080/data/asl-ftp/asllvd/demos/verify_start_end_handshape_annotations//test_auto_move//signs_mov_separ_signers/Liz_16048.mov" TargetMode="External"/><Relationship Id="rId10475" Type="http://schemas.openxmlformats.org/officeDocument/2006/relationships/hyperlink" Target="http://csr.bu.edu/ftp/asl/asllvd/demos/verify_start_end_handshape_annotations//test_auto_move//signs_mov_separ_signers/Brady_16048.mov" TargetMode="External"/><Relationship Id="rId10476" Type="http://schemas.openxmlformats.org/officeDocument/2006/relationships/hyperlink" Target="http://secrets.rutgers.edu:8080/data/asl-ftp/asllvd/demos/verify_start_end_handshape_annotations//test_auto_move//signs_mov_separ_signers/Brady_16048.mov" TargetMode="External"/><Relationship Id="rId10477" Type="http://schemas.openxmlformats.org/officeDocument/2006/relationships/hyperlink" Target="http://csr.bu.edu/ftp/asl/asllvd/demos/verify_start_end_handshape_annotations//test_auto_move//signs_mov_separ_signers/Liz_16135.mov" TargetMode="External"/><Relationship Id="rId10478" Type="http://schemas.openxmlformats.org/officeDocument/2006/relationships/hyperlink" Target="http://secrets.rutgers.edu:8080/data/asl-ftp/asllvd/demos/verify_start_end_handshape_annotations//test_auto_move//signs_mov_separ_signers/Liz_16135.mov" TargetMode="External"/><Relationship Id="rId10479" Type="http://schemas.openxmlformats.org/officeDocument/2006/relationships/hyperlink" Target="http://csr.bu.edu/ftp/asl/asllvd/demos/verify_start_end_handshape_annotations//test_auto_move//signs_mov/16135.mov" TargetMode="External"/><Relationship Id="rId10480" Type="http://schemas.openxmlformats.org/officeDocument/2006/relationships/hyperlink" Target="http://csr.bu.edu/ftp/asl/asllvd/demos/verify_start_end_handshape_annotations//test_auto_move//signs_mov_separ_signers/Tyler_16135.mov" TargetMode="External"/><Relationship Id="rId10481" Type="http://schemas.openxmlformats.org/officeDocument/2006/relationships/hyperlink" Target="http://secrets.rutgers.edu:8080/data/asl-ftp/asllvd/demos/verify_start_end_handshape_annotations//test_auto_move//signs_mov/16135.mov" TargetMode="External"/><Relationship Id="rId10482" Type="http://schemas.openxmlformats.org/officeDocument/2006/relationships/hyperlink" Target="http://secrets.rutgers.edu:8080/data/asl-ftp/asllvd/demos/verify_start_end_handshape_annotations//test_auto_move//signs_mov_separ_signers/Tyler_16135.mov" TargetMode="External"/><Relationship Id="rId10483" Type="http://schemas.openxmlformats.org/officeDocument/2006/relationships/hyperlink" Target="http://csr.bu.edu/ftp/asl/asllvd/demos/verify_start_end_handshape_annotations//test_auto_move//signs_mov_separ_signers/Naomi_16135.mov" TargetMode="External"/><Relationship Id="rId10484" Type="http://schemas.openxmlformats.org/officeDocument/2006/relationships/hyperlink" Target="http://secrets.rutgers.edu:8080/data/asl-ftp/asllvd/demos/verify_start_end_handshape_annotations//test_auto_move//signs_mov_separ_signers/Naomi_16135.mov" TargetMode="External"/><Relationship Id="rId10485" Type="http://schemas.openxmlformats.org/officeDocument/2006/relationships/hyperlink" Target="http://csr.bu.edu/ftp/asl/asllvd/demos/verify_start_end_handshape_annotations//test_auto_move//signs_mov_separ_signers/Brady_16135.mov" TargetMode="External"/><Relationship Id="rId10486" Type="http://schemas.openxmlformats.org/officeDocument/2006/relationships/hyperlink" Target="http://secrets.rutgers.edu:8080/data/asl-ftp/asllvd/demos/verify_start_end_handshape_annotations//test_auto_move//signs_mov_separ_signers/Brady_16135.mov" TargetMode="External"/><Relationship Id="rId10487" Type="http://schemas.openxmlformats.org/officeDocument/2006/relationships/hyperlink" Target="http://csr.bu.edu/ftp/asl/asllvd/demos/verify_start_end_handshape_annotations//test_auto_move//signs_mov_separ_signers/Liz_16138.mov" TargetMode="External"/><Relationship Id="rId10488" Type="http://schemas.openxmlformats.org/officeDocument/2006/relationships/hyperlink" Target="http://secrets.rutgers.edu:8080/data/asl-ftp/asllvd/demos/verify_start_end_handshape_annotations//test_auto_move//signs_mov_separ_signers/Liz_16138.mov" TargetMode="External"/><Relationship Id="rId10489" Type="http://schemas.openxmlformats.org/officeDocument/2006/relationships/hyperlink" Target="http://csr.bu.edu/ftp/asl/asllvd/demos/verify_start_end_handshape_annotations//test_auto_move//signs_mov_separ_signers/Liz_16139.mov" TargetMode="External"/><Relationship Id="rId10490" Type="http://schemas.openxmlformats.org/officeDocument/2006/relationships/hyperlink" Target="http://secrets.rutgers.edu:8080/data/asl-ftp/asllvd/demos/verify_start_end_handshape_annotations//test_auto_move//signs_mov_separ_signers/Liz_16139.mov" TargetMode="External"/><Relationship Id="rId10491" Type="http://schemas.openxmlformats.org/officeDocument/2006/relationships/hyperlink" Target="http://csr.bu.edu/ftp/asl/asllvd/demos/verify_start_end_handshape_annotations//test_auto_move//signs_mov_separ_signers/Liz_16148.mov" TargetMode="External"/><Relationship Id="rId10492" Type="http://schemas.openxmlformats.org/officeDocument/2006/relationships/hyperlink" Target="http://secrets.rutgers.edu:8080/data/asl-ftp/asllvd/demos/verify_start_end_handshape_annotations//test_auto_move//signs_mov_separ_signers/Liz_16148.mov" TargetMode="External"/><Relationship Id="rId10493" Type="http://schemas.openxmlformats.org/officeDocument/2006/relationships/hyperlink" Target="http://csr.bu.edu/ftp/asl/asllvd/demos/verify_start_end_handshape_annotations//test_auto_move//signs_mov/16138_16139_16148_merged.mov" TargetMode="External"/><Relationship Id="rId10494" Type="http://schemas.openxmlformats.org/officeDocument/2006/relationships/hyperlink" Target="http://csr.bu.edu/ftp/asl/asllvd/demos/verify_start_end_handshape_annotations//test_auto_move//signs_mov_separ_signers/Tyler_16138.mov" TargetMode="External"/><Relationship Id="rId10495" Type="http://schemas.openxmlformats.org/officeDocument/2006/relationships/hyperlink" Target="http://secrets.rutgers.edu:8080/data/asl-ftp/asllvd/demos/verify_start_end_handshape_annotations//test_auto_move//signs_mov/16138_16139_16148_merged.mov" TargetMode="External"/><Relationship Id="rId10496" Type="http://schemas.openxmlformats.org/officeDocument/2006/relationships/hyperlink" Target="http://secrets.rutgers.edu:8080/data/asl-ftp/asllvd/demos/verify_start_end_handshape_annotations//test_auto_move//signs_mov_separ_signers/Tyler_16138.mov" TargetMode="External"/><Relationship Id="rId10497" Type="http://schemas.openxmlformats.org/officeDocument/2006/relationships/hyperlink" Target="http://csr.bu.edu/ftp/asl/asllvd/demos/verify_start_end_handshape_annotations//test_auto_move//signs_mov_separ_signers/Naomi_16138.mov" TargetMode="External"/><Relationship Id="rId10498" Type="http://schemas.openxmlformats.org/officeDocument/2006/relationships/hyperlink" Target="http://secrets.rutgers.edu:8080/data/asl-ftp/asllvd/demos/verify_start_end_handshape_annotations//test_auto_move//signs_mov_separ_signers/Naomi_16138.mov" TargetMode="External"/><Relationship Id="rId10499" Type="http://schemas.openxmlformats.org/officeDocument/2006/relationships/hyperlink" Target="http://csr.bu.edu/ftp/asl/asllvd/demos/verify_start_end_handshape_annotations//test_auto_move//signs_mov_separ_signers/Brady_16138.mov" TargetMode="External"/><Relationship Id="rId10500" Type="http://schemas.openxmlformats.org/officeDocument/2006/relationships/hyperlink" Target="http://secrets.rutgers.edu:8080/data/asl-ftp/asllvd/demos/verify_start_end_handshape_annotations//test_auto_move//signs_mov_separ_signers/Brady_16138.mov" TargetMode="External"/><Relationship Id="rId10501" Type="http://schemas.openxmlformats.org/officeDocument/2006/relationships/hyperlink" Target="http://csr.bu.edu/ftp/asl/asllvd/demos/verify_start_end_handshape_annotations//test_auto_move//signs_mov_separ_signers/Brady_16139.mov" TargetMode="External"/><Relationship Id="rId10502" Type="http://schemas.openxmlformats.org/officeDocument/2006/relationships/hyperlink" Target="http://secrets.rutgers.edu:8080/data/asl-ftp/asllvd/demos/verify_start_end_handshape_annotations//test_auto_move//signs_mov_separ_signers/Brady_16139.mov" TargetMode="External"/><Relationship Id="rId10503" Type="http://schemas.openxmlformats.org/officeDocument/2006/relationships/hyperlink" Target="http://csr.bu.edu/ftp/asl/asllvd/demos/verify_start_end_handshape_annotations//test_auto_move//signs_mov_separ_signers/Brady_16148.mov" TargetMode="External"/><Relationship Id="rId10504" Type="http://schemas.openxmlformats.org/officeDocument/2006/relationships/hyperlink" Target="http://secrets.rutgers.edu:8080/data/asl-ftp/asllvd/demos/verify_start_end_handshape_annotations//test_auto_move//signs_mov_separ_signers/Brady_16148.mov" TargetMode="External"/><Relationship Id="rId10505" Type="http://schemas.openxmlformats.org/officeDocument/2006/relationships/hyperlink" Target="http://csr.bu.edu/ftp/asl/asllvd/demos/verify_start_end_handshape_annotations//test_auto_move//signs_mov/16500.mov" TargetMode="External"/><Relationship Id="rId10506" Type="http://schemas.openxmlformats.org/officeDocument/2006/relationships/hyperlink" Target="http://csr.bu.edu/ftp/asl/asllvd/demos/verify_start_end_handshape_annotations//test_auto_move//signs_mov_separ_signers/Liz_16500.mov" TargetMode="External"/><Relationship Id="rId10507" Type="http://schemas.openxmlformats.org/officeDocument/2006/relationships/hyperlink" Target="http://secrets.rutgers.edu:8080/data/asl-ftp/asllvd/demos/verify_start_end_handshape_annotations//test_auto_move//signs_mov/16500.mov" TargetMode="External"/><Relationship Id="rId10508" Type="http://schemas.openxmlformats.org/officeDocument/2006/relationships/hyperlink" Target="http://secrets.rutgers.edu:8080/data/asl-ftp/asllvd/demos/verify_start_end_handshape_annotations//test_auto_move//signs_mov_separ_signers/Liz_16500.mov" TargetMode="External"/><Relationship Id="rId10509" Type="http://schemas.openxmlformats.org/officeDocument/2006/relationships/hyperlink" Target="http://csr.bu.edu/ftp/asl/asllvd/demos/verify_start_end_handshape_annotations//test_auto_move//signs_mov_separ_signers/Tyler_1144.mov" TargetMode="External"/><Relationship Id="rId10510" Type="http://schemas.openxmlformats.org/officeDocument/2006/relationships/hyperlink" Target="http://secrets.rutgers.edu:8080/data/asl-ftp/asllvd/demos/verify_start_end_handshape_annotations//test_auto_move//signs_mov_separ_signers/Tyler_1144.mov" TargetMode="External"/><Relationship Id="rId10511" Type="http://schemas.openxmlformats.org/officeDocument/2006/relationships/hyperlink" Target="http://csr.bu.edu/ftp/asl/asllvd/demos/verify_start_end_handshape_annotations//test_auto_move//signs_mov/1144_5073_merged.mov" TargetMode="External"/><Relationship Id="rId10512" Type="http://schemas.openxmlformats.org/officeDocument/2006/relationships/hyperlink" Target="http://csr.bu.edu/ftp/asl/asllvd/demos/verify_start_end_handshape_annotations//test_auto_move//signs_mov_separ_signers/Brady_1144.mov" TargetMode="External"/><Relationship Id="rId10513" Type="http://schemas.openxmlformats.org/officeDocument/2006/relationships/hyperlink" Target="http://secrets.rutgers.edu:8080/data/asl-ftp/asllvd/demos/verify_start_end_handshape_annotations//test_auto_move//signs_mov/1144_5073_merged.mov" TargetMode="External"/><Relationship Id="rId10514" Type="http://schemas.openxmlformats.org/officeDocument/2006/relationships/hyperlink" Target="http://secrets.rutgers.edu:8080/data/asl-ftp/asllvd/demos/verify_start_end_handshape_annotations//test_auto_move//signs_mov_separ_signers/Brady_1144.mov" TargetMode="External"/><Relationship Id="rId10515" Type="http://schemas.openxmlformats.org/officeDocument/2006/relationships/hyperlink" Target="http://csr.bu.edu/ftp/asl/asllvd/demos/verify_start_end_handshape_annotations//test_auto_move//signs_mov_separ_signers/Brady_5073.mov" TargetMode="External"/><Relationship Id="rId10516" Type="http://schemas.openxmlformats.org/officeDocument/2006/relationships/hyperlink" Target="http://secrets.rutgers.edu:8080/data/asl-ftp/asllvd/demos/verify_start_end_handshape_annotations//test_auto_move//signs_mov_separ_signers/Brady_5073.mov" TargetMode="External"/><Relationship Id="rId10517" Type="http://schemas.openxmlformats.org/officeDocument/2006/relationships/hyperlink" Target="http://csr.bu.edu/ftp/asl/asllvd/demos/verify_start_end_handshape_annotations//test_auto_move//signs_mov_separ_signers/Liz_3060.mov" TargetMode="External"/><Relationship Id="rId10518" Type="http://schemas.openxmlformats.org/officeDocument/2006/relationships/hyperlink" Target="http://secrets.rutgers.edu:8080/data/asl-ftp/asllvd/demos/verify_start_end_handshape_annotations//test_auto_move//signs_mov_separ_signers/Liz_3060.mov" TargetMode="External"/><Relationship Id="rId10519" Type="http://schemas.openxmlformats.org/officeDocument/2006/relationships/hyperlink" Target="http://csr.bu.edu/ftp/asl/asllvd/demos/verify_start_end_handshape_annotations//test_auto_move//signs_mov/3060.mov" TargetMode="External"/><Relationship Id="rId10520" Type="http://schemas.openxmlformats.org/officeDocument/2006/relationships/hyperlink" Target="http://csr.bu.edu/ftp/asl/asllvd/demos/verify_start_end_handshape_annotations//test_auto_move//signs_mov_separ_signers/Tyler_3060.mov" TargetMode="External"/><Relationship Id="rId10521" Type="http://schemas.openxmlformats.org/officeDocument/2006/relationships/hyperlink" Target="http://secrets.rutgers.edu:8080/data/asl-ftp/asllvd/demos/verify_start_end_handshape_annotations//test_auto_move//signs_mov/3060.mov" TargetMode="External"/><Relationship Id="rId10522" Type="http://schemas.openxmlformats.org/officeDocument/2006/relationships/hyperlink" Target="http://secrets.rutgers.edu:8080/data/asl-ftp/asllvd/demos/verify_start_end_handshape_annotations//test_auto_move//signs_mov_separ_signers/Tyler_3060.mov" TargetMode="External"/><Relationship Id="rId10523" Type="http://schemas.openxmlformats.org/officeDocument/2006/relationships/hyperlink" Target="http://csr.bu.edu/ftp/asl/asllvd/demos/verify_start_end_handshape_annotations//test_auto_move//signs_mov_separ_signers/Naomi_3060.mov" TargetMode="External"/><Relationship Id="rId10524" Type="http://schemas.openxmlformats.org/officeDocument/2006/relationships/hyperlink" Target="http://secrets.rutgers.edu:8080/data/asl-ftp/asllvd/demos/verify_start_end_handshape_annotations//test_auto_move//signs_mov_separ_signers/Naomi_3060.mov" TargetMode="External"/><Relationship Id="rId10525" Type="http://schemas.openxmlformats.org/officeDocument/2006/relationships/hyperlink" Target="http://csr.bu.edu/ftp/asl/asllvd/demos/verify_start_end_handshape_annotations//test_auto_move//signs_mov_separ_signers/Liz_1145.mov" TargetMode="External"/><Relationship Id="rId10526" Type="http://schemas.openxmlformats.org/officeDocument/2006/relationships/hyperlink" Target="http://secrets.rutgers.edu:8080/data/asl-ftp/asllvd/demos/verify_start_end_handshape_annotations//test_auto_move//signs_mov_separ_signers/Liz_1145.mov" TargetMode="External"/><Relationship Id="rId10527" Type="http://schemas.openxmlformats.org/officeDocument/2006/relationships/hyperlink" Target="http://csr.bu.edu/ftp/asl/asllvd/demos/verify_start_end_handshape_annotations//test_auto_move//signs_mov/1145.mov" TargetMode="External"/><Relationship Id="rId10528" Type="http://schemas.openxmlformats.org/officeDocument/2006/relationships/hyperlink" Target="http://csr.bu.edu/ftp/asl/asllvd/demos/verify_start_end_handshape_annotations//test_auto_move//signs_mov_separ_signers/Tyler_1145.mov" TargetMode="External"/><Relationship Id="rId10529" Type="http://schemas.openxmlformats.org/officeDocument/2006/relationships/hyperlink" Target="http://secrets.rutgers.edu:8080/data/asl-ftp/asllvd/demos/verify_start_end_handshape_annotations//test_auto_move//signs_mov/1145.mov" TargetMode="External"/><Relationship Id="rId10530" Type="http://schemas.openxmlformats.org/officeDocument/2006/relationships/hyperlink" Target="http://secrets.rutgers.edu:8080/data/asl-ftp/asllvd/demos/verify_start_end_handshape_annotations//test_auto_move//signs_mov_separ_signers/Tyler_1145.mov" TargetMode="External"/><Relationship Id="rId10531" Type="http://schemas.openxmlformats.org/officeDocument/2006/relationships/hyperlink" Target="http://csr.bu.edu/ftp/asl/asllvd/demos/verify_start_end_handshape_annotations//test_auto_move//signs_mov_separ_signers/Naomi_1145.mov" TargetMode="External"/><Relationship Id="rId10532" Type="http://schemas.openxmlformats.org/officeDocument/2006/relationships/hyperlink" Target="http://secrets.rutgers.edu:8080/data/asl-ftp/asllvd/demos/verify_start_end_handshape_annotations//test_auto_move//signs_mov_separ_signers/Naomi_1145.mov" TargetMode="External"/><Relationship Id="rId10533" Type="http://schemas.openxmlformats.org/officeDocument/2006/relationships/hyperlink" Target="http://csr.bu.edu/ftp/asl/asllvd/demos/verify_start_end_handshape_annotations//test_auto_move//signs_mov/5212.mov" TargetMode="External"/><Relationship Id="rId10534" Type="http://schemas.openxmlformats.org/officeDocument/2006/relationships/hyperlink" Target="http://csr.bu.edu/ftp/asl/asllvd/demos/verify_start_end_handshape_annotations//test_auto_move//signs_mov_separ_signers/Liz_5212.mov" TargetMode="External"/><Relationship Id="rId10535" Type="http://schemas.openxmlformats.org/officeDocument/2006/relationships/hyperlink" Target="http://secrets.rutgers.edu:8080/data/asl-ftp/asllvd/demos/verify_start_end_handshape_annotations//test_auto_move//signs_mov/5212.mov" TargetMode="External"/><Relationship Id="rId10536" Type="http://schemas.openxmlformats.org/officeDocument/2006/relationships/hyperlink" Target="http://secrets.rutgers.edu:8080/data/asl-ftp/asllvd/demos/verify_start_end_handshape_annotations//test_auto_move//signs_mov_separ_signers/Liz_5212.mov" TargetMode="External"/><Relationship Id="rId10537" Type="http://schemas.openxmlformats.org/officeDocument/2006/relationships/hyperlink" Target="http://csr.bu.edu/ftp/asl/asllvd/demos/verify_start_end_handshape_annotations//test_auto_move//signs_mov_separ_signers/Brady_5212.mov" TargetMode="External"/><Relationship Id="rId10538" Type="http://schemas.openxmlformats.org/officeDocument/2006/relationships/hyperlink" Target="http://secrets.rutgers.edu:8080/data/asl-ftp/asllvd/demos/verify_start_end_handshape_annotations//test_auto_move//signs_mov_separ_signers/Brady_5212.mov" TargetMode="External"/><Relationship Id="rId10539" Type="http://schemas.openxmlformats.org/officeDocument/2006/relationships/hyperlink" Target="http://csr.bu.edu/ftp/asl/asllvd/demos/verify_start_end_handshape_annotations//test_auto_move//signs_mov/5418.mov" TargetMode="External"/><Relationship Id="rId10540" Type="http://schemas.openxmlformats.org/officeDocument/2006/relationships/hyperlink" Target="http://csr.bu.edu/ftp/asl/asllvd/demos/verify_start_end_handshape_annotations//test_auto_move//signs_mov_separ_signers/Liz_5418.mov" TargetMode="External"/><Relationship Id="rId10541" Type="http://schemas.openxmlformats.org/officeDocument/2006/relationships/hyperlink" Target="http://secrets.rutgers.edu:8080/data/asl-ftp/asllvd/demos/verify_start_end_handshape_annotations//test_auto_move//signs_mov/5418.mov" TargetMode="External"/><Relationship Id="rId10542" Type="http://schemas.openxmlformats.org/officeDocument/2006/relationships/hyperlink" Target="http://secrets.rutgers.edu:8080/data/asl-ftp/asllvd/demos/verify_start_end_handshape_annotations//test_auto_move//signs_mov_separ_signers/Liz_5418.mov" TargetMode="External"/><Relationship Id="rId10543" Type="http://schemas.openxmlformats.org/officeDocument/2006/relationships/hyperlink" Target="http://csr.bu.edu/ftp/asl/asllvd/demos/verify_start_end_handshape_annotations//test_auto_move//signs_mov_separ_signers/Brady_5418.mov" TargetMode="External"/><Relationship Id="rId10544" Type="http://schemas.openxmlformats.org/officeDocument/2006/relationships/hyperlink" Target="http://secrets.rutgers.edu:8080/data/asl-ftp/asllvd/demos/verify_start_end_handshape_annotations//test_auto_move//signs_mov_separ_signers/Brady_5418.mov" TargetMode="External"/><Relationship Id="rId10545" Type="http://schemas.openxmlformats.org/officeDocument/2006/relationships/hyperlink" Target="http://csr.bu.edu/ftp/asl/asllvd/demos/verify_start_end_handshape_annotations//test_auto_move//signs_mov_separ_signers/Liz_5431.mov" TargetMode="External"/><Relationship Id="rId10546" Type="http://schemas.openxmlformats.org/officeDocument/2006/relationships/hyperlink" Target="http://secrets.rutgers.edu:8080/data/asl-ftp/asllvd/demos/verify_start_end_handshape_annotations//test_auto_move//signs_mov_separ_signers/Liz_5431.mov" TargetMode="External"/><Relationship Id="rId10547" Type="http://schemas.openxmlformats.org/officeDocument/2006/relationships/hyperlink" Target="http://csr.bu.edu/ftp/asl/asllvd/demos/verify_start_end_handshape_annotations//test_auto_move//signs_mov_separ_signers/Liz_5558.mov" TargetMode="External"/><Relationship Id="rId10548" Type="http://schemas.openxmlformats.org/officeDocument/2006/relationships/hyperlink" Target="http://secrets.rutgers.edu:8080/data/asl-ftp/asllvd/demos/verify_start_end_handshape_annotations//test_auto_move//signs_mov_separ_signers/Liz_5558.mov" TargetMode="External"/><Relationship Id="rId10549" Type="http://schemas.openxmlformats.org/officeDocument/2006/relationships/hyperlink" Target="http://csr.bu.edu/ftp/asl/asllvd/demos/verify_start_end_handshape_annotations//test_auto_move//signs_mov_separ_signers/Liz_5600.mov" TargetMode="External"/><Relationship Id="rId10550" Type="http://schemas.openxmlformats.org/officeDocument/2006/relationships/hyperlink" Target="http://secrets.rutgers.edu:8080/data/asl-ftp/asllvd/demos/verify_start_end_handshape_annotations//test_auto_move//signs_mov_separ_signers/Liz_5600.mov" TargetMode="External"/><Relationship Id="rId10551" Type="http://schemas.openxmlformats.org/officeDocument/2006/relationships/hyperlink" Target="http://csr.bu.edu/ftp/asl/asllvd/demos/verify_start_end_handshape_annotations//test_auto_move//signs_mov/5431_5558_5600_merged.mov" TargetMode="External"/><Relationship Id="rId10552" Type="http://schemas.openxmlformats.org/officeDocument/2006/relationships/hyperlink" Target="http://csr.bu.edu/ftp/asl/asllvd/demos/verify_start_end_handshape_annotations//test_auto_move//signs_mov_separ_signers/Tyler_5431.mov" TargetMode="External"/><Relationship Id="rId10553" Type="http://schemas.openxmlformats.org/officeDocument/2006/relationships/hyperlink" Target="http://secrets.rutgers.edu:8080/data/asl-ftp/asllvd/demos/verify_start_end_handshape_annotations//test_auto_move//signs_mov/5431_5558_5600_merged.mov" TargetMode="External"/><Relationship Id="rId10554" Type="http://schemas.openxmlformats.org/officeDocument/2006/relationships/hyperlink" Target="http://secrets.rutgers.edu:8080/data/asl-ftp/asllvd/demos/verify_start_end_handshape_annotations//test_auto_move//signs_mov_separ_signers/Tyler_5431.mov" TargetMode="External"/><Relationship Id="rId10555" Type="http://schemas.openxmlformats.org/officeDocument/2006/relationships/hyperlink" Target="http://csr.bu.edu/ftp/asl/asllvd/demos/verify_start_end_handshape_annotations//test_auto_move//signs_mov_separ_signers/Naomi_5431.mov" TargetMode="External"/><Relationship Id="rId10556" Type="http://schemas.openxmlformats.org/officeDocument/2006/relationships/hyperlink" Target="http://secrets.rutgers.edu:8080/data/asl-ftp/asllvd/demos/verify_start_end_handshape_annotations//test_auto_move//signs_mov_separ_signers/Naomi_5431.mov" TargetMode="External"/><Relationship Id="rId10557" Type="http://schemas.openxmlformats.org/officeDocument/2006/relationships/hyperlink" Target="http://csr.bu.edu/ftp/asl/asllvd/demos/verify_start_end_handshape_annotations//test_auto_move//signs_mov_separ_signers/Brady_5431.mov" TargetMode="External"/><Relationship Id="rId10558" Type="http://schemas.openxmlformats.org/officeDocument/2006/relationships/hyperlink" Target="http://secrets.rutgers.edu:8080/data/asl-ftp/asllvd/demos/verify_start_end_handshape_annotations//test_auto_move//signs_mov_separ_signers/Brady_5431.mov" TargetMode="External"/><Relationship Id="rId10559" Type="http://schemas.openxmlformats.org/officeDocument/2006/relationships/hyperlink" Target="http://csr.bu.edu/ftp/asl/asllvd/demos/verify_start_end_handshape_annotations//test_auto_move//signs_mov_separ_signers/Brady_5558.mov" TargetMode="External"/><Relationship Id="rId10560" Type="http://schemas.openxmlformats.org/officeDocument/2006/relationships/hyperlink" Target="http://secrets.rutgers.edu:8080/data/asl-ftp/asllvd/demos/verify_start_end_handshape_annotations//test_auto_move//signs_mov_separ_signers/Brady_5558.mov" TargetMode="External"/><Relationship Id="rId10561" Type="http://schemas.openxmlformats.org/officeDocument/2006/relationships/hyperlink" Target="http://csr.bu.edu/ftp/asl/asllvd/demos/verify_start_end_handshape_annotations//test_auto_move//signs_mov_separ_signers/Brady_5600.mov" TargetMode="External"/><Relationship Id="rId10562" Type="http://schemas.openxmlformats.org/officeDocument/2006/relationships/hyperlink" Target="http://secrets.rutgers.edu:8080/data/asl-ftp/asllvd/demos/verify_start_end_handshape_annotations//test_auto_move//signs_mov_separ_signers/Brady_5600.mov" TargetMode="External"/><Relationship Id="rId10563" Type="http://schemas.openxmlformats.org/officeDocument/2006/relationships/hyperlink" Target="http://csr.bu.edu/ftp/asl/asllvd/demos/verify_start_end_handshape_annotations//test_auto_move//signs_mov/5601.mov" TargetMode="External"/><Relationship Id="rId10564" Type="http://schemas.openxmlformats.org/officeDocument/2006/relationships/hyperlink" Target="http://csr.bu.edu/ftp/asl/asllvd/demos/verify_start_end_handshape_annotations//test_auto_move//signs_mov_separ_signers/Liz_5601.mov" TargetMode="External"/><Relationship Id="rId10565" Type="http://schemas.openxmlformats.org/officeDocument/2006/relationships/hyperlink" Target="http://secrets.rutgers.edu:8080/data/asl-ftp/asllvd/demos/verify_start_end_handshape_annotations//test_auto_move//signs_mov/5601.mov" TargetMode="External"/><Relationship Id="rId10566" Type="http://schemas.openxmlformats.org/officeDocument/2006/relationships/hyperlink" Target="http://secrets.rutgers.edu:8080/data/asl-ftp/asllvd/demos/verify_start_end_handshape_annotations//test_auto_move//signs_mov_separ_signers/Liz_5601.mov" TargetMode="External"/><Relationship Id="rId10567" Type="http://schemas.openxmlformats.org/officeDocument/2006/relationships/hyperlink" Target="http://csr.bu.edu/ftp/asl/asllvd/demos/verify_start_end_handshape_annotations//test_auto_move//signs_mov_separ_signers/Brady_5601.mov" TargetMode="External"/><Relationship Id="rId10568" Type="http://schemas.openxmlformats.org/officeDocument/2006/relationships/hyperlink" Target="http://secrets.rutgers.edu:8080/data/asl-ftp/asllvd/demos/verify_start_end_handshape_annotations//test_auto_move//signs_mov_separ_signers/Brady_5601.mov" TargetMode="External"/><Relationship Id="rId10569" Type="http://schemas.openxmlformats.org/officeDocument/2006/relationships/hyperlink" Target="http://csr.bu.edu/ftp/asl/asllvd/demos/verify_start_end_handshape_annotations//test_auto_move//signs_mov/5602.mov" TargetMode="External"/><Relationship Id="rId10570" Type="http://schemas.openxmlformats.org/officeDocument/2006/relationships/hyperlink" Target="http://csr.bu.edu/ftp/asl/asllvd/demos/verify_start_end_handshape_annotations//test_auto_move//signs_mov_separ_signers/Liz_5602.mov" TargetMode="External"/><Relationship Id="rId10571" Type="http://schemas.openxmlformats.org/officeDocument/2006/relationships/hyperlink" Target="http://secrets.rutgers.edu:8080/data/asl-ftp/asllvd/demos/verify_start_end_handshape_annotations//test_auto_move//signs_mov/5602.mov" TargetMode="External"/><Relationship Id="rId10572" Type="http://schemas.openxmlformats.org/officeDocument/2006/relationships/hyperlink" Target="http://secrets.rutgers.edu:8080/data/asl-ftp/asllvd/demos/verify_start_end_handshape_annotations//test_auto_move//signs_mov_separ_signers/Liz_5602.mov" TargetMode="External"/><Relationship Id="rId10573" Type="http://schemas.openxmlformats.org/officeDocument/2006/relationships/hyperlink" Target="http://csr.bu.edu/ftp/asl/asllvd/demos/verify_start_end_handshape_annotations//test_auto_move//signs_mov/5603.mov" TargetMode="External"/><Relationship Id="rId10574" Type="http://schemas.openxmlformats.org/officeDocument/2006/relationships/hyperlink" Target="http://csr.bu.edu/ftp/asl/asllvd/demos/verify_start_end_handshape_annotations//test_auto_move//signs_mov_separ_signers/Liz_5603.mov" TargetMode="External"/><Relationship Id="rId10575" Type="http://schemas.openxmlformats.org/officeDocument/2006/relationships/hyperlink" Target="http://secrets.rutgers.edu:8080/data/asl-ftp/asllvd/demos/verify_start_end_handshape_annotations//test_auto_move//signs_mov/5603.mov" TargetMode="External"/><Relationship Id="rId10576" Type="http://schemas.openxmlformats.org/officeDocument/2006/relationships/hyperlink" Target="http://secrets.rutgers.edu:8080/data/asl-ftp/asllvd/demos/verify_start_end_handshape_annotations//test_auto_move//signs_mov_separ_signers/Liz_5603.mov" TargetMode="External"/><Relationship Id="rId10577" Type="http://schemas.openxmlformats.org/officeDocument/2006/relationships/hyperlink" Target="http://csr.bu.edu/ftp/asl/asllvd/demos/verify_start_end_handshape_annotations//test_auto_move//signs_mov_separ_signers/Brady_5603.mov" TargetMode="External"/><Relationship Id="rId10578" Type="http://schemas.openxmlformats.org/officeDocument/2006/relationships/hyperlink" Target="http://secrets.rutgers.edu:8080/data/asl-ftp/asllvd/demos/verify_start_end_handshape_annotations//test_auto_move//signs_mov_separ_signers/Brady_5603.mov" TargetMode="External"/><Relationship Id="rId10579" Type="http://schemas.openxmlformats.org/officeDocument/2006/relationships/hyperlink" Target="http://csr.bu.edu/ftp/asl/asllvd/demos/verify_start_end_handshape_annotations//test_auto_move//signs_mov/5604.mov" TargetMode="External"/><Relationship Id="rId10580" Type="http://schemas.openxmlformats.org/officeDocument/2006/relationships/hyperlink" Target="http://csr.bu.edu/ftp/asl/asllvd/demos/verify_start_end_handshape_annotations//test_auto_move//signs_mov_separ_signers/Liz_5604.mov" TargetMode="External"/><Relationship Id="rId10581" Type="http://schemas.openxmlformats.org/officeDocument/2006/relationships/hyperlink" Target="http://secrets.rutgers.edu:8080/data/asl-ftp/asllvd/demos/verify_start_end_handshape_annotations//test_auto_move//signs_mov/5604.mov" TargetMode="External"/><Relationship Id="rId10582" Type="http://schemas.openxmlformats.org/officeDocument/2006/relationships/hyperlink" Target="http://secrets.rutgers.edu:8080/data/asl-ftp/asllvd/demos/verify_start_end_handshape_annotations//test_auto_move//signs_mov_separ_signers/Liz_5604.mov" TargetMode="External"/><Relationship Id="rId10583" Type="http://schemas.openxmlformats.org/officeDocument/2006/relationships/hyperlink" Target="http://csr.bu.edu/ftp/asl/asllvd/demos/verify_start_end_handshape_annotations//test_auto_move//signs_mov_separ_signers/Brady_5604.mov" TargetMode="External"/><Relationship Id="rId10584" Type="http://schemas.openxmlformats.org/officeDocument/2006/relationships/hyperlink" Target="http://secrets.rutgers.edu:8080/data/asl-ftp/asllvd/demos/verify_start_end_handshape_annotations//test_auto_move//signs_mov_separ_signers/Brady_5604.mov" TargetMode="External"/><Relationship Id="rId10585" Type="http://schemas.openxmlformats.org/officeDocument/2006/relationships/hyperlink" Target="http://csr.bu.edu/ftp/asl/asllvd/demos/verify_start_end_handshape_annotations//test_auto_move//signs_mov_separ_signers/Liz_5606.mov" TargetMode="External"/><Relationship Id="rId10586" Type="http://schemas.openxmlformats.org/officeDocument/2006/relationships/hyperlink" Target="http://secrets.rutgers.edu:8080/data/asl-ftp/asllvd/demos/verify_start_end_handshape_annotations//test_auto_move//signs_mov_separ_signers/Liz_5606.mov" TargetMode="External"/><Relationship Id="rId10587" Type="http://schemas.openxmlformats.org/officeDocument/2006/relationships/hyperlink" Target="http://csr.bu.edu/ftp/asl/asllvd/demos/verify_start_end_handshape_annotations//test_auto_move//signs_mov/5606_5607_merged.mov" TargetMode="External"/><Relationship Id="rId10588" Type="http://schemas.openxmlformats.org/officeDocument/2006/relationships/hyperlink" Target="http://csr.bu.edu/ftp/asl/asllvd/demos/verify_start_end_handshape_annotations//test_auto_move//signs_mov_separ_signers/Liz_5607.mov" TargetMode="External"/><Relationship Id="rId10589" Type="http://schemas.openxmlformats.org/officeDocument/2006/relationships/hyperlink" Target="http://secrets.rutgers.edu:8080/data/asl-ftp/asllvd/demos/verify_start_end_handshape_annotations//test_auto_move//signs_mov/5606_5607_merged.mov" TargetMode="External"/><Relationship Id="rId10590" Type="http://schemas.openxmlformats.org/officeDocument/2006/relationships/hyperlink" Target="http://secrets.rutgers.edu:8080/data/asl-ftp/asllvd/demos/verify_start_end_handshape_annotations//test_auto_move//signs_mov_separ_signers/Liz_5607.mov" TargetMode="External"/><Relationship Id="rId10591" Type="http://schemas.openxmlformats.org/officeDocument/2006/relationships/hyperlink" Target="http://csr.bu.edu/ftp/asl/asllvd/demos/verify_start_end_handshape_annotations//test_auto_move//signs_mov_separ_signers/Brady_5606.mov" TargetMode="External"/><Relationship Id="rId10592" Type="http://schemas.openxmlformats.org/officeDocument/2006/relationships/hyperlink" Target="http://secrets.rutgers.edu:8080/data/asl-ftp/asllvd/demos/verify_start_end_handshape_annotations//test_auto_move//signs_mov_separ_signers/Brady_5606.mov" TargetMode="External"/><Relationship Id="rId10593" Type="http://schemas.openxmlformats.org/officeDocument/2006/relationships/hyperlink" Target="http://csr.bu.edu/ftp/asl/asllvd/demos/verify_start_end_handshape_annotations//test_auto_move//signs_mov_separ_signers/Brady_5607.mov" TargetMode="External"/><Relationship Id="rId10594" Type="http://schemas.openxmlformats.org/officeDocument/2006/relationships/hyperlink" Target="http://secrets.rutgers.edu:8080/data/asl-ftp/asllvd/demos/verify_start_end_handshape_annotations//test_auto_move//signs_mov_separ_signers/Brady_5607.mov" TargetMode="External"/><Relationship Id="rId10595" Type="http://schemas.openxmlformats.org/officeDocument/2006/relationships/hyperlink" Target="http://csr.bu.edu/ftp/asl/asllvd/demos/verify_start_end_handshape_annotations//test_auto_move//signs_mov/5634.mov" TargetMode="External"/><Relationship Id="rId10596" Type="http://schemas.openxmlformats.org/officeDocument/2006/relationships/hyperlink" Target="http://csr.bu.edu/ftp/asl/asllvd/demos/verify_start_end_handshape_annotations//test_auto_move//signs_mov_separ_signers/Lana_5634.mov" TargetMode="External"/><Relationship Id="rId10597" Type="http://schemas.openxmlformats.org/officeDocument/2006/relationships/hyperlink" Target="http://secrets.rutgers.edu:8080/data/asl-ftp/asllvd/demos/verify_start_end_handshape_annotations//test_auto_move//signs_mov/5634.mov" TargetMode="External"/><Relationship Id="rId10598" Type="http://schemas.openxmlformats.org/officeDocument/2006/relationships/hyperlink" Target="http://secrets.rutgers.edu:8080/data/asl-ftp/asllvd/demos/verify_start_end_handshape_annotations//test_auto_move//signs_mov_separ_signers/Lana_5634.mov" TargetMode="External"/><Relationship Id="rId10599" Type="http://schemas.openxmlformats.org/officeDocument/2006/relationships/hyperlink" Target="http://csr.bu.edu/ftp/asl/asllvd/demos/verify_start_end_handshape_annotations//test_auto_move//signs_mov_separ_signers/Dana_5634.mov" TargetMode="External"/><Relationship Id="rId10600" Type="http://schemas.openxmlformats.org/officeDocument/2006/relationships/hyperlink" Target="http://secrets.rutgers.edu:8080/data/asl-ftp/asllvd/demos/verify_start_end_handshape_annotations//test_auto_move//signs_mov_separ_signers/Dana_5634.mov" TargetMode="External"/><Relationship Id="rId10601" Type="http://schemas.openxmlformats.org/officeDocument/2006/relationships/hyperlink" Target="http://csr.bu.edu/ftp/asl/asllvd/demos/verify_start_end_handshape_annotations//test_auto_move//signs_mov_separ_signers/Liz_1146.mov" TargetMode="External"/><Relationship Id="rId10602" Type="http://schemas.openxmlformats.org/officeDocument/2006/relationships/hyperlink" Target="http://secrets.rutgers.edu:8080/data/asl-ftp/asllvd/demos/verify_start_end_handshape_annotations//test_auto_move//signs_mov_separ_signers/Liz_1146.mov" TargetMode="External"/><Relationship Id="rId10603" Type="http://schemas.openxmlformats.org/officeDocument/2006/relationships/hyperlink" Target="http://csr.bu.edu/ftp/asl/asllvd/demos/verify_start_end_handshape_annotations//test_auto_move//signs_mov_separ_signers/Tyler_1146.mov" TargetMode="External"/><Relationship Id="rId10604" Type="http://schemas.openxmlformats.org/officeDocument/2006/relationships/hyperlink" Target="http://secrets.rutgers.edu:8080/data/asl-ftp/asllvd/demos/verify_start_end_handshape_annotations//test_auto_move//signs_mov_separ_signers/Tyler_1146.mov" TargetMode="External"/><Relationship Id="rId10605" Type="http://schemas.openxmlformats.org/officeDocument/2006/relationships/hyperlink" Target="http://csr.bu.edu/ftp/asl/asllvd/demos/verify_start_end_handshape_annotations//test_auto_move//signs_mov/1146.mov" TargetMode="External"/><Relationship Id="rId10606" Type="http://schemas.openxmlformats.org/officeDocument/2006/relationships/hyperlink" Target="http://csr.bu.edu/ftp/asl/asllvd/demos/verify_start_end_handshape_annotations//test_auto_move//signs_mov_separ_signers/Naomi_1146.mov" TargetMode="External"/><Relationship Id="rId10607" Type="http://schemas.openxmlformats.org/officeDocument/2006/relationships/hyperlink" Target="http://secrets.rutgers.edu:8080/data/asl-ftp/asllvd/demos/verify_start_end_handshape_annotations//test_auto_move//signs_mov/1146.mov" TargetMode="External"/><Relationship Id="rId10608" Type="http://schemas.openxmlformats.org/officeDocument/2006/relationships/hyperlink" Target="http://secrets.rutgers.edu:8080/data/asl-ftp/asllvd/demos/verify_start_end_handshape_annotations//test_auto_move//signs_mov_separ_signers/Naomi_1146.mov" TargetMode="External"/><Relationship Id="rId10609" Type="http://schemas.openxmlformats.org/officeDocument/2006/relationships/hyperlink" Target="http://csr.bu.edu/ftp/asl/asllvd/demos/verify_start_end_handshape_annotations//test_auto_move//signs_mov_separ_signers/Brady_1146.mov" TargetMode="External"/><Relationship Id="rId10610" Type="http://schemas.openxmlformats.org/officeDocument/2006/relationships/hyperlink" Target="http://secrets.rutgers.edu:8080/data/asl-ftp/asllvd/demos/verify_start_end_handshape_annotations//test_auto_move//signs_mov_separ_signers/Brady_1146.mov" TargetMode="External"/><Relationship Id="rId10611" Type="http://schemas.openxmlformats.org/officeDocument/2006/relationships/hyperlink" Target="http://csr.bu.edu/ftp/asl/asllvd/demos/verify_start_end_handshape_annotations//test_auto_move//signs_mov_separ_signers/Lana_1146.mov" TargetMode="External"/><Relationship Id="rId10612" Type="http://schemas.openxmlformats.org/officeDocument/2006/relationships/hyperlink" Target="http://secrets.rutgers.edu:8080/data/asl-ftp/asllvd/demos/verify_start_end_handshape_annotations//test_auto_move//signs_mov_separ_signers/Lana_1146.mov" TargetMode="External"/><Relationship Id="rId10613" Type="http://schemas.openxmlformats.org/officeDocument/2006/relationships/hyperlink" Target="http://csr.bu.edu/ftp/asl/asllvd/demos/verify_start_end_handshape_annotations//test_auto_move//signs_mov_separ_signers/Dana_1146.mov" TargetMode="External"/><Relationship Id="rId10614" Type="http://schemas.openxmlformats.org/officeDocument/2006/relationships/hyperlink" Target="http://secrets.rutgers.edu:8080/data/asl-ftp/asllvd/demos/verify_start_end_handshape_annotations//test_auto_move//signs_mov_separ_signers/Dana_1146.mov" TargetMode="External"/><Relationship Id="rId10615" Type="http://schemas.openxmlformats.org/officeDocument/2006/relationships/hyperlink" Target="http://csr.bu.edu/ftp/asl/asllvd/demos/verify_start_end_handshape_annotations//test_auto_move//signs_mov_separ_signers/Liz_1148.mov" TargetMode="External"/><Relationship Id="rId10616" Type="http://schemas.openxmlformats.org/officeDocument/2006/relationships/hyperlink" Target="http://secrets.rutgers.edu:8080/data/asl-ftp/asllvd/demos/verify_start_end_handshape_annotations//test_auto_move//signs_mov_separ_signers/Liz_1148.mov" TargetMode="External"/><Relationship Id="rId10617" Type="http://schemas.openxmlformats.org/officeDocument/2006/relationships/hyperlink" Target="http://csr.bu.edu/ftp/asl/asllvd/demos/verify_start_end_handshape_annotations//test_auto_move//signs_mov/1148.mov" TargetMode="External"/><Relationship Id="rId10618" Type="http://schemas.openxmlformats.org/officeDocument/2006/relationships/hyperlink" Target="http://csr.bu.edu/ftp/asl/asllvd/demos/verify_start_end_handshape_annotations//test_auto_move//signs_mov_separ_signers/Naomi_1148.mov" TargetMode="External"/><Relationship Id="rId10619" Type="http://schemas.openxmlformats.org/officeDocument/2006/relationships/hyperlink" Target="http://secrets.rutgers.edu:8080/data/asl-ftp/asllvd/demos/verify_start_end_handshape_annotations//test_auto_move//signs_mov/1148.mov" TargetMode="External"/><Relationship Id="rId10620" Type="http://schemas.openxmlformats.org/officeDocument/2006/relationships/hyperlink" Target="http://secrets.rutgers.edu:8080/data/asl-ftp/asllvd/demos/verify_start_end_handshape_annotations//test_auto_move//signs_mov_separ_signers/Naomi_1148.mov" TargetMode="External"/><Relationship Id="rId10621" Type="http://schemas.openxmlformats.org/officeDocument/2006/relationships/hyperlink" Target="http://csr.bu.edu/ftp/asl/asllvd/demos/verify_start_end_handshape_annotations//test_auto_move//signs_mov_separ_signers/Brady_1148.mov" TargetMode="External"/><Relationship Id="rId10622" Type="http://schemas.openxmlformats.org/officeDocument/2006/relationships/hyperlink" Target="http://secrets.rutgers.edu:8080/data/asl-ftp/asllvd/demos/verify_start_end_handshape_annotations//test_auto_move//signs_mov_separ_signers/Brady_1148.mov" TargetMode="External"/><Relationship Id="rId10623" Type="http://schemas.openxmlformats.org/officeDocument/2006/relationships/hyperlink" Target="http://csr.bu.edu/ftp/asl/asllvd/demos/verify_start_end_handshape_annotations//test_auto_move//signs_mov_separ_signers/Liz_1149.mov" TargetMode="External"/><Relationship Id="rId10624" Type="http://schemas.openxmlformats.org/officeDocument/2006/relationships/hyperlink" Target="http://secrets.rutgers.edu:8080/data/asl-ftp/asllvd/demos/verify_start_end_handshape_annotations//test_auto_move//signs_mov_separ_signers/Liz_1149.mov" TargetMode="External"/><Relationship Id="rId10625" Type="http://schemas.openxmlformats.org/officeDocument/2006/relationships/hyperlink" Target="http://csr.bu.edu/ftp/asl/asllvd/demos/verify_start_end_handshape_annotations//test_auto_move//signs_mov_separ_signers/Tyler_1149.mov" TargetMode="External"/><Relationship Id="rId10626" Type="http://schemas.openxmlformats.org/officeDocument/2006/relationships/hyperlink" Target="http://secrets.rutgers.edu:8080/data/asl-ftp/asllvd/demos/verify_start_end_handshape_annotations//test_auto_move//signs_mov_separ_signers/Tyler_1149.mov" TargetMode="External"/><Relationship Id="rId10627" Type="http://schemas.openxmlformats.org/officeDocument/2006/relationships/hyperlink" Target="http://csr.bu.edu/ftp/asl/asllvd/demos/verify_start_end_handshape_annotations//test_auto_move//signs_mov/1149.mov" TargetMode="External"/><Relationship Id="rId10628" Type="http://schemas.openxmlformats.org/officeDocument/2006/relationships/hyperlink" Target="http://csr.bu.edu/ftp/asl/asllvd/demos/verify_start_end_handshape_annotations//test_auto_move//signs_mov_separ_signers/Naomi_1149.mov" TargetMode="External"/><Relationship Id="rId10629" Type="http://schemas.openxmlformats.org/officeDocument/2006/relationships/hyperlink" Target="http://secrets.rutgers.edu:8080/data/asl-ftp/asllvd/demos/verify_start_end_handshape_annotations//test_auto_move//signs_mov/1149.mov" TargetMode="External"/><Relationship Id="rId10630" Type="http://schemas.openxmlformats.org/officeDocument/2006/relationships/hyperlink" Target="http://secrets.rutgers.edu:8080/data/asl-ftp/asllvd/demos/verify_start_end_handshape_annotations//test_auto_move//signs_mov_separ_signers/Naomi_1149.mov" TargetMode="External"/><Relationship Id="rId10631" Type="http://schemas.openxmlformats.org/officeDocument/2006/relationships/hyperlink" Target="http://csr.bu.edu/ftp/asl/asllvd/demos/verify_start_end_handshape_annotations//test_auto_move//signs_mov_separ_signers/Brady_1149.mov" TargetMode="External"/><Relationship Id="rId10632" Type="http://schemas.openxmlformats.org/officeDocument/2006/relationships/hyperlink" Target="http://secrets.rutgers.edu:8080/data/asl-ftp/asllvd/demos/verify_start_end_handshape_annotations//test_auto_move//signs_mov_separ_signers/Brady_1149.mov" TargetMode="External"/><Relationship Id="rId10633" Type="http://schemas.openxmlformats.org/officeDocument/2006/relationships/hyperlink" Target="http://csr.bu.edu/ftp/asl/asllvd/demos/verify_start_end_handshape_annotations//test_auto_move//signs_mov_separ_signers/Lana_1149.mov" TargetMode="External"/><Relationship Id="rId10634" Type="http://schemas.openxmlformats.org/officeDocument/2006/relationships/hyperlink" Target="http://secrets.rutgers.edu:8080/data/asl-ftp/asllvd/demos/verify_start_end_handshape_annotations//test_auto_move//signs_mov_separ_signers/Lana_1149.mov" TargetMode="External"/><Relationship Id="rId10635" Type="http://schemas.openxmlformats.org/officeDocument/2006/relationships/hyperlink" Target="http://csr.bu.edu/ftp/asl/asllvd/demos/verify_start_end_handshape_annotations//test_auto_move//signs_mov_separ_signers/Dana_1149.mov" TargetMode="External"/><Relationship Id="rId10636" Type="http://schemas.openxmlformats.org/officeDocument/2006/relationships/hyperlink" Target="http://secrets.rutgers.edu:8080/data/asl-ftp/asllvd/demos/verify_start_end_handshape_annotations//test_auto_move//signs_mov_separ_signers/Dana_1149.mov" TargetMode="External"/><Relationship Id="rId10637" Type="http://schemas.openxmlformats.org/officeDocument/2006/relationships/hyperlink" Target="http://csr.bu.edu/ftp/asl/asllvd/demos/verify_start_end_handshape_annotations//test_auto_move//signs_mov/5070.mov" TargetMode="External"/><Relationship Id="rId10638" Type="http://schemas.openxmlformats.org/officeDocument/2006/relationships/hyperlink" Target="http://csr.bu.edu/ftp/asl/asllvd/demos/verify_start_end_handshape_annotations//test_auto_move//signs_mov_separ_signers/Liz_5070.mov" TargetMode="External"/><Relationship Id="rId10639" Type="http://schemas.openxmlformats.org/officeDocument/2006/relationships/hyperlink" Target="http://secrets.rutgers.edu:8080/data/asl-ftp/asllvd/demos/verify_start_end_handshape_annotations//test_auto_move//signs_mov/5070.mov" TargetMode="External"/><Relationship Id="rId10640" Type="http://schemas.openxmlformats.org/officeDocument/2006/relationships/hyperlink" Target="http://secrets.rutgers.edu:8080/data/asl-ftp/asllvd/demos/verify_start_end_handshape_annotations//test_auto_move//signs_mov_separ_signers/Liz_5070.mov" TargetMode="External"/><Relationship Id="rId10641" Type="http://schemas.openxmlformats.org/officeDocument/2006/relationships/hyperlink" Target="http://csr.bu.edu/ftp/asl/asllvd/demos/verify_start_end_handshape_annotations//test_auto_move//signs_mov_separ_signers/Brady_5070.mov" TargetMode="External"/><Relationship Id="rId10642" Type="http://schemas.openxmlformats.org/officeDocument/2006/relationships/hyperlink" Target="http://secrets.rutgers.edu:8080/data/asl-ftp/asllvd/demos/verify_start_end_handshape_annotations//test_auto_move//signs_mov_separ_signers/Brady_5070.mov" TargetMode="External"/><Relationship Id="rId10643" Type="http://schemas.openxmlformats.org/officeDocument/2006/relationships/hyperlink" Target="http://csr.bu.edu/ftp/asl/asllvd/demos/verify_start_end_handshape_annotations//test_auto_move//signs_mov/5213.mov" TargetMode="External"/><Relationship Id="rId10644" Type="http://schemas.openxmlformats.org/officeDocument/2006/relationships/hyperlink" Target="http://csr.bu.edu/ftp/asl/asllvd/demos/verify_start_end_handshape_annotations//test_auto_move//signs_mov_separ_signers/Liz_5213.mov" TargetMode="External"/><Relationship Id="rId10645" Type="http://schemas.openxmlformats.org/officeDocument/2006/relationships/hyperlink" Target="http://secrets.rutgers.edu:8080/data/asl-ftp/asllvd/demos/verify_start_end_handshape_annotations//test_auto_move//signs_mov/5213.mov" TargetMode="External"/><Relationship Id="rId10646" Type="http://schemas.openxmlformats.org/officeDocument/2006/relationships/hyperlink" Target="http://secrets.rutgers.edu:8080/data/asl-ftp/asllvd/demos/verify_start_end_handshape_annotations//test_auto_move//signs_mov_separ_signers/Liz_5213.mov" TargetMode="External"/><Relationship Id="rId10647" Type="http://schemas.openxmlformats.org/officeDocument/2006/relationships/hyperlink" Target="http://csr.bu.edu/ftp/asl/asllvd/demos/verify_start_end_handshape_annotations//test_auto_move//signs_mov_separ_signers/Brady_5213.mov" TargetMode="External"/><Relationship Id="rId10648" Type="http://schemas.openxmlformats.org/officeDocument/2006/relationships/hyperlink" Target="http://secrets.rutgers.edu:8080/data/asl-ftp/asllvd/demos/verify_start_end_handshape_annotations//test_auto_move//signs_mov_separ_signers/Brady_5213.mov" TargetMode="External"/><Relationship Id="rId10649" Type="http://schemas.openxmlformats.org/officeDocument/2006/relationships/hyperlink" Target="http://csr.bu.edu/ftp/asl/asllvd/demos/verify_start_end_handshape_annotations//test_auto_move//signs_mov_separ_signers/Liz_1151.mov" TargetMode="External"/><Relationship Id="rId10650" Type="http://schemas.openxmlformats.org/officeDocument/2006/relationships/hyperlink" Target="http://secrets.rutgers.edu:8080/data/asl-ftp/asllvd/demos/verify_start_end_handshape_annotations//test_auto_move//signs_mov_separ_signers/Liz_1151.mov" TargetMode="External"/><Relationship Id="rId10651" Type="http://schemas.openxmlformats.org/officeDocument/2006/relationships/hyperlink" Target="http://csr.bu.edu/ftp/asl/asllvd/demos/verify_start_end_handshape_annotations//test_auto_move//signs_mov_separ_signers/Tyler_1151.mov" TargetMode="External"/><Relationship Id="rId10652" Type="http://schemas.openxmlformats.org/officeDocument/2006/relationships/hyperlink" Target="http://secrets.rutgers.edu:8080/data/asl-ftp/asllvd/demos/verify_start_end_handshape_annotations//test_auto_move//signs_mov_separ_signers/Tyler_1151.mov" TargetMode="External"/><Relationship Id="rId10653" Type="http://schemas.openxmlformats.org/officeDocument/2006/relationships/hyperlink" Target="http://csr.bu.edu/ftp/asl/asllvd/demos/verify_start_end_handshape_annotations//test_auto_move//signs_mov_separ_signers/Naomi_1151.mov" TargetMode="External"/><Relationship Id="rId10654" Type="http://schemas.openxmlformats.org/officeDocument/2006/relationships/hyperlink" Target="http://secrets.rutgers.edu:8080/data/asl-ftp/asllvd/demos/verify_start_end_handshape_annotations//test_auto_move//signs_mov_separ_signers/Naomi_1151.mov" TargetMode="External"/><Relationship Id="rId10655" Type="http://schemas.openxmlformats.org/officeDocument/2006/relationships/hyperlink" Target="http://csr.bu.edu/ftp/asl/asllvd/demos/verify_start_end_handshape_annotations//test_auto_move//signs_mov/1151_5071_merged.mov" TargetMode="External"/><Relationship Id="rId10656" Type="http://schemas.openxmlformats.org/officeDocument/2006/relationships/hyperlink" Target="http://csr.bu.edu/ftp/asl/asllvd/demos/verify_start_end_handshape_annotations//test_auto_move//signs_mov_separ_signers/Brady_1151.mov" TargetMode="External"/><Relationship Id="rId10657" Type="http://schemas.openxmlformats.org/officeDocument/2006/relationships/hyperlink" Target="http://secrets.rutgers.edu:8080/data/asl-ftp/asllvd/demos/verify_start_end_handshape_annotations//test_auto_move//signs_mov/1151_5071_merged.mov" TargetMode="External"/><Relationship Id="rId10658" Type="http://schemas.openxmlformats.org/officeDocument/2006/relationships/hyperlink" Target="http://secrets.rutgers.edu:8080/data/asl-ftp/asllvd/demos/verify_start_end_handshape_annotations//test_auto_move//signs_mov_separ_signers/Brady_1151.mov" TargetMode="External"/><Relationship Id="rId10659" Type="http://schemas.openxmlformats.org/officeDocument/2006/relationships/hyperlink" Target="http://csr.bu.edu/ftp/asl/asllvd/demos/verify_start_end_handshape_annotations//test_auto_move//signs_mov_separ_signers/Lana_1151.mov" TargetMode="External"/><Relationship Id="rId10660" Type="http://schemas.openxmlformats.org/officeDocument/2006/relationships/hyperlink" Target="http://secrets.rutgers.edu:8080/data/asl-ftp/asllvd/demos/verify_start_end_handshape_annotations//test_auto_move//signs_mov_separ_signers/Lana_1151.mov" TargetMode="External"/><Relationship Id="rId10661" Type="http://schemas.openxmlformats.org/officeDocument/2006/relationships/hyperlink" Target="http://csr.bu.edu/ftp/asl/asllvd/demos/verify_start_end_handshape_annotations//test_auto_move//signs_mov_separ_signers/Lana_5071.mov" TargetMode="External"/><Relationship Id="rId10662" Type="http://schemas.openxmlformats.org/officeDocument/2006/relationships/hyperlink" Target="http://secrets.rutgers.edu:8080/data/asl-ftp/asllvd/demos/verify_start_end_handshape_annotations//test_auto_move//signs_mov_separ_signers/Lana_5071.mov" TargetMode="External"/><Relationship Id="rId10663" Type="http://schemas.openxmlformats.org/officeDocument/2006/relationships/hyperlink" Target="http://csr.bu.edu/ftp/asl/asllvd/demos/verify_start_end_handshape_annotations//test_auto_move//signs_mov_separ_signers/Dana_1151.mov" TargetMode="External"/><Relationship Id="rId10664" Type="http://schemas.openxmlformats.org/officeDocument/2006/relationships/hyperlink" Target="http://secrets.rutgers.edu:8080/data/asl-ftp/asllvd/demos/verify_start_end_handshape_annotations//test_auto_move//signs_mov_separ_signers/Dana_1151.mov" TargetMode="External"/><Relationship Id="rId10665" Type="http://schemas.openxmlformats.org/officeDocument/2006/relationships/hyperlink" Target="http://csr.bu.edu/ftp/asl/asllvd/demos/verify_start_end_handshape_annotations//test_auto_move//signs_mov_separ_signers/Liz_1153.mov" TargetMode="External"/><Relationship Id="rId10666" Type="http://schemas.openxmlformats.org/officeDocument/2006/relationships/hyperlink" Target="http://secrets.rutgers.edu:8080/data/asl-ftp/asllvd/demos/verify_start_end_handshape_annotations//test_auto_move//signs_mov_separ_signers/Liz_1153.mov" TargetMode="External"/><Relationship Id="rId10667" Type="http://schemas.openxmlformats.org/officeDocument/2006/relationships/hyperlink" Target="http://csr.bu.edu/ftp/asl/asllvd/demos/verify_start_end_handshape_annotations//test_auto_move//signs_mov/1153.mov" TargetMode="External"/><Relationship Id="rId10668" Type="http://schemas.openxmlformats.org/officeDocument/2006/relationships/hyperlink" Target="http://csr.bu.edu/ftp/asl/asllvd/demos/verify_start_end_handshape_annotations//test_auto_move//signs_mov_separ_signers/Tyler_1153.mov" TargetMode="External"/><Relationship Id="rId10669" Type="http://schemas.openxmlformats.org/officeDocument/2006/relationships/hyperlink" Target="http://secrets.rutgers.edu:8080/data/asl-ftp/asllvd/demos/verify_start_end_handshape_annotations//test_auto_move//signs_mov/1153.mov" TargetMode="External"/><Relationship Id="rId10670" Type="http://schemas.openxmlformats.org/officeDocument/2006/relationships/hyperlink" Target="http://secrets.rutgers.edu:8080/data/asl-ftp/asllvd/demos/verify_start_end_handshape_annotations//test_auto_move//signs_mov_separ_signers/Tyler_1153.mov" TargetMode="External"/><Relationship Id="rId10671" Type="http://schemas.openxmlformats.org/officeDocument/2006/relationships/hyperlink" Target="http://csr.bu.edu/ftp/asl/asllvd/demos/verify_start_end_handshape_annotations//test_auto_move//signs_mov_separ_signers/Naomi_1153.mov" TargetMode="External"/><Relationship Id="rId10672" Type="http://schemas.openxmlformats.org/officeDocument/2006/relationships/hyperlink" Target="http://secrets.rutgers.edu:8080/data/asl-ftp/asllvd/demos/verify_start_end_handshape_annotations//test_auto_move//signs_mov_separ_signers/Naomi_1153.mov" TargetMode="External"/><Relationship Id="rId10673" Type="http://schemas.openxmlformats.org/officeDocument/2006/relationships/hyperlink" Target="http://csr.bu.edu/ftp/asl/asllvd/demos/verify_start_end_handshape_annotations//test_auto_move//signs_mov_separ_signers/Brady_1153.mov" TargetMode="External"/><Relationship Id="rId10674" Type="http://schemas.openxmlformats.org/officeDocument/2006/relationships/hyperlink" Target="http://secrets.rutgers.edu:8080/data/asl-ftp/asllvd/demos/verify_start_end_handshape_annotations//test_auto_move//signs_mov_separ_signers/Brady_1153.mov" TargetMode="External"/><Relationship Id="rId10675" Type="http://schemas.openxmlformats.org/officeDocument/2006/relationships/hyperlink" Target="http://csr.bu.edu/ftp/asl/asllvd/demos/verify_start_end_handshape_annotations//test_auto_move//signs_mov_separ_signers/Liz_5072.mov" TargetMode="External"/><Relationship Id="rId10676" Type="http://schemas.openxmlformats.org/officeDocument/2006/relationships/hyperlink" Target="http://secrets.rutgers.edu:8080/data/asl-ftp/asllvd/demos/verify_start_end_handshape_annotations//test_auto_move//signs_mov_separ_signers/Liz_5072.mov" TargetMode="External"/><Relationship Id="rId10677" Type="http://schemas.openxmlformats.org/officeDocument/2006/relationships/hyperlink" Target="http://csr.bu.edu/ftp/asl/asllvd/demos/verify_start_end_handshape_annotations//test_auto_move//signs_mov/5072.mov" TargetMode="External"/><Relationship Id="rId10678" Type="http://schemas.openxmlformats.org/officeDocument/2006/relationships/hyperlink" Target="http://csr.bu.edu/ftp/asl/asllvd/demos/verify_start_end_handshape_annotations//test_auto_move//signs_mov_separ_signers/Tyler_5072.mov" TargetMode="External"/><Relationship Id="rId10679" Type="http://schemas.openxmlformats.org/officeDocument/2006/relationships/hyperlink" Target="http://secrets.rutgers.edu:8080/data/asl-ftp/asllvd/demos/verify_start_end_handshape_annotations//test_auto_move//signs_mov/5072.mov" TargetMode="External"/><Relationship Id="rId10680" Type="http://schemas.openxmlformats.org/officeDocument/2006/relationships/hyperlink" Target="http://secrets.rutgers.edu:8080/data/asl-ftp/asllvd/demos/verify_start_end_handshape_annotations//test_auto_move//signs_mov_separ_signers/Tyler_5072.mov" TargetMode="External"/><Relationship Id="rId10681" Type="http://schemas.openxmlformats.org/officeDocument/2006/relationships/hyperlink" Target="http://csr.bu.edu/ftp/asl/asllvd/demos/verify_start_end_handshape_annotations//test_auto_move//signs_mov_separ_signers/Naomi_5072.mov" TargetMode="External"/><Relationship Id="rId10682" Type="http://schemas.openxmlformats.org/officeDocument/2006/relationships/hyperlink" Target="http://secrets.rutgers.edu:8080/data/asl-ftp/asllvd/demos/verify_start_end_handshape_annotations//test_auto_move//signs_mov_separ_signers/Naomi_5072.mov" TargetMode="External"/><Relationship Id="rId10683" Type="http://schemas.openxmlformats.org/officeDocument/2006/relationships/hyperlink" Target="http://csr.bu.edu/ftp/asl/asllvd/demos/verify_start_end_handshape_annotations//test_auto_move//signs_mov/5074.mov" TargetMode="External"/><Relationship Id="rId10684" Type="http://schemas.openxmlformats.org/officeDocument/2006/relationships/hyperlink" Target="http://csr.bu.edu/ftp/asl/asllvd/demos/verify_start_end_handshape_annotations//test_auto_move//signs_mov_separ_signers/Tyler_5074.mov" TargetMode="External"/><Relationship Id="rId10685" Type="http://schemas.openxmlformats.org/officeDocument/2006/relationships/hyperlink" Target="http://secrets.rutgers.edu:8080/data/asl-ftp/asllvd/demos/verify_start_end_handshape_annotations//test_auto_move//signs_mov/5074.mov" TargetMode="External"/><Relationship Id="rId10686" Type="http://schemas.openxmlformats.org/officeDocument/2006/relationships/hyperlink" Target="http://secrets.rutgers.edu:8080/data/asl-ftp/asllvd/demos/verify_start_end_handshape_annotations//test_auto_move//signs_mov_separ_signers/Tyler_5074.mov" TargetMode="External"/><Relationship Id="rId10687" Type="http://schemas.openxmlformats.org/officeDocument/2006/relationships/hyperlink" Target="http://csr.bu.edu/ftp/asl/asllvd/demos/verify_start_end_handshape_annotations//test_auto_move//signs_mov_separ_signers/Brady_5074.mov" TargetMode="External"/><Relationship Id="rId10688" Type="http://schemas.openxmlformats.org/officeDocument/2006/relationships/hyperlink" Target="http://secrets.rutgers.edu:8080/data/asl-ftp/asllvd/demos/verify_start_end_handshape_annotations//test_auto_move//signs_mov_separ_signers/Brady_5074.mov" TargetMode="External"/><Relationship Id="rId10689" Type="http://schemas.openxmlformats.org/officeDocument/2006/relationships/hyperlink" Target="http://csr.bu.edu/ftp/asl/asllvd/demos/verify_start_end_handshape_annotations//test_auto_move//signs_mov_separ_signers/Liz_15107.mov" TargetMode="External"/><Relationship Id="rId10690" Type="http://schemas.openxmlformats.org/officeDocument/2006/relationships/hyperlink" Target="http://secrets.rutgers.edu:8080/data/asl-ftp/asllvd/demos/verify_start_end_handshape_annotations//test_auto_move//signs_mov_separ_signers/Liz_15107.mov" TargetMode="External"/><Relationship Id="rId10691" Type="http://schemas.openxmlformats.org/officeDocument/2006/relationships/hyperlink" Target="http://csr.bu.edu/ftp/asl/asllvd/demos/verify_start_end_handshape_annotations//test_auto_move//signs_mov/15107.mov" TargetMode="External"/><Relationship Id="rId10692" Type="http://schemas.openxmlformats.org/officeDocument/2006/relationships/hyperlink" Target="http://csr.bu.edu/ftp/asl/asllvd/demos/verify_start_end_handshape_annotations//test_auto_move//signs_mov_separ_signers/Naomi_15107.mov" TargetMode="External"/><Relationship Id="rId10693" Type="http://schemas.openxmlformats.org/officeDocument/2006/relationships/hyperlink" Target="http://secrets.rutgers.edu:8080/data/asl-ftp/asllvd/demos/verify_start_end_handshape_annotations//test_auto_move//signs_mov/15107.mov" TargetMode="External"/><Relationship Id="rId10694" Type="http://schemas.openxmlformats.org/officeDocument/2006/relationships/hyperlink" Target="http://secrets.rutgers.edu:8080/data/asl-ftp/asllvd/demos/verify_start_end_handshape_annotations//test_auto_move//signs_mov_separ_signers/Naomi_15107.mov" TargetMode="External"/><Relationship Id="rId10695" Type="http://schemas.openxmlformats.org/officeDocument/2006/relationships/hyperlink" Target="http://csr.bu.edu/ftp/asl/asllvd/demos/verify_start_end_handshape_annotations//test_auto_move//signs_mov_separ_signers/Brady_15107.mov" TargetMode="External"/><Relationship Id="rId10696" Type="http://schemas.openxmlformats.org/officeDocument/2006/relationships/hyperlink" Target="http://secrets.rutgers.edu:8080/data/asl-ftp/asllvd/demos/verify_start_end_handshape_annotations//test_auto_move//signs_mov_separ_signers/Brady_15107.mov" TargetMode="External"/><Relationship Id="rId10697" Type="http://schemas.openxmlformats.org/officeDocument/2006/relationships/hyperlink" Target="http://csr.bu.edu/ftp/asl/asllvd/demos/verify_start_end_handshape_annotations//test_auto_move//signs_mov/1157.mov" TargetMode="External"/><Relationship Id="rId10698" Type="http://schemas.openxmlformats.org/officeDocument/2006/relationships/hyperlink" Target="http://csr.bu.edu/ftp/asl/asllvd/demos/verify_start_end_handshape_annotations//test_auto_move//signs_mov_separ_signers/Liz_1157.mov" TargetMode="External"/><Relationship Id="rId10699" Type="http://schemas.openxmlformats.org/officeDocument/2006/relationships/hyperlink" Target="http://secrets.rutgers.edu:8080/data/asl-ftp/asllvd/demos/verify_start_end_handshape_annotations//test_auto_move//signs_mov/1157.mov" TargetMode="External"/><Relationship Id="rId10700" Type="http://schemas.openxmlformats.org/officeDocument/2006/relationships/hyperlink" Target="http://secrets.rutgers.edu:8080/data/asl-ftp/asllvd/demos/verify_start_end_handshape_annotations//test_auto_move//signs_mov_separ_signers/Liz_1157.mov" TargetMode="External"/><Relationship Id="rId10701" Type="http://schemas.openxmlformats.org/officeDocument/2006/relationships/hyperlink" Target="http://csr.bu.edu/ftp/asl/asllvd/demos/verify_start_end_handshape_annotations//test_auto_move//signs_mov_separ_signers/Brady_1157.mov" TargetMode="External"/><Relationship Id="rId10702" Type="http://schemas.openxmlformats.org/officeDocument/2006/relationships/hyperlink" Target="http://secrets.rutgers.edu:8080/data/asl-ftp/asllvd/demos/verify_start_end_handshape_annotations//test_auto_move//signs_mov_separ_signers/Brady_1157.mov" TargetMode="External"/><Relationship Id="rId10703" Type="http://schemas.openxmlformats.org/officeDocument/2006/relationships/hyperlink" Target="http://csr.bu.edu/ftp/asl/asllvd/demos/verify_start_end_handshape_annotations//test_auto_move//signs_mov/15787.mov" TargetMode="External"/><Relationship Id="rId10704" Type="http://schemas.openxmlformats.org/officeDocument/2006/relationships/hyperlink" Target="http://csr.bu.edu/ftp/asl/asllvd/demos/verify_start_end_handshape_annotations//test_auto_move//signs_mov_separ_signers/Tyler_15787.mov" TargetMode="External"/><Relationship Id="rId10705" Type="http://schemas.openxmlformats.org/officeDocument/2006/relationships/hyperlink" Target="http://secrets.rutgers.edu:8080/data/asl-ftp/asllvd/demos/verify_start_end_handshape_annotations//test_auto_move//signs_mov/15787.mov" TargetMode="External"/><Relationship Id="rId10706" Type="http://schemas.openxmlformats.org/officeDocument/2006/relationships/hyperlink" Target="http://secrets.rutgers.edu:8080/data/asl-ftp/asllvd/demos/verify_start_end_handshape_annotations//test_auto_move//signs_mov_separ_signers/Tyler_15787.mov" TargetMode="External"/><Relationship Id="rId10707" Type="http://schemas.openxmlformats.org/officeDocument/2006/relationships/hyperlink" Target="http://csr.bu.edu/ftp/asl/asllvd/demos/verify_start_end_handshape_annotations//test_auto_move//signs_mov/15788.mov" TargetMode="External"/><Relationship Id="rId10708" Type="http://schemas.openxmlformats.org/officeDocument/2006/relationships/hyperlink" Target="http://csr.bu.edu/ftp/asl/asllvd/demos/verify_start_end_handshape_annotations//test_auto_move//signs_mov_separ_signers/Naomi_15788.mov" TargetMode="External"/><Relationship Id="rId10709" Type="http://schemas.openxmlformats.org/officeDocument/2006/relationships/hyperlink" Target="http://secrets.rutgers.edu:8080/data/asl-ftp/asllvd/demos/verify_start_end_handshape_annotations//test_auto_move//signs_mov/15788.mov" TargetMode="External"/><Relationship Id="rId10710" Type="http://schemas.openxmlformats.org/officeDocument/2006/relationships/hyperlink" Target="http://secrets.rutgers.edu:8080/data/asl-ftp/asllvd/demos/verify_start_end_handshape_annotations//test_auto_move//signs_mov_separ_signers/Naomi_15788.mov" TargetMode="External"/><Relationship Id="rId10711" Type="http://schemas.openxmlformats.org/officeDocument/2006/relationships/hyperlink" Target="http://csr.bu.edu/ftp/asl/asllvd/demos/verify_start_end_handshape_annotations//test_auto_move//signs_mov/1159.mov" TargetMode="External"/><Relationship Id="rId10712" Type="http://schemas.openxmlformats.org/officeDocument/2006/relationships/hyperlink" Target="http://csr.bu.edu/ftp/asl/asllvd/demos/verify_start_end_handshape_annotations//test_auto_move//signs_mov_separ_signers/Liz_1159.mov" TargetMode="External"/><Relationship Id="rId10713" Type="http://schemas.openxmlformats.org/officeDocument/2006/relationships/hyperlink" Target="http://secrets.rutgers.edu:8080/data/asl-ftp/asllvd/demos/verify_start_end_handshape_annotations//test_auto_move//signs_mov/1159.mov" TargetMode="External"/><Relationship Id="rId10714" Type="http://schemas.openxmlformats.org/officeDocument/2006/relationships/hyperlink" Target="http://secrets.rutgers.edu:8080/data/asl-ftp/asllvd/demos/verify_start_end_handshape_annotations//test_auto_move//signs_mov_separ_signers/Liz_1159.mov" TargetMode="External"/><Relationship Id="rId10715" Type="http://schemas.openxmlformats.org/officeDocument/2006/relationships/hyperlink" Target="http://csr.bu.edu/ftp/asl/asllvd/demos/verify_start_end_handshape_annotations//test_auto_move//signs_mov_separ_signers/Naomi_1159.mov" TargetMode="External"/><Relationship Id="rId10716" Type="http://schemas.openxmlformats.org/officeDocument/2006/relationships/hyperlink" Target="http://secrets.rutgers.edu:8080/data/asl-ftp/asllvd/demos/verify_start_end_handshape_annotations//test_auto_move//signs_mov_separ_signers/Naomi_1159.mov" TargetMode="External"/><Relationship Id="rId10717" Type="http://schemas.openxmlformats.org/officeDocument/2006/relationships/hyperlink" Target="http://csr.bu.edu/ftp/asl/asllvd/demos/verify_start_end_handshape_annotations//test_auto_move//signs_mov/1160.mov" TargetMode="External"/><Relationship Id="rId10718" Type="http://schemas.openxmlformats.org/officeDocument/2006/relationships/hyperlink" Target="http://csr.bu.edu/ftp/asl/asllvd/demos/verify_start_end_handshape_annotations//test_auto_move//signs_mov_separ_signers/Liz_1160.mov" TargetMode="External"/><Relationship Id="rId10719" Type="http://schemas.openxmlformats.org/officeDocument/2006/relationships/hyperlink" Target="http://secrets.rutgers.edu:8080/data/asl-ftp/asllvd/demos/verify_start_end_handshape_annotations//test_auto_move//signs_mov/1160.mov" TargetMode="External"/><Relationship Id="rId10720" Type="http://schemas.openxmlformats.org/officeDocument/2006/relationships/hyperlink" Target="http://secrets.rutgers.edu:8080/data/asl-ftp/asllvd/demos/verify_start_end_handshape_annotations//test_auto_move//signs_mov_separ_signers/Liz_1160.mov" TargetMode="External"/><Relationship Id="rId10721" Type="http://schemas.openxmlformats.org/officeDocument/2006/relationships/hyperlink" Target="http://csr.bu.edu/ftp/asl/asllvd/demos/verify_start_end_handshape_annotations//test_auto_move//signs_mov_separ_signers/Naomi_1160.mov" TargetMode="External"/><Relationship Id="rId10722" Type="http://schemas.openxmlformats.org/officeDocument/2006/relationships/hyperlink" Target="http://secrets.rutgers.edu:8080/data/asl-ftp/asllvd/demos/verify_start_end_handshape_annotations//test_auto_move//signs_mov_separ_signers/Naomi_1160.mov" TargetMode="External"/><Relationship Id="rId10723" Type="http://schemas.openxmlformats.org/officeDocument/2006/relationships/hyperlink" Target="http://csr.bu.edu/ftp/asl/asllvd/demos/verify_start_end_handshape_annotations//test_auto_move//signs_mov_separ_signers/Liz_1162.mov" TargetMode="External"/><Relationship Id="rId10724" Type="http://schemas.openxmlformats.org/officeDocument/2006/relationships/hyperlink" Target="http://secrets.rutgers.edu:8080/data/asl-ftp/asllvd/demos/verify_start_end_handshape_annotations//test_auto_move//signs_mov_separ_signers/Liz_1162.mov" TargetMode="External"/><Relationship Id="rId10725" Type="http://schemas.openxmlformats.org/officeDocument/2006/relationships/hyperlink" Target="http://csr.bu.edu/ftp/asl/asllvd/demos/verify_start_end_handshape_annotations//test_auto_move//signs_mov/1162.mov" TargetMode="External"/><Relationship Id="rId10726" Type="http://schemas.openxmlformats.org/officeDocument/2006/relationships/hyperlink" Target="http://csr.bu.edu/ftp/asl/asllvd/demos/verify_start_end_handshape_annotations//test_auto_move//signs_mov_separ_signers/Naomi_1162.mov" TargetMode="External"/><Relationship Id="rId10727" Type="http://schemas.openxmlformats.org/officeDocument/2006/relationships/hyperlink" Target="http://secrets.rutgers.edu:8080/data/asl-ftp/asllvd/demos/verify_start_end_handshape_annotations//test_auto_move//signs_mov/1162.mov" TargetMode="External"/><Relationship Id="rId10728" Type="http://schemas.openxmlformats.org/officeDocument/2006/relationships/hyperlink" Target="http://secrets.rutgers.edu:8080/data/asl-ftp/asllvd/demos/verify_start_end_handshape_annotations//test_auto_move//signs_mov_separ_signers/Naomi_1162.mov" TargetMode="External"/><Relationship Id="rId10729" Type="http://schemas.openxmlformats.org/officeDocument/2006/relationships/hyperlink" Target="http://csr.bu.edu/ftp/asl/asllvd/demos/verify_start_end_handshape_annotations//test_auto_move//signs_mov_separ_signers/Brady_1162.mov" TargetMode="External"/><Relationship Id="rId10730" Type="http://schemas.openxmlformats.org/officeDocument/2006/relationships/hyperlink" Target="http://secrets.rutgers.edu:8080/data/asl-ftp/asllvd/demos/verify_start_end_handshape_annotations//test_auto_move//signs_mov_separ_signers/Brady_1162.mov" TargetMode="External"/><Relationship Id="rId10731" Type="http://schemas.openxmlformats.org/officeDocument/2006/relationships/hyperlink" Target="http://csr.bu.edu/ftp/asl/asllvd/demos/verify_start_end_handshape_annotations//test_auto_move//signs_mov/15132.mov" TargetMode="External"/><Relationship Id="rId10732" Type="http://schemas.openxmlformats.org/officeDocument/2006/relationships/hyperlink" Target="http://csr.bu.edu/ftp/asl/asllvd/demos/verify_start_end_handshape_annotations//test_auto_move//signs_mov_separ_signers/Tyler_15132.mov" TargetMode="External"/><Relationship Id="rId10733" Type="http://schemas.openxmlformats.org/officeDocument/2006/relationships/hyperlink" Target="http://secrets.rutgers.edu:8080/data/asl-ftp/asllvd/demos/verify_start_end_handshape_annotations//test_auto_move//signs_mov/15132.mov" TargetMode="External"/><Relationship Id="rId10734" Type="http://schemas.openxmlformats.org/officeDocument/2006/relationships/hyperlink" Target="http://secrets.rutgers.edu:8080/data/asl-ftp/asllvd/demos/verify_start_end_handshape_annotations//test_auto_move//signs_mov_separ_signers/Tyler_15132.mov" TargetMode="External"/><Relationship Id="rId10735" Type="http://schemas.openxmlformats.org/officeDocument/2006/relationships/hyperlink" Target="http://csr.bu.edu/ftp/asl/asllvd/demos/verify_start_end_handshape_annotations//test_auto_move//signs_mov_separ_signers/Brady_15132.mov" TargetMode="External"/><Relationship Id="rId10736" Type="http://schemas.openxmlformats.org/officeDocument/2006/relationships/hyperlink" Target="http://secrets.rutgers.edu:8080/data/asl-ftp/asllvd/demos/verify_start_end_handshape_annotations//test_auto_move//signs_mov_separ_signers/Brady_15132.mov" TargetMode="External"/><Relationship Id="rId10737" Type="http://schemas.openxmlformats.org/officeDocument/2006/relationships/hyperlink" Target="http://csr.bu.edu/ftp/asl/asllvd/demos/verify_start_end_handshape_annotations//test_auto_move//signs_mov_separ_signers/Liz_1167.mov" TargetMode="External"/><Relationship Id="rId10738" Type="http://schemas.openxmlformats.org/officeDocument/2006/relationships/hyperlink" Target="http://secrets.rutgers.edu:8080/data/asl-ftp/asllvd/demos/verify_start_end_handshape_annotations//test_auto_move//signs_mov_separ_signers/Liz_1167.mov" TargetMode="External"/><Relationship Id="rId10739" Type="http://schemas.openxmlformats.org/officeDocument/2006/relationships/hyperlink" Target="http://csr.bu.edu/ftp/asl/asllvd/demos/verify_start_end_handshape_annotations//test_auto_move//signs_mov_separ_signers/Liz_5394.mov" TargetMode="External"/><Relationship Id="rId10740" Type="http://schemas.openxmlformats.org/officeDocument/2006/relationships/hyperlink" Target="http://secrets.rutgers.edu:8080/data/asl-ftp/asllvd/demos/verify_start_end_handshape_annotations//test_auto_move//signs_mov_separ_signers/Liz_5394.mov" TargetMode="External"/><Relationship Id="rId10741" Type="http://schemas.openxmlformats.org/officeDocument/2006/relationships/hyperlink" Target="http://csr.bu.edu/ftp/asl/asllvd/demos/verify_start_end_handshape_annotations//test_auto_move//signs_mov/1167_5394_merged.mov" TargetMode="External"/><Relationship Id="rId10742" Type="http://schemas.openxmlformats.org/officeDocument/2006/relationships/hyperlink" Target="http://csr.bu.edu/ftp/asl/asllvd/demos/verify_start_end_handshape_annotations//test_auto_move//signs_mov_separ_signers/Tyler_1167.mov" TargetMode="External"/><Relationship Id="rId10743" Type="http://schemas.openxmlformats.org/officeDocument/2006/relationships/hyperlink" Target="http://secrets.rutgers.edu:8080/data/asl-ftp/asllvd/demos/verify_start_end_handshape_annotations//test_auto_move//signs_mov/1167_5394_merged.mov" TargetMode="External"/><Relationship Id="rId10744" Type="http://schemas.openxmlformats.org/officeDocument/2006/relationships/hyperlink" Target="http://secrets.rutgers.edu:8080/data/asl-ftp/asllvd/demos/verify_start_end_handshape_annotations//test_auto_move//signs_mov_separ_signers/Tyler_1167.mov" TargetMode="External"/><Relationship Id="rId10745" Type="http://schemas.openxmlformats.org/officeDocument/2006/relationships/hyperlink" Target="http://csr.bu.edu/ftp/asl/asllvd/demos/verify_start_end_handshape_annotations//test_auto_move//signs_mov_separ_signers/Brady_1167.mov" TargetMode="External"/><Relationship Id="rId10746" Type="http://schemas.openxmlformats.org/officeDocument/2006/relationships/hyperlink" Target="http://secrets.rutgers.edu:8080/data/asl-ftp/asllvd/demos/verify_start_end_handshape_annotations//test_auto_move//signs_mov_separ_signers/Brady_1167.mov" TargetMode="External"/><Relationship Id="rId10747" Type="http://schemas.openxmlformats.org/officeDocument/2006/relationships/hyperlink" Target="http://csr.bu.edu/ftp/asl/asllvd/demos/verify_start_end_handshape_annotations//test_auto_move//signs_mov_separ_signers/Brady_5394.mov" TargetMode="External"/><Relationship Id="rId10748" Type="http://schemas.openxmlformats.org/officeDocument/2006/relationships/hyperlink" Target="http://secrets.rutgers.edu:8080/data/asl-ftp/asllvd/demos/verify_start_end_handshape_annotations//test_auto_move//signs_mov_separ_signers/Brady_5394.mov" TargetMode="External"/><Relationship Id="rId10749" Type="http://schemas.openxmlformats.org/officeDocument/2006/relationships/hyperlink" Target="http://csr.bu.edu/ftp/asl/asllvd/demos/verify_start_end_handshape_annotations//test_auto_move//signs_mov_separ_signers/Liz_5403.mov" TargetMode="External"/><Relationship Id="rId10750" Type="http://schemas.openxmlformats.org/officeDocument/2006/relationships/hyperlink" Target="http://secrets.rutgers.edu:8080/data/asl-ftp/asllvd/demos/verify_start_end_handshape_annotations//test_auto_move//signs_mov_separ_signers/Liz_5403.mov" TargetMode="External"/><Relationship Id="rId10751" Type="http://schemas.openxmlformats.org/officeDocument/2006/relationships/hyperlink" Target="http://csr.bu.edu/ftp/asl/asllvd/demos/verify_start_end_handshape_annotations//test_auto_move//signs_mov/5403.mov" TargetMode="External"/><Relationship Id="rId10752" Type="http://schemas.openxmlformats.org/officeDocument/2006/relationships/hyperlink" Target="http://csr.bu.edu/ftp/asl/asllvd/demos/verify_start_end_handshape_annotations//test_auto_move//signs_mov_separ_signers/Brady_5403.mov" TargetMode="External"/><Relationship Id="rId10753" Type="http://schemas.openxmlformats.org/officeDocument/2006/relationships/hyperlink" Target="http://secrets.rutgers.edu:8080/data/asl-ftp/asllvd/demos/verify_start_end_handshape_annotations//test_auto_move//signs_mov/5403.mov" TargetMode="External"/><Relationship Id="rId10754" Type="http://schemas.openxmlformats.org/officeDocument/2006/relationships/hyperlink" Target="http://secrets.rutgers.edu:8080/data/asl-ftp/asllvd/demos/verify_start_end_handshape_annotations//test_auto_move//signs_mov_separ_signers/Brady_5403.mov" TargetMode="External"/><Relationship Id="rId10755" Type="http://schemas.openxmlformats.org/officeDocument/2006/relationships/hyperlink" Target="http://csr.bu.edu/ftp/asl/asllvd/demos/verify_start_end_handshape_annotations//test_auto_move//signs_mov_separ_signers/Lana_5403.mov" TargetMode="External"/><Relationship Id="rId10756" Type="http://schemas.openxmlformats.org/officeDocument/2006/relationships/hyperlink" Target="http://secrets.rutgers.edu:8080/data/asl-ftp/asllvd/demos/verify_start_end_handshape_annotations//test_auto_move//signs_mov_separ_signers/Lana_5403.mov" TargetMode="External"/><Relationship Id="rId10757" Type="http://schemas.openxmlformats.org/officeDocument/2006/relationships/hyperlink" Target="http://csr.bu.edu/ftp/asl/asllvd/demos/verify_start_end_handshape_annotations//test_auto_move//signs_mov_separ_signers/Dana_5403.mov" TargetMode="External"/><Relationship Id="rId10758" Type="http://schemas.openxmlformats.org/officeDocument/2006/relationships/hyperlink" Target="http://secrets.rutgers.edu:8080/data/asl-ftp/asllvd/demos/verify_start_end_handshape_annotations//test_auto_move//signs_mov_separ_signers/Dana_5403.mov" TargetMode="External"/><Relationship Id="rId10759" Type="http://schemas.openxmlformats.org/officeDocument/2006/relationships/hyperlink" Target="http://csr.bu.edu/ftp/asl/asllvd/demos/verify_start_end_handshape_annotations//test_auto_move//signs_mov_separ_signers/Liz_5409.mov" TargetMode="External"/><Relationship Id="rId10760" Type="http://schemas.openxmlformats.org/officeDocument/2006/relationships/hyperlink" Target="http://secrets.rutgers.edu:8080/data/asl-ftp/asllvd/demos/verify_start_end_handshape_annotations//test_auto_move//signs_mov_separ_signers/Liz_5409.mov" TargetMode="External"/><Relationship Id="rId10761" Type="http://schemas.openxmlformats.org/officeDocument/2006/relationships/hyperlink" Target="http://csr.bu.edu/ftp/asl/asllvd/demos/verify_start_end_handshape_annotations//test_auto_move//signs_mov_separ_signers/Liz_5412.mov" TargetMode="External"/><Relationship Id="rId10762" Type="http://schemas.openxmlformats.org/officeDocument/2006/relationships/hyperlink" Target="http://secrets.rutgers.edu:8080/data/asl-ftp/asllvd/demos/verify_start_end_handshape_annotations//test_auto_move//signs_mov_separ_signers/Liz_5412.mov" TargetMode="External"/><Relationship Id="rId10763" Type="http://schemas.openxmlformats.org/officeDocument/2006/relationships/hyperlink" Target="http://csr.bu.edu/ftp/asl/asllvd/demos/verify_start_end_handshape_annotations//test_auto_move//signs_mov_separ_signers/Tyler_5409.mov" TargetMode="External"/><Relationship Id="rId10764" Type="http://schemas.openxmlformats.org/officeDocument/2006/relationships/hyperlink" Target="http://secrets.rutgers.edu:8080/data/asl-ftp/asllvd/demos/verify_start_end_handshape_annotations//test_auto_move//signs_mov_separ_signers/Tyler_5409.mov" TargetMode="External"/><Relationship Id="rId10765" Type="http://schemas.openxmlformats.org/officeDocument/2006/relationships/hyperlink" Target="http://csr.bu.edu/ftp/asl/asllvd/demos/verify_start_end_handshape_annotations//test_auto_move//signs_mov/5409_5412_merged.mov" TargetMode="External"/><Relationship Id="rId10766" Type="http://schemas.openxmlformats.org/officeDocument/2006/relationships/hyperlink" Target="http://csr.bu.edu/ftp/asl/asllvd/demos/verify_start_end_handshape_annotations//test_auto_move//signs_mov_separ_signers/Tyler_5412.mov" TargetMode="External"/><Relationship Id="rId10767" Type="http://schemas.openxmlformats.org/officeDocument/2006/relationships/hyperlink" Target="http://secrets.rutgers.edu:8080/data/asl-ftp/asllvd/demos/verify_start_end_handshape_annotations//test_auto_move//signs_mov/5409_5412_merged.mov" TargetMode="External"/><Relationship Id="rId10768" Type="http://schemas.openxmlformats.org/officeDocument/2006/relationships/hyperlink" Target="http://secrets.rutgers.edu:8080/data/asl-ftp/asllvd/demos/verify_start_end_handshape_annotations//test_auto_move//signs_mov_separ_signers/Tyler_5412.mov" TargetMode="External"/><Relationship Id="rId10769" Type="http://schemas.openxmlformats.org/officeDocument/2006/relationships/hyperlink" Target="http://csr.bu.edu/ftp/asl/asllvd/demos/verify_start_end_handshape_annotations//test_auto_move//signs_mov_separ_signers/Naomi_5409.mov" TargetMode="External"/><Relationship Id="rId10770" Type="http://schemas.openxmlformats.org/officeDocument/2006/relationships/hyperlink" Target="http://secrets.rutgers.edu:8080/data/asl-ftp/asllvd/demos/verify_start_end_handshape_annotations//test_auto_move//signs_mov_separ_signers/Naomi_5409.mov" TargetMode="External"/><Relationship Id="rId10771" Type="http://schemas.openxmlformats.org/officeDocument/2006/relationships/hyperlink" Target="http://csr.bu.edu/ftp/asl/asllvd/demos/verify_start_end_handshape_annotations//test_auto_move//signs_mov_separ_signers/Naomi_5412.mov" TargetMode="External"/><Relationship Id="rId10772" Type="http://schemas.openxmlformats.org/officeDocument/2006/relationships/hyperlink" Target="http://secrets.rutgers.edu:8080/data/asl-ftp/asllvd/demos/verify_start_end_handshape_annotations//test_auto_move//signs_mov_separ_signers/Naomi_5412.mov" TargetMode="External"/><Relationship Id="rId10773" Type="http://schemas.openxmlformats.org/officeDocument/2006/relationships/hyperlink" Target="http://csr.bu.edu/ftp/asl/asllvd/demos/verify_start_end_handshape_annotations//test_auto_move//signs_mov_separ_signers/Brady_5409.mov" TargetMode="External"/><Relationship Id="rId10774" Type="http://schemas.openxmlformats.org/officeDocument/2006/relationships/hyperlink" Target="http://secrets.rutgers.edu:8080/data/asl-ftp/asllvd/demos/verify_start_end_handshape_annotations//test_auto_move//signs_mov_separ_signers/Brady_5409.mov" TargetMode="External"/><Relationship Id="rId10775" Type="http://schemas.openxmlformats.org/officeDocument/2006/relationships/hyperlink" Target="http://csr.bu.edu/ftp/asl/asllvd/demos/verify_start_end_handshape_annotations//test_auto_move//signs_mov_separ_signers/Brady_5412.mov" TargetMode="External"/><Relationship Id="rId10776" Type="http://schemas.openxmlformats.org/officeDocument/2006/relationships/hyperlink" Target="http://secrets.rutgers.edu:8080/data/asl-ftp/asllvd/demos/verify_start_end_handshape_annotations//test_auto_move//signs_mov_separ_signers/Brady_5412.mov" TargetMode="External"/><Relationship Id="rId10777" Type="http://schemas.openxmlformats.org/officeDocument/2006/relationships/hyperlink" Target="http://csr.bu.edu/ftp/asl/asllvd/demos/verify_start_end_handshape_annotations//test_auto_move//signs_mov/5433.mov" TargetMode="External"/><Relationship Id="rId10778" Type="http://schemas.openxmlformats.org/officeDocument/2006/relationships/hyperlink" Target="http://csr.bu.edu/ftp/asl/asllvd/demos/verify_start_end_handshape_annotations//test_auto_move//signs_mov_separ_signers/Liz_5433.mov" TargetMode="External"/><Relationship Id="rId10779" Type="http://schemas.openxmlformats.org/officeDocument/2006/relationships/hyperlink" Target="http://secrets.rutgers.edu:8080/data/asl-ftp/asllvd/demos/verify_start_end_handshape_annotations//test_auto_move//signs_mov/5433.mov" TargetMode="External"/><Relationship Id="rId10780" Type="http://schemas.openxmlformats.org/officeDocument/2006/relationships/hyperlink" Target="http://secrets.rutgers.edu:8080/data/asl-ftp/asllvd/demos/verify_start_end_handshape_annotations//test_auto_move//signs_mov_separ_signers/Liz_5433.mov" TargetMode="External"/><Relationship Id="rId10781" Type="http://schemas.openxmlformats.org/officeDocument/2006/relationships/hyperlink" Target="http://csr.bu.edu/ftp/asl/asllvd/demos/verify_start_end_handshape_annotations//test_auto_move//signs_mov_separ_signers/Brady_5433.mov" TargetMode="External"/><Relationship Id="rId10782" Type="http://schemas.openxmlformats.org/officeDocument/2006/relationships/hyperlink" Target="http://secrets.rutgers.edu:8080/data/asl-ftp/asllvd/demos/verify_start_end_handshape_annotations//test_auto_move//signs_mov_separ_signers/Brady_5433.mov" TargetMode="External"/><Relationship Id="rId10783" Type="http://schemas.openxmlformats.org/officeDocument/2006/relationships/hyperlink" Target="http://csr.bu.edu/ftp/asl/asllvd/demos/verify_start_end_handshape_annotations//test_auto_move//signs_mov_separ_signers/Liz_5591.mov" TargetMode="External"/><Relationship Id="rId10784" Type="http://schemas.openxmlformats.org/officeDocument/2006/relationships/hyperlink" Target="http://secrets.rutgers.edu:8080/data/asl-ftp/asllvd/demos/verify_start_end_handshape_annotations//test_auto_move//signs_mov_separ_signers/Liz_5591.mov" TargetMode="External"/><Relationship Id="rId10785" Type="http://schemas.openxmlformats.org/officeDocument/2006/relationships/hyperlink" Target="http://csr.bu.edu/ftp/asl/asllvd/demos/verify_start_end_handshape_annotations//test_auto_move//signs_mov/5591_5593_merged.mov" TargetMode="External"/><Relationship Id="rId10786" Type="http://schemas.openxmlformats.org/officeDocument/2006/relationships/hyperlink" Target="http://csr.bu.edu/ftp/asl/asllvd/demos/verify_start_end_handshape_annotations//test_auto_move//signs_mov_separ_signers/Liz_5593.mov" TargetMode="External"/><Relationship Id="rId10787" Type="http://schemas.openxmlformats.org/officeDocument/2006/relationships/hyperlink" Target="http://secrets.rutgers.edu:8080/data/asl-ftp/asllvd/demos/verify_start_end_handshape_annotations//test_auto_move//signs_mov/5591_5593_merged.mov" TargetMode="External"/><Relationship Id="rId10788" Type="http://schemas.openxmlformats.org/officeDocument/2006/relationships/hyperlink" Target="http://secrets.rutgers.edu:8080/data/asl-ftp/asllvd/demos/verify_start_end_handshape_annotations//test_auto_move//signs_mov_separ_signers/Liz_5593.mov" TargetMode="External"/><Relationship Id="rId10789" Type="http://schemas.openxmlformats.org/officeDocument/2006/relationships/hyperlink" Target="http://csr.bu.edu/ftp/asl/asllvd/demos/verify_start_end_handshape_annotations//test_auto_move//signs_mov_separ_signers/Brady_5591.mov" TargetMode="External"/><Relationship Id="rId10790" Type="http://schemas.openxmlformats.org/officeDocument/2006/relationships/hyperlink" Target="http://secrets.rutgers.edu:8080/data/asl-ftp/asllvd/demos/verify_start_end_handshape_annotations//test_auto_move//signs_mov_separ_signers/Brady_5591.mov" TargetMode="External"/><Relationship Id="rId10791" Type="http://schemas.openxmlformats.org/officeDocument/2006/relationships/hyperlink" Target="http://csr.bu.edu/ftp/asl/asllvd/demos/verify_start_end_handshape_annotations//test_auto_move//signs_mov/5597.mov" TargetMode="External"/><Relationship Id="rId10792" Type="http://schemas.openxmlformats.org/officeDocument/2006/relationships/hyperlink" Target="http://csr.bu.edu/ftp/asl/asllvd/demos/verify_start_end_handshape_annotations//test_auto_move//signs_mov_separ_signers/Liz_5597.mov" TargetMode="External"/><Relationship Id="rId10793" Type="http://schemas.openxmlformats.org/officeDocument/2006/relationships/hyperlink" Target="http://secrets.rutgers.edu:8080/data/asl-ftp/asllvd/demos/verify_start_end_handshape_annotations//test_auto_move//signs_mov/5597.mov" TargetMode="External"/><Relationship Id="rId10794" Type="http://schemas.openxmlformats.org/officeDocument/2006/relationships/hyperlink" Target="http://secrets.rutgers.edu:8080/data/asl-ftp/asllvd/demos/verify_start_end_handshape_annotations//test_auto_move//signs_mov_separ_signers/Liz_5597.mov" TargetMode="External"/><Relationship Id="rId10795" Type="http://schemas.openxmlformats.org/officeDocument/2006/relationships/hyperlink" Target="http://csr.bu.edu/ftp/asl/asllvd/demos/verify_start_end_handshape_annotations//test_auto_move//signs_mov_separ_signers/Brady_5597.mov" TargetMode="External"/><Relationship Id="rId10796" Type="http://schemas.openxmlformats.org/officeDocument/2006/relationships/hyperlink" Target="http://secrets.rutgers.edu:8080/data/asl-ftp/asllvd/demos/verify_start_end_handshape_annotations//test_auto_move//signs_mov_separ_signers/Brady_5597.mov" TargetMode="External"/><Relationship Id="rId10797" Type="http://schemas.openxmlformats.org/officeDocument/2006/relationships/hyperlink" Target="http://csr.bu.edu/ftp/asl/asllvd/demos/verify_start_end_handshape_annotations//test_auto_move//signs_mov/5856.mov" TargetMode="External"/><Relationship Id="rId10798" Type="http://schemas.openxmlformats.org/officeDocument/2006/relationships/hyperlink" Target="http://csr.bu.edu/ftp/asl/asllvd/demos/verify_start_end_handshape_annotations//test_auto_move//signs_mov_separ_signers/Brady_5856.mov" TargetMode="External"/><Relationship Id="rId10799" Type="http://schemas.openxmlformats.org/officeDocument/2006/relationships/hyperlink" Target="http://secrets.rutgers.edu:8080/data/asl-ftp/asllvd/demos/verify_start_end_handshape_annotations//test_auto_move//signs_mov/5856.mov" TargetMode="External"/><Relationship Id="rId10800" Type="http://schemas.openxmlformats.org/officeDocument/2006/relationships/hyperlink" Target="http://secrets.rutgers.edu:8080/data/asl-ftp/asllvd/demos/verify_start_end_handshape_annotations//test_auto_move//signs_mov_separ_signers/Brady_5856.mov" TargetMode="External"/><Relationship Id="rId10801" Type="http://schemas.openxmlformats.org/officeDocument/2006/relationships/hyperlink" Target="http://csr.bu.edu/ftp/asl/asllvd/demos/verify_start_end_handshape_annotations//test_auto_move//signs_mov_separ_signers/Liz_1174.mov" TargetMode="External"/><Relationship Id="rId10802" Type="http://schemas.openxmlformats.org/officeDocument/2006/relationships/hyperlink" Target="http://secrets.rutgers.edu:8080/data/asl-ftp/asllvd/demos/verify_start_end_handshape_annotations//test_auto_move//signs_mov_separ_signers/Liz_1174.mov" TargetMode="External"/><Relationship Id="rId10803" Type="http://schemas.openxmlformats.org/officeDocument/2006/relationships/hyperlink" Target="http://csr.bu.edu/ftp/asl/asllvd/demos/verify_start_end_handshape_annotations//test_auto_move//signs_mov_separ_signers/Tyler_1174.mov" TargetMode="External"/><Relationship Id="rId10804" Type="http://schemas.openxmlformats.org/officeDocument/2006/relationships/hyperlink" Target="http://secrets.rutgers.edu:8080/data/asl-ftp/asllvd/demos/verify_start_end_handshape_annotations//test_auto_move//signs_mov_separ_signers/Tyler_1174.mov" TargetMode="External"/><Relationship Id="rId10805" Type="http://schemas.openxmlformats.org/officeDocument/2006/relationships/hyperlink" Target="http://csr.bu.edu/ftp/asl/asllvd/demos/verify_start_end_handshape_annotations//test_auto_move//signs_mov_separ_signers/Tyler_3332.mov" TargetMode="External"/><Relationship Id="rId10806" Type="http://schemas.openxmlformats.org/officeDocument/2006/relationships/hyperlink" Target="http://secrets.rutgers.edu:8080/data/asl-ftp/asllvd/demos/verify_start_end_handshape_annotations//test_auto_move//signs_mov_separ_signers/Tyler_3332.mov" TargetMode="External"/><Relationship Id="rId10807" Type="http://schemas.openxmlformats.org/officeDocument/2006/relationships/hyperlink" Target="http://csr.bu.edu/ftp/asl/asllvd/demos/verify_start_end_handshape_annotations//test_auto_move//signs_mov/1174_3332_merged.mov" TargetMode="External"/><Relationship Id="rId10808" Type="http://schemas.openxmlformats.org/officeDocument/2006/relationships/hyperlink" Target="http://csr.bu.edu/ftp/asl/asllvd/demos/verify_start_end_handshape_annotations//test_auto_move//signs_mov_separ_signers/Naomi_1174.mov" TargetMode="External"/><Relationship Id="rId10809" Type="http://schemas.openxmlformats.org/officeDocument/2006/relationships/hyperlink" Target="http://secrets.rutgers.edu:8080/data/asl-ftp/asllvd/demos/verify_start_end_handshape_annotations//test_auto_move//signs_mov/1174_3332_merged.mov" TargetMode="External"/><Relationship Id="rId10810" Type="http://schemas.openxmlformats.org/officeDocument/2006/relationships/hyperlink" Target="http://secrets.rutgers.edu:8080/data/asl-ftp/asllvd/demos/verify_start_end_handshape_annotations//test_auto_move//signs_mov_separ_signers/Naomi_1174.mov" TargetMode="External"/><Relationship Id="rId10811" Type="http://schemas.openxmlformats.org/officeDocument/2006/relationships/hyperlink" Target="http://csr.bu.edu/ftp/asl/asllvd/demos/verify_start_end_handshape_annotations//test_auto_move//signs_mov_separ_signers/Brady_1174.mov" TargetMode="External"/><Relationship Id="rId10812" Type="http://schemas.openxmlformats.org/officeDocument/2006/relationships/hyperlink" Target="http://secrets.rutgers.edu:8080/data/asl-ftp/asllvd/demos/verify_start_end_handshape_annotations//test_auto_move//signs_mov_separ_signers/Brady_1174.mov" TargetMode="External"/><Relationship Id="rId10813" Type="http://schemas.openxmlformats.org/officeDocument/2006/relationships/hyperlink" Target="http://csr.bu.edu/ftp/asl/asllvd/demos/verify_start_end_handshape_annotations//test_auto_move//signs_mov_separ_signers/Lana_1174.mov" TargetMode="External"/><Relationship Id="rId10814" Type="http://schemas.openxmlformats.org/officeDocument/2006/relationships/hyperlink" Target="http://secrets.rutgers.edu:8080/data/asl-ftp/asllvd/demos/verify_start_end_handshape_annotations//test_auto_move//signs_mov_separ_signers/Lana_1174.mov" TargetMode="External"/><Relationship Id="rId10815" Type="http://schemas.openxmlformats.org/officeDocument/2006/relationships/hyperlink" Target="http://csr.bu.edu/ftp/asl/asllvd/demos/verify_start_end_handshape_annotations//test_auto_move//signs_mov_separ_signers/Dana_1174.mov" TargetMode="External"/><Relationship Id="rId10816" Type="http://schemas.openxmlformats.org/officeDocument/2006/relationships/hyperlink" Target="http://secrets.rutgers.edu:8080/data/asl-ftp/asllvd/demos/verify_start_end_handshape_annotations//test_auto_move//signs_mov_separ_signers/Dana_1174.mov" TargetMode="External"/><Relationship Id="rId10817" Type="http://schemas.openxmlformats.org/officeDocument/2006/relationships/hyperlink" Target="http://csr.bu.edu/ftp/asl/asllvd/demos/verify_start_end_handshape_annotations//test_auto_move//signs_mov_separ_signers/Liz_1175.mov" TargetMode="External"/><Relationship Id="rId10818" Type="http://schemas.openxmlformats.org/officeDocument/2006/relationships/hyperlink" Target="http://secrets.rutgers.edu:8080/data/asl-ftp/asllvd/demos/verify_start_end_handshape_annotations//test_auto_move//signs_mov_separ_signers/Liz_1175.mov" TargetMode="External"/><Relationship Id="rId10819" Type="http://schemas.openxmlformats.org/officeDocument/2006/relationships/hyperlink" Target="http://csr.bu.edu/ftp/asl/asllvd/demos/verify_start_end_handshape_annotations//test_auto_move//signs_mov/1175.mov" TargetMode="External"/><Relationship Id="rId10820" Type="http://schemas.openxmlformats.org/officeDocument/2006/relationships/hyperlink" Target="http://csr.bu.edu/ftp/asl/asllvd/demos/verify_start_end_handshape_annotations//test_auto_move//signs_mov_separ_signers/Naomi_1175.mov" TargetMode="External"/><Relationship Id="rId10821" Type="http://schemas.openxmlformats.org/officeDocument/2006/relationships/hyperlink" Target="http://secrets.rutgers.edu:8080/data/asl-ftp/asllvd/demos/verify_start_end_handshape_annotations//test_auto_move//signs_mov/1175.mov" TargetMode="External"/><Relationship Id="rId10822" Type="http://schemas.openxmlformats.org/officeDocument/2006/relationships/hyperlink" Target="http://secrets.rutgers.edu:8080/data/asl-ftp/asllvd/demos/verify_start_end_handshape_annotations//test_auto_move//signs_mov_separ_signers/Naomi_1175.mov" TargetMode="External"/><Relationship Id="rId10823" Type="http://schemas.openxmlformats.org/officeDocument/2006/relationships/hyperlink" Target="http://csr.bu.edu/ftp/asl/asllvd/demos/verify_start_end_handshape_annotations//test_auto_move//signs_mov_separ_signers/Brady_1175.mov" TargetMode="External"/><Relationship Id="rId10824" Type="http://schemas.openxmlformats.org/officeDocument/2006/relationships/hyperlink" Target="http://secrets.rutgers.edu:8080/data/asl-ftp/asllvd/demos/verify_start_end_handshape_annotations//test_auto_move//signs_mov_separ_signers/Brady_1175.mov" TargetMode="External"/><Relationship Id="rId10825" Type="http://schemas.openxmlformats.org/officeDocument/2006/relationships/hyperlink" Target="http://csr.bu.edu/ftp/asl/asllvd/demos/verify_start_end_handshape_annotations//test_auto_move//signs_mov/16384.mov" TargetMode="External"/><Relationship Id="rId10826" Type="http://schemas.openxmlformats.org/officeDocument/2006/relationships/hyperlink" Target="http://csr.bu.edu/ftp/asl/asllvd/demos/verify_start_end_handshape_annotations//test_auto_move//signs_mov_separ_signers/Tyler_16384.mov" TargetMode="External"/><Relationship Id="rId10827" Type="http://schemas.openxmlformats.org/officeDocument/2006/relationships/hyperlink" Target="http://secrets.rutgers.edu:8080/data/asl-ftp/asllvd/demos/verify_start_end_handshape_annotations//test_auto_move//signs_mov/16384.mov" TargetMode="External"/><Relationship Id="rId10828" Type="http://schemas.openxmlformats.org/officeDocument/2006/relationships/hyperlink" Target="http://secrets.rutgers.edu:8080/data/asl-ftp/asllvd/demos/verify_start_end_handshape_annotations//test_auto_move//signs_mov_separ_signers/Tyler_16384.mov" TargetMode="External"/><Relationship Id="rId10829" Type="http://schemas.openxmlformats.org/officeDocument/2006/relationships/hyperlink" Target="http://csr.bu.edu/ftp/asl/asllvd/demos/verify_start_end_handshape_annotations//test_auto_move//signs_mov/1177.mov" TargetMode="External"/><Relationship Id="rId10830" Type="http://schemas.openxmlformats.org/officeDocument/2006/relationships/hyperlink" Target="http://csr.bu.edu/ftp/asl/asllvd/demos/verify_start_end_handshape_annotations//test_auto_move//signs_mov_separ_signers/Liz_1177.mov" TargetMode="External"/><Relationship Id="rId10831" Type="http://schemas.openxmlformats.org/officeDocument/2006/relationships/hyperlink" Target="http://secrets.rutgers.edu:8080/data/asl-ftp/asllvd/demos/verify_start_end_handshape_annotations//test_auto_move//signs_mov/1177.mov" TargetMode="External"/><Relationship Id="rId10832" Type="http://schemas.openxmlformats.org/officeDocument/2006/relationships/hyperlink" Target="http://secrets.rutgers.edu:8080/data/asl-ftp/asllvd/demos/verify_start_end_handshape_annotations//test_auto_move//signs_mov_separ_signers/Liz_1177.mov" TargetMode="External"/><Relationship Id="rId10833" Type="http://schemas.openxmlformats.org/officeDocument/2006/relationships/hyperlink" Target="http://csr.bu.edu/ftp/asl/asllvd/demos/verify_start_end_handshape_annotations//test_auto_move//signs_mov_separ_signers/Tyler_1177.mov" TargetMode="External"/><Relationship Id="rId10834" Type="http://schemas.openxmlformats.org/officeDocument/2006/relationships/hyperlink" Target="http://secrets.rutgers.edu:8080/data/asl-ftp/asllvd/demos/verify_start_end_handshape_annotations//test_auto_move//signs_mov_separ_signers/Tyler_1177.mov" TargetMode="External"/><Relationship Id="rId10835" Type="http://schemas.openxmlformats.org/officeDocument/2006/relationships/hyperlink" Target="http://csr.bu.edu/ftp/asl/asllvd/demos/verify_start_end_handshape_annotations//test_auto_move//signs_mov/5404.mov" TargetMode="External"/><Relationship Id="rId10836" Type="http://schemas.openxmlformats.org/officeDocument/2006/relationships/hyperlink" Target="http://csr.bu.edu/ftp/asl/asllvd/demos/verify_start_end_handshape_annotations//test_auto_move//signs_mov_separ_signers/Liz_5404.mov" TargetMode="External"/><Relationship Id="rId10837" Type="http://schemas.openxmlformats.org/officeDocument/2006/relationships/hyperlink" Target="http://secrets.rutgers.edu:8080/data/asl-ftp/asllvd/demos/verify_start_end_handshape_annotations//test_auto_move//signs_mov/5404.mov" TargetMode="External"/><Relationship Id="rId10838" Type="http://schemas.openxmlformats.org/officeDocument/2006/relationships/hyperlink" Target="http://secrets.rutgers.edu:8080/data/asl-ftp/asllvd/demos/verify_start_end_handshape_annotations//test_auto_move//signs_mov_separ_signers/Liz_5404.mov" TargetMode="External"/><Relationship Id="rId10839" Type="http://schemas.openxmlformats.org/officeDocument/2006/relationships/hyperlink" Target="http://csr.bu.edu/ftp/asl/asllvd/demos/verify_start_end_handshape_annotations//test_auto_move//signs_mov/5406.mov" TargetMode="External"/><Relationship Id="rId10840" Type="http://schemas.openxmlformats.org/officeDocument/2006/relationships/hyperlink" Target="http://csr.bu.edu/ftp/asl/asllvd/demos/verify_start_end_handshape_annotations//test_auto_move//signs_mov_separ_signers/Brady_5406.mov" TargetMode="External"/><Relationship Id="rId10841" Type="http://schemas.openxmlformats.org/officeDocument/2006/relationships/hyperlink" Target="http://secrets.rutgers.edu:8080/data/asl-ftp/asllvd/demos/verify_start_end_handshape_annotations//test_auto_move//signs_mov/5406.mov" TargetMode="External"/><Relationship Id="rId10842" Type="http://schemas.openxmlformats.org/officeDocument/2006/relationships/hyperlink" Target="http://secrets.rutgers.edu:8080/data/asl-ftp/asllvd/demos/verify_start_end_handshape_annotations//test_auto_move//signs_mov_separ_signers/Brady_5406.mov" TargetMode="External"/><Relationship Id="rId10843" Type="http://schemas.openxmlformats.org/officeDocument/2006/relationships/hyperlink" Target="http://csr.bu.edu/ftp/asl/asllvd/demos/verify_start_end_handshape_annotations//test_auto_move//signs_mov/5413.mov" TargetMode="External"/><Relationship Id="rId10844" Type="http://schemas.openxmlformats.org/officeDocument/2006/relationships/hyperlink" Target="http://csr.bu.edu/ftp/asl/asllvd/demos/verify_start_end_handshape_annotations//test_auto_move//signs_mov_separ_signers/Liz_5413.mov" TargetMode="External"/><Relationship Id="rId10845" Type="http://schemas.openxmlformats.org/officeDocument/2006/relationships/hyperlink" Target="http://secrets.rutgers.edu:8080/data/asl-ftp/asllvd/demos/verify_start_end_handshape_annotations//test_auto_move//signs_mov/5413.mov" TargetMode="External"/><Relationship Id="rId10846" Type="http://schemas.openxmlformats.org/officeDocument/2006/relationships/hyperlink" Target="http://secrets.rutgers.edu:8080/data/asl-ftp/asllvd/demos/verify_start_end_handshape_annotations//test_auto_move//signs_mov_separ_signers/Liz_5413.mov" TargetMode="External"/><Relationship Id="rId10847" Type="http://schemas.openxmlformats.org/officeDocument/2006/relationships/hyperlink" Target="http://csr.bu.edu/ftp/asl/asllvd/demos/verify_start_end_handshape_annotations//test_auto_move//signs_mov_separ_signers/Liz_5414.mov" TargetMode="External"/><Relationship Id="rId10848" Type="http://schemas.openxmlformats.org/officeDocument/2006/relationships/hyperlink" Target="http://secrets.rutgers.edu:8080/data/asl-ftp/asllvd/demos/verify_start_end_handshape_annotations//test_auto_move//signs_mov_separ_signers/Liz_5414.mov" TargetMode="External"/><Relationship Id="rId10849" Type="http://schemas.openxmlformats.org/officeDocument/2006/relationships/hyperlink" Target="http://csr.bu.edu/ftp/asl/asllvd/demos/verify_start_end_handshape_annotations//test_auto_move//signs_mov_separ_signers/Liz_5590.mov" TargetMode="External"/><Relationship Id="rId10850" Type="http://schemas.openxmlformats.org/officeDocument/2006/relationships/hyperlink" Target="http://secrets.rutgers.edu:8080/data/asl-ftp/asllvd/demos/verify_start_end_handshape_annotations//test_auto_move//signs_mov_separ_signers/Liz_5590.mov" TargetMode="External"/><Relationship Id="rId10851" Type="http://schemas.openxmlformats.org/officeDocument/2006/relationships/hyperlink" Target="http://csr.bu.edu/ftp/asl/asllvd/demos/verify_start_end_handshape_annotations//test_auto_move//signs_mov/5414_5590_merged.mov" TargetMode="External"/><Relationship Id="rId10852" Type="http://schemas.openxmlformats.org/officeDocument/2006/relationships/hyperlink" Target="http://csr.bu.edu/ftp/asl/asllvd/demos/verify_start_end_handshape_annotations//test_auto_move//signs_mov_separ_signers/Tyler_5414.mov" TargetMode="External"/><Relationship Id="rId10853" Type="http://schemas.openxmlformats.org/officeDocument/2006/relationships/hyperlink" Target="http://secrets.rutgers.edu:8080/data/asl-ftp/asllvd/demos/verify_start_end_handshape_annotations//test_auto_move//signs_mov/5414_5590_merged.mov" TargetMode="External"/><Relationship Id="rId10854" Type="http://schemas.openxmlformats.org/officeDocument/2006/relationships/hyperlink" Target="http://secrets.rutgers.edu:8080/data/asl-ftp/asllvd/demos/verify_start_end_handshape_annotations//test_auto_move//signs_mov_separ_signers/Tyler_5414.mov" TargetMode="External"/><Relationship Id="rId10855" Type="http://schemas.openxmlformats.org/officeDocument/2006/relationships/hyperlink" Target="http://csr.bu.edu/ftp/asl/asllvd/demos/verify_start_end_handshape_annotations//test_auto_move//signs_mov_separ_signers/Naomi_5414.mov" TargetMode="External"/><Relationship Id="rId10856" Type="http://schemas.openxmlformats.org/officeDocument/2006/relationships/hyperlink" Target="http://secrets.rutgers.edu:8080/data/asl-ftp/asllvd/demos/verify_start_end_handshape_annotations//test_auto_move//signs_mov_separ_signers/Naomi_5414.mov" TargetMode="External"/><Relationship Id="rId10857" Type="http://schemas.openxmlformats.org/officeDocument/2006/relationships/hyperlink" Target="http://csr.bu.edu/ftp/asl/asllvd/demos/verify_start_end_handshape_annotations//test_auto_move//signs_mov_separ_signers/Brady_5414.mov" TargetMode="External"/><Relationship Id="rId10858" Type="http://schemas.openxmlformats.org/officeDocument/2006/relationships/hyperlink" Target="http://secrets.rutgers.edu:8080/data/asl-ftp/asllvd/demos/verify_start_end_handshape_annotations//test_auto_move//signs_mov_separ_signers/Brady_5414.mov" TargetMode="External"/><Relationship Id="rId10859" Type="http://schemas.openxmlformats.org/officeDocument/2006/relationships/hyperlink" Target="http://csr.bu.edu/ftp/asl/asllvd/demos/verify_start_end_handshape_annotations//test_auto_move//signs_mov_separ_signers/Liz_5592.mov" TargetMode="External"/><Relationship Id="rId10860" Type="http://schemas.openxmlformats.org/officeDocument/2006/relationships/hyperlink" Target="http://secrets.rutgers.edu:8080/data/asl-ftp/asllvd/demos/verify_start_end_handshape_annotations//test_auto_move//signs_mov_separ_signers/Liz_5592.mov" TargetMode="External"/><Relationship Id="rId10861" Type="http://schemas.openxmlformats.org/officeDocument/2006/relationships/hyperlink" Target="http://csr.bu.edu/ftp/asl/asllvd/demos/verify_start_end_handshape_annotations//test_auto_move//signs_mov/5592_5594_merged.mov" TargetMode="External"/><Relationship Id="rId10862" Type="http://schemas.openxmlformats.org/officeDocument/2006/relationships/hyperlink" Target="http://csr.bu.edu/ftp/asl/asllvd/demos/verify_start_end_handshape_annotations//test_auto_move//signs_mov_separ_signers/Liz_5594.mov" TargetMode="External"/><Relationship Id="rId10863" Type="http://schemas.openxmlformats.org/officeDocument/2006/relationships/hyperlink" Target="http://secrets.rutgers.edu:8080/data/asl-ftp/asllvd/demos/verify_start_end_handshape_annotations//test_auto_move//signs_mov/5592_5594_merged.mov" TargetMode="External"/><Relationship Id="rId10864" Type="http://schemas.openxmlformats.org/officeDocument/2006/relationships/hyperlink" Target="http://secrets.rutgers.edu:8080/data/asl-ftp/asllvd/demos/verify_start_end_handshape_annotations//test_auto_move//signs_mov_separ_signers/Liz_5594.mov" TargetMode="External"/><Relationship Id="rId10865" Type="http://schemas.openxmlformats.org/officeDocument/2006/relationships/hyperlink" Target="http://csr.bu.edu/ftp/asl/asllvd/demos/verify_start_end_handshape_annotations//test_auto_move//signs_mov_separ_signers/Brady_5592.mov" TargetMode="External"/><Relationship Id="rId10866" Type="http://schemas.openxmlformats.org/officeDocument/2006/relationships/hyperlink" Target="http://secrets.rutgers.edu:8080/data/asl-ftp/asllvd/demos/verify_start_end_handshape_annotations//test_auto_move//signs_mov_separ_signers/Brady_5592.mov" TargetMode="External"/><Relationship Id="rId10867" Type="http://schemas.openxmlformats.org/officeDocument/2006/relationships/hyperlink" Target="http://csr.bu.edu/ftp/asl/asllvd/demos/verify_start_end_handshape_annotations//test_auto_move//signs_mov_separ_signers/Liz_5616.mov" TargetMode="External"/><Relationship Id="rId10868" Type="http://schemas.openxmlformats.org/officeDocument/2006/relationships/hyperlink" Target="http://secrets.rutgers.edu:8080/data/asl-ftp/asllvd/demos/verify_start_end_handshape_annotations//test_auto_move//signs_mov_separ_signers/Liz_5616.mov" TargetMode="External"/><Relationship Id="rId10869" Type="http://schemas.openxmlformats.org/officeDocument/2006/relationships/hyperlink" Target="http://csr.bu.edu/ftp/asl/asllvd/demos/verify_start_end_handshape_annotations//test_auto_move//signs_mov/5616_5975_merged.mov" TargetMode="External"/><Relationship Id="rId10870" Type="http://schemas.openxmlformats.org/officeDocument/2006/relationships/hyperlink" Target="http://csr.bu.edu/ftp/asl/asllvd/demos/verify_start_end_handshape_annotations//test_auto_move//signs_mov_separ_signers/Brady_5616.mov" TargetMode="External"/><Relationship Id="rId10871" Type="http://schemas.openxmlformats.org/officeDocument/2006/relationships/hyperlink" Target="http://secrets.rutgers.edu:8080/data/asl-ftp/asllvd/demos/verify_start_end_handshape_annotations//test_auto_move//signs_mov/5616_5975_merged.mov" TargetMode="External"/><Relationship Id="rId10872" Type="http://schemas.openxmlformats.org/officeDocument/2006/relationships/hyperlink" Target="http://secrets.rutgers.edu:8080/data/asl-ftp/asllvd/demos/verify_start_end_handshape_annotations//test_auto_move//signs_mov_separ_signers/Brady_5616.mov" TargetMode="External"/><Relationship Id="rId10873" Type="http://schemas.openxmlformats.org/officeDocument/2006/relationships/hyperlink" Target="http://csr.bu.edu/ftp/asl/asllvd/demos/verify_start_end_handshape_annotations//test_auto_move//signs_mov_separ_signers/Brady_5975.mov" TargetMode="External"/><Relationship Id="rId10874" Type="http://schemas.openxmlformats.org/officeDocument/2006/relationships/hyperlink" Target="http://secrets.rutgers.edu:8080/data/asl-ftp/asllvd/demos/verify_start_end_handshape_annotations//test_auto_move//signs_mov_separ_signers/Brady_5975.mov" TargetMode="External"/><Relationship Id="rId10875" Type="http://schemas.openxmlformats.org/officeDocument/2006/relationships/hyperlink" Target="http://csr.bu.edu/ftp/asl/asllvd/demos/verify_start_end_handshape_annotations//test_auto_move//signs_mov/16441.mov" TargetMode="External"/><Relationship Id="rId10876" Type="http://schemas.openxmlformats.org/officeDocument/2006/relationships/hyperlink" Target="http://csr.bu.edu/ftp/asl/asllvd/demos/verify_start_end_handshape_annotations//test_auto_move//signs_mov_separ_signers/Brady_16441.mov" TargetMode="External"/><Relationship Id="rId10877" Type="http://schemas.openxmlformats.org/officeDocument/2006/relationships/hyperlink" Target="http://secrets.rutgers.edu:8080/data/asl-ftp/asllvd/demos/verify_start_end_handshape_annotations//test_auto_move//signs_mov/16441.mov" TargetMode="External"/><Relationship Id="rId10878" Type="http://schemas.openxmlformats.org/officeDocument/2006/relationships/hyperlink" Target="http://secrets.rutgers.edu:8080/data/asl-ftp/asllvd/demos/verify_start_end_handshape_annotations//test_auto_move//signs_mov_separ_signers/Brady_16441.mov" TargetMode="External"/><Relationship Id="rId10879" Type="http://schemas.openxmlformats.org/officeDocument/2006/relationships/hyperlink" Target="http://csr.bu.edu/ftp/asl/asllvd/demos/verify_start_end_handshape_annotations//test_auto_move//signs_mov_separ_signers/Liz_1179.mov" TargetMode="External"/><Relationship Id="rId10880" Type="http://schemas.openxmlformats.org/officeDocument/2006/relationships/hyperlink" Target="http://secrets.rutgers.edu:8080/data/asl-ftp/asllvd/demos/verify_start_end_handshape_annotations//test_auto_move//signs_mov_separ_signers/Liz_1179.mov" TargetMode="External"/><Relationship Id="rId10881" Type="http://schemas.openxmlformats.org/officeDocument/2006/relationships/hyperlink" Target="http://csr.bu.edu/ftp/asl/asllvd/demos/verify_start_end_handshape_annotations//test_auto_move//signs_mov/1179.mov" TargetMode="External"/><Relationship Id="rId10882" Type="http://schemas.openxmlformats.org/officeDocument/2006/relationships/hyperlink" Target="http://csr.bu.edu/ftp/asl/asllvd/demos/verify_start_end_handshape_annotations//test_auto_move//signs_mov_separ_signers/Tyler_1179.mov" TargetMode="External"/><Relationship Id="rId10883" Type="http://schemas.openxmlformats.org/officeDocument/2006/relationships/hyperlink" Target="http://secrets.rutgers.edu:8080/data/asl-ftp/asllvd/demos/verify_start_end_handshape_annotations//test_auto_move//signs_mov/1179.mov" TargetMode="External"/><Relationship Id="rId10884" Type="http://schemas.openxmlformats.org/officeDocument/2006/relationships/hyperlink" Target="http://secrets.rutgers.edu:8080/data/asl-ftp/asllvd/demos/verify_start_end_handshape_annotations//test_auto_move//signs_mov_separ_signers/Tyler_1179.mov" TargetMode="External"/><Relationship Id="rId10885" Type="http://schemas.openxmlformats.org/officeDocument/2006/relationships/hyperlink" Target="http://csr.bu.edu/ftp/asl/asllvd/demos/verify_start_end_handshape_annotations//test_auto_move//signs_mov_separ_signers/Naomi_1179.mov" TargetMode="External"/><Relationship Id="rId10886" Type="http://schemas.openxmlformats.org/officeDocument/2006/relationships/hyperlink" Target="http://secrets.rutgers.edu:8080/data/asl-ftp/asllvd/demos/verify_start_end_handshape_annotations//test_auto_move//signs_mov_separ_signers/Naomi_1179.mov" TargetMode="External"/><Relationship Id="rId10887" Type="http://schemas.openxmlformats.org/officeDocument/2006/relationships/hyperlink" Target="http://csr.bu.edu/ftp/asl/asllvd/demos/verify_start_end_handshape_annotations//test_auto_move//signs_mov_separ_signers/Brady_1179.mov" TargetMode="External"/><Relationship Id="rId10888" Type="http://schemas.openxmlformats.org/officeDocument/2006/relationships/hyperlink" Target="http://secrets.rutgers.edu:8080/data/asl-ftp/asllvd/demos/verify_start_end_handshape_annotations//test_auto_move//signs_mov_separ_signers/Brady_1179.mov" TargetMode="External"/><Relationship Id="rId10889" Type="http://schemas.openxmlformats.org/officeDocument/2006/relationships/hyperlink" Target="http://csr.bu.edu/ftp/asl/asllvd/demos/verify_start_end_handshape_annotations//test_auto_move//signs_mov_separ_signers/Liz_3675.mov" TargetMode="External"/><Relationship Id="rId10890" Type="http://schemas.openxmlformats.org/officeDocument/2006/relationships/hyperlink" Target="http://secrets.rutgers.edu:8080/data/asl-ftp/asllvd/demos/verify_start_end_handshape_annotations//test_auto_move//signs_mov_separ_signers/Liz_3675.mov" TargetMode="External"/><Relationship Id="rId10891" Type="http://schemas.openxmlformats.org/officeDocument/2006/relationships/hyperlink" Target="http://csr.bu.edu/ftp/asl/asllvd/demos/verify_start_end_handshape_annotations//test_auto_move//signs_mov/3675.mov" TargetMode="External"/><Relationship Id="rId10892" Type="http://schemas.openxmlformats.org/officeDocument/2006/relationships/hyperlink" Target="http://csr.bu.edu/ftp/asl/asllvd/demos/verify_start_end_handshape_annotations//test_auto_move//signs_mov_separ_signers/Tyler_3675.mov" TargetMode="External"/><Relationship Id="rId10893" Type="http://schemas.openxmlformats.org/officeDocument/2006/relationships/hyperlink" Target="http://secrets.rutgers.edu:8080/data/asl-ftp/asllvd/demos/verify_start_end_handshape_annotations//test_auto_move//signs_mov/3675.mov" TargetMode="External"/><Relationship Id="rId10894" Type="http://schemas.openxmlformats.org/officeDocument/2006/relationships/hyperlink" Target="http://secrets.rutgers.edu:8080/data/asl-ftp/asllvd/demos/verify_start_end_handshape_annotations//test_auto_move//signs_mov_separ_signers/Tyler_3675.mov" TargetMode="External"/><Relationship Id="rId10895" Type="http://schemas.openxmlformats.org/officeDocument/2006/relationships/hyperlink" Target="http://csr.bu.edu/ftp/asl/asllvd/demos/verify_start_end_handshape_annotations//test_auto_move//signs_mov_separ_signers/Naomi_3675.mov" TargetMode="External"/><Relationship Id="rId10896" Type="http://schemas.openxmlformats.org/officeDocument/2006/relationships/hyperlink" Target="http://secrets.rutgers.edu:8080/data/asl-ftp/asllvd/demos/verify_start_end_handshape_annotations//test_auto_move//signs_mov_separ_signers/Naomi_3675.mov" TargetMode="External"/><Relationship Id="rId10897" Type="http://schemas.openxmlformats.org/officeDocument/2006/relationships/hyperlink" Target="http://csr.bu.edu/ftp/asl/asllvd/demos/verify_start_end_handshape_annotations//test_auto_move//signs_mov_separ_signers/Brady_3675.mov" TargetMode="External"/><Relationship Id="rId10898" Type="http://schemas.openxmlformats.org/officeDocument/2006/relationships/hyperlink" Target="http://secrets.rutgers.edu:8080/data/asl-ftp/asllvd/demos/verify_start_end_handshape_annotations//test_auto_move//signs_mov_separ_signers/Brady_3675.mov" TargetMode="External"/><Relationship Id="rId10899" Type="http://schemas.openxmlformats.org/officeDocument/2006/relationships/hyperlink" Target="http://csr.bu.edu/ftp/asl/asllvd/demos/verify_start_end_handshape_annotations//test_auto_move//signs_mov_separ_signers/Liz_1180.mov" TargetMode="External"/><Relationship Id="rId10900" Type="http://schemas.openxmlformats.org/officeDocument/2006/relationships/hyperlink" Target="http://secrets.rutgers.edu:8080/data/asl-ftp/asllvd/demos/verify_start_end_handshape_annotations//test_auto_move//signs_mov_separ_signers/Liz_1180.mov" TargetMode="External"/><Relationship Id="rId10901" Type="http://schemas.openxmlformats.org/officeDocument/2006/relationships/hyperlink" Target="http://csr.bu.edu/ftp/asl/asllvd/demos/verify_start_end_handshape_annotations//test_auto_move//signs_mov_separ_signers/Tyler_1180.mov" TargetMode="External"/><Relationship Id="rId10902" Type="http://schemas.openxmlformats.org/officeDocument/2006/relationships/hyperlink" Target="http://secrets.rutgers.edu:8080/data/asl-ftp/asllvd/demos/verify_start_end_handshape_annotations//test_auto_move//signs_mov_separ_signers/Tyler_1180.mov" TargetMode="External"/><Relationship Id="rId10903" Type="http://schemas.openxmlformats.org/officeDocument/2006/relationships/hyperlink" Target="http://csr.bu.edu/ftp/asl/asllvd/demos/verify_start_end_handshape_annotations//test_auto_move//signs_mov/1180.mov" TargetMode="External"/><Relationship Id="rId10904" Type="http://schemas.openxmlformats.org/officeDocument/2006/relationships/hyperlink" Target="http://csr.bu.edu/ftp/asl/asllvd/demos/verify_start_end_handshape_annotations//test_auto_move//signs_mov_separ_signers/Naomi_1180.mov" TargetMode="External"/><Relationship Id="rId10905" Type="http://schemas.openxmlformats.org/officeDocument/2006/relationships/hyperlink" Target="http://secrets.rutgers.edu:8080/data/asl-ftp/asllvd/demos/verify_start_end_handshape_annotations//test_auto_move//signs_mov/1180.mov" TargetMode="External"/><Relationship Id="rId10906" Type="http://schemas.openxmlformats.org/officeDocument/2006/relationships/hyperlink" Target="http://secrets.rutgers.edu:8080/data/asl-ftp/asllvd/demos/verify_start_end_handshape_annotations//test_auto_move//signs_mov_separ_signers/Naomi_1180.mov" TargetMode="External"/><Relationship Id="rId10907" Type="http://schemas.openxmlformats.org/officeDocument/2006/relationships/hyperlink" Target="http://csr.bu.edu/ftp/asl/asllvd/demos/verify_start_end_handshape_annotations//test_auto_move//signs_mov_separ_signers/Brady_1180.mov" TargetMode="External"/><Relationship Id="rId10908" Type="http://schemas.openxmlformats.org/officeDocument/2006/relationships/hyperlink" Target="http://secrets.rutgers.edu:8080/data/asl-ftp/asllvd/demos/verify_start_end_handshape_annotations//test_auto_move//signs_mov_separ_signers/Brady_1180.mov" TargetMode="External"/><Relationship Id="rId10909" Type="http://schemas.openxmlformats.org/officeDocument/2006/relationships/hyperlink" Target="http://csr.bu.edu/ftp/asl/asllvd/demos/verify_start_end_handshape_annotations//test_auto_move//signs_mov_separ_signers/Lana_1180.mov" TargetMode="External"/><Relationship Id="rId10910" Type="http://schemas.openxmlformats.org/officeDocument/2006/relationships/hyperlink" Target="http://secrets.rutgers.edu:8080/data/asl-ftp/asllvd/demos/verify_start_end_handshape_annotations//test_auto_move//signs_mov_separ_signers/Lana_1180.mov" TargetMode="External"/><Relationship Id="rId10911" Type="http://schemas.openxmlformats.org/officeDocument/2006/relationships/hyperlink" Target="http://csr.bu.edu/ftp/asl/asllvd/demos/verify_start_end_handshape_annotations//test_auto_move//signs_mov_separ_signers/Dana_1180.mov" TargetMode="External"/><Relationship Id="rId10912" Type="http://schemas.openxmlformats.org/officeDocument/2006/relationships/hyperlink" Target="http://secrets.rutgers.edu:8080/data/asl-ftp/asllvd/demos/verify_start_end_handshape_annotations//test_auto_move//signs_mov_separ_signers/Dana_1180.mov" TargetMode="External"/><Relationship Id="rId10913" Type="http://schemas.openxmlformats.org/officeDocument/2006/relationships/hyperlink" Target="http://csr.bu.edu/ftp/asl/asllvd/demos/verify_start_end_handshape_annotations//test_auto_move//signs_mov_separ_signers/Liz_1183.mov" TargetMode="External"/><Relationship Id="rId10914" Type="http://schemas.openxmlformats.org/officeDocument/2006/relationships/hyperlink" Target="http://secrets.rutgers.edu:8080/data/asl-ftp/asllvd/demos/verify_start_end_handshape_annotations//test_auto_move//signs_mov_separ_signers/Liz_1183.mov" TargetMode="External"/><Relationship Id="rId10915" Type="http://schemas.openxmlformats.org/officeDocument/2006/relationships/hyperlink" Target="http://csr.bu.edu/ftp/asl/asllvd/demos/verify_start_end_handshape_annotations//test_auto_move//signs_mov/1183.mov" TargetMode="External"/><Relationship Id="rId10916" Type="http://schemas.openxmlformats.org/officeDocument/2006/relationships/hyperlink" Target="http://csr.bu.edu/ftp/asl/asllvd/demos/verify_start_end_handshape_annotations//test_auto_move//signs_mov_separ_signers/Tyler_1183.mov" TargetMode="External"/><Relationship Id="rId10917" Type="http://schemas.openxmlformats.org/officeDocument/2006/relationships/hyperlink" Target="http://secrets.rutgers.edu:8080/data/asl-ftp/asllvd/demos/verify_start_end_handshape_annotations//test_auto_move//signs_mov/1183.mov" TargetMode="External"/><Relationship Id="rId10918" Type="http://schemas.openxmlformats.org/officeDocument/2006/relationships/hyperlink" Target="http://secrets.rutgers.edu:8080/data/asl-ftp/asllvd/demos/verify_start_end_handshape_annotations//test_auto_move//signs_mov_separ_signers/Tyler_1183.mov" TargetMode="External"/><Relationship Id="rId10919" Type="http://schemas.openxmlformats.org/officeDocument/2006/relationships/hyperlink" Target="http://csr.bu.edu/ftp/asl/asllvd/demos/verify_start_end_handshape_annotations//test_auto_move//signs_mov_separ_signers/Naomi_1183.mov" TargetMode="External"/><Relationship Id="rId10920" Type="http://schemas.openxmlformats.org/officeDocument/2006/relationships/hyperlink" Target="http://secrets.rutgers.edu:8080/data/asl-ftp/asllvd/demos/verify_start_end_handshape_annotations//test_auto_move//signs_mov_separ_signers/Naomi_1183.mov" TargetMode="External"/><Relationship Id="rId10921" Type="http://schemas.openxmlformats.org/officeDocument/2006/relationships/hyperlink" Target="http://csr.bu.edu/ftp/asl/asllvd/demos/verify_start_end_handshape_annotations//test_auto_move//signs_mov_separ_signers/Brady_1183.mov" TargetMode="External"/><Relationship Id="rId10922" Type="http://schemas.openxmlformats.org/officeDocument/2006/relationships/hyperlink" Target="http://secrets.rutgers.edu:8080/data/asl-ftp/asllvd/demos/verify_start_end_handshape_annotations//test_auto_move//signs_mov_separ_signers/Brady_1183.mov" TargetMode="External"/><Relationship Id="rId10923" Type="http://schemas.openxmlformats.org/officeDocument/2006/relationships/hyperlink" Target="http://csr.bu.edu/ftp/asl/asllvd/demos/verify_start_end_handshape_annotations//test_auto_move//signs_mov/1187.mov" TargetMode="External"/><Relationship Id="rId10924" Type="http://schemas.openxmlformats.org/officeDocument/2006/relationships/hyperlink" Target="http://csr.bu.edu/ftp/asl/asllvd/demos/verify_start_end_handshape_annotations//test_auto_move//signs_mov_separ_signers/Liz_1187.mov" TargetMode="External"/><Relationship Id="rId10925" Type="http://schemas.openxmlformats.org/officeDocument/2006/relationships/hyperlink" Target="http://secrets.rutgers.edu:8080/data/asl-ftp/asllvd/demos/verify_start_end_handshape_annotations//test_auto_move//signs_mov/1187.mov" TargetMode="External"/><Relationship Id="rId10926" Type="http://schemas.openxmlformats.org/officeDocument/2006/relationships/hyperlink" Target="http://secrets.rutgers.edu:8080/data/asl-ftp/asllvd/demos/verify_start_end_handshape_annotations//test_auto_move//signs_mov_separ_signers/Liz_1187.mov" TargetMode="External"/><Relationship Id="rId10927" Type="http://schemas.openxmlformats.org/officeDocument/2006/relationships/hyperlink" Target="http://csr.bu.edu/ftp/asl/asllvd/demos/verify_start_end_handshape_annotations//test_auto_move//signs_mov_separ_signers/Tyler_1187.mov" TargetMode="External"/><Relationship Id="rId10928" Type="http://schemas.openxmlformats.org/officeDocument/2006/relationships/hyperlink" Target="http://secrets.rutgers.edu:8080/data/asl-ftp/asllvd/demos/verify_start_end_handshape_annotations//test_auto_move//signs_mov_separ_signers/Tyler_1187.mov" TargetMode="External"/><Relationship Id="rId10929" Type="http://schemas.openxmlformats.org/officeDocument/2006/relationships/hyperlink" Target="http://csr.bu.edu/ftp/asl/asllvd/demos/verify_start_end_handshape_annotations//test_auto_move//signs_mov/15057.mov" TargetMode="External"/><Relationship Id="rId10930" Type="http://schemas.openxmlformats.org/officeDocument/2006/relationships/hyperlink" Target="http://csr.bu.edu/ftp/asl/asllvd/demos/verify_start_end_handshape_annotations//test_auto_move//signs_mov_separ_signers/Brady_15057.mov" TargetMode="External"/><Relationship Id="rId10931" Type="http://schemas.openxmlformats.org/officeDocument/2006/relationships/hyperlink" Target="http://secrets.rutgers.edu:8080/data/asl-ftp/asllvd/demos/verify_start_end_handshape_annotations//test_auto_move//signs_mov/15057.mov" TargetMode="External"/><Relationship Id="rId10932" Type="http://schemas.openxmlformats.org/officeDocument/2006/relationships/hyperlink" Target="http://secrets.rutgers.edu:8080/data/asl-ftp/asllvd/demos/verify_start_end_handshape_annotations//test_auto_move//signs_mov_separ_signers/Brady_15057.mov" TargetMode="External"/><Relationship Id="rId10933" Type="http://schemas.openxmlformats.org/officeDocument/2006/relationships/hyperlink" Target="http://csr.bu.edu/ftp/asl/asllvd/demos/verify_start_end_handshape_annotations//test_auto_move//signs_mov_separ_signers/Liz_1188.mov" TargetMode="External"/><Relationship Id="rId10934" Type="http://schemas.openxmlformats.org/officeDocument/2006/relationships/hyperlink" Target="http://secrets.rutgers.edu:8080/data/asl-ftp/asllvd/demos/verify_start_end_handshape_annotations//test_auto_move//signs_mov_separ_signers/Liz_1188.mov" TargetMode="External"/><Relationship Id="rId10935" Type="http://schemas.openxmlformats.org/officeDocument/2006/relationships/hyperlink" Target="http://csr.bu.edu/ftp/asl/asllvd/demos/verify_start_end_handshape_annotations//test_auto_move//signs_mov_separ_signers/Liz_15271.mov" TargetMode="External"/><Relationship Id="rId10936" Type="http://schemas.openxmlformats.org/officeDocument/2006/relationships/hyperlink" Target="http://secrets.rutgers.edu:8080/data/asl-ftp/asllvd/demos/verify_start_end_handshape_annotations//test_auto_move//signs_mov_separ_signers/Liz_15271.mov" TargetMode="External"/><Relationship Id="rId10937" Type="http://schemas.openxmlformats.org/officeDocument/2006/relationships/hyperlink" Target="http://csr.bu.edu/ftp/asl/asllvd/demos/verify_start_end_handshape_annotations//test_auto_move//signs_mov_separ_signers/Tyler_1188.mov" TargetMode="External"/><Relationship Id="rId10938" Type="http://schemas.openxmlformats.org/officeDocument/2006/relationships/hyperlink" Target="http://secrets.rutgers.edu:8080/data/asl-ftp/asllvd/demos/verify_start_end_handshape_annotations//test_auto_move//signs_mov_separ_signers/Tyler_1188.mov" TargetMode="External"/><Relationship Id="rId10939" Type="http://schemas.openxmlformats.org/officeDocument/2006/relationships/hyperlink" Target="http://csr.bu.edu/ftp/asl/asllvd/demos/verify_start_end_handshape_annotations//test_auto_move//signs_mov/1188_15271_merged.mov" TargetMode="External"/><Relationship Id="rId10940" Type="http://schemas.openxmlformats.org/officeDocument/2006/relationships/hyperlink" Target="http://csr.bu.edu/ftp/asl/asllvd/demos/verify_start_end_handshape_annotations//test_auto_move//signs_mov_separ_signers/Naomi_1188.mov" TargetMode="External"/><Relationship Id="rId10941" Type="http://schemas.openxmlformats.org/officeDocument/2006/relationships/hyperlink" Target="http://secrets.rutgers.edu:8080/data/asl-ftp/asllvd/demos/verify_start_end_handshape_annotations//test_auto_move//signs_mov/1188_15271_merged.mov" TargetMode="External"/><Relationship Id="rId10942" Type="http://schemas.openxmlformats.org/officeDocument/2006/relationships/hyperlink" Target="http://secrets.rutgers.edu:8080/data/asl-ftp/asllvd/demos/verify_start_end_handshape_annotations//test_auto_move//signs_mov_separ_signers/Naomi_1188.mov" TargetMode="External"/><Relationship Id="rId10943" Type="http://schemas.openxmlformats.org/officeDocument/2006/relationships/hyperlink" Target="http://csr.bu.edu/ftp/asl/asllvd/demos/verify_start_end_handshape_annotations//test_auto_move//signs_mov_separ_signers/Brady_1188.mov" TargetMode="External"/><Relationship Id="rId10944" Type="http://schemas.openxmlformats.org/officeDocument/2006/relationships/hyperlink" Target="http://secrets.rutgers.edu:8080/data/asl-ftp/asllvd/demos/verify_start_end_handshape_annotations//test_auto_move//signs_mov_separ_signers/Brady_1188.mov" TargetMode="External"/><Relationship Id="rId10945" Type="http://schemas.openxmlformats.org/officeDocument/2006/relationships/hyperlink" Target="http://csr.bu.edu/ftp/asl/asllvd/demos/verify_start_end_handshape_annotations//test_auto_move//signs_mov_separ_signers/Brady_15271.mov" TargetMode="External"/><Relationship Id="rId10946" Type="http://schemas.openxmlformats.org/officeDocument/2006/relationships/hyperlink" Target="http://secrets.rutgers.edu:8080/data/asl-ftp/asllvd/demos/verify_start_end_handshape_annotations//test_auto_move//signs_mov_separ_signers/Brady_15271.mov" TargetMode="External"/><Relationship Id="rId10947" Type="http://schemas.openxmlformats.org/officeDocument/2006/relationships/hyperlink" Target="http://csr.bu.edu/ftp/asl/asllvd/demos/verify_start_end_handshape_annotations//test_auto_move//signs_mov_separ_signers/Lana_1188.mov" TargetMode="External"/><Relationship Id="rId10948" Type="http://schemas.openxmlformats.org/officeDocument/2006/relationships/hyperlink" Target="http://secrets.rutgers.edu:8080/data/asl-ftp/asllvd/demos/verify_start_end_handshape_annotations//test_auto_move//signs_mov_separ_signers/Lana_1188.mov" TargetMode="External"/><Relationship Id="rId10949" Type="http://schemas.openxmlformats.org/officeDocument/2006/relationships/hyperlink" Target="http://csr.bu.edu/ftp/asl/asllvd/demos/verify_start_end_handshape_annotations//test_auto_move//signs_mov_separ_signers/Dana_1188.mov" TargetMode="External"/><Relationship Id="rId10950" Type="http://schemas.openxmlformats.org/officeDocument/2006/relationships/hyperlink" Target="http://secrets.rutgers.edu:8080/data/asl-ftp/asllvd/demos/verify_start_end_handshape_annotations//test_auto_move//signs_mov_separ_signers/Dana_1188.mov" TargetMode="External"/><Relationship Id="rId10951" Type="http://schemas.openxmlformats.org/officeDocument/2006/relationships/hyperlink" Target="http://csr.bu.edu/ftp/asl/asllvd/demos/verify_start_end_handshape_annotations//test_auto_move//signs_mov_separ_signers/Liz_15532.mov" TargetMode="External"/><Relationship Id="rId10952" Type="http://schemas.openxmlformats.org/officeDocument/2006/relationships/hyperlink" Target="http://secrets.rutgers.edu:8080/data/asl-ftp/asllvd/demos/verify_start_end_handshape_annotations//test_auto_move//signs_mov_separ_signers/Liz_15532.mov" TargetMode="External"/><Relationship Id="rId10953" Type="http://schemas.openxmlformats.org/officeDocument/2006/relationships/hyperlink" Target="http://csr.bu.edu/ftp/asl/asllvd/demos/verify_start_end_handshape_annotations//test_auto_move//signs_mov/15532.mov" TargetMode="External"/><Relationship Id="rId10954" Type="http://schemas.openxmlformats.org/officeDocument/2006/relationships/hyperlink" Target="http://csr.bu.edu/ftp/asl/asllvd/demos/verify_start_end_handshape_annotations//test_auto_move//signs_mov_separ_signers/Tyler_15532.mov" TargetMode="External"/><Relationship Id="rId10955" Type="http://schemas.openxmlformats.org/officeDocument/2006/relationships/hyperlink" Target="http://secrets.rutgers.edu:8080/data/asl-ftp/asllvd/demos/verify_start_end_handshape_annotations//test_auto_move//signs_mov/15532.mov" TargetMode="External"/><Relationship Id="rId10956" Type="http://schemas.openxmlformats.org/officeDocument/2006/relationships/hyperlink" Target="http://secrets.rutgers.edu:8080/data/asl-ftp/asllvd/demos/verify_start_end_handshape_annotations//test_auto_move//signs_mov_separ_signers/Tyler_15532.mov" TargetMode="External"/><Relationship Id="rId10957" Type="http://schemas.openxmlformats.org/officeDocument/2006/relationships/hyperlink" Target="http://csr.bu.edu/ftp/asl/asllvd/demos/verify_start_end_handshape_annotations//test_auto_move//signs_mov_separ_signers/Naomi_15532.mov" TargetMode="External"/><Relationship Id="rId10958" Type="http://schemas.openxmlformats.org/officeDocument/2006/relationships/hyperlink" Target="http://secrets.rutgers.edu:8080/data/asl-ftp/asllvd/demos/verify_start_end_handshape_annotations//test_auto_move//signs_mov_separ_signers/Naomi_15532.mov" TargetMode="External"/><Relationship Id="rId10959" Type="http://schemas.openxmlformats.org/officeDocument/2006/relationships/hyperlink" Target="http://csr.bu.edu/ftp/asl/asllvd/demos/verify_start_end_handshape_annotations//test_auto_move//signs_mov_separ_signers/Brady_15532.mov" TargetMode="External"/><Relationship Id="rId10960" Type="http://schemas.openxmlformats.org/officeDocument/2006/relationships/hyperlink" Target="http://secrets.rutgers.edu:8080/data/asl-ftp/asllvd/demos/verify_start_end_handshape_annotations//test_auto_move//signs_mov_separ_signers/Brady_15532.mov" TargetMode="External"/><Relationship Id="rId10961" Type="http://schemas.openxmlformats.org/officeDocument/2006/relationships/hyperlink" Target="http://csr.bu.edu/ftp/asl/asllvd/demos/verify_start_end_handshape_annotations//test_auto_move//signs_mov/1189.mov" TargetMode="External"/><Relationship Id="rId10962" Type="http://schemas.openxmlformats.org/officeDocument/2006/relationships/hyperlink" Target="http://csr.bu.edu/ftp/asl/asllvd/demos/verify_start_end_handshape_annotations//test_auto_move//signs_mov_separ_signers/Brady_1189.mov" TargetMode="External"/><Relationship Id="rId10963" Type="http://schemas.openxmlformats.org/officeDocument/2006/relationships/hyperlink" Target="http://secrets.rutgers.edu:8080/data/asl-ftp/asllvd/demos/verify_start_end_handshape_annotations//test_auto_move//signs_mov/1189.mov" TargetMode="External"/><Relationship Id="rId10964" Type="http://schemas.openxmlformats.org/officeDocument/2006/relationships/hyperlink" Target="http://secrets.rutgers.edu:8080/data/asl-ftp/asllvd/demos/verify_start_end_handshape_annotations//test_auto_move//signs_mov_separ_signers/Brady_1189.mov" TargetMode="External"/><Relationship Id="rId10965" Type="http://schemas.openxmlformats.org/officeDocument/2006/relationships/hyperlink" Target="http://csr.bu.edu/ftp/asl/asllvd/demos/verify_start_end_handshape_annotations//test_auto_move//signs_mov_separ_signers/Liz_5434.mov" TargetMode="External"/><Relationship Id="rId10966" Type="http://schemas.openxmlformats.org/officeDocument/2006/relationships/hyperlink" Target="http://secrets.rutgers.edu:8080/data/asl-ftp/asllvd/demos/verify_start_end_handshape_annotations//test_auto_move//signs_mov_separ_signers/Liz_5434.mov" TargetMode="External"/><Relationship Id="rId10967" Type="http://schemas.openxmlformats.org/officeDocument/2006/relationships/hyperlink" Target="http://csr.bu.edu/ftp/asl/asllvd/demos/verify_start_end_handshape_annotations//test_auto_move//signs_mov_separ_signers/Tyler_5434.mov" TargetMode="External"/><Relationship Id="rId10968" Type="http://schemas.openxmlformats.org/officeDocument/2006/relationships/hyperlink" Target="http://secrets.rutgers.edu:8080/data/asl-ftp/asllvd/demos/verify_start_end_handshape_annotations//test_auto_move//signs_mov_separ_signers/Tyler_5434.mov" TargetMode="External"/><Relationship Id="rId10969" Type="http://schemas.openxmlformats.org/officeDocument/2006/relationships/hyperlink" Target="http://csr.bu.edu/ftp/asl/asllvd/demos/verify_start_end_handshape_annotations//test_auto_move//signs_mov/5434.mov" TargetMode="External"/><Relationship Id="rId10970" Type="http://schemas.openxmlformats.org/officeDocument/2006/relationships/hyperlink" Target="http://csr.bu.edu/ftp/asl/asllvd/demos/verify_start_end_handshape_annotations//test_auto_move//signs_mov_separ_signers/Naomi_5434.mov" TargetMode="External"/><Relationship Id="rId10971" Type="http://schemas.openxmlformats.org/officeDocument/2006/relationships/hyperlink" Target="http://secrets.rutgers.edu:8080/data/asl-ftp/asllvd/demos/verify_start_end_handshape_annotations//test_auto_move//signs_mov/5434.mov" TargetMode="External"/><Relationship Id="rId10972" Type="http://schemas.openxmlformats.org/officeDocument/2006/relationships/hyperlink" Target="http://secrets.rutgers.edu:8080/data/asl-ftp/asllvd/demos/verify_start_end_handshape_annotations//test_auto_move//signs_mov_separ_signers/Naomi_5434.mov" TargetMode="External"/><Relationship Id="rId10973" Type="http://schemas.openxmlformats.org/officeDocument/2006/relationships/hyperlink" Target="http://csr.bu.edu/ftp/asl/asllvd/demos/verify_start_end_handshape_annotations//test_auto_move//signs_mov_separ_signers/Lana_5434.mov" TargetMode="External"/><Relationship Id="rId10974" Type="http://schemas.openxmlformats.org/officeDocument/2006/relationships/hyperlink" Target="http://secrets.rutgers.edu:8080/data/asl-ftp/asllvd/demos/verify_start_end_handshape_annotations//test_auto_move//signs_mov_separ_signers/Lana_5434.mov" TargetMode="External"/><Relationship Id="rId10975" Type="http://schemas.openxmlformats.org/officeDocument/2006/relationships/hyperlink" Target="http://csr.bu.edu/ftp/asl/asllvd/demos/verify_start_end_handshape_annotations//test_auto_move//signs_mov_separ_signers/Dana_5434.mov" TargetMode="External"/><Relationship Id="rId10976" Type="http://schemas.openxmlformats.org/officeDocument/2006/relationships/hyperlink" Target="http://secrets.rutgers.edu:8080/data/asl-ftp/asllvd/demos/verify_start_end_handshape_annotations//test_auto_move//signs_mov_separ_signers/Dana_5434.mov" TargetMode="External"/><Relationship Id="rId10977" Type="http://schemas.openxmlformats.org/officeDocument/2006/relationships/hyperlink" Target="http://csr.bu.edu/ftp/asl/asllvd/demos/verify_start_end_handshape_annotations//test_auto_move//signs_mov/1191.mov" TargetMode="External"/><Relationship Id="rId10978" Type="http://schemas.openxmlformats.org/officeDocument/2006/relationships/hyperlink" Target="http://csr.bu.edu/ftp/asl/asllvd/demos/verify_start_end_handshape_annotations//test_auto_move//signs_mov_separ_signers/Tyler_1191.mov" TargetMode="External"/><Relationship Id="rId10979" Type="http://schemas.openxmlformats.org/officeDocument/2006/relationships/hyperlink" Target="http://secrets.rutgers.edu:8080/data/asl-ftp/asllvd/demos/verify_start_end_handshape_annotations//test_auto_move//signs_mov/1191.mov" TargetMode="External"/><Relationship Id="rId10980" Type="http://schemas.openxmlformats.org/officeDocument/2006/relationships/hyperlink" Target="http://secrets.rutgers.edu:8080/data/asl-ftp/asllvd/demos/verify_start_end_handshape_annotations//test_auto_move//signs_mov_separ_signers/Tyler_1191.mov" TargetMode="External"/><Relationship Id="rId10981" Type="http://schemas.openxmlformats.org/officeDocument/2006/relationships/hyperlink" Target="http://csr.bu.edu/ftp/asl/asllvd/demos/verify_start_end_handshape_annotations//test_auto_move//signs_mov_separ_signers/Brady_1191.mov" TargetMode="External"/><Relationship Id="rId10982" Type="http://schemas.openxmlformats.org/officeDocument/2006/relationships/hyperlink" Target="http://secrets.rutgers.edu:8080/data/asl-ftp/asllvd/demos/verify_start_end_handshape_annotations//test_auto_move//signs_mov_separ_signers/Brady_1191.mov" TargetMode="External"/><Relationship Id="rId10983" Type="http://schemas.openxmlformats.org/officeDocument/2006/relationships/hyperlink" Target="http://csr.bu.edu/ftp/asl/asllvd/demos/verify_start_end_handshape_annotations//test_auto_move//signs_mov/1192.mov" TargetMode="External"/><Relationship Id="rId10984" Type="http://schemas.openxmlformats.org/officeDocument/2006/relationships/hyperlink" Target="http://csr.bu.edu/ftp/asl/asllvd/demos/verify_start_end_handshape_annotations//test_auto_move//signs_mov_separ_signers/Liz_1192.mov" TargetMode="External"/><Relationship Id="rId10985" Type="http://schemas.openxmlformats.org/officeDocument/2006/relationships/hyperlink" Target="http://secrets.rutgers.edu:8080/data/asl-ftp/asllvd/demos/verify_start_end_handshape_annotations//test_auto_move//signs_mov/1192.mov" TargetMode="External"/><Relationship Id="rId10986" Type="http://schemas.openxmlformats.org/officeDocument/2006/relationships/hyperlink" Target="http://secrets.rutgers.edu:8080/data/asl-ftp/asllvd/demos/verify_start_end_handshape_annotations//test_auto_move//signs_mov_separ_signers/Liz_1192.mov" TargetMode="External"/><Relationship Id="rId10987" Type="http://schemas.openxmlformats.org/officeDocument/2006/relationships/hyperlink" Target="http://csr.bu.edu/ftp/asl/asllvd/demos/verify_start_end_handshape_annotations//test_auto_move//signs_mov_separ_signers/Brady_1192.mov" TargetMode="External"/><Relationship Id="rId10988" Type="http://schemas.openxmlformats.org/officeDocument/2006/relationships/hyperlink" Target="http://secrets.rutgers.edu:8080/data/asl-ftp/asllvd/demos/verify_start_end_handshape_annotations//test_auto_move//signs_mov_separ_signers/Brady_1192.mov" TargetMode="External"/><Relationship Id="rId10989" Type="http://schemas.openxmlformats.org/officeDocument/2006/relationships/hyperlink" Target="http://csr.bu.edu/ftp/asl/asllvd/demos/verify_start_end_handshape_annotations//test_auto_move//signs_mov_separ_signers/Liz_1193.mov" TargetMode="External"/><Relationship Id="rId10990" Type="http://schemas.openxmlformats.org/officeDocument/2006/relationships/hyperlink" Target="http://secrets.rutgers.edu:8080/data/asl-ftp/asllvd/demos/verify_start_end_handshape_annotations//test_auto_move//signs_mov_separ_signers/Liz_1193.mov" TargetMode="External"/><Relationship Id="rId10991" Type="http://schemas.openxmlformats.org/officeDocument/2006/relationships/hyperlink" Target="http://csr.bu.edu/ftp/asl/asllvd/demos/verify_start_end_handshape_annotations//test_auto_move//signs_mov/1193.mov" TargetMode="External"/><Relationship Id="rId10992" Type="http://schemas.openxmlformats.org/officeDocument/2006/relationships/hyperlink" Target="http://csr.bu.edu/ftp/asl/asllvd/demos/verify_start_end_handshape_annotations//test_auto_move//signs_mov_separ_signers/Tyler_1193.mov" TargetMode="External"/><Relationship Id="rId10993" Type="http://schemas.openxmlformats.org/officeDocument/2006/relationships/hyperlink" Target="http://secrets.rutgers.edu:8080/data/asl-ftp/asllvd/demos/verify_start_end_handshape_annotations//test_auto_move//signs_mov/1193.mov" TargetMode="External"/><Relationship Id="rId10994" Type="http://schemas.openxmlformats.org/officeDocument/2006/relationships/hyperlink" Target="http://secrets.rutgers.edu:8080/data/asl-ftp/asllvd/demos/verify_start_end_handshape_annotations//test_auto_move//signs_mov_separ_signers/Tyler_1193.mov" TargetMode="External"/><Relationship Id="rId10995" Type="http://schemas.openxmlformats.org/officeDocument/2006/relationships/hyperlink" Target="http://csr.bu.edu/ftp/asl/asllvd/demos/verify_start_end_handshape_annotations//test_auto_move//signs_mov_separ_signers/Brady_1193.mov" TargetMode="External"/><Relationship Id="rId10996" Type="http://schemas.openxmlformats.org/officeDocument/2006/relationships/hyperlink" Target="http://secrets.rutgers.edu:8080/data/asl-ftp/asllvd/demos/verify_start_end_handshape_annotations//test_auto_move//signs_mov_separ_signers/Brady_1193.mov" TargetMode="External"/><Relationship Id="rId10997" Type="http://schemas.openxmlformats.org/officeDocument/2006/relationships/hyperlink" Target="http://csr.bu.edu/ftp/asl/asllvd/demos/verify_start_end_handshape_annotations//test_auto_move//signs_mov/16272.mov" TargetMode="External"/><Relationship Id="rId10998" Type="http://schemas.openxmlformats.org/officeDocument/2006/relationships/hyperlink" Target="http://csr.bu.edu/ftp/asl/asllvd/demos/verify_start_end_handshape_annotations//test_auto_move//signs_mov_separ_signers/Naomi_16272.mov" TargetMode="External"/><Relationship Id="rId10999" Type="http://schemas.openxmlformats.org/officeDocument/2006/relationships/hyperlink" Target="http://secrets.rutgers.edu:8080/data/asl-ftp/asllvd/demos/verify_start_end_handshape_annotations//test_auto_move//signs_mov/16272.mov" TargetMode="External"/><Relationship Id="rId11000" Type="http://schemas.openxmlformats.org/officeDocument/2006/relationships/hyperlink" Target="http://secrets.rutgers.edu:8080/data/asl-ftp/asllvd/demos/verify_start_end_handshape_annotations//test_auto_move//signs_mov_separ_signers/Naomi_16272.mov" TargetMode="External"/><Relationship Id="rId11001" Type="http://schemas.openxmlformats.org/officeDocument/2006/relationships/hyperlink" Target="http://csr.bu.edu/ftp/asl/asllvd/demos/verify_start_end_handshape_annotations//test_auto_move//signs_mov/1194.mov" TargetMode="External"/><Relationship Id="rId11002" Type="http://schemas.openxmlformats.org/officeDocument/2006/relationships/hyperlink" Target="http://csr.bu.edu/ftp/asl/asllvd/demos/verify_start_end_handshape_annotations//test_auto_move//signs_mov_separ_signers/Tyler_1194.mov" TargetMode="External"/><Relationship Id="rId11003" Type="http://schemas.openxmlformats.org/officeDocument/2006/relationships/hyperlink" Target="http://secrets.rutgers.edu:8080/data/asl-ftp/asllvd/demos/verify_start_end_handshape_annotations//test_auto_move//signs_mov/1194.mov" TargetMode="External"/><Relationship Id="rId11004" Type="http://schemas.openxmlformats.org/officeDocument/2006/relationships/hyperlink" Target="http://secrets.rutgers.edu:8080/data/asl-ftp/asllvd/demos/verify_start_end_handshape_annotations//test_auto_move//signs_mov_separ_signers/Tyler_1194.mov" TargetMode="External"/><Relationship Id="rId11005" Type="http://schemas.openxmlformats.org/officeDocument/2006/relationships/hyperlink" Target="http://csr.bu.edu/ftp/asl/asllvd/demos/verify_start_end_handshape_annotations//test_auto_move//signs_mov_separ_signers/Naomi_1194.mov" TargetMode="External"/><Relationship Id="rId11006" Type="http://schemas.openxmlformats.org/officeDocument/2006/relationships/hyperlink" Target="http://secrets.rutgers.edu:8080/data/asl-ftp/asllvd/demos/verify_start_end_handshape_annotations//test_auto_move//signs_mov_separ_signers/Naomi_1194.mov" TargetMode="External"/><Relationship Id="rId11007" Type="http://schemas.openxmlformats.org/officeDocument/2006/relationships/hyperlink" Target="http://csr.bu.edu/ftp/asl/asllvd/demos/verify_start_end_handshape_annotations//test_auto_move//signs_mov/5218.mov" TargetMode="External"/><Relationship Id="rId11008" Type="http://schemas.openxmlformats.org/officeDocument/2006/relationships/hyperlink" Target="http://csr.bu.edu/ftp/asl/asllvd/demos/verify_start_end_handshape_annotations//test_auto_move//signs_mov_separ_signers/Liz_5218.mov" TargetMode="External"/><Relationship Id="rId11009" Type="http://schemas.openxmlformats.org/officeDocument/2006/relationships/hyperlink" Target="http://secrets.rutgers.edu:8080/data/asl-ftp/asllvd/demos/verify_start_end_handshape_annotations//test_auto_move//signs_mov/5218.mov" TargetMode="External"/><Relationship Id="rId11010" Type="http://schemas.openxmlformats.org/officeDocument/2006/relationships/hyperlink" Target="http://secrets.rutgers.edu:8080/data/asl-ftp/asllvd/demos/verify_start_end_handshape_annotations//test_auto_move//signs_mov_separ_signers/Liz_5218.mov" TargetMode="External"/><Relationship Id="rId11011" Type="http://schemas.openxmlformats.org/officeDocument/2006/relationships/hyperlink" Target="http://csr.bu.edu/ftp/asl/asllvd/demos/verify_start_end_handshape_annotations//test_auto_move//signs_mov_separ_signers/Brady_5218.mov" TargetMode="External"/><Relationship Id="rId11012" Type="http://schemas.openxmlformats.org/officeDocument/2006/relationships/hyperlink" Target="http://secrets.rutgers.edu:8080/data/asl-ftp/asllvd/demos/verify_start_end_handshape_annotations//test_auto_move//signs_mov_separ_signers/Brady_5218.mov" TargetMode="External"/><Relationship Id="rId11013" Type="http://schemas.openxmlformats.org/officeDocument/2006/relationships/hyperlink" Target="http://csr.bu.edu/ftp/asl/asllvd/demos/verify_start_end_handshape_annotations//test_auto_move//signs_mov/5902.mov" TargetMode="External"/><Relationship Id="rId11014" Type="http://schemas.openxmlformats.org/officeDocument/2006/relationships/hyperlink" Target="http://csr.bu.edu/ftp/asl/asllvd/demos/verify_start_end_handshape_annotations//test_auto_move//signs_mov_separ_signers/Liz_5902.mov" TargetMode="External"/><Relationship Id="rId11015" Type="http://schemas.openxmlformats.org/officeDocument/2006/relationships/hyperlink" Target="http://secrets.rutgers.edu:8080/data/asl-ftp/asllvd/demos/verify_start_end_handshape_annotations//test_auto_move//signs_mov/5902.mov" TargetMode="External"/><Relationship Id="rId11016" Type="http://schemas.openxmlformats.org/officeDocument/2006/relationships/hyperlink" Target="http://secrets.rutgers.edu:8080/data/asl-ftp/asllvd/demos/verify_start_end_handshape_annotations//test_auto_move//signs_mov_separ_signers/Liz_5902.mov" TargetMode="External"/><Relationship Id="rId11017" Type="http://schemas.openxmlformats.org/officeDocument/2006/relationships/hyperlink" Target="http://csr.bu.edu/ftp/asl/asllvd/demos/verify_start_end_handshape_annotations//test_auto_move//signs_mov_separ_signers/Brady_5902.mov" TargetMode="External"/><Relationship Id="rId11018" Type="http://schemas.openxmlformats.org/officeDocument/2006/relationships/hyperlink" Target="http://secrets.rutgers.edu:8080/data/asl-ftp/asllvd/demos/verify_start_end_handshape_annotations//test_auto_move//signs_mov_separ_signers/Brady_5902.mov" TargetMode="External"/><Relationship Id="rId11019" Type="http://schemas.openxmlformats.org/officeDocument/2006/relationships/hyperlink" Target="http://csr.bu.edu/ftp/asl/asllvd/demos/verify_start_end_handshape_annotations//test_auto_move//signs_mov/5958.mov" TargetMode="External"/><Relationship Id="rId11020" Type="http://schemas.openxmlformats.org/officeDocument/2006/relationships/hyperlink" Target="http://csr.bu.edu/ftp/asl/asllvd/demos/verify_start_end_handshape_annotations//test_auto_move//signs_mov_separ_signers/Liz_5958.mov" TargetMode="External"/><Relationship Id="rId11021" Type="http://schemas.openxmlformats.org/officeDocument/2006/relationships/hyperlink" Target="http://secrets.rutgers.edu:8080/data/asl-ftp/asllvd/demos/verify_start_end_handshape_annotations//test_auto_move//signs_mov/5958.mov" TargetMode="External"/><Relationship Id="rId11022" Type="http://schemas.openxmlformats.org/officeDocument/2006/relationships/hyperlink" Target="http://secrets.rutgers.edu:8080/data/asl-ftp/asllvd/demos/verify_start_end_handshape_annotations//test_auto_move//signs_mov_separ_signers/Liz_5958.mov" TargetMode="External"/><Relationship Id="rId11023" Type="http://schemas.openxmlformats.org/officeDocument/2006/relationships/hyperlink" Target="http://csr.bu.edu/ftp/asl/asllvd/demos/verify_start_end_handshape_annotations//test_auto_move//signs_mov_separ_signers/Brady_5958.mov" TargetMode="External"/><Relationship Id="rId11024" Type="http://schemas.openxmlformats.org/officeDocument/2006/relationships/hyperlink" Target="http://secrets.rutgers.edu:8080/data/asl-ftp/asllvd/demos/verify_start_end_handshape_annotations//test_auto_move//signs_mov_separ_signers/Brady_5958.mov" TargetMode="External"/><Relationship Id="rId11025" Type="http://schemas.openxmlformats.org/officeDocument/2006/relationships/hyperlink" Target="http://csr.bu.edu/ftp/asl/asllvd/demos/verify_start_end_handshape_annotations//test_auto_move//signs_mov_separ_signers/Liz_1195.mov" TargetMode="External"/><Relationship Id="rId11026" Type="http://schemas.openxmlformats.org/officeDocument/2006/relationships/hyperlink" Target="http://secrets.rutgers.edu:8080/data/asl-ftp/asllvd/demos/verify_start_end_handshape_annotations//test_auto_move//signs_mov_separ_signers/Liz_1195.mov" TargetMode="External"/><Relationship Id="rId11027" Type="http://schemas.openxmlformats.org/officeDocument/2006/relationships/hyperlink" Target="http://csr.bu.edu/ftp/asl/asllvd/demos/verify_start_end_handshape_annotations//test_auto_move//signs_mov/1195.mov" TargetMode="External"/><Relationship Id="rId11028" Type="http://schemas.openxmlformats.org/officeDocument/2006/relationships/hyperlink" Target="http://csr.bu.edu/ftp/asl/asllvd/demos/verify_start_end_handshape_annotations//test_auto_move//signs_mov_separ_signers/Tyler_1195.mov" TargetMode="External"/><Relationship Id="rId11029" Type="http://schemas.openxmlformats.org/officeDocument/2006/relationships/hyperlink" Target="http://secrets.rutgers.edu:8080/data/asl-ftp/asllvd/demos/verify_start_end_handshape_annotations//test_auto_move//signs_mov/1195.mov" TargetMode="External"/><Relationship Id="rId11030" Type="http://schemas.openxmlformats.org/officeDocument/2006/relationships/hyperlink" Target="http://secrets.rutgers.edu:8080/data/asl-ftp/asllvd/demos/verify_start_end_handshape_annotations//test_auto_move//signs_mov_separ_signers/Tyler_1195.mov" TargetMode="External"/><Relationship Id="rId11031" Type="http://schemas.openxmlformats.org/officeDocument/2006/relationships/hyperlink" Target="http://csr.bu.edu/ftp/asl/asllvd/demos/verify_start_end_handshape_annotations//test_auto_move//signs_mov_separ_signers/Naomi_1195.mov" TargetMode="External"/><Relationship Id="rId11032" Type="http://schemas.openxmlformats.org/officeDocument/2006/relationships/hyperlink" Target="http://secrets.rutgers.edu:8080/data/asl-ftp/asllvd/demos/verify_start_end_handshape_annotations//test_auto_move//signs_mov_separ_signers/Naomi_1195.mov" TargetMode="External"/><Relationship Id="rId11033" Type="http://schemas.openxmlformats.org/officeDocument/2006/relationships/hyperlink" Target="http://csr.bu.edu/ftp/asl/asllvd/demos/verify_start_end_handshape_annotations//test_auto_move//signs_mov_separ_signers/Brady_1195.mov" TargetMode="External"/><Relationship Id="rId11034" Type="http://schemas.openxmlformats.org/officeDocument/2006/relationships/hyperlink" Target="http://secrets.rutgers.edu:8080/data/asl-ftp/asllvd/demos/verify_start_end_handshape_annotations//test_auto_move//signs_mov_separ_signers/Brady_1195.mov" TargetMode="External"/><Relationship Id="rId11035" Type="http://schemas.openxmlformats.org/officeDocument/2006/relationships/hyperlink" Target="http://csr.bu.edu/ftp/asl/asllvd/demos/verify_start_end_handshape_annotations//test_auto_move//signs_mov_separ_signers/Liz_1199.mov" TargetMode="External"/><Relationship Id="rId11036" Type="http://schemas.openxmlformats.org/officeDocument/2006/relationships/hyperlink" Target="http://secrets.rutgers.edu:8080/data/asl-ftp/asllvd/demos/verify_start_end_handshape_annotations//test_auto_move//signs_mov_separ_signers/Liz_1199.mov" TargetMode="External"/><Relationship Id="rId11037" Type="http://schemas.openxmlformats.org/officeDocument/2006/relationships/hyperlink" Target="http://csr.bu.edu/ftp/asl/asllvd/demos/verify_start_end_handshape_annotations//test_auto_move//signs_mov_separ_signers/Naomi_1199.mov" TargetMode="External"/><Relationship Id="rId11038" Type="http://schemas.openxmlformats.org/officeDocument/2006/relationships/hyperlink" Target="http://secrets.rutgers.edu:8080/data/asl-ftp/asllvd/demos/verify_start_end_handshape_annotations//test_auto_move//signs_mov_separ_signers/Naomi_1199.mov" TargetMode="External"/><Relationship Id="rId11039" Type="http://schemas.openxmlformats.org/officeDocument/2006/relationships/hyperlink" Target="http://csr.bu.edu/ftp/asl/asllvd/demos/verify_start_end_handshape_annotations//test_auto_move//signs_mov/1199.mov" TargetMode="External"/><Relationship Id="rId11040" Type="http://schemas.openxmlformats.org/officeDocument/2006/relationships/hyperlink" Target="http://csr.bu.edu/ftp/asl/asllvd/demos/verify_start_end_handshape_annotations//test_auto_move//signs_mov_separ_signers/Brady_1199.mov" TargetMode="External"/><Relationship Id="rId11041" Type="http://schemas.openxmlformats.org/officeDocument/2006/relationships/hyperlink" Target="http://secrets.rutgers.edu:8080/data/asl-ftp/asllvd/demos/verify_start_end_handshape_annotations//test_auto_move//signs_mov/1199.mov" TargetMode="External"/><Relationship Id="rId11042" Type="http://schemas.openxmlformats.org/officeDocument/2006/relationships/hyperlink" Target="http://secrets.rutgers.edu:8080/data/asl-ftp/asllvd/demos/verify_start_end_handshape_annotations//test_auto_move//signs_mov_separ_signers/Brady_1199.mov" TargetMode="External"/><Relationship Id="rId11043" Type="http://schemas.openxmlformats.org/officeDocument/2006/relationships/hyperlink" Target="http://csr.bu.edu/ftp/asl/asllvd/demos/verify_start_end_handshape_annotations//test_auto_move//signs_mov_separ_signers/Lana_1199.mov" TargetMode="External"/><Relationship Id="rId11044" Type="http://schemas.openxmlformats.org/officeDocument/2006/relationships/hyperlink" Target="http://secrets.rutgers.edu:8080/data/asl-ftp/asllvd/demos/verify_start_end_handshape_annotations//test_auto_move//signs_mov_separ_signers/Lana_1199.mov" TargetMode="External"/><Relationship Id="rId11045" Type="http://schemas.openxmlformats.org/officeDocument/2006/relationships/hyperlink" Target="http://csr.bu.edu/ftp/asl/asllvd/demos/verify_start_end_handshape_annotations//test_auto_move//signs_mov_separ_signers/Dana_1199.mov" TargetMode="External"/><Relationship Id="rId11046" Type="http://schemas.openxmlformats.org/officeDocument/2006/relationships/hyperlink" Target="http://secrets.rutgers.edu:8080/data/asl-ftp/asllvd/demos/verify_start_end_handshape_annotations//test_auto_move//signs_mov_separ_signers/Dana_1199.mov" TargetMode="External"/><Relationship Id="rId11047" Type="http://schemas.openxmlformats.org/officeDocument/2006/relationships/hyperlink" Target="http://csr.bu.edu/ftp/asl/asllvd/demos/verify_start_end_handshape_annotations//test_auto_move//signs_mov/3879.mov" TargetMode="External"/><Relationship Id="rId11048" Type="http://schemas.openxmlformats.org/officeDocument/2006/relationships/hyperlink" Target="http://csr.bu.edu/ftp/asl/asllvd/demos/verify_start_end_handshape_annotations//test_auto_move//signs_mov_separ_signers/Liz_3879.mov" TargetMode="External"/><Relationship Id="rId11049" Type="http://schemas.openxmlformats.org/officeDocument/2006/relationships/hyperlink" Target="http://secrets.rutgers.edu:8080/data/asl-ftp/asllvd/demos/verify_start_end_handshape_annotations//test_auto_move//signs_mov/3879.mov" TargetMode="External"/><Relationship Id="rId11050" Type="http://schemas.openxmlformats.org/officeDocument/2006/relationships/hyperlink" Target="http://secrets.rutgers.edu:8080/data/asl-ftp/asllvd/demos/verify_start_end_handshape_annotations//test_auto_move//signs_mov_separ_signers/Liz_3879.mov" TargetMode="External"/><Relationship Id="rId11051" Type="http://schemas.openxmlformats.org/officeDocument/2006/relationships/hyperlink" Target="http://csr.bu.edu/ftp/asl/asllvd/demos/verify_start_end_handshape_annotations//test_auto_move//signs_mov/3909.mov" TargetMode="External"/><Relationship Id="rId11052" Type="http://schemas.openxmlformats.org/officeDocument/2006/relationships/hyperlink" Target="http://csr.bu.edu/ftp/asl/asllvd/demos/verify_start_end_handshape_annotations//test_auto_move//signs_mov_separ_signers/Liz_3909.mov" TargetMode="External"/><Relationship Id="rId11053" Type="http://schemas.openxmlformats.org/officeDocument/2006/relationships/hyperlink" Target="http://secrets.rutgers.edu:8080/data/asl-ftp/asllvd/demos/verify_start_end_handshape_annotations//test_auto_move//signs_mov/3909.mov" TargetMode="External"/><Relationship Id="rId11054" Type="http://schemas.openxmlformats.org/officeDocument/2006/relationships/hyperlink" Target="http://secrets.rutgers.edu:8080/data/asl-ftp/asllvd/demos/verify_start_end_handshape_annotations//test_auto_move//signs_mov_separ_signers/Liz_3909.mov" TargetMode="External"/><Relationship Id="rId11055" Type="http://schemas.openxmlformats.org/officeDocument/2006/relationships/hyperlink" Target="http://csr.bu.edu/ftp/asl/asllvd/demos/verify_start_end_handshape_annotations//test_auto_move//signs_mov/5220.mov" TargetMode="External"/><Relationship Id="rId11056" Type="http://schemas.openxmlformats.org/officeDocument/2006/relationships/hyperlink" Target="http://csr.bu.edu/ftp/asl/asllvd/demos/verify_start_end_handshape_annotations//test_auto_move//signs_mov_separ_signers/Brady_5220.mov" TargetMode="External"/><Relationship Id="rId11057" Type="http://schemas.openxmlformats.org/officeDocument/2006/relationships/hyperlink" Target="http://secrets.rutgers.edu:8080/data/asl-ftp/asllvd/demos/verify_start_end_handshape_annotations//test_auto_move//signs_mov/5220.mov" TargetMode="External"/><Relationship Id="rId11058" Type="http://schemas.openxmlformats.org/officeDocument/2006/relationships/hyperlink" Target="http://secrets.rutgers.edu:8080/data/asl-ftp/asllvd/demos/verify_start_end_handshape_annotations//test_auto_move//signs_mov_separ_signers/Brady_5220.mov" TargetMode="External"/><Relationship Id="rId11059" Type="http://schemas.openxmlformats.org/officeDocument/2006/relationships/hyperlink" Target="http://csr.bu.edu/ftp/asl/asllvd/demos/verify_start_end_handshape_annotations//test_auto_move//signs_mov/15519.mov" TargetMode="External"/><Relationship Id="rId11060" Type="http://schemas.openxmlformats.org/officeDocument/2006/relationships/hyperlink" Target="http://csr.bu.edu/ftp/asl/asllvd/demos/verify_start_end_handshape_annotations//test_auto_move//signs_mov_separ_signers/Liz_15519.mov" TargetMode="External"/><Relationship Id="rId11061" Type="http://schemas.openxmlformats.org/officeDocument/2006/relationships/hyperlink" Target="http://secrets.rutgers.edu:8080/data/asl-ftp/asllvd/demos/verify_start_end_handshape_annotations//test_auto_move//signs_mov/15519.mov" TargetMode="External"/><Relationship Id="rId11062" Type="http://schemas.openxmlformats.org/officeDocument/2006/relationships/hyperlink" Target="http://secrets.rutgers.edu:8080/data/asl-ftp/asllvd/demos/verify_start_end_handshape_annotations//test_auto_move//signs_mov_separ_signers/Liz_15519.mov" TargetMode="External"/><Relationship Id="rId11063" Type="http://schemas.openxmlformats.org/officeDocument/2006/relationships/hyperlink" Target="http://csr.bu.edu/ftp/asl/asllvd/demos/verify_start_end_handshape_annotations//test_auto_move//signs_mov_separ_signers/Brady_15519.mov" TargetMode="External"/><Relationship Id="rId11064" Type="http://schemas.openxmlformats.org/officeDocument/2006/relationships/hyperlink" Target="http://secrets.rutgers.edu:8080/data/asl-ftp/asllvd/demos/verify_start_end_handshape_annotations//test_auto_move//signs_mov_separ_signers/Brady_15519.mov" TargetMode="External"/><Relationship Id="rId11065" Type="http://schemas.openxmlformats.org/officeDocument/2006/relationships/hyperlink" Target="http://csr.bu.edu/ftp/asl/asllvd/demos/verify_start_end_handshape_annotations//test_auto_move//signs_mov_separ_signers/Liz_1200.mov" TargetMode="External"/><Relationship Id="rId11066" Type="http://schemas.openxmlformats.org/officeDocument/2006/relationships/hyperlink" Target="http://secrets.rutgers.edu:8080/data/asl-ftp/asllvd/demos/verify_start_end_handshape_annotations//test_auto_move//signs_mov_separ_signers/Liz_1200.mov" TargetMode="External"/><Relationship Id="rId11067" Type="http://schemas.openxmlformats.org/officeDocument/2006/relationships/hyperlink" Target="http://csr.bu.edu/ftp/asl/asllvd/demos/verify_start_end_handshape_annotations//test_auto_move//signs_mov/1200.mov" TargetMode="External"/><Relationship Id="rId11068" Type="http://schemas.openxmlformats.org/officeDocument/2006/relationships/hyperlink" Target="http://csr.bu.edu/ftp/asl/asllvd/demos/verify_start_end_handshape_annotations//test_auto_move//signs_mov_separ_signers/Naomi_1200.mov" TargetMode="External"/><Relationship Id="rId11069" Type="http://schemas.openxmlformats.org/officeDocument/2006/relationships/hyperlink" Target="http://secrets.rutgers.edu:8080/data/asl-ftp/asllvd/demos/verify_start_end_handshape_annotations//test_auto_move//signs_mov/1200.mov" TargetMode="External"/><Relationship Id="rId11070" Type="http://schemas.openxmlformats.org/officeDocument/2006/relationships/hyperlink" Target="http://secrets.rutgers.edu:8080/data/asl-ftp/asllvd/demos/verify_start_end_handshape_annotations//test_auto_move//signs_mov_separ_signers/Naomi_1200.mov" TargetMode="External"/><Relationship Id="rId11071" Type="http://schemas.openxmlformats.org/officeDocument/2006/relationships/hyperlink" Target="http://csr.bu.edu/ftp/asl/asllvd/demos/verify_start_end_handshape_annotations//test_auto_move//signs_mov_separ_signers/Brady_1200.mov" TargetMode="External"/><Relationship Id="rId11072" Type="http://schemas.openxmlformats.org/officeDocument/2006/relationships/hyperlink" Target="http://secrets.rutgers.edu:8080/data/asl-ftp/asllvd/demos/verify_start_end_handshape_annotations//test_auto_move//signs_mov_separ_signers/Brady_1200.mov" TargetMode="External"/><Relationship Id="rId11073" Type="http://schemas.openxmlformats.org/officeDocument/2006/relationships/hyperlink" Target="http://csr.bu.edu/ftp/asl/asllvd/demos/verify_start_end_handshape_annotations//test_auto_move//signs_mov_separ_signers/Lana_1200.mov" TargetMode="External"/><Relationship Id="rId11074" Type="http://schemas.openxmlformats.org/officeDocument/2006/relationships/hyperlink" Target="http://secrets.rutgers.edu:8080/data/asl-ftp/asllvd/demos/verify_start_end_handshape_annotations//test_auto_move//signs_mov_separ_signers/Lana_1200.mov" TargetMode="External"/><Relationship Id="rId11075" Type="http://schemas.openxmlformats.org/officeDocument/2006/relationships/hyperlink" Target="http://csr.bu.edu/ftp/asl/asllvd/demos/verify_start_end_handshape_annotations//test_auto_move//signs_mov_separ_signers/Liz_1201.mov" TargetMode="External"/><Relationship Id="rId11076" Type="http://schemas.openxmlformats.org/officeDocument/2006/relationships/hyperlink" Target="http://secrets.rutgers.edu:8080/data/asl-ftp/asllvd/demos/verify_start_end_handshape_annotations//test_auto_move//signs_mov_separ_signers/Liz_1201.mov" TargetMode="External"/><Relationship Id="rId11077" Type="http://schemas.openxmlformats.org/officeDocument/2006/relationships/hyperlink" Target="http://csr.bu.edu/ftp/asl/asllvd/demos/verify_start_end_handshape_annotations//test_auto_move//signs_mov_separ_signers/Liz_3474.mov" TargetMode="External"/><Relationship Id="rId11078" Type="http://schemas.openxmlformats.org/officeDocument/2006/relationships/hyperlink" Target="http://secrets.rutgers.edu:8080/data/asl-ftp/asllvd/demos/verify_start_end_handshape_annotations//test_auto_move//signs_mov_separ_signers/Liz_3474.mov" TargetMode="External"/><Relationship Id="rId11079" Type="http://schemas.openxmlformats.org/officeDocument/2006/relationships/hyperlink" Target="http://csr.bu.edu/ftp/asl/asllvd/demos/verify_start_end_handshape_annotations//test_auto_move//signs_mov_separ_signers/Tyler_1201.mov" TargetMode="External"/><Relationship Id="rId11080" Type="http://schemas.openxmlformats.org/officeDocument/2006/relationships/hyperlink" Target="http://secrets.rutgers.edu:8080/data/asl-ftp/asllvd/demos/verify_start_end_handshape_annotations//test_auto_move//signs_mov_separ_signers/Tyler_1201.mov" TargetMode="External"/><Relationship Id="rId11081" Type="http://schemas.openxmlformats.org/officeDocument/2006/relationships/hyperlink" Target="http://csr.bu.edu/ftp/asl/asllvd/demos/verify_start_end_handshape_annotations//test_auto_move//signs_mov/1201_3474_merged.mov" TargetMode="External"/><Relationship Id="rId11082" Type="http://schemas.openxmlformats.org/officeDocument/2006/relationships/hyperlink" Target="http://csr.bu.edu/ftp/asl/asllvd/demos/verify_start_end_handshape_annotations//test_auto_move//signs_mov_separ_signers/Tyler_3474.mov" TargetMode="External"/><Relationship Id="rId11083" Type="http://schemas.openxmlformats.org/officeDocument/2006/relationships/hyperlink" Target="http://secrets.rutgers.edu:8080/data/asl-ftp/asllvd/demos/verify_start_end_handshape_annotations//test_auto_move//signs_mov/1201_3474_merged.mov" TargetMode="External"/><Relationship Id="rId11084" Type="http://schemas.openxmlformats.org/officeDocument/2006/relationships/hyperlink" Target="http://secrets.rutgers.edu:8080/data/asl-ftp/asllvd/demos/verify_start_end_handshape_annotations//test_auto_move//signs_mov_separ_signers/Tyler_3474.mov" TargetMode="External"/><Relationship Id="rId11085" Type="http://schemas.openxmlformats.org/officeDocument/2006/relationships/hyperlink" Target="http://csr.bu.edu/ftp/asl/asllvd/demos/verify_start_end_handshape_annotations//test_auto_move//signs_mov_separ_signers/Naomi_1201.mov" TargetMode="External"/><Relationship Id="rId11086" Type="http://schemas.openxmlformats.org/officeDocument/2006/relationships/hyperlink" Target="http://secrets.rutgers.edu:8080/data/asl-ftp/asllvd/demos/verify_start_end_handshape_annotations//test_auto_move//signs_mov_separ_signers/Naomi_1201.mov" TargetMode="External"/><Relationship Id="rId11087" Type="http://schemas.openxmlformats.org/officeDocument/2006/relationships/hyperlink" Target="http://csr.bu.edu/ftp/asl/asllvd/demos/verify_start_end_handshape_annotations//test_auto_move//signs_mov_separ_signers/Naomi_3474.mov" TargetMode="External"/><Relationship Id="rId11088" Type="http://schemas.openxmlformats.org/officeDocument/2006/relationships/hyperlink" Target="http://secrets.rutgers.edu:8080/data/asl-ftp/asllvd/demos/verify_start_end_handshape_annotations//test_auto_move//signs_mov_separ_signers/Naomi_3474.mov" TargetMode="External"/><Relationship Id="rId11089" Type="http://schemas.openxmlformats.org/officeDocument/2006/relationships/hyperlink" Target="http://csr.bu.edu/ftp/asl/asllvd/demos/verify_start_end_handshape_annotations//test_auto_move//signs_mov_separ_signers/Brady_1201.mov" TargetMode="External"/><Relationship Id="rId11090" Type="http://schemas.openxmlformats.org/officeDocument/2006/relationships/hyperlink" Target="http://secrets.rutgers.edu:8080/data/asl-ftp/asllvd/demos/verify_start_end_handshape_annotations//test_auto_move//signs_mov_separ_signers/Brady_1201.mov" TargetMode="External"/><Relationship Id="rId11091" Type="http://schemas.openxmlformats.org/officeDocument/2006/relationships/hyperlink" Target="http://csr.bu.edu/ftp/asl/asllvd/demos/verify_start_end_handshape_annotations//test_auto_move//signs_mov/1202.mov" TargetMode="External"/><Relationship Id="rId11092" Type="http://schemas.openxmlformats.org/officeDocument/2006/relationships/hyperlink" Target="http://csr.bu.edu/ftp/asl/asllvd/demos/verify_start_end_handshape_annotations//test_auto_move//signs_mov_separ_signers/Lana_1202.mov" TargetMode="External"/><Relationship Id="rId11093" Type="http://schemas.openxmlformats.org/officeDocument/2006/relationships/hyperlink" Target="http://secrets.rutgers.edu:8080/data/asl-ftp/asllvd/demos/verify_start_end_handshape_annotations//test_auto_move//signs_mov/1202.mov" TargetMode="External"/><Relationship Id="rId11094" Type="http://schemas.openxmlformats.org/officeDocument/2006/relationships/hyperlink" Target="http://secrets.rutgers.edu:8080/data/asl-ftp/asllvd/demos/verify_start_end_handshape_annotations//test_auto_move//signs_mov_separ_signers/Lana_1202.mov" TargetMode="External"/><Relationship Id="rId11095" Type="http://schemas.openxmlformats.org/officeDocument/2006/relationships/hyperlink" Target="http://csr.bu.edu/ftp/asl/asllvd/demos/verify_start_end_handshape_annotations//test_auto_move//signs_mov_separ_signers/Dana_1202.mov" TargetMode="External"/><Relationship Id="rId11096" Type="http://schemas.openxmlformats.org/officeDocument/2006/relationships/hyperlink" Target="http://secrets.rutgers.edu:8080/data/asl-ftp/asllvd/demos/verify_start_end_handshape_annotations//test_auto_move//signs_mov_separ_signers/Dana_1202.mov" TargetMode="External"/><Relationship Id="rId11097" Type="http://schemas.openxmlformats.org/officeDocument/2006/relationships/hyperlink" Target="http://csr.bu.edu/ftp/asl/asllvd/demos/verify_start_end_handshape_annotations//test_auto_move//signs_mov_separ_signers/Liz_15344.mov" TargetMode="External"/><Relationship Id="rId11098" Type="http://schemas.openxmlformats.org/officeDocument/2006/relationships/hyperlink" Target="http://secrets.rutgers.edu:8080/data/asl-ftp/asllvd/demos/verify_start_end_handshape_annotations//test_auto_move//signs_mov_separ_signers/Liz_15344.mov" TargetMode="External"/><Relationship Id="rId11099" Type="http://schemas.openxmlformats.org/officeDocument/2006/relationships/hyperlink" Target="http://csr.bu.edu/ftp/asl/asllvd/demos/verify_start_end_handshape_annotations//test_auto_move//signs_mov/15344.mov" TargetMode="External"/><Relationship Id="rId11100" Type="http://schemas.openxmlformats.org/officeDocument/2006/relationships/hyperlink" Target="http://csr.bu.edu/ftp/asl/asllvd/demos/verify_start_end_handshape_annotations//test_auto_move//signs_mov_separ_signers/Tyler_15344.mov" TargetMode="External"/><Relationship Id="rId11101" Type="http://schemas.openxmlformats.org/officeDocument/2006/relationships/hyperlink" Target="http://secrets.rutgers.edu:8080/data/asl-ftp/asllvd/demos/verify_start_end_handshape_annotations//test_auto_move//signs_mov/15344.mov" TargetMode="External"/><Relationship Id="rId11102" Type="http://schemas.openxmlformats.org/officeDocument/2006/relationships/hyperlink" Target="http://secrets.rutgers.edu:8080/data/asl-ftp/asllvd/demos/verify_start_end_handshape_annotations//test_auto_move//signs_mov_separ_signers/Tyler_15344.mov" TargetMode="External"/><Relationship Id="rId11103" Type="http://schemas.openxmlformats.org/officeDocument/2006/relationships/hyperlink" Target="http://csr.bu.edu/ftp/asl/asllvd/demos/verify_start_end_handshape_annotations//test_auto_move//signs_mov_separ_signers/Naomi_15344.mov" TargetMode="External"/><Relationship Id="rId11104" Type="http://schemas.openxmlformats.org/officeDocument/2006/relationships/hyperlink" Target="http://secrets.rutgers.edu:8080/data/asl-ftp/asllvd/demos/verify_start_end_handshape_annotations//test_auto_move//signs_mov_separ_signers/Naomi_15344.mov" TargetMode="External"/><Relationship Id="rId11105" Type="http://schemas.openxmlformats.org/officeDocument/2006/relationships/hyperlink" Target="http://csr.bu.edu/ftp/asl/asllvd/demos/verify_start_end_handshape_annotations//test_auto_move//signs_mov/15345.mov" TargetMode="External"/><Relationship Id="rId11106" Type="http://schemas.openxmlformats.org/officeDocument/2006/relationships/hyperlink" Target="http://csr.bu.edu/ftp/asl/asllvd/demos/verify_start_end_handshape_annotations//test_auto_move//signs_mov_separ_signers/Brady_15345.mov" TargetMode="External"/><Relationship Id="rId11107" Type="http://schemas.openxmlformats.org/officeDocument/2006/relationships/hyperlink" Target="http://secrets.rutgers.edu:8080/data/asl-ftp/asllvd/demos/verify_start_end_handshape_annotations//test_auto_move//signs_mov/15345.mov" TargetMode="External"/><Relationship Id="rId11108" Type="http://schemas.openxmlformats.org/officeDocument/2006/relationships/hyperlink" Target="http://secrets.rutgers.edu:8080/data/asl-ftp/asllvd/demos/verify_start_end_handshape_annotations//test_auto_move//signs_mov_separ_signers/Brady_15345.mov" TargetMode="External"/><Relationship Id="rId11109" Type="http://schemas.openxmlformats.org/officeDocument/2006/relationships/hyperlink" Target="http://csr.bu.edu/ftp/asl/asllvd/demos/verify_start_end_handshape_annotations//test_auto_move//signs_mov/1203.mov" TargetMode="External"/><Relationship Id="rId11110" Type="http://schemas.openxmlformats.org/officeDocument/2006/relationships/hyperlink" Target="http://csr.bu.edu/ftp/asl/asllvd/demos/verify_start_end_handshape_annotations//test_auto_move//signs_mov_separ_signers/Liz_1203.mov" TargetMode="External"/><Relationship Id="rId11111" Type="http://schemas.openxmlformats.org/officeDocument/2006/relationships/hyperlink" Target="http://secrets.rutgers.edu:8080/data/asl-ftp/asllvd/demos/verify_start_end_handshape_annotations//test_auto_move//signs_mov/1203.mov" TargetMode="External"/><Relationship Id="rId11112" Type="http://schemas.openxmlformats.org/officeDocument/2006/relationships/hyperlink" Target="http://secrets.rutgers.edu:8080/data/asl-ftp/asllvd/demos/verify_start_end_handshape_annotations//test_auto_move//signs_mov_separ_signers/Liz_1203.mov" TargetMode="External"/><Relationship Id="rId11113" Type="http://schemas.openxmlformats.org/officeDocument/2006/relationships/hyperlink" Target="http://csr.bu.edu/ftp/asl/asllvd/demos/verify_start_end_handshape_annotations//test_auto_move//signs_mov_separ_signers/Naomi_1203.mov" TargetMode="External"/><Relationship Id="rId11114" Type="http://schemas.openxmlformats.org/officeDocument/2006/relationships/hyperlink" Target="http://secrets.rutgers.edu:8080/data/asl-ftp/asllvd/demos/verify_start_end_handshape_annotations//test_auto_move//signs_mov_separ_signers/Naomi_1203.mov" TargetMode="External"/><Relationship Id="rId11115" Type="http://schemas.openxmlformats.org/officeDocument/2006/relationships/hyperlink" Target="http://csr.bu.edu/ftp/asl/asllvd/demos/verify_start_end_handshape_annotations//test_auto_move//signs_mov_separ_signers/Liz_1208.mov" TargetMode="External"/><Relationship Id="rId11116" Type="http://schemas.openxmlformats.org/officeDocument/2006/relationships/hyperlink" Target="http://secrets.rutgers.edu:8080/data/asl-ftp/asllvd/demos/verify_start_end_handshape_annotations//test_auto_move//signs_mov_separ_signers/Liz_1208.mov" TargetMode="External"/><Relationship Id="rId11117" Type="http://schemas.openxmlformats.org/officeDocument/2006/relationships/hyperlink" Target="http://csr.bu.edu/ftp/asl/asllvd/demos/verify_start_end_handshape_annotations//test_auto_move//signs_mov_separ_signers/Liz_3658.mov" TargetMode="External"/><Relationship Id="rId11118" Type="http://schemas.openxmlformats.org/officeDocument/2006/relationships/hyperlink" Target="http://secrets.rutgers.edu:8080/data/asl-ftp/asllvd/demos/verify_start_end_handshape_annotations//test_auto_move//signs_mov_separ_signers/Liz_3658.mov" TargetMode="External"/><Relationship Id="rId11119" Type="http://schemas.openxmlformats.org/officeDocument/2006/relationships/hyperlink" Target="http://csr.bu.edu/ftp/asl/asllvd/demos/verify_start_end_handshape_annotations//test_auto_move//signs_mov_separ_signers/Tyler_1208.mov" TargetMode="External"/><Relationship Id="rId11120" Type="http://schemas.openxmlformats.org/officeDocument/2006/relationships/hyperlink" Target="http://secrets.rutgers.edu:8080/data/asl-ftp/asllvd/demos/verify_start_end_handshape_annotations//test_auto_move//signs_mov_separ_signers/Tyler_1208.mov" TargetMode="External"/><Relationship Id="rId11121" Type="http://schemas.openxmlformats.org/officeDocument/2006/relationships/hyperlink" Target="http://csr.bu.edu/ftp/asl/asllvd/demos/verify_start_end_handshape_annotations//test_auto_move//signs_mov/1208_3658_merged.mov" TargetMode="External"/><Relationship Id="rId11122" Type="http://schemas.openxmlformats.org/officeDocument/2006/relationships/hyperlink" Target="http://csr.bu.edu/ftp/asl/asllvd/demos/verify_start_end_handshape_annotations//test_auto_move//signs_mov_separ_signers/Naomi_1208.mov" TargetMode="External"/><Relationship Id="rId11123" Type="http://schemas.openxmlformats.org/officeDocument/2006/relationships/hyperlink" Target="http://secrets.rutgers.edu:8080/data/asl-ftp/asllvd/demos/verify_start_end_handshape_annotations//test_auto_move//signs_mov/1208_3658_merged.mov" TargetMode="External"/><Relationship Id="rId11124" Type="http://schemas.openxmlformats.org/officeDocument/2006/relationships/hyperlink" Target="http://secrets.rutgers.edu:8080/data/asl-ftp/asllvd/demos/verify_start_end_handshape_annotations//test_auto_move//signs_mov_separ_signers/Naomi_1208.mov" TargetMode="External"/><Relationship Id="rId11125" Type="http://schemas.openxmlformats.org/officeDocument/2006/relationships/hyperlink" Target="http://csr.bu.edu/ftp/asl/asllvd/demos/verify_start_end_handshape_annotations//test_auto_move//signs_mov_separ_signers/Naomi_3658.mov" TargetMode="External"/><Relationship Id="rId11126" Type="http://schemas.openxmlformats.org/officeDocument/2006/relationships/hyperlink" Target="http://secrets.rutgers.edu:8080/data/asl-ftp/asllvd/demos/verify_start_end_handshape_annotations//test_auto_move//signs_mov_separ_signers/Naomi_3658.mov" TargetMode="External"/><Relationship Id="rId11127" Type="http://schemas.openxmlformats.org/officeDocument/2006/relationships/hyperlink" Target="http://csr.bu.edu/ftp/asl/asllvd/demos/verify_start_end_handshape_annotations//test_auto_move//signs_mov_separ_signers/Brady_1208.mov" TargetMode="External"/><Relationship Id="rId11128" Type="http://schemas.openxmlformats.org/officeDocument/2006/relationships/hyperlink" Target="http://secrets.rutgers.edu:8080/data/asl-ftp/asllvd/demos/verify_start_end_handshape_annotations//test_auto_move//signs_mov_separ_signers/Brady_1208.mov" TargetMode="External"/><Relationship Id="rId11129" Type="http://schemas.openxmlformats.org/officeDocument/2006/relationships/hyperlink" Target="http://csr.bu.edu/ftp/asl/asllvd/demos/verify_start_end_handshape_annotations//test_auto_move//signs_mov_separ_signers/Brady_3658.mov" TargetMode="External"/><Relationship Id="rId11130" Type="http://schemas.openxmlformats.org/officeDocument/2006/relationships/hyperlink" Target="http://secrets.rutgers.edu:8080/data/asl-ftp/asllvd/demos/verify_start_end_handshape_annotations//test_auto_move//signs_mov_separ_signers/Brady_3658.mov" TargetMode="External"/><Relationship Id="rId11131" Type="http://schemas.openxmlformats.org/officeDocument/2006/relationships/hyperlink" Target="http://csr.bu.edu/ftp/asl/asllvd/demos/verify_start_end_handshape_annotations//test_auto_move//signs_mov_separ_signers/Liz_1211.mov" TargetMode="External"/><Relationship Id="rId11132" Type="http://schemas.openxmlformats.org/officeDocument/2006/relationships/hyperlink" Target="http://secrets.rutgers.edu:8080/data/asl-ftp/asllvd/demos/verify_start_end_handshape_annotations//test_auto_move//signs_mov_separ_signers/Liz_1211.mov" TargetMode="External"/><Relationship Id="rId11133" Type="http://schemas.openxmlformats.org/officeDocument/2006/relationships/hyperlink" Target="http://csr.bu.edu/ftp/asl/asllvd/demos/verify_start_end_handshape_annotations//test_auto_move//signs_mov/1211.mov" TargetMode="External"/><Relationship Id="rId11134" Type="http://schemas.openxmlformats.org/officeDocument/2006/relationships/hyperlink" Target="http://csr.bu.edu/ftp/asl/asllvd/demos/verify_start_end_handshape_annotations//test_auto_move//signs_mov_separ_signers/Tyler_1211.mov" TargetMode="External"/><Relationship Id="rId11135" Type="http://schemas.openxmlformats.org/officeDocument/2006/relationships/hyperlink" Target="http://secrets.rutgers.edu:8080/data/asl-ftp/asllvd/demos/verify_start_end_handshape_annotations//test_auto_move//signs_mov/1211.mov" TargetMode="External"/><Relationship Id="rId11136" Type="http://schemas.openxmlformats.org/officeDocument/2006/relationships/hyperlink" Target="http://secrets.rutgers.edu:8080/data/asl-ftp/asllvd/demos/verify_start_end_handshape_annotations//test_auto_move//signs_mov_separ_signers/Tyler_1211.mov" TargetMode="External"/><Relationship Id="rId11137" Type="http://schemas.openxmlformats.org/officeDocument/2006/relationships/hyperlink" Target="http://csr.bu.edu/ftp/asl/asllvd/demos/verify_start_end_handshape_annotations//test_auto_move//signs_mov_separ_signers/Naomi_1211.mov" TargetMode="External"/><Relationship Id="rId11138" Type="http://schemas.openxmlformats.org/officeDocument/2006/relationships/hyperlink" Target="http://secrets.rutgers.edu:8080/data/asl-ftp/asllvd/demos/verify_start_end_handshape_annotations//test_auto_move//signs_mov_separ_signers/Naomi_1211.mov" TargetMode="External"/><Relationship Id="rId11139" Type="http://schemas.openxmlformats.org/officeDocument/2006/relationships/hyperlink" Target="http://csr.bu.edu/ftp/asl/asllvd/demos/verify_start_end_handshape_annotations//test_auto_move//signs_mov_separ_signers/Brady_1211.mov" TargetMode="External"/><Relationship Id="rId11140" Type="http://schemas.openxmlformats.org/officeDocument/2006/relationships/hyperlink" Target="http://secrets.rutgers.edu:8080/data/asl-ftp/asllvd/demos/verify_start_end_handshape_annotations//test_auto_move//signs_mov_separ_signers/Brady_1211.mov" TargetMode="External"/><Relationship Id="rId11141" Type="http://schemas.openxmlformats.org/officeDocument/2006/relationships/hyperlink" Target="http://csr.bu.edu/ftp/asl/asllvd/demos/verify_start_end_handshape_annotations//test_auto_move//signs_mov_separ_signers/Liz_1212.mov" TargetMode="External"/><Relationship Id="rId11142" Type="http://schemas.openxmlformats.org/officeDocument/2006/relationships/hyperlink" Target="http://secrets.rutgers.edu:8080/data/asl-ftp/asllvd/demos/verify_start_end_handshape_annotations//test_auto_move//signs_mov_separ_signers/Liz_1212.mov" TargetMode="External"/><Relationship Id="rId11143" Type="http://schemas.openxmlformats.org/officeDocument/2006/relationships/hyperlink" Target="http://csr.bu.edu/ftp/asl/asllvd/demos/verify_start_end_handshape_annotations//test_auto_move//signs_mov/1212_3659_merged.mov" TargetMode="External"/><Relationship Id="rId11144" Type="http://schemas.openxmlformats.org/officeDocument/2006/relationships/hyperlink" Target="http://csr.bu.edu/ftp/asl/asllvd/demos/verify_start_end_handshape_annotations//test_auto_move//signs_mov_separ_signers/Liz_3659.mov" TargetMode="External"/><Relationship Id="rId11145" Type="http://schemas.openxmlformats.org/officeDocument/2006/relationships/hyperlink" Target="http://secrets.rutgers.edu:8080/data/asl-ftp/asllvd/demos/verify_start_end_handshape_annotations//test_auto_move//signs_mov/1212_3659_merged.mov" TargetMode="External"/><Relationship Id="rId11146" Type="http://schemas.openxmlformats.org/officeDocument/2006/relationships/hyperlink" Target="http://secrets.rutgers.edu:8080/data/asl-ftp/asllvd/demos/verify_start_end_handshape_annotations//test_auto_move//signs_mov_separ_signers/Liz_3659.mov" TargetMode="External"/><Relationship Id="rId11147" Type="http://schemas.openxmlformats.org/officeDocument/2006/relationships/hyperlink" Target="http://csr.bu.edu/ftp/asl/asllvd/demos/verify_start_end_handshape_annotations//test_auto_move//signs_mov_separ_signers/Tyler_1212.mov" TargetMode="External"/><Relationship Id="rId11148" Type="http://schemas.openxmlformats.org/officeDocument/2006/relationships/hyperlink" Target="http://secrets.rutgers.edu:8080/data/asl-ftp/asllvd/demos/verify_start_end_handshape_annotations//test_auto_move//signs_mov_separ_signers/Tyler_1212.mov" TargetMode="External"/><Relationship Id="rId11149" Type="http://schemas.openxmlformats.org/officeDocument/2006/relationships/hyperlink" Target="http://csr.bu.edu/ftp/asl/asllvd/demos/verify_start_end_handshape_annotations//test_auto_move//signs_mov/5221.mov" TargetMode="External"/><Relationship Id="rId11150" Type="http://schemas.openxmlformats.org/officeDocument/2006/relationships/hyperlink" Target="http://csr.bu.edu/ftp/asl/asllvd/demos/verify_start_end_handshape_annotations//test_auto_move//signs_mov_separ_signers/Naomi_5221.mov" TargetMode="External"/><Relationship Id="rId11151" Type="http://schemas.openxmlformats.org/officeDocument/2006/relationships/hyperlink" Target="http://secrets.rutgers.edu:8080/data/asl-ftp/asllvd/demos/verify_start_end_handshape_annotations//test_auto_move//signs_mov/5221.mov" TargetMode="External"/><Relationship Id="rId11152" Type="http://schemas.openxmlformats.org/officeDocument/2006/relationships/hyperlink" Target="http://secrets.rutgers.edu:8080/data/asl-ftp/asllvd/demos/verify_start_end_handshape_annotations//test_auto_move//signs_mov_separ_signers/Naomi_5221.mov" TargetMode="External"/><Relationship Id="rId11153" Type="http://schemas.openxmlformats.org/officeDocument/2006/relationships/hyperlink" Target="http://csr.bu.edu/ftp/asl/asllvd/demos/verify_start_end_handshape_annotations//test_auto_move//signs_mov/15475.mov" TargetMode="External"/><Relationship Id="rId11154" Type="http://schemas.openxmlformats.org/officeDocument/2006/relationships/hyperlink" Target="http://csr.bu.edu/ftp/asl/asllvd/demos/verify_start_end_handshape_annotations//test_auto_move//signs_mov_separ_signers/Brady_15475.mov" TargetMode="External"/><Relationship Id="rId11155" Type="http://schemas.openxmlformats.org/officeDocument/2006/relationships/hyperlink" Target="http://secrets.rutgers.edu:8080/data/asl-ftp/asllvd/demos/verify_start_end_handshape_annotations//test_auto_move//signs_mov/15475.mov" TargetMode="External"/><Relationship Id="rId11156" Type="http://schemas.openxmlformats.org/officeDocument/2006/relationships/hyperlink" Target="http://secrets.rutgers.edu:8080/data/asl-ftp/asllvd/demos/verify_start_end_handshape_annotations//test_auto_move//signs_mov_separ_signers/Brady_15475.mov" TargetMode="External"/><Relationship Id="rId11157" Type="http://schemas.openxmlformats.org/officeDocument/2006/relationships/hyperlink" Target="http://csr.bu.edu/ftp/asl/asllvd/demos/verify_start_end_handshape_annotations//test_auto_move//signs_mov_separ_signers/Liz_1215.mov" TargetMode="External"/><Relationship Id="rId11158" Type="http://schemas.openxmlformats.org/officeDocument/2006/relationships/hyperlink" Target="http://secrets.rutgers.edu:8080/data/asl-ftp/asllvd/demos/verify_start_end_handshape_annotations//test_auto_move//signs_mov_separ_signers/Liz_1215.mov" TargetMode="External"/><Relationship Id="rId11159" Type="http://schemas.openxmlformats.org/officeDocument/2006/relationships/hyperlink" Target="http://csr.bu.edu/ftp/asl/asllvd/demos/verify_start_end_handshape_annotations//test_auto_move//signs_mov/1215.mov" TargetMode="External"/><Relationship Id="rId11160" Type="http://schemas.openxmlformats.org/officeDocument/2006/relationships/hyperlink" Target="http://csr.bu.edu/ftp/asl/asllvd/demos/verify_start_end_handshape_annotations//test_auto_move//signs_mov_separ_signers/Tyler_1215.mov" TargetMode="External"/><Relationship Id="rId11161" Type="http://schemas.openxmlformats.org/officeDocument/2006/relationships/hyperlink" Target="http://secrets.rutgers.edu:8080/data/asl-ftp/asllvd/demos/verify_start_end_handshape_annotations//test_auto_move//signs_mov/1215.mov" TargetMode="External"/><Relationship Id="rId11162" Type="http://schemas.openxmlformats.org/officeDocument/2006/relationships/hyperlink" Target="http://secrets.rutgers.edu:8080/data/asl-ftp/asllvd/demos/verify_start_end_handshape_annotations//test_auto_move//signs_mov_separ_signers/Tyler_1215.mov" TargetMode="External"/><Relationship Id="rId11163" Type="http://schemas.openxmlformats.org/officeDocument/2006/relationships/hyperlink" Target="http://csr.bu.edu/ftp/asl/asllvd/demos/verify_start_end_handshape_annotations//test_auto_move//signs_mov_separ_signers/Naomi_1215.mov" TargetMode="External"/><Relationship Id="rId11164" Type="http://schemas.openxmlformats.org/officeDocument/2006/relationships/hyperlink" Target="http://secrets.rutgers.edu:8080/data/asl-ftp/asllvd/demos/verify_start_end_handshape_annotations//test_auto_move//signs_mov_separ_signers/Naomi_1215.mov" TargetMode="External"/><Relationship Id="rId11165" Type="http://schemas.openxmlformats.org/officeDocument/2006/relationships/hyperlink" Target="http://csr.bu.edu/ftp/asl/asllvd/demos/verify_start_end_handshape_annotations//test_auto_move//signs_mov_separ_signers/Brady_1215.mov" TargetMode="External"/><Relationship Id="rId11166" Type="http://schemas.openxmlformats.org/officeDocument/2006/relationships/hyperlink" Target="http://secrets.rutgers.edu:8080/data/asl-ftp/asllvd/demos/verify_start_end_handshape_annotations//test_auto_move//signs_mov_separ_signers/Brady_1215.mov" TargetMode="External"/><Relationship Id="rId11167" Type="http://schemas.openxmlformats.org/officeDocument/2006/relationships/hyperlink" Target="http://csr.bu.edu/ftp/asl/asllvd/demos/verify_start_end_handshape_annotations//test_auto_move//signs_mov/5714.mov" TargetMode="External"/><Relationship Id="rId11168" Type="http://schemas.openxmlformats.org/officeDocument/2006/relationships/hyperlink" Target="http://csr.bu.edu/ftp/asl/asllvd/demos/verify_start_end_handshape_annotations//test_auto_move//signs_mov_separ_signers/Liz_5714.mov" TargetMode="External"/><Relationship Id="rId11169" Type="http://schemas.openxmlformats.org/officeDocument/2006/relationships/hyperlink" Target="http://secrets.rutgers.edu:8080/data/asl-ftp/asllvd/demos/verify_start_end_handshape_annotations//test_auto_move//signs_mov/5714.mov" TargetMode="External"/><Relationship Id="rId11170" Type="http://schemas.openxmlformats.org/officeDocument/2006/relationships/hyperlink" Target="http://secrets.rutgers.edu:8080/data/asl-ftp/asllvd/demos/verify_start_end_handshape_annotations//test_auto_move//signs_mov_separ_signers/Liz_5714.mov" TargetMode="External"/><Relationship Id="rId11171" Type="http://schemas.openxmlformats.org/officeDocument/2006/relationships/hyperlink" Target="http://csr.bu.edu/ftp/asl/asllvd/demos/verify_start_end_handshape_annotations//test_auto_move//signs_mov_separ_signers/Naomi_5714.mov" TargetMode="External"/><Relationship Id="rId11172" Type="http://schemas.openxmlformats.org/officeDocument/2006/relationships/hyperlink" Target="http://secrets.rutgers.edu:8080/data/asl-ftp/asllvd/demos/verify_start_end_handshape_annotations//test_auto_move//signs_mov_separ_signers/Naomi_5714.mov" TargetMode="External"/><Relationship Id="rId11173" Type="http://schemas.openxmlformats.org/officeDocument/2006/relationships/hyperlink" Target="http://csr.bu.edu/ftp/asl/asllvd/demos/verify_start_end_handshape_annotations//test_auto_move//signs_mov_separ_signers/Liz_1217.mov" TargetMode="External"/><Relationship Id="rId11174" Type="http://schemas.openxmlformats.org/officeDocument/2006/relationships/hyperlink" Target="http://secrets.rutgers.edu:8080/data/asl-ftp/asllvd/demos/verify_start_end_handshape_annotations//test_auto_move//signs_mov_separ_signers/Liz_1217.mov" TargetMode="External"/><Relationship Id="rId11175" Type="http://schemas.openxmlformats.org/officeDocument/2006/relationships/hyperlink" Target="http://csr.bu.edu/ftp/asl/asllvd/demos/verify_start_end_handshape_annotations//test_auto_move//signs_mov/1217_3825_merged.mov" TargetMode="External"/><Relationship Id="rId11176" Type="http://schemas.openxmlformats.org/officeDocument/2006/relationships/hyperlink" Target="http://csr.bu.edu/ftp/asl/asllvd/demos/verify_start_end_handshape_annotations//test_auto_move//signs_mov_separ_signers/Liz_3825.mov" TargetMode="External"/><Relationship Id="rId11177" Type="http://schemas.openxmlformats.org/officeDocument/2006/relationships/hyperlink" Target="http://secrets.rutgers.edu:8080/data/asl-ftp/asllvd/demos/verify_start_end_handshape_annotations//test_auto_move//signs_mov/1217_3825_merged.mov" TargetMode="External"/><Relationship Id="rId11178" Type="http://schemas.openxmlformats.org/officeDocument/2006/relationships/hyperlink" Target="http://secrets.rutgers.edu:8080/data/asl-ftp/asllvd/demos/verify_start_end_handshape_annotations//test_auto_move//signs_mov_separ_signers/Liz_3825.mov" TargetMode="External"/><Relationship Id="rId11179" Type="http://schemas.openxmlformats.org/officeDocument/2006/relationships/hyperlink" Target="http://csr.bu.edu/ftp/asl/asllvd/demos/verify_start_end_handshape_annotations//test_auto_move//signs_mov_separ_signers/Tyler_1217.mov" TargetMode="External"/><Relationship Id="rId11180" Type="http://schemas.openxmlformats.org/officeDocument/2006/relationships/hyperlink" Target="http://secrets.rutgers.edu:8080/data/asl-ftp/asllvd/demos/verify_start_end_handshape_annotations//test_auto_move//signs_mov_separ_signers/Tyler_1217.mov" TargetMode="External"/><Relationship Id="rId11181" Type="http://schemas.openxmlformats.org/officeDocument/2006/relationships/hyperlink" Target="http://csr.bu.edu/ftp/asl/asllvd/demos/verify_start_end_handshape_annotations//test_auto_move//signs_mov_separ_signers/Naomi_1217.mov" TargetMode="External"/><Relationship Id="rId11182" Type="http://schemas.openxmlformats.org/officeDocument/2006/relationships/hyperlink" Target="http://secrets.rutgers.edu:8080/data/asl-ftp/asllvd/demos/verify_start_end_handshape_annotations//test_auto_move//signs_mov_separ_signers/Naomi_1217.mov" TargetMode="External"/><Relationship Id="rId11183" Type="http://schemas.openxmlformats.org/officeDocument/2006/relationships/hyperlink" Target="http://csr.bu.edu/ftp/asl/asllvd/demos/verify_start_end_handshape_annotations//test_auto_move//signs_mov_separ_signers/Liz_1219.mov" TargetMode="External"/><Relationship Id="rId11184" Type="http://schemas.openxmlformats.org/officeDocument/2006/relationships/hyperlink" Target="http://secrets.rutgers.edu:8080/data/asl-ftp/asllvd/demos/verify_start_end_handshape_annotations//test_auto_move//signs_mov_separ_signers/Liz_1219.mov" TargetMode="External"/><Relationship Id="rId11185" Type="http://schemas.openxmlformats.org/officeDocument/2006/relationships/hyperlink" Target="http://csr.bu.edu/ftp/asl/asllvd/demos/verify_start_end_handshape_annotations//test_auto_move//signs_mov/1219.mov" TargetMode="External"/><Relationship Id="rId11186" Type="http://schemas.openxmlformats.org/officeDocument/2006/relationships/hyperlink" Target="http://csr.bu.edu/ftp/asl/asllvd/demos/verify_start_end_handshape_annotations//test_auto_move//signs_mov_separ_signers/Tyler_1219.mov" TargetMode="External"/><Relationship Id="rId11187" Type="http://schemas.openxmlformats.org/officeDocument/2006/relationships/hyperlink" Target="http://secrets.rutgers.edu:8080/data/asl-ftp/asllvd/demos/verify_start_end_handshape_annotations//test_auto_move//signs_mov/1219.mov" TargetMode="External"/><Relationship Id="rId11188" Type="http://schemas.openxmlformats.org/officeDocument/2006/relationships/hyperlink" Target="http://secrets.rutgers.edu:8080/data/asl-ftp/asllvd/demos/verify_start_end_handshape_annotations//test_auto_move//signs_mov_separ_signers/Tyler_1219.mov" TargetMode="External"/><Relationship Id="rId11189" Type="http://schemas.openxmlformats.org/officeDocument/2006/relationships/hyperlink" Target="http://csr.bu.edu/ftp/asl/asllvd/demos/verify_start_end_handshape_annotations//test_auto_move//signs_mov_separ_signers/Naomi_1219.mov" TargetMode="External"/><Relationship Id="rId11190" Type="http://schemas.openxmlformats.org/officeDocument/2006/relationships/hyperlink" Target="http://secrets.rutgers.edu:8080/data/asl-ftp/asllvd/demos/verify_start_end_handshape_annotations//test_auto_move//signs_mov_separ_signers/Naomi_1219.mov" TargetMode="External"/><Relationship Id="rId11191" Type="http://schemas.openxmlformats.org/officeDocument/2006/relationships/hyperlink" Target="http://csr.bu.edu/ftp/asl/asllvd/demos/verify_start_end_handshape_annotations//test_auto_move//signs_mov_separ_signers/Liz_1221.mov" TargetMode="External"/><Relationship Id="rId11192" Type="http://schemas.openxmlformats.org/officeDocument/2006/relationships/hyperlink" Target="http://secrets.rutgers.edu:8080/data/asl-ftp/asllvd/demos/verify_start_end_handshape_annotations//test_auto_move//signs_mov_separ_signers/Liz_1221.mov" TargetMode="External"/><Relationship Id="rId11193" Type="http://schemas.openxmlformats.org/officeDocument/2006/relationships/hyperlink" Target="http://csr.bu.edu/ftp/asl/asllvd/demos/verify_start_end_handshape_annotations//test_auto_move//signs_mov_separ_signers/Tyler_1221.mov" TargetMode="External"/><Relationship Id="rId11194" Type="http://schemas.openxmlformats.org/officeDocument/2006/relationships/hyperlink" Target="http://secrets.rutgers.edu:8080/data/asl-ftp/asllvd/demos/verify_start_end_handshape_annotations//test_auto_move//signs_mov_separ_signers/Tyler_1221.mov" TargetMode="External"/><Relationship Id="rId11195" Type="http://schemas.openxmlformats.org/officeDocument/2006/relationships/hyperlink" Target="http://csr.bu.edu/ftp/asl/asllvd/demos/verify_start_end_handshape_annotations//test_auto_move//signs_mov/1221.mov" TargetMode="External"/><Relationship Id="rId11196" Type="http://schemas.openxmlformats.org/officeDocument/2006/relationships/hyperlink" Target="http://csr.bu.edu/ftp/asl/asllvd/demos/verify_start_end_handshape_annotations//test_auto_move//signs_mov_separ_signers/Naomi_1221.mov" TargetMode="External"/><Relationship Id="rId11197" Type="http://schemas.openxmlformats.org/officeDocument/2006/relationships/hyperlink" Target="http://secrets.rutgers.edu:8080/data/asl-ftp/asllvd/demos/verify_start_end_handshape_annotations//test_auto_move//signs_mov/1221.mov" TargetMode="External"/><Relationship Id="rId11198" Type="http://schemas.openxmlformats.org/officeDocument/2006/relationships/hyperlink" Target="http://secrets.rutgers.edu:8080/data/asl-ftp/asllvd/demos/verify_start_end_handshape_annotations//test_auto_move//signs_mov_separ_signers/Naomi_1221.mov" TargetMode="External"/><Relationship Id="rId11199" Type="http://schemas.openxmlformats.org/officeDocument/2006/relationships/hyperlink" Target="http://csr.bu.edu/ftp/asl/asllvd/demos/verify_start_end_handshape_annotations//test_auto_move//signs_mov_separ_signers/Lana_1221.mov" TargetMode="External"/><Relationship Id="rId11200" Type="http://schemas.openxmlformats.org/officeDocument/2006/relationships/hyperlink" Target="http://secrets.rutgers.edu:8080/data/asl-ftp/asllvd/demos/verify_start_end_handshape_annotations//test_auto_move//signs_mov_separ_signers/Lana_1221.mov" TargetMode="External"/><Relationship Id="rId11201" Type="http://schemas.openxmlformats.org/officeDocument/2006/relationships/hyperlink" Target="http://csr.bu.edu/ftp/asl/asllvd/demos/verify_start_end_handshape_annotations//test_auto_move//signs_mov_separ_signers/Dana_1221.mov" TargetMode="External"/><Relationship Id="rId11202" Type="http://schemas.openxmlformats.org/officeDocument/2006/relationships/hyperlink" Target="http://secrets.rutgers.edu:8080/data/asl-ftp/asllvd/demos/verify_start_end_handshape_annotations//test_auto_move//signs_mov_separ_signers/Dana_1221.mov" TargetMode="External"/><Relationship Id="rId11203" Type="http://schemas.openxmlformats.org/officeDocument/2006/relationships/hyperlink" Target="http://csr.bu.edu/ftp/asl/asllvd/demos/verify_start_end_handshape_annotations//test_auto_move//signs_mov_separ_signers/Liz_1222.mov" TargetMode="External"/><Relationship Id="rId11204" Type="http://schemas.openxmlformats.org/officeDocument/2006/relationships/hyperlink" Target="http://secrets.rutgers.edu:8080/data/asl-ftp/asllvd/demos/verify_start_end_handshape_annotations//test_auto_move//signs_mov_separ_signers/Liz_1222.mov" TargetMode="External"/><Relationship Id="rId11205" Type="http://schemas.openxmlformats.org/officeDocument/2006/relationships/hyperlink" Target="http://csr.bu.edu/ftp/asl/asllvd/demos/verify_start_end_handshape_annotations//test_auto_move//signs_mov_separ_signers/Liz_3759.mov" TargetMode="External"/><Relationship Id="rId11206" Type="http://schemas.openxmlformats.org/officeDocument/2006/relationships/hyperlink" Target="http://secrets.rutgers.edu:8080/data/asl-ftp/asllvd/demos/verify_start_end_handshape_annotations//test_auto_move//signs_mov_separ_signers/Liz_3759.mov" TargetMode="External"/><Relationship Id="rId11207" Type="http://schemas.openxmlformats.org/officeDocument/2006/relationships/hyperlink" Target="http://csr.bu.edu/ftp/asl/asllvd/demos/verify_start_end_handshape_annotations//test_auto_move//signs_mov/1222_3759_3761_merged.mov" TargetMode="External"/><Relationship Id="rId11208" Type="http://schemas.openxmlformats.org/officeDocument/2006/relationships/hyperlink" Target="http://csr.bu.edu/ftp/asl/asllvd/demos/verify_start_end_handshape_annotations//test_auto_move//signs_mov_separ_signers/Liz_3761.mov" TargetMode="External"/><Relationship Id="rId11209" Type="http://schemas.openxmlformats.org/officeDocument/2006/relationships/hyperlink" Target="http://secrets.rutgers.edu:8080/data/asl-ftp/asllvd/demos/verify_start_end_handshape_annotations//test_auto_move//signs_mov/1222_3759_3761_merged.mov" TargetMode="External"/><Relationship Id="rId11210" Type="http://schemas.openxmlformats.org/officeDocument/2006/relationships/hyperlink" Target="http://secrets.rutgers.edu:8080/data/asl-ftp/asllvd/demos/verify_start_end_handshape_annotations//test_auto_move//signs_mov_separ_signers/Liz_3761.mov" TargetMode="External"/><Relationship Id="rId11211" Type="http://schemas.openxmlformats.org/officeDocument/2006/relationships/hyperlink" Target="http://csr.bu.edu/ftp/asl/asllvd/demos/verify_start_end_handshape_annotations//test_auto_move//signs_mov_separ_signers/Tyler_1222.mov" TargetMode="External"/><Relationship Id="rId11212" Type="http://schemas.openxmlformats.org/officeDocument/2006/relationships/hyperlink" Target="http://secrets.rutgers.edu:8080/data/asl-ftp/asllvd/demos/verify_start_end_handshape_annotations//test_auto_move//signs_mov_separ_signers/Tyler_1222.mov" TargetMode="External"/><Relationship Id="rId11213" Type="http://schemas.openxmlformats.org/officeDocument/2006/relationships/hyperlink" Target="http://csr.bu.edu/ftp/asl/asllvd/demos/verify_start_end_handshape_annotations//test_auto_move//signs_mov_separ_signers/Lana_1222.mov" TargetMode="External"/><Relationship Id="rId11214" Type="http://schemas.openxmlformats.org/officeDocument/2006/relationships/hyperlink" Target="http://secrets.rutgers.edu:8080/data/asl-ftp/asllvd/demos/verify_start_end_handshape_annotations//test_auto_move//signs_mov_separ_signers/Lana_1222.mov" TargetMode="External"/><Relationship Id="rId11215" Type="http://schemas.openxmlformats.org/officeDocument/2006/relationships/hyperlink" Target="http://csr.bu.edu/ftp/asl/asllvd/demos/verify_start_end_handshape_annotations//test_auto_move//signs_mov/15497.mov" TargetMode="External"/><Relationship Id="rId11216" Type="http://schemas.openxmlformats.org/officeDocument/2006/relationships/hyperlink" Target="http://csr.bu.edu/ftp/asl/asllvd/demos/verify_start_end_handshape_annotations//test_auto_move//signs_mov_separ_signers/Naomi_15497.mov" TargetMode="External"/><Relationship Id="rId11217" Type="http://schemas.openxmlformats.org/officeDocument/2006/relationships/hyperlink" Target="http://secrets.rutgers.edu:8080/data/asl-ftp/asllvd/demos/verify_start_end_handshape_annotations//test_auto_move//signs_mov/15497.mov" TargetMode="External"/><Relationship Id="rId11218" Type="http://schemas.openxmlformats.org/officeDocument/2006/relationships/hyperlink" Target="http://secrets.rutgers.edu:8080/data/asl-ftp/asllvd/demos/verify_start_end_handshape_annotations//test_auto_move//signs_mov_separ_signers/Naomi_15497.mov" TargetMode="External"/><Relationship Id="rId11219" Type="http://schemas.openxmlformats.org/officeDocument/2006/relationships/hyperlink" Target="http://csr.bu.edu/ftp/asl/asllvd/demos/verify_start_end_handshape_annotations//test_auto_move//signs_mov_separ_signers/Dana_15497.mov" TargetMode="External"/><Relationship Id="rId11220" Type="http://schemas.openxmlformats.org/officeDocument/2006/relationships/hyperlink" Target="http://secrets.rutgers.edu:8080/data/asl-ftp/asllvd/demos/verify_start_end_handshape_annotations//test_auto_move//signs_mov_separ_signers/Dana_15497.mov" TargetMode="External"/><Relationship Id="rId11221" Type="http://schemas.openxmlformats.org/officeDocument/2006/relationships/hyperlink" Target="http://csr.bu.edu/ftp/asl/asllvd/demos/verify_start_end_handshape_annotations//test_auto_move//signs_mov/15726.mov" TargetMode="External"/><Relationship Id="rId11222" Type="http://schemas.openxmlformats.org/officeDocument/2006/relationships/hyperlink" Target="http://csr.bu.edu/ftp/asl/asllvd/demos/verify_start_end_handshape_annotations//test_auto_move//signs_mov_separ_signers/Brady_15726.mov" TargetMode="External"/><Relationship Id="rId11223" Type="http://schemas.openxmlformats.org/officeDocument/2006/relationships/hyperlink" Target="http://secrets.rutgers.edu:8080/data/asl-ftp/asllvd/demos/verify_start_end_handshape_annotations//test_auto_move//signs_mov/15726.mov" TargetMode="External"/><Relationship Id="rId11224" Type="http://schemas.openxmlformats.org/officeDocument/2006/relationships/hyperlink" Target="http://secrets.rutgers.edu:8080/data/asl-ftp/asllvd/demos/verify_start_end_handshape_annotations//test_auto_move//signs_mov_separ_signers/Brady_15726.mov" TargetMode="External"/><Relationship Id="rId11225" Type="http://schemas.openxmlformats.org/officeDocument/2006/relationships/hyperlink" Target="http://csr.bu.edu/ftp/asl/asllvd/demos/verify_start_end_handshape_annotations//test_auto_move//signs_mov/15789.mov" TargetMode="External"/><Relationship Id="rId11226" Type="http://schemas.openxmlformats.org/officeDocument/2006/relationships/hyperlink" Target="http://csr.bu.edu/ftp/asl/asllvd/demos/verify_start_end_handshape_annotations//test_auto_move//signs_mov_separ_signers/Liz_15789.mov" TargetMode="External"/><Relationship Id="rId11227" Type="http://schemas.openxmlformats.org/officeDocument/2006/relationships/hyperlink" Target="http://secrets.rutgers.edu:8080/data/asl-ftp/asllvd/demos/verify_start_end_handshape_annotations//test_auto_move//signs_mov/15789.mov" TargetMode="External"/><Relationship Id="rId11228" Type="http://schemas.openxmlformats.org/officeDocument/2006/relationships/hyperlink" Target="http://secrets.rutgers.edu:8080/data/asl-ftp/asllvd/demos/verify_start_end_handshape_annotations//test_auto_move//signs_mov_separ_signers/Liz_15789.mov" TargetMode="External"/><Relationship Id="rId11229" Type="http://schemas.openxmlformats.org/officeDocument/2006/relationships/hyperlink" Target="http://csr.bu.edu/ftp/asl/asllvd/demos/verify_start_end_handshape_annotations//test_auto_move//signs_mov_separ_signers/Brady_15789.mov" TargetMode="External"/><Relationship Id="rId11230" Type="http://schemas.openxmlformats.org/officeDocument/2006/relationships/hyperlink" Target="http://secrets.rutgers.edu:8080/data/asl-ftp/asllvd/demos/verify_start_end_handshape_annotations//test_auto_move//signs_mov_separ_signers/Brady_15789.mov" TargetMode="External"/><Relationship Id="rId11231" Type="http://schemas.openxmlformats.org/officeDocument/2006/relationships/hyperlink" Target="http://csr.bu.edu/ftp/asl/asllvd/demos/verify_start_end_handshape_annotations//test_auto_move//signs_mov_separ_signers/Liz_15790.mov" TargetMode="External"/><Relationship Id="rId11232" Type="http://schemas.openxmlformats.org/officeDocument/2006/relationships/hyperlink" Target="http://secrets.rutgers.edu:8080/data/asl-ftp/asllvd/demos/verify_start_end_handshape_annotations//test_auto_move//signs_mov_separ_signers/Liz_15790.mov" TargetMode="External"/><Relationship Id="rId11233" Type="http://schemas.openxmlformats.org/officeDocument/2006/relationships/hyperlink" Target="http://csr.bu.edu/ftp/asl/asllvd/demos/verify_start_end_handshape_annotations//test_auto_move//signs_mov/15790.mov" TargetMode="External"/><Relationship Id="rId11234" Type="http://schemas.openxmlformats.org/officeDocument/2006/relationships/hyperlink" Target="http://csr.bu.edu/ftp/asl/asllvd/demos/verify_start_end_handshape_annotations//test_auto_move//signs_mov_separ_signers/Tyler_15790.mov" TargetMode="External"/><Relationship Id="rId11235" Type="http://schemas.openxmlformats.org/officeDocument/2006/relationships/hyperlink" Target="http://secrets.rutgers.edu:8080/data/asl-ftp/asllvd/demos/verify_start_end_handshape_annotations//test_auto_move//signs_mov/15790.mov" TargetMode="External"/><Relationship Id="rId11236" Type="http://schemas.openxmlformats.org/officeDocument/2006/relationships/hyperlink" Target="http://secrets.rutgers.edu:8080/data/asl-ftp/asllvd/demos/verify_start_end_handshape_annotations//test_auto_move//signs_mov_separ_signers/Tyler_15790.mov" TargetMode="External"/><Relationship Id="rId11237" Type="http://schemas.openxmlformats.org/officeDocument/2006/relationships/hyperlink" Target="http://csr.bu.edu/ftp/asl/asllvd/demos/verify_start_end_handshape_annotations//test_auto_move//signs_mov_separ_signers/Naomi_15790.mov" TargetMode="External"/><Relationship Id="rId11238" Type="http://schemas.openxmlformats.org/officeDocument/2006/relationships/hyperlink" Target="http://secrets.rutgers.edu:8080/data/asl-ftp/asllvd/demos/verify_start_end_handshape_annotations//test_auto_move//signs_mov_separ_signers/Naomi_15790.mov" TargetMode="External"/><Relationship Id="rId11239" Type="http://schemas.openxmlformats.org/officeDocument/2006/relationships/hyperlink" Target="http://csr.bu.edu/ftp/asl/asllvd/demos/verify_start_end_handshape_annotations//test_auto_move//signs_mov_separ_signers/Brady_15790.mov" TargetMode="External"/><Relationship Id="rId11240" Type="http://schemas.openxmlformats.org/officeDocument/2006/relationships/hyperlink" Target="http://secrets.rutgers.edu:8080/data/asl-ftp/asllvd/demos/verify_start_end_handshape_annotations//test_auto_move//signs_mov_separ_signers/Brady_15790.mov" TargetMode="External"/><Relationship Id="rId11241" Type="http://schemas.openxmlformats.org/officeDocument/2006/relationships/hyperlink" Target="http://csr.bu.edu/ftp/asl/asllvd/demos/verify_start_end_handshape_annotations//test_auto_move//signs_mov_separ_signers/Liz_16182.mov" TargetMode="External"/><Relationship Id="rId11242" Type="http://schemas.openxmlformats.org/officeDocument/2006/relationships/hyperlink" Target="http://secrets.rutgers.edu:8080/data/asl-ftp/asllvd/demos/verify_start_end_handshape_annotations//test_auto_move//signs_mov_separ_signers/Liz_16182.mov" TargetMode="External"/><Relationship Id="rId11243" Type="http://schemas.openxmlformats.org/officeDocument/2006/relationships/hyperlink" Target="http://csr.bu.edu/ftp/asl/asllvd/demos/verify_start_end_handshape_annotations//test_auto_move//signs_mov/16182.mov" TargetMode="External"/><Relationship Id="rId11244" Type="http://schemas.openxmlformats.org/officeDocument/2006/relationships/hyperlink" Target="http://csr.bu.edu/ftp/asl/asllvd/demos/verify_start_end_handshape_annotations//test_auto_move//signs_mov_separ_signers/Tyler_16182.mov" TargetMode="External"/><Relationship Id="rId11245" Type="http://schemas.openxmlformats.org/officeDocument/2006/relationships/hyperlink" Target="http://secrets.rutgers.edu:8080/data/asl-ftp/asllvd/demos/verify_start_end_handshape_annotations//test_auto_move//signs_mov/16182.mov" TargetMode="External"/><Relationship Id="rId11246" Type="http://schemas.openxmlformats.org/officeDocument/2006/relationships/hyperlink" Target="http://secrets.rutgers.edu:8080/data/asl-ftp/asllvd/demos/verify_start_end_handshape_annotations//test_auto_move//signs_mov_separ_signers/Tyler_16182.mov" TargetMode="External"/><Relationship Id="rId11247" Type="http://schemas.openxmlformats.org/officeDocument/2006/relationships/hyperlink" Target="http://csr.bu.edu/ftp/asl/asllvd/demos/verify_start_end_handshape_annotations//test_auto_move//signs_mov_separ_signers/Brady_16182.mov" TargetMode="External"/><Relationship Id="rId11248" Type="http://schemas.openxmlformats.org/officeDocument/2006/relationships/hyperlink" Target="http://secrets.rutgers.edu:8080/data/asl-ftp/asllvd/demos/verify_start_end_handshape_annotations//test_auto_move//signs_mov_separ_signers/Brady_16182.mov" TargetMode="External"/><Relationship Id="rId11249" Type="http://schemas.openxmlformats.org/officeDocument/2006/relationships/hyperlink" Target="http://csr.bu.edu/ftp/asl/asllvd/demos/verify_start_end_handshape_annotations//test_auto_move//signs_mov_separ_signers/Liz_1225.mov" TargetMode="External"/><Relationship Id="rId11250" Type="http://schemas.openxmlformats.org/officeDocument/2006/relationships/hyperlink" Target="http://secrets.rutgers.edu:8080/data/asl-ftp/asllvd/demos/verify_start_end_handshape_annotations//test_auto_move//signs_mov_separ_signers/Liz_1225.mov" TargetMode="External"/><Relationship Id="rId11251" Type="http://schemas.openxmlformats.org/officeDocument/2006/relationships/hyperlink" Target="http://csr.bu.edu/ftp/asl/asllvd/demos/verify_start_end_handshape_annotations//test_auto_move//signs_mov/1225.mov" TargetMode="External"/><Relationship Id="rId11252" Type="http://schemas.openxmlformats.org/officeDocument/2006/relationships/hyperlink" Target="http://csr.bu.edu/ftp/asl/asllvd/demos/verify_start_end_handshape_annotations//test_auto_move//signs_mov_separ_signers/Tyler_1225.mov" TargetMode="External"/><Relationship Id="rId11253" Type="http://schemas.openxmlformats.org/officeDocument/2006/relationships/hyperlink" Target="http://secrets.rutgers.edu:8080/data/asl-ftp/asllvd/demos/verify_start_end_handshape_annotations//test_auto_move//signs_mov/1225.mov" TargetMode="External"/><Relationship Id="rId11254" Type="http://schemas.openxmlformats.org/officeDocument/2006/relationships/hyperlink" Target="http://secrets.rutgers.edu:8080/data/asl-ftp/asllvd/demos/verify_start_end_handshape_annotations//test_auto_move//signs_mov_separ_signers/Tyler_1225.mov" TargetMode="External"/><Relationship Id="rId11255" Type="http://schemas.openxmlformats.org/officeDocument/2006/relationships/hyperlink" Target="http://csr.bu.edu/ftp/asl/asllvd/demos/verify_start_end_handshape_annotations//test_auto_move//signs_mov_separ_signers/Naomi_1225.mov" TargetMode="External"/><Relationship Id="rId11256" Type="http://schemas.openxmlformats.org/officeDocument/2006/relationships/hyperlink" Target="http://secrets.rutgers.edu:8080/data/asl-ftp/asllvd/demos/verify_start_end_handshape_annotations//test_auto_move//signs_mov_separ_signers/Naomi_1225.mov" TargetMode="External"/><Relationship Id="rId11257" Type="http://schemas.openxmlformats.org/officeDocument/2006/relationships/hyperlink" Target="http://csr.bu.edu/ftp/asl/asllvd/demos/verify_start_end_handshape_annotations//test_auto_move//signs_mov_separ_signers/Liz_1226.mov" TargetMode="External"/><Relationship Id="rId11258" Type="http://schemas.openxmlformats.org/officeDocument/2006/relationships/hyperlink" Target="http://secrets.rutgers.edu:8080/data/asl-ftp/asllvd/demos/verify_start_end_handshape_annotations//test_auto_move//signs_mov_separ_signers/Liz_1226.mov" TargetMode="External"/><Relationship Id="rId11259" Type="http://schemas.openxmlformats.org/officeDocument/2006/relationships/hyperlink" Target="http://csr.bu.edu/ftp/asl/asllvd/demos/verify_start_end_handshape_annotations//test_auto_move//signs_mov/1226.mov" TargetMode="External"/><Relationship Id="rId11260" Type="http://schemas.openxmlformats.org/officeDocument/2006/relationships/hyperlink" Target="http://csr.bu.edu/ftp/asl/asllvd/demos/verify_start_end_handshape_annotations//test_auto_move//signs_mov_separ_signers/Tyler_1226.mov" TargetMode="External"/><Relationship Id="rId11261" Type="http://schemas.openxmlformats.org/officeDocument/2006/relationships/hyperlink" Target="http://secrets.rutgers.edu:8080/data/asl-ftp/asllvd/demos/verify_start_end_handshape_annotations//test_auto_move//signs_mov/1226.mov" TargetMode="External"/><Relationship Id="rId11262" Type="http://schemas.openxmlformats.org/officeDocument/2006/relationships/hyperlink" Target="http://secrets.rutgers.edu:8080/data/asl-ftp/asllvd/demos/verify_start_end_handshape_annotations//test_auto_move//signs_mov_separ_signers/Tyler_1226.mov" TargetMode="External"/><Relationship Id="rId11263" Type="http://schemas.openxmlformats.org/officeDocument/2006/relationships/hyperlink" Target="http://csr.bu.edu/ftp/asl/asllvd/demos/verify_start_end_handshape_annotations//test_auto_move//signs_mov_separ_signers/Naomi_1226.mov" TargetMode="External"/><Relationship Id="rId11264" Type="http://schemas.openxmlformats.org/officeDocument/2006/relationships/hyperlink" Target="http://secrets.rutgers.edu:8080/data/asl-ftp/asllvd/demos/verify_start_end_handshape_annotations//test_auto_move//signs_mov_separ_signers/Naomi_1226.mov" TargetMode="External"/><Relationship Id="rId11265" Type="http://schemas.openxmlformats.org/officeDocument/2006/relationships/hyperlink" Target="http://csr.bu.edu/ftp/asl/asllvd/demos/verify_start_end_handshape_annotations//test_auto_move//signs_mov_separ_signers/Liz_1227.mov" TargetMode="External"/><Relationship Id="rId11266" Type="http://schemas.openxmlformats.org/officeDocument/2006/relationships/hyperlink" Target="http://secrets.rutgers.edu:8080/data/asl-ftp/asllvd/demos/verify_start_end_handshape_annotations//test_auto_move//signs_mov_separ_signers/Liz_1227.mov" TargetMode="External"/><Relationship Id="rId11267" Type="http://schemas.openxmlformats.org/officeDocument/2006/relationships/hyperlink" Target="http://csr.bu.edu/ftp/asl/asllvd/demos/verify_start_end_handshape_annotations//test_auto_move//signs_mov/1227.mov" TargetMode="External"/><Relationship Id="rId11268" Type="http://schemas.openxmlformats.org/officeDocument/2006/relationships/hyperlink" Target="http://csr.bu.edu/ftp/asl/asllvd/demos/verify_start_end_handshape_annotations//test_auto_move//signs_mov_separ_signers/Tyler_1227.mov" TargetMode="External"/><Relationship Id="rId11269" Type="http://schemas.openxmlformats.org/officeDocument/2006/relationships/hyperlink" Target="http://secrets.rutgers.edu:8080/data/asl-ftp/asllvd/demos/verify_start_end_handshape_annotations//test_auto_move//signs_mov/1227.mov" TargetMode="External"/><Relationship Id="rId11270" Type="http://schemas.openxmlformats.org/officeDocument/2006/relationships/hyperlink" Target="http://secrets.rutgers.edu:8080/data/asl-ftp/asllvd/demos/verify_start_end_handshape_annotations//test_auto_move//signs_mov_separ_signers/Tyler_1227.mov" TargetMode="External"/><Relationship Id="rId11271" Type="http://schemas.openxmlformats.org/officeDocument/2006/relationships/hyperlink" Target="http://csr.bu.edu/ftp/asl/asllvd/demos/verify_start_end_handshape_annotations//test_auto_move//signs_mov_separ_signers/Naomi_1227.mov" TargetMode="External"/><Relationship Id="rId11272" Type="http://schemas.openxmlformats.org/officeDocument/2006/relationships/hyperlink" Target="http://secrets.rutgers.edu:8080/data/asl-ftp/asllvd/demos/verify_start_end_handshape_annotations//test_auto_move//signs_mov_separ_signers/Naomi_1227.mov" TargetMode="External"/><Relationship Id="rId11273" Type="http://schemas.openxmlformats.org/officeDocument/2006/relationships/hyperlink" Target="http://csr.bu.edu/ftp/asl/asllvd/demos/verify_start_end_handshape_annotations//test_auto_move//signs_mov_separ_signers/Liz_1230.mov" TargetMode="External"/><Relationship Id="rId11274" Type="http://schemas.openxmlformats.org/officeDocument/2006/relationships/hyperlink" Target="http://secrets.rutgers.edu:8080/data/asl-ftp/asllvd/demos/verify_start_end_handshape_annotations//test_auto_move//signs_mov_separ_signers/Liz_1230.mov" TargetMode="External"/><Relationship Id="rId11275" Type="http://schemas.openxmlformats.org/officeDocument/2006/relationships/hyperlink" Target="http://csr.bu.edu/ftp/asl/asllvd/demos/verify_start_end_handshape_annotations//test_auto_move//signs_mov_separ_signers/Tyler_1230.mov" TargetMode="External"/><Relationship Id="rId11276" Type="http://schemas.openxmlformats.org/officeDocument/2006/relationships/hyperlink" Target="http://secrets.rutgers.edu:8080/data/asl-ftp/asllvd/demos/verify_start_end_handshape_annotations//test_auto_move//signs_mov_separ_signers/Tyler_1230.mov" TargetMode="External"/><Relationship Id="rId11277" Type="http://schemas.openxmlformats.org/officeDocument/2006/relationships/hyperlink" Target="http://csr.bu.edu/ftp/asl/asllvd/demos/verify_start_end_handshape_annotations//test_auto_move//signs_mov/1230.mov" TargetMode="External"/><Relationship Id="rId11278" Type="http://schemas.openxmlformats.org/officeDocument/2006/relationships/hyperlink" Target="http://csr.bu.edu/ftp/asl/asllvd/demos/verify_start_end_handshape_annotations//test_auto_move//signs_mov_separ_signers/Naomi_1230.mov" TargetMode="External"/><Relationship Id="rId11279" Type="http://schemas.openxmlformats.org/officeDocument/2006/relationships/hyperlink" Target="http://secrets.rutgers.edu:8080/data/asl-ftp/asllvd/demos/verify_start_end_handshape_annotations//test_auto_move//signs_mov/1230.mov" TargetMode="External"/><Relationship Id="rId11280" Type="http://schemas.openxmlformats.org/officeDocument/2006/relationships/hyperlink" Target="http://secrets.rutgers.edu:8080/data/asl-ftp/asllvd/demos/verify_start_end_handshape_annotations//test_auto_move//signs_mov_separ_signers/Naomi_1230.mov" TargetMode="External"/><Relationship Id="rId11281" Type="http://schemas.openxmlformats.org/officeDocument/2006/relationships/hyperlink" Target="http://csr.bu.edu/ftp/asl/asllvd/demos/verify_start_end_handshape_annotations//test_auto_move//signs_mov_separ_signers/Lana_1230.mov" TargetMode="External"/><Relationship Id="rId11282" Type="http://schemas.openxmlformats.org/officeDocument/2006/relationships/hyperlink" Target="http://secrets.rutgers.edu:8080/data/asl-ftp/asllvd/demos/verify_start_end_handshape_annotations//test_auto_move//signs_mov_separ_signers/Lana_1230.mov" TargetMode="External"/><Relationship Id="rId11283" Type="http://schemas.openxmlformats.org/officeDocument/2006/relationships/hyperlink" Target="http://csr.bu.edu/ftp/asl/asllvd/demos/verify_start_end_handshape_annotations//test_auto_move//signs_mov_separ_signers/Dana_1230.mov" TargetMode="External"/><Relationship Id="rId11284" Type="http://schemas.openxmlformats.org/officeDocument/2006/relationships/hyperlink" Target="http://secrets.rutgers.edu:8080/data/asl-ftp/asllvd/demos/verify_start_end_handshape_annotations//test_auto_move//signs_mov_separ_signers/Dana_1230.mov" TargetMode="External"/><Relationship Id="rId11285" Type="http://schemas.openxmlformats.org/officeDocument/2006/relationships/hyperlink" Target="http://csr.bu.edu/ftp/asl/asllvd/demos/verify_start_end_handshape_annotations//test_auto_move//signs_mov_separ_signers/Liz_1232.mov" TargetMode="External"/><Relationship Id="rId11286" Type="http://schemas.openxmlformats.org/officeDocument/2006/relationships/hyperlink" Target="http://secrets.rutgers.edu:8080/data/asl-ftp/asllvd/demos/verify_start_end_handshape_annotations//test_auto_move//signs_mov_separ_signers/Liz_1232.mov" TargetMode="External"/><Relationship Id="rId11287" Type="http://schemas.openxmlformats.org/officeDocument/2006/relationships/hyperlink" Target="http://csr.bu.edu/ftp/asl/asllvd/demos/verify_start_end_handshape_annotations//test_auto_move//signs_mov_separ_signers/Tyler_1232.mov" TargetMode="External"/><Relationship Id="rId11288" Type="http://schemas.openxmlformats.org/officeDocument/2006/relationships/hyperlink" Target="http://secrets.rutgers.edu:8080/data/asl-ftp/asllvd/demos/verify_start_end_handshape_annotations//test_auto_move//signs_mov_separ_signers/Tyler_1232.mov" TargetMode="External"/><Relationship Id="rId11289" Type="http://schemas.openxmlformats.org/officeDocument/2006/relationships/hyperlink" Target="http://csr.bu.edu/ftp/asl/asllvd/demos/verify_start_end_handshape_annotations//test_auto_move//signs_mov/1232.mov" TargetMode="External"/><Relationship Id="rId11290" Type="http://schemas.openxmlformats.org/officeDocument/2006/relationships/hyperlink" Target="http://csr.bu.edu/ftp/asl/asllvd/demos/verify_start_end_handshape_annotations//test_auto_move//signs_mov_separ_signers/Naomi_1232.mov" TargetMode="External"/><Relationship Id="rId11291" Type="http://schemas.openxmlformats.org/officeDocument/2006/relationships/hyperlink" Target="http://secrets.rutgers.edu:8080/data/asl-ftp/asllvd/demos/verify_start_end_handshape_annotations//test_auto_move//signs_mov/1232.mov" TargetMode="External"/><Relationship Id="rId11292" Type="http://schemas.openxmlformats.org/officeDocument/2006/relationships/hyperlink" Target="http://secrets.rutgers.edu:8080/data/asl-ftp/asllvd/demos/verify_start_end_handshape_annotations//test_auto_move//signs_mov_separ_signers/Naomi_1232.mov" TargetMode="External"/><Relationship Id="rId11293" Type="http://schemas.openxmlformats.org/officeDocument/2006/relationships/hyperlink" Target="http://csr.bu.edu/ftp/asl/asllvd/demos/verify_start_end_handshape_annotations//test_auto_move//signs_mov_separ_signers/Lana_1232.mov" TargetMode="External"/><Relationship Id="rId11294" Type="http://schemas.openxmlformats.org/officeDocument/2006/relationships/hyperlink" Target="http://secrets.rutgers.edu:8080/data/asl-ftp/asllvd/demos/verify_start_end_handshape_annotations//test_auto_move//signs_mov_separ_signers/Lana_1232.mov" TargetMode="External"/><Relationship Id="rId11295" Type="http://schemas.openxmlformats.org/officeDocument/2006/relationships/hyperlink" Target="http://csr.bu.edu/ftp/asl/asllvd/demos/verify_start_end_handshape_annotations//test_auto_move//signs_mov_separ_signers/Dana_1232.mov" TargetMode="External"/><Relationship Id="rId11296" Type="http://schemas.openxmlformats.org/officeDocument/2006/relationships/hyperlink" Target="http://secrets.rutgers.edu:8080/data/asl-ftp/asllvd/demos/verify_start_end_handshape_annotations//test_auto_move//signs_mov_separ_signers/Dana_1232.mov" TargetMode="External"/><Relationship Id="rId11297" Type="http://schemas.openxmlformats.org/officeDocument/2006/relationships/hyperlink" Target="http://csr.bu.edu/ftp/asl/asllvd/demos/verify_start_end_handshape_annotations//test_auto_move//signs_mov_separ_signers/Liz_1234.mov" TargetMode="External"/><Relationship Id="rId11298" Type="http://schemas.openxmlformats.org/officeDocument/2006/relationships/hyperlink" Target="http://secrets.rutgers.edu:8080/data/asl-ftp/asllvd/demos/verify_start_end_handshape_annotations//test_auto_move//signs_mov_separ_signers/Liz_1234.mov" TargetMode="External"/><Relationship Id="rId11299" Type="http://schemas.openxmlformats.org/officeDocument/2006/relationships/hyperlink" Target="http://csr.bu.edu/ftp/asl/asllvd/demos/verify_start_end_handshape_annotations//test_auto_move//signs_mov/1234_3529_merged.mov" TargetMode="External"/><Relationship Id="rId11300" Type="http://schemas.openxmlformats.org/officeDocument/2006/relationships/hyperlink" Target="http://csr.bu.edu/ftp/asl/asllvd/demos/verify_start_end_handshape_annotations//test_auto_move//signs_mov_separ_signers/Liz_3529.mov" TargetMode="External"/><Relationship Id="rId11301" Type="http://schemas.openxmlformats.org/officeDocument/2006/relationships/hyperlink" Target="http://secrets.rutgers.edu:8080/data/asl-ftp/asllvd/demos/verify_start_end_handshape_annotations//test_auto_move//signs_mov/1234_3529_merged.mov" TargetMode="External"/><Relationship Id="rId11302" Type="http://schemas.openxmlformats.org/officeDocument/2006/relationships/hyperlink" Target="http://secrets.rutgers.edu:8080/data/asl-ftp/asllvd/demos/verify_start_end_handshape_annotations//test_auto_move//signs_mov_separ_signers/Liz_3529.mov" TargetMode="External"/><Relationship Id="rId11303" Type="http://schemas.openxmlformats.org/officeDocument/2006/relationships/hyperlink" Target="http://csr.bu.edu/ftp/asl/asllvd/demos/verify_start_end_handshape_annotations//test_auto_move//signs_mov_separ_signers/Naomi_1234.mov" TargetMode="External"/><Relationship Id="rId11304" Type="http://schemas.openxmlformats.org/officeDocument/2006/relationships/hyperlink" Target="http://secrets.rutgers.edu:8080/data/asl-ftp/asllvd/demos/verify_start_end_handshape_annotations//test_auto_move//signs_mov_separ_signers/Naomi_1234.mov" TargetMode="External"/><Relationship Id="rId11305" Type="http://schemas.openxmlformats.org/officeDocument/2006/relationships/hyperlink" Target="http://csr.bu.edu/ftp/asl/asllvd/demos/verify_start_end_handshape_annotations//test_auto_move//signs_mov_separ_signers/Naomi_3529.mov" TargetMode="External"/><Relationship Id="rId11306" Type="http://schemas.openxmlformats.org/officeDocument/2006/relationships/hyperlink" Target="http://secrets.rutgers.edu:8080/data/asl-ftp/asllvd/demos/verify_start_end_handshape_annotations//test_auto_move//signs_mov_separ_signers/Naomi_3529.mov" TargetMode="External"/><Relationship Id="rId11307" Type="http://schemas.openxmlformats.org/officeDocument/2006/relationships/hyperlink" Target="http://csr.bu.edu/ftp/asl/asllvd/demos/verify_start_end_handshape_annotations//test_auto_move//signs_mov/15108_15109_merged.mov" TargetMode="External"/><Relationship Id="rId11308" Type="http://schemas.openxmlformats.org/officeDocument/2006/relationships/hyperlink" Target="http://csr.bu.edu/ftp/asl/asllvd/demos/verify_start_end_handshape_annotations//test_auto_move//signs_mov_separ_signers/Tyler_15108.mov" TargetMode="External"/><Relationship Id="rId11309" Type="http://schemas.openxmlformats.org/officeDocument/2006/relationships/hyperlink" Target="http://secrets.rutgers.edu:8080/data/asl-ftp/asllvd/demos/verify_start_end_handshape_annotations//test_auto_move//signs_mov/15108_15109_merged.mov" TargetMode="External"/><Relationship Id="rId11310" Type="http://schemas.openxmlformats.org/officeDocument/2006/relationships/hyperlink" Target="http://secrets.rutgers.edu:8080/data/asl-ftp/asllvd/demos/verify_start_end_handshape_annotations//test_auto_move//signs_mov_separ_signers/Tyler_15108.mov" TargetMode="External"/><Relationship Id="rId11311" Type="http://schemas.openxmlformats.org/officeDocument/2006/relationships/hyperlink" Target="http://csr.bu.edu/ftp/asl/asllvd/demos/verify_start_end_handshape_annotations//test_auto_move//signs_mov_separ_signers/Tyler_15109.mov" TargetMode="External"/><Relationship Id="rId11312" Type="http://schemas.openxmlformats.org/officeDocument/2006/relationships/hyperlink" Target="http://secrets.rutgers.edu:8080/data/asl-ftp/asllvd/demos/verify_start_end_handshape_annotations//test_auto_move//signs_mov_separ_signers/Tyler_15109.mov" TargetMode="External"/><Relationship Id="rId11313" Type="http://schemas.openxmlformats.org/officeDocument/2006/relationships/hyperlink" Target="http://csr.bu.edu/ftp/asl/asllvd/demos/verify_start_end_handshape_annotations//test_auto_move//signs_mov_separ_signers/Liz_1236.mov" TargetMode="External"/><Relationship Id="rId11314" Type="http://schemas.openxmlformats.org/officeDocument/2006/relationships/hyperlink" Target="http://secrets.rutgers.edu:8080/data/asl-ftp/asllvd/demos/verify_start_end_handshape_annotations//test_auto_move//signs_mov_separ_signers/Liz_1236.mov" TargetMode="External"/><Relationship Id="rId11315" Type="http://schemas.openxmlformats.org/officeDocument/2006/relationships/hyperlink" Target="http://csr.bu.edu/ftp/asl/asllvd/demos/verify_start_end_handshape_annotations//test_auto_move//signs_mov/1236.mov" TargetMode="External"/><Relationship Id="rId11316" Type="http://schemas.openxmlformats.org/officeDocument/2006/relationships/hyperlink" Target="http://csr.bu.edu/ftp/asl/asllvd/demos/verify_start_end_handshape_annotations//test_auto_move//signs_mov_separ_signers/Tyler_1236.mov" TargetMode="External"/><Relationship Id="rId11317" Type="http://schemas.openxmlformats.org/officeDocument/2006/relationships/hyperlink" Target="http://secrets.rutgers.edu:8080/data/asl-ftp/asllvd/demos/verify_start_end_handshape_annotations//test_auto_move//signs_mov/1236.mov" TargetMode="External"/><Relationship Id="rId11318" Type="http://schemas.openxmlformats.org/officeDocument/2006/relationships/hyperlink" Target="http://secrets.rutgers.edu:8080/data/asl-ftp/asllvd/demos/verify_start_end_handshape_annotations//test_auto_move//signs_mov_separ_signers/Tyler_1236.mov" TargetMode="External"/><Relationship Id="rId11319" Type="http://schemas.openxmlformats.org/officeDocument/2006/relationships/hyperlink" Target="http://csr.bu.edu/ftp/asl/asllvd/demos/verify_start_end_handshape_annotations//test_auto_move//signs_mov_separ_signers/Brady_1236.mov" TargetMode="External"/><Relationship Id="rId11320" Type="http://schemas.openxmlformats.org/officeDocument/2006/relationships/hyperlink" Target="http://secrets.rutgers.edu:8080/data/asl-ftp/asllvd/demos/verify_start_end_handshape_annotations//test_auto_move//signs_mov_separ_signers/Brady_1236.mov" TargetMode="External"/><Relationship Id="rId11321" Type="http://schemas.openxmlformats.org/officeDocument/2006/relationships/hyperlink" Target="http://csr.bu.edu/ftp/asl/asllvd/demos/verify_start_end_handshape_annotations//test_auto_move//signs_mov_separ_signers/Liz_1237.mov" TargetMode="External"/><Relationship Id="rId11322" Type="http://schemas.openxmlformats.org/officeDocument/2006/relationships/hyperlink" Target="http://secrets.rutgers.edu:8080/data/asl-ftp/asllvd/demos/verify_start_end_handshape_annotations//test_auto_move//signs_mov_separ_signers/Liz_1237.mov" TargetMode="External"/><Relationship Id="rId11323" Type="http://schemas.openxmlformats.org/officeDocument/2006/relationships/hyperlink" Target="http://csr.bu.edu/ftp/asl/asllvd/demos/verify_start_end_handshape_annotations//test_auto_move//signs_mov/1237.mov" TargetMode="External"/><Relationship Id="rId11324" Type="http://schemas.openxmlformats.org/officeDocument/2006/relationships/hyperlink" Target="http://csr.bu.edu/ftp/asl/asllvd/demos/verify_start_end_handshape_annotations//test_auto_move//signs_mov_separ_signers/Tyler_1237.mov" TargetMode="External"/><Relationship Id="rId11325" Type="http://schemas.openxmlformats.org/officeDocument/2006/relationships/hyperlink" Target="http://secrets.rutgers.edu:8080/data/asl-ftp/asllvd/demos/verify_start_end_handshape_annotations//test_auto_move//signs_mov/1237.mov" TargetMode="External"/><Relationship Id="rId11326" Type="http://schemas.openxmlformats.org/officeDocument/2006/relationships/hyperlink" Target="http://secrets.rutgers.edu:8080/data/asl-ftp/asllvd/demos/verify_start_end_handshape_annotations//test_auto_move//signs_mov_separ_signers/Tyler_1237.mov" TargetMode="External"/><Relationship Id="rId11327" Type="http://schemas.openxmlformats.org/officeDocument/2006/relationships/hyperlink" Target="http://csr.bu.edu/ftp/asl/asllvd/demos/verify_start_end_handshape_annotations//test_auto_move//signs_mov_separ_signers/Naomi_1237.mov" TargetMode="External"/><Relationship Id="rId11328" Type="http://schemas.openxmlformats.org/officeDocument/2006/relationships/hyperlink" Target="http://secrets.rutgers.edu:8080/data/asl-ftp/asllvd/demos/verify_start_end_handshape_annotations//test_auto_move//signs_mov_separ_signers/Naomi_1237.mov" TargetMode="External"/><Relationship Id="rId11329" Type="http://schemas.openxmlformats.org/officeDocument/2006/relationships/hyperlink" Target="http://csr.bu.edu/ftp/asl/asllvd/demos/verify_start_end_handshape_annotations//test_auto_move//signs_mov_separ_signers/Brady_1237.mov" TargetMode="External"/><Relationship Id="rId11330" Type="http://schemas.openxmlformats.org/officeDocument/2006/relationships/hyperlink" Target="http://secrets.rutgers.edu:8080/data/asl-ftp/asllvd/demos/verify_start_end_handshape_annotations//test_auto_move//signs_mov_separ_signers/Brady_1237.mov" TargetMode="External"/><Relationship Id="rId11331" Type="http://schemas.openxmlformats.org/officeDocument/2006/relationships/hyperlink" Target="http://csr.bu.edu/ftp/asl/asllvd/demos/verify_start_end_handshape_annotations//test_auto_move//signs_mov/15166.mov" TargetMode="External"/><Relationship Id="rId11332" Type="http://schemas.openxmlformats.org/officeDocument/2006/relationships/hyperlink" Target="http://csr.bu.edu/ftp/asl/asllvd/demos/verify_start_end_handshape_annotations//test_auto_move//signs_mov_separ_signers/Liz_15166.mov" TargetMode="External"/><Relationship Id="rId11333" Type="http://schemas.openxmlformats.org/officeDocument/2006/relationships/hyperlink" Target="http://secrets.rutgers.edu:8080/data/asl-ftp/asllvd/demos/verify_start_end_handshape_annotations//test_auto_move//signs_mov/15166.mov" TargetMode="External"/><Relationship Id="rId11334" Type="http://schemas.openxmlformats.org/officeDocument/2006/relationships/hyperlink" Target="http://secrets.rutgers.edu:8080/data/asl-ftp/asllvd/demos/verify_start_end_handshape_annotations//test_auto_move//signs_mov_separ_signers/Liz_15166.mov" TargetMode="External"/><Relationship Id="rId11335" Type="http://schemas.openxmlformats.org/officeDocument/2006/relationships/hyperlink" Target="http://csr.bu.edu/ftp/asl/asllvd/demos/verify_start_end_handshape_annotations//test_auto_move//signs_mov_separ_signers/Brady_15166.mov" TargetMode="External"/><Relationship Id="rId11336" Type="http://schemas.openxmlformats.org/officeDocument/2006/relationships/hyperlink" Target="http://secrets.rutgers.edu:8080/data/asl-ftp/asllvd/demos/verify_start_end_handshape_annotations//test_auto_move//signs_mov_separ_signers/Brady_15166.mov" TargetMode="External"/><Relationship Id="rId11337" Type="http://schemas.openxmlformats.org/officeDocument/2006/relationships/hyperlink" Target="http://csr.bu.edu/ftp/asl/asllvd/demos/verify_start_end_handshape_annotations//test_auto_move//signs_mov/15921.mov" TargetMode="External"/><Relationship Id="rId11338" Type="http://schemas.openxmlformats.org/officeDocument/2006/relationships/hyperlink" Target="http://csr.bu.edu/ftp/asl/asllvd/demos/verify_start_end_handshape_annotations//test_auto_move//signs_mov_separ_signers/Liz_15921.mov" TargetMode="External"/><Relationship Id="rId11339" Type="http://schemas.openxmlformats.org/officeDocument/2006/relationships/hyperlink" Target="http://secrets.rutgers.edu:8080/data/asl-ftp/asllvd/demos/verify_start_end_handshape_annotations//test_auto_move//signs_mov/15921.mov" TargetMode="External"/><Relationship Id="rId11340" Type="http://schemas.openxmlformats.org/officeDocument/2006/relationships/hyperlink" Target="http://secrets.rutgers.edu:8080/data/asl-ftp/asllvd/demos/verify_start_end_handshape_annotations//test_auto_move//signs_mov_separ_signers/Liz_15921.mov" TargetMode="External"/><Relationship Id="rId11341" Type="http://schemas.openxmlformats.org/officeDocument/2006/relationships/hyperlink" Target="http://csr.bu.edu/ftp/asl/asllvd/demos/verify_start_end_handshape_annotations//test_auto_move//signs_mov_separ_signers/Brady_15921.mov" TargetMode="External"/><Relationship Id="rId11342" Type="http://schemas.openxmlformats.org/officeDocument/2006/relationships/hyperlink" Target="http://secrets.rutgers.edu:8080/data/asl-ftp/asllvd/demos/verify_start_end_handshape_annotations//test_auto_move//signs_mov_separ_signers/Brady_15921.mov" TargetMode="External"/><Relationship Id="rId11343" Type="http://schemas.openxmlformats.org/officeDocument/2006/relationships/hyperlink" Target="http://csr.bu.edu/ftp/asl/asllvd/demos/verify_start_end_handshape_annotations//test_auto_move//signs_mov/16012.mov" TargetMode="External"/><Relationship Id="rId11344" Type="http://schemas.openxmlformats.org/officeDocument/2006/relationships/hyperlink" Target="http://csr.bu.edu/ftp/asl/asllvd/demos/verify_start_end_handshape_annotations//test_auto_move//signs_mov_separ_signers/Tyler_16012.mov" TargetMode="External"/><Relationship Id="rId11345" Type="http://schemas.openxmlformats.org/officeDocument/2006/relationships/hyperlink" Target="http://secrets.rutgers.edu:8080/data/asl-ftp/asllvd/demos/verify_start_end_handshape_annotations//test_auto_move//signs_mov/16012.mov" TargetMode="External"/><Relationship Id="rId11346" Type="http://schemas.openxmlformats.org/officeDocument/2006/relationships/hyperlink" Target="http://secrets.rutgers.edu:8080/data/asl-ftp/asllvd/demos/verify_start_end_handshape_annotations//test_auto_move//signs_mov_separ_signers/Tyler_16012.mov" TargetMode="External"/><Relationship Id="rId11347" Type="http://schemas.openxmlformats.org/officeDocument/2006/relationships/hyperlink" Target="http://csr.bu.edu/ftp/asl/asllvd/demos/verify_start_end_handshape_annotations//test_auto_move//signs_mov/16080.mov" TargetMode="External"/><Relationship Id="rId11348" Type="http://schemas.openxmlformats.org/officeDocument/2006/relationships/hyperlink" Target="http://csr.bu.edu/ftp/asl/asllvd/demos/verify_start_end_handshape_annotations//test_auto_move//signs_mov_separ_signers/Liz_16080.mov" TargetMode="External"/><Relationship Id="rId11349" Type="http://schemas.openxmlformats.org/officeDocument/2006/relationships/hyperlink" Target="http://secrets.rutgers.edu:8080/data/asl-ftp/asllvd/demos/verify_start_end_handshape_annotations//test_auto_move//signs_mov/16080.mov" TargetMode="External"/><Relationship Id="rId11350" Type="http://schemas.openxmlformats.org/officeDocument/2006/relationships/hyperlink" Target="http://secrets.rutgers.edu:8080/data/asl-ftp/asllvd/demos/verify_start_end_handshape_annotations//test_auto_move//signs_mov_separ_signers/Liz_16080.mov" TargetMode="External"/><Relationship Id="rId11351" Type="http://schemas.openxmlformats.org/officeDocument/2006/relationships/hyperlink" Target="http://csr.bu.edu/ftp/asl/asllvd/demos/verify_start_end_handshape_annotations//test_auto_move//signs_mov_separ_signers/Brady_16080.mov" TargetMode="External"/><Relationship Id="rId11352" Type="http://schemas.openxmlformats.org/officeDocument/2006/relationships/hyperlink" Target="http://secrets.rutgers.edu:8080/data/asl-ftp/asllvd/demos/verify_start_end_handshape_annotations//test_auto_move//signs_mov_separ_signers/Brady_16080.mov" TargetMode="External"/><Relationship Id="rId11353" Type="http://schemas.openxmlformats.org/officeDocument/2006/relationships/hyperlink" Target="http://csr.bu.edu/ftp/asl/asllvd/demos/verify_start_end_handshape_annotations//test_auto_move//signs_mov_separ_signers/Liz_16110.mov" TargetMode="External"/><Relationship Id="rId11354" Type="http://schemas.openxmlformats.org/officeDocument/2006/relationships/hyperlink" Target="http://secrets.rutgers.edu:8080/data/asl-ftp/asllvd/demos/verify_start_end_handshape_annotations//test_auto_move//signs_mov_separ_signers/Liz_16110.mov" TargetMode="External"/><Relationship Id="rId11355" Type="http://schemas.openxmlformats.org/officeDocument/2006/relationships/hyperlink" Target="http://csr.bu.edu/ftp/asl/asllvd/demos/verify_start_end_handshape_annotations//test_auto_move//signs_mov/16110.mov" TargetMode="External"/><Relationship Id="rId11356" Type="http://schemas.openxmlformats.org/officeDocument/2006/relationships/hyperlink" Target="http://csr.bu.edu/ftp/asl/asllvd/demos/verify_start_end_handshape_annotations//test_auto_move//signs_mov_separ_signers/Tyler_16110.mov" TargetMode="External"/><Relationship Id="rId11357" Type="http://schemas.openxmlformats.org/officeDocument/2006/relationships/hyperlink" Target="http://secrets.rutgers.edu:8080/data/asl-ftp/asllvd/demos/verify_start_end_handshape_annotations//test_auto_move//signs_mov/16110.mov" TargetMode="External"/><Relationship Id="rId11358" Type="http://schemas.openxmlformats.org/officeDocument/2006/relationships/hyperlink" Target="http://secrets.rutgers.edu:8080/data/asl-ftp/asllvd/demos/verify_start_end_handshape_annotations//test_auto_move//signs_mov_separ_signers/Tyler_16110.mov" TargetMode="External"/><Relationship Id="rId11359" Type="http://schemas.openxmlformats.org/officeDocument/2006/relationships/hyperlink" Target="http://csr.bu.edu/ftp/asl/asllvd/demos/verify_start_end_handshape_annotations//test_auto_move//signs_mov_separ_signers/Brady_16110.mov" TargetMode="External"/><Relationship Id="rId11360" Type="http://schemas.openxmlformats.org/officeDocument/2006/relationships/hyperlink" Target="http://secrets.rutgers.edu:8080/data/asl-ftp/asllvd/demos/verify_start_end_handshape_annotations//test_auto_move//signs_mov_separ_signers/Brady_16110.mov" TargetMode="External"/><Relationship Id="rId11361" Type="http://schemas.openxmlformats.org/officeDocument/2006/relationships/hyperlink" Target="http://csr.bu.edu/ftp/asl/asllvd/demos/verify_start_end_handshape_annotations//test_auto_move//signs_mov_separ_signers/Liz_1238.mov" TargetMode="External"/><Relationship Id="rId11362" Type="http://schemas.openxmlformats.org/officeDocument/2006/relationships/hyperlink" Target="http://secrets.rutgers.edu:8080/data/asl-ftp/asllvd/demos/verify_start_end_handshape_annotations//test_auto_move//signs_mov_separ_signers/Liz_1238.mov" TargetMode="External"/><Relationship Id="rId11363" Type="http://schemas.openxmlformats.org/officeDocument/2006/relationships/hyperlink" Target="http://csr.bu.edu/ftp/asl/asllvd/demos/verify_start_end_handshape_annotations//test_auto_move//signs_mov/1238.mov" TargetMode="External"/><Relationship Id="rId11364" Type="http://schemas.openxmlformats.org/officeDocument/2006/relationships/hyperlink" Target="http://csr.bu.edu/ftp/asl/asllvd/demos/verify_start_end_handshape_annotations//test_auto_move//signs_mov_separ_signers/Tyler_1238.mov" TargetMode="External"/><Relationship Id="rId11365" Type="http://schemas.openxmlformats.org/officeDocument/2006/relationships/hyperlink" Target="http://secrets.rutgers.edu:8080/data/asl-ftp/asllvd/demos/verify_start_end_handshape_annotations//test_auto_move//signs_mov/1238.mov" TargetMode="External"/><Relationship Id="rId11366" Type="http://schemas.openxmlformats.org/officeDocument/2006/relationships/hyperlink" Target="http://secrets.rutgers.edu:8080/data/asl-ftp/asllvd/demos/verify_start_end_handshape_annotations//test_auto_move//signs_mov_separ_signers/Tyler_1238.mov" TargetMode="External"/><Relationship Id="rId11367" Type="http://schemas.openxmlformats.org/officeDocument/2006/relationships/hyperlink" Target="http://csr.bu.edu/ftp/asl/asllvd/demos/verify_start_end_handshape_annotations//test_auto_move//signs_mov_separ_signers/Naomi_1238.mov" TargetMode="External"/><Relationship Id="rId11368" Type="http://schemas.openxmlformats.org/officeDocument/2006/relationships/hyperlink" Target="http://secrets.rutgers.edu:8080/data/asl-ftp/asllvd/demos/verify_start_end_handshape_annotations//test_auto_move//signs_mov_separ_signers/Naomi_1238.mov" TargetMode="External"/><Relationship Id="rId11369" Type="http://schemas.openxmlformats.org/officeDocument/2006/relationships/hyperlink" Target="http://csr.bu.edu/ftp/asl/asllvd/demos/verify_start_end_handshape_annotations//test_auto_move//signs_mov_separ_signers/Brady_1238.mov" TargetMode="External"/><Relationship Id="rId11370" Type="http://schemas.openxmlformats.org/officeDocument/2006/relationships/hyperlink" Target="http://secrets.rutgers.edu:8080/data/asl-ftp/asllvd/demos/verify_start_end_handshape_annotations//test_auto_move//signs_mov_separ_signers/Brady_1238.mov" TargetMode="External"/><Relationship Id="rId11371" Type="http://schemas.openxmlformats.org/officeDocument/2006/relationships/hyperlink" Target="http://csr.bu.edu/ftp/asl/asllvd/demos/verify_start_end_handshape_annotations//test_auto_move//signs_mov_separ_signers/Liz_1239.mov" TargetMode="External"/><Relationship Id="rId11372" Type="http://schemas.openxmlformats.org/officeDocument/2006/relationships/hyperlink" Target="http://secrets.rutgers.edu:8080/data/asl-ftp/asllvd/demos/verify_start_end_handshape_annotations//test_auto_move//signs_mov_separ_signers/Liz_1239.mov" TargetMode="External"/><Relationship Id="rId11373" Type="http://schemas.openxmlformats.org/officeDocument/2006/relationships/hyperlink" Target="http://csr.bu.edu/ftp/asl/asllvd/demos/verify_start_end_handshape_annotations//test_auto_move//signs_mov/1239.mov" TargetMode="External"/><Relationship Id="rId11374" Type="http://schemas.openxmlformats.org/officeDocument/2006/relationships/hyperlink" Target="http://csr.bu.edu/ftp/asl/asllvd/demos/verify_start_end_handshape_annotations//test_auto_move//signs_mov_separ_signers/Tyler_1239.mov" TargetMode="External"/><Relationship Id="rId11375" Type="http://schemas.openxmlformats.org/officeDocument/2006/relationships/hyperlink" Target="http://secrets.rutgers.edu:8080/data/asl-ftp/asllvd/demos/verify_start_end_handshape_annotations//test_auto_move//signs_mov/1239.mov" TargetMode="External"/><Relationship Id="rId11376" Type="http://schemas.openxmlformats.org/officeDocument/2006/relationships/hyperlink" Target="http://secrets.rutgers.edu:8080/data/asl-ftp/asllvd/demos/verify_start_end_handshape_annotations//test_auto_move//signs_mov_separ_signers/Tyler_1239.mov" TargetMode="External"/><Relationship Id="rId11377" Type="http://schemas.openxmlformats.org/officeDocument/2006/relationships/hyperlink" Target="http://csr.bu.edu/ftp/asl/asllvd/demos/verify_start_end_handshape_annotations//test_auto_move//signs_mov_separ_signers/Naomi_1239.mov" TargetMode="External"/><Relationship Id="rId11378" Type="http://schemas.openxmlformats.org/officeDocument/2006/relationships/hyperlink" Target="http://secrets.rutgers.edu:8080/data/asl-ftp/asllvd/demos/verify_start_end_handshape_annotations//test_auto_move//signs_mov_separ_signers/Naomi_1239.mov" TargetMode="External"/><Relationship Id="rId11379" Type="http://schemas.openxmlformats.org/officeDocument/2006/relationships/hyperlink" Target="http://csr.bu.edu/ftp/asl/asllvd/demos/verify_start_end_handshape_annotations//test_auto_move//signs_mov_separ_signers/Brady_1239.mov" TargetMode="External"/><Relationship Id="rId11380" Type="http://schemas.openxmlformats.org/officeDocument/2006/relationships/hyperlink" Target="http://secrets.rutgers.edu:8080/data/asl-ftp/asllvd/demos/verify_start_end_handshape_annotations//test_auto_move//signs_mov_separ_signers/Brady_1239.mov" TargetMode="External"/><Relationship Id="rId11381" Type="http://schemas.openxmlformats.org/officeDocument/2006/relationships/hyperlink" Target="http://csr.bu.edu/ftp/asl/asllvd/demos/verify_start_end_handshape_annotations//test_auto_move//signs_mov_separ_signers/Liz_15727.mov" TargetMode="External"/><Relationship Id="rId11382" Type="http://schemas.openxmlformats.org/officeDocument/2006/relationships/hyperlink" Target="http://secrets.rutgers.edu:8080/data/asl-ftp/asllvd/demos/verify_start_end_handshape_annotations//test_auto_move//signs_mov_separ_signers/Liz_15727.mov" TargetMode="External"/><Relationship Id="rId11383" Type="http://schemas.openxmlformats.org/officeDocument/2006/relationships/hyperlink" Target="http://csr.bu.edu/ftp/asl/asllvd/demos/verify_start_end_handshape_annotations//test_auto_move//signs_mov/15727.mov" TargetMode="External"/><Relationship Id="rId11384" Type="http://schemas.openxmlformats.org/officeDocument/2006/relationships/hyperlink" Target="http://csr.bu.edu/ftp/asl/asllvd/demos/verify_start_end_handshape_annotations//test_auto_move//signs_mov_separ_signers/Naomi_15727.mov" TargetMode="External"/><Relationship Id="rId11385" Type="http://schemas.openxmlformats.org/officeDocument/2006/relationships/hyperlink" Target="http://secrets.rutgers.edu:8080/data/asl-ftp/asllvd/demos/verify_start_end_handshape_annotations//test_auto_move//signs_mov/15727.mov" TargetMode="External"/><Relationship Id="rId11386" Type="http://schemas.openxmlformats.org/officeDocument/2006/relationships/hyperlink" Target="http://secrets.rutgers.edu:8080/data/asl-ftp/asllvd/demos/verify_start_end_handshape_annotations//test_auto_move//signs_mov_separ_signers/Naomi_15727.mov" TargetMode="External"/><Relationship Id="rId11387" Type="http://schemas.openxmlformats.org/officeDocument/2006/relationships/hyperlink" Target="http://csr.bu.edu/ftp/asl/asllvd/demos/verify_start_end_handshape_annotations//test_auto_move//signs_mov_separ_signers/Brady_15727.mov" TargetMode="External"/><Relationship Id="rId11388" Type="http://schemas.openxmlformats.org/officeDocument/2006/relationships/hyperlink" Target="http://secrets.rutgers.edu:8080/data/asl-ftp/asllvd/demos/verify_start_end_handshape_annotations//test_auto_move//signs_mov_separ_signers/Brady_15727.mov" TargetMode="External"/><Relationship Id="rId11389" Type="http://schemas.openxmlformats.org/officeDocument/2006/relationships/hyperlink" Target="http://csr.bu.edu/ftp/asl/asllvd/demos/verify_start_end_handshape_annotations//test_auto_move//signs_mov_separ_signers/Liz_1240.mov" TargetMode="External"/><Relationship Id="rId11390" Type="http://schemas.openxmlformats.org/officeDocument/2006/relationships/hyperlink" Target="http://secrets.rutgers.edu:8080/data/asl-ftp/asllvd/demos/verify_start_end_handshape_annotations//test_auto_move//signs_mov_separ_signers/Liz_1240.mov" TargetMode="External"/><Relationship Id="rId11391" Type="http://schemas.openxmlformats.org/officeDocument/2006/relationships/hyperlink" Target="http://csr.bu.edu/ftp/asl/asllvd/demos/verify_start_end_handshape_annotations//test_auto_move//signs_mov/1240.mov" TargetMode="External"/><Relationship Id="rId11392" Type="http://schemas.openxmlformats.org/officeDocument/2006/relationships/hyperlink" Target="http://csr.bu.edu/ftp/asl/asllvd/demos/verify_start_end_handshape_annotations//test_auto_move//signs_mov_separ_signers/Tyler_1240.mov" TargetMode="External"/><Relationship Id="rId11393" Type="http://schemas.openxmlformats.org/officeDocument/2006/relationships/hyperlink" Target="http://secrets.rutgers.edu:8080/data/asl-ftp/asllvd/demos/verify_start_end_handshape_annotations//test_auto_move//signs_mov/1240.mov" TargetMode="External"/><Relationship Id="rId11394" Type="http://schemas.openxmlformats.org/officeDocument/2006/relationships/hyperlink" Target="http://secrets.rutgers.edu:8080/data/asl-ftp/asllvd/demos/verify_start_end_handshape_annotations//test_auto_move//signs_mov_separ_signers/Tyler_1240.mov" TargetMode="External"/><Relationship Id="rId11395" Type="http://schemas.openxmlformats.org/officeDocument/2006/relationships/hyperlink" Target="http://csr.bu.edu/ftp/asl/asllvd/demos/verify_start_end_handshape_annotations//test_auto_move//signs_mov_separ_signers/Naomi_1240.mov" TargetMode="External"/><Relationship Id="rId11396" Type="http://schemas.openxmlformats.org/officeDocument/2006/relationships/hyperlink" Target="http://secrets.rutgers.edu:8080/data/asl-ftp/asllvd/demos/verify_start_end_handshape_annotations//test_auto_move//signs_mov_separ_signers/Naomi_1240.mov" TargetMode="External"/><Relationship Id="rId11397" Type="http://schemas.openxmlformats.org/officeDocument/2006/relationships/hyperlink" Target="http://csr.bu.edu/ftp/asl/asllvd/demos/verify_start_end_handshape_annotations//test_auto_move//signs_mov_separ_signers/Brady_1240.mov" TargetMode="External"/><Relationship Id="rId11398" Type="http://schemas.openxmlformats.org/officeDocument/2006/relationships/hyperlink" Target="http://secrets.rutgers.edu:8080/data/asl-ftp/asllvd/demos/verify_start_end_handshape_annotations//test_auto_move//signs_mov_separ_signers/Brady_1240.mov" TargetMode="External"/><Relationship Id="rId11399" Type="http://schemas.openxmlformats.org/officeDocument/2006/relationships/hyperlink" Target="http://csr.bu.edu/ftp/asl/asllvd/demos/verify_start_end_handshape_annotations//test_auto_move//signs_mov/1241.mov" TargetMode="External"/><Relationship Id="rId11400" Type="http://schemas.openxmlformats.org/officeDocument/2006/relationships/hyperlink" Target="http://csr.bu.edu/ftp/asl/asllvd/demos/verify_start_end_handshape_annotations//test_auto_move//signs_mov_separ_signers/Dana_1241.mov" TargetMode="External"/><Relationship Id="rId11401" Type="http://schemas.openxmlformats.org/officeDocument/2006/relationships/hyperlink" Target="http://secrets.rutgers.edu:8080/data/asl-ftp/asllvd/demos/verify_start_end_handshape_annotations//test_auto_move//signs_mov/1241.mov" TargetMode="External"/><Relationship Id="rId11402" Type="http://schemas.openxmlformats.org/officeDocument/2006/relationships/hyperlink" Target="http://secrets.rutgers.edu:8080/data/asl-ftp/asllvd/demos/verify_start_end_handshape_annotations//test_auto_move//signs_mov_separ_signers/Dana_1241.mov" TargetMode="External"/><Relationship Id="rId11403" Type="http://schemas.openxmlformats.org/officeDocument/2006/relationships/hyperlink" Target="http://csr.bu.edu/ftp/asl/asllvd/demos/verify_start_end_handshape_annotations//test_auto_move//signs_mov_separ_signers/Liz_5401.mov" TargetMode="External"/><Relationship Id="rId11404" Type="http://schemas.openxmlformats.org/officeDocument/2006/relationships/hyperlink" Target="http://secrets.rutgers.edu:8080/data/asl-ftp/asllvd/demos/verify_start_end_handshape_annotations//test_auto_move//signs_mov_separ_signers/Liz_5401.mov" TargetMode="External"/><Relationship Id="rId11405" Type="http://schemas.openxmlformats.org/officeDocument/2006/relationships/hyperlink" Target="http://csr.bu.edu/ftp/asl/asllvd/demos/verify_start_end_handshape_annotations//test_auto_move//signs_mov/5401.mov" TargetMode="External"/><Relationship Id="rId11406" Type="http://schemas.openxmlformats.org/officeDocument/2006/relationships/hyperlink" Target="http://csr.bu.edu/ftp/asl/asllvd/demos/verify_start_end_handshape_annotations//test_auto_move//signs_mov_separ_signers/Naomi_5401.mov" TargetMode="External"/><Relationship Id="rId11407" Type="http://schemas.openxmlformats.org/officeDocument/2006/relationships/hyperlink" Target="http://secrets.rutgers.edu:8080/data/asl-ftp/asllvd/demos/verify_start_end_handshape_annotations//test_auto_move//signs_mov/5401.mov" TargetMode="External"/><Relationship Id="rId11408" Type="http://schemas.openxmlformats.org/officeDocument/2006/relationships/hyperlink" Target="http://secrets.rutgers.edu:8080/data/asl-ftp/asllvd/demos/verify_start_end_handshape_annotations//test_auto_move//signs_mov_separ_signers/Naomi_5401.mov" TargetMode="External"/><Relationship Id="rId11409" Type="http://schemas.openxmlformats.org/officeDocument/2006/relationships/hyperlink" Target="http://csr.bu.edu/ftp/asl/asllvd/demos/verify_start_end_handshape_annotations//test_auto_move//signs_mov_separ_signers/Brady_5401.mov" TargetMode="External"/><Relationship Id="rId11410" Type="http://schemas.openxmlformats.org/officeDocument/2006/relationships/hyperlink" Target="http://secrets.rutgers.edu:8080/data/asl-ftp/asllvd/demos/verify_start_end_handshape_annotations//test_auto_move//signs_mov_separ_signers/Brady_5401.mov" TargetMode="External"/><Relationship Id="rId11411" Type="http://schemas.openxmlformats.org/officeDocument/2006/relationships/hyperlink" Target="http://csr.bu.edu/ftp/asl/asllvd/demos/verify_start_end_handshape_annotations//test_auto_move//signs_mov/5435.mov" TargetMode="External"/><Relationship Id="rId11412" Type="http://schemas.openxmlformats.org/officeDocument/2006/relationships/hyperlink" Target="http://csr.bu.edu/ftp/asl/asllvd/demos/verify_start_end_handshape_annotations//test_auto_move//signs_mov_separ_signers/Liz_5435.mov" TargetMode="External"/><Relationship Id="rId11413" Type="http://schemas.openxmlformats.org/officeDocument/2006/relationships/hyperlink" Target="http://secrets.rutgers.edu:8080/data/asl-ftp/asllvd/demos/verify_start_end_handshape_annotations//test_auto_move//signs_mov/5435.mov" TargetMode="External"/><Relationship Id="rId11414" Type="http://schemas.openxmlformats.org/officeDocument/2006/relationships/hyperlink" Target="http://secrets.rutgers.edu:8080/data/asl-ftp/asllvd/demos/verify_start_end_handshape_annotations//test_auto_move//signs_mov_separ_signers/Liz_5435.mov" TargetMode="External"/><Relationship Id="rId11415" Type="http://schemas.openxmlformats.org/officeDocument/2006/relationships/hyperlink" Target="http://csr.bu.edu/ftp/asl/asllvd/demos/verify_start_end_handshape_annotations//test_auto_move//signs_mov_separ_signers/Brady_5435.mov" TargetMode="External"/><Relationship Id="rId11416" Type="http://schemas.openxmlformats.org/officeDocument/2006/relationships/hyperlink" Target="http://secrets.rutgers.edu:8080/data/asl-ftp/asllvd/demos/verify_start_end_handshape_annotations//test_auto_move//signs_mov_separ_signers/Brady_5435.mov" TargetMode="External"/><Relationship Id="rId11417" Type="http://schemas.openxmlformats.org/officeDocument/2006/relationships/hyperlink" Target="http://csr.bu.edu/ftp/asl/asllvd/demos/verify_start_end_handshape_annotations//test_auto_move//signs_mov_separ_signers/Liz_5857.mov" TargetMode="External"/><Relationship Id="rId11418" Type="http://schemas.openxmlformats.org/officeDocument/2006/relationships/hyperlink" Target="http://secrets.rutgers.edu:8080/data/asl-ftp/asllvd/demos/verify_start_end_handshape_annotations//test_auto_move//signs_mov_separ_signers/Liz_5857.mov" TargetMode="External"/><Relationship Id="rId11419" Type="http://schemas.openxmlformats.org/officeDocument/2006/relationships/hyperlink" Target="http://csr.bu.edu/ftp/asl/asllvd/demos/verify_start_end_handshape_annotations//test_auto_move//signs_mov_separ_signers/Liz_15476.mov" TargetMode="External"/><Relationship Id="rId11420" Type="http://schemas.openxmlformats.org/officeDocument/2006/relationships/hyperlink" Target="http://secrets.rutgers.edu:8080/data/asl-ftp/asllvd/demos/verify_start_end_handshape_annotations//test_auto_move//signs_mov_separ_signers/Liz_15476.mov" TargetMode="External"/><Relationship Id="rId11421" Type="http://schemas.openxmlformats.org/officeDocument/2006/relationships/hyperlink" Target="http://csr.bu.edu/ftp/asl/asllvd/demos/verify_start_end_handshape_annotations//test_auto_move//signs_mov_separ_signers/Tyler_5857.mov" TargetMode="External"/><Relationship Id="rId11422" Type="http://schemas.openxmlformats.org/officeDocument/2006/relationships/hyperlink" Target="http://secrets.rutgers.edu:8080/data/asl-ftp/asllvd/demos/verify_start_end_handshape_annotations//test_auto_move//signs_mov_separ_signers/Tyler_5857.mov" TargetMode="External"/><Relationship Id="rId11423" Type="http://schemas.openxmlformats.org/officeDocument/2006/relationships/hyperlink" Target="http://csr.bu.edu/ftp/asl/asllvd/demos/verify_start_end_handshape_annotations//test_auto_move//signs_mov_separ_signers/Tyler_15476.mov" TargetMode="External"/><Relationship Id="rId11424" Type="http://schemas.openxmlformats.org/officeDocument/2006/relationships/hyperlink" Target="http://secrets.rutgers.edu:8080/data/asl-ftp/asllvd/demos/verify_start_end_handshape_annotations//test_auto_move//signs_mov_separ_signers/Tyler_15476.mov" TargetMode="External"/><Relationship Id="rId11425" Type="http://schemas.openxmlformats.org/officeDocument/2006/relationships/hyperlink" Target="http://csr.bu.edu/ftp/asl/asllvd/demos/verify_start_end_handshape_annotations//test_auto_move//signs_mov/5857_15476_16385_merged.mov" TargetMode="External"/><Relationship Id="rId11426" Type="http://schemas.openxmlformats.org/officeDocument/2006/relationships/hyperlink" Target="http://csr.bu.edu/ftp/asl/asllvd/demos/verify_start_end_handshape_annotations//test_auto_move//signs_mov_separ_signers/Tyler_16385.mov" TargetMode="External"/><Relationship Id="rId11427" Type="http://schemas.openxmlformats.org/officeDocument/2006/relationships/hyperlink" Target="http://secrets.rutgers.edu:8080/data/asl-ftp/asllvd/demos/verify_start_end_handshape_annotations//test_auto_move//signs_mov/5857_15476_16385_merged.mov" TargetMode="External"/><Relationship Id="rId11428" Type="http://schemas.openxmlformats.org/officeDocument/2006/relationships/hyperlink" Target="http://secrets.rutgers.edu:8080/data/asl-ftp/asllvd/demos/verify_start_end_handshape_annotations//test_auto_move//signs_mov_separ_signers/Tyler_16385.mov" TargetMode="External"/><Relationship Id="rId11429" Type="http://schemas.openxmlformats.org/officeDocument/2006/relationships/hyperlink" Target="http://csr.bu.edu/ftp/asl/asllvd/demos/verify_start_end_handshape_annotations//test_auto_move//signs_mov_separ_signers/Naomi_5857.mov" TargetMode="External"/><Relationship Id="rId11430" Type="http://schemas.openxmlformats.org/officeDocument/2006/relationships/hyperlink" Target="http://secrets.rutgers.edu:8080/data/asl-ftp/asllvd/demos/verify_start_end_handshape_annotations//test_auto_move//signs_mov_separ_signers/Naomi_5857.mov" TargetMode="External"/><Relationship Id="rId11431" Type="http://schemas.openxmlformats.org/officeDocument/2006/relationships/hyperlink" Target="http://csr.bu.edu/ftp/asl/asllvd/demos/verify_start_end_handshape_annotations//test_auto_move//signs_mov_separ_signers/Naomi_15476.mov" TargetMode="External"/><Relationship Id="rId11432" Type="http://schemas.openxmlformats.org/officeDocument/2006/relationships/hyperlink" Target="http://secrets.rutgers.edu:8080/data/asl-ftp/asllvd/demos/verify_start_end_handshape_annotations//test_auto_move//signs_mov_separ_signers/Naomi_15476.mov" TargetMode="External"/><Relationship Id="rId11433" Type="http://schemas.openxmlformats.org/officeDocument/2006/relationships/hyperlink" Target="http://csr.bu.edu/ftp/asl/asllvd/demos/verify_start_end_handshape_annotations//test_auto_move//signs_mov_separ_signers/Brady_5857.mov" TargetMode="External"/><Relationship Id="rId11434" Type="http://schemas.openxmlformats.org/officeDocument/2006/relationships/hyperlink" Target="http://secrets.rutgers.edu:8080/data/asl-ftp/asllvd/demos/verify_start_end_handshape_annotations//test_auto_move//signs_mov_separ_signers/Brady_5857.mov" TargetMode="External"/><Relationship Id="rId11435" Type="http://schemas.openxmlformats.org/officeDocument/2006/relationships/hyperlink" Target="http://csr.bu.edu/ftp/asl/asllvd/demos/verify_start_end_handshape_annotations//test_auto_move//signs_mov_separ_signers/Brady_15476.mov" TargetMode="External"/><Relationship Id="rId11436" Type="http://schemas.openxmlformats.org/officeDocument/2006/relationships/hyperlink" Target="http://secrets.rutgers.edu:8080/data/asl-ftp/asllvd/demos/verify_start_end_handshape_annotations//test_auto_move//signs_mov_separ_signers/Brady_15476.mov" TargetMode="External"/><Relationship Id="rId11437" Type="http://schemas.openxmlformats.org/officeDocument/2006/relationships/hyperlink" Target="http://csr.bu.edu/ftp/asl/asllvd/demos/verify_start_end_handshape_annotations//test_auto_move//signs_mov_separ_signers/Lana_5857.mov" TargetMode="External"/><Relationship Id="rId11438" Type="http://schemas.openxmlformats.org/officeDocument/2006/relationships/hyperlink" Target="http://secrets.rutgers.edu:8080/data/asl-ftp/asllvd/demos/verify_start_end_handshape_annotations//test_auto_move//signs_mov_separ_signers/Lana_5857.mov" TargetMode="External"/><Relationship Id="rId11439" Type="http://schemas.openxmlformats.org/officeDocument/2006/relationships/hyperlink" Target="http://csr.bu.edu/ftp/asl/asllvd/demos/verify_start_end_handshape_annotations//test_auto_move//signs_mov/1244.mov" TargetMode="External"/><Relationship Id="rId11440" Type="http://schemas.openxmlformats.org/officeDocument/2006/relationships/hyperlink" Target="http://csr.bu.edu/ftp/asl/asllvd/demos/verify_start_end_handshape_annotations//test_auto_move//signs_mov_separ_signers/Liz_1244.mov" TargetMode="External"/><Relationship Id="rId11441" Type="http://schemas.openxmlformats.org/officeDocument/2006/relationships/hyperlink" Target="http://secrets.rutgers.edu:8080/data/asl-ftp/asllvd/demos/verify_start_end_handshape_annotations//test_auto_move//signs_mov/1244.mov" TargetMode="External"/><Relationship Id="rId11442" Type="http://schemas.openxmlformats.org/officeDocument/2006/relationships/hyperlink" Target="http://secrets.rutgers.edu:8080/data/asl-ftp/asllvd/demos/verify_start_end_handshape_annotations//test_auto_move//signs_mov_separ_signers/Liz_1244.mov" TargetMode="External"/><Relationship Id="rId11443" Type="http://schemas.openxmlformats.org/officeDocument/2006/relationships/hyperlink" Target="http://csr.bu.edu/ftp/asl/asllvd/demos/verify_start_end_handshape_annotations//test_auto_move//signs_mov_separ_signers/Brady_1244.mov" TargetMode="External"/><Relationship Id="rId11444" Type="http://schemas.openxmlformats.org/officeDocument/2006/relationships/hyperlink" Target="http://secrets.rutgers.edu:8080/data/asl-ftp/asllvd/demos/verify_start_end_handshape_annotations//test_auto_move//signs_mov_separ_signers/Brady_1244.mov" TargetMode="External"/><Relationship Id="rId11445" Type="http://schemas.openxmlformats.org/officeDocument/2006/relationships/hyperlink" Target="http://csr.bu.edu/ftp/asl/asllvd/demos/verify_start_end_handshape_annotations//test_auto_move//signs_mov_separ_signers/Tyler_3660.mov" TargetMode="External"/><Relationship Id="rId11446" Type="http://schemas.openxmlformats.org/officeDocument/2006/relationships/hyperlink" Target="http://secrets.rutgers.edu:8080/data/asl-ftp/asllvd/demos/verify_start_end_handshape_annotations//test_auto_move//signs_mov_separ_signers/Tyler_3660.mov" TargetMode="External"/><Relationship Id="rId11447" Type="http://schemas.openxmlformats.org/officeDocument/2006/relationships/hyperlink" Target="http://csr.bu.edu/ftp/asl/asllvd/demos/verify_start_end_handshape_annotations//test_auto_move//signs_mov/3660_5327_merged.mov" TargetMode="External"/><Relationship Id="rId11448" Type="http://schemas.openxmlformats.org/officeDocument/2006/relationships/hyperlink" Target="http://csr.bu.edu/ftp/asl/asllvd/demos/verify_start_end_handshape_annotations//test_auto_move//signs_mov_separ_signers/Naomi_3660.mov" TargetMode="External"/><Relationship Id="rId11449" Type="http://schemas.openxmlformats.org/officeDocument/2006/relationships/hyperlink" Target="http://secrets.rutgers.edu:8080/data/asl-ftp/asllvd/demos/verify_start_end_handshape_annotations//test_auto_move//signs_mov/3660_5327_merged.mov" TargetMode="External"/><Relationship Id="rId11450" Type="http://schemas.openxmlformats.org/officeDocument/2006/relationships/hyperlink" Target="http://secrets.rutgers.edu:8080/data/asl-ftp/asllvd/demos/verify_start_end_handshape_annotations//test_auto_move//signs_mov_separ_signers/Naomi_3660.mov" TargetMode="External"/><Relationship Id="rId11451" Type="http://schemas.openxmlformats.org/officeDocument/2006/relationships/hyperlink" Target="http://csr.bu.edu/ftp/asl/asllvd/demos/verify_start_end_handshape_annotations//test_auto_move//signs_mov_separ_signers/Naomi_5327.mov" TargetMode="External"/><Relationship Id="rId11452" Type="http://schemas.openxmlformats.org/officeDocument/2006/relationships/hyperlink" Target="http://secrets.rutgers.edu:8080/data/asl-ftp/asllvd/demos/verify_start_end_handshape_annotations//test_auto_move//signs_mov_separ_signers/Naomi_5327.mov" TargetMode="External"/><Relationship Id="rId11453" Type="http://schemas.openxmlformats.org/officeDocument/2006/relationships/hyperlink" Target="http://csr.bu.edu/ftp/asl/asllvd/demos/verify_start_end_handshape_annotations//test_auto_move//signs_mov_separ_signers/Brady_3660.mov" TargetMode="External"/><Relationship Id="rId11454" Type="http://schemas.openxmlformats.org/officeDocument/2006/relationships/hyperlink" Target="http://secrets.rutgers.edu:8080/data/asl-ftp/asllvd/demos/verify_start_end_handshape_annotations//test_auto_move//signs_mov_separ_signers/Brady_3660.mov" TargetMode="External"/><Relationship Id="rId11455" Type="http://schemas.openxmlformats.org/officeDocument/2006/relationships/hyperlink" Target="http://csr.bu.edu/ftp/asl/asllvd/demos/verify_start_end_handshape_annotations//test_auto_move//signs_mov_separ_signers/Liz_5744.mov" TargetMode="External"/><Relationship Id="rId11456" Type="http://schemas.openxmlformats.org/officeDocument/2006/relationships/hyperlink" Target="http://secrets.rutgers.edu:8080/data/asl-ftp/asllvd/demos/verify_start_end_handshape_annotations//test_auto_move//signs_mov_separ_signers/Liz_5744.mov" TargetMode="External"/><Relationship Id="rId11457" Type="http://schemas.openxmlformats.org/officeDocument/2006/relationships/hyperlink" Target="http://csr.bu.edu/ftp/asl/asllvd/demos/verify_start_end_handshape_annotations//test_auto_move//signs_mov/5744_5772_merged.mov" TargetMode="External"/><Relationship Id="rId11458" Type="http://schemas.openxmlformats.org/officeDocument/2006/relationships/hyperlink" Target="http://csr.bu.edu/ftp/asl/asllvd/demos/verify_start_end_handshape_annotations//test_auto_move//signs_mov_separ_signers/Liz_5772.mov" TargetMode="External"/><Relationship Id="rId11459" Type="http://schemas.openxmlformats.org/officeDocument/2006/relationships/hyperlink" Target="http://secrets.rutgers.edu:8080/data/asl-ftp/asllvd/demos/verify_start_end_handshape_annotations//test_auto_move//signs_mov/5744_5772_merged.mov" TargetMode="External"/><Relationship Id="rId11460" Type="http://schemas.openxmlformats.org/officeDocument/2006/relationships/hyperlink" Target="http://secrets.rutgers.edu:8080/data/asl-ftp/asllvd/demos/verify_start_end_handshape_annotations//test_auto_move//signs_mov_separ_signers/Liz_5772.mov" TargetMode="External"/><Relationship Id="rId11461" Type="http://schemas.openxmlformats.org/officeDocument/2006/relationships/hyperlink" Target="http://csr.bu.edu/ftp/asl/asllvd/demos/verify_start_end_handshape_annotations//test_auto_move//signs_mov_separ_signers/Brady_5744.mov" TargetMode="External"/><Relationship Id="rId11462" Type="http://schemas.openxmlformats.org/officeDocument/2006/relationships/hyperlink" Target="http://secrets.rutgers.edu:8080/data/asl-ftp/asllvd/demos/verify_start_end_handshape_annotations//test_auto_move//signs_mov_separ_signers/Brady_5744.mov" TargetMode="External"/><Relationship Id="rId11463" Type="http://schemas.openxmlformats.org/officeDocument/2006/relationships/hyperlink" Target="http://csr.bu.edu/ftp/asl/asllvd/demos/verify_start_end_handshape_annotations//test_auto_move//signs_mov_separ_signers/Brady_5772.mov" TargetMode="External"/><Relationship Id="rId11464" Type="http://schemas.openxmlformats.org/officeDocument/2006/relationships/hyperlink" Target="http://secrets.rutgers.edu:8080/data/asl-ftp/asllvd/demos/verify_start_end_handshape_annotations//test_auto_move//signs_mov_separ_signers/Brady_5772.mov" TargetMode="External"/><Relationship Id="rId11465" Type="http://schemas.openxmlformats.org/officeDocument/2006/relationships/hyperlink" Target="http://csr.bu.edu/ftp/asl/asllvd/demos/verify_start_end_handshape_annotations//test_auto_move//signs_mov_separ_signers/Tyler_5858.mov" TargetMode="External"/><Relationship Id="rId11466" Type="http://schemas.openxmlformats.org/officeDocument/2006/relationships/hyperlink" Target="http://secrets.rutgers.edu:8080/data/asl-ftp/asllvd/demos/verify_start_end_handshape_annotations//test_auto_move//signs_mov_separ_signers/Tyler_5858.mov" TargetMode="External"/><Relationship Id="rId11467" Type="http://schemas.openxmlformats.org/officeDocument/2006/relationships/hyperlink" Target="http://csr.bu.edu/ftp/asl/asllvd/demos/verify_start_end_handshape_annotations//test_auto_move//signs_mov/5858_5859_merged.mov" TargetMode="External"/><Relationship Id="rId11468" Type="http://schemas.openxmlformats.org/officeDocument/2006/relationships/hyperlink" Target="http://csr.bu.edu/ftp/asl/asllvd/demos/verify_start_end_handshape_annotations//test_auto_move//signs_mov_separ_signers/Tyler_5859.mov" TargetMode="External"/><Relationship Id="rId11469" Type="http://schemas.openxmlformats.org/officeDocument/2006/relationships/hyperlink" Target="http://secrets.rutgers.edu:8080/data/asl-ftp/asllvd/demos/verify_start_end_handshape_annotations//test_auto_move//signs_mov/5858_5859_merged.mov" TargetMode="External"/><Relationship Id="rId11470" Type="http://schemas.openxmlformats.org/officeDocument/2006/relationships/hyperlink" Target="http://secrets.rutgers.edu:8080/data/asl-ftp/asllvd/demos/verify_start_end_handshape_annotations//test_auto_move//signs_mov_separ_signers/Tyler_5859.mov" TargetMode="External"/><Relationship Id="rId11471" Type="http://schemas.openxmlformats.org/officeDocument/2006/relationships/hyperlink" Target="http://csr.bu.edu/ftp/asl/asllvd/demos/verify_start_end_handshape_annotations//test_auto_move//signs_mov_separ_signers/Naomi_5858.mov" TargetMode="External"/><Relationship Id="rId11472" Type="http://schemas.openxmlformats.org/officeDocument/2006/relationships/hyperlink" Target="http://secrets.rutgers.edu:8080/data/asl-ftp/asllvd/demos/verify_start_end_handshape_annotations//test_auto_move//signs_mov_separ_signers/Naomi_5858.mov" TargetMode="External"/><Relationship Id="rId11473" Type="http://schemas.openxmlformats.org/officeDocument/2006/relationships/hyperlink" Target="http://csr.bu.edu/ftp/asl/asllvd/demos/verify_start_end_handshape_annotations//test_auto_move//signs_mov_separ_signers/Brady_5858.mov" TargetMode="External"/><Relationship Id="rId11474" Type="http://schemas.openxmlformats.org/officeDocument/2006/relationships/hyperlink" Target="http://secrets.rutgers.edu:8080/data/asl-ftp/asllvd/demos/verify_start_end_handshape_annotations//test_auto_move//signs_mov_separ_signers/Brady_5858.mov" TargetMode="External"/><Relationship Id="rId11475" Type="http://schemas.openxmlformats.org/officeDocument/2006/relationships/hyperlink" Target="http://csr.bu.edu/ftp/asl/asllvd/demos/verify_start_end_handshape_annotations//test_auto_move//signs_mov_separ_signers/Liz_1247.mov" TargetMode="External"/><Relationship Id="rId11476" Type="http://schemas.openxmlformats.org/officeDocument/2006/relationships/hyperlink" Target="http://secrets.rutgers.edu:8080/data/asl-ftp/asllvd/demos/verify_start_end_handshape_annotations//test_auto_move//signs_mov_separ_signers/Liz_1247.mov" TargetMode="External"/><Relationship Id="rId11477" Type="http://schemas.openxmlformats.org/officeDocument/2006/relationships/hyperlink" Target="http://csr.bu.edu/ftp/asl/asllvd/demos/verify_start_end_handshape_annotations//test_auto_move//signs_mov_separ_signers/Liz_15122.mov" TargetMode="External"/><Relationship Id="rId11478" Type="http://schemas.openxmlformats.org/officeDocument/2006/relationships/hyperlink" Target="http://secrets.rutgers.edu:8080/data/asl-ftp/asllvd/demos/verify_start_end_handshape_annotations//test_auto_move//signs_mov_separ_signers/Liz_15122.mov" TargetMode="External"/><Relationship Id="rId11479" Type="http://schemas.openxmlformats.org/officeDocument/2006/relationships/hyperlink" Target="http://csr.bu.edu/ftp/asl/asllvd/demos/verify_start_end_handshape_annotations//test_auto_move//signs_mov_separ_signers/Tyler_1247.mov" TargetMode="External"/><Relationship Id="rId11480" Type="http://schemas.openxmlformats.org/officeDocument/2006/relationships/hyperlink" Target="http://secrets.rutgers.edu:8080/data/asl-ftp/asllvd/demos/verify_start_end_handshape_annotations//test_auto_move//signs_mov_separ_signers/Tyler_1247.mov" TargetMode="External"/><Relationship Id="rId11481" Type="http://schemas.openxmlformats.org/officeDocument/2006/relationships/hyperlink" Target="http://csr.bu.edu/ftp/asl/asllvd/demos/verify_start_end_handshape_annotations//test_auto_move//signs_mov_separ_signers/Tyler_15122.mov" TargetMode="External"/><Relationship Id="rId11482" Type="http://schemas.openxmlformats.org/officeDocument/2006/relationships/hyperlink" Target="http://secrets.rutgers.edu:8080/data/asl-ftp/asllvd/demos/verify_start_end_handshape_annotations//test_auto_move//signs_mov_separ_signers/Tyler_15122.mov" TargetMode="External"/><Relationship Id="rId11483" Type="http://schemas.openxmlformats.org/officeDocument/2006/relationships/hyperlink" Target="http://csr.bu.edu/ftp/asl/asllvd/demos/verify_start_end_handshape_annotations//test_auto_move//signs_mov/1247_15122_merged.mov" TargetMode="External"/><Relationship Id="rId11484" Type="http://schemas.openxmlformats.org/officeDocument/2006/relationships/hyperlink" Target="http://csr.bu.edu/ftp/asl/asllvd/demos/verify_start_end_handshape_annotations//test_auto_move//signs_mov_separ_signers/Naomi_1247.mov" TargetMode="External"/><Relationship Id="rId11485" Type="http://schemas.openxmlformats.org/officeDocument/2006/relationships/hyperlink" Target="http://secrets.rutgers.edu:8080/data/asl-ftp/asllvd/demos/verify_start_end_handshape_annotations//test_auto_move//signs_mov/1247_15122_merged.mov" TargetMode="External"/><Relationship Id="rId11486" Type="http://schemas.openxmlformats.org/officeDocument/2006/relationships/hyperlink" Target="http://secrets.rutgers.edu:8080/data/asl-ftp/asllvd/demos/verify_start_end_handshape_annotations//test_auto_move//signs_mov_separ_signers/Naomi_1247.mov" TargetMode="External"/><Relationship Id="rId11487" Type="http://schemas.openxmlformats.org/officeDocument/2006/relationships/hyperlink" Target="http://csr.bu.edu/ftp/asl/asllvd/demos/verify_start_end_handshape_annotations//test_auto_move//signs_mov_separ_signers/Naomi_15122.mov" TargetMode="External"/><Relationship Id="rId11488" Type="http://schemas.openxmlformats.org/officeDocument/2006/relationships/hyperlink" Target="http://secrets.rutgers.edu:8080/data/asl-ftp/asllvd/demos/verify_start_end_handshape_annotations//test_auto_move//signs_mov_separ_signers/Naomi_15122.mov" TargetMode="External"/><Relationship Id="rId11489" Type="http://schemas.openxmlformats.org/officeDocument/2006/relationships/hyperlink" Target="http://csr.bu.edu/ftp/asl/asllvd/demos/verify_start_end_handshape_annotations//test_auto_move//signs_mov_separ_signers/Brady_1247.mov" TargetMode="External"/><Relationship Id="rId11490" Type="http://schemas.openxmlformats.org/officeDocument/2006/relationships/hyperlink" Target="http://secrets.rutgers.edu:8080/data/asl-ftp/asllvd/demos/verify_start_end_handshape_annotations//test_auto_move//signs_mov_separ_signers/Brady_1247.mov" TargetMode="External"/><Relationship Id="rId11491" Type="http://schemas.openxmlformats.org/officeDocument/2006/relationships/hyperlink" Target="http://csr.bu.edu/ftp/asl/asllvd/demos/verify_start_end_handshape_annotations//test_auto_move//signs_mov_separ_signers/Brady_15122.mov" TargetMode="External"/><Relationship Id="rId11492" Type="http://schemas.openxmlformats.org/officeDocument/2006/relationships/hyperlink" Target="http://secrets.rutgers.edu:8080/data/asl-ftp/asllvd/demos/verify_start_end_handshape_annotations//test_auto_move//signs_mov_separ_signers/Brady_15122.mov" TargetMode="External"/><Relationship Id="rId11493" Type="http://schemas.openxmlformats.org/officeDocument/2006/relationships/hyperlink" Target="http://csr.bu.edu/ftp/asl/asllvd/demos/verify_start_end_handshape_annotations//test_auto_move//signs_mov_separ_signers/Lana_1247.mov" TargetMode="External"/><Relationship Id="rId11494" Type="http://schemas.openxmlformats.org/officeDocument/2006/relationships/hyperlink" Target="http://secrets.rutgers.edu:8080/data/asl-ftp/asllvd/demos/verify_start_end_handshape_annotations//test_auto_move//signs_mov_separ_signers/Lana_1247.mov" TargetMode="External"/><Relationship Id="rId11495" Type="http://schemas.openxmlformats.org/officeDocument/2006/relationships/hyperlink" Target="http://csr.bu.edu/ftp/asl/asllvd/demos/verify_start_end_handshape_annotations//test_auto_move//signs_mov_separ_signers/Dana_1247.mov" TargetMode="External"/><Relationship Id="rId11496" Type="http://schemas.openxmlformats.org/officeDocument/2006/relationships/hyperlink" Target="http://secrets.rutgers.edu:8080/data/asl-ftp/asllvd/demos/verify_start_end_handshape_annotations//test_auto_move//signs_mov_separ_signers/Dana_1247.mov" TargetMode="External"/><Relationship Id="rId11497" Type="http://schemas.openxmlformats.org/officeDocument/2006/relationships/hyperlink" Target="http://csr.bu.edu/ftp/asl/asllvd/demos/verify_start_end_handshape_annotations//test_auto_move//signs_mov_separ_signers/Liz_16071.mov" TargetMode="External"/><Relationship Id="rId11498" Type="http://schemas.openxmlformats.org/officeDocument/2006/relationships/hyperlink" Target="http://secrets.rutgers.edu:8080/data/asl-ftp/asllvd/demos/verify_start_end_handshape_annotations//test_auto_move//signs_mov_separ_signers/Liz_16071.mov" TargetMode="External"/><Relationship Id="rId11499" Type="http://schemas.openxmlformats.org/officeDocument/2006/relationships/hyperlink" Target="http://csr.bu.edu/ftp/asl/asllvd/demos/verify_start_end_handshape_annotations//test_auto_move//signs_mov/16071.mov" TargetMode="External"/><Relationship Id="rId11500" Type="http://schemas.openxmlformats.org/officeDocument/2006/relationships/hyperlink" Target="http://csr.bu.edu/ftp/asl/asllvd/demos/verify_start_end_handshape_annotations//test_auto_move//signs_mov_separ_signers/Brady_16071.mov" TargetMode="External"/><Relationship Id="rId11501" Type="http://schemas.openxmlformats.org/officeDocument/2006/relationships/hyperlink" Target="http://secrets.rutgers.edu:8080/data/asl-ftp/asllvd/demos/verify_start_end_handshape_annotations//test_auto_move//signs_mov/16071.mov" TargetMode="External"/><Relationship Id="rId11502" Type="http://schemas.openxmlformats.org/officeDocument/2006/relationships/hyperlink" Target="http://secrets.rutgers.edu:8080/data/asl-ftp/asllvd/demos/verify_start_end_handshape_annotations//test_auto_move//signs_mov_separ_signers/Brady_16071.mov" TargetMode="External"/><Relationship Id="rId11503" Type="http://schemas.openxmlformats.org/officeDocument/2006/relationships/hyperlink" Target="http://csr.bu.edu/ftp/asl/asllvd/demos/verify_start_end_handshape_annotations//test_auto_move//signs_mov_separ_signers/Dana_16071.mov" TargetMode="External"/><Relationship Id="rId11504" Type="http://schemas.openxmlformats.org/officeDocument/2006/relationships/hyperlink" Target="http://secrets.rutgers.edu:8080/data/asl-ftp/asllvd/demos/verify_start_end_handshape_annotations//test_auto_move//signs_mov_separ_signers/Dana_16071.mov" TargetMode="External"/><Relationship Id="rId11505" Type="http://schemas.openxmlformats.org/officeDocument/2006/relationships/hyperlink" Target="http://csr.bu.edu/ftp/asl/asllvd/demos/verify_start_end_handshape_annotations//test_auto_move//signs_mov_separ_signers/Liz_1249.mov" TargetMode="External"/><Relationship Id="rId11506" Type="http://schemas.openxmlformats.org/officeDocument/2006/relationships/hyperlink" Target="http://secrets.rutgers.edu:8080/data/asl-ftp/asllvd/demos/verify_start_end_handshape_annotations//test_auto_move//signs_mov_separ_signers/Liz_1249.mov" TargetMode="External"/><Relationship Id="rId11507" Type="http://schemas.openxmlformats.org/officeDocument/2006/relationships/hyperlink" Target="http://csr.bu.edu/ftp/asl/asllvd/demos/verify_start_end_handshape_annotations//test_auto_move//signs_mov_separ_signers/Liz_5478.mov" TargetMode="External"/><Relationship Id="rId11508" Type="http://schemas.openxmlformats.org/officeDocument/2006/relationships/hyperlink" Target="http://secrets.rutgers.edu:8080/data/asl-ftp/asllvd/demos/verify_start_end_handshape_annotations//test_auto_move//signs_mov_separ_signers/Liz_5478.mov" TargetMode="External"/><Relationship Id="rId11509" Type="http://schemas.openxmlformats.org/officeDocument/2006/relationships/hyperlink" Target="http://csr.bu.edu/ftp/asl/asllvd/demos/verify_start_end_handshape_annotations//test_auto_move//signs_mov_separ_signers/Tyler_1249.mov" TargetMode="External"/><Relationship Id="rId11510" Type="http://schemas.openxmlformats.org/officeDocument/2006/relationships/hyperlink" Target="http://secrets.rutgers.edu:8080/data/asl-ftp/asllvd/demos/verify_start_end_handshape_annotations//test_auto_move//signs_mov_separ_signers/Tyler_1249.mov" TargetMode="External"/><Relationship Id="rId11511" Type="http://schemas.openxmlformats.org/officeDocument/2006/relationships/hyperlink" Target="http://csr.bu.edu/ftp/asl/asllvd/demos/verify_start_end_handshape_annotations//test_auto_move//signs_mov/1249_5478_merged.mov" TargetMode="External"/><Relationship Id="rId11512" Type="http://schemas.openxmlformats.org/officeDocument/2006/relationships/hyperlink" Target="http://csr.bu.edu/ftp/asl/asllvd/demos/verify_start_end_handshape_annotations//test_auto_move//signs_mov_separ_signers/Naomi_1249.mov" TargetMode="External"/><Relationship Id="rId11513" Type="http://schemas.openxmlformats.org/officeDocument/2006/relationships/hyperlink" Target="http://secrets.rutgers.edu:8080/data/asl-ftp/asllvd/demos/verify_start_end_handshape_annotations//test_auto_move//signs_mov/1249_5478_merged.mov" TargetMode="External"/><Relationship Id="rId11514" Type="http://schemas.openxmlformats.org/officeDocument/2006/relationships/hyperlink" Target="http://secrets.rutgers.edu:8080/data/asl-ftp/asllvd/demos/verify_start_end_handshape_annotations//test_auto_move//signs_mov_separ_signers/Naomi_1249.mov" TargetMode="External"/><Relationship Id="rId11515" Type="http://schemas.openxmlformats.org/officeDocument/2006/relationships/hyperlink" Target="http://csr.bu.edu/ftp/asl/asllvd/demos/verify_start_end_handshape_annotations//test_auto_move//signs_mov_separ_signers/Brady_1249.mov" TargetMode="External"/><Relationship Id="rId11516" Type="http://schemas.openxmlformats.org/officeDocument/2006/relationships/hyperlink" Target="http://secrets.rutgers.edu:8080/data/asl-ftp/asllvd/demos/verify_start_end_handshape_annotations//test_auto_move//signs_mov_separ_signers/Brady_1249.mov" TargetMode="External"/><Relationship Id="rId11517" Type="http://schemas.openxmlformats.org/officeDocument/2006/relationships/hyperlink" Target="http://csr.bu.edu/ftp/asl/asllvd/demos/verify_start_end_handshape_annotations//test_auto_move//signs_mov_separ_signers/Lana_1249.mov" TargetMode="External"/><Relationship Id="rId11518" Type="http://schemas.openxmlformats.org/officeDocument/2006/relationships/hyperlink" Target="http://secrets.rutgers.edu:8080/data/asl-ftp/asllvd/demos/verify_start_end_handshape_annotations//test_auto_move//signs_mov_separ_signers/Lana_1249.mov" TargetMode="External"/><Relationship Id="rId11519" Type="http://schemas.openxmlformats.org/officeDocument/2006/relationships/hyperlink" Target="http://csr.bu.edu/ftp/asl/asllvd/demos/verify_start_end_handshape_annotations//test_auto_move//signs_mov_separ_signers/Dana_1249.mov" TargetMode="External"/><Relationship Id="rId11520" Type="http://schemas.openxmlformats.org/officeDocument/2006/relationships/hyperlink" Target="http://secrets.rutgers.edu:8080/data/asl-ftp/asllvd/demos/verify_start_end_handshape_annotations//test_auto_move//signs_mov_separ_signers/Dana_1249.mov" TargetMode="External"/><Relationship Id="rId11521" Type="http://schemas.openxmlformats.org/officeDocument/2006/relationships/hyperlink" Target="http://csr.bu.edu/ftp/asl/asllvd/demos/verify_start_end_handshape_annotations//test_auto_move//signs_mov_separ_signers/Liz_15535.mov" TargetMode="External"/><Relationship Id="rId11522" Type="http://schemas.openxmlformats.org/officeDocument/2006/relationships/hyperlink" Target="http://secrets.rutgers.edu:8080/data/asl-ftp/asllvd/demos/verify_start_end_handshape_annotations//test_auto_move//signs_mov_separ_signers/Liz_15535.mov" TargetMode="External"/><Relationship Id="rId11523" Type="http://schemas.openxmlformats.org/officeDocument/2006/relationships/hyperlink" Target="http://csr.bu.edu/ftp/asl/asllvd/demos/verify_start_end_handshape_annotations//test_auto_move//signs_mov_separ_signers/Liz_15568.mov" TargetMode="External"/><Relationship Id="rId11524" Type="http://schemas.openxmlformats.org/officeDocument/2006/relationships/hyperlink" Target="http://secrets.rutgers.edu:8080/data/asl-ftp/asllvd/demos/verify_start_end_handshape_annotations//test_auto_move//signs_mov_separ_signers/Liz_15568.mov" TargetMode="External"/><Relationship Id="rId11525" Type="http://schemas.openxmlformats.org/officeDocument/2006/relationships/hyperlink" Target="http://csr.bu.edu/ftp/asl/asllvd/demos/verify_start_end_handshape_annotations//test_auto_move//signs_mov_separ_signers/Tyler_15535.mov" TargetMode="External"/><Relationship Id="rId11526" Type="http://schemas.openxmlformats.org/officeDocument/2006/relationships/hyperlink" Target="http://secrets.rutgers.edu:8080/data/asl-ftp/asllvd/demos/verify_start_end_handshape_annotations//test_auto_move//signs_mov_separ_signers/Tyler_15535.mov" TargetMode="External"/><Relationship Id="rId11527" Type="http://schemas.openxmlformats.org/officeDocument/2006/relationships/hyperlink" Target="http://csr.bu.edu/ftp/asl/asllvd/demos/verify_start_end_handshape_annotations//test_auto_move//signs_mov_separ_signers/Tyler_15568.mov" TargetMode="External"/><Relationship Id="rId11528" Type="http://schemas.openxmlformats.org/officeDocument/2006/relationships/hyperlink" Target="http://secrets.rutgers.edu:8080/data/asl-ftp/asllvd/demos/verify_start_end_handshape_annotations//test_auto_move//signs_mov_separ_signers/Tyler_15568.mov" TargetMode="External"/><Relationship Id="rId11529" Type="http://schemas.openxmlformats.org/officeDocument/2006/relationships/hyperlink" Target="http://csr.bu.edu/ftp/asl/asllvd/demos/verify_start_end_handshape_annotations//test_auto_move//signs_mov/15535_15568_15624_15699_merged.mov" TargetMode="External"/><Relationship Id="rId11530" Type="http://schemas.openxmlformats.org/officeDocument/2006/relationships/hyperlink" Target="http://csr.bu.edu/ftp/asl/asllvd/demos/verify_start_end_handshape_annotations//test_auto_move//signs_mov_separ_signers/Naomi_15535.mov" TargetMode="External"/><Relationship Id="rId11531" Type="http://schemas.openxmlformats.org/officeDocument/2006/relationships/hyperlink" Target="http://secrets.rutgers.edu:8080/data/asl-ftp/asllvd/demos/verify_start_end_handshape_annotations//test_auto_move//signs_mov/15535_15568_15624_15699_merged.mov" TargetMode="External"/><Relationship Id="rId11532" Type="http://schemas.openxmlformats.org/officeDocument/2006/relationships/hyperlink" Target="http://secrets.rutgers.edu:8080/data/asl-ftp/asllvd/demos/verify_start_end_handshape_annotations//test_auto_move//signs_mov_separ_signers/Naomi_15535.mov" TargetMode="External"/><Relationship Id="rId11533" Type="http://schemas.openxmlformats.org/officeDocument/2006/relationships/hyperlink" Target="http://csr.bu.edu/ftp/asl/asllvd/demos/verify_start_end_handshape_annotations//test_auto_move//signs_mov_separ_signers/Brady_15535.mov" TargetMode="External"/><Relationship Id="rId11534" Type="http://schemas.openxmlformats.org/officeDocument/2006/relationships/hyperlink" Target="http://secrets.rutgers.edu:8080/data/asl-ftp/asllvd/demos/verify_start_end_handshape_annotations//test_auto_move//signs_mov_separ_signers/Brady_15535.mov" TargetMode="External"/><Relationship Id="rId11535" Type="http://schemas.openxmlformats.org/officeDocument/2006/relationships/hyperlink" Target="http://csr.bu.edu/ftp/asl/asllvd/demos/verify_start_end_handshape_annotations//test_auto_move//signs_mov_separ_signers/Brady_15568.mov" TargetMode="External"/><Relationship Id="rId11536" Type="http://schemas.openxmlformats.org/officeDocument/2006/relationships/hyperlink" Target="http://secrets.rutgers.edu:8080/data/asl-ftp/asllvd/demos/verify_start_end_handshape_annotations//test_auto_move//signs_mov_separ_signers/Brady_15568.mov" TargetMode="External"/><Relationship Id="rId11537" Type="http://schemas.openxmlformats.org/officeDocument/2006/relationships/hyperlink" Target="http://csr.bu.edu/ftp/asl/asllvd/demos/verify_start_end_handshape_annotations//test_auto_move//signs_mov_separ_signers/Brady_15624.mov" TargetMode="External"/><Relationship Id="rId11538" Type="http://schemas.openxmlformats.org/officeDocument/2006/relationships/hyperlink" Target="http://secrets.rutgers.edu:8080/data/asl-ftp/asllvd/demos/verify_start_end_handshape_annotations//test_auto_move//signs_mov_separ_signers/Brady_15624.mov" TargetMode="External"/><Relationship Id="rId11539" Type="http://schemas.openxmlformats.org/officeDocument/2006/relationships/hyperlink" Target="http://csr.bu.edu/ftp/asl/asllvd/demos/verify_start_end_handshape_annotations//test_auto_move//signs_mov_separ_signers/Brady_15699.mov" TargetMode="External"/><Relationship Id="rId11540" Type="http://schemas.openxmlformats.org/officeDocument/2006/relationships/hyperlink" Target="http://secrets.rutgers.edu:8080/data/asl-ftp/asllvd/demos/verify_start_end_handshape_annotations//test_auto_move//signs_mov_separ_signers/Brady_15699.mov" TargetMode="External"/><Relationship Id="rId11541" Type="http://schemas.openxmlformats.org/officeDocument/2006/relationships/hyperlink" Target="http://csr.bu.edu/ftp/asl/asllvd/demos/verify_start_end_handshape_annotations//test_auto_move//signs_mov_separ_signers/Lana_15535.mov" TargetMode="External"/><Relationship Id="rId11542" Type="http://schemas.openxmlformats.org/officeDocument/2006/relationships/hyperlink" Target="http://secrets.rutgers.edu:8080/data/asl-ftp/asllvd/demos/verify_start_end_handshape_annotations//test_auto_move//signs_mov_separ_signers/Lana_15535.mov" TargetMode="External"/><Relationship Id="rId11543" Type="http://schemas.openxmlformats.org/officeDocument/2006/relationships/hyperlink" Target="http://csr.bu.edu/ftp/asl/asllvd/demos/verify_start_end_handshape_annotations//test_auto_move//signs_mov_separ_signers/Liz_1251.mov" TargetMode="External"/><Relationship Id="rId11544" Type="http://schemas.openxmlformats.org/officeDocument/2006/relationships/hyperlink" Target="http://secrets.rutgers.edu:8080/data/asl-ftp/asllvd/demos/verify_start_end_handshape_annotations//test_auto_move//signs_mov_separ_signers/Liz_1251.mov" TargetMode="External"/><Relationship Id="rId11545" Type="http://schemas.openxmlformats.org/officeDocument/2006/relationships/hyperlink" Target="http://csr.bu.edu/ftp/asl/asllvd/demos/verify_start_end_handshape_annotations//test_auto_move//signs_mov/1251.mov" TargetMode="External"/><Relationship Id="rId11546" Type="http://schemas.openxmlformats.org/officeDocument/2006/relationships/hyperlink" Target="http://csr.bu.edu/ftp/asl/asllvd/demos/verify_start_end_handshape_annotations//test_auto_move//signs_mov_separ_signers/Tyler_1251.mov" TargetMode="External"/><Relationship Id="rId11547" Type="http://schemas.openxmlformats.org/officeDocument/2006/relationships/hyperlink" Target="http://secrets.rutgers.edu:8080/data/asl-ftp/asllvd/demos/verify_start_end_handshape_annotations//test_auto_move//signs_mov/1251.mov" TargetMode="External"/><Relationship Id="rId11548" Type="http://schemas.openxmlformats.org/officeDocument/2006/relationships/hyperlink" Target="http://secrets.rutgers.edu:8080/data/asl-ftp/asllvd/demos/verify_start_end_handshape_annotations//test_auto_move//signs_mov_separ_signers/Tyler_1251.mov" TargetMode="External"/><Relationship Id="rId11549" Type="http://schemas.openxmlformats.org/officeDocument/2006/relationships/hyperlink" Target="http://csr.bu.edu/ftp/asl/asllvd/demos/verify_start_end_handshape_annotations//test_auto_move//signs_mov_separ_signers/Naomi_1251.mov" TargetMode="External"/><Relationship Id="rId11550" Type="http://schemas.openxmlformats.org/officeDocument/2006/relationships/hyperlink" Target="http://secrets.rutgers.edu:8080/data/asl-ftp/asllvd/demos/verify_start_end_handshape_annotations//test_auto_move//signs_mov_separ_signers/Naomi_1251.mov" TargetMode="External"/><Relationship Id="rId11551" Type="http://schemas.openxmlformats.org/officeDocument/2006/relationships/hyperlink" Target="http://csr.bu.edu/ftp/asl/asllvd/demos/verify_start_end_handshape_annotations//test_auto_move//signs_mov_separ_signers/Brady_1251.mov" TargetMode="External"/><Relationship Id="rId11552" Type="http://schemas.openxmlformats.org/officeDocument/2006/relationships/hyperlink" Target="http://secrets.rutgers.edu:8080/data/asl-ftp/asllvd/demos/verify_start_end_handshape_annotations//test_auto_move//signs_mov_separ_signers/Brady_1251.mov" TargetMode="External"/><Relationship Id="rId11553" Type="http://schemas.openxmlformats.org/officeDocument/2006/relationships/hyperlink" Target="http://csr.bu.edu/ftp/asl/asllvd/demos/verify_start_end_handshape_annotations//test_auto_move//signs_mov/1252.mov" TargetMode="External"/><Relationship Id="rId11554" Type="http://schemas.openxmlformats.org/officeDocument/2006/relationships/hyperlink" Target="http://csr.bu.edu/ftp/asl/asllvd/demos/verify_start_end_handshape_annotations//test_auto_move//signs_mov_separ_signers/Liz_1252.mov" TargetMode="External"/><Relationship Id="rId11555" Type="http://schemas.openxmlformats.org/officeDocument/2006/relationships/hyperlink" Target="http://secrets.rutgers.edu:8080/data/asl-ftp/asllvd/demos/verify_start_end_handshape_annotations//test_auto_move//signs_mov/1252.mov" TargetMode="External"/><Relationship Id="rId11556" Type="http://schemas.openxmlformats.org/officeDocument/2006/relationships/hyperlink" Target="http://secrets.rutgers.edu:8080/data/asl-ftp/asllvd/demos/verify_start_end_handshape_annotations//test_auto_move//signs_mov_separ_signers/Liz_1252.mov" TargetMode="External"/><Relationship Id="rId11557" Type="http://schemas.openxmlformats.org/officeDocument/2006/relationships/hyperlink" Target="http://csr.bu.edu/ftp/asl/asllvd/demos/verify_start_end_handshape_annotations//test_auto_move//signs_mov_separ_signers/Naomi_1252.mov" TargetMode="External"/><Relationship Id="rId11558" Type="http://schemas.openxmlformats.org/officeDocument/2006/relationships/hyperlink" Target="http://secrets.rutgers.edu:8080/data/asl-ftp/asllvd/demos/verify_start_end_handshape_annotations//test_auto_move//signs_mov_separ_signers/Naomi_1252.mov" TargetMode="External"/><Relationship Id="rId11559" Type="http://schemas.openxmlformats.org/officeDocument/2006/relationships/hyperlink" Target="http://csr.bu.edu/ftp/asl/asllvd/demos/verify_start_end_handshape_annotations//test_auto_move//signs_mov/5222.mov" TargetMode="External"/><Relationship Id="rId11560" Type="http://schemas.openxmlformats.org/officeDocument/2006/relationships/hyperlink" Target="http://csr.bu.edu/ftp/asl/asllvd/demos/verify_start_end_handshape_annotations//test_auto_move//signs_mov_separ_signers/Tyler_5222.mov" TargetMode="External"/><Relationship Id="rId11561" Type="http://schemas.openxmlformats.org/officeDocument/2006/relationships/hyperlink" Target="http://secrets.rutgers.edu:8080/data/asl-ftp/asllvd/demos/verify_start_end_handshape_annotations//test_auto_move//signs_mov/5222.mov" TargetMode="External"/><Relationship Id="rId11562" Type="http://schemas.openxmlformats.org/officeDocument/2006/relationships/hyperlink" Target="http://secrets.rutgers.edu:8080/data/asl-ftp/asllvd/demos/verify_start_end_handshape_annotations//test_auto_move//signs_mov_separ_signers/Tyler_5222.mov" TargetMode="External"/><Relationship Id="rId11563" Type="http://schemas.openxmlformats.org/officeDocument/2006/relationships/hyperlink" Target="http://csr.bu.edu/ftp/asl/asllvd/demos/verify_start_end_handshape_annotations//test_auto_move//signs_mov_separ_signers/Brady_5222.mov" TargetMode="External"/><Relationship Id="rId11564" Type="http://schemas.openxmlformats.org/officeDocument/2006/relationships/hyperlink" Target="http://secrets.rutgers.edu:8080/data/asl-ftp/asllvd/demos/verify_start_end_handshape_annotations//test_auto_move//signs_mov_separ_signers/Brady_5222.mov" TargetMode="External"/><Relationship Id="rId11565" Type="http://schemas.openxmlformats.org/officeDocument/2006/relationships/hyperlink" Target="http://csr.bu.edu/ftp/asl/asllvd/demos/verify_start_end_handshape_annotations//test_auto_move//signs_mov/1253.mov" TargetMode="External"/><Relationship Id="rId11566" Type="http://schemas.openxmlformats.org/officeDocument/2006/relationships/hyperlink" Target="http://csr.bu.edu/ftp/asl/asllvd/demos/verify_start_end_handshape_annotations//test_auto_move//signs_mov_separ_signers/Liz_1253.mov" TargetMode="External"/><Relationship Id="rId11567" Type="http://schemas.openxmlformats.org/officeDocument/2006/relationships/hyperlink" Target="http://secrets.rutgers.edu:8080/data/asl-ftp/asllvd/demos/verify_start_end_handshape_annotations//test_auto_move//signs_mov/1253.mov" TargetMode="External"/><Relationship Id="rId11568" Type="http://schemas.openxmlformats.org/officeDocument/2006/relationships/hyperlink" Target="http://secrets.rutgers.edu:8080/data/asl-ftp/asllvd/demos/verify_start_end_handshape_annotations//test_auto_move//signs_mov_separ_signers/Liz_1253.mov" TargetMode="External"/><Relationship Id="rId11569" Type="http://schemas.openxmlformats.org/officeDocument/2006/relationships/hyperlink" Target="http://csr.bu.edu/ftp/asl/asllvd/demos/verify_start_end_handshape_annotations//test_auto_move//signs_mov_separ_signers/Liz_1254.mov" TargetMode="External"/><Relationship Id="rId11570" Type="http://schemas.openxmlformats.org/officeDocument/2006/relationships/hyperlink" Target="http://secrets.rutgers.edu:8080/data/asl-ftp/asllvd/demos/verify_start_end_handshape_annotations//test_auto_move//signs_mov_separ_signers/Liz_1254.mov" TargetMode="External"/><Relationship Id="rId11571" Type="http://schemas.openxmlformats.org/officeDocument/2006/relationships/hyperlink" Target="http://csr.bu.edu/ftp/asl/asllvd/demos/verify_start_end_handshape_annotations//test_auto_move//signs_mov/1254.mov" TargetMode="External"/><Relationship Id="rId11572" Type="http://schemas.openxmlformats.org/officeDocument/2006/relationships/hyperlink" Target="http://csr.bu.edu/ftp/asl/asllvd/demos/verify_start_end_handshape_annotations//test_auto_move//signs_mov_separ_signers/Tyler_1254.mov" TargetMode="External"/><Relationship Id="rId11573" Type="http://schemas.openxmlformats.org/officeDocument/2006/relationships/hyperlink" Target="http://secrets.rutgers.edu:8080/data/asl-ftp/asllvd/demos/verify_start_end_handshape_annotations//test_auto_move//signs_mov/1254.mov" TargetMode="External"/><Relationship Id="rId11574" Type="http://schemas.openxmlformats.org/officeDocument/2006/relationships/hyperlink" Target="http://secrets.rutgers.edu:8080/data/asl-ftp/asllvd/demos/verify_start_end_handshape_annotations//test_auto_move//signs_mov_separ_signers/Tyler_1254.mov" TargetMode="External"/><Relationship Id="rId11575" Type="http://schemas.openxmlformats.org/officeDocument/2006/relationships/hyperlink" Target="http://csr.bu.edu/ftp/asl/asllvd/demos/verify_start_end_handshape_annotations//test_auto_move//signs_mov_separ_signers/Naomi_1254.mov" TargetMode="External"/><Relationship Id="rId11576" Type="http://schemas.openxmlformats.org/officeDocument/2006/relationships/hyperlink" Target="http://secrets.rutgers.edu:8080/data/asl-ftp/asllvd/demos/verify_start_end_handshape_annotations//test_auto_move//signs_mov_separ_signers/Naomi_1254.mov" TargetMode="External"/><Relationship Id="rId11577" Type="http://schemas.openxmlformats.org/officeDocument/2006/relationships/hyperlink" Target="http://csr.bu.edu/ftp/asl/asllvd/demos/verify_start_end_handshape_annotations//test_auto_move//signs_mov_separ_signers/Liz_1258.mov" TargetMode="External"/><Relationship Id="rId11578" Type="http://schemas.openxmlformats.org/officeDocument/2006/relationships/hyperlink" Target="http://secrets.rutgers.edu:8080/data/asl-ftp/asllvd/demos/verify_start_end_handshape_annotations//test_auto_move//signs_mov_separ_signers/Liz_1258.mov" TargetMode="External"/><Relationship Id="rId11579" Type="http://schemas.openxmlformats.org/officeDocument/2006/relationships/hyperlink" Target="http://csr.bu.edu/ftp/asl/asllvd/demos/verify_start_end_handshape_annotations//test_auto_move//signs_mov_separ_signers/Liz_3392.mov" TargetMode="External"/><Relationship Id="rId11580" Type="http://schemas.openxmlformats.org/officeDocument/2006/relationships/hyperlink" Target="http://secrets.rutgers.edu:8080/data/asl-ftp/asllvd/demos/verify_start_end_handshape_annotations//test_auto_move//signs_mov_separ_signers/Liz_3392.mov" TargetMode="External"/><Relationship Id="rId11581" Type="http://schemas.openxmlformats.org/officeDocument/2006/relationships/hyperlink" Target="http://csr.bu.edu/ftp/asl/asllvd/demos/verify_start_end_handshape_annotations//test_auto_move//signs_mov_separ_signers/Tyler_1258.mov" TargetMode="External"/><Relationship Id="rId11582" Type="http://schemas.openxmlformats.org/officeDocument/2006/relationships/hyperlink" Target="http://secrets.rutgers.edu:8080/data/asl-ftp/asllvd/demos/verify_start_end_handshape_annotations//test_auto_move//signs_mov_separ_signers/Tyler_1258.mov" TargetMode="External"/><Relationship Id="rId11583" Type="http://schemas.openxmlformats.org/officeDocument/2006/relationships/hyperlink" Target="http://csr.bu.edu/ftp/asl/asllvd/demos/verify_start_end_handshape_annotations//test_auto_move//signs_mov/1258_3392_5402_merged.mov" TargetMode="External"/><Relationship Id="rId11584" Type="http://schemas.openxmlformats.org/officeDocument/2006/relationships/hyperlink" Target="http://csr.bu.edu/ftp/asl/asllvd/demos/verify_start_end_handshape_annotations//test_auto_move//signs_mov_separ_signers/Naomi_1258.mov" TargetMode="External"/><Relationship Id="rId11585" Type="http://schemas.openxmlformats.org/officeDocument/2006/relationships/hyperlink" Target="http://secrets.rutgers.edu:8080/data/asl-ftp/asllvd/demos/verify_start_end_handshape_annotations//test_auto_move//signs_mov/1258_3392_5402_merged.mov" TargetMode="External"/><Relationship Id="rId11586" Type="http://schemas.openxmlformats.org/officeDocument/2006/relationships/hyperlink" Target="http://secrets.rutgers.edu:8080/data/asl-ftp/asllvd/demos/verify_start_end_handshape_annotations//test_auto_move//signs_mov_separ_signers/Naomi_1258.mov" TargetMode="External"/><Relationship Id="rId11587" Type="http://schemas.openxmlformats.org/officeDocument/2006/relationships/hyperlink" Target="http://csr.bu.edu/ftp/asl/asllvd/demos/verify_start_end_handshape_annotations//test_auto_move//signs_mov_separ_signers/Brady_1258.mov" TargetMode="External"/><Relationship Id="rId11588" Type="http://schemas.openxmlformats.org/officeDocument/2006/relationships/hyperlink" Target="http://secrets.rutgers.edu:8080/data/asl-ftp/asllvd/demos/verify_start_end_handshape_annotations//test_auto_move//signs_mov_separ_signers/Brady_1258.mov" TargetMode="External"/><Relationship Id="rId11589" Type="http://schemas.openxmlformats.org/officeDocument/2006/relationships/hyperlink" Target="http://csr.bu.edu/ftp/asl/asllvd/demos/verify_start_end_handshape_annotations//test_auto_move//signs_mov_separ_signers/Brady_3392.mov" TargetMode="External"/><Relationship Id="rId11590" Type="http://schemas.openxmlformats.org/officeDocument/2006/relationships/hyperlink" Target="http://secrets.rutgers.edu:8080/data/asl-ftp/asllvd/demos/verify_start_end_handshape_annotations//test_auto_move//signs_mov_separ_signers/Brady_3392.mov" TargetMode="External"/><Relationship Id="rId11591" Type="http://schemas.openxmlformats.org/officeDocument/2006/relationships/hyperlink" Target="http://csr.bu.edu/ftp/asl/asllvd/demos/verify_start_end_handshape_annotations//test_auto_move//signs_mov_separ_signers/Brady_5402.mov" TargetMode="External"/><Relationship Id="rId11592" Type="http://schemas.openxmlformats.org/officeDocument/2006/relationships/hyperlink" Target="http://secrets.rutgers.edu:8080/data/asl-ftp/asllvd/demos/verify_start_end_handshape_annotations//test_auto_move//signs_mov_separ_signers/Brady_5402.mov" TargetMode="External"/><Relationship Id="rId11593" Type="http://schemas.openxmlformats.org/officeDocument/2006/relationships/hyperlink" Target="http://csr.bu.edu/ftp/asl/asllvd/demos/verify_start_end_handshape_annotations//test_auto_move//signs_mov_separ_signers/Lana_1258.mov" TargetMode="External"/><Relationship Id="rId11594" Type="http://schemas.openxmlformats.org/officeDocument/2006/relationships/hyperlink" Target="http://secrets.rutgers.edu:8080/data/asl-ftp/asllvd/demos/verify_start_end_handshape_annotations//test_auto_move//signs_mov_separ_signers/Lana_1258.mov" TargetMode="External"/><Relationship Id="rId11595" Type="http://schemas.openxmlformats.org/officeDocument/2006/relationships/hyperlink" Target="http://csr.bu.edu/ftp/asl/asllvd/demos/verify_start_end_handshape_annotations//test_auto_move//signs_mov_separ_signers/Liz_5935.mov" TargetMode="External"/><Relationship Id="rId11596" Type="http://schemas.openxmlformats.org/officeDocument/2006/relationships/hyperlink" Target="http://secrets.rutgers.edu:8080/data/asl-ftp/asllvd/demos/verify_start_end_handshape_annotations//test_auto_move//signs_mov_separ_signers/Liz_5935.mov" TargetMode="External"/><Relationship Id="rId11597" Type="http://schemas.openxmlformats.org/officeDocument/2006/relationships/hyperlink" Target="http://csr.bu.edu/ftp/asl/asllvd/demos/verify_start_end_handshape_annotations//test_auto_move//signs_mov/5935.mov" TargetMode="External"/><Relationship Id="rId11598" Type="http://schemas.openxmlformats.org/officeDocument/2006/relationships/hyperlink" Target="http://csr.bu.edu/ftp/asl/asllvd/demos/verify_start_end_handshape_annotations//test_auto_move//signs_mov_separ_signers/Tyler_5935.mov" TargetMode="External"/><Relationship Id="rId11599" Type="http://schemas.openxmlformats.org/officeDocument/2006/relationships/hyperlink" Target="http://secrets.rutgers.edu:8080/data/asl-ftp/asllvd/demos/verify_start_end_handshape_annotations//test_auto_move//signs_mov/5935.mov" TargetMode="External"/><Relationship Id="rId11600" Type="http://schemas.openxmlformats.org/officeDocument/2006/relationships/hyperlink" Target="http://secrets.rutgers.edu:8080/data/asl-ftp/asllvd/demos/verify_start_end_handshape_annotations//test_auto_move//signs_mov_separ_signers/Tyler_5935.mov" TargetMode="External"/><Relationship Id="rId11601" Type="http://schemas.openxmlformats.org/officeDocument/2006/relationships/hyperlink" Target="http://csr.bu.edu/ftp/asl/asllvd/demos/verify_start_end_handshape_annotations//test_auto_move//signs_mov_separ_signers/Naomi_5935.mov" TargetMode="External"/><Relationship Id="rId11602" Type="http://schemas.openxmlformats.org/officeDocument/2006/relationships/hyperlink" Target="http://secrets.rutgers.edu:8080/data/asl-ftp/asllvd/demos/verify_start_end_handshape_annotations//test_auto_move//signs_mov_separ_signers/Naomi_5935.mov" TargetMode="External"/><Relationship Id="rId11603" Type="http://schemas.openxmlformats.org/officeDocument/2006/relationships/hyperlink" Target="http://csr.bu.edu/ftp/asl/asllvd/demos/verify_start_end_handshape_annotations//test_auto_move//signs_mov_separ_signers/Brady_5935.mov" TargetMode="External"/><Relationship Id="rId11604" Type="http://schemas.openxmlformats.org/officeDocument/2006/relationships/hyperlink" Target="http://secrets.rutgers.edu:8080/data/asl-ftp/asllvd/demos/verify_start_end_handshape_annotations//test_auto_move//signs_mov_separ_signers/Brady_5935.mov" TargetMode="External"/><Relationship Id="rId11605" Type="http://schemas.openxmlformats.org/officeDocument/2006/relationships/hyperlink" Target="http://csr.bu.edu/ftp/asl/asllvd/demos/verify_start_end_handshape_annotations//test_auto_move//signs_mov_separ_signers/Liz_15082.mov" TargetMode="External"/><Relationship Id="rId11606" Type="http://schemas.openxmlformats.org/officeDocument/2006/relationships/hyperlink" Target="http://secrets.rutgers.edu:8080/data/asl-ftp/asllvd/demos/verify_start_end_handshape_annotations//test_auto_move//signs_mov_separ_signers/Liz_15082.mov" TargetMode="External"/><Relationship Id="rId11607" Type="http://schemas.openxmlformats.org/officeDocument/2006/relationships/hyperlink" Target="http://csr.bu.edu/ftp/asl/asllvd/demos/verify_start_end_handshape_annotations//test_auto_move//signs_mov/15082.mov" TargetMode="External"/><Relationship Id="rId11608" Type="http://schemas.openxmlformats.org/officeDocument/2006/relationships/hyperlink" Target="http://csr.bu.edu/ftp/asl/asllvd/demos/verify_start_end_handshape_annotations//test_auto_move//signs_mov_separ_signers/Tyler_15082.mov" TargetMode="External"/><Relationship Id="rId11609" Type="http://schemas.openxmlformats.org/officeDocument/2006/relationships/hyperlink" Target="http://secrets.rutgers.edu:8080/data/asl-ftp/asllvd/demos/verify_start_end_handshape_annotations//test_auto_move//signs_mov/15082.mov" TargetMode="External"/><Relationship Id="rId11610" Type="http://schemas.openxmlformats.org/officeDocument/2006/relationships/hyperlink" Target="http://secrets.rutgers.edu:8080/data/asl-ftp/asllvd/demos/verify_start_end_handshape_annotations//test_auto_move//signs_mov_separ_signers/Tyler_15082.mov" TargetMode="External"/><Relationship Id="rId11611" Type="http://schemas.openxmlformats.org/officeDocument/2006/relationships/hyperlink" Target="http://csr.bu.edu/ftp/asl/asllvd/demos/verify_start_end_handshape_annotations//test_auto_move//signs_mov_separ_signers/Naomi_15082.mov" TargetMode="External"/><Relationship Id="rId11612" Type="http://schemas.openxmlformats.org/officeDocument/2006/relationships/hyperlink" Target="http://secrets.rutgers.edu:8080/data/asl-ftp/asllvd/demos/verify_start_end_handshape_annotations//test_auto_move//signs_mov_separ_signers/Naomi_15082.mov" TargetMode="External"/><Relationship Id="rId11613" Type="http://schemas.openxmlformats.org/officeDocument/2006/relationships/hyperlink" Target="http://csr.bu.edu/ftp/asl/asllvd/demos/verify_start_end_handshape_annotations//test_auto_move//signs_mov_separ_signers/Brady_15082.mov" TargetMode="External"/><Relationship Id="rId11614" Type="http://schemas.openxmlformats.org/officeDocument/2006/relationships/hyperlink" Target="http://secrets.rutgers.edu:8080/data/asl-ftp/asllvd/demos/verify_start_end_handshape_annotations//test_auto_move//signs_mov_separ_signers/Brady_15082.mov" TargetMode="External"/><Relationship Id="rId11615" Type="http://schemas.openxmlformats.org/officeDocument/2006/relationships/hyperlink" Target="http://csr.bu.edu/ftp/asl/asllvd/demos/verify_start_end_handshape_annotations//test_auto_move//signs_mov_separ_signers/Liz_1260.mov" TargetMode="External"/><Relationship Id="rId11616" Type="http://schemas.openxmlformats.org/officeDocument/2006/relationships/hyperlink" Target="http://secrets.rutgers.edu:8080/data/asl-ftp/asllvd/demos/verify_start_end_handshape_annotations//test_auto_move//signs_mov_separ_signers/Liz_1260.mov" TargetMode="External"/><Relationship Id="rId11617" Type="http://schemas.openxmlformats.org/officeDocument/2006/relationships/hyperlink" Target="http://csr.bu.edu/ftp/asl/asllvd/demos/verify_start_end_handshape_annotations//test_auto_move//signs_mov_separ_signers/Liz_3367.mov" TargetMode="External"/><Relationship Id="rId11618" Type="http://schemas.openxmlformats.org/officeDocument/2006/relationships/hyperlink" Target="http://secrets.rutgers.edu:8080/data/asl-ftp/asllvd/demos/verify_start_end_handshape_annotations//test_auto_move//signs_mov_separ_signers/Liz_3367.mov" TargetMode="External"/><Relationship Id="rId11619" Type="http://schemas.openxmlformats.org/officeDocument/2006/relationships/hyperlink" Target="http://csr.bu.edu/ftp/asl/asllvd/demos/verify_start_end_handshape_annotations//test_auto_move//signs_mov_separ_signers/Tyler_1260.mov" TargetMode="External"/><Relationship Id="rId11620" Type="http://schemas.openxmlformats.org/officeDocument/2006/relationships/hyperlink" Target="http://secrets.rutgers.edu:8080/data/asl-ftp/asllvd/demos/verify_start_end_handshape_annotations//test_auto_move//signs_mov_separ_signers/Tyler_1260.mov" TargetMode="External"/><Relationship Id="rId11621" Type="http://schemas.openxmlformats.org/officeDocument/2006/relationships/hyperlink" Target="http://csr.bu.edu/ftp/asl/asllvd/demos/verify_start_end_handshape_annotations//test_auto_move//signs_mov/1260_3367_merged.mov" TargetMode="External"/><Relationship Id="rId11622" Type="http://schemas.openxmlformats.org/officeDocument/2006/relationships/hyperlink" Target="http://csr.bu.edu/ftp/asl/asllvd/demos/verify_start_end_handshape_annotations//test_auto_move//signs_mov_separ_signers/Naomi_1260.mov" TargetMode="External"/><Relationship Id="rId11623" Type="http://schemas.openxmlformats.org/officeDocument/2006/relationships/hyperlink" Target="http://secrets.rutgers.edu:8080/data/asl-ftp/asllvd/demos/verify_start_end_handshape_annotations//test_auto_move//signs_mov/1260_3367_merged.mov" TargetMode="External"/><Relationship Id="rId11624" Type="http://schemas.openxmlformats.org/officeDocument/2006/relationships/hyperlink" Target="http://secrets.rutgers.edu:8080/data/asl-ftp/asllvd/demos/verify_start_end_handshape_annotations//test_auto_move//signs_mov_separ_signers/Naomi_1260.mov" TargetMode="External"/><Relationship Id="rId11625" Type="http://schemas.openxmlformats.org/officeDocument/2006/relationships/hyperlink" Target="http://csr.bu.edu/ftp/asl/asllvd/demos/verify_start_end_handshape_annotations//test_auto_move//signs_mov_separ_signers/Naomi_3367.mov" TargetMode="External"/><Relationship Id="rId11626" Type="http://schemas.openxmlformats.org/officeDocument/2006/relationships/hyperlink" Target="http://secrets.rutgers.edu:8080/data/asl-ftp/asllvd/demos/verify_start_end_handshape_annotations//test_auto_move//signs_mov_separ_signers/Naomi_3367.mov" TargetMode="External"/><Relationship Id="rId11627" Type="http://schemas.openxmlformats.org/officeDocument/2006/relationships/hyperlink" Target="http://csr.bu.edu/ftp/asl/asllvd/demos/verify_start_end_handshape_annotations//test_auto_move//signs_mov_separ_signers/Brady_1260.mov" TargetMode="External"/><Relationship Id="rId11628" Type="http://schemas.openxmlformats.org/officeDocument/2006/relationships/hyperlink" Target="http://secrets.rutgers.edu:8080/data/asl-ftp/asllvd/demos/verify_start_end_handshape_annotations//test_auto_move//signs_mov_separ_signers/Brady_1260.mov" TargetMode="External"/><Relationship Id="rId11629" Type="http://schemas.openxmlformats.org/officeDocument/2006/relationships/hyperlink" Target="http://csr.bu.edu/ftp/asl/asllvd/demos/verify_start_end_handshape_annotations//test_auto_move//signs_mov_separ_signers/Brady_3367.mov" TargetMode="External"/><Relationship Id="rId11630" Type="http://schemas.openxmlformats.org/officeDocument/2006/relationships/hyperlink" Target="http://secrets.rutgers.edu:8080/data/asl-ftp/asllvd/demos/verify_start_end_handshape_annotations//test_auto_move//signs_mov_separ_signers/Brady_3367.mov" TargetMode="External"/><Relationship Id="rId11631" Type="http://schemas.openxmlformats.org/officeDocument/2006/relationships/hyperlink" Target="http://csr.bu.edu/ftp/asl/asllvd/demos/verify_start_end_handshape_annotations//test_auto_move//signs_mov_separ_signers/Tyler_3661.mov" TargetMode="External"/><Relationship Id="rId11632" Type="http://schemas.openxmlformats.org/officeDocument/2006/relationships/hyperlink" Target="http://secrets.rutgers.edu:8080/data/asl-ftp/asllvd/demos/verify_start_end_handshape_annotations//test_auto_move//signs_mov_separ_signers/Tyler_3661.mov" TargetMode="External"/><Relationship Id="rId11633" Type="http://schemas.openxmlformats.org/officeDocument/2006/relationships/hyperlink" Target="http://csr.bu.edu/ftp/asl/asllvd/demos/verify_start_end_handshape_annotations//test_auto_move//signs_mov/3661_5939_merged.mov" TargetMode="External"/><Relationship Id="rId11634" Type="http://schemas.openxmlformats.org/officeDocument/2006/relationships/hyperlink" Target="http://csr.bu.edu/ftp/asl/asllvd/demos/verify_start_end_handshape_annotations//test_auto_move//signs_mov_separ_signers/Naomi_3661.mov" TargetMode="External"/><Relationship Id="rId11635" Type="http://schemas.openxmlformats.org/officeDocument/2006/relationships/hyperlink" Target="http://secrets.rutgers.edu:8080/data/asl-ftp/asllvd/demos/verify_start_end_handshape_annotations//test_auto_move//signs_mov/3661_5939_merged.mov" TargetMode="External"/><Relationship Id="rId11636" Type="http://schemas.openxmlformats.org/officeDocument/2006/relationships/hyperlink" Target="http://secrets.rutgers.edu:8080/data/asl-ftp/asllvd/demos/verify_start_end_handshape_annotations//test_auto_move//signs_mov_separ_signers/Naomi_3661.mov" TargetMode="External"/><Relationship Id="rId11637" Type="http://schemas.openxmlformats.org/officeDocument/2006/relationships/hyperlink" Target="http://csr.bu.edu/ftp/asl/asllvd/demos/verify_start_end_handshape_annotations//test_auto_move//signs_mov_separ_signers/Brady_3661.mov" TargetMode="External"/><Relationship Id="rId11638" Type="http://schemas.openxmlformats.org/officeDocument/2006/relationships/hyperlink" Target="http://secrets.rutgers.edu:8080/data/asl-ftp/asllvd/demos/verify_start_end_handshape_annotations//test_auto_move//signs_mov_separ_signers/Brady_3661.mov" TargetMode="External"/><Relationship Id="rId11639" Type="http://schemas.openxmlformats.org/officeDocument/2006/relationships/hyperlink" Target="http://csr.bu.edu/ftp/asl/asllvd/demos/verify_start_end_handshape_annotations//test_auto_move//signs_mov_separ_signers/Brady_5939.mov" TargetMode="External"/><Relationship Id="rId11640" Type="http://schemas.openxmlformats.org/officeDocument/2006/relationships/hyperlink" Target="http://secrets.rutgers.edu:8080/data/asl-ftp/asllvd/demos/verify_start_end_handshape_annotations//test_auto_move//signs_mov_separ_signers/Brady_5939.mov" TargetMode="External"/><Relationship Id="rId11641" Type="http://schemas.openxmlformats.org/officeDocument/2006/relationships/hyperlink" Target="http://csr.bu.edu/ftp/asl/asllvd/demos/verify_start_end_handshape_annotations//test_auto_move//signs_mov_separ_signers/Liz_15648.mov" TargetMode="External"/><Relationship Id="rId11642" Type="http://schemas.openxmlformats.org/officeDocument/2006/relationships/hyperlink" Target="http://secrets.rutgers.edu:8080/data/asl-ftp/asllvd/demos/verify_start_end_handshape_annotations//test_auto_move//signs_mov_separ_signers/Liz_15648.mov" TargetMode="External"/><Relationship Id="rId11643" Type="http://schemas.openxmlformats.org/officeDocument/2006/relationships/hyperlink" Target="http://csr.bu.edu/ftp/asl/asllvd/demos/verify_start_end_handshape_annotations//test_auto_move//signs_mov/15648.mov" TargetMode="External"/><Relationship Id="rId11644" Type="http://schemas.openxmlformats.org/officeDocument/2006/relationships/hyperlink" Target="http://csr.bu.edu/ftp/asl/asllvd/demos/verify_start_end_handshape_annotations//test_auto_move//signs_mov_separ_signers/Tyler_15648.mov" TargetMode="External"/><Relationship Id="rId11645" Type="http://schemas.openxmlformats.org/officeDocument/2006/relationships/hyperlink" Target="http://secrets.rutgers.edu:8080/data/asl-ftp/asllvd/demos/verify_start_end_handshape_annotations//test_auto_move//signs_mov/15648.mov" TargetMode="External"/><Relationship Id="rId11646" Type="http://schemas.openxmlformats.org/officeDocument/2006/relationships/hyperlink" Target="http://secrets.rutgers.edu:8080/data/asl-ftp/asllvd/demos/verify_start_end_handshape_annotations//test_auto_move//signs_mov_separ_signers/Tyler_15648.mov" TargetMode="External"/><Relationship Id="rId11647" Type="http://schemas.openxmlformats.org/officeDocument/2006/relationships/hyperlink" Target="http://csr.bu.edu/ftp/asl/asllvd/demos/verify_start_end_handshape_annotations//test_auto_move//signs_mov_separ_signers/Naomi_15648.mov" TargetMode="External"/><Relationship Id="rId11648" Type="http://schemas.openxmlformats.org/officeDocument/2006/relationships/hyperlink" Target="http://secrets.rutgers.edu:8080/data/asl-ftp/asllvd/demos/verify_start_end_handshape_annotations//test_auto_move//signs_mov_separ_signers/Naomi_15648.mov" TargetMode="External"/><Relationship Id="rId11649" Type="http://schemas.openxmlformats.org/officeDocument/2006/relationships/hyperlink" Target="http://csr.bu.edu/ftp/asl/asllvd/demos/verify_start_end_handshape_annotations//test_auto_move//signs_mov_separ_signers/Brady_15648.mov" TargetMode="External"/><Relationship Id="rId11650" Type="http://schemas.openxmlformats.org/officeDocument/2006/relationships/hyperlink" Target="http://secrets.rutgers.edu:8080/data/asl-ftp/asllvd/demos/verify_start_end_handshape_annotations//test_auto_move//signs_mov_separ_signers/Brady_15648.mov" TargetMode="External"/><Relationship Id="rId11651" Type="http://schemas.openxmlformats.org/officeDocument/2006/relationships/hyperlink" Target="http://csr.bu.edu/ftp/asl/asllvd/demos/verify_start_end_handshape_annotations//test_auto_move//signs_mov_separ_signers/Liz_1262.mov" TargetMode="External"/><Relationship Id="rId11652" Type="http://schemas.openxmlformats.org/officeDocument/2006/relationships/hyperlink" Target="http://secrets.rutgers.edu:8080/data/asl-ftp/asllvd/demos/verify_start_end_handshape_annotations//test_auto_move//signs_mov_separ_signers/Liz_1262.mov" TargetMode="External"/><Relationship Id="rId11653" Type="http://schemas.openxmlformats.org/officeDocument/2006/relationships/hyperlink" Target="http://csr.bu.edu/ftp/asl/asllvd/demos/verify_start_end_handshape_annotations//test_auto_move//signs_mov/1262.mov" TargetMode="External"/><Relationship Id="rId11654" Type="http://schemas.openxmlformats.org/officeDocument/2006/relationships/hyperlink" Target="http://csr.bu.edu/ftp/asl/asllvd/demos/verify_start_end_handshape_annotations//test_auto_move//signs_mov_separ_signers/Tyler_1262.mov" TargetMode="External"/><Relationship Id="rId11655" Type="http://schemas.openxmlformats.org/officeDocument/2006/relationships/hyperlink" Target="http://secrets.rutgers.edu:8080/data/asl-ftp/asllvd/demos/verify_start_end_handshape_annotations//test_auto_move//signs_mov/1262.mov" TargetMode="External"/><Relationship Id="rId11656" Type="http://schemas.openxmlformats.org/officeDocument/2006/relationships/hyperlink" Target="http://secrets.rutgers.edu:8080/data/asl-ftp/asllvd/demos/verify_start_end_handshape_annotations//test_auto_move//signs_mov_separ_signers/Tyler_1262.mov" TargetMode="External"/><Relationship Id="rId11657" Type="http://schemas.openxmlformats.org/officeDocument/2006/relationships/hyperlink" Target="http://csr.bu.edu/ftp/asl/asllvd/demos/verify_start_end_handshape_annotations//test_auto_move//signs_mov_separ_signers/Naomi_1262.mov" TargetMode="External"/><Relationship Id="rId11658" Type="http://schemas.openxmlformats.org/officeDocument/2006/relationships/hyperlink" Target="http://secrets.rutgers.edu:8080/data/asl-ftp/asllvd/demos/verify_start_end_handshape_annotations//test_auto_move//signs_mov_separ_signers/Naomi_1262.mov" TargetMode="External"/><Relationship Id="rId11659" Type="http://schemas.openxmlformats.org/officeDocument/2006/relationships/hyperlink" Target="http://csr.bu.edu/ftp/asl/asllvd/demos/verify_start_end_handshape_annotations//test_auto_move//signs_mov_separ_signers/Brady_1262.mov" TargetMode="External"/><Relationship Id="rId11660" Type="http://schemas.openxmlformats.org/officeDocument/2006/relationships/hyperlink" Target="http://secrets.rutgers.edu:8080/data/asl-ftp/asllvd/demos/verify_start_end_handshape_annotations//test_auto_move//signs_mov_separ_signers/Brady_1262.mov" TargetMode="External"/><Relationship Id="rId11661" Type="http://schemas.openxmlformats.org/officeDocument/2006/relationships/hyperlink" Target="http://csr.bu.edu/ftp/asl/asllvd/demos/verify_start_end_handshape_annotations//test_auto_move//signs_mov_separ_signers/Liz_1264.mov" TargetMode="External"/><Relationship Id="rId11662" Type="http://schemas.openxmlformats.org/officeDocument/2006/relationships/hyperlink" Target="http://secrets.rutgers.edu:8080/data/asl-ftp/asllvd/demos/verify_start_end_handshape_annotations//test_auto_move//signs_mov_separ_signers/Liz_1264.mov" TargetMode="External"/><Relationship Id="rId11663" Type="http://schemas.openxmlformats.org/officeDocument/2006/relationships/hyperlink" Target="http://csr.bu.edu/ftp/asl/asllvd/demos/verify_start_end_handshape_annotations//test_auto_move//signs_mov/1264.mov" TargetMode="External"/><Relationship Id="rId11664" Type="http://schemas.openxmlformats.org/officeDocument/2006/relationships/hyperlink" Target="http://csr.bu.edu/ftp/asl/asllvd/demos/verify_start_end_handshape_annotations//test_auto_move//signs_mov_separ_signers/Naomi_1264.mov" TargetMode="External"/><Relationship Id="rId11665" Type="http://schemas.openxmlformats.org/officeDocument/2006/relationships/hyperlink" Target="http://secrets.rutgers.edu:8080/data/asl-ftp/asllvd/demos/verify_start_end_handshape_annotations//test_auto_move//signs_mov/1264.mov" TargetMode="External"/><Relationship Id="rId11666" Type="http://schemas.openxmlformats.org/officeDocument/2006/relationships/hyperlink" Target="http://secrets.rutgers.edu:8080/data/asl-ftp/asllvd/demos/verify_start_end_handshape_annotations//test_auto_move//signs_mov_separ_signers/Naomi_1264.mov" TargetMode="External"/><Relationship Id="rId11667" Type="http://schemas.openxmlformats.org/officeDocument/2006/relationships/hyperlink" Target="http://csr.bu.edu/ftp/asl/asllvd/demos/verify_start_end_handshape_annotations//test_auto_move//signs_mov_separ_signers/Brady_1264.mov" TargetMode="External"/><Relationship Id="rId11668" Type="http://schemas.openxmlformats.org/officeDocument/2006/relationships/hyperlink" Target="http://secrets.rutgers.edu:8080/data/asl-ftp/asllvd/demos/verify_start_end_handshape_annotations//test_auto_move//signs_mov_separ_signers/Brady_1264.mov" TargetMode="External"/><Relationship Id="rId11669" Type="http://schemas.openxmlformats.org/officeDocument/2006/relationships/hyperlink" Target="http://csr.bu.edu/ftp/asl/asllvd/demos/verify_start_end_handshape_annotations//test_auto_move//signs_mov/5224.mov" TargetMode="External"/><Relationship Id="rId11670" Type="http://schemas.openxmlformats.org/officeDocument/2006/relationships/hyperlink" Target="http://csr.bu.edu/ftp/asl/asllvd/demos/verify_start_end_handshape_annotations//test_auto_move//signs_mov_separ_signers/Tyler_5224.mov" TargetMode="External"/><Relationship Id="rId11671" Type="http://schemas.openxmlformats.org/officeDocument/2006/relationships/hyperlink" Target="http://secrets.rutgers.edu:8080/data/asl-ftp/asllvd/demos/verify_start_end_handshape_annotations//test_auto_move//signs_mov/5224.mov" TargetMode="External"/><Relationship Id="rId11672" Type="http://schemas.openxmlformats.org/officeDocument/2006/relationships/hyperlink" Target="http://secrets.rutgers.edu:8080/data/asl-ftp/asllvd/demos/verify_start_end_handshape_annotations//test_auto_move//signs_mov_separ_signers/Tyler_5224.mov" TargetMode="External"/><Relationship Id="rId11673" Type="http://schemas.openxmlformats.org/officeDocument/2006/relationships/hyperlink" Target="http://csr.bu.edu/ftp/asl/asllvd/demos/verify_start_end_handshape_annotations//test_auto_move//signs_mov_separ_signers/Liz_1265.mov" TargetMode="External"/><Relationship Id="rId11674" Type="http://schemas.openxmlformats.org/officeDocument/2006/relationships/hyperlink" Target="http://secrets.rutgers.edu:8080/data/asl-ftp/asllvd/demos/verify_start_end_handshape_annotations//test_auto_move//signs_mov_separ_signers/Liz_1265.mov" TargetMode="External"/><Relationship Id="rId11675" Type="http://schemas.openxmlformats.org/officeDocument/2006/relationships/hyperlink" Target="http://csr.bu.edu/ftp/asl/asllvd/demos/verify_start_end_handshape_annotations//test_auto_move//signs_mov_separ_signers/Tyler_1265.mov" TargetMode="External"/><Relationship Id="rId11676" Type="http://schemas.openxmlformats.org/officeDocument/2006/relationships/hyperlink" Target="http://secrets.rutgers.edu:8080/data/asl-ftp/asllvd/demos/verify_start_end_handshape_annotations//test_auto_move//signs_mov_separ_signers/Tyler_1265.mov" TargetMode="External"/><Relationship Id="rId11677" Type="http://schemas.openxmlformats.org/officeDocument/2006/relationships/hyperlink" Target="http://csr.bu.edu/ftp/asl/asllvd/demos/verify_start_end_handshape_annotations//test_auto_move//signs_mov/1265_3316_merged.mov" TargetMode="External"/><Relationship Id="rId11678" Type="http://schemas.openxmlformats.org/officeDocument/2006/relationships/hyperlink" Target="http://csr.bu.edu/ftp/asl/asllvd/demos/verify_start_end_handshape_annotations//test_auto_move//signs_mov_separ_signers/Tyler_3316.mov" TargetMode="External"/><Relationship Id="rId11679" Type="http://schemas.openxmlformats.org/officeDocument/2006/relationships/hyperlink" Target="http://secrets.rutgers.edu:8080/data/asl-ftp/asllvd/demos/verify_start_end_handshape_annotations//test_auto_move//signs_mov/1265_3316_merged.mov" TargetMode="External"/><Relationship Id="rId11680" Type="http://schemas.openxmlformats.org/officeDocument/2006/relationships/hyperlink" Target="http://secrets.rutgers.edu:8080/data/asl-ftp/asllvd/demos/verify_start_end_handshape_annotations//test_auto_move//signs_mov_separ_signers/Tyler_3316.mov" TargetMode="External"/><Relationship Id="rId11681" Type="http://schemas.openxmlformats.org/officeDocument/2006/relationships/hyperlink" Target="http://csr.bu.edu/ftp/asl/asllvd/demos/verify_start_end_handshape_annotations//test_auto_move//signs_mov_separ_signers/Naomi_1265.mov" TargetMode="External"/><Relationship Id="rId11682" Type="http://schemas.openxmlformats.org/officeDocument/2006/relationships/hyperlink" Target="http://secrets.rutgers.edu:8080/data/asl-ftp/asllvd/demos/verify_start_end_handshape_annotations//test_auto_move//signs_mov_separ_signers/Naomi_1265.mov" TargetMode="External"/><Relationship Id="rId11683" Type="http://schemas.openxmlformats.org/officeDocument/2006/relationships/hyperlink" Target="http://csr.bu.edu/ftp/asl/asllvd/demos/verify_start_end_handshape_annotations//test_auto_move//signs_mov_separ_signers/Brady_1265.mov" TargetMode="External"/><Relationship Id="rId11684" Type="http://schemas.openxmlformats.org/officeDocument/2006/relationships/hyperlink" Target="http://secrets.rutgers.edu:8080/data/asl-ftp/asllvd/demos/verify_start_end_handshape_annotations//test_auto_move//signs_mov_separ_signers/Brady_1265.mov" TargetMode="External"/><Relationship Id="rId11685" Type="http://schemas.openxmlformats.org/officeDocument/2006/relationships/hyperlink" Target="http://csr.bu.edu/ftp/asl/asllvd/demos/verify_start_end_handshape_annotations//test_auto_move//signs_mov_separ_signers/Liz_1266.mov" TargetMode="External"/><Relationship Id="rId11686" Type="http://schemas.openxmlformats.org/officeDocument/2006/relationships/hyperlink" Target="http://secrets.rutgers.edu:8080/data/asl-ftp/asllvd/demos/verify_start_end_handshape_annotations//test_auto_move//signs_mov_separ_signers/Liz_1266.mov" TargetMode="External"/><Relationship Id="rId11687" Type="http://schemas.openxmlformats.org/officeDocument/2006/relationships/hyperlink" Target="http://csr.bu.edu/ftp/asl/asllvd/demos/verify_start_end_handshape_annotations//test_auto_move//signs_mov_separ_signers/Liz_3412.mov" TargetMode="External"/><Relationship Id="rId11688" Type="http://schemas.openxmlformats.org/officeDocument/2006/relationships/hyperlink" Target="http://secrets.rutgers.edu:8080/data/asl-ftp/asllvd/demos/verify_start_end_handshape_annotations//test_auto_move//signs_mov_separ_signers/Liz_3412.mov" TargetMode="External"/><Relationship Id="rId11689" Type="http://schemas.openxmlformats.org/officeDocument/2006/relationships/hyperlink" Target="http://csr.bu.edu/ftp/asl/asllvd/demos/verify_start_end_handshape_annotations//test_auto_move//signs_mov/1266_3412_merged.mov" TargetMode="External"/><Relationship Id="rId11690" Type="http://schemas.openxmlformats.org/officeDocument/2006/relationships/hyperlink" Target="http://csr.bu.edu/ftp/asl/asllvd/demos/verify_start_end_handshape_annotations//test_auto_move//signs_mov_separ_signers/Tyler_1266.mov" TargetMode="External"/><Relationship Id="rId11691" Type="http://schemas.openxmlformats.org/officeDocument/2006/relationships/hyperlink" Target="http://secrets.rutgers.edu:8080/data/asl-ftp/asllvd/demos/verify_start_end_handshape_annotations//test_auto_move//signs_mov/1266_3412_merged.mov" TargetMode="External"/><Relationship Id="rId11692" Type="http://schemas.openxmlformats.org/officeDocument/2006/relationships/hyperlink" Target="http://secrets.rutgers.edu:8080/data/asl-ftp/asllvd/demos/verify_start_end_handshape_annotations//test_auto_move//signs_mov_separ_signers/Tyler_1266.mov" TargetMode="External"/><Relationship Id="rId11693" Type="http://schemas.openxmlformats.org/officeDocument/2006/relationships/hyperlink" Target="http://csr.bu.edu/ftp/asl/asllvd/demos/verify_start_end_handshape_annotations//test_auto_move//signs_mov_separ_signers/Naomi_1266.mov" TargetMode="External"/><Relationship Id="rId11694" Type="http://schemas.openxmlformats.org/officeDocument/2006/relationships/hyperlink" Target="http://secrets.rutgers.edu:8080/data/asl-ftp/asllvd/demos/verify_start_end_handshape_annotations//test_auto_move//signs_mov_separ_signers/Naomi_1266.mov" TargetMode="External"/><Relationship Id="rId11695" Type="http://schemas.openxmlformats.org/officeDocument/2006/relationships/hyperlink" Target="http://csr.bu.edu/ftp/asl/asllvd/demos/verify_start_end_handshape_annotations//test_auto_move//signs_mov_separ_signers/Brady_1266.mov" TargetMode="External"/><Relationship Id="rId11696" Type="http://schemas.openxmlformats.org/officeDocument/2006/relationships/hyperlink" Target="http://secrets.rutgers.edu:8080/data/asl-ftp/asllvd/demos/verify_start_end_handshape_annotations//test_auto_move//signs_mov_separ_signers/Brady_1266.mov" TargetMode="External"/><Relationship Id="rId11697" Type="http://schemas.openxmlformats.org/officeDocument/2006/relationships/hyperlink" Target="http://csr.bu.edu/ftp/asl/asllvd/demos/verify_start_end_handshape_annotations//test_auto_move//signs_mov_separ_signers/Liz_1270.mov" TargetMode="External"/><Relationship Id="rId11698" Type="http://schemas.openxmlformats.org/officeDocument/2006/relationships/hyperlink" Target="http://secrets.rutgers.edu:8080/data/asl-ftp/asllvd/demos/verify_start_end_handshape_annotations//test_auto_move//signs_mov_separ_signers/Liz_1270.mov" TargetMode="External"/><Relationship Id="rId11699" Type="http://schemas.openxmlformats.org/officeDocument/2006/relationships/hyperlink" Target="http://csr.bu.edu/ftp/asl/asllvd/demos/verify_start_end_handshape_annotations//test_auto_move//signs_mov/1270.mov" TargetMode="External"/><Relationship Id="rId11700" Type="http://schemas.openxmlformats.org/officeDocument/2006/relationships/hyperlink" Target="http://csr.bu.edu/ftp/asl/asllvd/demos/verify_start_end_handshape_annotations//test_auto_move//signs_mov_separ_signers/Tyler_1270.mov" TargetMode="External"/><Relationship Id="rId11701" Type="http://schemas.openxmlformats.org/officeDocument/2006/relationships/hyperlink" Target="http://secrets.rutgers.edu:8080/data/asl-ftp/asllvd/demos/verify_start_end_handshape_annotations//test_auto_move//signs_mov/1270.mov" TargetMode="External"/><Relationship Id="rId11702" Type="http://schemas.openxmlformats.org/officeDocument/2006/relationships/hyperlink" Target="http://secrets.rutgers.edu:8080/data/asl-ftp/asllvd/demos/verify_start_end_handshape_annotations//test_auto_move//signs_mov_separ_signers/Tyler_1270.mov" TargetMode="External"/><Relationship Id="rId11703" Type="http://schemas.openxmlformats.org/officeDocument/2006/relationships/hyperlink" Target="http://csr.bu.edu/ftp/asl/asllvd/demos/verify_start_end_handshape_annotations//test_auto_move//signs_mov_separ_signers/Naomi_1270.mov" TargetMode="External"/><Relationship Id="rId11704" Type="http://schemas.openxmlformats.org/officeDocument/2006/relationships/hyperlink" Target="http://secrets.rutgers.edu:8080/data/asl-ftp/asllvd/demos/verify_start_end_handshape_annotations//test_auto_move//signs_mov_separ_signers/Naomi_1270.mov" TargetMode="External"/><Relationship Id="rId11705" Type="http://schemas.openxmlformats.org/officeDocument/2006/relationships/hyperlink" Target="http://csr.bu.edu/ftp/asl/asllvd/demos/verify_start_end_handshape_annotations//test_auto_move//signs_mov_separ_signers/Brady_1270.mov" TargetMode="External"/><Relationship Id="rId11706" Type="http://schemas.openxmlformats.org/officeDocument/2006/relationships/hyperlink" Target="http://secrets.rutgers.edu:8080/data/asl-ftp/asllvd/demos/verify_start_end_handshape_annotations//test_auto_move//signs_mov_separ_signers/Brady_1270.mov" TargetMode="External"/><Relationship Id="rId11707" Type="http://schemas.openxmlformats.org/officeDocument/2006/relationships/hyperlink" Target="http://csr.bu.edu/ftp/asl/asllvd/demos/verify_start_end_handshape_annotations//test_auto_move//signs_mov_separ_signers/Liz_3662.mov" TargetMode="External"/><Relationship Id="rId11708" Type="http://schemas.openxmlformats.org/officeDocument/2006/relationships/hyperlink" Target="http://secrets.rutgers.edu:8080/data/asl-ftp/asllvd/demos/verify_start_end_handshape_annotations//test_auto_move//signs_mov_separ_signers/Liz_3662.mov" TargetMode="External"/><Relationship Id="rId11709" Type="http://schemas.openxmlformats.org/officeDocument/2006/relationships/hyperlink" Target="http://csr.bu.edu/ftp/asl/asllvd/demos/verify_start_end_handshape_annotations//test_auto_move//signs_mov/3662.mov" TargetMode="External"/><Relationship Id="rId11710" Type="http://schemas.openxmlformats.org/officeDocument/2006/relationships/hyperlink" Target="http://csr.bu.edu/ftp/asl/asllvd/demos/verify_start_end_handshape_annotations//test_auto_move//signs_mov_separ_signers/Tyler_3662.mov" TargetMode="External"/><Relationship Id="rId11711" Type="http://schemas.openxmlformats.org/officeDocument/2006/relationships/hyperlink" Target="http://secrets.rutgers.edu:8080/data/asl-ftp/asllvd/demos/verify_start_end_handshape_annotations//test_auto_move//signs_mov/3662.mov" TargetMode="External"/><Relationship Id="rId11712" Type="http://schemas.openxmlformats.org/officeDocument/2006/relationships/hyperlink" Target="http://secrets.rutgers.edu:8080/data/asl-ftp/asllvd/demos/verify_start_end_handshape_annotations//test_auto_move//signs_mov_separ_signers/Tyler_3662.mov" TargetMode="External"/><Relationship Id="rId11713" Type="http://schemas.openxmlformats.org/officeDocument/2006/relationships/hyperlink" Target="http://csr.bu.edu/ftp/asl/asllvd/demos/verify_start_end_handshape_annotations//test_auto_move//signs_mov_separ_signers/Naomi_3662.mov" TargetMode="External"/><Relationship Id="rId11714" Type="http://schemas.openxmlformats.org/officeDocument/2006/relationships/hyperlink" Target="http://secrets.rutgers.edu:8080/data/asl-ftp/asllvd/demos/verify_start_end_handshape_annotations//test_auto_move//signs_mov_separ_signers/Naomi_3662.mov" TargetMode="External"/><Relationship Id="rId11715" Type="http://schemas.openxmlformats.org/officeDocument/2006/relationships/hyperlink" Target="http://csr.bu.edu/ftp/asl/asllvd/demos/verify_start_end_handshape_annotations//test_auto_move//signs_mov_separ_signers/Brady_3662.mov" TargetMode="External"/><Relationship Id="rId11716" Type="http://schemas.openxmlformats.org/officeDocument/2006/relationships/hyperlink" Target="http://secrets.rutgers.edu:8080/data/asl-ftp/asllvd/demos/verify_start_end_handshape_annotations//test_auto_move//signs_mov_separ_signers/Brady_3662.mov" TargetMode="External"/><Relationship Id="rId11717" Type="http://schemas.openxmlformats.org/officeDocument/2006/relationships/hyperlink" Target="http://csr.bu.edu/ftp/asl/asllvd/demos/verify_start_end_handshape_annotations//test_auto_move//signs_mov_separ_signers/Liz_1274.mov" TargetMode="External"/><Relationship Id="rId11718" Type="http://schemas.openxmlformats.org/officeDocument/2006/relationships/hyperlink" Target="http://secrets.rutgers.edu:8080/data/asl-ftp/asllvd/demos/verify_start_end_handshape_annotations//test_auto_move//signs_mov_separ_signers/Liz_1274.mov" TargetMode="External"/><Relationship Id="rId11719" Type="http://schemas.openxmlformats.org/officeDocument/2006/relationships/hyperlink" Target="http://csr.bu.edu/ftp/asl/asllvd/demos/verify_start_end_handshape_annotations//test_auto_move//signs_mov_separ_signers/Tyler_1274.mov" TargetMode="External"/><Relationship Id="rId11720" Type="http://schemas.openxmlformats.org/officeDocument/2006/relationships/hyperlink" Target="http://secrets.rutgers.edu:8080/data/asl-ftp/asllvd/demos/verify_start_end_handshape_annotations//test_auto_move//signs_mov_separ_signers/Tyler_1274.mov" TargetMode="External"/><Relationship Id="rId11721" Type="http://schemas.openxmlformats.org/officeDocument/2006/relationships/hyperlink" Target="http://csr.bu.edu/ftp/asl/asllvd/demos/verify_start_end_handshape_annotations//test_auto_move//signs_mov/1274.mov" TargetMode="External"/><Relationship Id="rId11722" Type="http://schemas.openxmlformats.org/officeDocument/2006/relationships/hyperlink" Target="http://csr.bu.edu/ftp/asl/asllvd/demos/verify_start_end_handshape_annotations//test_auto_move//signs_mov_separ_signers/Naomi_1274.mov" TargetMode="External"/><Relationship Id="rId11723" Type="http://schemas.openxmlformats.org/officeDocument/2006/relationships/hyperlink" Target="http://secrets.rutgers.edu:8080/data/asl-ftp/asllvd/demos/verify_start_end_handshape_annotations//test_auto_move//signs_mov/1274.mov" TargetMode="External"/><Relationship Id="rId11724" Type="http://schemas.openxmlformats.org/officeDocument/2006/relationships/hyperlink" Target="http://secrets.rutgers.edu:8080/data/asl-ftp/asllvd/demos/verify_start_end_handshape_annotations//test_auto_move//signs_mov_separ_signers/Naomi_1274.mov" TargetMode="External"/><Relationship Id="rId11725" Type="http://schemas.openxmlformats.org/officeDocument/2006/relationships/hyperlink" Target="http://csr.bu.edu/ftp/asl/asllvd/demos/verify_start_end_handshape_annotations//test_auto_move//signs_mov_separ_signers/Brady_1274.mov" TargetMode="External"/><Relationship Id="rId11726" Type="http://schemas.openxmlformats.org/officeDocument/2006/relationships/hyperlink" Target="http://secrets.rutgers.edu:8080/data/asl-ftp/asllvd/demos/verify_start_end_handshape_annotations//test_auto_move//signs_mov_separ_signers/Brady_1274.mov" TargetMode="External"/><Relationship Id="rId11727" Type="http://schemas.openxmlformats.org/officeDocument/2006/relationships/hyperlink" Target="http://csr.bu.edu/ftp/asl/asllvd/demos/verify_start_end_handshape_annotations//test_auto_move//signs_mov_separ_signers/Lana_1274.mov" TargetMode="External"/><Relationship Id="rId11728" Type="http://schemas.openxmlformats.org/officeDocument/2006/relationships/hyperlink" Target="http://secrets.rutgers.edu:8080/data/asl-ftp/asllvd/demos/verify_start_end_handshape_annotations//test_auto_move//signs_mov_separ_signers/Lana_1274.mov" TargetMode="External"/><Relationship Id="rId11729" Type="http://schemas.openxmlformats.org/officeDocument/2006/relationships/hyperlink" Target="http://csr.bu.edu/ftp/asl/asllvd/demos/verify_start_end_handshape_annotations//test_auto_move//signs_mov_separ_signers/Liz_1275.mov" TargetMode="External"/><Relationship Id="rId11730" Type="http://schemas.openxmlformats.org/officeDocument/2006/relationships/hyperlink" Target="http://secrets.rutgers.edu:8080/data/asl-ftp/asllvd/demos/verify_start_end_handshape_annotations//test_auto_move//signs_mov_separ_signers/Liz_1275.mov" TargetMode="External"/><Relationship Id="rId11731" Type="http://schemas.openxmlformats.org/officeDocument/2006/relationships/hyperlink" Target="http://csr.bu.edu/ftp/asl/asllvd/demos/verify_start_end_handshape_annotations//test_auto_move//signs_mov/1275.mov" TargetMode="External"/><Relationship Id="rId11732" Type="http://schemas.openxmlformats.org/officeDocument/2006/relationships/hyperlink" Target="http://csr.bu.edu/ftp/asl/asllvd/demos/verify_start_end_handshape_annotations//test_auto_move//signs_mov_separ_signers/Tyler_1275.mov" TargetMode="External"/><Relationship Id="rId11733" Type="http://schemas.openxmlformats.org/officeDocument/2006/relationships/hyperlink" Target="http://secrets.rutgers.edu:8080/data/asl-ftp/asllvd/demos/verify_start_end_handshape_annotations//test_auto_move//signs_mov/1275.mov" TargetMode="External"/><Relationship Id="rId11734" Type="http://schemas.openxmlformats.org/officeDocument/2006/relationships/hyperlink" Target="http://secrets.rutgers.edu:8080/data/asl-ftp/asllvd/demos/verify_start_end_handshape_annotations//test_auto_move//signs_mov_separ_signers/Tyler_1275.mov" TargetMode="External"/><Relationship Id="rId11735" Type="http://schemas.openxmlformats.org/officeDocument/2006/relationships/hyperlink" Target="http://csr.bu.edu/ftp/asl/asllvd/demos/verify_start_end_handshape_annotations//test_auto_move//signs_mov_separ_signers/Naomi_1275.mov" TargetMode="External"/><Relationship Id="rId11736" Type="http://schemas.openxmlformats.org/officeDocument/2006/relationships/hyperlink" Target="http://secrets.rutgers.edu:8080/data/asl-ftp/asllvd/demos/verify_start_end_handshape_annotations//test_auto_move//signs_mov_separ_signers/Naomi_1275.mov" TargetMode="External"/><Relationship Id="rId11737" Type="http://schemas.openxmlformats.org/officeDocument/2006/relationships/hyperlink" Target="http://csr.bu.edu/ftp/asl/asllvd/demos/verify_start_end_handshape_annotations//test_auto_move//signs_mov/15647.mov" TargetMode="External"/><Relationship Id="rId11738" Type="http://schemas.openxmlformats.org/officeDocument/2006/relationships/hyperlink" Target="http://csr.bu.edu/ftp/asl/asllvd/demos/verify_start_end_handshape_annotations//test_auto_move//signs_mov_separ_signers/Brady_15647.mov" TargetMode="External"/><Relationship Id="rId11739" Type="http://schemas.openxmlformats.org/officeDocument/2006/relationships/hyperlink" Target="http://secrets.rutgers.edu:8080/data/asl-ftp/asllvd/demos/verify_start_end_handshape_annotations//test_auto_move//signs_mov/15647.mov" TargetMode="External"/><Relationship Id="rId11740" Type="http://schemas.openxmlformats.org/officeDocument/2006/relationships/hyperlink" Target="http://secrets.rutgers.edu:8080/data/asl-ftp/asllvd/demos/verify_start_end_handshape_annotations//test_auto_move//signs_mov_separ_signers/Brady_15647.mov" TargetMode="External"/><Relationship Id="rId11741" Type="http://schemas.openxmlformats.org/officeDocument/2006/relationships/hyperlink" Target="http://csr.bu.edu/ftp/asl/asllvd/demos/verify_start_end_handshape_annotations//test_auto_move//signs_mov_separ_signers/Liz_15666.mov" TargetMode="External"/><Relationship Id="rId11742" Type="http://schemas.openxmlformats.org/officeDocument/2006/relationships/hyperlink" Target="http://secrets.rutgers.edu:8080/data/asl-ftp/asllvd/demos/verify_start_end_handshape_annotations//test_auto_move//signs_mov_separ_signers/Liz_15666.mov" TargetMode="External"/><Relationship Id="rId11743" Type="http://schemas.openxmlformats.org/officeDocument/2006/relationships/hyperlink" Target="http://csr.bu.edu/ftp/asl/asllvd/demos/verify_start_end_handshape_annotations//test_auto_move//signs_mov/15666_16217_merged.mov" TargetMode="External"/><Relationship Id="rId11744" Type="http://schemas.openxmlformats.org/officeDocument/2006/relationships/hyperlink" Target="http://csr.bu.edu/ftp/asl/asllvd/demos/verify_start_end_handshape_annotations//test_auto_move//signs_mov_separ_signers/Liz_16217.mov" TargetMode="External"/><Relationship Id="rId11745" Type="http://schemas.openxmlformats.org/officeDocument/2006/relationships/hyperlink" Target="http://secrets.rutgers.edu:8080/data/asl-ftp/asllvd/demos/verify_start_end_handshape_annotations//test_auto_move//signs_mov/15666_16217_merged.mov" TargetMode="External"/><Relationship Id="rId11746" Type="http://schemas.openxmlformats.org/officeDocument/2006/relationships/hyperlink" Target="http://secrets.rutgers.edu:8080/data/asl-ftp/asllvd/demos/verify_start_end_handshape_annotations//test_auto_move//signs_mov_separ_signers/Liz_16217.mov" TargetMode="External"/><Relationship Id="rId11747" Type="http://schemas.openxmlformats.org/officeDocument/2006/relationships/hyperlink" Target="http://csr.bu.edu/ftp/asl/asllvd/demos/verify_start_end_handshape_annotations//test_auto_move//signs_mov_separ_signers/Naomi_15666.mov" TargetMode="External"/><Relationship Id="rId11748" Type="http://schemas.openxmlformats.org/officeDocument/2006/relationships/hyperlink" Target="http://secrets.rutgers.edu:8080/data/asl-ftp/asllvd/demos/verify_start_end_handshape_annotations//test_auto_move//signs_mov_separ_signers/Naomi_15666.mov" TargetMode="External"/><Relationship Id="rId11749" Type="http://schemas.openxmlformats.org/officeDocument/2006/relationships/hyperlink" Target="http://csr.bu.edu/ftp/asl/asllvd/demos/verify_start_end_handshape_annotations//test_auto_move//signs_mov/16387.mov" TargetMode="External"/><Relationship Id="rId11750" Type="http://schemas.openxmlformats.org/officeDocument/2006/relationships/hyperlink" Target="http://csr.bu.edu/ftp/asl/asllvd/demos/verify_start_end_handshape_annotations//test_auto_move//signs_mov_separ_signers/Brady_16387.mov" TargetMode="External"/><Relationship Id="rId11751" Type="http://schemas.openxmlformats.org/officeDocument/2006/relationships/hyperlink" Target="http://secrets.rutgers.edu:8080/data/asl-ftp/asllvd/demos/verify_start_end_handshape_annotations//test_auto_move//signs_mov/16387.mov" TargetMode="External"/><Relationship Id="rId11752" Type="http://schemas.openxmlformats.org/officeDocument/2006/relationships/hyperlink" Target="http://secrets.rutgers.edu:8080/data/asl-ftp/asllvd/demos/verify_start_end_handshape_annotations//test_auto_move//signs_mov_separ_signers/Brady_16387.mov" TargetMode="External"/><Relationship Id="rId11753" Type="http://schemas.openxmlformats.org/officeDocument/2006/relationships/hyperlink" Target="http://csr.bu.edu/ftp/asl/asllvd/demos/verify_start_end_handshape_annotations//test_auto_move//signs_mov_separ_signers/Liz_16388.mov" TargetMode="External"/><Relationship Id="rId11754" Type="http://schemas.openxmlformats.org/officeDocument/2006/relationships/hyperlink" Target="http://secrets.rutgers.edu:8080/data/asl-ftp/asllvd/demos/verify_start_end_handshape_annotations//test_auto_move//signs_mov_separ_signers/Liz_16388.mov" TargetMode="External"/><Relationship Id="rId11755" Type="http://schemas.openxmlformats.org/officeDocument/2006/relationships/hyperlink" Target="http://csr.bu.edu/ftp/asl/asllvd/demos/verify_start_end_handshape_annotations//test_auto_move//signs_mov/16388.mov" TargetMode="External"/><Relationship Id="rId11756" Type="http://schemas.openxmlformats.org/officeDocument/2006/relationships/hyperlink" Target="http://csr.bu.edu/ftp/asl/asllvd/demos/verify_start_end_handshape_annotations//test_auto_move//signs_mov_separ_signers/Tyler_16388.mov" TargetMode="External"/><Relationship Id="rId11757" Type="http://schemas.openxmlformats.org/officeDocument/2006/relationships/hyperlink" Target="http://secrets.rutgers.edu:8080/data/asl-ftp/asllvd/demos/verify_start_end_handshape_annotations//test_auto_move//signs_mov/16388.mov" TargetMode="External"/><Relationship Id="rId11758" Type="http://schemas.openxmlformats.org/officeDocument/2006/relationships/hyperlink" Target="http://secrets.rutgers.edu:8080/data/asl-ftp/asllvd/demos/verify_start_end_handshape_annotations//test_auto_move//signs_mov_separ_signers/Tyler_16388.mov" TargetMode="External"/><Relationship Id="rId11759" Type="http://schemas.openxmlformats.org/officeDocument/2006/relationships/hyperlink" Target="http://csr.bu.edu/ftp/asl/asllvd/demos/verify_start_end_handshape_annotations//test_auto_move//signs_mov_separ_signers/Brady_16388.mov" TargetMode="External"/><Relationship Id="rId11760" Type="http://schemas.openxmlformats.org/officeDocument/2006/relationships/hyperlink" Target="http://secrets.rutgers.edu:8080/data/asl-ftp/asllvd/demos/verify_start_end_handshape_annotations//test_auto_move//signs_mov_separ_signers/Brady_16388.mov" TargetMode="External"/><Relationship Id="rId11761" Type="http://schemas.openxmlformats.org/officeDocument/2006/relationships/hyperlink" Target="http://csr.bu.edu/ftp/asl/asllvd/demos/verify_start_end_handshape_annotations//test_auto_move//signs_mov_separ_signers/Liz_1278.mov" TargetMode="External"/><Relationship Id="rId11762" Type="http://schemas.openxmlformats.org/officeDocument/2006/relationships/hyperlink" Target="http://secrets.rutgers.edu:8080/data/asl-ftp/asllvd/demos/verify_start_end_handshape_annotations//test_auto_move//signs_mov_separ_signers/Liz_1278.mov" TargetMode="External"/><Relationship Id="rId11763" Type="http://schemas.openxmlformats.org/officeDocument/2006/relationships/hyperlink" Target="http://csr.bu.edu/ftp/asl/asllvd/demos/verify_start_end_handshape_annotations//test_auto_move//signs_mov/1278_3382_3722_merged.mov" TargetMode="External"/><Relationship Id="rId11764" Type="http://schemas.openxmlformats.org/officeDocument/2006/relationships/hyperlink" Target="http://csr.bu.edu/ftp/asl/asllvd/demos/verify_start_end_handshape_annotations//test_auto_move//signs_mov_separ_signers/Liz_3382.mov" TargetMode="External"/><Relationship Id="rId11765" Type="http://schemas.openxmlformats.org/officeDocument/2006/relationships/hyperlink" Target="http://secrets.rutgers.edu:8080/data/asl-ftp/asllvd/demos/verify_start_end_handshape_annotations//test_auto_move//signs_mov/1278_3382_3722_merged.mov" TargetMode="External"/><Relationship Id="rId11766" Type="http://schemas.openxmlformats.org/officeDocument/2006/relationships/hyperlink" Target="http://secrets.rutgers.edu:8080/data/asl-ftp/asllvd/demos/verify_start_end_handshape_annotations//test_auto_move//signs_mov_separ_signers/Liz_3382.mov" TargetMode="External"/><Relationship Id="rId11767" Type="http://schemas.openxmlformats.org/officeDocument/2006/relationships/hyperlink" Target="http://csr.bu.edu/ftp/asl/asllvd/demos/verify_start_end_handshape_annotations//test_auto_move//signs_mov_separ_signers/Liz_3722.mov" TargetMode="External"/><Relationship Id="rId11768" Type="http://schemas.openxmlformats.org/officeDocument/2006/relationships/hyperlink" Target="http://secrets.rutgers.edu:8080/data/asl-ftp/asllvd/demos/verify_start_end_handshape_annotations//test_auto_move//signs_mov_separ_signers/Liz_3722.mov" TargetMode="External"/><Relationship Id="rId11769" Type="http://schemas.openxmlformats.org/officeDocument/2006/relationships/hyperlink" Target="http://csr.bu.edu/ftp/asl/asllvd/demos/verify_start_end_handshape_annotations//test_auto_move//signs_mov_separ_signers/Naomi_1278.mov" TargetMode="External"/><Relationship Id="rId11770" Type="http://schemas.openxmlformats.org/officeDocument/2006/relationships/hyperlink" Target="http://secrets.rutgers.edu:8080/data/asl-ftp/asllvd/demos/verify_start_end_handshape_annotations//test_auto_move//signs_mov_separ_signers/Naomi_1278.mov" TargetMode="External"/><Relationship Id="rId11771" Type="http://schemas.openxmlformats.org/officeDocument/2006/relationships/hyperlink" Target="http://csr.bu.edu/ftp/asl/asllvd/demos/verify_start_end_handshape_annotations//test_auto_move//signs_mov/5225.mov" TargetMode="External"/><Relationship Id="rId11772" Type="http://schemas.openxmlformats.org/officeDocument/2006/relationships/hyperlink" Target="http://csr.bu.edu/ftp/asl/asllvd/demos/verify_start_end_handshape_annotations//test_auto_move//signs_mov_separ_signers/Tyler_5225.mov" TargetMode="External"/><Relationship Id="rId11773" Type="http://schemas.openxmlformats.org/officeDocument/2006/relationships/hyperlink" Target="http://secrets.rutgers.edu:8080/data/asl-ftp/asllvd/demos/verify_start_end_handshape_annotations//test_auto_move//signs_mov/5225.mov" TargetMode="External"/><Relationship Id="rId11774" Type="http://schemas.openxmlformats.org/officeDocument/2006/relationships/hyperlink" Target="http://secrets.rutgers.edu:8080/data/asl-ftp/asllvd/demos/verify_start_end_handshape_annotations//test_auto_move//signs_mov_separ_signers/Tyler_5225.mov" TargetMode="External"/><Relationship Id="rId11775" Type="http://schemas.openxmlformats.org/officeDocument/2006/relationships/hyperlink" Target="http://csr.bu.edu/ftp/asl/asllvd/demos/verify_start_end_handshape_annotations//test_auto_move//signs_mov_separ_signers/Liz_1281.mov" TargetMode="External"/><Relationship Id="rId11776" Type="http://schemas.openxmlformats.org/officeDocument/2006/relationships/hyperlink" Target="http://secrets.rutgers.edu:8080/data/asl-ftp/asllvd/demos/verify_start_end_handshape_annotations//test_auto_move//signs_mov_separ_signers/Liz_1281.mov" TargetMode="External"/><Relationship Id="rId11777" Type="http://schemas.openxmlformats.org/officeDocument/2006/relationships/hyperlink" Target="http://csr.bu.edu/ftp/asl/asllvd/demos/verify_start_end_handshape_annotations//test_auto_move//signs_mov/1281.mov" TargetMode="External"/><Relationship Id="rId11778" Type="http://schemas.openxmlformats.org/officeDocument/2006/relationships/hyperlink" Target="http://csr.bu.edu/ftp/asl/asllvd/demos/verify_start_end_handshape_annotations//test_auto_move//signs_mov_separ_signers/Naomi_1281.mov" TargetMode="External"/><Relationship Id="rId11779" Type="http://schemas.openxmlformats.org/officeDocument/2006/relationships/hyperlink" Target="http://secrets.rutgers.edu:8080/data/asl-ftp/asllvd/demos/verify_start_end_handshape_annotations//test_auto_move//signs_mov/1281.mov" TargetMode="External"/><Relationship Id="rId11780" Type="http://schemas.openxmlformats.org/officeDocument/2006/relationships/hyperlink" Target="http://secrets.rutgers.edu:8080/data/asl-ftp/asllvd/demos/verify_start_end_handshape_annotations//test_auto_move//signs_mov_separ_signers/Naomi_1281.mov" TargetMode="External"/><Relationship Id="rId11781" Type="http://schemas.openxmlformats.org/officeDocument/2006/relationships/hyperlink" Target="http://csr.bu.edu/ftp/asl/asllvd/demos/verify_start_end_handshape_annotations//test_auto_move//signs_mov_separ_signers/Brady_1281.mov" TargetMode="External"/><Relationship Id="rId11782" Type="http://schemas.openxmlformats.org/officeDocument/2006/relationships/hyperlink" Target="http://secrets.rutgers.edu:8080/data/asl-ftp/asllvd/demos/verify_start_end_handshape_annotations//test_auto_move//signs_mov_separ_signers/Brady_1281.mov" TargetMode="External"/><Relationship Id="rId11783" Type="http://schemas.openxmlformats.org/officeDocument/2006/relationships/hyperlink" Target="http://csr.bu.edu/ftp/asl/asllvd/demos/verify_start_end_handshape_annotations//test_auto_move//signs_mov_separ_signers/Liz_1282.mov" TargetMode="External"/><Relationship Id="rId11784" Type="http://schemas.openxmlformats.org/officeDocument/2006/relationships/hyperlink" Target="http://secrets.rutgers.edu:8080/data/asl-ftp/asllvd/demos/verify_start_end_handshape_annotations//test_auto_move//signs_mov_separ_signers/Liz_1282.mov" TargetMode="External"/><Relationship Id="rId11785" Type="http://schemas.openxmlformats.org/officeDocument/2006/relationships/hyperlink" Target="http://csr.bu.edu/ftp/asl/asllvd/demos/verify_start_end_handshape_annotations//test_auto_move//signs_mov/1282.mov" TargetMode="External"/><Relationship Id="rId11786" Type="http://schemas.openxmlformats.org/officeDocument/2006/relationships/hyperlink" Target="http://csr.bu.edu/ftp/asl/asllvd/demos/verify_start_end_handshape_annotations//test_auto_move//signs_mov_separ_signers/Tyler_1282.mov" TargetMode="External"/><Relationship Id="rId11787" Type="http://schemas.openxmlformats.org/officeDocument/2006/relationships/hyperlink" Target="http://secrets.rutgers.edu:8080/data/asl-ftp/asllvd/demos/verify_start_end_handshape_annotations//test_auto_move//signs_mov/1282.mov" TargetMode="External"/><Relationship Id="rId11788" Type="http://schemas.openxmlformats.org/officeDocument/2006/relationships/hyperlink" Target="http://secrets.rutgers.edu:8080/data/asl-ftp/asllvd/demos/verify_start_end_handshape_annotations//test_auto_move//signs_mov_separ_signers/Tyler_1282.mov" TargetMode="External"/><Relationship Id="rId11789" Type="http://schemas.openxmlformats.org/officeDocument/2006/relationships/hyperlink" Target="http://csr.bu.edu/ftp/asl/asllvd/demos/verify_start_end_handshape_annotations//test_auto_move//signs_mov_separ_signers/Naomi_1282.mov" TargetMode="External"/><Relationship Id="rId11790" Type="http://schemas.openxmlformats.org/officeDocument/2006/relationships/hyperlink" Target="http://secrets.rutgers.edu:8080/data/asl-ftp/asllvd/demos/verify_start_end_handshape_annotations//test_auto_move//signs_mov_separ_signers/Naomi_1282.mov" TargetMode="External"/><Relationship Id="rId11791" Type="http://schemas.openxmlformats.org/officeDocument/2006/relationships/hyperlink" Target="http://csr.bu.edu/ftp/asl/asllvd/demos/verify_start_end_handshape_annotations//test_auto_move//signs_mov_separ_signers/Brady_1282.mov" TargetMode="External"/><Relationship Id="rId11792" Type="http://schemas.openxmlformats.org/officeDocument/2006/relationships/hyperlink" Target="http://secrets.rutgers.edu:8080/data/asl-ftp/asllvd/demos/verify_start_end_handshape_annotations//test_auto_move//signs_mov_separ_signers/Brady_1282.mov" TargetMode="External"/><Relationship Id="rId11793" Type="http://schemas.openxmlformats.org/officeDocument/2006/relationships/hyperlink" Target="http://csr.bu.edu/ftp/asl/asllvd/demos/verify_start_end_handshape_annotations//test_auto_move//signs_mov/1288.mov" TargetMode="External"/><Relationship Id="rId11794" Type="http://schemas.openxmlformats.org/officeDocument/2006/relationships/hyperlink" Target="http://csr.bu.edu/ftp/asl/asllvd/demos/verify_start_end_handshape_annotations//test_auto_move//signs_mov_separ_signers/Brady_1288.mov" TargetMode="External"/><Relationship Id="rId11795" Type="http://schemas.openxmlformats.org/officeDocument/2006/relationships/hyperlink" Target="http://secrets.rutgers.edu:8080/data/asl-ftp/asllvd/demos/verify_start_end_handshape_annotations//test_auto_move//signs_mov/1288.mov" TargetMode="External"/><Relationship Id="rId11796" Type="http://schemas.openxmlformats.org/officeDocument/2006/relationships/hyperlink" Target="http://secrets.rutgers.edu:8080/data/asl-ftp/asllvd/demos/verify_start_end_handshape_annotations//test_auto_move//signs_mov_separ_signers/Brady_1288.mov" TargetMode="External"/><Relationship Id="rId11797" Type="http://schemas.openxmlformats.org/officeDocument/2006/relationships/hyperlink" Target="http://csr.bu.edu/ftp/asl/asllvd/demos/verify_start_end_handshape_annotations//test_auto_move//signs_mov/16193.mov" TargetMode="External"/><Relationship Id="rId11798" Type="http://schemas.openxmlformats.org/officeDocument/2006/relationships/hyperlink" Target="http://csr.bu.edu/ftp/asl/asllvd/demos/verify_start_end_handshape_annotations//test_auto_move//signs_mov_separ_signers/Liz_16193.mov" TargetMode="External"/><Relationship Id="rId11799" Type="http://schemas.openxmlformats.org/officeDocument/2006/relationships/hyperlink" Target="http://secrets.rutgers.edu:8080/data/asl-ftp/asllvd/demos/verify_start_end_handshape_annotations//test_auto_move//signs_mov/16193.mov" TargetMode="External"/><Relationship Id="rId11800" Type="http://schemas.openxmlformats.org/officeDocument/2006/relationships/hyperlink" Target="http://secrets.rutgers.edu:8080/data/asl-ftp/asllvd/demos/verify_start_end_handshape_annotations//test_auto_move//signs_mov_separ_signers/Liz_16193.mov" TargetMode="External"/><Relationship Id="rId11801" Type="http://schemas.openxmlformats.org/officeDocument/2006/relationships/hyperlink" Target="http://csr.bu.edu/ftp/asl/asllvd/demos/verify_start_end_handshape_annotations//test_auto_move//signs_mov_separ_signers/Tyler_16193.mov" TargetMode="External"/><Relationship Id="rId11802" Type="http://schemas.openxmlformats.org/officeDocument/2006/relationships/hyperlink" Target="http://secrets.rutgers.edu:8080/data/asl-ftp/asllvd/demos/verify_start_end_handshape_annotations//test_auto_move//signs_mov_separ_signers/Tyler_16193.mov" TargetMode="External"/><Relationship Id="rId11803" Type="http://schemas.openxmlformats.org/officeDocument/2006/relationships/hyperlink" Target="http://csr.bu.edu/ftp/asl/asllvd/demos/verify_start_end_handshape_annotations//test_auto_move//signs_mov/4767.mov" TargetMode="External"/><Relationship Id="rId11804" Type="http://schemas.openxmlformats.org/officeDocument/2006/relationships/hyperlink" Target="http://csr.bu.edu/ftp/asl/asllvd/demos/verify_start_end_handshape_annotations//test_auto_move//signs_mov_separ_signers/Liz_4767.mov" TargetMode="External"/><Relationship Id="rId11805" Type="http://schemas.openxmlformats.org/officeDocument/2006/relationships/hyperlink" Target="http://secrets.rutgers.edu:8080/data/asl-ftp/asllvd/demos/verify_start_end_handshape_annotations//test_auto_move//signs_mov/4767.mov" TargetMode="External"/><Relationship Id="rId11806" Type="http://schemas.openxmlformats.org/officeDocument/2006/relationships/hyperlink" Target="http://secrets.rutgers.edu:8080/data/asl-ftp/asllvd/demos/verify_start_end_handshape_annotations//test_auto_move//signs_mov_separ_signers/Liz_4767.mov" TargetMode="External"/><Relationship Id="rId11807" Type="http://schemas.openxmlformats.org/officeDocument/2006/relationships/hyperlink" Target="http://csr.bu.edu/ftp/asl/asllvd/demos/verify_start_end_handshape_annotations//test_auto_move//signs_mov_separ_signers/Liz_1289.mov" TargetMode="External"/><Relationship Id="rId11808" Type="http://schemas.openxmlformats.org/officeDocument/2006/relationships/hyperlink" Target="http://secrets.rutgers.edu:8080/data/asl-ftp/asllvd/demos/verify_start_end_handshape_annotations//test_auto_move//signs_mov_separ_signers/Liz_1289.mov" TargetMode="External"/><Relationship Id="rId11809" Type="http://schemas.openxmlformats.org/officeDocument/2006/relationships/hyperlink" Target="http://csr.bu.edu/ftp/asl/asllvd/demos/verify_start_end_handshape_annotations//test_auto_move//signs_mov/1289.mov" TargetMode="External"/><Relationship Id="rId11810" Type="http://schemas.openxmlformats.org/officeDocument/2006/relationships/hyperlink" Target="http://csr.bu.edu/ftp/asl/asllvd/demos/verify_start_end_handshape_annotations//test_auto_move//signs_mov_separ_signers/Tyler_1289.mov" TargetMode="External"/><Relationship Id="rId11811" Type="http://schemas.openxmlformats.org/officeDocument/2006/relationships/hyperlink" Target="http://secrets.rutgers.edu:8080/data/asl-ftp/asllvd/demos/verify_start_end_handshape_annotations//test_auto_move//signs_mov/1289.mov" TargetMode="External"/><Relationship Id="rId11812" Type="http://schemas.openxmlformats.org/officeDocument/2006/relationships/hyperlink" Target="http://secrets.rutgers.edu:8080/data/asl-ftp/asllvd/demos/verify_start_end_handshape_annotations//test_auto_move//signs_mov_separ_signers/Tyler_1289.mov" TargetMode="External"/><Relationship Id="rId11813" Type="http://schemas.openxmlformats.org/officeDocument/2006/relationships/hyperlink" Target="http://csr.bu.edu/ftp/asl/asllvd/demos/verify_start_end_handshape_annotations//test_auto_move//signs_mov_separ_signers/Naomi_1289.mov" TargetMode="External"/><Relationship Id="rId11814" Type="http://schemas.openxmlformats.org/officeDocument/2006/relationships/hyperlink" Target="http://secrets.rutgers.edu:8080/data/asl-ftp/asllvd/demos/verify_start_end_handshape_annotations//test_auto_move//signs_mov_separ_signers/Naomi_1289.mov" TargetMode="External"/><Relationship Id="rId11815" Type="http://schemas.openxmlformats.org/officeDocument/2006/relationships/hyperlink" Target="http://csr.bu.edu/ftp/asl/asllvd/demos/verify_start_end_handshape_annotations//test_auto_move//signs_mov_separ_signers/Brady_1289.mov" TargetMode="External"/><Relationship Id="rId11816" Type="http://schemas.openxmlformats.org/officeDocument/2006/relationships/hyperlink" Target="http://secrets.rutgers.edu:8080/data/asl-ftp/asllvd/demos/verify_start_end_handshape_annotations//test_auto_move//signs_mov_separ_signers/Brady_1289.mov" TargetMode="External"/><Relationship Id="rId11817" Type="http://schemas.openxmlformats.org/officeDocument/2006/relationships/hyperlink" Target="http://csr.bu.edu/ftp/asl/asllvd/demos/verify_start_end_handshape_annotations//test_auto_move//signs_mov_separ_signers/Liz_1290.mov" TargetMode="External"/><Relationship Id="rId11818" Type="http://schemas.openxmlformats.org/officeDocument/2006/relationships/hyperlink" Target="http://secrets.rutgers.edu:8080/data/asl-ftp/asllvd/demos/verify_start_end_handshape_annotations//test_auto_move//signs_mov_separ_signers/Liz_1290.mov" TargetMode="External"/><Relationship Id="rId11819" Type="http://schemas.openxmlformats.org/officeDocument/2006/relationships/hyperlink" Target="http://csr.bu.edu/ftp/asl/asllvd/demos/verify_start_end_handshape_annotations//test_auto_move//signs_mov_separ_signers/Liz_15091.mov" TargetMode="External"/><Relationship Id="rId11820" Type="http://schemas.openxmlformats.org/officeDocument/2006/relationships/hyperlink" Target="http://secrets.rutgers.edu:8080/data/asl-ftp/asllvd/demos/verify_start_end_handshape_annotations//test_auto_move//signs_mov_separ_signers/Liz_15091.mov" TargetMode="External"/><Relationship Id="rId11821" Type="http://schemas.openxmlformats.org/officeDocument/2006/relationships/hyperlink" Target="http://csr.bu.edu/ftp/asl/asllvd/demos/verify_start_end_handshape_annotations//test_auto_move//signs_mov_separ_signers/Tyler_1290.mov" TargetMode="External"/><Relationship Id="rId11822" Type="http://schemas.openxmlformats.org/officeDocument/2006/relationships/hyperlink" Target="http://secrets.rutgers.edu:8080/data/asl-ftp/asllvd/demos/verify_start_end_handshape_annotations//test_auto_move//signs_mov_separ_signers/Tyler_1290.mov" TargetMode="External"/><Relationship Id="rId11823" Type="http://schemas.openxmlformats.org/officeDocument/2006/relationships/hyperlink" Target="http://csr.bu.edu/ftp/asl/asllvd/demos/verify_start_end_handshape_annotations//test_auto_move//signs_mov/1290_15091_merged.mov" TargetMode="External"/><Relationship Id="rId11824" Type="http://schemas.openxmlformats.org/officeDocument/2006/relationships/hyperlink" Target="http://csr.bu.edu/ftp/asl/asllvd/demos/verify_start_end_handshape_annotations//test_auto_move//signs_mov_separ_signers/Naomi_1290.mov" TargetMode="External"/><Relationship Id="rId11825" Type="http://schemas.openxmlformats.org/officeDocument/2006/relationships/hyperlink" Target="http://secrets.rutgers.edu:8080/data/asl-ftp/asllvd/demos/verify_start_end_handshape_annotations//test_auto_move//signs_mov/1290_15091_merged.mov" TargetMode="External"/><Relationship Id="rId11826" Type="http://schemas.openxmlformats.org/officeDocument/2006/relationships/hyperlink" Target="http://secrets.rutgers.edu:8080/data/asl-ftp/asllvd/demos/verify_start_end_handshape_annotations//test_auto_move//signs_mov_separ_signers/Naomi_1290.mov" TargetMode="External"/><Relationship Id="rId11827" Type="http://schemas.openxmlformats.org/officeDocument/2006/relationships/hyperlink" Target="http://csr.bu.edu/ftp/asl/asllvd/demos/verify_start_end_handshape_annotations//test_auto_move//signs_mov_separ_signers/Brady_1290.mov" TargetMode="External"/><Relationship Id="rId11828" Type="http://schemas.openxmlformats.org/officeDocument/2006/relationships/hyperlink" Target="http://secrets.rutgers.edu:8080/data/asl-ftp/asllvd/demos/verify_start_end_handshape_annotations//test_auto_move//signs_mov_separ_signers/Brady_1290.mov" TargetMode="External"/><Relationship Id="rId11829" Type="http://schemas.openxmlformats.org/officeDocument/2006/relationships/hyperlink" Target="http://csr.bu.edu/ftp/asl/asllvd/demos/verify_start_end_handshape_annotations//test_auto_move//signs_mov_separ_signers/Brady_15091.mov" TargetMode="External"/><Relationship Id="rId11830" Type="http://schemas.openxmlformats.org/officeDocument/2006/relationships/hyperlink" Target="http://secrets.rutgers.edu:8080/data/asl-ftp/asllvd/demos/verify_start_end_handshape_annotations//test_auto_move//signs_mov_separ_signers/Brady_15091.mov" TargetMode="External"/><Relationship Id="rId11831" Type="http://schemas.openxmlformats.org/officeDocument/2006/relationships/hyperlink" Target="http://csr.bu.edu/ftp/asl/asllvd/demos/verify_start_end_handshape_annotations//test_auto_move//signs_mov_separ_signers/Lana_1290.mov" TargetMode="External"/><Relationship Id="rId11832" Type="http://schemas.openxmlformats.org/officeDocument/2006/relationships/hyperlink" Target="http://secrets.rutgers.edu:8080/data/asl-ftp/asllvd/demos/verify_start_end_handshape_annotations//test_auto_move//signs_mov_separ_signers/Lana_1290.mov" TargetMode="External"/><Relationship Id="rId11833" Type="http://schemas.openxmlformats.org/officeDocument/2006/relationships/hyperlink" Target="http://csr.bu.edu/ftp/asl/asllvd/demos/verify_start_end_handshape_annotations//test_auto_move//signs_mov_separ_signers/Dana_1290.mov" TargetMode="External"/><Relationship Id="rId11834" Type="http://schemas.openxmlformats.org/officeDocument/2006/relationships/hyperlink" Target="http://secrets.rutgers.edu:8080/data/asl-ftp/asllvd/demos/verify_start_end_handshape_annotations//test_auto_move//signs_mov_separ_signers/Dana_1290.mov" TargetMode="External"/><Relationship Id="rId11835" Type="http://schemas.openxmlformats.org/officeDocument/2006/relationships/hyperlink" Target="http://csr.bu.edu/ftp/asl/asllvd/demos/verify_start_end_handshape_annotations//test_auto_move//signs_mov/1291.mov" TargetMode="External"/><Relationship Id="rId11836" Type="http://schemas.openxmlformats.org/officeDocument/2006/relationships/hyperlink" Target="http://csr.bu.edu/ftp/asl/asllvd/demos/verify_start_end_handshape_annotations//test_auto_move//signs_mov_separ_signers/Liz_1291.mov" TargetMode="External"/><Relationship Id="rId11837" Type="http://schemas.openxmlformats.org/officeDocument/2006/relationships/hyperlink" Target="http://secrets.rutgers.edu:8080/data/asl-ftp/asllvd/demos/verify_start_end_handshape_annotations//test_auto_move//signs_mov/1291.mov" TargetMode="External"/><Relationship Id="rId11838" Type="http://schemas.openxmlformats.org/officeDocument/2006/relationships/hyperlink" Target="http://secrets.rutgers.edu:8080/data/asl-ftp/asllvd/demos/verify_start_end_handshape_annotations//test_auto_move//signs_mov_separ_signers/Liz_1291.mov" TargetMode="External"/><Relationship Id="rId11839" Type="http://schemas.openxmlformats.org/officeDocument/2006/relationships/hyperlink" Target="http://csr.bu.edu/ftp/asl/asllvd/demos/verify_start_end_handshape_annotations//test_auto_move//signs_mov_separ_signers/Brady_1291.mov" TargetMode="External"/><Relationship Id="rId11840" Type="http://schemas.openxmlformats.org/officeDocument/2006/relationships/hyperlink" Target="http://secrets.rutgers.edu:8080/data/asl-ftp/asllvd/demos/verify_start_end_handshape_annotations//test_auto_move//signs_mov_separ_signers/Brady_1291.mov" TargetMode="External"/><Relationship Id="rId11841" Type="http://schemas.openxmlformats.org/officeDocument/2006/relationships/hyperlink" Target="http://csr.bu.edu/ftp/asl/asllvd/demos/verify_start_end_handshape_annotations//test_auto_move//signs_mov_separ_signers/Liz_1292.mov" TargetMode="External"/><Relationship Id="rId11842" Type="http://schemas.openxmlformats.org/officeDocument/2006/relationships/hyperlink" Target="http://secrets.rutgers.edu:8080/data/asl-ftp/asllvd/demos/verify_start_end_handshape_annotations//test_auto_move//signs_mov_separ_signers/Liz_1292.mov" TargetMode="External"/><Relationship Id="rId11843" Type="http://schemas.openxmlformats.org/officeDocument/2006/relationships/hyperlink" Target="http://csr.bu.edu/ftp/asl/asllvd/demos/verify_start_end_handshape_annotations//test_auto_move//signs_mov_separ_signers/Liz_3436.mov" TargetMode="External"/><Relationship Id="rId11844" Type="http://schemas.openxmlformats.org/officeDocument/2006/relationships/hyperlink" Target="http://secrets.rutgers.edu:8080/data/asl-ftp/asllvd/demos/verify_start_end_handshape_annotations//test_auto_move//signs_mov_separ_signers/Liz_3436.mov" TargetMode="External"/><Relationship Id="rId11845" Type="http://schemas.openxmlformats.org/officeDocument/2006/relationships/hyperlink" Target="http://csr.bu.edu/ftp/asl/asllvd/demos/verify_start_end_handshape_annotations//test_auto_move//signs_mov/1292_3436_merged.mov" TargetMode="External"/><Relationship Id="rId11846" Type="http://schemas.openxmlformats.org/officeDocument/2006/relationships/hyperlink" Target="http://csr.bu.edu/ftp/asl/asllvd/demos/verify_start_end_handshape_annotations//test_auto_move//signs_mov_separ_signers/Tyler_1292.mov" TargetMode="External"/><Relationship Id="rId11847" Type="http://schemas.openxmlformats.org/officeDocument/2006/relationships/hyperlink" Target="http://secrets.rutgers.edu:8080/data/asl-ftp/asllvd/demos/verify_start_end_handshape_annotations//test_auto_move//signs_mov/1292_3436_merged.mov" TargetMode="External"/><Relationship Id="rId11848" Type="http://schemas.openxmlformats.org/officeDocument/2006/relationships/hyperlink" Target="http://secrets.rutgers.edu:8080/data/asl-ftp/asllvd/demos/verify_start_end_handshape_annotations//test_auto_move//signs_mov_separ_signers/Tyler_1292.mov" TargetMode="External"/><Relationship Id="rId11849" Type="http://schemas.openxmlformats.org/officeDocument/2006/relationships/hyperlink" Target="http://csr.bu.edu/ftp/asl/asllvd/demos/verify_start_end_handshape_annotations//test_auto_move//signs_mov_separ_signers/Naomi_1292.mov" TargetMode="External"/><Relationship Id="rId11850" Type="http://schemas.openxmlformats.org/officeDocument/2006/relationships/hyperlink" Target="http://secrets.rutgers.edu:8080/data/asl-ftp/asllvd/demos/verify_start_end_handshape_annotations//test_auto_move//signs_mov_separ_signers/Naomi_1292.mov" TargetMode="External"/><Relationship Id="rId11851" Type="http://schemas.openxmlformats.org/officeDocument/2006/relationships/hyperlink" Target="http://csr.bu.edu/ftp/asl/asllvd/demos/verify_start_end_handshape_annotations//test_auto_move//signs_mov_separ_signers/Brady_1292.mov" TargetMode="External"/><Relationship Id="rId11852" Type="http://schemas.openxmlformats.org/officeDocument/2006/relationships/hyperlink" Target="http://secrets.rutgers.edu:8080/data/asl-ftp/asllvd/demos/verify_start_end_handshape_annotations//test_auto_move//signs_mov_separ_signers/Brady_1292.mov" TargetMode="External"/><Relationship Id="rId11853" Type="http://schemas.openxmlformats.org/officeDocument/2006/relationships/hyperlink" Target="http://csr.bu.edu/ftp/asl/asllvd/demos/verify_start_end_handshape_annotations//test_auto_move//signs_mov_separ_signers/Liz_1294.mov" TargetMode="External"/><Relationship Id="rId11854" Type="http://schemas.openxmlformats.org/officeDocument/2006/relationships/hyperlink" Target="http://secrets.rutgers.edu:8080/data/asl-ftp/asllvd/demos/verify_start_end_handshape_annotations//test_auto_move//signs_mov_separ_signers/Liz_1294.mov" TargetMode="External"/><Relationship Id="rId11855" Type="http://schemas.openxmlformats.org/officeDocument/2006/relationships/hyperlink" Target="http://csr.bu.edu/ftp/asl/asllvd/demos/verify_start_end_handshape_annotations//test_auto_move//signs_mov_separ_signers/Liz_5715.mov" TargetMode="External"/><Relationship Id="rId11856" Type="http://schemas.openxmlformats.org/officeDocument/2006/relationships/hyperlink" Target="http://secrets.rutgers.edu:8080/data/asl-ftp/asllvd/demos/verify_start_end_handshape_annotations//test_auto_move//signs_mov_separ_signers/Liz_5715.mov" TargetMode="External"/><Relationship Id="rId11857" Type="http://schemas.openxmlformats.org/officeDocument/2006/relationships/hyperlink" Target="http://csr.bu.edu/ftp/asl/asllvd/demos/verify_start_end_handshape_annotations//test_auto_move//signs_mov/1294_5715_merged.mov" TargetMode="External"/><Relationship Id="rId11858" Type="http://schemas.openxmlformats.org/officeDocument/2006/relationships/hyperlink" Target="http://csr.bu.edu/ftp/asl/asllvd/demos/verify_start_end_handshape_annotations//test_auto_move//signs_mov_separ_signers/Tyler_1294.mov" TargetMode="External"/><Relationship Id="rId11859" Type="http://schemas.openxmlformats.org/officeDocument/2006/relationships/hyperlink" Target="http://secrets.rutgers.edu:8080/data/asl-ftp/asllvd/demos/verify_start_end_handshape_annotations//test_auto_move//signs_mov/1294_5715_merged.mov" TargetMode="External"/><Relationship Id="rId11860" Type="http://schemas.openxmlformats.org/officeDocument/2006/relationships/hyperlink" Target="http://secrets.rutgers.edu:8080/data/asl-ftp/asllvd/demos/verify_start_end_handshape_annotations//test_auto_move//signs_mov_separ_signers/Tyler_1294.mov" TargetMode="External"/><Relationship Id="rId11861" Type="http://schemas.openxmlformats.org/officeDocument/2006/relationships/hyperlink" Target="http://csr.bu.edu/ftp/asl/asllvd/demos/verify_start_end_handshape_annotations//test_auto_move//signs_mov_separ_signers/Naomi_1294.mov" TargetMode="External"/><Relationship Id="rId11862" Type="http://schemas.openxmlformats.org/officeDocument/2006/relationships/hyperlink" Target="http://secrets.rutgers.edu:8080/data/asl-ftp/asllvd/demos/verify_start_end_handshape_annotations//test_auto_move//signs_mov_separ_signers/Naomi_1294.mov" TargetMode="External"/><Relationship Id="rId11863" Type="http://schemas.openxmlformats.org/officeDocument/2006/relationships/hyperlink" Target="http://csr.bu.edu/ftp/asl/asllvd/demos/verify_start_end_handshape_annotations//test_auto_move//signs_mov_separ_signers/Brady_1294.mov" TargetMode="External"/><Relationship Id="rId11864" Type="http://schemas.openxmlformats.org/officeDocument/2006/relationships/hyperlink" Target="http://secrets.rutgers.edu:8080/data/asl-ftp/asllvd/demos/verify_start_end_handshape_annotations//test_auto_move//signs_mov_separ_signers/Brady_1294.mov" TargetMode="External"/><Relationship Id="rId11865" Type="http://schemas.openxmlformats.org/officeDocument/2006/relationships/hyperlink" Target="http://csr.bu.edu/ftp/asl/asllvd/demos/verify_start_end_handshape_annotations//test_auto_move//signs_mov_separ_signers/Liz_16414.mov" TargetMode="External"/><Relationship Id="rId11866" Type="http://schemas.openxmlformats.org/officeDocument/2006/relationships/hyperlink" Target="http://secrets.rutgers.edu:8080/data/asl-ftp/asllvd/demos/verify_start_end_handshape_annotations//test_auto_move//signs_mov_separ_signers/Liz_16414.mov" TargetMode="External"/><Relationship Id="rId11867" Type="http://schemas.openxmlformats.org/officeDocument/2006/relationships/hyperlink" Target="http://csr.bu.edu/ftp/asl/asllvd/demos/verify_start_end_handshape_annotations//test_auto_move//signs_mov/16414.mov" TargetMode="External"/><Relationship Id="rId11868" Type="http://schemas.openxmlformats.org/officeDocument/2006/relationships/hyperlink" Target="http://csr.bu.edu/ftp/asl/asllvd/demos/verify_start_end_handshape_annotations//test_auto_move//signs_mov_separ_signers/Naomi_16414.mov" TargetMode="External"/><Relationship Id="rId11869" Type="http://schemas.openxmlformats.org/officeDocument/2006/relationships/hyperlink" Target="http://secrets.rutgers.edu:8080/data/asl-ftp/asllvd/demos/verify_start_end_handshape_annotations//test_auto_move//signs_mov/16414.mov" TargetMode="External"/><Relationship Id="rId11870" Type="http://schemas.openxmlformats.org/officeDocument/2006/relationships/hyperlink" Target="http://secrets.rutgers.edu:8080/data/asl-ftp/asllvd/demos/verify_start_end_handshape_annotations//test_auto_move//signs_mov_separ_signers/Naomi_16414.mov" TargetMode="External"/><Relationship Id="rId11871" Type="http://schemas.openxmlformats.org/officeDocument/2006/relationships/hyperlink" Target="http://csr.bu.edu/ftp/asl/asllvd/demos/verify_start_end_handshape_annotations//test_auto_move//signs_mov_separ_signers/Brady_16414.mov" TargetMode="External"/><Relationship Id="rId11872" Type="http://schemas.openxmlformats.org/officeDocument/2006/relationships/hyperlink" Target="http://secrets.rutgers.edu:8080/data/asl-ftp/asllvd/demos/verify_start_end_handshape_annotations//test_auto_move//signs_mov_separ_signers/Brady_16414.mov" TargetMode="External"/><Relationship Id="rId11873" Type="http://schemas.openxmlformats.org/officeDocument/2006/relationships/hyperlink" Target="http://csr.bu.edu/ftp/asl/asllvd/demos/verify_start_end_handshape_annotations//test_auto_move//signs_mov_separ_signers/Liz_1295.mov" TargetMode="External"/><Relationship Id="rId11874" Type="http://schemas.openxmlformats.org/officeDocument/2006/relationships/hyperlink" Target="http://secrets.rutgers.edu:8080/data/asl-ftp/asllvd/demos/verify_start_end_handshape_annotations//test_auto_move//signs_mov_separ_signers/Liz_1295.mov" TargetMode="External"/><Relationship Id="rId11875" Type="http://schemas.openxmlformats.org/officeDocument/2006/relationships/hyperlink" Target="http://csr.bu.edu/ftp/asl/asllvd/demos/verify_start_end_handshape_annotations//test_auto_move//signs_mov/1295.mov" TargetMode="External"/><Relationship Id="rId11876" Type="http://schemas.openxmlformats.org/officeDocument/2006/relationships/hyperlink" Target="http://csr.bu.edu/ftp/asl/asllvd/demos/verify_start_end_handshape_annotations//test_auto_move//signs_mov_separ_signers/Tyler_1295.mov" TargetMode="External"/><Relationship Id="rId11877" Type="http://schemas.openxmlformats.org/officeDocument/2006/relationships/hyperlink" Target="http://secrets.rutgers.edu:8080/data/asl-ftp/asllvd/demos/verify_start_end_handshape_annotations//test_auto_move//signs_mov/1295.mov" TargetMode="External"/><Relationship Id="rId11878" Type="http://schemas.openxmlformats.org/officeDocument/2006/relationships/hyperlink" Target="http://secrets.rutgers.edu:8080/data/asl-ftp/asllvd/demos/verify_start_end_handshape_annotations//test_auto_move//signs_mov_separ_signers/Tyler_1295.mov" TargetMode="External"/><Relationship Id="rId11879" Type="http://schemas.openxmlformats.org/officeDocument/2006/relationships/hyperlink" Target="http://csr.bu.edu/ftp/asl/asllvd/demos/verify_start_end_handshape_annotations//test_auto_move//signs_mov_separ_signers/Brady_1295.mov" TargetMode="External"/><Relationship Id="rId11880" Type="http://schemas.openxmlformats.org/officeDocument/2006/relationships/hyperlink" Target="http://secrets.rutgers.edu:8080/data/asl-ftp/asllvd/demos/verify_start_end_handshape_annotations//test_auto_move//signs_mov_separ_signers/Brady_1295.mov" TargetMode="External"/><Relationship Id="rId11881" Type="http://schemas.openxmlformats.org/officeDocument/2006/relationships/hyperlink" Target="http://csr.bu.edu/ftp/asl/asllvd/demos/verify_start_end_handshape_annotations//test_auto_move//signs_mov_separ_signers/Liz_1296.mov" TargetMode="External"/><Relationship Id="rId11882" Type="http://schemas.openxmlformats.org/officeDocument/2006/relationships/hyperlink" Target="http://secrets.rutgers.edu:8080/data/asl-ftp/asllvd/demos/verify_start_end_handshape_annotations//test_auto_move//signs_mov_separ_signers/Liz_1296.mov" TargetMode="External"/><Relationship Id="rId11883" Type="http://schemas.openxmlformats.org/officeDocument/2006/relationships/hyperlink" Target="http://csr.bu.edu/ftp/asl/asllvd/demos/verify_start_end_handshape_annotations//test_auto_move//signs_mov/1296.mov" TargetMode="External"/><Relationship Id="rId11884" Type="http://schemas.openxmlformats.org/officeDocument/2006/relationships/hyperlink" Target="http://csr.bu.edu/ftp/asl/asllvd/demos/verify_start_end_handshape_annotations//test_auto_move//signs_mov_separ_signers/Tyler_1296.mov" TargetMode="External"/><Relationship Id="rId11885" Type="http://schemas.openxmlformats.org/officeDocument/2006/relationships/hyperlink" Target="http://secrets.rutgers.edu:8080/data/asl-ftp/asllvd/demos/verify_start_end_handshape_annotations//test_auto_move//signs_mov/1296.mov" TargetMode="External"/><Relationship Id="rId11886" Type="http://schemas.openxmlformats.org/officeDocument/2006/relationships/hyperlink" Target="http://secrets.rutgers.edu:8080/data/asl-ftp/asllvd/demos/verify_start_end_handshape_annotations//test_auto_move//signs_mov_separ_signers/Tyler_1296.mov" TargetMode="External"/><Relationship Id="rId11887" Type="http://schemas.openxmlformats.org/officeDocument/2006/relationships/hyperlink" Target="http://csr.bu.edu/ftp/asl/asllvd/demos/verify_start_end_handshape_annotations//test_auto_move//signs_mov_separ_signers/Naomi_1296.mov" TargetMode="External"/><Relationship Id="rId11888" Type="http://schemas.openxmlformats.org/officeDocument/2006/relationships/hyperlink" Target="http://secrets.rutgers.edu:8080/data/asl-ftp/asllvd/demos/verify_start_end_handshape_annotations//test_auto_move//signs_mov_separ_signers/Naomi_1296.mov" TargetMode="External"/><Relationship Id="rId11889" Type="http://schemas.openxmlformats.org/officeDocument/2006/relationships/hyperlink" Target="http://csr.bu.edu/ftp/asl/asllvd/demos/verify_start_end_handshape_annotations//test_auto_move//signs_mov_separ_signers/Brady_1296.mov" TargetMode="External"/><Relationship Id="rId11890" Type="http://schemas.openxmlformats.org/officeDocument/2006/relationships/hyperlink" Target="http://secrets.rutgers.edu:8080/data/asl-ftp/asllvd/demos/verify_start_end_handshape_annotations//test_auto_move//signs_mov_separ_signers/Brady_1296.mov" TargetMode="External"/><Relationship Id="rId11891" Type="http://schemas.openxmlformats.org/officeDocument/2006/relationships/hyperlink" Target="http://csr.bu.edu/ftp/asl/asllvd/demos/verify_start_end_handshape_annotations//test_auto_move//signs_mov_separ_signers/Liz_1297.mov" TargetMode="External"/><Relationship Id="rId11892" Type="http://schemas.openxmlformats.org/officeDocument/2006/relationships/hyperlink" Target="http://secrets.rutgers.edu:8080/data/asl-ftp/asllvd/demos/verify_start_end_handshape_annotations//test_auto_move//signs_mov_separ_signers/Liz_1297.mov" TargetMode="External"/><Relationship Id="rId11893" Type="http://schemas.openxmlformats.org/officeDocument/2006/relationships/hyperlink" Target="http://csr.bu.edu/ftp/asl/asllvd/demos/verify_start_end_handshape_annotations//test_auto_move//signs_mov/1297.mov" TargetMode="External"/><Relationship Id="rId11894" Type="http://schemas.openxmlformats.org/officeDocument/2006/relationships/hyperlink" Target="http://csr.bu.edu/ftp/asl/asllvd/demos/verify_start_end_handshape_annotations//test_auto_move//signs_mov_separ_signers/Tyler_1297.mov" TargetMode="External"/><Relationship Id="rId11895" Type="http://schemas.openxmlformats.org/officeDocument/2006/relationships/hyperlink" Target="http://secrets.rutgers.edu:8080/data/asl-ftp/asllvd/demos/verify_start_end_handshape_annotations//test_auto_move//signs_mov/1297.mov" TargetMode="External"/><Relationship Id="rId11896" Type="http://schemas.openxmlformats.org/officeDocument/2006/relationships/hyperlink" Target="http://secrets.rutgers.edu:8080/data/asl-ftp/asllvd/demos/verify_start_end_handshape_annotations//test_auto_move//signs_mov_separ_signers/Tyler_1297.mov" TargetMode="External"/><Relationship Id="rId11897" Type="http://schemas.openxmlformats.org/officeDocument/2006/relationships/hyperlink" Target="http://csr.bu.edu/ftp/asl/asllvd/demos/verify_start_end_handshape_annotations//test_auto_move//signs_mov_separ_signers/Naomi_1297.mov" TargetMode="External"/><Relationship Id="rId11898" Type="http://schemas.openxmlformats.org/officeDocument/2006/relationships/hyperlink" Target="http://secrets.rutgers.edu:8080/data/asl-ftp/asllvd/demos/verify_start_end_handshape_annotations//test_auto_move//signs_mov_separ_signers/Naomi_1297.mov" TargetMode="External"/><Relationship Id="rId11899" Type="http://schemas.openxmlformats.org/officeDocument/2006/relationships/hyperlink" Target="http://csr.bu.edu/ftp/asl/asllvd/demos/verify_start_end_handshape_annotations//test_auto_move//signs_mov_separ_signers/Brady_1297.mov" TargetMode="External"/><Relationship Id="rId11900" Type="http://schemas.openxmlformats.org/officeDocument/2006/relationships/hyperlink" Target="http://secrets.rutgers.edu:8080/data/asl-ftp/asllvd/demos/verify_start_end_handshape_annotations//test_auto_move//signs_mov_separ_signers/Brady_1297.mov" TargetMode="External"/><Relationship Id="rId11901" Type="http://schemas.openxmlformats.org/officeDocument/2006/relationships/hyperlink" Target="http://csr.bu.edu/ftp/asl/asllvd/demos/verify_start_end_handshape_annotations//test_auto_move//signs_mov_separ_signers/Liz_1298.mov" TargetMode="External"/><Relationship Id="rId11902" Type="http://schemas.openxmlformats.org/officeDocument/2006/relationships/hyperlink" Target="http://secrets.rutgers.edu:8080/data/asl-ftp/asllvd/demos/verify_start_end_handshape_annotations//test_auto_move//signs_mov_separ_signers/Liz_1298.mov" TargetMode="External"/><Relationship Id="rId11903" Type="http://schemas.openxmlformats.org/officeDocument/2006/relationships/hyperlink" Target="http://csr.bu.edu/ftp/asl/asllvd/demos/verify_start_end_handshape_annotations//test_auto_move//signs_mov/1298.mov" TargetMode="External"/><Relationship Id="rId11904" Type="http://schemas.openxmlformats.org/officeDocument/2006/relationships/hyperlink" Target="http://csr.bu.edu/ftp/asl/asllvd/demos/verify_start_end_handshape_annotations//test_auto_move//signs_mov_separ_signers/Tyler_1298.mov" TargetMode="External"/><Relationship Id="rId11905" Type="http://schemas.openxmlformats.org/officeDocument/2006/relationships/hyperlink" Target="http://secrets.rutgers.edu:8080/data/asl-ftp/asllvd/demos/verify_start_end_handshape_annotations//test_auto_move//signs_mov/1298.mov" TargetMode="External"/><Relationship Id="rId11906" Type="http://schemas.openxmlformats.org/officeDocument/2006/relationships/hyperlink" Target="http://secrets.rutgers.edu:8080/data/asl-ftp/asllvd/demos/verify_start_end_handshape_annotations//test_auto_move//signs_mov_separ_signers/Tyler_1298.mov" TargetMode="External"/><Relationship Id="rId11907" Type="http://schemas.openxmlformats.org/officeDocument/2006/relationships/hyperlink" Target="http://csr.bu.edu/ftp/asl/asllvd/demos/verify_start_end_handshape_annotations//test_auto_move//signs_mov_separ_signers/Naomi_1298.mov" TargetMode="External"/><Relationship Id="rId11908" Type="http://schemas.openxmlformats.org/officeDocument/2006/relationships/hyperlink" Target="http://secrets.rutgers.edu:8080/data/asl-ftp/asllvd/demos/verify_start_end_handshape_annotations//test_auto_move//signs_mov_separ_signers/Naomi_1298.mov" TargetMode="External"/><Relationship Id="rId11909" Type="http://schemas.openxmlformats.org/officeDocument/2006/relationships/hyperlink" Target="http://csr.bu.edu/ftp/asl/asllvd/demos/verify_start_end_handshape_annotations//test_auto_move//signs_mov_separ_signers/Brady_1298.mov" TargetMode="External"/><Relationship Id="rId11910" Type="http://schemas.openxmlformats.org/officeDocument/2006/relationships/hyperlink" Target="http://secrets.rutgers.edu:8080/data/asl-ftp/asllvd/demos/verify_start_end_handshape_annotations//test_auto_move//signs_mov_separ_signers/Brady_1298.mov" TargetMode="External"/><Relationship Id="rId11911" Type="http://schemas.openxmlformats.org/officeDocument/2006/relationships/hyperlink" Target="http://csr.bu.edu/ftp/asl/asllvd/demos/verify_start_end_handshape_annotations//test_auto_move//signs_mov_separ_signers/Liz_1299.mov" TargetMode="External"/><Relationship Id="rId11912" Type="http://schemas.openxmlformats.org/officeDocument/2006/relationships/hyperlink" Target="http://secrets.rutgers.edu:8080/data/asl-ftp/asllvd/demos/verify_start_end_handshape_annotations//test_auto_move//signs_mov_separ_signers/Liz_1299.mov" TargetMode="External"/><Relationship Id="rId11913" Type="http://schemas.openxmlformats.org/officeDocument/2006/relationships/hyperlink" Target="http://csr.bu.edu/ftp/asl/asllvd/demos/verify_start_end_handshape_annotations//test_auto_move//signs_mov/1299.mov" TargetMode="External"/><Relationship Id="rId11914" Type="http://schemas.openxmlformats.org/officeDocument/2006/relationships/hyperlink" Target="http://csr.bu.edu/ftp/asl/asllvd/demos/verify_start_end_handshape_annotations//test_auto_move//signs_mov_separ_signers/Tyler_1299.mov" TargetMode="External"/><Relationship Id="rId11915" Type="http://schemas.openxmlformats.org/officeDocument/2006/relationships/hyperlink" Target="http://secrets.rutgers.edu:8080/data/asl-ftp/asllvd/demos/verify_start_end_handshape_annotations//test_auto_move//signs_mov/1299.mov" TargetMode="External"/><Relationship Id="rId11916" Type="http://schemas.openxmlformats.org/officeDocument/2006/relationships/hyperlink" Target="http://secrets.rutgers.edu:8080/data/asl-ftp/asllvd/demos/verify_start_end_handshape_annotations//test_auto_move//signs_mov_separ_signers/Tyler_1299.mov" TargetMode="External"/><Relationship Id="rId11917" Type="http://schemas.openxmlformats.org/officeDocument/2006/relationships/hyperlink" Target="http://csr.bu.edu/ftp/asl/asllvd/demos/verify_start_end_handshape_annotations//test_auto_move//signs_mov_separ_signers/Naomi_1299.mov" TargetMode="External"/><Relationship Id="rId11918" Type="http://schemas.openxmlformats.org/officeDocument/2006/relationships/hyperlink" Target="http://secrets.rutgers.edu:8080/data/asl-ftp/asllvd/demos/verify_start_end_handshape_annotations//test_auto_move//signs_mov_separ_signers/Naomi_1299.mov" TargetMode="External"/><Relationship Id="rId11919" Type="http://schemas.openxmlformats.org/officeDocument/2006/relationships/hyperlink" Target="http://csr.bu.edu/ftp/asl/asllvd/demos/verify_start_end_handshape_annotations//test_auto_move//signs_mov_separ_signers/Brady_1299.mov" TargetMode="External"/><Relationship Id="rId11920" Type="http://schemas.openxmlformats.org/officeDocument/2006/relationships/hyperlink" Target="http://secrets.rutgers.edu:8080/data/asl-ftp/asllvd/demos/verify_start_end_handshape_annotations//test_auto_move//signs_mov_separ_signers/Brady_1299.mov" TargetMode="External"/><Relationship Id="rId11921" Type="http://schemas.openxmlformats.org/officeDocument/2006/relationships/hyperlink" Target="http://csr.bu.edu/ftp/asl/asllvd/demos/verify_start_end_handshape_annotations//test_auto_move//signs_mov_separ_signers/Liz_1301.mov" TargetMode="External"/><Relationship Id="rId11922" Type="http://schemas.openxmlformats.org/officeDocument/2006/relationships/hyperlink" Target="http://secrets.rutgers.edu:8080/data/asl-ftp/asllvd/demos/verify_start_end_handshape_annotations//test_auto_move//signs_mov_separ_signers/Liz_1301.mov" TargetMode="External"/><Relationship Id="rId11923" Type="http://schemas.openxmlformats.org/officeDocument/2006/relationships/hyperlink" Target="http://csr.bu.edu/ftp/asl/asllvd/demos/verify_start_end_handshape_annotations//test_auto_move//signs_mov/1301.mov" TargetMode="External"/><Relationship Id="rId11924" Type="http://schemas.openxmlformats.org/officeDocument/2006/relationships/hyperlink" Target="http://csr.bu.edu/ftp/asl/asllvd/demos/verify_start_end_handshape_annotations//test_auto_move//signs_mov_separ_signers/Tyler_1301.mov" TargetMode="External"/><Relationship Id="rId11925" Type="http://schemas.openxmlformats.org/officeDocument/2006/relationships/hyperlink" Target="http://secrets.rutgers.edu:8080/data/asl-ftp/asllvd/demos/verify_start_end_handshape_annotations//test_auto_move//signs_mov/1301.mov" TargetMode="External"/><Relationship Id="rId11926" Type="http://schemas.openxmlformats.org/officeDocument/2006/relationships/hyperlink" Target="http://secrets.rutgers.edu:8080/data/asl-ftp/asllvd/demos/verify_start_end_handshape_annotations//test_auto_move//signs_mov_separ_signers/Tyler_1301.mov" TargetMode="External"/><Relationship Id="rId11927" Type="http://schemas.openxmlformats.org/officeDocument/2006/relationships/hyperlink" Target="http://csr.bu.edu/ftp/asl/asllvd/demos/verify_start_end_handshape_annotations//test_auto_move//signs_mov_separ_signers/Naomi_1301.mov" TargetMode="External"/><Relationship Id="rId11928" Type="http://schemas.openxmlformats.org/officeDocument/2006/relationships/hyperlink" Target="http://secrets.rutgers.edu:8080/data/asl-ftp/asllvd/demos/verify_start_end_handshape_annotations//test_auto_move//signs_mov_separ_signers/Naomi_1301.mov" TargetMode="External"/><Relationship Id="rId11929" Type="http://schemas.openxmlformats.org/officeDocument/2006/relationships/hyperlink" Target="http://csr.bu.edu/ftp/asl/asllvd/demos/verify_start_end_handshape_annotations//test_auto_move//signs_mov/15058.mov" TargetMode="External"/><Relationship Id="rId11930" Type="http://schemas.openxmlformats.org/officeDocument/2006/relationships/hyperlink" Target="http://csr.bu.edu/ftp/asl/asllvd/demos/verify_start_end_handshape_annotations//test_auto_move//signs_mov_separ_signers/Brady_15058.mov" TargetMode="External"/><Relationship Id="rId11931" Type="http://schemas.openxmlformats.org/officeDocument/2006/relationships/hyperlink" Target="http://secrets.rutgers.edu:8080/data/asl-ftp/asllvd/demos/verify_start_end_handshape_annotations//test_auto_move//signs_mov/15058.mov" TargetMode="External"/><Relationship Id="rId11932" Type="http://schemas.openxmlformats.org/officeDocument/2006/relationships/hyperlink" Target="http://secrets.rutgers.edu:8080/data/asl-ftp/asllvd/demos/verify_start_end_handshape_annotations//test_auto_move//signs_mov_separ_signers/Brady_15058.mov" TargetMode="External"/><Relationship Id="rId11933" Type="http://schemas.openxmlformats.org/officeDocument/2006/relationships/hyperlink" Target="http://csr.bu.edu/ftp/asl/asllvd/demos/verify_start_end_handshape_annotations//test_auto_move//signs_mov/1302.mov" TargetMode="External"/><Relationship Id="rId11934" Type="http://schemas.openxmlformats.org/officeDocument/2006/relationships/hyperlink" Target="http://csr.bu.edu/ftp/asl/asllvd/demos/verify_start_end_handshape_annotations//test_auto_move//signs_mov_separ_signers/Liz_1302.mov" TargetMode="External"/><Relationship Id="rId11935" Type="http://schemas.openxmlformats.org/officeDocument/2006/relationships/hyperlink" Target="http://secrets.rutgers.edu:8080/data/asl-ftp/asllvd/demos/verify_start_end_handshape_annotations//test_auto_move//signs_mov/1302.mov" TargetMode="External"/><Relationship Id="rId11936" Type="http://schemas.openxmlformats.org/officeDocument/2006/relationships/hyperlink" Target="http://secrets.rutgers.edu:8080/data/asl-ftp/asllvd/demos/verify_start_end_handshape_annotations//test_auto_move//signs_mov_separ_signers/Liz_1302.mov" TargetMode="External"/><Relationship Id="rId11937" Type="http://schemas.openxmlformats.org/officeDocument/2006/relationships/hyperlink" Target="http://csr.bu.edu/ftp/asl/asllvd/demos/verify_start_end_handshape_annotations//test_auto_move//signs_mov_separ_signers/Naomi_1302.mov" TargetMode="External"/><Relationship Id="rId11938" Type="http://schemas.openxmlformats.org/officeDocument/2006/relationships/hyperlink" Target="http://secrets.rutgers.edu:8080/data/asl-ftp/asllvd/demos/verify_start_end_handshape_annotations//test_auto_move//signs_mov_separ_signers/Naomi_1302.mov" TargetMode="External"/><Relationship Id="rId11939" Type="http://schemas.openxmlformats.org/officeDocument/2006/relationships/hyperlink" Target="http://csr.bu.edu/ftp/asl/asllvd/demos/verify_start_end_handshape_annotations//test_auto_move//signs_mov_separ_signers/Liz_1303.mov" TargetMode="External"/><Relationship Id="rId11940" Type="http://schemas.openxmlformats.org/officeDocument/2006/relationships/hyperlink" Target="http://secrets.rutgers.edu:8080/data/asl-ftp/asllvd/demos/verify_start_end_handshape_annotations//test_auto_move//signs_mov_separ_signers/Liz_1303.mov" TargetMode="External"/><Relationship Id="rId11941" Type="http://schemas.openxmlformats.org/officeDocument/2006/relationships/hyperlink" Target="http://csr.bu.edu/ftp/asl/asllvd/demos/verify_start_end_handshape_annotations//test_auto_move//signs_mov_separ_signers/Tyler_1303.mov" TargetMode="External"/><Relationship Id="rId11942" Type="http://schemas.openxmlformats.org/officeDocument/2006/relationships/hyperlink" Target="http://secrets.rutgers.edu:8080/data/asl-ftp/asllvd/demos/verify_start_end_handshape_annotations//test_auto_move//signs_mov_separ_signers/Tyler_1303.mov" TargetMode="External"/><Relationship Id="rId11943" Type="http://schemas.openxmlformats.org/officeDocument/2006/relationships/hyperlink" Target="http://csr.bu.edu/ftp/asl/asllvd/demos/verify_start_end_handshape_annotations//test_auto_move//signs_mov/1303_16161_merged.mov" TargetMode="External"/><Relationship Id="rId11944" Type="http://schemas.openxmlformats.org/officeDocument/2006/relationships/hyperlink" Target="http://csr.bu.edu/ftp/asl/asllvd/demos/verify_start_end_handshape_annotations//test_auto_move//signs_mov_separ_signers/Naomi_1303.mov" TargetMode="External"/><Relationship Id="rId11945" Type="http://schemas.openxmlformats.org/officeDocument/2006/relationships/hyperlink" Target="http://secrets.rutgers.edu:8080/data/asl-ftp/asllvd/demos/verify_start_end_handshape_annotations//test_auto_move//signs_mov/1303_16161_merged.mov" TargetMode="External"/><Relationship Id="rId11946" Type="http://schemas.openxmlformats.org/officeDocument/2006/relationships/hyperlink" Target="http://secrets.rutgers.edu:8080/data/asl-ftp/asllvd/demos/verify_start_end_handshape_annotations//test_auto_move//signs_mov_separ_signers/Naomi_1303.mov" TargetMode="External"/><Relationship Id="rId11947" Type="http://schemas.openxmlformats.org/officeDocument/2006/relationships/hyperlink" Target="http://csr.bu.edu/ftp/asl/asllvd/demos/verify_start_end_handshape_annotations//test_auto_move//signs_mov_separ_signers/Brady_1303.mov" TargetMode="External"/><Relationship Id="rId11948" Type="http://schemas.openxmlformats.org/officeDocument/2006/relationships/hyperlink" Target="http://secrets.rutgers.edu:8080/data/asl-ftp/asllvd/demos/verify_start_end_handshape_annotations//test_auto_move//signs_mov_separ_signers/Brady_1303.mov" TargetMode="External"/><Relationship Id="rId11949" Type="http://schemas.openxmlformats.org/officeDocument/2006/relationships/hyperlink" Target="http://csr.bu.edu/ftp/asl/asllvd/demos/verify_start_end_handshape_annotations//test_auto_move//signs_mov_separ_signers/Brady_16161.mov" TargetMode="External"/><Relationship Id="rId11950" Type="http://schemas.openxmlformats.org/officeDocument/2006/relationships/hyperlink" Target="http://secrets.rutgers.edu:8080/data/asl-ftp/asllvd/demos/verify_start_end_handshape_annotations//test_auto_move//signs_mov_separ_signers/Brady_16161.mov" TargetMode="External"/><Relationship Id="rId11951" Type="http://schemas.openxmlformats.org/officeDocument/2006/relationships/hyperlink" Target="http://csr.bu.edu/ftp/asl/asllvd/demos/verify_start_end_handshape_annotations//test_auto_move//signs_mov/1304.mov" TargetMode="External"/><Relationship Id="rId11952" Type="http://schemas.openxmlformats.org/officeDocument/2006/relationships/hyperlink" Target="http://csr.bu.edu/ftp/asl/asllvd/demos/verify_start_end_handshape_annotations//test_auto_move//signs_mov_separ_signers/Liz_1304.mov" TargetMode="External"/><Relationship Id="rId11953" Type="http://schemas.openxmlformats.org/officeDocument/2006/relationships/hyperlink" Target="http://secrets.rutgers.edu:8080/data/asl-ftp/asllvd/demos/verify_start_end_handshape_annotations//test_auto_move//signs_mov/1304.mov" TargetMode="External"/><Relationship Id="rId11954" Type="http://schemas.openxmlformats.org/officeDocument/2006/relationships/hyperlink" Target="http://secrets.rutgers.edu:8080/data/asl-ftp/asllvd/demos/verify_start_end_handshape_annotations//test_auto_move//signs_mov_separ_signers/Liz_1304.mov" TargetMode="External"/><Relationship Id="rId11955" Type="http://schemas.openxmlformats.org/officeDocument/2006/relationships/hyperlink" Target="http://csr.bu.edu/ftp/asl/asllvd/demos/verify_start_end_handshape_annotations//test_auto_move//signs_mov_separ_signers/Naomi_1304.mov" TargetMode="External"/><Relationship Id="rId11956" Type="http://schemas.openxmlformats.org/officeDocument/2006/relationships/hyperlink" Target="http://secrets.rutgers.edu:8080/data/asl-ftp/asllvd/demos/verify_start_end_handshape_annotations//test_auto_move//signs_mov_separ_signers/Naomi_1304.mov" TargetMode="External"/><Relationship Id="rId11957" Type="http://schemas.openxmlformats.org/officeDocument/2006/relationships/hyperlink" Target="http://csr.bu.edu/ftp/asl/asllvd/demos/verify_start_end_handshape_annotations//test_auto_move//signs_mov/15059.mov" TargetMode="External"/><Relationship Id="rId11958" Type="http://schemas.openxmlformats.org/officeDocument/2006/relationships/hyperlink" Target="http://csr.bu.edu/ftp/asl/asllvd/demos/verify_start_end_handshape_annotations//test_auto_move//signs_mov_separ_signers/Brady_15059.mov" TargetMode="External"/><Relationship Id="rId11959" Type="http://schemas.openxmlformats.org/officeDocument/2006/relationships/hyperlink" Target="http://secrets.rutgers.edu:8080/data/asl-ftp/asllvd/demos/verify_start_end_handshape_annotations//test_auto_move//signs_mov/15059.mov" TargetMode="External"/><Relationship Id="rId11960" Type="http://schemas.openxmlformats.org/officeDocument/2006/relationships/hyperlink" Target="http://secrets.rutgers.edu:8080/data/asl-ftp/asllvd/demos/verify_start_end_handshape_annotations//test_auto_move//signs_mov_separ_signers/Brady_15059.mov" TargetMode="External"/><Relationship Id="rId11961" Type="http://schemas.openxmlformats.org/officeDocument/2006/relationships/hyperlink" Target="http://csr.bu.edu/ftp/asl/asllvd/demos/verify_start_end_handshape_annotations//test_auto_move//signs_mov_separ_signers/Liz_1306.mov" TargetMode="External"/><Relationship Id="rId11962" Type="http://schemas.openxmlformats.org/officeDocument/2006/relationships/hyperlink" Target="http://secrets.rutgers.edu:8080/data/asl-ftp/asllvd/demos/verify_start_end_handshape_annotations//test_auto_move//signs_mov_separ_signers/Liz_1306.mov" TargetMode="External"/><Relationship Id="rId11963" Type="http://schemas.openxmlformats.org/officeDocument/2006/relationships/hyperlink" Target="http://csr.bu.edu/ftp/asl/asllvd/demos/verify_start_end_handshape_annotations//test_auto_move//signs_mov_separ_signers/Liz_3322.mov" TargetMode="External"/><Relationship Id="rId11964" Type="http://schemas.openxmlformats.org/officeDocument/2006/relationships/hyperlink" Target="http://secrets.rutgers.edu:8080/data/asl-ftp/asllvd/demos/verify_start_end_handshape_annotations//test_auto_move//signs_mov_separ_signers/Liz_3322.mov" TargetMode="External"/><Relationship Id="rId11965" Type="http://schemas.openxmlformats.org/officeDocument/2006/relationships/hyperlink" Target="http://csr.bu.edu/ftp/asl/asllvd/demos/verify_start_end_handshape_annotations//test_auto_move//signs_mov_separ_signers/Tyler_1306.mov" TargetMode="External"/><Relationship Id="rId11966" Type="http://schemas.openxmlformats.org/officeDocument/2006/relationships/hyperlink" Target="http://secrets.rutgers.edu:8080/data/asl-ftp/asllvd/demos/verify_start_end_handshape_annotations//test_auto_move//signs_mov_separ_signers/Tyler_1306.mov" TargetMode="External"/><Relationship Id="rId11967" Type="http://schemas.openxmlformats.org/officeDocument/2006/relationships/hyperlink" Target="http://csr.bu.edu/ftp/asl/asllvd/demos/verify_start_end_handshape_annotations//test_auto_move//signs_mov/1306_3322_merged.mov" TargetMode="External"/><Relationship Id="rId11968" Type="http://schemas.openxmlformats.org/officeDocument/2006/relationships/hyperlink" Target="http://csr.bu.edu/ftp/asl/asllvd/demos/verify_start_end_handshape_annotations//test_auto_move//signs_mov_separ_signers/Tyler_3322.mov" TargetMode="External"/><Relationship Id="rId11969" Type="http://schemas.openxmlformats.org/officeDocument/2006/relationships/hyperlink" Target="http://secrets.rutgers.edu:8080/data/asl-ftp/asllvd/demos/verify_start_end_handshape_annotations//test_auto_move//signs_mov/1306_3322_merged.mov" TargetMode="External"/><Relationship Id="rId11970" Type="http://schemas.openxmlformats.org/officeDocument/2006/relationships/hyperlink" Target="http://secrets.rutgers.edu:8080/data/asl-ftp/asllvd/demos/verify_start_end_handshape_annotations//test_auto_move//signs_mov_separ_signers/Tyler_3322.mov" TargetMode="External"/><Relationship Id="rId11971" Type="http://schemas.openxmlformats.org/officeDocument/2006/relationships/hyperlink" Target="http://csr.bu.edu/ftp/asl/asllvd/demos/verify_start_end_handshape_annotations//test_auto_move//signs_mov_separ_signers/Naomi_1306.mov" TargetMode="External"/><Relationship Id="rId11972" Type="http://schemas.openxmlformats.org/officeDocument/2006/relationships/hyperlink" Target="http://secrets.rutgers.edu:8080/data/asl-ftp/asllvd/demos/verify_start_end_handshape_annotations//test_auto_move//signs_mov_separ_signers/Naomi_1306.mov" TargetMode="External"/><Relationship Id="rId11973" Type="http://schemas.openxmlformats.org/officeDocument/2006/relationships/hyperlink" Target="http://csr.bu.edu/ftp/asl/asllvd/demos/verify_start_end_handshape_annotations//test_auto_move//signs_mov_separ_signers/Brady_1306.mov" TargetMode="External"/><Relationship Id="rId11974" Type="http://schemas.openxmlformats.org/officeDocument/2006/relationships/hyperlink" Target="http://secrets.rutgers.edu:8080/data/asl-ftp/asllvd/demos/verify_start_end_handshape_annotations//test_auto_move//signs_mov_separ_signers/Brady_1306.mov" TargetMode="External"/><Relationship Id="rId11975" Type="http://schemas.openxmlformats.org/officeDocument/2006/relationships/hyperlink" Target="http://csr.bu.edu/ftp/asl/asllvd/demos/verify_start_end_handshape_annotations//test_auto_move//signs_mov_separ_signers/Brady_3322.mov" TargetMode="External"/><Relationship Id="rId11976" Type="http://schemas.openxmlformats.org/officeDocument/2006/relationships/hyperlink" Target="http://secrets.rutgers.edu:8080/data/asl-ftp/asllvd/demos/verify_start_end_handshape_annotations//test_auto_move//signs_mov_separ_signers/Brady_3322.mov" TargetMode="External"/><Relationship Id="rId11977" Type="http://schemas.openxmlformats.org/officeDocument/2006/relationships/hyperlink" Target="http://csr.bu.edu/ftp/asl/asllvd/demos/verify_start_end_handshape_annotations//test_auto_move//signs_mov_separ_signers/Lana_1306.mov" TargetMode="External"/><Relationship Id="rId11978" Type="http://schemas.openxmlformats.org/officeDocument/2006/relationships/hyperlink" Target="http://secrets.rutgers.edu:8080/data/asl-ftp/asllvd/demos/verify_start_end_handshape_annotations//test_auto_move//signs_mov_separ_signers/Lana_1306.mov" TargetMode="External"/><Relationship Id="rId11979" Type="http://schemas.openxmlformats.org/officeDocument/2006/relationships/hyperlink" Target="http://csr.bu.edu/ftp/asl/asllvd/demos/verify_start_end_handshape_annotations//test_auto_move//signs_mov_separ_signers/Liz_15720.mov" TargetMode="External"/><Relationship Id="rId11980" Type="http://schemas.openxmlformats.org/officeDocument/2006/relationships/hyperlink" Target="http://secrets.rutgers.edu:8080/data/asl-ftp/asllvd/demos/verify_start_end_handshape_annotations//test_auto_move//signs_mov_separ_signers/Liz_15720.mov" TargetMode="External"/><Relationship Id="rId11981" Type="http://schemas.openxmlformats.org/officeDocument/2006/relationships/hyperlink" Target="http://csr.bu.edu/ftp/asl/asllvd/demos/verify_start_end_handshape_annotations//test_auto_move//signs_mov/15720.mov" TargetMode="External"/><Relationship Id="rId11982" Type="http://schemas.openxmlformats.org/officeDocument/2006/relationships/hyperlink" Target="http://csr.bu.edu/ftp/asl/asllvd/demos/verify_start_end_handshape_annotations//test_auto_move//signs_mov_separ_signers/Naomi_15720.mov" TargetMode="External"/><Relationship Id="rId11983" Type="http://schemas.openxmlformats.org/officeDocument/2006/relationships/hyperlink" Target="http://secrets.rutgers.edu:8080/data/asl-ftp/asllvd/demos/verify_start_end_handshape_annotations//test_auto_move//signs_mov/15720.mov" TargetMode="External"/><Relationship Id="rId11984" Type="http://schemas.openxmlformats.org/officeDocument/2006/relationships/hyperlink" Target="http://secrets.rutgers.edu:8080/data/asl-ftp/asllvd/demos/verify_start_end_handshape_annotations//test_auto_move//signs_mov_separ_signers/Naomi_15720.mov" TargetMode="External"/><Relationship Id="rId11985" Type="http://schemas.openxmlformats.org/officeDocument/2006/relationships/hyperlink" Target="http://csr.bu.edu/ftp/asl/asllvd/demos/verify_start_end_handshape_annotations//test_auto_move//signs_mov_separ_signers/Brady_15720.mov" TargetMode="External"/><Relationship Id="rId11986" Type="http://schemas.openxmlformats.org/officeDocument/2006/relationships/hyperlink" Target="http://secrets.rutgers.edu:8080/data/asl-ftp/asllvd/demos/verify_start_end_handshape_annotations//test_auto_move//signs_mov_separ_signers/Brady_15720.mov" TargetMode="External"/><Relationship Id="rId11987" Type="http://schemas.openxmlformats.org/officeDocument/2006/relationships/hyperlink" Target="http://csr.bu.edu/ftp/asl/asllvd/demos/verify_start_end_handshape_annotations//test_auto_move//signs_mov/1308.mov" TargetMode="External"/><Relationship Id="rId11988" Type="http://schemas.openxmlformats.org/officeDocument/2006/relationships/hyperlink" Target="http://csr.bu.edu/ftp/asl/asllvd/demos/verify_start_end_handshape_annotations//test_auto_move//signs_mov_separ_signers/Liz_1308.mov" TargetMode="External"/><Relationship Id="rId11989" Type="http://schemas.openxmlformats.org/officeDocument/2006/relationships/hyperlink" Target="http://secrets.rutgers.edu:8080/data/asl-ftp/asllvd/demos/verify_start_end_handshape_annotations//test_auto_move//signs_mov/1308.mov" TargetMode="External"/><Relationship Id="rId11990" Type="http://schemas.openxmlformats.org/officeDocument/2006/relationships/hyperlink" Target="http://secrets.rutgers.edu:8080/data/asl-ftp/asllvd/demos/verify_start_end_handshape_annotations//test_auto_move//signs_mov_separ_signers/Liz_1308.mov" TargetMode="External"/><Relationship Id="rId11991" Type="http://schemas.openxmlformats.org/officeDocument/2006/relationships/hyperlink" Target="http://csr.bu.edu/ftp/asl/asllvd/demos/verify_start_end_handshape_annotations//test_auto_move//signs_mov/15060.mov" TargetMode="External"/><Relationship Id="rId11992" Type="http://schemas.openxmlformats.org/officeDocument/2006/relationships/hyperlink" Target="http://csr.bu.edu/ftp/asl/asllvd/demos/verify_start_end_handshape_annotations//test_auto_move//signs_mov_separ_signers/Brady_15060.mov" TargetMode="External"/><Relationship Id="rId11993" Type="http://schemas.openxmlformats.org/officeDocument/2006/relationships/hyperlink" Target="http://secrets.rutgers.edu:8080/data/asl-ftp/asllvd/demos/verify_start_end_handshape_annotations//test_auto_move//signs_mov/15060.mov" TargetMode="External"/><Relationship Id="rId11994" Type="http://schemas.openxmlformats.org/officeDocument/2006/relationships/hyperlink" Target="http://secrets.rutgers.edu:8080/data/asl-ftp/asllvd/demos/verify_start_end_handshape_annotations//test_auto_move//signs_mov_separ_signers/Brady_15060.mov" TargetMode="External"/><Relationship Id="rId11995" Type="http://schemas.openxmlformats.org/officeDocument/2006/relationships/hyperlink" Target="http://csr.bu.edu/ftp/asl/asllvd/demos/verify_start_end_handshape_annotations//test_auto_move//signs_mov_separ_signers/Liz_1313.mov" TargetMode="External"/><Relationship Id="rId11996" Type="http://schemas.openxmlformats.org/officeDocument/2006/relationships/hyperlink" Target="http://secrets.rutgers.edu:8080/data/asl-ftp/asllvd/demos/verify_start_end_handshape_annotations//test_auto_move//signs_mov_separ_signers/Liz_1313.mov" TargetMode="External"/><Relationship Id="rId11997" Type="http://schemas.openxmlformats.org/officeDocument/2006/relationships/hyperlink" Target="http://csr.bu.edu/ftp/asl/asllvd/demos/verify_start_end_handshape_annotations//test_auto_move//signs_mov/1313.mov" TargetMode="External"/><Relationship Id="rId11998" Type="http://schemas.openxmlformats.org/officeDocument/2006/relationships/hyperlink" Target="http://csr.bu.edu/ftp/asl/asllvd/demos/verify_start_end_handshape_annotations//test_auto_move//signs_mov_separ_signers/Tyler_1313.mov" TargetMode="External"/><Relationship Id="rId11999" Type="http://schemas.openxmlformats.org/officeDocument/2006/relationships/hyperlink" Target="http://secrets.rutgers.edu:8080/data/asl-ftp/asllvd/demos/verify_start_end_handshape_annotations//test_auto_move//signs_mov/1313.mov" TargetMode="External"/><Relationship Id="rId12000" Type="http://schemas.openxmlformats.org/officeDocument/2006/relationships/hyperlink" Target="http://secrets.rutgers.edu:8080/data/asl-ftp/asllvd/demos/verify_start_end_handshape_annotations//test_auto_move//signs_mov_separ_signers/Tyler_1313.mov" TargetMode="External"/><Relationship Id="rId12001" Type="http://schemas.openxmlformats.org/officeDocument/2006/relationships/hyperlink" Target="http://csr.bu.edu/ftp/asl/asllvd/demos/verify_start_end_handshape_annotations//test_auto_move//signs_mov_separ_signers/Naomi_1313.mov" TargetMode="External"/><Relationship Id="rId12002" Type="http://schemas.openxmlformats.org/officeDocument/2006/relationships/hyperlink" Target="http://secrets.rutgers.edu:8080/data/asl-ftp/asllvd/demos/verify_start_end_handshape_annotations//test_auto_move//signs_mov_separ_signers/Naomi_1313.mov" TargetMode="External"/><Relationship Id="rId12003" Type="http://schemas.openxmlformats.org/officeDocument/2006/relationships/hyperlink" Target="http://csr.bu.edu/ftp/asl/asllvd/demos/verify_start_end_handshape_annotations//test_auto_move//signs_mov_separ_signers/Brady_1313.mov" TargetMode="External"/><Relationship Id="rId12004" Type="http://schemas.openxmlformats.org/officeDocument/2006/relationships/hyperlink" Target="http://secrets.rutgers.edu:8080/data/asl-ftp/asllvd/demos/verify_start_end_handshape_annotations//test_auto_move//signs_mov_separ_signers/Brady_1313.mov" TargetMode="External"/><Relationship Id="rId12005" Type="http://schemas.openxmlformats.org/officeDocument/2006/relationships/hyperlink" Target="http://csr.bu.edu/ftp/asl/asllvd/demos/verify_start_end_handshape_annotations//test_auto_move//signs_mov_separ_signers/Liz_15123.mov" TargetMode="External"/><Relationship Id="rId12006" Type="http://schemas.openxmlformats.org/officeDocument/2006/relationships/hyperlink" Target="http://secrets.rutgers.edu:8080/data/asl-ftp/asllvd/demos/verify_start_end_handshape_annotations//test_auto_move//signs_mov_separ_signers/Liz_15123.mov" TargetMode="External"/><Relationship Id="rId12007" Type="http://schemas.openxmlformats.org/officeDocument/2006/relationships/hyperlink" Target="http://csr.bu.edu/ftp/asl/asllvd/demos/verify_start_end_handshape_annotations//test_auto_move//signs_mov_separ_signers/Tyler_15123.mov" TargetMode="External"/><Relationship Id="rId12008" Type="http://schemas.openxmlformats.org/officeDocument/2006/relationships/hyperlink" Target="http://secrets.rutgers.edu:8080/data/asl-ftp/asllvd/demos/verify_start_end_handshape_annotations//test_auto_move//signs_mov_separ_signers/Tyler_15123.mov" TargetMode="External"/><Relationship Id="rId12009" Type="http://schemas.openxmlformats.org/officeDocument/2006/relationships/hyperlink" Target="http://csr.bu.edu/ftp/asl/asllvd/demos/verify_start_end_handshape_annotations//test_auto_move//signs_mov/15123_15124_merged.mov" TargetMode="External"/><Relationship Id="rId12010" Type="http://schemas.openxmlformats.org/officeDocument/2006/relationships/hyperlink" Target="http://csr.bu.edu/ftp/asl/asllvd/demos/verify_start_end_handshape_annotations//test_auto_move//signs_mov_separ_signers/Naomi_15123.mov" TargetMode="External"/><Relationship Id="rId12011" Type="http://schemas.openxmlformats.org/officeDocument/2006/relationships/hyperlink" Target="http://secrets.rutgers.edu:8080/data/asl-ftp/asllvd/demos/verify_start_end_handshape_annotations//test_auto_move//signs_mov/15123_15124_merged.mov" TargetMode="External"/><Relationship Id="rId12012" Type="http://schemas.openxmlformats.org/officeDocument/2006/relationships/hyperlink" Target="http://secrets.rutgers.edu:8080/data/asl-ftp/asllvd/demos/verify_start_end_handshape_annotations//test_auto_move//signs_mov_separ_signers/Naomi_15123.mov" TargetMode="External"/><Relationship Id="rId12013" Type="http://schemas.openxmlformats.org/officeDocument/2006/relationships/hyperlink" Target="http://csr.bu.edu/ftp/asl/asllvd/demos/verify_start_end_handshape_annotations//test_auto_move//signs_mov_separ_signers/Naomi_15124.mov" TargetMode="External"/><Relationship Id="rId12014" Type="http://schemas.openxmlformats.org/officeDocument/2006/relationships/hyperlink" Target="http://secrets.rutgers.edu:8080/data/asl-ftp/asllvd/demos/verify_start_end_handshape_annotations//test_auto_move//signs_mov_separ_signers/Naomi_15124.mov" TargetMode="External"/><Relationship Id="rId12015" Type="http://schemas.openxmlformats.org/officeDocument/2006/relationships/hyperlink" Target="http://csr.bu.edu/ftp/asl/asllvd/demos/verify_start_end_handshape_annotations//test_auto_move//signs_mov_separ_signers/Brady_15123.mov" TargetMode="External"/><Relationship Id="rId12016" Type="http://schemas.openxmlformats.org/officeDocument/2006/relationships/hyperlink" Target="http://secrets.rutgers.edu:8080/data/asl-ftp/asllvd/demos/verify_start_end_handshape_annotations//test_auto_move//signs_mov_separ_signers/Brady_15123.mov" TargetMode="External"/><Relationship Id="rId12017" Type="http://schemas.openxmlformats.org/officeDocument/2006/relationships/hyperlink" Target="http://csr.bu.edu/ftp/asl/asllvd/demos/verify_start_end_handshape_annotations//test_auto_move//signs_mov_separ_signers/Brady_15124.mov" TargetMode="External"/><Relationship Id="rId12018" Type="http://schemas.openxmlformats.org/officeDocument/2006/relationships/hyperlink" Target="http://secrets.rutgers.edu:8080/data/asl-ftp/asllvd/demos/verify_start_end_handshape_annotations//test_auto_move//signs_mov_separ_signers/Brady_15124.mov" TargetMode="External"/><Relationship Id="rId12019" Type="http://schemas.openxmlformats.org/officeDocument/2006/relationships/hyperlink" Target="http://csr.bu.edu/ftp/asl/asllvd/demos/verify_start_end_handshape_annotations//test_auto_move//signs_mov_separ_signers/Liz_1315.mov" TargetMode="External"/><Relationship Id="rId12020" Type="http://schemas.openxmlformats.org/officeDocument/2006/relationships/hyperlink" Target="http://secrets.rutgers.edu:8080/data/asl-ftp/asllvd/demos/verify_start_end_handshape_annotations//test_auto_move//signs_mov_separ_signers/Liz_1315.mov" TargetMode="External"/><Relationship Id="rId12021" Type="http://schemas.openxmlformats.org/officeDocument/2006/relationships/hyperlink" Target="http://csr.bu.edu/ftp/asl/asllvd/demos/verify_start_end_handshape_annotations//test_auto_move//signs_mov/1315.mov" TargetMode="External"/><Relationship Id="rId12022" Type="http://schemas.openxmlformats.org/officeDocument/2006/relationships/hyperlink" Target="http://csr.bu.edu/ftp/asl/asllvd/demos/verify_start_end_handshape_annotations//test_auto_move//signs_mov_separ_signers/Tyler_1315.mov" TargetMode="External"/><Relationship Id="rId12023" Type="http://schemas.openxmlformats.org/officeDocument/2006/relationships/hyperlink" Target="http://secrets.rutgers.edu:8080/data/asl-ftp/asllvd/demos/verify_start_end_handshape_annotations//test_auto_move//signs_mov/1315.mov" TargetMode="External"/><Relationship Id="rId12024" Type="http://schemas.openxmlformats.org/officeDocument/2006/relationships/hyperlink" Target="http://secrets.rutgers.edu:8080/data/asl-ftp/asllvd/demos/verify_start_end_handshape_annotations//test_auto_move//signs_mov_separ_signers/Tyler_1315.mov" TargetMode="External"/><Relationship Id="rId12025" Type="http://schemas.openxmlformats.org/officeDocument/2006/relationships/hyperlink" Target="http://csr.bu.edu/ftp/asl/asllvd/demos/verify_start_end_handshape_annotations//test_auto_move//signs_mov_separ_signers/Naomi_1315.mov" TargetMode="External"/><Relationship Id="rId12026" Type="http://schemas.openxmlformats.org/officeDocument/2006/relationships/hyperlink" Target="http://secrets.rutgers.edu:8080/data/asl-ftp/asllvd/demos/verify_start_end_handshape_annotations//test_auto_move//signs_mov_separ_signers/Naomi_1315.mov" TargetMode="External"/><Relationship Id="rId12027" Type="http://schemas.openxmlformats.org/officeDocument/2006/relationships/hyperlink" Target="http://csr.bu.edu/ftp/asl/asllvd/demos/verify_start_end_handshape_annotations//test_auto_move//signs_mov_separ_signers/Brady_1315.mov" TargetMode="External"/><Relationship Id="rId12028" Type="http://schemas.openxmlformats.org/officeDocument/2006/relationships/hyperlink" Target="http://secrets.rutgers.edu:8080/data/asl-ftp/asllvd/demos/verify_start_end_handshape_annotations//test_auto_move//signs_mov_separ_signers/Brady_1315.mov" TargetMode="External"/><Relationship Id="rId12029" Type="http://schemas.openxmlformats.org/officeDocument/2006/relationships/hyperlink" Target="http://csr.bu.edu/ftp/asl/asllvd/demos/verify_start_end_handshape_annotations//test_auto_move//signs_mov_separ_signers/Liz_1316.mov" TargetMode="External"/><Relationship Id="rId12030" Type="http://schemas.openxmlformats.org/officeDocument/2006/relationships/hyperlink" Target="http://secrets.rutgers.edu:8080/data/asl-ftp/asllvd/demos/verify_start_end_handshape_annotations//test_auto_move//signs_mov_separ_signers/Liz_1316.mov" TargetMode="External"/><Relationship Id="rId12031" Type="http://schemas.openxmlformats.org/officeDocument/2006/relationships/hyperlink" Target="http://csr.bu.edu/ftp/asl/asllvd/demos/verify_start_end_handshape_annotations//test_auto_move//signs_mov/1316.mov" TargetMode="External"/><Relationship Id="rId12032" Type="http://schemas.openxmlformats.org/officeDocument/2006/relationships/hyperlink" Target="http://csr.bu.edu/ftp/asl/asllvd/demos/verify_start_end_handshape_annotations//test_auto_move//signs_mov_separ_signers/Naomi_1316.mov" TargetMode="External"/><Relationship Id="rId12033" Type="http://schemas.openxmlformats.org/officeDocument/2006/relationships/hyperlink" Target="http://secrets.rutgers.edu:8080/data/asl-ftp/asllvd/demos/verify_start_end_handshape_annotations//test_auto_move//signs_mov/1316.mov" TargetMode="External"/><Relationship Id="rId12034" Type="http://schemas.openxmlformats.org/officeDocument/2006/relationships/hyperlink" Target="http://secrets.rutgers.edu:8080/data/asl-ftp/asllvd/demos/verify_start_end_handshape_annotations//test_auto_move//signs_mov_separ_signers/Naomi_1316.mov" TargetMode="External"/><Relationship Id="rId12035" Type="http://schemas.openxmlformats.org/officeDocument/2006/relationships/hyperlink" Target="http://csr.bu.edu/ftp/asl/asllvd/demos/verify_start_end_handshape_annotations//test_auto_move//signs_mov_separ_signers/Brady_1316.mov" TargetMode="External"/><Relationship Id="rId12036" Type="http://schemas.openxmlformats.org/officeDocument/2006/relationships/hyperlink" Target="http://secrets.rutgers.edu:8080/data/asl-ftp/asllvd/demos/verify_start_end_handshape_annotations//test_auto_move//signs_mov_separ_signers/Brady_1316.mov" TargetMode="External"/><Relationship Id="rId12037" Type="http://schemas.openxmlformats.org/officeDocument/2006/relationships/hyperlink" Target="http://csr.bu.edu/ftp/asl/asllvd/demos/verify_start_end_handshape_annotations//test_auto_move//signs_mov/3665.mov" TargetMode="External"/><Relationship Id="rId12038" Type="http://schemas.openxmlformats.org/officeDocument/2006/relationships/hyperlink" Target="http://csr.bu.edu/ftp/asl/asllvd/demos/verify_start_end_handshape_annotations//test_auto_move//signs_mov_separ_signers/Tyler_3665.mov" TargetMode="External"/><Relationship Id="rId12039" Type="http://schemas.openxmlformats.org/officeDocument/2006/relationships/hyperlink" Target="http://secrets.rutgers.edu:8080/data/asl-ftp/asllvd/demos/verify_start_end_handshape_annotations//test_auto_move//signs_mov/3665.mov" TargetMode="External"/><Relationship Id="rId12040" Type="http://schemas.openxmlformats.org/officeDocument/2006/relationships/hyperlink" Target="http://secrets.rutgers.edu:8080/data/asl-ftp/asllvd/demos/verify_start_end_handshape_annotations//test_auto_move//signs_mov_separ_signers/Tyler_3665.mov" TargetMode="External"/><Relationship Id="rId12041" Type="http://schemas.openxmlformats.org/officeDocument/2006/relationships/hyperlink" Target="http://csr.bu.edu/ftp/asl/asllvd/demos/verify_start_end_handshape_annotations//test_auto_move//signs_mov_separ_signers/Brady_3665.mov" TargetMode="External"/><Relationship Id="rId12042" Type="http://schemas.openxmlformats.org/officeDocument/2006/relationships/hyperlink" Target="http://secrets.rutgers.edu:8080/data/asl-ftp/asllvd/demos/verify_start_end_handshape_annotations//test_auto_move//signs_mov_separ_signers/Brady_3665.mov" TargetMode="External"/><Relationship Id="rId12043" Type="http://schemas.openxmlformats.org/officeDocument/2006/relationships/hyperlink" Target="http://csr.bu.edu/ftp/asl/asllvd/demos/verify_start_end_handshape_annotations//test_auto_move//signs_mov/5226.mov" TargetMode="External"/><Relationship Id="rId12044" Type="http://schemas.openxmlformats.org/officeDocument/2006/relationships/hyperlink" Target="http://csr.bu.edu/ftp/asl/asllvd/demos/verify_start_end_handshape_annotations//test_auto_move//signs_mov_separ_signers/Liz_5226.mov" TargetMode="External"/><Relationship Id="rId12045" Type="http://schemas.openxmlformats.org/officeDocument/2006/relationships/hyperlink" Target="http://secrets.rutgers.edu:8080/data/asl-ftp/asllvd/demos/verify_start_end_handshape_annotations//test_auto_move//signs_mov/5226.mov" TargetMode="External"/><Relationship Id="rId12046" Type="http://schemas.openxmlformats.org/officeDocument/2006/relationships/hyperlink" Target="http://secrets.rutgers.edu:8080/data/asl-ftp/asllvd/demos/verify_start_end_handshape_annotations//test_auto_move//signs_mov_separ_signers/Liz_5226.mov" TargetMode="External"/><Relationship Id="rId12047" Type="http://schemas.openxmlformats.org/officeDocument/2006/relationships/hyperlink" Target="http://csr.bu.edu/ftp/asl/asllvd/demos/verify_start_end_handshape_annotations//test_auto_move//signs_mov_separ_signers/Naomi_5226.mov" TargetMode="External"/><Relationship Id="rId12048" Type="http://schemas.openxmlformats.org/officeDocument/2006/relationships/hyperlink" Target="http://secrets.rutgers.edu:8080/data/asl-ftp/asllvd/demos/verify_start_end_handshape_annotations//test_auto_move//signs_mov_separ_signers/Naomi_5226.mov" TargetMode="External"/><Relationship Id="rId12049" Type="http://schemas.openxmlformats.org/officeDocument/2006/relationships/hyperlink" Target="http://csr.bu.edu/ftp/asl/asllvd/demos/verify_start_end_handshape_annotations//test_auto_move//signs_mov/5227.mov" TargetMode="External"/><Relationship Id="rId12050" Type="http://schemas.openxmlformats.org/officeDocument/2006/relationships/hyperlink" Target="http://csr.bu.edu/ftp/asl/asllvd/demos/verify_start_end_handshape_annotations//test_auto_move//signs_mov_separ_signers/Tyler_5227.mov" TargetMode="External"/><Relationship Id="rId12051" Type="http://schemas.openxmlformats.org/officeDocument/2006/relationships/hyperlink" Target="http://secrets.rutgers.edu:8080/data/asl-ftp/asllvd/demos/verify_start_end_handshape_annotations//test_auto_move//signs_mov/5227.mov" TargetMode="External"/><Relationship Id="rId12052" Type="http://schemas.openxmlformats.org/officeDocument/2006/relationships/hyperlink" Target="http://secrets.rutgers.edu:8080/data/asl-ftp/asllvd/demos/verify_start_end_handshape_annotations//test_auto_move//signs_mov_separ_signers/Tyler_5227.mov" TargetMode="External"/><Relationship Id="rId12053" Type="http://schemas.openxmlformats.org/officeDocument/2006/relationships/hyperlink" Target="http://csr.bu.edu/ftp/asl/asllvd/demos/verify_start_end_handshape_annotations//test_auto_move//signs_mov_separ_signers/Liz_1318.mov" TargetMode="External"/><Relationship Id="rId12054" Type="http://schemas.openxmlformats.org/officeDocument/2006/relationships/hyperlink" Target="http://secrets.rutgers.edu:8080/data/asl-ftp/asllvd/demos/verify_start_end_handshape_annotations//test_auto_move//signs_mov_separ_signers/Liz_1318.mov" TargetMode="External"/><Relationship Id="rId12055" Type="http://schemas.openxmlformats.org/officeDocument/2006/relationships/hyperlink" Target="http://csr.bu.edu/ftp/asl/asllvd/demos/verify_start_end_handshape_annotations//test_auto_move//signs_mov/1318.mov" TargetMode="External"/><Relationship Id="rId12056" Type="http://schemas.openxmlformats.org/officeDocument/2006/relationships/hyperlink" Target="http://csr.bu.edu/ftp/asl/asllvd/demos/verify_start_end_handshape_annotations//test_auto_move//signs_mov_separ_signers/Tyler_1318.mov" TargetMode="External"/><Relationship Id="rId12057" Type="http://schemas.openxmlformats.org/officeDocument/2006/relationships/hyperlink" Target="http://secrets.rutgers.edu:8080/data/asl-ftp/asllvd/demos/verify_start_end_handshape_annotations//test_auto_move//signs_mov/1318.mov" TargetMode="External"/><Relationship Id="rId12058" Type="http://schemas.openxmlformats.org/officeDocument/2006/relationships/hyperlink" Target="http://secrets.rutgers.edu:8080/data/asl-ftp/asllvd/demos/verify_start_end_handshape_annotations//test_auto_move//signs_mov_separ_signers/Tyler_1318.mov" TargetMode="External"/><Relationship Id="rId12059" Type="http://schemas.openxmlformats.org/officeDocument/2006/relationships/hyperlink" Target="http://csr.bu.edu/ftp/asl/asllvd/demos/verify_start_end_handshape_annotations//test_auto_move//signs_mov_separ_signers/Naomi_1318.mov" TargetMode="External"/><Relationship Id="rId12060" Type="http://schemas.openxmlformats.org/officeDocument/2006/relationships/hyperlink" Target="http://secrets.rutgers.edu:8080/data/asl-ftp/asllvd/demos/verify_start_end_handshape_annotations//test_auto_move//signs_mov_separ_signers/Naomi_1318.mov" TargetMode="External"/><Relationship Id="rId12061" Type="http://schemas.openxmlformats.org/officeDocument/2006/relationships/hyperlink" Target="http://csr.bu.edu/ftp/asl/asllvd/demos/verify_start_end_handshape_annotations//test_auto_move//signs_mov_separ_signers/Brady_1318.mov" TargetMode="External"/><Relationship Id="rId12062" Type="http://schemas.openxmlformats.org/officeDocument/2006/relationships/hyperlink" Target="http://secrets.rutgers.edu:8080/data/asl-ftp/asllvd/demos/verify_start_end_handshape_annotations//test_auto_move//signs_mov_separ_signers/Brady_1318.mov" TargetMode="External"/><Relationship Id="rId12063" Type="http://schemas.openxmlformats.org/officeDocument/2006/relationships/hyperlink" Target="http://csr.bu.edu/ftp/asl/asllvd/demos/verify_start_end_handshape_annotations//test_auto_move//signs_mov_separ_signers/Liz_1320.mov" TargetMode="External"/><Relationship Id="rId12064" Type="http://schemas.openxmlformats.org/officeDocument/2006/relationships/hyperlink" Target="http://secrets.rutgers.edu:8080/data/asl-ftp/asllvd/demos/verify_start_end_handshape_annotations//test_auto_move//signs_mov_separ_signers/Liz_1320.mov" TargetMode="External"/><Relationship Id="rId12065" Type="http://schemas.openxmlformats.org/officeDocument/2006/relationships/hyperlink" Target="http://csr.bu.edu/ftp/asl/asllvd/demos/verify_start_end_handshape_annotations//test_auto_move//signs_mov/1320.mov" TargetMode="External"/><Relationship Id="rId12066" Type="http://schemas.openxmlformats.org/officeDocument/2006/relationships/hyperlink" Target="http://csr.bu.edu/ftp/asl/asllvd/demos/verify_start_end_handshape_annotations//test_auto_move//signs_mov_separ_signers/Tyler_1320.mov" TargetMode="External"/><Relationship Id="rId12067" Type="http://schemas.openxmlformats.org/officeDocument/2006/relationships/hyperlink" Target="http://secrets.rutgers.edu:8080/data/asl-ftp/asllvd/demos/verify_start_end_handshape_annotations//test_auto_move//signs_mov/1320.mov" TargetMode="External"/><Relationship Id="rId12068" Type="http://schemas.openxmlformats.org/officeDocument/2006/relationships/hyperlink" Target="http://secrets.rutgers.edu:8080/data/asl-ftp/asllvd/demos/verify_start_end_handshape_annotations//test_auto_move//signs_mov_separ_signers/Tyler_1320.mov" TargetMode="External"/><Relationship Id="rId12069" Type="http://schemas.openxmlformats.org/officeDocument/2006/relationships/hyperlink" Target="http://csr.bu.edu/ftp/asl/asllvd/demos/verify_start_end_handshape_annotations//test_auto_move//signs_mov_separ_signers/Naomi_1320.mov" TargetMode="External"/><Relationship Id="rId12070" Type="http://schemas.openxmlformats.org/officeDocument/2006/relationships/hyperlink" Target="http://secrets.rutgers.edu:8080/data/asl-ftp/asllvd/demos/verify_start_end_handshape_annotations//test_auto_move//signs_mov_separ_signers/Naomi_1320.mov" TargetMode="External"/><Relationship Id="rId12071" Type="http://schemas.openxmlformats.org/officeDocument/2006/relationships/hyperlink" Target="http://csr.bu.edu/ftp/asl/asllvd/demos/verify_start_end_handshape_annotations//test_auto_move//signs_mov_separ_signers/Brady_1320.mov" TargetMode="External"/><Relationship Id="rId12072" Type="http://schemas.openxmlformats.org/officeDocument/2006/relationships/hyperlink" Target="http://secrets.rutgers.edu:8080/data/asl-ftp/asllvd/demos/verify_start_end_handshape_annotations//test_auto_move//signs_mov_separ_signers/Brady_1320.mov" TargetMode="External"/><Relationship Id="rId12073" Type="http://schemas.openxmlformats.org/officeDocument/2006/relationships/hyperlink" Target="http://csr.bu.edu/ftp/asl/asllvd/demos/verify_start_end_handshape_annotations//test_auto_move//signs_mov_separ_signers/Liz_1327.mov" TargetMode="External"/><Relationship Id="rId12074" Type="http://schemas.openxmlformats.org/officeDocument/2006/relationships/hyperlink" Target="http://secrets.rutgers.edu:8080/data/asl-ftp/asllvd/demos/verify_start_end_handshape_annotations//test_auto_move//signs_mov_separ_signers/Liz_1327.mov" TargetMode="External"/><Relationship Id="rId12075" Type="http://schemas.openxmlformats.org/officeDocument/2006/relationships/hyperlink" Target="http://csr.bu.edu/ftp/asl/asllvd/demos/verify_start_end_handshape_annotations//test_auto_move//signs_mov_separ_signers/Liz_16078.mov" TargetMode="External"/><Relationship Id="rId12076" Type="http://schemas.openxmlformats.org/officeDocument/2006/relationships/hyperlink" Target="http://secrets.rutgers.edu:8080/data/asl-ftp/asllvd/demos/verify_start_end_handshape_annotations//test_auto_move//signs_mov_separ_signers/Liz_16078.mov" TargetMode="External"/><Relationship Id="rId12077" Type="http://schemas.openxmlformats.org/officeDocument/2006/relationships/hyperlink" Target="http://csr.bu.edu/ftp/asl/asllvd/demos/verify_start_end_handshape_annotations//test_auto_move//signs_mov/1327_16078_merged.mov" TargetMode="External"/><Relationship Id="rId12078" Type="http://schemas.openxmlformats.org/officeDocument/2006/relationships/hyperlink" Target="http://csr.bu.edu/ftp/asl/asllvd/demos/verify_start_end_handshape_annotations//test_auto_move//signs_mov_separ_signers/Tyler_1327.mov" TargetMode="External"/><Relationship Id="rId12079" Type="http://schemas.openxmlformats.org/officeDocument/2006/relationships/hyperlink" Target="http://secrets.rutgers.edu:8080/data/asl-ftp/asllvd/demos/verify_start_end_handshape_annotations//test_auto_move//signs_mov/1327_16078_merged.mov" TargetMode="External"/><Relationship Id="rId12080" Type="http://schemas.openxmlformats.org/officeDocument/2006/relationships/hyperlink" Target="http://secrets.rutgers.edu:8080/data/asl-ftp/asllvd/demos/verify_start_end_handshape_annotations//test_auto_move//signs_mov_separ_signers/Tyler_1327.mov" TargetMode="External"/><Relationship Id="rId12081" Type="http://schemas.openxmlformats.org/officeDocument/2006/relationships/hyperlink" Target="http://csr.bu.edu/ftp/asl/asllvd/demos/verify_start_end_handshape_annotations//test_auto_move//signs_mov_separ_signers/Naomi_1327.mov" TargetMode="External"/><Relationship Id="rId12082" Type="http://schemas.openxmlformats.org/officeDocument/2006/relationships/hyperlink" Target="http://secrets.rutgers.edu:8080/data/asl-ftp/asllvd/demos/verify_start_end_handshape_annotations//test_auto_move//signs_mov_separ_signers/Naomi_1327.mov" TargetMode="External"/><Relationship Id="rId12083" Type="http://schemas.openxmlformats.org/officeDocument/2006/relationships/hyperlink" Target="http://csr.bu.edu/ftp/asl/asllvd/demos/verify_start_end_handshape_annotations//test_auto_move//signs_mov_separ_signers/Brady_1327.mov" TargetMode="External"/><Relationship Id="rId12084" Type="http://schemas.openxmlformats.org/officeDocument/2006/relationships/hyperlink" Target="http://secrets.rutgers.edu:8080/data/asl-ftp/asllvd/demos/verify_start_end_handshape_annotations//test_auto_move//signs_mov_separ_signers/Brady_1327.mov" TargetMode="External"/><Relationship Id="rId12085" Type="http://schemas.openxmlformats.org/officeDocument/2006/relationships/hyperlink" Target="http://csr.bu.edu/ftp/asl/asllvd/demos/verify_start_end_handshape_annotations//test_auto_move//signs_mov_separ_signers/Brady_16078.mov" TargetMode="External"/><Relationship Id="rId12086" Type="http://schemas.openxmlformats.org/officeDocument/2006/relationships/hyperlink" Target="http://secrets.rutgers.edu:8080/data/asl-ftp/asllvd/demos/verify_start_end_handshape_annotations//test_auto_move//signs_mov_separ_signers/Brady_16078.mov" TargetMode="External"/><Relationship Id="rId12087" Type="http://schemas.openxmlformats.org/officeDocument/2006/relationships/hyperlink" Target="http://csr.bu.edu/ftp/asl/asllvd/demos/verify_start_end_handshape_annotations//test_auto_move//signs_mov_separ_signers/Liz_1328.mov" TargetMode="External"/><Relationship Id="rId12088" Type="http://schemas.openxmlformats.org/officeDocument/2006/relationships/hyperlink" Target="http://secrets.rutgers.edu:8080/data/asl-ftp/asllvd/demos/verify_start_end_handshape_annotations//test_auto_move//signs_mov_separ_signers/Liz_1328.mov" TargetMode="External"/><Relationship Id="rId12089" Type="http://schemas.openxmlformats.org/officeDocument/2006/relationships/hyperlink" Target="http://csr.bu.edu/ftp/asl/asllvd/demos/verify_start_end_handshape_annotations//test_auto_move//signs_mov/1328.mov" TargetMode="External"/><Relationship Id="rId12090" Type="http://schemas.openxmlformats.org/officeDocument/2006/relationships/hyperlink" Target="http://csr.bu.edu/ftp/asl/asllvd/demos/verify_start_end_handshape_annotations//test_auto_move//signs_mov_separ_signers/Tyler_1328.mov" TargetMode="External"/><Relationship Id="rId12091" Type="http://schemas.openxmlformats.org/officeDocument/2006/relationships/hyperlink" Target="http://secrets.rutgers.edu:8080/data/asl-ftp/asllvd/demos/verify_start_end_handshape_annotations//test_auto_move//signs_mov/1328.mov" TargetMode="External"/><Relationship Id="rId12092" Type="http://schemas.openxmlformats.org/officeDocument/2006/relationships/hyperlink" Target="http://secrets.rutgers.edu:8080/data/asl-ftp/asllvd/demos/verify_start_end_handshape_annotations//test_auto_move//signs_mov_separ_signers/Tyler_1328.mov" TargetMode="External"/><Relationship Id="rId12093" Type="http://schemas.openxmlformats.org/officeDocument/2006/relationships/hyperlink" Target="http://csr.bu.edu/ftp/asl/asllvd/demos/verify_start_end_handshape_annotations//test_auto_move//signs_mov_separ_signers/Naomi_1328.mov" TargetMode="External"/><Relationship Id="rId12094" Type="http://schemas.openxmlformats.org/officeDocument/2006/relationships/hyperlink" Target="http://secrets.rutgers.edu:8080/data/asl-ftp/asllvd/demos/verify_start_end_handshape_annotations//test_auto_move//signs_mov_separ_signers/Naomi_1328.mov" TargetMode="External"/><Relationship Id="rId12095" Type="http://schemas.openxmlformats.org/officeDocument/2006/relationships/hyperlink" Target="http://csr.bu.edu/ftp/asl/asllvd/demos/verify_start_end_handshape_annotations//test_auto_move//signs_mov_separ_signers/Brady_1328.mov" TargetMode="External"/><Relationship Id="rId12096" Type="http://schemas.openxmlformats.org/officeDocument/2006/relationships/hyperlink" Target="http://secrets.rutgers.edu:8080/data/asl-ftp/asllvd/demos/verify_start_end_handshape_annotations//test_auto_move//signs_mov_separ_signers/Brady_1328.mov" TargetMode="External"/><Relationship Id="rId12097" Type="http://schemas.openxmlformats.org/officeDocument/2006/relationships/hyperlink" Target="http://csr.bu.edu/ftp/asl/asllvd/demos/verify_start_end_handshape_annotations//test_auto_move//signs_mov_separ_signers/Liz_1329.mov" TargetMode="External"/><Relationship Id="rId12098" Type="http://schemas.openxmlformats.org/officeDocument/2006/relationships/hyperlink" Target="http://secrets.rutgers.edu:8080/data/asl-ftp/asllvd/demos/verify_start_end_handshape_annotations//test_auto_move//signs_mov_separ_signers/Liz_1329.mov" TargetMode="External"/><Relationship Id="rId12099" Type="http://schemas.openxmlformats.org/officeDocument/2006/relationships/hyperlink" Target="http://csr.bu.edu/ftp/asl/asllvd/demos/verify_start_end_handshape_annotations//test_auto_move//signs_mov_separ_signers/Liz_3552.mov" TargetMode="External"/><Relationship Id="rId12100" Type="http://schemas.openxmlformats.org/officeDocument/2006/relationships/hyperlink" Target="http://secrets.rutgers.edu:8080/data/asl-ftp/asllvd/demos/verify_start_end_handshape_annotations//test_auto_move//signs_mov_separ_signers/Liz_3552.mov" TargetMode="External"/><Relationship Id="rId12101" Type="http://schemas.openxmlformats.org/officeDocument/2006/relationships/hyperlink" Target="http://csr.bu.edu/ftp/asl/asllvd/demos/verify_start_end_handshape_annotations//test_auto_move//signs_mov/1329_3552_merged.mov" TargetMode="External"/><Relationship Id="rId12102" Type="http://schemas.openxmlformats.org/officeDocument/2006/relationships/hyperlink" Target="http://csr.bu.edu/ftp/asl/asllvd/demos/verify_start_end_handshape_annotations//test_auto_move//signs_mov_separ_signers/Naomi_1329.mov" TargetMode="External"/><Relationship Id="rId12103" Type="http://schemas.openxmlformats.org/officeDocument/2006/relationships/hyperlink" Target="http://secrets.rutgers.edu:8080/data/asl-ftp/asllvd/demos/verify_start_end_handshape_annotations//test_auto_move//signs_mov/1329_3552_merged.mov" TargetMode="External"/><Relationship Id="rId12104" Type="http://schemas.openxmlformats.org/officeDocument/2006/relationships/hyperlink" Target="http://secrets.rutgers.edu:8080/data/asl-ftp/asllvd/demos/verify_start_end_handshape_annotations//test_auto_move//signs_mov_separ_signers/Naomi_1329.mov" TargetMode="External"/><Relationship Id="rId12105" Type="http://schemas.openxmlformats.org/officeDocument/2006/relationships/hyperlink" Target="http://csr.bu.edu/ftp/asl/asllvd/demos/verify_start_end_handshape_annotations//test_auto_move//signs_mov_separ_signers/Brady_1329.mov" TargetMode="External"/><Relationship Id="rId12106" Type="http://schemas.openxmlformats.org/officeDocument/2006/relationships/hyperlink" Target="http://secrets.rutgers.edu:8080/data/asl-ftp/asllvd/demos/verify_start_end_handshape_annotations//test_auto_move//signs_mov_separ_signers/Brady_1329.mov" TargetMode="External"/><Relationship Id="rId12107" Type="http://schemas.openxmlformats.org/officeDocument/2006/relationships/hyperlink" Target="http://csr.bu.edu/ftp/asl/asllvd/demos/verify_start_end_handshape_annotations//test_auto_move//signs_mov_separ_signers/Brady_3552.mov" TargetMode="External"/><Relationship Id="rId12108" Type="http://schemas.openxmlformats.org/officeDocument/2006/relationships/hyperlink" Target="http://secrets.rutgers.edu:8080/data/asl-ftp/asllvd/demos/verify_start_end_handshape_annotations//test_auto_move//signs_mov_separ_signers/Brady_3552.mov" TargetMode="External"/><Relationship Id="rId12109" Type="http://schemas.openxmlformats.org/officeDocument/2006/relationships/hyperlink" Target="http://csr.bu.edu/ftp/asl/asllvd/demos/verify_start_end_handshape_annotations//test_auto_move//signs_mov/5230.mov" TargetMode="External"/><Relationship Id="rId12110" Type="http://schemas.openxmlformats.org/officeDocument/2006/relationships/hyperlink" Target="http://csr.bu.edu/ftp/asl/asllvd/demos/verify_start_end_handshape_annotations//test_auto_move//signs_mov_separ_signers/Tyler_5230.mov" TargetMode="External"/><Relationship Id="rId12111" Type="http://schemas.openxmlformats.org/officeDocument/2006/relationships/hyperlink" Target="http://secrets.rutgers.edu:8080/data/asl-ftp/asllvd/demos/verify_start_end_handshape_annotations//test_auto_move//signs_mov/5230.mov" TargetMode="External"/><Relationship Id="rId12112" Type="http://schemas.openxmlformats.org/officeDocument/2006/relationships/hyperlink" Target="http://secrets.rutgers.edu:8080/data/asl-ftp/asllvd/demos/verify_start_end_handshape_annotations//test_auto_move//signs_mov_separ_signers/Tyler_5230.mov" TargetMode="External"/><Relationship Id="rId12113" Type="http://schemas.openxmlformats.org/officeDocument/2006/relationships/hyperlink" Target="http://csr.bu.edu/ftp/asl/asllvd/demos/verify_start_end_handshape_annotations//test_auto_move//signs_mov_separ_signers/Liz_1330.mov" TargetMode="External"/><Relationship Id="rId12114" Type="http://schemas.openxmlformats.org/officeDocument/2006/relationships/hyperlink" Target="http://secrets.rutgers.edu:8080/data/asl-ftp/asllvd/demos/verify_start_end_handshape_annotations//test_auto_move//signs_mov_separ_signers/Liz_1330.mov" TargetMode="External"/><Relationship Id="rId12115" Type="http://schemas.openxmlformats.org/officeDocument/2006/relationships/hyperlink" Target="http://csr.bu.edu/ftp/asl/asllvd/demos/verify_start_end_handshape_annotations//test_auto_move//signs_mov/1330.mov" TargetMode="External"/><Relationship Id="rId12116" Type="http://schemas.openxmlformats.org/officeDocument/2006/relationships/hyperlink" Target="http://csr.bu.edu/ftp/asl/asllvd/demos/verify_start_end_handshape_annotations//test_auto_move//signs_mov_separ_signers/Tyler_1330.mov" TargetMode="External"/><Relationship Id="rId12117" Type="http://schemas.openxmlformats.org/officeDocument/2006/relationships/hyperlink" Target="http://secrets.rutgers.edu:8080/data/asl-ftp/asllvd/demos/verify_start_end_handshape_annotations//test_auto_move//signs_mov/1330.mov" TargetMode="External"/><Relationship Id="rId12118" Type="http://schemas.openxmlformats.org/officeDocument/2006/relationships/hyperlink" Target="http://secrets.rutgers.edu:8080/data/asl-ftp/asllvd/demos/verify_start_end_handshape_annotations//test_auto_move//signs_mov_separ_signers/Tyler_1330.mov" TargetMode="External"/><Relationship Id="rId12119" Type="http://schemas.openxmlformats.org/officeDocument/2006/relationships/hyperlink" Target="http://csr.bu.edu/ftp/asl/asllvd/demos/verify_start_end_handshape_annotations//test_auto_move//signs_mov_separ_signers/Naomi_1330.mov" TargetMode="External"/><Relationship Id="rId12120" Type="http://schemas.openxmlformats.org/officeDocument/2006/relationships/hyperlink" Target="http://secrets.rutgers.edu:8080/data/asl-ftp/asllvd/demos/verify_start_end_handshape_annotations//test_auto_move//signs_mov_separ_signers/Naomi_1330.mov" TargetMode="External"/><Relationship Id="rId12121" Type="http://schemas.openxmlformats.org/officeDocument/2006/relationships/hyperlink" Target="http://csr.bu.edu/ftp/asl/asllvd/demos/verify_start_end_handshape_annotations//test_auto_move//signs_mov_separ_signers/Brady_1330.mov" TargetMode="External"/><Relationship Id="rId12122" Type="http://schemas.openxmlformats.org/officeDocument/2006/relationships/hyperlink" Target="http://secrets.rutgers.edu:8080/data/asl-ftp/asllvd/demos/verify_start_end_handshape_annotations//test_auto_move//signs_mov_separ_signers/Brady_1330.mov" TargetMode="External"/><Relationship Id="rId12123" Type="http://schemas.openxmlformats.org/officeDocument/2006/relationships/hyperlink" Target="http://csr.bu.edu/ftp/asl/asllvd/demos/verify_start_end_handshape_annotations//test_auto_move//signs_mov_separ_signers/Liz_1331.mov" TargetMode="External"/><Relationship Id="rId12124" Type="http://schemas.openxmlformats.org/officeDocument/2006/relationships/hyperlink" Target="http://secrets.rutgers.edu:8080/data/asl-ftp/asllvd/demos/verify_start_end_handshape_annotations//test_auto_move//signs_mov_separ_signers/Liz_1331.mov" TargetMode="External"/><Relationship Id="rId12125" Type="http://schemas.openxmlformats.org/officeDocument/2006/relationships/hyperlink" Target="http://csr.bu.edu/ftp/asl/asllvd/demos/verify_start_end_handshape_annotations//test_auto_move//signs_mov/1331_3880_merged.mov" TargetMode="External"/><Relationship Id="rId12126" Type="http://schemas.openxmlformats.org/officeDocument/2006/relationships/hyperlink" Target="http://csr.bu.edu/ftp/asl/asllvd/demos/verify_start_end_handshape_annotations//test_auto_move//signs_mov_separ_signers/Brady_1331.mov" TargetMode="External"/><Relationship Id="rId12127" Type="http://schemas.openxmlformats.org/officeDocument/2006/relationships/hyperlink" Target="http://secrets.rutgers.edu:8080/data/asl-ftp/asllvd/demos/verify_start_end_handshape_annotations//test_auto_move//signs_mov/1331_3880_merged.mov" TargetMode="External"/><Relationship Id="rId12128" Type="http://schemas.openxmlformats.org/officeDocument/2006/relationships/hyperlink" Target="http://secrets.rutgers.edu:8080/data/asl-ftp/asllvd/demos/verify_start_end_handshape_annotations//test_auto_move//signs_mov_separ_signers/Brady_1331.mov" TargetMode="External"/><Relationship Id="rId12129" Type="http://schemas.openxmlformats.org/officeDocument/2006/relationships/hyperlink" Target="http://csr.bu.edu/ftp/asl/asllvd/demos/verify_start_end_handshape_annotations//test_auto_move//signs_mov_separ_signers/Brady_3880.mov" TargetMode="External"/><Relationship Id="rId12130" Type="http://schemas.openxmlformats.org/officeDocument/2006/relationships/hyperlink" Target="http://secrets.rutgers.edu:8080/data/asl-ftp/asllvd/demos/verify_start_end_handshape_annotations//test_auto_move//signs_mov_separ_signers/Brady_3880.mov" TargetMode="External"/><Relationship Id="rId12131" Type="http://schemas.openxmlformats.org/officeDocument/2006/relationships/hyperlink" Target="http://csr.bu.edu/ftp/asl/asllvd/demos/verify_start_end_handshape_annotations//test_auto_move//signs_mov_separ_signers/Liz_5231.mov" TargetMode="External"/><Relationship Id="rId12132" Type="http://schemas.openxmlformats.org/officeDocument/2006/relationships/hyperlink" Target="http://secrets.rutgers.edu:8080/data/asl-ftp/asllvd/demos/verify_start_end_handshape_annotations//test_auto_move//signs_mov_separ_signers/Liz_5231.mov" TargetMode="External"/><Relationship Id="rId12133" Type="http://schemas.openxmlformats.org/officeDocument/2006/relationships/hyperlink" Target="http://csr.bu.edu/ftp/asl/asllvd/demos/verify_start_end_handshape_annotations//test_auto_move//signs_mov/5231.mov" TargetMode="External"/><Relationship Id="rId12134" Type="http://schemas.openxmlformats.org/officeDocument/2006/relationships/hyperlink" Target="http://csr.bu.edu/ftp/asl/asllvd/demos/verify_start_end_handshape_annotations//test_auto_move//signs_mov_separ_signers/Tyler_5231.mov" TargetMode="External"/><Relationship Id="rId12135" Type="http://schemas.openxmlformats.org/officeDocument/2006/relationships/hyperlink" Target="http://secrets.rutgers.edu:8080/data/asl-ftp/asllvd/demos/verify_start_end_handshape_annotations//test_auto_move//signs_mov/5231.mov" TargetMode="External"/><Relationship Id="rId12136" Type="http://schemas.openxmlformats.org/officeDocument/2006/relationships/hyperlink" Target="http://secrets.rutgers.edu:8080/data/asl-ftp/asllvd/demos/verify_start_end_handshape_annotations//test_auto_move//signs_mov_separ_signers/Tyler_5231.mov" TargetMode="External"/><Relationship Id="rId12137" Type="http://schemas.openxmlformats.org/officeDocument/2006/relationships/hyperlink" Target="http://csr.bu.edu/ftp/asl/asllvd/demos/verify_start_end_handshape_annotations//test_auto_move//signs_mov_separ_signers/Naomi_5231.mov" TargetMode="External"/><Relationship Id="rId12138" Type="http://schemas.openxmlformats.org/officeDocument/2006/relationships/hyperlink" Target="http://secrets.rutgers.edu:8080/data/asl-ftp/asllvd/demos/verify_start_end_handshape_annotations//test_auto_move//signs_mov_separ_signers/Naomi_5231.mov" TargetMode="External"/><Relationship Id="rId12139" Type="http://schemas.openxmlformats.org/officeDocument/2006/relationships/hyperlink" Target="http://csr.bu.edu/ftp/asl/asllvd/demos/verify_start_end_handshape_annotations//test_auto_move//signs_mov_separ_signers/Liz_1333.mov" TargetMode="External"/><Relationship Id="rId12140" Type="http://schemas.openxmlformats.org/officeDocument/2006/relationships/hyperlink" Target="http://secrets.rutgers.edu:8080/data/asl-ftp/asllvd/demos/verify_start_end_handshape_annotations//test_auto_move//signs_mov_separ_signers/Liz_1333.mov" TargetMode="External"/><Relationship Id="rId12141" Type="http://schemas.openxmlformats.org/officeDocument/2006/relationships/hyperlink" Target="http://csr.bu.edu/ftp/asl/asllvd/demos/verify_start_end_handshape_annotations//test_auto_move//signs_mov/1333.mov" TargetMode="External"/><Relationship Id="rId12142" Type="http://schemas.openxmlformats.org/officeDocument/2006/relationships/hyperlink" Target="http://csr.bu.edu/ftp/asl/asllvd/demos/verify_start_end_handshape_annotations//test_auto_move//signs_mov_separ_signers/Tyler_1333.mov" TargetMode="External"/><Relationship Id="rId12143" Type="http://schemas.openxmlformats.org/officeDocument/2006/relationships/hyperlink" Target="http://secrets.rutgers.edu:8080/data/asl-ftp/asllvd/demos/verify_start_end_handshape_annotations//test_auto_move//signs_mov/1333.mov" TargetMode="External"/><Relationship Id="rId12144" Type="http://schemas.openxmlformats.org/officeDocument/2006/relationships/hyperlink" Target="http://secrets.rutgers.edu:8080/data/asl-ftp/asllvd/demos/verify_start_end_handshape_annotations//test_auto_move//signs_mov_separ_signers/Tyler_1333.mov" TargetMode="External"/><Relationship Id="rId12145" Type="http://schemas.openxmlformats.org/officeDocument/2006/relationships/hyperlink" Target="http://csr.bu.edu/ftp/asl/asllvd/demos/verify_start_end_handshape_annotations//test_auto_move//signs_mov_separ_signers/Naomi_1333.mov" TargetMode="External"/><Relationship Id="rId12146" Type="http://schemas.openxmlformats.org/officeDocument/2006/relationships/hyperlink" Target="http://secrets.rutgers.edu:8080/data/asl-ftp/asllvd/demos/verify_start_end_handshape_annotations//test_auto_move//signs_mov_separ_signers/Naomi_1333.mov" TargetMode="External"/><Relationship Id="rId12147" Type="http://schemas.openxmlformats.org/officeDocument/2006/relationships/hyperlink" Target="http://csr.bu.edu/ftp/asl/asllvd/demos/verify_start_end_handshape_annotations//test_auto_move//signs_mov_separ_signers/Brady_1333.mov" TargetMode="External"/><Relationship Id="rId12148" Type="http://schemas.openxmlformats.org/officeDocument/2006/relationships/hyperlink" Target="http://secrets.rutgers.edu:8080/data/asl-ftp/asllvd/demos/verify_start_end_handshape_annotations//test_auto_move//signs_mov_separ_signers/Brady_1333.mov" TargetMode="External"/><Relationship Id="rId12149" Type="http://schemas.openxmlformats.org/officeDocument/2006/relationships/hyperlink" Target="http://csr.bu.edu/ftp/asl/asllvd/demos/verify_start_end_handshape_annotations//test_auto_move//signs_mov_separ_signers/Liz_1335.mov" TargetMode="External"/><Relationship Id="rId12150" Type="http://schemas.openxmlformats.org/officeDocument/2006/relationships/hyperlink" Target="http://secrets.rutgers.edu:8080/data/asl-ftp/asllvd/demos/verify_start_end_handshape_annotations//test_auto_move//signs_mov_separ_signers/Liz_1335.mov" TargetMode="External"/><Relationship Id="rId12151" Type="http://schemas.openxmlformats.org/officeDocument/2006/relationships/hyperlink" Target="http://csr.bu.edu/ftp/asl/asllvd/demos/verify_start_end_handshape_annotations//test_auto_move//signs_mov/1335.mov" TargetMode="External"/><Relationship Id="rId12152" Type="http://schemas.openxmlformats.org/officeDocument/2006/relationships/hyperlink" Target="http://csr.bu.edu/ftp/asl/asllvd/demos/verify_start_end_handshape_annotations//test_auto_move//signs_mov_separ_signers/Tyler_1335.mov" TargetMode="External"/><Relationship Id="rId12153" Type="http://schemas.openxmlformats.org/officeDocument/2006/relationships/hyperlink" Target="http://secrets.rutgers.edu:8080/data/asl-ftp/asllvd/demos/verify_start_end_handshape_annotations//test_auto_move//signs_mov/1335.mov" TargetMode="External"/><Relationship Id="rId12154" Type="http://schemas.openxmlformats.org/officeDocument/2006/relationships/hyperlink" Target="http://secrets.rutgers.edu:8080/data/asl-ftp/asllvd/demos/verify_start_end_handshape_annotations//test_auto_move//signs_mov_separ_signers/Tyler_1335.mov" TargetMode="External"/><Relationship Id="rId12155" Type="http://schemas.openxmlformats.org/officeDocument/2006/relationships/hyperlink" Target="http://csr.bu.edu/ftp/asl/asllvd/demos/verify_start_end_handshape_annotations//test_auto_move//signs_mov_separ_signers/Naomi_1335.mov" TargetMode="External"/><Relationship Id="rId12156" Type="http://schemas.openxmlformats.org/officeDocument/2006/relationships/hyperlink" Target="http://secrets.rutgers.edu:8080/data/asl-ftp/asllvd/demos/verify_start_end_handshape_annotations//test_auto_move//signs_mov_separ_signers/Naomi_1335.mov" TargetMode="External"/><Relationship Id="rId12157" Type="http://schemas.openxmlformats.org/officeDocument/2006/relationships/hyperlink" Target="http://csr.bu.edu/ftp/asl/asllvd/demos/verify_start_end_handshape_annotations//test_auto_move//signs_mov_separ_signers/Brady_1335.mov" TargetMode="External"/><Relationship Id="rId12158" Type="http://schemas.openxmlformats.org/officeDocument/2006/relationships/hyperlink" Target="http://secrets.rutgers.edu:8080/data/asl-ftp/asllvd/demos/verify_start_end_handshape_annotations//test_auto_move//signs_mov_separ_signers/Brady_1335.mov" TargetMode="External"/><Relationship Id="rId12159" Type="http://schemas.openxmlformats.org/officeDocument/2006/relationships/hyperlink" Target="http://csr.bu.edu/ftp/asl/asllvd/demos/verify_start_end_handshape_annotations//test_auto_move//signs_mov/15655.mov" TargetMode="External"/><Relationship Id="rId12160" Type="http://schemas.openxmlformats.org/officeDocument/2006/relationships/hyperlink" Target="http://csr.bu.edu/ftp/asl/asllvd/demos/verify_start_end_handshape_annotations//test_auto_move//signs_mov_separ_signers/Liz_15655.mov" TargetMode="External"/><Relationship Id="rId12161" Type="http://schemas.openxmlformats.org/officeDocument/2006/relationships/hyperlink" Target="http://secrets.rutgers.edu:8080/data/asl-ftp/asllvd/demos/verify_start_end_handshape_annotations//test_auto_move//signs_mov/15655.mov" TargetMode="External"/><Relationship Id="rId12162" Type="http://schemas.openxmlformats.org/officeDocument/2006/relationships/hyperlink" Target="http://secrets.rutgers.edu:8080/data/asl-ftp/asllvd/demos/verify_start_end_handshape_annotations//test_auto_move//signs_mov_separ_signers/Liz_15655.mov" TargetMode="External"/><Relationship Id="rId12163" Type="http://schemas.openxmlformats.org/officeDocument/2006/relationships/hyperlink" Target="http://csr.bu.edu/ftp/asl/asllvd/demos/verify_start_end_handshape_annotations//test_auto_move//signs_mov_separ_signers/Brady_15655.mov" TargetMode="External"/><Relationship Id="rId12164" Type="http://schemas.openxmlformats.org/officeDocument/2006/relationships/hyperlink" Target="http://secrets.rutgers.edu:8080/data/asl-ftp/asllvd/demos/verify_start_end_handshape_annotations//test_auto_move//signs_mov_separ_signers/Brady_15655.mov" TargetMode="External"/><Relationship Id="rId12165" Type="http://schemas.openxmlformats.org/officeDocument/2006/relationships/hyperlink" Target="http://csr.bu.edu/ftp/asl/asllvd/demos/verify_start_end_handshape_annotations//test_auto_move//signs_mov/15664.mov" TargetMode="External"/><Relationship Id="rId12166" Type="http://schemas.openxmlformats.org/officeDocument/2006/relationships/hyperlink" Target="http://csr.bu.edu/ftp/asl/asllvd/demos/verify_start_end_handshape_annotations//test_auto_move//signs_mov_separ_signers/Liz_15664.mov" TargetMode="External"/><Relationship Id="rId12167" Type="http://schemas.openxmlformats.org/officeDocument/2006/relationships/hyperlink" Target="http://secrets.rutgers.edu:8080/data/asl-ftp/asllvd/demos/verify_start_end_handshape_annotations//test_auto_move//signs_mov/15664.mov" TargetMode="External"/><Relationship Id="rId12168" Type="http://schemas.openxmlformats.org/officeDocument/2006/relationships/hyperlink" Target="http://secrets.rutgers.edu:8080/data/asl-ftp/asllvd/demos/verify_start_end_handshape_annotations//test_auto_move//signs_mov_separ_signers/Liz_15664.mov" TargetMode="External"/><Relationship Id="rId12169" Type="http://schemas.openxmlformats.org/officeDocument/2006/relationships/hyperlink" Target="http://csr.bu.edu/ftp/asl/asllvd/demos/verify_start_end_handshape_annotations//test_auto_move//signs_mov_separ_signers/Brady_15664.mov" TargetMode="External"/><Relationship Id="rId12170" Type="http://schemas.openxmlformats.org/officeDocument/2006/relationships/hyperlink" Target="http://secrets.rutgers.edu:8080/data/asl-ftp/asllvd/demos/verify_start_end_handshape_annotations//test_auto_move//signs_mov_separ_signers/Brady_15664.mov" TargetMode="External"/><Relationship Id="rId12171" Type="http://schemas.openxmlformats.org/officeDocument/2006/relationships/hyperlink" Target="http://csr.bu.edu/ftp/asl/asllvd/demos/verify_start_end_handshape_annotations//test_auto_move//signs_mov/15665.mov" TargetMode="External"/><Relationship Id="rId12172" Type="http://schemas.openxmlformats.org/officeDocument/2006/relationships/hyperlink" Target="http://csr.bu.edu/ftp/asl/asllvd/demos/verify_start_end_handshape_annotations//test_auto_move//signs_mov_separ_signers/Liz_15665.mov" TargetMode="External"/><Relationship Id="rId12173" Type="http://schemas.openxmlformats.org/officeDocument/2006/relationships/hyperlink" Target="http://secrets.rutgers.edu:8080/data/asl-ftp/asllvd/demos/verify_start_end_handshape_annotations//test_auto_move//signs_mov/15665.mov" TargetMode="External"/><Relationship Id="rId12174" Type="http://schemas.openxmlformats.org/officeDocument/2006/relationships/hyperlink" Target="http://secrets.rutgers.edu:8080/data/asl-ftp/asllvd/demos/verify_start_end_handshape_annotations//test_auto_move//signs_mov_separ_signers/Liz_15665.mov" TargetMode="External"/><Relationship Id="rId12175" Type="http://schemas.openxmlformats.org/officeDocument/2006/relationships/hyperlink" Target="http://csr.bu.edu/ftp/asl/asllvd/demos/verify_start_end_handshape_annotations//test_auto_move//signs_mov_separ_signers/Brady_15665.mov" TargetMode="External"/><Relationship Id="rId12176" Type="http://schemas.openxmlformats.org/officeDocument/2006/relationships/hyperlink" Target="http://secrets.rutgers.edu:8080/data/asl-ftp/asllvd/demos/verify_start_end_handshape_annotations//test_auto_move//signs_mov_separ_signers/Brady_15665.mov" TargetMode="External"/><Relationship Id="rId12177" Type="http://schemas.openxmlformats.org/officeDocument/2006/relationships/hyperlink" Target="http://csr.bu.edu/ftp/asl/asllvd/demos/verify_start_end_handshape_annotations//test_auto_move//signs_mov_separ_signers/Liz_15667.mov" TargetMode="External"/><Relationship Id="rId12178" Type="http://schemas.openxmlformats.org/officeDocument/2006/relationships/hyperlink" Target="http://secrets.rutgers.edu:8080/data/asl-ftp/asllvd/demos/verify_start_end_handshape_annotations//test_auto_move//signs_mov_separ_signers/Liz_15667.mov" TargetMode="External"/><Relationship Id="rId12179" Type="http://schemas.openxmlformats.org/officeDocument/2006/relationships/hyperlink" Target="http://csr.bu.edu/ftp/asl/asllvd/demos/verify_start_end_handshape_annotations//test_auto_move//signs_mov/15667.mov" TargetMode="External"/><Relationship Id="rId12180" Type="http://schemas.openxmlformats.org/officeDocument/2006/relationships/hyperlink" Target="http://csr.bu.edu/ftp/asl/asllvd/demos/verify_start_end_handshape_annotations//test_auto_move//signs_mov_separ_signers/Tyler_15667.mov" TargetMode="External"/><Relationship Id="rId12181" Type="http://schemas.openxmlformats.org/officeDocument/2006/relationships/hyperlink" Target="http://secrets.rutgers.edu:8080/data/asl-ftp/asllvd/demos/verify_start_end_handshape_annotations//test_auto_move//signs_mov/15667.mov" TargetMode="External"/><Relationship Id="rId12182" Type="http://schemas.openxmlformats.org/officeDocument/2006/relationships/hyperlink" Target="http://secrets.rutgers.edu:8080/data/asl-ftp/asllvd/demos/verify_start_end_handshape_annotations//test_auto_move//signs_mov_separ_signers/Tyler_15667.mov" TargetMode="External"/><Relationship Id="rId12183" Type="http://schemas.openxmlformats.org/officeDocument/2006/relationships/hyperlink" Target="http://csr.bu.edu/ftp/asl/asllvd/demos/verify_start_end_handshape_annotations//test_auto_move//signs_mov_separ_signers/Naomi_15667.mov" TargetMode="External"/><Relationship Id="rId12184" Type="http://schemas.openxmlformats.org/officeDocument/2006/relationships/hyperlink" Target="http://secrets.rutgers.edu:8080/data/asl-ftp/asllvd/demos/verify_start_end_handshape_annotations//test_auto_move//signs_mov_separ_signers/Naomi_15667.mov" TargetMode="External"/><Relationship Id="rId12185" Type="http://schemas.openxmlformats.org/officeDocument/2006/relationships/hyperlink" Target="http://csr.bu.edu/ftp/asl/asllvd/demos/verify_start_end_handshape_annotations//test_auto_move//signs_mov_separ_signers/Brady_15667.mov" TargetMode="External"/><Relationship Id="rId12186" Type="http://schemas.openxmlformats.org/officeDocument/2006/relationships/hyperlink" Target="http://secrets.rutgers.edu:8080/data/asl-ftp/asllvd/demos/verify_start_end_handshape_annotations//test_auto_move//signs_mov_separ_signers/Brady_15667.mov" TargetMode="External"/><Relationship Id="rId12187" Type="http://schemas.openxmlformats.org/officeDocument/2006/relationships/hyperlink" Target="http://csr.bu.edu/ftp/asl/asllvd/demos/verify_start_end_handshape_annotations//test_auto_move//signs_mov_separ_signers/Liz_15676.mov" TargetMode="External"/><Relationship Id="rId12188" Type="http://schemas.openxmlformats.org/officeDocument/2006/relationships/hyperlink" Target="http://secrets.rutgers.edu:8080/data/asl-ftp/asllvd/demos/verify_start_end_handshape_annotations//test_auto_move//signs_mov_separ_signers/Liz_15676.mov" TargetMode="External"/><Relationship Id="rId12189" Type="http://schemas.openxmlformats.org/officeDocument/2006/relationships/hyperlink" Target="http://csr.bu.edu/ftp/asl/asllvd/demos/verify_start_end_handshape_annotations//test_auto_move//signs_mov/15676.mov" TargetMode="External"/><Relationship Id="rId12190" Type="http://schemas.openxmlformats.org/officeDocument/2006/relationships/hyperlink" Target="http://csr.bu.edu/ftp/asl/asllvd/demos/verify_start_end_handshape_annotations//test_auto_move//signs_mov_separ_signers/Naomi_15676.mov" TargetMode="External"/><Relationship Id="rId12191" Type="http://schemas.openxmlformats.org/officeDocument/2006/relationships/hyperlink" Target="http://secrets.rutgers.edu:8080/data/asl-ftp/asllvd/demos/verify_start_end_handshape_annotations//test_auto_move//signs_mov/15676.mov" TargetMode="External"/><Relationship Id="rId12192" Type="http://schemas.openxmlformats.org/officeDocument/2006/relationships/hyperlink" Target="http://secrets.rutgers.edu:8080/data/asl-ftp/asllvd/demos/verify_start_end_handshape_annotations//test_auto_move//signs_mov_separ_signers/Naomi_15676.mov" TargetMode="External"/><Relationship Id="rId12193" Type="http://schemas.openxmlformats.org/officeDocument/2006/relationships/hyperlink" Target="http://csr.bu.edu/ftp/asl/asllvd/demos/verify_start_end_handshape_annotations//test_auto_move//signs_mov_separ_signers/Brady_15676.mov" TargetMode="External"/><Relationship Id="rId12194" Type="http://schemas.openxmlformats.org/officeDocument/2006/relationships/hyperlink" Target="http://secrets.rutgers.edu:8080/data/asl-ftp/asllvd/demos/verify_start_end_handshape_annotations//test_auto_move//signs_mov_separ_signers/Brady_15676.mov" TargetMode="External"/><Relationship Id="rId12195" Type="http://schemas.openxmlformats.org/officeDocument/2006/relationships/hyperlink" Target="http://csr.bu.edu/ftp/asl/asllvd/demos/verify_start_end_handshape_annotations//test_auto_move//signs_mov/15680.mov" TargetMode="External"/><Relationship Id="rId12196" Type="http://schemas.openxmlformats.org/officeDocument/2006/relationships/hyperlink" Target="http://csr.bu.edu/ftp/asl/asllvd/demos/verify_start_end_handshape_annotations//test_auto_move//signs_mov_separ_signers/Tyler_15680.mov" TargetMode="External"/><Relationship Id="rId12197" Type="http://schemas.openxmlformats.org/officeDocument/2006/relationships/hyperlink" Target="http://secrets.rutgers.edu:8080/data/asl-ftp/asllvd/demos/verify_start_end_handshape_annotations//test_auto_move//signs_mov/15680.mov" TargetMode="External"/><Relationship Id="rId12198" Type="http://schemas.openxmlformats.org/officeDocument/2006/relationships/hyperlink" Target="http://secrets.rutgers.edu:8080/data/asl-ftp/asllvd/demos/verify_start_end_handshape_annotations//test_auto_move//signs_mov_separ_signers/Tyler_15680.mov" TargetMode="External"/><Relationship Id="rId12199" Type="http://schemas.openxmlformats.org/officeDocument/2006/relationships/hyperlink" Target="http://csr.bu.edu/ftp/asl/asllvd/demos/verify_start_end_handshape_annotations//test_auto_move//signs_mov_separ_signers/Brady_15680.mov" TargetMode="External"/><Relationship Id="rId12200" Type="http://schemas.openxmlformats.org/officeDocument/2006/relationships/hyperlink" Target="http://secrets.rutgers.edu:8080/data/asl-ftp/asllvd/demos/verify_start_end_handshape_annotations//test_auto_move//signs_mov_separ_signers/Brady_15680.mov" TargetMode="External"/><Relationship Id="rId12201" Type="http://schemas.openxmlformats.org/officeDocument/2006/relationships/hyperlink" Target="http://csr.bu.edu/ftp/asl/asllvd/demos/verify_start_end_handshape_annotations//test_auto_move//signs_mov/15814.mov" TargetMode="External"/><Relationship Id="rId12202" Type="http://schemas.openxmlformats.org/officeDocument/2006/relationships/hyperlink" Target="http://csr.bu.edu/ftp/asl/asllvd/demos/verify_start_end_handshape_annotations//test_auto_move//signs_mov_separ_signers/Liz_15814.mov" TargetMode="External"/><Relationship Id="rId12203" Type="http://schemas.openxmlformats.org/officeDocument/2006/relationships/hyperlink" Target="http://secrets.rutgers.edu:8080/data/asl-ftp/asllvd/demos/verify_start_end_handshape_annotations//test_auto_move//signs_mov/15814.mov" TargetMode="External"/><Relationship Id="rId12204" Type="http://schemas.openxmlformats.org/officeDocument/2006/relationships/hyperlink" Target="http://secrets.rutgers.edu:8080/data/asl-ftp/asllvd/demos/verify_start_end_handshape_annotations//test_auto_move//signs_mov_separ_signers/Liz_15814.mov" TargetMode="External"/><Relationship Id="rId12205" Type="http://schemas.openxmlformats.org/officeDocument/2006/relationships/hyperlink" Target="http://csr.bu.edu/ftp/asl/asllvd/demos/verify_start_end_handshape_annotations//test_auto_move//signs_mov_separ_signers/Brady_15814.mov" TargetMode="External"/><Relationship Id="rId12206" Type="http://schemas.openxmlformats.org/officeDocument/2006/relationships/hyperlink" Target="http://secrets.rutgers.edu:8080/data/asl-ftp/asllvd/demos/verify_start_end_handshape_annotations//test_auto_move//signs_mov_separ_signers/Brady_15814.mov" TargetMode="External"/><Relationship Id="rId12207" Type="http://schemas.openxmlformats.org/officeDocument/2006/relationships/hyperlink" Target="http://csr.bu.edu/ftp/asl/asllvd/demos/verify_start_end_handshape_annotations//test_auto_move//signs_mov_separ_signers/Liz_1337.mov" TargetMode="External"/><Relationship Id="rId12208" Type="http://schemas.openxmlformats.org/officeDocument/2006/relationships/hyperlink" Target="http://secrets.rutgers.edu:8080/data/asl-ftp/asllvd/demos/verify_start_end_handshape_annotations//test_auto_move//signs_mov_separ_signers/Liz_1337.mov" TargetMode="External"/><Relationship Id="rId12209" Type="http://schemas.openxmlformats.org/officeDocument/2006/relationships/hyperlink" Target="http://csr.bu.edu/ftp/asl/asllvd/demos/verify_start_end_handshape_annotations//test_auto_move//signs_mov/1337.mov" TargetMode="External"/><Relationship Id="rId12210" Type="http://schemas.openxmlformats.org/officeDocument/2006/relationships/hyperlink" Target="http://csr.bu.edu/ftp/asl/asllvd/demos/verify_start_end_handshape_annotations//test_auto_move//signs_mov_separ_signers/Tyler_1337.mov" TargetMode="External"/><Relationship Id="rId12211" Type="http://schemas.openxmlformats.org/officeDocument/2006/relationships/hyperlink" Target="http://secrets.rutgers.edu:8080/data/asl-ftp/asllvd/demos/verify_start_end_handshape_annotations//test_auto_move//signs_mov/1337.mov" TargetMode="External"/><Relationship Id="rId12212" Type="http://schemas.openxmlformats.org/officeDocument/2006/relationships/hyperlink" Target="http://secrets.rutgers.edu:8080/data/asl-ftp/asllvd/demos/verify_start_end_handshape_annotations//test_auto_move//signs_mov_separ_signers/Tyler_1337.mov" TargetMode="External"/><Relationship Id="rId12213" Type="http://schemas.openxmlformats.org/officeDocument/2006/relationships/hyperlink" Target="http://csr.bu.edu/ftp/asl/asllvd/demos/verify_start_end_handshape_annotations//test_auto_move//signs_mov_separ_signers/Naomi_1337.mov" TargetMode="External"/><Relationship Id="rId12214" Type="http://schemas.openxmlformats.org/officeDocument/2006/relationships/hyperlink" Target="http://secrets.rutgers.edu:8080/data/asl-ftp/asllvd/demos/verify_start_end_handshape_annotations//test_auto_move//signs_mov_separ_signers/Naomi_1337.mov" TargetMode="External"/><Relationship Id="rId12215" Type="http://schemas.openxmlformats.org/officeDocument/2006/relationships/hyperlink" Target="http://csr.bu.edu/ftp/asl/asllvd/demos/verify_start_end_handshape_annotations//test_auto_move//signs_mov_separ_signers/Brady_1337.mov" TargetMode="External"/><Relationship Id="rId12216" Type="http://schemas.openxmlformats.org/officeDocument/2006/relationships/hyperlink" Target="http://secrets.rutgers.edu:8080/data/asl-ftp/asllvd/demos/verify_start_end_handshape_annotations//test_auto_move//signs_mov_separ_signers/Brady_1337.mov" TargetMode="External"/><Relationship Id="rId12217" Type="http://schemas.openxmlformats.org/officeDocument/2006/relationships/hyperlink" Target="http://csr.bu.edu/ftp/asl/asllvd/demos/verify_start_end_handshape_annotations//test_auto_move//signs_mov_separ_signers/Tyler_1339.mov" TargetMode="External"/><Relationship Id="rId12218" Type="http://schemas.openxmlformats.org/officeDocument/2006/relationships/hyperlink" Target="http://secrets.rutgers.edu:8080/data/asl-ftp/asllvd/demos/verify_start_end_handshape_annotations//test_auto_move//signs_mov_separ_signers/Tyler_1339.mov" TargetMode="External"/><Relationship Id="rId12219" Type="http://schemas.openxmlformats.org/officeDocument/2006/relationships/hyperlink" Target="http://csr.bu.edu/ftp/asl/asllvd/demos/verify_start_end_handshape_annotations//test_auto_move//signs_mov/1339_3390_merged.mov" TargetMode="External"/><Relationship Id="rId12220" Type="http://schemas.openxmlformats.org/officeDocument/2006/relationships/hyperlink" Target="http://csr.bu.edu/ftp/asl/asllvd/demos/verify_start_end_handshape_annotations//test_auto_move//signs_mov_separ_signers/Tyler_3390.mov" TargetMode="External"/><Relationship Id="rId12221" Type="http://schemas.openxmlformats.org/officeDocument/2006/relationships/hyperlink" Target="http://secrets.rutgers.edu:8080/data/asl-ftp/asllvd/demos/verify_start_end_handshape_annotations//test_auto_move//signs_mov/1339_3390_merged.mov" TargetMode="External"/><Relationship Id="rId12222" Type="http://schemas.openxmlformats.org/officeDocument/2006/relationships/hyperlink" Target="http://secrets.rutgers.edu:8080/data/asl-ftp/asllvd/demos/verify_start_end_handshape_annotations//test_auto_move//signs_mov_separ_signers/Tyler_3390.mov" TargetMode="External"/><Relationship Id="rId12223" Type="http://schemas.openxmlformats.org/officeDocument/2006/relationships/hyperlink" Target="http://csr.bu.edu/ftp/asl/asllvd/demos/verify_start_end_handshape_annotations//test_auto_move//signs_mov_separ_signers/Naomi_1339.mov" TargetMode="External"/><Relationship Id="rId12224" Type="http://schemas.openxmlformats.org/officeDocument/2006/relationships/hyperlink" Target="http://secrets.rutgers.edu:8080/data/asl-ftp/asllvd/demos/verify_start_end_handshape_annotations//test_auto_move//signs_mov_separ_signers/Naomi_1339.mov" TargetMode="External"/><Relationship Id="rId12225" Type="http://schemas.openxmlformats.org/officeDocument/2006/relationships/hyperlink" Target="http://csr.bu.edu/ftp/asl/asllvd/demos/verify_start_end_handshape_annotations//test_auto_move//signs_mov_separ_signers/Brady_1339.mov" TargetMode="External"/><Relationship Id="rId12226" Type="http://schemas.openxmlformats.org/officeDocument/2006/relationships/hyperlink" Target="http://secrets.rutgers.edu:8080/data/asl-ftp/asllvd/demos/verify_start_end_handshape_annotations//test_auto_move//signs_mov_separ_signers/Brady_1339.mov" TargetMode="External"/><Relationship Id="rId12227" Type="http://schemas.openxmlformats.org/officeDocument/2006/relationships/hyperlink" Target="http://csr.bu.edu/ftp/asl/asllvd/demos/verify_start_end_handshape_annotations//test_auto_move//signs_mov/16111.mov" TargetMode="External"/><Relationship Id="rId12228" Type="http://schemas.openxmlformats.org/officeDocument/2006/relationships/hyperlink" Target="http://csr.bu.edu/ftp/asl/asllvd/demos/verify_start_end_handshape_annotations//test_auto_move//signs_mov_separ_signers/Liz_16111.mov" TargetMode="External"/><Relationship Id="rId12229" Type="http://schemas.openxmlformats.org/officeDocument/2006/relationships/hyperlink" Target="http://secrets.rutgers.edu:8080/data/asl-ftp/asllvd/demos/verify_start_end_handshape_annotations//test_auto_move//signs_mov/16111.mov" TargetMode="External"/><Relationship Id="rId12230" Type="http://schemas.openxmlformats.org/officeDocument/2006/relationships/hyperlink" Target="http://secrets.rutgers.edu:8080/data/asl-ftp/asllvd/demos/verify_start_end_handshape_annotations//test_auto_move//signs_mov_separ_signers/Liz_16111.mov" TargetMode="External"/><Relationship Id="rId12231" Type="http://schemas.openxmlformats.org/officeDocument/2006/relationships/hyperlink" Target="http://csr.bu.edu/ftp/asl/asllvd/demos/verify_start_end_handshape_annotations//test_auto_move//signs_mov_separ_signers/Brady_16111.mov" TargetMode="External"/><Relationship Id="rId12232" Type="http://schemas.openxmlformats.org/officeDocument/2006/relationships/hyperlink" Target="http://secrets.rutgers.edu:8080/data/asl-ftp/asllvd/demos/verify_start_end_handshape_annotations//test_auto_move//signs_mov_separ_signers/Brady_16111.mov" TargetMode="External"/><Relationship Id="rId12233" Type="http://schemas.openxmlformats.org/officeDocument/2006/relationships/hyperlink" Target="http://csr.bu.edu/ftp/asl/asllvd/demos/verify_start_end_handshape_annotations//test_auto_move//signs_mov_separ_signers/Liz_1341.mov" TargetMode="External"/><Relationship Id="rId12234" Type="http://schemas.openxmlformats.org/officeDocument/2006/relationships/hyperlink" Target="http://secrets.rutgers.edu:8080/data/asl-ftp/asllvd/demos/verify_start_end_handshape_annotations//test_auto_move//signs_mov_separ_signers/Liz_1341.mov" TargetMode="External"/><Relationship Id="rId12235" Type="http://schemas.openxmlformats.org/officeDocument/2006/relationships/hyperlink" Target="http://csr.bu.edu/ftp/asl/asllvd/demos/verify_start_end_handshape_annotations//test_auto_move//signs_mov/1341.mov" TargetMode="External"/><Relationship Id="rId12236" Type="http://schemas.openxmlformats.org/officeDocument/2006/relationships/hyperlink" Target="http://csr.bu.edu/ftp/asl/asllvd/demos/verify_start_end_handshape_annotations//test_auto_move//signs_mov_separ_signers/Naomi_1341.mov" TargetMode="External"/><Relationship Id="rId12237" Type="http://schemas.openxmlformats.org/officeDocument/2006/relationships/hyperlink" Target="http://secrets.rutgers.edu:8080/data/asl-ftp/asllvd/demos/verify_start_end_handshape_annotations//test_auto_move//signs_mov/1341.mov" TargetMode="External"/><Relationship Id="rId12238" Type="http://schemas.openxmlformats.org/officeDocument/2006/relationships/hyperlink" Target="http://secrets.rutgers.edu:8080/data/asl-ftp/asllvd/demos/verify_start_end_handshape_annotations//test_auto_move//signs_mov_separ_signers/Naomi_1341.mov" TargetMode="External"/><Relationship Id="rId12239" Type="http://schemas.openxmlformats.org/officeDocument/2006/relationships/hyperlink" Target="http://csr.bu.edu/ftp/asl/asllvd/demos/verify_start_end_handshape_annotations//test_auto_move//signs_mov_separ_signers/Brady_1341.mov" TargetMode="External"/><Relationship Id="rId12240" Type="http://schemas.openxmlformats.org/officeDocument/2006/relationships/hyperlink" Target="http://secrets.rutgers.edu:8080/data/asl-ftp/asllvd/demos/verify_start_end_handshape_annotations//test_auto_move//signs_mov_separ_signers/Brady_1341.mov" TargetMode="External"/><Relationship Id="rId12241" Type="http://schemas.openxmlformats.org/officeDocument/2006/relationships/hyperlink" Target="http://csr.bu.edu/ftp/asl/asllvd/demos/verify_start_end_handshape_annotations//test_auto_move//signs_mov_separ_signers/Liz_15125.mov" TargetMode="External"/><Relationship Id="rId12242" Type="http://schemas.openxmlformats.org/officeDocument/2006/relationships/hyperlink" Target="http://secrets.rutgers.edu:8080/data/asl-ftp/asllvd/demos/verify_start_end_handshape_annotations//test_auto_move//signs_mov_separ_signers/Liz_15125.mov" TargetMode="External"/><Relationship Id="rId12243" Type="http://schemas.openxmlformats.org/officeDocument/2006/relationships/hyperlink" Target="http://csr.bu.edu/ftp/asl/asllvd/demos/verify_start_end_handshape_annotations//test_auto_move//signs_mov/15125_16281_merged.mov" TargetMode="External"/><Relationship Id="rId12244" Type="http://schemas.openxmlformats.org/officeDocument/2006/relationships/hyperlink" Target="http://csr.bu.edu/ftp/asl/asllvd/demos/verify_start_end_handshape_annotations//test_auto_move//signs_mov_separ_signers/Tyler_15125.mov" TargetMode="External"/><Relationship Id="rId12245" Type="http://schemas.openxmlformats.org/officeDocument/2006/relationships/hyperlink" Target="http://secrets.rutgers.edu:8080/data/asl-ftp/asllvd/demos/verify_start_end_handshape_annotations//test_auto_move//signs_mov/15125_16281_merged.mov" TargetMode="External"/><Relationship Id="rId12246" Type="http://schemas.openxmlformats.org/officeDocument/2006/relationships/hyperlink" Target="http://secrets.rutgers.edu:8080/data/asl-ftp/asllvd/demos/verify_start_end_handshape_annotations//test_auto_move//signs_mov_separ_signers/Tyler_15125.mov" TargetMode="External"/><Relationship Id="rId12247" Type="http://schemas.openxmlformats.org/officeDocument/2006/relationships/hyperlink" Target="http://csr.bu.edu/ftp/asl/asllvd/demos/verify_start_end_handshape_annotations//test_auto_move//signs_mov_separ_signers/Brady_15125.mov" TargetMode="External"/><Relationship Id="rId12248" Type="http://schemas.openxmlformats.org/officeDocument/2006/relationships/hyperlink" Target="http://secrets.rutgers.edu:8080/data/asl-ftp/asllvd/demos/verify_start_end_handshape_annotations//test_auto_move//signs_mov_separ_signers/Brady_15125.mov" TargetMode="External"/><Relationship Id="rId12249" Type="http://schemas.openxmlformats.org/officeDocument/2006/relationships/hyperlink" Target="http://csr.bu.edu/ftp/asl/asllvd/demos/verify_start_end_handshape_annotations//test_auto_move//signs_mov_separ_signers/Brady_16281.mov" TargetMode="External"/><Relationship Id="rId12250" Type="http://schemas.openxmlformats.org/officeDocument/2006/relationships/hyperlink" Target="http://secrets.rutgers.edu:8080/data/asl-ftp/asllvd/demos/verify_start_end_handshape_annotations//test_auto_move//signs_mov_separ_signers/Brady_16281.mov" TargetMode="External"/><Relationship Id="rId12251" Type="http://schemas.openxmlformats.org/officeDocument/2006/relationships/hyperlink" Target="http://csr.bu.edu/ftp/asl/asllvd/demos/verify_start_end_handshape_annotations//test_auto_move//signs_mov/16283.mov" TargetMode="External"/><Relationship Id="rId12252" Type="http://schemas.openxmlformats.org/officeDocument/2006/relationships/hyperlink" Target="http://csr.bu.edu/ftp/asl/asllvd/demos/verify_start_end_handshape_annotations//test_auto_move//signs_mov_separ_signers/Liz_16283.mov" TargetMode="External"/><Relationship Id="rId12253" Type="http://schemas.openxmlformats.org/officeDocument/2006/relationships/hyperlink" Target="http://secrets.rutgers.edu:8080/data/asl-ftp/asllvd/demos/verify_start_end_handshape_annotations//test_auto_move//signs_mov/16283.mov" TargetMode="External"/><Relationship Id="rId12254" Type="http://schemas.openxmlformats.org/officeDocument/2006/relationships/hyperlink" Target="http://secrets.rutgers.edu:8080/data/asl-ftp/asllvd/demos/verify_start_end_handshape_annotations//test_auto_move//signs_mov_separ_signers/Liz_16283.mov" TargetMode="External"/><Relationship Id="rId12255" Type="http://schemas.openxmlformats.org/officeDocument/2006/relationships/hyperlink" Target="http://csr.bu.edu/ftp/asl/asllvd/demos/verify_start_end_handshape_annotations//test_auto_move//signs_mov_separ_signers/Liz_16285.mov" TargetMode="External"/><Relationship Id="rId12256" Type="http://schemas.openxmlformats.org/officeDocument/2006/relationships/hyperlink" Target="http://secrets.rutgers.edu:8080/data/asl-ftp/asllvd/demos/verify_start_end_handshape_annotations//test_auto_move//signs_mov_separ_signers/Liz_16285.mov" TargetMode="External"/><Relationship Id="rId12257" Type="http://schemas.openxmlformats.org/officeDocument/2006/relationships/hyperlink" Target="http://csr.bu.edu/ftp/asl/asllvd/demos/verify_start_end_handshape_annotations//test_auto_move//signs_mov/16285.mov" TargetMode="External"/><Relationship Id="rId12258" Type="http://schemas.openxmlformats.org/officeDocument/2006/relationships/hyperlink" Target="http://csr.bu.edu/ftp/asl/asllvd/demos/verify_start_end_handshape_annotations//test_auto_move//signs_mov_separ_signers/Tyler_16285.mov" TargetMode="External"/><Relationship Id="rId12259" Type="http://schemas.openxmlformats.org/officeDocument/2006/relationships/hyperlink" Target="http://secrets.rutgers.edu:8080/data/asl-ftp/asllvd/demos/verify_start_end_handshape_annotations//test_auto_move//signs_mov/16285.mov" TargetMode="External"/><Relationship Id="rId12260" Type="http://schemas.openxmlformats.org/officeDocument/2006/relationships/hyperlink" Target="http://secrets.rutgers.edu:8080/data/asl-ftp/asllvd/demos/verify_start_end_handshape_annotations//test_auto_move//signs_mov_separ_signers/Tyler_16285.mov" TargetMode="External"/><Relationship Id="rId12261" Type="http://schemas.openxmlformats.org/officeDocument/2006/relationships/hyperlink" Target="http://csr.bu.edu/ftp/asl/asllvd/demos/verify_start_end_handshape_annotations//test_auto_move//signs_mov_separ_signers/Naomi_16285.mov" TargetMode="External"/><Relationship Id="rId12262" Type="http://schemas.openxmlformats.org/officeDocument/2006/relationships/hyperlink" Target="http://secrets.rutgers.edu:8080/data/asl-ftp/asllvd/demos/verify_start_end_handshape_annotations//test_auto_move//signs_mov_separ_signers/Naomi_16285.mov" TargetMode="External"/><Relationship Id="rId12263" Type="http://schemas.openxmlformats.org/officeDocument/2006/relationships/hyperlink" Target="http://csr.bu.edu/ftp/asl/asllvd/demos/verify_start_end_handshape_annotations//test_auto_move//signs_mov_separ_signers/Brady_16285.mov" TargetMode="External"/><Relationship Id="rId12264" Type="http://schemas.openxmlformats.org/officeDocument/2006/relationships/hyperlink" Target="http://secrets.rutgers.edu:8080/data/asl-ftp/asllvd/demos/verify_start_end_handshape_annotations//test_auto_move//signs_mov_separ_signers/Brady_16285.mov" TargetMode="External"/><Relationship Id="rId12265" Type="http://schemas.openxmlformats.org/officeDocument/2006/relationships/hyperlink" Target="http://csr.bu.edu/ftp/asl/asllvd/demos/verify_start_end_handshape_annotations//test_auto_move//signs_mov_separ_signers/Liz_1342.mov" TargetMode="External"/><Relationship Id="rId12266" Type="http://schemas.openxmlformats.org/officeDocument/2006/relationships/hyperlink" Target="http://secrets.rutgers.edu:8080/data/asl-ftp/asllvd/demos/verify_start_end_handshape_annotations//test_auto_move//signs_mov_separ_signers/Liz_1342.mov" TargetMode="External"/><Relationship Id="rId12267" Type="http://schemas.openxmlformats.org/officeDocument/2006/relationships/hyperlink" Target="http://csr.bu.edu/ftp/asl/asllvd/demos/verify_start_end_handshape_annotations//test_auto_move//signs_mov/1342.mov" TargetMode="External"/><Relationship Id="rId12268" Type="http://schemas.openxmlformats.org/officeDocument/2006/relationships/hyperlink" Target="http://csr.bu.edu/ftp/asl/asllvd/demos/verify_start_end_handshape_annotations//test_auto_move//signs_mov_separ_signers/Naomi_1342.mov" TargetMode="External"/><Relationship Id="rId12269" Type="http://schemas.openxmlformats.org/officeDocument/2006/relationships/hyperlink" Target="http://secrets.rutgers.edu:8080/data/asl-ftp/asllvd/demos/verify_start_end_handshape_annotations//test_auto_move//signs_mov/1342.mov" TargetMode="External"/><Relationship Id="rId12270" Type="http://schemas.openxmlformats.org/officeDocument/2006/relationships/hyperlink" Target="http://secrets.rutgers.edu:8080/data/asl-ftp/asllvd/demos/verify_start_end_handshape_annotations//test_auto_move//signs_mov_separ_signers/Naomi_1342.mov" TargetMode="External"/><Relationship Id="rId12271" Type="http://schemas.openxmlformats.org/officeDocument/2006/relationships/hyperlink" Target="http://csr.bu.edu/ftp/asl/asllvd/demos/verify_start_end_handshape_annotations//test_auto_move//signs_mov_separ_signers/Brady_1342.mov" TargetMode="External"/><Relationship Id="rId12272" Type="http://schemas.openxmlformats.org/officeDocument/2006/relationships/hyperlink" Target="http://secrets.rutgers.edu:8080/data/asl-ftp/asllvd/demos/verify_start_end_handshape_annotations//test_auto_move//signs_mov_separ_signers/Brady_1342.mov" TargetMode="External"/><Relationship Id="rId12273" Type="http://schemas.openxmlformats.org/officeDocument/2006/relationships/hyperlink" Target="http://csr.bu.edu/ftp/asl/asllvd/demos/verify_start_end_handshape_annotations//test_auto_move//signs_mov/3667.mov" TargetMode="External"/><Relationship Id="rId12274" Type="http://schemas.openxmlformats.org/officeDocument/2006/relationships/hyperlink" Target="http://csr.bu.edu/ftp/asl/asllvd/demos/verify_start_end_handshape_annotations//test_auto_move//signs_mov_separ_signers/Dana_3667.mov" TargetMode="External"/><Relationship Id="rId12275" Type="http://schemas.openxmlformats.org/officeDocument/2006/relationships/hyperlink" Target="http://secrets.rutgers.edu:8080/data/asl-ftp/asllvd/demos/verify_start_end_handshape_annotations//test_auto_move//signs_mov/3667.mov" TargetMode="External"/><Relationship Id="rId12276" Type="http://schemas.openxmlformats.org/officeDocument/2006/relationships/hyperlink" Target="http://secrets.rutgers.edu:8080/data/asl-ftp/asllvd/demos/verify_start_end_handshape_annotations//test_auto_move//signs_mov_separ_signers/Dana_3667.mov" TargetMode="External"/><Relationship Id="rId12277" Type="http://schemas.openxmlformats.org/officeDocument/2006/relationships/hyperlink" Target="http://csr.bu.edu/ftp/asl/asllvd/demos/verify_start_end_handshape_annotations//test_auto_move//signs_mov_separ_signers/Liz_5233.mov" TargetMode="External"/><Relationship Id="rId12278" Type="http://schemas.openxmlformats.org/officeDocument/2006/relationships/hyperlink" Target="http://secrets.rutgers.edu:8080/data/asl-ftp/asllvd/demos/verify_start_end_handshape_annotations//test_auto_move//signs_mov_separ_signers/Liz_5233.mov" TargetMode="External"/><Relationship Id="rId12279" Type="http://schemas.openxmlformats.org/officeDocument/2006/relationships/hyperlink" Target="http://csr.bu.edu/ftp/asl/asllvd/demos/verify_start_end_handshape_annotations//test_auto_move//signs_mov/5233.mov" TargetMode="External"/><Relationship Id="rId12280" Type="http://schemas.openxmlformats.org/officeDocument/2006/relationships/hyperlink" Target="http://csr.bu.edu/ftp/asl/asllvd/demos/verify_start_end_handshape_annotations//test_auto_move//signs_mov_separ_signers/Tyler_5233.mov" TargetMode="External"/><Relationship Id="rId12281" Type="http://schemas.openxmlformats.org/officeDocument/2006/relationships/hyperlink" Target="http://secrets.rutgers.edu:8080/data/asl-ftp/asllvd/demos/verify_start_end_handshape_annotations//test_auto_move//signs_mov/5233.mov" TargetMode="External"/><Relationship Id="rId12282" Type="http://schemas.openxmlformats.org/officeDocument/2006/relationships/hyperlink" Target="http://secrets.rutgers.edu:8080/data/asl-ftp/asllvd/demos/verify_start_end_handshape_annotations//test_auto_move//signs_mov_separ_signers/Tyler_5233.mov" TargetMode="External"/><Relationship Id="rId12283" Type="http://schemas.openxmlformats.org/officeDocument/2006/relationships/hyperlink" Target="http://csr.bu.edu/ftp/asl/asllvd/demos/verify_start_end_handshape_annotations//test_auto_move//signs_mov_separ_signers/Naomi_5233.mov" TargetMode="External"/><Relationship Id="rId12284" Type="http://schemas.openxmlformats.org/officeDocument/2006/relationships/hyperlink" Target="http://secrets.rutgers.edu:8080/data/asl-ftp/asllvd/demos/verify_start_end_handshape_annotations//test_auto_move//signs_mov_separ_signers/Naomi_5233.mov" TargetMode="External"/><Relationship Id="rId12285" Type="http://schemas.openxmlformats.org/officeDocument/2006/relationships/hyperlink" Target="http://csr.bu.edu/ftp/asl/asllvd/demos/verify_start_end_handshape_annotations//test_auto_move//signs_mov_separ_signers/Brady_5233.mov" TargetMode="External"/><Relationship Id="rId12286" Type="http://schemas.openxmlformats.org/officeDocument/2006/relationships/hyperlink" Target="http://secrets.rutgers.edu:8080/data/asl-ftp/asllvd/demos/verify_start_end_handshape_annotations//test_auto_move//signs_mov_separ_signers/Brady_5233.mov" TargetMode="External"/><Relationship Id="rId12287" Type="http://schemas.openxmlformats.org/officeDocument/2006/relationships/hyperlink" Target="http://csr.bu.edu/ftp/asl/asllvd/demos/verify_start_end_handshape_annotations//test_auto_move//signs_mov_separ_signers/Liz_1344.mov" TargetMode="External"/><Relationship Id="rId12288" Type="http://schemas.openxmlformats.org/officeDocument/2006/relationships/hyperlink" Target="http://secrets.rutgers.edu:8080/data/asl-ftp/asllvd/demos/verify_start_end_handshape_annotations//test_auto_move//signs_mov_separ_signers/Liz_1344.mov" TargetMode="External"/><Relationship Id="rId12289" Type="http://schemas.openxmlformats.org/officeDocument/2006/relationships/hyperlink" Target="http://csr.bu.edu/ftp/asl/asllvd/demos/verify_start_end_handshape_annotations//test_auto_move//signs_mov/1344.mov" TargetMode="External"/><Relationship Id="rId12290" Type="http://schemas.openxmlformats.org/officeDocument/2006/relationships/hyperlink" Target="http://csr.bu.edu/ftp/asl/asllvd/demos/verify_start_end_handshape_annotations//test_auto_move//signs_mov_separ_signers/Naomi_1344.mov" TargetMode="External"/><Relationship Id="rId12291" Type="http://schemas.openxmlformats.org/officeDocument/2006/relationships/hyperlink" Target="http://secrets.rutgers.edu:8080/data/asl-ftp/asllvd/demos/verify_start_end_handshape_annotations//test_auto_move//signs_mov/1344.mov" TargetMode="External"/><Relationship Id="rId12292" Type="http://schemas.openxmlformats.org/officeDocument/2006/relationships/hyperlink" Target="http://secrets.rutgers.edu:8080/data/asl-ftp/asllvd/demos/verify_start_end_handshape_annotations//test_auto_move//signs_mov_separ_signers/Naomi_1344.mov" TargetMode="External"/><Relationship Id="rId12293" Type="http://schemas.openxmlformats.org/officeDocument/2006/relationships/hyperlink" Target="http://csr.bu.edu/ftp/asl/asllvd/demos/verify_start_end_handshape_annotations//test_auto_move//signs_mov_separ_signers/Brady_1344.mov" TargetMode="External"/><Relationship Id="rId12294" Type="http://schemas.openxmlformats.org/officeDocument/2006/relationships/hyperlink" Target="http://secrets.rutgers.edu:8080/data/asl-ftp/asllvd/demos/verify_start_end_handshape_annotations//test_auto_move//signs_mov_separ_signers/Brady_1344.mov" TargetMode="External"/><Relationship Id="rId12295" Type="http://schemas.openxmlformats.org/officeDocument/2006/relationships/hyperlink" Target="http://csr.bu.edu/ftp/asl/asllvd/demos/verify_start_end_handshape_annotations//test_auto_move//signs_mov/15138.mov" TargetMode="External"/><Relationship Id="rId12296" Type="http://schemas.openxmlformats.org/officeDocument/2006/relationships/hyperlink" Target="http://csr.bu.edu/ftp/asl/asllvd/demos/verify_start_end_handshape_annotations//test_auto_move//signs_mov_separ_signers/Tyler_15138.mov" TargetMode="External"/><Relationship Id="rId12297" Type="http://schemas.openxmlformats.org/officeDocument/2006/relationships/hyperlink" Target="http://secrets.rutgers.edu:8080/data/asl-ftp/asllvd/demos/verify_start_end_handshape_annotations//test_auto_move//signs_mov/15138.mov" TargetMode="External"/><Relationship Id="rId12298" Type="http://schemas.openxmlformats.org/officeDocument/2006/relationships/hyperlink" Target="http://secrets.rutgers.edu:8080/data/asl-ftp/asllvd/demos/verify_start_end_handshape_annotations//test_auto_move//signs_mov_separ_signers/Tyler_15138.mov" TargetMode="External"/><Relationship Id="rId12299" Type="http://schemas.openxmlformats.org/officeDocument/2006/relationships/hyperlink" Target="http://csr.bu.edu/ftp/asl/asllvd/demos/verify_start_end_handshape_annotations//test_auto_move//signs_mov_separ_signers/Liz_1345.mov" TargetMode="External"/><Relationship Id="rId12300" Type="http://schemas.openxmlformats.org/officeDocument/2006/relationships/hyperlink" Target="http://secrets.rutgers.edu:8080/data/asl-ftp/asllvd/demos/verify_start_end_handshape_annotations//test_auto_move//signs_mov_separ_signers/Liz_1345.mov" TargetMode="External"/><Relationship Id="rId12301" Type="http://schemas.openxmlformats.org/officeDocument/2006/relationships/hyperlink" Target="http://csr.bu.edu/ftp/asl/asllvd/demos/verify_start_end_handshape_annotations//test_auto_move//signs_mov_separ_signers/Liz_3401.mov" TargetMode="External"/><Relationship Id="rId12302" Type="http://schemas.openxmlformats.org/officeDocument/2006/relationships/hyperlink" Target="http://secrets.rutgers.edu:8080/data/asl-ftp/asllvd/demos/verify_start_end_handshape_annotations//test_auto_move//signs_mov_separ_signers/Liz_3401.mov" TargetMode="External"/><Relationship Id="rId12303" Type="http://schemas.openxmlformats.org/officeDocument/2006/relationships/hyperlink" Target="http://csr.bu.edu/ftp/asl/asllvd/demos/verify_start_end_handshape_annotations//test_auto_move//signs_mov_separ_signers/Tyler_1345.mov" TargetMode="External"/><Relationship Id="rId12304" Type="http://schemas.openxmlformats.org/officeDocument/2006/relationships/hyperlink" Target="http://secrets.rutgers.edu:8080/data/asl-ftp/asllvd/demos/verify_start_end_handshape_annotations//test_auto_move//signs_mov_separ_signers/Tyler_1345.mov" TargetMode="External"/><Relationship Id="rId12305" Type="http://schemas.openxmlformats.org/officeDocument/2006/relationships/hyperlink" Target="http://csr.bu.edu/ftp/asl/asllvd/demos/verify_start_end_handshape_annotations//test_auto_move//signs_mov/1345_3401_merged.mov" TargetMode="External"/><Relationship Id="rId12306" Type="http://schemas.openxmlformats.org/officeDocument/2006/relationships/hyperlink" Target="http://csr.bu.edu/ftp/asl/asllvd/demos/verify_start_end_handshape_annotations//test_auto_move//signs_mov_separ_signers/Naomi_1345.mov" TargetMode="External"/><Relationship Id="rId12307" Type="http://schemas.openxmlformats.org/officeDocument/2006/relationships/hyperlink" Target="http://secrets.rutgers.edu:8080/data/asl-ftp/asllvd/demos/verify_start_end_handshape_annotations//test_auto_move//signs_mov/1345_3401_merged.mov" TargetMode="External"/><Relationship Id="rId12308" Type="http://schemas.openxmlformats.org/officeDocument/2006/relationships/hyperlink" Target="http://secrets.rutgers.edu:8080/data/asl-ftp/asllvd/demos/verify_start_end_handshape_annotations//test_auto_move//signs_mov_separ_signers/Naomi_1345.mov" TargetMode="External"/><Relationship Id="rId12309" Type="http://schemas.openxmlformats.org/officeDocument/2006/relationships/hyperlink" Target="http://csr.bu.edu/ftp/asl/asllvd/demos/verify_start_end_handshape_annotations//test_auto_move//signs_mov_separ_signers/Brady_1345.mov" TargetMode="External"/><Relationship Id="rId12310" Type="http://schemas.openxmlformats.org/officeDocument/2006/relationships/hyperlink" Target="http://secrets.rutgers.edu:8080/data/asl-ftp/asllvd/demos/verify_start_end_handshape_annotations//test_auto_move//signs_mov_separ_signers/Brady_1345.mov" TargetMode="External"/><Relationship Id="rId12311" Type="http://schemas.openxmlformats.org/officeDocument/2006/relationships/hyperlink" Target="http://csr.bu.edu/ftp/asl/asllvd/demos/verify_start_end_handshape_annotations//test_auto_move//signs_mov_separ_signers/Brady_3401.mov" TargetMode="External"/><Relationship Id="rId12312" Type="http://schemas.openxmlformats.org/officeDocument/2006/relationships/hyperlink" Target="http://secrets.rutgers.edu:8080/data/asl-ftp/asllvd/demos/verify_start_end_handshape_annotations//test_auto_move//signs_mov_separ_signers/Brady_3401.mov" TargetMode="External"/><Relationship Id="rId12313" Type="http://schemas.openxmlformats.org/officeDocument/2006/relationships/hyperlink" Target="http://csr.bu.edu/ftp/asl/asllvd/demos/verify_start_end_handshape_annotations//test_auto_move//signs_mov_separ_signers/Lana_1345.mov" TargetMode="External"/><Relationship Id="rId12314" Type="http://schemas.openxmlformats.org/officeDocument/2006/relationships/hyperlink" Target="http://secrets.rutgers.edu:8080/data/asl-ftp/asllvd/demos/verify_start_end_handshape_annotations//test_auto_move//signs_mov_separ_signers/Lana_1345.mov" TargetMode="External"/><Relationship Id="rId12315" Type="http://schemas.openxmlformats.org/officeDocument/2006/relationships/hyperlink" Target="http://csr.bu.edu/ftp/asl/asllvd/demos/verify_start_end_handshape_annotations//test_auto_move//signs_mov_separ_signers/Liz_4673.mov" TargetMode="External"/><Relationship Id="rId12316" Type="http://schemas.openxmlformats.org/officeDocument/2006/relationships/hyperlink" Target="http://secrets.rutgers.edu:8080/data/asl-ftp/asllvd/demos/verify_start_end_handshape_annotations//test_auto_move//signs_mov_separ_signers/Liz_4673.mov" TargetMode="External"/><Relationship Id="rId12317" Type="http://schemas.openxmlformats.org/officeDocument/2006/relationships/hyperlink" Target="http://csr.bu.edu/ftp/asl/asllvd/demos/verify_start_end_handshape_annotations//test_auto_move//signs_mov_separ_signers/Tyler_4673.mov" TargetMode="External"/><Relationship Id="rId12318" Type="http://schemas.openxmlformats.org/officeDocument/2006/relationships/hyperlink" Target="http://secrets.rutgers.edu:8080/data/asl-ftp/asllvd/demos/verify_start_end_handshape_annotations//test_auto_move//signs_mov_separ_signers/Tyler_4673.mov" TargetMode="External"/><Relationship Id="rId12319" Type="http://schemas.openxmlformats.org/officeDocument/2006/relationships/hyperlink" Target="http://csr.bu.edu/ftp/asl/asllvd/demos/verify_start_end_handshape_annotations//test_auto_move//signs_mov_separ_signers/Naomi_4673.mov" TargetMode="External"/><Relationship Id="rId12320" Type="http://schemas.openxmlformats.org/officeDocument/2006/relationships/hyperlink" Target="http://secrets.rutgers.edu:8080/data/asl-ftp/asllvd/demos/verify_start_end_handshape_annotations//test_auto_move//signs_mov_separ_signers/Naomi_4673.mov" TargetMode="External"/><Relationship Id="rId12321" Type="http://schemas.openxmlformats.org/officeDocument/2006/relationships/hyperlink" Target="http://csr.bu.edu/ftp/asl/asllvd/demos/verify_start_end_handshape_annotations//test_auto_move//signs_mov/4673_16232_merged.mov" TargetMode="External"/><Relationship Id="rId12322" Type="http://schemas.openxmlformats.org/officeDocument/2006/relationships/hyperlink" Target="http://csr.bu.edu/ftp/asl/asllvd/demos/verify_start_end_handshape_annotations//test_auto_move//signs_mov_separ_signers/Brady_4673.mov" TargetMode="External"/><Relationship Id="rId12323" Type="http://schemas.openxmlformats.org/officeDocument/2006/relationships/hyperlink" Target="http://secrets.rutgers.edu:8080/data/asl-ftp/asllvd/demos/verify_start_end_handshape_annotations//test_auto_move//signs_mov/4673_16232_merged.mov" TargetMode="External"/><Relationship Id="rId12324" Type="http://schemas.openxmlformats.org/officeDocument/2006/relationships/hyperlink" Target="http://secrets.rutgers.edu:8080/data/asl-ftp/asllvd/demos/verify_start_end_handshape_annotations//test_auto_move//signs_mov_separ_signers/Brady_4673.mov" TargetMode="External"/><Relationship Id="rId12325" Type="http://schemas.openxmlformats.org/officeDocument/2006/relationships/hyperlink" Target="http://csr.bu.edu/ftp/asl/asllvd/demos/verify_start_end_handshape_annotations//test_auto_move//signs_mov_separ_signers/Brady_16232.mov" TargetMode="External"/><Relationship Id="rId12326" Type="http://schemas.openxmlformats.org/officeDocument/2006/relationships/hyperlink" Target="http://secrets.rutgers.edu:8080/data/asl-ftp/asllvd/demos/verify_start_end_handshape_annotations//test_auto_move//signs_mov_separ_signers/Brady_16232.mov" TargetMode="External"/><Relationship Id="rId12327" Type="http://schemas.openxmlformats.org/officeDocument/2006/relationships/hyperlink" Target="http://csr.bu.edu/ftp/asl/asllvd/demos/verify_start_end_handshape_annotations//test_auto_move//signs_mov_separ_signers/Lana_4673.mov" TargetMode="External"/><Relationship Id="rId12328" Type="http://schemas.openxmlformats.org/officeDocument/2006/relationships/hyperlink" Target="http://secrets.rutgers.edu:8080/data/asl-ftp/asllvd/demos/verify_start_end_handshape_annotations//test_auto_move//signs_mov_separ_signers/Lana_4673.mov" TargetMode="External"/><Relationship Id="rId12329" Type="http://schemas.openxmlformats.org/officeDocument/2006/relationships/hyperlink" Target="http://csr.bu.edu/ftp/asl/asllvd/demos/verify_start_end_handshape_annotations//test_auto_move//signs_mov_separ_signers/Dana_4673.mov" TargetMode="External"/><Relationship Id="rId12330" Type="http://schemas.openxmlformats.org/officeDocument/2006/relationships/hyperlink" Target="http://secrets.rutgers.edu:8080/data/asl-ftp/asllvd/demos/verify_start_end_handshape_annotations//test_auto_move//signs_mov_separ_signers/Dana_4673.mov" TargetMode="External"/><Relationship Id="rId12331" Type="http://schemas.openxmlformats.org/officeDocument/2006/relationships/hyperlink" Target="http://csr.bu.edu/ftp/asl/asllvd/demos/verify_start_end_handshape_annotations//test_auto_move//signs_mov_separ_signers/Liz_1346.mov" TargetMode="External"/><Relationship Id="rId12332" Type="http://schemas.openxmlformats.org/officeDocument/2006/relationships/hyperlink" Target="http://secrets.rutgers.edu:8080/data/asl-ftp/asllvd/demos/verify_start_end_handshape_annotations//test_auto_move//signs_mov_separ_signers/Liz_1346.mov" TargetMode="External"/><Relationship Id="rId12333" Type="http://schemas.openxmlformats.org/officeDocument/2006/relationships/hyperlink" Target="http://csr.bu.edu/ftp/asl/asllvd/demos/verify_start_end_handshape_annotations//test_auto_move//signs_mov/1346.mov" TargetMode="External"/><Relationship Id="rId12334" Type="http://schemas.openxmlformats.org/officeDocument/2006/relationships/hyperlink" Target="http://csr.bu.edu/ftp/asl/asllvd/demos/verify_start_end_handshape_annotations//test_auto_move//signs_mov_separ_signers/Naomi_1346.mov" TargetMode="External"/><Relationship Id="rId12335" Type="http://schemas.openxmlformats.org/officeDocument/2006/relationships/hyperlink" Target="http://secrets.rutgers.edu:8080/data/asl-ftp/asllvd/demos/verify_start_end_handshape_annotations//test_auto_move//signs_mov/1346.mov" TargetMode="External"/><Relationship Id="rId12336" Type="http://schemas.openxmlformats.org/officeDocument/2006/relationships/hyperlink" Target="http://secrets.rutgers.edu:8080/data/asl-ftp/asllvd/demos/verify_start_end_handshape_annotations//test_auto_move//signs_mov_separ_signers/Naomi_1346.mov" TargetMode="External"/><Relationship Id="rId12337" Type="http://schemas.openxmlformats.org/officeDocument/2006/relationships/hyperlink" Target="http://csr.bu.edu/ftp/asl/asllvd/demos/verify_start_end_handshape_annotations//test_auto_move//signs_mov_separ_signers/Lana_1346.mov" TargetMode="External"/><Relationship Id="rId12338" Type="http://schemas.openxmlformats.org/officeDocument/2006/relationships/hyperlink" Target="http://secrets.rutgers.edu:8080/data/asl-ftp/asllvd/demos/verify_start_end_handshape_annotations//test_auto_move//signs_mov_separ_signers/Lana_1346.mov" TargetMode="External"/><Relationship Id="rId12339" Type="http://schemas.openxmlformats.org/officeDocument/2006/relationships/hyperlink" Target="http://csr.bu.edu/ftp/asl/asllvd/demos/verify_start_end_handshape_annotations//test_auto_move//signs_mov/5436.mov" TargetMode="External"/><Relationship Id="rId12340" Type="http://schemas.openxmlformats.org/officeDocument/2006/relationships/hyperlink" Target="http://csr.bu.edu/ftp/asl/asllvd/demos/verify_start_end_handshape_annotations//test_auto_move//signs_mov_separ_signers/Tyler_5436.mov" TargetMode="External"/><Relationship Id="rId12341" Type="http://schemas.openxmlformats.org/officeDocument/2006/relationships/hyperlink" Target="http://secrets.rutgers.edu:8080/data/asl-ftp/asllvd/demos/verify_start_end_handshape_annotations//test_auto_move//signs_mov/5436.mov" TargetMode="External"/><Relationship Id="rId12342" Type="http://schemas.openxmlformats.org/officeDocument/2006/relationships/hyperlink" Target="http://secrets.rutgers.edu:8080/data/asl-ftp/asllvd/demos/verify_start_end_handshape_annotations//test_auto_move//signs_mov_separ_signers/Tyler_5436.mov" TargetMode="External"/><Relationship Id="rId12343" Type="http://schemas.openxmlformats.org/officeDocument/2006/relationships/hyperlink" Target="http://csr.bu.edu/ftp/asl/asllvd/demos/verify_start_end_handshape_annotations//test_auto_move//signs_mov_separ_signers/Dana_5436.mov" TargetMode="External"/><Relationship Id="rId12344" Type="http://schemas.openxmlformats.org/officeDocument/2006/relationships/hyperlink" Target="http://secrets.rutgers.edu:8080/data/asl-ftp/asllvd/demos/verify_start_end_handshape_annotations//test_auto_move//signs_mov_separ_signers/Dana_5436.mov" TargetMode="External"/><Relationship Id="rId12345" Type="http://schemas.openxmlformats.org/officeDocument/2006/relationships/hyperlink" Target="http://csr.bu.edu/ftp/asl/asllvd/demos/verify_start_end_handshape_annotations//test_auto_move//signs_mov_separ_signers/Liz_1347.mov" TargetMode="External"/><Relationship Id="rId12346" Type="http://schemas.openxmlformats.org/officeDocument/2006/relationships/hyperlink" Target="http://secrets.rutgers.edu:8080/data/asl-ftp/asllvd/demos/verify_start_end_handshape_annotations//test_auto_move//signs_mov_separ_signers/Liz_1347.mov" TargetMode="External"/><Relationship Id="rId12347" Type="http://schemas.openxmlformats.org/officeDocument/2006/relationships/hyperlink" Target="http://csr.bu.edu/ftp/asl/asllvd/demos/verify_start_end_handshape_annotations//test_auto_move//signs_mov/1347.mov" TargetMode="External"/><Relationship Id="rId12348" Type="http://schemas.openxmlformats.org/officeDocument/2006/relationships/hyperlink" Target="http://csr.bu.edu/ftp/asl/asllvd/demos/verify_start_end_handshape_annotations//test_auto_move//signs_mov_separ_signers/Tyler_1347.mov" TargetMode="External"/><Relationship Id="rId12349" Type="http://schemas.openxmlformats.org/officeDocument/2006/relationships/hyperlink" Target="http://secrets.rutgers.edu:8080/data/asl-ftp/asllvd/demos/verify_start_end_handshape_annotations//test_auto_move//signs_mov/1347.mov" TargetMode="External"/><Relationship Id="rId12350" Type="http://schemas.openxmlformats.org/officeDocument/2006/relationships/hyperlink" Target="http://secrets.rutgers.edu:8080/data/asl-ftp/asllvd/demos/verify_start_end_handshape_annotations//test_auto_move//signs_mov_separ_signers/Tyler_1347.mov" TargetMode="External"/><Relationship Id="rId12351" Type="http://schemas.openxmlformats.org/officeDocument/2006/relationships/hyperlink" Target="http://csr.bu.edu/ftp/asl/asllvd/demos/verify_start_end_handshape_annotations//test_auto_move//signs_mov_separ_signers/Naomi_1347.mov" TargetMode="External"/><Relationship Id="rId12352" Type="http://schemas.openxmlformats.org/officeDocument/2006/relationships/hyperlink" Target="http://secrets.rutgers.edu:8080/data/asl-ftp/asllvd/demos/verify_start_end_handshape_annotations//test_auto_move//signs_mov_separ_signers/Naomi_1347.mov" TargetMode="External"/><Relationship Id="rId12353" Type="http://schemas.openxmlformats.org/officeDocument/2006/relationships/hyperlink" Target="http://csr.bu.edu/ftp/asl/asllvd/demos/verify_start_end_handshape_annotations//test_auto_move//signs_mov_separ_signers/Brady_1347.mov" TargetMode="External"/><Relationship Id="rId12354" Type="http://schemas.openxmlformats.org/officeDocument/2006/relationships/hyperlink" Target="http://secrets.rutgers.edu:8080/data/asl-ftp/asllvd/demos/verify_start_end_handshape_annotations//test_auto_move//signs_mov_separ_signers/Brady_1347.mov" TargetMode="External"/><Relationship Id="rId12355" Type="http://schemas.openxmlformats.org/officeDocument/2006/relationships/hyperlink" Target="http://csr.bu.edu/ftp/asl/asllvd/demos/verify_start_end_handshape_annotations//test_auto_move//signs_mov_separ_signers/Liz_1349.mov" TargetMode="External"/><Relationship Id="rId12356" Type="http://schemas.openxmlformats.org/officeDocument/2006/relationships/hyperlink" Target="http://secrets.rutgers.edu:8080/data/asl-ftp/asllvd/demos/verify_start_end_handshape_annotations//test_auto_move//signs_mov_separ_signers/Liz_1349.mov" TargetMode="External"/><Relationship Id="rId12357" Type="http://schemas.openxmlformats.org/officeDocument/2006/relationships/hyperlink" Target="http://csr.bu.edu/ftp/asl/asllvd/demos/verify_start_end_handshape_annotations//test_auto_move//signs_mov/1349.mov" TargetMode="External"/><Relationship Id="rId12358" Type="http://schemas.openxmlformats.org/officeDocument/2006/relationships/hyperlink" Target="http://csr.bu.edu/ftp/asl/asllvd/demos/verify_start_end_handshape_annotations//test_auto_move//signs_mov_separ_signers/Tyler_1349.mov" TargetMode="External"/><Relationship Id="rId12359" Type="http://schemas.openxmlformats.org/officeDocument/2006/relationships/hyperlink" Target="http://secrets.rutgers.edu:8080/data/asl-ftp/asllvd/demos/verify_start_end_handshape_annotations//test_auto_move//signs_mov/1349.mov" TargetMode="External"/><Relationship Id="rId12360" Type="http://schemas.openxmlformats.org/officeDocument/2006/relationships/hyperlink" Target="http://secrets.rutgers.edu:8080/data/asl-ftp/asllvd/demos/verify_start_end_handshape_annotations//test_auto_move//signs_mov_separ_signers/Tyler_1349.mov" TargetMode="External"/><Relationship Id="rId12361" Type="http://schemas.openxmlformats.org/officeDocument/2006/relationships/hyperlink" Target="http://csr.bu.edu/ftp/asl/asllvd/demos/verify_start_end_handshape_annotations//test_auto_move//signs_mov_separ_signers/Naomi_1349.mov" TargetMode="External"/><Relationship Id="rId12362" Type="http://schemas.openxmlformats.org/officeDocument/2006/relationships/hyperlink" Target="http://secrets.rutgers.edu:8080/data/asl-ftp/asllvd/demos/verify_start_end_handshape_annotations//test_auto_move//signs_mov_separ_signers/Naomi_1349.mov" TargetMode="External"/><Relationship Id="rId12363" Type="http://schemas.openxmlformats.org/officeDocument/2006/relationships/hyperlink" Target="http://csr.bu.edu/ftp/asl/asllvd/demos/verify_start_end_handshape_annotations//test_auto_move//signs_mov_separ_signers/Brady_1349.mov" TargetMode="External"/><Relationship Id="rId12364" Type="http://schemas.openxmlformats.org/officeDocument/2006/relationships/hyperlink" Target="http://secrets.rutgers.edu:8080/data/asl-ftp/asllvd/demos/verify_start_end_handshape_annotations//test_auto_move//signs_mov_separ_signers/Brady_1349.mov" TargetMode="External"/><Relationship Id="rId12365" Type="http://schemas.openxmlformats.org/officeDocument/2006/relationships/hyperlink" Target="http://csr.bu.edu/ftp/asl/asllvd/demos/verify_start_end_handshape_annotations//test_auto_move//signs_mov_separ_signers/Liz_1350.mov" TargetMode="External"/><Relationship Id="rId12366" Type="http://schemas.openxmlformats.org/officeDocument/2006/relationships/hyperlink" Target="http://secrets.rutgers.edu:8080/data/asl-ftp/asllvd/demos/verify_start_end_handshape_annotations//test_auto_move//signs_mov_separ_signers/Liz_1350.mov" TargetMode="External"/><Relationship Id="rId12367" Type="http://schemas.openxmlformats.org/officeDocument/2006/relationships/hyperlink" Target="http://csr.bu.edu/ftp/asl/asllvd/demos/verify_start_end_handshape_annotations//test_auto_move//signs_mov/1350.mov" TargetMode="External"/><Relationship Id="rId12368" Type="http://schemas.openxmlformats.org/officeDocument/2006/relationships/hyperlink" Target="http://csr.bu.edu/ftp/asl/asllvd/demos/verify_start_end_handshape_annotations//test_auto_move//signs_mov_separ_signers/Tyler_1350.mov" TargetMode="External"/><Relationship Id="rId12369" Type="http://schemas.openxmlformats.org/officeDocument/2006/relationships/hyperlink" Target="http://secrets.rutgers.edu:8080/data/asl-ftp/asllvd/demos/verify_start_end_handshape_annotations//test_auto_move//signs_mov/1350.mov" TargetMode="External"/><Relationship Id="rId12370" Type="http://schemas.openxmlformats.org/officeDocument/2006/relationships/hyperlink" Target="http://secrets.rutgers.edu:8080/data/asl-ftp/asllvd/demos/verify_start_end_handshape_annotations//test_auto_move//signs_mov_separ_signers/Tyler_1350.mov" TargetMode="External"/><Relationship Id="rId12371" Type="http://schemas.openxmlformats.org/officeDocument/2006/relationships/hyperlink" Target="http://csr.bu.edu/ftp/asl/asllvd/demos/verify_start_end_handshape_annotations//test_auto_move//signs_mov_separ_signers/Naomi_1350.mov" TargetMode="External"/><Relationship Id="rId12372" Type="http://schemas.openxmlformats.org/officeDocument/2006/relationships/hyperlink" Target="http://secrets.rutgers.edu:8080/data/asl-ftp/asllvd/demos/verify_start_end_handshape_annotations//test_auto_move//signs_mov_separ_signers/Naomi_1350.mov" TargetMode="External"/><Relationship Id="rId12373" Type="http://schemas.openxmlformats.org/officeDocument/2006/relationships/hyperlink" Target="http://csr.bu.edu/ftp/asl/asllvd/demos/verify_start_end_handshape_annotations//test_auto_move//signs_mov_separ_signers/Brady_1350.mov" TargetMode="External"/><Relationship Id="rId12374" Type="http://schemas.openxmlformats.org/officeDocument/2006/relationships/hyperlink" Target="http://secrets.rutgers.edu:8080/data/asl-ftp/asllvd/demos/verify_start_end_handshape_annotations//test_auto_move//signs_mov_separ_signers/Brady_1350.mov" TargetMode="External"/><Relationship Id="rId12375" Type="http://schemas.openxmlformats.org/officeDocument/2006/relationships/hyperlink" Target="http://csr.bu.edu/ftp/asl/asllvd/demos/verify_start_end_handshape_annotations//test_auto_move//signs_mov/15668.mov" TargetMode="External"/><Relationship Id="rId12376" Type="http://schemas.openxmlformats.org/officeDocument/2006/relationships/hyperlink" Target="http://csr.bu.edu/ftp/asl/asllvd/demos/verify_start_end_handshape_annotations//test_auto_move//signs_mov_separ_signers/Brady_15668.mov" TargetMode="External"/><Relationship Id="rId12377" Type="http://schemas.openxmlformats.org/officeDocument/2006/relationships/hyperlink" Target="http://secrets.rutgers.edu:8080/data/asl-ftp/asllvd/demos/verify_start_end_handshape_annotations//test_auto_move//signs_mov/15668.mov" TargetMode="External"/><Relationship Id="rId12378" Type="http://schemas.openxmlformats.org/officeDocument/2006/relationships/hyperlink" Target="http://secrets.rutgers.edu:8080/data/asl-ftp/asllvd/demos/verify_start_end_handshape_annotations//test_auto_move//signs_mov_separ_signers/Brady_15668.mov" TargetMode="External"/><Relationship Id="rId12379" Type="http://schemas.openxmlformats.org/officeDocument/2006/relationships/hyperlink" Target="http://csr.bu.edu/ftp/asl/asllvd/demos/verify_start_end_handshape_annotations//test_auto_move//signs_mov_separ_signers/Liz_1353.mov" TargetMode="External"/><Relationship Id="rId12380" Type="http://schemas.openxmlformats.org/officeDocument/2006/relationships/hyperlink" Target="http://secrets.rutgers.edu:8080/data/asl-ftp/asllvd/demos/verify_start_end_handshape_annotations//test_auto_move//signs_mov_separ_signers/Liz_1353.mov" TargetMode="External"/><Relationship Id="rId12381" Type="http://schemas.openxmlformats.org/officeDocument/2006/relationships/hyperlink" Target="http://csr.bu.edu/ftp/asl/asllvd/demos/verify_start_end_handshape_annotations//test_auto_move//signs_mov/1353.mov" TargetMode="External"/><Relationship Id="rId12382" Type="http://schemas.openxmlformats.org/officeDocument/2006/relationships/hyperlink" Target="http://csr.bu.edu/ftp/asl/asllvd/demos/verify_start_end_handshape_annotations//test_auto_move//signs_mov_separ_signers/Naomi_1353.mov" TargetMode="External"/><Relationship Id="rId12383" Type="http://schemas.openxmlformats.org/officeDocument/2006/relationships/hyperlink" Target="http://secrets.rutgers.edu:8080/data/asl-ftp/asllvd/demos/verify_start_end_handshape_annotations//test_auto_move//signs_mov/1353.mov" TargetMode="External"/><Relationship Id="rId12384" Type="http://schemas.openxmlformats.org/officeDocument/2006/relationships/hyperlink" Target="http://secrets.rutgers.edu:8080/data/asl-ftp/asllvd/demos/verify_start_end_handshape_annotations//test_auto_move//signs_mov_separ_signers/Naomi_1353.mov" TargetMode="External"/><Relationship Id="rId12385" Type="http://schemas.openxmlformats.org/officeDocument/2006/relationships/hyperlink" Target="http://csr.bu.edu/ftp/asl/asllvd/demos/verify_start_end_handshape_annotations//test_auto_move//signs_mov_separ_signers/Brady_1353.mov" TargetMode="External"/><Relationship Id="rId12386" Type="http://schemas.openxmlformats.org/officeDocument/2006/relationships/hyperlink" Target="http://secrets.rutgers.edu:8080/data/asl-ftp/asllvd/demos/verify_start_end_handshape_annotations//test_auto_move//signs_mov_separ_signers/Brady_1353.mov" TargetMode="External"/><Relationship Id="rId12387" Type="http://schemas.openxmlformats.org/officeDocument/2006/relationships/hyperlink" Target="http://csr.bu.edu/ftp/asl/asllvd/demos/verify_start_end_handshape_annotations//test_auto_move//signs_mov/1356.mov" TargetMode="External"/><Relationship Id="rId12388" Type="http://schemas.openxmlformats.org/officeDocument/2006/relationships/hyperlink" Target="http://csr.bu.edu/ftp/asl/asllvd/demos/verify_start_end_handshape_annotations//test_auto_move//signs_mov_separ_signers/Tyler_1356.mov" TargetMode="External"/><Relationship Id="rId12389" Type="http://schemas.openxmlformats.org/officeDocument/2006/relationships/hyperlink" Target="http://secrets.rutgers.edu:8080/data/asl-ftp/asllvd/demos/verify_start_end_handshape_annotations//test_auto_move//signs_mov/1356.mov" TargetMode="External"/><Relationship Id="rId12390" Type="http://schemas.openxmlformats.org/officeDocument/2006/relationships/hyperlink" Target="http://secrets.rutgers.edu:8080/data/asl-ftp/asllvd/demos/verify_start_end_handshape_annotations//test_auto_move//signs_mov_separ_signers/Tyler_1356.mov" TargetMode="External"/><Relationship Id="rId12391" Type="http://schemas.openxmlformats.org/officeDocument/2006/relationships/hyperlink" Target="http://csr.bu.edu/ftp/asl/asllvd/demos/verify_start_end_handshape_annotations//test_auto_move//signs_mov/5234.mov" TargetMode="External"/><Relationship Id="rId12392" Type="http://schemas.openxmlformats.org/officeDocument/2006/relationships/hyperlink" Target="http://csr.bu.edu/ftp/asl/asllvd/demos/verify_start_end_handshape_annotations//test_auto_move//signs_mov_separ_signers/Liz_5234.mov" TargetMode="External"/><Relationship Id="rId12393" Type="http://schemas.openxmlformats.org/officeDocument/2006/relationships/hyperlink" Target="http://secrets.rutgers.edu:8080/data/asl-ftp/asllvd/demos/verify_start_end_handshape_annotations//test_auto_move//signs_mov/5234.mov" TargetMode="External"/><Relationship Id="rId12394" Type="http://schemas.openxmlformats.org/officeDocument/2006/relationships/hyperlink" Target="http://secrets.rutgers.edu:8080/data/asl-ftp/asllvd/demos/verify_start_end_handshape_annotations//test_auto_move//signs_mov_separ_signers/Liz_5234.mov" TargetMode="External"/><Relationship Id="rId12395" Type="http://schemas.openxmlformats.org/officeDocument/2006/relationships/hyperlink" Target="http://csr.bu.edu/ftp/asl/asllvd/demos/verify_start_end_handshape_annotations//test_auto_move//signs_mov_separ_signers/Brady_5234.mov" TargetMode="External"/><Relationship Id="rId12396" Type="http://schemas.openxmlformats.org/officeDocument/2006/relationships/hyperlink" Target="http://secrets.rutgers.edu:8080/data/asl-ftp/asllvd/demos/verify_start_end_handshape_annotations//test_auto_move//signs_mov_separ_signers/Brady_5234.mov" TargetMode="External"/><Relationship Id="rId12397" Type="http://schemas.openxmlformats.org/officeDocument/2006/relationships/hyperlink" Target="http://csr.bu.edu/ftp/asl/asllvd/demos/verify_start_end_handshape_annotations//test_auto_move//signs_mov_separ_signers/Liz_1357.mov" TargetMode="External"/><Relationship Id="rId12398" Type="http://schemas.openxmlformats.org/officeDocument/2006/relationships/hyperlink" Target="http://secrets.rutgers.edu:8080/data/asl-ftp/asllvd/demos/verify_start_end_handshape_annotations//test_auto_move//signs_mov_separ_signers/Liz_1357.mov" TargetMode="External"/><Relationship Id="rId12399" Type="http://schemas.openxmlformats.org/officeDocument/2006/relationships/hyperlink" Target="http://csr.bu.edu/ftp/asl/asllvd/demos/verify_start_end_handshape_annotations//test_auto_move//signs_mov/1357.mov" TargetMode="External"/><Relationship Id="rId12400" Type="http://schemas.openxmlformats.org/officeDocument/2006/relationships/hyperlink" Target="http://csr.bu.edu/ftp/asl/asllvd/demos/verify_start_end_handshape_annotations//test_auto_move//signs_mov_separ_signers/Tyler_1357.mov" TargetMode="External"/><Relationship Id="rId12401" Type="http://schemas.openxmlformats.org/officeDocument/2006/relationships/hyperlink" Target="http://secrets.rutgers.edu:8080/data/asl-ftp/asllvd/demos/verify_start_end_handshape_annotations//test_auto_move//signs_mov/1357.mov" TargetMode="External"/><Relationship Id="rId12402" Type="http://schemas.openxmlformats.org/officeDocument/2006/relationships/hyperlink" Target="http://secrets.rutgers.edu:8080/data/asl-ftp/asllvd/demos/verify_start_end_handshape_annotations//test_auto_move//signs_mov_separ_signers/Tyler_1357.mov" TargetMode="External"/><Relationship Id="rId12403" Type="http://schemas.openxmlformats.org/officeDocument/2006/relationships/hyperlink" Target="http://csr.bu.edu/ftp/asl/asllvd/demos/verify_start_end_handshape_annotations//test_auto_move//signs_mov_separ_signers/Naomi_1357.mov" TargetMode="External"/><Relationship Id="rId12404" Type="http://schemas.openxmlformats.org/officeDocument/2006/relationships/hyperlink" Target="http://secrets.rutgers.edu:8080/data/asl-ftp/asllvd/demos/verify_start_end_handshape_annotations//test_auto_move//signs_mov_separ_signers/Naomi_1357.mov" TargetMode="External"/><Relationship Id="rId12405" Type="http://schemas.openxmlformats.org/officeDocument/2006/relationships/hyperlink" Target="http://csr.bu.edu/ftp/asl/asllvd/demos/verify_start_end_handshape_annotations//test_auto_move//signs_mov_separ_signers/Brady_1357.mov" TargetMode="External"/><Relationship Id="rId12406" Type="http://schemas.openxmlformats.org/officeDocument/2006/relationships/hyperlink" Target="http://secrets.rutgers.edu:8080/data/asl-ftp/asllvd/demos/verify_start_end_handshape_annotations//test_auto_move//signs_mov_separ_signers/Brady_1357.mov" TargetMode="External"/><Relationship Id="rId12407" Type="http://schemas.openxmlformats.org/officeDocument/2006/relationships/hyperlink" Target="http://csr.bu.edu/ftp/asl/asllvd/demos/verify_start_end_handshape_annotations//test_auto_move//signs_mov_separ_signers/Liz_1358.mov" TargetMode="External"/><Relationship Id="rId12408" Type="http://schemas.openxmlformats.org/officeDocument/2006/relationships/hyperlink" Target="http://secrets.rutgers.edu:8080/data/asl-ftp/asllvd/demos/verify_start_end_handshape_annotations//test_auto_move//signs_mov_separ_signers/Liz_1358.mov" TargetMode="External"/><Relationship Id="rId12409" Type="http://schemas.openxmlformats.org/officeDocument/2006/relationships/hyperlink" Target="http://csr.bu.edu/ftp/asl/asllvd/demos/verify_start_end_handshape_annotations//test_auto_move//signs_mov/1358.mov" TargetMode="External"/><Relationship Id="rId12410" Type="http://schemas.openxmlformats.org/officeDocument/2006/relationships/hyperlink" Target="http://csr.bu.edu/ftp/asl/asllvd/demos/verify_start_end_handshape_annotations//test_auto_move//signs_mov_separ_signers/Tyler_1358.mov" TargetMode="External"/><Relationship Id="rId12411" Type="http://schemas.openxmlformats.org/officeDocument/2006/relationships/hyperlink" Target="http://secrets.rutgers.edu:8080/data/asl-ftp/asllvd/demos/verify_start_end_handshape_annotations//test_auto_move//signs_mov/1358.mov" TargetMode="External"/><Relationship Id="rId12412" Type="http://schemas.openxmlformats.org/officeDocument/2006/relationships/hyperlink" Target="http://secrets.rutgers.edu:8080/data/asl-ftp/asllvd/demos/verify_start_end_handshape_annotations//test_auto_move//signs_mov_separ_signers/Tyler_1358.mov" TargetMode="External"/><Relationship Id="rId12413" Type="http://schemas.openxmlformats.org/officeDocument/2006/relationships/hyperlink" Target="http://csr.bu.edu/ftp/asl/asllvd/demos/verify_start_end_handshape_annotations//test_auto_move//signs_mov_separ_signers/Naomi_1358.mov" TargetMode="External"/><Relationship Id="rId12414" Type="http://schemas.openxmlformats.org/officeDocument/2006/relationships/hyperlink" Target="http://secrets.rutgers.edu:8080/data/asl-ftp/asllvd/demos/verify_start_end_handshape_annotations//test_auto_move//signs_mov_separ_signers/Naomi_1358.mov" TargetMode="External"/><Relationship Id="rId12415" Type="http://schemas.openxmlformats.org/officeDocument/2006/relationships/hyperlink" Target="http://csr.bu.edu/ftp/asl/asllvd/demos/verify_start_end_handshape_annotations//test_auto_move//signs_mov_separ_signers/Brady_1358.mov" TargetMode="External"/><Relationship Id="rId12416" Type="http://schemas.openxmlformats.org/officeDocument/2006/relationships/hyperlink" Target="http://secrets.rutgers.edu:8080/data/asl-ftp/asllvd/demos/verify_start_end_handshape_annotations//test_auto_move//signs_mov_separ_signers/Brady_1358.mov" TargetMode="External"/><Relationship Id="rId12417" Type="http://schemas.openxmlformats.org/officeDocument/2006/relationships/hyperlink" Target="http://csr.bu.edu/ftp/asl/asllvd/demos/verify_start_end_handshape_annotations//test_auto_move//signs_mov_separ_signers/Liz_1363.mov" TargetMode="External"/><Relationship Id="rId12418" Type="http://schemas.openxmlformats.org/officeDocument/2006/relationships/hyperlink" Target="http://secrets.rutgers.edu:8080/data/asl-ftp/asllvd/demos/verify_start_end_handshape_annotations//test_auto_move//signs_mov_separ_signers/Liz_1363.mov" TargetMode="External"/><Relationship Id="rId12419" Type="http://schemas.openxmlformats.org/officeDocument/2006/relationships/hyperlink" Target="http://csr.bu.edu/ftp/asl/asllvd/demos/verify_start_end_handshape_annotations//test_auto_move//signs_mov/1363.mov" TargetMode="External"/><Relationship Id="rId12420" Type="http://schemas.openxmlformats.org/officeDocument/2006/relationships/hyperlink" Target="http://csr.bu.edu/ftp/asl/asllvd/demos/verify_start_end_handshape_annotations//test_auto_move//signs_mov_separ_signers/Tyler_1363.mov" TargetMode="External"/><Relationship Id="rId12421" Type="http://schemas.openxmlformats.org/officeDocument/2006/relationships/hyperlink" Target="http://secrets.rutgers.edu:8080/data/asl-ftp/asllvd/demos/verify_start_end_handshape_annotations//test_auto_move//signs_mov/1363.mov" TargetMode="External"/><Relationship Id="rId12422" Type="http://schemas.openxmlformats.org/officeDocument/2006/relationships/hyperlink" Target="http://secrets.rutgers.edu:8080/data/asl-ftp/asllvd/demos/verify_start_end_handshape_annotations//test_auto_move//signs_mov_separ_signers/Tyler_1363.mov" TargetMode="External"/><Relationship Id="rId12423" Type="http://schemas.openxmlformats.org/officeDocument/2006/relationships/hyperlink" Target="http://csr.bu.edu/ftp/asl/asllvd/demos/verify_start_end_handshape_annotations//test_auto_move//signs_mov_separ_signers/Naomi_1363.mov" TargetMode="External"/><Relationship Id="rId12424" Type="http://schemas.openxmlformats.org/officeDocument/2006/relationships/hyperlink" Target="http://secrets.rutgers.edu:8080/data/asl-ftp/asllvd/demos/verify_start_end_handshape_annotations//test_auto_move//signs_mov_separ_signers/Naomi_1363.mov" TargetMode="External"/><Relationship Id="rId12425" Type="http://schemas.openxmlformats.org/officeDocument/2006/relationships/hyperlink" Target="http://csr.bu.edu/ftp/asl/asllvd/demos/verify_start_end_handshape_annotations//test_auto_move//signs_mov_separ_signers/Brady_1363.mov" TargetMode="External"/><Relationship Id="rId12426" Type="http://schemas.openxmlformats.org/officeDocument/2006/relationships/hyperlink" Target="http://secrets.rutgers.edu:8080/data/asl-ftp/asllvd/demos/verify_start_end_handshape_annotations//test_auto_move//signs_mov_separ_signers/Brady_1363.mov" TargetMode="External"/><Relationship Id="rId12427" Type="http://schemas.openxmlformats.org/officeDocument/2006/relationships/hyperlink" Target="http://csr.bu.edu/ftp/asl/asllvd/demos/verify_start_end_handshape_annotations//test_auto_move//signs_mov_separ_signers/Liz_1366.mov" TargetMode="External"/><Relationship Id="rId12428" Type="http://schemas.openxmlformats.org/officeDocument/2006/relationships/hyperlink" Target="http://secrets.rutgers.edu:8080/data/asl-ftp/asllvd/demos/verify_start_end_handshape_annotations//test_auto_move//signs_mov_separ_signers/Liz_1366.mov" TargetMode="External"/><Relationship Id="rId12429" Type="http://schemas.openxmlformats.org/officeDocument/2006/relationships/hyperlink" Target="http://csr.bu.edu/ftp/asl/asllvd/demos/verify_start_end_handshape_annotations//test_auto_move//signs_mov/1366.mov" TargetMode="External"/><Relationship Id="rId12430" Type="http://schemas.openxmlformats.org/officeDocument/2006/relationships/hyperlink" Target="http://csr.bu.edu/ftp/asl/asllvd/demos/verify_start_end_handshape_annotations//test_auto_move//signs_mov_separ_signers/Tyler_1366.mov" TargetMode="External"/><Relationship Id="rId12431" Type="http://schemas.openxmlformats.org/officeDocument/2006/relationships/hyperlink" Target="http://secrets.rutgers.edu:8080/data/asl-ftp/asllvd/demos/verify_start_end_handshape_annotations//test_auto_move//signs_mov/1366.mov" TargetMode="External"/><Relationship Id="rId12432" Type="http://schemas.openxmlformats.org/officeDocument/2006/relationships/hyperlink" Target="http://secrets.rutgers.edu:8080/data/asl-ftp/asllvd/demos/verify_start_end_handshape_annotations//test_auto_move//signs_mov_separ_signers/Tyler_1366.mov" TargetMode="External"/><Relationship Id="rId12433" Type="http://schemas.openxmlformats.org/officeDocument/2006/relationships/hyperlink" Target="http://csr.bu.edu/ftp/asl/asllvd/demos/verify_start_end_handshape_annotations//test_auto_move//signs_mov_separ_signers/Naomi_1366.mov" TargetMode="External"/><Relationship Id="rId12434" Type="http://schemas.openxmlformats.org/officeDocument/2006/relationships/hyperlink" Target="http://secrets.rutgers.edu:8080/data/asl-ftp/asllvd/demos/verify_start_end_handshape_annotations//test_auto_move//signs_mov_separ_signers/Naomi_1366.mov" TargetMode="External"/><Relationship Id="rId12435" Type="http://schemas.openxmlformats.org/officeDocument/2006/relationships/hyperlink" Target="http://csr.bu.edu/ftp/asl/asllvd/demos/verify_start_end_handshape_annotations//test_auto_move//signs_mov_separ_signers/Brady_1366.mov" TargetMode="External"/><Relationship Id="rId12436" Type="http://schemas.openxmlformats.org/officeDocument/2006/relationships/hyperlink" Target="http://secrets.rutgers.edu:8080/data/asl-ftp/asllvd/demos/verify_start_end_handshape_annotations//test_auto_move//signs_mov_separ_signers/Brady_1366.mov" TargetMode="External"/><Relationship Id="rId12437" Type="http://schemas.openxmlformats.org/officeDocument/2006/relationships/hyperlink" Target="http://csr.bu.edu/ftp/asl/asllvd/demos/verify_start_end_handshape_annotations//test_auto_move//signs_mov/3348.mov" TargetMode="External"/><Relationship Id="rId12438" Type="http://schemas.openxmlformats.org/officeDocument/2006/relationships/hyperlink" Target="http://csr.bu.edu/ftp/asl/asllvd/demos/verify_start_end_handshape_annotations//test_auto_move//signs_mov_separ_signers/Tyler_3348.mov" TargetMode="External"/><Relationship Id="rId12439" Type="http://schemas.openxmlformats.org/officeDocument/2006/relationships/hyperlink" Target="http://secrets.rutgers.edu:8080/data/asl-ftp/asllvd/demos/verify_start_end_handshape_annotations//test_auto_move//signs_mov/3348.mov" TargetMode="External"/><Relationship Id="rId12440" Type="http://schemas.openxmlformats.org/officeDocument/2006/relationships/hyperlink" Target="http://secrets.rutgers.edu:8080/data/asl-ftp/asllvd/demos/verify_start_end_handshape_annotations//test_auto_move//signs_mov_separ_signers/Tyler_3348.mov" TargetMode="External"/><Relationship Id="rId12441" Type="http://schemas.openxmlformats.org/officeDocument/2006/relationships/hyperlink" Target="http://csr.bu.edu/ftp/asl/asllvd/demos/verify_start_end_handshape_annotations//test_auto_move//signs_mov_separ_signers/Liz_1369.mov" TargetMode="External"/><Relationship Id="rId12442" Type="http://schemas.openxmlformats.org/officeDocument/2006/relationships/hyperlink" Target="http://secrets.rutgers.edu:8080/data/asl-ftp/asllvd/demos/verify_start_end_handshape_annotations//test_auto_move//signs_mov_separ_signers/Liz_1369.mov" TargetMode="External"/><Relationship Id="rId12443" Type="http://schemas.openxmlformats.org/officeDocument/2006/relationships/hyperlink" Target="http://csr.bu.edu/ftp/asl/asllvd/demos/verify_start_end_handshape_annotations//test_auto_move//signs_mov_separ_signers/Tyler_1369.mov" TargetMode="External"/><Relationship Id="rId12444" Type="http://schemas.openxmlformats.org/officeDocument/2006/relationships/hyperlink" Target="http://secrets.rutgers.edu:8080/data/asl-ftp/asllvd/demos/verify_start_end_handshape_annotations//test_auto_move//signs_mov_separ_signers/Tyler_1369.mov" TargetMode="External"/><Relationship Id="rId12445" Type="http://schemas.openxmlformats.org/officeDocument/2006/relationships/hyperlink" Target="http://csr.bu.edu/ftp/asl/asllvd/demos/verify_start_end_handshape_annotations//test_auto_move//signs_mov/1369.mov" TargetMode="External"/><Relationship Id="rId12446" Type="http://schemas.openxmlformats.org/officeDocument/2006/relationships/hyperlink" Target="http://csr.bu.edu/ftp/asl/asllvd/demos/verify_start_end_handshape_annotations//test_auto_move//signs_mov_separ_signers/Naomi_1369.mov" TargetMode="External"/><Relationship Id="rId12447" Type="http://schemas.openxmlformats.org/officeDocument/2006/relationships/hyperlink" Target="http://secrets.rutgers.edu:8080/data/asl-ftp/asllvd/demos/verify_start_end_handshape_annotations//test_auto_move//signs_mov/1369.mov" TargetMode="External"/><Relationship Id="rId12448" Type="http://schemas.openxmlformats.org/officeDocument/2006/relationships/hyperlink" Target="http://secrets.rutgers.edu:8080/data/asl-ftp/asllvd/demos/verify_start_end_handshape_annotations//test_auto_move//signs_mov_separ_signers/Naomi_1369.mov" TargetMode="External"/><Relationship Id="rId12449" Type="http://schemas.openxmlformats.org/officeDocument/2006/relationships/hyperlink" Target="http://csr.bu.edu/ftp/asl/asllvd/demos/verify_start_end_handshape_annotations//test_auto_move//signs_mov_separ_signers/Brady_1369.mov" TargetMode="External"/><Relationship Id="rId12450" Type="http://schemas.openxmlformats.org/officeDocument/2006/relationships/hyperlink" Target="http://secrets.rutgers.edu:8080/data/asl-ftp/asllvd/demos/verify_start_end_handshape_annotations//test_auto_move//signs_mov_separ_signers/Brady_1369.mov" TargetMode="External"/><Relationship Id="rId12451" Type="http://schemas.openxmlformats.org/officeDocument/2006/relationships/hyperlink" Target="http://csr.bu.edu/ftp/asl/asllvd/demos/verify_start_end_handshape_annotations//test_auto_move//signs_mov_separ_signers/Lana_1369.mov" TargetMode="External"/><Relationship Id="rId12452" Type="http://schemas.openxmlformats.org/officeDocument/2006/relationships/hyperlink" Target="http://secrets.rutgers.edu:8080/data/asl-ftp/asllvd/demos/verify_start_end_handshape_annotations//test_auto_move//signs_mov_separ_signers/Lana_1369.mov" TargetMode="External"/><Relationship Id="rId12453" Type="http://schemas.openxmlformats.org/officeDocument/2006/relationships/hyperlink" Target="http://csr.bu.edu/ftp/asl/asllvd/demos/verify_start_end_handshape_annotations//test_auto_move//signs_mov_separ_signers/Dana_1369.mov" TargetMode="External"/><Relationship Id="rId12454" Type="http://schemas.openxmlformats.org/officeDocument/2006/relationships/hyperlink" Target="http://secrets.rutgers.edu:8080/data/asl-ftp/asllvd/demos/verify_start_end_handshape_annotations//test_auto_move//signs_mov_separ_signers/Dana_1369.mov" TargetMode="External"/><Relationship Id="rId12455" Type="http://schemas.openxmlformats.org/officeDocument/2006/relationships/hyperlink" Target="http://csr.bu.edu/ftp/asl/asllvd/demos/verify_start_end_handshape_annotations//test_auto_move//signs_mov_separ_signers/Liz_1370.mov" TargetMode="External"/><Relationship Id="rId12456" Type="http://schemas.openxmlformats.org/officeDocument/2006/relationships/hyperlink" Target="http://secrets.rutgers.edu:8080/data/asl-ftp/asllvd/demos/verify_start_end_handshape_annotations//test_auto_move//signs_mov_separ_signers/Liz_1370.mov" TargetMode="External"/><Relationship Id="rId12457" Type="http://schemas.openxmlformats.org/officeDocument/2006/relationships/hyperlink" Target="http://csr.bu.edu/ftp/asl/asllvd/demos/verify_start_end_handshape_annotations//test_auto_move//signs_mov/1370.mov" TargetMode="External"/><Relationship Id="rId12458" Type="http://schemas.openxmlformats.org/officeDocument/2006/relationships/hyperlink" Target="http://csr.bu.edu/ftp/asl/asllvd/demos/verify_start_end_handshape_annotations//test_auto_move//signs_mov_separ_signers/Tyler_1370.mov" TargetMode="External"/><Relationship Id="rId12459" Type="http://schemas.openxmlformats.org/officeDocument/2006/relationships/hyperlink" Target="http://secrets.rutgers.edu:8080/data/asl-ftp/asllvd/demos/verify_start_end_handshape_annotations//test_auto_move//signs_mov/1370.mov" TargetMode="External"/><Relationship Id="rId12460" Type="http://schemas.openxmlformats.org/officeDocument/2006/relationships/hyperlink" Target="http://secrets.rutgers.edu:8080/data/asl-ftp/asllvd/demos/verify_start_end_handshape_annotations//test_auto_move//signs_mov_separ_signers/Tyler_1370.mov" TargetMode="External"/><Relationship Id="rId12461" Type="http://schemas.openxmlformats.org/officeDocument/2006/relationships/hyperlink" Target="http://csr.bu.edu/ftp/asl/asllvd/demos/verify_start_end_handshape_annotations//test_auto_move//signs_mov_separ_signers/Naomi_1370.mov" TargetMode="External"/><Relationship Id="rId12462" Type="http://schemas.openxmlformats.org/officeDocument/2006/relationships/hyperlink" Target="http://secrets.rutgers.edu:8080/data/asl-ftp/asllvd/demos/verify_start_end_handshape_annotations//test_auto_move//signs_mov_separ_signers/Naomi_1370.mov" TargetMode="External"/><Relationship Id="rId12463" Type="http://schemas.openxmlformats.org/officeDocument/2006/relationships/hyperlink" Target="http://csr.bu.edu/ftp/asl/asllvd/demos/verify_start_end_handshape_annotations//test_auto_move//signs_mov_separ_signers/Brady_1370.mov" TargetMode="External"/><Relationship Id="rId12464" Type="http://schemas.openxmlformats.org/officeDocument/2006/relationships/hyperlink" Target="http://secrets.rutgers.edu:8080/data/asl-ftp/asllvd/demos/verify_start_end_handshape_annotations//test_auto_move//signs_mov_separ_signers/Brady_1370.mov" TargetMode="External"/><Relationship Id="rId12465" Type="http://schemas.openxmlformats.org/officeDocument/2006/relationships/hyperlink" Target="http://csr.bu.edu/ftp/asl/asllvd/demos/verify_start_end_handshape_annotations//test_auto_move//signs_mov_separ_signers/Liz_1371.mov" TargetMode="External"/><Relationship Id="rId12466" Type="http://schemas.openxmlformats.org/officeDocument/2006/relationships/hyperlink" Target="http://secrets.rutgers.edu:8080/data/asl-ftp/asllvd/demos/verify_start_end_handshape_annotations//test_auto_move//signs_mov_separ_signers/Liz_1371.mov" TargetMode="External"/><Relationship Id="rId12467" Type="http://schemas.openxmlformats.org/officeDocument/2006/relationships/hyperlink" Target="http://csr.bu.edu/ftp/asl/asllvd/demos/verify_start_end_handshape_annotations//test_auto_move//signs_mov_separ_signers/Tyler_1371.mov" TargetMode="External"/><Relationship Id="rId12468" Type="http://schemas.openxmlformats.org/officeDocument/2006/relationships/hyperlink" Target="http://secrets.rutgers.edu:8080/data/asl-ftp/asllvd/demos/verify_start_end_handshape_annotations//test_auto_move//signs_mov_separ_signers/Tyler_1371.mov" TargetMode="External"/><Relationship Id="rId12469" Type="http://schemas.openxmlformats.org/officeDocument/2006/relationships/hyperlink" Target="http://csr.bu.edu/ftp/asl/asllvd/demos/verify_start_end_handshape_annotations//test_auto_move//signs_mov/1371.mov" TargetMode="External"/><Relationship Id="rId12470" Type="http://schemas.openxmlformats.org/officeDocument/2006/relationships/hyperlink" Target="http://csr.bu.edu/ftp/asl/asllvd/demos/verify_start_end_handshape_annotations//test_auto_move//signs_mov_separ_signers/Naomi_1371.mov" TargetMode="External"/><Relationship Id="rId12471" Type="http://schemas.openxmlformats.org/officeDocument/2006/relationships/hyperlink" Target="http://secrets.rutgers.edu:8080/data/asl-ftp/asllvd/demos/verify_start_end_handshape_annotations//test_auto_move//signs_mov/1371.mov" TargetMode="External"/><Relationship Id="rId12472" Type="http://schemas.openxmlformats.org/officeDocument/2006/relationships/hyperlink" Target="http://secrets.rutgers.edu:8080/data/asl-ftp/asllvd/demos/verify_start_end_handshape_annotations//test_auto_move//signs_mov_separ_signers/Naomi_1371.mov" TargetMode="External"/><Relationship Id="rId12473" Type="http://schemas.openxmlformats.org/officeDocument/2006/relationships/hyperlink" Target="http://csr.bu.edu/ftp/asl/asllvd/demos/verify_start_end_handshape_annotations//test_auto_move//signs_mov_separ_signers/Brady_1371.mov" TargetMode="External"/><Relationship Id="rId12474" Type="http://schemas.openxmlformats.org/officeDocument/2006/relationships/hyperlink" Target="http://secrets.rutgers.edu:8080/data/asl-ftp/asllvd/demos/verify_start_end_handshape_annotations//test_auto_move//signs_mov_separ_signers/Brady_1371.mov" TargetMode="External"/><Relationship Id="rId12475" Type="http://schemas.openxmlformats.org/officeDocument/2006/relationships/hyperlink" Target="http://csr.bu.edu/ftp/asl/asllvd/demos/verify_start_end_handshape_annotations//test_auto_move//signs_mov_separ_signers/Lana_1371.mov" TargetMode="External"/><Relationship Id="rId12476" Type="http://schemas.openxmlformats.org/officeDocument/2006/relationships/hyperlink" Target="http://secrets.rutgers.edu:8080/data/asl-ftp/asllvd/demos/verify_start_end_handshape_annotations//test_auto_move//signs_mov_separ_signers/Lana_1371.mov" TargetMode="External"/><Relationship Id="rId12477" Type="http://schemas.openxmlformats.org/officeDocument/2006/relationships/hyperlink" Target="http://csr.bu.edu/ftp/asl/asllvd/demos/verify_start_end_handshape_annotations//test_auto_move//signs_mov_separ_signers/Dana_1371.mov" TargetMode="External"/><Relationship Id="rId12478" Type="http://schemas.openxmlformats.org/officeDocument/2006/relationships/hyperlink" Target="http://secrets.rutgers.edu:8080/data/asl-ftp/asllvd/demos/verify_start_end_handshape_annotations//test_auto_move//signs_mov_separ_signers/Dana_1371.mov" TargetMode="External"/><Relationship Id="rId12479" Type="http://schemas.openxmlformats.org/officeDocument/2006/relationships/hyperlink" Target="http://csr.bu.edu/ftp/asl/asllvd/demos/verify_start_end_handshape_annotations//test_auto_move//signs_mov/1372.mov" TargetMode="External"/><Relationship Id="rId12480" Type="http://schemas.openxmlformats.org/officeDocument/2006/relationships/hyperlink" Target="http://csr.bu.edu/ftp/asl/asllvd/demos/verify_start_end_handshape_annotations//test_auto_move//signs_mov_separ_signers/Liz_1372.mov" TargetMode="External"/><Relationship Id="rId12481" Type="http://schemas.openxmlformats.org/officeDocument/2006/relationships/hyperlink" Target="http://secrets.rutgers.edu:8080/data/asl-ftp/asllvd/demos/verify_start_end_handshape_annotations//test_auto_move//signs_mov/1372.mov" TargetMode="External"/><Relationship Id="rId12482" Type="http://schemas.openxmlformats.org/officeDocument/2006/relationships/hyperlink" Target="http://secrets.rutgers.edu:8080/data/asl-ftp/asllvd/demos/verify_start_end_handshape_annotations//test_auto_move//signs_mov_separ_signers/Liz_1372.mov" TargetMode="External"/><Relationship Id="rId12483" Type="http://schemas.openxmlformats.org/officeDocument/2006/relationships/hyperlink" Target="http://csr.bu.edu/ftp/asl/asllvd/demos/verify_start_end_handshape_annotations//test_auto_move//signs_mov_separ_signers/Naomi_1372.mov" TargetMode="External"/><Relationship Id="rId12484" Type="http://schemas.openxmlformats.org/officeDocument/2006/relationships/hyperlink" Target="http://secrets.rutgers.edu:8080/data/asl-ftp/asllvd/demos/verify_start_end_handshape_annotations//test_auto_move//signs_mov_separ_signers/Naomi_1372.mov" TargetMode="External"/><Relationship Id="rId12485" Type="http://schemas.openxmlformats.org/officeDocument/2006/relationships/hyperlink" Target="http://csr.bu.edu/ftp/asl/asllvd/demos/verify_start_end_handshape_annotations//test_auto_move//signs_mov_separ_signers/Liz_3670.mov" TargetMode="External"/><Relationship Id="rId12486" Type="http://schemas.openxmlformats.org/officeDocument/2006/relationships/hyperlink" Target="http://secrets.rutgers.edu:8080/data/asl-ftp/asllvd/demos/verify_start_end_handshape_annotations//test_auto_move//signs_mov_separ_signers/Liz_3670.mov" TargetMode="External"/><Relationship Id="rId12487" Type="http://schemas.openxmlformats.org/officeDocument/2006/relationships/hyperlink" Target="http://csr.bu.edu/ftp/asl/asllvd/demos/verify_start_end_handshape_annotations//test_auto_move//signs_mov/3670.mov" TargetMode="External"/><Relationship Id="rId12488" Type="http://schemas.openxmlformats.org/officeDocument/2006/relationships/hyperlink" Target="http://csr.bu.edu/ftp/asl/asllvd/demos/verify_start_end_handshape_annotations//test_auto_move//signs_mov_separ_signers/Tyler_3670.mov" TargetMode="External"/><Relationship Id="rId12489" Type="http://schemas.openxmlformats.org/officeDocument/2006/relationships/hyperlink" Target="http://secrets.rutgers.edu:8080/data/asl-ftp/asllvd/demos/verify_start_end_handshape_annotations//test_auto_move//signs_mov/3670.mov" TargetMode="External"/><Relationship Id="rId12490" Type="http://schemas.openxmlformats.org/officeDocument/2006/relationships/hyperlink" Target="http://secrets.rutgers.edu:8080/data/asl-ftp/asllvd/demos/verify_start_end_handshape_annotations//test_auto_move//signs_mov_separ_signers/Tyler_3670.mov" TargetMode="External"/><Relationship Id="rId12491" Type="http://schemas.openxmlformats.org/officeDocument/2006/relationships/hyperlink" Target="http://csr.bu.edu/ftp/asl/asllvd/demos/verify_start_end_handshape_annotations//test_auto_move//signs_mov_separ_signers/Naomi_3670.mov" TargetMode="External"/><Relationship Id="rId12492" Type="http://schemas.openxmlformats.org/officeDocument/2006/relationships/hyperlink" Target="http://secrets.rutgers.edu:8080/data/asl-ftp/asllvd/demos/verify_start_end_handshape_annotations//test_auto_move//signs_mov_separ_signers/Naomi_3670.mov" TargetMode="External"/><Relationship Id="rId12493" Type="http://schemas.openxmlformats.org/officeDocument/2006/relationships/hyperlink" Target="http://csr.bu.edu/ftp/asl/asllvd/demos/verify_start_end_handshape_annotations//test_auto_move//signs_mov_separ_signers/Brady_3670.mov" TargetMode="External"/><Relationship Id="rId12494" Type="http://schemas.openxmlformats.org/officeDocument/2006/relationships/hyperlink" Target="http://secrets.rutgers.edu:8080/data/asl-ftp/asllvd/demos/verify_start_end_handshape_annotations//test_auto_move//signs_mov_separ_signers/Brady_3670.mov" TargetMode="External"/><Relationship Id="rId12495" Type="http://schemas.openxmlformats.org/officeDocument/2006/relationships/hyperlink" Target="http://csr.bu.edu/ftp/asl/asllvd/demos/verify_start_end_handshape_annotations//test_auto_move//signs_mov_separ_signers/Liz_1374.mov" TargetMode="External"/><Relationship Id="rId12496" Type="http://schemas.openxmlformats.org/officeDocument/2006/relationships/hyperlink" Target="http://secrets.rutgers.edu:8080/data/asl-ftp/asllvd/demos/verify_start_end_handshape_annotations//test_auto_move//signs_mov_separ_signers/Liz_1374.mov" TargetMode="External"/><Relationship Id="rId12497" Type="http://schemas.openxmlformats.org/officeDocument/2006/relationships/hyperlink" Target="http://csr.bu.edu/ftp/asl/asllvd/demos/verify_start_end_handshape_annotations//test_auto_move//signs_mov/1374.mov" TargetMode="External"/><Relationship Id="rId12498" Type="http://schemas.openxmlformats.org/officeDocument/2006/relationships/hyperlink" Target="http://csr.bu.edu/ftp/asl/asllvd/demos/verify_start_end_handshape_annotations//test_auto_move//signs_mov_separ_signers/Tyler_1374.mov" TargetMode="External"/><Relationship Id="rId12499" Type="http://schemas.openxmlformats.org/officeDocument/2006/relationships/hyperlink" Target="http://secrets.rutgers.edu:8080/data/asl-ftp/asllvd/demos/verify_start_end_handshape_annotations//test_auto_move//signs_mov/1374.mov" TargetMode="External"/><Relationship Id="rId12500" Type="http://schemas.openxmlformats.org/officeDocument/2006/relationships/hyperlink" Target="http://secrets.rutgers.edu:8080/data/asl-ftp/asllvd/demos/verify_start_end_handshape_annotations//test_auto_move//signs_mov_separ_signers/Tyler_1374.mov" TargetMode="External"/><Relationship Id="rId12501" Type="http://schemas.openxmlformats.org/officeDocument/2006/relationships/hyperlink" Target="http://csr.bu.edu/ftp/asl/asllvd/demos/verify_start_end_handshape_annotations//test_auto_move//signs_mov_separ_signers/Naomi_1374.mov" TargetMode="External"/><Relationship Id="rId12502" Type="http://schemas.openxmlformats.org/officeDocument/2006/relationships/hyperlink" Target="http://secrets.rutgers.edu:8080/data/asl-ftp/asllvd/demos/verify_start_end_handshape_annotations//test_auto_move//signs_mov_separ_signers/Naomi_1374.mov" TargetMode="External"/><Relationship Id="rId12503" Type="http://schemas.openxmlformats.org/officeDocument/2006/relationships/hyperlink" Target="http://csr.bu.edu/ftp/asl/asllvd/demos/verify_start_end_handshape_annotations//test_auto_move//signs_mov_separ_signers/Brady_1374.mov" TargetMode="External"/><Relationship Id="rId12504" Type="http://schemas.openxmlformats.org/officeDocument/2006/relationships/hyperlink" Target="http://secrets.rutgers.edu:8080/data/asl-ftp/asllvd/demos/verify_start_end_handshape_annotations//test_auto_move//signs_mov_separ_signers/Brady_1374.mov" TargetMode="External"/><Relationship Id="rId12505" Type="http://schemas.openxmlformats.org/officeDocument/2006/relationships/hyperlink" Target="http://csr.bu.edu/ftp/asl/asllvd/demos/verify_start_end_handshape_annotations//test_auto_move//signs_mov/1375.mov" TargetMode="External"/><Relationship Id="rId12506" Type="http://schemas.openxmlformats.org/officeDocument/2006/relationships/hyperlink" Target="http://csr.bu.edu/ftp/asl/asllvd/demos/verify_start_end_handshape_annotations//test_auto_move//signs_mov_separ_signers/Liz_1375.mov" TargetMode="External"/><Relationship Id="rId12507" Type="http://schemas.openxmlformats.org/officeDocument/2006/relationships/hyperlink" Target="http://secrets.rutgers.edu:8080/data/asl-ftp/asllvd/demos/verify_start_end_handshape_annotations//test_auto_move//signs_mov/1375.mov" TargetMode="External"/><Relationship Id="rId12508" Type="http://schemas.openxmlformats.org/officeDocument/2006/relationships/hyperlink" Target="http://secrets.rutgers.edu:8080/data/asl-ftp/asllvd/demos/verify_start_end_handshape_annotations//test_auto_move//signs_mov_separ_signers/Liz_1375.mov" TargetMode="External"/><Relationship Id="rId12509" Type="http://schemas.openxmlformats.org/officeDocument/2006/relationships/hyperlink" Target="http://csr.bu.edu/ftp/asl/asllvd/demos/verify_start_end_handshape_annotations//test_auto_move//signs_mov_separ_signers/Liz_1376.mov" TargetMode="External"/><Relationship Id="rId12510" Type="http://schemas.openxmlformats.org/officeDocument/2006/relationships/hyperlink" Target="http://secrets.rutgers.edu:8080/data/asl-ftp/asllvd/demos/verify_start_end_handshape_annotations//test_auto_move//signs_mov_separ_signers/Liz_1376.mov" TargetMode="External"/><Relationship Id="rId12511" Type="http://schemas.openxmlformats.org/officeDocument/2006/relationships/hyperlink" Target="http://csr.bu.edu/ftp/asl/asllvd/demos/verify_start_end_handshape_annotations//test_auto_move//signs_mov_separ_signers/Tyler_1376.mov" TargetMode="External"/><Relationship Id="rId12512" Type="http://schemas.openxmlformats.org/officeDocument/2006/relationships/hyperlink" Target="http://secrets.rutgers.edu:8080/data/asl-ftp/asllvd/demos/verify_start_end_handshape_annotations//test_auto_move//signs_mov_separ_signers/Tyler_1376.mov" TargetMode="External"/><Relationship Id="rId12513" Type="http://schemas.openxmlformats.org/officeDocument/2006/relationships/hyperlink" Target="http://csr.bu.edu/ftp/asl/asllvd/demos/verify_start_end_handshape_annotations//test_auto_move//signs_mov/1376_5314_merged.mov" TargetMode="External"/><Relationship Id="rId12514" Type="http://schemas.openxmlformats.org/officeDocument/2006/relationships/hyperlink" Target="http://csr.bu.edu/ftp/asl/asllvd/demos/verify_start_end_handshape_annotations//test_auto_move//signs_mov_separ_signers/Naomi_1376.mov" TargetMode="External"/><Relationship Id="rId12515" Type="http://schemas.openxmlformats.org/officeDocument/2006/relationships/hyperlink" Target="http://secrets.rutgers.edu:8080/data/asl-ftp/asllvd/demos/verify_start_end_handshape_annotations//test_auto_move//signs_mov/1376_5314_merged.mov" TargetMode="External"/><Relationship Id="rId12516" Type="http://schemas.openxmlformats.org/officeDocument/2006/relationships/hyperlink" Target="http://secrets.rutgers.edu:8080/data/asl-ftp/asllvd/demos/verify_start_end_handshape_annotations//test_auto_move//signs_mov_separ_signers/Naomi_1376.mov" TargetMode="External"/><Relationship Id="rId12517" Type="http://schemas.openxmlformats.org/officeDocument/2006/relationships/hyperlink" Target="http://csr.bu.edu/ftp/asl/asllvd/demos/verify_start_end_handshape_annotations//test_auto_move//signs_mov_separ_signers/Brady_1376.mov" TargetMode="External"/><Relationship Id="rId12518" Type="http://schemas.openxmlformats.org/officeDocument/2006/relationships/hyperlink" Target="http://secrets.rutgers.edu:8080/data/asl-ftp/asllvd/demos/verify_start_end_handshape_annotations//test_auto_move//signs_mov_separ_signers/Brady_1376.mov" TargetMode="External"/><Relationship Id="rId12519" Type="http://schemas.openxmlformats.org/officeDocument/2006/relationships/hyperlink" Target="http://csr.bu.edu/ftp/asl/asllvd/demos/verify_start_end_handshape_annotations//test_auto_move//signs_mov_separ_signers/Brady_5314.mov" TargetMode="External"/><Relationship Id="rId12520" Type="http://schemas.openxmlformats.org/officeDocument/2006/relationships/hyperlink" Target="http://secrets.rutgers.edu:8080/data/asl-ftp/asllvd/demos/verify_start_end_handshape_annotations//test_auto_move//signs_mov_separ_signers/Brady_5314.mov" TargetMode="External"/><Relationship Id="rId12521" Type="http://schemas.openxmlformats.org/officeDocument/2006/relationships/hyperlink" Target="http://csr.bu.edu/ftp/asl/asllvd/demos/verify_start_end_handshape_annotations//test_auto_move//signs_mov_separ_signers/Dana_1376.mov" TargetMode="External"/><Relationship Id="rId12522" Type="http://schemas.openxmlformats.org/officeDocument/2006/relationships/hyperlink" Target="http://secrets.rutgers.edu:8080/data/asl-ftp/asllvd/demos/verify_start_end_handshape_annotations//test_auto_move//signs_mov_separ_signers/Dana_1376.mov" TargetMode="External"/><Relationship Id="rId12523" Type="http://schemas.openxmlformats.org/officeDocument/2006/relationships/hyperlink" Target="http://csr.bu.edu/ftp/asl/asllvd/demos/verify_start_end_handshape_annotations//test_auto_move//signs_mov_separ_signers/Liz_1378.mov" TargetMode="External"/><Relationship Id="rId12524" Type="http://schemas.openxmlformats.org/officeDocument/2006/relationships/hyperlink" Target="http://secrets.rutgers.edu:8080/data/asl-ftp/asllvd/demos/verify_start_end_handshape_annotations//test_auto_move//signs_mov_separ_signers/Liz_1378.mov" TargetMode="External"/><Relationship Id="rId12525" Type="http://schemas.openxmlformats.org/officeDocument/2006/relationships/hyperlink" Target="http://csr.bu.edu/ftp/asl/asllvd/demos/verify_start_end_handshape_annotations//test_auto_move//signs_mov_separ_signers/Tyler_1378.mov" TargetMode="External"/><Relationship Id="rId12526" Type="http://schemas.openxmlformats.org/officeDocument/2006/relationships/hyperlink" Target="http://secrets.rutgers.edu:8080/data/asl-ftp/asllvd/demos/verify_start_end_handshape_annotations//test_auto_move//signs_mov_separ_signers/Tyler_1378.mov" TargetMode="External"/><Relationship Id="rId12527" Type="http://schemas.openxmlformats.org/officeDocument/2006/relationships/hyperlink" Target="http://csr.bu.edu/ftp/asl/asllvd/demos/verify_start_end_handshape_annotations//test_auto_move//signs_mov/1378.mov" TargetMode="External"/><Relationship Id="rId12528" Type="http://schemas.openxmlformats.org/officeDocument/2006/relationships/hyperlink" Target="http://csr.bu.edu/ftp/asl/asllvd/demos/verify_start_end_handshape_annotations//test_auto_move//signs_mov_separ_signers/Naomi_1378.mov" TargetMode="External"/><Relationship Id="rId12529" Type="http://schemas.openxmlformats.org/officeDocument/2006/relationships/hyperlink" Target="http://secrets.rutgers.edu:8080/data/asl-ftp/asllvd/demos/verify_start_end_handshape_annotations//test_auto_move//signs_mov/1378.mov" TargetMode="External"/><Relationship Id="rId12530" Type="http://schemas.openxmlformats.org/officeDocument/2006/relationships/hyperlink" Target="http://secrets.rutgers.edu:8080/data/asl-ftp/asllvd/demos/verify_start_end_handshape_annotations//test_auto_move//signs_mov_separ_signers/Naomi_1378.mov" TargetMode="External"/><Relationship Id="rId12531" Type="http://schemas.openxmlformats.org/officeDocument/2006/relationships/hyperlink" Target="http://csr.bu.edu/ftp/asl/asllvd/demos/verify_start_end_handshape_annotations//test_auto_move//signs_mov_separ_signers/Brady_1378.mov" TargetMode="External"/><Relationship Id="rId12532" Type="http://schemas.openxmlformats.org/officeDocument/2006/relationships/hyperlink" Target="http://secrets.rutgers.edu:8080/data/asl-ftp/asllvd/demos/verify_start_end_handshape_annotations//test_auto_move//signs_mov_separ_signers/Brady_1378.mov" TargetMode="External"/><Relationship Id="rId12533" Type="http://schemas.openxmlformats.org/officeDocument/2006/relationships/hyperlink" Target="http://csr.bu.edu/ftp/asl/asllvd/demos/verify_start_end_handshape_annotations//test_auto_move//signs_mov_separ_signers/Lana_1378.mov" TargetMode="External"/><Relationship Id="rId12534" Type="http://schemas.openxmlformats.org/officeDocument/2006/relationships/hyperlink" Target="http://secrets.rutgers.edu:8080/data/asl-ftp/asllvd/demos/verify_start_end_handshape_annotations//test_auto_move//signs_mov_separ_signers/Lana_1378.mov" TargetMode="External"/><Relationship Id="rId12535" Type="http://schemas.openxmlformats.org/officeDocument/2006/relationships/hyperlink" Target="http://csr.bu.edu/ftp/asl/asllvd/demos/verify_start_end_handshape_annotations//test_auto_move//signs_mov_separ_signers/Dana_1378.mov" TargetMode="External"/><Relationship Id="rId12536" Type="http://schemas.openxmlformats.org/officeDocument/2006/relationships/hyperlink" Target="http://secrets.rutgers.edu:8080/data/asl-ftp/asllvd/demos/verify_start_end_handshape_annotations//test_auto_move//signs_mov_separ_signers/Dana_1378.mov" TargetMode="External"/><Relationship Id="rId12537" Type="http://schemas.openxmlformats.org/officeDocument/2006/relationships/hyperlink" Target="http://csr.bu.edu/ftp/asl/asllvd/demos/verify_start_end_handshape_annotations//test_auto_move//signs_mov_separ_signers/Liz_1379.mov" TargetMode="External"/><Relationship Id="rId12538" Type="http://schemas.openxmlformats.org/officeDocument/2006/relationships/hyperlink" Target="http://secrets.rutgers.edu:8080/data/asl-ftp/asllvd/demos/verify_start_end_handshape_annotations//test_auto_move//signs_mov_separ_signers/Liz_1379.mov" TargetMode="External"/><Relationship Id="rId12539" Type="http://schemas.openxmlformats.org/officeDocument/2006/relationships/hyperlink" Target="http://csr.bu.edu/ftp/asl/asllvd/demos/verify_start_end_handshape_annotations//test_auto_move//signs_mov_separ_signers/Tyler_1379.mov" TargetMode="External"/><Relationship Id="rId12540" Type="http://schemas.openxmlformats.org/officeDocument/2006/relationships/hyperlink" Target="http://secrets.rutgers.edu:8080/data/asl-ftp/asllvd/demos/verify_start_end_handshape_annotations//test_auto_move//signs_mov_separ_signers/Tyler_1379.mov" TargetMode="External"/><Relationship Id="rId12541" Type="http://schemas.openxmlformats.org/officeDocument/2006/relationships/hyperlink" Target="http://csr.bu.edu/ftp/asl/asllvd/demos/verify_start_end_handshape_annotations//test_auto_move//signs_mov/1379.mov" TargetMode="External"/><Relationship Id="rId12542" Type="http://schemas.openxmlformats.org/officeDocument/2006/relationships/hyperlink" Target="http://csr.bu.edu/ftp/asl/asllvd/demos/verify_start_end_handshape_annotations//test_auto_move//signs_mov_separ_signers/Naomi_1379.mov" TargetMode="External"/><Relationship Id="rId12543" Type="http://schemas.openxmlformats.org/officeDocument/2006/relationships/hyperlink" Target="http://secrets.rutgers.edu:8080/data/asl-ftp/asllvd/demos/verify_start_end_handshape_annotations//test_auto_move//signs_mov/1379.mov" TargetMode="External"/><Relationship Id="rId12544" Type="http://schemas.openxmlformats.org/officeDocument/2006/relationships/hyperlink" Target="http://secrets.rutgers.edu:8080/data/asl-ftp/asllvd/demos/verify_start_end_handshape_annotations//test_auto_move//signs_mov_separ_signers/Naomi_1379.mov" TargetMode="External"/><Relationship Id="rId12545" Type="http://schemas.openxmlformats.org/officeDocument/2006/relationships/hyperlink" Target="http://csr.bu.edu/ftp/asl/asllvd/demos/verify_start_end_handshape_annotations//test_auto_move//signs_mov_separ_signers/Brady_1379.mov" TargetMode="External"/><Relationship Id="rId12546" Type="http://schemas.openxmlformats.org/officeDocument/2006/relationships/hyperlink" Target="http://secrets.rutgers.edu:8080/data/asl-ftp/asllvd/demos/verify_start_end_handshape_annotations//test_auto_move//signs_mov_separ_signers/Brady_1379.mov" TargetMode="External"/><Relationship Id="rId12547" Type="http://schemas.openxmlformats.org/officeDocument/2006/relationships/hyperlink" Target="http://csr.bu.edu/ftp/asl/asllvd/demos/verify_start_end_handshape_annotations//test_auto_move//signs_mov_separ_signers/Lana_1379.mov" TargetMode="External"/><Relationship Id="rId12548" Type="http://schemas.openxmlformats.org/officeDocument/2006/relationships/hyperlink" Target="http://secrets.rutgers.edu:8080/data/asl-ftp/asllvd/demos/verify_start_end_handshape_annotations//test_auto_move//signs_mov_separ_signers/Lana_1379.mov" TargetMode="External"/><Relationship Id="rId12549" Type="http://schemas.openxmlformats.org/officeDocument/2006/relationships/hyperlink" Target="http://csr.bu.edu/ftp/asl/asllvd/demos/verify_start_end_handshape_annotations//test_auto_move//signs_mov_separ_signers/Dana_1379.mov" TargetMode="External"/><Relationship Id="rId12550" Type="http://schemas.openxmlformats.org/officeDocument/2006/relationships/hyperlink" Target="http://secrets.rutgers.edu:8080/data/asl-ftp/asllvd/demos/verify_start_end_handshape_annotations//test_auto_move//signs_mov_separ_signers/Dana_1379.mov" TargetMode="External"/><Relationship Id="rId12551" Type="http://schemas.openxmlformats.org/officeDocument/2006/relationships/hyperlink" Target="http://csr.bu.edu/ftp/asl/asllvd/demos/verify_start_end_handshape_annotations//test_auto_move//signs_mov_separ_signers/Liz_1380.mov" TargetMode="External"/><Relationship Id="rId12552" Type="http://schemas.openxmlformats.org/officeDocument/2006/relationships/hyperlink" Target="http://secrets.rutgers.edu:8080/data/asl-ftp/asllvd/demos/verify_start_end_handshape_annotations//test_auto_move//signs_mov_separ_signers/Liz_1380.mov" TargetMode="External"/><Relationship Id="rId12553" Type="http://schemas.openxmlformats.org/officeDocument/2006/relationships/hyperlink" Target="http://csr.bu.edu/ftp/asl/asllvd/demos/verify_start_end_handshape_annotations//test_auto_move//signs_mov/1380.mov" TargetMode="External"/><Relationship Id="rId12554" Type="http://schemas.openxmlformats.org/officeDocument/2006/relationships/hyperlink" Target="http://csr.bu.edu/ftp/asl/asllvd/demos/verify_start_end_handshape_annotations//test_auto_move//signs_mov_separ_signers/Tyler_1380.mov" TargetMode="External"/><Relationship Id="rId12555" Type="http://schemas.openxmlformats.org/officeDocument/2006/relationships/hyperlink" Target="http://secrets.rutgers.edu:8080/data/asl-ftp/asllvd/demos/verify_start_end_handshape_annotations//test_auto_move//signs_mov/1380.mov" TargetMode="External"/><Relationship Id="rId12556" Type="http://schemas.openxmlformats.org/officeDocument/2006/relationships/hyperlink" Target="http://secrets.rutgers.edu:8080/data/asl-ftp/asllvd/demos/verify_start_end_handshape_annotations//test_auto_move//signs_mov_separ_signers/Tyler_1380.mov" TargetMode="External"/><Relationship Id="rId12557" Type="http://schemas.openxmlformats.org/officeDocument/2006/relationships/hyperlink" Target="http://csr.bu.edu/ftp/asl/asllvd/demos/verify_start_end_handshape_annotations//test_auto_move//signs_mov_separ_signers/Naomi_1380.mov" TargetMode="External"/><Relationship Id="rId12558" Type="http://schemas.openxmlformats.org/officeDocument/2006/relationships/hyperlink" Target="http://secrets.rutgers.edu:8080/data/asl-ftp/asllvd/demos/verify_start_end_handshape_annotations//test_auto_move//signs_mov_separ_signers/Naomi_1380.mov" TargetMode="External"/><Relationship Id="rId12559" Type="http://schemas.openxmlformats.org/officeDocument/2006/relationships/hyperlink" Target="http://csr.bu.edu/ftp/asl/asllvd/demos/verify_start_end_handshape_annotations//test_auto_move//signs_mov_separ_signers/Brady_1380.mov" TargetMode="External"/><Relationship Id="rId12560" Type="http://schemas.openxmlformats.org/officeDocument/2006/relationships/hyperlink" Target="http://secrets.rutgers.edu:8080/data/asl-ftp/asllvd/demos/verify_start_end_handshape_annotations//test_auto_move//signs_mov_separ_signers/Brady_1380.mov" TargetMode="External"/><Relationship Id="rId12561" Type="http://schemas.openxmlformats.org/officeDocument/2006/relationships/hyperlink" Target="http://csr.bu.edu/ftp/asl/asllvd/demos/verify_start_end_handshape_annotations//test_auto_move//signs_mov_separ_signers/Liz_1382.mov" TargetMode="External"/><Relationship Id="rId12562" Type="http://schemas.openxmlformats.org/officeDocument/2006/relationships/hyperlink" Target="http://secrets.rutgers.edu:8080/data/asl-ftp/asllvd/demos/verify_start_end_handshape_annotations//test_auto_move//signs_mov_separ_signers/Liz_1382.mov" TargetMode="External"/><Relationship Id="rId12563" Type="http://schemas.openxmlformats.org/officeDocument/2006/relationships/hyperlink" Target="http://csr.bu.edu/ftp/asl/asllvd/demos/verify_start_end_handshape_annotations//test_auto_move//signs_mov/1382.mov" TargetMode="External"/><Relationship Id="rId12564" Type="http://schemas.openxmlformats.org/officeDocument/2006/relationships/hyperlink" Target="http://csr.bu.edu/ftp/asl/asllvd/demos/verify_start_end_handshape_annotations//test_auto_move//signs_mov_separ_signers/Tyler_1382.mov" TargetMode="External"/><Relationship Id="rId12565" Type="http://schemas.openxmlformats.org/officeDocument/2006/relationships/hyperlink" Target="http://secrets.rutgers.edu:8080/data/asl-ftp/asllvd/demos/verify_start_end_handshape_annotations//test_auto_move//signs_mov/1382.mov" TargetMode="External"/><Relationship Id="rId12566" Type="http://schemas.openxmlformats.org/officeDocument/2006/relationships/hyperlink" Target="http://secrets.rutgers.edu:8080/data/asl-ftp/asllvd/demos/verify_start_end_handshape_annotations//test_auto_move//signs_mov_separ_signers/Tyler_1382.mov" TargetMode="External"/><Relationship Id="rId12567" Type="http://schemas.openxmlformats.org/officeDocument/2006/relationships/hyperlink" Target="http://csr.bu.edu/ftp/asl/asllvd/demos/verify_start_end_handshape_annotations//test_auto_move//signs_mov_separ_signers/Naomi_1382.mov" TargetMode="External"/><Relationship Id="rId12568" Type="http://schemas.openxmlformats.org/officeDocument/2006/relationships/hyperlink" Target="http://secrets.rutgers.edu:8080/data/asl-ftp/asllvd/demos/verify_start_end_handshape_annotations//test_auto_move//signs_mov_separ_signers/Naomi_1382.mov" TargetMode="External"/><Relationship Id="rId12569" Type="http://schemas.openxmlformats.org/officeDocument/2006/relationships/hyperlink" Target="http://csr.bu.edu/ftp/asl/asllvd/demos/verify_start_end_handshape_annotations//test_auto_move//signs_mov_separ_signers/Brady_1382.mov" TargetMode="External"/><Relationship Id="rId12570" Type="http://schemas.openxmlformats.org/officeDocument/2006/relationships/hyperlink" Target="http://secrets.rutgers.edu:8080/data/asl-ftp/asllvd/demos/verify_start_end_handshape_annotations//test_auto_move//signs_mov_separ_signers/Brady_1382.mov" TargetMode="External"/><Relationship Id="rId12571" Type="http://schemas.openxmlformats.org/officeDocument/2006/relationships/hyperlink" Target="http://csr.bu.edu/ftp/asl/asllvd/demos/verify_start_end_handshape_annotations//test_auto_move//signs_mov_separ_signers/Liz_1385.mov" TargetMode="External"/><Relationship Id="rId12572" Type="http://schemas.openxmlformats.org/officeDocument/2006/relationships/hyperlink" Target="http://secrets.rutgers.edu:8080/data/asl-ftp/asllvd/demos/verify_start_end_handshape_annotations//test_auto_move//signs_mov_separ_signers/Liz_1385.mov" TargetMode="External"/><Relationship Id="rId12573" Type="http://schemas.openxmlformats.org/officeDocument/2006/relationships/hyperlink" Target="http://csr.bu.edu/ftp/asl/asllvd/demos/verify_start_end_handshape_annotations//test_auto_move//signs_mov_separ_signers/Liz_3677.mov" TargetMode="External"/><Relationship Id="rId12574" Type="http://schemas.openxmlformats.org/officeDocument/2006/relationships/hyperlink" Target="http://secrets.rutgers.edu:8080/data/asl-ftp/asllvd/demos/verify_start_end_handshape_annotations//test_auto_move//signs_mov_separ_signers/Liz_3677.mov" TargetMode="External"/><Relationship Id="rId12575" Type="http://schemas.openxmlformats.org/officeDocument/2006/relationships/hyperlink" Target="http://csr.bu.edu/ftp/asl/asllvd/demos/verify_start_end_handshape_annotations//test_auto_move//signs_mov_separ_signers/Tyler_1385.mov" TargetMode="External"/><Relationship Id="rId12576" Type="http://schemas.openxmlformats.org/officeDocument/2006/relationships/hyperlink" Target="http://secrets.rutgers.edu:8080/data/asl-ftp/asllvd/demos/verify_start_end_handshape_annotations//test_auto_move//signs_mov_separ_signers/Tyler_1385.mov" TargetMode="External"/><Relationship Id="rId12577" Type="http://schemas.openxmlformats.org/officeDocument/2006/relationships/hyperlink" Target="http://csr.bu.edu/ftp/asl/asllvd/demos/verify_start_end_handshape_annotations//test_auto_move//signs_mov_separ_signers/Tyler_3677.mov" TargetMode="External"/><Relationship Id="rId12578" Type="http://schemas.openxmlformats.org/officeDocument/2006/relationships/hyperlink" Target="http://secrets.rutgers.edu:8080/data/asl-ftp/asllvd/demos/verify_start_end_handshape_annotations//test_auto_move//signs_mov_separ_signers/Tyler_3677.mov" TargetMode="External"/><Relationship Id="rId12579" Type="http://schemas.openxmlformats.org/officeDocument/2006/relationships/hyperlink" Target="http://csr.bu.edu/ftp/asl/asllvd/demos/verify_start_end_handshape_annotations//test_auto_move//signs_mov/1385_3677_merged.mov" TargetMode="External"/><Relationship Id="rId12580" Type="http://schemas.openxmlformats.org/officeDocument/2006/relationships/hyperlink" Target="http://csr.bu.edu/ftp/asl/asllvd/demos/verify_start_end_handshape_annotations//test_auto_move//signs_mov_separ_signers/Naomi_1385.mov" TargetMode="External"/><Relationship Id="rId12581" Type="http://schemas.openxmlformats.org/officeDocument/2006/relationships/hyperlink" Target="http://secrets.rutgers.edu:8080/data/asl-ftp/asllvd/demos/verify_start_end_handshape_annotations//test_auto_move//signs_mov/1385_3677_merged.mov" TargetMode="External"/><Relationship Id="rId12582" Type="http://schemas.openxmlformats.org/officeDocument/2006/relationships/hyperlink" Target="http://secrets.rutgers.edu:8080/data/asl-ftp/asllvd/demos/verify_start_end_handshape_annotations//test_auto_move//signs_mov_separ_signers/Naomi_1385.mov" TargetMode="External"/><Relationship Id="rId12583" Type="http://schemas.openxmlformats.org/officeDocument/2006/relationships/hyperlink" Target="http://csr.bu.edu/ftp/asl/asllvd/demos/verify_start_end_handshape_annotations//test_auto_move//signs_mov_separ_signers/Naomi_3677.mov" TargetMode="External"/><Relationship Id="rId12584" Type="http://schemas.openxmlformats.org/officeDocument/2006/relationships/hyperlink" Target="http://secrets.rutgers.edu:8080/data/asl-ftp/asllvd/demos/verify_start_end_handshape_annotations//test_auto_move//signs_mov_separ_signers/Naomi_3677.mov" TargetMode="External"/><Relationship Id="rId12585" Type="http://schemas.openxmlformats.org/officeDocument/2006/relationships/hyperlink" Target="http://csr.bu.edu/ftp/asl/asllvd/demos/verify_start_end_handshape_annotations//test_auto_move//signs_mov_separ_signers/Brady_1385.mov" TargetMode="External"/><Relationship Id="rId12586" Type="http://schemas.openxmlformats.org/officeDocument/2006/relationships/hyperlink" Target="http://secrets.rutgers.edu:8080/data/asl-ftp/asllvd/demos/verify_start_end_handshape_annotations//test_auto_move//signs_mov_separ_signers/Brady_1385.mov" TargetMode="External"/><Relationship Id="rId12587" Type="http://schemas.openxmlformats.org/officeDocument/2006/relationships/hyperlink" Target="http://csr.bu.edu/ftp/asl/asllvd/demos/verify_start_end_handshape_annotations//test_auto_move//signs_mov_separ_signers/Brady_3677.mov" TargetMode="External"/><Relationship Id="rId12588" Type="http://schemas.openxmlformats.org/officeDocument/2006/relationships/hyperlink" Target="http://secrets.rutgers.edu:8080/data/asl-ftp/asllvd/demos/verify_start_end_handshape_annotations//test_auto_move//signs_mov_separ_signers/Brady_3677.mov" TargetMode="External"/><Relationship Id="rId12589" Type="http://schemas.openxmlformats.org/officeDocument/2006/relationships/hyperlink" Target="http://csr.bu.edu/ftp/asl/asllvd/demos/verify_start_end_handshape_annotations//test_auto_move//signs_mov_separ_signers/Dana_1385.mov" TargetMode="External"/><Relationship Id="rId12590" Type="http://schemas.openxmlformats.org/officeDocument/2006/relationships/hyperlink" Target="http://secrets.rutgers.edu:8080/data/asl-ftp/asllvd/demos/verify_start_end_handshape_annotations//test_auto_move//signs_mov_separ_signers/Dana_1385.mov" TargetMode="External"/><Relationship Id="rId12591" Type="http://schemas.openxmlformats.org/officeDocument/2006/relationships/hyperlink" Target="http://csr.bu.edu/ftp/asl/asllvd/demos/verify_start_end_handshape_annotations//test_auto_move//signs_mov_separ_signers/Liz_1394.mov" TargetMode="External"/><Relationship Id="rId12592" Type="http://schemas.openxmlformats.org/officeDocument/2006/relationships/hyperlink" Target="http://secrets.rutgers.edu:8080/data/asl-ftp/asllvd/demos/verify_start_end_handshape_annotations//test_auto_move//signs_mov_separ_signers/Liz_1394.mov" TargetMode="External"/><Relationship Id="rId12593" Type="http://schemas.openxmlformats.org/officeDocument/2006/relationships/hyperlink" Target="http://csr.bu.edu/ftp/asl/asllvd/demos/verify_start_end_handshape_annotations//test_auto_move//signs_mov_separ_signers/Tyler_1394.mov" TargetMode="External"/><Relationship Id="rId12594" Type="http://schemas.openxmlformats.org/officeDocument/2006/relationships/hyperlink" Target="http://secrets.rutgers.edu:8080/data/asl-ftp/asllvd/demos/verify_start_end_handshape_annotations//test_auto_move//signs_mov_separ_signers/Tyler_1394.mov" TargetMode="External"/><Relationship Id="rId12595" Type="http://schemas.openxmlformats.org/officeDocument/2006/relationships/hyperlink" Target="http://csr.bu.edu/ftp/asl/asllvd/demos/verify_start_end_handshape_annotations//test_auto_move//signs_mov/1394.mov" TargetMode="External"/><Relationship Id="rId12596" Type="http://schemas.openxmlformats.org/officeDocument/2006/relationships/hyperlink" Target="http://csr.bu.edu/ftp/asl/asllvd/demos/verify_start_end_handshape_annotations//test_auto_move//signs_mov_separ_signers/Naomi_1394.mov" TargetMode="External"/><Relationship Id="rId12597" Type="http://schemas.openxmlformats.org/officeDocument/2006/relationships/hyperlink" Target="http://secrets.rutgers.edu:8080/data/asl-ftp/asllvd/demos/verify_start_end_handshape_annotations//test_auto_move//signs_mov/1394.mov" TargetMode="External"/><Relationship Id="rId12598" Type="http://schemas.openxmlformats.org/officeDocument/2006/relationships/hyperlink" Target="http://secrets.rutgers.edu:8080/data/asl-ftp/asllvd/demos/verify_start_end_handshape_annotations//test_auto_move//signs_mov_separ_signers/Naomi_1394.mov" TargetMode="External"/><Relationship Id="rId12599" Type="http://schemas.openxmlformats.org/officeDocument/2006/relationships/hyperlink" Target="http://csr.bu.edu/ftp/asl/asllvd/demos/verify_start_end_handshape_annotations//test_auto_move//signs_mov_separ_signers/Brady_1394.mov" TargetMode="External"/><Relationship Id="rId12600" Type="http://schemas.openxmlformats.org/officeDocument/2006/relationships/hyperlink" Target="http://secrets.rutgers.edu:8080/data/asl-ftp/asllvd/demos/verify_start_end_handshape_annotations//test_auto_move//signs_mov_separ_signers/Brady_1394.mov" TargetMode="External"/><Relationship Id="rId12601" Type="http://schemas.openxmlformats.org/officeDocument/2006/relationships/hyperlink" Target="http://csr.bu.edu/ftp/asl/asllvd/demos/verify_start_end_handshape_annotations//test_auto_move//signs_mov_separ_signers/Lana_1394.mov" TargetMode="External"/><Relationship Id="rId12602" Type="http://schemas.openxmlformats.org/officeDocument/2006/relationships/hyperlink" Target="http://secrets.rutgers.edu:8080/data/asl-ftp/asllvd/demos/verify_start_end_handshape_annotations//test_auto_move//signs_mov_separ_signers/Lana_1394.mov" TargetMode="External"/><Relationship Id="rId12603" Type="http://schemas.openxmlformats.org/officeDocument/2006/relationships/hyperlink" Target="http://csr.bu.edu/ftp/asl/asllvd/demos/verify_start_end_handshape_annotations//test_auto_move//signs_mov_separ_signers/Liz_1395.mov" TargetMode="External"/><Relationship Id="rId12604" Type="http://schemas.openxmlformats.org/officeDocument/2006/relationships/hyperlink" Target="http://secrets.rutgers.edu:8080/data/asl-ftp/asllvd/demos/verify_start_end_handshape_annotations//test_auto_move//signs_mov_separ_signers/Liz_1395.mov" TargetMode="External"/><Relationship Id="rId12605" Type="http://schemas.openxmlformats.org/officeDocument/2006/relationships/hyperlink" Target="http://csr.bu.edu/ftp/asl/asllvd/demos/verify_start_end_handshape_annotations//test_auto_move//signs_mov/1395.mov" TargetMode="External"/><Relationship Id="rId12606" Type="http://schemas.openxmlformats.org/officeDocument/2006/relationships/hyperlink" Target="http://csr.bu.edu/ftp/asl/asllvd/demos/verify_start_end_handshape_annotations//test_auto_move//signs_mov_separ_signers/Tyler_1395.mov" TargetMode="External"/><Relationship Id="rId12607" Type="http://schemas.openxmlformats.org/officeDocument/2006/relationships/hyperlink" Target="http://secrets.rutgers.edu:8080/data/asl-ftp/asllvd/demos/verify_start_end_handshape_annotations//test_auto_move//signs_mov/1395.mov" TargetMode="External"/><Relationship Id="rId12608" Type="http://schemas.openxmlformats.org/officeDocument/2006/relationships/hyperlink" Target="http://secrets.rutgers.edu:8080/data/asl-ftp/asllvd/demos/verify_start_end_handshape_annotations//test_auto_move//signs_mov_separ_signers/Tyler_1395.mov" TargetMode="External"/><Relationship Id="rId12609" Type="http://schemas.openxmlformats.org/officeDocument/2006/relationships/hyperlink" Target="http://csr.bu.edu/ftp/asl/asllvd/demos/verify_start_end_handshape_annotations//test_auto_move//signs_mov_separ_signers/Naomi_1395.mov" TargetMode="External"/><Relationship Id="rId12610" Type="http://schemas.openxmlformats.org/officeDocument/2006/relationships/hyperlink" Target="http://secrets.rutgers.edu:8080/data/asl-ftp/asllvd/demos/verify_start_end_handshape_annotations//test_auto_move//signs_mov_separ_signers/Naomi_1395.mov" TargetMode="External"/><Relationship Id="rId12611" Type="http://schemas.openxmlformats.org/officeDocument/2006/relationships/hyperlink" Target="http://csr.bu.edu/ftp/asl/asllvd/demos/verify_start_end_handshape_annotations//test_auto_move//signs_mov_separ_signers/Brady_1395.mov" TargetMode="External"/><Relationship Id="rId12612" Type="http://schemas.openxmlformats.org/officeDocument/2006/relationships/hyperlink" Target="http://secrets.rutgers.edu:8080/data/asl-ftp/asllvd/demos/verify_start_end_handshape_annotations//test_auto_move//signs_mov_separ_signers/Brady_1395.mov" TargetMode="External"/><Relationship Id="rId12613" Type="http://schemas.openxmlformats.org/officeDocument/2006/relationships/hyperlink" Target="http://csr.bu.edu/ftp/asl/asllvd/demos/verify_start_end_handshape_annotations//test_auto_move//signs_mov_separ_signers/Liz_1396.mov" TargetMode="External"/><Relationship Id="rId12614" Type="http://schemas.openxmlformats.org/officeDocument/2006/relationships/hyperlink" Target="http://secrets.rutgers.edu:8080/data/asl-ftp/asllvd/demos/verify_start_end_handshape_annotations//test_auto_move//signs_mov_separ_signers/Liz_1396.mov" TargetMode="External"/><Relationship Id="rId12615" Type="http://schemas.openxmlformats.org/officeDocument/2006/relationships/hyperlink" Target="http://csr.bu.edu/ftp/asl/asllvd/demos/verify_start_end_handshape_annotations//test_auto_move//signs_mov/1396.mov" TargetMode="External"/><Relationship Id="rId12616" Type="http://schemas.openxmlformats.org/officeDocument/2006/relationships/hyperlink" Target="http://csr.bu.edu/ftp/asl/asllvd/demos/verify_start_end_handshape_annotations//test_auto_move//signs_mov_separ_signers/Tyler_1396.mov" TargetMode="External"/><Relationship Id="rId12617" Type="http://schemas.openxmlformats.org/officeDocument/2006/relationships/hyperlink" Target="http://secrets.rutgers.edu:8080/data/asl-ftp/asllvd/demos/verify_start_end_handshape_annotations//test_auto_move//signs_mov/1396.mov" TargetMode="External"/><Relationship Id="rId12618" Type="http://schemas.openxmlformats.org/officeDocument/2006/relationships/hyperlink" Target="http://secrets.rutgers.edu:8080/data/asl-ftp/asllvd/demos/verify_start_end_handshape_annotations//test_auto_move//signs_mov_separ_signers/Tyler_1396.mov" TargetMode="External"/><Relationship Id="rId12619" Type="http://schemas.openxmlformats.org/officeDocument/2006/relationships/hyperlink" Target="http://csr.bu.edu/ftp/asl/asllvd/demos/verify_start_end_handshape_annotations//test_auto_move//signs_mov_separ_signers/Naomi_1396.mov" TargetMode="External"/><Relationship Id="rId12620" Type="http://schemas.openxmlformats.org/officeDocument/2006/relationships/hyperlink" Target="http://secrets.rutgers.edu:8080/data/asl-ftp/asllvd/demos/verify_start_end_handshape_annotations//test_auto_move//signs_mov_separ_signers/Naomi_1396.mov" TargetMode="External"/><Relationship Id="rId12621" Type="http://schemas.openxmlformats.org/officeDocument/2006/relationships/hyperlink" Target="http://csr.bu.edu/ftp/asl/asllvd/demos/verify_start_end_handshape_annotations//test_auto_move//signs_mov_separ_signers/Brady_1396.mov" TargetMode="External"/><Relationship Id="rId12622" Type="http://schemas.openxmlformats.org/officeDocument/2006/relationships/hyperlink" Target="http://secrets.rutgers.edu:8080/data/asl-ftp/asllvd/demos/verify_start_end_handshape_annotations//test_auto_move//signs_mov_separ_signers/Brady_1396.mov" TargetMode="External"/><Relationship Id="rId12623" Type="http://schemas.openxmlformats.org/officeDocument/2006/relationships/hyperlink" Target="http://csr.bu.edu/ftp/asl/asllvd/demos/verify_start_end_handshape_annotations//test_auto_move//signs_mov/1397.mov" TargetMode="External"/><Relationship Id="rId12624" Type="http://schemas.openxmlformats.org/officeDocument/2006/relationships/hyperlink" Target="http://csr.bu.edu/ftp/asl/asllvd/demos/verify_start_end_handshape_annotations//test_auto_move//signs_mov_separ_signers/Liz_1397.mov" TargetMode="External"/><Relationship Id="rId12625" Type="http://schemas.openxmlformats.org/officeDocument/2006/relationships/hyperlink" Target="http://secrets.rutgers.edu:8080/data/asl-ftp/asllvd/demos/verify_start_end_handshape_annotations//test_auto_move//signs_mov/1397.mov" TargetMode="External"/><Relationship Id="rId12626" Type="http://schemas.openxmlformats.org/officeDocument/2006/relationships/hyperlink" Target="http://secrets.rutgers.edu:8080/data/asl-ftp/asllvd/demos/verify_start_end_handshape_annotations//test_auto_move//signs_mov_separ_signers/Liz_1397.mov" TargetMode="External"/><Relationship Id="rId12627" Type="http://schemas.openxmlformats.org/officeDocument/2006/relationships/hyperlink" Target="http://csr.bu.edu/ftp/asl/asllvd/demos/verify_start_end_handshape_annotations//test_auto_move//signs_mov_separ_signers/Naomi_1397.mov" TargetMode="External"/><Relationship Id="rId12628" Type="http://schemas.openxmlformats.org/officeDocument/2006/relationships/hyperlink" Target="http://secrets.rutgers.edu:8080/data/asl-ftp/asllvd/demos/verify_start_end_handshape_annotations//test_auto_move//signs_mov_separ_signers/Naomi_1397.mov" TargetMode="External"/><Relationship Id="rId12629" Type="http://schemas.openxmlformats.org/officeDocument/2006/relationships/hyperlink" Target="http://csr.bu.edu/ftp/asl/asllvd/demos/verify_start_end_handshape_annotations//test_auto_move//signs_mov/5240.mov" TargetMode="External"/><Relationship Id="rId12630" Type="http://schemas.openxmlformats.org/officeDocument/2006/relationships/hyperlink" Target="http://csr.bu.edu/ftp/asl/asllvd/demos/verify_start_end_handshape_annotations//test_auto_move//signs_mov_separ_signers/Tyler_5240.mov" TargetMode="External"/><Relationship Id="rId12631" Type="http://schemas.openxmlformats.org/officeDocument/2006/relationships/hyperlink" Target="http://secrets.rutgers.edu:8080/data/asl-ftp/asllvd/demos/verify_start_end_handshape_annotations//test_auto_move//signs_mov/5240.mov" TargetMode="External"/><Relationship Id="rId12632" Type="http://schemas.openxmlformats.org/officeDocument/2006/relationships/hyperlink" Target="http://secrets.rutgers.edu:8080/data/asl-ftp/asllvd/demos/verify_start_end_handshape_annotations//test_auto_move//signs_mov_separ_signers/Tyler_5240.mov" TargetMode="External"/><Relationship Id="rId12633" Type="http://schemas.openxmlformats.org/officeDocument/2006/relationships/hyperlink" Target="http://csr.bu.edu/ftp/asl/asllvd/demos/verify_start_end_handshape_annotations//test_auto_move//signs_mov_separ_signers/Liz_1398.mov" TargetMode="External"/><Relationship Id="rId12634" Type="http://schemas.openxmlformats.org/officeDocument/2006/relationships/hyperlink" Target="http://secrets.rutgers.edu:8080/data/asl-ftp/asllvd/demos/verify_start_end_handshape_annotations//test_auto_move//signs_mov_separ_signers/Liz_1398.mov" TargetMode="External"/><Relationship Id="rId12635" Type="http://schemas.openxmlformats.org/officeDocument/2006/relationships/hyperlink" Target="http://csr.bu.edu/ftp/asl/asllvd/demos/verify_start_end_handshape_annotations//test_auto_move//signs_mov/1398.mov" TargetMode="External"/><Relationship Id="rId12636" Type="http://schemas.openxmlformats.org/officeDocument/2006/relationships/hyperlink" Target="http://csr.bu.edu/ftp/asl/asllvd/demos/verify_start_end_handshape_annotations//test_auto_move//signs_mov_separ_signers/Tyler_1398.mov" TargetMode="External"/><Relationship Id="rId12637" Type="http://schemas.openxmlformats.org/officeDocument/2006/relationships/hyperlink" Target="http://secrets.rutgers.edu:8080/data/asl-ftp/asllvd/demos/verify_start_end_handshape_annotations//test_auto_move//signs_mov/1398.mov" TargetMode="External"/><Relationship Id="rId12638" Type="http://schemas.openxmlformats.org/officeDocument/2006/relationships/hyperlink" Target="http://secrets.rutgers.edu:8080/data/asl-ftp/asllvd/demos/verify_start_end_handshape_annotations//test_auto_move//signs_mov_separ_signers/Tyler_1398.mov" TargetMode="External"/><Relationship Id="rId12639" Type="http://schemas.openxmlformats.org/officeDocument/2006/relationships/hyperlink" Target="http://csr.bu.edu/ftp/asl/asllvd/demos/verify_start_end_handshape_annotations//test_auto_move//signs_mov_separ_signers/Naomi_1398.mov" TargetMode="External"/><Relationship Id="rId12640" Type="http://schemas.openxmlformats.org/officeDocument/2006/relationships/hyperlink" Target="http://secrets.rutgers.edu:8080/data/asl-ftp/asllvd/demos/verify_start_end_handshape_annotations//test_auto_move//signs_mov_separ_signers/Naomi_1398.mov" TargetMode="External"/><Relationship Id="rId12641" Type="http://schemas.openxmlformats.org/officeDocument/2006/relationships/hyperlink" Target="http://csr.bu.edu/ftp/asl/asllvd/demos/verify_start_end_handshape_annotations//test_auto_move//signs_mov_separ_signers/Liz_15551.mov" TargetMode="External"/><Relationship Id="rId12642" Type="http://schemas.openxmlformats.org/officeDocument/2006/relationships/hyperlink" Target="http://secrets.rutgers.edu:8080/data/asl-ftp/asllvd/demos/verify_start_end_handshape_annotations//test_auto_move//signs_mov_separ_signers/Liz_15551.mov" TargetMode="External"/><Relationship Id="rId12643" Type="http://schemas.openxmlformats.org/officeDocument/2006/relationships/hyperlink" Target="http://csr.bu.edu/ftp/asl/asllvd/demos/verify_start_end_handshape_annotations//test_auto_move//signs_mov/15551_15586_merged.mov" TargetMode="External"/><Relationship Id="rId12644" Type="http://schemas.openxmlformats.org/officeDocument/2006/relationships/hyperlink" Target="http://csr.bu.edu/ftp/asl/asllvd/demos/verify_start_end_handshape_annotations//test_auto_move//signs_mov_separ_signers/Brady_15551.mov" TargetMode="External"/><Relationship Id="rId12645" Type="http://schemas.openxmlformats.org/officeDocument/2006/relationships/hyperlink" Target="http://secrets.rutgers.edu:8080/data/asl-ftp/asllvd/demos/verify_start_end_handshape_annotations//test_auto_move//signs_mov/15551_15586_merged.mov" TargetMode="External"/><Relationship Id="rId12646" Type="http://schemas.openxmlformats.org/officeDocument/2006/relationships/hyperlink" Target="http://secrets.rutgers.edu:8080/data/asl-ftp/asllvd/demos/verify_start_end_handshape_annotations//test_auto_move//signs_mov_separ_signers/Brady_15551.mov" TargetMode="External"/><Relationship Id="rId12647" Type="http://schemas.openxmlformats.org/officeDocument/2006/relationships/hyperlink" Target="http://csr.bu.edu/ftp/asl/asllvd/demos/verify_start_end_handshape_annotations//test_auto_move//signs_mov_separ_signers/Brady_15586.mov" TargetMode="External"/><Relationship Id="rId12648" Type="http://schemas.openxmlformats.org/officeDocument/2006/relationships/hyperlink" Target="http://secrets.rutgers.edu:8080/data/asl-ftp/asllvd/demos/verify_start_end_handshape_annotations//test_auto_move//signs_mov_separ_signers/Brady_15586.mov" TargetMode="External"/><Relationship Id="rId12649" Type="http://schemas.openxmlformats.org/officeDocument/2006/relationships/hyperlink" Target="http://csr.bu.edu/ftp/asl/asllvd/demos/verify_start_end_handshape_annotations//test_auto_move//signs_mov/15625.mov" TargetMode="External"/><Relationship Id="rId12650" Type="http://schemas.openxmlformats.org/officeDocument/2006/relationships/hyperlink" Target="http://csr.bu.edu/ftp/asl/asllvd/demos/verify_start_end_handshape_annotations//test_auto_move//signs_mov_separ_signers/Liz_15625.mov" TargetMode="External"/><Relationship Id="rId12651" Type="http://schemas.openxmlformats.org/officeDocument/2006/relationships/hyperlink" Target="http://secrets.rutgers.edu:8080/data/asl-ftp/asllvd/demos/verify_start_end_handshape_annotations//test_auto_move//signs_mov/15625.mov" TargetMode="External"/><Relationship Id="rId12652" Type="http://schemas.openxmlformats.org/officeDocument/2006/relationships/hyperlink" Target="http://secrets.rutgers.edu:8080/data/asl-ftp/asllvd/demos/verify_start_end_handshape_annotations//test_auto_move//signs_mov_separ_signers/Liz_15625.mov" TargetMode="External"/><Relationship Id="rId12653" Type="http://schemas.openxmlformats.org/officeDocument/2006/relationships/hyperlink" Target="http://csr.bu.edu/ftp/asl/asllvd/demos/verify_start_end_handshape_annotations//test_auto_move//signs_mov_separ_signers/Liz_1401.mov" TargetMode="External"/><Relationship Id="rId12654" Type="http://schemas.openxmlformats.org/officeDocument/2006/relationships/hyperlink" Target="http://secrets.rutgers.edu:8080/data/asl-ftp/asllvd/demos/verify_start_end_handshape_annotations//test_auto_move//signs_mov_separ_signers/Liz_1401.mov" TargetMode="External"/><Relationship Id="rId12655" Type="http://schemas.openxmlformats.org/officeDocument/2006/relationships/hyperlink" Target="http://csr.bu.edu/ftp/asl/asllvd/demos/verify_start_end_handshape_annotations//test_auto_move//signs_mov_separ_signers/Liz_3674.mov" TargetMode="External"/><Relationship Id="rId12656" Type="http://schemas.openxmlformats.org/officeDocument/2006/relationships/hyperlink" Target="http://secrets.rutgers.edu:8080/data/asl-ftp/asllvd/demos/verify_start_end_handshape_annotations//test_auto_move//signs_mov_separ_signers/Liz_3674.mov" TargetMode="External"/><Relationship Id="rId12657" Type="http://schemas.openxmlformats.org/officeDocument/2006/relationships/hyperlink" Target="http://csr.bu.edu/ftp/asl/asllvd/demos/verify_start_end_handshape_annotations//test_auto_move//signs_mov_separ_signers/Naomi_1401.mov" TargetMode="External"/><Relationship Id="rId12658" Type="http://schemas.openxmlformats.org/officeDocument/2006/relationships/hyperlink" Target="http://secrets.rutgers.edu:8080/data/asl-ftp/asllvd/demos/verify_start_end_handshape_annotations//test_auto_move//signs_mov_separ_signers/Naomi_1401.mov" TargetMode="External"/><Relationship Id="rId12659" Type="http://schemas.openxmlformats.org/officeDocument/2006/relationships/hyperlink" Target="http://csr.bu.edu/ftp/asl/asllvd/demos/verify_start_end_handshape_annotations//test_auto_move//signs_mov/1401_3674_merged.mov" TargetMode="External"/><Relationship Id="rId12660" Type="http://schemas.openxmlformats.org/officeDocument/2006/relationships/hyperlink" Target="http://csr.bu.edu/ftp/asl/asllvd/demos/verify_start_end_handshape_annotations//test_auto_move//signs_mov_separ_signers/Brady_1401.mov" TargetMode="External"/><Relationship Id="rId12661" Type="http://schemas.openxmlformats.org/officeDocument/2006/relationships/hyperlink" Target="http://secrets.rutgers.edu:8080/data/asl-ftp/asllvd/demos/verify_start_end_handshape_annotations//test_auto_move//signs_mov/1401_3674_merged.mov" TargetMode="External"/><Relationship Id="rId12662" Type="http://schemas.openxmlformats.org/officeDocument/2006/relationships/hyperlink" Target="http://secrets.rutgers.edu:8080/data/asl-ftp/asllvd/demos/verify_start_end_handshape_annotations//test_auto_move//signs_mov_separ_signers/Brady_1401.mov" TargetMode="External"/><Relationship Id="rId12663" Type="http://schemas.openxmlformats.org/officeDocument/2006/relationships/hyperlink" Target="http://csr.bu.edu/ftp/asl/asllvd/demos/verify_start_end_handshape_annotations//test_auto_move//signs_mov_separ_signers/Brady_3674.mov" TargetMode="External"/><Relationship Id="rId12664" Type="http://schemas.openxmlformats.org/officeDocument/2006/relationships/hyperlink" Target="http://secrets.rutgers.edu:8080/data/asl-ftp/asllvd/demos/verify_start_end_handshape_annotations//test_auto_move//signs_mov_separ_signers/Brady_3674.mov" TargetMode="External"/><Relationship Id="rId12665" Type="http://schemas.openxmlformats.org/officeDocument/2006/relationships/hyperlink" Target="http://csr.bu.edu/ftp/asl/asllvd/demos/verify_start_end_handshape_annotations//test_auto_move//signs_mov_separ_signers/Lana_1401.mov" TargetMode="External"/><Relationship Id="rId12666" Type="http://schemas.openxmlformats.org/officeDocument/2006/relationships/hyperlink" Target="http://secrets.rutgers.edu:8080/data/asl-ftp/asllvd/demos/verify_start_end_handshape_annotations//test_auto_move//signs_mov_separ_signers/Lana_1401.mov" TargetMode="External"/><Relationship Id="rId12667" Type="http://schemas.openxmlformats.org/officeDocument/2006/relationships/hyperlink" Target="http://csr.bu.edu/ftp/asl/asllvd/demos/verify_start_end_handshape_annotations//test_auto_move//signs_mov_separ_signers/Dana_1401.mov" TargetMode="External"/><Relationship Id="rId12668" Type="http://schemas.openxmlformats.org/officeDocument/2006/relationships/hyperlink" Target="http://secrets.rutgers.edu:8080/data/asl-ftp/asllvd/demos/verify_start_end_handshape_annotations//test_auto_move//signs_mov_separ_signers/Dana_1401.mov" TargetMode="External"/><Relationship Id="rId12669" Type="http://schemas.openxmlformats.org/officeDocument/2006/relationships/hyperlink" Target="http://csr.bu.edu/ftp/asl/asllvd/demos/verify_start_end_handshape_annotations//test_auto_move//signs_mov_separ_signers/Liz_3746.mov" TargetMode="External"/><Relationship Id="rId12670" Type="http://schemas.openxmlformats.org/officeDocument/2006/relationships/hyperlink" Target="http://secrets.rutgers.edu:8080/data/asl-ftp/asllvd/demos/verify_start_end_handshape_annotations//test_auto_move//signs_mov_separ_signers/Liz_3746.mov" TargetMode="External"/><Relationship Id="rId12671" Type="http://schemas.openxmlformats.org/officeDocument/2006/relationships/hyperlink" Target="http://csr.bu.edu/ftp/asl/asllvd/demos/verify_start_end_handshape_annotations//test_auto_move//signs_mov/3746_3845_merged.mov" TargetMode="External"/><Relationship Id="rId12672" Type="http://schemas.openxmlformats.org/officeDocument/2006/relationships/hyperlink" Target="http://csr.bu.edu/ftp/asl/asllvd/demos/verify_start_end_handshape_annotations//test_auto_move//signs_mov_separ_signers/Tyler_3746.mov" TargetMode="External"/><Relationship Id="rId12673" Type="http://schemas.openxmlformats.org/officeDocument/2006/relationships/hyperlink" Target="http://secrets.rutgers.edu:8080/data/asl-ftp/asllvd/demos/verify_start_end_handshape_annotations//test_auto_move//signs_mov/3746_3845_merged.mov" TargetMode="External"/><Relationship Id="rId12674" Type="http://schemas.openxmlformats.org/officeDocument/2006/relationships/hyperlink" Target="http://secrets.rutgers.edu:8080/data/asl-ftp/asllvd/demos/verify_start_end_handshape_annotations//test_auto_move//signs_mov_separ_signers/Tyler_3746.mov" TargetMode="External"/><Relationship Id="rId12675" Type="http://schemas.openxmlformats.org/officeDocument/2006/relationships/hyperlink" Target="http://csr.bu.edu/ftp/asl/asllvd/demos/verify_start_end_handshape_annotations//test_auto_move//signs_mov_separ_signers/Tyler_3845.mov" TargetMode="External"/><Relationship Id="rId12676" Type="http://schemas.openxmlformats.org/officeDocument/2006/relationships/hyperlink" Target="http://secrets.rutgers.edu:8080/data/asl-ftp/asllvd/demos/verify_start_end_handshape_annotations//test_auto_move//signs_mov_separ_signers/Tyler_3845.mov" TargetMode="External"/><Relationship Id="rId12677" Type="http://schemas.openxmlformats.org/officeDocument/2006/relationships/hyperlink" Target="http://csr.bu.edu/ftp/asl/asllvd/demos/verify_start_end_handshape_annotations//test_auto_move//signs_mov_separ_signers/Naomi_3746.mov" TargetMode="External"/><Relationship Id="rId12678" Type="http://schemas.openxmlformats.org/officeDocument/2006/relationships/hyperlink" Target="http://secrets.rutgers.edu:8080/data/asl-ftp/asllvd/demos/verify_start_end_handshape_annotations//test_auto_move//signs_mov_separ_signers/Naomi_3746.mov" TargetMode="External"/><Relationship Id="rId12679" Type="http://schemas.openxmlformats.org/officeDocument/2006/relationships/hyperlink" Target="http://csr.bu.edu/ftp/asl/asllvd/demos/verify_start_end_handshape_annotations//test_auto_move//signs_mov/5241.mov" TargetMode="External"/><Relationship Id="rId12680" Type="http://schemas.openxmlformats.org/officeDocument/2006/relationships/hyperlink" Target="http://csr.bu.edu/ftp/asl/asllvd/demos/verify_start_end_handshape_annotations//test_auto_move//signs_mov_separ_signers/Liz_5241.mov" TargetMode="External"/><Relationship Id="rId12681" Type="http://schemas.openxmlformats.org/officeDocument/2006/relationships/hyperlink" Target="http://secrets.rutgers.edu:8080/data/asl-ftp/asllvd/demos/verify_start_end_handshape_annotations//test_auto_move//signs_mov/5241.mov" TargetMode="External"/><Relationship Id="rId12682" Type="http://schemas.openxmlformats.org/officeDocument/2006/relationships/hyperlink" Target="http://secrets.rutgers.edu:8080/data/asl-ftp/asllvd/demos/verify_start_end_handshape_annotations//test_auto_move//signs_mov_separ_signers/Liz_5241.mov" TargetMode="External"/><Relationship Id="rId12683" Type="http://schemas.openxmlformats.org/officeDocument/2006/relationships/hyperlink" Target="http://csr.bu.edu/ftp/asl/asllvd/demos/verify_start_end_handshape_annotations//test_auto_move//signs_mov_separ_signers/Naomi_5241.mov" TargetMode="External"/><Relationship Id="rId12684" Type="http://schemas.openxmlformats.org/officeDocument/2006/relationships/hyperlink" Target="http://secrets.rutgers.edu:8080/data/asl-ftp/asllvd/demos/verify_start_end_handshape_annotations//test_auto_move//signs_mov_separ_signers/Naomi_5241.mov" TargetMode="External"/><Relationship Id="rId12685" Type="http://schemas.openxmlformats.org/officeDocument/2006/relationships/hyperlink" Target="http://csr.bu.edu/ftp/asl/asllvd/demos/verify_start_end_handshape_annotations//test_auto_move//signs_mov/16562.mov" TargetMode="External"/><Relationship Id="rId12686" Type="http://schemas.openxmlformats.org/officeDocument/2006/relationships/hyperlink" Target="http://csr.bu.edu/ftp/asl/asllvd/demos/verify_start_end_handshape_annotations//test_auto_move//signs_mov_separ_signers/Tyler_16562.mov" TargetMode="External"/><Relationship Id="rId12687" Type="http://schemas.openxmlformats.org/officeDocument/2006/relationships/hyperlink" Target="http://secrets.rutgers.edu:8080/data/asl-ftp/asllvd/demos/verify_start_end_handshape_annotations//test_auto_move//signs_mov/16562.mov" TargetMode="External"/><Relationship Id="rId12688" Type="http://schemas.openxmlformats.org/officeDocument/2006/relationships/hyperlink" Target="http://secrets.rutgers.edu:8080/data/asl-ftp/asllvd/demos/verify_start_end_handshape_annotations//test_auto_move//signs_mov_separ_signers/Tyler_16562.mov" TargetMode="External"/><Relationship Id="rId12689" Type="http://schemas.openxmlformats.org/officeDocument/2006/relationships/hyperlink" Target="http://csr.bu.edu/ftp/asl/asllvd/demos/verify_start_end_handshape_annotations//test_auto_move//signs_mov_separ_signers/Liz_1402.mov" TargetMode="External"/><Relationship Id="rId12690" Type="http://schemas.openxmlformats.org/officeDocument/2006/relationships/hyperlink" Target="http://secrets.rutgers.edu:8080/data/asl-ftp/asllvd/demos/verify_start_end_handshape_annotations//test_auto_move//signs_mov_separ_signers/Liz_1402.mov" TargetMode="External"/><Relationship Id="rId12691" Type="http://schemas.openxmlformats.org/officeDocument/2006/relationships/hyperlink" Target="http://csr.bu.edu/ftp/asl/asllvd/demos/verify_start_end_handshape_annotations//test_auto_move//signs_mov/1402.mov" TargetMode="External"/><Relationship Id="rId12692" Type="http://schemas.openxmlformats.org/officeDocument/2006/relationships/hyperlink" Target="http://csr.bu.edu/ftp/asl/asllvd/demos/verify_start_end_handshape_annotations//test_auto_move//signs_mov_separ_signers/Tyler_1402.mov" TargetMode="External"/><Relationship Id="rId12693" Type="http://schemas.openxmlformats.org/officeDocument/2006/relationships/hyperlink" Target="http://secrets.rutgers.edu:8080/data/asl-ftp/asllvd/demos/verify_start_end_handshape_annotations//test_auto_move//signs_mov/1402.mov" TargetMode="External"/><Relationship Id="rId12694" Type="http://schemas.openxmlformats.org/officeDocument/2006/relationships/hyperlink" Target="http://secrets.rutgers.edu:8080/data/asl-ftp/asllvd/demos/verify_start_end_handshape_annotations//test_auto_move//signs_mov_separ_signers/Tyler_1402.mov" TargetMode="External"/><Relationship Id="rId12695" Type="http://schemas.openxmlformats.org/officeDocument/2006/relationships/hyperlink" Target="http://csr.bu.edu/ftp/asl/asllvd/demos/verify_start_end_handshape_annotations//test_auto_move//signs_mov_separ_signers/Naomi_1402.mov" TargetMode="External"/><Relationship Id="rId12696" Type="http://schemas.openxmlformats.org/officeDocument/2006/relationships/hyperlink" Target="http://secrets.rutgers.edu:8080/data/asl-ftp/asllvd/demos/verify_start_end_handshape_annotations//test_auto_move//signs_mov_separ_signers/Naomi_1402.mov" TargetMode="External"/><Relationship Id="rId12697" Type="http://schemas.openxmlformats.org/officeDocument/2006/relationships/hyperlink" Target="http://csr.bu.edu/ftp/asl/asllvd/demos/verify_start_end_handshape_annotations//test_auto_move//signs_mov_separ_signers/Liz_15426.mov" TargetMode="External"/><Relationship Id="rId12698" Type="http://schemas.openxmlformats.org/officeDocument/2006/relationships/hyperlink" Target="http://secrets.rutgers.edu:8080/data/asl-ftp/asllvd/demos/verify_start_end_handshape_annotations//test_auto_move//signs_mov_separ_signers/Liz_15426.mov" TargetMode="External"/><Relationship Id="rId12699" Type="http://schemas.openxmlformats.org/officeDocument/2006/relationships/hyperlink" Target="http://csr.bu.edu/ftp/asl/asllvd/demos/verify_start_end_handshape_annotations//test_auto_move//signs_mov_separ_signers/Tyler_15426.mov" TargetMode="External"/><Relationship Id="rId12700" Type="http://schemas.openxmlformats.org/officeDocument/2006/relationships/hyperlink" Target="http://secrets.rutgers.edu:8080/data/asl-ftp/asllvd/demos/verify_start_end_handshape_annotations//test_auto_move//signs_mov_separ_signers/Tyler_15426.mov" TargetMode="External"/><Relationship Id="rId12701" Type="http://schemas.openxmlformats.org/officeDocument/2006/relationships/hyperlink" Target="http://csr.bu.edu/ftp/asl/asllvd/demos/verify_start_end_handshape_annotations//test_auto_move//signs_mov/15426.mov" TargetMode="External"/><Relationship Id="rId12702" Type="http://schemas.openxmlformats.org/officeDocument/2006/relationships/hyperlink" Target="http://csr.bu.edu/ftp/asl/asllvd/demos/verify_start_end_handshape_annotations//test_auto_move//signs_mov_separ_signers/Naomi_15426.mov" TargetMode="External"/><Relationship Id="rId12703" Type="http://schemas.openxmlformats.org/officeDocument/2006/relationships/hyperlink" Target="http://secrets.rutgers.edu:8080/data/asl-ftp/asllvd/demos/verify_start_end_handshape_annotations//test_auto_move//signs_mov/15426.mov" TargetMode="External"/><Relationship Id="rId12704" Type="http://schemas.openxmlformats.org/officeDocument/2006/relationships/hyperlink" Target="http://secrets.rutgers.edu:8080/data/asl-ftp/asllvd/demos/verify_start_end_handshape_annotations//test_auto_move//signs_mov_separ_signers/Naomi_15426.mov" TargetMode="External"/><Relationship Id="rId12705" Type="http://schemas.openxmlformats.org/officeDocument/2006/relationships/hyperlink" Target="http://csr.bu.edu/ftp/asl/asllvd/demos/verify_start_end_handshape_annotations//test_auto_move//signs_mov_separ_signers/Brady_15426.mov" TargetMode="External"/><Relationship Id="rId12706" Type="http://schemas.openxmlformats.org/officeDocument/2006/relationships/hyperlink" Target="http://secrets.rutgers.edu:8080/data/asl-ftp/asllvd/demos/verify_start_end_handshape_annotations//test_auto_move//signs_mov_separ_signers/Brady_15426.mov" TargetMode="External"/><Relationship Id="rId12707" Type="http://schemas.openxmlformats.org/officeDocument/2006/relationships/hyperlink" Target="http://csr.bu.edu/ftp/asl/asllvd/demos/verify_start_end_handshape_annotations//test_auto_move//signs_mov_separ_signers/Lana_15426.mov" TargetMode="External"/><Relationship Id="rId12708" Type="http://schemas.openxmlformats.org/officeDocument/2006/relationships/hyperlink" Target="http://secrets.rutgers.edu:8080/data/asl-ftp/asllvd/demos/verify_start_end_handshape_annotations//test_auto_move//signs_mov_separ_signers/Lana_15426.mov" TargetMode="External"/><Relationship Id="rId12709" Type="http://schemas.openxmlformats.org/officeDocument/2006/relationships/hyperlink" Target="http://csr.bu.edu/ftp/asl/asllvd/demos/verify_start_end_handshape_annotations//test_auto_move//signs_mov_separ_signers/Dana_15426.mov" TargetMode="External"/><Relationship Id="rId12710" Type="http://schemas.openxmlformats.org/officeDocument/2006/relationships/hyperlink" Target="http://secrets.rutgers.edu:8080/data/asl-ftp/asllvd/demos/verify_start_end_handshape_annotations//test_auto_move//signs_mov_separ_signers/Dana_15426.mov" TargetMode="External"/><Relationship Id="rId12711" Type="http://schemas.openxmlformats.org/officeDocument/2006/relationships/hyperlink" Target="http://csr.bu.edu/ftp/asl/asllvd/demos/verify_start_end_handshape_annotations//test_auto_move//signs_mov_separ_signers/Liz_1403.mov" TargetMode="External"/><Relationship Id="rId12712" Type="http://schemas.openxmlformats.org/officeDocument/2006/relationships/hyperlink" Target="http://secrets.rutgers.edu:8080/data/asl-ftp/asllvd/demos/verify_start_end_handshape_annotations//test_auto_move//signs_mov_separ_signers/Liz_1403.mov" TargetMode="External"/><Relationship Id="rId12713" Type="http://schemas.openxmlformats.org/officeDocument/2006/relationships/hyperlink" Target="http://csr.bu.edu/ftp/asl/asllvd/demos/verify_start_end_handshape_annotations//test_auto_move//signs_mov/1403.mov" TargetMode="External"/><Relationship Id="rId12714" Type="http://schemas.openxmlformats.org/officeDocument/2006/relationships/hyperlink" Target="http://csr.bu.edu/ftp/asl/asllvd/demos/verify_start_end_handshape_annotations//test_auto_move//signs_mov_separ_signers/Tyler_1403.mov" TargetMode="External"/><Relationship Id="rId12715" Type="http://schemas.openxmlformats.org/officeDocument/2006/relationships/hyperlink" Target="http://secrets.rutgers.edu:8080/data/asl-ftp/asllvd/demos/verify_start_end_handshape_annotations//test_auto_move//signs_mov/1403.mov" TargetMode="External"/><Relationship Id="rId12716" Type="http://schemas.openxmlformats.org/officeDocument/2006/relationships/hyperlink" Target="http://secrets.rutgers.edu:8080/data/asl-ftp/asllvd/demos/verify_start_end_handshape_annotations//test_auto_move//signs_mov_separ_signers/Tyler_1403.mov" TargetMode="External"/><Relationship Id="rId12717" Type="http://schemas.openxmlformats.org/officeDocument/2006/relationships/hyperlink" Target="http://csr.bu.edu/ftp/asl/asllvd/demos/verify_start_end_handshape_annotations//test_auto_move//signs_mov_separ_signers/Naomi_1403.mov" TargetMode="External"/><Relationship Id="rId12718" Type="http://schemas.openxmlformats.org/officeDocument/2006/relationships/hyperlink" Target="http://secrets.rutgers.edu:8080/data/asl-ftp/asllvd/demos/verify_start_end_handshape_annotations//test_auto_move//signs_mov_separ_signers/Naomi_1403.mov" TargetMode="External"/><Relationship Id="rId12719" Type="http://schemas.openxmlformats.org/officeDocument/2006/relationships/hyperlink" Target="http://csr.bu.edu/ftp/asl/asllvd/demos/verify_start_end_handshape_annotations//test_auto_move//signs_mov_separ_signers/Liz_1404.mov" TargetMode="External"/><Relationship Id="rId12720" Type="http://schemas.openxmlformats.org/officeDocument/2006/relationships/hyperlink" Target="http://secrets.rutgers.edu:8080/data/asl-ftp/asllvd/demos/verify_start_end_handshape_annotations//test_auto_move//signs_mov_separ_signers/Liz_1404.mov" TargetMode="External"/><Relationship Id="rId12721" Type="http://schemas.openxmlformats.org/officeDocument/2006/relationships/hyperlink" Target="http://csr.bu.edu/ftp/asl/asllvd/demos/verify_start_end_handshape_annotations//test_auto_move//signs_mov/1404.mov" TargetMode="External"/><Relationship Id="rId12722" Type="http://schemas.openxmlformats.org/officeDocument/2006/relationships/hyperlink" Target="http://csr.bu.edu/ftp/asl/asllvd/demos/verify_start_end_handshape_annotations//test_auto_move//signs_mov_separ_signers/Tyler_1404.mov" TargetMode="External"/><Relationship Id="rId12723" Type="http://schemas.openxmlformats.org/officeDocument/2006/relationships/hyperlink" Target="http://secrets.rutgers.edu:8080/data/asl-ftp/asllvd/demos/verify_start_end_handshape_annotations//test_auto_move//signs_mov/1404.mov" TargetMode="External"/><Relationship Id="rId12724" Type="http://schemas.openxmlformats.org/officeDocument/2006/relationships/hyperlink" Target="http://secrets.rutgers.edu:8080/data/asl-ftp/asllvd/demos/verify_start_end_handshape_annotations//test_auto_move//signs_mov_separ_signers/Tyler_1404.mov" TargetMode="External"/><Relationship Id="rId12725" Type="http://schemas.openxmlformats.org/officeDocument/2006/relationships/hyperlink" Target="http://csr.bu.edu/ftp/asl/asllvd/demos/verify_start_end_handshape_annotations//test_auto_move//signs_mov_separ_signers/Naomi_1404.mov" TargetMode="External"/><Relationship Id="rId12726" Type="http://schemas.openxmlformats.org/officeDocument/2006/relationships/hyperlink" Target="http://secrets.rutgers.edu:8080/data/asl-ftp/asllvd/demos/verify_start_end_handshape_annotations//test_auto_move//signs_mov_separ_signers/Naomi_1404.mov" TargetMode="External"/><Relationship Id="rId12727" Type="http://schemas.openxmlformats.org/officeDocument/2006/relationships/hyperlink" Target="http://csr.bu.edu/ftp/asl/asllvd/demos/verify_start_end_handshape_annotations//test_auto_move//signs_mov_separ_signers/Liz_1405.mov" TargetMode="External"/><Relationship Id="rId12728" Type="http://schemas.openxmlformats.org/officeDocument/2006/relationships/hyperlink" Target="http://secrets.rutgers.edu:8080/data/asl-ftp/asllvd/demos/verify_start_end_handshape_annotations//test_auto_move//signs_mov_separ_signers/Liz_1405.mov" TargetMode="External"/><Relationship Id="rId12729" Type="http://schemas.openxmlformats.org/officeDocument/2006/relationships/hyperlink" Target="http://csr.bu.edu/ftp/asl/asllvd/demos/verify_start_end_handshape_annotations//test_auto_move//signs_mov/1405.mov" TargetMode="External"/><Relationship Id="rId12730" Type="http://schemas.openxmlformats.org/officeDocument/2006/relationships/hyperlink" Target="http://csr.bu.edu/ftp/asl/asllvd/demos/verify_start_end_handshape_annotations//test_auto_move//signs_mov_separ_signers/Tyler_1405.mov" TargetMode="External"/><Relationship Id="rId12731" Type="http://schemas.openxmlformats.org/officeDocument/2006/relationships/hyperlink" Target="http://secrets.rutgers.edu:8080/data/asl-ftp/asllvd/demos/verify_start_end_handshape_annotations//test_auto_move//signs_mov/1405.mov" TargetMode="External"/><Relationship Id="rId12732" Type="http://schemas.openxmlformats.org/officeDocument/2006/relationships/hyperlink" Target="http://secrets.rutgers.edu:8080/data/asl-ftp/asllvd/demos/verify_start_end_handshape_annotations//test_auto_move//signs_mov_separ_signers/Tyler_1405.mov" TargetMode="External"/><Relationship Id="rId12733" Type="http://schemas.openxmlformats.org/officeDocument/2006/relationships/hyperlink" Target="http://csr.bu.edu/ftp/asl/asllvd/demos/verify_start_end_handshape_annotations//test_auto_move//signs_mov_separ_signers/Naomi_1405.mov" TargetMode="External"/><Relationship Id="rId12734" Type="http://schemas.openxmlformats.org/officeDocument/2006/relationships/hyperlink" Target="http://secrets.rutgers.edu:8080/data/asl-ftp/asllvd/demos/verify_start_end_handshape_annotations//test_auto_move//signs_mov_separ_signers/Naomi_1405.mov" TargetMode="External"/><Relationship Id="rId12735" Type="http://schemas.openxmlformats.org/officeDocument/2006/relationships/hyperlink" Target="http://csr.bu.edu/ftp/asl/asllvd/demos/verify_start_end_handshape_annotations//test_auto_move//signs_mov_separ_signers/Liz_1406.mov" TargetMode="External"/><Relationship Id="rId12736" Type="http://schemas.openxmlformats.org/officeDocument/2006/relationships/hyperlink" Target="http://secrets.rutgers.edu:8080/data/asl-ftp/asllvd/demos/verify_start_end_handshape_annotations//test_auto_move//signs_mov_separ_signers/Liz_1406.mov" TargetMode="External"/><Relationship Id="rId12737" Type="http://schemas.openxmlformats.org/officeDocument/2006/relationships/hyperlink" Target="http://csr.bu.edu/ftp/asl/asllvd/demos/verify_start_end_handshape_annotations//test_auto_move//signs_mov/1406.mov" TargetMode="External"/><Relationship Id="rId12738" Type="http://schemas.openxmlformats.org/officeDocument/2006/relationships/hyperlink" Target="http://csr.bu.edu/ftp/asl/asllvd/demos/verify_start_end_handshape_annotations//test_auto_move//signs_mov_separ_signers/Tyler_1406.mov" TargetMode="External"/><Relationship Id="rId12739" Type="http://schemas.openxmlformats.org/officeDocument/2006/relationships/hyperlink" Target="http://secrets.rutgers.edu:8080/data/asl-ftp/asllvd/demos/verify_start_end_handshape_annotations//test_auto_move//signs_mov/1406.mov" TargetMode="External"/><Relationship Id="rId12740" Type="http://schemas.openxmlformats.org/officeDocument/2006/relationships/hyperlink" Target="http://secrets.rutgers.edu:8080/data/asl-ftp/asllvd/demos/verify_start_end_handshape_annotations//test_auto_move//signs_mov_separ_signers/Tyler_1406.mov" TargetMode="External"/><Relationship Id="rId12741" Type="http://schemas.openxmlformats.org/officeDocument/2006/relationships/hyperlink" Target="http://csr.bu.edu/ftp/asl/asllvd/demos/verify_start_end_handshape_annotations//test_auto_move//signs_mov_separ_signers/Naomi_1406.mov" TargetMode="External"/><Relationship Id="rId12742" Type="http://schemas.openxmlformats.org/officeDocument/2006/relationships/hyperlink" Target="http://secrets.rutgers.edu:8080/data/asl-ftp/asllvd/demos/verify_start_end_handshape_annotations//test_auto_move//signs_mov_separ_signers/Naomi_1406.mov" TargetMode="External"/><Relationship Id="rId12743" Type="http://schemas.openxmlformats.org/officeDocument/2006/relationships/hyperlink" Target="http://csr.bu.edu/ftp/asl/asllvd/demos/verify_start_end_handshape_annotations//test_auto_move//signs_mov_separ_signers/Liz_15243.mov" TargetMode="External"/><Relationship Id="rId12744" Type="http://schemas.openxmlformats.org/officeDocument/2006/relationships/hyperlink" Target="http://secrets.rutgers.edu:8080/data/asl-ftp/asllvd/demos/verify_start_end_handshape_annotations//test_auto_move//signs_mov_separ_signers/Liz_15243.mov" TargetMode="External"/><Relationship Id="rId12745" Type="http://schemas.openxmlformats.org/officeDocument/2006/relationships/hyperlink" Target="http://csr.bu.edu/ftp/asl/asllvd/demos/verify_start_end_handshape_annotations//test_auto_move//signs_mov/15243.mov" TargetMode="External"/><Relationship Id="rId12746" Type="http://schemas.openxmlformats.org/officeDocument/2006/relationships/hyperlink" Target="http://csr.bu.edu/ftp/asl/asllvd/demos/verify_start_end_handshape_annotations//test_auto_move//signs_mov_separ_signers/Tyler_15243.mov" TargetMode="External"/><Relationship Id="rId12747" Type="http://schemas.openxmlformats.org/officeDocument/2006/relationships/hyperlink" Target="http://secrets.rutgers.edu:8080/data/asl-ftp/asllvd/demos/verify_start_end_handshape_annotations//test_auto_move//signs_mov/15243.mov" TargetMode="External"/><Relationship Id="rId12748" Type="http://schemas.openxmlformats.org/officeDocument/2006/relationships/hyperlink" Target="http://secrets.rutgers.edu:8080/data/asl-ftp/asllvd/demos/verify_start_end_handshape_annotations//test_auto_move//signs_mov_separ_signers/Tyler_15243.mov" TargetMode="External"/><Relationship Id="rId12749" Type="http://schemas.openxmlformats.org/officeDocument/2006/relationships/hyperlink" Target="http://csr.bu.edu/ftp/asl/asllvd/demos/verify_start_end_handshape_annotations//test_auto_move//signs_mov_separ_signers/Naomi_15243.mov" TargetMode="External"/><Relationship Id="rId12750" Type="http://schemas.openxmlformats.org/officeDocument/2006/relationships/hyperlink" Target="http://secrets.rutgers.edu:8080/data/asl-ftp/asllvd/demos/verify_start_end_handshape_annotations//test_auto_move//signs_mov_separ_signers/Naomi_15243.mov" TargetMode="External"/><Relationship Id="rId12751" Type="http://schemas.openxmlformats.org/officeDocument/2006/relationships/hyperlink" Target="http://csr.bu.edu/ftp/asl/asllvd/demos/verify_start_end_handshape_annotations//test_auto_move//signs_mov_separ_signers/Liz_1408.mov" TargetMode="External"/><Relationship Id="rId12752" Type="http://schemas.openxmlformats.org/officeDocument/2006/relationships/hyperlink" Target="http://secrets.rutgers.edu:8080/data/asl-ftp/asllvd/demos/verify_start_end_handshape_annotations//test_auto_move//signs_mov_separ_signers/Liz_1408.mov" TargetMode="External"/><Relationship Id="rId12753" Type="http://schemas.openxmlformats.org/officeDocument/2006/relationships/hyperlink" Target="http://csr.bu.edu/ftp/asl/asllvd/demos/verify_start_end_handshape_annotations//test_auto_move//signs_mov/1408.mov" TargetMode="External"/><Relationship Id="rId12754" Type="http://schemas.openxmlformats.org/officeDocument/2006/relationships/hyperlink" Target="http://csr.bu.edu/ftp/asl/asllvd/demos/verify_start_end_handshape_annotations//test_auto_move//signs_mov_separ_signers/Tyler_1408.mov" TargetMode="External"/><Relationship Id="rId12755" Type="http://schemas.openxmlformats.org/officeDocument/2006/relationships/hyperlink" Target="http://secrets.rutgers.edu:8080/data/asl-ftp/asllvd/demos/verify_start_end_handshape_annotations//test_auto_move//signs_mov/1408.mov" TargetMode="External"/><Relationship Id="rId12756" Type="http://schemas.openxmlformats.org/officeDocument/2006/relationships/hyperlink" Target="http://secrets.rutgers.edu:8080/data/asl-ftp/asllvd/demos/verify_start_end_handshape_annotations//test_auto_move//signs_mov_separ_signers/Tyler_1408.mov" TargetMode="External"/><Relationship Id="rId12757" Type="http://schemas.openxmlformats.org/officeDocument/2006/relationships/hyperlink" Target="http://csr.bu.edu/ftp/asl/asllvd/demos/verify_start_end_handshape_annotations//test_auto_move//signs_mov_separ_signers/Naomi_1408.mov" TargetMode="External"/><Relationship Id="rId12758" Type="http://schemas.openxmlformats.org/officeDocument/2006/relationships/hyperlink" Target="http://secrets.rutgers.edu:8080/data/asl-ftp/asllvd/demos/verify_start_end_handshape_annotations//test_auto_move//signs_mov_separ_signers/Naomi_1408.mov" TargetMode="External"/><Relationship Id="rId12759" Type="http://schemas.openxmlformats.org/officeDocument/2006/relationships/hyperlink" Target="http://csr.bu.edu/ftp/asl/asllvd/demos/verify_start_end_handshape_annotations//test_auto_move//signs_mov_separ_signers/Liz_1412.mov" TargetMode="External"/><Relationship Id="rId12760" Type="http://schemas.openxmlformats.org/officeDocument/2006/relationships/hyperlink" Target="http://secrets.rutgers.edu:8080/data/asl-ftp/asllvd/demos/verify_start_end_handshape_annotations//test_auto_move//signs_mov_separ_signers/Liz_1412.mov" TargetMode="External"/><Relationship Id="rId12761" Type="http://schemas.openxmlformats.org/officeDocument/2006/relationships/hyperlink" Target="http://csr.bu.edu/ftp/asl/asllvd/demos/verify_start_end_handshape_annotations//test_auto_move//signs_mov_separ_signers/Tyler_1412.mov" TargetMode="External"/><Relationship Id="rId12762" Type="http://schemas.openxmlformats.org/officeDocument/2006/relationships/hyperlink" Target="http://secrets.rutgers.edu:8080/data/asl-ftp/asllvd/demos/verify_start_end_handshape_annotations//test_auto_move//signs_mov_separ_signers/Tyler_1412.mov" TargetMode="External"/><Relationship Id="rId12763" Type="http://schemas.openxmlformats.org/officeDocument/2006/relationships/hyperlink" Target="http://csr.bu.edu/ftp/asl/asllvd/demos/verify_start_end_handshape_annotations//test_auto_move//signs_mov/1412_5464_merged.mov" TargetMode="External"/><Relationship Id="rId12764" Type="http://schemas.openxmlformats.org/officeDocument/2006/relationships/hyperlink" Target="http://csr.bu.edu/ftp/asl/asllvd/demos/verify_start_end_handshape_annotations//test_auto_move//signs_mov_separ_signers/Naomi_1412.mov" TargetMode="External"/><Relationship Id="rId12765" Type="http://schemas.openxmlformats.org/officeDocument/2006/relationships/hyperlink" Target="http://secrets.rutgers.edu:8080/data/asl-ftp/asllvd/demos/verify_start_end_handshape_annotations//test_auto_move//signs_mov/1412_5464_merged.mov" TargetMode="External"/><Relationship Id="rId12766" Type="http://schemas.openxmlformats.org/officeDocument/2006/relationships/hyperlink" Target="http://secrets.rutgers.edu:8080/data/asl-ftp/asllvd/demos/verify_start_end_handshape_annotations//test_auto_move//signs_mov_separ_signers/Naomi_1412.mov" TargetMode="External"/><Relationship Id="rId12767" Type="http://schemas.openxmlformats.org/officeDocument/2006/relationships/hyperlink" Target="http://csr.bu.edu/ftp/asl/asllvd/demos/verify_start_end_handshape_annotations//test_auto_move//signs_mov_separ_signers/Lana_1412.mov" TargetMode="External"/><Relationship Id="rId12768" Type="http://schemas.openxmlformats.org/officeDocument/2006/relationships/hyperlink" Target="http://secrets.rutgers.edu:8080/data/asl-ftp/asllvd/demos/verify_start_end_handshape_annotations//test_auto_move//signs_mov_separ_signers/Lana_1412.mov" TargetMode="External"/><Relationship Id="rId12769" Type="http://schemas.openxmlformats.org/officeDocument/2006/relationships/hyperlink" Target="http://csr.bu.edu/ftp/asl/asllvd/demos/verify_start_end_handshape_annotations//test_auto_move//signs_mov_separ_signers/Lana_5464.mov" TargetMode="External"/><Relationship Id="rId12770" Type="http://schemas.openxmlformats.org/officeDocument/2006/relationships/hyperlink" Target="http://secrets.rutgers.edu:8080/data/asl-ftp/asllvd/demos/verify_start_end_handshape_annotations//test_auto_move//signs_mov_separ_signers/Lana_5464.mov" TargetMode="External"/><Relationship Id="rId12771" Type="http://schemas.openxmlformats.org/officeDocument/2006/relationships/hyperlink" Target="http://csr.bu.edu/ftp/asl/asllvd/demos/verify_start_end_handshape_annotations//test_auto_move//signs_mov_separ_signers/Liz_1413.mov" TargetMode="External"/><Relationship Id="rId12772" Type="http://schemas.openxmlformats.org/officeDocument/2006/relationships/hyperlink" Target="http://secrets.rutgers.edu:8080/data/asl-ftp/asllvd/demos/verify_start_end_handshape_annotations//test_auto_move//signs_mov_separ_signers/Liz_1413.mov" TargetMode="External"/><Relationship Id="rId12773" Type="http://schemas.openxmlformats.org/officeDocument/2006/relationships/hyperlink" Target="http://csr.bu.edu/ftp/asl/asllvd/demos/verify_start_end_handshape_annotations//test_auto_move//signs_mov/1413.mov" TargetMode="External"/><Relationship Id="rId12774" Type="http://schemas.openxmlformats.org/officeDocument/2006/relationships/hyperlink" Target="http://csr.bu.edu/ftp/asl/asllvd/demos/verify_start_end_handshape_annotations//test_auto_move//signs_mov_separ_signers/Tyler_1413.mov" TargetMode="External"/><Relationship Id="rId12775" Type="http://schemas.openxmlformats.org/officeDocument/2006/relationships/hyperlink" Target="http://secrets.rutgers.edu:8080/data/asl-ftp/asllvd/demos/verify_start_end_handshape_annotations//test_auto_move//signs_mov/1413.mov" TargetMode="External"/><Relationship Id="rId12776" Type="http://schemas.openxmlformats.org/officeDocument/2006/relationships/hyperlink" Target="http://secrets.rutgers.edu:8080/data/asl-ftp/asllvd/demos/verify_start_end_handshape_annotations//test_auto_move//signs_mov_separ_signers/Tyler_1413.mov" TargetMode="External"/><Relationship Id="rId12777" Type="http://schemas.openxmlformats.org/officeDocument/2006/relationships/hyperlink" Target="http://csr.bu.edu/ftp/asl/asllvd/demos/verify_start_end_handshape_annotations//test_auto_move//signs_mov_separ_signers/Naomi_1413.mov" TargetMode="External"/><Relationship Id="rId12778" Type="http://schemas.openxmlformats.org/officeDocument/2006/relationships/hyperlink" Target="http://secrets.rutgers.edu:8080/data/asl-ftp/asllvd/demos/verify_start_end_handshape_annotations//test_auto_move//signs_mov_separ_signers/Naomi_1413.mov" TargetMode="External"/><Relationship Id="rId12779" Type="http://schemas.openxmlformats.org/officeDocument/2006/relationships/hyperlink" Target="http://csr.bu.edu/ftp/asl/asllvd/demos/verify_start_end_handshape_annotations//test_auto_move//signs_mov_separ_signers/Liz_16175.mov" TargetMode="External"/><Relationship Id="rId12780" Type="http://schemas.openxmlformats.org/officeDocument/2006/relationships/hyperlink" Target="http://secrets.rutgers.edu:8080/data/asl-ftp/asllvd/demos/verify_start_end_handshape_annotations//test_auto_move//signs_mov_separ_signers/Liz_16175.mov" TargetMode="External"/><Relationship Id="rId12781" Type="http://schemas.openxmlformats.org/officeDocument/2006/relationships/hyperlink" Target="http://csr.bu.edu/ftp/asl/asllvd/demos/verify_start_end_handshape_annotations//test_auto_move//signs_mov/16175.mov" TargetMode="External"/><Relationship Id="rId12782" Type="http://schemas.openxmlformats.org/officeDocument/2006/relationships/hyperlink" Target="http://csr.bu.edu/ftp/asl/asllvd/demos/verify_start_end_handshape_annotations//test_auto_move//signs_mov_separ_signers/Tyler_16175.mov" TargetMode="External"/><Relationship Id="rId12783" Type="http://schemas.openxmlformats.org/officeDocument/2006/relationships/hyperlink" Target="http://secrets.rutgers.edu:8080/data/asl-ftp/asllvd/demos/verify_start_end_handshape_annotations//test_auto_move//signs_mov/16175.mov" TargetMode="External"/><Relationship Id="rId12784" Type="http://schemas.openxmlformats.org/officeDocument/2006/relationships/hyperlink" Target="http://secrets.rutgers.edu:8080/data/asl-ftp/asllvd/demos/verify_start_end_handshape_annotations//test_auto_move//signs_mov_separ_signers/Tyler_16175.mov" TargetMode="External"/><Relationship Id="rId12785" Type="http://schemas.openxmlformats.org/officeDocument/2006/relationships/hyperlink" Target="http://csr.bu.edu/ftp/asl/asllvd/demos/verify_start_end_handshape_annotations//test_auto_move//signs_mov_separ_signers/Naomi_16175.mov" TargetMode="External"/><Relationship Id="rId12786" Type="http://schemas.openxmlformats.org/officeDocument/2006/relationships/hyperlink" Target="http://secrets.rutgers.edu:8080/data/asl-ftp/asllvd/demos/verify_start_end_handshape_annotations//test_auto_move//signs_mov_separ_signers/Naomi_16175.mov" TargetMode="External"/><Relationship Id="rId12787" Type="http://schemas.openxmlformats.org/officeDocument/2006/relationships/hyperlink" Target="http://csr.bu.edu/ftp/asl/asllvd/demos/verify_start_end_handshape_annotations//test_auto_move//signs_mov_separ_signers/Brady_16175.mov" TargetMode="External"/><Relationship Id="rId12788" Type="http://schemas.openxmlformats.org/officeDocument/2006/relationships/hyperlink" Target="http://secrets.rutgers.edu:8080/data/asl-ftp/asllvd/demos/verify_start_end_handshape_annotations//test_auto_move//signs_mov_separ_signers/Brady_16175.mov" TargetMode="External"/><Relationship Id="rId12789" Type="http://schemas.openxmlformats.org/officeDocument/2006/relationships/hyperlink" Target="http://csr.bu.edu/ftp/asl/asllvd/demos/verify_start_end_handshape_annotations//test_auto_move//signs_mov_separ_signers/Liz_1414.mov" TargetMode="External"/><Relationship Id="rId12790" Type="http://schemas.openxmlformats.org/officeDocument/2006/relationships/hyperlink" Target="http://secrets.rutgers.edu:8080/data/asl-ftp/asllvd/demos/verify_start_end_handshape_annotations//test_auto_move//signs_mov_separ_signers/Liz_1414.mov" TargetMode="External"/><Relationship Id="rId12791" Type="http://schemas.openxmlformats.org/officeDocument/2006/relationships/hyperlink" Target="http://csr.bu.edu/ftp/asl/asllvd/demos/verify_start_end_handshape_annotations//test_auto_move//signs_mov_separ_signers/Tyler_1414.mov" TargetMode="External"/><Relationship Id="rId12792" Type="http://schemas.openxmlformats.org/officeDocument/2006/relationships/hyperlink" Target="http://secrets.rutgers.edu:8080/data/asl-ftp/asllvd/demos/verify_start_end_handshape_annotations//test_auto_move//signs_mov_separ_signers/Tyler_1414.mov" TargetMode="External"/><Relationship Id="rId12793" Type="http://schemas.openxmlformats.org/officeDocument/2006/relationships/hyperlink" Target="http://csr.bu.edu/ftp/asl/asllvd/demos/verify_start_end_handshape_annotations//test_auto_move//signs_mov/1414_3424_merged.mov" TargetMode="External"/><Relationship Id="rId12794" Type="http://schemas.openxmlformats.org/officeDocument/2006/relationships/hyperlink" Target="http://csr.bu.edu/ftp/asl/asllvd/demos/verify_start_end_handshape_annotations//test_auto_move//signs_mov_separ_signers/Tyler_3424.mov" TargetMode="External"/><Relationship Id="rId12795" Type="http://schemas.openxmlformats.org/officeDocument/2006/relationships/hyperlink" Target="http://secrets.rutgers.edu:8080/data/asl-ftp/asllvd/demos/verify_start_end_handshape_annotations//test_auto_move//signs_mov/1414_3424_merged.mov" TargetMode="External"/><Relationship Id="rId12796" Type="http://schemas.openxmlformats.org/officeDocument/2006/relationships/hyperlink" Target="http://secrets.rutgers.edu:8080/data/asl-ftp/asllvd/demos/verify_start_end_handshape_annotations//test_auto_move//signs_mov_separ_signers/Tyler_3424.mov" TargetMode="External"/><Relationship Id="rId12797" Type="http://schemas.openxmlformats.org/officeDocument/2006/relationships/hyperlink" Target="http://csr.bu.edu/ftp/asl/asllvd/demos/verify_start_end_handshape_annotations//test_auto_move//signs_mov_separ_signers/Naomi_1414.mov" TargetMode="External"/><Relationship Id="rId12798" Type="http://schemas.openxmlformats.org/officeDocument/2006/relationships/hyperlink" Target="http://secrets.rutgers.edu:8080/data/asl-ftp/asllvd/demos/verify_start_end_handshape_annotations//test_auto_move//signs_mov_separ_signers/Naomi_1414.mov" TargetMode="External"/><Relationship Id="rId12799" Type="http://schemas.openxmlformats.org/officeDocument/2006/relationships/hyperlink" Target="http://csr.bu.edu/ftp/asl/asllvd/demos/verify_start_end_handshape_annotations//test_auto_move//signs_mov_separ_signers/Brady_1414.mov" TargetMode="External"/><Relationship Id="rId12800" Type="http://schemas.openxmlformats.org/officeDocument/2006/relationships/hyperlink" Target="http://secrets.rutgers.edu:8080/data/asl-ftp/asllvd/demos/verify_start_end_handshape_annotations//test_auto_move//signs_mov_separ_signers/Brady_1414.mov" TargetMode="External"/><Relationship Id="rId12801" Type="http://schemas.openxmlformats.org/officeDocument/2006/relationships/hyperlink" Target="http://csr.bu.edu/ftp/asl/asllvd/demos/verify_start_end_handshape_annotations//test_auto_move//signs_mov_separ_signers/Brady_3424.mov" TargetMode="External"/><Relationship Id="rId12802" Type="http://schemas.openxmlformats.org/officeDocument/2006/relationships/hyperlink" Target="http://secrets.rutgers.edu:8080/data/asl-ftp/asllvd/demos/verify_start_end_handshape_annotations//test_auto_move//signs_mov_separ_signers/Brady_3424.mov" TargetMode="External"/><Relationship Id="rId12803" Type="http://schemas.openxmlformats.org/officeDocument/2006/relationships/hyperlink" Target="http://csr.bu.edu/ftp/asl/asllvd/demos/verify_start_end_handshape_annotations//test_auto_move//signs_mov/5242.mov" TargetMode="External"/><Relationship Id="rId12804" Type="http://schemas.openxmlformats.org/officeDocument/2006/relationships/hyperlink" Target="http://csr.bu.edu/ftp/asl/asllvd/demos/verify_start_end_handshape_annotations//test_auto_move//signs_mov_separ_signers/Liz_5242.mov" TargetMode="External"/><Relationship Id="rId12805" Type="http://schemas.openxmlformats.org/officeDocument/2006/relationships/hyperlink" Target="http://secrets.rutgers.edu:8080/data/asl-ftp/asllvd/demos/verify_start_end_handshape_annotations//test_auto_move//signs_mov/5242.mov" TargetMode="External"/><Relationship Id="rId12806" Type="http://schemas.openxmlformats.org/officeDocument/2006/relationships/hyperlink" Target="http://secrets.rutgers.edu:8080/data/asl-ftp/asllvd/demos/verify_start_end_handshape_annotations//test_auto_move//signs_mov_separ_signers/Liz_5242.mov" TargetMode="External"/><Relationship Id="rId12807" Type="http://schemas.openxmlformats.org/officeDocument/2006/relationships/hyperlink" Target="http://csr.bu.edu/ftp/asl/asllvd/demos/verify_start_end_handshape_annotations//test_auto_move//signs_mov/15477.mov" TargetMode="External"/><Relationship Id="rId12808" Type="http://schemas.openxmlformats.org/officeDocument/2006/relationships/hyperlink" Target="http://csr.bu.edu/ftp/asl/asllvd/demos/verify_start_end_handshape_annotations//test_auto_move//signs_mov_separ_signers/Liz_15477.mov" TargetMode="External"/><Relationship Id="rId12809" Type="http://schemas.openxmlformats.org/officeDocument/2006/relationships/hyperlink" Target="http://secrets.rutgers.edu:8080/data/asl-ftp/asllvd/demos/verify_start_end_handshape_annotations//test_auto_move//signs_mov/15477.mov" TargetMode="External"/><Relationship Id="rId12810" Type="http://schemas.openxmlformats.org/officeDocument/2006/relationships/hyperlink" Target="http://secrets.rutgers.edu:8080/data/asl-ftp/asllvd/demos/verify_start_end_handshape_annotations//test_auto_move//signs_mov_separ_signers/Liz_15477.mov" TargetMode="External"/><Relationship Id="rId12811" Type="http://schemas.openxmlformats.org/officeDocument/2006/relationships/hyperlink" Target="http://csr.bu.edu/ftp/asl/asllvd/demos/verify_start_end_handshape_annotations//test_auto_move//signs_mov_separ_signers/Brady_15477.mov" TargetMode="External"/><Relationship Id="rId12812" Type="http://schemas.openxmlformats.org/officeDocument/2006/relationships/hyperlink" Target="http://secrets.rutgers.edu:8080/data/asl-ftp/asllvd/demos/verify_start_end_handshape_annotations//test_auto_move//signs_mov_separ_signers/Brady_15477.mov" TargetMode="External"/><Relationship Id="rId12813" Type="http://schemas.openxmlformats.org/officeDocument/2006/relationships/hyperlink" Target="http://csr.bu.edu/ftp/asl/asllvd/demos/verify_start_end_handshape_annotations//test_auto_move//signs_mov/15885.mov" TargetMode="External"/><Relationship Id="rId12814" Type="http://schemas.openxmlformats.org/officeDocument/2006/relationships/hyperlink" Target="http://csr.bu.edu/ftp/asl/asllvd/demos/verify_start_end_handshape_annotations//test_auto_move//signs_mov_separ_signers/Liz_15885.mov" TargetMode="External"/><Relationship Id="rId12815" Type="http://schemas.openxmlformats.org/officeDocument/2006/relationships/hyperlink" Target="http://secrets.rutgers.edu:8080/data/asl-ftp/asllvd/demos/verify_start_end_handshape_annotations//test_auto_move//signs_mov/15885.mov" TargetMode="External"/><Relationship Id="rId12816" Type="http://schemas.openxmlformats.org/officeDocument/2006/relationships/hyperlink" Target="http://secrets.rutgers.edu:8080/data/asl-ftp/asllvd/demos/verify_start_end_handshape_annotations//test_auto_move//signs_mov_separ_signers/Liz_15885.mov" TargetMode="External"/><Relationship Id="rId12817" Type="http://schemas.openxmlformats.org/officeDocument/2006/relationships/hyperlink" Target="http://csr.bu.edu/ftp/asl/asllvd/demos/verify_start_end_handshape_annotations//test_auto_move//signs_mov/1415.mov" TargetMode="External"/><Relationship Id="rId12818" Type="http://schemas.openxmlformats.org/officeDocument/2006/relationships/hyperlink" Target="http://csr.bu.edu/ftp/asl/asllvd/demos/verify_start_end_handshape_annotations//test_auto_move//signs_mov_separ_signers/Liz_1415.mov" TargetMode="External"/><Relationship Id="rId12819" Type="http://schemas.openxmlformats.org/officeDocument/2006/relationships/hyperlink" Target="http://secrets.rutgers.edu:8080/data/asl-ftp/asllvd/demos/verify_start_end_handshape_annotations//test_auto_move//signs_mov/1415.mov" TargetMode="External"/><Relationship Id="rId12820" Type="http://schemas.openxmlformats.org/officeDocument/2006/relationships/hyperlink" Target="http://secrets.rutgers.edu:8080/data/asl-ftp/asllvd/demos/verify_start_end_handshape_annotations//test_auto_move//signs_mov_separ_signers/Liz_1415.mov" TargetMode="External"/><Relationship Id="rId12821" Type="http://schemas.openxmlformats.org/officeDocument/2006/relationships/hyperlink" Target="http://csr.bu.edu/ftp/asl/asllvd/demos/verify_start_end_handshape_annotations//test_auto_move//signs_mov_separ_signers/Naomi_1415.mov" TargetMode="External"/><Relationship Id="rId12822" Type="http://schemas.openxmlformats.org/officeDocument/2006/relationships/hyperlink" Target="http://secrets.rutgers.edu:8080/data/asl-ftp/asllvd/demos/verify_start_end_handshape_annotations//test_auto_move//signs_mov_separ_signers/Naomi_1415.mov" TargetMode="External"/><Relationship Id="rId12823" Type="http://schemas.openxmlformats.org/officeDocument/2006/relationships/hyperlink" Target="http://csr.bu.edu/ftp/asl/asllvd/demos/verify_start_end_handshape_annotations//test_auto_move//signs_mov_separ_signers/Liz_1418.mov" TargetMode="External"/><Relationship Id="rId12824" Type="http://schemas.openxmlformats.org/officeDocument/2006/relationships/hyperlink" Target="http://secrets.rutgers.edu:8080/data/asl-ftp/asllvd/demos/verify_start_end_handshape_annotations//test_auto_move//signs_mov_separ_signers/Liz_1418.mov" TargetMode="External"/><Relationship Id="rId12825" Type="http://schemas.openxmlformats.org/officeDocument/2006/relationships/hyperlink" Target="http://csr.bu.edu/ftp/asl/asllvd/demos/verify_start_end_handshape_annotations//test_auto_move//signs_mov/1418.mov" TargetMode="External"/><Relationship Id="rId12826" Type="http://schemas.openxmlformats.org/officeDocument/2006/relationships/hyperlink" Target="http://csr.bu.edu/ftp/asl/asllvd/demos/verify_start_end_handshape_annotations//test_auto_move//signs_mov_separ_signers/Tyler_1418.mov" TargetMode="External"/><Relationship Id="rId12827" Type="http://schemas.openxmlformats.org/officeDocument/2006/relationships/hyperlink" Target="http://secrets.rutgers.edu:8080/data/asl-ftp/asllvd/demos/verify_start_end_handshape_annotations//test_auto_move//signs_mov/1418.mov" TargetMode="External"/><Relationship Id="rId12828" Type="http://schemas.openxmlformats.org/officeDocument/2006/relationships/hyperlink" Target="http://secrets.rutgers.edu:8080/data/asl-ftp/asllvd/demos/verify_start_end_handshape_annotations//test_auto_move//signs_mov_separ_signers/Tyler_1418.mov" TargetMode="External"/><Relationship Id="rId12829" Type="http://schemas.openxmlformats.org/officeDocument/2006/relationships/hyperlink" Target="http://csr.bu.edu/ftp/asl/asllvd/demos/verify_start_end_handshape_annotations//test_auto_move//signs_mov_separ_signers/Naomi_1418.mov" TargetMode="External"/><Relationship Id="rId12830" Type="http://schemas.openxmlformats.org/officeDocument/2006/relationships/hyperlink" Target="http://secrets.rutgers.edu:8080/data/asl-ftp/asllvd/demos/verify_start_end_handshape_annotations//test_auto_move//signs_mov_separ_signers/Naomi_1418.mov" TargetMode="External"/><Relationship Id="rId12831" Type="http://schemas.openxmlformats.org/officeDocument/2006/relationships/hyperlink" Target="http://csr.bu.edu/ftp/asl/asllvd/demos/verify_start_end_handshape_annotations//test_auto_move//signs_mov_separ_signers/Brady_1418.mov" TargetMode="External"/><Relationship Id="rId12832" Type="http://schemas.openxmlformats.org/officeDocument/2006/relationships/hyperlink" Target="http://secrets.rutgers.edu:8080/data/asl-ftp/asllvd/demos/verify_start_end_handshape_annotations//test_auto_move//signs_mov_separ_signers/Brady_1418.mov" TargetMode="External"/><Relationship Id="rId12833" Type="http://schemas.openxmlformats.org/officeDocument/2006/relationships/hyperlink" Target="http://csr.bu.edu/ftp/asl/asllvd/demos/verify_start_end_handshape_annotations//test_auto_move//signs_mov_separ_signers/Liz_1422.mov" TargetMode="External"/><Relationship Id="rId12834" Type="http://schemas.openxmlformats.org/officeDocument/2006/relationships/hyperlink" Target="http://secrets.rutgers.edu:8080/data/asl-ftp/asllvd/demos/verify_start_end_handshape_annotations//test_auto_move//signs_mov_separ_signers/Liz_1422.mov" TargetMode="External"/><Relationship Id="rId12835" Type="http://schemas.openxmlformats.org/officeDocument/2006/relationships/hyperlink" Target="http://csr.bu.edu/ftp/asl/asllvd/demos/verify_start_end_handshape_annotations//test_auto_move//signs_mov_separ_signers/Liz_3548.mov" TargetMode="External"/><Relationship Id="rId12836" Type="http://schemas.openxmlformats.org/officeDocument/2006/relationships/hyperlink" Target="http://secrets.rutgers.edu:8080/data/asl-ftp/asllvd/demos/verify_start_end_handshape_annotations//test_auto_move//signs_mov_separ_signers/Liz_3548.mov" TargetMode="External"/><Relationship Id="rId12837" Type="http://schemas.openxmlformats.org/officeDocument/2006/relationships/hyperlink" Target="http://csr.bu.edu/ftp/asl/asllvd/demos/verify_start_end_handshape_annotations//test_auto_move//signs_mov_separ_signers/Tyler_1422.mov" TargetMode="External"/><Relationship Id="rId12838" Type="http://schemas.openxmlformats.org/officeDocument/2006/relationships/hyperlink" Target="http://secrets.rutgers.edu:8080/data/asl-ftp/asllvd/demos/verify_start_end_handshape_annotations//test_auto_move//signs_mov_separ_signers/Tyler_1422.mov" TargetMode="External"/><Relationship Id="rId12839" Type="http://schemas.openxmlformats.org/officeDocument/2006/relationships/hyperlink" Target="http://csr.bu.edu/ftp/asl/asllvd/demos/verify_start_end_handshape_annotations//test_auto_move//signs_mov/1422_3548_merged.mov" TargetMode="External"/><Relationship Id="rId12840" Type="http://schemas.openxmlformats.org/officeDocument/2006/relationships/hyperlink" Target="http://csr.bu.edu/ftp/asl/asllvd/demos/verify_start_end_handshape_annotations//test_auto_move//signs_mov_separ_signers/Tyler_3548.mov" TargetMode="External"/><Relationship Id="rId12841" Type="http://schemas.openxmlformats.org/officeDocument/2006/relationships/hyperlink" Target="http://secrets.rutgers.edu:8080/data/asl-ftp/asllvd/demos/verify_start_end_handshape_annotations//test_auto_move//signs_mov/1422_3548_merged.mov" TargetMode="External"/><Relationship Id="rId12842" Type="http://schemas.openxmlformats.org/officeDocument/2006/relationships/hyperlink" Target="http://secrets.rutgers.edu:8080/data/asl-ftp/asllvd/demos/verify_start_end_handshape_annotations//test_auto_move//signs_mov_separ_signers/Tyler_3548.mov" TargetMode="External"/><Relationship Id="rId12843" Type="http://schemas.openxmlformats.org/officeDocument/2006/relationships/hyperlink" Target="http://csr.bu.edu/ftp/asl/asllvd/demos/verify_start_end_handshape_annotations//test_auto_move//signs_mov_separ_signers/Naomi_1422.mov" TargetMode="External"/><Relationship Id="rId12844" Type="http://schemas.openxmlformats.org/officeDocument/2006/relationships/hyperlink" Target="http://secrets.rutgers.edu:8080/data/asl-ftp/asllvd/demos/verify_start_end_handshape_annotations//test_auto_move//signs_mov_separ_signers/Naomi_1422.mov" TargetMode="External"/><Relationship Id="rId12845" Type="http://schemas.openxmlformats.org/officeDocument/2006/relationships/hyperlink" Target="http://csr.bu.edu/ftp/asl/asllvd/demos/verify_start_end_handshape_annotations//test_auto_move//signs_mov_separ_signers/Naomi_3548.mov" TargetMode="External"/><Relationship Id="rId12846" Type="http://schemas.openxmlformats.org/officeDocument/2006/relationships/hyperlink" Target="http://secrets.rutgers.edu:8080/data/asl-ftp/asllvd/demos/verify_start_end_handshape_annotations//test_auto_move//signs_mov_separ_signers/Naomi_3548.mov" TargetMode="External"/><Relationship Id="rId12847" Type="http://schemas.openxmlformats.org/officeDocument/2006/relationships/hyperlink" Target="http://csr.bu.edu/ftp/asl/asllvd/demos/verify_start_end_handshape_annotations//test_auto_move//signs_mov_separ_signers/Brady_1422.mov" TargetMode="External"/><Relationship Id="rId12848" Type="http://schemas.openxmlformats.org/officeDocument/2006/relationships/hyperlink" Target="http://secrets.rutgers.edu:8080/data/asl-ftp/asllvd/demos/verify_start_end_handshape_annotations//test_auto_move//signs_mov_separ_signers/Brady_1422.mov" TargetMode="External"/><Relationship Id="rId12849" Type="http://schemas.openxmlformats.org/officeDocument/2006/relationships/hyperlink" Target="http://csr.bu.edu/ftp/asl/asllvd/demos/verify_start_end_handshape_annotations//test_auto_move//signs_mov_separ_signers/Brady_3548.mov" TargetMode="External"/><Relationship Id="rId12850" Type="http://schemas.openxmlformats.org/officeDocument/2006/relationships/hyperlink" Target="http://secrets.rutgers.edu:8080/data/asl-ftp/asllvd/demos/verify_start_end_handshape_annotations//test_auto_move//signs_mov_separ_signers/Brady_3548.mov" TargetMode="External"/><Relationship Id="rId12851" Type="http://schemas.openxmlformats.org/officeDocument/2006/relationships/hyperlink" Target="http://csr.bu.edu/ftp/asl/asllvd/demos/verify_start_end_handshape_annotations//test_auto_move//signs_mov/15660.mov" TargetMode="External"/><Relationship Id="rId12852" Type="http://schemas.openxmlformats.org/officeDocument/2006/relationships/hyperlink" Target="http://csr.bu.edu/ftp/asl/asllvd/demos/verify_start_end_handshape_annotations//test_auto_move//signs_mov_separ_signers/Liz_15660.mov" TargetMode="External"/><Relationship Id="rId12853" Type="http://schemas.openxmlformats.org/officeDocument/2006/relationships/hyperlink" Target="http://secrets.rutgers.edu:8080/data/asl-ftp/asllvd/demos/verify_start_end_handshape_annotations//test_auto_move//signs_mov/15660.mov" TargetMode="External"/><Relationship Id="rId12854" Type="http://schemas.openxmlformats.org/officeDocument/2006/relationships/hyperlink" Target="http://secrets.rutgers.edu:8080/data/asl-ftp/asllvd/demos/verify_start_end_handshape_annotations//test_auto_move//signs_mov_separ_signers/Liz_15660.mov" TargetMode="External"/><Relationship Id="rId12855" Type="http://schemas.openxmlformats.org/officeDocument/2006/relationships/hyperlink" Target="http://csr.bu.edu/ftp/asl/asllvd/demos/verify_start_end_handshape_annotations//test_auto_move//signs_mov_separ_signers/Brady_15660.mov" TargetMode="External"/><Relationship Id="rId12856" Type="http://schemas.openxmlformats.org/officeDocument/2006/relationships/hyperlink" Target="http://secrets.rutgers.edu:8080/data/asl-ftp/asllvd/demos/verify_start_end_handshape_annotations//test_auto_move//signs_mov_separ_signers/Brady_15660.mov" TargetMode="External"/><Relationship Id="rId12857" Type="http://schemas.openxmlformats.org/officeDocument/2006/relationships/hyperlink" Target="http://csr.bu.edu/ftp/asl/asllvd/demos/verify_start_end_handshape_annotations//test_auto_move//signs_mov/15911.mov" TargetMode="External"/><Relationship Id="rId12858" Type="http://schemas.openxmlformats.org/officeDocument/2006/relationships/hyperlink" Target="http://csr.bu.edu/ftp/asl/asllvd/demos/verify_start_end_handshape_annotations//test_auto_move//signs_mov_separ_signers/Liz_15911.mov" TargetMode="External"/><Relationship Id="rId12859" Type="http://schemas.openxmlformats.org/officeDocument/2006/relationships/hyperlink" Target="http://secrets.rutgers.edu:8080/data/asl-ftp/asllvd/demos/verify_start_end_handshape_annotations//test_auto_move//signs_mov/15911.mov" TargetMode="External"/><Relationship Id="rId12860" Type="http://schemas.openxmlformats.org/officeDocument/2006/relationships/hyperlink" Target="http://secrets.rutgers.edu:8080/data/asl-ftp/asllvd/demos/verify_start_end_handshape_annotations//test_auto_move//signs_mov_separ_signers/Liz_15911.mov" TargetMode="External"/><Relationship Id="rId12861" Type="http://schemas.openxmlformats.org/officeDocument/2006/relationships/hyperlink" Target="http://csr.bu.edu/ftp/asl/asllvd/demos/verify_start_end_handshape_annotations//test_auto_move//signs_mov_separ_signers/Brady_15911.mov" TargetMode="External"/><Relationship Id="rId12862" Type="http://schemas.openxmlformats.org/officeDocument/2006/relationships/hyperlink" Target="http://secrets.rutgers.edu:8080/data/asl-ftp/asllvd/demos/verify_start_end_handshape_annotations//test_auto_move//signs_mov_separ_signers/Brady_15911.mov" TargetMode="External"/><Relationship Id="rId12863" Type="http://schemas.openxmlformats.org/officeDocument/2006/relationships/hyperlink" Target="http://csr.bu.edu/ftp/asl/asllvd/demos/verify_start_end_handshape_annotations//test_auto_move//signs_mov_separ_signers/Liz_15932.mov" TargetMode="External"/><Relationship Id="rId12864" Type="http://schemas.openxmlformats.org/officeDocument/2006/relationships/hyperlink" Target="http://secrets.rutgers.edu:8080/data/asl-ftp/asllvd/demos/verify_start_end_handshape_annotations//test_auto_move//signs_mov_separ_signers/Liz_15932.mov" TargetMode="External"/><Relationship Id="rId12865" Type="http://schemas.openxmlformats.org/officeDocument/2006/relationships/hyperlink" Target="http://csr.bu.edu/ftp/asl/asllvd/demos/verify_start_end_handshape_annotations//test_auto_move//signs_mov_separ_signers/Tyler_15932.mov" TargetMode="External"/><Relationship Id="rId12866" Type="http://schemas.openxmlformats.org/officeDocument/2006/relationships/hyperlink" Target="http://secrets.rutgers.edu:8080/data/asl-ftp/asllvd/demos/verify_start_end_handshape_annotations//test_auto_move//signs_mov_separ_signers/Tyler_15932.mov" TargetMode="External"/><Relationship Id="rId12867" Type="http://schemas.openxmlformats.org/officeDocument/2006/relationships/hyperlink" Target="http://csr.bu.edu/ftp/asl/asllvd/demos/verify_start_end_handshape_annotations//test_auto_move//signs_mov/15932.mov" TargetMode="External"/><Relationship Id="rId12868" Type="http://schemas.openxmlformats.org/officeDocument/2006/relationships/hyperlink" Target="http://csr.bu.edu/ftp/asl/asllvd/demos/verify_start_end_handshape_annotations//test_auto_move//signs_mov_separ_signers/Naomi_15932.mov" TargetMode="External"/><Relationship Id="rId12869" Type="http://schemas.openxmlformats.org/officeDocument/2006/relationships/hyperlink" Target="http://secrets.rutgers.edu:8080/data/asl-ftp/asllvd/demos/verify_start_end_handshape_annotations//test_auto_move//signs_mov/15932.mov" TargetMode="External"/><Relationship Id="rId12870" Type="http://schemas.openxmlformats.org/officeDocument/2006/relationships/hyperlink" Target="http://secrets.rutgers.edu:8080/data/asl-ftp/asllvd/demos/verify_start_end_handshape_annotations//test_auto_move//signs_mov_separ_signers/Naomi_15932.mov" TargetMode="External"/><Relationship Id="rId12871" Type="http://schemas.openxmlformats.org/officeDocument/2006/relationships/hyperlink" Target="http://csr.bu.edu/ftp/asl/asllvd/demos/verify_start_end_handshape_annotations//test_auto_move//signs_mov_separ_signers/Brady_15932.mov" TargetMode="External"/><Relationship Id="rId12872" Type="http://schemas.openxmlformats.org/officeDocument/2006/relationships/hyperlink" Target="http://secrets.rutgers.edu:8080/data/asl-ftp/asllvd/demos/verify_start_end_handshape_annotations//test_auto_move//signs_mov_separ_signers/Brady_15932.mov" TargetMode="External"/><Relationship Id="rId12873" Type="http://schemas.openxmlformats.org/officeDocument/2006/relationships/hyperlink" Target="http://csr.bu.edu/ftp/asl/asllvd/demos/verify_start_end_handshape_annotations//test_auto_move//signs_mov_separ_signers/Lana_15932.mov" TargetMode="External"/><Relationship Id="rId12874" Type="http://schemas.openxmlformats.org/officeDocument/2006/relationships/hyperlink" Target="http://secrets.rutgers.edu:8080/data/asl-ftp/asllvd/demos/verify_start_end_handshape_annotations//test_auto_move//signs_mov_separ_signers/Lana_15932.mov" TargetMode="External"/><Relationship Id="rId12875" Type="http://schemas.openxmlformats.org/officeDocument/2006/relationships/hyperlink" Target="http://csr.bu.edu/ftp/asl/asllvd/demos/verify_start_end_handshape_annotations//test_auto_move//signs_mov_separ_signers/Liz_1423.mov" TargetMode="External"/><Relationship Id="rId12876" Type="http://schemas.openxmlformats.org/officeDocument/2006/relationships/hyperlink" Target="http://secrets.rutgers.edu:8080/data/asl-ftp/asllvd/demos/verify_start_end_handshape_annotations//test_auto_move//signs_mov_separ_signers/Liz_1423.mov" TargetMode="External"/><Relationship Id="rId12877" Type="http://schemas.openxmlformats.org/officeDocument/2006/relationships/hyperlink" Target="http://csr.bu.edu/ftp/asl/asllvd/demos/verify_start_end_handshape_annotations//test_auto_move//signs_mov/1423.mov" TargetMode="External"/><Relationship Id="rId12878" Type="http://schemas.openxmlformats.org/officeDocument/2006/relationships/hyperlink" Target="http://csr.bu.edu/ftp/asl/asllvd/demos/verify_start_end_handshape_annotations//test_auto_move//signs_mov_separ_signers/Naomi_1423.mov" TargetMode="External"/><Relationship Id="rId12879" Type="http://schemas.openxmlformats.org/officeDocument/2006/relationships/hyperlink" Target="http://secrets.rutgers.edu:8080/data/asl-ftp/asllvd/demos/verify_start_end_handshape_annotations//test_auto_move//signs_mov/1423.mov" TargetMode="External"/><Relationship Id="rId12880" Type="http://schemas.openxmlformats.org/officeDocument/2006/relationships/hyperlink" Target="http://secrets.rutgers.edu:8080/data/asl-ftp/asllvd/demos/verify_start_end_handshape_annotations//test_auto_move//signs_mov_separ_signers/Naomi_1423.mov" TargetMode="External"/><Relationship Id="rId12881" Type="http://schemas.openxmlformats.org/officeDocument/2006/relationships/hyperlink" Target="http://csr.bu.edu/ftp/asl/asllvd/demos/verify_start_end_handshape_annotations//test_auto_move//signs_mov_separ_signers/Brady_1423.mov" TargetMode="External"/><Relationship Id="rId12882" Type="http://schemas.openxmlformats.org/officeDocument/2006/relationships/hyperlink" Target="http://secrets.rutgers.edu:8080/data/asl-ftp/asllvd/demos/verify_start_end_handshape_annotations//test_auto_move//signs_mov_separ_signers/Brady_1423.mov" TargetMode="External"/><Relationship Id="rId12883" Type="http://schemas.openxmlformats.org/officeDocument/2006/relationships/hyperlink" Target="http://csr.bu.edu/ftp/asl/asllvd/demos/verify_start_end_handshape_annotations//test_auto_move//signs_mov/5243.mov" TargetMode="External"/><Relationship Id="rId12884" Type="http://schemas.openxmlformats.org/officeDocument/2006/relationships/hyperlink" Target="http://csr.bu.edu/ftp/asl/asllvd/demos/verify_start_end_handshape_annotations//test_auto_move//signs_mov_separ_signers/Tyler_5243.mov" TargetMode="External"/><Relationship Id="rId12885" Type="http://schemas.openxmlformats.org/officeDocument/2006/relationships/hyperlink" Target="http://secrets.rutgers.edu:8080/data/asl-ftp/asllvd/demos/verify_start_end_handshape_annotations//test_auto_move//signs_mov/5243.mov" TargetMode="External"/><Relationship Id="rId12886" Type="http://schemas.openxmlformats.org/officeDocument/2006/relationships/hyperlink" Target="http://secrets.rutgers.edu:8080/data/asl-ftp/asllvd/demos/verify_start_end_handshape_annotations//test_auto_move//signs_mov_separ_signers/Tyler_5243.mov" TargetMode="External"/><Relationship Id="rId12887" Type="http://schemas.openxmlformats.org/officeDocument/2006/relationships/hyperlink" Target="http://csr.bu.edu/ftp/asl/asllvd/demos/verify_start_end_handshape_annotations//test_auto_move//signs_mov/16013.mov" TargetMode="External"/><Relationship Id="rId12888" Type="http://schemas.openxmlformats.org/officeDocument/2006/relationships/hyperlink" Target="http://csr.bu.edu/ftp/asl/asllvd/demos/verify_start_end_handshape_annotations//test_auto_move//signs_mov_separ_signers/Liz_16013.mov" TargetMode="External"/><Relationship Id="rId12889" Type="http://schemas.openxmlformats.org/officeDocument/2006/relationships/hyperlink" Target="http://secrets.rutgers.edu:8080/data/asl-ftp/asllvd/demos/verify_start_end_handshape_annotations//test_auto_move//signs_mov/16013.mov" TargetMode="External"/><Relationship Id="rId12890" Type="http://schemas.openxmlformats.org/officeDocument/2006/relationships/hyperlink" Target="http://secrets.rutgers.edu:8080/data/asl-ftp/asllvd/demos/verify_start_end_handshape_annotations//test_auto_move//signs_mov_separ_signers/Liz_16013.mov" TargetMode="External"/><Relationship Id="rId12891" Type="http://schemas.openxmlformats.org/officeDocument/2006/relationships/hyperlink" Target="http://csr.bu.edu/ftp/asl/asllvd/demos/verify_start_end_handshape_annotations//test_auto_move//signs_mov_separ_signers/Brady_16013.mov" TargetMode="External"/><Relationship Id="rId12892" Type="http://schemas.openxmlformats.org/officeDocument/2006/relationships/hyperlink" Target="http://secrets.rutgers.edu:8080/data/asl-ftp/asllvd/demos/verify_start_end_handshape_annotations//test_auto_move//signs_mov_separ_signers/Brady_16013.mov" TargetMode="External"/><Relationship Id="rId12893" Type="http://schemas.openxmlformats.org/officeDocument/2006/relationships/hyperlink" Target="http://csr.bu.edu/ftp/asl/asllvd/demos/verify_start_end_handshape_annotations//test_auto_move//signs_mov_separ_signers/Liz_1424.mov" TargetMode="External"/><Relationship Id="rId12894" Type="http://schemas.openxmlformats.org/officeDocument/2006/relationships/hyperlink" Target="http://secrets.rutgers.edu:8080/data/asl-ftp/asllvd/demos/verify_start_end_handshape_annotations//test_auto_move//signs_mov_separ_signers/Liz_1424.mov" TargetMode="External"/><Relationship Id="rId12895" Type="http://schemas.openxmlformats.org/officeDocument/2006/relationships/hyperlink" Target="http://csr.bu.edu/ftp/asl/asllvd/demos/verify_start_end_handshape_annotations//test_auto_move//signs_mov/1424.mov" TargetMode="External"/><Relationship Id="rId12896" Type="http://schemas.openxmlformats.org/officeDocument/2006/relationships/hyperlink" Target="http://csr.bu.edu/ftp/asl/asllvd/demos/verify_start_end_handshape_annotations//test_auto_move//signs_mov_separ_signers/Naomi_1424.mov" TargetMode="External"/><Relationship Id="rId12897" Type="http://schemas.openxmlformats.org/officeDocument/2006/relationships/hyperlink" Target="http://secrets.rutgers.edu:8080/data/asl-ftp/asllvd/demos/verify_start_end_handshape_annotations//test_auto_move//signs_mov/1424.mov" TargetMode="External"/><Relationship Id="rId12898" Type="http://schemas.openxmlformats.org/officeDocument/2006/relationships/hyperlink" Target="http://secrets.rutgers.edu:8080/data/asl-ftp/asllvd/demos/verify_start_end_handshape_annotations//test_auto_move//signs_mov_separ_signers/Naomi_1424.mov" TargetMode="External"/><Relationship Id="rId12899" Type="http://schemas.openxmlformats.org/officeDocument/2006/relationships/hyperlink" Target="http://csr.bu.edu/ftp/asl/asllvd/demos/verify_start_end_handshape_annotations//test_auto_move//signs_mov_separ_signers/Brady_1424.mov" TargetMode="External"/><Relationship Id="rId12900" Type="http://schemas.openxmlformats.org/officeDocument/2006/relationships/hyperlink" Target="http://secrets.rutgers.edu:8080/data/asl-ftp/asllvd/demos/verify_start_end_handshape_annotations//test_auto_move//signs_mov_separ_signers/Brady_1424.mov" TargetMode="External"/><Relationship Id="rId12901" Type="http://schemas.openxmlformats.org/officeDocument/2006/relationships/hyperlink" Target="http://csr.bu.edu/ftp/asl/asllvd/demos/verify_start_end_handshape_annotations//test_auto_move//signs_mov_separ_signers/Liz_1431.mov" TargetMode="External"/><Relationship Id="rId12902" Type="http://schemas.openxmlformats.org/officeDocument/2006/relationships/hyperlink" Target="http://secrets.rutgers.edu:8080/data/asl-ftp/asllvd/demos/verify_start_end_handshape_annotations//test_auto_move//signs_mov_separ_signers/Liz_1431.mov" TargetMode="External"/><Relationship Id="rId12903" Type="http://schemas.openxmlformats.org/officeDocument/2006/relationships/hyperlink" Target="http://csr.bu.edu/ftp/asl/asllvd/demos/verify_start_end_handshape_annotations//test_auto_move//signs_mov/1431.mov" TargetMode="External"/><Relationship Id="rId12904" Type="http://schemas.openxmlformats.org/officeDocument/2006/relationships/hyperlink" Target="http://csr.bu.edu/ftp/asl/asllvd/demos/verify_start_end_handshape_annotations//test_auto_move//signs_mov_separ_signers/Naomi_1431.mov" TargetMode="External"/><Relationship Id="rId12905" Type="http://schemas.openxmlformats.org/officeDocument/2006/relationships/hyperlink" Target="http://secrets.rutgers.edu:8080/data/asl-ftp/asllvd/demos/verify_start_end_handshape_annotations//test_auto_move//signs_mov/1431.mov" TargetMode="External"/><Relationship Id="rId12906" Type="http://schemas.openxmlformats.org/officeDocument/2006/relationships/hyperlink" Target="http://secrets.rutgers.edu:8080/data/asl-ftp/asllvd/demos/verify_start_end_handshape_annotations//test_auto_move//signs_mov_separ_signers/Naomi_1431.mov" TargetMode="External"/><Relationship Id="rId12907" Type="http://schemas.openxmlformats.org/officeDocument/2006/relationships/hyperlink" Target="http://csr.bu.edu/ftp/asl/asllvd/demos/verify_start_end_handshape_annotations//test_auto_move//signs_mov_separ_signers/Brady_1431.mov" TargetMode="External"/><Relationship Id="rId12908" Type="http://schemas.openxmlformats.org/officeDocument/2006/relationships/hyperlink" Target="http://secrets.rutgers.edu:8080/data/asl-ftp/asllvd/demos/verify_start_end_handshape_annotations//test_auto_move//signs_mov_separ_signers/Brady_1431.mov" TargetMode="External"/><Relationship Id="rId12909" Type="http://schemas.openxmlformats.org/officeDocument/2006/relationships/hyperlink" Target="http://csr.bu.edu/ftp/asl/asllvd/demos/verify_start_end_handshape_annotations//test_auto_move//signs_mov/16413.mov" TargetMode="External"/><Relationship Id="rId12910" Type="http://schemas.openxmlformats.org/officeDocument/2006/relationships/hyperlink" Target="http://csr.bu.edu/ftp/asl/asllvd/demos/verify_start_end_handshape_annotations//test_auto_move//signs_mov_separ_signers/Tyler_16413.mov" TargetMode="External"/><Relationship Id="rId12911" Type="http://schemas.openxmlformats.org/officeDocument/2006/relationships/hyperlink" Target="http://secrets.rutgers.edu:8080/data/asl-ftp/asllvd/demos/verify_start_end_handshape_annotations//test_auto_move//signs_mov/16413.mov" TargetMode="External"/><Relationship Id="rId12912" Type="http://schemas.openxmlformats.org/officeDocument/2006/relationships/hyperlink" Target="http://secrets.rutgers.edu:8080/data/asl-ftp/asllvd/demos/verify_start_end_handshape_annotations//test_auto_move//signs_mov_separ_signers/Tyler_16413.mov" TargetMode="External"/><Relationship Id="rId12913" Type="http://schemas.openxmlformats.org/officeDocument/2006/relationships/hyperlink" Target="http://csr.bu.edu/ftp/asl/asllvd/demos/verify_start_end_handshape_annotations//test_auto_move//signs_mov_separ_signers/Liz_1434.mov" TargetMode="External"/><Relationship Id="rId12914" Type="http://schemas.openxmlformats.org/officeDocument/2006/relationships/hyperlink" Target="http://secrets.rutgers.edu:8080/data/asl-ftp/asllvd/demos/verify_start_end_handshape_annotations//test_auto_move//signs_mov_separ_signers/Liz_1434.mov" TargetMode="External"/><Relationship Id="rId12915" Type="http://schemas.openxmlformats.org/officeDocument/2006/relationships/hyperlink" Target="http://csr.bu.edu/ftp/asl/asllvd/demos/verify_start_end_handshape_annotations//test_auto_move//signs_mov/1434.mov" TargetMode="External"/><Relationship Id="rId12916" Type="http://schemas.openxmlformats.org/officeDocument/2006/relationships/hyperlink" Target="http://csr.bu.edu/ftp/asl/asllvd/demos/verify_start_end_handshape_annotations//test_auto_move//signs_mov_separ_signers/Tyler_1434.mov" TargetMode="External"/><Relationship Id="rId12917" Type="http://schemas.openxmlformats.org/officeDocument/2006/relationships/hyperlink" Target="http://secrets.rutgers.edu:8080/data/asl-ftp/asllvd/demos/verify_start_end_handshape_annotations//test_auto_move//signs_mov/1434.mov" TargetMode="External"/><Relationship Id="rId12918" Type="http://schemas.openxmlformats.org/officeDocument/2006/relationships/hyperlink" Target="http://secrets.rutgers.edu:8080/data/asl-ftp/asllvd/demos/verify_start_end_handshape_annotations//test_auto_move//signs_mov_separ_signers/Tyler_1434.mov" TargetMode="External"/><Relationship Id="rId12919" Type="http://schemas.openxmlformats.org/officeDocument/2006/relationships/hyperlink" Target="http://csr.bu.edu/ftp/asl/asllvd/demos/verify_start_end_handshape_annotations//test_auto_move//signs_mov_separ_signers/Naomi_1434.mov" TargetMode="External"/><Relationship Id="rId12920" Type="http://schemas.openxmlformats.org/officeDocument/2006/relationships/hyperlink" Target="http://secrets.rutgers.edu:8080/data/asl-ftp/asllvd/demos/verify_start_end_handshape_annotations//test_auto_move//signs_mov_separ_signers/Naomi_1434.mov" TargetMode="External"/><Relationship Id="rId12921" Type="http://schemas.openxmlformats.org/officeDocument/2006/relationships/hyperlink" Target="http://csr.bu.edu/ftp/asl/asllvd/demos/verify_start_end_handshape_annotations//test_auto_move//signs_mov_separ_signers/Brady_1434.mov" TargetMode="External"/><Relationship Id="rId12922" Type="http://schemas.openxmlformats.org/officeDocument/2006/relationships/hyperlink" Target="http://secrets.rutgers.edu:8080/data/asl-ftp/asllvd/demos/verify_start_end_handshape_annotations//test_auto_move//signs_mov_separ_signers/Brady_1434.mov" TargetMode="External"/><Relationship Id="rId12923" Type="http://schemas.openxmlformats.org/officeDocument/2006/relationships/hyperlink" Target="http://csr.bu.edu/ftp/asl/asllvd/demos/verify_start_end_handshape_annotations//test_auto_move//signs_mov_separ_signers/Liz_1440.mov" TargetMode="External"/><Relationship Id="rId12924" Type="http://schemas.openxmlformats.org/officeDocument/2006/relationships/hyperlink" Target="http://secrets.rutgers.edu:8080/data/asl-ftp/asllvd/demos/verify_start_end_handshape_annotations//test_auto_move//signs_mov_separ_signers/Liz_1440.mov" TargetMode="External"/><Relationship Id="rId12925" Type="http://schemas.openxmlformats.org/officeDocument/2006/relationships/hyperlink" Target="http://csr.bu.edu/ftp/asl/asllvd/demos/verify_start_end_handshape_annotations//test_auto_move//signs_mov/1440.mov" TargetMode="External"/><Relationship Id="rId12926" Type="http://schemas.openxmlformats.org/officeDocument/2006/relationships/hyperlink" Target="http://csr.bu.edu/ftp/asl/asllvd/demos/verify_start_end_handshape_annotations//test_auto_move//signs_mov_separ_signers/Tyler_1440.mov" TargetMode="External"/><Relationship Id="rId12927" Type="http://schemas.openxmlformats.org/officeDocument/2006/relationships/hyperlink" Target="http://secrets.rutgers.edu:8080/data/asl-ftp/asllvd/demos/verify_start_end_handshape_annotations//test_auto_move//signs_mov/1440.mov" TargetMode="External"/><Relationship Id="rId12928" Type="http://schemas.openxmlformats.org/officeDocument/2006/relationships/hyperlink" Target="http://secrets.rutgers.edu:8080/data/asl-ftp/asllvd/demos/verify_start_end_handshape_annotations//test_auto_move//signs_mov_separ_signers/Tyler_1440.mov" TargetMode="External"/><Relationship Id="rId12929" Type="http://schemas.openxmlformats.org/officeDocument/2006/relationships/hyperlink" Target="http://csr.bu.edu/ftp/asl/asllvd/demos/verify_start_end_handshape_annotations//test_auto_move//signs_mov_separ_signers/Naomi_1440.mov" TargetMode="External"/><Relationship Id="rId12930" Type="http://schemas.openxmlformats.org/officeDocument/2006/relationships/hyperlink" Target="http://secrets.rutgers.edu:8080/data/asl-ftp/asllvd/demos/verify_start_end_handshape_annotations//test_auto_move//signs_mov_separ_signers/Naomi_1440.mov" TargetMode="External"/><Relationship Id="rId12931" Type="http://schemas.openxmlformats.org/officeDocument/2006/relationships/hyperlink" Target="http://csr.bu.edu/ftp/asl/asllvd/demos/verify_start_end_handshape_annotations//test_auto_move//signs_mov_separ_signers/Brady_1440.mov" TargetMode="External"/><Relationship Id="rId12932" Type="http://schemas.openxmlformats.org/officeDocument/2006/relationships/hyperlink" Target="http://secrets.rutgers.edu:8080/data/asl-ftp/asllvd/demos/verify_start_end_handshape_annotations//test_auto_move//signs_mov_separ_signers/Brady_1440.mov" TargetMode="External"/><Relationship Id="rId12933" Type="http://schemas.openxmlformats.org/officeDocument/2006/relationships/hyperlink" Target="http://csr.bu.edu/ftp/asl/asllvd/demos/verify_start_end_handshape_annotations//test_auto_move//signs_mov_separ_signers/Liz_1453.mov" TargetMode="External"/><Relationship Id="rId12934" Type="http://schemas.openxmlformats.org/officeDocument/2006/relationships/hyperlink" Target="http://secrets.rutgers.edu:8080/data/asl-ftp/asllvd/demos/verify_start_end_handshape_annotations//test_auto_move//signs_mov_separ_signers/Liz_1453.mov" TargetMode="External"/><Relationship Id="rId12935" Type="http://schemas.openxmlformats.org/officeDocument/2006/relationships/hyperlink" Target="http://csr.bu.edu/ftp/asl/asllvd/demos/verify_start_end_handshape_annotations//test_auto_move//signs_mov_separ_signers/Naomi_1453.mov" TargetMode="External"/><Relationship Id="rId12936" Type="http://schemas.openxmlformats.org/officeDocument/2006/relationships/hyperlink" Target="http://secrets.rutgers.edu:8080/data/asl-ftp/asllvd/demos/verify_start_end_handshape_annotations//test_auto_move//signs_mov_separ_signers/Naomi_1453.mov" TargetMode="External"/><Relationship Id="rId12937" Type="http://schemas.openxmlformats.org/officeDocument/2006/relationships/hyperlink" Target="http://csr.bu.edu/ftp/asl/asllvd/demos/verify_start_end_handshape_annotations//test_auto_move//signs_mov/1453.mov" TargetMode="External"/><Relationship Id="rId12938" Type="http://schemas.openxmlformats.org/officeDocument/2006/relationships/hyperlink" Target="http://csr.bu.edu/ftp/asl/asllvd/demos/verify_start_end_handshape_annotations//test_auto_move//signs_mov_separ_signers/Brady_1453.mov" TargetMode="External"/><Relationship Id="rId12939" Type="http://schemas.openxmlformats.org/officeDocument/2006/relationships/hyperlink" Target="http://secrets.rutgers.edu:8080/data/asl-ftp/asllvd/demos/verify_start_end_handshape_annotations//test_auto_move//signs_mov/1453.mov" TargetMode="External"/><Relationship Id="rId12940" Type="http://schemas.openxmlformats.org/officeDocument/2006/relationships/hyperlink" Target="http://secrets.rutgers.edu:8080/data/asl-ftp/asllvd/demos/verify_start_end_handshape_annotations//test_auto_move//signs_mov_separ_signers/Brady_1453.mov" TargetMode="External"/><Relationship Id="rId12941" Type="http://schemas.openxmlformats.org/officeDocument/2006/relationships/hyperlink" Target="http://csr.bu.edu/ftp/asl/asllvd/demos/verify_start_end_handshape_annotations//test_auto_move//signs_mov_separ_signers/Lana_1453.mov" TargetMode="External"/><Relationship Id="rId12942" Type="http://schemas.openxmlformats.org/officeDocument/2006/relationships/hyperlink" Target="http://secrets.rutgers.edu:8080/data/asl-ftp/asllvd/demos/verify_start_end_handshape_annotations//test_auto_move//signs_mov_separ_signers/Lana_1453.mov" TargetMode="External"/><Relationship Id="rId12943" Type="http://schemas.openxmlformats.org/officeDocument/2006/relationships/hyperlink" Target="http://csr.bu.edu/ftp/asl/asllvd/demos/verify_start_end_handshape_annotations//test_auto_move//signs_mov_separ_signers/Dana_1453.mov" TargetMode="External"/><Relationship Id="rId12944" Type="http://schemas.openxmlformats.org/officeDocument/2006/relationships/hyperlink" Target="http://secrets.rutgers.edu:8080/data/asl-ftp/asllvd/demos/verify_start_end_handshape_annotations//test_auto_move//signs_mov_separ_signers/Dana_1453.mov" TargetMode="External"/><Relationship Id="rId12945" Type="http://schemas.openxmlformats.org/officeDocument/2006/relationships/hyperlink" Target="http://csr.bu.edu/ftp/asl/asllvd/demos/verify_start_end_handshape_annotations//test_auto_move//signs_mov_separ_signers/Liz_16062.mov" TargetMode="External"/><Relationship Id="rId12946" Type="http://schemas.openxmlformats.org/officeDocument/2006/relationships/hyperlink" Target="http://secrets.rutgers.edu:8080/data/asl-ftp/asllvd/demos/verify_start_end_handshape_annotations//test_auto_move//signs_mov_separ_signers/Liz_16062.mov" TargetMode="External"/><Relationship Id="rId12947" Type="http://schemas.openxmlformats.org/officeDocument/2006/relationships/hyperlink" Target="http://csr.bu.edu/ftp/asl/asllvd/demos/verify_start_end_handshape_annotations//test_auto_move//signs_mov/16062.mov" TargetMode="External"/><Relationship Id="rId12948" Type="http://schemas.openxmlformats.org/officeDocument/2006/relationships/hyperlink" Target="http://csr.bu.edu/ftp/asl/asllvd/demos/verify_start_end_handshape_annotations//test_auto_move//signs_mov_separ_signers/Naomi_16062.mov" TargetMode="External"/><Relationship Id="rId12949" Type="http://schemas.openxmlformats.org/officeDocument/2006/relationships/hyperlink" Target="http://secrets.rutgers.edu:8080/data/asl-ftp/asllvd/demos/verify_start_end_handshape_annotations//test_auto_move//signs_mov/16062.mov" TargetMode="External"/><Relationship Id="rId12950" Type="http://schemas.openxmlformats.org/officeDocument/2006/relationships/hyperlink" Target="http://secrets.rutgers.edu:8080/data/asl-ftp/asllvd/demos/verify_start_end_handshape_annotations//test_auto_move//signs_mov_separ_signers/Naomi_16062.mov" TargetMode="External"/><Relationship Id="rId12951" Type="http://schemas.openxmlformats.org/officeDocument/2006/relationships/hyperlink" Target="http://csr.bu.edu/ftp/asl/asllvd/demos/verify_start_end_handshape_annotations//test_auto_move//signs_mov_separ_signers/Brady_16062.mov" TargetMode="External"/><Relationship Id="rId12952" Type="http://schemas.openxmlformats.org/officeDocument/2006/relationships/hyperlink" Target="http://secrets.rutgers.edu:8080/data/asl-ftp/asllvd/demos/verify_start_end_handshape_annotations//test_auto_move//signs_mov_separ_signers/Brady_16062.mov" TargetMode="External"/><Relationship Id="rId12953" Type="http://schemas.openxmlformats.org/officeDocument/2006/relationships/hyperlink" Target="http://csr.bu.edu/ftp/asl/asllvd/demos/verify_start_end_handshape_annotations//test_auto_move//signs_mov_separ_signers/Liz_1454.mov" TargetMode="External"/><Relationship Id="rId12954" Type="http://schemas.openxmlformats.org/officeDocument/2006/relationships/hyperlink" Target="http://secrets.rutgers.edu:8080/data/asl-ftp/asllvd/demos/verify_start_end_handshape_annotations//test_auto_move//signs_mov_separ_signers/Liz_1454.mov" TargetMode="External"/><Relationship Id="rId12955" Type="http://schemas.openxmlformats.org/officeDocument/2006/relationships/hyperlink" Target="http://csr.bu.edu/ftp/asl/asllvd/demos/verify_start_end_handshape_annotations//test_auto_move//signs_mov/1454.mov" TargetMode="External"/><Relationship Id="rId12956" Type="http://schemas.openxmlformats.org/officeDocument/2006/relationships/hyperlink" Target="http://csr.bu.edu/ftp/asl/asllvd/demos/verify_start_end_handshape_annotations//test_auto_move//signs_mov_separ_signers/Tyler_1454.mov" TargetMode="External"/><Relationship Id="rId12957" Type="http://schemas.openxmlformats.org/officeDocument/2006/relationships/hyperlink" Target="http://secrets.rutgers.edu:8080/data/asl-ftp/asllvd/demos/verify_start_end_handshape_annotations//test_auto_move//signs_mov/1454.mov" TargetMode="External"/><Relationship Id="rId12958" Type="http://schemas.openxmlformats.org/officeDocument/2006/relationships/hyperlink" Target="http://secrets.rutgers.edu:8080/data/asl-ftp/asllvd/demos/verify_start_end_handshape_annotations//test_auto_move//signs_mov_separ_signers/Tyler_1454.mov" TargetMode="External"/><Relationship Id="rId12959" Type="http://schemas.openxmlformats.org/officeDocument/2006/relationships/hyperlink" Target="http://csr.bu.edu/ftp/asl/asllvd/demos/verify_start_end_handshape_annotations//test_auto_move//signs_mov_separ_signers/Naomi_1454.mov" TargetMode="External"/><Relationship Id="rId12960" Type="http://schemas.openxmlformats.org/officeDocument/2006/relationships/hyperlink" Target="http://secrets.rutgers.edu:8080/data/asl-ftp/asllvd/demos/verify_start_end_handshape_annotations//test_auto_move//signs_mov_separ_signers/Naomi_1454.mov" TargetMode="External"/><Relationship Id="rId12961" Type="http://schemas.openxmlformats.org/officeDocument/2006/relationships/hyperlink" Target="http://csr.bu.edu/ftp/asl/asllvd/demos/verify_start_end_handshape_annotations//test_auto_move//signs_mov/16394.mov" TargetMode="External"/><Relationship Id="rId12962" Type="http://schemas.openxmlformats.org/officeDocument/2006/relationships/hyperlink" Target="http://csr.bu.edu/ftp/asl/asllvd/demos/verify_start_end_handshape_annotations//test_auto_move//signs_mov_separ_signers/Brady_16394.mov" TargetMode="External"/><Relationship Id="rId12963" Type="http://schemas.openxmlformats.org/officeDocument/2006/relationships/hyperlink" Target="http://secrets.rutgers.edu:8080/data/asl-ftp/asllvd/demos/verify_start_end_handshape_annotations//test_auto_move//signs_mov/16394.mov" TargetMode="External"/><Relationship Id="rId12964" Type="http://schemas.openxmlformats.org/officeDocument/2006/relationships/hyperlink" Target="http://secrets.rutgers.edu:8080/data/asl-ftp/asllvd/demos/verify_start_end_handshape_annotations//test_auto_move//signs_mov_separ_signers/Brady_16394.mov" TargetMode="External"/><Relationship Id="rId12965" Type="http://schemas.openxmlformats.org/officeDocument/2006/relationships/hyperlink" Target="http://csr.bu.edu/ftp/asl/asllvd/demos/verify_start_end_handshape_annotations//test_auto_move//signs_mov_separ_signers/Liz_1458.mov" TargetMode="External"/><Relationship Id="rId12966" Type="http://schemas.openxmlformats.org/officeDocument/2006/relationships/hyperlink" Target="http://secrets.rutgers.edu:8080/data/asl-ftp/asllvd/demos/verify_start_end_handshape_annotations//test_auto_move//signs_mov_separ_signers/Liz_1458.mov" TargetMode="External"/><Relationship Id="rId12967" Type="http://schemas.openxmlformats.org/officeDocument/2006/relationships/hyperlink" Target="http://csr.bu.edu/ftp/asl/asllvd/demos/verify_start_end_handshape_annotations//test_auto_move//signs_mov/1458.mov" TargetMode="External"/><Relationship Id="rId12968" Type="http://schemas.openxmlformats.org/officeDocument/2006/relationships/hyperlink" Target="http://csr.bu.edu/ftp/asl/asllvd/demos/verify_start_end_handshape_annotations//test_auto_move//signs_mov_separ_signers/Naomi_1458.mov" TargetMode="External"/><Relationship Id="rId12969" Type="http://schemas.openxmlformats.org/officeDocument/2006/relationships/hyperlink" Target="http://secrets.rutgers.edu:8080/data/asl-ftp/asllvd/demos/verify_start_end_handshape_annotations//test_auto_move//signs_mov/1458.mov" TargetMode="External"/><Relationship Id="rId12970" Type="http://schemas.openxmlformats.org/officeDocument/2006/relationships/hyperlink" Target="http://secrets.rutgers.edu:8080/data/asl-ftp/asllvd/demos/verify_start_end_handshape_annotations//test_auto_move//signs_mov_separ_signers/Naomi_1458.mov" TargetMode="External"/><Relationship Id="rId12971" Type="http://schemas.openxmlformats.org/officeDocument/2006/relationships/hyperlink" Target="http://csr.bu.edu/ftp/asl/asllvd/demos/verify_start_end_handshape_annotations//test_auto_move//signs_mov_separ_signers/Brady_1458.mov" TargetMode="External"/><Relationship Id="rId12972" Type="http://schemas.openxmlformats.org/officeDocument/2006/relationships/hyperlink" Target="http://secrets.rutgers.edu:8080/data/asl-ftp/asllvd/demos/verify_start_end_handshape_annotations//test_auto_move//signs_mov_separ_signers/Brady_1458.mov" TargetMode="External"/><Relationship Id="rId12973" Type="http://schemas.openxmlformats.org/officeDocument/2006/relationships/hyperlink" Target="http://csr.bu.edu/ftp/asl/asllvd/demos/verify_start_end_handshape_annotations//test_auto_move//signs_mov/5700.mov" TargetMode="External"/><Relationship Id="rId12974" Type="http://schemas.openxmlformats.org/officeDocument/2006/relationships/hyperlink" Target="http://csr.bu.edu/ftp/asl/asllvd/demos/verify_start_end_handshape_annotations//test_auto_move//signs_mov_separ_signers/Tyler_5700.mov" TargetMode="External"/><Relationship Id="rId12975" Type="http://schemas.openxmlformats.org/officeDocument/2006/relationships/hyperlink" Target="http://secrets.rutgers.edu:8080/data/asl-ftp/asllvd/demos/verify_start_end_handshape_annotations//test_auto_move//signs_mov/5700.mov" TargetMode="External"/><Relationship Id="rId12976" Type="http://schemas.openxmlformats.org/officeDocument/2006/relationships/hyperlink" Target="http://secrets.rutgers.edu:8080/data/asl-ftp/asllvd/demos/verify_start_end_handshape_annotations//test_auto_move//signs_mov_separ_signers/Tyler_5700.mov" TargetMode="External"/><Relationship Id="rId12977" Type="http://schemas.openxmlformats.org/officeDocument/2006/relationships/hyperlink" Target="http://csr.bu.edu/ftp/asl/asllvd/demos/verify_start_end_handshape_annotations//test_auto_move//signs_mov_separ_signers/Liz_16188.mov" TargetMode="External"/><Relationship Id="rId12978" Type="http://schemas.openxmlformats.org/officeDocument/2006/relationships/hyperlink" Target="http://secrets.rutgers.edu:8080/data/asl-ftp/asllvd/demos/verify_start_end_handshape_annotations//test_auto_move//signs_mov_separ_signers/Liz_16188.mov" TargetMode="External"/><Relationship Id="rId12979" Type="http://schemas.openxmlformats.org/officeDocument/2006/relationships/hyperlink" Target="http://csr.bu.edu/ftp/asl/asllvd/demos/verify_start_end_handshape_annotations//test_auto_move//signs_mov/16188.mov" TargetMode="External"/><Relationship Id="rId12980" Type="http://schemas.openxmlformats.org/officeDocument/2006/relationships/hyperlink" Target="http://csr.bu.edu/ftp/asl/asllvd/demos/verify_start_end_handshape_annotations//test_auto_move//signs_mov_separ_signers/Naomi_16188.mov" TargetMode="External"/><Relationship Id="rId12981" Type="http://schemas.openxmlformats.org/officeDocument/2006/relationships/hyperlink" Target="http://secrets.rutgers.edu:8080/data/asl-ftp/asllvd/demos/verify_start_end_handshape_annotations//test_auto_move//signs_mov/16188.mov" TargetMode="External"/><Relationship Id="rId12982" Type="http://schemas.openxmlformats.org/officeDocument/2006/relationships/hyperlink" Target="http://secrets.rutgers.edu:8080/data/asl-ftp/asllvd/demos/verify_start_end_handshape_annotations//test_auto_move//signs_mov_separ_signers/Naomi_16188.mov" TargetMode="External"/><Relationship Id="rId12983" Type="http://schemas.openxmlformats.org/officeDocument/2006/relationships/hyperlink" Target="http://csr.bu.edu/ftp/asl/asllvd/demos/verify_start_end_handshape_annotations//test_auto_move//signs_mov_separ_signers/Brady_16188.mov" TargetMode="External"/><Relationship Id="rId12984" Type="http://schemas.openxmlformats.org/officeDocument/2006/relationships/hyperlink" Target="http://secrets.rutgers.edu:8080/data/asl-ftp/asllvd/demos/verify_start_end_handshape_annotations//test_auto_move//signs_mov_separ_signers/Brady_16188.mov" TargetMode="External"/><Relationship Id="rId12985" Type="http://schemas.openxmlformats.org/officeDocument/2006/relationships/hyperlink" Target="http://csr.bu.edu/ftp/asl/asllvd/demos/verify_start_end_handshape_annotations//test_auto_move//signs_mov/16189.mov" TargetMode="External"/><Relationship Id="rId12986" Type="http://schemas.openxmlformats.org/officeDocument/2006/relationships/hyperlink" Target="http://csr.bu.edu/ftp/asl/asllvd/demos/verify_start_end_handshape_annotations//test_auto_move//signs_mov_separ_signers/Tyler_16189.mov" TargetMode="External"/><Relationship Id="rId12987" Type="http://schemas.openxmlformats.org/officeDocument/2006/relationships/hyperlink" Target="http://secrets.rutgers.edu:8080/data/asl-ftp/asllvd/demos/verify_start_end_handshape_annotations//test_auto_move//signs_mov/16189.mov" TargetMode="External"/><Relationship Id="rId12988" Type="http://schemas.openxmlformats.org/officeDocument/2006/relationships/hyperlink" Target="http://secrets.rutgers.edu:8080/data/asl-ftp/asllvd/demos/verify_start_end_handshape_annotations//test_auto_move//signs_mov_separ_signers/Tyler_16189.mov" TargetMode="External"/><Relationship Id="rId12989" Type="http://schemas.openxmlformats.org/officeDocument/2006/relationships/hyperlink" Target="http://csr.bu.edu/ftp/asl/asllvd/demos/verify_start_end_handshape_annotations//test_auto_move//signs_mov_separ_signers/Liz_1464.mov" TargetMode="External"/><Relationship Id="rId12990" Type="http://schemas.openxmlformats.org/officeDocument/2006/relationships/hyperlink" Target="http://secrets.rutgers.edu:8080/data/asl-ftp/asllvd/demos/verify_start_end_handshape_annotations//test_auto_move//signs_mov_separ_signers/Liz_1464.mov" TargetMode="External"/><Relationship Id="rId12991" Type="http://schemas.openxmlformats.org/officeDocument/2006/relationships/hyperlink" Target="http://csr.bu.edu/ftp/asl/asllvd/demos/verify_start_end_handshape_annotations//test_auto_move//signs_mov/1464.mov" TargetMode="External"/><Relationship Id="rId12992" Type="http://schemas.openxmlformats.org/officeDocument/2006/relationships/hyperlink" Target="http://csr.bu.edu/ftp/asl/asllvd/demos/verify_start_end_handshape_annotations//test_auto_move//signs_mov_separ_signers/Naomi_1464.mov" TargetMode="External"/><Relationship Id="rId12993" Type="http://schemas.openxmlformats.org/officeDocument/2006/relationships/hyperlink" Target="http://secrets.rutgers.edu:8080/data/asl-ftp/asllvd/demos/verify_start_end_handshape_annotations//test_auto_move//signs_mov/1464.mov" TargetMode="External"/><Relationship Id="rId12994" Type="http://schemas.openxmlformats.org/officeDocument/2006/relationships/hyperlink" Target="http://secrets.rutgers.edu:8080/data/asl-ftp/asllvd/demos/verify_start_end_handshape_annotations//test_auto_move//signs_mov_separ_signers/Naomi_1464.mov" TargetMode="External"/><Relationship Id="rId12995" Type="http://schemas.openxmlformats.org/officeDocument/2006/relationships/hyperlink" Target="http://csr.bu.edu/ftp/asl/asllvd/demos/verify_start_end_handshape_annotations//test_auto_move//signs_mov_separ_signers/Brady_1464.mov" TargetMode="External"/><Relationship Id="rId12996" Type="http://schemas.openxmlformats.org/officeDocument/2006/relationships/hyperlink" Target="http://secrets.rutgers.edu:8080/data/asl-ftp/asllvd/demos/verify_start_end_handshape_annotations//test_auto_move//signs_mov_separ_signers/Brady_1464.mov" TargetMode="External"/><Relationship Id="rId12997" Type="http://schemas.openxmlformats.org/officeDocument/2006/relationships/hyperlink" Target="http://csr.bu.edu/ftp/asl/asllvd/demos/verify_start_end_handshape_annotations//test_auto_move//signs_mov/5249.mov" TargetMode="External"/><Relationship Id="rId12998" Type="http://schemas.openxmlformats.org/officeDocument/2006/relationships/hyperlink" Target="http://csr.bu.edu/ftp/asl/asllvd/demos/verify_start_end_handshape_annotations//test_auto_move//signs_mov_separ_signers/Tyler_5249.mov" TargetMode="External"/><Relationship Id="rId12999" Type="http://schemas.openxmlformats.org/officeDocument/2006/relationships/hyperlink" Target="http://secrets.rutgers.edu:8080/data/asl-ftp/asllvd/demos/verify_start_end_handshape_annotations//test_auto_move//signs_mov/5249.mov" TargetMode="External"/><Relationship Id="rId13000" Type="http://schemas.openxmlformats.org/officeDocument/2006/relationships/hyperlink" Target="http://secrets.rutgers.edu:8080/data/asl-ftp/asllvd/demos/verify_start_end_handshape_annotations//test_auto_move//signs_mov_separ_signers/Tyler_5249.mov" TargetMode="External"/><Relationship Id="rId13001" Type="http://schemas.openxmlformats.org/officeDocument/2006/relationships/hyperlink" Target="http://csr.bu.edu/ftp/asl/asllvd/demos/verify_start_end_handshape_annotations//test_auto_move//signs_mov_separ_signers/Liz_1466.mov" TargetMode="External"/><Relationship Id="rId13002" Type="http://schemas.openxmlformats.org/officeDocument/2006/relationships/hyperlink" Target="http://secrets.rutgers.edu:8080/data/asl-ftp/asllvd/demos/verify_start_end_handshape_annotations//test_auto_move//signs_mov_separ_signers/Liz_1466.mov" TargetMode="External"/><Relationship Id="rId13003" Type="http://schemas.openxmlformats.org/officeDocument/2006/relationships/hyperlink" Target="http://csr.bu.edu/ftp/asl/asllvd/demos/verify_start_end_handshape_annotations//test_auto_move//signs_mov/1466.mov" TargetMode="External"/><Relationship Id="rId13004" Type="http://schemas.openxmlformats.org/officeDocument/2006/relationships/hyperlink" Target="http://csr.bu.edu/ftp/asl/asllvd/demos/verify_start_end_handshape_annotations//test_auto_move//signs_mov_separ_signers/Tyler_1466.mov" TargetMode="External"/><Relationship Id="rId13005" Type="http://schemas.openxmlformats.org/officeDocument/2006/relationships/hyperlink" Target="http://secrets.rutgers.edu:8080/data/asl-ftp/asllvd/demos/verify_start_end_handshape_annotations//test_auto_move//signs_mov/1466.mov" TargetMode="External"/><Relationship Id="rId13006" Type="http://schemas.openxmlformats.org/officeDocument/2006/relationships/hyperlink" Target="http://secrets.rutgers.edu:8080/data/asl-ftp/asllvd/demos/verify_start_end_handshape_annotations//test_auto_move//signs_mov_separ_signers/Tyler_1466.mov" TargetMode="External"/><Relationship Id="rId13007" Type="http://schemas.openxmlformats.org/officeDocument/2006/relationships/hyperlink" Target="http://csr.bu.edu/ftp/asl/asllvd/demos/verify_start_end_handshape_annotations//test_auto_move//signs_mov_separ_signers/Naomi_1466.mov" TargetMode="External"/><Relationship Id="rId13008" Type="http://schemas.openxmlformats.org/officeDocument/2006/relationships/hyperlink" Target="http://secrets.rutgers.edu:8080/data/asl-ftp/asllvd/demos/verify_start_end_handshape_annotations//test_auto_move//signs_mov_separ_signers/Naomi_1466.mov" TargetMode="External"/><Relationship Id="rId13009" Type="http://schemas.openxmlformats.org/officeDocument/2006/relationships/hyperlink" Target="http://csr.bu.edu/ftp/asl/asllvd/demos/verify_start_end_handshape_annotations//test_auto_move//signs_mov_separ_signers/Brady_1466.mov" TargetMode="External"/><Relationship Id="rId13010" Type="http://schemas.openxmlformats.org/officeDocument/2006/relationships/hyperlink" Target="http://secrets.rutgers.edu:8080/data/asl-ftp/asllvd/demos/verify_start_end_handshape_annotations//test_auto_move//signs_mov_separ_signers/Brady_1466.mov" TargetMode="External"/><Relationship Id="rId13011" Type="http://schemas.openxmlformats.org/officeDocument/2006/relationships/hyperlink" Target="http://csr.bu.edu/ftp/asl/asllvd/demos/verify_start_end_handshape_annotations//test_auto_move//signs_mov_separ_signers/Liz_1469.mov" TargetMode="External"/><Relationship Id="rId13012" Type="http://schemas.openxmlformats.org/officeDocument/2006/relationships/hyperlink" Target="http://secrets.rutgers.edu:8080/data/asl-ftp/asllvd/demos/verify_start_end_handshape_annotations//test_auto_move//signs_mov_separ_signers/Liz_1469.mov" TargetMode="External"/><Relationship Id="rId13013" Type="http://schemas.openxmlformats.org/officeDocument/2006/relationships/hyperlink" Target="http://csr.bu.edu/ftp/asl/asllvd/demos/verify_start_end_handshape_annotations//test_auto_move//signs_mov/1469.mov" TargetMode="External"/><Relationship Id="rId13014" Type="http://schemas.openxmlformats.org/officeDocument/2006/relationships/hyperlink" Target="http://csr.bu.edu/ftp/asl/asllvd/demos/verify_start_end_handshape_annotations//test_auto_move//signs_mov_separ_signers/Tyler_1469.mov" TargetMode="External"/><Relationship Id="rId13015" Type="http://schemas.openxmlformats.org/officeDocument/2006/relationships/hyperlink" Target="http://secrets.rutgers.edu:8080/data/asl-ftp/asllvd/demos/verify_start_end_handshape_annotations//test_auto_move//signs_mov/1469.mov" TargetMode="External"/><Relationship Id="rId13016" Type="http://schemas.openxmlformats.org/officeDocument/2006/relationships/hyperlink" Target="http://secrets.rutgers.edu:8080/data/asl-ftp/asllvd/demos/verify_start_end_handshape_annotations//test_auto_move//signs_mov_separ_signers/Tyler_1469.mov" TargetMode="External"/><Relationship Id="rId13017" Type="http://schemas.openxmlformats.org/officeDocument/2006/relationships/hyperlink" Target="http://csr.bu.edu/ftp/asl/asllvd/demos/verify_start_end_handshape_annotations//test_auto_move//signs_mov_separ_signers/Naomi_1469.mov" TargetMode="External"/><Relationship Id="rId13018" Type="http://schemas.openxmlformats.org/officeDocument/2006/relationships/hyperlink" Target="http://secrets.rutgers.edu:8080/data/asl-ftp/asllvd/demos/verify_start_end_handshape_annotations//test_auto_move//signs_mov_separ_signers/Naomi_1469.mov" TargetMode="External"/><Relationship Id="rId13019" Type="http://schemas.openxmlformats.org/officeDocument/2006/relationships/hyperlink" Target="http://csr.bu.edu/ftp/asl/asllvd/demos/verify_start_end_handshape_annotations//test_auto_move//signs_mov_separ_signers/Brady_1469.mov" TargetMode="External"/><Relationship Id="rId13020" Type="http://schemas.openxmlformats.org/officeDocument/2006/relationships/hyperlink" Target="http://secrets.rutgers.edu:8080/data/asl-ftp/asllvd/demos/verify_start_end_handshape_annotations//test_auto_move//signs_mov_separ_signers/Brady_1469.mov" TargetMode="External"/><Relationship Id="rId13021" Type="http://schemas.openxmlformats.org/officeDocument/2006/relationships/hyperlink" Target="http://csr.bu.edu/ftp/asl/asllvd/demos/verify_start_end_handshape_annotations//test_auto_move//signs_mov_separ_signers/Liz_1472.mov" TargetMode="External"/><Relationship Id="rId13022" Type="http://schemas.openxmlformats.org/officeDocument/2006/relationships/hyperlink" Target="http://secrets.rutgers.edu:8080/data/asl-ftp/asllvd/demos/verify_start_end_handshape_annotations//test_auto_move//signs_mov_separ_signers/Liz_1472.mov" TargetMode="External"/><Relationship Id="rId13023" Type="http://schemas.openxmlformats.org/officeDocument/2006/relationships/hyperlink" Target="http://csr.bu.edu/ftp/asl/asllvd/demos/verify_start_end_handshape_annotations//test_auto_move//signs_mov_separ_signers/Liz_3321.mov" TargetMode="External"/><Relationship Id="rId13024" Type="http://schemas.openxmlformats.org/officeDocument/2006/relationships/hyperlink" Target="http://secrets.rutgers.edu:8080/data/asl-ftp/asllvd/demos/verify_start_end_handshape_annotations//test_auto_move//signs_mov_separ_signers/Liz_3321.mov" TargetMode="External"/><Relationship Id="rId13025" Type="http://schemas.openxmlformats.org/officeDocument/2006/relationships/hyperlink" Target="http://csr.bu.edu/ftp/asl/asllvd/demos/verify_start_end_handshape_annotations//test_auto_move//signs_mov_separ_signers/Liz_3690.mov" TargetMode="External"/><Relationship Id="rId13026" Type="http://schemas.openxmlformats.org/officeDocument/2006/relationships/hyperlink" Target="http://secrets.rutgers.edu:8080/data/asl-ftp/asllvd/demos/verify_start_end_handshape_annotations//test_auto_move//signs_mov_separ_signers/Liz_3690.mov" TargetMode="External"/><Relationship Id="rId13027" Type="http://schemas.openxmlformats.org/officeDocument/2006/relationships/hyperlink" Target="http://csr.bu.edu/ftp/asl/asllvd/demos/verify_start_end_handshape_annotations//test_auto_move//signs_mov_separ_signers/Tyler_1472.mov" TargetMode="External"/><Relationship Id="rId13028" Type="http://schemas.openxmlformats.org/officeDocument/2006/relationships/hyperlink" Target="http://secrets.rutgers.edu:8080/data/asl-ftp/asllvd/demos/verify_start_end_handshape_annotations//test_auto_move//signs_mov_separ_signers/Tyler_1472.mov" TargetMode="External"/><Relationship Id="rId13029" Type="http://schemas.openxmlformats.org/officeDocument/2006/relationships/hyperlink" Target="http://csr.bu.edu/ftp/asl/asllvd/demos/verify_start_end_handshape_annotations//test_auto_move//signs_mov_separ_signers/Tyler_3321.mov" TargetMode="External"/><Relationship Id="rId13030" Type="http://schemas.openxmlformats.org/officeDocument/2006/relationships/hyperlink" Target="http://secrets.rutgers.edu:8080/data/asl-ftp/asllvd/demos/verify_start_end_handshape_annotations//test_auto_move//signs_mov_separ_signers/Tyler_3321.mov" TargetMode="External"/><Relationship Id="rId13031" Type="http://schemas.openxmlformats.org/officeDocument/2006/relationships/hyperlink" Target="http://csr.bu.edu/ftp/asl/asllvd/demos/verify_start_end_handshape_annotations//test_auto_move//signs_mov_separ_signers/Tyler_3690.mov" TargetMode="External"/><Relationship Id="rId13032" Type="http://schemas.openxmlformats.org/officeDocument/2006/relationships/hyperlink" Target="http://secrets.rutgers.edu:8080/data/asl-ftp/asllvd/demos/verify_start_end_handshape_annotations//test_auto_move//signs_mov_separ_signers/Tyler_3690.mov" TargetMode="External"/><Relationship Id="rId13033" Type="http://schemas.openxmlformats.org/officeDocument/2006/relationships/hyperlink" Target="http://csr.bu.edu/ftp/asl/asllvd/demos/verify_start_end_handshape_annotations//test_auto_move//signs_mov/1472_3321_3690_5062_merged.mov" TargetMode="External"/><Relationship Id="rId13034" Type="http://schemas.openxmlformats.org/officeDocument/2006/relationships/hyperlink" Target="http://csr.bu.edu/ftp/asl/asllvd/demos/verify_start_end_handshape_annotations//test_auto_move//signs_mov_separ_signers/Naomi_1472.mov" TargetMode="External"/><Relationship Id="rId13035" Type="http://schemas.openxmlformats.org/officeDocument/2006/relationships/hyperlink" Target="http://secrets.rutgers.edu:8080/data/asl-ftp/asllvd/demos/verify_start_end_handshape_annotations//test_auto_move//signs_mov/1472_3321_3690_5062_merged.mov" TargetMode="External"/><Relationship Id="rId13036" Type="http://schemas.openxmlformats.org/officeDocument/2006/relationships/hyperlink" Target="http://secrets.rutgers.edu:8080/data/asl-ftp/asllvd/demos/verify_start_end_handshape_annotations//test_auto_move//signs_mov_separ_signers/Naomi_1472.mov" TargetMode="External"/><Relationship Id="rId13037" Type="http://schemas.openxmlformats.org/officeDocument/2006/relationships/hyperlink" Target="http://csr.bu.edu/ftp/asl/asllvd/demos/verify_start_end_handshape_annotations//test_auto_move//signs_mov_separ_signers/Brady_1472.mov" TargetMode="External"/><Relationship Id="rId13038" Type="http://schemas.openxmlformats.org/officeDocument/2006/relationships/hyperlink" Target="http://secrets.rutgers.edu:8080/data/asl-ftp/asllvd/demos/verify_start_end_handshape_annotations//test_auto_move//signs_mov_separ_signers/Brady_1472.mov" TargetMode="External"/><Relationship Id="rId13039" Type="http://schemas.openxmlformats.org/officeDocument/2006/relationships/hyperlink" Target="http://csr.bu.edu/ftp/asl/asllvd/demos/verify_start_end_handshape_annotations//test_auto_move//signs_mov_separ_signers/Brady_3321.mov" TargetMode="External"/><Relationship Id="rId13040" Type="http://schemas.openxmlformats.org/officeDocument/2006/relationships/hyperlink" Target="http://secrets.rutgers.edu:8080/data/asl-ftp/asllvd/demos/verify_start_end_handshape_annotations//test_auto_move//signs_mov_separ_signers/Brady_3321.mov" TargetMode="External"/><Relationship Id="rId13041" Type="http://schemas.openxmlformats.org/officeDocument/2006/relationships/hyperlink" Target="http://csr.bu.edu/ftp/asl/asllvd/demos/verify_start_end_handshape_annotations//test_auto_move//signs_mov_separ_signers/Brady_3690.mov" TargetMode="External"/><Relationship Id="rId13042" Type="http://schemas.openxmlformats.org/officeDocument/2006/relationships/hyperlink" Target="http://secrets.rutgers.edu:8080/data/asl-ftp/asllvd/demos/verify_start_end_handshape_annotations//test_auto_move//signs_mov_separ_signers/Brady_3690.mov" TargetMode="External"/><Relationship Id="rId13043" Type="http://schemas.openxmlformats.org/officeDocument/2006/relationships/hyperlink" Target="http://csr.bu.edu/ftp/asl/asllvd/demos/verify_start_end_handshape_annotations//test_auto_move//signs_mov_separ_signers/Brady_5062.mov" TargetMode="External"/><Relationship Id="rId13044" Type="http://schemas.openxmlformats.org/officeDocument/2006/relationships/hyperlink" Target="http://secrets.rutgers.edu:8080/data/asl-ftp/asllvd/demos/verify_start_end_handshape_annotations//test_auto_move//signs_mov_separ_signers/Brady_5062.mov" TargetMode="External"/><Relationship Id="rId13045" Type="http://schemas.openxmlformats.org/officeDocument/2006/relationships/hyperlink" Target="http://csr.bu.edu/ftp/asl/asllvd/demos/verify_start_end_handshape_annotations//test_auto_move//signs_mov_separ_signers/Lana_1472.mov" TargetMode="External"/><Relationship Id="rId13046" Type="http://schemas.openxmlformats.org/officeDocument/2006/relationships/hyperlink" Target="http://secrets.rutgers.edu:8080/data/asl-ftp/asllvd/demos/verify_start_end_handshape_annotations//test_auto_move//signs_mov_separ_signers/Lana_1472.mov" TargetMode="External"/><Relationship Id="rId13047" Type="http://schemas.openxmlformats.org/officeDocument/2006/relationships/hyperlink" Target="http://csr.bu.edu/ftp/asl/asllvd/demos/verify_start_end_handshape_annotations//test_auto_move//signs_mov_separ_signers/Dana_1472.mov" TargetMode="External"/><Relationship Id="rId13048" Type="http://schemas.openxmlformats.org/officeDocument/2006/relationships/hyperlink" Target="http://secrets.rutgers.edu:8080/data/asl-ftp/asllvd/demos/verify_start_end_handshape_annotations//test_auto_move//signs_mov_separ_signers/Dana_1472.mov" TargetMode="External"/><Relationship Id="rId13049" Type="http://schemas.openxmlformats.org/officeDocument/2006/relationships/hyperlink" Target="http://csr.bu.edu/ftp/asl/asllvd/demos/verify_start_end_handshape_annotations//test_auto_move//signs_mov_separ_signers/Liz_16059.mov" TargetMode="External"/><Relationship Id="rId13050" Type="http://schemas.openxmlformats.org/officeDocument/2006/relationships/hyperlink" Target="http://secrets.rutgers.edu:8080/data/asl-ftp/asllvd/demos/verify_start_end_handshape_annotations//test_auto_move//signs_mov_separ_signers/Liz_16059.mov" TargetMode="External"/><Relationship Id="rId13051" Type="http://schemas.openxmlformats.org/officeDocument/2006/relationships/hyperlink" Target="http://csr.bu.edu/ftp/asl/asllvd/demos/verify_start_end_handshape_annotations//test_auto_move//signs_mov_separ_signers/Tyler_16059.mov" TargetMode="External"/><Relationship Id="rId13052" Type="http://schemas.openxmlformats.org/officeDocument/2006/relationships/hyperlink" Target="http://secrets.rutgers.edu:8080/data/asl-ftp/asllvd/demos/verify_start_end_handshape_annotations//test_auto_move//signs_mov_separ_signers/Tyler_16059.mov" TargetMode="External"/><Relationship Id="rId13053" Type="http://schemas.openxmlformats.org/officeDocument/2006/relationships/hyperlink" Target="http://csr.bu.edu/ftp/asl/asllvd/demos/verify_start_end_handshape_annotations//test_auto_move//signs_mov/16059.mov" TargetMode="External"/><Relationship Id="rId13054" Type="http://schemas.openxmlformats.org/officeDocument/2006/relationships/hyperlink" Target="http://csr.bu.edu/ftp/asl/asllvd/demos/verify_start_end_handshape_annotations//test_auto_move//signs_mov_separ_signers/Naomi_16059.mov" TargetMode="External"/><Relationship Id="rId13055" Type="http://schemas.openxmlformats.org/officeDocument/2006/relationships/hyperlink" Target="http://secrets.rutgers.edu:8080/data/asl-ftp/asllvd/demos/verify_start_end_handshape_annotations//test_auto_move//signs_mov/16059.mov" TargetMode="External"/><Relationship Id="rId13056" Type="http://schemas.openxmlformats.org/officeDocument/2006/relationships/hyperlink" Target="http://secrets.rutgers.edu:8080/data/asl-ftp/asllvd/demos/verify_start_end_handshape_annotations//test_auto_move//signs_mov_separ_signers/Naomi_16059.mov" TargetMode="External"/><Relationship Id="rId13057" Type="http://schemas.openxmlformats.org/officeDocument/2006/relationships/hyperlink" Target="http://csr.bu.edu/ftp/asl/asllvd/demos/verify_start_end_handshape_annotations//test_auto_move//signs_mov_separ_signers/Brady_16059.mov" TargetMode="External"/><Relationship Id="rId13058" Type="http://schemas.openxmlformats.org/officeDocument/2006/relationships/hyperlink" Target="http://secrets.rutgers.edu:8080/data/asl-ftp/asllvd/demos/verify_start_end_handshape_annotations//test_auto_move//signs_mov_separ_signers/Brady_16059.mov" TargetMode="External"/><Relationship Id="rId13059" Type="http://schemas.openxmlformats.org/officeDocument/2006/relationships/hyperlink" Target="http://csr.bu.edu/ftp/asl/asllvd/demos/verify_start_end_handshape_annotations//test_auto_move//signs_mov_separ_signers/Lana_16059.mov" TargetMode="External"/><Relationship Id="rId13060" Type="http://schemas.openxmlformats.org/officeDocument/2006/relationships/hyperlink" Target="http://secrets.rutgers.edu:8080/data/asl-ftp/asllvd/demos/verify_start_end_handshape_annotations//test_auto_move//signs_mov_separ_signers/Lana_16059.mov" TargetMode="External"/><Relationship Id="rId13061" Type="http://schemas.openxmlformats.org/officeDocument/2006/relationships/hyperlink" Target="http://csr.bu.edu/ftp/asl/asllvd/demos/verify_start_end_handshape_annotations//test_auto_move//signs_mov_separ_signers/Dana_16059.mov" TargetMode="External"/><Relationship Id="rId13062" Type="http://schemas.openxmlformats.org/officeDocument/2006/relationships/hyperlink" Target="http://secrets.rutgers.edu:8080/data/asl-ftp/asllvd/demos/verify_start_end_handshape_annotations//test_auto_move//signs_mov_separ_signers/Dana_16059.mov" TargetMode="External"/><Relationship Id="rId13063" Type="http://schemas.openxmlformats.org/officeDocument/2006/relationships/hyperlink" Target="http://csr.bu.edu/ftp/asl/asllvd/demos/verify_start_end_handshape_annotations//test_auto_move//signs_mov_separ_signers/Liz_1473.mov" TargetMode="External"/><Relationship Id="rId13064" Type="http://schemas.openxmlformats.org/officeDocument/2006/relationships/hyperlink" Target="http://secrets.rutgers.edu:8080/data/asl-ftp/asllvd/demos/verify_start_end_handshape_annotations//test_auto_move//signs_mov_separ_signers/Liz_1473.mov" TargetMode="External"/><Relationship Id="rId13065" Type="http://schemas.openxmlformats.org/officeDocument/2006/relationships/hyperlink" Target="http://csr.bu.edu/ftp/asl/asllvd/demos/verify_start_end_handshape_annotations//test_auto_move//signs_mov_separ_signers/Liz_3398.mov" TargetMode="External"/><Relationship Id="rId13066" Type="http://schemas.openxmlformats.org/officeDocument/2006/relationships/hyperlink" Target="http://secrets.rutgers.edu:8080/data/asl-ftp/asllvd/demos/verify_start_end_handshape_annotations//test_auto_move//signs_mov_separ_signers/Liz_3398.mov" TargetMode="External"/><Relationship Id="rId13067" Type="http://schemas.openxmlformats.org/officeDocument/2006/relationships/hyperlink" Target="http://csr.bu.edu/ftp/asl/asllvd/demos/verify_start_end_handshape_annotations//test_auto_move//signs_mov_separ_signers/Tyler_1473.mov" TargetMode="External"/><Relationship Id="rId13068" Type="http://schemas.openxmlformats.org/officeDocument/2006/relationships/hyperlink" Target="http://secrets.rutgers.edu:8080/data/asl-ftp/asllvd/demos/verify_start_end_handshape_annotations//test_auto_move//signs_mov_separ_signers/Tyler_1473.mov" TargetMode="External"/><Relationship Id="rId13069" Type="http://schemas.openxmlformats.org/officeDocument/2006/relationships/hyperlink" Target="http://csr.bu.edu/ftp/asl/asllvd/demos/verify_start_end_handshape_annotations//test_auto_move//signs_mov/1473_3398_merged.mov" TargetMode="External"/><Relationship Id="rId13070" Type="http://schemas.openxmlformats.org/officeDocument/2006/relationships/hyperlink" Target="http://csr.bu.edu/ftp/asl/asllvd/demos/verify_start_end_handshape_annotations//test_auto_move//signs_mov_separ_signers/Naomi_1473.mov" TargetMode="External"/><Relationship Id="rId13071" Type="http://schemas.openxmlformats.org/officeDocument/2006/relationships/hyperlink" Target="http://secrets.rutgers.edu:8080/data/asl-ftp/asllvd/demos/verify_start_end_handshape_annotations//test_auto_move//signs_mov/1473_3398_merged.mov" TargetMode="External"/><Relationship Id="rId13072" Type="http://schemas.openxmlformats.org/officeDocument/2006/relationships/hyperlink" Target="http://secrets.rutgers.edu:8080/data/asl-ftp/asllvd/demos/verify_start_end_handshape_annotations//test_auto_move//signs_mov_separ_signers/Naomi_1473.mov" TargetMode="External"/><Relationship Id="rId13073" Type="http://schemas.openxmlformats.org/officeDocument/2006/relationships/hyperlink" Target="http://csr.bu.edu/ftp/asl/asllvd/demos/verify_start_end_handshape_annotations//test_auto_move//signs_mov_separ_signers/Naomi_3398.mov" TargetMode="External"/><Relationship Id="rId13074" Type="http://schemas.openxmlformats.org/officeDocument/2006/relationships/hyperlink" Target="http://secrets.rutgers.edu:8080/data/asl-ftp/asllvd/demos/verify_start_end_handshape_annotations//test_auto_move//signs_mov_separ_signers/Naomi_3398.mov" TargetMode="External"/><Relationship Id="rId13075" Type="http://schemas.openxmlformats.org/officeDocument/2006/relationships/hyperlink" Target="http://csr.bu.edu/ftp/asl/asllvd/demos/verify_start_end_handshape_annotations//test_auto_move//signs_mov_separ_signers/Brady_1473.mov" TargetMode="External"/><Relationship Id="rId13076" Type="http://schemas.openxmlformats.org/officeDocument/2006/relationships/hyperlink" Target="http://secrets.rutgers.edu:8080/data/asl-ftp/asllvd/demos/verify_start_end_handshape_annotations//test_auto_move//signs_mov_separ_signers/Brady_1473.mov" TargetMode="External"/><Relationship Id="rId13077" Type="http://schemas.openxmlformats.org/officeDocument/2006/relationships/hyperlink" Target="http://csr.bu.edu/ftp/asl/asllvd/demos/verify_start_end_handshape_annotations//test_auto_move//signs_mov_separ_signers/Brady_3398.mov" TargetMode="External"/><Relationship Id="rId13078" Type="http://schemas.openxmlformats.org/officeDocument/2006/relationships/hyperlink" Target="http://secrets.rutgers.edu:8080/data/asl-ftp/asllvd/demos/verify_start_end_handshape_annotations//test_auto_move//signs_mov_separ_signers/Brady_3398.mov" TargetMode="External"/><Relationship Id="rId13079" Type="http://schemas.openxmlformats.org/officeDocument/2006/relationships/hyperlink" Target="http://csr.bu.edu/ftp/asl/asllvd/demos/verify_start_end_handshape_annotations//test_auto_move//signs_mov_separ_signers/Dana_1473.mov" TargetMode="External"/><Relationship Id="rId13080" Type="http://schemas.openxmlformats.org/officeDocument/2006/relationships/hyperlink" Target="http://secrets.rutgers.edu:8080/data/asl-ftp/asllvd/demos/verify_start_end_handshape_annotations//test_auto_move//signs_mov_separ_signers/Dana_1473.mov" TargetMode="External"/><Relationship Id="rId13081" Type="http://schemas.openxmlformats.org/officeDocument/2006/relationships/hyperlink" Target="http://csr.bu.edu/ftp/asl/asllvd/demos/verify_start_end_handshape_annotations//test_auto_move//signs_mov/3838.mov" TargetMode="External"/><Relationship Id="rId13082" Type="http://schemas.openxmlformats.org/officeDocument/2006/relationships/hyperlink" Target="http://csr.bu.edu/ftp/asl/asllvd/demos/verify_start_end_handshape_annotations//test_auto_move//signs_mov_separ_signers/Tyler_3838.mov" TargetMode="External"/><Relationship Id="rId13083" Type="http://schemas.openxmlformats.org/officeDocument/2006/relationships/hyperlink" Target="http://secrets.rutgers.edu:8080/data/asl-ftp/asllvd/demos/verify_start_end_handshape_annotations//test_auto_move//signs_mov/3838.mov" TargetMode="External"/><Relationship Id="rId13084" Type="http://schemas.openxmlformats.org/officeDocument/2006/relationships/hyperlink" Target="http://secrets.rutgers.edu:8080/data/asl-ftp/asllvd/demos/verify_start_end_handshape_annotations//test_auto_move//signs_mov_separ_signers/Tyler_3838.mov" TargetMode="External"/><Relationship Id="rId13085" Type="http://schemas.openxmlformats.org/officeDocument/2006/relationships/hyperlink" Target="http://csr.bu.edu/ftp/asl/asllvd/demos/verify_start_end_handshape_annotations//test_auto_move//signs_mov_separ_signers/Brady_3838.mov" TargetMode="External"/><Relationship Id="rId13086" Type="http://schemas.openxmlformats.org/officeDocument/2006/relationships/hyperlink" Target="http://secrets.rutgers.edu:8080/data/asl-ftp/asllvd/demos/verify_start_end_handshape_annotations//test_auto_move//signs_mov_separ_signers/Brady_3838.mov" TargetMode="External"/><Relationship Id="rId13087" Type="http://schemas.openxmlformats.org/officeDocument/2006/relationships/hyperlink" Target="http://csr.bu.edu/ftp/asl/asllvd/demos/verify_start_end_handshape_annotations//test_auto_move//signs_mov_separ_signers/Liz_16040.mov" TargetMode="External"/><Relationship Id="rId13088" Type="http://schemas.openxmlformats.org/officeDocument/2006/relationships/hyperlink" Target="http://secrets.rutgers.edu:8080/data/asl-ftp/asllvd/demos/verify_start_end_handshape_annotations//test_auto_move//signs_mov_separ_signers/Liz_16040.mov" TargetMode="External"/><Relationship Id="rId13089" Type="http://schemas.openxmlformats.org/officeDocument/2006/relationships/hyperlink" Target="http://csr.bu.edu/ftp/asl/asllvd/demos/verify_start_end_handshape_annotations//test_auto_move//signs_mov_separ_signers/Tyler_16040.mov" TargetMode="External"/><Relationship Id="rId13090" Type="http://schemas.openxmlformats.org/officeDocument/2006/relationships/hyperlink" Target="http://secrets.rutgers.edu:8080/data/asl-ftp/asllvd/demos/verify_start_end_handshape_annotations//test_auto_move//signs_mov_separ_signers/Tyler_16040.mov" TargetMode="External"/><Relationship Id="rId13091" Type="http://schemas.openxmlformats.org/officeDocument/2006/relationships/hyperlink" Target="http://csr.bu.edu/ftp/asl/asllvd/demos/verify_start_end_handshape_annotations//test_auto_move//signs_mov/16040_16086_merged.mov" TargetMode="External"/><Relationship Id="rId13092" Type="http://schemas.openxmlformats.org/officeDocument/2006/relationships/hyperlink" Target="http://csr.bu.edu/ftp/asl/asllvd/demos/verify_start_end_handshape_annotations//test_auto_move//signs_mov_separ_signers/Naomi_16040.mov" TargetMode="External"/><Relationship Id="rId13093" Type="http://schemas.openxmlformats.org/officeDocument/2006/relationships/hyperlink" Target="http://secrets.rutgers.edu:8080/data/asl-ftp/asllvd/demos/verify_start_end_handshape_annotations//test_auto_move//signs_mov/16040_16086_merged.mov" TargetMode="External"/><Relationship Id="rId13094" Type="http://schemas.openxmlformats.org/officeDocument/2006/relationships/hyperlink" Target="http://secrets.rutgers.edu:8080/data/asl-ftp/asllvd/demos/verify_start_end_handshape_annotations//test_auto_move//signs_mov_separ_signers/Naomi_16040.mov" TargetMode="External"/><Relationship Id="rId13095" Type="http://schemas.openxmlformats.org/officeDocument/2006/relationships/hyperlink" Target="http://csr.bu.edu/ftp/asl/asllvd/demos/verify_start_end_handshape_annotations//test_auto_move//signs_mov_separ_signers/Brady_16040.mov" TargetMode="External"/><Relationship Id="rId13096" Type="http://schemas.openxmlformats.org/officeDocument/2006/relationships/hyperlink" Target="http://secrets.rutgers.edu:8080/data/asl-ftp/asllvd/demos/verify_start_end_handshape_annotations//test_auto_move//signs_mov_separ_signers/Brady_16040.mov" TargetMode="External"/><Relationship Id="rId13097" Type="http://schemas.openxmlformats.org/officeDocument/2006/relationships/hyperlink" Target="http://csr.bu.edu/ftp/asl/asllvd/demos/verify_start_end_handshape_annotations//test_auto_move//signs_mov_separ_signers/Brady_16086.mov" TargetMode="External"/><Relationship Id="rId13098" Type="http://schemas.openxmlformats.org/officeDocument/2006/relationships/hyperlink" Target="http://secrets.rutgers.edu:8080/data/asl-ftp/asllvd/demos/verify_start_end_handshape_annotations//test_auto_move//signs_mov_separ_signers/Brady_16086.mov" TargetMode="External"/><Relationship Id="rId13099" Type="http://schemas.openxmlformats.org/officeDocument/2006/relationships/hyperlink" Target="http://csr.bu.edu/ftp/asl/asllvd/demos/verify_start_end_handshape_annotations//test_auto_move//signs_mov/16091.mov" TargetMode="External"/><Relationship Id="rId13100" Type="http://schemas.openxmlformats.org/officeDocument/2006/relationships/hyperlink" Target="http://csr.bu.edu/ftp/asl/asllvd/demos/verify_start_end_handshape_annotations//test_auto_move//signs_mov_separ_signers/Liz_16091.mov" TargetMode="External"/><Relationship Id="rId13101" Type="http://schemas.openxmlformats.org/officeDocument/2006/relationships/hyperlink" Target="http://secrets.rutgers.edu:8080/data/asl-ftp/asllvd/demos/verify_start_end_handshape_annotations//test_auto_move//signs_mov/16091.mov" TargetMode="External"/><Relationship Id="rId13102" Type="http://schemas.openxmlformats.org/officeDocument/2006/relationships/hyperlink" Target="http://secrets.rutgers.edu:8080/data/asl-ftp/asllvd/demos/verify_start_end_handshape_annotations//test_auto_move//signs_mov_separ_signers/Liz_16091.mov" TargetMode="External"/><Relationship Id="rId13103" Type="http://schemas.openxmlformats.org/officeDocument/2006/relationships/hyperlink" Target="http://csr.bu.edu/ftp/asl/asllvd/demos/verify_start_end_handshape_annotations//test_auto_move//signs_mov_separ_signers/Brady_16091.mov" TargetMode="External"/><Relationship Id="rId13104" Type="http://schemas.openxmlformats.org/officeDocument/2006/relationships/hyperlink" Target="http://secrets.rutgers.edu:8080/data/asl-ftp/asllvd/demos/verify_start_end_handshape_annotations//test_auto_move//signs_mov_separ_signers/Brady_16091.mov" TargetMode="External"/><Relationship Id="rId13105" Type="http://schemas.openxmlformats.org/officeDocument/2006/relationships/hyperlink" Target="http://csr.bu.edu/ftp/asl/asllvd/demos/verify_start_end_handshape_annotations//test_auto_move//signs_mov_separ_signers/Liz_1474.mov" TargetMode="External"/><Relationship Id="rId13106" Type="http://schemas.openxmlformats.org/officeDocument/2006/relationships/hyperlink" Target="http://secrets.rutgers.edu:8080/data/asl-ftp/asllvd/demos/verify_start_end_handshape_annotations//test_auto_move//signs_mov_separ_signers/Liz_1474.mov" TargetMode="External"/><Relationship Id="rId13107" Type="http://schemas.openxmlformats.org/officeDocument/2006/relationships/hyperlink" Target="http://csr.bu.edu/ftp/asl/asllvd/demos/verify_start_end_handshape_annotations//test_auto_move//signs_mov_separ_signers/Tyler_1474.mov" TargetMode="External"/><Relationship Id="rId13108" Type="http://schemas.openxmlformats.org/officeDocument/2006/relationships/hyperlink" Target="http://secrets.rutgers.edu:8080/data/asl-ftp/asllvd/demos/verify_start_end_handshape_annotations//test_auto_move//signs_mov_separ_signers/Tyler_1474.mov" TargetMode="External"/><Relationship Id="rId13109" Type="http://schemas.openxmlformats.org/officeDocument/2006/relationships/hyperlink" Target="http://csr.bu.edu/ftp/asl/asllvd/demos/verify_start_end_handshape_annotations//test_auto_move//signs_mov/1474.mov" TargetMode="External"/><Relationship Id="rId13110" Type="http://schemas.openxmlformats.org/officeDocument/2006/relationships/hyperlink" Target="http://csr.bu.edu/ftp/asl/asllvd/demos/verify_start_end_handshape_annotations//test_auto_move//signs_mov_separ_signers/Naomi_1474.mov" TargetMode="External"/><Relationship Id="rId13111" Type="http://schemas.openxmlformats.org/officeDocument/2006/relationships/hyperlink" Target="http://secrets.rutgers.edu:8080/data/asl-ftp/asllvd/demos/verify_start_end_handshape_annotations//test_auto_move//signs_mov/1474.mov" TargetMode="External"/><Relationship Id="rId13112" Type="http://schemas.openxmlformats.org/officeDocument/2006/relationships/hyperlink" Target="http://secrets.rutgers.edu:8080/data/asl-ftp/asllvd/demos/verify_start_end_handshape_annotations//test_auto_move//signs_mov_separ_signers/Naomi_1474.mov" TargetMode="External"/><Relationship Id="rId13113" Type="http://schemas.openxmlformats.org/officeDocument/2006/relationships/hyperlink" Target="http://csr.bu.edu/ftp/asl/asllvd/demos/verify_start_end_handshape_annotations//test_auto_move//signs_mov_separ_signers/Brady_1474.mov" TargetMode="External"/><Relationship Id="rId13114" Type="http://schemas.openxmlformats.org/officeDocument/2006/relationships/hyperlink" Target="http://secrets.rutgers.edu:8080/data/asl-ftp/asllvd/demos/verify_start_end_handshape_annotations//test_auto_move//signs_mov_separ_signers/Brady_1474.mov" TargetMode="External"/><Relationship Id="rId13115" Type="http://schemas.openxmlformats.org/officeDocument/2006/relationships/hyperlink" Target="http://csr.bu.edu/ftp/asl/asllvd/demos/verify_start_end_handshape_annotations//test_auto_move//signs_mov_separ_signers/Lana_1474.mov" TargetMode="External"/><Relationship Id="rId13116" Type="http://schemas.openxmlformats.org/officeDocument/2006/relationships/hyperlink" Target="http://secrets.rutgers.edu:8080/data/asl-ftp/asllvd/demos/verify_start_end_handshape_annotations//test_auto_move//signs_mov_separ_signers/Lana_1474.mov" TargetMode="External"/><Relationship Id="rId13117" Type="http://schemas.openxmlformats.org/officeDocument/2006/relationships/hyperlink" Target="http://csr.bu.edu/ftp/asl/asllvd/demos/verify_start_end_handshape_annotations//test_auto_move//signs_mov_separ_signers/Liz_1475.mov" TargetMode="External"/><Relationship Id="rId13118" Type="http://schemas.openxmlformats.org/officeDocument/2006/relationships/hyperlink" Target="http://secrets.rutgers.edu:8080/data/asl-ftp/asllvd/demos/verify_start_end_handshape_annotations//test_auto_move//signs_mov_separ_signers/Liz_1475.mov" TargetMode="External"/><Relationship Id="rId13119" Type="http://schemas.openxmlformats.org/officeDocument/2006/relationships/hyperlink" Target="http://csr.bu.edu/ftp/asl/asllvd/demos/verify_start_end_handshape_annotations//test_auto_move//signs_mov/1475.mov" TargetMode="External"/><Relationship Id="rId13120" Type="http://schemas.openxmlformats.org/officeDocument/2006/relationships/hyperlink" Target="http://csr.bu.edu/ftp/asl/asllvd/demos/verify_start_end_handshape_annotations//test_auto_move//signs_mov_separ_signers/Tyler_1475.mov" TargetMode="External"/><Relationship Id="rId13121" Type="http://schemas.openxmlformats.org/officeDocument/2006/relationships/hyperlink" Target="http://secrets.rutgers.edu:8080/data/asl-ftp/asllvd/demos/verify_start_end_handshape_annotations//test_auto_move//signs_mov/1475.mov" TargetMode="External"/><Relationship Id="rId13122" Type="http://schemas.openxmlformats.org/officeDocument/2006/relationships/hyperlink" Target="http://secrets.rutgers.edu:8080/data/asl-ftp/asllvd/demos/verify_start_end_handshape_annotations//test_auto_move//signs_mov_separ_signers/Tyler_1475.mov" TargetMode="External"/><Relationship Id="rId13123" Type="http://schemas.openxmlformats.org/officeDocument/2006/relationships/hyperlink" Target="http://csr.bu.edu/ftp/asl/asllvd/demos/verify_start_end_handshape_annotations//test_auto_move//signs_mov_separ_signers/Naomi_1475.mov" TargetMode="External"/><Relationship Id="rId13124" Type="http://schemas.openxmlformats.org/officeDocument/2006/relationships/hyperlink" Target="http://secrets.rutgers.edu:8080/data/asl-ftp/asllvd/demos/verify_start_end_handshape_annotations//test_auto_move//signs_mov_separ_signers/Naomi_1475.mov" TargetMode="External"/><Relationship Id="rId13125" Type="http://schemas.openxmlformats.org/officeDocument/2006/relationships/hyperlink" Target="http://csr.bu.edu/ftp/asl/asllvd/demos/verify_start_end_handshape_annotations//test_auto_move//signs_mov_separ_signers/Brady_1475.mov" TargetMode="External"/><Relationship Id="rId13126" Type="http://schemas.openxmlformats.org/officeDocument/2006/relationships/hyperlink" Target="http://secrets.rutgers.edu:8080/data/asl-ftp/asllvd/demos/verify_start_end_handshape_annotations//test_auto_move//signs_mov_separ_signers/Brady_1475.mov" TargetMode="External"/><Relationship Id="rId13127" Type="http://schemas.openxmlformats.org/officeDocument/2006/relationships/hyperlink" Target="http://csr.bu.edu/ftp/asl/asllvd/demos/verify_start_end_handshape_annotations//test_auto_move//signs_mov/1476.mov" TargetMode="External"/><Relationship Id="rId13128" Type="http://schemas.openxmlformats.org/officeDocument/2006/relationships/hyperlink" Target="http://csr.bu.edu/ftp/asl/asllvd/demos/verify_start_end_handshape_annotations//test_auto_move//signs_mov_separ_signers/Liz_1476.mov" TargetMode="External"/><Relationship Id="rId13129" Type="http://schemas.openxmlformats.org/officeDocument/2006/relationships/hyperlink" Target="http://secrets.rutgers.edu:8080/data/asl-ftp/asllvd/demos/verify_start_end_handshape_annotations//test_auto_move//signs_mov/1476.mov" TargetMode="External"/><Relationship Id="rId13130" Type="http://schemas.openxmlformats.org/officeDocument/2006/relationships/hyperlink" Target="http://secrets.rutgers.edu:8080/data/asl-ftp/asllvd/demos/verify_start_end_handshape_annotations//test_auto_move//signs_mov_separ_signers/Liz_1476.mov" TargetMode="External"/><Relationship Id="rId13131" Type="http://schemas.openxmlformats.org/officeDocument/2006/relationships/hyperlink" Target="http://csr.bu.edu/ftp/asl/asllvd/demos/verify_start_end_handshape_annotations//test_auto_move//signs_mov_separ_signers/Naomi_1476.mov" TargetMode="External"/><Relationship Id="rId13132" Type="http://schemas.openxmlformats.org/officeDocument/2006/relationships/hyperlink" Target="http://secrets.rutgers.edu:8080/data/asl-ftp/asllvd/demos/verify_start_end_handshape_annotations//test_auto_move//signs_mov_separ_signers/Naomi_1476.mov" TargetMode="External"/><Relationship Id="rId13133" Type="http://schemas.openxmlformats.org/officeDocument/2006/relationships/hyperlink" Target="http://csr.bu.edu/ftp/asl/asllvd/demos/verify_start_end_handshape_annotations//test_auto_move//signs_mov/5251.mov" TargetMode="External"/><Relationship Id="rId13134" Type="http://schemas.openxmlformats.org/officeDocument/2006/relationships/hyperlink" Target="http://csr.bu.edu/ftp/asl/asllvd/demos/verify_start_end_handshape_annotations//test_auto_move//signs_mov_separ_signers/Brady_5251.mov" TargetMode="External"/><Relationship Id="rId13135" Type="http://schemas.openxmlformats.org/officeDocument/2006/relationships/hyperlink" Target="http://secrets.rutgers.edu:8080/data/asl-ftp/asllvd/demos/verify_start_end_handshape_annotations//test_auto_move//signs_mov/5251.mov" TargetMode="External"/><Relationship Id="rId13136" Type="http://schemas.openxmlformats.org/officeDocument/2006/relationships/hyperlink" Target="http://secrets.rutgers.edu:8080/data/asl-ftp/asllvd/demos/verify_start_end_handshape_annotations//test_auto_move//signs_mov_separ_signers/Brady_5251.mov" TargetMode="External"/><Relationship Id="rId13137" Type="http://schemas.openxmlformats.org/officeDocument/2006/relationships/hyperlink" Target="http://csr.bu.edu/ftp/asl/asllvd/demos/verify_start_end_handshape_annotations//test_auto_move//signs_mov/5665.mov" TargetMode="External"/><Relationship Id="rId13138" Type="http://schemas.openxmlformats.org/officeDocument/2006/relationships/hyperlink" Target="http://csr.bu.edu/ftp/asl/asllvd/demos/verify_start_end_handshape_annotations//test_auto_move//signs_mov_separ_signers/Tyler_5665.mov" TargetMode="External"/><Relationship Id="rId13139" Type="http://schemas.openxmlformats.org/officeDocument/2006/relationships/hyperlink" Target="http://secrets.rutgers.edu:8080/data/asl-ftp/asllvd/demos/verify_start_end_handshape_annotations//test_auto_move//signs_mov/5665.mov" TargetMode="External"/><Relationship Id="rId13140" Type="http://schemas.openxmlformats.org/officeDocument/2006/relationships/hyperlink" Target="http://secrets.rutgers.edu:8080/data/asl-ftp/asllvd/demos/verify_start_end_handshape_annotations//test_auto_move//signs_mov_separ_signers/Tyler_5665.mov" TargetMode="External"/><Relationship Id="rId13141" Type="http://schemas.openxmlformats.org/officeDocument/2006/relationships/hyperlink" Target="http://csr.bu.edu/ftp/asl/asllvd/demos/verify_start_end_handshape_annotations//test_auto_move//signs_mov_separ_signers/Liz_1479.mov" TargetMode="External"/><Relationship Id="rId13142" Type="http://schemas.openxmlformats.org/officeDocument/2006/relationships/hyperlink" Target="http://secrets.rutgers.edu:8080/data/asl-ftp/asllvd/demos/verify_start_end_handshape_annotations//test_auto_move//signs_mov_separ_signers/Liz_1479.mov" TargetMode="External"/><Relationship Id="rId13143" Type="http://schemas.openxmlformats.org/officeDocument/2006/relationships/hyperlink" Target="http://csr.bu.edu/ftp/asl/asllvd/demos/verify_start_end_handshape_annotations//test_auto_move//signs_mov/1479.mov" TargetMode="External"/><Relationship Id="rId13144" Type="http://schemas.openxmlformats.org/officeDocument/2006/relationships/hyperlink" Target="http://csr.bu.edu/ftp/asl/asllvd/demos/verify_start_end_handshape_annotations//test_auto_move//signs_mov_separ_signers/Naomi_1479.mov" TargetMode="External"/><Relationship Id="rId13145" Type="http://schemas.openxmlformats.org/officeDocument/2006/relationships/hyperlink" Target="http://secrets.rutgers.edu:8080/data/asl-ftp/asllvd/demos/verify_start_end_handshape_annotations//test_auto_move//signs_mov/1479.mov" TargetMode="External"/><Relationship Id="rId13146" Type="http://schemas.openxmlformats.org/officeDocument/2006/relationships/hyperlink" Target="http://secrets.rutgers.edu:8080/data/asl-ftp/asllvd/demos/verify_start_end_handshape_annotations//test_auto_move//signs_mov_separ_signers/Naomi_1479.mov" TargetMode="External"/><Relationship Id="rId13147" Type="http://schemas.openxmlformats.org/officeDocument/2006/relationships/hyperlink" Target="http://csr.bu.edu/ftp/asl/asllvd/demos/verify_start_end_handshape_annotations//test_auto_move//signs_mov_separ_signers/Brady_1479.mov" TargetMode="External"/><Relationship Id="rId13148" Type="http://schemas.openxmlformats.org/officeDocument/2006/relationships/hyperlink" Target="http://secrets.rutgers.edu:8080/data/asl-ftp/asllvd/demos/verify_start_end_handshape_annotations//test_auto_move//signs_mov_separ_signers/Brady_1479.mov" TargetMode="External"/><Relationship Id="rId13149" Type="http://schemas.openxmlformats.org/officeDocument/2006/relationships/hyperlink" Target="http://csr.bu.edu/ftp/asl/asllvd/demos/verify_start_end_handshape_annotations//test_auto_move//signs_mov/5252.mov" TargetMode="External"/><Relationship Id="rId13150" Type="http://schemas.openxmlformats.org/officeDocument/2006/relationships/hyperlink" Target="http://csr.bu.edu/ftp/asl/asllvd/demos/verify_start_end_handshape_annotations//test_auto_move//signs_mov_separ_signers/Brady_5252.mov" TargetMode="External"/><Relationship Id="rId13151" Type="http://schemas.openxmlformats.org/officeDocument/2006/relationships/hyperlink" Target="http://secrets.rutgers.edu:8080/data/asl-ftp/asllvd/demos/verify_start_end_handshape_annotations//test_auto_move//signs_mov/5252.mov" TargetMode="External"/><Relationship Id="rId13152" Type="http://schemas.openxmlformats.org/officeDocument/2006/relationships/hyperlink" Target="http://secrets.rutgers.edu:8080/data/asl-ftp/asllvd/demos/verify_start_end_handshape_annotations//test_auto_move//signs_mov_separ_signers/Brady_5252.mov" TargetMode="External"/><Relationship Id="rId13153" Type="http://schemas.openxmlformats.org/officeDocument/2006/relationships/hyperlink" Target="http://csr.bu.edu/ftp/asl/asllvd/demos/verify_start_end_handshape_annotations//test_auto_move//signs_mov/15431.mov" TargetMode="External"/><Relationship Id="rId13154" Type="http://schemas.openxmlformats.org/officeDocument/2006/relationships/hyperlink" Target="http://csr.bu.edu/ftp/asl/asllvd/demos/verify_start_end_handshape_annotations//test_auto_move//signs_mov_separ_signers/Tyler_15431.mov" TargetMode="External"/><Relationship Id="rId13155" Type="http://schemas.openxmlformats.org/officeDocument/2006/relationships/hyperlink" Target="http://secrets.rutgers.edu:8080/data/asl-ftp/asllvd/demos/verify_start_end_handshape_annotations//test_auto_move//signs_mov/15431.mov" TargetMode="External"/><Relationship Id="rId13156" Type="http://schemas.openxmlformats.org/officeDocument/2006/relationships/hyperlink" Target="http://secrets.rutgers.edu:8080/data/asl-ftp/asllvd/demos/verify_start_end_handshape_annotations//test_auto_move//signs_mov_separ_signers/Tyler_15431.mov" TargetMode="External"/><Relationship Id="rId13157" Type="http://schemas.openxmlformats.org/officeDocument/2006/relationships/hyperlink" Target="http://csr.bu.edu/ftp/asl/asllvd/demos/verify_start_end_handshape_annotations//test_auto_move//signs_mov_separ_signers/Liz_15479.mov" TargetMode="External"/><Relationship Id="rId13158" Type="http://schemas.openxmlformats.org/officeDocument/2006/relationships/hyperlink" Target="http://secrets.rutgers.edu:8080/data/asl-ftp/asllvd/demos/verify_start_end_handshape_annotations//test_auto_move//signs_mov_separ_signers/Liz_15479.mov" TargetMode="External"/><Relationship Id="rId13159" Type="http://schemas.openxmlformats.org/officeDocument/2006/relationships/hyperlink" Target="http://csr.bu.edu/ftp/asl/asllvd/demos/verify_start_end_handshape_annotations//test_auto_move//signs_mov/15479.mov" TargetMode="External"/><Relationship Id="rId13160" Type="http://schemas.openxmlformats.org/officeDocument/2006/relationships/hyperlink" Target="http://csr.bu.edu/ftp/asl/asllvd/demos/verify_start_end_handshape_annotations//test_auto_move//signs_mov_separ_signers/Tyler_15479.mov" TargetMode="External"/><Relationship Id="rId13161" Type="http://schemas.openxmlformats.org/officeDocument/2006/relationships/hyperlink" Target="http://secrets.rutgers.edu:8080/data/asl-ftp/asllvd/demos/verify_start_end_handshape_annotations//test_auto_move//signs_mov/15479.mov" TargetMode="External"/><Relationship Id="rId13162" Type="http://schemas.openxmlformats.org/officeDocument/2006/relationships/hyperlink" Target="http://secrets.rutgers.edu:8080/data/asl-ftp/asllvd/demos/verify_start_end_handshape_annotations//test_auto_move//signs_mov_separ_signers/Tyler_15479.mov" TargetMode="External"/><Relationship Id="rId13163" Type="http://schemas.openxmlformats.org/officeDocument/2006/relationships/hyperlink" Target="http://csr.bu.edu/ftp/asl/asllvd/demos/verify_start_end_handshape_annotations//test_auto_move//signs_mov_separ_signers/Naomi_15479.mov" TargetMode="External"/><Relationship Id="rId13164" Type="http://schemas.openxmlformats.org/officeDocument/2006/relationships/hyperlink" Target="http://secrets.rutgers.edu:8080/data/asl-ftp/asllvd/demos/verify_start_end_handshape_annotations//test_auto_move//signs_mov_separ_signers/Naomi_15479.mov" TargetMode="External"/><Relationship Id="rId13165" Type="http://schemas.openxmlformats.org/officeDocument/2006/relationships/hyperlink" Target="http://csr.bu.edu/ftp/asl/asllvd/demos/verify_start_end_handshape_annotations//test_auto_move//signs_mov_separ_signers/Brady_15479.mov" TargetMode="External"/><Relationship Id="rId13166" Type="http://schemas.openxmlformats.org/officeDocument/2006/relationships/hyperlink" Target="http://secrets.rutgers.edu:8080/data/asl-ftp/asllvd/demos/verify_start_end_handshape_annotations//test_auto_move//signs_mov_separ_signers/Brady_15479.mov" TargetMode="External"/><Relationship Id="rId13167" Type="http://schemas.openxmlformats.org/officeDocument/2006/relationships/hyperlink" Target="http://csr.bu.edu/ftp/asl/asllvd/demos/verify_start_end_handshape_annotations//test_auto_move//signs_mov/15590.mov" TargetMode="External"/><Relationship Id="rId13168" Type="http://schemas.openxmlformats.org/officeDocument/2006/relationships/hyperlink" Target="http://csr.bu.edu/ftp/asl/asllvd/demos/verify_start_end_handshape_annotations//test_auto_move//signs_mov_separ_signers/Liz_15590.mov" TargetMode="External"/><Relationship Id="rId13169" Type="http://schemas.openxmlformats.org/officeDocument/2006/relationships/hyperlink" Target="http://secrets.rutgers.edu:8080/data/asl-ftp/asllvd/demos/verify_start_end_handshape_annotations//test_auto_move//signs_mov/15590.mov" TargetMode="External"/><Relationship Id="rId13170" Type="http://schemas.openxmlformats.org/officeDocument/2006/relationships/hyperlink" Target="http://secrets.rutgers.edu:8080/data/asl-ftp/asllvd/demos/verify_start_end_handshape_annotations//test_auto_move//signs_mov_separ_signers/Liz_15590.mov" TargetMode="External"/><Relationship Id="rId13171" Type="http://schemas.openxmlformats.org/officeDocument/2006/relationships/hyperlink" Target="http://csr.bu.edu/ftp/asl/asllvd/demos/verify_start_end_handshape_annotations//test_auto_move//signs_mov/15626.mov" TargetMode="External"/><Relationship Id="rId13172" Type="http://schemas.openxmlformats.org/officeDocument/2006/relationships/hyperlink" Target="http://csr.bu.edu/ftp/asl/asllvd/demos/verify_start_end_handshape_annotations//test_auto_move//signs_mov_separ_signers/Brady_15626.mov" TargetMode="External"/><Relationship Id="rId13173" Type="http://schemas.openxmlformats.org/officeDocument/2006/relationships/hyperlink" Target="http://secrets.rutgers.edu:8080/data/asl-ftp/asllvd/demos/verify_start_end_handshape_annotations//test_auto_move//signs_mov/15626.mov" TargetMode="External"/><Relationship Id="rId13174" Type="http://schemas.openxmlformats.org/officeDocument/2006/relationships/hyperlink" Target="http://secrets.rutgers.edu:8080/data/asl-ftp/asllvd/demos/verify_start_end_handshape_annotations//test_auto_move//signs_mov_separ_signers/Brady_15626.mov" TargetMode="External"/><Relationship Id="rId13175" Type="http://schemas.openxmlformats.org/officeDocument/2006/relationships/hyperlink" Target="http://csr.bu.edu/ftp/asl/asllvd/demos/verify_start_end_handshape_annotations//test_auto_move//signs_mov/15627_16286_merged.mov" TargetMode="External"/><Relationship Id="rId13176" Type="http://schemas.openxmlformats.org/officeDocument/2006/relationships/hyperlink" Target="http://csr.bu.edu/ftp/asl/asllvd/demos/verify_start_end_handshape_annotations//test_auto_move//signs_mov_separ_signers/Liz_15627.mov" TargetMode="External"/><Relationship Id="rId13177" Type="http://schemas.openxmlformats.org/officeDocument/2006/relationships/hyperlink" Target="http://secrets.rutgers.edu:8080/data/asl-ftp/asllvd/demos/verify_start_end_handshape_annotations//test_auto_move//signs_mov/15627_16286_merged.mov" TargetMode="External"/><Relationship Id="rId13178" Type="http://schemas.openxmlformats.org/officeDocument/2006/relationships/hyperlink" Target="http://secrets.rutgers.edu:8080/data/asl-ftp/asllvd/demos/verify_start_end_handshape_annotations//test_auto_move//signs_mov_separ_signers/Liz_15627.mov" TargetMode="External"/><Relationship Id="rId13179" Type="http://schemas.openxmlformats.org/officeDocument/2006/relationships/hyperlink" Target="http://csr.bu.edu/ftp/asl/asllvd/demos/verify_start_end_handshape_annotations//test_auto_move//signs_mov_separ_signers/Liz_16286.mov" TargetMode="External"/><Relationship Id="rId13180" Type="http://schemas.openxmlformats.org/officeDocument/2006/relationships/hyperlink" Target="http://secrets.rutgers.edu:8080/data/asl-ftp/asllvd/demos/verify_start_end_handshape_annotations//test_auto_move//signs_mov_separ_signers/Liz_16286.mov" TargetMode="External"/><Relationship Id="rId13181" Type="http://schemas.openxmlformats.org/officeDocument/2006/relationships/hyperlink" Target="http://csr.bu.edu/ftp/asl/asllvd/demos/verify_start_end_handshape_annotations//test_auto_move//signs_mov_separ_signers/Liz_16287.mov" TargetMode="External"/><Relationship Id="rId13182" Type="http://schemas.openxmlformats.org/officeDocument/2006/relationships/hyperlink" Target="http://secrets.rutgers.edu:8080/data/asl-ftp/asllvd/demos/verify_start_end_handshape_annotations//test_auto_move//signs_mov_separ_signers/Liz_16287.mov" TargetMode="External"/><Relationship Id="rId13183" Type="http://schemas.openxmlformats.org/officeDocument/2006/relationships/hyperlink" Target="http://csr.bu.edu/ftp/asl/asllvd/demos/verify_start_end_handshape_annotations//test_auto_move//signs_mov/16287.mov" TargetMode="External"/><Relationship Id="rId13184" Type="http://schemas.openxmlformats.org/officeDocument/2006/relationships/hyperlink" Target="http://csr.bu.edu/ftp/asl/asllvd/demos/verify_start_end_handshape_annotations//test_auto_move//signs_mov_separ_signers/Brady_16287.mov" TargetMode="External"/><Relationship Id="rId13185" Type="http://schemas.openxmlformats.org/officeDocument/2006/relationships/hyperlink" Target="http://secrets.rutgers.edu:8080/data/asl-ftp/asllvd/demos/verify_start_end_handshape_annotations//test_auto_move//signs_mov/16287.mov" TargetMode="External"/><Relationship Id="rId13186" Type="http://schemas.openxmlformats.org/officeDocument/2006/relationships/hyperlink" Target="http://secrets.rutgers.edu:8080/data/asl-ftp/asllvd/demos/verify_start_end_handshape_annotations//test_auto_move//signs_mov_separ_signers/Brady_16287.mov" TargetMode="External"/><Relationship Id="rId13187" Type="http://schemas.openxmlformats.org/officeDocument/2006/relationships/hyperlink" Target="http://csr.bu.edu/ftp/asl/asllvd/demos/verify_start_end_handshape_annotations//test_auto_move//signs_mov_separ_signers/Lana_16287.mov" TargetMode="External"/><Relationship Id="rId13188" Type="http://schemas.openxmlformats.org/officeDocument/2006/relationships/hyperlink" Target="http://secrets.rutgers.edu:8080/data/asl-ftp/asllvd/demos/verify_start_end_handshape_annotations//test_auto_move//signs_mov_separ_signers/Lana_16287.mov" TargetMode="External"/><Relationship Id="rId13189" Type="http://schemas.openxmlformats.org/officeDocument/2006/relationships/hyperlink" Target="http://csr.bu.edu/ftp/asl/asllvd/demos/verify_start_end_handshape_annotations//test_auto_move//signs_mov_separ_signers/Dana_16287.mov" TargetMode="External"/><Relationship Id="rId13190" Type="http://schemas.openxmlformats.org/officeDocument/2006/relationships/hyperlink" Target="http://secrets.rutgers.edu:8080/data/asl-ftp/asllvd/demos/verify_start_end_handshape_annotations//test_auto_move//signs_mov_separ_signers/Dana_16287.mov" TargetMode="External"/><Relationship Id="rId13191" Type="http://schemas.openxmlformats.org/officeDocument/2006/relationships/hyperlink" Target="http://csr.bu.edu/ftp/asl/asllvd/demos/verify_start_end_handshape_annotations//test_auto_move//signs_mov_separ_signers/Liz_1480.mov" TargetMode="External"/><Relationship Id="rId13192" Type="http://schemas.openxmlformats.org/officeDocument/2006/relationships/hyperlink" Target="http://secrets.rutgers.edu:8080/data/asl-ftp/asllvd/demos/verify_start_end_handshape_annotations//test_auto_move//signs_mov_separ_signers/Liz_1480.mov" TargetMode="External"/><Relationship Id="rId13193" Type="http://schemas.openxmlformats.org/officeDocument/2006/relationships/hyperlink" Target="http://csr.bu.edu/ftp/asl/asllvd/demos/verify_start_end_handshape_annotations//test_auto_move//signs_mov_separ_signers/Tyler_1480.mov" TargetMode="External"/><Relationship Id="rId13194" Type="http://schemas.openxmlformats.org/officeDocument/2006/relationships/hyperlink" Target="http://secrets.rutgers.edu:8080/data/asl-ftp/asllvd/demos/verify_start_end_handshape_annotations//test_auto_move//signs_mov_separ_signers/Tyler_1480.mov" TargetMode="External"/><Relationship Id="rId13195" Type="http://schemas.openxmlformats.org/officeDocument/2006/relationships/hyperlink" Target="http://csr.bu.edu/ftp/asl/asllvd/demos/verify_start_end_handshape_annotations//test_auto_move//signs_mov/1480.mov" TargetMode="External"/><Relationship Id="rId13196" Type="http://schemas.openxmlformats.org/officeDocument/2006/relationships/hyperlink" Target="http://csr.bu.edu/ftp/asl/asllvd/demos/verify_start_end_handshape_annotations//test_auto_move//signs_mov_separ_signers/Naomi_1480.mov" TargetMode="External"/><Relationship Id="rId13197" Type="http://schemas.openxmlformats.org/officeDocument/2006/relationships/hyperlink" Target="http://secrets.rutgers.edu:8080/data/asl-ftp/asllvd/demos/verify_start_end_handshape_annotations//test_auto_move//signs_mov/1480.mov" TargetMode="External"/><Relationship Id="rId13198" Type="http://schemas.openxmlformats.org/officeDocument/2006/relationships/hyperlink" Target="http://secrets.rutgers.edu:8080/data/asl-ftp/asllvd/demos/verify_start_end_handshape_annotations//test_auto_move//signs_mov_separ_signers/Naomi_1480.mov" TargetMode="External"/><Relationship Id="rId13199" Type="http://schemas.openxmlformats.org/officeDocument/2006/relationships/hyperlink" Target="http://csr.bu.edu/ftp/asl/asllvd/demos/verify_start_end_handshape_annotations//test_auto_move//signs_mov_separ_signers/Brady_1480.mov" TargetMode="External"/><Relationship Id="rId13200" Type="http://schemas.openxmlformats.org/officeDocument/2006/relationships/hyperlink" Target="http://secrets.rutgers.edu:8080/data/asl-ftp/asllvd/demos/verify_start_end_handshape_annotations//test_auto_move//signs_mov_separ_signers/Brady_1480.mov" TargetMode="External"/><Relationship Id="rId13201" Type="http://schemas.openxmlformats.org/officeDocument/2006/relationships/hyperlink" Target="http://csr.bu.edu/ftp/asl/asllvd/demos/verify_start_end_handshape_annotations//test_auto_move//signs_mov_separ_signers/Lana_1480.mov" TargetMode="External"/><Relationship Id="rId13202" Type="http://schemas.openxmlformats.org/officeDocument/2006/relationships/hyperlink" Target="http://secrets.rutgers.edu:8080/data/asl-ftp/asllvd/demos/verify_start_end_handshape_annotations//test_auto_move//signs_mov_separ_signers/Lana_1480.mov" TargetMode="External"/><Relationship Id="rId13203" Type="http://schemas.openxmlformats.org/officeDocument/2006/relationships/hyperlink" Target="http://csr.bu.edu/ftp/asl/asllvd/demos/verify_start_end_handshape_annotations//test_auto_move//signs_mov_separ_signers/Dana_1480.mov" TargetMode="External"/><Relationship Id="rId13204" Type="http://schemas.openxmlformats.org/officeDocument/2006/relationships/hyperlink" Target="http://secrets.rutgers.edu:8080/data/asl-ftp/asllvd/demos/verify_start_end_handshape_annotations//test_auto_move//signs_mov_separ_signers/Dana_1480.mov" TargetMode="External"/><Relationship Id="rId13205" Type="http://schemas.openxmlformats.org/officeDocument/2006/relationships/hyperlink" Target="http://csr.bu.edu/ftp/asl/asllvd/demos/verify_start_end_handshape_annotations//test_auto_move//signs_mov_separ_signers/Liz_15645.mov" TargetMode="External"/><Relationship Id="rId13206" Type="http://schemas.openxmlformats.org/officeDocument/2006/relationships/hyperlink" Target="http://secrets.rutgers.edu:8080/data/asl-ftp/asllvd/demos/verify_start_end_handshape_annotations//test_auto_move//signs_mov_separ_signers/Liz_15645.mov" TargetMode="External"/><Relationship Id="rId13207" Type="http://schemas.openxmlformats.org/officeDocument/2006/relationships/hyperlink" Target="http://csr.bu.edu/ftp/asl/asllvd/demos/verify_start_end_handshape_annotations//test_auto_move//signs_mov_separ_signers/Tyler_15645.mov" TargetMode="External"/><Relationship Id="rId13208" Type="http://schemas.openxmlformats.org/officeDocument/2006/relationships/hyperlink" Target="http://secrets.rutgers.edu:8080/data/asl-ftp/asllvd/demos/verify_start_end_handshape_annotations//test_auto_move//signs_mov_separ_signers/Tyler_15645.mov" TargetMode="External"/><Relationship Id="rId13209" Type="http://schemas.openxmlformats.org/officeDocument/2006/relationships/hyperlink" Target="http://csr.bu.edu/ftp/asl/asllvd/demos/verify_start_end_handshape_annotations//test_auto_move//signs_mov/15645.mov" TargetMode="External"/><Relationship Id="rId13210" Type="http://schemas.openxmlformats.org/officeDocument/2006/relationships/hyperlink" Target="http://csr.bu.edu/ftp/asl/asllvd/demos/verify_start_end_handshape_annotations//test_auto_move//signs_mov_separ_signers/Naomi_15645.mov" TargetMode="External"/><Relationship Id="rId13211" Type="http://schemas.openxmlformats.org/officeDocument/2006/relationships/hyperlink" Target="http://secrets.rutgers.edu:8080/data/asl-ftp/asllvd/demos/verify_start_end_handshape_annotations//test_auto_move//signs_mov/15645.mov" TargetMode="External"/><Relationship Id="rId13212" Type="http://schemas.openxmlformats.org/officeDocument/2006/relationships/hyperlink" Target="http://secrets.rutgers.edu:8080/data/asl-ftp/asllvd/demos/verify_start_end_handshape_annotations//test_auto_move//signs_mov_separ_signers/Naomi_15645.mov" TargetMode="External"/><Relationship Id="rId13213" Type="http://schemas.openxmlformats.org/officeDocument/2006/relationships/hyperlink" Target="http://csr.bu.edu/ftp/asl/asllvd/demos/verify_start_end_handshape_annotations//test_auto_move//signs_mov_separ_signers/Brady_15645.mov" TargetMode="External"/><Relationship Id="rId13214" Type="http://schemas.openxmlformats.org/officeDocument/2006/relationships/hyperlink" Target="http://secrets.rutgers.edu:8080/data/asl-ftp/asllvd/demos/verify_start_end_handshape_annotations//test_auto_move//signs_mov_separ_signers/Brady_15645.mov" TargetMode="External"/><Relationship Id="rId13215" Type="http://schemas.openxmlformats.org/officeDocument/2006/relationships/hyperlink" Target="http://csr.bu.edu/ftp/asl/asllvd/demos/verify_start_end_handshape_annotations//test_auto_move//signs_mov_separ_signers/Lana_15645.mov" TargetMode="External"/><Relationship Id="rId13216" Type="http://schemas.openxmlformats.org/officeDocument/2006/relationships/hyperlink" Target="http://secrets.rutgers.edu:8080/data/asl-ftp/asllvd/demos/verify_start_end_handshape_annotations//test_auto_move//signs_mov_separ_signers/Lana_15645.mov" TargetMode="External"/><Relationship Id="rId13217" Type="http://schemas.openxmlformats.org/officeDocument/2006/relationships/hyperlink" Target="http://csr.bu.edu/ftp/asl/asllvd/demos/verify_start_end_handshape_annotations//test_auto_move//signs_mov_separ_signers/Dana_15645.mov" TargetMode="External"/><Relationship Id="rId13218" Type="http://schemas.openxmlformats.org/officeDocument/2006/relationships/hyperlink" Target="http://secrets.rutgers.edu:8080/data/asl-ftp/asllvd/demos/verify_start_end_handshape_annotations//test_auto_move//signs_mov_separ_signers/Dana_15645.mov" TargetMode="External"/><Relationship Id="rId13219" Type="http://schemas.openxmlformats.org/officeDocument/2006/relationships/hyperlink" Target="http://csr.bu.edu/ftp/asl/asllvd/demos/verify_start_end_handshape_annotations//test_auto_move//signs_mov_separ_signers/Liz_1481.mov" TargetMode="External"/><Relationship Id="rId13220" Type="http://schemas.openxmlformats.org/officeDocument/2006/relationships/hyperlink" Target="http://secrets.rutgers.edu:8080/data/asl-ftp/asllvd/demos/verify_start_end_handshape_annotations//test_auto_move//signs_mov_separ_signers/Liz_1481.mov" TargetMode="External"/><Relationship Id="rId13221" Type="http://schemas.openxmlformats.org/officeDocument/2006/relationships/hyperlink" Target="http://csr.bu.edu/ftp/asl/asllvd/demos/verify_start_end_handshape_annotations//test_auto_move//signs_mov/1481.mov" TargetMode="External"/><Relationship Id="rId13222" Type="http://schemas.openxmlformats.org/officeDocument/2006/relationships/hyperlink" Target="http://csr.bu.edu/ftp/asl/asllvd/demos/verify_start_end_handshape_annotations//test_auto_move//signs_mov_separ_signers/Naomi_1481.mov" TargetMode="External"/><Relationship Id="rId13223" Type="http://schemas.openxmlformats.org/officeDocument/2006/relationships/hyperlink" Target="http://secrets.rutgers.edu:8080/data/asl-ftp/asllvd/demos/verify_start_end_handshape_annotations//test_auto_move//signs_mov/1481.mov" TargetMode="External"/><Relationship Id="rId13224" Type="http://schemas.openxmlformats.org/officeDocument/2006/relationships/hyperlink" Target="http://secrets.rutgers.edu:8080/data/asl-ftp/asllvd/demos/verify_start_end_handshape_annotations//test_auto_move//signs_mov_separ_signers/Naomi_1481.mov" TargetMode="External"/><Relationship Id="rId13225" Type="http://schemas.openxmlformats.org/officeDocument/2006/relationships/hyperlink" Target="http://csr.bu.edu/ftp/asl/asllvd/demos/verify_start_end_handshape_annotations//test_auto_move//signs_mov_separ_signers/Brady_1481.mov" TargetMode="External"/><Relationship Id="rId13226" Type="http://schemas.openxmlformats.org/officeDocument/2006/relationships/hyperlink" Target="http://secrets.rutgers.edu:8080/data/asl-ftp/asllvd/demos/verify_start_end_handshape_annotations//test_auto_move//signs_mov_separ_signers/Brady_1481.mov" TargetMode="External"/><Relationship Id="rId13227" Type="http://schemas.openxmlformats.org/officeDocument/2006/relationships/hyperlink" Target="http://csr.bu.edu/ftp/asl/asllvd/demos/verify_start_end_handshape_annotations//test_auto_move//signs_mov/1483.mov" TargetMode="External"/><Relationship Id="rId13228" Type="http://schemas.openxmlformats.org/officeDocument/2006/relationships/hyperlink" Target="http://csr.bu.edu/ftp/asl/asllvd/demos/verify_start_end_handshape_annotations//test_auto_move//signs_mov_separ_signers/Tyler_1483.mov" TargetMode="External"/><Relationship Id="rId13229" Type="http://schemas.openxmlformats.org/officeDocument/2006/relationships/hyperlink" Target="http://secrets.rutgers.edu:8080/data/asl-ftp/asllvd/demos/verify_start_end_handshape_annotations//test_auto_move//signs_mov/1483.mov" TargetMode="External"/><Relationship Id="rId13230" Type="http://schemas.openxmlformats.org/officeDocument/2006/relationships/hyperlink" Target="http://secrets.rutgers.edu:8080/data/asl-ftp/asllvd/demos/verify_start_end_handshape_annotations//test_auto_move//signs_mov_separ_signers/Tyler_1483.mov" TargetMode="External"/><Relationship Id="rId13231" Type="http://schemas.openxmlformats.org/officeDocument/2006/relationships/hyperlink" Target="http://csr.bu.edu/ftp/asl/asllvd/demos/verify_start_end_handshape_annotations//test_auto_move//signs_mov_separ_signers/Naomi_1483.mov" TargetMode="External"/><Relationship Id="rId13232" Type="http://schemas.openxmlformats.org/officeDocument/2006/relationships/hyperlink" Target="http://secrets.rutgers.edu:8080/data/asl-ftp/asllvd/demos/verify_start_end_handshape_annotations//test_auto_move//signs_mov_separ_signers/Naomi_1483.mov" TargetMode="External"/><Relationship Id="rId13233" Type="http://schemas.openxmlformats.org/officeDocument/2006/relationships/hyperlink" Target="http://csr.bu.edu/ftp/asl/asllvd/demos/verify_start_end_handshape_annotations//test_auto_move//signs_mov_separ_signers/Tyler_3507.mov" TargetMode="External"/><Relationship Id="rId13234" Type="http://schemas.openxmlformats.org/officeDocument/2006/relationships/hyperlink" Target="http://secrets.rutgers.edu:8080/data/asl-ftp/asllvd/demos/verify_start_end_handshape_annotations//test_auto_move//signs_mov_separ_signers/Tyler_3507.mov" TargetMode="External"/><Relationship Id="rId13235" Type="http://schemas.openxmlformats.org/officeDocument/2006/relationships/hyperlink" Target="http://csr.bu.edu/ftp/asl/asllvd/demos/verify_start_end_handshape_annotations//test_auto_move//signs_mov/3507_5395_merged.mov" TargetMode="External"/><Relationship Id="rId13236" Type="http://schemas.openxmlformats.org/officeDocument/2006/relationships/hyperlink" Target="http://csr.bu.edu/ftp/asl/asllvd/demos/verify_start_end_handshape_annotations//test_auto_move//signs_mov_separ_signers/Brady_3507.mov" TargetMode="External"/><Relationship Id="rId13237" Type="http://schemas.openxmlformats.org/officeDocument/2006/relationships/hyperlink" Target="http://secrets.rutgers.edu:8080/data/asl-ftp/asllvd/demos/verify_start_end_handshape_annotations//test_auto_move//signs_mov/3507_5395_merged.mov" TargetMode="External"/><Relationship Id="rId13238" Type="http://schemas.openxmlformats.org/officeDocument/2006/relationships/hyperlink" Target="http://secrets.rutgers.edu:8080/data/asl-ftp/asllvd/demos/verify_start_end_handshape_annotations//test_auto_move//signs_mov_separ_signers/Brady_3507.mov" TargetMode="External"/><Relationship Id="rId13239" Type="http://schemas.openxmlformats.org/officeDocument/2006/relationships/hyperlink" Target="http://csr.bu.edu/ftp/asl/asllvd/demos/verify_start_end_handshape_annotations//test_auto_move//signs_mov_separ_signers/Brady_5395.mov" TargetMode="External"/><Relationship Id="rId13240" Type="http://schemas.openxmlformats.org/officeDocument/2006/relationships/hyperlink" Target="http://secrets.rutgers.edu:8080/data/asl-ftp/asllvd/demos/verify_start_end_handshape_annotations//test_auto_move//signs_mov_separ_signers/Brady_5395.mov" TargetMode="External"/><Relationship Id="rId13241" Type="http://schemas.openxmlformats.org/officeDocument/2006/relationships/hyperlink" Target="http://csr.bu.edu/ftp/asl/asllvd/demos/verify_start_end_handshape_annotations//test_auto_move//signs_mov/5396.mov" TargetMode="External"/><Relationship Id="rId13242" Type="http://schemas.openxmlformats.org/officeDocument/2006/relationships/hyperlink" Target="http://csr.bu.edu/ftp/asl/asllvd/demos/verify_start_end_handshape_annotations//test_auto_move//signs_mov_separ_signers/Liz_5396.mov" TargetMode="External"/><Relationship Id="rId13243" Type="http://schemas.openxmlformats.org/officeDocument/2006/relationships/hyperlink" Target="http://secrets.rutgers.edu:8080/data/asl-ftp/asllvd/demos/verify_start_end_handshape_annotations//test_auto_move//signs_mov/5396.mov" TargetMode="External"/><Relationship Id="rId13244" Type="http://schemas.openxmlformats.org/officeDocument/2006/relationships/hyperlink" Target="http://secrets.rutgers.edu:8080/data/asl-ftp/asllvd/demos/verify_start_end_handshape_annotations//test_auto_move//signs_mov_separ_signers/Liz_5396.mov" TargetMode="External"/><Relationship Id="rId13245" Type="http://schemas.openxmlformats.org/officeDocument/2006/relationships/hyperlink" Target="http://csr.bu.edu/ftp/asl/asllvd/demos/verify_start_end_handshape_annotations//test_auto_move//signs_mov_separ_signers/Liz_15139.mov" TargetMode="External"/><Relationship Id="rId13246" Type="http://schemas.openxmlformats.org/officeDocument/2006/relationships/hyperlink" Target="http://secrets.rutgers.edu:8080/data/asl-ftp/asllvd/demos/verify_start_end_handshape_annotations//test_auto_move//signs_mov_separ_signers/Liz_15139.mov" TargetMode="External"/><Relationship Id="rId13247" Type="http://schemas.openxmlformats.org/officeDocument/2006/relationships/hyperlink" Target="http://csr.bu.edu/ftp/asl/asllvd/demos/verify_start_end_handshape_annotations//test_auto_move//signs_mov_separ_signers/Liz_16501.mov" TargetMode="External"/><Relationship Id="rId13248" Type="http://schemas.openxmlformats.org/officeDocument/2006/relationships/hyperlink" Target="http://secrets.rutgers.edu:8080/data/asl-ftp/asllvd/demos/verify_start_end_handshape_annotations//test_auto_move//signs_mov_separ_signers/Liz_16501.mov" TargetMode="External"/><Relationship Id="rId13249" Type="http://schemas.openxmlformats.org/officeDocument/2006/relationships/hyperlink" Target="http://csr.bu.edu/ftp/asl/asllvd/demos/verify_start_end_handshape_annotations//test_auto_move//signs_mov/15139_16501_merged.mov" TargetMode="External"/><Relationship Id="rId13250" Type="http://schemas.openxmlformats.org/officeDocument/2006/relationships/hyperlink" Target="http://csr.bu.edu/ftp/asl/asllvd/demos/verify_start_end_handshape_annotations//test_auto_move//signs_mov_separ_signers/Tyler_15139.mov" TargetMode="External"/><Relationship Id="rId13251" Type="http://schemas.openxmlformats.org/officeDocument/2006/relationships/hyperlink" Target="http://secrets.rutgers.edu:8080/data/asl-ftp/asllvd/demos/verify_start_end_handshape_annotations//test_auto_move//signs_mov/15139_16501_merged.mov" TargetMode="External"/><Relationship Id="rId13252" Type="http://schemas.openxmlformats.org/officeDocument/2006/relationships/hyperlink" Target="http://secrets.rutgers.edu:8080/data/asl-ftp/asllvd/demos/verify_start_end_handshape_annotations//test_auto_move//signs_mov_separ_signers/Tyler_15139.mov" TargetMode="External"/><Relationship Id="rId13253" Type="http://schemas.openxmlformats.org/officeDocument/2006/relationships/hyperlink" Target="http://csr.bu.edu/ftp/asl/asllvd/demos/verify_start_end_handshape_annotations//test_auto_move//signs_mov_separ_signers/Brady_15139.mov" TargetMode="External"/><Relationship Id="rId13254" Type="http://schemas.openxmlformats.org/officeDocument/2006/relationships/hyperlink" Target="http://secrets.rutgers.edu:8080/data/asl-ftp/asllvd/demos/verify_start_end_handshape_annotations//test_auto_move//signs_mov_separ_signers/Brady_15139.mov" TargetMode="External"/><Relationship Id="rId13255" Type="http://schemas.openxmlformats.org/officeDocument/2006/relationships/hyperlink" Target="http://csr.bu.edu/ftp/asl/asllvd/demos/verify_start_end_handshape_annotations//test_auto_move//signs_mov_separ_signers/Brady_16501.mov" TargetMode="External"/><Relationship Id="rId13256" Type="http://schemas.openxmlformats.org/officeDocument/2006/relationships/hyperlink" Target="http://secrets.rutgers.edu:8080/data/asl-ftp/asllvd/demos/verify_start_end_handshape_annotations//test_auto_move//signs_mov_separ_signers/Brady_16501.mov" TargetMode="External"/><Relationship Id="rId13257" Type="http://schemas.openxmlformats.org/officeDocument/2006/relationships/hyperlink" Target="http://csr.bu.edu/ftp/asl/asllvd/demos/verify_start_end_handshape_annotations//test_auto_move//signs_mov/16502.mov" TargetMode="External"/><Relationship Id="rId13258" Type="http://schemas.openxmlformats.org/officeDocument/2006/relationships/hyperlink" Target="http://csr.bu.edu/ftp/asl/asllvd/demos/verify_start_end_handshape_annotations//test_auto_move//signs_mov_separ_signers/Naomi_16502.mov" TargetMode="External"/><Relationship Id="rId13259" Type="http://schemas.openxmlformats.org/officeDocument/2006/relationships/hyperlink" Target="http://secrets.rutgers.edu:8080/data/asl-ftp/asllvd/demos/verify_start_end_handshape_annotations//test_auto_move//signs_mov/16502.mov" TargetMode="External"/><Relationship Id="rId13260" Type="http://schemas.openxmlformats.org/officeDocument/2006/relationships/hyperlink" Target="http://secrets.rutgers.edu:8080/data/asl-ftp/asllvd/demos/verify_start_end_handshape_annotations//test_auto_move//signs_mov_separ_signers/Naomi_16502.mov" TargetMode="External"/><Relationship Id="rId13261" Type="http://schemas.openxmlformats.org/officeDocument/2006/relationships/hyperlink" Target="http://csr.bu.edu/ftp/asl/asllvd/demos/verify_start_end_handshape_annotations//test_auto_move//signs_mov_separ_signers/Liz_1484.mov" TargetMode="External"/><Relationship Id="rId13262" Type="http://schemas.openxmlformats.org/officeDocument/2006/relationships/hyperlink" Target="http://secrets.rutgers.edu:8080/data/asl-ftp/asllvd/demos/verify_start_end_handshape_annotations//test_auto_move//signs_mov_separ_signers/Liz_1484.mov" TargetMode="External"/><Relationship Id="rId13263" Type="http://schemas.openxmlformats.org/officeDocument/2006/relationships/hyperlink" Target="http://csr.bu.edu/ftp/asl/asllvd/demos/verify_start_end_handshape_annotations//test_auto_move//signs_mov_separ_signers/Liz_3336.mov" TargetMode="External"/><Relationship Id="rId13264" Type="http://schemas.openxmlformats.org/officeDocument/2006/relationships/hyperlink" Target="http://secrets.rutgers.edu:8080/data/asl-ftp/asllvd/demos/verify_start_end_handshape_annotations//test_auto_move//signs_mov_separ_signers/Liz_3336.mov" TargetMode="External"/><Relationship Id="rId13265" Type="http://schemas.openxmlformats.org/officeDocument/2006/relationships/hyperlink" Target="http://csr.bu.edu/ftp/asl/asllvd/demos/verify_start_end_handshape_annotations//test_auto_move//signs_mov/1484_3336_merged.mov" TargetMode="External"/><Relationship Id="rId13266" Type="http://schemas.openxmlformats.org/officeDocument/2006/relationships/hyperlink" Target="http://csr.bu.edu/ftp/asl/asllvd/demos/verify_start_end_handshape_annotations//test_auto_move//signs_mov_separ_signers/Naomi_1484.mov" TargetMode="External"/><Relationship Id="rId13267" Type="http://schemas.openxmlformats.org/officeDocument/2006/relationships/hyperlink" Target="http://secrets.rutgers.edu:8080/data/asl-ftp/asllvd/demos/verify_start_end_handshape_annotations//test_auto_move//signs_mov/1484_3336_merged.mov" TargetMode="External"/><Relationship Id="rId13268" Type="http://schemas.openxmlformats.org/officeDocument/2006/relationships/hyperlink" Target="http://secrets.rutgers.edu:8080/data/asl-ftp/asllvd/demos/verify_start_end_handshape_annotations//test_auto_move//signs_mov_separ_signers/Naomi_1484.mov" TargetMode="External"/><Relationship Id="rId13269" Type="http://schemas.openxmlformats.org/officeDocument/2006/relationships/hyperlink" Target="http://csr.bu.edu/ftp/asl/asllvd/demos/verify_start_end_handshape_annotations//test_auto_move//signs_mov_separ_signers/Naomi_3336.mov" TargetMode="External"/><Relationship Id="rId13270" Type="http://schemas.openxmlformats.org/officeDocument/2006/relationships/hyperlink" Target="http://secrets.rutgers.edu:8080/data/asl-ftp/asllvd/demos/verify_start_end_handshape_annotations//test_auto_move//signs_mov_separ_signers/Naomi_3336.mov" TargetMode="External"/><Relationship Id="rId13271" Type="http://schemas.openxmlformats.org/officeDocument/2006/relationships/hyperlink" Target="http://csr.bu.edu/ftp/asl/asllvd/demos/verify_start_end_handshape_annotations//test_auto_move//signs_mov_separ_signers/Brady_1484.mov" TargetMode="External"/><Relationship Id="rId13272" Type="http://schemas.openxmlformats.org/officeDocument/2006/relationships/hyperlink" Target="http://secrets.rutgers.edu:8080/data/asl-ftp/asllvd/demos/verify_start_end_handshape_annotations//test_auto_move//signs_mov_separ_signers/Brady_1484.mov" TargetMode="External"/><Relationship Id="rId13273" Type="http://schemas.openxmlformats.org/officeDocument/2006/relationships/hyperlink" Target="http://csr.bu.edu/ftp/asl/asllvd/demos/verify_start_end_handshape_annotations//test_auto_move//signs_mov_separ_signers/Brady_3336.mov" TargetMode="External"/><Relationship Id="rId13274" Type="http://schemas.openxmlformats.org/officeDocument/2006/relationships/hyperlink" Target="http://secrets.rutgers.edu:8080/data/asl-ftp/asllvd/demos/verify_start_end_handshape_annotations//test_auto_move//signs_mov_separ_signers/Brady_3336.mov" TargetMode="External"/><Relationship Id="rId13275" Type="http://schemas.openxmlformats.org/officeDocument/2006/relationships/hyperlink" Target="http://csr.bu.edu/ftp/asl/asllvd/demos/verify_start_end_handshape_annotations//test_auto_move//signs_mov/3905.mov" TargetMode="External"/><Relationship Id="rId13276" Type="http://schemas.openxmlformats.org/officeDocument/2006/relationships/hyperlink" Target="http://csr.bu.edu/ftp/asl/asllvd/demos/verify_start_end_handshape_annotations//test_auto_move//signs_mov_separ_signers/Liz_3905.mov" TargetMode="External"/><Relationship Id="rId13277" Type="http://schemas.openxmlformats.org/officeDocument/2006/relationships/hyperlink" Target="http://secrets.rutgers.edu:8080/data/asl-ftp/asllvd/demos/verify_start_end_handshape_annotations//test_auto_move//signs_mov/3905.mov" TargetMode="External"/><Relationship Id="rId13278" Type="http://schemas.openxmlformats.org/officeDocument/2006/relationships/hyperlink" Target="http://secrets.rutgers.edu:8080/data/asl-ftp/asllvd/demos/verify_start_end_handshape_annotations//test_auto_move//signs_mov_separ_signers/Liz_3905.mov" TargetMode="External"/><Relationship Id="rId13279" Type="http://schemas.openxmlformats.org/officeDocument/2006/relationships/hyperlink" Target="http://csr.bu.edu/ftp/asl/asllvd/demos/verify_start_end_handshape_annotations//test_auto_move//signs_mov_separ_signers/Brady_3905.mov" TargetMode="External"/><Relationship Id="rId13280" Type="http://schemas.openxmlformats.org/officeDocument/2006/relationships/hyperlink" Target="http://secrets.rutgers.edu:8080/data/asl-ftp/asllvd/demos/verify_start_end_handshape_annotations//test_auto_move//signs_mov_separ_signers/Brady_3905.mov" TargetMode="External"/><Relationship Id="rId13281" Type="http://schemas.openxmlformats.org/officeDocument/2006/relationships/hyperlink" Target="http://csr.bu.edu/ftp/asl/asllvd/demos/verify_start_end_handshape_annotations//test_auto_move//signs_mov_separ_signers/Liz_5330.mov" TargetMode="External"/><Relationship Id="rId13282" Type="http://schemas.openxmlformats.org/officeDocument/2006/relationships/hyperlink" Target="http://secrets.rutgers.edu:8080/data/asl-ftp/asllvd/demos/verify_start_end_handshape_annotations//test_auto_move//signs_mov_separ_signers/Liz_5330.mov" TargetMode="External"/><Relationship Id="rId13283" Type="http://schemas.openxmlformats.org/officeDocument/2006/relationships/hyperlink" Target="http://csr.bu.edu/ftp/asl/asllvd/demos/verify_start_end_handshape_annotations//test_auto_move//signs_mov_separ_signers/Tyler_5330.mov" TargetMode="External"/><Relationship Id="rId13284" Type="http://schemas.openxmlformats.org/officeDocument/2006/relationships/hyperlink" Target="http://secrets.rutgers.edu:8080/data/asl-ftp/asllvd/demos/verify_start_end_handshape_annotations//test_auto_move//signs_mov_separ_signers/Tyler_5330.mov" TargetMode="External"/><Relationship Id="rId13285" Type="http://schemas.openxmlformats.org/officeDocument/2006/relationships/hyperlink" Target="http://csr.bu.edu/ftp/asl/asllvd/demos/verify_start_end_handshape_annotations//test_auto_move//signs_mov/5330_5617_merged.mov" TargetMode="External"/><Relationship Id="rId13286" Type="http://schemas.openxmlformats.org/officeDocument/2006/relationships/hyperlink" Target="http://csr.bu.edu/ftp/asl/asllvd/demos/verify_start_end_handshape_annotations//test_auto_move//signs_mov_separ_signers/Tyler_5617.mov" TargetMode="External"/><Relationship Id="rId13287" Type="http://schemas.openxmlformats.org/officeDocument/2006/relationships/hyperlink" Target="http://secrets.rutgers.edu:8080/data/asl-ftp/asllvd/demos/verify_start_end_handshape_annotations//test_auto_move//signs_mov/5330_5617_merged.mov" TargetMode="External"/><Relationship Id="rId13288" Type="http://schemas.openxmlformats.org/officeDocument/2006/relationships/hyperlink" Target="http://secrets.rutgers.edu:8080/data/asl-ftp/asllvd/demos/verify_start_end_handshape_annotations//test_auto_move//signs_mov_separ_signers/Tyler_5617.mov" TargetMode="External"/><Relationship Id="rId13289" Type="http://schemas.openxmlformats.org/officeDocument/2006/relationships/hyperlink" Target="http://csr.bu.edu/ftp/asl/asllvd/demos/verify_start_end_handshape_annotations//test_auto_move//signs_mov_separ_signers/Brady_5330.mov" TargetMode="External"/><Relationship Id="rId13290" Type="http://schemas.openxmlformats.org/officeDocument/2006/relationships/hyperlink" Target="http://secrets.rutgers.edu:8080/data/asl-ftp/asllvd/demos/verify_start_end_handshape_annotations//test_auto_move//signs_mov_separ_signers/Brady_5330.mov" TargetMode="External"/><Relationship Id="rId13291" Type="http://schemas.openxmlformats.org/officeDocument/2006/relationships/hyperlink" Target="http://csr.bu.edu/ftp/asl/asllvd/demos/verify_start_end_handshape_annotations//test_auto_move//signs_mov_separ_signers/Lana_5330.mov" TargetMode="External"/><Relationship Id="rId13292" Type="http://schemas.openxmlformats.org/officeDocument/2006/relationships/hyperlink" Target="http://secrets.rutgers.edu:8080/data/asl-ftp/asllvd/demos/verify_start_end_handshape_annotations//test_auto_move//signs_mov_separ_signers/Lana_5330.mov" TargetMode="External"/><Relationship Id="rId13293" Type="http://schemas.openxmlformats.org/officeDocument/2006/relationships/hyperlink" Target="http://csr.bu.edu/ftp/asl/asllvd/demos/verify_start_end_handshape_annotations//test_auto_move//signs_mov/16160.mov" TargetMode="External"/><Relationship Id="rId13294" Type="http://schemas.openxmlformats.org/officeDocument/2006/relationships/hyperlink" Target="http://csr.bu.edu/ftp/asl/asllvd/demos/verify_start_end_handshape_annotations//test_auto_move//signs_mov_separ_signers/Brady_16160.mov" TargetMode="External"/><Relationship Id="rId13295" Type="http://schemas.openxmlformats.org/officeDocument/2006/relationships/hyperlink" Target="http://secrets.rutgers.edu:8080/data/asl-ftp/asllvd/demos/verify_start_end_handshape_annotations//test_auto_move//signs_mov/16160.mov" TargetMode="External"/><Relationship Id="rId13296" Type="http://schemas.openxmlformats.org/officeDocument/2006/relationships/hyperlink" Target="http://secrets.rutgers.edu:8080/data/asl-ftp/asllvd/demos/verify_start_end_handshape_annotations//test_auto_move//signs_mov_separ_signers/Brady_16160.mov" TargetMode="External"/><Relationship Id="rId13297" Type="http://schemas.openxmlformats.org/officeDocument/2006/relationships/hyperlink" Target="http://csr.bu.edu/ftp/asl/asllvd/demos/verify_start_end_handshape_annotations//test_auto_move//signs_mov_separ_signers/Liz_16169.mov" TargetMode="External"/><Relationship Id="rId13298" Type="http://schemas.openxmlformats.org/officeDocument/2006/relationships/hyperlink" Target="http://secrets.rutgers.edu:8080/data/asl-ftp/asllvd/demos/verify_start_end_handshape_annotations//test_auto_move//signs_mov_separ_signers/Liz_16169.mov" TargetMode="External"/><Relationship Id="rId13299" Type="http://schemas.openxmlformats.org/officeDocument/2006/relationships/hyperlink" Target="http://csr.bu.edu/ftp/asl/asllvd/demos/verify_start_end_handshape_annotations//test_auto_move//signs_mov/16169_16254_merged.mov" TargetMode="External"/><Relationship Id="rId13300" Type="http://schemas.openxmlformats.org/officeDocument/2006/relationships/hyperlink" Target="http://csr.bu.edu/ftp/asl/asllvd/demos/verify_start_end_handshape_annotations//test_auto_move//signs_mov_separ_signers/Liz_16254.mov" TargetMode="External"/><Relationship Id="rId13301" Type="http://schemas.openxmlformats.org/officeDocument/2006/relationships/hyperlink" Target="http://secrets.rutgers.edu:8080/data/asl-ftp/asllvd/demos/verify_start_end_handshape_annotations//test_auto_move//signs_mov/16169_16254_merged.mov" TargetMode="External"/><Relationship Id="rId13302" Type="http://schemas.openxmlformats.org/officeDocument/2006/relationships/hyperlink" Target="http://secrets.rutgers.edu:8080/data/asl-ftp/asllvd/demos/verify_start_end_handshape_annotations//test_auto_move//signs_mov_separ_signers/Liz_16254.mov" TargetMode="External"/><Relationship Id="rId13303" Type="http://schemas.openxmlformats.org/officeDocument/2006/relationships/hyperlink" Target="http://csr.bu.edu/ftp/asl/asllvd/demos/verify_start_end_handshape_annotations//test_auto_move//signs_mov_separ_signers/Naomi_16169.mov" TargetMode="External"/><Relationship Id="rId13304" Type="http://schemas.openxmlformats.org/officeDocument/2006/relationships/hyperlink" Target="http://secrets.rutgers.edu:8080/data/asl-ftp/asllvd/demos/verify_start_end_handshape_annotations//test_auto_move//signs_mov_separ_signers/Naomi_16169.mov" TargetMode="External"/><Relationship Id="rId13305" Type="http://schemas.openxmlformats.org/officeDocument/2006/relationships/hyperlink" Target="http://csr.bu.edu/ftp/asl/asllvd/demos/verify_start_end_handshape_annotations//test_auto_move//signs_mov_separ_signers/Brady_16169.mov" TargetMode="External"/><Relationship Id="rId13306" Type="http://schemas.openxmlformats.org/officeDocument/2006/relationships/hyperlink" Target="http://secrets.rutgers.edu:8080/data/asl-ftp/asllvd/demos/verify_start_end_handshape_annotations//test_auto_move//signs_mov_separ_signers/Brady_16169.mov" TargetMode="External"/><Relationship Id="rId13307" Type="http://schemas.openxmlformats.org/officeDocument/2006/relationships/hyperlink" Target="http://csr.bu.edu/ftp/asl/asllvd/demos/verify_start_end_handshape_annotations//test_auto_move//signs_mov_separ_signers/Tyler_16255.mov" TargetMode="External"/><Relationship Id="rId13308" Type="http://schemas.openxmlformats.org/officeDocument/2006/relationships/hyperlink" Target="http://secrets.rutgers.edu:8080/data/asl-ftp/asllvd/demos/verify_start_end_handshape_annotations//test_auto_move//signs_mov_separ_signers/Tyler_16255.mov" TargetMode="External"/><Relationship Id="rId13309" Type="http://schemas.openxmlformats.org/officeDocument/2006/relationships/hyperlink" Target="http://csr.bu.edu/ftp/asl/asllvd/demos/verify_start_end_handshape_annotations//test_auto_move//signs_mov/16255_16360_merged.mov" TargetMode="External"/><Relationship Id="rId13310" Type="http://schemas.openxmlformats.org/officeDocument/2006/relationships/hyperlink" Target="http://csr.bu.edu/ftp/asl/asllvd/demos/verify_start_end_handshape_annotations//test_auto_move//signs_mov_separ_signers/Brady_16255.mov" TargetMode="External"/><Relationship Id="rId13311" Type="http://schemas.openxmlformats.org/officeDocument/2006/relationships/hyperlink" Target="http://secrets.rutgers.edu:8080/data/asl-ftp/asllvd/demos/verify_start_end_handshape_annotations//test_auto_move//signs_mov/16255_16360_merged.mov" TargetMode="External"/><Relationship Id="rId13312" Type="http://schemas.openxmlformats.org/officeDocument/2006/relationships/hyperlink" Target="http://secrets.rutgers.edu:8080/data/asl-ftp/asllvd/demos/verify_start_end_handshape_annotations//test_auto_move//signs_mov_separ_signers/Brady_16255.mov" TargetMode="External"/><Relationship Id="rId13313" Type="http://schemas.openxmlformats.org/officeDocument/2006/relationships/hyperlink" Target="http://csr.bu.edu/ftp/asl/asllvd/demos/verify_start_end_handshape_annotations//test_auto_move//signs_mov_separ_signers/Brady_16360.mov" TargetMode="External"/><Relationship Id="rId13314" Type="http://schemas.openxmlformats.org/officeDocument/2006/relationships/hyperlink" Target="http://secrets.rutgers.edu:8080/data/asl-ftp/asllvd/demos/verify_start_end_handshape_annotations//test_auto_move//signs_mov_separ_signers/Brady_16360.mov" TargetMode="External"/><Relationship Id="rId13315" Type="http://schemas.openxmlformats.org/officeDocument/2006/relationships/hyperlink" Target="http://csr.bu.edu/ftp/asl/asllvd/demos/verify_start_end_handshape_annotations//test_auto_move//signs_mov_separ_signers/Liz_1488.mov" TargetMode="External"/><Relationship Id="rId13316" Type="http://schemas.openxmlformats.org/officeDocument/2006/relationships/hyperlink" Target="http://secrets.rutgers.edu:8080/data/asl-ftp/asllvd/demos/verify_start_end_handshape_annotations//test_auto_move//signs_mov_separ_signers/Liz_1488.mov" TargetMode="External"/><Relationship Id="rId13317" Type="http://schemas.openxmlformats.org/officeDocument/2006/relationships/hyperlink" Target="http://csr.bu.edu/ftp/asl/asllvd/demos/verify_start_end_handshape_annotations//test_auto_move//signs_mov/1488.mov" TargetMode="External"/><Relationship Id="rId13318" Type="http://schemas.openxmlformats.org/officeDocument/2006/relationships/hyperlink" Target="http://csr.bu.edu/ftp/asl/asllvd/demos/verify_start_end_handshape_annotations//test_auto_move//signs_mov_separ_signers/Tyler_1488.mov" TargetMode="External"/><Relationship Id="rId13319" Type="http://schemas.openxmlformats.org/officeDocument/2006/relationships/hyperlink" Target="http://secrets.rutgers.edu:8080/data/asl-ftp/asllvd/demos/verify_start_end_handshape_annotations//test_auto_move//signs_mov/1488.mov" TargetMode="External"/><Relationship Id="rId13320" Type="http://schemas.openxmlformats.org/officeDocument/2006/relationships/hyperlink" Target="http://secrets.rutgers.edu:8080/data/asl-ftp/asllvd/demos/verify_start_end_handshape_annotations//test_auto_move//signs_mov_separ_signers/Tyler_1488.mov" TargetMode="External"/><Relationship Id="rId13321" Type="http://schemas.openxmlformats.org/officeDocument/2006/relationships/hyperlink" Target="http://csr.bu.edu/ftp/asl/asllvd/demos/verify_start_end_handshape_annotations//test_auto_move//signs_mov_separ_signers/Brady_1488.mov" TargetMode="External"/><Relationship Id="rId13322" Type="http://schemas.openxmlformats.org/officeDocument/2006/relationships/hyperlink" Target="http://secrets.rutgers.edu:8080/data/asl-ftp/asllvd/demos/verify_start_end_handshape_annotations//test_auto_move//signs_mov_separ_signers/Brady_1488.mov" TargetMode="External"/><Relationship Id="rId13323" Type="http://schemas.openxmlformats.org/officeDocument/2006/relationships/hyperlink" Target="http://csr.bu.edu/ftp/asl/asllvd/demos/verify_start_end_handshape_annotations//test_auto_move//signs_mov_separ_signers/Liz_16395.mov" TargetMode="External"/><Relationship Id="rId13324" Type="http://schemas.openxmlformats.org/officeDocument/2006/relationships/hyperlink" Target="http://secrets.rutgers.edu:8080/data/asl-ftp/asllvd/demos/verify_start_end_handshape_annotations//test_auto_move//signs_mov_separ_signers/Liz_16395.mov" TargetMode="External"/><Relationship Id="rId13325" Type="http://schemas.openxmlformats.org/officeDocument/2006/relationships/hyperlink" Target="http://csr.bu.edu/ftp/asl/asllvd/demos/verify_start_end_handshape_annotations//test_auto_move//signs_mov_separ_signers/Tyler_16395.mov" TargetMode="External"/><Relationship Id="rId13326" Type="http://schemas.openxmlformats.org/officeDocument/2006/relationships/hyperlink" Target="http://secrets.rutgers.edu:8080/data/asl-ftp/asllvd/demos/verify_start_end_handshape_annotations//test_auto_move//signs_mov_separ_signers/Tyler_16395.mov" TargetMode="External"/><Relationship Id="rId13327" Type="http://schemas.openxmlformats.org/officeDocument/2006/relationships/hyperlink" Target="http://csr.bu.edu/ftp/asl/asllvd/demos/verify_start_end_handshape_annotations//test_auto_move//signs_mov/16395_16548_merged.mov" TargetMode="External"/><Relationship Id="rId13328" Type="http://schemas.openxmlformats.org/officeDocument/2006/relationships/hyperlink" Target="http://csr.bu.edu/ftp/asl/asllvd/demos/verify_start_end_handshape_annotations//test_auto_move//signs_mov_separ_signers/Naomi_16395.mov" TargetMode="External"/><Relationship Id="rId13329" Type="http://schemas.openxmlformats.org/officeDocument/2006/relationships/hyperlink" Target="http://secrets.rutgers.edu:8080/data/asl-ftp/asllvd/demos/verify_start_end_handshape_annotations//test_auto_move//signs_mov/16395_16548_merged.mov" TargetMode="External"/><Relationship Id="rId13330" Type="http://schemas.openxmlformats.org/officeDocument/2006/relationships/hyperlink" Target="http://secrets.rutgers.edu:8080/data/asl-ftp/asllvd/demos/verify_start_end_handshape_annotations//test_auto_move//signs_mov_separ_signers/Naomi_16395.mov" TargetMode="External"/><Relationship Id="rId13331" Type="http://schemas.openxmlformats.org/officeDocument/2006/relationships/hyperlink" Target="http://csr.bu.edu/ftp/asl/asllvd/demos/verify_start_end_handshape_annotations//test_auto_move//signs_mov_separ_signers/Naomi_16548.mov" TargetMode="External"/><Relationship Id="rId13332" Type="http://schemas.openxmlformats.org/officeDocument/2006/relationships/hyperlink" Target="http://secrets.rutgers.edu:8080/data/asl-ftp/asllvd/demos/verify_start_end_handshape_annotations//test_auto_move//signs_mov_separ_signers/Naomi_16548.mov" TargetMode="External"/><Relationship Id="rId13333" Type="http://schemas.openxmlformats.org/officeDocument/2006/relationships/hyperlink" Target="http://csr.bu.edu/ftp/asl/asllvd/demos/verify_start_end_handshape_annotations//test_auto_move//signs_mov_separ_signers/Brady_16395.mov" TargetMode="External"/><Relationship Id="rId13334" Type="http://schemas.openxmlformats.org/officeDocument/2006/relationships/hyperlink" Target="http://secrets.rutgers.edu:8080/data/asl-ftp/asllvd/demos/verify_start_end_handshape_annotations//test_auto_move//signs_mov_separ_signers/Brady_16395.mov" TargetMode="External"/><Relationship Id="rId13335" Type="http://schemas.openxmlformats.org/officeDocument/2006/relationships/hyperlink" Target="http://csr.bu.edu/ftp/asl/asllvd/demos/verify_start_end_handshape_annotations//test_auto_move//signs_mov_separ_signers/Lana_16395.mov" TargetMode="External"/><Relationship Id="rId13336" Type="http://schemas.openxmlformats.org/officeDocument/2006/relationships/hyperlink" Target="http://secrets.rutgers.edu:8080/data/asl-ftp/asllvd/demos/verify_start_end_handshape_annotations//test_auto_move//signs_mov_separ_signers/Lana_16395.mov" TargetMode="External"/><Relationship Id="rId13337" Type="http://schemas.openxmlformats.org/officeDocument/2006/relationships/hyperlink" Target="http://csr.bu.edu/ftp/asl/asllvd/demos/verify_start_end_handshape_annotations//test_auto_move//signs_mov_separ_signers/Liz_16549.mov" TargetMode="External"/><Relationship Id="rId13338" Type="http://schemas.openxmlformats.org/officeDocument/2006/relationships/hyperlink" Target="http://secrets.rutgers.edu:8080/data/asl-ftp/asllvd/demos/verify_start_end_handshape_annotations//test_auto_move//signs_mov_separ_signers/Liz_16549.mov" TargetMode="External"/><Relationship Id="rId13339" Type="http://schemas.openxmlformats.org/officeDocument/2006/relationships/hyperlink" Target="http://csr.bu.edu/ftp/asl/asllvd/demos/verify_start_end_handshape_annotations//test_auto_move//signs_mov/16549.mov" TargetMode="External"/><Relationship Id="rId13340" Type="http://schemas.openxmlformats.org/officeDocument/2006/relationships/hyperlink" Target="http://csr.bu.edu/ftp/asl/asllvd/demos/verify_start_end_handshape_annotations//test_auto_move//signs_mov_separ_signers/Naomi_16549.mov" TargetMode="External"/><Relationship Id="rId13341" Type="http://schemas.openxmlformats.org/officeDocument/2006/relationships/hyperlink" Target="http://secrets.rutgers.edu:8080/data/asl-ftp/asllvd/demos/verify_start_end_handshape_annotations//test_auto_move//signs_mov/16549.mov" TargetMode="External"/><Relationship Id="rId13342" Type="http://schemas.openxmlformats.org/officeDocument/2006/relationships/hyperlink" Target="http://secrets.rutgers.edu:8080/data/asl-ftp/asllvd/demos/verify_start_end_handshape_annotations//test_auto_move//signs_mov_separ_signers/Naomi_16549.mov" TargetMode="External"/><Relationship Id="rId13343" Type="http://schemas.openxmlformats.org/officeDocument/2006/relationships/hyperlink" Target="http://csr.bu.edu/ftp/asl/asllvd/demos/verify_start_end_handshape_annotations//test_auto_move//signs_mov_separ_signers/Brady_16549.mov" TargetMode="External"/><Relationship Id="rId13344" Type="http://schemas.openxmlformats.org/officeDocument/2006/relationships/hyperlink" Target="http://secrets.rutgers.edu:8080/data/asl-ftp/asllvd/demos/verify_start_end_handshape_annotations//test_auto_move//signs_mov_separ_signers/Brady_16549.mov" TargetMode="External"/><Relationship Id="rId13345" Type="http://schemas.openxmlformats.org/officeDocument/2006/relationships/hyperlink" Target="http://csr.bu.edu/ftp/asl/asllvd/demos/verify_start_end_handshape_annotations//test_auto_move//signs_mov_separ_signers/Liz_1489.mov" TargetMode="External"/><Relationship Id="rId13346" Type="http://schemas.openxmlformats.org/officeDocument/2006/relationships/hyperlink" Target="http://secrets.rutgers.edu:8080/data/asl-ftp/asllvd/demos/verify_start_end_handshape_annotations//test_auto_move//signs_mov_separ_signers/Liz_1489.mov" TargetMode="External"/><Relationship Id="rId13347" Type="http://schemas.openxmlformats.org/officeDocument/2006/relationships/hyperlink" Target="http://csr.bu.edu/ftp/asl/asllvd/demos/verify_start_end_handshape_annotations//test_auto_move//signs_mov/1489.mov" TargetMode="External"/><Relationship Id="rId13348" Type="http://schemas.openxmlformats.org/officeDocument/2006/relationships/hyperlink" Target="http://csr.bu.edu/ftp/asl/asllvd/demos/verify_start_end_handshape_annotations//test_auto_move//signs_mov_separ_signers/Tyler_1489.mov" TargetMode="External"/><Relationship Id="rId13349" Type="http://schemas.openxmlformats.org/officeDocument/2006/relationships/hyperlink" Target="http://secrets.rutgers.edu:8080/data/asl-ftp/asllvd/demos/verify_start_end_handshape_annotations//test_auto_move//signs_mov/1489.mov" TargetMode="External"/><Relationship Id="rId13350" Type="http://schemas.openxmlformats.org/officeDocument/2006/relationships/hyperlink" Target="http://secrets.rutgers.edu:8080/data/asl-ftp/asllvd/demos/verify_start_end_handshape_annotations//test_auto_move//signs_mov_separ_signers/Tyler_1489.mov" TargetMode="External"/><Relationship Id="rId13351" Type="http://schemas.openxmlformats.org/officeDocument/2006/relationships/hyperlink" Target="http://csr.bu.edu/ftp/asl/asllvd/demos/verify_start_end_handshape_annotations//test_auto_move//signs_mov_separ_signers/Naomi_1489.mov" TargetMode="External"/><Relationship Id="rId13352" Type="http://schemas.openxmlformats.org/officeDocument/2006/relationships/hyperlink" Target="http://secrets.rutgers.edu:8080/data/asl-ftp/asllvd/demos/verify_start_end_handshape_annotations//test_auto_move//signs_mov_separ_signers/Naomi_1489.mov" TargetMode="External"/><Relationship Id="rId13353" Type="http://schemas.openxmlformats.org/officeDocument/2006/relationships/hyperlink" Target="http://csr.bu.edu/ftp/asl/asllvd/demos/verify_start_end_handshape_annotations//test_auto_move//signs_mov_separ_signers/Brady_1489.mov" TargetMode="External"/><Relationship Id="rId13354" Type="http://schemas.openxmlformats.org/officeDocument/2006/relationships/hyperlink" Target="http://secrets.rutgers.edu:8080/data/asl-ftp/asllvd/demos/verify_start_end_handshape_annotations//test_auto_move//signs_mov_separ_signers/Brady_1489.mov" TargetMode="External"/><Relationship Id="rId13355" Type="http://schemas.openxmlformats.org/officeDocument/2006/relationships/hyperlink" Target="http://csr.bu.edu/ftp/asl/asllvd/demos/verify_start_end_handshape_annotations//test_auto_move//signs_mov_separ_signers/Liz_1490.mov" TargetMode="External"/><Relationship Id="rId13356" Type="http://schemas.openxmlformats.org/officeDocument/2006/relationships/hyperlink" Target="http://secrets.rutgers.edu:8080/data/asl-ftp/asllvd/demos/verify_start_end_handshape_annotations//test_auto_move//signs_mov_separ_signers/Liz_1490.mov" TargetMode="External"/><Relationship Id="rId13357" Type="http://schemas.openxmlformats.org/officeDocument/2006/relationships/hyperlink" Target="http://csr.bu.edu/ftp/asl/asllvd/demos/verify_start_end_handshape_annotations//test_auto_move//signs_mov/1490.mov" TargetMode="External"/><Relationship Id="rId13358" Type="http://schemas.openxmlformats.org/officeDocument/2006/relationships/hyperlink" Target="http://csr.bu.edu/ftp/asl/asllvd/demos/verify_start_end_handshape_annotations//test_auto_move//signs_mov_separ_signers/Tyler_1490.mov" TargetMode="External"/><Relationship Id="rId13359" Type="http://schemas.openxmlformats.org/officeDocument/2006/relationships/hyperlink" Target="http://secrets.rutgers.edu:8080/data/asl-ftp/asllvd/demos/verify_start_end_handshape_annotations//test_auto_move//signs_mov/1490.mov" TargetMode="External"/><Relationship Id="rId13360" Type="http://schemas.openxmlformats.org/officeDocument/2006/relationships/hyperlink" Target="http://secrets.rutgers.edu:8080/data/asl-ftp/asllvd/demos/verify_start_end_handshape_annotations//test_auto_move//signs_mov_separ_signers/Tyler_1490.mov" TargetMode="External"/><Relationship Id="rId13361" Type="http://schemas.openxmlformats.org/officeDocument/2006/relationships/hyperlink" Target="http://csr.bu.edu/ftp/asl/asllvd/demos/verify_start_end_handshape_annotations//test_auto_move//signs_mov_separ_signers/Naomi_1490.mov" TargetMode="External"/><Relationship Id="rId13362" Type="http://schemas.openxmlformats.org/officeDocument/2006/relationships/hyperlink" Target="http://secrets.rutgers.edu:8080/data/asl-ftp/asllvd/demos/verify_start_end_handshape_annotations//test_auto_move//signs_mov_separ_signers/Naomi_1490.mov" TargetMode="External"/><Relationship Id="rId13363" Type="http://schemas.openxmlformats.org/officeDocument/2006/relationships/hyperlink" Target="http://csr.bu.edu/ftp/asl/asllvd/demos/verify_start_end_handshape_annotations//test_auto_move//signs_mov_separ_signers/Brady_1490.mov" TargetMode="External"/><Relationship Id="rId13364" Type="http://schemas.openxmlformats.org/officeDocument/2006/relationships/hyperlink" Target="http://secrets.rutgers.edu:8080/data/asl-ftp/asllvd/demos/verify_start_end_handshape_annotations//test_auto_move//signs_mov_separ_signers/Brady_1490.mov" TargetMode="External"/><Relationship Id="rId13365" Type="http://schemas.openxmlformats.org/officeDocument/2006/relationships/hyperlink" Target="http://csr.bu.edu/ftp/asl/asllvd/demos/verify_start_end_handshape_annotations//test_auto_move//signs_mov_separ_signers/Liz_1492.mov" TargetMode="External"/><Relationship Id="rId13366" Type="http://schemas.openxmlformats.org/officeDocument/2006/relationships/hyperlink" Target="http://secrets.rutgers.edu:8080/data/asl-ftp/asllvd/demos/verify_start_end_handshape_annotations//test_auto_move//signs_mov_separ_signers/Liz_1492.mov" TargetMode="External"/><Relationship Id="rId13367" Type="http://schemas.openxmlformats.org/officeDocument/2006/relationships/hyperlink" Target="http://csr.bu.edu/ftp/asl/asllvd/demos/verify_start_end_handshape_annotations//test_auto_move//signs_mov_separ_signers/Liz_5678.mov" TargetMode="External"/><Relationship Id="rId13368" Type="http://schemas.openxmlformats.org/officeDocument/2006/relationships/hyperlink" Target="http://secrets.rutgers.edu:8080/data/asl-ftp/asllvd/demos/verify_start_end_handshape_annotations//test_auto_move//signs_mov_separ_signers/Liz_5678.mov" TargetMode="External"/><Relationship Id="rId13369" Type="http://schemas.openxmlformats.org/officeDocument/2006/relationships/hyperlink" Target="http://csr.bu.edu/ftp/asl/asllvd/demos/verify_start_end_handshape_annotations//test_auto_move//signs_mov_separ_signers/Tyler_1492.mov" TargetMode="External"/><Relationship Id="rId13370" Type="http://schemas.openxmlformats.org/officeDocument/2006/relationships/hyperlink" Target="http://secrets.rutgers.edu:8080/data/asl-ftp/asllvd/demos/verify_start_end_handshape_annotations//test_auto_move//signs_mov_separ_signers/Tyler_1492.mov" TargetMode="External"/><Relationship Id="rId13371" Type="http://schemas.openxmlformats.org/officeDocument/2006/relationships/hyperlink" Target="http://csr.bu.edu/ftp/asl/asllvd/demos/verify_start_end_handshape_annotations//test_auto_move//signs_mov_separ_signers/Tyler_5678.mov" TargetMode="External"/><Relationship Id="rId13372" Type="http://schemas.openxmlformats.org/officeDocument/2006/relationships/hyperlink" Target="http://secrets.rutgers.edu:8080/data/asl-ftp/asllvd/demos/verify_start_end_handshape_annotations//test_auto_move//signs_mov_separ_signers/Tyler_5678.mov" TargetMode="External"/><Relationship Id="rId13373" Type="http://schemas.openxmlformats.org/officeDocument/2006/relationships/hyperlink" Target="http://csr.bu.edu/ftp/asl/asllvd/demos/verify_start_end_handshape_annotations//test_auto_move//signs_mov/1492_5678_merged.mov" TargetMode="External"/><Relationship Id="rId13374" Type="http://schemas.openxmlformats.org/officeDocument/2006/relationships/hyperlink" Target="http://csr.bu.edu/ftp/asl/asllvd/demos/verify_start_end_handshape_annotations//test_auto_move//signs_mov_separ_signers/Naomi_1492.mov" TargetMode="External"/><Relationship Id="rId13375" Type="http://schemas.openxmlformats.org/officeDocument/2006/relationships/hyperlink" Target="http://secrets.rutgers.edu:8080/data/asl-ftp/asllvd/demos/verify_start_end_handshape_annotations//test_auto_move//signs_mov/1492_5678_merged.mov" TargetMode="External"/><Relationship Id="rId13376" Type="http://schemas.openxmlformats.org/officeDocument/2006/relationships/hyperlink" Target="http://secrets.rutgers.edu:8080/data/asl-ftp/asllvd/demos/verify_start_end_handshape_annotations//test_auto_move//signs_mov_separ_signers/Naomi_1492.mov" TargetMode="External"/><Relationship Id="rId13377" Type="http://schemas.openxmlformats.org/officeDocument/2006/relationships/hyperlink" Target="http://csr.bu.edu/ftp/asl/asllvd/demos/verify_start_end_handshape_annotations//test_auto_move//signs_mov_separ_signers/Naomi_5678.mov" TargetMode="External"/><Relationship Id="rId13378" Type="http://schemas.openxmlformats.org/officeDocument/2006/relationships/hyperlink" Target="http://secrets.rutgers.edu:8080/data/asl-ftp/asllvd/demos/verify_start_end_handshape_annotations//test_auto_move//signs_mov_separ_signers/Naomi_5678.mov" TargetMode="External"/><Relationship Id="rId13379" Type="http://schemas.openxmlformats.org/officeDocument/2006/relationships/hyperlink" Target="http://csr.bu.edu/ftp/asl/asllvd/demos/verify_start_end_handshape_annotations//test_auto_move//signs_mov_separ_signers/Brady_1492.mov" TargetMode="External"/><Relationship Id="rId13380" Type="http://schemas.openxmlformats.org/officeDocument/2006/relationships/hyperlink" Target="http://secrets.rutgers.edu:8080/data/asl-ftp/asllvd/demos/verify_start_end_handshape_annotations//test_auto_move//signs_mov_separ_signers/Brady_1492.mov" TargetMode="External"/><Relationship Id="rId13381" Type="http://schemas.openxmlformats.org/officeDocument/2006/relationships/hyperlink" Target="http://csr.bu.edu/ftp/asl/asllvd/demos/verify_start_end_handshape_annotations//test_auto_move//signs_mov_separ_signers/Brady_5678.mov" TargetMode="External"/><Relationship Id="rId13382" Type="http://schemas.openxmlformats.org/officeDocument/2006/relationships/hyperlink" Target="http://secrets.rutgers.edu:8080/data/asl-ftp/asllvd/demos/verify_start_end_handshape_annotations//test_auto_move//signs_mov_separ_signers/Brady_5678.mov" TargetMode="External"/><Relationship Id="rId13383" Type="http://schemas.openxmlformats.org/officeDocument/2006/relationships/hyperlink" Target="http://csr.bu.edu/ftp/asl/asllvd/demos/verify_start_end_handshape_annotations//test_auto_move//signs_mov_separ_signers/Lana_1492.mov" TargetMode="External"/><Relationship Id="rId13384" Type="http://schemas.openxmlformats.org/officeDocument/2006/relationships/hyperlink" Target="http://secrets.rutgers.edu:8080/data/asl-ftp/asllvd/demos/verify_start_end_handshape_annotations//test_auto_move//signs_mov_separ_signers/Lana_1492.mov" TargetMode="External"/><Relationship Id="rId13385" Type="http://schemas.openxmlformats.org/officeDocument/2006/relationships/hyperlink" Target="http://csr.bu.edu/ftp/asl/asllvd/demos/verify_start_end_handshape_annotations//test_auto_move//signs_mov_separ_signers/Dana_1492.mov" TargetMode="External"/><Relationship Id="rId13386" Type="http://schemas.openxmlformats.org/officeDocument/2006/relationships/hyperlink" Target="http://secrets.rutgers.edu:8080/data/asl-ftp/asllvd/demos/verify_start_end_handshape_annotations//test_auto_move//signs_mov_separ_signers/Dana_1492.mov" TargetMode="External"/><Relationship Id="rId13387" Type="http://schemas.openxmlformats.org/officeDocument/2006/relationships/hyperlink" Target="http://csr.bu.edu/ftp/asl/asllvd/demos/verify_start_end_handshape_annotations//test_auto_move//signs_mov/1493.mov" TargetMode="External"/><Relationship Id="rId13388" Type="http://schemas.openxmlformats.org/officeDocument/2006/relationships/hyperlink" Target="http://csr.bu.edu/ftp/asl/asllvd/demos/verify_start_end_handshape_annotations//test_auto_move//signs_mov_separ_signers/Liz_1493.mov" TargetMode="External"/><Relationship Id="rId13389" Type="http://schemas.openxmlformats.org/officeDocument/2006/relationships/hyperlink" Target="http://secrets.rutgers.edu:8080/data/asl-ftp/asllvd/demos/verify_start_end_handshape_annotations//test_auto_move//signs_mov/1493.mov" TargetMode="External"/><Relationship Id="rId13390" Type="http://schemas.openxmlformats.org/officeDocument/2006/relationships/hyperlink" Target="http://secrets.rutgers.edu:8080/data/asl-ftp/asllvd/demos/verify_start_end_handshape_annotations//test_auto_move//signs_mov_separ_signers/Liz_1493.mov" TargetMode="External"/><Relationship Id="rId13391" Type="http://schemas.openxmlformats.org/officeDocument/2006/relationships/hyperlink" Target="http://csr.bu.edu/ftp/asl/asllvd/demos/verify_start_end_handshape_annotations//test_auto_move//signs_mov_separ_signers/Naomi_1493.mov" TargetMode="External"/><Relationship Id="rId13392" Type="http://schemas.openxmlformats.org/officeDocument/2006/relationships/hyperlink" Target="http://secrets.rutgers.edu:8080/data/asl-ftp/asllvd/demos/verify_start_end_handshape_annotations//test_auto_move//signs_mov_separ_signers/Naomi_1493.mov" TargetMode="External"/><Relationship Id="rId13393" Type="http://schemas.openxmlformats.org/officeDocument/2006/relationships/hyperlink" Target="http://csr.bu.edu/ftp/asl/asllvd/demos/verify_start_end_handshape_annotations//test_auto_move//signs_mov/16316.mov" TargetMode="External"/><Relationship Id="rId13394" Type="http://schemas.openxmlformats.org/officeDocument/2006/relationships/hyperlink" Target="http://csr.bu.edu/ftp/asl/asllvd/demos/verify_start_end_handshape_annotations//test_auto_move//signs_mov_separ_signers/Brady_16316.mov" TargetMode="External"/><Relationship Id="rId13395" Type="http://schemas.openxmlformats.org/officeDocument/2006/relationships/hyperlink" Target="http://secrets.rutgers.edu:8080/data/asl-ftp/asllvd/demos/verify_start_end_handshape_annotations//test_auto_move//signs_mov/16316.mov" TargetMode="External"/><Relationship Id="rId13396" Type="http://schemas.openxmlformats.org/officeDocument/2006/relationships/hyperlink" Target="http://secrets.rutgers.edu:8080/data/asl-ftp/asllvd/demos/verify_start_end_handshape_annotations//test_auto_move//signs_mov_separ_signers/Brady_16316.mov" TargetMode="External"/><Relationship Id="rId13397" Type="http://schemas.openxmlformats.org/officeDocument/2006/relationships/hyperlink" Target="http://csr.bu.edu/ftp/asl/asllvd/demos/verify_start_end_handshape_annotations//test_auto_move//signs_mov_separ_signers/Liz_1494.mov" TargetMode="External"/><Relationship Id="rId13398" Type="http://schemas.openxmlformats.org/officeDocument/2006/relationships/hyperlink" Target="http://secrets.rutgers.edu:8080/data/asl-ftp/asllvd/demos/verify_start_end_handshape_annotations//test_auto_move//signs_mov_separ_signers/Liz_1494.mov" TargetMode="External"/><Relationship Id="rId13399" Type="http://schemas.openxmlformats.org/officeDocument/2006/relationships/hyperlink" Target="http://csr.bu.edu/ftp/asl/asllvd/demos/verify_start_end_handshape_annotations//test_auto_move//signs_mov/1494.mov" TargetMode="External"/><Relationship Id="rId13400" Type="http://schemas.openxmlformats.org/officeDocument/2006/relationships/hyperlink" Target="http://csr.bu.edu/ftp/asl/asllvd/demos/verify_start_end_handshape_annotations//test_auto_move//signs_mov_separ_signers/Naomi_1494.mov" TargetMode="External"/><Relationship Id="rId13401" Type="http://schemas.openxmlformats.org/officeDocument/2006/relationships/hyperlink" Target="http://secrets.rutgers.edu:8080/data/asl-ftp/asllvd/demos/verify_start_end_handshape_annotations//test_auto_move//signs_mov/1494.mov" TargetMode="External"/><Relationship Id="rId13402" Type="http://schemas.openxmlformats.org/officeDocument/2006/relationships/hyperlink" Target="http://secrets.rutgers.edu:8080/data/asl-ftp/asllvd/demos/verify_start_end_handshape_annotations//test_auto_move//signs_mov_separ_signers/Naomi_1494.mov" TargetMode="External"/><Relationship Id="rId13403" Type="http://schemas.openxmlformats.org/officeDocument/2006/relationships/hyperlink" Target="http://csr.bu.edu/ftp/asl/asllvd/demos/verify_start_end_handshape_annotations//test_auto_move//signs_mov_separ_signers/Brady_1494.mov" TargetMode="External"/><Relationship Id="rId13404" Type="http://schemas.openxmlformats.org/officeDocument/2006/relationships/hyperlink" Target="http://secrets.rutgers.edu:8080/data/asl-ftp/asllvd/demos/verify_start_end_handshape_annotations//test_auto_move//signs_mov_separ_signers/Brady_1494.mov" TargetMode="External"/><Relationship Id="rId13405" Type="http://schemas.openxmlformats.org/officeDocument/2006/relationships/hyperlink" Target="http://csr.bu.edu/ftp/asl/asllvd/demos/verify_start_end_handshape_annotations//test_auto_move//signs_mov/1497.mov" TargetMode="External"/><Relationship Id="rId13406" Type="http://schemas.openxmlformats.org/officeDocument/2006/relationships/hyperlink" Target="http://csr.bu.edu/ftp/asl/asllvd/demos/verify_start_end_handshape_annotations//test_auto_move//signs_mov_separ_signers/Tyler_1497.mov" TargetMode="External"/><Relationship Id="rId13407" Type="http://schemas.openxmlformats.org/officeDocument/2006/relationships/hyperlink" Target="http://secrets.rutgers.edu:8080/data/asl-ftp/asllvd/demos/verify_start_end_handshape_annotations//test_auto_move//signs_mov/1497.mov" TargetMode="External"/><Relationship Id="rId13408" Type="http://schemas.openxmlformats.org/officeDocument/2006/relationships/hyperlink" Target="http://secrets.rutgers.edu:8080/data/asl-ftp/asllvd/demos/verify_start_end_handshape_annotations//test_auto_move//signs_mov_separ_signers/Tyler_1497.mov" TargetMode="External"/><Relationship Id="rId13409" Type="http://schemas.openxmlformats.org/officeDocument/2006/relationships/hyperlink" Target="http://csr.bu.edu/ftp/asl/asllvd/demos/verify_start_end_handshape_annotations//test_auto_move//signs_mov/5253.mov" TargetMode="External"/><Relationship Id="rId13410" Type="http://schemas.openxmlformats.org/officeDocument/2006/relationships/hyperlink" Target="http://csr.bu.edu/ftp/asl/asllvd/demos/verify_start_end_handshape_annotations//test_auto_move//signs_mov_separ_signers/Liz_5253.mov" TargetMode="External"/><Relationship Id="rId13411" Type="http://schemas.openxmlformats.org/officeDocument/2006/relationships/hyperlink" Target="http://secrets.rutgers.edu:8080/data/asl-ftp/asllvd/demos/verify_start_end_handshape_annotations//test_auto_move//signs_mov/5253.mov" TargetMode="External"/><Relationship Id="rId13412" Type="http://schemas.openxmlformats.org/officeDocument/2006/relationships/hyperlink" Target="http://secrets.rutgers.edu:8080/data/asl-ftp/asllvd/demos/verify_start_end_handshape_annotations//test_auto_move//signs_mov_separ_signers/Liz_5253.mov" TargetMode="External"/><Relationship Id="rId13413" Type="http://schemas.openxmlformats.org/officeDocument/2006/relationships/hyperlink" Target="http://csr.bu.edu/ftp/asl/asllvd/demos/verify_start_end_handshape_annotations//test_auto_move//signs_mov_separ_signers/Brady_5253.mov" TargetMode="External"/><Relationship Id="rId13414" Type="http://schemas.openxmlformats.org/officeDocument/2006/relationships/hyperlink" Target="http://secrets.rutgers.edu:8080/data/asl-ftp/asllvd/demos/verify_start_end_handshape_annotations//test_auto_move//signs_mov_separ_signers/Brady_5253.mov" TargetMode="External"/><Relationship Id="rId13415" Type="http://schemas.openxmlformats.org/officeDocument/2006/relationships/hyperlink" Target="http://csr.bu.edu/ftp/asl/asllvd/demos/verify_start_end_handshape_annotations//test_auto_move//signs_mov/1498.mov" TargetMode="External"/><Relationship Id="rId13416" Type="http://schemas.openxmlformats.org/officeDocument/2006/relationships/hyperlink" Target="http://csr.bu.edu/ftp/asl/asllvd/demos/verify_start_end_handshape_annotations//test_auto_move//signs_mov_separ_signers/Tyler_1498.mov" TargetMode="External"/><Relationship Id="rId13417" Type="http://schemas.openxmlformats.org/officeDocument/2006/relationships/hyperlink" Target="http://secrets.rutgers.edu:8080/data/asl-ftp/asllvd/demos/verify_start_end_handshape_annotations//test_auto_move//signs_mov/1498.mov" TargetMode="External"/><Relationship Id="rId13418" Type="http://schemas.openxmlformats.org/officeDocument/2006/relationships/hyperlink" Target="http://secrets.rutgers.edu:8080/data/asl-ftp/asllvd/demos/verify_start_end_handshape_annotations//test_auto_move//signs_mov_separ_signers/Tyler_1498.mov" TargetMode="External"/><Relationship Id="rId13419" Type="http://schemas.openxmlformats.org/officeDocument/2006/relationships/hyperlink" Target="http://csr.bu.edu/ftp/asl/asllvd/demos/verify_start_end_handshape_annotations//test_auto_move//signs_mov_separ_signers/Naomi_1498.mov" TargetMode="External"/><Relationship Id="rId13420" Type="http://schemas.openxmlformats.org/officeDocument/2006/relationships/hyperlink" Target="http://secrets.rutgers.edu:8080/data/asl-ftp/asllvd/demos/verify_start_end_handshape_annotations//test_auto_move//signs_mov_separ_signers/Naomi_1498.mov" TargetMode="External"/><Relationship Id="rId13421" Type="http://schemas.openxmlformats.org/officeDocument/2006/relationships/hyperlink" Target="http://csr.bu.edu/ftp/asl/asllvd/demos/verify_start_end_handshape_annotations//test_auto_move//signs_mov/5254.mov" TargetMode="External"/><Relationship Id="rId13422" Type="http://schemas.openxmlformats.org/officeDocument/2006/relationships/hyperlink" Target="http://csr.bu.edu/ftp/asl/asllvd/demos/verify_start_end_handshape_annotations//test_auto_move//signs_mov_separ_signers/Liz_5254.mov" TargetMode="External"/><Relationship Id="rId13423" Type="http://schemas.openxmlformats.org/officeDocument/2006/relationships/hyperlink" Target="http://secrets.rutgers.edu:8080/data/asl-ftp/asllvd/demos/verify_start_end_handshape_annotations//test_auto_move//signs_mov/5254.mov" TargetMode="External"/><Relationship Id="rId13424" Type="http://schemas.openxmlformats.org/officeDocument/2006/relationships/hyperlink" Target="http://secrets.rutgers.edu:8080/data/asl-ftp/asllvd/demos/verify_start_end_handshape_annotations//test_auto_move//signs_mov_separ_signers/Liz_5254.mov" TargetMode="External"/><Relationship Id="rId13425" Type="http://schemas.openxmlformats.org/officeDocument/2006/relationships/hyperlink" Target="http://csr.bu.edu/ftp/asl/asllvd/demos/verify_start_end_handshape_annotations//test_auto_move//signs_mov_separ_signers/Brady_5254.mov" TargetMode="External"/><Relationship Id="rId13426" Type="http://schemas.openxmlformats.org/officeDocument/2006/relationships/hyperlink" Target="http://secrets.rutgers.edu:8080/data/asl-ftp/asllvd/demos/verify_start_end_handshape_annotations//test_auto_move//signs_mov_separ_signers/Brady_5254.mov" TargetMode="External"/><Relationship Id="rId13427" Type="http://schemas.openxmlformats.org/officeDocument/2006/relationships/hyperlink" Target="http://csr.bu.edu/ftp/asl/asllvd/demos/verify_start_end_handshape_annotations//test_auto_move//signs_mov_separ_signers/Liz_1500.mov" TargetMode="External"/><Relationship Id="rId13428" Type="http://schemas.openxmlformats.org/officeDocument/2006/relationships/hyperlink" Target="http://secrets.rutgers.edu:8080/data/asl-ftp/asllvd/demos/verify_start_end_handshape_annotations//test_auto_move//signs_mov_separ_signers/Liz_1500.mov" TargetMode="External"/><Relationship Id="rId13429" Type="http://schemas.openxmlformats.org/officeDocument/2006/relationships/hyperlink" Target="http://csr.bu.edu/ftp/asl/asllvd/demos/verify_start_end_handshape_annotations//test_auto_move//signs_mov/1500.mov" TargetMode="External"/><Relationship Id="rId13430" Type="http://schemas.openxmlformats.org/officeDocument/2006/relationships/hyperlink" Target="http://csr.bu.edu/ftp/asl/asllvd/demos/verify_start_end_handshape_annotations//test_auto_move//signs_mov_separ_signers/Tyler_1500.mov" TargetMode="External"/><Relationship Id="rId13431" Type="http://schemas.openxmlformats.org/officeDocument/2006/relationships/hyperlink" Target="http://secrets.rutgers.edu:8080/data/asl-ftp/asllvd/demos/verify_start_end_handshape_annotations//test_auto_move//signs_mov/1500.mov" TargetMode="External"/><Relationship Id="rId13432" Type="http://schemas.openxmlformats.org/officeDocument/2006/relationships/hyperlink" Target="http://secrets.rutgers.edu:8080/data/asl-ftp/asllvd/demos/verify_start_end_handshape_annotations//test_auto_move//signs_mov_separ_signers/Tyler_1500.mov" TargetMode="External"/><Relationship Id="rId13433" Type="http://schemas.openxmlformats.org/officeDocument/2006/relationships/hyperlink" Target="http://csr.bu.edu/ftp/asl/asllvd/demos/verify_start_end_handshape_annotations//test_auto_move//signs_mov_separ_signers/Lana_1500.mov" TargetMode="External"/><Relationship Id="rId13434" Type="http://schemas.openxmlformats.org/officeDocument/2006/relationships/hyperlink" Target="http://secrets.rutgers.edu:8080/data/asl-ftp/asllvd/demos/verify_start_end_handshape_annotations//test_auto_move//signs_mov_separ_signers/Lana_1500.mov" TargetMode="External"/><Relationship Id="rId13435" Type="http://schemas.openxmlformats.org/officeDocument/2006/relationships/hyperlink" Target="http://csr.bu.edu/ftp/asl/asllvd/demos/verify_start_end_handshape_annotations//test_auto_move//signs_mov_separ_signers/Liz_5255.mov" TargetMode="External"/><Relationship Id="rId13436" Type="http://schemas.openxmlformats.org/officeDocument/2006/relationships/hyperlink" Target="http://secrets.rutgers.edu:8080/data/asl-ftp/asllvd/demos/verify_start_end_handshape_annotations//test_auto_move//signs_mov_separ_signers/Liz_5255.mov" TargetMode="External"/><Relationship Id="rId13437" Type="http://schemas.openxmlformats.org/officeDocument/2006/relationships/hyperlink" Target="http://csr.bu.edu/ftp/asl/asllvd/demos/verify_start_end_handshape_annotations//test_auto_move//signs_mov/5255.mov" TargetMode="External"/><Relationship Id="rId13438" Type="http://schemas.openxmlformats.org/officeDocument/2006/relationships/hyperlink" Target="http://csr.bu.edu/ftp/asl/asllvd/demos/verify_start_end_handshape_annotations//test_auto_move//signs_mov_separ_signers/Brady_5255.mov" TargetMode="External"/><Relationship Id="rId13439" Type="http://schemas.openxmlformats.org/officeDocument/2006/relationships/hyperlink" Target="http://secrets.rutgers.edu:8080/data/asl-ftp/asllvd/demos/verify_start_end_handshape_annotations//test_auto_move//signs_mov/5255.mov" TargetMode="External"/><Relationship Id="rId13440" Type="http://schemas.openxmlformats.org/officeDocument/2006/relationships/hyperlink" Target="http://secrets.rutgers.edu:8080/data/asl-ftp/asllvd/demos/verify_start_end_handshape_annotations//test_auto_move//signs_mov_separ_signers/Brady_5255.mov" TargetMode="External"/><Relationship Id="rId13441" Type="http://schemas.openxmlformats.org/officeDocument/2006/relationships/hyperlink" Target="http://csr.bu.edu/ftp/asl/asllvd/demos/verify_start_end_handshape_annotations//test_auto_move//signs_mov_separ_signers/Dana_5255.mov" TargetMode="External"/><Relationship Id="rId13442" Type="http://schemas.openxmlformats.org/officeDocument/2006/relationships/hyperlink" Target="http://secrets.rutgers.edu:8080/data/asl-ftp/asllvd/demos/verify_start_end_handshape_annotations//test_auto_move//signs_mov_separ_signers/Dana_5255.mov" TargetMode="External"/><Relationship Id="rId13443" Type="http://schemas.openxmlformats.org/officeDocument/2006/relationships/hyperlink" Target="http://csr.bu.edu/ftp/asl/asllvd/demos/verify_start_end_handshape_annotations//test_auto_move//signs_mov_separ_signers/Liz_15177.mov" TargetMode="External"/><Relationship Id="rId13444" Type="http://schemas.openxmlformats.org/officeDocument/2006/relationships/hyperlink" Target="http://secrets.rutgers.edu:8080/data/asl-ftp/asllvd/demos/verify_start_end_handshape_annotations//test_auto_move//signs_mov_separ_signers/Liz_15177.mov" TargetMode="External"/><Relationship Id="rId13445" Type="http://schemas.openxmlformats.org/officeDocument/2006/relationships/hyperlink" Target="http://csr.bu.edu/ftp/asl/asllvd/demos/verify_start_end_handshape_annotations//test_auto_move//signs_mov/15177.mov" TargetMode="External"/><Relationship Id="rId13446" Type="http://schemas.openxmlformats.org/officeDocument/2006/relationships/hyperlink" Target="http://csr.bu.edu/ftp/asl/asllvd/demos/verify_start_end_handshape_annotations//test_auto_move//signs_mov_separ_signers/Naomi_15177.mov" TargetMode="External"/><Relationship Id="rId13447" Type="http://schemas.openxmlformats.org/officeDocument/2006/relationships/hyperlink" Target="http://secrets.rutgers.edu:8080/data/asl-ftp/asllvd/demos/verify_start_end_handshape_annotations//test_auto_move//signs_mov/15177.mov" TargetMode="External"/><Relationship Id="rId13448" Type="http://schemas.openxmlformats.org/officeDocument/2006/relationships/hyperlink" Target="http://secrets.rutgers.edu:8080/data/asl-ftp/asllvd/demos/verify_start_end_handshape_annotations//test_auto_move//signs_mov_separ_signers/Naomi_15177.mov" TargetMode="External"/><Relationship Id="rId13449" Type="http://schemas.openxmlformats.org/officeDocument/2006/relationships/hyperlink" Target="http://csr.bu.edu/ftp/asl/asllvd/demos/verify_start_end_handshape_annotations//test_auto_move//signs_mov_separ_signers/Brady_15177.mov" TargetMode="External"/><Relationship Id="rId13450" Type="http://schemas.openxmlformats.org/officeDocument/2006/relationships/hyperlink" Target="http://secrets.rutgers.edu:8080/data/asl-ftp/asllvd/demos/verify_start_end_handshape_annotations//test_auto_move//signs_mov_separ_signers/Brady_15177.mov" TargetMode="External"/><Relationship Id="rId13451" Type="http://schemas.openxmlformats.org/officeDocument/2006/relationships/hyperlink" Target="http://csr.bu.edu/ftp/asl/asllvd/demos/verify_start_end_handshape_annotations//test_auto_move//signs_mov/15201.mov" TargetMode="External"/><Relationship Id="rId13452" Type="http://schemas.openxmlformats.org/officeDocument/2006/relationships/hyperlink" Target="http://csr.bu.edu/ftp/asl/asllvd/demos/verify_start_end_handshape_annotations//test_auto_move//signs_mov_separ_signers/Liz_15201.mov" TargetMode="External"/><Relationship Id="rId13453" Type="http://schemas.openxmlformats.org/officeDocument/2006/relationships/hyperlink" Target="http://secrets.rutgers.edu:8080/data/asl-ftp/asllvd/demos/verify_start_end_handshape_annotations//test_auto_move//signs_mov/15201.mov" TargetMode="External"/><Relationship Id="rId13454" Type="http://schemas.openxmlformats.org/officeDocument/2006/relationships/hyperlink" Target="http://secrets.rutgers.edu:8080/data/asl-ftp/asllvd/demos/verify_start_end_handshape_annotations//test_auto_move//signs_mov_separ_signers/Liz_15201.mov" TargetMode="External"/><Relationship Id="rId13455" Type="http://schemas.openxmlformats.org/officeDocument/2006/relationships/hyperlink" Target="http://csr.bu.edu/ftp/asl/asllvd/demos/verify_start_end_handshape_annotations//test_auto_move//signs_mov/15226.mov" TargetMode="External"/><Relationship Id="rId13456" Type="http://schemas.openxmlformats.org/officeDocument/2006/relationships/hyperlink" Target="http://csr.bu.edu/ftp/asl/asllvd/demos/verify_start_end_handshape_annotations//test_auto_move//signs_mov_separ_signers/Brady_15226.mov" TargetMode="External"/><Relationship Id="rId13457" Type="http://schemas.openxmlformats.org/officeDocument/2006/relationships/hyperlink" Target="http://secrets.rutgers.edu:8080/data/asl-ftp/asllvd/demos/verify_start_end_handshape_annotations//test_auto_move//signs_mov/15226.mov" TargetMode="External"/><Relationship Id="rId13458" Type="http://schemas.openxmlformats.org/officeDocument/2006/relationships/hyperlink" Target="http://secrets.rutgers.edu:8080/data/asl-ftp/asllvd/demos/verify_start_end_handshape_annotations//test_auto_move//signs_mov_separ_signers/Brady_15226.mov" TargetMode="External"/><Relationship Id="rId13459" Type="http://schemas.openxmlformats.org/officeDocument/2006/relationships/hyperlink" Target="http://csr.bu.edu/ftp/asl/asllvd/demos/verify_start_end_handshape_annotations//test_auto_move//signs_mov/15227.mov" TargetMode="External"/><Relationship Id="rId13460" Type="http://schemas.openxmlformats.org/officeDocument/2006/relationships/hyperlink" Target="http://csr.bu.edu/ftp/asl/asllvd/demos/verify_start_end_handshape_annotations//test_auto_move//signs_mov_separ_signers/Liz_15227.mov" TargetMode="External"/><Relationship Id="rId13461" Type="http://schemas.openxmlformats.org/officeDocument/2006/relationships/hyperlink" Target="http://secrets.rutgers.edu:8080/data/asl-ftp/asllvd/demos/verify_start_end_handshape_annotations//test_auto_move//signs_mov/15227.mov" TargetMode="External"/><Relationship Id="rId13462" Type="http://schemas.openxmlformats.org/officeDocument/2006/relationships/hyperlink" Target="http://secrets.rutgers.edu:8080/data/asl-ftp/asllvd/demos/verify_start_end_handshape_annotations//test_auto_move//signs_mov_separ_signers/Liz_15227.mov" TargetMode="External"/><Relationship Id="rId13463" Type="http://schemas.openxmlformats.org/officeDocument/2006/relationships/hyperlink" Target="http://csr.bu.edu/ftp/asl/asllvd/demos/verify_start_end_handshape_annotations//test_auto_move//signs_mov_separ_signers/Brady_15227.mov" TargetMode="External"/><Relationship Id="rId13464" Type="http://schemas.openxmlformats.org/officeDocument/2006/relationships/hyperlink" Target="http://secrets.rutgers.edu:8080/data/asl-ftp/asllvd/demos/verify_start_end_handshape_annotations//test_auto_move//signs_mov_separ_signers/Brady_15227.mov" TargetMode="External"/><Relationship Id="rId13465" Type="http://schemas.openxmlformats.org/officeDocument/2006/relationships/hyperlink" Target="http://csr.bu.edu/ftp/asl/asllvd/demos/verify_start_end_handshape_annotations//test_auto_move//signs_mov_separ_signers/Liz_15284.mov" TargetMode="External"/><Relationship Id="rId13466" Type="http://schemas.openxmlformats.org/officeDocument/2006/relationships/hyperlink" Target="http://secrets.rutgers.edu:8080/data/asl-ftp/asllvd/demos/verify_start_end_handshape_annotations//test_auto_move//signs_mov_separ_signers/Liz_15284.mov" TargetMode="External"/><Relationship Id="rId13467" Type="http://schemas.openxmlformats.org/officeDocument/2006/relationships/hyperlink" Target="http://csr.bu.edu/ftp/asl/asllvd/demos/verify_start_end_handshape_annotations//test_auto_move//signs_mov/15284.mov" TargetMode="External"/><Relationship Id="rId13468" Type="http://schemas.openxmlformats.org/officeDocument/2006/relationships/hyperlink" Target="http://csr.bu.edu/ftp/asl/asllvd/demos/verify_start_end_handshape_annotations//test_auto_move//signs_mov_separ_signers/Tyler_15284.mov" TargetMode="External"/><Relationship Id="rId13469" Type="http://schemas.openxmlformats.org/officeDocument/2006/relationships/hyperlink" Target="http://secrets.rutgers.edu:8080/data/asl-ftp/asllvd/demos/verify_start_end_handshape_annotations//test_auto_move//signs_mov/15284.mov" TargetMode="External"/><Relationship Id="rId13470" Type="http://schemas.openxmlformats.org/officeDocument/2006/relationships/hyperlink" Target="http://secrets.rutgers.edu:8080/data/asl-ftp/asllvd/demos/verify_start_end_handshape_annotations//test_auto_move//signs_mov_separ_signers/Tyler_15284.mov" TargetMode="External"/><Relationship Id="rId13471" Type="http://schemas.openxmlformats.org/officeDocument/2006/relationships/hyperlink" Target="http://csr.bu.edu/ftp/asl/asllvd/demos/verify_start_end_handshape_annotations//test_auto_move//signs_mov_separ_signers/Naomi_15284.mov" TargetMode="External"/><Relationship Id="rId13472" Type="http://schemas.openxmlformats.org/officeDocument/2006/relationships/hyperlink" Target="http://secrets.rutgers.edu:8080/data/asl-ftp/asllvd/demos/verify_start_end_handshape_annotations//test_auto_move//signs_mov_separ_signers/Naomi_15284.mov" TargetMode="External"/><Relationship Id="rId13473" Type="http://schemas.openxmlformats.org/officeDocument/2006/relationships/hyperlink" Target="http://csr.bu.edu/ftp/asl/asllvd/demos/verify_start_end_handshape_annotations//test_auto_move//signs_mov_separ_signers/Brady_15284.mov" TargetMode="External"/><Relationship Id="rId13474" Type="http://schemas.openxmlformats.org/officeDocument/2006/relationships/hyperlink" Target="http://secrets.rutgers.edu:8080/data/asl-ftp/asllvd/demos/verify_start_end_handshape_annotations//test_auto_move//signs_mov_separ_signers/Brady_15284.mov" TargetMode="External"/><Relationship Id="rId13475" Type="http://schemas.openxmlformats.org/officeDocument/2006/relationships/hyperlink" Target="http://csr.bu.edu/ftp/asl/asllvd/demos/verify_start_end_handshape_annotations//test_auto_move//signs_mov/15346.mov" TargetMode="External"/><Relationship Id="rId13476" Type="http://schemas.openxmlformats.org/officeDocument/2006/relationships/hyperlink" Target="http://csr.bu.edu/ftp/asl/asllvd/demos/verify_start_end_handshape_annotations//test_auto_move//signs_mov_separ_signers/Liz_15346.mov" TargetMode="External"/><Relationship Id="rId13477" Type="http://schemas.openxmlformats.org/officeDocument/2006/relationships/hyperlink" Target="http://secrets.rutgers.edu:8080/data/asl-ftp/asllvd/demos/verify_start_end_handshape_annotations//test_auto_move//signs_mov/15346.mov" TargetMode="External"/><Relationship Id="rId13478" Type="http://schemas.openxmlformats.org/officeDocument/2006/relationships/hyperlink" Target="http://secrets.rutgers.edu:8080/data/asl-ftp/asllvd/demos/verify_start_end_handshape_annotations//test_auto_move//signs_mov_separ_signers/Liz_15346.mov" TargetMode="External"/><Relationship Id="rId13479" Type="http://schemas.openxmlformats.org/officeDocument/2006/relationships/hyperlink" Target="http://csr.bu.edu/ftp/asl/asllvd/demos/verify_start_end_handshape_annotations//test_auto_move//signs_mov_separ_signers/Brady_15346.mov" TargetMode="External"/><Relationship Id="rId13480" Type="http://schemas.openxmlformats.org/officeDocument/2006/relationships/hyperlink" Target="http://secrets.rutgers.edu:8080/data/asl-ftp/asllvd/demos/verify_start_end_handshape_annotations//test_auto_move//signs_mov_separ_signers/Brady_15346.mov" TargetMode="External"/><Relationship Id="rId13481" Type="http://schemas.openxmlformats.org/officeDocument/2006/relationships/hyperlink" Target="http://csr.bu.edu/ftp/asl/asllvd/demos/verify_start_end_handshape_annotations//test_auto_move//signs_mov/15403.mov" TargetMode="External"/><Relationship Id="rId13482" Type="http://schemas.openxmlformats.org/officeDocument/2006/relationships/hyperlink" Target="http://csr.bu.edu/ftp/asl/asllvd/demos/verify_start_end_handshape_annotations//test_auto_move//signs_mov_separ_signers/Brady_15403.mov" TargetMode="External"/><Relationship Id="rId13483" Type="http://schemas.openxmlformats.org/officeDocument/2006/relationships/hyperlink" Target="http://secrets.rutgers.edu:8080/data/asl-ftp/asllvd/demos/verify_start_end_handshape_annotations//test_auto_move//signs_mov/15403.mov" TargetMode="External"/><Relationship Id="rId13484" Type="http://schemas.openxmlformats.org/officeDocument/2006/relationships/hyperlink" Target="http://secrets.rutgers.edu:8080/data/asl-ftp/asllvd/demos/verify_start_end_handshape_annotations//test_auto_move//signs_mov_separ_signers/Brady_15403.mov" TargetMode="External"/><Relationship Id="rId13485" Type="http://schemas.openxmlformats.org/officeDocument/2006/relationships/hyperlink" Target="http://csr.bu.edu/ftp/asl/asllvd/demos/verify_start_end_handshape_annotations//test_auto_move//signs_mov/16112.mov" TargetMode="External"/><Relationship Id="rId13486" Type="http://schemas.openxmlformats.org/officeDocument/2006/relationships/hyperlink" Target="http://csr.bu.edu/ftp/asl/asllvd/demos/verify_start_end_handshape_annotations//test_auto_move//signs_mov_separ_signers/Tyler_16112.mov" TargetMode="External"/><Relationship Id="rId13487" Type="http://schemas.openxmlformats.org/officeDocument/2006/relationships/hyperlink" Target="http://secrets.rutgers.edu:8080/data/asl-ftp/asllvd/demos/verify_start_end_handshape_annotations//test_auto_move//signs_mov/16112.mov" TargetMode="External"/><Relationship Id="rId13488" Type="http://schemas.openxmlformats.org/officeDocument/2006/relationships/hyperlink" Target="http://secrets.rutgers.edu:8080/data/asl-ftp/asllvd/demos/verify_start_end_handshape_annotations//test_auto_move//signs_mov_separ_signers/Tyler_16112.mov" TargetMode="External"/><Relationship Id="rId13489" Type="http://schemas.openxmlformats.org/officeDocument/2006/relationships/hyperlink" Target="http://csr.bu.edu/ftp/asl/asllvd/demos/verify_start_end_handshape_annotations//test_auto_move//signs_mov_separ_signers/Liz_16113.mov" TargetMode="External"/><Relationship Id="rId13490" Type="http://schemas.openxmlformats.org/officeDocument/2006/relationships/hyperlink" Target="http://secrets.rutgers.edu:8080/data/asl-ftp/asllvd/demos/verify_start_end_handshape_annotations//test_auto_move//signs_mov_separ_signers/Liz_16113.mov" TargetMode="External"/><Relationship Id="rId13491" Type="http://schemas.openxmlformats.org/officeDocument/2006/relationships/hyperlink" Target="http://csr.bu.edu/ftp/asl/asllvd/demos/verify_start_end_handshape_annotations//test_auto_move//signs_mov/16113.mov" TargetMode="External"/><Relationship Id="rId13492" Type="http://schemas.openxmlformats.org/officeDocument/2006/relationships/hyperlink" Target="http://csr.bu.edu/ftp/asl/asllvd/demos/verify_start_end_handshape_annotations//test_auto_move//signs_mov_separ_signers/Tyler_16113.mov" TargetMode="External"/><Relationship Id="rId13493" Type="http://schemas.openxmlformats.org/officeDocument/2006/relationships/hyperlink" Target="http://secrets.rutgers.edu:8080/data/asl-ftp/asllvd/demos/verify_start_end_handshape_annotations//test_auto_move//signs_mov/16113.mov" TargetMode="External"/><Relationship Id="rId13494" Type="http://schemas.openxmlformats.org/officeDocument/2006/relationships/hyperlink" Target="http://secrets.rutgers.edu:8080/data/asl-ftp/asllvd/demos/verify_start_end_handshape_annotations//test_auto_move//signs_mov_separ_signers/Tyler_16113.mov" TargetMode="External"/><Relationship Id="rId13495" Type="http://schemas.openxmlformats.org/officeDocument/2006/relationships/hyperlink" Target="http://csr.bu.edu/ftp/asl/asllvd/demos/verify_start_end_handshape_annotations//test_auto_move//signs_mov_separ_signers/Naomi_16113.mov" TargetMode="External"/><Relationship Id="rId13496" Type="http://schemas.openxmlformats.org/officeDocument/2006/relationships/hyperlink" Target="http://secrets.rutgers.edu:8080/data/asl-ftp/asllvd/demos/verify_start_end_handshape_annotations//test_auto_move//signs_mov_separ_signers/Naomi_16113.mov" TargetMode="External"/><Relationship Id="rId13497" Type="http://schemas.openxmlformats.org/officeDocument/2006/relationships/hyperlink" Target="http://csr.bu.edu/ftp/asl/asllvd/demos/verify_start_end_handshape_annotations//test_auto_move//signs_mov_separ_signers/Liz_1502.mov" TargetMode="External"/><Relationship Id="rId13498" Type="http://schemas.openxmlformats.org/officeDocument/2006/relationships/hyperlink" Target="http://secrets.rutgers.edu:8080/data/asl-ftp/asllvd/demos/verify_start_end_handshape_annotations//test_auto_move//signs_mov_separ_signers/Liz_1502.mov" TargetMode="External"/><Relationship Id="rId13499" Type="http://schemas.openxmlformats.org/officeDocument/2006/relationships/hyperlink" Target="http://csr.bu.edu/ftp/asl/asllvd/demos/verify_start_end_handshape_annotations//test_auto_move//signs_mov/1502.mov" TargetMode="External"/><Relationship Id="rId13500" Type="http://schemas.openxmlformats.org/officeDocument/2006/relationships/hyperlink" Target="http://csr.bu.edu/ftp/asl/asllvd/demos/verify_start_end_handshape_annotations//test_auto_move//signs_mov_separ_signers/Tyler_1502.mov" TargetMode="External"/><Relationship Id="rId13501" Type="http://schemas.openxmlformats.org/officeDocument/2006/relationships/hyperlink" Target="http://secrets.rutgers.edu:8080/data/asl-ftp/asllvd/demos/verify_start_end_handshape_annotations//test_auto_move//signs_mov/1502.mov" TargetMode="External"/><Relationship Id="rId13502" Type="http://schemas.openxmlformats.org/officeDocument/2006/relationships/hyperlink" Target="http://secrets.rutgers.edu:8080/data/asl-ftp/asllvd/demos/verify_start_end_handshape_annotations//test_auto_move//signs_mov_separ_signers/Tyler_1502.mov" TargetMode="External"/><Relationship Id="rId13503" Type="http://schemas.openxmlformats.org/officeDocument/2006/relationships/hyperlink" Target="http://csr.bu.edu/ftp/asl/asllvd/demos/verify_start_end_handshape_annotations//test_auto_move//signs_mov_separ_signers/Brady_1502.mov" TargetMode="External"/><Relationship Id="rId13504" Type="http://schemas.openxmlformats.org/officeDocument/2006/relationships/hyperlink" Target="http://secrets.rutgers.edu:8080/data/asl-ftp/asllvd/demos/verify_start_end_handshape_annotations//test_auto_move//signs_mov_separ_signers/Brady_1502.mov" TargetMode="External"/><Relationship Id="rId13505" Type="http://schemas.openxmlformats.org/officeDocument/2006/relationships/hyperlink" Target="http://csr.bu.edu/ftp/asl/asllvd/demos/verify_start_end_handshape_annotations//test_auto_move//signs_mov_separ_signers/Lana_1502.mov" TargetMode="External"/><Relationship Id="rId13506" Type="http://schemas.openxmlformats.org/officeDocument/2006/relationships/hyperlink" Target="http://secrets.rutgers.edu:8080/data/asl-ftp/asllvd/demos/verify_start_end_handshape_annotations//test_auto_move//signs_mov_separ_signers/Lana_1502.mov" TargetMode="External"/><Relationship Id="rId13507" Type="http://schemas.openxmlformats.org/officeDocument/2006/relationships/hyperlink" Target="http://csr.bu.edu/ftp/asl/asllvd/demos/verify_start_end_handshape_annotations//test_auto_move//signs_mov_separ_signers/Liz_1506.mov" TargetMode="External"/><Relationship Id="rId13508" Type="http://schemas.openxmlformats.org/officeDocument/2006/relationships/hyperlink" Target="http://secrets.rutgers.edu:8080/data/asl-ftp/asllvd/demos/verify_start_end_handshape_annotations//test_auto_move//signs_mov_separ_signers/Liz_1506.mov" TargetMode="External"/><Relationship Id="rId13509" Type="http://schemas.openxmlformats.org/officeDocument/2006/relationships/hyperlink" Target="http://csr.bu.edu/ftp/asl/asllvd/demos/verify_start_end_handshape_annotations//test_auto_move//signs_mov_separ_signers/Tyler_1506.mov" TargetMode="External"/><Relationship Id="rId13510" Type="http://schemas.openxmlformats.org/officeDocument/2006/relationships/hyperlink" Target="http://secrets.rutgers.edu:8080/data/asl-ftp/asllvd/demos/verify_start_end_handshape_annotations//test_auto_move//signs_mov_separ_signers/Tyler_1506.mov" TargetMode="External"/><Relationship Id="rId13511" Type="http://schemas.openxmlformats.org/officeDocument/2006/relationships/hyperlink" Target="http://csr.bu.edu/ftp/asl/asllvd/demos/verify_start_end_handshape_annotations//test_auto_move//signs_mov/1506_5076_merged.mov" TargetMode="External"/><Relationship Id="rId13512" Type="http://schemas.openxmlformats.org/officeDocument/2006/relationships/hyperlink" Target="http://csr.bu.edu/ftp/asl/asllvd/demos/verify_start_end_handshape_annotations//test_auto_move//signs_mov_separ_signers/Brady_1506.mov" TargetMode="External"/><Relationship Id="rId13513" Type="http://schemas.openxmlformats.org/officeDocument/2006/relationships/hyperlink" Target="http://secrets.rutgers.edu:8080/data/asl-ftp/asllvd/demos/verify_start_end_handshape_annotations//test_auto_move//signs_mov/1506_5076_merged.mov" TargetMode="External"/><Relationship Id="rId13514" Type="http://schemas.openxmlformats.org/officeDocument/2006/relationships/hyperlink" Target="http://secrets.rutgers.edu:8080/data/asl-ftp/asllvd/demos/verify_start_end_handshape_annotations//test_auto_move//signs_mov_separ_signers/Brady_1506.mov" TargetMode="External"/><Relationship Id="rId13515" Type="http://schemas.openxmlformats.org/officeDocument/2006/relationships/hyperlink" Target="http://csr.bu.edu/ftp/asl/asllvd/demos/verify_start_end_handshape_annotations//test_auto_move//signs_mov_separ_signers/Brady_5076.mov" TargetMode="External"/><Relationship Id="rId13516" Type="http://schemas.openxmlformats.org/officeDocument/2006/relationships/hyperlink" Target="http://secrets.rutgers.edu:8080/data/asl-ftp/asllvd/demos/verify_start_end_handshape_annotations//test_auto_move//signs_mov_separ_signers/Brady_5076.mov" TargetMode="External"/><Relationship Id="rId13517" Type="http://schemas.openxmlformats.org/officeDocument/2006/relationships/hyperlink" Target="http://csr.bu.edu/ftp/asl/asllvd/demos/verify_start_end_handshape_annotations//test_auto_move//signs_mov_separ_signers/Lana_1506.mov" TargetMode="External"/><Relationship Id="rId13518" Type="http://schemas.openxmlformats.org/officeDocument/2006/relationships/hyperlink" Target="http://secrets.rutgers.edu:8080/data/asl-ftp/asllvd/demos/verify_start_end_handshape_annotations//test_auto_move//signs_mov_separ_signers/Lana_1506.mov" TargetMode="External"/><Relationship Id="rId13519" Type="http://schemas.openxmlformats.org/officeDocument/2006/relationships/hyperlink" Target="http://csr.bu.edu/ftp/asl/asllvd/demos/verify_start_end_handshape_annotations//test_auto_move//signs_mov_separ_signers/Dana_1506.mov" TargetMode="External"/><Relationship Id="rId13520" Type="http://schemas.openxmlformats.org/officeDocument/2006/relationships/hyperlink" Target="http://secrets.rutgers.edu:8080/data/asl-ftp/asllvd/demos/verify_start_end_handshape_annotations//test_auto_move//signs_mov_separ_signers/Dana_1506.mov" TargetMode="External"/><Relationship Id="rId13521" Type="http://schemas.openxmlformats.org/officeDocument/2006/relationships/hyperlink" Target="http://csr.bu.edu/ftp/asl/asllvd/demos/verify_start_end_handshape_annotations//test_auto_move//signs_mov_separ_signers/Liz_1507.mov" TargetMode="External"/><Relationship Id="rId13522" Type="http://schemas.openxmlformats.org/officeDocument/2006/relationships/hyperlink" Target="http://secrets.rutgers.edu:8080/data/asl-ftp/asllvd/demos/verify_start_end_handshape_annotations//test_auto_move//signs_mov_separ_signers/Liz_1507.mov" TargetMode="External"/><Relationship Id="rId13523" Type="http://schemas.openxmlformats.org/officeDocument/2006/relationships/hyperlink" Target="http://csr.bu.edu/ftp/asl/asllvd/demos/verify_start_end_handshape_annotations//test_auto_move//signs_mov_separ_signers/Tyler_1507.mov" TargetMode="External"/><Relationship Id="rId13524" Type="http://schemas.openxmlformats.org/officeDocument/2006/relationships/hyperlink" Target="http://secrets.rutgers.edu:8080/data/asl-ftp/asllvd/demos/verify_start_end_handshape_annotations//test_auto_move//signs_mov_separ_signers/Tyler_1507.mov" TargetMode="External"/><Relationship Id="rId13525" Type="http://schemas.openxmlformats.org/officeDocument/2006/relationships/hyperlink" Target="http://csr.bu.edu/ftp/asl/asllvd/demos/verify_start_end_handshape_annotations//test_auto_move//signs_mov/1507.mov" TargetMode="External"/><Relationship Id="rId13526" Type="http://schemas.openxmlformats.org/officeDocument/2006/relationships/hyperlink" Target="http://csr.bu.edu/ftp/asl/asllvd/demos/verify_start_end_handshape_annotations//test_auto_move//signs_mov_separ_signers/Brady_1507.mov" TargetMode="External"/><Relationship Id="rId13527" Type="http://schemas.openxmlformats.org/officeDocument/2006/relationships/hyperlink" Target="http://secrets.rutgers.edu:8080/data/asl-ftp/asllvd/demos/verify_start_end_handshape_annotations//test_auto_move//signs_mov/1507.mov" TargetMode="External"/><Relationship Id="rId13528" Type="http://schemas.openxmlformats.org/officeDocument/2006/relationships/hyperlink" Target="http://secrets.rutgers.edu:8080/data/asl-ftp/asllvd/demos/verify_start_end_handshape_annotations//test_auto_move//signs_mov_separ_signers/Brady_1507.mov" TargetMode="External"/><Relationship Id="rId13529" Type="http://schemas.openxmlformats.org/officeDocument/2006/relationships/hyperlink" Target="http://csr.bu.edu/ftp/asl/asllvd/demos/verify_start_end_handshape_annotations//test_auto_move//signs_mov_separ_signers/Lana_1507.mov" TargetMode="External"/><Relationship Id="rId13530" Type="http://schemas.openxmlformats.org/officeDocument/2006/relationships/hyperlink" Target="http://secrets.rutgers.edu:8080/data/asl-ftp/asllvd/demos/verify_start_end_handshape_annotations//test_auto_move//signs_mov_separ_signers/Lana_1507.mov" TargetMode="External"/><Relationship Id="rId13531" Type="http://schemas.openxmlformats.org/officeDocument/2006/relationships/hyperlink" Target="http://csr.bu.edu/ftp/asl/asllvd/demos/verify_start_end_handshape_annotations//test_auto_move//signs_mov_separ_signers/Dana_1507.mov" TargetMode="External"/><Relationship Id="rId13532" Type="http://schemas.openxmlformats.org/officeDocument/2006/relationships/hyperlink" Target="http://secrets.rutgers.edu:8080/data/asl-ftp/asllvd/demos/verify_start_end_handshape_annotations//test_auto_move//signs_mov_separ_signers/Dana_1507.mov" TargetMode="External"/><Relationship Id="rId13533" Type="http://schemas.openxmlformats.org/officeDocument/2006/relationships/hyperlink" Target="http://csr.bu.edu/ftp/asl/asllvd/demos/verify_start_end_handshape_annotations//test_auto_move//signs_mov_separ_signers/Liz_1508.mov" TargetMode="External"/><Relationship Id="rId13534" Type="http://schemas.openxmlformats.org/officeDocument/2006/relationships/hyperlink" Target="http://secrets.rutgers.edu:8080/data/asl-ftp/asllvd/demos/verify_start_end_handshape_annotations//test_auto_move//signs_mov_separ_signers/Liz_1508.mov" TargetMode="External"/><Relationship Id="rId13535" Type="http://schemas.openxmlformats.org/officeDocument/2006/relationships/hyperlink" Target="http://csr.bu.edu/ftp/asl/asllvd/demos/verify_start_end_handshape_annotations//test_auto_move//signs_mov/1508.mov" TargetMode="External"/><Relationship Id="rId13536" Type="http://schemas.openxmlformats.org/officeDocument/2006/relationships/hyperlink" Target="http://csr.bu.edu/ftp/asl/asllvd/demos/verify_start_end_handshape_annotations//test_auto_move//signs_mov_separ_signers/Tyler_1508.mov" TargetMode="External"/><Relationship Id="rId13537" Type="http://schemas.openxmlformats.org/officeDocument/2006/relationships/hyperlink" Target="http://secrets.rutgers.edu:8080/data/asl-ftp/asllvd/demos/verify_start_end_handshape_annotations//test_auto_move//signs_mov/1508.mov" TargetMode="External"/><Relationship Id="rId13538" Type="http://schemas.openxmlformats.org/officeDocument/2006/relationships/hyperlink" Target="http://secrets.rutgers.edu:8080/data/asl-ftp/asllvd/demos/verify_start_end_handshape_annotations//test_auto_move//signs_mov_separ_signers/Tyler_1508.mov" TargetMode="External"/><Relationship Id="rId13539" Type="http://schemas.openxmlformats.org/officeDocument/2006/relationships/hyperlink" Target="http://csr.bu.edu/ftp/asl/asllvd/demos/verify_start_end_handshape_annotations//test_auto_move//signs_mov_separ_signers/Brady_1508.mov" TargetMode="External"/><Relationship Id="rId13540" Type="http://schemas.openxmlformats.org/officeDocument/2006/relationships/hyperlink" Target="http://secrets.rutgers.edu:8080/data/asl-ftp/asllvd/demos/verify_start_end_handshape_annotations//test_auto_move//signs_mov_separ_signers/Brady_1508.mov" TargetMode="External"/><Relationship Id="rId13541" Type="http://schemas.openxmlformats.org/officeDocument/2006/relationships/hyperlink" Target="http://csr.bu.edu/ftp/asl/asllvd/demos/verify_start_end_handshape_annotations//test_auto_move//signs_mov_separ_signers/Liz_1511.mov" TargetMode="External"/><Relationship Id="rId13542" Type="http://schemas.openxmlformats.org/officeDocument/2006/relationships/hyperlink" Target="http://secrets.rutgers.edu:8080/data/asl-ftp/asllvd/demos/verify_start_end_handshape_annotations//test_auto_move//signs_mov_separ_signers/Liz_1511.mov" TargetMode="External"/><Relationship Id="rId13543" Type="http://schemas.openxmlformats.org/officeDocument/2006/relationships/hyperlink" Target="http://csr.bu.edu/ftp/asl/asllvd/demos/verify_start_end_handshape_annotations//test_auto_move//signs_mov/1511.mov" TargetMode="External"/><Relationship Id="rId13544" Type="http://schemas.openxmlformats.org/officeDocument/2006/relationships/hyperlink" Target="http://csr.bu.edu/ftp/asl/asllvd/demos/verify_start_end_handshape_annotations//test_auto_move//signs_mov_separ_signers/Tyler_1511.mov" TargetMode="External"/><Relationship Id="rId13545" Type="http://schemas.openxmlformats.org/officeDocument/2006/relationships/hyperlink" Target="http://secrets.rutgers.edu:8080/data/asl-ftp/asllvd/demos/verify_start_end_handshape_annotations//test_auto_move//signs_mov/1511.mov" TargetMode="External"/><Relationship Id="rId13546" Type="http://schemas.openxmlformats.org/officeDocument/2006/relationships/hyperlink" Target="http://secrets.rutgers.edu:8080/data/asl-ftp/asllvd/demos/verify_start_end_handshape_annotations//test_auto_move//signs_mov_separ_signers/Tyler_1511.mov" TargetMode="External"/><Relationship Id="rId13547" Type="http://schemas.openxmlformats.org/officeDocument/2006/relationships/hyperlink" Target="http://csr.bu.edu/ftp/asl/asllvd/demos/verify_start_end_handshape_annotations//test_auto_move//signs_mov_separ_signers/Brady_1511.mov" TargetMode="External"/><Relationship Id="rId13548" Type="http://schemas.openxmlformats.org/officeDocument/2006/relationships/hyperlink" Target="http://secrets.rutgers.edu:8080/data/asl-ftp/asllvd/demos/verify_start_end_handshape_annotations//test_auto_move//signs_mov_separ_signers/Brady_1511.mov" TargetMode="External"/><Relationship Id="rId13549" Type="http://schemas.openxmlformats.org/officeDocument/2006/relationships/hyperlink" Target="http://csr.bu.edu/ftp/asl/asllvd/demos/verify_start_end_handshape_annotations//test_auto_move//signs_mov_separ_signers/Liz_1513.mov" TargetMode="External"/><Relationship Id="rId13550" Type="http://schemas.openxmlformats.org/officeDocument/2006/relationships/hyperlink" Target="http://secrets.rutgers.edu:8080/data/asl-ftp/asllvd/demos/verify_start_end_handshape_annotations//test_auto_move//signs_mov_separ_signers/Liz_1513.mov" TargetMode="External"/><Relationship Id="rId13551" Type="http://schemas.openxmlformats.org/officeDocument/2006/relationships/hyperlink" Target="http://csr.bu.edu/ftp/asl/asllvd/demos/verify_start_end_handshape_annotations//test_auto_move//signs_mov_separ_signers/Liz_3380.mov" TargetMode="External"/><Relationship Id="rId13552" Type="http://schemas.openxmlformats.org/officeDocument/2006/relationships/hyperlink" Target="http://secrets.rutgers.edu:8080/data/asl-ftp/asllvd/demos/verify_start_end_handshape_annotations//test_auto_move//signs_mov_separ_signers/Liz_3380.mov" TargetMode="External"/><Relationship Id="rId13553" Type="http://schemas.openxmlformats.org/officeDocument/2006/relationships/hyperlink" Target="http://csr.bu.edu/ftp/asl/asllvd/demos/verify_start_end_handshape_annotations//test_auto_move//signs_mov/1513_3380_merged.mov" TargetMode="External"/><Relationship Id="rId13554" Type="http://schemas.openxmlformats.org/officeDocument/2006/relationships/hyperlink" Target="http://csr.bu.edu/ftp/asl/asllvd/demos/verify_start_end_handshape_annotations//test_auto_move//signs_mov_separ_signers/Tyler_1513.mov" TargetMode="External"/><Relationship Id="rId13555" Type="http://schemas.openxmlformats.org/officeDocument/2006/relationships/hyperlink" Target="http://secrets.rutgers.edu:8080/data/asl-ftp/asllvd/demos/verify_start_end_handshape_annotations//test_auto_move//signs_mov/1513_3380_merged.mov" TargetMode="External"/><Relationship Id="rId13556" Type="http://schemas.openxmlformats.org/officeDocument/2006/relationships/hyperlink" Target="http://secrets.rutgers.edu:8080/data/asl-ftp/asllvd/demos/verify_start_end_handshape_annotations//test_auto_move//signs_mov_separ_signers/Tyler_1513.mov" TargetMode="External"/><Relationship Id="rId13557" Type="http://schemas.openxmlformats.org/officeDocument/2006/relationships/hyperlink" Target="http://csr.bu.edu/ftp/asl/asllvd/demos/verify_start_end_handshape_annotations//test_auto_move//signs_mov_separ_signers/Brady_1513.mov" TargetMode="External"/><Relationship Id="rId13558" Type="http://schemas.openxmlformats.org/officeDocument/2006/relationships/hyperlink" Target="http://secrets.rutgers.edu:8080/data/asl-ftp/asllvd/demos/verify_start_end_handshape_annotations//test_auto_move//signs_mov_separ_signers/Brady_1513.mov" TargetMode="External"/><Relationship Id="rId13559" Type="http://schemas.openxmlformats.org/officeDocument/2006/relationships/hyperlink" Target="http://csr.bu.edu/ftp/asl/asllvd/demos/verify_start_end_handshape_annotations//test_auto_move//signs_mov_separ_signers/Lana_1513.mov" TargetMode="External"/><Relationship Id="rId13560" Type="http://schemas.openxmlformats.org/officeDocument/2006/relationships/hyperlink" Target="http://secrets.rutgers.edu:8080/data/asl-ftp/asllvd/demos/verify_start_end_handshape_annotations//test_auto_move//signs_mov_separ_signers/Lana_1513.mov" TargetMode="External"/><Relationship Id="rId13561" Type="http://schemas.openxmlformats.org/officeDocument/2006/relationships/hyperlink" Target="http://csr.bu.edu/ftp/asl/asllvd/demos/verify_start_end_handshape_annotations//test_auto_move//signs_mov_separ_signers/Dana_1513.mov" TargetMode="External"/><Relationship Id="rId13562" Type="http://schemas.openxmlformats.org/officeDocument/2006/relationships/hyperlink" Target="http://secrets.rutgers.edu:8080/data/asl-ftp/asllvd/demos/verify_start_end_handshape_annotations//test_auto_move//signs_mov_separ_signers/Dana_1513.mov" TargetMode="External"/><Relationship Id="rId13563" Type="http://schemas.openxmlformats.org/officeDocument/2006/relationships/hyperlink" Target="http://csr.bu.edu/ftp/asl/asllvd/demos/verify_start_end_handshape_annotations//test_auto_move//signs_mov_separ_signers/Liz_1514.mov" TargetMode="External"/><Relationship Id="rId13564" Type="http://schemas.openxmlformats.org/officeDocument/2006/relationships/hyperlink" Target="http://secrets.rutgers.edu:8080/data/asl-ftp/asllvd/demos/verify_start_end_handshape_annotations//test_auto_move//signs_mov_separ_signers/Liz_1514.mov" TargetMode="External"/><Relationship Id="rId13565" Type="http://schemas.openxmlformats.org/officeDocument/2006/relationships/hyperlink" Target="http://csr.bu.edu/ftp/asl/asllvd/demos/verify_start_end_handshape_annotations//test_auto_move//signs_mov_separ_signers/Tyler_1514.mov" TargetMode="External"/><Relationship Id="rId13566" Type="http://schemas.openxmlformats.org/officeDocument/2006/relationships/hyperlink" Target="http://secrets.rutgers.edu:8080/data/asl-ftp/asllvd/demos/verify_start_end_handshape_annotations//test_auto_move//signs_mov_separ_signers/Tyler_1514.mov" TargetMode="External"/><Relationship Id="rId13567" Type="http://schemas.openxmlformats.org/officeDocument/2006/relationships/hyperlink" Target="http://csr.bu.edu/ftp/asl/asllvd/demos/verify_start_end_handshape_annotations//test_auto_move//signs_mov/1514.mov" TargetMode="External"/><Relationship Id="rId13568" Type="http://schemas.openxmlformats.org/officeDocument/2006/relationships/hyperlink" Target="http://csr.bu.edu/ftp/asl/asllvd/demos/verify_start_end_handshape_annotations//test_auto_move//signs_mov_separ_signers/Brady_1514.mov" TargetMode="External"/><Relationship Id="rId13569" Type="http://schemas.openxmlformats.org/officeDocument/2006/relationships/hyperlink" Target="http://secrets.rutgers.edu:8080/data/asl-ftp/asllvd/demos/verify_start_end_handshape_annotations//test_auto_move//signs_mov/1514.mov" TargetMode="External"/><Relationship Id="rId13570" Type="http://schemas.openxmlformats.org/officeDocument/2006/relationships/hyperlink" Target="http://secrets.rutgers.edu:8080/data/asl-ftp/asllvd/demos/verify_start_end_handshape_annotations//test_auto_move//signs_mov_separ_signers/Brady_1514.mov" TargetMode="External"/><Relationship Id="rId13571" Type="http://schemas.openxmlformats.org/officeDocument/2006/relationships/hyperlink" Target="http://csr.bu.edu/ftp/asl/asllvd/demos/verify_start_end_handshape_annotations//test_auto_move//signs_mov_separ_signers/Lana_1514.mov" TargetMode="External"/><Relationship Id="rId13572" Type="http://schemas.openxmlformats.org/officeDocument/2006/relationships/hyperlink" Target="http://secrets.rutgers.edu:8080/data/asl-ftp/asllvd/demos/verify_start_end_handshape_annotations//test_auto_move//signs_mov_separ_signers/Lana_1514.mov" TargetMode="External"/><Relationship Id="rId13573" Type="http://schemas.openxmlformats.org/officeDocument/2006/relationships/hyperlink" Target="http://csr.bu.edu/ftp/asl/asllvd/demos/verify_start_end_handshape_annotations//test_auto_move//signs_mov_separ_signers/Dana_1514.mov" TargetMode="External"/><Relationship Id="rId13574" Type="http://schemas.openxmlformats.org/officeDocument/2006/relationships/hyperlink" Target="http://secrets.rutgers.edu:8080/data/asl-ftp/asllvd/demos/verify_start_end_handshape_annotations//test_auto_move//signs_mov_separ_signers/Dana_1514.mov" TargetMode="External"/><Relationship Id="rId13575" Type="http://schemas.openxmlformats.org/officeDocument/2006/relationships/hyperlink" Target="http://csr.bu.edu/ftp/asl/asllvd/demos/verify_start_end_handshape_annotations//test_auto_move//signs_mov/3306.mov" TargetMode="External"/><Relationship Id="rId13576" Type="http://schemas.openxmlformats.org/officeDocument/2006/relationships/hyperlink" Target="http://csr.bu.edu/ftp/asl/asllvd/demos/verify_start_end_handshape_annotations//test_auto_move//signs_mov_separ_signers/Tyler_3306.mov" TargetMode="External"/><Relationship Id="rId13577" Type="http://schemas.openxmlformats.org/officeDocument/2006/relationships/hyperlink" Target="http://secrets.rutgers.edu:8080/data/asl-ftp/asllvd/demos/verify_start_end_handshape_annotations//test_auto_move//signs_mov/3306.mov" TargetMode="External"/><Relationship Id="rId13578" Type="http://schemas.openxmlformats.org/officeDocument/2006/relationships/hyperlink" Target="http://secrets.rutgers.edu:8080/data/asl-ftp/asllvd/demos/verify_start_end_handshape_annotations//test_auto_move//signs_mov_separ_signers/Tyler_3306.mov" TargetMode="External"/><Relationship Id="rId13579" Type="http://schemas.openxmlformats.org/officeDocument/2006/relationships/hyperlink" Target="http://csr.bu.edu/ftp/asl/asllvd/demos/verify_start_end_handshape_annotations//test_auto_move//signs_mov_separ_signers/Liz_1515.mov" TargetMode="External"/><Relationship Id="rId13580" Type="http://schemas.openxmlformats.org/officeDocument/2006/relationships/hyperlink" Target="http://secrets.rutgers.edu:8080/data/asl-ftp/asllvd/demos/verify_start_end_handshape_annotations//test_auto_move//signs_mov_separ_signers/Liz_1515.mov" TargetMode="External"/><Relationship Id="rId13581" Type="http://schemas.openxmlformats.org/officeDocument/2006/relationships/hyperlink" Target="http://csr.bu.edu/ftp/asl/asllvd/demos/verify_start_end_handshape_annotations//test_auto_move//signs_mov_separ_signers/Liz_5055.mov" TargetMode="External"/><Relationship Id="rId13582" Type="http://schemas.openxmlformats.org/officeDocument/2006/relationships/hyperlink" Target="http://secrets.rutgers.edu:8080/data/asl-ftp/asllvd/demos/verify_start_end_handshape_annotations//test_auto_move//signs_mov_separ_signers/Liz_5055.mov" TargetMode="External"/><Relationship Id="rId13583" Type="http://schemas.openxmlformats.org/officeDocument/2006/relationships/hyperlink" Target="http://csr.bu.edu/ftp/asl/asllvd/demos/verify_start_end_handshape_annotations//test_auto_move//signs_mov/1515_5055_merged.mov" TargetMode="External"/><Relationship Id="rId13584" Type="http://schemas.openxmlformats.org/officeDocument/2006/relationships/hyperlink" Target="http://csr.bu.edu/ftp/asl/asllvd/demos/verify_start_end_handshape_annotations//test_auto_move//signs_mov_separ_signers/Tyler_1515.mov" TargetMode="External"/><Relationship Id="rId13585" Type="http://schemas.openxmlformats.org/officeDocument/2006/relationships/hyperlink" Target="http://secrets.rutgers.edu:8080/data/asl-ftp/asllvd/demos/verify_start_end_handshape_annotations//test_auto_move//signs_mov/1515_5055_merged.mov" TargetMode="External"/><Relationship Id="rId13586" Type="http://schemas.openxmlformats.org/officeDocument/2006/relationships/hyperlink" Target="http://secrets.rutgers.edu:8080/data/asl-ftp/asllvd/demos/verify_start_end_handshape_annotations//test_auto_move//signs_mov_separ_signers/Tyler_1515.mov" TargetMode="External"/><Relationship Id="rId13587" Type="http://schemas.openxmlformats.org/officeDocument/2006/relationships/hyperlink" Target="http://csr.bu.edu/ftp/asl/asllvd/demos/verify_start_end_handshape_annotations//test_auto_move//signs_mov_separ_signers/Brady_1515.mov" TargetMode="External"/><Relationship Id="rId13588" Type="http://schemas.openxmlformats.org/officeDocument/2006/relationships/hyperlink" Target="http://secrets.rutgers.edu:8080/data/asl-ftp/asllvd/demos/verify_start_end_handshape_annotations//test_auto_move//signs_mov_separ_signers/Brady_1515.mov" TargetMode="External"/><Relationship Id="rId13589" Type="http://schemas.openxmlformats.org/officeDocument/2006/relationships/hyperlink" Target="http://csr.bu.edu/ftp/asl/asllvd/demos/verify_start_end_handshape_annotations//test_auto_move//signs_mov_separ_signers/Brady_5055.mov" TargetMode="External"/><Relationship Id="rId13590" Type="http://schemas.openxmlformats.org/officeDocument/2006/relationships/hyperlink" Target="http://secrets.rutgers.edu:8080/data/asl-ftp/asllvd/demos/verify_start_end_handshape_annotations//test_auto_move//signs_mov_separ_signers/Brady_5055.mov" TargetMode="External"/><Relationship Id="rId13591" Type="http://schemas.openxmlformats.org/officeDocument/2006/relationships/hyperlink" Target="http://csr.bu.edu/ftp/asl/asllvd/demos/verify_start_end_handshape_annotations//test_auto_move//signs_mov/5257.mov" TargetMode="External"/><Relationship Id="rId13592" Type="http://schemas.openxmlformats.org/officeDocument/2006/relationships/hyperlink" Target="http://csr.bu.edu/ftp/asl/asllvd/demos/verify_start_end_handshape_annotations//test_auto_move//signs_mov_separ_signers/Tyler_5257.mov" TargetMode="External"/><Relationship Id="rId13593" Type="http://schemas.openxmlformats.org/officeDocument/2006/relationships/hyperlink" Target="http://secrets.rutgers.edu:8080/data/asl-ftp/asllvd/demos/verify_start_end_handshape_annotations//test_auto_move//signs_mov/5257.mov" TargetMode="External"/><Relationship Id="rId13594" Type="http://schemas.openxmlformats.org/officeDocument/2006/relationships/hyperlink" Target="http://secrets.rutgers.edu:8080/data/asl-ftp/asllvd/demos/verify_start_end_handshape_annotations//test_auto_move//signs_mov_separ_signers/Tyler_5257.mov" TargetMode="External"/><Relationship Id="rId13595" Type="http://schemas.openxmlformats.org/officeDocument/2006/relationships/hyperlink" Target="http://csr.bu.edu/ftp/asl/asllvd/demos/verify_start_end_handshape_annotations//test_auto_move//signs_mov_separ_signers/Liz_15700.mov" TargetMode="External"/><Relationship Id="rId13596" Type="http://schemas.openxmlformats.org/officeDocument/2006/relationships/hyperlink" Target="http://secrets.rutgers.edu:8080/data/asl-ftp/asllvd/demos/verify_start_end_handshape_annotations//test_auto_move//signs_mov_separ_signers/Liz_15700.mov" TargetMode="External"/><Relationship Id="rId13597" Type="http://schemas.openxmlformats.org/officeDocument/2006/relationships/hyperlink" Target="http://csr.bu.edu/ftp/asl/asllvd/demos/verify_start_end_handshape_annotations//test_auto_move//signs_mov/15700.mov" TargetMode="External"/><Relationship Id="rId13598" Type="http://schemas.openxmlformats.org/officeDocument/2006/relationships/hyperlink" Target="http://csr.bu.edu/ftp/asl/asllvd/demos/verify_start_end_handshape_annotations//test_auto_move//signs_mov_separ_signers/Naomi_15700.mov" TargetMode="External"/><Relationship Id="rId13599" Type="http://schemas.openxmlformats.org/officeDocument/2006/relationships/hyperlink" Target="http://secrets.rutgers.edu:8080/data/asl-ftp/asllvd/demos/verify_start_end_handshape_annotations//test_auto_move//signs_mov/15700.mov" TargetMode="External"/><Relationship Id="rId13600" Type="http://schemas.openxmlformats.org/officeDocument/2006/relationships/hyperlink" Target="http://secrets.rutgers.edu:8080/data/asl-ftp/asllvd/demos/verify_start_end_handshape_annotations//test_auto_move//signs_mov_separ_signers/Naomi_15700.mov" TargetMode="External"/><Relationship Id="rId13601" Type="http://schemas.openxmlformats.org/officeDocument/2006/relationships/hyperlink" Target="http://csr.bu.edu/ftp/asl/asllvd/demos/verify_start_end_handshape_annotations//test_auto_move//signs_mov_separ_signers/Brady_15700.mov" TargetMode="External"/><Relationship Id="rId13602" Type="http://schemas.openxmlformats.org/officeDocument/2006/relationships/hyperlink" Target="http://secrets.rutgers.edu:8080/data/asl-ftp/asllvd/demos/verify_start_end_handshape_annotations//test_auto_move//signs_mov_separ_signers/Brady_15700.mov" TargetMode="External"/><Relationship Id="rId13603" Type="http://schemas.openxmlformats.org/officeDocument/2006/relationships/hyperlink" Target="http://csr.bu.edu/ftp/asl/asllvd/demos/verify_start_end_handshape_annotations//test_auto_move//signs_mov_separ_signers/Liz_15748.mov" TargetMode="External"/><Relationship Id="rId13604" Type="http://schemas.openxmlformats.org/officeDocument/2006/relationships/hyperlink" Target="http://secrets.rutgers.edu:8080/data/asl-ftp/asllvd/demos/verify_start_end_handshape_annotations//test_auto_move//signs_mov_separ_signers/Liz_15748.mov" TargetMode="External"/><Relationship Id="rId13605" Type="http://schemas.openxmlformats.org/officeDocument/2006/relationships/hyperlink" Target="http://csr.bu.edu/ftp/asl/asllvd/demos/verify_start_end_handshape_annotations//test_auto_move//signs_mov/15748.mov" TargetMode="External"/><Relationship Id="rId13606" Type="http://schemas.openxmlformats.org/officeDocument/2006/relationships/hyperlink" Target="http://csr.bu.edu/ftp/asl/asllvd/demos/verify_start_end_handshape_annotations//test_auto_move//signs_mov_separ_signers/Naomi_15748.mov" TargetMode="External"/><Relationship Id="rId13607" Type="http://schemas.openxmlformats.org/officeDocument/2006/relationships/hyperlink" Target="http://secrets.rutgers.edu:8080/data/asl-ftp/asllvd/demos/verify_start_end_handshape_annotations//test_auto_move//signs_mov/15748.mov" TargetMode="External"/><Relationship Id="rId13608" Type="http://schemas.openxmlformats.org/officeDocument/2006/relationships/hyperlink" Target="http://secrets.rutgers.edu:8080/data/asl-ftp/asllvd/demos/verify_start_end_handshape_annotations//test_auto_move//signs_mov_separ_signers/Naomi_15748.mov" TargetMode="External"/><Relationship Id="rId13609" Type="http://schemas.openxmlformats.org/officeDocument/2006/relationships/hyperlink" Target="http://csr.bu.edu/ftp/asl/asllvd/demos/verify_start_end_handshape_annotations//test_auto_move//signs_mov_separ_signers/Brady_15748.mov" TargetMode="External"/><Relationship Id="rId13610" Type="http://schemas.openxmlformats.org/officeDocument/2006/relationships/hyperlink" Target="http://secrets.rutgers.edu:8080/data/asl-ftp/asllvd/demos/verify_start_end_handshape_annotations//test_auto_move//signs_mov_separ_signers/Brady_15748.mov" TargetMode="External"/><Relationship Id="rId13611" Type="http://schemas.openxmlformats.org/officeDocument/2006/relationships/hyperlink" Target="http://csr.bu.edu/ftp/asl/asllvd/demos/verify_start_end_handshape_annotations//test_auto_move//signs_mov/15766.mov" TargetMode="External"/><Relationship Id="rId13612" Type="http://schemas.openxmlformats.org/officeDocument/2006/relationships/hyperlink" Target="http://csr.bu.edu/ftp/asl/asllvd/demos/verify_start_end_handshape_annotations//test_auto_move//signs_mov_separ_signers/Liz_15766.mov" TargetMode="External"/><Relationship Id="rId13613" Type="http://schemas.openxmlformats.org/officeDocument/2006/relationships/hyperlink" Target="http://secrets.rutgers.edu:8080/data/asl-ftp/asllvd/demos/verify_start_end_handshape_annotations//test_auto_move//signs_mov/15766.mov" TargetMode="External"/><Relationship Id="rId13614" Type="http://schemas.openxmlformats.org/officeDocument/2006/relationships/hyperlink" Target="http://secrets.rutgers.edu:8080/data/asl-ftp/asllvd/demos/verify_start_end_handshape_annotations//test_auto_move//signs_mov_separ_signers/Liz_15766.mov" TargetMode="External"/><Relationship Id="rId13615" Type="http://schemas.openxmlformats.org/officeDocument/2006/relationships/hyperlink" Target="http://csr.bu.edu/ftp/asl/asllvd/demos/verify_start_end_handshape_annotations//test_auto_move//signs_mov_separ_signers/Brady_15766.mov" TargetMode="External"/><Relationship Id="rId13616" Type="http://schemas.openxmlformats.org/officeDocument/2006/relationships/hyperlink" Target="http://secrets.rutgers.edu:8080/data/asl-ftp/asllvd/demos/verify_start_end_handshape_annotations//test_auto_move//signs_mov_separ_signers/Brady_15766.mov" TargetMode="External"/><Relationship Id="rId13617" Type="http://schemas.openxmlformats.org/officeDocument/2006/relationships/hyperlink" Target="http://csr.bu.edu/ftp/asl/asllvd/demos/verify_start_end_handshape_annotations//test_auto_move//signs_mov/15791.mov" TargetMode="External"/><Relationship Id="rId13618" Type="http://schemas.openxmlformats.org/officeDocument/2006/relationships/hyperlink" Target="http://csr.bu.edu/ftp/asl/asllvd/demos/verify_start_end_handshape_annotations//test_auto_move//signs_mov_separ_signers/Liz_15791.mov" TargetMode="External"/><Relationship Id="rId13619" Type="http://schemas.openxmlformats.org/officeDocument/2006/relationships/hyperlink" Target="http://secrets.rutgers.edu:8080/data/asl-ftp/asllvd/demos/verify_start_end_handshape_annotations//test_auto_move//signs_mov/15791.mov" TargetMode="External"/><Relationship Id="rId13620" Type="http://schemas.openxmlformats.org/officeDocument/2006/relationships/hyperlink" Target="http://secrets.rutgers.edu:8080/data/asl-ftp/asllvd/demos/verify_start_end_handshape_annotations//test_auto_move//signs_mov_separ_signers/Liz_15791.mov" TargetMode="External"/><Relationship Id="rId13621" Type="http://schemas.openxmlformats.org/officeDocument/2006/relationships/hyperlink" Target="http://csr.bu.edu/ftp/asl/asllvd/demos/verify_start_end_handshape_annotations//test_auto_move//signs_mov_separ_signers/Brady_15791.mov" TargetMode="External"/><Relationship Id="rId13622" Type="http://schemas.openxmlformats.org/officeDocument/2006/relationships/hyperlink" Target="http://secrets.rutgers.edu:8080/data/asl-ftp/asllvd/demos/verify_start_end_handshape_annotations//test_auto_move//signs_mov_separ_signers/Brady_15791.mov" TargetMode="External"/><Relationship Id="rId13623" Type="http://schemas.openxmlformats.org/officeDocument/2006/relationships/hyperlink" Target="http://csr.bu.edu/ftp/asl/asllvd/demos/verify_start_end_handshape_annotations//test_auto_move//signs_mov_separ_signers/Liz_1516.mov" TargetMode="External"/><Relationship Id="rId13624" Type="http://schemas.openxmlformats.org/officeDocument/2006/relationships/hyperlink" Target="http://secrets.rutgers.edu:8080/data/asl-ftp/asllvd/demos/verify_start_end_handshape_annotations//test_auto_move//signs_mov_separ_signers/Liz_1516.mov" TargetMode="External"/><Relationship Id="rId13625" Type="http://schemas.openxmlformats.org/officeDocument/2006/relationships/hyperlink" Target="http://csr.bu.edu/ftp/asl/asllvd/demos/verify_start_end_handshape_annotations//test_auto_move//signs_mov/1516.mov" TargetMode="External"/><Relationship Id="rId13626" Type="http://schemas.openxmlformats.org/officeDocument/2006/relationships/hyperlink" Target="http://csr.bu.edu/ftp/asl/asllvd/demos/verify_start_end_handshape_annotations//test_auto_move//signs_mov_separ_signers/Tyler_1516.mov" TargetMode="External"/><Relationship Id="rId13627" Type="http://schemas.openxmlformats.org/officeDocument/2006/relationships/hyperlink" Target="http://secrets.rutgers.edu:8080/data/asl-ftp/asllvd/demos/verify_start_end_handshape_annotations//test_auto_move//signs_mov/1516.mov" TargetMode="External"/><Relationship Id="rId13628" Type="http://schemas.openxmlformats.org/officeDocument/2006/relationships/hyperlink" Target="http://secrets.rutgers.edu:8080/data/asl-ftp/asllvd/demos/verify_start_end_handshape_annotations//test_auto_move//signs_mov_separ_signers/Tyler_1516.mov" TargetMode="External"/><Relationship Id="rId13629" Type="http://schemas.openxmlformats.org/officeDocument/2006/relationships/hyperlink" Target="http://csr.bu.edu/ftp/asl/asllvd/demos/verify_start_end_handshape_annotations//test_auto_move//signs_mov_separ_signers/Brady_1516.mov" TargetMode="External"/><Relationship Id="rId13630" Type="http://schemas.openxmlformats.org/officeDocument/2006/relationships/hyperlink" Target="http://secrets.rutgers.edu:8080/data/asl-ftp/asllvd/demos/verify_start_end_handshape_annotations//test_auto_move//signs_mov_separ_signers/Brady_1516.mov" TargetMode="External"/><Relationship Id="rId13631" Type="http://schemas.openxmlformats.org/officeDocument/2006/relationships/hyperlink" Target="http://csr.bu.edu/ftp/asl/asllvd/demos/verify_start_end_handshape_annotations//test_auto_move//signs_mov/1517.mov" TargetMode="External"/><Relationship Id="rId13632" Type="http://schemas.openxmlformats.org/officeDocument/2006/relationships/hyperlink" Target="http://csr.bu.edu/ftp/asl/asllvd/demos/verify_start_end_handshape_annotations//test_auto_move//signs_mov_separ_signers/Liz_1517.mov" TargetMode="External"/><Relationship Id="rId13633" Type="http://schemas.openxmlformats.org/officeDocument/2006/relationships/hyperlink" Target="http://secrets.rutgers.edu:8080/data/asl-ftp/asllvd/demos/verify_start_end_handshape_annotations//test_auto_move//signs_mov/1517.mov" TargetMode="External"/><Relationship Id="rId13634" Type="http://schemas.openxmlformats.org/officeDocument/2006/relationships/hyperlink" Target="http://secrets.rutgers.edu:8080/data/asl-ftp/asllvd/demos/verify_start_end_handshape_annotations//test_auto_move//signs_mov_separ_signers/Liz_1517.mov" TargetMode="External"/><Relationship Id="rId13635" Type="http://schemas.openxmlformats.org/officeDocument/2006/relationships/hyperlink" Target="http://csr.bu.edu/ftp/asl/asllvd/demos/verify_start_end_handshape_annotations//test_auto_move//signs_mov_separ_signers/Brady_1517.mov" TargetMode="External"/><Relationship Id="rId13636" Type="http://schemas.openxmlformats.org/officeDocument/2006/relationships/hyperlink" Target="http://secrets.rutgers.edu:8080/data/asl-ftp/asllvd/demos/verify_start_end_handshape_annotations//test_auto_move//signs_mov_separ_signers/Brady_1517.mov" TargetMode="External"/><Relationship Id="rId13637" Type="http://schemas.openxmlformats.org/officeDocument/2006/relationships/hyperlink" Target="http://csr.bu.edu/ftp/asl/asllvd/demos/verify_start_end_handshape_annotations//test_auto_move//signs_mov/16396.mov" TargetMode="External"/><Relationship Id="rId13638" Type="http://schemas.openxmlformats.org/officeDocument/2006/relationships/hyperlink" Target="http://csr.bu.edu/ftp/asl/asllvd/demos/verify_start_end_handshape_annotations//test_auto_move//signs_mov_separ_signers/Tyler_16396.mov" TargetMode="External"/><Relationship Id="rId13639" Type="http://schemas.openxmlformats.org/officeDocument/2006/relationships/hyperlink" Target="http://secrets.rutgers.edu:8080/data/asl-ftp/asllvd/demos/verify_start_end_handshape_annotations//test_auto_move//signs_mov/16396.mov" TargetMode="External"/><Relationship Id="rId13640" Type="http://schemas.openxmlformats.org/officeDocument/2006/relationships/hyperlink" Target="http://secrets.rutgers.edu:8080/data/asl-ftp/asllvd/demos/verify_start_end_handshape_annotations//test_auto_move//signs_mov_separ_signers/Tyler_16396.mov" TargetMode="External"/><Relationship Id="rId13641" Type="http://schemas.openxmlformats.org/officeDocument/2006/relationships/hyperlink" Target="http://csr.bu.edu/ftp/asl/asllvd/demos/verify_start_end_handshape_annotations//test_auto_move//signs_mov_separ_signers/Liz_1518.mov" TargetMode="External"/><Relationship Id="rId13642" Type="http://schemas.openxmlformats.org/officeDocument/2006/relationships/hyperlink" Target="http://secrets.rutgers.edu:8080/data/asl-ftp/asllvd/demos/verify_start_end_handshape_annotations//test_auto_move//signs_mov_separ_signers/Liz_1518.mov" TargetMode="External"/><Relationship Id="rId13643" Type="http://schemas.openxmlformats.org/officeDocument/2006/relationships/hyperlink" Target="http://csr.bu.edu/ftp/asl/asllvd/demos/verify_start_end_handshape_annotations//test_auto_move//signs_mov_separ_signers/Liz_3695.mov" TargetMode="External"/><Relationship Id="rId13644" Type="http://schemas.openxmlformats.org/officeDocument/2006/relationships/hyperlink" Target="http://secrets.rutgers.edu:8080/data/asl-ftp/asllvd/demos/verify_start_end_handshape_annotations//test_auto_move//signs_mov_separ_signers/Liz_3695.mov" TargetMode="External"/><Relationship Id="rId13645" Type="http://schemas.openxmlformats.org/officeDocument/2006/relationships/hyperlink" Target="http://csr.bu.edu/ftp/asl/asllvd/demos/verify_start_end_handshape_annotations//test_auto_move//signs_mov/1518_3695_merged.mov" TargetMode="External"/><Relationship Id="rId13646" Type="http://schemas.openxmlformats.org/officeDocument/2006/relationships/hyperlink" Target="http://csr.bu.edu/ftp/asl/asllvd/demos/verify_start_end_handshape_annotations//test_auto_move//signs_mov_separ_signers/Tyler_1518.mov" TargetMode="External"/><Relationship Id="rId13647" Type="http://schemas.openxmlformats.org/officeDocument/2006/relationships/hyperlink" Target="http://secrets.rutgers.edu:8080/data/asl-ftp/asllvd/demos/verify_start_end_handshape_annotations//test_auto_move//signs_mov/1518_3695_merged.mov" TargetMode="External"/><Relationship Id="rId13648" Type="http://schemas.openxmlformats.org/officeDocument/2006/relationships/hyperlink" Target="http://secrets.rutgers.edu:8080/data/asl-ftp/asllvd/demos/verify_start_end_handshape_annotations//test_auto_move//signs_mov_separ_signers/Tyler_1518.mov" TargetMode="External"/><Relationship Id="rId13649" Type="http://schemas.openxmlformats.org/officeDocument/2006/relationships/hyperlink" Target="http://csr.bu.edu/ftp/asl/asllvd/demos/verify_start_end_handshape_annotations//test_auto_move//signs_mov_separ_signers/Brady_1518.mov" TargetMode="External"/><Relationship Id="rId13650" Type="http://schemas.openxmlformats.org/officeDocument/2006/relationships/hyperlink" Target="http://secrets.rutgers.edu:8080/data/asl-ftp/asllvd/demos/verify_start_end_handshape_annotations//test_auto_move//signs_mov_separ_signers/Brady_1518.mov" TargetMode="External"/><Relationship Id="rId13651" Type="http://schemas.openxmlformats.org/officeDocument/2006/relationships/hyperlink" Target="http://csr.bu.edu/ftp/asl/asllvd/demos/verify_start_end_handshape_annotations//test_auto_move//signs_mov_separ_signers/Lana_1518.mov" TargetMode="External"/><Relationship Id="rId13652" Type="http://schemas.openxmlformats.org/officeDocument/2006/relationships/hyperlink" Target="http://secrets.rutgers.edu:8080/data/asl-ftp/asllvd/demos/verify_start_end_handshape_annotations//test_auto_move//signs_mov_separ_signers/Lana_1518.mov" TargetMode="External"/><Relationship Id="rId13653" Type="http://schemas.openxmlformats.org/officeDocument/2006/relationships/hyperlink" Target="http://csr.bu.edu/ftp/asl/asllvd/demos/verify_start_end_handshape_annotations//test_auto_move//signs_mov/15520.mov" TargetMode="External"/><Relationship Id="rId13654" Type="http://schemas.openxmlformats.org/officeDocument/2006/relationships/hyperlink" Target="http://csr.bu.edu/ftp/asl/asllvd/demos/verify_start_end_handshape_annotations//test_auto_move//signs_mov_separ_signers/Tyler_15520.mov" TargetMode="External"/><Relationship Id="rId13655" Type="http://schemas.openxmlformats.org/officeDocument/2006/relationships/hyperlink" Target="http://secrets.rutgers.edu:8080/data/asl-ftp/asllvd/demos/verify_start_end_handshape_annotations//test_auto_move//signs_mov/15520.mov" TargetMode="External"/><Relationship Id="rId13656" Type="http://schemas.openxmlformats.org/officeDocument/2006/relationships/hyperlink" Target="http://secrets.rutgers.edu:8080/data/asl-ftp/asllvd/demos/verify_start_end_handshape_annotations//test_auto_move//signs_mov_separ_signers/Tyler_15520.mov" TargetMode="External"/><Relationship Id="rId13657" Type="http://schemas.openxmlformats.org/officeDocument/2006/relationships/hyperlink" Target="http://csr.bu.edu/ftp/asl/asllvd/demos/verify_start_end_handshape_annotations//test_auto_move//signs_mov/15701.mov" TargetMode="External"/><Relationship Id="rId13658" Type="http://schemas.openxmlformats.org/officeDocument/2006/relationships/hyperlink" Target="http://csr.bu.edu/ftp/asl/asllvd/demos/verify_start_end_handshape_annotations//test_auto_move//signs_mov_separ_signers/Liz_15701.mov" TargetMode="External"/><Relationship Id="rId13659" Type="http://schemas.openxmlformats.org/officeDocument/2006/relationships/hyperlink" Target="http://secrets.rutgers.edu:8080/data/asl-ftp/asllvd/demos/verify_start_end_handshape_annotations//test_auto_move//signs_mov/15701.mov" TargetMode="External"/><Relationship Id="rId13660" Type="http://schemas.openxmlformats.org/officeDocument/2006/relationships/hyperlink" Target="http://secrets.rutgers.edu:8080/data/asl-ftp/asllvd/demos/verify_start_end_handshape_annotations//test_auto_move//signs_mov_separ_signers/Liz_15701.mov" TargetMode="External"/><Relationship Id="rId13661" Type="http://schemas.openxmlformats.org/officeDocument/2006/relationships/hyperlink" Target="http://csr.bu.edu/ftp/asl/asllvd/demos/verify_start_end_handshape_annotations//test_auto_move//signs_mov_separ_signers/Brady_15701.mov" TargetMode="External"/><Relationship Id="rId13662" Type="http://schemas.openxmlformats.org/officeDocument/2006/relationships/hyperlink" Target="http://secrets.rutgers.edu:8080/data/asl-ftp/asllvd/demos/verify_start_end_handshape_annotations//test_auto_move//signs_mov_separ_signers/Brady_15701.mov" TargetMode="External"/><Relationship Id="rId13663" Type="http://schemas.openxmlformats.org/officeDocument/2006/relationships/hyperlink" Target="http://csr.bu.edu/ftp/asl/asllvd/demos/verify_start_end_handshape_annotations//test_auto_move//signs_mov_separ_signers/Liz_1525.mov" TargetMode="External"/><Relationship Id="rId13664" Type="http://schemas.openxmlformats.org/officeDocument/2006/relationships/hyperlink" Target="http://secrets.rutgers.edu:8080/data/asl-ftp/asllvd/demos/verify_start_end_handshape_annotations//test_auto_move//signs_mov_separ_signers/Liz_1525.mov" TargetMode="External"/><Relationship Id="rId13665" Type="http://schemas.openxmlformats.org/officeDocument/2006/relationships/hyperlink" Target="http://csr.bu.edu/ftp/asl/asllvd/demos/verify_start_end_handshape_annotations//test_auto_move//signs_mov_separ_signers/Tyler_1525.mov" TargetMode="External"/><Relationship Id="rId13666" Type="http://schemas.openxmlformats.org/officeDocument/2006/relationships/hyperlink" Target="http://secrets.rutgers.edu:8080/data/asl-ftp/asllvd/demos/verify_start_end_handshape_annotations//test_auto_move//signs_mov_separ_signers/Tyler_1525.mov" TargetMode="External"/><Relationship Id="rId13667" Type="http://schemas.openxmlformats.org/officeDocument/2006/relationships/hyperlink" Target="http://csr.bu.edu/ftp/asl/asllvd/demos/verify_start_end_handshape_annotations//test_auto_move//signs_mov/1525.mov" TargetMode="External"/><Relationship Id="rId13668" Type="http://schemas.openxmlformats.org/officeDocument/2006/relationships/hyperlink" Target="http://csr.bu.edu/ftp/asl/asllvd/demos/verify_start_end_handshape_annotations//test_auto_move//signs_mov_separ_signers/Brady_1525.mov" TargetMode="External"/><Relationship Id="rId13669" Type="http://schemas.openxmlformats.org/officeDocument/2006/relationships/hyperlink" Target="http://secrets.rutgers.edu:8080/data/asl-ftp/asllvd/demos/verify_start_end_handshape_annotations//test_auto_move//signs_mov/1525.mov" TargetMode="External"/><Relationship Id="rId13670" Type="http://schemas.openxmlformats.org/officeDocument/2006/relationships/hyperlink" Target="http://secrets.rutgers.edu:8080/data/asl-ftp/asllvd/demos/verify_start_end_handshape_annotations//test_auto_move//signs_mov_separ_signers/Brady_1525.mov" TargetMode="External"/><Relationship Id="rId13671" Type="http://schemas.openxmlformats.org/officeDocument/2006/relationships/hyperlink" Target="http://csr.bu.edu/ftp/asl/asllvd/demos/verify_start_end_handshape_annotations//test_auto_move//signs_mov_separ_signers/Lana_1525.mov" TargetMode="External"/><Relationship Id="rId13672" Type="http://schemas.openxmlformats.org/officeDocument/2006/relationships/hyperlink" Target="http://secrets.rutgers.edu:8080/data/asl-ftp/asllvd/demos/verify_start_end_handshape_annotations//test_auto_move//signs_mov_separ_signers/Lana_1525.mov" TargetMode="External"/><Relationship Id="rId13673" Type="http://schemas.openxmlformats.org/officeDocument/2006/relationships/hyperlink" Target="http://csr.bu.edu/ftp/asl/asllvd/demos/verify_start_end_handshape_annotations//test_auto_move//signs_mov_separ_signers/Dana_1525.mov" TargetMode="External"/><Relationship Id="rId13674" Type="http://schemas.openxmlformats.org/officeDocument/2006/relationships/hyperlink" Target="http://secrets.rutgers.edu:8080/data/asl-ftp/asllvd/demos/verify_start_end_handshape_annotations//test_auto_move//signs_mov_separ_signers/Dana_1525.mov" TargetMode="External"/><Relationship Id="rId13675" Type="http://schemas.openxmlformats.org/officeDocument/2006/relationships/hyperlink" Target="http://csr.bu.edu/ftp/asl/asllvd/demos/verify_start_end_handshape_annotations//test_auto_move//signs_mov_separ_signers/Liz_1531.mov" TargetMode="External"/><Relationship Id="rId13676" Type="http://schemas.openxmlformats.org/officeDocument/2006/relationships/hyperlink" Target="http://secrets.rutgers.edu:8080/data/asl-ftp/asllvd/demos/verify_start_end_handshape_annotations//test_auto_move//signs_mov_separ_signers/Liz_1531.mov" TargetMode="External"/><Relationship Id="rId13677" Type="http://schemas.openxmlformats.org/officeDocument/2006/relationships/hyperlink" Target="http://csr.bu.edu/ftp/asl/asllvd/demos/verify_start_end_handshape_annotations//test_auto_move//signs_mov/1531.mov" TargetMode="External"/><Relationship Id="rId13678" Type="http://schemas.openxmlformats.org/officeDocument/2006/relationships/hyperlink" Target="http://csr.bu.edu/ftp/asl/asllvd/demos/verify_start_end_handshape_annotations//test_auto_move//signs_mov_separ_signers/Tyler_1531.mov" TargetMode="External"/><Relationship Id="rId13679" Type="http://schemas.openxmlformats.org/officeDocument/2006/relationships/hyperlink" Target="http://secrets.rutgers.edu:8080/data/asl-ftp/asllvd/demos/verify_start_end_handshape_annotations//test_auto_move//signs_mov/1531.mov" TargetMode="External"/><Relationship Id="rId13680" Type="http://schemas.openxmlformats.org/officeDocument/2006/relationships/hyperlink" Target="http://secrets.rutgers.edu:8080/data/asl-ftp/asllvd/demos/verify_start_end_handshape_annotations//test_auto_move//signs_mov_separ_signers/Tyler_1531.mov" TargetMode="External"/><Relationship Id="rId13681" Type="http://schemas.openxmlformats.org/officeDocument/2006/relationships/hyperlink" Target="http://csr.bu.edu/ftp/asl/asllvd/demos/verify_start_end_handshape_annotations//test_auto_move//signs_mov_separ_signers/Brady_1531.mov" TargetMode="External"/><Relationship Id="rId13682" Type="http://schemas.openxmlformats.org/officeDocument/2006/relationships/hyperlink" Target="http://secrets.rutgers.edu:8080/data/asl-ftp/asllvd/demos/verify_start_end_handshape_annotations//test_auto_move//signs_mov_separ_signers/Brady_1531.mov" TargetMode="External"/><Relationship Id="rId13683" Type="http://schemas.openxmlformats.org/officeDocument/2006/relationships/hyperlink" Target="http://csr.bu.edu/ftp/asl/asllvd/demos/verify_start_end_handshape_annotations//test_auto_move//signs_mov/1533.mov" TargetMode="External"/><Relationship Id="rId13684" Type="http://schemas.openxmlformats.org/officeDocument/2006/relationships/hyperlink" Target="http://csr.bu.edu/ftp/asl/asllvd/demos/verify_start_end_handshape_annotations//test_auto_move//signs_mov_separ_signers/Liz_1533.mov" TargetMode="External"/><Relationship Id="rId13685" Type="http://schemas.openxmlformats.org/officeDocument/2006/relationships/hyperlink" Target="http://secrets.rutgers.edu:8080/data/asl-ftp/asllvd/demos/verify_start_end_handshape_annotations//test_auto_move//signs_mov/1533.mov" TargetMode="External"/><Relationship Id="rId13686" Type="http://schemas.openxmlformats.org/officeDocument/2006/relationships/hyperlink" Target="http://secrets.rutgers.edu:8080/data/asl-ftp/asllvd/demos/verify_start_end_handshape_annotations//test_auto_move//signs_mov_separ_signers/Liz_1533.mov" TargetMode="External"/><Relationship Id="rId13687" Type="http://schemas.openxmlformats.org/officeDocument/2006/relationships/hyperlink" Target="http://csr.bu.edu/ftp/asl/asllvd/demos/verify_start_end_handshape_annotations//test_auto_move//signs_mov_separ_signers/Brady_1533.mov" TargetMode="External"/><Relationship Id="rId13688" Type="http://schemas.openxmlformats.org/officeDocument/2006/relationships/hyperlink" Target="http://secrets.rutgers.edu:8080/data/asl-ftp/asllvd/demos/verify_start_end_handshape_annotations//test_auto_move//signs_mov_separ_signers/Brady_1533.mov" TargetMode="External"/><Relationship Id="rId13689" Type="http://schemas.openxmlformats.org/officeDocument/2006/relationships/hyperlink" Target="http://csr.bu.edu/ftp/asl/asllvd/demos/verify_start_end_handshape_annotations//test_auto_move//signs_mov_separ_signers/Liz_1534.mov" TargetMode="External"/><Relationship Id="rId13690" Type="http://schemas.openxmlformats.org/officeDocument/2006/relationships/hyperlink" Target="http://secrets.rutgers.edu:8080/data/asl-ftp/asllvd/demos/verify_start_end_handshape_annotations//test_auto_move//signs_mov_separ_signers/Liz_1534.mov" TargetMode="External"/><Relationship Id="rId13691" Type="http://schemas.openxmlformats.org/officeDocument/2006/relationships/hyperlink" Target="http://csr.bu.edu/ftp/asl/asllvd/demos/verify_start_end_handshape_annotations//test_auto_move//signs_mov_separ_signers/Liz_3684.mov" TargetMode="External"/><Relationship Id="rId13692" Type="http://schemas.openxmlformats.org/officeDocument/2006/relationships/hyperlink" Target="http://secrets.rutgers.edu:8080/data/asl-ftp/asllvd/demos/verify_start_end_handshape_annotations//test_auto_move//signs_mov_separ_signers/Liz_3684.mov" TargetMode="External"/><Relationship Id="rId13693" Type="http://schemas.openxmlformats.org/officeDocument/2006/relationships/hyperlink" Target="http://csr.bu.edu/ftp/asl/asllvd/demos/verify_start_end_handshape_annotations//test_auto_move//signs_mov/1534_3684_merged.mov" TargetMode="External"/><Relationship Id="rId13694" Type="http://schemas.openxmlformats.org/officeDocument/2006/relationships/hyperlink" Target="http://csr.bu.edu/ftp/asl/asllvd/demos/verify_start_end_handshape_annotations//test_auto_move//signs_mov_separ_signers/Tyler_1534.mov" TargetMode="External"/><Relationship Id="rId13695" Type="http://schemas.openxmlformats.org/officeDocument/2006/relationships/hyperlink" Target="http://secrets.rutgers.edu:8080/data/asl-ftp/asllvd/demos/verify_start_end_handshape_annotations//test_auto_move//signs_mov/1534_3684_merged.mov" TargetMode="External"/><Relationship Id="rId13696" Type="http://schemas.openxmlformats.org/officeDocument/2006/relationships/hyperlink" Target="http://secrets.rutgers.edu:8080/data/asl-ftp/asllvd/demos/verify_start_end_handshape_annotations//test_auto_move//signs_mov_separ_signers/Tyler_1534.mov" TargetMode="External"/><Relationship Id="rId13697" Type="http://schemas.openxmlformats.org/officeDocument/2006/relationships/hyperlink" Target="http://csr.bu.edu/ftp/asl/asllvd/demos/verify_start_end_handshape_annotations//test_auto_move//signs_mov_separ_signers/Brady_1534.mov" TargetMode="External"/><Relationship Id="rId13698" Type="http://schemas.openxmlformats.org/officeDocument/2006/relationships/hyperlink" Target="http://secrets.rutgers.edu:8080/data/asl-ftp/asllvd/demos/verify_start_end_handshape_annotations//test_auto_move//signs_mov_separ_signers/Brady_1534.mov" TargetMode="External"/><Relationship Id="rId13699" Type="http://schemas.openxmlformats.org/officeDocument/2006/relationships/hyperlink" Target="http://csr.bu.edu/ftp/asl/asllvd/demos/verify_start_end_handshape_annotations//test_auto_move//signs_mov_separ_signers/Brady_3684.mov" TargetMode="External"/><Relationship Id="rId13700" Type="http://schemas.openxmlformats.org/officeDocument/2006/relationships/hyperlink" Target="http://secrets.rutgers.edu:8080/data/asl-ftp/asllvd/demos/verify_start_end_handshape_annotations//test_auto_move//signs_mov_separ_signers/Brady_3684.mov" TargetMode="External"/><Relationship Id="rId13701" Type="http://schemas.openxmlformats.org/officeDocument/2006/relationships/hyperlink" Target="http://csr.bu.edu/ftp/asl/asllvd/demos/verify_start_end_handshape_annotations//test_auto_move//signs_mov/1536.mov" TargetMode="External"/><Relationship Id="rId13702" Type="http://schemas.openxmlformats.org/officeDocument/2006/relationships/hyperlink" Target="http://csr.bu.edu/ftp/asl/asllvd/demos/verify_start_end_handshape_annotations//test_auto_move//signs_mov_separ_signers/Liz_1536.mov" TargetMode="External"/><Relationship Id="rId13703" Type="http://schemas.openxmlformats.org/officeDocument/2006/relationships/hyperlink" Target="http://secrets.rutgers.edu:8080/data/asl-ftp/asllvd/demos/verify_start_end_handshape_annotations//test_auto_move//signs_mov/1536.mov" TargetMode="External"/><Relationship Id="rId13704" Type="http://schemas.openxmlformats.org/officeDocument/2006/relationships/hyperlink" Target="http://secrets.rutgers.edu:8080/data/asl-ftp/asllvd/demos/verify_start_end_handshape_annotations//test_auto_move//signs_mov_separ_signers/Liz_1536.mov" TargetMode="External"/><Relationship Id="rId13705" Type="http://schemas.openxmlformats.org/officeDocument/2006/relationships/hyperlink" Target="http://csr.bu.edu/ftp/asl/asllvd/demos/verify_start_end_handshape_annotations//test_auto_move//signs_mov_separ_signers/Tyler_1536.mov" TargetMode="External"/><Relationship Id="rId13706" Type="http://schemas.openxmlformats.org/officeDocument/2006/relationships/hyperlink" Target="http://secrets.rutgers.edu:8080/data/asl-ftp/asllvd/demos/verify_start_end_handshape_annotations//test_auto_move//signs_mov_separ_signers/Tyler_1536.mov" TargetMode="External"/><Relationship Id="rId13707" Type="http://schemas.openxmlformats.org/officeDocument/2006/relationships/hyperlink" Target="http://csr.bu.edu/ftp/asl/asllvd/demos/verify_start_end_handshape_annotations//test_auto_move//signs_mov/15702.mov" TargetMode="External"/><Relationship Id="rId13708" Type="http://schemas.openxmlformats.org/officeDocument/2006/relationships/hyperlink" Target="http://csr.bu.edu/ftp/asl/asllvd/demos/verify_start_end_handshape_annotations//test_auto_move//signs_mov_separ_signers/Brady_15702.mov" TargetMode="External"/><Relationship Id="rId13709" Type="http://schemas.openxmlformats.org/officeDocument/2006/relationships/hyperlink" Target="http://secrets.rutgers.edu:8080/data/asl-ftp/asllvd/demos/verify_start_end_handshape_annotations//test_auto_move//signs_mov/15702.mov" TargetMode="External"/><Relationship Id="rId13710" Type="http://schemas.openxmlformats.org/officeDocument/2006/relationships/hyperlink" Target="http://secrets.rutgers.edu:8080/data/asl-ftp/asllvd/demos/verify_start_end_handshape_annotations//test_auto_move//signs_mov_separ_signers/Brady_15702.mov" TargetMode="External"/><Relationship Id="rId13711" Type="http://schemas.openxmlformats.org/officeDocument/2006/relationships/hyperlink" Target="http://csr.bu.edu/ftp/asl/asllvd/demos/verify_start_end_handshape_annotations//test_auto_move//signs_mov_separ_signers/Tyler_1537.mov" TargetMode="External"/><Relationship Id="rId13712" Type="http://schemas.openxmlformats.org/officeDocument/2006/relationships/hyperlink" Target="http://secrets.rutgers.edu:8080/data/asl-ftp/asllvd/demos/verify_start_end_handshape_annotations//test_auto_move//signs_mov_separ_signers/Tyler_1537.mov" TargetMode="External"/><Relationship Id="rId13713" Type="http://schemas.openxmlformats.org/officeDocument/2006/relationships/hyperlink" Target="http://csr.bu.edu/ftp/asl/asllvd/demos/verify_start_end_handshape_annotations//test_auto_move//signs_mov/1537_3685_merged.mov" TargetMode="External"/><Relationship Id="rId13714" Type="http://schemas.openxmlformats.org/officeDocument/2006/relationships/hyperlink" Target="http://csr.bu.edu/ftp/asl/asllvd/demos/verify_start_end_handshape_annotations//test_auto_move//signs_mov_separ_signers/Brady_1537.mov" TargetMode="External"/><Relationship Id="rId13715" Type="http://schemas.openxmlformats.org/officeDocument/2006/relationships/hyperlink" Target="http://secrets.rutgers.edu:8080/data/asl-ftp/asllvd/demos/verify_start_end_handshape_annotations//test_auto_move//signs_mov/1537_3685_merged.mov" TargetMode="External"/><Relationship Id="rId13716" Type="http://schemas.openxmlformats.org/officeDocument/2006/relationships/hyperlink" Target="http://secrets.rutgers.edu:8080/data/asl-ftp/asllvd/demos/verify_start_end_handshape_annotations//test_auto_move//signs_mov_separ_signers/Brady_1537.mov" TargetMode="External"/><Relationship Id="rId13717" Type="http://schemas.openxmlformats.org/officeDocument/2006/relationships/hyperlink" Target="http://csr.bu.edu/ftp/asl/asllvd/demos/verify_start_end_handshape_annotations//test_auto_move//signs_mov_separ_signers/Brady_3685.mov" TargetMode="External"/><Relationship Id="rId13718" Type="http://schemas.openxmlformats.org/officeDocument/2006/relationships/hyperlink" Target="http://secrets.rutgers.edu:8080/data/asl-ftp/asllvd/demos/verify_start_end_handshape_annotations//test_auto_move//signs_mov_separ_signers/Brady_3685.mov" TargetMode="External"/><Relationship Id="rId13719" Type="http://schemas.openxmlformats.org/officeDocument/2006/relationships/hyperlink" Target="http://csr.bu.edu/ftp/asl/asllvd/demos/verify_start_end_handshape_annotations//test_auto_move//signs_mov/5290.mov" TargetMode="External"/><Relationship Id="rId13720" Type="http://schemas.openxmlformats.org/officeDocument/2006/relationships/hyperlink" Target="http://csr.bu.edu/ftp/asl/asllvd/demos/verify_start_end_handshape_annotations//test_auto_move//signs_mov_separ_signers/Liz_5290.mov" TargetMode="External"/><Relationship Id="rId13721" Type="http://schemas.openxmlformats.org/officeDocument/2006/relationships/hyperlink" Target="http://secrets.rutgers.edu:8080/data/asl-ftp/asllvd/demos/verify_start_end_handshape_annotations//test_auto_move//signs_mov/5290.mov" TargetMode="External"/><Relationship Id="rId13722" Type="http://schemas.openxmlformats.org/officeDocument/2006/relationships/hyperlink" Target="http://secrets.rutgers.edu:8080/data/asl-ftp/asllvd/demos/verify_start_end_handshape_annotations//test_auto_move//signs_mov_separ_signers/Liz_5290.mov" TargetMode="External"/><Relationship Id="rId13723" Type="http://schemas.openxmlformats.org/officeDocument/2006/relationships/hyperlink" Target="http://csr.bu.edu/ftp/asl/asllvd/demos/verify_start_end_handshape_annotations//test_auto_move//signs_mov/15792.mov" TargetMode="External"/><Relationship Id="rId13724" Type="http://schemas.openxmlformats.org/officeDocument/2006/relationships/hyperlink" Target="http://csr.bu.edu/ftp/asl/asllvd/demos/verify_start_end_handshape_annotations//test_auto_move//signs_mov_separ_signers/Liz_15792.mov" TargetMode="External"/><Relationship Id="rId13725" Type="http://schemas.openxmlformats.org/officeDocument/2006/relationships/hyperlink" Target="http://secrets.rutgers.edu:8080/data/asl-ftp/asllvd/demos/verify_start_end_handshape_annotations//test_auto_move//signs_mov/15792.mov" TargetMode="External"/><Relationship Id="rId13726" Type="http://schemas.openxmlformats.org/officeDocument/2006/relationships/hyperlink" Target="http://secrets.rutgers.edu:8080/data/asl-ftp/asllvd/demos/verify_start_end_handshape_annotations//test_auto_move//signs_mov_separ_signers/Liz_15792.mov" TargetMode="External"/><Relationship Id="rId13727" Type="http://schemas.openxmlformats.org/officeDocument/2006/relationships/hyperlink" Target="http://csr.bu.edu/ftp/asl/asllvd/demos/verify_start_end_handshape_annotations//test_auto_move//signs_mov_separ_signers/Brady_15792.mov" TargetMode="External"/><Relationship Id="rId13728" Type="http://schemas.openxmlformats.org/officeDocument/2006/relationships/hyperlink" Target="http://secrets.rutgers.edu:8080/data/asl-ftp/asllvd/demos/verify_start_end_handshape_annotations//test_auto_move//signs_mov_separ_signers/Brady_15792.mov" TargetMode="External"/><Relationship Id="rId13729" Type="http://schemas.openxmlformats.org/officeDocument/2006/relationships/hyperlink" Target="http://csr.bu.edu/ftp/asl/asllvd/demos/verify_start_end_handshape_annotations//test_auto_move//signs_mov_separ_signers/Liz_16405.mov" TargetMode="External"/><Relationship Id="rId13730" Type="http://schemas.openxmlformats.org/officeDocument/2006/relationships/hyperlink" Target="http://secrets.rutgers.edu:8080/data/asl-ftp/asllvd/demos/verify_start_end_handshape_annotations//test_auto_move//signs_mov_separ_signers/Liz_16405.mov" TargetMode="External"/><Relationship Id="rId13731" Type="http://schemas.openxmlformats.org/officeDocument/2006/relationships/hyperlink" Target="http://csr.bu.edu/ftp/asl/asllvd/demos/verify_start_end_handshape_annotations//test_auto_move//signs_mov/16405.mov" TargetMode="External"/><Relationship Id="rId13732" Type="http://schemas.openxmlformats.org/officeDocument/2006/relationships/hyperlink" Target="http://csr.bu.edu/ftp/asl/asllvd/demos/verify_start_end_handshape_annotations//test_auto_move//signs_mov_separ_signers/Naomi_16405.mov" TargetMode="External"/><Relationship Id="rId13733" Type="http://schemas.openxmlformats.org/officeDocument/2006/relationships/hyperlink" Target="http://secrets.rutgers.edu:8080/data/asl-ftp/asllvd/demos/verify_start_end_handshape_annotations//test_auto_move//signs_mov/16405.mov" TargetMode="External"/><Relationship Id="rId13734" Type="http://schemas.openxmlformats.org/officeDocument/2006/relationships/hyperlink" Target="http://secrets.rutgers.edu:8080/data/asl-ftp/asllvd/demos/verify_start_end_handshape_annotations//test_auto_move//signs_mov_separ_signers/Naomi_16405.mov" TargetMode="External"/><Relationship Id="rId13735" Type="http://schemas.openxmlformats.org/officeDocument/2006/relationships/hyperlink" Target="http://csr.bu.edu/ftp/asl/asllvd/demos/verify_start_end_handshape_annotations//test_auto_move//signs_mov_separ_signers/Brady_16405.mov" TargetMode="External"/><Relationship Id="rId13736" Type="http://schemas.openxmlformats.org/officeDocument/2006/relationships/hyperlink" Target="http://secrets.rutgers.edu:8080/data/asl-ftp/asllvd/demos/verify_start_end_handshape_annotations//test_auto_move//signs_mov_separ_signers/Brady_16405.mov" TargetMode="External"/><Relationship Id="rId13737" Type="http://schemas.openxmlformats.org/officeDocument/2006/relationships/hyperlink" Target="http://csr.bu.edu/ftp/asl/asllvd/demos/verify_start_end_handshape_annotations//test_auto_move//signs_mov/16406.mov" TargetMode="External"/><Relationship Id="rId13738" Type="http://schemas.openxmlformats.org/officeDocument/2006/relationships/hyperlink" Target="http://csr.bu.edu/ftp/asl/asllvd/demos/verify_start_end_handshape_annotations//test_auto_move//signs_mov_separ_signers/Tyler_16406.mov" TargetMode="External"/><Relationship Id="rId13739" Type="http://schemas.openxmlformats.org/officeDocument/2006/relationships/hyperlink" Target="http://secrets.rutgers.edu:8080/data/asl-ftp/asllvd/demos/verify_start_end_handshape_annotations//test_auto_move//signs_mov/16406.mov" TargetMode="External"/><Relationship Id="rId13740" Type="http://schemas.openxmlformats.org/officeDocument/2006/relationships/hyperlink" Target="http://secrets.rutgers.edu:8080/data/asl-ftp/asllvd/demos/verify_start_end_handshape_annotations//test_auto_move//signs_mov_separ_signers/Tyler_16406.mov" TargetMode="External"/><Relationship Id="rId13741" Type="http://schemas.openxmlformats.org/officeDocument/2006/relationships/hyperlink" Target="http://csr.bu.edu/ftp/asl/asllvd/demos/verify_start_end_handshape_annotations//test_auto_move//signs_mov_separ_signers/Liz_1539.mov" TargetMode="External"/><Relationship Id="rId13742" Type="http://schemas.openxmlformats.org/officeDocument/2006/relationships/hyperlink" Target="http://secrets.rutgers.edu:8080/data/asl-ftp/asllvd/demos/verify_start_end_handshape_annotations//test_auto_move//signs_mov_separ_signers/Liz_1539.mov" TargetMode="External"/><Relationship Id="rId13743" Type="http://schemas.openxmlformats.org/officeDocument/2006/relationships/hyperlink" Target="http://csr.bu.edu/ftp/asl/asllvd/demos/verify_start_end_handshape_annotations//test_auto_move//signs_mov/1539_5753_merged.mov" TargetMode="External"/><Relationship Id="rId13744" Type="http://schemas.openxmlformats.org/officeDocument/2006/relationships/hyperlink" Target="http://csr.bu.edu/ftp/asl/asllvd/demos/verify_start_end_handshape_annotations//test_auto_move//signs_mov_separ_signers/Brady_1539.mov" TargetMode="External"/><Relationship Id="rId13745" Type="http://schemas.openxmlformats.org/officeDocument/2006/relationships/hyperlink" Target="http://secrets.rutgers.edu:8080/data/asl-ftp/asllvd/demos/verify_start_end_handshape_annotations//test_auto_move//signs_mov/1539_5753_merged.mov" TargetMode="External"/><Relationship Id="rId13746" Type="http://schemas.openxmlformats.org/officeDocument/2006/relationships/hyperlink" Target="http://secrets.rutgers.edu:8080/data/asl-ftp/asllvd/demos/verify_start_end_handshape_annotations//test_auto_move//signs_mov_separ_signers/Brady_1539.mov" TargetMode="External"/><Relationship Id="rId13747" Type="http://schemas.openxmlformats.org/officeDocument/2006/relationships/hyperlink" Target="http://csr.bu.edu/ftp/asl/asllvd/demos/verify_start_end_handshape_annotations//test_auto_move//signs_mov_separ_signers/Brady_5753.mov" TargetMode="External"/><Relationship Id="rId13748" Type="http://schemas.openxmlformats.org/officeDocument/2006/relationships/hyperlink" Target="http://secrets.rutgers.edu:8080/data/asl-ftp/asllvd/demos/verify_start_end_handshape_annotations//test_auto_move//signs_mov_separ_signers/Brady_5753.mov" TargetMode="External"/><Relationship Id="rId13749" Type="http://schemas.openxmlformats.org/officeDocument/2006/relationships/hyperlink" Target="http://csr.bu.edu/ftp/asl/asllvd/demos/verify_start_end_handshape_annotations//test_auto_move//signs_mov_separ_signers/Liz_1540.mov" TargetMode="External"/><Relationship Id="rId13750" Type="http://schemas.openxmlformats.org/officeDocument/2006/relationships/hyperlink" Target="http://secrets.rutgers.edu:8080/data/asl-ftp/asllvd/demos/verify_start_end_handshape_annotations//test_auto_move//signs_mov_separ_signers/Liz_1540.mov" TargetMode="External"/><Relationship Id="rId13751" Type="http://schemas.openxmlformats.org/officeDocument/2006/relationships/hyperlink" Target="http://csr.bu.edu/ftp/asl/asllvd/demos/verify_start_end_handshape_annotations//test_auto_move//signs_mov_separ_signers/Tyler_1540.mov" TargetMode="External"/><Relationship Id="rId13752" Type="http://schemas.openxmlformats.org/officeDocument/2006/relationships/hyperlink" Target="http://secrets.rutgers.edu:8080/data/asl-ftp/asllvd/demos/verify_start_end_handshape_annotations//test_auto_move//signs_mov_separ_signers/Tyler_1540.mov" TargetMode="External"/><Relationship Id="rId13753" Type="http://schemas.openxmlformats.org/officeDocument/2006/relationships/hyperlink" Target="http://csr.bu.edu/ftp/asl/asllvd/demos/verify_start_end_handshape_annotations//test_auto_move//signs_mov/1540.mov" TargetMode="External"/><Relationship Id="rId13754" Type="http://schemas.openxmlformats.org/officeDocument/2006/relationships/hyperlink" Target="http://csr.bu.edu/ftp/asl/asllvd/demos/verify_start_end_handshape_annotations//test_auto_move//signs_mov_separ_signers/Brady_1540.mov" TargetMode="External"/><Relationship Id="rId13755" Type="http://schemas.openxmlformats.org/officeDocument/2006/relationships/hyperlink" Target="http://secrets.rutgers.edu:8080/data/asl-ftp/asllvd/demos/verify_start_end_handshape_annotations//test_auto_move//signs_mov/1540.mov" TargetMode="External"/><Relationship Id="rId13756" Type="http://schemas.openxmlformats.org/officeDocument/2006/relationships/hyperlink" Target="http://secrets.rutgers.edu:8080/data/asl-ftp/asllvd/demos/verify_start_end_handshape_annotations//test_auto_move//signs_mov_separ_signers/Brady_1540.mov" TargetMode="External"/><Relationship Id="rId13757" Type="http://schemas.openxmlformats.org/officeDocument/2006/relationships/hyperlink" Target="http://csr.bu.edu/ftp/asl/asllvd/demos/verify_start_end_handshape_annotations//test_auto_move//signs_mov_separ_signers/Lana_1540.mov" TargetMode="External"/><Relationship Id="rId13758" Type="http://schemas.openxmlformats.org/officeDocument/2006/relationships/hyperlink" Target="http://secrets.rutgers.edu:8080/data/asl-ftp/asllvd/demos/verify_start_end_handshape_annotations//test_auto_move//signs_mov_separ_signers/Lana_1540.mov" TargetMode="External"/><Relationship Id="rId13759" Type="http://schemas.openxmlformats.org/officeDocument/2006/relationships/hyperlink" Target="http://csr.bu.edu/ftp/asl/asllvd/demos/verify_start_end_handshape_annotations//test_auto_move//signs_mov_separ_signers/Dana_1540.mov" TargetMode="External"/><Relationship Id="rId13760" Type="http://schemas.openxmlformats.org/officeDocument/2006/relationships/hyperlink" Target="http://secrets.rutgers.edu:8080/data/asl-ftp/asllvd/demos/verify_start_end_handshape_annotations//test_auto_move//signs_mov_separ_signers/Dana_1540.mov" TargetMode="External"/><Relationship Id="rId13761" Type="http://schemas.openxmlformats.org/officeDocument/2006/relationships/hyperlink" Target="http://csr.bu.edu/ftp/asl/asllvd/demos/verify_start_end_handshape_annotations//test_auto_move//signs_mov_separ_signers/Liz_15430.mov" TargetMode="External"/><Relationship Id="rId13762" Type="http://schemas.openxmlformats.org/officeDocument/2006/relationships/hyperlink" Target="http://secrets.rutgers.edu:8080/data/asl-ftp/asllvd/demos/verify_start_end_handshape_annotations//test_auto_move//signs_mov_separ_signers/Liz_15430.mov" TargetMode="External"/><Relationship Id="rId13763" Type="http://schemas.openxmlformats.org/officeDocument/2006/relationships/hyperlink" Target="http://csr.bu.edu/ftp/asl/asllvd/demos/verify_start_end_handshape_annotations//test_auto_move//signs_mov/15430.mov" TargetMode="External"/><Relationship Id="rId13764" Type="http://schemas.openxmlformats.org/officeDocument/2006/relationships/hyperlink" Target="http://csr.bu.edu/ftp/asl/asllvd/demos/verify_start_end_handshape_annotations//test_auto_move//signs_mov_separ_signers/Tyler_15430.mov" TargetMode="External"/><Relationship Id="rId13765" Type="http://schemas.openxmlformats.org/officeDocument/2006/relationships/hyperlink" Target="http://secrets.rutgers.edu:8080/data/asl-ftp/asllvd/demos/verify_start_end_handshape_annotations//test_auto_move//signs_mov/15430.mov" TargetMode="External"/><Relationship Id="rId13766" Type="http://schemas.openxmlformats.org/officeDocument/2006/relationships/hyperlink" Target="http://secrets.rutgers.edu:8080/data/asl-ftp/asllvd/demos/verify_start_end_handshape_annotations//test_auto_move//signs_mov_separ_signers/Tyler_15430.mov" TargetMode="External"/><Relationship Id="rId13767" Type="http://schemas.openxmlformats.org/officeDocument/2006/relationships/hyperlink" Target="http://csr.bu.edu/ftp/asl/asllvd/demos/verify_start_end_handshape_annotations//test_auto_move//signs_mov_separ_signers/Brady_15430.mov" TargetMode="External"/><Relationship Id="rId13768" Type="http://schemas.openxmlformats.org/officeDocument/2006/relationships/hyperlink" Target="http://secrets.rutgers.edu:8080/data/asl-ftp/asllvd/demos/verify_start_end_handshape_annotations//test_auto_move//signs_mov_separ_signers/Brady_15430.mov" TargetMode="External"/><Relationship Id="rId13769" Type="http://schemas.openxmlformats.org/officeDocument/2006/relationships/hyperlink" Target="http://csr.bu.edu/ftp/asl/asllvd/demos/verify_start_end_handshape_annotations//test_auto_move//signs_mov/1551.mov" TargetMode="External"/><Relationship Id="rId13770" Type="http://schemas.openxmlformats.org/officeDocument/2006/relationships/hyperlink" Target="http://csr.bu.edu/ftp/asl/asllvd/demos/verify_start_end_handshape_annotations//test_auto_move//signs_mov_separ_signers/Tyler_1551.mov" TargetMode="External"/><Relationship Id="rId13771" Type="http://schemas.openxmlformats.org/officeDocument/2006/relationships/hyperlink" Target="http://secrets.rutgers.edu:8080/data/asl-ftp/asllvd/demos/verify_start_end_handshape_annotations//test_auto_move//signs_mov/1551.mov" TargetMode="External"/><Relationship Id="rId13772" Type="http://schemas.openxmlformats.org/officeDocument/2006/relationships/hyperlink" Target="http://secrets.rutgers.edu:8080/data/asl-ftp/asllvd/demos/verify_start_end_handshape_annotations//test_auto_move//signs_mov_separ_signers/Tyler_1551.mov" TargetMode="External"/><Relationship Id="rId13773" Type="http://schemas.openxmlformats.org/officeDocument/2006/relationships/hyperlink" Target="http://csr.bu.edu/ftp/asl/asllvd/demos/verify_start_end_handshape_annotations//test_auto_move//signs_mov_separ_signers/Dana_1551.mov" TargetMode="External"/><Relationship Id="rId13774" Type="http://schemas.openxmlformats.org/officeDocument/2006/relationships/hyperlink" Target="http://secrets.rutgers.edu:8080/data/asl-ftp/asllvd/demos/verify_start_end_handshape_annotations//test_auto_move//signs_mov_separ_signers/Dana_1551.mov" TargetMode="External"/><Relationship Id="rId13775" Type="http://schemas.openxmlformats.org/officeDocument/2006/relationships/hyperlink" Target="http://csr.bu.edu/ftp/asl/asllvd/demos/verify_start_end_handshape_annotations//test_auto_move//signs_mov_separ_signers/Liz_5260.mov" TargetMode="External"/><Relationship Id="rId13776" Type="http://schemas.openxmlformats.org/officeDocument/2006/relationships/hyperlink" Target="http://secrets.rutgers.edu:8080/data/asl-ftp/asllvd/demos/verify_start_end_handshape_annotations//test_auto_move//signs_mov_separ_signers/Liz_5260.mov" TargetMode="External"/><Relationship Id="rId13777" Type="http://schemas.openxmlformats.org/officeDocument/2006/relationships/hyperlink" Target="http://csr.bu.edu/ftp/asl/asllvd/demos/verify_start_end_handshape_annotations//test_auto_move//signs_mov/5260.mov" TargetMode="External"/><Relationship Id="rId13778" Type="http://schemas.openxmlformats.org/officeDocument/2006/relationships/hyperlink" Target="http://csr.bu.edu/ftp/asl/asllvd/demos/verify_start_end_handshape_annotations//test_auto_move//signs_mov_separ_signers/Brady_5260.mov" TargetMode="External"/><Relationship Id="rId13779" Type="http://schemas.openxmlformats.org/officeDocument/2006/relationships/hyperlink" Target="http://secrets.rutgers.edu:8080/data/asl-ftp/asllvd/demos/verify_start_end_handshape_annotations//test_auto_move//signs_mov/5260.mov" TargetMode="External"/><Relationship Id="rId13780" Type="http://schemas.openxmlformats.org/officeDocument/2006/relationships/hyperlink" Target="http://secrets.rutgers.edu:8080/data/asl-ftp/asllvd/demos/verify_start_end_handshape_annotations//test_auto_move//signs_mov_separ_signers/Brady_5260.mov" TargetMode="External"/><Relationship Id="rId13781" Type="http://schemas.openxmlformats.org/officeDocument/2006/relationships/hyperlink" Target="http://csr.bu.edu/ftp/asl/asllvd/demos/verify_start_end_handshape_annotations//test_auto_move//signs_mov_separ_signers/Lana_5260.mov" TargetMode="External"/><Relationship Id="rId13782" Type="http://schemas.openxmlformats.org/officeDocument/2006/relationships/hyperlink" Target="http://secrets.rutgers.edu:8080/data/asl-ftp/asllvd/demos/verify_start_end_handshape_annotations//test_auto_move//signs_mov_separ_signers/Lana_5260.mov" TargetMode="External"/><Relationship Id="rId13783" Type="http://schemas.openxmlformats.org/officeDocument/2006/relationships/hyperlink" Target="http://csr.bu.edu/ftp/asl/asllvd/demos/verify_start_end_handshape_annotations//test_auto_move//signs_mov/1552.mov" TargetMode="External"/><Relationship Id="rId13784" Type="http://schemas.openxmlformats.org/officeDocument/2006/relationships/hyperlink" Target="http://csr.bu.edu/ftp/asl/asllvd/demos/verify_start_end_handshape_annotations//test_auto_move//signs_mov_separ_signers/Liz_1552.mov" TargetMode="External"/><Relationship Id="rId13785" Type="http://schemas.openxmlformats.org/officeDocument/2006/relationships/hyperlink" Target="http://secrets.rutgers.edu:8080/data/asl-ftp/asllvd/demos/verify_start_end_handshape_annotations//test_auto_move//signs_mov/1552.mov" TargetMode="External"/><Relationship Id="rId13786" Type="http://schemas.openxmlformats.org/officeDocument/2006/relationships/hyperlink" Target="http://secrets.rutgers.edu:8080/data/asl-ftp/asllvd/demos/verify_start_end_handshape_annotations//test_auto_move//signs_mov_separ_signers/Liz_1552.mov" TargetMode="External"/><Relationship Id="rId13787" Type="http://schemas.openxmlformats.org/officeDocument/2006/relationships/hyperlink" Target="http://csr.bu.edu/ftp/asl/asllvd/demos/verify_start_end_handshape_annotations//test_auto_move//signs_mov_separ_signers/Tyler_1552.mov" TargetMode="External"/><Relationship Id="rId13788" Type="http://schemas.openxmlformats.org/officeDocument/2006/relationships/hyperlink" Target="http://secrets.rutgers.edu:8080/data/asl-ftp/asllvd/demos/verify_start_end_handshape_annotations//test_auto_move//signs_mov_separ_signers/Tyler_1552.mov" TargetMode="External"/><Relationship Id="rId13789" Type="http://schemas.openxmlformats.org/officeDocument/2006/relationships/hyperlink" Target="http://csr.bu.edu/ftp/asl/asllvd/demos/verify_start_end_handshape_annotations//test_auto_move//signs_mov/15549.mov" TargetMode="External"/><Relationship Id="rId13790" Type="http://schemas.openxmlformats.org/officeDocument/2006/relationships/hyperlink" Target="http://csr.bu.edu/ftp/asl/asllvd/demos/verify_start_end_handshape_annotations//test_auto_move//signs_mov_separ_signers/Liz_15549.mov" TargetMode="External"/><Relationship Id="rId13791" Type="http://schemas.openxmlformats.org/officeDocument/2006/relationships/hyperlink" Target="http://secrets.rutgers.edu:8080/data/asl-ftp/asllvd/demos/verify_start_end_handshape_annotations//test_auto_move//signs_mov/15549.mov" TargetMode="External"/><Relationship Id="rId13792" Type="http://schemas.openxmlformats.org/officeDocument/2006/relationships/hyperlink" Target="http://secrets.rutgers.edu:8080/data/asl-ftp/asllvd/demos/verify_start_end_handshape_annotations//test_auto_move//signs_mov_separ_signers/Liz_15549.mov" TargetMode="External"/><Relationship Id="rId13793" Type="http://schemas.openxmlformats.org/officeDocument/2006/relationships/hyperlink" Target="http://csr.bu.edu/ftp/asl/asllvd/demos/verify_start_end_handshape_annotations//test_auto_move//signs_mov_separ_signers/Brady_15549.mov" TargetMode="External"/><Relationship Id="rId13794" Type="http://schemas.openxmlformats.org/officeDocument/2006/relationships/hyperlink" Target="http://secrets.rutgers.edu:8080/data/asl-ftp/asllvd/demos/verify_start_end_handshape_annotations//test_auto_move//signs_mov_separ_signers/Brady_15549.mov" TargetMode="External"/><Relationship Id="rId13795" Type="http://schemas.openxmlformats.org/officeDocument/2006/relationships/hyperlink" Target="http://csr.bu.edu/ftp/asl/asllvd/demos/verify_start_end_handshape_annotations//test_auto_move//signs_mov_separ_signers/Liz_1557.mov" TargetMode="External"/><Relationship Id="rId13796" Type="http://schemas.openxmlformats.org/officeDocument/2006/relationships/hyperlink" Target="http://secrets.rutgers.edu:8080/data/asl-ftp/asllvd/demos/verify_start_end_handshape_annotations//test_auto_move//signs_mov_separ_signers/Liz_1557.mov" TargetMode="External"/><Relationship Id="rId13797" Type="http://schemas.openxmlformats.org/officeDocument/2006/relationships/hyperlink" Target="http://csr.bu.edu/ftp/asl/asllvd/demos/verify_start_end_handshape_annotations//test_auto_move//signs_mov_separ_signers/Liz_3687.mov" TargetMode="External"/><Relationship Id="rId13798" Type="http://schemas.openxmlformats.org/officeDocument/2006/relationships/hyperlink" Target="http://secrets.rutgers.edu:8080/data/asl-ftp/asllvd/demos/verify_start_end_handshape_annotations//test_auto_move//signs_mov_separ_signers/Liz_3687.mov" TargetMode="External"/><Relationship Id="rId13799" Type="http://schemas.openxmlformats.org/officeDocument/2006/relationships/hyperlink" Target="http://csr.bu.edu/ftp/asl/asllvd/demos/verify_start_end_handshape_annotations//test_auto_move//signs_mov/1557_3687_merged.mov" TargetMode="External"/><Relationship Id="rId13800" Type="http://schemas.openxmlformats.org/officeDocument/2006/relationships/hyperlink" Target="http://csr.bu.edu/ftp/asl/asllvd/demos/verify_start_end_handshape_annotations//test_auto_move//signs_mov_separ_signers/Tyler_1557.mov" TargetMode="External"/><Relationship Id="rId13801" Type="http://schemas.openxmlformats.org/officeDocument/2006/relationships/hyperlink" Target="http://secrets.rutgers.edu:8080/data/asl-ftp/asllvd/demos/verify_start_end_handshape_annotations//test_auto_move//signs_mov/1557_3687_merged.mov" TargetMode="External"/><Relationship Id="rId13802" Type="http://schemas.openxmlformats.org/officeDocument/2006/relationships/hyperlink" Target="http://secrets.rutgers.edu:8080/data/asl-ftp/asllvd/demos/verify_start_end_handshape_annotations//test_auto_move//signs_mov_separ_signers/Tyler_1557.mov" TargetMode="External"/><Relationship Id="rId13803" Type="http://schemas.openxmlformats.org/officeDocument/2006/relationships/hyperlink" Target="http://csr.bu.edu/ftp/asl/asllvd/demos/verify_start_end_handshape_annotations//test_auto_move//signs_mov_separ_signers/Tyler_3687.mov" TargetMode="External"/><Relationship Id="rId13804" Type="http://schemas.openxmlformats.org/officeDocument/2006/relationships/hyperlink" Target="http://secrets.rutgers.edu:8080/data/asl-ftp/asllvd/demos/verify_start_end_handshape_annotations//test_auto_move//signs_mov_separ_signers/Tyler_3687.mov" TargetMode="External"/><Relationship Id="rId13805" Type="http://schemas.openxmlformats.org/officeDocument/2006/relationships/hyperlink" Target="http://csr.bu.edu/ftp/asl/asllvd/demos/verify_start_end_handshape_annotations//test_auto_move//signs_mov_separ_signers/Brady_1557.mov" TargetMode="External"/><Relationship Id="rId13806" Type="http://schemas.openxmlformats.org/officeDocument/2006/relationships/hyperlink" Target="http://secrets.rutgers.edu:8080/data/asl-ftp/asllvd/demos/verify_start_end_handshape_annotations//test_auto_move//signs_mov_separ_signers/Brady_1557.mov" TargetMode="External"/><Relationship Id="rId13807" Type="http://schemas.openxmlformats.org/officeDocument/2006/relationships/hyperlink" Target="http://csr.bu.edu/ftp/asl/asllvd/demos/verify_start_end_handshape_annotations//test_auto_move//signs_mov_separ_signers/Brady_3687.mov" TargetMode="External"/><Relationship Id="rId13808" Type="http://schemas.openxmlformats.org/officeDocument/2006/relationships/hyperlink" Target="http://secrets.rutgers.edu:8080/data/asl-ftp/asllvd/demos/verify_start_end_handshape_annotations//test_auto_move//signs_mov_separ_signers/Brady_3687.mov" TargetMode="External"/><Relationship Id="rId13809" Type="http://schemas.openxmlformats.org/officeDocument/2006/relationships/hyperlink" Target="http://csr.bu.edu/ftp/asl/asllvd/demos/verify_start_end_handshape_annotations//test_auto_move//signs_mov_separ_signers/Liz_3688.mov" TargetMode="External"/><Relationship Id="rId13810" Type="http://schemas.openxmlformats.org/officeDocument/2006/relationships/hyperlink" Target="http://secrets.rutgers.edu:8080/data/asl-ftp/asllvd/demos/verify_start_end_handshape_annotations//test_auto_move//signs_mov_separ_signers/Liz_3688.mov" TargetMode="External"/><Relationship Id="rId13811" Type="http://schemas.openxmlformats.org/officeDocument/2006/relationships/hyperlink" Target="http://csr.bu.edu/ftp/asl/asllvd/demos/verify_start_end_handshape_annotations//test_auto_move//signs_mov/3688.mov" TargetMode="External"/><Relationship Id="rId13812" Type="http://schemas.openxmlformats.org/officeDocument/2006/relationships/hyperlink" Target="http://csr.bu.edu/ftp/asl/asllvd/demos/verify_start_end_handshape_annotations//test_auto_move//signs_mov_separ_signers/Tyler_3688.mov" TargetMode="External"/><Relationship Id="rId13813" Type="http://schemas.openxmlformats.org/officeDocument/2006/relationships/hyperlink" Target="http://secrets.rutgers.edu:8080/data/asl-ftp/asllvd/demos/verify_start_end_handshape_annotations//test_auto_move//signs_mov/3688.mov" TargetMode="External"/><Relationship Id="rId13814" Type="http://schemas.openxmlformats.org/officeDocument/2006/relationships/hyperlink" Target="http://secrets.rutgers.edu:8080/data/asl-ftp/asllvd/demos/verify_start_end_handshape_annotations//test_auto_move//signs_mov_separ_signers/Tyler_3688.mov" TargetMode="External"/><Relationship Id="rId13815" Type="http://schemas.openxmlformats.org/officeDocument/2006/relationships/hyperlink" Target="http://csr.bu.edu/ftp/asl/asllvd/demos/verify_start_end_handshape_annotations//test_auto_move//signs_mov_separ_signers/Brady_3688.mov" TargetMode="External"/><Relationship Id="rId13816" Type="http://schemas.openxmlformats.org/officeDocument/2006/relationships/hyperlink" Target="http://secrets.rutgers.edu:8080/data/asl-ftp/asllvd/demos/verify_start_end_handshape_annotations//test_auto_move//signs_mov_separ_signers/Brady_3688.mov" TargetMode="External"/><Relationship Id="rId13817" Type="http://schemas.openxmlformats.org/officeDocument/2006/relationships/hyperlink" Target="http://csr.bu.edu/ftp/asl/asllvd/demos/verify_start_end_handshape_annotations//test_auto_move//signs_mov/1559.mov" TargetMode="External"/><Relationship Id="rId13818" Type="http://schemas.openxmlformats.org/officeDocument/2006/relationships/hyperlink" Target="http://csr.bu.edu/ftp/asl/asllvd/demos/verify_start_end_handshape_annotations//test_auto_move//signs_mov_separ_signers/Liz_1559.mov" TargetMode="External"/><Relationship Id="rId13819" Type="http://schemas.openxmlformats.org/officeDocument/2006/relationships/hyperlink" Target="http://secrets.rutgers.edu:8080/data/asl-ftp/asllvd/demos/verify_start_end_handshape_annotations//test_auto_move//signs_mov/1559.mov" TargetMode="External"/><Relationship Id="rId13820" Type="http://schemas.openxmlformats.org/officeDocument/2006/relationships/hyperlink" Target="http://secrets.rutgers.edu:8080/data/asl-ftp/asllvd/demos/verify_start_end_handshape_annotations//test_auto_move//signs_mov_separ_signers/Liz_1559.mov" TargetMode="External"/><Relationship Id="rId13821" Type="http://schemas.openxmlformats.org/officeDocument/2006/relationships/hyperlink" Target="http://csr.bu.edu/ftp/asl/asllvd/demos/verify_start_end_handshape_annotations//test_auto_move//signs_mov_separ_signers/Brady_1559.mov" TargetMode="External"/><Relationship Id="rId13822" Type="http://schemas.openxmlformats.org/officeDocument/2006/relationships/hyperlink" Target="http://secrets.rutgers.edu:8080/data/asl-ftp/asllvd/demos/verify_start_end_handshape_annotations//test_auto_move//signs_mov_separ_signers/Brady_1559.mov" TargetMode="External"/><Relationship Id="rId13823" Type="http://schemas.openxmlformats.org/officeDocument/2006/relationships/hyperlink" Target="http://csr.bu.edu/ftp/asl/asllvd/demos/verify_start_end_handshape_annotations//test_auto_move//signs_mov_separ_signers/Liz_1562.mov" TargetMode="External"/><Relationship Id="rId13824" Type="http://schemas.openxmlformats.org/officeDocument/2006/relationships/hyperlink" Target="http://secrets.rutgers.edu:8080/data/asl-ftp/asllvd/demos/verify_start_end_handshape_annotations//test_auto_move//signs_mov_separ_signers/Liz_1562.mov" TargetMode="External"/><Relationship Id="rId13825" Type="http://schemas.openxmlformats.org/officeDocument/2006/relationships/hyperlink" Target="http://csr.bu.edu/ftp/asl/asllvd/demos/verify_start_end_handshape_annotations//test_auto_move//signs_mov/1562_3301_merged.mov" TargetMode="External"/><Relationship Id="rId13826" Type="http://schemas.openxmlformats.org/officeDocument/2006/relationships/hyperlink" Target="http://csr.bu.edu/ftp/asl/asllvd/demos/verify_start_end_handshape_annotations//test_auto_move//signs_mov_separ_signers/Tyler_1562.mov" TargetMode="External"/><Relationship Id="rId13827" Type="http://schemas.openxmlformats.org/officeDocument/2006/relationships/hyperlink" Target="http://secrets.rutgers.edu:8080/data/asl-ftp/asllvd/demos/verify_start_end_handshape_annotations//test_auto_move//signs_mov/1562_3301_merged.mov" TargetMode="External"/><Relationship Id="rId13828" Type="http://schemas.openxmlformats.org/officeDocument/2006/relationships/hyperlink" Target="http://secrets.rutgers.edu:8080/data/asl-ftp/asllvd/demos/verify_start_end_handshape_annotations//test_auto_move//signs_mov_separ_signers/Tyler_1562.mov" TargetMode="External"/><Relationship Id="rId13829" Type="http://schemas.openxmlformats.org/officeDocument/2006/relationships/hyperlink" Target="http://csr.bu.edu/ftp/asl/asllvd/demos/verify_start_end_handshape_annotations//test_auto_move//signs_mov_separ_signers/Tyler_3301.mov" TargetMode="External"/><Relationship Id="rId13830" Type="http://schemas.openxmlformats.org/officeDocument/2006/relationships/hyperlink" Target="http://secrets.rutgers.edu:8080/data/asl-ftp/asllvd/demos/verify_start_end_handshape_annotations//test_auto_move//signs_mov_separ_signers/Tyler_3301.mov" TargetMode="External"/><Relationship Id="rId13831" Type="http://schemas.openxmlformats.org/officeDocument/2006/relationships/hyperlink" Target="http://csr.bu.edu/ftp/asl/asllvd/demos/verify_start_end_handshape_annotations//test_auto_move//signs_mov_separ_signers/Brady_1562.mov" TargetMode="External"/><Relationship Id="rId13832" Type="http://schemas.openxmlformats.org/officeDocument/2006/relationships/hyperlink" Target="http://secrets.rutgers.edu:8080/data/asl-ftp/asllvd/demos/verify_start_end_handshape_annotations//test_auto_move//signs_mov_separ_signers/Brady_1562.mov" TargetMode="External"/><Relationship Id="rId13833" Type="http://schemas.openxmlformats.org/officeDocument/2006/relationships/hyperlink" Target="http://csr.bu.edu/ftp/asl/asllvd/demos/verify_start_end_handshape_annotations//test_auto_move//signs_mov_separ_signers/Liz_5557.mov" TargetMode="External"/><Relationship Id="rId13834" Type="http://schemas.openxmlformats.org/officeDocument/2006/relationships/hyperlink" Target="http://secrets.rutgers.edu:8080/data/asl-ftp/asllvd/demos/verify_start_end_handshape_annotations//test_auto_move//signs_mov_separ_signers/Liz_5557.mov" TargetMode="External"/><Relationship Id="rId13835" Type="http://schemas.openxmlformats.org/officeDocument/2006/relationships/hyperlink" Target="http://csr.bu.edu/ftp/asl/asllvd/demos/verify_start_end_handshape_annotations//test_auto_move//signs_mov/5557.mov" TargetMode="External"/><Relationship Id="rId13836" Type="http://schemas.openxmlformats.org/officeDocument/2006/relationships/hyperlink" Target="http://csr.bu.edu/ftp/asl/asllvd/demos/verify_start_end_handshape_annotations//test_auto_move//signs_mov_separ_signers/Tyler_5557.mov" TargetMode="External"/><Relationship Id="rId13837" Type="http://schemas.openxmlformats.org/officeDocument/2006/relationships/hyperlink" Target="http://secrets.rutgers.edu:8080/data/asl-ftp/asllvd/demos/verify_start_end_handshape_annotations//test_auto_move//signs_mov/5557.mov" TargetMode="External"/><Relationship Id="rId13838" Type="http://schemas.openxmlformats.org/officeDocument/2006/relationships/hyperlink" Target="http://secrets.rutgers.edu:8080/data/asl-ftp/asllvd/demos/verify_start_end_handshape_annotations//test_auto_move//signs_mov_separ_signers/Tyler_5557.mov" TargetMode="External"/><Relationship Id="rId13839" Type="http://schemas.openxmlformats.org/officeDocument/2006/relationships/hyperlink" Target="http://csr.bu.edu/ftp/asl/asllvd/demos/verify_start_end_handshape_annotations//test_auto_move//signs_mov_separ_signers/Brady_5557.mov" TargetMode="External"/><Relationship Id="rId13840" Type="http://schemas.openxmlformats.org/officeDocument/2006/relationships/hyperlink" Target="http://secrets.rutgers.edu:8080/data/asl-ftp/asllvd/demos/verify_start_end_handshape_annotations//test_auto_move//signs_mov_separ_signers/Brady_5557.mov" TargetMode="External"/><Relationship Id="rId13841" Type="http://schemas.openxmlformats.org/officeDocument/2006/relationships/hyperlink" Target="http://csr.bu.edu/ftp/asl/asllvd/demos/verify_start_end_handshape_annotations//test_auto_move//signs_mov_separ_signers/Liz_5959.mov" TargetMode="External"/><Relationship Id="rId13842" Type="http://schemas.openxmlformats.org/officeDocument/2006/relationships/hyperlink" Target="http://secrets.rutgers.edu:8080/data/asl-ftp/asllvd/demos/verify_start_end_handshape_annotations//test_auto_move//signs_mov_separ_signers/Liz_5959.mov" TargetMode="External"/><Relationship Id="rId13843" Type="http://schemas.openxmlformats.org/officeDocument/2006/relationships/hyperlink" Target="http://csr.bu.edu/ftp/asl/asllvd/demos/verify_start_end_handshape_annotations//test_auto_move//signs_mov/5959.mov" TargetMode="External"/><Relationship Id="rId13844" Type="http://schemas.openxmlformats.org/officeDocument/2006/relationships/hyperlink" Target="http://csr.bu.edu/ftp/asl/asllvd/demos/verify_start_end_handshape_annotations//test_auto_move//signs_mov_separ_signers/Brady_5959.mov" TargetMode="External"/><Relationship Id="rId13845" Type="http://schemas.openxmlformats.org/officeDocument/2006/relationships/hyperlink" Target="http://secrets.rutgers.edu:8080/data/asl-ftp/asllvd/demos/verify_start_end_handshape_annotations//test_auto_move//signs_mov/5959.mov" TargetMode="External"/><Relationship Id="rId13846" Type="http://schemas.openxmlformats.org/officeDocument/2006/relationships/hyperlink" Target="http://secrets.rutgers.edu:8080/data/asl-ftp/asllvd/demos/verify_start_end_handshape_annotations//test_auto_move//signs_mov_separ_signers/Brady_5959.mov" TargetMode="External"/><Relationship Id="rId13847" Type="http://schemas.openxmlformats.org/officeDocument/2006/relationships/hyperlink" Target="http://csr.bu.edu/ftp/asl/asllvd/demos/verify_start_end_handshape_annotations//test_auto_move//signs_mov_separ_signers/Dana_5959.mov" TargetMode="External"/><Relationship Id="rId13848" Type="http://schemas.openxmlformats.org/officeDocument/2006/relationships/hyperlink" Target="http://secrets.rutgers.edu:8080/data/asl-ftp/asllvd/demos/verify_start_end_handshape_annotations//test_auto_move//signs_mov_separ_signers/Dana_5959.mov" TargetMode="External"/><Relationship Id="rId13849" Type="http://schemas.openxmlformats.org/officeDocument/2006/relationships/hyperlink" Target="http://csr.bu.edu/ftp/asl/asllvd/demos/verify_start_end_handshape_annotations//test_auto_move//signs_mov/5960.mov" TargetMode="External"/><Relationship Id="rId13850" Type="http://schemas.openxmlformats.org/officeDocument/2006/relationships/hyperlink" Target="http://csr.bu.edu/ftp/asl/asllvd/demos/verify_start_end_handshape_annotations//test_auto_move//signs_mov_separ_signers/Lana_5960.mov" TargetMode="External"/><Relationship Id="rId13851" Type="http://schemas.openxmlformats.org/officeDocument/2006/relationships/hyperlink" Target="http://secrets.rutgers.edu:8080/data/asl-ftp/asllvd/demos/verify_start_end_handshape_annotations//test_auto_move//signs_mov/5960.mov" TargetMode="External"/><Relationship Id="rId13852" Type="http://schemas.openxmlformats.org/officeDocument/2006/relationships/hyperlink" Target="http://secrets.rutgers.edu:8080/data/asl-ftp/asllvd/demos/verify_start_end_handshape_annotations//test_auto_move//signs_mov_separ_signers/Lana_5960.mov" TargetMode="External"/><Relationship Id="rId13853" Type="http://schemas.openxmlformats.org/officeDocument/2006/relationships/hyperlink" Target="http://csr.bu.edu/ftp/asl/asllvd/demos/verify_start_end_handshape_annotations//test_auto_move//signs_mov_separ_signers/Liz_1566.mov" TargetMode="External"/><Relationship Id="rId13854" Type="http://schemas.openxmlformats.org/officeDocument/2006/relationships/hyperlink" Target="http://secrets.rutgers.edu:8080/data/asl-ftp/asllvd/demos/verify_start_end_handshape_annotations//test_auto_move//signs_mov_separ_signers/Liz_1566.mov" TargetMode="External"/><Relationship Id="rId13855" Type="http://schemas.openxmlformats.org/officeDocument/2006/relationships/hyperlink" Target="http://csr.bu.edu/ftp/asl/asllvd/demos/verify_start_end_handshape_annotations//test_auto_move//signs_mov_separ_signers/Liz_5652.mov" TargetMode="External"/><Relationship Id="rId13856" Type="http://schemas.openxmlformats.org/officeDocument/2006/relationships/hyperlink" Target="http://secrets.rutgers.edu:8080/data/asl-ftp/asllvd/demos/verify_start_end_handshape_annotations//test_auto_move//signs_mov_separ_signers/Liz_5652.mov" TargetMode="External"/><Relationship Id="rId13857" Type="http://schemas.openxmlformats.org/officeDocument/2006/relationships/hyperlink" Target="http://csr.bu.edu/ftp/asl/asllvd/demos/verify_start_end_handshape_annotations//test_auto_move//signs_mov/1566_5652_merged.mov" TargetMode="External"/><Relationship Id="rId13858" Type="http://schemas.openxmlformats.org/officeDocument/2006/relationships/hyperlink" Target="http://csr.bu.edu/ftp/asl/asllvd/demos/verify_start_end_handshape_annotations//test_auto_move//signs_mov_separ_signers/Tyler_1566.mov" TargetMode="External"/><Relationship Id="rId13859" Type="http://schemas.openxmlformats.org/officeDocument/2006/relationships/hyperlink" Target="http://secrets.rutgers.edu:8080/data/asl-ftp/asllvd/demos/verify_start_end_handshape_annotations//test_auto_move//signs_mov/1566_5652_merged.mov" TargetMode="External"/><Relationship Id="rId13860" Type="http://schemas.openxmlformats.org/officeDocument/2006/relationships/hyperlink" Target="http://secrets.rutgers.edu:8080/data/asl-ftp/asllvd/demos/verify_start_end_handshape_annotations//test_auto_move//signs_mov_separ_signers/Tyler_1566.mov" TargetMode="External"/><Relationship Id="rId13861" Type="http://schemas.openxmlformats.org/officeDocument/2006/relationships/hyperlink" Target="http://csr.bu.edu/ftp/asl/asllvd/demos/verify_start_end_handshape_annotations//test_auto_move//signs_mov_separ_signers/Brady_1566.mov" TargetMode="External"/><Relationship Id="rId13862" Type="http://schemas.openxmlformats.org/officeDocument/2006/relationships/hyperlink" Target="http://secrets.rutgers.edu:8080/data/asl-ftp/asllvd/demos/verify_start_end_handshape_annotations//test_auto_move//signs_mov_separ_signers/Brady_1566.mov" TargetMode="External"/><Relationship Id="rId13863" Type="http://schemas.openxmlformats.org/officeDocument/2006/relationships/hyperlink" Target="http://csr.bu.edu/ftp/asl/asllvd/demos/verify_start_end_handshape_annotations//test_auto_move//signs_mov_separ_signers/Brady_5652.mov" TargetMode="External"/><Relationship Id="rId13864" Type="http://schemas.openxmlformats.org/officeDocument/2006/relationships/hyperlink" Target="http://secrets.rutgers.edu:8080/data/asl-ftp/asllvd/demos/verify_start_end_handshape_annotations//test_auto_move//signs_mov_separ_signers/Brady_5652.mov" TargetMode="External"/><Relationship Id="rId13865" Type="http://schemas.openxmlformats.org/officeDocument/2006/relationships/hyperlink" Target="http://csr.bu.edu/ftp/asl/asllvd/demos/verify_start_end_handshape_annotations//test_auto_move//signs_mov_separ_signers/Liz_15718.mov" TargetMode="External"/><Relationship Id="rId13866" Type="http://schemas.openxmlformats.org/officeDocument/2006/relationships/hyperlink" Target="http://secrets.rutgers.edu:8080/data/asl-ftp/asllvd/demos/verify_start_end_handshape_annotations//test_auto_move//signs_mov_separ_signers/Liz_15718.mov" TargetMode="External"/><Relationship Id="rId13867" Type="http://schemas.openxmlformats.org/officeDocument/2006/relationships/hyperlink" Target="http://csr.bu.edu/ftp/asl/asllvd/demos/verify_start_end_handshape_annotations//test_auto_move//signs_mov/15718.mov" TargetMode="External"/><Relationship Id="rId13868" Type="http://schemas.openxmlformats.org/officeDocument/2006/relationships/hyperlink" Target="http://csr.bu.edu/ftp/asl/asllvd/demos/verify_start_end_handshape_annotations//test_auto_move//signs_mov_separ_signers/Tyler_15718.mov" TargetMode="External"/><Relationship Id="rId13869" Type="http://schemas.openxmlformats.org/officeDocument/2006/relationships/hyperlink" Target="http://secrets.rutgers.edu:8080/data/asl-ftp/asllvd/demos/verify_start_end_handshape_annotations//test_auto_move//signs_mov/15718.mov" TargetMode="External"/><Relationship Id="rId13870" Type="http://schemas.openxmlformats.org/officeDocument/2006/relationships/hyperlink" Target="http://secrets.rutgers.edu:8080/data/asl-ftp/asllvd/demos/verify_start_end_handshape_annotations//test_auto_move//signs_mov_separ_signers/Tyler_15718.mov" TargetMode="External"/><Relationship Id="rId13871" Type="http://schemas.openxmlformats.org/officeDocument/2006/relationships/hyperlink" Target="http://csr.bu.edu/ftp/asl/asllvd/demos/verify_start_end_handshape_annotations//test_auto_move//signs_mov_separ_signers/Naomi_15718.mov" TargetMode="External"/><Relationship Id="rId13872" Type="http://schemas.openxmlformats.org/officeDocument/2006/relationships/hyperlink" Target="http://secrets.rutgers.edu:8080/data/asl-ftp/asllvd/demos/verify_start_end_handshape_annotations//test_auto_move//signs_mov_separ_signers/Naomi_15718.mov" TargetMode="External"/><Relationship Id="rId13873" Type="http://schemas.openxmlformats.org/officeDocument/2006/relationships/hyperlink" Target="http://csr.bu.edu/ftp/asl/asllvd/demos/verify_start_end_handshape_annotations//test_auto_move//signs_mov_separ_signers/Liz_15793.mov" TargetMode="External"/><Relationship Id="rId13874" Type="http://schemas.openxmlformats.org/officeDocument/2006/relationships/hyperlink" Target="http://secrets.rutgers.edu:8080/data/asl-ftp/asllvd/demos/verify_start_end_handshape_annotations//test_auto_move//signs_mov_separ_signers/Liz_15793.mov" TargetMode="External"/><Relationship Id="rId13875" Type="http://schemas.openxmlformats.org/officeDocument/2006/relationships/hyperlink" Target="http://csr.bu.edu/ftp/asl/asllvd/demos/verify_start_end_handshape_annotations//test_auto_move//signs_mov/15793_16531_merged.mov" TargetMode="External"/><Relationship Id="rId13876" Type="http://schemas.openxmlformats.org/officeDocument/2006/relationships/hyperlink" Target="http://csr.bu.edu/ftp/asl/asllvd/demos/verify_start_end_handshape_annotations//test_auto_move//signs_mov_separ_signers/Naomi_15793.mov" TargetMode="External"/><Relationship Id="rId13877" Type="http://schemas.openxmlformats.org/officeDocument/2006/relationships/hyperlink" Target="http://secrets.rutgers.edu:8080/data/asl-ftp/asllvd/demos/verify_start_end_handshape_annotations//test_auto_move//signs_mov/15793_16531_merged.mov" TargetMode="External"/><Relationship Id="rId13878" Type="http://schemas.openxmlformats.org/officeDocument/2006/relationships/hyperlink" Target="http://secrets.rutgers.edu:8080/data/asl-ftp/asllvd/demos/verify_start_end_handshape_annotations//test_auto_move//signs_mov_separ_signers/Naomi_15793.mov" TargetMode="External"/><Relationship Id="rId13879" Type="http://schemas.openxmlformats.org/officeDocument/2006/relationships/hyperlink" Target="http://csr.bu.edu/ftp/asl/asllvd/demos/verify_start_end_handshape_annotations//test_auto_move//signs_mov_separ_signers/Brady_15793.mov" TargetMode="External"/><Relationship Id="rId13880" Type="http://schemas.openxmlformats.org/officeDocument/2006/relationships/hyperlink" Target="http://secrets.rutgers.edu:8080/data/asl-ftp/asllvd/demos/verify_start_end_handshape_annotations//test_auto_move//signs_mov_separ_signers/Brady_15793.mov" TargetMode="External"/><Relationship Id="rId13881" Type="http://schemas.openxmlformats.org/officeDocument/2006/relationships/hyperlink" Target="http://csr.bu.edu/ftp/asl/asllvd/demos/verify_start_end_handshape_annotations//test_auto_move//signs_mov_separ_signers/Brady_16531.mov" TargetMode="External"/><Relationship Id="rId13882" Type="http://schemas.openxmlformats.org/officeDocument/2006/relationships/hyperlink" Target="http://secrets.rutgers.edu:8080/data/asl-ftp/asllvd/demos/verify_start_end_handshape_annotations//test_auto_move//signs_mov_separ_signers/Brady_16531.mov" TargetMode="External"/><Relationship Id="rId13883" Type="http://schemas.openxmlformats.org/officeDocument/2006/relationships/hyperlink" Target="http://csr.bu.edu/ftp/asl/asllvd/demos/verify_start_end_handshape_annotations//test_auto_move//signs_mov/1568.mov" TargetMode="External"/><Relationship Id="rId13884" Type="http://schemas.openxmlformats.org/officeDocument/2006/relationships/hyperlink" Target="http://csr.bu.edu/ftp/asl/asllvd/demos/verify_start_end_handshape_annotations//test_auto_move//signs_mov_separ_signers/Liz_1568.mov" TargetMode="External"/><Relationship Id="rId13885" Type="http://schemas.openxmlformats.org/officeDocument/2006/relationships/hyperlink" Target="http://secrets.rutgers.edu:8080/data/asl-ftp/asllvd/demos/verify_start_end_handshape_annotations//test_auto_move//signs_mov/1568.mov" TargetMode="External"/><Relationship Id="rId13886" Type="http://schemas.openxmlformats.org/officeDocument/2006/relationships/hyperlink" Target="http://secrets.rutgers.edu:8080/data/asl-ftp/asllvd/demos/verify_start_end_handshape_annotations//test_auto_move//signs_mov_separ_signers/Liz_1568.mov" TargetMode="External"/><Relationship Id="rId13887" Type="http://schemas.openxmlformats.org/officeDocument/2006/relationships/hyperlink" Target="http://csr.bu.edu/ftp/asl/asllvd/demos/verify_start_end_handshape_annotations//test_auto_move//signs_mov_separ_signers/Brady_1568.mov" TargetMode="External"/><Relationship Id="rId13888" Type="http://schemas.openxmlformats.org/officeDocument/2006/relationships/hyperlink" Target="http://secrets.rutgers.edu:8080/data/asl-ftp/asllvd/demos/verify_start_end_handshape_annotations//test_auto_move//signs_mov_separ_signers/Brady_1568.mov" TargetMode="External"/><Relationship Id="rId13889" Type="http://schemas.openxmlformats.org/officeDocument/2006/relationships/hyperlink" Target="http://csr.bu.edu/ftp/asl/asllvd/demos/verify_start_end_handshape_annotations//test_auto_move//signs_mov/5659.mov" TargetMode="External"/><Relationship Id="rId13890" Type="http://schemas.openxmlformats.org/officeDocument/2006/relationships/hyperlink" Target="http://csr.bu.edu/ftp/asl/asllvd/demos/verify_start_end_handshape_annotations//test_auto_move//signs_mov_separ_signers/Tyler_5659.mov" TargetMode="External"/><Relationship Id="rId13891" Type="http://schemas.openxmlformats.org/officeDocument/2006/relationships/hyperlink" Target="http://secrets.rutgers.edu:8080/data/asl-ftp/asllvd/demos/verify_start_end_handshape_annotations//test_auto_move//signs_mov/5659.mov" TargetMode="External"/><Relationship Id="rId13892" Type="http://schemas.openxmlformats.org/officeDocument/2006/relationships/hyperlink" Target="http://secrets.rutgers.edu:8080/data/asl-ftp/asllvd/demos/verify_start_end_handshape_annotations//test_auto_move//signs_mov_separ_signers/Tyler_5659.mov" TargetMode="External"/><Relationship Id="rId13893" Type="http://schemas.openxmlformats.org/officeDocument/2006/relationships/hyperlink" Target="http://csr.bu.edu/ftp/asl/asllvd/demos/verify_start_end_handshape_annotations//test_auto_move//signs_mov_separ_signers/Brady_5659.mov" TargetMode="External"/><Relationship Id="rId13894" Type="http://schemas.openxmlformats.org/officeDocument/2006/relationships/hyperlink" Target="http://secrets.rutgers.edu:8080/data/asl-ftp/asllvd/demos/verify_start_end_handshape_annotations//test_auto_move//signs_mov_separ_signers/Brady_5659.mov" TargetMode="External"/><Relationship Id="rId13895" Type="http://schemas.openxmlformats.org/officeDocument/2006/relationships/hyperlink" Target="http://csr.bu.edu/ftp/asl/asllvd/demos/verify_start_end_handshape_annotations//test_auto_move//signs_mov_separ_signers/Liz_1569.mov" TargetMode="External"/><Relationship Id="rId13896" Type="http://schemas.openxmlformats.org/officeDocument/2006/relationships/hyperlink" Target="http://secrets.rutgers.edu:8080/data/asl-ftp/asllvd/demos/verify_start_end_handshape_annotations//test_auto_move//signs_mov_separ_signers/Liz_1569.mov" TargetMode="External"/><Relationship Id="rId13897" Type="http://schemas.openxmlformats.org/officeDocument/2006/relationships/hyperlink" Target="http://csr.bu.edu/ftp/asl/asllvd/demos/verify_start_end_handshape_annotations//test_auto_move//signs_mov_separ_signers/Tyler_1569.mov" TargetMode="External"/><Relationship Id="rId13898" Type="http://schemas.openxmlformats.org/officeDocument/2006/relationships/hyperlink" Target="http://secrets.rutgers.edu:8080/data/asl-ftp/asllvd/demos/verify_start_end_handshape_annotations//test_auto_move//signs_mov_separ_signers/Tyler_1569.mov" TargetMode="External"/><Relationship Id="rId13899" Type="http://schemas.openxmlformats.org/officeDocument/2006/relationships/hyperlink" Target="http://csr.bu.edu/ftp/asl/asllvd/demos/verify_start_end_handshape_annotations//test_auto_move//signs_mov/1569.mov" TargetMode="External"/><Relationship Id="rId13900" Type="http://schemas.openxmlformats.org/officeDocument/2006/relationships/hyperlink" Target="http://csr.bu.edu/ftp/asl/asllvd/demos/verify_start_end_handshape_annotations//test_auto_move//signs_mov_separ_signers/Brady_1569.mov" TargetMode="External"/><Relationship Id="rId13901" Type="http://schemas.openxmlformats.org/officeDocument/2006/relationships/hyperlink" Target="http://secrets.rutgers.edu:8080/data/asl-ftp/asllvd/demos/verify_start_end_handshape_annotations//test_auto_move//signs_mov/1569.mov" TargetMode="External"/><Relationship Id="rId13902" Type="http://schemas.openxmlformats.org/officeDocument/2006/relationships/hyperlink" Target="http://secrets.rutgers.edu:8080/data/asl-ftp/asllvd/demos/verify_start_end_handshape_annotations//test_auto_move//signs_mov_separ_signers/Brady_1569.mov" TargetMode="External"/><Relationship Id="rId13903" Type="http://schemas.openxmlformats.org/officeDocument/2006/relationships/hyperlink" Target="http://csr.bu.edu/ftp/asl/asllvd/demos/verify_start_end_handshape_annotations//test_auto_move//signs_mov_separ_signers/Lana_1569.mov" TargetMode="External"/><Relationship Id="rId13904" Type="http://schemas.openxmlformats.org/officeDocument/2006/relationships/hyperlink" Target="http://secrets.rutgers.edu:8080/data/asl-ftp/asllvd/demos/verify_start_end_handshape_annotations//test_auto_move//signs_mov_separ_signers/Lana_1569.mov" TargetMode="External"/><Relationship Id="rId13905" Type="http://schemas.openxmlformats.org/officeDocument/2006/relationships/hyperlink" Target="http://csr.bu.edu/ftp/asl/asllvd/demos/verify_start_end_handshape_annotations//test_auto_move//signs_mov_separ_signers/Dana_1569.mov" TargetMode="External"/><Relationship Id="rId13906" Type="http://schemas.openxmlformats.org/officeDocument/2006/relationships/hyperlink" Target="http://secrets.rutgers.edu:8080/data/asl-ftp/asllvd/demos/verify_start_end_handshape_annotations//test_auto_move//signs_mov_separ_signers/Dana_1569.mov" TargetMode="External"/><Relationship Id="rId13907" Type="http://schemas.openxmlformats.org/officeDocument/2006/relationships/hyperlink" Target="http://csr.bu.edu/ftp/asl/asllvd/demos/verify_start_end_handshape_annotations//test_auto_move//signs_mov_separ_signers/Liz_15161.mov" TargetMode="External"/><Relationship Id="rId13908" Type="http://schemas.openxmlformats.org/officeDocument/2006/relationships/hyperlink" Target="http://secrets.rutgers.edu:8080/data/asl-ftp/asllvd/demos/verify_start_end_handshape_annotations//test_auto_move//signs_mov_separ_signers/Liz_15161.mov" TargetMode="External"/><Relationship Id="rId13909" Type="http://schemas.openxmlformats.org/officeDocument/2006/relationships/hyperlink" Target="http://csr.bu.edu/ftp/asl/asllvd/demos/verify_start_end_handshape_annotations//test_auto_move//signs_mov/15161.mov" TargetMode="External"/><Relationship Id="rId13910" Type="http://schemas.openxmlformats.org/officeDocument/2006/relationships/hyperlink" Target="http://csr.bu.edu/ftp/asl/asllvd/demos/verify_start_end_handshape_annotations//test_auto_move//signs_mov_separ_signers/Tyler_15161.mov" TargetMode="External"/><Relationship Id="rId13911" Type="http://schemas.openxmlformats.org/officeDocument/2006/relationships/hyperlink" Target="http://secrets.rutgers.edu:8080/data/asl-ftp/asllvd/demos/verify_start_end_handshape_annotations//test_auto_move//signs_mov/15161.mov" TargetMode="External"/><Relationship Id="rId13912" Type="http://schemas.openxmlformats.org/officeDocument/2006/relationships/hyperlink" Target="http://secrets.rutgers.edu:8080/data/asl-ftp/asllvd/demos/verify_start_end_handshape_annotations//test_auto_move//signs_mov_separ_signers/Tyler_15161.mov" TargetMode="External"/><Relationship Id="rId13913" Type="http://schemas.openxmlformats.org/officeDocument/2006/relationships/hyperlink" Target="http://csr.bu.edu/ftp/asl/asllvd/demos/verify_start_end_handshape_annotations//test_auto_move//signs_mov_separ_signers/Naomi_15161.mov" TargetMode="External"/><Relationship Id="rId13914" Type="http://schemas.openxmlformats.org/officeDocument/2006/relationships/hyperlink" Target="http://secrets.rutgers.edu:8080/data/asl-ftp/asllvd/demos/verify_start_end_handshape_annotations//test_auto_move//signs_mov_separ_signers/Naomi_15161.mov" TargetMode="External"/><Relationship Id="rId13915" Type="http://schemas.openxmlformats.org/officeDocument/2006/relationships/hyperlink" Target="http://csr.bu.edu/ftp/asl/asllvd/demos/verify_start_end_handshape_annotations//test_auto_move//signs_mov_separ_signers/Brady_15161.mov" TargetMode="External"/><Relationship Id="rId13916" Type="http://schemas.openxmlformats.org/officeDocument/2006/relationships/hyperlink" Target="http://secrets.rutgers.edu:8080/data/asl-ftp/asllvd/demos/verify_start_end_handshape_annotations//test_auto_move//signs_mov_separ_signers/Brady_15161.mov" TargetMode="External"/><Relationship Id="rId13917" Type="http://schemas.openxmlformats.org/officeDocument/2006/relationships/hyperlink" Target="http://csr.bu.edu/ftp/asl/asllvd/demos/verify_start_end_handshape_annotations//test_auto_move//signs_mov_separ_signers/Tyler_1570.mov" TargetMode="External"/><Relationship Id="rId13918" Type="http://schemas.openxmlformats.org/officeDocument/2006/relationships/hyperlink" Target="http://secrets.rutgers.edu:8080/data/asl-ftp/asllvd/demos/verify_start_end_handshape_annotations//test_auto_move//signs_mov_separ_signers/Tyler_1570.mov" TargetMode="External"/><Relationship Id="rId13919" Type="http://schemas.openxmlformats.org/officeDocument/2006/relationships/hyperlink" Target="http://csr.bu.edu/ftp/asl/asllvd/demos/verify_start_end_handshape_annotations//test_auto_move//signs_mov/1570.mov" TargetMode="External"/><Relationship Id="rId13920" Type="http://schemas.openxmlformats.org/officeDocument/2006/relationships/hyperlink" Target="http://csr.bu.edu/ftp/asl/asllvd/demos/verify_start_end_handshape_annotations//test_auto_move//signs_mov_separ_signers/Lana_1570.mov" TargetMode="External"/><Relationship Id="rId13921" Type="http://schemas.openxmlformats.org/officeDocument/2006/relationships/hyperlink" Target="http://secrets.rutgers.edu:8080/data/asl-ftp/asllvd/demos/verify_start_end_handshape_annotations//test_auto_move//signs_mov/1570.mov" TargetMode="External"/><Relationship Id="rId13922" Type="http://schemas.openxmlformats.org/officeDocument/2006/relationships/hyperlink" Target="http://secrets.rutgers.edu:8080/data/asl-ftp/asllvd/demos/verify_start_end_handshape_annotations//test_auto_move//signs_mov_separ_signers/Lana_1570.mov" TargetMode="External"/><Relationship Id="rId13923" Type="http://schemas.openxmlformats.org/officeDocument/2006/relationships/hyperlink" Target="http://csr.bu.edu/ftp/asl/asllvd/demos/verify_start_end_handshape_annotations//test_auto_move//signs_mov_separ_signers/Dana_1570.mov" TargetMode="External"/><Relationship Id="rId13924" Type="http://schemas.openxmlformats.org/officeDocument/2006/relationships/hyperlink" Target="http://secrets.rutgers.edu:8080/data/asl-ftp/asllvd/demos/verify_start_end_handshape_annotations//test_auto_move//signs_mov_separ_signers/Dana_1570.mov" TargetMode="External"/><Relationship Id="rId13925" Type="http://schemas.openxmlformats.org/officeDocument/2006/relationships/hyperlink" Target="http://csr.bu.edu/ftp/asl/asllvd/demos/verify_start_end_handshape_annotations//test_auto_move//signs_mov/5261.mov" TargetMode="External"/><Relationship Id="rId13926" Type="http://schemas.openxmlformats.org/officeDocument/2006/relationships/hyperlink" Target="http://csr.bu.edu/ftp/asl/asllvd/demos/verify_start_end_handshape_annotations//test_auto_move//signs_mov_separ_signers/Liz_5261.mov" TargetMode="External"/><Relationship Id="rId13927" Type="http://schemas.openxmlformats.org/officeDocument/2006/relationships/hyperlink" Target="http://secrets.rutgers.edu:8080/data/asl-ftp/asllvd/demos/verify_start_end_handshape_annotations//test_auto_move//signs_mov/5261.mov" TargetMode="External"/><Relationship Id="rId13928" Type="http://schemas.openxmlformats.org/officeDocument/2006/relationships/hyperlink" Target="http://secrets.rutgers.edu:8080/data/asl-ftp/asllvd/demos/verify_start_end_handshape_annotations//test_auto_move//signs_mov_separ_signers/Liz_5261.mov" TargetMode="External"/><Relationship Id="rId13929" Type="http://schemas.openxmlformats.org/officeDocument/2006/relationships/hyperlink" Target="http://csr.bu.edu/ftp/asl/asllvd/demos/verify_start_end_handshape_annotations//test_auto_move//signs_mov_separ_signers/Liz_15651.mov" TargetMode="External"/><Relationship Id="rId13930" Type="http://schemas.openxmlformats.org/officeDocument/2006/relationships/hyperlink" Target="http://secrets.rutgers.edu:8080/data/asl-ftp/asllvd/demos/verify_start_end_handshape_annotations//test_auto_move//signs_mov_separ_signers/Liz_15651.mov" TargetMode="External"/><Relationship Id="rId13931" Type="http://schemas.openxmlformats.org/officeDocument/2006/relationships/hyperlink" Target="http://csr.bu.edu/ftp/asl/asllvd/demos/verify_start_end_handshape_annotations//test_auto_move//signs_mov_separ_signers/Liz_15677.mov" TargetMode="External"/><Relationship Id="rId13932" Type="http://schemas.openxmlformats.org/officeDocument/2006/relationships/hyperlink" Target="http://secrets.rutgers.edu:8080/data/asl-ftp/asllvd/demos/verify_start_end_handshape_annotations//test_auto_move//signs_mov_separ_signers/Liz_15677.mov" TargetMode="External"/><Relationship Id="rId13933" Type="http://schemas.openxmlformats.org/officeDocument/2006/relationships/hyperlink" Target="http://csr.bu.edu/ftp/asl/asllvd/demos/verify_start_end_handshape_annotations//test_auto_move//signs_mov_separ_signers/Tyler_15651.mov" TargetMode="External"/><Relationship Id="rId13934" Type="http://schemas.openxmlformats.org/officeDocument/2006/relationships/hyperlink" Target="http://secrets.rutgers.edu:8080/data/asl-ftp/asllvd/demos/verify_start_end_handshape_annotations//test_auto_move//signs_mov_separ_signers/Tyler_15651.mov" TargetMode="External"/><Relationship Id="rId13935" Type="http://schemas.openxmlformats.org/officeDocument/2006/relationships/hyperlink" Target="http://csr.bu.edu/ftp/asl/asllvd/demos/verify_start_end_handshape_annotations//test_auto_move//signs_mov/15651_15677_merged.mov" TargetMode="External"/><Relationship Id="rId13936" Type="http://schemas.openxmlformats.org/officeDocument/2006/relationships/hyperlink" Target="http://csr.bu.edu/ftp/asl/asllvd/demos/verify_start_end_handshape_annotations//test_auto_move//signs_mov_separ_signers/Naomi_15651.mov" TargetMode="External"/><Relationship Id="rId13937" Type="http://schemas.openxmlformats.org/officeDocument/2006/relationships/hyperlink" Target="http://secrets.rutgers.edu:8080/data/asl-ftp/asllvd/demos/verify_start_end_handshape_annotations//test_auto_move//signs_mov/15651_15677_merged.mov" TargetMode="External"/><Relationship Id="rId13938" Type="http://schemas.openxmlformats.org/officeDocument/2006/relationships/hyperlink" Target="http://secrets.rutgers.edu:8080/data/asl-ftp/asllvd/demos/verify_start_end_handshape_annotations//test_auto_move//signs_mov_separ_signers/Naomi_15651.mov" TargetMode="External"/><Relationship Id="rId13939" Type="http://schemas.openxmlformats.org/officeDocument/2006/relationships/hyperlink" Target="http://csr.bu.edu/ftp/asl/asllvd/demos/verify_start_end_handshape_annotations//test_auto_move//signs_mov_separ_signers/Brady_15651.mov" TargetMode="External"/><Relationship Id="rId13940" Type="http://schemas.openxmlformats.org/officeDocument/2006/relationships/hyperlink" Target="http://secrets.rutgers.edu:8080/data/asl-ftp/asllvd/demos/verify_start_end_handshape_annotations//test_auto_move//signs_mov_separ_signers/Brady_15651.mov" TargetMode="External"/><Relationship Id="rId13941" Type="http://schemas.openxmlformats.org/officeDocument/2006/relationships/hyperlink" Target="http://csr.bu.edu/ftp/asl/asllvd/demos/verify_start_end_handshape_annotations//test_auto_move//signs_mov_separ_signers/Brady_15677.mov" TargetMode="External"/><Relationship Id="rId13942" Type="http://schemas.openxmlformats.org/officeDocument/2006/relationships/hyperlink" Target="http://secrets.rutgers.edu:8080/data/asl-ftp/asllvd/demos/verify_start_end_handshape_annotations//test_auto_move//signs_mov_separ_signers/Brady_15677.mov" TargetMode="External"/><Relationship Id="rId13943" Type="http://schemas.openxmlformats.org/officeDocument/2006/relationships/hyperlink" Target="http://csr.bu.edu/ftp/asl/asllvd/demos/verify_start_end_handshape_annotations//test_auto_move//signs_mov_separ_signers/Lana_15651.mov" TargetMode="External"/><Relationship Id="rId13944" Type="http://schemas.openxmlformats.org/officeDocument/2006/relationships/hyperlink" Target="http://secrets.rutgers.edu:8080/data/asl-ftp/asllvd/demos/verify_start_end_handshape_annotations//test_auto_move//signs_mov_separ_signers/Lana_15651.mov" TargetMode="External"/><Relationship Id="rId13945" Type="http://schemas.openxmlformats.org/officeDocument/2006/relationships/hyperlink" Target="http://csr.bu.edu/ftp/asl/asllvd/demos/verify_start_end_handshape_annotations//test_auto_move//signs_mov_separ_signers/Dana_15651.mov" TargetMode="External"/><Relationship Id="rId13946" Type="http://schemas.openxmlformats.org/officeDocument/2006/relationships/hyperlink" Target="http://secrets.rutgers.edu:8080/data/asl-ftp/asllvd/demos/verify_start_end_handshape_annotations//test_auto_move//signs_mov_separ_signers/Dana_15651.mov" TargetMode="External"/><Relationship Id="rId13947" Type="http://schemas.openxmlformats.org/officeDocument/2006/relationships/hyperlink" Target="http://csr.bu.edu/ftp/asl/asllvd/demos/verify_start_end_handshape_annotations//test_auto_move//signs_mov_separ_signers/Liz_15703.mov" TargetMode="External"/><Relationship Id="rId13948" Type="http://schemas.openxmlformats.org/officeDocument/2006/relationships/hyperlink" Target="http://secrets.rutgers.edu:8080/data/asl-ftp/asllvd/demos/verify_start_end_handshape_annotations//test_auto_move//signs_mov_separ_signers/Liz_15703.mov" TargetMode="External"/><Relationship Id="rId13949" Type="http://schemas.openxmlformats.org/officeDocument/2006/relationships/hyperlink" Target="http://csr.bu.edu/ftp/asl/asllvd/demos/verify_start_end_handshape_annotations//test_auto_move//signs_mov_separ_signers/Naomi_15703.mov" TargetMode="External"/><Relationship Id="rId13950" Type="http://schemas.openxmlformats.org/officeDocument/2006/relationships/hyperlink" Target="http://secrets.rutgers.edu:8080/data/asl-ftp/asllvd/demos/verify_start_end_handshape_annotations//test_auto_move//signs_mov_separ_signers/Naomi_15703.mov" TargetMode="External"/><Relationship Id="rId13951" Type="http://schemas.openxmlformats.org/officeDocument/2006/relationships/hyperlink" Target="http://csr.bu.edu/ftp/asl/asllvd/demos/verify_start_end_handshape_annotations//test_auto_move//signs_mov/15703.mov" TargetMode="External"/><Relationship Id="rId13952" Type="http://schemas.openxmlformats.org/officeDocument/2006/relationships/hyperlink" Target="http://csr.bu.edu/ftp/asl/asllvd/demos/verify_start_end_handshape_annotations//test_auto_move//signs_mov_separ_signers/Brady_15703.mov" TargetMode="External"/><Relationship Id="rId13953" Type="http://schemas.openxmlformats.org/officeDocument/2006/relationships/hyperlink" Target="http://secrets.rutgers.edu:8080/data/asl-ftp/asllvd/demos/verify_start_end_handshape_annotations//test_auto_move//signs_mov/15703.mov" TargetMode="External"/><Relationship Id="rId13954" Type="http://schemas.openxmlformats.org/officeDocument/2006/relationships/hyperlink" Target="http://secrets.rutgers.edu:8080/data/asl-ftp/asllvd/demos/verify_start_end_handshape_annotations//test_auto_move//signs_mov_separ_signers/Brady_15703.mov" TargetMode="External"/><Relationship Id="rId13955" Type="http://schemas.openxmlformats.org/officeDocument/2006/relationships/hyperlink" Target="http://csr.bu.edu/ftp/asl/asllvd/demos/verify_start_end_handshape_annotations//test_auto_move//signs_mov_separ_signers/Lana_15703.mov" TargetMode="External"/><Relationship Id="rId13956" Type="http://schemas.openxmlformats.org/officeDocument/2006/relationships/hyperlink" Target="http://secrets.rutgers.edu:8080/data/asl-ftp/asllvd/demos/verify_start_end_handshape_annotations//test_auto_move//signs_mov_separ_signers/Lana_15703.mov" TargetMode="External"/><Relationship Id="rId13957" Type="http://schemas.openxmlformats.org/officeDocument/2006/relationships/hyperlink" Target="http://csr.bu.edu/ftp/asl/asllvd/demos/verify_start_end_handshape_annotations//test_auto_move//signs_mov_separ_signers/Dana_15703.mov" TargetMode="External"/><Relationship Id="rId13958" Type="http://schemas.openxmlformats.org/officeDocument/2006/relationships/hyperlink" Target="http://secrets.rutgers.edu:8080/data/asl-ftp/asllvd/demos/verify_start_end_handshape_annotations//test_auto_move//signs_mov_separ_signers/Dana_15703.mov" TargetMode="External"/><Relationship Id="rId13959" Type="http://schemas.openxmlformats.org/officeDocument/2006/relationships/hyperlink" Target="http://csr.bu.edu/ftp/asl/asllvd/demos/verify_start_end_handshape_annotations//test_auto_move//signs_mov/16407.mov" TargetMode="External"/><Relationship Id="rId13960" Type="http://schemas.openxmlformats.org/officeDocument/2006/relationships/hyperlink" Target="http://csr.bu.edu/ftp/asl/asllvd/demos/verify_start_end_handshape_annotations//test_auto_move//signs_mov_separ_signers/Tyler_16407.mov" TargetMode="External"/><Relationship Id="rId13961" Type="http://schemas.openxmlformats.org/officeDocument/2006/relationships/hyperlink" Target="http://secrets.rutgers.edu:8080/data/asl-ftp/asllvd/demos/verify_start_end_handshape_annotations//test_auto_move//signs_mov/16407.mov" TargetMode="External"/><Relationship Id="rId13962" Type="http://schemas.openxmlformats.org/officeDocument/2006/relationships/hyperlink" Target="http://secrets.rutgers.edu:8080/data/asl-ftp/asllvd/demos/verify_start_end_handshape_annotations//test_auto_move//signs_mov_separ_signers/Tyler_16407.mov" TargetMode="External"/><Relationship Id="rId13963" Type="http://schemas.openxmlformats.org/officeDocument/2006/relationships/hyperlink" Target="http://csr.bu.edu/ftp/asl/asllvd/demos/verify_start_end_handshape_annotations//test_auto_move//signs_mov_separ_signers/Liz_1571.mov" TargetMode="External"/><Relationship Id="rId13964" Type="http://schemas.openxmlformats.org/officeDocument/2006/relationships/hyperlink" Target="http://secrets.rutgers.edu:8080/data/asl-ftp/asllvd/demos/verify_start_end_handshape_annotations//test_auto_move//signs_mov_separ_signers/Liz_1571.mov" TargetMode="External"/><Relationship Id="rId13965" Type="http://schemas.openxmlformats.org/officeDocument/2006/relationships/hyperlink" Target="http://csr.bu.edu/ftp/asl/asllvd/demos/verify_start_end_handshape_annotations//test_auto_move//signs_mov/1571.mov" TargetMode="External"/><Relationship Id="rId13966" Type="http://schemas.openxmlformats.org/officeDocument/2006/relationships/hyperlink" Target="http://csr.bu.edu/ftp/asl/asllvd/demos/verify_start_end_handshape_annotations//test_auto_move//signs_mov_separ_signers/Tyler_1571.mov" TargetMode="External"/><Relationship Id="rId13967" Type="http://schemas.openxmlformats.org/officeDocument/2006/relationships/hyperlink" Target="http://secrets.rutgers.edu:8080/data/asl-ftp/asllvd/demos/verify_start_end_handshape_annotations//test_auto_move//signs_mov/1571.mov" TargetMode="External"/><Relationship Id="rId13968" Type="http://schemas.openxmlformats.org/officeDocument/2006/relationships/hyperlink" Target="http://secrets.rutgers.edu:8080/data/asl-ftp/asllvd/demos/verify_start_end_handshape_annotations//test_auto_move//signs_mov_separ_signers/Tyler_1571.mov" TargetMode="External"/><Relationship Id="rId13969" Type="http://schemas.openxmlformats.org/officeDocument/2006/relationships/hyperlink" Target="http://csr.bu.edu/ftp/asl/asllvd/demos/verify_start_end_handshape_annotations//test_auto_move//signs_mov_separ_signers/Brady_1571.mov" TargetMode="External"/><Relationship Id="rId13970" Type="http://schemas.openxmlformats.org/officeDocument/2006/relationships/hyperlink" Target="http://secrets.rutgers.edu:8080/data/asl-ftp/asllvd/demos/verify_start_end_handshape_annotations//test_auto_move//signs_mov_separ_signers/Brady_1571.mov" TargetMode="External"/><Relationship Id="rId13971" Type="http://schemas.openxmlformats.org/officeDocument/2006/relationships/hyperlink" Target="http://csr.bu.edu/ftp/asl/asllvd/demos/verify_start_end_handshape_annotations//test_auto_move//signs_mov_separ_signers/Liz_1572.mov" TargetMode="External"/><Relationship Id="rId13972" Type="http://schemas.openxmlformats.org/officeDocument/2006/relationships/hyperlink" Target="http://secrets.rutgers.edu:8080/data/asl-ftp/asllvd/demos/verify_start_end_handshape_annotations//test_auto_move//signs_mov_separ_signers/Liz_1572.mov" TargetMode="External"/><Relationship Id="rId13973" Type="http://schemas.openxmlformats.org/officeDocument/2006/relationships/hyperlink" Target="http://csr.bu.edu/ftp/asl/asllvd/demos/verify_start_end_handshape_annotations//test_auto_move//signs_mov/1572.mov" TargetMode="External"/><Relationship Id="rId13974" Type="http://schemas.openxmlformats.org/officeDocument/2006/relationships/hyperlink" Target="http://csr.bu.edu/ftp/asl/asllvd/demos/verify_start_end_handshape_annotations//test_auto_move//signs_mov_separ_signers/Tyler_1572.mov" TargetMode="External"/><Relationship Id="rId13975" Type="http://schemas.openxmlformats.org/officeDocument/2006/relationships/hyperlink" Target="http://secrets.rutgers.edu:8080/data/asl-ftp/asllvd/demos/verify_start_end_handshape_annotations//test_auto_move//signs_mov/1572.mov" TargetMode="External"/><Relationship Id="rId13976" Type="http://schemas.openxmlformats.org/officeDocument/2006/relationships/hyperlink" Target="http://secrets.rutgers.edu:8080/data/asl-ftp/asllvd/demos/verify_start_end_handshape_annotations//test_auto_move//signs_mov_separ_signers/Tyler_1572.mov" TargetMode="External"/><Relationship Id="rId13977" Type="http://schemas.openxmlformats.org/officeDocument/2006/relationships/hyperlink" Target="http://csr.bu.edu/ftp/asl/asllvd/demos/verify_start_end_handshape_annotations//test_auto_move//signs_mov_separ_signers/Brady_1572.mov" TargetMode="External"/><Relationship Id="rId13978" Type="http://schemas.openxmlformats.org/officeDocument/2006/relationships/hyperlink" Target="http://secrets.rutgers.edu:8080/data/asl-ftp/asllvd/demos/verify_start_end_handshape_annotations//test_auto_move//signs_mov_separ_signers/Brady_1572.mov" TargetMode="External"/><Relationship Id="rId13979" Type="http://schemas.openxmlformats.org/officeDocument/2006/relationships/hyperlink" Target="http://csr.bu.edu/ftp/asl/asllvd/demos/verify_start_end_handshape_annotations//test_auto_move//signs_mov_separ_signers/Liz_1575.mov" TargetMode="External"/><Relationship Id="rId13980" Type="http://schemas.openxmlformats.org/officeDocument/2006/relationships/hyperlink" Target="http://secrets.rutgers.edu:8080/data/asl-ftp/asllvd/demos/verify_start_end_handshape_annotations//test_auto_move//signs_mov_separ_signers/Liz_1575.mov" TargetMode="External"/><Relationship Id="rId13981" Type="http://schemas.openxmlformats.org/officeDocument/2006/relationships/hyperlink" Target="http://csr.bu.edu/ftp/asl/asllvd/demos/verify_start_end_handshape_annotations//test_auto_move//signs_mov/1575.mov" TargetMode="External"/><Relationship Id="rId13982" Type="http://schemas.openxmlformats.org/officeDocument/2006/relationships/hyperlink" Target="http://csr.bu.edu/ftp/asl/asllvd/demos/verify_start_end_handshape_annotations//test_auto_move//signs_mov_separ_signers/Tyler_1575.mov" TargetMode="External"/><Relationship Id="rId13983" Type="http://schemas.openxmlformats.org/officeDocument/2006/relationships/hyperlink" Target="http://secrets.rutgers.edu:8080/data/asl-ftp/asllvd/demos/verify_start_end_handshape_annotations//test_auto_move//signs_mov/1575.mov" TargetMode="External"/><Relationship Id="rId13984" Type="http://schemas.openxmlformats.org/officeDocument/2006/relationships/hyperlink" Target="http://secrets.rutgers.edu:8080/data/asl-ftp/asllvd/demos/verify_start_end_handshape_annotations//test_auto_move//signs_mov_separ_signers/Tyler_1575.mov" TargetMode="External"/><Relationship Id="rId13985" Type="http://schemas.openxmlformats.org/officeDocument/2006/relationships/hyperlink" Target="http://csr.bu.edu/ftp/asl/asllvd/demos/verify_start_end_handshape_annotations//test_auto_move//signs_mov_separ_signers/Brady_1575.mov" TargetMode="External"/><Relationship Id="rId13986" Type="http://schemas.openxmlformats.org/officeDocument/2006/relationships/hyperlink" Target="http://secrets.rutgers.edu:8080/data/asl-ftp/asllvd/demos/verify_start_end_handshape_annotations//test_auto_move//signs_mov_separ_signers/Brady_1575.mov" TargetMode="External"/><Relationship Id="rId13987" Type="http://schemas.openxmlformats.org/officeDocument/2006/relationships/hyperlink" Target="http://csr.bu.edu/ftp/asl/asllvd/demos/verify_start_end_handshape_annotations//test_auto_move//signs_mov_separ_signers/Liz_1577.mov" TargetMode="External"/><Relationship Id="rId13988" Type="http://schemas.openxmlformats.org/officeDocument/2006/relationships/hyperlink" Target="http://secrets.rutgers.edu:8080/data/asl-ftp/asllvd/demos/verify_start_end_handshape_annotations//test_auto_move//signs_mov_separ_signers/Liz_1577.mov" TargetMode="External"/><Relationship Id="rId13989" Type="http://schemas.openxmlformats.org/officeDocument/2006/relationships/hyperlink" Target="http://csr.bu.edu/ftp/asl/asllvd/demos/verify_start_end_handshape_annotations//test_auto_move//signs_mov_separ_signers/Tyler_1577.mov" TargetMode="External"/><Relationship Id="rId13990" Type="http://schemas.openxmlformats.org/officeDocument/2006/relationships/hyperlink" Target="http://secrets.rutgers.edu:8080/data/asl-ftp/asllvd/demos/verify_start_end_handshape_annotations//test_auto_move//signs_mov_separ_signers/Tyler_1577.mov" TargetMode="External"/><Relationship Id="rId13991" Type="http://schemas.openxmlformats.org/officeDocument/2006/relationships/hyperlink" Target="http://csr.bu.edu/ftp/asl/asllvd/demos/verify_start_end_handshape_annotations//test_auto_move//signs_mov/1577.mov" TargetMode="External"/><Relationship Id="rId13992" Type="http://schemas.openxmlformats.org/officeDocument/2006/relationships/hyperlink" Target="http://csr.bu.edu/ftp/asl/asllvd/demos/verify_start_end_handshape_annotations//test_auto_move//signs_mov_separ_signers/Brady_1577.mov" TargetMode="External"/><Relationship Id="rId13993" Type="http://schemas.openxmlformats.org/officeDocument/2006/relationships/hyperlink" Target="http://secrets.rutgers.edu:8080/data/asl-ftp/asllvd/demos/verify_start_end_handshape_annotations//test_auto_move//signs_mov/1577.mov" TargetMode="External"/><Relationship Id="rId13994" Type="http://schemas.openxmlformats.org/officeDocument/2006/relationships/hyperlink" Target="http://secrets.rutgers.edu:8080/data/asl-ftp/asllvd/demos/verify_start_end_handshape_annotations//test_auto_move//signs_mov_separ_signers/Brady_1577.mov" TargetMode="External"/><Relationship Id="rId13995" Type="http://schemas.openxmlformats.org/officeDocument/2006/relationships/hyperlink" Target="http://csr.bu.edu/ftp/asl/asllvd/demos/verify_start_end_handshape_annotations//test_auto_move//signs_mov_separ_signers/Lana_1577.mov" TargetMode="External"/><Relationship Id="rId13996" Type="http://schemas.openxmlformats.org/officeDocument/2006/relationships/hyperlink" Target="http://secrets.rutgers.edu:8080/data/asl-ftp/asllvd/demos/verify_start_end_handshape_annotations//test_auto_move//signs_mov_separ_signers/Lana_1577.mov" TargetMode="External"/><Relationship Id="rId13997" Type="http://schemas.openxmlformats.org/officeDocument/2006/relationships/hyperlink" Target="http://csr.bu.edu/ftp/asl/asllvd/demos/verify_start_end_handshape_annotations//test_auto_move//signs_mov_separ_signers/Dana_1577.mov" TargetMode="External"/><Relationship Id="rId13998" Type="http://schemas.openxmlformats.org/officeDocument/2006/relationships/hyperlink" Target="http://secrets.rutgers.edu:8080/data/asl-ftp/asllvd/demos/verify_start_end_handshape_annotations//test_auto_move//signs_mov_separ_signers/Dana_1577.mov" TargetMode="External"/><Relationship Id="rId13999" Type="http://schemas.openxmlformats.org/officeDocument/2006/relationships/hyperlink" Target="http://csr.bu.edu/ftp/asl/asllvd/demos/verify_start_end_handshape_annotations//test_auto_move//signs_mov/15658.mov" TargetMode="External"/><Relationship Id="rId14000" Type="http://schemas.openxmlformats.org/officeDocument/2006/relationships/hyperlink" Target="http://csr.bu.edu/ftp/asl/asllvd/demos/verify_start_end_handshape_annotations//test_auto_move//signs_mov_separ_signers/Liz_15658.mov" TargetMode="External"/><Relationship Id="rId14001" Type="http://schemas.openxmlformats.org/officeDocument/2006/relationships/hyperlink" Target="http://secrets.rutgers.edu:8080/data/asl-ftp/asllvd/demos/verify_start_end_handshape_annotations//test_auto_move//signs_mov/15658.mov" TargetMode="External"/><Relationship Id="rId14002" Type="http://schemas.openxmlformats.org/officeDocument/2006/relationships/hyperlink" Target="http://secrets.rutgers.edu:8080/data/asl-ftp/asllvd/demos/verify_start_end_handshape_annotations//test_auto_move//signs_mov_separ_signers/Liz_15658.mov" TargetMode="External"/><Relationship Id="rId14003" Type="http://schemas.openxmlformats.org/officeDocument/2006/relationships/hyperlink" Target="http://csr.bu.edu/ftp/asl/asllvd/demos/verify_start_end_handshape_annotations//test_auto_move//signs_mov_separ_signers/Brady_15658.mov" TargetMode="External"/><Relationship Id="rId14004" Type="http://schemas.openxmlformats.org/officeDocument/2006/relationships/hyperlink" Target="http://secrets.rutgers.edu:8080/data/asl-ftp/asllvd/demos/verify_start_end_handshape_annotations//test_auto_move//signs_mov_separ_signers/Brady_15658.mov" TargetMode="External"/><Relationship Id="rId14005" Type="http://schemas.openxmlformats.org/officeDocument/2006/relationships/hyperlink" Target="http://csr.bu.edu/ftp/asl/asllvd/demos/verify_start_end_handshape_annotations//test_auto_move//signs_mov_separ_signers/Liz_15675.mov" TargetMode="External"/><Relationship Id="rId14006" Type="http://schemas.openxmlformats.org/officeDocument/2006/relationships/hyperlink" Target="http://secrets.rutgers.edu:8080/data/asl-ftp/asllvd/demos/verify_start_end_handshape_annotations//test_auto_move//signs_mov_separ_signers/Liz_15675.mov" TargetMode="External"/><Relationship Id="rId14007" Type="http://schemas.openxmlformats.org/officeDocument/2006/relationships/hyperlink" Target="http://csr.bu.edu/ftp/asl/asllvd/demos/verify_start_end_handshape_annotations//test_auto_move//signs_mov/15675_15952_merged.mov" TargetMode="External"/><Relationship Id="rId14008" Type="http://schemas.openxmlformats.org/officeDocument/2006/relationships/hyperlink" Target="http://csr.bu.edu/ftp/asl/asllvd/demos/verify_start_end_handshape_annotations//test_auto_move//signs_mov_separ_signers/Tyler_15675.mov" TargetMode="External"/><Relationship Id="rId14009" Type="http://schemas.openxmlformats.org/officeDocument/2006/relationships/hyperlink" Target="http://secrets.rutgers.edu:8080/data/asl-ftp/asllvd/demos/verify_start_end_handshape_annotations//test_auto_move//signs_mov/15675_15952_merged.mov" TargetMode="External"/><Relationship Id="rId14010" Type="http://schemas.openxmlformats.org/officeDocument/2006/relationships/hyperlink" Target="http://secrets.rutgers.edu:8080/data/asl-ftp/asllvd/demos/verify_start_end_handshape_annotations//test_auto_move//signs_mov_separ_signers/Tyler_15675.mov" TargetMode="External"/><Relationship Id="rId14011" Type="http://schemas.openxmlformats.org/officeDocument/2006/relationships/hyperlink" Target="http://csr.bu.edu/ftp/asl/asllvd/demos/verify_start_end_handshape_annotations//test_auto_move//signs_mov_separ_signers/Brady_15675.mov" TargetMode="External"/><Relationship Id="rId14012" Type="http://schemas.openxmlformats.org/officeDocument/2006/relationships/hyperlink" Target="http://secrets.rutgers.edu:8080/data/asl-ftp/asllvd/demos/verify_start_end_handshape_annotations//test_auto_move//signs_mov_separ_signers/Brady_15675.mov" TargetMode="External"/><Relationship Id="rId14013" Type="http://schemas.openxmlformats.org/officeDocument/2006/relationships/hyperlink" Target="http://csr.bu.edu/ftp/asl/asllvd/demos/verify_start_end_handshape_annotations//test_auto_move//signs_mov_separ_signers/Brady_15952.mov" TargetMode="External"/><Relationship Id="rId14014" Type="http://schemas.openxmlformats.org/officeDocument/2006/relationships/hyperlink" Target="http://secrets.rutgers.edu:8080/data/asl-ftp/asllvd/demos/verify_start_end_handshape_annotations//test_auto_move//signs_mov_separ_signers/Brady_15952.mov" TargetMode="External"/><Relationship Id="rId14015" Type="http://schemas.openxmlformats.org/officeDocument/2006/relationships/hyperlink" Target="http://csr.bu.edu/ftp/asl/asllvd/demos/verify_start_end_handshape_annotations//test_auto_move//signs_mov/16408.mov" TargetMode="External"/><Relationship Id="rId14016" Type="http://schemas.openxmlformats.org/officeDocument/2006/relationships/hyperlink" Target="http://csr.bu.edu/ftp/asl/asllvd/demos/verify_start_end_handshape_annotations//test_auto_move//signs_mov_separ_signers/Naomi_16408.mov" TargetMode="External"/><Relationship Id="rId14017" Type="http://schemas.openxmlformats.org/officeDocument/2006/relationships/hyperlink" Target="http://secrets.rutgers.edu:8080/data/asl-ftp/asllvd/demos/verify_start_end_handshape_annotations//test_auto_move//signs_mov/16408.mov" TargetMode="External"/><Relationship Id="rId14018" Type="http://schemas.openxmlformats.org/officeDocument/2006/relationships/hyperlink" Target="http://secrets.rutgers.edu:8080/data/asl-ftp/asllvd/demos/verify_start_end_handshape_annotations//test_auto_move//signs_mov_separ_signers/Naomi_16408.mov" TargetMode="External"/><Relationship Id="rId14019" Type="http://schemas.openxmlformats.org/officeDocument/2006/relationships/hyperlink" Target="http://csr.bu.edu/ftp/asl/asllvd/demos/verify_start_end_handshape_annotations//test_auto_move//signs_mov_separ_signers/Liz_1578.mov" TargetMode="External"/><Relationship Id="rId14020" Type="http://schemas.openxmlformats.org/officeDocument/2006/relationships/hyperlink" Target="http://secrets.rutgers.edu:8080/data/asl-ftp/asllvd/demos/verify_start_end_handshape_annotations//test_auto_move//signs_mov_separ_signers/Liz_1578.mov" TargetMode="External"/><Relationship Id="rId14021" Type="http://schemas.openxmlformats.org/officeDocument/2006/relationships/hyperlink" Target="http://csr.bu.edu/ftp/asl/asllvd/demos/verify_start_end_handshape_annotations//test_auto_move//signs_mov_separ_signers/Tyler_1578.mov" TargetMode="External"/><Relationship Id="rId14022" Type="http://schemas.openxmlformats.org/officeDocument/2006/relationships/hyperlink" Target="http://secrets.rutgers.edu:8080/data/asl-ftp/asllvd/demos/verify_start_end_handshape_annotations//test_auto_move//signs_mov_separ_signers/Tyler_1578.mov" TargetMode="External"/><Relationship Id="rId14023" Type="http://schemas.openxmlformats.org/officeDocument/2006/relationships/hyperlink" Target="http://csr.bu.edu/ftp/asl/asllvd/demos/verify_start_end_handshape_annotations//test_auto_move//signs_mov/1578.mov" TargetMode="External"/><Relationship Id="rId14024" Type="http://schemas.openxmlformats.org/officeDocument/2006/relationships/hyperlink" Target="http://csr.bu.edu/ftp/asl/asllvd/demos/verify_start_end_handshape_annotations//test_auto_move//signs_mov_separ_signers/Brady_1578.mov" TargetMode="External"/><Relationship Id="rId14025" Type="http://schemas.openxmlformats.org/officeDocument/2006/relationships/hyperlink" Target="http://secrets.rutgers.edu:8080/data/asl-ftp/asllvd/demos/verify_start_end_handshape_annotations//test_auto_move//signs_mov/1578.mov" TargetMode="External"/><Relationship Id="rId14026" Type="http://schemas.openxmlformats.org/officeDocument/2006/relationships/hyperlink" Target="http://secrets.rutgers.edu:8080/data/asl-ftp/asllvd/demos/verify_start_end_handshape_annotations//test_auto_move//signs_mov_separ_signers/Brady_1578.mov" TargetMode="External"/><Relationship Id="rId14027" Type="http://schemas.openxmlformats.org/officeDocument/2006/relationships/hyperlink" Target="http://csr.bu.edu/ftp/asl/asllvd/demos/verify_start_end_handshape_annotations//test_auto_move//signs_mov_separ_signers/Lana_1578.mov" TargetMode="External"/><Relationship Id="rId14028" Type="http://schemas.openxmlformats.org/officeDocument/2006/relationships/hyperlink" Target="http://secrets.rutgers.edu:8080/data/asl-ftp/asllvd/demos/verify_start_end_handshape_annotations//test_auto_move//signs_mov_separ_signers/Lana_1578.mov" TargetMode="External"/><Relationship Id="rId14029" Type="http://schemas.openxmlformats.org/officeDocument/2006/relationships/hyperlink" Target="http://csr.bu.edu/ftp/asl/asllvd/demos/verify_start_end_handshape_annotations//test_auto_move//signs_mov_separ_signers/Dana_1578.mov" TargetMode="External"/><Relationship Id="rId14030" Type="http://schemas.openxmlformats.org/officeDocument/2006/relationships/hyperlink" Target="http://secrets.rutgers.edu:8080/data/asl-ftp/asllvd/demos/verify_start_end_handshape_annotations//test_auto_move//signs_mov_separ_signers/Dana_1578.mov" TargetMode="External"/><Relationship Id="rId14031" Type="http://schemas.openxmlformats.org/officeDocument/2006/relationships/hyperlink" Target="http://csr.bu.edu/ftp/asl/asllvd/demos/verify_start_end_handshape_annotations//test_auto_move//signs_mov/1581.mov" TargetMode="External"/><Relationship Id="rId14032" Type="http://schemas.openxmlformats.org/officeDocument/2006/relationships/hyperlink" Target="http://csr.bu.edu/ftp/asl/asllvd/demos/verify_start_end_handshape_annotations//test_auto_move//signs_mov_separ_signers/Liz_1581.mov" TargetMode="External"/><Relationship Id="rId14033" Type="http://schemas.openxmlformats.org/officeDocument/2006/relationships/hyperlink" Target="http://secrets.rutgers.edu:8080/data/asl-ftp/asllvd/demos/verify_start_end_handshape_annotations//test_auto_move//signs_mov/1581.mov" TargetMode="External"/><Relationship Id="rId14034" Type="http://schemas.openxmlformats.org/officeDocument/2006/relationships/hyperlink" Target="http://secrets.rutgers.edu:8080/data/asl-ftp/asllvd/demos/verify_start_end_handshape_annotations//test_auto_move//signs_mov_separ_signers/Liz_1581.mov" TargetMode="External"/><Relationship Id="rId14035" Type="http://schemas.openxmlformats.org/officeDocument/2006/relationships/hyperlink" Target="http://csr.bu.edu/ftp/asl/asllvd/demos/verify_start_end_handshape_annotations//test_auto_move//signs_mov_separ_signers/Brady_1581.mov" TargetMode="External"/><Relationship Id="rId14036" Type="http://schemas.openxmlformats.org/officeDocument/2006/relationships/hyperlink" Target="http://secrets.rutgers.edu:8080/data/asl-ftp/asllvd/demos/verify_start_end_handshape_annotations//test_auto_move//signs_mov_separ_signers/Brady_1581.mov" TargetMode="External"/><Relationship Id="rId14037" Type="http://schemas.openxmlformats.org/officeDocument/2006/relationships/hyperlink" Target="http://csr.bu.edu/ftp/asl/asllvd/demos/verify_start_end_handshape_annotations//test_auto_move//signs_mov_separ_signers/Liz_1586.mov" TargetMode="External"/><Relationship Id="rId14038" Type="http://schemas.openxmlformats.org/officeDocument/2006/relationships/hyperlink" Target="http://secrets.rutgers.edu:8080/data/asl-ftp/asllvd/demos/verify_start_end_handshape_annotations//test_auto_move//signs_mov_separ_signers/Liz_1586.mov" TargetMode="External"/><Relationship Id="rId14039" Type="http://schemas.openxmlformats.org/officeDocument/2006/relationships/hyperlink" Target="http://csr.bu.edu/ftp/asl/asllvd/demos/verify_start_end_handshape_annotations//test_auto_move//signs_mov_separ_signers/Tyler_1586.mov" TargetMode="External"/><Relationship Id="rId14040" Type="http://schemas.openxmlformats.org/officeDocument/2006/relationships/hyperlink" Target="http://secrets.rutgers.edu:8080/data/asl-ftp/asllvd/demos/verify_start_end_handshape_annotations//test_auto_move//signs_mov_separ_signers/Tyler_1586.mov" TargetMode="External"/><Relationship Id="rId14041" Type="http://schemas.openxmlformats.org/officeDocument/2006/relationships/hyperlink" Target="http://csr.bu.edu/ftp/asl/asllvd/demos/verify_start_end_handshape_annotations//test_auto_move//signs_mov/1586.mov" TargetMode="External"/><Relationship Id="rId14042" Type="http://schemas.openxmlformats.org/officeDocument/2006/relationships/hyperlink" Target="http://csr.bu.edu/ftp/asl/asllvd/demos/verify_start_end_handshape_annotations//test_auto_move//signs_mov_separ_signers/Brady_1586.mov" TargetMode="External"/><Relationship Id="rId14043" Type="http://schemas.openxmlformats.org/officeDocument/2006/relationships/hyperlink" Target="http://secrets.rutgers.edu:8080/data/asl-ftp/asllvd/demos/verify_start_end_handshape_annotations//test_auto_move//signs_mov/1586.mov" TargetMode="External"/><Relationship Id="rId14044" Type="http://schemas.openxmlformats.org/officeDocument/2006/relationships/hyperlink" Target="http://secrets.rutgers.edu:8080/data/asl-ftp/asllvd/demos/verify_start_end_handshape_annotations//test_auto_move//signs_mov_separ_signers/Brady_1586.mov" TargetMode="External"/><Relationship Id="rId14045" Type="http://schemas.openxmlformats.org/officeDocument/2006/relationships/hyperlink" Target="http://csr.bu.edu/ftp/asl/asllvd/demos/verify_start_end_handshape_annotations//test_auto_move//signs_mov_separ_signers/Lana_1586.mov" TargetMode="External"/><Relationship Id="rId14046" Type="http://schemas.openxmlformats.org/officeDocument/2006/relationships/hyperlink" Target="http://secrets.rutgers.edu:8080/data/asl-ftp/asllvd/demos/verify_start_end_handshape_annotations//test_auto_move//signs_mov_separ_signers/Lana_1586.mov" TargetMode="External"/><Relationship Id="rId14047" Type="http://schemas.openxmlformats.org/officeDocument/2006/relationships/hyperlink" Target="http://csr.bu.edu/ftp/asl/asllvd/demos/verify_start_end_handshape_annotations//test_auto_move//signs_mov_separ_signers/Dana_1586.mov" TargetMode="External"/><Relationship Id="rId14048" Type="http://schemas.openxmlformats.org/officeDocument/2006/relationships/hyperlink" Target="http://secrets.rutgers.edu:8080/data/asl-ftp/asllvd/demos/verify_start_end_handshape_annotations//test_auto_move//signs_mov_separ_signers/Dana_1586.mov" TargetMode="External"/><Relationship Id="rId14049" Type="http://schemas.openxmlformats.org/officeDocument/2006/relationships/hyperlink" Target="http://csr.bu.edu/ftp/asl/asllvd/demos/verify_start_end_handshape_annotations//test_auto_move//signs_mov_separ_signers/Liz_1587.mov" TargetMode="External"/><Relationship Id="rId14050" Type="http://schemas.openxmlformats.org/officeDocument/2006/relationships/hyperlink" Target="http://secrets.rutgers.edu:8080/data/asl-ftp/asllvd/demos/verify_start_end_handshape_annotations//test_auto_move//signs_mov_separ_signers/Liz_1587.mov" TargetMode="External"/><Relationship Id="rId14051" Type="http://schemas.openxmlformats.org/officeDocument/2006/relationships/hyperlink" Target="http://csr.bu.edu/ftp/asl/asllvd/demos/verify_start_end_handshape_annotations//test_auto_move//signs_mov/1587.mov" TargetMode="External"/><Relationship Id="rId14052" Type="http://schemas.openxmlformats.org/officeDocument/2006/relationships/hyperlink" Target="http://csr.bu.edu/ftp/asl/asllvd/demos/verify_start_end_handshape_annotations//test_auto_move//signs_mov_separ_signers/Brady_1587.mov" TargetMode="External"/><Relationship Id="rId14053" Type="http://schemas.openxmlformats.org/officeDocument/2006/relationships/hyperlink" Target="http://secrets.rutgers.edu:8080/data/asl-ftp/asllvd/demos/verify_start_end_handshape_annotations//test_auto_move//signs_mov/1587.mov" TargetMode="External"/><Relationship Id="rId14054" Type="http://schemas.openxmlformats.org/officeDocument/2006/relationships/hyperlink" Target="http://secrets.rutgers.edu:8080/data/asl-ftp/asllvd/demos/verify_start_end_handshape_annotations//test_auto_move//signs_mov_separ_signers/Brady_1587.mov" TargetMode="External"/><Relationship Id="rId14055" Type="http://schemas.openxmlformats.org/officeDocument/2006/relationships/hyperlink" Target="http://csr.bu.edu/ftp/asl/asllvd/demos/verify_start_end_handshape_annotations//test_auto_move//signs_mov_separ_signers/Dana_1587.mov" TargetMode="External"/><Relationship Id="rId14056" Type="http://schemas.openxmlformats.org/officeDocument/2006/relationships/hyperlink" Target="http://secrets.rutgers.edu:8080/data/asl-ftp/asllvd/demos/verify_start_end_handshape_annotations//test_auto_move//signs_mov_separ_signers/Dana_1587.mov" TargetMode="External"/><Relationship Id="rId14057" Type="http://schemas.openxmlformats.org/officeDocument/2006/relationships/hyperlink" Target="http://csr.bu.edu/ftp/asl/asllvd/demos/verify_start_end_handshape_annotations//test_auto_move//signs_mov/5262.mov" TargetMode="External"/><Relationship Id="rId14058" Type="http://schemas.openxmlformats.org/officeDocument/2006/relationships/hyperlink" Target="http://csr.bu.edu/ftp/asl/asllvd/demos/verify_start_end_handshape_annotations//test_auto_move//signs_mov_separ_signers/Tyler_5262.mov" TargetMode="External"/><Relationship Id="rId14059" Type="http://schemas.openxmlformats.org/officeDocument/2006/relationships/hyperlink" Target="http://secrets.rutgers.edu:8080/data/asl-ftp/asllvd/demos/verify_start_end_handshape_annotations//test_auto_move//signs_mov/5262.mov" TargetMode="External"/><Relationship Id="rId14060" Type="http://schemas.openxmlformats.org/officeDocument/2006/relationships/hyperlink" Target="http://secrets.rutgers.edu:8080/data/asl-ftp/asllvd/demos/verify_start_end_handshape_annotations//test_auto_move//signs_mov_separ_signers/Tyler_5262.mov" TargetMode="External"/><Relationship Id="rId14061" Type="http://schemas.openxmlformats.org/officeDocument/2006/relationships/hyperlink" Target="http://csr.bu.edu/ftp/asl/asllvd/demos/verify_start_end_handshape_annotations//test_auto_move//signs_mov_separ_signers/Lana_5262.mov" TargetMode="External"/><Relationship Id="rId14062" Type="http://schemas.openxmlformats.org/officeDocument/2006/relationships/hyperlink" Target="http://secrets.rutgers.edu:8080/data/asl-ftp/asllvd/demos/verify_start_end_handshape_annotations//test_auto_move//signs_mov_separ_signers/Lana_5262.mov" TargetMode="External"/><Relationship Id="rId14063" Type="http://schemas.openxmlformats.org/officeDocument/2006/relationships/hyperlink" Target="http://csr.bu.edu/ftp/asl/asllvd/demos/verify_start_end_handshape_annotations//test_auto_move//signs_mov_separ_signers/Liz_15704.mov" TargetMode="External"/><Relationship Id="rId14064" Type="http://schemas.openxmlformats.org/officeDocument/2006/relationships/hyperlink" Target="http://secrets.rutgers.edu:8080/data/asl-ftp/asllvd/demos/verify_start_end_handshape_annotations//test_auto_move//signs_mov_separ_signers/Liz_15704.mov" TargetMode="External"/><Relationship Id="rId14065" Type="http://schemas.openxmlformats.org/officeDocument/2006/relationships/hyperlink" Target="http://csr.bu.edu/ftp/asl/asllvd/demos/verify_start_end_handshape_annotations//test_auto_move//signs_mov/15704.mov" TargetMode="External"/><Relationship Id="rId14066" Type="http://schemas.openxmlformats.org/officeDocument/2006/relationships/hyperlink" Target="http://csr.bu.edu/ftp/asl/asllvd/demos/verify_start_end_handshape_annotations//test_auto_move//signs_mov_separ_signers/Naomi_15704.mov" TargetMode="External"/><Relationship Id="rId14067" Type="http://schemas.openxmlformats.org/officeDocument/2006/relationships/hyperlink" Target="http://secrets.rutgers.edu:8080/data/asl-ftp/asllvd/demos/verify_start_end_handshape_annotations//test_auto_move//signs_mov/15704.mov" TargetMode="External"/><Relationship Id="rId14068" Type="http://schemas.openxmlformats.org/officeDocument/2006/relationships/hyperlink" Target="http://secrets.rutgers.edu:8080/data/asl-ftp/asllvd/demos/verify_start_end_handshape_annotations//test_auto_move//signs_mov_separ_signers/Naomi_15704.mov" TargetMode="External"/><Relationship Id="rId14069" Type="http://schemas.openxmlformats.org/officeDocument/2006/relationships/hyperlink" Target="http://csr.bu.edu/ftp/asl/asllvd/demos/verify_start_end_handshape_annotations//test_auto_move//signs_mov_separ_signers/Brady_15704.mov" TargetMode="External"/><Relationship Id="rId14070" Type="http://schemas.openxmlformats.org/officeDocument/2006/relationships/hyperlink" Target="http://secrets.rutgers.edu:8080/data/asl-ftp/asllvd/demos/verify_start_end_handshape_annotations//test_auto_move//signs_mov_separ_signers/Brady_15704.mov" TargetMode="External"/><Relationship Id="rId14071" Type="http://schemas.openxmlformats.org/officeDocument/2006/relationships/hyperlink" Target="http://csr.bu.edu/ftp/asl/asllvd/demos/verify_start_end_handshape_annotations//test_auto_move//signs_mov_separ_signers/Dana_15704.mov" TargetMode="External"/><Relationship Id="rId14072" Type="http://schemas.openxmlformats.org/officeDocument/2006/relationships/hyperlink" Target="http://secrets.rutgers.edu:8080/data/asl-ftp/asllvd/demos/verify_start_end_handshape_annotations//test_auto_move//signs_mov_separ_signers/Dana_15704.mov" TargetMode="External"/><Relationship Id="rId14073" Type="http://schemas.openxmlformats.org/officeDocument/2006/relationships/hyperlink" Target="http://csr.bu.edu/ftp/asl/asllvd/demos/verify_start_end_handshape_annotations//test_auto_move//signs_mov/15705.mov" TargetMode="External"/><Relationship Id="rId14074" Type="http://schemas.openxmlformats.org/officeDocument/2006/relationships/hyperlink" Target="http://csr.bu.edu/ftp/asl/asllvd/demos/verify_start_end_handshape_annotations//test_auto_move//signs_mov_separ_signers/Tyler_15705.mov" TargetMode="External"/><Relationship Id="rId14075" Type="http://schemas.openxmlformats.org/officeDocument/2006/relationships/hyperlink" Target="http://secrets.rutgers.edu:8080/data/asl-ftp/asllvd/demos/verify_start_end_handshape_annotations//test_auto_move//signs_mov/15705.mov" TargetMode="External"/><Relationship Id="rId14076" Type="http://schemas.openxmlformats.org/officeDocument/2006/relationships/hyperlink" Target="http://secrets.rutgers.edu:8080/data/asl-ftp/asllvd/demos/verify_start_end_handshape_annotations//test_auto_move//signs_mov_separ_signers/Tyler_15705.mov" TargetMode="External"/><Relationship Id="rId14077" Type="http://schemas.openxmlformats.org/officeDocument/2006/relationships/hyperlink" Target="http://csr.bu.edu/ftp/asl/asllvd/demos/verify_start_end_handshape_annotations//test_auto_move//signs_mov_separ_signers/Lana_15705.mov" TargetMode="External"/><Relationship Id="rId14078" Type="http://schemas.openxmlformats.org/officeDocument/2006/relationships/hyperlink" Target="http://secrets.rutgers.edu:8080/data/asl-ftp/asllvd/demos/verify_start_end_handshape_annotations//test_auto_move//signs_mov_separ_signers/Lana_15705.mov" TargetMode="External"/><Relationship Id="rId14079" Type="http://schemas.openxmlformats.org/officeDocument/2006/relationships/hyperlink" Target="http://csr.bu.edu/ftp/asl/asllvd/demos/verify_start_end_handshape_annotations//test_auto_move//signs_mov/1590.mov" TargetMode="External"/><Relationship Id="rId14080" Type="http://schemas.openxmlformats.org/officeDocument/2006/relationships/hyperlink" Target="http://csr.bu.edu/ftp/asl/asllvd/demos/verify_start_end_handshape_annotations//test_auto_move//signs_mov_separ_signers/Tyler_1590.mov" TargetMode="External"/><Relationship Id="rId14081" Type="http://schemas.openxmlformats.org/officeDocument/2006/relationships/hyperlink" Target="http://secrets.rutgers.edu:8080/data/asl-ftp/asllvd/demos/verify_start_end_handshape_annotations//test_auto_move//signs_mov/1590.mov" TargetMode="External"/><Relationship Id="rId14082" Type="http://schemas.openxmlformats.org/officeDocument/2006/relationships/hyperlink" Target="http://secrets.rutgers.edu:8080/data/asl-ftp/asllvd/demos/verify_start_end_handshape_annotations//test_auto_move//signs_mov_separ_signers/Tyler_1590.mov" TargetMode="External"/><Relationship Id="rId14083" Type="http://schemas.openxmlformats.org/officeDocument/2006/relationships/hyperlink" Target="http://csr.bu.edu/ftp/asl/asllvd/demos/verify_start_end_handshape_annotations//test_auto_move//signs_mov/1591.mov" TargetMode="External"/><Relationship Id="rId14084" Type="http://schemas.openxmlformats.org/officeDocument/2006/relationships/hyperlink" Target="http://csr.bu.edu/ftp/asl/asllvd/demos/verify_start_end_handshape_annotations//test_auto_move//signs_mov_separ_signers/Liz_1591.mov" TargetMode="External"/><Relationship Id="rId14085" Type="http://schemas.openxmlformats.org/officeDocument/2006/relationships/hyperlink" Target="http://secrets.rutgers.edu:8080/data/asl-ftp/asllvd/demos/verify_start_end_handshape_annotations//test_auto_move//signs_mov/1591.mov" TargetMode="External"/><Relationship Id="rId14086" Type="http://schemas.openxmlformats.org/officeDocument/2006/relationships/hyperlink" Target="http://secrets.rutgers.edu:8080/data/asl-ftp/asllvd/demos/verify_start_end_handshape_annotations//test_auto_move//signs_mov_separ_signers/Liz_1591.mov" TargetMode="External"/><Relationship Id="rId14087" Type="http://schemas.openxmlformats.org/officeDocument/2006/relationships/hyperlink" Target="http://csr.bu.edu/ftp/asl/asllvd/demos/verify_start_end_handshape_annotations//test_auto_move//signs_mov_separ_signers/Tyler_1591.mov" TargetMode="External"/><Relationship Id="rId14088" Type="http://schemas.openxmlformats.org/officeDocument/2006/relationships/hyperlink" Target="http://secrets.rutgers.edu:8080/data/asl-ftp/asllvd/demos/verify_start_end_handshape_annotations//test_auto_move//signs_mov_separ_signers/Tyler_1591.mov" TargetMode="External"/><Relationship Id="rId14089" Type="http://schemas.openxmlformats.org/officeDocument/2006/relationships/hyperlink" Target="http://csr.bu.edu/ftp/asl/asllvd/demos/verify_start_end_handshape_annotations//test_auto_move//signs_mov/15436.mov" TargetMode="External"/><Relationship Id="rId14090" Type="http://schemas.openxmlformats.org/officeDocument/2006/relationships/hyperlink" Target="http://csr.bu.edu/ftp/asl/asllvd/demos/verify_start_end_handshape_annotations//test_auto_move//signs_mov_separ_signers/Liz_15436.mov" TargetMode="External"/><Relationship Id="rId14091" Type="http://schemas.openxmlformats.org/officeDocument/2006/relationships/hyperlink" Target="http://secrets.rutgers.edu:8080/data/asl-ftp/asllvd/demos/verify_start_end_handshape_annotations//test_auto_move//signs_mov/15436.mov" TargetMode="External"/><Relationship Id="rId14092" Type="http://schemas.openxmlformats.org/officeDocument/2006/relationships/hyperlink" Target="http://secrets.rutgers.edu:8080/data/asl-ftp/asllvd/demos/verify_start_end_handshape_annotations//test_auto_move//signs_mov_separ_signers/Liz_15436.mov" TargetMode="External"/><Relationship Id="rId14093" Type="http://schemas.openxmlformats.org/officeDocument/2006/relationships/hyperlink" Target="http://csr.bu.edu/ftp/asl/asllvd/demos/verify_start_end_handshape_annotations//test_auto_move//signs_mov_separ_signers/Liz_16064.mov" TargetMode="External"/><Relationship Id="rId14094" Type="http://schemas.openxmlformats.org/officeDocument/2006/relationships/hyperlink" Target="http://secrets.rutgers.edu:8080/data/asl-ftp/asllvd/demos/verify_start_end_handshape_annotations//test_auto_move//signs_mov_separ_signers/Liz_16064.mov" TargetMode="External"/><Relationship Id="rId14095" Type="http://schemas.openxmlformats.org/officeDocument/2006/relationships/hyperlink" Target="http://csr.bu.edu/ftp/asl/asllvd/demos/verify_start_end_handshape_annotations//test_auto_move//signs_mov/16064.mov" TargetMode="External"/><Relationship Id="rId14096" Type="http://schemas.openxmlformats.org/officeDocument/2006/relationships/hyperlink" Target="http://csr.bu.edu/ftp/asl/asllvd/demos/verify_start_end_handshape_annotations//test_auto_move//signs_mov_separ_signers/Tyler_16064.mov" TargetMode="External"/><Relationship Id="rId14097" Type="http://schemas.openxmlformats.org/officeDocument/2006/relationships/hyperlink" Target="http://secrets.rutgers.edu:8080/data/asl-ftp/asllvd/demos/verify_start_end_handshape_annotations//test_auto_move//signs_mov/16064.mov" TargetMode="External"/><Relationship Id="rId14098" Type="http://schemas.openxmlformats.org/officeDocument/2006/relationships/hyperlink" Target="http://secrets.rutgers.edu:8080/data/asl-ftp/asllvd/demos/verify_start_end_handshape_annotations//test_auto_move//signs_mov_separ_signers/Tyler_16064.mov" TargetMode="External"/><Relationship Id="rId14099" Type="http://schemas.openxmlformats.org/officeDocument/2006/relationships/hyperlink" Target="http://csr.bu.edu/ftp/asl/asllvd/demos/verify_start_end_handshape_annotations//test_auto_move//signs_mov_separ_signers/Brady_16064.mov" TargetMode="External"/><Relationship Id="rId14100" Type="http://schemas.openxmlformats.org/officeDocument/2006/relationships/hyperlink" Target="http://secrets.rutgers.edu:8080/data/asl-ftp/asllvd/demos/verify_start_end_handshape_annotations//test_auto_move//signs_mov_separ_signers/Brady_16064.mov" TargetMode="External"/><Relationship Id="rId14101" Type="http://schemas.openxmlformats.org/officeDocument/2006/relationships/hyperlink" Target="http://csr.bu.edu/ftp/asl/asllvd/demos/verify_start_end_handshape_annotations//test_auto_move//signs_mov/1592.mov" TargetMode="External"/><Relationship Id="rId14102" Type="http://schemas.openxmlformats.org/officeDocument/2006/relationships/hyperlink" Target="http://csr.bu.edu/ftp/asl/asllvd/demos/verify_start_end_handshape_annotations//test_auto_move//signs_mov_separ_signers/Tyler_1592.mov" TargetMode="External"/><Relationship Id="rId14103" Type="http://schemas.openxmlformats.org/officeDocument/2006/relationships/hyperlink" Target="http://secrets.rutgers.edu:8080/data/asl-ftp/asllvd/demos/verify_start_end_handshape_annotations//test_auto_move//signs_mov/1592.mov" TargetMode="External"/><Relationship Id="rId14104" Type="http://schemas.openxmlformats.org/officeDocument/2006/relationships/hyperlink" Target="http://secrets.rutgers.edu:8080/data/asl-ftp/asllvd/demos/verify_start_end_handshape_annotations//test_auto_move//signs_mov_separ_signers/Tyler_1592.mov" TargetMode="External"/><Relationship Id="rId14105" Type="http://schemas.openxmlformats.org/officeDocument/2006/relationships/hyperlink" Target="http://csr.bu.edu/ftp/asl/asllvd/demos/verify_start_end_handshape_annotations//test_auto_move//signs_mov/5264.mov" TargetMode="External"/><Relationship Id="rId14106" Type="http://schemas.openxmlformats.org/officeDocument/2006/relationships/hyperlink" Target="http://csr.bu.edu/ftp/asl/asllvd/demos/verify_start_end_handshape_annotations//test_auto_move//signs_mov_separ_signers/Liz_5264.mov" TargetMode="External"/><Relationship Id="rId14107" Type="http://schemas.openxmlformats.org/officeDocument/2006/relationships/hyperlink" Target="http://secrets.rutgers.edu:8080/data/asl-ftp/asllvd/demos/verify_start_end_handshape_annotations//test_auto_move//signs_mov/5264.mov" TargetMode="External"/><Relationship Id="rId14108" Type="http://schemas.openxmlformats.org/officeDocument/2006/relationships/hyperlink" Target="http://secrets.rutgers.edu:8080/data/asl-ftp/asllvd/demos/verify_start_end_handshape_annotations//test_auto_move//signs_mov_separ_signers/Liz_5264.mov" TargetMode="External"/><Relationship Id="rId14109" Type="http://schemas.openxmlformats.org/officeDocument/2006/relationships/hyperlink" Target="http://csr.bu.edu/ftp/asl/asllvd/demos/verify_start_end_handshape_annotations//test_auto_move//signs_mov_separ_signers/Liz_1593.mov" TargetMode="External"/><Relationship Id="rId14110" Type="http://schemas.openxmlformats.org/officeDocument/2006/relationships/hyperlink" Target="http://secrets.rutgers.edu:8080/data/asl-ftp/asllvd/demos/verify_start_end_handshape_annotations//test_auto_move//signs_mov_separ_signers/Liz_1593.mov" TargetMode="External"/><Relationship Id="rId14111" Type="http://schemas.openxmlformats.org/officeDocument/2006/relationships/hyperlink" Target="http://csr.bu.edu/ftp/asl/asllvd/demos/verify_start_end_handshape_annotations//test_auto_move//signs_mov/1593.mov" TargetMode="External"/><Relationship Id="rId14112" Type="http://schemas.openxmlformats.org/officeDocument/2006/relationships/hyperlink" Target="http://csr.bu.edu/ftp/asl/asllvd/demos/verify_start_end_handshape_annotations//test_auto_move//signs_mov_separ_signers/Tyler_1593.mov" TargetMode="External"/><Relationship Id="rId14113" Type="http://schemas.openxmlformats.org/officeDocument/2006/relationships/hyperlink" Target="http://secrets.rutgers.edu:8080/data/asl-ftp/asllvd/demos/verify_start_end_handshape_annotations//test_auto_move//signs_mov/1593.mov" TargetMode="External"/><Relationship Id="rId14114" Type="http://schemas.openxmlformats.org/officeDocument/2006/relationships/hyperlink" Target="http://secrets.rutgers.edu:8080/data/asl-ftp/asllvd/demos/verify_start_end_handshape_annotations//test_auto_move//signs_mov_separ_signers/Tyler_1593.mov" TargetMode="External"/><Relationship Id="rId14115" Type="http://schemas.openxmlformats.org/officeDocument/2006/relationships/hyperlink" Target="http://csr.bu.edu/ftp/asl/asllvd/demos/verify_start_end_handshape_annotations//test_auto_move//signs_mov_separ_signers/Lana_1593.mov" TargetMode="External"/><Relationship Id="rId14116" Type="http://schemas.openxmlformats.org/officeDocument/2006/relationships/hyperlink" Target="http://secrets.rutgers.edu:8080/data/asl-ftp/asllvd/demos/verify_start_end_handshape_annotations//test_auto_move//signs_mov_separ_signers/Lana_1593.mov" TargetMode="External"/><Relationship Id="rId14117" Type="http://schemas.openxmlformats.org/officeDocument/2006/relationships/hyperlink" Target="http://csr.bu.edu/ftp/asl/asllvd/demos/verify_start_end_handshape_annotations//test_auto_move//signs_mov_separ_signers/Dana_1593.mov" TargetMode="External"/><Relationship Id="rId14118" Type="http://schemas.openxmlformats.org/officeDocument/2006/relationships/hyperlink" Target="http://secrets.rutgers.edu:8080/data/asl-ftp/asllvd/demos/verify_start_end_handshape_annotations//test_auto_move//signs_mov_separ_signers/Dana_1593.mov" TargetMode="External"/><Relationship Id="rId14119" Type="http://schemas.openxmlformats.org/officeDocument/2006/relationships/hyperlink" Target="http://csr.bu.edu/ftp/asl/asllvd/demos/verify_start_end_handshape_annotations//test_auto_move//signs_mov_separ_signers/Liz_1594.mov" TargetMode="External"/><Relationship Id="rId14120" Type="http://schemas.openxmlformats.org/officeDocument/2006/relationships/hyperlink" Target="http://secrets.rutgers.edu:8080/data/asl-ftp/asllvd/demos/verify_start_end_handshape_annotations//test_auto_move//signs_mov_separ_signers/Liz_1594.mov" TargetMode="External"/><Relationship Id="rId14121" Type="http://schemas.openxmlformats.org/officeDocument/2006/relationships/hyperlink" Target="http://csr.bu.edu/ftp/asl/asllvd/demos/verify_start_end_handshape_annotations//test_auto_move//signs_mov/1594_3402_3896_merged.mov" TargetMode="External"/><Relationship Id="rId14122" Type="http://schemas.openxmlformats.org/officeDocument/2006/relationships/hyperlink" Target="http://csr.bu.edu/ftp/asl/asllvd/demos/verify_start_end_handshape_annotations//test_auto_move//signs_mov_separ_signers/Liz_3402.mov" TargetMode="External"/><Relationship Id="rId14123" Type="http://schemas.openxmlformats.org/officeDocument/2006/relationships/hyperlink" Target="http://secrets.rutgers.edu:8080/data/asl-ftp/asllvd/demos/verify_start_end_handshape_annotations//test_auto_move//signs_mov/1594_3402_3896_merged.mov" TargetMode="External"/><Relationship Id="rId14124" Type="http://schemas.openxmlformats.org/officeDocument/2006/relationships/hyperlink" Target="http://secrets.rutgers.edu:8080/data/asl-ftp/asllvd/demos/verify_start_end_handshape_annotations//test_auto_move//signs_mov_separ_signers/Liz_3402.mov" TargetMode="External"/><Relationship Id="rId14125" Type="http://schemas.openxmlformats.org/officeDocument/2006/relationships/hyperlink" Target="http://csr.bu.edu/ftp/asl/asllvd/demos/verify_start_end_handshape_annotations//test_auto_move//signs_mov_separ_signers/Liz_3896.mov" TargetMode="External"/><Relationship Id="rId14126" Type="http://schemas.openxmlformats.org/officeDocument/2006/relationships/hyperlink" Target="http://secrets.rutgers.edu:8080/data/asl-ftp/asllvd/demos/verify_start_end_handshape_annotations//test_auto_move//signs_mov_separ_signers/Liz_3896.mov" TargetMode="External"/><Relationship Id="rId14127" Type="http://schemas.openxmlformats.org/officeDocument/2006/relationships/hyperlink" Target="http://csr.bu.edu/ftp/asl/asllvd/demos/verify_start_end_handshape_annotations//test_auto_move//signs_mov_separ_signers/Tyler_1594.mov" TargetMode="External"/><Relationship Id="rId14128" Type="http://schemas.openxmlformats.org/officeDocument/2006/relationships/hyperlink" Target="http://secrets.rutgers.edu:8080/data/asl-ftp/asllvd/demos/verify_start_end_handshape_annotations//test_auto_move//signs_mov_separ_signers/Tyler_1594.mov" TargetMode="External"/><Relationship Id="rId14129" Type="http://schemas.openxmlformats.org/officeDocument/2006/relationships/hyperlink" Target="http://csr.bu.edu/ftp/asl/asllvd/demos/verify_start_end_handshape_annotations//test_auto_move//signs_mov_separ_signers/Liz_15494.mov" TargetMode="External"/><Relationship Id="rId14130" Type="http://schemas.openxmlformats.org/officeDocument/2006/relationships/hyperlink" Target="http://secrets.rutgers.edu:8080/data/asl-ftp/asllvd/demos/verify_start_end_handshape_annotations//test_auto_move//signs_mov_separ_signers/Liz_15494.mov" TargetMode="External"/><Relationship Id="rId14131" Type="http://schemas.openxmlformats.org/officeDocument/2006/relationships/hyperlink" Target="http://csr.bu.edu/ftp/asl/asllvd/demos/verify_start_end_handshape_annotations//test_auto_move//signs_mov/15494_15521_merged.mov" TargetMode="External"/><Relationship Id="rId14132" Type="http://schemas.openxmlformats.org/officeDocument/2006/relationships/hyperlink" Target="http://csr.bu.edu/ftp/asl/asllvd/demos/verify_start_end_handshape_annotations//test_auto_move//signs_mov_separ_signers/Brady_15494.mov" TargetMode="External"/><Relationship Id="rId14133" Type="http://schemas.openxmlformats.org/officeDocument/2006/relationships/hyperlink" Target="http://secrets.rutgers.edu:8080/data/asl-ftp/asllvd/demos/verify_start_end_handshape_annotations//test_auto_move//signs_mov/15494_15521_merged.mov" TargetMode="External"/><Relationship Id="rId14134" Type="http://schemas.openxmlformats.org/officeDocument/2006/relationships/hyperlink" Target="http://secrets.rutgers.edu:8080/data/asl-ftp/asllvd/demos/verify_start_end_handshape_annotations//test_auto_move//signs_mov_separ_signers/Brady_15494.mov" TargetMode="External"/><Relationship Id="rId14135" Type="http://schemas.openxmlformats.org/officeDocument/2006/relationships/hyperlink" Target="http://csr.bu.edu/ftp/asl/asllvd/demos/verify_start_end_handshape_annotations//test_auto_move//signs_mov_separ_signers/Brady_15521.mov" TargetMode="External"/><Relationship Id="rId14136" Type="http://schemas.openxmlformats.org/officeDocument/2006/relationships/hyperlink" Target="http://secrets.rutgers.edu:8080/data/asl-ftp/asllvd/demos/verify_start_end_handshape_annotations//test_auto_move//signs_mov_separ_signers/Brady_15521.mov" TargetMode="External"/><Relationship Id="rId14137" Type="http://schemas.openxmlformats.org/officeDocument/2006/relationships/hyperlink" Target="http://csr.bu.edu/ftp/asl/asllvd/demos/verify_start_end_handshape_annotations//test_auto_move//signs_mov/1597.mov" TargetMode="External"/><Relationship Id="rId14138" Type="http://schemas.openxmlformats.org/officeDocument/2006/relationships/hyperlink" Target="http://csr.bu.edu/ftp/asl/asllvd/demos/verify_start_end_handshape_annotations//test_auto_move//signs_mov_separ_signers/Liz_1597.mov" TargetMode="External"/><Relationship Id="rId14139" Type="http://schemas.openxmlformats.org/officeDocument/2006/relationships/hyperlink" Target="http://secrets.rutgers.edu:8080/data/asl-ftp/asllvd/demos/verify_start_end_handshape_annotations//test_auto_move//signs_mov/1597.mov" TargetMode="External"/><Relationship Id="rId14140" Type="http://schemas.openxmlformats.org/officeDocument/2006/relationships/hyperlink" Target="http://secrets.rutgers.edu:8080/data/asl-ftp/asllvd/demos/verify_start_end_handshape_annotations//test_auto_move//signs_mov_separ_signers/Liz_1597.mov" TargetMode="External"/><Relationship Id="rId14141" Type="http://schemas.openxmlformats.org/officeDocument/2006/relationships/hyperlink" Target="http://csr.bu.edu/ftp/asl/asllvd/demos/verify_start_end_handshape_annotations//test_auto_move//signs_mov_separ_signers/Tyler_1597.mov" TargetMode="External"/><Relationship Id="rId14142" Type="http://schemas.openxmlformats.org/officeDocument/2006/relationships/hyperlink" Target="http://secrets.rutgers.edu:8080/data/asl-ftp/asllvd/demos/verify_start_end_handshape_annotations//test_auto_move//signs_mov_separ_signers/Tyler_1597.mov" TargetMode="External"/><Relationship Id="rId14143" Type="http://schemas.openxmlformats.org/officeDocument/2006/relationships/hyperlink" Target="http://csr.bu.edu/ftp/asl/asllvd/demos/verify_start_end_handshape_annotations//test_auto_move//signs_mov/15175.mov" TargetMode="External"/><Relationship Id="rId14144" Type="http://schemas.openxmlformats.org/officeDocument/2006/relationships/hyperlink" Target="http://csr.bu.edu/ftp/asl/asllvd/demos/verify_start_end_handshape_annotations//test_auto_move//signs_mov_separ_signers/Liz_15175.mov" TargetMode="External"/><Relationship Id="rId14145" Type="http://schemas.openxmlformats.org/officeDocument/2006/relationships/hyperlink" Target="http://secrets.rutgers.edu:8080/data/asl-ftp/asllvd/demos/verify_start_end_handshape_annotations//test_auto_move//signs_mov/15175.mov" TargetMode="External"/><Relationship Id="rId14146" Type="http://schemas.openxmlformats.org/officeDocument/2006/relationships/hyperlink" Target="http://secrets.rutgers.edu:8080/data/asl-ftp/asllvd/demos/verify_start_end_handshape_annotations//test_auto_move//signs_mov_separ_signers/Liz_15175.mov" TargetMode="External"/><Relationship Id="rId14147" Type="http://schemas.openxmlformats.org/officeDocument/2006/relationships/hyperlink" Target="http://csr.bu.edu/ftp/asl/asllvd/demos/verify_start_end_handshape_annotations//test_auto_move//signs_mov_separ_signers/Tyler_15175.mov" TargetMode="External"/><Relationship Id="rId14148" Type="http://schemas.openxmlformats.org/officeDocument/2006/relationships/hyperlink" Target="http://secrets.rutgers.edu:8080/data/asl-ftp/asllvd/demos/verify_start_end_handshape_annotations//test_auto_move//signs_mov_separ_signers/Tyler_15175.mov" TargetMode="External"/><Relationship Id="rId14149" Type="http://schemas.openxmlformats.org/officeDocument/2006/relationships/hyperlink" Target="http://csr.bu.edu/ftp/asl/asllvd/demos/verify_start_end_handshape_annotations//test_auto_move//signs_mov/15176.mov" TargetMode="External"/><Relationship Id="rId14150" Type="http://schemas.openxmlformats.org/officeDocument/2006/relationships/hyperlink" Target="http://csr.bu.edu/ftp/asl/asllvd/demos/verify_start_end_handshape_annotations//test_auto_move//signs_mov_separ_signers/Liz_15176.mov" TargetMode="External"/><Relationship Id="rId14151" Type="http://schemas.openxmlformats.org/officeDocument/2006/relationships/hyperlink" Target="http://secrets.rutgers.edu:8080/data/asl-ftp/asllvd/demos/verify_start_end_handshape_annotations//test_auto_move//signs_mov/15176.mov" TargetMode="External"/><Relationship Id="rId14152" Type="http://schemas.openxmlformats.org/officeDocument/2006/relationships/hyperlink" Target="http://secrets.rutgers.edu:8080/data/asl-ftp/asllvd/demos/verify_start_end_handshape_annotations//test_auto_move//signs_mov_separ_signers/Liz_15176.mov" TargetMode="External"/><Relationship Id="rId14153" Type="http://schemas.openxmlformats.org/officeDocument/2006/relationships/hyperlink" Target="http://csr.bu.edu/ftp/asl/asllvd/demos/verify_start_end_handshape_annotations//test_auto_move//signs_mov_separ_signers/Tyler_15176.mov" TargetMode="External"/><Relationship Id="rId14154" Type="http://schemas.openxmlformats.org/officeDocument/2006/relationships/hyperlink" Target="http://secrets.rutgers.edu:8080/data/asl-ftp/asllvd/demos/verify_start_end_handshape_annotations//test_auto_move//signs_mov_separ_signers/Tyler_15176.mov" TargetMode="External"/><Relationship Id="rId14155" Type="http://schemas.openxmlformats.org/officeDocument/2006/relationships/hyperlink" Target="http://csr.bu.edu/ftp/asl/asllvd/demos/verify_start_end_handshape_annotations//test_auto_move//signs_mov/16036.mov" TargetMode="External"/><Relationship Id="rId14156" Type="http://schemas.openxmlformats.org/officeDocument/2006/relationships/hyperlink" Target="http://csr.bu.edu/ftp/asl/asllvd/demos/verify_start_end_handshape_annotations//test_auto_move//signs_mov_separ_signers/Liz_16036.mov" TargetMode="External"/><Relationship Id="rId14157" Type="http://schemas.openxmlformats.org/officeDocument/2006/relationships/hyperlink" Target="http://secrets.rutgers.edu:8080/data/asl-ftp/asllvd/demos/verify_start_end_handshape_annotations//test_auto_move//signs_mov/16036.mov" TargetMode="External"/><Relationship Id="rId14158" Type="http://schemas.openxmlformats.org/officeDocument/2006/relationships/hyperlink" Target="http://secrets.rutgers.edu:8080/data/asl-ftp/asllvd/demos/verify_start_end_handshape_annotations//test_auto_move//signs_mov_separ_signers/Liz_16036.mov" TargetMode="External"/><Relationship Id="rId14159" Type="http://schemas.openxmlformats.org/officeDocument/2006/relationships/hyperlink" Target="http://csr.bu.edu/ftp/asl/asllvd/demos/verify_start_end_handshape_annotations//test_auto_move//signs_mov_separ_signers/Brady_16036.mov" TargetMode="External"/><Relationship Id="rId14160" Type="http://schemas.openxmlformats.org/officeDocument/2006/relationships/hyperlink" Target="http://secrets.rutgers.edu:8080/data/asl-ftp/asllvd/demos/verify_start_end_handshape_annotations//test_auto_move//signs_mov_separ_signers/Brady_16036.mov" TargetMode="External"/><Relationship Id="rId14161" Type="http://schemas.openxmlformats.org/officeDocument/2006/relationships/hyperlink" Target="http://csr.bu.edu/ftp/asl/asllvd/demos/verify_start_end_handshape_annotations//test_auto_move//signs_mov_separ_signers/Liz_1599.mov" TargetMode="External"/><Relationship Id="rId14162" Type="http://schemas.openxmlformats.org/officeDocument/2006/relationships/hyperlink" Target="http://secrets.rutgers.edu:8080/data/asl-ftp/asllvd/demos/verify_start_end_handshape_annotations//test_auto_move//signs_mov_separ_signers/Liz_1599.mov" TargetMode="External"/><Relationship Id="rId14163" Type="http://schemas.openxmlformats.org/officeDocument/2006/relationships/hyperlink" Target="http://csr.bu.edu/ftp/asl/asllvd/demos/verify_start_end_handshape_annotations//test_auto_move//signs_mov/1599.mov" TargetMode="External"/><Relationship Id="rId14164" Type="http://schemas.openxmlformats.org/officeDocument/2006/relationships/hyperlink" Target="http://csr.bu.edu/ftp/asl/asllvd/demos/verify_start_end_handshape_annotations//test_auto_move//signs_mov_separ_signers/Lana_1599.mov" TargetMode="External"/><Relationship Id="rId14165" Type="http://schemas.openxmlformats.org/officeDocument/2006/relationships/hyperlink" Target="http://secrets.rutgers.edu:8080/data/asl-ftp/asllvd/demos/verify_start_end_handshape_annotations//test_auto_move//signs_mov/1599.mov" TargetMode="External"/><Relationship Id="rId14166" Type="http://schemas.openxmlformats.org/officeDocument/2006/relationships/hyperlink" Target="http://secrets.rutgers.edu:8080/data/asl-ftp/asllvd/demos/verify_start_end_handshape_annotations//test_auto_move//signs_mov_separ_signers/Lana_1599.mov" TargetMode="External"/><Relationship Id="rId14167" Type="http://schemas.openxmlformats.org/officeDocument/2006/relationships/hyperlink" Target="http://csr.bu.edu/ftp/asl/asllvd/demos/verify_start_end_handshape_annotations//test_auto_move//signs_mov_separ_signers/Dana_1599.mov" TargetMode="External"/><Relationship Id="rId14168" Type="http://schemas.openxmlformats.org/officeDocument/2006/relationships/hyperlink" Target="http://secrets.rutgers.edu:8080/data/asl-ftp/asllvd/demos/verify_start_end_handshape_annotations//test_auto_move//signs_mov_separ_signers/Dana_1599.mov" TargetMode="External"/><Relationship Id="rId14169" Type="http://schemas.openxmlformats.org/officeDocument/2006/relationships/hyperlink" Target="http://csr.bu.edu/ftp/asl/asllvd/demos/verify_start_end_handshape_annotations//test_auto_move//signs_mov/3691.mov" TargetMode="External"/><Relationship Id="rId14170" Type="http://schemas.openxmlformats.org/officeDocument/2006/relationships/hyperlink" Target="http://csr.bu.edu/ftp/asl/asllvd/demos/verify_start_end_handshape_annotations//test_auto_move//signs_mov_separ_signers/Tyler_3691.mov" TargetMode="External"/><Relationship Id="rId14171" Type="http://schemas.openxmlformats.org/officeDocument/2006/relationships/hyperlink" Target="http://secrets.rutgers.edu:8080/data/asl-ftp/asllvd/demos/verify_start_end_handshape_annotations//test_auto_move//signs_mov/3691.mov" TargetMode="External"/><Relationship Id="rId14172" Type="http://schemas.openxmlformats.org/officeDocument/2006/relationships/hyperlink" Target="http://secrets.rutgers.edu:8080/data/asl-ftp/asllvd/demos/verify_start_end_handshape_annotations//test_auto_move//signs_mov_separ_signers/Tyler_3691.mov" TargetMode="External"/><Relationship Id="rId14173" Type="http://schemas.openxmlformats.org/officeDocument/2006/relationships/hyperlink" Target="http://csr.bu.edu/ftp/asl/asllvd/demos/verify_start_end_handshape_annotations//test_auto_move//signs_mov/5265.mov" TargetMode="External"/><Relationship Id="rId14174" Type="http://schemas.openxmlformats.org/officeDocument/2006/relationships/hyperlink" Target="http://csr.bu.edu/ftp/asl/asllvd/demos/verify_start_end_handshape_annotations//test_auto_move//signs_mov_separ_signers/Liz_5265.mov" TargetMode="External"/><Relationship Id="rId14175" Type="http://schemas.openxmlformats.org/officeDocument/2006/relationships/hyperlink" Target="http://secrets.rutgers.edu:8080/data/asl-ftp/asllvd/demos/verify_start_end_handshape_annotations//test_auto_move//signs_mov/5265.mov" TargetMode="External"/><Relationship Id="rId14176" Type="http://schemas.openxmlformats.org/officeDocument/2006/relationships/hyperlink" Target="http://secrets.rutgers.edu:8080/data/asl-ftp/asllvd/demos/verify_start_end_handshape_annotations//test_auto_move//signs_mov_separ_signers/Liz_5265.mov" TargetMode="External"/><Relationship Id="rId14177" Type="http://schemas.openxmlformats.org/officeDocument/2006/relationships/hyperlink" Target="http://csr.bu.edu/ftp/asl/asllvd/demos/verify_start_end_handshape_annotations//test_auto_move//signs_mov/1605.mov" TargetMode="External"/><Relationship Id="rId14178" Type="http://schemas.openxmlformats.org/officeDocument/2006/relationships/hyperlink" Target="http://csr.bu.edu/ftp/asl/asllvd/demos/verify_start_end_handshape_annotations//test_auto_move//signs_mov_separ_signers/Tyler_1605.mov" TargetMode="External"/><Relationship Id="rId14179" Type="http://schemas.openxmlformats.org/officeDocument/2006/relationships/hyperlink" Target="http://secrets.rutgers.edu:8080/data/asl-ftp/asllvd/demos/verify_start_end_handshape_annotations//test_auto_move//signs_mov/1605.mov" TargetMode="External"/><Relationship Id="rId14180" Type="http://schemas.openxmlformats.org/officeDocument/2006/relationships/hyperlink" Target="http://secrets.rutgers.edu:8080/data/asl-ftp/asllvd/demos/verify_start_end_handshape_annotations//test_auto_move//signs_mov_separ_signers/Tyler_1605.mov" TargetMode="External"/><Relationship Id="rId14181" Type="http://schemas.openxmlformats.org/officeDocument/2006/relationships/hyperlink" Target="http://csr.bu.edu/ftp/asl/asllvd/demos/verify_start_end_handshape_annotations//test_auto_move//signs_mov_separ_signers/Liz_1606.mov" TargetMode="External"/><Relationship Id="rId14182" Type="http://schemas.openxmlformats.org/officeDocument/2006/relationships/hyperlink" Target="http://secrets.rutgers.edu:8080/data/asl-ftp/asllvd/demos/verify_start_end_handshape_annotations//test_auto_move//signs_mov_separ_signers/Liz_1606.mov" TargetMode="External"/><Relationship Id="rId14183" Type="http://schemas.openxmlformats.org/officeDocument/2006/relationships/hyperlink" Target="http://csr.bu.edu/ftp/asl/asllvd/demos/verify_start_end_handshape_annotations//test_auto_move//signs_mov/1606_3350_merged.mov" TargetMode="External"/><Relationship Id="rId14184" Type="http://schemas.openxmlformats.org/officeDocument/2006/relationships/hyperlink" Target="http://csr.bu.edu/ftp/asl/asllvd/demos/verify_start_end_handshape_annotations//test_auto_move//signs_mov_separ_signers/Liz_3350.mov" TargetMode="External"/><Relationship Id="rId14185" Type="http://schemas.openxmlformats.org/officeDocument/2006/relationships/hyperlink" Target="http://secrets.rutgers.edu:8080/data/asl-ftp/asllvd/demos/verify_start_end_handshape_annotations//test_auto_move//signs_mov/1606_3350_merged.mov" TargetMode="External"/><Relationship Id="rId14186" Type="http://schemas.openxmlformats.org/officeDocument/2006/relationships/hyperlink" Target="http://secrets.rutgers.edu:8080/data/asl-ftp/asllvd/demos/verify_start_end_handshape_annotations//test_auto_move//signs_mov_separ_signers/Liz_3350.mov" TargetMode="External"/><Relationship Id="rId14187" Type="http://schemas.openxmlformats.org/officeDocument/2006/relationships/hyperlink" Target="http://csr.bu.edu/ftp/asl/asllvd/demos/verify_start_end_handshape_annotations//test_auto_move//signs_mov_separ_signers/Tyler_1606.mov" TargetMode="External"/><Relationship Id="rId14188" Type="http://schemas.openxmlformats.org/officeDocument/2006/relationships/hyperlink" Target="http://secrets.rutgers.edu:8080/data/asl-ftp/asllvd/demos/verify_start_end_handshape_annotations//test_auto_move//signs_mov_separ_signers/Tyler_1606.mov" TargetMode="External"/><Relationship Id="rId14189" Type="http://schemas.openxmlformats.org/officeDocument/2006/relationships/hyperlink" Target="http://csr.bu.edu/ftp/asl/asllvd/demos/verify_start_end_handshape_annotations//test_auto_move//signs_mov/3395.mov" TargetMode="External"/><Relationship Id="rId14190" Type="http://schemas.openxmlformats.org/officeDocument/2006/relationships/hyperlink" Target="http://csr.bu.edu/ftp/asl/asllvd/demos/verify_start_end_handshape_annotations//test_auto_move//signs_mov_separ_signers/Liz_3395.mov" TargetMode="External"/><Relationship Id="rId14191" Type="http://schemas.openxmlformats.org/officeDocument/2006/relationships/hyperlink" Target="http://secrets.rutgers.edu:8080/data/asl-ftp/asllvd/demos/verify_start_end_handshape_annotations//test_auto_move//signs_mov/3395.mov" TargetMode="External"/><Relationship Id="rId14192" Type="http://schemas.openxmlformats.org/officeDocument/2006/relationships/hyperlink" Target="http://secrets.rutgers.edu:8080/data/asl-ftp/asllvd/demos/verify_start_end_handshape_annotations//test_auto_move//signs_mov_separ_signers/Liz_3395.mov" TargetMode="External"/><Relationship Id="rId14193" Type="http://schemas.openxmlformats.org/officeDocument/2006/relationships/hyperlink" Target="http://csr.bu.edu/ftp/asl/asllvd/demos/verify_start_end_handshape_annotations//test_auto_move//signs_mov_separ_signers/Liz_1608.mov" TargetMode="External"/><Relationship Id="rId14194" Type="http://schemas.openxmlformats.org/officeDocument/2006/relationships/hyperlink" Target="http://secrets.rutgers.edu:8080/data/asl-ftp/asllvd/demos/verify_start_end_handshape_annotations//test_auto_move//signs_mov_separ_signers/Liz_1608.mov" TargetMode="External"/><Relationship Id="rId14195" Type="http://schemas.openxmlformats.org/officeDocument/2006/relationships/hyperlink" Target="http://csr.bu.edu/ftp/asl/asllvd/demos/verify_start_end_handshape_annotations//test_auto_move//signs_mov/1608.mov" TargetMode="External"/><Relationship Id="rId14196" Type="http://schemas.openxmlformats.org/officeDocument/2006/relationships/hyperlink" Target="http://csr.bu.edu/ftp/asl/asllvd/demos/verify_start_end_handshape_annotations//test_auto_move//signs_mov_separ_signers/Tyler_1608.mov" TargetMode="External"/><Relationship Id="rId14197" Type="http://schemas.openxmlformats.org/officeDocument/2006/relationships/hyperlink" Target="http://secrets.rutgers.edu:8080/data/asl-ftp/asllvd/demos/verify_start_end_handshape_annotations//test_auto_move//signs_mov/1608.mov" TargetMode="External"/><Relationship Id="rId14198" Type="http://schemas.openxmlformats.org/officeDocument/2006/relationships/hyperlink" Target="http://secrets.rutgers.edu:8080/data/asl-ftp/asllvd/demos/verify_start_end_handshape_annotations//test_auto_move//signs_mov_separ_signers/Tyler_1608.mov" TargetMode="External"/><Relationship Id="rId14199" Type="http://schemas.openxmlformats.org/officeDocument/2006/relationships/hyperlink" Target="http://csr.bu.edu/ftp/asl/asllvd/demos/verify_start_end_handshape_annotations//test_auto_move//signs_mov_separ_signers/Lana_1608.mov" TargetMode="External"/><Relationship Id="rId14200" Type="http://schemas.openxmlformats.org/officeDocument/2006/relationships/hyperlink" Target="http://secrets.rutgers.edu:8080/data/asl-ftp/asllvd/demos/verify_start_end_handshape_annotations//test_auto_move//signs_mov_separ_signers/Lana_1608.mov" TargetMode="External"/><Relationship Id="rId14201" Type="http://schemas.openxmlformats.org/officeDocument/2006/relationships/hyperlink" Target="http://csr.bu.edu/ftp/asl/asllvd/demos/verify_start_end_handshape_annotations//test_auto_move//signs_mov_separ_signers/Dana_1608.mov" TargetMode="External"/><Relationship Id="rId14202" Type="http://schemas.openxmlformats.org/officeDocument/2006/relationships/hyperlink" Target="http://secrets.rutgers.edu:8080/data/asl-ftp/asllvd/demos/verify_start_end_handshape_annotations//test_auto_move//signs_mov_separ_signers/Dana_1608.mov" TargetMode="External"/><Relationship Id="rId14203" Type="http://schemas.openxmlformats.org/officeDocument/2006/relationships/hyperlink" Target="http://csr.bu.edu/ftp/asl/asllvd/demos/verify_start_end_handshape_annotations//test_auto_move//signs_mov_separ_signers/Liz_15540.mov" TargetMode="External"/><Relationship Id="rId14204" Type="http://schemas.openxmlformats.org/officeDocument/2006/relationships/hyperlink" Target="http://secrets.rutgers.edu:8080/data/asl-ftp/asllvd/demos/verify_start_end_handshape_annotations//test_auto_move//signs_mov_separ_signers/Liz_15540.mov" TargetMode="External"/><Relationship Id="rId14205" Type="http://schemas.openxmlformats.org/officeDocument/2006/relationships/hyperlink" Target="http://csr.bu.edu/ftp/asl/asllvd/demos/verify_start_end_handshape_annotations//test_auto_move//signs_mov_separ_signers/Liz_15578.mov" TargetMode="External"/><Relationship Id="rId14206" Type="http://schemas.openxmlformats.org/officeDocument/2006/relationships/hyperlink" Target="http://secrets.rutgers.edu:8080/data/asl-ftp/asllvd/demos/verify_start_end_handshape_annotations//test_auto_move//signs_mov_separ_signers/Liz_15578.mov" TargetMode="External"/><Relationship Id="rId14207" Type="http://schemas.openxmlformats.org/officeDocument/2006/relationships/hyperlink" Target="http://csr.bu.edu/ftp/asl/asllvd/demos/verify_start_end_handshape_annotations//test_auto_move//signs_mov/15540_15578_merged.mov" TargetMode="External"/><Relationship Id="rId14208" Type="http://schemas.openxmlformats.org/officeDocument/2006/relationships/hyperlink" Target="http://csr.bu.edu/ftp/asl/asllvd/demos/verify_start_end_handshape_annotations//test_auto_move//signs_mov_separ_signers/Brady_15540.mov" TargetMode="External"/><Relationship Id="rId14209" Type="http://schemas.openxmlformats.org/officeDocument/2006/relationships/hyperlink" Target="http://secrets.rutgers.edu:8080/data/asl-ftp/asllvd/demos/verify_start_end_handshape_annotations//test_auto_move//signs_mov/15540_15578_merged.mov" TargetMode="External"/><Relationship Id="rId14210" Type="http://schemas.openxmlformats.org/officeDocument/2006/relationships/hyperlink" Target="http://secrets.rutgers.edu:8080/data/asl-ftp/asllvd/demos/verify_start_end_handshape_annotations//test_auto_move//signs_mov_separ_signers/Brady_15540.mov" TargetMode="External"/><Relationship Id="rId14211" Type="http://schemas.openxmlformats.org/officeDocument/2006/relationships/hyperlink" Target="http://csr.bu.edu/ftp/asl/asllvd/demos/verify_start_end_handshape_annotations//test_auto_move//signs_mov_separ_signers/Lana_15540.mov" TargetMode="External"/><Relationship Id="rId14212" Type="http://schemas.openxmlformats.org/officeDocument/2006/relationships/hyperlink" Target="http://secrets.rutgers.edu:8080/data/asl-ftp/asllvd/demos/verify_start_end_handshape_annotations//test_auto_move//signs_mov_separ_signers/Lana_15540.mov" TargetMode="External"/><Relationship Id="rId14213" Type="http://schemas.openxmlformats.org/officeDocument/2006/relationships/hyperlink" Target="http://csr.bu.edu/ftp/asl/asllvd/demos/verify_start_end_handshape_annotations//test_auto_move//signs_mov_separ_signers/Dana_15540.mov" TargetMode="External"/><Relationship Id="rId14214" Type="http://schemas.openxmlformats.org/officeDocument/2006/relationships/hyperlink" Target="http://secrets.rutgers.edu:8080/data/asl-ftp/asllvd/demos/verify_start_end_handshape_annotations//test_auto_move//signs_mov_separ_signers/Dana_15540.mov" TargetMode="External"/><Relationship Id="rId14215" Type="http://schemas.openxmlformats.org/officeDocument/2006/relationships/hyperlink" Target="http://csr.bu.edu/ftp/asl/asllvd/demos/verify_start_end_handshape_annotations//test_auto_move//signs_mov/1609.mov" TargetMode="External"/><Relationship Id="rId14216" Type="http://schemas.openxmlformats.org/officeDocument/2006/relationships/hyperlink" Target="http://csr.bu.edu/ftp/asl/asllvd/demos/verify_start_end_handshape_annotations//test_auto_move//signs_mov_separ_signers/Tyler_1609.mov" TargetMode="External"/><Relationship Id="rId14217" Type="http://schemas.openxmlformats.org/officeDocument/2006/relationships/hyperlink" Target="http://secrets.rutgers.edu:8080/data/asl-ftp/asllvd/demos/verify_start_end_handshape_annotations//test_auto_move//signs_mov/1609.mov" TargetMode="External"/><Relationship Id="rId14218" Type="http://schemas.openxmlformats.org/officeDocument/2006/relationships/hyperlink" Target="http://secrets.rutgers.edu:8080/data/asl-ftp/asllvd/demos/verify_start_end_handshape_annotations//test_auto_move//signs_mov_separ_signers/Tyler_1609.mov" TargetMode="External"/><Relationship Id="rId14219" Type="http://schemas.openxmlformats.org/officeDocument/2006/relationships/hyperlink" Target="http://csr.bu.edu/ftp/asl/asllvd/demos/verify_start_end_handshape_annotations//test_auto_move//signs_mov/16409.mov" TargetMode="External"/><Relationship Id="rId14220" Type="http://schemas.openxmlformats.org/officeDocument/2006/relationships/hyperlink" Target="http://csr.bu.edu/ftp/asl/asllvd/demos/verify_start_end_handshape_annotations//test_auto_move//signs_mov_separ_signers/Liz_16409.mov" TargetMode="External"/><Relationship Id="rId14221" Type="http://schemas.openxmlformats.org/officeDocument/2006/relationships/hyperlink" Target="http://secrets.rutgers.edu:8080/data/asl-ftp/asllvd/demos/verify_start_end_handshape_annotations//test_auto_move//signs_mov/16409.mov" TargetMode="External"/><Relationship Id="rId14222" Type="http://schemas.openxmlformats.org/officeDocument/2006/relationships/hyperlink" Target="http://secrets.rutgers.edu:8080/data/asl-ftp/asllvd/demos/verify_start_end_handshape_annotations//test_auto_move//signs_mov_separ_signers/Liz_16409.mov" TargetMode="External"/><Relationship Id="rId14223" Type="http://schemas.openxmlformats.org/officeDocument/2006/relationships/hyperlink" Target="http://csr.bu.edu/ftp/asl/asllvd/demos/verify_start_end_handshape_annotations//test_auto_move//signs_mov/1614.mov" TargetMode="External"/><Relationship Id="rId14224" Type="http://schemas.openxmlformats.org/officeDocument/2006/relationships/hyperlink" Target="http://csr.bu.edu/ftp/asl/asllvd/demos/verify_start_end_handshape_annotations//test_auto_move//signs_mov_separ_signers/Liz_1614.mov" TargetMode="External"/><Relationship Id="rId14225" Type="http://schemas.openxmlformats.org/officeDocument/2006/relationships/hyperlink" Target="http://secrets.rutgers.edu:8080/data/asl-ftp/asllvd/demos/verify_start_end_handshape_annotations//test_auto_move//signs_mov/1614.mov" TargetMode="External"/><Relationship Id="rId14226" Type="http://schemas.openxmlformats.org/officeDocument/2006/relationships/hyperlink" Target="http://secrets.rutgers.edu:8080/data/asl-ftp/asllvd/demos/verify_start_end_handshape_annotations//test_auto_move//signs_mov_separ_signers/Liz_1614.mov" TargetMode="External"/><Relationship Id="rId14227" Type="http://schemas.openxmlformats.org/officeDocument/2006/relationships/hyperlink" Target="http://csr.bu.edu/ftp/asl/asllvd/demos/verify_start_end_handshape_annotations//test_auto_move//signs_mov_separ_signers/Tyler_1614.mov" TargetMode="External"/><Relationship Id="rId14228" Type="http://schemas.openxmlformats.org/officeDocument/2006/relationships/hyperlink" Target="http://secrets.rutgers.edu:8080/data/asl-ftp/asllvd/demos/verify_start_end_handshape_annotations//test_auto_move//signs_mov_separ_signers/Tyler_1614.mov" TargetMode="External"/><Relationship Id="rId14229" Type="http://schemas.openxmlformats.org/officeDocument/2006/relationships/hyperlink" Target="http://csr.bu.edu/ftp/asl/asllvd/demos/verify_start_end_handshape_annotations//test_auto_move//signs_mov/1616.mov" TargetMode="External"/><Relationship Id="rId14230" Type="http://schemas.openxmlformats.org/officeDocument/2006/relationships/hyperlink" Target="http://csr.bu.edu/ftp/asl/asllvd/demos/verify_start_end_handshape_annotations//test_auto_move//signs_mov_separ_signers/Tyler_1616.mov" TargetMode="External"/><Relationship Id="rId14231" Type="http://schemas.openxmlformats.org/officeDocument/2006/relationships/hyperlink" Target="http://secrets.rutgers.edu:8080/data/asl-ftp/asllvd/demos/verify_start_end_handshape_annotations//test_auto_move//signs_mov/1616.mov" TargetMode="External"/><Relationship Id="rId14232" Type="http://schemas.openxmlformats.org/officeDocument/2006/relationships/hyperlink" Target="http://secrets.rutgers.edu:8080/data/asl-ftp/asllvd/demos/verify_start_end_handshape_annotations//test_auto_move//signs_mov_separ_signers/Tyler_1616.mov" TargetMode="External"/><Relationship Id="rId14233" Type="http://schemas.openxmlformats.org/officeDocument/2006/relationships/hyperlink" Target="http://csr.bu.edu/ftp/asl/asllvd/demos/verify_start_end_handshape_annotations//test_auto_move//signs_mov_separ_signers/Liz_3095.mov" TargetMode="External"/><Relationship Id="rId14234" Type="http://schemas.openxmlformats.org/officeDocument/2006/relationships/hyperlink" Target="http://secrets.rutgers.edu:8080/data/asl-ftp/asllvd/demos/verify_start_end_handshape_annotations//test_auto_move//signs_mov_separ_signers/Liz_3095.mov" TargetMode="External"/><Relationship Id="rId14235" Type="http://schemas.openxmlformats.org/officeDocument/2006/relationships/hyperlink" Target="http://csr.bu.edu/ftp/asl/asllvd/demos/verify_start_end_handshape_annotations//test_auto_move//signs_mov/3095_3426_merged.mov" TargetMode="External"/><Relationship Id="rId14236" Type="http://schemas.openxmlformats.org/officeDocument/2006/relationships/hyperlink" Target="http://csr.bu.edu/ftp/asl/asllvd/demos/verify_start_end_handshape_annotations//test_auto_move//signs_mov_separ_signers/Liz_3426.mov" TargetMode="External"/><Relationship Id="rId14237" Type="http://schemas.openxmlformats.org/officeDocument/2006/relationships/hyperlink" Target="http://secrets.rutgers.edu:8080/data/asl-ftp/asllvd/demos/verify_start_end_handshape_annotations//test_auto_move//signs_mov/3095_3426_merged.mov" TargetMode="External"/><Relationship Id="rId14238" Type="http://schemas.openxmlformats.org/officeDocument/2006/relationships/hyperlink" Target="http://secrets.rutgers.edu:8080/data/asl-ftp/asllvd/demos/verify_start_end_handshape_annotations//test_auto_move//signs_mov_separ_signers/Liz_3426.mov" TargetMode="External"/><Relationship Id="rId14239" Type="http://schemas.openxmlformats.org/officeDocument/2006/relationships/hyperlink" Target="http://csr.bu.edu/ftp/asl/asllvd/demos/verify_start_end_handshape_annotations//test_auto_move//signs_mov_separ_signers/Naomi_3095.mov" TargetMode="External"/><Relationship Id="rId14240" Type="http://schemas.openxmlformats.org/officeDocument/2006/relationships/hyperlink" Target="http://secrets.rutgers.edu:8080/data/asl-ftp/asllvd/demos/verify_start_end_handshape_annotations//test_auto_move//signs_mov_separ_signers/Naomi_3095.mov" TargetMode="External"/><Relationship Id="rId14241" Type="http://schemas.openxmlformats.org/officeDocument/2006/relationships/hyperlink" Target="http://csr.bu.edu/ftp/asl/asllvd/demos/verify_start_end_handshape_annotations//test_auto_move//signs_mov_separ_signers/Brady_3095.mov" TargetMode="External"/><Relationship Id="rId14242" Type="http://schemas.openxmlformats.org/officeDocument/2006/relationships/hyperlink" Target="http://secrets.rutgers.edu:8080/data/asl-ftp/asllvd/demos/verify_start_end_handshape_annotations//test_auto_move//signs_mov_separ_signers/Brady_3095.mov" TargetMode="External"/><Relationship Id="rId14243" Type="http://schemas.openxmlformats.org/officeDocument/2006/relationships/hyperlink" Target="http://csr.bu.edu/ftp/asl/asllvd/demos/verify_start_end_handshape_annotations//test_auto_move//signs_mov_separ_signers/Tyler_5622.mov" TargetMode="External"/><Relationship Id="rId14244" Type="http://schemas.openxmlformats.org/officeDocument/2006/relationships/hyperlink" Target="http://secrets.rutgers.edu:8080/data/asl-ftp/asllvd/demos/verify_start_end_handshape_annotations//test_auto_move//signs_mov_separ_signers/Tyler_5622.mov" TargetMode="External"/><Relationship Id="rId14245" Type="http://schemas.openxmlformats.org/officeDocument/2006/relationships/hyperlink" Target="http://csr.bu.edu/ftp/asl/asllvd/demos/verify_start_end_handshape_annotations//test_auto_move//signs_mov/5622_5623_merged.mov" TargetMode="External"/><Relationship Id="rId14246" Type="http://schemas.openxmlformats.org/officeDocument/2006/relationships/hyperlink" Target="http://csr.bu.edu/ftp/asl/asllvd/demos/verify_start_end_handshape_annotations//test_auto_move//signs_mov_separ_signers/Tyler_5623.mov" TargetMode="External"/><Relationship Id="rId14247" Type="http://schemas.openxmlformats.org/officeDocument/2006/relationships/hyperlink" Target="http://secrets.rutgers.edu:8080/data/asl-ftp/asllvd/demos/verify_start_end_handshape_annotations//test_auto_move//signs_mov/5622_5623_merged.mov" TargetMode="External"/><Relationship Id="rId14248" Type="http://schemas.openxmlformats.org/officeDocument/2006/relationships/hyperlink" Target="http://secrets.rutgers.edu:8080/data/asl-ftp/asllvd/demos/verify_start_end_handshape_annotations//test_auto_move//signs_mov_separ_signers/Tyler_5623.mov" TargetMode="External"/><Relationship Id="rId14249" Type="http://schemas.openxmlformats.org/officeDocument/2006/relationships/hyperlink" Target="http://csr.bu.edu/ftp/asl/asllvd/demos/verify_start_end_handshape_annotations//test_auto_move//signs_mov_separ_signers/Brady_5622.mov" TargetMode="External"/><Relationship Id="rId14250" Type="http://schemas.openxmlformats.org/officeDocument/2006/relationships/hyperlink" Target="http://secrets.rutgers.edu:8080/data/asl-ftp/asllvd/demos/verify_start_end_handshape_annotations//test_auto_move//signs_mov_separ_signers/Brady_5622.mov" TargetMode="External"/><Relationship Id="rId14251" Type="http://schemas.openxmlformats.org/officeDocument/2006/relationships/hyperlink" Target="http://csr.bu.edu/ftp/asl/asllvd/demos/verify_start_end_handshape_annotations//test_auto_move//signs_mov_separ_signers/Dana_5622.mov" TargetMode="External"/><Relationship Id="rId14252" Type="http://schemas.openxmlformats.org/officeDocument/2006/relationships/hyperlink" Target="http://secrets.rutgers.edu:8080/data/asl-ftp/asllvd/demos/verify_start_end_handshape_annotations//test_auto_move//signs_mov_separ_signers/Dana_5622.mov" TargetMode="External"/><Relationship Id="rId14253" Type="http://schemas.openxmlformats.org/officeDocument/2006/relationships/hyperlink" Target="http://csr.bu.edu/ftp/asl/asllvd/demos/verify_start_end_handshape_annotations//test_auto_move//signs_mov/15798.mov" TargetMode="External"/><Relationship Id="rId14254" Type="http://schemas.openxmlformats.org/officeDocument/2006/relationships/hyperlink" Target="http://csr.bu.edu/ftp/asl/asllvd/demos/verify_start_end_handshape_annotations//test_auto_move//signs_mov_separ_signers/Naomi_15798.mov" TargetMode="External"/><Relationship Id="rId14255" Type="http://schemas.openxmlformats.org/officeDocument/2006/relationships/hyperlink" Target="http://secrets.rutgers.edu:8080/data/asl-ftp/asllvd/demos/verify_start_end_handshape_annotations//test_auto_move//signs_mov/15798.mov" TargetMode="External"/><Relationship Id="rId14256" Type="http://schemas.openxmlformats.org/officeDocument/2006/relationships/hyperlink" Target="http://secrets.rutgers.edu:8080/data/asl-ftp/asllvd/demos/verify_start_end_handshape_annotations//test_auto_move//signs_mov_separ_signers/Naomi_15798.mov" TargetMode="External"/><Relationship Id="rId14257" Type="http://schemas.openxmlformats.org/officeDocument/2006/relationships/hyperlink" Target="http://csr.bu.edu/ftp/asl/asllvd/demos/verify_start_end_handshape_annotations//test_auto_move//signs_mov_separ_signers/Lana_15798.mov" TargetMode="External"/><Relationship Id="rId14258" Type="http://schemas.openxmlformats.org/officeDocument/2006/relationships/hyperlink" Target="http://secrets.rutgers.edu:8080/data/asl-ftp/asllvd/demos/verify_start_end_handshape_annotations//test_auto_move//signs_mov_separ_signers/Lana_15798.mov" TargetMode="External"/><Relationship Id="rId14259" Type="http://schemas.openxmlformats.org/officeDocument/2006/relationships/hyperlink" Target="http://csr.bu.edu/ftp/asl/asllvd/demos/verify_start_end_handshape_annotations//test_auto_move//signs_mov/15896.mov" TargetMode="External"/><Relationship Id="rId14260" Type="http://schemas.openxmlformats.org/officeDocument/2006/relationships/hyperlink" Target="http://csr.bu.edu/ftp/asl/asllvd/demos/verify_start_end_handshape_annotations//test_auto_move//signs_mov_separ_signers/Liz_15896.mov" TargetMode="External"/><Relationship Id="rId14261" Type="http://schemas.openxmlformats.org/officeDocument/2006/relationships/hyperlink" Target="http://secrets.rutgers.edu:8080/data/asl-ftp/asllvd/demos/verify_start_end_handshape_annotations//test_auto_move//signs_mov/15896.mov" TargetMode="External"/><Relationship Id="rId14262" Type="http://schemas.openxmlformats.org/officeDocument/2006/relationships/hyperlink" Target="http://secrets.rutgers.edu:8080/data/asl-ftp/asllvd/demos/verify_start_end_handshape_annotations//test_auto_move//signs_mov_separ_signers/Liz_15896.mov" TargetMode="External"/><Relationship Id="rId14263" Type="http://schemas.openxmlformats.org/officeDocument/2006/relationships/hyperlink" Target="http://csr.bu.edu/ftp/asl/asllvd/demos/verify_start_end_handshape_annotations//test_auto_move//signs_mov/16350.mov" TargetMode="External"/><Relationship Id="rId14264" Type="http://schemas.openxmlformats.org/officeDocument/2006/relationships/hyperlink" Target="http://csr.bu.edu/ftp/asl/asllvd/demos/verify_start_end_handshape_annotations//test_auto_move//signs_mov_separ_signers/Liz_16350.mov" TargetMode="External"/><Relationship Id="rId14265" Type="http://schemas.openxmlformats.org/officeDocument/2006/relationships/hyperlink" Target="http://secrets.rutgers.edu:8080/data/asl-ftp/asllvd/demos/verify_start_end_handshape_annotations//test_auto_move//signs_mov/16350.mov" TargetMode="External"/><Relationship Id="rId14266" Type="http://schemas.openxmlformats.org/officeDocument/2006/relationships/hyperlink" Target="http://secrets.rutgers.edu:8080/data/asl-ftp/asllvd/demos/verify_start_end_handshape_annotations//test_auto_move//signs_mov_separ_signers/Liz_16350.mov" TargetMode="External"/><Relationship Id="rId14267" Type="http://schemas.openxmlformats.org/officeDocument/2006/relationships/hyperlink" Target="http://csr.bu.edu/ftp/asl/asllvd/demos/verify_start_end_handshape_annotations//test_auto_move//signs_mov_separ_signers/Brady_16350.mov" TargetMode="External"/><Relationship Id="rId14268" Type="http://schemas.openxmlformats.org/officeDocument/2006/relationships/hyperlink" Target="http://secrets.rutgers.edu:8080/data/asl-ftp/asllvd/demos/verify_start_end_handshape_annotations//test_auto_move//signs_mov_separ_signers/Brady_16350.mov" TargetMode="External"/><Relationship Id="rId14269" Type="http://schemas.openxmlformats.org/officeDocument/2006/relationships/hyperlink" Target="http://csr.bu.edu/ftp/asl/asllvd/demos/verify_start_end_handshape_annotations//test_auto_move//signs_mov/16529.mov" TargetMode="External"/><Relationship Id="rId14270" Type="http://schemas.openxmlformats.org/officeDocument/2006/relationships/hyperlink" Target="http://csr.bu.edu/ftp/asl/asllvd/demos/verify_start_end_handshape_annotations//test_auto_move//signs_mov_separ_signers/Liz_16529.mov" TargetMode="External"/><Relationship Id="rId14271" Type="http://schemas.openxmlformats.org/officeDocument/2006/relationships/hyperlink" Target="http://secrets.rutgers.edu:8080/data/asl-ftp/asllvd/demos/verify_start_end_handshape_annotations//test_auto_move//signs_mov/16529.mov" TargetMode="External"/><Relationship Id="rId14272" Type="http://schemas.openxmlformats.org/officeDocument/2006/relationships/hyperlink" Target="http://secrets.rutgers.edu:8080/data/asl-ftp/asllvd/demos/verify_start_end_handshape_annotations//test_auto_move//signs_mov_separ_signers/Liz_16529.mov" TargetMode="External"/><Relationship Id="rId14273" Type="http://schemas.openxmlformats.org/officeDocument/2006/relationships/hyperlink" Target="http://csr.bu.edu/ftp/asl/asllvd/demos/verify_start_end_handshape_annotations//test_auto_move//signs_mov_separ_signers/Brady_16529.mov" TargetMode="External"/><Relationship Id="rId14274" Type="http://schemas.openxmlformats.org/officeDocument/2006/relationships/hyperlink" Target="http://secrets.rutgers.edu:8080/data/asl-ftp/asllvd/demos/verify_start_end_handshape_annotations//test_auto_move//signs_mov_separ_signers/Brady_16529.mov" TargetMode="External"/><Relationship Id="rId14275" Type="http://schemas.openxmlformats.org/officeDocument/2006/relationships/hyperlink" Target="http://csr.bu.edu/ftp/asl/asllvd/demos/verify_start_end_handshape_annotations//test_auto_move//signs_mov/1619.mov" TargetMode="External"/><Relationship Id="rId14276" Type="http://schemas.openxmlformats.org/officeDocument/2006/relationships/hyperlink" Target="http://csr.bu.edu/ftp/asl/asllvd/demos/verify_start_end_handshape_annotations//test_auto_move//signs_mov_separ_signers/Liz_1619.mov" TargetMode="External"/><Relationship Id="rId14277" Type="http://schemas.openxmlformats.org/officeDocument/2006/relationships/hyperlink" Target="http://secrets.rutgers.edu:8080/data/asl-ftp/asllvd/demos/verify_start_end_handshape_annotations//test_auto_move//signs_mov/1619.mov" TargetMode="External"/><Relationship Id="rId14278" Type="http://schemas.openxmlformats.org/officeDocument/2006/relationships/hyperlink" Target="http://secrets.rutgers.edu:8080/data/asl-ftp/asllvd/demos/verify_start_end_handshape_annotations//test_auto_move//signs_mov_separ_signers/Liz_1619.mov" TargetMode="External"/><Relationship Id="rId14279" Type="http://schemas.openxmlformats.org/officeDocument/2006/relationships/hyperlink" Target="http://csr.bu.edu/ftp/asl/asllvd/demos/verify_start_end_handshape_annotations//test_auto_move//signs_mov_separ_signers/Tyler_1619.mov" TargetMode="External"/><Relationship Id="rId14280" Type="http://schemas.openxmlformats.org/officeDocument/2006/relationships/hyperlink" Target="http://secrets.rutgers.edu:8080/data/asl-ftp/asllvd/demos/verify_start_end_handshape_annotations//test_auto_move//signs_mov_separ_signers/Tyler_1619.mov" TargetMode="External"/><Relationship Id="rId14281" Type="http://schemas.openxmlformats.org/officeDocument/2006/relationships/hyperlink" Target="http://csr.bu.edu/ftp/asl/asllvd/demos/verify_start_end_handshape_annotations//test_auto_move//signs_mov/3696.mov" TargetMode="External"/><Relationship Id="rId14282" Type="http://schemas.openxmlformats.org/officeDocument/2006/relationships/hyperlink" Target="http://csr.bu.edu/ftp/asl/asllvd/demos/verify_start_end_handshape_annotations//test_auto_move//signs_mov_separ_signers/Liz_3696.mov" TargetMode="External"/><Relationship Id="rId14283" Type="http://schemas.openxmlformats.org/officeDocument/2006/relationships/hyperlink" Target="http://secrets.rutgers.edu:8080/data/asl-ftp/asllvd/demos/verify_start_end_handshape_annotations//test_auto_move//signs_mov/3696.mov" TargetMode="External"/><Relationship Id="rId14284" Type="http://schemas.openxmlformats.org/officeDocument/2006/relationships/hyperlink" Target="http://secrets.rutgers.edu:8080/data/asl-ftp/asllvd/demos/verify_start_end_handshape_annotations//test_auto_move//signs_mov_separ_signers/Liz_3696.mov" TargetMode="External"/><Relationship Id="rId14285" Type="http://schemas.openxmlformats.org/officeDocument/2006/relationships/hyperlink" Target="http://csr.bu.edu/ftp/asl/asllvd/demos/verify_start_end_handshape_annotations//test_auto_move//signs_mov_separ_signers/Liz_1624.mov" TargetMode="External"/><Relationship Id="rId14286" Type="http://schemas.openxmlformats.org/officeDocument/2006/relationships/hyperlink" Target="http://secrets.rutgers.edu:8080/data/asl-ftp/asllvd/demos/verify_start_end_handshape_annotations//test_auto_move//signs_mov_separ_signers/Liz_1624.mov" TargetMode="External"/><Relationship Id="rId14287" Type="http://schemas.openxmlformats.org/officeDocument/2006/relationships/hyperlink" Target="http://csr.bu.edu/ftp/asl/asllvd/demos/verify_start_end_handshape_annotations//test_auto_move//signs_mov_separ_signers/Liz_15179.mov" TargetMode="External"/><Relationship Id="rId14288" Type="http://schemas.openxmlformats.org/officeDocument/2006/relationships/hyperlink" Target="http://secrets.rutgers.edu:8080/data/asl-ftp/asllvd/demos/verify_start_end_handshape_annotations//test_auto_move//signs_mov_separ_signers/Liz_15179.mov" TargetMode="External"/><Relationship Id="rId14289" Type="http://schemas.openxmlformats.org/officeDocument/2006/relationships/hyperlink" Target="http://csr.bu.edu/ftp/asl/asllvd/demos/verify_start_end_handshape_annotations//test_auto_move//signs_mov_separ_signers/Tyler_1624.mov" TargetMode="External"/><Relationship Id="rId14290" Type="http://schemas.openxmlformats.org/officeDocument/2006/relationships/hyperlink" Target="http://secrets.rutgers.edu:8080/data/asl-ftp/asllvd/demos/verify_start_end_handshape_annotations//test_auto_move//signs_mov_separ_signers/Tyler_1624.mov" TargetMode="External"/><Relationship Id="rId14291" Type="http://schemas.openxmlformats.org/officeDocument/2006/relationships/hyperlink" Target="http://csr.bu.edu/ftp/asl/asllvd/demos/verify_start_end_handshape_annotations//test_auto_move//signs_mov_separ_signers/Tyler_15179.mov" TargetMode="External"/><Relationship Id="rId14292" Type="http://schemas.openxmlformats.org/officeDocument/2006/relationships/hyperlink" Target="http://secrets.rutgers.edu:8080/data/asl-ftp/asllvd/demos/verify_start_end_handshape_annotations//test_auto_move//signs_mov_separ_signers/Tyler_15179.mov" TargetMode="External"/><Relationship Id="rId14293" Type="http://schemas.openxmlformats.org/officeDocument/2006/relationships/hyperlink" Target="http://csr.bu.edu/ftp/asl/asllvd/demos/verify_start_end_handshape_annotations//test_auto_move//signs_mov/1624_15179_merged.mov" TargetMode="External"/><Relationship Id="rId14294" Type="http://schemas.openxmlformats.org/officeDocument/2006/relationships/hyperlink" Target="http://csr.bu.edu/ftp/asl/asllvd/demos/verify_start_end_handshape_annotations//test_auto_move//signs_mov_separ_signers/Brady_1624.mov" TargetMode="External"/><Relationship Id="rId14295" Type="http://schemas.openxmlformats.org/officeDocument/2006/relationships/hyperlink" Target="http://secrets.rutgers.edu:8080/data/asl-ftp/asllvd/demos/verify_start_end_handshape_annotations//test_auto_move//signs_mov/1624_15179_merged.mov" TargetMode="External"/><Relationship Id="rId14296" Type="http://schemas.openxmlformats.org/officeDocument/2006/relationships/hyperlink" Target="http://secrets.rutgers.edu:8080/data/asl-ftp/asllvd/demos/verify_start_end_handshape_annotations//test_auto_move//signs_mov_separ_signers/Brady_1624.mov" TargetMode="External"/><Relationship Id="rId14297" Type="http://schemas.openxmlformats.org/officeDocument/2006/relationships/hyperlink" Target="http://csr.bu.edu/ftp/asl/asllvd/demos/verify_start_end_handshape_annotations//test_auto_move//signs_mov_separ_signers/Lana_1624.mov" TargetMode="External"/><Relationship Id="rId14298" Type="http://schemas.openxmlformats.org/officeDocument/2006/relationships/hyperlink" Target="http://secrets.rutgers.edu:8080/data/asl-ftp/asllvd/demos/verify_start_end_handshape_annotations//test_auto_move//signs_mov_separ_signers/Lana_1624.mov" TargetMode="External"/><Relationship Id="rId14299" Type="http://schemas.openxmlformats.org/officeDocument/2006/relationships/hyperlink" Target="http://csr.bu.edu/ftp/asl/asllvd/demos/verify_start_end_handshape_annotations//test_auto_move//signs_mov_separ_signers/Lana_15179.mov" TargetMode="External"/><Relationship Id="rId14300" Type="http://schemas.openxmlformats.org/officeDocument/2006/relationships/hyperlink" Target="http://secrets.rutgers.edu:8080/data/asl-ftp/asllvd/demos/verify_start_end_handshape_annotations//test_auto_move//signs_mov_separ_signers/Lana_15179.mov" TargetMode="External"/><Relationship Id="rId14301" Type="http://schemas.openxmlformats.org/officeDocument/2006/relationships/hyperlink" Target="http://csr.bu.edu/ftp/asl/asllvd/demos/verify_start_end_handshape_annotations//test_auto_move//signs_mov_separ_signers/Dana_1624.mov" TargetMode="External"/><Relationship Id="rId14302" Type="http://schemas.openxmlformats.org/officeDocument/2006/relationships/hyperlink" Target="http://secrets.rutgers.edu:8080/data/asl-ftp/asllvd/demos/verify_start_end_handshape_annotations//test_auto_move//signs_mov_separ_signers/Dana_1624.mov" TargetMode="External"/><Relationship Id="rId14303" Type="http://schemas.openxmlformats.org/officeDocument/2006/relationships/hyperlink" Target="http://csr.bu.edu/ftp/asl/asllvd/demos/verify_start_end_handshape_annotations//test_auto_move//signs_mov_separ_signers/Dana_15179.mov" TargetMode="External"/><Relationship Id="rId14304" Type="http://schemas.openxmlformats.org/officeDocument/2006/relationships/hyperlink" Target="http://secrets.rutgers.edu:8080/data/asl-ftp/asllvd/demos/verify_start_end_handshape_annotations//test_auto_move//signs_mov_separ_signers/Dana_15179.mov" TargetMode="External"/><Relationship Id="rId14305" Type="http://schemas.openxmlformats.org/officeDocument/2006/relationships/hyperlink" Target="http://csr.bu.edu/ftp/asl/asllvd/demos/verify_start_end_handshape_annotations//test_auto_move//signs_mov/1626.mov" TargetMode="External"/><Relationship Id="rId14306" Type="http://schemas.openxmlformats.org/officeDocument/2006/relationships/hyperlink" Target="http://csr.bu.edu/ftp/asl/asllvd/demos/verify_start_end_handshape_annotations//test_auto_move//signs_mov_separ_signers/Liz_1626.mov" TargetMode="External"/><Relationship Id="rId14307" Type="http://schemas.openxmlformats.org/officeDocument/2006/relationships/hyperlink" Target="http://secrets.rutgers.edu:8080/data/asl-ftp/asllvd/demos/verify_start_end_handshape_annotations//test_auto_move//signs_mov/1626.mov" TargetMode="External"/><Relationship Id="rId14308" Type="http://schemas.openxmlformats.org/officeDocument/2006/relationships/hyperlink" Target="http://secrets.rutgers.edu:8080/data/asl-ftp/asllvd/demos/verify_start_end_handshape_annotations//test_auto_move//signs_mov_separ_signers/Liz_1626.mov" TargetMode="External"/><Relationship Id="rId14309" Type="http://schemas.openxmlformats.org/officeDocument/2006/relationships/hyperlink" Target="http://csr.bu.edu/ftp/asl/asllvd/demos/verify_start_end_handshape_annotations//test_auto_move//signs_mov_separ_signers/Tyler_1626.mov" TargetMode="External"/><Relationship Id="rId14310" Type="http://schemas.openxmlformats.org/officeDocument/2006/relationships/hyperlink" Target="http://secrets.rutgers.edu:8080/data/asl-ftp/asllvd/demos/verify_start_end_handshape_annotations//test_auto_move//signs_mov_separ_signers/Tyler_1626.mov" TargetMode="External"/><Relationship Id="rId14311" Type="http://schemas.openxmlformats.org/officeDocument/2006/relationships/hyperlink" Target="http://csr.bu.edu/ftp/asl/asllvd/demos/verify_start_end_handshape_annotations//test_auto_move//signs_mov/1628.mov" TargetMode="External"/><Relationship Id="rId14312" Type="http://schemas.openxmlformats.org/officeDocument/2006/relationships/hyperlink" Target="http://csr.bu.edu/ftp/asl/asllvd/demos/verify_start_end_handshape_annotations//test_auto_move//signs_mov_separ_signers/Liz_1628.mov" TargetMode="External"/><Relationship Id="rId14313" Type="http://schemas.openxmlformats.org/officeDocument/2006/relationships/hyperlink" Target="http://secrets.rutgers.edu:8080/data/asl-ftp/asllvd/demos/verify_start_end_handshape_annotations//test_auto_move//signs_mov/1628.mov" TargetMode="External"/><Relationship Id="rId14314" Type="http://schemas.openxmlformats.org/officeDocument/2006/relationships/hyperlink" Target="http://secrets.rutgers.edu:8080/data/asl-ftp/asllvd/demos/verify_start_end_handshape_annotations//test_auto_move//signs_mov_separ_signers/Liz_1628.mov" TargetMode="External"/><Relationship Id="rId14315" Type="http://schemas.openxmlformats.org/officeDocument/2006/relationships/hyperlink" Target="http://csr.bu.edu/ftp/asl/asllvd/demos/verify_start_end_handshape_annotations//test_auto_move//signs_mov_separ_signers/Tyler_1628.mov" TargetMode="External"/><Relationship Id="rId14316" Type="http://schemas.openxmlformats.org/officeDocument/2006/relationships/hyperlink" Target="http://secrets.rutgers.edu:8080/data/asl-ftp/asllvd/demos/verify_start_end_handshape_annotations//test_auto_move//signs_mov_separ_signers/Tyler_1628.mov" TargetMode="External"/><Relationship Id="rId14317" Type="http://schemas.openxmlformats.org/officeDocument/2006/relationships/hyperlink" Target="http://csr.bu.edu/ftp/asl/asllvd/demos/verify_start_end_handshape_annotations//test_auto_move//signs_mov/1631.mov" TargetMode="External"/><Relationship Id="rId14318" Type="http://schemas.openxmlformats.org/officeDocument/2006/relationships/hyperlink" Target="http://csr.bu.edu/ftp/asl/asllvd/demos/verify_start_end_handshape_annotations//test_auto_move//signs_mov_separ_signers/Liz_1631.mov" TargetMode="External"/><Relationship Id="rId14319" Type="http://schemas.openxmlformats.org/officeDocument/2006/relationships/hyperlink" Target="http://secrets.rutgers.edu:8080/data/asl-ftp/asllvd/demos/verify_start_end_handshape_annotations//test_auto_move//signs_mov/1631.mov" TargetMode="External"/><Relationship Id="rId14320" Type="http://schemas.openxmlformats.org/officeDocument/2006/relationships/hyperlink" Target="http://secrets.rutgers.edu:8080/data/asl-ftp/asllvd/demos/verify_start_end_handshape_annotations//test_auto_move//signs_mov_separ_signers/Liz_1631.mov" TargetMode="External"/><Relationship Id="rId14321" Type="http://schemas.openxmlformats.org/officeDocument/2006/relationships/hyperlink" Target="http://csr.bu.edu/ftp/asl/asllvd/demos/verify_start_end_handshape_annotations//test_auto_move//signs_mov/1634.mov" TargetMode="External"/><Relationship Id="rId14322" Type="http://schemas.openxmlformats.org/officeDocument/2006/relationships/hyperlink" Target="http://csr.bu.edu/ftp/asl/asllvd/demos/verify_start_end_handshape_annotations//test_auto_move//signs_mov_separ_signers/Liz_1634.mov" TargetMode="External"/><Relationship Id="rId14323" Type="http://schemas.openxmlformats.org/officeDocument/2006/relationships/hyperlink" Target="http://secrets.rutgers.edu:8080/data/asl-ftp/asllvd/demos/verify_start_end_handshape_annotations//test_auto_move//signs_mov/1634.mov" TargetMode="External"/><Relationship Id="rId14324" Type="http://schemas.openxmlformats.org/officeDocument/2006/relationships/hyperlink" Target="http://secrets.rutgers.edu:8080/data/asl-ftp/asllvd/demos/verify_start_end_handshape_annotations//test_auto_move//signs_mov_separ_signers/Liz_1634.mov" TargetMode="External"/><Relationship Id="rId14325" Type="http://schemas.openxmlformats.org/officeDocument/2006/relationships/hyperlink" Target="http://csr.bu.edu/ftp/asl/asllvd/demos/verify_start_end_handshape_annotations//test_auto_move//signs_mov/3487.mov" TargetMode="External"/><Relationship Id="rId14326" Type="http://schemas.openxmlformats.org/officeDocument/2006/relationships/hyperlink" Target="http://csr.bu.edu/ftp/asl/asllvd/demos/verify_start_end_handshape_annotations//test_auto_move//signs_mov_separ_signers/Liz_3487.mov" TargetMode="External"/><Relationship Id="rId14327" Type="http://schemas.openxmlformats.org/officeDocument/2006/relationships/hyperlink" Target="http://secrets.rutgers.edu:8080/data/asl-ftp/asllvd/demos/verify_start_end_handshape_annotations//test_auto_move//signs_mov/3487.mov" TargetMode="External"/><Relationship Id="rId14328" Type="http://schemas.openxmlformats.org/officeDocument/2006/relationships/hyperlink" Target="http://secrets.rutgers.edu:8080/data/asl-ftp/asllvd/demos/verify_start_end_handshape_annotations//test_auto_move//signs_mov_separ_signers/Liz_3487.mov" TargetMode="External"/><Relationship Id="rId14329" Type="http://schemas.openxmlformats.org/officeDocument/2006/relationships/hyperlink" Target="http://csr.bu.edu/ftp/asl/asllvd/demos/verify_start_end_handshape_annotations//test_auto_move//signs_mov/1636.mov" TargetMode="External"/><Relationship Id="rId14330" Type="http://schemas.openxmlformats.org/officeDocument/2006/relationships/hyperlink" Target="http://csr.bu.edu/ftp/asl/asllvd/demos/verify_start_end_handshape_annotations//test_auto_move//signs_mov_separ_signers/Liz_1636.mov" TargetMode="External"/><Relationship Id="rId14331" Type="http://schemas.openxmlformats.org/officeDocument/2006/relationships/hyperlink" Target="http://secrets.rutgers.edu:8080/data/asl-ftp/asllvd/demos/verify_start_end_handshape_annotations//test_auto_move//signs_mov/1636.mov" TargetMode="External"/><Relationship Id="rId14332" Type="http://schemas.openxmlformats.org/officeDocument/2006/relationships/hyperlink" Target="http://secrets.rutgers.edu:8080/data/asl-ftp/asllvd/demos/verify_start_end_handshape_annotations//test_auto_move//signs_mov_separ_signers/Liz_1636.mov" TargetMode="External"/><Relationship Id="rId14333" Type="http://schemas.openxmlformats.org/officeDocument/2006/relationships/hyperlink" Target="http://csr.bu.edu/ftp/asl/asllvd/demos/verify_start_end_handshape_annotations//test_auto_move//signs_mov/1640.mov" TargetMode="External"/><Relationship Id="rId14334" Type="http://schemas.openxmlformats.org/officeDocument/2006/relationships/hyperlink" Target="http://csr.bu.edu/ftp/asl/asllvd/demos/verify_start_end_handshape_annotations//test_auto_move//signs_mov_separ_signers/Liz_1640.mov" TargetMode="External"/><Relationship Id="rId14335" Type="http://schemas.openxmlformats.org/officeDocument/2006/relationships/hyperlink" Target="http://secrets.rutgers.edu:8080/data/asl-ftp/asllvd/demos/verify_start_end_handshape_annotations//test_auto_move//signs_mov/1640.mov" TargetMode="External"/><Relationship Id="rId14336" Type="http://schemas.openxmlformats.org/officeDocument/2006/relationships/hyperlink" Target="http://secrets.rutgers.edu:8080/data/asl-ftp/asllvd/demos/verify_start_end_handshape_annotations//test_auto_move//signs_mov_separ_signers/Liz_1640.mov" TargetMode="External"/><Relationship Id="rId14337" Type="http://schemas.openxmlformats.org/officeDocument/2006/relationships/hyperlink" Target="http://csr.bu.edu/ftp/asl/asllvd/demos/verify_start_end_handshape_annotations//test_auto_move//signs_mov/15542.mov" TargetMode="External"/><Relationship Id="rId14338" Type="http://schemas.openxmlformats.org/officeDocument/2006/relationships/hyperlink" Target="http://csr.bu.edu/ftp/asl/asllvd/demos/verify_start_end_handshape_annotations//test_auto_move//signs_mov_separ_signers/Liz_15542.mov" TargetMode="External"/><Relationship Id="rId14339" Type="http://schemas.openxmlformats.org/officeDocument/2006/relationships/hyperlink" Target="http://secrets.rutgers.edu:8080/data/asl-ftp/asllvd/demos/verify_start_end_handshape_annotations//test_auto_move//signs_mov/15542.mov" TargetMode="External"/><Relationship Id="rId14340" Type="http://schemas.openxmlformats.org/officeDocument/2006/relationships/hyperlink" Target="http://secrets.rutgers.edu:8080/data/asl-ftp/asllvd/demos/verify_start_end_handshape_annotations//test_auto_move//signs_mov_separ_signers/Liz_15542.mov" TargetMode="External"/><Relationship Id="rId14341" Type="http://schemas.openxmlformats.org/officeDocument/2006/relationships/hyperlink" Target="http://csr.bu.edu/ftp/asl/asllvd/demos/verify_start_end_handshape_annotations//test_auto_move//signs_mov/1642_3808_merged.mov" TargetMode="External"/><Relationship Id="rId14342" Type="http://schemas.openxmlformats.org/officeDocument/2006/relationships/hyperlink" Target="http://csr.bu.edu/ftp/asl/asllvd/demos/verify_start_end_handshape_annotations//test_auto_move//signs_mov_separ_signers/Liz_1642.mov" TargetMode="External"/><Relationship Id="rId14343" Type="http://schemas.openxmlformats.org/officeDocument/2006/relationships/hyperlink" Target="http://secrets.rutgers.edu:8080/data/asl-ftp/asllvd/demos/verify_start_end_handshape_annotations//test_auto_move//signs_mov/1642_3808_merged.mov" TargetMode="External"/><Relationship Id="rId14344" Type="http://schemas.openxmlformats.org/officeDocument/2006/relationships/hyperlink" Target="http://secrets.rutgers.edu:8080/data/asl-ftp/asllvd/demos/verify_start_end_handshape_annotations//test_auto_move//signs_mov_separ_signers/Liz_1642.mov" TargetMode="External"/><Relationship Id="rId14345" Type="http://schemas.openxmlformats.org/officeDocument/2006/relationships/hyperlink" Target="http://csr.bu.edu/ftp/asl/asllvd/demos/verify_start_end_handshape_annotations//test_auto_move//signs_mov_separ_signers/Liz_3808.mov" TargetMode="External"/><Relationship Id="rId14346" Type="http://schemas.openxmlformats.org/officeDocument/2006/relationships/hyperlink" Target="http://secrets.rutgers.edu:8080/data/asl-ftp/asllvd/demos/verify_start_end_handshape_annotations//test_auto_move//signs_mov_separ_signers/Liz_3808.mov" TargetMode="External"/><Relationship Id="rId14347" Type="http://schemas.openxmlformats.org/officeDocument/2006/relationships/hyperlink" Target="http://csr.bu.edu/ftp/asl/asllvd/demos/verify_start_end_handshape_annotations//test_auto_move//signs_mov_separ_signers/Liz_1643.mov" TargetMode="External"/><Relationship Id="rId14348" Type="http://schemas.openxmlformats.org/officeDocument/2006/relationships/hyperlink" Target="http://secrets.rutgers.edu:8080/data/asl-ftp/asllvd/demos/verify_start_end_handshape_annotations//test_auto_move//signs_mov_separ_signers/Liz_1643.mov" TargetMode="External"/><Relationship Id="rId14349" Type="http://schemas.openxmlformats.org/officeDocument/2006/relationships/hyperlink" Target="http://csr.bu.edu/ftp/asl/asllvd/demos/verify_start_end_handshape_annotations//test_auto_move//signs_mov/1643.mov" TargetMode="External"/><Relationship Id="rId14350" Type="http://schemas.openxmlformats.org/officeDocument/2006/relationships/hyperlink" Target="http://csr.bu.edu/ftp/asl/asllvd/demos/verify_start_end_handshape_annotations//test_auto_move//signs_mov_separ_signers/Lana_1643.mov" TargetMode="External"/><Relationship Id="rId14351" Type="http://schemas.openxmlformats.org/officeDocument/2006/relationships/hyperlink" Target="http://secrets.rutgers.edu:8080/data/asl-ftp/asllvd/demos/verify_start_end_handshape_annotations//test_auto_move//signs_mov/1643.mov" TargetMode="External"/><Relationship Id="rId14352" Type="http://schemas.openxmlformats.org/officeDocument/2006/relationships/hyperlink" Target="http://secrets.rutgers.edu:8080/data/asl-ftp/asllvd/demos/verify_start_end_handshape_annotations//test_auto_move//signs_mov_separ_signers/Lana_1643.mov" TargetMode="External"/><Relationship Id="rId14353" Type="http://schemas.openxmlformats.org/officeDocument/2006/relationships/hyperlink" Target="http://csr.bu.edu/ftp/asl/asllvd/demos/verify_start_end_handshape_annotations//test_auto_move//signs_mov_separ_signers/Dana_1643.mov" TargetMode="External"/><Relationship Id="rId14354" Type="http://schemas.openxmlformats.org/officeDocument/2006/relationships/hyperlink" Target="http://secrets.rutgers.edu:8080/data/asl-ftp/asllvd/demos/verify_start_end_handshape_annotations//test_auto_move//signs_mov_separ_signers/Dana_1643.mov" TargetMode="External"/><Relationship Id="rId14355" Type="http://schemas.openxmlformats.org/officeDocument/2006/relationships/hyperlink" Target="http://csr.bu.edu/ftp/asl/asllvd/demos/verify_start_end_handshape_annotations//test_auto_move//signs_mov_separ_signers/Liz_15834.mov" TargetMode="External"/><Relationship Id="rId14356" Type="http://schemas.openxmlformats.org/officeDocument/2006/relationships/hyperlink" Target="http://secrets.rutgers.edu:8080/data/asl-ftp/asllvd/demos/verify_start_end_handshape_annotations//test_auto_move//signs_mov_separ_signers/Liz_15834.mov" TargetMode="External"/><Relationship Id="rId14357" Type="http://schemas.openxmlformats.org/officeDocument/2006/relationships/hyperlink" Target="http://csr.bu.edu/ftp/asl/asllvd/demos/verify_start_end_handshape_annotations//test_auto_move//signs_mov/15834_15868_merged.mov" TargetMode="External"/><Relationship Id="rId14358" Type="http://schemas.openxmlformats.org/officeDocument/2006/relationships/hyperlink" Target="http://csr.bu.edu/ftp/asl/asllvd/demos/verify_start_end_handshape_annotations//test_auto_move//signs_mov_separ_signers/Brady_15834.mov" TargetMode="External"/><Relationship Id="rId14359" Type="http://schemas.openxmlformats.org/officeDocument/2006/relationships/hyperlink" Target="http://secrets.rutgers.edu:8080/data/asl-ftp/asllvd/demos/verify_start_end_handshape_annotations//test_auto_move//signs_mov/15834_15868_merged.mov" TargetMode="External"/><Relationship Id="rId14360" Type="http://schemas.openxmlformats.org/officeDocument/2006/relationships/hyperlink" Target="http://secrets.rutgers.edu:8080/data/asl-ftp/asllvd/demos/verify_start_end_handshape_annotations//test_auto_move//signs_mov_separ_signers/Brady_15834.mov" TargetMode="External"/><Relationship Id="rId14361" Type="http://schemas.openxmlformats.org/officeDocument/2006/relationships/hyperlink" Target="http://csr.bu.edu/ftp/asl/asllvd/demos/verify_start_end_handshape_annotations//test_auto_move//signs_mov_separ_signers/Brady_15868.mov" TargetMode="External"/><Relationship Id="rId14362" Type="http://schemas.openxmlformats.org/officeDocument/2006/relationships/hyperlink" Target="http://secrets.rutgers.edu:8080/data/asl-ftp/asllvd/demos/verify_start_end_handshape_annotations//test_auto_move//signs_mov_separ_signers/Brady_15868.mov" TargetMode="External"/><Relationship Id="rId14363" Type="http://schemas.openxmlformats.org/officeDocument/2006/relationships/hyperlink" Target="http://csr.bu.edu/ftp/asl/asllvd/demos/verify_start_end_handshape_annotations//test_auto_move//signs_mov/15886.mov" TargetMode="External"/><Relationship Id="rId14364" Type="http://schemas.openxmlformats.org/officeDocument/2006/relationships/hyperlink" Target="http://csr.bu.edu/ftp/asl/asllvd/demos/verify_start_end_handshape_annotations//test_auto_move//signs_mov_separ_signers/Liz_15886.mov" TargetMode="External"/><Relationship Id="rId14365" Type="http://schemas.openxmlformats.org/officeDocument/2006/relationships/hyperlink" Target="http://secrets.rutgers.edu:8080/data/asl-ftp/asllvd/demos/verify_start_end_handshape_annotations//test_auto_move//signs_mov/15886.mov" TargetMode="External"/><Relationship Id="rId14366" Type="http://schemas.openxmlformats.org/officeDocument/2006/relationships/hyperlink" Target="http://secrets.rutgers.edu:8080/data/asl-ftp/asllvd/demos/verify_start_end_handshape_annotations//test_auto_move//signs_mov_separ_signers/Liz_15886.mov" TargetMode="External"/><Relationship Id="rId14367" Type="http://schemas.openxmlformats.org/officeDocument/2006/relationships/hyperlink" Target="http://csr.bu.edu/ftp/asl/asllvd/demos/verify_start_end_handshape_annotations//test_auto_move//signs_mov_separ_signers/Liz_1649.mov" TargetMode="External"/><Relationship Id="rId14368" Type="http://schemas.openxmlformats.org/officeDocument/2006/relationships/hyperlink" Target="http://secrets.rutgers.edu:8080/data/asl-ftp/asllvd/demos/verify_start_end_handshape_annotations//test_auto_move//signs_mov_separ_signers/Liz_1649.mov" TargetMode="External"/><Relationship Id="rId14369" Type="http://schemas.openxmlformats.org/officeDocument/2006/relationships/hyperlink" Target="http://csr.bu.edu/ftp/asl/asllvd/demos/verify_start_end_handshape_annotations//test_auto_move//signs_mov/1649.mov" TargetMode="External"/><Relationship Id="rId14370" Type="http://schemas.openxmlformats.org/officeDocument/2006/relationships/hyperlink" Target="http://csr.bu.edu/ftp/asl/asllvd/demos/verify_start_end_handshape_annotations//test_auto_move//signs_mov_separ_signers/Lana_1649.mov" TargetMode="External"/><Relationship Id="rId14371" Type="http://schemas.openxmlformats.org/officeDocument/2006/relationships/hyperlink" Target="http://secrets.rutgers.edu:8080/data/asl-ftp/asllvd/demos/verify_start_end_handshape_annotations//test_auto_move//signs_mov/1649.mov" TargetMode="External"/><Relationship Id="rId14372" Type="http://schemas.openxmlformats.org/officeDocument/2006/relationships/hyperlink" Target="http://secrets.rutgers.edu:8080/data/asl-ftp/asllvd/demos/verify_start_end_handshape_annotations//test_auto_move//signs_mov_separ_signers/Lana_1649.mov" TargetMode="External"/><Relationship Id="rId14373" Type="http://schemas.openxmlformats.org/officeDocument/2006/relationships/hyperlink" Target="http://csr.bu.edu/ftp/asl/asllvd/demos/verify_start_end_handshape_annotations//test_auto_move//signs_mov_separ_signers/Dana_1649.mov" TargetMode="External"/><Relationship Id="rId14374" Type="http://schemas.openxmlformats.org/officeDocument/2006/relationships/hyperlink" Target="http://secrets.rutgers.edu:8080/data/asl-ftp/asllvd/demos/verify_start_end_handshape_annotations//test_auto_move//signs_mov_separ_signers/Dana_1649.mov" TargetMode="External"/><Relationship Id="rId14375" Type="http://schemas.openxmlformats.org/officeDocument/2006/relationships/hyperlink" Target="http://csr.bu.edu/ftp/asl/asllvd/demos/verify_start_end_handshape_annotations//test_auto_move//signs_mov_separ_signers/Liz_1650.mov" TargetMode="External"/><Relationship Id="rId14376" Type="http://schemas.openxmlformats.org/officeDocument/2006/relationships/hyperlink" Target="http://secrets.rutgers.edu:8080/data/asl-ftp/asllvd/demos/verify_start_end_handshape_annotations//test_auto_move//signs_mov_separ_signers/Liz_1650.mov" TargetMode="External"/><Relationship Id="rId14377" Type="http://schemas.openxmlformats.org/officeDocument/2006/relationships/hyperlink" Target="http://csr.bu.edu/ftp/asl/asllvd/demos/verify_start_end_handshape_annotations//test_auto_move//signs_mov/1650.mov" TargetMode="External"/><Relationship Id="rId14378" Type="http://schemas.openxmlformats.org/officeDocument/2006/relationships/hyperlink" Target="http://csr.bu.edu/ftp/asl/asllvd/demos/verify_start_end_handshape_annotations//test_auto_move//signs_mov_separ_signers/Lana_1650.mov" TargetMode="External"/><Relationship Id="rId14379" Type="http://schemas.openxmlformats.org/officeDocument/2006/relationships/hyperlink" Target="http://secrets.rutgers.edu:8080/data/asl-ftp/asllvd/demos/verify_start_end_handshape_annotations//test_auto_move//signs_mov/1650.mov" TargetMode="External"/><Relationship Id="rId14380" Type="http://schemas.openxmlformats.org/officeDocument/2006/relationships/hyperlink" Target="http://secrets.rutgers.edu:8080/data/asl-ftp/asllvd/demos/verify_start_end_handshape_annotations//test_auto_move//signs_mov_separ_signers/Lana_1650.mov" TargetMode="External"/><Relationship Id="rId14381" Type="http://schemas.openxmlformats.org/officeDocument/2006/relationships/hyperlink" Target="http://csr.bu.edu/ftp/asl/asllvd/demos/verify_start_end_handshape_annotations//test_auto_move//signs_mov_separ_signers/Dana_1650.mov" TargetMode="External"/><Relationship Id="rId14382" Type="http://schemas.openxmlformats.org/officeDocument/2006/relationships/hyperlink" Target="http://secrets.rutgers.edu:8080/data/asl-ftp/asllvd/demos/verify_start_end_handshape_annotations//test_auto_move//signs_mov_separ_signers/Dana_1650.mov" TargetMode="External"/><Relationship Id="rId14383" Type="http://schemas.openxmlformats.org/officeDocument/2006/relationships/hyperlink" Target="http://csr.bu.edu/ftp/asl/asllvd/demos/verify_start_end_handshape_annotations//test_auto_move//signs_mov/1651.mov" TargetMode="External"/><Relationship Id="rId14384" Type="http://schemas.openxmlformats.org/officeDocument/2006/relationships/hyperlink" Target="http://csr.bu.edu/ftp/asl/asllvd/demos/verify_start_end_handshape_annotations//test_auto_move//signs_mov_separ_signers/Liz_1651.mov" TargetMode="External"/><Relationship Id="rId14385" Type="http://schemas.openxmlformats.org/officeDocument/2006/relationships/hyperlink" Target="http://secrets.rutgers.edu:8080/data/asl-ftp/asllvd/demos/verify_start_end_handshape_annotations//test_auto_move//signs_mov/1651.mov" TargetMode="External"/><Relationship Id="rId14386" Type="http://schemas.openxmlformats.org/officeDocument/2006/relationships/hyperlink" Target="http://secrets.rutgers.edu:8080/data/asl-ftp/asllvd/demos/verify_start_end_handshape_annotations//test_auto_move//signs_mov_separ_signers/Liz_1651.mov" TargetMode="External"/><Relationship Id="rId14387" Type="http://schemas.openxmlformats.org/officeDocument/2006/relationships/hyperlink" Target="http://csr.bu.edu/ftp/asl/asllvd/demos/verify_start_end_handshape_annotations//test_auto_move//signs_mov/3887.mov" TargetMode="External"/><Relationship Id="rId14388" Type="http://schemas.openxmlformats.org/officeDocument/2006/relationships/hyperlink" Target="http://csr.bu.edu/ftp/asl/asllvd/demos/verify_start_end_handshape_annotations//test_auto_move//signs_mov_separ_signers/Liz_3887.mov" TargetMode="External"/><Relationship Id="rId14389" Type="http://schemas.openxmlformats.org/officeDocument/2006/relationships/hyperlink" Target="http://secrets.rutgers.edu:8080/data/asl-ftp/asllvd/demos/verify_start_end_handshape_annotations//test_auto_move//signs_mov/3887.mov" TargetMode="External"/><Relationship Id="rId14390" Type="http://schemas.openxmlformats.org/officeDocument/2006/relationships/hyperlink" Target="http://secrets.rutgers.edu:8080/data/asl-ftp/asllvd/demos/verify_start_end_handshape_annotations//test_auto_move//signs_mov_separ_signers/Liz_3887.mov" TargetMode="External"/><Relationship Id="rId14391" Type="http://schemas.openxmlformats.org/officeDocument/2006/relationships/hyperlink" Target="http://csr.bu.edu/ftp/asl/asllvd/demos/verify_start_end_handshape_annotations//test_auto_move//signs_mov/1653.mov" TargetMode="External"/><Relationship Id="rId14392" Type="http://schemas.openxmlformats.org/officeDocument/2006/relationships/hyperlink" Target="http://csr.bu.edu/ftp/asl/asllvd/demos/verify_start_end_handshape_annotations//test_auto_move//signs_mov_separ_signers/Liz_1653.mov" TargetMode="External"/><Relationship Id="rId14393" Type="http://schemas.openxmlformats.org/officeDocument/2006/relationships/hyperlink" Target="http://secrets.rutgers.edu:8080/data/asl-ftp/asllvd/demos/verify_start_end_handshape_annotations//test_auto_move//signs_mov/1653.mov" TargetMode="External"/><Relationship Id="rId14394" Type="http://schemas.openxmlformats.org/officeDocument/2006/relationships/hyperlink" Target="http://secrets.rutgers.edu:8080/data/asl-ftp/asllvd/demos/verify_start_end_handshape_annotations//test_auto_move//signs_mov_separ_signers/Liz_1653.mov" TargetMode="External"/><Relationship Id="rId14395" Type="http://schemas.openxmlformats.org/officeDocument/2006/relationships/hyperlink" Target="http://csr.bu.edu/ftp/asl/asllvd/demos/verify_start_end_handshape_annotations//test_auto_move//signs_mov_separ_signers/Dana_1653.mov" TargetMode="External"/><Relationship Id="rId14396" Type="http://schemas.openxmlformats.org/officeDocument/2006/relationships/hyperlink" Target="http://secrets.rutgers.edu:8080/data/asl-ftp/asllvd/demos/verify_start_end_handshape_annotations//test_auto_move//signs_mov_separ_signers/Dana_1653.mov" TargetMode="External"/><Relationship Id="rId14397" Type="http://schemas.openxmlformats.org/officeDocument/2006/relationships/hyperlink" Target="http://csr.bu.edu/ftp/asl/asllvd/demos/verify_start_end_handshape_annotations//test_auto_move//signs_mov/16416.mov" TargetMode="External"/><Relationship Id="rId14398" Type="http://schemas.openxmlformats.org/officeDocument/2006/relationships/hyperlink" Target="http://csr.bu.edu/ftp/asl/asllvd/demos/verify_start_end_handshape_annotations//test_auto_move//signs_mov_separ_signers/Lana_16416.mov" TargetMode="External"/><Relationship Id="rId14399" Type="http://schemas.openxmlformats.org/officeDocument/2006/relationships/hyperlink" Target="http://secrets.rutgers.edu:8080/data/asl-ftp/asllvd/demos/verify_start_end_handshape_annotations//test_auto_move//signs_mov/16416.mov" TargetMode="External"/><Relationship Id="rId14400" Type="http://schemas.openxmlformats.org/officeDocument/2006/relationships/hyperlink" Target="http://secrets.rutgers.edu:8080/data/asl-ftp/asllvd/demos/verify_start_end_handshape_annotations//test_auto_move//signs_mov_separ_signers/Lana_16416.mov" TargetMode="External"/><Relationship Id="rId14401" Type="http://schemas.openxmlformats.org/officeDocument/2006/relationships/hyperlink" Target="http://csr.bu.edu/ftp/asl/asllvd/demos/verify_start_end_handshape_annotations//test_auto_move//signs_mov/1659.mov" TargetMode="External"/><Relationship Id="rId14402" Type="http://schemas.openxmlformats.org/officeDocument/2006/relationships/hyperlink" Target="http://csr.bu.edu/ftp/asl/asllvd/demos/verify_start_end_handshape_annotations//test_auto_move//signs_mov_separ_signers/Liz_1659.mov" TargetMode="External"/><Relationship Id="rId14403" Type="http://schemas.openxmlformats.org/officeDocument/2006/relationships/hyperlink" Target="http://secrets.rutgers.edu:8080/data/asl-ftp/asllvd/demos/verify_start_end_handshape_annotations//test_auto_move//signs_mov/1659.mov" TargetMode="External"/><Relationship Id="rId14404" Type="http://schemas.openxmlformats.org/officeDocument/2006/relationships/hyperlink" Target="http://secrets.rutgers.edu:8080/data/asl-ftp/asllvd/demos/verify_start_end_handshape_annotations//test_auto_move//signs_mov_separ_signers/Liz_1659.mov" TargetMode="External"/><Relationship Id="rId14405" Type="http://schemas.openxmlformats.org/officeDocument/2006/relationships/hyperlink" Target="http://csr.bu.edu/ftp/asl/asllvd/demos/verify_start_end_handshape_annotations//test_auto_move//signs_mov/3784.mov" TargetMode="External"/><Relationship Id="rId14406" Type="http://schemas.openxmlformats.org/officeDocument/2006/relationships/hyperlink" Target="http://csr.bu.edu/ftp/asl/asllvd/demos/verify_start_end_handshape_annotations//test_auto_move//signs_mov_separ_signers/Liz_3784.mov" TargetMode="External"/><Relationship Id="rId14407" Type="http://schemas.openxmlformats.org/officeDocument/2006/relationships/hyperlink" Target="http://secrets.rutgers.edu:8080/data/asl-ftp/asllvd/demos/verify_start_end_handshape_annotations//test_auto_move//signs_mov/3784.mov" TargetMode="External"/><Relationship Id="rId14408" Type="http://schemas.openxmlformats.org/officeDocument/2006/relationships/hyperlink" Target="http://secrets.rutgers.edu:8080/data/asl-ftp/asllvd/demos/verify_start_end_handshape_annotations//test_auto_move//signs_mov_separ_signers/Liz_3784.mov" TargetMode="External"/><Relationship Id="rId14409" Type="http://schemas.openxmlformats.org/officeDocument/2006/relationships/hyperlink" Target="http://csr.bu.edu/ftp/asl/asllvd/demos/verify_start_end_handshape_annotations//test_auto_move//signs_mov/1660.mov" TargetMode="External"/><Relationship Id="rId14410" Type="http://schemas.openxmlformats.org/officeDocument/2006/relationships/hyperlink" Target="http://csr.bu.edu/ftp/asl/asllvd/demos/verify_start_end_handshape_annotations//test_auto_move//signs_mov_separ_signers/Liz_1660.mov" TargetMode="External"/><Relationship Id="rId14411" Type="http://schemas.openxmlformats.org/officeDocument/2006/relationships/hyperlink" Target="http://secrets.rutgers.edu:8080/data/asl-ftp/asllvd/demos/verify_start_end_handshape_annotations//test_auto_move//signs_mov/1660.mov" TargetMode="External"/><Relationship Id="rId14412" Type="http://schemas.openxmlformats.org/officeDocument/2006/relationships/hyperlink" Target="http://secrets.rutgers.edu:8080/data/asl-ftp/asllvd/demos/verify_start_end_handshape_annotations//test_auto_move//signs_mov_separ_signers/Liz_1660.mov" TargetMode="External"/><Relationship Id="rId14413" Type="http://schemas.openxmlformats.org/officeDocument/2006/relationships/hyperlink" Target="http://csr.bu.edu/ftp/asl/asllvd/demos/verify_start_end_handshape_annotations//test_auto_move//signs_mov/1664.mov" TargetMode="External"/><Relationship Id="rId14414" Type="http://schemas.openxmlformats.org/officeDocument/2006/relationships/hyperlink" Target="http://csr.bu.edu/ftp/asl/asllvd/demos/verify_start_end_handshape_annotations//test_auto_move//signs_mov_separ_signers/Liz_1664.mov" TargetMode="External"/><Relationship Id="rId14415" Type="http://schemas.openxmlformats.org/officeDocument/2006/relationships/hyperlink" Target="http://secrets.rutgers.edu:8080/data/asl-ftp/asllvd/demos/verify_start_end_handshape_annotations//test_auto_move//signs_mov/1664.mov" TargetMode="External"/><Relationship Id="rId14416" Type="http://schemas.openxmlformats.org/officeDocument/2006/relationships/hyperlink" Target="http://secrets.rutgers.edu:8080/data/asl-ftp/asllvd/demos/verify_start_end_handshape_annotations//test_auto_move//signs_mov_separ_signers/Liz_1664.mov" TargetMode="External"/><Relationship Id="rId14417" Type="http://schemas.openxmlformats.org/officeDocument/2006/relationships/hyperlink" Target="http://csr.bu.edu/ftp/asl/asllvd/demos/verify_start_end_handshape_annotations//test_auto_move//signs_mov_separ_signers/Liz_1665.mov" TargetMode="External"/><Relationship Id="rId14418" Type="http://schemas.openxmlformats.org/officeDocument/2006/relationships/hyperlink" Target="http://secrets.rutgers.edu:8080/data/asl-ftp/asllvd/demos/verify_start_end_handshape_annotations//test_auto_move//signs_mov_separ_signers/Liz_1665.mov" TargetMode="External"/><Relationship Id="rId14419" Type="http://schemas.openxmlformats.org/officeDocument/2006/relationships/hyperlink" Target="http://csr.bu.edu/ftp/asl/asllvd/demos/verify_start_end_handshape_annotations//test_auto_move//signs_mov/1665_3699_merged.mov" TargetMode="External"/><Relationship Id="rId14420" Type="http://schemas.openxmlformats.org/officeDocument/2006/relationships/hyperlink" Target="http://csr.bu.edu/ftp/asl/asllvd/demos/verify_start_end_handshape_annotations//test_auto_move//signs_mov_separ_signers/Liz_3699.mov" TargetMode="External"/><Relationship Id="rId14421" Type="http://schemas.openxmlformats.org/officeDocument/2006/relationships/hyperlink" Target="http://secrets.rutgers.edu:8080/data/asl-ftp/asllvd/demos/verify_start_end_handshape_annotations//test_auto_move//signs_mov/1665_3699_merged.mov" TargetMode="External"/><Relationship Id="rId14422" Type="http://schemas.openxmlformats.org/officeDocument/2006/relationships/hyperlink" Target="http://secrets.rutgers.edu:8080/data/asl-ftp/asllvd/demos/verify_start_end_handshape_annotations//test_auto_move//signs_mov_separ_signers/Liz_3699.mov" TargetMode="External"/><Relationship Id="rId14423" Type="http://schemas.openxmlformats.org/officeDocument/2006/relationships/hyperlink" Target="http://csr.bu.edu/ftp/asl/asllvd/demos/verify_start_end_handshape_annotations//test_auto_move//signs_mov_separ_signers/Lana_1665.mov" TargetMode="External"/><Relationship Id="rId14424" Type="http://schemas.openxmlformats.org/officeDocument/2006/relationships/hyperlink" Target="http://secrets.rutgers.edu:8080/data/asl-ftp/asllvd/demos/verify_start_end_handshape_annotations//test_auto_move//signs_mov_separ_signers/Lana_1665.mov" TargetMode="External"/><Relationship Id="rId14425" Type="http://schemas.openxmlformats.org/officeDocument/2006/relationships/hyperlink" Target="http://csr.bu.edu/ftp/asl/asllvd/demos/verify_start_end_handshape_annotations//test_auto_move//signs_mov/1668.mov" TargetMode="External"/><Relationship Id="rId14426" Type="http://schemas.openxmlformats.org/officeDocument/2006/relationships/hyperlink" Target="http://csr.bu.edu/ftp/asl/asllvd/demos/verify_start_end_handshape_annotations//test_auto_move//signs_mov_separ_signers/Liz_1668.mov" TargetMode="External"/><Relationship Id="rId14427" Type="http://schemas.openxmlformats.org/officeDocument/2006/relationships/hyperlink" Target="http://secrets.rutgers.edu:8080/data/asl-ftp/asllvd/demos/verify_start_end_handshape_annotations//test_auto_move//signs_mov/1668.mov" TargetMode="External"/><Relationship Id="rId14428" Type="http://schemas.openxmlformats.org/officeDocument/2006/relationships/hyperlink" Target="http://secrets.rutgers.edu:8080/data/asl-ftp/asllvd/demos/verify_start_end_handshape_annotations//test_auto_move//signs_mov_separ_signers/Liz_1668.mov" TargetMode="External"/><Relationship Id="rId14429" Type="http://schemas.openxmlformats.org/officeDocument/2006/relationships/hyperlink" Target="http://csr.bu.edu/ftp/asl/asllvd/demos/verify_start_end_handshape_annotations//test_auto_move//signs_mov/1670.mov" TargetMode="External"/><Relationship Id="rId14430" Type="http://schemas.openxmlformats.org/officeDocument/2006/relationships/hyperlink" Target="http://csr.bu.edu/ftp/asl/asllvd/demos/verify_start_end_handshape_annotations//test_auto_move//signs_mov_separ_signers/Liz_1670.mov" TargetMode="External"/><Relationship Id="rId14431" Type="http://schemas.openxmlformats.org/officeDocument/2006/relationships/hyperlink" Target="http://secrets.rutgers.edu:8080/data/asl-ftp/asllvd/demos/verify_start_end_handshape_annotations//test_auto_move//signs_mov/1670.mov" TargetMode="External"/><Relationship Id="rId14432" Type="http://schemas.openxmlformats.org/officeDocument/2006/relationships/hyperlink" Target="http://secrets.rutgers.edu:8080/data/asl-ftp/asllvd/demos/verify_start_end_handshape_annotations//test_auto_move//signs_mov_separ_signers/Liz_1670.mov" TargetMode="External"/><Relationship Id="rId14433" Type="http://schemas.openxmlformats.org/officeDocument/2006/relationships/hyperlink" Target="http://csr.bu.edu/ftp/asl/asllvd/demos/verify_start_end_handshape_annotations//test_auto_move//signs_mov/1673.mov" TargetMode="External"/><Relationship Id="rId14434" Type="http://schemas.openxmlformats.org/officeDocument/2006/relationships/hyperlink" Target="http://csr.bu.edu/ftp/asl/asllvd/demos/verify_start_end_handshape_annotations//test_auto_move//signs_mov_separ_signers/Liz_1673.mov" TargetMode="External"/><Relationship Id="rId14435" Type="http://schemas.openxmlformats.org/officeDocument/2006/relationships/hyperlink" Target="http://secrets.rutgers.edu:8080/data/asl-ftp/asllvd/demos/verify_start_end_handshape_annotations//test_auto_move//signs_mov/1673.mov" TargetMode="External"/><Relationship Id="rId14436" Type="http://schemas.openxmlformats.org/officeDocument/2006/relationships/hyperlink" Target="http://secrets.rutgers.edu:8080/data/asl-ftp/asllvd/demos/verify_start_end_handshape_annotations//test_auto_move//signs_mov_separ_signers/Liz_1673.mov" TargetMode="External"/><Relationship Id="rId14437" Type="http://schemas.openxmlformats.org/officeDocument/2006/relationships/hyperlink" Target="http://csr.bu.edu/ftp/asl/asllvd/demos/verify_start_end_handshape_annotations//test_auto_move//signs_mov/5898.mov" TargetMode="External"/><Relationship Id="rId14438" Type="http://schemas.openxmlformats.org/officeDocument/2006/relationships/hyperlink" Target="http://csr.bu.edu/ftp/asl/asllvd/demos/verify_start_end_handshape_annotations//test_auto_move//signs_mov_separ_signers/Liz_5898.mov" TargetMode="External"/><Relationship Id="rId14439" Type="http://schemas.openxmlformats.org/officeDocument/2006/relationships/hyperlink" Target="http://secrets.rutgers.edu:8080/data/asl-ftp/asllvd/demos/verify_start_end_handshape_annotations//test_auto_move//signs_mov/5898.mov" TargetMode="External"/><Relationship Id="rId14440" Type="http://schemas.openxmlformats.org/officeDocument/2006/relationships/hyperlink" Target="http://secrets.rutgers.edu:8080/data/asl-ftp/asllvd/demos/verify_start_end_handshape_annotations//test_auto_move//signs_mov_separ_signers/Liz_5898.mov" TargetMode="External"/><Relationship Id="rId14441" Type="http://schemas.openxmlformats.org/officeDocument/2006/relationships/hyperlink" Target="http://csr.bu.edu/ftp/asl/asllvd/demos/verify_start_end_handshape_annotations//test_auto_move//signs_mov_separ_signers/Liz_15237.mov" TargetMode="External"/><Relationship Id="rId14442" Type="http://schemas.openxmlformats.org/officeDocument/2006/relationships/hyperlink" Target="http://secrets.rutgers.edu:8080/data/asl-ftp/asllvd/demos/verify_start_end_handshape_annotations//test_auto_move//signs_mov_separ_signers/Liz_15237.mov" TargetMode="External"/><Relationship Id="rId14443" Type="http://schemas.openxmlformats.org/officeDocument/2006/relationships/hyperlink" Target="http://csr.bu.edu/ftp/asl/asllvd/demos/verify_start_end_handshape_annotations//test_auto_move//signs_mov/15237.mov" TargetMode="External"/><Relationship Id="rId14444" Type="http://schemas.openxmlformats.org/officeDocument/2006/relationships/hyperlink" Target="http://csr.bu.edu/ftp/asl/asllvd/demos/verify_start_end_handshape_annotations//test_auto_move//signs_mov_separ_signers/Brady_15237.mov" TargetMode="External"/><Relationship Id="rId14445" Type="http://schemas.openxmlformats.org/officeDocument/2006/relationships/hyperlink" Target="http://secrets.rutgers.edu:8080/data/asl-ftp/asllvd/demos/verify_start_end_handshape_annotations//test_auto_move//signs_mov/15237.mov" TargetMode="External"/><Relationship Id="rId14446" Type="http://schemas.openxmlformats.org/officeDocument/2006/relationships/hyperlink" Target="http://secrets.rutgers.edu:8080/data/asl-ftp/asllvd/demos/verify_start_end_handshape_annotations//test_auto_move//signs_mov_separ_signers/Brady_15237.mov" TargetMode="External"/><Relationship Id="rId14447" Type="http://schemas.openxmlformats.org/officeDocument/2006/relationships/hyperlink" Target="http://csr.bu.edu/ftp/asl/asllvd/demos/verify_start_end_handshape_annotations//test_auto_move//signs_mov_separ_signers/Dana_15237.mov" TargetMode="External"/><Relationship Id="rId14448" Type="http://schemas.openxmlformats.org/officeDocument/2006/relationships/hyperlink" Target="http://secrets.rutgers.edu:8080/data/asl-ftp/asllvd/demos/verify_start_end_handshape_annotations//test_auto_move//signs_mov_separ_signers/Dana_15237.mov" TargetMode="External"/><Relationship Id="rId14449" Type="http://schemas.openxmlformats.org/officeDocument/2006/relationships/hyperlink" Target="http://csr.bu.edu/ftp/asl/asllvd/demos/verify_start_end_handshape_annotations//test_auto_move//signs_mov/15245.mov" TargetMode="External"/><Relationship Id="rId14450" Type="http://schemas.openxmlformats.org/officeDocument/2006/relationships/hyperlink" Target="http://csr.bu.edu/ftp/asl/asllvd/demos/verify_start_end_handshape_annotations//test_auto_move//signs_mov_separ_signers/Liz_15245.mov" TargetMode="External"/><Relationship Id="rId14451" Type="http://schemas.openxmlformats.org/officeDocument/2006/relationships/hyperlink" Target="http://secrets.rutgers.edu:8080/data/asl-ftp/asllvd/demos/verify_start_end_handshape_annotations//test_auto_move//signs_mov/15245.mov" TargetMode="External"/><Relationship Id="rId14452" Type="http://schemas.openxmlformats.org/officeDocument/2006/relationships/hyperlink" Target="http://secrets.rutgers.edu:8080/data/asl-ftp/asllvd/demos/verify_start_end_handshape_annotations//test_auto_move//signs_mov_separ_signers/Liz_15245.mov" TargetMode="External"/><Relationship Id="rId14453" Type="http://schemas.openxmlformats.org/officeDocument/2006/relationships/hyperlink" Target="http://csr.bu.edu/ftp/asl/asllvd/demos/verify_start_end_handshape_annotations//test_auto_move//signs_mov/15265.mov" TargetMode="External"/><Relationship Id="rId14454" Type="http://schemas.openxmlformats.org/officeDocument/2006/relationships/hyperlink" Target="http://csr.bu.edu/ftp/asl/asllvd/demos/verify_start_end_handshape_annotations//test_auto_move//signs_mov_separ_signers/Liz_15265.mov" TargetMode="External"/><Relationship Id="rId14455" Type="http://schemas.openxmlformats.org/officeDocument/2006/relationships/hyperlink" Target="http://secrets.rutgers.edu:8080/data/asl-ftp/asllvd/demos/verify_start_end_handshape_annotations//test_auto_move//signs_mov/15265.mov" TargetMode="External"/><Relationship Id="rId14456" Type="http://schemas.openxmlformats.org/officeDocument/2006/relationships/hyperlink" Target="http://secrets.rutgers.edu:8080/data/asl-ftp/asllvd/demos/verify_start_end_handshape_annotations//test_auto_move//signs_mov_separ_signers/Liz_15265.mov" TargetMode="External"/><Relationship Id="rId14457" Type="http://schemas.openxmlformats.org/officeDocument/2006/relationships/hyperlink" Target="http://csr.bu.edu/ftp/asl/asllvd/demos/verify_start_end_handshape_annotations//test_auto_move//signs_mov_separ_signers/Brady_15265.mov" TargetMode="External"/><Relationship Id="rId14458" Type="http://schemas.openxmlformats.org/officeDocument/2006/relationships/hyperlink" Target="http://secrets.rutgers.edu:8080/data/asl-ftp/asllvd/demos/verify_start_end_handshape_annotations//test_auto_move//signs_mov_separ_signers/Brady_15265.mov" TargetMode="External"/><Relationship Id="rId14459" Type="http://schemas.openxmlformats.org/officeDocument/2006/relationships/hyperlink" Target="http://csr.bu.edu/ftp/asl/asllvd/demos/verify_start_end_handshape_annotations//test_auto_move//signs_mov_separ_signers/Liz_15270.mov" TargetMode="External"/><Relationship Id="rId14460" Type="http://schemas.openxmlformats.org/officeDocument/2006/relationships/hyperlink" Target="http://secrets.rutgers.edu:8080/data/asl-ftp/asllvd/demos/verify_start_end_handshape_annotations//test_auto_move//signs_mov_separ_signers/Liz_15270.mov" TargetMode="External"/><Relationship Id="rId14461" Type="http://schemas.openxmlformats.org/officeDocument/2006/relationships/hyperlink" Target="http://csr.bu.edu/ftp/asl/asllvd/demos/verify_start_end_handshape_annotations//test_auto_move//signs_mov/15270.mov" TargetMode="External"/><Relationship Id="rId14462" Type="http://schemas.openxmlformats.org/officeDocument/2006/relationships/hyperlink" Target="http://csr.bu.edu/ftp/asl/asllvd/demos/verify_start_end_handshape_annotations//test_auto_move//signs_mov_separ_signers/Tyler_15270.mov" TargetMode="External"/><Relationship Id="rId14463" Type="http://schemas.openxmlformats.org/officeDocument/2006/relationships/hyperlink" Target="http://secrets.rutgers.edu:8080/data/asl-ftp/asllvd/demos/verify_start_end_handshape_annotations//test_auto_move//signs_mov/15270.mov" TargetMode="External"/><Relationship Id="rId14464" Type="http://schemas.openxmlformats.org/officeDocument/2006/relationships/hyperlink" Target="http://secrets.rutgers.edu:8080/data/asl-ftp/asllvd/demos/verify_start_end_handshape_annotations//test_auto_move//signs_mov_separ_signers/Tyler_15270.mov" TargetMode="External"/><Relationship Id="rId14465" Type="http://schemas.openxmlformats.org/officeDocument/2006/relationships/hyperlink" Target="http://csr.bu.edu/ftp/asl/asllvd/demos/verify_start_end_handshape_annotations//test_auto_move//signs_mov_separ_signers/Naomi_15270.mov" TargetMode="External"/><Relationship Id="rId14466" Type="http://schemas.openxmlformats.org/officeDocument/2006/relationships/hyperlink" Target="http://secrets.rutgers.edu:8080/data/asl-ftp/asllvd/demos/verify_start_end_handshape_annotations//test_auto_move//signs_mov_separ_signers/Naomi_15270.mov" TargetMode="External"/><Relationship Id="rId14467" Type="http://schemas.openxmlformats.org/officeDocument/2006/relationships/hyperlink" Target="http://csr.bu.edu/ftp/asl/asllvd/demos/verify_start_end_handshape_annotations//test_auto_move//signs_mov_separ_signers/Brady_15270.mov" TargetMode="External"/><Relationship Id="rId14468" Type="http://schemas.openxmlformats.org/officeDocument/2006/relationships/hyperlink" Target="http://secrets.rutgers.edu:8080/data/asl-ftp/asllvd/demos/verify_start_end_handshape_annotations//test_auto_move//signs_mov_separ_signers/Brady_15270.mov" TargetMode="External"/><Relationship Id="rId14469" Type="http://schemas.openxmlformats.org/officeDocument/2006/relationships/hyperlink" Target="http://csr.bu.edu/ftp/asl/asllvd/demos/verify_start_end_handshape_annotations//test_auto_move//signs_mov/1674.mov" TargetMode="External"/><Relationship Id="rId14470" Type="http://schemas.openxmlformats.org/officeDocument/2006/relationships/hyperlink" Target="http://csr.bu.edu/ftp/asl/asllvd/demos/verify_start_end_handshape_annotations//test_auto_move//signs_mov_separ_signers/Liz_1674.mov" TargetMode="External"/><Relationship Id="rId14471" Type="http://schemas.openxmlformats.org/officeDocument/2006/relationships/hyperlink" Target="http://secrets.rutgers.edu:8080/data/asl-ftp/asllvd/demos/verify_start_end_handshape_annotations//test_auto_move//signs_mov/1674.mov" TargetMode="External"/><Relationship Id="rId14472" Type="http://schemas.openxmlformats.org/officeDocument/2006/relationships/hyperlink" Target="http://secrets.rutgers.edu:8080/data/asl-ftp/asllvd/demos/verify_start_end_handshape_annotations//test_auto_move//signs_mov_separ_signers/Liz_1674.mov" TargetMode="External"/><Relationship Id="rId14473" Type="http://schemas.openxmlformats.org/officeDocument/2006/relationships/hyperlink" Target="http://csr.bu.edu/ftp/asl/asllvd/demos/verify_start_end_handshape_annotations//test_auto_move//signs_mov_separ_signers/Liz_1675.mov" TargetMode="External"/><Relationship Id="rId14474" Type="http://schemas.openxmlformats.org/officeDocument/2006/relationships/hyperlink" Target="http://secrets.rutgers.edu:8080/data/asl-ftp/asllvd/demos/verify_start_end_handshape_annotations//test_auto_move//signs_mov_separ_signers/Liz_1675.mov" TargetMode="External"/><Relationship Id="rId14475" Type="http://schemas.openxmlformats.org/officeDocument/2006/relationships/hyperlink" Target="http://csr.bu.edu/ftp/asl/asllvd/demos/verify_start_end_handshape_annotations//test_auto_move//signs_mov/1675.mov" TargetMode="External"/><Relationship Id="rId14476" Type="http://schemas.openxmlformats.org/officeDocument/2006/relationships/hyperlink" Target="http://csr.bu.edu/ftp/asl/asllvd/demos/verify_start_end_handshape_annotations//test_auto_move//signs_mov_separ_signers/Lana_1675.mov" TargetMode="External"/><Relationship Id="rId14477" Type="http://schemas.openxmlformats.org/officeDocument/2006/relationships/hyperlink" Target="http://secrets.rutgers.edu:8080/data/asl-ftp/asllvd/demos/verify_start_end_handshape_annotations//test_auto_move//signs_mov/1675.mov" TargetMode="External"/><Relationship Id="rId14478" Type="http://schemas.openxmlformats.org/officeDocument/2006/relationships/hyperlink" Target="http://secrets.rutgers.edu:8080/data/asl-ftp/asllvd/demos/verify_start_end_handshape_annotations//test_auto_move//signs_mov_separ_signers/Lana_1675.mov" TargetMode="External"/><Relationship Id="rId14479" Type="http://schemas.openxmlformats.org/officeDocument/2006/relationships/hyperlink" Target="http://csr.bu.edu/ftp/asl/asllvd/demos/verify_start_end_handshape_annotations//test_auto_move//signs_mov_separ_signers/Dana_1675.mov" TargetMode="External"/><Relationship Id="rId14480" Type="http://schemas.openxmlformats.org/officeDocument/2006/relationships/hyperlink" Target="http://secrets.rutgers.edu:8080/data/asl-ftp/asllvd/demos/verify_start_end_handshape_annotations//test_auto_move//signs_mov_separ_signers/Dana_1675.mov" TargetMode="External"/><Relationship Id="rId14481" Type="http://schemas.openxmlformats.org/officeDocument/2006/relationships/hyperlink" Target="http://csr.bu.edu/ftp/asl/asllvd/demos/verify_start_end_handshape_annotations//test_auto_move//signs_mov/1676.mov" TargetMode="External"/><Relationship Id="rId14482" Type="http://schemas.openxmlformats.org/officeDocument/2006/relationships/hyperlink" Target="http://csr.bu.edu/ftp/asl/asllvd/demos/verify_start_end_handshape_annotations//test_auto_move//signs_mov_separ_signers/Liz_1676.mov" TargetMode="External"/><Relationship Id="rId14483" Type="http://schemas.openxmlformats.org/officeDocument/2006/relationships/hyperlink" Target="http://secrets.rutgers.edu:8080/data/asl-ftp/asllvd/demos/verify_start_end_handshape_annotations//test_auto_move//signs_mov/1676.mov" TargetMode="External"/><Relationship Id="rId14484" Type="http://schemas.openxmlformats.org/officeDocument/2006/relationships/hyperlink" Target="http://secrets.rutgers.edu:8080/data/asl-ftp/asllvd/demos/verify_start_end_handshape_annotations//test_auto_move//signs_mov_separ_signers/Liz_1676.mov" TargetMode="External"/><Relationship Id="rId14485" Type="http://schemas.openxmlformats.org/officeDocument/2006/relationships/hyperlink" Target="http://csr.bu.edu/ftp/asl/asllvd/demos/verify_start_end_handshape_annotations//test_auto_move//signs_mov/1678.mov" TargetMode="External"/><Relationship Id="rId14486" Type="http://schemas.openxmlformats.org/officeDocument/2006/relationships/hyperlink" Target="http://csr.bu.edu/ftp/asl/asllvd/demos/verify_start_end_handshape_annotations//test_auto_move//signs_mov_separ_signers/Liz_1678.mov" TargetMode="External"/><Relationship Id="rId14487" Type="http://schemas.openxmlformats.org/officeDocument/2006/relationships/hyperlink" Target="http://secrets.rutgers.edu:8080/data/asl-ftp/asllvd/demos/verify_start_end_handshape_annotations//test_auto_move//signs_mov/1678.mov" TargetMode="External"/><Relationship Id="rId14488" Type="http://schemas.openxmlformats.org/officeDocument/2006/relationships/hyperlink" Target="http://secrets.rutgers.edu:8080/data/asl-ftp/asllvd/demos/verify_start_end_handshape_annotations//test_auto_move//signs_mov_separ_signers/Liz_1678.mov" TargetMode="External"/><Relationship Id="rId14489" Type="http://schemas.openxmlformats.org/officeDocument/2006/relationships/hyperlink" Target="http://csr.bu.edu/ftp/asl/asllvd/demos/verify_start_end_handshape_annotations//test_auto_move//signs_mov_separ_signers/Liz_1679.mov" TargetMode="External"/><Relationship Id="rId14490" Type="http://schemas.openxmlformats.org/officeDocument/2006/relationships/hyperlink" Target="http://secrets.rutgers.edu:8080/data/asl-ftp/asllvd/demos/verify_start_end_handshape_annotations//test_auto_move//signs_mov_separ_signers/Liz_1679.mov" TargetMode="External"/><Relationship Id="rId14491" Type="http://schemas.openxmlformats.org/officeDocument/2006/relationships/hyperlink" Target="http://csr.bu.edu/ftp/asl/asllvd/demos/verify_start_end_handshape_annotations//test_auto_move//signs_mov/1679.mov" TargetMode="External"/><Relationship Id="rId14492" Type="http://schemas.openxmlformats.org/officeDocument/2006/relationships/hyperlink" Target="http://csr.bu.edu/ftp/asl/asllvd/demos/verify_start_end_handshape_annotations//test_auto_move//signs_mov_separ_signers/Tyler_1679.mov" TargetMode="External"/><Relationship Id="rId14493" Type="http://schemas.openxmlformats.org/officeDocument/2006/relationships/hyperlink" Target="http://secrets.rutgers.edu:8080/data/asl-ftp/asllvd/demos/verify_start_end_handshape_annotations//test_auto_move//signs_mov/1679.mov" TargetMode="External"/><Relationship Id="rId14494" Type="http://schemas.openxmlformats.org/officeDocument/2006/relationships/hyperlink" Target="http://secrets.rutgers.edu:8080/data/asl-ftp/asllvd/demos/verify_start_end_handshape_annotations//test_auto_move//signs_mov_separ_signers/Tyler_1679.mov" TargetMode="External"/><Relationship Id="rId14495" Type="http://schemas.openxmlformats.org/officeDocument/2006/relationships/hyperlink" Target="http://csr.bu.edu/ftp/asl/asllvd/demos/verify_start_end_handshape_annotations//test_auto_move//signs_mov_separ_signers/Lana_1679.mov" TargetMode="External"/><Relationship Id="rId14496" Type="http://schemas.openxmlformats.org/officeDocument/2006/relationships/hyperlink" Target="http://secrets.rutgers.edu:8080/data/asl-ftp/asllvd/demos/verify_start_end_handshape_annotations//test_auto_move//signs_mov_separ_signers/Lana_1679.mov" TargetMode="External"/><Relationship Id="rId14497" Type="http://schemas.openxmlformats.org/officeDocument/2006/relationships/hyperlink" Target="http://csr.bu.edu/ftp/asl/asllvd/demos/verify_start_end_handshape_annotations//test_auto_move//signs_mov_separ_signers/Dana_1679.mov" TargetMode="External"/><Relationship Id="rId14498" Type="http://schemas.openxmlformats.org/officeDocument/2006/relationships/hyperlink" Target="http://secrets.rutgers.edu:8080/data/asl-ftp/asllvd/demos/verify_start_end_handshape_annotations//test_auto_move//signs_mov_separ_signers/Dana_1679.mov" TargetMode="External"/><Relationship Id="rId14499" Type="http://schemas.openxmlformats.org/officeDocument/2006/relationships/hyperlink" Target="http://csr.bu.edu/ftp/asl/asllvd/demos/verify_start_end_handshape_annotations//test_auto_move//signs_mov_separ_signers/Liz_15915.mov" TargetMode="External"/><Relationship Id="rId14500" Type="http://schemas.openxmlformats.org/officeDocument/2006/relationships/hyperlink" Target="http://secrets.rutgers.edu:8080/data/asl-ftp/asllvd/demos/verify_start_end_handshape_annotations//test_auto_move//signs_mov_separ_signers/Liz_15915.mov" TargetMode="External"/><Relationship Id="rId14501" Type="http://schemas.openxmlformats.org/officeDocument/2006/relationships/hyperlink" Target="http://csr.bu.edu/ftp/asl/asllvd/demos/verify_start_end_handshape_annotations//test_auto_move//signs_mov/15915.mov" TargetMode="External"/><Relationship Id="rId14502" Type="http://schemas.openxmlformats.org/officeDocument/2006/relationships/hyperlink" Target="http://csr.bu.edu/ftp/asl/asllvd/demos/verify_start_end_handshape_annotations//test_auto_move//signs_mov_separ_signers/Naomi_15915.mov" TargetMode="External"/><Relationship Id="rId14503" Type="http://schemas.openxmlformats.org/officeDocument/2006/relationships/hyperlink" Target="http://secrets.rutgers.edu:8080/data/asl-ftp/asllvd/demos/verify_start_end_handshape_annotations//test_auto_move//signs_mov/15915.mov" TargetMode="External"/><Relationship Id="rId14504" Type="http://schemas.openxmlformats.org/officeDocument/2006/relationships/hyperlink" Target="http://secrets.rutgers.edu:8080/data/asl-ftp/asllvd/demos/verify_start_end_handshape_annotations//test_auto_move//signs_mov_separ_signers/Naomi_15915.mov" TargetMode="External"/><Relationship Id="rId14505" Type="http://schemas.openxmlformats.org/officeDocument/2006/relationships/hyperlink" Target="http://csr.bu.edu/ftp/asl/asllvd/demos/verify_start_end_handshape_annotations//test_auto_move//signs_mov_separ_signers/Brady_15915.mov" TargetMode="External"/><Relationship Id="rId14506" Type="http://schemas.openxmlformats.org/officeDocument/2006/relationships/hyperlink" Target="http://secrets.rutgers.edu:8080/data/asl-ftp/asllvd/demos/verify_start_end_handshape_annotations//test_auto_move//signs_mov_separ_signers/Brady_15915.mov" TargetMode="External"/><Relationship Id="rId14507" Type="http://schemas.openxmlformats.org/officeDocument/2006/relationships/hyperlink" Target="http://csr.bu.edu/ftp/asl/asllvd/demos/verify_start_end_handshape_annotations//test_auto_move//signs_mov/1686.mov" TargetMode="External"/><Relationship Id="rId14508" Type="http://schemas.openxmlformats.org/officeDocument/2006/relationships/hyperlink" Target="http://csr.bu.edu/ftp/asl/asllvd/demos/verify_start_end_handshape_annotations//test_auto_move//signs_mov_separ_signers/Liz_1686.mov" TargetMode="External"/><Relationship Id="rId14509" Type="http://schemas.openxmlformats.org/officeDocument/2006/relationships/hyperlink" Target="http://secrets.rutgers.edu:8080/data/asl-ftp/asllvd/demos/verify_start_end_handshape_annotations//test_auto_move//signs_mov/1686.mov" TargetMode="External"/><Relationship Id="rId14510" Type="http://schemas.openxmlformats.org/officeDocument/2006/relationships/hyperlink" Target="http://secrets.rutgers.edu:8080/data/asl-ftp/asllvd/demos/verify_start_end_handshape_annotations//test_auto_move//signs_mov_separ_signers/Liz_1686.mov" TargetMode="External"/><Relationship Id="rId14511" Type="http://schemas.openxmlformats.org/officeDocument/2006/relationships/hyperlink" Target="http://csr.bu.edu/ftp/asl/asllvd/demos/verify_start_end_handshape_annotations//test_auto_move//signs_mov_separ_signers/Liz_1687.mov" TargetMode="External"/><Relationship Id="rId14512" Type="http://schemas.openxmlformats.org/officeDocument/2006/relationships/hyperlink" Target="http://secrets.rutgers.edu:8080/data/asl-ftp/asllvd/demos/verify_start_end_handshape_annotations//test_auto_move//signs_mov_separ_signers/Liz_1687.mov" TargetMode="External"/><Relationship Id="rId14513" Type="http://schemas.openxmlformats.org/officeDocument/2006/relationships/hyperlink" Target="http://csr.bu.edu/ftp/asl/asllvd/demos/verify_start_end_handshape_annotations//test_auto_move//signs_mov_separ_signers/Liz_3702.mov" TargetMode="External"/><Relationship Id="rId14514" Type="http://schemas.openxmlformats.org/officeDocument/2006/relationships/hyperlink" Target="http://secrets.rutgers.edu:8080/data/asl-ftp/asllvd/demos/verify_start_end_handshape_annotations//test_auto_move//signs_mov_separ_signers/Liz_3702.mov" TargetMode="External"/><Relationship Id="rId14515" Type="http://schemas.openxmlformats.org/officeDocument/2006/relationships/hyperlink" Target="http://csr.bu.edu/ftp/asl/asllvd/demos/verify_start_end_handshape_annotations//test_auto_move//signs_mov/1687_3702_3901_merged.mov" TargetMode="External"/><Relationship Id="rId14516" Type="http://schemas.openxmlformats.org/officeDocument/2006/relationships/hyperlink" Target="http://csr.bu.edu/ftp/asl/asllvd/demos/verify_start_end_handshape_annotations//test_auto_move//signs_mov_separ_signers/Liz_3901.mov" TargetMode="External"/><Relationship Id="rId14517" Type="http://schemas.openxmlformats.org/officeDocument/2006/relationships/hyperlink" Target="http://secrets.rutgers.edu:8080/data/asl-ftp/asllvd/demos/verify_start_end_handshape_annotations//test_auto_move//signs_mov/1687_3702_3901_merged.mov" TargetMode="External"/><Relationship Id="rId14518" Type="http://schemas.openxmlformats.org/officeDocument/2006/relationships/hyperlink" Target="http://secrets.rutgers.edu:8080/data/asl-ftp/asllvd/demos/verify_start_end_handshape_annotations//test_auto_move//signs_mov_separ_signers/Liz_3901.mov" TargetMode="External"/><Relationship Id="rId14519" Type="http://schemas.openxmlformats.org/officeDocument/2006/relationships/hyperlink" Target="http://csr.bu.edu/ftp/asl/asllvd/demos/verify_start_end_handshape_annotations//test_auto_move//signs_mov_separ_signers/Brady_1687.mov" TargetMode="External"/><Relationship Id="rId14520" Type="http://schemas.openxmlformats.org/officeDocument/2006/relationships/hyperlink" Target="http://secrets.rutgers.edu:8080/data/asl-ftp/asllvd/demos/verify_start_end_handshape_annotations//test_auto_move//signs_mov_separ_signers/Brady_1687.mov" TargetMode="External"/><Relationship Id="rId14521" Type="http://schemas.openxmlformats.org/officeDocument/2006/relationships/hyperlink" Target="http://csr.bu.edu/ftp/asl/asllvd/demos/verify_start_end_handshape_annotations//test_auto_move//signs_mov_separ_signers/Brady_3702.mov" TargetMode="External"/><Relationship Id="rId14522" Type="http://schemas.openxmlformats.org/officeDocument/2006/relationships/hyperlink" Target="http://secrets.rutgers.edu:8080/data/asl-ftp/asllvd/demos/verify_start_end_handshape_annotations//test_auto_move//signs_mov_separ_signers/Brady_3702.mov" TargetMode="External"/><Relationship Id="rId14523" Type="http://schemas.openxmlformats.org/officeDocument/2006/relationships/hyperlink" Target="http://csr.bu.edu/ftp/asl/asllvd/demos/verify_start_end_handshape_annotations//test_auto_move//signs_mov_separ_signers/Lana_1687.mov" TargetMode="External"/><Relationship Id="rId14524" Type="http://schemas.openxmlformats.org/officeDocument/2006/relationships/hyperlink" Target="http://secrets.rutgers.edu:8080/data/asl-ftp/asllvd/demos/verify_start_end_handshape_annotations//test_auto_move//signs_mov_separ_signers/Lana_1687.mov" TargetMode="External"/><Relationship Id="rId14525" Type="http://schemas.openxmlformats.org/officeDocument/2006/relationships/hyperlink" Target="http://csr.bu.edu/ftp/asl/asllvd/demos/verify_start_end_handshape_annotations//test_auto_move//signs_mov/5646.mov" TargetMode="External"/><Relationship Id="rId14526" Type="http://schemas.openxmlformats.org/officeDocument/2006/relationships/hyperlink" Target="http://csr.bu.edu/ftp/asl/asllvd/demos/verify_start_end_handshape_annotations//test_auto_move//signs_mov_separ_signers/Liz_5646.mov" TargetMode="External"/><Relationship Id="rId14527" Type="http://schemas.openxmlformats.org/officeDocument/2006/relationships/hyperlink" Target="http://secrets.rutgers.edu:8080/data/asl-ftp/asllvd/demos/verify_start_end_handshape_annotations//test_auto_move//signs_mov/5646.mov" TargetMode="External"/><Relationship Id="rId14528" Type="http://schemas.openxmlformats.org/officeDocument/2006/relationships/hyperlink" Target="http://secrets.rutgers.edu:8080/data/asl-ftp/asllvd/demos/verify_start_end_handshape_annotations//test_auto_move//signs_mov_separ_signers/Liz_5646.mov" TargetMode="External"/><Relationship Id="rId14529" Type="http://schemas.openxmlformats.org/officeDocument/2006/relationships/hyperlink" Target="http://csr.bu.edu/ftp/asl/asllvd/demos/verify_start_end_handshape_annotations//test_auto_move//signs_mov_separ_signers/Brady_5646.mov" TargetMode="External"/><Relationship Id="rId14530" Type="http://schemas.openxmlformats.org/officeDocument/2006/relationships/hyperlink" Target="http://secrets.rutgers.edu:8080/data/asl-ftp/asllvd/demos/verify_start_end_handshape_annotations//test_auto_move//signs_mov_separ_signers/Brady_5646.mov" TargetMode="External"/><Relationship Id="rId14531" Type="http://schemas.openxmlformats.org/officeDocument/2006/relationships/hyperlink" Target="http://csr.bu.edu/ftp/asl/asllvd/demos/verify_start_end_handshape_annotations//test_auto_move//signs_mov/1692.mov" TargetMode="External"/><Relationship Id="rId14532" Type="http://schemas.openxmlformats.org/officeDocument/2006/relationships/hyperlink" Target="http://csr.bu.edu/ftp/asl/asllvd/demos/verify_start_end_handshape_annotations//test_auto_move//signs_mov_separ_signers/Liz_1692.mov" TargetMode="External"/><Relationship Id="rId14533" Type="http://schemas.openxmlformats.org/officeDocument/2006/relationships/hyperlink" Target="http://secrets.rutgers.edu:8080/data/asl-ftp/asllvd/demos/verify_start_end_handshape_annotations//test_auto_move//signs_mov/1692.mov" TargetMode="External"/><Relationship Id="rId14534" Type="http://schemas.openxmlformats.org/officeDocument/2006/relationships/hyperlink" Target="http://secrets.rutgers.edu:8080/data/asl-ftp/asllvd/demos/verify_start_end_handshape_annotations//test_auto_move//signs_mov_separ_signers/Liz_1692.mov" TargetMode="External"/><Relationship Id="rId14535" Type="http://schemas.openxmlformats.org/officeDocument/2006/relationships/hyperlink" Target="http://csr.bu.edu/ftp/asl/asllvd/demos/verify_start_end_handshape_annotations//test_auto_move//signs_mov_separ_signers/Brady_1692.mov" TargetMode="External"/><Relationship Id="rId14536" Type="http://schemas.openxmlformats.org/officeDocument/2006/relationships/hyperlink" Target="http://secrets.rutgers.edu:8080/data/asl-ftp/asllvd/demos/verify_start_end_handshape_annotations//test_auto_move//signs_mov_separ_signers/Brady_1692.mov" TargetMode="External"/><Relationship Id="rId14537" Type="http://schemas.openxmlformats.org/officeDocument/2006/relationships/hyperlink" Target="http://csr.bu.edu/ftp/asl/asllvd/demos/verify_start_end_handshape_annotations//test_auto_move//signs_mov_separ_signers/Liz_1699.mov" TargetMode="External"/><Relationship Id="rId14538" Type="http://schemas.openxmlformats.org/officeDocument/2006/relationships/hyperlink" Target="http://secrets.rutgers.edu:8080/data/asl-ftp/asllvd/demos/verify_start_end_handshape_annotations//test_auto_move//signs_mov_separ_signers/Liz_1699.mov" TargetMode="External"/><Relationship Id="rId14539" Type="http://schemas.openxmlformats.org/officeDocument/2006/relationships/hyperlink" Target="http://csr.bu.edu/ftp/asl/asllvd/demos/verify_start_end_handshape_annotations//test_auto_move//signs_mov_separ_signers/Liz_3509.mov" TargetMode="External"/><Relationship Id="rId14540" Type="http://schemas.openxmlformats.org/officeDocument/2006/relationships/hyperlink" Target="http://secrets.rutgers.edu:8080/data/asl-ftp/asllvd/demos/verify_start_end_handshape_annotations//test_auto_move//signs_mov_separ_signers/Liz_3509.mov" TargetMode="External"/><Relationship Id="rId14541" Type="http://schemas.openxmlformats.org/officeDocument/2006/relationships/hyperlink" Target="http://csr.bu.edu/ftp/asl/asllvd/demos/verify_start_end_handshape_annotations//test_auto_move//signs_mov/1699_3509_merged.mov" TargetMode="External"/><Relationship Id="rId14542" Type="http://schemas.openxmlformats.org/officeDocument/2006/relationships/hyperlink" Target="http://csr.bu.edu/ftp/asl/asllvd/demos/verify_start_end_handshape_annotations//test_auto_move//signs_mov_separ_signers/Brady_1699.mov" TargetMode="External"/><Relationship Id="rId14543" Type="http://schemas.openxmlformats.org/officeDocument/2006/relationships/hyperlink" Target="http://secrets.rutgers.edu:8080/data/asl-ftp/asllvd/demos/verify_start_end_handshape_annotations//test_auto_move//signs_mov/1699_3509_merged.mov" TargetMode="External"/><Relationship Id="rId14544" Type="http://schemas.openxmlformats.org/officeDocument/2006/relationships/hyperlink" Target="http://secrets.rutgers.edu:8080/data/asl-ftp/asllvd/demos/verify_start_end_handshape_annotations//test_auto_move//signs_mov_separ_signers/Brady_1699.mov" TargetMode="External"/><Relationship Id="rId14545" Type="http://schemas.openxmlformats.org/officeDocument/2006/relationships/hyperlink" Target="http://csr.bu.edu/ftp/asl/asllvd/demos/verify_start_end_handshape_annotations//test_auto_move//signs_mov_separ_signers/Brady_3509.mov" TargetMode="External"/><Relationship Id="rId14546" Type="http://schemas.openxmlformats.org/officeDocument/2006/relationships/hyperlink" Target="http://secrets.rutgers.edu:8080/data/asl-ftp/asllvd/demos/verify_start_end_handshape_annotations//test_auto_move//signs_mov_separ_signers/Brady_3509.mov" TargetMode="External"/><Relationship Id="rId14547" Type="http://schemas.openxmlformats.org/officeDocument/2006/relationships/hyperlink" Target="http://csr.bu.edu/ftp/asl/asllvd/demos/verify_start_end_handshape_annotations//test_auto_move//signs_mov_separ_signers/Lana_1699.mov" TargetMode="External"/><Relationship Id="rId14548" Type="http://schemas.openxmlformats.org/officeDocument/2006/relationships/hyperlink" Target="http://secrets.rutgers.edu:8080/data/asl-ftp/asllvd/demos/verify_start_end_handshape_annotations//test_auto_move//signs_mov_separ_signers/Lana_1699.mov" TargetMode="External"/><Relationship Id="rId14549" Type="http://schemas.openxmlformats.org/officeDocument/2006/relationships/hyperlink" Target="http://csr.bu.edu/ftp/asl/asllvd/demos/verify_start_end_handshape_annotations//test_auto_move//signs_mov_separ_signers/Liz_5282.mov" TargetMode="External"/><Relationship Id="rId14550" Type="http://schemas.openxmlformats.org/officeDocument/2006/relationships/hyperlink" Target="http://secrets.rutgers.edu:8080/data/asl-ftp/asllvd/demos/verify_start_end_handshape_annotations//test_auto_move//signs_mov_separ_signers/Liz_5282.mov" TargetMode="External"/><Relationship Id="rId14551" Type="http://schemas.openxmlformats.org/officeDocument/2006/relationships/hyperlink" Target="http://csr.bu.edu/ftp/asl/asllvd/demos/verify_start_end_handshape_annotations//test_auto_move//signs_mov_separ_signers/Naomi_5282.mov" TargetMode="External"/><Relationship Id="rId14552" Type="http://schemas.openxmlformats.org/officeDocument/2006/relationships/hyperlink" Target="http://secrets.rutgers.edu:8080/data/asl-ftp/asllvd/demos/verify_start_end_handshape_annotations//test_auto_move//signs_mov_separ_signers/Naomi_5282.mov" TargetMode="External"/><Relationship Id="rId14553" Type="http://schemas.openxmlformats.org/officeDocument/2006/relationships/hyperlink" Target="http://csr.bu.edu/ftp/asl/asllvd/demos/verify_start_end_handshape_annotations//test_auto_move//signs_mov/5282_5940_16508_merged.mov" TargetMode="External"/><Relationship Id="rId14554" Type="http://schemas.openxmlformats.org/officeDocument/2006/relationships/hyperlink" Target="http://csr.bu.edu/ftp/asl/asllvd/demos/verify_start_end_handshape_annotations//test_auto_move//signs_mov_separ_signers/Brady_5282.mov" TargetMode="External"/><Relationship Id="rId14555" Type="http://schemas.openxmlformats.org/officeDocument/2006/relationships/hyperlink" Target="http://secrets.rutgers.edu:8080/data/asl-ftp/asllvd/demos/verify_start_end_handshape_annotations//test_auto_move//signs_mov/5282_5940_16508_merged.mov" TargetMode="External"/><Relationship Id="rId14556" Type="http://schemas.openxmlformats.org/officeDocument/2006/relationships/hyperlink" Target="http://secrets.rutgers.edu:8080/data/asl-ftp/asllvd/demos/verify_start_end_handshape_annotations//test_auto_move//signs_mov_separ_signers/Brady_5282.mov" TargetMode="External"/><Relationship Id="rId14557" Type="http://schemas.openxmlformats.org/officeDocument/2006/relationships/hyperlink" Target="http://csr.bu.edu/ftp/asl/asllvd/demos/verify_start_end_handshape_annotations//test_auto_move//signs_mov_separ_signers/Brady_5940.mov" TargetMode="External"/><Relationship Id="rId14558" Type="http://schemas.openxmlformats.org/officeDocument/2006/relationships/hyperlink" Target="http://secrets.rutgers.edu:8080/data/asl-ftp/asllvd/demos/verify_start_end_handshape_annotations//test_auto_move//signs_mov_separ_signers/Brady_5940.mov" TargetMode="External"/><Relationship Id="rId14559" Type="http://schemas.openxmlformats.org/officeDocument/2006/relationships/hyperlink" Target="http://csr.bu.edu/ftp/asl/asllvd/demos/verify_start_end_handshape_annotations//test_auto_move//signs_mov_separ_signers/Brady_16508.mov" TargetMode="External"/><Relationship Id="rId14560" Type="http://schemas.openxmlformats.org/officeDocument/2006/relationships/hyperlink" Target="http://secrets.rutgers.edu:8080/data/asl-ftp/asllvd/demos/verify_start_end_handshape_annotations//test_auto_move//signs_mov_separ_signers/Brady_16508.mov" TargetMode="External"/><Relationship Id="rId14561" Type="http://schemas.openxmlformats.org/officeDocument/2006/relationships/hyperlink" Target="http://csr.bu.edu/ftp/asl/asllvd/demos/verify_start_end_handshape_annotations//test_auto_move//signs_mov/1701.mov" TargetMode="External"/><Relationship Id="rId14562" Type="http://schemas.openxmlformats.org/officeDocument/2006/relationships/hyperlink" Target="http://csr.bu.edu/ftp/asl/asllvd/demos/verify_start_end_handshape_annotations//test_auto_move//signs_mov_separ_signers/Liz_1701.mov" TargetMode="External"/><Relationship Id="rId14563" Type="http://schemas.openxmlformats.org/officeDocument/2006/relationships/hyperlink" Target="http://secrets.rutgers.edu:8080/data/asl-ftp/asllvd/demos/verify_start_end_handshape_annotations//test_auto_move//signs_mov/1701.mov" TargetMode="External"/><Relationship Id="rId14564" Type="http://schemas.openxmlformats.org/officeDocument/2006/relationships/hyperlink" Target="http://secrets.rutgers.edu:8080/data/asl-ftp/asllvd/demos/verify_start_end_handshape_annotations//test_auto_move//signs_mov_separ_signers/Liz_1701.mov" TargetMode="External"/><Relationship Id="rId14565" Type="http://schemas.openxmlformats.org/officeDocument/2006/relationships/hyperlink" Target="http://csr.bu.edu/ftp/asl/asllvd/demos/verify_start_end_handshape_annotations//test_auto_move//signs_mov_separ_signers/Brady_1701.mov" TargetMode="External"/><Relationship Id="rId14566" Type="http://schemas.openxmlformats.org/officeDocument/2006/relationships/hyperlink" Target="http://secrets.rutgers.edu:8080/data/asl-ftp/asllvd/demos/verify_start_end_handshape_annotations//test_auto_move//signs_mov_separ_signers/Brady_1701.mov" TargetMode="External"/><Relationship Id="rId14567" Type="http://schemas.openxmlformats.org/officeDocument/2006/relationships/hyperlink" Target="http://csr.bu.edu/ftp/asl/asllvd/demos/verify_start_end_handshape_annotations//test_auto_move//signs_mov_separ_signers/Liz_1708.mov" TargetMode="External"/><Relationship Id="rId14568" Type="http://schemas.openxmlformats.org/officeDocument/2006/relationships/hyperlink" Target="http://secrets.rutgers.edu:8080/data/asl-ftp/asllvd/demos/verify_start_end_handshape_annotations//test_auto_move//signs_mov_separ_signers/Liz_1708.mov" TargetMode="External"/><Relationship Id="rId14569" Type="http://schemas.openxmlformats.org/officeDocument/2006/relationships/hyperlink" Target="http://csr.bu.edu/ftp/asl/asllvd/demos/verify_start_end_handshape_annotations//test_auto_move//signs_mov/1708.mov" TargetMode="External"/><Relationship Id="rId14570" Type="http://schemas.openxmlformats.org/officeDocument/2006/relationships/hyperlink" Target="http://csr.bu.edu/ftp/asl/asllvd/demos/verify_start_end_handshape_annotations//test_auto_move//signs_mov_separ_signers/Brady_1708.mov" TargetMode="External"/><Relationship Id="rId14571" Type="http://schemas.openxmlformats.org/officeDocument/2006/relationships/hyperlink" Target="http://secrets.rutgers.edu:8080/data/asl-ftp/asllvd/demos/verify_start_end_handshape_annotations//test_auto_move//signs_mov/1708.mov" TargetMode="External"/><Relationship Id="rId14572" Type="http://schemas.openxmlformats.org/officeDocument/2006/relationships/hyperlink" Target="http://secrets.rutgers.edu:8080/data/asl-ftp/asllvd/demos/verify_start_end_handshape_annotations//test_auto_move//signs_mov_separ_signers/Brady_1708.mov" TargetMode="External"/><Relationship Id="rId14573" Type="http://schemas.openxmlformats.org/officeDocument/2006/relationships/hyperlink" Target="http://csr.bu.edu/ftp/asl/asllvd/demos/verify_start_end_handshape_annotations//test_auto_move//signs_mov_separ_signers/Lana_1708.mov" TargetMode="External"/><Relationship Id="rId14574" Type="http://schemas.openxmlformats.org/officeDocument/2006/relationships/hyperlink" Target="http://secrets.rutgers.edu:8080/data/asl-ftp/asllvd/demos/verify_start_end_handshape_annotations//test_auto_move//signs_mov_separ_signers/Lana_1708.mov" TargetMode="External"/><Relationship Id="rId14575" Type="http://schemas.openxmlformats.org/officeDocument/2006/relationships/hyperlink" Target="http://csr.bu.edu/ftp/asl/asllvd/demos/verify_start_end_handshape_annotations//test_auto_move//signs_mov_separ_signers/Dana_1708.mov" TargetMode="External"/><Relationship Id="rId14576" Type="http://schemas.openxmlformats.org/officeDocument/2006/relationships/hyperlink" Target="http://secrets.rutgers.edu:8080/data/asl-ftp/asllvd/demos/verify_start_end_handshape_annotations//test_auto_move//signs_mov_separ_signers/Dana_1708.mov" TargetMode="External"/><Relationship Id="rId14577" Type="http://schemas.openxmlformats.org/officeDocument/2006/relationships/hyperlink" Target="http://csr.bu.edu/ftp/asl/asllvd/demos/verify_start_end_handshape_annotations//test_auto_move//signs_mov/1712.mov" TargetMode="External"/><Relationship Id="rId14578" Type="http://schemas.openxmlformats.org/officeDocument/2006/relationships/hyperlink" Target="http://csr.bu.edu/ftp/asl/asllvd/demos/verify_start_end_handshape_annotations//test_auto_move//signs_mov_separ_signers/Liz_1712.mov" TargetMode="External"/><Relationship Id="rId14579" Type="http://schemas.openxmlformats.org/officeDocument/2006/relationships/hyperlink" Target="http://secrets.rutgers.edu:8080/data/asl-ftp/asllvd/demos/verify_start_end_handshape_annotations//test_auto_move//signs_mov/1712.mov" TargetMode="External"/><Relationship Id="rId14580" Type="http://schemas.openxmlformats.org/officeDocument/2006/relationships/hyperlink" Target="http://secrets.rutgers.edu:8080/data/asl-ftp/asllvd/demos/verify_start_end_handshape_annotations//test_auto_move//signs_mov_separ_signers/Liz_1712.mov" TargetMode="External"/><Relationship Id="rId14581" Type="http://schemas.openxmlformats.org/officeDocument/2006/relationships/hyperlink" Target="http://csr.bu.edu/ftp/asl/asllvd/demos/verify_start_end_handshape_annotations//test_auto_move//signs_mov_separ_signers/Brady_1712.mov" TargetMode="External"/><Relationship Id="rId14582" Type="http://schemas.openxmlformats.org/officeDocument/2006/relationships/hyperlink" Target="http://secrets.rutgers.edu:8080/data/asl-ftp/asllvd/demos/verify_start_end_handshape_annotations//test_auto_move//signs_mov_separ_signers/Brady_1712.mov" TargetMode="External"/><Relationship Id="rId14583" Type="http://schemas.openxmlformats.org/officeDocument/2006/relationships/hyperlink" Target="http://csr.bu.edu/ftp/asl/asllvd/demos/verify_start_end_handshape_annotations//test_auto_move//signs_mov/1713.mov" TargetMode="External"/><Relationship Id="rId14584" Type="http://schemas.openxmlformats.org/officeDocument/2006/relationships/hyperlink" Target="http://csr.bu.edu/ftp/asl/asllvd/demos/verify_start_end_handshape_annotations//test_auto_move//signs_mov_separ_signers/Liz_1713.mov" TargetMode="External"/><Relationship Id="rId14585" Type="http://schemas.openxmlformats.org/officeDocument/2006/relationships/hyperlink" Target="http://secrets.rutgers.edu:8080/data/asl-ftp/asllvd/demos/verify_start_end_handshape_annotations//test_auto_move//signs_mov/1713.mov" TargetMode="External"/><Relationship Id="rId14586" Type="http://schemas.openxmlformats.org/officeDocument/2006/relationships/hyperlink" Target="http://secrets.rutgers.edu:8080/data/asl-ftp/asllvd/demos/verify_start_end_handshape_annotations//test_auto_move//signs_mov_separ_signers/Liz_1713.mov" TargetMode="External"/><Relationship Id="rId14587" Type="http://schemas.openxmlformats.org/officeDocument/2006/relationships/hyperlink" Target="http://csr.bu.edu/ftp/asl/asllvd/demos/verify_start_end_handshape_annotations//test_auto_move//signs_mov_separ_signers/Brady_1713.mov" TargetMode="External"/><Relationship Id="rId14588" Type="http://schemas.openxmlformats.org/officeDocument/2006/relationships/hyperlink" Target="http://secrets.rutgers.edu:8080/data/asl-ftp/asllvd/demos/verify_start_end_handshape_annotations//test_auto_move//signs_mov_separ_signers/Brady_1713.mov" TargetMode="External"/><Relationship Id="rId14589" Type="http://schemas.openxmlformats.org/officeDocument/2006/relationships/hyperlink" Target="http://csr.bu.edu/ftp/asl/asllvd/demos/verify_start_end_handshape_annotations//test_auto_move//signs_mov/1725.mov" TargetMode="External"/><Relationship Id="rId14590" Type="http://schemas.openxmlformats.org/officeDocument/2006/relationships/hyperlink" Target="http://csr.bu.edu/ftp/asl/asllvd/demos/verify_start_end_handshape_annotations//test_auto_move//signs_mov_separ_signers/Liz_1725.mov" TargetMode="External"/><Relationship Id="rId14591" Type="http://schemas.openxmlformats.org/officeDocument/2006/relationships/hyperlink" Target="http://secrets.rutgers.edu:8080/data/asl-ftp/asllvd/demos/verify_start_end_handshape_annotations//test_auto_move//signs_mov/1725.mov" TargetMode="External"/><Relationship Id="rId14592" Type="http://schemas.openxmlformats.org/officeDocument/2006/relationships/hyperlink" Target="http://secrets.rutgers.edu:8080/data/asl-ftp/asllvd/demos/verify_start_end_handshape_annotations//test_auto_move//signs_mov_separ_signers/Liz_1725.mov" TargetMode="External"/><Relationship Id="rId14593" Type="http://schemas.openxmlformats.org/officeDocument/2006/relationships/hyperlink" Target="http://csr.bu.edu/ftp/asl/asllvd/demos/verify_start_end_handshape_annotations//test_auto_move//signs_mov_separ_signers/Brady_1725.mov" TargetMode="External"/><Relationship Id="rId14594" Type="http://schemas.openxmlformats.org/officeDocument/2006/relationships/hyperlink" Target="http://secrets.rutgers.edu:8080/data/asl-ftp/asllvd/demos/verify_start_end_handshape_annotations//test_auto_move//signs_mov_separ_signers/Brady_1725.mov" TargetMode="External"/><Relationship Id="rId14595" Type="http://schemas.openxmlformats.org/officeDocument/2006/relationships/hyperlink" Target="http://csr.bu.edu/ftp/asl/asllvd/demos/verify_start_end_handshape_annotations//test_auto_move//signs_mov/1727.mov" TargetMode="External"/><Relationship Id="rId14596" Type="http://schemas.openxmlformats.org/officeDocument/2006/relationships/hyperlink" Target="http://csr.bu.edu/ftp/asl/asllvd/demos/verify_start_end_handshape_annotations//test_auto_move//signs_mov_separ_signers/Liz_1727.mov" TargetMode="External"/><Relationship Id="rId14597" Type="http://schemas.openxmlformats.org/officeDocument/2006/relationships/hyperlink" Target="http://secrets.rutgers.edu:8080/data/asl-ftp/asllvd/demos/verify_start_end_handshape_annotations//test_auto_move//signs_mov/1727.mov" TargetMode="External"/><Relationship Id="rId14598" Type="http://schemas.openxmlformats.org/officeDocument/2006/relationships/hyperlink" Target="http://secrets.rutgers.edu:8080/data/asl-ftp/asllvd/demos/verify_start_end_handshape_annotations//test_auto_move//signs_mov_separ_signers/Liz_1727.mov" TargetMode="External"/><Relationship Id="rId14599" Type="http://schemas.openxmlformats.org/officeDocument/2006/relationships/hyperlink" Target="http://csr.bu.edu/ftp/asl/asllvd/demos/verify_start_end_handshape_annotations//test_auto_move//signs_mov_separ_signers/Brady_1727.mov" TargetMode="External"/><Relationship Id="rId14600" Type="http://schemas.openxmlformats.org/officeDocument/2006/relationships/hyperlink" Target="http://secrets.rutgers.edu:8080/data/asl-ftp/asllvd/demos/verify_start_end_handshape_annotations//test_auto_move//signs_mov_separ_signers/Brady_1727.mov" TargetMode="External"/><Relationship Id="rId14601" Type="http://schemas.openxmlformats.org/officeDocument/2006/relationships/hyperlink" Target="http://csr.bu.edu/ftp/asl/asllvd/demos/verify_start_end_handshape_annotations//test_auto_move//signs_mov/1729.mov" TargetMode="External"/><Relationship Id="rId14602" Type="http://schemas.openxmlformats.org/officeDocument/2006/relationships/hyperlink" Target="http://csr.bu.edu/ftp/asl/asllvd/demos/verify_start_end_handshape_annotations//test_auto_move//signs_mov_separ_signers/Liz_1729.mov" TargetMode="External"/><Relationship Id="rId14603" Type="http://schemas.openxmlformats.org/officeDocument/2006/relationships/hyperlink" Target="http://secrets.rutgers.edu:8080/data/asl-ftp/asllvd/demos/verify_start_end_handshape_annotations//test_auto_move//signs_mov/1729.mov" TargetMode="External"/><Relationship Id="rId14604" Type="http://schemas.openxmlformats.org/officeDocument/2006/relationships/hyperlink" Target="http://secrets.rutgers.edu:8080/data/asl-ftp/asllvd/demos/verify_start_end_handshape_annotations//test_auto_move//signs_mov_separ_signers/Liz_1729.mov" TargetMode="External"/><Relationship Id="rId14605" Type="http://schemas.openxmlformats.org/officeDocument/2006/relationships/hyperlink" Target="http://csr.bu.edu/ftp/asl/asllvd/demos/verify_start_end_handshape_annotations//test_auto_move//signs_mov_separ_signers/Brady_1729.mov" TargetMode="External"/><Relationship Id="rId14606" Type="http://schemas.openxmlformats.org/officeDocument/2006/relationships/hyperlink" Target="http://secrets.rutgers.edu:8080/data/asl-ftp/asllvd/demos/verify_start_end_handshape_annotations//test_auto_move//signs_mov_separ_signers/Brady_1729.mov" TargetMode="External"/><Relationship Id="rId14607" Type="http://schemas.openxmlformats.org/officeDocument/2006/relationships/hyperlink" Target="http://csr.bu.edu/ftp/asl/asllvd/demos/verify_start_end_handshape_annotations//test_auto_move//signs_mov/1731.mov" TargetMode="External"/><Relationship Id="rId14608" Type="http://schemas.openxmlformats.org/officeDocument/2006/relationships/hyperlink" Target="http://csr.bu.edu/ftp/asl/asllvd/demos/verify_start_end_handshape_annotations//test_auto_move//signs_mov_separ_signers/Liz_1731.mov" TargetMode="External"/><Relationship Id="rId14609" Type="http://schemas.openxmlformats.org/officeDocument/2006/relationships/hyperlink" Target="http://secrets.rutgers.edu:8080/data/asl-ftp/asllvd/demos/verify_start_end_handshape_annotations//test_auto_move//signs_mov/1731.mov" TargetMode="External"/><Relationship Id="rId14610" Type="http://schemas.openxmlformats.org/officeDocument/2006/relationships/hyperlink" Target="http://secrets.rutgers.edu:8080/data/asl-ftp/asllvd/demos/verify_start_end_handshape_annotations//test_auto_move//signs_mov_separ_signers/Liz_1731.mov" TargetMode="External"/><Relationship Id="rId14611" Type="http://schemas.openxmlformats.org/officeDocument/2006/relationships/hyperlink" Target="http://csr.bu.edu/ftp/asl/asllvd/demos/verify_start_end_handshape_annotations//test_auto_move//signs_mov_separ_signers/Brady_1731.mov" TargetMode="External"/><Relationship Id="rId14612" Type="http://schemas.openxmlformats.org/officeDocument/2006/relationships/hyperlink" Target="http://secrets.rutgers.edu:8080/data/asl-ftp/asllvd/demos/verify_start_end_handshape_annotations//test_auto_move//signs_mov_separ_signers/Brady_1731.mov" TargetMode="External"/><Relationship Id="rId14613" Type="http://schemas.openxmlformats.org/officeDocument/2006/relationships/hyperlink" Target="http://csr.bu.edu/ftp/asl/asllvd/demos/verify_start_end_handshape_annotations//test_auto_move//signs_mov_separ_signers/Liz_1732.mov" TargetMode="External"/><Relationship Id="rId14614" Type="http://schemas.openxmlformats.org/officeDocument/2006/relationships/hyperlink" Target="http://secrets.rutgers.edu:8080/data/asl-ftp/asllvd/demos/verify_start_end_handshape_annotations//test_auto_move//signs_mov_separ_signers/Liz_1732.mov" TargetMode="External"/><Relationship Id="rId14615" Type="http://schemas.openxmlformats.org/officeDocument/2006/relationships/hyperlink" Target="http://csr.bu.edu/ftp/asl/asllvd/demos/verify_start_end_handshape_annotations//test_auto_move//signs_mov_separ_signers/Liz_3707.mov" TargetMode="External"/><Relationship Id="rId14616" Type="http://schemas.openxmlformats.org/officeDocument/2006/relationships/hyperlink" Target="http://secrets.rutgers.edu:8080/data/asl-ftp/asllvd/demos/verify_start_end_handshape_annotations//test_auto_move//signs_mov_separ_signers/Liz_3707.mov" TargetMode="External"/><Relationship Id="rId14617" Type="http://schemas.openxmlformats.org/officeDocument/2006/relationships/hyperlink" Target="http://csr.bu.edu/ftp/asl/asllvd/demos/verify_start_end_handshape_annotations//test_auto_move//signs_mov/1732_3707_15257_merged.mov" TargetMode="External"/><Relationship Id="rId14618" Type="http://schemas.openxmlformats.org/officeDocument/2006/relationships/hyperlink" Target="http://csr.bu.edu/ftp/asl/asllvd/demos/verify_start_end_handshape_annotations//test_auto_move//signs_mov_separ_signers/Brady_1732.mov" TargetMode="External"/><Relationship Id="rId14619" Type="http://schemas.openxmlformats.org/officeDocument/2006/relationships/hyperlink" Target="http://secrets.rutgers.edu:8080/data/asl-ftp/asllvd/demos/verify_start_end_handshape_annotations//test_auto_move//signs_mov/1732_3707_15257_merged.mov" TargetMode="External"/><Relationship Id="rId14620" Type="http://schemas.openxmlformats.org/officeDocument/2006/relationships/hyperlink" Target="http://secrets.rutgers.edu:8080/data/asl-ftp/asllvd/demos/verify_start_end_handshape_annotations//test_auto_move//signs_mov_separ_signers/Brady_1732.mov" TargetMode="External"/><Relationship Id="rId14621" Type="http://schemas.openxmlformats.org/officeDocument/2006/relationships/hyperlink" Target="http://csr.bu.edu/ftp/asl/asllvd/demos/verify_start_end_handshape_annotations//test_auto_move//signs_mov_separ_signers/Brady_3707.mov" TargetMode="External"/><Relationship Id="rId14622" Type="http://schemas.openxmlformats.org/officeDocument/2006/relationships/hyperlink" Target="http://secrets.rutgers.edu:8080/data/asl-ftp/asllvd/demos/verify_start_end_handshape_annotations//test_auto_move//signs_mov_separ_signers/Brady_3707.mov" TargetMode="External"/><Relationship Id="rId14623" Type="http://schemas.openxmlformats.org/officeDocument/2006/relationships/hyperlink" Target="http://csr.bu.edu/ftp/asl/asllvd/demos/verify_start_end_handshape_annotations//test_auto_move//signs_mov_separ_signers/Brady_15257.mov" TargetMode="External"/><Relationship Id="rId14624" Type="http://schemas.openxmlformats.org/officeDocument/2006/relationships/hyperlink" Target="http://secrets.rutgers.edu:8080/data/asl-ftp/asllvd/demos/verify_start_end_handshape_annotations//test_auto_move//signs_mov_separ_signers/Brady_15257.mov" TargetMode="External"/><Relationship Id="rId14625" Type="http://schemas.openxmlformats.org/officeDocument/2006/relationships/hyperlink" Target="http://csr.bu.edu/ftp/asl/asllvd/demos/verify_start_end_handshape_annotations//test_auto_move//signs_mov/16443.mov" TargetMode="External"/><Relationship Id="rId14626" Type="http://schemas.openxmlformats.org/officeDocument/2006/relationships/hyperlink" Target="http://csr.bu.edu/ftp/asl/asllvd/demos/verify_start_end_handshape_annotations//test_auto_move//signs_mov_separ_signers/Liz_16443.mov" TargetMode="External"/><Relationship Id="rId14627" Type="http://schemas.openxmlformats.org/officeDocument/2006/relationships/hyperlink" Target="http://secrets.rutgers.edu:8080/data/asl-ftp/asllvd/demos/verify_start_end_handshape_annotations//test_auto_move//signs_mov/16443.mov" TargetMode="External"/><Relationship Id="rId14628" Type="http://schemas.openxmlformats.org/officeDocument/2006/relationships/hyperlink" Target="http://secrets.rutgers.edu:8080/data/asl-ftp/asllvd/demos/verify_start_end_handshape_annotations//test_auto_move//signs_mov_separ_signers/Liz_16443.mov" TargetMode="External"/><Relationship Id="rId14629" Type="http://schemas.openxmlformats.org/officeDocument/2006/relationships/hyperlink" Target="http://csr.bu.edu/ftp/asl/asllvd/demos/verify_start_end_handshape_annotations//test_auto_move//signs_mov/1734.mov" TargetMode="External"/><Relationship Id="rId14630" Type="http://schemas.openxmlformats.org/officeDocument/2006/relationships/hyperlink" Target="http://csr.bu.edu/ftp/asl/asllvd/demos/verify_start_end_handshape_annotations//test_auto_move//signs_mov_separ_signers/Liz_1734.mov" TargetMode="External"/><Relationship Id="rId14631" Type="http://schemas.openxmlformats.org/officeDocument/2006/relationships/hyperlink" Target="http://secrets.rutgers.edu:8080/data/asl-ftp/asllvd/demos/verify_start_end_handshape_annotations//test_auto_move//signs_mov/1734.mov" TargetMode="External"/><Relationship Id="rId14632" Type="http://schemas.openxmlformats.org/officeDocument/2006/relationships/hyperlink" Target="http://secrets.rutgers.edu:8080/data/asl-ftp/asllvd/demos/verify_start_end_handshape_annotations//test_auto_move//signs_mov_separ_signers/Liz_1734.mov" TargetMode="External"/><Relationship Id="rId14633" Type="http://schemas.openxmlformats.org/officeDocument/2006/relationships/hyperlink" Target="http://csr.bu.edu/ftp/asl/asllvd/demos/verify_start_end_handshape_annotations//test_auto_move//signs_mov_separ_signers/Brady_1734.mov" TargetMode="External"/><Relationship Id="rId14634" Type="http://schemas.openxmlformats.org/officeDocument/2006/relationships/hyperlink" Target="http://secrets.rutgers.edu:8080/data/asl-ftp/asllvd/demos/verify_start_end_handshape_annotations//test_auto_move//signs_mov_separ_signers/Brady_1734.mov" TargetMode="External"/><Relationship Id="rId14635" Type="http://schemas.openxmlformats.org/officeDocument/2006/relationships/hyperlink" Target="http://csr.bu.edu/ftp/asl/asllvd/demos/verify_start_end_handshape_annotations//test_auto_move//signs_mov/1735.mov" TargetMode="External"/><Relationship Id="rId14636" Type="http://schemas.openxmlformats.org/officeDocument/2006/relationships/hyperlink" Target="http://csr.bu.edu/ftp/asl/asllvd/demos/verify_start_end_handshape_annotations//test_auto_move//signs_mov_separ_signers/Liz_1735.mov" TargetMode="External"/><Relationship Id="rId14637" Type="http://schemas.openxmlformats.org/officeDocument/2006/relationships/hyperlink" Target="http://secrets.rutgers.edu:8080/data/asl-ftp/asllvd/demos/verify_start_end_handshape_annotations//test_auto_move//signs_mov/1735.mov" TargetMode="External"/><Relationship Id="rId14638" Type="http://schemas.openxmlformats.org/officeDocument/2006/relationships/hyperlink" Target="http://secrets.rutgers.edu:8080/data/asl-ftp/asllvd/demos/verify_start_end_handshape_annotations//test_auto_move//signs_mov_separ_signers/Liz_1735.mov" TargetMode="External"/><Relationship Id="rId14639" Type="http://schemas.openxmlformats.org/officeDocument/2006/relationships/hyperlink" Target="http://csr.bu.edu/ftp/asl/asllvd/demos/verify_start_end_handshape_annotations//test_auto_move//signs_mov_separ_signers/Brady_1735.mov" TargetMode="External"/><Relationship Id="rId14640" Type="http://schemas.openxmlformats.org/officeDocument/2006/relationships/hyperlink" Target="http://secrets.rutgers.edu:8080/data/asl-ftp/asllvd/demos/verify_start_end_handshape_annotations//test_auto_move//signs_mov_separ_signers/Brady_1735.mov" TargetMode="External"/><Relationship Id="rId14641" Type="http://schemas.openxmlformats.org/officeDocument/2006/relationships/hyperlink" Target="http://csr.bu.edu/ftp/asl/asllvd/demos/verify_start_end_handshape_annotations//test_auto_move//signs_mov_separ_signers/Liz_1736.mov" TargetMode="External"/><Relationship Id="rId14642" Type="http://schemas.openxmlformats.org/officeDocument/2006/relationships/hyperlink" Target="http://secrets.rutgers.edu:8080/data/asl-ftp/asllvd/demos/verify_start_end_handshape_annotations//test_auto_move//signs_mov_separ_signers/Liz_1736.mov" TargetMode="External"/><Relationship Id="rId14643" Type="http://schemas.openxmlformats.org/officeDocument/2006/relationships/hyperlink" Target="http://csr.bu.edu/ftp/asl/asllvd/demos/verify_start_end_handshape_annotations//test_auto_move//signs_mov/1736.mov" TargetMode="External"/><Relationship Id="rId14644" Type="http://schemas.openxmlformats.org/officeDocument/2006/relationships/hyperlink" Target="http://csr.bu.edu/ftp/asl/asllvd/demos/verify_start_end_handshape_annotations//test_auto_move//signs_mov_separ_signers/Brady_1736.mov" TargetMode="External"/><Relationship Id="rId14645" Type="http://schemas.openxmlformats.org/officeDocument/2006/relationships/hyperlink" Target="http://secrets.rutgers.edu:8080/data/asl-ftp/asllvd/demos/verify_start_end_handshape_annotations//test_auto_move//signs_mov/1736.mov" TargetMode="External"/><Relationship Id="rId14646" Type="http://schemas.openxmlformats.org/officeDocument/2006/relationships/hyperlink" Target="http://secrets.rutgers.edu:8080/data/asl-ftp/asllvd/demos/verify_start_end_handshape_annotations//test_auto_move//signs_mov_separ_signers/Brady_1736.mov" TargetMode="External"/><Relationship Id="rId14647" Type="http://schemas.openxmlformats.org/officeDocument/2006/relationships/hyperlink" Target="http://csr.bu.edu/ftp/asl/asllvd/demos/verify_start_end_handshape_annotations//test_auto_move//signs_mov_separ_signers/Lana_1736.mov" TargetMode="External"/><Relationship Id="rId14648" Type="http://schemas.openxmlformats.org/officeDocument/2006/relationships/hyperlink" Target="http://secrets.rutgers.edu:8080/data/asl-ftp/asllvd/demos/verify_start_end_handshape_annotations//test_auto_move//signs_mov_separ_signers/Lana_1736.mov" TargetMode="External"/><Relationship Id="rId14649" Type="http://schemas.openxmlformats.org/officeDocument/2006/relationships/hyperlink" Target="http://csr.bu.edu/ftp/asl/asllvd/demos/verify_start_end_handshape_annotations//test_auto_move//signs_mov_separ_signers/Dana_1736.mov" TargetMode="External"/><Relationship Id="rId14650" Type="http://schemas.openxmlformats.org/officeDocument/2006/relationships/hyperlink" Target="http://secrets.rutgers.edu:8080/data/asl-ftp/asllvd/demos/verify_start_end_handshape_annotations//test_auto_move//signs_mov_separ_signers/Dana_1736.mov" TargetMode="External"/><Relationship Id="rId14651" Type="http://schemas.openxmlformats.org/officeDocument/2006/relationships/hyperlink" Target="http://csr.bu.edu/ftp/asl/asllvd/demos/verify_start_end_handshape_annotations//test_auto_move//signs_mov_separ_signers/Liz_1737.mov" TargetMode="External"/><Relationship Id="rId14652" Type="http://schemas.openxmlformats.org/officeDocument/2006/relationships/hyperlink" Target="http://secrets.rutgers.edu:8080/data/asl-ftp/asllvd/demos/verify_start_end_handshape_annotations//test_auto_move//signs_mov_separ_signers/Liz_1737.mov" TargetMode="External"/><Relationship Id="rId14653" Type="http://schemas.openxmlformats.org/officeDocument/2006/relationships/hyperlink" Target="http://csr.bu.edu/ftp/asl/asllvd/demos/verify_start_end_handshape_annotations//test_auto_move//signs_mov/1737.mov" TargetMode="External"/><Relationship Id="rId14654" Type="http://schemas.openxmlformats.org/officeDocument/2006/relationships/hyperlink" Target="http://csr.bu.edu/ftp/asl/asllvd/demos/verify_start_end_handshape_annotations//test_auto_move//signs_mov_separ_signers/Brady_1737.mov" TargetMode="External"/><Relationship Id="rId14655" Type="http://schemas.openxmlformats.org/officeDocument/2006/relationships/hyperlink" Target="http://secrets.rutgers.edu:8080/data/asl-ftp/asllvd/demos/verify_start_end_handshape_annotations//test_auto_move//signs_mov/1737.mov" TargetMode="External"/><Relationship Id="rId14656" Type="http://schemas.openxmlformats.org/officeDocument/2006/relationships/hyperlink" Target="http://secrets.rutgers.edu:8080/data/asl-ftp/asllvd/demos/verify_start_end_handshape_annotations//test_auto_move//signs_mov_separ_signers/Brady_1737.mov" TargetMode="External"/><Relationship Id="rId14657" Type="http://schemas.openxmlformats.org/officeDocument/2006/relationships/hyperlink" Target="http://csr.bu.edu/ftp/asl/asllvd/demos/verify_start_end_handshape_annotations//test_auto_move//signs_mov_separ_signers/Lana_1737.mov" TargetMode="External"/><Relationship Id="rId14658" Type="http://schemas.openxmlformats.org/officeDocument/2006/relationships/hyperlink" Target="http://secrets.rutgers.edu:8080/data/asl-ftp/asllvd/demos/verify_start_end_handshape_annotations//test_auto_move//signs_mov_separ_signers/Lana_1737.mov" TargetMode="External"/><Relationship Id="rId14659" Type="http://schemas.openxmlformats.org/officeDocument/2006/relationships/hyperlink" Target="http://csr.bu.edu/ftp/asl/asllvd/demos/verify_start_end_handshape_annotations//test_auto_move//signs_mov_separ_signers/Dana_1737.mov" TargetMode="External"/><Relationship Id="rId14660" Type="http://schemas.openxmlformats.org/officeDocument/2006/relationships/hyperlink" Target="http://secrets.rutgers.edu:8080/data/asl-ftp/asllvd/demos/verify_start_end_handshape_annotations//test_auto_move//signs_mov_separ_signers/Dana_1737.mov" TargetMode="External"/><Relationship Id="rId14661" Type="http://schemas.openxmlformats.org/officeDocument/2006/relationships/hyperlink" Target="http://csr.bu.edu/ftp/asl/asllvd/demos/verify_start_end_handshape_annotations//test_auto_move//signs_mov/16037.mov" TargetMode="External"/><Relationship Id="rId14662" Type="http://schemas.openxmlformats.org/officeDocument/2006/relationships/hyperlink" Target="http://csr.bu.edu/ftp/asl/asllvd/demos/verify_start_end_handshape_annotations//test_auto_move//signs_mov_separ_signers/Liz_16037.mov" TargetMode="External"/><Relationship Id="rId14663" Type="http://schemas.openxmlformats.org/officeDocument/2006/relationships/hyperlink" Target="http://secrets.rutgers.edu:8080/data/asl-ftp/asllvd/demos/verify_start_end_handshape_annotations//test_auto_move//signs_mov/16037.mov" TargetMode="External"/><Relationship Id="rId14664" Type="http://schemas.openxmlformats.org/officeDocument/2006/relationships/hyperlink" Target="http://secrets.rutgers.edu:8080/data/asl-ftp/asllvd/demos/verify_start_end_handshape_annotations//test_auto_move//signs_mov_separ_signers/Liz_16037.mov" TargetMode="External"/><Relationship Id="rId14665" Type="http://schemas.openxmlformats.org/officeDocument/2006/relationships/hyperlink" Target="http://csr.bu.edu/ftp/asl/asllvd/demos/verify_start_end_handshape_annotations//test_auto_move//signs_mov_separ_signers/Brady_16037.mov" TargetMode="External"/><Relationship Id="rId14666" Type="http://schemas.openxmlformats.org/officeDocument/2006/relationships/hyperlink" Target="http://secrets.rutgers.edu:8080/data/asl-ftp/asllvd/demos/verify_start_end_handshape_annotations//test_auto_move//signs_mov_separ_signers/Brady_16037.mov" TargetMode="External"/><Relationship Id="rId14667" Type="http://schemas.openxmlformats.org/officeDocument/2006/relationships/hyperlink" Target="http://csr.bu.edu/ftp/asl/asllvd/demos/verify_start_end_handshape_annotations//test_auto_move//signs_mov_separ_signers/Liz_1742.mov" TargetMode="External"/><Relationship Id="rId14668" Type="http://schemas.openxmlformats.org/officeDocument/2006/relationships/hyperlink" Target="http://secrets.rutgers.edu:8080/data/asl-ftp/asllvd/demos/verify_start_end_handshape_annotations//test_auto_move//signs_mov_separ_signers/Liz_1742.mov" TargetMode="External"/><Relationship Id="rId14669" Type="http://schemas.openxmlformats.org/officeDocument/2006/relationships/hyperlink" Target="http://csr.bu.edu/ftp/asl/asllvd/demos/verify_start_end_handshape_annotations//test_auto_move//signs_mov/1742.mov" TargetMode="External"/><Relationship Id="rId14670" Type="http://schemas.openxmlformats.org/officeDocument/2006/relationships/hyperlink" Target="http://csr.bu.edu/ftp/asl/asllvd/demos/verify_start_end_handshape_annotations//test_auto_move//signs_mov_separ_signers/Brady_1742.mov" TargetMode="External"/><Relationship Id="rId14671" Type="http://schemas.openxmlformats.org/officeDocument/2006/relationships/hyperlink" Target="http://secrets.rutgers.edu:8080/data/asl-ftp/asllvd/demos/verify_start_end_handshape_annotations//test_auto_move//signs_mov/1742.mov" TargetMode="External"/><Relationship Id="rId14672" Type="http://schemas.openxmlformats.org/officeDocument/2006/relationships/hyperlink" Target="http://secrets.rutgers.edu:8080/data/asl-ftp/asllvd/demos/verify_start_end_handshape_annotations//test_auto_move//signs_mov_separ_signers/Brady_1742.mov" TargetMode="External"/><Relationship Id="rId14673" Type="http://schemas.openxmlformats.org/officeDocument/2006/relationships/hyperlink" Target="http://csr.bu.edu/ftp/asl/asllvd/demos/verify_start_end_handshape_annotations//test_auto_move//signs_mov_separ_signers/Lana_1742.mov" TargetMode="External"/><Relationship Id="rId14674" Type="http://schemas.openxmlformats.org/officeDocument/2006/relationships/hyperlink" Target="http://secrets.rutgers.edu:8080/data/asl-ftp/asllvd/demos/verify_start_end_handshape_annotations//test_auto_move//signs_mov_separ_signers/Lana_1742.mov" TargetMode="External"/><Relationship Id="rId14675" Type="http://schemas.openxmlformats.org/officeDocument/2006/relationships/hyperlink" Target="http://csr.bu.edu/ftp/asl/asllvd/demos/verify_start_end_handshape_annotations//test_auto_move//signs_mov_separ_signers/Dana_1742.mov" TargetMode="External"/><Relationship Id="rId14676" Type="http://schemas.openxmlformats.org/officeDocument/2006/relationships/hyperlink" Target="http://secrets.rutgers.edu:8080/data/asl-ftp/asllvd/demos/verify_start_end_handshape_annotations//test_auto_move//signs_mov_separ_signers/Dana_1742.mov" TargetMode="External"/><Relationship Id="rId14677" Type="http://schemas.openxmlformats.org/officeDocument/2006/relationships/hyperlink" Target="http://csr.bu.edu/ftp/asl/asllvd/demos/verify_start_end_handshape_annotations//test_auto_move//signs_mov/1748.mov" TargetMode="External"/><Relationship Id="rId14678" Type="http://schemas.openxmlformats.org/officeDocument/2006/relationships/hyperlink" Target="http://csr.bu.edu/ftp/asl/asllvd/demos/verify_start_end_handshape_annotations//test_auto_move//signs_mov_separ_signers/Liz_1748.mov" TargetMode="External"/><Relationship Id="rId14679" Type="http://schemas.openxmlformats.org/officeDocument/2006/relationships/hyperlink" Target="http://secrets.rutgers.edu:8080/data/asl-ftp/asllvd/demos/verify_start_end_handshape_annotations//test_auto_move//signs_mov/1748.mov" TargetMode="External"/><Relationship Id="rId14680" Type="http://schemas.openxmlformats.org/officeDocument/2006/relationships/hyperlink" Target="http://secrets.rutgers.edu:8080/data/asl-ftp/asllvd/demos/verify_start_end_handshape_annotations//test_auto_move//signs_mov_separ_signers/Liz_1748.mov" TargetMode="External"/><Relationship Id="rId14681" Type="http://schemas.openxmlformats.org/officeDocument/2006/relationships/hyperlink" Target="http://csr.bu.edu/ftp/asl/asllvd/demos/verify_start_end_handshape_annotations//test_auto_move//signs_mov_separ_signers/Brady_1748.mov" TargetMode="External"/><Relationship Id="rId14682" Type="http://schemas.openxmlformats.org/officeDocument/2006/relationships/hyperlink" Target="http://secrets.rutgers.edu:8080/data/asl-ftp/asllvd/demos/verify_start_end_handshape_annotations//test_auto_move//signs_mov_separ_signers/Brady_1748.mov" TargetMode="External"/><Relationship Id="rId14683" Type="http://schemas.openxmlformats.org/officeDocument/2006/relationships/hyperlink" Target="http://csr.bu.edu/ftp/asl/asllvd/demos/verify_start_end_handshape_annotations//test_auto_move//signs_mov_separ_signers/Liz_1752.mov" TargetMode="External"/><Relationship Id="rId14684" Type="http://schemas.openxmlformats.org/officeDocument/2006/relationships/hyperlink" Target="http://secrets.rutgers.edu:8080/data/asl-ftp/asllvd/demos/verify_start_end_handshape_annotations//test_auto_move//signs_mov_separ_signers/Liz_1752.mov" TargetMode="External"/><Relationship Id="rId14685" Type="http://schemas.openxmlformats.org/officeDocument/2006/relationships/hyperlink" Target="http://csr.bu.edu/ftp/asl/asllvd/demos/verify_start_end_handshape_annotations//test_auto_move//signs_mov/1752_3708_merged.mov" TargetMode="External"/><Relationship Id="rId14686" Type="http://schemas.openxmlformats.org/officeDocument/2006/relationships/hyperlink" Target="http://csr.bu.edu/ftp/asl/asllvd/demos/verify_start_end_handshape_annotations//test_auto_move//signs_mov_separ_signers/Liz_3708.mov" TargetMode="External"/><Relationship Id="rId14687" Type="http://schemas.openxmlformats.org/officeDocument/2006/relationships/hyperlink" Target="http://secrets.rutgers.edu:8080/data/asl-ftp/asllvd/demos/verify_start_end_handshape_annotations//test_auto_move//signs_mov/1752_3708_merged.mov" TargetMode="External"/><Relationship Id="rId14688" Type="http://schemas.openxmlformats.org/officeDocument/2006/relationships/hyperlink" Target="http://secrets.rutgers.edu:8080/data/asl-ftp/asllvd/demos/verify_start_end_handshape_annotations//test_auto_move//signs_mov_separ_signers/Liz_3708.mov" TargetMode="External"/><Relationship Id="rId14689" Type="http://schemas.openxmlformats.org/officeDocument/2006/relationships/hyperlink" Target="http://csr.bu.edu/ftp/asl/asllvd/demos/verify_start_end_handshape_annotations//test_auto_move//signs_mov_separ_signers/Brady_1752.mov" TargetMode="External"/><Relationship Id="rId14690" Type="http://schemas.openxmlformats.org/officeDocument/2006/relationships/hyperlink" Target="http://secrets.rutgers.edu:8080/data/asl-ftp/asllvd/demos/verify_start_end_handshape_annotations//test_auto_move//signs_mov_separ_signers/Brady_1752.mov" TargetMode="External"/><Relationship Id="rId14691" Type="http://schemas.openxmlformats.org/officeDocument/2006/relationships/hyperlink" Target="http://csr.bu.edu/ftp/asl/asllvd/demos/verify_start_end_handshape_annotations//test_auto_move//signs_mov/4566.mov" TargetMode="External"/><Relationship Id="rId14692" Type="http://schemas.openxmlformats.org/officeDocument/2006/relationships/hyperlink" Target="http://csr.bu.edu/ftp/asl/asllvd/demos/verify_start_end_handshape_annotations//test_auto_move//signs_mov_separ_signers/Brady_4566.mov" TargetMode="External"/><Relationship Id="rId14693" Type="http://schemas.openxmlformats.org/officeDocument/2006/relationships/hyperlink" Target="http://secrets.rutgers.edu:8080/data/asl-ftp/asllvd/demos/verify_start_end_handshape_annotations//test_auto_move//signs_mov/4566.mov" TargetMode="External"/><Relationship Id="rId14694" Type="http://schemas.openxmlformats.org/officeDocument/2006/relationships/hyperlink" Target="http://secrets.rutgers.edu:8080/data/asl-ftp/asllvd/demos/verify_start_end_handshape_annotations//test_auto_move//signs_mov_separ_signers/Brady_4566.mov" TargetMode="External"/><Relationship Id="rId14695" Type="http://schemas.openxmlformats.org/officeDocument/2006/relationships/hyperlink" Target="http://csr.bu.edu/ftp/asl/asllvd/demos/verify_start_end_handshape_annotations//test_auto_move//signs_mov_separ_signers/Lana_4566.mov" TargetMode="External"/><Relationship Id="rId14696" Type="http://schemas.openxmlformats.org/officeDocument/2006/relationships/hyperlink" Target="http://secrets.rutgers.edu:8080/data/asl-ftp/asllvd/demos/verify_start_end_handshape_annotations//test_auto_move//signs_mov_separ_signers/Lana_4566.mov" TargetMode="External"/><Relationship Id="rId14697" Type="http://schemas.openxmlformats.org/officeDocument/2006/relationships/hyperlink" Target="http://csr.bu.edu/ftp/asl/asllvd/demos/verify_start_end_handshape_annotations//test_auto_move//signs_mov/1755.mov" TargetMode="External"/><Relationship Id="rId14698" Type="http://schemas.openxmlformats.org/officeDocument/2006/relationships/hyperlink" Target="http://csr.bu.edu/ftp/asl/asllvd/demos/verify_start_end_handshape_annotations//test_auto_move//signs_mov_separ_signers/Liz_1755.mov" TargetMode="External"/><Relationship Id="rId14699" Type="http://schemas.openxmlformats.org/officeDocument/2006/relationships/hyperlink" Target="http://secrets.rutgers.edu:8080/data/asl-ftp/asllvd/demos/verify_start_end_handshape_annotations//test_auto_move//signs_mov/1755.mov" TargetMode="External"/><Relationship Id="rId14700" Type="http://schemas.openxmlformats.org/officeDocument/2006/relationships/hyperlink" Target="http://secrets.rutgers.edu:8080/data/asl-ftp/asllvd/demos/verify_start_end_handshape_annotations//test_auto_move//signs_mov_separ_signers/Liz_1755.mov" TargetMode="External"/><Relationship Id="rId14701" Type="http://schemas.openxmlformats.org/officeDocument/2006/relationships/hyperlink" Target="http://csr.bu.edu/ftp/asl/asllvd/demos/verify_start_end_handshape_annotations//test_auto_move//signs_mov_separ_signers/Brady_1755.mov" TargetMode="External"/><Relationship Id="rId14702" Type="http://schemas.openxmlformats.org/officeDocument/2006/relationships/hyperlink" Target="http://secrets.rutgers.edu:8080/data/asl-ftp/asllvd/demos/verify_start_end_handshape_annotations//test_auto_move//signs_mov_separ_signers/Brady_1755.mov" TargetMode="External"/><Relationship Id="rId14703" Type="http://schemas.openxmlformats.org/officeDocument/2006/relationships/hyperlink" Target="http://csr.bu.edu/ftp/asl/asllvd/demos/verify_start_end_handshape_annotations//test_auto_move//signs_mov/1757.mov" TargetMode="External"/><Relationship Id="rId14704" Type="http://schemas.openxmlformats.org/officeDocument/2006/relationships/hyperlink" Target="http://csr.bu.edu/ftp/asl/asllvd/demos/verify_start_end_handshape_annotations//test_auto_move//signs_mov_separ_signers/Liz_1757.mov" TargetMode="External"/><Relationship Id="rId14705" Type="http://schemas.openxmlformats.org/officeDocument/2006/relationships/hyperlink" Target="http://secrets.rutgers.edu:8080/data/asl-ftp/asllvd/demos/verify_start_end_handshape_annotations//test_auto_move//signs_mov/1757.mov" TargetMode="External"/><Relationship Id="rId14706" Type="http://schemas.openxmlformats.org/officeDocument/2006/relationships/hyperlink" Target="http://secrets.rutgers.edu:8080/data/asl-ftp/asllvd/demos/verify_start_end_handshape_annotations//test_auto_move//signs_mov_separ_signers/Liz_1757.mov" TargetMode="External"/><Relationship Id="rId14707" Type="http://schemas.openxmlformats.org/officeDocument/2006/relationships/hyperlink" Target="http://csr.bu.edu/ftp/asl/asllvd/demos/verify_start_end_handshape_annotations//test_auto_move//signs_mov/16258.mov" TargetMode="External"/><Relationship Id="rId14708" Type="http://schemas.openxmlformats.org/officeDocument/2006/relationships/hyperlink" Target="http://csr.bu.edu/ftp/asl/asllvd/demos/verify_start_end_handshape_annotations//test_auto_move//signs_mov_separ_signers/Brady_16258.mov" TargetMode="External"/><Relationship Id="rId14709" Type="http://schemas.openxmlformats.org/officeDocument/2006/relationships/hyperlink" Target="http://secrets.rutgers.edu:8080/data/asl-ftp/asllvd/demos/verify_start_end_handshape_annotations//test_auto_move//signs_mov/16258.mov" TargetMode="External"/><Relationship Id="rId14710" Type="http://schemas.openxmlformats.org/officeDocument/2006/relationships/hyperlink" Target="http://secrets.rutgers.edu:8080/data/asl-ftp/asllvd/demos/verify_start_end_handshape_annotations//test_auto_move//signs_mov_separ_signers/Brady_16258.mov" TargetMode="External"/><Relationship Id="rId14711" Type="http://schemas.openxmlformats.org/officeDocument/2006/relationships/hyperlink" Target="http://csr.bu.edu/ftp/asl/asllvd/demos/verify_start_end_handshape_annotations//test_auto_move//signs_mov/1759.mov" TargetMode="External"/><Relationship Id="rId14712" Type="http://schemas.openxmlformats.org/officeDocument/2006/relationships/hyperlink" Target="http://csr.bu.edu/ftp/asl/asllvd/demos/verify_start_end_handshape_annotations//test_auto_move//signs_mov_separ_signers/Liz_1759.mov" TargetMode="External"/><Relationship Id="rId14713" Type="http://schemas.openxmlformats.org/officeDocument/2006/relationships/hyperlink" Target="http://secrets.rutgers.edu:8080/data/asl-ftp/asllvd/demos/verify_start_end_handshape_annotations//test_auto_move//signs_mov/1759.mov" TargetMode="External"/><Relationship Id="rId14714" Type="http://schemas.openxmlformats.org/officeDocument/2006/relationships/hyperlink" Target="http://secrets.rutgers.edu:8080/data/asl-ftp/asllvd/demos/verify_start_end_handshape_annotations//test_auto_move//signs_mov_separ_signers/Liz_1759.mov" TargetMode="External"/><Relationship Id="rId14715" Type="http://schemas.openxmlformats.org/officeDocument/2006/relationships/hyperlink" Target="http://csr.bu.edu/ftp/asl/asllvd/demos/verify_start_end_handshape_annotations//test_auto_move//signs_mov_separ_signers/Brady_1759.mov" TargetMode="External"/><Relationship Id="rId14716" Type="http://schemas.openxmlformats.org/officeDocument/2006/relationships/hyperlink" Target="http://secrets.rutgers.edu:8080/data/asl-ftp/asllvd/demos/verify_start_end_handshape_annotations//test_auto_move//signs_mov_separ_signers/Brady_1759.mov" TargetMode="External"/><Relationship Id="rId14717" Type="http://schemas.openxmlformats.org/officeDocument/2006/relationships/hyperlink" Target="http://csr.bu.edu/ftp/asl/asllvd/demos/verify_start_end_handshape_annotations//test_auto_move//signs_mov/1760.mov" TargetMode="External"/><Relationship Id="rId14718" Type="http://schemas.openxmlformats.org/officeDocument/2006/relationships/hyperlink" Target="http://csr.bu.edu/ftp/asl/asllvd/demos/verify_start_end_handshape_annotations//test_auto_move//signs_mov_separ_signers/Liz_1760.mov" TargetMode="External"/><Relationship Id="rId14719" Type="http://schemas.openxmlformats.org/officeDocument/2006/relationships/hyperlink" Target="http://secrets.rutgers.edu:8080/data/asl-ftp/asllvd/demos/verify_start_end_handshape_annotations//test_auto_move//signs_mov/1760.mov" TargetMode="External"/><Relationship Id="rId14720" Type="http://schemas.openxmlformats.org/officeDocument/2006/relationships/hyperlink" Target="http://secrets.rutgers.edu:8080/data/asl-ftp/asllvd/demos/verify_start_end_handshape_annotations//test_auto_move//signs_mov_separ_signers/Liz_1760.mov" TargetMode="External"/><Relationship Id="rId14721" Type="http://schemas.openxmlformats.org/officeDocument/2006/relationships/hyperlink" Target="http://csr.bu.edu/ftp/asl/asllvd/demos/verify_start_end_handshape_annotations//test_auto_move//signs_mov_separ_signers/Brady_1760.mov" TargetMode="External"/><Relationship Id="rId14722" Type="http://schemas.openxmlformats.org/officeDocument/2006/relationships/hyperlink" Target="http://secrets.rutgers.edu:8080/data/asl-ftp/asllvd/demos/verify_start_end_handshape_annotations//test_auto_move//signs_mov_separ_signers/Brady_1760.mov" TargetMode="External"/><Relationship Id="rId14723" Type="http://schemas.openxmlformats.org/officeDocument/2006/relationships/hyperlink" Target="http://csr.bu.edu/ftp/asl/asllvd/demos/verify_start_end_handshape_annotations//test_auto_move//signs_mov/1761.mov" TargetMode="External"/><Relationship Id="rId14724" Type="http://schemas.openxmlformats.org/officeDocument/2006/relationships/hyperlink" Target="http://csr.bu.edu/ftp/asl/asllvd/demos/verify_start_end_handshape_annotations//test_auto_move//signs_mov_separ_signers/Liz_1761.mov" TargetMode="External"/><Relationship Id="rId14725" Type="http://schemas.openxmlformats.org/officeDocument/2006/relationships/hyperlink" Target="http://secrets.rutgers.edu:8080/data/asl-ftp/asllvd/demos/verify_start_end_handshape_annotations//test_auto_move//signs_mov/1761.mov" TargetMode="External"/><Relationship Id="rId14726" Type="http://schemas.openxmlformats.org/officeDocument/2006/relationships/hyperlink" Target="http://secrets.rutgers.edu:8080/data/asl-ftp/asllvd/demos/verify_start_end_handshape_annotations//test_auto_move//signs_mov_separ_signers/Liz_1761.mov" TargetMode="External"/><Relationship Id="rId14727" Type="http://schemas.openxmlformats.org/officeDocument/2006/relationships/hyperlink" Target="http://csr.bu.edu/ftp/asl/asllvd/demos/verify_start_end_handshape_annotations//test_auto_move//signs_mov_separ_signers/Brady_1761.mov" TargetMode="External"/><Relationship Id="rId14728" Type="http://schemas.openxmlformats.org/officeDocument/2006/relationships/hyperlink" Target="http://secrets.rutgers.edu:8080/data/asl-ftp/asllvd/demos/verify_start_end_handshape_annotations//test_auto_move//signs_mov_separ_signers/Brady_1761.mov" TargetMode="External"/><Relationship Id="rId14729" Type="http://schemas.openxmlformats.org/officeDocument/2006/relationships/hyperlink" Target="http://csr.bu.edu/ftp/asl/asllvd/demos/verify_start_end_handshape_annotations//test_auto_move//signs_mov_separ_signers/Liz_16031.mov" TargetMode="External"/><Relationship Id="rId14730" Type="http://schemas.openxmlformats.org/officeDocument/2006/relationships/hyperlink" Target="http://secrets.rutgers.edu:8080/data/asl-ftp/asllvd/demos/verify_start_end_handshape_annotations//test_auto_move//signs_mov_separ_signers/Liz_16031.mov" TargetMode="External"/><Relationship Id="rId14731" Type="http://schemas.openxmlformats.org/officeDocument/2006/relationships/hyperlink" Target="http://csr.bu.edu/ftp/asl/asllvd/demos/verify_start_end_handshape_annotations//test_auto_move//signs_mov/16031.mov" TargetMode="External"/><Relationship Id="rId14732" Type="http://schemas.openxmlformats.org/officeDocument/2006/relationships/hyperlink" Target="http://csr.bu.edu/ftp/asl/asllvd/demos/verify_start_end_handshape_annotations//test_auto_move//signs_mov_separ_signers/Tyler_16031.mov" TargetMode="External"/><Relationship Id="rId14733" Type="http://schemas.openxmlformats.org/officeDocument/2006/relationships/hyperlink" Target="http://secrets.rutgers.edu:8080/data/asl-ftp/asllvd/demos/verify_start_end_handshape_annotations//test_auto_move//signs_mov/16031.mov" TargetMode="External"/><Relationship Id="rId14734" Type="http://schemas.openxmlformats.org/officeDocument/2006/relationships/hyperlink" Target="http://secrets.rutgers.edu:8080/data/asl-ftp/asllvd/demos/verify_start_end_handshape_annotations//test_auto_move//signs_mov_separ_signers/Tyler_16031.mov" TargetMode="External"/><Relationship Id="rId14735" Type="http://schemas.openxmlformats.org/officeDocument/2006/relationships/hyperlink" Target="http://csr.bu.edu/ftp/asl/asllvd/demos/verify_start_end_handshape_annotations//test_auto_move//signs_mov_separ_signers/Naomi_16031.mov" TargetMode="External"/><Relationship Id="rId14736" Type="http://schemas.openxmlformats.org/officeDocument/2006/relationships/hyperlink" Target="http://secrets.rutgers.edu:8080/data/asl-ftp/asllvd/demos/verify_start_end_handshape_annotations//test_auto_move//signs_mov_separ_signers/Naomi_16031.mov" TargetMode="External"/><Relationship Id="rId14737" Type="http://schemas.openxmlformats.org/officeDocument/2006/relationships/hyperlink" Target="http://csr.bu.edu/ftp/asl/asllvd/demos/verify_start_end_handshape_annotations//test_auto_move//signs_mov_separ_signers/Brady_16031.mov" TargetMode="External"/><Relationship Id="rId14738" Type="http://schemas.openxmlformats.org/officeDocument/2006/relationships/hyperlink" Target="http://secrets.rutgers.edu:8080/data/asl-ftp/asllvd/demos/verify_start_end_handshape_annotations//test_auto_move//signs_mov_separ_signers/Brady_16031.mov" TargetMode="External"/><Relationship Id="rId14739" Type="http://schemas.openxmlformats.org/officeDocument/2006/relationships/hyperlink" Target="http://csr.bu.edu/ftp/asl/asllvd/demos/verify_start_end_handshape_annotations//test_auto_move//signs_mov_separ_signers/Liz_16054.mov" TargetMode="External"/><Relationship Id="rId14740" Type="http://schemas.openxmlformats.org/officeDocument/2006/relationships/hyperlink" Target="http://secrets.rutgers.edu:8080/data/asl-ftp/asllvd/demos/verify_start_end_handshape_annotations//test_auto_move//signs_mov_separ_signers/Liz_16054.mov" TargetMode="External"/><Relationship Id="rId14741" Type="http://schemas.openxmlformats.org/officeDocument/2006/relationships/hyperlink" Target="http://csr.bu.edu/ftp/asl/asllvd/demos/verify_start_end_handshape_annotations//test_auto_move//signs_mov/16054.mov" TargetMode="External"/><Relationship Id="rId14742" Type="http://schemas.openxmlformats.org/officeDocument/2006/relationships/hyperlink" Target="http://csr.bu.edu/ftp/asl/asllvd/demos/verify_start_end_handshape_annotations//test_auto_move//signs_mov_separ_signers/Tyler_16054.mov" TargetMode="External"/><Relationship Id="rId14743" Type="http://schemas.openxmlformats.org/officeDocument/2006/relationships/hyperlink" Target="http://secrets.rutgers.edu:8080/data/asl-ftp/asllvd/demos/verify_start_end_handshape_annotations//test_auto_move//signs_mov/16054.mov" TargetMode="External"/><Relationship Id="rId14744" Type="http://schemas.openxmlformats.org/officeDocument/2006/relationships/hyperlink" Target="http://secrets.rutgers.edu:8080/data/asl-ftp/asllvd/demos/verify_start_end_handshape_annotations//test_auto_move//signs_mov_separ_signers/Tyler_16054.mov" TargetMode="External"/><Relationship Id="rId14745" Type="http://schemas.openxmlformats.org/officeDocument/2006/relationships/hyperlink" Target="http://csr.bu.edu/ftp/asl/asllvd/demos/verify_start_end_handshape_annotations//test_auto_move//signs_mov_separ_signers/Naomi_16054.mov" TargetMode="External"/><Relationship Id="rId14746" Type="http://schemas.openxmlformats.org/officeDocument/2006/relationships/hyperlink" Target="http://secrets.rutgers.edu:8080/data/asl-ftp/asllvd/demos/verify_start_end_handshape_annotations//test_auto_move//signs_mov_separ_signers/Naomi_16054.mov" TargetMode="External"/><Relationship Id="rId14747" Type="http://schemas.openxmlformats.org/officeDocument/2006/relationships/hyperlink" Target="http://csr.bu.edu/ftp/asl/asllvd/demos/verify_start_end_handshape_annotations//test_auto_move//signs_mov_separ_signers/Brady_16054.mov" TargetMode="External"/><Relationship Id="rId14748" Type="http://schemas.openxmlformats.org/officeDocument/2006/relationships/hyperlink" Target="http://secrets.rutgers.edu:8080/data/asl-ftp/asllvd/demos/verify_start_end_handshape_annotations//test_auto_move//signs_mov_separ_signers/Brady_16054.mov" TargetMode="External"/><Relationship Id="rId14749" Type="http://schemas.openxmlformats.org/officeDocument/2006/relationships/hyperlink" Target="http://csr.bu.edu/ftp/asl/asllvd/demos/verify_start_end_handshape_annotations//test_auto_move//signs_mov/16079.mov" TargetMode="External"/><Relationship Id="rId14750" Type="http://schemas.openxmlformats.org/officeDocument/2006/relationships/hyperlink" Target="http://csr.bu.edu/ftp/asl/asllvd/demos/verify_start_end_handshape_annotations//test_auto_move//signs_mov_separ_signers/Liz_16079.mov" TargetMode="External"/><Relationship Id="rId14751" Type="http://schemas.openxmlformats.org/officeDocument/2006/relationships/hyperlink" Target="http://secrets.rutgers.edu:8080/data/asl-ftp/asllvd/demos/verify_start_end_handshape_annotations//test_auto_move//signs_mov/16079.mov" TargetMode="External"/><Relationship Id="rId14752" Type="http://schemas.openxmlformats.org/officeDocument/2006/relationships/hyperlink" Target="http://secrets.rutgers.edu:8080/data/asl-ftp/asllvd/demos/verify_start_end_handshape_annotations//test_auto_move//signs_mov_separ_signers/Liz_16079.mov" TargetMode="External"/><Relationship Id="rId14753" Type="http://schemas.openxmlformats.org/officeDocument/2006/relationships/hyperlink" Target="http://csr.bu.edu/ftp/asl/asllvd/demos/verify_start_end_handshape_annotations//test_auto_move//signs_mov/1762.mov" TargetMode="External"/><Relationship Id="rId14754" Type="http://schemas.openxmlformats.org/officeDocument/2006/relationships/hyperlink" Target="http://csr.bu.edu/ftp/asl/asllvd/demos/verify_start_end_handshape_annotations//test_auto_move//signs_mov_separ_signers/Liz_1762.mov" TargetMode="External"/><Relationship Id="rId14755" Type="http://schemas.openxmlformats.org/officeDocument/2006/relationships/hyperlink" Target="http://secrets.rutgers.edu:8080/data/asl-ftp/asllvd/demos/verify_start_end_handshape_annotations//test_auto_move//signs_mov/1762.mov" TargetMode="External"/><Relationship Id="rId14756" Type="http://schemas.openxmlformats.org/officeDocument/2006/relationships/hyperlink" Target="http://secrets.rutgers.edu:8080/data/asl-ftp/asllvd/demos/verify_start_end_handshape_annotations//test_auto_move//signs_mov_separ_signers/Liz_1762.mov" TargetMode="External"/><Relationship Id="rId14757" Type="http://schemas.openxmlformats.org/officeDocument/2006/relationships/hyperlink" Target="http://csr.bu.edu/ftp/asl/asllvd/demos/verify_start_end_handshape_annotations//test_auto_move//signs_mov_separ_signers/Brady_1762.mov" TargetMode="External"/><Relationship Id="rId14758" Type="http://schemas.openxmlformats.org/officeDocument/2006/relationships/hyperlink" Target="http://secrets.rutgers.edu:8080/data/asl-ftp/asllvd/demos/verify_start_end_handshape_annotations//test_auto_move//signs_mov_separ_signers/Brady_1762.mov" TargetMode="External"/><Relationship Id="rId14759" Type="http://schemas.openxmlformats.org/officeDocument/2006/relationships/hyperlink" Target="http://csr.bu.edu/ftp/asl/asllvd/demos/verify_start_end_handshape_annotations//test_auto_move//signs_mov/1763.mov" TargetMode="External"/><Relationship Id="rId14760" Type="http://schemas.openxmlformats.org/officeDocument/2006/relationships/hyperlink" Target="http://csr.bu.edu/ftp/asl/asllvd/demos/verify_start_end_handshape_annotations//test_auto_move//signs_mov_separ_signers/Brady_1763.mov" TargetMode="External"/><Relationship Id="rId14761" Type="http://schemas.openxmlformats.org/officeDocument/2006/relationships/hyperlink" Target="http://secrets.rutgers.edu:8080/data/asl-ftp/asllvd/demos/verify_start_end_handshape_annotations//test_auto_move//signs_mov/1763.mov" TargetMode="External"/><Relationship Id="rId14762" Type="http://schemas.openxmlformats.org/officeDocument/2006/relationships/hyperlink" Target="http://secrets.rutgers.edu:8080/data/asl-ftp/asllvd/demos/verify_start_end_handshape_annotations//test_auto_move//signs_mov_separ_signers/Brady_1763.mov" TargetMode="External"/><Relationship Id="rId14763" Type="http://schemas.openxmlformats.org/officeDocument/2006/relationships/hyperlink" Target="http://csr.bu.edu/ftp/asl/asllvd/demos/verify_start_end_handshape_annotations//test_auto_move//signs_mov/15439.mov" TargetMode="External"/><Relationship Id="rId14764" Type="http://schemas.openxmlformats.org/officeDocument/2006/relationships/hyperlink" Target="http://csr.bu.edu/ftp/asl/asllvd/demos/verify_start_end_handshape_annotations//test_auto_move//signs_mov_separ_signers/Liz_15439.mov" TargetMode="External"/><Relationship Id="rId14765" Type="http://schemas.openxmlformats.org/officeDocument/2006/relationships/hyperlink" Target="http://secrets.rutgers.edu:8080/data/asl-ftp/asllvd/demos/verify_start_end_handshape_annotations//test_auto_move//signs_mov/15439.mov" TargetMode="External"/><Relationship Id="rId14766" Type="http://schemas.openxmlformats.org/officeDocument/2006/relationships/hyperlink" Target="http://secrets.rutgers.edu:8080/data/asl-ftp/asllvd/demos/verify_start_end_handshape_annotations//test_auto_move//signs_mov_separ_signers/Liz_15439.mov" TargetMode="External"/><Relationship Id="rId14767" Type="http://schemas.openxmlformats.org/officeDocument/2006/relationships/hyperlink" Target="http://csr.bu.edu/ftp/asl/asllvd/demos/verify_start_end_handshape_annotations//test_auto_move//signs_mov/16444.mov" TargetMode="External"/><Relationship Id="rId14768" Type="http://schemas.openxmlformats.org/officeDocument/2006/relationships/hyperlink" Target="http://csr.bu.edu/ftp/asl/asllvd/demos/verify_start_end_handshape_annotations//test_auto_move//signs_mov_separ_signers/Liz_16444.mov" TargetMode="External"/><Relationship Id="rId14769" Type="http://schemas.openxmlformats.org/officeDocument/2006/relationships/hyperlink" Target="http://secrets.rutgers.edu:8080/data/asl-ftp/asllvd/demos/verify_start_end_handshape_annotations//test_auto_move//signs_mov/16444.mov" TargetMode="External"/><Relationship Id="rId14770" Type="http://schemas.openxmlformats.org/officeDocument/2006/relationships/hyperlink" Target="http://secrets.rutgers.edu:8080/data/asl-ftp/asllvd/demos/verify_start_end_handshape_annotations//test_auto_move//signs_mov_separ_signers/Liz_16444.mov" TargetMode="External"/><Relationship Id="rId14771" Type="http://schemas.openxmlformats.org/officeDocument/2006/relationships/hyperlink" Target="http://csr.bu.edu/ftp/asl/asllvd/demos/verify_start_end_handshape_annotations//test_auto_move//signs_mov_separ_signers/Brady_16444.mov" TargetMode="External"/><Relationship Id="rId14772" Type="http://schemas.openxmlformats.org/officeDocument/2006/relationships/hyperlink" Target="http://secrets.rutgers.edu:8080/data/asl-ftp/asllvd/demos/verify_start_end_handshape_annotations//test_auto_move//signs_mov_separ_signers/Brady_16444.mov" TargetMode="External"/><Relationship Id="rId14773" Type="http://schemas.openxmlformats.org/officeDocument/2006/relationships/hyperlink" Target="http://csr.bu.edu/ftp/asl/asllvd/demos/verify_start_end_handshape_annotations//test_auto_move//signs_mov_separ_signers/Liz_1764.mov" TargetMode="External"/><Relationship Id="rId14774" Type="http://schemas.openxmlformats.org/officeDocument/2006/relationships/hyperlink" Target="http://secrets.rutgers.edu:8080/data/asl-ftp/asllvd/demos/verify_start_end_handshape_annotations//test_auto_move//signs_mov_separ_signers/Liz_1764.mov" TargetMode="External"/><Relationship Id="rId14775" Type="http://schemas.openxmlformats.org/officeDocument/2006/relationships/hyperlink" Target="http://csr.bu.edu/ftp/asl/asllvd/demos/verify_start_end_handshape_annotations//test_auto_move//signs_mov_separ_signers/Liz_5757.mov" TargetMode="External"/><Relationship Id="rId14776" Type="http://schemas.openxmlformats.org/officeDocument/2006/relationships/hyperlink" Target="http://secrets.rutgers.edu:8080/data/asl-ftp/asllvd/demos/verify_start_end_handshape_annotations//test_auto_move//signs_mov_separ_signers/Liz_5757.mov" TargetMode="External"/><Relationship Id="rId14777" Type="http://schemas.openxmlformats.org/officeDocument/2006/relationships/hyperlink" Target="http://csr.bu.edu/ftp/asl/asllvd/demos/verify_start_end_handshape_annotations//test_auto_move//signs_mov/1764_5757_merged.mov" TargetMode="External"/><Relationship Id="rId14778" Type="http://schemas.openxmlformats.org/officeDocument/2006/relationships/hyperlink" Target="http://csr.bu.edu/ftp/asl/asllvd/demos/verify_start_end_handshape_annotations//test_auto_move//signs_mov_separ_signers/Brady_1764.mov" TargetMode="External"/><Relationship Id="rId14779" Type="http://schemas.openxmlformats.org/officeDocument/2006/relationships/hyperlink" Target="http://secrets.rutgers.edu:8080/data/asl-ftp/asllvd/demos/verify_start_end_handshape_annotations//test_auto_move//signs_mov/1764_5757_merged.mov" TargetMode="External"/><Relationship Id="rId14780" Type="http://schemas.openxmlformats.org/officeDocument/2006/relationships/hyperlink" Target="http://secrets.rutgers.edu:8080/data/asl-ftp/asllvd/demos/verify_start_end_handshape_annotations//test_auto_move//signs_mov_separ_signers/Brady_1764.mov" TargetMode="External"/><Relationship Id="rId14781" Type="http://schemas.openxmlformats.org/officeDocument/2006/relationships/hyperlink" Target="http://csr.bu.edu/ftp/asl/asllvd/demos/verify_start_end_handshape_annotations//test_auto_move//signs_mov_separ_signers/Brady_5757.mov" TargetMode="External"/><Relationship Id="rId14782" Type="http://schemas.openxmlformats.org/officeDocument/2006/relationships/hyperlink" Target="http://secrets.rutgers.edu:8080/data/asl-ftp/asllvd/demos/verify_start_end_handshape_annotations//test_auto_move//signs_mov_separ_signers/Brady_5757.mov" TargetMode="External"/><Relationship Id="rId14783" Type="http://schemas.openxmlformats.org/officeDocument/2006/relationships/hyperlink" Target="http://csr.bu.edu/ftp/asl/asllvd/demos/verify_start_end_handshape_annotations//test_auto_move//signs_mov_separ_signers/Lana_1764.mov" TargetMode="External"/><Relationship Id="rId14784" Type="http://schemas.openxmlformats.org/officeDocument/2006/relationships/hyperlink" Target="http://secrets.rutgers.edu:8080/data/asl-ftp/asllvd/demos/verify_start_end_handshape_annotations//test_auto_move//signs_mov_separ_signers/Lana_1764.mov" TargetMode="External"/><Relationship Id="rId14785" Type="http://schemas.openxmlformats.org/officeDocument/2006/relationships/hyperlink" Target="http://csr.bu.edu/ftp/asl/asllvd/demos/verify_start_end_handshape_annotations//test_auto_move//signs_mov_separ_signers/Dana_1764.mov" TargetMode="External"/><Relationship Id="rId14786" Type="http://schemas.openxmlformats.org/officeDocument/2006/relationships/hyperlink" Target="http://secrets.rutgers.edu:8080/data/asl-ftp/asllvd/demos/verify_start_end_handshape_annotations//test_auto_move//signs_mov_separ_signers/Dana_1764.mov" TargetMode="External"/><Relationship Id="rId14787" Type="http://schemas.openxmlformats.org/officeDocument/2006/relationships/hyperlink" Target="http://csr.bu.edu/ftp/asl/asllvd/demos/verify_start_end_handshape_annotations//test_auto_move//signs_mov/15246.mov" TargetMode="External"/><Relationship Id="rId14788" Type="http://schemas.openxmlformats.org/officeDocument/2006/relationships/hyperlink" Target="http://csr.bu.edu/ftp/asl/asllvd/demos/verify_start_end_handshape_annotations//test_auto_move//signs_mov_separ_signers/Liz_15246.mov" TargetMode="External"/><Relationship Id="rId14789" Type="http://schemas.openxmlformats.org/officeDocument/2006/relationships/hyperlink" Target="http://secrets.rutgers.edu:8080/data/asl-ftp/asllvd/demos/verify_start_end_handshape_annotations//test_auto_move//signs_mov/15246.mov" TargetMode="External"/><Relationship Id="rId14790" Type="http://schemas.openxmlformats.org/officeDocument/2006/relationships/hyperlink" Target="http://secrets.rutgers.edu:8080/data/asl-ftp/asllvd/demos/verify_start_end_handshape_annotations//test_auto_move//signs_mov_separ_signers/Liz_15246.mov" TargetMode="External"/><Relationship Id="rId14791" Type="http://schemas.openxmlformats.org/officeDocument/2006/relationships/hyperlink" Target="http://csr.bu.edu/ftp/asl/asllvd/demos/verify_start_end_handshape_annotations//test_auto_move//signs_mov_separ_signers/Brady_15246.mov" TargetMode="External"/><Relationship Id="rId14792" Type="http://schemas.openxmlformats.org/officeDocument/2006/relationships/hyperlink" Target="http://secrets.rutgers.edu:8080/data/asl-ftp/asllvd/demos/verify_start_end_handshape_annotations//test_auto_move//signs_mov_separ_signers/Brady_15246.mov" TargetMode="External"/><Relationship Id="rId14793" Type="http://schemas.openxmlformats.org/officeDocument/2006/relationships/hyperlink" Target="http://csr.bu.edu/ftp/asl/asllvd/demos/verify_start_end_handshape_annotations//test_auto_move//signs_mov/15256.mov" TargetMode="External"/><Relationship Id="rId14794" Type="http://schemas.openxmlformats.org/officeDocument/2006/relationships/hyperlink" Target="http://csr.bu.edu/ftp/asl/asllvd/demos/verify_start_end_handshape_annotations//test_auto_move//signs_mov_separ_signers/Liz_15256.mov" TargetMode="External"/><Relationship Id="rId14795" Type="http://schemas.openxmlformats.org/officeDocument/2006/relationships/hyperlink" Target="http://secrets.rutgers.edu:8080/data/asl-ftp/asllvd/demos/verify_start_end_handshape_annotations//test_auto_move//signs_mov/15256.mov" TargetMode="External"/><Relationship Id="rId14796" Type="http://schemas.openxmlformats.org/officeDocument/2006/relationships/hyperlink" Target="http://secrets.rutgers.edu:8080/data/asl-ftp/asllvd/demos/verify_start_end_handshape_annotations//test_auto_move//signs_mov_separ_signers/Liz_15256.mov" TargetMode="External"/><Relationship Id="rId14797" Type="http://schemas.openxmlformats.org/officeDocument/2006/relationships/hyperlink" Target="http://csr.bu.edu/ftp/asl/asllvd/demos/verify_start_end_handshape_annotations//test_auto_move//signs_mov_separ_signers/Brady_15256.mov" TargetMode="External"/><Relationship Id="rId14798" Type="http://schemas.openxmlformats.org/officeDocument/2006/relationships/hyperlink" Target="http://secrets.rutgers.edu:8080/data/asl-ftp/asllvd/demos/verify_start_end_handshape_annotations//test_auto_move//signs_mov_separ_signers/Brady_15256.mov" TargetMode="External"/><Relationship Id="rId14799" Type="http://schemas.openxmlformats.org/officeDocument/2006/relationships/hyperlink" Target="http://csr.bu.edu/ftp/asl/asllvd/demos/verify_start_end_handshape_annotations//test_auto_move//signs_mov/15269.mov" TargetMode="External"/><Relationship Id="rId14800" Type="http://schemas.openxmlformats.org/officeDocument/2006/relationships/hyperlink" Target="http://csr.bu.edu/ftp/asl/asllvd/demos/verify_start_end_handshape_annotations//test_auto_move//signs_mov_separ_signers/Liz_15269.mov" TargetMode="External"/><Relationship Id="rId14801" Type="http://schemas.openxmlformats.org/officeDocument/2006/relationships/hyperlink" Target="http://secrets.rutgers.edu:8080/data/asl-ftp/asllvd/demos/verify_start_end_handshape_annotations//test_auto_move//signs_mov/15269.mov" TargetMode="External"/><Relationship Id="rId14802" Type="http://schemas.openxmlformats.org/officeDocument/2006/relationships/hyperlink" Target="http://secrets.rutgers.edu:8080/data/asl-ftp/asllvd/demos/verify_start_end_handshape_annotations//test_auto_move//signs_mov_separ_signers/Liz_15269.mov" TargetMode="External"/><Relationship Id="rId14803" Type="http://schemas.openxmlformats.org/officeDocument/2006/relationships/hyperlink" Target="http://csr.bu.edu/ftp/asl/asllvd/demos/verify_start_end_handshape_annotations//test_auto_move//signs_mov/1768.mov" TargetMode="External"/><Relationship Id="rId14804" Type="http://schemas.openxmlformats.org/officeDocument/2006/relationships/hyperlink" Target="http://csr.bu.edu/ftp/asl/asllvd/demos/verify_start_end_handshape_annotations//test_auto_move//signs_mov_separ_signers/Liz_1768.mov" TargetMode="External"/><Relationship Id="rId14805" Type="http://schemas.openxmlformats.org/officeDocument/2006/relationships/hyperlink" Target="http://secrets.rutgers.edu:8080/data/asl-ftp/asllvd/demos/verify_start_end_handshape_annotations//test_auto_move//signs_mov/1768.mov" TargetMode="External"/><Relationship Id="rId14806" Type="http://schemas.openxmlformats.org/officeDocument/2006/relationships/hyperlink" Target="http://secrets.rutgers.edu:8080/data/asl-ftp/asllvd/demos/verify_start_end_handshape_annotations//test_auto_move//signs_mov_separ_signers/Liz_1768.mov" TargetMode="External"/><Relationship Id="rId14807" Type="http://schemas.openxmlformats.org/officeDocument/2006/relationships/hyperlink" Target="http://csr.bu.edu/ftp/asl/asllvd/demos/verify_start_end_handshape_annotations//test_auto_move//signs_mov_separ_signers/Brady_1768.mov" TargetMode="External"/><Relationship Id="rId14808" Type="http://schemas.openxmlformats.org/officeDocument/2006/relationships/hyperlink" Target="http://secrets.rutgers.edu:8080/data/asl-ftp/asllvd/demos/verify_start_end_handshape_annotations//test_auto_move//signs_mov_separ_signers/Brady_1768.mov" TargetMode="External"/><Relationship Id="rId14809" Type="http://schemas.openxmlformats.org/officeDocument/2006/relationships/hyperlink" Target="http://csr.bu.edu/ftp/asl/asllvd/demos/verify_start_end_handshape_annotations//test_auto_move//signs_mov/1773.mov" TargetMode="External"/><Relationship Id="rId14810" Type="http://schemas.openxmlformats.org/officeDocument/2006/relationships/hyperlink" Target="http://csr.bu.edu/ftp/asl/asllvd/demos/verify_start_end_handshape_annotations//test_auto_move//signs_mov_separ_signers/Liz_1773.mov" TargetMode="External"/><Relationship Id="rId14811" Type="http://schemas.openxmlformats.org/officeDocument/2006/relationships/hyperlink" Target="http://secrets.rutgers.edu:8080/data/asl-ftp/asllvd/demos/verify_start_end_handshape_annotations//test_auto_move//signs_mov/1773.mov" TargetMode="External"/><Relationship Id="rId14812" Type="http://schemas.openxmlformats.org/officeDocument/2006/relationships/hyperlink" Target="http://secrets.rutgers.edu:8080/data/asl-ftp/asllvd/demos/verify_start_end_handshape_annotations//test_auto_move//signs_mov_separ_signers/Liz_1773.mov" TargetMode="External"/><Relationship Id="rId14813" Type="http://schemas.openxmlformats.org/officeDocument/2006/relationships/hyperlink" Target="http://csr.bu.edu/ftp/asl/asllvd/demos/verify_start_end_handshape_annotations//test_auto_move//signs_mov_separ_signers/Brady_1773.mov" TargetMode="External"/><Relationship Id="rId14814" Type="http://schemas.openxmlformats.org/officeDocument/2006/relationships/hyperlink" Target="http://secrets.rutgers.edu:8080/data/asl-ftp/asllvd/demos/verify_start_end_handshape_annotations//test_auto_move//signs_mov_separ_signers/Brady_1773.mov" TargetMode="External"/><Relationship Id="rId14815" Type="http://schemas.openxmlformats.org/officeDocument/2006/relationships/hyperlink" Target="http://csr.bu.edu/ftp/asl/asllvd/demos/verify_start_end_handshape_annotations//test_auto_move//signs_mov_separ_signers/Liz_1774.mov" TargetMode="External"/><Relationship Id="rId14816" Type="http://schemas.openxmlformats.org/officeDocument/2006/relationships/hyperlink" Target="http://secrets.rutgers.edu:8080/data/asl-ftp/asllvd/demos/verify_start_end_handshape_annotations//test_auto_move//signs_mov_separ_signers/Liz_1774.mov" TargetMode="External"/><Relationship Id="rId14817" Type="http://schemas.openxmlformats.org/officeDocument/2006/relationships/hyperlink" Target="http://csr.bu.edu/ftp/asl/asllvd/demos/verify_start_end_handshape_annotations//test_auto_move//signs_mov/1774.mov" TargetMode="External"/><Relationship Id="rId14818" Type="http://schemas.openxmlformats.org/officeDocument/2006/relationships/hyperlink" Target="http://csr.bu.edu/ftp/asl/asllvd/demos/verify_start_end_handshape_annotations//test_auto_move//signs_mov_separ_signers/Brady_1774.mov" TargetMode="External"/><Relationship Id="rId14819" Type="http://schemas.openxmlformats.org/officeDocument/2006/relationships/hyperlink" Target="http://secrets.rutgers.edu:8080/data/asl-ftp/asllvd/demos/verify_start_end_handshape_annotations//test_auto_move//signs_mov/1774.mov" TargetMode="External"/><Relationship Id="rId14820" Type="http://schemas.openxmlformats.org/officeDocument/2006/relationships/hyperlink" Target="http://secrets.rutgers.edu:8080/data/asl-ftp/asllvd/demos/verify_start_end_handshape_annotations//test_auto_move//signs_mov_separ_signers/Brady_1774.mov" TargetMode="External"/><Relationship Id="rId14821" Type="http://schemas.openxmlformats.org/officeDocument/2006/relationships/hyperlink" Target="http://csr.bu.edu/ftp/asl/asllvd/demos/verify_start_end_handshape_annotations//test_auto_move//signs_mov_separ_signers/Lana_1774.mov" TargetMode="External"/><Relationship Id="rId14822" Type="http://schemas.openxmlformats.org/officeDocument/2006/relationships/hyperlink" Target="http://secrets.rutgers.edu:8080/data/asl-ftp/asllvd/demos/verify_start_end_handshape_annotations//test_auto_move//signs_mov_separ_signers/Lana_1774.mov" TargetMode="External"/><Relationship Id="rId14823" Type="http://schemas.openxmlformats.org/officeDocument/2006/relationships/hyperlink" Target="http://csr.bu.edu/ftp/asl/asllvd/demos/verify_start_end_handshape_annotations//test_auto_move//signs_mov_separ_signers/Dana_1774.mov" TargetMode="External"/><Relationship Id="rId14824" Type="http://schemas.openxmlformats.org/officeDocument/2006/relationships/hyperlink" Target="http://secrets.rutgers.edu:8080/data/asl-ftp/asllvd/demos/verify_start_end_handshape_annotations//test_auto_move//signs_mov_separ_signers/Dana_1774.mov" TargetMode="External"/><Relationship Id="rId14825" Type="http://schemas.openxmlformats.org/officeDocument/2006/relationships/hyperlink" Target="http://csr.bu.edu/ftp/asl/asllvd/demos/verify_start_end_handshape_annotations//test_auto_move//signs_mov/1784.mov" TargetMode="External"/><Relationship Id="rId14826" Type="http://schemas.openxmlformats.org/officeDocument/2006/relationships/hyperlink" Target="http://csr.bu.edu/ftp/asl/asllvd/demos/verify_start_end_handshape_annotations//test_auto_move//signs_mov_separ_signers/Liz_1784.mov" TargetMode="External"/><Relationship Id="rId14827" Type="http://schemas.openxmlformats.org/officeDocument/2006/relationships/hyperlink" Target="http://secrets.rutgers.edu:8080/data/asl-ftp/asllvd/demos/verify_start_end_handshape_annotations//test_auto_move//signs_mov/1784.mov" TargetMode="External"/><Relationship Id="rId14828" Type="http://schemas.openxmlformats.org/officeDocument/2006/relationships/hyperlink" Target="http://secrets.rutgers.edu:8080/data/asl-ftp/asllvd/demos/verify_start_end_handshape_annotations//test_auto_move//signs_mov_separ_signers/Liz_1784.mov" TargetMode="External"/><Relationship Id="rId14829" Type="http://schemas.openxmlformats.org/officeDocument/2006/relationships/hyperlink" Target="http://csr.bu.edu/ftp/asl/asllvd/demos/verify_start_end_handshape_annotations//test_auto_move//signs_mov_separ_signers/Brady_1784.mov" TargetMode="External"/><Relationship Id="rId14830" Type="http://schemas.openxmlformats.org/officeDocument/2006/relationships/hyperlink" Target="http://secrets.rutgers.edu:8080/data/asl-ftp/asllvd/demos/verify_start_end_handshape_annotations//test_auto_move//signs_mov_separ_signers/Brady_1784.mov" TargetMode="External"/><Relationship Id="rId14831" Type="http://schemas.openxmlformats.org/officeDocument/2006/relationships/hyperlink" Target="http://csr.bu.edu/ftp/asl/asllvd/demos/verify_start_end_handshape_annotations//test_auto_move//signs_mov/1794.mov" TargetMode="External"/><Relationship Id="rId14832" Type="http://schemas.openxmlformats.org/officeDocument/2006/relationships/hyperlink" Target="http://csr.bu.edu/ftp/asl/asllvd/demos/verify_start_end_handshape_annotations//test_auto_move//signs_mov_separ_signers/Liz_1794.mov" TargetMode="External"/><Relationship Id="rId14833" Type="http://schemas.openxmlformats.org/officeDocument/2006/relationships/hyperlink" Target="http://secrets.rutgers.edu:8080/data/asl-ftp/asllvd/demos/verify_start_end_handshape_annotations//test_auto_move//signs_mov/1794.mov" TargetMode="External"/><Relationship Id="rId14834" Type="http://schemas.openxmlformats.org/officeDocument/2006/relationships/hyperlink" Target="http://secrets.rutgers.edu:8080/data/asl-ftp/asllvd/demos/verify_start_end_handshape_annotations//test_auto_move//signs_mov_separ_signers/Liz_1794.mov" TargetMode="External"/><Relationship Id="rId14835" Type="http://schemas.openxmlformats.org/officeDocument/2006/relationships/hyperlink" Target="http://csr.bu.edu/ftp/asl/asllvd/demos/verify_start_end_handshape_annotations//test_auto_move//signs_mov_separ_signers/Brady_1794.mov" TargetMode="External"/><Relationship Id="rId14836" Type="http://schemas.openxmlformats.org/officeDocument/2006/relationships/hyperlink" Target="http://secrets.rutgers.edu:8080/data/asl-ftp/asllvd/demos/verify_start_end_handshape_annotations//test_auto_move//signs_mov_separ_signers/Brady_1794.mov" TargetMode="External"/><Relationship Id="rId14837" Type="http://schemas.openxmlformats.org/officeDocument/2006/relationships/hyperlink" Target="http://csr.bu.edu/ftp/asl/asllvd/demos/verify_start_end_handshape_annotations//test_auto_move//signs_mov/1795.mov" TargetMode="External"/><Relationship Id="rId14838" Type="http://schemas.openxmlformats.org/officeDocument/2006/relationships/hyperlink" Target="http://csr.bu.edu/ftp/asl/asllvd/demos/verify_start_end_handshape_annotations//test_auto_move//signs_mov_separ_signers/Liz_1795.mov" TargetMode="External"/><Relationship Id="rId14839" Type="http://schemas.openxmlformats.org/officeDocument/2006/relationships/hyperlink" Target="http://secrets.rutgers.edu:8080/data/asl-ftp/asllvd/demos/verify_start_end_handshape_annotations//test_auto_move//signs_mov/1795.mov" TargetMode="External"/><Relationship Id="rId14840" Type="http://schemas.openxmlformats.org/officeDocument/2006/relationships/hyperlink" Target="http://secrets.rutgers.edu:8080/data/asl-ftp/asllvd/demos/verify_start_end_handshape_annotations//test_auto_move//signs_mov_separ_signers/Liz_1795.mov" TargetMode="External"/><Relationship Id="rId14841" Type="http://schemas.openxmlformats.org/officeDocument/2006/relationships/hyperlink" Target="http://csr.bu.edu/ftp/asl/asllvd/demos/verify_start_end_handshape_annotations//test_auto_move//signs_mov_separ_signers/Brady_1795.mov" TargetMode="External"/><Relationship Id="rId14842" Type="http://schemas.openxmlformats.org/officeDocument/2006/relationships/hyperlink" Target="http://secrets.rutgers.edu:8080/data/asl-ftp/asllvd/demos/verify_start_end_handshape_annotations//test_auto_move//signs_mov_separ_signers/Brady_1795.mov" TargetMode="External"/><Relationship Id="rId14843" Type="http://schemas.openxmlformats.org/officeDocument/2006/relationships/hyperlink" Target="http://csr.bu.edu/ftp/asl/asllvd/demos/verify_start_end_handshape_annotations//test_auto_move//signs_mov_separ_signers/Liz_1797.mov" TargetMode="External"/><Relationship Id="rId14844" Type="http://schemas.openxmlformats.org/officeDocument/2006/relationships/hyperlink" Target="http://secrets.rutgers.edu:8080/data/asl-ftp/asllvd/demos/verify_start_end_handshape_annotations//test_auto_move//signs_mov_separ_signers/Liz_1797.mov" TargetMode="External"/><Relationship Id="rId14845" Type="http://schemas.openxmlformats.org/officeDocument/2006/relationships/hyperlink" Target="http://csr.bu.edu/ftp/asl/asllvd/demos/verify_start_end_handshape_annotations//test_auto_move//signs_mov_separ_signers/Liz_3499.mov" TargetMode="External"/><Relationship Id="rId14846" Type="http://schemas.openxmlformats.org/officeDocument/2006/relationships/hyperlink" Target="http://secrets.rutgers.edu:8080/data/asl-ftp/asllvd/demos/verify_start_end_handshape_annotations//test_auto_move//signs_mov_separ_signers/Liz_3499.mov" TargetMode="External"/><Relationship Id="rId14847" Type="http://schemas.openxmlformats.org/officeDocument/2006/relationships/hyperlink" Target="http://csr.bu.edu/ftp/asl/asllvd/demos/verify_start_end_handshape_annotations//test_auto_move//signs_mov/1797_3499_merged.mov" TargetMode="External"/><Relationship Id="rId14848" Type="http://schemas.openxmlformats.org/officeDocument/2006/relationships/hyperlink" Target="http://csr.bu.edu/ftp/asl/asllvd/demos/verify_start_end_handshape_annotations//test_auto_move//signs_mov_separ_signers/Brady_1797.mov" TargetMode="External"/><Relationship Id="rId14849" Type="http://schemas.openxmlformats.org/officeDocument/2006/relationships/hyperlink" Target="http://secrets.rutgers.edu:8080/data/asl-ftp/asllvd/demos/verify_start_end_handshape_annotations//test_auto_move//signs_mov/1797_3499_merged.mov" TargetMode="External"/><Relationship Id="rId14850" Type="http://schemas.openxmlformats.org/officeDocument/2006/relationships/hyperlink" Target="http://secrets.rutgers.edu:8080/data/asl-ftp/asllvd/demos/verify_start_end_handshape_annotations//test_auto_move//signs_mov_separ_signers/Brady_1797.mov" TargetMode="External"/><Relationship Id="rId14851" Type="http://schemas.openxmlformats.org/officeDocument/2006/relationships/hyperlink" Target="http://csr.bu.edu/ftp/asl/asllvd/demos/verify_start_end_handshape_annotations//test_auto_move//signs_mov_separ_signers/Brady_3499.mov" TargetMode="External"/><Relationship Id="rId14852" Type="http://schemas.openxmlformats.org/officeDocument/2006/relationships/hyperlink" Target="http://secrets.rutgers.edu:8080/data/asl-ftp/asllvd/demos/verify_start_end_handshape_annotations//test_auto_move//signs_mov_separ_signers/Brady_3499.mov" TargetMode="External"/><Relationship Id="rId14853" Type="http://schemas.openxmlformats.org/officeDocument/2006/relationships/hyperlink" Target="http://csr.bu.edu/ftp/asl/asllvd/demos/verify_start_end_handshape_annotations//test_auto_move//signs_mov_separ_signers/Lana_1797.mov" TargetMode="External"/><Relationship Id="rId14854" Type="http://schemas.openxmlformats.org/officeDocument/2006/relationships/hyperlink" Target="http://secrets.rutgers.edu:8080/data/asl-ftp/asllvd/demos/verify_start_end_handshape_annotations//test_auto_move//signs_mov_separ_signers/Lana_1797.mov" TargetMode="External"/><Relationship Id="rId14855" Type="http://schemas.openxmlformats.org/officeDocument/2006/relationships/hyperlink" Target="http://csr.bu.edu/ftp/asl/asllvd/demos/verify_start_end_handshape_annotations//test_auto_move//signs_mov_separ_signers/Dana_1797.mov" TargetMode="External"/><Relationship Id="rId14856" Type="http://schemas.openxmlformats.org/officeDocument/2006/relationships/hyperlink" Target="http://secrets.rutgers.edu:8080/data/asl-ftp/asllvd/demos/verify_start_end_handshape_annotations//test_auto_move//signs_mov_separ_signers/Dana_1797.mov" TargetMode="External"/><Relationship Id="rId14857" Type="http://schemas.openxmlformats.org/officeDocument/2006/relationships/hyperlink" Target="http://csr.bu.edu/ftp/asl/asllvd/demos/verify_start_end_handshape_annotations//test_auto_move//signs_mov/3555.mov" TargetMode="External"/><Relationship Id="rId14858" Type="http://schemas.openxmlformats.org/officeDocument/2006/relationships/hyperlink" Target="http://csr.bu.edu/ftp/asl/asllvd/demos/verify_start_end_handshape_annotations//test_auto_move//signs_mov_separ_signers/Liz_3555.mov" TargetMode="External"/><Relationship Id="rId14859" Type="http://schemas.openxmlformats.org/officeDocument/2006/relationships/hyperlink" Target="http://secrets.rutgers.edu:8080/data/asl-ftp/asllvd/demos/verify_start_end_handshape_annotations//test_auto_move//signs_mov/3555.mov" TargetMode="External"/><Relationship Id="rId14860" Type="http://schemas.openxmlformats.org/officeDocument/2006/relationships/hyperlink" Target="http://secrets.rutgers.edu:8080/data/asl-ftp/asllvd/demos/verify_start_end_handshape_annotations//test_auto_move//signs_mov_separ_signers/Liz_3555.mov" TargetMode="External"/><Relationship Id="rId14861" Type="http://schemas.openxmlformats.org/officeDocument/2006/relationships/hyperlink" Target="http://csr.bu.edu/ftp/asl/asllvd/demos/verify_start_end_handshape_annotations//test_auto_move//signs_mov_separ_signers/Brady_3555.mov" TargetMode="External"/><Relationship Id="rId14862" Type="http://schemas.openxmlformats.org/officeDocument/2006/relationships/hyperlink" Target="http://secrets.rutgers.edu:8080/data/asl-ftp/asllvd/demos/verify_start_end_handshape_annotations//test_auto_move//signs_mov_separ_signers/Brady_3555.mov" TargetMode="External"/><Relationship Id="rId14863" Type="http://schemas.openxmlformats.org/officeDocument/2006/relationships/hyperlink" Target="http://csr.bu.edu/ftp/asl/asllvd/demos/verify_start_end_handshape_annotations//test_auto_move//signs_mov/1799.mov" TargetMode="External"/><Relationship Id="rId14864" Type="http://schemas.openxmlformats.org/officeDocument/2006/relationships/hyperlink" Target="http://csr.bu.edu/ftp/asl/asllvd/demos/verify_start_end_handshape_annotations//test_auto_move//signs_mov_separ_signers/Brady_1799.mov" TargetMode="External"/><Relationship Id="rId14865" Type="http://schemas.openxmlformats.org/officeDocument/2006/relationships/hyperlink" Target="http://secrets.rutgers.edu:8080/data/asl-ftp/asllvd/demos/verify_start_end_handshape_annotations//test_auto_move//signs_mov/1799.mov" TargetMode="External"/><Relationship Id="rId14866" Type="http://schemas.openxmlformats.org/officeDocument/2006/relationships/hyperlink" Target="http://secrets.rutgers.edu:8080/data/asl-ftp/asllvd/demos/verify_start_end_handshape_annotations//test_auto_move//signs_mov_separ_signers/Brady_1799.mov" TargetMode="External"/><Relationship Id="rId14867" Type="http://schemas.openxmlformats.org/officeDocument/2006/relationships/hyperlink" Target="http://csr.bu.edu/ftp/asl/asllvd/demos/verify_start_end_handshape_annotations//test_auto_move//signs_mov_separ_signers/Lana_1799.mov" TargetMode="External"/><Relationship Id="rId14868" Type="http://schemas.openxmlformats.org/officeDocument/2006/relationships/hyperlink" Target="http://secrets.rutgers.edu:8080/data/asl-ftp/asllvd/demos/verify_start_end_handshape_annotations//test_auto_move//signs_mov_separ_signers/Lana_1799.mov" TargetMode="External"/><Relationship Id="rId14869" Type="http://schemas.openxmlformats.org/officeDocument/2006/relationships/hyperlink" Target="http://csr.bu.edu/ftp/asl/asllvd/demos/verify_start_end_handshape_annotations//test_auto_move//signs_mov/5333.mov" TargetMode="External"/><Relationship Id="rId14870" Type="http://schemas.openxmlformats.org/officeDocument/2006/relationships/hyperlink" Target="http://csr.bu.edu/ftp/asl/asllvd/demos/verify_start_end_handshape_annotations//test_auto_move//signs_mov_separ_signers/Liz_5333.mov" TargetMode="External"/><Relationship Id="rId14871" Type="http://schemas.openxmlformats.org/officeDocument/2006/relationships/hyperlink" Target="http://secrets.rutgers.edu:8080/data/asl-ftp/asllvd/demos/verify_start_end_handshape_annotations//test_auto_move//signs_mov/5333.mov" TargetMode="External"/><Relationship Id="rId14872" Type="http://schemas.openxmlformats.org/officeDocument/2006/relationships/hyperlink" Target="http://secrets.rutgers.edu:8080/data/asl-ftp/asllvd/demos/verify_start_end_handshape_annotations//test_auto_move//signs_mov_separ_signers/Liz_5333.mov" TargetMode="External"/><Relationship Id="rId14873" Type="http://schemas.openxmlformats.org/officeDocument/2006/relationships/hyperlink" Target="http://csr.bu.edu/ftp/asl/asllvd/demos/verify_start_end_handshape_annotations//test_auto_move//signs_mov/15285.mov" TargetMode="External"/><Relationship Id="rId14874" Type="http://schemas.openxmlformats.org/officeDocument/2006/relationships/hyperlink" Target="http://csr.bu.edu/ftp/asl/asllvd/demos/verify_start_end_handshape_annotations//test_auto_move//signs_mov_separ_signers/Lana_15285.mov" TargetMode="External"/><Relationship Id="rId14875" Type="http://schemas.openxmlformats.org/officeDocument/2006/relationships/hyperlink" Target="http://secrets.rutgers.edu:8080/data/asl-ftp/asllvd/demos/verify_start_end_handshape_annotations//test_auto_move//signs_mov/15285.mov" TargetMode="External"/><Relationship Id="rId14876" Type="http://schemas.openxmlformats.org/officeDocument/2006/relationships/hyperlink" Target="http://secrets.rutgers.edu:8080/data/asl-ftp/asllvd/demos/verify_start_end_handshape_annotations//test_auto_move//signs_mov_separ_signers/Lana_15285.mov" TargetMode="External"/><Relationship Id="rId14877" Type="http://schemas.openxmlformats.org/officeDocument/2006/relationships/hyperlink" Target="http://csr.bu.edu/ftp/asl/asllvd/demos/verify_start_end_handshape_annotations//test_auto_move//signs_mov/1805.mov" TargetMode="External"/><Relationship Id="rId14878" Type="http://schemas.openxmlformats.org/officeDocument/2006/relationships/hyperlink" Target="http://csr.bu.edu/ftp/asl/asllvd/demos/verify_start_end_handshape_annotations//test_auto_move//signs_mov_separ_signers/Liz_1805.mov" TargetMode="External"/><Relationship Id="rId14879" Type="http://schemas.openxmlformats.org/officeDocument/2006/relationships/hyperlink" Target="http://secrets.rutgers.edu:8080/data/asl-ftp/asllvd/demos/verify_start_end_handshape_annotations//test_auto_move//signs_mov/1805.mov" TargetMode="External"/><Relationship Id="rId14880" Type="http://schemas.openxmlformats.org/officeDocument/2006/relationships/hyperlink" Target="http://secrets.rutgers.edu:8080/data/asl-ftp/asllvd/demos/verify_start_end_handshape_annotations//test_auto_move//signs_mov_separ_signers/Liz_1805.mov" TargetMode="External"/><Relationship Id="rId14881" Type="http://schemas.openxmlformats.org/officeDocument/2006/relationships/hyperlink" Target="http://csr.bu.edu/ftp/asl/asllvd/demos/verify_start_end_handshape_annotations//test_auto_move//signs_mov_separ_signers/Brady_1805.mov" TargetMode="External"/><Relationship Id="rId14882" Type="http://schemas.openxmlformats.org/officeDocument/2006/relationships/hyperlink" Target="http://secrets.rutgers.edu:8080/data/asl-ftp/asllvd/demos/verify_start_end_handshape_annotations//test_auto_move//signs_mov_separ_signers/Brady_1805.mov" TargetMode="External"/><Relationship Id="rId14883" Type="http://schemas.openxmlformats.org/officeDocument/2006/relationships/hyperlink" Target="http://csr.bu.edu/ftp/asl/asllvd/demos/verify_start_end_handshape_annotations//test_auto_move//signs_mov/1816.mov" TargetMode="External"/><Relationship Id="rId14884" Type="http://schemas.openxmlformats.org/officeDocument/2006/relationships/hyperlink" Target="http://csr.bu.edu/ftp/asl/asllvd/demos/verify_start_end_handshape_annotations//test_auto_move//signs_mov_separ_signers/Liz_1816.mov" TargetMode="External"/><Relationship Id="rId14885" Type="http://schemas.openxmlformats.org/officeDocument/2006/relationships/hyperlink" Target="http://secrets.rutgers.edu:8080/data/asl-ftp/asllvd/demos/verify_start_end_handshape_annotations//test_auto_move//signs_mov/1816.mov" TargetMode="External"/><Relationship Id="rId14886" Type="http://schemas.openxmlformats.org/officeDocument/2006/relationships/hyperlink" Target="http://secrets.rutgers.edu:8080/data/asl-ftp/asllvd/demos/verify_start_end_handshape_annotations//test_auto_move//signs_mov_separ_signers/Liz_1816.mov" TargetMode="External"/><Relationship Id="rId14887" Type="http://schemas.openxmlformats.org/officeDocument/2006/relationships/hyperlink" Target="http://csr.bu.edu/ftp/asl/asllvd/demos/verify_start_end_handshape_annotations//test_auto_move//signs_mov/1818.mov" TargetMode="External"/><Relationship Id="rId14888" Type="http://schemas.openxmlformats.org/officeDocument/2006/relationships/hyperlink" Target="http://csr.bu.edu/ftp/asl/asllvd/demos/verify_start_end_handshape_annotations//test_auto_move//signs_mov_separ_signers/Liz_1818.mov" TargetMode="External"/><Relationship Id="rId14889" Type="http://schemas.openxmlformats.org/officeDocument/2006/relationships/hyperlink" Target="http://secrets.rutgers.edu:8080/data/asl-ftp/asllvd/demos/verify_start_end_handshape_annotations//test_auto_move//signs_mov/1818.mov" TargetMode="External"/><Relationship Id="rId14890" Type="http://schemas.openxmlformats.org/officeDocument/2006/relationships/hyperlink" Target="http://secrets.rutgers.edu:8080/data/asl-ftp/asllvd/demos/verify_start_end_handshape_annotations//test_auto_move//signs_mov_separ_signers/Liz_1818.mov" TargetMode="External"/><Relationship Id="rId14891" Type="http://schemas.openxmlformats.org/officeDocument/2006/relationships/hyperlink" Target="http://csr.bu.edu/ftp/asl/asllvd/demos/verify_start_end_handshape_annotations//test_auto_move//signs_mov_separ_signers/Liz_1823.mov" TargetMode="External"/><Relationship Id="rId14892" Type="http://schemas.openxmlformats.org/officeDocument/2006/relationships/hyperlink" Target="http://secrets.rutgers.edu:8080/data/asl-ftp/asllvd/demos/verify_start_end_handshape_annotations//test_auto_move//signs_mov_separ_signers/Liz_1823.mov" TargetMode="External"/><Relationship Id="rId14893" Type="http://schemas.openxmlformats.org/officeDocument/2006/relationships/hyperlink" Target="http://csr.bu.edu/ftp/asl/asllvd/demos/verify_start_end_handshape_annotations//test_auto_move//signs_mov/1823.mov" TargetMode="External"/><Relationship Id="rId14894" Type="http://schemas.openxmlformats.org/officeDocument/2006/relationships/hyperlink" Target="http://csr.bu.edu/ftp/asl/asllvd/demos/verify_start_end_handshape_annotations//test_auto_move//signs_mov_separ_signers/Brady_1823.mov" TargetMode="External"/><Relationship Id="rId14895" Type="http://schemas.openxmlformats.org/officeDocument/2006/relationships/hyperlink" Target="http://secrets.rutgers.edu:8080/data/asl-ftp/asllvd/demos/verify_start_end_handshape_annotations//test_auto_move//signs_mov/1823.mov" TargetMode="External"/><Relationship Id="rId14896" Type="http://schemas.openxmlformats.org/officeDocument/2006/relationships/hyperlink" Target="http://secrets.rutgers.edu:8080/data/asl-ftp/asllvd/demos/verify_start_end_handshape_annotations//test_auto_move//signs_mov_separ_signers/Brady_1823.mov" TargetMode="External"/><Relationship Id="rId14897" Type="http://schemas.openxmlformats.org/officeDocument/2006/relationships/hyperlink" Target="http://csr.bu.edu/ftp/asl/asllvd/demos/verify_start_end_handshape_annotations//test_auto_move//signs_mov_separ_signers/Lana_1823.mov" TargetMode="External"/><Relationship Id="rId14898" Type="http://schemas.openxmlformats.org/officeDocument/2006/relationships/hyperlink" Target="http://secrets.rutgers.edu:8080/data/asl-ftp/asllvd/demos/verify_start_end_handshape_annotations//test_auto_move//signs_mov_separ_signers/Lana_1823.mov" TargetMode="External"/><Relationship Id="rId14899" Type="http://schemas.openxmlformats.org/officeDocument/2006/relationships/hyperlink" Target="http://csr.bu.edu/ftp/asl/asllvd/demos/verify_start_end_handshape_annotations//test_auto_move//signs_mov_separ_signers/Dana_1823.mov" TargetMode="External"/><Relationship Id="rId14900" Type="http://schemas.openxmlformats.org/officeDocument/2006/relationships/hyperlink" Target="http://secrets.rutgers.edu:8080/data/asl-ftp/asllvd/demos/verify_start_end_handshape_annotations//test_auto_move//signs_mov_separ_signers/Dana_1823.mov" TargetMode="External"/><Relationship Id="rId14901" Type="http://schemas.openxmlformats.org/officeDocument/2006/relationships/hyperlink" Target="http://csr.bu.edu/ftp/asl/asllvd/demos/verify_start_end_handshape_annotations//test_auto_move//signs_mov/1827.mov" TargetMode="External"/><Relationship Id="rId14902" Type="http://schemas.openxmlformats.org/officeDocument/2006/relationships/hyperlink" Target="http://csr.bu.edu/ftp/asl/asllvd/demos/verify_start_end_handshape_annotations//test_auto_move//signs_mov_separ_signers/Liz_1827.mov" TargetMode="External"/><Relationship Id="rId14903" Type="http://schemas.openxmlformats.org/officeDocument/2006/relationships/hyperlink" Target="http://secrets.rutgers.edu:8080/data/asl-ftp/asllvd/demos/verify_start_end_handshape_annotations//test_auto_move//signs_mov/1827.mov" TargetMode="External"/><Relationship Id="rId14904" Type="http://schemas.openxmlformats.org/officeDocument/2006/relationships/hyperlink" Target="http://secrets.rutgers.edu:8080/data/asl-ftp/asllvd/demos/verify_start_end_handshape_annotations//test_auto_move//signs_mov_separ_signers/Liz_1827.mov" TargetMode="External"/><Relationship Id="rId14905" Type="http://schemas.openxmlformats.org/officeDocument/2006/relationships/hyperlink" Target="http://csr.bu.edu/ftp/asl/asllvd/demos/verify_start_end_handshape_annotations//test_auto_move//signs_mov_separ_signers/Brady_1827.mov" TargetMode="External"/><Relationship Id="rId14906" Type="http://schemas.openxmlformats.org/officeDocument/2006/relationships/hyperlink" Target="http://secrets.rutgers.edu:8080/data/asl-ftp/asllvd/demos/verify_start_end_handshape_annotations//test_auto_move//signs_mov_separ_signers/Brady_1827.mov" TargetMode="External"/><Relationship Id="rId14907" Type="http://schemas.openxmlformats.org/officeDocument/2006/relationships/hyperlink" Target="http://csr.bu.edu/ftp/asl/asllvd/demos/verify_start_end_handshape_annotations//test_auto_move//signs_mov/3712.mov" TargetMode="External"/><Relationship Id="rId14908" Type="http://schemas.openxmlformats.org/officeDocument/2006/relationships/hyperlink" Target="http://csr.bu.edu/ftp/asl/asllvd/demos/verify_start_end_handshape_annotations//test_auto_move//signs_mov_separ_signers/Brady_3712.mov" TargetMode="External"/><Relationship Id="rId14909" Type="http://schemas.openxmlformats.org/officeDocument/2006/relationships/hyperlink" Target="http://secrets.rutgers.edu:8080/data/asl-ftp/asllvd/demos/verify_start_end_handshape_annotations//test_auto_move//signs_mov/3712.mov" TargetMode="External"/><Relationship Id="rId14910" Type="http://schemas.openxmlformats.org/officeDocument/2006/relationships/hyperlink" Target="http://secrets.rutgers.edu:8080/data/asl-ftp/asllvd/demos/verify_start_end_handshape_annotations//test_auto_move//signs_mov_separ_signers/Brady_3712.mov" TargetMode="External"/><Relationship Id="rId14911" Type="http://schemas.openxmlformats.org/officeDocument/2006/relationships/hyperlink" Target="http://csr.bu.edu/ftp/asl/asllvd/demos/verify_start_end_handshape_annotations//test_auto_move//signs_mov/5334.mov" TargetMode="External"/><Relationship Id="rId14912" Type="http://schemas.openxmlformats.org/officeDocument/2006/relationships/hyperlink" Target="http://csr.bu.edu/ftp/asl/asllvd/demos/verify_start_end_handshape_annotations//test_auto_move//signs_mov_separ_signers/Liz_5334.mov" TargetMode="External"/><Relationship Id="rId14913" Type="http://schemas.openxmlformats.org/officeDocument/2006/relationships/hyperlink" Target="http://secrets.rutgers.edu:8080/data/asl-ftp/asllvd/demos/verify_start_end_handshape_annotations//test_auto_move//signs_mov/5334.mov" TargetMode="External"/><Relationship Id="rId14914" Type="http://schemas.openxmlformats.org/officeDocument/2006/relationships/hyperlink" Target="http://secrets.rutgers.edu:8080/data/asl-ftp/asllvd/demos/verify_start_end_handshape_annotations//test_auto_move//signs_mov_separ_signers/Liz_5334.mov" TargetMode="External"/><Relationship Id="rId14915" Type="http://schemas.openxmlformats.org/officeDocument/2006/relationships/hyperlink" Target="http://csr.bu.edu/ftp/asl/asllvd/demos/verify_start_end_handshape_annotations//test_auto_move//signs_mov/1829.mov" TargetMode="External"/><Relationship Id="rId14916" Type="http://schemas.openxmlformats.org/officeDocument/2006/relationships/hyperlink" Target="http://csr.bu.edu/ftp/asl/asllvd/demos/verify_start_end_handshape_annotations//test_auto_move//signs_mov_separ_signers/Liz_1829.mov" TargetMode="External"/><Relationship Id="rId14917" Type="http://schemas.openxmlformats.org/officeDocument/2006/relationships/hyperlink" Target="http://secrets.rutgers.edu:8080/data/asl-ftp/asllvd/demos/verify_start_end_handshape_annotations//test_auto_move//signs_mov/1829.mov" TargetMode="External"/><Relationship Id="rId14918" Type="http://schemas.openxmlformats.org/officeDocument/2006/relationships/hyperlink" Target="http://secrets.rutgers.edu:8080/data/asl-ftp/asllvd/demos/verify_start_end_handshape_annotations//test_auto_move//signs_mov_separ_signers/Liz_1829.mov" TargetMode="External"/><Relationship Id="rId14919" Type="http://schemas.openxmlformats.org/officeDocument/2006/relationships/hyperlink" Target="http://csr.bu.edu/ftp/asl/asllvd/demos/verify_start_end_handshape_annotations//test_auto_move//signs_mov_separ_signers/Brady_1829.mov" TargetMode="External"/><Relationship Id="rId14920" Type="http://schemas.openxmlformats.org/officeDocument/2006/relationships/hyperlink" Target="http://secrets.rutgers.edu:8080/data/asl-ftp/asllvd/demos/verify_start_end_handshape_annotations//test_auto_move//signs_mov_separ_signers/Brady_1829.mov" TargetMode="External"/><Relationship Id="rId14921" Type="http://schemas.openxmlformats.org/officeDocument/2006/relationships/hyperlink" Target="http://csr.bu.edu/ftp/asl/asllvd/demos/verify_start_end_handshape_annotations//test_auto_move//signs_mov/15248.mov" TargetMode="External"/><Relationship Id="rId14922" Type="http://schemas.openxmlformats.org/officeDocument/2006/relationships/hyperlink" Target="http://csr.bu.edu/ftp/asl/asllvd/demos/verify_start_end_handshape_annotations//test_auto_move//signs_mov_separ_signers/Liz_15248.mov" TargetMode="External"/><Relationship Id="rId14923" Type="http://schemas.openxmlformats.org/officeDocument/2006/relationships/hyperlink" Target="http://secrets.rutgers.edu:8080/data/asl-ftp/asllvd/demos/verify_start_end_handshape_annotations//test_auto_move//signs_mov/15248.mov" TargetMode="External"/><Relationship Id="rId14924" Type="http://schemas.openxmlformats.org/officeDocument/2006/relationships/hyperlink" Target="http://secrets.rutgers.edu:8080/data/asl-ftp/asllvd/demos/verify_start_end_handshape_annotations//test_auto_move//signs_mov_separ_signers/Liz_15248.mov" TargetMode="External"/><Relationship Id="rId14925" Type="http://schemas.openxmlformats.org/officeDocument/2006/relationships/hyperlink" Target="http://csr.bu.edu/ftp/asl/asllvd/demos/verify_start_end_handshape_annotations//test_auto_move//signs_mov_separ_signers/Brady_15248.mov" TargetMode="External"/><Relationship Id="rId14926" Type="http://schemas.openxmlformats.org/officeDocument/2006/relationships/hyperlink" Target="http://secrets.rutgers.edu:8080/data/asl-ftp/asllvd/demos/verify_start_end_handshape_annotations//test_auto_move//signs_mov_separ_signers/Brady_15248.mov" TargetMode="External"/><Relationship Id="rId14927" Type="http://schemas.openxmlformats.org/officeDocument/2006/relationships/hyperlink" Target="http://csr.bu.edu/ftp/asl/asllvd/demos/verify_start_end_handshape_annotations//test_auto_move//signs_mov/1832.mov" TargetMode="External"/><Relationship Id="rId14928" Type="http://schemas.openxmlformats.org/officeDocument/2006/relationships/hyperlink" Target="http://csr.bu.edu/ftp/asl/asllvd/demos/verify_start_end_handshape_annotations//test_auto_move//signs_mov_separ_signers/Liz_1832.mov" TargetMode="External"/><Relationship Id="rId14929" Type="http://schemas.openxmlformats.org/officeDocument/2006/relationships/hyperlink" Target="http://secrets.rutgers.edu:8080/data/asl-ftp/asllvd/demos/verify_start_end_handshape_annotations//test_auto_move//signs_mov/1832.mov" TargetMode="External"/><Relationship Id="rId14930" Type="http://schemas.openxmlformats.org/officeDocument/2006/relationships/hyperlink" Target="http://secrets.rutgers.edu:8080/data/asl-ftp/asllvd/demos/verify_start_end_handshape_annotations//test_auto_move//signs_mov_separ_signers/Liz_1832.mov" TargetMode="External"/><Relationship Id="rId14931" Type="http://schemas.openxmlformats.org/officeDocument/2006/relationships/hyperlink" Target="http://csr.bu.edu/ftp/asl/asllvd/demos/verify_start_end_handshape_annotations//test_auto_move//signs_mov_separ_signers/Liz_16067.mov" TargetMode="External"/><Relationship Id="rId14932" Type="http://schemas.openxmlformats.org/officeDocument/2006/relationships/hyperlink" Target="http://secrets.rutgers.edu:8080/data/asl-ftp/asllvd/demos/verify_start_end_handshape_annotations//test_auto_move//signs_mov_separ_signers/Liz_16067.mov" TargetMode="External"/><Relationship Id="rId14933" Type="http://schemas.openxmlformats.org/officeDocument/2006/relationships/hyperlink" Target="http://csr.bu.edu/ftp/asl/asllvd/demos/verify_start_end_handshape_annotations//test_auto_move//signs_mov/16067.mov" TargetMode="External"/><Relationship Id="rId14934" Type="http://schemas.openxmlformats.org/officeDocument/2006/relationships/hyperlink" Target="http://csr.bu.edu/ftp/asl/asllvd/demos/verify_start_end_handshape_annotations//test_auto_move//signs_mov_separ_signers/Lana_16067.mov" TargetMode="External"/><Relationship Id="rId14935" Type="http://schemas.openxmlformats.org/officeDocument/2006/relationships/hyperlink" Target="http://secrets.rutgers.edu:8080/data/asl-ftp/asllvd/demos/verify_start_end_handshape_annotations//test_auto_move//signs_mov/16067.mov" TargetMode="External"/><Relationship Id="rId14936" Type="http://schemas.openxmlformats.org/officeDocument/2006/relationships/hyperlink" Target="http://secrets.rutgers.edu:8080/data/asl-ftp/asllvd/demos/verify_start_end_handshape_annotations//test_auto_move//signs_mov_separ_signers/Lana_16067.mov" TargetMode="External"/><Relationship Id="rId14937" Type="http://schemas.openxmlformats.org/officeDocument/2006/relationships/hyperlink" Target="http://csr.bu.edu/ftp/asl/asllvd/demos/verify_start_end_handshape_annotations//test_auto_move//signs_mov_separ_signers/Dana_16067.mov" TargetMode="External"/><Relationship Id="rId14938" Type="http://schemas.openxmlformats.org/officeDocument/2006/relationships/hyperlink" Target="http://secrets.rutgers.edu:8080/data/asl-ftp/asllvd/demos/verify_start_end_handshape_annotations//test_auto_move//signs_mov_separ_signers/Dana_16067.mov" TargetMode="External"/><Relationship Id="rId14939" Type="http://schemas.openxmlformats.org/officeDocument/2006/relationships/hyperlink" Target="http://csr.bu.edu/ftp/asl/asllvd/demos/verify_start_end_handshape_annotations//test_auto_move//signs_mov/16115.mov" TargetMode="External"/><Relationship Id="rId14940" Type="http://schemas.openxmlformats.org/officeDocument/2006/relationships/hyperlink" Target="http://csr.bu.edu/ftp/asl/asllvd/demos/verify_start_end_handshape_annotations//test_auto_move//signs_mov_separ_signers/Brady_16115.mov" TargetMode="External"/><Relationship Id="rId14941" Type="http://schemas.openxmlformats.org/officeDocument/2006/relationships/hyperlink" Target="http://secrets.rutgers.edu:8080/data/asl-ftp/asllvd/demos/verify_start_end_handshape_annotations//test_auto_move//signs_mov/16115.mov" TargetMode="External"/><Relationship Id="rId14942" Type="http://schemas.openxmlformats.org/officeDocument/2006/relationships/hyperlink" Target="http://secrets.rutgers.edu:8080/data/asl-ftp/asllvd/demos/verify_start_end_handshape_annotations//test_auto_move//signs_mov_separ_signers/Brady_16115.mov" TargetMode="External"/><Relationship Id="rId14943" Type="http://schemas.openxmlformats.org/officeDocument/2006/relationships/hyperlink" Target="http://csr.bu.edu/ftp/asl/asllvd/demos/verify_start_end_handshape_annotations//test_auto_move//signs_mov/1833.mov" TargetMode="External"/><Relationship Id="rId14944" Type="http://schemas.openxmlformats.org/officeDocument/2006/relationships/hyperlink" Target="http://csr.bu.edu/ftp/asl/asllvd/demos/verify_start_end_handshape_annotations//test_auto_move//signs_mov_separ_signers/Liz_1833.mov" TargetMode="External"/><Relationship Id="rId14945" Type="http://schemas.openxmlformats.org/officeDocument/2006/relationships/hyperlink" Target="http://secrets.rutgers.edu:8080/data/asl-ftp/asllvd/demos/verify_start_end_handshape_annotations//test_auto_move//signs_mov/1833.mov" TargetMode="External"/><Relationship Id="rId14946" Type="http://schemas.openxmlformats.org/officeDocument/2006/relationships/hyperlink" Target="http://secrets.rutgers.edu:8080/data/asl-ftp/asllvd/demos/verify_start_end_handshape_annotations//test_auto_move//signs_mov_separ_signers/Liz_1833.mov" TargetMode="External"/><Relationship Id="rId14947" Type="http://schemas.openxmlformats.org/officeDocument/2006/relationships/hyperlink" Target="http://csr.bu.edu/ftp/asl/asllvd/demos/verify_start_end_handshape_annotations//test_auto_move//signs_mov_separ_signers/Brady_1833.mov" TargetMode="External"/><Relationship Id="rId14948" Type="http://schemas.openxmlformats.org/officeDocument/2006/relationships/hyperlink" Target="http://secrets.rutgers.edu:8080/data/asl-ftp/asllvd/demos/verify_start_end_handshape_annotations//test_auto_move//signs_mov_separ_signers/Brady_1833.mov" TargetMode="External"/><Relationship Id="rId14949" Type="http://schemas.openxmlformats.org/officeDocument/2006/relationships/hyperlink" Target="http://csr.bu.edu/ftp/asl/asllvd/demos/verify_start_end_handshape_annotations//test_auto_move//signs_mov/1834_3434_merged.mov" TargetMode="External"/><Relationship Id="rId14950" Type="http://schemas.openxmlformats.org/officeDocument/2006/relationships/hyperlink" Target="http://csr.bu.edu/ftp/asl/asllvd/demos/verify_start_end_handshape_annotations//test_auto_move//signs_mov_separ_signers/Brady_1834.mov" TargetMode="External"/><Relationship Id="rId14951" Type="http://schemas.openxmlformats.org/officeDocument/2006/relationships/hyperlink" Target="http://secrets.rutgers.edu:8080/data/asl-ftp/asllvd/demos/verify_start_end_handshape_annotations//test_auto_move//signs_mov/1834_3434_merged.mov" TargetMode="External"/><Relationship Id="rId14952" Type="http://schemas.openxmlformats.org/officeDocument/2006/relationships/hyperlink" Target="http://secrets.rutgers.edu:8080/data/asl-ftp/asllvd/demos/verify_start_end_handshape_annotations//test_auto_move//signs_mov_separ_signers/Brady_1834.mov" TargetMode="External"/><Relationship Id="rId14953" Type="http://schemas.openxmlformats.org/officeDocument/2006/relationships/hyperlink" Target="http://csr.bu.edu/ftp/asl/asllvd/demos/verify_start_end_handshape_annotations//test_auto_move//signs_mov_separ_signers/Brady_3434.mov" TargetMode="External"/><Relationship Id="rId14954" Type="http://schemas.openxmlformats.org/officeDocument/2006/relationships/hyperlink" Target="http://secrets.rutgers.edu:8080/data/asl-ftp/asllvd/demos/verify_start_end_handshape_annotations//test_auto_move//signs_mov_separ_signers/Brady_3434.mov" TargetMode="External"/><Relationship Id="rId14955" Type="http://schemas.openxmlformats.org/officeDocument/2006/relationships/hyperlink" Target="http://csr.bu.edu/ftp/asl/asllvd/demos/verify_start_end_handshape_annotations//test_auto_move//signs_mov/5924_16425_merged.mov" TargetMode="External"/><Relationship Id="rId14956" Type="http://schemas.openxmlformats.org/officeDocument/2006/relationships/hyperlink" Target="http://csr.bu.edu/ftp/asl/asllvd/demos/verify_start_end_handshape_annotations//test_auto_move//signs_mov_separ_signers/Liz_5924.mov" TargetMode="External"/><Relationship Id="rId14957" Type="http://schemas.openxmlformats.org/officeDocument/2006/relationships/hyperlink" Target="http://secrets.rutgers.edu:8080/data/asl-ftp/asllvd/demos/verify_start_end_handshape_annotations//test_auto_move//signs_mov/5924_16425_merged.mov" TargetMode="External"/><Relationship Id="rId14958" Type="http://schemas.openxmlformats.org/officeDocument/2006/relationships/hyperlink" Target="http://secrets.rutgers.edu:8080/data/asl-ftp/asllvd/demos/verify_start_end_handshape_annotations//test_auto_move//signs_mov_separ_signers/Liz_5924.mov" TargetMode="External"/><Relationship Id="rId14959" Type="http://schemas.openxmlformats.org/officeDocument/2006/relationships/hyperlink" Target="http://csr.bu.edu/ftp/asl/asllvd/demos/verify_start_end_handshape_annotations//test_auto_move//signs_mov_separ_signers/Liz_16425.mov" TargetMode="External"/><Relationship Id="rId14960" Type="http://schemas.openxmlformats.org/officeDocument/2006/relationships/hyperlink" Target="http://secrets.rutgers.edu:8080/data/asl-ftp/asllvd/demos/verify_start_end_handshape_annotations//test_auto_move//signs_mov_separ_signers/Liz_16425.mov" TargetMode="External"/><Relationship Id="rId14961" Type="http://schemas.openxmlformats.org/officeDocument/2006/relationships/hyperlink" Target="http://csr.bu.edu/ftp/asl/asllvd/demos/verify_start_end_handshape_annotations//test_auto_move//signs_mov/16426.mov" TargetMode="External"/><Relationship Id="rId14962" Type="http://schemas.openxmlformats.org/officeDocument/2006/relationships/hyperlink" Target="http://csr.bu.edu/ftp/asl/asllvd/demos/verify_start_end_handshape_annotations//test_auto_move//signs_mov_separ_signers/Tyler_16426.mov" TargetMode="External"/><Relationship Id="rId14963" Type="http://schemas.openxmlformats.org/officeDocument/2006/relationships/hyperlink" Target="http://secrets.rutgers.edu:8080/data/asl-ftp/asllvd/demos/verify_start_end_handshape_annotations//test_auto_move//signs_mov/16426.mov" TargetMode="External"/><Relationship Id="rId14964" Type="http://schemas.openxmlformats.org/officeDocument/2006/relationships/hyperlink" Target="http://secrets.rutgers.edu:8080/data/asl-ftp/asllvd/demos/verify_start_end_handshape_annotations//test_auto_move//signs_mov_separ_signers/Tyler_16426.mov" TargetMode="External"/><Relationship Id="rId14965" Type="http://schemas.openxmlformats.org/officeDocument/2006/relationships/hyperlink" Target="http://csr.bu.edu/ftp/asl/asllvd/demos/verify_start_end_handshape_annotations//test_auto_move//signs_mov_separ_signers/Brady_16426.mov" TargetMode="External"/><Relationship Id="rId14966" Type="http://schemas.openxmlformats.org/officeDocument/2006/relationships/hyperlink" Target="http://secrets.rutgers.edu:8080/data/asl-ftp/asllvd/demos/verify_start_end_handshape_annotations//test_auto_move//signs_mov_separ_signers/Brady_16426.mov" TargetMode="External"/><Relationship Id="rId14967" Type="http://schemas.openxmlformats.org/officeDocument/2006/relationships/hyperlink" Target="http://csr.bu.edu/ftp/asl/asllvd/demos/verify_start_end_handshape_annotations//test_auto_move//signs_mov/1841.mov" TargetMode="External"/><Relationship Id="rId14968" Type="http://schemas.openxmlformats.org/officeDocument/2006/relationships/hyperlink" Target="http://csr.bu.edu/ftp/asl/asllvd/demos/verify_start_end_handshape_annotations//test_auto_move//signs_mov_separ_signers/Liz_1841.mov" TargetMode="External"/><Relationship Id="rId14969" Type="http://schemas.openxmlformats.org/officeDocument/2006/relationships/hyperlink" Target="http://secrets.rutgers.edu:8080/data/asl-ftp/asllvd/demos/verify_start_end_handshape_annotations//test_auto_move//signs_mov/1841.mov" TargetMode="External"/><Relationship Id="rId14970" Type="http://schemas.openxmlformats.org/officeDocument/2006/relationships/hyperlink" Target="http://secrets.rutgers.edu:8080/data/asl-ftp/asllvd/demos/verify_start_end_handshape_annotations//test_auto_move//signs_mov_separ_signers/Liz_1841.mov" TargetMode="External"/><Relationship Id="rId14971" Type="http://schemas.openxmlformats.org/officeDocument/2006/relationships/hyperlink" Target="http://csr.bu.edu/ftp/asl/asllvd/demos/verify_start_end_handshape_annotations//test_auto_move//signs_mov_separ_signers/Brady_1841.mov" TargetMode="External"/><Relationship Id="rId14972" Type="http://schemas.openxmlformats.org/officeDocument/2006/relationships/hyperlink" Target="http://secrets.rutgers.edu:8080/data/asl-ftp/asllvd/demos/verify_start_end_handshape_annotations//test_auto_move//signs_mov_separ_signers/Brady_1841.mov" TargetMode="External"/><Relationship Id="rId14973" Type="http://schemas.openxmlformats.org/officeDocument/2006/relationships/hyperlink" Target="http://csr.bu.edu/ftp/asl/asllvd/demos/verify_start_end_handshape_annotations//test_auto_move//signs_mov_separ_signers/Liz_1842.mov" TargetMode="External"/><Relationship Id="rId14974" Type="http://schemas.openxmlformats.org/officeDocument/2006/relationships/hyperlink" Target="http://secrets.rutgers.edu:8080/data/asl-ftp/asllvd/demos/verify_start_end_handshape_annotations//test_auto_move//signs_mov_separ_signers/Liz_1842.mov" TargetMode="External"/><Relationship Id="rId14975" Type="http://schemas.openxmlformats.org/officeDocument/2006/relationships/hyperlink" Target="http://csr.bu.edu/ftp/asl/asllvd/demos/verify_start_end_handshape_annotations//test_auto_move//signs_mov/1842.mov" TargetMode="External"/><Relationship Id="rId14976" Type="http://schemas.openxmlformats.org/officeDocument/2006/relationships/hyperlink" Target="http://csr.bu.edu/ftp/asl/asllvd/demos/verify_start_end_handshape_annotations//test_auto_move//signs_mov_separ_signers/Brady_1842.mov" TargetMode="External"/><Relationship Id="rId14977" Type="http://schemas.openxmlformats.org/officeDocument/2006/relationships/hyperlink" Target="http://secrets.rutgers.edu:8080/data/asl-ftp/asllvd/demos/verify_start_end_handshape_annotations//test_auto_move//signs_mov/1842.mov" TargetMode="External"/><Relationship Id="rId14978" Type="http://schemas.openxmlformats.org/officeDocument/2006/relationships/hyperlink" Target="http://secrets.rutgers.edu:8080/data/asl-ftp/asllvd/demos/verify_start_end_handshape_annotations//test_auto_move//signs_mov_separ_signers/Brady_1842.mov" TargetMode="External"/><Relationship Id="rId14979" Type="http://schemas.openxmlformats.org/officeDocument/2006/relationships/hyperlink" Target="http://csr.bu.edu/ftp/asl/asllvd/demos/verify_start_end_handshape_annotations//test_auto_move//signs_mov_separ_signers/Lana_1842.mov" TargetMode="External"/><Relationship Id="rId14980" Type="http://schemas.openxmlformats.org/officeDocument/2006/relationships/hyperlink" Target="http://secrets.rutgers.edu:8080/data/asl-ftp/asllvd/demos/verify_start_end_handshape_annotations//test_auto_move//signs_mov_separ_signers/Lana_1842.mov" TargetMode="External"/><Relationship Id="rId14981" Type="http://schemas.openxmlformats.org/officeDocument/2006/relationships/hyperlink" Target="http://csr.bu.edu/ftp/asl/asllvd/demos/verify_start_end_handshape_annotations//test_auto_move//signs_mov_separ_signers/Dana_1842.mov" TargetMode="External"/><Relationship Id="rId14982" Type="http://schemas.openxmlformats.org/officeDocument/2006/relationships/hyperlink" Target="http://secrets.rutgers.edu:8080/data/asl-ftp/asllvd/demos/verify_start_end_handshape_annotations//test_auto_move//signs_mov_separ_signers/Dana_1842.mov" TargetMode="External"/><Relationship Id="rId14983" Type="http://schemas.openxmlformats.org/officeDocument/2006/relationships/hyperlink" Target="http://csr.bu.edu/ftp/asl/asllvd/demos/verify_start_end_handshape_annotations//test_auto_move//signs_mov_separ_signers/Liz_1850.mov" TargetMode="External"/><Relationship Id="rId14984" Type="http://schemas.openxmlformats.org/officeDocument/2006/relationships/hyperlink" Target="http://secrets.rutgers.edu:8080/data/asl-ftp/asllvd/demos/verify_start_end_handshape_annotations//test_auto_move//signs_mov_separ_signers/Liz_1850.mov" TargetMode="External"/><Relationship Id="rId14985" Type="http://schemas.openxmlformats.org/officeDocument/2006/relationships/hyperlink" Target="http://csr.bu.edu/ftp/asl/asllvd/demos/verify_start_end_handshape_annotations//test_auto_move//signs_mov/1850_15659_16427_merged.mov" TargetMode="External"/><Relationship Id="rId14986" Type="http://schemas.openxmlformats.org/officeDocument/2006/relationships/hyperlink" Target="http://csr.bu.edu/ftp/asl/asllvd/demos/verify_start_end_handshape_annotations//test_auto_move//signs_mov_separ_signers/Brady_1850.mov" TargetMode="External"/><Relationship Id="rId14987" Type="http://schemas.openxmlformats.org/officeDocument/2006/relationships/hyperlink" Target="http://secrets.rutgers.edu:8080/data/asl-ftp/asllvd/demos/verify_start_end_handshape_annotations//test_auto_move//signs_mov/1850_15659_16427_merged.mov" TargetMode="External"/><Relationship Id="rId14988" Type="http://schemas.openxmlformats.org/officeDocument/2006/relationships/hyperlink" Target="http://secrets.rutgers.edu:8080/data/asl-ftp/asllvd/demos/verify_start_end_handshape_annotations//test_auto_move//signs_mov_separ_signers/Brady_1850.mov" TargetMode="External"/><Relationship Id="rId14989" Type="http://schemas.openxmlformats.org/officeDocument/2006/relationships/hyperlink" Target="http://csr.bu.edu/ftp/asl/asllvd/demos/verify_start_end_handshape_annotations//test_auto_move//signs_mov_separ_signers/Brady_15659.mov" TargetMode="External"/><Relationship Id="rId14990" Type="http://schemas.openxmlformats.org/officeDocument/2006/relationships/hyperlink" Target="http://secrets.rutgers.edu:8080/data/asl-ftp/asllvd/demos/verify_start_end_handshape_annotations//test_auto_move//signs_mov_separ_signers/Brady_15659.mov" TargetMode="External"/><Relationship Id="rId14991" Type="http://schemas.openxmlformats.org/officeDocument/2006/relationships/hyperlink" Target="http://csr.bu.edu/ftp/asl/asllvd/demos/verify_start_end_handshape_annotations//test_auto_move//signs_mov_separ_signers/Brady_16427.mov" TargetMode="External"/><Relationship Id="rId14992" Type="http://schemas.openxmlformats.org/officeDocument/2006/relationships/hyperlink" Target="http://secrets.rutgers.edu:8080/data/asl-ftp/asllvd/demos/verify_start_end_handshape_annotations//test_auto_move//signs_mov_separ_signers/Brady_16427.mov" TargetMode="External"/><Relationship Id="rId14993" Type="http://schemas.openxmlformats.org/officeDocument/2006/relationships/hyperlink" Target="http://csr.bu.edu/ftp/asl/asllvd/demos/verify_start_end_handshape_annotations//test_auto_move//signs_mov/16446.mov" TargetMode="External"/><Relationship Id="rId14994" Type="http://schemas.openxmlformats.org/officeDocument/2006/relationships/hyperlink" Target="http://csr.bu.edu/ftp/asl/asllvd/demos/verify_start_end_handshape_annotations//test_auto_move//signs_mov_separ_signers/Liz_16446.mov" TargetMode="External"/><Relationship Id="rId14995" Type="http://schemas.openxmlformats.org/officeDocument/2006/relationships/hyperlink" Target="http://secrets.rutgers.edu:8080/data/asl-ftp/asllvd/demos/verify_start_end_handshape_annotations//test_auto_move//signs_mov/16446.mov" TargetMode="External"/><Relationship Id="rId14996" Type="http://schemas.openxmlformats.org/officeDocument/2006/relationships/hyperlink" Target="http://secrets.rutgers.edu:8080/data/asl-ftp/asllvd/demos/verify_start_end_handshape_annotations//test_auto_move//signs_mov_separ_signers/Liz_16446.mov" TargetMode="External"/><Relationship Id="rId14997" Type="http://schemas.openxmlformats.org/officeDocument/2006/relationships/hyperlink" Target="http://csr.bu.edu/ftp/asl/asllvd/demos/verify_start_end_handshape_annotations//test_auto_move//signs_mov/1851.mov" TargetMode="External"/><Relationship Id="rId14998" Type="http://schemas.openxmlformats.org/officeDocument/2006/relationships/hyperlink" Target="http://csr.bu.edu/ftp/asl/asllvd/demos/verify_start_end_handshape_annotations//test_auto_move//signs_mov_separ_signers/Liz_1851.mov" TargetMode="External"/><Relationship Id="rId14999" Type="http://schemas.openxmlformats.org/officeDocument/2006/relationships/hyperlink" Target="http://secrets.rutgers.edu:8080/data/asl-ftp/asllvd/demos/verify_start_end_handshape_annotations//test_auto_move//signs_mov/1851.mov" TargetMode="External"/><Relationship Id="rId15000" Type="http://schemas.openxmlformats.org/officeDocument/2006/relationships/hyperlink" Target="http://secrets.rutgers.edu:8080/data/asl-ftp/asllvd/demos/verify_start_end_handshape_annotations//test_auto_move//signs_mov_separ_signers/Liz_1851.mov" TargetMode="External"/><Relationship Id="rId15001" Type="http://schemas.openxmlformats.org/officeDocument/2006/relationships/hyperlink" Target="http://csr.bu.edu/ftp/asl/asllvd/demos/verify_start_end_handshape_annotations//test_auto_move//signs_mov/15061.mov" TargetMode="External"/><Relationship Id="rId15002" Type="http://schemas.openxmlformats.org/officeDocument/2006/relationships/hyperlink" Target="http://csr.bu.edu/ftp/asl/asllvd/demos/verify_start_end_handshape_annotations//test_auto_move//signs_mov_separ_signers/Brady_15061.mov" TargetMode="External"/><Relationship Id="rId15003" Type="http://schemas.openxmlformats.org/officeDocument/2006/relationships/hyperlink" Target="http://secrets.rutgers.edu:8080/data/asl-ftp/asllvd/demos/verify_start_end_handshape_annotations//test_auto_move//signs_mov/15061.mov" TargetMode="External"/><Relationship Id="rId15004" Type="http://schemas.openxmlformats.org/officeDocument/2006/relationships/hyperlink" Target="http://secrets.rutgers.edu:8080/data/asl-ftp/asllvd/demos/verify_start_end_handshape_annotations//test_auto_move//signs_mov_separ_signers/Brady_15061.mov" TargetMode="External"/><Relationship Id="rId15005" Type="http://schemas.openxmlformats.org/officeDocument/2006/relationships/hyperlink" Target="http://csr.bu.edu/ftp/asl/asllvd/demos/verify_start_end_handshape_annotations//test_auto_move//signs_mov_separ_signers/Liz_1853.mov" TargetMode="External"/><Relationship Id="rId15006" Type="http://schemas.openxmlformats.org/officeDocument/2006/relationships/hyperlink" Target="http://secrets.rutgers.edu:8080/data/asl-ftp/asllvd/demos/verify_start_end_handshape_annotations//test_auto_move//signs_mov_separ_signers/Liz_1853.mov" TargetMode="External"/><Relationship Id="rId15007" Type="http://schemas.openxmlformats.org/officeDocument/2006/relationships/hyperlink" Target="http://csr.bu.edu/ftp/asl/asllvd/demos/verify_start_end_handshape_annotations//test_auto_move//signs_mov/1853.mov" TargetMode="External"/><Relationship Id="rId15008" Type="http://schemas.openxmlformats.org/officeDocument/2006/relationships/hyperlink" Target="http://csr.bu.edu/ftp/asl/asllvd/demos/verify_start_end_handshape_annotations//test_auto_move//signs_mov_separ_signers/Brady_1853.mov" TargetMode="External"/><Relationship Id="rId15009" Type="http://schemas.openxmlformats.org/officeDocument/2006/relationships/hyperlink" Target="http://secrets.rutgers.edu:8080/data/asl-ftp/asllvd/demos/verify_start_end_handshape_annotations//test_auto_move//signs_mov/1853.mov" TargetMode="External"/><Relationship Id="rId15010" Type="http://schemas.openxmlformats.org/officeDocument/2006/relationships/hyperlink" Target="http://secrets.rutgers.edu:8080/data/asl-ftp/asllvd/demos/verify_start_end_handshape_annotations//test_auto_move//signs_mov_separ_signers/Brady_1853.mov" TargetMode="External"/><Relationship Id="rId15011" Type="http://schemas.openxmlformats.org/officeDocument/2006/relationships/hyperlink" Target="http://csr.bu.edu/ftp/asl/asllvd/demos/verify_start_end_handshape_annotations//test_auto_move//signs_mov_separ_signers/Dana_1853.mov" TargetMode="External"/><Relationship Id="rId15012" Type="http://schemas.openxmlformats.org/officeDocument/2006/relationships/hyperlink" Target="http://secrets.rutgers.edu:8080/data/asl-ftp/asllvd/demos/verify_start_end_handshape_annotations//test_auto_move//signs_mov_separ_signers/Dana_1853.mov" TargetMode="External"/><Relationship Id="rId15013" Type="http://schemas.openxmlformats.org/officeDocument/2006/relationships/hyperlink" Target="http://csr.bu.edu/ftp/asl/asllvd/demos/verify_start_end_handshape_annotations//test_auto_move//signs_mov/16447.mov" TargetMode="External"/><Relationship Id="rId15014" Type="http://schemas.openxmlformats.org/officeDocument/2006/relationships/hyperlink" Target="http://csr.bu.edu/ftp/asl/asllvd/demos/verify_start_end_handshape_annotations//test_auto_move//signs_mov_separ_signers/Lana_16447.mov" TargetMode="External"/><Relationship Id="rId15015" Type="http://schemas.openxmlformats.org/officeDocument/2006/relationships/hyperlink" Target="http://secrets.rutgers.edu:8080/data/asl-ftp/asllvd/demos/verify_start_end_handshape_annotations//test_auto_move//signs_mov/16447.mov" TargetMode="External"/><Relationship Id="rId15016" Type="http://schemas.openxmlformats.org/officeDocument/2006/relationships/hyperlink" Target="http://secrets.rutgers.edu:8080/data/asl-ftp/asllvd/demos/verify_start_end_handshape_annotations//test_auto_move//signs_mov_separ_signers/Lana_16447.mov" TargetMode="External"/><Relationship Id="rId15017" Type="http://schemas.openxmlformats.org/officeDocument/2006/relationships/hyperlink" Target="http://csr.bu.edu/ftp/asl/asllvd/demos/verify_start_end_handshape_annotations//test_auto_move//signs_mov/1854.mov" TargetMode="External"/><Relationship Id="rId15018" Type="http://schemas.openxmlformats.org/officeDocument/2006/relationships/hyperlink" Target="http://csr.bu.edu/ftp/asl/asllvd/demos/verify_start_end_handshape_annotations//test_auto_move//signs_mov_separ_signers/Liz_1854.mov" TargetMode="External"/><Relationship Id="rId15019" Type="http://schemas.openxmlformats.org/officeDocument/2006/relationships/hyperlink" Target="http://secrets.rutgers.edu:8080/data/asl-ftp/asllvd/demos/verify_start_end_handshape_annotations//test_auto_move//signs_mov/1854.mov" TargetMode="External"/><Relationship Id="rId15020" Type="http://schemas.openxmlformats.org/officeDocument/2006/relationships/hyperlink" Target="http://secrets.rutgers.edu:8080/data/asl-ftp/asllvd/demos/verify_start_end_handshape_annotations//test_auto_move//signs_mov_separ_signers/Liz_1854.mov" TargetMode="External"/><Relationship Id="rId15021" Type="http://schemas.openxmlformats.org/officeDocument/2006/relationships/hyperlink" Target="http://csr.bu.edu/ftp/asl/asllvd/demos/verify_start_end_handshape_annotations//test_auto_move//signs_mov_separ_signers/Brady_1854.mov" TargetMode="External"/><Relationship Id="rId15022" Type="http://schemas.openxmlformats.org/officeDocument/2006/relationships/hyperlink" Target="http://secrets.rutgers.edu:8080/data/asl-ftp/asllvd/demos/verify_start_end_handshape_annotations//test_auto_move//signs_mov_separ_signers/Brady_1854.mov" TargetMode="External"/><Relationship Id="rId15023" Type="http://schemas.openxmlformats.org/officeDocument/2006/relationships/hyperlink" Target="http://csr.bu.edu/ftp/asl/asllvd/demos/verify_start_end_handshape_annotations//test_auto_move//signs_mov/1855.mov" TargetMode="External"/><Relationship Id="rId15024" Type="http://schemas.openxmlformats.org/officeDocument/2006/relationships/hyperlink" Target="http://csr.bu.edu/ftp/asl/asllvd/demos/verify_start_end_handshape_annotations//test_auto_move//signs_mov_separ_signers/Liz_1855.mov" TargetMode="External"/><Relationship Id="rId15025" Type="http://schemas.openxmlformats.org/officeDocument/2006/relationships/hyperlink" Target="http://secrets.rutgers.edu:8080/data/asl-ftp/asllvd/demos/verify_start_end_handshape_annotations//test_auto_move//signs_mov/1855.mov" TargetMode="External"/><Relationship Id="rId15026" Type="http://schemas.openxmlformats.org/officeDocument/2006/relationships/hyperlink" Target="http://secrets.rutgers.edu:8080/data/asl-ftp/asllvd/demos/verify_start_end_handshape_annotations//test_auto_move//signs_mov_separ_signers/Liz_1855.mov" TargetMode="External"/><Relationship Id="rId15027" Type="http://schemas.openxmlformats.org/officeDocument/2006/relationships/hyperlink" Target="http://csr.bu.edu/ftp/asl/asllvd/demos/verify_start_end_handshape_annotations//test_auto_move//signs_mov_separ_signers/Brady_1855.mov" TargetMode="External"/><Relationship Id="rId15028" Type="http://schemas.openxmlformats.org/officeDocument/2006/relationships/hyperlink" Target="http://secrets.rutgers.edu:8080/data/asl-ftp/asllvd/demos/verify_start_end_handshape_annotations//test_auto_move//signs_mov_separ_signers/Brady_1855.mov" TargetMode="External"/><Relationship Id="rId15029" Type="http://schemas.openxmlformats.org/officeDocument/2006/relationships/hyperlink" Target="http://csr.bu.edu/ftp/asl/asllvd/demos/verify_start_end_handshape_annotations//test_auto_move//signs_mov/1859.mov" TargetMode="External"/><Relationship Id="rId15030" Type="http://schemas.openxmlformats.org/officeDocument/2006/relationships/hyperlink" Target="http://csr.bu.edu/ftp/asl/asllvd/demos/verify_start_end_handshape_annotations//test_auto_move//signs_mov_separ_signers/Liz_1859.mov" TargetMode="External"/><Relationship Id="rId15031" Type="http://schemas.openxmlformats.org/officeDocument/2006/relationships/hyperlink" Target="http://secrets.rutgers.edu:8080/data/asl-ftp/asllvd/demos/verify_start_end_handshape_annotations//test_auto_move//signs_mov/1859.mov" TargetMode="External"/><Relationship Id="rId15032" Type="http://schemas.openxmlformats.org/officeDocument/2006/relationships/hyperlink" Target="http://secrets.rutgers.edu:8080/data/asl-ftp/asllvd/demos/verify_start_end_handshape_annotations//test_auto_move//signs_mov_separ_signers/Liz_1859.mov" TargetMode="External"/><Relationship Id="rId15033" Type="http://schemas.openxmlformats.org/officeDocument/2006/relationships/hyperlink" Target="http://csr.bu.edu/ftp/asl/asllvd/demos/verify_start_end_handshape_annotations//test_auto_move//signs_mov_separ_signers/Brady_1859.mov" TargetMode="External"/><Relationship Id="rId15034" Type="http://schemas.openxmlformats.org/officeDocument/2006/relationships/hyperlink" Target="http://secrets.rutgers.edu:8080/data/asl-ftp/asllvd/demos/verify_start_end_handshape_annotations//test_auto_move//signs_mov_separ_signers/Brady_1859.mov" TargetMode="External"/><Relationship Id="rId15035" Type="http://schemas.openxmlformats.org/officeDocument/2006/relationships/hyperlink" Target="http://csr.bu.edu/ftp/asl/asllvd/demos/verify_start_end_handshape_annotations//test_auto_move//signs_mov/1866.mov" TargetMode="External"/><Relationship Id="rId15036" Type="http://schemas.openxmlformats.org/officeDocument/2006/relationships/hyperlink" Target="http://csr.bu.edu/ftp/asl/asllvd/demos/verify_start_end_handshape_annotations//test_auto_move//signs_mov_separ_signers/Liz_1866.mov" TargetMode="External"/><Relationship Id="rId15037" Type="http://schemas.openxmlformats.org/officeDocument/2006/relationships/hyperlink" Target="http://secrets.rutgers.edu:8080/data/asl-ftp/asllvd/demos/verify_start_end_handshape_annotations//test_auto_move//signs_mov/1866.mov" TargetMode="External"/><Relationship Id="rId15038" Type="http://schemas.openxmlformats.org/officeDocument/2006/relationships/hyperlink" Target="http://secrets.rutgers.edu:8080/data/asl-ftp/asllvd/demos/verify_start_end_handshape_annotations//test_auto_move//signs_mov_separ_signers/Liz_1866.mov" TargetMode="External"/><Relationship Id="rId15039" Type="http://schemas.openxmlformats.org/officeDocument/2006/relationships/hyperlink" Target="http://csr.bu.edu/ftp/asl/asllvd/demos/verify_start_end_handshape_annotations//test_auto_move//signs_mov_separ_signers/Brady_1866.mov" TargetMode="External"/><Relationship Id="rId15040" Type="http://schemas.openxmlformats.org/officeDocument/2006/relationships/hyperlink" Target="http://secrets.rutgers.edu:8080/data/asl-ftp/asllvd/demos/verify_start_end_handshape_annotations//test_auto_move//signs_mov_separ_signers/Brady_1866.mov" TargetMode="External"/><Relationship Id="rId15041" Type="http://schemas.openxmlformats.org/officeDocument/2006/relationships/hyperlink" Target="http://csr.bu.edu/ftp/asl/asllvd/demos/verify_start_end_handshape_annotations//test_auto_move//signs_mov/1871.mov" TargetMode="External"/><Relationship Id="rId15042" Type="http://schemas.openxmlformats.org/officeDocument/2006/relationships/hyperlink" Target="http://csr.bu.edu/ftp/asl/asllvd/demos/verify_start_end_handshape_annotations//test_auto_move//signs_mov_separ_signers/Liz_1871.mov" TargetMode="External"/><Relationship Id="rId15043" Type="http://schemas.openxmlformats.org/officeDocument/2006/relationships/hyperlink" Target="http://secrets.rutgers.edu:8080/data/asl-ftp/asllvd/demos/verify_start_end_handshape_annotations//test_auto_move//signs_mov/1871.mov" TargetMode="External"/><Relationship Id="rId15044" Type="http://schemas.openxmlformats.org/officeDocument/2006/relationships/hyperlink" Target="http://secrets.rutgers.edu:8080/data/asl-ftp/asllvd/demos/verify_start_end_handshape_annotations//test_auto_move//signs_mov_separ_signers/Liz_1871.mov" TargetMode="External"/><Relationship Id="rId15045" Type="http://schemas.openxmlformats.org/officeDocument/2006/relationships/hyperlink" Target="http://csr.bu.edu/ftp/asl/asllvd/demos/verify_start_end_handshape_annotations//test_auto_move//signs_mov_separ_signers/Brady_1871.mov" TargetMode="External"/><Relationship Id="rId15046" Type="http://schemas.openxmlformats.org/officeDocument/2006/relationships/hyperlink" Target="http://secrets.rutgers.edu:8080/data/asl-ftp/asllvd/demos/verify_start_end_handshape_annotations//test_auto_move//signs_mov_separ_signers/Brady_1871.mov" TargetMode="External"/><Relationship Id="rId15047" Type="http://schemas.openxmlformats.org/officeDocument/2006/relationships/hyperlink" Target="http://csr.bu.edu/ftp/asl/asllvd/demos/verify_start_end_handshape_annotations//test_auto_move//signs_mov/1878.mov" TargetMode="External"/><Relationship Id="rId15048" Type="http://schemas.openxmlformats.org/officeDocument/2006/relationships/hyperlink" Target="http://csr.bu.edu/ftp/asl/asllvd/demos/verify_start_end_handshape_annotations//test_auto_move//signs_mov_separ_signers/Liz_1878.mov" TargetMode="External"/><Relationship Id="rId15049" Type="http://schemas.openxmlformats.org/officeDocument/2006/relationships/hyperlink" Target="http://secrets.rutgers.edu:8080/data/asl-ftp/asllvd/demos/verify_start_end_handshape_annotations//test_auto_move//signs_mov/1878.mov" TargetMode="External"/><Relationship Id="rId15050" Type="http://schemas.openxmlformats.org/officeDocument/2006/relationships/hyperlink" Target="http://secrets.rutgers.edu:8080/data/asl-ftp/asllvd/demos/verify_start_end_handshape_annotations//test_auto_move//signs_mov_separ_signers/Liz_1878.mov" TargetMode="External"/><Relationship Id="rId15051" Type="http://schemas.openxmlformats.org/officeDocument/2006/relationships/hyperlink" Target="http://csr.bu.edu/ftp/asl/asllvd/demos/verify_start_end_handshape_annotations//test_auto_move//signs_mov_separ_signers/Brady_1878.mov" TargetMode="External"/><Relationship Id="rId15052" Type="http://schemas.openxmlformats.org/officeDocument/2006/relationships/hyperlink" Target="http://secrets.rutgers.edu:8080/data/asl-ftp/asllvd/demos/verify_start_end_handshape_annotations//test_auto_move//signs_mov_separ_signers/Brady_1878.mov" TargetMode="External"/><Relationship Id="rId15053" Type="http://schemas.openxmlformats.org/officeDocument/2006/relationships/hyperlink" Target="http://csr.bu.edu/ftp/asl/asllvd/demos/verify_start_end_handshape_annotations//test_auto_move//signs_mov/1881.mov" TargetMode="External"/><Relationship Id="rId15054" Type="http://schemas.openxmlformats.org/officeDocument/2006/relationships/hyperlink" Target="http://csr.bu.edu/ftp/asl/asllvd/demos/verify_start_end_handshape_annotations//test_auto_move//signs_mov_separ_signers/Liz_1881.mov" TargetMode="External"/><Relationship Id="rId15055" Type="http://schemas.openxmlformats.org/officeDocument/2006/relationships/hyperlink" Target="http://secrets.rutgers.edu:8080/data/asl-ftp/asllvd/demos/verify_start_end_handshape_annotations//test_auto_move//signs_mov/1881.mov" TargetMode="External"/><Relationship Id="rId15056" Type="http://schemas.openxmlformats.org/officeDocument/2006/relationships/hyperlink" Target="http://secrets.rutgers.edu:8080/data/asl-ftp/asllvd/demos/verify_start_end_handshape_annotations//test_auto_move//signs_mov_separ_signers/Liz_1881.mov" TargetMode="External"/><Relationship Id="rId15057" Type="http://schemas.openxmlformats.org/officeDocument/2006/relationships/hyperlink" Target="http://csr.bu.edu/ftp/asl/asllvd/demos/verify_start_end_handshape_annotations//test_auto_move//signs_mov_separ_signers/Brady_1881.mov" TargetMode="External"/><Relationship Id="rId15058" Type="http://schemas.openxmlformats.org/officeDocument/2006/relationships/hyperlink" Target="http://secrets.rutgers.edu:8080/data/asl-ftp/asllvd/demos/verify_start_end_handshape_annotations//test_auto_move//signs_mov_separ_signers/Brady_1881.mov" TargetMode="External"/><Relationship Id="rId15059" Type="http://schemas.openxmlformats.org/officeDocument/2006/relationships/hyperlink" Target="http://csr.bu.edu/ftp/asl/asllvd/demos/verify_start_end_handshape_annotations//test_auto_move//signs_mov/3716.mov" TargetMode="External"/><Relationship Id="rId15060" Type="http://schemas.openxmlformats.org/officeDocument/2006/relationships/hyperlink" Target="http://csr.bu.edu/ftp/asl/asllvd/demos/verify_start_end_handshape_annotations//test_auto_move//signs_mov_separ_signers/Liz_3716.mov" TargetMode="External"/><Relationship Id="rId15061" Type="http://schemas.openxmlformats.org/officeDocument/2006/relationships/hyperlink" Target="http://secrets.rutgers.edu:8080/data/asl-ftp/asllvd/demos/verify_start_end_handshape_annotations//test_auto_move//signs_mov/3716.mov" TargetMode="External"/><Relationship Id="rId15062" Type="http://schemas.openxmlformats.org/officeDocument/2006/relationships/hyperlink" Target="http://secrets.rutgers.edu:8080/data/asl-ftp/asllvd/demos/verify_start_end_handshape_annotations//test_auto_move//signs_mov_separ_signers/Liz_3716.mov" TargetMode="External"/><Relationship Id="rId15063" Type="http://schemas.openxmlformats.org/officeDocument/2006/relationships/hyperlink" Target="http://csr.bu.edu/ftp/asl/asllvd/demos/verify_start_end_handshape_annotations//test_auto_move//signs_mov/3911.mov" TargetMode="External"/><Relationship Id="rId15064" Type="http://schemas.openxmlformats.org/officeDocument/2006/relationships/hyperlink" Target="http://csr.bu.edu/ftp/asl/asllvd/demos/verify_start_end_handshape_annotations//test_auto_move//signs_mov_separ_signers/Liz_3911.mov" TargetMode="External"/><Relationship Id="rId15065" Type="http://schemas.openxmlformats.org/officeDocument/2006/relationships/hyperlink" Target="http://secrets.rutgers.edu:8080/data/asl-ftp/asllvd/demos/verify_start_end_handshape_annotations//test_auto_move//signs_mov/3911.mov" TargetMode="External"/><Relationship Id="rId15066" Type="http://schemas.openxmlformats.org/officeDocument/2006/relationships/hyperlink" Target="http://secrets.rutgers.edu:8080/data/asl-ftp/asllvd/demos/verify_start_end_handshape_annotations//test_auto_move//signs_mov_separ_signers/Liz_3911.mov" TargetMode="External"/><Relationship Id="rId15067" Type="http://schemas.openxmlformats.org/officeDocument/2006/relationships/hyperlink" Target="http://csr.bu.edu/ftp/asl/asllvd/demos/verify_start_end_handshape_annotations//test_auto_move//signs_mov/5666.mov" TargetMode="External"/><Relationship Id="rId15068" Type="http://schemas.openxmlformats.org/officeDocument/2006/relationships/hyperlink" Target="http://csr.bu.edu/ftp/asl/asllvd/demos/verify_start_end_handshape_annotations//test_auto_move//signs_mov_separ_signers/Brady_5666.mov" TargetMode="External"/><Relationship Id="rId15069" Type="http://schemas.openxmlformats.org/officeDocument/2006/relationships/hyperlink" Target="http://secrets.rutgers.edu:8080/data/asl-ftp/asllvd/demos/verify_start_end_handshape_annotations//test_auto_move//signs_mov/5666.mov" TargetMode="External"/><Relationship Id="rId15070" Type="http://schemas.openxmlformats.org/officeDocument/2006/relationships/hyperlink" Target="http://secrets.rutgers.edu:8080/data/asl-ftp/asllvd/demos/verify_start_end_handshape_annotations//test_auto_move//signs_mov_separ_signers/Brady_5666.mov" TargetMode="External"/><Relationship Id="rId15071" Type="http://schemas.openxmlformats.org/officeDocument/2006/relationships/hyperlink" Target="http://csr.bu.edu/ftp/asl/asllvd/demos/verify_start_end_handshape_annotations//test_auto_move//signs_mov/15062.mov" TargetMode="External"/><Relationship Id="rId15072" Type="http://schemas.openxmlformats.org/officeDocument/2006/relationships/hyperlink" Target="http://csr.bu.edu/ftp/asl/asllvd/demos/verify_start_end_handshape_annotations//test_auto_move//signs_mov_separ_signers/Liz_15062.mov" TargetMode="External"/><Relationship Id="rId15073" Type="http://schemas.openxmlformats.org/officeDocument/2006/relationships/hyperlink" Target="http://secrets.rutgers.edu:8080/data/asl-ftp/asllvd/demos/verify_start_end_handshape_annotations//test_auto_move//signs_mov/15062.mov" TargetMode="External"/><Relationship Id="rId15074" Type="http://schemas.openxmlformats.org/officeDocument/2006/relationships/hyperlink" Target="http://secrets.rutgers.edu:8080/data/asl-ftp/asllvd/demos/verify_start_end_handshape_annotations//test_auto_move//signs_mov_separ_signers/Liz_15062.mov" TargetMode="External"/><Relationship Id="rId15075" Type="http://schemas.openxmlformats.org/officeDocument/2006/relationships/hyperlink" Target="http://csr.bu.edu/ftp/asl/asllvd/demos/verify_start_end_handshape_annotations//test_auto_move//signs_mov_separ_signers/Liz_1885.mov" TargetMode="External"/><Relationship Id="rId15076" Type="http://schemas.openxmlformats.org/officeDocument/2006/relationships/hyperlink" Target="http://secrets.rutgers.edu:8080/data/asl-ftp/asllvd/demos/verify_start_end_handshape_annotations//test_auto_move//signs_mov_separ_signers/Liz_1885.mov" TargetMode="External"/><Relationship Id="rId15077" Type="http://schemas.openxmlformats.org/officeDocument/2006/relationships/hyperlink" Target="http://csr.bu.edu/ftp/asl/asllvd/demos/verify_start_end_handshape_annotations//test_auto_move//signs_mov/1885.mov" TargetMode="External"/><Relationship Id="rId15078" Type="http://schemas.openxmlformats.org/officeDocument/2006/relationships/hyperlink" Target="http://csr.bu.edu/ftp/asl/asllvd/demos/verify_start_end_handshape_annotations//test_auto_move//signs_mov_separ_signers/Brady_1885.mov" TargetMode="External"/><Relationship Id="rId15079" Type="http://schemas.openxmlformats.org/officeDocument/2006/relationships/hyperlink" Target="http://secrets.rutgers.edu:8080/data/asl-ftp/asllvd/demos/verify_start_end_handshape_annotations//test_auto_move//signs_mov/1885.mov" TargetMode="External"/><Relationship Id="rId15080" Type="http://schemas.openxmlformats.org/officeDocument/2006/relationships/hyperlink" Target="http://secrets.rutgers.edu:8080/data/asl-ftp/asllvd/demos/verify_start_end_handshape_annotations//test_auto_move//signs_mov_separ_signers/Brady_1885.mov" TargetMode="External"/><Relationship Id="rId15081" Type="http://schemas.openxmlformats.org/officeDocument/2006/relationships/hyperlink" Target="http://csr.bu.edu/ftp/asl/asllvd/demos/verify_start_end_handshape_annotations//test_auto_move//signs_mov_separ_signers/Lana_1885.mov" TargetMode="External"/><Relationship Id="rId15082" Type="http://schemas.openxmlformats.org/officeDocument/2006/relationships/hyperlink" Target="http://secrets.rutgers.edu:8080/data/asl-ftp/asllvd/demos/verify_start_end_handshape_annotations//test_auto_move//signs_mov_separ_signers/Lana_1885.mov" TargetMode="External"/><Relationship Id="rId15083" Type="http://schemas.openxmlformats.org/officeDocument/2006/relationships/hyperlink" Target="http://csr.bu.edu/ftp/asl/asllvd/demos/verify_start_end_handshape_annotations//test_auto_move//signs_mov_separ_signers/Dana_1885.mov" TargetMode="External"/><Relationship Id="rId15084" Type="http://schemas.openxmlformats.org/officeDocument/2006/relationships/hyperlink" Target="http://secrets.rutgers.edu:8080/data/asl-ftp/asllvd/demos/verify_start_end_handshape_annotations//test_auto_move//signs_mov_separ_signers/Dana_1885.mov" TargetMode="External"/><Relationship Id="rId15085" Type="http://schemas.openxmlformats.org/officeDocument/2006/relationships/hyperlink" Target="http://csr.bu.edu/ftp/asl/asllvd/demos/verify_start_end_handshape_annotations//test_auto_move//signs_mov/15250.mov" TargetMode="External"/><Relationship Id="rId15086" Type="http://schemas.openxmlformats.org/officeDocument/2006/relationships/hyperlink" Target="http://csr.bu.edu/ftp/asl/asllvd/demos/verify_start_end_handshape_annotations//test_auto_move//signs_mov_separ_signers/Liz_15250.mov" TargetMode="External"/><Relationship Id="rId15087" Type="http://schemas.openxmlformats.org/officeDocument/2006/relationships/hyperlink" Target="http://secrets.rutgers.edu:8080/data/asl-ftp/asllvd/demos/verify_start_end_handshape_annotations//test_auto_move//signs_mov/15250.mov" TargetMode="External"/><Relationship Id="rId15088" Type="http://schemas.openxmlformats.org/officeDocument/2006/relationships/hyperlink" Target="http://secrets.rutgers.edu:8080/data/asl-ftp/asllvd/demos/verify_start_end_handshape_annotations//test_auto_move//signs_mov_separ_signers/Liz_15250.mov" TargetMode="External"/><Relationship Id="rId15089" Type="http://schemas.openxmlformats.org/officeDocument/2006/relationships/hyperlink" Target="http://csr.bu.edu/ftp/asl/asllvd/demos/verify_start_end_handshape_annotations//test_auto_move//signs_mov/1886.mov" TargetMode="External"/><Relationship Id="rId15090" Type="http://schemas.openxmlformats.org/officeDocument/2006/relationships/hyperlink" Target="http://csr.bu.edu/ftp/asl/asllvd/demos/verify_start_end_handshape_annotations//test_auto_move//signs_mov_separ_signers/Liz_1886.mov" TargetMode="External"/><Relationship Id="rId15091" Type="http://schemas.openxmlformats.org/officeDocument/2006/relationships/hyperlink" Target="http://secrets.rutgers.edu:8080/data/asl-ftp/asllvd/demos/verify_start_end_handshape_annotations//test_auto_move//signs_mov/1886.mov" TargetMode="External"/><Relationship Id="rId15092" Type="http://schemas.openxmlformats.org/officeDocument/2006/relationships/hyperlink" Target="http://secrets.rutgers.edu:8080/data/asl-ftp/asllvd/demos/verify_start_end_handshape_annotations//test_auto_move//signs_mov_separ_signers/Liz_1886.mov" TargetMode="External"/><Relationship Id="rId15093" Type="http://schemas.openxmlformats.org/officeDocument/2006/relationships/hyperlink" Target="http://csr.bu.edu/ftp/asl/asllvd/demos/verify_start_end_handshape_annotations//test_auto_move//signs_mov_separ_signers/Brady_1886.mov" TargetMode="External"/><Relationship Id="rId15094" Type="http://schemas.openxmlformats.org/officeDocument/2006/relationships/hyperlink" Target="http://secrets.rutgers.edu:8080/data/asl-ftp/asllvd/demos/verify_start_end_handshape_annotations//test_auto_move//signs_mov_separ_signers/Brady_1886.mov" TargetMode="External"/><Relationship Id="rId15095" Type="http://schemas.openxmlformats.org/officeDocument/2006/relationships/hyperlink" Target="http://csr.bu.edu/ftp/asl/asllvd/demos/verify_start_end_handshape_annotations//test_auto_move//signs_mov_separ_signers/Liz_1887.mov" TargetMode="External"/><Relationship Id="rId15096" Type="http://schemas.openxmlformats.org/officeDocument/2006/relationships/hyperlink" Target="http://secrets.rutgers.edu:8080/data/asl-ftp/asllvd/demos/verify_start_end_handshape_annotations//test_auto_move//signs_mov_separ_signers/Liz_1887.mov" TargetMode="External"/><Relationship Id="rId15097" Type="http://schemas.openxmlformats.org/officeDocument/2006/relationships/hyperlink" Target="http://csr.bu.edu/ftp/asl/asllvd/demos/verify_start_end_handshape_annotations//test_auto_move//signs_mov_separ_signers/Liz_3454.mov" TargetMode="External"/><Relationship Id="rId15098" Type="http://schemas.openxmlformats.org/officeDocument/2006/relationships/hyperlink" Target="http://secrets.rutgers.edu:8080/data/asl-ftp/asllvd/demos/verify_start_end_handshape_annotations//test_auto_move//signs_mov_separ_signers/Liz_3454.mov" TargetMode="External"/><Relationship Id="rId15099" Type="http://schemas.openxmlformats.org/officeDocument/2006/relationships/hyperlink" Target="http://csr.bu.edu/ftp/asl/asllvd/demos/verify_start_end_handshape_annotations//test_auto_move//signs_mov/1887_3454_merged.mov" TargetMode="External"/><Relationship Id="rId15100" Type="http://schemas.openxmlformats.org/officeDocument/2006/relationships/hyperlink" Target="http://csr.bu.edu/ftp/asl/asllvd/demos/verify_start_end_handshape_annotations//test_auto_move//signs_mov_separ_signers/Brady_1887.mov" TargetMode="External"/><Relationship Id="rId15101" Type="http://schemas.openxmlformats.org/officeDocument/2006/relationships/hyperlink" Target="http://secrets.rutgers.edu:8080/data/asl-ftp/asllvd/demos/verify_start_end_handshape_annotations//test_auto_move//signs_mov/1887_3454_merged.mov" TargetMode="External"/><Relationship Id="rId15102" Type="http://schemas.openxmlformats.org/officeDocument/2006/relationships/hyperlink" Target="http://secrets.rutgers.edu:8080/data/asl-ftp/asllvd/demos/verify_start_end_handshape_annotations//test_auto_move//signs_mov_separ_signers/Brady_1887.mov" TargetMode="External"/><Relationship Id="rId15103" Type="http://schemas.openxmlformats.org/officeDocument/2006/relationships/hyperlink" Target="http://csr.bu.edu/ftp/asl/asllvd/demos/verify_start_end_handshape_annotations//test_auto_move//signs_mov_separ_signers/Brady_3454.mov" TargetMode="External"/><Relationship Id="rId15104" Type="http://schemas.openxmlformats.org/officeDocument/2006/relationships/hyperlink" Target="http://secrets.rutgers.edu:8080/data/asl-ftp/asllvd/demos/verify_start_end_handshape_annotations//test_auto_move//signs_mov_separ_signers/Brady_3454.mov" TargetMode="External"/><Relationship Id="rId15105" Type="http://schemas.openxmlformats.org/officeDocument/2006/relationships/hyperlink" Target="http://csr.bu.edu/ftp/asl/asllvd/demos/verify_start_end_handshape_annotations//test_auto_move//signs_mov_separ_signers/Lana_1887.mov" TargetMode="External"/><Relationship Id="rId15106" Type="http://schemas.openxmlformats.org/officeDocument/2006/relationships/hyperlink" Target="http://secrets.rutgers.edu:8080/data/asl-ftp/asllvd/demos/verify_start_end_handshape_annotations//test_auto_move//signs_mov_separ_signers/Lana_1887.mov" TargetMode="External"/><Relationship Id="rId15107" Type="http://schemas.openxmlformats.org/officeDocument/2006/relationships/hyperlink" Target="http://csr.bu.edu/ftp/asl/asllvd/demos/verify_start_end_handshape_annotations//test_auto_move//signs_mov_separ_signers/Dana_1887.mov" TargetMode="External"/><Relationship Id="rId15108" Type="http://schemas.openxmlformats.org/officeDocument/2006/relationships/hyperlink" Target="http://secrets.rutgers.edu:8080/data/asl-ftp/asllvd/demos/verify_start_end_handshape_annotations//test_auto_move//signs_mov_separ_signers/Dana_1887.mov" TargetMode="External"/><Relationship Id="rId15109" Type="http://schemas.openxmlformats.org/officeDocument/2006/relationships/hyperlink" Target="http://csr.bu.edu/ftp/asl/asllvd/demos/verify_start_end_handshape_annotations//test_auto_move//signs_mov/15249.mov" TargetMode="External"/><Relationship Id="rId15110" Type="http://schemas.openxmlformats.org/officeDocument/2006/relationships/hyperlink" Target="http://csr.bu.edu/ftp/asl/asllvd/demos/verify_start_end_handshape_annotations//test_auto_move//signs_mov_separ_signers/Liz_15249.mov" TargetMode="External"/><Relationship Id="rId15111" Type="http://schemas.openxmlformats.org/officeDocument/2006/relationships/hyperlink" Target="http://secrets.rutgers.edu:8080/data/asl-ftp/asllvd/demos/verify_start_end_handshape_annotations//test_auto_move//signs_mov/15249.mov" TargetMode="External"/><Relationship Id="rId15112" Type="http://schemas.openxmlformats.org/officeDocument/2006/relationships/hyperlink" Target="http://secrets.rutgers.edu:8080/data/asl-ftp/asllvd/demos/verify_start_end_handshape_annotations//test_auto_move//signs_mov_separ_signers/Liz_15249.mov" TargetMode="External"/><Relationship Id="rId15113" Type="http://schemas.openxmlformats.org/officeDocument/2006/relationships/hyperlink" Target="http://csr.bu.edu/ftp/asl/asllvd/demos/verify_start_end_handshape_annotations//test_auto_move//signs_mov_separ_signers/Brady_15249.mov" TargetMode="External"/><Relationship Id="rId15114" Type="http://schemas.openxmlformats.org/officeDocument/2006/relationships/hyperlink" Target="http://secrets.rutgers.edu:8080/data/asl-ftp/asllvd/demos/verify_start_end_handshape_annotations//test_auto_move//signs_mov_separ_signers/Brady_15249.mov" TargetMode="External"/><Relationship Id="rId15115" Type="http://schemas.openxmlformats.org/officeDocument/2006/relationships/hyperlink" Target="http://csr.bu.edu/ftp/asl/asllvd/demos/verify_start_end_handshape_annotations//test_auto_move//signs_mov/16039.mov" TargetMode="External"/><Relationship Id="rId15116" Type="http://schemas.openxmlformats.org/officeDocument/2006/relationships/hyperlink" Target="http://csr.bu.edu/ftp/asl/asllvd/demos/verify_start_end_handshape_annotations//test_auto_move//signs_mov_separ_signers/Lana_16039.mov" TargetMode="External"/><Relationship Id="rId15117" Type="http://schemas.openxmlformats.org/officeDocument/2006/relationships/hyperlink" Target="http://secrets.rutgers.edu:8080/data/asl-ftp/asllvd/demos/verify_start_end_handshape_annotations//test_auto_move//signs_mov/16039.mov" TargetMode="External"/><Relationship Id="rId15118" Type="http://schemas.openxmlformats.org/officeDocument/2006/relationships/hyperlink" Target="http://secrets.rutgers.edu:8080/data/asl-ftp/asllvd/demos/verify_start_end_handshape_annotations//test_auto_move//signs_mov_separ_signers/Lana_16039.mov" TargetMode="External"/><Relationship Id="rId15119" Type="http://schemas.openxmlformats.org/officeDocument/2006/relationships/hyperlink" Target="http://csr.bu.edu/ftp/asl/asllvd/demos/verify_start_end_handshape_annotations//test_auto_move//signs_mov/16049.mov" TargetMode="External"/><Relationship Id="rId15120" Type="http://schemas.openxmlformats.org/officeDocument/2006/relationships/hyperlink" Target="http://csr.bu.edu/ftp/asl/asllvd/demos/verify_start_end_handshape_annotations//test_auto_move//signs_mov_separ_signers/Liz_16049.mov" TargetMode="External"/><Relationship Id="rId15121" Type="http://schemas.openxmlformats.org/officeDocument/2006/relationships/hyperlink" Target="http://secrets.rutgers.edu:8080/data/asl-ftp/asllvd/demos/verify_start_end_handshape_annotations//test_auto_move//signs_mov/16049.mov" TargetMode="External"/><Relationship Id="rId15122" Type="http://schemas.openxmlformats.org/officeDocument/2006/relationships/hyperlink" Target="http://secrets.rutgers.edu:8080/data/asl-ftp/asllvd/demos/verify_start_end_handshape_annotations//test_auto_move//signs_mov_separ_signers/Liz_16049.mov" TargetMode="External"/><Relationship Id="rId15123" Type="http://schemas.openxmlformats.org/officeDocument/2006/relationships/hyperlink" Target="http://csr.bu.edu/ftp/asl/asllvd/demos/verify_start_end_handshape_annotations//test_auto_move//signs_mov/1888.mov" TargetMode="External"/><Relationship Id="rId15124" Type="http://schemas.openxmlformats.org/officeDocument/2006/relationships/hyperlink" Target="http://csr.bu.edu/ftp/asl/asllvd/demos/verify_start_end_handshape_annotations//test_auto_move//signs_mov_separ_signers/Liz_1888.mov" TargetMode="External"/><Relationship Id="rId15125" Type="http://schemas.openxmlformats.org/officeDocument/2006/relationships/hyperlink" Target="http://secrets.rutgers.edu:8080/data/asl-ftp/asllvd/demos/verify_start_end_handshape_annotations//test_auto_move//signs_mov/1888.mov" TargetMode="External"/><Relationship Id="rId15126" Type="http://schemas.openxmlformats.org/officeDocument/2006/relationships/hyperlink" Target="http://secrets.rutgers.edu:8080/data/asl-ftp/asllvd/demos/verify_start_end_handshape_annotations//test_auto_move//signs_mov_separ_signers/Liz_1888.mov" TargetMode="External"/><Relationship Id="rId15127" Type="http://schemas.openxmlformats.org/officeDocument/2006/relationships/hyperlink" Target="http://csr.bu.edu/ftp/asl/asllvd/demos/verify_start_end_handshape_annotations//test_auto_move//signs_mov_separ_signers/Brady_1888.mov" TargetMode="External"/><Relationship Id="rId15128" Type="http://schemas.openxmlformats.org/officeDocument/2006/relationships/hyperlink" Target="http://secrets.rutgers.edu:8080/data/asl-ftp/asllvd/demos/verify_start_end_handshape_annotations//test_auto_move//signs_mov_separ_signers/Brady_1888.mov" TargetMode="External"/><Relationship Id="rId15129" Type="http://schemas.openxmlformats.org/officeDocument/2006/relationships/hyperlink" Target="http://csr.bu.edu/ftp/asl/asllvd/demos/verify_start_end_handshape_annotations//test_auto_move//signs_mov_separ_signers/Liz_1892.mov" TargetMode="External"/><Relationship Id="rId15130" Type="http://schemas.openxmlformats.org/officeDocument/2006/relationships/hyperlink" Target="http://secrets.rutgers.edu:8080/data/asl-ftp/asllvd/demos/verify_start_end_handshape_annotations//test_auto_move//signs_mov_separ_signers/Liz_1892.mov" TargetMode="External"/><Relationship Id="rId15131" Type="http://schemas.openxmlformats.org/officeDocument/2006/relationships/hyperlink" Target="http://csr.bu.edu/ftp/asl/asllvd/demos/verify_start_end_handshape_annotations//test_auto_move//signs_mov/1892.mov" TargetMode="External"/><Relationship Id="rId15132" Type="http://schemas.openxmlformats.org/officeDocument/2006/relationships/hyperlink" Target="http://csr.bu.edu/ftp/asl/asllvd/demos/verify_start_end_handshape_annotations//test_auto_move//signs_mov_separ_signers/Brady_1892.mov" TargetMode="External"/><Relationship Id="rId15133" Type="http://schemas.openxmlformats.org/officeDocument/2006/relationships/hyperlink" Target="http://secrets.rutgers.edu:8080/data/asl-ftp/asllvd/demos/verify_start_end_handshape_annotations//test_auto_move//signs_mov/1892.mov" TargetMode="External"/><Relationship Id="rId15134" Type="http://schemas.openxmlformats.org/officeDocument/2006/relationships/hyperlink" Target="http://secrets.rutgers.edu:8080/data/asl-ftp/asllvd/demos/verify_start_end_handshape_annotations//test_auto_move//signs_mov_separ_signers/Brady_1892.mov" TargetMode="External"/><Relationship Id="rId15135" Type="http://schemas.openxmlformats.org/officeDocument/2006/relationships/hyperlink" Target="http://csr.bu.edu/ftp/asl/asllvd/demos/verify_start_end_handshape_annotations//test_auto_move//signs_mov_separ_signers/Lana_1892.mov" TargetMode="External"/><Relationship Id="rId15136" Type="http://schemas.openxmlformats.org/officeDocument/2006/relationships/hyperlink" Target="http://secrets.rutgers.edu:8080/data/asl-ftp/asllvd/demos/verify_start_end_handshape_annotations//test_auto_move//signs_mov_separ_signers/Lana_1892.mov" TargetMode="External"/><Relationship Id="rId15137" Type="http://schemas.openxmlformats.org/officeDocument/2006/relationships/hyperlink" Target="http://csr.bu.edu/ftp/asl/asllvd/demos/verify_start_end_handshape_annotations//test_auto_move//signs_mov_separ_signers/Dana_1892.mov" TargetMode="External"/><Relationship Id="rId15138" Type="http://schemas.openxmlformats.org/officeDocument/2006/relationships/hyperlink" Target="http://secrets.rutgers.edu:8080/data/asl-ftp/asllvd/demos/verify_start_end_handshape_annotations//test_auto_move//signs_mov_separ_signers/Dana_1892.mov" TargetMode="External"/><Relationship Id="rId15139" Type="http://schemas.openxmlformats.org/officeDocument/2006/relationships/hyperlink" Target="http://csr.bu.edu/ftp/asl/asllvd/demos/verify_start_end_handshape_annotations//test_auto_move//signs_mov_separ_signers/Liz_1893.mov" TargetMode="External"/><Relationship Id="rId15140" Type="http://schemas.openxmlformats.org/officeDocument/2006/relationships/hyperlink" Target="http://secrets.rutgers.edu:8080/data/asl-ftp/asllvd/demos/verify_start_end_handshape_annotations//test_auto_move//signs_mov_separ_signers/Liz_1893.mov" TargetMode="External"/><Relationship Id="rId15141" Type="http://schemas.openxmlformats.org/officeDocument/2006/relationships/hyperlink" Target="http://csr.bu.edu/ftp/asl/asllvd/demos/verify_start_end_handshape_annotations//test_auto_move//signs_mov/1893_3900_merged.mov" TargetMode="External"/><Relationship Id="rId15142" Type="http://schemas.openxmlformats.org/officeDocument/2006/relationships/hyperlink" Target="http://csr.bu.edu/ftp/asl/asllvd/demos/verify_start_end_handshape_annotations//test_auto_move//signs_mov_separ_signers/Liz_3900.mov" TargetMode="External"/><Relationship Id="rId15143" Type="http://schemas.openxmlformats.org/officeDocument/2006/relationships/hyperlink" Target="http://secrets.rutgers.edu:8080/data/asl-ftp/asllvd/demos/verify_start_end_handshape_annotations//test_auto_move//signs_mov/1893_3900_merged.mov" TargetMode="External"/><Relationship Id="rId15144" Type="http://schemas.openxmlformats.org/officeDocument/2006/relationships/hyperlink" Target="http://secrets.rutgers.edu:8080/data/asl-ftp/asllvd/demos/verify_start_end_handshape_annotations//test_auto_move//signs_mov_separ_signers/Liz_3900.mov" TargetMode="External"/><Relationship Id="rId15145" Type="http://schemas.openxmlformats.org/officeDocument/2006/relationships/hyperlink" Target="http://csr.bu.edu/ftp/asl/asllvd/demos/verify_start_end_handshape_annotations//test_auto_move//signs_mov_separ_signers/Brady_1893.mov" TargetMode="External"/><Relationship Id="rId15146" Type="http://schemas.openxmlformats.org/officeDocument/2006/relationships/hyperlink" Target="http://secrets.rutgers.edu:8080/data/asl-ftp/asllvd/demos/verify_start_end_handshape_annotations//test_auto_move//signs_mov_separ_signers/Brady_1893.mov" TargetMode="External"/><Relationship Id="rId15147" Type="http://schemas.openxmlformats.org/officeDocument/2006/relationships/hyperlink" Target="http://csr.bu.edu/ftp/asl/asllvd/demos/verify_start_end_handshape_annotations//test_auto_move//signs_mov_separ_signers/Brady_3900.mov" TargetMode="External"/><Relationship Id="rId15148" Type="http://schemas.openxmlformats.org/officeDocument/2006/relationships/hyperlink" Target="http://secrets.rutgers.edu:8080/data/asl-ftp/asllvd/demos/verify_start_end_handshape_annotations//test_auto_move//signs_mov_separ_signers/Brady_3900.mov" TargetMode="External"/><Relationship Id="rId15149" Type="http://schemas.openxmlformats.org/officeDocument/2006/relationships/hyperlink" Target="http://csr.bu.edu/ftp/asl/asllvd/demos/verify_start_end_handshape_annotations//test_auto_move//signs_mov_separ_signers/Liz_1896.mov" TargetMode="External"/><Relationship Id="rId15150" Type="http://schemas.openxmlformats.org/officeDocument/2006/relationships/hyperlink" Target="http://secrets.rutgers.edu:8080/data/asl-ftp/asllvd/demos/verify_start_end_handshape_annotations//test_auto_move//signs_mov_separ_signers/Liz_1896.mov" TargetMode="External"/><Relationship Id="rId15151" Type="http://schemas.openxmlformats.org/officeDocument/2006/relationships/hyperlink" Target="http://csr.bu.edu/ftp/asl/asllvd/demos/verify_start_end_handshape_annotations//test_auto_move//signs_mov/1896_5786_merged.mov" TargetMode="External"/><Relationship Id="rId15152" Type="http://schemas.openxmlformats.org/officeDocument/2006/relationships/hyperlink" Target="http://csr.bu.edu/ftp/asl/asllvd/demos/verify_start_end_handshape_annotations//test_auto_move//signs_mov_separ_signers/Brady_1896.mov" TargetMode="External"/><Relationship Id="rId15153" Type="http://schemas.openxmlformats.org/officeDocument/2006/relationships/hyperlink" Target="http://secrets.rutgers.edu:8080/data/asl-ftp/asllvd/demos/verify_start_end_handshape_annotations//test_auto_move//signs_mov/1896_5786_merged.mov" TargetMode="External"/><Relationship Id="rId15154" Type="http://schemas.openxmlformats.org/officeDocument/2006/relationships/hyperlink" Target="http://secrets.rutgers.edu:8080/data/asl-ftp/asllvd/demos/verify_start_end_handshape_annotations//test_auto_move//signs_mov_separ_signers/Brady_1896.mov" TargetMode="External"/><Relationship Id="rId15155" Type="http://schemas.openxmlformats.org/officeDocument/2006/relationships/hyperlink" Target="http://csr.bu.edu/ftp/asl/asllvd/demos/verify_start_end_handshape_annotations//test_auto_move//signs_mov_separ_signers/Brady_5786.mov" TargetMode="External"/><Relationship Id="rId15156" Type="http://schemas.openxmlformats.org/officeDocument/2006/relationships/hyperlink" Target="http://secrets.rutgers.edu:8080/data/asl-ftp/asllvd/demos/verify_start_end_handshape_annotations//test_auto_move//signs_mov_separ_signers/Brady_5786.mov" TargetMode="External"/><Relationship Id="rId15157" Type="http://schemas.openxmlformats.org/officeDocument/2006/relationships/hyperlink" Target="http://csr.bu.edu/ftp/asl/asllvd/demos/verify_start_end_handshape_annotations//test_auto_move//signs_mov/1901.mov" TargetMode="External"/><Relationship Id="rId15158" Type="http://schemas.openxmlformats.org/officeDocument/2006/relationships/hyperlink" Target="http://csr.bu.edu/ftp/asl/asllvd/demos/verify_start_end_handshape_annotations//test_auto_move//signs_mov_separ_signers/Liz_1901.mov" TargetMode="External"/><Relationship Id="rId15159" Type="http://schemas.openxmlformats.org/officeDocument/2006/relationships/hyperlink" Target="http://secrets.rutgers.edu:8080/data/asl-ftp/asllvd/demos/verify_start_end_handshape_annotations//test_auto_move//signs_mov/1901.mov" TargetMode="External"/><Relationship Id="rId15160" Type="http://schemas.openxmlformats.org/officeDocument/2006/relationships/hyperlink" Target="http://secrets.rutgers.edu:8080/data/asl-ftp/asllvd/demos/verify_start_end_handshape_annotations//test_auto_move//signs_mov_separ_signers/Liz_1901.mov" TargetMode="External"/><Relationship Id="rId15161" Type="http://schemas.openxmlformats.org/officeDocument/2006/relationships/hyperlink" Target="http://csr.bu.edu/ftp/asl/asllvd/demos/verify_start_end_handshape_annotations//test_auto_move//signs_mov_separ_signers/Brady_1901.mov" TargetMode="External"/><Relationship Id="rId15162" Type="http://schemas.openxmlformats.org/officeDocument/2006/relationships/hyperlink" Target="http://secrets.rutgers.edu:8080/data/asl-ftp/asllvd/demos/verify_start_end_handshape_annotations//test_auto_move//signs_mov_separ_signers/Brady_1901.mov" TargetMode="External"/><Relationship Id="rId15163" Type="http://schemas.openxmlformats.org/officeDocument/2006/relationships/hyperlink" Target="http://csr.bu.edu/ftp/asl/asllvd/demos/verify_start_end_handshape_annotations//test_auto_move//signs_mov/1904.mov" TargetMode="External"/><Relationship Id="rId15164" Type="http://schemas.openxmlformats.org/officeDocument/2006/relationships/hyperlink" Target="http://csr.bu.edu/ftp/asl/asllvd/demos/verify_start_end_handshape_annotations//test_auto_move//signs_mov_separ_signers/Liz_1904.mov" TargetMode="External"/><Relationship Id="rId15165" Type="http://schemas.openxmlformats.org/officeDocument/2006/relationships/hyperlink" Target="http://secrets.rutgers.edu:8080/data/asl-ftp/asllvd/demos/verify_start_end_handshape_annotations//test_auto_move//signs_mov/1904.mov" TargetMode="External"/><Relationship Id="rId15166" Type="http://schemas.openxmlformats.org/officeDocument/2006/relationships/hyperlink" Target="http://secrets.rutgers.edu:8080/data/asl-ftp/asllvd/demos/verify_start_end_handshape_annotations//test_auto_move//signs_mov_separ_signers/Liz_1904.mov" TargetMode="External"/><Relationship Id="rId15167" Type="http://schemas.openxmlformats.org/officeDocument/2006/relationships/hyperlink" Target="http://csr.bu.edu/ftp/asl/asllvd/demos/verify_start_end_handshape_annotations//test_auto_move//signs_mov_separ_signers/Brady_1904.mov" TargetMode="External"/><Relationship Id="rId15168" Type="http://schemas.openxmlformats.org/officeDocument/2006/relationships/hyperlink" Target="http://secrets.rutgers.edu:8080/data/asl-ftp/asllvd/demos/verify_start_end_handshape_annotations//test_auto_move//signs_mov_separ_signers/Brady_1904.mov" TargetMode="External"/><Relationship Id="rId15169" Type="http://schemas.openxmlformats.org/officeDocument/2006/relationships/hyperlink" Target="http://csr.bu.edu/ftp/asl/asllvd/demos/verify_start_end_handshape_annotations//test_auto_move//signs_mov/1906.mov" TargetMode="External"/><Relationship Id="rId15170" Type="http://schemas.openxmlformats.org/officeDocument/2006/relationships/hyperlink" Target="http://csr.bu.edu/ftp/asl/asllvd/demos/verify_start_end_handshape_annotations//test_auto_move//signs_mov_separ_signers/Liz_1906.mov" TargetMode="External"/><Relationship Id="rId15171" Type="http://schemas.openxmlformats.org/officeDocument/2006/relationships/hyperlink" Target="http://secrets.rutgers.edu:8080/data/asl-ftp/asllvd/demos/verify_start_end_handshape_annotations//test_auto_move//signs_mov/1906.mov" TargetMode="External"/><Relationship Id="rId15172" Type="http://schemas.openxmlformats.org/officeDocument/2006/relationships/hyperlink" Target="http://secrets.rutgers.edu:8080/data/asl-ftp/asllvd/demos/verify_start_end_handshape_annotations//test_auto_move//signs_mov_separ_signers/Liz_1906.mov" TargetMode="External"/><Relationship Id="rId15173" Type="http://schemas.openxmlformats.org/officeDocument/2006/relationships/hyperlink" Target="http://csr.bu.edu/ftp/asl/asllvd/demos/verify_start_end_handshape_annotations//test_auto_move//signs_mov_separ_signers/Brady_1906.mov" TargetMode="External"/><Relationship Id="rId15174" Type="http://schemas.openxmlformats.org/officeDocument/2006/relationships/hyperlink" Target="http://secrets.rutgers.edu:8080/data/asl-ftp/asllvd/demos/verify_start_end_handshape_annotations//test_auto_move//signs_mov_separ_signers/Brady_1906.mov" TargetMode="External"/><Relationship Id="rId15175" Type="http://schemas.openxmlformats.org/officeDocument/2006/relationships/hyperlink" Target="http://csr.bu.edu/ftp/asl/asllvd/demos/verify_start_end_handshape_annotations//test_auto_move//signs_mov/1907.mov" TargetMode="External"/><Relationship Id="rId15176" Type="http://schemas.openxmlformats.org/officeDocument/2006/relationships/hyperlink" Target="http://csr.bu.edu/ftp/asl/asllvd/demos/verify_start_end_handshape_annotations//test_auto_move//signs_mov_separ_signers/Liz_1907.mov" TargetMode="External"/><Relationship Id="rId15177" Type="http://schemas.openxmlformats.org/officeDocument/2006/relationships/hyperlink" Target="http://secrets.rutgers.edu:8080/data/asl-ftp/asllvd/demos/verify_start_end_handshape_annotations//test_auto_move//signs_mov/1907.mov" TargetMode="External"/><Relationship Id="rId15178" Type="http://schemas.openxmlformats.org/officeDocument/2006/relationships/hyperlink" Target="http://secrets.rutgers.edu:8080/data/asl-ftp/asllvd/demos/verify_start_end_handshape_annotations//test_auto_move//signs_mov_separ_signers/Liz_1907.mov" TargetMode="External"/><Relationship Id="rId15179" Type="http://schemas.openxmlformats.org/officeDocument/2006/relationships/hyperlink" Target="http://csr.bu.edu/ftp/asl/asllvd/demos/verify_start_end_handshape_annotations//test_auto_move//signs_mov_separ_signers/Brady_1907.mov" TargetMode="External"/><Relationship Id="rId15180" Type="http://schemas.openxmlformats.org/officeDocument/2006/relationships/hyperlink" Target="http://secrets.rutgers.edu:8080/data/asl-ftp/asllvd/demos/verify_start_end_handshape_annotations//test_auto_move//signs_mov_separ_signers/Brady_1907.mov" TargetMode="External"/><Relationship Id="rId15181" Type="http://schemas.openxmlformats.org/officeDocument/2006/relationships/hyperlink" Target="http://csr.bu.edu/ftp/asl/asllvd/demos/verify_start_end_handshape_annotations//test_auto_move//signs_mov_separ_signers/Liz_1910.mov" TargetMode="External"/><Relationship Id="rId15182" Type="http://schemas.openxmlformats.org/officeDocument/2006/relationships/hyperlink" Target="http://secrets.rutgers.edu:8080/data/asl-ftp/asllvd/demos/verify_start_end_handshape_annotations//test_auto_move//signs_mov_separ_signers/Liz_1910.mov" TargetMode="External"/><Relationship Id="rId15183" Type="http://schemas.openxmlformats.org/officeDocument/2006/relationships/hyperlink" Target="http://csr.bu.edu/ftp/asl/asllvd/demos/verify_start_end_handshape_annotations//test_auto_move//signs_mov_separ_signers/Brady_1910.mov" TargetMode="External"/><Relationship Id="rId15184" Type="http://schemas.openxmlformats.org/officeDocument/2006/relationships/hyperlink" Target="http://secrets.rutgers.edu:8080/data/asl-ftp/asllvd/demos/verify_start_end_handshape_annotations//test_auto_move//signs_mov_separ_signers/Brady_1910.mov" TargetMode="External"/><Relationship Id="rId15185" Type="http://schemas.openxmlformats.org/officeDocument/2006/relationships/hyperlink" Target="http://csr.bu.edu/ftp/asl/asllvd/demos/verify_start_end_handshape_annotations//test_auto_move//signs_mov/1910_5342_15063_merged.mov" TargetMode="External"/><Relationship Id="rId15186" Type="http://schemas.openxmlformats.org/officeDocument/2006/relationships/hyperlink" Target="http://csr.bu.edu/ftp/asl/asllvd/demos/verify_start_end_handshape_annotations//test_auto_move//signs_mov_separ_signers/Brady_5342.mov" TargetMode="External"/><Relationship Id="rId15187" Type="http://schemas.openxmlformats.org/officeDocument/2006/relationships/hyperlink" Target="http://secrets.rutgers.edu:8080/data/asl-ftp/asllvd/demos/verify_start_end_handshape_annotations//test_auto_move//signs_mov/1910_5342_15063_merged.mov" TargetMode="External"/><Relationship Id="rId15188" Type="http://schemas.openxmlformats.org/officeDocument/2006/relationships/hyperlink" Target="http://secrets.rutgers.edu:8080/data/asl-ftp/asllvd/demos/verify_start_end_handshape_annotations//test_auto_move//signs_mov_separ_signers/Brady_5342.mov" TargetMode="External"/><Relationship Id="rId15189" Type="http://schemas.openxmlformats.org/officeDocument/2006/relationships/hyperlink" Target="http://csr.bu.edu/ftp/asl/asllvd/demos/verify_start_end_handshape_annotations//test_auto_move//signs_mov_separ_signers/Brady_15063.mov" TargetMode="External"/><Relationship Id="rId15190" Type="http://schemas.openxmlformats.org/officeDocument/2006/relationships/hyperlink" Target="http://secrets.rutgers.edu:8080/data/asl-ftp/asllvd/demos/verify_start_end_handshape_annotations//test_auto_move//signs_mov_separ_signers/Brady_15063.mov" TargetMode="External"/><Relationship Id="rId15191" Type="http://schemas.openxmlformats.org/officeDocument/2006/relationships/hyperlink" Target="http://csr.bu.edu/ftp/asl/asllvd/demos/verify_start_end_handshape_annotations//test_auto_move//signs_mov_separ_signers/Lana_1910.mov" TargetMode="External"/><Relationship Id="rId15192" Type="http://schemas.openxmlformats.org/officeDocument/2006/relationships/hyperlink" Target="http://secrets.rutgers.edu:8080/data/asl-ftp/asllvd/demos/verify_start_end_handshape_annotations//test_auto_move//signs_mov_separ_signers/Lana_1910.mov" TargetMode="External"/><Relationship Id="rId15193" Type="http://schemas.openxmlformats.org/officeDocument/2006/relationships/hyperlink" Target="http://csr.bu.edu/ftp/asl/asllvd/demos/verify_start_end_handshape_annotations//test_auto_move//signs_mov_separ_signers/Liz_15286.mov" TargetMode="External"/><Relationship Id="rId15194" Type="http://schemas.openxmlformats.org/officeDocument/2006/relationships/hyperlink" Target="http://secrets.rutgers.edu:8080/data/asl-ftp/asllvd/demos/verify_start_end_handshape_annotations//test_auto_move//signs_mov_separ_signers/Liz_15286.mov" TargetMode="External"/><Relationship Id="rId15195" Type="http://schemas.openxmlformats.org/officeDocument/2006/relationships/hyperlink" Target="http://csr.bu.edu/ftp/asl/asllvd/demos/verify_start_end_handshape_annotations//test_auto_move//signs_mov_separ_signers/Liz_15482.mov" TargetMode="External"/><Relationship Id="rId15196" Type="http://schemas.openxmlformats.org/officeDocument/2006/relationships/hyperlink" Target="http://secrets.rutgers.edu:8080/data/asl-ftp/asllvd/demos/verify_start_end_handshape_annotations//test_auto_move//signs_mov_separ_signers/Liz_15482.mov" TargetMode="External"/><Relationship Id="rId15197" Type="http://schemas.openxmlformats.org/officeDocument/2006/relationships/hyperlink" Target="http://csr.bu.edu/ftp/asl/asllvd/demos/verify_start_end_handshape_annotations//test_auto_move//signs_mov/15286_15482_merged.mov" TargetMode="External"/><Relationship Id="rId15198" Type="http://schemas.openxmlformats.org/officeDocument/2006/relationships/hyperlink" Target="http://csr.bu.edu/ftp/asl/asllvd/demos/verify_start_end_handshape_annotations//test_auto_move//signs_mov_separ_signers/Naomi_15286.mov" TargetMode="External"/><Relationship Id="rId15199" Type="http://schemas.openxmlformats.org/officeDocument/2006/relationships/hyperlink" Target="http://secrets.rutgers.edu:8080/data/asl-ftp/asllvd/demos/verify_start_end_handshape_annotations//test_auto_move//signs_mov/15286_15482_merged.mov" TargetMode="External"/><Relationship Id="rId15200" Type="http://schemas.openxmlformats.org/officeDocument/2006/relationships/hyperlink" Target="http://secrets.rutgers.edu:8080/data/asl-ftp/asllvd/demos/verify_start_end_handshape_annotations//test_auto_move//signs_mov_separ_signers/Naomi_15286.mov" TargetMode="External"/><Relationship Id="rId15201" Type="http://schemas.openxmlformats.org/officeDocument/2006/relationships/hyperlink" Target="http://csr.bu.edu/ftp/asl/asllvd/demos/verify_start_end_handshape_annotations//test_auto_move//signs_mov_separ_signers/Naomi_15482.mov" TargetMode="External"/><Relationship Id="rId15202" Type="http://schemas.openxmlformats.org/officeDocument/2006/relationships/hyperlink" Target="http://secrets.rutgers.edu:8080/data/asl-ftp/asllvd/demos/verify_start_end_handshape_annotations//test_auto_move//signs_mov_separ_signers/Naomi_15482.mov" TargetMode="External"/><Relationship Id="rId15203" Type="http://schemas.openxmlformats.org/officeDocument/2006/relationships/hyperlink" Target="http://csr.bu.edu/ftp/asl/asllvd/demos/verify_start_end_handshape_annotations//test_auto_move//signs_mov_separ_signers/Brady_15286.mov" TargetMode="External"/><Relationship Id="rId15204" Type="http://schemas.openxmlformats.org/officeDocument/2006/relationships/hyperlink" Target="http://secrets.rutgers.edu:8080/data/asl-ftp/asllvd/demos/verify_start_end_handshape_annotations//test_auto_move//signs_mov_separ_signers/Brady_15286.mov" TargetMode="External"/><Relationship Id="rId15205" Type="http://schemas.openxmlformats.org/officeDocument/2006/relationships/hyperlink" Target="http://csr.bu.edu/ftp/asl/asllvd/demos/verify_start_end_handshape_annotations//test_auto_move//signs_mov_separ_signers/Dana_15286.mov" TargetMode="External"/><Relationship Id="rId15206" Type="http://schemas.openxmlformats.org/officeDocument/2006/relationships/hyperlink" Target="http://secrets.rutgers.edu:8080/data/asl-ftp/asllvd/demos/verify_start_end_handshape_annotations//test_auto_move//signs_mov_separ_signers/Dana_15286.mov" TargetMode="External"/><Relationship Id="rId15207" Type="http://schemas.openxmlformats.org/officeDocument/2006/relationships/hyperlink" Target="http://csr.bu.edu/ftp/asl/asllvd/demos/verify_start_end_handshape_annotations//test_auto_move//signs_mov/16273.mov" TargetMode="External"/><Relationship Id="rId15208" Type="http://schemas.openxmlformats.org/officeDocument/2006/relationships/hyperlink" Target="http://csr.bu.edu/ftp/asl/asllvd/demos/verify_start_end_handshape_annotations//test_auto_move//signs_mov_separ_signers/Liz_16273.mov" TargetMode="External"/><Relationship Id="rId15209" Type="http://schemas.openxmlformats.org/officeDocument/2006/relationships/hyperlink" Target="http://secrets.rutgers.edu:8080/data/asl-ftp/asllvd/demos/verify_start_end_handshape_annotations//test_auto_move//signs_mov/16273.mov" TargetMode="External"/><Relationship Id="rId15210" Type="http://schemas.openxmlformats.org/officeDocument/2006/relationships/hyperlink" Target="http://secrets.rutgers.edu:8080/data/asl-ftp/asllvd/demos/verify_start_end_handshape_annotations//test_auto_move//signs_mov_separ_signers/Liz_16273.mov" TargetMode="External"/><Relationship Id="rId15211" Type="http://schemas.openxmlformats.org/officeDocument/2006/relationships/hyperlink" Target="http://csr.bu.edu/ftp/asl/asllvd/demos/verify_start_end_handshape_annotations//test_auto_move//signs_mov_separ_signers/Brady_16273.mov" TargetMode="External"/><Relationship Id="rId15212" Type="http://schemas.openxmlformats.org/officeDocument/2006/relationships/hyperlink" Target="http://secrets.rutgers.edu:8080/data/asl-ftp/asllvd/demos/verify_start_end_handshape_annotations//test_auto_move//signs_mov_separ_signers/Brady_16273.mov" TargetMode="External"/><Relationship Id="rId15213" Type="http://schemas.openxmlformats.org/officeDocument/2006/relationships/hyperlink" Target="http://csr.bu.edu/ftp/asl/asllvd/demos/verify_start_end_handshape_annotations//test_auto_move//signs_mov/1914.mov" TargetMode="External"/><Relationship Id="rId15214" Type="http://schemas.openxmlformats.org/officeDocument/2006/relationships/hyperlink" Target="http://csr.bu.edu/ftp/asl/asllvd/demos/verify_start_end_handshape_annotations//test_auto_move//signs_mov_separ_signers/Liz_1914.mov" TargetMode="External"/><Relationship Id="rId15215" Type="http://schemas.openxmlformats.org/officeDocument/2006/relationships/hyperlink" Target="http://secrets.rutgers.edu:8080/data/asl-ftp/asllvd/demos/verify_start_end_handshape_annotations//test_auto_move//signs_mov/1914.mov" TargetMode="External"/><Relationship Id="rId15216" Type="http://schemas.openxmlformats.org/officeDocument/2006/relationships/hyperlink" Target="http://secrets.rutgers.edu:8080/data/asl-ftp/asllvd/demos/verify_start_end_handshape_annotations//test_auto_move//signs_mov_separ_signers/Liz_1914.mov" TargetMode="External"/><Relationship Id="rId15217" Type="http://schemas.openxmlformats.org/officeDocument/2006/relationships/hyperlink" Target="http://csr.bu.edu/ftp/asl/asllvd/demos/verify_start_end_handshape_annotations//test_auto_move//signs_mov_separ_signers/Brady_1914.mov" TargetMode="External"/><Relationship Id="rId15218" Type="http://schemas.openxmlformats.org/officeDocument/2006/relationships/hyperlink" Target="http://secrets.rutgers.edu:8080/data/asl-ftp/asllvd/demos/verify_start_end_handshape_annotations//test_auto_move//signs_mov_separ_signers/Brady_1914.mov" TargetMode="External"/><Relationship Id="rId15219" Type="http://schemas.openxmlformats.org/officeDocument/2006/relationships/hyperlink" Target="http://csr.bu.edu/ftp/asl/asllvd/demos/verify_start_end_handshape_annotations//test_auto_move//signs_mov/1915.mov" TargetMode="External"/><Relationship Id="rId15220" Type="http://schemas.openxmlformats.org/officeDocument/2006/relationships/hyperlink" Target="http://csr.bu.edu/ftp/asl/asllvd/demos/verify_start_end_handshape_annotations//test_auto_move//signs_mov_separ_signers/Liz_1915.mov" TargetMode="External"/><Relationship Id="rId15221" Type="http://schemas.openxmlformats.org/officeDocument/2006/relationships/hyperlink" Target="http://secrets.rutgers.edu:8080/data/asl-ftp/asllvd/demos/verify_start_end_handshape_annotations//test_auto_move//signs_mov/1915.mov" TargetMode="External"/><Relationship Id="rId15222" Type="http://schemas.openxmlformats.org/officeDocument/2006/relationships/hyperlink" Target="http://secrets.rutgers.edu:8080/data/asl-ftp/asllvd/demos/verify_start_end_handshape_annotations//test_auto_move//signs_mov_separ_signers/Liz_1915.mov" TargetMode="External"/><Relationship Id="rId15223" Type="http://schemas.openxmlformats.org/officeDocument/2006/relationships/hyperlink" Target="http://csr.bu.edu/ftp/asl/asllvd/demos/verify_start_end_handshape_annotations//test_auto_move//signs_mov_separ_signers/Brady_1915.mov" TargetMode="External"/><Relationship Id="rId15224" Type="http://schemas.openxmlformats.org/officeDocument/2006/relationships/hyperlink" Target="http://secrets.rutgers.edu:8080/data/asl-ftp/asllvd/demos/verify_start_end_handshape_annotations//test_auto_move//signs_mov_separ_signers/Brady_1915.mov" TargetMode="External"/><Relationship Id="rId15225" Type="http://schemas.openxmlformats.org/officeDocument/2006/relationships/hyperlink" Target="http://csr.bu.edu/ftp/asl/asllvd/demos/verify_start_end_handshape_annotations//test_auto_move//signs_mov_separ_signers/Liz_1916.mov" TargetMode="External"/><Relationship Id="rId15226" Type="http://schemas.openxmlformats.org/officeDocument/2006/relationships/hyperlink" Target="http://secrets.rutgers.edu:8080/data/asl-ftp/asllvd/demos/verify_start_end_handshape_annotations//test_auto_move//signs_mov_separ_signers/Liz_1916.mov" TargetMode="External"/><Relationship Id="rId15227" Type="http://schemas.openxmlformats.org/officeDocument/2006/relationships/hyperlink" Target="http://csr.bu.edu/ftp/asl/asllvd/demos/verify_start_end_handshape_annotations//test_auto_move//signs_mov_separ_signers/Liz_3375.mov" TargetMode="External"/><Relationship Id="rId15228" Type="http://schemas.openxmlformats.org/officeDocument/2006/relationships/hyperlink" Target="http://secrets.rutgers.edu:8080/data/asl-ftp/asllvd/demos/verify_start_end_handshape_annotations//test_auto_move//signs_mov_separ_signers/Liz_3375.mov" TargetMode="External"/><Relationship Id="rId15229" Type="http://schemas.openxmlformats.org/officeDocument/2006/relationships/hyperlink" Target="http://csr.bu.edu/ftp/asl/asllvd/demos/verify_start_end_handshape_annotations//test_auto_move//signs_mov/1916_3375_merged.mov" TargetMode="External"/><Relationship Id="rId15230" Type="http://schemas.openxmlformats.org/officeDocument/2006/relationships/hyperlink" Target="http://csr.bu.edu/ftp/asl/asllvd/demos/verify_start_end_handshape_annotations//test_auto_move//signs_mov_separ_signers/Naomi_1916.mov" TargetMode="External"/><Relationship Id="rId15231" Type="http://schemas.openxmlformats.org/officeDocument/2006/relationships/hyperlink" Target="http://secrets.rutgers.edu:8080/data/asl-ftp/asllvd/demos/verify_start_end_handshape_annotations//test_auto_move//signs_mov/1916_3375_merged.mov" TargetMode="External"/><Relationship Id="rId15232" Type="http://schemas.openxmlformats.org/officeDocument/2006/relationships/hyperlink" Target="http://secrets.rutgers.edu:8080/data/asl-ftp/asllvd/demos/verify_start_end_handshape_annotations//test_auto_move//signs_mov_separ_signers/Naomi_1916.mov" TargetMode="External"/><Relationship Id="rId15233" Type="http://schemas.openxmlformats.org/officeDocument/2006/relationships/hyperlink" Target="http://csr.bu.edu/ftp/asl/asllvd/demos/verify_start_end_handshape_annotations//test_auto_move//signs_mov_separ_signers/Brady_1916.mov" TargetMode="External"/><Relationship Id="rId15234" Type="http://schemas.openxmlformats.org/officeDocument/2006/relationships/hyperlink" Target="http://secrets.rutgers.edu:8080/data/asl-ftp/asllvd/demos/verify_start_end_handshape_annotations//test_auto_move//signs_mov_separ_signers/Brady_1916.mov" TargetMode="External"/><Relationship Id="rId15235" Type="http://schemas.openxmlformats.org/officeDocument/2006/relationships/hyperlink" Target="http://csr.bu.edu/ftp/asl/asllvd/demos/verify_start_end_handshape_annotations//test_auto_move//signs_mov_separ_signers/Brady_3375.mov" TargetMode="External"/><Relationship Id="rId15236" Type="http://schemas.openxmlformats.org/officeDocument/2006/relationships/hyperlink" Target="http://secrets.rutgers.edu:8080/data/asl-ftp/asllvd/demos/verify_start_end_handshape_annotations//test_auto_move//signs_mov_separ_signers/Brady_3375.mov" TargetMode="External"/><Relationship Id="rId15237" Type="http://schemas.openxmlformats.org/officeDocument/2006/relationships/hyperlink" Target="http://csr.bu.edu/ftp/asl/asllvd/demos/verify_start_end_handshape_annotations//test_auto_move//signs_mov/1917.mov" TargetMode="External"/><Relationship Id="rId15238" Type="http://schemas.openxmlformats.org/officeDocument/2006/relationships/hyperlink" Target="http://csr.bu.edu/ftp/asl/asllvd/demos/verify_start_end_handshape_annotations//test_auto_move//signs_mov_separ_signers/Liz_1917.mov" TargetMode="External"/><Relationship Id="rId15239" Type="http://schemas.openxmlformats.org/officeDocument/2006/relationships/hyperlink" Target="http://secrets.rutgers.edu:8080/data/asl-ftp/asllvd/demos/verify_start_end_handshape_annotations//test_auto_move//signs_mov/1917.mov" TargetMode="External"/><Relationship Id="rId15240" Type="http://schemas.openxmlformats.org/officeDocument/2006/relationships/hyperlink" Target="http://secrets.rutgers.edu:8080/data/asl-ftp/asllvd/demos/verify_start_end_handshape_annotations//test_auto_move//signs_mov_separ_signers/Liz_1917.mov" TargetMode="External"/><Relationship Id="rId15241" Type="http://schemas.openxmlformats.org/officeDocument/2006/relationships/hyperlink" Target="http://csr.bu.edu/ftp/asl/asllvd/demos/verify_start_end_handshape_annotations//test_auto_move//signs_mov_separ_signers/Brady_1917.mov" TargetMode="External"/><Relationship Id="rId15242" Type="http://schemas.openxmlformats.org/officeDocument/2006/relationships/hyperlink" Target="http://secrets.rutgers.edu:8080/data/asl-ftp/asllvd/demos/verify_start_end_handshape_annotations//test_auto_move//signs_mov_separ_signers/Brady_1917.mov" TargetMode="External"/><Relationship Id="rId15243" Type="http://schemas.openxmlformats.org/officeDocument/2006/relationships/hyperlink" Target="http://csr.bu.edu/ftp/asl/asllvd/demos/verify_start_end_handshape_annotations//test_auto_move//signs_mov/1918.mov" TargetMode="External"/><Relationship Id="rId15244" Type="http://schemas.openxmlformats.org/officeDocument/2006/relationships/hyperlink" Target="http://csr.bu.edu/ftp/asl/asllvd/demos/verify_start_end_handshape_annotations//test_auto_move//signs_mov_separ_signers/Brady_1918.mov" TargetMode="External"/><Relationship Id="rId15245" Type="http://schemas.openxmlformats.org/officeDocument/2006/relationships/hyperlink" Target="http://secrets.rutgers.edu:8080/data/asl-ftp/asllvd/demos/verify_start_end_handshape_annotations//test_auto_move//signs_mov/1918.mov" TargetMode="External"/><Relationship Id="rId15246" Type="http://schemas.openxmlformats.org/officeDocument/2006/relationships/hyperlink" Target="http://secrets.rutgers.edu:8080/data/asl-ftp/asllvd/demos/verify_start_end_handshape_annotations//test_auto_move//signs_mov_separ_signers/Brady_1918.mov" TargetMode="External"/><Relationship Id="rId15247" Type="http://schemas.openxmlformats.org/officeDocument/2006/relationships/hyperlink" Target="http://csr.bu.edu/ftp/asl/asllvd/demos/verify_start_end_handshape_annotations//test_auto_move//signs_mov/15064.mov" TargetMode="External"/><Relationship Id="rId15248" Type="http://schemas.openxmlformats.org/officeDocument/2006/relationships/hyperlink" Target="http://csr.bu.edu/ftp/asl/asllvd/demos/verify_start_end_handshape_annotations//test_auto_move//signs_mov_separ_signers/Liz_15064.mov" TargetMode="External"/><Relationship Id="rId15249" Type="http://schemas.openxmlformats.org/officeDocument/2006/relationships/hyperlink" Target="http://secrets.rutgers.edu:8080/data/asl-ftp/asllvd/demos/verify_start_end_handshape_annotations//test_auto_move//signs_mov/15064.mov" TargetMode="External"/><Relationship Id="rId15250" Type="http://schemas.openxmlformats.org/officeDocument/2006/relationships/hyperlink" Target="http://secrets.rutgers.edu:8080/data/asl-ftp/asllvd/demos/verify_start_end_handshape_annotations//test_auto_move//signs_mov_separ_signers/Liz_15064.mov" TargetMode="External"/><Relationship Id="rId15251" Type="http://schemas.openxmlformats.org/officeDocument/2006/relationships/hyperlink" Target="http://csr.bu.edu/ftp/asl/asllvd/demos/verify_start_end_handshape_annotations//test_auto_move//signs_mov_separ_signers/Liz_1919.mov" TargetMode="External"/><Relationship Id="rId15252" Type="http://schemas.openxmlformats.org/officeDocument/2006/relationships/hyperlink" Target="http://secrets.rutgers.edu:8080/data/asl-ftp/asllvd/demos/verify_start_end_handshape_annotations//test_auto_move//signs_mov_separ_signers/Liz_1919.mov" TargetMode="External"/><Relationship Id="rId15253" Type="http://schemas.openxmlformats.org/officeDocument/2006/relationships/hyperlink" Target="http://csr.bu.edu/ftp/asl/asllvd/demos/verify_start_end_handshape_annotations//test_auto_move//signs_mov_separ_signers/Tyler_1919.mov" TargetMode="External"/><Relationship Id="rId15254" Type="http://schemas.openxmlformats.org/officeDocument/2006/relationships/hyperlink" Target="http://secrets.rutgers.edu:8080/data/asl-ftp/asllvd/demos/verify_start_end_handshape_annotations//test_auto_move//signs_mov_separ_signers/Tyler_1919.mov" TargetMode="External"/><Relationship Id="rId15255" Type="http://schemas.openxmlformats.org/officeDocument/2006/relationships/hyperlink" Target="http://csr.bu.edu/ftp/asl/asllvd/demos/verify_start_end_handshape_annotations//test_auto_move//signs_mov/1919_5340_merged.mov" TargetMode="External"/><Relationship Id="rId15256" Type="http://schemas.openxmlformats.org/officeDocument/2006/relationships/hyperlink" Target="http://csr.bu.edu/ftp/asl/asllvd/demos/verify_start_end_handshape_annotations//test_auto_move//signs_mov_separ_signers/Brady_1919.mov" TargetMode="External"/><Relationship Id="rId15257" Type="http://schemas.openxmlformats.org/officeDocument/2006/relationships/hyperlink" Target="http://secrets.rutgers.edu:8080/data/asl-ftp/asllvd/demos/verify_start_end_handshape_annotations//test_auto_move//signs_mov/1919_5340_merged.mov" TargetMode="External"/><Relationship Id="rId15258" Type="http://schemas.openxmlformats.org/officeDocument/2006/relationships/hyperlink" Target="http://secrets.rutgers.edu:8080/data/asl-ftp/asllvd/demos/verify_start_end_handshape_annotations//test_auto_move//signs_mov_separ_signers/Brady_1919.mov" TargetMode="External"/><Relationship Id="rId15259" Type="http://schemas.openxmlformats.org/officeDocument/2006/relationships/hyperlink" Target="http://csr.bu.edu/ftp/asl/asllvd/demos/verify_start_end_handshape_annotations//test_auto_move//signs_mov_separ_signers/Brady_5340.mov" TargetMode="External"/><Relationship Id="rId15260" Type="http://schemas.openxmlformats.org/officeDocument/2006/relationships/hyperlink" Target="http://secrets.rutgers.edu:8080/data/asl-ftp/asllvd/demos/verify_start_end_handshape_annotations//test_auto_move//signs_mov_separ_signers/Brady_5340.mov" TargetMode="External"/><Relationship Id="rId15261" Type="http://schemas.openxmlformats.org/officeDocument/2006/relationships/hyperlink" Target="http://csr.bu.edu/ftp/asl/asllvd/demos/verify_start_end_handshape_annotations//test_auto_move//signs_mov_separ_signers/Lana_1919.mov" TargetMode="External"/><Relationship Id="rId15262" Type="http://schemas.openxmlformats.org/officeDocument/2006/relationships/hyperlink" Target="http://secrets.rutgers.edu:8080/data/asl-ftp/asllvd/demos/verify_start_end_handshape_annotations//test_auto_move//signs_mov_separ_signers/Lana_1919.mov" TargetMode="External"/><Relationship Id="rId15263" Type="http://schemas.openxmlformats.org/officeDocument/2006/relationships/hyperlink" Target="http://csr.bu.edu/ftp/asl/asllvd/demos/verify_start_end_handshape_annotations//test_auto_move//signs_mov_separ_signers/Dana_1919.mov" TargetMode="External"/><Relationship Id="rId15264" Type="http://schemas.openxmlformats.org/officeDocument/2006/relationships/hyperlink" Target="http://secrets.rutgers.edu:8080/data/asl-ftp/asllvd/demos/verify_start_end_handshape_annotations//test_auto_move//signs_mov_separ_signers/Dana_1919.mov" TargetMode="External"/><Relationship Id="rId15265" Type="http://schemas.openxmlformats.org/officeDocument/2006/relationships/hyperlink" Target="http://csr.bu.edu/ftp/asl/asllvd/demos/verify_start_end_handshape_annotations//test_auto_move//signs_mov_separ_signers/Liz_1922.mov" TargetMode="External"/><Relationship Id="rId15266" Type="http://schemas.openxmlformats.org/officeDocument/2006/relationships/hyperlink" Target="http://secrets.rutgers.edu:8080/data/asl-ftp/asllvd/demos/verify_start_end_handshape_annotations//test_auto_move//signs_mov_separ_signers/Liz_1922.mov" TargetMode="External"/><Relationship Id="rId15267" Type="http://schemas.openxmlformats.org/officeDocument/2006/relationships/hyperlink" Target="http://csr.bu.edu/ftp/asl/asllvd/demos/verify_start_end_handshape_annotations//test_auto_move//signs_mov/1922_3769_merged.mov" TargetMode="External"/><Relationship Id="rId15268" Type="http://schemas.openxmlformats.org/officeDocument/2006/relationships/hyperlink" Target="http://csr.bu.edu/ftp/asl/asllvd/demos/verify_start_end_handshape_annotations//test_auto_move//signs_mov_separ_signers/Liz_3769.mov" TargetMode="External"/><Relationship Id="rId15269" Type="http://schemas.openxmlformats.org/officeDocument/2006/relationships/hyperlink" Target="http://secrets.rutgers.edu:8080/data/asl-ftp/asllvd/demos/verify_start_end_handshape_annotations//test_auto_move//signs_mov/1922_3769_merged.mov" TargetMode="External"/><Relationship Id="rId15270" Type="http://schemas.openxmlformats.org/officeDocument/2006/relationships/hyperlink" Target="http://secrets.rutgers.edu:8080/data/asl-ftp/asllvd/demos/verify_start_end_handshape_annotations//test_auto_move//signs_mov_separ_signers/Liz_3769.mov" TargetMode="External"/><Relationship Id="rId15271" Type="http://schemas.openxmlformats.org/officeDocument/2006/relationships/hyperlink" Target="http://csr.bu.edu/ftp/asl/asllvd/demos/verify_start_end_handshape_annotations//test_auto_move//signs_mov_separ_signers/Brady_1922.mov" TargetMode="External"/><Relationship Id="rId15272" Type="http://schemas.openxmlformats.org/officeDocument/2006/relationships/hyperlink" Target="http://secrets.rutgers.edu:8080/data/asl-ftp/asllvd/demos/verify_start_end_handshape_annotations//test_auto_move//signs_mov_separ_signers/Brady_1922.mov" TargetMode="External"/><Relationship Id="rId15273" Type="http://schemas.openxmlformats.org/officeDocument/2006/relationships/hyperlink" Target="http://csr.bu.edu/ftp/asl/asllvd/demos/verify_start_end_handshape_annotations//test_auto_move//signs_mov_separ_signers/Brady_3769.mov" TargetMode="External"/><Relationship Id="rId15274" Type="http://schemas.openxmlformats.org/officeDocument/2006/relationships/hyperlink" Target="http://secrets.rutgers.edu:8080/data/asl-ftp/asllvd/demos/verify_start_end_handshape_annotations//test_auto_move//signs_mov_separ_signers/Brady_3769.mov" TargetMode="External"/><Relationship Id="rId15275" Type="http://schemas.openxmlformats.org/officeDocument/2006/relationships/hyperlink" Target="http://csr.bu.edu/ftp/asl/asllvd/demos/verify_start_end_handshape_annotations//test_auto_move//signs_mov/16032.mov" TargetMode="External"/><Relationship Id="rId15276" Type="http://schemas.openxmlformats.org/officeDocument/2006/relationships/hyperlink" Target="http://csr.bu.edu/ftp/asl/asllvd/demos/verify_start_end_handshape_annotations//test_auto_move//signs_mov_separ_signers/Liz_16032.mov" TargetMode="External"/><Relationship Id="rId15277" Type="http://schemas.openxmlformats.org/officeDocument/2006/relationships/hyperlink" Target="http://secrets.rutgers.edu:8080/data/asl-ftp/asllvd/demos/verify_start_end_handshape_annotations//test_auto_move//signs_mov/16032.mov" TargetMode="External"/><Relationship Id="rId15278" Type="http://schemas.openxmlformats.org/officeDocument/2006/relationships/hyperlink" Target="http://secrets.rutgers.edu:8080/data/asl-ftp/asllvd/demos/verify_start_end_handshape_annotations//test_auto_move//signs_mov_separ_signers/Liz_16032.mov" TargetMode="External"/><Relationship Id="rId15279" Type="http://schemas.openxmlformats.org/officeDocument/2006/relationships/hyperlink" Target="http://csr.bu.edu/ftp/asl/asllvd/demos/verify_start_end_handshape_annotations//test_auto_move//signs_mov/16060.mov" TargetMode="External"/><Relationship Id="rId15280" Type="http://schemas.openxmlformats.org/officeDocument/2006/relationships/hyperlink" Target="http://csr.bu.edu/ftp/asl/asllvd/demos/verify_start_end_handshape_annotations//test_auto_move//signs_mov_separ_signers/Naomi_16060.mov" TargetMode="External"/><Relationship Id="rId15281" Type="http://schemas.openxmlformats.org/officeDocument/2006/relationships/hyperlink" Target="http://secrets.rutgers.edu:8080/data/asl-ftp/asllvd/demos/verify_start_end_handshape_annotations//test_auto_move//signs_mov/16060.mov" TargetMode="External"/><Relationship Id="rId15282" Type="http://schemas.openxmlformats.org/officeDocument/2006/relationships/hyperlink" Target="http://secrets.rutgers.edu:8080/data/asl-ftp/asllvd/demos/verify_start_end_handshape_annotations//test_auto_move//signs_mov_separ_signers/Naomi_16060.mov" TargetMode="External"/><Relationship Id="rId15283" Type="http://schemas.openxmlformats.org/officeDocument/2006/relationships/hyperlink" Target="http://csr.bu.edu/ftp/asl/asllvd/demos/verify_start_end_handshape_annotations//test_auto_move//signs_mov/16116.mov" TargetMode="External"/><Relationship Id="rId15284" Type="http://schemas.openxmlformats.org/officeDocument/2006/relationships/hyperlink" Target="http://csr.bu.edu/ftp/asl/asllvd/demos/verify_start_end_handshape_annotations//test_auto_move//signs_mov_separ_signers/Brady_16116.mov" TargetMode="External"/><Relationship Id="rId15285" Type="http://schemas.openxmlformats.org/officeDocument/2006/relationships/hyperlink" Target="http://secrets.rutgers.edu:8080/data/asl-ftp/asllvd/demos/verify_start_end_handshape_annotations//test_auto_move//signs_mov/16116.mov" TargetMode="External"/><Relationship Id="rId15286" Type="http://schemas.openxmlformats.org/officeDocument/2006/relationships/hyperlink" Target="http://secrets.rutgers.edu:8080/data/asl-ftp/asllvd/demos/verify_start_end_handshape_annotations//test_auto_move//signs_mov_separ_signers/Brady_16116.mov" TargetMode="External"/><Relationship Id="rId15287" Type="http://schemas.openxmlformats.org/officeDocument/2006/relationships/hyperlink" Target="http://csr.bu.edu/ftp/asl/asllvd/demos/verify_start_end_handshape_annotations//test_auto_move//signs_mov_separ_signers/Liz_16448.mov" TargetMode="External"/><Relationship Id="rId15288" Type="http://schemas.openxmlformats.org/officeDocument/2006/relationships/hyperlink" Target="http://secrets.rutgers.edu:8080/data/asl-ftp/asllvd/demos/verify_start_end_handshape_annotations//test_auto_move//signs_mov_separ_signers/Liz_16448.mov" TargetMode="External"/><Relationship Id="rId15289" Type="http://schemas.openxmlformats.org/officeDocument/2006/relationships/hyperlink" Target="http://csr.bu.edu/ftp/asl/asllvd/demos/verify_start_end_handshape_annotations//test_auto_move//signs_mov/16448_16449_merged.mov" TargetMode="External"/><Relationship Id="rId15290" Type="http://schemas.openxmlformats.org/officeDocument/2006/relationships/hyperlink" Target="http://csr.bu.edu/ftp/asl/asllvd/demos/verify_start_end_handshape_annotations//test_auto_move//signs_mov_separ_signers/Tyler_16448.mov" TargetMode="External"/><Relationship Id="rId15291" Type="http://schemas.openxmlformats.org/officeDocument/2006/relationships/hyperlink" Target="http://secrets.rutgers.edu:8080/data/asl-ftp/asllvd/demos/verify_start_end_handshape_annotations//test_auto_move//signs_mov/16448_16449_merged.mov" TargetMode="External"/><Relationship Id="rId15292" Type="http://schemas.openxmlformats.org/officeDocument/2006/relationships/hyperlink" Target="http://secrets.rutgers.edu:8080/data/asl-ftp/asllvd/demos/verify_start_end_handshape_annotations//test_auto_move//signs_mov_separ_signers/Tyler_16448.mov" TargetMode="External"/><Relationship Id="rId15293" Type="http://schemas.openxmlformats.org/officeDocument/2006/relationships/hyperlink" Target="http://csr.bu.edu/ftp/asl/asllvd/demos/verify_start_end_handshape_annotations//test_auto_move//signs_mov_separ_signers/Tyler_16449.mov" TargetMode="External"/><Relationship Id="rId15294" Type="http://schemas.openxmlformats.org/officeDocument/2006/relationships/hyperlink" Target="http://secrets.rutgers.edu:8080/data/asl-ftp/asllvd/demos/verify_start_end_handshape_annotations//test_auto_move//signs_mov_separ_signers/Tyler_16449.mov" TargetMode="External"/><Relationship Id="rId15295" Type="http://schemas.openxmlformats.org/officeDocument/2006/relationships/hyperlink" Target="http://csr.bu.edu/ftp/asl/asllvd/demos/verify_start_end_handshape_annotations//test_auto_move//signs_mov_separ_signers/Naomi_16448.mov" TargetMode="External"/><Relationship Id="rId15296" Type="http://schemas.openxmlformats.org/officeDocument/2006/relationships/hyperlink" Target="http://secrets.rutgers.edu:8080/data/asl-ftp/asllvd/demos/verify_start_end_handshape_annotations//test_auto_move//signs_mov_separ_signers/Naomi_16448.mov" TargetMode="External"/><Relationship Id="rId15297" Type="http://schemas.openxmlformats.org/officeDocument/2006/relationships/hyperlink" Target="http://csr.bu.edu/ftp/asl/asllvd/demos/verify_start_end_handshape_annotations//test_auto_move//signs_mov_separ_signers/Liz_1923.mov" TargetMode="External"/><Relationship Id="rId15298" Type="http://schemas.openxmlformats.org/officeDocument/2006/relationships/hyperlink" Target="http://secrets.rutgers.edu:8080/data/asl-ftp/asllvd/demos/verify_start_end_handshape_annotations//test_auto_move//signs_mov_separ_signers/Liz_1923.mov" TargetMode="External"/><Relationship Id="rId15299" Type="http://schemas.openxmlformats.org/officeDocument/2006/relationships/hyperlink" Target="http://csr.bu.edu/ftp/asl/asllvd/demos/verify_start_end_handshape_annotations//test_auto_move//signs_mov_separ_signers/Liz_5722.mov" TargetMode="External"/><Relationship Id="rId15300" Type="http://schemas.openxmlformats.org/officeDocument/2006/relationships/hyperlink" Target="http://secrets.rutgers.edu:8080/data/asl-ftp/asllvd/demos/verify_start_end_handshape_annotations//test_auto_move//signs_mov_separ_signers/Liz_5722.mov" TargetMode="External"/><Relationship Id="rId15301" Type="http://schemas.openxmlformats.org/officeDocument/2006/relationships/hyperlink" Target="http://csr.bu.edu/ftp/asl/asllvd/demos/verify_start_end_handshape_annotations//test_auto_move//signs_mov/1923_5722_merged.mov" TargetMode="External"/><Relationship Id="rId15302" Type="http://schemas.openxmlformats.org/officeDocument/2006/relationships/hyperlink" Target="http://csr.bu.edu/ftp/asl/asllvd/demos/verify_start_end_handshape_annotations//test_auto_move//signs_mov_separ_signers/Brady_1923.mov" TargetMode="External"/><Relationship Id="rId15303" Type="http://schemas.openxmlformats.org/officeDocument/2006/relationships/hyperlink" Target="http://secrets.rutgers.edu:8080/data/asl-ftp/asllvd/demos/verify_start_end_handshape_annotations//test_auto_move//signs_mov/1923_5722_merged.mov" TargetMode="External"/><Relationship Id="rId15304" Type="http://schemas.openxmlformats.org/officeDocument/2006/relationships/hyperlink" Target="http://secrets.rutgers.edu:8080/data/asl-ftp/asllvd/demos/verify_start_end_handshape_annotations//test_auto_move//signs_mov_separ_signers/Brady_1923.mov" TargetMode="External"/><Relationship Id="rId15305" Type="http://schemas.openxmlformats.org/officeDocument/2006/relationships/hyperlink" Target="http://csr.bu.edu/ftp/asl/asllvd/demos/verify_start_end_handshape_annotations//test_auto_move//signs_mov_separ_signers/Brady_5722.mov" TargetMode="External"/><Relationship Id="rId15306" Type="http://schemas.openxmlformats.org/officeDocument/2006/relationships/hyperlink" Target="http://secrets.rutgers.edu:8080/data/asl-ftp/asllvd/demos/verify_start_end_handshape_annotations//test_auto_move//signs_mov_separ_signers/Brady_5722.mov" TargetMode="External"/><Relationship Id="rId15307" Type="http://schemas.openxmlformats.org/officeDocument/2006/relationships/hyperlink" Target="http://csr.bu.edu/ftp/asl/asllvd/demos/verify_start_end_handshape_annotations//test_auto_move//signs_mov_separ_signers/Lana_1923.mov" TargetMode="External"/><Relationship Id="rId15308" Type="http://schemas.openxmlformats.org/officeDocument/2006/relationships/hyperlink" Target="http://secrets.rutgers.edu:8080/data/asl-ftp/asllvd/demos/verify_start_end_handshape_annotations//test_auto_move//signs_mov_separ_signers/Lana_1923.mov" TargetMode="External"/><Relationship Id="rId15309" Type="http://schemas.openxmlformats.org/officeDocument/2006/relationships/hyperlink" Target="http://csr.bu.edu/ftp/asl/asllvd/demos/verify_start_end_handshape_annotations//test_auto_move//signs_mov_separ_signers/Dana_1923.mov" TargetMode="External"/><Relationship Id="rId15310" Type="http://schemas.openxmlformats.org/officeDocument/2006/relationships/hyperlink" Target="http://secrets.rutgers.edu:8080/data/asl-ftp/asllvd/demos/verify_start_end_handshape_annotations//test_auto_move//signs_mov_separ_signers/Dana_1923.mov" TargetMode="External"/><Relationship Id="rId15311" Type="http://schemas.openxmlformats.org/officeDocument/2006/relationships/hyperlink" Target="http://csr.bu.edu/ftp/asl/asllvd/demos/verify_start_end_handshape_annotations//test_auto_move//signs_mov_separ_signers/Liz_1924.mov" TargetMode="External"/><Relationship Id="rId15312" Type="http://schemas.openxmlformats.org/officeDocument/2006/relationships/hyperlink" Target="http://secrets.rutgers.edu:8080/data/asl-ftp/asllvd/demos/verify_start_end_handshape_annotations//test_auto_move//signs_mov_separ_signers/Liz_1924.mov" TargetMode="External"/><Relationship Id="rId15313" Type="http://schemas.openxmlformats.org/officeDocument/2006/relationships/hyperlink" Target="http://csr.bu.edu/ftp/asl/asllvd/demos/verify_start_end_handshape_annotations//test_auto_move//signs_mov/1924.mov" TargetMode="External"/><Relationship Id="rId15314" Type="http://schemas.openxmlformats.org/officeDocument/2006/relationships/hyperlink" Target="http://csr.bu.edu/ftp/asl/asllvd/demos/verify_start_end_handshape_annotations//test_auto_move//signs_mov_separ_signers/Brady_1924.mov" TargetMode="External"/><Relationship Id="rId15315" Type="http://schemas.openxmlformats.org/officeDocument/2006/relationships/hyperlink" Target="http://secrets.rutgers.edu:8080/data/asl-ftp/asllvd/demos/verify_start_end_handshape_annotations//test_auto_move//signs_mov/1924.mov" TargetMode="External"/><Relationship Id="rId15316" Type="http://schemas.openxmlformats.org/officeDocument/2006/relationships/hyperlink" Target="http://secrets.rutgers.edu:8080/data/asl-ftp/asllvd/demos/verify_start_end_handshape_annotations//test_auto_move//signs_mov_separ_signers/Brady_1924.mov" TargetMode="External"/><Relationship Id="rId15317" Type="http://schemas.openxmlformats.org/officeDocument/2006/relationships/hyperlink" Target="http://csr.bu.edu/ftp/asl/asllvd/demos/verify_start_end_handshape_annotations//test_auto_move//signs_mov_separ_signers/Lana_1924.mov" TargetMode="External"/><Relationship Id="rId15318" Type="http://schemas.openxmlformats.org/officeDocument/2006/relationships/hyperlink" Target="http://secrets.rutgers.edu:8080/data/asl-ftp/asllvd/demos/verify_start_end_handshape_annotations//test_auto_move//signs_mov_separ_signers/Lana_1924.mov" TargetMode="External"/><Relationship Id="rId15319" Type="http://schemas.openxmlformats.org/officeDocument/2006/relationships/hyperlink" Target="http://csr.bu.edu/ftp/asl/asllvd/demos/verify_start_end_handshape_annotations//test_auto_move//signs_mov_separ_signers/Dana_1924.mov" TargetMode="External"/><Relationship Id="rId15320" Type="http://schemas.openxmlformats.org/officeDocument/2006/relationships/hyperlink" Target="http://secrets.rutgers.edu:8080/data/asl-ftp/asllvd/demos/verify_start_end_handshape_annotations//test_auto_move//signs_mov_separ_signers/Dana_1924.mov" TargetMode="External"/><Relationship Id="rId15321" Type="http://schemas.openxmlformats.org/officeDocument/2006/relationships/hyperlink" Target="http://csr.bu.edu/ftp/asl/asllvd/demos/verify_start_end_handshape_annotations//test_auto_move//signs_mov/1925.mov" TargetMode="External"/><Relationship Id="rId15322" Type="http://schemas.openxmlformats.org/officeDocument/2006/relationships/hyperlink" Target="http://csr.bu.edu/ftp/asl/asllvd/demos/verify_start_end_handshape_annotations//test_auto_move//signs_mov_separ_signers/Brady_1925.mov" TargetMode="External"/><Relationship Id="rId15323" Type="http://schemas.openxmlformats.org/officeDocument/2006/relationships/hyperlink" Target="http://secrets.rutgers.edu:8080/data/asl-ftp/asllvd/demos/verify_start_end_handshape_annotations//test_auto_move//signs_mov/1925.mov" TargetMode="External"/><Relationship Id="rId15324" Type="http://schemas.openxmlformats.org/officeDocument/2006/relationships/hyperlink" Target="http://secrets.rutgers.edu:8080/data/asl-ftp/asllvd/demos/verify_start_end_handshape_annotations//test_auto_move//signs_mov_separ_signers/Brady_1925.mov" TargetMode="External"/><Relationship Id="rId15325" Type="http://schemas.openxmlformats.org/officeDocument/2006/relationships/hyperlink" Target="http://csr.bu.edu/ftp/asl/asllvd/demos/verify_start_end_handshape_annotations//test_auto_move//signs_mov_separ_signers/Liz_3719.mov" TargetMode="External"/><Relationship Id="rId15326" Type="http://schemas.openxmlformats.org/officeDocument/2006/relationships/hyperlink" Target="http://secrets.rutgers.edu:8080/data/asl-ftp/asllvd/demos/verify_start_end_handshape_annotations//test_auto_move//signs_mov_separ_signers/Liz_3719.mov" TargetMode="External"/><Relationship Id="rId15327" Type="http://schemas.openxmlformats.org/officeDocument/2006/relationships/hyperlink" Target="http://csr.bu.edu/ftp/asl/asllvd/demos/verify_start_end_handshape_annotations//test_auto_move//signs_mov/3719_15584_merged.mov" TargetMode="External"/><Relationship Id="rId15328" Type="http://schemas.openxmlformats.org/officeDocument/2006/relationships/hyperlink" Target="http://csr.bu.edu/ftp/asl/asllvd/demos/verify_start_end_handshape_annotations//test_auto_move//signs_mov_separ_signers/Liz_15584.mov" TargetMode="External"/><Relationship Id="rId15329" Type="http://schemas.openxmlformats.org/officeDocument/2006/relationships/hyperlink" Target="http://secrets.rutgers.edu:8080/data/asl-ftp/asllvd/demos/verify_start_end_handshape_annotations//test_auto_move//signs_mov/3719_15584_merged.mov" TargetMode="External"/><Relationship Id="rId15330" Type="http://schemas.openxmlformats.org/officeDocument/2006/relationships/hyperlink" Target="http://secrets.rutgers.edu:8080/data/asl-ftp/asllvd/demos/verify_start_end_handshape_annotations//test_auto_move//signs_mov_separ_signers/Liz_15584.mov" TargetMode="External"/><Relationship Id="rId15331" Type="http://schemas.openxmlformats.org/officeDocument/2006/relationships/hyperlink" Target="http://csr.bu.edu/ftp/asl/asllvd/demos/verify_start_end_handshape_annotations//test_auto_move//signs_mov_separ_signers/Brady_3719.mov" TargetMode="External"/><Relationship Id="rId15332" Type="http://schemas.openxmlformats.org/officeDocument/2006/relationships/hyperlink" Target="http://secrets.rutgers.edu:8080/data/asl-ftp/asllvd/demos/verify_start_end_handshape_annotations//test_auto_move//signs_mov_separ_signers/Brady_3719.mov" TargetMode="External"/><Relationship Id="rId15333" Type="http://schemas.openxmlformats.org/officeDocument/2006/relationships/hyperlink" Target="http://csr.bu.edu/ftp/asl/asllvd/demos/verify_start_end_handshape_annotations//test_auto_move//signs_mov_separ_signers/Brady_15584.mov" TargetMode="External"/><Relationship Id="rId15334" Type="http://schemas.openxmlformats.org/officeDocument/2006/relationships/hyperlink" Target="http://secrets.rutgers.edu:8080/data/asl-ftp/asllvd/demos/verify_start_end_handshape_annotations//test_auto_move//signs_mov_separ_signers/Brady_15584.mov" TargetMode="External"/><Relationship Id="rId15335" Type="http://schemas.openxmlformats.org/officeDocument/2006/relationships/hyperlink" Target="http://csr.bu.edu/ftp/asl/asllvd/demos/verify_start_end_handshape_annotations//test_auto_move//signs_mov/15591.mov" TargetMode="External"/><Relationship Id="rId15336" Type="http://schemas.openxmlformats.org/officeDocument/2006/relationships/hyperlink" Target="http://csr.bu.edu/ftp/asl/asllvd/demos/verify_start_end_handshape_annotations//test_auto_move//signs_mov_separ_signers/Liz_15591.mov" TargetMode="External"/><Relationship Id="rId15337" Type="http://schemas.openxmlformats.org/officeDocument/2006/relationships/hyperlink" Target="http://secrets.rutgers.edu:8080/data/asl-ftp/asllvd/demos/verify_start_end_handshape_annotations//test_auto_move//signs_mov/15591.mov" TargetMode="External"/><Relationship Id="rId15338" Type="http://schemas.openxmlformats.org/officeDocument/2006/relationships/hyperlink" Target="http://secrets.rutgers.edu:8080/data/asl-ftp/asllvd/demos/verify_start_end_handshape_annotations//test_auto_move//signs_mov_separ_signers/Liz_15591.mov" TargetMode="External"/><Relationship Id="rId15339" Type="http://schemas.openxmlformats.org/officeDocument/2006/relationships/hyperlink" Target="http://csr.bu.edu/ftp/asl/asllvd/demos/verify_start_end_handshape_annotations//test_auto_move//signs_mov/15662.mov" TargetMode="External"/><Relationship Id="rId15340" Type="http://schemas.openxmlformats.org/officeDocument/2006/relationships/hyperlink" Target="http://csr.bu.edu/ftp/asl/asllvd/demos/verify_start_end_handshape_annotations//test_auto_move//signs_mov_separ_signers/Liz_15662.mov" TargetMode="External"/><Relationship Id="rId15341" Type="http://schemas.openxmlformats.org/officeDocument/2006/relationships/hyperlink" Target="http://secrets.rutgers.edu:8080/data/asl-ftp/asllvd/demos/verify_start_end_handshape_annotations//test_auto_move//signs_mov/15662.mov" TargetMode="External"/><Relationship Id="rId15342" Type="http://schemas.openxmlformats.org/officeDocument/2006/relationships/hyperlink" Target="http://secrets.rutgers.edu:8080/data/asl-ftp/asllvd/demos/verify_start_end_handshape_annotations//test_auto_move//signs_mov_separ_signers/Liz_15662.mov" TargetMode="External"/><Relationship Id="rId15343" Type="http://schemas.openxmlformats.org/officeDocument/2006/relationships/hyperlink" Target="http://csr.bu.edu/ftp/asl/asllvd/demos/verify_start_end_handshape_annotations//test_auto_move//signs_mov/1933.mov" TargetMode="External"/><Relationship Id="rId15344" Type="http://schemas.openxmlformats.org/officeDocument/2006/relationships/hyperlink" Target="http://csr.bu.edu/ftp/asl/asllvd/demos/verify_start_end_handshape_annotations//test_auto_move//signs_mov_separ_signers/Liz_1933.mov" TargetMode="External"/><Relationship Id="rId15345" Type="http://schemas.openxmlformats.org/officeDocument/2006/relationships/hyperlink" Target="http://secrets.rutgers.edu:8080/data/asl-ftp/asllvd/demos/verify_start_end_handshape_annotations//test_auto_move//signs_mov/1933.mov" TargetMode="External"/><Relationship Id="rId15346" Type="http://schemas.openxmlformats.org/officeDocument/2006/relationships/hyperlink" Target="http://secrets.rutgers.edu:8080/data/asl-ftp/asllvd/demos/verify_start_end_handshape_annotations//test_auto_move//signs_mov_separ_signers/Liz_1933.mov" TargetMode="External"/><Relationship Id="rId15347" Type="http://schemas.openxmlformats.org/officeDocument/2006/relationships/hyperlink" Target="http://csr.bu.edu/ftp/asl/asllvd/demos/verify_start_end_handshape_annotations//test_auto_move//signs_mov_separ_signers/Brady_1933.mov" TargetMode="External"/><Relationship Id="rId15348" Type="http://schemas.openxmlformats.org/officeDocument/2006/relationships/hyperlink" Target="http://secrets.rutgers.edu:8080/data/asl-ftp/asllvd/demos/verify_start_end_handshape_annotations//test_auto_move//signs_mov_separ_signers/Brady_1933.mov" TargetMode="External"/><Relationship Id="rId15349" Type="http://schemas.openxmlformats.org/officeDocument/2006/relationships/hyperlink" Target="http://csr.bu.edu/ftp/asl/asllvd/demos/verify_start_end_handshape_annotations//test_auto_move//signs_mov/3827.mov" TargetMode="External"/><Relationship Id="rId15350" Type="http://schemas.openxmlformats.org/officeDocument/2006/relationships/hyperlink" Target="http://csr.bu.edu/ftp/asl/asllvd/demos/verify_start_end_handshape_annotations//test_auto_move//signs_mov_separ_signers/Liz_3827.mov" TargetMode="External"/><Relationship Id="rId15351" Type="http://schemas.openxmlformats.org/officeDocument/2006/relationships/hyperlink" Target="http://secrets.rutgers.edu:8080/data/asl-ftp/asllvd/demos/verify_start_end_handshape_annotations//test_auto_move//signs_mov/3827.mov" TargetMode="External"/><Relationship Id="rId15352" Type="http://schemas.openxmlformats.org/officeDocument/2006/relationships/hyperlink" Target="http://secrets.rutgers.edu:8080/data/asl-ftp/asllvd/demos/verify_start_end_handshape_annotations//test_auto_move//signs_mov_separ_signers/Liz_3827.mov" TargetMode="External"/><Relationship Id="rId15353" Type="http://schemas.openxmlformats.org/officeDocument/2006/relationships/hyperlink" Target="http://csr.bu.edu/ftp/asl/asllvd/demos/verify_start_end_handshape_annotations//test_auto_move//signs_mov_separ_signers/Brady_3827.mov" TargetMode="External"/><Relationship Id="rId15354" Type="http://schemas.openxmlformats.org/officeDocument/2006/relationships/hyperlink" Target="http://secrets.rutgers.edu:8080/data/asl-ftp/asllvd/demos/verify_start_end_handshape_annotations//test_auto_move//signs_mov_separ_signers/Brady_3827.mov" TargetMode="External"/><Relationship Id="rId15355" Type="http://schemas.openxmlformats.org/officeDocument/2006/relationships/hyperlink" Target="http://csr.bu.edu/ftp/asl/asllvd/demos/verify_start_end_handshape_annotations//test_auto_move//signs_mov_separ_signers/Liz_15642.mov" TargetMode="External"/><Relationship Id="rId15356" Type="http://schemas.openxmlformats.org/officeDocument/2006/relationships/hyperlink" Target="http://secrets.rutgers.edu:8080/data/asl-ftp/asllvd/demos/verify_start_end_handshape_annotations//test_auto_move//signs_mov_separ_signers/Liz_15642.mov" TargetMode="External"/><Relationship Id="rId15357" Type="http://schemas.openxmlformats.org/officeDocument/2006/relationships/hyperlink" Target="http://csr.bu.edu/ftp/asl/asllvd/demos/verify_start_end_handshape_annotations//test_auto_move//signs_mov/15642.mov" TargetMode="External"/><Relationship Id="rId15358" Type="http://schemas.openxmlformats.org/officeDocument/2006/relationships/hyperlink" Target="http://csr.bu.edu/ftp/asl/asllvd/demos/verify_start_end_handshape_annotations//test_auto_move//signs_mov_separ_signers/Tyler_15642.mov" TargetMode="External"/><Relationship Id="rId15359" Type="http://schemas.openxmlformats.org/officeDocument/2006/relationships/hyperlink" Target="http://secrets.rutgers.edu:8080/data/asl-ftp/asllvd/demos/verify_start_end_handshape_annotations//test_auto_move//signs_mov/15642.mov" TargetMode="External"/><Relationship Id="rId15360" Type="http://schemas.openxmlformats.org/officeDocument/2006/relationships/hyperlink" Target="http://secrets.rutgers.edu:8080/data/asl-ftp/asllvd/demos/verify_start_end_handshape_annotations//test_auto_move//signs_mov_separ_signers/Tyler_15642.mov" TargetMode="External"/><Relationship Id="rId15361" Type="http://schemas.openxmlformats.org/officeDocument/2006/relationships/hyperlink" Target="http://csr.bu.edu/ftp/asl/asllvd/demos/verify_start_end_handshape_annotations//test_auto_move//signs_mov_separ_signers/Naomi_15642.mov" TargetMode="External"/><Relationship Id="rId15362" Type="http://schemas.openxmlformats.org/officeDocument/2006/relationships/hyperlink" Target="http://secrets.rutgers.edu:8080/data/asl-ftp/asllvd/demos/verify_start_end_handshape_annotations//test_auto_move//signs_mov_separ_signers/Naomi_15642.mov" TargetMode="External"/><Relationship Id="rId15363" Type="http://schemas.openxmlformats.org/officeDocument/2006/relationships/hyperlink" Target="http://csr.bu.edu/ftp/asl/asllvd/demos/verify_start_end_handshape_annotations//test_auto_move//signs_mov_separ_signers/Brady_15642.mov" TargetMode="External"/><Relationship Id="rId15364" Type="http://schemas.openxmlformats.org/officeDocument/2006/relationships/hyperlink" Target="http://secrets.rutgers.edu:8080/data/asl-ftp/asllvd/demos/verify_start_end_handshape_annotations//test_auto_move//signs_mov_separ_signers/Brady_15642.mov" TargetMode="External"/><Relationship Id="rId15365" Type="http://schemas.openxmlformats.org/officeDocument/2006/relationships/hyperlink" Target="http://csr.bu.edu/ftp/asl/asllvd/demos/verify_start_end_handshape_annotations//test_auto_move//signs_mov/1934.mov" TargetMode="External"/><Relationship Id="rId15366" Type="http://schemas.openxmlformats.org/officeDocument/2006/relationships/hyperlink" Target="http://csr.bu.edu/ftp/asl/asllvd/demos/verify_start_end_handshape_annotations//test_auto_move//signs_mov_separ_signers/Liz_1934.mov" TargetMode="External"/><Relationship Id="rId15367" Type="http://schemas.openxmlformats.org/officeDocument/2006/relationships/hyperlink" Target="http://secrets.rutgers.edu:8080/data/asl-ftp/asllvd/demos/verify_start_end_handshape_annotations//test_auto_move//signs_mov/1934.mov" TargetMode="External"/><Relationship Id="rId15368" Type="http://schemas.openxmlformats.org/officeDocument/2006/relationships/hyperlink" Target="http://secrets.rutgers.edu:8080/data/asl-ftp/asllvd/demos/verify_start_end_handshape_annotations//test_auto_move//signs_mov_separ_signers/Liz_1934.mov" TargetMode="External"/><Relationship Id="rId15369" Type="http://schemas.openxmlformats.org/officeDocument/2006/relationships/hyperlink" Target="http://csr.bu.edu/ftp/asl/asllvd/demos/verify_start_end_handshape_annotations//test_auto_move//signs_mov_separ_signers/Brady_1934.mov" TargetMode="External"/><Relationship Id="rId15370" Type="http://schemas.openxmlformats.org/officeDocument/2006/relationships/hyperlink" Target="http://secrets.rutgers.edu:8080/data/asl-ftp/asllvd/demos/verify_start_end_handshape_annotations//test_auto_move//signs_mov_separ_signers/Brady_1934.mov" TargetMode="External"/><Relationship Id="rId15371" Type="http://schemas.openxmlformats.org/officeDocument/2006/relationships/hyperlink" Target="http://csr.bu.edu/ftp/asl/asllvd/demos/verify_start_end_handshape_annotations//test_auto_move//signs_mov/1940.mov" TargetMode="External"/><Relationship Id="rId15372" Type="http://schemas.openxmlformats.org/officeDocument/2006/relationships/hyperlink" Target="http://csr.bu.edu/ftp/asl/asllvd/demos/verify_start_end_handshape_annotations//test_auto_move//signs_mov_separ_signers/Liz_1940.mov" TargetMode="External"/><Relationship Id="rId15373" Type="http://schemas.openxmlformats.org/officeDocument/2006/relationships/hyperlink" Target="http://secrets.rutgers.edu:8080/data/asl-ftp/asllvd/demos/verify_start_end_handshape_annotations//test_auto_move//signs_mov/1940.mov" TargetMode="External"/><Relationship Id="rId15374" Type="http://schemas.openxmlformats.org/officeDocument/2006/relationships/hyperlink" Target="http://secrets.rutgers.edu:8080/data/asl-ftp/asllvd/demos/verify_start_end_handshape_annotations//test_auto_move//signs_mov_separ_signers/Liz_1940.mov" TargetMode="External"/><Relationship Id="rId15375" Type="http://schemas.openxmlformats.org/officeDocument/2006/relationships/hyperlink" Target="http://csr.bu.edu/ftp/asl/asllvd/demos/verify_start_end_handshape_annotations//test_auto_move//signs_mov_separ_signers/Brady_1940.mov" TargetMode="External"/><Relationship Id="rId15376" Type="http://schemas.openxmlformats.org/officeDocument/2006/relationships/hyperlink" Target="http://secrets.rutgers.edu:8080/data/asl-ftp/asllvd/demos/verify_start_end_handshape_annotations//test_auto_move//signs_mov_separ_signers/Brady_1940.mov" TargetMode="External"/><Relationship Id="rId15377" Type="http://schemas.openxmlformats.org/officeDocument/2006/relationships/hyperlink" Target="http://csr.bu.edu/ftp/asl/asllvd/demos/verify_start_end_handshape_annotations//test_auto_move//signs_mov/15084.mov" TargetMode="External"/><Relationship Id="rId15378" Type="http://schemas.openxmlformats.org/officeDocument/2006/relationships/hyperlink" Target="http://csr.bu.edu/ftp/asl/asllvd/demos/verify_start_end_handshape_annotations//test_auto_move//signs_mov_separ_signers/Liz_15084.mov" TargetMode="External"/><Relationship Id="rId15379" Type="http://schemas.openxmlformats.org/officeDocument/2006/relationships/hyperlink" Target="http://secrets.rutgers.edu:8080/data/asl-ftp/asllvd/demos/verify_start_end_handshape_annotations//test_auto_move//signs_mov/15084.mov" TargetMode="External"/><Relationship Id="rId15380" Type="http://schemas.openxmlformats.org/officeDocument/2006/relationships/hyperlink" Target="http://secrets.rutgers.edu:8080/data/asl-ftp/asllvd/demos/verify_start_end_handshape_annotations//test_auto_move//signs_mov_separ_signers/Liz_15084.mov" TargetMode="External"/><Relationship Id="rId15381" Type="http://schemas.openxmlformats.org/officeDocument/2006/relationships/hyperlink" Target="http://csr.bu.edu/ftp/asl/asllvd/demos/verify_start_end_handshape_annotations//test_auto_move//signs_mov_separ_signers/Brady_15084.mov" TargetMode="External"/><Relationship Id="rId15382" Type="http://schemas.openxmlformats.org/officeDocument/2006/relationships/hyperlink" Target="http://secrets.rutgers.edu:8080/data/asl-ftp/asllvd/demos/verify_start_end_handshape_annotations//test_auto_move//signs_mov_separ_signers/Brady_15084.mov" TargetMode="External"/><Relationship Id="rId15383" Type="http://schemas.openxmlformats.org/officeDocument/2006/relationships/hyperlink" Target="http://csr.bu.edu/ftp/asl/asllvd/demos/verify_start_end_handshape_annotations//test_auto_move//signs_mov_separ_signers/Liz_1946.mov" TargetMode="External"/><Relationship Id="rId15384" Type="http://schemas.openxmlformats.org/officeDocument/2006/relationships/hyperlink" Target="http://secrets.rutgers.edu:8080/data/asl-ftp/asllvd/demos/verify_start_end_handshape_annotations//test_auto_move//signs_mov_separ_signers/Liz_1946.mov" TargetMode="External"/><Relationship Id="rId15385" Type="http://schemas.openxmlformats.org/officeDocument/2006/relationships/hyperlink" Target="http://csr.bu.edu/ftp/asl/asllvd/demos/verify_start_end_handshape_annotations//test_auto_move//signs_mov/1946.mov" TargetMode="External"/><Relationship Id="rId15386" Type="http://schemas.openxmlformats.org/officeDocument/2006/relationships/hyperlink" Target="http://csr.bu.edu/ftp/asl/asllvd/demos/verify_start_end_handshape_annotations//test_auto_move//signs_mov_separ_signers/Brady_1946.mov" TargetMode="External"/><Relationship Id="rId15387" Type="http://schemas.openxmlformats.org/officeDocument/2006/relationships/hyperlink" Target="http://secrets.rutgers.edu:8080/data/asl-ftp/asllvd/demos/verify_start_end_handshape_annotations//test_auto_move//signs_mov/1946.mov" TargetMode="External"/><Relationship Id="rId15388" Type="http://schemas.openxmlformats.org/officeDocument/2006/relationships/hyperlink" Target="http://secrets.rutgers.edu:8080/data/asl-ftp/asllvd/demos/verify_start_end_handshape_annotations//test_auto_move//signs_mov_separ_signers/Brady_1946.mov" TargetMode="External"/><Relationship Id="rId15389" Type="http://schemas.openxmlformats.org/officeDocument/2006/relationships/hyperlink" Target="http://csr.bu.edu/ftp/asl/asllvd/demos/verify_start_end_handshape_annotations//test_auto_move//signs_mov_separ_signers/Lana_1946.mov" TargetMode="External"/><Relationship Id="rId15390" Type="http://schemas.openxmlformats.org/officeDocument/2006/relationships/hyperlink" Target="http://secrets.rutgers.edu:8080/data/asl-ftp/asllvd/demos/verify_start_end_handshape_annotations//test_auto_move//signs_mov_separ_signers/Lana_1946.mov" TargetMode="External"/><Relationship Id="rId15391" Type="http://schemas.openxmlformats.org/officeDocument/2006/relationships/hyperlink" Target="http://csr.bu.edu/ftp/asl/asllvd/demos/verify_start_end_handshape_annotations//test_auto_move//signs_mov_separ_signers/Dana_1946.mov" TargetMode="External"/><Relationship Id="rId15392" Type="http://schemas.openxmlformats.org/officeDocument/2006/relationships/hyperlink" Target="http://secrets.rutgers.edu:8080/data/asl-ftp/asllvd/demos/verify_start_end_handshape_annotations//test_auto_move//signs_mov_separ_signers/Dana_1946.mov" TargetMode="External"/><Relationship Id="rId15393" Type="http://schemas.openxmlformats.org/officeDocument/2006/relationships/hyperlink" Target="http://csr.bu.edu/ftp/asl/asllvd/demos/verify_start_end_handshape_annotations//test_auto_move//signs_mov_separ_signers/Liz_1947.mov" TargetMode="External"/><Relationship Id="rId15394" Type="http://schemas.openxmlformats.org/officeDocument/2006/relationships/hyperlink" Target="http://secrets.rutgers.edu:8080/data/asl-ftp/asllvd/demos/verify_start_end_handshape_annotations//test_auto_move//signs_mov_separ_signers/Liz_1947.mov" TargetMode="External"/><Relationship Id="rId15395" Type="http://schemas.openxmlformats.org/officeDocument/2006/relationships/hyperlink" Target="http://csr.bu.edu/ftp/asl/asllvd/demos/verify_start_end_handshape_annotations//test_auto_move//signs_mov_separ_signers/Liz_15558.mov" TargetMode="External"/><Relationship Id="rId15396" Type="http://schemas.openxmlformats.org/officeDocument/2006/relationships/hyperlink" Target="http://secrets.rutgers.edu:8080/data/asl-ftp/asllvd/demos/verify_start_end_handshape_annotations//test_auto_move//signs_mov_separ_signers/Liz_15558.mov" TargetMode="External"/><Relationship Id="rId15397" Type="http://schemas.openxmlformats.org/officeDocument/2006/relationships/hyperlink" Target="http://csr.bu.edu/ftp/asl/asllvd/demos/verify_start_end_handshape_annotations//test_auto_move//signs_mov/1947_15558_merged.mov" TargetMode="External"/><Relationship Id="rId15398" Type="http://schemas.openxmlformats.org/officeDocument/2006/relationships/hyperlink" Target="http://csr.bu.edu/ftp/asl/asllvd/demos/verify_start_end_handshape_annotations//test_auto_move//signs_mov_separ_signers/Brady_1947.mov" TargetMode="External"/><Relationship Id="rId15399" Type="http://schemas.openxmlformats.org/officeDocument/2006/relationships/hyperlink" Target="http://secrets.rutgers.edu:8080/data/asl-ftp/asllvd/demos/verify_start_end_handshape_annotations//test_auto_move//signs_mov/1947_15558_merged.mov" TargetMode="External"/><Relationship Id="rId15400" Type="http://schemas.openxmlformats.org/officeDocument/2006/relationships/hyperlink" Target="http://secrets.rutgers.edu:8080/data/asl-ftp/asllvd/demos/verify_start_end_handshape_annotations//test_auto_move//signs_mov_separ_signers/Brady_1947.mov" TargetMode="External"/><Relationship Id="rId15401" Type="http://schemas.openxmlformats.org/officeDocument/2006/relationships/hyperlink" Target="http://csr.bu.edu/ftp/asl/asllvd/demos/verify_start_end_handshape_annotations//test_auto_move//signs_mov_separ_signers/Brady_15558.mov" TargetMode="External"/><Relationship Id="rId15402" Type="http://schemas.openxmlformats.org/officeDocument/2006/relationships/hyperlink" Target="http://secrets.rutgers.edu:8080/data/asl-ftp/asllvd/demos/verify_start_end_handshape_annotations//test_auto_move//signs_mov_separ_signers/Brady_15558.mov" TargetMode="External"/><Relationship Id="rId15403" Type="http://schemas.openxmlformats.org/officeDocument/2006/relationships/hyperlink" Target="http://csr.bu.edu/ftp/asl/asllvd/demos/verify_start_end_handshape_annotations//test_auto_move//signs_mov_separ_signers/Lana_1947.mov" TargetMode="External"/><Relationship Id="rId15404" Type="http://schemas.openxmlformats.org/officeDocument/2006/relationships/hyperlink" Target="http://secrets.rutgers.edu:8080/data/asl-ftp/asllvd/demos/verify_start_end_handshape_annotations//test_auto_move//signs_mov_separ_signers/Lana_1947.mov" TargetMode="External"/><Relationship Id="rId15405" Type="http://schemas.openxmlformats.org/officeDocument/2006/relationships/hyperlink" Target="http://csr.bu.edu/ftp/asl/asllvd/demos/verify_start_end_handshape_annotations//test_auto_move//signs_mov_separ_signers/Dana_1947.mov" TargetMode="External"/><Relationship Id="rId15406" Type="http://schemas.openxmlformats.org/officeDocument/2006/relationships/hyperlink" Target="http://secrets.rutgers.edu:8080/data/asl-ftp/asllvd/demos/verify_start_end_handshape_annotations//test_auto_move//signs_mov_separ_signers/Dana_1947.mov" TargetMode="External"/><Relationship Id="rId15407" Type="http://schemas.openxmlformats.org/officeDocument/2006/relationships/hyperlink" Target="http://csr.bu.edu/ftp/asl/asllvd/demos/verify_start_end_handshape_annotations//test_auto_move//signs_mov_separ_signers/Liz_1949.mov" TargetMode="External"/><Relationship Id="rId15408" Type="http://schemas.openxmlformats.org/officeDocument/2006/relationships/hyperlink" Target="http://secrets.rutgers.edu:8080/data/asl-ftp/asllvd/demos/verify_start_end_handshape_annotations//test_auto_move//signs_mov_separ_signers/Liz_1949.mov" TargetMode="External"/><Relationship Id="rId15409" Type="http://schemas.openxmlformats.org/officeDocument/2006/relationships/hyperlink" Target="http://csr.bu.edu/ftp/asl/asllvd/demos/verify_start_end_handshape_annotations//test_auto_move//signs_mov_separ_signers/Tyler_1949.mov" TargetMode="External"/><Relationship Id="rId15410" Type="http://schemas.openxmlformats.org/officeDocument/2006/relationships/hyperlink" Target="http://secrets.rutgers.edu:8080/data/asl-ftp/asllvd/demos/verify_start_end_handshape_annotations//test_auto_move//signs_mov_separ_signers/Tyler_1949.mov" TargetMode="External"/><Relationship Id="rId15411" Type="http://schemas.openxmlformats.org/officeDocument/2006/relationships/hyperlink" Target="http://csr.bu.edu/ftp/asl/asllvd/demos/verify_start_end_handshape_annotations//test_auto_move//signs_mov_separ_signers/Naomi_1949.mov" TargetMode="External"/><Relationship Id="rId15412" Type="http://schemas.openxmlformats.org/officeDocument/2006/relationships/hyperlink" Target="http://secrets.rutgers.edu:8080/data/asl-ftp/asllvd/demos/verify_start_end_handshape_annotations//test_auto_move//signs_mov_separ_signers/Naomi_1949.mov" TargetMode="External"/><Relationship Id="rId15413" Type="http://schemas.openxmlformats.org/officeDocument/2006/relationships/hyperlink" Target="http://csr.bu.edu/ftp/asl/asllvd/demos/verify_start_end_handshape_annotations//test_auto_move//signs_mov/1949_5341_merged.mov" TargetMode="External"/><Relationship Id="rId15414" Type="http://schemas.openxmlformats.org/officeDocument/2006/relationships/hyperlink" Target="http://csr.bu.edu/ftp/asl/asllvd/demos/verify_start_end_handshape_annotations//test_auto_move//signs_mov_separ_signers/Brady_1949.mov" TargetMode="External"/><Relationship Id="rId15415" Type="http://schemas.openxmlformats.org/officeDocument/2006/relationships/hyperlink" Target="http://secrets.rutgers.edu:8080/data/asl-ftp/asllvd/demos/verify_start_end_handshape_annotations//test_auto_move//signs_mov/1949_5341_merged.mov" TargetMode="External"/><Relationship Id="rId15416" Type="http://schemas.openxmlformats.org/officeDocument/2006/relationships/hyperlink" Target="http://secrets.rutgers.edu:8080/data/asl-ftp/asllvd/demos/verify_start_end_handshape_annotations//test_auto_move//signs_mov_separ_signers/Brady_1949.mov" TargetMode="External"/><Relationship Id="rId15417" Type="http://schemas.openxmlformats.org/officeDocument/2006/relationships/hyperlink" Target="http://csr.bu.edu/ftp/asl/asllvd/demos/verify_start_end_handshape_annotations//test_auto_move//signs_mov_separ_signers/Brady_5341.mov" TargetMode="External"/><Relationship Id="rId15418" Type="http://schemas.openxmlformats.org/officeDocument/2006/relationships/hyperlink" Target="http://secrets.rutgers.edu:8080/data/asl-ftp/asllvd/demos/verify_start_end_handshape_annotations//test_auto_move//signs_mov_separ_signers/Brady_5341.mov" TargetMode="External"/><Relationship Id="rId15419" Type="http://schemas.openxmlformats.org/officeDocument/2006/relationships/hyperlink" Target="http://csr.bu.edu/ftp/asl/asllvd/demos/verify_start_end_handshape_annotations//test_auto_move//signs_mov_separ_signers/Lana_1949.mov" TargetMode="External"/><Relationship Id="rId15420" Type="http://schemas.openxmlformats.org/officeDocument/2006/relationships/hyperlink" Target="http://secrets.rutgers.edu:8080/data/asl-ftp/asllvd/demos/verify_start_end_handshape_annotations//test_auto_move//signs_mov_separ_signers/Lana_1949.mov" TargetMode="External"/><Relationship Id="rId15421" Type="http://schemas.openxmlformats.org/officeDocument/2006/relationships/hyperlink" Target="http://csr.bu.edu/ftp/asl/asllvd/demos/verify_start_end_handshape_annotations//test_auto_move//signs_mov_separ_signers/Dana_1949.mov" TargetMode="External"/><Relationship Id="rId15422" Type="http://schemas.openxmlformats.org/officeDocument/2006/relationships/hyperlink" Target="http://secrets.rutgers.edu:8080/data/asl-ftp/asllvd/demos/verify_start_end_handshape_annotations//test_auto_move//signs_mov_separ_signers/Dana_1949.mov" TargetMode="External"/><Relationship Id="rId15423" Type="http://schemas.openxmlformats.org/officeDocument/2006/relationships/hyperlink" Target="http://csr.bu.edu/ftp/asl/asllvd/demos/verify_start_end_handshape_annotations//test_auto_move//signs_mov/15140.mov" TargetMode="External"/><Relationship Id="rId15424" Type="http://schemas.openxmlformats.org/officeDocument/2006/relationships/hyperlink" Target="http://csr.bu.edu/ftp/asl/asllvd/demos/verify_start_end_handshape_annotations//test_auto_move//signs_mov_separ_signers/Liz_15140.mov" TargetMode="External"/><Relationship Id="rId15425" Type="http://schemas.openxmlformats.org/officeDocument/2006/relationships/hyperlink" Target="http://secrets.rutgers.edu:8080/data/asl-ftp/asllvd/demos/verify_start_end_handshape_annotations//test_auto_move//signs_mov/15140.mov" TargetMode="External"/><Relationship Id="rId15426" Type="http://schemas.openxmlformats.org/officeDocument/2006/relationships/hyperlink" Target="http://secrets.rutgers.edu:8080/data/asl-ftp/asllvd/demos/verify_start_end_handshape_annotations//test_auto_move//signs_mov_separ_signers/Liz_15140.mov" TargetMode="External"/><Relationship Id="rId15427" Type="http://schemas.openxmlformats.org/officeDocument/2006/relationships/hyperlink" Target="http://csr.bu.edu/ftp/asl/asllvd/demos/verify_start_end_handshape_annotations//test_auto_move//signs_mov_separ_signers/Liz_1955.mov" TargetMode="External"/><Relationship Id="rId15428" Type="http://schemas.openxmlformats.org/officeDocument/2006/relationships/hyperlink" Target="http://secrets.rutgers.edu:8080/data/asl-ftp/asllvd/demos/verify_start_end_handshape_annotations//test_auto_move//signs_mov_separ_signers/Liz_1955.mov" TargetMode="External"/><Relationship Id="rId15429" Type="http://schemas.openxmlformats.org/officeDocument/2006/relationships/hyperlink" Target="http://csr.bu.edu/ftp/asl/asllvd/demos/verify_start_end_handshape_annotations//test_auto_move//signs_mov/1955.mov" TargetMode="External"/><Relationship Id="rId15430" Type="http://schemas.openxmlformats.org/officeDocument/2006/relationships/hyperlink" Target="http://csr.bu.edu/ftp/asl/asllvd/demos/verify_start_end_handshape_annotations//test_auto_move//signs_mov_separ_signers/Brady_1955.mov" TargetMode="External"/><Relationship Id="rId15431" Type="http://schemas.openxmlformats.org/officeDocument/2006/relationships/hyperlink" Target="http://secrets.rutgers.edu:8080/data/asl-ftp/asllvd/demos/verify_start_end_handshape_annotations//test_auto_move//signs_mov/1955.mov" TargetMode="External"/><Relationship Id="rId15432" Type="http://schemas.openxmlformats.org/officeDocument/2006/relationships/hyperlink" Target="http://secrets.rutgers.edu:8080/data/asl-ftp/asllvd/demos/verify_start_end_handshape_annotations//test_auto_move//signs_mov_separ_signers/Brady_1955.mov" TargetMode="External"/><Relationship Id="rId15433" Type="http://schemas.openxmlformats.org/officeDocument/2006/relationships/hyperlink" Target="http://csr.bu.edu/ftp/asl/asllvd/demos/verify_start_end_handshape_annotations//test_auto_move//signs_mov_separ_signers/Lana_1955.mov" TargetMode="External"/><Relationship Id="rId15434" Type="http://schemas.openxmlformats.org/officeDocument/2006/relationships/hyperlink" Target="http://secrets.rutgers.edu:8080/data/asl-ftp/asllvd/demos/verify_start_end_handshape_annotations//test_auto_move//signs_mov_separ_signers/Lana_1955.mov" TargetMode="External"/><Relationship Id="rId15435" Type="http://schemas.openxmlformats.org/officeDocument/2006/relationships/hyperlink" Target="http://csr.bu.edu/ftp/asl/asllvd/demos/verify_start_end_handshape_annotations//test_auto_move//signs_mov_separ_signers/Dana_1955.mov" TargetMode="External"/><Relationship Id="rId15436" Type="http://schemas.openxmlformats.org/officeDocument/2006/relationships/hyperlink" Target="http://secrets.rutgers.edu:8080/data/asl-ftp/asllvd/demos/verify_start_end_handshape_annotations//test_auto_move//signs_mov_separ_signers/Dana_1955.mov" TargetMode="External"/><Relationship Id="rId15437" Type="http://schemas.openxmlformats.org/officeDocument/2006/relationships/hyperlink" Target="http://csr.bu.edu/ftp/asl/asllvd/demos/verify_start_end_handshape_annotations//test_auto_move//signs_mov_separ_signers/Liz_1956.mov" TargetMode="External"/><Relationship Id="rId15438" Type="http://schemas.openxmlformats.org/officeDocument/2006/relationships/hyperlink" Target="http://secrets.rutgers.edu:8080/data/asl-ftp/asllvd/demos/verify_start_end_handshape_annotations//test_auto_move//signs_mov_separ_signers/Liz_1956.mov" TargetMode="External"/><Relationship Id="rId15439" Type="http://schemas.openxmlformats.org/officeDocument/2006/relationships/hyperlink" Target="http://csr.bu.edu/ftp/asl/asllvd/demos/verify_start_end_handshape_annotations//test_auto_move//signs_mov_separ_signers/Liz_3532.mov" TargetMode="External"/><Relationship Id="rId15440" Type="http://schemas.openxmlformats.org/officeDocument/2006/relationships/hyperlink" Target="http://secrets.rutgers.edu:8080/data/asl-ftp/asllvd/demos/verify_start_end_handshape_annotations//test_auto_move//signs_mov_separ_signers/Liz_3532.mov" TargetMode="External"/><Relationship Id="rId15441" Type="http://schemas.openxmlformats.org/officeDocument/2006/relationships/hyperlink" Target="http://csr.bu.edu/ftp/asl/asllvd/demos/verify_start_end_handshape_annotations//test_auto_move//signs_mov/1956_3532_merged.mov" TargetMode="External"/><Relationship Id="rId15442" Type="http://schemas.openxmlformats.org/officeDocument/2006/relationships/hyperlink" Target="http://csr.bu.edu/ftp/asl/asllvd/demos/verify_start_end_handshape_annotations//test_auto_move//signs_mov_separ_signers/Brady_1956.mov" TargetMode="External"/><Relationship Id="rId15443" Type="http://schemas.openxmlformats.org/officeDocument/2006/relationships/hyperlink" Target="http://secrets.rutgers.edu:8080/data/asl-ftp/asllvd/demos/verify_start_end_handshape_annotations//test_auto_move//signs_mov/1956_3532_merged.mov" TargetMode="External"/><Relationship Id="rId15444" Type="http://schemas.openxmlformats.org/officeDocument/2006/relationships/hyperlink" Target="http://secrets.rutgers.edu:8080/data/asl-ftp/asllvd/demos/verify_start_end_handshape_annotations//test_auto_move//signs_mov_separ_signers/Brady_1956.mov" TargetMode="External"/><Relationship Id="rId15445" Type="http://schemas.openxmlformats.org/officeDocument/2006/relationships/hyperlink" Target="http://csr.bu.edu/ftp/asl/asllvd/demos/verify_start_end_handshape_annotations//test_auto_move//signs_mov_separ_signers/Lana_1956.mov" TargetMode="External"/><Relationship Id="rId15446" Type="http://schemas.openxmlformats.org/officeDocument/2006/relationships/hyperlink" Target="http://secrets.rutgers.edu:8080/data/asl-ftp/asllvd/demos/verify_start_end_handshape_annotations//test_auto_move//signs_mov_separ_signers/Lana_1956.mov" TargetMode="External"/><Relationship Id="rId15447" Type="http://schemas.openxmlformats.org/officeDocument/2006/relationships/hyperlink" Target="http://csr.bu.edu/ftp/asl/asllvd/demos/verify_start_end_handshape_annotations//test_auto_move//signs_mov_separ_signers/Dana_1956.mov" TargetMode="External"/><Relationship Id="rId15448" Type="http://schemas.openxmlformats.org/officeDocument/2006/relationships/hyperlink" Target="http://secrets.rutgers.edu:8080/data/asl-ftp/asllvd/demos/verify_start_end_handshape_annotations//test_auto_move//signs_mov_separ_signers/Dana_1956.mov" TargetMode="External"/><Relationship Id="rId15449" Type="http://schemas.openxmlformats.org/officeDocument/2006/relationships/hyperlink" Target="http://csr.bu.edu/ftp/asl/asllvd/demos/verify_start_end_handshape_annotations//test_auto_move//signs_mov/1958.mov" TargetMode="External"/><Relationship Id="rId15450" Type="http://schemas.openxmlformats.org/officeDocument/2006/relationships/hyperlink" Target="http://csr.bu.edu/ftp/asl/asllvd/demos/verify_start_end_handshape_annotations//test_auto_move//signs_mov_separ_signers/Liz_1958.mov" TargetMode="External"/><Relationship Id="rId15451" Type="http://schemas.openxmlformats.org/officeDocument/2006/relationships/hyperlink" Target="http://secrets.rutgers.edu:8080/data/asl-ftp/asllvd/demos/verify_start_end_handshape_annotations//test_auto_move//signs_mov/1958.mov" TargetMode="External"/><Relationship Id="rId15452" Type="http://schemas.openxmlformats.org/officeDocument/2006/relationships/hyperlink" Target="http://secrets.rutgers.edu:8080/data/asl-ftp/asllvd/demos/verify_start_end_handshape_annotations//test_auto_move//signs_mov_separ_signers/Liz_1958.mov" TargetMode="External"/><Relationship Id="rId15453" Type="http://schemas.openxmlformats.org/officeDocument/2006/relationships/hyperlink" Target="http://csr.bu.edu/ftp/asl/asllvd/demos/verify_start_end_handshape_annotations//test_auto_move//signs_mov_separ_signers/Brady_1958.mov" TargetMode="External"/><Relationship Id="rId15454" Type="http://schemas.openxmlformats.org/officeDocument/2006/relationships/hyperlink" Target="http://secrets.rutgers.edu:8080/data/asl-ftp/asllvd/demos/verify_start_end_handshape_annotations//test_auto_move//signs_mov_separ_signers/Brady_1958.mov" TargetMode="External"/><Relationship Id="rId15455" Type="http://schemas.openxmlformats.org/officeDocument/2006/relationships/hyperlink" Target="http://csr.bu.edu/ftp/asl/asllvd/demos/verify_start_end_handshape_annotations//test_auto_move//signs_mov/1968.mov" TargetMode="External"/><Relationship Id="rId15456" Type="http://schemas.openxmlformats.org/officeDocument/2006/relationships/hyperlink" Target="http://csr.bu.edu/ftp/asl/asllvd/demos/verify_start_end_handshape_annotations//test_auto_move//signs_mov_separ_signers/Liz_1968.mov" TargetMode="External"/><Relationship Id="rId15457" Type="http://schemas.openxmlformats.org/officeDocument/2006/relationships/hyperlink" Target="http://secrets.rutgers.edu:8080/data/asl-ftp/asllvd/demos/verify_start_end_handshape_annotations//test_auto_move//signs_mov/1968.mov" TargetMode="External"/><Relationship Id="rId15458" Type="http://schemas.openxmlformats.org/officeDocument/2006/relationships/hyperlink" Target="http://secrets.rutgers.edu:8080/data/asl-ftp/asllvd/demos/verify_start_end_handshape_annotations//test_auto_move//signs_mov_separ_signers/Liz_1968.mov" TargetMode="External"/><Relationship Id="rId15459" Type="http://schemas.openxmlformats.org/officeDocument/2006/relationships/hyperlink" Target="http://csr.bu.edu/ftp/asl/asllvd/demos/verify_start_end_handshape_annotations//test_auto_move//signs_mov_separ_signers/Brady_1968.mov" TargetMode="External"/><Relationship Id="rId15460" Type="http://schemas.openxmlformats.org/officeDocument/2006/relationships/hyperlink" Target="http://secrets.rutgers.edu:8080/data/asl-ftp/asllvd/demos/verify_start_end_handshape_annotations//test_auto_move//signs_mov_separ_signers/Brady_1968.mov" TargetMode="External"/><Relationship Id="rId15461" Type="http://schemas.openxmlformats.org/officeDocument/2006/relationships/hyperlink" Target="http://csr.bu.edu/ftp/asl/asllvd/demos/verify_start_end_handshape_annotations//test_auto_move//signs_mov/15929.mov" TargetMode="External"/><Relationship Id="rId15462" Type="http://schemas.openxmlformats.org/officeDocument/2006/relationships/hyperlink" Target="http://csr.bu.edu/ftp/asl/asllvd/demos/verify_start_end_handshape_annotations//test_auto_move//signs_mov_separ_signers/Liz_15929.mov" TargetMode="External"/><Relationship Id="rId15463" Type="http://schemas.openxmlformats.org/officeDocument/2006/relationships/hyperlink" Target="http://secrets.rutgers.edu:8080/data/asl-ftp/asllvd/demos/verify_start_end_handshape_annotations//test_auto_move//signs_mov/15929.mov" TargetMode="External"/><Relationship Id="rId15464" Type="http://schemas.openxmlformats.org/officeDocument/2006/relationships/hyperlink" Target="http://secrets.rutgers.edu:8080/data/asl-ftp/asllvd/demos/verify_start_end_handshape_annotations//test_auto_move//signs_mov_separ_signers/Liz_15929.mov" TargetMode="External"/><Relationship Id="rId15465" Type="http://schemas.openxmlformats.org/officeDocument/2006/relationships/hyperlink" Target="http://csr.bu.edu/ftp/asl/asllvd/demos/verify_start_end_handshape_annotations//test_auto_move//signs_mov_separ_signers/Brady_15929.mov" TargetMode="External"/><Relationship Id="rId15466" Type="http://schemas.openxmlformats.org/officeDocument/2006/relationships/hyperlink" Target="http://secrets.rutgers.edu:8080/data/asl-ftp/asllvd/demos/verify_start_end_handshape_annotations//test_auto_move//signs_mov_separ_signers/Brady_15929.mov" TargetMode="External"/><Relationship Id="rId15467" Type="http://schemas.openxmlformats.org/officeDocument/2006/relationships/hyperlink" Target="http://csr.bu.edu/ftp/asl/asllvd/demos/verify_start_end_handshape_annotations//test_auto_move//signs_mov/1972.mov" TargetMode="External"/><Relationship Id="rId15468" Type="http://schemas.openxmlformats.org/officeDocument/2006/relationships/hyperlink" Target="http://csr.bu.edu/ftp/asl/asllvd/demos/verify_start_end_handshape_annotations//test_auto_move//signs_mov_separ_signers/Liz_1972.mov" TargetMode="External"/><Relationship Id="rId15469" Type="http://schemas.openxmlformats.org/officeDocument/2006/relationships/hyperlink" Target="http://secrets.rutgers.edu:8080/data/asl-ftp/asllvd/demos/verify_start_end_handshape_annotations//test_auto_move//signs_mov/1972.mov" TargetMode="External"/><Relationship Id="rId15470" Type="http://schemas.openxmlformats.org/officeDocument/2006/relationships/hyperlink" Target="http://secrets.rutgers.edu:8080/data/asl-ftp/asllvd/demos/verify_start_end_handshape_annotations//test_auto_move//signs_mov_separ_signers/Liz_1972.mov" TargetMode="External"/><Relationship Id="rId15471" Type="http://schemas.openxmlformats.org/officeDocument/2006/relationships/hyperlink" Target="http://csr.bu.edu/ftp/asl/asllvd/demos/verify_start_end_handshape_annotations//test_auto_move//signs_mov_separ_signers/Brady_1972.mov" TargetMode="External"/><Relationship Id="rId15472" Type="http://schemas.openxmlformats.org/officeDocument/2006/relationships/hyperlink" Target="http://secrets.rutgers.edu:8080/data/asl-ftp/asllvd/demos/verify_start_end_handshape_annotations//test_auto_move//signs_mov_separ_signers/Brady_1972.mov" TargetMode="External"/><Relationship Id="rId15473" Type="http://schemas.openxmlformats.org/officeDocument/2006/relationships/hyperlink" Target="http://csr.bu.edu/ftp/asl/asllvd/demos/verify_start_end_handshape_annotations//test_auto_move//signs_mov_separ_signers/Liz_1973.mov" TargetMode="External"/><Relationship Id="rId15474" Type="http://schemas.openxmlformats.org/officeDocument/2006/relationships/hyperlink" Target="http://secrets.rutgers.edu:8080/data/asl-ftp/asllvd/demos/verify_start_end_handshape_annotations//test_auto_move//signs_mov_separ_signers/Liz_1973.mov" TargetMode="External"/><Relationship Id="rId15475" Type="http://schemas.openxmlformats.org/officeDocument/2006/relationships/hyperlink" Target="http://csr.bu.edu/ftp/asl/asllvd/demos/verify_start_end_handshape_annotations//test_auto_move//signs_mov/1973.mov" TargetMode="External"/><Relationship Id="rId15476" Type="http://schemas.openxmlformats.org/officeDocument/2006/relationships/hyperlink" Target="http://csr.bu.edu/ftp/asl/asllvd/demos/verify_start_end_handshape_annotations//test_auto_move//signs_mov_separ_signers/Brady_1973.mov" TargetMode="External"/><Relationship Id="rId15477" Type="http://schemas.openxmlformats.org/officeDocument/2006/relationships/hyperlink" Target="http://secrets.rutgers.edu:8080/data/asl-ftp/asllvd/demos/verify_start_end_handshape_annotations//test_auto_move//signs_mov/1973.mov" TargetMode="External"/><Relationship Id="rId15478" Type="http://schemas.openxmlformats.org/officeDocument/2006/relationships/hyperlink" Target="http://secrets.rutgers.edu:8080/data/asl-ftp/asllvd/demos/verify_start_end_handshape_annotations//test_auto_move//signs_mov_separ_signers/Brady_1973.mov" TargetMode="External"/><Relationship Id="rId15479" Type="http://schemas.openxmlformats.org/officeDocument/2006/relationships/hyperlink" Target="http://csr.bu.edu/ftp/asl/asllvd/demos/verify_start_end_handshape_annotations//test_auto_move//signs_mov_separ_signers/Lana_1973.mov" TargetMode="External"/><Relationship Id="rId15480" Type="http://schemas.openxmlformats.org/officeDocument/2006/relationships/hyperlink" Target="http://secrets.rutgers.edu:8080/data/asl-ftp/asllvd/demos/verify_start_end_handshape_annotations//test_auto_move//signs_mov_separ_signers/Lana_1973.mov" TargetMode="External"/><Relationship Id="rId15481" Type="http://schemas.openxmlformats.org/officeDocument/2006/relationships/hyperlink" Target="http://csr.bu.edu/ftp/asl/asllvd/demos/verify_start_end_handshape_annotations//test_auto_move//signs_mov_separ_signers/Dana_1973.mov" TargetMode="External"/><Relationship Id="rId15482" Type="http://schemas.openxmlformats.org/officeDocument/2006/relationships/hyperlink" Target="http://secrets.rutgers.edu:8080/data/asl-ftp/asllvd/demos/verify_start_end_handshape_annotations//test_auto_move//signs_mov_separ_signers/Dana_1973.mov" TargetMode="External"/><Relationship Id="rId15483" Type="http://schemas.openxmlformats.org/officeDocument/2006/relationships/hyperlink" Target="http://csr.bu.edu/ftp/asl/asllvd/demos/verify_start_end_handshape_annotations//test_auto_move//signs_mov/1976.mov" TargetMode="External"/><Relationship Id="rId15484" Type="http://schemas.openxmlformats.org/officeDocument/2006/relationships/hyperlink" Target="http://csr.bu.edu/ftp/asl/asllvd/demos/verify_start_end_handshape_annotations//test_auto_move//signs_mov_separ_signers/Liz_1976.mov" TargetMode="External"/><Relationship Id="rId15485" Type="http://schemas.openxmlformats.org/officeDocument/2006/relationships/hyperlink" Target="http://secrets.rutgers.edu:8080/data/asl-ftp/asllvd/demos/verify_start_end_handshape_annotations//test_auto_move//signs_mov/1976.mov" TargetMode="External"/><Relationship Id="rId15486" Type="http://schemas.openxmlformats.org/officeDocument/2006/relationships/hyperlink" Target="http://secrets.rutgers.edu:8080/data/asl-ftp/asllvd/demos/verify_start_end_handshape_annotations//test_auto_move//signs_mov_separ_signers/Liz_1976.mov" TargetMode="External"/><Relationship Id="rId15487" Type="http://schemas.openxmlformats.org/officeDocument/2006/relationships/hyperlink" Target="http://csr.bu.edu/ftp/asl/asllvd/demos/verify_start_end_handshape_annotations//test_auto_move//signs_mov_separ_signers/Brady_1976.mov" TargetMode="External"/><Relationship Id="rId15488" Type="http://schemas.openxmlformats.org/officeDocument/2006/relationships/hyperlink" Target="http://secrets.rutgers.edu:8080/data/asl-ftp/asllvd/demos/verify_start_end_handshape_annotations//test_auto_move//signs_mov_separ_signers/Brady_1976.mov" TargetMode="External"/><Relationship Id="rId15489" Type="http://schemas.openxmlformats.org/officeDocument/2006/relationships/hyperlink" Target="http://csr.bu.edu/ftp/asl/asllvd/demos/verify_start_end_handshape_annotations//test_auto_move//signs_mov_separ_signers/Liz_1979.mov" TargetMode="External"/><Relationship Id="rId15490" Type="http://schemas.openxmlformats.org/officeDocument/2006/relationships/hyperlink" Target="http://secrets.rutgers.edu:8080/data/asl-ftp/asllvd/demos/verify_start_end_handshape_annotations//test_auto_move//signs_mov_separ_signers/Liz_1979.mov" TargetMode="External"/><Relationship Id="rId15491" Type="http://schemas.openxmlformats.org/officeDocument/2006/relationships/hyperlink" Target="http://csr.bu.edu/ftp/asl/asllvd/demos/verify_start_end_handshape_annotations//test_auto_move//signs_mov/1979.mov" TargetMode="External"/><Relationship Id="rId15492" Type="http://schemas.openxmlformats.org/officeDocument/2006/relationships/hyperlink" Target="http://csr.bu.edu/ftp/asl/asllvd/demos/verify_start_end_handshape_annotations//test_auto_move//signs_mov_separ_signers/Brady_1979.mov" TargetMode="External"/><Relationship Id="rId15493" Type="http://schemas.openxmlformats.org/officeDocument/2006/relationships/hyperlink" Target="http://secrets.rutgers.edu:8080/data/asl-ftp/asllvd/demos/verify_start_end_handshape_annotations//test_auto_move//signs_mov/1979.mov" TargetMode="External"/><Relationship Id="rId15494" Type="http://schemas.openxmlformats.org/officeDocument/2006/relationships/hyperlink" Target="http://secrets.rutgers.edu:8080/data/asl-ftp/asllvd/demos/verify_start_end_handshape_annotations//test_auto_move//signs_mov_separ_signers/Brady_1979.mov" TargetMode="External"/><Relationship Id="rId15495" Type="http://schemas.openxmlformats.org/officeDocument/2006/relationships/hyperlink" Target="http://csr.bu.edu/ftp/asl/asllvd/demos/verify_start_end_handshape_annotations//test_auto_move//signs_mov_separ_signers/Lana_1979.mov" TargetMode="External"/><Relationship Id="rId15496" Type="http://schemas.openxmlformats.org/officeDocument/2006/relationships/hyperlink" Target="http://secrets.rutgers.edu:8080/data/asl-ftp/asllvd/demos/verify_start_end_handshape_annotations//test_auto_move//signs_mov_separ_signers/Lana_1979.mov" TargetMode="External"/><Relationship Id="rId15497" Type="http://schemas.openxmlformats.org/officeDocument/2006/relationships/hyperlink" Target="http://csr.bu.edu/ftp/asl/asllvd/demos/verify_start_end_handshape_annotations//test_auto_move//signs_mov_separ_signers/Dana_1979.mov" TargetMode="External"/><Relationship Id="rId15498" Type="http://schemas.openxmlformats.org/officeDocument/2006/relationships/hyperlink" Target="http://secrets.rutgers.edu:8080/data/asl-ftp/asllvd/demos/verify_start_end_handshape_annotations//test_auto_move//signs_mov_separ_signers/Dana_1979.mov" TargetMode="External"/><Relationship Id="rId15499" Type="http://schemas.openxmlformats.org/officeDocument/2006/relationships/hyperlink" Target="http://csr.bu.edu/ftp/asl/asllvd/demos/verify_start_end_handshape_annotations//test_auto_move//signs_mov_separ_signers/Liz_1980.mov" TargetMode="External"/><Relationship Id="rId15500" Type="http://schemas.openxmlformats.org/officeDocument/2006/relationships/hyperlink" Target="http://secrets.rutgers.edu:8080/data/asl-ftp/asllvd/demos/verify_start_end_handshape_annotations//test_auto_move//signs_mov_separ_signers/Liz_1980.mov" TargetMode="External"/><Relationship Id="rId15501" Type="http://schemas.openxmlformats.org/officeDocument/2006/relationships/hyperlink" Target="http://csr.bu.edu/ftp/asl/asllvd/demos/verify_start_end_handshape_annotations//test_auto_move//signs_mov/1980_5723_merged.mov" TargetMode="External"/><Relationship Id="rId15502" Type="http://schemas.openxmlformats.org/officeDocument/2006/relationships/hyperlink" Target="http://csr.bu.edu/ftp/asl/asllvd/demos/verify_start_end_handshape_annotations//test_auto_move//signs_mov_separ_signers/Liz_5723.mov" TargetMode="External"/><Relationship Id="rId15503" Type="http://schemas.openxmlformats.org/officeDocument/2006/relationships/hyperlink" Target="http://secrets.rutgers.edu:8080/data/asl-ftp/asllvd/demos/verify_start_end_handshape_annotations//test_auto_move//signs_mov/1980_5723_merged.mov" TargetMode="External"/><Relationship Id="rId15504" Type="http://schemas.openxmlformats.org/officeDocument/2006/relationships/hyperlink" Target="http://secrets.rutgers.edu:8080/data/asl-ftp/asllvd/demos/verify_start_end_handshape_annotations//test_auto_move//signs_mov_separ_signers/Liz_5723.mov" TargetMode="External"/><Relationship Id="rId15505" Type="http://schemas.openxmlformats.org/officeDocument/2006/relationships/hyperlink" Target="http://csr.bu.edu/ftp/asl/asllvd/demos/verify_start_end_handshape_annotations//test_auto_move//signs_mov_separ_signers/Brady_1980.mov" TargetMode="External"/><Relationship Id="rId15506" Type="http://schemas.openxmlformats.org/officeDocument/2006/relationships/hyperlink" Target="http://secrets.rutgers.edu:8080/data/asl-ftp/asllvd/demos/verify_start_end_handshape_annotations//test_auto_move//signs_mov_separ_signers/Brady_1980.mov" TargetMode="External"/><Relationship Id="rId15507" Type="http://schemas.openxmlformats.org/officeDocument/2006/relationships/hyperlink" Target="http://csr.bu.edu/ftp/asl/asllvd/demos/verify_start_end_handshape_annotations//test_auto_move//signs_mov_separ_signers/Brady_5723.mov" TargetMode="External"/><Relationship Id="rId15508" Type="http://schemas.openxmlformats.org/officeDocument/2006/relationships/hyperlink" Target="http://secrets.rutgers.edu:8080/data/asl-ftp/asllvd/demos/verify_start_end_handshape_annotations//test_auto_move//signs_mov_separ_signers/Brady_5723.mov" TargetMode="External"/><Relationship Id="rId15509" Type="http://schemas.openxmlformats.org/officeDocument/2006/relationships/hyperlink" Target="http://csr.bu.edu/ftp/asl/asllvd/demos/verify_start_end_handshape_annotations//test_auto_move//signs_mov/1986.mov" TargetMode="External"/><Relationship Id="rId15510" Type="http://schemas.openxmlformats.org/officeDocument/2006/relationships/hyperlink" Target="http://csr.bu.edu/ftp/asl/asllvd/demos/verify_start_end_handshape_annotations//test_auto_move//signs_mov_separ_signers/Liz_1986.mov" TargetMode="External"/><Relationship Id="rId15511" Type="http://schemas.openxmlformats.org/officeDocument/2006/relationships/hyperlink" Target="http://secrets.rutgers.edu:8080/data/asl-ftp/asllvd/demos/verify_start_end_handshape_annotations//test_auto_move//signs_mov/1986.mov" TargetMode="External"/><Relationship Id="rId15512" Type="http://schemas.openxmlformats.org/officeDocument/2006/relationships/hyperlink" Target="http://secrets.rutgers.edu:8080/data/asl-ftp/asllvd/demos/verify_start_end_handshape_annotations//test_auto_move//signs_mov_separ_signers/Liz_1986.mov" TargetMode="External"/><Relationship Id="rId15513" Type="http://schemas.openxmlformats.org/officeDocument/2006/relationships/hyperlink" Target="http://csr.bu.edu/ftp/asl/asllvd/demos/verify_start_end_handshape_annotations//test_auto_move//signs_mov_separ_signers/Brady_1986.mov" TargetMode="External"/><Relationship Id="rId15514" Type="http://schemas.openxmlformats.org/officeDocument/2006/relationships/hyperlink" Target="http://secrets.rutgers.edu:8080/data/asl-ftp/asllvd/demos/verify_start_end_handshape_annotations//test_auto_move//signs_mov_separ_signers/Brady_1986.mov" TargetMode="External"/><Relationship Id="rId15515" Type="http://schemas.openxmlformats.org/officeDocument/2006/relationships/hyperlink" Target="http://csr.bu.edu/ftp/asl/asllvd/demos/verify_start_end_handshape_annotations//test_auto_move//signs_mov/3728.mov" TargetMode="External"/><Relationship Id="rId15516" Type="http://schemas.openxmlformats.org/officeDocument/2006/relationships/hyperlink" Target="http://csr.bu.edu/ftp/asl/asllvd/demos/verify_start_end_handshape_annotations//test_auto_move//signs_mov_separ_signers/Liz_3728.mov" TargetMode="External"/><Relationship Id="rId15517" Type="http://schemas.openxmlformats.org/officeDocument/2006/relationships/hyperlink" Target="http://secrets.rutgers.edu:8080/data/asl-ftp/asllvd/demos/verify_start_end_handshape_annotations//test_auto_move//signs_mov/3728.mov" TargetMode="External"/><Relationship Id="rId15518" Type="http://schemas.openxmlformats.org/officeDocument/2006/relationships/hyperlink" Target="http://secrets.rutgers.edu:8080/data/asl-ftp/asllvd/demos/verify_start_end_handshape_annotations//test_auto_move//signs_mov_separ_signers/Liz_3728.mov" TargetMode="External"/><Relationship Id="rId15519" Type="http://schemas.openxmlformats.org/officeDocument/2006/relationships/hyperlink" Target="http://csr.bu.edu/ftp/asl/asllvd/demos/verify_start_end_handshape_annotations//test_auto_move//signs_mov_separ_signers/Brady_3728.mov" TargetMode="External"/><Relationship Id="rId15520" Type="http://schemas.openxmlformats.org/officeDocument/2006/relationships/hyperlink" Target="http://secrets.rutgers.edu:8080/data/asl-ftp/asllvd/demos/verify_start_end_handshape_annotations//test_auto_move//signs_mov_separ_signers/Brady_3728.mov" TargetMode="External"/><Relationship Id="rId15521" Type="http://schemas.openxmlformats.org/officeDocument/2006/relationships/hyperlink" Target="http://csr.bu.edu/ftp/asl/asllvd/demos/verify_start_end_handshape_annotations//test_auto_move//signs_mov/1988.mov" TargetMode="External"/><Relationship Id="rId15522" Type="http://schemas.openxmlformats.org/officeDocument/2006/relationships/hyperlink" Target="http://csr.bu.edu/ftp/asl/asllvd/demos/verify_start_end_handshape_annotations//test_auto_move//signs_mov_separ_signers/Liz_1988.mov" TargetMode="External"/><Relationship Id="rId15523" Type="http://schemas.openxmlformats.org/officeDocument/2006/relationships/hyperlink" Target="http://secrets.rutgers.edu:8080/data/asl-ftp/asllvd/demos/verify_start_end_handshape_annotations//test_auto_move//signs_mov/1988.mov" TargetMode="External"/><Relationship Id="rId15524" Type="http://schemas.openxmlformats.org/officeDocument/2006/relationships/hyperlink" Target="http://secrets.rutgers.edu:8080/data/asl-ftp/asllvd/demos/verify_start_end_handshape_annotations//test_auto_move//signs_mov_separ_signers/Liz_1988.mov" TargetMode="External"/><Relationship Id="rId15525" Type="http://schemas.openxmlformats.org/officeDocument/2006/relationships/hyperlink" Target="http://csr.bu.edu/ftp/asl/asllvd/demos/verify_start_end_handshape_annotations//test_auto_move//signs_mov/16428.mov" TargetMode="External"/><Relationship Id="rId15526" Type="http://schemas.openxmlformats.org/officeDocument/2006/relationships/hyperlink" Target="http://csr.bu.edu/ftp/asl/asllvd/demos/verify_start_end_handshape_annotations//test_auto_move//signs_mov_separ_signers/Brady_16428.mov" TargetMode="External"/><Relationship Id="rId15527" Type="http://schemas.openxmlformats.org/officeDocument/2006/relationships/hyperlink" Target="http://secrets.rutgers.edu:8080/data/asl-ftp/asllvd/demos/verify_start_end_handshape_annotations//test_auto_move//signs_mov/16428.mov" TargetMode="External"/><Relationship Id="rId15528" Type="http://schemas.openxmlformats.org/officeDocument/2006/relationships/hyperlink" Target="http://secrets.rutgers.edu:8080/data/asl-ftp/asllvd/demos/verify_start_end_handshape_annotations//test_auto_move//signs_mov_separ_signers/Brady_16428.mov" TargetMode="External"/><Relationship Id="rId15529" Type="http://schemas.openxmlformats.org/officeDocument/2006/relationships/hyperlink" Target="http://csr.bu.edu/ftp/asl/asllvd/demos/verify_start_end_handshape_annotations//test_auto_move//signs_mov_separ_signers/Liz_1989.mov" TargetMode="External"/><Relationship Id="rId15530" Type="http://schemas.openxmlformats.org/officeDocument/2006/relationships/hyperlink" Target="http://secrets.rutgers.edu:8080/data/asl-ftp/asllvd/demos/verify_start_end_handshape_annotations//test_auto_move//signs_mov_separ_signers/Liz_1989.mov" TargetMode="External"/><Relationship Id="rId15531" Type="http://schemas.openxmlformats.org/officeDocument/2006/relationships/hyperlink" Target="http://csr.bu.edu/ftp/asl/asllvd/demos/verify_start_end_handshape_annotations//test_auto_move//signs_mov_separ_signers/Liz_3353.mov" TargetMode="External"/><Relationship Id="rId15532" Type="http://schemas.openxmlformats.org/officeDocument/2006/relationships/hyperlink" Target="http://secrets.rutgers.edu:8080/data/asl-ftp/asllvd/demos/verify_start_end_handshape_annotations//test_auto_move//signs_mov_separ_signers/Liz_3353.mov" TargetMode="External"/><Relationship Id="rId15533" Type="http://schemas.openxmlformats.org/officeDocument/2006/relationships/hyperlink" Target="http://csr.bu.edu/ftp/asl/asllvd/demos/verify_start_end_handshape_annotations//test_auto_move//signs_mov/1989_3353_merged.mov" TargetMode="External"/><Relationship Id="rId15534" Type="http://schemas.openxmlformats.org/officeDocument/2006/relationships/hyperlink" Target="http://csr.bu.edu/ftp/asl/asllvd/demos/verify_start_end_handshape_annotations//test_auto_move//signs_mov_separ_signers/Tyler_1989.mov" TargetMode="External"/><Relationship Id="rId15535" Type="http://schemas.openxmlformats.org/officeDocument/2006/relationships/hyperlink" Target="http://secrets.rutgers.edu:8080/data/asl-ftp/asllvd/demos/verify_start_end_handshape_annotations//test_auto_move//signs_mov/1989_3353_merged.mov" TargetMode="External"/><Relationship Id="rId15536" Type="http://schemas.openxmlformats.org/officeDocument/2006/relationships/hyperlink" Target="http://secrets.rutgers.edu:8080/data/asl-ftp/asllvd/demos/verify_start_end_handshape_annotations//test_auto_move//signs_mov_separ_signers/Tyler_1989.mov" TargetMode="External"/><Relationship Id="rId15537" Type="http://schemas.openxmlformats.org/officeDocument/2006/relationships/hyperlink" Target="http://csr.bu.edu/ftp/asl/asllvd/demos/verify_start_end_handshape_annotations//test_auto_move//signs_mov_separ_signers/Naomi_1989.mov" TargetMode="External"/><Relationship Id="rId15538" Type="http://schemas.openxmlformats.org/officeDocument/2006/relationships/hyperlink" Target="http://secrets.rutgers.edu:8080/data/asl-ftp/asllvd/demos/verify_start_end_handshape_annotations//test_auto_move//signs_mov_separ_signers/Naomi_1989.mov" TargetMode="External"/><Relationship Id="rId15539" Type="http://schemas.openxmlformats.org/officeDocument/2006/relationships/hyperlink" Target="http://csr.bu.edu/ftp/asl/asllvd/demos/verify_start_end_handshape_annotations//test_auto_move//signs_mov_separ_signers/Brady_1989.mov" TargetMode="External"/><Relationship Id="rId15540" Type="http://schemas.openxmlformats.org/officeDocument/2006/relationships/hyperlink" Target="http://secrets.rutgers.edu:8080/data/asl-ftp/asllvd/demos/verify_start_end_handshape_annotations//test_auto_move//signs_mov_separ_signers/Brady_1989.mov" TargetMode="External"/><Relationship Id="rId15541" Type="http://schemas.openxmlformats.org/officeDocument/2006/relationships/hyperlink" Target="http://csr.bu.edu/ftp/asl/asllvd/demos/verify_start_end_handshape_annotations//test_auto_move//signs_mov_separ_signers/Brady_3353.mov" TargetMode="External"/><Relationship Id="rId15542" Type="http://schemas.openxmlformats.org/officeDocument/2006/relationships/hyperlink" Target="http://secrets.rutgers.edu:8080/data/asl-ftp/asllvd/demos/verify_start_end_handshape_annotations//test_auto_move//signs_mov_separ_signers/Brady_3353.mov" TargetMode="External"/><Relationship Id="rId15543" Type="http://schemas.openxmlformats.org/officeDocument/2006/relationships/hyperlink" Target="http://csr.bu.edu/ftp/asl/asllvd/demos/verify_start_end_handshape_annotations//test_auto_move//signs_mov/15033.mov" TargetMode="External"/><Relationship Id="rId15544" Type="http://schemas.openxmlformats.org/officeDocument/2006/relationships/hyperlink" Target="http://csr.bu.edu/ftp/asl/asllvd/demos/verify_start_end_handshape_annotations//test_auto_move//signs_mov_separ_signers/Brady_15033.mov" TargetMode="External"/><Relationship Id="rId15545" Type="http://schemas.openxmlformats.org/officeDocument/2006/relationships/hyperlink" Target="http://secrets.rutgers.edu:8080/data/asl-ftp/asllvd/demos/verify_start_end_handshape_annotations//test_auto_move//signs_mov/15033.mov" TargetMode="External"/><Relationship Id="rId15546" Type="http://schemas.openxmlformats.org/officeDocument/2006/relationships/hyperlink" Target="http://secrets.rutgers.edu:8080/data/asl-ftp/asllvd/demos/verify_start_end_handshape_annotations//test_auto_move//signs_mov_separ_signers/Brady_15033.mov" TargetMode="External"/><Relationship Id="rId15547" Type="http://schemas.openxmlformats.org/officeDocument/2006/relationships/hyperlink" Target="http://csr.bu.edu/ftp/asl/asllvd/demos/verify_start_end_handshape_annotations//test_auto_move//signs_mov_separ_signers/Liz_16068.mov" TargetMode="External"/><Relationship Id="rId15548" Type="http://schemas.openxmlformats.org/officeDocument/2006/relationships/hyperlink" Target="http://secrets.rutgers.edu:8080/data/asl-ftp/asllvd/demos/verify_start_end_handshape_annotations//test_auto_move//signs_mov_separ_signers/Liz_16068.mov" TargetMode="External"/><Relationship Id="rId15549" Type="http://schemas.openxmlformats.org/officeDocument/2006/relationships/hyperlink" Target="http://csr.bu.edu/ftp/asl/asllvd/demos/verify_start_end_handshape_annotations//test_auto_move//signs_mov/16068_16089_merged.mov" TargetMode="External"/><Relationship Id="rId15550" Type="http://schemas.openxmlformats.org/officeDocument/2006/relationships/hyperlink" Target="http://csr.bu.edu/ftp/asl/asllvd/demos/verify_start_end_handshape_annotations//test_auto_move//signs_mov_separ_signers/Brady_16068.mov" TargetMode="External"/><Relationship Id="rId15551" Type="http://schemas.openxmlformats.org/officeDocument/2006/relationships/hyperlink" Target="http://secrets.rutgers.edu:8080/data/asl-ftp/asllvd/demos/verify_start_end_handshape_annotations//test_auto_move//signs_mov/16068_16089_merged.mov" TargetMode="External"/><Relationship Id="rId15552" Type="http://schemas.openxmlformats.org/officeDocument/2006/relationships/hyperlink" Target="http://secrets.rutgers.edu:8080/data/asl-ftp/asllvd/demos/verify_start_end_handshape_annotations//test_auto_move//signs_mov_separ_signers/Brady_16068.mov" TargetMode="External"/><Relationship Id="rId15553" Type="http://schemas.openxmlformats.org/officeDocument/2006/relationships/hyperlink" Target="http://csr.bu.edu/ftp/asl/asllvd/demos/verify_start_end_handshape_annotations//test_auto_move//signs_mov_separ_signers/Brady_16089.mov" TargetMode="External"/><Relationship Id="rId15554" Type="http://schemas.openxmlformats.org/officeDocument/2006/relationships/hyperlink" Target="http://secrets.rutgers.edu:8080/data/asl-ftp/asllvd/demos/verify_start_end_handshape_annotations//test_auto_move//signs_mov_separ_signers/Brady_16089.mov" TargetMode="External"/><Relationship Id="rId15555" Type="http://schemas.openxmlformats.org/officeDocument/2006/relationships/hyperlink" Target="http://csr.bu.edu/ftp/asl/asllvd/demos/verify_start_end_handshape_annotations//test_auto_move//signs_mov/1990.mov" TargetMode="External"/><Relationship Id="rId15556" Type="http://schemas.openxmlformats.org/officeDocument/2006/relationships/hyperlink" Target="http://csr.bu.edu/ftp/asl/asllvd/demos/verify_start_end_handshape_annotations//test_auto_move//signs_mov_separ_signers/Liz_1990.mov" TargetMode="External"/><Relationship Id="rId15557" Type="http://schemas.openxmlformats.org/officeDocument/2006/relationships/hyperlink" Target="http://secrets.rutgers.edu:8080/data/asl-ftp/asllvd/demos/verify_start_end_handshape_annotations//test_auto_move//signs_mov/1990.mov" TargetMode="External"/><Relationship Id="rId15558" Type="http://schemas.openxmlformats.org/officeDocument/2006/relationships/hyperlink" Target="http://secrets.rutgers.edu:8080/data/asl-ftp/asllvd/demos/verify_start_end_handshape_annotations//test_auto_move//signs_mov_separ_signers/Liz_1990.mov" TargetMode="External"/><Relationship Id="rId15559" Type="http://schemas.openxmlformats.org/officeDocument/2006/relationships/hyperlink" Target="http://csr.bu.edu/ftp/asl/asllvd/demos/verify_start_end_handshape_annotations//test_auto_move//signs_mov_separ_signers/Brady_1990.mov" TargetMode="External"/><Relationship Id="rId15560" Type="http://schemas.openxmlformats.org/officeDocument/2006/relationships/hyperlink" Target="http://secrets.rutgers.edu:8080/data/asl-ftp/asllvd/demos/verify_start_end_handshape_annotations//test_auto_move//signs_mov_separ_signers/Brady_1990.mov" TargetMode="External"/><Relationship Id="rId15561" Type="http://schemas.openxmlformats.org/officeDocument/2006/relationships/hyperlink" Target="http://csr.bu.edu/ftp/asl/asllvd/demos/verify_start_end_handshape_annotations//test_auto_move//signs_mov/1992.mov" TargetMode="External"/><Relationship Id="rId15562" Type="http://schemas.openxmlformats.org/officeDocument/2006/relationships/hyperlink" Target="http://csr.bu.edu/ftp/asl/asllvd/demos/verify_start_end_handshape_annotations//test_auto_move//signs_mov_separ_signers/Brady_1992.mov" TargetMode="External"/><Relationship Id="rId15563" Type="http://schemas.openxmlformats.org/officeDocument/2006/relationships/hyperlink" Target="http://secrets.rutgers.edu:8080/data/asl-ftp/asllvd/demos/verify_start_end_handshape_annotations//test_auto_move//signs_mov/1992.mov" TargetMode="External"/><Relationship Id="rId15564" Type="http://schemas.openxmlformats.org/officeDocument/2006/relationships/hyperlink" Target="http://secrets.rutgers.edu:8080/data/asl-ftp/asllvd/demos/verify_start_end_handshape_annotations//test_auto_move//signs_mov_separ_signers/Brady_1992.mov" TargetMode="External"/><Relationship Id="rId15565" Type="http://schemas.openxmlformats.org/officeDocument/2006/relationships/hyperlink" Target="http://csr.bu.edu/ftp/asl/asllvd/demos/verify_start_end_handshape_annotations//test_auto_move//signs_mov/5618.mov" TargetMode="External"/><Relationship Id="rId15566" Type="http://schemas.openxmlformats.org/officeDocument/2006/relationships/hyperlink" Target="http://csr.bu.edu/ftp/asl/asllvd/demos/verify_start_end_handshape_annotations//test_auto_move//signs_mov_separ_signers/Liz_5618.mov" TargetMode="External"/><Relationship Id="rId15567" Type="http://schemas.openxmlformats.org/officeDocument/2006/relationships/hyperlink" Target="http://secrets.rutgers.edu:8080/data/asl-ftp/asllvd/demos/verify_start_end_handshape_annotations//test_auto_move//signs_mov/5618.mov" TargetMode="External"/><Relationship Id="rId15568" Type="http://schemas.openxmlformats.org/officeDocument/2006/relationships/hyperlink" Target="http://secrets.rutgers.edu:8080/data/asl-ftp/asllvd/demos/verify_start_end_handshape_annotations//test_auto_move//signs_mov_separ_signers/Liz_5618.mov" TargetMode="External"/><Relationship Id="rId15569" Type="http://schemas.openxmlformats.org/officeDocument/2006/relationships/hyperlink" Target="http://csr.bu.edu/ftp/asl/asllvd/demos/verify_start_end_handshape_annotations//test_auto_move//signs_mov/1993.mov" TargetMode="External"/><Relationship Id="rId15570" Type="http://schemas.openxmlformats.org/officeDocument/2006/relationships/hyperlink" Target="http://csr.bu.edu/ftp/asl/asllvd/demos/verify_start_end_handshape_annotations//test_auto_move//signs_mov_separ_signers/Liz_1993.mov" TargetMode="External"/><Relationship Id="rId15571" Type="http://schemas.openxmlformats.org/officeDocument/2006/relationships/hyperlink" Target="http://secrets.rutgers.edu:8080/data/asl-ftp/asllvd/demos/verify_start_end_handshape_annotations//test_auto_move//signs_mov/1993.mov" TargetMode="External"/><Relationship Id="rId15572" Type="http://schemas.openxmlformats.org/officeDocument/2006/relationships/hyperlink" Target="http://secrets.rutgers.edu:8080/data/asl-ftp/asllvd/demos/verify_start_end_handshape_annotations//test_auto_move//signs_mov_separ_signers/Liz_1993.mov" TargetMode="External"/><Relationship Id="rId15573" Type="http://schemas.openxmlformats.org/officeDocument/2006/relationships/hyperlink" Target="http://csr.bu.edu/ftp/asl/asllvd/demos/verify_start_end_handshape_annotations//test_auto_move//signs_mov_separ_signers/Brady_1993.mov" TargetMode="External"/><Relationship Id="rId15574" Type="http://schemas.openxmlformats.org/officeDocument/2006/relationships/hyperlink" Target="http://secrets.rutgers.edu:8080/data/asl-ftp/asllvd/demos/verify_start_end_handshape_annotations//test_auto_move//signs_mov_separ_signers/Brady_1993.mov" TargetMode="External"/><Relationship Id="rId15575" Type="http://schemas.openxmlformats.org/officeDocument/2006/relationships/hyperlink" Target="http://csr.bu.edu/ftp/asl/asllvd/demos/verify_start_end_handshape_annotations//test_auto_move//signs_mov/1996.mov" TargetMode="External"/><Relationship Id="rId15576" Type="http://schemas.openxmlformats.org/officeDocument/2006/relationships/hyperlink" Target="http://csr.bu.edu/ftp/asl/asllvd/demos/verify_start_end_handshape_annotations//test_auto_move//signs_mov_separ_signers/Liz_1996.mov" TargetMode="External"/><Relationship Id="rId15577" Type="http://schemas.openxmlformats.org/officeDocument/2006/relationships/hyperlink" Target="http://secrets.rutgers.edu:8080/data/asl-ftp/asllvd/demos/verify_start_end_handshape_annotations//test_auto_move//signs_mov/1996.mov" TargetMode="External"/><Relationship Id="rId15578" Type="http://schemas.openxmlformats.org/officeDocument/2006/relationships/hyperlink" Target="http://secrets.rutgers.edu:8080/data/asl-ftp/asllvd/demos/verify_start_end_handshape_annotations//test_auto_move//signs_mov_separ_signers/Liz_1996.mov" TargetMode="External"/><Relationship Id="rId15579" Type="http://schemas.openxmlformats.org/officeDocument/2006/relationships/hyperlink" Target="http://csr.bu.edu/ftp/asl/asllvd/demos/verify_start_end_handshape_annotations//test_auto_move//signs_mov_separ_signers/Brady_1996.mov" TargetMode="External"/><Relationship Id="rId15580" Type="http://schemas.openxmlformats.org/officeDocument/2006/relationships/hyperlink" Target="http://secrets.rutgers.edu:8080/data/asl-ftp/asllvd/demos/verify_start_end_handshape_annotations//test_auto_move//signs_mov_separ_signers/Brady_1996.mov" TargetMode="External"/><Relationship Id="rId15581" Type="http://schemas.openxmlformats.org/officeDocument/2006/relationships/hyperlink" Target="http://csr.bu.edu/ftp/asl/asllvd/demos/verify_start_end_handshape_annotations//test_auto_move//signs_mov/1998.mov" TargetMode="External"/><Relationship Id="rId15582" Type="http://schemas.openxmlformats.org/officeDocument/2006/relationships/hyperlink" Target="http://csr.bu.edu/ftp/asl/asllvd/demos/verify_start_end_handshape_annotations//test_auto_move//signs_mov_separ_signers/Liz_1998.mov" TargetMode="External"/><Relationship Id="rId15583" Type="http://schemas.openxmlformats.org/officeDocument/2006/relationships/hyperlink" Target="http://secrets.rutgers.edu:8080/data/asl-ftp/asllvd/demos/verify_start_end_handshape_annotations//test_auto_move//signs_mov/1998.mov" TargetMode="External"/><Relationship Id="rId15584" Type="http://schemas.openxmlformats.org/officeDocument/2006/relationships/hyperlink" Target="http://secrets.rutgers.edu:8080/data/asl-ftp/asllvd/demos/verify_start_end_handshape_annotations//test_auto_move//signs_mov_separ_signers/Liz_1998.mov" TargetMode="External"/><Relationship Id="rId15585" Type="http://schemas.openxmlformats.org/officeDocument/2006/relationships/hyperlink" Target="http://csr.bu.edu/ftp/asl/asllvd/demos/verify_start_end_handshape_annotations//test_auto_move//signs_mov_separ_signers/Brady_1998.mov" TargetMode="External"/><Relationship Id="rId15586" Type="http://schemas.openxmlformats.org/officeDocument/2006/relationships/hyperlink" Target="http://secrets.rutgers.edu:8080/data/asl-ftp/asllvd/demos/verify_start_end_handshape_annotations//test_auto_move//signs_mov_separ_signers/Brady_1998.mov" TargetMode="External"/><Relationship Id="rId15587" Type="http://schemas.openxmlformats.org/officeDocument/2006/relationships/hyperlink" Target="http://csr.bu.edu/ftp/asl/asllvd/demos/verify_start_end_handshape_annotations//test_auto_move//signs_mov/1999.mov" TargetMode="External"/><Relationship Id="rId15588" Type="http://schemas.openxmlformats.org/officeDocument/2006/relationships/hyperlink" Target="http://csr.bu.edu/ftp/asl/asllvd/demos/verify_start_end_handshape_annotations//test_auto_move//signs_mov_separ_signers/Liz_1999.mov" TargetMode="External"/><Relationship Id="rId15589" Type="http://schemas.openxmlformats.org/officeDocument/2006/relationships/hyperlink" Target="http://secrets.rutgers.edu:8080/data/asl-ftp/asllvd/demos/verify_start_end_handshape_annotations//test_auto_move//signs_mov/1999.mov" TargetMode="External"/><Relationship Id="rId15590" Type="http://schemas.openxmlformats.org/officeDocument/2006/relationships/hyperlink" Target="http://secrets.rutgers.edu:8080/data/asl-ftp/asllvd/demos/verify_start_end_handshape_annotations//test_auto_move//signs_mov_separ_signers/Liz_1999.mov" TargetMode="External"/><Relationship Id="rId15591" Type="http://schemas.openxmlformats.org/officeDocument/2006/relationships/hyperlink" Target="http://csr.bu.edu/ftp/asl/asllvd/demos/verify_start_end_handshape_annotations//test_auto_move//signs_mov/16288.mov" TargetMode="External"/><Relationship Id="rId15592" Type="http://schemas.openxmlformats.org/officeDocument/2006/relationships/hyperlink" Target="http://csr.bu.edu/ftp/asl/asllvd/demos/verify_start_end_handshape_annotations//test_auto_move//signs_mov_separ_signers/Brady_16288.mov" TargetMode="External"/><Relationship Id="rId15593" Type="http://schemas.openxmlformats.org/officeDocument/2006/relationships/hyperlink" Target="http://secrets.rutgers.edu:8080/data/asl-ftp/asllvd/demos/verify_start_end_handshape_annotations//test_auto_move//signs_mov/16288.mov" TargetMode="External"/><Relationship Id="rId15594" Type="http://schemas.openxmlformats.org/officeDocument/2006/relationships/hyperlink" Target="http://secrets.rutgers.edu:8080/data/asl-ftp/asllvd/demos/verify_start_end_handshape_annotations//test_auto_move//signs_mov_separ_signers/Brady_16288.mov" TargetMode="External"/><Relationship Id="rId15595" Type="http://schemas.openxmlformats.org/officeDocument/2006/relationships/hyperlink" Target="http://csr.bu.edu/ftp/asl/asllvd/demos/verify_start_end_handshape_annotations//test_auto_move//signs_mov_separ_signers/Liz_2006.mov" TargetMode="External"/><Relationship Id="rId15596" Type="http://schemas.openxmlformats.org/officeDocument/2006/relationships/hyperlink" Target="http://secrets.rutgers.edu:8080/data/asl-ftp/asllvd/demos/verify_start_end_handshape_annotations//test_auto_move//signs_mov_separ_signers/Liz_2006.mov" TargetMode="External"/><Relationship Id="rId15597" Type="http://schemas.openxmlformats.org/officeDocument/2006/relationships/hyperlink" Target="http://csr.bu.edu/ftp/asl/asllvd/demos/verify_start_end_handshape_annotations//test_auto_move//signs_mov/2006_16328_merged.mov" TargetMode="External"/><Relationship Id="rId15598" Type="http://schemas.openxmlformats.org/officeDocument/2006/relationships/hyperlink" Target="http://csr.bu.edu/ftp/asl/asllvd/demos/verify_start_end_handshape_annotations//test_auto_move//signs_mov_separ_signers/Brady_2006.mov" TargetMode="External"/><Relationship Id="rId15599" Type="http://schemas.openxmlformats.org/officeDocument/2006/relationships/hyperlink" Target="http://secrets.rutgers.edu:8080/data/asl-ftp/asllvd/demos/verify_start_end_handshape_annotations//test_auto_move//signs_mov/2006_16328_merged.mov" TargetMode="External"/><Relationship Id="rId15600" Type="http://schemas.openxmlformats.org/officeDocument/2006/relationships/hyperlink" Target="http://secrets.rutgers.edu:8080/data/asl-ftp/asllvd/demos/verify_start_end_handshape_annotations//test_auto_move//signs_mov_separ_signers/Brady_2006.mov" TargetMode="External"/><Relationship Id="rId15601" Type="http://schemas.openxmlformats.org/officeDocument/2006/relationships/hyperlink" Target="http://csr.bu.edu/ftp/asl/asllvd/demos/verify_start_end_handshape_annotations//test_auto_move//signs_mov_separ_signers/Brady_16328.mov" TargetMode="External"/><Relationship Id="rId15602" Type="http://schemas.openxmlformats.org/officeDocument/2006/relationships/hyperlink" Target="http://secrets.rutgers.edu:8080/data/asl-ftp/asllvd/demos/verify_start_end_handshape_annotations//test_auto_move//signs_mov_separ_signers/Brady_16328.mov" TargetMode="External"/><Relationship Id="rId15603" Type="http://schemas.openxmlformats.org/officeDocument/2006/relationships/hyperlink" Target="http://csr.bu.edu/ftp/asl/asllvd/demos/verify_start_end_handshape_annotations//test_auto_move//signs_mov/2008.mov" TargetMode="External"/><Relationship Id="rId15604" Type="http://schemas.openxmlformats.org/officeDocument/2006/relationships/hyperlink" Target="http://csr.bu.edu/ftp/asl/asllvd/demos/verify_start_end_handshape_annotations//test_auto_move//signs_mov_separ_signers/Liz_2008.mov" TargetMode="External"/><Relationship Id="rId15605" Type="http://schemas.openxmlformats.org/officeDocument/2006/relationships/hyperlink" Target="http://secrets.rutgers.edu:8080/data/asl-ftp/asllvd/demos/verify_start_end_handshape_annotations//test_auto_move//signs_mov/2008.mov" TargetMode="External"/><Relationship Id="rId15606" Type="http://schemas.openxmlformats.org/officeDocument/2006/relationships/hyperlink" Target="http://secrets.rutgers.edu:8080/data/asl-ftp/asllvd/demos/verify_start_end_handshape_annotations//test_auto_move//signs_mov_separ_signers/Liz_2008.mov" TargetMode="External"/><Relationship Id="rId15607" Type="http://schemas.openxmlformats.org/officeDocument/2006/relationships/hyperlink" Target="http://csr.bu.edu/ftp/asl/asllvd/demos/verify_start_end_handshape_annotations//test_auto_move//signs_mov_separ_signers/Brady_2008.mov" TargetMode="External"/><Relationship Id="rId15608" Type="http://schemas.openxmlformats.org/officeDocument/2006/relationships/hyperlink" Target="http://secrets.rutgers.edu:8080/data/asl-ftp/asllvd/demos/verify_start_end_handshape_annotations//test_auto_move//signs_mov_separ_signers/Brady_2008.mov" TargetMode="External"/><Relationship Id="rId15609" Type="http://schemas.openxmlformats.org/officeDocument/2006/relationships/hyperlink" Target="http://csr.bu.edu/ftp/asl/asllvd/demos/verify_start_end_handshape_annotations//test_auto_move//signs_mov_separ_signers/Liz_2010.mov" TargetMode="External"/><Relationship Id="rId15610" Type="http://schemas.openxmlformats.org/officeDocument/2006/relationships/hyperlink" Target="http://secrets.rutgers.edu:8080/data/asl-ftp/asllvd/demos/verify_start_end_handshape_annotations//test_auto_move//signs_mov_separ_signers/Liz_2010.mov" TargetMode="External"/><Relationship Id="rId15611" Type="http://schemas.openxmlformats.org/officeDocument/2006/relationships/hyperlink" Target="http://csr.bu.edu/ftp/asl/asllvd/demos/verify_start_end_handshape_annotations//test_auto_move//signs_mov/2010.mov" TargetMode="External"/><Relationship Id="rId15612" Type="http://schemas.openxmlformats.org/officeDocument/2006/relationships/hyperlink" Target="http://csr.bu.edu/ftp/asl/asllvd/demos/verify_start_end_handshape_annotations//test_auto_move//signs_mov_separ_signers/Tyler_2010.mov" TargetMode="External"/><Relationship Id="rId15613" Type="http://schemas.openxmlformats.org/officeDocument/2006/relationships/hyperlink" Target="http://secrets.rutgers.edu:8080/data/asl-ftp/asllvd/demos/verify_start_end_handshape_annotations//test_auto_move//signs_mov/2010.mov" TargetMode="External"/><Relationship Id="rId15614" Type="http://schemas.openxmlformats.org/officeDocument/2006/relationships/hyperlink" Target="http://secrets.rutgers.edu:8080/data/asl-ftp/asllvd/demos/verify_start_end_handshape_annotations//test_auto_move//signs_mov_separ_signers/Tyler_2010.mov" TargetMode="External"/><Relationship Id="rId15615" Type="http://schemas.openxmlformats.org/officeDocument/2006/relationships/hyperlink" Target="http://csr.bu.edu/ftp/asl/asllvd/demos/verify_start_end_handshape_annotations//test_auto_move//signs_mov_separ_signers/Brady_2010.mov" TargetMode="External"/><Relationship Id="rId15616" Type="http://schemas.openxmlformats.org/officeDocument/2006/relationships/hyperlink" Target="http://secrets.rutgers.edu:8080/data/asl-ftp/asllvd/demos/verify_start_end_handshape_annotations//test_auto_move//signs_mov_separ_signers/Brady_2010.mov" TargetMode="External"/><Relationship Id="rId15617" Type="http://schemas.openxmlformats.org/officeDocument/2006/relationships/hyperlink" Target="http://csr.bu.edu/ftp/asl/asllvd/demos/verify_start_end_handshape_annotations//test_auto_move//signs_mov_separ_signers/Liz_2016.mov" TargetMode="External"/><Relationship Id="rId15618" Type="http://schemas.openxmlformats.org/officeDocument/2006/relationships/hyperlink" Target="http://secrets.rutgers.edu:8080/data/asl-ftp/asllvd/demos/verify_start_end_handshape_annotations//test_auto_move//signs_mov_separ_signers/Liz_2016.mov" TargetMode="External"/><Relationship Id="rId15619" Type="http://schemas.openxmlformats.org/officeDocument/2006/relationships/hyperlink" Target="http://csr.bu.edu/ftp/asl/asllvd/demos/verify_start_end_handshape_annotations//test_auto_move//signs_mov/2016.mov" TargetMode="External"/><Relationship Id="rId15620" Type="http://schemas.openxmlformats.org/officeDocument/2006/relationships/hyperlink" Target="http://csr.bu.edu/ftp/asl/asllvd/demos/verify_start_end_handshape_annotations//test_auto_move//signs_mov_separ_signers/Brady_2016.mov" TargetMode="External"/><Relationship Id="rId15621" Type="http://schemas.openxmlformats.org/officeDocument/2006/relationships/hyperlink" Target="http://secrets.rutgers.edu:8080/data/asl-ftp/asllvd/demos/verify_start_end_handshape_annotations//test_auto_move//signs_mov/2016.mov" TargetMode="External"/><Relationship Id="rId15622" Type="http://schemas.openxmlformats.org/officeDocument/2006/relationships/hyperlink" Target="http://secrets.rutgers.edu:8080/data/asl-ftp/asllvd/demos/verify_start_end_handshape_annotations//test_auto_move//signs_mov_separ_signers/Brady_2016.mov" TargetMode="External"/><Relationship Id="rId15623" Type="http://schemas.openxmlformats.org/officeDocument/2006/relationships/hyperlink" Target="http://csr.bu.edu/ftp/asl/asllvd/demos/verify_start_end_handshape_annotations//test_auto_move//signs_mov_separ_signers/Lana_2016.mov" TargetMode="External"/><Relationship Id="rId15624" Type="http://schemas.openxmlformats.org/officeDocument/2006/relationships/hyperlink" Target="http://secrets.rutgers.edu:8080/data/asl-ftp/asllvd/demos/verify_start_end_handshape_annotations//test_auto_move//signs_mov_separ_signers/Lana_2016.mov" TargetMode="External"/><Relationship Id="rId15625" Type="http://schemas.openxmlformats.org/officeDocument/2006/relationships/hyperlink" Target="http://csr.bu.edu/ftp/asl/asllvd/demos/verify_start_end_handshape_annotations//test_auto_move//signs_mov_separ_signers/Dana_2016.mov" TargetMode="External"/><Relationship Id="rId15626" Type="http://schemas.openxmlformats.org/officeDocument/2006/relationships/hyperlink" Target="http://secrets.rutgers.edu:8080/data/asl-ftp/asllvd/demos/verify_start_end_handshape_annotations//test_auto_move//signs_mov_separ_signers/Dana_2016.mov" TargetMode="External"/><Relationship Id="rId15627" Type="http://schemas.openxmlformats.org/officeDocument/2006/relationships/hyperlink" Target="http://csr.bu.edu/ftp/asl/asllvd/demos/verify_start_end_handshape_annotations//test_auto_move//signs_mov/2017.mov" TargetMode="External"/><Relationship Id="rId15628" Type="http://schemas.openxmlformats.org/officeDocument/2006/relationships/hyperlink" Target="http://csr.bu.edu/ftp/asl/asllvd/demos/verify_start_end_handshape_annotations//test_auto_move//signs_mov_separ_signers/Liz_2017.mov" TargetMode="External"/><Relationship Id="rId15629" Type="http://schemas.openxmlformats.org/officeDocument/2006/relationships/hyperlink" Target="http://secrets.rutgers.edu:8080/data/asl-ftp/asllvd/demos/verify_start_end_handshape_annotations//test_auto_move//signs_mov/2017.mov" TargetMode="External"/><Relationship Id="rId15630" Type="http://schemas.openxmlformats.org/officeDocument/2006/relationships/hyperlink" Target="http://secrets.rutgers.edu:8080/data/asl-ftp/asllvd/demos/verify_start_end_handshape_annotations//test_auto_move//signs_mov_separ_signers/Liz_2017.mov" TargetMode="External"/><Relationship Id="rId15631" Type="http://schemas.openxmlformats.org/officeDocument/2006/relationships/hyperlink" Target="http://csr.bu.edu/ftp/asl/asllvd/demos/verify_start_end_handshape_annotations//test_auto_move//signs_mov_separ_signers/Brady_2017.mov" TargetMode="External"/><Relationship Id="rId15632" Type="http://schemas.openxmlformats.org/officeDocument/2006/relationships/hyperlink" Target="http://secrets.rutgers.edu:8080/data/asl-ftp/asllvd/demos/verify_start_end_handshape_annotations//test_auto_move//signs_mov_separ_signers/Brady_2017.mov" TargetMode="External"/><Relationship Id="rId15633" Type="http://schemas.openxmlformats.org/officeDocument/2006/relationships/hyperlink" Target="http://csr.bu.edu/ftp/asl/asllvd/demos/verify_start_end_handshape_annotations//test_auto_move//signs_mov/2018.mov" TargetMode="External"/><Relationship Id="rId15634" Type="http://schemas.openxmlformats.org/officeDocument/2006/relationships/hyperlink" Target="http://csr.bu.edu/ftp/asl/asllvd/demos/verify_start_end_handshape_annotations//test_auto_move//signs_mov_separ_signers/Liz_2018.mov" TargetMode="External"/><Relationship Id="rId15635" Type="http://schemas.openxmlformats.org/officeDocument/2006/relationships/hyperlink" Target="http://secrets.rutgers.edu:8080/data/asl-ftp/asllvd/demos/verify_start_end_handshape_annotations//test_auto_move//signs_mov/2018.mov" TargetMode="External"/><Relationship Id="rId15636" Type="http://schemas.openxmlformats.org/officeDocument/2006/relationships/hyperlink" Target="http://secrets.rutgers.edu:8080/data/asl-ftp/asllvd/demos/verify_start_end_handshape_annotations//test_auto_move//signs_mov_separ_signers/Liz_2018.mov" TargetMode="External"/><Relationship Id="rId15637" Type="http://schemas.openxmlformats.org/officeDocument/2006/relationships/hyperlink" Target="http://csr.bu.edu/ftp/asl/asllvd/demos/verify_start_end_handshape_annotations//test_auto_move//signs_mov_separ_signers/Brady_2018.mov" TargetMode="External"/><Relationship Id="rId15638" Type="http://schemas.openxmlformats.org/officeDocument/2006/relationships/hyperlink" Target="http://secrets.rutgers.edu:8080/data/asl-ftp/asllvd/demos/verify_start_end_handshape_annotations//test_auto_move//signs_mov_separ_signers/Brady_2018.mov" TargetMode="External"/><Relationship Id="rId15639" Type="http://schemas.openxmlformats.org/officeDocument/2006/relationships/hyperlink" Target="http://csr.bu.edu/ftp/asl/asllvd/demos/verify_start_end_handshape_annotations//test_auto_move//signs_mov/2019.mov" TargetMode="External"/><Relationship Id="rId15640" Type="http://schemas.openxmlformats.org/officeDocument/2006/relationships/hyperlink" Target="http://csr.bu.edu/ftp/asl/asllvd/demos/verify_start_end_handshape_annotations//test_auto_move//signs_mov_separ_signers/Lana_2019.mov" TargetMode="External"/><Relationship Id="rId15641" Type="http://schemas.openxmlformats.org/officeDocument/2006/relationships/hyperlink" Target="http://secrets.rutgers.edu:8080/data/asl-ftp/asllvd/demos/verify_start_end_handshape_annotations//test_auto_move//signs_mov/2019.mov" TargetMode="External"/><Relationship Id="rId15642" Type="http://schemas.openxmlformats.org/officeDocument/2006/relationships/hyperlink" Target="http://secrets.rutgers.edu:8080/data/asl-ftp/asllvd/demos/verify_start_end_handshape_annotations//test_auto_move//signs_mov_separ_signers/Lana_2019.mov" TargetMode="External"/><Relationship Id="rId15643" Type="http://schemas.openxmlformats.org/officeDocument/2006/relationships/hyperlink" Target="http://csr.bu.edu/ftp/asl/asllvd/demos/verify_start_end_handshape_annotations//test_auto_move//signs_mov_separ_signers/Dana_2019.mov" TargetMode="External"/><Relationship Id="rId15644" Type="http://schemas.openxmlformats.org/officeDocument/2006/relationships/hyperlink" Target="http://secrets.rutgers.edu:8080/data/asl-ftp/asllvd/demos/verify_start_end_handshape_annotations//test_auto_move//signs_mov_separ_signers/Dana_2019.mov" TargetMode="External"/><Relationship Id="rId15645" Type="http://schemas.openxmlformats.org/officeDocument/2006/relationships/hyperlink" Target="http://csr.bu.edu/ftp/asl/asllvd/demos/verify_start_end_handshape_annotations//test_auto_move//signs_mov/3729.mov" TargetMode="External"/><Relationship Id="rId15646" Type="http://schemas.openxmlformats.org/officeDocument/2006/relationships/hyperlink" Target="http://csr.bu.edu/ftp/asl/asllvd/demos/verify_start_end_handshape_annotations//test_auto_move//signs_mov_separ_signers/Liz_3729.mov" TargetMode="External"/><Relationship Id="rId15647" Type="http://schemas.openxmlformats.org/officeDocument/2006/relationships/hyperlink" Target="http://secrets.rutgers.edu:8080/data/asl-ftp/asllvd/demos/verify_start_end_handshape_annotations//test_auto_move//signs_mov/3729.mov" TargetMode="External"/><Relationship Id="rId15648" Type="http://schemas.openxmlformats.org/officeDocument/2006/relationships/hyperlink" Target="http://secrets.rutgers.edu:8080/data/asl-ftp/asllvd/demos/verify_start_end_handshape_annotations//test_auto_move//signs_mov_separ_signers/Liz_3729.mov" TargetMode="External"/><Relationship Id="rId15649" Type="http://schemas.openxmlformats.org/officeDocument/2006/relationships/hyperlink" Target="http://csr.bu.edu/ftp/asl/asllvd/demos/verify_start_end_handshape_annotations//test_auto_move//signs_mov/5371_5667_merged.mov" TargetMode="External"/><Relationship Id="rId15650" Type="http://schemas.openxmlformats.org/officeDocument/2006/relationships/hyperlink" Target="http://csr.bu.edu/ftp/asl/asllvd/demos/verify_start_end_handshape_annotations//test_auto_move//signs_mov_separ_signers/Brady_5371.mov" TargetMode="External"/><Relationship Id="rId15651" Type="http://schemas.openxmlformats.org/officeDocument/2006/relationships/hyperlink" Target="http://secrets.rutgers.edu:8080/data/asl-ftp/asllvd/demos/verify_start_end_handshape_annotations//test_auto_move//signs_mov/5371_5667_merged.mov" TargetMode="External"/><Relationship Id="rId15652" Type="http://schemas.openxmlformats.org/officeDocument/2006/relationships/hyperlink" Target="http://secrets.rutgers.edu:8080/data/asl-ftp/asllvd/demos/verify_start_end_handshape_annotations//test_auto_move//signs_mov_separ_signers/Brady_5371.mov" TargetMode="External"/><Relationship Id="rId15653" Type="http://schemas.openxmlformats.org/officeDocument/2006/relationships/hyperlink" Target="http://csr.bu.edu/ftp/asl/asllvd/demos/verify_start_end_handshape_annotations//test_auto_move//signs_mov_separ_signers/Brady_5667.mov" TargetMode="External"/><Relationship Id="rId15654" Type="http://schemas.openxmlformats.org/officeDocument/2006/relationships/hyperlink" Target="http://secrets.rutgers.edu:8080/data/asl-ftp/asllvd/demos/verify_start_end_handshape_annotations//test_auto_move//signs_mov_separ_signers/Brady_5667.mov" TargetMode="External"/><Relationship Id="rId15655" Type="http://schemas.openxmlformats.org/officeDocument/2006/relationships/hyperlink" Target="http://csr.bu.edu/ftp/asl/asllvd/demos/verify_start_end_handshape_annotations//test_auto_move//signs_mov/15629.mov" TargetMode="External"/><Relationship Id="rId15656" Type="http://schemas.openxmlformats.org/officeDocument/2006/relationships/hyperlink" Target="http://csr.bu.edu/ftp/asl/asllvd/demos/verify_start_end_handshape_annotations//test_auto_move//signs_mov_separ_signers/Liz_15629.mov" TargetMode="External"/><Relationship Id="rId15657" Type="http://schemas.openxmlformats.org/officeDocument/2006/relationships/hyperlink" Target="http://secrets.rutgers.edu:8080/data/asl-ftp/asllvd/demos/verify_start_end_handshape_annotations//test_auto_move//signs_mov/15629.mov" TargetMode="External"/><Relationship Id="rId15658" Type="http://schemas.openxmlformats.org/officeDocument/2006/relationships/hyperlink" Target="http://secrets.rutgers.edu:8080/data/asl-ftp/asllvd/demos/verify_start_end_handshape_annotations//test_auto_move//signs_mov_separ_signers/Liz_15629.mov" TargetMode="External"/><Relationship Id="rId15659" Type="http://schemas.openxmlformats.org/officeDocument/2006/relationships/hyperlink" Target="http://csr.bu.edu/ftp/asl/asllvd/demos/verify_start_end_handshape_annotations//test_auto_move//signs_mov/2021.mov" TargetMode="External"/><Relationship Id="rId15660" Type="http://schemas.openxmlformats.org/officeDocument/2006/relationships/hyperlink" Target="http://csr.bu.edu/ftp/asl/asllvd/demos/verify_start_end_handshape_annotations//test_auto_move//signs_mov_separ_signers/Liz_2021.mov" TargetMode="External"/><Relationship Id="rId15661" Type="http://schemas.openxmlformats.org/officeDocument/2006/relationships/hyperlink" Target="http://secrets.rutgers.edu:8080/data/asl-ftp/asllvd/demos/verify_start_end_handshape_annotations//test_auto_move//signs_mov/2021.mov" TargetMode="External"/><Relationship Id="rId15662" Type="http://schemas.openxmlformats.org/officeDocument/2006/relationships/hyperlink" Target="http://secrets.rutgers.edu:8080/data/asl-ftp/asllvd/demos/verify_start_end_handshape_annotations//test_auto_move//signs_mov_separ_signers/Liz_2021.mov" TargetMode="External"/><Relationship Id="rId15663" Type="http://schemas.openxmlformats.org/officeDocument/2006/relationships/hyperlink" Target="http://csr.bu.edu/ftp/asl/asllvd/demos/verify_start_end_handshape_annotations//test_auto_move//signs_mov_separ_signers/Brady_2021.mov" TargetMode="External"/><Relationship Id="rId15664" Type="http://schemas.openxmlformats.org/officeDocument/2006/relationships/hyperlink" Target="http://secrets.rutgers.edu:8080/data/asl-ftp/asllvd/demos/verify_start_end_handshape_annotations//test_auto_move//signs_mov_separ_signers/Brady_2021.mov" TargetMode="External"/><Relationship Id="rId15665" Type="http://schemas.openxmlformats.org/officeDocument/2006/relationships/hyperlink" Target="http://csr.bu.edu/ftp/asl/asllvd/demos/verify_start_end_handshape_annotations//test_auto_move//signs_mov_separ_signers/Liz_2022.mov" TargetMode="External"/><Relationship Id="rId15666" Type="http://schemas.openxmlformats.org/officeDocument/2006/relationships/hyperlink" Target="http://secrets.rutgers.edu:8080/data/asl-ftp/asllvd/demos/verify_start_end_handshape_annotations//test_auto_move//signs_mov_separ_signers/Liz_2022.mov" TargetMode="External"/><Relationship Id="rId15667" Type="http://schemas.openxmlformats.org/officeDocument/2006/relationships/hyperlink" Target="http://csr.bu.edu/ftp/asl/asllvd/demos/verify_start_end_handshape_annotations//test_auto_move//signs_mov/2022_5350_merged.mov" TargetMode="External"/><Relationship Id="rId15668" Type="http://schemas.openxmlformats.org/officeDocument/2006/relationships/hyperlink" Target="http://csr.bu.edu/ftp/asl/asllvd/demos/verify_start_end_handshape_annotations//test_auto_move//signs_mov_separ_signers/Brady_2022.mov" TargetMode="External"/><Relationship Id="rId15669" Type="http://schemas.openxmlformats.org/officeDocument/2006/relationships/hyperlink" Target="http://secrets.rutgers.edu:8080/data/asl-ftp/asllvd/demos/verify_start_end_handshape_annotations//test_auto_move//signs_mov/2022_5350_merged.mov" TargetMode="External"/><Relationship Id="rId15670" Type="http://schemas.openxmlformats.org/officeDocument/2006/relationships/hyperlink" Target="http://secrets.rutgers.edu:8080/data/asl-ftp/asllvd/demos/verify_start_end_handshape_annotations//test_auto_move//signs_mov_separ_signers/Brady_2022.mov" TargetMode="External"/><Relationship Id="rId15671" Type="http://schemas.openxmlformats.org/officeDocument/2006/relationships/hyperlink" Target="http://csr.bu.edu/ftp/asl/asllvd/demos/verify_start_end_handshape_annotations//test_auto_move//signs_mov_separ_signers/Brady_5350.mov" TargetMode="External"/><Relationship Id="rId15672" Type="http://schemas.openxmlformats.org/officeDocument/2006/relationships/hyperlink" Target="http://secrets.rutgers.edu:8080/data/asl-ftp/asllvd/demos/verify_start_end_handshape_annotations//test_auto_move//signs_mov_separ_signers/Brady_5350.mov" TargetMode="External"/><Relationship Id="rId15673" Type="http://schemas.openxmlformats.org/officeDocument/2006/relationships/hyperlink" Target="http://csr.bu.edu/ftp/asl/asllvd/demos/verify_start_end_handshape_annotations//test_auto_move//signs_mov_separ_signers/Liz_2025.mov" TargetMode="External"/><Relationship Id="rId15674" Type="http://schemas.openxmlformats.org/officeDocument/2006/relationships/hyperlink" Target="http://secrets.rutgers.edu:8080/data/asl-ftp/asllvd/demos/verify_start_end_handshape_annotations//test_auto_move//signs_mov_separ_signers/Liz_2025.mov" TargetMode="External"/><Relationship Id="rId15675" Type="http://schemas.openxmlformats.org/officeDocument/2006/relationships/hyperlink" Target="http://csr.bu.edu/ftp/asl/asllvd/demos/verify_start_end_handshape_annotations//test_auto_move//signs_mov/2025.mov" TargetMode="External"/><Relationship Id="rId15676" Type="http://schemas.openxmlformats.org/officeDocument/2006/relationships/hyperlink" Target="http://csr.bu.edu/ftp/asl/asllvd/demos/verify_start_end_handshape_annotations//test_auto_move//signs_mov_separ_signers/Brady_2025.mov" TargetMode="External"/><Relationship Id="rId15677" Type="http://schemas.openxmlformats.org/officeDocument/2006/relationships/hyperlink" Target="http://secrets.rutgers.edu:8080/data/asl-ftp/asllvd/demos/verify_start_end_handshape_annotations//test_auto_move//signs_mov/2025.mov" TargetMode="External"/><Relationship Id="rId15678" Type="http://schemas.openxmlformats.org/officeDocument/2006/relationships/hyperlink" Target="http://secrets.rutgers.edu:8080/data/asl-ftp/asllvd/demos/verify_start_end_handshape_annotations//test_auto_move//signs_mov_separ_signers/Brady_2025.mov" TargetMode="External"/><Relationship Id="rId15679" Type="http://schemas.openxmlformats.org/officeDocument/2006/relationships/hyperlink" Target="http://csr.bu.edu/ftp/asl/asllvd/demos/verify_start_end_handshape_annotations//test_auto_move//signs_mov_separ_signers/Lana_2025.mov" TargetMode="External"/><Relationship Id="rId15680" Type="http://schemas.openxmlformats.org/officeDocument/2006/relationships/hyperlink" Target="http://secrets.rutgers.edu:8080/data/asl-ftp/asllvd/demos/verify_start_end_handshape_annotations//test_auto_move//signs_mov_separ_signers/Lana_2025.mov" TargetMode="External"/><Relationship Id="rId15681" Type="http://schemas.openxmlformats.org/officeDocument/2006/relationships/hyperlink" Target="http://csr.bu.edu/ftp/asl/asllvd/demos/verify_start_end_handshape_annotations//test_auto_move//signs_mov/5683.mov" TargetMode="External"/><Relationship Id="rId15682" Type="http://schemas.openxmlformats.org/officeDocument/2006/relationships/hyperlink" Target="http://csr.bu.edu/ftp/asl/asllvd/demos/verify_start_end_handshape_annotations//test_auto_move//signs_mov_separ_signers/Liz_5683.mov" TargetMode="External"/><Relationship Id="rId15683" Type="http://schemas.openxmlformats.org/officeDocument/2006/relationships/hyperlink" Target="http://secrets.rutgers.edu:8080/data/asl-ftp/asllvd/demos/verify_start_end_handshape_annotations//test_auto_move//signs_mov/5683.mov" TargetMode="External"/><Relationship Id="rId15684" Type="http://schemas.openxmlformats.org/officeDocument/2006/relationships/hyperlink" Target="http://secrets.rutgers.edu:8080/data/asl-ftp/asllvd/demos/verify_start_end_handshape_annotations//test_auto_move//signs_mov_separ_signers/Liz_5683.mov" TargetMode="External"/><Relationship Id="rId15685" Type="http://schemas.openxmlformats.org/officeDocument/2006/relationships/hyperlink" Target="http://csr.bu.edu/ftp/asl/asllvd/demos/verify_start_end_handshape_annotations//test_auto_move//signs_mov_separ_signers/Brady_5683.mov" TargetMode="External"/><Relationship Id="rId15686" Type="http://schemas.openxmlformats.org/officeDocument/2006/relationships/hyperlink" Target="http://secrets.rutgers.edu:8080/data/asl-ftp/asllvd/demos/verify_start_end_handshape_annotations//test_auto_move//signs_mov_separ_signers/Brady_5683.mov" TargetMode="External"/><Relationship Id="rId15687" Type="http://schemas.openxmlformats.org/officeDocument/2006/relationships/hyperlink" Target="http://csr.bu.edu/ftp/asl/asllvd/demos/verify_start_end_handshape_annotations//test_auto_move//signs_mov/15937.mov" TargetMode="External"/><Relationship Id="rId15688" Type="http://schemas.openxmlformats.org/officeDocument/2006/relationships/hyperlink" Target="http://csr.bu.edu/ftp/asl/asllvd/demos/verify_start_end_handshape_annotations//test_auto_move//signs_mov_separ_signers/Liz_15937.mov" TargetMode="External"/><Relationship Id="rId15689" Type="http://schemas.openxmlformats.org/officeDocument/2006/relationships/hyperlink" Target="http://secrets.rutgers.edu:8080/data/asl-ftp/asllvd/demos/verify_start_end_handshape_annotations//test_auto_move//signs_mov/15937.mov" TargetMode="External"/><Relationship Id="rId15690" Type="http://schemas.openxmlformats.org/officeDocument/2006/relationships/hyperlink" Target="http://secrets.rutgers.edu:8080/data/asl-ftp/asllvd/demos/verify_start_end_handshape_annotations//test_auto_move//signs_mov_separ_signers/Liz_15937.mov" TargetMode="External"/><Relationship Id="rId15691" Type="http://schemas.openxmlformats.org/officeDocument/2006/relationships/hyperlink" Target="http://csr.bu.edu/ftp/asl/asllvd/demos/verify_start_end_handshape_annotations//test_auto_move//signs_mov_separ_signers/Brady_15937.mov" TargetMode="External"/><Relationship Id="rId15692" Type="http://schemas.openxmlformats.org/officeDocument/2006/relationships/hyperlink" Target="http://secrets.rutgers.edu:8080/data/asl-ftp/asllvd/demos/verify_start_end_handshape_annotations//test_auto_move//signs_mov_separ_signers/Brady_15937.mov" TargetMode="External"/><Relationship Id="rId15693" Type="http://schemas.openxmlformats.org/officeDocument/2006/relationships/hyperlink" Target="http://csr.bu.edu/ftp/asl/asllvd/demos/verify_start_end_handshape_annotations//test_auto_move//signs_mov/15947.mov" TargetMode="External"/><Relationship Id="rId15694" Type="http://schemas.openxmlformats.org/officeDocument/2006/relationships/hyperlink" Target="http://csr.bu.edu/ftp/asl/asllvd/demos/verify_start_end_handshape_annotations//test_auto_move//signs_mov_separ_signers/Liz_15947.mov" TargetMode="External"/><Relationship Id="rId15695" Type="http://schemas.openxmlformats.org/officeDocument/2006/relationships/hyperlink" Target="http://secrets.rutgers.edu:8080/data/asl-ftp/asllvd/demos/verify_start_end_handshape_annotations//test_auto_move//signs_mov/15947.mov" TargetMode="External"/><Relationship Id="rId15696" Type="http://schemas.openxmlformats.org/officeDocument/2006/relationships/hyperlink" Target="http://secrets.rutgers.edu:8080/data/asl-ftp/asllvd/demos/verify_start_end_handshape_annotations//test_auto_move//signs_mov_separ_signers/Liz_15947.mov" TargetMode="External"/><Relationship Id="rId15697" Type="http://schemas.openxmlformats.org/officeDocument/2006/relationships/hyperlink" Target="http://csr.bu.edu/ftp/asl/asllvd/demos/verify_start_end_handshape_annotations//test_auto_move//signs_mov_separ_signers/Brady_15947.mov" TargetMode="External"/><Relationship Id="rId15698" Type="http://schemas.openxmlformats.org/officeDocument/2006/relationships/hyperlink" Target="http://secrets.rutgers.edu:8080/data/asl-ftp/asllvd/demos/verify_start_end_handshape_annotations//test_auto_move//signs_mov_separ_signers/Brady_15947.mov" TargetMode="External"/><Relationship Id="rId15699" Type="http://schemas.openxmlformats.org/officeDocument/2006/relationships/hyperlink" Target="http://csr.bu.edu/ftp/asl/asllvd/demos/verify_start_end_handshape_annotations//test_auto_move//signs_mov/15966.mov" TargetMode="External"/><Relationship Id="rId15700" Type="http://schemas.openxmlformats.org/officeDocument/2006/relationships/hyperlink" Target="http://csr.bu.edu/ftp/asl/asllvd/demos/verify_start_end_handshape_annotations//test_auto_move//signs_mov_separ_signers/Liz_15966.mov" TargetMode="External"/><Relationship Id="rId15701" Type="http://schemas.openxmlformats.org/officeDocument/2006/relationships/hyperlink" Target="http://secrets.rutgers.edu:8080/data/asl-ftp/asllvd/demos/verify_start_end_handshape_annotations//test_auto_move//signs_mov/15966.mov" TargetMode="External"/><Relationship Id="rId15702" Type="http://schemas.openxmlformats.org/officeDocument/2006/relationships/hyperlink" Target="http://secrets.rutgers.edu:8080/data/asl-ftp/asllvd/demos/verify_start_end_handshape_annotations//test_auto_move//signs_mov_separ_signers/Liz_15966.mov" TargetMode="External"/><Relationship Id="rId15703" Type="http://schemas.openxmlformats.org/officeDocument/2006/relationships/hyperlink" Target="http://csr.bu.edu/ftp/asl/asllvd/demos/verify_start_end_handshape_annotations//test_auto_move//signs_mov_separ_signers/Brady_15966.mov" TargetMode="External"/><Relationship Id="rId15704" Type="http://schemas.openxmlformats.org/officeDocument/2006/relationships/hyperlink" Target="http://secrets.rutgers.edu:8080/data/asl-ftp/asllvd/demos/verify_start_end_handshape_annotations//test_auto_move//signs_mov_separ_signers/Brady_15966.mov" TargetMode="External"/><Relationship Id="rId15705" Type="http://schemas.openxmlformats.org/officeDocument/2006/relationships/hyperlink" Target="http://csr.bu.edu/ftp/asl/asllvd/demos/verify_start_end_handshape_annotations//test_auto_move//signs_mov/2026.mov" TargetMode="External"/><Relationship Id="rId15706" Type="http://schemas.openxmlformats.org/officeDocument/2006/relationships/hyperlink" Target="http://csr.bu.edu/ftp/asl/asllvd/demos/verify_start_end_handshape_annotations//test_auto_move//signs_mov_separ_signers/Liz_2026.mov" TargetMode="External"/><Relationship Id="rId15707" Type="http://schemas.openxmlformats.org/officeDocument/2006/relationships/hyperlink" Target="http://secrets.rutgers.edu:8080/data/asl-ftp/asllvd/demos/verify_start_end_handshape_annotations//test_auto_move//signs_mov/2026.mov" TargetMode="External"/><Relationship Id="rId15708" Type="http://schemas.openxmlformats.org/officeDocument/2006/relationships/hyperlink" Target="http://secrets.rutgers.edu:8080/data/asl-ftp/asllvd/demos/verify_start_end_handshape_annotations//test_auto_move//signs_mov_separ_signers/Liz_2026.mov" TargetMode="External"/><Relationship Id="rId15709" Type="http://schemas.openxmlformats.org/officeDocument/2006/relationships/hyperlink" Target="http://csr.bu.edu/ftp/asl/asllvd/demos/verify_start_end_handshape_annotations//test_auto_move//signs_mov/16429.mov" TargetMode="External"/><Relationship Id="rId15710" Type="http://schemas.openxmlformats.org/officeDocument/2006/relationships/hyperlink" Target="http://csr.bu.edu/ftp/asl/asllvd/demos/verify_start_end_handshape_annotations//test_auto_move//signs_mov_separ_signers/Brady_16429.mov" TargetMode="External"/><Relationship Id="rId15711" Type="http://schemas.openxmlformats.org/officeDocument/2006/relationships/hyperlink" Target="http://secrets.rutgers.edu:8080/data/asl-ftp/asllvd/demos/verify_start_end_handshape_annotations//test_auto_move//signs_mov/16429.mov" TargetMode="External"/><Relationship Id="rId15712" Type="http://schemas.openxmlformats.org/officeDocument/2006/relationships/hyperlink" Target="http://secrets.rutgers.edu:8080/data/asl-ftp/asllvd/demos/verify_start_end_handshape_annotations//test_auto_move//signs_mov_separ_signers/Brady_16429.mov" TargetMode="External"/><Relationship Id="rId15713" Type="http://schemas.openxmlformats.org/officeDocument/2006/relationships/hyperlink" Target="http://csr.bu.edu/ftp/asl/asllvd/demos/verify_start_end_handshape_annotations//test_auto_move//signs_mov_separ_signers/Liz_2029.mov" TargetMode="External"/><Relationship Id="rId15714" Type="http://schemas.openxmlformats.org/officeDocument/2006/relationships/hyperlink" Target="http://secrets.rutgers.edu:8080/data/asl-ftp/asllvd/demos/verify_start_end_handshape_annotations//test_auto_move//signs_mov_separ_signers/Liz_2029.mov" TargetMode="External"/><Relationship Id="rId15715" Type="http://schemas.openxmlformats.org/officeDocument/2006/relationships/hyperlink" Target="http://csr.bu.edu/ftp/asl/asllvd/demos/verify_start_end_handshape_annotations//test_auto_move//signs_mov/2029.mov" TargetMode="External"/><Relationship Id="rId15716" Type="http://schemas.openxmlformats.org/officeDocument/2006/relationships/hyperlink" Target="http://csr.bu.edu/ftp/asl/asllvd/demos/verify_start_end_handshape_annotations//test_auto_move//signs_mov_separ_signers/Tyler_2029.mov" TargetMode="External"/><Relationship Id="rId15717" Type="http://schemas.openxmlformats.org/officeDocument/2006/relationships/hyperlink" Target="http://secrets.rutgers.edu:8080/data/asl-ftp/asllvd/demos/verify_start_end_handshape_annotations//test_auto_move//signs_mov/2029.mov" TargetMode="External"/><Relationship Id="rId15718" Type="http://schemas.openxmlformats.org/officeDocument/2006/relationships/hyperlink" Target="http://secrets.rutgers.edu:8080/data/asl-ftp/asllvd/demos/verify_start_end_handshape_annotations//test_auto_move//signs_mov_separ_signers/Tyler_2029.mov" TargetMode="External"/><Relationship Id="rId15719" Type="http://schemas.openxmlformats.org/officeDocument/2006/relationships/hyperlink" Target="http://csr.bu.edu/ftp/asl/asllvd/demos/verify_start_end_handshape_annotations//test_auto_move//signs_mov_separ_signers/Brady_2029.mov" TargetMode="External"/><Relationship Id="rId15720" Type="http://schemas.openxmlformats.org/officeDocument/2006/relationships/hyperlink" Target="http://secrets.rutgers.edu:8080/data/asl-ftp/asllvd/demos/verify_start_end_handshape_annotations//test_auto_move//signs_mov_separ_signers/Brady_2029.mov" TargetMode="External"/><Relationship Id="rId15721" Type="http://schemas.openxmlformats.org/officeDocument/2006/relationships/hyperlink" Target="http://csr.bu.edu/ftp/asl/asllvd/demos/verify_start_end_handshape_annotations//test_auto_move//signs_mov/2030.mov" TargetMode="External"/><Relationship Id="rId15722" Type="http://schemas.openxmlformats.org/officeDocument/2006/relationships/hyperlink" Target="http://csr.bu.edu/ftp/asl/asllvd/demos/verify_start_end_handshape_annotations//test_auto_move//signs_mov_separ_signers/Liz_2030.mov" TargetMode="External"/><Relationship Id="rId15723" Type="http://schemas.openxmlformats.org/officeDocument/2006/relationships/hyperlink" Target="http://secrets.rutgers.edu:8080/data/asl-ftp/asllvd/demos/verify_start_end_handshape_annotations//test_auto_move//signs_mov/2030.mov" TargetMode="External"/><Relationship Id="rId15724" Type="http://schemas.openxmlformats.org/officeDocument/2006/relationships/hyperlink" Target="http://secrets.rutgers.edu:8080/data/asl-ftp/asllvd/demos/verify_start_end_handshape_annotations//test_auto_move//signs_mov_separ_signers/Liz_2030.mov" TargetMode="External"/><Relationship Id="rId15725" Type="http://schemas.openxmlformats.org/officeDocument/2006/relationships/hyperlink" Target="http://csr.bu.edu/ftp/asl/asllvd/demos/verify_start_end_handshape_annotations//test_auto_move//signs_mov_separ_signers/Brady_2030.mov" TargetMode="External"/><Relationship Id="rId15726" Type="http://schemas.openxmlformats.org/officeDocument/2006/relationships/hyperlink" Target="http://secrets.rutgers.edu:8080/data/asl-ftp/asllvd/demos/verify_start_end_handshape_annotations//test_auto_move//signs_mov_separ_signers/Brady_2030.mov" TargetMode="External"/><Relationship Id="rId15727" Type="http://schemas.openxmlformats.org/officeDocument/2006/relationships/hyperlink" Target="http://csr.bu.edu/ftp/asl/asllvd/demos/verify_start_end_handshape_annotations//test_auto_move//signs_mov/3731.mov" TargetMode="External"/><Relationship Id="rId15728" Type="http://schemas.openxmlformats.org/officeDocument/2006/relationships/hyperlink" Target="http://csr.bu.edu/ftp/asl/asllvd/demos/verify_start_end_handshape_annotations//test_auto_move//signs_mov_separ_signers/Liz_3731.mov" TargetMode="External"/><Relationship Id="rId15729" Type="http://schemas.openxmlformats.org/officeDocument/2006/relationships/hyperlink" Target="http://secrets.rutgers.edu:8080/data/asl-ftp/asllvd/demos/verify_start_end_handshape_annotations//test_auto_move//signs_mov/3731.mov" TargetMode="External"/><Relationship Id="rId15730" Type="http://schemas.openxmlformats.org/officeDocument/2006/relationships/hyperlink" Target="http://secrets.rutgers.edu:8080/data/asl-ftp/asllvd/demos/verify_start_end_handshape_annotations//test_auto_move//signs_mov_separ_signers/Liz_3731.mov" TargetMode="External"/><Relationship Id="rId15731" Type="http://schemas.openxmlformats.org/officeDocument/2006/relationships/hyperlink" Target="http://csr.bu.edu/ftp/asl/asllvd/demos/verify_start_end_handshape_annotations//test_auto_move//signs_mov_separ_signers/Brady_3731.mov" TargetMode="External"/><Relationship Id="rId15732" Type="http://schemas.openxmlformats.org/officeDocument/2006/relationships/hyperlink" Target="http://secrets.rutgers.edu:8080/data/asl-ftp/asllvd/demos/verify_start_end_handshape_annotations//test_auto_move//signs_mov_separ_signers/Brady_3731.mov" TargetMode="External"/><Relationship Id="rId15733" Type="http://schemas.openxmlformats.org/officeDocument/2006/relationships/hyperlink" Target="http://csr.bu.edu/ftp/asl/asllvd/demos/verify_start_end_handshape_annotations//test_auto_move//signs_mov_separ_signers/Liz_2037.mov" TargetMode="External"/><Relationship Id="rId15734" Type="http://schemas.openxmlformats.org/officeDocument/2006/relationships/hyperlink" Target="http://secrets.rutgers.edu:8080/data/asl-ftp/asllvd/demos/verify_start_end_handshape_annotations//test_auto_move//signs_mov_separ_signers/Liz_2037.mov" TargetMode="External"/><Relationship Id="rId15735" Type="http://schemas.openxmlformats.org/officeDocument/2006/relationships/hyperlink" Target="http://csr.bu.edu/ftp/asl/asllvd/demos/verify_start_end_handshape_annotations//test_auto_move//signs_mov/2037_3732_merged.mov" TargetMode="External"/><Relationship Id="rId15736" Type="http://schemas.openxmlformats.org/officeDocument/2006/relationships/hyperlink" Target="http://csr.bu.edu/ftp/asl/asllvd/demos/verify_start_end_handshape_annotations//test_auto_move//signs_mov_separ_signers/Liz_3732.mov" TargetMode="External"/><Relationship Id="rId15737" Type="http://schemas.openxmlformats.org/officeDocument/2006/relationships/hyperlink" Target="http://secrets.rutgers.edu:8080/data/asl-ftp/asllvd/demos/verify_start_end_handshape_annotations//test_auto_move//signs_mov/2037_3732_merged.mov" TargetMode="External"/><Relationship Id="rId15738" Type="http://schemas.openxmlformats.org/officeDocument/2006/relationships/hyperlink" Target="http://secrets.rutgers.edu:8080/data/asl-ftp/asllvd/demos/verify_start_end_handshape_annotations//test_auto_move//signs_mov_separ_signers/Liz_3732.mov" TargetMode="External"/><Relationship Id="rId15739" Type="http://schemas.openxmlformats.org/officeDocument/2006/relationships/hyperlink" Target="http://csr.bu.edu/ftp/asl/asllvd/demos/verify_start_end_handshape_annotations//test_auto_move//signs_mov_separ_signers/Brady_2037.mov" TargetMode="External"/><Relationship Id="rId15740" Type="http://schemas.openxmlformats.org/officeDocument/2006/relationships/hyperlink" Target="http://secrets.rutgers.edu:8080/data/asl-ftp/asllvd/demos/verify_start_end_handshape_annotations//test_auto_move//signs_mov_separ_signers/Brady_2037.mov" TargetMode="External"/><Relationship Id="rId15741" Type="http://schemas.openxmlformats.org/officeDocument/2006/relationships/hyperlink" Target="http://csr.bu.edu/ftp/asl/asllvd/demos/verify_start_end_handshape_annotations//test_auto_move//signs_mov_separ_signers/Brady_3732.mov" TargetMode="External"/><Relationship Id="rId15742" Type="http://schemas.openxmlformats.org/officeDocument/2006/relationships/hyperlink" Target="http://secrets.rutgers.edu:8080/data/asl-ftp/asllvd/demos/verify_start_end_handshape_annotations//test_auto_move//signs_mov_separ_signers/Brady_3732.mov" TargetMode="External"/><Relationship Id="rId15743" Type="http://schemas.openxmlformats.org/officeDocument/2006/relationships/hyperlink" Target="http://csr.bu.edu/ftp/asl/asllvd/demos/verify_start_end_handshape_annotations//test_auto_move//signs_mov/2039.mov" TargetMode="External"/><Relationship Id="rId15744" Type="http://schemas.openxmlformats.org/officeDocument/2006/relationships/hyperlink" Target="http://csr.bu.edu/ftp/asl/asllvd/demos/verify_start_end_handshape_annotations//test_auto_move//signs_mov_separ_signers/Lana_2039.mov" TargetMode="External"/><Relationship Id="rId15745" Type="http://schemas.openxmlformats.org/officeDocument/2006/relationships/hyperlink" Target="http://secrets.rutgers.edu:8080/data/asl-ftp/asllvd/demos/verify_start_end_handshape_annotations//test_auto_move//signs_mov/2039.mov" TargetMode="External"/><Relationship Id="rId15746" Type="http://schemas.openxmlformats.org/officeDocument/2006/relationships/hyperlink" Target="http://secrets.rutgers.edu:8080/data/asl-ftp/asllvd/demos/verify_start_end_handshape_annotations//test_auto_move//signs_mov_separ_signers/Lana_2039.mov" TargetMode="External"/><Relationship Id="rId15747" Type="http://schemas.openxmlformats.org/officeDocument/2006/relationships/hyperlink" Target="http://csr.bu.edu/ftp/asl/asllvd/demos/verify_start_end_handshape_annotations//test_auto_move//signs_mov_separ_signers/Dana_2039.mov" TargetMode="External"/><Relationship Id="rId15748" Type="http://schemas.openxmlformats.org/officeDocument/2006/relationships/hyperlink" Target="http://secrets.rutgers.edu:8080/data/asl-ftp/asllvd/demos/verify_start_end_handshape_annotations//test_auto_move//signs_mov_separ_signers/Dana_2039.mov" TargetMode="External"/><Relationship Id="rId15749" Type="http://schemas.openxmlformats.org/officeDocument/2006/relationships/hyperlink" Target="http://csr.bu.edu/ftp/asl/asllvd/demos/verify_start_end_handshape_annotations//test_auto_move//signs_mov/15930.mov" TargetMode="External"/><Relationship Id="rId15750" Type="http://schemas.openxmlformats.org/officeDocument/2006/relationships/hyperlink" Target="http://csr.bu.edu/ftp/asl/asllvd/demos/verify_start_end_handshape_annotations//test_auto_move//signs_mov_separ_signers/Liz_15930.mov" TargetMode="External"/><Relationship Id="rId15751" Type="http://schemas.openxmlformats.org/officeDocument/2006/relationships/hyperlink" Target="http://secrets.rutgers.edu:8080/data/asl-ftp/asllvd/demos/verify_start_end_handshape_annotations//test_auto_move//signs_mov/15930.mov" TargetMode="External"/><Relationship Id="rId15752" Type="http://schemas.openxmlformats.org/officeDocument/2006/relationships/hyperlink" Target="http://secrets.rutgers.edu:8080/data/asl-ftp/asllvd/demos/verify_start_end_handshape_annotations//test_auto_move//signs_mov_separ_signers/Liz_15930.mov" TargetMode="External"/><Relationship Id="rId15753" Type="http://schemas.openxmlformats.org/officeDocument/2006/relationships/hyperlink" Target="http://csr.bu.edu/ftp/asl/asllvd/demos/verify_start_end_handshape_annotations//test_auto_move//signs_mov_separ_signers/Brady_15930.mov" TargetMode="External"/><Relationship Id="rId15754" Type="http://schemas.openxmlformats.org/officeDocument/2006/relationships/hyperlink" Target="http://secrets.rutgers.edu:8080/data/asl-ftp/asllvd/demos/verify_start_end_handshape_annotations//test_auto_move//signs_mov_separ_signers/Brady_15930.mov" TargetMode="External"/><Relationship Id="rId15755" Type="http://schemas.openxmlformats.org/officeDocument/2006/relationships/hyperlink" Target="http://csr.bu.edu/ftp/asl/asllvd/demos/verify_start_end_handshape_annotations//test_auto_move//signs_mov/16308.mov" TargetMode="External"/><Relationship Id="rId15756" Type="http://schemas.openxmlformats.org/officeDocument/2006/relationships/hyperlink" Target="http://csr.bu.edu/ftp/asl/asllvd/demos/verify_start_end_handshape_annotations//test_auto_move//signs_mov_separ_signers/Liz_16308.mov" TargetMode="External"/><Relationship Id="rId15757" Type="http://schemas.openxmlformats.org/officeDocument/2006/relationships/hyperlink" Target="http://secrets.rutgers.edu:8080/data/asl-ftp/asllvd/demos/verify_start_end_handshape_annotations//test_auto_move//signs_mov/16308.mov" TargetMode="External"/><Relationship Id="rId15758" Type="http://schemas.openxmlformats.org/officeDocument/2006/relationships/hyperlink" Target="http://secrets.rutgers.edu:8080/data/asl-ftp/asllvd/demos/verify_start_end_handshape_annotations//test_auto_move//signs_mov_separ_signers/Liz_16308.mov" TargetMode="External"/><Relationship Id="rId15759" Type="http://schemas.openxmlformats.org/officeDocument/2006/relationships/hyperlink" Target="http://csr.bu.edu/ftp/asl/asllvd/demos/verify_start_end_handshape_annotations//test_auto_move//signs_mov_separ_signers/Brady_16308.mov" TargetMode="External"/><Relationship Id="rId15760" Type="http://schemas.openxmlformats.org/officeDocument/2006/relationships/hyperlink" Target="http://secrets.rutgers.edu:8080/data/asl-ftp/asllvd/demos/verify_start_end_handshape_annotations//test_auto_move//signs_mov_separ_signers/Brady_16308.mov" TargetMode="External"/><Relationship Id="rId15761" Type="http://schemas.openxmlformats.org/officeDocument/2006/relationships/hyperlink" Target="http://csr.bu.edu/ftp/asl/asllvd/demos/verify_start_end_handshape_annotations//test_auto_move//signs_mov/2041.mov" TargetMode="External"/><Relationship Id="rId15762" Type="http://schemas.openxmlformats.org/officeDocument/2006/relationships/hyperlink" Target="http://csr.bu.edu/ftp/asl/asllvd/demos/verify_start_end_handshape_annotations//test_auto_move//signs_mov_separ_signers/Liz_2041.mov" TargetMode="External"/><Relationship Id="rId15763" Type="http://schemas.openxmlformats.org/officeDocument/2006/relationships/hyperlink" Target="http://secrets.rutgers.edu:8080/data/asl-ftp/asllvd/demos/verify_start_end_handshape_annotations//test_auto_move//signs_mov/2041.mov" TargetMode="External"/><Relationship Id="rId15764" Type="http://schemas.openxmlformats.org/officeDocument/2006/relationships/hyperlink" Target="http://secrets.rutgers.edu:8080/data/asl-ftp/asllvd/demos/verify_start_end_handshape_annotations//test_auto_move//signs_mov_separ_signers/Liz_2041.mov" TargetMode="External"/><Relationship Id="rId15765" Type="http://schemas.openxmlformats.org/officeDocument/2006/relationships/hyperlink" Target="http://csr.bu.edu/ftp/asl/asllvd/demos/verify_start_end_handshape_annotations//test_auto_move//signs_mov_separ_signers/Brady_2041.mov" TargetMode="External"/><Relationship Id="rId15766" Type="http://schemas.openxmlformats.org/officeDocument/2006/relationships/hyperlink" Target="http://secrets.rutgers.edu:8080/data/asl-ftp/asllvd/demos/verify_start_end_handshape_annotations//test_auto_move//signs_mov_separ_signers/Brady_2041.mov" TargetMode="External"/><Relationship Id="rId15767" Type="http://schemas.openxmlformats.org/officeDocument/2006/relationships/hyperlink" Target="http://csr.bu.edu/ftp/asl/asllvd/demos/verify_start_end_handshape_annotations//test_auto_move//signs_mov_separ_signers/Liz_2042.mov" TargetMode="External"/><Relationship Id="rId15768" Type="http://schemas.openxmlformats.org/officeDocument/2006/relationships/hyperlink" Target="http://secrets.rutgers.edu:8080/data/asl-ftp/asllvd/demos/verify_start_end_handshape_annotations//test_auto_move//signs_mov_separ_signers/Liz_2042.mov" TargetMode="External"/><Relationship Id="rId15769" Type="http://schemas.openxmlformats.org/officeDocument/2006/relationships/hyperlink" Target="http://csr.bu.edu/ftp/asl/asllvd/demos/verify_start_end_handshape_annotations//test_auto_move//signs_mov/2042.mov" TargetMode="External"/><Relationship Id="rId15770" Type="http://schemas.openxmlformats.org/officeDocument/2006/relationships/hyperlink" Target="http://csr.bu.edu/ftp/asl/asllvd/demos/verify_start_end_handshape_annotations//test_auto_move//signs_mov_separ_signers/Brady_2042.mov" TargetMode="External"/><Relationship Id="rId15771" Type="http://schemas.openxmlformats.org/officeDocument/2006/relationships/hyperlink" Target="http://secrets.rutgers.edu:8080/data/asl-ftp/asllvd/demos/verify_start_end_handshape_annotations//test_auto_move//signs_mov/2042.mov" TargetMode="External"/><Relationship Id="rId15772" Type="http://schemas.openxmlformats.org/officeDocument/2006/relationships/hyperlink" Target="http://secrets.rutgers.edu:8080/data/asl-ftp/asllvd/demos/verify_start_end_handshape_annotations//test_auto_move//signs_mov_separ_signers/Brady_2042.mov" TargetMode="External"/><Relationship Id="rId15773" Type="http://schemas.openxmlformats.org/officeDocument/2006/relationships/hyperlink" Target="http://csr.bu.edu/ftp/asl/asllvd/demos/verify_start_end_handshape_annotations//test_auto_move//signs_mov_separ_signers/Lana_2042.mov" TargetMode="External"/><Relationship Id="rId15774" Type="http://schemas.openxmlformats.org/officeDocument/2006/relationships/hyperlink" Target="http://secrets.rutgers.edu:8080/data/asl-ftp/asllvd/demos/verify_start_end_handshape_annotations//test_auto_move//signs_mov_separ_signers/Lana_2042.mov" TargetMode="External"/><Relationship Id="rId15775" Type="http://schemas.openxmlformats.org/officeDocument/2006/relationships/hyperlink" Target="http://csr.bu.edu/ftp/asl/asllvd/demos/verify_start_end_handshape_annotations//test_auto_move//signs_mov_separ_signers/Dana_2042.mov" TargetMode="External"/><Relationship Id="rId15776" Type="http://schemas.openxmlformats.org/officeDocument/2006/relationships/hyperlink" Target="http://secrets.rutgers.edu:8080/data/asl-ftp/asllvd/demos/verify_start_end_handshape_annotations//test_auto_move//signs_mov_separ_signers/Dana_2042.mov" TargetMode="External"/><Relationship Id="rId15777" Type="http://schemas.openxmlformats.org/officeDocument/2006/relationships/hyperlink" Target="http://csr.bu.edu/ftp/asl/asllvd/demos/verify_start_end_handshape_annotations//test_auto_move//signs_mov_separ_signers/Liz_2043.mov" TargetMode="External"/><Relationship Id="rId15778" Type="http://schemas.openxmlformats.org/officeDocument/2006/relationships/hyperlink" Target="http://secrets.rutgers.edu:8080/data/asl-ftp/asllvd/demos/verify_start_end_handshape_annotations//test_auto_move//signs_mov_separ_signers/Liz_2043.mov" TargetMode="External"/><Relationship Id="rId15779" Type="http://schemas.openxmlformats.org/officeDocument/2006/relationships/hyperlink" Target="http://csr.bu.edu/ftp/asl/asllvd/demos/verify_start_end_handshape_annotations//test_auto_move//signs_mov/2043_5724_merged.mov" TargetMode="External"/><Relationship Id="rId15780" Type="http://schemas.openxmlformats.org/officeDocument/2006/relationships/hyperlink" Target="http://csr.bu.edu/ftp/asl/asllvd/demos/verify_start_end_handshape_annotations//test_auto_move//signs_mov_separ_signers/Liz_5724.mov" TargetMode="External"/><Relationship Id="rId15781" Type="http://schemas.openxmlformats.org/officeDocument/2006/relationships/hyperlink" Target="http://secrets.rutgers.edu:8080/data/asl-ftp/asllvd/demos/verify_start_end_handshape_annotations//test_auto_move//signs_mov/2043_5724_merged.mov" TargetMode="External"/><Relationship Id="rId15782" Type="http://schemas.openxmlformats.org/officeDocument/2006/relationships/hyperlink" Target="http://secrets.rutgers.edu:8080/data/asl-ftp/asllvd/demos/verify_start_end_handshape_annotations//test_auto_move//signs_mov_separ_signers/Liz_5724.mov" TargetMode="External"/><Relationship Id="rId15783" Type="http://schemas.openxmlformats.org/officeDocument/2006/relationships/hyperlink" Target="http://csr.bu.edu/ftp/asl/asllvd/demos/verify_start_end_handshape_annotations//test_auto_move//signs_mov_separ_signers/Brady_2043.mov" TargetMode="External"/><Relationship Id="rId15784" Type="http://schemas.openxmlformats.org/officeDocument/2006/relationships/hyperlink" Target="http://secrets.rutgers.edu:8080/data/asl-ftp/asllvd/demos/verify_start_end_handshape_annotations//test_auto_move//signs_mov_separ_signers/Brady_2043.mov" TargetMode="External"/><Relationship Id="rId15785" Type="http://schemas.openxmlformats.org/officeDocument/2006/relationships/hyperlink" Target="http://csr.bu.edu/ftp/asl/asllvd/demos/verify_start_end_handshape_annotations//test_auto_move//signs_mov_separ_signers/Brady_5724.mov" TargetMode="External"/><Relationship Id="rId15786" Type="http://schemas.openxmlformats.org/officeDocument/2006/relationships/hyperlink" Target="http://secrets.rutgers.edu:8080/data/asl-ftp/asllvd/demos/verify_start_end_handshape_annotations//test_auto_move//signs_mov_separ_signers/Brady_5724.mov" TargetMode="External"/><Relationship Id="rId15787" Type="http://schemas.openxmlformats.org/officeDocument/2006/relationships/hyperlink" Target="http://csr.bu.edu/ftp/asl/asllvd/demos/verify_start_end_handshape_annotations//test_auto_move//signs_mov_separ_signers/Liz_2044.mov" TargetMode="External"/><Relationship Id="rId15788" Type="http://schemas.openxmlformats.org/officeDocument/2006/relationships/hyperlink" Target="http://secrets.rutgers.edu:8080/data/asl-ftp/asllvd/demos/verify_start_end_handshape_annotations//test_auto_move//signs_mov_separ_signers/Liz_2044.mov" TargetMode="External"/><Relationship Id="rId15789" Type="http://schemas.openxmlformats.org/officeDocument/2006/relationships/hyperlink" Target="http://csr.bu.edu/ftp/asl/asllvd/demos/verify_start_end_handshape_annotations//test_auto_move//signs_mov/2044_5459_merged.mov" TargetMode="External"/><Relationship Id="rId15790" Type="http://schemas.openxmlformats.org/officeDocument/2006/relationships/hyperlink" Target="http://csr.bu.edu/ftp/asl/asllvd/demos/verify_start_end_handshape_annotations//test_auto_move//signs_mov_separ_signers/Brady_2044.mov" TargetMode="External"/><Relationship Id="rId15791" Type="http://schemas.openxmlformats.org/officeDocument/2006/relationships/hyperlink" Target="http://secrets.rutgers.edu:8080/data/asl-ftp/asllvd/demos/verify_start_end_handshape_annotations//test_auto_move//signs_mov/2044_5459_merged.mov" TargetMode="External"/><Relationship Id="rId15792" Type="http://schemas.openxmlformats.org/officeDocument/2006/relationships/hyperlink" Target="http://secrets.rutgers.edu:8080/data/asl-ftp/asllvd/demos/verify_start_end_handshape_annotations//test_auto_move//signs_mov_separ_signers/Brady_2044.mov" TargetMode="External"/><Relationship Id="rId15793" Type="http://schemas.openxmlformats.org/officeDocument/2006/relationships/hyperlink" Target="http://csr.bu.edu/ftp/asl/asllvd/demos/verify_start_end_handshape_annotations//test_auto_move//signs_mov_separ_signers/Brady_5459.mov" TargetMode="External"/><Relationship Id="rId15794" Type="http://schemas.openxmlformats.org/officeDocument/2006/relationships/hyperlink" Target="http://secrets.rutgers.edu:8080/data/asl-ftp/asllvd/demos/verify_start_end_handshape_annotations//test_auto_move//signs_mov_separ_signers/Brady_5459.mov" TargetMode="External"/><Relationship Id="rId15795" Type="http://schemas.openxmlformats.org/officeDocument/2006/relationships/hyperlink" Target="http://csr.bu.edu/ftp/asl/asllvd/demos/verify_start_end_handshape_annotations//test_auto_move//signs_mov/5701.mov" TargetMode="External"/><Relationship Id="rId15796" Type="http://schemas.openxmlformats.org/officeDocument/2006/relationships/hyperlink" Target="http://csr.bu.edu/ftp/asl/asllvd/demos/verify_start_end_handshape_annotations//test_auto_move//signs_mov_separ_signers/Liz_5701.mov" TargetMode="External"/><Relationship Id="rId15797" Type="http://schemas.openxmlformats.org/officeDocument/2006/relationships/hyperlink" Target="http://secrets.rutgers.edu:8080/data/asl-ftp/asllvd/demos/verify_start_end_handshape_annotations//test_auto_move//signs_mov/5701.mov" TargetMode="External"/><Relationship Id="rId15798" Type="http://schemas.openxmlformats.org/officeDocument/2006/relationships/hyperlink" Target="http://secrets.rutgers.edu:8080/data/asl-ftp/asllvd/demos/verify_start_end_handshape_annotations//test_auto_move//signs_mov_separ_signers/Liz_5701.mov" TargetMode="External"/><Relationship Id="rId15799" Type="http://schemas.openxmlformats.org/officeDocument/2006/relationships/hyperlink" Target="http://csr.bu.edu/ftp/asl/asllvd/demos/verify_start_end_handshape_annotations//test_auto_move//signs_mov_separ_signers/Brady_5701.mov" TargetMode="External"/><Relationship Id="rId15800" Type="http://schemas.openxmlformats.org/officeDocument/2006/relationships/hyperlink" Target="http://secrets.rutgers.edu:8080/data/asl-ftp/asllvd/demos/verify_start_end_handshape_annotations//test_auto_move//signs_mov_separ_signers/Brady_5701.mov" TargetMode="External"/><Relationship Id="rId15801" Type="http://schemas.openxmlformats.org/officeDocument/2006/relationships/hyperlink" Target="http://csr.bu.edu/ftp/asl/asllvd/demos/verify_start_end_handshape_annotations//test_auto_move//signs_mov/15483.mov" TargetMode="External"/><Relationship Id="rId15802" Type="http://schemas.openxmlformats.org/officeDocument/2006/relationships/hyperlink" Target="http://csr.bu.edu/ftp/asl/asllvd/demos/verify_start_end_handshape_annotations//test_auto_move//signs_mov_separ_signers/Liz_15483.mov" TargetMode="External"/><Relationship Id="rId15803" Type="http://schemas.openxmlformats.org/officeDocument/2006/relationships/hyperlink" Target="http://secrets.rutgers.edu:8080/data/asl-ftp/asllvd/demos/verify_start_end_handshape_annotations//test_auto_move//signs_mov/15483.mov" TargetMode="External"/><Relationship Id="rId15804" Type="http://schemas.openxmlformats.org/officeDocument/2006/relationships/hyperlink" Target="http://secrets.rutgers.edu:8080/data/asl-ftp/asllvd/demos/verify_start_end_handshape_annotations//test_auto_move//signs_mov_separ_signers/Liz_15483.mov" TargetMode="External"/><Relationship Id="rId15805" Type="http://schemas.openxmlformats.org/officeDocument/2006/relationships/hyperlink" Target="http://csr.bu.edu/ftp/asl/asllvd/demos/verify_start_end_handshape_annotations//test_auto_move//signs_mov/2045.mov" TargetMode="External"/><Relationship Id="rId15806" Type="http://schemas.openxmlformats.org/officeDocument/2006/relationships/hyperlink" Target="http://csr.bu.edu/ftp/asl/asllvd/demos/verify_start_end_handshape_annotations//test_auto_move//signs_mov_separ_signers/Liz_2045.mov" TargetMode="External"/><Relationship Id="rId15807" Type="http://schemas.openxmlformats.org/officeDocument/2006/relationships/hyperlink" Target="http://secrets.rutgers.edu:8080/data/asl-ftp/asllvd/demos/verify_start_end_handshape_annotations//test_auto_move//signs_mov/2045.mov" TargetMode="External"/><Relationship Id="rId15808" Type="http://schemas.openxmlformats.org/officeDocument/2006/relationships/hyperlink" Target="http://secrets.rutgers.edu:8080/data/asl-ftp/asllvd/demos/verify_start_end_handshape_annotations//test_auto_move//signs_mov_separ_signers/Liz_2045.mov" TargetMode="External"/><Relationship Id="rId15809" Type="http://schemas.openxmlformats.org/officeDocument/2006/relationships/hyperlink" Target="http://csr.bu.edu/ftp/asl/asllvd/demos/verify_start_end_handshape_annotations//test_auto_move//signs_mov_separ_signers/Brady_2045.mov" TargetMode="External"/><Relationship Id="rId15810" Type="http://schemas.openxmlformats.org/officeDocument/2006/relationships/hyperlink" Target="http://secrets.rutgers.edu:8080/data/asl-ftp/asllvd/demos/verify_start_end_handshape_annotations//test_auto_move//signs_mov_separ_signers/Brady_2045.mov" TargetMode="External"/><Relationship Id="rId15811" Type="http://schemas.openxmlformats.org/officeDocument/2006/relationships/hyperlink" Target="http://csr.bu.edu/ftp/asl/asllvd/demos/verify_start_end_handshape_annotations//test_auto_move//signs_mov/2046.mov" TargetMode="External"/><Relationship Id="rId15812" Type="http://schemas.openxmlformats.org/officeDocument/2006/relationships/hyperlink" Target="http://csr.bu.edu/ftp/asl/asllvd/demos/verify_start_end_handshape_annotations//test_auto_move//signs_mov_separ_signers/Liz_2046.mov" TargetMode="External"/><Relationship Id="rId15813" Type="http://schemas.openxmlformats.org/officeDocument/2006/relationships/hyperlink" Target="http://secrets.rutgers.edu:8080/data/asl-ftp/asllvd/demos/verify_start_end_handshape_annotations//test_auto_move//signs_mov/2046.mov" TargetMode="External"/><Relationship Id="rId15814" Type="http://schemas.openxmlformats.org/officeDocument/2006/relationships/hyperlink" Target="http://secrets.rutgers.edu:8080/data/asl-ftp/asllvd/demos/verify_start_end_handshape_annotations//test_auto_move//signs_mov_separ_signers/Liz_2046.mov" TargetMode="External"/><Relationship Id="rId15815" Type="http://schemas.openxmlformats.org/officeDocument/2006/relationships/hyperlink" Target="http://csr.bu.edu/ftp/asl/asllvd/demos/verify_start_end_handshape_annotations//test_auto_move//signs_mov_separ_signers/Brady_2046.mov" TargetMode="External"/><Relationship Id="rId15816" Type="http://schemas.openxmlformats.org/officeDocument/2006/relationships/hyperlink" Target="http://secrets.rutgers.edu:8080/data/asl-ftp/asllvd/demos/verify_start_end_handshape_annotations//test_auto_move//signs_mov_separ_signers/Brady_2046.mov" TargetMode="External"/><Relationship Id="rId15817" Type="http://schemas.openxmlformats.org/officeDocument/2006/relationships/hyperlink" Target="http://csr.bu.edu/ftp/asl/asllvd/demos/verify_start_end_handshape_annotations//test_auto_move//signs_mov/2048.mov" TargetMode="External"/><Relationship Id="rId15818" Type="http://schemas.openxmlformats.org/officeDocument/2006/relationships/hyperlink" Target="http://csr.bu.edu/ftp/asl/asllvd/demos/verify_start_end_handshape_annotations//test_auto_move//signs_mov_separ_signers/Liz_2048.mov" TargetMode="External"/><Relationship Id="rId15819" Type="http://schemas.openxmlformats.org/officeDocument/2006/relationships/hyperlink" Target="http://secrets.rutgers.edu:8080/data/asl-ftp/asllvd/demos/verify_start_end_handshape_annotations//test_auto_move//signs_mov/2048.mov" TargetMode="External"/><Relationship Id="rId15820" Type="http://schemas.openxmlformats.org/officeDocument/2006/relationships/hyperlink" Target="http://secrets.rutgers.edu:8080/data/asl-ftp/asllvd/demos/verify_start_end_handshape_annotations//test_auto_move//signs_mov_separ_signers/Liz_2048.mov" TargetMode="External"/><Relationship Id="rId15821" Type="http://schemas.openxmlformats.org/officeDocument/2006/relationships/hyperlink" Target="http://csr.bu.edu/ftp/asl/asllvd/demos/verify_start_end_handshape_annotations//test_auto_move//signs_mov_separ_signers/Brady_2048.mov" TargetMode="External"/><Relationship Id="rId15822" Type="http://schemas.openxmlformats.org/officeDocument/2006/relationships/hyperlink" Target="http://secrets.rutgers.edu:8080/data/asl-ftp/asllvd/demos/verify_start_end_handshape_annotations//test_auto_move//signs_mov_separ_signers/Brady_2048.mov" TargetMode="External"/><Relationship Id="rId15823" Type="http://schemas.openxmlformats.org/officeDocument/2006/relationships/hyperlink" Target="http://csr.bu.edu/ftp/asl/asllvd/demos/verify_start_end_handshape_annotations//test_auto_move//signs_mov_separ_signers/Liz_15544.mov" TargetMode="External"/><Relationship Id="rId15824" Type="http://schemas.openxmlformats.org/officeDocument/2006/relationships/hyperlink" Target="http://secrets.rutgers.edu:8080/data/asl-ftp/asllvd/demos/verify_start_end_handshape_annotations//test_auto_move//signs_mov_separ_signers/Liz_15544.mov" TargetMode="External"/><Relationship Id="rId15825" Type="http://schemas.openxmlformats.org/officeDocument/2006/relationships/hyperlink" Target="http://csr.bu.edu/ftp/asl/asllvd/demos/verify_start_end_handshape_annotations//test_auto_move//signs_mov/15544_16418_merged.mov" TargetMode="External"/><Relationship Id="rId15826" Type="http://schemas.openxmlformats.org/officeDocument/2006/relationships/hyperlink" Target="http://csr.bu.edu/ftp/asl/asllvd/demos/verify_start_end_handshape_annotations//test_auto_move//signs_mov_separ_signers/Liz_16418.mov" TargetMode="External"/><Relationship Id="rId15827" Type="http://schemas.openxmlformats.org/officeDocument/2006/relationships/hyperlink" Target="http://secrets.rutgers.edu:8080/data/asl-ftp/asllvd/demos/verify_start_end_handshape_annotations//test_auto_move//signs_mov/15544_16418_merged.mov" TargetMode="External"/><Relationship Id="rId15828" Type="http://schemas.openxmlformats.org/officeDocument/2006/relationships/hyperlink" Target="http://secrets.rutgers.edu:8080/data/asl-ftp/asllvd/demos/verify_start_end_handshape_annotations//test_auto_move//signs_mov_separ_signers/Liz_16418.mov" TargetMode="External"/><Relationship Id="rId15829" Type="http://schemas.openxmlformats.org/officeDocument/2006/relationships/hyperlink" Target="http://csr.bu.edu/ftp/asl/asllvd/demos/verify_start_end_handshape_annotations//test_auto_move//signs_mov_separ_signers/Brady_15544.mov" TargetMode="External"/><Relationship Id="rId15830" Type="http://schemas.openxmlformats.org/officeDocument/2006/relationships/hyperlink" Target="http://secrets.rutgers.edu:8080/data/asl-ftp/asllvd/demos/verify_start_end_handshape_annotations//test_auto_move//signs_mov_separ_signers/Brady_15544.mov" TargetMode="External"/><Relationship Id="rId15831" Type="http://schemas.openxmlformats.org/officeDocument/2006/relationships/hyperlink" Target="http://csr.bu.edu/ftp/asl/asllvd/demos/verify_start_end_handshape_annotations//test_auto_move//signs_mov_separ_signers/Brady_16418.mov" TargetMode="External"/><Relationship Id="rId15832" Type="http://schemas.openxmlformats.org/officeDocument/2006/relationships/hyperlink" Target="http://secrets.rutgers.edu:8080/data/asl-ftp/asllvd/demos/verify_start_end_handshape_annotations//test_auto_move//signs_mov_separ_signers/Brady_16418.mov" TargetMode="External"/><Relationship Id="rId15833" Type="http://schemas.openxmlformats.org/officeDocument/2006/relationships/hyperlink" Target="http://csr.bu.edu/ftp/asl/asllvd/demos/verify_start_end_handshape_annotations//test_auto_move//signs_mov/16419.mov" TargetMode="External"/><Relationship Id="rId15834" Type="http://schemas.openxmlformats.org/officeDocument/2006/relationships/hyperlink" Target="http://csr.bu.edu/ftp/asl/asllvd/demos/verify_start_end_handshape_annotations//test_auto_move//signs_mov_separ_signers/Liz_16419.mov" TargetMode="External"/><Relationship Id="rId15835" Type="http://schemas.openxmlformats.org/officeDocument/2006/relationships/hyperlink" Target="http://secrets.rutgers.edu:8080/data/asl-ftp/asllvd/demos/verify_start_end_handshape_annotations//test_auto_move//signs_mov/16419.mov" TargetMode="External"/><Relationship Id="rId15836" Type="http://schemas.openxmlformats.org/officeDocument/2006/relationships/hyperlink" Target="http://secrets.rutgers.edu:8080/data/asl-ftp/asllvd/demos/verify_start_end_handshape_annotations//test_auto_move//signs_mov_separ_signers/Liz_16419.mov" TargetMode="External"/><Relationship Id="rId15837" Type="http://schemas.openxmlformats.org/officeDocument/2006/relationships/hyperlink" Target="http://csr.bu.edu/ftp/asl/asllvd/demos/verify_start_end_handshape_annotations//test_auto_move//signs_mov/2052.mov" TargetMode="External"/><Relationship Id="rId15838" Type="http://schemas.openxmlformats.org/officeDocument/2006/relationships/hyperlink" Target="http://csr.bu.edu/ftp/asl/asllvd/demos/verify_start_end_handshape_annotations//test_auto_move//signs_mov_separ_signers/Liz_2052.mov" TargetMode="External"/><Relationship Id="rId15839" Type="http://schemas.openxmlformats.org/officeDocument/2006/relationships/hyperlink" Target="http://secrets.rutgers.edu:8080/data/asl-ftp/asllvd/demos/verify_start_end_handshape_annotations//test_auto_move//signs_mov/2052.mov" TargetMode="External"/><Relationship Id="rId15840" Type="http://schemas.openxmlformats.org/officeDocument/2006/relationships/hyperlink" Target="http://secrets.rutgers.edu:8080/data/asl-ftp/asllvd/demos/verify_start_end_handshape_annotations//test_auto_move//signs_mov_separ_signers/Liz_2052.mov" TargetMode="External"/><Relationship Id="rId15841" Type="http://schemas.openxmlformats.org/officeDocument/2006/relationships/hyperlink" Target="http://csr.bu.edu/ftp/asl/asllvd/demos/verify_start_end_handshape_annotations//test_auto_move//signs_mov_separ_signers/Brady_2052.mov" TargetMode="External"/><Relationship Id="rId15842" Type="http://schemas.openxmlformats.org/officeDocument/2006/relationships/hyperlink" Target="http://secrets.rutgers.edu:8080/data/asl-ftp/asllvd/demos/verify_start_end_handshape_annotations//test_auto_move//signs_mov_separ_signers/Brady_2052.mov" TargetMode="External"/><Relationship Id="rId15843" Type="http://schemas.openxmlformats.org/officeDocument/2006/relationships/hyperlink" Target="http://csr.bu.edu/ftp/asl/asllvd/demos/verify_start_end_handshape_annotations//test_auto_move//signs_mov/3733.mov" TargetMode="External"/><Relationship Id="rId15844" Type="http://schemas.openxmlformats.org/officeDocument/2006/relationships/hyperlink" Target="http://csr.bu.edu/ftp/asl/asllvd/demos/verify_start_end_handshape_annotations//test_auto_move//signs_mov_separ_signers/Liz_3733.mov" TargetMode="External"/><Relationship Id="rId15845" Type="http://schemas.openxmlformats.org/officeDocument/2006/relationships/hyperlink" Target="http://secrets.rutgers.edu:8080/data/asl-ftp/asllvd/demos/verify_start_end_handshape_annotations//test_auto_move//signs_mov/3733.mov" TargetMode="External"/><Relationship Id="rId15846" Type="http://schemas.openxmlformats.org/officeDocument/2006/relationships/hyperlink" Target="http://secrets.rutgers.edu:8080/data/asl-ftp/asllvd/demos/verify_start_end_handshape_annotations//test_auto_move//signs_mov_separ_signers/Liz_3733.mov" TargetMode="External"/><Relationship Id="rId15847" Type="http://schemas.openxmlformats.org/officeDocument/2006/relationships/hyperlink" Target="http://csr.bu.edu/ftp/asl/asllvd/demos/verify_start_end_handshape_annotations//test_auto_move//signs_mov_separ_signers/Brady_3733.mov" TargetMode="External"/><Relationship Id="rId15848" Type="http://schemas.openxmlformats.org/officeDocument/2006/relationships/hyperlink" Target="http://secrets.rutgers.edu:8080/data/asl-ftp/asllvd/demos/verify_start_end_handshape_annotations//test_auto_move//signs_mov_separ_signers/Brady_3733.mov" TargetMode="External"/><Relationship Id="rId15849" Type="http://schemas.openxmlformats.org/officeDocument/2006/relationships/hyperlink" Target="http://csr.bu.edu/ftp/asl/asllvd/demos/verify_start_end_handshape_annotations//test_auto_move//signs_mov_separ_signers/Liz_2056.mov" TargetMode="External"/><Relationship Id="rId15850" Type="http://schemas.openxmlformats.org/officeDocument/2006/relationships/hyperlink" Target="http://secrets.rutgers.edu:8080/data/asl-ftp/asllvd/demos/verify_start_end_handshape_annotations//test_auto_move//signs_mov_separ_signers/Liz_2056.mov" TargetMode="External"/><Relationship Id="rId15851" Type="http://schemas.openxmlformats.org/officeDocument/2006/relationships/hyperlink" Target="http://csr.bu.edu/ftp/asl/asllvd/demos/verify_start_end_handshape_annotations//test_auto_move//signs_mov/2056.mov" TargetMode="External"/><Relationship Id="rId15852" Type="http://schemas.openxmlformats.org/officeDocument/2006/relationships/hyperlink" Target="http://csr.bu.edu/ftp/asl/asllvd/demos/verify_start_end_handshape_annotations//test_auto_move//signs_mov_separ_signers/Tyler_2056.mov" TargetMode="External"/><Relationship Id="rId15853" Type="http://schemas.openxmlformats.org/officeDocument/2006/relationships/hyperlink" Target="http://secrets.rutgers.edu:8080/data/asl-ftp/asllvd/demos/verify_start_end_handshape_annotations//test_auto_move//signs_mov/2056.mov" TargetMode="External"/><Relationship Id="rId15854" Type="http://schemas.openxmlformats.org/officeDocument/2006/relationships/hyperlink" Target="http://secrets.rutgers.edu:8080/data/asl-ftp/asllvd/demos/verify_start_end_handshape_annotations//test_auto_move//signs_mov_separ_signers/Tyler_2056.mov" TargetMode="External"/><Relationship Id="rId15855" Type="http://schemas.openxmlformats.org/officeDocument/2006/relationships/hyperlink" Target="http://csr.bu.edu/ftp/asl/asllvd/demos/verify_start_end_handshape_annotations//test_auto_move//signs_mov_separ_signers/Brady_2056.mov" TargetMode="External"/><Relationship Id="rId15856" Type="http://schemas.openxmlformats.org/officeDocument/2006/relationships/hyperlink" Target="http://secrets.rutgers.edu:8080/data/asl-ftp/asllvd/demos/verify_start_end_handshape_annotations//test_auto_move//signs_mov_separ_signers/Brady_2056.mov" TargetMode="External"/><Relationship Id="rId15857" Type="http://schemas.openxmlformats.org/officeDocument/2006/relationships/hyperlink" Target="http://csr.bu.edu/ftp/asl/asllvd/demos/verify_start_end_handshape_annotations//test_auto_move//signs_mov_separ_signers/Liz_2061.mov" TargetMode="External"/><Relationship Id="rId15858" Type="http://schemas.openxmlformats.org/officeDocument/2006/relationships/hyperlink" Target="http://secrets.rutgers.edu:8080/data/asl-ftp/asllvd/demos/verify_start_end_handshape_annotations//test_auto_move//signs_mov_separ_signers/Liz_2061.mov" TargetMode="External"/><Relationship Id="rId15859" Type="http://schemas.openxmlformats.org/officeDocument/2006/relationships/hyperlink" Target="http://csr.bu.edu/ftp/asl/asllvd/demos/verify_start_end_handshape_annotations//test_auto_move//signs_mov/2061_3735_merged.mov" TargetMode="External"/><Relationship Id="rId15860" Type="http://schemas.openxmlformats.org/officeDocument/2006/relationships/hyperlink" Target="http://csr.bu.edu/ftp/asl/asllvd/demos/verify_start_end_handshape_annotations//test_auto_move//signs_mov_separ_signers/Liz_3735.mov" TargetMode="External"/><Relationship Id="rId15861" Type="http://schemas.openxmlformats.org/officeDocument/2006/relationships/hyperlink" Target="http://secrets.rutgers.edu:8080/data/asl-ftp/asllvd/demos/verify_start_end_handshape_annotations//test_auto_move//signs_mov/2061_3735_merged.mov" TargetMode="External"/><Relationship Id="rId15862" Type="http://schemas.openxmlformats.org/officeDocument/2006/relationships/hyperlink" Target="http://secrets.rutgers.edu:8080/data/asl-ftp/asllvd/demos/verify_start_end_handshape_annotations//test_auto_move//signs_mov_separ_signers/Liz_3735.mov" TargetMode="External"/><Relationship Id="rId15863" Type="http://schemas.openxmlformats.org/officeDocument/2006/relationships/hyperlink" Target="http://csr.bu.edu/ftp/asl/asllvd/demos/verify_start_end_handshape_annotations//test_auto_move//signs_mov_separ_signers/Brady_2061.mov" TargetMode="External"/><Relationship Id="rId15864" Type="http://schemas.openxmlformats.org/officeDocument/2006/relationships/hyperlink" Target="http://secrets.rutgers.edu:8080/data/asl-ftp/asllvd/demos/verify_start_end_handshape_annotations//test_auto_move//signs_mov_separ_signers/Brady_2061.mov" TargetMode="External"/><Relationship Id="rId15865" Type="http://schemas.openxmlformats.org/officeDocument/2006/relationships/hyperlink" Target="http://csr.bu.edu/ftp/asl/asllvd/demos/verify_start_end_handshape_annotations//test_auto_move//signs_mov_separ_signers/Brady_3735.mov" TargetMode="External"/><Relationship Id="rId15866" Type="http://schemas.openxmlformats.org/officeDocument/2006/relationships/hyperlink" Target="http://secrets.rutgers.edu:8080/data/asl-ftp/asllvd/demos/verify_start_end_handshape_annotations//test_auto_move//signs_mov_separ_signers/Brady_3735.mov" TargetMode="External"/><Relationship Id="rId15867" Type="http://schemas.openxmlformats.org/officeDocument/2006/relationships/hyperlink" Target="http://csr.bu.edu/ftp/asl/asllvd/demos/verify_start_end_handshape_annotations//test_auto_move//signs_mov/3780.mov" TargetMode="External"/><Relationship Id="rId15868" Type="http://schemas.openxmlformats.org/officeDocument/2006/relationships/hyperlink" Target="http://csr.bu.edu/ftp/asl/asllvd/demos/verify_start_end_handshape_annotations//test_auto_move//signs_mov_separ_signers/Liz_3780.mov" TargetMode="External"/><Relationship Id="rId15869" Type="http://schemas.openxmlformats.org/officeDocument/2006/relationships/hyperlink" Target="http://secrets.rutgers.edu:8080/data/asl-ftp/asllvd/demos/verify_start_end_handshape_annotations//test_auto_move//signs_mov/3780.mov" TargetMode="External"/><Relationship Id="rId15870" Type="http://schemas.openxmlformats.org/officeDocument/2006/relationships/hyperlink" Target="http://secrets.rutgers.edu:8080/data/asl-ftp/asllvd/demos/verify_start_end_handshape_annotations//test_auto_move//signs_mov_separ_signers/Liz_3780.mov" TargetMode="External"/><Relationship Id="rId15871" Type="http://schemas.openxmlformats.org/officeDocument/2006/relationships/hyperlink" Target="http://csr.bu.edu/ftp/asl/asllvd/demos/verify_start_end_handshape_annotations//test_auto_move//signs_mov_separ_signers/Brady_3780.mov" TargetMode="External"/><Relationship Id="rId15872" Type="http://schemas.openxmlformats.org/officeDocument/2006/relationships/hyperlink" Target="http://secrets.rutgers.edu:8080/data/asl-ftp/asllvd/demos/verify_start_end_handshape_annotations//test_auto_move//signs_mov_separ_signers/Brady_3780.mov" TargetMode="External"/><Relationship Id="rId15873" Type="http://schemas.openxmlformats.org/officeDocument/2006/relationships/hyperlink" Target="http://csr.bu.edu/ftp/asl/asllvd/demos/verify_start_end_handshape_annotations//test_auto_move//signs_mov/2063.mov" TargetMode="External"/><Relationship Id="rId15874" Type="http://schemas.openxmlformats.org/officeDocument/2006/relationships/hyperlink" Target="http://csr.bu.edu/ftp/asl/asllvd/demos/verify_start_end_handshape_annotations//test_auto_move//signs_mov_separ_signers/Liz_2063.mov" TargetMode="External"/><Relationship Id="rId15875" Type="http://schemas.openxmlformats.org/officeDocument/2006/relationships/hyperlink" Target="http://secrets.rutgers.edu:8080/data/asl-ftp/asllvd/demos/verify_start_end_handshape_annotations//test_auto_move//signs_mov/2063.mov" TargetMode="External"/><Relationship Id="rId15876" Type="http://schemas.openxmlformats.org/officeDocument/2006/relationships/hyperlink" Target="http://secrets.rutgers.edu:8080/data/asl-ftp/asllvd/demos/verify_start_end_handshape_annotations//test_auto_move//signs_mov_separ_signers/Liz_2063.mov" TargetMode="External"/><Relationship Id="rId15877" Type="http://schemas.openxmlformats.org/officeDocument/2006/relationships/hyperlink" Target="http://csr.bu.edu/ftp/asl/asllvd/demos/verify_start_end_handshape_annotations//test_auto_move//signs_mov_separ_signers/Brady_2063.mov" TargetMode="External"/><Relationship Id="rId15878" Type="http://schemas.openxmlformats.org/officeDocument/2006/relationships/hyperlink" Target="http://secrets.rutgers.edu:8080/data/asl-ftp/asllvd/demos/verify_start_end_handshape_annotations//test_auto_move//signs_mov_separ_signers/Brady_2063.mov" TargetMode="External"/><Relationship Id="rId15879" Type="http://schemas.openxmlformats.org/officeDocument/2006/relationships/hyperlink" Target="http://csr.bu.edu/ftp/asl/asllvd/demos/verify_start_end_handshape_annotations//test_auto_move//signs_mov/2064.mov" TargetMode="External"/><Relationship Id="rId15880" Type="http://schemas.openxmlformats.org/officeDocument/2006/relationships/hyperlink" Target="http://csr.bu.edu/ftp/asl/asllvd/demos/verify_start_end_handshape_annotations//test_auto_move//signs_mov_separ_signers/Liz_2064.mov" TargetMode="External"/><Relationship Id="rId15881" Type="http://schemas.openxmlformats.org/officeDocument/2006/relationships/hyperlink" Target="http://secrets.rutgers.edu:8080/data/asl-ftp/asllvd/demos/verify_start_end_handshape_annotations//test_auto_move//signs_mov/2064.mov" TargetMode="External"/><Relationship Id="rId15882" Type="http://schemas.openxmlformats.org/officeDocument/2006/relationships/hyperlink" Target="http://secrets.rutgers.edu:8080/data/asl-ftp/asllvd/demos/verify_start_end_handshape_annotations//test_auto_move//signs_mov_separ_signers/Liz_2064.mov" TargetMode="External"/><Relationship Id="rId15883" Type="http://schemas.openxmlformats.org/officeDocument/2006/relationships/hyperlink" Target="http://csr.bu.edu/ftp/asl/asllvd/demos/verify_start_end_handshape_annotations//test_auto_move//signs_mov_separ_signers/Brady_2064.mov" TargetMode="External"/><Relationship Id="rId15884" Type="http://schemas.openxmlformats.org/officeDocument/2006/relationships/hyperlink" Target="http://secrets.rutgers.edu:8080/data/asl-ftp/asllvd/demos/verify_start_end_handshape_annotations//test_auto_move//signs_mov_separ_signers/Brady_2064.mov" TargetMode="External"/><Relationship Id="rId15885" Type="http://schemas.openxmlformats.org/officeDocument/2006/relationships/hyperlink" Target="http://csr.bu.edu/ftp/asl/asllvd/demos/verify_start_end_handshape_annotations//test_auto_move//signs_mov/2066.mov" TargetMode="External"/><Relationship Id="rId15886" Type="http://schemas.openxmlformats.org/officeDocument/2006/relationships/hyperlink" Target="http://csr.bu.edu/ftp/asl/asllvd/demos/verify_start_end_handshape_annotations//test_auto_move//signs_mov_separ_signers/Liz_2066.mov" TargetMode="External"/><Relationship Id="rId15887" Type="http://schemas.openxmlformats.org/officeDocument/2006/relationships/hyperlink" Target="http://secrets.rutgers.edu:8080/data/asl-ftp/asllvd/demos/verify_start_end_handshape_annotations//test_auto_move//signs_mov/2066.mov" TargetMode="External"/><Relationship Id="rId15888" Type="http://schemas.openxmlformats.org/officeDocument/2006/relationships/hyperlink" Target="http://secrets.rutgers.edu:8080/data/asl-ftp/asllvd/demos/verify_start_end_handshape_annotations//test_auto_move//signs_mov_separ_signers/Liz_2066.mov" TargetMode="External"/><Relationship Id="rId15889" Type="http://schemas.openxmlformats.org/officeDocument/2006/relationships/hyperlink" Target="http://csr.bu.edu/ftp/asl/asllvd/demos/verify_start_end_handshape_annotations//test_auto_move//signs_mov_separ_signers/Brady_2066.mov" TargetMode="External"/><Relationship Id="rId15890" Type="http://schemas.openxmlformats.org/officeDocument/2006/relationships/hyperlink" Target="http://secrets.rutgers.edu:8080/data/asl-ftp/asllvd/demos/verify_start_end_handshape_annotations//test_auto_move//signs_mov_separ_signers/Brady_2066.mov" TargetMode="External"/><Relationship Id="rId15891" Type="http://schemas.openxmlformats.org/officeDocument/2006/relationships/hyperlink" Target="http://csr.bu.edu/ftp/asl/asllvd/demos/verify_start_end_handshape_annotations//test_auto_move//signs_mov/2072.mov" TargetMode="External"/><Relationship Id="rId15892" Type="http://schemas.openxmlformats.org/officeDocument/2006/relationships/hyperlink" Target="http://csr.bu.edu/ftp/asl/asllvd/demos/verify_start_end_handshape_annotations//test_auto_move//signs_mov_separ_signers/Liz_2072.mov" TargetMode="External"/><Relationship Id="rId15893" Type="http://schemas.openxmlformats.org/officeDocument/2006/relationships/hyperlink" Target="http://secrets.rutgers.edu:8080/data/asl-ftp/asllvd/demos/verify_start_end_handshape_annotations//test_auto_move//signs_mov/2072.mov" TargetMode="External"/><Relationship Id="rId15894" Type="http://schemas.openxmlformats.org/officeDocument/2006/relationships/hyperlink" Target="http://secrets.rutgers.edu:8080/data/asl-ftp/asllvd/demos/verify_start_end_handshape_annotations//test_auto_move//signs_mov_separ_signers/Liz_2072.mov" TargetMode="External"/><Relationship Id="rId15895" Type="http://schemas.openxmlformats.org/officeDocument/2006/relationships/hyperlink" Target="http://csr.bu.edu/ftp/asl/asllvd/demos/verify_start_end_handshape_annotations//test_auto_move//signs_mov_separ_signers/Liz_2074.mov" TargetMode="External"/><Relationship Id="rId15896" Type="http://schemas.openxmlformats.org/officeDocument/2006/relationships/hyperlink" Target="http://secrets.rutgers.edu:8080/data/asl-ftp/asllvd/demos/verify_start_end_handshape_annotations//test_auto_move//signs_mov_separ_signers/Liz_2074.mov" TargetMode="External"/><Relationship Id="rId15897" Type="http://schemas.openxmlformats.org/officeDocument/2006/relationships/hyperlink" Target="http://csr.bu.edu/ftp/asl/asllvd/demos/verify_start_end_handshape_annotations//test_auto_move//signs_mov/2074.mov" TargetMode="External"/><Relationship Id="rId15898" Type="http://schemas.openxmlformats.org/officeDocument/2006/relationships/hyperlink" Target="http://csr.bu.edu/ftp/asl/asllvd/demos/verify_start_end_handshape_annotations//test_auto_move//signs_mov_separ_signers/Lana_2074.mov" TargetMode="External"/><Relationship Id="rId15899" Type="http://schemas.openxmlformats.org/officeDocument/2006/relationships/hyperlink" Target="http://secrets.rutgers.edu:8080/data/asl-ftp/asllvd/demos/verify_start_end_handshape_annotations//test_auto_move//signs_mov/2074.mov" TargetMode="External"/><Relationship Id="rId15900" Type="http://schemas.openxmlformats.org/officeDocument/2006/relationships/hyperlink" Target="http://secrets.rutgers.edu:8080/data/asl-ftp/asllvd/demos/verify_start_end_handshape_annotations//test_auto_move//signs_mov_separ_signers/Lana_2074.mov" TargetMode="External"/><Relationship Id="rId15901" Type="http://schemas.openxmlformats.org/officeDocument/2006/relationships/hyperlink" Target="http://csr.bu.edu/ftp/asl/asllvd/demos/verify_start_end_handshape_annotations//test_auto_move//signs_mov_separ_signers/Dana_2074.mov" TargetMode="External"/><Relationship Id="rId15902" Type="http://schemas.openxmlformats.org/officeDocument/2006/relationships/hyperlink" Target="http://secrets.rutgers.edu:8080/data/asl-ftp/asllvd/demos/verify_start_end_handshape_annotations//test_auto_move//signs_mov_separ_signers/Dana_2074.mov" TargetMode="External"/><Relationship Id="rId15903" Type="http://schemas.openxmlformats.org/officeDocument/2006/relationships/hyperlink" Target="http://csr.bu.edu/ftp/asl/asllvd/demos/verify_start_end_handshape_annotations//test_auto_move//signs_mov/2075.mov" TargetMode="External"/><Relationship Id="rId15904" Type="http://schemas.openxmlformats.org/officeDocument/2006/relationships/hyperlink" Target="http://csr.bu.edu/ftp/asl/asllvd/demos/verify_start_end_handshape_annotations//test_auto_move//signs_mov_separ_signers/Liz_2075.mov" TargetMode="External"/><Relationship Id="rId15905" Type="http://schemas.openxmlformats.org/officeDocument/2006/relationships/hyperlink" Target="http://secrets.rutgers.edu:8080/data/asl-ftp/asllvd/demos/verify_start_end_handshape_annotations//test_auto_move//signs_mov/2075.mov" TargetMode="External"/><Relationship Id="rId15906" Type="http://schemas.openxmlformats.org/officeDocument/2006/relationships/hyperlink" Target="http://secrets.rutgers.edu:8080/data/asl-ftp/asllvd/demos/verify_start_end_handshape_annotations//test_auto_move//signs_mov_separ_signers/Liz_2075.mov" TargetMode="External"/><Relationship Id="rId15907" Type="http://schemas.openxmlformats.org/officeDocument/2006/relationships/hyperlink" Target="http://csr.bu.edu/ftp/asl/asllvd/demos/verify_start_end_handshape_annotations//test_auto_move//signs_mov/5405.mov" TargetMode="External"/><Relationship Id="rId15908" Type="http://schemas.openxmlformats.org/officeDocument/2006/relationships/hyperlink" Target="http://csr.bu.edu/ftp/asl/asllvd/demos/verify_start_end_handshape_annotations//test_auto_move//signs_mov_separ_signers/Liz_5405.mov" TargetMode="External"/><Relationship Id="rId15909" Type="http://schemas.openxmlformats.org/officeDocument/2006/relationships/hyperlink" Target="http://secrets.rutgers.edu:8080/data/asl-ftp/asllvd/demos/verify_start_end_handshape_annotations//test_auto_move//signs_mov/5405.mov" TargetMode="External"/><Relationship Id="rId15910" Type="http://schemas.openxmlformats.org/officeDocument/2006/relationships/hyperlink" Target="http://secrets.rutgers.edu:8080/data/asl-ftp/asllvd/demos/verify_start_end_handshape_annotations//test_auto_move//signs_mov_separ_signers/Liz_5405.mov" TargetMode="External"/><Relationship Id="rId15911" Type="http://schemas.openxmlformats.org/officeDocument/2006/relationships/hyperlink" Target="http://csr.bu.edu/ftp/asl/asllvd/demos/verify_start_end_handshape_annotations//test_auto_move//signs_mov/2078.mov" TargetMode="External"/><Relationship Id="rId15912" Type="http://schemas.openxmlformats.org/officeDocument/2006/relationships/hyperlink" Target="http://csr.bu.edu/ftp/asl/asllvd/demos/verify_start_end_handshape_annotations//test_auto_move//signs_mov_separ_signers/Liz_2078.mov" TargetMode="External"/><Relationship Id="rId15913" Type="http://schemas.openxmlformats.org/officeDocument/2006/relationships/hyperlink" Target="http://secrets.rutgers.edu:8080/data/asl-ftp/asllvd/demos/verify_start_end_handshape_annotations//test_auto_move//signs_mov/2078.mov" TargetMode="External"/><Relationship Id="rId15914" Type="http://schemas.openxmlformats.org/officeDocument/2006/relationships/hyperlink" Target="http://secrets.rutgers.edu:8080/data/asl-ftp/asllvd/demos/verify_start_end_handshape_annotations//test_auto_move//signs_mov_separ_signers/Liz_2078.mov" TargetMode="External"/><Relationship Id="rId15915" Type="http://schemas.openxmlformats.org/officeDocument/2006/relationships/hyperlink" Target="http://csr.bu.edu/ftp/asl/asllvd/demos/verify_start_end_handshape_annotations//test_auto_move//signs_mov_separ_signers/Liz_2091.mov" TargetMode="External"/><Relationship Id="rId15916" Type="http://schemas.openxmlformats.org/officeDocument/2006/relationships/hyperlink" Target="http://secrets.rutgers.edu:8080/data/asl-ftp/asllvd/demos/verify_start_end_handshape_annotations//test_auto_move//signs_mov_separ_signers/Liz_2091.mov" TargetMode="External"/><Relationship Id="rId15917" Type="http://schemas.openxmlformats.org/officeDocument/2006/relationships/hyperlink" Target="http://csr.bu.edu/ftp/asl/asllvd/demos/verify_start_end_handshape_annotations//test_auto_move//signs_mov_separ_signers/Liz_3742.mov" TargetMode="External"/><Relationship Id="rId15918" Type="http://schemas.openxmlformats.org/officeDocument/2006/relationships/hyperlink" Target="http://secrets.rutgers.edu:8080/data/asl-ftp/asllvd/demos/verify_start_end_handshape_annotations//test_auto_move//signs_mov_separ_signers/Liz_3742.mov" TargetMode="External"/><Relationship Id="rId15919" Type="http://schemas.openxmlformats.org/officeDocument/2006/relationships/hyperlink" Target="http://csr.bu.edu/ftp/asl/asllvd/demos/verify_start_end_handshape_annotations//test_auto_move//signs_mov_separ_signers/Tyler_2091.mov" TargetMode="External"/><Relationship Id="rId15920" Type="http://schemas.openxmlformats.org/officeDocument/2006/relationships/hyperlink" Target="http://secrets.rutgers.edu:8080/data/asl-ftp/asllvd/demos/verify_start_end_handshape_annotations//test_auto_move//signs_mov_separ_signers/Tyler_2091.mov" TargetMode="External"/><Relationship Id="rId15921" Type="http://schemas.openxmlformats.org/officeDocument/2006/relationships/hyperlink" Target="http://csr.bu.edu/ftp/asl/asllvd/demos/verify_start_end_handshape_annotations//test_auto_move//signs_mov/2091_3742_3853_15094_merged.mov" TargetMode="External"/><Relationship Id="rId15922" Type="http://schemas.openxmlformats.org/officeDocument/2006/relationships/hyperlink" Target="http://csr.bu.edu/ftp/asl/asllvd/demos/verify_start_end_handshape_annotations//test_auto_move//signs_mov_separ_signers/Naomi_2091.mov" TargetMode="External"/><Relationship Id="rId15923" Type="http://schemas.openxmlformats.org/officeDocument/2006/relationships/hyperlink" Target="http://secrets.rutgers.edu:8080/data/asl-ftp/asllvd/demos/verify_start_end_handshape_annotations//test_auto_move//signs_mov/2091_3742_3853_15094_merged.mov" TargetMode="External"/><Relationship Id="rId15924" Type="http://schemas.openxmlformats.org/officeDocument/2006/relationships/hyperlink" Target="http://secrets.rutgers.edu:8080/data/asl-ftp/asllvd/demos/verify_start_end_handshape_annotations//test_auto_move//signs_mov_separ_signers/Naomi_2091.mov" TargetMode="External"/><Relationship Id="rId15925" Type="http://schemas.openxmlformats.org/officeDocument/2006/relationships/hyperlink" Target="http://csr.bu.edu/ftp/asl/asllvd/demos/verify_start_end_handshape_annotations//test_auto_move//signs_mov_separ_signers/Brady_2091.mov" TargetMode="External"/><Relationship Id="rId15926" Type="http://schemas.openxmlformats.org/officeDocument/2006/relationships/hyperlink" Target="http://secrets.rutgers.edu:8080/data/asl-ftp/asllvd/demos/verify_start_end_handshape_annotations//test_auto_move//signs_mov_separ_signers/Brady_2091.mov" TargetMode="External"/><Relationship Id="rId15927" Type="http://schemas.openxmlformats.org/officeDocument/2006/relationships/hyperlink" Target="http://csr.bu.edu/ftp/asl/asllvd/demos/verify_start_end_handshape_annotations//test_auto_move//signs_mov_separ_signers/Brady_3742.mov" TargetMode="External"/><Relationship Id="rId15928" Type="http://schemas.openxmlformats.org/officeDocument/2006/relationships/hyperlink" Target="http://secrets.rutgers.edu:8080/data/asl-ftp/asllvd/demos/verify_start_end_handshape_annotations//test_auto_move//signs_mov_separ_signers/Brady_3742.mov" TargetMode="External"/><Relationship Id="rId15929" Type="http://schemas.openxmlformats.org/officeDocument/2006/relationships/hyperlink" Target="http://csr.bu.edu/ftp/asl/asllvd/demos/verify_start_end_handshape_annotations//test_auto_move//signs_mov_separ_signers/Brady_3853.mov" TargetMode="External"/><Relationship Id="rId15930" Type="http://schemas.openxmlformats.org/officeDocument/2006/relationships/hyperlink" Target="http://secrets.rutgers.edu:8080/data/asl-ftp/asllvd/demos/verify_start_end_handshape_annotations//test_auto_move//signs_mov_separ_signers/Brady_3853.mov" TargetMode="External"/><Relationship Id="rId15931" Type="http://schemas.openxmlformats.org/officeDocument/2006/relationships/hyperlink" Target="http://csr.bu.edu/ftp/asl/asllvd/demos/verify_start_end_handshape_annotations//test_auto_move//signs_mov_separ_signers/Brady_15094.mov" TargetMode="External"/><Relationship Id="rId15932" Type="http://schemas.openxmlformats.org/officeDocument/2006/relationships/hyperlink" Target="http://secrets.rutgers.edu:8080/data/asl-ftp/asllvd/demos/verify_start_end_handshape_annotations//test_auto_move//signs_mov_separ_signers/Brady_15094.mov" TargetMode="External"/><Relationship Id="rId15933" Type="http://schemas.openxmlformats.org/officeDocument/2006/relationships/hyperlink" Target="http://csr.bu.edu/ftp/asl/asllvd/demos/verify_start_end_handshape_annotations//test_auto_move//signs_mov/15110.mov" TargetMode="External"/><Relationship Id="rId15934" Type="http://schemas.openxmlformats.org/officeDocument/2006/relationships/hyperlink" Target="http://csr.bu.edu/ftp/asl/asllvd/demos/verify_start_end_handshape_annotations//test_auto_move//signs_mov_separ_signers/Liz_15110.mov" TargetMode="External"/><Relationship Id="rId15935" Type="http://schemas.openxmlformats.org/officeDocument/2006/relationships/hyperlink" Target="http://secrets.rutgers.edu:8080/data/asl-ftp/asllvd/demos/verify_start_end_handshape_annotations//test_auto_move//signs_mov/15110.mov" TargetMode="External"/><Relationship Id="rId15936" Type="http://schemas.openxmlformats.org/officeDocument/2006/relationships/hyperlink" Target="http://secrets.rutgers.edu:8080/data/asl-ftp/asllvd/demos/verify_start_end_handshape_annotations//test_auto_move//signs_mov_separ_signers/Liz_15110.mov" TargetMode="External"/><Relationship Id="rId15937" Type="http://schemas.openxmlformats.org/officeDocument/2006/relationships/hyperlink" Target="http://csr.bu.edu/ftp/asl/asllvd/demos/verify_start_end_handshape_annotations//test_auto_move//signs_mov_separ_signers/Liz_2094.mov" TargetMode="External"/><Relationship Id="rId15938" Type="http://schemas.openxmlformats.org/officeDocument/2006/relationships/hyperlink" Target="http://secrets.rutgers.edu:8080/data/asl-ftp/asllvd/demos/verify_start_end_handshape_annotations//test_auto_move//signs_mov_separ_signers/Liz_2094.mov" TargetMode="External"/><Relationship Id="rId15939" Type="http://schemas.openxmlformats.org/officeDocument/2006/relationships/hyperlink" Target="http://csr.bu.edu/ftp/asl/asllvd/demos/verify_start_end_handshape_annotations//test_auto_move//signs_mov_separ_signers/Liz_3416.mov" TargetMode="External"/><Relationship Id="rId15940" Type="http://schemas.openxmlformats.org/officeDocument/2006/relationships/hyperlink" Target="http://secrets.rutgers.edu:8080/data/asl-ftp/asllvd/demos/verify_start_end_handshape_annotations//test_auto_move//signs_mov_separ_signers/Liz_3416.mov" TargetMode="External"/><Relationship Id="rId15941" Type="http://schemas.openxmlformats.org/officeDocument/2006/relationships/hyperlink" Target="http://csr.bu.edu/ftp/asl/asllvd/demos/verify_start_end_handshape_annotations//test_auto_move//signs_mov/2094_3416_3417_merged.mov" TargetMode="External"/><Relationship Id="rId15942" Type="http://schemas.openxmlformats.org/officeDocument/2006/relationships/hyperlink" Target="http://csr.bu.edu/ftp/asl/asllvd/demos/verify_start_end_handshape_annotations//test_auto_move//signs_mov_separ_signers/Brady_2094.mov" TargetMode="External"/><Relationship Id="rId15943" Type="http://schemas.openxmlformats.org/officeDocument/2006/relationships/hyperlink" Target="http://secrets.rutgers.edu:8080/data/asl-ftp/asllvd/demos/verify_start_end_handshape_annotations//test_auto_move//signs_mov/2094_3416_3417_merged.mov" TargetMode="External"/><Relationship Id="rId15944" Type="http://schemas.openxmlformats.org/officeDocument/2006/relationships/hyperlink" Target="http://secrets.rutgers.edu:8080/data/asl-ftp/asllvd/demos/verify_start_end_handshape_annotations//test_auto_move//signs_mov_separ_signers/Brady_2094.mov" TargetMode="External"/><Relationship Id="rId15945" Type="http://schemas.openxmlformats.org/officeDocument/2006/relationships/hyperlink" Target="http://csr.bu.edu/ftp/asl/asllvd/demos/verify_start_end_handshape_annotations//test_auto_move//signs_mov_separ_signers/Brady_3416.mov" TargetMode="External"/><Relationship Id="rId15946" Type="http://schemas.openxmlformats.org/officeDocument/2006/relationships/hyperlink" Target="http://secrets.rutgers.edu:8080/data/asl-ftp/asllvd/demos/verify_start_end_handshape_annotations//test_auto_move//signs_mov_separ_signers/Brady_3416.mov" TargetMode="External"/><Relationship Id="rId15947" Type="http://schemas.openxmlformats.org/officeDocument/2006/relationships/hyperlink" Target="http://csr.bu.edu/ftp/asl/asllvd/demos/verify_start_end_handshape_annotations//test_auto_move//signs_mov_separ_signers/Brady_3417.mov" TargetMode="External"/><Relationship Id="rId15948" Type="http://schemas.openxmlformats.org/officeDocument/2006/relationships/hyperlink" Target="http://secrets.rutgers.edu:8080/data/asl-ftp/asllvd/demos/verify_start_end_handshape_annotations//test_auto_move//signs_mov_separ_signers/Brady_3417.mov" TargetMode="External"/><Relationship Id="rId15949" Type="http://schemas.openxmlformats.org/officeDocument/2006/relationships/hyperlink" Target="http://csr.bu.edu/ftp/asl/asllvd/demos/verify_start_end_handshape_annotations//test_auto_move//signs_mov/16289.mov" TargetMode="External"/><Relationship Id="rId15950" Type="http://schemas.openxmlformats.org/officeDocument/2006/relationships/hyperlink" Target="http://csr.bu.edu/ftp/asl/asllvd/demos/verify_start_end_handshape_annotations//test_auto_move//signs_mov_separ_signers/Lana_16289.mov" TargetMode="External"/><Relationship Id="rId15951" Type="http://schemas.openxmlformats.org/officeDocument/2006/relationships/hyperlink" Target="http://secrets.rutgers.edu:8080/data/asl-ftp/asllvd/demos/verify_start_end_handshape_annotations//test_auto_move//signs_mov/16289.mov" TargetMode="External"/><Relationship Id="rId15952" Type="http://schemas.openxmlformats.org/officeDocument/2006/relationships/hyperlink" Target="http://secrets.rutgers.edu:8080/data/asl-ftp/asllvd/demos/verify_start_end_handshape_annotations//test_auto_move//signs_mov_separ_signers/Lana_16289.mov" TargetMode="External"/><Relationship Id="rId15953" Type="http://schemas.openxmlformats.org/officeDocument/2006/relationships/hyperlink" Target="http://csr.bu.edu/ftp/asl/asllvd/demos/verify_start_end_handshape_annotations//test_auto_move//signs_mov/16564.mov" TargetMode="External"/><Relationship Id="rId15954" Type="http://schemas.openxmlformats.org/officeDocument/2006/relationships/hyperlink" Target="http://csr.bu.edu/ftp/asl/asllvd/demos/verify_start_end_handshape_annotations//test_auto_move//signs_mov_separ_signers/Dana_16564.mov" TargetMode="External"/><Relationship Id="rId15955" Type="http://schemas.openxmlformats.org/officeDocument/2006/relationships/hyperlink" Target="http://secrets.rutgers.edu:8080/data/asl-ftp/asllvd/demos/verify_start_end_handshape_annotations//test_auto_move//signs_mov/16564.mov" TargetMode="External"/><Relationship Id="rId15956" Type="http://schemas.openxmlformats.org/officeDocument/2006/relationships/hyperlink" Target="http://secrets.rutgers.edu:8080/data/asl-ftp/asllvd/demos/verify_start_end_handshape_annotations//test_auto_move//signs_mov_separ_signers/Dana_16564.mov" TargetMode="External"/><Relationship Id="rId15957" Type="http://schemas.openxmlformats.org/officeDocument/2006/relationships/hyperlink" Target="http://csr.bu.edu/ftp/asl/asllvd/demos/verify_start_end_handshape_annotations//test_auto_move//signs_mov/2095.mov" TargetMode="External"/><Relationship Id="rId15958" Type="http://schemas.openxmlformats.org/officeDocument/2006/relationships/hyperlink" Target="http://csr.bu.edu/ftp/asl/asllvd/demos/verify_start_end_handshape_annotations//test_auto_move//signs_mov_separ_signers/Liz_2095.mov" TargetMode="External"/><Relationship Id="rId15959" Type="http://schemas.openxmlformats.org/officeDocument/2006/relationships/hyperlink" Target="http://secrets.rutgers.edu:8080/data/asl-ftp/asllvd/demos/verify_start_end_handshape_annotations//test_auto_move//signs_mov/2095.mov" TargetMode="External"/><Relationship Id="rId15960" Type="http://schemas.openxmlformats.org/officeDocument/2006/relationships/hyperlink" Target="http://secrets.rutgers.edu:8080/data/asl-ftp/asllvd/demos/verify_start_end_handshape_annotations//test_auto_move//signs_mov_separ_signers/Liz_2095.mov" TargetMode="External"/><Relationship Id="rId15961" Type="http://schemas.openxmlformats.org/officeDocument/2006/relationships/hyperlink" Target="http://csr.bu.edu/ftp/asl/asllvd/demos/verify_start_end_handshape_annotations//test_auto_move//signs_mov_separ_signers/Brady_2095.mov" TargetMode="External"/><Relationship Id="rId15962" Type="http://schemas.openxmlformats.org/officeDocument/2006/relationships/hyperlink" Target="http://secrets.rutgers.edu:8080/data/asl-ftp/asllvd/demos/verify_start_end_handshape_annotations//test_auto_move//signs_mov_separ_signers/Brady_2095.mov" TargetMode="External"/><Relationship Id="rId15963" Type="http://schemas.openxmlformats.org/officeDocument/2006/relationships/hyperlink" Target="http://csr.bu.edu/ftp/asl/asllvd/demos/verify_start_end_handshape_annotations//test_auto_move//signs_mov_separ_signers/Liz_2097.mov" TargetMode="External"/><Relationship Id="rId15964" Type="http://schemas.openxmlformats.org/officeDocument/2006/relationships/hyperlink" Target="http://secrets.rutgers.edu:8080/data/asl-ftp/asllvd/demos/verify_start_end_handshape_annotations//test_auto_move//signs_mov_separ_signers/Liz_2097.mov" TargetMode="External"/><Relationship Id="rId15965" Type="http://schemas.openxmlformats.org/officeDocument/2006/relationships/hyperlink" Target="http://csr.bu.edu/ftp/asl/asllvd/demos/verify_start_end_handshape_annotations//test_auto_move//signs_mov/2097_3743_merged.mov" TargetMode="External"/><Relationship Id="rId15966" Type="http://schemas.openxmlformats.org/officeDocument/2006/relationships/hyperlink" Target="http://csr.bu.edu/ftp/asl/asllvd/demos/verify_start_end_handshape_annotations//test_auto_move//signs_mov_separ_signers/Brady_2097.mov" TargetMode="External"/><Relationship Id="rId15967" Type="http://schemas.openxmlformats.org/officeDocument/2006/relationships/hyperlink" Target="http://secrets.rutgers.edu:8080/data/asl-ftp/asllvd/demos/verify_start_end_handshape_annotations//test_auto_move//signs_mov/2097_3743_merged.mov" TargetMode="External"/><Relationship Id="rId15968" Type="http://schemas.openxmlformats.org/officeDocument/2006/relationships/hyperlink" Target="http://secrets.rutgers.edu:8080/data/asl-ftp/asllvd/demos/verify_start_end_handshape_annotations//test_auto_move//signs_mov_separ_signers/Brady_2097.mov" TargetMode="External"/><Relationship Id="rId15969" Type="http://schemas.openxmlformats.org/officeDocument/2006/relationships/hyperlink" Target="http://csr.bu.edu/ftp/asl/asllvd/demos/verify_start_end_handshape_annotations//test_auto_move//signs_mov_separ_signers/Brady_3743.mov" TargetMode="External"/><Relationship Id="rId15970" Type="http://schemas.openxmlformats.org/officeDocument/2006/relationships/hyperlink" Target="http://secrets.rutgers.edu:8080/data/asl-ftp/asllvd/demos/verify_start_end_handshape_annotations//test_auto_move//signs_mov_separ_signers/Brady_3743.mov" TargetMode="External"/><Relationship Id="rId15971" Type="http://schemas.openxmlformats.org/officeDocument/2006/relationships/hyperlink" Target="http://csr.bu.edu/ftp/asl/asllvd/demos/verify_start_end_handshape_annotations//test_auto_move//signs_mov/5373.mov" TargetMode="External"/><Relationship Id="rId15972" Type="http://schemas.openxmlformats.org/officeDocument/2006/relationships/hyperlink" Target="http://csr.bu.edu/ftp/asl/asllvd/demos/verify_start_end_handshape_annotations//test_auto_move//signs_mov_separ_signers/Tyler_5373.mov" TargetMode="External"/><Relationship Id="rId15973" Type="http://schemas.openxmlformats.org/officeDocument/2006/relationships/hyperlink" Target="http://secrets.rutgers.edu:8080/data/asl-ftp/asllvd/demos/verify_start_end_handshape_annotations//test_auto_move//signs_mov/5373.mov" TargetMode="External"/><Relationship Id="rId15974" Type="http://schemas.openxmlformats.org/officeDocument/2006/relationships/hyperlink" Target="http://secrets.rutgers.edu:8080/data/asl-ftp/asllvd/demos/verify_start_end_handshape_annotations//test_auto_move//signs_mov_separ_signers/Tyler_5373.mov" TargetMode="External"/><Relationship Id="rId15975" Type="http://schemas.openxmlformats.org/officeDocument/2006/relationships/hyperlink" Target="http://csr.bu.edu/ftp/asl/asllvd/demos/verify_start_end_handshape_annotations//test_auto_move//signs_mov/15229.mov" TargetMode="External"/><Relationship Id="rId15976" Type="http://schemas.openxmlformats.org/officeDocument/2006/relationships/hyperlink" Target="http://csr.bu.edu/ftp/asl/asllvd/demos/verify_start_end_handshape_annotations//test_auto_move//signs_mov_separ_signers/Liz_15229.mov" TargetMode="External"/><Relationship Id="rId15977" Type="http://schemas.openxmlformats.org/officeDocument/2006/relationships/hyperlink" Target="http://secrets.rutgers.edu:8080/data/asl-ftp/asllvd/demos/verify_start_end_handshape_annotations//test_auto_move//signs_mov/15229.mov" TargetMode="External"/><Relationship Id="rId15978" Type="http://schemas.openxmlformats.org/officeDocument/2006/relationships/hyperlink" Target="http://secrets.rutgers.edu:8080/data/asl-ftp/asllvd/demos/verify_start_end_handshape_annotations//test_auto_move//signs_mov_separ_signers/Liz_15229.mov" TargetMode="External"/><Relationship Id="rId15979" Type="http://schemas.openxmlformats.org/officeDocument/2006/relationships/hyperlink" Target="http://csr.bu.edu/ftp/asl/asllvd/demos/verify_start_end_handshape_annotations//test_auto_move//signs_mov_separ_signers/Liz_16565.mov" TargetMode="External"/><Relationship Id="rId15980" Type="http://schemas.openxmlformats.org/officeDocument/2006/relationships/hyperlink" Target="http://secrets.rutgers.edu:8080/data/asl-ftp/asllvd/demos/verify_start_end_handshape_annotations//test_auto_move//signs_mov_separ_signers/Liz_16565.mov" TargetMode="External"/><Relationship Id="rId15981" Type="http://schemas.openxmlformats.org/officeDocument/2006/relationships/hyperlink" Target="http://csr.bu.edu/ftp/asl/asllvd/demos/verify_start_end_handshape_annotations//test_auto_move//signs_mov/16565.mov" TargetMode="External"/><Relationship Id="rId15982" Type="http://schemas.openxmlformats.org/officeDocument/2006/relationships/hyperlink" Target="http://csr.bu.edu/ftp/asl/asllvd/demos/verify_start_end_handshape_annotations//test_auto_move//signs_mov_separ_signers/Naomi_16565.mov" TargetMode="External"/><Relationship Id="rId15983" Type="http://schemas.openxmlformats.org/officeDocument/2006/relationships/hyperlink" Target="http://secrets.rutgers.edu:8080/data/asl-ftp/asllvd/demos/verify_start_end_handshape_annotations//test_auto_move//signs_mov/16565.mov" TargetMode="External"/><Relationship Id="rId15984" Type="http://schemas.openxmlformats.org/officeDocument/2006/relationships/hyperlink" Target="http://secrets.rutgers.edu:8080/data/asl-ftp/asllvd/demos/verify_start_end_handshape_annotations//test_auto_move//signs_mov_separ_signers/Naomi_16565.mov" TargetMode="External"/><Relationship Id="rId15985" Type="http://schemas.openxmlformats.org/officeDocument/2006/relationships/hyperlink" Target="http://csr.bu.edu/ftp/asl/asllvd/demos/verify_start_end_handshape_annotations//test_auto_move//signs_mov_separ_signers/Brady_16565.mov" TargetMode="External"/><Relationship Id="rId15986" Type="http://schemas.openxmlformats.org/officeDocument/2006/relationships/hyperlink" Target="http://secrets.rutgers.edu:8080/data/asl-ftp/asllvd/demos/verify_start_end_handshape_annotations//test_auto_move//signs_mov_separ_signers/Brady_16565.mov" TargetMode="External"/><Relationship Id="rId15987" Type="http://schemas.openxmlformats.org/officeDocument/2006/relationships/hyperlink" Target="http://csr.bu.edu/ftp/asl/asllvd/demos/verify_start_end_handshape_annotations//test_auto_move//signs_mov/2099.mov" TargetMode="External"/><Relationship Id="rId15988" Type="http://schemas.openxmlformats.org/officeDocument/2006/relationships/hyperlink" Target="http://csr.bu.edu/ftp/asl/asllvd/demos/verify_start_end_handshape_annotations//test_auto_move//signs_mov_separ_signers/Liz_2099.mov" TargetMode="External"/><Relationship Id="rId15989" Type="http://schemas.openxmlformats.org/officeDocument/2006/relationships/hyperlink" Target="http://secrets.rutgers.edu:8080/data/asl-ftp/asllvd/demos/verify_start_end_handshape_annotations//test_auto_move//signs_mov/2099.mov" TargetMode="External"/><Relationship Id="rId15990" Type="http://schemas.openxmlformats.org/officeDocument/2006/relationships/hyperlink" Target="http://secrets.rutgers.edu:8080/data/asl-ftp/asllvd/demos/verify_start_end_handshape_annotations//test_auto_move//signs_mov_separ_signers/Liz_2099.mov" TargetMode="External"/><Relationship Id="rId15991" Type="http://schemas.openxmlformats.org/officeDocument/2006/relationships/hyperlink" Target="http://csr.bu.edu/ftp/asl/asllvd/demos/verify_start_end_handshape_annotations//test_auto_move//signs_mov_separ_signers/Brady_2099.mov" TargetMode="External"/><Relationship Id="rId15992" Type="http://schemas.openxmlformats.org/officeDocument/2006/relationships/hyperlink" Target="http://secrets.rutgers.edu:8080/data/asl-ftp/asllvd/demos/verify_start_end_handshape_annotations//test_auto_move//signs_mov_separ_signers/Brady_2099.mov" TargetMode="External"/><Relationship Id="rId15993" Type="http://schemas.openxmlformats.org/officeDocument/2006/relationships/hyperlink" Target="http://csr.bu.edu/ftp/asl/asllvd/demos/verify_start_end_handshape_annotations//test_auto_move//signs_mov_separ_signers/Liz_2100.mov" TargetMode="External"/><Relationship Id="rId15994" Type="http://schemas.openxmlformats.org/officeDocument/2006/relationships/hyperlink" Target="http://secrets.rutgers.edu:8080/data/asl-ftp/asllvd/demos/verify_start_end_handshape_annotations//test_auto_move//signs_mov_separ_signers/Liz_2100.mov" TargetMode="External"/><Relationship Id="rId15995" Type="http://schemas.openxmlformats.org/officeDocument/2006/relationships/hyperlink" Target="http://csr.bu.edu/ftp/asl/asllvd/demos/verify_start_end_handshape_annotations//test_auto_move//signs_mov/2100.mov" TargetMode="External"/><Relationship Id="rId15996" Type="http://schemas.openxmlformats.org/officeDocument/2006/relationships/hyperlink" Target="http://csr.bu.edu/ftp/asl/asllvd/demos/verify_start_end_handshape_annotations//test_auto_move//signs_mov_separ_signers/Brady_2100.mov" TargetMode="External"/><Relationship Id="rId15997" Type="http://schemas.openxmlformats.org/officeDocument/2006/relationships/hyperlink" Target="http://secrets.rutgers.edu:8080/data/asl-ftp/asllvd/demos/verify_start_end_handshape_annotations//test_auto_move//signs_mov/2100.mov" TargetMode="External"/><Relationship Id="rId15998" Type="http://schemas.openxmlformats.org/officeDocument/2006/relationships/hyperlink" Target="http://secrets.rutgers.edu:8080/data/asl-ftp/asllvd/demos/verify_start_end_handshape_annotations//test_auto_move//signs_mov_separ_signers/Brady_2100.mov" TargetMode="External"/><Relationship Id="rId15999" Type="http://schemas.openxmlformats.org/officeDocument/2006/relationships/hyperlink" Target="http://csr.bu.edu/ftp/asl/asllvd/demos/verify_start_end_handshape_annotations//test_auto_move//signs_mov_separ_signers/Lana_2100.mov" TargetMode="External"/><Relationship Id="rId16000" Type="http://schemas.openxmlformats.org/officeDocument/2006/relationships/hyperlink" Target="http://secrets.rutgers.edu:8080/data/asl-ftp/asllvd/demos/verify_start_end_handshape_annotations//test_auto_move//signs_mov_separ_signers/Lana_2100.mov" TargetMode="External"/><Relationship Id="rId16001" Type="http://schemas.openxmlformats.org/officeDocument/2006/relationships/hyperlink" Target="http://csr.bu.edu/ftp/asl/asllvd/demos/verify_start_end_handshape_annotations//test_auto_move//signs_mov_separ_signers/Dana_2100.mov" TargetMode="External"/><Relationship Id="rId16002" Type="http://schemas.openxmlformats.org/officeDocument/2006/relationships/hyperlink" Target="http://secrets.rutgers.edu:8080/data/asl-ftp/asllvd/demos/verify_start_end_handshape_annotations//test_auto_move//signs_mov_separ_signers/Dana_2100.mov" TargetMode="External"/><Relationship Id="rId16003" Type="http://schemas.openxmlformats.org/officeDocument/2006/relationships/hyperlink" Target="http://csr.bu.edu/ftp/asl/asllvd/demos/verify_start_end_handshape_annotations//test_auto_move//signs_mov_separ_signers/Liz_16191.mov" TargetMode="External"/><Relationship Id="rId16004" Type="http://schemas.openxmlformats.org/officeDocument/2006/relationships/hyperlink" Target="http://secrets.rutgers.edu:8080/data/asl-ftp/asllvd/demos/verify_start_end_handshape_annotations//test_auto_move//signs_mov_separ_signers/Liz_16191.mov" TargetMode="External"/><Relationship Id="rId16005" Type="http://schemas.openxmlformats.org/officeDocument/2006/relationships/hyperlink" Target="http://csr.bu.edu/ftp/asl/asllvd/demos/verify_start_end_handshape_annotations//test_auto_move//signs_mov/16191.mov" TargetMode="External"/><Relationship Id="rId16006" Type="http://schemas.openxmlformats.org/officeDocument/2006/relationships/hyperlink" Target="http://csr.bu.edu/ftp/asl/asllvd/demos/verify_start_end_handshape_annotations//test_auto_move//signs_mov_separ_signers/Tyler_16191.mov" TargetMode="External"/><Relationship Id="rId16007" Type="http://schemas.openxmlformats.org/officeDocument/2006/relationships/hyperlink" Target="http://secrets.rutgers.edu:8080/data/asl-ftp/asllvd/demos/verify_start_end_handshape_annotations//test_auto_move//signs_mov/16191.mov" TargetMode="External"/><Relationship Id="rId16008" Type="http://schemas.openxmlformats.org/officeDocument/2006/relationships/hyperlink" Target="http://secrets.rutgers.edu:8080/data/asl-ftp/asllvd/demos/verify_start_end_handshape_annotations//test_auto_move//signs_mov_separ_signers/Tyler_16191.mov" TargetMode="External"/><Relationship Id="rId16009" Type="http://schemas.openxmlformats.org/officeDocument/2006/relationships/hyperlink" Target="http://csr.bu.edu/ftp/asl/asllvd/demos/verify_start_end_handshape_annotations//test_auto_move//signs_mov_separ_signers/Naomi_16191.mov" TargetMode="External"/><Relationship Id="rId16010" Type="http://schemas.openxmlformats.org/officeDocument/2006/relationships/hyperlink" Target="http://secrets.rutgers.edu:8080/data/asl-ftp/asllvd/demos/verify_start_end_handshape_annotations//test_auto_move//signs_mov_separ_signers/Naomi_16191.mov" TargetMode="External"/><Relationship Id="rId16011" Type="http://schemas.openxmlformats.org/officeDocument/2006/relationships/hyperlink" Target="http://csr.bu.edu/ftp/asl/asllvd/demos/verify_start_end_handshape_annotations//test_auto_move//signs_mov_separ_signers/Brady_16191.mov" TargetMode="External"/><Relationship Id="rId16012" Type="http://schemas.openxmlformats.org/officeDocument/2006/relationships/hyperlink" Target="http://secrets.rutgers.edu:8080/data/asl-ftp/asllvd/demos/verify_start_end_handshape_annotations//test_auto_move//signs_mov_separ_signers/Brady_16191.mov" TargetMode="External"/><Relationship Id="rId16013" Type="http://schemas.openxmlformats.org/officeDocument/2006/relationships/hyperlink" Target="http://csr.bu.edu/ftp/asl/asllvd/demos/verify_start_end_handshape_annotations//test_auto_move//signs_mov/2111.mov" TargetMode="External"/><Relationship Id="rId16014" Type="http://schemas.openxmlformats.org/officeDocument/2006/relationships/hyperlink" Target="http://csr.bu.edu/ftp/asl/asllvd/demos/verify_start_end_handshape_annotations//test_auto_move//signs_mov_separ_signers/Liz_2111.mov" TargetMode="External"/><Relationship Id="rId16015" Type="http://schemas.openxmlformats.org/officeDocument/2006/relationships/hyperlink" Target="http://secrets.rutgers.edu:8080/data/asl-ftp/asllvd/demos/verify_start_end_handshape_annotations//test_auto_move//signs_mov/2111.mov" TargetMode="External"/><Relationship Id="rId16016" Type="http://schemas.openxmlformats.org/officeDocument/2006/relationships/hyperlink" Target="http://secrets.rutgers.edu:8080/data/asl-ftp/asllvd/demos/verify_start_end_handshape_annotations//test_auto_move//signs_mov_separ_signers/Liz_2111.mov" TargetMode="External"/><Relationship Id="rId16017" Type="http://schemas.openxmlformats.org/officeDocument/2006/relationships/hyperlink" Target="http://csr.bu.edu/ftp/asl/asllvd/demos/verify_start_end_handshape_annotations//test_auto_move//signs_mov_separ_signers/Brady_2111.mov" TargetMode="External"/><Relationship Id="rId16018" Type="http://schemas.openxmlformats.org/officeDocument/2006/relationships/hyperlink" Target="http://secrets.rutgers.edu:8080/data/asl-ftp/asllvd/demos/verify_start_end_handshape_annotations//test_auto_move//signs_mov_separ_signers/Brady_2111.mov" TargetMode="External"/><Relationship Id="rId16019" Type="http://schemas.openxmlformats.org/officeDocument/2006/relationships/hyperlink" Target="http://csr.bu.edu/ftp/asl/asllvd/demos/verify_start_end_handshape_annotations//test_auto_move//signs_mov/2112.mov" TargetMode="External"/><Relationship Id="rId16020" Type="http://schemas.openxmlformats.org/officeDocument/2006/relationships/hyperlink" Target="http://csr.bu.edu/ftp/asl/asllvd/demos/verify_start_end_handshape_annotations//test_auto_move//signs_mov_separ_signers/Liz_2112.mov" TargetMode="External"/><Relationship Id="rId16021" Type="http://schemas.openxmlformats.org/officeDocument/2006/relationships/hyperlink" Target="http://secrets.rutgers.edu:8080/data/asl-ftp/asllvd/demos/verify_start_end_handshape_annotations//test_auto_move//signs_mov/2112.mov" TargetMode="External"/><Relationship Id="rId16022" Type="http://schemas.openxmlformats.org/officeDocument/2006/relationships/hyperlink" Target="http://secrets.rutgers.edu:8080/data/asl-ftp/asllvd/demos/verify_start_end_handshape_annotations//test_auto_move//signs_mov_separ_signers/Liz_2112.mov" TargetMode="External"/><Relationship Id="rId16023" Type="http://schemas.openxmlformats.org/officeDocument/2006/relationships/hyperlink" Target="http://csr.bu.edu/ftp/asl/asllvd/demos/verify_start_end_handshape_annotations//test_auto_move//signs_mov/16290.mov" TargetMode="External"/><Relationship Id="rId16024" Type="http://schemas.openxmlformats.org/officeDocument/2006/relationships/hyperlink" Target="http://csr.bu.edu/ftp/asl/asllvd/demos/verify_start_end_handshape_annotations//test_auto_move//signs_mov_separ_signers/Brady_16290.mov" TargetMode="External"/><Relationship Id="rId16025" Type="http://schemas.openxmlformats.org/officeDocument/2006/relationships/hyperlink" Target="http://secrets.rutgers.edu:8080/data/asl-ftp/asllvd/demos/verify_start_end_handshape_annotations//test_auto_move//signs_mov/16290.mov" TargetMode="External"/><Relationship Id="rId16026" Type="http://schemas.openxmlformats.org/officeDocument/2006/relationships/hyperlink" Target="http://secrets.rutgers.edu:8080/data/asl-ftp/asllvd/demos/verify_start_end_handshape_annotations//test_auto_move//signs_mov_separ_signers/Brady_16290.mov" TargetMode="External"/><Relationship Id="rId16027" Type="http://schemas.openxmlformats.org/officeDocument/2006/relationships/hyperlink" Target="http://csr.bu.edu/ftp/asl/asllvd/demos/verify_start_end_handshape_annotations//test_auto_move//signs_mov_separ_signers/Liz_2117.mov" TargetMode="External"/><Relationship Id="rId16028" Type="http://schemas.openxmlformats.org/officeDocument/2006/relationships/hyperlink" Target="http://secrets.rutgers.edu:8080/data/asl-ftp/asllvd/demos/verify_start_end_handshape_annotations//test_auto_move//signs_mov_separ_signers/Liz_2117.mov" TargetMode="External"/><Relationship Id="rId16029" Type="http://schemas.openxmlformats.org/officeDocument/2006/relationships/hyperlink" Target="http://csr.bu.edu/ftp/asl/asllvd/demos/verify_start_end_handshape_annotations//test_auto_move//signs_mov/2117_5356_merged.mov" TargetMode="External"/><Relationship Id="rId16030" Type="http://schemas.openxmlformats.org/officeDocument/2006/relationships/hyperlink" Target="http://csr.bu.edu/ftp/asl/asllvd/demos/verify_start_end_handshape_annotations//test_auto_move//signs_mov_separ_signers/Brady_2117.mov" TargetMode="External"/><Relationship Id="rId16031" Type="http://schemas.openxmlformats.org/officeDocument/2006/relationships/hyperlink" Target="http://secrets.rutgers.edu:8080/data/asl-ftp/asllvd/demos/verify_start_end_handshape_annotations//test_auto_move//signs_mov/2117_5356_merged.mov" TargetMode="External"/><Relationship Id="rId16032" Type="http://schemas.openxmlformats.org/officeDocument/2006/relationships/hyperlink" Target="http://secrets.rutgers.edu:8080/data/asl-ftp/asllvd/demos/verify_start_end_handshape_annotations//test_auto_move//signs_mov_separ_signers/Brady_2117.mov" TargetMode="External"/><Relationship Id="rId16033" Type="http://schemas.openxmlformats.org/officeDocument/2006/relationships/hyperlink" Target="http://csr.bu.edu/ftp/asl/asllvd/demos/verify_start_end_handshape_annotations//test_auto_move//signs_mov_separ_signers/Brady_5356.mov" TargetMode="External"/><Relationship Id="rId16034" Type="http://schemas.openxmlformats.org/officeDocument/2006/relationships/hyperlink" Target="http://secrets.rutgers.edu:8080/data/asl-ftp/asllvd/demos/verify_start_end_handshape_annotations//test_auto_move//signs_mov_separ_signers/Brady_5356.mov" TargetMode="External"/><Relationship Id="rId16035" Type="http://schemas.openxmlformats.org/officeDocument/2006/relationships/hyperlink" Target="http://csr.bu.edu/ftp/asl/asllvd/demos/verify_start_end_handshape_annotations//test_auto_move//signs_mov/5900.mov" TargetMode="External"/><Relationship Id="rId16036" Type="http://schemas.openxmlformats.org/officeDocument/2006/relationships/hyperlink" Target="http://csr.bu.edu/ftp/asl/asllvd/demos/verify_start_end_handshape_annotations//test_auto_move//signs_mov_separ_signers/Liz_5900.mov" TargetMode="External"/><Relationship Id="rId16037" Type="http://schemas.openxmlformats.org/officeDocument/2006/relationships/hyperlink" Target="http://secrets.rutgers.edu:8080/data/asl-ftp/asllvd/demos/verify_start_end_handshape_annotations//test_auto_move//signs_mov/5900.mov" TargetMode="External"/><Relationship Id="rId16038" Type="http://schemas.openxmlformats.org/officeDocument/2006/relationships/hyperlink" Target="http://secrets.rutgers.edu:8080/data/asl-ftp/asllvd/demos/verify_start_end_handshape_annotations//test_auto_move//signs_mov_separ_signers/Liz_5900.mov" TargetMode="External"/><Relationship Id="rId16039" Type="http://schemas.openxmlformats.org/officeDocument/2006/relationships/hyperlink" Target="http://csr.bu.edu/ftp/asl/asllvd/demos/verify_start_end_handshape_annotations//test_auto_move//signs_mov_separ_signers/Brady_5900.mov" TargetMode="External"/><Relationship Id="rId16040" Type="http://schemas.openxmlformats.org/officeDocument/2006/relationships/hyperlink" Target="http://secrets.rutgers.edu:8080/data/asl-ftp/asllvd/demos/verify_start_end_handshape_annotations//test_auto_move//signs_mov_separ_signers/Brady_5900.mov" TargetMode="External"/><Relationship Id="rId16041" Type="http://schemas.openxmlformats.org/officeDocument/2006/relationships/hyperlink" Target="http://csr.bu.edu/ftp/asl/asllvd/demos/verify_start_end_handshape_annotations//test_auto_move//signs_mov/2118.mov" TargetMode="External"/><Relationship Id="rId16042" Type="http://schemas.openxmlformats.org/officeDocument/2006/relationships/hyperlink" Target="http://csr.bu.edu/ftp/asl/asllvd/demos/verify_start_end_handshape_annotations//test_auto_move//signs_mov_separ_signers/Liz_2118.mov" TargetMode="External"/><Relationship Id="rId16043" Type="http://schemas.openxmlformats.org/officeDocument/2006/relationships/hyperlink" Target="http://secrets.rutgers.edu:8080/data/asl-ftp/asllvd/demos/verify_start_end_handshape_annotations//test_auto_move//signs_mov/2118.mov" TargetMode="External"/><Relationship Id="rId16044" Type="http://schemas.openxmlformats.org/officeDocument/2006/relationships/hyperlink" Target="http://secrets.rutgers.edu:8080/data/asl-ftp/asllvd/demos/verify_start_end_handshape_annotations//test_auto_move//signs_mov_separ_signers/Liz_2118.mov" TargetMode="External"/><Relationship Id="rId16045" Type="http://schemas.openxmlformats.org/officeDocument/2006/relationships/hyperlink" Target="http://csr.bu.edu/ftp/asl/asllvd/demos/verify_start_end_handshape_annotations//test_auto_move//signs_mov_separ_signers/Brady_2118.mov" TargetMode="External"/><Relationship Id="rId16046" Type="http://schemas.openxmlformats.org/officeDocument/2006/relationships/hyperlink" Target="http://secrets.rutgers.edu:8080/data/asl-ftp/asllvd/demos/verify_start_end_handshape_annotations//test_auto_move//signs_mov_separ_signers/Brady_2118.mov" TargetMode="External"/><Relationship Id="rId16047" Type="http://schemas.openxmlformats.org/officeDocument/2006/relationships/hyperlink" Target="http://csr.bu.edu/ftp/asl/asllvd/demos/verify_start_end_handshape_annotations//test_auto_move//signs_mov_separ_signers/Liz_15501.mov" TargetMode="External"/><Relationship Id="rId16048" Type="http://schemas.openxmlformats.org/officeDocument/2006/relationships/hyperlink" Target="http://secrets.rutgers.edu:8080/data/asl-ftp/asllvd/demos/verify_start_end_handshape_annotations//test_auto_move//signs_mov_separ_signers/Liz_15501.mov" TargetMode="External"/><Relationship Id="rId16049" Type="http://schemas.openxmlformats.org/officeDocument/2006/relationships/hyperlink" Target="http://csr.bu.edu/ftp/asl/asllvd/demos/verify_start_end_handshape_annotations//test_auto_move//signs_mov/15501_15513_merged.mov" TargetMode="External"/><Relationship Id="rId16050" Type="http://schemas.openxmlformats.org/officeDocument/2006/relationships/hyperlink" Target="http://csr.bu.edu/ftp/asl/asllvd/demos/verify_start_end_handshape_annotations//test_auto_move//signs_mov_separ_signers/Brady_15501.mov" TargetMode="External"/><Relationship Id="rId16051" Type="http://schemas.openxmlformats.org/officeDocument/2006/relationships/hyperlink" Target="http://secrets.rutgers.edu:8080/data/asl-ftp/asllvd/demos/verify_start_end_handshape_annotations//test_auto_move//signs_mov/15501_15513_merged.mov" TargetMode="External"/><Relationship Id="rId16052" Type="http://schemas.openxmlformats.org/officeDocument/2006/relationships/hyperlink" Target="http://secrets.rutgers.edu:8080/data/asl-ftp/asllvd/demos/verify_start_end_handshape_annotations//test_auto_move//signs_mov_separ_signers/Brady_15501.mov" TargetMode="External"/><Relationship Id="rId16053" Type="http://schemas.openxmlformats.org/officeDocument/2006/relationships/hyperlink" Target="http://csr.bu.edu/ftp/asl/asllvd/demos/verify_start_end_handshape_annotations//test_auto_move//signs_mov_separ_signers/Brady_15513.mov" TargetMode="External"/><Relationship Id="rId16054" Type="http://schemas.openxmlformats.org/officeDocument/2006/relationships/hyperlink" Target="http://secrets.rutgers.edu:8080/data/asl-ftp/asllvd/demos/verify_start_end_handshape_annotations//test_auto_move//signs_mov_separ_signers/Brady_15513.mov" TargetMode="External"/><Relationship Id="rId16055" Type="http://schemas.openxmlformats.org/officeDocument/2006/relationships/hyperlink" Target="http://csr.bu.edu/ftp/asl/asllvd/demos/verify_start_end_handshape_annotations//test_auto_move//signs_mov/2120.mov" TargetMode="External"/><Relationship Id="rId16056" Type="http://schemas.openxmlformats.org/officeDocument/2006/relationships/hyperlink" Target="http://csr.bu.edu/ftp/asl/asllvd/demos/verify_start_end_handshape_annotations//test_auto_move//signs_mov_separ_signers/Liz_2120.mov" TargetMode="External"/><Relationship Id="rId16057" Type="http://schemas.openxmlformats.org/officeDocument/2006/relationships/hyperlink" Target="http://secrets.rutgers.edu:8080/data/asl-ftp/asllvd/demos/verify_start_end_handshape_annotations//test_auto_move//signs_mov/2120.mov" TargetMode="External"/><Relationship Id="rId16058" Type="http://schemas.openxmlformats.org/officeDocument/2006/relationships/hyperlink" Target="http://secrets.rutgers.edu:8080/data/asl-ftp/asllvd/demos/verify_start_end_handshape_annotations//test_auto_move//signs_mov_separ_signers/Liz_2120.mov" TargetMode="External"/><Relationship Id="rId16059" Type="http://schemas.openxmlformats.org/officeDocument/2006/relationships/hyperlink" Target="http://csr.bu.edu/ftp/asl/asllvd/demos/verify_start_end_handshape_annotations//test_auto_move//signs_mov_separ_signers/Brady_2120.mov" TargetMode="External"/><Relationship Id="rId16060" Type="http://schemas.openxmlformats.org/officeDocument/2006/relationships/hyperlink" Target="http://secrets.rutgers.edu:8080/data/asl-ftp/asllvd/demos/verify_start_end_handshape_annotations//test_auto_move//signs_mov_separ_signers/Brady_2120.mov" TargetMode="External"/><Relationship Id="rId16061" Type="http://schemas.openxmlformats.org/officeDocument/2006/relationships/hyperlink" Target="http://csr.bu.edu/ftp/asl/asllvd/demos/verify_start_end_handshape_annotations//test_auto_move//signs_mov/2121.mov" TargetMode="External"/><Relationship Id="rId16062" Type="http://schemas.openxmlformats.org/officeDocument/2006/relationships/hyperlink" Target="http://csr.bu.edu/ftp/asl/asllvd/demos/verify_start_end_handshape_annotations//test_auto_move//signs_mov_separ_signers/Liz_2121.mov" TargetMode="External"/><Relationship Id="rId16063" Type="http://schemas.openxmlformats.org/officeDocument/2006/relationships/hyperlink" Target="http://secrets.rutgers.edu:8080/data/asl-ftp/asllvd/demos/verify_start_end_handshape_annotations//test_auto_move//signs_mov/2121.mov" TargetMode="External"/><Relationship Id="rId16064" Type="http://schemas.openxmlformats.org/officeDocument/2006/relationships/hyperlink" Target="http://secrets.rutgers.edu:8080/data/asl-ftp/asllvd/demos/verify_start_end_handshape_annotations//test_auto_move//signs_mov_separ_signers/Liz_2121.mov" TargetMode="External"/><Relationship Id="rId16065" Type="http://schemas.openxmlformats.org/officeDocument/2006/relationships/hyperlink" Target="http://csr.bu.edu/ftp/asl/asllvd/demos/verify_start_end_handshape_annotations//test_auto_move//signs_mov/16291.mov" TargetMode="External"/><Relationship Id="rId16066" Type="http://schemas.openxmlformats.org/officeDocument/2006/relationships/hyperlink" Target="http://csr.bu.edu/ftp/asl/asllvd/demos/verify_start_end_handshape_annotations//test_auto_move//signs_mov_separ_signers/Brady_16291.mov" TargetMode="External"/><Relationship Id="rId16067" Type="http://schemas.openxmlformats.org/officeDocument/2006/relationships/hyperlink" Target="http://secrets.rutgers.edu:8080/data/asl-ftp/asllvd/demos/verify_start_end_handshape_annotations//test_auto_move//signs_mov/16291.mov" TargetMode="External"/><Relationship Id="rId16068" Type="http://schemas.openxmlformats.org/officeDocument/2006/relationships/hyperlink" Target="http://secrets.rutgers.edu:8080/data/asl-ftp/asllvd/demos/verify_start_end_handshape_annotations//test_auto_move//signs_mov_separ_signers/Brady_16291.mov" TargetMode="External"/><Relationship Id="rId16069" Type="http://schemas.openxmlformats.org/officeDocument/2006/relationships/hyperlink" Target="http://csr.bu.edu/ftp/asl/asllvd/demos/verify_start_end_handshape_annotations//test_auto_move//signs_mov_separ_signers/Liz_2123.mov" TargetMode="External"/><Relationship Id="rId16070" Type="http://schemas.openxmlformats.org/officeDocument/2006/relationships/hyperlink" Target="http://secrets.rutgers.edu:8080/data/asl-ftp/asllvd/demos/verify_start_end_handshape_annotations//test_auto_move//signs_mov_separ_signers/Liz_2123.mov" TargetMode="External"/><Relationship Id="rId16071" Type="http://schemas.openxmlformats.org/officeDocument/2006/relationships/hyperlink" Target="http://csr.bu.edu/ftp/asl/asllvd/demos/verify_start_end_handshape_annotations//test_auto_move//signs_mov_separ_signers/Liz_3836.mov" TargetMode="External"/><Relationship Id="rId16072" Type="http://schemas.openxmlformats.org/officeDocument/2006/relationships/hyperlink" Target="http://secrets.rutgers.edu:8080/data/asl-ftp/asllvd/demos/verify_start_end_handshape_annotations//test_auto_move//signs_mov_separ_signers/Liz_3836.mov" TargetMode="External"/><Relationship Id="rId16073" Type="http://schemas.openxmlformats.org/officeDocument/2006/relationships/hyperlink" Target="http://csr.bu.edu/ftp/asl/asllvd/demos/verify_start_end_handshape_annotations//test_auto_move//signs_mov/2123_3836_5913_merged.mov" TargetMode="External"/><Relationship Id="rId16074" Type="http://schemas.openxmlformats.org/officeDocument/2006/relationships/hyperlink" Target="http://csr.bu.edu/ftp/asl/asllvd/demos/verify_start_end_handshape_annotations//test_auto_move//signs_mov_separ_signers/Brady_2123.mov" TargetMode="External"/><Relationship Id="rId16075" Type="http://schemas.openxmlformats.org/officeDocument/2006/relationships/hyperlink" Target="http://secrets.rutgers.edu:8080/data/asl-ftp/asllvd/demos/verify_start_end_handshape_annotations//test_auto_move//signs_mov/2123_3836_5913_merged.mov" TargetMode="External"/><Relationship Id="rId16076" Type="http://schemas.openxmlformats.org/officeDocument/2006/relationships/hyperlink" Target="http://secrets.rutgers.edu:8080/data/asl-ftp/asllvd/demos/verify_start_end_handshape_annotations//test_auto_move//signs_mov_separ_signers/Brady_2123.mov" TargetMode="External"/><Relationship Id="rId16077" Type="http://schemas.openxmlformats.org/officeDocument/2006/relationships/hyperlink" Target="http://csr.bu.edu/ftp/asl/asllvd/demos/verify_start_end_handshape_annotations//test_auto_move//signs_mov_separ_signers/Brady_3836.mov" TargetMode="External"/><Relationship Id="rId16078" Type="http://schemas.openxmlformats.org/officeDocument/2006/relationships/hyperlink" Target="http://secrets.rutgers.edu:8080/data/asl-ftp/asllvd/demos/verify_start_end_handshape_annotations//test_auto_move//signs_mov_separ_signers/Brady_3836.mov" TargetMode="External"/><Relationship Id="rId16079" Type="http://schemas.openxmlformats.org/officeDocument/2006/relationships/hyperlink" Target="http://csr.bu.edu/ftp/asl/asllvd/demos/verify_start_end_handshape_annotations//test_auto_move//signs_mov_separ_signers/Brady_5913.mov" TargetMode="External"/><Relationship Id="rId16080" Type="http://schemas.openxmlformats.org/officeDocument/2006/relationships/hyperlink" Target="http://secrets.rutgers.edu:8080/data/asl-ftp/asllvd/demos/verify_start_end_handshape_annotations//test_auto_move//signs_mov_separ_signers/Brady_5913.mov" TargetMode="External"/><Relationship Id="rId16081" Type="http://schemas.openxmlformats.org/officeDocument/2006/relationships/hyperlink" Target="http://csr.bu.edu/ftp/asl/asllvd/demos/verify_start_end_handshape_annotations//test_auto_move//signs_mov/2127.mov" TargetMode="External"/><Relationship Id="rId16082" Type="http://schemas.openxmlformats.org/officeDocument/2006/relationships/hyperlink" Target="http://csr.bu.edu/ftp/asl/asllvd/demos/verify_start_end_handshape_annotations//test_auto_move//signs_mov_separ_signers/Liz_2127.mov" TargetMode="External"/><Relationship Id="rId16083" Type="http://schemas.openxmlformats.org/officeDocument/2006/relationships/hyperlink" Target="http://secrets.rutgers.edu:8080/data/asl-ftp/asllvd/demos/verify_start_end_handshape_annotations//test_auto_move//signs_mov/2127.mov" TargetMode="External"/><Relationship Id="rId16084" Type="http://schemas.openxmlformats.org/officeDocument/2006/relationships/hyperlink" Target="http://secrets.rutgers.edu:8080/data/asl-ftp/asllvd/demos/verify_start_end_handshape_annotations//test_auto_move//signs_mov_separ_signers/Liz_2127.mov" TargetMode="External"/><Relationship Id="rId16085" Type="http://schemas.openxmlformats.org/officeDocument/2006/relationships/hyperlink" Target="http://csr.bu.edu/ftp/asl/asllvd/demos/verify_start_end_handshape_annotations//test_auto_move//signs_mov_separ_signers/Liz_5716.mov" TargetMode="External"/><Relationship Id="rId16086" Type="http://schemas.openxmlformats.org/officeDocument/2006/relationships/hyperlink" Target="http://secrets.rutgers.edu:8080/data/asl-ftp/asllvd/demos/verify_start_end_handshape_annotations//test_auto_move//signs_mov_separ_signers/Liz_5716.mov" TargetMode="External"/><Relationship Id="rId16087" Type="http://schemas.openxmlformats.org/officeDocument/2006/relationships/hyperlink" Target="http://csr.bu.edu/ftp/asl/asllvd/demos/verify_start_end_handshape_annotations//test_auto_move//signs_mov/5716_5730_merged.mov" TargetMode="External"/><Relationship Id="rId16088" Type="http://schemas.openxmlformats.org/officeDocument/2006/relationships/hyperlink" Target="http://csr.bu.edu/ftp/asl/asllvd/demos/verify_start_end_handshape_annotations//test_auto_move//signs_mov_separ_signers/Naomi_5716.mov" TargetMode="External"/><Relationship Id="rId16089" Type="http://schemas.openxmlformats.org/officeDocument/2006/relationships/hyperlink" Target="http://secrets.rutgers.edu:8080/data/asl-ftp/asllvd/demos/verify_start_end_handshape_annotations//test_auto_move//signs_mov/5716_5730_merged.mov" TargetMode="External"/><Relationship Id="rId16090" Type="http://schemas.openxmlformats.org/officeDocument/2006/relationships/hyperlink" Target="http://secrets.rutgers.edu:8080/data/asl-ftp/asllvd/demos/verify_start_end_handshape_annotations//test_auto_move//signs_mov_separ_signers/Naomi_5716.mov" TargetMode="External"/><Relationship Id="rId16091" Type="http://schemas.openxmlformats.org/officeDocument/2006/relationships/hyperlink" Target="http://csr.bu.edu/ftp/asl/asllvd/demos/verify_start_end_handshape_annotations//test_auto_move//signs_mov_separ_signers/Brady_5716.mov" TargetMode="External"/><Relationship Id="rId16092" Type="http://schemas.openxmlformats.org/officeDocument/2006/relationships/hyperlink" Target="http://secrets.rutgers.edu:8080/data/asl-ftp/asllvd/demos/verify_start_end_handshape_annotations//test_auto_move//signs_mov_separ_signers/Brady_5716.mov" TargetMode="External"/><Relationship Id="rId16093" Type="http://schemas.openxmlformats.org/officeDocument/2006/relationships/hyperlink" Target="http://csr.bu.edu/ftp/asl/asllvd/demos/verify_start_end_handshape_annotations//test_auto_move//signs_mov_separ_signers/Brady_5730.mov" TargetMode="External"/><Relationship Id="rId16094" Type="http://schemas.openxmlformats.org/officeDocument/2006/relationships/hyperlink" Target="http://secrets.rutgers.edu:8080/data/asl-ftp/asllvd/demos/verify_start_end_handshape_annotations//test_auto_move//signs_mov_separ_signers/Brady_5730.mov" TargetMode="External"/><Relationship Id="rId16095" Type="http://schemas.openxmlformats.org/officeDocument/2006/relationships/hyperlink" Target="http://csr.bu.edu/ftp/asl/asllvd/demos/verify_start_end_handshape_annotations//test_auto_move//signs_mov_separ_signers/Liz_5860.mov" TargetMode="External"/><Relationship Id="rId16096" Type="http://schemas.openxmlformats.org/officeDocument/2006/relationships/hyperlink" Target="http://secrets.rutgers.edu:8080/data/asl-ftp/asllvd/demos/verify_start_end_handshape_annotations//test_auto_move//signs_mov_separ_signers/Liz_5860.mov" TargetMode="External"/><Relationship Id="rId16097" Type="http://schemas.openxmlformats.org/officeDocument/2006/relationships/hyperlink" Target="http://csr.bu.edu/ftp/asl/asllvd/demos/verify_start_end_handshape_annotations//test_auto_move//signs_mov_separ_signers/Tyler_5860.mov" TargetMode="External"/><Relationship Id="rId16098" Type="http://schemas.openxmlformats.org/officeDocument/2006/relationships/hyperlink" Target="http://secrets.rutgers.edu:8080/data/asl-ftp/asllvd/demos/verify_start_end_handshape_annotations//test_auto_move//signs_mov_separ_signers/Tyler_5860.mov" TargetMode="External"/><Relationship Id="rId16099" Type="http://schemas.openxmlformats.org/officeDocument/2006/relationships/hyperlink" Target="http://csr.bu.edu/ftp/asl/asllvd/demos/verify_start_end_handshape_annotations//test_auto_move//signs_mov/5860_5861_merged.mov" TargetMode="External"/><Relationship Id="rId16100" Type="http://schemas.openxmlformats.org/officeDocument/2006/relationships/hyperlink" Target="http://csr.bu.edu/ftp/asl/asllvd/demos/verify_start_end_handshape_annotations//test_auto_move//signs_mov_separ_signers/Tyler_5861.mov" TargetMode="External"/><Relationship Id="rId16101" Type="http://schemas.openxmlformats.org/officeDocument/2006/relationships/hyperlink" Target="http://secrets.rutgers.edu:8080/data/asl-ftp/asllvd/demos/verify_start_end_handshape_annotations//test_auto_move//signs_mov/5860_5861_merged.mov" TargetMode="External"/><Relationship Id="rId16102" Type="http://schemas.openxmlformats.org/officeDocument/2006/relationships/hyperlink" Target="http://secrets.rutgers.edu:8080/data/asl-ftp/asllvd/demos/verify_start_end_handshape_annotations//test_auto_move//signs_mov_separ_signers/Tyler_5861.mov" TargetMode="External"/><Relationship Id="rId16103" Type="http://schemas.openxmlformats.org/officeDocument/2006/relationships/hyperlink" Target="http://csr.bu.edu/ftp/asl/asllvd/demos/verify_start_end_handshape_annotations//test_auto_move//signs_mov_separ_signers/Naomi_5860.mov" TargetMode="External"/><Relationship Id="rId16104" Type="http://schemas.openxmlformats.org/officeDocument/2006/relationships/hyperlink" Target="http://secrets.rutgers.edu:8080/data/asl-ftp/asllvd/demos/verify_start_end_handshape_annotations//test_auto_move//signs_mov_separ_signers/Naomi_5860.mov" TargetMode="External"/><Relationship Id="rId16105" Type="http://schemas.openxmlformats.org/officeDocument/2006/relationships/hyperlink" Target="http://csr.bu.edu/ftp/asl/asllvd/demos/verify_start_end_handshape_annotations//test_auto_move//signs_mov_separ_signers/Brady_5860.mov" TargetMode="External"/><Relationship Id="rId16106" Type="http://schemas.openxmlformats.org/officeDocument/2006/relationships/hyperlink" Target="http://secrets.rutgers.edu:8080/data/asl-ftp/asllvd/demos/verify_start_end_handshape_annotations//test_auto_move//signs_mov_separ_signers/Brady_5860.mov" TargetMode="External"/><Relationship Id="rId16107" Type="http://schemas.openxmlformats.org/officeDocument/2006/relationships/hyperlink" Target="http://csr.bu.edu/ftp/asl/asllvd/demos/verify_start_end_handshape_annotations//test_auto_move//signs_mov_separ_signers/Liz_15460.mov" TargetMode="External"/><Relationship Id="rId16108" Type="http://schemas.openxmlformats.org/officeDocument/2006/relationships/hyperlink" Target="http://secrets.rutgers.edu:8080/data/asl-ftp/asllvd/demos/verify_start_end_handshape_annotations//test_auto_move//signs_mov_separ_signers/Liz_15460.mov" TargetMode="External"/><Relationship Id="rId16109" Type="http://schemas.openxmlformats.org/officeDocument/2006/relationships/hyperlink" Target="http://csr.bu.edu/ftp/asl/asllvd/demos/verify_start_end_handshape_annotations//test_auto_move//signs_mov/15460_15484_merged.mov" TargetMode="External"/><Relationship Id="rId16110" Type="http://schemas.openxmlformats.org/officeDocument/2006/relationships/hyperlink" Target="http://csr.bu.edu/ftp/asl/asllvd/demos/verify_start_end_handshape_annotations//test_auto_move//signs_mov_separ_signers/Brady_15460.mov" TargetMode="External"/><Relationship Id="rId16111" Type="http://schemas.openxmlformats.org/officeDocument/2006/relationships/hyperlink" Target="http://secrets.rutgers.edu:8080/data/asl-ftp/asllvd/demos/verify_start_end_handshape_annotations//test_auto_move//signs_mov/15460_15484_merged.mov" TargetMode="External"/><Relationship Id="rId16112" Type="http://schemas.openxmlformats.org/officeDocument/2006/relationships/hyperlink" Target="http://secrets.rutgers.edu:8080/data/asl-ftp/asllvd/demos/verify_start_end_handshape_annotations//test_auto_move//signs_mov_separ_signers/Brady_15460.mov" TargetMode="External"/><Relationship Id="rId16113" Type="http://schemas.openxmlformats.org/officeDocument/2006/relationships/hyperlink" Target="http://csr.bu.edu/ftp/asl/asllvd/demos/verify_start_end_handshape_annotations//test_auto_move//signs_mov_separ_signers/Brady_15484.mov" TargetMode="External"/><Relationship Id="rId16114" Type="http://schemas.openxmlformats.org/officeDocument/2006/relationships/hyperlink" Target="http://secrets.rutgers.edu:8080/data/asl-ftp/asllvd/demos/verify_start_end_handshape_annotations//test_auto_move//signs_mov_separ_signers/Brady_15484.mov" TargetMode="External"/><Relationship Id="rId16115" Type="http://schemas.openxmlformats.org/officeDocument/2006/relationships/hyperlink" Target="http://csr.bu.edu/ftp/asl/asllvd/demos/verify_start_end_handshape_annotations//test_auto_move//signs_mov/15485.mov" TargetMode="External"/><Relationship Id="rId16116" Type="http://schemas.openxmlformats.org/officeDocument/2006/relationships/hyperlink" Target="http://csr.bu.edu/ftp/asl/asllvd/demos/verify_start_end_handshape_annotations//test_auto_move//signs_mov_separ_signers/Liz_15485.mov" TargetMode="External"/><Relationship Id="rId16117" Type="http://schemas.openxmlformats.org/officeDocument/2006/relationships/hyperlink" Target="http://secrets.rutgers.edu:8080/data/asl-ftp/asllvd/demos/verify_start_end_handshape_annotations//test_auto_move//signs_mov/15485.mov" TargetMode="External"/><Relationship Id="rId16118" Type="http://schemas.openxmlformats.org/officeDocument/2006/relationships/hyperlink" Target="http://secrets.rutgers.edu:8080/data/asl-ftp/asllvd/demos/verify_start_end_handshape_annotations//test_auto_move//signs_mov_separ_signers/Liz_15485.mov" TargetMode="External"/><Relationship Id="rId16119" Type="http://schemas.openxmlformats.org/officeDocument/2006/relationships/hyperlink" Target="http://csr.bu.edu/ftp/asl/asllvd/demos/verify_start_end_handshape_annotations//test_auto_move//signs_mov/16433.mov" TargetMode="External"/><Relationship Id="rId16120" Type="http://schemas.openxmlformats.org/officeDocument/2006/relationships/hyperlink" Target="http://csr.bu.edu/ftp/asl/asllvd/demos/verify_start_end_handshape_annotations//test_auto_move//signs_mov_separ_signers/Brady_16433.mov" TargetMode="External"/><Relationship Id="rId16121" Type="http://schemas.openxmlformats.org/officeDocument/2006/relationships/hyperlink" Target="http://secrets.rutgers.edu:8080/data/asl-ftp/asllvd/demos/verify_start_end_handshape_annotations//test_auto_move//signs_mov/16433.mov" TargetMode="External"/><Relationship Id="rId16122" Type="http://schemas.openxmlformats.org/officeDocument/2006/relationships/hyperlink" Target="http://secrets.rutgers.edu:8080/data/asl-ftp/asllvd/demos/verify_start_end_handshape_annotations//test_auto_move//signs_mov_separ_signers/Brady_16433.mov" TargetMode="External"/><Relationship Id="rId16123" Type="http://schemas.openxmlformats.org/officeDocument/2006/relationships/hyperlink" Target="http://csr.bu.edu/ftp/asl/asllvd/demos/verify_start_end_handshape_annotations//test_auto_move//signs_mov/2128.mov" TargetMode="External"/><Relationship Id="rId16124" Type="http://schemas.openxmlformats.org/officeDocument/2006/relationships/hyperlink" Target="http://csr.bu.edu/ftp/asl/asllvd/demos/verify_start_end_handshape_annotations//test_auto_move//signs_mov_separ_signers/Liz_2128.mov" TargetMode="External"/><Relationship Id="rId16125" Type="http://schemas.openxmlformats.org/officeDocument/2006/relationships/hyperlink" Target="http://secrets.rutgers.edu:8080/data/asl-ftp/asllvd/demos/verify_start_end_handshape_annotations//test_auto_move//signs_mov/2128.mov" TargetMode="External"/><Relationship Id="rId16126" Type="http://schemas.openxmlformats.org/officeDocument/2006/relationships/hyperlink" Target="http://secrets.rutgers.edu:8080/data/asl-ftp/asllvd/demos/verify_start_end_handshape_annotations//test_auto_move//signs_mov_separ_signers/Liz_2128.mov" TargetMode="External"/><Relationship Id="rId16127" Type="http://schemas.openxmlformats.org/officeDocument/2006/relationships/hyperlink" Target="http://csr.bu.edu/ftp/asl/asllvd/demos/verify_start_end_handshape_annotations//test_auto_move//signs_mov_separ_signers/Brady_2128.mov" TargetMode="External"/><Relationship Id="rId16128" Type="http://schemas.openxmlformats.org/officeDocument/2006/relationships/hyperlink" Target="http://secrets.rutgers.edu:8080/data/asl-ftp/asllvd/demos/verify_start_end_handshape_annotations//test_auto_move//signs_mov_separ_signers/Brady_2128.mov" TargetMode="External"/><Relationship Id="rId16129" Type="http://schemas.openxmlformats.org/officeDocument/2006/relationships/hyperlink" Target="http://csr.bu.edu/ftp/asl/asllvd/demos/verify_start_end_handshape_annotations//test_auto_move//signs_mov_separ_signers/Liz_2129.mov" TargetMode="External"/><Relationship Id="rId16130" Type="http://schemas.openxmlformats.org/officeDocument/2006/relationships/hyperlink" Target="http://secrets.rutgers.edu:8080/data/asl-ftp/asllvd/demos/verify_start_end_handshape_annotations//test_auto_move//signs_mov_separ_signers/Liz_2129.mov" TargetMode="External"/><Relationship Id="rId16131" Type="http://schemas.openxmlformats.org/officeDocument/2006/relationships/hyperlink" Target="http://csr.bu.edu/ftp/asl/asllvd/demos/verify_start_end_handshape_annotations//test_auto_move//signs_mov/2129.mov" TargetMode="External"/><Relationship Id="rId16132" Type="http://schemas.openxmlformats.org/officeDocument/2006/relationships/hyperlink" Target="http://csr.bu.edu/ftp/asl/asllvd/demos/verify_start_end_handshape_annotations//test_auto_move//signs_mov_separ_signers/Brady_2129.mov" TargetMode="External"/><Relationship Id="rId16133" Type="http://schemas.openxmlformats.org/officeDocument/2006/relationships/hyperlink" Target="http://secrets.rutgers.edu:8080/data/asl-ftp/asllvd/demos/verify_start_end_handshape_annotations//test_auto_move//signs_mov/2129.mov" TargetMode="External"/><Relationship Id="rId16134" Type="http://schemas.openxmlformats.org/officeDocument/2006/relationships/hyperlink" Target="http://secrets.rutgers.edu:8080/data/asl-ftp/asllvd/demos/verify_start_end_handshape_annotations//test_auto_move//signs_mov_separ_signers/Brady_2129.mov" TargetMode="External"/><Relationship Id="rId16135" Type="http://schemas.openxmlformats.org/officeDocument/2006/relationships/hyperlink" Target="http://csr.bu.edu/ftp/asl/asllvd/demos/verify_start_end_handshape_annotations//test_auto_move//signs_mov_separ_signers/Lana_2129.mov" TargetMode="External"/><Relationship Id="rId16136" Type="http://schemas.openxmlformats.org/officeDocument/2006/relationships/hyperlink" Target="http://secrets.rutgers.edu:8080/data/asl-ftp/asllvd/demos/verify_start_end_handshape_annotations//test_auto_move//signs_mov_separ_signers/Lana_2129.mov" TargetMode="External"/><Relationship Id="rId16137" Type="http://schemas.openxmlformats.org/officeDocument/2006/relationships/hyperlink" Target="http://csr.bu.edu/ftp/asl/asllvd/demos/verify_start_end_handshape_annotations//test_auto_move//signs_mov_separ_signers/Dana_2129.mov" TargetMode="External"/><Relationship Id="rId16138" Type="http://schemas.openxmlformats.org/officeDocument/2006/relationships/hyperlink" Target="http://secrets.rutgers.edu:8080/data/asl-ftp/asllvd/demos/verify_start_end_handshape_annotations//test_auto_move//signs_mov_separ_signers/Dana_2129.mov" TargetMode="External"/><Relationship Id="rId16139" Type="http://schemas.openxmlformats.org/officeDocument/2006/relationships/hyperlink" Target="http://csr.bu.edu/ftp/asl/asllvd/demos/verify_start_end_handshape_annotations//test_auto_move//signs_mov_separ_signers/Liz_2130.mov" TargetMode="External"/><Relationship Id="rId16140" Type="http://schemas.openxmlformats.org/officeDocument/2006/relationships/hyperlink" Target="http://secrets.rutgers.edu:8080/data/asl-ftp/asllvd/demos/verify_start_end_handshape_annotations//test_auto_move//signs_mov_separ_signers/Liz_2130.mov" TargetMode="External"/><Relationship Id="rId16141" Type="http://schemas.openxmlformats.org/officeDocument/2006/relationships/hyperlink" Target="http://csr.bu.edu/ftp/asl/asllvd/demos/verify_start_end_handshape_annotations//test_auto_move//signs_mov/2130.mov" TargetMode="External"/><Relationship Id="rId16142" Type="http://schemas.openxmlformats.org/officeDocument/2006/relationships/hyperlink" Target="http://csr.bu.edu/ftp/asl/asllvd/demos/verify_start_end_handshape_annotations//test_auto_move//signs_mov_separ_signers/Brady_2130.mov" TargetMode="External"/><Relationship Id="rId16143" Type="http://schemas.openxmlformats.org/officeDocument/2006/relationships/hyperlink" Target="http://secrets.rutgers.edu:8080/data/asl-ftp/asllvd/demos/verify_start_end_handshape_annotations//test_auto_move//signs_mov/2130.mov" TargetMode="External"/><Relationship Id="rId16144" Type="http://schemas.openxmlformats.org/officeDocument/2006/relationships/hyperlink" Target="http://secrets.rutgers.edu:8080/data/asl-ftp/asllvd/demos/verify_start_end_handshape_annotations//test_auto_move//signs_mov_separ_signers/Brady_2130.mov" TargetMode="External"/><Relationship Id="rId16145" Type="http://schemas.openxmlformats.org/officeDocument/2006/relationships/hyperlink" Target="http://csr.bu.edu/ftp/asl/asllvd/demos/verify_start_end_handshape_annotations//test_auto_move//signs_mov_separ_signers/Dana_2130.mov" TargetMode="External"/><Relationship Id="rId16146" Type="http://schemas.openxmlformats.org/officeDocument/2006/relationships/hyperlink" Target="http://secrets.rutgers.edu:8080/data/asl-ftp/asllvd/demos/verify_start_end_handshape_annotations//test_auto_move//signs_mov_separ_signers/Dana_2130.mov" TargetMode="External"/><Relationship Id="rId16147" Type="http://schemas.openxmlformats.org/officeDocument/2006/relationships/hyperlink" Target="http://csr.bu.edu/ftp/asl/asllvd/demos/verify_start_end_handshape_annotations//test_auto_move//signs_mov/16434.mov" TargetMode="External"/><Relationship Id="rId16148" Type="http://schemas.openxmlformats.org/officeDocument/2006/relationships/hyperlink" Target="http://csr.bu.edu/ftp/asl/asllvd/demos/verify_start_end_handshape_annotations//test_auto_move//signs_mov_separ_signers/Lana_16434.mov" TargetMode="External"/><Relationship Id="rId16149" Type="http://schemas.openxmlformats.org/officeDocument/2006/relationships/hyperlink" Target="http://secrets.rutgers.edu:8080/data/asl-ftp/asllvd/demos/verify_start_end_handshape_annotations//test_auto_move//signs_mov/16434.mov" TargetMode="External"/><Relationship Id="rId16150" Type="http://schemas.openxmlformats.org/officeDocument/2006/relationships/hyperlink" Target="http://secrets.rutgers.edu:8080/data/asl-ftp/asllvd/demos/verify_start_end_handshape_annotations//test_auto_move//signs_mov_separ_signers/Lana_16434.mov" TargetMode="External"/><Relationship Id="rId16151" Type="http://schemas.openxmlformats.org/officeDocument/2006/relationships/hyperlink" Target="http://csr.bu.edu/ftp/asl/asllvd/demos/verify_start_end_handshape_annotations//test_auto_move//signs_mov/2131.mov" TargetMode="External"/><Relationship Id="rId16152" Type="http://schemas.openxmlformats.org/officeDocument/2006/relationships/hyperlink" Target="http://csr.bu.edu/ftp/asl/asllvd/demos/verify_start_end_handshape_annotations//test_auto_move//signs_mov_separ_signers/Liz_2131.mov" TargetMode="External"/><Relationship Id="rId16153" Type="http://schemas.openxmlformats.org/officeDocument/2006/relationships/hyperlink" Target="http://secrets.rutgers.edu:8080/data/asl-ftp/asllvd/demos/verify_start_end_handshape_annotations//test_auto_move//signs_mov/2131.mov" TargetMode="External"/><Relationship Id="rId16154" Type="http://schemas.openxmlformats.org/officeDocument/2006/relationships/hyperlink" Target="http://secrets.rutgers.edu:8080/data/asl-ftp/asllvd/demos/verify_start_end_handshape_annotations//test_auto_move//signs_mov_separ_signers/Liz_2131.mov" TargetMode="External"/><Relationship Id="rId16155" Type="http://schemas.openxmlformats.org/officeDocument/2006/relationships/hyperlink" Target="http://csr.bu.edu/ftp/asl/asllvd/demos/verify_start_end_handshape_annotations//test_auto_move//signs_mov_separ_signers/Brady_2131.mov" TargetMode="External"/><Relationship Id="rId16156" Type="http://schemas.openxmlformats.org/officeDocument/2006/relationships/hyperlink" Target="http://secrets.rutgers.edu:8080/data/asl-ftp/asllvd/demos/verify_start_end_handshape_annotations//test_auto_move//signs_mov_separ_signers/Brady_2131.mov" TargetMode="External"/><Relationship Id="rId16157" Type="http://schemas.openxmlformats.org/officeDocument/2006/relationships/hyperlink" Target="http://csr.bu.edu/ftp/asl/asllvd/demos/verify_start_end_handshape_annotations//test_auto_move//signs_mov/15159.mov" TargetMode="External"/><Relationship Id="rId16158" Type="http://schemas.openxmlformats.org/officeDocument/2006/relationships/hyperlink" Target="http://csr.bu.edu/ftp/asl/asllvd/demos/verify_start_end_handshape_annotations//test_auto_move//signs_mov_separ_signers/Liz_15159.mov" TargetMode="External"/><Relationship Id="rId16159" Type="http://schemas.openxmlformats.org/officeDocument/2006/relationships/hyperlink" Target="http://secrets.rutgers.edu:8080/data/asl-ftp/asllvd/demos/verify_start_end_handshape_annotations//test_auto_move//signs_mov/15159.mov" TargetMode="External"/><Relationship Id="rId16160" Type="http://schemas.openxmlformats.org/officeDocument/2006/relationships/hyperlink" Target="http://secrets.rutgers.edu:8080/data/asl-ftp/asllvd/demos/verify_start_end_handshape_annotations//test_auto_move//signs_mov_separ_signers/Liz_15159.mov" TargetMode="External"/><Relationship Id="rId16161" Type="http://schemas.openxmlformats.org/officeDocument/2006/relationships/hyperlink" Target="http://csr.bu.edu/ftp/asl/asllvd/demos/verify_start_end_handshape_annotations//test_auto_move//signs_mov_separ_signers/Brady_15159.mov" TargetMode="External"/><Relationship Id="rId16162" Type="http://schemas.openxmlformats.org/officeDocument/2006/relationships/hyperlink" Target="http://secrets.rutgers.edu:8080/data/asl-ftp/asllvd/demos/verify_start_end_handshape_annotations//test_auto_move//signs_mov_separ_signers/Brady_15159.mov" TargetMode="External"/><Relationship Id="rId16163" Type="http://schemas.openxmlformats.org/officeDocument/2006/relationships/hyperlink" Target="http://csr.bu.edu/ftp/asl/asllvd/demos/verify_start_end_handshape_annotations//test_auto_move//signs_mov_separ_signers/Liz_15195.mov" TargetMode="External"/><Relationship Id="rId16164" Type="http://schemas.openxmlformats.org/officeDocument/2006/relationships/hyperlink" Target="http://secrets.rutgers.edu:8080/data/asl-ftp/asllvd/demos/verify_start_end_handshape_annotations//test_auto_move//signs_mov_separ_signers/Liz_15195.mov" TargetMode="External"/><Relationship Id="rId16165" Type="http://schemas.openxmlformats.org/officeDocument/2006/relationships/hyperlink" Target="http://csr.bu.edu/ftp/asl/asllvd/demos/verify_start_end_handshape_annotations//test_auto_move//signs_mov_separ_signers/Liz_15200.mov" TargetMode="External"/><Relationship Id="rId16166" Type="http://schemas.openxmlformats.org/officeDocument/2006/relationships/hyperlink" Target="http://secrets.rutgers.edu:8080/data/asl-ftp/asllvd/demos/verify_start_end_handshape_annotations//test_auto_move//signs_mov_separ_signers/Liz_15200.mov" TargetMode="External"/><Relationship Id="rId16167" Type="http://schemas.openxmlformats.org/officeDocument/2006/relationships/hyperlink" Target="http://csr.bu.edu/ftp/asl/asllvd/demos/verify_start_end_handshape_annotations//test_auto_move//signs_mov/15195_15200_merged.mov" TargetMode="External"/><Relationship Id="rId16168" Type="http://schemas.openxmlformats.org/officeDocument/2006/relationships/hyperlink" Target="http://csr.bu.edu/ftp/asl/asllvd/demos/verify_start_end_handshape_annotations//test_auto_move//signs_mov_separ_signers/Naomi_15195.mov" TargetMode="External"/><Relationship Id="rId16169" Type="http://schemas.openxmlformats.org/officeDocument/2006/relationships/hyperlink" Target="http://secrets.rutgers.edu:8080/data/asl-ftp/asllvd/demos/verify_start_end_handshape_annotations//test_auto_move//signs_mov/15195_15200_merged.mov" TargetMode="External"/><Relationship Id="rId16170" Type="http://schemas.openxmlformats.org/officeDocument/2006/relationships/hyperlink" Target="http://secrets.rutgers.edu:8080/data/asl-ftp/asllvd/demos/verify_start_end_handshape_annotations//test_auto_move//signs_mov_separ_signers/Naomi_15195.mov" TargetMode="External"/><Relationship Id="rId16171" Type="http://schemas.openxmlformats.org/officeDocument/2006/relationships/hyperlink" Target="http://csr.bu.edu/ftp/asl/asllvd/demos/verify_start_end_handshape_annotations//test_auto_move//signs_mov_separ_signers/Naomi_15200.mov" TargetMode="External"/><Relationship Id="rId16172" Type="http://schemas.openxmlformats.org/officeDocument/2006/relationships/hyperlink" Target="http://secrets.rutgers.edu:8080/data/asl-ftp/asllvd/demos/verify_start_end_handshape_annotations//test_auto_move//signs_mov_separ_signers/Naomi_15200.mov" TargetMode="External"/><Relationship Id="rId16173" Type="http://schemas.openxmlformats.org/officeDocument/2006/relationships/hyperlink" Target="http://csr.bu.edu/ftp/asl/asllvd/demos/verify_start_end_handshape_annotations//test_auto_move//signs_mov_separ_signers/Brady_15195.mov" TargetMode="External"/><Relationship Id="rId16174" Type="http://schemas.openxmlformats.org/officeDocument/2006/relationships/hyperlink" Target="http://secrets.rutgers.edu:8080/data/asl-ftp/asllvd/demos/verify_start_end_handshape_annotations//test_auto_move//signs_mov_separ_signers/Brady_15195.mov" TargetMode="External"/><Relationship Id="rId16175" Type="http://schemas.openxmlformats.org/officeDocument/2006/relationships/hyperlink" Target="http://csr.bu.edu/ftp/asl/asllvd/demos/verify_start_end_handshape_annotations//test_auto_move//signs_mov_separ_signers/Brady_15200.mov" TargetMode="External"/><Relationship Id="rId16176" Type="http://schemas.openxmlformats.org/officeDocument/2006/relationships/hyperlink" Target="http://secrets.rutgers.edu:8080/data/asl-ftp/asllvd/demos/verify_start_end_handshape_annotations//test_auto_move//signs_mov_separ_signers/Brady_15200.mov" TargetMode="External"/><Relationship Id="rId16177" Type="http://schemas.openxmlformats.org/officeDocument/2006/relationships/hyperlink" Target="http://csr.bu.edu/ftp/asl/asllvd/demos/verify_start_end_handshape_annotations//test_auto_move//signs_mov/15204_15230_merged.mov" TargetMode="External"/><Relationship Id="rId16178" Type="http://schemas.openxmlformats.org/officeDocument/2006/relationships/hyperlink" Target="http://csr.bu.edu/ftp/asl/asllvd/demos/verify_start_end_handshape_annotations//test_auto_move//signs_mov_separ_signers/Tyler_15204.mov" TargetMode="External"/><Relationship Id="rId16179" Type="http://schemas.openxmlformats.org/officeDocument/2006/relationships/hyperlink" Target="http://secrets.rutgers.edu:8080/data/asl-ftp/asllvd/demos/verify_start_end_handshape_annotations//test_auto_move//signs_mov/15204_15230_merged.mov" TargetMode="External"/><Relationship Id="rId16180" Type="http://schemas.openxmlformats.org/officeDocument/2006/relationships/hyperlink" Target="http://secrets.rutgers.edu:8080/data/asl-ftp/asllvd/demos/verify_start_end_handshape_annotations//test_auto_move//signs_mov_separ_signers/Tyler_15204.mov" TargetMode="External"/><Relationship Id="rId16181" Type="http://schemas.openxmlformats.org/officeDocument/2006/relationships/hyperlink" Target="http://csr.bu.edu/ftp/asl/asllvd/demos/verify_start_end_handshape_annotations//test_auto_move//signs_mov_separ_signers/Tyler_15230.mov" TargetMode="External"/><Relationship Id="rId16182" Type="http://schemas.openxmlformats.org/officeDocument/2006/relationships/hyperlink" Target="http://secrets.rutgers.edu:8080/data/asl-ftp/asllvd/demos/verify_start_end_handshape_annotations//test_auto_move//signs_mov_separ_signers/Tyler_15230.mov" TargetMode="External"/><Relationship Id="rId16183" Type="http://schemas.openxmlformats.org/officeDocument/2006/relationships/hyperlink" Target="http://csr.bu.edu/ftp/asl/asllvd/demos/verify_start_end_handshape_annotations//test_auto_move//signs_mov/15349.mov" TargetMode="External"/><Relationship Id="rId16184" Type="http://schemas.openxmlformats.org/officeDocument/2006/relationships/hyperlink" Target="http://csr.bu.edu/ftp/asl/asllvd/demos/verify_start_end_handshape_annotations//test_auto_move//signs_mov_separ_signers/Liz_15349.mov" TargetMode="External"/><Relationship Id="rId16185" Type="http://schemas.openxmlformats.org/officeDocument/2006/relationships/hyperlink" Target="http://secrets.rutgers.edu:8080/data/asl-ftp/asllvd/demos/verify_start_end_handshape_annotations//test_auto_move//signs_mov/15349.mov" TargetMode="External"/><Relationship Id="rId16186" Type="http://schemas.openxmlformats.org/officeDocument/2006/relationships/hyperlink" Target="http://secrets.rutgers.edu:8080/data/asl-ftp/asllvd/demos/verify_start_end_handshape_annotations//test_auto_move//signs_mov_separ_signers/Liz_15349.mov" TargetMode="External"/><Relationship Id="rId16187" Type="http://schemas.openxmlformats.org/officeDocument/2006/relationships/hyperlink" Target="http://csr.bu.edu/ftp/asl/asllvd/demos/verify_start_end_handshape_annotations//test_auto_move//signs_mov_separ_signers/Brady_15349.mov" TargetMode="External"/><Relationship Id="rId16188" Type="http://schemas.openxmlformats.org/officeDocument/2006/relationships/hyperlink" Target="http://secrets.rutgers.edu:8080/data/asl-ftp/asllvd/demos/verify_start_end_handshape_annotations//test_auto_move//signs_mov_separ_signers/Brady_15349.mov" TargetMode="External"/><Relationship Id="rId16189" Type="http://schemas.openxmlformats.org/officeDocument/2006/relationships/hyperlink" Target="http://csr.bu.edu/ftp/asl/asllvd/demos/verify_start_end_handshape_annotations//test_auto_move//signs_mov/16015.mov" TargetMode="External"/><Relationship Id="rId16190" Type="http://schemas.openxmlformats.org/officeDocument/2006/relationships/hyperlink" Target="http://csr.bu.edu/ftp/asl/asllvd/demos/verify_start_end_handshape_annotations//test_auto_move//signs_mov_separ_signers/Liz_16015.mov" TargetMode="External"/><Relationship Id="rId16191" Type="http://schemas.openxmlformats.org/officeDocument/2006/relationships/hyperlink" Target="http://secrets.rutgers.edu:8080/data/asl-ftp/asllvd/demos/verify_start_end_handshape_annotations//test_auto_move//signs_mov/16015.mov" TargetMode="External"/><Relationship Id="rId16192" Type="http://schemas.openxmlformats.org/officeDocument/2006/relationships/hyperlink" Target="http://secrets.rutgers.edu:8080/data/asl-ftp/asllvd/demos/verify_start_end_handshape_annotations//test_auto_move//signs_mov_separ_signers/Liz_16015.mov" TargetMode="External"/><Relationship Id="rId16193" Type="http://schemas.openxmlformats.org/officeDocument/2006/relationships/hyperlink" Target="http://csr.bu.edu/ftp/asl/asllvd/demos/verify_start_end_handshape_annotations//test_auto_move//signs_mov_separ_signers/Brady_16015.mov" TargetMode="External"/><Relationship Id="rId16194" Type="http://schemas.openxmlformats.org/officeDocument/2006/relationships/hyperlink" Target="http://secrets.rutgers.edu:8080/data/asl-ftp/asllvd/demos/verify_start_end_handshape_annotations//test_auto_move//signs_mov_separ_signers/Brady_16015.mov" TargetMode="External"/><Relationship Id="rId16195" Type="http://schemas.openxmlformats.org/officeDocument/2006/relationships/hyperlink" Target="http://csr.bu.edu/ftp/asl/asllvd/demos/verify_start_end_handshape_annotations//test_auto_move//signs_mov/2132.mov" TargetMode="External"/><Relationship Id="rId16196" Type="http://schemas.openxmlformats.org/officeDocument/2006/relationships/hyperlink" Target="http://csr.bu.edu/ftp/asl/asllvd/demos/verify_start_end_handshape_annotations//test_auto_move//signs_mov_separ_signers/Liz_2132.mov" TargetMode="External"/><Relationship Id="rId16197" Type="http://schemas.openxmlformats.org/officeDocument/2006/relationships/hyperlink" Target="http://secrets.rutgers.edu:8080/data/asl-ftp/asllvd/demos/verify_start_end_handshape_annotations//test_auto_move//signs_mov/2132.mov" TargetMode="External"/><Relationship Id="rId16198" Type="http://schemas.openxmlformats.org/officeDocument/2006/relationships/hyperlink" Target="http://secrets.rutgers.edu:8080/data/asl-ftp/asllvd/demos/verify_start_end_handshape_annotations//test_auto_move//signs_mov_separ_signers/Liz_2132.mov" TargetMode="External"/><Relationship Id="rId16199" Type="http://schemas.openxmlformats.org/officeDocument/2006/relationships/hyperlink" Target="http://csr.bu.edu/ftp/asl/asllvd/demos/verify_start_end_handshape_annotations//test_auto_move//signs_mov_separ_signers/Brady_2132.mov" TargetMode="External"/><Relationship Id="rId16200" Type="http://schemas.openxmlformats.org/officeDocument/2006/relationships/hyperlink" Target="http://secrets.rutgers.edu:8080/data/asl-ftp/asllvd/demos/verify_start_end_handshape_annotations//test_auto_move//signs_mov_separ_signers/Brady_2132.mov" TargetMode="External"/><Relationship Id="rId16201" Type="http://schemas.openxmlformats.org/officeDocument/2006/relationships/hyperlink" Target="http://csr.bu.edu/ftp/asl/asllvd/demos/verify_start_end_handshape_annotations//test_auto_move//signs_mov_separ_signers/Liz_2135.mov" TargetMode="External"/><Relationship Id="rId16202" Type="http://schemas.openxmlformats.org/officeDocument/2006/relationships/hyperlink" Target="http://secrets.rutgers.edu:8080/data/asl-ftp/asllvd/demos/verify_start_end_handshape_annotations//test_auto_move//signs_mov_separ_signers/Liz_2135.mov" TargetMode="External"/><Relationship Id="rId16203" Type="http://schemas.openxmlformats.org/officeDocument/2006/relationships/hyperlink" Target="http://csr.bu.edu/ftp/asl/asllvd/demos/verify_start_end_handshape_annotations//test_auto_move//signs_mov/2135_16233_merged.mov" TargetMode="External"/><Relationship Id="rId16204" Type="http://schemas.openxmlformats.org/officeDocument/2006/relationships/hyperlink" Target="http://csr.bu.edu/ftp/asl/asllvd/demos/verify_start_end_handshape_annotations//test_auto_move//signs_mov_separ_signers/Tyler_2135.mov" TargetMode="External"/><Relationship Id="rId16205" Type="http://schemas.openxmlformats.org/officeDocument/2006/relationships/hyperlink" Target="http://secrets.rutgers.edu:8080/data/asl-ftp/asllvd/demos/verify_start_end_handshape_annotations//test_auto_move//signs_mov/2135_16233_merged.mov" TargetMode="External"/><Relationship Id="rId16206" Type="http://schemas.openxmlformats.org/officeDocument/2006/relationships/hyperlink" Target="http://secrets.rutgers.edu:8080/data/asl-ftp/asllvd/demos/verify_start_end_handshape_annotations//test_auto_move//signs_mov_separ_signers/Tyler_2135.mov" TargetMode="External"/><Relationship Id="rId16207" Type="http://schemas.openxmlformats.org/officeDocument/2006/relationships/hyperlink" Target="http://csr.bu.edu/ftp/asl/asllvd/demos/verify_start_end_handshape_annotations//test_auto_move//signs_mov_separ_signers/Brady_2135.mov" TargetMode="External"/><Relationship Id="rId16208" Type="http://schemas.openxmlformats.org/officeDocument/2006/relationships/hyperlink" Target="http://secrets.rutgers.edu:8080/data/asl-ftp/asllvd/demos/verify_start_end_handshape_annotations//test_auto_move//signs_mov_separ_signers/Brady_2135.mov" TargetMode="External"/><Relationship Id="rId16209" Type="http://schemas.openxmlformats.org/officeDocument/2006/relationships/hyperlink" Target="http://csr.bu.edu/ftp/asl/asllvd/demos/verify_start_end_handshape_annotations//test_auto_move//signs_mov_separ_signers/Brady_16233.mov" TargetMode="External"/><Relationship Id="rId16210" Type="http://schemas.openxmlformats.org/officeDocument/2006/relationships/hyperlink" Target="http://secrets.rutgers.edu:8080/data/asl-ftp/asllvd/demos/verify_start_end_handshape_annotations//test_auto_move//signs_mov_separ_signers/Brady_16233.mov" TargetMode="External"/><Relationship Id="rId16211" Type="http://schemas.openxmlformats.org/officeDocument/2006/relationships/hyperlink" Target="http://csr.bu.edu/ftp/asl/asllvd/demos/verify_start_end_handshape_annotations//test_auto_move//signs_mov/2146.mov" TargetMode="External"/><Relationship Id="rId16212" Type="http://schemas.openxmlformats.org/officeDocument/2006/relationships/hyperlink" Target="http://csr.bu.edu/ftp/asl/asllvd/demos/verify_start_end_handshape_annotations//test_auto_move//signs_mov_separ_signers/Liz_2146.mov" TargetMode="External"/><Relationship Id="rId16213" Type="http://schemas.openxmlformats.org/officeDocument/2006/relationships/hyperlink" Target="http://secrets.rutgers.edu:8080/data/asl-ftp/asllvd/demos/verify_start_end_handshape_annotations//test_auto_move//signs_mov/2146.mov" TargetMode="External"/><Relationship Id="rId16214" Type="http://schemas.openxmlformats.org/officeDocument/2006/relationships/hyperlink" Target="http://secrets.rutgers.edu:8080/data/asl-ftp/asllvd/demos/verify_start_end_handshape_annotations//test_auto_move//signs_mov_separ_signers/Liz_2146.mov" TargetMode="External"/><Relationship Id="rId16215" Type="http://schemas.openxmlformats.org/officeDocument/2006/relationships/hyperlink" Target="http://csr.bu.edu/ftp/asl/asllvd/demos/verify_start_end_handshape_annotations//test_auto_move//signs_mov_separ_signers/Liz_2149.mov" TargetMode="External"/><Relationship Id="rId16216" Type="http://schemas.openxmlformats.org/officeDocument/2006/relationships/hyperlink" Target="http://secrets.rutgers.edu:8080/data/asl-ftp/asllvd/demos/verify_start_end_handshape_annotations//test_auto_move//signs_mov_separ_signers/Liz_2149.mov" TargetMode="External"/><Relationship Id="rId16217" Type="http://schemas.openxmlformats.org/officeDocument/2006/relationships/hyperlink" Target="http://csr.bu.edu/ftp/asl/asllvd/demos/verify_start_end_handshape_annotations//test_auto_move//signs_mov/2149.mov" TargetMode="External"/><Relationship Id="rId16218" Type="http://schemas.openxmlformats.org/officeDocument/2006/relationships/hyperlink" Target="http://csr.bu.edu/ftp/asl/asllvd/demos/verify_start_end_handshape_annotations//test_auto_move//signs_mov_separ_signers/Brady_2149.mov" TargetMode="External"/><Relationship Id="rId16219" Type="http://schemas.openxmlformats.org/officeDocument/2006/relationships/hyperlink" Target="http://secrets.rutgers.edu:8080/data/asl-ftp/asllvd/demos/verify_start_end_handshape_annotations//test_auto_move//signs_mov/2149.mov" TargetMode="External"/><Relationship Id="rId16220" Type="http://schemas.openxmlformats.org/officeDocument/2006/relationships/hyperlink" Target="http://secrets.rutgers.edu:8080/data/asl-ftp/asllvd/demos/verify_start_end_handshape_annotations//test_auto_move//signs_mov_separ_signers/Brady_2149.mov" TargetMode="External"/><Relationship Id="rId16221" Type="http://schemas.openxmlformats.org/officeDocument/2006/relationships/hyperlink" Target="http://csr.bu.edu/ftp/asl/asllvd/demos/verify_start_end_handshape_annotations//test_auto_move//signs_mov_separ_signers/Lana_2149.mov" TargetMode="External"/><Relationship Id="rId16222" Type="http://schemas.openxmlformats.org/officeDocument/2006/relationships/hyperlink" Target="http://secrets.rutgers.edu:8080/data/asl-ftp/asllvd/demos/verify_start_end_handshape_annotations//test_auto_move//signs_mov_separ_signers/Lana_2149.mov" TargetMode="External"/><Relationship Id="rId16223" Type="http://schemas.openxmlformats.org/officeDocument/2006/relationships/hyperlink" Target="http://csr.bu.edu/ftp/asl/asllvd/demos/verify_start_end_handshape_annotations//test_auto_move//signs_mov_separ_signers/Dana_2149.mov" TargetMode="External"/><Relationship Id="rId16224" Type="http://schemas.openxmlformats.org/officeDocument/2006/relationships/hyperlink" Target="http://secrets.rutgers.edu:8080/data/asl-ftp/asllvd/demos/verify_start_end_handshape_annotations//test_auto_move//signs_mov_separ_signers/Dana_2149.mov" TargetMode="External"/><Relationship Id="rId16225" Type="http://schemas.openxmlformats.org/officeDocument/2006/relationships/hyperlink" Target="http://csr.bu.edu/ftp/asl/asllvd/demos/verify_start_end_handshape_annotations//test_auto_move//signs_mov/3750.mov" TargetMode="External"/><Relationship Id="rId16226" Type="http://schemas.openxmlformats.org/officeDocument/2006/relationships/hyperlink" Target="http://csr.bu.edu/ftp/asl/asllvd/demos/verify_start_end_handshape_annotations//test_auto_move//signs_mov_separ_signers/Liz_3750.mov" TargetMode="External"/><Relationship Id="rId16227" Type="http://schemas.openxmlformats.org/officeDocument/2006/relationships/hyperlink" Target="http://secrets.rutgers.edu:8080/data/asl-ftp/asllvd/demos/verify_start_end_handshape_annotations//test_auto_move//signs_mov/3750.mov" TargetMode="External"/><Relationship Id="rId16228" Type="http://schemas.openxmlformats.org/officeDocument/2006/relationships/hyperlink" Target="http://secrets.rutgers.edu:8080/data/asl-ftp/asllvd/demos/verify_start_end_handshape_annotations//test_auto_move//signs_mov_separ_signers/Liz_3750.mov" TargetMode="External"/><Relationship Id="rId16229" Type="http://schemas.openxmlformats.org/officeDocument/2006/relationships/hyperlink" Target="http://csr.bu.edu/ftp/asl/asllvd/demos/verify_start_end_handshape_annotations//test_auto_move//signs_mov_separ_signers/Brady_3750.mov" TargetMode="External"/><Relationship Id="rId16230" Type="http://schemas.openxmlformats.org/officeDocument/2006/relationships/hyperlink" Target="http://secrets.rutgers.edu:8080/data/asl-ftp/asllvd/demos/verify_start_end_handshape_annotations//test_auto_move//signs_mov_separ_signers/Brady_3750.mov" TargetMode="External"/><Relationship Id="rId16231" Type="http://schemas.openxmlformats.org/officeDocument/2006/relationships/hyperlink" Target="http://csr.bu.edu/ftp/asl/asllvd/demos/verify_start_end_handshape_annotations//test_auto_move//signs_mov/2152.mov" TargetMode="External"/><Relationship Id="rId16232" Type="http://schemas.openxmlformats.org/officeDocument/2006/relationships/hyperlink" Target="http://csr.bu.edu/ftp/asl/asllvd/demos/verify_start_end_handshape_annotations//test_auto_move//signs_mov_separ_signers/Liz_2152.mov" TargetMode="External"/><Relationship Id="rId16233" Type="http://schemas.openxmlformats.org/officeDocument/2006/relationships/hyperlink" Target="http://secrets.rutgers.edu:8080/data/asl-ftp/asllvd/demos/verify_start_end_handshape_annotations//test_auto_move//signs_mov/2152.mov" TargetMode="External"/><Relationship Id="rId16234" Type="http://schemas.openxmlformats.org/officeDocument/2006/relationships/hyperlink" Target="http://secrets.rutgers.edu:8080/data/asl-ftp/asllvd/demos/verify_start_end_handshape_annotations//test_auto_move//signs_mov_separ_signers/Liz_2152.mov" TargetMode="External"/><Relationship Id="rId16235" Type="http://schemas.openxmlformats.org/officeDocument/2006/relationships/hyperlink" Target="http://csr.bu.edu/ftp/asl/asllvd/demos/verify_start_end_handshape_annotations//test_auto_move//signs_mov_separ_signers/Brady_2152.mov" TargetMode="External"/><Relationship Id="rId16236" Type="http://schemas.openxmlformats.org/officeDocument/2006/relationships/hyperlink" Target="http://secrets.rutgers.edu:8080/data/asl-ftp/asllvd/demos/verify_start_end_handshape_annotations//test_auto_move//signs_mov_separ_signers/Brady_2152.mov" TargetMode="External"/><Relationship Id="rId16237" Type="http://schemas.openxmlformats.org/officeDocument/2006/relationships/hyperlink" Target="http://csr.bu.edu/ftp/asl/asllvd/demos/verify_start_end_handshape_annotations//test_auto_move//signs_mov/2156.mov" TargetMode="External"/><Relationship Id="rId16238" Type="http://schemas.openxmlformats.org/officeDocument/2006/relationships/hyperlink" Target="http://csr.bu.edu/ftp/asl/asllvd/demos/verify_start_end_handshape_annotations//test_auto_move//signs_mov_separ_signers/Liz_2156.mov" TargetMode="External"/><Relationship Id="rId16239" Type="http://schemas.openxmlformats.org/officeDocument/2006/relationships/hyperlink" Target="http://secrets.rutgers.edu:8080/data/asl-ftp/asllvd/demos/verify_start_end_handshape_annotations//test_auto_move//signs_mov/2156.mov" TargetMode="External"/><Relationship Id="rId16240" Type="http://schemas.openxmlformats.org/officeDocument/2006/relationships/hyperlink" Target="http://secrets.rutgers.edu:8080/data/asl-ftp/asllvd/demos/verify_start_end_handshape_annotations//test_auto_move//signs_mov_separ_signers/Liz_2156.mov" TargetMode="External"/><Relationship Id="rId16241" Type="http://schemas.openxmlformats.org/officeDocument/2006/relationships/hyperlink" Target="http://csr.bu.edu/ftp/asl/asllvd/demos/verify_start_end_handshape_annotations//test_auto_move//signs_mov_separ_signers/Brady_2156.mov" TargetMode="External"/><Relationship Id="rId16242" Type="http://schemas.openxmlformats.org/officeDocument/2006/relationships/hyperlink" Target="http://secrets.rutgers.edu:8080/data/asl-ftp/asllvd/demos/verify_start_end_handshape_annotations//test_auto_move//signs_mov_separ_signers/Brady_2156.mov" TargetMode="External"/><Relationship Id="rId16243" Type="http://schemas.openxmlformats.org/officeDocument/2006/relationships/hyperlink" Target="http://csr.bu.edu/ftp/asl/asllvd/demos/verify_start_end_handshape_annotations//test_auto_move//signs_mov/2159.mov" TargetMode="External"/><Relationship Id="rId16244" Type="http://schemas.openxmlformats.org/officeDocument/2006/relationships/hyperlink" Target="http://csr.bu.edu/ftp/asl/asllvd/demos/verify_start_end_handshape_annotations//test_auto_move//signs_mov_separ_signers/Brady_2159.mov" TargetMode="External"/><Relationship Id="rId16245" Type="http://schemas.openxmlformats.org/officeDocument/2006/relationships/hyperlink" Target="http://secrets.rutgers.edu:8080/data/asl-ftp/asllvd/demos/verify_start_end_handshape_annotations//test_auto_move//signs_mov/2159.mov" TargetMode="External"/><Relationship Id="rId16246" Type="http://schemas.openxmlformats.org/officeDocument/2006/relationships/hyperlink" Target="http://secrets.rutgers.edu:8080/data/asl-ftp/asllvd/demos/verify_start_end_handshape_annotations//test_auto_move//signs_mov_separ_signers/Brady_2159.mov" TargetMode="External"/><Relationship Id="rId16247" Type="http://schemas.openxmlformats.org/officeDocument/2006/relationships/hyperlink" Target="http://csr.bu.edu/ftp/asl/asllvd/demos/verify_start_end_handshape_annotations//test_auto_move//signs_mov_separ_signers/Liz_2160.mov" TargetMode="External"/><Relationship Id="rId16248" Type="http://schemas.openxmlformats.org/officeDocument/2006/relationships/hyperlink" Target="http://secrets.rutgers.edu:8080/data/asl-ftp/asllvd/demos/verify_start_end_handshape_annotations//test_auto_move//signs_mov_separ_signers/Liz_2160.mov" TargetMode="External"/><Relationship Id="rId16249" Type="http://schemas.openxmlformats.org/officeDocument/2006/relationships/hyperlink" Target="http://csr.bu.edu/ftp/asl/asllvd/demos/verify_start_end_handshape_annotations//test_auto_move//signs_mov_separ_signers/Tyler_2160.mov" TargetMode="External"/><Relationship Id="rId16250" Type="http://schemas.openxmlformats.org/officeDocument/2006/relationships/hyperlink" Target="http://secrets.rutgers.edu:8080/data/asl-ftp/asllvd/demos/verify_start_end_handshape_annotations//test_auto_move//signs_mov_separ_signers/Tyler_2160.mov" TargetMode="External"/><Relationship Id="rId16251" Type="http://schemas.openxmlformats.org/officeDocument/2006/relationships/hyperlink" Target="http://csr.bu.edu/ftp/asl/asllvd/demos/verify_start_end_handshape_annotations//test_auto_move//signs_mov/2160_3751_merged.mov" TargetMode="External"/><Relationship Id="rId16252" Type="http://schemas.openxmlformats.org/officeDocument/2006/relationships/hyperlink" Target="http://csr.bu.edu/ftp/asl/asllvd/demos/verify_start_end_handshape_annotations//test_auto_move//signs_mov_separ_signers/Brady_2160.mov" TargetMode="External"/><Relationship Id="rId16253" Type="http://schemas.openxmlformats.org/officeDocument/2006/relationships/hyperlink" Target="http://secrets.rutgers.edu:8080/data/asl-ftp/asllvd/demos/verify_start_end_handshape_annotations//test_auto_move//signs_mov/2160_3751_merged.mov" TargetMode="External"/><Relationship Id="rId16254" Type="http://schemas.openxmlformats.org/officeDocument/2006/relationships/hyperlink" Target="http://secrets.rutgers.edu:8080/data/asl-ftp/asllvd/demos/verify_start_end_handshape_annotations//test_auto_move//signs_mov_separ_signers/Brady_2160.mov" TargetMode="External"/><Relationship Id="rId16255" Type="http://schemas.openxmlformats.org/officeDocument/2006/relationships/hyperlink" Target="http://csr.bu.edu/ftp/asl/asllvd/demos/verify_start_end_handshape_annotations//test_auto_move//signs_mov_separ_signers/Brady_3751.mov" TargetMode="External"/><Relationship Id="rId16256" Type="http://schemas.openxmlformats.org/officeDocument/2006/relationships/hyperlink" Target="http://secrets.rutgers.edu:8080/data/asl-ftp/asllvd/demos/verify_start_end_handshape_annotations//test_auto_move//signs_mov_separ_signers/Brady_3751.mov" TargetMode="External"/><Relationship Id="rId16257" Type="http://schemas.openxmlformats.org/officeDocument/2006/relationships/hyperlink" Target="http://csr.bu.edu/ftp/asl/asllvd/demos/verify_start_end_handshape_annotations//test_auto_move//signs_mov_separ_signers/Lana_2160.mov" TargetMode="External"/><Relationship Id="rId16258" Type="http://schemas.openxmlformats.org/officeDocument/2006/relationships/hyperlink" Target="http://secrets.rutgers.edu:8080/data/asl-ftp/asllvd/demos/verify_start_end_handshape_annotations//test_auto_move//signs_mov_separ_signers/Lana_2160.mov" TargetMode="External"/><Relationship Id="rId16259" Type="http://schemas.openxmlformats.org/officeDocument/2006/relationships/hyperlink" Target="http://csr.bu.edu/ftp/asl/asllvd/demos/verify_start_end_handshape_annotations//test_auto_move//signs_mov_separ_signers/Dana_2160.mov" TargetMode="External"/><Relationship Id="rId16260" Type="http://schemas.openxmlformats.org/officeDocument/2006/relationships/hyperlink" Target="http://secrets.rutgers.edu:8080/data/asl-ftp/asllvd/demos/verify_start_end_handshape_annotations//test_auto_move//signs_mov_separ_signers/Dana_2160.mov" TargetMode="External"/><Relationship Id="rId16261" Type="http://schemas.openxmlformats.org/officeDocument/2006/relationships/hyperlink" Target="http://csr.bu.edu/ftp/asl/asllvd/demos/verify_start_end_handshape_annotations//test_auto_move//signs_mov_separ_signers/Liz_3851.mov" TargetMode="External"/><Relationship Id="rId16262" Type="http://schemas.openxmlformats.org/officeDocument/2006/relationships/hyperlink" Target="http://secrets.rutgers.edu:8080/data/asl-ftp/asllvd/demos/verify_start_end_handshape_annotations//test_auto_move//signs_mov_separ_signers/Liz_3851.mov" TargetMode="External"/><Relationship Id="rId16263" Type="http://schemas.openxmlformats.org/officeDocument/2006/relationships/hyperlink" Target="http://csr.bu.edu/ftp/asl/asllvd/demos/verify_start_end_handshape_annotations//test_auto_move//signs_mov/3851_5439_merged.mov" TargetMode="External"/><Relationship Id="rId16264" Type="http://schemas.openxmlformats.org/officeDocument/2006/relationships/hyperlink" Target="http://csr.bu.edu/ftp/asl/asllvd/demos/verify_start_end_handshape_annotations//test_auto_move//signs_mov_separ_signers/Liz_5439.mov" TargetMode="External"/><Relationship Id="rId16265" Type="http://schemas.openxmlformats.org/officeDocument/2006/relationships/hyperlink" Target="http://secrets.rutgers.edu:8080/data/asl-ftp/asllvd/demos/verify_start_end_handshape_annotations//test_auto_move//signs_mov/3851_5439_merged.mov" TargetMode="External"/><Relationship Id="rId16266" Type="http://schemas.openxmlformats.org/officeDocument/2006/relationships/hyperlink" Target="http://secrets.rutgers.edu:8080/data/asl-ftp/asllvd/demos/verify_start_end_handshape_annotations//test_auto_move//signs_mov_separ_signers/Liz_5439.mov" TargetMode="External"/><Relationship Id="rId16267" Type="http://schemas.openxmlformats.org/officeDocument/2006/relationships/hyperlink" Target="http://csr.bu.edu/ftp/asl/asllvd/demos/verify_start_end_handshape_annotations//test_auto_move//signs_mov_separ_signers/Brady_3851.mov" TargetMode="External"/><Relationship Id="rId16268" Type="http://schemas.openxmlformats.org/officeDocument/2006/relationships/hyperlink" Target="http://secrets.rutgers.edu:8080/data/asl-ftp/asllvd/demos/verify_start_end_handshape_annotations//test_auto_move//signs_mov_separ_signers/Brady_3851.mov" TargetMode="External"/><Relationship Id="rId16269" Type="http://schemas.openxmlformats.org/officeDocument/2006/relationships/hyperlink" Target="http://csr.bu.edu/ftp/asl/asllvd/demos/verify_start_end_handshape_annotations//test_auto_move//signs_mov_separ_signers/Brady_5439.mov" TargetMode="External"/><Relationship Id="rId16270" Type="http://schemas.openxmlformats.org/officeDocument/2006/relationships/hyperlink" Target="http://secrets.rutgers.edu:8080/data/asl-ftp/asllvd/demos/verify_start_end_handshape_annotations//test_auto_move//signs_mov_separ_signers/Brady_5439.mov" TargetMode="External"/><Relationship Id="rId16271" Type="http://schemas.openxmlformats.org/officeDocument/2006/relationships/hyperlink" Target="http://csr.bu.edu/ftp/asl/asllvd/demos/verify_start_end_handshape_annotations//test_auto_move//signs_mov/2162.mov" TargetMode="External"/><Relationship Id="rId16272" Type="http://schemas.openxmlformats.org/officeDocument/2006/relationships/hyperlink" Target="http://csr.bu.edu/ftp/asl/asllvd/demos/verify_start_end_handshape_annotations//test_auto_move//signs_mov_separ_signers/Liz_2162.mov" TargetMode="External"/><Relationship Id="rId16273" Type="http://schemas.openxmlformats.org/officeDocument/2006/relationships/hyperlink" Target="http://secrets.rutgers.edu:8080/data/asl-ftp/asllvd/demos/verify_start_end_handshape_annotations//test_auto_move//signs_mov/2162.mov" TargetMode="External"/><Relationship Id="rId16274" Type="http://schemas.openxmlformats.org/officeDocument/2006/relationships/hyperlink" Target="http://secrets.rutgers.edu:8080/data/asl-ftp/asllvd/demos/verify_start_end_handshape_annotations//test_auto_move//signs_mov_separ_signers/Liz_2162.mov" TargetMode="External"/><Relationship Id="rId16275" Type="http://schemas.openxmlformats.org/officeDocument/2006/relationships/hyperlink" Target="http://csr.bu.edu/ftp/asl/asllvd/demos/verify_start_end_handshape_annotations//test_auto_move//signs_mov_separ_signers/Brady_2162.mov" TargetMode="External"/><Relationship Id="rId16276" Type="http://schemas.openxmlformats.org/officeDocument/2006/relationships/hyperlink" Target="http://secrets.rutgers.edu:8080/data/asl-ftp/asllvd/demos/verify_start_end_handshape_annotations//test_auto_move//signs_mov_separ_signers/Brady_2162.mov" TargetMode="External"/><Relationship Id="rId16277" Type="http://schemas.openxmlformats.org/officeDocument/2006/relationships/hyperlink" Target="http://csr.bu.edu/ftp/asl/asllvd/demos/verify_start_end_handshape_annotations//test_auto_move//signs_mov/2163.mov" TargetMode="External"/><Relationship Id="rId16278" Type="http://schemas.openxmlformats.org/officeDocument/2006/relationships/hyperlink" Target="http://csr.bu.edu/ftp/asl/asllvd/demos/verify_start_end_handshape_annotations//test_auto_move//signs_mov_separ_signers/Liz_2163.mov" TargetMode="External"/><Relationship Id="rId16279" Type="http://schemas.openxmlformats.org/officeDocument/2006/relationships/hyperlink" Target="http://secrets.rutgers.edu:8080/data/asl-ftp/asllvd/demos/verify_start_end_handshape_annotations//test_auto_move//signs_mov/2163.mov" TargetMode="External"/><Relationship Id="rId16280" Type="http://schemas.openxmlformats.org/officeDocument/2006/relationships/hyperlink" Target="http://secrets.rutgers.edu:8080/data/asl-ftp/asllvd/demos/verify_start_end_handshape_annotations//test_auto_move//signs_mov_separ_signers/Liz_2163.mov" TargetMode="External"/><Relationship Id="rId16281" Type="http://schemas.openxmlformats.org/officeDocument/2006/relationships/hyperlink" Target="http://csr.bu.edu/ftp/asl/asllvd/demos/verify_start_end_handshape_annotations//test_auto_move//signs_mov/2166.mov" TargetMode="External"/><Relationship Id="rId16282" Type="http://schemas.openxmlformats.org/officeDocument/2006/relationships/hyperlink" Target="http://csr.bu.edu/ftp/asl/asllvd/demos/verify_start_end_handshape_annotations//test_auto_move//signs_mov_separ_signers/Liz_2166.mov" TargetMode="External"/><Relationship Id="rId16283" Type="http://schemas.openxmlformats.org/officeDocument/2006/relationships/hyperlink" Target="http://secrets.rutgers.edu:8080/data/asl-ftp/asllvd/demos/verify_start_end_handshape_annotations//test_auto_move//signs_mov/2166.mov" TargetMode="External"/><Relationship Id="rId16284" Type="http://schemas.openxmlformats.org/officeDocument/2006/relationships/hyperlink" Target="http://secrets.rutgers.edu:8080/data/asl-ftp/asllvd/demos/verify_start_end_handshape_annotations//test_auto_move//signs_mov_separ_signers/Liz_2166.mov" TargetMode="External"/><Relationship Id="rId16285" Type="http://schemas.openxmlformats.org/officeDocument/2006/relationships/hyperlink" Target="http://csr.bu.edu/ftp/asl/asllvd/demos/verify_start_end_handshape_annotations//test_auto_move//signs_mov_separ_signers/Brady_2166.mov" TargetMode="External"/><Relationship Id="rId16286" Type="http://schemas.openxmlformats.org/officeDocument/2006/relationships/hyperlink" Target="http://secrets.rutgers.edu:8080/data/asl-ftp/asllvd/demos/verify_start_end_handshape_annotations//test_auto_move//signs_mov_separ_signers/Brady_2166.mov" TargetMode="External"/><Relationship Id="rId16287" Type="http://schemas.openxmlformats.org/officeDocument/2006/relationships/hyperlink" Target="http://csr.bu.edu/ftp/asl/asllvd/demos/verify_start_end_handshape_annotations//test_auto_move//signs_mov_separ_signers/Liz_5725.mov" TargetMode="External"/><Relationship Id="rId16288" Type="http://schemas.openxmlformats.org/officeDocument/2006/relationships/hyperlink" Target="http://secrets.rutgers.edu:8080/data/asl-ftp/asllvd/demos/verify_start_end_handshape_annotations//test_auto_move//signs_mov_separ_signers/Liz_5725.mov" TargetMode="External"/><Relationship Id="rId16289" Type="http://schemas.openxmlformats.org/officeDocument/2006/relationships/hyperlink" Target="http://csr.bu.edu/ftp/asl/asllvd/demos/verify_start_end_handshape_annotations//test_auto_move//signs_mov/5725_16381_merged.mov" TargetMode="External"/><Relationship Id="rId16290" Type="http://schemas.openxmlformats.org/officeDocument/2006/relationships/hyperlink" Target="http://csr.bu.edu/ftp/asl/asllvd/demos/verify_start_end_handshape_annotations//test_auto_move//signs_mov_separ_signers/Liz_16381.mov" TargetMode="External"/><Relationship Id="rId16291" Type="http://schemas.openxmlformats.org/officeDocument/2006/relationships/hyperlink" Target="http://secrets.rutgers.edu:8080/data/asl-ftp/asllvd/demos/verify_start_end_handshape_annotations//test_auto_move//signs_mov/5725_16381_merged.mov" TargetMode="External"/><Relationship Id="rId16292" Type="http://schemas.openxmlformats.org/officeDocument/2006/relationships/hyperlink" Target="http://secrets.rutgers.edu:8080/data/asl-ftp/asllvd/demos/verify_start_end_handshape_annotations//test_auto_move//signs_mov_separ_signers/Liz_16381.mov" TargetMode="External"/><Relationship Id="rId16293" Type="http://schemas.openxmlformats.org/officeDocument/2006/relationships/hyperlink" Target="http://csr.bu.edu/ftp/asl/asllvd/demos/verify_start_end_handshape_annotations//test_auto_move//signs_mov_separ_signers/Brady_5725.mov" TargetMode="External"/><Relationship Id="rId16294" Type="http://schemas.openxmlformats.org/officeDocument/2006/relationships/hyperlink" Target="http://secrets.rutgers.edu:8080/data/asl-ftp/asllvd/demos/verify_start_end_handshape_annotations//test_auto_move//signs_mov_separ_signers/Brady_5725.mov" TargetMode="External"/><Relationship Id="rId16295" Type="http://schemas.openxmlformats.org/officeDocument/2006/relationships/hyperlink" Target="http://csr.bu.edu/ftp/asl/asllvd/demos/verify_start_end_handshape_annotations//test_auto_move//signs_mov_separ_signers/Brady_16381.mov" TargetMode="External"/><Relationship Id="rId16296" Type="http://schemas.openxmlformats.org/officeDocument/2006/relationships/hyperlink" Target="http://secrets.rutgers.edu:8080/data/asl-ftp/asllvd/demos/verify_start_end_handshape_annotations//test_auto_move//signs_mov_separ_signers/Brady_16381.mov" TargetMode="External"/><Relationship Id="rId16297" Type="http://schemas.openxmlformats.org/officeDocument/2006/relationships/hyperlink" Target="http://csr.bu.edu/ftp/asl/asllvd/demos/verify_start_end_handshape_annotations//test_auto_move//signs_mov/2168.mov" TargetMode="External"/><Relationship Id="rId16298" Type="http://schemas.openxmlformats.org/officeDocument/2006/relationships/hyperlink" Target="http://csr.bu.edu/ftp/asl/asllvd/demos/verify_start_end_handshape_annotations//test_auto_move//signs_mov_separ_signers/Brady_2168.mov" TargetMode="External"/><Relationship Id="rId16299" Type="http://schemas.openxmlformats.org/officeDocument/2006/relationships/hyperlink" Target="http://secrets.rutgers.edu:8080/data/asl-ftp/asllvd/demos/verify_start_end_handshape_annotations//test_auto_move//signs_mov/2168.mov" TargetMode="External"/><Relationship Id="rId16300" Type="http://schemas.openxmlformats.org/officeDocument/2006/relationships/hyperlink" Target="http://secrets.rutgers.edu:8080/data/asl-ftp/asllvd/demos/verify_start_end_handshape_annotations//test_auto_move//signs_mov_separ_signers/Brady_2168.mov" TargetMode="External"/><Relationship Id="rId16301" Type="http://schemas.openxmlformats.org/officeDocument/2006/relationships/hyperlink" Target="http://csr.bu.edu/ftp/asl/asllvd/demos/verify_start_end_handshape_annotations//test_auto_move//signs_mov/16566.mov" TargetMode="External"/><Relationship Id="rId16302" Type="http://schemas.openxmlformats.org/officeDocument/2006/relationships/hyperlink" Target="http://csr.bu.edu/ftp/asl/asllvd/demos/verify_start_end_handshape_annotations//test_auto_move//signs_mov_separ_signers/Liz_16566.mov" TargetMode="External"/><Relationship Id="rId16303" Type="http://schemas.openxmlformats.org/officeDocument/2006/relationships/hyperlink" Target="http://secrets.rutgers.edu:8080/data/asl-ftp/asllvd/demos/verify_start_end_handshape_annotations//test_auto_move//signs_mov/16566.mov" TargetMode="External"/><Relationship Id="rId16304" Type="http://schemas.openxmlformats.org/officeDocument/2006/relationships/hyperlink" Target="http://secrets.rutgers.edu:8080/data/asl-ftp/asllvd/demos/verify_start_end_handshape_annotations//test_auto_move//signs_mov_separ_signers/Liz_16566.mov" TargetMode="External"/><Relationship Id="rId16305" Type="http://schemas.openxmlformats.org/officeDocument/2006/relationships/hyperlink" Target="http://csr.bu.edu/ftp/asl/asllvd/demos/verify_start_end_handshape_annotations//test_auto_move//signs_mov/2169.mov" TargetMode="External"/><Relationship Id="rId16306" Type="http://schemas.openxmlformats.org/officeDocument/2006/relationships/hyperlink" Target="http://csr.bu.edu/ftp/asl/asllvd/demos/verify_start_end_handshape_annotations//test_auto_move//signs_mov_separ_signers/Liz_2169.mov" TargetMode="External"/><Relationship Id="rId16307" Type="http://schemas.openxmlformats.org/officeDocument/2006/relationships/hyperlink" Target="http://secrets.rutgers.edu:8080/data/asl-ftp/asllvd/demos/verify_start_end_handshape_annotations//test_auto_move//signs_mov/2169.mov" TargetMode="External"/><Relationship Id="rId16308" Type="http://schemas.openxmlformats.org/officeDocument/2006/relationships/hyperlink" Target="http://secrets.rutgers.edu:8080/data/asl-ftp/asllvd/demos/verify_start_end_handshape_annotations//test_auto_move//signs_mov_separ_signers/Liz_2169.mov" TargetMode="External"/><Relationship Id="rId16309" Type="http://schemas.openxmlformats.org/officeDocument/2006/relationships/hyperlink" Target="http://csr.bu.edu/ftp/asl/asllvd/demos/verify_start_end_handshape_annotations//test_auto_move//signs_mov_separ_signers/Brady_2169.mov" TargetMode="External"/><Relationship Id="rId16310" Type="http://schemas.openxmlformats.org/officeDocument/2006/relationships/hyperlink" Target="http://secrets.rutgers.edu:8080/data/asl-ftp/asllvd/demos/verify_start_end_handshape_annotations//test_auto_move//signs_mov_separ_signers/Brady_2169.mov" TargetMode="External"/><Relationship Id="rId16311" Type="http://schemas.openxmlformats.org/officeDocument/2006/relationships/hyperlink" Target="http://csr.bu.edu/ftp/asl/asllvd/demos/verify_start_end_handshape_annotations//test_auto_move//signs_mov_separ_signers/Liz_2170.mov" TargetMode="External"/><Relationship Id="rId16312" Type="http://schemas.openxmlformats.org/officeDocument/2006/relationships/hyperlink" Target="http://secrets.rutgers.edu:8080/data/asl-ftp/asllvd/demos/verify_start_end_handshape_annotations//test_auto_move//signs_mov_separ_signers/Liz_2170.mov" TargetMode="External"/><Relationship Id="rId16313" Type="http://schemas.openxmlformats.org/officeDocument/2006/relationships/hyperlink" Target="http://csr.bu.edu/ftp/asl/asllvd/demos/verify_start_end_handshape_annotations//test_auto_move//signs_mov/2170.mov" TargetMode="External"/><Relationship Id="rId16314" Type="http://schemas.openxmlformats.org/officeDocument/2006/relationships/hyperlink" Target="http://csr.bu.edu/ftp/asl/asllvd/demos/verify_start_end_handshape_annotations//test_auto_move//signs_mov_separ_signers/Brady_2170.mov" TargetMode="External"/><Relationship Id="rId16315" Type="http://schemas.openxmlformats.org/officeDocument/2006/relationships/hyperlink" Target="http://secrets.rutgers.edu:8080/data/asl-ftp/asllvd/demos/verify_start_end_handshape_annotations//test_auto_move//signs_mov/2170.mov" TargetMode="External"/><Relationship Id="rId16316" Type="http://schemas.openxmlformats.org/officeDocument/2006/relationships/hyperlink" Target="http://secrets.rutgers.edu:8080/data/asl-ftp/asllvd/demos/verify_start_end_handshape_annotations//test_auto_move//signs_mov_separ_signers/Brady_2170.mov" TargetMode="External"/><Relationship Id="rId16317" Type="http://schemas.openxmlformats.org/officeDocument/2006/relationships/hyperlink" Target="http://csr.bu.edu/ftp/asl/asllvd/demos/verify_start_end_handshape_annotations//test_auto_move//signs_mov_separ_signers/Lana_2170.mov" TargetMode="External"/><Relationship Id="rId16318" Type="http://schemas.openxmlformats.org/officeDocument/2006/relationships/hyperlink" Target="http://secrets.rutgers.edu:8080/data/asl-ftp/asllvd/demos/verify_start_end_handshape_annotations//test_auto_move//signs_mov_separ_signers/Lana_2170.mov" TargetMode="External"/><Relationship Id="rId16319" Type="http://schemas.openxmlformats.org/officeDocument/2006/relationships/hyperlink" Target="http://csr.bu.edu/ftp/asl/asllvd/demos/verify_start_end_handshape_annotations//test_auto_move//signs_mov_separ_signers/Dana_2170.mov" TargetMode="External"/><Relationship Id="rId16320" Type="http://schemas.openxmlformats.org/officeDocument/2006/relationships/hyperlink" Target="http://secrets.rutgers.edu:8080/data/asl-ftp/asllvd/demos/verify_start_end_handshape_annotations//test_auto_move//signs_mov_separ_signers/Dana_2170.mov" TargetMode="External"/><Relationship Id="rId16321" Type="http://schemas.openxmlformats.org/officeDocument/2006/relationships/hyperlink" Target="http://csr.bu.edu/ftp/asl/asllvd/demos/verify_start_end_handshape_annotations//test_auto_move//signs_mov/2171.mov" TargetMode="External"/><Relationship Id="rId16322" Type="http://schemas.openxmlformats.org/officeDocument/2006/relationships/hyperlink" Target="http://csr.bu.edu/ftp/asl/asllvd/demos/verify_start_end_handshape_annotations//test_auto_move//signs_mov_separ_signers/Liz_2171.mov" TargetMode="External"/><Relationship Id="rId16323" Type="http://schemas.openxmlformats.org/officeDocument/2006/relationships/hyperlink" Target="http://secrets.rutgers.edu:8080/data/asl-ftp/asllvd/demos/verify_start_end_handshape_annotations//test_auto_move//signs_mov/2171.mov" TargetMode="External"/><Relationship Id="rId16324" Type="http://schemas.openxmlformats.org/officeDocument/2006/relationships/hyperlink" Target="http://secrets.rutgers.edu:8080/data/asl-ftp/asllvd/demos/verify_start_end_handshape_annotations//test_auto_move//signs_mov_separ_signers/Liz_2171.mov" TargetMode="External"/><Relationship Id="rId16325" Type="http://schemas.openxmlformats.org/officeDocument/2006/relationships/hyperlink" Target="http://csr.bu.edu/ftp/asl/asllvd/demos/verify_start_end_handshape_annotations//test_auto_move//signs_mov_separ_signers/Brady_2171.mov" TargetMode="External"/><Relationship Id="rId16326" Type="http://schemas.openxmlformats.org/officeDocument/2006/relationships/hyperlink" Target="http://secrets.rutgers.edu:8080/data/asl-ftp/asllvd/demos/verify_start_end_handshape_annotations//test_auto_move//signs_mov_separ_signers/Brady_2171.mov" TargetMode="External"/><Relationship Id="rId16327" Type="http://schemas.openxmlformats.org/officeDocument/2006/relationships/hyperlink" Target="http://csr.bu.edu/ftp/asl/asllvd/demos/verify_start_end_handshape_annotations//test_auto_move//signs_mov/2172.mov" TargetMode="External"/><Relationship Id="rId16328" Type="http://schemas.openxmlformats.org/officeDocument/2006/relationships/hyperlink" Target="http://csr.bu.edu/ftp/asl/asllvd/demos/verify_start_end_handshape_annotations//test_auto_move//signs_mov_separ_signers/Liz_2172.mov" TargetMode="External"/><Relationship Id="rId16329" Type="http://schemas.openxmlformats.org/officeDocument/2006/relationships/hyperlink" Target="http://secrets.rutgers.edu:8080/data/asl-ftp/asllvd/demos/verify_start_end_handshape_annotations//test_auto_move//signs_mov/2172.mov" TargetMode="External"/><Relationship Id="rId16330" Type="http://schemas.openxmlformats.org/officeDocument/2006/relationships/hyperlink" Target="http://secrets.rutgers.edu:8080/data/asl-ftp/asllvd/demos/verify_start_end_handshape_annotations//test_auto_move//signs_mov_separ_signers/Liz_2172.mov" TargetMode="External"/><Relationship Id="rId16331" Type="http://schemas.openxmlformats.org/officeDocument/2006/relationships/hyperlink" Target="http://csr.bu.edu/ftp/asl/asllvd/demos/verify_start_end_handshape_annotations//test_auto_move//signs_mov_separ_signers/Brady_2172.mov" TargetMode="External"/><Relationship Id="rId16332" Type="http://schemas.openxmlformats.org/officeDocument/2006/relationships/hyperlink" Target="http://secrets.rutgers.edu:8080/data/asl-ftp/asllvd/demos/verify_start_end_handshape_annotations//test_auto_move//signs_mov_separ_signers/Brady_2172.mov" TargetMode="External"/><Relationship Id="rId16333" Type="http://schemas.openxmlformats.org/officeDocument/2006/relationships/hyperlink" Target="http://csr.bu.edu/ftp/asl/asllvd/demos/verify_start_end_handshape_annotations//test_auto_move//signs_mov_separ_signers/Liz_2173.mov" TargetMode="External"/><Relationship Id="rId16334" Type="http://schemas.openxmlformats.org/officeDocument/2006/relationships/hyperlink" Target="http://secrets.rutgers.edu:8080/data/asl-ftp/asllvd/demos/verify_start_end_handshape_annotations//test_auto_move//signs_mov_separ_signers/Liz_2173.mov" TargetMode="External"/><Relationship Id="rId16335" Type="http://schemas.openxmlformats.org/officeDocument/2006/relationships/hyperlink" Target="http://csr.bu.edu/ftp/asl/asllvd/demos/verify_start_end_handshape_annotations//test_auto_move//signs_mov_separ_signers/Liz_3758.mov" TargetMode="External"/><Relationship Id="rId16336" Type="http://schemas.openxmlformats.org/officeDocument/2006/relationships/hyperlink" Target="http://secrets.rutgers.edu:8080/data/asl-ftp/asllvd/demos/verify_start_end_handshape_annotations//test_auto_move//signs_mov_separ_signers/Liz_3758.mov" TargetMode="External"/><Relationship Id="rId16337" Type="http://schemas.openxmlformats.org/officeDocument/2006/relationships/hyperlink" Target="http://csr.bu.edu/ftp/asl/asllvd/demos/verify_start_end_handshape_annotations//test_auto_move//signs_mov_separ_signers/Brady_2173.mov" TargetMode="External"/><Relationship Id="rId16338" Type="http://schemas.openxmlformats.org/officeDocument/2006/relationships/hyperlink" Target="http://secrets.rutgers.edu:8080/data/asl-ftp/asllvd/demos/verify_start_end_handshape_annotations//test_auto_move//signs_mov_separ_signers/Brady_2173.mov" TargetMode="External"/><Relationship Id="rId16339" Type="http://schemas.openxmlformats.org/officeDocument/2006/relationships/hyperlink" Target="http://csr.bu.edu/ftp/asl/asllvd/demos/verify_start_end_handshape_annotations//test_auto_move//signs_mov/2173_3758_3793_merged.mov" TargetMode="External"/><Relationship Id="rId16340" Type="http://schemas.openxmlformats.org/officeDocument/2006/relationships/hyperlink" Target="http://csr.bu.edu/ftp/asl/asllvd/demos/verify_start_end_handshape_annotations//test_auto_move//signs_mov_separ_signers/Brady_3758.mov" TargetMode="External"/><Relationship Id="rId16341" Type="http://schemas.openxmlformats.org/officeDocument/2006/relationships/hyperlink" Target="http://secrets.rutgers.edu:8080/data/asl-ftp/asllvd/demos/verify_start_end_handshape_annotations//test_auto_move//signs_mov/2173_3758_3793_merged.mov" TargetMode="External"/><Relationship Id="rId16342" Type="http://schemas.openxmlformats.org/officeDocument/2006/relationships/hyperlink" Target="http://secrets.rutgers.edu:8080/data/asl-ftp/asllvd/demos/verify_start_end_handshape_annotations//test_auto_move//signs_mov_separ_signers/Brady_3758.mov" TargetMode="External"/><Relationship Id="rId16343" Type="http://schemas.openxmlformats.org/officeDocument/2006/relationships/hyperlink" Target="http://csr.bu.edu/ftp/asl/asllvd/demos/verify_start_end_handshape_annotations//test_auto_move//signs_mov_separ_signers/Brady_3793.mov" TargetMode="External"/><Relationship Id="rId16344" Type="http://schemas.openxmlformats.org/officeDocument/2006/relationships/hyperlink" Target="http://secrets.rutgers.edu:8080/data/asl-ftp/asllvd/demos/verify_start_end_handshape_annotations//test_auto_move//signs_mov_separ_signers/Brady_3793.mov" TargetMode="External"/><Relationship Id="rId16345" Type="http://schemas.openxmlformats.org/officeDocument/2006/relationships/hyperlink" Target="http://csr.bu.edu/ftp/asl/asllvd/demos/verify_start_end_handshape_annotations//test_auto_move//signs_mov_separ_signers/Lana_2173.mov" TargetMode="External"/><Relationship Id="rId16346" Type="http://schemas.openxmlformats.org/officeDocument/2006/relationships/hyperlink" Target="http://secrets.rutgers.edu:8080/data/asl-ftp/asllvd/demos/verify_start_end_handshape_annotations//test_auto_move//signs_mov_separ_signers/Lana_2173.mov" TargetMode="External"/><Relationship Id="rId16347" Type="http://schemas.openxmlformats.org/officeDocument/2006/relationships/hyperlink" Target="http://csr.bu.edu/ftp/asl/asllvd/demos/verify_start_end_handshape_annotations//test_auto_move//signs_mov_separ_signers/Dana_2173.mov" TargetMode="External"/><Relationship Id="rId16348" Type="http://schemas.openxmlformats.org/officeDocument/2006/relationships/hyperlink" Target="http://secrets.rutgers.edu:8080/data/asl-ftp/asllvd/demos/verify_start_end_handshape_annotations//test_auto_move//signs_mov_separ_signers/Dana_2173.mov" TargetMode="External"/><Relationship Id="rId16349" Type="http://schemas.openxmlformats.org/officeDocument/2006/relationships/hyperlink" Target="http://csr.bu.edu/ftp/asl/asllvd/demos/verify_start_end_handshape_annotations//test_auto_move//signs_mov_separ_signers/Dana_3758.mov" TargetMode="External"/><Relationship Id="rId16350" Type="http://schemas.openxmlformats.org/officeDocument/2006/relationships/hyperlink" Target="http://secrets.rutgers.edu:8080/data/asl-ftp/asllvd/demos/verify_start_end_handshape_annotations//test_auto_move//signs_mov_separ_signers/Dana_3758.mov" TargetMode="External"/><Relationship Id="rId16351" Type="http://schemas.openxmlformats.org/officeDocument/2006/relationships/hyperlink" Target="http://csr.bu.edu/ftp/asl/asllvd/demos/verify_start_end_handshape_annotations//test_auto_move//signs_mov/5419.mov" TargetMode="External"/><Relationship Id="rId16352" Type="http://schemas.openxmlformats.org/officeDocument/2006/relationships/hyperlink" Target="http://csr.bu.edu/ftp/asl/asllvd/demos/verify_start_end_handshape_annotations//test_auto_move//signs_mov_separ_signers/Liz_5419.mov" TargetMode="External"/><Relationship Id="rId16353" Type="http://schemas.openxmlformats.org/officeDocument/2006/relationships/hyperlink" Target="http://secrets.rutgers.edu:8080/data/asl-ftp/asllvd/demos/verify_start_end_handshape_annotations//test_auto_move//signs_mov/5419.mov" TargetMode="External"/><Relationship Id="rId16354" Type="http://schemas.openxmlformats.org/officeDocument/2006/relationships/hyperlink" Target="http://secrets.rutgers.edu:8080/data/asl-ftp/asllvd/demos/verify_start_end_handshape_annotations//test_auto_move//signs_mov_separ_signers/Liz_5419.mov" TargetMode="External"/><Relationship Id="rId16355" Type="http://schemas.openxmlformats.org/officeDocument/2006/relationships/hyperlink" Target="http://csr.bu.edu/ftp/asl/asllvd/demos/verify_start_end_handshape_annotations//test_auto_move//signs_mov_separ_signers/Brady_5419.mov" TargetMode="External"/><Relationship Id="rId16356" Type="http://schemas.openxmlformats.org/officeDocument/2006/relationships/hyperlink" Target="http://secrets.rutgers.edu:8080/data/asl-ftp/asllvd/demos/verify_start_end_handshape_annotations//test_auto_move//signs_mov_separ_signers/Brady_5419.mov" TargetMode="External"/><Relationship Id="rId16357" Type="http://schemas.openxmlformats.org/officeDocument/2006/relationships/hyperlink" Target="http://csr.bu.edu/ftp/asl/asllvd/demos/verify_start_end_handshape_annotations//test_auto_move//signs_mov/5440.mov" TargetMode="External"/><Relationship Id="rId16358" Type="http://schemas.openxmlformats.org/officeDocument/2006/relationships/hyperlink" Target="http://csr.bu.edu/ftp/asl/asllvd/demos/verify_start_end_handshape_annotations//test_auto_move//signs_mov_separ_signers/Liz_5440.mov" TargetMode="External"/><Relationship Id="rId16359" Type="http://schemas.openxmlformats.org/officeDocument/2006/relationships/hyperlink" Target="http://secrets.rutgers.edu:8080/data/asl-ftp/asllvd/demos/verify_start_end_handshape_annotations//test_auto_move//signs_mov/5440.mov" TargetMode="External"/><Relationship Id="rId16360" Type="http://schemas.openxmlformats.org/officeDocument/2006/relationships/hyperlink" Target="http://secrets.rutgers.edu:8080/data/asl-ftp/asllvd/demos/verify_start_end_handshape_annotations//test_auto_move//signs_mov_separ_signers/Liz_5440.mov" TargetMode="External"/><Relationship Id="rId16361" Type="http://schemas.openxmlformats.org/officeDocument/2006/relationships/hyperlink" Target="http://csr.bu.edu/ftp/asl/asllvd/demos/verify_start_end_handshape_annotations//test_auto_move//signs_mov_separ_signers/Brady_5440.mov" TargetMode="External"/><Relationship Id="rId16362" Type="http://schemas.openxmlformats.org/officeDocument/2006/relationships/hyperlink" Target="http://secrets.rutgers.edu:8080/data/asl-ftp/asllvd/demos/verify_start_end_handshape_annotations//test_auto_move//signs_mov_separ_signers/Brady_5440.mov" TargetMode="External"/><Relationship Id="rId16363" Type="http://schemas.openxmlformats.org/officeDocument/2006/relationships/hyperlink" Target="http://csr.bu.edu/ftp/asl/asllvd/demos/verify_start_end_handshape_annotations//test_auto_move//signs_mov_separ_signers/Liz_5619.mov" TargetMode="External"/><Relationship Id="rId16364" Type="http://schemas.openxmlformats.org/officeDocument/2006/relationships/hyperlink" Target="http://secrets.rutgers.edu:8080/data/asl-ftp/asllvd/demos/verify_start_end_handshape_annotations//test_auto_move//signs_mov_separ_signers/Liz_5619.mov" TargetMode="External"/><Relationship Id="rId16365" Type="http://schemas.openxmlformats.org/officeDocument/2006/relationships/hyperlink" Target="http://csr.bu.edu/ftp/asl/asllvd/demos/verify_start_end_handshape_annotations//test_auto_move//signs_mov/5619_5781_merged.mov" TargetMode="External"/><Relationship Id="rId16366" Type="http://schemas.openxmlformats.org/officeDocument/2006/relationships/hyperlink" Target="http://csr.bu.edu/ftp/asl/asllvd/demos/verify_start_end_handshape_annotations//test_auto_move//signs_mov_separ_signers/Brady_5619.mov" TargetMode="External"/><Relationship Id="rId16367" Type="http://schemas.openxmlformats.org/officeDocument/2006/relationships/hyperlink" Target="http://secrets.rutgers.edu:8080/data/asl-ftp/asllvd/demos/verify_start_end_handshape_annotations//test_auto_move//signs_mov/5619_5781_merged.mov" TargetMode="External"/><Relationship Id="rId16368" Type="http://schemas.openxmlformats.org/officeDocument/2006/relationships/hyperlink" Target="http://secrets.rutgers.edu:8080/data/asl-ftp/asllvd/demos/verify_start_end_handshape_annotations//test_auto_move//signs_mov_separ_signers/Brady_5619.mov" TargetMode="External"/><Relationship Id="rId16369" Type="http://schemas.openxmlformats.org/officeDocument/2006/relationships/hyperlink" Target="http://csr.bu.edu/ftp/asl/asllvd/demos/verify_start_end_handshape_annotations//test_auto_move//signs_mov_separ_signers/Brady_5781.mov" TargetMode="External"/><Relationship Id="rId16370" Type="http://schemas.openxmlformats.org/officeDocument/2006/relationships/hyperlink" Target="http://secrets.rutgers.edu:8080/data/asl-ftp/asllvd/demos/verify_start_end_handshape_annotations//test_auto_move//signs_mov_separ_signers/Brady_5781.mov" TargetMode="External"/><Relationship Id="rId16371" Type="http://schemas.openxmlformats.org/officeDocument/2006/relationships/hyperlink" Target="http://csr.bu.edu/ftp/asl/asllvd/demos/verify_start_end_handshape_annotations//test_auto_move//signs_mov_separ_signers/Liz_5839.mov" TargetMode="External"/><Relationship Id="rId16372" Type="http://schemas.openxmlformats.org/officeDocument/2006/relationships/hyperlink" Target="http://secrets.rutgers.edu:8080/data/asl-ftp/asllvd/demos/verify_start_end_handshape_annotations//test_auto_move//signs_mov_separ_signers/Liz_5839.mov" TargetMode="External"/><Relationship Id="rId16373" Type="http://schemas.openxmlformats.org/officeDocument/2006/relationships/hyperlink" Target="http://csr.bu.edu/ftp/asl/asllvd/demos/verify_start_end_handshape_annotations//test_auto_move//signs_mov/5839_5862_merged.mov" TargetMode="External"/><Relationship Id="rId16374" Type="http://schemas.openxmlformats.org/officeDocument/2006/relationships/hyperlink" Target="http://csr.bu.edu/ftp/asl/asllvd/demos/verify_start_end_handshape_annotations//test_auto_move//signs_mov_separ_signers/Brady_5839.mov" TargetMode="External"/><Relationship Id="rId16375" Type="http://schemas.openxmlformats.org/officeDocument/2006/relationships/hyperlink" Target="http://secrets.rutgers.edu:8080/data/asl-ftp/asllvd/demos/verify_start_end_handshape_annotations//test_auto_move//signs_mov/5839_5862_merged.mov" TargetMode="External"/><Relationship Id="rId16376" Type="http://schemas.openxmlformats.org/officeDocument/2006/relationships/hyperlink" Target="http://secrets.rutgers.edu:8080/data/asl-ftp/asllvd/demos/verify_start_end_handshape_annotations//test_auto_move//signs_mov_separ_signers/Brady_5839.mov" TargetMode="External"/><Relationship Id="rId16377" Type="http://schemas.openxmlformats.org/officeDocument/2006/relationships/hyperlink" Target="http://csr.bu.edu/ftp/asl/asllvd/demos/verify_start_end_handshape_annotations//test_auto_move//signs_mov_separ_signers/Brady_5862.mov" TargetMode="External"/><Relationship Id="rId16378" Type="http://schemas.openxmlformats.org/officeDocument/2006/relationships/hyperlink" Target="http://secrets.rutgers.edu:8080/data/asl-ftp/asllvd/demos/verify_start_end_handshape_annotations//test_auto_move//signs_mov_separ_signers/Brady_5862.mov" TargetMode="External"/><Relationship Id="rId16379" Type="http://schemas.openxmlformats.org/officeDocument/2006/relationships/hyperlink" Target="http://csr.bu.edu/ftp/asl/asllvd/demos/verify_start_end_handshape_annotations//test_auto_move//signs_mov_separ_signers/Liz_15153.mov" TargetMode="External"/><Relationship Id="rId16380" Type="http://schemas.openxmlformats.org/officeDocument/2006/relationships/hyperlink" Target="http://secrets.rutgers.edu:8080/data/asl-ftp/asllvd/demos/verify_start_end_handshape_annotations//test_auto_move//signs_mov_separ_signers/Liz_15153.mov" TargetMode="External"/><Relationship Id="rId16381" Type="http://schemas.openxmlformats.org/officeDocument/2006/relationships/hyperlink" Target="http://csr.bu.edu/ftp/asl/asllvd/demos/verify_start_end_handshape_annotations//test_auto_move//signs_mov_separ_signers/Liz_15592.mov" TargetMode="External"/><Relationship Id="rId16382" Type="http://schemas.openxmlformats.org/officeDocument/2006/relationships/hyperlink" Target="http://secrets.rutgers.edu:8080/data/asl-ftp/asllvd/demos/verify_start_end_handshape_annotations//test_auto_move//signs_mov_separ_signers/Liz_15592.mov" TargetMode="External"/><Relationship Id="rId16383" Type="http://schemas.openxmlformats.org/officeDocument/2006/relationships/hyperlink" Target="http://csr.bu.edu/ftp/asl/asllvd/demos/verify_start_end_handshape_annotations//test_auto_move//signs_mov_separ_signers/Tyler_15153.mov" TargetMode="External"/><Relationship Id="rId16384" Type="http://schemas.openxmlformats.org/officeDocument/2006/relationships/hyperlink" Target="http://secrets.rutgers.edu:8080/data/asl-ftp/asllvd/demos/verify_start_end_handshape_annotations//test_auto_move//signs_mov_separ_signers/Tyler_15153.mov" TargetMode="External"/><Relationship Id="rId16385" Type="http://schemas.openxmlformats.org/officeDocument/2006/relationships/hyperlink" Target="http://csr.bu.edu/ftp/asl/asllvd/demos/verify_start_end_handshape_annotations//test_auto_move//signs_mov/15153_15592_15601_merged.mov" TargetMode="External"/><Relationship Id="rId16386" Type="http://schemas.openxmlformats.org/officeDocument/2006/relationships/hyperlink" Target="http://csr.bu.edu/ftp/asl/asllvd/demos/verify_start_end_handshape_annotations//test_auto_move//signs_mov_separ_signers/Naomi_15153.mov" TargetMode="External"/><Relationship Id="rId16387" Type="http://schemas.openxmlformats.org/officeDocument/2006/relationships/hyperlink" Target="http://secrets.rutgers.edu:8080/data/asl-ftp/asllvd/demos/verify_start_end_handshape_annotations//test_auto_move//signs_mov/15153_15592_15601_merged.mov" TargetMode="External"/><Relationship Id="rId16388" Type="http://schemas.openxmlformats.org/officeDocument/2006/relationships/hyperlink" Target="http://secrets.rutgers.edu:8080/data/asl-ftp/asllvd/demos/verify_start_end_handshape_annotations//test_auto_move//signs_mov_separ_signers/Naomi_15153.mov" TargetMode="External"/><Relationship Id="rId16389" Type="http://schemas.openxmlformats.org/officeDocument/2006/relationships/hyperlink" Target="http://csr.bu.edu/ftp/asl/asllvd/demos/verify_start_end_handshape_annotations//test_auto_move//signs_mov_separ_signers/Brady_15153.mov" TargetMode="External"/><Relationship Id="rId16390" Type="http://schemas.openxmlformats.org/officeDocument/2006/relationships/hyperlink" Target="http://secrets.rutgers.edu:8080/data/asl-ftp/asllvd/demos/verify_start_end_handshape_annotations//test_auto_move//signs_mov_separ_signers/Brady_15153.mov" TargetMode="External"/><Relationship Id="rId16391" Type="http://schemas.openxmlformats.org/officeDocument/2006/relationships/hyperlink" Target="http://csr.bu.edu/ftp/asl/asllvd/demos/verify_start_end_handshape_annotations//test_auto_move//signs_mov_separ_signers/Brady_15592.mov" TargetMode="External"/><Relationship Id="rId16392" Type="http://schemas.openxmlformats.org/officeDocument/2006/relationships/hyperlink" Target="http://secrets.rutgers.edu:8080/data/asl-ftp/asllvd/demos/verify_start_end_handshape_annotations//test_auto_move//signs_mov_separ_signers/Brady_15592.mov" TargetMode="External"/><Relationship Id="rId16393" Type="http://schemas.openxmlformats.org/officeDocument/2006/relationships/hyperlink" Target="http://csr.bu.edu/ftp/asl/asllvd/demos/verify_start_end_handshape_annotations//test_auto_move//signs_mov_separ_signers/Brady_15601.mov" TargetMode="External"/><Relationship Id="rId16394" Type="http://schemas.openxmlformats.org/officeDocument/2006/relationships/hyperlink" Target="http://secrets.rutgers.edu:8080/data/asl-ftp/asllvd/demos/verify_start_end_handshape_annotations//test_auto_move//signs_mov_separ_signers/Brady_15601.mov" TargetMode="External"/><Relationship Id="rId16395" Type="http://schemas.openxmlformats.org/officeDocument/2006/relationships/hyperlink" Target="http://csr.bu.edu/ftp/asl/asllvd/demos/verify_start_end_handshape_annotations//test_auto_move//signs_mov_separ_signers/Liz_2174.mov" TargetMode="External"/><Relationship Id="rId16396" Type="http://schemas.openxmlformats.org/officeDocument/2006/relationships/hyperlink" Target="http://secrets.rutgers.edu:8080/data/asl-ftp/asllvd/demos/verify_start_end_handshape_annotations//test_auto_move//signs_mov_separ_signers/Liz_2174.mov" TargetMode="External"/><Relationship Id="rId16397" Type="http://schemas.openxmlformats.org/officeDocument/2006/relationships/hyperlink" Target="http://csr.bu.edu/ftp/asl/asllvd/demos/verify_start_end_handshape_annotations//test_auto_move//signs_mov_separ_signers/Liz_5587.mov" TargetMode="External"/><Relationship Id="rId16398" Type="http://schemas.openxmlformats.org/officeDocument/2006/relationships/hyperlink" Target="http://secrets.rutgers.edu:8080/data/asl-ftp/asllvd/demos/verify_start_end_handshape_annotations//test_auto_move//signs_mov_separ_signers/Liz_5587.mov" TargetMode="External"/><Relationship Id="rId16399" Type="http://schemas.openxmlformats.org/officeDocument/2006/relationships/hyperlink" Target="http://csr.bu.edu/ftp/asl/asllvd/demos/verify_start_end_handshape_annotations//test_auto_move//signs_mov/2174_5587_merged.mov" TargetMode="External"/><Relationship Id="rId16400" Type="http://schemas.openxmlformats.org/officeDocument/2006/relationships/hyperlink" Target="http://csr.bu.edu/ftp/asl/asllvd/demos/verify_start_end_handshape_annotations//test_auto_move//signs_mov_separ_signers/Tyler_2174.mov" TargetMode="External"/><Relationship Id="rId16401" Type="http://schemas.openxmlformats.org/officeDocument/2006/relationships/hyperlink" Target="http://secrets.rutgers.edu:8080/data/asl-ftp/asllvd/demos/verify_start_end_handshape_annotations//test_auto_move//signs_mov/2174_5587_merged.mov" TargetMode="External"/><Relationship Id="rId16402" Type="http://schemas.openxmlformats.org/officeDocument/2006/relationships/hyperlink" Target="http://secrets.rutgers.edu:8080/data/asl-ftp/asllvd/demos/verify_start_end_handshape_annotations//test_auto_move//signs_mov_separ_signers/Tyler_2174.mov" TargetMode="External"/><Relationship Id="rId16403" Type="http://schemas.openxmlformats.org/officeDocument/2006/relationships/hyperlink" Target="http://csr.bu.edu/ftp/asl/asllvd/demos/verify_start_end_handshape_annotations//test_auto_move//signs_mov_separ_signers/Naomi_2174.mov" TargetMode="External"/><Relationship Id="rId16404" Type="http://schemas.openxmlformats.org/officeDocument/2006/relationships/hyperlink" Target="http://secrets.rutgers.edu:8080/data/asl-ftp/asllvd/demos/verify_start_end_handshape_annotations//test_auto_move//signs_mov_separ_signers/Naomi_2174.mov" TargetMode="External"/><Relationship Id="rId16405" Type="http://schemas.openxmlformats.org/officeDocument/2006/relationships/hyperlink" Target="http://csr.bu.edu/ftp/asl/asllvd/demos/verify_start_end_handshape_annotations//test_auto_move//signs_mov_separ_signers/Brady_2174.mov" TargetMode="External"/><Relationship Id="rId16406" Type="http://schemas.openxmlformats.org/officeDocument/2006/relationships/hyperlink" Target="http://secrets.rutgers.edu:8080/data/asl-ftp/asllvd/demos/verify_start_end_handshape_annotations//test_auto_move//signs_mov_separ_signers/Brady_2174.mov" TargetMode="External"/><Relationship Id="rId16407" Type="http://schemas.openxmlformats.org/officeDocument/2006/relationships/hyperlink" Target="http://csr.bu.edu/ftp/asl/asllvd/demos/verify_start_end_handshape_annotations//test_auto_move//signs_mov_separ_signers/Brady_5587.mov" TargetMode="External"/><Relationship Id="rId16408" Type="http://schemas.openxmlformats.org/officeDocument/2006/relationships/hyperlink" Target="http://secrets.rutgers.edu:8080/data/asl-ftp/asllvd/demos/verify_start_end_handshape_annotations//test_auto_move//signs_mov_separ_signers/Brady_5587.mov" TargetMode="External"/><Relationship Id="rId16409" Type="http://schemas.openxmlformats.org/officeDocument/2006/relationships/hyperlink" Target="http://csr.bu.edu/ftp/asl/asllvd/demos/verify_start_end_handshape_annotations//test_auto_move//signs_mov/2179.mov" TargetMode="External"/><Relationship Id="rId16410" Type="http://schemas.openxmlformats.org/officeDocument/2006/relationships/hyperlink" Target="http://csr.bu.edu/ftp/asl/asllvd/demos/verify_start_end_handshape_annotations//test_auto_move//signs_mov_separ_signers/Liz_2179.mov" TargetMode="External"/><Relationship Id="rId16411" Type="http://schemas.openxmlformats.org/officeDocument/2006/relationships/hyperlink" Target="http://secrets.rutgers.edu:8080/data/asl-ftp/asllvd/demos/verify_start_end_handshape_annotations//test_auto_move//signs_mov/2179.mov" TargetMode="External"/><Relationship Id="rId16412" Type="http://schemas.openxmlformats.org/officeDocument/2006/relationships/hyperlink" Target="http://secrets.rutgers.edu:8080/data/asl-ftp/asllvd/demos/verify_start_end_handshape_annotations//test_auto_move//signs_mov_separ_signers/Liz_2179.mov" TargetMode="External"/><Relationship Id="rId16413" Type="http://schemas.openxmlformats.org/officeDocument/2006/relationships/hyperlink" Target="http://csr.bu.edu/ftp/asl/asllvd/demos/verify_start_end_handshape_annotations//test_auto_move//signs_mov_separ_signers/Brady_2179.mov" TargetMode="External"/><Relationship Id="rId16414" Type="http://schemas.openxmlformats.org/officeDocument/2006/relationships/hyperlink" Target="http://secrets.rutgers.edu:8080/data/asl-ftp/asllvd/demos/verify_start_end_handshape_annotations//test_auto_move//signs_mov_separ_signers/Brady_2179.mov" TargetMode="External"/><Relationship Id="rId16415" Type="http://schemas.openxmlformats.org/officeDocument/2006/relationships/hyperlink" Target="http://csr.bu.edu/ftp/asl/asllvd/demos/verify_start_end_handshape_annotations//test_auto_move//signs_mov_separ_signers/Liz_2180.mov" TargetMode="External"/><Relationship Id="rId16416" Type="http://schemas.openxmlformats.org/officeDocument/2006/relationships/hyperlink" Target="http://secrets.rutgers.edu:8080/data/asl-ftp/asllvd/demos/verify_start_end_handshape_annotations//test_auto_move//signs_mov_separ_signers/Liz_2180.mov" TargetMode="External"/><Relationship Id="rId16417" Type="http://schemas.openxmlformats.org/officeDocument/2006/relationships/hyperlink" Target="http://csr.bu.edu/ftp/asl/asllvd/demos/verify_start_end_handshape_annotations//test_auto_move//signs_mov_separ_signers/Brady_2180.mov" TargetMode="External"/><Relationship Id="rId16418" Type="http://schemas.openxmlformats.org/officeDocument/2006/relationships/hyperlink" Target="http://secrets.rutgers.edu:8080/data/asl-ftp/asllvd/demos/verify_start_end_handshape_annotations//test_auto_move//signs_mov_separ_signers/Brady_2180.mov" TargetMode="External"/><Relationship Id="rId16419" Type="http://schemas.openxmlformats.org/officeDocument/2006/relationships/hyperlink" Target="http://csr.bu.edu/ftp/asl/asllvd/demos/verify_start_end_handshape_annotations//test_auto_move//signs_mov/2180_15098_merged.mov" TargetMode="External"/><Relationship Id="rId16420" Type="http://schemas.openxmlformats.org/officeDocument/2006/relationships/hyperlink" Target="http://csr.bu.edu/ftp/asl/asllvd/demos/verify_start_end_handshape_annotations//test_auto_move//signs_mov_separ_signers/Brady_15098.mov" TargetMode="External"/><Relationship Id="rId16421" Type="http://schemas.openxmlformats.org/officeDocument/2006/relationships/hyperlink" Target="http://secrets.rutgers.edu:8080/data/asl-ftp/asllvd/demos/verify_start_end_handshape_annotations//test_auto_move//signs_mov/2180_15098_merged.mov" TargetMode="External"/><Relationship Id="rId16422" Type="http://schemas.openxmlformats.org/officeDocument/2006/relationships/hyperlink" Target="http://secrets.rutgers.edu:8080/data/asl-ftp/asllvd/demos/verify_start_end_handshape_annotations//test_auto_move//signs_mov_separ_signers/Brady_15098.mov" TargetMode="External"/><Relationship Id="rId16423" Type="http://schemas.openxmlformats.org/officeDocument/2006/relationships/hyperlink" Target="http://csr.bu.edu/ftp/asl/asllvd/demos/verify_start_end_handshape_annotations//test_auto_move//signs_mov_separ_signers/Lana_2180.mov" TargetMode="External"/><Relationship Id="rId16424" Type="http://schemas.openxmlformats.org/officeDocument/2006/relationships/hyperlink" Target="http://secrets.rutgers.edu:8080/data/asl-ftp/asllvd/demos/verify_start_end_handshape_annotations//test_auto_move//signs_mov_separ_signers/Lana_2180.mov" TargetMode="External"/><Relationship Id="rId16425" Type="http://schemas.openxmlformats.org/officeDocument/2006/relationships/hyperlink" Target="http://csr.bu.edu/ftp/asl/asllvd/demos/verify_start_end_handshape_annotations//test_auto_move//signs_mov_separ_signers/Dana_2180.mov" TargetMode="External"/><Relationship Id="rId16426" Type="http://schemas.openxmlformats.org/officeDocument/2006/relationships/hyperlink" Target="http://secrets.rutgers.edu:8080/data/asl-ftp/asllvd/demos/verify_start_end_handshape_annotations//test_auto_move//signs_mov_separ_signers/Dana_2180.mov" TargetMode="External"/><Relationship Id="rId16427" Type="http://schemas.openxmlformats.org/officeDocument/2006/relationships/hyperlink" Target="http://csr.bu.edu/ftp/asl/asllvd/demos/verify_start_end_handshape_annotations//test_auto_move//signs_mov/16117.mov" TargetMode="External"/><Relationship Id="rId16428" Type="http://schemas.openxmlformats.org/officeDocument/2006/relationships/hyperlink" Target="http://csr.bu.edu/ftp/asl/asllvd/demos/verify_start_end_handshape_annotations//test_auto_move//signs_mov_separ_signers/Liz_16117.mov" TargetMode="External"/><Relationship Id="rId16429" Type="http://schemas.openxmlformats.org/officeDocument/2006/relationships/hyperlink" Target="http://secrets.rutgers.edu:8080/data/asl-ftp/asllvd/demos/verify_start_end_handshape_annotations//test_auto_move//signs_mov/16117.mov" TargetMode="External"/><Relationship Id="rId16430" Type="http://schemas.openxmlformats.org/officeDocument/2006/relationships/hyperlink" Target="http://secrets.rutgers.edu:8080/data/asl-ftp/asllvd/demos/verify_start_end_handshape_annotations//test_auto_move//signs_mov_separ_signers/Liz_16117.mov" TargetMode="External"/><Relationship Id="rId16431" Type="http://schemas.openxmlformats.org/officeDocument/2006/relationships/hyperlink" Target="http://csr.bu.edu/ftp/asl/asllvd/demos/verify_start_end_handshape_annotations//test_auto_move//signs_mov_separ_signers/Liz_2181.mov" TargetMode="External"/><Relationship Id="rId16432" Type="http://schemas.openxmlformats.org/officeDocument/2006/relationships/hyperlink" Target="http://secrets.rutgers.edu:8080/data/asl-ftp/asllvd/demos/verify_start_end_handshape_annotations//test_auto_move//signs_mov_separ_signers/Liz_2181.mov" TargetMode="External"/><Relationship Id="rId16433" Type="http://schemas.openxmlformats.org/officeDocument/2006/relationships/hyperlink" Target="http://csr.bu.edu/ftp/asl/asllvd/demos/verify_start_end_handshape_annotations//test_auto_move//signs_mov/2181.mov" TargetMode="External"/><Relationship Id="rId16434" Type="http://schemas.openxmlformats.org/officeDocument/2006/relationships/hyperlink" Target="http://csr.bu.edu/ftp/asl/asllvd/demos/verify_start_end_handshape_annotations//test_auto_move//signs_mov_separ_signers/Brady_2181.mov" TargetMode="External"/><Relationship Id="rId16435" Type="http://schemas.openxmlformats.org/officeDocument/2006/relationships/hyperlink" Target="http://secrets.rutgers.edu:8080/data/asl-ftp/asllvd/demos/verify_start_end_handshape_annotations//test_auto_move//signs_mov/2181.mov" TargetMode="External"/><Relationship Id="rId16436" Type="http://schemas.openxmlformats.org/officeDocument/2006/relationships/hyperlink" Target="http://secrets.rutgers.edu:8080/data/asl-ftp/asllvd/demos/verify_start_end_handshape_annotations//test_auto_move//signs_mov_separ_signers/Brady_2181.mov" TargetMode="External"/><Relationship Id="rId16437" Type="http://schemas.openxmlformats.org/officeDocument/2006/relationships/hyperlink" Target="http://csr.bu.edu/ftp/asl/asllvd/demos/verify_start_end_handshape_annotations//test_auto_move//signs_mov_separ_signers/Lana_2181.mov" TargetMode="External"/><Relationship Id="rId16438" Type="http://schemas.openxmlformats.org/officeDocument/2006/relationships/hyperlink" Target="http://secrets.rutgers.edu:8080/data/asl-ftp/asllvd/demos/verify_start_end_handshape_annotations//test_auto_move//signs_mov_separ_signers/Lana_2181.mov" TargetMode="External"/><Relationship Id="rId16439" Type="http://schemas.openxmlformats.org/officeDocument/2006/relationships/hyperlink" Target="http://csr.bu.edu/ftp/asl/asllvd/demos/verify_start_end_handshape_annotations//test_auto_move//signs_mov_separ_signers/Dana_2181.mov" TargetMode="External"/><Relationship Id="rId16440" Type="http://schemas.openxmlformats.org/officeDocument/2006/relationships/hyperlink" Target="http://secrets.rutgers.edu:8080/data/asl-ftp/asllvd/demos/verify_start_end_handshape_annotations//test_auto_move//signs_mov_separ_signers/Dana_2181.mov" TargetMode="External"/><Relationship Id="rId16441" Type="http://schemas.openxmlformats.org/officeDocument/2006/relationships/hyperlink" Target="http://csr.bu.edu/ftp/asl/asllvd/demos/verify_start_end_handshape_annotations//test_auto_move//signs_mov_separ_signers/Liz_15162.mov" TargetMode="External"/><Relationship Id="rId16442" Type="http://schemas.openxmlformats.org/officeDocument/2006/relationships/hyperlink" Target="http://secrets.rutgers.edu:8080/data/asl-ftp/asllvd/demos/verify_start_end_handshape_annotations//test_auto_move//signs_mov_separ_signers/Liz_15162.mov" TargetMode="External"/><Relationship Id="rId16443" Type="http://schemas.openxmlformats.org/officeDocument/2006/relationships/hyperlink" Target="http://csr.bu.edu/ftp/asl/asllvd/demos/verify_start_end_handshape_annotations//test_auto_move//signs_mov/15162.mov" TargetMode="External"/><Relationship Id="rId16444" Type="http://schemas.openxmlformats.org/officeDocument/2006/relationships/hyperlink" Target="http://csr.bu.edu/ftp/asl/asllvd/demos/verify_start_end_handshape_annotations//test_auto_move//signs_mov_separ_signers/Tyler_15162.mov" TargetMode="External"/><Relationship Id="rId16445" Type="http://schemas.openxmlformats.org/officeDocument/2006/relationships/hyperlink" Target="http://secrets.rutgers.edu:8080/data/asl-ftp/asllvd/demos/verify_start_end_handshape_annotations//test_auto_move//signs_mov/15162.mov" TargetMode="External"/><Relationship Id="rId16446" Type="http://schemas.openxmlformats.org/officeDocument/2006/relationships/hyperlink" Target="http://secrets.rutgers.edu:8080/data/asl-ftp/asllvd/demos/verify_start_end_handshape_annotations//test_auto_move//signs_mov_separ_signers/Tyler_15162.mov" TargetMode="External"/><Relationship Id="rId16447" Type="http://schemas.openxmlformats.org/officeDocument/2006/relationships/hyperlink" Target="http://csr.bu.edu/ftp/asl/asllvd/demos/verify_start_end_handshape_annotations//test_auto_move//signs_mov_separ_signers/Naomi_15162.mov" TargetMode="External"/><Relationship Id="rId16448" Type="http://schemas.openxmlformats.org/officeDocument/2006/relationships/hyperlink" Target="http://secrets.rutgers.edu:8080/data/asl-ftp/asllvd/demos/verify_start_end_handshape_annotations//test_auto_move//signs_mov_separ_signers/Naomi_15162.mov" TargetMode="External"/><Relationship Id="rId16449" Type="http://schemas.openxmlformats.org/officeDocument/2006/relationships/hyperlink" Target="http://csr.bu.edu/ftp/asl/asllvd/demos/verify_start_end_handshape_annotations//test_auto_move//signs_mov_separ_signers/Brady_15162.mov" TargetMode="External"/><Relationship Id="rId16450" Type="http://schemas.openxmlformats.org/officeDocument/2006/relationships/hyperlink" Target="http://secrets.rutgers.edu:8080/data/asl-ftp/asllvd/demos/verify_start_end_handshape_annotations//test_auto_move//signs_mov_separ_signers/Brady_15162.mov" TargetMode="External"/><Relationship Id="rId16451" Type="http://schemas.openxmlformats.org/officeDocument/2006/relationships/hyperlink" Target="http://csr.bu.edu/ftp/asl/asllvd/demos/verify_start_end_handshape_annotations//test_auto_move//signs_mov/2182.mov" TargetMode="External"/><Relationship Id="rId16452" Type="http://schemas.openxmlformats.org/officeDocument/2006/relationships/hyperlink" Target="http://csr.bu.edu/ftp/asl/asllvd/demos/verify_start_end_handshape_annotations//test_auto_move//signs_mov_separ_signers/Liz_2182.mov" TargetMode="External"/><Relationship Id="rId16453" Type="http://schemas.openxmlformats.org/officeDocument/2006/relationships/hyperlink" Target="http://secrets.rutgers.edu:8080/data/asl-ftp/asllvd/demos/verify_start_end_handshape_annotations//test_auto_move//signs_mov/2182.mov" TargetMode="External"/><Relationship Id="rId16454" Type="http://schemas.openxmlformats.org/officeDocument/2006/relationships/hyperlink" Target="http://secrets.rutgers.edu:8080/data/asl-ftp/asllvd/demos/verify_start_end_handshape_annotations//test_auto_move//signs_mov_separ_signers/Liz_2182.mov" TargetMode="External"/><Relationship Id="rId16455" Type="http://schemas.openxmlformats.org/officeDocument/2006/relationships/hyperlink" Target="http://csr.bu.edu/ftp/asl/asllvd/demos/verify_start_end_handshape_annotations//test_auto_move//signs_mov_separ_signers/Brady_2182.mov" TargetMode="External"/><Relationship Id="rId16456" Type="http://schemas.openxmlformats.org/officeDocument/2006/relationships/hyperlink" Target="http://secrets.rutgers.edu:8080/data/asl-ftp/asllvd/demos/verify_start_end_handshape_annotations//test_auto_move//signs_mov_separ_signers/Brady_2182.mov" TargetMode="External"/><Relationship Id="rId16457" Type="http://schemas.openxmlformats.org/officeDocument/2006/relationships/hyperlink" Target="http://csr.bu.edu/ftp/asl/asllvd/demos/verify_start_end_handshape_annotations//test_auto_move//signs_mov/2184.mov" TargetMode="External"/><Relationship Id="rId16458" Type="http://schemas.openxmlformats.org/officeDocument/2006/relationships/hyperlink" Target="http://csr.bu.edu/ftp/asl/asllvd/demos/verify_start_end_handshape_annotations//test_auto_move//signs_mov_separ_signers/Brady_2184.mov" TargetMode="External"/><Relationship Id="rId16459" Type="http://schemas.openxmlformats.org/officeDocument/2006/relationships/hyperlink" Target="http://secrets.rutgers.edu:8080/data/asl-ftp/asllvd/demos/verify_start_end_handshape_annotations//test_auto_move//signs_mov/2184.mov" TargetMode="External"/><Relationship Id="rId16460" Type="http://schemas.openxmlformats.org/officeDocument/2006/relationships/hyperlink" Target="http://secrets.rutgers.edu:8080/data/asl-ftp/asllvd/demos/verify_start_end_handshape_annotations//test_auto_move//signs_mov_separ_signers/Brady_2184.mov" TargetMode="External"/><Relationship Id="rId16461" Type="http://schemas.openxmlformats.org/officeDocument/2006/relationships/hyperlink" Target="http://csr.bu.edu/ftp/asl/asllvd/demos/verify_start_end_handshape_annotations//test_auto_move//signs_mov_separ_signers/Lana_2184.mov" TargetMode="External"/><Relationship Id="rId16462" Type="http://schemas.openxmlformats.org/officeDocument/2006/relationships/hyperlink" Target="http://secrets.rutgers.edu:8080/data/asl-ftp/asllvd/demos/verify_start_end_handshape_annotations//test_auto_move//signs_mov_separ_signers/Lana_2184.mov" TargetMode="External"/><Relationship Id="rId16463" Type="http://schemas.openxmlformats.org/officeDocument/2006/relationships/hyperlink" Target="http://csr.bu.edu/ftp/asl/asllvd/demos/verify_start_end_handshape_annotations//test_auto_move//signs_mov/16450.mov" TargetMode="External"/><Relationship Id="rId16464" Type="http://schemas.openxmlformats.org/officeDocument/2006/relationships/hyperlink" Target="http://csr.bu.edu/ftp/asl/asllvd/demos/verify_start_end_handshape_annotations//test_auto_move//signs_mov_separ_signers/Liz_16450.mov" TargetMode="External"/><Relationship Id="rId16465" Type="http://schemas.openxmlformats.org/officeDocument/2006/relationships/hyperlink" Target="http://secrets.rutgers.edu:8080/data/asl-ftp/asllvd/demos/verify_start_end_handshape_annotations//test_auto_move//signs_mov/16450.mov" TargetMode="External"/><Relationship Id="rId16466" Type="http://schemas.openxmlformats.org/officeDocument/2006/relationships/hyperlink" Target="http://secrets.rutgers.edu:8080/data/asl-ftp/asllvd/demos/verify_start_end_handshape_annotations//test_auto_move//signs_mov_separ_signers/Liz_16450.mov" TargetMode="External"/><Relationship Id="rId16467" Type="http://schemas.openxmlformats.org/officeDocument/2006/relationships/hyperlink" Target="http://csr.bu.edu/ftp/asl/asllvd/demos/verify_start_end_handshape_annotations//test_auto_move//signs_mov_separ_signers/Liz_2188.mov" TargetMode="External"/><Relationship Id="rId16468" Type="http://schemas.openxmlformats.org/officeDocument/2006/relationships/hyperlink" Target="http://secrets.rutgers.edu:8080/data/asl-ftp/asllvd/demos/verify_start_end_handshape_annotations//test_auto_move//signs_mov_separ_signers/Liz_2188.mov" TargetMode="External"/><Relationship Id="rId16469" Type="http://schemas.openxmlformats.org/officeDocument/2006/relationships/hyperlink" Target="http://csr.bu.edu/ftp/asl/asllvd/demos/verify_start_end_handshape_annotations//test_auto_move//signs_mov/2188.mov" TargetMode="External"/><Relationship Id="rId16470" Type="http://schemas.openxmlformats.org/officeDocument/2006/relationships/hyperlink" Target="http://csr.bu.edu/ftp/asl/asllvd/demos/verify_start_end_handshape_annotations//test_auto_move//signs_mov_separ_signers/Brady_2188.mov" TargetMode="External"/><Relationship Id="rId16471" Type="http://schemas.openxmlformats.org/officeDocument/2006/relationships/hyperlink" Target="http://secrets.rutgers.edu:8080/data/asl-ftp/asllvd/demos/verify_start_end_handshape_annotations//test_auto_move//signs_mov/2188.mov" TargetMode="External"/><Relationship Id="rId16472" Type="http://schemas.openxmlformats.org/officeDocument/2006/relationships/hyperlink" Target="http://secrets.rutgers.edu:8080/data/asl-ftp/asllvd/demos/verify_start_end_handshape_annotations//test_auto_move//signs_mov_separ_signers/Brady_2188.mov" TargetMode="External"/><Relationship Id="rId16473" Type="http://schemas.openxmlformats.org/officeDocument/2006/relationships/hyperlink" Target="http://csr.bu.edu/ftp/asl/asllvd/demos/verify_start_end_handshape_annotations//test_auto_move//signs_mov_separ_signers/Dana_2188.mov" TargetMode="External"/><Relationship Id="rId16474" Type="http://schemas.openxmlformats.org/officeDocument/2006/relationships/hyperlink" Target="http://secrets.rutgers.edu:8080/data/asl-ftp/asllvd/demos/verify_start_end_handshape_annotations//test_auto_move//signs_mov_separ_signers/Dana_2188.mov" TargetMode="External"/><Relationship Id="rId16475" Type="http://schemas.openxmlformats.org/officeDocument/2006/relationships/hyperlink" Target="http://csr.bu.edu/ftp/asl/asllvd/demos/verify_start_end_handshape_annotations//test_auto_move//signs_mov/2190.mov" TargetMode="External"/><Relationship Id="rId16476" Type="http://schemas.openxmlformats.org/officeDocument/2006/relationships/hyperlink" Target="http://csr.bu.edu/ftp/asl/asllvd/demos/verify_start_end_handshape_annotations//test_auto_move//signs_mov_separ_signers/Liz_2190.mov" TargetMode="External"/><Relationship Id="rId16477" Type="http://schemas.openxmlformats.org/officeDocument/2006/relationships/hyperlink" Target="http://secrets.rutgers.edu:8080/data/asl-ftp/asllvd/demos/verify_start_end_handshape_annotations//test_auto_move//signs_mov/2190.mov" TargetMode="External"/><Relationship Id="rId16478" Type="http://schemas.openxmlformats.org/officeDocument/2006/relationships/hyperlink" Target="http://secrets.rutgers.edu:8080/data/asl-ftp/asllvd/demos/verify_start_end_handshape_annotations//test_auto_move//signs_mov_separ_signers/Liz_2190.mov" TargetMode="External"/><Relationship Id="rId16479" Type="http://schemas.openxmlformats.org/officeDocument/2006/relationships/hyperlink" Target="http://csr.bu.edu/ftp/asl/asllvd/demos/verify_start_end_handshape_annotations//test_auto_move//signs_mov_separ_signers/Brady_2190.mov" TargetMode="External"/><Relationship Id="rId16480" Type="http://schemas.openxmlformats.org/officeDocument/2006/relationships/hyperlink" Target="http://secrets.rutgers.edu:8080/data/asl-ftp/asllvd/demos/verify_start_end_handshape_annotations//test_auto_move//signs_mov_separ_signers/Brady_2190.mov" TargetMode="External"/><Relationship Id="rId16481" Type="http://schemas.openxmlformats.org/officeDocument/2006/relationships/hyperlink" Target="http://csr.bu.edu/ftp/asl/asllvd/demos/verify_start_end_handshape_annotations//test_auto_move//signs_mov/2192.mov" TargetMode="External"/><Relationship Id="rId16482" Type="http://schemas.openxmlformats.org/officeDocument/2006/relationships/hyperlink" Target="http://csr.bu.edu/ftp/asl/asllvd/demos/verify_start_end_handshape_annotations//test_auto_move//signs_mov_separ_signers/Brady_2192.mov" TargetMode="External"/><Relationship Id="rId16483" Type="http://schemas.openxmlformats.org/officeDocument/2006/relationships/hyperlink" Target="http://secrets.rutgers.edu:8080/data/asl-ftp/asllvd/demos/verify_start_end_handshape_annotations//test_auto_move//signs_mov/2192.mov" TargetMode="External"/><Relationship Id="rId16484" Type="http://schemas.openxmlformats.org/officeDocument/2006/relationships/hyperlink" Target="http://secrets.rutgers.edu:8080/data/asl-ftp/asllvd/demos/verify_start_end_handshape_annotations//test_auto_move//signs_mov_separ_signers/Brady_2192.mov" TargetMode="External"/><Relationship Id="rId16485" Type="http://schemas.openxmlformats.org/officeDocument/2006/relationships/hyperlink" Target="http://csr.bu.edu/ftp/asl/asllvd/demos/verify_start_end_handshape_annotations//test_auto_move//signs_mov/16451.mov" TargetMode="External"/><Relationship Id="rId16486" Type="http://schemas.openxmlformats.org/officeDocument/2006/relationships/hyperlink" Target="http://csr.bu.edu/ftp/asl/asllvd/demos/verify_start_end_handshape_annotations//test_auto_move//signs_mov_separ_signers/Liz_16451.mov" TargetMode="External"/><Relationship Id="rId16487" Type="http://schemas.openxmlformats.org/officeDocument/2006/relationships/hyperlink" Target="http://secrets.rutgers.edu:8080/data/asl-ftp/asllvd/demos/verify_start_end_handshape_annotations//test_auto_move//signs_mov/16451.mov" TargetMode="External"/><Relationship Id="rId16488" Type="http://schemas.openxmlformats.org/officeDocument/2006/relationships/hyperlink" Target="http://secrets.rutgers.edu:8080/data/asl-ftp/asllvd/demos/verify_start_end_handshape_annotations//test_auto_move//signs_mov_separ_signers/Liz_16451.mov" TargetMode="External"/><Relationship Id="rId16489" Type="http://schemas.openxmlformats.org/officeDocument/2006/relationships/hyperlink" Target="http://csr.bu.edu/ftp/asl/asllvd/demos/verify_start_end_handshape_annotations//test_auto_move//signs_mov_separ_signers/Liz_2193.mov" TargetMode="External"/><Relationship Id="rId16490" Type="http://schemas.openxmlformats.org/officeDocument/2006/relationships/hyperlink" Target="http://secrets.rutgers.edu:8080/data/asl-ftp/asllvd/demos/verify_start_end_handshape_annotations//test_auto_move//signs_mov_separ_signers/Liz_2193.mov" TargetMode="External"/><Relationship Id="rId16491" Type="http://schemas.openxmlformats.org/officeDocument/2006/relationships/hyperlink" Target="http://csr.bu.edu/ftp/asl/asllvd/demos/verify_start_end_handshape_annotations//test_auto_move//signs_mov/2193_3408_merged.mov" TargetMode="External"/><Relationship Id="rId16492" Type="http://schemas.openxmlformats.org/officeDocument/2006/relationships/hyperlink" Target="http://csr.bu.edu/ftp/asl/asllvd/demos/verify_start_end_handshape_annotations//test_auto_move//signs_mov_separ_signers/Liz_3408.mov" TargetMode="External"/><Relationship Id="rId16493" Type="http://schemas.openxmlformats.org/officeDocument/2006/relationships/hyperlink" Target="http://secrets.rutgers.edu:8080/data/asl-ftp/asllvd/demos/verify_start_end_handshape_annotations//test_auto_move//signs_mov/2193_3408_merged.mov" TargetMode="External"/><Relationship Id="rId16494" Type="http://schemas.openxmlformats.org/officeDocument/2006/relationships/hyperlink" Target="http://secrets.rutgers.edu:8080/data/asl-ftp/asllvd/demos/verify_start_end_handshape_annotations//test_auto_move//signs_mov_separ_signers/Liz_3408.mov" TargetMode="External"/><Relationship Id="rId16495" Type="http://schemas.openxmlformats.org/officeDocument/2006/relationships/hyperlink" Target="http://csr.bu.edu/ftp/asl/asllvd/demos/verify_start_end_handshape_annotations//test_auto_move//signs_mov_separ_signers/Brady_2193.mov" TargetMode="External"/><Relationship Id="rId16496" Type="http://schemas.openxmlformats.org/officeDocument/2006/relationships/hyperlink" Target="http://secrets.rutgers.edu:8080/data/asl-ftp/asllvd/demos/verify_start_end_handshape_annotations//test_auto_move//signs_mov_separ_signers/Brady_2193.mov" TargetMode="External"/><Relationship Id="rId16497" Type="http://schemas.openxmlformats.org/officeDocument/2006/relationships/hyperlink" Target="http://csr.bu.edu/ftp/asl/asllvd/demos/verify_start_end_handshape_annotations//test_auto_move//signs_mov_separ_signers/Brady_3408.mov" TargetMode="External"/><Relationship Id="rId16498" Type="http://schemas.openxmlformats.org/officeDocument/2006/relationships/hyperlink" Target="http://secrets.rutgers.edu:8080/data/asl-ftp/asllvd/demos/verify_start_end_handshape_annotations//test_auto_move//signs_mov_separ_signers/Brady_3408.mov" TargetMode="External"/><Relationship Id="rId16499" Type="http://schemas.openxmlformats.org/officeDocument/2006/relationships/hyperlink" Target="http://csr.bu.edu/ftp/asl/asllvd/demos/verify_start_end_handshape_annotations//test_auto_move//signs_mov_separ_signers/Liz_2194.mov" TargetMode="External"/><Relationship Id="rId16500" Type="http://schemas.openxmlformats.org/officeDocument/2006/relationships/hyperlink" Target="http://secrets.rutgers.edu:8080/data/asl-ftp/asllvd/demos/verify_start_end_handshape_annotations//test_auto_move//signs_mov_separ_signers/Liz_2194.mov" TargetMode="External"/><Relationship Id="rId16501" Type="http://schemas.openxmlformats.org/officeDocument/2006/relationships/hyperlink" Target="http://csr.bu.edu/ftp/asl/asllvd/demos/verify_start_end_handshape_annotations//test_auto_move//signs_mov/2194.mov" TargetMode="External"/><Relationship Id="rId16502" Type="http://schemas.openxmlformats.org/officeDocument/2006/relationships/hyperlink" Target="http://csr.bu.edu/ftp/asl/asllvd/demos/verify_start_end_handshape_annotations//test_auto_move//signs_mov_separ_signers/Brady_2194.mov" TargetMode="External"/><Relationship Id="rId16503" Type="http://schemas.openxmlformats.org/officeDocument/2006/relationships/hyperlink" Target="http://secrets.rutgers.edu:8080/data/asl-ftp/asllvd/demos/verify_start_end_handshape_annotations//test_auto_move//signs_mov/2194.mov" TargetMode="External"/><Relationship Id="rId16504" Type="http://schemas.openxmlformats.org/officeDocument/2006/relationships/hyperlink" Target="http://secrets.rutgers.edu:8080/data/asl-ftp/asllvd/demos/verify_start_end_handshape_annotations//test_auto_move//signs_mov_separ_signers/Brady_2194.mov" TargetMode="External"/><Relationship Id="rId16505" Type="http://schemas.openxmlformats.org/officeDocument/2006/relationships/hyperlink" Target="http://csr.bu.edu/ftp/asl/asllvd/demos/verify_start_end_handshape_annotations//test_auto_move//signs_mov_separ_signers/Lana_2194.mov" TargetMode="External"/><Relationship Id="rId16506" Type="http://schemas.openxmlformats.org/officeDocument/2006/relationships/hyperlink" Target="http://secrets.rutgers.edu:8080/data/asl-ftp/asllvd/demos/verify_start_end_handshape_annotations//test_auto_move//signs_mov_separ_signers/Lana_2194.mov" TargetMode="External"/><Relationship Id="rId16507" Type="http://schemas.openxmlformats.org/officeDocument/2006/relationships/hyperlink" Target="http://csr.bu.edu/ftp/asl/asllvd/demos/verify_start_end_handshape_annotations//test_auto_move//signs_mov_separ_signers/Liz_2195.mov" TargetMode="External"/><Relationship Id="rId16508" Type="http://schemas.openxmlformats.org/officeDocument/2006/relationships/hyperlink" Target="http://secrets.rutgers.edu:8080/data/asl-ftp/asllvd/demos/verify_start_end_handshape_annotations//test_auto_move//signs_mov_separ_signers/Liz_2195.mov" TargetMode="External"/><Relationship Id="rId16509" Type="http://schemas.openxmlformats.org/officeDocument/2006/relationships/hyperlink" Target="http://csr.bu.edu/ftp/asl/asllvd/demos/verify_start_end_handshape_annotations//test_auto_move//signs_mov/2195.mov" TargetMode="External"/><Relationship Id="rId16510" Type="http://schemas.openxmlformats.org/officeDocument/2006/relationships/hyperlink" Target="http://csr.bu.edu/ftp/asl/asllvd/demos/verify_start_end_handshape_annotations//test_auto_move//signs_mov_separ_signers/Brady_2195.mov" TargetMode="External"/><Relationship Id="rId16511" Type="http://schemas.openxmlformats.org/officeDocument/2006/relationships/hyperlink" Target="http://secrets.rutgers.edu:8080/data/asl-ftp/asllvd/demos/verify_start_end_handshape_annotations//test_auto_move//signs_mov/2195.mov" TargetMode="External"/><Relationship Id="rId16512" Type="http://schemas.openxmlformats.org/officeDocument/2006/relationships/hyperlink" Target="http://secrets.rutgers.edu:8080/data/asl-ftp/asllvd/demos/verify_start_end_handshape_annotations//test_auto_move//signs_mov_separ_signers/Brady_2195.mov" TargetMode="External"/><Relationship Id="rId16513" Type="http://schemas.openxmlformats.org/officeDocument/2006/relationships/hyperlink" Target="http://csr.bu.edu/ftp/asl/asllvd/demos/verify_start_end_handshape_annotations//test_auto_move//signs_mov_separ_signers/Lana_2195.mov" TargetMode="External"/><Relationship Id="rId16514" Type="http://schemas.openxmlformats.org/officeDocument/2006/relationships/hyperlink" Target="http://secrets.rutgers.edu:8080/data/asl-ftp/asllvd/demos/verify_start_end_handshape_annotations//test_auto_move//signs_mov_separ_signers/Lana_2195.mov" TargetMode="External"/><Relationship Id="rId16515" Type="http://schemas.openxmlformats.org/officeDocument/2006/relationships/hyperlink" Target="http://csr.bu.edu/ftp/asl/asllvd/demos/verify_start_end_handshape_annotations//test_auto_move//signs_mov_separ_signers/Dana_2195.mov" TargetMode="External"/><Relationship Id="rId16516" Type="http://schemas.openxmlformats.org/officeDocument/2006/relationships/hyperlink" Target="http://secrets.rutgers.edu:8080/data/asl-ftp/asllvd/demos/verify_start_end_handshape_annotations//test_auto_move//signs_mov_separ_signers/Dana_2195.mov" TargetMode="External"/><Relationship Id="rId16517" Type="http://schemas.openxmlformats.org/officeDocument/2006/relationships/hyperlink" Target="http://csr.bu.edu/ftp/asl/asllvd/demos/verify_start_end_handshape_annotations//test_auto_move//signs_mov_separ_signers/Liz_15413.mov" TargetMode="External"/><Relationship Id="rId16518" Type="http://schemas.openxmlformats.org/officeDocument/2006/relationships/hyperlink" Target="http://secrets.rutgers.edu:8080/data/asl-ftp/asllvd/demos/verify_start_end_handshape_annotations//test_auto_move//signs_mov_separ_signers/Liz_15413.mov" TargetMode="External"/><Relationship Id="rId16519" Type="http://schemas.openxmlformats.org/officeDocument/2006/relationships/hyperlink" Target="http://csr.bu.edu/ftp/asl/asllvd/demos/verify_start_end_handshape_annotations//test_auto_move//signs_mov/15413.mov" TargetMode="External"/><Relationship Id="rId16520" Type="http://schemas.openxmlformats.org/officeDocument/2006/relationships/hyperlink" Target="http://csr.bu.edu/ftp/asl/asllvd/demos/verify_start_end_handshape_annotations//test_auto_move//signs_mov_separ_signers/Tyler_15413.mov" TargetMode="External"/><Relationship Id="rId16521" Type="http://schemas.openxmlformats.org/officeDocument/2006/relationships/hyperlink" Target="http://secrets.rutgers.edu:8080/data/asl-ftp/asllvd/demos/verify_start_end_handshape_annotations//test_auto_move//signs_mov/15413.mov" TargetMode="External"/><Relationship Id="rId16522" Type="http://schemas.openxmlformats.org/officeDocument/2006/relationships/hyperlink" Target="http://secrets.rutgers.edu:8080/data/asl-ftp/asllvd/demos/verify_start_end_handshape_annotations//test_auto_move//signs_mov_separ_signers/Tyler_15413.mov" TargetMode="External"/><Relationship Id="rId16523" Type="http://schemas.openxmlformats.org/officeDocument/2006/relationships/hyperlink" Target="http://csr.bu.edu/ftp/asl/asllvd/demos/verify_start_end_handshape_annotations//test_auto_move//signs_mov_separ_signers/Naomi_15413.mov" TargetMode="External"/><Relationship Id="rId16524" Type="http://schemas.openxmlformats.org/officeDocument/2006/relationships/hyperlink" Target="http://secrets.rutgers.edu:8080/data/asl-ftp/asllvd/demos/verify_start_end_handshape_annotations//test_auto_move//signs_mov_separ_signers/Naomi_15413.mov" TargetMode="External"/><Relationship Id="rId16525" Type="http://schemas.openxmlformats.org/officeDocument/2006/relationships/hyperlink" Target="http://csr.bu.edu/ftp/asl/asllvd/demos/verify_start_end_handshape_annotations//test_auto_move//signs_mov_separ_signers/Brady_15413.mov" TargetMode="External"/><Relationship Id="rId16526" Type="http://schemas.openxmlformats.org/officeDocument/2006/relationships/hyperlink" Target="http://secrets.rutgers.edu:8080/data/asl-ftp/asllvd/demos/verify_start_end_handshape_annotations//test_auto_move//signs_mov_separ_signers/Brady_15413.mov" TargetMode="External"/><Relationship Id="rId16527" Type="http://schemas.openxmlformats.org/officeDocument/2006/relationships/hyperlink" Target="http://csr.bu.edu/ftp/asl/asllvd/demos/verify_start_end_handshape_annotations//test_auto_move//signs_mov_separ_signers/Liz_15415.mov" TargetMode="External"/><Relationship Id="rId16528" Type="http://schemas.openxmlformats.org/officeDocument/2006/relationships/hyperlink" Target="http://secrets.rutgers.edu:8080/data/asl-ftp/asllvd/demos/verify_start_end_handshape_annotations//test_auto_move//signs_mov_separ_signers/Liz_15415.mov" TargetMode="External"/><Relationship Id="rId16529" Type="http://schemas.openxmlformats.org/officeDocument/2006/relationships/hyperlink" Target="http://csr.bu.edu/ftp/asl/asllvd/demos/verify_start_end_handshape_annotations//test_auto_move//signs_mov_separ_signers/Tyler_15415.mov" TargetMode="External"/><Relationship Id="rId16530" Type="http://schemas.openxmlformats.org/officeDocument/2006/relationships/hyperlink" Target="http://secrets.rutgers.edu:8080/data/asl-ftp/asllvd/demos/verify_start_end_handshape_annotations//test_auto_move//signs_mov_separ_signers/Tyler_15415.mov" TargetMode="External"/><Relationship Id="rId16531" Type="http://schemas.openxmlformats.org/officeDocument/2006/relationships/hyperlink" Target="http://csr.bu.edu/ftp/asl/asllvd/demos/verify_start_end_handshape_annotations//test_auto_move//signs_mov/15415.mov" TargetMode="External"/><Relationship Id="rId16532" Type="http://schemas.openxmlformats.org/officeDocument/2006/relationships/hyperlink" Target="http://csr.bu.edu/ftp/asl/asllvd/demos/verify_start_end_handshape_annotations//test_auto_move//signs_mov_separ_signers/Naomi_15415.mov" TargetMode="External"/><Relationship Id="rId16533" Type="http://schemas.openxmlformats.org/officeDocument/2006/relationships/hyperlink" Target="http://secrets.rutgers.edu:8080/data/asl-ftp/asllvd/demos/verify_start_end_handshape_annotations//test_auto_move//signs_mov/15415.mov" TargetMode="External"/><Relationship Id="rId16534" Type="http://schemas.openxmlformats.org/officeDocument/2006/relationships/hyperlink" Target="http://secrets.rutgers.edu:8080/data/asl-ftp/asllvd/demos/verify_start_end_handshape_annotations//test_auto_move//signs_mov_separ_signers/Naomi_15415.mov" TargetMode="External"/><Relationship Id="rId16535" Type="http://schemas.openxmlformats.org/officeDocument/2006/relationships/hyperlink" Target="http://csr.bu.edu/ftp/asl/asllvd/demos/verify_start_end_handshape_annotations//test_auto_move//signs_mov_separ_signers/Brady_15415.mov" TargetMode="External"/><Relationship Id="rId16536" Type="http://schemas.openxmlformats.org/officeDocument/2006/relationships/hyperlink" Target="http://secrets.rutgers.edu:8080/data/asl-ftp/asllvd/demos/verify_start_end_handshape_annotations//test_auto_move//signs_mov_separ_signers/Brady_15415.mov" TargetMode="External"/><Relationship Id="rId16537" Type="http://schemas.openxmlformats.org/officeDocument/2006/relationships/hyperlink" Target="http://csr.bu.edu/ftp/asl/asllvd/demos/verify_start_end_handshape_annotations//test_auto_move//signs_mov_separ_signers/Lana_15415.mov" TargetMode="External"/><Relationship Id="rId16538" Type="http://schemas.openxmlformats.org/officeDocument/2006/relationships/hyperlink" Target="http://secrets.rutgers.edu:8080/data/asl-ftp/asllvd/demos/verify_start_end_handshape_annotations//test_auto_move//signs_mov_separ_signers/Lana_15415.mov" TargetMode="External"/><Relationship Id="rId16539" Type="http://schemas.openxmlformats.org/officeDocument/2006/relationships/hyperlink" Target="http://csr.bu.edu/ftp/asl/asllvd/demos/verify_start_end_handshape_annotations//test_auto_move//signs_mov_separ_signers/Dana_15415.mov" TargetMode="External"/><Relationship Id="rId16540" Type="http://schemas.openxmlformats.org/officeDocument/2006/relationships/hyperlink" Target="http://secrets.rutgers.edu:8080/data/asl-ftp/asllvd/demos/verify_start_end_handshape_annotations//test_auto_move//signs_mov_separ_signers/Dana_15415.mov" TargetMode="External"/><Relationship Id="rId16541" Type="http://schemas.openxmlformats.org/officeDocument/2006/relationships/hyperlink" Target="http://csr.bu.edu/ftp/asl/asllvd/demos/verify_start_end_handshape_annotations//test_auto_move//signs_mov/2197.mov" TargetMode="External"/><Relationship Id="rId16542" Type="http://schemas.openxmlformats.org/officeDocument/2006/relationships/hyperlink" Target="http://csr.bu.edu/ftp/asl/asllvd/demos/verify_start_end_handshape_annotations//test_auto_move//signs_mov_separ_signers/Liz_2197.mov" TargetMode="External"/><Relationship Id="rId16543" Type="http://schemas.openxmlformats.org/officeDocument/2006/relationships/hyperlink" Target="http://secrets.rutgers.edu:8080/data/asl-ftp/asllvd/demos/verify_start_end_handshape_annotations//test_auto_move//signs_mov/2197.mov" TargetMode="External"/><Relationship Id="rId16544" Type="http://schemas.openxmlformats.org/officeDocument/2006/relationships/hyperlink" Target="http://secrets.rutgers.edu:8080/data/asl-ftp/asllvd/demos/verify_start_end_handshape_annotations//test_auto_move//signs_mov_separ_signers/Liz_2197.mov" TargetMode="External"/><Relationship Id="rId16545" Type="http://schemas.openxmlformats.org/officeDocument/2006/relationships/hyperlink" Target="http://csr.bu.edu/ftp/asl/asllvd/demos/verify_start_end_handshape_annotations//test_auto_move//signs_mov_separ_signers/Brady_2197.mov" TargetMode="External"/><Relationship Id="rId16546" Type="http://schemas.openxmlformats.org/officeDocument/2006/relationships/hyperlink" Target="http://secrets.rutgers.edu:8080/data/asl-ftp/asllvd/demos/verify_start_end_handshape_annotations//test_auto_move//signs_mov_separ_signers/Brady_2197.mov" TargetMode="External"/><Relationship Id="rId16547" Type="http://schemas.openxmlformats.org/officeDocument/2006/relationships/hyperlink" Target="http://csr.bu.edu/ftp/asl/asllvd/demos/verify_start_end_handshape_annotations//test_auto_move//signs_mov_separ_signers/Liz_16063.mov" TargetMode="External"/><Relationship Id="rId16548" Type="http://schemas.openxmlformats.org/officeDocument/2006/relationships/hyperlink" Target="http://secrets.rutgers.edu:8080/data/asl-ftp/asllvd/demos/verify_start_end_handshape_annotations//test_auto_move//signs_mov_separ_signers/Liz_16063.mov" TargetMode="External"/><Relationship Id="rId16549" Type="http://schemas.openxmlformats.org/officeDocument/2006/relationships/hyperlink" Target="http://csr.bu.edu/ftp/asl/asllvd/demos/verify_start_end_handshape_annotations//test_auto_move//signs_mov/16063.mov" TargetMode="External"/><Relationship Id="rId16550" Type="http://schemas.openxmlformats.org/officeDocument/2006/relationships/hyperlink" Target="http://csr.bu.edu/ftp/asl/asllvd/demos/verify_start_end_handshape_annotations//test_auto_move//signs_mov_separ_signers/Tyler_16063.mov" TargetMode="External"/><Relationship Id="rId16551" Type="http://schemas.openxmlformats.org/officeDocument/2006/relationships/hyperlink" Target="http://secrets.rutgers.edu:8080/data/asl-ftp/asllvd/demos/verify_start_end_handshape_annotations//test_auto_move//signs_mov/16063.mov" TargetMode="External"/><Relationship Id="rId16552" Type="http://schemas.openxmlformats.org/officeDocument/2006/relationships/hyperlink" Target="http://secrets.rutgers.edu:8080/data/asl-ftp/asllvd/demos/verify_start_end_handshape_annotations//test_auto_move//signs_mov_separ_signers/Tyler_16063.mov" TargetMode="External"/><Relationship Id="rId16553" Type="http://schemas.openxmlformats.org/officeDocument/2006/relationships/hyperlink" Target="http://csr.bu.edu/ftp/asl/asllvd/demos/verify_start_end_handshape_annotations//test_auto_move//signs_mov_separ_signers/Naomi_16063.mov" TargetMode="External"/><Relationship Id="rId16554" Type="http://schemas.openxmlformats.org/officeDocument/2006/relationships/hyperlink" Target="http://secrets.rutgers.edu:8080/data/asl-ftp/asllvd/demos/verify_start_end_handshape_annotations//test_auto_move//signs_mov_separ_signers/Naomi_16063.mov" TargetMode="External"/><Relationship Id="rId16555" Type="http://schemas.openxmlformats.org/officeDocument/2006/relationships/hyperlink" Target="http://csr.bu.edu/ftp/asl/asllvd/demos/verify_start_end_handshape_annotations//test_auto_move//signs_mov_separ_signers/Brady_16063.mov" TargetMode="External"/><Relationship Id="rId16556" Type="http://schemas.openxmlformats.org/officeDocument/2006/relationships/hyperlink" Target="http://secrets.rutgers.edu:8080/data/asl-ftp/asllvd/demos/verify_start_end_handshape_annotations//test_auto_move//signs_mov_separ_signers/Brady_16063.mov" TargetMode="External"/><Relationship Id="rId16557" Type="http://schemas.openxmlformats.org/officeDocument/2006/relationships/hyperlink" Target="http://csr.bu.edu/ftp/asl/asllvd/demos/verify_start_end_handshape_annotations//test_auto_move//signs_mov/2200.mov" TargetMode="External"/><Relationship Id="rId16558" Type="http://schemas.openxmlformats.org/officeDocument/2006/relationships/hyperlink" Target="http://csr.bu.edu/ftp/asl/asllvd/demos/verify_start_end_handshape_annotations//test_auto_move//signs_mov_separ_signers/Brady_2200.mov" TargetMode="External"/><Relationship Id="rId16559" Type="http://schemas.openxmlformats.org/officeDocument/2006/relationships/hyperlink" Target="http://secrets.rutgers.edu:8080/data/asl-ftp/asllvd/demos/verify_start_end_handshape_annotations//test_auto_move//signs_mov/2200.mov" TargetMode="External"/><Relationship Id="rId16560" Type="http://schemas.openxmlformats.org/officeDocument/2006/relationships/hyperlink" Target="http://secrets.rutgers.edu:8080/data/asl-ftp/asllvd/demos/verify_start_end_handshape_annotations//test_auto_move//signs_mov_separ_signers/Brady_2200.mov" TargetMode="External"/><Relationship Id="rId16561" Type="http://schemas.openxmlformats.org/officeDocument/2006/relationships/hyperlink" Target="http://csr.bu.edu/ftp/asl/asllvd/demos/verify_start_end_handshape_annotations//test_auto_move//signs_mov/2202.mov" TargetMode="External"/><Relationship Id="rId16562" Type="http://schemas.openxmlformats.org/officeDocument/2006/relationships/hyperlink" Target="http://csr.bu.edu/ftp/asl/asllvd/demos/verify_start_end_handshape_annotations//test_auto_move//signs_mov_separ_signers/Brady_2202.mov" TargetMode="External"/><Relationship Id="rId16563" Type="http://schemas.openxmlformats.org/officeDocument/2006/relationships/hyperlink" Target="http://secrets.rutgers.edu:8080/data/asl-ftp/asllvd/demos/verify_start_end_handshape_annotations//test_auto_move//signs_mov/2202.mov" TargetMode="External"/><Relationship Id="rId16564" Type="http://schemas.openxmlformats.org/officeDocument/2006/relationships/hyperlink" Target="http://secrets.rutgers.edu:8080/data/asl-ftp/asllvd/demos/verify_start_end_handshape_annotations//test_auto_move//signs_mov_separ_signers/Brady_2202.mov" TargetMode="External"/><Relationship Id="rId16565" Type="http://schemas.openxmlformats.org/officeDocument/2006/relationships/hyperlink" Target="http://csr.bu.edu/ftp/asl/asllvd/demos/verify_start_end_handshape_annotations//test_auto_move//signs_mov/16292.mov" TargetMode="External"/><Relationship Id="rId16566" Type="http://schemas.openxmlformats.org/officeDocument/2006/relationships/hyperlink" Target="http://csr.bu.edu/ftp/asl/asllvd/demos/verify_start_end_handshape_annotations//test_auto_move//signs_mov_separ_signers/Liz_16292.mov" TargetMode="External"/><Relationship Id="rId16567" Type="http://schemas.openxmlformats.org/officeDocument/2006/relationships/hyperlink" Target="http://secrets.rutgers.edu:8080/data/asl-ftp/asllvd/demos/verify_start_end_handshape_annotations//test_auto_move//signs_mov/16292.mov" TargetMode="External"/><Relationship Id="rId16568" Type="http://schemas.openxmlformats.org/officeDocument/2006/relationships/hyperlink" Target="http://secrets.rutgers.edu:8080/data/asl-ftp/asllvd/demos/verify_start_end_handshape_annotations//test_auto_move//signs_mov_separ_signers/Liz_16292.mov" TargetMode="External"/><Relationship Id="rId16569" Type="http://schemas.openxmlformats.org/officeDocument/2006/relationships/hyperlink" Target="http://csr.bu.edu/ftp/asl/asllvd/demos/verify_start_end_handshape_annotations//test_auto_move//signs_mov/2203.mov" TargetMode="External"/><Relationship Id="rId16570" Type="http://schemas.openxmlformats.org/officeDocument/2006/relationships/hyperlink" Target="http://csr.bu.edu/ftp/asl/asllvd/demos/verify_start_end_handshape_annotations//test_auto_move//signs_mov_separ_signers/Liz_2203.mov" TargetMode="External"/><Relationship Id="rId16571" Type="http://schemas.openxmlformats.org/officeDocument/2006/relationships/hyperlink" Target="http://secrets.rutgers.edu:8080/data/asl-ftp/asllvd/demos/verify_start_end_handshape_annotations//test_auto_move//signs_mov/2203.mov" TargetMode="External"/><Relationship Id="rId16572" Type="http://schemas.openxmlformats.org/officeDocument/2006/relationships/hyperlink" Target="http://secrets.rutgers.edu:8080/data/asl-ftp/asllvd/demos/verify_start_end_handshape_annotations//test_auto_move//signs_mov_separ_signers/Liz_2203.mov" TargetMode="External"/><Relationship Id="rId16573" Type="http://schemas.openxmlformats.org/officeDocument/2006/relationships/hyperlink" Target="http://csr.bu.edu/ftp/asl/asllvd/demos/verify_start_end_handshape_annotations//test_auto_move//signs_mov_separ_signers/Brady_2203.mov" TargetMode="External"/><Relationship Id="rId16574" Type="http://schemas.openxmlformats.org/officeDocument/2006/relationships/hyperlink" Target="http://secrets.rutgers.edu:8080/data/asl-ftp/asllvd/demos/verify_start_end_handshape_annotations//test_auto_move//signs_mov_separ_signers/Brady_2203.mov" TargetMode="External"/><Relationship Id="rId16575" Type="http://schemas.openxmlformats.org/officeDocument/2006/relationships/hyperlink" Target="http://csr.bu.edu/ftp/asl/asllvd/demos/verify_start_end_handshape_annotations//test_auto_move//signs_mov/2207.mov" TargetMode="External"/><Relationship Id="rId16576" Type="http://schemas.openxmlformats.org/officeDocument/2006/relationships/hyperlink" Target="http://csr.bu.edu/ftp/asl/asllvd/demos/verify_start_end_handshape_annotations//test_auto_move//signs_mov_separ_signers/Liz_2207.mov" TargetMode="External"/><Relationship Id="rId16577" Type="http://schemas.openxmlformats.org/officeDocument/2006/relationships/hyperlink" Target="http://secrets.rutgers.edu:8080/data/asl-ftp/asllvd/demos/verify_start_end_handshape_annotations//test_auto_move//signs_mov/2207.mov" TargetMode="External"/><Relationship Id="rId16578" Type="http://schemas.openxmlformats.org/officeDocument/2006/relationships/hyperlink" Target="http://secrets.rutgers.edu:8080/data/asl-ftp/asllvd/demos/verify_start_end_handshape_annotations//test_auto_move//signs_mov_separ_signers/Liz_2207.mov" TargetMode="External"/><Relationship Id="rId16579" Type="http://schemas.openxmlformats.org/officeDocument/2006/relationships/hyperlink" Target="http://csr.bu.edu/ftp/asl/asllvd/demos/verify_start_end_handshape_annotations//test_auto_move//signs_mov/5764.mov" TargetMode="External"/><Relationship Id="rId16580" Type="http://schemas.openxmlformats.org/officeDocument/2006/relationships/hyperlink" Target="http://csr.bu.edu/ftp/asl/asllvd/demos/verify_start_end_handshape_annotations//test_auto_move//signs_mov_separ_signers/Brady_5764.mov" TargetMode="External"/><Relationship Id="rId16581" Type="http://schemas.openxmlformats.org/officeDocument/2006/relationships/hyperlink" Target="http://secrets.rutgers.edu:8080/data/asl-ftp/asllvd/demos/verify_start_end_handshape_annotations//test_auto_move//signs_mov/5764.mov" TargetMode="External"/><Relationship Id="rId16582" Type="http://schemas.openxmlformats.org/officeDocument/2006/relationships/hyperlink" Target="http://secrets.rutgers.edu:8080/data/asl-ftp/asllvd/demos/verify_start_end_handshape_annotations//test_auto_move//signs_mov_separ_signers/Brady_5764.mov" TargetMode="External"/><Relationship Id="rId16583" Type="http://schemas.openxmlformats.org/officeDocument/2006/relationships/hyperlink" Target="http://csr.bu.edu/ftp/asl/asllvd/demos/verify_start_end_handshape_annotations//test_auto_move//signs_mov/2208.mov" TargetMode="External"/><Relationship Id="rId16584" Type="http://schemas.openxmlformats.org/officeDocument/2006/relationships/hyperlink" Target="http://csr.bu.edu/ftp/asl/asllvd/demos/verify_start_end_handshape_annotations//test_auto_move//signs_mov_separ_signers/Liz_2208.mov" TargetMode="External"/><Relationship Id="rId16585" Type="http://schemas.openxmlformats.org/officeDocument/2006/relationships/hyperlink" Target="http://secrets.rutgers.edu:8080/data/asl-ftp/asllvd/demos/verify_start_end_handshape_annotations//test_auto_move//signs_mov/2208.mov" TargetMode="External"/><Relationship Id="rId16586" Type="http://schemas.openxmlformats.org/officeDocument/2006/relationships/hyperlink" Target="http://secrets.rutgers.edu:8080/data/asl-ftp/asllvd/demos/verify_start_end_handshape_annotations//test_auto_move//signs_mov_separ_signers/Liz_2208.mov" TargetMode="External"/><Relationship Id="rId16587" Type="http://schemas.openxmlformats.org/officeDocument/2006/relationships/hyperlink" Target="http://csr.bu.edu/ftp/asl/asllvd/demos/verify_start_end_handshape_annotations//test_auto_move//signs_mov_separ_signers/Brady_2208.mov" TargetMode="External"/><Relationship Id="rId16588" Type="http://schemas.openxmlformats.org/officeDocument/2006/relationships/hyperlink" Target="http://secrets.rutgers.edu:8080/data/asl-ftp/asllvd/demos/verify_start_end_handshape_annotations//test_auto_move//signs_mov_separ_signers/Brady_2208.mov" TargetMode="External"/><Relationship Id="rId16589" Type="http://schemas.openxmlformats.org/officeDocument/2006/relationships/hyperlink" Target="http://csr.bu.edu/ftp/asl/asllvd/demos/verify_start_end_handshape_annotations//test_auto_move//signs_mov/2209.mov" TargetMode="External"/><Relationship Id="rId16590" Type="http://schemas.openxmlformats.org/officeDocument/2006/relationships/hyperlink" Target="http://csr.bu.edu/ftp/asl/asllvd/demos/verify_start_end_handshape_annotations//test_auto_move//signs_mov_separ_signers/Liz_2209.mov" TargetMode="External"/><Relationship Id="rId16591" Type="http://schemas.openxmlformats.org/officeDocument/2006/relationships/hyperlink" Target="http://secrets.rutgers.edu:8080/data/asl-ftp/asllvd/demos/verify_start_end_handshape_annotations//test_auto_move//signs_mov/2209.mov" TargetMode="External"/><Relationship Id="rId16592" Type="http://schemas.openxmlformats.org/officeDocument/2006/relationships/hyperlink" Target="http://secrets.rutgers.edu:8080/data/asl-ftp/asllvd/demos/verify_start_end_handshape_annotations//test_auto_move//signs_mov_separ_signers/Liz_2209.mov" TargetMode="External"/><Relationship Id="rId16593" Type="http://schemas.openxmlformats.org/officeDocument/2006/relationships/hyperlink" Target="http://csr.bu.edu/ftp/asl/asllvd/demos/verify_start_end_handshape_annotations//test_auto_move//signs_mov_separ_signers/Brady_2209.mov" TargetMode="External"/><Relationship Id="rId16594" Type="http://schemas.openxmlformats.org/officeDocument/2006/relationships/hyperlink" Target="http://secrets.rutgers.edu:8080/data/asl-ftp/asllvd/demos/verify_start_end_handshape_annotations//test_auto_move//signs_mov_separ_signers/Brady_2209.mov" TargetMode="External"/><Relationship Id="rId16595" Type="http://schemas.openxmlformats.org/officeDocument/2006/relationships/hyperlink" Target="http://csr.bu.edu/ftp/asl/asllvd/demos/verify_start_end_handshape_annotations//test_auto_move//signs_mov/2211.mov" TargetMode="External"/><Relationship Id="rId16596" Type="http://schemas.openxmlformats.org/officeDocument/2006/relationships/hyperlink" Target="http://csr.bu.edu/ftp/asl/asllvd/demos/verify_start_end_handshape_annotations//test_auto_move//signs_mov_separ_signers/Liz_2211.mov" TargetMode="External"/><Relationship Id="rId16597" Type="http://schemas.openxmlformats.org/officeDocument/2006/relationships/hyperlink" Target="http://secrets.rutgers.edu:8080/data/asl-ftp/asllvd/demos/verify_start_end_handshape_annotations//test_auto_move//signs_mov/2211.mov" TargetMode="External"/><Relationship Id="rId16598" Type="http://schemas.openxmlformats.org/officeDocument/2006/relationships/hyperlink" Target="http://secrets.rutgers.edu:8080/data/asl-ftp/asllvd/demos/verify_start_end_handshape_annotations//test_auto_move//signs_mov_separ_signers/Liz_2211.mov" TargetMode="External"/><Relationship Id="rId16599" Type="http://schemas.openxmlformats.org/officeDocument/2006/relationships/hyperlink" Target="http://csr.bu.edu/ftp/asl/asllvd/demos/verify_start_end_handshape_annotations//test_auto_move//signs_mov_separ_signers/Brady_2211.mov" TargetMode="External"/><Relationship Id="rId16600" Type="http://schemas.openxmlformats.org/officeDocument/2006/relationships/hyperlink" Target="http://secrets.rutgers.edu:8080/data/asl-ftp/asllvd/demos/verify_start_end_handshape_annotations//test_auto_move//signs_mov_separ_signers/Brady_2211.mov" TargetMode="External"/><Relationship Id="rId16601" Type="http://schemas.openxmlformats.org/officeDocument/2006/relationships/hyperlink" Target="http://csr.bu.edu/ftp/asl/asllvd/demos/verify_start_end_handshape_annotations//test_auto_move//signs_mov_separ_signers/Liz_2213.mov" TargetMode="External"/><Relationship Id="rId16602" Type="http://schemas.openxmlformats.org/officeDocument/2006/relationships/hyperlink" Target="http://secrets.rutgers.edu:8080/data/asl-ftp/asllvd/demos/verify_start_end_handshape_annotations//test_auto_move//signs_mov_separ_signers/Liz_2213.mov" TargetMode="External"/><Relationship Id="rId16603" Type="http://schemas.openxmlformats.org/officeDocument/2006/relationships/hyperlink" Target="http://csr.bu.edu/ftp/asl/asllvd/demos/verify_start_end_handshape_annotations//test_auto_move//signs_mov_separ_signers/Liz_3492.mov" TargetMode="External"/><Relationship Id="rId16604" Type="http://schemas.openxmlformats.org/officeDocument/2006/relationships/hyperlink" Target="http://secrets.rutgers.edu:8080/data/asl-ftp/asllvd/demos/verify_start_end_handshape_annotations//test_auto_move//signs_mov_separ_signers/Liz_3492.mov" TargetMode="External"/><Relationship Id="rId16605" Type="http://schemas.openxmlformats.org/officeDocument/2006/relationships/hyperlink" Target="http://csr.bu.edu/ftp/asl/asllvd/demos/verify_start_end_handshape_annotations//test_auto_move//signs_mov/2213_3492_merged.mov" TargetMode="External"/><Relationship Id="rId16606" Type="http://schemas.openxmlformats.org/officeDocument/2006/relationships/hyperlink" Target="http://csr.bu.edu/ftp/asl/asllvd/demos/verify_start_end_handshape_annotations//test_auto_move//signs_mov_separ_signers/Brady_2213.mov" TargetMode="External"/><Relationship Id="rId16607" Type="http://schemas.openxmlformats.org/officeDocument/2006/relationships/hyperlink" Target="http://secrets.rutgers.edu:8080/data/asl-ftp/asllvd/demos/verify_start_end_handshape_annotations//test_auto_move//signs_mov/2213_3492_merged.mov" TargetMode="External"/><Relationship Id="rId16608" Type="http://schemas.openxmlformats.org/officeDocument/2006/relationships/hyperlink" Target="http://secrets.rutgers.edu:8080/data/asl-ftp/asllvd/demos/verify_start_end_handshape_annotations//test_auto_move//signs_mov_separ_signers/Brady_2213.mov" TargetMode="External"/><Relationship Id="rId16609" Type="http://schemas.openxmlformats.org/officeDocument/2006/relationships/hyperlink" Target="http://csr.bu.edu/ftp/asl/asllvd/demos/verify_start_end_handshape_annotations//test_auto_move//signs_mov_separ_signers/Brady_3492.mov" TargetMode="External"/><Relationship Id="rId16610" Type="http://schemas.openxmlformats.org/officeDocument/2006/relationships/hyperlink" Target="http://secrets.rutgers.edu:8080/data/asl-ftp/asllvd/demos/verify_start_end_handshape_annotations//test_auto_move//signs_mov_separ_signers/Brady_3492.mov" TargetMode="External"/><Relationship Id="rId16611" Type="http://schemas.openxmlformats.org/officeDocument/2006/relationships/hyperlink" Target="http://csr.bu.edu/ftp/asl/asllvd/demos/verify_start_end_handshape_annotations//test_auto_move//signs_mov_separ_signers/Lana_2213.mov" TargetMode="External"/><Relationship Id="rId16612" Type="http://schemas.openxmlformats.org/officeDocument/2006/relationships/hyperlink" Target="http://secrets.rutgers.edu:8080/data/asl-ftp/asllvd/demos/verify_start_end_handshape_annotations//test_auto_move//signs_mov_separ_signers/Lana_2213.mov" TargetMode="External"/><Relationship Id="rId16613" Type="http://schemas.openxmlformats.org/officeDocument/2006/relationships/hyperlink" Target="http://csr.bu.edu/ftp/asl/asllvd/demos/verify_start_end_handshape_annotations//test_auto_move//signs_mov_separ_signers/Dana_2213.mov" TargetMode="External"/><Relationship Id="rId16614" Type="http://schemas.openxmlformats.org/officeDocument/2006/relationships/hyperlink" Target="http://secrets.rutgers.edu:8080/data/asl-ftp/asllvd/demos/verify_start_end_handshape_annotations//test_auto_move//signs_mov_separ_signers/Dana_2213.mov" TargetMode="External"/><Relationship Id="rId16615" Type="http://schemas.openxmlformats.org/officeDocument/2006/relationships/hyperlink" Target="http://csr.bu.edu/ftp/asl/asllvd/demos/verify_start_end_handshape_annotations//test_auto_move//signs_mov/5919.mov" TargetMode="External"/><Relationship Id="rId16616" Type="http://schemas.openxmlformats.org/officeDocument/2006/relationships/hyperlink" Target="http://csr.bu.edu/ftp/asl/asllvd/demos/verify_start_end_handshape_annotations//test_auto_move//signs_mov_separ_signers/Brady_5919.mov" TargetMode="External"/><Relationship Id="rId16617" Type="http://schemas.openxmlformats.org/officeDocument/2006/relationships/hyperlink" Target="http://secrets.rutgers.edu:8080/data/asl-ftp/asllvd/demos/verify_start_end_handshape_annotations//test_auto_move//signs_mov/5919.mov" TargetMode="External"/><Relationship Id="rId16618" Type="http://schemas.openxmlformats.org/officeDocument/2006/relationships/hyperlink" Target="http://secrets.rutgers.edu:8080/data/asl-ftp/asllvd/demos/verify_start_end_handshape_annotations//test_auto_move//signs_mov_separ_signers/Brady_5919.mov" TargetMode="External"/><Relationship Id="rId16619" Type="http://schemas.openxmlformats.org/officeDocument/2006/relationships/hyperlink" Target="http://csr.bu.edu/ftp/asl/asllvd/demos/verify_start_end_handshape_annotations//test_auto_move//signs_mov/2214.mov" TargetMode="External"/><Relationship Id="rId16620" Type="http://schemas.openxmlformats.org/officeDocument/2006/relationships/hyperlink" Target="http://csr.bu.edu/ftp/asl/asllvd/demos/verify_start_end_handshape_annotations//test_auto_move//signs_mov_separ_signers/Liz_2214.mov" TargetMode="External"/><Relationship Id="rId16621" Type="http://schemas.openxmlformats.org/officeDocument/2006/relationships/hyperlink" Target="http://secrets.rutgers.edu:8080/data/asl-ftp/asllvd/demos/verify_start_end_handshape_annotations//test_auto_move//signs_mov/2214.mov" TargetMode="External"/><Relationship Id="rId16622" Type="http://schemas.openxmlformats.org/officeDocument/2006/relationships/hyperlink" Target="http://secrets.rutgers.edu:8080/data/asl-ftp/asllvd/demos/verify_start_end_handshape_annotations//test_auto_move//signs_mov_separ_signers/Liz_2214.mov" TargetMode="External"/><Relationship Id="rId16623" Type="http://schemas.openxmlformats.org/officeDocument/2006/relationships/hyperlink" Target="http://csr.bu.edu/ftp/asl/asllvd/demos/verify_start_end_handshape_annotations//test_auto_move//signs_mov_separ_signers/Brady_2214.mov" TargetMode="External"/><Relationship Id="rId16624" Type="http://schemas.openxmlformats.org/officeDocument/2006/relationships/hyperlink" Target="http://secrets.rutgers.edu:8080/data/asl-ftp/asllvd/demos/verify_start_end_handshape_annotations//test_auto_move//signs_mov_separ_signers/Brady_2214.mov" TargetMode="External"/><Relationship Id="rId16625" Type="http://schemas.openxmlformats.org/officeDocument/2006/relationships/hyperlink" Target="http://csr.bu.edu/ftp/asl/asllvd/demos/verify_start_end_handshape_annotations//test_auto_move//signs_mov/5376.mov" TargetMode="External"/><Relationship Id="rId16626" Type="http://schemas.openxmlformats.org/officeDocument/2006/relationships/hyperlink" Target="http://csr.bu.edu/ftp/asl/asllvd/demos/verify_start_end_handshape_annotations//test_auto_move//signs_mov_separ_signers/Lana_5376.mov" TargetMode="External"/><Relationship Id="rId16627" Type="http://schemas.openxmlformats.org/officeDocument/2006/relationships/hyperlink" Target="http://secrets.rutgers.edu:8080/data/asl-ftp/asllvd/demos/verify_start_end_handshape_annotations//test_auto_move//signs_mov/5376.mov" TargetMode="External"/><Relationship Id="rId16628" Type="http://schemas.openxmlformats.org/officeDocument/2006/relationships/hyperlink" Target="http://secrets.rutgers.edu:8080/data/asl-ftp/asllvd/demos/verify_start_end_handshape_annotations//test_auto_move//signs_mov_separ_signers/Lana_5376.mov" TargetMode="External"/><Relationship Id="rId16629" Type="http://schemas.openxmlformats.org/officeDocument/2006/relationships/hyperlink" Target="http://csr.bu.edu/ftp/asl/asllvd/demos/verify_start_end_handshape_annotations//test_auto_move//signs_mov_separ_signers/Liz_2215.mov" TargetMode="External"/><Relationship Id="rId16630" Type="http://schemas.openxmlformats.org/officeDocument/2006/relationships/hyperlink" Target="http://secrets.rutgers.edu:8080/data/asl-ftp/asllvd/demos/verify_start_end_handshape_annotations//test_auto_move//signs_mov_separ_signers/Liz_2215.mov" TargetMode="External"/><Relationship Id="rId16631" Type="http://schemas.openxmlformats.org/officeDocument/2006/relationships/hyperlink" Target="http://csr.bu.edu/ftp/asl/asllvd/demos/verify_start_end_handshape_annotations//test_auto_move//signs_mov/2215.mov" TargetMode="External"/><Relationship Id="rId16632" Type="http://schemas.openxmlformats.org/officeDocument/2006/relationships/hyperlink" Target="http://csr.bu.edu/ftp/asl/asllvd/demos/verify_start_end_handshape_annotations//test_auto_move//signs_mov_separ_signers/Brady_2215.mov" TargetMode="External"/><Relationship Id="rId16633" Type="http://schemas.openxmlformats.org/officeDocument/2006/relationships/hyperlink" Target="http://secrets.rutgers.edu:8080/data/asl-ftp/asllvd/demos/verify_start_end_handshape_annotations//test_auto_move//signs_mov/2215.mov" TargetMode="External"/><Relationship Id="rId16634" Type="http://schemas.openxmlformats.org/officeDocument/2006/relationships/hyperlink" Target="http://secrets.rutgers.edu:8080/data/asl-ftp/asllvd/demos/verify_start_end_handshape_annotations//test_auto_move//signs_mov_separ_signers/Brady_2215.mov" TargetMode="External"/><Relationship Id="rId16635" Type="http://schemas.openxmlformats.org/officeDocument/2006/relationships/hyperlink" Target="http://csr.bu.edu/ftp/asl/asllvd/demos/verify_start_end_handshape_annotations//test_auto_move//signs_mov_separ_signers/Lana_2215.mov" TargetMode="External"/><Relationship Id="rId16636" Type="http://schemas.openxmlformats.org/officeDocument/2006/relationships/hyperlink" Target="http://secrets.rutgers.edu:8080/data/asl-ftp/asllvd/demos/verify_start_end_handshape_annotations//test_auto_move//signs_mov_separ_signers/Lana_2215.mov" TargetMode="External"/><Relationship Id="rId16637" Type="http://schemas.openxmlformats.org/officeDocument/2006/relationships/hyperlink" Target="http://csr.bu.edu/ftp/asl/asllvd/demos/verify_start_end_handshape_annotations//test_auto_move//signs_mov_separ_signers/Dana_2215.mov" TargetMode="External"/><Relationship Id="rId16638" Type="http://schemas.openxmlformats.org/officeDocument/2006/relationships/hyperlink" Target="http://secrets.rutgers.edu:8080/data/asl-ftp/asllvd/demos/verify_start_end_handshape_annotations//test_auto_move//signs_mov_separ_signers/Dana_2215.mov" TargetMode="External"/><Relationship Id="rId16639" Type="http://schemas.openxmlformats.org/officeDocument/2006/relationships/hyperlink" Target="http://csr.bu.edu/ftp/asl/asllvd/demos/verify_start_end_handshape_annotations//test_auto_move//signs_mov_separ_signers/Liz_15083.mov" TargetMode="External"/><Relationship Id="rId16640" Type="http://schemas.openxmlformats.org/officeDocument/2006/relationships/hyperlink" Target="http://secrets.rutgers.edu:8080/data/asl-ftp/asllvd/demos/verify_start_end_handshape_annotations//test_auto_move//signs_mov_separ_signers/Liz_15083.mov" TargetMode="External"/><Relationship Id="rId16641" Type="http://schemas.openxmlformats.org/officeDocument/2006/relationships/hyperlink" Target="http://csr.bu.edu/ftp/asl/asllvd/demos/verify_start_end_handshape_annotations//test_auto_move//signs_mov/15083.mov" TargetMode="External"/><Relationship Id="rId16642" Type="http://schemas.openxmlformats.org/officeDocument/2006/relationships/hyperlink" Target="http://csr.bu.edu/ftp/asl/asllvd/demos/verify_start_end_handshape_annotations//test_auto_move//signs_mov_separ_signers/Brady_15083.mov" TargetMode="External"/><Relationship Id="rId16643" Type="http://schemas.openxmlformats.org/officeDocument/2006/relationships/hyperlink" Target="http://secrets.rutgers.edu:8080/data/asl-ftp/asllvd/demos/verify_start_end_handshape_annotations//test_auto_move//signs_mov/15083.mov" TargetMode="External"/><Relationship Id="rId16644" Type="http://schemas.openxmlformats.org/officeDocument/2006/relationships/hyperlink" Target="http://secrets.rutgers.edu:8080/data/asl-ftp/asllvd/demos/verify_start_end_handshape_annotations//test_auto_move//signs_mov_separ_signers/Brady_15083.mov" TargetMode="External"/><Relationship Id="rId16645" Type="http://schemas.openxmlformats.org/officeDocument/2006/relationships/hyperlink" Target="http://csr.bu.edu/ftp/asl/asllvd/demos/verify_start_end_handshape_annotations//test_auto_move//signs_mov_separ_signers/Lana_15083.mov" TargetMode="External"/><Relationship Id="rId16646" Type="http://schemas.openxmlformats.org/officeDocument/2006/relationships/hyperlink" Target="http://secrets.rutgers.edu:8080/data/asl-ftp/asllvd/demos/verify_start_end_handshape_annotations//test_auto_move//signs_mov_separ_signers/Lana_15083.mov" TargetMode="External"/><Relationship Id="rId16647" Type="http://schemas.openxmlformats.org/officeDocument/2006/relationships/hyperlink" Target="http://csr.bu.edu/ftp/asl/asllvd/demos/verify_start_end_handshape_annotations//test_auto_move//signs_mov_separ_signers/Dana_15083.mov" TargetMode="External"/><Relationship Id="rId16648" Type="http://schemas.openxmlformats.org/officeDocument/2006/relationships/hyperlink" Target="http://secrets.rutgers.edu:8080/data/asl-ftp/asllvd/demos/verify_start_end_handshape_annotations//test_auto_move//signs_mov_separ_signers/Dana_15083.mov" TargetMode="External"/><Relationship Id="rId16649" Type="http://schemas.openxmlformats.org/officeDocument/2006/relationships/hyperlink" Target="http://csr.bu.edu/ftp/asl/asllvd/demos/verify_start_end_handshape_annotations//test_auto_move//signs_mov/15928.mov" TargetMode="External"/><Relationship Id="rId16650" Type="http://schemas.openxmlformats.org/officeDocument/2006/relationships/hyperlink" Target="http://csr.bu.edu/ftp/asl/asllvd/demos/verify_start_end_handshape_annotations//test_auto_move//signs_mov_separ_signers/Liz_15928.mov" TargetMode="External"/><Relationship Id="rId16651" Type="http://schemas.openxmlformats.org/officeDocument/2006/relationships/hyperlink" Target="http://secrets.rutgers.edu:8080/data/asl-ftp/asllvd/demos/verify_start_end_handshape_annotations//test_auto_move//signs_mov/15928.mov" TargetMode="External"/><Relationship Id="rId16652" Type="http://schemas.openxmlformats.org/officeDocument/2006/relationships/hyperlink" Target="http://secrets.rutgers.edu:8080/data/asl-ftp/asllvd/demos/verify_start_end_handshape_annotations//test_auto_move//signs_mov_separ_signers/Liz_15928.mov" TargetMode="External"/><Relationship Id="rId16653" Type="http://schemas.openxmlformats.org/officeDocument/2006/relationships/hyperlink" Target="http://csr.bu.edu/ftp/asl/asllvd/demos/verify_start_end_handshape_annotations//test_auto_move//signs_mov_separ_signers/Brady_15928.mov" TargetMode="External"/><Relationship Id="rId16654" Type="http://schemas.openxmlformats.org/officeDocument/2006/relationships/hyperlink" Target="http://secrets.rutgers.edu:8080/data/asl-ftp/asllvd/demos/verify_start_end_handshape_annotations//test_auto_move//signs_mov_separ_signers/Brady_15928.mov" TargetMode="External"/><Relationship Id="rId16655" Type="http://schemas.openxmlformats.org/officeDocument/2006/relationships/hyperlink" Target="http://csr.bu.edu/ftp/asl/asllvd/demos/verify_start_end_handshape_annotations//test_auto_move//signs_mov_separ_signers/Liz_2216.mov" TargetMode="External"/><Relationship Id="rId16656" Type="http://schemas.openxmlformats.org/officeDocument/2006/relationships/hyperlink" Target="http://secrets.rutgers.edu:8080/data/asl-ftp/asllvd/demos/verify_start_end_handshape_annotations//test_auto_move//signs_mov_separ_signers/Liz_2216.mov" TargetMode="External"/><Relationship Id="rId16657" Type="http://schemas.openxmlformats.org/officeDocument/2006/relationships/hyperlink" Target="http://csr.bu.edu/ftp/asl/asllvd/demos/verify_start_end_handshape_annotations//test_auto_move//signs_mov/2216.mov" TargetMode="External"/><Relationship Id="rId16658" Type="http://schemas.openxmlformats.org/officeDocument/2006/relationships/hyperlink" Target="http://csr.bu.edu/ftp/asl/asllvd/demos/verify_start_end_handshape_annotations//test_auto_move//signs_mov_separ_signers/Brady_2216.mov" TargetMode="External"/><Relationship Id="rId16659" Type="http://schemas.openxmlformats.org/officeDocument/2006/relationships/hyperlink" Target="http://secrets.rutgers.edu:8080/data/asl-ftp/asllvd/demos/verify_start_end_handshape_annotations//test_auto_move//signs_mov/2216.mov" TargetMode="External"/><Relationship Id="rId16660" Type="http://schemas.openxmlformats.org/officeDocument/2006/relationships/hyperlink" Target="http://secrets.rutgers.edu:8080/data/asl-ftp/asllvd/demos/verify_start_end_handshape_annotations//test_auto_move//signs_mov_separ_signers/Brady_2216.mov" TargetMode="External"/><Relationship Id="rId16661" Type="http://schemas.openxmlformats.org/officeDocument/2006/relationships/hyperlink" Target="http://csr.bu.edu/ftp/asl/asllvd/demos/verify_start_end_handshape_annotations//test_auto_move//signs_mov_separ_signers/Lana_2216.mov" TargetMode="External"/><Relationship Id="rId16662" Type="http://schemas.openxmlformats.org/officeDocument/2006/relationships/hyperlink" Target="http://secrets.rutgers.edu:8080/data/asl-ftp/asllvd/demos/verify_start_end_handshape_annotations//test_auto_move//signs_mov_separ_signers/Lana_2216.mov" TargetMode="External"/><Relationship Id="rId16663" Type="http://schemas.openxmlformats.org/officeDocument/2006/relationships/hyperlink" Target="http://csr.bu.edu/ftp/asl/asllvd/demos/verify_start_end_handshape_annotations//test_auto_move//signs_mov_separ_signers/Dana_2216.mov" TargetMode="External"/><Relationship Id="rId16664" Type="http://schemas.openxmlformats.org/officeDocument/2006/relationships/hyperlink" Target="http://secrets.rutgers.edu:8080/data/asl-ftp/asllvd/demos/verify_start_end_handshape_annotations//test_auto_move//signs_mov_separ_signers/Dana_2216.mov" TargetMode="External"/><Relationship Id="rId16665" Type="http://schemas.openxmlformats.org/officeDocument/2006/relationships/hyperlink" Target="http://csr.bu.edu/ftp/asl/asllvd/demos/verify_start_end_handshape_annotations//test_auto_move//signs_mov_separ_signers/Liz_15908.mov" TargetMode="External"/><Relationship Id="rId16666" Type="http://schemas.openxmlformats.org/officeDocument/2006/relationships/hyperlink" Target="http://secrets.rutgers.edu:8080/data/asl-ftp/asllvd/demos/verify_start_end_handshape_annotations//test_auto_move//signs_mov_separ_signers/Liz_15908.mov" TargetMode="External"/><Relationship Id="rId16667" Type="http://schemas.openxmlformats.org/officeDocument/2006/relationships/hyperlink" Target="http://csr.bu.edu/ftp/asl/asllvd/demos/verify_start_end_handshape_annotations//test_auto_move//signs_mov/15908.mov" TargetMode="External"/><Relationship Id="rId16668" Type="http://schemas.openxmlformats.org/officeDocument/2006/relationships/hyperlink" Target="http://csr.bu.edu/ftp/asl/asllvd/demos/verify_start_end_handshape_annotations//test_auto_move//signs_mov_separ_signers/Tyler_15908.mov" TargetMode="External"/><Relationship Id="rId16669" Type="http://schemas.openxmlformats.org/officeDocument/2006/relationships/hyperlink" Target="http://secrets.rutgers.edu:8080/data/asl-ftp/asllvd/demos/verify_start_end_handshape_annotations//test_auto_move//signs_mov/15908.mov" TargetMode="External"/><Relationship Id="rId16670" Type="http://schemas.openxmlformats.org/officeDocument/2006/relationships/hyperlink" Target="http://secrets.rutgers.edu:8080/data/asl-ftp/asllvd/demos/verify_start_end_handshape_annotations//test_auto_move//signs_mov_separ_signers/Tyler_15908.mov" TargetMode="External"/><Relationship Id="rId16671" Type="http://schemas.openxmlformats.org/officeDocument/2006/relationships/hyperlink" Target="http://csr.bu.edu/ftp/asl/asllvd/demos/verify_start_end_handshape_annotations//test_auto_move//signs_mov_separ_signers/Naomi_15908.mov" TargetMode="External"/><Relationship Id="rId16672" Type="http://schemas.openxmlformats.org/officeDocument/2006/relationships/hyperlink" Target="http://secrets.rutgers.edu:8080/data/asl-ftp/asllvd/demos/verify_start_end_handshape_annotations//test_auto_move//signs_mov_separ_signers/Naomi_15908.mov" TargetMode="External"/><Relationship Id="rId16673" Type="http://schemas.openxmlformats.org/officeDocument/2006/relationships/hyperlink" Target="http://csr.bu.edu/ftp/asl/asllvd/demos/verify_start_end_handshape_annotations//test_auto_move//signs_mov_separ_signers/Brady_15908.mov" TargetMode="External"/><Relationship Id="rId16674" Type="http://schemas.openxmlformats.org/officeDocument/2006/relationships/hyperlink" Target="http://secrets.rutgers.edu:8080/data/asl-ftp/asllvd/demos/verify_start_end_handshape_annotations//test_auto_move//signs_mov_separ_signers/Brady_15908.mov" TargetMode="External"/><Relationship Id="rId16675" Type="http://schemas.openxmlformats.org/officeDocument/2006/relationships/hyperlink" Target="http://csr.bu.edu/ftp/asl/asllvd/demos/verify_start_end_handshape_annotations//test_auto_move//signs_mov/2217.mov" TargetMode="External"/><Relationship Id="rId16676" Type="http://schemas.openxmlformats.org/officeDocument/2006/relationships/hyperlink" Target="http://csr.bu.edu/ftp/asl/asllvd/demos/verify_start_end_handshape_annotations//test_auto_move//signs_mov_separ_signers/Liz_2217.mov" TargetMode="External"/><Relationship Id="rId16677" Type="http://schemas.openxmlformats.org/officeDocument/2006/relationships/hyperlink" Target="http://secrets.rutgers.edu:8080/data/asl-ftp/asllvd/demos/verify_start_end_handshape_annotations//test_auto_move//signs_mov/2217.mov" TargetMode="External"/><Relationship Id="rId16678" Type="http://schemas.openxmlformats.org/officeDocument/2006/relationships/hyperlink" Target="http://secrets.rutgers.edu:8080/data/asl-ftp/asllvd/demos/verify_start_end_handshape_annotations//test_auto_move//signs_mov_separ_signers/Liz_2217.mov" TargetMode="External"/><Relationship Id="rId16679" Type="http://schemas.openxmlformats.org/officeDocument/2006/relationships/hyperlink" Target="http://csr.bu.edu/ftp/asl/asllvd/demos/verify_start_end_handshape_annotations//test_auto_move//signs_mov_separ_signers/Brady_2217.mov" TargetMode="External"/><Relationship Id="rId16680" Type="http://schemas.openxmlformats.org/officeDocument/2006/relationships/hyperlink" Target="http://secrets.rutgers.edu:8080/data/asl-ftp/asllvd/demos/verify_start_end_handshape_annotations//test_auto_move//signs_mov_separ_signers/Brady_2217.mov" TargetMode="External"/><Relationship Id="rId16681" Type="http://schemas.openxmlformats.org/officeDocument/2006/relationships/hyperlink" Target="http://csr.bu.edu/ftp/asl/asllvd/demos/verify_start_end_handshape_annotations//test_auto_move//signs_mov_separ_signers/Liz_2220.mov" TargetMode="External"/><Relationship Id="rId16682" Type="http://schemas.openxmlformats.org/officeDocument/2006/relationships/hyperlink" Target="http://secrets.rutgers.edu:8080/data/asl-ftp/asllvd/demos/verify_start_end_handshape_annotations//test_auto_move//signs_mov_separ_signers/Liz_2220.mov" TargetMode="External"/><Relationship Id="rId16683" Type="http://schemas.openxmlformats.org/officeDocument/2006/relationships/hyperlink" Target="http://csr.bu.edu/ftp/asl/asllvd/demos/verify_start_end_handshape_annotations//test_auto_move//signs_mov_separ_signers/Liz_5453.mov" TargetMode="External"/><Relationship Id="rId16684" Type="http://schemas.openxmlformats.org/officeDocument/2006/relationships/hyperlink" Target="http://secrets.rutgers.edu:8080/data/asl-ftp/asllvd/demos/verify_start_end_handshape_annotations//test_auto_move//signs_mov_separ_signers/Liz_5453.mov" TargetMode="External"/><Relationship Id="rId16685" Type="http://schemas.openxmlformats.org/officeDocument/2006/relationships/hyperlink" Target="http://csr.bu.edu/ftp/asl/asllvd/demos/verify_start_end_handshape_annotations//test_auto_move//signs_mov/2220_5453_5454_merged.mov" TargetMode="External"/><Relationship Id="rId16686" Type="http://schemas.openxmlformats.org/officeDocument/2006/relationships/hyperlink" Target="http://csr.bu.edu/ftp/asl/asllvd/demos/verify_start_end_handshape_annotations//test_auto_move//signs_mov_separ_signers/Brady_2220.mov" TargetMode="External"/><Relationship Id="rId16687" Type="http://schemas.openxmlformats.org/officeDocument/2006/relationships/hyperlink" Target="http://secrets.rutgers.edu:8080/data/asl-ftp/asllvd/demos/verify_start_end_handshape_annotations//test_auto_move//signs_mov/2220_5453_5454_merged.mov" TargetMode="External"/><Relationship Id="rId16688" Type="http://schemas.openxmlformats.org/officeDocument/2006/relationships/hyperlink" Target="http://secrets.rutgers.edu:8080/data/asl-ftp/asllvd/demos/verify_start_end_handshape_annotations//test_auto_move//signs_mov_separ_signers/Brady_2220.mov" TargetMode="External"/><Relationship Id="rId16689" Type="http://schemas.openxmlformats.org/officeDocument/2006/relationships/hyperlink" Target="http://csr.bu.edu/ftp/asl/asllvd/demos/verify_start_end_handshape_annotations//test_auto_move//signs_mov_separ_signers/Brady_5453.mov" TargetMode="External"/><Relationship Id="rId16690" Type="http://schemas.openxmlformats.org/officeDocument/2006/relationships/hyperlink" Target="http://secrets.rutgers.edu:8080/data/asl-ftp/asllvd/demos/verify_start_end_handshape_annotations//test_auto_move//signs_mov_separ_signers/Brady_5453.mov" TargetMode="External"/><Relationship Id="rId16691" Type="http://schemas.openxmlformats.org/officeDocument/2006/relationships/hyperlink" Target="http://csr.bu.edu/ftp/asl/asllvd/demos/verify_start_end_handshape_annotations//test_auto_move//signs_mov_separ_signers/Brady_5454.mov" TargetMode="External"/><Relationship Id="rId16692" Type="http://schemas.openxmlformats.org/officeDocument/2006/relationships/hyperlink" Target="http://secrets.rutgers.edu:8080/data/asl-ftp/asllvd/demos/verify_start_end_handshape_annotations//test_auto_move//signs_mov_separ_signers/Brady_5454.mov" TargetMode="External"/><Relationship Id="rId16693" Type="http://schemas.openxmlformats.org/officeDocument/2006/relationships/hyperlink" Target="http://csr.bu.edu/ftp/asl/asllvd/demos/verify_start_end_handshape_annotations//test_auto_move//signs_mov_separ_signers/Liz_2224.mov" TargetMode="External"/><Relationship Id="rId16694" Type="http://schemas.openxmlformats.org/officeDocument/2006/relationships/hyperlink" Target="http://secrets.rutgers.edu:8080/data/asl-ftp/asllvd/demos/verify_start_end_handshape_annotations//test_auto_move//signs_mov_separ_signers/Liz_2224.mov" TargetMode="External"/><Relationship Id="rId16695" Type="http://schemas.openxmlformats.org/officeDocument/2006/relationships/hyperlink" Target="http://csr.bu.edu/ftp/asl/asllvd/demos/verify_start_end_handshape_annotations//test_auto_move//signs_mov/2224.mov" TargetMode="External"/><Relationship Id="rId16696" Type="http://schemas.openxmlformats.org/officeDocument/2006/relationships/hyperlink" Target="http://csr.bu.edu/ftp/asl/asllvd/demos/verify_start_end_handshape_annotations//test_auto_move//signs_mov_separ_signers/Brady_2224.mov" TargetMode="External"/><Relationship Id="rId16697" Type="http://schemas.openxmlformats.org/officeDocument/2006/relationships/hyperlink" Target="http://secrets.rutgers.edu:8080/data/asl-ftp/asllvd/demos/verify_start_end_handshape_annotations//test_auto_move//signs_mov/2224.mov" TargetMode="External"/><Relationship Id="rId16698" Type="http://schemas.openxmlformats.org/officeDocument/2006/relationships/hyperlink" Target="http://secrets.rutgers.edu:8080/data/asl-ftp/asllvd/demos/verify_start_end_handshape_annotations//test_auto_move//signs_mov_separ_signers/Brady_2224.mov" TargetMode="External"/><Relationship Id="rId16699" Type="http://schemas.openxmlformats.org/officeDocument/2006/relationships/hyperlink" Target="http://csr.bu.edu/ftp/asl/asllvd/demos/verify_start_end_handshape_annotations//test_auto_move//signs_mov_separ_signers/Dana_2224.mov" TargetMode="External"/><Relationship Id="rId16700" Type="http://schemas.openxmlformats.org/officeDocument/2006/relationships/hyperlink" Target="http://secrets.rutgers.edu:8080/data/asl-ftp/asllvd/demos/verify_start_end_handshape_annotations//test_auto_move//signs_mov_separ_signers/Dana_2224.mov" TargetMode="External"/><Relationship Id="rId16701" Type="http://schemas.openxmlformats.org/officeDocument/2006/relationships/hyperlink" Target="http://csr.bu.edu/ftp/asl/asllvd/demos/verify_start_end_handshape_annotations//test_auto_move//signs_mov_separ_signers/Liz_3752.mov" TargetMode="External"/><Relationship Id="rId16702" Type="http://schemas.openxmlformats.org/officeDocument/2006/relationships/hyperlink" Target="http://secrets.rutgers.edu:8080/data/asl-ftp/asllvd/demos/verify_start_end_handshape_annotations//test_auto_move//signs_mov_separ_signers/Liz_3752.mov" TargetMode="External"/><Relationship Id="rId16703" Type="http://schemas.openxmlformats.org/officeDocument/2006/relationships/hyperlink" Target="http://csr.bu.edu/ftp/asl/asllvd/demos/verify_start_end_handshape_annotations//test_auto_move//signs_mov/3752.mov" TargetMode="External"/><Relationship Id="rId16704" Type="http://schemas.openxmlformats.org/officeDocument/2006/relationships/hyperlink" Target="http://csr.bu.edu/ftp/asl/asllvd/demos/verify_start_end_handshape_annotations//test_auto_move//signs_mov_separ_signers/Brady_3752.mov" TargetMode="External"/><Relationship Id="rId16705" Type="http://schemas.openxmlformats.org/officeDocument/2006/relationships/hyperlink" Target="http://secrets.rutgers.edu:8080/data/asl-ftp/asllvd/demos/verify_start_end_handshape_annotations//test_auto_move//signs_mov/3752.mov" TargetMode="External"/><Relationship Id="rId16706" Type="http://schemas.openxmlformats.org/officeDocument/2006/relationships/hyperlink" Target="http://secrets.rutgers.edu:8080/data/asl-ftp/asllvd/demos/verify_start_end_handshape_annotations//test_auto_move//signs_mov_separ_signers/Brady_3752.mov" TargetMode="External"/><Relationship Id="rId16707" Type="http://schemas.openxmlformats.org/officeDocument/2006/relationships/hyperlink" Target="http://csr.bu.edu/ftp/asl/asllvd/demos/verify_start_end_handshape_annotations//test_auto_move//signs_mov_separ_signers/Lana_3752.mov" TargetMode="External"/><Relationship Id="rId16708" Type="http://schemas.openxmlformats.org/officeDocument/2006/relationships/hyperlink" Target="http://secrets.rutgers.edu:8080/data/asl-ftp/asllvd/demos/verify_start_end_handshape_annotations//test_auto_move//signs_mov_separ_signers/Lana_3752.mov" TargetMode="External"/><Relationship Id="rId16709" Type="http://schemas.openxmlformats.org/officeDocument/2006/relationships/hyperlink" Target="http://csr.bu.edu/ftp/asl/asllvd/demos/verify_start_end_handshape_annotations//test_auto_move//signs_mov_separ_signers/Liz_15822.mov" TargetMode="External"/><Relationship Id="rId16710" Type="http://schemas.openxmlformats.org/officeDocument/2006/relationships/hyperlink" Target="http://secrets.rutgers.edu:8080/data/asl-ftp/asllvd/demos/verify_start_end_handshape_annotations//test_auto_move//signs_mov_separ_signers/Liz_15822.mov" TargetMode="External"/><Relationship Id="rId16711" Type="http://schemas.openxmlformats.org/officeDocument/2006/relationships/hyperlink" Target="http://csr.bu.edu/ftp/asl/asllvd/demos/verify_start_end_handshape_annotations//test_auto_move//signs_mov/15822_15836_merged.mov" TargetMode="External"/><Relationship Id="rId16712" Type="http://schemas.openxmlformats.org/officeDocument/2006/relationships/hyperlink" Target="http://csr.bu.edu/ftp/asl/asllvd/demos/verify_start_end_handshape_annotations//test_auto_move//signs_mov_separ_signers/Liz_15836.mov" TargetMode="External"/><Relationship Id="rId16713" Type="http://schemas.openxmlformats.org/officeDocument/2006/relationships/hyperlink" Target="http://secrets.rutgers.edu:8080/data/asl-ftp/asllvd/demos/verify_start_end_handshape_annotations//test_auto_move//signs_mov/15822_15836_merged.mov" TargetMode="External"/><Relationship Id="rId16714" Type="http://schemas.openxmlformats.org/officeDocument/2006/relationships/hyperlink" Target="http://secrets.rutgers.edu:8080/data/asl-ftp/asllvd/demos/verify_start_end_handshape_annotations//test_auto_move//signs_mov_separ_signers/Liz_15836.mov" TargetMode="External"/><Relationship Id="rId16715" Type="http://schemas.openxmlformats.org/officeDocument/2006/relationships/hyperlink" Target="http://csr.bu.edu/ftp/asl/asllvd/demos/verify_start_end_handshape_annotations//test_auto_move//signs_mov_separ_signers/Brady_15822.mov" TargetMode="External"/><Relationship Id="rId16716" Type="http://schemas.openxmlformats.org/officeDocument/2006/relationships/hyperlink" Target="http://secrets.rutgers.edu:8080/data/asl-ftp/asllvd/demos/verify_start_end_handshape_annotations//test_auto_move//signs_mov_separ_signers/Brady_15822.mov" TargetMode="External"/><Relationship Id="rId16717" Type="http://schemas.openxmlformats.org/officeDocument/2006/relationships/hyperlink" Target="http://csr.bu.edu/ftp/asl/asllvd/demos/verify_start_end_handshape_annotations//test_auto_move//signs_mov/15840.mov" TargetMode="External"/><Relationship Id="rId16718" Type="http://schemas.openxmlformats.org/officeDocument/2006/relationships/hyperlink" Target="http://csr.bu.edu/ftp/asl/asllvd/demos/verify_start_end_handshape_annotations//test_auto_move//signs_mov_separ_signers/Liz_15840.mov" TargetMode="External"/><Relationship Id="rId16719" Type="http://schemas.openxmlformats.org/officeDocument/2006/relationships/hyperlink" Target="http://secrets.rutgers.edu:8080/data/asl-ftp/asllvd/demos/verify_start_end_handshape_annotations//test_auto_move//signs_mov/15840.mov" TargetMode="External"/><Relationship Id="rId16720" Type="http://schemas.openxmlformats.org/officeDocument/2006/relationships/hyperlink" Target="http://secrets.rutgers.edu:8080/data/asl-ftp/asllvd/demos/verify_start_end_handshape_annotations//test_auto_move//signs_mov_separ_signers/Liz_15840.mov" TargetMode="External"/><Relationship Id="rId16721" Type="http://schemas.openxmlformats.org/officeDocument/2006/relationships/hyperlink" Target="http://csr.bu.edu/ftp/asl/asllvd/demos/verify_start_end_handshape_annotations//test_auto_move//signs_mov/2226.mov" TargetMode="External"/><Relationship Id="rId16722" Type="http://schemas.openxmlformats.org/officeDocument/2006/relationships/hyperlink" Target="http://csr.bu.edu/ftp/asl/asllvd/demos/verify_start_end_handshape_annotations//test_auto_move//signs_mov_separ_signers/Liz_2226.mov" TargetMode="External"/><Relationship Id="rId16723" Type="http://schemas.openxmlformats.org/officeDocument/2006/relationships/hyperlink" Target="http://secrets.rutgers.edu:8080/data/asl-ftp/asllvd/demos/verify_start_end_handshape_annotations//test_auto_move//signs_mov/2226.mov" TargetMode="External"/><Relationship Id="rId16724" Type="http://schemas.openxmlformats.org/officeDocument/2006/relationships/hyperlink" Target="http://secrets.rutgers.edu:8080/data/asl-ftp/asllvd/demos/verify_start_end_handshape_annotations//test_auto_move//signs_mov_separ_signers/Liz_2226.mov" TargetMode="External"/><Relationship Id="rId16725" Type="http://schemas.openxmlformats.org/officeDocument/2006/relationships/hyperlink" Target="http://csr.bu.edu/ftp/asl/asllvd/demos/verify_start_end_handshape_annotations//test_auto_move//signs_mov_separ_signers/Brady_2226.mov" TargetMode="External"/><Relationship Id="rId16726" Type="http://schemas.openxmlformats.org/officeDocument/2006/relationships/hyperlink" Target="http://secrets.rutgers.edu:8080/data/asl-ftp/asllvd/demos/verify_start_end_handshape_annotations//test_auto_move//signs_mov_separ_signers/Brady_2226.mov" TargetMode="External"/><Relationship Id="rId16727" Type="http://schemas.openxmlformats.org/officeDocument/2006/relationships/hyperlink" Target="http://csr.bu.edu/ftp/asl/asllvd/demos/verify_start_end_handshape_annotations//test_auto_move//signs_mov/2227.mov" TargetMode="External"/><Relationship Id="rId16728" Type="http://schemas.openxmlformats.org/officeDocument/2006/relationships/hyperlink" Target="http://csr.bu.edu/ftp/asl/asllvd/demos/verify_start_end_handshape_annotations//test_auto_move//signs_mov_separ_signers/Liz_2227.mov" TargetMode="External"/><Relationship Id="rId16729" Type="http://schemas.openxmlformats.org/officeDocument/2006/relationships/hyperlink" Target="http://secrets.rutgers.edu:8080/data/asl-ftp/asllvd/demos/verify_start_end_handshape_annotations//test_auto_move//signs_mov/2227.mov" TargetMode="External"/><Relationship Id="rId16730" Type="http://schemas.openxmlformats.org/officeDocument/2006/relationships/hyperlink" Target="http://secrets.rutgers.edu:8080/data/asl-ftp/asllvd/demos/verify_start_end_handshape_annotations//test_auto_move//signs_mov_separ_signers/Liz_2227.mov" TargetMode="External"/><Relationship Id="rId16731" Type="http://schemas.openxmlformats.org/officeDocument/2006/relationships/hyperlink" Target="http://csr.bu.edu/ftp/asl/asllvd/demos/verify_start_end_handshape_annotations//test_auto_move//signs_mov_separ_signers/Brady_2227.mov" TargetMode="External"/><Relationship Id="rId16732" Type="http://schemas.openxmlformats.org/officeDocument/2006/relationships/hyperlink" Target="http://secrets.rutgers.edu:8080/data/asl-ftp/asllvd/demos/verify_start_end_handshape_annotations//test_auto_move//signs_mov_separ_signers/Brady_2227.mov" TargetMode="External"/><Relationship Id="rId16733" Type="http://schemas.openxmlformats.org/officeDocument/2006/relationships/hyperlink" Target="http://csr.bu.edu/ftp/asl/asllvd/demos/verify_start_end_handshape_annotations//test_auto_move//signs_mov_separ_signers/Liz_2231.mov" TargetMode="External"/><Relationship Id="rId16734" Type="http://schemas.openxmlformats.org/officeDocument/2006/relationships/hyperlink" Target="http://secrets.rutgers.edu:8080/data/asl-ftp/asllvd/demos/verify_start_end_handshape_annotations//test_auto_move//signs_mov_separ_signers/Liz_2231.mov" TargetMode="External"/><Relationship Id="rId16735" Type="http://schemas.openxmlformats.org/officeDocument/2006/relationships/hyperlink" Target="http://csr.bu.edu/ftp/asl/asllvd/demos/verify_start_end_handshape_annotations//test_auto_move//signs_mov/2231_5767_merged.mov" TargetMode="External"/><Relationship Id="rId16736" Type="http://schemas.openxmlformats.org/officeDocument/2006/relationships/hyperlink" Target="http://csr.bu.edu/ftp/asl/asllvd/demos/verify_start_end_handshape_annotations//test_auto_move//signs_mov_separ_signers/Brady_2231.mov" TargetMode="External"/><Relationship Id="rId16737" Type="http://schemas.openxmlformats.org/officeDocument/2006/relationships/hyperlink" Target="http://secrets.rutgers.edu:8080/data/asl-ftp/asllvd/demos/verify_start_end_handshape_annotations//test_auto_move//signs_mov/2231_5767_merged.mov" TargetMode="External"/><Relationship Id="rId16738" Type="http://schemas.openxmlformats.org/officeDocument/2006/relationships/hyperlink" Target="http://secrets.rutgers.edu:8080/data/asl-ftp/asllvd/demos/verify_start_end_handshape_annotations//test_auto_move//signs_mov_separ_signers/Brady_2231.mov" TargetMode="External"/><Relationship Id="rId16739" Type="http://schemas.openxmlformats.org/officeDocument/2006/relationships/hyperlink" Target="http://csr.bu.edu/ftp/asl/asllvd/demos/verify_start_end_handshape_annotations//test_auto_move//signs_mov_separ_signers/Brady_5767.mov" TargetMode="External"/><Relationship Id="rId16740" Type="http://schemas.openxmlformats.org/officeDocument/2006/relationships/hyperlink" Target="http://secrets.rutgers.edu:8080/data/asl-ftp/asllvd/demos/verify_start_end_handshape_annotations//test_auto_move//signs_mov_separ_signers/Brady_5767.mov" TargetMode="External"/><Relationship Id="rId16741" Type="http://schemas.openxmlformats.org/officeDocument/2006/relationships/hyperlink" Target="http://csr.bu.edu/ftp/asl/asllvd/demos/verify_start_end_handshape_annotations//test_auto_move//signs_mov/15097.mov" TargetMode="External"/><Relationship Id="rId16742" Type="http://schemas.openxmlformats.org/officeDocument/2006/relationships/hyperlink" Target="http://csr.bu.edu/ftp/asl/asllvd/demos/verify_start_end_handshape_annotations//test_auto_move//signs_mov_separ_signers/Brady_15097.mov" TargetMode="External"/><Relationship Id="rId16743" Type="http://schemas.openxmlformats.org/officeDocument/2006/relationships/hyperlink" Target="http://secrets.rutgers.edu:8080/data/asl-ftp/asllvd/demos/verify_start_end_handshape_annotations//test_auto_move//signs_mov/15097.mov" TargetMode="External"/><Relationship Id="rId16744" Type="http://schemas.openxmlformats.org/officeDocument/2006/relationships/hyperlink" Target="http://secrets.rutgers.edu:8080/data/asl-ftp/asllvd/demos/verify_start_end_handshape_annotations//test_auto_move//signs_mov_separ_signers/Brady_15097.mov" TargetMode="External"/><Relationship Id="rId16745" Type="http://schemas.openxmlformats.org/officeDocument/2006/relationships/hyperlink" Target="http://csr.bu.edu/ftp/asl/asllvd/demos/verify_start_end_handshape_annotations//test_auto_move//signs_mov/2232.mov" TargetMode="External"/><Relationship Id="rId16746" Type="http://schemas.openxmlformats.org/officeDocument/2006/relationships/hyperlink" Target="http://csr.bu.edu/ftp/asl/asllvd/demos/verify_start_end_handshape_annotations//test_auto_move//signs_mov_separ_signers/Liz_2232.mov" TargetMode="External"/><Relationship Id="rId16747" Type="http://schemas.openxmlformats.org/officeDocument/2006/relationships/hyperlink" Target="http://secrets.rutgers.edu:8080/data/asl-ftp/asllvd/demos/verify_start_end_handshape_annotations//test_auto_move//signs_mov/2232.mov" TargetMode="External"/><Relationship Id="rId16748" Type="http://schemas.openxmlformats.org/officeDocument/2006/relationships/hyperlink" Target="http://secrets.rutgers.edu:8080/data/asl-ftp/asllvd/demos/verify_start_end_handshape_annotations//test_auto_move//signs_mov_separ_signers/Liz_2232.mov" TargetMode="External"/><Relationship Id="rId16749" Type="http://schemas.openxmlformats.org/officeDocument/2006/relationships/hyperlink" Target="http://csr.bu.edu/ftp/asl/asllvd/demos/verify_start_end_handshape_annotations//test_auto_move//signs_mov_separ_signers/Brady_2232.mov" TargetMode="External"/><Relationship Id="rId16750" Type="http://schemas.openxmlformats.org/officeDocument/2006/relationships/hyperlink" Target="http://secrets.rutgers.edu:8080/data/asl-ftp/asllvd/demos/verify_start_end_handshape_annotations//test_auto_move//signs_mov_separ_signers/Brady_2232.mov" TargetMode="External"/><Relationship Id="rId16751" Type="http://schemas.openxmlformats.org/officeDocument/2006/relationships/hyperlink" Target="http://csr.bu.edu/ftp/asl/asllvd/demos/verify_start_end_handshape_annotations//test_auto_move//signs_mov_separ_signers/Liz_2234.mov" TargetMode="External"/><Relationship Id="rId16752" Type="http://schemas.openxmlformats.org/officeDocument/2006/relationships/hyperlink" Target="http://secrets.rutgers.edu:8080/data/asl-ftp/asllvd/demos/verify_start_end_handshape_annotations//test_auto_move//signs_mov_separ_signers/Liz_2234.mov" TargetMode="External"/><Relationship Id="rId16753" Type="http://schemas.openxmlformats.org/officeDocument/2006/relationships/hyperlink" Target="http://csr.bu.edu/ftp/asl/asllvd/demos/verify_start_end_handshape_annotations//test_auto_move//signs_mov/2234.mov" TargetMode="External"/><Relationship Id="rId16754" Type="http://schemas.openxmlformats.org/officeDocument/2006/relationships/hyperlink" Target="http://csr.bu.edu/ftp/asl/asllvd/demos/verify_start_end_handshape_annotations//test_auto_move//signs_mov_separ_signers/Brady_2234.mov" TargetMode="External"/><Relationship Id="rId16755" Type="http://schemas.openxmlformats.org/officeDocument/2006/relationships/hyperlink" Target="http://secrets.rutgers.edu:8080/data/asl-ftp/asllvd/demos/verify_start_end_handshape_annotations//test_auto_move//signs_mov/2234.mov" TargetMode="External"/><Relationship Id="rId16756" Type="http://schemas.openxmlformats.org/officeDocument/2006/relationships/hyperlink" Target="http://secrets.rutgers.edu:8080/data/asl-ftp/asllvd/demos/verify_start_end_handshape_annotations//test_auto_move//signs_mov_separ_signers/Brady_2234.mov" TargetMode="External"/><Relationship Id="rId16757" Type="http://schemas.openxmlformats.org/officeDocument/2006/relationships/hyperlink" Target="http://csr.bu.edu/ftp/asl/asllvd/demos/verify_start_end_handshape_annotations//test_auto_move//signs_mov_separ_signers/Lana_2234.mov" TargetMode="External"/><Relationship Id="rId16758" Type="http://schemas.openxmlformats.org/officeDocument/2006/relationships/hyperlink" Target="http://secrets.rutgers.edu:8080/data/asl-ftp/asllvd/demos/verify_start_end_handshape_annotations//test_auto_move//signs_mov_separ_signers/Lana_2234.mov" TargetMode="External"/><Relationship Id="rId16759" Type="http://schemas.openxmlformats.org/officeDocument/2006/relationships/hyperlink" Target="http://csr.bu.edu/ftp/asl/asllvd/demos/verify_start_end_handshape_annotations//test_auto_move//signs_mov/3889.mov" TargetMode="External"/><Relationship Id="rId16760" Type="http://schemas.openxmlformats.org/officeDocument/2006/relationships/hyperlink" Target="http://csr.bu.edu/ftp/asl/asllvd/demos/verify_start_end_handshape_annotations//test_auto_move//signs_mov_separ_signers/Dana_3889.mov" TargetMode="External"/><Relationship Id="rId16761" Type="http://schemas.openxmlformats.org/officeDocument/2006/relationships/hyperlink" Target="http://secrets.rutgers.edu:8080/data/asl-ftp/asllvd/demos/verify_start_end_handshape_annotations//test_auto_move//signs_mov/3889.mov" TargetMode="External"/><Relationship Id="rId16762" Type="http://schemas.openxmlformats.org/officeDocument/2006/relationships/hyperlink" Target="http://secrets.rutgers.edu:8080/data/asl-ftp/asllvd/demos/verify_start_end_handshape_annotations//test_auto_move//signs_mov_separ_signers/Dana_3889.mov" TargetMode="External"/><Relationship Id="rId16763" Type="http://schemas.openxmlformats.org/officeDocument/2006/relationships/hyperlink" Target="http://csr.bu.edu/ftp/asl/asllvd/demos/verify_start_end_handshape_annotations//test_auto_move//signs_mov/5668.mov" TargetMode="External"/><Relationship Id="rId16764" Type="http://schemas.openxmlformats.org/officeDocument/2006/relationships/hyperlink" Target="http://csr.bu.edu/ftp/asl/asllvd/demos/verify_start_end_handshape_annotations//test_auto_move//signs_mov_separ_signers/Liz_5668.mov" TargetMode="External"/><Relationship Id="rId16765" Type="http://schemas.openxmlformats.org/officeDocument/2006/relationships/hyperlink" Target="http://secrets.rutgers.edu:8080/data/asl-ftp/asllvd/demos/verify_start_end_handshape_annotations//test_auto_move//signs_mov/5668.mov" TargetMode="External"/><Relationship Id="rId16766" Type="http://schemas.openxmlformats.org/officeDocument/2006/relationships/hyperlink" Target="http://secrets.rutgers.edu:8080/data/asl-ftp/asllvd/demos/verify_start_end_handshape_annotations//test_auto_move//signs_mov_separ_signers/Liz_5668.mov" TargetMode="External"/><Relationship Id="rId16767" Type="http://schemas.openxmlformats.org/officeDocument/2006/relationships/hyperlink" Target="http://csr.bu.edu/ftp/asl/asllvd/demos/verify_start_end_handshape_annotations//test_auto_move//signs_mov_separ_signers/Brady_5668.mov" TargetMode="External"/><Relationship Id="rId16768" Type="http://schemas.openxmlformats.org/officeDocument/2006/relationships/hyperlink" Target="http://secrets.rutgers.edu:8080/data/asl-ftp/asllvd/demos/verify_start_end_handshape_annotations//test_auto_move//signs_mov_separ_signers/Brady_5668.mov" TargetMode="External"/><Relationship Id="rId16769" Type="http://schemas.openxmlformats.org/officeDocument/2006/relationships/hyperlink" Target="http://csr.bu.edu/ftp/asl/asllvd/demos/verify_start_end_handshape_annotations//test_auto_move//signs_mov/2235.mov" TargetMode="External"/><Relationship Id="rId16770" Type="http://schemas.openxmlformats.org/officeDocument/2006/relationships/hyperlink" Target="http://csr.bu.edu/ftp/asl/asllvd/demos/verify_start_end_handshape_annotations//test_auto_move//signs_mov_separ_signers/Liz_2235.mov" TargetMode="External"/><Relationship Id="rId16771" Type="http://schemas.openxmlformats.org/officeDocument/2006/relationships/hyperlink" Target="http://secrets.rutgers.edu:8080/data/asl-ftp/asllvd/demos/verify_start_end_handshape_annotations//test_auto_move//signs_mov/2235.mov" TargetMode="External"/><Relationship Id="rId16772" Type="http://schemas.openxmlformats.org/officeDocument/2006/relationships/hyperlink" Target="http://secrets.rutgers.edu:8080/data/asl-ftp/asllvd/demos/verify_start_end_handshape_annotations//test_auto_move//signs_mov_separ_signers/Liz_2235.mov" TargetMode="External"/><Relationship Id="rId16773" Type="http://schemas.openxmlformats.org/officeDocument/2006/relationships/hyperlink" Target="http://csr.bu.edu/ftp/asl/asllvd/demos/verify_start_end_handshape_annotations//test_auto_move//signs_mov_separ_signers/Brady_2235.mov" TargetMode="External"/><Relationship Id="rId16774" Type="http://schemas.openxmlformats.org/officeDocument/2006/relationships/hyperlink" Target="http://secrets.rutgers.edu:8080/data/asl-ftp/asllvd/demos/verify_start_end_handshape_annotations//test_auto_move//signs_mov_separ_signers/Brady_2235.mov" TargetMode="External"/><Relationship Id="rId16775" Type="http://schemas.openxmlformats.org/officeDocument/2006/relationships/hyperlink" Target="http://csr.bu.edu/ftp/asl/asllvd/demos/verify_start_end_handshape_annotations//test_auto_move//signs_mov/15252.mov" TargetMode="External"/><Relationship Id="rId16776" Type="http://schemas.openxmlformats.org/officeDocument/2006/relationships/hyperlink" Target="http://csr.bu.edu/ftp/asl/asllvd/demos/verify_start_end_handshape_annotations//test_auto_move//signs_mov_separ_signers/Liz_15252.mov" TargetMode="External"/><Relationship Id="rId16777" Type="http://schemas.openxmlformats.org/officeDocument/2006/relationships/hyperlink" Target="http://secrets.rutgers.edu:8080/data/asl-ftp/asllvd/demos/verify_start_end_handshape_annotations//test_auto_move//signs_mov/15252.mov" TargetMode="External"/><Relationship Id="rId16778" Type="http://schemas.openxmlformats.org/officeDocument/2006/relationships/hyperlink" Target="http://secrets.rutgers.edu:8080/data/asl-ftp/asllvd/demos/verify_start_end_handshape_annotations//test_auto_move//signs_mov_separ_signers/Liz_15252.mov" TargetMode="External"/><Relationship Id="rId16779" Type="http://schemas.openxmlformats.org/officeDocument/2006/relationships/hyperlink" Target="http://csr.bu.edu/ftp/asl/asllvd/demos/verify_start_end_handshape_annotations//test_auto_move//signs_mov_separ_signers/Brady_15252.mov" TargetMode="External"/><Relationship Id="rId16780" Type="http://schemas.openxmlformats.org/officeDocument/2006/relationships/hyperlink" Target="http://secrets.rutgers.edu:8080/data/asl-ftp/asllvd/demos/verify_start_end_handshape_annotations//test_auto_move//signs_mov_separ_signers/Brady_15252.mov" TargetMode="External"/><Relationship Id="rId16781" Type="http://schemas.openxmlformats.org/officeDocument/2006/relationships/hyperlink" Target="http://csr.bu.edu/ftp/asl/asllvd/demos/verify_start_end_handshape_annotations//test_auto_move//signs_mov/2238.mov" TargetMode="External"/><Relationship Id="rId16782" Type="http://schemas.openxmlformats.org/officeDocument/2006/relationships/hyperlink" Target="http://csr.bu.edu/ftp/asl/asllvd/demos/verify_start_end_handshape_annotations//test_auto_move//signs_mov_separ_signers/Liz_2238.mov" TargetMode="External"/><Relationship Id="rId16783" Type="http://schemas.openxmlformats.org/officeDocument/2006/relationships/hyperlink" Target="http://secrets.rutgers.edu:8080/data/asl-ftp/asllvd/demos/verify_start_end_handshape_annotations//test_auto_move//signs_mov/2238.mov" TargetMode="External"/><Relationship Id="rId16784" Type="http://schemas.openxmlformats.org/officeDocument/2006/relationships/hyperlink" Target="http://secrets.rutgers.edu:8080/data/asl-ftp/asllvd/demos/verify_start_end_handshape_annotations//test_auto_move//signs_mov_separ_signers/Liz_2238.mov" TargetMode="External"/><Relationship Id="rId16785" Type="http://schemas.openxmlformats.org/officeDocument/2006/relationships/hyperlink" Target="http://csr.bu.edu/ftp/asl/asllvd/demos/verify_start_end_handshape_annotations//test_auto_move//signs_mov_separ_signers/Brady_2238.mov" TargetMode="External"/><Relationship Id="rId16786" Type="http://schemas.openxmlformats.org/officeDocument/2006/relationships/hyperlink" Target="http://secrets.rutgers.edu:8080/data/asl-ftp/asllvd/demos/verify_start_end_handshape_annotations//test_auto_move//signs_mov_separ_signers/Brady_2238.mov" TargetMode="External"/><Relationship Id="rId16787" Type="http://schemas.openxmlformats.org/officeDocument/2006/relationships/hyperlink" Target="http://csr.bu.edu/ftp/asl/asllvd/demos/verify_start_end_handshape_annotations//test_auto_move//signs_mov/2245.mov" TargetMode="External"/><Relationship Id="rId16788" Type="http://schemas.openxmlformats.org/officeDocument/2006/relationships/hyperlink" Target="http://csr.bu.edu/ftp/asl/asllvd/demos/verify_start_end_handshape_annotations//test_auto_move//signs_mov_separ_signers/Liz_2245.mov" TargetMode="External"/><Relationship Id="rId16789" Type="http://schemas.openxmlformats.org/officeDocument/2006/relationships/hyperlink" Target="http://secrets.rutgers.edu:8080/data/asl-ftp/asllvd/demos/verify_start_end_handshape_annotations//test_auto_move//signs_mov/2245.mov" TargetMode="External"/><Relationship Id="rId16790" Type="http://schemas.openxmlformats.org/officeDocument/2006/relationships/hyperlink" Target="http://secrets.rutgers.edu:8080/data/asl-ftp/asllvd/demos/verify_start_end_handshape_annotations//test_auto_move//signs_mov_separ_signers/Liz_2245.mov" TargetMode="External"/><Relationship Id="rId16791" Type="http://schemas.openxmlformats.org/officeDocument/2006/relationships/hyperlink" Target="http://csr.bu.edu/ftp/asl/asllvd/demos/verify_start_end_handshape_annotations//test_auto_move//signs_mov_separ_signers/Brady_2245.mov" TargetMode="External"/><Relationship Id="rId16792" Type="http://schemas.openxmlformats.org/officeDocument/2006/relationships/hyperlink" Target="http://secrets.rutgers.edu:8080/data/asl-ftp/asllvd/demos/verify_start_end_handshape_annotations//test_auto_move//signs_mov_separ_signers/Brady_2245.mov" TargetMode="External"/><Relationship Id="rId16793" Type="http://schemas.openxmlformats.org/officeDocument/2006/relationships/hyperlink" Target="http://csr.bu.edu/ftp/asl/asllvd/demos/verify_start_end_handshape_annotations//test_auto_move//signs_mov/2246.mov" TargetMode="External"/><Relationship Id="rId16794" Type="http://schemas.openxmlformats.org/officeDocument/2006/relationships/hyperlink" Target="http://csr.bu.edu/ftp/asl/asllvd/demos/verify_start_end_handshape_annotations//test_auto_move//signs_mov_separ_signers/Liz_2246.mov" TargetMode="External"/><Relationship Id="rId16795" Type="http://schemas.openxmlformats.org/officeDocument/2006/relationships/hyperlink" Target="http://secrets.rutgers.edu:8080/data/asl-ftp/asllvd/demos/verify_start_end_handshape_annotations//test_auto_move//signs_mov/2246.mov" TargetMode="External"/><Relationship Id="rId16796" Type="http://schemas.openxmlformats.org/officeDocument/2006/relationships/hyperlink" Target="http://secrets.rutgers.edu:8080/data/asl-ftp/asllvd/demos/verify_start_end_handshape_annotations//test_auto_move//signs_mov_separ_signers/Liz_2246.mov" TargetMode="External"/><Relationship Id="rId16797" Type="http://schemas.openxmlformats.org/officeDocument/2006/relationships/hyperlink" Target="http://csr.bu.edu/ftp/asl/asllvd/demos/verify_start_end_handshape_annotations//test_auto_move//signs_mov_separ_signers/Brady_2246.mov" TargetMode="External"/><Relationship Id="rId16798" Type="http://schemas.openxmlformats.org/officeDocument/2006/relationships/hyperlink" Target="http://secrets.rutgers.edu:8080/data/asl-ftp/asllvd/demos/verify_start_end_handshape_annotations//test_auto_move//signs_mov_separ_signers/Brady_2246.mov" TargetMode="External"/><Relationship Id="rId16799" Type="http://schemas.openxmlformats.org/officeDocument/2006/relationships/hyperlink" Target="http://csr.bu.edu/ftp/asl/asllvd/demos/verify_start_end_handshape_annotations//test_auto_move//signs_mov/2248.mov" TargetMode="External"/><Relationship Id="rId16800" Type="http://schemas.openxmlformats.org/officeDocument/2006/relationships/hyperlink" Target="http://csr.bu.edu/ftp/asl/asllvd/demos/verify_start_end_handshape_annotations//test_auto_move//signs_mov_separ_signers/Liz_2248.mov" TargetMode="External"/><Relationship Id="rId16801" Type="http://schemas.openxmlformats.org/officeDocument/2006/relationships/hyperlink" Target="http://secrets.rutgers.edu:8080/data/asl-ftp/asllvd/demos/verify_start_end_handshape_annotations//test_auto_move//signs_mov/2248.mov" TargetMode="External"/><Relationship Id="rId16802" Type="http://schemas.openxmlformats.org/officeDocument/2006/relationships/hyperlink" Target="http://secrets.rutgers.edu:8080/data/asl-ftp/asllvd/demos/verify_start_end_handshape_annotations//test_auto_move//signs_mov_separ_signers/Liz_2248.mov" TargetMode="External"/><Relationship Id="rId16803" Type="http://schemas.openxmlformats.org/officeDocument/2006/relationships/hyperlink" Target="http://csr.bu.edu/ftp/asl/asllvd/demos/verify_start_end_handshape_annotations//test_auto_move//signs_mov_separ_signers/Brady_2248.mov" TargetMode="External"/><Relationship Id="rId16804" Type="http://schemas.openxmlformats.org/officeDocument/2006/relationships/hyperlink" Target="http://secrets.rutgers.edu:8080/data/asl-ftp/asllvd/demos/verify_start_end_handshape_annotations//test_auto_move//signs_mov_separ_signers/Brady_2248.mov" TargetMode="External"/><Relationship Id="rId16805" Type="http://schemas.openxmlformats.org/officeDocument/2006/relationships/hyperlink" Target="http://csr.bu.edu/ftp/asl/asllvd/demos/verify_start_end_handshape_annotations//test_auto_move//signs_mov_separ_signers/Liz_3755.mov" TargetMode="External"/><Relationship Id="rId16806" Type="http://schemas.openxmlformats.org/officeDocument/2006/relationships/hyperlink" Target="http://secrets.rutgers.edu:8080/data/asl-ftp/asllvd/demos/verify_start_end_handshape_annotations//test_auto_move//signs_mov_separ_signers/Liz_3755.mov" TargetMode="External"/><Relationship Id="rId16807" Type="http://schemas.openxmlformats.org/officeDocument/2006/relationships/hyperlink" Target="http://csr.bu.edu/ftp/asl/asllvd/demos/verify_start_end_handshape_annotations//test_auto_move//signs_mov/3755_15815_merged.mov" TargetMode="External"/><Relationship Id="rId16808" Type="http://schemas.openxmlformats.org/officeDocument/2006/relationships/hyperlink" Target="http://csr.bu.edu/ftp/asl/asllvd/demos/verify_start_end_handshape_annotations//test_auto_move//signs_mov_separ_signers/Brady_3755.mov" TargetMode="External"/><Relationship Id="rId16809" Type="http://schemas.openxmlformats.org/officeDocument/2006/relationships/hyperlink" Target="http://secrets.rutgers.edu:8080/data/asl-ftp/asllvd/demos/verify_start_end_handshape_annotations//test_auto_move//signs_mov/3755_15815_merged.mov" TargetMode="External"/><Relationship Id="rId16810" Type="http://schemas.openxmlformats.org/officeDocument/2006/relationships/hyperlink" Target="http://secrets.rutgers.edu:8080/data/asl-ftp/asllvd/demos/verify_start_end_handshape_annotations//test_auto_move//signs_mov_separ_signers/Brady_3755.mov" TargetMode="External"/><Relationship Id="rId16811" Type="http://schemas.openxmlformats.org/officeDocument/2006/relationships/hyperlink" Target="http://csr.bu.edu/ftp/asl/asllvd/demos/verify_start_end_handshape_annotations//test_auto_move//signs_mov_separ_signers/Brady_15815.mov" TargetMode="External"/><Relationship Id="rId16812" Type="http://schemas.openxmlformats.org/officeDocument/2006/relationships/hyperlink" Target="http://secrets.rutgers.edu:8080/data/asl-ftp/asllvd/demos/verify_start_end_handshape_annotations//test_auto_move//signs_mov_separ_signers/Brady_15815.mov" TargetMode="External"/><Relationship Id="rId16813" Type="http://schemas.openxmlformats.org/officeDocument/2006/relationships/hyperlink" Target="http://csr.bu.edu/ftp/asl/asllvd/demos/verify_start_end_handshape_annotations//test_auto_move//signs_mov/15887.mov" TargetMode="External"/><Relationship Id="rId16814" Type="http://schemas.openxmlformats.org/officeDocument/2006/relationships/hyperlink" Target="http://csr.bu.edu/ftp/asl/asllvd/demos/verify_start_end_handshape_annotations//test_auto_move//signs_mov_separ_signers/Liz_15887.mov" TargetMode="External"/><Relationship Id="rId16815" Type="http://schemas.openxmlformats.org/officeDocument/2006/relationships/hyperlink" Target="http://secrets.rutgers.edu:8080/data/asl-ftp/asllvd/demos/verify_start_end_handshape_annotations//test_auto_move//signs_mov/15887.mov" TargetMode="External"/><Relationship Id="rId16816" Type="http://schemas.openxmlformats.org/officeDocument/2006/relationships/hyperlink" Target="http://secrets.rutgers.edu:8080/data/asl-ftp/asllvd/demos/verify_start_end_handshape_annotations//test_auto_move//signs_mov_separ_signers/Liz_15887.mov" TargetMode="External"/><Relationship Id="rId16817" Type="http://schemas.openxmlformats.org/officeDocument/2006/relationships/hyperlink" Target="http://csr.bu.edu/ftp/asl/asllvd/demos/verify_start_end_handshape_annotations//test_auto_move//signs_mov_separ_signers/Liz_2250.mov" TargetMode="External"/><Relationship Id="rId16818" Type="http://schemas.openxmlformats.org/officeDocument/2006/relationships/hyperlink" Target="http://secrets.rutgers.edu:8080/data/asl-ftp/asllvd/demos/verify_start_end_handshape_annotations//test_auto_move//signs_mov_separ_signers/Liz_2250.mov" TargetMode="External"/><Relationship Id="rId16819" Type="http://schemas.openxmlformats.org/officeDocument/2006/relationships/hyperlink" Target="http://csr.bu.edu/ftp/asl/asllvd/demos/verify_start_end_handshape_annotations//test_auto_move//signs_mov/2250_3413_merged.mov" TargetMode="External"/><Relationship Id="rId16820" Type="http://schemas.openxmlformats.org/officeDocument/2006/relationships/hyperlink" Target="http://csr.bu.edu/ftp/asl/asllvd/demos/verify_start_end_handshape_annotations//test_auto_move//signs_mov_separ_signers/Liz_3413.mov" TargetMode="External"/><Relationship Id="rId16821" Type="http://schemas.openxmlformats.org/officeDocument/2006/relationships/hyperlink" Target="http://secrets.rutgers.edu:8080/data/asl-ftp/asllvd/demos/verify_start_end_handshape_annotations//test_auto_move//signs_mov/2250_3413_merged.mov" TargetMode="External"/><Relationship Id="rId16822" Type="http://schemas.openxmlformats.org/officeDocument/2006/relationships/hyperlink" Target="http://secrets.rutgers.edu:8080/data/asl-ftp/asllvd/demos/verify_start_end_handshape_annotations//test_auto_move//signs_mov_separ_signers/Liz_3413.mov" TargetMode="External"/><Relationship Id="rId16823" Type="http://schemas.openxmlformats.org/officeDocument/2006/relationships/hyperlink" Target="http://csr.bu.edu/ftp/asl/asllvd/demos/verify_start_end_handshape_annotations//test_auto_move//signs_mov_separ_signers/Brady_2250.mov" TargetMode="External"/><Relationship Id="rId16824" Type="http://schemas.openxmlformats.org/officeDocument/2006/relationships/hyperlink" Target="http://secrets.rutgers.edu:8080/data/asl-ftp/asllvd/demos/verify_start_end_handshape_annotations//test_auto_move//signs_mov_separ_signers/Brady_2250.mov" TargetMode="External"/><Relationship Id="rId16825" Type="http://schemas.openxmlformats.org/officeDocument/2006/relationships/hyperlink" Target="http://csr.bu.edu/ftp/asl/asllvd/demos/verify_start_end_handshape_annotations//test_auto_move//signs_mov_separ_signers/Brady_3413.mov" TargetMode="External"/><Relationship Id="rId16826" Type="http://schemas.openxmlformats.org/officeDocument/2006/relationships/hyperlink" Target="http://secrets.rutgers.edu:8080/data/asl-ftp/asllvd/demos/verify_start_end_handshape_annotations//test_auto_move//signs_mov_separ_signers/Brady_3413.mov" TargetMode="External"/><Relationship Id="rId16827" Type="http://schemas.openxmlformats.org/officeDocument/2006/relationships/hyperlink" Target="http://csr.bu.edu/ftp/asl/asllvd/demos/verify_start_end_handshape_annotations//test_auto_move//signs_mov/2252.mov" TargetMode="External"/><Relationship Id="rId16828" Type="http://schemas.openxmlformats.org/officeDocument/2006/relationships/hyperlink" Target="http://csr.bu.edu/ftp/asl/asllvd/demos/verify_start_end_handshape_annotations//test_auto_move//signs_mov_separ_signers/Liz_2252.mov" TargetMode="External"/><Relationship Id="rId16829" Type="http://schemas.openxmlformats.org/officeDocument/2006/relationships/hyperlink" Target="http://secrets.rutgers.edu:8080/data/asl-ftp/asllvd/demos/verify_start_end_handshape_annotations//test_auto_move//signs_mov/2252.mov" TargetMode="External"/><Relationship Id="rId16830" Type="http://schemas.openxmlformats.org/officeDocument/2006/relationships/hyperlink" Target="http://secrets.rutgers.edu:8080/data/asl-ftp/asllvd/demos/verify_start_end_handshape_annotations//test_auto_move//signs_mov_separ_signers/Liz_2252.mov" TargetMode="External"/><Relationship Id="rId16831" Type="http://schemas.openxmlformats.org/officeDocument/2006/relationships/hyperlink" Target="http://csr.bu.edu/ftp/asl/asllvd/demos/verify_start_end_handshape_annotations//test_auto_move//signs_mov_separ_signers/Brady_2252.mov" TargetMode="External"/><Relationship Id="rId16832" Type="http://schemas.openxmlformats.org/officeDocument/2006/relationships/hyperlink" Target="http://secrets.rutgers.edu:8080/data/asl-ftp/asllvd/demos/verify_start_end_handshape_annotations//test_auto_move//signs_mov_separ_signers/Brady_2252.mov" TargetMode="External"/><Relationship Id="rId16833" Type="http://schemas.openxmlformats.org/officeDocument/2006/relationships/hyperlink" Target="http://csr.bu.edu/ftp/asl/asllvd/demos/verify_start_end_handshape_annotations//test_auto_move//signs_mov_separ_signers/Liz_2258.mov" TargetMode="External"/><Relationship Id="rId16834" Type="http://schemas.openxmlformats.org/officeDocument/2006/relationships/hyperlink" Target="http://secrets.rutgers.edu:8080/data/asl-ftp/asllvd/demos/verify_start_end_handshape_annotations//test_auto_move//signs_mov_separ_signers/Liz_2258.mov" TargetMode="External"/><Relationship Id="rId16835" Type="http://schemas.openxmlformats.org/officeDocument/2006/relationships/hyperlink" Target="http://csr.bu.edu/ftp/asl/asllvd/demos/verify_start_end_handshape_annotations//test_auto_move//signs_mov/2258.mov" TargetMode="External"/><Relationship Id="rId16836" Type="http://schemas.openxmlformats.org/officeDocument/2006/relationships/hyperlink" Target="http://csr.bu.edu/ftp/asl/asllvd/demos/verify_start_end_handshape_annotations//test_auto_move//signs_mov_separ_signers/Brady_2258.mov" TargetMode="External"/><Relationship Id="rId16837" Type="http://schemas.openxmlformats.org/officeDocument/2006/relationships/hyperlink" Target="http://secrets.rutgers.edu:8080/data/asl-ftp/asllvd/demos/verify_start_end_handshape_annotations//test_auto_move//signs_mov/2258.mov" TargetMode="External"/><Relationship Id="rId16838" Type="http://schemas.openxmlformats.org/officeDocument/2006/relationships/hyperlink" Target="http://secrets.rutgers.edu:8080/data/asl-ftp/asllvd/demos/verify_start_end_handshape_annotations//test_auto_move//signs_mov_separ_signers/Brady_2258.mov" TargetMode="External"/><Relationship Id="rId16839" Type="http://schemas.openxmlformats.org/officeDocument/2006/relationships/hyperlink" Target="http://csr.bu.edu/ftp/asl/asllvd/demos/verify_start_end_handshape_annotations//test_auto_move//signs_mov_separ_signers/Lana_2258.mov" TargetMode="External"/><Relationship Id="rId16840" Type="http://schemas.openxmlformats.org/officeDocument/2006/relationships/hyperlink" Target="http://secrets.rutgers.edu:8080/data/asl-ftp/asllvd/demos/verify_start_end_handshape_annotations//test_auto_move//signs_mov_separ_signers/Lana_2258.mov" TargetMode="External"/><Relationship Id="rId16841" Type="http://schemas.openxmlformats.org/officeDocument/2006/relationships/hyperlink" Target="http://csr.bu.edu/ftp/asl/asllvd/demos/verify_start_end_handshape_annotations//test_auto_move//signs_mov/5081.mov" TargetMode="External"/><Relationship Id="rId16842" Type="http://schemas.openxmlformats.org/officeDocument/2006/relationships/hyperlink" Target="http://csr.bu.edu/ftp/asl/asllvd/demos/verify_start_end_handshape_annotations//test_auto_move//signs_mov_separ_signers/Tyler_5081.mov" TargetMode="External"/><Relationship Id="rId16843" Type="http://schemas.openxmlformats.org/officeDocument/2006/relationships/hyperlink" Target="http://secrets.rutgers.edu:8080/data/asl-ftp/asllvd/demos/verify_start_end_handshape_annotations//test_auto_move//signs_mov/5081.mov" TargetMode="External"/><Relationship Id="rId16844" Type="http://schemas.openxmlformats.org/officeDocument/2006/relationships/hyperlink" Target="http://secrets.rutgers.edu:8080/data/asl-ftp/asllvd/demos/verify_start_end_handshape_annotations//test_auto_move//signs_mov_separ_signers/Tyler_5081.mov" TargetMode="External"/><Relationship Id="rId16845" Type="http://schemas.openxmlformats.org/officeDocument/2006/relationships/hyperlink" Target="http://csr.bu.edu/ftp/asl/asllvd/demos/verify_start_end_handshape_annotations//test_auto_move//signs_mov_separ_signers/Brady_5081.mov" TargetMode="External"/><Relationship Id="rId16846" Type="http://schemas.openxmlformats.org/officeDocument/2006/relationships/hyperlink" Target="http://secrets.rutgers.edu:8080/data/asl-ftp/asllvd/demos/verify_start_end_handshape_annotations//test_auto_move//signs_mov_separ_signers/Brady_5081.mov" TargetMode="External"/><Relationship Id="rId16847" Type="http://schemas.openxmlformats.org/officeDocument/2006/relationships/hyperlink" Target="http://csr.bu.edu/ftp/asl/asllvd/demos/verify_start_end_handshape_annotations//test_auto_move//signs_mov/2263.mov" TargetMode="External"/><Relationship Id="rId16848" Type="http://schemas.openxmlformats.org/officeDocument/2006/relationships/hyperlink" Target="http://csr.bu.edu/ftp/asl/asllvd/demos/verify_start_end_handshape_annotations//test_auto_move//signs_mov_separ_signers/Liz_2263.mov" TargetMode="External"/><Relationship Id="rId16849" Type="http://schemas.openxmlformats.org/officeDocument/2006/relationships/hyperlink" Target="http://secrets.rutgers.edu:8080/data/asl-ftp/asllvd/demos/verify_start_end_handshape_annotations//test_auto_move//signs_mov/2263.mov" TargetMode="External"/><Relationship Id="rId16850" Type="http://schemas.openxmlformats.org/officeDocument/2006/relationships/hyperlink" Target="http://secrets.rutgers.edu:8080/data/asl-ftp/asllvd/demos/verify_start_end_handshape_annotations//test_auto_move//signs_mov_separ_signers/Liz_2263.mov" TargetMode="External"/><Relationship Id="rId16851" Type="http://schemas.openxmlformats.org/officeDocument/2006/relationships/hyperlink" Target="http://csr.bu.edu/ftp/asl/asllvd/demos/verify_start_end_handshape_annotations//test_auto_move//signs_mov/16453.mov" TargetMode="External"/><Relationship Id="rId16852" Type="http://schemas.openxmlformats.org/officeDocument/2006/relationships/hyperlink" Target="http://csr.bu.edu/ftp/asl/asllvd/demos/verify_start_end_handshape_annotations//test_auto_move//signs_mov_separ_signers/Brady_16453.mov" TargetMode="External"/><Relationship Id="rId16853" Type="http://schemas.openxmlformats.org/officeDocument/2006/relationships/hyperlink" Target="http://secrets.rutgers.edu:8080/data/asl-ftp/asllvd/demos/verify_start_end_handshape_annotations//test_auto_move//signs_mov/16453.mov" TargetMode="External"/><Relationship Id="rId16854" Type="http://schemas.openxmlformats.org/officeDocument/2006/relationships/hyperlink" Target="http://secrets.rutgers.edu:8080/data/asl-ftp/asllvd/demos/verify_start_end_handshape_annotations//test_auto_move//signs_mov_separ_signers/Brady_16453.mov" TargetMode="External"/><Relationship Id="rId16855" Type="http://schemas.openxmlformats.org/officeDocument/2006/relationships/hyperlink" Target="http://csr.bu.edu/ftp/asl/asllvd/demos/verify_start_end_handshape_annotations//test_auto_move//signs_mov_separ_signers/Liz_2266.mov" TargetMode="External"/><Relationship Id="rId16856" Type="http://schemas.openxmlformats.org/officeDocument/2006/relationships/hyperlink" Target="http://secrets.rutgers.edu:8080/data/asl-ftp/asllvd/demos/verify_start_end_handshape_annotations//test_auto_move//signs_mov_separ_signers/Liz_2266.mov" TargetMode="External"/><Relationship Id="rId16857" Type="http://schemas.openxmlformats.org/officeDocument/2006/relationships/hyperlink" Target="http://csr.bu.edu/ftp/asl/asllvd/demos/verify_start_end_handshape_annotations//test_auto_move//signs_mov_separ_signers/Liz_15807.mov" TargetMode="External"/><Relationship Id="rId16858" Type="http://schemas.openxmlformats.org/officeDocument/2006/relationships/hyperlink" Target="http://secrets.rutgers.edu:8080/data/asl-ftp/asllvd/demos/verify_start_end_handshape_annotations//test_auto_move//signs_mov_separ_signers/Liz_15807.mov" TargetMode="External"/><Relationship Id="rId16859" Type="http://schemas.openxmlformats.org/officeDocument/2006/relationships/hyperlink" Target="http://csr.bu.edu/ftp/asl/asllvd/demos/verify_start_end_handshape_annotations//test_auto_move//signs_mov/2266_15807_merged.mov" TargetMode="External"/><Relationship Id="rId16860" Type="http://schemas.openxmlformats.org/officeDocument/2006/relationships/hyperlink" Target="http://csr.bu.edu/ftp/asl/asllvd/demos/verify_start_end_handshape_annotations//test_auto_move//signs_mov_separ_signers/Tyler_2266.mov" TargetMode="External"/><Relationship Id="rId16861" Type="http://schemas.openxmlformats.org/officeDocument/2006/relationships/hyperlink" Target="http://secrets.rutgers.edu:8080/data/asl-ftp/asllvd/demos/verify_start_end_handshape_annotations//test_auto_move//signs_mov/2266_15807_merged.mov" TargetMode="External"/><Relationship Id="rId16862" Type="http://schemas.openxmlformats.org/officeDocument/2006/relationships/hyperlink" Target="http://secrets.rutgers.edu:8080/data/asl-ftp/asllvd/demos/verify_start_end_handshape_annotations//test_auto_move//signs_mov_separ_signers/Tyler_2266.mov" TargetMode="External"/><Relationship Id="rId16863" Type="http://schemas.openxmlformats.org/officeDocument/2006/relationships/hyperlink" Target="http://csr.bu.edu/ftp/asl/asllvd/demos/verify_start_end_handshape_annotations//test_auto_move//signs_mov_separ_signers/Naomi_2266.mov" TargetMode="External"/><Relationship Id="rId16864" Type="http://schemas.openxmlformats.org/officeDocument/2006/relationships/hyperlink" Target="http://secrets.rutgers.edu:8080/data/asl-ftp/asllvd/demos/verify_start_end_handshape_annotations//test_auto_move//signs_mov_separ_signers/Naomi_2266.mov" TargetMode="External"/><Relationship Id="rId16865" Type="http://schemas.openxmlformats.org/officeDocument/2006/relationships/hyperlink" Target="http://csr.bu.edu/ftp/asl/asllvd/demos/verify_start_end_handshape_annotations//test_auto_move//signs_mov_separ_signers/Brady_2266.mov" TargetMode="External"/><Relationship Id="rId16866" Type="http://schemas.openxmlformats.org/officeDocument/2006/relationships/hyperlink" Target="http://secrets.rutgers.edu:8080/data/asl-ftp/asllvd/demos/verify_start_end_handshape_annotations//test_auto_move//signs_mov_separ_signers/Brady_2266.mov" TargetMode="External"/><Relationship Id="rId16867" Type="http://schemas.openxmlformats.org/officeDocument/2006/relationships/hyperlink" Target="http://csr.bu.edu/ftp/asl/asllvd/demos/verify_start_end_handshape_annotations//test_auto_move//signs_mov_separ_signers/Brady_15807.mov" TargetMode="External"/><Relationship Id="rId16868" Type="http://schemas.openxmlformats.org/officeDocument/2006/relationships/hyperlink" Target="http://secrets.rutgers.edu:8080/data/asl-ftp/asllvd/demos/verify_start_end_handshape_annotations//test_auto_move//signs_mov_separ_signers/Brady_15807.mov" TargetMode="External"/><Relationship Id="rId16869" Type="http://schemas.openxmlformats.org/officeDocument/2006/relationships/hyperlink" Target="http://csr.bu.edu/ftp/asl/asllvd/demos/verify_start_end_handshape_annotations//test_auto_move//signs_mov/2268.mov" TargetMode="External"/><Relationship Id="rId16870" Type="http://schemas.openxmlformats.org/officeDocument/2006/relationships/hyperlink" Target="http://csr.bu.edu/ftp/asl/asllvd/demos/verify_start_end_handshape_annotations//test_auto_move//signs_mov_separ_signers/Liz_2268.mov" TargetMode="External"/><Relationship Id="rId16871" Type="http://schemas.openxmlformats.org/officeDocument/2006/relationships/hyperlink" Target="http://secrets.rutgers.edu:8080/data/asl-ftp/asllvd/demos/verify_start_end_handshape_annotations//test_auto_move//signs_mov/2268.mov" TargetMode="External"/><Relationship Id="rId16872" Type="http://schemas.openxmlformats.org/officeDocument/2006/relationships/hyperlink" Target="http://secrets.rutgers.edu:8080/data/asl-ftp/asllvd/demos/verify_start_end_handshape_annotations//test_auto_move//signs_mov_separ_signers/Liz_2268.mov" TargetMode="External"/><Relationship Id="rId16873" Type="http://schemas.openxmlformats.org/officeDocument/2006/relationships/hyperlink" Target="http://csr.bu.edu/ftp/asl/asllvd/demos/verify_start_end_handshape_annotations//test_auto_move//signs_mov_separ_signers/Brady_2268.mov" TargetMode="External"/><Relationship Id="rId16874" Type="http://schemas.openxmlformats.org/officeDocument/2006/relationships/hyperlink" Target="http://secrets.rutgers.edu:8080/data/asl-ftp/asllvd/demos/verify_start_end_handshape_annotations//test_auto_move//signs_mov_separ_signers/Brady_2268.mov" TargetMode="External"/><Relationship Id="rId16875" Type="http://schemas.openxmlformats.org/officeDocument/2006/relationships/hyperlink" Target="http://csr.bu.edu/ftp/asl/asllvd/demos/verify_start_end_handshape_annotations//test_auto_move//signs_mov/2269.mov" TargetMode="External"/><Relationship Id="rId16876" Type="http://schemas.openxmlformats.org/officeDocument/2006/relationships/hyperlink" Target="http://csr.bu.edu/ftp/asl/asllvd/demos/verify_start_end_handshape_annotations//test_auto_move//signs_mov_separ_signers/Liz_2269.mov" TargetMode="External"/><Relationship Id="rId16877" Type="http://schemas.openxmlformats.org/officeDocument/2006/relationships/hyperlink" Target="http://secrets.rutgers.edu:8080/data/asl-ftp/asllvd/demos/verify_start_end_handshape_annotations//test_auto_move//signs_mov/2269.mov" TargetMode="External"/><Relationship Id="rId16878" Type="http://schemas.openxmlformats.org/officeDocument/2006/relationships/hyperlink" Target="http://secrets.rutgers.edu:8080/data/asl-ftp/asllvd/demos/verify_start_end_handshape_annotations//test_auto_move//signs_mov_separ_signers/Liz_2269.mov" TargetMode="External"/><Relationship Id="rId16879" Type="http://schemas.openxmlformats.org/officeDocument/2006/relationships/hyperlink" Target="http://csr.bu.edu/ftp/asl/asllvd/demos/verify_start_end_handshape_annotations//test_auto_move//signs_mov_separ_signers/Brady_2269.mov" TargetMode="External"/><Relationship Id="rId16880" Type="http://schemas.openxmlformats.org/officeDocument/2006/relationships/hyperlink" Target="http://secrets.rutgers.edu:8080/data/asl-ftp/asllvd/demos/verify_start_end_handshape_annotations//test_auto_move//signs_mov_separ_signers/Brady_2269.mov" TargetMode="External"/><Relationship Id="rId16881" Type="http://schemas.openxmlformats.org/officeDocument/2006/relationships/hyperlink" Target="http://csr.bu.edu/ftp/asl/asllvd/demos/verify_start_end_handshape_annotations//test_auto_move//signs_mov_separ_signers/Liz_2270.mov" TargetMode="External"/><Relationship Id="rId16882" Type="http://schemas.openxmlformats.org/officeDocument/2006/relationships/hyperlink" Target="http://secrets.rutgers.edu:8080/data/asl-ftp/asllvd/demos/verify_start_end_handshape_annotations//test_auto_move//signs_mov_separ_signers/Liz_2270.mov" TargetMode="External"/><Relationship Id="rId16883" Type="http://schemas.openxmlformats.org/officeDocument/2006/relationships/hyperlink" Target="http://csr.bu.edu/ftp/asl/asllvd/demos/verify_start_end_handshape_annotations//test_auto_move//signs_mov/2270.mov" TargetMode="External"/><Relationship Id="rId16884" Type="http://schemas.openxmlformats.org/officeDocument/2006/relationships/hyperlink" Target="http://csr.bu.edu/ftp/asl/asllvd/demos/verify_start_end_handshape_annotations//test_auto_move//signs_mov_separ_signers/Brady_2270.mov" TargetMode="External"/><Relationship Id="rId16885" Type="http://schemas.openxmlformats.org/officeDocument/2006/relationships/hyperlink" Target="http://secrets.rutgers.edu:8080/data/asl-ftp/asllvd/demos/verify_start_end_handshape_annotations//test_auto_move//signs_mov/2270.mov" TargetMode="External"/><Relationship Id="rId16886" Type="http://schemas.openxmlformats.org/officeDocument/2006/relationships/hyperlink" Target="http://secrets.rutgers.edu:8080/data/asl-ftp/asllvd/demos/verify_start_end_handshape_annotations//test_auto_move//signs_mov_separ_signers/Brady_2270.mov" TargetMode="External"/><Relationship Id="rId16887" Type="http://schemas.openxmlformats.org/officeDocument/2006/relationships/hyperlink" Target="http://csr.bu.edu/ftp/asl/asllvd/demos/verify_start_end_handshape_annotations//test_auto_move//signs_mov_separ_signers/Dana_2270.mov" TargetMode="External"/><Relationship Id="rId16888" Type="http://schemas.openxmlformats.org/officeDocument/2006/relationships/hyperlink" Target="http://secrets.rutgers.edu:8080/data/asl-ftp/asllvd/demos/verify_start_end_handshape_annotations//test_auto_move//signs_mov_separ_signers/Dana_2270.mov" TargetMode="External"/><Relationship Id="rId16889" Type="http://schemas.openxmlformats.org/officeDocument/2006/relationships/hyperlink" Target="http://csr.bu.edu/ftp/asl/asllvd/demos/verify_start_end_handshape_annotations//test_auto_move//signs_mov/15816.mov" TargetMode="External"/><Relationship Id="rId16890" Type="http://schemas.openxmlformats.org/officeDocument/2006/relationships/hyperlink" Target="http://csr.bu.edu/ftp/asl/asllvd/demos/verify_start_end_handshape_annotations//test_auto_move//signs_mov_separ_signers/Lana_15816.mov" TargetMode="External"/><Relationship Id="rId16891" Type="http://schemas.openxmlformats.org/officeDocument/2006/relationships/hyperlink" Target="http://secrets.rutgers.edu:8080/data/asl-ftp/asllvd/demos/verify_start_end_handshape_annotations//test_auto_move//signs_mov/15816.mov" TargetMode="External"/><Relationship Id="rId16892" Type="http://schemas.openxmlformats.org/officeDocument/2006/relationships/hyperlink" Target="http://secrets.rutgers.edu:8080/data/asl-ftp/asllvd/demos/verify_start_end_handshape_annotations//test_auto_move//signs_mov_separ_signers/Lana_15816.mov" TargetMode="External"/><Relationship Id="rId16893" Type="http://schemas.openxmlformats.org/officeDocument/2006/relationships/hyperlink" Target="http://csr.bu.edu/ftp/asl/asllvd/demos/verify_start_end_handshape_annotations//test_auto_move//signs_mov_separ_signers/Liz_15833.mov" TargetMode="External"/><Relationship Id="rId16894" Type="http://schemas.openxmlformats.org/officeDocument/2006/relationships/hyperlink" Target="http://secrets.rutgers.edu:8080/data/asl-ftp/asllvd/demos/verify_start_end_handshape_annotations//test_auto_move//signs_mov_separ_signers/Liz_15833.mov" TargetMode="External"/><Relationship Id="rId16895" Type="http://schemas.openxmlformats.org/officeDocument/2006/relationships/hyperlink" Target="http://csr.bu.edu/ftp/asl/asllvd/demos/verify_start_end_handshape_annotations//test_auto_move//signs_mov_separ_signers/Tyler_15833.mov" TargetMode="External"/><Relationship Id="rId16896" Type="http://schemas.openxmlformats.org/officeDocument/2006/relationships/hyperlink" Target="http://secrets.rutgers.edu:8080/data/asl-ftp/asllvd/demos/verify_start_end_handshape_annotations//test_auto_move//signs_mov_separ_signers/Tyler_15833.mov" TargetMode="External"/><Relationship Id="rId16897" Type="http://schemas.openxmlformats.org/officeDocument/2006/relationships/hyperlink" Target="http://csr.bu.edu/ftp/asl/asllvd/demos/verify_start_end_handshape_annotations//test_auto_move//signs_mov_separ_signers/Naomi_15833.mov" TargetMode="External"/><Relationship Id="rId16898" Type="http://schemas.openxmlformats.org/officeDocument/2006/relationships/hyperlink" Target="http://secrets.rutgers.edu:8080/data/asl-ftp/asllvd/demos/verify_start_end_handshape_annotations//test_auto_move//signs_mov_separ_signers/Naomi_15833.mov" TargetMode="External"/><Relationship Id="rId16899" Type="http://schemas.openxmlformats.org/officeDocument/2006/relationships/hyperlink" Target="http://csr.bu.edu/ftp/asl/asllvd/demos/verify_start_end_handshape_annotations//test_auto_move//signs_mov/15833_15849_15851_15888_merged.mov" TargetMode="External"/><Relationship Id="rId16900" Type="http://schemas.openxmlformats.org/officeDocument/2006/relationships/hyperlink" Target="http://csr.bu.edu/ftp/asl/asllvd/demos/verify_start_end_handshape_annotations//test_auto_move//signs_mov_separ_signers/Brady_15833.mov" TargetMode="External"/><Relationship Id="rId16901" Type="http://schemas.openxmlformats.org/officeDocument/2006/relationships/hyperlink" Target="http://secrets.rutgers.edu:8080/data/asl-ftp/asllvd/demos/verify_start_end_handshape_annotations//test_auto_move//signs_mov/15833_15849_15851_15888_merged.mov" TargetMode="External"/><Relationship Id="rId16902" Type="http://schemas.openxmlformats.org/officeDocument/2006/relationships/hyperlink" Target="http://secrets.rutgers.edu:8080/data/asl-ftp/asllvd/demos/verify_start_end_handshape_annotations//test_auto_move//signs_mov_separ_signers/Brady_15833.mov" TargetMode="External"/><Relationship Id="rId16903" Type="http://schemas.openxmlformats.org/officeDocument/2006/relationships/hyperlink" Target="http://csr.bu.edu/ftp/asl/asllvd/demos/verify_start_end_handshape_annotations//test_auto_move//signs_mov_separ_signers/Brady_15849.mov" TargetMode="External"/><Relationship Id="rId16904" Type="http://schemas.openxmlformats.org/officeDocument/2006/relationships/hyperlink" Target="http://secrets.rutgers.edu:8080/data/asl-ftp/asllvd/demos/verify_start_end_handshape_annotations//test_auto_move//signs_mov_separ_signers/Brady_15849.mov" TargetMode="External"/><Relationship Id="rId16905" Type="http://schemas.openxmlformats.org/officeDocument/2006/relationships/hyperlink" Target="http://csr.bu.edu/ftp/asl/asllvd/demos/verify_start_end_handshape_annotations//test_auto_move//signs_mov_separ_signers/Brady_15851.mov" TargetMode="External"/><Relationship Id="rId16906" Type="http://schemas.openxmlformats.org/officeDocument/2006/relationships/hyperlink" Target="http://secrets.rutgers.edu:8080/data/asl-ftp/asllvd/demos/verify_start_end_handshape_annotations//test_auto_move//signs_mov_separ_signers/Brady_15851.mov" TargetMode="External"/><Relationship Id="rId16907" Type="http://schemas.openxmlformats.org/officeDocument/2006/relationships/hyperlink" Target="http://csr.bu.edu/ftp/asl/asllvd/demos/verify_start_end_handshape_annotations//test_auto_move//signs_mov_separ_signers/Brady_15888.mov" TargetMode="External"/><Relationship Id="rId16908" Type="http://schemas.openxmlformats.org/officeDocument/2006/relationships/hyperlink" Target="http://secrets.rutgers.edu:8080/data/asl-ftp/asllvd/demos/verify_start_end_handshape_annotations//test_auto_move//signs_mov_separ_signers/Brady_15888.mov" TargetMode="External"/><Relationship Id="rId16909" Type="http://schemas.openxmlformats.org/officeDocument/2006/relationships/hyperlink" Target="http://csr.bu.edu/ftp/asl/asllvd/demos/verify_start_end_handshape_annotations//test_auto_move//signs_mov/16454.mov" TargetMode="External"/><Relationship Id="rId16910" Type="http://schemas.openxmlformats.org/officeDocument/2006/relationships/hyperlink" Target="http://csr.bu.edu/ftp/asl/asllvd/demos/verify_start_end_handshape_annotations//test_auto_move//signs_mov_separ_signers/Liz_16454.mov" TargetMode="External"/><Relationship Id="rId16911" Type="http://schemas.openxmlformats.org/officeDocument/2006/relationships/hyperlink" Target="http://secrets.rutgers.edu:8080/data/asl-ftp/asllvd/demos/verify_start_end_handshape_annotations//test_auto_move//signs_mov/16454.mov" TargetMode="External"/><Relationship Id="rId16912" Type="http://schemas.openxmlformats.org/officeDocument/2006/relationships/hyperlink" Target="http://secrets.rutgers.edu:8080/data/asl-ftp/asllvd/demos/verify_start_end_handshape_annotations//test_auto_move//signs_mov_separ_signers/Liz_16454.mov" TargetMode="External"/><Relationship Id="rId16913" Type="http://schemas.openxmlformats.org/officeDocument/2006/relationships/hyperlink" Target="http://csr.bu.edu/ftp/asl/asllvd/demos/verify_start_end_handshape_annotations//test_auto_move//signs_mov_separ_signers/Liz_2271.mov" TargetMode="External"/><Relationship Id="rId16914" Type="http://schemas.openxmlformats.org/officeDocument/2006/relationships/hyperlink" Target="http://secrets.rutgers.edu:8080/data/asl-ftp/asllvd/demos/verify_start_end_handshape_annotations//test_auto_move//signs_mov_separ_signers/Liz_2271.mov" TargetMode="External"/><Relationship Id="rId16915" Type="http://schemas.openxmlformats.org/officeDocument/2006/relationships/hyperlink" Target="http://csr.bu.edu/ftp/asl/asllvd/demos/verify_start_end_handshape_annotations//test_auto_move//signs_mov/2271.mov" TargetMode="External"/><Relationship Id="rId16916" Type="http://schemas.openxmlformats.org/officeDocument/2006/relationships/hyperlink" Target="http://csr.bu.edu/ftp/asl/asllvd/demos/verify_start_end_handshape_annotations//test_auto_move//signs_mov_separ_signers/Brady_2271.mov" TargetMode="External"/><Relationship Id="rId16917" Type="http://schemas.openxmlformats.org/officeDocument/2006/relationships/hyperlink" Target="http://secrets.rutgers.edu:8080/data/asl-ftp/asllvd/demos/verify_start_end_handshape_annotations//test_auto_move//signs_mov/2271.mov" TargetMode="External"/><Relationship Id="rId16918" Type="http://schemas.openxmlformats.org/officeDocument/2006/relationships/hyperlink" Target="http://secrets.rutgers.edu:8080/data/asl-ftp/asllvd/demos/verify_start_end_handshape_annotations//test_auto_move//signs_mov_separ_signers/Brady_2271.mov" TargetMode="External"/><Relationship Id="rId16919" Type="http://schemas.openxmlformats.org/officeDocument/2006/relationships/hyperlink" Target="http://csr.bu.edu/ftp/asl/asllvd/demos/verify_start_end_handshape_annotations//test_auto_move//signs_mov_separ_signers/Dana_2271.mov" TargetMode="External"/><Relationship Id="rId16920" Type="http://schemas.openxmlformats.org/officeDocument/2006/relationships/hyperlink" Target="http://secrets.rutgers.edu:8080/data/asl-ftp/asllvd/demos/verify_start_end_handshape_annotations//test_auto_move//signs_mov_separ_signers/Dana_2271.mov" TargetMode="External"/><Relationship Id="rId16921" Type="http://schemas.openxmlformats.org/officeDocument/2006/relationships/hyperlink" Target="http://csr.bu.edu/ftp/asl/asllvd/demos/verify_start_end_handshape_annotations//test_auto_move//signs_mov/2273.mov" TargetMode="External"/><Relationship Id="rId16922" Type="http://schemas.openxmlformats.org/officeDocument/2006/relationships/hyperlink" Target="http://csr.bu.edu/ftp/asl/asllvd/demos/verify_start_end_handshape_annotations//test_auto_move//signs_mov_separ_signers/Liz_2273.mov" TargetMode="External"/><Relationship Id="rId16923" Type="http://schemas.openxmlformats.org/officeDocument/2006/relationships/hyperlink" Target="http://secrets.rutgers.edu:8080/data/asl-ftp/asllvd/demos/verify_start_end_handshape_annotations//test_auto_move//signs_mov/2273.mov" TargetMode="External"/><Relationship Id="rId16924" Type="http://schemas.openxmlformats.org/officeDocument/2006/relationships/hyperlink" Target="http://secrets.rutgers.edu:8080/data/asl-ftp/asllvd/demos/verify_start_end_handshape_annotations//test_auto_move//signs_mov_separ_signers/Liz_2273.mov" TargetMode="External"/><Relationship Id="rId16925" Type="http://schemas.openxmlformats.org/officeDocument/2006/relationships/hyperlink" Target="http://csr.bu.edu/ftp/asl/asllvd/demos/verify_start_end_handshape_annotations//test_auto_move//signs_mov_separ_signers/Brady_2273.mov" TargetMode="External"/><Relationship Id="rId16926" Type="http://schemas.openxmlformats.org/officeDocument/2006/relationships/hyperlink" Target="http://secrets.rutgers.edu:8080/data/asl-ftp/asllvd/demos/verify_start_end_handshape_annotations//test_auto_move//signs_mov_separ_signers/Brady_2273.mov" TargetMode="External"/><Relationship Id="rId16927" Type="http://schemas.openxmlformats.org/officeDocument/2006/relationships/hyperlink" Target="http://csr.bu.edu/ftp/asl/asllvd/demos/verify_start_end_handshape_annotations//test_auto_move//signs_mov/2276.mov" TargetMode="External"/><Relationship Id="rId16928" Type="http://schemas.openxmlformats.org/officeDocument/2006/relationships/hyperlink" Target="http://csr.bu.edu/ftp/asl/asllvd/demos/verify_start_end_handshape_annotations//test_auto_move//signs_mov_separ_signers/Liz_2276.mov" TargetMode="External"/><Relationship Id="rId16929" Type="http://schemas.openxmlformats.org/officeDocument/2006/relationships/hyperlink" Target="http://secrets.rutgers.edu:8080/data/asl-ftp/asllvd/demos/verify_start_end_handshape_annotations//test_auto_move//signs_mov/2276.mov" TargetMode="External"/><Relationship Id="rId16930" Type="http://schemas.openxmlformats.org/officeDocument/2006/relationships/hyperlink" Target="http://secrets.rutgers.edu:8080/data/asl-ftp/asllvd/demos/verify_start_end_handshape_annotations//test_auto_move//signs_mov_separ_signers/Liz_2276.mov" TargetMode="External"/><Relationship Id="rId16931" Type="http://schemas.openxmlformats.org/officeDocument/2006/relationships/hyperlink" Target="http://csr.bu.edu/ftp/asl/asllvd/demos/verify_start_end_handshape_annotations//test_auto_move//signs_mov_separ_signers/Brady_2276.mov" TargetMode="External"/><Relationship Id="rId16932" Type="http://schemas.openxmlformats.org/officeDocument/2006/relationships/hyperlink" Target="http://secrets.rutgers.edu:8080/data/asl-ftp/asllvd/demos/verify_start_end_handshape_annotations//test_auto_move//signs_mov_separ_signers/Brady_2276.mov" TargetMode="External"/><Relationship Id="rId16933" Type="http://schemas.openxmlformats.org/officeDocument/2006/relationships/hyperlink" Target="http://csr.bu.edu/ftp/asl/asllvd/demos/verify_start_end_handshape_annotations//test_auto_move//signs_mov_separ_signers/Liz_2277.mov" TargetMode="External"/><Relationship Id="rId16934" Type="http://schemas.openxmlformats.org/officeDocument/2006/relationships/hyperlink" Target="http://secrets.rutgers.edu:8080/data/asl-ftp/asllvd/demos/verify_start_end_handshape_annotations//test_auto_move//signs_mov_separ_signers/Liz_2277.mov" TargetMode="External"/><Relationship Id="rId16935" Type="http://schemas.openxmlformats.org/officeDocument/2006/relationships/hyperlink" Target="http://csr.bu.edu/ftp/asl/asllvd/demos/verify_start_end_handshape_annotations//test_auto_move//signs_mov/2277_3899_5680_merged.mov" TargetMode="External"/><Relationship Id="rId16936" Type="http://schemas.openxmlformats.org/officeDocument/2006/relationships/hyperlink" Target="http://csr.bu.edu/ftp/asl/asllvd/demos/verify_start_end_handshape_annotations//test_auto_move//signs_mov_separ_signers/Brady_2277.mov" TargetMode="External"/><Relationship Id="rId16937" Type="http://schemas.openxmlformats.org/officeDocument/2006/relationships/hyperlink" Target="http://secrets.rutgers.edu:8080/data/asl-ftp/asllvd/demos/verify_start_end_handshape_annotations//test_auto_move//signs_mov/2277_3899_5680_merged.mov" TargetMode="External"/><Relationship Id="rId16938" Type="http://schemas.openxmlformats.org/officeDocument/2006/relationships/hyperlink" Target="http://secrets.rutgers.edu:8080/data/asl-ftp/asllvd/demos/verify_start_end_handshape_annotations//test_auto_move//signs_mov_separ_signers/Brady_2277.mov" TargetMode="External"/><Relationship Id="rId16939" Type="http://schemas.openxmlformats.org/officeDocument/2006/relationships/hyperlink" Target="http://csr.bu.edu/ftp/asl/asllvd/demos/verify_start_end_handshape_annotations//test_auto_move//signs_mov_separ_signers/Brady_3899.mov" TargetMode="External"/><Relationship Id="rId16940" Type="http://schemas.openxmlformats.org/officeDocument/2006/relationships/hyperlink" Target="http://secrets.rutgers.edu:8080/data/asl-ftp/asllvd/demos/verify_start_end_handshape_annotations//test_auto_move//signs_mov_separ_signers/Brady_3899.mov" TargetMode="External"/><Relationship Id="rId16941" Type="http://schemas.openxmlformats.org/officeDocument/2006/relationships/hyperlink" Target="http://csr.bu.edu/ftp/asl/asllvd/demos/verify_start_end_handshape_annotations//test_auto_move//signs_mov_separ_signers/Brady_5680.mov" TargetMode="External"/><Relationship Id="rId16942" Type="http://schemas.openxmlformats.org/officeDocument/2006/relationships/hyperlink" Target="http://secrets.rutgers.edu:8080/data/asl-ftp/asllvd/demos/verify_start_end_handshape_annotations//test_auto_move//signs_mov_separ_signers/Brady_5680.mov" TargetMode="External"/><Relationship Id="rId16943" Type="http://schemas.openxmlformats.org/officeDocument/2006/relationships/hyperlink" Target="http://csr.bu.edu/ftp/asl/asllvd/demos/verify_start_end_handshape_annotations//test_auto_move//signs_mov/16455_16456_merged.mov" TargetMode="External"/><Relationship Id="rId16944" Type="http://schemas.openxmlformats.org/officeDocument/2006/relationships/hyperlink" Target="http://csr.bu.edu/ftp/asl/asllvd/demos/verify_start_end_handshape_annotations//test_auto_move//signs_mov_separ_signers/Liz_16455.mov" TargetMode="External"/><Relationship Id="rId16945" Type="http://schemas.openxmlformats.org/officeDocument/2006/relationships/hyperlink" Target="http://secrets.rutgers.edu:8080/data/asl-ftp/asllvd/demos/verify_start_end_handshape_annotations//test_auto_move//signs_mov/16455_16456_merged.mov" TargetMode="External"/><Relationship Id="rId16946" Type="http://schemas.openxmlformats.org/officeDocument/2006/relationships/hyperlink" Target="http://secrets.rutgers.edu:8080/data/asl-ftp/asllvd/demos/verify_start_end_handshape_annotations//test_auto_move//signs_mov_separ_signers/Liz_16455.mov" TargetMode="External"/><Relationship Id="rId16947" Type="http://schemas.openxmlformats.org/officeDocument/2006/relationships/hyperlink" Target="http://csr.bu.edu/ftp/asl/asllvd/demos/verify_start_end_handshape_annotations//test_auto_move//signs_mov_separ_signers/Liz_16456.mov" TargetMode="External"/><Relationship Id="rId16948" Type="http://schemas.openxmlformats.org/officeDocument/2006/relationships/hyperlink" Target="http://secrets.rutgers.edu:8080/data/asl-ftp/asllvd/demos/verify_start_end_handshape_annotations//test_auto_move//signs_mov_separ_signers/Liz_16456.mov" TargetMode="External"/><Relationship Id="rId16949" Type="http://schemas.openxmlformats.org/officeDocument/2006/relationships/hyperlink" Target="http://csr.bu.edu/ftp/asl/asllvd/demos/verify_start_end_handshape_annotations//test_auto_move//signs_mov_separ_signers/Liz_2278.mov" TargetMode="External"/><Relationship Id="rId16950" Type="http://schemas.openxmlformats.org/officeDocument/2006/relationships/hyperlink" Target="http://secrets.rutgers.edu:8080/data/asl-ftp/asllvd/demos/verify_start_end_handshape_annotations//test_auto_move//signs_mov_separ_signers/Liz_2278.mov" TargetMode="External"/><Relationship Id="rId16951" Type="http://schemas.openxmlformats.org/officeDocument/2006/relationships/hyperlink" Target="http://csr.bu.edu/ftp/asl/asllvd/demos/verify_start_end_handshape_annotations//test_auto_move//signs_mov_separ_signers/Liz_3547.mov" TargetMode="External"/><Relationship Id="rId16952" Type="http://schemas.openxmlformats.org/officeDocument/2006/relationships/hyperlink" Target="http://secrets.rutgers.edu:8080/data/asl-ftp/asllvd/demos/verify_start_end_handshape_annotations//test_auto_move//signs_mov_separ_signers/Liz_3547.mov" TargetMode="External"/><Relationship Id="rId16953" Type="http://schemas.openxmlformats.org/officeDocument/2006/relationships/hyperlink" Target="http://csr.bu.edu/ftp/asl/asllvd/demos/verify_start_end_handshape_annotations//test_auto_move//signs_mov_separ_signers/Liz_3551.mov" TargetMode="External"/><Relationship Id="rId16954" Type="http://schemas.openxmlformats.org/officeDocument/2006/relationships/hyperlink" Target="http://secrets.rutgers.edu:8080/data/asl-ftp/asllvd/demos/verify_start_end_handshape_annotations//test_auto_move//signs_mov_separ_signers/Liz_3551.mov" TargetMode="External"/><Relationship Id="rId16955" Type="http://schemas.openxmlformats.org/officeDocument/2006/relationships/hyperlink" Target="http://csr.bu.edu/ftp/asl/asllvd/demos/verify_start_end_handshape_annotations//test_auto_move//signs_mov_separ_signers/Liz_3559.mov" TargetMode="External"/><Relationship Id="rId16956" Type="http://schemas.openxmlformats.org/officeDocument/2006/relationships/hyperlink" Target="http://secrets.rutgers.edu:8080/data/asl-ftp/asllvd/demos/verify_start_end_handshape_annotations//test_auto_move//signs_mov_separ_signers/Liz_3559.mov" TargetMode="External"/><Relationship Id="rId16957" Type="http://schemas.openxmlformats.org/officeDocument/2006/relationships/hyperlink" Target="http://csr.bu.edu/ftp/asl/asllvd/demos/verify_start_end_handshape_annotations//test_auto_move//signs_mov_separ_signers/Liz_3907.mov" TargetMode="External"/><Relationship Id="rId16958" Type="http://schemas.openxmlformats.org/officeDocument/2006/relationships/hyperlink" Target="http://secrets.rutgers.edu:8080/data/asl-ftp/asllvd/demos/verify_start_end_handshape_annotations//test_auto_move//signs_mov_separ_signers/Liz_3907.mov" TargetMode="External"/><Relationship Id="rId16959" Type="http://schemas.openxmlformats.org/officeDocument/2006/relationships/hyperlink" Target="http://csr.bu.edu/ftp/asl/asllvd/demos/verify_start_end_handshape_annotations//test_auto_move//signs_mov_separ_signers/Naomi_2278.mov" TargetMode="External"/><Relationship Id="rId16960" Type="http://schemas.openxmlformats.org/officeDocument/2006/relationships/hyperlink" Target="http://secrets.rutgers.edu:8080/data/asl-ftp/asllvd/demos/verify_start_end_handshape_annotations//test_auto_move//signs_mov_separ_signers/Naomi_2278.mov" TargetMode="External"/><Relationship Id="rId16961" Type="http://schemas.openxmlformats.org/officeDocument/2006/relationships/hyperlink" Target="http://csr.bu.edu/ftp/asl/asllvd/demos/verify_start_end_handshape_annotations//test_auto_move//signs_mov/2278_3547_3551_3559_3907_merged.mov" TargetMode="External"/><Relationship Id="rId16962" Type="http://schemas.openxmlformats.org/officeDocument/2006/relationships/hyperlink" Target="http://csr.bu.edu/ftp/asl/asllvd/demos/verify_start_end_handshape_annotations//test_auto_move//signs_mov_separ_signers/Naomi_3547.mov" TargetMode="External"/><Relationship Id="rId16963" Type="http://schemas.openxmlformats.org/officeDocument/2006/relationships/hyperlink" Target="http://secrets.rutgers.edu:8080/data/asl-ftp/asllvd/demos/verify_start_end_handshape_annotations//test_auto_move//signs_mov/2278_3547_3551_3559_3907_merged.mov" TargetMode="External"/><Relationship Id="rId16964" Type="http://schemas.openxmlformats.org/officeDocument/2006/relationships/hyperlink" Target="http://secrets.rutgers.edu:8080/data/asl-ftp/asllvd/demos/verify_start_end_handshape_annotations//test_auto_move//signs_mov_separ_signers/Naomi_3547.mov" TargetMode="External"/><Relationship Id="rId16965" Type="http://schemas.openxmlformats.org/officeDocument/2006/relationships/hyperlink" Target="http://csr.bu.edu/ftp/asl/asllvd/demos/verify_start_end_handshape_annotations//test_auto_move//signs_mov_separ_signers/Brady_2278.mov" TargetMode="External"/><Relationship Id="rId16966" Type="http://schemas.openxmlformats.org/officeDocument/2006/relationships/hyperlink" Target="http://secrets.rutgers.edu:8080/data/asl-ftp/asllvd/demos/verify_start_end_handshape_annotations//test_auto_move//signs_mov_separ_signers/Brady_2278.mov" TargetMode="External"/><Relationship Id="rId16967" Type="http://schemas.openxmlformats.org/officeDocument/2006/relationships/hyperlink" Target="http://csr.bu.edu/ftp/asl/asllvd/demos/verify_start_end_handshape_annotations//test_auto_move//signs_mov_separ_signers/Brady_3547.mov" TargetMode="External"/><Relationship Id="rId16968" Type="http://schemas.openxmlformats.org/officeDocument/2006/relationships/hyperlink" Target="http://secrets.rutgers.edu:8080/data/asl-ftp/asllvd/demos/verify_start_end_handshape_annotations//test_auto_move//signs_mov_separ_signers/Brady_3547.mov" TargetMode="External"/><Relationship Id="rId16969" Type="http://schemas.openxmlformats.org/officeDocument/2006/relationships/hyperlink" Target="http://csr.bu.edu/ftp/asl/asllvd/demos/verify_start_end_handshape_annotations//test_auto_move//signs_mov_separ_signers/Brady_3551.mov" TargetMode="External"/><Relationship Id="rId16970" Type="http://schemas.openxmlformats.org/officeDocument/2006/relationships/hyperlink" Target="http://secrets.rutgers.edu:8080/data/asl-ftp/asllvd/demos/verify_start_end_handshape_annotations//test_auto_move//signs_mov_separ_signers/Brady_3551.mov" TargetMode="External"/><Relationship Id="rId16971" Type="http://schemas.openxmlformats.org/officeDocument/2006/relationships/hyperlink" Target="http://csr.bu.edu/ftp/asl/asllvd/demos/verify_start_end_handshape_annotations//test_auto_move//signs_mov_separ_signers/Brady_3559.mov" TargetMode="External"/><Relationship Id="rId16972" Type="http://schemas.openxmlformats.org/officeDocument/2006/relationships/hyperlink" Target="http://secrets.rutgers.edu:8080/data/asl-ftp/asllvd/demos/verify_start_end_handshape_annotations//test_auto_move//signs_mov_separ_signers/Brady_3559.mov" TargetMode="External"/><Relationship Id="rId16973" Type="http://schemas.openxmlformats.org/officeDocument/2006/relationships/hyperlink" Target="http://csr.bu.edu/ftp/asl/asllvd/demos/verify_start_end_handshape_annotations//test_auto_move//signs_mov_separ_signers/Brady_3907.mov" TargetMode="External"/><Relationship Id="rId16974" Type="http://schemas.openxmlformats.org/officeDocument/2006/relationships/hyperlink" Target="http://secrets.rutgers.edu:8080/data/asl-ftp/asllvd/demos/verify_start_end_handshape_annotations//test_auto_move//signs_mov_separ_signers/Brady_3907.mov" TargetMode="External"/><Relationship Id="rId16975" Type="http://schemas.openxmlformats.org/officeDocument/2006/relationships/hyperlink" Target="http://csr.bu.edu/ftp/asl/asllvd/demos/verify_start_end_handshape_annotations//test_auto_move//signs_mov_separ_signers/Lana_2278.mov" TargetMode="External"/><Relationship Id="rId16976" Type="http://schemas.openxmlformats.org/officeDocument/2006/relationships/hyperlink" Target="http://secrets.rutgers.edu:8080/data/asl-ftp/asllvd/demos/verify_start_end_handshape_annotations//test_auto_move//signs_mov_separ_signers/Lana_2278.mov" TargetMode="External"/><Relationship Id="rId16977" Type="http://schemas.openxmlformats.org/officeDocument/2006/relationships/hyperlink" Target="http://csr.bu.edu/ftp/asl/asllvd/demos/verify_start_end_handshape_annotations//test_auto_move//signs_mov_separ_signers/Dana_2278.mov" TargetMode="External"/><Relationship Id="rId16978" Type="http://schemas.openxmlformats.org/officeDocument/2006/relationships/hyperlink" Target="http://secrets.rutgers.edu:8080/data/asl-ftp/asllvd/demos/verify_start_end_handshape_annotations//test_auto_move//signs_mov_separ_signers/Dana_2278.mov" TargetMode="External"/><Relationship Id="rId16979" Type="http://schemas.openxmlformats.org/officeDocument/2006/relationships/hyperlink" Target="http://csr.bu.edu/ftp/asl/asllvd/demos/verify_start_end_handshape_annotations//test_auto_move//signs_mov/2279.mov" TargetMode="External"/><Relationship Id="rId16980" Type="http://schemas.openxmlformats.org/officeDocument/2006/relationships/hyperlink" Target="http://csr.bu.edu/ftp/asl/asllvd/demos/verify_start_end_handshape_annotations//test_auto_move//signs_mov_separ_signers/Liz_2279.mov" TargetMode="External"/><Relationship Id="rId16981" Type="http://schemas.openxmlformats.org/officeDocument/2006/relationships/hyperlink" Target="http://secrets.rutgers.edu:8080/data/asl-ftp/asllvd/demos/verify_start_end_handshape_annotations//test_auto_move//signs_mov/2279.mov" TargetMode="External"/><Relationship Id="rId16982" Type="http://schemas.openxmlformats.org/officeDocument/2006/relationships/hyperlink" Target="http://secrets.rutgers.edu:8080/data/asl-ftp/asllvd/demos/verify_start_end_handshape_annotations//test_auto_move//signs_mov_separ_signers/Liz_2279.mov" TargetMode="External"/><Relationship Id="rId16983" Type="http://schemas.openxmlformats.org/officeDocument/2006/relationships/hyperlink" Target="http://csr.bu.edu/ftp/asl/asllvd/demos/verify_start_end_handshape_annotations//test_auto_move//signs_mov_separ_signers/Brady_2279.mov" TargetMode="External"/><Relationship Id="rId16984" Type="http://schemas.openxmlformats.org/officeDocument/2006/relationships/hyperlink" Target="http://secrets.rutgers.edu:8080/data/asl-ftp/asllvd/demos/verify_start_end_handshape_annotations//test_auto_move//signs_mov_separ_signers/Brady_2279.mov" TargetMode="External"/><Relationship Id="rId16985" Type="http://schemas.openxmlformats.org/officeDocument/2006/relationships/hyperlink" Target="http://csr.bu.edu/ftp/asl/asllvd/demos/verify_start_end_handshape_annotations//test_auto_move//signs_mov/2281.mov" TargetMode="External"/><Relationship Id="rId16986" Type="http://schemas.openxmlformats.org/officeDocument/2006/relationships/hyperlink" Target="http://csr.bu.edu/ftp/asl/asllvd/demos/verify_start_end_handshape_annotations//test_auto_move//signs_mov_separ_signers/Liz_2281.mov" TargetMode="External"/><Relationship Id="rId16987" Type="http://schemas.openxmlformats.org/officeDocument/2006/relationships/hyperlink" Target="http://secrets.rutgers.edu:8080/data/asl-ftp/asllvd/demos/verify_start_end_handshape_annotations//test_auto_move//signs_mov/2281.mov" TargetMode="External"/><Relationship Id="rId16988" Type="http://schemas.openxmlformats.org/officeDocument/2006/relationships/hyperlink" Target="http://secrets.rutgers.edu:8080/data/asl-ftp/asllvd/demos/verify_start_end_handshape_annotations//test_auto_move//signs_mov_separ_signers/Liz_2281.mov" TargetMode="External"/><Relationship Id="rId16989" Type="http://schemas.openxmlformats.org/officeDocument/2006/relationships/hyperlink" Target="http://csr.bu.edu/ftp/asl/asllvd/demos/verify_start_end_handshape_annotations//test_auto_move//signs_mov_separ_signers/Brady_2281.mov" TargetMode="External"/><Relationship Id="rId16990" Type="http://schemas.openxmlformats.org/officeDocument/2006/relationships/hyperlink" Target="http://secrets.rutgers.edu:8080/data/asl-ftp/asllvd/demos/verify_start_end_handshape_annotations//test_auto_move//signs_mov_separ_signers/Brady_2281.mov" TargetMode="External"/><Relationship Id="rId16991" Type="http://schemas.openxmlformats.org/officeDocument/2006/relationships/hyperlink" Target="http://csr.bu.edu/ftp/asl/asllvd/demos/verify_start_end_handshape_annotations//test_auto_move//signs_mov_separ_signers/Liz_2283.mov" TargetMode="External"/><Relationship Id="rId16992" Type="http://schemas.openxmlformats.org/officeDocument/2006/relationships/hyperlink" Target="http://secrets.rutgers.edu:8080/data/asl-ftp/asllvd/demos/verify_start_end_handshape_annotations//test_auto_move//signs_mov_separ_signers/Liz_2283.mov" TargetMode="External"/><Relationship Id="rId16993" Type="http://schemas.openxmlformats.org/officeDocument/2006/relationships/hyperlink" Target="http://csr.bu.edu/ftp/asl/asllvd/demos/verify_start_end_handshape_annotations//test_auto_move//signs_mov/2283.mov" TargetMode="External"/><Relationship Id="rId16994" Type="http://schemas.openxmlformats.org/officeDocument/2006/relationships/hyperlink" Target="http://csr.bu.edu/ftp/asl/asllvd/demos/verify_start_end_handshape_annotations//test_auto_move//signs_mov_separ_signers/Brady_2283.mov" TargetMode="External"/><Relationship Id="rId16995" Type="http://schemas.openxmlformats.org/officeDocument/2006/relationships/hyperlink" Target="http://secrets.rutgers.edu:8080/data/asl-ftp/asllvd/demos/verify_start_end_handshape_annotations//test_auto_move//signs_mov/2283.mov" TargetMode="External"/><Relationship Id="rId16996" Type="http://schemas.openxmlformats.org/officeDocument/2006/relationships/hyperlink" Target="http://secrets.rutgers.edu:8080/data/asl-ftp/asllvd/demos/verify_start_end_handshape_annotations//test_auto_move//signs_mov_separ_signers/Brady_2283.mov" TargetMode="External"/><Relationship Id="rId16997" Type="http://schemas.openxmlformats.org/officeDocument/2006/relationships/hyperlink" Target="http://csr.bu.edu/ftp/asl/asllvd/demos/verify_start_end_handshape_annotations//test_auto_move//signs_mov_separ_signers/Lana_2283.mov" TargetMode="External"/><Relationship Id="rId16998" Type="http://schemas.openxmlformats.org/officeDocument/2006/relationships/hyperlink" Target="http://secrets.rutgers.edu:8080/data/asl-ftp/asllvd/demos/verify_start_end_handshape_annotations//test_auto_move//signs_mov_separ_signers/Lana_2283.mov" TargetMode="External"/><Relationship Id="rId16999" Type="http://schemas.openxmlformats.org/officeDocument/2006/relationships/hyperlink" Target="http://csr.bu.edu/ftp/asl/asllvd/demos/verify_start_end_handshape_annotations//test_auto_move//signs_mov_separ_signers/Dana_2283.mov" TargetMode="External"/><Relationship Id="rId17000" Type="http://schemas.openxmlformats.org/officeDocument/2006/relationships/hyperlink" Target="http://secrets.rutgers.edu:8080/data/asl-ftp/asllvd/demos/verify_start_end_handshape_annotations//test_auto_move//signs_mov_separ_signers/Dana_2283.mov" TargetMode="External"/><Relationship Id="rId17001" Type="http://schemas.openxmlformats.org/officeDocument/2006/relationships/hyperlink" Target="http://csr.bu.edu/ftp/asl/asllvd/demos/verify_start_end_handshape_annotations//test_auto_move//signs_mov_separ_signers/Liz_2292.mov" TargetMode="External"/><Relationship Id="rId17002" Type="http://schemas.openxmlformats.org/officeDocument/2006/relationships/hyperlink" Target="http://secrets.rutgers.edu:8080/data/asl-ftp/asllvd/demos/verify_start_end_handshape_annotations//test_auto_move//signs_mov_separ_signers/Liz_2292.mov" TargetMode="External"/><Relationship Id="rId17003" Type="http://schemas.openxmlformats.org/officeDocument/2006/relationships/hyperlink" Target="http://csr.bu.edu/ftp/asl/asllvd/demos/verify_start_end_handshape_annotations//test_auto_move//signs_mov_separ_signers/Liz_5977.mov" TargetMode="External"/><Relationship Id="rId17004" Type="http://schemas.openxmlformats.org/officeDocument/2006/relationships/hyperlink" Target="http://secrets.rutgers.edu:8080/data/asl-ftp/asllvd/demos/verify_start_end_handshape_annotations//test_auto_move//signs_mov_separ_signers/Liz_5977.mov" TargetMode="External"/><Relationship Id="rId17005" Type="http://schemas.openxmlformats.org/officeDocument/2006/relationships/hyperlink" Target="http://csr.bu.edu/ftp/asl/asllvd/demos/verify_start_end_handshape_annotations//test_auto_move//signs_mov/2292_5977_merged.mov" TargetMode="External"/><Relationship Id="rId17006" Type="http://schemas.openxmlformats.org/officeDocument/2006/relationships/hyperlink" Target="http://csr.bu.edu/ftp/asl/asllvd/demos/verify_start_end_handshape_annotations//test_auto_move//signs_mov_separ_signers/Tyler_2292.mov" TargetMode="External"/><Relationship Id="rId17007" Type="http://schemas.openxmlformats.org/officeDocument/2006/relationships/hyperlink" Target="http://secrets.rutgers.edu:8080/data/asl-ftp/asllvd/demos/verify_start_end_handshape_annotations//test_auto_move//signs_mov/2292_5977_merged.mov" TargetMode="External"/><Relationship Id="rId17008" Type="http://schemas.openxmlformats.org/officeDocument/2006/relationships/hyperlink" Target="http://secrets.rutgers.edu:8080/data/asl-ftp/asllvd/demos/verify_start_end_handshape_annotations//test_auto_move//signs_mov_separ_signers/Tyler_2292.mov" TargetMode="External"/><Relationship Id="rId17009" Type="http://schemas.openxmlformats.org/officeDocument/2006/relationships/hyperlink" Target="http://csr.bu.edu/ftp/asl/asllvd/demos/verify_start_end_handshape_annotations//test_auto_move//signs_mov_separ_signers/Naomi_2292.mov" TargetMode="External"/><Relationship Id="rId17010" Type="http://schemas.openxmlformats.org/officeDocument/2006/relationships/hyperlink" Target="http://secrets.rutgers.edu:8080/data/asl-ftp/asllvd/demos/verify_start_end_handshape_annotations//test_auto_move//signs_mov_separ_signers/Naomi_2292.mov" TargetMode="External"/><Relationship Id="rId17011" Type="http://schemas.openxmlformats.org/officeDocument/2006/relationships/hyperlink" Target="http://csr.bu.edu/ftp/asl/asllvd/demos/verify_start_end_handshape_annotations//test_auto_move//signs_mov_separ_signers/Brady_2292.mov" TargetMode="External"/><Relationship Id="rId17012" Type="http://schemas.openxmlformats.org/officeDocument/2006/relationships/hyperlink" Target="http://secrets.rutgers.edu:8080/data/asl-ftp/asllvd/demos/verify_start_end_handshape_annotations//test_auto_move//signs_mov_separ_signers/Brady_2292.mov" TargetMode="External"/><Relationship Id="rId17013" Type="http://schemas.openxmlformats.org/officeDocument/2006/relationships/hyperlink" Target="http://csr.bu.edu/ftp/asl/asllvd/demos/verify_start_end_handshape_annotations//test_auto_move//signs_mov_separ_signers/Lana_2292.mov" TargetMode="External"/><Relationship Id="rId17014" Type="http://schemas.openxmlformats.org/officeDocument/2006/relationships/hyperlink" Target="http://secrets.rutgers.edu:8080/data/asl-ftp/asllvd/demos/verify_start_end_handshape_annotations//test_auto_move//signs_mov_separ_signers/Lana_2292.mov" TargetMode="External"/><Relationship Id="rId17015" Type="http://schemas.openxmlformats.org/officeDocument/2006/relationships/hyperlink" Target="http://csr.bu.edu/ftp/asl/asllvd/demos/verify_start_end_handshape_annotations//test_auto_move//signs_mov/2295.mov" TargetMode="External"/><Relationship Id="rId17016" Type="http://schemas.openxmlformats.org/officeDocument/2006/relationships/hyperlink" Target="http://csr.bu.edu/ftp/asl/asllvd/demos/verify_start_end_handshape_annotations//test_auto_move//signs_mov_separ_signers/Liz_2295.mov" TargetMode="External"/><Relationship Id="rId17017" Type="http://schemas.openxmlformats.org/officeDocument/2006/relationships/hyperlink" Target="http://secrets.rutgers.edu:8080/data/asl-ftp/asllvd/demos/verify_start_end_handshape_annotations//test_auto_move//signs_mov/2295.mov" TargetMode="External"/><Relationship Id="rId17018" Type="http://schemas.openxmlformats.org/officeDocument/2006/relationships/hyperlink" Target="http://secrets.rutgers.edu:8080/data/asl-ftp/asllvd/demos/verify_start_end_handshape_annotations//test_auto_move//signs_mov_separ_signers/Liz_2295.mov" TargetMode="External"/><Relationship Id="rId17019" Type="http://schemas.openxmlformats.org/officeDocument/2006/relationships/hyperlink" Target="http://csr.bu.edu/ftp/asl/asllvd/demos/verify_start_end_handshape_annotations//test_auto_move//signs_mov_separ_signers/Brady_2295.mov" TargetMode="External"/><Relationship Id="rId17020" Type="http://schemas.openxmlformats.org/officeDocument/2006/relationships/hyperlink" Target="http://secrets.rutgers.edu:8080/data/asl-ftp/asllvd/demos/verify_start_end_handshape_annotations//test_auto_move//signs_mov_separ_signers/Brady_2295.mov" TargetMode="External"/><Relationship Id="rId17021" Type="http://schemas.openxmlformats.org/officeDocument/2006/relationships/hyperlink" Target="http://csr.bu.edu/ftp/asl/asllvd/demos/verify_start_end_handshape_annotations//test_auto_move//signs_mov/2297.mov" TargetMode="External"/><Relationship Id="rId17022" Type="http://schemas.openxmlformats.org/officeDocument/2006/relationships/hyperlink" Target="http://csr.bu.edu/ftp/asl/asllvd/demos/verify_start_end_handshape_annotations//test_auto_move//signs_mov_separ_signers/Liz_2297.mov" TargetMode="External"/><Relationship Id="rId17023" Type="http://schemas.openxmlformats.org/officeDocument/2006/relationships/hyperlink" Target="http://secrets.rutgers.edu:8080/data/asl-ftp/asllvd/demos/verify_start_end_handshape_annotations//test_auto_move//signs_mov/2297.mov" TargetMode="External"/><Relationship Id="rId17024" Type="http://schemas.openxmlformats.org/officeDocument/2006/relationships/hyperlink" Target="http://secrets.rutgers.edu:8080/data/asl-ftp/asllvd/demos/verify_start_end_handshape_annotations//test_auto_move//signs_mov_separ_signers/Liz_2297.mov" TargetMode="External"/><Relationship Id="rId17025" Type="http://schemas.openxmlformats.org/officeDocument/2006/relationships/hyperlink" Target="http://csr.bu.edu/ftp/asl/asllvd/demos/verify_start_end_handshape_annotations//test_auto_move//signs_mov_separ_signers/Brady_2297.mov" TargetMode="External"/><Relationship Id="rId17026" Type="http://schemas.openxmlformats.org/officeDocument/2006/relationships/hyperlink" Target="http://secrets.rutgers.edu:8080/data/asl-ftp/asllvd/demos/verify_start_end_handshape_annotations//test_auto_move//signs_mov_separ_signers/Brady_2297.mov" TargetMode="External"/><Relationship Id="rId17027" Type="http://schemas.openxmlformats.org/officeDocument/2006/relationships/hyperlink" Target="http://csr.bu.edu/ftp/asl/asllvd/demos/verify_start_end_handshape_annotations//test_auto_move//signs_mov_separ_signers/Liz_15818.mov" TargetMode="External"/><Relationship Id="rId17028" Type="http://schemas.openxmlformats.org/officeDocument/2006/relationships/hyperlink" Target="http://secrets.rutgers.edu:8080/data/asl-ftp/asllvd/demos/verify_start_end_handshape_annotations//test_auto_move//signs_mov_separ_signers/Liz_15818.mov" TargetMode="External"/><Relationship Id="rId17029" Type="http://schemas.openxmlformats.org/officeDocument/2006/relationships/hyperlink" Target="http://csr.bu.edu/ftp/asl/asllvd/demos/verify_start_end_handshape_annotations//test_auto_move//signs_mov/15818.mov" TargetMode="External"/><Relationship Id="rId17030" Type="http://schemas.openxmlformats.org/officeDocument/2006/relationships/hyperlink" Target="http://csr.bu.edu/ftp/asl/asllvd/demos/verify_start_end_handshape_annotations//test_auto_move//signs_mov_separ_signers/Brady_15818.mov" TargetMode="External"/><Relationship Id="rId17031" Type="http://schemas.openxmlformats.org/officeDocument/2006/relationships/hyperlink" Target="http://secrets.rutgers.edu:8080/data/asl-ftp/asllvd/demos/verify_start_end_handshape_annotations//test_auto_move//signs_mov/15818.mov" TargetMode="External"/><Relationship Id="rId17032" Type="http://schemas.openxmlformats.org/officeDocument/2006/relationships/hyperlink" Target="http://secrets.rutgers.edu:8080/data/asl-ftp/asllvd/demos/verify_start_end_handshape_annotations//test_auto_move//signs_mov_separ_signers/Brady_15818.mov" TargetMode="External"/><Relationship Id="rId17033" Type="http://schemas.openxmlformats.org/officeDocument/2006/relationships/hyperlink" Target="http://csr.bu.edu/ftp/asl/asllvd/demos/verify_start_end_handshape_annotations//test_auto_move//signs_mov_separ_signers/Lana_15818.mov" TargetMode="External"/><Relationship Id="rId17034" Type="http://schemas.openxmlformats.org/officeDocument/2006/relationships/hyperlink" Target="http://secrets.rutgers.edu:8080/data/asl-ftp/asllvd/demos/verify_start_end_handshape_annotations//test_auto_move//signs_mov_separ_signers/Lana_15818.mov" TargetMode="External"/><Relationship Id="rId17035" Type="http://schemas.openxmlformats.org/officeDocument/2006/relationships/hyperlink" Target="http://csr.bu.edu/ftp/asl/asllvd/demos/verify_start_end_handshape_annotations//test_auto_move//signs_mov_separ_signers/Dana_15818.mov" TargetMode="External"/><Relationship Id="rId17036" Type="http://schemas.openxmlformats.org/officeDocument/2006/relationships/hyperlink" Target="http://secrets.rutgers.edu:8080/data/asl-ftp/asllvd/demos/verify_start_end_handshape_annotations//test_auto_move//signs_mov_separ_signers/Dana_15818.mov" TargetMode="External"/><Relationship Id="rId17037" Type="http://schemas.openxmlformats.org/officeDocument/2006/relationships/hyperlink" Target="http://csr.bu.edu/ftp/asl/asllvd/demos/verify_start_end_handshape_annotations//test_auto_move//signs_mov/15870.mov" TargetMode="External"/><Relationship Id="rId17038" Type="http://schemas.openxmlformats.org/officeDocument/2006/relationships/hyperlink" Target="http://csr.bu.edu/ftp/asl/asllvd/demos/verify_start_end_handshape_annotations//test_auto_move//signs_mov_separ_signers/Liz_15870.mov" TargetMode="External"/><Relationship Id="rId17039" Type="http://schemas.openxmlformats.org/officeDocument/2006/relationships/hyperlink" Target="http://secrets.rutgers.edu:8080/data/asl-ftp/asllvd/demos/verify_start_end_handshape_annotations//test_auto_move//signs_mov/15870.mov" TargetMode="External"/><Relationship Id="rId17040" Type="http://schemas.openxmlformats.org/officeDocument/2006/relationships/hyperlink" Target="http://secrets.rutgers.edu:8080/data/asl-ftp/asllvd/demos/verify_start_end_handshape_annotations//test_auto_move//signs_mov_separ_signers/Liz_15870.mov" TargetMode="External"/><Relationship Id="rId17041" Type="http://schemas.openxmlformats.org/officeDocument/2006/relationships/hyperlink" Target="http://csr.bu.edu/ftp/asl/asllvd/demos/verify_start_end_handshape_annotations//test_auto_move//signs_mov_separ_signers/Liz_15922.mov" TargetMode="External"/><Relationship Id="rId17042" Type="http://schemas.openxmlformats.org/officeDocument/2006/relationships/hyperlink" Target="http://secrets.rutgers.edu:8080/data/asl-ftp/asllvd/demos/verify_start_end_handshape_annotations//test_auto_move//signs_mov_separ_signers/Liz_15922.mov" TargetMode="External"/><Relationship Id="rId17043" Type="http://schemas.openxmlformats.org/officeDocument/2006/relationships/hyperlink" Target="http://csr.bu.edu/ftp/asl/asllvd/demos/verify_start_end_handshape_annotations//test_auto_move//signs_mov_separ_signers/Tyler_15922.mov" TargetMode="External"/><Relationship Id="rId17044" Type="http://schemas.openxmlformats.org/officeDocument/2006/relationships/hyperlink" Target="http://secrets.rutgers.edu:8080/data/asl-ftp/asllvd/demos/verify_start_end_handshape_annotations//test_auto_move//signs_mov_separ_signers/Tyler_15922.mov" TargetMode="External"/><Relationship Id="rId17045" Type="http://schemas.openxmlformats.org/officeDocument/2006/relationships/hyperlink" Target="http://csr.bu.edu/ftp/asl/asllvd/demos/verify_start_end_handshape_annotations//test_auto_move//signs_mov/15922.mov" TargetMode="External"/><Relationship Id="rId17046" Type="http://schemas.openxmlformats.org/officeDocument/2006/relationships/hyperlink" Target="http://csr.bu.edu/ftp/asl/asllvd/demos/verify_start_end_handshape_annotations//test_auto_move//signs_mov_separ_signers/Naomi_15922.mov" TargetMode="External"/><Relationship Id="rId17047" Type="http://schemas.openxmlformats.org/officeDocument/2006/relationships/hyperlink" Target="http://secrets.rutgers.edu:8080/data/asl-ftp/asllvd/demos/verify_start_end_handshape_annotations//test_auto_move//signs_mov/15922.mov" TargetMode="External"/><Relationship Id="rId17048" Type="http://schemas.openxmlformats.org/officeDocument/2006/relationships/hyperlink" Target="http://secrets.rutgers.edu:8080/data/asl-ftp/asllvd/demos/verify_start_end_handshape_annotations//test_auto_move//signs_mov_separ_signers/Naomi_15922.mov" TargetMode="External"/><Relationship Id="rId17049" Type="http://schemas.openxmlformats.org/officeDocument/2006/relationships/hyperlink" Target="http://csr.bu.edu/ftp/asl/asllvd/demos/verify_start_end_handshape_annotations//test_auto_move//signs_mov_separ_signers/Brady_15922.mov" TargetMode="External"/><Relationship Id="rId17050" Type="http://schemas.openxmlformats.org/officeDocument/2006/relationships/hyperlink" Target="http://secrets.rutgers.edu:8080/data/asl-ftp/asllvd/demos/verify_start_end_handshape_annotations//test_auto_move//signs_mov_separ_signers/Brady_15922.mov" TargetMode="External"/><Relationship Id="rId17051" Type="http://schemas.openxmlformats.org/officeDocument/2006/relationships/hyperlink" Target="http://csr.bu.edu/ftp/asl/asllvd/demos/verify_start_end_handshape_annotations//test_auto_move//signs_mov_separ_signers/Lana_15922.mov" TargetMode="External"/><Relationship Id="rId17052" Type="http://schemas.openxmlformats.org/officeDocument/2006/relationships/hyperlink" Target="http://secrets.rutgers.edu:8080/data/asl-ftp/asllvd/demos/verify_start_end_handshape_annotations//test_auto_move//signs_mov_separ_signers/Lana_15922.mov" TargetMode="External"/><Relationship Id="rId17053" Type="http://schemas.openxmlformats.org/officeDocument/2006/relationships/hyperlink" Target="http://csr.bu.edu/ftp/asl/asllvd/demos/verify_start_end_handshape_annotations//test_auto_move//signs_mov_separ_signers/Dana_15922.mov" TargetMode="External"/><Relationship Id="rId17054" Type="http://schemas.openxmlformats.org/officeDocument/2006/relationships/hyperlink" Target="http://secrets.rutgers.edu:8080/data/asl-ftp/asllvd/demos/verify_start_end_handshape_annotations//test_auto_move//signs_mov_separ_signers/Dana_15922.mov" TargetMode="External"/><Relationship Id="rId17055" Type="http://schemas.openxmlformats.org/officeDocument/2006/relationships/hyperlink" Target="http://csr.bu.edu/ftp/asl/asllvd/demos/verify_start_end_handshape_annotations//test_auto_move//signs_mov/4773.mov" TargetMode="External"/><Relationship Id="rId17056" Type="http://schemas.openxmlformats.org/officeDocument/2006/relationships/hyperlink" Target="http://csr.bu.edu/ftp/asl/asllvd/demos/verify_start_end_handshape_annotations//test_auto_move//signs_mov_separ_signers/Liz_4773.mov" TargetMode="External"/><Relationship Id="rId17057" Type="http://schemas.openxmlformats.org/officeDocument/2006/relationships/hyperlink" Target="http://secrets.rutgers.edu:8080/data/asl-ftp/asllvd/demos/verify_start_end_handshape_annotations//test_auto_move//signs_mov/4773.mov" TargetMode="External"/><Relationship Id="rId17058" Type="http://schemas.openxmlformats.org/officeDocument/2006/relationships/hyperlink" Target="http://secrets.rutgers.edu:8080/data/asl-ftp/asllvd/demos/verify_start_end_handshape_annotations//test_auto_move//signs_mov_separ_signers/Liz_4773.mov" TargetMode="External"/><Relationship Id="rId17059" Type="http://schemas.openxmlformats.org/officeDocument/2006/relationships/hyperlink" Target="http://csr.bu.edu/ftp/asl/asllvd/demos/verify_start_end_handshape_annotations//test_auto_move//signs_mov_separ_signers/Liz_2298.mov" TargetMode="External"/><Relationship Id="rId17060" Type="http://schemas.openxmlformats.org/officeDocument/2006/relationships/hyperlink" Target="http://secrets.rutgers.edu:8080/data/asl-ftp/asllvd/demos/verify_start_end_handshape_annotations//test_auto_move//signs_mov_separ_signers/Liz_2298.mov" TargetMode="External"/><Relationship Id="rId17061" Type="http://schemas.openxmlformats.org/officeDocument/2006/relationships/hyperlink" Target="http://csr.bu.edu/ftp/asl/asllvd/demos/verify_start_end_handshape_annotations//test_auto_move//signs_mov/2298.mov" TargetMode="External"/><Relationship Id="rId17062" Type="http://schemas.openxmlformats.org/officeDocument/2006/relationships/hyperlink" Target="http://csr.bu.edu/ftp/asl/asllvd/demos/verify_start_end_handshape_annotations//test_auto_move//signs_mov_separ_signers/Brady_2298.mov" TargetMode="External"/><Relationship Id="rId17063" Type="http://schemas.openxmlformats.org/officeDocument/2006/relationships/hyperlink" Target="http://secrets.rutgers.edu:8080/data/asl-ftp/asllvd/demos/verify_start_end_handshape_annotations//test_auto_move//signs_mov/2298.mov" TargetMode="External"/><Relationship Id="rId17064" Type="http://schemas.openxmlformats.org/officeDocument/2006/relationships/hyperlink" Target="http://secrets.rutgers.edu:8080/data/asl-ftp/asllvd/demos/verify_start_end_handshape_annotations//test_auto_move//signs_mov_separ_signers/Brady_2298.mov" TargetMode="External"/><Relationship Id="rId17065" Type="http://schemas.openxmlformats.org/officeDocument/2006/relationships/hyperlink" Target="http://csr.bu.edu/ftp/asl/asllvd/demos/verify_start_end_handshape_annotations//test_auto_move//signs_mov_separ_signers/Lana_2298.mov" TargetMode="External"/><Relationship Id="rId17066" Type="http://schemas.openxmlformats.org/officeDocument/2006/relationships/hyperlink" Target="http://secrets.rutgers.edu:8080/data/asl-ftp/asllvd/demos/verify_start_end_handshape_annotations//test_auto_move//signs_mov_separ_signers/Lana_2298.mov" TargetMode="External"/><Relationship Id="rId17067" Type="http://schemas.openxmlformats.org/officeDocument/2006/relationships/hyperlink" Target="http://csr.bu.edu/ftp/asl/asllvd/demos/verify_start_end_handshape_annotations//test_auto_move//signs_mov_separ_signers/Dana_2298.mov" TargetMode="External"/><Relationship Id="rId17068" Type="http://schemas.openxmlformats.org/officeDocument/2006/relationships/hyperlink" Target="http://secrets.rutgers.edu:8080/data/asl-ftp/asllvd/demos/verify_start_end_handshape_annotations//test_auto_move//signs_mov_separ_signers/Dana_2298.mov" TargetMode="External"/><Relationship Id="rId17069" Type="http://schemas.openxmlformats.org/officeDocument/2006/relationships/hyperlink" Target="http://csr.bu.edu/ftp/asl/asllvd/demos/verify_start_end_handshape_annotations//test_auto_move//signs_mov_separ_signers/Liz_2299.mov" TargetMode="External"/><Relationship Id="rId17070" Type="http://schemas.openxmlformats.org/officeDocument/2006/relationships/hyperlink" Target="http://secrets.rutgers.edu:8080/data/asl-ftp/asllvd/demos/verify_start_end_handshape_annotations//test_auto_move//signs_mov_separ_signers/Liz_2299.mov" TargetMode="External"/><Relationship Id="rId17071" Type="http://schemas.openxmlformats.org/officeDocument/2006/relationships/hyperlink" Target="http://csr.bu.edu/ftp/asl/asllvd/demos/verify_start_end_handshape_annotations//test_auto_move//signs_mov_separ_signers/Liz_16264.mov" TargetMode="External"/><Relationship Id="rId17072" Type="http://schemas.openxmlformats.org/officeDocument/2006/relationships/hyperlink" Target="http://secrets.rutgers.edu:8080/data/asl-ftp/asllvd/demos/verify_start_end_handshape_annotations//test_auto_move//signs_mov_separ_signers/Liz_16264.mov" TargetMode="External"/><Relationship Id="rId17073" Type="http://schemas.openxmlformats.org/officeDocument/2006/relationships/hyperlink" Target="http://csr.bu.edu/ftp/asl/asllvd/demos/verify_start_end_handshape_annotations//test_auto_move//signs_mov/2299_16264_merged.mov" TargetMode="External"/><Relationship Id="rId17074" Type="http://schemas.openxmlformats.org/officeDocument/2006/relationships/hyperlink" Target="http://csr.bu.edu/ftp/asl/asllvd/demos/verify_start_end_handshape_annotations//test_auto_move//signs_mov_separ_signers/Naomi_2299.mov" TargetMode="External"/><Relationship Id="rId17075" Type="http://schemas.openxmlformats.org/officeDocument/2006/relationships/hyperlink" Target="http://secrets.rutgers.edu:8080/data/asl-ftp/asllvd/demos/verify_start_end_handshape_annotations//test_auto_move//signs_mov/2299_16264_merged.mov" TargetMode="External"/><Relationship Id="rId17076" Type="http://schemas.openxmlformats.org/officeDocument/2006/relationships/hyperlink" Target="http://secrets.rutgers.edu:8080/data/asl-ftp/asllvd/demos/verify_start_end_handshape_annotations//test_auto_move//signs_mov_separ_signers/Naomi_2299.mov" TargetMode="External"/><Relationship Id="rId17077" Type="http://schemas.openxmlformats.org/officeDocument/2006/relationships/hyperlink" Target="http://csr.bu.edu/ftp/asl/asllvd/demos/verify_start_end_handshape_annotations//test_auto_move//signs_mov_separ_signers/Brady_2299.mov" TargetMode="External"/><Relationship Id="rId17078" Type="http://schemas.openxmlformats.org/officeDocument/2006/relationships/hyperlink" Target="http://secrets.rutgers.edu:8080/data/asl-ftp/asllvd/demos/verify_start_end_handshape_annotations//test_auto_move//signs_mov_separ_signers/Brady_2299.mov" TargetMode="External"/><Relationship Id="rId17079" Type="http://schemas.openxmlformats.org/officeDocument/2006/relationships/hyperlink" Target="http://csr.bu.edu/ftp/asl/asllvd/demos/verify_start_end_handshape_annotations//test_auto_move//signs_mov_separ_signers/Brady_16264.mov" TargetMode="External"/><Relationship Id="rId17080" Type="http://schemas.openxmlformats.org/officeDocument/2006/relationships/hyperlink" Target="http://secrets.rutgers.edu:8080/data/asl-ftp/asllvd/demos/verify_start_end_handshape_annotations//test_auto_move//signs_mov_separ_signers/Brady_16264.mov" TargetMode="External"/><Relationship Id="rId17081" Type="http://schemas.openxmlformats.org/officeDocument/2006/relationships/hyperlink" Target="http://csr.bu.edu/ftp/asl/asllvd/demos/verify_start_end_handshape_annotations//test_auto_move//signs_mov/16274.mov" TargetMode="External"/><Relationship Id="rId17082" Type="http://schemas.openxmlformats.org/officeDocument/2006/relationships/hyperlink" Target="http://csr.bu.edu/ftp/asl/asllvd/demos/verify_start_end_handshape_annotations//test_auto_move//signs_mov_separ_signers/Tyler_16274.mov" TargetMode="External"/><Relationship Id="rId17083" Type="http://schemas.openxmlformats.org/officeDocument/2006/relationships/hyperlink" Target="http://secrets.rutgers.edu:8080/data/asl-ftp/asllvd/demos/verify_start_end_handshape_annotations//test_auto_move//signs_mov/16274.mov" TargetMode="External"/><Relationship Id="rId17084" Type="http://schemas.openxmlformats.org/officeDocument/2006/relationships/hyperlink" Target="http://secrets.rutgers.edu:8080/data/asl-ftp/asllvd/demos/verify_start_end_handshape_annotations//test_auto_move//signs_mov_separ_signers/Tyler_16274.mov" TargetMode="External"/><Relationship Id="rId17085" Type="http://schemas.openxmlformats.org/officeDocument/2006/relationships/hyperlink" Target="http://csr.bu.edu/ftp/asl/asllvd/demos/verify_start_end_handshape_annotations//test_auto_move//signs_mov/2300.mov" TargetMode="External"/><Relationship Id="rId17086" Type="http://schemas.openxmlformats.org/officeDocument/2006/relationships/hyperlink" Target="http://csr.bu.edu/ftp/asl/asllvd/demos/verify_start_end_handshape_annotations//test_auto_move//signs_mov_separ_signers/Liz_2300.mov" TargetMode="External"/><Relationship Id="rId17087" Type="http://schemas.openxmlformats.org/officeDocument/2006/relationships/hyperlink" Target="http://secrets.rutgers.edu:8080/data/asl-ftp/asllvd/demos/verify_start_end_handshape_annotations//test_auto_move//signs_mov/2300.mov" TargetMode="External"/><Relationship Id="rId17088" Type="http://schemas.openxmlformats.org/officeDocument/2006/relationships/hyperlink" Target="http://secrets.rutgers.edu:8080/data/asl-ftp/asllvd/demos/verify_start_end_handshape_annotations//test_auto_move//signs_mov_separ_signers/Liz_2300.mov" TargetMode="External"/><Relationship Id="rId17089" Type="http://schemas.openxmlformats.org/officeDocument/2006/relationships/hyperlink" Target="http://csr.bu.edu/ftp/asl/asllvd/demos/verify_start_end_handshape_annotations//test_auto_move//signs_mov/16457.mov" TargetMode="External"/><Relationship Id="rId17090" Type="http://schemas.openxmlformats.org/officeDocument/2006/relationships/hyperlink" Target="http://csr.bu.edu/ftp/asl/asllvd/demos/verify_start_end_handshape_annotations//test_auto_move//signs_mov_separ_signers/Brady_16457.mov" TargetMode="External"/><Relationship Id="rId17091" Type="http://schemas.openxmlformats.org/officeDocument/2006/relationships/hyperlink" Target="http://secrets.rutgers.edu:8080/data/asl-ftp/asllvd/demos/verify_start_end_handshape_annotations//test_auto_move//signs_mov/16457.mov" TargetMode="External"/><Relationship Id="rId17092" Type="http://schemas.openxmlformats.org/officeDocument/2006/relationships/hyperlink" Target="http://secrets.rutgers.edu:8080/data/asl-ftp/asllvd/demos/verify_start_end_handshape_annotations//test_auto_move//signs_mov_separ_signers/Brady_16457.mov" TargetMode="External"/><Relationship Id="rId17093" Type="http://schemas.openxmlformats.org/officeDocument/2006/relationships/hyperlink" Target="http://csr.bu.edu/ftp/asl/asllvd/demos/verify_start_end_handshape_annotations//test_auto_move//signs_mov/2301.mov" TargetMode="External"/><Relationship Id="rId17094" Type="http://schemas.openxmlformats.org/officeDocument/2006/relationships/hyperlink" Target="http://csr.bu.edu/ftp/asl/asllvd/demos/verify_start_end_handshape_annotations//test_auto_move//signs_mov_separ_signers/Liz_2301.mov" TargetMode="External"/><Relationship Id="rId17095" Type="http://schemas.openxmlformats.org/officeDocument/2006/relationships/hyperlink" Target="http://secrets.rutgers.edu:8080/data/asl-ftp/asllvd/demos/verify_start_end_handshape_annotations//test_auto_move//signs_mov/2301.mov" TargetMode="External"/><Relationship Id="rId17096" Type="http://schemas.openxmlformats.org/officeDocument/2006/relationships/hyperlink" Target="http://secrets.rutgers.edu:8080/data/asl-ftp/asllvd/demos/verify_start_end_handshape_annotations//test_auto_move//signs_mov_separ_signers/Liz_2301.mov" TargetMode="External"/><Relationship Id="rId17097" Type="http://schemas.openxmlformats.org/officeDocument/2006/relationships/hyperlink" Target="http://csr.bu.edu/ftp/asl/asllvd/demos/verify_start_end_handshape_annotations//test_auto_move//signs_mov_separ_signers/Brady_2301.mov" TargetMode="External"/><Relationship Id="rId17098" Type="http://schemas.openxmlformats.org/officeDocument/2006/relationships/hyperlink" Target="http://secrets.rutgers.edu:8080/data/asl-ftp/asllvd/demos/verify_start_end_handshape_annotations//test_auto_move//signs_mov_separ_signers/Brady_2301.mov" TargetMode="External"/><Relationship Id="rId17099" Type="http://schemas.openxmlformats.org/officeDocument/2006/relationships/hyperlink" Target="http://csr.bu.edu/ftp/asl/asllvd/demos/verify_start_end_handshape_annotations//test_auto_move//signs_mov/2302.mov" TargetMode="External"/><Relationship Id="rId17100" Type="http://schemas.openxmlformats.org/officeDocument/2006/relationships/hyperlink" Target="http://csr.bu.edu/ftp/asl/asllvd/demos/verify_start_end_handshape_annotations//test_auto_move//signs_mov_separ_signers/Brady_2302.mov" TargetMode="External"/><Relationship Id="rId17101" Type="http://schemas.openxmlformats.org/officeDocument/2006/relationships/hyperlink" Target="http://secrets.rutgers.edu:8080/data/asl-ftp/asllvd/demos/verify_start_end_handshape_annotations//test_auto_move//signs_mov/2302.mov" TargetMode="External"/><Relationship Id="rId17102" Type="http://schemas.openxmlformats.org/officeDocument/2006/relationships/hyperlink" Target="http://secrets.rutgers.edu:8080/data/asl-ftp/asllvd/demos/verify_start_end_handshape_annotations//test_auto_move//signs_mov_separ_signers/Brady_2302.mov" TargetMode="External"/><Relationship Id="rId17103" Type="http://schemas.openxmlformats.org/officeDocument/2006/relationships/hyperlink" Target="http://csr.bu.edu/ftp/asl/asllvd/demos/verify_start_end_handshape_annotations//test_auto_move//signs_mov/16293.mov" TargetMode="External"/><Relationship Id="rId17104" Type="http://schemas.openxmlformats.org/officeDocument/2006/relationships/hyperlink" Target="http://csr.bu.edu/ftp/asl/asllvd/demos/verify_start_end_handshape_annotations//test_auto_move//signs_mov_separ_signers/Liz_16293.mov" TargetMode="External"/><Relationship Id="rId17105" Type="http://schemas.openxmlformats.org/officeDocument/2006/relationships/hyperlink" Target="http://secrets.rutgers.edu:8080/data/asl-ftp/asllvd/demos/verify_start_end_handshape_annotations//test_auto_move//signs_mov/16293.mov" TargetMode="External"/><Relationship Id="rId17106" Type="http://schemas.openxmlformats.org/officeDocument/2006/relationships/hyperlink" Target="http://secrets.rutgers.edu:8080/data/asl-ftp/asllvd/demos/verify_start_end_handshape_annotations//test_auto_move//signs_mov_separ_signers/Liz_16293.mov" TargetMode="External"/><Relationship Id="rId17107" Type="http://schemas.openxmlformats.org/officeDocument/2006/relationships/hyperlink" Target="http://csr.bu.edu/ftp/asl/asllvd/demos/verify_start_end_handshape_annotations//test_auto_move//signs_mov/2303.mov" TargetMode="External"/><Relationship Id="rId17108" Type="http://schemas.openxmlformats.org/officeDocument/2006/relationships/hyperlink" Target="http://csr.bu.edu/ftp/asl/asllvd/demos/verify_start_end_handshape_annotations//test_auto_move//signs_mov_separ_signers/Liz_2303.mov" TargetMode="External"/><Relationship Id="rId17109" Type="http://schemas.openxmlformats.org/officeDocument/2006/relationships/hyperlink" Target="http://secrets.rutgers.edu:8080/data/asl-ftp/asllvd/demos/verify_start_end_handshape_annotations//test_auto_move//signs_mov/2303.mov" TargetMode="External"/><Relationship Id="rId17110" Type="http://schemas.openxmlformats.org/officeDocument/2006/relationships/hyperlink" Target="http://secrets.rutgers.edu:8080/data/asl-ftp/asllvd/demos/verify_start_end_handshape_annotations//test_auto_move//signs_mov_separ_signers/Liz_2303.mov" TargetMode="External"/><Relationship Id="rId17111" Type="http://schemas.openxmlformats.org/officeDocument/2006/relationships/hyperlink" Target="http://csr.bu.edu/ftp/asl/asllvd/demos/verify_start_end_handshape_annotations//test_auto_move//signs_mov/2305.mov" TargetMode="External"/><Relationship Id="rId17112" Type="http://schemas.openxmlformats.org/officeDocument/2006/relationships/hyperlink" Target="http://csr.bu.edu/ftp/asl/asllvd/demos/verify_start_end_handshape_annotations//test_auto_move//signs_mov_separ_signers/Liz_2305.mov" TargetMode="External"/><Relationship Id="rId17113" Type="http://schemas.openxmlformats.org/officeDocument/2006/relationships/hyperlink" Target="http://secrets.rutgers.edu:8080/data/asl-ftp/asllvd/demos/verify_start_end_handshape_annotations//test_auto_move//signs_mov/2305.mov" TargetMode="External"/><Relationship Id="rId17114" Type="http://schemas.openxmlformats.org/officeDocument/2006/relationships/hyperlink" Target="http://secrets.rutgers.edu:8080/data/asl-ftp/asllvd/demos/verify_start_end_handshape_annotations//test_auto_move//signs_mov_separ_signers/Liz_2305.mov" TargetMode="External"/><Relationship Id="rId17115" Type="http://schemas.openxmlformats.org/officeDocument/2006/relationships/hyperlink" Target="http://csr.bu.edu/ftp/asl/asllvd/demos/verify_start_end_handshape_annotations//test_auto_move//signs_mov_separ_signers/Brady_2305.mov" TargetMode="External"/><Relationship Id="rId17116" Type="http://schemas.openxmlformats.org/officeDocument/2006/relationships/hyperlink" Target="http://secrets.rutgers.edu:8080/data/asl-ftp/asllvd/demos/verify_start_end_handshape_annotations//test_auto_move//signs_mov_separ_signers/Brady_2305.mov" TargetMode="External"/><Relationship Id="rId17117" Type="http://schemas.openxmlformats.org/officeDocument/2006/relationships/hyperlink" Target="http://csr.bu.edu/ftp/asl/asllvd/demos/verify_start_end_handshape_annotations//test_auto_move//signs_mov_separ_signers/Liz_2307.mov" TargetMode="External"/><Relationship Id="rId17118" Type="http://schemas.openxmlformats.org/officeDocument/2006/relationships/hyperlink" Target="http://secrets.rutgers.edu:8080/data/asl-ftp/asllvd/demos/verify_start_end_handshape_annotations//test_auto_move//signs_mov_separ_signers/Liz_2307.mov" TargetMode="External"/><Relationship Id="rId17119" Type="http://schemas.openxmlformats.org/officeDocument/2006/relationships/hyperlink" Target="http://csr.bu.edu/ftp/asl/asllvd/demos/verify_start_end_handshape_annotations//test_auto_move//signs_mov_separ_signers/Liz_3450.mov" TargetMode="External"/><Relationship Id="rId17120" Type="http://schemas.openxmlformats.org/officeDocument/2006/relationships/hyperlink" Target="http://secrets.rutgers.edu:8080/data/asl-ftp/asllvd/demos/verify_start_end_handshape_annotations//test_auto_move//signs_mov_separ_signers/Liz_3450.mov" TargetMode="External"/><Relationship Id="rId17121" Type="http://schemas.openxmlformats.org/officeDocument/2006/relationships/hyperlink" Target="http://csr.bu.edu/ftp/asl/asllvd/demos/verify_start_end_handshape_annotations//test_auto_move//signs_mov/2307_3450_15253_merged.mov" TargetMode="External"/><Relationship Id="rId17122" Type="http://schemas.openxmlformats.org/officeDocument/2006/relationships/hyperlink" Target="http://csr.bu.edu/ftp/asl/asllvd/demos/verify_start_end_handshape_annotations//test_auto_move//signs_mov_separ_signers/Liz_15253.mov" TargetMode="External"/><Relationship Id="rId17123" Type="http://schemas.openxmlformats.org/officeDocument/2006/relationships/hyperlink" Target="http://secrets.rutgers.edu:8080/data/asl-ftp/asllvd/demos/verify_start_end_handshape_annotations//test_auto_move//signs_mov/2307_3450_15253_merged.mov" TargetMode="External"/><Relationship Id="rId17124" Type="http://schemas.openxmlformats.org/officeDocument/2006/relationships/hyperlink" Target="http://secrets.rutgers.edu:8080/data/asl-ftp/asllvd/demos/verify_start_end_handshape_annotations//test_auto_move//signs_mov_separ_signers/Liz_15253.mov" TargetMode="External"/><Relationship Id="rId17125" Type="http://schemas.openxmlformats.org/officeDocument/2006/relationships/hyperlink" Target="http://csr.bu.edu/ftp/asl/asllvd/demos/verify_start_end_handshape_annotations//test_auto_move//signs_mov_separ_signers/Brady_2307.mov" TargetMode="External"/><Relationship Id="rId17126" Type="http://schemas.openxmlformats.org/officeDocument/2006/relationships/hyperlink" Target="http://secrets.rutgers.edu:8080/data/asl-ftp/asllvd/demos/verify_start_end_handshape_annotations//test_auto_move//signs_mov_separ_signers/Brady_2307.mov" TargetMode="External"/><Relationship Id="rId17127" Type="http://schemas.openxmlformats.org/officeDocument/2006/relationships/hyperlink" Target="http://csr.bu.edu/ftp/asl/asllvd/demos/verify_start_end_handshape_annotations//test_auto_move//signs_mov_separ_signers/Brady_3450.mov" TargetMode="External"/><Relationship Id="rId17128" Type="http://schemas.openxmlformats.org/officeDocument/2006/relationships/hyperlink" Target="http://secrets.rutgers.edu:8080/data/asl-ftp/asllvd/demos/verify_start_end_handshape_annotations//test_auto_move//signs_mov_separ_signers/Brady_3450.mov" TargetMode="External"/><Relationship Id="rId17129" Type="http://schemas.openxmlformats.org/officeDocument/2006/relationships/hyperlink" Target="http://csr.bu.edu/ftp/asl/asllvd/demos/verify_start_end_handshape_annotations//test_auto_move//signs_mov_separ_signers/Brady_15253.mov" TargetMode="External"/><Relationship Id="rId17130" Type="http://schemas.openxmlformats.org/officeDocument/2006/relationships/hyperlink" Target="http://secrets.rutgers.edu:8080/data/asl-ftp/asllvd/demos/verify_start_end_handshape_annotations//test_auto_move//signs_mov_separ_signers/Brady_15253.mov" TargetMode="External"/><Relationship Id="rId17131" Type="http://schemas.openxmlformats.org/officeDocument/2006/relationships/hyperlink" Target="http://csr.bu.edu/ftp/asl/asllvd/demos/verify_start_end_handshape_annotations//test_auto_move//signs_mov/2312.mov" TargetMode="External"/><Relationship Id="rId17132" Type="http://schemas.openxmlformats.org/officeDocument/2006/relationships/hyperlink" Target="http://csr.bu.edu/ftp/asl/asllvd/demos/verify_start_end_handshape_annotations//test_auto_move//signs_mov_separ_signers/Liz_2312.mov" TargetMode="External"/><Relationship Id="rId17133" Type="http://schemas.openxmlformats.org/officeDocument/2006/relationships/hyperlink" Target="http://secrets.rutgers.edu:8080/data/asl-ftp/asllvd/demos/verify_start_end_handshape_annotations//test_auto_move//signs_mov/2312.mov" TargetMode="External"/><Relationship Id="rId17134" Type="http://schemas.openxmlformats.org/officeDocument/2006/relationships/hyperlink" Target="http://secrets.rutgers.edu:8080/data/asl-ftp/asllvd/demos/verify_start_end_handshape_annotations//test_auto_move//signs_mov_separ_signers/Liz_2312.mov" TargetMode="External"/><Relationship Id="rId17135" Type="http://schemas.openxmlformats.org/officeDocument/2006/relationships/hyperlink" Target="http://csr.bu.edu/ftp/asl/asllvd/demos/verify_start_end_handshape_annotations//test_auto_move//signs_mov/5693_16435_merged.mov" TargetMode="External"/><Relationship Id="rId17136" Type="http://schemas.openxmlformats.org/officeDocument/2006/relationships/hyperlink" Target="http://csr.bu.edu/ftp/asl/asllvd/demos/verify_start_end_handshape_annotations//test_auto_move//signs_mov_separ_signers/Liz_5693.mov" TargetMode="External"/><Relationship Id="rId17137" Type="http://schemas.openxmlformats.org/officeDocument/2006/relationships/hyperlink" Target="http://secrets.rutgers.edu:8080/data/asl-ftp/asllvd/demos/verify_start_end_handshape_annotations//test_auto_move//signs_mov/5693_16435_merged.mov" TargetMode="External"/><Relationship Id="rId17138" Type="http://schemas.openxmlformats.org/officeDocument/2006/relationships/hyperlink" Target="http://secrets.rutgers.edu:8080/data/asl-ftp/asllvd/demos/verify_start_end_handshape_annotations//test_auto_move//signs_mov_separ_signers/Liz_5693.mov" TargetMode="External"/><Relationship Id="rId17139" Type="http://schemas.openxmlformats.org/officeDocument/2006/relationships/hyperlink" Target="http://csr.bu.edu/ftp/asl/asllvd/demos/verify_start_end_handshape_annotations//test_auto_move//signs_mov_separ_signers/Liz_16435.mov" TargetMode="External"/><Relationship Id="rId17140" Type="http://schemas.openxmlformats.org/officeDocument/2006/relationships/hyperlink" Target="http://secrets.rutgers.edu:8080/data/asl-ftp/asllvd/demos/verify_start_end_handshape_annotations//test_auto_move//signs_mov_separ_signers/Liz_16435.mov" TargetMode="External"/><Relationship Id="rId17141" Type="http://schemas.openxmlformats.org/officeDocument/2006/relationships/hyperlink" Target="http://csr.bu.edu/ftp/asl/asllvd/demos/verify_start_end_handshape_annotations//test_auto_move//signs_mov/16568_16569_merged.mov" TargetMode="External"/><Relationship Id="rId17142" Type="http://schemas.openxmlformats.org/officeDocument/2006/relationships/hyperlink" Target="http://csr.bu.edu/ftp/asl/asllvd/demos/verify_start_end_handshape_annotations//test_auto_move//signs_mov_separ_signers/Brady_16568.mov" TargetMode="External"/><Relationship Id="rId17143" Type="http://schemas.openxmlformats.org/officeDocument/2006/relationships/hyperlink" Target="http://secrets.rutgers.edu:8080/data/asl-ftp/asllvd/demos/verify_start_end_handshape_annotations//test_auto_move//signs_mov/16568_16569_merged.mov" TargetMode="External"/><Relationship Id="rId17144" Type="http://schemas.openxmlformats.org/officeDocument/2006/relationships/hyperlink" Target="http://secrets.rutgers.edu:8080/data/asl-ftp/asllvd/demos/verify_start_end_handshape_annotations//test_auto_move//signs_mov_separ_signers/Brady_16568.mov" TargetMode="External"/><Relationship Id="rId17145" Type="http://schemas.openxmlformats.org/officeDocument/2006/relationships/hyperlink" Target="http://csr.bu.edu/ftp/asl/asllvd/demos/verify_start_end_handshape_annotations//test_auto_move//signs_mov_separ_signers/Brady_16569.mov" TargetMode="External"/><Relationship Id="rId17146" Type="http://schemas.openxmlformats.org/officeDocument/2006/relationships/hyperlink" Target="http://secrets.rutgers.edu:8080/data/asl-ftp/asllvd/demos/verify_start_end_handshape_annotations//test_auto_move//signs_mov_separ_signers/Brady_16569.mov" TargetMode="External"/><Relationship Id="rId17147" Type="http://schemas.openxmlformats.org/officeDocument/2006/relationships/hyperlink" Target="http://csr.bu.edu/ftp/asl/asllvd/demos/verify_start_end_handshape_annotations//test_auto_move//signs_mov/2314.mov" TargetMode="External"/><Relationship Id="rId17148" Type="http://schemas.openxmlformats.org/officeDocument/2006/relationships/hyperlink" Target="http://csr.bu.edu/ftp/asl/asllvd/demos/verify_start_end_handshape_annotations//test_auto_move//signs_mov_separ_signers/Liz_2314.mov" TargetMode="External"/><Relationship Id="rId17149" Type="http://schemas.openxmlformats.org/officeDocument/2006/relationships/hyperlink" Target="http://secrets.rutgers.edu:8080/data/asl-ftp/asllvd/demos/verify_start_end_handshape_annotations//test_auto_move//signs_mov/2314.mov" TargetMode="External"/><Relationship Id="rId17150" Type="http://schemas.openxmlformats.org/officeDocument/2006/relationships/hyperlink" Target="http://secrets.rutgers.edu:8080/data/asl-ftp/asllvd/demos/verify_start_end_handshape_annotations//test_auto_move//signs_mov_separ_signers/Liz_2314.mov" TargetMode="External"/><Relationship Id="rId17151" Type="http://schemas.openxmlformats.org/officeDocument/2006/relationships/hyperlink" Target="http://csr.bu.edu/ftp/asl/asllvd/demos/verify_start_end_handshape_annotations//test_auto_move//signs_mov_separ_signers/Brady_2314.mov" TargetMode="External"/><Relationship Id="rId17152" Type="http://schemas.openxmlformats.org/officeDocument/2006/relationships/hyperlink" Target="http://secrets.rutgers.edu:8080/data/asl-ftp/asllvd/demos/verify_start_end_handshape_annotations//test_auto_move//signs_mov_separ_signers/Brady_2314.mov" TargetMode="External"/><Relationship Id="rId17153" Type="http://schemas.openxmlformats.org/officeDocument/2006/relationships/hyperlink" Target="http://csr.bu.edu/ftp/asl/asllvd/demos/verify_start_end_handshape_annotations//test_auto_move//signs_mov/2315.mov" TargetMode="External"/><Relationship Id="rId17154" Type="http://schemas.openxmlformats.org/officeDocument/2006/relationships/hyperlink" Target="http://csr.bu.edu/ftp/asl/asllvd/demos/verify_start_end_handshape_annotations//test_auto_move//signs_mov_separ_signers/Brady_2315.mov" TargetMode="External"/><Relationship Id="rId17155" Type="http://schemas.openxmlformats.org/officeDocument/2006/relationships/hyperlink" Target="http://secrets.rutgers.edu:8080/data/asl-ftp/asllvd/demos/verify_start_end_handshape_annotations//test_auto_move//signs_mov/2315.mov" TargetMode="External"/><Relationship Id="rId17156" Type="http://schemas.openxmlformats.org/officeDocument/2006/relationships/hyperlink" Target="http://secrets.rutgers.edu:8080/data/asl-ftp/asllvd/demos/verify_start_end_handshape_annotations//test_auto_move//signs_mov_separ_signers/Brady_2315.mov" TargetMode="External"/><Relationship Id="rId17157" Type="http://schemas.openxmlformats.org/officeDocument/2006/relationships/hyperlink" Target="http://csr.bu.edu/ftp/asl/asllvd/demos/verify_start_end_handshape_annotations//test_auto_move//signs_mov/16294.mov" TargetMode="External"/><Relationship Id="rId17158" Type="http://schemas.openxmlformats.org/officeDocument/2006/relationships/hyperlink" Target="http://csr.bu.edu/ftp/asl/asllvd/demos/verify_start_end_handshape_annotations//test_auto_move//signs_mov_separ_signers/Liz_16294.mov" TargetMode="External"/><Relationship Id="rId17159" Type="http://schemas.openxmlformats.org/officeDocument/2006/relationships/hyperlink" Target="http://secrets.rutgers.edu:8080/data/asl-ftp/asllvd/demos/verify_start_end_handshape_annotations//test_auto_move//signs_mov/16294.mov" TargetMode="External"/><Relationship Id="rId17160" Type="http://schemas.openxmlformats.org/officeDocument/2006/relationships/hyperlink" Target="http://secrets.rutgers.edu:8080/data/asl-ftp/asllvd/demos/verify_start_end_handshape_annotations//test_auto_move//signs_mov_separ_signers/Liz_16294.mov" TargetMode="External"/><Relationship Id="rId17161" Type="http://schemas.openxmlformats.org/officeDocument/2006/relationships/hyperlink" Target="http://csr.bu.edu/ftp/asl/asllvd/demos/verify_start_end_handshape_annotations//test_auto_move//signs_mov/2316.mov" TargetMode="External"/><Relationship Id="rId17162" Type="http://schemas.openxmlformats.org/officeDocument/2006/relationships/hyperlink" Target="http://csr.bu.edu/ftp/asl/asllvd/demos/verify_start_end_handshape_annotations//test_auto_move//signs_mov_separ_signers/Liz_2316.mov" TargetMode="External"/><Relationship Id="rId17163" Type="http://schemas.openxmlformats.org/officeDocument/2006/relationships/hyperlink" Target="http://secrets.rutgers.edu:8080/data/asl-ftp/asllvd/demos/verify_start_end_handshape_annotations//test_auto_move//signs_mov/2316.mov" TargetMode="External"/><Relationship Id="rId17164" Type="http://schemas.openxmlformats.org/officeDocument/2006/relationships/hyperlink" Target="http://secrets.rutgers.edu:8080/data/asl-ftp/asllvd/demos/verify_start_end_handshape_annotations//test_auto_move//signs_mov_separ_signers/Liz_2316.mov" TargetMode="External"/><Relationship Id="rId17165" Type="http://schemas.openxmlformats.org/officeDocument/2006/relationships/hyperlink" Target="http://csr.bu.edu/ftp/asl/asllvd/demos/verify_start_end_handshape_annotations//test_auto_move//signs_mov_separ_signers/Brady_2316.mov" TargetMode="External"/><Relationship Id="rId17166" Type="http://schemas.openxmlformats.org/officeDocument/2006/relationships/hyperlink" Target="http://secrets.rutgers.edu:8080/data/asl-ftp/asllvd/demos/verify_start_end_handshape_annotations//test_auto_move//signs_mov_separ_signers/Brady_2316.mov" TargetMode="External"/><Relationship Id="rId17167" Type="http://schemas.openxmlformats.org/officeDocument/2006/relationships/hyperlink" Target="http://csr.bu.edu/ftp/asl/asllvd/demos/verify_start_end_handshape_annotations//test_auto_move//signs_mov_separ_signers/Liz_2317.mov" TargetMode="External"/><Relationship Id="rId17168" Type="http://schemas.openxmlformats.org/officeDocument/2006/relationships/hyperlink" Target="http://secrets.rutgers.edu:8080/data/asl-ftp/asllvd/demos/verify_start_end_handshape_annotations//test_auto_move//signs_mov_separ_signers/Liz_2317.mov" TargetMode="External"/><Relationship Id="rId17169" Type="http://schemas.openxmlformats.org/officeDocument/2006/relationships/hyperlink" Target="http://csr.bu.edu/ftp/asl/asllvd/demos/verify_start_end_handshape_annotations//test_auto_move//signs_mov/2317.mov" TargetMode="External"/><Relationship Id="rId17170" Type="http://schemas.openxmlformats.org/officeDocument/2006/relationships/hyperlink" Target="http://csr.bu.edu/ftp/asl/asllvd/demos/verify_start_end_handshape_annotations//test_auto_move//signs_mov_separ_signers/Brady_2317.mov" TargetMode="External"/><Relationship Id="rId17171" Type="http://schemas.openxmlformats.org/officeDocument/2006/relationships/hyperlink" Target="http://secrets.rutgers.edu:8080/data/asl-ftp/asllvd/demos/verify_start_end_handshape_annotations//test_auto_move//signs_mov/2317.mov" TargetMode="External"/><Relationship Id="rId17172" Type="http://schemas.openxmlformats.org/officeDocument/2006/relationships/hyperlink" Target="http://secrets.rutgers.edu:8080/data/asl-ftp/asllvd/demos/verify_start_end_handshape_annotations//test_auto_move//signs_mov_separ_signers/Brady_2317.mov" TargetMode="External"/><Relationship Id="rId17173" Type="http://schemas.openxmlformats.org/officeDocument/2006/relationships/hyperlink" Target="http://csr.bu.edu/ftp/asl/asllvd/demos/verify_start_end_handshape_annotations//test_auto_move//signs_mov_separ_signers/Lana_2317.mov" TargetMode="External"/><Relationship Id="rId17174" Type="http://schemas.openxmlformats.org/officeDocument/2006/relationships/hyperlink" Target="http://secrets.rutgers.edu:8080/data/asl-ftp/asllvd/demos/verify_start_end_handshape_annotations//test_auto_move//signs_mov_separ_signers/Lana_2317.mov" TargetMode="External"/><Relationship Id="rId17175" Type="http://schemas.openxmlformats.org/officeDocument/2006/relationships/hyperlink" Target="http://csr.bu.edu/ftp/asl/asllvd/demos/verify_start_end_handshape_annotations//test_auto_move//signs_mov_separ_signers/Dana_2317.mov" TargetMode="External"/><Relationship Id="rId17176" Type="http://schemas.openxmlformats.org/officeDocument/2006/relationships/hyperlink" Target="http://secrets.rutgers.edu:8080/data/asl-ftp/asllvd/demos/verify_start_end_handshape_annotations//test_auto_move//signs_mov_separ_signers/Dana_2317.mov" TargetMode="External"/><Relationship Id="rId17177" Type="http://schemas.openxmlformats.org/officeDocument/2006/relationships/hyperlink" Target="http://csr.bu.edu/ftp/asl/asllvd/demos/verify_start_end_handshape_annotations//test_auto_move//signs_mov/2319.mov" TargetMode="External"/><Relationship Id="rId17178" Type="http://schemas.openxmlformats.org/officeDocument/2006/relationships/hyperlink" Target="http://csr.bu.edu/ftp/asl/asllvd/demos/verify_start_end_handshape_annotations//test_auto_move//signs_mov_separ_signers/Liz_2319.mov" TargetMode="External"/><Relationship Id="rId17179" Type="http://schemas.openxmlformats.org/officeDocument/2006/relationships/hyperlink" Target="http://secrets.rutgers.edu:8080/data/asl-ftp/asllvd/demos/verify_start_end_handshape_annotations//test_auto_move//signs_mov/2319.mov" TargetMode="External"/><Relationship Id="rId17180" Type="http://schemas.openxmlformats.org/officeDocument/2006/relationships/hyperlink" Target="http://secrets.rutgers.edu:8080/data/asl-ftp/asllvd/demos/verify_start_end_handshape_annotations//test_auto_move//signs_mov_separ_signers/Liz_2319.mov" TargetMode="External"/><Relationship Id="rId17181" Type="http://schemas.openxmlformats.org/officeDocument/2006/relationships/hyperlink" Target="http://csr.bu.edu/ftp/asl/asllvd/demos/verify_start_end_handshape_annotations//test_auto_move//signs_mov_separ_signers/Brady_2319.mov" TargetMode="External"/><Relationship Id="rId17182" Type="http://schemas.openxmlformats.org/officeDocument/2006/relationships/hyperlink" Target="http://secrets.rutgers.edu:8080/data/asl-ftp/asllvd/demos/verify_start_end_handshape_annotations//test_auto_move//signs_mov_separ_signers/Brady_2319.mov" TargetMode="External"/><Relationship Id="rId17183" Type="http://schemas.openxmlformats.org/officeDocument/2006/relationships/hyperlink" Target="http://csr.bu.edu/ftp/asl/asllvd/demos/verify_start_end_handshape_annotations//test_auto_move//signs_mov/15820.mov" TargetMode="External"/><Relationship Id="rId17184" Type="http://schemas.openxmlformats.org/officeDocument/2006/relationships/hyperlink" Target="http://csr.bu.edu/ftp/asl/asllvd/demos/verify_start_end_handshape_annotations//test_auto_move//signs_mov_separ_signers/Liz_15820.mov" TargetMode="External"/><Relationship Id="rId17185" Type="http://schemas.openxmlformats.org/officeDocument/2006/relationships/hyperlink" Target="http://secrets.rutgers.edu:8080/data/asl-ftp/asllvd/demos/verify_start_end_handshape_annotations//test_auto_move//signs_mov/15820.mov" TargetMode="External"/><Relationship Id="rId17186" Type="http://schemas.openxmlformats.org/officeDocument/2006/relationships/hyperlink" Target="http://secrets.rutgers.edu:8080/data/asl-ftp/asllvd/demos/verify_start_end_handshape_annotations//test_auto_move//signs_mov_separ_signers/Liz_15820.mov" TargetMode="External"/><Relationship Id="rId17187" Type="http://schemas.openxmlformats.org/officeDocument/2006/relationships/hyperlink" Target="http://csr.bu.edu/ftp/asl/asllvd/demos/verify_start_end_handshape_annotations//test_auto_move//signs_mov_separ_signers/Brady_15820.mov" TargetMode="External"/><Relationship Id="rId17188" Type="http://schemas.openxmlformats.org/officeDocument/2006/relationships/hyperlink" Target="http://secrets.rutgers.edu:8080/data/asl-ftp/asllvd/demos/verify_start_end_handshape_annotations//test_auto_move//signs_mov_separ_signers/Brady_15820.mov" TargetMode="External"/><Relationship Id="rId17189" Type="http://schemas.openxmlformats.org/officeDocument/2006/relationships/hyperlink" Target="http://csr.bu.edu/ftp/asl/asllvd/demos/verify_start_end_handshape_annotations//test_auto_move//signs_mov/2320.mov" TargetMode="External"/><Relationship Id="rId17190" Type="http://schemas.openxmlformats.org/officeDocument/2006/relationships/hyperlink" Target="http://csr.bu.edu/ftp/asl/asllvd/demos/verify_start_end_handshape_annotations//test_auto_move//signs_mov_separ_signers/Liz_2320.mov" TargetMode="External"/><Relationship Id="rId17191" Type="http://schemas.openxmlformats.org/officeDocument/2006/relationships/hyperlink" Target="http://secrets.rutgers.edu:8080/data/asl-ftp/asllvd/demos/verify_start_end_handshape_annotations//test_auto_move//signs_mov/2320.mov" TargetMode="External"/><Relationship Id="rId17192" Type="http://schemas.openxmlformats.org/officeDocument/2006/relationships/hyperlink" Target="http://secrets.rutgers.edu:8080/data/asl-ftp/asllvd/demos/verify_start_end_handshape_annotations//test_auto_move//signs_mov_separ_signers/Liz_2320.mov" TargetMode="External"/><Relationship Id="rId17193" Type="http://schemas.openxmlformats.org/officeDocument/2006/relationships/hyperlink" Target="http://csr.bu.edu/ftp/asl/asllvd/demos/verify_start_end_handshape_annotations//test_auto_move//signs_mov/16318.mov" TargetMode="External"/><Relationship Id="rId17194" Type="http://schemas.openxmlformats.org/officeDocument/2006/relationships/hyperlink" Target="http://csr.bu.edu/ftp/asl/asllvd/demos/verify_start_end_handshape_annotations//test_auto_move//signs_mov_separ_signers/Brady_16318.mov" TargetMode="External"/><Relationship Id="rId17195" Type="http://schemas.openxmlformats.org/officeDocument/2006/relationships/hyperlink" Target="http://secrets.rutgers.edu:8080/data/asl-ftp/asllvd/demos/verify_start_end_handshape_annotations//test_auto_move//signs_mov/16318.mov" TargetMode="External"/><Relationship Id="rId17196" Type="http://schemas.openxmlformats.org/officeDocument/2006/relationships/hyperlink" Target="http://secrets.rutgers.edu:8080/data/asl-ftp/asllvd/demos/verify_start_end_handshape_annotations//test_auto_move//signs_mov_separ_signers/Brady_16318.mov" TargetMode="External"/><Relationship Id="rId17197" Type="http://schemas.openxmlformats.org/officeDocument/2006/relationships/hyperlink" Target="http://csr.bu.edu/ftp/asl/asllvd/demos/verify_start_end_handshape_annotations//test_auto_move//signs_mov/16330.mov" TargetMode="External"/><Relationship Id="rId17198" Type="http://schemas.openxmlformats.org/officeDocument/2006/relationships/hyperlink" Target="http://csr.bu.edu/ftp/asl/asllvd/demos/verify_start_end_handshape_annotations//test_auto_move//signs_mov_separ_signers/Brady_16330.mov" TargetMode="External"/><Relationship Id="rId17199" Type="http://schemas.openxmlformats.org/officeDocument/2006/relationships/hyperlink" Target="http://secrets.rutgers.edu:8080/data/asl-ftp/asllvd/demos/verify_start_end_handshape_annotations//test_auto_move//signs_mov/16330.mov" TargetMode="External"/><Relationship Id="rId17200" Type="http://schemas.openxmlformats.org/officeDocument/2006/relationships/hyperlink" Target="http://secrets.rutgers.edu:8080/data/asl-ftp/asllvd/demos/verify_start_end_handshape_annotations//test_auto_move//signs_mov_separ_signers/Brady_16330.mov" TargetMode="External"/><Relationship Id="rId17201" Type="http://schemas.openxmlformats.org/officeDocument/2006/relationships/hyperlink" Target="http://csr.bu.edu/ftp/asl/asllvd/demos/verify_start_end_handshape_annotations//test_auto_move//signs_mov/2326.mov" TargetMode="External"/><Relationship Id="rId17202" Type="http://schemas.openxmlformats.org/officeDocument/2006/relationships/hyperlink" Target="http://csr.bu.edu/ftp/asl/asllvd/demos/verify_start_end_handshape_annotations//test_auto_move//signs_mov_separ_signers/Liz_2326.mov" TargetMode="External"/><Relationship Id="rId17203" Type="http://schemas.openxmlformats.org/officeDocument/2006/relationships/hyperlink" Target="http://secrets.rutgers.edu:8080/data/asl-ftp/asllvd/demos/verify_start_end_handshape_annotations//test_auto_move//signs_mov/2326.mov" TargetMode="External"/><Relationship Id="rId17204" Type="http://schemas.openxmlformats.org/officeDocument/2006/relationships/hyperlink" Target="http://secrets.rutgers.edu:8080/data/asl-ftp/asllvd/demos/verify_start_end_handshape_annotations//test_auto_move//signs_mov_separ_signers/Liz_2326.mov" TargetMode="External"/><Relationship Id="rId17205" Type="http://schemas.openxmlformats.org/officeDocument/2006/relationships/hyperlink" Target="http://csr.bu.edu/ftp/asl/asllvd/demos/verify_start_end_handshape_annotations//test_auto_move//signs_mov_separ_signers/Brady_2326.mov" TargetMode="External"/><Relationship Id="rId17206" Type="http://schemas.openxmlformats.org/officeDocument/2006/relationships/hyperlink" Target="http://secrets.rutgers.edu:8080/data/asl-ftp/asllvd/demos/verify_start_end_handshape_annotations//test_auto_move//signs_mov_separ_signers/Brady_2326.mov" TargetMode="External"/><Relationship Id="rId17207" Type="http://schemas.openxmlformats.org/officeDocument/2006/relationships/hyperlink" Target="http://csr.bu.edu/ftp/asl/asllvd/demos/verify_start_end_handshape_annotations//test_auto_move//signs_mov_separ_signers/Liz_2327.mov" TargetMode="External"/><Relationship Id="rId17208" Type="http://schemas.openxmlformats.org/officeDocument/2006/relationships/hyperlink" Target="http://secrets.rutgers.edu:8080/data/asl-ftp/asllvd/demos/verify_start_end_handshape_annotations//test_auto_move//signs_mov_separ_signers/Liz_2327.mov" TargetMode="External"/><Relationship Id="rId17209" Type="http://schemas.openxmlformats.org/officeDocument/2006/relationships/hyperlink" Target="http://csr.bu.edu/ftp/asl/asllvd/demos/verify_start_end_handshape_annotations//test_auto_move//signs_mov/2327_3997_5353_merged.mov" TargetMode="External"/><Relationship Id="rId17210" Type="http://schemas.openxmlformats.org/officeDocument/2006/relationships/hyperlink" Target="http://csr.bu.edu/ftp/asl/asllvd/demos/verify_start_end_handshape_annotations//test_auto_move//signs_mov_separ_signers/Brady_2327.mov" TargetMode="External"/><Relationship Id="rId17211" Type="http://schemas.openxmlformats.org/officeDocument/2006/relationships/hyperlink" Target="http://secrets.rutgers.edu:8080/data/asl-ftp/asllvd/demos/verify_start_end_handshape_annotations//test_auto_move//signs_mov/2327_3997_5353_merged.mov" TargetMode="External"/><Relationship Id="rId17212" Type="http://schemas.openxmlformats.org/officeDocument/2006/relationships/hyperlink" Target="http://secrets.rutgers.edu:8080/data/asl-ftp/asllvd/demos/verify_start_end_handshape_annotations//test_auto_move//signs_mov_separ_signers/Brady_2327.mov" TargetMode="External"/><Relationship Id="rId17213" Type="http://schemas.openxmlformats.org/officeDocument/2006/relationships/hyperlink" Target="http://csr.bu.edu/ftp/asl/asllvd/demos/verify_start_end_handshape_annotations//test_auto_move//signs_mov_separ_signers/Brady_3997.mov" TargetMode="External"/><Relationship Id="rId17214" Type="http://schemas.openxmlformats.org/officeDocument/2006/relationships/hyperlink" Target="http://secrets.rutgers.edu:8080/data/asl-ftp/asllvd/demos/verify_start_end_handshape_annotations//test_auto_move//signs_mov_separ_signers/Brady_3997.mov" TargetMode="External"/><Relationship Id="rId17215" Type="http://schemas.openxmlformats.org/officeDocument/2006/relationships/hyperlink" Target="http://csr.bu.edu/ftp/asl/asllvd/demos/verify_start_end_handshape_annotations//test_auto_move//signs_mov_separ_signers/Brady_5353.mov" TargetMode="External"/><Relationship Id="rId17216" Type="http://schemas.openxmlformats.org/officeDocument/2006/relationships/hyperlink" Target="http://secrets.rutgers.edu:8080/data/asl-ftp/asllvd/demos/verify_start_end_handshape_annotations//test_auto_move//signs_mov_separ_signers/Brady_5353.mov" TargetMode="External"/><Relationship Id="rId17217" Type="http://schemas.openxmlformats.org/officeDocument/2006/relationships/hyperlink" Target="http://csr.bu.edu/ftp/asl/asllvd/demos/verify_start_end_handshape_annotations//test_auto_move//signs_mov/2328.mov" TargetMode="External"/><Relationship Id="rId17218" Type="http://schemas.openxmlformats.org/officeDocument/2006/relationships/hyperlink" Target="http://csr.bu.edu/ftp/asl/asllvd/demos/verify_start_end_handshape_annotations//test_auto_move//signs_mov_separ_signers/Liz_2328.mov" TargetMode="External"/><Relationship Id="rId17219" Type="http://schemas.openxmlformats.org/officeDocument/2006/relationships/hyperlink" Target="http://secrets.rutgers.edu:8080/data/asl-ftp/asllvd/demos/verify_start_end_handshape_annotations//test_auto_move//signs_mov/2328.mov" TargetMode="External"/><Relationship Id="rId17220" Type="http://schemas.openxmlformats.org/officeDocument/2006/relationships/hyperlink" Target="http://secrets.rutgers.edu:8080/data/asl-ftp/asllvd/demos/verify_start_end_handshape_annotations//test_auto_move//signs_mov_separ_signers/Liz_2328.mov" TargetMode="External"/><Relationship Id="rId17221" Type="http://schemas.openxmlformats.org/officeDocument/2006/relationships/hyperlink" Target="http://csr.bu.edu/ftp/asl/asllvd/demos/verify_start_end_handshape_annotations//test_auto_move//signs_mov_separ_signers/Brady_2328.mov" TargetMode="External"/><Relationship Id="rId17222" Type="http://schemas.openxmlformats.org/officeDocument/2006/relationships/hyperlink" Target="http://secrets.rutgers.edu:8080/data/asl-ftp/asllvd/demos/verify_start_end_handshape_annotations//test_auto_move//signs_mov_separ_signers/Brady_2328.mov" TargetMode="External"/><Relationship Id="rId17223" Type="http://schemas.openxmlformats.org/officeDocument/2006/relationships/hyperlink" Target="http://csr.bu.edu/ftp/asl/asllvd/demos/verify_start_end_handshape_annotations//test_auto_move//signs_mov/2330.mov" TargetMode="External"/><Relationship Id="rId17224" Type="http://schemas.openxmlformats.org/officeDocument/2006/relationships/hyperlink" Target="http://csr.bu.edu/ftp/asl/asllvd/demos/verify_start_end_handshape_annotations//test_auto_move//signs_mov_separ_signers/Liz_2330.mov" TargetMode="External"/><Relationship Id="rId17225" Type="http://schemas.openxmlformats.org/officeDocument/2006/relationships/hyperlink" Target="http://secrets.rutgers.edu:8080/data/asl-ftp/asllvd/demos/verify_start_end_handshape_annotations//test_auto_move//signs_mov/2330.mov" TargetMode="External"/><Relationship Id="rId17226" Type="http://schemas.openxmlformats.org/officeDocument/2006/relationships/hyperlink" Target="http://secrets.rutgers.edu:8080/data/asl-ftp/asllvd/demos/verify_start_end_handshape_annotations//test_auto_move//signs_mov_separ_signers/Liz_2330.mov" TargetMode="External"/><Relationship Id="rId17227" Type="http://schemas.openxmlformats.org/officeDocument/2006/relationships/hyperlink" Target="http://csr.bu.edu/ftp/asl/asllvd/demos/verify_start_end_handshape_annotations//test_auto_move//signs_mov_separ_signers/Brady_2330.mov" TargetMode="External"/><Relationship Id="rId17228" Type="http://schemas.openxmlformats.org/officeDocument/2006/relationships/hyperlink" Target="http://secrets.rutgers.edu:8080/data/asl-ftp/asllvd/demos/verify_start_end_handshape_annotations//test_auto_move//signs_mov_separ_signers/Brady_2330.mov" TargetMode="External"/><Relationship Id="rId17229" Type="http://schemas.openxmlformats.org/officeDocument/2006/relationships/hyperlink" Target="http://csr.bu.edu/ftp/asl/asllvd/demos/verify_start_end_handshape_annotations//test_auto_move//signs_mov/2332.mov" TargetMode="External"/><Relationship Id="rId17230" Type="http://schemas.openxmlformats.org/officeDocument/2006/relationships/hyperlink" Target="http://csr.bu.edu/ftp/asl/asllvd/demos/verify_start_end_handshape_annotations//test_auto_move//signs_mov_separ_signers/Liz_2332.mov" TargetMode="External"/><Relationship Id="rId17231" Type="http://schemas.openxmlformats.org/officeDocument/2006/relationships/hyperlink" Target="http://secrets.rutgers.edu:8080/data/asl-ftp/asllvd/demos/verify_start_end_handshape_annotations//test_auto_move//signs_mov/2332.mov" TargetMode="External"/><Relationship Id="rId17232" Type="http://schemas.openxmlformats.org/officeDocument/2006/relationships/hyperlink" Target="http://secrets.rutgers.edu:8080/data/asl-ftp/asllvd/demos/verify_start_end_handshape_annotations//test_auto_move//signs_mov_separ_signers/Liz_2332.mov" TargetMode="External"/><Relationship Id="rId17233" Type="http://schemas.openxmlformats.org/officeDocument/2006/relationships/hyperlink" Target="http://csr.bu.edu/ftp/asl/asllvd/demos/verify_start_end_handshape_annotations//test_auto_move//signs_mov_separ_signers/Brady_2332.mov" TargetMode="External"/><Relationship Id="rId17234" Type="http://schemas.openxmlformats.org/officeDocument/2006/relationships/hyperlink" Target="http://secrets.rutgers.edu:8080/data/asl-ftp/asllvd/demos/verify_start_end_handshape_annotations//test_auto_move//signs_mov_separ_signers/Brady_2332.mov" TargetMode="External"/><Relationship Id="rId17235" Type="http://schemas.openxmlformats.org/officeDocument/2006/relationships/hyperlink" Target="http://csr.bu.edu/ftp/asl/asllvd/demos/verify_start_end_handshape_annotations//test_auto_move//signs_mov/2335.mov" TargetMode="External"/><Relationship Id="rId17236" Type="http://schemas.openxmlformats.org/officeDocument/2006/relationships/hyperlink" Target="http://csr.bu.edu/ftp/asl/asllvd/demos/verify_start_end_handshape_annotations//test_auto_move//signs_mov_separ_signers/Liz_2335.mov" TargetMode="External"/><Relationship Id="rId17237" Type="http://schemas.openxmlformats.org/officeDocument/2006/relationships/hyperlink" Target="http://secrets.rutgers.edu:8080/data/asl-ftp/asllvd/demos/verify_start_end_handshape_annotations//test_auto_move//signs_mov/2335.mov" TargetMode="External"/><Relationship Id="rId17238" Type="http://schemas.openxmlformats.org/officeDocument/2006/relationships/hyperlink" Target="http://secrets.rutgers.edu:8080/data/asl-ftp/asllvd/demos/verify_start_end_handshape_annotations//test_auto_move//signs_mov_separ_signers/Liz_2335.mov" TargetMode="External"/><Relationship Id="rId17239" Type="http://schemas.openxmlformats.org/officeDocument/2006/relationships/hyperlink" Target="http://csr.bu.edu/ftp/asl/asllvd/demos/verify_start_end_handshape_annotations//test_auto_move//signs_mov_separ_signers/Brady_2335.mov" TargetMode="External"/><Relationship Id="rId17240" Type="http://schemas.openxmlformats.org/officeDocument/2006/relationships/hyperlink" Target="http://secrets.rutgers.edu:8080/data/asl-ftp/asllvd/demos/verify_start_end_handshape_annotations//test_auto_move//signs_mov_separ_signers/Brady_2335.mov" TargetMode="External"/><Relationship Id="rId17241" Type="http://schemas.openxmlformats.org/officeDocument/2006/relationships/hyperlink" Target="http://csr.bu.edu/ftp/asl/asllvd/demos/verify_start_end_handshape_annotations//test_auto_move//signs_mov/2337.mov" TargetMode="External"/><Relationship Id="rId17242" Type="http://schemas.openxmlformats.org/officeDocument/2006/relationships/hyperlink" Target="http://csr.bu.edu/ftp/asl/asllvd/demos/verify_start_end_handshape_annotations//test_auto_move//signs_mov_separ_signers/Liz_2337.mov" TargetMode="External"/><Relationship Id="rId17243" Type="http://schemas.openxmlformats.org/officeDocument/2006/relationships/hyperlink" Target="http://secrets.rutgers.edu:8080/data/asl-ftp/asllvd/demos/verify_start_end_handshape_annotations//test_auto_move//signs_mov/2337.mov" TargetMode="External"/><Relationship Id="rId17244" Type="http://schemas.openxmlformats.org/officeDocument/2006/relationships/hyperlink" Target="http://secrets.rutgers.edu:8080/data/asl-ftp/asllvd/demos/verify_start_end_handshape_annotations//test_auto_move//signs_mov_separ_signers/Liz_2337.mov" TargetMode="External"/><Relationship Id="rId17245" Type="http://schemas.openxmlformats.org/officeDocument/2006/relationships/hyperlink" Target="http://csr.bu.edu/ftp/asl/asllvd/demos/verify_start_end_handshape_annotations//test_auto_move//signs_mov_separ_signers/Brady_2337.mov" TargetMode="External"/><Relationship Id="rId17246" Type="http://schemas.openxmlformats.org/officeDocument/2006/relationships/hyperlink" Target="http://secrets.rutgers.edu:8080/data/asl-ftp/asllvd/demos/verify_start_end_handshape_annotations//test_auto_move//signs_mov_separ_signers/Brady_2337.mov" TargetMode="External"/><Relationship Id="rId17247" Type="http://schemas.openxmlformats.org/officeDocument/2006/relationships/hyperlink" Target="http://csr.bu.edu/ftp/asl/asllvd/demos/verify_start_end_handshape_annotations//test_auto_move//signs_mov/2338.mov" TargetMode="External"/><Relationship Id="rId17248" Type="http://schemas.openxmlformats.org/officeDocument/2006/relationships/hyperlink" Target="http://csr.bu.edu/ftp/asl/asllvd/demos/verify_start_end_handshape_annotations//test_auto_move//signs_mov_separ_signers/Liz_2338.mov" TargetMode="External"/><Relationship Id="rId17249" Type="http://schemas.openxmlformats.org/officeDocument/2006/relationships/hyperlink" Target="http://secrets.rutgers.edu:8080/data/asl-ftp/asllvd/demos/verify_start_end_handshape_annotations//test_auto_move//signs_mov/2338.mov" TargetMode="External"/><Relationship Id="rId17250" Type="http://schemas.openxmlformats.org/officeDocument/2006/relationships/hyperlink" Target="http://secrets.rutgers.edu:8080/data/asl-ftp/asllvd/demos/verify_start_end_handshape_annotations//test_auto_move//signs_mov_separ_signers/Liz_2338.mov" TargetMode="External"/><Relationship Id="rId17251" Type="http://schemas.openxmlformats.org/officeDocument/2006/relationships/hyperlink" Target="http://csr.bu.edu/ftp/asl/asllvd/demos/verify_start_end_handshape_annotations//test_auto_move//signs_mov_separ_signers/Brady_2338.mov" TargetMode="External"/><Relationship Id="rId17252" Type="http://schemas.openxmlformats.org/officeDocument/2006/relationships/hyperlink" Target="http://secrets.rutgers.edu:8080/data/asl-ftp/asllvd/demos/verify_start_end_handshape_annotations//test_auto_move//signs_mov_separ_signers/Brady_2338.mov" TargetMode="External"/><Relationship Id="rId17253" Type="http://schemas.openxmlformats.org/officeDocument/2006/relationships/hyperlink" Target="http://csr.bu.edu/ftp/asl/asllvd/demos/verify_start_end_handshape_annotations//test_auto_move//signs_mov/2341.mov" TargetMode="External"/><Relationship Id="rId17254" Type="http://schemas.openxmlformats.org/officeDocument/2006/relationships/hyperlink" Target="http://csr.bu.edu/ftp/asl/asllvd/demos/verify_start_end_handshape_annotations//test_auto_move//signs_mov_separ_signers/Liz_2341.mov" TargetMode="External"/><Relationship Id="rId17255" Type="http://schemas.openxmlformats.org/officeDocument/2006/relationships/hyperlink" Target="http://secrets.rutgers.edu:8080/data/asl-ftp/asllvd/demos/verify_start_end_handshape_annotations//test_auto_move//signs_mov/2341.mov" TargetMode="External"/><Relationship Id="rId17256" Type="http://schemas.openxmlformats.org/officeDocument/2006/relationships/hyperlink" Target="http://secrets.rutgers.edu:8080/data/asl-ftp/asllvd/demos/verify_start_end_handshape_annotations//test_auto_move//signs_mov_separ_signers/Liz_2341.mov" TargetMode="External"/><Relationship Id="rId17257" Type="http://schemas.openxmlformats.org/officeDocument/2006/relationships/hyperlink" Target="http://csr.bu.edu/ftp/asl/asllvd/demos/verify_start_end_handshape_annotations//test_auto_move//signs_mov_separ_signers/Brady_2341.mov" TargetMode="External"/><Relationship Id="rId17258" Type="http://schemas.openxmlformats.org/officeDocument/2006/relationships/hyperlink" Target="http://secrets.rutgers.edu:8080/data/asl-ftp/asllvd/demos/verify_start_end_handshape_annotations//test_auto_move//signs_mov_separ_signers/Brady_2341.mov" TargetMode="External"/><Relationship Id="rId17259" Type="http://schemas.openxmlformats.org/officeDocument/2006/relationships/hyperlink" Target="http://csr.bu.edu/ftp/asl/asllvd/demos/verify_start_end_handshape_annotations//test_auto_move//signs_mov/15827.mov" TargetMode="External"/><Relationship Id="rId17260" Type="http://schemas.openxmlformats.org/officeDocument/2006/relationships/hyperlink" Target="http://csr.bu.edu/ftp/asl/asllvd/demos/verify_start_end_handshape_annotations//test_auto_move//signs_mov_separ_signers/Liz_15827.mov" TargetMode="External"/><Relationship Id="rId17261" Type="http://schemas.openxmlformats.org/officeDocument/2006/relationships/hyperlink" Target="http://secrets.rutgers.edu:8080/data/asl-ftp/asllvd/demos/verify_start_end_handshape_annotations//test_auto_move//signs_mov/15827.mov" TargetMode="External"/><Relationship Id="rId17262" Type="http://schemas.openxmlformats.org/officeDocument/2006/relationships/hyperlink" Target="http://secrets.rutgers.edu:8080/data/asl-ftp/asllvd/demos/verify_start_end_handshape_annotations//test_auto_move//signs_mov_separ_signers/Liz_15827.mov" TargetMode="External"/><Relationship Id="rId17263" Type="http://schemas.openxmlformats.org/officeDocument/2006/relationships/hyperlink" Target="http://csr.bu.edu/ftp/asl/asllvd/demos/verify_start_end_handshape_annotations//test_auto_move//signs_mov_separ_signers/Brady_15827.mov" TargetMode="External"/><Relationship Id="rId17264" Type="http://schemas.openxmlformats.org/officeDocument/2006/relationships/hyperlink" Target="http://secrets.rutgers.edu:8080/data/asl-ftp/asllvd/demos/verify_start_end_handshape_annotations//test_auto_move//signs_mov_separ_signers/Brady_15827.mov" TargetMode="External"/><Relationship Id="rId17265" Type="http://schemas.openxmlformats.org/officeDocument/2006/relationships/hyperlink" Target="http://csr.bu.edu/ftp/asl/asllvd/demos/verify_start_end_handshape_annotations//test_auto_move//signs_mov/2342.mov" TargetMode="External"/><Relationship Id="rId17266" Type="http://schemas.openxmlformats.org/officeDocument/2006/relationships/hyperlink" Target="http://csr.bu.edu/ftp/asl/asllvd/demos/verify_start_end_handshape_annotations//test_auto_move//signs_mov_separ_signers/Liz_2342.mov" TargetMode="External"/><Relationship Id="rId17267" Type="http://schemas.openxmlformats.org/officeDocument/2006/relationships/hyperlink" Target="http://secrets.rutgers.edu:8080/data/asl-ftp/asllvd/demos/verify_start_end_handshape_annotations//test_auto_move//signs_mov/2342.mov" TargetMode="External"/><Relationship Id="rId17268" Type="http://schemas.openxmlformats.org/officeDocument/2006/relationships/hyperlink" Target="http://secrets.rutgers.edu:8080/data/asl-ftp/asllvd/demos/verify_start_end_handshape_annotations//test_auto_move//signs_mov_separ_signers/Liz_2342.mov" TargetMode="External"/><Relationship Id="rId17269" Type="http://schemas.openxmlformats.org/officeDocument/2006/relationships/hyperlink" Target="http://csr.bu.edu/ftp/asl/asllvd/demos/verify_start_end_handshape_annotations//test_auto_move//signs_mov_separ_signers/Brady_2342.mov" TargetMode="External"/><Relationship Id="rId17270" Type="http://schemas.openxmlformats.org/officeDocument/2006/relationships/hyperlink" Target="http://secrets.rutgers.edu:8080/data/asl-ftp/asllvd/demos/verify_start_end_handshape_annotations//test_auto_move//signs_mov_separ_signers/Brady_2342.mov" TargetMode="External"/><Relationship Id="rId17271" Type="http://schemas.openxmlformats.org/officeDocument/2006/relationships/hyperlink" Target="http://csr.bu.edu/ftp/asl/asllvd/demos/verify_start_end_handshape_annotations//test_auto_move//signs_mov/2343.mov" TargetMode="External"/><Relationship Id="rId17272" Type="http://schemas.openxmlformats.org/officeDocument/2006/relationships/hyperlink" Target="http://csr.bu.edu/ftp/asl/asllvd/demos/verify_start_end_handshape_annotations//test_auto_move//signs_mov_separ_signers/Liz_2343.mov" TargetMode="External"/><Relationship Id="rId17273" Type="http://schemas.openxmlformats.org/officeDocument/2006/relationships/hyperlink" Target="http://secrets.rutgers.edu:8080/data/asl-ftp/asllvd/demos/verify_start_end_handshape_annotations//test_auto_move//signs_mov/2343.mov" TargetMode="External"/><Relationship Id="rId17274" Type="http://schemas.openxmlformats.org/officeDocument/2006/relationships/hyperlink" Target="http://secrets.rutgers.edu:8080/data/asl-ftp/asllvd/demos/verify_start_end_handshape_annotations//test_auto_move//signs_mov_separ_signers/Liz_2343.mov" TargetMode="External"/><Relationship Id="rId17275" Type="http://schemas.openxmlformats.org/officeDocument/2006/relationships/hyperlink" Target="http://csr.bu.edu/ftp/asl/asllvd/demos/verify_start_end_handshape_annotations//test_auto_move//signs_mov_separ_signers/Brady_2343.mov" TargetMode="External"/><Relationship Id="rId17276" Type="http://schemas.openxmlformats.org/officeDocument/2006/relationships/hyperlink" Target="http://secrets.rutgers.edu:8080/data/asl-ftp/asllvd/demos/verify_start_end_handshape_annotations//test_auto_move//signs_mov_separ_signers/Brady_2343.mov" TargetMode="External"/><Relationship Id="rId17277" Type="http://schemas.openxmlformats.org/officeDocument/2006/relationships/hyperlink" Target="http://csr.bu.edu/ftp/asl/asllvd/demos/verify_start_end_handshape_annotations//test_auto_move//signs_mov/2345.mov" TargetMode="External"/><Relationship Id="rId17278" Type="http://schemas.openxmlformats.org/officeDocument/2006/relationships/hyperlink" Target="http://csr.bu.edu/ftp/asl/asllvd/demos/verify_start_end_handshape_annotations//test_auto_move//signs_mov_separ_signers/Liz_2345.mov" TargetMode="External"/><Relationship Id="rId17279" Type="http://schemas.openxmlformats.org/officeDocument/2006/relationships/hyperlink" Target="http://secrets.rutgers.edu:8080/data/asl-ftp/asllvd/demos/verify_start_end_handshape_annotations//test_auto_move//signs_mov/2345.mov" TargetMode="External"/><Relationship Id="rId17280" Type="http://schemas.openxmlformats.org/officeDocument/2006/relationships/hyperlink" Target="http://secrets.rutgers.edu:8080/data/asl-ftp/asllvd/demos/verify_start_end_handshape_annotations//test_auto_move//signs_mov_separ_signers/Liz_2345.mov" TargetMode="External"/><Relationship Id="rId17281" Type="http://schemas.openxmlformats.org/officeDocument/2006/relationships/hyperlink" Target="http://csr.bu.edu/ftp/asl/asllvd/demos/verify_start_end_handshape_annotations//test_auto_move//signs_mov_separ_signers/Brady_2345.mov" TargetMode="External"/><Relationship Id="rId17282" Type="http://schemas.openxmlformats.org/officeDocument/2006/relationships/hyperlink" Target="http://secrets.rutgers.edu:8080/data/asl-ftp/asllvd/demos/verify_start_end_handshape_annotations//test_auto_move//signs_mov_separ_signers/Brady_2345.mov" TargetMode="External"/><Relationship Id="rId17283" Type="http://schemas.openxmlformats.org/officeDocument/2006/relationships/hyperlink" Target="http://csr.bu.edu/ftp/asl/asllvd/demos/verify_start_end_handshape_annotations//test_auto_move//signs_mov/15809.mov" TargetMode="External"/><Relationship Id="rId17284" Type="http://schemas.openxmlformats.org/officeDocument/2006/relationships/hyperlink" Target="http://csr.bu.edu/ftp/asl/asllvd/demos/verify_start_end_handshape_annotations//test_auto_move//signs_mov_separ_signers/Liz_15809.mov" TargetMode="External"/><Relationship Id="rId17285" Type="http://schemas.openxmlformats.org/officeDocument/2006/relationships/hyperlink" Target="http://secrets.rutgers.edu:8080/data/asl-ftp/asllvd/demos/verify_start_end_handshape_annotations//test_auto_move//signs_mov/15809.mov" TargetMode="External"/><Relationship Id="rId17286" Type="http://schemas.openxmlformats.org/officeDocument/2006/relationships/hyperlink" Target="http://secrets.rutgers.edu:8080/data/asl-ftp/asllvd/demos/verify_start_end_handshape_annotations//test_auto_move//signs_mov_separ_signers/Liz_15809.mov" TargetMode="External"/><Relationship Id="rId17287" Type="http://schemas.openxmlformats.org/officeDocument/2006/relationships/hyperlink" Target="http://csr.bu.edu/ftp/asl/asllvd/demos/verify_start_end_handshape_annotations//test_auto_move//signs_mov/15889.mov" TargetMode="External"/><Relationship Id="rId17288" Type="http://schemas.openxmlformats.org/officeDocument/2006/relationships/hyperlink" Target="http://csr.bu.edu/ftp/asl/asllvd/demos/verify_start_end_handshape_annotations//test_auto_move//signs_mov_separ_signers/Brady_15889.mov" TargetMode="External"/><Relationship Id="rId17289" Type="http://schemas.openxmlformats.org/officeDocument/2006/relationships/hyperlink" Target="http://secrets.rutgers.edu:8080/data/asl-ftp/asllvd/demos/verify_start_end_handshape_annotations//test_auto_move//signs_mov/15889.mov" TargetMode="External"/><Relationship Id="rId17290" Type="http://schemas.openxmlformats.org/officeDocument/2006/relationships/hyperlink" Target="http://secrets.rutgers.edu:8080/data/asl-ftp/asllvd/demos/verify_start_end_handshape_annotations//test_auto_move//signs_mov_separ_signers/Brady_15889.mov" TargetMode="External"/><Relationship Id="rId17291" Type="http://schemas.openxmlformats.org/officeDocument/2006/relationships/hyperlink" Target="http://csr.bu.edu/ftp/asl/asllvd/demos/verify_start_end_handshape_annotations//test_auto_move//signs_mov/2347.mov" TargetMode="External"/><Relationship Id="rId17292" Type="http://schemas.openxmlformats.org/officeDocument/2006/relationships/hyperlink" Target="http://csr.bu.edu/ftp/asl/asllvd/demos/verify_start_end_handshape_annotations//test_auto_move//signs_mov_separ_signers/Brady_2347.mov" TargetMode="External"/><Relationship Id="rId17293" Type="http://schemas.openxmlformats.org/officeDocument/2006/relationships/hyperlink" Target="http://secrets.rutgers.edu:8080/data/asl-ftp/asllvd/demos/verify_start_end_handshape_annotations//test_auto_move//signs_mov/2347.mov" TargetMode="External"/><Relationship Id="rId17294" Type="http://schemas.openxmlformats.org/officeDocument/2006/relationships/hyperlink" Target="http://secrets.rutgers.edu:8080/data/asl-ftp/asllvd/demos/verify_start_end_handshape_annotations//test_auto_move//signs_mov_separ_signers/Brady_2347.mov" TargetMode="External"/><Relationship Id="rId17295" Type="http://schemas.openxmlformats.org/officeDocument/2006/relationships/hyperlink" Target="http://csr.bu.edu/ftp/asl/asllvd/demos/verify_start_end_handshape_annotations//test_auto_move//signs_mov/5863.mov" TargetMode="External"/><Relationship Id="rId17296" Type="http://schemas.openxmlformats.org/officeDocument/2006/relationships/hyperlink" Target="http://csr.bu.edu/ftp/asl/asllvd/demos/verify_start_end_handshape_annotations//test_auto_move//signs_mov_separ_signers/Liz_5863.mov" TargetMode="External"/><Relationship Id="rId17297" Type="http://schemas.openxmlformats.org/officeDocument/2006/relationships/hyperlink" Target="http://secrets.rutgers.edu:8080/data/asl-ftp/asllvd/demos/verify_start_end_handshape_annotations//test_auto_move//signs_mov/5863.mov" TargetMode="External"/><Relationship Id="rId17298" Type="http://schemas.openxmlformats.org/officeDocument/2006/relationships/hyperlink" Target="http://secrets.rutgers.edu:8080/data/asl-ftp/asllvd/demos/verify_start_end_handshape_annotations//test_auto_move//signs_mov_separ_signers/Liz_5863.mov" TargetMode="External"/><Relationship Id="rId17299" Type="http://schemas.openxmlformats.org/officeDocument/2006/relationships/hyperlink" Target="http://csr.bu.edu/ftp/asl/asllvd/demos/verify_start_end_handshape_annotations//test_auto_move//signs_mov/2351.mov" TargetMode="External"/><Relationship Id="rId17300" Type="http://schemas.openxmlformats.org/officeDocument/2006/relationships/hyperlink" Target="http://csr.bu.edu/ftp/asl/asllvd/demos/verify_start_end_handshape_annotations//test_auto_move//signs_mov_separ_signers/Liz_2351.mov" TargetMode="External"/><Relationship Id="rId17301" Type="http://schemas.openxmlformats.org/officeDocument/2006/relationships/hyperlink" Target="http://secrets.rutgers.edu:8080/data/asl-ftp/asllvd/demos/verify_start_end_handshape_annotations//test_auto_move//signs_mov/2351.mov" TargetMode="External"/><Relationship Id="rId17302" Type="http://schemas.openxmlformats.org/officeDocument/2006/relationships/hyperlink" Target="http://secrets.rutgers.edu:8080/data/asl-ftp/asllvd/demos/verify_start_end_handshape_annotations//test_auto_move//signs_mov_separ_signers/Liz_2351.mov" TargetMode="External"/><Relationship Id="rId17303" Type="http://schemas.openxmlformats.org/officeDocument/2006/relationships/hyperlink" Target="http://csr.bu.edu/ftp/asl/asllvd/demos/verify_start_end_handshape_annotations//test_auto_move//signs_mov_separ_signers/Brady_2351.mov" TargetMode="External"/><Relationship Id="rId17304" Type="http://schemas.openxmlformats.org/officeDocument/2006/relationships/hyperlink" Target="http://secrets.rutgers.edu:8080/data/asl-ftp/asllvd/demos/verify_start_end_handshape_annotations//test_auto_move//signs_mov_separ_signers/Brady_2351.mov" TargetMode="External"/><Relationship Id="rId17305" Type="http://schemas.openxmlformats.org/officeDocument/2006/relationships/hyperlink" Target="http://csr.bu.edu/ftp/asl/asllvd/demos/verify_start_end_handshape_annotations//test_auto_move//signs_mov/3765.mov" TargetMode="External"/><Relationship Id="rId17306" Type="http://schemas.openxmlformats.org/officeDocument/2006/relationships/hyperlink" Target="http://csr.bu.edu/ftp/asl/asllvd/demos/verify_start_end_handshape_annotations//test_auto_move//signs_mov_separ_signers/Liz_3765.mov" TargetMode="External"/><Relationship Id="rId17307" Type="http://schemas.openxmlformats.org/officeDocument/2006/relationships/hyperlink" Target="http://secrets.rutgers.edu:8080/data/asl-ftp/asllvd/demos/verify_start_end_handshape_annotations//test_auto_move//signs_mov/3765.mov" TargetMode="External"/><Relationship Id="rId17308" Type="http://schemas.openxmlformats.org/officeDocument/2006/relationships/hyperlink" Target="http://secrets.rutgers.edu:8080/data/asl-ftp/asllvd/demos/verify_start_end_handshape_annotations//test_auto_move//signs_mov_separ_signers/Liz_3765.mov" TargetMode="External"/><Relationship Id="rId17309" Type="http://schemas.openxmlformats.org/officeDocument/2006/relationships/hyperlink" Target="http://csr.bu.edu/ftp/asl/asllvd/demos/verify_start_end_handshape_annotations//test_auto_move//signs_mov/16458.mov" TargetMode="External"/><Relationship Id="rId17310" Type="http://schemas.openxmlformats.org/officeDocument/2006/relationships/hyperlink" Target="http://csr.bu.edu/ftp/asl/asllvd/demos/verify_start_end_handshape_annotations//test_auto_move//signs_mov_separ_signers/Brady_16458.mov" TargetMode="External"/><Relationship Id="rId17311" Type="http://schemas.openxmlformats.org/officeDocument/2006/relationships/hyperlink" Target="http://secrets.rutgers.edu:8080/data/asl-ftp/asllvd/demos/verify_start_end_handshape_annotations//test_auto_move//signs_mov/16458.mov" TargetMode="External"/><Relationship Id="rId17312" Type="http://schemas.openxmlformats.org/officeDocument/2006/relationships/hyperlink" Target="http://secrets.rutgers.edu:8080/data/asl-ftp/asllvd/demos/verify_start_end_handshape_annotations//test_auto_move//signs_mov_separ_signers/Brady_16458.mov" TargetMode="External"/><Relationship Id="rId17313" Type="http://schemas.openxmlformats.org/officeDocument/2006/relationships/hyperlink" Target="http://csr.bu.edu/ftp/asl/asllvd/demos/verify_start_end_handshape_annotations//test_auto_move//signs_mov_separ_signers/Liz_2353.mov" TargetMode="External"/><Relationship Id="rId17314" Type="http://schemas.openxmlformats.org/officeDocument/2006/relationships/hyperlink" Target="http://secrets.rutgers.edu:8080/data/asl-ftp/asllvd/demos/verify_start_end_handshape_annotations//test_auto_move//signs_mov_separ_signers/Liz_2353.mov" TargetMode="External"/><Relationship Id="rId17315" Type="http://schemas.openxmlformats.org/officeDocument/2006/relationships/hyperlink" Target="http://csr.bu.edu/ftp/asl/asllvd/demos/verify_start_end_handshape_annotations//test_auto_move//signs_mov/2353.mov" TargetMode="External"/><Relationship Id="rId17316" Type="http://schemas.openxmlformats.org/officeDocument/2006/relationships/hyperlink" Target="http://csr.bu.edu/ftp/asl/asllvd/demos/verify_start_end_handshape_annotations//test_auto_move//signs_mov_separ_signers/Brady_2353.mov" TargetMode="External"/><Relationship Id="rId17317" Type="http://schemas.openxmlformats.org/officeDocument/2006/relationships/hyperlink" Target="http://secrets.rutgers.edu:8080/data/asl-ftp/asllvd/demos/verify_start_end_handshape_annotations//test_auto_move//signs_mov/2353.mov" TargetMode="External"/><Relationship Id="rId17318" Type="http://schemas.openxmlformats.org/officeDocument/2006/relationships/hyperlink" Target="http://secrets.rutgers.edu:8080/data/asl-ftp/asllvd/demos/verify_start_end_handshape_annotations//test_auto_move//signs_mov_separ_signers/Brady_2353.mov" TargetMode="External"/><Relationship Id="rId17319" Type="http://schemas.openxmlformats.org/officeDocument/2006/relationships/hyperlink" Target="http://csr.bu.edu/ftp/asl/asllvd/demos/verify_start_end_handshape_annotations//test_auto_move//signs_mov_separ_signers/Lana_2353.mov" TargetMode="External"/><Relationship Id="rId17320" Type="http://schemas.openxmlformats.org/officeDocument/2006/relationships/hyperlink" Target="http://secrets.rutgers.edu:8080/data/asl-ftp/asllvd/demos/verify_start_end_handshape_annotations//test_auto_move//signs_mov_separ_signers/Lana_2353.mov" TargetMode="External"/><Relationship Id="rId17321" Type="http://schemas.openxmlformats.org/officeDocument/2006/relationships/hyperlink" Target="http://csr.bu.edu/ftp/asl/asllvd/demos/verify_start_end_handshape_annotations//test_auto_move//signs_mov_separ_signers/Liz_2355.mov" TargetMode="External"/><Relationship Id="rId17322" Type="http://schemas.openxmlformats.org/officeDocument/2006/relationships/hyperlink" Target="http://secrets.rutgers.edu:8080/data/asl-ftp/asllvd/demos/verify_start_end_handshape_annotations//test_auto_move//signs_mov_separ_signers/Liz_2355.mov" TargetMode="External"/><Relationship Id="rId17323" Type="http://schemas.openxmlformats.org/officeDocument/2006/relationships/hyperlink" Target="http://csr.bu.edu/ftp/asl/asllvd/demos/verify_start_end_handshape_annotations//test_auto_move//signs_mov/2355.mov" TargetMode="External"/><Relationship Id="rId17324" Type="http://schemas.openxmlformats.org/officeDocument/2006/relationships/hyperlink" Target="http://csr.bu.edu/ftp/asl/asllvd/demos/verify_start_end_handshape_annotations//test_auto_move//signs_mov_separ_signers/Naomi_2355.mov" TargetMode="External"/><Relationship Id="rId17325" Type="http://schemas.openxmlformats.org/officeDocument/2006/relationships/hyperlink" Target="http://secrets.rutgers.edu:8080/data/asl-ftp/asllvd/demos/verify_start_end_handshape_annotations//test_auto_move//signs_mov/2355.mov" TargetMode="External"/><Relationship Id="rId17326" Type="http://schemas.openxmlformats.org/officeDocument/2006/relationships/hyperlink" Target="http://secrets.rutgers.edu:8080/data/asl-ftp/asllvd/demos/verify_start_end_handshape_annotations//test_auto_move//signs_mov_separ_signers/Naomi_2355.mov" TargetMode="External"/><Relationship Id="rId17327" Type="http://schemas.openxmlformats.org/officeDocument/2006/relationships/hyperlink" Target="http://csr.bu.edu/ftp/asl/asllvd/demos/verify_start_end_handshape_annotations//test_auto_move//signs_mov_separ_signers/Brady_2355.mov" TargetMode="External"/><Relationship Id="rId17328" Type="http://schemas.openxmlformats.org/officeDocument/2006/relationships/hyperlink" Target="http://secrets.rutgers.edu:8080/data/asl-ftp/asllvd/demos/verify_start_end_handshape_annotations//test_auto_move//signs_mov_separ_signers/Brady_2355.mov" TargetMode="External"/><Relationship Id="rId17329" Type="http://schemas.openxmlformats.org/officeDocument/2006/relationships/hyperlink" Target="http://csr.bu.edu/ftp/asl/asllvd/demos/verify_start_end_handshape_annotations//test_auto_move//signs_mov/15239.mov" TargetMode="External"/><Relationship Id="rId17330" Type="http://schemas.openxmlformats.org/officeDocument/2006/relationships/hyperlink" Target="http://csr.bu.edu/ftp/asl/asllvd/demos/verify_start_end_handshape_annotations//test_auto_move//signs_mov_separ_signers/Liz_15239.mov" TargetMode="External"/><Relationship Id="rId17331" Type="http://schemas.openxmlformats.org/officeDocument/2006/relationships/hyperlink" Target="http://secrets.rutgers.edu:8080/data/asl-ftp/asllvd/demos/verify_start_end_handshape_annotations//test_auto_move//signs_mov/15239.mov" TargetMode="External"/><Relationship Id="rId17332" Type="http://schemas.openxmlformats.org/officeDocument/2006/relationships/hyperlink" Target="http://secrets.rutgers.edu:8080/data/asl-ftp/asllvd/demos/verify_start_end_handshape_annotations//test_auto_move//signs_mov_separ_signers/Liz_15239.mov" TargetMode="External"/><Relationship Id="rId17333" Type="http://schemas.openxmlformats.org/officeDocument/2006/relationships/hyperlink" Target="http://csr.bu.edu/ftp/asl/asllvd/demos/verify_start_end_handshape_annotations//test_auto_move//signs_mov_separ_signers/Tyler_15239.mov" TargetMode="External"/><Relationship Id="rId17334" Type="http://schemas.openxmlformats.org/officeDocument/2006/relationships/hyperlink" Target="http://secrets.rutgers.edu:8080/data/asl-ftp/asllvd/demos/verify_start_end_handshape_annotations//test_auto_move//signs_mov_separ_signers/Tyler_15239.mov" TargetMode="External"/><Relationship Id="rId17335" Type="http://schemas.openxmlformats.org/officeDocument/2006/relationships/hyperlink" Target="http://csr.bu.edu/ftp/asl/asllvd/demos/verify_start_end_handshape_annotations//test_auto_move//signs_mov/15287.mov" TargetMode="External"/><Relationship Id="rId17336" Type="http://schemas.openxmlformats.org/officeDocument/2006/relationships/hyperlink" Target="http://csr.bu.edu/ftp/asl/asllvd/demos/verify_start_end_handshape_annotations//test_auto_move//signs_mov_separ_signers/Brady_15287.mov" TargetMode="External"/><Relationship Id="rId17337" Type="http://schemas.openxmlformats.org/officeDocument/2006/relationships/hyperlink" Target="http://secrets.rutgers.edu:8080/data/asl-ftp/asllvd/demos/verify_start_end_handshape_annotations//test_auto_move//signs_mov/15287.mov" TargetMode="External"/><Relationship Id="rId17338" Type="http://schemas.openxmlformats.org/officeDocument/2006/relationships/hyperlink" Target="http://secrets.rutgers.edu:8080/data/asl-ftp/asllvd/demos/verify_start_end_handshape_annotations//test_auto_move//signs_mov_separ_signers/Brady_15287.mov" TargetMode="External"/><Relationship Id="rId17339" Type="http://schemas.openxmlformats.org/officeDocument/2006/relationships/hyperlink" Target="http://csr.bu.edu/ftp/asl/asllvd/demos/verify_start_end_handshape_annotations//test_auto_move//signs_mov_separ_signers/Liz_2359.mov" TargetMode="External"/><Relationship Id="rId17340" Type="http://schemas.openxmlformats.org/officeDocument/2006/relationships/hyperlink" Target="http://secrets.rutgers.edu:8080/data/asl-ftp/asllvd/demos/verify_start_end_handshape_annotations//test_auto_move//signs_mov_separ_signers/Liz_2359.mov" TargetMode="External"/><Relationship Id="rId17341" Type="http://schemas.openxmlformats.org/officeDocument/2006/relationships/hyperlink" Target="http://csr.bu.edu/ftp/asl/asllvd/demos/verify_start_end_handshape_annotations//test_auto_move//signs_mov/2359_3767_merged.mov" TargetMode="External"/><Relationship Id="rId17342" Type="http://schemas.openxmlformats.org/officeDocument/2006/relationships/hyperlink" Target="http://csr.bu.edu/ftp/asl/asllvd/demos/verify_start_end_handshape_annotations//test_auto_move//signs_mov_separ_signers/Brady_2359.mov" TargetMode="External"/><Relationship Id="rId17343" Type="http://schemas.openxmlformats.org/officeDocument/2006/relationships/hyperlink" Target="http://secrets.rutgers.edu:8080/data/asl-ftp/asllvd/demos/verify_start_end_handshape_annotations//test_auto_move//signs_mov/2359_3767_merged.mov" TargetMode="External"/><Relationship Id="rId17344" Type="http://schemas.openxmlformats.org/officeDocument/2006/relationships/hyperlink" Target="http://secrets.rutgers.edu:8080/data/asl-ftp/asllvd/demos/verify_start_end_handshape_annotations//test_auto_move//signs_mov_separ_signers/Brady_2359.mov" TargetMode="External"/><Relationship Id="rId17345" Type="http://schemas.openxmlformats.org/officeDocument/2006/relationships/hyperlink" Target="http://csr.bu.edu/ftp/asl/asllvd/demos/verify_start_end_handshape_annotations//test_auto_move//signs_mov_separ_signers/Brady_3767.mov" TargetMode="External"/><Relationship Id="rId17346" Type="http://schemas.openxmlformats.org/officeDocument/2006/relationships/hyperlink" Target="http://secrets.rutgers.edu:8080/data/asl-ftp/asllvd/demos/verify_start_end_handshape_annotations//test_auto_move//signs_mov_separ_signers/Brady_3767.mov" TargetMode="External"/><Relationship Id="rId17347" Type="http://schemas.openxmlformats.org/officeDocument/2006/relationships/hyperlink" Target="http://csr.bu.edu/ftp/asl/asllvd/demos/verify_start_end_handshape_annotations//test_auto_move//signs_mov/16459.mov" TargetMode="External"/><Relationship Id="rId17348" Type="http://schemas.openxmlformats.org/officeDocument/2006/relationships/hyperlink" Target="http://csr.bu.edu/ftp/asl/asllvd/demos/verify_start_end_handshape_annotations//test_auto_move//signs_mov_separ_signers/Liz_16459.mov" TargetMode="External"/><Relationship Id="rId17349" Type="http://schemas.openxmlformats.org/officeDocument/2006/relationships/hyperlink" Target="http://secrets.rutgers.edu:8080/data/asl-ftp/asllvd/demos/verify_start_end_handshape_annotations//test_auto_move//signs_mov/16459.mov" TargetMode="External"/><Relationship Id="rId17350" Type="http://schemas.openxmlformats.org/officeDocument/2006/relationships/hyperlink" Target="http://secrets.rutgers.edu:8080/data/asl-ftp/asllvd/demos/verify_start_end_handshape_annotations//test_auto_move//signs_mov_separ_signers/Liz_16459.mov" TargetMode="External"/><Relationship Id="rId17351" Type="http://schemas.openxmlformats.org/officeDocument/2006/relationships/hyperlink" Target="http://csr.bu.edu/ftp/asl/asllvd/demos/verify_start_end_handshape_annotations//test_auto_move//signs_mov/2361.mov" TargetMode="External"/><Relationship Id="rId17352" Type="http://schemas.openxmlformats.org/officeDocument/2006/relationships/hyperlink" Target="http://csr.bu.edu/ftp/asl/asllvd/demos/verify_start_end_handshape_annotations//test_auto_move//signs_mov_separ_signers/Liz_2361.mov" TargetMode="External"/><Relationship Id="rId17353" Type="http://schemas.openxmlformats.org/officeDocument/2006/relationships/hyperlink" Target="http://secrets.rutgers.edu:8080/data/asl-ftp/asllvd/demos/verify_start_end_handshape_annotations//test_auto_move//signs_mov/2361.mov" TargetMode="External"/><Relationship Id="rId17354" Type="http://schemas.openxmlformats.org/officeDocument/2006/relationships/hyperlink" Target="http://secrets.rutgers.edu:8080/data/asl-ftp/asllvd/demos/verify_start_end_handshape_annotations//test_auto_move//signs_mov_separ_signers/Liz_2361.mov" TargetMode="External"/><Relationship Id="rId17355" Type="http://schemas.openxmlformats.org/officeDocument/2006/relationships/hyperlink" Target="http://csr.bu.edu/ftp/asl/asllvd/demos/verify_start_end_handshape_annotations//test_auto_move//signs_mov/16460.mov" TargetMode="External"/><Relationship Id="rId17356" Type="http://schemas.openxmlformats.org/officeDocument/2006/relationships/hyperlink" Target="http://csr.bu.edu/ftp/asl/asllvd/demos/verify_start_end_handshape_annotations//test_auto_move//signs_mov_separ_signers/Brady_16460.mov" TargetMode="External"/><Relationship Id="rId17357" Type="http://schemas.openxmlformats.org/officeDocument/2006/relationships/hyperlink" Target="http://secrets.rutgers.edu:8080/data/asl-ftp/asllvd/demos/verify_start_end_handshape_annotations//test_auto_move//signs_mov/16460.mov" TargetMode="External"/><Relationship Id="rId17358" Type="http://schemas.openxmlformats.org/officeDocument/2006/relationships/hyperlink" Target="http://secrets.rutgers.edu:8080/data/asl-ftp/asllvd/demos/verify_start_end_handshape_annotations//test_auto_move//signs_mov_separ_signers/Brady_16460.mov" TargetMode="External"/><Relationship Id="rId17359" Type="http://schemas.openxmlformats.org/officeDocument/2006/relationships/hyperlink" Target="http://csr.bu.edu/ftp/asl/asllvd/demos/verify_start_end_handshape_annotations//test_auto_move//signs_mov/2362.mov" TargetMode="External"/><Relationship Id="rId17360" Type="http://schemas.openxmlformats.org/officeDocument/2006/relationships/hyperlink" Target="http://csr.bu.edu/ftp/asl/asllvd/demos/verify_start_end_handshape_annotations//test_auto_move//signs_mov_separ_signers/Liz_2362.mov" TargetMode="External"/><Relationship Id="rId17361" Type="http://schemas.openxmlformats.org/officeDocument/2006/relationships/hyperlink" Target="http://secrets.rutgers.edu:8080/data/asl-ftp/asllvd/demos/verify_start_end_handshape_annotations//test_auto_move//signs_mov/2362.mov" TargetMode="External"/><Relationship Id="rId17362" Type="http://schemas.openxmlformats.org/officeDocument/2006/relationships/hyperlink" Target="http://secrets.rutgers.edu:8080/data/asl-ftp/asllvd/demos/verify_start_end_handshape_annotations//test_auto_move//signs_mov_separ_signers/Liz_2362.mov" TargetMode="External"/><Relationship Id="rId17363" Type="http://schemas.openxmlformats.org/officeDocument/2006/relationships/hyperlink" Target="http://csr.bu.edu/ftp/asl/asllvd/demos/verify_start_end_handshape_annotations//test_auto_move//signs_mov_separ_signers/Brady_2362.mov" TargetMode="External"/><Relationship Id="rId17364" Type="http://schemas.openxmlformats.org/officeDocument/2006/relationships/hyperlink" Target="http://secrets.rutgers.edu:8080/data/asl-ftp/asllvd/demos/verify_start_end_handshape_annotations//test_auto_move//signs_mov_separ_signers/Brady_2362.mov" TargetMode="External"/><Relationship Id="rId17365" Type="http://schemas.openxmlformats.org/officeDocument/2006/relationships/hyperlink" Target="http://csr.bu.edu/ftp/asl/asllvd/demos/verify_start_end_handshape_annotations//test_auto_move//signs_mov/2363.mov" TargetMode="External"/><Relationship Id="rId17366" Type="http://schemas.openxmlformats.org/officeDocument/2006/relationships/hyperlink" Target="http://csr.bu.edu/ftp/asl/asllvd/demos/verify_start_end_handshape_annotations//test_auto_move//signs_mov_separ_signers/Liz_2363.mov" TargetMode="External"/><Relationship Id="rId17367" Type="http://schemas.openxmlformats.org/officeDocument/2006/relationships/hyperlink" Target="http://secrets.rutgers.edu:8080/data/asl-ftp/asllvd/demos/verify_start_end_handshape_annotations//test_auto_move//signs_mov/2363.mov" TargetMode="External"/><Relationship Id="rId17368" Type="http://schemas.openxmlformats.org/officeDocument/2006/relationships/hyperlink" Target="http://secrets.rutgers.edu:8080/data/asl-ftp/asllvd/demos/verify_start_end_handshape_annotations//test_auto_move//signs_mov_separ_signers/Liz_2363.mov" TargetMode="External"/><Relationship Id="rId17369" Type="http://schemas.openxmlformats.org/officeDocument/2006/relationships/hyperlink" Target="http://csr.bu.edu/ftp/asl/asllvd/demos/verify_start_end_handshape_annotations//test_auto_move//signs_mov_separ_signers/Brady_2363.mov" TargetMode="External"/><Relationship Id="rId17370" Type="http://schemas.openxmlformats.org/officeDocument/2006/relationships/hyperlink" Target="http://secrets.rutgers.edu:8080/data/asl-ftp/asllvd/demos/verify_start_end_handshape_annotations//test_auto_move//signs_mov_separ_signers/Brady_2363.mov" TargetMode="External"/><Relationship Id="rId17371" Type="http://schemas.openxmlformats.org/officeDocument/2006/relationships/hyperlink" Target="http://csr.bu.edu/ftp/asl/asllvd/demos/verify_start_end_handshape_annotations//test_auto_move//signs_mov/2364.mov" TargetMode="External"/><Relationship Id="rId17372" Type="http://schemas.openxmlformats.org/officeDocument/2006/relationships/hyperlink" Target="http://csr.bu.edu/ftp/asl/asllvd/demos/verify_start_end_handshape_annotations//test_auto_move//signs_mov_separ_signers/Liz_2364.mov" TargetMode="External"/><Relationship Id="rId17373" Type="http://schemas.openxmlformats.org/officeDocument/2006/relationships/hyperlink" Target="http://secrets.rutgers.edu:8080/data/asl-ftp/asllvd/demos/verify_start_end_handshape_annotations//test_auto_move//signs_mov/2364.mov" TargetMode="External"/><Relationship Id="rId17374" Type="http://schemas.openxmlformats.org/officeDocument/2006/relationships/hyperlink" Target="http://secrets.rutgers.edu:8080/data/asl-ftp/asllvd/demos/verify_start_end_handshape_annotations//test_auto_move//signs_mov_separ_signers/Liz_2364.mov" TargetMode="External"/><Relationship Id="rId17375" Type="http://schemas.openxmlformats.org/officeDocument/2006/relationships/hyperlink" Target="http://csr.bu.edu/ftp/asl/asllvd/demos/verify_start_end_handshape_annotations//test_auto_move//signs_mov/2372.mov" TargetMode="External"/><Relationship Id="rId17376" Type="http://schemas.openxmlformats.org/officeDocument/2006/relationships/hyperlink" Target="http://csr.bu.edu/ftp/asl/asllvd/demos/verify_start_end_handshape_annotations//test_auto_move//signs_mov_separ_signers/Liz_2372.mov" TargetMode="External"/><Relationship Id="rId17377" Type="http://schemas.openxmlformats.org/officeDocument/2006/relationships/hyperlink" Target="http://secrets.rutgers.edu:8080/data/asl-ftp/asllvd/demos/verify_start_end_handshape_annotations//test_auto_move//signs_mov/2372.mov" TargetMode="External"/><Relationship Id="rId17378" Type="http://schemas.openxmlformats.org/officeDocument/2006/relationships/hyperlink" Target="http://secrets.rutgers.edu:8080/data/asl-ftp/asllvd/demos/verify_start_end_handshape_annotations//test_auto_move//signs_mov_separ_signers/Liz_2372.mov" TargetMode="External"/><Relationship Id="rId17379" Type="http://schemas.openxmlformats.org/officeDocument/2006/relationships/hyperlink" Target="http://csr.bu.edu/ftp/asl/asllvd/demos/verify_start_end_handshape_annotations//test_auto_move//signs_mov/3768.mov" TargetMode="External"/><Relationship Id="rId17380" Type="http://schemas.openxmlformats.org/officeDocument/2006/relationships/hyperlink" Target="http://csr.bu.edu/ftp/asl/asllvd/demos/verify_start_end_handshape_annotations//test_auto_move//signs_mov_separ_signers/Liz_3768.mov" TargetMode="External"/><Relationship Id="rId17381" Type="http://schemas.openxmlformats.org/officeDocument/2006/relationships/hyperlink" Target="http://secrets.rutgers.edu:8080/data/asl-ftp/asllvd/demos/verify_start_end_handshape_annotations//test_auto_move//signs_mov/3768.mov" TargetMode="External"/><Relationship Id="rId17382" Type="http://schemas.openxmlformats.org/officeDocument/2006/relationships/hyperlink" Target="http://secrets.rutgers.edu:8080/data/asl-ftp/asllvd/demos/verify_start_end_handshape_annotations//test_auto_move//signs_mov_separ_signers/Liz_3768.mov" TargetMode="External"/><Relationship Id="rId17383" Type="http://schemas.openxmlformats.org/officeDocument/2006/relationships/hyperlink" Target="http://csr.bu.edu/ftp/asl/asllvd/demos/verify_start_end_handshape_annotations//test_auto_move//signs_mov/15437.mov" TargetMode="External"/><Relationship Id="rId17384" Type="http://schemas.openxmlformats.org/officeDocument/2006/relationships/hyperlink" Target="http://csr.bu.edu/ftp/asl/asllvd/demos/verify_start_end_handshape_annotations//test_auto_move//signs_mov_separ_signers/Liz_15437.mov" TargetMode="External"/><Relationship Id="rId17385" Type="http://schemas.openxmlformats.org/officeDocument/2006/relationships/hyperlink" Target="http://secrets.rutgers.edu:8080/data/asl-ftp/asllvd/demos/verify_start_end_handshape_annotations//test_auto_move//signs_mov/15437.mov" TargetMode="External"/><Relationship Id="rId17386" Type="http://schemas.openxmlformats.org/officeDocument/2006/relationships/hyperlink" Target="http://secrets.rutgers.edu:8080/data/asl-ftp/asllvd/demos/verify_start_end_handshape_annotations//test_auto_move//signs_mov_separ_signers/Liz_15437.mov" TargetMode="External"/><Relationship Id="rId17387" Type="http://schemas.openxmlformats.org/officeDocument/2006/relationships/hyperlink" Target="http://csr.bu.edu/ftp/asl/asllvd/demos/verify_start_end_handshape_annotations//test_auto_move//signs_mov/2374.mov" TargetMode="External"/><Relationship Id="rId17388" Type="http://schemas.openxmlformats.org/officeDocument/2006/relationships/hyperlink" Target="http://csr.bu.edu/ftp/asl/asllvd/demos/verify_start_end_handshape_annotations//test_auto_move//signs_mov_separ_signers/Liz_2374.mov" TargetMode="External"/><Relationship Id="rId17389" Type="http://schemas.openxmlformats.org/officeDocument/2006/relationships/hyperlink" Target="http://secrets.rutgers.edu:8080/data/asl-ftp/asllvd/demos/verify_start_end_handshape_annotations//test_auto_move//signs_mov/2374.mov" TargetMode="External"/><Relationship Id="rId17390" Type="http://schemas.openxmlformats.org/officeDocument/2006/relationships/hyperlink" Target="http://secrets.rutgers.edu:8080/data/asl-ftp/asllvd/demos/verify_start_end_handshape_annotations//test_auto_move//signs_mov_separ_signers/Liz_2374.mov" TargetMode="External"/><Relationship Id="rId17391" Type="http://schemas.openxmlformats.org/officeDocument/2006/relationships/hyperlink" Target="http://csr.bu.edu/ftp/asl/asllvd/demos/verify_start_end_handshape_annotations//test_auto_move//signs_mov/2376.mov" TargetMode="External"/><Relationship Id="rId17392" Type="http://schemas.openxmlformats.org/officeDocument/2006/relationships/hyperlink" Target="http://csr.bu.edu/ftp/asl/asllvd/demos/verify_start_end_handshape_annotations//test_auto_move//signs_mov_separ_signers/Liz_2376.mov" TargetMode="External"/><Relationship Id="rId17393" Type="http://schemas.openxmlformats.org/officeDocument/2006/relationships/hyperlink" Target="http://secrets.rutgers.edu:8080/data/asl-ftp/asllvd/demos/verify_start_end_handshape_annotations//test_auto_move//signs_mov/2376.mov" TargetMode="External"/><Relationship Id="rId17394" Type="http://schemas.openxmlformats.org/officeDocument/2006/relationships/hyperlink" Target="http://secrets.rutgers.edu:8080/data/asl-ftp/asllvd/demos/verify_start_end_handshape_annotations//test_auto_move//signs_mov_separ_signers/Liz_2376.mov" TargetMode="External"/><Relationship Id="rId17395" Type="http://schemas.openxmlformats.org/officeDocument/2006/relationships/hyperlink" Target="http://csr.bu.edu/ftp/asl/asllvd/demos/verify_start_end_handshape_annotations//test_auto_move//signs_mov_separ_signers/Naomi_2376.mov" TargetMode="External"/><Relationship Id="rId17396" Type="http://schemas.openxmlformats.org/officeDocument/2006/relationships/hyperlink" Target="http://secrets.rutgers.edu:8080/data/asl-ftp/asllvd/demos/verify_start_end_handshape_annotations//test_auto_move//signs_mov_separ_signers/Naomi_2376.mov" TargetMode="External"/><Relationship Id="rId17397" Type="http://schemas.openxmlformats.org/officeDocument/2006/relationships/hyperlink" Target="http://csr.bu.edu/ftp/asl/asllvd/demos/verify_start_end_handshape_annotations//test_auto_move//signs_mov/15715.mov" TargetMode="External"/><Relationship Id="rId17398" Type="http://schemas.openxmlformats.org/officeDocument/2006/relationships/hyperlink" Target="http://csr.bu.edu/ftp/asl/asllvd/demos/verify_start_end_handshape_annotations//test_auto_move//signs_mov_separ_signers/Liz_15715.mov" TargetMode="External"/><Relationship Id="rId17399" Type="http://schemas.openxmlformats.org/officeDocument/2006/relationships/hyperlink" Target="http://secrets.rutgers.edu:8080/data/asl-ftp/asllvd/demos/verify_start_end_handshape_annotations//test_auto_move//signs_mov/15715.mov" TargetMode="External"/><Relationship Id="rId17400" Type="http://schemas.openxmlformats.org/officeDocument/2006/relationships/hyperlink" Target="http://secrets.rutgers.edu:8080/data/asl-ftp/asllvd/demos/verify_start_end_handshape_annotations//test_auto_move//signs_mov_separ_signers/Liz_15715.mov" TargetMode="External"/><Relationship Id="rId17401" Type="http://schemas.openxmlformats.org/officeDocument/2006/relationships/hyperlink" Target="http://csr.bu.edu/ftp/asl/asllvd/demos/verify_start_end_handshape_annotations//test_auto_move//signs_mov/15795.mov" TargetMode="External"/><Relationship Id="rId17402" Type="http://schemas.openxmlformats.org/officeDocument/2006/relationships/hyperlink" Target="http://csr.bu.edu/ftp/asl/asllvd/demos/verify_start_end_handshape_annotations//test_auto_move//signs_mov_separ_signers/Tyler_15795.mov" TargetMode="External"/><Relationship Id="rId17403" Type="http://schemas.openxmlformats.org/officeDocument/2006/relationships/hyperlink" Target="http://secrets.rutgers.edu:8080/data/asl-ftp/asllvd/demos/verify_start_end_handshape_annotations//test_auto_move//signs_mov/15795.mov" TargetMode="External"/><Relationship Id="rId17404" Type="http://schemas.openxmlformats.org/officeDocument/2006/relationships/hyperlink" Target="http://secrets.rutgers.edu:8080/data/asl-ftp/asllvd/demos/verify_start_end_handshape_annotations//test_auto_move//signs_mov_separ_signers/Tyler_15795.mov" TargetMode="External"/><Relationship Id="rId17405" Type="http://schemas.openxmlformats.org/officeDocument/2006/relationships/hyperlink" Target="http://csr.bu.edu/ftp/asl/asllvd/demos/verify_start_end_handshape_annotations//test_auto_move//signs_mov/15796.mov" TargetMode="External"/><Relationship Id="rId17406" Type="http://schemas.openxmlformats.org/officeDocument/2006/relationships/hyperlink" Target="http://csr.bu.edu/ftp/asl/asllvd/demos/verify_start_end_handshape_annotations//test_auto_move//signs_mov_separ_signers/Brady_15796.mov" TargetMode="External"/><Relationship Id="rId17407" Type="http://schemas.openxmlformats.org/officeDocument/2006/relationships/hyperlink" Target="http://secrets.rutgers.edu:8080/data/asl-ftp/asllvd/demos/verify_start_end_handshape_annotations//test_auto_move//signs_mov/15796.mov" TargetMode="External"/><Relationship Id="rId17408" Type="http://schemas.openxmlformats.org/officeDocument/2006/relationships/hyperlink" Target="http://secrets.rutgers.edu:8080/data/asl-ftp/asllvd/demos/verify_start_end_handshape_annotations//test_auto_move//signs_mov_separ_signers/Brady_15796.mov" TargetMode="External"/><Relationship Id="rId17409" Type="http://schemas.openxmlformats.org/officeDocument/2006/relationships/hyperlink" Target="http://csr.bu.edu/ftp/asl/asllvd/demos/verify_start_end_handshape_annotations//test_auto_move//signs_mov_separ_signers/Liz_15865.mov" TargetMode="External"/><Relationship Id="rId17410" Type="http://schemas.openxmlformats.org/officeDocument/2006/relationships/hyperlink" Target="http://secrets.rutgers.edu:8080/data/asl-ftp/asllvd/demos/verify_start_end_handshape_annotations//test_auto_move//signs_mov_separ_signers/Liz_15865.mov" TargetMode="External"/><Relationship Id="rId17411" Type="http://schemas.openxmlformats.org/officeDocument/2006/relationships/hyperlink" Target="http://csr.bu.edu/ftp/asl/asllvd/demos/verify_start_end_handshape_annotations//test_auto_move//signs_mov_separ_signers/Liz_15890.mov" TargetMode="External"/><Relationship Id="rId17412" Type="http://schemas.openxmlformats.org/officeDocument/2006/relationships/hyperlink" Target="http://secrets.rutgers.edu:8080/data/asl-ftp/asllvd/demos/verify_start_end_handshape_annotations//test_auto_move//signs_mov_separ_signers/Liz_15890.mov" TargetMode="External"/><Relationship Id="rId17413" Type="http://schemas.openxmlformats.org/officeDocument/2006/relationships/hyperlink" Target="http://csr.bu.edu/ftp/asl/asllvd/demos/verify_start_end_handshape_annotations//test_auto_move//signs_mov/15865_15890_15891_merged.mov" TargetMode="External"/><Relationship Id="rId17414" Type="http://schemas.openxmlformats.org/officeDocument/2006/relationships/hyperlink" Target="http://csr.bu.edu/ftp/asl/asllvd/demos/verify_start_end_handshape_annotations//test_auto_move//signs_mov_separ_signers/Brady_15865.mov" TargetMode="External"/><Relationship Id="rId17415" Type="http://schemas.openxmlformats.org/officeDocument/2006/relationships/hyperlink" Target="http://secrets.rutgers.edu:8080/data/asl-ftp/asllvd/demos/verify_start_end_handshape_annotations//test_auto_move//signs_mov/15865_15890_15891_merged.mov" TargetMode="External"/><Relationship Id="rId17416" Type="http://schemas.openxmlformats.org/officeDocument/2006/relationships/hyperlink" Target="http://secrets.rutgers.edu:8080/data/asl-ftp/asllvd/demos/verify_start_end_handshape_annotations//test_auto_move//signs_mov_separ_signers/Brady_15865.mov" TargetMode="External"/><Relationship Id="rId17417" Type="http://schemas.openxmlformats.org/officeDocument/2006/relationships/hyperlink" Target="http://csr.bu.edu/ftp/asl/asllvd/demos/verify_start_end_handshape_annotations//test_auto_move//signs_mov_separ_signers/Brady_15890.mov" TargetMode="External"/><Relationship Id="rId17418" Type="http://schemas.openxmlformats.org/officeDocument/2006/relationships/hyperlink" Target="http://secrets.rutgers.edu:8080/data/asl-ftp/asllvd/demos/verify_start_end_handshape_annotations//test_auto_move//signs_mov_separ_signers/Brady_15890.mov" TargetMode="External"/><Relationship Id="rId17419" Type="http://schemas.openxmlformats.org/officeDocument/2006/relationships/hyperlink" Target="http://csr.bu.edu/ftp/asl/asllvd/demos/verify_start_end_handshape_annotations//test_auto_move//signs_mov_separ_signers/Brady_15891.mov" TargetMode="External"/><Relationship Id="rId17420" Type="http://schemas.openxmlformats.org/officeDocument/2006/relationships/hyperlink" Target="http://secrets.rutgers.edu:8080/data/asl-ftp/asllvd/demos/verify_start_end_handshape_annotations//test_auto_move//signs_mov_separ_signers/Brady_15891.mov" TargetMode="External"/><Relationship Id="rId17421" Type="http://schemas.openxmlformats.org/officeDocument/2006/relationships/hyperlink" Target="http://csr.bu.edu/ftp/asl/asllvd/demos/verify_start_end_handshape_annotations//test_auto_move//signs_mov/15892.mov" TargetMode="External"/><Relationship Id="rId17422" Type="http://schemas.openxmlformats.org/officeDocument/2006/relationships/hyperlink" Target="http://csr.bu.edu/ftp/asl/asllvd/demos/verify_start_end_handshape_annotations//test_auto_move//signs_mov_separ_signers/Liz_15892.mov" TargetMode="External"/><Relationship Id="rId17423" Type="http://schemas.openxmlformats.org/officeDocument/2006/relationships/hyperlink" Target="http://secrets.rutgers.edu:8080/data/asl-ftp/asllvd/demos/verify_start_end_handshape_annotations//test_auto_move//signs_mov/15892.mov" TargetMode="External"/><Relationship Id="rId17424" Type="http://schemas.openxmlformats.org/officeDocument/2006/relationships/hyperlink" Target="http://secrets.rutgers.edu:8080/data/asl-ftp/asllvd/demos/verify_start_end_handshape_annotations//test_auto_move//signs_mov_separ_signers/Liz_15892.mov" TargetMode="External"/><Relationship Id="rId17425" Type="http://schemas.openxmlformats.org/officeDocument/2006/relationships/hyperlink" Target="http://csr.bu.edu/ftp/asl/asllvd/demos/verify_start_end_handshape_annotations//test_auto_move//signs_mov/2377.mov" TargetMode="External"/><Relationship Id="rId17426" Type="http://schemas.openxmlformats.org/officeDocument/2006/relationships/hyperlink" Target="http://csr.bu.edu/ftp/asl/asllvd/demos/verify_start_end_handshape_annotations//test_auto_move//signs_mov_separ_signers/Liz_2377.mov" TargetMode="External"/><Relationship Id="rId17427" Type="http://schemas.openxmlformats.org/officeDocument/2006/relationships/hyperlink" Target="http://secrets.rutgers.edu:8080/data/asl-ftp/asllvd/demos/verify_start_end_handshape_annotations//test_auto_move//signs_mov/2377.mov" TargetMode="External"/><Relationship Id="rId17428" Type="http://schemas.openxmlformats.org/officeDocument/2006/relationships/hyperlink" Target="http://secrets.rutgers.edu:8080/data/asl-ftp/asllvd/demos/verify_start_end_handshape_annotations//test_auto_move//signs_mov_separ_signers/Liz_2377.mov" TargetMode="External"/><Relationship Id="rId17429" Type="http://schemas.openxmlformats.org/officeDocument/2006/relationships/hyperlink" Target="http://csr.bu.edu/ftp/asl/asllvd/demos/verify_start_end_handshape_annotations//test_auto_move//signs_mov_separ_signers/Brady_2377.mov" TargetMode="External"/><Relationship Id="rId17430" Type="http://schemas.openxmlformats.org/officeDocument/2006/relationships/hyperlink" Target="http://secrets.rutgers.edu:8080/data/asl-ftp/asllvd/demos/verify_start_end_handshape_annotations//test_auto_move//signs_mov_separ_signers/Brady_2377.mov" TargetMode="External"/><Relationship Id="rId17431" Type="http://schemas.openxmlformats.org/officeDocument/2006/relationships/hyperlink" Target="http://csr.bu.edu/ftp/asl/asllvd/demos/verify_start_end_handshape_annotations//test_auto_move//signs_mov/15975.mov" TargetMode="External"/><Relationship Id="rId17432" Type="http://schemas.openxmlformats.org/officeDocument/2006/relationships/hyperlink" Target="http://csr.bu.edu/ftp/asl/asllvd/demos/verify_start_end_handshape_annotations//test_auto_move//signs_mov_separ_signers/Liz_15975.mov" TargetMode="External"/><Relationship Id="rId17433" Type="http://schemas.openxmlformats.org/officeDocument/2006/relationships/hyperlink" Target="http://secrets.rutgers.edu:8080/data/asl-ftp/asllvd/demos/verify_start_end_handshape_annotations//test_auto_move//signs_mov/15975.mov" TargetMode="External"/><Relationship Id="rId17434" Type="http://schemas.openxmlformats.org/officeDocument/2006/relationships/hyperlink" Target="http://secrets.rutgers.edu:8080/data/asl-ftp/asllvd/demos/verify_start_end_handshape_annotations//test_auto_move//signs_mov_separ_signers/Liz_15975.mov" TargetMode="External"/><Relationship Id="rId17435" Type="http://schemas.openxmlformats.org/officeDocument/2006/relationships/hyperlink" Target="http://csr.bu.edu/ftp/asl/asllvd/demos/verify_start_end_handshape_annotations//test_auto_move//signs_mov_separ_signers/Brady_15975.mov" TargetMode="External"/><Relationship Id="rId17436" Type="http://schemas.openxmlformats.org/officeDocument/2006/relationships/hyperlink" Target="http://secrets.rutgers.edu:8080/data/asl-ftp/asllvd/demos/verify_start_end_handshape_annotations//test_auto_move//signs_mov_separ_signers/Brady_15975.mov" TargetMode="External"/><Relationship Id="rId17437" Type="http://schemas.openxmlformats.org/officeDocument/2006/relationships/hyperlink" Target="http://csr.bu.edu/ftp/asl/asllvd/demos/verify_start_end_handshape_annotations//test_auto_move//signs_mov/15983.mov" TargetMode="External"/><Relationship Id="rId17438" Type="http://schemas.openxmlformats.org/officeDocument/2006/relationships/hyperlink" Target="http://csr.bu.edu/ftp/asl/asllvd/demos/verify_start_end_handshape_annotations//test_auto_move//signs_mov_separ_signers/Liz_15983.mov" TargetMode="External"/><Relationship Id="rId17439" Type="http://schemas.openxmlformats.org/officeDocument/2006/relationships/hyperlink" Target="http://secrets.rutgers.edu:8080/data/asl-ftp/asllvd/demos/verify_start_end_handshape_annotations//test_auto_move//signs_mov/15983.mov" TargetMode="External"/><Relationship Id="rId17440" Type="http://schemas.openxmlformats.org/officeDocument/2006/relationships/hyperlink" Target="http://secrets.rutgers.edu:8080/data/asl-ftp/asllvd/demos/verify_start_end_handshape_annotations//test_auto_move//signs_mov_separ_signers/Liz_15983.mov" TargetMode="External"/><Relationship Id="rId17441" Type="http://schemas.openxmlformats.org/officeDocument/2006/relationships/hyperlink" Target="http://csr.bu.edu/ftp/asl/asllvd/demos/verify_start_end_handshape_annotations//test_auto_move//signs_mov_separ_signers/Brady_15983.mov" TargetMode="External"/><Relationship Id="rId17442" Type="http://schemas.openxmlformats.org/officeDocument/2006/relationships/hyperlink" Target="http://secrets.rutgers.edu:8080/data/asl-ftp/asllvd/demos/verify_start_end_handshape_annotations//test_auto_move//signs_mov_separ_signers/Brady_15983.mov" TargetMode="External"/><Relationship Id="rId17443" Type="http://schemas.openxmlformats.org/officeDocument/2006/relationships/hyperlink" Target="http://csr.bu.edu/ftp/asl/asllvd/demos/verify_start_end_handshape_annotations//test_auto_move//signs_mov/2380.mov" TargetMode="External"/><Relationship Id="rId17444" Type="http://schemas.openxmlformats.org/officeDocument/2006/relationships/hyperlink" Target="http://csr.bu.edu/ftp/asl/asllvd/demos/verify_start_end_handshape_annotations//test_auto_move//signs_mov_separ_signers/Liz_2380.mov" TargetMode="External"/><Relationship Id="rId17445" Type="http://schemas.openxmlformats.org/officeDocument/2006/relationships/hyperlink" Target="http://secrets.rutgers.edu:8080/data/asl-ftp/asllvd/demos/verify_start_end_handshape_annotations//test_auto_move//signs_mov/2380.mov" TargetMode="External"/><Relationship Id="rId17446" Type="http://schemas.openxmlformats.org/officeDocument/2006/relationships/hyperlink" Target="http://secrets.rutgers.edu:8080/data/asl-ftp/asllvd/demos/verify_start_end_handshape_annotations//test_auto_move//signs_mov_separ_signers/Liz_2380.mov" TargetMode="External"/><Relationship Id="rId17447" Type="http://schemas.openxmlformats.org/officeDocument/2006/relationships/hyperlink" Target="http://csr.bu.edu/ftp/asl/asllvd/demos/verify_start_end_handshape_annotations//test_auto_move//signs_mov/15000.mov" TargetMode="External"/><Relationship Id="rId17448" Type="http://schemas.openxmlformats.org/officeDocument/2006/relationships/hyperlink" Target="http://csr.bu.edu/ftp/asl/asllvd/demos/verify_start_end_handshape_annotations//test_auto_move//signs_mov_separ_signers/Brady_15000.mov" TargetMode="External"/><Relationship Id="rId17449" Type="http://schemas.openxmlformats.org/officeDocument/2006/relationships/hyperlink" Target="http://secrets.rutgers.edu:8080/data/asl-ftp/asllvd/demos/verify_start_end_handshape_annotations//test_auto_move//signs_mov/15000.mov" TargetMode="External"/><Relationship Id="rId17450" Type="http://schemas.openxmlformats.org/officeDocument/2006/relationships/hyperlink" Target="http://secrets.rutgers.edu:8080/data/asl-ftp/asllvd/demos/verify_start_end_handshape_annotations//test_auto_move//signs_mov_separ_signers/Brady_15000.mov" TargetMode="External"/><Relationship Id="rId17451" Type="http://schemas.openxmlformats.org/officeDocument/2006/relationships/hyperlink" Target="http://csr.bu.edu/ftp/asl/asllvd/demos/verify_start_end_handshape_annotations//test_auto_move//signs_mov/2383.mov" TargetMode="External"/><Relationship Id="rId17452" Type="http://schemas.openxmlformats.org/officeDocument/2006/relationships/hyperlink" Target="http://csr.bu.edu/ftp/asl/asllvd/demos/verify_start_end_handshape_annotations//test_auto_move//signs_mov_separ_signers/Liz_2383.mov" TargetMode="External"/><Relationship Id="rId17453" Type="http://schemas.openxmlformats.org/officeDocument/2006/relationships/hyperlink" Target="http://secrets.rutgers.edu:8080/data/asl-ftp/asllvd/demos/verify_start_end_handshape_annotations//test_auto_move//signs_mov/2383.mov" TargetMode="External"/><Relationship Id="rId17454" Type="http://schemas.openxmlformats.org/officeDocument/2006/relationships/hyperlink" Target="http://secrets.rutgers.edu:8080/data/asl-ftp/asllvd/demos/verify_start_end_handshape_annotations//test_auto_move//signs_mov_separ_signers/Liz_2383.mov" TargetMode="External"/><Relationship Id="rId17455" Type="http://schemas.openxmlformats.org/officeDocument/2006/relationships/hyperlink" Target="http://csr.bu.edu/ftp/asl/asllvd/demos/verify_start_end_handshape_annotations//test_auto_move//signs_mov_separ_signers/Brady_2383.mov" TargetMode="External"/><Relationship Id="rId17456" Type="http://schemas.openxmlformats.org/officeDocument/2006/relationships/hyperlink" Target="http://secrets.rutgers.edu:8080/data/asl-ftp/asllvd/demos/verify_start_end_handshape_annotations//test_auto_move//signs_mov_separ_signers/Brady_2383.mov" TargetMode="External"/><Relationship Id="rId17457" Type="http://schemas.openxmlformats.org/officeDocument/2006/relationships/hyperlink" Target="http://csr.bu.edu/ftp/asl/asllvd/demos/verify_start_end_handshape_annotations//test_auto_move//signs_mov/2384.mov" TargetMode="External"/><Relationship Id="rId17458" Type="http://schemas.openxmlformats.org/officeDocument/2006/relationships/hyperlink" Target="http://csr.bu.edu/ftp/asl/asllvd/demos/verify_start_end_handshape_annotations//test_auto_move//signs_mov_separ_signers/Liz_2384.mov" TargetMode="External"/><Relationship Id="rId17459" Type="http://schemas.openxmlformats.org/officeDocument/2006/relationships/hyperlink" Target="http://secrets.rutgers.edu:8080/data/asl-ftp/asllvd/demos/verify_start_end_handshape_annotations//test_auto_move//signs_mov/2384.mov" TargetMode="External"/><Relationship Id="rId17460" Type="http://schemas.openxmlformats.org/officeDocument/2006/relationships/hyperlink" Target="http://secrets.rutgers.edu:8080/data/asl-ftp/asllvd/demos/verify_start_end_handshape_annotations//test_auto_move//signs_mov_separ_signers/Liz_2384.mov" TargetMode="External"/><Relationship Id="rId17461" Type="http://schemas.openxmlformats.org/officeDocument/2006/relationships/hyperlink" Target="http://csr.bu.edu/ftp/asl/asllvd/demos/verify_start_end_handshape_annotations//test_auto_move//signs_mov_separ_signers/Liz_2387.mov" TargetMode="External"/><Relationship Id="rId17462" Type="http://schemas.openxmlformats.org/officeDocument/2006/relationships/hyperlink" Target="http://secrets.rutgers.edu:8080/data/asl-ftp/asllvd/demos/verify_start_end_handshape_annotations//test_auto_move//signs_mov_separ_signers/Liz_2387.mov" TargetMode="External"/><Relationship Id="rId17463" Type="http://schemas.openxmlformats.org/officeDocument/2006/relationships/hyperlink" Target="http://csr.bu.edu/ftp/asl/asllvd/demos/verify_start_end_handshape_annotations//test_auto_move//signs_mov_separ_signers/Liz_3844.mov" TargetMode="External"/><Relationship Id="rId17464" Type="http://schemas.openxmlformats.org/officeDocument/2006/relationships/hyperlink" Target="http://secrets.rutgers.edu:8080/data/asl-ftp/asllvd/demos/verify_start_end_handshape_annotations//test_auto_move//signs_mov_separ_signers/Liz_3844.mov" TargetMode="External"/><Relationship Id="rId17465" Type="http://schemas.openxmlformats.org/officeDocument/2006/relationships/hyperlink" Target="http://csr.bu.edu/ftp/asl/asllvd/demos/verify_start_end_handshape_annotations//test_auto_move//signs_mov/2387_3844_5944_merged.mov" TargetMode="External"/><Relationship Id="rId17466" Type="http://schemas.openxmlformats.org/officeDocument/2006/relationships/hyperlink" Target="http://csr.bu.edu/ftp/asl/asllvd/demos/verify_start_end_handshape_annotations//test_auto_move//signs_mov_separ_signers/Brady_2387.mov" TargetMode="External"/><Relationship Id="rId17467" Type="http://schemas.openxmlformats.org/officeDocument/2006/relationships/hyperlink" Target="http://secrets.rutgers.edu:8080/data/asl-ftp/asllvd/demos/verify_start_end_handshape_annotations//test_auto_move//signs_mov/2387_3844_5944_merged.mov" TargetMode="External"/><Relationship Id="rId17468" Type="http://schemas.openxmlformats.org/officeDocument/2006/relationships/hyperlink" Target="http://secrets.rutgers.edu:8080/data/asl-ftp/asllvd/demos/verify_start_end_handshape_annotations//test_auto_move//signs_mov_separ_signers/Brady_2387.mov" TargetMode="External"/><Relationship Id="rId17469" Type="http://schemas.openxmlformats.org/officeDocument/2006/relationships/hyperlink" Target="http://csr.bu.edu/ftp/asl/asllvd/demos/verify_start_end_handshape_annotations//test_auto_move//signs_mov_separ_signers/Brady_3844.mov" TargetMode="External"/><Relationship Id="rId17470" Type="http://schemas.openxmlformats.org/officeDocument/2006/relationships/hyperlink" Target="http://secrets.rutgers.edu:8080/data/asl-ftp/asllvd/demos/verify_start_end_handshape_annotations//test_auto_move//signs_mov_separ_signers/Brady_3844.mov" TargetMode="External"/><Relationship Id="rId17471" Type="http://schemas.openxmlformats.org/officeDocument/2006/relationships/hyperlink" Target="http://csr.bu.edu/ftp/asl/asllvd/demos/verify_start_end_handshape_annotations//test_auto_move//signs_mov_separ_signers/Brady_5944.mov" TargetMode="External"/><Relationship Id="rId17472" Type="http://schemas.openxmlformats.org/officeDocument/2006/relationships/hyperlink" Target="http://secrets.rutgers.edu:8080/data/asl-ftp/asllvd/demos/verify_start_end_handshape_annotations//test_auto_move//signs_mov_separ_signers/Brady_5944.mov" TargetMode="External"/><Relationship Id="rId17473" Type="http://schemas.openxmlformats.org/officeDocument/2006/relationships/hyperlink" Target="http://csr.bu.edu/ftp/asl/asllvd/demos/verify_start_end_handshape_annotations//test_auto_move//signs_mov/2390.mov" TargetMode="External"/><Relationship Id="rId17474" Type="http://schemas.openxmlformats.org/officeDocument/2006/relationships/hyperlink" Target="http://csr.bu.edu/ftp/asl/asllvd/demos/verify_start_end_handshape_annotations//test_auto_move//signs_mov_separ_signers/Liz_2390.mov" TargetMode="External"/><Relationship Id="rId17475" Type="http://schemas.openxmlformats.org/officeDocument/2006/relationships/hyperlink" Target="http://secrets.rutgers.edu:8080/data/asl-ftp/asllvd/demos/verify_start_end_handshape_annotations//test_auto_move//signs_mov/2390.mov" TargetMode="External"/><Relationship Id="rId17476" Type="http://schemas.openxmlformats.org/officeDocument/2006/relationships/hyperlink" Target="http://secrets.rutgers.edu:8080/data/asl-ftp/asllvd/demos/verify_start_end_handshape_annotations//test_auto_move//signs_mov_separ_signers/Liz_2390.mov" TargetMode="External"/><Relationship Id="rId17477" Type="http://schemas.openxmlformats.org/officeDocument/2006/relationships/hyperlink" Target="http://csr.bu.edu/ftp/asl/asllvd/demos/verify_start_end_handshape_annotations//test_auto_move//signs_mov_separ_signers/Brady_2390.mov" TargetMode="External"/><Relationship Id="rId17478" Type="http://schemas.openxmlformats.org/officeDocument/2006/relationships/hyperlink" Target="http://secrets.rutgers.edu:8080/data/asl-ftp/asllvd/demos/verify_start_end_handshape_annotations//test_auto_move//signs_mov_separ_signers/Brady_2390.mov" TargetMode="External"/><Relationship Id="rId17479" Type="http://schemas.openxmlformats.org/officeDocument/2006/relationships/hyperlink" Target="http://csr.bu.edu/ftp/asl/asllvd/demos/verify_start_end_handshape_annotations//test_auto_move//signs_mov/2392.mov" TargetMode="External"/><Relationship Id="rId17480" Type="http://schemas.openxmlformats.org/officeDocument/2006/relationships/hyperlink" Target="http://csr.bu.edu/ftp/asl/asllvd/demos/verify_start_end_handshape_annotations//test_auto_move//signs_mov_separ_signers/Liz_2392.mov" TargetMode="External"/><Relationship Id="rId17481" Type="http://schemas.openxmlformats.org/officeDocument/2006/relationships/hyperlink" Target="http://secrets.rutgers.edu:8080/data/asl-ftp/asllvd/demos/verify_start_end_handshape_annotations//test_auto_move//signs_mov/2392.mov" TargetMode="External"/><Relationship Id="rId17482" Type="http://schemas.openxmlformats.org/officeDocument/2006/relationships/hyperlink" Target="http://secrets.rutgers.edu:8080/data/asl-ftp/asllvd/demos/verify_start_end_handshape_annotations//test_auto_move//signs_mov_separ_signers/Liz_2392.mov" TargetMode="External"/><Relationship Id="rId17483" Type="http://schemas.openxmlformats.org/officeDocument/2006/relationships/hyperlink" Target="http://csr.bu.edu/ftp/asl/asllvd/demos/verify_start_end_handshape_annotations//test_auto_move//signs_mov_separ_signers/Brady_2392.mov" TargetMode="External"/><Relationship Id="rId17484" Type="http://schemas.openxmlformats.org/officeDocument/2006/relationships/hyperlink" Target="http://secrets.rutgers.edu:8080/data/asl-ftp/asllvd/demos/verify_start_end_handshape_annotations//test_auto_move//signs_mov_separ_signers/Brady_2392.mov" TargetMode="External"/><Relationship Id="rId17485" Type="http://schemas.openxmlformats.org/officeDocument/2006/relationships/hyperlink" Target="http://csr.bu.edu/ftp/asl/asllvd/demos/verify_start_end_handshape_annotations//test_auto_move//signs_mov_separ_signers/Liz_2393.mov" TargetMode="External"/><Relationship Id="rId17486" Type="http://schemas.openxmlformats.org/officeDocument/2006/relationships/hyperlink" Target="http://secrets.rutgers.edu:8080/data/asl-ftp/asllvd/demos/verify_start_end_handshape_annotations//test_auto_move//signs_mov_separ_signers/Liz_2393.mov" TargetMode="External"/><Relationship Id="rId17487" Type="http://schemas.openxmlformats.org/officeDocument/2006/relationships/hyperlink" Target="http://csr.bu.edu/ftp/asl/asllvd/demos/verify_start_end_handshape_annotations//test_auto_move//signs_mov/2393.mov" TargetMode="External"/><Relationship Id="rId17488" Type="http://schemas.openxmlformats.org/officeDocument/2006/relationships/hyperlink" Target="http://csr.bu.edu/ftp/asl/asllvd/demos/verify_start_end_handshape_annotations//test_auto_move//signs_mov_separ_signers/Tyler_2393.mov" TargetMode="External"/><Relationship Id="rId17489" Type="http://schemas.openxmlformats.org/officeDocument/2006/relationships/hyperlink" Target="http://secrets.rutgers.edu:8080/data/asl-ftp/asllvd/demos/verify_start_end_handshape_annotations//test_auto_move//signs_mov/2393.mov" TargetMode="External"/><Relationship Id="rId17490" Type="http://schemas.openxmlformats.org/officeDocument/2006/relationships/hyperlink" Target="http://secrets.rutgers.edu:8080/data/asl-ftp/asllvd/demos/verify_start_end_handshape_annotations//test_auto_move//signs_mov_separ_signers/Tyler_2393.mov" TargetMode="External"/><Relationship Id="rId17491" Type="http://schemas.openxmlformats.org/officeDocument/2006/relationships/hyperlink" Target="http://csr.bu.edu/ftp/asl/asllvd/demos/verify_start_end_handshape_annotations//test_auto_move//signs_mov_separ_signers/Brady_2393.mov" TargetMode="External"/><Relationship Id="rId17492" Type="http://schemas.openxmlformats.org/officeDocument/2006/relationships/hyperlink" Target="http://secrets.rutgers.edu:8080/data/asl-ftp/asllvd/demos/verify_start_end_handshape_annotations//test_auto_move//signs_mov_separ_signers/Brady_2393.mov" TargetMode="External"/><Relationship Id="rId17493" Type="http://schemas.openxmlformats.org/officeDocument/2006/relationships/hyperlink" Target="http://csr.bu.edu/ftp/asl/asllvd/demos/verify_start_end_handshape_annotations//test_auto_move//signs_mov_separ_signers/Liz_2397.mov" TargetMode="External"/><Relationship Id="rId17494" Type="http://schemas.openxmlformats.org/officeDocument/2006/relationships/hyperlink" Target="http://secrets.rutgers.edu:8080/data/asl-ftp/asllvd/demos/verify_start_end_handshape_annotations//test_auto_move//signs_mov_separ_signers/Liz_2397.mov" TargetMode="External"/><Relationship Id="rId17495" Type="http://schemas.openxmlformats.org/officeDocument/2006/relationships/hyperlink" Target="http://csr.bu.edu/ftp/asl/asllvd/demos/verify_start_end_handshape_annotations//test_auto_move//signs_mov/2397_3481_merged.mov" TargetMode="External"/><Relationship Id="rId17496" Type="http://schemas.openxmlformats.org/officeDocument/2006/relationships/hyperlink" Target="http://csr.bu.edu/ftp/asl/asllvd/demos/verify_start_end_handshape_annotations//test_auto_move//signs_mov_separ_signers/Liz_3481.mov" TargetMode="External"/><Relationship Id="rId17497" Type="http://schemas.openxmlformats.org/officeDocument/2006/relationships/hyperlink" Target="http://secrets.rutgers.edu:8080/data/asl-ftp/asllvd/demos/verify_start_end_handshape_annotations//test_auto_move//signs_mov/2397_3481_merged.mov" TargetMode="External"/><Relationship Id="rId17498" Type="http://schemas.openxmlformats.org/officeDocument/2006/relationships/hyperlink" Target="http://secrets.rutgers.edu:8080/data/asl-ftp/asllvd/demos/verify_start_end_handshape_annotations//test_auto_move//signs_mov_separ_signers/Liz_3481.mov" TargetMode="External"/><Relationship Id="rId17499" Type="http://schemas.openxmlformats.org/officeDocument/2006/relationships/hyperlink" Target="http://csr.bu.edu/ftp/asl/asllvd/demos/verify_start_end_handshape_annotations//test_auto_move//signs_mov_separ_signers/Brady_2397.mov" TargetMode="External"/><Relationship Id="rId17500" Type="http://schemas.openxmlformats.org/officeDocument/2006/relationships/hyperlink" Target="http://secrets.rutgers.edu:8080/data/asl-ftp/asllvd/demos/verify_start_end_handshape_annotations//test_auto_move//signs_mov_separ_signers/Brady_2397.mov" TargetMode="External"/><Relationship Id="rId17501" Type="http://schemas.openxmlformats.org/officeDocument/2006/relationships/hyperlink" Target="http://csr.bu.edu/ftp/asl/asllvd/demos/verify_start_end_handshape_annotations//test_auto_move//signs_mov_separ_signers/Brady_3481.mov" TargetMode="External"/><Relationship Id="rId17502" Type="http://schemas.openxmlformats.org/officeDocument/2006/relationships/hyperlink" Target="http://secrets.rutgers.edu:8080/data/asl-ftp/asllvd/demos/verify_start_end_handshape_annotations//test_auto_move//signs_mov_separ_signers/Brady_3481.mov" TargetMode="External"/><Relationship Id="rId17503" Type="http://schemas.openxmlformats.org/officeDocument/2006/relationships/hyperlink" Target="http://csr.bu.edu/ftp/asl/asllvd/demos/verify_start_end_handshape_annotations//test_auto_move//signs_mov_separ_signers/Liz_5943.mov" TargetMode="External"/><Relationship Id="rId17504" Type="http://schemas.openxmlformats.org/officeDocument/2006/relationships/hyperlink" Target="http://secrets.rutgers.edu:8080/data/asl-ftp/asllvd/demos/verify_start_end_handshape_annotations//test_auto_move//signs_mov_separ_signers/Liz_5943.mov" TargetMode="External"/><Relationship Id="rId17505" Type="http://schemas.openxmlformats.org/officeDocument/2006/relationships/hyperlink" Target="http://csr.bu.edu/ftp/asl/asllvd/demos/verify_start_end_handshape_annotations//test_auto_move//signs_mov_separ_signers/Liz_15842.mov" TargetMode="External"/><Relationship Id="rId17506" Type="http://schemas.openxmlformats.org/officeDocument/2006/relationships/hyperlink" Target="http://secrets.rutgers.edu:8080/data/asl-ftp/asllvd/demos/verify_start_end_handshape_annotations//test_auto_move//signs_mov_separ_signers/Liz_15842.mov" TargetMode="External"/><Relationship Id="rId17507" Type="http://schemas.openxmlformats.org/officeDocument/2006/relationships/hyperlink" Target="http://csr.bu.edu/ftp/asl/asllvd/demos/verify_start_end_handshape_annotations//test_auto_move//signs_mov_separ_signers/Tyler_5943.mov" TargetMode="External"/><Relationship Id="rId17508" Type="http://schemas.openxmlformats.org/officeDocument/2006/relationships/hyperlink" Target="http://secrets.rutgers.edu:8080/data/asl-ftp/asllvd/demos/verify_start_end_handshape_annotations//test_auto_move//signs_mov_separ_signers/Tyler_5943.mov" TargetMode="External"/><Relationship Id="rId17509" Type="http://schemas.openxmlformats.org/officeDocument/2006/relationships/hyperlink" Target="http://csr.bu.edu/ftp/asl/asllvd/demos/verify_start_end_handshape_annotations//test_auto_move//signs_mov_separ_signers/Naomi_5943.mov" TargetMode="External"/><Relationship Id="rId17510" Type="http://schemas.openxmlformats.org/officeDocument/2006/relationships/hyperlink" Target="http://secrets.rutgers.edu:8080/data/asl-ftp/asllvd/demos/verify_start_end_handshape_annotations//test_auto_move//signs_mov_separ_signers/Naomi_5943.mov" TargetMode="External"/><Relationship Id="rId17511" Type="http://schemas.openxmlformats.org/officeDocument/2006/relationships/hyperlink" Target="http://csr.bu.edu/ftp/asl/asllvd/demos/verify_start_end_handshape_annotations//test_auto_move//signs_mov/5943_15842_15860_15904_merged.mov" TargetMode="External"/><Relationship Id="rId17512" Type="http://schemas.openxmlformats.org/officeDocument/2006/relationships/hyperlink" Target="http://csr.bu.edu/ftp/asl/asllvd/demos/verify_start_end_handshape_annotations//test_auto_move//signs_mov_separ_signers/Brady_5943.mov" TargetMode="External"/><Relationship Id="rId17513" Type="http://schemas.openxmlformats.org/officeDocument/2006/relationships/hyperlink" Target="http://secrets.rutgers.edu:8080/data/asl-ftp/asllvd/demos/verify_start_end_handshape_annotations//test_auto_move//signs_mov/5943_15842_15860_15904_merged.mov" TargetMode="External"/><Relationship Id="rId17514" Type="http://schemas.openxmlformats.org/officeDocument/2006/relationships/hyperlink" Target="http://secrets.rutgers.edu:8080/data/asl-ftp/asllvd/demos/verify_start_end_handshape_annotations//test_auto_move//signs_mov_separ_signers/Brady_5943.mov" TargetMode="External"/><Relationship Id="rId17515" Type="http://schemas.openxmlformats.org/officeDocument/2006/relationships/hyperlink" Target="http://csr.bu.edu/ftp/asl/asllvd/demos/verify_start_end_handshape_annotations//test_auto_move//signs_mov_separ_signers/Brady_15842.mov" TargetMode="External"/><Relationship Id="rId17516" Type="http://schemas.openxmlformats.org/officeDocument/2006/relationships/hyperlink" Target="http://secrets.rutgers.edu:8080/data/asl-ftp/asllvd/demos/verify_start_end_handshape_annotations//test_auto_move//signs_mov_separ_signers/Brady_15842.mov" TargetMode="External"/><Relationship Id="rId17517" Type="http://schemas.openxmlformats.org/officeDocument/2006/relationships/hyperlink" Target="http://csr.bu.edu/ftp/asl/asllvd/demos/verify_start_end_handshape_annotations//test_auto_move//signs_mov_separ_signers/Brady_15860.mov" TargetMode="External"/><Relationship Id="rId17518" Type="http://schemas.openxmlformats.org/officeDocument/2006/relationships/hyperlink" Target="http://secrets.rutgers.edu:8080/data/asl-ftp/asllvd/demos/verify_start_end_handshape_annotations//test_auto_move//signs_mov_separ_signers/Brady_15860.mov" TargetMode="External"/><Relationship Id="rId17519" Type="http://schemas.openxmlformats.org/officeDocument/2006/relationships/hyperlink" Target="http://csr.bu.edu/ftp/asl/asllvd/demos/verify_start_end_handshape_annotations//test_auto_move//signs_mov_separ_signers/Brady_15904.mov" TargetMode="External"/><Relationship Id="rId17520" Type="http://schemas.openxmlformats.org/officeDocument/2006/relationships/hyperlink" Target="http://secrets.rutgers.edu:8080/data/asl-ftp/asllvd/demos/verify_start_end_handshape_annotations//test_auto_move//signs_mov_separ_signers/Brady_15904.mov" TargetMode="External"/><Relationship Id="rId17521" Type="http://schemas.openxmlformats.org/officeDocument/2006/relationships/hyperlink" Target="http://csr.bu.edu/ftp/asl/asllvd/demos/verify_start_end_handshape_annotations//test_auto_move//signs_mov_separ_signers/Lana_5943.mov" TargetMode="External"/><Relationship Id="rId17522" Type="http://schemas.openxmlformats.org/officeDocument/2006/relationships/hyperlink" Target="http://secrets.rutgers.edu:8080/data/asl-ftp/asllvd/demos/verify_start_end_handshape_annotations//test_auto_move//signs_mov_separ_signers/Lana_5943.mov" TargetMode="External"/><Relationship Id="rId17523" Type="http://schemas.openxmlformats.org/officeDocument/2006/relationships/hyperlink" Target="http://csr.bu.edu/ftp/asl/asllvd/demos/verify_start_end_handshape_annotations//test_auto_move//signs_mov_separ_signers/Dana_5943.mov" TargetMode="External"/><Relationship Id="rId17524" Type="http://schemas.openxmlformats.org/officeDocument/2006/relationships/hyperlink" Target="http://secrets.rutgers.edu:8080/data/asl-ftp/asllvd/demos/verify_start_end_handshape_annotations//test_auto_move//signs_mov_separ_signers/Dana_5943.mov" TargetMode="External"/><Relationship Id="rId17525" Type="http://schemas.openxmlformats.org/officeDocument/2006/relationships/hyperlink" Target="http://csr.bu.edu/ftp/asl/asllvd/demos/verify_start_end_handshape_annotations//test_auto_move//signs_mov_separ_signers/Liz_15933.mov" TargetMode="External"/><Relationship Id="rId17526" Type="http://schemas.openxmlformats.org/officeDocument/2006/relationships/hyperlink" Target="http://secrets.rutgers.edu:8080/data/asl-ftp/asllvd/demos/verify_start_end_handshape_annotations//test_auto_move//signs_mov_separ_signers/Liz_15933.mov" TargetMode="External"/><Relationship Id="rId17527" Type="http://schemas.openxmlformats.org/officeDocument/2006/relationships/hyperlink" Target="http://csr.bu.edu/ftp/asl/asllvd/demos/verify_start_end_handshape_annotations//test_auto_move//signs_mov_separ_signers/Tyler_15933.mov" TargetMode="External"/><Relationship Id="rId17528" Type="http://schemas.openxmlformats.org/officeDocument/2006/relationships/hyperlink" Target="http://secrets.rutgers.edu:8080/data/asl-ftp/asllvd/demos/verify_start_end_handshape_annotations//test_auto_move//signs_mov_separ_signers/Tyler_15933.mov" TargetMode="External"/><Relationship Id="rId17529" Type="http://schemas.openxmlformats.org/officeDocument/2006/relationships/hyperlink" Target="http://csr.bu.edu/ftp/asl/asllvd/demos/verify_start_end_handshape_annotations//test_auto_move//signs_mov/15933_15958_merged.mov" TargetMode="External"/><Relationship Id="rId17530" Type="http://schemas.openxmlformats.org/officeDocument/2006/relationships/hyperlink" Target="http://csr.bu.edu/ftp/asl/asllvd/demos/verify_start_end_handshape_annotations//test_auto_move//signs_mov_separ_signers/Naomi_15933.mov" TargetMode="External"/><Relationship Id="rId17531" Type="http://schemas.openxmlformats.org/officeDocument/2006/relationships/hyperlink" Target="http://secrets.rutgers.edu:8080/data/asl-ftp/asllvd/demos/verify_start_end_handshape_annotations//test_auto_move//signs_mov/15933_15958_merged.mov" TargetMode="External"/><Relationship Id="rId17532" Type="http://schemas.openxmlformats.org/officeDocument/2006/relationships/hyperlink" Target="http://secrets.rutgers.edu:8080/data/asl-ftp/asllvd/demos/verify_start_end_handshape_annotations//test_auto_move//signs_mov_separ_signers/Naomi_15933.mov" TargetMode="External"/><Relationship Id="rId17533" Type="http://schemas.openxmlformats.org/officeDocument/2006/relationships/hyperlink" Target="http://csr.bu.edu/ftp/asl/asllvd/demos/verify_start_end_handshape_annotations//test_auto_move//signs_mov_separ_signers/Brady_15933.mov" TargetMode="External"/><Relationship Id="rId17534" Type="http://schemas.openxmlformats.org/officeDocument/2006/relationships/hyperlink" Target="http://secrets.rutgers.edu:8080/data/asl-ftp/asllvd/demos/verify_start_end_handshape_annotations//test_auto_move//signs_mov_separ_signers/Brady_15933.mov" TargetMode="External"/><Relationship Id="rId17535" Type="http://schemas.openxmlformats.org/officeDocument/2006/relationships/hyperlink" Target="http://csr.bu.edu/ftp/asl/asllvd/demos/verify_start_end_handshape_annotations//test_auto_move//signs_mov_separ_signers/Brady_15958.mov" TargetMode="External"/><Relationship Id="rId17536" Type="http://schemas.openxmlformats.org/officeDocument/2006/relationships/hyperlink" Target="http://secrets.rutgers.edu:8080/data/asl-ftp/asllvd/demos/verify_start_end_handshape_annotations//test_auto_move//signs_mov_separ_signers/Brady_15958.mov" TargetMode="External"/><Relationship Id="rId17537" Type="http://schemas.openxmlformats.org/officeDocument/2006/relationships/hyperlink" Target="http://csr.bu.edu/ftp/asl/asllvd/demos/verify_start_end_handshape_annotations//test_auto_move//signs_mov/2400.mov" TargetMode="External"/><Relationship Id="rId17538" Type="http://schemas.openxmlformats.org/officeDocument/2006/relationships/hyperlink" Target="http://csr.bu.edu/ftp/asl/asllvd/demos/verify_start_end_handshape_annotations//test_auto_move//signs_mov_separ_signers/Liz_2400.mov" TargetMode="External"/><Relationship Id="rId17539" Type="http://schemas.openxmlformats.org/officeDocument/2006/relationships/hyperlink" Target="http://secrets.rutgers.edu:8080/data/asl-ftp/asllvd/demos/verify_start_end_handshape_annotations//test_auto_move//signs_mov/2400.mov" TargetMode="External"/><Relationship Id="rId17540" Type="http://schemas.openxmlformats.org/officeDocument/2006/relationships/hyperlink" Target="http://secrets.rutgers.edu:8080/data/asl-ftp/asllvd/demos/verify_start_end_handshape_annotations//test_auto_move//signs_mov_separ_signers/Liz_2400.mov" TargetMode="External"/><Relationship Id="rId17541" Type="http://schemas.openxmlformats.org/officeDocument/2006/relationships/hyperlink" Target="http://csr.bu.edu/ftp/asl/asllvd/demos/verify_start_end_handshape_annotations//test_auto_move//signs_mov_separ_signers/Brady_2400.mov" TargetMode="External"/><Relationship Id="rId17542" Type="http://schemas.openxmlformats.org/officeDocument/2006/relationships/hyperlink" Target="http://secrets.rutgers.edu:8080/data/asl-ftp/asllvd/demos/verify_start_end_handshape_annotations//test_auto_move//signs_mov_separ_signers/Brady_2400.mov" TargetMode="External"/><Relationship Id="rId17543" Type="http://schemas.openxmlformats.org/officeDocument/2006/relationships/hyperlink" Target="http://csr.bu.edu/ftp/asl/asllvd/demos/verify_start_end_handshape_annotations//test_auto_move//signs_mov/2403.mov" TargetMode="External"/><Relationship Id="rId17544" Type="http://schemas.openxmlformats.org/officeDocument/2006/relationships/hyperlink" Target="http://csr.bu.edu/ftp/asl/asllvd/demos/verify_start_end_handshape_annotations//test_auto_move//signs_mov_separ_signers/Liz_2403.mov" TargetMode="External"/><Relationship Id="rId17545" Type="http://schemas.openxmlformats.org/officeDocument/2006/relationships/hyperlink" Target="http://secrets.rutgers.edu:8080/data/asl-ftp/asllvd/demos/verify_start_end_handshape_annotations//test_auto_move//signs_mov/2403.mov" TargetMode="External"/><Relationship Id="rId17546" Type="http://schemas.openxmlformats.org/officeDocument/2006/relationships/hyperlink" Target="http://secrets.rutgers.edu:8080/data/asl-ftp/asllvd/demos/verify_start_end_handshape_annotations//test_auto_move//signs_mov_separ_signers/Liz_2403.mov" TargetMode="External"/><Relationship Id="rId17547" Type="http://schemas.openxmlformats.org/officeDocument/2006/relationships/hyperlink" Target="http://csr.bu.edu/ftp/asl/asllvd/demos/verify_start_end_handshape_annotations//test_auto_move//signs_mov_separ_signers/Brady_2403.mov" TargetMode="External"/><Relationship Id="rId17548" Type="http://schemas.openxmlformats.org/officeDocument/2006/relationships/hyperlink" Target="http://secrets.rutgers.edu:8080/data/asl-ftp/asllvd/demos/verify_start_end_handshape_annotations//test_auto_move//signs_mov_separ_signers/Brady_2403.mov" TargetMode="External"/><Relationship Id="rId17549" Type="http://schemas.openxmlformats.org/officeDocument/2006/relationships/hyperlink" Target="http://csr.bu.edu/ftp/asl/asllvd/demos/verify_start_end_handshape_annotations//test_auto_move//signs_mov/2404.mov" TargetMode="External"/><Relationship Id="rId17550" Type="http://schemas.openxmlformats.org/officeDocument/2006/relationships/hyperlink" Target="http://csr.bu.edu/ftp/asl/asllvd/demos/verify_start_end_handshape_annotations//test_auto_move//signs_mov_separ_signers/Liz_2404.mov" TargetMode="External"/><Relationship Id="rId17551" Type="http://schemas.openxmlformats.org/officeDocument/2006/relationships/hyperlink" Target="http://secrets.rutgers.edu:8080/data/asl-ftp/asllvd/demos/verify_start_end_handshape_annotations//test_auto_move//signs_mov/2404.mov" TargetMode="External"/><Relationship Id="rId17552" Type="http://schemas.openxmlformats.org/officeDocument/2006/relationships/hyperlink" Target="http://secrets.rutgers.edu:8080/data/asl-ftp/asllvd/demos/verify_start_end_handshape_annotations//test_auto_move//signs_mov_separ_signers/Liz_2404.mov" TargetMode="External"/><Relationship Id="rId17553" Type="http://schemas.openxmlformats.org/officeDocument/2006/relationships/hyperlink" Target="http://csr.bu.edu/ftp/asl/asllvd/demos/verify_start_end_handshape_annotations//test_auto_move//signs_mov_separ_signers/Brady_2404.mov" TargetMode="External"/><Relationship Id="rId17554" Type="http://schemas.openxmlformats.org/officeDocument/2006/relationships/hyperlink" Target="http://secrets.rutgers.edu:8080/data/asl-ftp/asllvd/demos/verify_start_end_handshape_annotations//test_auto_move//signs_mov_separ_signers/Brady_2404.mov" TargetMode="External"/><Relationship Id="rId17555" Type="http://schemas.openxmlformats.org/officeDocument/2006/relationships/hyperlink" Target="http://csr.bu.edu/ftp/asl/asllvd/demos/verify_start_end_handshape_annotations//test_auto_move//signs_mov_separ_signers/Liz_15909.mov" TargetMode="External"/><Relationship Id="rId17556" Type="http://schemas.openxmlformats.org/officeDocument/2006/relationships/hyperlink" Target="http://secrets.rutgers.edu:8080/data/asl-ftp/asllvd/demos/verify_start_end_handshape_annotations//test_auto_move//signs_mov_separ_signers/Liz_15909.mov" TargetMode="External"/><Relationship Id="rId17557" Type="http://schemas.openxmlformats.org/officeDocument/2006/relationships/hyperlink" Target="http://csr.bu.edu/ftp/asl/asllvd/demos/verify_start_end_handshape_annotations//test_auto_move//signs_mov/15909.mov" TargetMode="External"/><Relationship Id="rId17558" Type="http://schemas.openxmlformats.org/officeDocument/2006/relationships/hyperlink" Target="http://csr.bu.edu/ftp/asl/asllvd/demos/verify_start_end_handshape_annotations//test_auto_move//signs_mov_separ_signers/Naomi_15909.mov" TargetMode="External"/><Relationship Id="rId17559" Type="http://schemas.openxmlformats.org/officeDocument/2006/relationships/hyperlink" Target="http://secrets.rutgers.edu:8080/data/asl-ftp/asllvd/demos/verify_start_end_handshape_annotations//test_auto_move//signs_mov/15909.mov" TargetMode="External"/><Relationship Id="rId17560" Type="http://schemas.openxmlformats.org/officeDocument/2006/relationships/hyperlink" Target="http://secrets.rutgers.edu:8080/data/asl-ftp/asllvd/demos/verify_start_end_handshape_annotations//test_auto_move//signs_mov_separ_signers/Naomi_15909.mov" TargetMode="External"/><Relationship Id="rId17561" Type="http://schemas.openxmlformats.org/officeDocument/2006/relationships/hyperlink" Target="http://csr.bu.edu/ftp/asl/asllvd/demos/verify_start_end_handshape_annotations//test_auto_move//signs_mov_separ_signers/Brady_15909.mov" TargetMode="External"/><Relationship Id="rId17562" Type="http://schemas.openxmlformats.org/officeDocument/2006/relationships/hyperlink" Target="http://secrets.rutgers.edu:8080/data/asl-ftp/asllvd/demos/verify_start_end_handshape_annotations//test_auto_move//signs_mov_separ_signers/Brady_15909.mov" TargetMode="External"/><Relationship Id="rId17563" Type="http://schemas.openxmlformats.org/officeDocument/2006/relationships/hyperlink" Target="http://csr.bu.edu/ftp/asl/asllvd/demos/verify_start_end_handshape_annotations//test_auto_move//signs_mov/15941.mov" TargetMode="External"/><Relationship Id="rId17564" Type="http://schemas.openxmlformats.org/officeDocument/2006/relationships/hyperlink" Target="http://csr.bu.edu/ftp/asl/asllvd/demos/verify_start_end_handshape_annotations//test_auto_move//signs_mov_separ_signers/Liz_15941.mov" TargetMode="External"/><Relationship Id="rId17565" Type="http://schemas.openxmlformats.org/officeDocument/2006/relationships/hyperlink" Target="http://secrets.rutgers.edu:8080/data/asl-ftp/asllvd/demos/verify_start_end_handshape_annotations//test_auto_move//signs_mov/15941.mov" TargetMode="External"/><Relationship Id="rId17566" Type="http://schemas.openxmlformats.org/officeDocument/2006/relationships/hyperlink" Target="http://secrets.rutgers.edu:8080/data/asl-ftp/asllvd/demos/verify_start_end_handshape_annotations//test_auto_move//signs_mov_separ_signers/Liz_15941.mov" TargetMode="External"/><Relationship Id="rId17567" Type="http://schemas.openxmlformats.org/officeDocument/2006/relationships/hyperlink" Target="http://csr.bu.edu/ftp/asl/asllvd/demos/verify_start_end_handshape_annotations//test_auto_move//signs_mov_separ_signers/Brady_15941.mov" TargetMode="External"/><Relationship Id="rId17568" Type="http://schemas.openxmlformats.org/officeDocument/2006/relationships/hyperlink" Target="http://secrets.rutgers.edu:8080/data/asl-ftp/asllvd/demos/verify_start_end_handshape_annotations//test_auto_move//signs_mov_separ_signers/Brady_15941.mov" TargetMode="External"/><Relationship Id="rId17569" Type="http://schemas.openxmlformats.org/officeDocument/2006/relationships/hyperlink" Target="http://csr.bu.edu/ftp/asl/asllvd/demos/verify_start_end_handshape_annotations//test_auto_move//signs_mov/16069.mov" TargetMode="External"/><Relationship Id="rId17570" Type="http://schemas.openxmlformats.org/officeDocument/2006/relationships/hyperlink" Target="http://csr.bu.edu/ftp/asl/asllvd/demos/verify_start_end_handshape_annotations//test_auto_move//signs_mov_separ_signers/Liz_16069.mov" TargetMode="External"/><Relationship Id="rId17571" Type="http://schemas.openxmlformats.org/officeDocument/2006/relationships/hyperlink" Target="http://secrets.rutgers.edu:8080/data/asl-ftp/asllvd/demos/verify_start_end_handshape_annotations//test_auto_move//signs_mov/16069.mov" TargetMode="External"/><Relationship Id="rId17572" Type="http://schemas.openxmlformats.org/officeDocument/2006/relationships/hyperlink" Target="http://secrets.rutgers.edu:8080/data/asl-ftp/asllvd/demos/verify_start_end_handshape_annotations//test_auto_move//signs_mov_separ_signers/Liz_16069.mov" TargetMode="External"/><Relationship Id="rId17573" Type="http://schemas.openxmlformats.org/officeDocument/2006/relationships/hyperlink" Target="http://csr.bu.edu/ftp/asl/asllvd/demos/verify_start_end_handshape_annotations//test_auto_move//signs_mov_separ_signers/Brady_16069.mov" TargetMode="External"/><Relationship Id="rId17574" Type="http://schemas.openxmlformats.org/officeDocument/2006/relationships/hyperlink" Target="http://secrets.rutgers.edu:8080/data/asl-ftp/asllvd/demos/verify_start_end_handshape_annotations//test_auto_move//signs_mov_separ_signers/Brady_16069.mov" TargetMode="External"/><Relationship Id="rId17575" Type="http://schemas.openxmlformats.org/officeDocument/2006/relationships/hyperlink" Target="http://csr.bu.edu/ftp/asl/asllvd/demos/verify_start_end_handshape_annotations//test_auto_move//signs_mov_separ_signers/Liz_2406.mov" TargetMode="External"/><Relationship Id="rId17576" Type="http://schemas.openxmlformats.org/officeDocument/2006/relationships/hyperlink" Target="http://secrets.rutgers.edu:8080/data/asl-ftp/asllvd/demos/verify_start_end_handshape_annotations//test_auto_move//signs_mov_separ_signers/Liz_2406.mov" TargetMode="External"/><Relationship Id="rId17577" Type="http://schemas.openxmlformats.org/officeDocument/2006/relationships/hyperlink" Target="http://csr.bu.edu/ftp/asl/asllvd/demos/verify_start_end_handshape_annotations//test_auto_move//signs_mov/2406_3420_merged.mov" TargetMode="External"/><Relationship Id="rId17578" Type="http://schemas.openxmlformats.org/officeDocument/2006/relationships/hyperlink" Target="http://csr.bu.edu/ftp/asl/asllvd/demos/verify_start_end_handshape_annotations//test_auto_move//signs_mov_separ_signers/Liz_3420.mov" TargetMode="External"/><Relationship Id="rId17579" Type="http://schemas.openxmlformats.org/officeDocument/2006/relationships/hyperlink" Target="http://secrets.rutgers.edu:8080/data/asl-ftp/asllvd/demos/verify_start_end_handshape_annotations//test_auto_move//signs_mov/2406_3420_merged.mov" TargetMode="External"/><Relationship Id="rId17580" Type="http://schemas.openxmlformats.org/officeDocument/2006/relationships/hyperlink" Target="http://secrets.rutgers.edu:8080/data/asl-ftp/asllvd/demos/verify_start_end_handshape_annotations//test_auto_move//signs_mov_separ_signers/Liz_3420.mov" TargetMode="External"/><Relationship Id="rId17581" Type="http://schemas.openxmlformats.org/officeDocument/2006/relationships/hyperlink" Target="http://csr.bu.edu/ftp/asl/asllvd/demos/verify_start_end_handshape_annotations//test_auto_move//signs_mov_separ_signers/Brady_2406.mov" TargetMode="External"/><Relationship Id="rId17582" Type="http://schemas.openxmlformats.org/officeDocument/2006/relationships/hyperlink" Target="http://secrets.rutgers.edu:8080/data/asl-ftp/asllvd/demos/verify_start_end_handshape_annotations//test_auto_move//signs_mov_separ_signers/Brady_2406.mov" TargetMode="External"/><Relationship Id="rId17583" Type="http://schemas.openxmlformats.org/officeDocument/2006/relationships/hyperlink" Target="http://csr.bu.edu/ftp/asl/asllvd/demos/verify_start_end_handshape_annotations//test_auto_move//signs_mov/2407.mov" TargetMode="External"/><Relationship Id="rId17584" Type="http://schemas.openxmlformats.org/officeDocument/2006/relationships/hyperlink" Target="http://csr.bu.edu/ftp/asl/asllvd/demos/verify_start_end_handshape_annotations//test_auto_move//signs_mov_separ_signers/Liz_2407.mov" TargetMode="External"/><Relationship Id="rId17585" Type="http://schemas.openxmlformats.org/officeDocument/2006/relationships/hyperlink" Target="http://secrets.rutgers.edu:8080/data/asl-ftp/asllvd/demos/verify_start_end_handshape_annotations//test_auto_move//signs_mov/2407.mov" TargetMode="External"/><Relationship Id="rId17586" Type="http://schemas.openxmlformats.org/officeDocument/2006/relationships/hyperlink" Target="http://secrets.rutgers.edu:8080/data/asl-ftp/asllvd/demos/verify_start_end_handshape_annotations//test_auto_move//signs_mov_separ_signers/Liz_2407.mov" TargetMode="External"/><Relationship Id="rId17587" Type="http://schemas.openxmlformats.org/officeDocument/2006/relationships/hyperlink" Target="http://csr.bu.edu/ftp/asl/asllvd/demos/verify_start_end_handshape_annotations//test_auto_move//signs_mov_separ_signers/Brady_2407.mov" TargetMode="External"/><Relationship Id="rId17588" Type="http://schemas.openxmlformats.org/officeDocument/2006/relationships/hyperlink" Target="http://secrets.rutgers.edu:8080/data/asl-ftp/asllvd/demos/verify_start_end_handshape_annotations//test_auto_move//signs_mov_separ_signers/Brady_2407.mov" TargetMode="External"/><Relationship Id="rId17589" Type="http://schemas.openxmlformats.org/officeDocument/2006/relationships/hyperlink" Target="http://csr.bu.edu/ftp/asl/asllvd/demos/verify_start_end_handshape_annotations//test_auto_move//signs_mov_separ_signers/Liz_2409.mov" TargetMode="External"/><Relationship Id="rId17590" Type="http://schemas.openxmlformats.org/officeDocument/2006/relationships/hyperlink" Target="http://secrets.rutgers.edu:8080/data/asl-ftp/asllvd/demos/verify_start_end_handshape_annotations//test_auto_move//signs_mov_separ_signers/Liz_2409.mov" TargetMode="External"/><Relationship Id="rId17591" Type="http://schemas.openxmlformats.org/officeDocument/2006/relationships/hyperlink" Target="http://csr.bu.edu/ftp/asl/asllvd/demos/verify_start_end_handshape_annotations//test_auto_move//signs_mov/2409_3428_merged.mov" TargetMode="External"/><Relationship Id="rId17592" Type="http://schemas.openxmlformats.org/officeDocument/2006/relationships/hyperlink" Target="http://csr.bu.edu/ftp/asl/asllvd/demos/verify_start_end_handshape_annotations//test_auto_move//signs_mov_separ_signers/Liz_3428.mov" TargetMode="External"/><Relationship Id="rId17593" Type="http://schemas.openxmlformats.org/officeDocument/2006/relationships/hyperlink" Target="http://secrets.rutgers.edu:8080/data/asl-ftp/asllvd/demos/verify_start_end_handshape_annotations//test_auto_move//signs_mov/2409_3428_merged.mov" TargetMode="External"/><Relationship Id="rId17594" Type="http://schemas.openxmlformats.org/officeDocument/2006/relationships/hyperlink" Target="http://secrets.rutgers.edu:8080/data/asl-ftp/asllvd/demos/verify_start_end_handshape_annotations//test_auto_move//signs_mov_separ_signers/Liz_3428.mov" TargetMode="External"/><Relationship Id="rId17595" Type="http://schemas.openxmlformats.org/officeDocument/2006/relationships/hyperlink" Target="http://csr.bu.edu/ftp/asl/asllvd/demos/verify_start_end_handshape_annotations//test_auto_move//signs_mov_separ_signers/Brady_2409.mov" TargetMode="External"/><Relationship Id="rId17596" Type="http://schemas.openxmlformats.org/officeDocument/2006/relationships/hyperlink" Target="http://secrets.rutgers.edu:8080/data/asl-ftp/asllvd/demos/verify_start_end_handshape_annotations//test_auto_move//signs_mov_separ_signers/Brady_2409.mov" TargetMode="External"/><Relationship Id="rId17597" Type="http://schemas.openxmlformats.org/officeDocument/2006/relationships/hyperlink" Target="http://csr.bu.edu/ftp/asl/asllvd/demos/verify_start_end_handshape_annotations//test_auto_move//signs_mov/4539.mov" TargetMode="External"/><Relationship Id="rId17598" Type="http://schemas.openxmlformats.org/officeDocument/2006/relationships/hyperlink" Target="http://csr.bu.edu/ftp/asl/asllvd/demos/verify_start_end_handshape_annotations//test_auto_move//signs_mov_separ_signers/Liz_4539.mov" TargetMode="External"/><Relationship Id="rId17599" Type="http://schemas.openxmlformats.org/officeDocument/2006/relationships/hyperlink" Target="http://secrets.rutgers.edu:8080/data/asl-ftp/asllvd/demos/verify_start_end_handshape_annotations//test_auto_move//signs_mov/4539.mov" TargetMode="External"/><Relationship Id="rId17600" Type="http://schemas.openxmlformats.org/officeDocument/2006/relationships/hyperlink" Target="http://secrets.rutgers.edu:8080/data/asl-ftp/asllvd/demos/verify_start_end_handshape_annotations//test_auto_move//signs_mov_separ_signers/Liz_4539.mov" TargetMode="External"/><Relationship Id="rId17601" Type="http://schemas.openxmlformats.org/officeDocument/2006/relationships/hyperlink" Target="http://csr.bu.edu/ftp/asl/asllvd/demos/verify_start_end_handshape_annotations//test_auto_move//signs_mov/2410.mov" TargetMode="External"/><Relationship Id="rId17602" Type="http://schemas.openxmlformats.org/officeDocument/2006/relationships/hyperlink" Target="http://csr.bu.edu/ftp/asl/asllvd/demos/verify_start_end_handshape_annotations//test_auto_move//signs_mov_separ_signers/Liz_2410.mov" TargetMode="External"/><Relationship Id="rId17603" Type="http://schemas.openxmlformats.org/officeDocument/2006/relationships/hyperlink" Target="http://secrets.rutgers.edu:8080/data/asl-ftp/asllvd/demos/verify_start_end_handshape_annotations//test_auto_move//signs_mov/2410.mov" TargetMode="External"/><Relationship Id="rId17604" Type="http://schemas.openxmlformats.org/officeDocument/2006/relationships/hyperlink" Target="http://secrets.rutgers.edu:8080/data/asl-ftp/asllvd/demos/verify_start_end_handshape_annotations//test_auto_move//signs_mov_separ_signers/Liz_2410.mov" TargetMode="External"/><Relationship Id="rId17605" Type="http://schemas.openxmlformats.org/officeDocument/2006/relationships/hyperlink" Target="http://csr.bu.edu/ftp/asl/asllvd/demos/verify_start_end_handshape_annotations//test_auto_move//signs_mov_separ_signers/Brady_2410.mov" TargetMode="External"/><Relationship Id="rId17606" Type="http://schemas.openxmlformats.org/officeDocument/2006/relationships/hyperlink" Target="http://secrets.rutgers.edu:8080/data/asl-ftp/asllvd/demos/verify_start_end_handshape_annotations//test_auto_move//signs_mov_separ_signers/Brady_2410.mov" TargetMode="External"/><Relationship Id="rId17607" Type="http://schemas.openxmlformats.org/officeDocument/2006/relationships/hyperlink" Target="http://csr.bu.edu/ftp/asl/asllvd/demos/verify_start_end_handshape_annotations//test_auto_move//signs_mov/2415.mov" TargetMode="External"/><Relationship Id="rId17608" Type="http://schemas.openxmlformats.org/officeDocument/2006/relationships/hyperlink" Target="http://csr.bu.edu/ftp/asl/asllvd/demos/verify_start_end_handshape_annotations//test_auto_move//signs_mov_separ_signers/Liz_2415.mov" TargetMode="External"/><Relationship Id="rId17609" Type="http://schemas.openxmlformats.org/officeDocument/2006/relationships/hyperlink" Target="http://secrets.rutgers.edu:8080/data/asl-ftp/asllvd/demos/verify_start_end_handshape_annotations//test_auto_move//signs_mov/2415.mov" TargetMode="External"/><Relationship Id="rId17610" Type="http://schemas.openxmlformats.org/officeDocument/2006/relationships/hyperlink" Target="http://secrets.rutgers.edu:8080/data/asl-ftp/asllvd/demos/verify_start_end_handshape_annotations//test_auto_move//signs_mov_separ_signers/Liz_2415.mov" TargetMode="External"/><Relationship Id="rId17611" Type="http://schemas.openxmlformats.org/officeDocument/2006/relationships/hyperlink" Target="http://csr.bu.edu/ftp/asl/asllvd/demos/verify_start_end_handshape_annotations//test_auto_move//signs_mov_separ_signers/Brady_2415.mov" TargetMode="External"/><Relationship Id="rId17612" Type="http://schemas.openxmlformats.org/officeDocument/2006/relationships/hyperlink" Target="http://secrets.rutgers.edu:8080/data/asl-ftp/asllvd/demos/verify_start_end_handshape_annotations//test_auto_move//signs_mov_separ_signers/Brady_2415.mov" TargetMode="External"/><Relationship Id="rId17613" Type="http://schemas.openxmlformats.org/officeDocument/2006/relationships/hyperlink" Target="http://csr.bu.edu/ftp/asl/asllvd/demos/verify_start_end_handshape_annotations//test_auto_move//signs_mov/15275.mov" TargetMode="External"/><Relationship Id="rId17614" Type="http://schemas.openxmlformats.org/officeDocument/2006/relationships/hyperlink" Target="http://csr.bu.edu/ftp/asl/asllvd/demos/verify_start_end_handshape_annotations//test_auto_move//signs_mov_separ_signers/Liz_15275.mov" TargetMode="External"/><Relationship Id="rId17615" Type="http://schemas.openxmlformats.org/officeDocument/2006/relationships/hyperlink" Target="http://secrets.rutgers.edu:8080/data/asl-ftp/asllvd/demos/verify_start_end_handshape_annotations//test_auto_move//signs_mov/15275.mov" TargetMode="External"/><Relationship Id="rId17616" Type="http://schemas.openxmlformats.org/officeDocument/2006/relationships/hyperlink" Target="http://secrets.rutgers.edu:8080/data/asl-ftp/asllvd/demos/verify_start_end_handshape_annotations//test_auto_move//signs_mov_separ_signers/Liz_15275.mov" TargetMode="External"/><Relationship Id="rId17617" Type="http://schemas.openxmlformats.org/officeDocument/2006/relationships/hyperlink" Target="http://csr.bu.edu/ftp/asl/asllvd/demos/verify_start_end_handshape_annotations//test_auto_move//signs_mov_separ_signers/Brady_15275.mov" TargetMode="External"/><Relationship Id="rId17618" Type="http://schemas.openxmlformats.org/officeDocument/2006/relationships/hyperlink" Target="http://secrets.rutgers.edu:8080/data/asl-ftp/asllvd/demos/verify_start_end_handshape_annotations//test_auto_move//signs_mov_separ_signers/Brady_15275.mov" TargetMode="External"/><Relationship Id="rId17619" Type="http://schemas.openxmlformats.org/officeDocument/2006/relationships/hyperlink" Target="http://csr.bu.edu/ftp/asl/asllvd/demos/verify_start_end_handshape_annotations//test_auto_move//signs_mov/2417.mov" TargetMode="External"/><Relationship Id="rId17620" Type="http://schemas.openxmlformats.org/officeDocument/2006/relationships/hyperlink" Target="http://csr.bu.edu/ftp/asl/asllvd/demos/verify_start_end_handshape_annotations//test_auto_move//signs_mov_separ_signers/Liz_2417.mov" TargetMode="External"/><Relationship Id="rId17621" Type="http://schemas.openxmlformats.org/officeDocument/2006/relationships/hyperlink" Target="http://secrets.rutgers.edu:8080/data/asl-ftp/asllvd/demos/verify_start_end_handshape_annotations//test_auto_move//signs_mov/2417.mov" TargetMode="External"/><Relationship Id="rId17622" Type="http://schemas.openxmlformats.org/officeDocument/2006/relationships/hyperlink" Target="http://secrets.rutgers.edu:8080/data/asl-ftp/asllvd/demos/verify_start_end_handshape_annotations//test_auto_move//signs_mov_separ_signers/Liz_2417.mov" TargetMode="External"/><Relationship Id="rId17623" Type="http://schemas.openxmlformats.org/officeDocument/2006/relationships/hyperlink" Target="http://csr.bu.edu/ftp/asl/asllvd/demos/verify_start_end_handshape_annotations//test_auto_move//signs_mov_separ_signers/Brady_2417.mov" TargetMode="External"/><Relationship Id="rId17624" Type="http://schemas.openxmlformats.org/officeDocument/2006/relationships/hyperlink" Target="http://secrets.rutgers.edu:8080/data/asl-ftp/asllvd/demos/verify_start_end_handshape_annotations//test_auto_move//signs_mov_separ_signers/Brady_2417.mov" TargetMode="External"/><Relationship Id="rId17625" Type="http://schemas.openxmlformats.org/officeDocument/2006/relationships/hyperlink" Target="http://csr.bu.edu/ftp/asl/asllvd/demos/verify_start_end_handshape_annotations//test_auto_move//signs_mov/3553.mov" TargetMode="External"/><Relationship Id="rId17626" Type="http://schemas.openxmlformats.org/officeDocument/2006/relationships/hyperlink" Target="http://csr.bu.edu/ftp/asl/asllvd/demos/verify_start_end_handshape_annotations//test_auto_move//signs_mov_separ_signers/Liz_3553.mov" TargetMode="External"/><Relationship Id="rId17627" Type="http://schemas.openxmlformats.org/officeDocument/2006/relationships/hyperlink" Target="http://secrets.rutgers.edu:8080/data/asl-ftp/asllvd/demos/verify_start_end_handshape_annotations//test_auto_move//signs_mov/3553.mov" TargetMode="External"/><Relationship Id="rId17628" Type="http://schemas.openxmlformats.org/officeDocument/2006/relationships/hyperlink" Target="http://secrets.rutgers.edu:8080/data/asl-ftp/asllvd/demos/verify_start_end_handshape_annotations//test_auto_move//signs_mov_separ_signers/Liz_3553.mov" TargetMode="External"/><Relationship Id="rId17629" Type="http://schemas.openxmlformats.org/officeDocument/2006/relationships/hyperlink" Target="http://csr.bu.edu/ftp/asl/asllvd/demos/verify_start_end_handshape_annotations//test_auto_move//signs_mov/2418.mov" TargetMode="External"/><Relationship Id="rId17630" Type="http://schemas.openxmlformats.org/officeDocument/2006/relationships/hyperlink" Target="http://csr.bu.edu/ftp/asl/asllvd/demos/verify_start_end_handshape_annotations//test_auto_move//signs_mov_separ_signers/Liz_2418.mov" TargetMode="External"/><Relationship Id="rId17631" Type="http://schemas.openxmlformats.org/officeDocument/2006/relationships/hyperlink" Target="http://secrets.rutgers.edu:8080/data/asl-ftp/asllvd/demos/verify_start_end_handshape_annotations//test_auto_move//signs_mov/2418.mov" TargetMode="External"/><Relationship Id="rId17632" Type="http://schemas.openxmlformats.org/officeDocument/2006/relationships/hyperlink" Target="http://secrets.rutgers.edu:8080/data/asl-ftp/asllvd/demos/verify_start_end_handshape_annotations//test_auto_move//signs_mov_separ_signers/Liz_2418.mov" TargetMode="External"/><Relationship Id="rId17633" Type="http://schemas.openxmlformats.org/officeDocument/2006/relationships/hyperlink" Target="http://csr.bu.edu/ftp/asl/asllvd/demos/verify_start_end_handshape_annotations//test_auto_move//signs_mov_separ_signers/Brady_2418.mov" TargetMode="External"/><Relationship Id="rId17634" Type="http://schemas.openxmlformats.org/officeDocument/2006/relationships/hyperlink" Target="http://secrets.rutgers.edu:8080/data/asl-ftp/asllvd/demos/verify_start_end_handshape_annotations//test_auto_move//signs_mov_separ_signers/Brady_2418.mov" TargetMode="External"/><Relationship Id="rId17635" Type="http://schemas.openxmlformats.org/officeDocument/2006/relationships/hyperlink" Target="http://csr.bu.edu/ftp/asl/asllvd/demos/verify_start_end_handshape_annotations//test_auto_move//signs_mov/15819.mov" TargetMode="External"/><Relationship Id="rId17636" Type="http://schemas.openxmlformats.org/officeDocument/2006/relationships/hyperlink" Target="http://csr.bu.edu/ftp/asl/asllvd/demos/verify_start_end_handshape_annotations//test_auto_move//signs_mov_separ_signers/Liz_15819.mov" TargetMode="External"/><Relationship Id="rId17637" Type="http://schemas.openxmlformats.org/officeDocument/2006/relationships/hyperlink" Target="http://secrets.rutgers.edu:8080/data/asl-ftp/asllvd/demos/verify_start_end_handshape_annotations//test_auto_move//signs_mov/15819.mov" TargetMode="External"/><Relationship Id="rId17638" Type="http://schemas.openxmlformats.org/officeDocument/2006/relationships/hyperlink" Target="http://secrets.rutgers.edu:8080/data/asl-ftp/asllvd/demos/verify_start_end_handshape_annotations//test_auto_move//signs_mov_separ_signers/Liz_15819.mov" TargetMode="External"/><Relationship Id="rId17639" Type="http://schemas.openxmlformats.org/officeDocument/2006/relationships/hyperlink" Target="http://csr.bu.edu/ftp/asl/asllvd/demos/verify_start_end_handshape_annotations//test_auto_move//signs_mov_separ_signers/Brady_15819.mov" TargetMode="External"/><Relationship Id="rId17640" Type="http://schemas.openxmlformats.org/officeDocument/2006/relationships/hyperlink" Target="http://secrets.rutgers.edu:8080/data/asl-ftp/asllvd/demos/verify_start_end_handshape_annotations//test_auto_move//signs_mov_separ_signers/Brady_15819.mov" TargetMode="External"/><Relationship Id="rId17641" Type="http://schemas.openxmlformats.org/officeDocument/2006/relationships/hyperlink" Target="http://csr.bu.edu/ftp/asl/asllvd/demos/verify_start_end_handshape_annotations//test_auto_move//signs_mov_separ_signers/Liz_2419.mov" TargetMode="External"/><Relationship Id="rId17642" Type="http://schemas.openxmlformats.org/officeDocument/2006/relationships/hyperlink" Target="http://secrets.rutgers.edu:8080/data/asl-ftp/asllvd/demos/verify_start_end_handshape_annotations//test_auto_move//signs_mov_separ_signers/Liz_2419.mov" TargetMode="External"/><Relationship Id="rId17643" Type="http://schemas.openxmlformats.org/officeDocument/2006/relationships/hyperlink" Target="http://csr.bu.edu/ftp/asl/asllvd/demos/verify_start_end_handshape_annotations//test_auto_move//signs_mov/2419_5740_merged.mov" TargetMode="External"/><Relationship Id="rId17644" Type="http://schemas.openxmlformats.org/officeDocument/2006/relationships/hyperlink" Target="http://csr.bu.edu/ftp/asl/asllvd/demos/verify_start_end_handshape_annotations//test_auto_move//signs_mov_separ_signers/Brady_2419.mov" TargetMode="External"/><Relationship Id="rId17645" Type="http://schemas.openxmlformats.org/officeDocument/2006/relationships/hyperlink" Target="http://secrets.rutgers.edu:8080/data/asl-ftp/asllvd/demos/verify_start_end_handshape_annotations//test_auto_move//signs_mov/2419_5740_merged.mov" TargetMode="External"/><Relationship Id="rId17646" Type="http://schemas.openxmlformats.org/officeDocument/2006/relationships/hyperlink" Target="http://secrets.rutgers.edu:8080/data/asl-ftp/asllvd/demos/verify_start_end_handshape_annotations//test_auto_move//signs_mov_separ_signers/Brady_2419.mov" TargetMode="External"/><Relationship Id="rId17647" Type="http://schemas.openxmlformats.org/officeDocument/2006/relationships/hyperlink" Target="http://csr.bu.edu/ftp/asl/asllvd/demos/verify_start_end_handshape_annotations//test_auto_move//signs_mov_separ_signers/Brady_5740.mov" TargetMode="External"/><Relationship Id="rId17648" Type="http://schemas.openxmlformats.org/officeDocument/2006/relationships/hyperlink" Target="http://secrets.rutgers.edu:8080/data/asl-ftp/asllvd/demos/verify_start_end_handshape_annotations//test_auto_move//signs_mov_separ_signers/Brady_5740.mov" TargetMode="External"/><Relationship Id="rId17649" Type="http://schemas.openxmlformats.org/officeDocument/2006/relationships/hyperlink" Target="http://csr.bu.edu/ftp/asl/asllvd/demos/verify_start_end_handshape_annotations//test_auto_move//signs_mov/15553.mov" TargetMode="External"/><Relationship Id="rId17650" Type="http://schemas.openxmlformats.org/officeDocument/2006/relationships/hyperlink" Target="http://csr.bu.edu/ftp/asl/asllvd/demos/verify_start_end_handshape_annotations//test_auto_move//signs_mov_separ_signers/Liz_15553.mov" TargetMode="External"/><Relationship Id="rId17651" Type="http://schemas.openxmlformats.org/officeDocument/2006/relationships/hyperlink" Target="http://secrets.rutgers.edu:8080/data/asl-ftp/asllvd/demos/verify_start_end_handshape_annotations//test_auto_move//signs_mov/15553.mov" TargetMode="External"/><Relationship Id="rId17652" Type="http://schemas.openxmlformats.org/officeDocument/2006/relationships/hyperlink" Target="http://secrets.rutgers.edu:8080/data/asl-ftp/asllvd/demos/verify_start_end_handshape_annotations//test_auto_move//signs_mov_separ_signers/Liz_15553.mov" TargetMode="External"/><Relationship Id="rId17653" Type="http://schemas.openxmlformats.org/officeDocument/2006/relationships/hyperlink" Target="http://csr.bu.edu/ftp/asl/asllvd/demos/verify_start_end_handshape_annotations//test_auto_move//signs_mov_separ_signers/Brady_15553.mov" TargetMode="External"/><Relationship Id="rId17654" Type="http://schemas.openxmlformats.org/officeDocument/2006/relationships/hyperlink" Target="http://secrets.rutgers.edu:8080/data/asl-ftp/asllvd/demos/verify_start_end_handshape_annotations//test_auto_move//signs_mov_separ_signers/Brady_15553.mov" TargetMode="External"/><Relationship Id="rId17655" Type="http://schemas.openxmlformats.org/officeDocument/2006/relationships/hyperlink" Target="http://csr.bu.edu/ftp/asl/asllvd/demos/verify_start_end_handshape_annotations//test_auto_move//signs_mov/15630.mov" TargetMode="External"/><Relationship Id="rId17656" Type="http://schemas.openxmlformats.org/officeDocument/2006/relationships/hyperlink" Target="http://csr.bu.edu/ftp/asl/asllvd/demos/verify_start_end_handshape_annotations//test_auto_move//signs_mov_separ_signers/Liz_15630.mov" TargetMode="External"/><Relationship Id="rId17657" Type="http://schemas.openxmlformats.org/officeDocument/2006/relationships/hyperlink" Target="http://secrets.rutgers.edu:8080/data/asl-ftp/asllvd/demos/verify_start_end_handshape_annotations//test_auto_move//signs_mov/15630.mov" TargetMode="External"/><Relationship Id="rId17658" Type="http://schemas.openxmlformats.org/officeDocument/2006/relationships/hyperlink" Target="http://secrets.rutgers.edu:8080/data/asl-ftp/asllvd/demos/verify_start_end_handshape_annotations//test_auto_move//signs_mov_separ_signers/Liz_15630.mov" TargetMode="External"/><Relationship Id="rId17659" Type="http://schemas.openxmlformats.org/officeDocument/2006/relationships/hyperlink" Target="http://csr.bu.edu/ftp/asl/asllvd/demos/verify_start_end_handshape_annotations//test_auto_move//signs_mov/2421.mov" TargetMode="External"/><Relationship Id="rId17660" Type="http://schemas.openxmlformats.org/officeDocument/2006/relationships/hyperlink" Target="http://csr.bu.edu/ftp/asl/asllvd/demos/verify_start_end_handshape_annotations//test_auto_move//signs_mov_separ_signers/Liz_2421.mov" TargetMode="External"/><Relationship Id="rId17661" Type="http://schemas.openxmlformats.org/officeDocument/2006/relationships/hyperlink" Target="http://secrets.rutgers.edu:8080/data/asl-ftp/asllvd/demos/verify_start_end_handshape_annotations//test_auto_move//signs_mov/2421.mov" TargetMode="External"/><Relationship Id="rId17662" Type="http://schemas.openxmlformats.org/officeDocument/2006/relationships/hyperlink" Target="http://secrets.rutgers.edu:8080/data/asl-ftp/asllvd/demos/verify_start_end_handshape_annotations//test_auto_move//signs_mov_separ_signers/Liz_2421.mov" TargetMode="External"/><Relationship Id="rId17663" Type="http://schemas.openxmlformats.org/officeDocument/2006/relationships/hyperlink" Target="http://csr.bu.edu/ftp/asl/asllvd/demos/verify_start_end_handshape_annotations//test_auto_move//signs_mov_separ_signers/Brady_2421.mov" TargetMode="External"/><Relationship Id="rId17664" Type="http://schemas.openxmlformats.org/officeDocument/2006/relationships/hyperlink" Target="http://secrets.rutgers.edu:8080/data/asl-ftp/asllvd/demos/verify_start_end_handshape_annotations//test_auto_move//signs_mov_separ_signers/Brady_2421.mov" TargetMode="External"/><Relationship Id="rId17665" Type="http://schemas.openxmlformats.org/officeDocument/2006/relationships/hyperlink" Target="http://csr.bu.edu/ftp/asl/asllvd/demos/verify_start_end_handshape_annotations//test_auto_move//signs_mov/15411.mov" TargetMode="External"/><Relationship Id="rId17666" Type="http://schemas.openxmlformats.org/officeDocument/2006/relationships/hyperlink" Target="http://csr.bu.edu/ftp/asl/asllvd/demos/verify_start_end_handshape_annotations//test_auto_move//signs_mov_separ_signers/Liz_15411.mov" TargetMode="External"/><Relationship Id="rId17667" Type="http://schemas.openxmlformats.org/officeDocument/2006/relationships/hyperlink" Target="http://secrets.rutgers.edu:8080/data/asl-ftp/asllvd/demos/verify_start_end_handshape_annotations//test_auto_move//signs_mov/15411.mov" TargetMode="External"/><Relationship Id="rId17668" Type="http://schemas.openxmlformats.org/officeDocument/2006/relationships/hyperlink" Target="http://secrets.rutgers.edu:8080/data/asl-ftp/asllvd/demos/verify_start_end_handshape_annotations//test_auto_move//signs_mov_separ_signers/Liz_15411.mov" TargetMode="External"/><Relationship Id="rId17669" Type="http://schemas.openxmlformats.org/officeDocument/2006/relationships/hyperlink" Target="http://csr.bu.edu/ftp/asl/asllvd/demos/verify_start_end_handshape_annotations//test_auto_move//signs_mov_separ_signers/Brady_15411.mov" TargetMode="External"/><Relationship Id="rId17670" Type="http://schemas.openxmlformats.org/officeDocument/2006/relationships/hyperlink" Target="http://secrets.rutgers.edu:8080/data/asl-ftp/asllvd/demos/verify_start_end_handshape_annotations//test_auto_move//signs_mov_separ_signers/Brady_15411.mov" TargetMode="External"/><Relationship Id="rId17671" Type="http://schemas.openxmlformats.org/officeDocument/2006/relationships/hyperlink" Target="http://csr.bu.edu/ftp/asl/asllvd/demos/verify_start_end_handshape_annotations//test_auto_move//signs_mov/15432.mov" TargetMode="External"/><Relationship Id="rId17672" Type="http://schemas.openxmlformats.org/officeDocument/2006/relationships/hyperlink" Target="http://csr.bu.edu/ftp/asl/asllvd/demos/verify_start_end_handshape_annotations//test_auto_move//signs_mov_separ_signers/Liz_15432.mov" TargetMode="External"/><Relationship Id="rId17673" Type="http://schemas.openxmlformats.org/officeDocument/2006/relationships/hyperlink" Target="http://secrets.rutgers.edu:8080/data/asl-ftp/asllvd/demos/verify_start_end_handshape_annotations//test_auto_move//signs_mov/15432.mov" TargetMode="External"/><Relationship Id="rId17674" Type="http://schemas.openxmlformats.org/officeDocument/2006/relationships/hyperlink" Target="http://secrets.rutgers.edu:8080/data/asl-ftp/asllvd/demos/verify_start_end_handshape_annotations//test_auto_move//signs_mov_separ_signers/Liz_15432.mov" TargetMode="External"/><Relationship Id="rId17675" Type="http://schemas.openxmlformats.org/officeDocument/2006/relationships/hyperlink" Target="http://csr.bu.edu/ftp/asl/asllvd/demos/verify_start_end_handshape_annotations//test_auto_move//signs_mov_separ_signers/Liz_15438.mov" TargetMode="External"/><Relationship Id="rId17676" Type="http://schemas.openxmlformats.org/officeDocument/2006/relationships/hyperlink" Target="http://secrets.rutgers.edu:8080/data/asl-ftp/asllvd/demos/verify_start_end_handshape_annotations//test_auto_move//signs_mov_separ_signers/Liz_15438.mov" TargetMode="External"/><Relationship Id="rId17677" Type="http://schemas.openxmlformats.org/officeDocument/2006/relationships/hyperlink" Target="http://csr.bu.edu/ftp/asl/asllvd/demos/verify_start_end_handshape_annotations//test_auto_move//signs_mov_separ_signers/Tyler_15438.mov" TargetMode="External"/><Relationship Id="rId17678" Type="http://schemas.openxmlformats.org/officeDocument/2006/relationships/hyperlink" Target="http://secrets.rutgers.edu:8080/data/asl-ftp/asllvd/demos/verify_start_end_handshape_annotations//test_auto_move//signs_mov_separ_signers/Tyler_15438.mov" TargetMode="External"/><Relationship Id="rId17679" Type="http://schemas.openxmlformats.org/officeDocument/2006/relationships/hyperlink" Target="http://csr.bu.edu/ftp/asl/asllvd/demos/verify_start_end_handshape_annotations//test_auto_move//signs_mov/15438_15444_merged.mov" TargetMode="External"/><Relationship Id="rId17680" Type="http://schemas.openxmlformats.org/officeDocument/2006/relationships/hyperlink" Target="http://csr.bu.edu/ftp/asl/asllvd/demos/verify_start_end_handshape_annotations//test_auto_move//signs_mov_separ_signers/Tyler_15444.mov" TargetMode="External"/><Relationship Id="rId17681" Type="http://schemas.openxmlformats.org/officeDocument/2006/relationships/hyperlink" Target="http://secrets.rutgers.edu:8080/data/asl-ftp/asllvd/demos/verify_start_end_handshape_annotations//test_auto_move//signs_mov/15438_15444_merged.mov" TargetMode="External"/><Relationship Id="rId17682" Type="http://schemas.openxmlformats.org/officeDocument/2006/relationships/hyperlink" Target="http://secrets.rutgers.edu:8080/data/asl-ftp/asllvd/demos/verify_start_end_handshape_annotations//test_auto_move//signs_mov_separ_signers/Tyler_15444.mov" TargetMode="External"/><Relationship Id="rId17683" Type="http://schemas.openxmlformats.org/officeDocument/2006/relationships/hyperlink" Target="http://csr.bu.edu/ftp/asl/asllvd/demos/verify_start_end_handshape_annotations//test_auto_move//signs_mov_separ_signers/Naomi_15438.mov" TargetMode="External"/><Relationship Id="rId17684" Type="http://schemas.openxmlformats.org/officeDocument/2006/relationships/hyperlink" Target="http://secrets.rutgers.edu:8080/data/asl-ftp/asllvd/demos/verify_start_end_handshape_annotations//test_auto_move//signs_mov_separ_signers/Naomi_15438.mov" TargetMode="External"/><Relationship Id="rId17685" Type="http://schemas.openxmlformats.org/officeDocument/2006/relationships/hyperlink" Target="http://csr.bu.edu/ftp/asl/asllvd/demos/verify_start_end_handshape_annotations//test_auto_move//signs_mov_separ_signers/Brady_15438.mov" TargetMode="External"/><Relationship Id="rId17686" Type="http://schemas.openxmlformats.org/officeDocument/2006/relationships/hyperlink" Target="http://secrets.rutgers.edu:8080/data/asl-ftp/asllvd/demos/verify_start_end_handshape_annotations//test_auto_move//signs_mov_separ_signers/Brady_15438.mov" TargetMode="External"/><Relationship Id="rId17687" Type="http://schemas.openxmlformats.org/officeDocument/2006/relationships/hyperlink" Target="http://csr.bu.edu/ftp/asl/asllvd/demos/verify_start_end_handshape_annotations//test_auto_move//signs_mov_separ_signers/Brady_15444.mov" TargetMode="External"/><Relationship Id="rId17688" Type="http://schemas.openxmlformats.org/officeDocument/2006/relationships/hyperlink" Target="http://secrets.rutgers.edu:8080/data/asl-ftp/asllvd/demos/verify_start_end_handshape_annotations//test_auto_move//signs_mov_separ_signers/Brady_15444.mov" TargetMode="External"/><Relationship Id="rId17689" Type="http://schemas.openxmlformats.org/officeDocument/2006/relationships/hyperlink" Target="http://csr.bu.edu/ftp/asl/asllvd/demos/verify_start_end_handshape_annotations//test_auto_move//signs_mov_separ_signers/Liz_15486.mov" TargetMode="External"/><Relationship Id="rId17690" Type="http://schemas.openxmlformats.org/officeDocument/2006/relationships/hyperlink" Target="http://secrets.rutgers.edu:8080/data/asl-ftp/asllvd/demos/verify_start_end_handshape_annotations//test_auto_move//signs_mov_separ_signers/Liz_15486.mov" TargetMode="External"/><Relationship Id="rId17691" Type="http://schemas.openxmlformats.org/officeDocument/2006/relationships/hyperlink" Target="http://csr.bu.edu/ftp/asl/asllvd/demos/verify_start_end_handshape_annotations//test_auto_move//signs_mov/15486.mov" TargetMode="External"/><Relationship Id="rId17692" Type="http://schemas.openxmlformats.org/officeDocument/2006/relationships/hyperlink" Target="http://csr.bu.edu/ftp/asl/asllvd/demos/verify_start_end_handshape_annotations//test_auto_move//signs_mov_separ_signers/Tyler_15486.mov" TargetMode="External"/><Relationship Id="rId17693" Type="http://schemas.openxmlformats.org/officeDocument/2006/relationships/hyperlink" Target="http://secrets.rutgers.edu:8080/data/asl-ftp/asllvd/demos/verify_start_end_handshape_annotations//test_auto_move//signs_mov/15486.mov" TargetMode="External"/><Relationship Id="rId17694" Type="http://schemas.openxmlformats.org/officeDocument/2006/relationships/hyperlink" Target="http://secrets.rutgers.edu:8080/data/asl-ftp/asllvd/demos/verify_start_end_handshape_annotations//test_auto_move//signs_mov_separ_signers/Tyler_15486.mov" TargetMode="External"/><Relationship Id="rId17695" Type="http://schemas.openxmlformats.org/officeDocument/2006/relationships/hyperlink" Target="http://csr.bu.edu/ftp/asl/asllvd/demos/verify_start_end_handshape_annotations//test_auto_move//signs_mov_separ_signers/Brady_15486.mov" TargetMode="External"/><Relationship Id="rId17696" Type="http://schemas.openxmlformats.org/officeDocument/2006/relationships/hyperlink" Target="http://secrets.rutgers.edu:8080/data/asl-ftp/asllvd/demos/verify_start_end_handshape_annotations//test_auto_move//signs_mov_separ_signers/Brady_15486.mov" TargetMode="External"/><Relationship Id="rId17697" Type="http://schemas.openxmlformats.org/officeDocument/2006/relationships/hyperlink" Target="http://csr.bu.edu/ftp/asl/asllvd/demos/verify_start_end_handshape_annotations//test_auto_move//signs_mov/2425.mov" TargetMode="External"/><Relationship Id="rId17698" Type="http://schemas.openxmlformats.org/officeDocument/2006/relationships/hyperlink" Target="http://csr.bu.edu/ftp/asl/asllvd/demos/verify_start_end_handshape_annotations//test_auto_move//signs_mov_separ_signers/Liz_2425.mov" TargetMode="External"/><Relationship Id="rId17699" Type="http://schemas.openxmlformats.org/officeDocument/2006/relationships/hyperlink" Target="http://secrets.rutgers.edu:8080/data/asl-ftp/asllvd/demos/verify_start_end_handshape_annotations//test_auto_move//signs_mov/2425.mov" TargetMode="External"/><Relationship Id="rId17700" Type="http://schemas.openxmlformats.org/officeDocument/2006/relationships/hyperlink" Target="http://secrets.rutgers.edu:8080/data/asl-ftp/asllvd/demos/verify_start_end_handshape_annotations//test_auto_move//signs_mov_separ_signers/Liz_2425.mov" TargetMode="External"/><Relationship Id="rId17701" Type="http://schemas.openxmlformats.org/officeDocument/2006/relationships/hyperlink" Target="http://csr.bu.edu/ftp/asl/asllvd/demos/verify_start_end_handshape_annotations//test_auto_move//signs_mov_separ_signers/Brady_2425.mov" TargetMode="External"/><Relationship Id="rId17702" Type="http://schemas.openxmlformats.org/officeDocument/2006/relationships/hyperlink" Target="http://secrets.rutgers.edu:8080/data/asl-ftp/asllvd/demos/verify_start_end_handshape_annotations//test_auto_move//signs_mov_separ_signers/Brady_2425.mov" TargetMode="External"/><Relationship Id="rId17703" Type="http://schemas.openxmlformats.org/officeDocument/2006/relationships/hyperlink" Target="http://csr.bu.edu/ftp/asl/asllvd/demos/verify_start_end_handshape_annotations//test_auto_move//signs_mov/2426.mov" TargetMode="External"/><Relationship Id="rId17704" Type="http://schemas.openxmlformats.org/officeDocument/2006/relationships/hyperlink" Target="http://csr.bu.edu/ftp/asl/asllvd/demos/verify_start_end_handshape_annotations//test_auto_move//signs_mov_separ_signers/Liz_2426.mov" TargetMode="External"/><Relationship Id="rId17705" Type="http://schemas.openxmlformats.org/officeDocument/2006/relationships/hyperlink" Target="http://secrets.rutgers.edu:8080/data/asl-ftp/asllvd/demos/verify_start_end_handshape_annotations//test_auto_move//signs_mov/2426.mov" TargetMode="External"/><Relationship Id="rId17706" Type="http://schemas.openxmlformats.org/officeDocument/2006/relationships/hyperlink" Target="http://secrets.rutgers.edu:8080/data/asl-ftp/asllvd/demos/verify_start_end_handshape_annotations//test_auto_move//signs_mov_separ_signers/Liz_2426.mov" TargetMode="External"/><Relationship Id="rId17707" Type="http://schemas.openxmlformats.org/officeDocument/2006/relationships/hyperlink" Target="http://csr.bu.edu/ftp/asl/asllvd/demos/verify_start_end_handshape_annotations//test_auto_move//signs_mov/16462.mov" TargetMode="External"/><Relationship Id="rId17708" Type="http://schemas.openxmlformats.org/officeDocument/2006/relationships/hyperlink" Target="http://csr.bu.edu/ftp/asl/asllvd/demos/verify_start_end_handshape_annotations//test_auto_move//signs_mov_separ_signers/Brady_16462.mov" TargetMode="External"/><Relationship Id="rId17709" Type="http://schemas.openxmlformats.org/officeDocument/2006/relationships/hyperlink" Target="http://secrets.rutgers.edu:8080/data/asl-ftp/asllvd/demos/verify_start_end_handshape_annotations//test_auto_move//signs_mov/16462.mov" TargetMode="External"/><Relationship Id="rId17710" Type="http://schemas.openxmlformats.org/officeDocument/2006/relationships/hyperlink" Target="http://secrets.rutgers.edu:8080/data/asl-ftp/asllvd/demos/verify_start_end_handshape_annotations//test_auto_move//signs_mov_separ_signers/Brady_16462.mov" TargetMode="External"/><Relationship Id="rId17711" Type="http://schemas.openxmlformats.org/officeDocument/2006/relationships/hyperlink" Target="http://csr.bu.edu/ftp/asl/asllvd/demos/verify_start_end_handshape_annotations//test_auto_move//signs_mov/2428.mov" TargetMode="External"/><Relationship Id="rId17712" Type="http://schemas.openxmlformats.org/officeDocument/2006/relationships/hyperlink" Target="http://csr.bu.edu/ftp/asl/asllvd/demos/verify_start_end_handshape_annotations//test_auto_move//signs_mov_separ_signers/Liz_2428.mov" TargetMode="External"/><Relationship Id="rId17713" Type="http://schemas.openxmlformats.org/officeDocument/2006/relationships/hyperlink" Target="http://secrets.rutgers.edu:8080/data/asl-ftp/asllvd/demos/verify_start_end_handshape_annotations//test_auto_move//signs_mov/2428.mov" TargetMode="External"/><Relationship Id="rId17714" Type="http://schemas.openxmlformats.org/officeDocument/2006/relationships/hyperlink" Target="http://secrets.rutgers.edu:8080/data/asl-ftp/asllvd/demos/verify_start_end_handshape_annotations//test_auto_move//signs_mov_separ_signers/Liz_2428.mov" TargetMode="External"/><Relationship Id="rId17715" Type="http://schemas.openxmlformats.org/officeDocument/2006/relationships/hyperlink" Target="http://csr.bu.edu/ftp/asl/asllvd/demos/verify_start_end_handshape_annotations//test_auto_move//signs_mov_separ_signers/Brady_2428.mov" TargetMode="External"/><Relationship Id="rId17716" Type="http://schemas.openxmlformats.org/officeDocument/2006/relationships/hyperlink" Target="http://secrets.rutgers.edu:8080/data/asl-ftp/asllvd/demos/verify_start_end_handshape_annotations//test_auto_move//signs_mov_separ_signers/Brady_2428.mov" TargetMode="External"/><Relationship Id="rId17717" Type="http://schemas.openxmlformats.org/officeDocument/2006/relationships/hyperlink" Target="http://csr.bu.edu/ftp/asl/asllvd/demos/verify_start_end_handshape_annotations//test_auto_move//signs_mov/16076.mov" TargetMode="External"/><Relationship Id="rId17718" Type="http://schemas.openxmlformats.org/officeDocument/2006/relationships/hyperlink" Target="http://csr.bu.edu/ftp/asl/asllvd/demos/verify_start_end_handshape_annotations//test_auto_move//signs_mov_separ_signers/Liz_16076.mov" TargetMode="External"/><Relationship Id="rId17719" Type="http://schemas.openxmlformats.org/officeDocument/2006/relationships/hyperlink" Target="http://secrets.rutgers.edu:8080/data/asl-ftp/asllvd/demos/verify_start_end_handshape_annotations//test_auto_move//signs_mov/16076.mov" TargetMode="External"/><Relationship Id="rId17720" Type="http://schemas.openxmlformats.org/officeDocument/2006/relationships/hyperlink" Target="http://secrets.rutgers.edu:8080/data/asl-ftp/asllvd/demos/verify_start_end_handshape_annotations//test_auto_move//signs_mov_separ_signers/Liz_16076.mov" TargetMode="External"/><Relationship Id="rId17721" Type="http://schemas.openxmlformats.org/officeDocument/2006/relationships/hyperlink" Target="http://csr.bu.edu/ftp/asl/asllvd/demos/verify_start_end_handshape_annotations//test_auto_move//signs_mov_separ_signers/Brady_16076.mov" TargetMode="External"/><Relationship Id="rId17722" Type="http://schemas.openxmlformats.org/officeDocument/2006/relationships/hyperlink" Target="http://secrets.rutgers.edu:8080/data/asl-ftp/asllvd/demos/verify_start_end_handshape_annotations//test_auto_move//signs_mov_separ_signers/Brady_16076.mov" TargetMode="External"/><Relationship Id="rId17723" Type="http://schemas.openxmlformats.org/officeDocument/2006/relationships/hyperlink" Target="http://csr.bu.edu/ftp/asl/asllvd/demos/verify_start_end_handshape_annotations//test_auto_move//signs_mov/16133.mov" TargetMode="External"/><Relationship Id="rId17724" Type="http://schemas.openxmlformats.org/officeDocument/2006/relationships/hyperlink" Target="http://csr.bu.edu/ftp/asl/asllvd/demos/verify_start_end_handshape_annotations//test_auto_move//signs_mov_separ_signers/Tyler_16133.mov" TargetMode="External"/><Relationship Id="rId17725" Type="http://schemas.openxmlformats.org/officeDocument/2006/relationships/hyperlink" Target="http://secrets.rutgers.edu:8080/data/asl-ftp/asllvd/demos/verify_start_end_handshape_annotations//test_auto_move//signs_mov/16133.mov" TargetMode="External"/><Relationship Id="rId17726" Type="http://schemas.openxmlformats.org/officeDocument/2006/relationships/hyperlink" Target="http://secrets.rutgers.edu:8080/data/asl-ftp/asllvd/demos/verify_start_end_handshape_annotations//test_auto_move//signs_mov_separ_signers/Tyler_16133.mov" TargetMode="External"/><Relationship Id="rId17727" Type="http://schemas.openxmlformats.org/officeDocument/2006/relationships/hyperlink" Target="http://csr.bu.edu/ftp/asl/asllvd/demos/verify_start_end_handshape_annotations//test_auto_move//signs_mov_separ_signers/Brady_16133.mov" TargetMode="External"/><Relationship Id="rId17728" Type="http://schemas.openxmlformats.org/officeDocument/2006/relationships/hyperlink" Target="http://secrets.rutgers.edu:8080/data/asl-ftp/asllvd/demos/verify_start_end_handshape_annotations//test_auto_move//signs_mov_separ_signers/Brady_16133.mov" TargetMode="External"/><Relationship Id="rId17729" Type="http://schemas.openxmlformats.org/officeDocument/2006/relationships/hyperlink" Target="http://csr.bu.edu/ftp/asl/asllvd/demos/verify_start_end_handshape_annotations//test_auto_move//signs_mov/2430.mov" TargetMode="External"/><Relationship Id="rId17730" Type="http://schemas.openxmlformats.org/officeDocument/2006/relationships/hyperlink" Target="http://csr.bu.edu/ftp/asl/asllvd/demos/verify_start_end_handshape_annotations//test_auto_move//signs_mov_separ_signers/Liz_2430.mov" TargetMode="External"/><Relationship Id="rId17731" Type="http://schemas.openxmlformats.org/officeDocument/2006/relationships/hyperlink" Target="http://secrets.rutgers.edu:8080/data/asl-ftp/asllvd/demos/verify_start_end_handshape_annotations//test_auto_move//signs_mov/2430.mov" TargetMode="External"/><Relationship Id="rId17732" Type="http://schemas.openxmlformats.org/officeDocument/2006/relationships/hyperlink" Target="http://secrets.rutgers.edu:8080/data/asl-ftp/asllvd/demos/verify_start_end_handshape_annotations//test_auto_move//signs_mov_separ_signers/Liz_2430.mov" TargetMode="External"/><Relationship Id="rId17733" Type="http://schemas.openxmlformats.org/officeDocument/2006/relationships/hyperlink" Target="http://csr.bu.edu/ftp/asl/asllvd/demos/verify_start_end_handshape_annotations//test_auto_move//signs_mov_separ_signers/Brady_2430.mov" TargetMode="External"/><Relationship Id="rId17734" Type="http://schemas.openxmlformats.org/officeDocument/2006/relationships/hyperlink" Target="http://secrets.rutgers.edu:8080/data/asl-ftp/asllvd/demos/verify_start_end_handshape_annotations//test_auto_move//signs_mov_separ_signers/Brady_2430.mov" TargetMode="External"/><Relationship Id="rId17735" Type="http://schemas.openxmlformats.org/officeDocument/2006/relationships/hyperlink" Target="http://csr.bu.edu/ftp/asl/asllvd/demos/verify_start_end_handshape_annotations//test_auto_move//signs_mov/2432.mov" TargetMode="External"/><Relationship Id="rId17736" Type="http://schemas.openxmlformats.org/officeDocument/2006/relationships/hyperlink" Target="http://csr.bu.edu/ftp/asl/asllvd/demos/verify_start_end_handshape_annotations//test_auto_move//signs_mov_separ_signers/Liz_2432.mov" TargetMode="External"/><Relationship Id="rId17737" Type="http://schemas.openxmlformats.org/officeDocument/2006/relationships/hyperlink" Target="http://secrets.rutgers.edu:8080/data/asl-ftp/asllvd/demos/verify_start_end_handshape_annotations//test_auto_move//signs_mov/2432.mov" TargetMode="External"/><Relationship Id="rId17738" Type="http://schemas.openxmlformats.org/officeDocument/2006/relationships/hyperlink" Target="http://secrets.rutgers.edu:8080/data/asl-ftp/asllvd/demos/verify_start_end_handshape_annotations//test_auto_move//signs_mov_separ_signers/Liz_2432.mov" TargetMode="External"/><Relationship Id="rId17739" Type="http://schemas.openxmlformats.org/officeDocument/2006/relationships/hyperlink" Target="http://csr.bu.edu/ftp/asl/asllvd/demos/verify_start_end_handshape_annotations//test_auto_move//signs_mov_separ_signers/Liz_2435.mov" TargetMode="External"/><Relationship Id="rId17740" Type="http://schemas.openxmlformats.org/officeDocument/2006/relationships/hyperlink" Target="http://secrets.rutgers.edu:8080/data/asl-ftp/asllvd/demos/verify_start_end_handshape_annotations//test_auto_move//signs_mov_separ_signers/Liz_2435.mov" TargetMode="External"/><Relationship Id="rId17741" Type="http://schemas.openxmlformats.org/officeDocument/2006/relationships/hyperlink" Target="http://csr.bu.edu/ftp/asl/asllvd/demos/verify_start_end_handshape_annotations//test_auto_move//signs_mov/2435_3554_merged.mov" TargetMode="External"/><Relationship Id="rId17742" Type="http://schemas.openxmlformats.org/officeDocument/2006/relationships/hyperlink" Target="http://csr.bu.edu/ftp/asl/asllvd/demos/verify_start_end_handshape_annotations//test_auto_move//signs_mov_separ_signers/Tyler_2435.mov" TargetMode="External"/><Relationship Id="rId17743" Type="http://schemas.openxmlformats.org/officeDocument/2006/relationships/hyperlink" Target="http://secrets.rutgers.edu:8080/data/asl-ftp/asllvd/demos/verify_start_end_handshape_annotations//test_auto_move//signs_mov/2435_3554_merged.mov" TargetMode="External"/><Relationship Id="rId17744" Type="http://schemas.openxmlformats.org/officeDocument/2006/relationships/hyperlink" Target="http://secrets.rutgers.edu:8080/data/asl-ftp/asllvd/demos/verify_start_end_handshape_annotations//test_auto_move//signs_mov_separ_signers/Tyler_2435.mov" TargetMode="External"/><Relationship Id="rId17745" Type="http://schemas.openxmlformats.org/officeDocument/2006/relationships/hyperlink" Target="http://csr.bu.edu/ftp/asl/asllvd/demos/verify_start_end_handshape_annotations//test_auto_move//signs_mov_separ_signers/Brady_2435.mov" TargetMode="External"/><Relationship Id="rId17746" Type="http://schemas.openxmlformats.org/officeDocument/2006/relationships/hyperlink" Target="http://secrets.rutgers.edu:8080/data/asl-ftp/asllvd/demos/verify_start_end_handshape_annotations//test_auto_move//signs_mov_separ_signers/Brady_2435.mov" TargetMode="External"/><Relationship Id="rId17747" Type="http://schemas.openxmlformats.org/officeDocument/2006/relationships/hyperlink" Target="http://csr.bu.edu/ftp/asl/asllvd/demos/verify_start_end_handshape_annotations//test_auto_move//signs_mov_separ_signers/Brady_3554.mov" TargetMode="External"/><Relationship Id="rId17748" Type="http://schemas.openxmlformats.org/officeDocument/2006/relationships/hyperlink" Target="http://secrets.rutgers.edu:8080/data/asl-ftp/asllvd/demos/verify_start_end_handshape_annotations//test_auto_move//signs_mov_separ_signers/Brady_3554.mov" TargetMode="External"/><Relationship Id="rId17749" Type="http://schemas.openxmlformats.org/officeDocument/2006/relationships/hyperlink" Target="http://csr.bu.edu/ftp/asl/asllvd/demos/verify_start_end_handshape_annotations//test_auto_move//signs_mov/3873.mov" TargetMode="External"/><Relationship Id="rId17750" Type="http://schemas.openxmlformats.org/officeDocument/2006/relationships/hyperlink" Target="http://csr.bu.edu/ftp/asl/asllvd/demos/verify_start_end_handshape_annotations//test_auto_move//signs_mov_separ_signers/Liz_3873.mov" TargetMode="External"/><Relationship Id="rId17751" Type="http://schemas.openxmlformats.org/officeDocument/2006/relationships/hyperlink" Target="http://secrets.rutgers.edu:8080/data/asl-ftp/asllvd/demos/verify_start_end_handshape_annotations//test_auto_move//signs_mov/3873.mov" TargetMode="External"/><Relationship Id="rId17752" Type="http://schemas.openxmlformats.org/officeDocument/2006/relationships/hyperlink" Target="http://secrets.rutgers.edu:8080/data/asl-ftp/asllvd/demos/verify_start_end_handshape_annotations//test_auto_move//signs_mov_separ_signers/Liz_3873.mov" TargetMode="External"/><Relationship Id="rId17753" Type="http://schemas.openxmlformats.org/officeDocument/2006/relationships/hyperlink" Target="http://csr.bu.edu/ftp/asl/asllvd/demos/verify_start_end_handshape_annotations//test_auto_move//signs_mov_separ_signers/Liz_3912.mov" TargetMode="External"/><Relationship Id="rId17754" Type="http://schemas.openxmlformats.org/officeDocument/2006/relationships/hyperlink" Target="http://secrets.rutgers.edu:8080/data/asl-ftp/asllvd/demos/verify_start_end_handshape_annotations//test_auto_move//signs_mov_separ_signers/Liz_3912.mov" TargetMode="External"/><Relationship Id="rId17755" Type="http://schemas.openxmlformats.org/officeDocument/2006/relationships/hyperlink" Target="http://csr.bu.edu/ftp/asl/asllvd/demos/verify_start_end_handshape_annotations//test_auto_move//signs_mov/3912_5569_16296_merged.mov" TargetMode="External"/><Relationship Id="rId17756" Type="http://schemas.openxmlformats.org/officeDocument/2006/relationships/hyperlink" Target="http://csr.bu.edu/ftp/asl/asllvd/demos/verify_start_end_handshape_annotations//test_auto_move//signs_mov_separ_signers/Liz_5569.mov" TargetMode="External"/><Relationship Id="rId17757" Type="http://schemas.openxmlformats.org/officeDocument/2006/relationships/hyperlink" Target="http://secrets.rutgers.edu:8080/data/asl-ftp/asllvd/demos/verify_start_end_handshape_annotations//test_auto_move//signs_mov/3912_5569_16296_merged.mov" TargetMode="External"/><Relationship Id="rId17758" Type="http://schemas.openxmlformats.org/officeDocument/2006/relationships/hyperlink" Target="http://secrets.rutgers.edu:8080/data/asl-ftp/asllvd/demos/verify_start_end_handshape_annotations//test_auto_move//signs_mov_separ_signers/Liz_5569.mov" TargetMode="External"/><Relationship Id="rId17759" Type="http://schemas.openxmlformats.org/officeDocument/2006/relationships/hyperlink" Target="http://csr.bu.edu/ftp/asl/asllvd/demos/verify_start_end_handshape_annotations//test_auto_move//signs_mov_separ_signers/Liz_16296.mov" TargetMode="External"/><Relationship Id="rId17760" Type="http://schemas.openxmlformats.org/officeDocument/2006/relationships/hyperlink" Target="http://secrets.rutgers.edu:8080/data/asl-ftp/asllvd/demos/verify_start_end_handshape_annotations//test_auto_move//signs_mov_separ_signers/Liz_16296.mov" TargetMode="External"/><Relationship Id="rId17761" Type="http://schemas.openxmlformats.org/officeDocument/2006/relationships/hyperlink" Target="http://csr.bu.edu/ftp/asl/asllvd/demos/verify_start_end_handshape_annotations//test_auto_move//signs_mov_separ_signers/Brady_3912.mov" TargetMode="External"/><Relationship Id="rId17762" Type="http://schemas.openxmlformats.org/officeDocument/2006/relationships/hyperlink" Target="http://secrets.rutgers.edu:8080/data/asl-ftp/asllvd/demos/verify_start_end_handshape_annotations//test_auto_move//signs_mov_separ_signers/Brady_3912.mov" TargetMode="External"/><Relationship Id="rId17763" Type="http://schemas.openxmlformats.org/officeDocument/2006/relationships/hyperlink" Target="http://csr.bu.edu/ftp/asl/asllvd/demos/verify_start_end_handshape_annotations//test_auto_move//signs_mov_separ_signers/Liz_2437.mov" TargetMode="External"/><Relationship Id="rId17764" Type="http://schemas.openxmlformats.org/officeDocument/2006/relationships/hyperlink" Target="http://secrets.rutgers.edu:8080/data/asl-ftp/asllvd/demos/verify_start_end_handshape_annotations//test_auto_move//signs_mov_separ_signers/Liz_2437.mov" TargetMode="External"/><Relationship Id="rId17765" Type="http://schemas.openxmlformats.org/officeDocument/2006/relationships/hyperlink" Target="http://csr.bu.edu/ftp/asl/asllvd/demos/verify_start_end_handshape_annotations//test_auto_move//signs_mov/2437_5904_merged.mov" TargetMode="External"/><Relationship Id="rId17766" Type="http://schemas.openxmlformats.org/officeDocument/2006/relationships/hyperlink" Target="http://csr.bu.edu/ftp/asl/asllvd/demos/verify_start_end_handshape_annotations//test_auto_move//signs_mov_separ_signers/Liz_5904.mov" TargetMode="External"/><Relationship Id="rId17767" Type="http://schemas.openxmlformats.org/officeDocument/2006/relationships/hyperlink" Target="http://secrets.rutgers.edu:8080/data/asl-ftp/asllvd/demos/verify_start_end_handshape_annotations//test_auto_move//signs_mov/2437_5904_merged.mov" TargetMode="External"/><Relationship Id="rId17768" Type="http://schemas.openxmlformats.org/officeDocument/2006/relationships/hyperlink" Target="http://secrets.rutgers.edu:8080/data/asl-ftp/asllvd/demos/verify_start_end_handshape_annotations//test_auto_move//signs_mov_separ_signers/Liz_5904.mov" TargetMode="External"/><Relationship Id="rId17769" Type="http://schemas.openxmlformats.org/officeDocument/2006/relationships/hyperlink" Target="http://csr.bu.edu/ftp/asl/asllvd/demos/verify_start_end_handshape_annotations//test_auto_move//signs_mov_separ_signers/Brady_2437.mov" TargetMode="External"/><Relationship Id="rId17770" Type="http://schemas.openxmlformats.org/officeDocument/2006/relationships/hyperlink" Target="http://secrets.rutgers.edu:8080/data/asl-ftp/asllvd/demos/verify_start_end_handshape_annotations//test_auto_move//signs_mov_separ_signers/Brady_2437.mov" TargetMode="External"/><Relationship Id="rId17771" Type="http://schemas.openxmlformats.org/officeDocument/2006/relationships/hyperlink" Target="http://csr.bu.edu/ftp/asl/asllvd/demos/verify_start_end_handshape_annotations//test_auto_move//signs_mov_separ_signers/Brady_5904.mov" TargetMode="External"/><Relationship Id="rId17772" Type="http://schemas.openxmlformats.org/officeDocument/2006/relationships/hyperlink" Target="http://secrets.rutgers.edu:8080/data/asl-ftp/asllvd/demos/verify_start_end_handshape_annotations//test_auto_move//signs_mov_separ_signers/Brady_5904.mov" TargetMode="External"/><Relationship Id="rId17773" Type="http://schemas.openxmlformats.org/officeDocument/2006/relationships/hyperlink" Target="http://csr.bu.edu/ftp/asl/asllvd/demos/verify_start_end_handshape_annotations//test_auto_move//signs_mov/2445.mov" TargetMode="External"/><Relationship Id="rId17774" Type="http://schemas.openxmlformats.org/officeDocument/2006/relationships/hyperlink" Target="http://csr.bu.edu/ftp/asl/asllvd/demos/verify_start_end_handshape_annotations//test_auto_move//signs_mov_separ_signers/Liz_2445.mov" TargetMode="External"/><Relationship Id="rId17775" Type="http://schemas.openxmlformats.org/officeDocument/2006/relationships/hyperlink" Target="http://secrets.rutgers.edu:8080/data/asl-ftp/asllvd/demos/verify_start_end_handshape_annotations//test_auto_move//signs_mov/2445.mov" TargetMode="External"/><Relationship Id="rId17776" Type="http://schemas.openxmlformats.org/officeDocument/2006/relationships/hyperlink" Target="http://secrets.rutgers.edu:8080/data/asl-ftp/asllvd/demos/verify_start_end_handshape_annotations//test_auto_move//signs_mov_separ_signers/Liz_2445.mov" TargetMode="External"/><Relationship Id="rId17777" Type="http://schemas.openxmlformats.org/officeDocument/2006/relationships/hyperlink" Target="http://csr.bu.edu/ftp/asl/asllvd/demos/verify_start_end_handshape_annotations//test_auto_move//signs_mov/5669.mov" TargetMode="External"/><Relationship Id="rId17778" Type="http://schemas.openxmlformats.org/officeDocument/2006/relationships/hyperlink" Target="http://csr.bu.edu/ftp/asl/asllvd/demos/verify_start_end_handshape_annotations//test_auto_move//signs_mov_separ_signers/Brady_5669.mov" TargetMode="External"/><Relationship Id="rId17779" Type="http://schemas.openxmlformats.org/officeDocument/2006/relationships/hyperlink" Target="http://secrets.rutgers.edu:8080/data/asl-ftp/asllvd/demos/verify_start_end_handshape_annotations//test_auto_move//signs_mov/5669.mov" TargetMode="External"/><Relationship Id="rId17780" Type="http://schemas.openxmlformats.org/officeDocument/2006/relationships/hyperlink" Target="http://secrets.rutgers.edu:8080/data/asl-ftp/asllvd/demos/verify_start_end_handshape_annotations//test_auto_move//signs_mov_separ_signers/Brady_5669.mov" TargetMode="External"/><Relationship Id="rId17781" Type="http://schemas.openxmlformats.org/officeDocument/2006/relationships/hyperlink" Target="http://csr.bu.edu/ftp/asl/asllvd/demos/verify_start_end_handshape_annotations//test_auto_move//signs_mov/2449.mov" TargetMode="External"/><Relationship Id="rId17782" Type="http://schemas.openxmlformats.org/officeDocument/2006/relationships/hyperlink" Target="http://csr.bu.edu/ftp/asl/asllvd/demos/verify_start_end_handshape_annotations//test_auto_move//signs_mov_separ_signers/Liz_2449.mov" TargetMode="External"/><Relationship Id="rId17783" Type="http://schemas.openxmlformats.org/officeDocument/2006/relationships/hyperlink" Target="http://secrets.rutgers.edu:8080/data/asl-ftp/asllvd/demos/verify_start_end_handshape_annotations//test_auto_move//signs_mov/2449.mov" TargetMode="External"/><Relationship Id="rId17784" Type="http://schemas.openxmlformats.org/officeDocument/2006/relationships/hyperlink" Target="http://secrets.rutgers.edu:8080/data/asl-ftp/asllvd/demos/verify_start_end_handshape_annotations//test_auto_move//signs_mov_separ_signers/Liz_2449.mov" TargetMode="External"/><Relationship Id="rId17785" Type="http://schemas.openxmlformats.org/officeDocument/2006/relationships/hyperlink" Target="http://csr.bu.edu/ftp/asl/asllvd/demos/verify_start_end_handshape_annotations//test_auto_move//signs_mov_separ_signers/Brady_2449.mov" TargetMode="External"/><Relationship Id="rId17786" Type="http://schemas.openxmlformats.org/officeDocument/2006/relationships/hyperlink" Target="http://secrets.rutgers.edu:8080/data/asl-ftp/asllvd/demos/verify_start_end_handshape_annotations//test_auto_move//signs_mov_separ_signers/Brady_2449.mov" TargetMode="External"/><Relationship Id="rId17787" Type="http://schemas.openxmlformats.org/officeDocument/2006/relationships/hyperlink" Target="http://csr.bu.edu/ftp/asl/asllvd/demos/verify_start_end_handshape_annotations//test_auto_move//signs_mov/3774.mov" TargetMode="External"/><Relationship Id="rId17788" Type="http://schemas.openxmlformats.org/officeDocument/2006/relationships/hyperlink" Target="http://csr.bu.edu/ftp/asl/asllvd/demos/verify_start_end_handshape_annotations//test_auto_move//signs_mov_separ_signers/Liz_3774.mov" TargetMode="External"/><Relationship Id="rId17789" Type="http://schemas.openxmlformats.org/officeDocument/2006/relationships/hyperlink" Target="http://secrets.rutgers.edu:8080/data/asl-ftp/asllvd/demos/verify_start_end_handshape_annotations//test_auto_move//signs_mov/3774.mov" TargetMode="External"/><Relationship Id="rId17790" Type="http://schemas.openxmlformats.org/officeDocument/2006/relationships/hyperlink" Target="http://secrets.rutgers.edu:8080/data/asl-ftp/asllvd/demos/verify_start_end_handshape_annotations//test_auto_move//signs_mov_separ_signers/Liz_3774.mov" TargetMode="External"/><Relationship Id="rId17791" Type="http://schemas.openxmlformats.org/officeDocument/2006/relationships/hyperlink" Target="http://csr.bu.edu/ftp/asl/asllvd/demos/verify_start_end_handshape_annotations//test_auto_move//signs_mov_separ_signers/Brady_3774.mov" TargetMode="External"/><Relationship Id="rId17792" Type="http://schemas.openxmlformats.org/officeDocument/2006/relationships/hyperlink" Target="http://secrets.rutgers.edu:8080/data/asl-ftp/asllvd/demos/verify_start_end_handshape_annotations//test_auto_move//signs_mov_separ_signers/Brady_3774.mov" TargetMode="External"/><Relationship Id="rId17793" Type="http://schemas.openxmlformats.org/officeDocument/2006/relationships/hyperlink" Target="http://csr.bu.edu/ftp/asl/asllvd/demos/verify_start_end_handshape_annotations//test_auto_move//signs_mov/2453.mov" TargetMode="External"/><Relationship Id="rId17794" Type="http://schemas.openxmlformats.org/officeDocument/2006/relationships/hyperlink" Target="http://csr.bu.edu/ftp/asl/asllvd/demos/verify_start_end_handshape_annotations//test_auto_move//signs_mov_separ_signers/Liz_2453.mov" TargetMode="External"/><Relationship Id="rId17795" Type="http://schemas.openxmlformats.org/officeDocument/2006/relationships/hyperlink" Target="http://secrets.rutgers.edu:8080/data/asl-ftp/asllvd/demos/verify_start_end_handshape_annotations//test_auto_move//signs_mov/2453.mov" TargetMode="External"/><Relationship Id="rId17796" Type="http://schemas.openxmlformats.org/officeDocument/2006/relationships/hyperlink" Target="http://secrets.rutgers.edu:8080/data/asl-ftp/asllvd/demos/verify_start_end_handshape_annotations//test_auto_move//signs_mov_separ_signers/Liz_2453.mov" TargetMode="External"/><Relationship Id="rId17797" Type="http://schemas.openxmlformats.org/officeDocument/2006/relationships/hyperlink" Target="http://csr.bu.edu/ftp/asl/asllvd/demos/verify_start_end_handshape_annotations//test_auto_move//signs_mov/16463.mov" TargetMode="External"/><Relationship Id="rId17798" Type="http://schemas.openxmlformats.org/officeDocument/2006/relationships/hyperlink" Target="http://csr.bu.edu/ftp/asl/asllvd/demos/verify_start_end_handshape_annotations//test_auto_move//signs_mov_separ_signers/Brady_16463.mov" TargetMode="External"/><Relationship Id="rId17799" Type="http://schemas.openxmlformats.org/officeDocument/2006/relationships/hyperlink" Target="http://secrets.rutgers.edu:8080/data/asl-ftp/asllvd/demos/verify_start_end_handshape_annotations//test_auto_move//signs_mov/16463.mov" TargetMode="External"/><Relationship Id="rId17800" Type="http://schemas.openxmlformats.org/officeDocument/2006/relationships/hyperlink" Target="http://secrets.rutgers.edu:8080/data/asl-ftp/asllvd/demos/verify_start_end_handshape_annotations//test_auto_move//signs_mov_separ_signers/Brady_16463.mov" TargetMode="External"/><Relationship Id="rId17801" Type="http://schemas.openxmlformats.org/officeDocument/2006/relationships/hyperlink" Target="http://csr.bu.edu/ftp/asl/asllvd/demos/verify_start_end_handshape_annotations//test_auto_move//signs_mov/2460.mov" TargetMode="External"/><Relationship Id="rId17802" Type="http://schemas.openxmlformats.org/officeDocument/2006/relationships/hyperlink" Target="http://csr.bu.edu/ftp/asl/asllvd/demos/verify_start_end_handshape_annotations//test_auto_move//signs_mov_separ_signers/Liz_2460.mov" TargetMode="External"/><Relationship Id="rId17803" Type="http://schemas.openxmlformats.org/officeDocument/2006/relationships/hyperlink" Target="http://secrets.rutgers.edu:8080/data/asl-ftp/asllvd/demos/verify_start_end_handshape_annotations//test_auto_move//signs_mov/2460.mov" TargetMode="External"/><Relationship Id="rId17804" Type="http://schemas.openxmlformats.org/officeDocument/2006/relationships/hyperlink" Target="http://secrets.rutgers.edu:8080/data/asl-ftp/asllvd/demos/verify_start_end_handshape_annotations//test_auto_move//signs_mov_separ_signers/Liz_2460.mov" TargetMode="External"/><Relationship Id="rId17805" Type="http://schemas.openxmlformats.org/officeDocument/2006/relationships/hyperlink" Target="http://csr.bu.edu/ftp/asl/asllvd/demos/verify_start_end_handshape_annotations//test_auto_move//signs_mov_separ_signers/Brady_2460.mov" TargetMode="External"/><Relationship Id="rId17806" Type="http://schemas.openxmlformats.org/officeDocument/2006/relationships/hyperlink" Target="http://secrets.rutgers.edu:8080/data/asl-ftp/asllvd/demos/verify_start_end_handshape_annotations//test_auto_move//signs_mov_separ_signers/Brady_2460.mov" TargetMode="External"/><Relationship Id="rId17807" Type="http://schemas.openxmlformats.org/officeDocument/2006/relationships/hyperlink" Target="http://csr.bu.edu/ftp/asl/asllvd/demos/verify_start_end_handshape_annotations//test_auto_move//signs_mov/16364.mov" TargetMode="External"/><Relationship Id="rId17808" Type="http://schemas.openxmlformats.org/officeDocument/2006/relationships/hyperlink" Target="http://csr.bu.edu/ftp/asl/asllvd/demos/verify_start_end_handshape_annotations//test_auto_move//signs_mov_separ_signers/Brady_16364.mov" TargetMode="External"/><Relationship Id="rId17809" Type="http://schemas.openxmlformats.org/officeDocument/2006/relationships/hyperlink" Target="http://secrets.rutgers.edu:8080/data/asl-ftp/asllvd/demos/verify_start_end_handshape_annotations//test_auto_move//signs_mov/16364.mov" TargetMode="External"/><Relationship Id="rId17810" Type="http://schemas.openxmlformats.org/officeDocument/2006/relationships/hyperlink" Target="http://secrets.rutgers.edu:8080/data/asl-ftp/asllvd/demos/verify_start_end_handshape_annotations//test_auto_move//signs_mov_separ_signers/Brady_16364.mov" TargetMode="External"/><Relationship Id="rId17811" Type="http://schemas.openxmlformats.org/officeDocument/2006/relationships/hyperlink" Target="http://csr.bu.edu/ftp/asl/asllvd/demos/verify_start_end_handshape_annotations//test_auto_move//signs_mov_separ_signers/Liz_2462.mov" TargetMode="External"/><Relationship Id="rId17812" Type="http://schemas.openxmlformats.org/officeDocument/2006/relationships/hyperlink" Target="http://secrets.rutgers.edu:8080/data/asl-ftp/asllvd/demos/verify_start_end_handshape_annotations//test_auto_move//signs_mov_separ_signers/Liz_2462.mov" TargetMode="External"/><Relationship Id="rId17813" Type="http://schemas.openxmlformats.org/officeDocument/2006/relationships/hyperlink" Target="http://csr.bu.edu/ftp/asl/asllvd/demos/verify_start_end_handshape_annotations//test_auto_move//signs_mov/2462.mov" TargetMode="External"/><Relationship Id="rId17814" Type="http://schemas.openxmlformats.org/officeDocument/2006/relationships/hyperlink" Target="http://csr.bu.edu/ftp/asl/asllvd/demos/verify_start_end_handshape_annotations//test_auto_move//signs_mov_separ_signers/Brady_2462.mov" TargetMode="External"/><Relationship Id="rId17815" Type="http://schemas.openxmlformats.org/officeDocument/2006/relationships/hyperlink" Target="http://secrets.rutgers.edu:8080/data/asl-ftp/asllvd/demos/verify_start_end_handshape_annotations//test_auto_move//signs_mov/2462.mov" TargetMode="External"/><Relationship Id="rId17816" Type="http://schemas.openxmlformats.org/officeDocument/2006/relationships/hyperlink" Target="http://secrets.rutgers.edu:8080/data/asl-ftp/asllvd/demos/verify_start_end_handshape_annotations//test_auto_move//signs_mov_separ_signers/Brady_2462.mov" TargetMode="External"/><Relationship Id="rId17817" Type="http://schemas.openxmlformats.org/officeDocument/2006/relationships/hyperlink" Target="http://csr.bu.edu/ftp/asl/asllvd/demos/verify_start_end_handshape_annotations//test_auto_move//signs_mov_separ_signers/Lana_2462.mov" TargetMode="External"/><Relationship Id="rId17818" Type="http://schemas.openxmlformats.org/officeDocument/2006/relationships/hyperlink" Target="http://secrets.rutgers.edu:8080/data/asl-ftp/asllvd/demos/verify_start_end_handshape_annotations//test_auto_move//signs_mov_separ_signers/Lana_2462.mov" TargetMode="External"/><Relationship Id="rId17819" Type="http://schemas.openxmlformats.org/officeDocument/2006/relationships/hyperlink" Target="http://csr.bu.edu/ftp/asl/asllvd/demos/verify_start_end_handshape_annotations//test_auto_move//signs_mov/3777.mov" TargetMode="External"/><Relationship Id="rId17820" Type="http://schemas.openxmlformats.org/officeDocument/2006/relationships/hyperlink" Target="http://csr.bu.edu/ftp/asl/asllvd/demos/verify_start_end_handshape_annotations//test_auto_move//signs_mov_separ_signers/Dana_3777.mov" TargetMode="External"/><Relationship Id="rId17821" Type="http://schemas.openxmlformats.org/officeDocument/2006/relationships/hyperlink" Target="http://secrets.rutgers.edu:8080/data/asl-ftp/asllvd/demos/verify_start_end_handshape_annotations//test_auto_move//signs_mov/3777.mov" TargetMode="External"/><Relationship Id="rId17822" Type="http://schemas.openxmlformats.org/officeDocument/2006/relationships/hyperlink" Target="http://secrets.rutgers.edu:8080/data/asl-ftp/asllvd/demos/verify_start_end_handshape_annotations//test_auto_move//signs_mov_separ_signers/Dana_3777.mov" TargetMode="External"/><Relationship Id="rId17823" Type="http://schemas.openxmlformats.org/officeDocument/2006/relationships/hyperlink" Target="http://csr.bu.edu/ftp/asl/asllvd/demos/verify_start_end_handshape_annotations//test_auto_move//signs_mov/5446.mov" TargetMode="External"/><Relationship Id="rId17824" Type="http://schemas.openxmlformats.org/officeDocument/2006/relationships/hyperlink" Target="http://csr.bu.edu/ftp/asl/asllvd/demos/verify_start_end_handshape_annotations//test_auto_move//signs_mov_separ_signers/Liz_5446.mov" TargetMode="External"/><Relationship Id="rId17825" Type="http://schemas.openxmlformats.org/officeDocument/2006/relationships/hyperlink" Target="http://secrets.rutgers.edu:8080/data/asl-ftp/asllvd/demos/verify_start_end_handshape_annotations//test_auto_move//signs_mov/5446.mov" TargetMode="External"/><Relationship Id="rId17826" Type="http://schemas.openxmlformats.org/officeDocument/2006/relationships/hyperlink" Target="http://secrets.rutgers.edu:8080/data/asl-ftp/asllvd/demos/verify_start_end_handshape_annotations//test_auto_move//signs_mov_separ_signers/Liz_5446.mov" TargetMode="External"/><Relationship Id="rId17827" Type="http://schemas.openxmlformats.org/officeDocument/2006/relationships/hyperlink" Target="http://csr.bu.edu/ftp/asl/asllvd/demos/verify_start_end_handshape_annotations//test_auto_move//signs_mov_separ_signers/Brady_5446.mov" TargetMode="External"/><Relationship Id="rId17828" Type="http://schemas.openxmlformats.org/officeDocument/2006/relationships/hyperlink" Target="http://secrets.rutgers.edu:8080/data/asl-ftp/asllvd/demos/verify_start_end_handshape_annotations//test_auto_move//signs_mov_separ_signers/Brady_5446.mov" TargetMode="External"/><Relationship Id="rId17829" Type="http://schemas.openxmlformats.org/officeDocument/2006/relationships/hyperlink" Target="http://csr.bu.edu/ftp/asl/asllvd/demos/verify_start_end_handshape_annotations//test_auto_move//signs_mov/2466.mov" TargetMode="External"/><Relationship Id="rId17830" Type="http://schemas.openxmlformats.org/officeDocument/2006/relationships/hyperlink" Target="http://csr.bu.edu/ftp/asl/asllvd/demos/verify_start_end_handshape_annotations//test_auto_move//signs_mov_separ_signers/Liz_2466.mov" TargetMode="External"/><Relationship Id="rId17831" Type="http://schemas.openxmlformats.org/officeDocument/2006/relationships/hyperlink" Target="http://secrets.rutgers.edu:8080/data/asl-ftp/asllvd/demos/verify_start_end_handshape_annotations//test_auto_move//signs_mov/2466.mov" TargetMode="External"/><Relationship Id="rId17832" Type="http://schemas.openxmlformats.org/officeDocument/2006/relationships/hyperlink" Target="http://secrets.rutgers.edu:8080/data/asl-ftp/asllvd/demos/verify_start_end_handshape_annotations//test_auto_move//signs_mov_separ_signers/Liz_2466.mov" TargetMode="External"/><Relationship Id="rId17833" Type="http://schemas.openxmlformats.org/officeDocument/2006/relationships/hyperlink" Target="http://csr.bu.edu/ftp/asl/asllvd/demos/verify_start_end_handshape_annotations//test_auto_move//signs_mov_separ_signers/Brady_2466.mov" TargetMode="External"/><Relationship Id="rId17834" Type="http://schemas.openxmlformats.org/officeDocument/2006/relationships/hyperlink" Target="http://secrets.rutgers.edu:8080/data/asl-ftp/asllvd/demos/verify_start_end_handshape_annotations//test_auto_move//signs_mov_separ_signers/Brady_2466.mov" TargetMode="External"/><Relationship Id="rId17835" Type="http://schemas.openxmlformats.org/officeDocument/2006/relationships/hyperlink" Target="http://csr.bu.edu/ftp/asl/asllvd/demos/verify_start_end_handshape_annotations//test_auto_move//signs_mov/2467.mov" TargetMode="External"/><Relationship Id="rId17836" Type="http://schemas.openxmlformats.org/officeDocument/2006/relationships/hyperlink" Target="http://csr.bu.edu/ftp/asl/asllvd/demos/verify_start_end_handshape_annotations//test_auto_move//signs_mov_separ_signers/Liz_2467.mov" TargetMode="External"/><Relationship Id="rId17837" Type="http://schemas.openxmlformats.org/officeDocument/2006/relationships/hyperlink" Target="http://secrets.rutgers.edu:8080/data/asl-ftp/asllvd/demos/verify_start_end_handshape_annotations//test_auto_move//signs_mov/2467.mov" TargetMode="External"/><Relationship Id="rId17838" Type="http://schemas.openxmlformats.org/officeDocument/2006/relationships/hyperlink" Target="http://secrets.rutgers.edu:8080/data/asl-ftp/asllvd/demos/verify_start_end_handshape_annotations//test_auto_move//signs_mov_separ_signers/Liz_2467.mov" TargetMode="External"/><Relationship Id="rId17839" Type="http://schemas.openxmlformats.org/officeDocument/2006/relationships/hyperlink" Target="http://csr.bu.edu/ftp/asl/asllvd/demos/verify_start_end_handshape_annotations//test_auto_move//signs_mov/15463.mov" TargetMode="External"/><Relationship Id="rId17840" Type="http://schemas.openxmlformats.org/officeDocument/2006/relationships/hyperlink" Target="http://csr.bu.edu/ftp/asl/asllvd/demos/verify_start_end_handshape_annotations//test_auto_move//signs_mov_separ_signers/Brady_15463.mov" TargetMode="External"/><Relationship Id="rId17841" Type="http://schemas.openxmlformats.org/officeDocument/2006/relationships/hyperlink" Target="http://secrets.rutgers.edu:8080/data/asl-ftp/asllvd/demos/verify_start_end_handshape_annotations//test_auto_move//signs_mov/15463.mov" TargetMode="External"/><Relationship Id="rId17842" Type="http://schemas.openxmlformats.org/officeDocument/2006/relationships/hyperlink" Target="http://secrets.rutgers.edu:8080/data/asl-ftp/asllvd/demos/verify_start_end_handshape_annotations//test_auto_move//signs_mov_separ_signers/Brady_15463.mov" TargetMode="External"/><Relationship Id="rId17843" Type="http://schemas.openxmlformats.org/officeDocument/2006/relationships/hyperlink" Target="http://csr.bu.edu/ftp/asl/asllvd/demos/verify_start_end_handshape_annotations//test_auto_move//signs_mov_separ_signers/Liz_16464.mov" TargetMode="External"/><Relationship Id="rId17844" Type="http://schemas.openxmlformats.org/officeDocument/2006/relationships/hyperlink" Target="http://secrets.rutgers.edu:8080/data/asl-ftp/asllvd/demos/verify_start_end_handshape_annotations//test_auto_move//signs_mov_separ_signers/Liz_16464.mov" TargetMode="External"/><Relationship Id="rId17845" Type="http://schemas.openxmlformats.org/officeDocument/2006/relationships/hyperlink" Target="http://csr.bu.edu/ftp/asl/asllvd/demos/verify_start_end_handshape_annotations//test_auto_move//signs_mov/16464.mov" TargetMode="External"/><Relationship Id="rId17846" Type="http://schemas.openxmlformats.org/officeDocument/2006/relationships/hyperlink" Target="http://csr.bu.edu/ftp/asl/asllvd/demos/verify_start_end_handshape_annotations//test_auto_move//signs_mov_separ_signers/Naomi_16464.mov" TargetMode="External"/><Relationship Id="rId17847" Type="http://schemas.openxmlformats.org/officeDocument/2006/relationships/hyperlink" Target="http://secrets.rutgers.edu:8080/data/asl-ftp/asllvd/demos/verify_start_end_handshape_annotations//test_auto_move//signs_mov/16464.mov" TargetMode="External"/><Relationship Id="rId17848" Type="http://schemas.openxmlformats.org/officeDocument/2006/relationships/hyperlink" Target="http://secrets.rutgers.edu:8080/data/asl-ftp/asllvd/demos/verify_start_end_handshape_annotations//test_auto_move//signs_mov_separ_signers/Naomi_16464.mov" TargetMode="External"/><Relationship Id="rId17849" Type="http://schemas.openxmlformats.org/officeDocument/2006/relationships/hyperlink" Target="http://csr.bu.edu/ftp/asl/asllvd/demos/verify_start_end_handshape_annotations//test_auto_move//signs_mov_separ_signers/Brady_16464.mov" TargetMode="External"/><Relationship Id="rId17850" Type="http://schemas.openxmlformats.org/officeDocument/2006/relationships/hyperlink" Target="http://secrets.rutgers.edu:8080/data/asl-ftp/asllvd/demos/verify_start_end_handshape_annotations//test_auto_move//signs_mov_separ_signers/Brady_16464.mov" TargetMode="External"/><Relationship Id="rId17851" Type="http://schemas.openxmlformats.org/officeDocument/2006/relationships/hyperlink" Target="http://csr.bu.edu/ftp/asl/asllvd/demos/verify_start_end_handshape_annotations//test_auto_move//signs_mov/16465.mov" TargetMode="External"/><Relationship Id="rId17852" Type="http://schemas.openxmlformats.org/officeDocument/2006/relationships/hyperlink" Target="http://csr.bu.edu/ftp/asl/asllvd/demos/verify_start_end_handshape_annotations//test_auto_move//signs_mov_separ_signers/Tyler_16465.mov" TargetMode="External"/><Relationship Id="rId17853" Type="http://schemas.openxmlformats.org/officeDocument/2006/relationships/hyperlink" Target="http://secrets.rutgers.edu:8080/data/asl-ftp/asllvd/demos/verify_start_end_handshape_annotations//test_auto_move//signs_mov/16465.mov" TargetMode="External"/><Relationship Id="rId17854" Type="http://schemas.openxmlformats.org/officeDocument/2006/relationships/hyperlink" Target="http://secrets.rutgers.edu:8080/data/asl-ftp/asllvd/demos/verify_start_end_handshape_annotations//test_auto_move//signs_mov_separ_signers/Tyler_16465.mov" TargetMode="External"/><Relationship Id="rId17855" Type="http://schemas.openxmlformats.org/officeDocument/2006/relationships/hyperlink" Target="http://csr.bu.edu/ftp/asl/asllvd/demos/verify_start_end_handshape_annotations//test_auto_move//signs_mov/2470.mov" TargetMode="External"/><Relationship Id="rId17856" Type="http://schemas.openxmlformats.org/officeDocument/2006/relationships/hyperlink" Target="http://csr.bu.edu/ftp/asl/asllvd/demos/verify_start_end_handshape_annotations//test_auto_move//signs_mov_separ_signers/Liz_2470.mov" TargetMode="External"/><Relationship Id="rId17857" Type="http://schemas.openxmlformats.org/officeDocument/2006/relationships/hyperlink" Target="http://secrets.rutgers.edu:8080/data/asl-ftp/asllvd/demos/verify_start_end_handshape_annotations//test_auto_move//signs_mov/2470.mov" TargetMode="External"/><Relationship Id="rId17858" Type="http://schemas.openxmlformats.org/officeDocument/2006/relationships/hyperlink" Target="http://secrets.rutgers.edu:8080/data/asl-ftp/asllvd/demos/verify_start_end_handshape_annotations//test_auto_move//signs_mov_separ_signers/Liz_2470.mov" TargetMode="External"/><Relationship Id="rId17859" Type="http://schemas.openxmlformats.org/officeDocument/2006/relationships/hyperlink" Target="http://csr.bu.edu/ftp/asl/asllvd/demos/verify_start_end_handshape_annotations//test_auto_move//signs_mov_separ_signers/Liz_2475.mov" TargetMode="External"/><Relationship Id="rId17860" Type="http://schemas.openxmlformats.org/officeDocument/2006/relationships/hyperlink" Target="http://secrets.rutgers.edu:8080/data/asl-ftp/asllvd/demos/verify_start_end_handshape_annotations//test_auto_move//signs_mov_separ_signers/Liz_2475.mov" TargetMode="External"/><Relationship Id="rId17861" Type="http://schemas.openxmlformats.org/officeDocument/2006/relationships/hyperlink" Target="http://csr.bu.edu/ftp/asl/asllvd/demos/verify_start_end_handshape_annotations//test_auto_move//signs_mov/2475_5654_merged.mov" TargetMode="External"/><Relationship Id="rId17862" Type="http://schemas.openxmlformats.org/officeDocument/2006/relationships/hyperlink" Target="http://csr.bu.edu/ftp/asl/asllvd/demos/verify_start_end_handshape_annotations//test_auto_move//signs_mov_separ_signers/Brady_2475.mov" TargetMode="External"/><Relationship Id="rId17863" Type="http://schemas.openxmlformats.org/officeDocument/2006/relationships/hyperlink" Target="http://secrets.rutgers.edu:8080/data/asl-ftp/asllvd/demos/verify_start_end_handshape_annotations//test_auto_move//signs_mov/2475_5654_merged.mov" TargetMode="External"/><Relationship Id="rId17864" Type="http://schemas.openxmlformats.org/officeDocument/2006/relationships/hyperlink" Target="http://secrets.rutgers.edu:8080/data/asl-ftp/asllvd/demos/verify_start_end_handshape_annotations//test_auto_move//signs_mov_separ_signers/Brady_2475.mov" TargetMode="External"/><Relationship Id="rId17865" Type="http://schemas.openxmlformats.org/officeDocument/2006/relationships/hyperlink" Target="http://csr.bu.edu/ftp/asl/asllvd/demos/verify_start_end_handshape_annotations//test_auto_move//signs_mov_separ_signers/Brady_5654.mov" TargetMode="External"/><Relationship Id="rId17866" Type="http://schemas.openxmlformats.org/officeDocument/2006/relationships/hyperlink" Target="http://secrets.rutgers.edu:8080/data/asl-ftp/asllvd/demos/verify_start_end_handshape_annotations//test_auto_move//signs_mov_separ_signers/Brady_5654.mov" TargetMode="External"/><Relationship Id="rId17867" Type="http://schemas.openxmlformats.org/officeDocument/2006/relationships/hyperlink" Target="http://csr.bu.edu/ftp/asl/asllvd/demos/verify_start_end_handshape_annotations//test_auto_move//signs_mov/15673.mov" TargetMode="External"/><Relationship Id="rId17868" Type="http://schemas.openxmlformats.org/officeDocument/2006/relationships/hyperlink" Target="http://csr.bu.edu/ftp/asl/asllvd/demos/verify_start_end_handshape_annotations//test_auto_move//signs_mov_separ_signers/Liz_15673.mov" TargetMode="External"/><Relationship Id="rId17869" Type="http://schemas.openxmlformats.org/officeDocument/2006/relationships/hyperlink" Target="http://secrets.rutgers.edu:8080/data/asl-ftp/asllvd/demos/verify_start_end_handshape_annotations//test_auto_move//signs_mov/15673.mov" TargetMode="External"/><Relationship Id="rId17870" Type="http://schemas.openxmlformats.org/officeDocument/2006/relationships/hyperlink" Target="http://secrets.rutgers.edu:8080/data/asl-ftp/asllvd/demos/verify_start_end_handshape_annotations//test_auto_move//signs_mov_separ_signers/Liz_15673.mov" TargetMode="External"/><Relationship Id="rId17871" Type="http://schemas.openxmlformats.org/officeDocument/2006/relationships/hyperlink" Target="http://csr.bu.edu/ftp/asl/asllvd/demos/verify_start_end_handshape_annotations//test_auto_move//signs_mov/16277.mov" TargetMode="External"/><Relationship Id="rId17872" Type="http://schemas.openxmlformats.org/officeDocument/2006/relationships/hyperlink" Target="http://csr.bu.edu/ftp/asl/asllvd/demos/verify_start_end_handshape_annotations//test_auto_move//signs_mov_separ_signers/Brady_16277.mov" TargetMode="External"/><Relationship Id="rId17873" Type="http://schemas.openxmlformats.org/officeDocument/2006/relationships/hyperlink" Target="http://secrets.rutgers.edu:8080/data/asl-ftp/asllvd/demos/verify_start_end_handshape_annotations//test_auto_move//signs_mov/16277.mov" TargetMode="External"/><Relationship Id="rId17874" Type="http://schemas.openxmlformats.org/officeDocument/2006/relationships/hyperlink" Target="http://secrets.rutgers.edu:8080/data/asl-ftp/asllvd/demos/verify_start_end_handshape_annotations//test_auto_move//signs_mov_separ_signers/Brady_16277.mov" TargetMode="External"/><Relationship Id="rId17875" Type="http://schemas.openxmlformats.org/officeDocument/2006/relationships/hyperlink" Target="http://csr.bu.edu/ftp/asl/asllvd/demos/verify_start_end_handshape_annotations//test_auto_move//signs_mov/2476.mov" TargetMode="External"/><Relationship Id="rId17876" Type="http://schemas.openxmlformats.org/officeDocument/2006/relationships/hyperlink" Target="http://csr.bu.edu/ftp/asl/asllvd/demos/verify_start_end_handshape_annotations//test_auto_move//signs_mov_separ_signers/Liz_2476.mov" TargetMode="External"/><Relationship Id="rId17877" Type="http://schemas.openxmlformats.org/officeDocument/2006/relationships/hyperlink" Target="http://secrets.rutgers.edu:8080/data/asl-ftp/asllvd/demos/verify_start_end_handshape_annotations//test_auto_move//signs_mov/2476.mov" TargetMode="External"/><Relationship Id="rId17878" Type="http://schemas.openxmlformats.org/officeDocument/2006/relationships/hyperlink" Target="http://secrets.rutgers.edu:8080/data/asl-ftp/asllvd/demos/verify_start_end_handshape_annotations//test_auto_move//signs_mov_separ_signers/Liz_2476.mov" TargetMode="External"/><Relationship Id="rId17879" Type="http://schemas.openxmlformats.org/officeDocument/2006/relationships/hyperlink" Target="http://csr.bu.edu/ftp/asl/asllvd/demos/verify_start_end_handshape_annotations//test_auto_move//signs_mov_separ_signers/Brady_2476.mov" TargetMode="External"/><Relationship Id="rId17880" Type="http://schemas.openxmlformats.org/officeDocument/2006/relationships/hyperlink" Target="http://secrets.rutgers.edu:8080/data/asl-ftp/asllvd/demos/verify_start_end_handshape_annotations//test_auto_move//signs_mov_separ_signers/Brady_2476.mov" TargetMode="External"/><Relationship Id="rId17881" Type="http://schemas.openxmlformats.org/officeDocument/2006/relationships/hyperlink" Target="http://csr.bu.edu/ftp/asl/asllvd/demos/verify_start_end_handshape_annotations//test_auto_move//signs_mov/2477.mov" TargetMode="External"/><Relationship Id="rId17882" Type="http://schemas.openxmlformats.org/officeDocument/2006/relationships/hyperlink" Target="http://csr.bu.edu/ftp/asl/asllvd/demos/verify_start_end_handshape_annotations//test_auto_move//signs_mov_separ_signers/Liz_2477.mov" TargetMode="External"/><Relationship Id="rId17883" Type="http://schemas.openxmlformats.org/officeDocument/2006/relationships/hyperlink" Target="http://secrets.rutgers.edu:8080/data/asl-ftp/asllvd/demos/verify_start_end_handshape_annotations//test_auto_move//signs_mov/2477.mov" TargetMode="External"/><Relationship Id="rId17884" Type="http://schemas.openxmlformats.org/officeDocument/2006/relationships/hyperlink" Target="http://secrets.rutgers.edu:8080/data/asl-ftp/asllvd/demos/verify_start_end_handshape_annotations//test_auto_move//signs_mov_separ_signers/Liz_2477.mov" TargetMode="External"/><Relationship Id="rId17885" Type="http://schemas.openxmlformats.org/officeDocument/2006/relationships/hyperlink" Target="http://csr.bu.edu/ftp/asl/asllvd/demos/verify_start_end_handshape_annotations//test_auto_move//signs_mov_separ_signers/Brady_2477.mov" TargetMode="External"/><Relationship Id="rId17886" Type="http://schemas.openxmlformats.org/officeDocument/2006/relationships/hyperlink" Target="http://secrets.rutgers.edu:8080/data/asl-ftp/asllvd/demos/verify_start_end_handshape_annotations//test_auto_move//signs_mov_separ_signers/Brady_2477.mov" TargetMode="External"/><Relationship Id="rId17887" Type="http://schemas.openxmlformats.org/officeDocument/2006/relationships/hyperlink" Target="http://csr.bu.edu/ftp/asl/asllvd/demos/verify_start_end_handshape_annotations//test_auto_move//signs_mov_separ_signers/Liz_15566.mov" TargetMode="External"/><Relationship Id="rId17888" Type="http://schemas.openxmlformats.org/officeDocument/2006/relationships/hyperlink" Target="http://secrets.rutgers.edu:8080/data/asl-ftp/asllvd/demos/verify_start_end_handshape_annotations//test_auto_move//signs_mov_separ_signers/Liz_15566.mov" TargetMode="External"/><Relationship Id="rId17889" Type="http://schemas.openxmlformats.org/officeDocument/2006/relationships/hyperlink" Target="http://csr.bu.edu/ftp/asl/asllvd/demos/verify_start_end_handshape_annotations//test_auto_move//signs_mov/15566_15570_merged.mov" TargetMode="External"/><Relationship Id="rId17890" Type="http://schemas.openxmlformats.org/officeDocument/2006/relationships/hyperlink" Target="http://csr.bu.edu/ftp/asl/asllvd/demos/verify_start_end_handshape_annotations//test_auto_move//signs_mov_separ_signers/Liz_15570.mov" TargetMode="External"/><Relationship Id="rId17891" Type="http://schemas.openxmlformats.org/officeDocument/2006/relationships/hyperlink" Target="http://secrets.rutgers.edu:8080/data/asl-ftp/asllvd/demos/verify_start_end_handshape_annotations//test_auto_move//signs_mov/15566_15570_merged.mov" TargetMode="External"/><Relationship Id="rId17892" Type="http://schemas.openxmlformats.org/officeDocument/2006/relationships/hyperlink" Target="http://secrets.rutgers.edu:8080/data/asl-ftp/asllvd/demos/verify_start_end_handshape_annotations//test_auto_move//signs_mov_separ_signers/Liz_15570.mov" TargetMode="External"/><Relationship Id="rId17893" Type="http://schemas.openxmlformats.org/officeDocument/2006/relationships/hyperlink" Target="http://csr.bu.edu/ftp/asl/asllvd/demos/verify_start_end_handshape_annotations//test_auto_move//signs_mov_separ_signers/Brady_15566.mov" TargetMode="External"/><Relationship Id="rId17894" Type="http://schemas.openxmlformats.org/officeDocument/2006/relationships/hyperlink" Target="http://secrets.rutgers.edu:8080/data/asl-ftp/asllvd/demos/verify_start_end_handshape_annotations//test_auto_move//signs_mov_separ_signers/Brady_15566.mov" TargetMode="External"/><Relationship Id="rId17895" Type="http://schemas.openxmlformats.org/officeDocument/2006/relationships/hyperlink" Target="http://csr.bu.edu/ftp/asl/asllvd/demos/verify_start_end_handshape_annotations//test_auto_move//signs_mov_separ_signers/Brady_15570.mov" TargetMode="External"/><Relationship Id="rId17896" Type="http://schemas.openxmlformats.org/officeDocument/2006/relationships/hyperlink" Target="http://secrets.rutgers.edu:8080/data/asl-ftp/asllvd/demos/verify_start_end_handshape_annotations//test_auto_move//signs_mov_separ_signers/Brady_15570.mov" TargetMode="External"/><Relationship Id="rId17897" Type="http://schemas.openxmlformats.org/officeDocument/2006/relationships/hyperlink" Target="http://csr.bu.edu/ftp/asl/asllvd/demos/verify_start_end_handshape_annotations//test_auto_move//signs_mov/16065.mov" TargetMode="External"/><Relationship Id="rId17898" Type="http://schemas.openxmlformats.org/officeDocument/2006/relationships/hyperlink" Target="http://csr.bu.edu/ftp/asl/asllvd/demos/verify_start_end_handshape_annotations//test_auto_move//signs_mov_separ_signers/Liz_16065.mov" TargetMode="External"/><Relationship Id="rId17899" Type="http://schemas.openxmlformats.org/officeDocument/2006/relationships/hyperlink" Target="http://secrets.rutgers.edu:8080/data/asl-ftp/asllvd/demos/verify_start_end_handshape_annotations//test_auto_move//signs_mov/16065.mov" TargetMode="External"/><Relationship Id="rId17900" Type="http://schemas.openxmlformats.org/officeDocument/2006/relationships/hyperlink" Target="http://secrets.rutgers.edu:8080/data/asl-ftp/asllvd/demos/verify_start_end_handshape_annotations//test_auto_move//signs_mov_separ_signers/Liz_16065.mov" TargetMode="External"/><Relationship Id="rId17901" Type="http://schemas.openxmlformats.org/officeDocument/2006/relationships/hyperlink" Target="http://csr.bu.edu/ftp/asl/asllvd/demos/verify_start_end_handshape_annotations//test_auto_move//signs_mov_separ_signers/Liz_16314.mov" TargetMode="External"/><Relationship Id="rId17902" Type="http://schemas.openxmlformats.org/officeDocument/2006/relationships/hyperlink" Target="http://secrets.rutgers.edu:8080/data/asl-ftp/asllvd/demos/verify_start_end_handshape_annotations//test_auto_move//signs_mov_separ_signers/Liz_16314.mov" TargetMode="External"/><Relationship Id="rId17903" Type="http://schemas.openxmlformats.org/officeDocument/2006/relationships/hyperlink" Target="http://csr.bu.edu/ftp/asl/asllvd/demos/verify_start_end_handshape_annotations//test_auto_move//signs_mov/16314.mov" TargetMode="External"/><Relationship Id="rId17904" Type="http://schemas.openxmlformats.org/officeDocument/2006/relationships/hyperlink" Target="http://csr.bu.edu/ftp/asl/asllvd/demos/verify_start_end_handshape_annotations//test_auto_move//signs_mov_separ_signers/Tyler_16314.mov" TargetMode="External"/><Relationship Id="rId17905" Type="http://schemas.openxmlformats.org/officeDocument/2006/relationships/hyperlink" Target="http://secrets.rutgers.edu:8080/data/asl-ftp/asllvd/demos/verify_start_end_handshape_annotations//test_auto_move//signs_mov/16314.mov" TargetMode="External"/><Relationship Id="rId17906" Type="http://schemas.openxmlformats.org/officeDocument/2006/relationships/hyperlink" Target="http://secrets.rutgers.edu:8080/data/asl-ftp/asllvd/demos/verify_start_end_handshape_annotations//test_auto_move//signs_mov_separ_signers/Tyler_16314.mov" TargetMode="External"/><Relationship Id="rId17907" Type="http://schemas.openxmlformats.org/officeDocument/2006/relationships/hyperlink" Target="http://csr.bu.edu/ftp/asl/asllvd/demos/verify_start_end_handshape_annotations//test_auto_move//signs_mov_separ_signers/Brady_16314.mov" TargetMode="External"/><Relationship Id="rId17908" Type="http://schemas.openxmlformats.org/officeDocument/2006/relationships/hyperlink" Target="http://secrets.rutgers.edu:8080/data/asl-ftp/asllvd/demos/verify_start_end_handshape_annotations//test_auto_move//signs_mov_separ_signers/Brady_16314.mov" TargetMode="External"/><Relationship Id="rId17909" Type="http://schemas.openxmlformats.org/officeDocument/2006/relationships/hyperlink" Target="http://csr.bu.edu/ftp/asl/asllvd/demos/verify_start_end_handshape_annotations//test_auto_move//signs_mov/16315.mov" TargetMode="External"/><Relationship Id="rId17910" Type="http://schemas.openxmlformats.org/officeDocument/2006/relationships/hyperlink" Target="http://csr.bu.edu/ftp/asl/asllvd/demos/verify_start_end_handshape_annotations//test_auto_move//signs_mov_separ_signers/Liz_16315.mov" TargetMode="External"/><Relationship Id="rId17911" Type="http://schemas.openxmlformats.org/officeDocument/2006/relationships/hyperlink" Target="http://secrets.rutgers.edu:8080/data/asl-ftp/asllvd/demos/verify_start_end_handshape_annotations//test_auto_move//signs_mov/16315.mov" TargetMode="External"/><Relationship Id="rId17912" Type="http://schemas.openxmlformats.org/officeDocument/2006/relationships/hyperlink" Target="http://secrets.rutgers.edu:8080/data/asl-ftp/asllvd/demos/verify_start_end_handshape_annotations//test_auto_move//signs_mov_separ_signers/Liz_16315.mov" TargetMode="External"/><Relationship Id="rId17913" Type="http://schemas.openxmlformats.org/officeDocument/2006/relationships/hyperlink" Target="http://csr.bu.edu/ftp/asl/asllvd/demos/verify_start_end_handshape_annotations//test_auto_move//signs_mov_separ_signers/Brady_16315.mov" TargetMode="External"/><Relationship Id="rId17914" Type="http://schemas.openxmlformats.org/officeDocument/2006/relationships/hyperlink" Target="http://secrets.rutgers.edu:8080/data/asl-ftp/asllvd/demos/verify_start_end_handshape_annotations//test_auto_move//signs_mov_separ_signers/Brady_16315.mov" TargetMode="External"/><Relationship Id="rId17915" Type="http://schemas.openxmlformats.org/officeDocument/2006/relationships/hyperlink" Target="http://csr.bu.edu/ftp/asl/asllvd/demos/verify_start_end_handshape_annotations//test_auto_move//signs_mov/2479.mov" TargetMode="External"/><Relationship Id="rId17916" Type="http://schemas.openxmlformats.org/officeDocument/2006/relationships/hyperlink" Target="http://csr.bu.edu/ftp/asl/asllvd/demos/verify_start_end_handshape_annotations//test_auto_move//signs_mov_separ_signers/Brady_2479.mov" TargetMode="External"/><Relationship Id="rId17917" Type="http://schemas.openxmlformats.org/officeDocument/2006/relationships/hyperlink" Target="http://secrets.rutgers.edu:8080/data/asl-ftp/asllvd/demos/verify_start_end_handshape_annotations//test_auto_move//signs_mov/2479.mov" TargetMode="External"/><Relationship Id="rId17918" Type="http://schemas.openxmlformats.org/officeDocument/2006/relationships/hyperlink" Target="http://secrets.rutgers.edu:8080/data/asl-ftp/asllvd/demos/verify_start_end_handshape_annotations//test_auto_move//signs_mov_separ_signers/Brady_2479.mov" TargetMode="External"/><Relationship Id="rId17919" Type="http://schemas.openxmlformats.org/officeDocument/2006/relationships/hyperlink" Target="http://csr.bu.edu/ftp/asl/asllvd/demos/verify_start_end_handshape_annotations//test_auto_move//signs_mov/3875_16074_merged.mov" TargetMode="External"/><Relationship Id="rId17920" Type="http://schemas.openxmlformats.org/officeDocument/2006/relationships/hyperlink" Target="http://csr.bu.edu/ftp/asl/asllvd/demos/verify_start_end_handshape_annotations//test_auto_move//signs_mov_separ_signers/Liz_3875.mov" TargetMode="External"/><Relationship Id="rId17921" Type="http://schemas.openxmlformats.org/officeDocument/2006/relationships/hyperlink" Target="http://secrets.rutgers.edu:8080/data/asl-ftp/asllvd/demos/verify_start_end_handshape_annotations//test_auto_move//signs_mov/3875_16074_merged.mov" TargetMode="External"/><Relationship Id="rId17922" Type="http://schemas.openxmlformats.org/officeDocument/2006/relationships/hyperlink" Target="http://secrets.rutgers.edu:8080/data/asl-ftp/asllvd/demos/verify_start_end_handshape_annotations//test_auto_move//signs_mov_separ_signers/Liz_3875.mov" TargetMode="External"/><Relationship Id="rId17923" Type="http://schemas.openxmlformats.org/officeDocument/2006/relationships/hyperlink" Target="http://csr.bu.edu/ftp/asl/asllvd/demos/verify_start_end_handshape_annotations//test_auto_move//signs_mov_separ_signers/Liz_16074.mov" TargetMode="External"/><Relationship Id="rId17924" Type="http://schemas.openxmlformats.org/officeDocument/2006/relationships/hyperlink" Target="http://secrets.rutgers.edu:8080/data/asl-ftp/asllvd/demos/verify_start_end_handshape_annotations//test_auto_move//signs_mov_separ_signers/Liz_16074.mov" TargetMode="External"/><Relationship Id="rId17925" Type="http://schemas.openxmlformats.org/officeDocument/2006/relationships/hyperlink" Target="http://csr.bu.edu/ftp/asl/asllvd/demos/verify_start_end_handshape_annotations//test_auto_move//signs_mov/16118.mov" TargetMode="External"/><Relationship Id="rId17926" Type="http://schemas.openxmlformats.org/officeDocument/2006/relationships/hyperlink" Target="http://csr.bu.edu/ftp/asl/asllvd/demos/verify_start_end_handshape_annotations//test_auto_move//signs_mov_separ_signers/Brady_16118.mov" TargetMode="External"/><Relationship Id="rId17927" Type="http://schemas.openxmlformats.org/officeDocument/2006/relationships/hyperlink" Target="http://secrets.rutgers.edu:8080/data/asl-ftp/asllvd/demos/verify_start_end_handshape_annotations//test_auto_move//signs_mov/16118.mov" TargetMode="External"/><Relationship Id="rId17928" Type="http://schemas.openxmlformats.org/officeDocument/2006/relationships/hyperlink" Target="http://secrets.rutgers.edu:8080/data/asl-ftp/asllvd/demos/verify_start_end_handshape_annotations//test_auto_move//signs_mov_separ_signers/Brady_16118.mov" TargetMode="External"/><Relationship Id="rId17929" Type="http://schemas.openxmlformats.org/officeDocument/2006/relationships/hyperlink" Target="http://csr.bu.edu/ftp/asl/asllvd/demos/verify_start_end_handshape_annotations//test_auto_move//signs_mov/2482.mov" TargetMode="External"/><Relationship Id="rId17930" Type="http://schemas.openxmlformats.org/officeDocument/2006/relationships/hyperlink" Target="http://csr.bu.edu/ftp/asl/asllvd/demos/verify_start_end_handshape_annotations//test_auto_move//signs_mov_separ_signers/Liz_2482.mov" TargetMode="External"/><Relationship Id="rId17931" Type="http://schemas.openxmlformats.org/officeDocument/2006/relationships/hyperlink" Target="http://secrets.rutgers.edu:8080/data/asl-ftp/asllvd/demos/verify_start_end_handshape_annotations//test_auto_move//signs_mov/2482.mov" TargetMode="External"/><Relationship Id="rId17932" Type="http://schemas.openxmlformats.org/officeDocument/2006/relationships/hyperlink" Target="http://secrets.rutgers.edu:8080/data/asl-ftp/asllvd/demos/verify_start_end_handshape_annotations//test_auto_move//signs_mov_separ_signers/Liz_2482.mov" TargetMode="External"/><Relationship Id="rId17933" Type="http://schemas.openxmlformats.org/officeDocument/2006/relationships/hyperlink" Target="http://csr.bu.edu/ftp/asl/asllvd/demos/verify_start_end_handshape_annotations//test_auto_move//signs_mov/3876.mov" TargetMode="External"/><Relationship Id="rId17934" Type="http://schemas.openxmlformats.org/officeDocument/2006/relationships/hyperlink" Target="http://csr.bu.edu/ftp/asl/asllvd/demos/verify_start_end_handshape_annotations//test_auto_move//signs_mov_separ_signers/Liz_3876.mov" TargetMode="External"/><Relationship Id="rId17935" Type="http://schemas.openxmlformats.org/officeDocument/2006/relationships/hyperlink" Target="http://secrets.rutgers.edu:8080/data/asl-ftp/asllvd/demos/verify_start_end_handshape_annotations//test_auto_move//signs_mov/3876.mov" TargetMode="External"/><Relationship Id="rId17936" Type="http://schemas.openxmlformats.org/officeDocument/2006/relationships/hyperlink" Target="http://secrets.rutgers.edu:8080/data/asl-ftp/asllvd/demos/verify_start_end_handshape_annotations//test_auto_move//signs_mov_separ_signers/Liz_3876.mov" TargetMode="External"/><Relationship Id="rId17937" Type="http://schemas.openxmlformats.org/officeDocument/2006/relationships/hyperlink" Target="http://csr.bu.edu/ftp/asl/asllvd/demos/verify_start_end_handshape_annotations//test_auto_move//signs_mov_separ_signers/Brady_3876.mov" TargetMode="External"/><Relationship Id="rId17938" Type="http://schemas.openxmlformats.org/officeDocument/2006/relationships/hyperlink" Target="http://secrets.rutgers.edu:8080/data/asl-ftp/asllvd/demos/verify_start_end_handshape_annotations//test_auto_move//signs_mov_separ_signers/Brady_3876.mov" TargetMode="External"/><Relationship Id="rId17939" Type="http://schemas.openxmlformats.org/officeDocument/2006/relationships/hyperlink" Target="http://csr.bu.edu/ftp/asl/asllvd/demos/verify_start_end_handshape_annotations//test_auto_move//signs_mov/2483.mov" TargetMode="External"/><Relationship Id="rId17940" Type="http://schemas.openxmlformats.org/officeDocument/2006/relationships/hyperlink" Target="http://csr.bu.edu/ftp/asl/asllvd/demos/verify_start_end_handshape_annotations//test_auto_move//signs_mov_separ_signers/Liz_2483.mov" TargetMode="External"/><Relationship Id="rId17941" Type="http://schemas.openxmlformats.org/officeDocument/2006/relationships/hyperlink" Target="http://secrets.rutgers.edu:8080/data/asl-ftp/asllvd/demos/verify_start_end_handshape_annotations//test_auto_move//signs_mov/2483.mov" TargetMode="External"/><Relationship Id="rId17942" Type="http://schemas.openxmlformats.org/officeDocument/2006/relationships/hyperlink" Target="http://secrets.rutgers.edu:8080/data/asl-ftp/asllvd/demos/verify_start_end_handshape_annotations//test_auto_move//signs_mov_separ_signers/Liz_2483.mov" TargetMode="External"/><Relationship Id="rId17943" Type="http://schemas.openxmlformats.org/officeDocument/2006/relationships/hyperlink" Target="http://csr.bu.edu/ftp/asl/asllvd/demos/verify_start_end_handshape_annotations//test_auto_move//signs_mov/3881.mov" TargetMode="External"/><Relationship Id="rId17944" Type="http://schemas.openxmlformats.org/officeDocument/2006/relationships/hyperlink" Target="http://csr.bu.edu/ftp/asl/asllvd/demos/verify_start_end_handshape_annotations//test_auto_move//signs_mov_separ_signers/Liz_3881.mov" TargetMode="External"/><Relationship Id="rId17945" Type="http://schemas.openxmlformats.org/officeDocument/2006/relationships/hyperlink" Target="http://secrets.rutgers.edu:8080/data/asl-ftp/asllvd/demos/verify_start_end_handshape_annotations//test_auto_move//signs_mov/3881.mov" TargetMode="External"/><Relationship Id="rId17946" Type="http://schemas.openxmlformats.org/officeDocument/2006/relationships/hyperlink" Target="http://secrets.rutgers.edu:8080/data/asl-ftp/asllvd/demos/verify_start_end_handshape_annotations//test_auto_move//signs_mov_separ_signers/Liz_3881.mov" TargetMode="External"/><Relationship Id="rId17947" Type="http://schemas.openxmlformats.org/officeDocument/2006/relationships/hyperlink" Target="http://csr.bu.edu/ftp/asl/asllvd/demos/verify_start_end_handshape_annotations//test_auto_move//signs_mov_separ_signers/Brady_3881.mov" TargetMode="External"/><Relationship Id="rId17948" Type="http://schemas.openxmlformats.org/officeDocument/2006/relationships/hyperlink" Target="http://secrets.rutgers.edu:8080/data/asl-ftp/asllvd/demos/verify_start_end_handshape_annotations//test_auto_move//signs_mov_separ_signers/Brady_3881.mov" TargetMode="External"/><Relationship Id="rId17949" Type="http://schemas.openxmlformats.org/officeDocument/2006/relationships/hyperlink" Target="http://csr.bu.edu/ftp/asl/asllvd/demos/verify_start_end_handshape_annotations//test_auto_move//signs_mov/2488.mov" TargetMode="External"/><Relationship Id="rId17950" Type="http://schemas.openxmlformats.org/officeDocument/2006/relationships/hyperlink" Target="http://csr.bu.edu/ftp/asl/asllvd/demos/verify_start_end_handshape_annotations//test_auto_move//signs_mov_separ_signers/Liz_2488.mov" TargetMode="External"/><Relationship Id="rId17951" Type="http://schemas.openxmlformats.org/officeDocument/2006/relationships/hyperlink" Target="http://secrets.rutgers.edu:8080/data/asl-ftp/asllvd/demos/verify_start_end_handshape_annotations//test_auto_move//signs_mov/2488.mov" TargetMode="External"/><Relationship Id="rId17952" Type="http://schemas.openxmlformats.org/officeDocument/2006/relationships/hyperlink" Target="http://secrets.rutgers.edu:8080/data/asl-ftp/asllvd/demos/verify_start_end_handshape_annotations//test_auto_move//signs_mov_separ_signers/Liz_2488.mov" TargetMode="External"/><Relationship Id="rId17953" Type="http://schemas.openxmlformats.org/officeDocument/2006/relationships/hyperlink" Target="http://csr.bu.edu/ftp/asl/asllvd/demos/verify_start_end_handshape_annotations//test_auto_move//signs_mov_separ_signers/Brady_2488.mov" TargetMode="External"/><Relationship Id="rId17954" Type="http://schemas.openxmlformats.org/officeDocument/2006/relationships/hyperlink" Target="http://secrets.rutgers.edu:8080/data/asl-ftp/asllvd/demos/verify_start_end_handshape_annotations//test_auto_move//signs_mov_separ_signers/Brady_2488.mov" TargetMode="External"/><Relationship Id="rId17955" Type="http://schemas.openxmlformats.org/officeDocument/2006/relationships/hyperlink" Target="http://csr.bu.edu/ftp/asl/asllvd/demos/verify_start_end_handshape_annotations//test_auto_move//signs_mov_separ_signers/Liz_15308.mov" TargetMode="External"/><Relationship Id="rId17956" Type="http://schemas.openxmlformats.org/officeDocument/2006/relationships/hyperlink" Target="http://secrets.rutgers.edu:8080/data/asl-ftp/asllvd/demos/verify_start_end_handshape_annotations//test_auto_move//signs_mov_separ_signers/Liz_15308.mov" TargetMode="External"/><Relationship Id="rId17957" Type="http://schemas.openxmlformats.org/officeDocument/2006/relationships/hyperlink" Target="http://csr.bu.edu/ftp/asl/asllvd/demos/verify_start_end_handshape_annotations//test_auto_move//signs_mov/15308.mov" TargetMode="External"/><Relationship Id="rId17958" Type="http://schemas.openxmlformats.org/officeDocument/2006/relationships/hyperlink" Target="http://csr.bu.edu/ftp/asl/asllvd/demos/verify_start_end_handshape_annotations//test_auto_move//signs_mov_separ_signers/Tyler_15308.mov" TargetMode="External"/><Relationship Id="rId17959" Type="http://schemas.openxmlformats.org/officeDocument/2006/relationships/hyperlink" Target="http://secrets.rutgers.edu:8080/data/asl-ftp/asllvd/demos/verify_start_end_handshape_annotations//test_auto_move//signs_mov/15308.mov" TargetMode="External"/><Relationship Id="rId17960" Type="http://schemas.openxmlformats.org/officeDocument/2006/relationships/hyperlink" Target="http://secrets.rutgers.edu:8080/data/asl-ftp/asllvd/demos/verify_start_end_handshape_annotations//test_auto_move//signs_mov_separ_signers/Tyler_15308.mov" TargetMode="External"/><Relationship Id="rId17961" Type="http://schemas.openxmlformats.org/officeDocument/2006/relationships/hyperlink" Target="http://csr.bu.edu/ftp/asl/asllvd/demos/verify_start_end_handshape_annotations//test_auto_move//signs_mov_separ_signers/Naomi_15308.mov" TargetMode="External"/><Relationship Id="rId17962" Type="http://schemas.openxmlformats.org/officeDocument/2006/relationships/hyperlink" Target="http://secrets.rutgers.edu:8080/data/asl-ftp/asllvd/demos/verify_start_end_handshape_annotations//test_auto_move//signs_mov_separ_signers/Naomi_15308.mov" TargetMode="External"/><Relationship Id="rId17963" Type="http://schemas.openxmlformats.org/officeDocument/2006/relationships/hyperlink" Target="http://csr.bu.edu/ftp/asl/asllvd/demos/verify_start_end_handshape_annotations//test_auto_move//signs_mov_separ_signers/Brady_15308.mov" TargetMode="External"/><Relationship Id="rId17964" Type="http://schemas.openxmlformats.org/officeDocument/2006/relationships/hyperlink" Target="http://secrets.rutgers.edu:8080/data/asl-ftp/asllvd/demos/verify_start_end_handshape_annotations//test_auto_move//signs_mov_separ_signers/Brady_15308.mov" TargetMode="External"/><Relationship Id="rId17965" Type="http://schemas.openxmlformats.org/officeDocument/2006/relationships/hyperlink" Target="http://csr.bu.edu/ftp/asl/asllvd/demos/verify_start_end_handshape_annotations//test_auto_move//signs_mov_separ_signers/Liz_2494.mov" TargetMode="External"/><Relationship Id="rId17966" Type="http://schemas.openxmlformats.org/officeDocument/2006/relationships/hyperlink" Target="http://secrets.rutgers.edu:8080/data/asl-ftp/asllvd/demos/verify_start_end_handshape_annotations//test_auto_move//signs_mov_separ_signers/Liz_2494.mov" TargetMode="External"/><Relationship Id="rId17967" Type="http://schemas.openxmlformats.org/officeDocument/2006/relationships/hyperlink" Target="http://csr.bu.edu/ftp/asl/asllvd/demos/verify_start_end_handshape_annotations//test_auto_move//signs_mov/2494_3781_merged.mov" TargetMode="External"/><Relationship Id="rId17968" Type="http://schemas.openxmlformats.org/officeDocument/2006/relationships/hyperlink" Target="http://csr.bu.edu/ftp/asl/asllvd/demos/verify_start_end_handshape_annotations//test_auto_move//signs_mov_separ_signers/Liz_3781.mov" TargetMode="External"/><Relationship Id="rId17969" Type="http://schemas.openxmlformats.org/officeDocument/2006/relationships/hyperlink" Target="http://secrets.rutgers.edu:8080/data/asl-ftp/asllvd/demos/verify_start_end_handshape_annotations//test_auto_move//signs_mov/2494_3781_merged.mov" TargetMode="External"/><Relationship Id="rId17970" Type="http://schemas.openxmlformats.org/officeDocument/2006/relationships/hyperlink" Target="http://secrets.rutgers.edu:8080/data/asl-ftp/asllvd/demos/verify_start_end_handshape_annotations//test_auto_move//signs_mov_separ_signers/Liz_3781.mov" TargetMode="External"/><Relationship Id="rId17971" Type="http://schemas.openxmlformats.org/officeDocument/2006/relationships/hyperlink" Target="http://csr.bu.edu/ftp/asl/asllvd/demos/verify_start_end_handshape_annotations//test_auto_move//signs_mov_separ_signers/Brady_2494.mov" TargetMode="External"/><Relationship Id="rId17972" Type="http://schemas.openxmlformats.org/officeDocument/2006/relationships/hyperlink" Target="http://secrets.rutgers.edu:8080/data/asl-ftp/asllvd/demos/verify_start_end_handshape_annotations//test_auto_move//signs_mov_separ_signers/Brady_2494.mov" TargetMode="External"/><Relationship Id="rId17973" Type="http://schemas.openxmlformats.org/officeDocument/2006/relationships/hyperlink" Target="http://csr.bu.edu/ftp/asl/asllvd/demos/verify_start_end_handshape_annotations//test_auto_move//signs_mov_separ_signers/Liz_2496.mov" TargetMode="External"/><Relationship Id="rId17974" Type="http://schemas.openxmlformats.org/officeDocument/2006/relationships/hyperlink" Target="http://secrets.rutgers.edu:8080/data/asl-ftp/asllvd/demos/verify_start_end_handshape_annotations//test_auto_move//signs_mov_separ_signers/Liz_2496.mov" TargetMode="External"/><Relationship Id="rId17975" Type="http://schemas.openxmlformats.org/officeDocument/2006/relationships/hyperlink" Target="http://csr.bu.edu/ftp/asl/asllvd/demos/verify_start_end_handshape_annotations//test_auto_move//signs_mov/2496_3409_merged.mov" TargetMode="External"/><Relationship Id="rId17976" Type="http://schemas.openxmlformats.org/officeDocument/2006/relationships/hyperlink" Target="http://csr.bu.edu/ftp/asl/asllvd/demos/verify_start_end_handshape_annotations//test_auto_move//signs_mov_separ_signers/Liz_3409.mov" TargetMode="External"/><Relationship Id="rId17977" Type="http://schemas.openxmlformats.org/officeDocument/2006/relationships/hyperlink" Target="http://secrets.rutgers.edu:8080/data/asl-ftp/asllvd/demos/verify_start_end_handshape_annotations//test_auto_move//signs_mov/2496_3409_merged.mov" TargetMode="External"/><Relationship Id="rId17978" Type="http://schemas.openxmlformats.org/officeDocument/2006/relationships/hyperlink" Target="http://secrets.rutgers.edu:8080/data/asl-ftp/asllvd/demos/verify_start_end_handshape_annotations//test_auto_move//signs_mov_separ_signers/Liz_3409.mov" TargetMode="External"/><Relationship Id="rId17979" Type="http://schemas.openxmlformats.org/officeDocument/2006/relationships/hyperlink" Target="http://csr.bu.edu/ftp/asl/asllvd/demos/verify_start_end_handshape_annotations//test_auto_move//signs_mov_separ_signers/Brady_2496.mov" TargetMode="External"/><Relationship Id="rId17980" Type="http://schemas.openxmlformats.org/officeDocument/2006/relationships/hyperlink" Target="http://secrets.rutgers.edu:8080/data/asl-ftp/asllvd/demos/verify_start_end_handshape_annotations//test_auto_move//signs_mov_separ_signers/Brady_2496.mov" TargetMode="External"/><Relationship Id="rId17981" Type="http://schemas.openxmlformats.org/officeDocument/2006/relationships/hyperlink" Target="http://csr.bu.edu/ftp/asl/asllvd/demos/verify_start_end_handshape_annotations//test_auto_move//signs_mov_separ_signers/Liz_15496.mov" TargetMode="External"/><Relationship Id="rId17982" Type="http://schemas.openxmlformats.org/officeDocument/2006/relationships/hyperlink" Target="http://secrets.rutgers.edu:8080/data/asl-ftp/asllvd/demos/verify_start_end_handshape_annotations//test_auto_move//signs_mov_separ_signers/Liz_15496.mov" TargetMode="External"/><Relationship Id="rId17983" Type="http://schemas.openxmlformats.org/officeDocument/2006/relationships/hyperlink" Target="http://csr.bu.edu/ftp/asl/asllvd/demos/verify_start_end_handshape_annotations//test_auto_move//signs_mov/15496_16466_merged.mov" TargetMode="External"/><Relationship Id="rId17984" Type="http://schemas.openxmlformats.org/officeDocument/2006/relationships/hyperlink" Target="http://csr.bu.edu/ftp/asl/asllvd/demos/verify_start_end_handshape_annotations//test_auto_move//signs_mov_separ_signers/Brady_15496.mov" TargetMode="External"/><Relationship Id="rId17985" Type="http://schemas.openxmlformats.org/officeDocument/2006/relationships/hyperlink" Target="http://secrets.rutgers.edu:8080/data/asl-ftp/asllvd/demos/verify_start_end_handshape_annotations//test_auto_move//signs_mov/15496_16466_merged.mov" TargetMode="External"/><Relationship Id="rId17986" Type="http://schemas.openxmlformats.org/officeDocument/2006/relationships/hyperlink" Target="http://secrets.rutgers.edu:8080/data/asl-ftp/asllvd/demos/verify_start_end_handshape_annotations//test_auto_move//signs_mov_separ_signers/Brady_15496.mov" TargetMode="External"/><Relationship Id="rId17987" Type="http://schemas.openxmlformats.org/officeDocument/2006/relationships/hyperlink" Target="http://csr.bu.edu/ftp/asl/asllvd/demos/verify_start_end_handshape_annotations//test_auto_move//signs_mov_separ_signers/Brady_16466.mov" TargetMode="External"/><Relationship Id="rId17988" Type="http://schemas.openxmlformats.org/officeDocument/2006/relationships/hyperlink" Target="http://secrets.rutgers.edu:8080/data/asl-ftp/asllvd/demos/verify_start_end_handshape_annotations//test_auto_move//signs_mov_separ_signers/Brady_16466.mov" TargetMode="External"/><Relationship Id="rId17989" Type="http://schemas.openxmlformats.org/officeDocument/2006/relationships/hyperlink" Target="http://csr.bu.edu/ftp/asl/asllvd/demos/verify_start_end_handshape_annotations//test_auto_move//signs_mov/2497.mov" TargetMode="External"/><Relationship Id="rId17990" Type="http://schemas.openxmlformats.org/officeDocument/2006/relationships/hyperlink" Target="http://csr.bu.edu/ftp/asl/asllvd/demos/verify_start_end_handshape_annotations//test_auto_move//signs_mov_separ_signers/Liz_2497.mov" TargetMode="External"/><Relationship Id="rId17991" Type="http://schemas.openxmlformats.org/officeDocument/2006/relationships/hyperlink" Target="http://secrets.rutgers.edu:8080/data/asl-ftp/asllvd/demos/verify_start_end_handshape_annotations//test_auto_move//signs_mov/2497.mov" TargetMode="External"/><Relationship Id="rId17992" Type="http://schemas.openxmlformats.org/officeDocument/2006/relationships/hyperlink" Target="http://secrets.rutgers.edu:8080/data/asl-ftp/asllvd/demos/verify_start_end_handshape_annotations//test_auto_move//signs_mov_separ_signers/Liz_2497.mov" TargetMode="External"/><Relationship Id="rId17993" Type="http://schemas.openxmlformats.org/officeDocument/2006/relationships/hyperlink" Target="http://csr.bu.edu/ftp/asl/asllvd/demos/verify_start_end_handshape_annotations//test_auto_move//signs_mov_separ_signers/Brady_2497.mov" TargetMode="External"/><Relationship Id="rId17994" Type="http://schemas.openxmlformats.org/officeDocument/2006/relationships/hyperlink" Target="http://secrets.rutgers.edu:8080/data/asl-ftp/asllvd/demos/verify_start_end_handshape_annotations//test_auto_move//signs_mov_separ_signers/Brady_2497.mov" TargetMode="External"/><Relationship Id="rId17995" Type="http://schemas.openxmlformats.org/officeDocument/2006/relationships/hyperlink" Target="http://csr.bu.edu/ftp/asl/asllvd/demos/verify_start_end_handshape_annotations//test_auto_move//signs_mov/2499.mov" TargetMode="External"/><Relationship Id="rId17996" Type="http://schemas.openxmlformats.org/officeDocument/2006/relationships/hyperlink" Target="http://csr.bu.edu/ftp/asl/asllvd/demos/verify_start_end_handshape_annotations//test_auto_move//signs_mov_separ_signers/Liz_2499.mov" TargetMode="External"/><Relationship Id="rId17997" Type="http://schemas.openxmlformats.org/officeDocument/2006/relationships/hyperlink" Target="http://secrets.rutgers.edu:8080/data/asl-ftp/asllvd/demos/verify_start_end_handshape_annotations//test_auto_move//signs_mov/2499.mov" TargetMode="External"/><Relationship Id="rId17998" Type="http://schemas.openxmlformats.org/officeDocument/2006/relationships/hyperlink" Target="http://secrets.rutgers.edu:8080/data/asl-ftp/asllvd/demos/verify_start_end_handshape_annotations//test_auto_move//signs_mov_separ_signers/Liz_2499.mov" TargetMode="External"/><Relationship Id="rId17999" Type="http://schemas.openxmlformats.org/officeDocument/2006/relationships/hyperlink" Target="http://csr.bu.edu/ftp/asl/asllvd/demos/verify_start_end_handshape_annotations//test_auto_move//signs_mov_separ_signers/Brady_2499.mov" TargetMode="External"/><Relationship Id="rId18000" Type="http://schemas.openxmlformats.org/officeDocument/2006/relationships/hyperlink" Target="http://secrets.rutgers.edu:8080/data/asl-ftp/asllvd/demos/verify_start_end_handshape_annotations//test_auto_move//signs_mov_separ_signers/Brady_2499.mov" TargetMode="External"/><Relationship Id="rId18001" Type="http://schemas.openxmlformats.org/officeDocument/2006/relationships/hyperlink" Target="http://csr.bu.edu/ftp/asl/asllvd/demos/verify_start_end_handshape_annotations//test_auto_move//signs_mov/15185.mov" TargetMode="External"/><Relationship Id="rId18002" Type="http://schemas.openxmlformats.org/officeDocument/2006/relationships/hyperlink" Target="http://csr.bu.edu/ftp/asl/asllvd/demos/verify_start_end_handshape_annotations//test_auto_move//signs_mov_separ_signers/Liz_15185.mov" TargetMode="External"/><Relationship Id="rId18003" Type="http://schemas.openxmlformats.org/officeDocument/2006/relationships/hyperlink" Target="http://secrets.rutgers.edu:8080/data/asl-ftp/asllvd/demos/verify_start_end_handshape_annotations//test_auto_move//signs_mov/15185.mov" TargetMode="External"/><Relationship Id="rId18004" Type="http://schemas.openxmlformats.org/officeDocument/2006/relationships/hyperlink" Target="http://secrets.rutgers.edu:8080/data/asl-ftp/asllvd/demos/verify_start_end_handshape_annotations//test_auto_move//signs_mov_separ_signers/Liz_15185.mov" TargetMode="External"/><Relationship Id="rId18005" Type="http://schemas.openxmlformats.org/officeDocument/2006/relationships/hyperlink" Target="http://csr.bu.edu/ftp/asl/asllvd/demos/verify_start_end_handshape_annotations//test_auto_move//signs_mov/16467.mov" TargetMode="External"/><Relationship Id="rId18006" Type="http://schemas.openxmlformats.org/officeDocument/2006/relationships/hyperlink" Target="http://csr.bu.edu/ftp/asl/asllvd/demos/verify_start_end_handshape_annotations//test_auto_move//signs_mov_separ_signers/Brady_16467.mov" TargetMode="External"/><Relationship Id="rId18007" Type="http://schemas.openxmlformats.org/officeDocument/2006/relationships/hyperlink" Target="http://secrets.rutgers.edu:8080/data/asl-ftp/asllvd/demos/verify_start_end_handshape_annotations//test_auto_move//signs_mov/16467.mov" TargetMode="External"/><Relationship Id="rId18008" Type="http://schemas.openxmlformats.org/officeDocument/2006/relationships/hyperlink" Target="http://secrets.rutgers.edu:8080/data/asl-ftp/asllvd/demos/verify_start_end_handshape_annotations//test_auto_move//signs_mov_separ_signers/Brady_16467.mov" TargetMode="External"/><Relationship Id="rId18009" Type="http://schemas.openxmlformats.org/officeDocument/2006/relationships/hyperlink" Target="http://csr.bu.edu/ftp/asl/asllvd/demos/verify_start_end_handshape_annotations//test_auto_move//signs_mov/2500.mov" TargetMode="External"/><Relationship Id="rId18010" Type="http://schemas.openxmlformats.org/officeDocument/2006/relationships/hyperlink" Target="http://csr.bu.edu/ftp/asl/asllvd/demos/verify_start_end_handshape_annotations//test_auto_move//signs_mov_separ_signers/Liz_2500.mov" TargetMode="External"/><Relationship Id="rId18011" Type="http://schemas.openxmlformats.org/officeDocument/2006/relationships/hyperlink" Target="http://secrets.rutgers.edu:8080/data/asl-ftp/asllvd/demos/verify_start_end_handshape_annotations//test_auto_move//signs_mov/2500.mov" TargetMode="External"/><Relationship Id="rId18012" Type="http://schemas.openxmlformats.org/officeDocument/2006/relationships/hyperlink" Target="http://secrets.rutgers.edu:8080/data/asl-ftp/asllvd/demos/verify_start_end_handshape_annotations//test_auto_move//signs_mov_separ_signers/Liz_2500.mov" TargetMode="External"/><Relationship Id="rId18013" Type="http://schemas.openxmlformats.org/officeDocument/2006/relationships/hyperlink" Target="http://csr.bu.edu/ftp/asl/asllvd/demos/verify_start_end_handshape_annotations//test_auto_move//signs_mov_separ_signers/Brady_2500.mov" TargetMode="External"/><Relationship Id="rId18014" Type="http://schemas.openxmlformats.org/officeDocument/2006/relationships/hyperlink" Target="http://secrets.rutgers.edu:8080/data/asl-ftp/asllvd/demos/verify_start_end_handshape_annotations//test_auto_move//signs_mov_separ_signers/Brady_2500.mov" TargetMode="External"/><Relationship Id="rId18015" Type="http://schemas.openxmlformats.org/officeDocument/2006/relationships/hyperlink" Target="http://csr.bu.edu/ftp/asl/asllvd/demos/verify_start_end_handshape_annotations//test_auto_move//signs_mov/2503.mov" TargetMode="External"/><Relationship Id="rId18016" Type="http://schemas.openxmlformats.org/officeDocument/2006/relationships/hyperlink" Target="http://csr.bu.edu/ftp/asl/asllvd/demos/verify_start_end_handshape_annotations//test_auto_move//signs_mov_separ_signers/Liz_2503.mov" TargetMode="External"/><Relationship Id="rId18017" Type="http://schemas.openxmlformats.org/officeDocument/2006/relationships/hyperlink" Target="http://secrets.rutgers.edu:8080/data/asl-ftp/asllvd/demos/verify_start_end_handshape_annotations//test_auto_move//signs_mov/2503.mov" TargetMode="External"/><Relationship Id="rId18018" Type="http://schemas.openxmlformats.org/officeDocument/2006/relationships/hyperlink" Target="http://secrets.rutgers.edu:8080/data/asl-ftp/asllvd/demos/verify_start_end_handshape_annotations//test_auto_move//signs_mov_separ_signers/Liz_2503.mov" TargetMode="External"/><Relationship Id="rId18019" Type="http://schemas.openxmlformats.org/officeDocument/2006/relationships/hyperlink" Target="http://csr.bu.edu/ftp/asl/asllvd/demos/verify_start_end_handshape_annotations//test_auto_move//signs_mov_separ_signers/Brady_2503.mov" TargetMode="External"/><Relationship Id="rId18020" Type="http://schemas.openxmlformats.org/officeDocument/2006/relationships/hyperlink" Target="http://secrets.rutgers.edu:8080/data/asl-ftp/asllvd/demos/verify_start_end_handshape_annotations//test_auto_move//signs_mov_separ_signers/Brady_2503.mov" TargetMode="External"/><Relationship Id="rId18021" Type="http://schemas.openxmlformats.org/officeDocument/2006/relationships/hyperlink" Target="http://csr.bu.edu/ftp/asl/asllvd/demos/verify_start_end_handshape_annotations//test_auto_move//signs_mov/2504.mov" TargetMode="External"/><Relationship Id="rId18022" Type="http://schemas.openxmlformats.org/officeDocument/2006/relationships/hyperlink" Target="http://csr.bu.edu/ftp/asl/asllvd/demos/verify_start_end_handshape_annotations//test_auto_move//signs_mov_separ_signers/Liz_2504.mov" TargetMode="External"/><Relationship Id="rId18023" Type="http://schemas.openxmlformats.org/officeDocument/2006/relationships/hyperlink" Target="http://secrets.rutgers.edu:8080/data/asl-ftp/asllvd/demos/verify_start_end_handshape_annotations//test_auto_move//signs_mov/2504.mov" TargetMode="External"/><Relationship Id="rId18024" Type="http://schemas.openxmlformats.org/officeDocument/2006/relationships/hyperlink" Target="http://secrets.rutgers.edu:8080/data/asl-ftp/asllvd/demos/verify_start_end_handshape_annotations//test_auto_move//signs_mov_separ_signers/Liz_2504.mov" TargetMode="External"/><Relationship Id="rId18025" Type="http://schemas.openxmlformats.org/officeDocument/2006/relationships/hyperlink" Target="http://csr.bu.edu/ftp/asl/asllvd/demos/verify_start_end_handshape_annotations//test_auto_move//signs_mov_separ_signers/Brady_2504.mov" TargetMode="External"/><Relationship Id="rId18026" Type="http://schemas.openxmlformats.org/officeDocument/2006/relationships/hyperlink" Target="http://secrets.rutgers.edu:8080/data/asl-ftp/asllvd/demos/verify_start_end_handshape_annotations//test_auto_move//signs_mov_separ_signers/Brady_2504.mov" TargetMode="External"/><Relationship Id="rId18027" Type="http://schemas.openxmlformats.org/officeDocument/2006/relationships/hyperlink" Target="http://csr.bu.edu/ftp/asl/asllvd/demos/verify_start_end_handshape_annotations//test_auto_move//signs_mov/2509.mov" TargetMode="External"/><Relationship Id="rId18028" Type="http://schemas.openxmlformats.org/officeDocument/2006/relationships/hyperlink" Target="http://csr.bu.edu/ftp/asl/asllvd/demos/verify_start_end_handshape_annotations//test_auto_move//signs_mov_separ_signers/Liz_2509.mov" TargetMode="External"/><Relationship Id="rId18029" Type="http://schemas.openxmlformats.org/officeDocument/2006/relationships/hyperlink" Target="http://secrets.rutgers.edu:8080/data/asl-ftp/asllvd/demos/verify_start_end_handshape_annotations//test_auto_move//signs_mov/2509.mov" TargetMode="External"/><Relationship Id="rId18030" Type="http://schemas.openxmlformats.org/officeDocument/2006/relationships/hyperlink" Target="http://secrets.rutgers.edu:8080/data/asl-ftp/asllvd/demos/verify_start_end_handshape_annotations//test_auto_move//signs_mov_separ_signers/Liz_2509.mov" TargetMode="External"/><Relationship Id="rId18031" Type="http://schemas.openxmlformats.org/officeDocument/2006/relationships/hyperlink" Target="http://csr.bu.edu/ftp/asl/asllvd/demos/verify_start_end_handshape_annotations//test_auto_move//signs_mov_separ_signers/Brady_2509.mov" TargetMode="External"/><Relationship Id="rId18032" Type="http://schemas.openxmlformats.org/officeDocument/2006/relationships/hyperlink" Target="http://secrets.rutgers.edu:8080/data/asl-ftp/asllvd/demos/verify_start_end_handshape_annotations//test_auto_move//signs_mov_separ_signers/Brady_2509.mov" TargetMode="External"/><Relationship Id="rId18033" Type="http://schemas.openxmlformats.org/officeDocument/2006/relationships/hyperlink" Target="http://csr.bu.edu/ftp/asl/asllvd/demos/verify_start_end_handshape_annotations//test_auto_move//signs_mov/2512.mov" TargetMode="External"/><Relationship Id="rId18034" Type="http://schemas.openxmlformats.org/officeDocument/2006/relationships/hyperlink" Target="http://csr.bu.edu/ftp/asl/asllvd/demos/verify_start_end_handshape_annotations//test_auto_move//signs_mov_separ_signers/Liz_2512.mov" TargetMode="External"/><Relationship Id="rId18035" Type="http://schemas.openxmlformats.org/officeDocument/2006/relationships/hyperlink" Target="http://secrets.rutgers.edu:8080/data/asl-ftp/asllvd/demos/verify_start_end_handshape_annotations//test_auto_move//signs_mov/2512.mov" TargetMode="External"/><Relationship Id="rId18036" Type="http://schemas.openxmlformats.org/officeDocument/2006/relationships/hyperlink" Target="http://secrets.rutgers.edu:8080/data/asl-ftp/asllvd/demos/verify_start_end_handshape_annotations//test_auto_move//signs_mov_separ_signers/Liz_2512.mov" TargetMode="External"/><Relationship Id="rId18037" Type="http://schemas.openxmlformats.org/officeDocument/2006/relationships/hyperlink" Target="http://csr.bu.edu/ftp/asl/asllvd/demos/verify_start_end_handshape_annotations//test_auto_move//signs_mov_separ_signers/Brady_2512.mov" TargetMode="External"/><Relationship Id="rId18038" Type="http://schemas.openxmlformats.org/officeDocument/2006/relationships/hyperlink" Target="http://secrets.rutgers.edu:8080/data/asl-ftp/asllvd/demos/verify_start_end_handshape_annotations//test_auto_move//signs_mov_separ_signers/Brady_2512.mov" TargetMode="External"/><Relationship Id="rId18039" Type="http://schemas.openxmlformats.org/officeDocument/2006/relationships/hyperlink" Target="http://csr.bu.edu/ftp/asl/asllvd/demos/verify_start_end_handshape_annotations//test_auto_move//signs_mov/15970.mov" TargetMode="External"/><Relationship Id="rId18040" Type="http://schemas.openxmlformats.org/officeDocument/2006/relationships/hyperlink" Target="http://csr.bu.edu/ftp/asl/asllvd/demos/verify_start_end_handshape_annotations//test_auto_move//signs_mov_separ_signers/Liz_15970.mov" TargetMode="External"/><Relationship Id="rId18041" Type="http://schemas.openxmlformats.org/officeDocument/2006/relationships/hyperlink" Target="http://secrets.rutgers.edu:8080/data/asl-ftp/asllvd/demos/verify_start_end_handshape_annotations//test_auto_move//signs_mov/15970.mov" TargetMode="External"/><Relationship Id="rId18042" Type="http://schemas.openxmlformats.org/officeDocument/2006/relationships/hyperlink" Target="http://secrets.rutgers.edu:8080/data/asl-ftp/asllvd/demos/verify_start_end_handshape_annotations//test_auto_move//signs_mov_separ_signers/Liz_15970.mov" TargetMode="External"/><Relationship Id="rId18043" Type="http://schemas.openxmlformats.org/officeDocument/2006/relationships/hyperlink" Target="http://csr.bu.edu/ftp/asl/asllvd/demos/verify_start_end_handshape_annotations//test_auto_move//signs_mov_separ_signers/Brady_15970.mov" TargetMode="External"/><Relationship Id="rId18044" Type="http://schemas.openxmlformats.org/officeDocument/2006/relationships/hyperlink" Target="http://secrets.rutgers.edu:8080/data/asl-ftp/asllvd/demos/verify_start_end_handshape_annotations//test_auto_move//signs_mov_separ_signers/Brady_15970.mov" TargetMode="External"/><Relationship Id="rId18045" Type="http://schemas.openxmlformats.org/officeDocument/2006/relationships/hyperlink" Target="http://csr.bu.edu/ftp/asl/asllvd/demos/verify_start_end_handshape_annotations//test_auto_move//signs_mov/2513.mov" TargetMode="External"/><Relationship Id="rId18046" Type="http://schemas.openxmlformats.org/officeDocument/2006/relationships/hyperlink" Target="http://csr.bu.edu/ftp/asl/asllvd/demos/verify_start_end_handshape_annotations//test_auto_move//signs_mov_separ_signers/Liz_2513.mov" TargetMode="External"/><Relationship Id="rId18047" Type="http://schemas.openxmlformats.org/officeDocument/2006/relationships/hyperlink" Target="http://secrets.rutgers.edu:8080/data/asl-ftp/asllvd/demos/verify_start_end_handshape_annotations//test_auto_move//signs_mov/2513.mov" TargetMode="External"/><Relationship Id="rId18048" Type="http://schemas.openxmlformats.org/officeDocument/2006/relationships/hyperlink" Target="http://secrets.rutgers.edu:8080/data/asl-ftp/asllvd/demos/verify_start_end_handshape_annotations//test_auto_move//signs_mov_separ_signers/Liz_2513.mov" TargetMode="External"/><Relationship Id="rId18049" Type="http://schemas.openxmlformats.org/officeDocument/2006/relationships/hyperlink" Target="http://csr.bu.edu/ftp/asl/asllvd/demos/verify_start_end_handshape_annotations//test_auto_move//signs_mov_separ_signers/Brady_2513.mov" TargetMode="External"/><Relationship Id="rId18050" Type="http://schemas.openxmlformats.org/officeDocument/2006/relationships/hyperlink" Target="http://secrets.rutgers.edu:8080/data/asl-ftp/asllvd/demos/verify_start_end_handshape_annotations//test_auto_move//signs_mov_separ_signers/Brady_2513.mov" TargetMode="External"/><Relationship Id="rId18051" Type="http://schemas.openxmlformats.org/officeDocument/2006/relationships/hyperlink" Target="http://csr.bu.edu/ftp/asl/asllvd/demos/verify_start_end_handshape_annotations//test_auto_move//signs_mov/2515.mov" TargetMode="External"/><Relationship Id="rId18052" Type="http://schemas.openxmlformats.org/officeDocument/2006/relationships/hyperlink" Target="http://csr.bu.edu/ftp/asl/asllvd/demos/verify_start_end_handshape_annotations//test_auto_move//signs_mov_separ_signers/Liz_2515.mov" TargetMode="External"/><Relationship Id="rId18053" Type="http://schemas.openxmlformats.org/officeDocument/2006/relationships/hyperlink" Target="http://secrets.rutgers.edu:8080/data/asl-ftp/asllvd/demos/verify_start_end_handshape_annotations//test_auto_move//signs_mov/2515.mov" TargetMode="External"/><Relationship Id="rId18054" Type="http://schemas.openxmlformats.org/officeDocument/2006/relationships/hyperlink" Target="http://secrets.rutgers.edu:8080/data/asl-ftp/asllvd/demos/verify_start_end_handshape_annotations//test_auto_move//signs_mov_separ_signers/Liz_2515.mov" TargetMode="External"/><Relationship Id="rId18055" Type="http://schemas.openxmlformats.org/officeDocument/2006/relationships/hyperlink" Target="http://csr.bu.edu/ftp/asl/asllvd/demos/verify_start_end_handshape_annotations//test_auto_move//signs_mov/2516.mov" TargetMode="External"/><Relationship Id="rId18056" Type="http://schemas.openxmlformats.org/officeDocument/2006/relationships/hyperlink" Target="http://csr.bu.edu/ftp/asl/asllvd/demos/verify_start_end_handshape_annotations//test_auto_move//signs_mov_separ_signers/Liz_2516.mov" TargetMode="External"/><Relationship Id="rId18057" Type="http://schemas.openxmlformats.org/officeDocument/2006/relationships/hyperlink" Target="http://secrets.rutgers.edu:8080/data/asl-ftp/asllvd/demos/verify_start_end_handshape_annotations//test_auto_move//signs_mov/2516.mov" TargetMode="External"/><Relationship Id="rId18058" Type="http://schemas.openxmlformats.org/officeDocument/2006/relationships/hyperlink" Target="http://secrets.rutgers.edu:8080/data/asl-ftp/asllvd/demos/verify_start_end_handshape_annotations//test_auto_move//signs_mov_separ_signers/Liz_2516.mov" TargetMode="External"/><Relationship Id="rId18059" Type="http://schemas.openxmlformats.org/officeDocument/2006/relationships/hyperlink" Target="http://csr.bu.edu/ftp/asl/asllvd/demos/verify_start_end_handshape_annotations//test_auto_move//signs_mov/15370.mov" TargetMode="External"/><Relationship Id="rId18060" Type="http://schemas.openxmlformats.org/officeDocument/2006/relationships/hyperlink" Target="http://csr.bu.edu/ftp/asl/asllvd/demos/verify_start_end_handshape_annotations//test_auto_move//signs_mov_separ_signers/Liz_15370.mov" TargetMode="External"/><Relationship Id="rId18061" Type="http://schemas.openxmlformats.org/officeDocument/2006/relationships/hyperlink" Target="http://secrets.rutgers.edu:8080/data/asl-ftp/asllvd/demos/verify_start_end_handshape_annotations//test_auto_move//signs_mov/15370.mov" TargetMode="External"/><Relationship Id="rId18062" Type="http://schemas.openxmlformats.org/officeDocument/2006/relationships/hyperlink" Target="http://secrets.rutgers.edu:8080/data/asl-ftp/asllvd/demos/verify_start_end_handshape_annotations//test_auto_move//signs_mov_separ_signers/Liz_15370.mov" TargetMode="External"/><Relationship Id="rId18063" Type="http://schemas.openxmlformats.org/officeDocument/2006/relationships/hyperlink" Target="http://csr.bu.edu/ftp/asl/asllvd/demos/verify_start_end_handshape_annotations//test_auto_move//signs_mov/16468.mov" TargetMode="External"/><Relationship Id="rId18064" Type="http://schemas.openxmlformats.org/officeDocument/2006/relationships/hyperlink" Target="http://csr.bu.edu/ftp/asl/asllvd/demos/verify_start_end_handshape_annotations//test_auto_move//signs_mov_separ_signers/Brady_16468.mov" TargetMode="External"/><Relationship Id="rId18065" Type="http://schemas.openxmlformats.org/officeDocument/2006/relationships/hyperlink" Target="http://secrets.rutgers.edu:8080/data/asl-ftp/asllvd/demos/verify_start_end_handshape_annotations//test_auto_move//signs_mov/16468.mov" TargetMode="External"/><Relationship Id="rId18066" Type="http://schemas.openxmlformats.org/officeDocument/2006/relationships/hyperlink" Target="http://secrets.rutgers.edu:8080/data/asl-ftp/asllvd/demos/verify_start_end_handshape_annotations//test_auto_move//signs_mov_separ_signers/Brady_16468.mov" TargetMode="External"/><Relationship Id="rId18067" Type="http://schemas.openxmlformats.org/officeDocument/2006/relationships/hyperlink" Target="http://csr.bu.edu/ftp/asl/asllvd/demos/verify_start_end_handshape_annotations//test_auto_move//signs_mov/2518.mov" TargetMode="External"/><Relationship Id="rId18068" Type="http://schemas.openxmlformats.org/officeDocument/2006/relationships/hyperlink" Target="http://csr.bu.edu/ftp/asl/asllvd/demos/verify_start_end_handshape_annotations//test_auto_move//signs_mov_separ_signers/Liz_2518.mov" TargetMode="External"/><Relationship Id="rId18069" Type="http://schemas.openxmlformats.org/officeDocument/2006/relationships/hyperlink" Target="http://secrets.rutgers.edu:8080/data/asl-ftp/asllvd/demos/verify_start_end_handshape_annotations//test_auto_move//signs_mov/2518.mov" TargetMode="External"/><Relationship Id="rId18070" Type="http://schemas.openxmlformats.org/officeDocument/2006/relationships/hyperlink" Target="http://secrets.rutgers.edu:8080/data/asl-ftp/asllvd/demos/verify_start_end_handshape_annotations//test_auto_move//signs_mov_separ_signers/Liz_2518.mov" TargetMode="External"/><Relationship Id="rId18071" Type="http://schemas.openxmlformats.org/officeDocument/2006/relationships/hyperlink" Target="http://csr.bu.edu/ftp/asl/asllvd/demos/verify_start_end_handshape_annotations//test_auto_move//signs_mov_separ_signers/Liz_15866.mov" TargetMode="External"/><Relationship Id="rId18072" Type="http://schemas.openxmlformats.org/officeDocument/2006/relationships/hyperlink" Target="http://secrets.rutgers.edu:8080/data/asl-ftp/asllvd/demos/verify_start_end_handshape_annotations//test_auto_move//signs_mov_separ_signers/Liz_15866.mov" TargetMode="External"/><Relationship Id="rId18073" Type="http://schemas.openxmlformats.org/officeDocument/2006/relationships/hyperlink" Target="http://csr.bu.edu/ftp/asl/asllvd/demos/verify_start_end_handshape_annotations//test_auto_move//signs_mov_separ_signers/Tyler_15866.mov" TargetMode="External"/><Relationship Id="rId18074" Type="http://schemas.openxmlformats.org/officeDocument/2006/relationships/hyperlink" Target="http://secrets.rutgers.edu:8080/data/asl-ftp/asllvd/demos/verify_start_end_handshape_annotations//test_auto_move//signs_mov_separ_signers/Tyler_15866.mov" TargetMode="External"/><Relationship Id="rId18075" Type="http://schemas.openxmlformats.org/officeDocument/2006/relationships/hyperlink" Target="http://csr.bu.edu/ftp/asl/asllvd/demos/verify_start_end_handshape_annotations//test_auto_move//signs_mov/15866.mov" TargetMode="External"/><Relationship Id="rId18076" Type="http://schemas.openxmlformats.org/officeDocument/2006/relationships/hyperlink" Target="http://csr.bu.edu/ftp/asl/asllvd/demos/verify_start_end_handshape_annotations//test_auto_move//signs_mov_separ_signers/Naomi_15866.mov" TargetMode="External"/><Relationship Id="rId18077" Type="http://schemas.openxmlformats.org/officeDocument/2006/relationships/hyperlink" Target="http://secrets.rutgers.edu:8080/data/asl-ftp/asllvd/demos/verify_start_end_handshape_annotations//test_auto_move//signs_mov/15866.mov" TargetMode="External"/><Relationship Id="rId18078" Type="http://schemas.openxmlformats.org/officeDocument/2006/relationships/hyperlink" Target="http://secrets.rutgers.edu:8080/data/asl-ftp/asllvd/demos/verify_start_end_handshape_annotations//test_auto_move//signs_mov_separ_signers/Naomi_15866.mov" TargetMode="External"/><Relationship Id="rId18079" Type="http://schemas.openxmlformats.org/officeDocument/2006/relationships/hyperlink" Target="http://csr.bu.edu/ftp/asl/asllvd/demos/verify_start_end_handshape_annotations//test_auto_move//signs_mov_separ_signers/Brady_15866.mov" TargetMode="External"/><Relationship Id="rId18080" Type="http://schemas.openxmlformats.org/officeDocument/2006/relationships/hyperlink" Target="http://secrets.rutgers.edu:8080/data/asl-ftp/asllvd/demos/verify_start_end_handshape_annotations//test_auto_move//signs_mov_separ_signers/Brady_15866.mov" TargetMode="External"/><Relationship Id="rId18081" Type="http://schemas.openxmlformats.org/officeDocument/2006/relationships/hyperlink" Target="http://csr.bu.edu/ftp/asl/asllvd/demos/verify_start_end_handshape_annotations//test_auto_move//signs_mov_separ_signers/Lana_15866.mov" TargetMode="External"/><Relationship Id="rId18082" Type="http://schemas.openxmlformats.org/officeDocument/2006/relationships/hyperlink" Target="http://secrets.rutgers.edu:8080/data/asl-ftp/asllvd/demos/verify_start_end_handshape_annotations//test_auto_move//signs_mov_separ_signers/Lana_15866.mov" TargetMode="External"/><Relationship Id="rId18083" Type="http://schemas.openxmlformats.org/officeDocument/2006/relationships/hyperlink" Target="http://csr.bu.edu/ftp/asl/asllvd/demos/verify_start_end_handshape_annotations//test_auto_move//signs_mov_separ_signers/Dana_15866.mov" TargetMode="External"/><Relationship Id="rId18084" Type="http://schemas.openxmlformats.org/officeDocument/2006/relationships/hyperlink" Target="http://secrets.rutgers.edu:8080/data/asl-ftp/asllvd/demos/verify_start_end_handshape_annotations//test_auto_move//signs_mov_separ_signers/Dana_15866.mov" TargetMode="External"/><Relationship Id="rId18085" Type="http://schemas.openxmlformats.org/officeDocument/2006/relationships/hyperlink" Target="http://csr.bu.edu/ftp/asl/asllvd/demos/verify_start_end_handshape_annotations//test_auto_move//signs_mov_separ_signers/Liz_15871.mov" TargetMode="External"/><Relationship Id="rId18086" Type="http://schemas.openxmlformats.org/officeDocument/2006/relationships/hyperlink" Target="http://secrets.rutgers.edu:8080/data/asl-ftp/asllvd/demos/verify_start_end_handshape_annotations//test_auto_move//signs_mov_separ_signers/Liz_15871.mov" TargetMode="External"/><Relationship Id="rId18087" Type="http://schemas.openxmlformats.org/officeDocument/2006/relationships/hyperlink" Target="http://csr.bu.edu/ftp/asl/asllvd/demos/verify_start_end_handshape_annotations//test_auto_move//signs_mov_separ_signers/Tyler_15871.mov" TargetMode="External"/><Relationship Id="rId18088" Type="http://schemas.openxmlformats.org/officeDocument/2006/relationships/hyperlink" Target="http://secrets.rutgers.edu:8080/data/asl-ftp/asllvd/demos/verify_start_end_handshape_annotations//test_auto_move//signs_mov_separ_signers/Tyler_15871.mov" TargetMode="External"/><Relationship Id="rId18089" Type="http://schemas.openxmlformats.org/officeDocument/2006/relationships/hyperlink" Target="http://csr.bu.edu/ftp/asl/asllvd/demos/verify_start_end_handshape_annotations//test_auto_move//signs_mov/15871_15872_merged.mov" TargetMode="External"/><Relationship Id="rId18090" Type="http://schemas.openxmlformats.org/officeDocument/2006/relationships/hyperlink" Target="http://csr.bu.edu/ftp/asl/asllvd/demos/verify_start_end_handshape_annotations//test_auto_move//signs_mov_separ_signers/Tyler_15872.mov" TargetMode="External"/><Relationship Id="rId18091" Type="http://schemas.openxmlformats.org/officeDocument/2006/relationships/hyperlink" Target="http://secrets.rutgers.edu:8080/data/asl-ftp/asllvd/demos/verify_start_end_handshape_annotations//test_auto_move//signs_mov/15871_15872_merged.mov" TargetMode="External"/><Relationship Id="rId18092" Type="http://schemas.openxmlformats.org/officeDocument/2006/relationships/hyperlink" Target="http://secrets.rutgers.edu:8080/data/asl-ftp/asllvd/demos/verify_start_end_handshape_annotations//test_auto_move//signs_mov_separ_signers/Tyler_15872.mov" TargetMode="External"/><Relationship Id="rId18093" Type="http://schemas.openxmlformats.org/officeDocument/2006/relationships/hyperlink" Target="http://csr.bu.edu/ftp/asl/asllvd/demos/verify_start_end_handshape_annotations//test_auto_move//signs_mov_separ_signers/Naomi_15871.mov" TargetMode="External"/><Relationship Id="rId18094" Type="http://schemas.openxmlformats.org/officeDocument/2006/relationships/hyperlink" Target="http://secrets.rutgers.edu:8080/data/asl-ftp/asllvd/demos/verify_start_end_handshape_annotations//test_auto_move//signs_mov_separ_signers/Naomi_15871.mov" TargetMode="External"/><Relationship Id="rId18095" Type="http://schemas.openxmlformats.org/officeDocument/2006/relationships/hyperlink" Target="http://csr.bu.edu/ftp/asl/asllvd/demos/verify_start_end_handshape_annotations//test_auto_move//signs_mov_separ_signers/Brady_15871.mov" TargetMode="External"/><Relationship Id="rId18096" Type="http://schemas.openxmlformats.org/officeDocument/2006/relationships/hyperlink" Target="http://secrets.rutgers.edu:8080/data/asl-ftp/asllvd/demos/verify_start_end_handshape_annotations//test_auto_move//signs_mov_separ_signers/Brady_15871.mov" TargetMode="External"/><Relationship Id="rId18097" Type="http://schemas.openxmlformats.org/officeDocument/2006/relationships/hyperlink" Target="http://csr.bu.edu/ftp/asl/asllvd/demos/verify_start_end_handshape_annotations//test_auto_move//signs_mov/15894.mov" TargetMode="External"/><Relationship Id="rId18098" Type="http://schemas.openxmlformats.org/officeDocument/2006/relationships/hyperlink" Target="http://csr.bu.edu/ftp/asl/asllvd/demos/verify_start_end_handshape_annotations//test_auto_move//signs_mov_separ_signers/Tyler_15894.mov" TargetMode="External"/><Relationship Id="rId18099" Type="http://schemas.openxmlformats.org/officeDocument/2006/relationships/hyperlink" Target="http://secrets.rutgers.edu:8080/data/asl-ftp/asllvd/demos/verify_start_end_handshape_annotations//test_auto_move//signs_mov/15894.mov" TargetMode="External"/><Relationship Id="rId18100" Type="http://schemas.openxmlformats.org/officeDocument/2006/relationships/hyperlink" Target="http://secrets.rutgers.edu:8080/data/asl-ftp/asllvd/demos/verify_start_end_handshape_annotations//test_auto_move//signs_mov_separ_signers/Tyler_15894.mov" TargetMode="External"/><Relationship Id="rId18101" Type="http://schemas.openxmlformats.org/officeDocument/2006/relationships/hyperlink" Target="http://csr.bu.edu/ftp/asl/asllvd/demos/verify_start_end_handshape_annotations//test_auto_move//signs_mov_separ_signers/Liz_2521.mov" TargetMode="External"/><Relationship Id="rId18102" Type="http://schemas.openxmlformats.org/officeDocument/2006/relationships/hyperlink" Target="http://secrets.rutgers.edu:8080/data/asl-ftp/asllvd/demos/verify_start_end_handshape_annotations//test_auto_move//signs_mov_separ_signers/Liz_2521.mov" TargetMode="External"/><Relationship Id="rId18103" Type="http://schemas.openxmlformats.org/officeDocument/2006/relationships/hyperlink" Target="http://csr.bu.edu/ftp/asl/asllvd/demos/verify_start_end_handshape_annotations//test_auto_move//signs_mov/2521_3423_merged.mov" TargetMode="External"/><Relationship Id="rId18104" Type="http://schemas.openxmlformats.org/officeDocument/2006/relationships/hyperlink" Target="http://csr.bu.edu/ftp/asl/asllvd/demos/verify_start_end_handshape_annotations//test_auto_move//signs_mov_separ_signers/Liz_3423.mov" TargetMode="External"/><Relationship Id="rId18105" Type="http://schemas.openxmlformats.org/officeDocument/2006/relationships/hyperlink" Target="http://secrets.rutgers.edu:8080/data/asl-ftp/asllvd/demos/verify_start_end_handshape_annotations//test_auto_move//signs_mov/2521_3423_merged.mov" TargetMode="External"/><Relationship Id="rId18106" Type="http://schemas.openxmlformats.org/officeDocument/2006/relationships/hyperlink" Target="http://secrets.rutgers.edu:8080/data/asl-ftp/asllvd/demos/verify_start_end_handshape_annotations//test_auto_move//signs_mov_separ_signers/Liz_3423.mov" TargetMode="External"/><Relationship Id="rId18107" Type="http://schemas.openxmlformats.org/officeDocument/2006/relationships/hyperlink" Target="http://csr.bu.edu/ftp/asl/asllvd/demos/verify_start_end_handshape_annotations//test_auto_move//signs_mov_separ_signers/Brady_2521.mov" TargetMode="External"/><Relationship Id="rId18108" Type="http://schemas.openxmlformats.org/officeDocument/2006/relationships/hyperlink" Target="http://secrets.rutgers.edu:8080/data/asl-ftp/asllvd/demos/verify_start_end_handshape_annotations//test_auto_move//signs_mov_separ_signers/Brady_2521.mov" TargetMode="External"/><Relationship Id="rId18109" Type="http://schemas.openxmlformats.org/officeDocument/2006/relationships/hyperlink" Target="http://csr.bu.edu/ftp/asl/asllvd/demos/verify_start_end_handshape_annotations//test_auto_move//signs_mov_separ_signers/Lana_2521.mov" TargetMode="External"/><Relationship Id="rId18110" Type="http://schemas.openxmlformats.org/officeDocument/2006/relationships/hyperlink" Target="http://secrets.rutgers.edu:8080/data/asl-ftp/asllvd/demos/verify_start_end_handshape_annotations//test_auto_move//signs_mov_separ_signers/Lana_2521.mov" TargetMode="External"/><Relationship Id="rId18111" Type="http://schemas.openxmlformats.org/officeDocument/2006/relationships/hyperlink" Target="http://csr.bu.edu/ftp/asl/asllvd/demos/verify_start_end_handshape_annotations//test_auto_move//signs_mov/2523.mov" TargetMode="External"/><Relationship Id="rId18112" Type="http://schemas.openxmlformats.org/officeDocument/2006/relationships/hyperlink" Target="http://csr.bu.edu/ftp/asl/asllvd/demos/verify_start_end_handshape_annotations//test_auto_move//signs_mov_separ_signers/Liz_2523.mov" TargetMode="External"/><Relationship Id="rId18113" Type="http://schemas.openxmlformats.org/officeDocument/2006/relationships/hyperlink" Target="http://secrets.rutgers.edu:8080/data/asl-ftp/asllvd/demos/verify_start_end_handshape_annotations//test_auto_move//signs_mov/2523.mov" TargetMode="External"/><Relationship Id="rId18114" Type="http://schemas.openxmlformats.org/officeDocument/2006/relationships/hyperlink" Target="http://secrets.rutgers.edu:8080/data/asl-ftp/asllvd/demos/verify_start_end_handshape_annotations//test_auto_move//signs_mov_separ_signers/Liz_2523.mov" TargetMode="External"/><Relationship Id="rId18115" Type="http://schemas.openxmlformats.org/officeDocument/2006/relationships/hyperlink" Target="http://csr.bu.edu/ftp/asl/asllvd/demos/verify_start_end_handshape_annotations//test_auto_move//signs_mov_separ_signers/Lana_2523.mov" TargetMode="External"/><Relationship Id="rId18116" Type="http://schemas.openxmlformats.org/officeDocument/2006/relationships/hyperlink" Target="http://secrets.rutgers.edu:8080/data/asl-ftp/asllvd/demos/verify_start_end_handshape_annotations//test_auto_move//signs_mov_separ_signers/Lana_2523.mov" TargetMode="External"/><Relationship Id="rId18117" Type="http://schemas.openxmlformats.org/officeDocument/2006/relationships/hyperlink" Target="http://csr.bu.edu/ftp/asl/asllvd/demos/verify_start_end_handshape_annotations//test_auto_move//signs_mov_separ_signers/Liz_2527.mov" TargetMode="External"/><Relationship Id="rId18118" Type="http://schemas.openxmlformats.org/officeDocument/2006/relationships/hyperlink" Target="http://secrets.rutgers.edu:8080/data/asl-ftp/asllvd/demos/verify_start_end_handshape_annotations//test_auto_move//signs_mov_separ_signers/Liz_2527.mov" TargetMode="External"/><Relationship Id="rId18119" Type="http://schemas.openxmlformats.org/officeDocument/2006/relationships/hyperlink" Target="http://csr.bu.edu/ftp/asl/asllvd/demos/verify_start_end_handshape_annotations//test_auto_move//signs_mov/2527_5525_merged.mov" TargetMode="External"/><Relationship Id="rId18120" Type="http://schemas.openxmlformats.org/officeDocument/2006/relationships/hyperlink" Target="http://csr.bu.edu/ftp/asl/asllvd/demos/verify_start_end_handshape_annotations//test_auto_move//signs_mov_separ_signers/Brady_2527.mov" TargetMode="External"/><Relationship Id="rId18121" Type="http://schemas.openxmlformats.org/officeDocument/2006/relationships/hyperlink" Target="http://secrets.rutgers.edu:8080/data/asl-ftp/asllvd/demos/verify_start_end_handshape_annotations//test_auto_move//signs_mov/2527_5525_merged.mov" TargetMode="External"/><Relationship Id="rId18122" Type="http://schemas.openxmlformats.org/officeDocument/2006/relationships/hyperlink" Target="http://secrets.rutgers.edu:8080/data/asl-ftp/asllvd/demos/verify_start_end_handshape_annotations//test_auto_move//signs_mov_separ_signers/Brady_2527.mov" TargetMode="External"/><Relationship Id="rId18123" Type="http://schemas.openxmlformats.org/officeDocument/2006/relationships/hyperlink" Target="http://csr.bu.edu/ftp/asl/asllvd/demos/verify_start_end_handshape_annotations//test_auto_move//signs_mov_separ_signers/Brady_5525.mov" TargetMode="External"/><Relationship Id="rId18124" Type="http://schemas.openxmlformats.org/officeDocument/2006/relationships/hyperlink" Target="http://secrets.rutgers.edu:8080/data/asl-ftp/asllvd/demos/verify_start_end_handshape_annotations//test_auto_move//signs_mov_separ_signers/Brady_5525.mov" TargetMode="External"/><Relationship Id="rId18125" Type="http://schemas.openxmlformats.org/officeDocument/2006/relationships/hyperlink" Target="http://csr.bu.edu/ftp/asl/asllvd/demos/verify_start_end_handshape_annotations//test_auto_move//signs_mov/15934.mov" TargetMode="External"/><Relationship Id="rId18126" Type="http://schemas.openxmlformats.org/officeDocument/2006/relationships/hyperlink" Target="http://csr.bu.edu/ftp/asl/asllvd/demos/verify_start_end_handshape_annotations//test_auto_move//signs_mov_separ_signers/Liz_15934.mov" TargetMode="External"/><Relationship Id="rId18127" Type="http://schemas.openxmlformats.org/officeDocument/2006/relationships/hyperlink" Target="http://secrets.rutgers.edu:8080/data/asl-ftp/asllvd/demos/verify_start_end_handshape_annotations//test_auto_move//signs_mov/15934.mov" TargetMode="External"/><Relationship Id="rId18128" Type="http://schemas.openxmlformats.org/officeDocument/2006/relationships/hyperlink" Target="http://secrets.rutgers.edu:8080/data/asl-ftp/asllvd/demos/verify_start_end_handshape_annotations//test_auto_move//signs_mov_separ_signers/Liz_15934.mov" TargetMode="External"/><Relationship Id="rId18129" Type="http://schemas.openxmlformats.org/officeDocument/2006/relationships/hyperlink" Target="http://csr.bu.edu/ftp/asl/asllvd/demos/verify_start_end_handshape_annotations//test_auto_move//signs_mov_separ_signers/Brady_15934.mov" TargetMode="External"/><Relationship Id="rId18130" Type="http://schemas.openxmlformats.org/officeDocument/2006/relationships/hyperlink" Target="http://secrets.rutgers.edu:8080/data/asl-ftp/asllvd/demos/verify_start_end_handshape_annotations//test_auto_move//signs_mov_separ_signers/Brady_15934.mov" TargetMode="External"/><Relationship Id="rId18131" Type="http://schemas.openxmlformats.org/officeDocument/2006/relationships/hyperlink" Target="http://csr.bu.edu/ftp/asl/asllvd/demos/verify_start_end_handshape_annotations//test_auto_move//signs_mov/2529.mov" TargetMode="External"/><Relationship Id="rId18132" Type="http://schemas.openxmlformats.org/officeDocument/2006/relationships/hyperlink" Target="http://csr.bu.edu/ftp/asl/asllvd/demos/verify_start_end_handshape_annotations//test_auto_move//signs_mov_separ_signers/Liz_2529.mov" TargetMode="External"/><Relationship Id="rId18133" Type="http://schemas.openxmlformats.org/officeDocument/2006/relationships/hyperlink" Target="http://secrets.rutgers.edu:8080/data/asl-ftp/asllvd/demos/verify_start_end_handshape_annotations//test_auto_move//signs_mov/2529.mov" TargetMode="External"/><Relationship Id="rId18134" Type="http://schemas.openxmlformats.org/officeDocument/2006/relationships/hyperlink" Target="http://secrets.rutgers.edu:8080/data/asl-ftp/asllvd/demos/verify_start_end_handshape_annotations//test_auto_move//signs_mov_separ_signers/Liz_2529.mov" TargetMode="External"/><Relationship Id="rId18135" Type="http://schemas.openxmlformats.org/officeDocument/2006/relationships/hyperlink" Target="http://csr.bu.edu/ftp/asl/asllvd/demos/verify_start_end_handshape_annotations//test_auto_move//signs_mov_separ_signers/Brady_2529.mov" TargetMode="External"/><Relationship Id="rId18136" Type="http://schemas.openxmlformats.org/officeDocument/2006/relationships/hyperlink" Target="http://secrets.rutgers.edu:8080/data/asl-ftp/asllvd/demos/verify_start_end_handshape_annotations//test_auto_move//signs_mov_separ_signers/Brady_2529.mov" TargetMode="External"/><Relationship Id="rId18137" Type="http://schemas.openxmlformats.org/officeDocument/2006/relationships/hyperlink" Target="http://csr.bu.edu/ftp/asl/asllvd/demos/verify_start_end_handshape_annotations//test_auto_move//signs_mov/2532.mov" TargetMode="External"/><Relationship Id="rId18138" Type="http://schemas.openxmlformats.org/officeDocument/2006/relationships/hyperlink" Target="http://csr.bu.edu/ftp/asl/asllvd/demos/verify_start_end_handshape_annotations//test_auto_move//signs_mov_separ_signers/Liz_2532.mov" TargetMode="External"/><Relationship Id="rId18139" Type="http://schemas.openxmlformats.org/officeDocument/2006/relationships/hyperlink" Target="http://secrets.rutgers.edu:8080/data/asl-ftp/asllvd/demos/verify_start_end_handshape_annotations//test_auto_move//signs_mov/2532.mov" TargetMode="External"/><Relationship Id="rId18140" Type="http://schemas.openxmlformats.org/officeDocument/2006/relationships/hyperlink" Target="http://secrets.rutgers.edu:8080/data/asl-ftp/asllvd/demos/verify_start_end_handshape_annotations//test_auto_move//signs_mov_separ_signers/Liz_2532.mov" TargetMode="External"/><Relationship Id="rId18141" Type="http://schemas.openxmlformats.org/officeDocument/2006/relationships/hyperlink" Target="http://csr.bu.edu/ftp/asl/asllvd/demos/verify_start_end_handshape_annotations//test_auto_move//signs_mov_separ_signers/Brady_2532.mov" TargetMode="External"/><Relationship Id="rId18142" Type="http://schemas.openxmlformats.org/officeDocument/2006/relationships/hyperlink" Target="http://secrets.rutgers.edu:8080/data/asl-ftp/asllvd/demos/verify_start_end_handshape_annotations//test_auto_move//signs_mov_separ_signers/Brady_2532.mov" TargetMode="External"/><Relationship Id="rId18143" Type="http://schemas.openxmlformats.org/officeDocument/2006/relationships/hyperlink" Target="http://csr.bu.edu/ftp/asl/asllvd/demos/verify_start_end_handshape_annotations//test_auto_move//signs_mov/2533.mov" TargetMode="External"/><Relationship Id="rId18144" Type="http://schemas.openxmlformats.org/officeDocument/2006/relationships/hyperlink" Target="http://csr.bu.edu/ftp/asl/asllvd/demos/verify_start_end_handshape_annotations//test_auto_move//signs_mov_separ_signers/Liz_2533.mov" TargetMode="External"/><Relationship Id="rId18145" Type="http://schemas.openxmlformats.org/officeDocument/2006/relationships/hyperlink" Target="http://secrets.rutgers.edu:8080/data/asl-ftp/asllvd/demos/verify_start_end_handshape_annotations//test_auto_move//signs_mov/2533.mov" TargetMode="External"/><Relationship Id="rId18146" Type="http://schemas.openxmlformats.org/officeDocument/2006/relationships/hyperlink" Target="http://secrets.rutgers.edu:8080/data/asl-ftp/asllvd/demos/verify_start_end_handshape_annotations//test_auto_move//signs_mov_separ_signers/Liz_2533.mov" TargetMode="External"/><Relationship Id="rId18147" Type="http://schemas.openxmlformats.org/officeDocument/2006/relationships/hyperlink" Target="http://csr.bu.edu/ftp/asl/asllvd/demos/verify_start_end_handshape_annotations//test_auto_move//signs_mov_separ_signers/Brady_2533.mov" TargetMode="External"/><Relationship Id="rId18148" Type="http://schemas.openxmlformats.org/officeDocument/2006/relationships/hyperlink" Target="http://secrets.rutgers.edu:8080/data/asl-ftp/asllvd/demos/verify_start_end_handshape_annotations//test_auto_move//signs_mov_separ_signers/Brady_2533.mov" TargetMode="External"/><Relationship Id="rId18149" Type="http://schemas.openxmlformats.org/officeDocument/2006/relationships/hyperlink" Target="http://csr.bu.edu/ftp/asl/asllvd/demos/verify_start_end_handshape_annotations//test_auto_move//signs_mov/2537.mov" TargetMode="External"/><Relationship Id="rId18150" Type="http://schemas.openxmlformats.org/officeDocument/2006/relationships/hyperlink" Target="http://csr.bu.edu/ftp/asl/asllvd/demos/verify_start_end_handshape_annotations//test_auto_move//signs_mov_separ_signers/Liz_2537.mov" TargetMode="External"/><Relationship Id="rId18151" Type="http://schemas.openxmlformats.org/officeDocument/2006/relationships/hyperlink" Target="http://secrets.rutgers.edu:8080/data/asl-ftp/asllvd/demos/verify_start_end_handshape_annotations//test_auto_move//signs_mov/2537.mov" TargetMode="External"/><Relationship Id="rId18152" Type="http://schemas.openxmlformats.org/officeDocument/2006/relationships/hyperlink" Target="http://secrets.rutgers.edu:8080/data/asl-ftp/asllvd/demos/verify_start_end_handshape_annotations//test_auto_move//signs_mov_separ_signers/Liz_2537.mov" TargetMode="External"/><Relationship Id="rId18153" Type="http://schemas.openxmlformats.org/officeDocument/2006/relationships/hyperlink" Target="http://csr.bu.edu/ftp/asl/asllvd/demos/verify_start_end_handshape_annotations//test_auto_move//signs_mov_separ_signers/Brady_2537.mov" TargetMode="External"/><Relationship Id="rId18154" Type="http://schemas.openxmlformats.org/officeDocument/2006/relationships/hyperlink" Target="http://secrets.rutgers.edu:8080/data/asl-ftp/asllvd/demos/verify_start_end_handshape_annotations//test_auto_move//signs_mov_separ_signers/Brady_2537.mov" TargetMode="External"/><Relationship Id="rId18155" Type="http://schemas.openxmlformats.org/officeDocument/2006/relationships/hyperlink" Target="http://csr.bu.edu/ftp/asl/asllvd/demos/verify_start_end_handshape_annotations//test_auto_move//signs_mov/15065.mov" TargetMode="External"/><Relationship Id="rId18156" Type="http://schemas.openxmlformats.org/officeDocument/2006/relationships/hyperlink" Target="http://csr.bu.edu/ftp/asl/asllvd/demos/verify_start_end_handshape_annotations//test_auto_move//signs_mov_separ_signers/Liz_15065.mov" TargetMode="External"/><Relationship Id="rId18157" Type="http://schemas.openxmlformats.org/officeDocument/2006/relationships/hyperlink" Target="http://secrets.rutgers.edu:8080/data/asl-ftp/asllvd/demos/verify_start_end_handshape_annotations//test_auto_move//signs_mov/15065.mov" TargetMode="External"/><Relationship Id="rId18158" Type="http://schemas.openxmlformats.org/officeDocument/2006/relationships/hyperlink" Target="http://secrets.rutgers.edu:8080/data/asl-ftp/asllvd/demos/verify_start_end_handshape_annotations//test_auto_move//signs_mov_separ_signers/Liz_15065.mov" TargetMode="External"/><Relationship Id="rId18159" Type="http://schemas.openxmlformats.org/officeDocument/2006/relationships/hyperlink" Target="http://csr.bu.edu/ftp/asl/asllvd/demos/verify_start_end_handshape_annotations//test_auto_move//signs_mov/15232.mov" TargetMode="External"/><Relationship Id="rId18160" Type="http://schemas.openxmlformats.org/officeDocument/2006/relationships/hyperlink" Target="http://csr.bu.edu/ftp/asl/asllvd/demos/verify_start_end_handshape_annotations//test_auto_move//signs_mov_separ_signers/Brady_15232.mov" TargetMode="External"/><Relationship Id="rId18161" Type="http://schemas.openxmlformats.org/officeDocument/2006/relationships/hyperlink" Target="http://secrets.rutgers.edu:8080/data/asl-ftp/asllvd/demos/verify_start_end_handshape_annotations//test_auto_move//signs_mov/15232.mov" TargetMode="External"/><Relationship Id="rId18162" Type="http://schemas.openxmlformats.org/officeDocument/2006/relationships/hyperlink" Target="http://secrets.rutgers.edu:8080/data/asl-ftp/asllvd/demos/verify_start_end_handshape_annotations//test_auto_move//signs_mov_separ_signers/Brady_15232.mov" TargetMode="External"/><Relationship Id="rId18163" Type="http://schemas.openxmlformats.org/officeDocument/2006/relationships/hyperlink" Target="http://csr.bu.edu/ftp/asl/asllvd/demos/verify_start_end_handshape_annotations//test_auto_move//signs_mov/2540.mov" TargetMode="External"/><Relationship Id="rId18164" Type="http://schemas.openxmlformats.org/officeDocument/2006/relationships/hyperlink" Target="http://csr.bu.edu/ftp/asl/asllvd/demos/verify_start_end_handshape_annotations//test_auto_move//signs_mov_separ_signers/Liz_2540.mov" TargetMode="External"/><Relationship Id="rId18165" Type="http://schemas.openxmlformats.org/officeDocument/2006/relationships/hyperlink" Target="http://secrets.rutgers.edu:8080/data/asl-ftp/asllvd/demos/verify_start_end_handshape_annotations//test_auto_move//signs_mov/2540.mov" TargetMode="External"/><Relationship Id="rId18166" Type="http://schemas.openxmlformats.org/officeDocument/2006/relationships/hyperlink" Target="http://secrets.rutgers.edu:8080/data/asl-ftp/asllvd/demos/verify_start_end_handshape_annotations//test_auto_move//signs_mov_separ_signers/Liz_2540.mov" TargetMode="External"/><Relationship Id="rId18167" Type="http://schemas.openxmlformats.org/officeDocument/2006/relationships/hyperlink" Target="http://csr.bu.edu/ftp/asl/asllvd/demos/verify_start_end_handshape_annotations//test_auto_move//signs_mov_separ_signers/Brady_2540.mov" TargetMode="External"/><Relationship Id="rId18168" Type="http://schemas.openxmlformats.org/officeDocument/2006/relationships/hyperlink" Target="http://secrets.rutgers.edu:8080/data/asl-ftp/asllvd/demos/verify_start_end_handshape_annotations//test_auto_move//signs_mov_separ_signers/Brady_2540.mov" TargetMode="External"/><Relationship Id="rId18169" Type="http://schemas.openxmlformats.org/officeDocument/2006/relationships/hyperlink" Target="http://csr.bu.edu/ftp/asl/asllvd/demos/verify_start_end_handshape_annotations//test_auto_move//signs_mov_separ_signers/Liz_2547.mov" TargetMode="External"/><Relationship Id="rId18170" Type="http://schemas.openxmlformats.org/officeDocument/2006/relationships/hyperlink" Target="http://secrets.rutgers.edu:8080/data/asl-ftp/asllvd/demos/verify_start_end_handshape_annotations//test_auto_move//signs_mov_separ_signers/Liz_2547.mov" TargetMode="External"/><Relationship Id="rId18171" Type="http://schemas.openxmlformats.org/officeDocument/2006/relationships/hyperlink" Target="http://csr.bu.edu/ftp/asl/asllvd/demos/verify_start_end_handshape_annotations//test_auto_move//signs_mov_separ_signers/Liz_15495.mov" TargetMode="External"/><Relationship Id="rId18172" Type="http://schemas.openxmlformats.org/officeDocument/2006/relationships/hyperlink" Target="http://secrets.rutgers.edu:8080/data/asl-ftp/asllvd/demos/verify_start_end_handshape_annotations//test_auto_move//signs_mov_separ_signers/Liz_15495.mov" TargetMode="External"/><Relationship Id="rId18173" Type="http://schemas.openxmlformats.org/officeDocument/2006/relationships/hyperlink" Target="http://csr.bu.edu/ftp/asl/asllvd/demos/verify_start_end_handshape_annotations//test_auto_move//signs_mov_separ_signers/Liz_15498.mov" TargetMode="External"/><Relationship Id="rId18174" Type="http://schemas.openxmlformats.org/officeDocument/2006/relationships/hyperlink" Target="http://secrets.rutgers.edu:8080/data/asl-ftp/asllvd/demos/verify_start_end_handshape_annotations//test_auto_move//signs_mov_separ_signers/Liz_15498.mov" TargetMode="External"/><Relationship Id="rId18175" Type="http://schemas.openxmlformats.org/officeDocument/2006/relationships/hyperlink" Target="http://csr.bu.edu/ftp/asl/asllvd/demos/verify_start_end_handshape_annotations//test_auto_move//signs_mov/2547_15495_15498_15504_merged.mov" TargetMode="External"/><Relationship Id="rId18176" Type="http://schemas.openxmlformats.org/officeDocument/2006/relationships/hyperlink" Target="http://csr.bu.edu/ftp/asl/asllvd/demos/verify_start_end_handshape_annotations//test_auto_move//signs_mov_separ_signers/Naomi_2547.mov" TargetMode="External"/><Relationship Id="rId18177" Type="http://schemas.openxmlformats.org/officeDocument/2006/relationships/hyperlink" Target="http://secrets.rutgers.edu:8080/data/asl-ftp/asllvd/demos/verify_start_end_handshape_annotations//test_auto_move//signs_mov/2547_15495_15498_15504_merged.mov" TargetMode="External"/><Relationship Id="rId18178" Type="http://schemas.openxmlformats.org/officeDocument/2006/relationships/hyperlink" Target="http://secrets.rutgers.edu:8080/data/asl-ftp/asllvd/demos/verify_start_end_handshape_annotations//test_auto_move//signs_mov_separ_signers/Naomi_2547.mov" TargetMode="External"/><Relationship Id="rId18179" Type="http://schemas.openxmlformats.org/officeDocument/2006/relationships/hyperlink" Target="http://csr.bu.edu/ftp/asl/asllvd/demos/verify_start_end_handshape_annotations//test_auto_move//signs_mov_separ_signers/Brady_2547.mov" TargetMode="External"/><Relationship Id="rId18180" Type="http://schemas.openxmlformats.org/officeDocument/2006/relationships/hyperlink" Target="http://secrets.rutgers.edu:8080/data/asl-ftp/asllvd/demos/verify_start_end_handshape_annotations//test_auto_move//signs_mov_separ_signers/Brady_2547.mov" TargetMode="External"/><Relationship Id="rId18181" Type="http://schemas.openxmlformats.org/officeDocument/2006/relationships/hyperlink" Target="http://csr.bu.edu/ftp/asl/asllvd/demos/verify_start_end_handshape_annotations//test_auto_move//signs_mov_separ_signers/Brady_15495.mov" TargetMode="External"/><Relationship Id="rId18182" Type="http://schemas.openxmlformats.org/officeDocument/2006/relationships/hyperlink" Target="http://secrets.rutgers.edu:8080/data/asl-ftp/asllvd/demos/verify_start_end_handshape_annotations//test_auto_move//signs_mov_separ_signers/Brady_15495.mov" TargetMode="External"/><Relationship Id="rId18183" Type="http://schemas.openxmlformats.org/officeDocument/2006/relationships/hyperlink" Target="http://csr.bu.edu/ftp/asl/asllvd/demos/verify_start_end_handshape_annotations//test_auto_move//signs_mov_separ_signers/Brady_15498.mov" TargetMode="External"/><Relationship Id="rId18184" Type="http://schemas.openxmlformats.org/officeDocument/2006/relationships/hyperlink" Target="http://secrets.rutgers.edu:8080/data/asl-ftp/asllvd/demos/verify_start_end_handshape_annotations//test_auto_move//signs_mov_separ_signers/Brady_15498.mov" TargetMode="External"/><Relationship Id="rId18185" Type="http://schemas.openxmlformats.org/officeDocument/2006/relationships/hyperlink" Target="http://csr.bu.edu/ftp/asl/asllvd/demos/verify_start_end_handshape_annotations//test_auto_move//signs_mov_separ_signers/Brady_15504.mov" TargetMode="External"/><Relationship Id="rId18186" Type="http://schemas.openxmlformats.org/officeDocument/2006/relationships/hyperlink" Target="http://secrets.rutgers.edu:8080/data/asl-ftp/asllvd/demos/verify_start_end_handshape_annotations//test_auto_move//signs_mov_separ_signers/Brady_15504.mov" TargetMode="External"/><Relationship Id="rId18187" Type="http://schemas.openxmlformats.org/officeDocument/2006/relationships/hyperlink" Target="http://csr.bu.edu/ftp/asl/asllvd/demos/verify_start_end_handshape_annotations//test_auto_move//signs_mov_separ_signers/Liz_2549.mov" TargetMode="External"/><Relationship Id="rId18188" Type="http://schemas.openxmlformats.org/officeDocument/2006/relationships/hyperlink" Target="http://secrets.rutgers.edu:8080/data/asl-ftp/asllvd/demos/verify_start_end_handshape_annotations//test_auto_move//signs_mov_separ_signers/Liz_2549.mov" TargetMode="External"/><Relationship Id="rId18189" Type="http://schemas.openxmlformats.org/officeDocument/2006/relationships/hyperlink" Target="http://csr.bu.edu/ftp/asl/asllvd/demos/verify_start_end_handshape_annotations//test_auto_move//signs_mov/2549.mov" TargetMode="External"/><Relationship Id="rId18190" Type="http://schemas.openxmlformats.org/officeDocument/2006/relationships/hyperlink" Target="http://csr.bu.edu/ftp/asl/asllvd/demos/verify_start_end_handshape_annotations//test_auto_move//signs_mov_separ_signers/Tyler_2549.mov" TargetMode="External"/><Relationship Id="rId18191" Type="http://schemas.openxmlformats.org/officeDocument/2006/relationships/hyperlink" Target="http://secrets.rutgers.edu:8080/data/asl-ftp/asllvd/demos/verify_start_end_handshape_annotations//test_auto_move//signs_mov/2549.mov" TargetMode="External"/><Relationship Id="rId18192" Type="http://schemas.openxmlformats.org/officeDocument/2006/relationships/hyperlink" Target="http://secrets.rutgers.edu:8080/data/asl-ftp/asllvd/demos/verify_start_end_handshape_annotations//test_auto_move//signs_mov_separ_signers/Tyler_2549.mov" TargetMode="External"/><Relationship Id="rId18193" Type="http://schemas.openxmlformats.org/officeDocument/2006/relationships/hyperlink" Target="http://csr.bu.edu/ftp/asl/asllvd/demos/verify_start_end_handshape_annotations//test_auto_move//signs_mov_separ_signers/Brady_2549.mov" TargetMode="External"/><Relationship Id="rId18194" Type="http://schemas.openxmlformats.org/officeDocument/2006/relationships/hyperlink" Target="http://secrets.rutgers.edu:8080/data/asl-ftp/asllvd/demos/verify_start_end_handshape_annotations//test_auto_move//signs_mov_separ_signers/Brady_2549.mov" TargetMode="External"/><Relationship Id="rId18195" Type="http://schemas.openxmlformats.org/officeDocument/2006/relationships/hyperlink" Target="http://csr.bu.edu/ftp/asl/asllvd/demos/verify_start_end_handshape_annotations//test_auto_move//signs_mov_separ_signers/Liz_15116.mov" TargetMode="External"/><Relationship Id="rId18196" Type="http://schemas.openxmlformats.org/officeDocument/2006/relationships/hyperlink" Target="http://secrets.rutgers.edu:8080/data/asl-ftp/asllvd/demos/verify_start_end_handshape_annotations//test_auto_move//signs_mov_separ_signers/Liz_15116.mov" TargetMode="External"/><Relationship Id="rId18197" Type="http://schemas.openxmlformats.org/officeDocument/2006/relationships/hyperlink" Target="http://csr.bu.edu/ftp/asl/asllvd/demos/verify_start_end_handshape_annotations//test_auto_move//signs_mov_separ_signers/Naomi_15116.mov" TargetMode="External"/><Relationship Id="rId18198" Type="http://schemas.openxmlformats.org/officeDocument/2006/relationships/hyperlink" Target="http://secrets.rutgers.edu:8080/data/asl-ftp/asllvd/demos/verify_start_end_handshape_annotations//test_auto_move//signs_mov_separ_signers/Naomi_15116.mov" TargetMode="External"/><Relationship Id="rId18199" Type="http://schemas.openxmlformats.org/officeDocument/2006/relationships/hyperlink" Target="http://csr.bu.edu/ftp/asl/asllvd/demos/verify_start_end_handshape_annotations//test_auto_move//signs_mov/15116.mov" TargetMode="External"/><Relationship Id="rId18200" Type="http://schemas.openxmlformats.org/officeDocument/2006/relationships/hyperlink" Target="http://csr.bu.edu/ftp/asl/asllvd/demos/verify_start_end_handshape_annotations//test_auto_move//signs_mov_separ_signers/Brady_15116.mov" TargetMode="External"/><Relationship Id="rId18201" Type="http://schemas.openxmlformats.org/officeDocument/2006/relationships/hyperlink" Target="http://secrets.rutgers.edu:8080/data/asl-ftp/asllvd/demos/verify_start_end_handshape_annotations//test_auto_move//signs_mov/15116.mov" TargetMode="External"/><Relationship Id="rId18202" Type="http://schemas.openxmlformats.org/officeDocument/2006/relationships/hyperlink" Target="http://secrets.rutgers.edu:8080/data/asl-ftp/asllvd/demos/verify_start_end_handshape_annotations//test_auto_move//signs_mov_separ_signers/Brady_15116.mov" TargetMode="External"/><Relationship Id="rId18203" Type="http://schemas.openxmlformats.org/officeDocument/2006/relationships/hyperlink" Target="http://csr.bu.edu/ftp/asl/asllvd/demos/verify_start_end_handshape_annotations//test_auto_move//signs_mov_separ_signers/Lana_15116.mov" TargetMode="External"/><Relationship Id="rId18204" Type="http://schemas.openxmlformats.org/officeDocument/2006/relationships/hyperlink" Target="http://secrets.rutgers.edu:8080/data/asl-ftp/asllvd/demos/verify_start_end_handshape_annotations//test_auto_move//signs_mov_separ_signers/Lana_15116.mov" TargetMode="External"/><Relationship Id="rId18205" Type="http://schemas.openxmlformats.org/officeDocument/2006/relationships/hyperlink" Target="http://csr.bu.edu/ftp/asl/asllvd/demos/verify_start_end_handshape_annotations//test_auto_move//signs_mov_separ_signers/Dana_15116.mov" TargetMode="External"/><Relationship Id="rId18206" Type="http://schemas.openxmlformats.org/officeDocument/2006/relationships/hyperlink" Target="http://secrets.rutgers.edu:8080/data/asl-ftp/asllvd/demos/verify_start_end_handshape_annotations//test_auto_move//signs_mov_separ_signers/Dana_15116.mov" TargetMode="External"/><Relationship Id="rId18207" Type="http://schemas.openxmlformats.org/officeDocument/2006/relationships/hyperlink" Target="http://csr.bu.edu/ftp/asl/asllvd/demos/verify_start_end_handshape_annotations//test_auto_move//signs_mov_separ_signers/Liz_15121.mov" TargetMode="External"/><Relationship Id="rId18208" Type="http://schemas.openxmlformats.org/officeDocument/2006/relationships/hyperlink" Target="http://secrets.rutgers.edu:8080/data/asl-ftp/asllvd/demos/verify_start_end_handshape_annotations//test_auto_move//signs_mov_separ_signers/Liz_15121.mov" TargetMode="External"/><Relationship Id="rId18209" Type="http://schemas.openxmlformats.org/officeDocument/2006/relationships/hyperlink" Target="http://csr.bu.edu/ftp/asl/asllvd/demos/verify_start_end_handshape_annotations//test_auto_move//signs_mov/15121.mov" TargetMode="External"/><Relationship Id="rId18210" Type="http://schemas.openxmlformats.org/officeDocument/2006/relationships/hyperlink" Target="http://csr.bu.edu/ftp/asl/asllvd/demos/verify_start_end_handshape_annotations//test_auto_move//signs_mov_separ_signers/Naomi_15121.mov" TargetMode="External"/><Relationship Id="rId18211" Type="http://schemas.openxmlformats.org/officeDocument/2006/relationships/hyperlink" Target="http://secrets.rutgers.edu:8080/data/asl-ftp/asllvd/demos/verify_start_end_handshape_annotations//test_auto_move//signs_mov/15121.mov" TargetMode="External"/><Relationship Id="rId18212" Type="http://schemas.openxmlformats.org/officeDocument/2006/relationships/hyperlink" Target="http://secrets.rutgers.edu:8080/data/asl-ftp/asllvd/demos/verify_start_end_handshape_annotations//test_auto_move//signs_mov_separ_signers/Naomi_15121.mov" TargetMode="External"/><Relationship Id="rId18213" Type="http://schemas.openxmlformats.org/officeDocument/2006/relationships/hyperlink" Target="http://csr.bu.edu/ftp/asl/asllvd/demos/verify_start_end_handshape_annotations//test_auto_move//signs_mov_separ_signers/Brady_15121.mov" TargetMode="External"/><Relationship Id="rId18214" Type="http://schemas.openxmlformats.org/officeDocument/2006/relationships/hyperlink" Target="http://secrets.rutgers.edu:8080/data/asl-ftp/asllvd/demos/verify_start_end_handshape_annotations//test_auto_move//signs_mov_separ_signers/Brady_15121.mov" TargetMode="External"/><Relationship Id="rId18215" Type="http://schemas.openxmlformats.org/officeDocument/2006/relationships/hyperlink" Target="http://csr.bu.edu/ftp/asl/asllvd/demos/verify_start_end_handshape_annotations//test_auto_move//signs_mov/15141.mov" TargetMode="External"/><Relationship Id="rId18216" Type="http://schemas.openxmlformats.org/officeDocument/2006/relationships/hyperlink" Target="http://csr.bu.edu/ftp/asl/asllvd/demos/verify_start_end_handshape_annotations//test_auto_move//signs_mov_separ_signers/Tyler_15141.mov" TargetMode="External"/><Relationship Id="rId18217" Type="http://schemas.openxmlformats.org/officeDocument/2006/relationships/hyperlink" Target="http://secrets.rutgers.edu:8080/data/asl-ftp/asllvd/demos/verify_start_end_handshape_annotations//test_auto_move//signs_mov/15141.mov" TargetMode="External"/><Relationship Id="rId18218" Type="http://schemas.openxmlformats.org/officeDocument/2006/relationships/hyperlink" Target="http://secrets.rutgers.edu:8080/data/asl-ftp/asllvd/demos/verify_start_end_handshape_annotations//test_auto_move//signs_mov_separ_signers/Tyler_15141.mov" TargetMode="External"/><Relationship Id="rId18219" Type="http://schemas.openxmlformats.org/officeDocument/2006/relationships/hyperlink" Target="http://csr.bu.edu/ftp/asl/asllvd/demos/verify_start_end_handshape_annotations//test_auto_move//signs_mov/2550.mov" TargetMode="External"/><Relationship Id="rId18220" Type="http://schemas.openxmlformats.org/officeDocument/2006/relationships/hyperlink" Target="http://csr.bu.edu/ftp/asl/asllvd/demos/verify_start_end_handshape_annotations//test_auto_move//signs_mov_separ_signers/Liz_2550.mov" TargetMode="External"/><Relationship Id="rId18221" Type="http://schemas.openxmlformats.org/officeDocument/2006/relationships/hyperlink" Target="http://secrets.rutgers.edu:8080/data/asl-ftp/asllvd/demos/verify_start_end_handshape_annotations//test_auto_move//signs_mov/2550.mov" TargetMode="External"/><Relationship Id="rId18222" Type="http://schemas.openxmlformats.org/officeDocument/2006/relationships/hyperlink" Target="http://secrets.rutgers.edu:8080/data/asl-ftp/asllvd/demos/verify_start_end_handshape_annotations//test_auto_move//signs_mov_separ_signers/Liz_2550.mov" TargetMode="External"/><Relationship Id="rId18223" Type="http://schemas.openxmlformats.org/officeDocument/2006/relationships/hyperlink" Target="http://csr.bu.edu/ftp/asl/asllvd/demos/verify_start_end_handshape_annotations//test_auto_move//signs_mov/2557.mov" TargetMode="External"/><Relationship Id="rId18224" Type="http://schemas.openxmlformats.org/officeDocument/2006/relationships/hyperlink" Target="http://csr.bu.edu/ftp/asl/asllvd/demos/verify_start_end_handshape_annotations//test_auto_move//signs_mov_separ_signers/Liz_2557.mov" TargetMode="External"/><Relationship Id="rId18225" Type="http://schemas.openxmlformats.org/officeDocument/2006/relationships/hyperlink" Target="http://secrets.rutgers.edu:8080/data/asl-ftp/asllvd/demos/verify_start_end_handshape_annotations//test_auto_move//signs_mov/2557.mov" TargetMode="External"/><Relationship Id="rId18226" Type="http://schemas.openxmlformats.org/officeDocument/2006/relationships/hyperlink" Target="http://secrets.rutgers.edu:8080/data/asl-ftp/asllvd/demos/verify_start_end_handshape_annotations//test_auto_move//signs_mov_separ_signers/Liz_2557.mov" TargetMode="External"/><Relationship Id="rId18227" Type="http://schemas.openxmlformats.org/officeDocument/2006/relationships/hyperlink" Target="http://csr.bu.edu/ftp/asl/asllvd/demos/verify_start_end_handshape_annotations//test_auto_move//signs_mov_separ_signers/Brady_2557.mov" TargetMode="External"/><Relationship Id="rId18228" Type="http://schemas.openxmlformats.org/officeDocument/2006/relationships/hyperlink" Target="http://secrets.rutgers.edu:8080/data/asl-ftp/asllvd/demos/verify_start_end_handshape_annotations//test_auto_move//signs_mov_separ_signers/Brady_2557.mov" TargetMode="External"/><Relationship Id="rId18229" Type="http://schemas.openxmlformats.org/officeDocument/2006/relationships/hyperlink" Target="http://csr.bu.edu/ftp/asl/asllvd/demos/verify_start_end_handshape_annotations//test_auto_move//signs_mov_separ_signers/Liz_2563.mov" TargetMode="External"/><Relationship Id="rId18230" Type="http://schemas.openxmlformats.org/officeDocument/2006/relationships/hyperlink" Target="http://secrets.rutgers.edu:8080/data/asl-ftp/asllvd/demos/verify_start_end_handshape_annotations//test_auto_move//signs_mov_separ_signers/Liz_2563.mov" TargetMode="External"/><Relationship Id="rId18231" Type="http://schemas.openxmlformats.org/officeDocument/2006/relationships/hyperlink" Target="http://csr.bu.edu/ftp/asl/asllvd/demos/verify_start_end_handshape_annotations//test_auto_move//signs_mov/2563.mov" TargetMode="External"/><Relationship Id="rId18232" Type="http://schemas.openxmlformats.org/officeDocument/2006/relationships/hyperlink" Target="http://csr.bu.edu/ftp/asl/asllvd/demos/verify_start_end_handshape_annotations//test_auto_move//signs_mov_separ_signers/Tyler_2563.mov" TargetMode="External"/><Relationship Id="rId18233" Type="http://schemas.openxmlformats.org/officeDocument/2006/relationships/hyperlink" Target="http://secrets.rutgers.edu:8080/data/asl-ftp/asllvd/demos/verify_start_end_handshape_annotations//test_auto_move//signs_mov/2563.mov" TargetMode="External"/><Relationship Id="rId18234" Type="http://schemas.openxmlformats.org/officeDocument/2006/relationships/hyperlink" Target="http://secrets.rutgers.edu:8080/data/asl-ftp/asllvd/demos/verify_start_end_handshape_annotations//test_auto_move//signs_mov_separ_signers/Tyler_2563.mov" TargetMode="External"/><Relationship Id="rId18235" Type="http://schemas.openxmlformats.org/officeDocument/2006/relationships/hyperlink" Target="http://csr.bu.edu/ftp/asl/asllvd/demos/verify_start_end_handshape_annotations//test_auto_move//signs_mov_separ_signers/Brady_2563.mov" TargetMode="External"/><Relationship Id="rId18236" Type="http://schemas.openxmlformats.org/officeDocument/2006/relationships/hyperlink" Target="http://secrets.rutgers.edu:8080/data/asl-ftp/asllvd/demos/verify_start_end_handshape_annotations//test_auto_move//signs_mov_separ_signers/Brady_2563.mov" TargetMode="External"/><Relationship Id="rId18237" Type="http://schemas.openxmlformats.org/officeDocument/2006/relationships/hyperlink" Target="http://csr.bu.edu/ftp/asl/asllvd/demos/verify_start_end_handshape_annotations//test_auto_move//signs_mov_separ_signers/Liz_15452.mov" TargetMode="External"/><Relationship Id="rId18238" Type="http://schemas.openxmlformats.org/officeDocument/2006/relationships/hyperlink" Target="http://secrets.rutgers.edu:8080/data/asl-ftp/asllvd/demos/verify_start_end_handshape_annotations//test_auto_move//signs_mov_separ_signers/Liz_15452.mov" TargetMode="External"/><Relationship Id="rId18239" Type="http://schemas.openxmlformats.org/officeDocument/2006/relationships/hyperlink" Target="http://csr.bu.edu/ftp/asl/asllvd/demos/verify_start_end_handshape_annotations//test_auto_move//signs_mov/15452.mov" TargetMode="External"/><Relationship Id="rId18240" Type="http://schemas.openxmlformats.org/officeDocument/2006/relationships/hyperlink" Target="http://csr.bu.edu/ftp/asl/asllvd/demos/verify_start_end_handshape_annotations//test_auto_move//signs_mov_separ_signers/Naomi_15452.mov" TargetMode="External"/><Relationship Id="rId18241" Type="http://schemas.openxmlformats.org/officeDocument/2006/relationships/hyperlink" Target="http://secrets.rutgers.edu:8080/data/asl-ftp/asllvd/demos/verify_start_end_handshape_annotations//test_auto_move//signs_mov/15452.mov" TargetMode="External"/><Relationship Id="rId18242" Type="http://schemas.openxmlformats.org/officeDocument/2006/relationships/hyperlink" Target="http://secrets.rutgers.edu:8080/data/asl-ftp/asllvd/demos/verify_start_end_handshape_annotations//test_auto_move//signs_mov_separ_signers/Naomi_15452.mov" TargetMode="External"/><Relationship Id="rId18243" Type="http://schemas.openxmlformats.org/officeDocument/2006/relationships/hyperlink" Target="http://csr.bu.edu/ftp/asl/asllvd/demos/verify_start_end_handshape_annotations//test_auto_move//signs_mov_separ_signers/Brady_15452.mov" TargetMode="External"/><Relationship Id="rId18244" Type="http://schemas.openxmlformats.org/officeDocument/2006/relationships/hyperlink" Target="http://secrets.rutgers.edu:8080/data/asl-ftp/asllvd/demos/verify_start_end_handshape_annotations//test_auto_move//signs_mov_separ_signers/Brady_15452.mov" TargetMode="External"/><Relationship Id="rId18245" Type="http://schemas.openxmlformats.org/officeDocument/2006/relationships/hyperlink" Target="http://csr.bu.edu/ftp/asl/asllvd/demos/verify_start_end_handshape_annotations//test_auto_move//signs_mov/2564.mov" TargetMode="External"/><Relationship Id="rId18246" Type="http://schemas.openxmlformats.org/officeDocument/2006/relationships/hyperlink" Target="http://csr.bu.edu/ftp/asl/asllvd/demos/verify_start_end_handshape_annotations//test_auto_move//signs_mov_separ_signers/Liz_2564.mov" TargetMode="External"/><Relationship Id="rId18247" Type="http://schemas.openxmlformats.org/officeDocument/2006/relationships/hyperlink" Target="http://secrets.rutgers.edu:8080/data/asl-ftp/asllvd/demos/verify_start_end_handshape_annotations//test_auto_move//signs_mov/2564.mov" TargetMode="External"/><Relationship Id="rId18248" Type="http://schemas.openxmlformats.org/officeDocument/2006/relationships/hyperlink" Target="http://secrets.rutgers.edu:8080/data/asl-ftp/asllvd/demos/verify_start_end_handshape_annotations//test_auto_move//signs_mov_separ_signers/Liz_2564.mov" TargetMode="External"/><Relationship Id="rId18249" Type="http://schemas.openxmlformats.org/officeDocument/2006/relationships/hyperlink" Target="http://csr.bu.edu/ftp/asl/asllvd/demos/verify_start_end_handshape_annotations//test_auto_move//signs_mov_separ_signers/Brady_2564.mov" TargetMode="External"/><Relationship Id="rId18250" Type="http://schemas.openxmlformats.org/officeDocument/2006/relationships/hyperlink" Target="http://secrets.rutgers.edu:8080/data/asl-ftp/asllvd/demos/verify_start_end_handshape_annotations//test_auto_move//signs_mov_separ_signers/Brady_2564.mov" TargetMode="External"/><Relationship Id="rId18251" Type="http://schemas.openxmlformats.org/officeDocument/2006/relationships/hyperlink" Target="http://csr.bu.edu/ftp/asl/asllvd/demos/verify_start_end_handshape_annotations//test_auto_move//signs_mov/2565.mov" TargetMode="External"/><Relationship Id="rId18252" Type="http://schemas.openxmlformats.org/officeDocument/2006/relationships/hyperlink" Target="http://csr.bu.edu/ftp/asl/asllvd/demos/verify_start_end_handshape_annotations//test_auto_move//signs_mov_separ_signers/Liz_2565.mov" TargetMode="External"/><Relationship Id="rId18253" Type="http://schemas.openxmlformats.org/officeDocument/2006/relationships/hyperlink" Target="http://secrets.rutgers.edu:8080/data/asl-ftp/asllvd/demos/verify_start_end_handshape_annotations//test_auto_move//signs_mov/2565.mov" TargetMode="External"/><Relationship Id="rId18254" Type="http://schemas.openxmlformats.org/officeDocument/2006/relationships/hyperlink" Target="http://secrets.rutgers.edu:8080/data/asl-ftp/asllvd/demos/verify_start_end_handshape_annotations//test_auto_move//signs_mov_separ_signers/Liz_2565.mov" TargetMode="External"/><Relationship Id="rId18255" Type="http://schemas.openxmlformats.org/officeDocument/2006/relationships/hyperlink" Target="http://csr.bu.edu/ftp/asl/asllvd/demos/verify_start_end_handshape_annotations//test_auto_move//signs_mov_separ_signers/Brady_2565.mov" TargetMode="External"/><Relationship Id="rId18256" Type="http://schemas.openxmlformats.org/officeDocument/2006/relationships/hyperlink" Target="http://secrets.rutgers.edu:8080/data/asl-ftp/asllvd/demos/verify_start_end_handshape_annotations//test_auto_move//signs_mov_separ_signers/Brady_2565.mov" TargetMode="External"/><Relationship Id="rId18257" Type="http://schemas.openxmlformats.org/officeDocument/2006/relationships/hyperlink" Target="http://csr.bu.edu/ftp/asl/asllvd/demos/verify_start_end_handshape_annotations//test_auto_move//signs_mov/2571.mov" TargetMode="External"/><Relationship Id="rId18258" Type="http://schemas.openxmlformats.org/officeDocument/2006/relationships/hyperlink" Target="http://csr.bu.edu/ftp/asl/asllvd/demos/verify_start_end_handshape_annotations//test_auto_move//signs_mov_separ_signers/Liz_2571.mov" TargetMode="External"/><Relationship Id="rId18259" Type="http://schemas.openxmlformats.org/officeDocument/2006/relationships/hyperlink" Target="http://secrets.rutgers.edu:8080/data/asl-ftp/asllvd/demos/verify_start_end_handshape_annotations//test_auto_move//signs_mov/2571.mov" TargetMode="External"/><Relationship Id="rId18260" Type="http://schemas.openxmlformats.org/officeDocument/2006/relationships/hyperlink" Target="http://secrets.rutgers.edu:8080/data/asl-ftp/asllvd/demos/verify_start_end_handshape_annotations//test_auto_move//signs_mov_separ_signers/Liz_2571.mov" TargetMode="External"/><Relationship Id="rId18261" Type="http://schemas.openxmlformats.org/officeDocument/2006/relationships/hyperlink" Target="http://csr.bu.edu/ftp/asl/asllvd/demos/verify_start_end_handshape_annotations//test_auto_move//signs_mov_separ_signers/Brady_2571.mov" TargetMode="External"/><Relationship Id="rId18262" Type="http://schemas.openxmlformats.org/officeDocument/2006/relationships/hyperlink" Target="http://secrets.rutgers.edu:8080/data/asl-ftp/asllvd/demos/verify_start_end_handshape_annotations//test_auto_move//signs_mov_separ_signers/Brady_2571.mov" TargetMode="External"/><Relationship Id="rId18263" Type="http://schemas.openxmlformats.org/officeDocument/2006/relationships/hyperlink" Target="http://csr.bu.edu/ftp/asl/asllvd/demos/verify_start_end_handshape_annotations//test_auto_move//signs_mov/2576.mov" TargetMode="External"/><Relationship Id="rId18264" Type="http://schemas.openxmlformats.org/officeDocument/2006/relationships/hyperlink" Target="http://csr.bu.edu/ftp/asl/asllvd/demos/verify_start_end_handshape_annotations//test_auto_move//signs_mov_separ_signers/Liz_2576.mov" TargetMode="External"/><Relationship Id="rId18265" Type="http://schemas.openxmlformats.org/officeDocument/2006/relationships/hyperlink" Target="http://secrets.rutgers.edu:8080/data/asl-ftp/asllvd/demos/verify_start_end_handshape_annotations//test_auto_move//signs_mov/2576.mov" TargetMode="External"/><Relationship Id="rId18266" Type="http://schemas.openxmlformats.org/officeDocument/2006/relationships/hyperlink" Target="http://secrets.rutgers.edu:8080/data/asl-ftp/asllvd/demos/verify_start_end_handshape_annotations//test_auto_move//signs_mov_separ_signers/Liz_2576.mov" TargetMode="External"/><Relationship Id="rId18267" Type="http://schemas.openxmlformats.org/officeDocument/2006/relationships/hyperlink" Target="http://csr.bu.edu/ftp/asl/asllvd/demos/verify_start_end_handshape_annotations//test_auto_move//signs_mov/16470.mov" TargetMode="External"/><Relationship Id="rId18268" Type="http://schemas.openxmlformats.org/officeDocument/2006/relationships/hyperlink" Target="http://csr.bu.edu/ftp/asl/asllvd/demos/verify_start_end_handshape_annotations//test_auto_move//signs_mov_separ_signers/Brady_16470.mov" TargetMode="External"/><Relationship Id="rId18269" Type="http://schemas.openxmlformats.org/officeDocument/2006/relationships/hyperlink" Target="http://secrets.rutgers.edu:8080/data/asl-ftp/asllvd/demos/verify_start_end_handshape_annotations//test_auto_move//signs_mov/16470.mov" TargetMode="External"/><Relationship Id="rId18270" Type="http://schemas.openxmlformats.org/officeDocument/2006/relationships/hyperlink" Target="http://secrets.rutgers.edu:8080/data/asl-ftp/asllvd/demos/verify_start_end_handshape_annotations//test_auto_move//signs_mov_separ_signers/Brady_16470.mov" TargetMode="External"/><Relationship Id="rId18271" Type="http://schemas.openxmlformats.org/officeDocument/2006/relationships/hyperlink" Target="http://csr.bu.edu/ftp/asl/asllvd/demos/verify_start_end_handshape_annotations//test_auto_move//signs_mov/2579.mov" TargetMode="External"/><Relationship Id="rId18272" Type="http://schemas.openxmlformats.org/officeDocument/2006/relationships/hyperlink" Target="http://csr.bu.edu/ftp/asl/asllvd/demos/verify_start_end_handshape_annotations//test_auto_move//signs_mov_separ_signers/Liz_2579.mov" TargetMode="External"/><Relationship Id="rId18273" Type="http://schemas.openxmlformats.org/officeDocument/2006/relationships/hyperlink" Target="http://secrets.rutgers.edu:8080/data/asl-ftp/asllvd/demos/verify_start_end_handshape_annotations//test_auto_move//signs_mov/2579.mov" TargetMode="External"/><Relationship Id="rId18274" Type="http://schemas.openxmlformats.org/officeDocument/2006/relationships/hyperlink" Target="http://secrets.rutgers.edu:8080/data/asl-ftp/asllvd/demos/verify_start_end_handshape_annotations//test_auto_move//signs_mov_separ_signers/Liz_2579.mov" TargetMode="External"/><Relationship Id="rId18275" Type="http://schemas.openxmlformats.org/officeDocument/2006/relationships/hyperlink" Target="http://csr.bu.edu/ftp/asl/asllvd/demos/verify_start_end_handshape_annotations//test_auto_move//signs_mov_separ_signers/Brady_2579.mov" TargetMode="External"/><Relationship Id="rId18276" Type="http://schemas.openxmlformats.org/officeDocument/2006/relationships/hyperlink" Target="http://secrets.rutgers.edu:8080/data/asl-ftp/asllvd/demos/verify_start_end_handshape_annotations//test_auto_move//signs_mov_separ_signers/Brady_2579.mov" TargetMode="External"/><Relationship Id="rId18277" Type="http://schemas.openxmlformats.org/officeDocument/2006/relationships/hyperlink" Target="http://csr.bu.edu/ftp/asl/asllvd/demos/verify_start_end_handshape_annotations//test_auto_move//signs_mov/2580.mov" TargetMode="External"/><Relationship Id="rId18278" Type="http://schemas.openxmlformats.org/officeDocument/2006/relationships/hyperlink" Target="http://csr.bu.edu/ftp/asl/asllvd/demos/verify_start_end_handshape_annotations//test_auto_move//signs_mov_separ_signers/Liz_2580.mov" TargetMode="External"/><Relationship Id="rId18279" Type="http://schemas.openxmlformats.org/officeDocument/2006/relationships/hyperlink" Target="http://secrets.rutgers.edu:8080/data/asl-ftp/asllvd/demos/verify_start_end_handshape_annotations//test_auto_move//signs_mov/2580.mov" TargetMode="External"/><Relationship Id="rId18280" Type="http://schemas.openxmlformats.org/officeDocument/2006/relationships/hyperlink" Target="http://secrets.rutgers.edu:8080/data/asl-ftp/asllvd/demos/verify_start_end_handshape_annotations//test_auto_move//signs_mov_separ_signers/Liz_2580.mov" TargetMode="External"/><Relationship Id="rId18281" Type="http://schemas.openxmlformats.org/officeDocument/2006/relationships/hyperlink" Target="http://csr.bu.edu/ftp/asl/asllvd/demos/verify_start_end_handshape_annotations//test_auto_move//signs_mov_separ_signers/Brady_2580.mov" TargetMode="External"/><Relationship Id="rId18282" Type="http://schemas.openxmlformats.org/officeDocument/2006/relationships/hyperlink" Target="http://secrets.rutgers.edu:8080/data/asl-ftp/asllvd/demos/verify_start_end_handshape_annotations//test_auto_move//signs_mov_separ_signers/Brady_2580.mov" TargetMode="External"/><Relationship Id="rId18283" Type="http://schemas.openxmlformats.org/officeDocument/2006/relationships/hyperlink" Target="http://csr.bu.edu/ftp/asl/asllvd/demos/verify_start_end_handshape_annotations//test_auto_move//signs_mov/2584.mov" TargetMode="External"/><Relationship Id="rId18284" Type="http://schemas.openxmlformats.org/officeDocument/2006/relationships/hyperlink" Target="http://csr.bu.edu/ftp/asl/asllvd/demos/verify_start_end_handshape_annotations//test_auto_move//signs_mov_separ_signers/Liz_2584.mov" TargetMode="External"/><Relationship Id="rId18285" Type="http://schemas.openxmlformats.org/officeDocument/2006/relationships/hyperlink" Target="http://secrets.rutgers.edu:8080/data/asl-ftp/asllvd/demos/verify_start_end_handshape_annotations//test_auto_move//signs_mov/2584.mov" TargetMode="External"/><Relationship Id="rId18286" Type="http://schemas.openxmlformats.org/officeDocument/2006/relationships/hyperlink" Target="http://secrets.rutgers.edu:8080/data/asl-ftp/asllvd/demos/verify_start_end_handshape_annotations//test_auto_move//signs_mov_separ_signers/Liz_2584.mov" TargetMode="External"/><Relationship Id="rId18287" Type="http://schemas.openxmlformats.org/officeDocument/2006/relationships/hyperlink" Target="http://csr.bu.edu/ftp/asl/asllvd/demos/verify_start_end_handshape_annotations//test_auto_move//signs_mov_separ_signers/Brady_2584.mov" TargetMode="External"/><Relationship Id="rId18288" Type="http://schemas.openxmlformats.org/officeDocument/2006/relationships/hyperlink" Target="http://secrets.rutgers.edu:8080/data/asl-ftp/asllvd/demos/verify_start_end_handshape_annotations//test_auto_move//signs_mov_separ_signers/Brady_2584.mov" TargetMode="External"/><Relationship Id="rId18289" Type="http://schemas.openxmlformats.org/officeDocument/2006/relationships/hyperlink" Target="http://csr.bu.edu/ftp/asl/asllvd/demos/verify_start_end_handshape_annotations//test_auto_move//signs_mov/2587.mov" TargetMode="External"/><Relationship Id="rId18290" Type="http://schemas.openxmlformats.org/officeDocument/2006/relationships/hyperlink" Target="http://csr.bu.edu/ftp/asl/asllvd/demos/verify_start_end_handshape_annotations//test_auto_move//signs_mov_separ_signers/Brady_2587.mov" TargetMode="External"/><Relationship Id="rId18291" Type="http://schemas.openxmlformats.org/officeDocument/2006/relationships/hyperlink" Target="http://secrets.rutgers.edu:8080/data/asl-ftp/asllvd/demos/verify_start_end_handshape_annotations//test_auto_move//signs_mov/2587.mov" TargetMode="External"/><Relationship Id="rId18292" Type="http://schemas.openxmlformats.org/officeDocument/2006/relationships/hyperlink" Target="http://secrets.rutgers.edu:8080/data/asl-ftp/asllvd/demos/verify_start_end_handshape_annotations//test_auto_move//signs_mov_separ_signers/Brady_2587.mov" TargetMode="External"/><Relationship Id="rId18293" Type="http://schemas.openxmlformats.org/officeDocument/2006/relationships/hyperlink" Target="http://csr.bu.edu/ftp/asl/asllvd/demos/verify_start_end_handshape_annotations//test_auto_move//signs_mov/16471.mov" TargetMode="External"/><Relationship Id="rId18294" Type="http://schemas.openxmlformats.org/officeDocument/2006/relationships/hyperlink" Target="http://csr.bu.edu/ftp/asl/asllvd/demos/verify_start_end_handshape_annotations//test_auto_move//signs_mov_separ_signers/Liz_16471.mov" TargetMode="External"/><Relationship Id="rId18295" Type="http://schemas.openxmlformats.org/officeDocument/2006/relationships/hyperlink" Target="http://secrets.rutgers.edu:8080/data/asl-ftp/asllvd/demos/verify_start_end_handshape_annotations//test_auto_move//signs_mov/16471.mov" TargetMode="External"/><Relationship Id="rId18296" Type="http://schemas.openxmlformats.org/officeDocument/2006/relationships/hyperlink" Target="http://secrets.rutgers.edu:8080/data/asl-ftp/asllvd/demos/verify_start_end_handshape_annotations//test_auto_move//signs_mov_separ_signers/Liz_16471.mov" TargetMode="External"/><Relationship Id="rId18297" Type="http://schemas.openxmlformats.org/officeDocument/2006/relationships/hyperlink" Target="http://csr.bu.edu/ftp/asl/asllvd/demos/verify_start_end_handshape_annotations//test_auto_move//signs_mov/2609.mov" TargetMode="External"/><Relationship Id="rId18298" Type="http://schemas.openxmlformats.org/officeDocument/2006/relationships/hyperlink" Target="http://csr.bu.edu/ftp/asl/asllvd/demos/verify_start_end_handshape_annotations//test_auto_move//signs_mov_separ_signers/Liz_2609.mov" TargetMode="External"/><Relationship Id="rId18299" Type="http://schemas.openxmlformats.org/officeDocument/2006/relationships/hyperlink" Target="http://secrets.rutgers.edu:8080/data/asl-ftp/asllvd/demos/verify_start_end_handshape_annotations//test_auto_move//signs_mov/2609.mov" TargetMode="External"/><Relationship Id="rId18300" Type="http://schemas.openxmlformats.org/officeDocument/2006/relationships/hyperlink" Target="http://secrets.rutgers.edu:8080/data/asl-ftp/asllvd/demos/verify_start_end_handshape_annotations//test_auto_move//signs_mov_separ_signers/Liz_2609.mov" TargetMode="External"/><Relationship Id="rId18301" Type="http://schemas.openxmlformats.org/officeDocument/2006/relationships/hyperlink" Target="http://csr.bu.edu/ftp/asl/asllvd/demos/verify_start_end_handshape_annotations//test_auto_move//signs_mov_separ_signers/Brady_2609.mov" TargetMode="External"/><Relationship Id="rId18302" Type="http://schemas.openxmlformats.org/officeDocument/2006/relationships/hyperlink" Target="http://secrets.rutgers.edu:8080/data/asl-ftp/asllvd/demos/verify_start_end_handshape_annotations//test_auto_move//signs_mov_separ_signers/Brady_2609.mov" TargetMode="External"/><Relationship Id="rId18303" Type="http://schemas.openxmlformats.org/officeDocument/2006/relationships/hyperlink" Target="http://csr.bu.edu/ftp/asl/asllvd/demos/verify_start_end_handshape_annotations//test_auto_move//signs_mov/2611.mov" TargetMode="External"/><Relationship Id="rId18304" Type="http://schemas.openxmlformats.org/officeDocument/2006/relationships/hyperlink" Target="http://csr.bu.edu/ftp/asl/asllvd/demos/verify_start_end_handshape_annotations//test_auto_move//signs_mov_separ_signers/Liz_2611.mov" TargetMode="External"/><Relationship Id="rId18305" Type="http://schemas.openxmlformats.org/officeDocument/2006/relationships/hyperlink" Target="http://secrets.rutgers.edu:8080/data/asl-ftp/asllvd/demos/verify_start_end_handshape_annotations//test_auto_move//signs_mov/2611.mov" TargetMode="External"/><Relationship Id="rId18306" Type="http://schemas.openxmlformats.org/officeDocument/2006/relationships/hyperlink" Target="http://secrets.rutgers.edu:8080/data/asl-ftp/asllvd/demos/verify_start_end_handshape_annotations//test_auto_move//signs_mov_separ_signers/Liz_2611.mov" TargetMode="External"/><Relationship Id="rId18307" Type="http://schemas.openxmlformats.org/officeDocument/2006/relationships/hyperlink" Target="http://csr.bu.edu/ftp/asl/asllvd/demos/verify_start_end_handshape_annotations//test_auto_move//signs_mov_separ_signers/Brady_2611.mov" TargetMode="External"/><Relationship Id="rId18308" Type="http://schemas.openxmlformats.org/officeDocument/2006/relationships/hyperlink" Target="http://secrets.rutgers.edu:8080/data/asl-ftp/asllvd/demos/verify_start_end_handshape_annotations//test_auto_move//signs_mov_separ_signers/Brady_2611.mov" TargetMode="External"/><Relationship Id="rId18309" Type="http://schemas.openxmlformats.org/officeDocument/2006/relationships/hyperlink" Target="http://csr.bu.edu/ftp/asl/asllvd/demos/verify_start_end_handshape_annotations//test_auto_move//signs_mov/2612.mov" TargetMode="External"/><Relationship Id="rId18310" Type="http://schemas.openxmlformats.org/officeDocument/2006/relationships/hyperlink" Target="http://csr.bu.edu/ftp/asl/asllvd/demos/verify_start_end_handshape_annotations//test_auto_move//signs_mov_separ_signers/Liz_2612.mov" TargetMode="External"/><Relationship Id="rId18311" Type="http://schemas.openxmlformats.org/officeDocument/2006/relationships/hyperlink" Target="http://secrets.rutgers.edu:8080/data/asl-ftp/asllvd/demos/verify_start_end_handshape_annotations//test_auto_move//signs_mov/2612.mov" TargetMode="External"/><Relationship Id="rId18312" Type="http://schemas.openxmlformats.org/officeDocument/2006/relationships/hyperlink" Target="http://secrets.rutgers.edu:8080/data/asl-ftp/asllvd/demos/verify_start_end_handshape_annotations//test_auto_move//signs_mov_separ_signers/Liz_2612.mov" TargetMode="External"/><Relationship Id="rId18313" Type="http://schemas.openxmlformats.org/officeDocument/2006/relationships/hyperlink" Target="http://csr.bu.edu/ftp/asl/asllvd/demos/verify_start_end_handshape_annotations//test_auto_move//signs_mov_separ_signers/Brady_2612.mov" TargetMode="External"/><Relationship Id="rId18314" Type="http://schemas.openxmlformats.org/officeDocument/2006/relationships/hyperlink" Target="http://secrets.rutgers.edu:8080/data/asl-ftp/asllvd/demos/verify_start_end_handshape_annotations//test_auto_move//signs_mov_separ_signers/Brady_2612.mov" TargetMode="External"/><Relationship Id="rId18315" Type="http://schemas.openxmlformats.org/officeDocument/2006/relationships/hyperlink" Target="http://csr.bu.edu/ftp/asl/asllvd/demos/verify_start_end_handshape_annotations//test_auto_move//signs_mov/2613.mov" TargetMode="External"/><Relationship Id="rId18316" Type="http://schemas.openxmlformats.org/officeDocument/2006/relationships/hyperlink" Target="http://csr.bu.edu/ftp/asl/asllvd/demos/verify_start_end_handshape_annotations//test_auto_move//signs_mov_separ_signers/Liz_2613.mov" TargetMode="External"/><Relationship Id="rId18317" Type="http://schemas.openxmlformats.org/officeDocument/2006/relationships/hyperlink" Target="http://secrets.rutgers.edu:8080/data/asl-ftp/asllvd/demos/verify_start_end_handshape_annotations//test_auto_move//signs_mov/2613.mov" TargetMode="External"/><Relationship Id="rId18318" Type="http://schemas.openxmlformats.org/officeDocument/2006/relationships/hyperlink" Target="http://secrets.rutgers.edu:8080/data/asl-ftp/asllvd/demos/verify_start_end_handshape_annotations//test_auto_move//signs_mov_separ_signers/Liz_2613.mov" TargetMode="External"/><Relationship Id="rId18319" Type="http://schemas.openxmlformats.org/officeDocument/2006/relationships/hyperlink" Target="http://csr.bu.edu/ftp/asl/asllvd/demos/verify_start_end_handshape_annotations//test_auto_move//signs_mov_separ_signers/Brady_2613.mov" TargetMode="External"/><Relationship Id="rId18320" Type="http://schemas.openxmlformats.org/officeDocument/2006/relationships/hyperlink" Target="http://secrets.rutgers.edu:8080/data/asl-ftp/asllvd/demos/verify_start_end_handshape_annotations//test_auto_move//signs_mov_separ_signers/Brady_2613.mov" TargetMode="External"/><Relationship Id="rId18321" Type="http://schemas.openxmlformats.org/officeDocument/2006/relationships/hyperlink" Target="http://csr.bu.edu/ftp/asl/asllvd/demos/verify_start_end_handshape_annotations//test_auto_move//signs_mov_separ_signers/Liz_3482.mov" TargetMode="External"/><Relationship Id="rId18322" Type="http://schemas.openxmlformats.org/officeDocument/2006/relationships/hyperlink" Target="http://secrets.rutgers.edu:8080/data/asl-ftp/asllvd/demos/verify_start_end_handshape_annotations//test_auto_move//signs_mov_separ_signers/Liz_3482.mov" TargetMode="External"/><Relationship Id="rId18323" Type="http://schemas.openxmlformats.org/officeDocument/2006/relationships/hyperlink" Target="http://csr.bu.edu/ftp/asl/asllvd/demos/verify_start_end_handshape_annotations//test_auto_move//signs_mov/3482_3483_merged.mov" TargetMode="External"/><Relationship Id="rId18324" Type="http://schemas.openxmlformats.org/officeDocument/2006/relationships/hyperlink" Target="http://csr.bu.edu/ftp/asl/asllvd/demos/verify_start_end_handshape_annotations//test_auto_move//signs_mov_separ_signers/Brady_3482.mov" TargetMode="External"/><Relationship Id="rId18325" Type="http://schemas.openxmlformats.org/officeDocument/2006/relationships/hyperlink" Target="http://secrets.rutgers.edu:8080/data/asl-ftp/asllvd/demos/verify_start_end_handshape_annotations//test_auto_move//signs_mov/3482_3483_merged.mov" TargetMode="External"/><Relationship Id="rId18326" Type="http://schemas.openxmlformats.org/officeDocument/2006/relationships/hyperlink" Target="http://secrets.rutgers.edu:8080/data/asl-ftp/asllvd/demos/verify_start_end_handshape_annotations//test_auto_move//signs_mov_separ_signers/Brady_3482.mov" TargetMode="External"/><Relationship Id="rId18327" Type="http://schemas.openxmlformats.org/officeDocument/2006/relationships/hyperlink" Target="http://csr.bu.edu/ftp/asl/asllvd/demos/verify_start_end_handshape_annotations//test_auto_move//signs_mov_separ_signers/Brady_3483.mov" TargetMode="External"/><Relationship Id="rId18328" Type="http://schemas.openxmlformats.org/officeDocument/2006/relationships/hyperlink" Target="http://secrets.rutgers.edu:8080/data/asl-ftp/asllvd/demos/verify_start_end_handshape_annotations//test_auto_move//signs_mov_separ_signers/Brady_3483.mov" TargetMode="External"/><Relationship Id="rId18329" Type="http://schemas.openxmlformats.org/officeDocument/2006/relationships/hyperlink" Target="http://csr.bu.edu/ftp/asl/asllvd/demos/verify_start_end_handshape_annotations//test_auto_move//signs_mov/5865.mov" TargetMode="External"/><Relationship Id="rId18330" Type="http://schemas.openxmlformats.org/officeDocument/2006/relationships/hyperlink" Target="http://csr.bu.edu/ftp/asl/asllvd/demos/verify_start_end_handshape_annotations//test_auto_move//signs_mov_separ_signers/Liz_5865.mov" TargetMode="External"/><Relationship Id="rId18331" Type="http://schemas.openxmlformats.org/officeDocument/2006/relationships/hyperlink" Target="http://secrets.rutgers.edu:8080/data/asl-ftp/asllvd/demos/verify_start_end_handshape_annotations//test_auto_move//signs_mov/5865.mov" TargetMode="External"/><Relationship Id="rId18332" Type="http://schemas.openxmlformats.org/officeDocument/2006/relationships/hyperlink" Target="http://secrets.rutgers.edu:8080/data/asl-ftp/asllvd/demos/verify_start_end_handshape_annotations//test_auto_move//signs_mov_separ_signers/Liz_5865.mov" TargetMode="External"/><Relationship Id="rId18333" Type="http://schemas.openxmlformats.org/officeDocument/2006/relationships/hyperlink" Target="http://csr.bu.edu/ftp/asl/asllvd/demos/verify_start_end_handshape_annotations//test_auto_move//signs_mov_separ_signers/Brady_5865.mov" TargetMode="External"/><Relationship Id="rId18334" Type="http://schemas.openxmlformats.org/officeDocument/2006/relationships/hyperlink" Target="http://secrets.rutgers.edu:8080/data/asl-ftp/asllvd/demos/verify_start_end_handshape_annotations//test_auto_move//signs_mov_separ_signers/Brady_5865.mov" TargetMode="External"/><Relationship Id="rId18335" Type="http://schemas.openxmlformats.org/officeDocument/2006/relationships/hyperlink" Target="http://csr.bu.edu/ftp/asl/asllvd/demos/verify_start_end_handshape_annotations//test_auto_move//signs_mov/2615.mov" TargetMode="External"/><Relationship Id="rId18336" Type="http://schemas.openxmlformats.org/officeDocument/2006/relationships/hyperlink" Target="http://csr.bu.edu/ftp/asl/asllvd/demos/verify_start_end_handshape_annotations//test_auto_move//signs_mov_separ_signers/Liz_2615.mov" TargetMode="External"/><Relationship Id="rId18337" Type="http://schemas.openxmlformats.org/officeDocument/2006/relationships/hyperlink" Target="http://secrets.rutgers.edu:8080/data/asl-ftp/asllvd/demos/verify_start_end_handshape_annotations//test_auto_move//signs_mov/2615.mov" TargetMode="External"/><Relationship Id="rId18338" Type="http://schemas.openxmlformats.org/officeDocument/2006/relationships/hyperlink" Target="http://secrets.rutgers.edu:8080/data/asl-ftp/asllvd/demos/verify_start_end_handshape_annotations//test_auto_move//signs_mov_separ_signers/Liz_2615.mov" TargetMode="External"/><Relationship Id="rId18339" Type="http://schemas.openxmlformats.org/officeDocument/2006/relationships/hyperlink" Target="http://csr.bu.edu/ftp/asl/asllvd/demos/verify_start_end_handshape_annotations//test_auto_move//signs_mov/2618.mov" TargetMode="External"/><Relationship Id="rId18340" Type="http://schemas.openxmlformats.org/officeDocument/2006/relationships/hyperlink" Target="http://csr.bu.edu/ftp/asl/asllvd/demos/verify_start_end_handshape_annotations//test_auto_move//signs_mov_separ_signers/Liz_2618.mov" TargetMode="External"/><Relationship Id="rId18341" Type="http://schemas.openxmlformats.org/officeDocument/2006/relationships/hyperlink" Target="http://secrets.rutgers.edu:8080/data/asl-ftp/asllvd/demos/verify_start_end_handshape_annotations//test_auto_move//signs_mov/2618.mov" TargetMode="External"/><Relationship Id="rId18342" Type="http://schemas.openxmlformats.org/officeDocument/2006/relationships/hyperlink" Target="http://secrets.rutgers.edu:8080/data/asl-ftp/asllvd/demos/verify_start_end_handshape_annotations//test_auto_move//signs_mov_separ_signers/Liz_2618.mov" TargetMode="External"/><Relationship Id="rId18343" Type="http://schemas.openxmlformats.org/officeDocument/2006/relationships/hyperlink" Target="http://csr.bu.edu/ftp/asl/asllvd/demos/verify_start_end_handshape_annotations//test_auto_move//signs_mov/2620.mov" TargetMode="External"/><Relationship Id="rId18344" Type="http://schemas.openxmlformats.org/officeDocument/2006/relationships/hyperlink" Target="http://csr.bu.edu/ftp/asl/asllvd/demos/verify_start_end_handshape_annotations//test_auto_move//signs_mov_separ_signers/Liz_2620.mov" TargetMode="External"/><Relationship Id="rId18345" Type="http://schemas.openxmlformats.org/officeDocument/2006/relationships/hyperlink" Target="http://secrets.rutgers.edu:8080/data/asl-ftp/asllvd/demos/verify_start_end_handshape_annotations//test_auto_move//signs_mov/2620.mov" TargetMode="External"/><Relationship Id="rId18346" Type="http://schemas.openxmlformats.org/officeDocument/2006/relationships/hyperlink" Target="http://secrets.rutgers.edu:8080/data/asl-ftp/asllvd/demos/verify_start_end_handshape_annotations//test_auto_move//signs_mov_separ_signers/Liz_2620.mov" TargetMode="External"/><Relationship Id="rId18347" Type="http://schemas.openxmlformats.org/officeDocument/2006/relationships/hyperlink" Target="http://csr.bu.edu/ftp/asl/asllvd/demos/verify_start_end_handshape_annotations//test_auto_move//signs_mov/2622.mov" TargetMode="External"/><Relationship Id="rId18348" Type="http://schemas.openxmlformats.org/officeDocument/2006/relationships/hyperlink" Target="http://csr.bu.edu/ftp/asl/asllvd/demos/verify_start_end_handshape_annotations//test_auto_move//signs_mov_separ_signers/Liz_2622.mov" TargetMode="External"/><Relationship Id="rId18349" Type="http://schemas.openxmlformats.org/officeDocument/2006/relationships/hyperlink" Target="http://secrets.rutgers.edu:8080/data/asl-ftp/asllvd/demos/verify_start_end_handshape_annotations//test_auto_move//signs_mov/2622.mov" TargetMode="External"/><Relationship Id="rId18350" Type="http://schemas.openxmlformats.org/officeDocument/2006/relationships/hyperlink" Target="http://secrets.rutgers.edu:8080/data/asl-ftp/asllvd/demos/verify_start_end_handshape_annotations//test_auto_move//signs_mov_separ_signers/Liz_2622.mov" TargetMode="External"/><Relationship Id="rId18351" Type="http://schemas.openxmlformats.org/officeDocument/2006/relationships/hyperlink" Target="http://csr.bu.edu/ftp/asl/asllvd/demos/verify_start_end_handshape_annotations//test_auto_move//signs_mov_separ_signers/Liz_2625.mov" TargetMode="External"/><Relationship Id="rId18352" Type="http://schemas.openxmlformats.org/officeDocument/2006/relationships/hyperlink" Target="http://secrets.rutgers.edu:8080/data/asl-ftp/asllvd/demos/verify_start_end_handshape_annotations//test_auto_move//signs_mov_separ_signers/Liz_2625.mov" TargetMode="External"/><Relationship Id="rId18353" Type="http://schemas.openxmlformats.org/officeDocument/2006/relationships/hyperlink" Target="http://csr.bu.edu/ftp/asl/asllvd/demos/verify_start_end_handshape_annotations//test_auto_move//signs_mov/2625_3374_merged.mov" TargetMode="External"/><Relationship Id="rId18354" Type="http://schemas.openxmlformats.org/officeDocument/2006/relationships/hyperlink" Target="http://csr.bu.edu/ftp/asl/asllvd/demos/verify_start_end_handshape_annotations//test_auto_move//signs_mov_separ_signers/Liz_3374.mov" TargetMode="External"/><Relationship Id="rId18355" Type="http://schemas.openxmlformats.org/officeDocument/2006/relationships/hyperlink" Target="http://secrets.rutgers.edu:8080/data/asl-ftp/asllvd/demos/verify_start_end_handshape_annotations//test_auto_move//signs_mov/2625_3374_merged.mov" TargetMode="External"/><Relationship Id="rId18356" Type="http://schemas.openxmlformats.org/officeDocument/2006/relationships/hyperlink" Target="http://secrets.rutgers.edu:8080/data/asl-ftp/asllvd/demos/verify_start_end_handshape_annotations//test_auto_move//signs_mov_separ_signers/Liz_3374.mov" TargetMode="External"/><Relationship Id="rId18357" Type="http://schemas.openxmlformats.org/officeDocument/2006/relationships/hyperlink" Target="http://csr.bu.edu/ftp/asl/asllvd/demos/verify_start_end_handshape_annotations//test_auto_move//signs_mov_separ_signers/Brady_2625.mov" TargetMode="External"/><Relationship Id="rId18358" Type="http://schemas.openxmlformats.org/officeDocument/2006/relationships/hyperlink" Target="http://secrets.rutgers.edu:8080/data/asl-ftp/asllvd/demos/verify_start_end_handshape_annotations//test_auto_move//signs_mov_separ_signers/Brady_2625.mov" TargetMode="External"/><Relationship Id="rId18359" Type="http://schemas.openxmlformats.org/officeDocument/2006/relationships/hyperlink" Target="http://csr.bu.edu/ftp/asl/asllvd/demos/verify_start_end_handshape_annotations//test_auto_move//signs_mov_separ_signers/Brady_3374.mov" TargetMode="External"/><Relationship Id="rId18360" Type="http://schemas.openxmlformats.org/officeDocument/2006/relationships/hyperlink" Target="http://secrets.rutgers.edu:8080/data/asl-ftp/asllvd/demos/verify_start_end_handshape_annotations//test_auto_move//signs_mov_separ_signers/Brady_3374.mov" TargetMode="External"/><Relationship Id="rId18361" Type="http://schemas.openxmlformats.org/officeDocument/2006/relationships/hyperlink" Target="http://csr.bu.edu/ftp/asl/asllvd/demos/verify_start_end_handshape_annotations//test_auto_move//signs_mov_separ_signers/Liz_5448.mov" TargetMode="External"/><Relationship Id="rId18362" Type="http://schemas.openxmlformats.org/officeDocument/2006/relationships/hyperlink" Target="http://secrets.rutgers.edu:8080/data/asl-ftp/asllvd/demos/verify_start_end_handshape_annotations//test_auto_move//signs_mov_separ_signers/Liz_5448.mov" TargetMode="External"/><Relationship Id="rId18363" Type="http://schemas.openxmlformats.org/officeDocument/2006/relationships/hyperlink" Target="http://csr.bu.edu/ftp/asl/asllvd/demos/verify_start_end_handshape_annotations//test_auto_move//signs_mov/5448.mov" TargetMode="External"/><Relationship Id="rId18364" Type="http://schemas.openxmlformats.org/officeDocument/2006/relationships/hyperlink" Target="http://csr.bu.edu/ftp/asl/asllvd/demos/verify_start_end_handshape_annotations//test_auto_move//signs_mov_separ_signers/Naomi_5448.mov" TargetMode="External"/><Relationship Id="rId18365" Type="http://schemas.openxmlformats.org/officeDocument/2006/relationships/hyperlink" Target="http://secrets.rutgers.edu:8080/data/asl-ftp/asllvd/demos/verify_start_end_handshape_annotations//test_auto_move//signs_mov/5448.mov" TargetMode="External"/><Relationship Id="rId18366" Type="http://schemas.openxmlformats.org/officeDocument/2006/relationships/hyperlink" Target="http://secrets.rutgers.edu:8080/data/asl-ftp/asllvd/demos/verify_start_end_handshape_annotations//test_auto_move//signs_mov_separ_signers/Naomi_5448.mov" TargetMode="External"/><Relationship Id="rId18367" Type="http://schemas.openxmlformats.org/officeDocument/2006/relationships/hyperlink" Target="http://csr.bu.edu/ftp/asl/asllvd/demos/verify_start_end_handshape_annotations//test_auto_move//signs_mov_separ_signers/Brady_5448.mov" TargetMode="External"/><Relationship Id="rId18368" Type="http://schemas.openxmlformats.org/officeDocument/2006/relationships/hyperlink" Target="http://secrets.rutgers.edu:8080/data/asl-ftp/asllvd/demos/verify_start_end_handshape_annotations//test_auto_move//signs_mov_separ_signers/Brady_5448.mov" TargetMode="External"/><Relationship Id="rId18369" Type="http://schemas.openxmlformats.org/officeDocument/2006/relationships/hyperlink" Target="http://csr.bu.edu/ftp/asl/asllvd/demos/verify_start_end_handshape_annotations//test_auto_move//signs_mov/15191.mov" TargetMode="External"/><Relationship Id="rId18370" Type="http://schemas.openxmlformats.org/officeDocument/2006/relationships/hyperlink" Target="http://csr.bu.edu/ftp/asl/asllvd/demos/verify_start_end_handshape_annotations//test_auto_move//signs_mov_separ_signers/Tyler_15191.mov" TargetMode="External"/><Relationship Id="rId18371" Type="http://schemas.openxmlformats.org/officeDocument/2006/relationships/hyperlink" Target="http://secrets.rutgers.edu:8080/data/asl-ftp/asllvd/demos/verify_start_end_handshape_annotations//test_auto_move//signs_mov/15191.mov" TargetMode="External"/><Relationship Id="rId18372" Type="http://schemas.openxmlformats.org/officeDocument/2006/relationships/hyperlink" Target="http://secrets.rutgers.edu:8080/data/asl-ftp/asllvd/demos/verify_start_end_handshape_annotations//test_auto_move//signs_mov_separ_signers/Tyler_15191.mov" TargetMode="External"/><Relationship Id="rId18373" Type="http://schemas.openxmlformats.org/officeDocument/2006/relationships/hyperlink" Target="http://csr.bu.edu/ftp/asl/asllvd/demos/verify_start_end_handshape_annotations//test_auto_move//signs_mov_separ_signers/Liz_16297.mov" TargetMode="External"/><Relationship Id="rId18374" Type="http://schemas.openxmlformats.org/officeDocument/2006/relationships/hyperlink" Target="http://secrets.rutgers.edu:8080/data/asl-ftp/asllvd/demos/verify_start_end_handshape_annotations//test_auto_move//signs_mov_separ_signers/Liz_16297.mov" TargetMode="External"/><Relationship Id="rId18375" Type="http://schemas.openxmlformats.org/officeDocument/2006/relationships/hyperlink" Target="http://csr.bu.edu/ftp/asl/asllvd/demos/verify_start_end_handshape_annotations//test_auto_move//signs_mov/16297.mov" TargetMode="External"/><Relationship Id="rId18376" Type="http://schemas.openxmlformats.org/officeDocument/2006/relationships/hyperlink" Target="http://csr.bu.edu/ftp/asl/asllvd/demos/verify_start_end_handshape_annotations//test_auto_move//signs_mov_separ_signers/Naomi_16297.mov" TargetMode="External"/><Relationship Id="rId18377" Type="http://schemas.openxmlformats.org/officeDocument/2006/relationships/hyperlink" Target="http://secrets.rutgers.edu:8080/data/asl-ftp/asllvd/demos/verify_start_end_handshape_annotations//test_auto_move//signs_mov/16297.mov" TargetMode="External"/><Relationship Id="rId18378" Type="http://schemas.openxmlformats.org/officeDocument/2006/relationships/hyperlink" Target="http://secrets.rutgers.edu:8080/data/asl-ftp/asllvd/demos/verify_start_end_handshape_annotations//test_auto_move//signs_mov_separ_signers/Naomi_16297.mov" TargetMode="External"/><Relationship Id="rId18379" Type="http://schemas.openxmlformats.org/officeDocument/2006/relationships/hyperlink" Target="http://csr.bu.edu/ftp/asl/asllvd/demos/verify_start_end_handshape_annotations//test_auto_move//signs_mov_separ_signers/Brady_16297.mov" TargetMode="External"/><Relationship Id="rId18380" Type="http://schemas.openxmlformats.org/officeDocument/2006/relationships/hyperlink" Target="http://secrets.rutgers.edu:8080/data/asl-ftp/asllvd/demos/verify_start_end_handshape_annotations//test_auto_move//signs_mov_separ_signers/Brady_16297.mov" TargetMode="External"/><Relationship Id="rId18381" Type="http://schemas.openxmlformats.org/officeDocument/2006/relationships/hyperlink" Target="http://csr.bu.edu/ftp/asl/asllvd/demos/verify_start_end_handshape_annotations//test_auto_move//signs_mov/2628.mov" TargetMode="External"/><Relationship Id="rId18382" Type="http://schemas.openxmlformats.org/officeDocument/2006/relationships/hyperlink" Target="http://csr.bu.edu/ftp/asl/asllvd/demos/verify_start_end_handshape_annotations//test_auto_move//signs_mov_separ_signers/Liz_2628.mov" TargetMode="External"/><Relationship Id="rId18383" Type="http://schemas.openxmlformats.org/officeDocument/2006/relationships/hyperlink" Target="http://secrets.rutgers.edu:8080/data/asl-ftp/asllvd/demos/verify_start_end_handshape_annotations//test_auto_move//signs_mov/2628.mov" TargetMode="External"/><Relationship Id="rId18384" Type="http://schemas.openxmlformats.org/officeDocument/2006/relationships/hyperlink" Target="http://secrets.rutgers.edu:8080/data/asl-ftp/asllvd/demos/verify_start_end_handshape_annotations//test_auto_move//signs_mov_separ_signers/Liz_2628.mov" TargetMode="External"/><Relationship Id="rId18385" Type="http://schemas.openxmlformats.org/officeDocument/2006/relationships/hyperlink" Target="http://csr.bu.edu/ftp/asl/asllvd/demos/verify_start_end_handshape_annotations//test_auto_move//signs_mov_separ_signers/Brady_2628.mov" TargetMode="External"/><Relationship Id="rId18386" Type="http://schemas.openxmlformats.org/officeDocument/2006/relationships/hyperlink" Target="http://secrets.rutgers.edu:8080/data/asl-ftp/asllvd/demos/verify_start_end_handshape_annotations//test_auto_move//signs_mov_separ_signers/Brady_2628.mov" TargetMode="External"/><Relationship Id="rId18387" Type="http://schemas.openxmlformats.org/officeDocument/2006/relationships/hyperlink" Target="http://csr.bu.edu/ftp/asl/asllvd/demos/verify_start_end_handshape_annotations//test_auto_move//signs_mov_separ_signers/Liz_2629.mov" TargetMode="External"/><Relationship Id="rId18388" Type="http://schemas.openxmlformats.org/officeDocument/2006/relationships/hyperlink" Target="http://secrets.rutgers.edu:8080/data/asl-ftp/asllvd/demos/verify_start_end_handshape_annotations//test_auto_move//signs_mov_separ_signers/Liz_2629.mov" TargetMode="External"/><Relationship Id="rId18389" Type="http://schemas.openxmlformats.org/officeDocument/2006/relationships/hyperlink" Target="http://csr.bu.edu/ftp/asl/asllvd/demos/verify_start_end_handshape_annotations//test_auto_move//signs_mov_separ_signers/Liz_3484.mov" TargetMode="External"/><Relationship Id="rId18390" Type="http://schemas.openxmlformats.org/officeDocument/2006/relationships/hyperlink" Target="http://secrets.rutgers.edu:8080/data/asl-ftp/asllvd/demos/verify_start_end_handshape_annotations//test_auto_move//signs_mov_separ_signers/Liz_3484.mov" TargetMode="External"/><Relationship Id="rId18391" Type="http://schemas.openxmlformats.org/officeDocument/2006/relationships/hyperlink" Target="http://csr.bu.edu/ftp/asl/asllvd/demos/verify_start_end_handshape_annotations//test_auto_move//signs_mov/2629_3484_5921_merged.mov" TargetMode="External"/><Relationship Id="rId18392" Type="http://schemas.openxmlformats.org/officeDocument/2006/relationships/hyperlink" Target="http://csr.bu.edu/ftp/asl/asllvd/demos/verify_start_end_handshape_annotations//test_auto_move//signs_mov_separ_signers/Brady_2629.mov" TargetMode="External"/><Relationship Id="rId18393" Type="http://schemas.openxmlformats.org/officeDocument/2006/relationships/hyperlink" Target="http://secrets.rutgers.edu:8080/data/asl-ftp/asllvd/demos/verify_start_end_handshape_annotations//test_auto_move//signs_mov/2629_3484_5921_merged.mov" TargetMode="External"/><Relationship Id="rId18394" Type="http://schemas.openxmlformats.org/officeDocument/2006/relationships/hyperlink" Target="http://secrets.rutgers.edu:8080/data/asl-ftp/asllvd/demos/verify_start_end_handshape_annotations//test_auto_move//signs_mov_separ_signers/Brady_2629.mov" TargetMode="External"/><Relationship Id="rId18395" Type="http://schemas.openxmlformats.org/officeDocument/2006/relationships/hyperlink" Target="http://csr.bu.edu/ftp/asl/asllvd/demos/verify_start_end_handshape_annotations//test_auto_move//signs_mov_separ_signers/Brady_3484.mov" TargetMode="External"/><Relationship Id="rId18396" Type="http://schemas.openxmlformats.org/officeDocument/2006/relationships/hyperlink" Target="http://secrets.rutgers.edu:8080/data/asl-ftp/asllvd/demos/verify_start_end_handshape_annotations//test_auto_move//signs_mov_separ_signers/Brady_3484.mov" TargetMode="External"/><Relationship Id="rId18397" Type="http://schemas.openxmlformats.org/officeDocument/2006/relationships/hyperlink" Target="http://csr.bu.edu/ftp/asl/asllvd/demos/verify_start_end_handshape_annotations//test_auto_move//signs_mov_separ_signers/Brady_5921.mov" TargetMode="External"/><Relationship Id="rId18398" Type="http://schemas.openxmlformats.org/officeDocument/2006/relationships/hyperlink" Target="http://secrets.rutgers.edu:8080/data/asl-ftp/asllvd/demos/verify_start_end_handshape_annotations//test_auto_move//signs_mov_separ_signers/Brady_5921.mov" TargetMode="External"/><Relationship Id="rId18399" Type="http://schemas.openxmlformats.org/officeDocument/2006/relationships/hyperlink" Target="http://csr.bu.edu/ftp/asl/asllvd/demos/verify_start_end_handshape_annotations//test_auto_move//signs_mov/2634.mov" TargetMode="External"/><Relationship Id="rId18400" Type="http://schemas.openxmlformats.org/officeDocument/2006/relationships/hyperlink" Target="http://csr.bu.edu/ftp/asl/asllvd/demos/verify_start_end_handshape_annotations//test_auto_move//signs_mov_separ_signers/Liz_2634.mov" TargetMode="External"/><Relationship Id="rId18401" Type="http://schemas.openxmlformats.org/officeDocument/2006/relationships/hyperlink" Target="http://secrets.rutgers.edu:8080/data/asl-ftp/asllvd/demos/verify_start_end_handshape_annotations//test_auto_move//signs_mov/2634.mov" TargetMode="External"/><Relationship Id="rId18402" Type="http://schemas.openxmlformats.org/officeDocument/2006/relationships/hyperlink" Target="http://secrets.rutgers.edu:8080/data/asl-ftp/asllvd/demos/verify_start_end_handshape_annotations//test_auto_move//signs_mov_separ_signers/Liz_2634.mov" TargetMode="External"/><Relationship Id="rId18403" Type="http://schemas.openxmlformats.org/officeDocument/2006/relationships/hyperlink" Target="http://csr.bu.edu/ftp/asl/asllvd/demos/verify_start_end_handshape_annotations//test_auto_move//signs_mov/2635.mov" TargetMode="External"/><Relationship Id="rId18404" Type="http://schemas.openxmlformats.org/officeDocument/2006/relationships/hyperlink" Target="http://csr.bu.edu/ftp/asl/asllvd/demos/verify_start_end_handshape_annotations//test_auto_move//signs_mov_separ_signers/Liz_2635.mov" TargetMode="External"/><Relationship Id="rId18405" Type="http://schemas.openxmlformats.org/officeDocument/2006/relationships/hyperlink" Target="http://secrets.rutgers.edu:8080/data/asl-ftp/asllvd/demos/verify_start_end_handshape_annotations//test_auto_move//signs_mov/2635.mov" TargetMode="External"/><Relationship Id="rId18406" Type="http://schemas.openxmlformats.org/officeDocument/2006/relationships/hyperlink" Target="http://secrets.rutgers.edu:8080/data/asl-ftp/asllvd/demos/verify_start_end_handshape_annotations//test_auto_move//signs_mov_separ_signers/Liz_2635.mov" TargetMode="External"/><Relationship Id="rId18407" Type="http://schemas.openxmlformats.org/officeDocument/2006/relationships/hyperlink" Target="http://csr.bu.edu/ftp/asl/asllvd/demos/verify_start_end_handshape_annotations//test_auto_move//signs_mov/3796.mov" TargetMode="External"/><Relationship Id="rId18408" Type="http://schemas.openxmlformats.org/officeDocument/2006/relationships/hyperlink" Target="http://csr.bu.edu/ftp/asl/asllvd/demos/verify_start_end_handshape_annotations//test_auto_move//signs_mov_separ_signers/Liz_3796.mov" TargetMode="External"/><Relationship Id="rId18409" Type="http://schemas.openxmlformats.org/officeDocument/2006/relationships/hyperlink" Target="http://secrets.rutgers.edu:8080/data/asl-ftp/asllvd/demos/verify_start_end_handshape_annotations//test_auto_move//signs_mov/3796.mov" TargetMode="External"/><Relationship Id="rId18410" Type="http://schemas.openxmlformats.org/officeDocument/2006/relationships/hyperlink" Target="http://secrets.rutgers.edu:8080/data/asl-ftp/asllvd/demos/verify_start_end_handshape_annotations//test_auto_move//signs_mov_separ_signers/Liz_3796.mov" TargetMode="External"/><Relationship Id="rId18411" Type="http://schemas.openxmlformats.org/officeDocument/2006/relationships/hyperlink" Target="http://csr.bu.edu/ftp/asl/asllvd/demos/verify_start_end_handshape_annotations//test_auto_move//signs_mov/2641.mov" TargetMode="External"/><Relationship Id="rId18412" Type="http://schemas.openxmlformats.org/officeDocument/2006/relationships/hyperlink" Target="http://csr.bu.edu/ftp/asl/asllvd/demos/verify_start_end_handshape_annotations//test_auto_move//signs_mov_separ_signers/Liz_2641.mov" TargetMode="External"/><Relationship Id="rId18413" Type="http://schemas.openxmlformats.org/officeDocument/2006/relationships/hyperlink" Target="http://secrets.rutgers.edu:8080/data/asl-ftp/asllvd/demos/verify_start_end_handshape_annotations//test_auto_move//signs_mov/2641.mov" TargetMode="External"/><Relationship Id="rId18414" Type="http://schemas.openxmlformats.org/officeDocument/2006/relationships/hyperlink" Target="http://secrets.rutgers.edu:8080/data/asl-ftp/asllvd/demos/verify_start_end_handshape_annotations//test_auto_move//signs_mov_separ_signers/Liz_2641.mov" TargetMode="External"/><Relationship Id="rId18415" Type="http://schemas.openxmlformats.org/officeDocument/2006/relationships/hyperlink" Target="http://csr.bu.edu/ftp/asl/asllvd/demos/verify_start_end_handshape_annotations//test_auto_move//signs_mov/16473.mov" TargetMode="External"/><Relationship Id="rId18416" Type="http://schemas.openxmlformats.org/officeDocument/2006/relationships/hyperlink" Target="http://csr.bu.edu/ftp/asl/asllvd/demos/verify_start_end_handshape_annotations//test_auto_move//signs_mov_separ_signers/Brady_16473.mov" TargetMode="External"/><Relationship Id="rId18417" Type="http://schemas.openxmlformats.org/officeDocument/2006/relationships/hyperlink" Target="http://secrets.rutgers.edu:8080/data/asl-ftp/asllvd/demos/verify_start_end_handshape_annotations//test_auto_move//signs_mov/16473.mov" TargetMode="External"/><Relationship Id="rId18418" Type="http://schemas.openxmlformats.org/officeDocument/2006/relationships/hyperlink" Target="http://secrets.rutgers.edu:8080/data/asl-ftp/asllvd/demos/verify_start_end_handshape_annotations//test_auto_move//signs_mov_separ_signers/Brady_16473.mov" TargetMode="External"/><Relationship Id="rId18419" Type="http://schemas.openxmlformats.org/officeDocument/2006/relationships/hyperlink" Target="http://csr.bu.edu/ftp/asl/asllvd/demos/verify_start_end_handshape_annotations//test_auto_move//signs_mov/2642.mov" TargetMode="External"/><Relationship Id="rId18420" Type="http://schemas.openxmlformats.org/officeDocument/2006/relationships/hyperlink" Target="http://csr.bu.edu/ftp/asl/asllvd/demos/verify_start_end_handshape_annotations//test_auto_move//signs_mov_separ_signers/Liz_2642.mov" TargetMode="External"/><Relationship Id="rId18421" Type="http://schemas.openxmlformats.org/officeDocument/2006/relationships/hyperlink" Target="http://secrets.rutgers.edu:8080/data/asl-ftp/asllvd/demos/verify_start_end_handshape_annotations//test_auto_move//signs_mov/2642.mov" TargetMode="External"/><Relationship Id="rId18422" Type="http://schemas.openxmlformats.org/officeDocument/2006/relationships/hyperlink" Target="http://secrets.rutgers.edu:8080/data/asl-ftp/asllvd/demos/verify_start_end_handshape_annotations//test_auto_move//signs_mov_separ_signers/Liz_2642.mov" TargetMode="External"/><Relationship Id="rId18423" Type="http://schemas.openxmlformats.org/officeDocument/2006/relationships/hyperlink" Target="http://csr.bu.edu/ftp/asl/asllvd/demos/verify_start_end_handshape_annotations//test_auto_move//signs_mov/16474.mov" TargetMode="External"/><Relationship Id="rId18424" Type="http://schemas.openxmlformats.org/officeDocument/2006/relationships/hyperlink" Target="http://csr.bu.edu/ftp/asl/asllvd/demos/verify_start_end_handshape_annotations//test_auto_move//signs_mov_separ_signers/Brady_16474.mov" TargetMode="External"/><Relationship Id="rId18425" Type="http://schemas.openxmlformats.org/officeDocument/2006/relationships/hyperlink" Target="http://secrets.rutgers.edu:8080/data/asl-ftp/asllvd/demos/verify_start_end_handshape_annotations//test_auto_move//signs_mov/16474.mov" TargetMode="External"/><Relationship Id="rId18426" Type="http://schemas.openxmlformats.org/officeDocument/2006/relationships/hyperlink" Target="http://secrets.rutgers.edu:8080/data/asl-ftp/asllvd/demos/verify_start_end_handshape_annotations//test_auto_move//signs_mov_separ_signers/Brady_16474.mov" TargetMode="External"/><Relationship Id="rId18427" Type="http://schemas.openxmlformats.org/officeDocument/2006/relationships/hyperlink" Target="http://csr.bu.edu/ftp/asl/asllvd/demos/verify_start_end_handshape_annotations//test_auto_move//signs_mov/2650.mov" TargetMode="External"/><Relationship Id="rId18428" Type="http://schemas.openxmlformats.org/officeDocument/2006/relationships/hyperlink" Target="http://csr.bu.edu/ftp/asl/asllvd/demos/verify_start_end_handshape_annotations//test_auto_move//signs_mov_separ_signers/Liz_2650.mov" TargetMode="External"/><Relationship Id="rId18429" Type="http://schemas.openxmlformats.org/officeDocument/2006/relationships/hyperlink" Target="http://secrets.rutgers.edu:8080/data/asl-ftp/asllvd/demos/verify_start_end_handshape_annotations//test_auto_move//signs_mov/2650.mov" TargetMode="External"/><Relationship Id="rId18430" Type="http://schemas.openxmlformats.org/officeDocument/2006/relationships/hyperlink" Target="http://secrets.rutgers.edu:8080/data/asl-ftp/asllvd/demos/verify_start_end_handshape_annotations//test_auto_move//signs_mov_separ_signers/Liz_2650.mov" TargetMode="External"/><Relationship Id="rId18431" Type="http://schemas.openxmlformats.org/officeDocument/2006/relationships/hyperlink" Target="http://csr.bu.edu/ftp/asl/asllvd/demos/verify_start_end_handshape_annotations//test_auto_move//signs_mov_separ_signers/Brady_2650.mov" TargetMode="External"/><Relationship Id="rId18432" Type="http://schemas.openxmlformats.org/officeDocument/2006/relationships/hyperlink" Target="http://secrets.rutgers.edu:8080/data/asl-ftp/asllvd/demos/verify_start_end_handshape_annotations//test_auto_move//signs_mov_separ_signers/Brady_2650.mov" TargetMode="External"/><Relationship Id="rId18433" Type="http://schemas.openxmlformats.org/officeDocument/2006/relationships/hyperlink" Target="http://csr.bu.edu/ftp/asl/asllvd/demos/verify_start_end_handshape_annotations//test_auto_move//signs_mov_separ_signers/Liz_2651.mov" TargetMode="External"/><Relationship Id="rId18434" Type="http://schemas.openxmlformats.org/officeDocument/2006/relationships/hyperlink" Target="http://secrets.rutgers.edu:8080/data/asl-ftp/asllvd/demos/verify_start_end_handshape_annotations//test_auto_move//signs_mov_separ_signers/Liz_2651.mov" TargetMode="External"/><Relationship Id="rId18435" Type="http://schemas.openxmlformats.org/officeDocument/2006/relationships/hyperlink" Target="http://csr.bu.edu/ftp/asl/asllvd/demos/verify_start_end_handshape_annotations//test_auto_move//signs_mov/2651_16363_merged.mov" TargetMode="External"/><Relationship Id="rId18436" Type="http://schemas.openxmlformats.org/officeDocument/2006/relationships/hyperlink" Target="http://csr.bu.edu/ftp/asl/asllvd/demos/verify_start_end_handshape_annotations//test_auto_move//signs_mov_separ_signers/Liz_16363.mov" TargetMode="External"/><Relationship Id="rId18437" Type="http://schemas.openxmlformats.org/officeDocument/2006/relationships/hyperlink" Target="http://secrets.rutgers.edu:8080/data/asl-ftp/asllvd/demos/verify_start_end_handshape_annotations//test_auto_move//signs_mov/2651_16363_merged.mov" TargetMode="External"/><Relationship Id="rId18438" Type="http://schemas.openxmlformats.org/officeDocument/2006/relationships/hyperlink" Target="http://secrets.rutgers.edu:8080/data/asl-ftp/asllvd/demos/verify_start_end_handshape_annotations//test_auto_move//signs_mov_separ_signers/Liz_16363.mov" TargetMode="External"/><Relationship Id="rId18439" Type="http://schemas.openxmlformats.org/officeDocument/2006/relationships/hyperlink" Target="http://csr.bu.edu/ftp/asl/asllvd/demos/verify_start_end_handshape_annotations//test_auto_move//signs_mov_separ_signers/Brady_2651.mov" TargetMode="External"/><Relationship Id="rId18440" Type="http://schemas.openxmlformats.org/officeDocument/2006/relationships/hyperlink" Target="http://secrets.rutgers.edu:8080/data/asl-ftp/asllvd/demos/verify_start_end_handshape_annotations//test_auto_move//signs_mov_separ_signers/Brady_2651.mov" TargetMode="External"/><Relationship Id="rId18441" Type="http://schemas.openxmlformats.org/officeDocument/2006/relationships/hyperlink" Target="http://csr.bu.edu/ftp/asl/asllvd/demos/verify_start_end_handshape_annotations//test_auto_move//signs_mov/16369.mov" TargetMode="External"/><Relationship Id="rId18442" Type="http://schemas.openxmlformats.org/officeDocument/2006/relationships/hyperlink" Target="http://csr.bu.edu/ftp/asl/asllvd/demos/verify_start_end_handshape_annotations//test_auto_move//signs_mov_separ_signers/Tyler_16369.mov" TargetMode="External"/><Relationship Id="rId18443" Type="http://schemas.openxmlformats.org/officeDocument/2006/relationships/hyperlink" Target="http://secrets.rutgers.edu:8080/data/asl-ftp/asllvd/demos/verify_start_end_handshape_annotations//test_auto_move//signs_mov/16369.mov" TargetMode="External"/><Relationship Id="rId18444" Type="http://schemas.openxmlformats.org/officeDocument/2006/relationships/hyperlink" Target="http://secrets.rutgers.edu:8080/data/asl-ftp/asllvd/demos/verify_start_end_handshape_annotations//test_auto_move//signs_mov_separ_signers/Tyler_16369.mov" TargetMode="External"/><Relationship Id="rId18445" Type="http://schemas.openxmlformats.org/officeDocument/2006/relationships/hyperlink" Target="http://csr.bu.edu/ftp/asl/asllvd/demos/verify_start_end_handshape_annotations//test_auto_move//signs_mov/16475.mov" TargetMode="External"/><Relationship Id="rId18446" Type="http://schemas.openxmlformats.org/officeDocument/2006/relationships/hyperlink" Target="http://csr.bu.edu/ftp/asl/asllvd/demos/verify_start_end_handshape_annotations//test_auto_move//signs_mov_separ_signers/Brady_16475.mov" TargetMode="External"/><Relationship Id="rId18447" Type="http://schemas.openxmlformats.org/officeDocument/2006/relationships/hyperlink" Target="http://secrets.rutgers.edu:8080/data/asl-ftp/asllvd/demos/verify_start_end_handshape_annotations//test_auto_move//signs_mov/16475.mov" TargetMode="External"/><Relationship Id="rId18448" Type="http://schemas.openxmlformats.org/officeDocument/2006/relationships/hyperlink" Target="http://secrets.rutgers.edu:8080/data/asl-ftp/asllvd/demos/verify_start_end_handshape_annotations//test_auto_move//signs_mov_separ_signers/Brady_16475.mov" TargetMode="External"/><Relationship Id="rId18449" Type="http://schemas.openxmlformats.org/officeDocument/2006/relationships/hyperlink" Target="http://csr.bu.edu/ftp/asl/asllvd/demos/verify_start_end_handshape_annotations//test_auto_move//signs_mov/2653.mov" TargetMode="External"/><Relationship Id="rId18450" Type="http://schemas.openxmlformats.org/officeDocument/2006/relationships/hyperlink" Target="http://csr.bu.edu/ftp/asl/asllvd/demos/verify_start_end_handshape_annotations//test_auto_move//signs_mov_separ_signers/Liz_2653.mov" TargetMode="External"/><Relationship Id="rId18451" Type="http://schemas.openxmlformats.org/officeDocument/2006/relationships/hyperlink" Target="http://secrets.rutgers.edu:8080/data/asl-ftp/asllvd/demos/verify_start_end_handshape_annotations//test_auto_move//signs_mov/2653.mov" TargetMode="External"/><Relationship Id="rId18452" Type="http://schemas.openxmlformats.org/officeDocument/2006/relationships/hyperlink" Target="http://secrets.rutgers.edu:8080/data/asl-ftp/asllvd/demos/verify_start_end_handshape_annotations//test_auto_move//signs_mov_separ_signers/Liz_2653.mov" TargetMode="External"/><Relationship Id="rId18453" Type="http://schemas.openxmlformats.org/officeDocument/2006/relationships/hyperlink" Target="http://csr.bu.edu/ftp/asl/asllvd/demos/verify_start_end_handshape_annotations//test_auto_move//signs_mov_separ_signers/Brady_2653.mov" TargetMode="External"/><Relationship Id="rId18454" Type="http://schemas.openxmlformats.org/officeDocument/2006/relationships/hyperlink" Target="http://secrets.rutgers.edu:8080/data/asl-ftp/asllvd/demos/verify_start_end_handshape_annotations//test_auto_move//signs_mov_separ_signers/Brady_2653.mov" TargetMode="External"/><Relationship Id="rId18455" Type="http://schemas.openxmlformats.org/officeDocument/2006/relationships/hyperlink" Target="http://csr.bu.edu/ftp/asl/asllvd/demos/verify_start_end_handshape_annotations//test_auto_move//signs_mov_separ_signers/Liz_15806.mov" TargetMode="External"/><Relationship Id="rId18456" Type="http://schemas.openxmlformats.org/officeDocument/2006/relationships/hyperlink" Target="http://secrets.rutgers.edu:8080/data/asl-ftp/asllvd/demos/verify_start_end_handshape_annotations//test_auto_move//signs_mov_separ_signers/Liz_15806.mov" TargetMode="External"/><Relationship Id="rId18457" Type="http://schemas.openxmlformats.org/officeDocument/2006/relationships/hyperlink" Target="http://csr.bu.edu/ftp/asl/asllvd/demos/verify_start_end_handshape_annotations//test_auto_move//signs_mov/15806.mov" TargetMode="External"/><Relationship Id="rId18458" Type="http://schemas.openxmlformats.org/officeDocument/2006/relationships/hyperlink" Target="http://csr.bu.edu/ftp/asl/asllvd/demos/verify_start_end_handshape_annotations//test_auto_move//signs_mov_separ_signers/Tyler_15806.mov" TargetMode="External"/><Relationship Id="rId18459" Type="http://schemas.openxmlformats.org/officeDocument/2006/relationships/hyperlink" Target="http://secrets.rutgers.edu:8080/data/asl-ftp/asllvd/demos/verify_start_end_handshape_annotations//test_auto_move//signs_mov/15806.mov" TargetMode="External"/><Relationship Id="rId18460" Type="http://schemas.openxmlformats.org/officeDocument/2006/relationships/hyperlink" Target="http://secrets.rutgers.edu:8080/data/asl-ftp/asllvd/demos/verify_start_end_handshape_annotations//test_auto_move//signs_mov_separ_signers/Tyler_15806.mov" TargetMode="External"/><Relationship Id="rId18461" Type="http://schemas.openxmlformats.org/officeDocument/2006/relationships/hyperlink" Target="http://csr.bu.edu/ftp/asl/asllvd/demos/verify_start_end_handshape_annotations//test_auto_move//signs_mov_separ_signers/Naomi_15806.mov" TargetMode="External"/><Relationship Id="rId18462" Type="http://schemas.openxmlformats.org/officeDocument/2006/relationships/hyperlink" Target="http://secrets.rutgers.edu:8080/data/asl-ftp/asllvd/demos/verify_start_end_handshape_annotations//test_auto_move//signs_mov_separ_signers/Naomi_15806.mov" TargetMode="External"/><Relationship Id="rId18463" Type="http://schemas.openxmlformats.org/officeDocument/2006/relationships/hyperlink" Target="http://csr.bu.edu/ftp/asl/asllvd/demos/verify_start_end_handshape_annotations//test_auto_move//signs_mov_separ_signers/Brady_15806.mov" TargetMode="External"/><Relationship Id="rId18464" Type="http://schemas.openxmlformats.org/officeDocument/2006/relationships/hyperlink" Target="http://secrets.rutgers.edu:8080/data/asl-ftp/asllvd/demos/verify_start_end_handshape_annotations//test_auto_move//signs_mov_separ_signers/Brady_15806.mov" TargetMode="External"/><Relationship Id="rId18465" Type="http://schemas.openxmlformats.org/officeDocument/2006/relationships/hyperlink" Target="http://csr.bu.edu/ftp/asl/asllvd/demos/verify_start_end_handshape_annotations//test_auto_move//signs_mov/15824.mov" TargetMode="External"/><Relationship Id="rId18466" Type="http://schemas.openxmlformats.org/officeDocument/2006/relationships/hyperlink" Target="http://csr.bu.edu/ftp/asl/asllvd/demos/verify_start_end_handshape_annotations//test_auto_move//signs_mov_separ_signers/Liz_15824.mov" TargetMode="External"/><Relationship Id="rId18467" Type="http://schemas.openxmlformats.org/officeDocument/2006/relationships/hyperlink" Target="http://secrets.rutgers.edu:8080/data/asl-ftp/asllvd/demos/verify_start_end_handshape_annotations//test_auto_move//signs_mov/15824.mov" TargetMode="External"/><Relationship Id="rId18468" Type="http://schemas.openxmlformats.org/officeDocument/2006/relationships/hyperlink" Target="http://secrets.rutgers.edu:8080/data/asl-ftp/asllvd/demos/verify_start_end_handshape_annotations//test_auto_move//signs_mov_separ_signers/Liz_15824.mov" TargetMode="External"/><Relationship Id="rId18469" Type="http://schemas.openxmlformats.org/officeDocument/2006/relationships/hyperlink" Target="http://csr.bu.edu/ftp/asl/asllvd/demos/verify_start_end_handshape_annotations//test_auto_move//signs_mov/15841.mov" TargetMode="External"/><Relationship Id="rId18470" Type="http://schemas.openxmlformats.org/officeDocument/2006/relationships/hyperlink" Target="http://csr.bu.edu/ftp/asl/asllvd/demos/verify_start_end_handshape_annotations//test_auto_move//signs_mov_separ_signers/Brady_15841.mov" TargetMode="External"/><Relationship Id="rId18471" Type="http://schemas.openxmlformats.org/officeDocument/2006/relationships/hyperlink" Target="http://secrets.rutgers.edu:8080/data/asl-ftp/asllvd/demos/verify_start_end_handshape_annotations//test_auto_move//signs_mov/15841.mov" TargetMode="External"/><Relationship Id="rId18472" Type="http://schemas.openxmlformats.org/officeDocument/2006/relationships/hyperlink" Target="http://secrets.rutgers.edu:8080/data/asl-ftp/asllvd/demos/verify_start_end_handshape_annotations//test_auto_move//signs_mov_separ_signers/Brady_15841.mov" TargetMode="External"/><Relationship Id="rId18473" Type="http://schemas.openxmlformats.org/officeDocument/2006/relationships/hyperlink" Target="http://csr.bu.edu/ftp/asl/asllvd/demos/verify_start_end_handshape_annotations//test_auto_move//signs_mov/16476.mov" TargetMode="External"/><Relationship Id="rId18474" Type="http://schemas.openxmlformats.org/officeDocument/2006/relationships/hyperlink" Target="http://csr.bu.edu/ftp/asl/asllvd/demos/verify_start_end_handshape_annotations//test_auto_move//signs_mov_separ_signers/Liz_16476.mov" TargetMode="External"/><Relationship Id="rId18475" Type="http://schemas.openxmlformats.org/officeDocument/2006/relationships/hyperlink" Target="http://secrets.rutgers.edu:8080/data/asl-ftp/asllvd/demos/verify_start_end_handshape_annotations//test_auto_move//signs_mov/16476.mov" TargetMode="External"/><Relationship Id="rId18476" Type="http://schemas.openxmlformats.org/officeDocument/2006/relationships/hyperlink" Target="http://secrets.rutgers.edu:8080/data/asl-ftp/asllvd/demos/verify_start_end_handshape_annotations//test_auto_move//signs_mov_separ_signers/Liz_16476.mov" TargetMode="External"/><Relationship Id="rId18477" Type="http://schemas.openxmlformats.org/officeDocument/2006/relationships/hyperlink" Target="http://csr.bu.edu/ftp/asl/asllvd/demos/verify_start_end_handshape_annotations//test_auto_move//signs_mov_separ_signers/Brady_16476.mov" TargetMode="External"/><Relationship Id="rId18478" Type="http://schemas.openxmlformats.org/officeDocument/2006/relationships/hyperlink" Target="http://secrets.rutgers.edu:8080/data/asl-ftp/asllvd/demos/verify_start_end_handshape_annotations//test_auto_move//signs_mov_separ_signers/Brady_16476.mov" TargetMode="External"/><Relationship Id="rId18479" Type="http://schemas.openxmlformats.org/officeDocument/2006/relationships/hyperlink" Target="http://csr.bu.edu/ftp/asl/asllvd/demos/verify_start_end_handshape_annotations//test_auto_move//signs_mov/2656.mov" TargetMode="External"/><Relationship Id="rId18480" Type="http://schemas.openxmlformats.org/officeDocument/2006/relationships/hyperlink" Target="http://csr.bu.edu/ftp/asl/asllvd/demos/verify_start_end_handshape_annotations//test_auto_move//signs_mov_separ_signers/Liz_2656.mov" TargetMode="External"/><Relationship Id="rId18481" Type="http://schemas.openxmlformats.org/officeDocument/2006/relationships/hyperlink" Target="http://secrets.rutgers.edu:8080/data/asl-ftp/asllvd/demos/verify_start_end_handshape_annotations//test_auto_move//signs_mov/2656.mov" TargetMode="External"/><Relationship Id="rId18482" Type="http://schemas.openxmlformats.org/officeDocument/2006/relationships/hyperlink" Target="http://secrets.rutgers.edu:8080/data/asl-ftp/asllvd/demos/verify_start_end_handshape_annotations//test_auto_move//signs_mov_separ_signers/Liz_2656.mov" TargetMode="External"/><Relationship Id="rId18483" Type="http://schemas.openxmlformats.org/officeDocument/2006/relationships/hyperlink" Target="http://csr.bu.edu/ftp/asl/asllvd/demos/verify_start_end_handshape_annotations//test_auto_move//signs_mov_separ_signers/Brady_2656.mov" TargetMode="External"/><Relationship Id="rId18484" Type="http://schemas.openxmlformats.org/officeDocument/2006/relationships/hyperlink" Target="http://secrets.rutgers.edu:8080/data/asl-ftp/asllvd/demos/verify_start_end_handshape_annotations//test_auto_move//signs_mov_separ_signers/Brady_2656.mov" TargetMode="External"/><Relationship Id="rId18485" Type="http://schemas.openxmlformats.org/officeDocument/2006/relationships/hyperlink" Target="http://csr.bu.edu/ftp/asl/asllvd/demos/verify_start_end_handshape_annotations//test_auto_move//signs_mov/2661.mov" TargetMode="External"/><Relationship Id="rId18486" Type="http://schemas.openxmlformats.org/officeDocument/2006/relationships/hyperlink" Target="http://csr.bu.edu/ftp/asl/asllvd/demos/verify_start_end_handshape_annotations//test_auto_move//signs_mov_separ_signers/Brady_2661.mov" TargetMode="External"/><Relationship Id="rId18487" Type="http://schemas.openxmlformats.org/officeDocument/2006/relationships/hyperlink" Target="http://secrets.rutgers.edu:8080/data/asl-ftp/asllvd/demos/verify_start_end_handshape_annotations//test_auto_move//signs_mov/2661.mov" TargetMode="External"/><Relationship Id="rId18488" Type="http://schemas.openxmlformats.org/officeDocument/2006/relationships/hyperlink" Target="http://secrets.rutgers.edu:8080/data/asl-ftp/asllvd/demos/verify_start_end_handshape_annotations//test_auto_move//signs_mov_separ_signers/Brady_2661.mov" TargetMode="External"/><Relationship Id="rId18489" Type="http://schemas.openxmlformats.org/officeDocument/2006/relationships/hyperlink" Target="http://csr.bu.edu/ftp/asl/asllvd/demos/verify_start_end_handshape_annotations//test_auto_move//signs_mov/16477.mov" TargetMode="External"/><Relationship Id="rId18490" Type="http://schemas.openxmlformats.org/officeDocument/2006/relationships/hyperlink" Target="http://csr.bu.edu/ftp/asl/asllvd/demos/verify_start_end_handshape_annotations//test_auto_move//signs_mov_separ_signers/Liz_16477.mov" TargetMode="External"/><Relationship Id="rId18491" Type="http://schemas.openxmlformats.org/officeDocument/2006/relationships/hyperlink" Target="http://secrets.rutgers.edu:8080/data/asl-ftp/asllvd/demos/verify_start_end_handshape_annotations//test_auto_move//signs_mov/16477.mov" TargetMode="External"/><Relationship Id="rId18492" Type="http://schemas.openxmlformats.org/officeDocument/2006/relationships/hyperlink" Target="http://secrets.rutgers.edu:8080/data/asl-ftp/asllvd/demos/verify_start_end_handshape_annotations//test_auto_move//signs_mov_separ_signers/Liz_16477.mov" TargetMode="External"/><Relationship Id="rId18493" Type="http://schemas.openxmlformats.org/officeDocument/2006/relationships/hyperlink" Target="http://csr.bu.edu/ftp/asl/asllvd/demos/verify_start_end_handshape_annotations//test_auto_move//signs_mov/2665.mov" TargetMode="External"/><Relationship Id="rId18494" Type="http://schemas.openxmlformats.org/officeDocument/2006/relationships/hyperlink" Target="http://csr.bu.edu/ftp/asl/asllvd/demos/verify_start_end_handshape_annotations//test_auto_move//signs_mov_separ_signers/Liz_2665.mov" TargetMode="External"/><Relationship Id="rId18495" Type="http://schemas.openxmlformats.org/officeDocument/2006/relationships/hyperlink" Target="http://secrets.rutgers.edu:8080/data/asl-ftp/asllvd/demos/verify_start_end_handshape_annotations//test_auto_move//signs_mov/2665.mov" TargetMode="External"/><Relationship Id="rId18496" Type="http://schemas.openxmlformats.org/officeDocument/2006/relationships/hyperlink" Target="http://secrets.rutgers.edu:8080/data/asl-ftp/asllvd/demos/verify_start_end_handshape_annotations//test_auto_move//signs_mov_separ_signers/Liz_2665.mov" TargetMode="External"/><Relationship Id="rId18497" Type="http://schemas.openxmlformats.org/officeDocument/2006/relationships/hyperlink" Target="http://csr.bu.edu/ftp/asl/asllvd/demos/verify_start_end_handshape_annotations//test_auto_move//signs_mov_separ_signers/Brady_2665.mov" TargetMode="External"/><Relationship Id="rId18498" Type="http://schemas.openxmlformats.org/officeDocument/2006/relationships/hyperlink" Target="http://secrets.rutgers.edu:8080/data/asl-ftp/asllvd/demos/verify_start_end_handshape_annotations//test_auto_move//signs_mov_separ_signers/Brady_2665.mov" TargetMode="External"/><Relationship Id="rId18499" Type="http://schemas.openxmlformats.org/officeDocument/2006/relationships/hyperlink" Target="http://csr.bu.edu/ftp/asl/asllvd/demos/verify_start_end_handshape_annotations//test_auto_move//signs_mov/2668.mov" TargetMode="External"/><Relationship Id="rId18500" Type="http://schemas.openxmlformats.org/officeDocument/2006/relationships/hyperlink" Target="http://csr.bu.edu/ftp/asl/asllvd/demos/verify_start_end_handshape_annotations//test_auto_move//signs_mov_separ_signers/Liz_2668.mov" TargetMode="External"/><Relationship Id="rId18501" Type="http://schemas.openxmlformats.org/officeDocument/2006/relationships/hyperlink" Target="http://secrets.rutgers.edu:8080/data/asl-ftp/asllvd/demos/verify_start_end_handshape_annotations//test_auto_move//signs_mov/2668.mov" TargetMode="External"/><Relationship Id="rId18502" Type="http://schemas.openxmlformats.org/officeDocument/2006/relationships/hyperlink" Target="http://secrets.rutgers.edu:8080/data/asl-ftp/asllvd/demos/verify_start_end_handshape_annotations//test_auto_move//signs_mov_separ_signers/Liz_2668.mov" TargetMode="External"/><Relationship Id="rId18503" Type="http://schemas.openxmlformats.org/officeDocument/2006/relationships/hyperlink" Target="http://csr.bu.edu/ftp/asl/asllvd/demos/verify_start_end_handshape_annotations//test_auto_move//signs_mov_separ_signers/Brady_2668.mov" TargetMode="External"/><Relationship Id="rId18504" Type="http://schemas.openxmlformats.org/officeDocument/2006/relationships/hyperlink" Target="http://secrets.rutgers.edu:8080/data/asl-ftp/asllvd/demos/verify_start_end_handshape_annotations//test_auto_move//signs_mov_separ_signers/Brady_2668.mov" TargetMode="External"/><Relationship Id="rId18505" Type="http://schemas.openxmlformats.org/officeDocument/2006/relationships/hyperlink" Target="http://csr.bu.edu/ftp/asl/asllvd/demos/verify_start_end_handshape_annotations//test_auto_move//signs_mov/2669.mov" TargetMode="External"/><Relationship Id="rId18506" Type="http://schemas.openxmlformats.org/officeDocument/2006/relationships/hyperlink" Target="http://csr.bu.edu/ftp/asl/asllvd/demos/verify_start_end_handshape_annotations//test_auto_move//signs_mov_separ_signers/Liz_2669.mov" TargetMode="External"/><Relationship Id="rId18507" Type="http://schemas.openxmlformats.org/officeDocument/2006/relationships/hyperlink" Target="http://secrets.rutgers.edu:8080/data/asl-ftp/asllvd/demos/verify_start_end_handshape_annotations//test_auto_move//signs_mov/2669.mov" TargetMode="External"/><Relationship Id="rId18508" Type="http://schemas.openxmlformats.org/officeDocument/2006/relationships/hyperlink" Target="http://secrets.rutgers.edu:8080/data/asl-ftp/asllvd/demos/verify_start_end_handshape_annotations//test_auto_move//signs_mov_separ_signers/Liz_2669.mov" TargetMode="External"/><Relationship Id="rId18509" Type="http://schemas.openxmlformats.org/officeDocument/2006/relationships/hyperlink" Target="http://csr.bu.edu/ftp/asl/asllvd/demos/verify_start_end_handshape_annotations//test_auto_move//signs_mov_separ_signers/Brady_2669.mov" TargetMode="External"/><Relationship Id="rId18510" Type="http://schemas.openxmlformats.org/officeDocument/2006/relationships/hyperlink" Target="http://secrets.rutgers.edu:8080/data/asl-ftp/asllvd/demos/verify_start_end_handshape_annotations//test_auto_move//signs_mov_separ_signers/Brady_2669.mov" TargetMode="External"/><Relationship Id="rId18511" Type="http://schemas.openxmlformats.org/officeDocument/2006/relationships/hyperlink" Target="http://csr.bu.edu/ftp/asl/asllvd/demos/verify_start_end_handshape_annotations//test_auto_move//signs_mov_separ_signers/Liz_5530.mov" TargetMode="External"/><Relationship Id="rId18512" Type="http://schemas.openxmlformats.org/officeDocument/2006/relationships/hyperlink" Target="http://secrets.rutgers.edu:8080/data/asl-ftp/asllvd/demos/verify_start_end_handshape_annotations//test_auto_move//signs_mov_separ_signers/Liz_5530.mov" TargetMode="External"/><Relationship Id="rId18513" Type="http://schemas.openxmlformats.org/officeDocument/2006/relationships/hyperlink" Target="http://csr.bu.edu/ftp/asl/asllvd/demos/verify_start_end_handshape_annotations//test_auto_move//signs_mov/5530_5922_15075_merged.mov" TargetMode="External"/><Relationship Id="rId18514" Type="http://schemas.openxmlformats.org/officeDocument/2006/relationships/hyperlink" Target="http://csr.bu.edu/ftp/asl/asllvd/demos/verify_start_end_handshape_annotations//test_auto_move//signs_mov_separ_signers/Brady_5530.mov" TargetMode="External"/><Relationship Id="rId18515" Type="http://schemas.openxmlformats.org/officeDocument/2006/relationships/hyperlink" Target="http://secrets.rutgers.edu:8080/data/asl-ftp/asllvd/demos/verify_start_end_handshape_annotations//test_auto_move//signs_mov/5530_5922_15075_merged.mov" TargetMode="External"/><Relationship Id="rId18516" Type="http://schemas.openxmlformats.org/officeDocument/2006/relationships/hyperlink" Target="http://secrets.rutgers.edu:8080/data/asl-ftp/asllvd/demos/verify_start_end_handshape_annotations//test_auto_move//signs_mov_separ_signers/Brady_5530.mov" TargetMode="External"/><Relationship Id="rId18517" Type="http://schemas.openxmlformats.org/officeDocument/2006/relationships/hyperlink" Target="http://csr.bu.edu/ftp/asl/asllvd/demos/verify_start_end_handshape_annotations//test_auto_move//signs_mov_separ_signers/Brady_5922.mov" TargetMode="External"/><Relationship Id="rId18518" Type="http://schemas.openxmlformats.org/officeDocument/2006/relationships/hyperlink" Target="http://secrets.rutgers.edu:8080/data/asl-ftp/asllvd/demos/verify_start_end_handshape_annotations//test_auto_move//signs_mov_separ_signers/Brady_5922.mov" TargetMode="External"/><Relationship Id="rId18519" Type="http://schemas.openxmlformats.org/officeDocument/2006/relationships/hyperlink" Target="http://csr.bu.edu/ftp/asl/asllvd/demos/verify_start_end_handshape_annotations//test_auto_move//signs_mov_separ_signers/Brady_15075.mov" TargetMode="External"/><Relationship Id="rId18520" Type="http://schemas.openxmlformats.org/officeDocument/2006/relationships/hyperlink" Target="http://secrets.rutgers.edu:8080/data/asl-ftp/asllvd/demos/verify_start_end_handshape_annotations//test_auto_move//signs_mov_separ_signers/Brady_15075.mov" TargetMode="External"/><Relationship Id="rId18521" Type="http://schemas.openxmlformats.org/officeDocument/2006/relationships/hyperlink" Target="http://csr.bu.edu/ftp/asl/asllvd/demos/verify_start_end_handshape_annotations//test_auto_move//signs_mov_separ_signers/Liz_15674.mov" TargetMode="External"/><Relationship Id="rId18522" Type="http://schemas.openxmlformats.org/officeDocument/2006/relationships/hyperlink" Target="http://secrets.rutgers.edu:8080/data/asl-ftp/asllvd/demos/verify_start_end_handshape_annotations//test_auto_move//signs_mov_separ_signers/Liz_15674.mov" TargetMode="External"/><Relationship Id="rId18523" Type="http://schemas.openxmlformats.org/officeDocument/2006/relationships/hyperlink" Target="http://csr.bu.edu/ftp/asl/asllvd/demos/verify_start_end_handshape_annotations//test_auto_move//signs_mov/15674.mov" TargetMode="External"/><Relationship Id="rId18524" Type="http://schemas.openxmlformats.org/officeDocument/2006/relationships/hyperlink" Target="http://csr.bu.edu/ftp/asl/asllvd/demos/verify_start_end_handshape_annotations//test_auto_move//signs_mov_separ_signers/Tyler_15674.mov" TargetMode="External"/><Relationship Id="rId18525" Type="http://schemas.openxmlformats.org/officeDocument/2006/relationships/hyperlink" Target="http://secrets.rutgers.edu:8080/data/asl-ftp/asllvd/demos/verify_start_end_handshape_annotations//test_auto_move//signs_mov/15674.mov" TargetMode="External"/><Relationship Id="rId18526" Type="http://schemas.openxmlformats.org/officeDocument/2006/relationships/hyperlink" Target="http://secrets.rutgers.edu:8080/data/asl-ftp/asllvd/demos/verify_start_end_handshape_annotations//test_auto_move//signs_mov_separ_signers/Tyler_15674.mov" TargetMode="External"/><Relationship Id="rId18527" Type="http://schemas.openxmlformats.org/officeDocument/2006/relationships/hyperlink" Target="http://csr.bu.edu/ftp/asl/asllvd/demos/verify_start_end_handshape_annotations//test_auto_move//signs_mov_separ_signers/Naomi_15674.mov" TargetMode="External"/><Relationship Id="rId18528" Type="http://schemas.openxmlformats.org/officeDocument/2006/relationships/hyperlink" Target="http://secrets.rutgers.edu:8080/data/asl-ftp/asllvd/demos/verify_start_end_handshape_annotations//test_auto_move//signs_mov_separ_signers/Naomi_15674.mov" TargetMode="External"/><Relationship Id="rId18529" Type="http://schemas.openxmlformats.org/officeDocument/2006/relationships/hyperlink" Target="http://csr.bu.edu/ftp/asl/asllvd/demos/verify_start_end_handshape_annotations//test_auto_move//signs_mov_separ_signers/Brady_15674.mov" TargetMode="External"/><Relationship Id="rId18530" Type="http://schemas.openxmlformats.org/officeDocument/2006/relationships/hyperlink" Target="http://secrets.rutgers.edu:8080/data/asl-ftp/asllvd/demos/verify_start_end_handshape_annotations//test_auto_move//signs_mov_separ_signers/Brady_15674.mov" TargetMode="External"/><Relationship Id="rId18531" Type="http://schemas.openxmlformats.org/officeDocument/2006/relationships/hyperlink" Target="http://csr.bu.edu/ftp/asl/asllvd/demos/verify_start_end_handshape_annotations//test_auto_move//signs_mov_separ_signers/Liz_15708.mov" TargetMode="External"/><Relationship Id="rId18532" Type="http://schemas.openxmlformats.org/officeDocument/2006/relationships/hyperlink" Target="http://secrets.rutgers.edu:8080/data/asl-ftp/asllvd/demos/verify_start_end_handshape_annotations//test_auto_move//signs_mov_separ_signers/Liz_15708.mov" TargetMode="External"/><Relationship Id="rId18533" Type="http://schemas.openxmlformats.org/officeDocument/2006/relationships/hyperlink" Target="http://csr.bu.edu/ftp/asl/asllvd/demos/verify_start_end_handshape_annotations//test_auto_move//signs_mov/15708.mov" TargetMode="External"/><Relationship Id="rId18534" Type="http://schemas.openxmlformats.org/officeDocument/2006/relationships/hyperlink" Target="http://csr.bu.edu/ftp/asl/asllvd/demos/verify_start_end_handshape_annotations//test_auto_move//signs_mov_separ_signers/Lana_15708.mov" TargetMode="External"/><Relationship Id="rId18535" Type="http://schemas.openxmlformats.org/officeDocument/2006/relationships/hyperlink" Target="http://secrets.rutgers.edu:8080/data/asl-ftp/asllvd/demos/verify_start_end_handshape_annotations//test_auto_move//signs_mov/15708.mov" TargetMode="External"/><Relationship Id="rId18536" Type="http://schemas.openxmlformats.org/officeDocument/2006/relationships/hyperlink" Target="http://secrets.rutgers.edu:8080/data/asl-ftp/asllvd/demos/verify_start_end_handshape_annotations//test_auto_move//signs_mov_separ_signers/Lana_15708.mov" TargetMode="External"/><Relationship Id="rId18537" Type="http://schemas.openxmlformats.org/officeDocument/2006/relationships/hyperlink" Target="http://csr.bu.edu/ftp/asl/asllvd/demos/verify_start_end_handshape_annotations//test_auto_move//signs_mov_separ_signers/Dana_15708.mov" TargetMode="External"/><Relationship Id="rId18538" Type="http://schemas.openxmlformats.org/officeDocument/2006/relationships/hyperlink" Target="http://secrets.rutgers.edu:8080/data/asl-ftp/asllvd/demos/verify_start_end_handshape_annotations//test_auto_move//signs_mov_separ_signers/Dana_15708.mov" TargetMode="External"/><Relationship Id="rId18539" Type="http://schemas.openxmlformats.org/officeDocument/2006/relationships/hyperlink" Target="http://csr.bu.edu/ftp/asl/asllvd/demos/verify_start_end_handshape_annotations//test_auto_move//signs_mov/2670.mov" TargetMode="External"/><Relationship Id="rId18540" Type="http://schemas.openxmlformats.org/officeDocument/2006/relationships/hyperlink" Target="http://csr.bu.edu/ftp/asl/asllvd/demos/verify_start_end_handshape_annotations//test_auto_move//signs_mov_separ_signers/Liz_2670.mov" TargetMode="External"/><Relationship Id="rId18541" Type="http://schemas.openxmlformats.org/officeDocument/2006/relationships/hyperlink" Target="http://secrets.rutgers.edu:8080/data/asl-ftp/asllvd/demos/verify_start_end_handshape_annotations//test_auto_move//signs_mov/2670.mov" TargetMode="External"/><Relationship Id="rId18542" Type="http://schemas.openxmlformats.org/officeDocument/2006/relationships/hyperlink" Target="http://secrets.rutgers.edu:8080/data/asl-ftp/asllvd/demos/verify_start_end_handshape_annotations//test_auto_move//signs_mov_separ_signers/Liz_2670.mov" TargetMode="External"/><Relationship Id="rId18543" Type="http://schemas.openxmlformats.org/officeDocument/2006/relationships/hyperlink" Target="http://csr.bu.edu/ftp/asl/asllvd/demos/verify_start_end_handshape_annotations//test_auto_move//signs_mov_separ_signers/Brady_2670.mov" TargetMode="External"/><Relationship Id="rId18544" Type="http://schemas.openxmlformats.org/officeDocument/2006/relationships/hyperlink" Target="http://secrets.rutgers.edu:8080/data/asl-ftp/asllvd/demos/verify_start_end_handshape_annotations//test_auto_move//signs_mov_separ_signers/Brady_2670.mov" TargetMode="External"/><Relationship Id="rId18545" Type="http://schemas.openxmlformats.org/officeDocument/2006/relationships/hyperlink" Target="http://csr.bu.edu/ftp/asl/asllvd/demos/verify_start_end_handshape_annotations//test_auto_move//signs_mov_separ_signers/Liz_2672.mov" TargetMode="External"/><Relationship Id="rId18546" Type="http://schemas.openxmlformats.org/officeDocument/2006/relationships/hyperlink" Target="http://secrets.rutgers.edu:8080/data/asl-ftp/asllvd/demos/verify_start_end_handshape_annotations//test_auto_move//signs_mov_separ_signers/Liz_2672.mov" TargetMode="External"/><Relationship Id="rId18547" Type="http://schemas.openxmlformats.org/officeDocument/2006/relationships/hyperlink" Target="http://csr.bu.edu/ftp/asl/asllvd/demos/verify_start_end_handshape_annotations//test_auto_move//signs_mov/2672_5527_15241_merged.mov" TargetMode="External"/><Relationship Id="rId18548" Type="http://schemas.openxmlformats.org/officeDocument/2006/relationships/hyperlink" Target="http://csr.bu.edu/ftp/asl/asllvd/demos/verify_start_end_handshape_annotations//test_auto_move//signs_mov_separ_signers/Brady_2672.mov" TargetMode="External"/><Relationship Id="rId18549" Type="http://schemas.openxmlformats.org/officeDocument/2006/relationships/hyperlink" Target="http://secrets.rutgers.edu:8080/data/asl-ftp/asllvd/demos/verify_start_end_handshape_annotations//test_auto_move//signs_mov/2672_5527_15241_merged.mov" TargetMode="External"/><Relationship Id="rId18550" Type="http://schemas.openxmlformats.org/officeDocument/2006/relationships/hyperlink" Target="http://secrets.rutgers.edu:8080/data/asl-ftp/asllvd/demos/verify_start_end_handshape_annotations//test_auto_move//signs_mov_separ_signers/Brady_2672.mov" TargetMode="External"/><Relationship Id="rId18551" Type="http://schemas.openxmlformats.org/officeDocument/2006/relationships/hyperlink" Target="http://csr.bu.edu/ftp/asl/asllvd/demos/verify_start_end_handshape_annotations//test_auto_move//signs_mov_separ_signers/Brady_5527.mov" TargetMode="External"/><Relationship Id="rId18552" Type="http://schemas.openxmlformats.org/officeDocument/2006/relationships/hyperlink" Target="http://secrets.rutgers.edu:8080/data/asl-ftp/asllvd/demos/verify_start_end_handshape_annotations//test_auto_move//signs_mov_separ_signers/Brady_5527.mov" TargetMode="External"/><Relationship Id="rId18553" Type="http://schemas.openxmlformats.org/officeDocument/2006/relationships/hyperlink" Target="http://csr.bu.edu/ftp/asl/asllvd/demos/verify_start_end_handshape_annotations//test_auto_move//signs_mov_separ_signers/Brady_15241.mov" TargetMode="External"/><Relationship Id="rId18554" Type="http://schemas.openxmlformats.org/officeDocument/2006/relationships/hyperlink" Target="http://secrets.rutgers.edu:8080/data/asl-ftp/asllvd/demos/verify_start_end_handshape_annotations//test_auto_move//signs_mov_separ_signers/Brady_15241.mov" TargetMode="External"/><Relationship Id="rId18555" Type="http://schemas.openxmlformats.org/officeDocument/2006/relationships/hyperlink" Target="http://csr.bu.edu/ftp/asl/asllvd/demos/verify_start_end_handshape_annotations//test_auto_move//signs_mov_separ_signers/Liz_15242.mov" TargetMode="External"/><Relationship Id="rId18556" Type="http://schemas.openxmlformats.org/officeDocument/2006/relationships/hyperlink" Target="http://secrets.rutgers.edu:8080/data/asl-ftp/asllvd/demos/verify_start_end_handshape_annotations//test_auto_move//signs_mov_separ_signers/Liz_15242.mov" TargetMode="External"/><Relationship Id="rId18557" Type="http://schemas.openxmlformats.org/officeDocument/2006/relationships/hyperlink" Target="http://csr.bu.edu/ftp/asl/asllvd/demos/verify_start_end_handshape_annotations//test_auto_move//signs_mov/15242.mov" TargetMode="External"/><Relationship Id="rId18558" Type="http://schemas.openxmlformats.org/officeDocument/2006/relationships/hyperlink" Target="http://csr.bu.edu/ftp/asl/asllvd/demos/verify_start_end_handshape_annotations//test_auto_move//signs_mov_separ_signers/Tyler_15242.mov" TargetMode="External"/><Relationship Id="rId18559" Type="http://schemas.openxmlformats.org/officeDocument/2006/relationships/hyperlink" Target="http://secrets.rutgers.edu:8080/data/asl-ftp/asllvd/demos/verify_start_end_handshape_annotations//test_auto_move//signs_mov/15242.mov" TargetMode="External"/><Relationship Id="rId18560" Type="http://schemas.openxmlformats.org/officeDocument/2006/relationships/hyperlink" Target="http://secrets.rutgers.edu:8080/data/asl-ftp/asllvd/demos/verify_start_end_handshape_annotations//test_auto_move//signs_mov_separ_signers/Tyler_15242.mov" TargetMode="External"/><Relationship Id="rId18561" Type="http://schemas.openxmlformats.org/officeDocument/2006/relationships/hyperlink" Target="http://csr.bu.edu/ftp/asl/asllvd/demos/verify_start_end_handshape_annotations//test_auto_move//signs_mov_separ_signers/Naomi_15242.mov" TargetMode="External"/><Relationship Id="rId18562" Type="http://schemas.openxmlformats.org/officeDocument/2006/relationships/hyperlink" Target="http://secrets.rutgers.edu:8080/data/asl-ftp/asllvd/demos/verify_start_end_handshape_annotations//test_auto_move//signs_mov_separ_signers/Naomi_15242.mov" TargetMode="External"/><Relationship Id="rId18563" Type="http://schemas.openxmlformats.org/officeDocument/2006/relationships/hyperlink" Target="http://csr.bu.edu/ftp/asl/asllvd/demos/verify_start_end_handshape_annotations//test_auto_move//signs_mov_separ_signers/Brady_15242.mov" TargetMode="External"/><Relationship Id="rId18564" Type="http://schemas.openxmlformats.org/officeDocument/2006/relationships/hyperlink" Target="http://secrets.rutgers.edu:8080/data/asl-ftp/asllvd/demos/verify_start_end_handshape_annotations//test_auto_move//signs_mov_separ_signers/Brady_15242.mov" TargetMode="External"/><Relationship Id="rId18565" Type="http://schemas.openxmlformats.org/officeDocument/2006/relationships/hyperlink" Target="http://csr.bu.edu/ftp/asl/asllvd/demos/verify_start_end_handshape_annotations//test_auto_move//signs_mov/2675.mov" TargetMode="External"/><Relationship Id="rId18566" Type="http://schemas.openxmlformats.org/officeDocument/2006/relationships/hyperlink" Target="http://csr.bu.edu/ftp/asl/asllvd/demos/verify_start_end_handshape_annotations//test_auto_move//signs_mov_separ_signers/Liz_2675.mov" TargetMode="External"/><Relationship Id="rId18567" Type="http://schemas.openxmlformats.org/officeDocument/2006/relationships/hyperlink" Target="http://secrets.rutgers.edu:8080/data/asl-ftp/asllvd/demos/verify_start_end_handshape_annotations//test_auto_move//signs_mov/2675.mov" TargetMode="External"/><Relationship Id="rId18568" Type="http://schemas.openxmlformats.org/officeDocument/2006/relationships/hyperlink" Target="http://secrets.rutgers.edu:8080/data/asl-ftp/asllvd/demos/verify_start_end_handshape_annotations//test_auto_move//signs_mov_separ_signers/Liz_2675.mov" TargetMode="External"/><Relationship Id="rId18569" Type="http://schemas.openxmlformats.org/officeDocument/2006/relationships/hyperlink" Target="http://csr.bu.edu/ftp/asl/asllvd/demos/verify_start_end_handshape_annotations//test_auto_move//signs_mov/16478.mov" TargetMode="External"/><Relationship Id="rId18570" Type="http://schemas.openxmlformats.org/officeDocument/2006/relationships/hyperlink" Target="http://csr.bu.edu/ftp/asl/asllvd/demos/verify_start_end_handshape_annotations//test_auto_move//signs_mov_separ_signers/Brady_16478.mov" TargetMode="External"/><Relationship Id="rId18571" Type="http://schemas.openxmlformats.org/officeDocument/2006/relationships/hyperlink" Target="http://secrets.rutgers.edu:8080/data/asl-ftp/asllvd/demos/verify_start_end_handshape_annotations//test_auto_move//signs_mov/16478.mov" TargetMode="External"/><Relationship Id="rId18572" Type="http://schemas.openxmlformats.org/officeDocument/2006/relationships/hyperlink" Target="http://secrets.rutgers.edu:8080/data/asl-ftp/asllvd/demos/verify_start_end_handshape_annotations//test_auto_move//signs_mov_separ_signers/Brady_16478.mov" TargetMode="External"/><Relationship Id="rId18573" Type="http://schemas.openxmlformats.org/officeDocument/2006/relationships/hyperlink" Target="http://csr.bu.edu/ftp/asl/asllvd/demos/verify_start_end_handshape_annotations//test_auto_move//signs_mov/2686.mov" TargetMode="External"/><Relationship Id="rId18574" Type="http://schemas.openxmlformats.org/officeDocument/2006/relationships/hyperlink" Target="http://csr.bu.edu/ftp/asl/asllvd/demos/verify_start_end_handshape_annotations//test_auto_move//signs_mov_separ_signers/Liz_2686.mov" TargetMode="External"/><Relationship Id="rId18575" Type="http://schemas.openxmlformats.org/officeDocument/2006/relationships/hyperlink" Target="http://secrets.rutgers.edu:8080/data/asl-ftp/asllvd/demos/verify_start_end_handshape_annotations//test_auto_move//signs_mov/2686.mov" TargetMode="External"/><Relationship Id="rId18576" Type="http://schemas.openxmlformats.org/officeDocument/2006/relationships/hyperlink" Target="http://secrets.rutgers.edu:8080/data/asl-ftp/asllvd/demos/verify_start_end_handshape_annotations//test_auto_move//signs_mov_separ_signers/Liz_2686.mov" TargetMode="External"/><Relationship Id="rId18577" Type="http://schemas.openxmlformats.org/officeDocument/2006/relationships/hyperlink" Target="http://csr.bu.edu/ftp/asl/asllvd/demos/verify_start_end_handshape_annotations//test_auto_move//signs_mov/2687.mov" TargetMode="External"/><Relationship Id="rId18578" Type="http://schemas.openxmlformats.org/officeDocument/2006/relationships/hyperlink" Target="http://csr.bu.edu/ftp/asl/asllvd/demos/verify_start_end_handshape_annotations//test_auto_move//signs_mov_separ_signers/Liz_2687.mov" TargetMode="External"/><Relationship Id="rId18579" Type="http://schemas.openxmlformats.org/officeDocument/2006/relationships/hyperlink" Target="http://secrets.rutgers.edu:8080/data/asl-ftp/asllvd/demos/verify_start_end_handshape_annotations//test_auto_move//signs_mov/2687.mov" TargetMode="External"/><Relationship Id="rId18580" Type="http://schemas.openxmlformats.org/officeDocument/2006/relationships/hyperlink" Target="http://secrets.rutgers.edu:8080/data/asl-ftp/asllvd/demos/verify_start_end_handshape_annotations//test_auto_move//signs_mov_separ_signers/Liz_2687.mov" TargetMode="External"/><Relationship Id="rId18581" Type="http://schemas.openxmlformats.org/officeDocument/2006/relationships/hyperlink" Target="http://csr.bu.edu/ftp/asl/asllvd/demos/verify_start_end_handshape_annotations//test_auto_move//signs_mov_separ_signers/Brady_2687.mov" TargetMode="External"/><Relationship Id="rId18582" Type="http://schemas.openxmlformats.org/officeDocument/2006/relationships/hyperlink" Target="http://secrets.rutgers.edu:8080/data/asl-ftp/asllvd/demos/verify_start_end_handshape_annotations//test_auto_move//signs_mov_separ_signers/Brady_2687.mov" TargetMode="External"/><Relationship Id="rId18583" Type="http://schemas.openxmlformats.org/officeDocument/2006/relationships/hyperlink" Target="http://csr.bu.edu/ftp/asl/asllvd/demos/verify_start_end_handshape_annotations//test_auto_move//signs_mov/2691.mov" TargetMode="External"/><Relationship Id="rId18584" Type="http://schemas.openxmlformats.org/officeDocument/2006/relationships/hyperlink" Target="http://csr.bu.edu/ftp/asl/asllvd/demos/verify_start_end_handshape_annotations//test_auto_move//signs_mov_separ_signers/Liz_2691.mov" TargetMode="External"/><Relationship Id="rId18585" Type="http://schemas.openxmlformats.org/officeDocument/2006/relationships/hyperlink" Target="http://secrets.rutgers.edu:8080/data/asl-ftp/asllvd/demos/verify_start_end_handshape_annotations//test_auto_move//signs_mov/2691.mov" TargetMode="External"/><Relationship Id="rId18586" Type="http://schemas.openxmlformats.org/officeDocument/2006/relationships/hyperlink" Target="http://secrets.rutgers.edu:8080/data/asl-ftp/asllvd/demos/verify_start_end_handshape_annotations//test_auto_move//signs_mov_separ_signers/Liz_2691.mov" TargetMode="External"/><Relationship Id="rId18587" Type="http://schemas.openxmlformats.org/officeDocument/2006/relationships/hyperlink" Target="http://csr.bu.edu/ftp/asl/asllvd/demos/verify_start_end_handshape_annotations//test_auto_move//signs_mov_separ_signers/Brady_2691.mov" TargetMode="External"/><Relationship Id="rId18588" Type="http://schemas.openxmlformats.org/officeDocument/2006/relationships/hyperlink" Target="http://secrets.rutgers.edu:8080/data/asl-ftp/asllvd/demos/verify_start_end_handshape_annotations//test_auto_move//signs_mov_separ_signers/Brady_2691.mov" TargetMode="External"/><Relationship Id="rId18589" Type="http://schemas.openxmlformats.org/officeDocument/2006/relationships/hyperlink" Target="http://csr.bu.edu/ftp/asl/asllvd/demos/verify_start_end_handshape_annotations//test_auto_move//signs_mov/2692.mov" TargetMode="External"/><Relationship Id="rId18590" Type="http://schemas.openxmlformats.org/officeDocument/2006/relationships/hyperlink" Target="http://csr.bu.edu/ftp/asl/asllvd/demos/verify_start_end_handshape_annotations//test_auto_move//signs_mov_separ_signers/Liz_2692.mov" TargetMode="External"/><Relationship Id="rId18591" Type="http://schemas.openxmlformats.org/officeDocument/2006/relationships/hyperlink" Target="http://secrets.rutgers.edu:8080/data/asl-ftp/asllvd/demos/verify_start_end_handshape_annotations//test_auto_move//signs_mov/2692.mov" TargetMode="External"/><Relationship Id="rId18592" Type="http://schemas.openxmlformats.org/officeDocument/2006/relationships/hyperlink" Target="http://secrets.rutgers.edu:8080/data/asl-ftp/asllvd/demos/verify_start_end_handshape_annotations//test_auto_move//signs_mov_separ_signers/Liz_2692.mov" TargetMode="External"/><Relationship Id="rId18593" Type="http://schemas.openxmlformats.org/officeDocument/2006/relationships/hyperlink" Target="http://csr.bu.edu/ftp/asl/asllvd/demos/verify_start_end_handshape_annotations//test_auto_move//signs_mov_separ_signers/Brady_2692.mov" TargetMode="External"/><Relationship Id="rId18594" Type="http://schemas.openxmlformats.org/officeDocument/2006/relationships/hyperlink" Target="http://secrets.rutgers.edu:8080/data/asl-ftp/asllvd/demos/verify_start_end_handshape_annotations//test_auto_move//signs_mov_separ_signers/Brady_2692.mov" TargetMode="External"/><Relationship Id="rId18595" Type="http://schemas.openxmlformats.org/officeDocument/2006/relationships/hyperlink" Target="http://csr.bu.edu/ftp/asl/asllvd/demos/verify_start_end_handshape_annotations//test_auto_move//signs_mov_separ_signers/Liz_5528.mov" TargetMode="External"/><Relationship Id="rId18596" Type="http://schemas.openxmlformats.org/officeDocument/2006/relationships/hyperlink" Target="http://secrets.rutgers.edu:8080/data/asl-ftp/asllvd/demos/verify_start_end_handshape_annotations//test_auto_move//signs_mov_separ_signers/Liz_5528.mov" TargetMode="External"/><Relationship Id="rId18597" Type="http://schemas.openxmlformats.org/officeDocument/2006/relationships/hyperlink" Target="http://csr.bu.edu/ftp/asl/asllvd/demos/verify_start_end_handshape_annotations//test_auto_move//signs_mov/5528.mov" TargetMode="External"/><Relationship Id="rId18598" Type="http://schemas.openxmlformats.org/officeDocument/2006/relationships/hyperlink" Target="http://csr.bu.edu/ftp/asl/asllvd/demos/verify_start_end_handshape_annotations//test_auto_move//signs_mov_separ_signers/Naomi_5528.mov" TargetMode="External"/><Relationship Id="rId18599" Type="http://schemas.openxmlformats.org/officeDocument/2006/relationships/hyperlink" Target="http://secrets.rutgers.edu:8080/data/asl-ftp/asllvd/demos/verify_start_end_handshape_annotations//test_auto_move//signs_mov/5528.mov" TargetMode="External"/><Relationship Id="rId18600" Type="http://schemas.openxmlformats.org/officeDocument/2006/relationships/hyperlink" Target="http://secrets.rutgers.edu:8080/data/asl-ftp/asllvd/demos/verify_start_end_handshape_annotations//test_auto_move//signs_mov_separ_signers/Naomi_5528.mov" TargetMode="External"/><Relationship Id="rId18601" Type="http://schemas.openxmlformats.org/officeDocument/2006/relationships/hyperlink" Target="http://csr.bu.edu/ftp/asl/asllvd/demos/verify_start_end_handshape_annotations//test_auto_move//signs_mov_separ_signers/Brady_5528.mov" TargetMode="External"/><Relationship Id="rId18602" Type="http://schemas.openxmlformats.org/officeDocument/2006/relationships/hyperlink" Target="http://secrets.rutgers.edu:8080/data/asl-ftp/asllvd/demos/verify_start_end_handshape_annotations//test_auto_move//signs_mov_separ_signers/Brady_5528.mov" TargetMode="External"/><Relationship Id="rId18603" Type="http://schemas.openxmlformats.org/officeDocument/2006/relationships/hyperlink" Target="http://csr.bu.edu/ftp/asl/asllvd/demos/verify_start_end_handshape_annotations//test_auto_move//signs_mov_separ_signers/Liz_15014.mov" TargetMode="External"/><Relationship Id="rId18604" Type="http://schemas.openxmlformats.org/officeDocument/2006/relationships/hyperlink" Target="http://secrets.rutgers.edu:8080/data/asl-ftp/asllvd/demos/verify_start_end_handshape_annotations//test_auto_move//signs_mov_separ_signers/Liz_15014.mov" TargetMode="External"/><Relationship Id="rId18605" Type="http://schemas.openxmlformats.org/officeDocument/2006/relationships/hyperlink" Target="http://csr.bu.edu/ftp/asl/asllvd/demos/verify_start_end_handshape_annotations//test_auto_move//signs_mov/15014.mov" TargetMode="External"/><Relationship Id="rId18606" Type="http://schemas.openxmlformats.org/officeDocument/2006/relationships/hyperlink" Target="http://csr.bu.edu/ftp/asl/asllvd/demos/verify_start_end_handshape_annotations//test_auto_move//signs_mov_separ_signers/Tyler_15014.mov" TargetMode="External"/><Relationship Id="rId18607" Type="http://schemas.openxmlformats.org/officeDocument/2006/relationships/hyperlink" Target="http://secrets.rutgers.edu:8080/data/asl-ftp/asllvd/demos/verify_start_end_handshape_annotations//test_auto_move//signs_mov/15014.mov" TargetMode="External"/><Relationship Id="rId18608" Type="http://schemas.openxmlformats.org/officeDocument/2006/relationships/hyperlink" Target="http://secrets.rutgers.edu:8080/data/asl-ftp/asllvd/demos/verify_start_end_handshape_annotations//test_auto_move//signs_mov_separ_signers/Tyler_15014.mov" TargetMode="External"/><Relationship Id="rId18609" Type="http://schemas.openxmlformats.org/officeDocument/2006/relationships/hyperlink" Target="http://csr.bu.edu/ftp/asl/asllvd/demos/verify_start_end_handshape_annotations//test_auto_move//signs_mov_separ_signers/Naomi_15014.mov" TargetMode="External"/><Relationship Id="rId18610" Type="http://schemas.openxmlformats.org/officeDocument/2006/relationships/hyperlink" Target="http://secrets.rutgers.edu:8080/data/asl-ftp/asllvd/demos/verify_start_end_handshape_annotations//test_auto_move//signs_mov_separ_signers/Naomi_15014.mov" TargetMode="External"/><Relationship Id="rId18611" Type="http://schemas.openxmlformats.org/officeDocument/2006/relationships/hyperlink" Target="http://csr.bu.edu/ftp/asl/asllvd/demos/verify_start_end_handshape_annotations//test_auto_move//signs_mov_separ_signers/Brady_15014.mov" TargetMode="External"/><Relationship Id="rId18612" Type="http://schemas.openxmlformats.org/officeDocument/2006/relationships/hyperlink" Target="http://secrets.rutgers.edu:8080/data/asl-ftp/asllvd/demos/verify_start_end_handshape_annotations//test_auto_move//signs_mov_separ_signers/Brady_15014.mov" TargetMode="External"/><Relationship Id="rId18613" Type="http://schemas.openxmlformats.org/officeDocument/2006/relationships/hyperlink" Target="http://csr.bu.edu/ftp/asl/asllvd/demos/verify_start_end_handshape_annotations//test_auto_move//signs_mov/2695.mov" TargetMode="External"/><Relationship Id="rId18614" Type="http://schemas.openxmlformats.org/officeDocument/2006/relationships/hyperlink" Target="http://csr.bu.edu/ftp/asl/asllvd/demos/verify_start_end_handshape_annotations//test_auto_move//signs_mov_separ_signers/Liz_2695.mov" TargetMode="External"/><Relationship Id="rId18615" Type="http://schemas.openxmlformats.org/officeDocument/2006/relationships/hyperlink" Target="http://secrets.rutgers.edu:8080/data/asl-ftp/asllvd/demos/verify_start_end_handshape_annotations//test_auto_move//signs_mov/2695.mov" TargetMode="External"/><Relationship Id="rId18616" Type="http://schemas.openxmlformats.org/officeDocument/2006/relationships/hyperlink" Target="http://secrets.rutgers.edu:8080/data/asl-ftp/asllvd/demos/verify_start_end_handshape_annotations//test_auto_move//signs_mov_separ_signers/Liz_2695.mov" TargetMode="External"/><Relationship Id="rId18617" Type="http://schemas.openxmlformats.org/officeDocument/2006/relationships/hyperlink" Target="http://csr.bu.edu/ftp/asl/asllvd/demos/verify_start_end_handshape_annotations//test_auto_move//signs_mov_separ_signers/Brady_2695.mov" TargetMode="External"/><Relationship Id="rId18618" Type="http://schemas.openxmlformats.org/officeDocument/2006/relationships/hyperlink" Target="http://secrets.rutgers.edu:8080/data/asl-ftp/asllvd/demos/verify_start_end_handshape_annotations//test_auto_move//signs_mov_separ_signers/Brady_2695.mov" TargetMode="External"/><Relationship Id="rId18619" Type="http://schemas.openxmlformats.org/officeDocument/2006/relationships/hyperlink" Target="http://csr.bu.edu/ftp/asl/asllvd/demos/verify_start_end_handshape_annotations//test_auto_move//signs_mov_separ_signers/Liz_15164.mov" TargetMode="External"/><Relationship Id="rId18620" Type="http://schemas.openxmlformats.org/officeDocument/2006/relationships/hyperlink" Target="http://secrets.rutgers.edu:8080/data/asl-ftp/asllvd/demos/verify_start_end_handshape_annotations//test_auto_move//signs_mov_separ_signers/Liz_15164.mov" TargetMode="External"/><Relationship Id="rId18621" Type="http://schemas.openxmlformats.org/officeDocument/2006/relationships/hyperlink" Target="http://csr.bu.edu/ftp/asl/asllvd/demos/verify_start_end_handshape_annotations//test_auto_move//signs_mov/15164.mov" TargetMode="External"/><Relationship Id="rId18622" Type="http://schemas.openxmlformats.org/officeDocument/2006/relationships/hyperlink" Target="http://csr.bu.edu/ftp/asl/asllvd/demos/verify_start_end_handshape_annotations//test_auto_move//signs_mov_separ_signers/Tyler_15164.mov" TargetMode="External"/><Relationship Id="rId18623" Type="http://schemas.openxmlformats.org/officeDocument/2006/relationships/hyperlink" Target="http://secrets.rutgers.edu:8080/data/asl-ftp/asllvd/demos/verify_start_end_handshape_annotations//test_auto_move//signs_mov/15164.mov" TargetMode="External"/><Relationship Id="rId18624" Type="http://schemas.openxmlformats.org/officeDocument/2006/relationships/hyperlink" Target="http://secrets.rutgers.edu:8080/data/asl-ftp/asllvd/demos/verify_start_end_handshape_annotations//test_auto_move//signs_mov_separ_signers/Tyler_15164.mov" TargetMode="External"/><Relationship Id="rId18625" Type="http://schemas.openxmlformats.org/officeDocument/2006/relationships/hyperlink" Target="http://csr.bu.edu/ftp/asl/asllvd/demos/verify_start_end_handshape_annotations//test_auto_move//signs_mov_separ_signers/Naomi_15164.mov" TargetMode="External"/><Relationship Id="rId18626" Type="http://schemas.openxmlformats.org/officeDocument/2006/relationships/hyperlink" Target="http://secrets.rutgers.edu:8080/data/asl-ftp/asllvd/demos/verify_start_end_handshape_annotations//test_auto_move//signs_mov_separ_signers/Naomi_15164.mov" TargetMode="External"/><Relationship Id="rId18627" Type="http://schemas.openxmlformats.org/officeDocument/2006/relationships/hyperlink" Target="http://csr.bu.edu/ftp/asl/asllvd/demos/verify_start_end_handshape_annotations//test_auto_move//signs_mov_separ_signers/Brady_15164.mov" TargetMode="External"/><Relationship Id="rId18628" Type="http://schemas.openxmlformats.org/officeDocument/2006/relationships/hyperlink" Target="http://secrets.rutgers.edu:8080/data/asl-ftp/asllvd/demos/verify_start_end_handshape_annotations//test_auto_move//signs_mov_separ_signers/Brady_15164.mov" TargetMode="External"/><Relationship Id="rId18629" Type="http://schemas.openxmlformats.org/officeDocument/2006/relationships/hyperlink" Target="http://csr.bu.edu/ftp/asl/asllvd/demos/verify_start_end_handshape_annotations//test_auto_move//signs_mov/2699.mov" TargetMode="External"/><Relationship Id="rId18630" Type="http://schemas.openxmlformats.org/officeDocument/2006/relationships/hyperlink" Target="http://csr.bu.edu/ftp/asl/asllvd/demos/verify_start_end_handshape_annotations//test_auto_move//signs_mov_separ_signers/Liz_2699.mov" TargetMode="External"/><Relationship Id="rId18631" Type="http://schemas.openxmlformats.org/officeDocument/2006/relationships/hyperlink" Target="http://secrets.rutgers.edu:8080/data/asl-ftp/asllvd/demos/verify_start_end_handshape_annotations//test_auto_move//signs_mov/2699.mov" TargetMode="External"/><Relationship Id="rId18632" Type="http://schemas.openxmlformats.org/officeDocument/2006/relationships/hyperlink" Target="http://secrets.rutgers.edu:8080/data/asl-ftp/asllvd/demos/verify_start_end_handshape_annotations//test_auto_move//signs_mov_separ_signers/Liz_2699.mov" TargetMode="External"/><Relationship Id="rId18633" Type="http://schemas.openxmlformats.org/officeDocument/2006/relationships/hyperlink" Target="http://csr.bu.edu/ftp/asl/asllvd/demos/verify_start_end_handshape_annotations//test_auto_move//signs_mov_separ_signers/Brady_2699.mov" TargetMode="External"/><Relationship Id="rId18634" Type="http://schemas.openxmlformats.org/officeDocument/2006/relationships/hyperlink" Target="http://secrets.rutgers.edu:8080/data/asl-ftp/asllvd/demos/verify_start_end_handshape_annotations//test_auto_move//signs_mov_separ_signers/Brady_2699.mov" TargetMode="External"/><Relationship Id="rId18635" Type="http://schemas.openxmlformats.org/officeDocument/2006/relationships/hyperlink" Target="http://csr.bu.edu/ftp/asl/asllvd/demos/verify_start_end_handshape_annotations//test_auto_move//signs_mov_separ_signers/Liz_2701.mov" TargetMode="External"/><Relationship Id="rId18636" Type="http://schemas.openxmlformats.org/officeDocument/2006/relationships/hyperlink" Target="http://secrets.rutgers.edu:8080/data/asl-ftp/asllvd/demos/verify_start_end_handshape_annotations//test_auto_move//signs_mov_separ_signers/Liz_2701.mov" TargetMode="External"/><Relationship Id="rId18637" Type="http://schemas.openxmlformats.org/officeDocument/2006/relationships/hyperlink" Target="http://csr.bu.edu/ftp/asl/asllvd/demos/verify_start_end_handshape_annotations//test_auto_move//signs_mov/2701_16310_merged.mov" TargetMode="External"/><Relationship Id="rId18638" Type="http://schemas.openxmlformats.org/officeDocument/2006/relationships/hyperlink" Target="http://csr.bu.edu/ftp/asl/asllvd/demos/verify_start_end_handshape_annotations//test_auto_move//signs_mov_separ_signers/Brady_2701.mov" TargetMode="External"/><Relationship Id="rId18639" Type="http://schemas.openxmlformats.org/officeDocument/2006/relationships/hyperlink" Target="http://secrets.rutgers.edu:8080/data/asl-ftp/asllvd/demos/verify_start_end_handshape_annotations//test_auto_move//signs_mov/2701_16310_merged.mov" TargetMode="External"/><Relationship Id="rId18640" Type="http://schemas.openxmlformats.org/officeDocument/2006/relationships/hyperlink" Target="http://secrets.rutgers.edu:8080/data/asl-ftp/asllvd/demos/verify_start_end_handshape_annotations//test_auto_move//signs_mov_separ_signers/Brady_2701.mov" TargetMode="External"/><Relationship Id="rId18641" Type="http://schemas.openxmlformats.org/officeDocument/2006/relationships/hyperlink" Target="http://csr.bu.edu/ftp/asl/asllvd/demos/verify_start_end_handshape_annotations//test_auto_move//signs_mov_separ_signers/Brady_16310.mov" TargetMode="External"/><Relationship Id="rId18642" Type="http://schemas.openxmlformats.org/officeDocument/2006/relationships/hyperlink" Target="http://secrets.rutgers.edu:8080/data/asl-ftp/asllvd/demos/verify_start_end_handshape_annotations//test_auto_move//signs_mov_separ_signers/Brady_16310.mov" TargetMode="External"/><Relationship Id="rId18643" Type="http://schemas.openxmlformats.org/officeDocument/2006/relationships/hyperlink" Target="http://csr.bu.edu/ftp/asl/asllvd/demos/verify_start_end_handshape_annotations//test_auto_move//signs_mov/16312.mov" TargetMode="External"/><Relationship Id="rId18644" Type="http://schemas.openxmlformats.org/officeDocument/2006/relationships/hyperlink" Target="http://csr.bu.edu/ftp/asl/asllvd/demos/verify_start_end_handshape_annotations//test_auto_move//signs_mov_separ_signers/Liz_16312.mov" TargetMode="External"/><Relationship Id="rId18645" Type="http://schemas.openxmlformats.org/officeDocument/2006/relationships/hyperlink" Target="http://secrets.rutgers.edu:8080/data/asl-ftp/asllvd/demos/verify_start_end_handshape_annotations//test_auto_move//signs_mov/16312.mov" TargetMode="External"/><Relationship Id="rId18646" Type="http://schemas.openxmlformats.org/officeDocument/2006/relationships/hyperlink" Target="http://secrets.rutgers.edu:8080/data/asl-ftp/asllvd/demos/verify_start_end_handshape_annotations//test_auto_move//signs_mov_separ_signers/Liz_16312.mov" TargetMode="External"/><Relationship Id="rId18647" Type="http://schemas.openxmlformats.org/officeDocument/2006/relationships/hyperlink" Target="http://csr.bu.edu/ftp/asl/asllvd/demos/verify_start_end_handshape_annotations//test_auto_move//signs_mov/2704.mov" TargetMode="External"/><Relationship Id="rId18648" Type="http://schemas.openxmlformats.org/officeDocument/2006/relationships/hyperlink" Target="http://csr.bu.edu/ftp/asl/asllvd/demos/verify_start_end_handshape_annotations//test_auto_move//signs_mov_separ_signers/Liz_2704.mov" TargetMode="External"/><Relationship Id="rId18649" Type="http://schemas.openxmlformats.org/officeDocument/2006/relationships/hyperlink" Target="http://secrets.rutgers.edu:8080/data/asl-ftp/asllvd/demos/verify_start_end_handshape_annotations//test_auto_move//signs_mov/2704.mov" TargetMode="External"/><Relationship Id="rId18650" Type="http://schemas.openxmlformats.org/officeDocument/2006/relationships/hyperlink" Target="http://secrets.rutgers.edu:8080/data/asl-ftp/asllvd/demos/verify_start_end_handshape_annotations//test_auto_move//signs_mov_separ_signers/Liz_2704.mov" TargetMode="External"/><Relationship Id="rId18651" Type="http://schemas.openxmlformats.org/officeDocument/2006/relationships/hyperlink" Target="http://csr.bu.edu/ftp/asl/asllvd/demos/verify_start_end_handshape_annotations//test_auto_move//signs_mov_separ_signers/Brady_2704.mov" TargetMode="External"/><Relationship Id="rId18652" Type="http://schemas.openxmlformats.org/officeDocument/2006/relationships/hyperlink" Target="http://secrets.rutgers.edu:8080/data/asl-ftp/asllvd/demos/verify_start_end_handshape_annotations//test_auto_move//signs_mov_separ_signers/Brady_2704.mov" TargetMode="External"/><Relationship Id="rId18653" Type="http://schemas.openxmlformats.org/officeDocument/2006/relationships/hyperlink" Target="http://csr.bu.edu/ftp/asl/asllvd/demos/verify_start_end_handshape_annotations//test_auto_move//signs_mov/2707.mov" TargetMode="External"/><Relationship Id="rId18654" Type="http://schemas.openxmlformats.org/officeDocument/2006/relationships/hyperlink" Target="http://csr.bu.edu/ftp/asl/asllvd/demos/verify_start_end_handshape_annotations//test_auto_move//signs_mov_separ_signers/Liz_2707.mov" TargetMode="External"/><Relationship Id="rId18655" Type="http://schemas.openxmlformats.org/officeDocument/2006/relationships/hyperlink" Target="http://secrets.rutgers.edu:8080/data/asl-ftp/asllvd/demos/verify_start_end_handshape_annotations//test_auto_move//signs_mov/2707.mov" TargetMode="External"/><Relationship Id="rId18656" Type="http://schemas.openxmlformats.org/officeDocument/2006/relationships/hyperlink" Target="http://secrets.rutgers.edu:8080/data/asl-ftp/asllvd/demos/verify_start_end_handshape_annotations//test_auto_move//signs_mov_separ_signers/Liz_2707.mov" TargetMode="External"/><Relationship Id="rId18657" Type="http://schemas.openxmlformats.org/officeDocument/2006/relationships/hyperlink" Target="http://csr.bu.edu/ftp/asl/asllvd/demos/verify_start_end_handshape_annotations//test_auto_move//signs_mov_separ_signers/Brady_2707.mov" TargetMode="External"/><Relationship Id="rId18658" Type="http://schemas.openxmlformats.org/officeDocument/2006/relationships/hyperlink" Target="http://secrets.rutgers.edu:8080/data/asl-ftp/asllvd/demos/verify_start_end_handshape_annotations//test_auto_move//signs_mov_separ_signers/Brady_2707.mov" TargetMode="External"/><Relationship Id="rId18659" Type="http://schemas.openxmlformats.org/officeDocument/2006/relationships/hyperlink" Target="http://csr.bu.edu/ftp/asl/asllvd/demos/verify_start_end_handshape_annotations//test_auto_move//signs_mov/5526.mov" TargetMode="External"/><Relationship Id="rId18660" Type="http://schemas.openxmlformats.org/officeDocument/2006/relationships/hyperlink" Target="http://csr.bu.edu/ftp/asl/asllvd/demos/verify_start_end_handshape_annotations//test_auto_move//signs_mov_separ_signers/Brady_5526.mov" TargetMode="External"/><Relationship Id="rId18661" Type="http://schemas.openxmlformats.org/officeDocument/2006/relationships/hyperlink" Target="http://secrets.rutgers.edu:8080/data/asl-ftp/asllvd/demos/verify_start_end_handshape_annotations//test_auto_move//signs_mov/5526.mov" TargetMode="External"/><Relationship Id="rId18662" Type="http://schemas.openxmlformats.org/officeDocument/2006/relationships/hyperlink" Target="http://secrets.rutgers.edu:8080/data/asl-ftp/asllvd/demos/verify_start_end_handshape_annotations//test_auto_move//signs_mov_separ_signers/Brady_5526.mov" TargetMode="External"/><Relationship Id="rId18663" Type="http://schemas.openxmlformats.org/officeDocument/2006/relationships/hyperlink" Target="http://csr.bu.edu/ftp/asl/asllvd/demos/verify_start_end_handshape_annotations//test_auto_move//signs_mov/2708.mov" TargetMode="External"/><Relationship Id="rId18664" Type="http://schemas.openxmlformats.org/officeDocument/2006/relationships/hyperlink" Target="http://csr.bu.edu/ftp/asl/asllvd/demos/verify_start_end_handshape_annotations//test_auto_move//signs_mov_separ_signers/Liz_2708.mov" TargetMode="External"/><Relationship Id="rId18665" Type="http://schemas.openxmlformats.org/officeDocument/2006/relationships/hyperlink" Target="http://secrets.rutgers.edu:8080/data/asl-ftp/asllvd/demos/verify_start_end_handshape_annotations//test_auto_move//signs_mov/2708.mov" TargetMode="External"/><Relationship Id="rId18666" Type="http://schemas.openxmlformats.org/officeDocument/2006/relationships/hyperlink" Target="http://secrets.rutgers.edu:8080/data/asl-ftp/asllvd/demos/verify_start_end_handshape_annotations//test_auto_move//signs_mov_separ_signers/Liz_2708.mov" TargetMode="External"/><Relationship Id="rId18667" Type="http://schemas.openxmlformats.org/officeDocument/2006/relationships/hyperlink" Target="http://csr.bu.edu/ftp/asl/asllvd/demos/verify_start_end_handshape_annotations//test_auto_move//signs_mov_separ_signers/Brady_2708.mov" TargetMode="External"/><Relationship Id="rId18668" Type="http://schemas.openxmlformats.org/officeDocument/2006/relationships/hyperlink" Target="http://secrets.rutgers.edu:8080/data/asl-ftp/asllvd/demos/verify_start_end_handshape_annotations//test_auto_move//signs_mov_separ_signers/Brady_2708.mov" TargetMode="External"/><Relationship Id="rId18669" Type="http://schemas.openxmlformats.org/officeDocument/2006/relationships/hyperlink" Target="http://csr.bu.edu/ftp/asl/asllvd/demos/verify_start_end_handshape_annotations//test_auto_move//signs_mov/2719.mov" TargetMode="External"/><Relationship Id="rId18670" Type="http://schemas.openxmlformats.org/officeDocument/2006/relationships/hyperlink" Target="http://csr.bu.edu/ftp/asl/asllvd/demos/verify_start_end_handshape_annotations//test_auto_move//signs_mov_separ_signers/Liz_2719.mov" TargetMode="External"/><Relationship Id="rId18671" Type="http://schemas.openxmlformats.org/officeDocument/2006/relationships/hyperlink" Target="http://secrets.rutgers.edu:8080/data/asl-ftp/asllvd/demos/verify_start_end_handshape_annotations//test_auto_move//signs_mov/2719.mov" TargetMode="External"/><Relationship Id="rId18672" Type="http://schemas.openxmlformats.org/officeDocument/2006/relationships/hyperlink" Target="http://secrets.rutgers.edu:8080/data/asl-ftp/asllvd/demos/verify_start_end_handshape_annotations//test_auto_move//signs_mov_separ_signers/Liz_2719.mov" TargetMode="External"/><Relationship Id="rId18673" Type="http://schemas.openxmlformats.org/officeDocument/2006/relationships/hyperlink" Target="http://csr.bu.edu/ftp/asl/asllvd/demos/verify_start_end_handshape_annotations//test_auto_move//signs_mov_separ_signers/Brady_2719.mov" TargetMode="External"/><Relationship Id="rId18674" Type="http://schemas.openxmlformats.org/officeDocument/2006/relationships/hyperlink" Target="http://secrets.rutgers.edu:8080/data/asl-ftp/asllvd/demos/verify_start_end_handshape_annotations//test_auto_move//signs_mov_separ_signers/Brady_2719.mov" TargetMode="External"/><Relationship Id="rId18675" Type="http://schemas.openxmlformats.org/officeDocument/2006/relationships/hyperlink" Target="http://csr.bu.edu/ftp/asl/asllvd/demos/verify_start_end_handshape_annotations//test_auto_move//signs_mov/2720.mov" TargetMode="External"/><Relationship Id="rId18676" Type="http://schemas.openxmlformats.org/officeDocument/2006/relationships/hyperlink" Target="http://csr.bu.edu/ftp/asl/asllvd/demos/verify_start_end_handshape_annotations//test_auto_move//signs_mov_separ_signers/Liz_2720.mov" TargetMode="External"/><Relationship Id="rId18677" Type="http://schemas.openxmlformats.org/officeDocument/2006/relationships/hyperlink" Target="http://secrets.rutgers.edu:8080/data/asl-ftp/asllvd/demos/verify_start_end_handshape_annotations//test_auto_move//signs_mov/2720.mov" TargetMode="External"/><Relationship Id="rId18678" Type="http://schemas.openxmlformats.org/officeDocument/2006/relationships/hyperlink" Target="http://secrets.rutgers.edu:8080/data/asl-ftp/asllvd/demos/verify_start_end_handshape_annotations//test_auto_move//signs_mov_separ_signers/Liz_2720.mov" TargetMode="External"/><Relationship Id="rId18679" Type="http://schemas.openxmlformats.org/officeDocument/2006/relationships/hyperlink" Target="http://csr.bu.edu/ftp/asl/asllvd/demos/verify_start_end_handshape_annotations//test_auto_move//signs_mov_separ_signers/Brady_2720.mov" TargetMode="External"/><Relationship Id="rId18680" Type="http://schemas.openxmlformats.org/officeDocument/2006/relationships/hyperlink" Target="http://secrets.rutgers.edu:8080/data/asl-ftp/asllvd/demos/verify_start_end_handshape_annotations//test_auto_move//signs_mov_separ_signers/Brady_2720.mov" TargetMode="External"/><Relationship Id="rId18681" Type="http://schemas.openxmlformats.org/officeDocument/2006/relationships/hyperlink" Target="http://csr.bu.edu/ftp/asl/asllvd/demos/verify_start_end_handshape_annotations//test_auto_move//signs_mov_separ_signers/Liz_2721.mov" TargetMode="External"/><Relationship Id="rId18682" Type="http://schemas.openxmlformats.org/officeDocument/2006/relationships/hyperlink" Target="http://secrets.rutgers.edu:8080/data/asl-ftp/asllvd/demos/verify_start_end_handshape_annotations//test_auto_move//signs_mov_separ_signers/Liz_2721.mov" TargetMode="External"/><Relationship Id="rId18683" Type="http://schemas.openxmlformats.org/officeDocument/2006/relationships/hyperlink" Target="http://csr.bu.edu/ftp/asl/asllvd/demos/verify_start_end_handshape_annotations//test_auto_move//signs_mov_separ_signers/Liz_3818.mov" TargetMode="External"/><Relationship Id="rId18684" Type="http://schemas.openxmlformats.org/officeDocument/2006/relationships/hyperlink" Target="http://secrets.rutgers.edu:8080/data/asl-ftp/asllvd/demos/verify_start_end_handshape_annotations//test_auto_move//signs_mov_separ_signers/Liz_3818.mov" TargetMode="External"/><Relationship Id="rId18685" Type="http://schemas.openxmlformats.org/officeDocument/2006/relationships/hyperlink" Target="http://csr.bu.edu/ftp/asl/asllvd/demos/verify_start_end_handshape_annotations//test_auto_move//signs_mov/2721_3818_3819_merged.mov" TargetMode="External"/><Relationship Id="rId18686" Type="http://schemas.openxmlformats.org/officeDocument/2006/relationships/hyperlink" Target="http://csr.bu.edu/ftp/asl/asllvd/demos/verify_start_end_handshape_annotations//test_auto_move//signs_mov_separ_signers/Liz_3819.mov" TargetMode="External"/><Relationship Id="rId18687" Type="http://schemas.openxmlformats.org/officeDocument/2006/relationships/hyperlink" Target="http://secrets.rutgers.edu:8080/data/asl-ftp/asllvd/demos/verify_start_end_handshape_annotations//test_auto_move//signs_mov/2721_3818_3819_merged.mov" TargetMode="External"/><Relationship Id="rId18688" Type="http://schemas.openxmlformats.org/officeDocument/2006/relationships/hyperlink" Target="http://secrets.rutgers.edu:8080/data/asl-ftp/asllvd/demos/verify_start_end_handshape_annotations//test_auto_move//signs_mov_separ_signers/Liz_3819.mov" TargetMode="External"/><Relationship Id="rId18689" Type="http://schemas.openxmlformats.org/officeDocument/2006/relationships/hyperlink" Target="http://csr.bu.edu/ftp/asl/asllvd/demos/verify_start_end_handshape_annotations//test_auto_move//signs_mov_separ_signers/Brady_2721.mov" TargetMode="External"/><Relationship Id="rId18690" Type="http://schemas.openxmlformats.org/officeDocument/2006/relationships/hyperlink" Target="http://secrets.rutgers.edu:8080/data/asl-ftp/asllvd/demos/verify_start_end_handshape_annotations//test_auto_move//signs_mov_separ_signers/Brady_2721.mov" TargetMode="External"/><Relationship Id="rId18691" Type="http://schemas.openxmlformats.org/officeDocument/2006/relationships/hyperlink" Target="http://csr.bu.edu/ftp/asl/asllvd/demos/verify_start_end_handshape_annotations//test_auto_move//signs_mov_separ_signers/Brady_3818.mov" TargetMode="External"/><Relationship Id="rId18692" Type="http://schemas.openxmlformats.org/officeDocument/2006/relationships/hyperlink" Target="http://secrets.rutgers.edu:8080/data/asl-ftp/asllvd/demos/verify_start_end_handshape_annotations//test_auto_move//signs_mov_separ_signers/Brady_3818.mov" TargetMode="External"/><Relationship Id="rId18693" Type="http://schemas.openxmlformats.org/officeDocument/2006/relationships/hyperlink" Target="http://csr.bu.edu/ftp/asl/asllvd/demos/verify_start_end_handshape_annotations//test_auto_move//signs_mov_separ_signers/Brady_3819.mov" TargetMode="External"/><Relationship Id="rId18694" Type="http://schemas.openxmlformats.org/officeDocument/2006/relationships/hyperlink" Target="http://secrets.rutgers.edu:8080/data/asl-ftp/asllvd/demos/verify_start_end_handshape_annotations//test_auto_move//signs_mov_separ_signers/Brady_3819.mov" TargetMode="External"/><Relationship Id="rId18695" Type="http://schemas.openxmlformats.org/officeDocument/2006/relationships/hyperlink" Target="http://csr.bu.edu/ftp/asl/asllvd/demos/verify_start_end_handshape_annotations//test_auto_move//signs_mov/3820.mov" TargetMode="External"/><Relationship Id="rId18696" Type="http://schemas.openxmlformats.org/officeDocument/2006/relationships/hyperlink" Target="http://csr.bu.edu/ftp/asl/asllvd/demos/verify_start_end_handshape_annotations//test_auto_move//signs_mov_separ_signers/Liz_3820.mov" TargetMode="External"/><Relationship Id="rId18697" Type="http://schemas.openxmlformats.org/officeDocument/2006/relationships/hyperlink" Target="http://secrets.rutgers.edu:8080/data/asl-ftp/asllvd/demos/verify_start_end_handshape_annotations//test_auto_move//signs_mov/3820.mov" TargetMode="External"/><Relationship Id="rId18698" Type="http://schemas.openxmlformats.org/officeDocument/2006/relationships/hyperlink" Target="http://secrets.rutgers.edu:8080/data/asl-ftp/asllvd/demos/verify_start_end_handshape_annotations//test_auto_move//signs_mov_separ_signers/Liz_3820.mov" TargetMode="External"/><Relationship Id="rId18699" Type="http://schemas.openxmlformats.org/officeDocument/2006/relationships/hyperlink" Target="http://csr.bu.edu/ftp/asl/asllvd/demos/verify_start_end_handshape_annotations//test_auto_move//signs_mov/2725.mov" TargetMode="External"/><Relationship Id="rId18700" Type="http://schemas.openxmlformats.org/officeDocument/2006/relationships/hyperlink" Target="http://csr.bu.edu/ftp/asl/asllvd/demos/verify_start_end_handshape_annotations//test_auto_move//signs_mov_separ_signers/Liz_2725.mov" TargetMode="External"/><Relationship Id="rId18701" Type="http://schemas.openxmlformats.org/officeDocument/2006/relationships/hyperlink" Target="http://secrets.rutgers.edu:8080/data/asl-ftp/asllvd/demos/verify_start_end_handshape_annotations//test_auto_move//signs_mov/2725.mov" TargetMode="External"/><Relationship Id="rId18702" Type="http://schemas.openxmlformats.org/officeDocument/2006/relationships/hyperlink" Target="http://secrets.rutgers.edu:8080/data/asl-ftp/asllvd/demos/verify_start_end_handshape_annotations//test_auto_move//signs_mov_separ_signers/Liz_2725.mov" TargetMode="External"/><Relationship Id="rId18703" Type="http://schemas.openxmlformats.org/officeDocument/2006/relationships/hyperlink" Target="http://csr.bu.edu/ftp/asl/asllvd/demos/verify_start_end_handshape_annotations//test_auto_move//signs_mov/16479.mov" TargetMode="External"/><Relationship Id="rId18704" Type="http://schemas.openxmlformats.org/officeDocument/2006/relationships/hyperlink" Target="http://csr.bu.edu/ftp/asl/asllvd/demos/verify_start_end_handshape_annotations//test_auto_move//signs_mov_separ_signers/Brady_16479.mov" TargetMode="External"/><Relationship Id="rId18705" Type="http://schemas.openxmlformats.org/officeDocument/2006/relationships/hyperlink" Target="http://secrets.rutgers.edu:8080/data/asl-ftp/asllvd/demos/verify_start_end_handshape_annotations//test_auto_move//signs_mov/16479.mov" TargetMode="External"/><Relationship Id="rId18706" Type="http://schemas.openxmlformats.org/officeDocument/2006/relationships/hyperlink" Target="http://secrets.rutgers.edu:8080/data/asl-ftp/asllvd/demos/verify_start_end_handshape_annotations//test_auto_move//signs_mov_separ_signers/Brady_16479.mov" TargetMode="External"/><Relationship Id="rId18707" Type="http://schemas.openxmlformats.org/officeDocument/2006/relationships/hyperlink" Target="http://csr.bu.edu/ftp/asl/asllvd/demos/verify_start_end_handshape_annotations//test_auto_move//signs_mov/2726.mov" TargetMode="External"/><Relationship Id="rId18708" Type="http://schemas.openxmlformats.org/officeDocument/2006/relationships/hyperlink" Target="http://csr.bu.edu/ftp/asl/asllvd/demos/verify_start_end_handshape_annotations//test_auto_move//signs_mov_separ_signers/Liz_2726.mov" TargetMode="External"/><Relationship Id="rId18709" Type="http://schemas.openxmlformats.org/officeDocument/2006/relationships/hyperlink" Target="http://secrets.rutgers.edu:8080/data/asl-ftp/asllvd/demos/verify_start_end_handshape_annotations//test_auto_move//signs_mov/2726.mov" TargetMode="External"/><Relationship Id="rId18710" Type="http://schemas.openxmlformats.org/officeDocument/2006/relationships/hyperlink" Target="http://secrets.rutgers.edu:8080/data/asl-ftp/asllvd/demos/verify_start_end_handshape_annotations//test_auto_move//signs_mov_separ_signers/Liz_2726.mov" TargetMode="External"/><Relationship Id="rId18711" Type="http://schemas.openxmlformats.org/officeDocument/2006/relationships/hyperlink" Target="http://csr.bu.edu/ftp/asl/asllvd/demos/verify_start_end_handshape_annotations//test_auto_move//signs_mov_separ_signers/Brady_2726.mov" TargetMode="External"/><Relationship Id="rId18712" Type="http://schemas.openxmlformats.org/officeDocument/2006/relationships/hyperlink" Target="http://secrets.rutgers.edu:8080/data/asl-ftp/asllvd/demos/verify_start_end_handshape_annotations//test_auto_move//signs_mov_separ_signers/Brady_2726.mov" TargetMode="External"/><Relationship Id="rId18713" Type="http://schemas.openxmlformats.org/officeDocument/2006/relationships/hyperlink" Target="http://csr.bu.edu/ftp/asl/asllvd/demos/verify_start_end_handshape_annotations//test_auto_move//signs_mov/2727.mov" TargetMode="External"/><Relationship Id="rId18714" Type="http://schemas.openxmlformats.org/officeDocument/2006/relationships/hyperlink" Target="http://csr.bu.edu/ftp/asl/asllvd/demos/verify_start_end_handshape_annotations//test_auto_move//signs_mov_separ_signers/Liz_2727.mov" TargetMode="External"/><Relationship Id="rId18715" Type="http://schemas.openxmlformats.org/officeDocument/2006/relationships/hyperlink" Target="http://secrets.rutgers.edu:8080/data/asl-ftp/asllvd/demos/verify_start_end_handshape_annotations//test_auto_move//signs_mov/2727.mov" TargetMode="External"/><Relationship Id="rId18716" Type="http://schemas.openxmlformats.org/officeDocument/2006/relationships/hyperlink" Target="http://secrets.rutgers.edu:8080/data/asl-ftp/asllvd/demos/verify_start_end_handshape_annotations//test_auto_move//signs_mov_separ_signers/Liz_2727.mov" TargetMode="External"/><Relationship Id="rId18717" Type="http://schemas.openxmlformats.org/officeDocument/2006/relationships/hyperlink" Target="http://csr.bu.edu/ftp/asl/asllvd/demos/verify_start_end_handshape_annotations//test_auto_move//signs_mov_separ_signers/Brady_2727.mov" TargetMode="External"/><Relationship Id="rId18718" Type="http://schemas.openxmlformats.org/officeDocument/2006/relationships/hyperlink" Target="http://secrets.rutgers.edu:8080/data/asl-ftp/asllvd/demos/verify_start_end_handshape_annotations//test_auto_move//signs_mov_separ_signers/Brady_2727.mov" TargetMode="External"/><Relationship Id="rId18719" Type="http://schemas.openxmlformats.org/officeDocument/2006/relationships/hyperlink" Target="http://csr.bu.edu/ftp/asl/asllvd/demos/verify_start_end_handshape_annotations//test_auto_move//signs_mov_separ_signers/Liz_2736.mov" TargetMode="External"/><Relationship Id="rId18720" Type="http://schemas.openxmlformats.org/officeDocument/2006/relationships/hyperlink" Target="http://secrets.rutgers.edu:8080/data/asl-ftp/asllvd/demos/verify_start_end_handshape_annotations//test_auto_move//signs_mov_separ_signers/Liz_2736.mov" TargetMode="External"/><Relationship Id="rId18721" Type="http://schemas.openxmlformats.org/officeDocument/2006/relationships/hyperlink" Target="http://csr.bu.edu/ftp/asl/asllvd/demos/verify_start_end_handshape_annotations//test_auto_move//signs_mov/2736_3805_merged.mov" TargetMode="External"/><Relationship Id="rId18722" Type="http://schemas.openxmlformats.org/officeDocument/2006/relationships/hyperlink" Target="http://csr.bu.edu/ftp/asl/asllvd/demos/verify_start_end_handshape_annotations//test_auto_move//signs_mov_separ_signers/Liz_3805.mov" TargetMode="External"/><Relationship Id="rId18723" Type="http://schemas.openxmlformats.org/officeDocument/2006/relationships/hyperlink" Target="http://secrets.rutgers.edu:8080/data/asl-ftp/asllvd/demos/verify_start_end_handshape_annotations//test_auto_move//signs_mov/2736_3805_merged.mov" TargetMode="External"/><Relationship Id="rId18724" Type="http://schemas.openxmlformats.org/officeDocument/2006/relationships/hyperlink" Target="http://secrets.rutgers.edu:8080/data/asl-ftp/asllvd/demos/verify_start_end_handshape_annotations//test_auto_move//signs_mov_separ_signers/Liz_3805.mov" TargetMode="External"/><Relationship Id="rId18725" Type="http://schemas.openxmlformats.org/officeDocument/2006/relationships/hyperlink" Target="http://csr.bu.edu/ftp/asl/asllvd/demos/verify_start_end_handshape_annotations//test_auto_move//signs_mov_separ_signers/Brady_2736.mov" TargetMode="External"/><Relationship Id="rId18726" Type="http://schemas.openxmlformats.org/officeDocument/2006/relationships/hyperlink" Target="http://secrets.rutgers.edu:8080/data/asl-ftp/asllvd/demos/verify_start_end_handshape_annotations//test_auto_move//signs_mov_separ_signers/Brady_2736.mov" TargetMode="External"/><Relationship Id="rId18727" Type="http://schemas.openxmlformats.org/officeDocument/2006/relationships/hyperlink" Target="http://csr.bu.edu/ftp/asl/asllvd/demos/verify_start_end_handshape_annotations//test_auto_move//signs_mov_separ_signers/Brady_3805.mov" TargetMode="External"/><Relationship Id="rId18728" Type="http://schemas.openxmlformats.org/officeDocument/2006/relationships/hyperlink" Target="http://secrets.rutgers.edu:8080/data/asl-ftp/asllvd/demos/verify_start_end_handshape_annotations//test_auto_move//signs_mov_separ_signers/Brady_3805.mov" TargetMode="External"/><Relationship Id="rId18729" Type="http://schemas.openxmlformats.org/officeDocument/2006/relationships/hyperlink" Target="http://csr.bu.edu/ftp/asl/asllvd/demos/verify_start_end_handshape_annotations//test_auto_move//signs_mov_separ_signers/Liz_2738.mov" TargetMode="External"/><Relationship Id="rId18730" Type="http://schemas.openxmlformats.org/officeDocument/2006/relationships/hyperlink" Target="http://secrets.rutgers.edu:8080/data/asl-ftp/asllvd/demos/verify_start_end_handshape_annotations//test_auto_move//signs_mov_separ_signers/Liz_2738.mov" TargetMode="External"/><Relationship Id="rId18731" Type="http://schemas.openxmlformats.org/officeDocument/2006/relationships/hyperlink" Target="http://csr.bu.edu/ftp/asl/asllvd/demos/verify_start_end_handshape_annotations//test_auto_move//signs_mov/2738.mov" TargetMode="External"/><Relationship Id="rId18732" Type="http://schemas.openxmlformats.org/officeDocument/2006/relationships/hyperlink" Target="http://csr.bu.edu/ftp/asl/asllvd/demos/verify_start_end_handshape_annotations//test_auto_move//signs_mov_separ_signers/Brady_2738.mov" TargetMode="External"/><Relationship Id="rId18733" Type="http://schemas.openxmlformats.org/officeDocument/2006/relationships/hyperlink" Target="http://secrets.rutgers.edu:8080/data/asl-ftp/asllvd/demos/verify_start_end_handshape_annotations//test_auto_move//signs_mov/2738.mov" TargetMode="External"/><Relationship Id="rId18734" Type="http://schemas.openxmlformats.org/officeDocument/2006/relationships/hyperlink" Target="http://secrets.rutgers.edu:8080/data/asl-ftp/asllvd/demos/verify_start_end_handshape_annotations//test_auto_move//signs_mov_separ_signers/Brady_2738.mov" TargetMode="External"/><Relationship Id="rId18735" Type="http://schemas.openxmlformats.org/officeDocument/2006/relationships/hyperlink" Target="http://csr.bu.edu/ftp/asl/asllvd/demos/verify_start_end_handshape_annotations//test_auto_move//signs_mov_separ_signers/Lana_2738.mov" TargetMode="External"/><Relationship Id="rId18736" Type="http://schemas.openxmlformats.org/officeDocument/2006/relationships/hyperlink" Target="http://secrets.rutgers.edu:8080/data/asl-ftp/asllvd/demos/verify_start_end_handshape_annotations//test_auto_move//signs_mov_separ_signers/Lana_2738.mov" TargetMode="External"/><Relationship Id="rId18737" Type="http://schemas.openxmlformats.org/officeDocument/2006/relationships/hyperlink" Target="http://csr.bu.edu/ftp/asl/asllvd/demos/verify_start_end_handshape_annotations//test_auto_move//signs_mov_separ_signers/Dana_2738.mov" TargetMode="External"/><Relationship Id="rId18738" Type="http://schemas.openxmlformats.org/officeDocument/2006/relationships/hyperlink" Target="http://secrets.rutgers.edu:8080/data/asl-ftp/asllvd/demos/verify_start_end_handshape_annotations//test_auto_move//signs_mov_separ_signers/Dana_2738.mov" TargetMode="External"/><Relationship Id="rId18739" Type="http://schemas.openxmlformats.org/officeDocument/2006/relationships/hyperlink" Target="http://csr.bu.edu/ftp/asl/asllvd/demos/verify_start_end_handshape_annotations//test_auto_move//signs_mov/2739.mov" TargetMode="External"/><Relationship Id="rId18740" Type="http://schemas.openxmlformats.org/officeDocument/2006/relationships/hyperlink" Target="http://csr.bu.edu/ftp/asl/asllvd/demos/verify_start_end_handshape_annotations//test_auto_move//signs_mov_separ_signers/Liz_2739.mov" TargetMode="External"/><Relationship Id="rId18741" Type="http://schemas.openxmlformats.org/officeDocument/2006/relationships/hyperlink" Target="http://secrets.rutgers.edu:8080/data/asl-ftp/asllvd/demos/verify_start_end_handshape_annotations//test_auto_move//signs_mov/2739.mov" TargetMode="External"/><Relationship Id="rId18742" Type="http://schemas.openxmlformats.org/officeDocument/2006/relationships/hyperlink" Target="http://secrets.rutgers.edu:8080/data/asl-ftp/asllvd/demos/verify_start_end_handshape_annotations//test_auto_move//signs_mov_separ_signers/Liz_2739.mov" TargetMode="External"/><Relationship Id="rId18743" Type="http://schemas.openxmlformats.org/officeDocument/2006/relationships/hyperlink" Target="http://csr.bu.edu/ftp/asl/asllvd/demos/verify_start_end_handshape_annotations//test_auto_move//signs_mov_separ_signers/Brady_2739.mov" TargetMode="External"/><Relationship Id="rId18744" Type="http://schemas.openxmlformats.org/officeDocument/2006/relationships/hyperlink" Target="http://secrets.rutgers.edu:8080/data/asl-ftp/asllvd/demos/verify_start_end_handshape_annotations//test_auto_move//signs_mov_separ_signers/Brady_2739.mov" TargetMode="External"/><Relationship Id="rId18745" Type="http://schemas.openxmlformats.org/officeDocument/2006/relationships/hyperlink" Target="http://csr.bu.edu/ftp/asl/asllvd/demos/verify_start_end_handshape_annotations//test_auto_move//signs_mov/2745.mov" TargetMode="External"/><Relationship Id="rId18746" Type="http://schemas.openxmlformats.org/officeDocument/2006/relationships/hyperlink" Target="http://csr.bu.edu/ftp/asl/asllvd/demos/verify_start_end_handshape_annotations//test_auto_move//signs_mov_separ_signers/Liz_2745.mov" TargetMode="External"/><Relationship Id="rId18747" Type="http://schemas.openxmlformats.org/officeDocument/2006/relationships/hyperlink" Target="http://secrets.rutgers.edu:8080/data/asl-ftp/asllvd/demos/verify_start_end_handshape_annotations//test_auto_move//signs_mov/2745.mov" TargetMode="External"/><Relationship Id="rId18748" Type="http://schemas.openxmlformats.org/officeDocument/2006/relationships/hyperlink" Target="http://secrets.rutgers.edu:8080/data/asl-ftp/asllvd/demos/verify_start_end_handshape_annotations//test_auto_move//signs_mov_separ_signers/Liz_2745.mov" TargetMode="External"/><Relationship Id="rId18749" Type="http://schemas.openxmlformats.org/officeDocument/2006/relationships/hyperlink" Target="http://csr.bu.edu/ftp/asl/asllvd/demos/verify_start_end_handshape_annotations//test_auto_move//signs_mov_separ_signers/Brady_2745.mov" TargetMode="External"/><Relationship Id="rId18750" Type="http://schemas.openxmlformats.org/officeDocument/2006/relationships/hyperlink" Target="http://secrets.rutgers.edu:8080/data/asl-ftp/asllvd/demos/verify_start_end_handshape_annotations//test_auto_move//signs_mov_separ_signers/Brady_2745.mov" TargetMode="External"/><Relationship Id="rId18751" Type="http://schemas.openxmlformats.org/officeDocument/2006/relationships/hyperlink" Target="http://csr.bu.edu/ftp/asl/asllvd/demos/verify_start_end_handshape_annotations//test_auto_move//signs_mov/2748.mov" TargetMode="External"/><Relationship Id="rId18752" Type="http://schemas.openxmlformats.org/officeDocument/2006/relationships/hyperlink" Target="http://csr.bu.edu/ftp/asl/asllvd/demos/verify_start_end_handshape_annotations//test_auto_move//signs_mov_separ_signers/Liz_2748.mov" TargetMode="External"/><Relationship Id="rId18753" Type="http://schemas.openxmlformats.org/officeDocument/2006/relationships/hyperlink" Target="http://secrets.rutgers.edu:8080/data/asl-ftp/asllvd/demos/verify_start_end_handshape_annotations//test_auto_move//signs_mov/2748.mov" TargetMode="External"/><Relationship Id="rId18754" Type="http://schemas.openxmlformats.org/officeDocument/2006/relationships/hyperlink" Target="http://secrets.rutgers.edu:8080/data/asl-ftp/asllvd/demos/verify_start_end_handshape_annotations//test_auto_move//signs_mov_separ_signers/Liz_2748.mov" TargetMode="External"/><Relationship Id="rId18755" Type="http://schemas.openxmlformats.org/officeDocument/2006/relationships/hyperlink" Target="http://csr.bu.edu/ftp/asl/asllvd/demos/verify_start_end_handshape_annotations//test_auto_move//signs_mov_separ_signers/Brady_2748.mov" TargetMode="External"/><Relationship Id="rId18756" Type="http://schemas.openxmlformats.org/officeDocument/2006/relationships/hyperlink" Target="http://secrets.rutgers.edu:8080/data/asl-ftp/asllvd/demos/verify_start_end_handshape_annotations//test_auto_move//signs_mov_separ_signers/Brady_2748.mov" TargetMode="External"/><Relationship Id="rId18757" Type="http://schemas.openxmlformats.org/officeDocument/2006/relationships/hyperlink" Target="http://csr.bu.edu/ftp/asl/asllvd/demos/verify_start_end_handshape_annotations//test_auto_move//signs_mov_separ_signers/Liz_2750.mov" TargetMode="External"/><Relationship Id="rId18758" Type="http://schemas.openxmlformats.org/officeDocument/2006/relationships/hyperlink" Target="http://secrets.rutgers.edu:8080/data/asl-ftp/asllvd/demos/verify_start_end_handshape_annotations//test_auto_move//signs_mov_separ_signers/Liz_2750.mov" TargetMode="External"/><Relationship Id="rId18759" Type="http://schemas.openxmlformats.org/officeDocument/2006/relationships/hyperlink" Target="http://csr.bu.edu/ftp/asl/asllvd/demos/verify_start_end_handshape_annotations//test_auto_move//signs_mov/2750_5817_merged.mov" TargetMode="External"/><Relationship Id="rId18760" Type="http://schemas.openxmlformats.org/officeDocument/2006/relationships/hyperlink" Target="http://csr.bu.edu/ftp/asl/asllvd/demos/verify_start_end_handshape_annotations//test_auto_move//signs_mov_separ_signers/Brady_2750.mov" TargetMode="External"/><Relationship Id="rId18761" Type="http://schemas.openxmlformats.org/officeDocument/2006/relationships/hyperlink" Target="http://secrets.rutgers.edu:8080/data/asl-ftp/asllvd/demos/verify_start_end_handshape_annotations//test_auto_move//signs_mov/2750_5817_merged.mov" TargetMode="External"/><Relationship Id="rId18762" Type="http://schemas.openxmlformats.org/officeDocument/2006/relationships/hyperlink" Target="http://secrets.rutgers.edu:8080/data/asl-ftp/asllvd/demos/verify_start_end_handshape_annotations//test_auto_move//signs_mov_separ_signers/Brady_2750.mov" TargetMode="External"/><Relationship Id="rId18763" Type="http://schemas.openxmlformats.org/officeDocument/2006/relationships/hyperlink" Target="http://csr.bu.edu/ftp/asl/asllvd/demos/verify_start_end_handshape_annotations//test_auto_move//signs_mov_separ_signers/Brady_5817.mov" TargetMode="External"/><Relationship Id="rId18764" Type="http://schemas.openxmlformats.org/officeDocument/2006/relationships/hyperlink" Target="http://secrets.rutgers.edu:8080/data/asl-ftp/asllvd/demos/verify_start_end_handshape_annotations//test_auto_move//signs_mov_separ_signers/Brady_5817.mov" TargetMode="External"/><Relationship Id="rId18765" Type="http://schemas.openxmlformats.org/officeDocument/2006/relationships/hyperlink" Target="http://csr.bu.edu/ftp/asl/asllvd/demos/verify_start_end_handshape_annotations//test_auto_move//signs_mov/2752.mov" TargetMode="External"/><Relationship Id="rId18766" Type="http://schemas.openxmlformats.org/officeDocument/2006/relationships/hyperlink" Target="http://csr.bu.edu/ftp/asl/asllvd/demos/verify_start_end_handshape_annotations//test_auto_move//signs_mov_separ_signers/Liz_2752.mov" TargetMode="External"/><Relationship Id="rId18767" Type="http://schemas.openxmlformats.org/officeDocument/2006/relationships/hyperlink" Target="http://secrets.rutgers.edu:8080/data/asl-ftp/asllvd/demos/verify_start_end_handshape_annotations//test_auto_move//signs_mov/2752.mov" TargetMode="External"/><Relationship Id="rId18768" Type="http://schemas.openxmlformats.org/officeDocument/2006/relationships/hyperlink" Target="http://secrets.rutgers.edu:8080/data/asl-ftp/asllvd/demos/verify_start_end_handshape_annotations//test_auto_move//signs_mov_separ_signers/Liz_2752.mov" TargetMode="External"/><Relationship Id="rId18769" Type="http://schemas.openxmlformats.org/officeDocument/2006/relationships/hyperlink" Target="http://csr.bu.edu/ftp/asl/asllvd/demos/verify_start_end_handshape_annotations//test_auto_move//signs_mov_separ_signers/Brady_2752.mov" TargetMode="External"/><Relationship Id="rId18770" Type="http://schemas.openxmlformats.org/officeDocument/2006/relationships/hyperlink" Target="http://secrets.rutgers.edu:8080/data/asl-ftp/asllvd/demos/verify_start_end_handshape_annotations//test_auto_move//signs_mov_separ_signers/Brady_2752.mov" TargetMode="External"/><Relationship Id="rId18771" Type="http://schemas.openxmlformats.org/officeDocument/2006/relationships/hyperlink" Target="http://csr.bu.edu/ftp/asl/asllvd/demos/verify_start_end_handshape_annotations//test_auto_move//signs_mov/2755.mov" TargetMode="External"/><Relationship Id="rId18772" Type="http://schemas.openxmlformats.org/officeDocument/2006/relationships/hyperlink" Target="http://csr.bu.edu/ftp/asl/asllvd/demos/verify_start_end_handshape_annotations//test_auto_move//signs_mov_separ_signers/Liz_2755.mov" TargetMode="External"/><Relationship Id="rId18773" Type="http://schemas.openxmlformats.org/officeDocument/2006/relationships/hyperlink" Target="http://secrets.rutgers.edu:8080/data/asl-ftp/asllvd/demos/verify_start_end_handshape_annotations//test_auto_move//signs_mov/2755.mov" TargetMode="External"/><Relationship Id="rId18774" Type="http://schemas.openxmlformats.org/officeDocument/2006/relationships/hyperlink" Target="http://secrets.rutgers.edu:8080/data/asl-ftp/asllvd/demos/verify_start_end_handshape_annotations//test_auto_move//signs_mov_separ_signers/Liz_2755.mov" TargetMode="External"/><Relationship Id="rId18775" Type="http://schemas.openxmlformats.org/officeDocument/2006/relationships/hyperlink" Target="http://csr.bu.edu/ftp/asl/asllvd/demos/verify_start_end_handshape_annotations//test_auto_move//signs_mov_separ_signers/Brady_2755.mov" TargetMode="External"/><Relationship Id="rId18776" Type="http://schemas.openxmlformats.org/officeDocument/2006/relationships/hyperlink" Target="http://secrets.rutgers.edu:8080/data/asl-ftp/asllvd/demos/verify_start_end_handshape_annotations//test_auto_move//signs_mov_separ_signers/Brady_2755.mov" TargetMode="External"/><Relationship Id="rId18777" Type="http://schemas.openxmlformats.org/officeDocument/2006/relationships/hyperlink" Target="http://csr.bu.edu/ftp/asl/asllvd/demos/verify_start_end_handshape_annotations//test_auto_move//signs_mov/2756.mov" TargetMode="External"/><Relationship Id="rId18778" Type="http://schemas.openxmlformats.org/officeDocument/2006/relationships/hyperlink" Target="http://csr.bu.edu/ftp/asl/asllvd/demos/verify_start_end_handshape_annotations//test_auto_move//signs_mov_separ_signers/Liz_2756.mov" TargetMode="External"/><Relationship Id="rId18779" Type="http://schemas.openxmlformats.org/officeDocument/2006/relationships/hyperlink" Target="http://secrets.rutgers.edu:8080/data/asl-ftp/asllvd/demos/verify_start_end_handshape_annotations//test_auto_move//signs_mov/2756.mov" TargetMode="External"/><Relationship Id="rId18780" Type="http://schemas.openxmlformats.org/officeDocument/2006/relationships/hyperlink" Target="http://secrets.rutgers.edu:8080/data/asl-ftp/asllvd/demos/verify_start_end_handshape_annotations//test_auto_move//signs_mov_separ_signers/Liz_2756.mov" TargetMode="External"/><Relationship Id="rId18781" Type="http://schemas.openxmlformats.org/officeDocument/2006/relationships/hyperlink" Target="http://csr.bu.edu/ftp/asl/asllvd/demos/verify_start_end_handshape_annotations//test_auto_move//signs_mov_separ_signers/Brady_2756.mov" TargetMode="External"/><Relationship Id="rId18782" Type="http://schemas.openxmlformats.org/officeDocument/2006/relationships/hyperlink" Target="http://secrets.rutgers.edu:8080/data/asl-ftp/asllvd/demos/verify_start_end_handshape_annotations//test_auto_move//signs_mov_separ_signers/Brady_2756.mov" TargetMode="External"/><Relationship Id="rId18783" Type="http://schemas.openxmlformats.org/officeDocument/2006/relationships/hyperlink" Target="http://csr.bu.edu/ftp/asl/asllvd/demos/verify_start_end_handshape_annotations//test_auto_move//signs_mov/3807.mov" TargetMode="External"/><Relationship Id="rId18784" Type="http://schemas.openxmlformats.org/officeDocument/2006/relationships/hyperlink" Target="http://csr.bu.edu/ftp/asl/asllvd/demos/verify_start_end_handshape_annotations//test_auto_move//signs_mov_separ_signers/Liz_3807.mov" TargetMode="External"/><Relationship Id="rId18785" Type="http://schemas.openxmlformats.org/officeDocument/2006/relationships/hyperlink" Target="http://secrets.rutgers.edu:8080/data/asl-ftp/asllvd/demos/verify_start_end_handshape_annotations//test_auto_move//signs_mov/3807.mov" TargetMode="External"/><Relationship Id="rId18786" Type="http://schemas.openxmlformats.org/officeDocument/2006/relationships/hyperlink" Target="http://secrets.rutgers.edu:8080/data/asl-ftp/asllvd/demos/verify_start_end_handshape_annotations//test_auto_move//signs_mov_separ_signers/Liz_3807.mov" TargetMode="External"/><Relationship Id="rId18787" Type="http://schemas.openxmlformats.org/officeDocument/2006/relationships/hyperlink" Target="http://csr.bu.edu/ftp/asl/asllvd/demos/verify_start_end_handshape_annotations//test_auto_move//signs_mov_separ_signers/Brady_3807.mov" TargetMode="External"/><Relationship Id="rId18788" Type="http://schemas.openxmlformats.org/officeDocument/2006/relationships/hyperlink" Target="http://secrets.rutgers.edu:8080/data/asl-ftp/asllvd/demos/verify_start_end_handshape_annotations//test_auto_move//signs_mov_separ_signers/Brady_3807.mov" TargetMode="External"/><Relationship Id="rId18789" Type="http://schemas.openxmlformats.org/officeDocument/2006/relationships/hyperlink" Target="http://csr.bu.edu/ftp/asl/asllvd/demos/verify_start_end_handshape_annotations//test_auto_move//signs_mov/2759.mov" TargetMode="External"/><Relationship Id="rId18790" Type="http://schemas.openxmlformats.org/officeDocument/2006/relationships/hyperlink" Target="http://csr.bu.edu/ftp/asl/asllvd/demos/verify_start_end_handshape_annotations//test_auto_move//signs_mov_separ_signers/Brady_2759.mov" TargetMode="External"/><Relationship Id="rId18791" Type="http://schemas.openxmlformats.org/officeDocument/2006/relationships/hyperlink" Target="http://secrets.rutgers.edu:8080/data/asl-ftp/asllvd/demos/verify_start_end_handshape_annotations//test_auto_move//signs_mov/2759.mov" TargetMode="External"/><Relationship Id="rId18792" Type="http://schemas.openxmlformats.org/officeDocument/2006/relationships/hyperlink" Target="http://secrets.rutgers.edu:8080/data/asl-ftp/asllvd/demos/verify_start_end_handshape_annotations//test_auto_move//signs_mov_separ_signers/Brady_2759.mov" TargetMode="External"/><Relationship Id="rId18793" Type="http://schemas.openxmlformats.org/officeDocument/2006/relationships/hyperlink" Target="http://csr.bu.edu/ftp/asl/asllvd/demos/verify_start_end_handshape_annotations//test_auto_move//signs_mov/16503.mov" TargetMode="External"/><Relationship Id="rId18794" Type="http://schemas.openxmlformats.org/officeDocument/2006/relationships/hyperlink" Target="http://csr.bu.edu/ftp/asl/asllvd/demos/verify_start_end_handshape_annotations//test_auto_move//signs_mov_separ_signers/Liz_16503.mov" TargetMode="External"/><Relationship Id="rId18795" Type="http://schemas.openxmlformats.org/officeDocument/2006/relationships/hyperlink" Target="http://secrets.rutgers.edu:8080/data/asl-ftp/asllvd/demos/verify_start_end_handshape_annotations//test_auto_move//signs_mov/16503.mov" TargetMode="External"/><Relationship Id="rId18796" Type="http://schemas.openxmlformats.org/officeDocument/2006/relationships/hyperlink" Target="http://secrets.rutgers.edu:8080/data/asl-ftp/asllvd/demos/verify_start_end_handshape_annotations//test_auto_move//signs_mov_separ_signers/Liz_16503.mov" TargetMode="External"/><Relationship Id="rId18797" Type="http://schemas.openxmlformats.org/officeDocument/2006/relationships/hyperlink" Target="http://csr.bu.edu/ftp/asl/asllvd/demos/verify_start_end_handshape_annotations//test_auto_move//signs_mov/2760.mov" TargetMode="External"/><Relationship Id="rId18798" Type="http://schemas.openxmlformats.org/officeDocument/2006/relationships/hyperlink" Target="http://csr.bu.edu/ftp/asl/asllvd/demos/verify_start_end_handshape_annotations//test_auto_move//signs_mov_separ_signers/Liz_2760.mov" TargetMode="External"/><Relationship Id="rId18799" Type="http://schemas.openxmlformats.org/officeDocument/2006/relationships/hyperlink" Target="http://secrets.rutgers.edu:8080/data/asl-ftp/asllvd/demos/verify_start_end_handshape_annotations//test_auto_move//signs_mov/2760.mov" TargetMode="External"/><Relationship Id="rId18800" Type="http://schemas.openxmlformats.org/officeDocument/2006/relationships/hyperlink" Target="http://secrets.rutgers.edu:8080/data/asl-ftp/asllvd/demos/verify_start_end_handshape_annotations//test_auto_move//signs_mov_separ_signers/Liz_2760.mov" TargetMode="External"/><Relationship Id="rId18801" Type="http://schemas.openxmlformats.org/officeDocument/2006/relationships/hyperlink" Target="http://csr.bu.edu/ftp/asl/asllvd/demos/verify_start_end_handshape_annotations//test_auto_move//signs_mov_separ_signers/Brady_2760.mov" TargetMode="External"/><Relationship Id="rId18802" Type="http://schemas.openxmlformats.org/officeDocument/2006/relationships/hyperlink" Target="http://secrets.rutgers.edu:8080/data/asl-ftp/asllvd/demos/verify_start_end_handshape_annotations//test_auto_move//signs_mov_separ_signers/Brady_2760.mov" TargetMode="External"/><Relationship Id="rId18803" Type="http://schemas.openxmlformats.org/officeDocument/2006/relationships/hyperlink" Target="http://csr.bu.edu/ftp/asl/asllvd/demos/verify_start_end_handshape_annotations//test_auto_move//signs_mov/15945.mov" TargetMode="External"/><Relationship Id="rId18804" Type="http://schemas.openxmlformats.org/officeDocument/2006/relationships/hyperlink" Target="http://csr.bu.edu/ftp/asl/asllvd/demos/verify_start_end_handshape_annotations//test_auto_move//signs_mov_separ_signers/Liz_15945.mov" TargetMode="External"/><Relationship Id="rId18805" Type="http://schemas.openxmlformats.org/officeDocument/2006/relationships/hyperlink" Target="http://secrets.rutgers.edu:8080/data/asl-ftp/asllvd/demos/verify_start_end_handshape_annotations//test_auto_move//signs_mov/15945.mov" TargetMode="External"/><Relationship Id="rId18806" Type="http://schemas.openxmlformats.org/officeDocument/2006/relationships/hyperlink" Target="http://secrets.rutgers.edu:8080/data/asl-ftp/asllvd/demos/verify_start_end_handshape_annotations//test_auto_move//signs_mov_separ_signers/Liz_15945.mov" TargetMode="External"/><Relationship Id="rId18807" Type="http://schemas.openxmlformats.org/officeDocument/2006/relationships/hyperlink" Target="http://csr.bu.edu/ftp/asl/asllvd/demos/verify_start_end_handshape_annotations//test_auto_move//signs_mov/16119.mov" TargetMode="External"/><Relationship Id="rId18808" Type="http://schemas.openxmlformats.org/officeDocument/2006/relationships/hyperlink" Target="http://csr.bu.edu/ftp/asl/asllvd/demos/verify_start_end_handshape_annotations//test_auto_move//signs_mov_separ_signers/Brady_16119.mov" TargetMode="External"/><Relationship Id="rId18809" Type="http://schemas.openxmlformats.org/officeDocument/2006/relationships/hyperlink" Target="http://secrets.rutgers.edu:8080/data/asl-ftp/asllvd/demos/verify_start_end_handshape_annotations//test_auto_move//signs_mov/16119.mov" TargetMode="External"/><Relationship Id="rId18810" Type="http://schemas.openxmlformats.org/officeDocument/2006/relationships/hyperlink" Target="http://secrets.rutgers.edu:8080/data/asl-ftp/asllvd/demos/verify_start_end_handshape_annotations//test_auto_move//signs_mov_separ_signers/Brady_16119.mov" TargetMode="External"/><Relationship Id="rId18811" Type="http://schemas.openxmlformats.org/officeDocument/2006/relationships/hyperlink" Target="http://csr.bu.edu/ftp/asl/asllvd/demos/verify_start_end_handshape_annotations//test_auto_move//signs_mov/2764.mov" TargetMode="External"/><Relationship Id="rId18812" Type="http://schemas.openxmlformats.org/officeDocument/2006/relationships/hyperlink" Target="http://csr.bu.edu/ftp/asl/asllvd/demos/verify_start_end_handshape_annotations//test_auto_move//signs_mov_separ_signers/Liz_2764.mov" TargetMode="External"/><Relationship Id="rId18813" Type="http://schemas.openxmlformats.org/officeDocument/2006/relationships/hyperlink" Target="http://secrets.rutgers.edu:8080/data/asl-ftp/asllvd/demos/verify_start_end_handshape_annotations//test_auto_move//signs_mov/2764.mov" TargetMode="External"/><Relationship Id="rId18814" Type="http://schemas.openxmlformats.org/officeDocument/2006/relationships/hyperlink" Target="http://secrets.rutgers.edu:8080/data/asl-ftp/asllvd/demos/verify_start_end_handshape_annotations//test_auto_move//signs_mov_separ_signers/Liz_2764.mov" TargetMode="External"/><Relationship Id="rId18815" Type="http://schemas.openxmlformats.org/officeDocument/2006/relationships/hyperlink" Target="http://csr.bu.edu/ftp/asl/asllvd/demos/verify_start_end_handshape_annotations//test_auto_move//signs_mov_separ_signers/Brady_2764.mov" TargetMode="External"/><Relationship Id="rId18816" Type="http://schemas.openxmlformats.org/officeDocument/2006/relationships/hyperlink" Target="http://secrets.rutgers.edu:8080/data/asl-ftp/asllvd/demos/verify_start_end_handshape_annotations//test_auto_move//signs_mov_separ_signers/Brady_2764.mov" TargetMode="External"/><Relationship Id="rId18817" Type="http://schemas.openxmlformats.org/officeDocument/2006/relationships/hyperlink" Target="http://csr.bu.edu/ftp/asl/asllvd/demos/verify_start_end_handshape_annotations//test_auto_move//signs_mov/2767.mov" TargetMode="External"/><Relationship Id="rId18818" Type="http://schemas.openxmlformats.org/officeDocument/2006/relationships/hyperlink" Target="http://csr.bu.edu/ftp/asl/asllvd/demos/verify_start_end_handshape_annotations//test_auto_move//signs_mov_separ_signers/Liz_2767.mov" TargetMode="External"/><Relationship Id="rId18819" Type="http://schemas.openxmlformats.org/officeDocument/2006/relationships/hyperlink" Target="http://secrets.rutgers.edu:8080/data/asl-ftp/asllvd/demos/verify_start_end_handshape_annotations//test_auto_move//signs_mov/2767.mov" TargetMode="External"/><Relationship Id="rId18820" Type="http://schemas.openxmlformats.org/officeDocument/2006/relationships/hyperlink" Target="http://secrets.rutgers.edu:8080/data/asl-ftp/asllvd/demos/verify_start_end_handshape_annotations//test_auto_move//signs_mov_separ_signers/Liz_2767.mov" TargetMode="External"/><Relationship Id="rId18821" Type="http://schemas.openxmlformats.org/officeDocument/2006/relationships/hyperlink" Target="http://csr.bu.edu/ftp/asl/asllvd/demos/verify_start_end_handshape_annotations//test_auto_move//signs_mov_separ_signers/Brady_2767.mov" TargetMode="External"/><Relationship Id="rId18822" Type="http://schemas.openxmlformats.org/officeDocument/2006/relationships/hyperlink" Target="http://secrets.rutgers.edu:8080/data/asl-ftp/asllvd/demos/verify_start_end_handshape_annotations//test_auto_move//signs_mov_separ_signers/Brady_2767.mov" TargetMode="External"/><Relationship Id="rId18823" Type="http://schemas.openxmlformats.org/officeDocument/2006/relationships/hyperlink" Target="http://csr.bu.edu/ftp/asl/asllvd/demos/verify_start_end_handshape_annotations//test_auto_move//signs_mov/2768.mov" TargetMode="External"/><Relationship Id="rId18824" Type="http://schemas.openxmlformats.org/officeDocument/2006/relationships/hyperlink" Target="http://csr.bu.edu/ftp/asl/asllvd/demos/verify_start_end_handshape_annotations//test_auto_move//signs_mov_separ_signers/Liz_2768.mov" TargetMode="External"/><Relationship Id="rId18825" Type="http://schemas.openxmlformats.org/officeDocument/2006/relationships/hyperlink" Target="http://secrets.rutgers.edu:8080/data/asl-ftp/asllvd/demos/verify_start_end_handshape_annotations//test_auto_move//signs_mov/2768.mov" TargetMode="External"/><Relationship Id="rId18826" Type="http://schemas.openxmlformats.org/officeDocument/2006/relationships/hyperlink" Target="http://secrets.rutgers.edu:8080/data/asl-ftp/asllvd/demos/verify_start_end_handshape_annotations//test_auto_move//signs_mov_separ_signers/Liz_2768.mov" TargetMode="External"/><Relationship Id="rId18827" Type="http://schemas.openxmlformats.org/officeDocument/2006/relationships/hyperlink" Target="http://csr.bu.edu/ftp/asl/asllvd/demos/verify_start_end_handshape_annotations//test_auto_move//signs_mov_separ_signers/Brady_2768.mov" TargetMode="External"/><Relationship Id="rId18828" Type="http://schemas.openxmlformats.org/officeDocument/2006/relationships/hyperlink" Target="http://secrets.rutgers.edu:8080/data/asl-ftp/asllvd/demos/verify_start_end_handshape_annotations//test_auto_move//signs_mov_separ_signers/Brady_2768.mov" TargetMode="External"/><Relationship Id="rId18829" Type="http://schemas.openxmlformats.org/officeDocument/2006/relationships/hyperlink" Target="http://csr.bu.edu/ftp/asl/asllvd/demos/verify_start_end_handshape_annotations//test_auto_move//signs_mov/2769.mov" TargetMode="External"/><Relationship Id="rId18830" Type="http://schemas.openxmlformats.org/officeDocument/2006/relationships/hyperlink" Target="http://csr.bu.edu/ftp/asl/asllvd/demos/verify_start_end_handshape_annotations//test_auto_move//signs_mov_separ_signers/Liz_2769.mov" TargetMode="External"/><Relationship Id="rId18831" Type="http://schemas.openxmlformats.org/officeDocument/2006/relationships/hyperlink" Target="http://secrets.rutgers.edu:8080/data/asl-ftp/asllvd/demos/verify_start_end_handshape_annotations//test_auto_move//signs_mov/2769.mov" TargetMode="External"/><Relationship Id="rId18832" Type="http://schemas.openxmlformats.org/officeDocument/2006/relationships/hyperlink" Target="http://secrets.rutgers.edu:8080/data/asl-ftp/asllvd/demos/verify_start_end_handshape_annotations//test_auto_move//signs_mov_separ_signers/Liz_2769.mov" TargetMode="External"/><Relationship Id="rId18833" Type="http://schemas.openxmlformats.org/officeDocument/2006/relationships/hyperlink" Target="http://csr.bu.edu/ftp/asl/asllvd/demos/verify_start_end_handshape_annotations//test_auto_move//signs_mov_separ_signers/Brady_2769.mov" TargetMode="External"/><Relationship Id="rId18834" Type="http://schemas.openxmlformats.org/officeDocument/2006/relationships/hyperlink" Target="http://secrets.rutgers.edu:8080/data/asl-ftp/asllvd/demos/verify_start_end_handshape_annotations//test_auto_move//signs_mov_separ_signers/Brady_2769.mov" TargetMode="External"/><Relationship Id="rId18835" Type="http://schemas.openxmlformats.org/officeDocument/2006/relationships/hyperlink" Target="http://csr.bu.edu/ftp/asl/asllvd/demos/verify_start_end_handshape_annotations//test_auto_move//signs_mov/2772.mov" TargetMode="External"/><Relationship Id="rId18836" Type="http://schemas.openxmlformats.org/officeDocument/2006/relationships/hyperlink" Target="http://csr.bu.edu/ftp/asl/asllvd/demos/verify_start_end_handshape_annotations//test_auto_move//signs_mov_separ_signers/Liz_2772.mov" TargetMode="External"/><Relationship Id="rId18837" Type="http://schemas.openxmlformats.org/officeDocument/2006/relationships/hyperlink" Target="http://secrets.rutgers.edu:8080/data/asl-ftp/asllvd/demos/verify_start_end_handshape_annotations//test_auto_move//signs_mov/2772.mov" TargetMode="External"/><Relationship Id="rId18838" Type="http://schemas.openxmlformats.org/officeDocument/2006/relationships/hyperlink" Target="http://secrets.rutgers.edu:8080/data/asl-ftp/asllvd/demos/verify_start_end_handshape_annotations//test_auto_move//signs_mov_separ_signers/Liz_2772.mov" TargetMode="External"/><Relationship Id="rId18839" Type="http://schemas.openxmlformats.org/officeDocument/2006/relationships/hyperlink" Target="http://csr.bu.edu/ftp/asl/asllvd/demos/verify_start_end_handshape_annotations//test_auto_move//signs_mov_separ_signers/Brady_2772.mov" TargetMode="External"/><Relationship Id="rId18840" Type="http://schemas.openxmlformats.org/officeDocument/2006/relationships/hyperlink" Target="http://secrets.rutgers.edu:8080/data/asl-ftp/asllvd/demos/verify_start_end_handshape_annotations//test_auto_move//signs_mov_separ_signers/Brady_2772.mov" TargetMode="External"/><Relationship Id="rId18841" Type="http://schemas.openxmlformats.org/officeDocument/2006/relationships/hyperlink" Target="http://csr.bu.edu/ftp/asl/asllvd/demos/verify_start_end_handshape_annotations//test_auto_move//signs_mov/2773.mov" TargetMode="External"/><Relationship Id="rId18842" Type="http://schemas.openxmlformats.org/officeDocument/2006/relationships/hyperlink" Target="http://csr.bu.edu/ftp/asl/asllvd/demos/verify_start_end_handshape_annotations//test_auto_move//signs_mov_separ_signers/Liz_2773.mov" TargetMode="External"/><Relationship Id="rId18843" Type="http://schemas.openxmlformats.org/officeDocument/2006/relationships/hyperlink" Target="http://secrets.rutgers.edu:8080/data/asl-ftp/asllvd/demos/verify_start_end_handshape_annotations//test_auto_move//signs_mov/2773.mov" TargetMode="External"/><Relationship Id="rId18844" Type="http://schemas.openxmlformats.org/officeDocument/2006/relationships/hyperlink" Target="http://secrets.rutgers.edu:8080/data/asl-ftp/asllvd/demos/verify_start_end_handshape_annotations//test_auto_move//signs_mov_separ_signers/Liz_2773.mov" TargetMode="External"/><Relationship Id="rId18845" Type="http://schemas.openxmlformats.org/officeDocument/2006/relationships/hyperlink" Target="http://csr.bu.edu/ftp/asl/asllvd/demos/verify_start_end_handshape_annotations//test_auto_move//signs_mov_separ_signers/Brady_2773.mov" TargetMode="External"/><Relationship Id="rId18846" Type="http://schemas.openxmlformats.org/officeDocument/2006/relationships/hyperlink" Target="http://secrets.rutgers.edu:8080/data/asl-ftp/asllvd/demos/verify_start_end_handshape_annotations//test_auto_move//signs_mov_separ_signers/Brady_2773.mov" TargetMode="External"/><Relationship Id="rId18847" Type="http://schemas.openxmlformats.org/officeDocument/2006/relationships/hyperlink" Target="http://csr.bu.edu/ftp/asl/asllvd/demos/verify_start_end_handshape_annotations//test_auto_move//signs_mov/2774.mov" TargetMode="External"/><Relationship Id="rId18848" Type="http://schemas.openxmlformats.org/officeDocument/2006/relationships/hyperlink" Target="http://csr.bu.edu/ftp/asl/asllvd/demos/verify_start_end_handshape_annotations//test_auto_move//signs_mov_separ_signers/Liz_2774.mov" TargetMode="External"/><Relationship Id="rId18849" Type="http://schemas.openxmlformats.org/officeDocument/2006/relationships/hyperlink" Target="http://secrets.rutgers.edu:8080/data/asl-ftp/asllvd/demos/verify_start_end_handshape_annotations//test_auto_move//signs_mov/2774.mov" TargetMode="External"/><Relationship Id="rId18850" Type="http://schemas.openxmlformats.org/officeDocument/2006/relationships/hyperlink" Target="http://secrets.rutgers.edu:8080/data/asl-ftp/asllvd/demos/verify_start_end_handshape_annotations//test_auto_move//signs_mov_separ_signers/Liz_2774.mov" TargetMode="External"/><Relationship Id="rId18851" Type="http://schemas.openxmlformats.org/officeDocument/2006/relationships/hyperlink" Target="http://csr.bu.edu/ftp/asl/asllvd/demos/verify_start_end_handshape_annotations//test_auto_move//signs_mov_separ_signers/Brady_2774.mov" TargetMode="External"/><Relationship Id="rId18852" Type="http://schemas.openxmlformats.org/officeDocument/2006/relationships/hyperlink" Target="http://secrets.rutgers.edu:8080/data/asl-ftp/asllvd/demos/verify_start_end_handshape_annotations//test_auto_move//signs_mov_separ_signers/Brady_2774.mov" TargetMode="External"/><Relationship Id="rId18853" Type="http://schemas.openxmlformats.org/officeDocument/2006/relationships/hyperlink" Target="http://csr.bu.edu/ftp/asl/asllvd/demos/verify_start_end_handshape_annotations//test_auto_move//signs_mov/2775.mov" TargetMode="External"/><Relationship Id="rId18854" Type="http://schemas.openxmlformats.org/officeDocument/2006/relationships/hyperlink" Target="http://csr.bu.edu/ftp/asl/asllvd/demos/verify_start_end_handshape_annotations//test_auto_move//signs_mov_separ_signers/Liz_2775.mov" TargetMode="External"/><Relationship Id="rId18855" Type="http://schemas.openxmlformats.org/officeDocument/2006/relationships/hyperlink" Target="http://secrets.rutgers.edu:8080/data/asl-ftp/asllvd/demos/verify_start_end_handshape_annotations//test_auto_move//signs_mov/2775.mov" TargetMode="External"/><Relationship Id="rId18856" Type="http://schemas.openxmlformats.org/officeDocument/2006/relationships/hyperlink" Target="http://secrets.rutgers.edu:8080/data/asl-ftp/asllvd/demos/verify_start_end_handshape_annotations//test_auto_move//signs_mov_separ_signers/Liz_2775.mov" TargetMode="External"/><Relationship Id="rId18857" Type="http://schemas.openxmlformats.org/officeDocument/2006/relationships/hyperlink" Target="http://csr.bu.edu/ftp/asl/asllvd/demos/verify_start_end_handshape_annotations//test_auto_move//signs_mov_separ_signers/Brady_2775.mov" TargetMode="External"/><Relationship Id="rId18858" Type="http://schemas.openxmlformats.org/officeDocument/2006/relationships/hyperlink" Target="http://secrets.rutgers.edu:8080/data/asl-ftp/asllvd/demos/verify_start_end_handshape_annotations//test_auto_move//signs_mov_separ_signers/Brady_2775.mov" TargetMode="External"/><Relationship Id="rId18859" Type="http://schemas.openxmlformats.org/officeDocument/2006/relationships/hyperlink" Target="http://csr.bu.edu/ftp/asl/asllvd/demos/verify_start_end_handshape_annotations//test_auto_move//signs_mov/2777.mov" TargetMode="External"/><Relationship Id="rId18860" Type="http://schemas.openxmlformats.org/officeDocument/2006/relationships/hyperlink" Target="http://csr.bu.edu/ftp/asl/asllvd/demos/verify_start_end_handshape_annotations//test_auto_move//signs_mov_separ_signers/Liz_2777.mov" TargetMode="External"/><Relationship Id="rId18861" Type="http://schemas.openxmlformats.org/officeDocument/2006/relationships/hyperlink" Target="http://secrets.rutgers.edu:8080/data/asl-ftp/asllvd/demos/verify_start_end_handshape_annotations//test_auto_move//signs_mov/2777.mov" TargetMode="External"/><Relationship Id="rId18862" Type="http://schemas.openxmlformats.org/officeDocument/2006/relationships/hyperlink" Target="http://secrets.rutgers.edu:8080/data/asl-ftp/asllvd/demos/verify_start_end_handshape_annotations//test_auto_move//signs_mov_separ_signers/Liz_2777.mov" TargetMode="External"/><Relationship Id="rId18863" Type="http://schemas.openxmlformats.org/officeDocument/2006/relationships/hyperlink" Target="http://csr.bu.edu/ftp/asl/asllvd/demos/verify_start_end_handshape_annotations//test_auto_move//signs_mov/16504.mov" TargetMode="External"/><Relationship Id="rId18864" Type="http://schemas.openxmlformats.org/officeDocument/2006/relationships/hyperlink" Target="http://csr.bu.edu/ftp/asl/asllvd/demos/verify_start_end_handshape_annotations//test_auto_move//signs_mov_separ_signers/Brady_16504.mov" TargetMode="External"/><Relationship Id="rId18865" Type="http://schemas.openxmlformats.org/officeDocument/2006/relationships/hyperlink" Target="http://secrets.rutgers.edu:8080/data/asl-ftp/asllvd/demos/verify_start_end_handshape_annotations//test_auto_move//signs_mov/16504.mov" TargetMode="External"/><Relationship Id="rId18866" Type="http://schemas.openxmlformats.org/officeDocument/2006/relationships/hyperlink" Target="http://secrets.rutgers.edu:8080/data/asl-ftp/asllvd/demos/verify_start_end_handshape_annotations//test_auto_move//signs_mov_separ_signers/Brady_16504.mov" TargetMode="External"/><Relationship Id="rId18867" Type="http://schemas.openxmlformats.org/officeDocument/2006/relationships/hyperlink" Target="http://csr.bu.edu/ftp/asl/asllvd/demos/verify_start_end_handshape_annotations//test_auto_move//signs_mov/2779.mov" TargetMode="External"/><Relationship Id="rId18868" Type="http://schemas.openxmlformats.org/officeDocument/2006/relationships/hyperlink" Target="http://csr.bu.edu/ftp/asl/asllvd/demos/verify_start_end_handshape_annotations//test_auto_move//signs_mov_separ_signers/Brady_2779.mov" TargetMode="External"/><Relationship Id="rId18869" Type="http://schemas.openxmlformats.org/officeDocument/2006/relationships/hyperlink" Target="http://secrets.rutgers.edu:8080/data/asl-ftp/asllvd/demos/verify_start_end_handshape_annotations//test_auto_move//signs_mov/2779.mov" TargetMode="External"/><Relationship Id="rId18870" Type="http://schemas.openxmlformats.org/officeDocument/2006/relationships/hyperlink" Target="http://secrets.rutgers.edu:8080/data/asl-ftp/asllvd/demos/verify_start_end_handshape_annotations//test_auto_move//signs_mov_separ_signers/Brady_2779.mov" TargetMode="External"/><Relationship Id="rId18871" Type="http://schemas.openxmlformats.org/officeDocument/2006/relationships/hyperlink" Target="http://csr.bu.edu/ftp/asl/asllvd/demos/verify_start_end_handshape_annotations//test_auto_move//signs_mov/3809.mov" TargetMode="External"/><Relationship Id="rId18872" Type="http://schemas.openxmlformats.org/officeDocument/2006/relationships/hyperlink" Target="http://csr.bu.edu/ftp/asl/asllvd/demos/verify_start_end_handshape_annotations//test_auto_move//signs_mov_separ_signers/Liz_3809.mov" TargetMode="External"/><Relationship Id="rId18873" Type="http://schemas.openxmlformats.org/officeDocument/2006/relationships/hyperlink" Target="http://secrets.rutgers.edu:8080/data/asl-ftp/asllvd/demos/verify_start_end_handshape_annotations//test_auto_move//signs_mov/3809.mov" TargetMode="External"/><Relationship Id="rId18874" Type="http://schemas.openxmlformats.org/officeDocument/2006/relationships/hyperlink" Target="http://secrets.rutgers.edu:8080/data/asl-ftp/asllvd/demos/verify_start_end_handshape_annotations//test_auto_move//signs_mov_separ_signers/Liz_3809.mov" TargetMode="External"/><Relationship Id="rId18875" Type="http://schemas.openxmlformats.org/officeDocument/2006/relationships/hyperlink" Target="http://csr.bu.edu/ftp/asl/asllvd/demos/verify_start_end_handshape_annotations//test_auto_move//signs_mov/16505.mov" TargetMode="External"/><Relationship Id="rId18876" Type="http://schemas.openxmlformats.org/officeDocument/2006/relationships/hyperlink" Target="http://csr.bu.edu/ftp/asl/asllvd/demos/verify_start_end_handshape_annotations//test_auto_move//signs_mov_separ_signers/Liz_16505.mov" TargetMode="External"/><Relationship Id="rId18877" Type="http://schemas.openxmlformats.org/officeDocument/2006/relationships/hyperlink" Target="http://secrets.rutgers.edu:8080/data/asl-ftp/asllvd/demos/verify_start_end_handshape_annotations//test_auto_move//signs_mov/16505.mov" TargetMode="External"/><Relationship Id="rId18878" Type="http://schemas.openxmlformats.org/officeDocument/2006/relationships/hyperlink" Target="http://secrets.rutgers.edu:8080/data/asl-ftp/asllvd/demos/verify_start_end_handshape_annotations//test_auto_move//signs_mov_separ_signers/Liz_16505.mov" TargetMode="External"/><Relationship Id="rId18879" Type="http://schemas.openxmlformats.org/officeDocument/2006/relationships/hyperlink" Target="http://csr.bu.edu/ftp/asl/asllvd/demos/verify_start_end_handshape_annotations//test_auto_move//signs_mov_separ_signers/Liz_2782.mov" TargetMode="External"/><Relationship Id="rId18880" Type="http://schemas.openxmlformats.org/officeDocument/2006/relationships/hyperlink" Target="http://secrets.rutgers.edu:8080/data/asl-ftp/asllvd/demos/verify_start_end_handshape_annotations//test_auto_move//signs_mov_separ_signers/Liz_2782.mov" TargetMode="External"/><Relationship Id="rId18881" Type="http://schemas.openxmlformats.org/officeDocument/2006/relationships/hyperlink" Target="http://csr.bu.edu/ftp/asl/asllvd/demos/verify_start_end_handshape_annotations//test_auto_move//signs_mov/2782_3563_merged.mov" TargetMode="External"/><Relationship Id="rId18882" Type="http://schemas.openxmlformats.org/officeDocument/2006/relationships/hyperlink" Target="http://csr.bu.edu/ftp/asl/asllvd/demos/verify_start_end_handshape_annotations//test_auto_move//signs_mov_separ_signers/Liz_3563.mov" TargetMode="External"/><Relationship Id="rId18883" Type="http://schemas.openxmlformats.org/officeDocument/2006/relationships/hyperlink" Target="http://secrets.rutgers.edu:8080/data/asl-ftp/asllvd/demos/verify_start_end_handshape_annotations//test_auto_move//signs_mov/2782_3563_merged.mov" TargetMode="External"/><Relationship Id="rId18884" Type="http://schemas.openxmlformats.org/officeDocument/2006/relationships/hyperlink" Target="http://secrets.rutgers.edu:8080/data/asl-ftp/asllvd/demos/verify_start_end_handshape_annotations//test_auto_move//signs_mov_separ_signers/Liz_3563.mov" TargetMode="External"/><Relationship Id="rId18885" Type="http://schemas.openxmlformats.org/officeDocument/2006/relationships/hyperlink" Target="http://csr.bu.edu/ftp/asl/asllvd/demos/verify_start_end_handshape_annotations//test_auto_move//signs_mov_separ_signers/Brady_2782.mov" TargetMode="External"/><Relationship Id="rId18886" Type="http://schemas.openxmlformats.org/officeDocument/2006/relationships/hyperlink" Target="http://secrets.rutgers.edu:8080/data/asl-ftp/asllvd/demos/verify_start_end_handshape_annotations//test_auto_move//signs_mov_separ_signers/Brady_2782.mov" TargetMode="External"/><Relationship Id="rId18887" Type="http://schemas.openxmlformats.org/officeDocument/2006/relationships/hyperlink" Target="http://csr.bu.edu/ftp/asl/asllvd/demos/verify_start_end_handshape_annotations//test_auto_move//signs_mov_separ_signers/Brady_3563.mov" TargetMode="External"/><Relationship Id="rId18888" Type="http://schemas.openxmlformats.org/officeDocument/2006/relationships/hyperlink" Target="http://secrets.rutgers.edu:8080/data/asl-ftp/asllvd/demos/verify_start_end_handshape_annotations//test_auto_move//signs_mov_separ_signers/Brady_3563.mov" TargetMode="External"/><Relationship Id="rId18889" Type="http://schemas.openxmlformats.org/officeDocument/2006/relationships/hyperlink" Target="http://csr.bu.edu/ftp/asl/asllvd/demos/verify_start_end_handshape_annotations//test_auto_move//signs_mov/2783.mov" TargetMode="External"/><Relationship Id="rId18890" Type="http://schemas.openxmlformats.org/officeDocument/2006/relationships/hyperlink" Target="http://csr.bu.edu/ftp/asl/asllvd/demos/verify_start_end_handshape_annotations//test_auto_move//signs_mov_separ_signers/Liz_2783.mov" TargetMode="External"/><Relationship Id="rId18891" Type="http://schemas.openxmlformats.org/officeDocument/2006/relationships/hyperlink" Target="http://secrets.rutgers.edu:8080/data/asl-ftp/asllvd/demos/verify_start_end_handshape_annotations//test_auto_move//signs_mov/2783.mov" TargetMode="External"/><Relationship Id="rId18892" Type="http://schemas.openxmlformats.org/officeDocument/2006/relationships/hyperlink" Target="http://secrets.rutgers.edu:8080/data/asl-ftp/asllvd/demos/verify_start_end_handshape_annotations//test_auto_move//signs_mov_separ_signers/Liz_2783.mov" TargetMode="External"/><Relationship Id="rId18893" Type="http://schemas.openxmlformats.org/officeDocument/2006/relationships/hyperlink" Target="http://csr.bu.edu/ftp/asl/asllvd/demos/verify_start_end_handshape_annotations//test_auto_move//signs_mov_separ_signers/Brady_2783.mov" TargetMode="External"/><Relationship Id="rId18894" Type="http://schemas.openxmlformats.org/officeDocument/2006/relationships/hyperlink" Target="http://secrets.rutgers.edu:8080/data/asl-ftp/asllvd/demos/verify_start_end_handshape_annotations//test_auto_move//signs_mov_separ_signers/Brady_2783.mov" TargetMode="External"/><Relationship Id="rId18895" Type="http://schemas.openxmlformats.org/officeDocument/2006/relationships/hyperlink" Target="http://csr.bu.edu/ftp/asl/asllvd/demos/verify_start_end_handshape_annotations//test_auto_move//signs_mov/2784.mov" TargetMode="External"/><Relationship Id="rId18896" Type="http://schemas.openxmlformats.org/officeDocument/2006/relationships/hyperlink" Target="http://csr.bu.edu/ftp/asl/asllvd/demos/verify_start_end_handshape_annotations//test_auto_move//signs_mov_separ_signers/Liz_2784.mov" TargetMode="External"/><Relationship Id="rId18897" Type="http://schemas.openxmlformats.org/officeDocument/2006/relationships/hyperlink" Target="http://secrets.rutgers.edu:8080/data/asl-ftp/asllvd/demos/verify_start_end_handshape_annotations//test_auto_move//signs_mov/2784.mov" TargetMode="External"/><Relationship Id="rId18898" Type="http://schemas.openxmlformats.org/officeDocument/2006/relationships/hyperlink" Target="http://secrets.rutgers.edu:8080/data/asl-ftp/asllvd/demos/verify_start_end_handshape_annotations//test_auto_move//signs_mov_separ_signers/Liz_2784.mov" TargetMode="External"/><Relationship Id="rId18899" Type="http://schemas.openxmlformats.org/officeDocument/2006/relationships/hyperlink" Target="http://csr.bu.edu/ftp/asl/asllvd/demos/verify_start_end_handshape_annotations//test_auto_move//signs_mov/5866.mov" TargetMode="External"/><Relationship Id="rId18900" Type="http://schemas.openxmlformats.org/officeDocument/2006/relationships/hyperlink" Target="http://csr.bu.edu/ftp/asl/asllvd/demos/verify_start_end_handshape_annotations//test_auto_move//signs_mov_separ_signers/Brady_5866.mov" TargetMode="External"/><Relationship Id="rId18901" Type="http://schemas.openxmlformats.org/officeDocument/2006/relationships/hyperlink" Target="http://secrets.rutgers.edu:8080/data/asl-ftp/asllvd/demos/verify_start_end_handshape_annotations//test_auto_move//signs_mov/5866.mov" TargetMode="External"/><Relationship Id="rId18902" Type="http://schemas.openxmlformats.org/officeDocument/2006/relationships/hyperlink" Target="http://secrets.rutgers.edu:8080/data/asl-ftp/asllvd/demos/verify_start_end_handshape_annotations//test_auto_move//signs_mov_separ_signers/Brady_5866.mov" TargetMode="External"/><Relationship Id="rId18903" Type="http://schemas.openxmlformats.org/officeDocument/2006/relationships/hyperlink" Target="http://csr.bu.edu/ftp/asl/asllvd/demos/verify_start_end_handshape_annotations//test_auto_move//signs_mov_separ_signers/Liz_2785.mov" TargetMode="External"/><Relationship Id="rId18904" Type="http://schemas.openxmlformats.org/officeDocument/2006/relationships/hyperlink" Target="http://secrets.rutgers.edu:8080/data/asl-ftp/asllvd/demos/verify_start_end_handshape_annotations//test_auto_move//signs_mov_separ_signers/Liz_2785.mov" TargetMode="External"/><Relationship Id="rId18905" Type="http://schemas.openxmlformats.org/officeDocument/2006/relationships/hyperlink" Target="http://csr.bu.edu/ftp/asl/asllvd/demos/verify_start_end_handshape_annotations//test_auto_move//signs_mov_separ_signers/Liz_5712.mov" TargetMode="External"/><Relationship Id="rId18906" Type="http://schemas.openxmlformats.org/officeDocument/2006/relationships/hyperlink" Target="http://secrets.rutgers.edu:8080/data/asl-ftp/asllvd/demos/verify_start_end_handshape_annotations//test_auto_move//signs_mov_separ_signers/Liz_5712.mov" TargetMode="External"/><Relationship Id="rId18907" Type="http://schemas.openxmlformats.org/officeDocument/2006/relationships/hyperlink" Target="http://csr.bu.edu/ftp/asl/asllvd/demos/verify_start_end_handshape_annotations//test_auto_move//signs_mov_separ_signers/Tyler_2785.mov" TargetMode="External"/><Relationship Id="rId18908" Type="http://schemas.openxmlformats.org/officeDocument/2006/relationships/hyperlink" Target="http://secrets.rutgers.edu:8080/data/asl-ftp/asllvd/demos/verify_start_end_handshape_annotations//test_auto_move//signs_mov_separ_signers/Tyler_2785.mov" TargetMode="External"/><Relationship Id="rId18909" Type="http://schemas.openxmlformats.org/officeDocument/2006/relationships/hyperlink" Target="http://csr.bu.edu/ftp/asl/asllvd/demos/verify_start_end_handshape_annotations//test_auto_move//signs_mov/2785_5712_merged.mov" TargetMode="External"/><Relationship Id="rId18910" Type="http://schemas.openxmlformats.org/officeDocument/2006/relationships/hyperlink" Target="http://csr.bu.edu/ftp/asl/asllvd/demos/verify_start_end_handshape_annotations//test_auto_move//signs_mov_separ_signers/Tyler_5712.mov" TargetMode="External"/><Relationship Id="rId18911" Type="http://schemas.openxmlformats.org/officeDocument/2006/relationships/hyperlink" Target="http://secrets.rutgers.edu:8080/data/asl-ftp/asllvd/demos/verify_start_end_handshape_annotations//test_auto_move//signs_mov/2785_5712_merged.mov" TargetMode="External"/><Relationship Id="rId18912" Type="http://schemas.openxmlformats.org/officeDocument/2006/relationships/hyperlink" Target="http://secrets.rutgers.edu:8080/data/asl-ftp/asllvd/demos/verify_start_end_handshape_annotations//test_auto_move//signs_mov_separ_signers/Tyler_5712.mov" TargetMode="External"/><Relationship Id="rId18913" Type="http://schemas.openxmlformats.org/officeDocument/2006/relationships/hyperlink" Target="http://csr.bu.edu/ftp/asl/asllvd/demos/verify_start_end_handshape_annotations//test_auto_move//signs_mov_separ_signers/Naomi_2785.mov" TargetMode="External"/><Relationship Id="rId18914" Type="http://schemas.openxmlformats.org/officeDocument/2006/relationships/hyperlink" Target="http://secrets.rutgers.edu:8080/data/asl-ftp/asllvd/demos/verify_start_end_handshape_annotations//test_auto_move//signs_mov_separ_signers/Naomi_2785.mov" TargetMode="External"/><Relationship Id="rId18915" Type="http://schemas.openxmlformats.org/officeDocument/2006/relationships/hyperlink" Target="http://csr.bu.edu/ftp/asl/asllvd/demos/verify_start_end_handshape_annotations//test_auto_move//signs_mov_separ_signers/Brady_2785.mov" TargetMode="External"/><Relationship Id="rId18916" Type="http://schemas.openxmlformats.org/officeDocument/2006/relationships/hyperlink" Target="http://secrets.rutgers.edu:8080/data/asl-ftp/asllvd/demos/verify_start_end_handshape_annotations//test_auto_move//signs_mov_separ_signers/Brady_2785.mov" TargetMode="External"/><Relationship Id="rId18917" Type="http://schemas.openxmlformats.org/officeDocument/2006/relationships/hyperlink" Target="http://csr.bu.edu/ftp/asl/asllvd/demos/verify_start_end_handshape_annotations//test_auto_move//signs_mov_separ_signers/Brady_5712.mov" TargetMode="External"/><Relationship Id="rId18918" Type="http://schemas.openxmlformats.org/officeDocument/2006/relationships/hyperlink" Target="http://secrets.rutgers.edu:8080/data/asl-ftp/asllvd/demos/verify_start_end_handshape_annotations//test_auto_move//signs_mov_separ_signers/Brady_5712.mov" TargetMode="External"/><Relationship Id="rId18919" Type="http://schemas.openxmlformats.org/officeDocument/2006/relationships/hyperlink" Target="http://csr.bu.edu/ftp/asl/asllvd/demos/verify_start_end_handshape_annotations//test_auto_move//signs_mov/15560.mov" TargetMode="External"/><Relationship Id="rId18920" Type="http://schemas.openxmlformats.org/officeDocument/2006/relationships/hyperlink" Target="http://csr.bu.edu/ftp/asl/asllvd/demos/verify_start_end_handshape_annotations//test_auto_move//signs_mov_separ_signers/Liz_15560.mov" TargetMode="External"/><Relationship Id="rId18921" Type="http://schemas.openxmlformats.org/officeDocument/2006/relationships/hyperlink" Target="http://secrets.rutgers.edu:8080/data/asl-ftp/asllvd/demos/verify_start_end_handshape_annotations//test_auto_move//signs_mov/15560.mov" TargetMode="External"/><Relationship Id="rId18922" Type="http://schemas.openxmlformats.org/officeDocument/2006/relationships/hyperlink" Target="http://secrets.rutgers.edu:8080/data/asl-ftp/asllvd/demos/verify_start_end_handshape_annotations//test_auto_move//signs_mov_separ_signers/Liz_15560.mov" TargetMode="External"/><Relationship Id="rId18923" Type="http://schemas.openxmlformats.org/officeDocument/2006/relationships/hyperlink" Target="http://csr.bu.edu/ftp/asl/asllvd/demos/verify_start_end_handshape_annotations//test_auto_move//signs_mov_separ_signers/Brady_15560.mov" TargetMode="External"/><Relationship Id="rId18924" Type="http://schemas.openxmlformats.org/officeDocument/2006/relationships/hyperlink" Target="http://secrets.rutgers.edu:8080/data/asl-ftp/asllvd/demos/verify_start_end_handshape_annotations//test_auto_move//signs_mov_separ_signers/Brady_15560.mov" TargetMode="External"/><Relationship Id="rId18925" Type="http://schemas.openxmlformats.org/officeDocument/2006/relationships/hyperlink" Target="http://csr.bu.edu/ftp/asl/asllvd/demos/verify_start_end_handshape_annotations//test_auto_move//signs_mov/2786.mov" TargetMode="External"/><Relationship Id="rId18926" Type="http://schemas.openxmlformats.org/officeDocument/2006/relationships/hyperlink" Target="http://csr.bu.edu/ftp/asl/asllvd/demos/verify_start_end_handshape_annotations//test_auto_move//signs_mov_separ_signers/Liz_2786.mov" TargetMode="External"/><Relationship Id="rId18927" Type="http://schemas.openxmlformats.org/officeDocument/2006/relationships/hyperlink" Target="http://secrets.rutgers.edu:8080/data/asl-ftp/asllvd/demos/verify_start_end_handshape_annotations//test_auto_move//signs_mov/2786.mov" TargetMode="External"/><Relationship Id="rId18928" Type="http://schemas.openxmlformats.org/officeDocument/2006/relationships/hyperlink" Target="http://secrets.rutgers.edu:8080/data/asl-ftp/asllvd/demos/verify_start_end_handshape_annotations//test_auto_move//signs_mov_separ_signers/Liz_2786.mov" TargetMode="External"/><Relationship Id="rId18929" Type="http://schemas.openxmlformats.org/officeDocument/2006/relationships/hyperlink" Target="http://csr.bu.edu/ftp/asl/asllvd/demos/verify_start_end_handshape_annotations//test_auto_move//signs_mov_separ_signers/Brady_2786.mov" TargetMode="External"/><Relationship Id="rId18930" Type="http://schemas.openxmlformats.org/officeDocument/2006/relationships/hyperlink" Target="http://secrets.rutgers.edu:8080/data/asl-ftp/asllvd/demos/verify_start_end_handshape_annotations//test_auto_move//signs_mov_separ_signers/Brady_2786.mov" TargetMode="External"/><Relationship Id="rId18931" Type="http://schemas.openxmlformats.org/officeDocument/2006/relationships/hyperlink" Target="http://csr.bu.edu/ftp/asl/asllvd/demos/verify_start_end_handshape_annotations//test_auto_move//signs_mov/2788.mov" TargetMode="External"/><Relationship Id="rId18932" Type="http://schemas.openxmlformats.org/officeDocument/2006/relationships/hyperlink" Target="http://csr.bu.edu/ftp/asl/asllvd/demos/verify_start_end_handshape_annotations//test_auto_move//signs_mov_separ_signers/Liz_2788.mov" TargetMode="External"/><Relationship Id="rId18933" Type="http://schemas.openxmlformats.org/officeDocument/2006/relationships/hyperlink" Target="http://secrets.rutgers.edu:8080/data/asl-ftp/asllvd/demos/verify_start_end_handshape_annotations//test_auto_move//signs_mov/2788.mov" TargetMode="External"/><Relationship Id="rId18934" Type="http://schemas.openxmlformats.org/officeDocument/2006/relationships/hyperlink" Target="http://secrets.rutgers.edu:8080/data/asl-ftp/asllvd/demos/verify_start_end_handshape_annotations//test_auto_move//signs_mov_separ_signers/Liz_2788.mov" TargetMode="External"/><Relationship Id="rId18935" Type="http://schemas.openxmlformats.org/officeDocument/2006/relationships/hyperlink" Target="http://csr.bu.edu/ftp/asl/asllvd/demos/verify_start_end_handshape_annotations//test_auto_move//signs_mov_separ_signers/Brady_2788.mov" TargetMode="External"/><Relationship Id="rId18936" Type="http://schemas.openxmlformats.org/officeDocument/2006/relationships/hyperlink" Target="http://secrets.rutgers.edu:8080/data/asl-ftp/asllvd/demos/verify_start_end_handshape_annotations//test_auto_move//signs_mov_separ_signers/Brady_2788.mov" TargetMode="External"/><Relationship Id="rId18937" Type="http://schemas.openxmlformats.org/officeDocument/2006/relationships/hyperlink" Target="http://csr.bu.edu/ftp/asl/asllvd/demos/verify_start_end_handshape_annotations//test_auto_move//signs_mov/3810.mov" TargetMode="External"/><Relationship Id="rId18938" Type="http://schemas.openxmlformats.org/officeDocument/2006/relationships/hyperlink" Target="http://csr.bu.edu/ftp/asl/asllvd/demos/verify_start_end_handshape_annotations//test_auto_move//signs_mov_separ_signers/Liz_3810.mov" TargetMode="External"/><Relationship Id="rId18939" Type="http://schemas.openxmlformats.org/officeDocument/2006/relationships/hyperlink" Target="http://secrets.rutgers.edu:8080/data/asl-ftp/asllvd/demos/verify_start_end_handshape_annotations//test_auto_move//signs_mov/3810.mov" TargetMode="External"/><Relationship Id="rId18940" Type="http://schemas.openxmlformats.org/officeDocument/2006/relationships/hyperlink" Target="http://secrets.rutgers.edu:8080/data/asl-ftp/asllvd/demos/verify_start_end_handshape_annotations//test_auto_move//signs_mov_separ_signers/Liz_3810.mov" TargetMode="External"/><Relationship Id="rId18941" Type="http://schemas.openxmlformats.org/officeDocument/2006/relationships/hyperlink" Target="http://csr.bu.edu/ftp/asl/asllvd/demos/verify_start_end_handshape_annotations//test_auto_move//signs_mov_separ_signers/Brady_3810.mov" TargetMode="External"/><Relationship Id="rId18942" Type="http://schemas.openxmlformats.org/officeDocument/2006/relationships/hyperlink" Target="http://secrets.rutgers.edu:8080/data/asl-ftp/asllvd/demos/verify_start_end_handshape_annotations//test_auto_move//signs_mov_separ_signers/Brady_3810.mov" TargetMode="External"/><Relationship Id="rId18943" Type="http://schemas.openxmlformats.org/officeDocument/2006/relationships/hyperlink" Target="http://csr.bu.edu/ftp/asl/asllvd/demos/verify_start_end_handshape_annotations//test_auto_move//signs_mov/2791.mov" TargetMode="External"/><Relationship Id="rId18944" Type="http://schemas.openxmlformats.org/officeDocument/2006/relationships/hyperlink" Target="http://csr.bu.edu/ftp/asl/asllvd/demos/verify_start_end_handshape_annotations//test_auto_move//signs_mov_separ_signers/Liz_2791.mov" TargetMode="External"/><Relationship Id="rId18945" Type="http://schemas.openxmlformats.org/officeDocument/2006/relationships/hyperlink" Target="http://secrets.rutgers.edu:8080/data/asl-ftp/asllvd/demos/verify_start_end_handshape_annotations//test_auto_move//signs_mov/2791.mov" TargetMode="External"/><Relationship Id="rId18946" Type="http://schemas.openxmlformats.org/officeDocument/2006/relationships/hyperlink" Target="http://secrets.rutgers.edu:8080/data/asl-ftp/asllvd/demos/verify_start_end_handshape_annotations//test_auto_move//signs_mov_separ_signers/Liz_2791.mov" TargetMode="External"/><Relationship Id="rId18947" Type="http://schemas.openxmlformats.org/officeDocument/2006/relationships/hyperlink" Target="http://csr.bu.edu/ftp/asl/asllvd/demos/verify_start_end_handshape_annotations//test_auto_move//signs_mov_separ_signers/Brady_2791.mov" TargetMode="External"/><Relationship Id="rId18948" Type="http://schemas.openxmlformats.org/officeDocument/2006/relationships/hyperlink" Target="http://secrets.rutgers.edu:8080/data/asl-ftp/asllvd/demos/verify_start_end_handshape_annotations//test_auto_move//signs_mov_separ_signers/Brady_2791.mov" TargetMode="External"/><Relationship Id="rId18949" Type="http://schemas.openxmlformats.org/officeDocument/2006/relationships/hyperlink" Target="http://csr.bu.edu/ftp/asl/asllvd/demos/verify_start_end_handshape_annotations//test_auto_move//signs_mov/2799.mov" TargetMode="External"/><Relationship Id="rId18950" Type="http://schemas.openxmlformats.org/officeDocument/2006/relationships/hyperlink" Target="http://csr.bu.edu/ftp/asl/asllvd/demos/verify_start_end_handshape_annotations//test_auto_move//signs_mov_separ_signers/Liz_2799.mov" TargetMode="External"/><Relationship Id="rId18951" Type="http://schemas.openxmlformats.org/officeDocument/2006/relationships/hyperlink" Target="http://secrets.rutgers.edu:8080/data/asl-ftp/asllvd/demos/verify_start_end_handshape_annotations//test_auto_move//signs_mov/2799.mov" TargetMode="External"/><Relationship Id="rId18952" Type="http://schemas.openxmlformats.org/officeDocument/2006/relationships/hyperlink" Target="http://secrets.rutgers.edu:8080/data/asl-ftp/asllvd/demos/verify_start_end_handshape_annotations//test_auto_move//signs_mov_separ_signers/Liz_2799.mov" TargetMode="External"/><Relationship Id="rId18953" Type="http://schemas.openxmlformats.org/officeDocument/2006/relationships/hyperlink" Target="http://csr.bu.edu/ftp/asl/asllvd/demos/verify_start_end_handshape_annotations//test_auto_move//signs_mov_separ_signers/Brady_2799.mov" TargetMode="External"/><Relationship Id="rId18954" Type="http://schemas.openxmlformats.org/officeDocument/2006/relationships/hyperlink" Target="http://secrets.rutgers.edu:8080/data/asl-ftp/asllvd/demos/verify_start_end_handshape_annotations//test_auto_move//signs_mov_separ_signers/Brady_2799.mov" TargetMode="External"/><Relationship Id="rId18955" Type="http://schemas.openxmlformats.org/officeDocument/2006/relationships/hyperlink" Target="http://csr.bu.edu/ftp/asl/asllvd/demos/verify_start_end_handshape_annotations//test_auto_move//signs_mov/2800.mov" TargetMode="External"/><Relationship Id="rId18956" Type="http://schemas.openxmlformats.org/officeDocument/2006/relationships/hyperlink" Target="http://csr.bu.edu/ftp/asl/asllvd/demos/verify_start_end_handshape_annotations//test_auto_move//signs_mov_separ_signers/Liz_2800.mov" TargetMode="External"/><Relationship Id="rId18957" Type="http://schemas.openxmlformats.org/officeDocument/2006/relationships/hyperlink" Target="http://secrets.rutgers.edu:8080/data/asl-ftp/asllvd/demos/verify_start_end_handshape_annotations//test_auto_move//signs_mov/2800.mov" TargetMode="External"/><Relationship Id="rId18958" Type="http://schemas.openxmlformats.org/officeDocument/2006/relationships/hyperlink" Target="http://secrets.rutgers.edu:8080/data/asl-ftp/asllvd/demos/verify_start_end_handshape_annotations//test_auto_move//signs_mov_separ_signers/Liz_2800.mov" TargetMode="External"/><Relationship Id="rId18959" Type="http://schemas.openxmlformats.org/officeDocument/2006/relationships/hyperlink" Target="http://csr.bu.edu/ftp/asl/asllvd/demos/verify_start_end_handshape_annotations//test_auto_move//signs_mov_separ_signers/Brady_2800.mov" TargetMode="External"/><Relationship Id="rId18960" Type="http://schemas.openxmlformats.org/officeDocument/2006/relationships/hyperlink" Target="http://secrets.rutgers.edu:8080/data/asl-ftp/asllvd/demos/verify_start_end_handshape_annotations//test_auto_move//signs_mov_separ_signers/Brady_2800.mov" TargetMode="External"/><Relationship Id="rId18961" Type="http://schemas.openxmlformats.org/officeDocument/2006/relationships/hyperlink" Target="http://csr.bu.edu/ftp/asl/asllvd/demos/verify_start_end_handshape_annotations//test_auto_move//signs_mov/15157.mov" TargetMode="External"/><Relationship Id="rId18962" Type="http://schemas.openxmlformats.org/officeDocument/2006/relationships/hyperlink" Target="http://csr.bu.edu/ftp/asl/asllvd/demos/verify_start_end_handshape_annotations//test_auto_move//signs_mov_separ_signers/Lana_15157.mov" TargetMode="External"/><Relationship Id="rId18963" Type="http://schemas.openxmlformats.org/officeDocument/2006/relationships/hyperlink" Target="http://secrets.rutgers.edu:8080/data/asl-ftp/asllvd/demos/verify_start_end_handshape_annotations//test_auto_move//signs_mov/15157.mov" TargetMode="External"/><Relationship Id="rId18964" Type="http://schemas.openxmlformats.org/officeDocument/2006/relationships/hyperlink" Target="http://secrets.rutgers.edu:8080/data/asl-ftp/asllvd/demos/verify_start_end_handshape_annotations//test_auto_move//signs_mov_separ_signers/Lana_15157.mov" TargetMode="External"/><Relationship Id="rId18965" Type="http://schemas.openxmlformats.org/officeDocument/2006/relationships/hyperlink" Target="http://csr.bu.edu/ftp/asl/asllvd/demos/verify_start_end_handshape_annotations//test_auto_move//signs_mov/2801.mov" TargetMode="External"/><Relationship Id="rId18966" Type="http://schemas.openxmlformats.org/officeDocument/2006/relationships/hyperlink" Target="http://csr.bu.edu/ftp/asl/asllvd/demos/verify_start_end_handshape_annotations//test_auto_move//signs_mov_separ_signers/Liz_2801.mov" TargetMode="External"/><Relationship Id="rId18967" Type="http://schemas.openxmlformats.org/officeDocument/2006/relationships/hyperlink" Target="http://secrets.rutgers.edu:8080/data/asl-ftp/asllvd/demos/verify_start_end_handshape_annotations//test_auto_move//signs_mov/2801.mov" TargetMode="External"/><Relationship Id="rId18968" Type="http://schemas.openxmlformats.org/officeDocument/2006/relationships/hyperlink" Target="http://secrets.rutgers.edu:8080/data/asl-ftp/asllvd/demos/verify_start_end_handshape_annotations//test_auto_move//signs_mov_separ_signers/Liz_2801.mov" TargetMode="External"/><Relationship Id="rId18969" Type="http://schemas.openxmlformats.org/officeDocument/2006/relationships/hyperlink" Target="http://csr.bu.edu/ftp/asl/asllvd/demos/verify_start_end_handshape_annotations//test_auto_move//signs_mov_separ_signers/Brady_2801.mov" TargetMode="External"/><Relationship Id="rId18970" Type="http://schemas.openxmlformats.org/officeDocument/2006/relationships/hyperlink" Target="http://secrets.rutgers.edu:8080/data/asl-ftp/asllvd/demos/verify_start_end_handshape_annotations//test_auto_move//signs_mov_separ_signers/Brady_2801.mov" TargetMode="External"/><Relationship Id="rId18971" Type="http://schemas.openxmlformats.org/officeDocument/2006/relationships/hyperlink" Target="http://csr.bu.edu/ftp/asl/asllvd/demos/verify_start_end_handshape_annotations//test_auto_move//signs_mov/2802.mov" TargetMode="External"/><Relationship Id="rId18972" Type="http://schemas.openxmlformats.org/officeDocument/2006/relationships/hyperlink" Target="http://csr.bu.edu/ftp/asl/asllvd/demos/verify_start_end_handshape_annotations//test_auto_move//signs_mov_separ_signers/Liz_2802.mov" TargetMode="External"/><Relationship Id="rId18973" Type="http://schemas.openxmlformats.org/officeDocument/2006/relationships/hyperlink" Target="http://secrets.rutgers.edu:8080/data/asl-ftp/asllvd/demos/verify_start_end_handshape_annotations//test_auto_move//signs_mov/2802.mov" TargetMode="External"/><Relationship Id="rId18974" Type="http://schemas.openxmlformats.org/officeDocument/2006/relationships/hyperlink" Target="http://secrets.rutgers.edu:8080/data/asl-ftp/asllvd/demos/verify_start_end_handshape_annotations//test_auto_move//signs_mov_separ_signers/Liz_2802.mov" TargetMode="External"/><Relationship Id="rId18975" Type="http://schemas.openxmlformats.org/officeDocument/2006/relationships/hyperlink" Target="http://csr.bu.edu/ftp/asl/asllvd/demos/verify_start_end_handshape_annotations//test_auto_move//signs_mov_separ_signers/Brady_2802.mov" TargetMode="External"/><Relationship Id="rId18976" Type="http://schemas.openxmlformats.org/officeDocument/2006/relationships/hyperlink" Target="http://secrets.rutgers.edu:8080/data/asl-ftp/asllvd/demos/verify_start_end_handshape_annotations//test_auto_move//signs_mov_separ_signers/Brady_2802.mov" TargetMode="External"/><Relationship Id="rId18977" Type="http://schemas.openxmlformats.org/officeDocument/2006/relationships/hyperlink" Target="http://csr.bu.edu/ftp/asl/asllvd/demos/verify_start_end_handshape_annotations//test_auto_move//signs_mov/2805.mov" TargetMode="External"/><Relationship Id="rId18978" Type="http://schemas.openxmlformats.org/officeDocument/2006/relationships/hyperlink" Target="http://csr.bu.edu/ftp/asl/asllvd/demos/verify_start_end_handshape_annotations//test_auto_move//signs_mov_separ_signers/Liz_2805.mov" TargetMode="External"/><Relationship Id="rId18979" Type="http://schemas.openxmlformats.org/officeDocument/2006/relationships/hyperlink" Target="http://secrets.rutgers.edu:8080/data/asl-ftp/asllvd/demos/verify_start_end_handshape_annotations//test_auto_move//signs_mov/2805.mov" TargetMode="External"/><Relationship Id="rId18980" Type="http://schemas.openxmlformats.org/officeDocument/2006/relationships/hyperlink" Target="http://secrets.rutgers.edu:8080/data/asl-ftp/asllvd/demos/verify_start_end_handshape_annotations//test_auto_move//signs_mov_separ_signers/Liz_2805.mov" TargetMode="External"/><Relationship Id="rId18981" Type="http://schemas.openxmlformats.org/officeDocument/2006/relationships/hyperlink" Target="http://csr.bu.edu/ftp/asl/asllvd/demos/verify_start_end_handshape_annotations//test_auto_move//signs_mov/16120.mov" TargetMode="External"/><Relationship Id="rId18982" Type="http://schemas.openxmlformats.org/officeDocument/2006/relationships/hyperlink" Target="http://csr.bu.edu/ftp/asl/asllvd/demos/verify_start_end_handshape_annotations//test_auto_move//signs_mov_separ_signers/Brady_16120.mov" TargetMode="External"/><Relationship Id="rId18983" Type="http://schemas.openxmlformats.org/officeDocument/2006/relationships/hyperlink" Target="http://secrets.rutgers.edu:8080/data/asl-ftp/asllvd/demos/verify_start_end_handshape_annotations//test_auto_move//signs_mov/16120.mov" TargetMode="External"/><Relationship Id="rId18984" Type="http://schemas.openxmlformats.org/officeDocument/2006/relationships/hyperlink" Target="http://secrets.rutgers.edu:8080/data/asl-ftp/asllvd/demos/verify_start_end_handshape_annotations//test_auto_move//signs_mov_separ_signers/Brady_16120.mov" TargetMode="External"/><Relationship Id="rId18985" Type="http://schemas.openxmlformats.org/officeDocument/2006/relationships/hyperlink" Target="http://csr.bu.edu/ftp/asl/asllvd/demos/verify_start_end_handshape_annotations//test_auto_move//signs_mov_separ_signers/Liz_2812.mov" TargetMode="External"/><Relationship Id="rId18986" Type="http://schemas.openxmlformats.org/officeDocument/2006/relationships/hyperlink" Target="http://secrets.rutgers.edu:8080/data/asl-ftp/asllvd/demos/verify_start_end_handshape_annotations//test_auto_move//signs_mov_separ_signers/Liz_2812.mov" TargetMode="External"/><Relationship Id="rId18987" Type="http://schemas.openxmlformats.org/officeDocument/2006/relationships/hyperlink" Target="http://csr.bu.edu/ftp/asl/asllvd/demos/verify_start_end_handshape_annotations//test_auto_move//signs_mov/2812_5836_merged.mov" TargetMode="External"/><Relationship Id="rId18988" Type="http://schemas.openxmlformats.org/officeDocument/2006/relationships/hyperlink" Target="http://csr.bu.edu/ftp/asl/asllvd/demos/verify_start_end_handshape_annotations//test_auto_move//signs_mov_separ_signers/Brady_2812.mov" TargetMode="External"/><Relationship Id="rId18989" Type="http://schemas.openxmlformats.org/officeDocument/2006/relationships/hyperlink" Target="http://secrets.rutgers.edu:8080/data/asl-ftp/asllvd/demos/verify_start_end_handshape_annotations//test_auto_move//signs_mov/2812_5836_merged.mov" TargetMode="External"/><Relationship Id="rId18990" Type="http://schemas.openxmlformats.org/officeDocument/2006/relationships/hyperlink" Target="http://secrets.rutgers.edu:8080/data/asl-ftp/asllvd/demos/verify_start_end_handshape_annotations//test_auto_move//signs_mov_separ_signers/Brady_2812.mov" TargetMode="External"/><Relationship Id="rId18991" Type="http://schemas.openxmlformats.org/officeDocument/2006/relationships/hyperlink" Target="http://csr.bu.edu/ftp/asl/asllvd/demos/verify_start_end_handshape_annotations//test_auto_move//signs_mov_separ_signers/Brady_5836.mov" TargetMode="External"/><Relationship Id="rId18992" Type="http://schemas.openxmlformats.org/officeDocument/2006/relationships/hyperlink" Target="http://secrets.rutgers.edu:8080/data/asl-ftp/asllvd/demos/verify_start_end_handshape_annotations//test_auto_move//signs_mov_separ_signers/Brady_5836.mov" TargetMode="External"/><Relationship Id="rId18993" Type="http://schemas.openxmlformats.org/officeDocument/2006/relationships/hyperlink" Target="http://csr.bu.edu/ftp/asl/asllvd/demos/verify_start_end_handshape_annotations//test_auto_move//signs_mov/2813.mov" TargetMode="External"/><Relationship Id="rId18994" Type="http://schemas.openxmlformats.org/officeDocument/2006/relationships/hyperlink" Target="http://csr.bu.edu/ftp/asl/asllvd/demos/verify_start_end_handshape_annotations//test_auto_move//signs_mov_separ_signers/Liz_2813.mov" TargetMode="External"/><Relationship Id="rId18995" Type="http://schemas.openxmlformats.org/officeDocument/2006/relationships/hyperlink" Target="http://secrets.rutgers.edu:8080/data/asl-ftp/asllvd/demos/verify_start_end_handshape_annotations//test_auto_move//signs_mov/2813.mov" TargetMode="External"/><Relationship Id="rId18996" Type="http://schemas.openxmlformats.org/officeDocument/2006/relationships/hyperlink" Target="http://secrets.rutgers.edu:8080/data/asl-ftp/asllvd/demos/verify_start_end_handshape_annotations//test_auto_move//signs_mov_separ_signers/Liz_2813.mov" TargetMode="External"/><Relationship Id="rId18997" Type="http://schemas.openxmlformats.org/officeDocument/2006/relationships/hyperlink" Target="http://csr.bu.edu/ftp/asl/asllvd/demos/verify_start_end_handshape_annotations//test_auto_move//signs_mov_separ_signers/Brady_2813.mov" TargetMode="External"/><Relationship Id="rId18998" Type="http://schemas.openxmlformats.org/officeDocument/2006/relationships/hyperlink" Target="http://secrets.rutgers.edu:8080/data/asl-ftp/asllvd/demos/verify_start_end_handshape_annotations//test_auto_move//signs_mov_separ_signers/Brady_2813.mov" TargetMode="External"/><Relationship Id="rId18999" Type="http://schemas.openxmlformats.org/officeDocument/2006/relationships/hyperlink" Target="http://csr.bu.edu/ftp/asl/asllvd/demos/verify_start_end_handshape_annotations//test_auto_move//signs_mov/3814.mov" TargetMode="External"/><Relationship Id="rId19000" Type="http://schemas.openxmlformats.org/officeDocument/2006/relationships/hyperlink" Target="http://csr.bu.edu/ftp/asl/asllvd/demos/verify_start_end_handshape_annotations//test_auto_move//signs_mov_separ_signers/Liz_3814.mov" TargetMode="External"/><Relationship Id="rId19001" Type="http://schemas.openxmlformats.org/officeDocument/2006/relationships/hyperlink" Target="http://secrets.rutgers.edu:8080/data/asl-ftp/asllvd/demos/verify_start_end_handshape_annotations//test_auto_move//signs_mov/3814.mov" TargetMode="External"/><Relationship Id="rId19002" Type="http://schemas.openxmlformats.org/officeDocument/2006/relationships/hyperlink" Target="http://secrets.rutgers.edu:8080/data/asl-ftp/asllvd/demos/verify_start_end_handshape_annotations//test_auto_move//signs_mov_separ_signers/Liz_3814.mov" TargetMode="External"/><Relationship Id="rId19003" Type="http://schemas.openxmlformats.org/officeDocument/2006/relationships/hyperlink" Target="http://csr.bu.edu/ftp/asl/asllvd/demos/verify_start_end_handshape_annotations//test_auto_move//signs_mov_separ_signers/Brady_3814.mov" TargetMode="External"/><Relationship Id="rId19004" Type="http://schemas.openxmlformats.org/officeDocument/2006/relationships/hyperlink" Target="http://secrets.rutgers.edu:8080/data/asl-ftp/asllvd/demos/verify_start_end_handshape_annotations//test_auto_move//signs_mov_separ_signers/Brady_3814.mov" TargetMode="External"/><Relationship Id="rId19005" Type="http://schemas.openxmlformats.org/officeDocument/2006/relationships/hyperlink" Target="http://csr.bu.edu/ftp/asl/asllvd/demos/verify_start_end_handshape_annotations//test_auto_move//signs_mov_separ_signers/Liz_2819.mov" TargetMode="External"/><Relationship Id="rId19006" Type="http://schemas.openxmlformats.org/officeDocument/2006/relationships/hyperlink" Target="http://secrets.rutgers.edu:8080/data/asl-ftp/asllvd/demos/verify_start_end_handshape_annotations//test_auto_move//signs_mov_separ_signers/Liz_2819.mov" TargetMode="External"/><Relationship Id="rId19007" Type="http://schemas.openxmlformats.org/officeDocument/2006/relationships/hyperlink" Target="http://csr.bu.edu/ftp/asl/asllvd/demos/verify_start_end_handshape_annotations//test_auto_move//signs_mov/2819.mov" TargetMode="External"/><Relationship Id="rId19008" Type="http://schemas.openxmlformats.org/officeDocument/2006/relationships/hyperlink" Target="http://csr.bu.edu/ftp/asl/asllvd/demos/verify_start_end_handshape_annotations//test_auto_move//signs_mov_separ_signers/Brady_2819.mov" TargetMode="External"/><Relationship Id="rId19009" Type="http://schemas.openxmlformats.org/officeDocument/2006/relationships/hyperlink" Target="http://secrets.rutgers.edu:8080/data/asl-ftp/asllvd/demos/verify_start_end_handshape_annotations//test_auto_move//signs_mov/2819.mov" TargetMode="External"/><Relationship Id="rId19010" Type="http://schemas.openxmlformats.org/officeDocument/2006/relationships/hyperlink" Target="http://secrets.rutgers.edu:8080/data/asl-ftp/asllvd/demos/verify_start_end_handshape_annotations//test_auto_move//signs_mov_separ_signers/Brady_2819.mov" TargetMode="External"/><Relationship Id="rId19011" Type="http://schemas.openxmlformats.org/officeDocument/2006/relationships/hyperlink" Target="http://csr.bu.edu/ftp/asl/asllvd/demos/verify_start_end_handshape_annotations//test_auto_move//signs_mov_separ_signers/Lana_2819.mov" TargetMode="External"/><Relationship Id="rId19012" Type="http://schemas.openxmlformats.org/officeDocument/2006/relationships/hyperlink" Target="http://secrets.rutgers.edu:8080/data/asl-ftp/asllvd/demos/verify_start_end_handshape_annotations//test_auto_move//signs_mov_separ_signers/Lana_2819.mov" TargetMode="External"/><Relationship Id="rId19013" Type="http://schemas.openxmlformats.org/officeDocument/2006/relationships/hyperlink" Target="http://csr.bu.edu/ftp/asl/asllvd/demos/verify_start_end_handshape_annotations//test_auto_move//signs_mov_separ_signers/Dana_2819.mov" TargetMode="External"/><Relationship Id="rId19014" Type="http://schemas.openxmlformats.org/officeDocument/2006/relationships/hyperlink" Target="http://secrets.rutgers.edu:8080/data/asl-ftp/asllvd/demos/verify_start_end_handshape_annotations//test_auto_move//signs_mov_separ_signers/Dana_2819.mov" TargetMode="External"/><Relationship Id="rId19015" Type="http://schemas.openxmlformats.org/officeDocument/2006/relationships/hyperlink" Target="http://csr.bu.edu/ftp/asl/asllvd/demos/verify_start_end_handshape_annotations//test_auto_move//signs_mov/2822.mov" TargetMode="External"/><Relationship Id="rId19016" Type="http://schemas.openxmlformats.org/officeDocument/2006/relationships/hyperlink" Target="http://csr.bu.edu/ftp/asl/asllvd/demos/verify_start_end_handshape_annotations//test_auto_move//signs_mov_separ_signers/Liz_2822.mov" TargetMode="External"/><Relationship Id="rId19017" Type="http://schemas.openxmlformats.org/officeDocument/2006/relationships/hyperlink" Target="http://secrets.rutgers.edu:8080/data/asl-ftp/asllvd/demos/verify_start_end_handshape_annotations//test_auto_move//signs_mov/2822.mov" TargetMode="External"/><Relationship Id="rId19018" Type="http://schemas.openxmlformats.org/officeDocument/2006/relationships/hyperlink" Target="http://secrets.rutgers.edu:8080/data/asl-ftp/asllvd/demos/verify_start_end_handshape_annotations//test_auto_move//signs_mov_separ_signers/Liz_2822.mov" TargetMode="External"/><Relationship Id="rId19019" Type="http://schemas.openxmlformats.org/officeDocument/2006/relationships/hyperlink" Target="http://csr.bu.edu/ftp/asl/asllvd/demos/verify_start_end_handshape_annotations//test_auto_move//signs_mov_separ_signers/Brady_2822.mov" TargetMode="External"/><Relationship Id="rId19020" Type="http://schemas.openxmlformats.org/officeDocument/2006/relationships/hyperlink" Target="http://secrets.rutgers.edu:8080/data/asl-ftp/asllvd/demos/verify_start_end_handshape_annotations//test_auto_move//signs_mov_separ_signers/Brady_2822.mov" TargetMode="External"/><Relationship Id="rId19021" Type="http://schemas.openxmlformats.org/officeDocument/2006/relationships/hyperlink" Target="http://csr.bu.edu/ftp/asl/asllvd/demos/verify_start_end_handshape_annotations//test_auto_move//signs_mov/15262.mov" TargetMode="External"/><Relationship Id="rId19022" Type="http://schemas.openxmlformats.org/officeDocument/2006/relationships/hyperlink" Target="http://csr.bu.edu/ftp/asl/asllvd/demos/verify_start_end_handshape_annotations//test_auto_move//signs_mov_separ_signers/Liz_15262.mov" TargetMode="External"/><Relationship Id="rId19023" Type="http://schemas.openxmlformats.org/officeDocument/2006/relationships/hyperlink" Target="http://secrets.rutgers.edu:8080/data/asl-ftp/asllvd/demos/verify_start_end_handshape_annotations//test_auto_move//signs_mov/15262.mov" TargetMode="External"/><Relationship Id="rId19024" Type="http://schemas.openxmlformats.org/officeDocument/2006/relationships/hyperlink" Target="http://secrets.rutgers.edu:8080/data/asl-ftp/asllvd/demos/verify_start_end_handshape_annotations//test_auto_move//signs_mov_separ_signers/Liz_15262.mov" TargetMode="External"/><Relationship Id="rId19025" Type="http://schemas.openxmlformats.org/officeDocument/2006/relationships/hyperlink" Target="http://csr.bu.edu/ftp/asl/asllvd/demos/verify_start_end_handshape_annotations//test_auto_move//signs_mov_separ_signers/Brady_15262.mov" TargetMode="External"/><Relationship Id="rId19026" Type="http://schemas.openxmlformats.org/officeDocument/2006/relationships/hyperlink" Target="http://secrets.rutgers.edu:8080/data/asl-ftp/asllvd/demos/verify_start_end_handshape_annotations//test_auto_move//signs_mov_separ_signers/Brady_15262.mov" TargetMode="External"/><Relationship Id="rId19027" Type="http://schemas.openxmlformats.org/officeDocument/2006/relationships/hyperlink" Target="http://csr.bu.edu/ftp/asl/asllvd/demos/verify_start_end_handshape_annotations//test_auto_move//signs_mov/2825.mov" TargetMode="External"/><Relationship Id="rId19028" Type="http://schemas.openxmlformats.org/officeDocument/2006/relationships/hyperlink" Target="http://csr.bu.edu/ftp/asl/asllvd/demos/verify_start_end_handshape_annotations//test_auto_move//signs_mov_separ_signers/Liz_2825.mov" TargetMode="External"/><Relationship Id="rId19029" Type="http://schemas.openxmlformats.org/officeDocument/2006/relationships/hyperlink" Target="http://secrets.rutgers.edu:8080/data/asl-ftp/asllvd/demos/verify_start_end_handshape_annotations//test_auto_move//signs_mov/2825.mov" TargetMode="External"/><Relationship Id="rId19030" Type="http://schemas.openxmlformats.org/officeDocument/2006/relationships/hyperlink" Target="http://secrets.rutgers.edu:8080/data/asl-ftp/asllvd/demos/verify_start_end_handshape_annotations//test_auto_move//signs_mov_separ_signers/Liz_2825.mov" TargetMode="External"/><Relationship Id="rId19031" Type="http://schemas.openxmlformats.org/officeDocument/2006/relationships/hyperlink" Target="http://csr.bu.edu/ftp/asl/asllvd/demos/verify_start_end_handshape_annotations//test_auto_move//signs_mov_separ_signers/Brady_2825.mov" TargetMode="External"/><Relationship Id="rId19032" Type="http://schemas.openxmlformats.org/officeDocument/2006/relationships/hyperlink" Target="http://secrets.rutgers.edu:8080/data/asl-ftp/asllvd/demos/verify_start_end_handshape_annotations//test_auto_move//signs_mov_separ_signers/Brady_2825.mov" TargetMode="External"/><Relationship Id="rId19033" Type="http://schemas.openxmlformats.org/officeDocument/2006/relationships/hyperlink" Target="http://csr.bu.edu/ftp/asl/asllvd/demos/verify_start_end_handshape_annotations//test_auto_move//signs_mov_separ_signers/Liz_15835.mov" TargetMode="External"/><Relationship Id="rId19034" Type="http://schemas.openxmlformats.org/officeDocument/2006/relationships/hyperlink" Target="http://secrets.rutgers.edu:8080/data/asl-ftp/asllvd/demos/verify_start_end_handshape_annotations//test_auto_move//signs_mov_separ_signers/Liz_15835.mov" TargetMode="External"/><Relationship Id="rId19035" Type="http://schemas.openxmlformats.org/officeDocument/2006/relationships/hyperlink" Target="http://csr.bu.edu/ftp/asl/asllvd/demos/verify_start_end_handshape_annotations//test_auto_move//signs_mov/15835_15867_merged.mov" TargetMode="External"/><Relationship Id="rId19036" Type="http://schemas.openxmlformats.org/officeDocument/2006/relationships/hyperlink" Target="http://csr.bu.edu/ftp/asl/asllvd/demos/verify_start_end_handshape_annotations//test_auto_move//signs_mov_separ_signers/Brady_15835.mov" TargetMode="External"/><Relationship Id="rId19037" Type="http://schemas.openxmlformats.org/officeDocument/2006/relationships/hyperlink" Target="http://secrets.rutgers.edu:8080/data/asl-ftp/asllvd/demos/verify_start_end_handshape_annotations//test_auto_move//signs_mov/15835_15867_merged.mov" TargetMode="External"/><Relationship Id="rId19038" Type="http://schemas.openxmlformats.org/officeDocument/2006/relationships/hyperlink" Target="http://secrets.rutgers.edu:8080/data/asl-ftp/asllvd/demos/verify_start_end_handshape_annotations//test_auto_move//signs_mov_separ_signers/Brady_15835.mov" TargetMode="External"/><Relationship Id="rId19039" Type="http://schemas.openxmlformats.org/officeDocument/2006/relationships/hyperlink" Target="http://csr.bu.edu/ftp/asl/asllvd/demos/verify_start_end_handshape_annotations//test_auto_move//signs_mov_separ_signers/Brady_15867.mov" TargetMode="External"/><Relationship Id="rId19040" Type="http://schemas.openxmlformats.org/officeDocument/2006/relationships/hyperlink" Target="http://secrets.rutgers.edu:8080/data/asl-ftp/asllvd/demos/verify_start_end_handshape_annotations//test_auto_move//signs_mov_separ_signers/Brady_15867.mov" TargetMode="External"/><Relationship Id="rId19041" Type="http://schemas.openxmlformats.org/officeDocument/2006/relationships/hyperlink" Target="http://csr.bu.edu/ftp/asl/asllvd/demos/verify_start_end_handshape_annotations//test_auto_move//signs_mov/2827.mov" TargetMode="External"/><Relationship Id="rId19042" Type="http://schemas.openxmlformats.org/officeDocument/2006/relationships/hyperlink" Target="http://csr.bu.edu/ftp/asl/asllvd/demos/verify_start_end_handshape_annotations//test_auto_move//signs_mov_separ_signers/Liz_2827.mov" TargetMode="External"/><Relationship Id="rId19043" Type="http://schemas.openxmlformats.org/officeDocument/2006/relationships/hyperlink" Target="http://secrets.rutgers.edu:8080/data/asl-ftp/asllvd/demos/verify_start_end_handshape_annotations//test_auto_move//signs_mov/2827.mov" TargetMode="External"/><Relationship Id="rId19044" Type="http://schemas.openxmlformats.org/officeDocument/2006/relationships/hyperlink" Target="http://secrets.rutgers.edu:8080/data/asl-ftp/asllvd/demos/verify_start_end_handshape_annotations//test_auto_move//signs_mov_separ_signers/Liz_2827.mov" TargetMode="External"/><Relationship Id="rId19045" Type="http://schemas.openxmlformats.org/officeDocument/2006/relationships/hyperlink" Target="http://csr.bu.edu/ftp/asl/asllvd/demos/verify_start_end_handshape_annotations//test_auto_move//signs_mov_separ_signers/Brady_2827.mov" TargetMode="External"/><Relationship Id="rId19046" Type="http://schemas.openxmlformats.org/officeDocument/2006/relationships/hyperlink" Target="http://secrets.rutgers.edu:8080/data/asl-ftp/asllvd/demos/verify_start_end_handshape_annotations//test_auto_move//signs_mov_separ_signers/Brady_2827.mov" TargetMode="External"/><Relationship Id="rId19047" Type="http://schemas.openxmlformats.org/officeDocument/2006/relationships/hyperlink" Target="http://csr.bu.edu/ftp/asl/asllvd/demos/verify_start_end_handshape_annotations//test_auto_move//signs_mov/2831.mov" TargetMode="External"/><Relationship Id="rId19048" Type="http://schemas.openxmlformats.org/officeDocument/2006/relationships/hyperlink" Target="http://csr.bu.edu/ftp/asl/asllvd/demos/verify_start_end_handshape_annotations//test_auto_move//signs_mov_separ_signers/Liz_2831.mov" TargetMode="External"/><Relationship Id="rId19049" Type="http://schemas.openxmlformats.org/officeDocument/2006/relationships/hyperlink" Target="http://secrets.rutgers.edu:8080/data/asl-ftp/asllvd/demos/verify_start_end_handshape_annotations//test_auto_move//signs_mov/2831.mov" TargetMode="External"/><Relationship Id="rId19050" Type="http://schemas.openxmlformats.org/officeDocument/2006/relationships/hyperlink" Target="http://secrets.rutgers.edu:8080/data/asl-ftp/asllvd/demos/verify_start_end_handshape_annotations//test_auto_move//signs_mov_separ_signers/Liz_2831.mov" TargetMode="External"/><Relationship Id="rId19051" Type="http://schemas.openxmlformats.org/officeDocument/2006/relationships/hyperlink" Target="http://csr.bu.edu/ftp/asl/asllvd/demos/verify_start_end_handshape_annotations//test_auto_move//signs_mov_separ_signers/Brady_2831.mov" TargetMode="External"/><Relationship Id="rId19052" Type="http://schemas.openxmlformats.org/officeDocument/2006/relationships/hyperlink" Target="http://secrets.rutgers.edu:8080/data/asl-ftp/asllvd/demos/verify_start_end_handshape_annotations//test_auto_move//signs_mov_separ_signers/Brady_2831.mov" TargetMode="External"/><Relationship Id="rId19053" Type="http://schemas.openxmlformats.org/officeDocument/2006/relationships/hyperlink" Target="http://csr.bu.edu/ftp/asl/asllvd/demos/verify_start_end_handshape_annotations//test_auto_move//signs_mov/2832.mov" TargetMode="External"/><Relationship Id="rId19054" Type="http://schemas.openxmlformats.org/officeDocument/2006/relationships/hyperlink" Target="http://csr.bu.edu/ftp/asl/asllvd/demos/verify_start_end_handshape_annotations//test_auto_move//signs_mov_separ_signers/Liz_2832.mov" TargetMode="External"/><Relationship Id="rId19055" Type="http://schemas.openxmlformats.org/officeDocument/2006/relationships/hyperlink" Target="http://secrets.rutgers.edu:8080/data/asl-ftp/asllvd/demos/verify_start_end_handshape_annotations//test_auto_move//signs_mov/2832.mov" TargetMode="External"/><Relationship Id="rId19056" Type="http://schemas.openxmlformats.org/officeDocument/2006/relationships/hyperlink" Target="http://secrets.rutgers.edu:8080/data/asl-ftp/asllvd/demos/verify_start_end_handshape_annotations//test_auto_move//signs_mov_separ_signers/Liz_2832.mov" TargetMode="External"/><Relationship Id="rId19057" Type="http://schemas.openxmlformats.org/officeDocument/2006/relationships/hyperlink" Target="http://csr.bu.edu/ftp/asl/asllvd/demos/verify_start_end_handshape_annotations//test_auto_move//signs_mov_separ_signers/Brady_2832.mov" TargetMode="External"/><Relationship Id="rId19058" Type="http://schemas.openxmlformats.org/officeDocument/2006/relationships/hyperlink" Target="http://secrets.rutgers.edu:8080/data/asl-ftp/asllvd/demos/verify_start_end_handshape_annotations//test_auto_move//signs_mov_separ_signers/Brady_2832.mov" TargetMode="External"/><Relationship Id="rId19059" Type="http://schemas.openxmlformats.org/officeDocument/2006/relationships/hyperlink" Target="http://csr.bu.edu/ftp/asl/asllvd/demos/verify_start_end_handshape_annotations//test_auto_move//signs_mov_separ_signers/Liz_15165.mov" TargetMode="External"/><Relationship Id="rId19060" Type="http://schemas.openxmlformats.org/officeDocument/2006/relationships/hyperlink" Target="http://secrets.rutgers.edu:8080/data/asl-ftp/asllvd/demos/verify_start_end_handshape_annotations//test_auto_move//signs_mov_separ_signers/Liz_15165.mov" TargetMode="External"/><Relationship Id="rId19061" Type="http://schemas.openxmlformats.org/officeDocument/2006/relationships/hyperlink" Target="http://csr.bu.edu/ftp/asl/asllvd/demos/verify_start_end_handshape_annotations//test_auto_move//signs_mov/15165.mov" TargetMode="External"/><Relationship Id="rId19062" Type="http://schemas.openxmlformats.org/officeDocument/2006/relationships/hyperlink" Target="http://csr.bu.edu/ftp/asl/asllvd/demos/verify_start_end_handshape_annotations//test_auto_move//signs_mov_separ_signers/Tyler_15165.mov" TargetMode="External"/><Relationship Id="rId19063" Type="http://schemas.openxmlformats.org/officeDocument/2006/relationships/hyperlink" Target="http://secrets.rutgers.edu:8080/data/asl-ftp/asllvd/demos/verify_start_end_handshape_annotations//test_auto_move//signs_mov/15165.mov" TargetMode="External"/><Relationship Id="rId19064" Type="http://schemas.openxmlformats.org/officeDocument/2006/relationships/hyperlink" Target="http://secrets.rutgers.edu:8080/data/asl-ftp/asllvd/demos/verify_start_end_handshape_annotations//test_auto_move//signs_mov_separ_signers/Tyler_15165.mov" TargetMode="External"/><Relationship Id="rId19065" Type="http://schemas.openxmlformats.org/officeDocument/2006/relationships/hyperlink" Target="http://csr.bu.edu/ftp/asl/asllvd/demos/verify_start_end_handshape_annotations//test_auto_move//signs_mov_separ_signers/Naomi_15165.mov" TargetMode="External"/><Relationship Id="rId19066" Type="http://schemas.openxmlformats.org/officeDocument/2006/relationships/hyperlink" Target="http://secrets.rutgers.edu:8080/data/asl-ftp/asllvd/demos/verify_start_end_handshape_annotations//test_auto_move//signs_mov_separ_signers/Naomi_15165.mov" TargetMode="External"/><Relationship Id="rId19067" Type="http://schemas.openxmlformats.org/officeDocument/2006/relationships/hyperlink" Target="http://csr.bu.edu/ftp/asl/asllvd/demos/verify_start_end_handshape_annotations//test_auto_move//signs_mov_separ_signers/Brady_15165.mov" TargetMode="External"/><Relationship Id="rId19068" Type="http://schemas.openxmlformats.org/officeDocument/2006/relationships/hyperlink" Target="http://secrets.rutgers.edu:8080/data/asl-ftp/asllvd/demos/verify_start_end_handshape_annotations//test_auto_move//signs_mov_separ_signers/Brady_15165.mov" TargetMode="External"/><Relationship Id="rId19069" Type="http://schemas.openxmlformats.org/officeDocument/2006/relationships/hyperlink" Target="http://csr.bu.edu/ftp/asl/asllvd/demos/verify_start_end_handshape_annotations//test_auto_move//signs_mov/2833.mov" TargetMode="External"/><Relationship Id="rId19070" Type="http://schemas.openxmlformats.org/officeDocument/2006/relationships/hyperlink" Target="http://csr.bu.edu/ftp/asl/asllvd/demos/verify_start_end_handshape_annotations//test_auto_move//signs_mov_separ_signers/Liz_2833.mov" TargetMode="External"/><Relationship Id="rId19071" Type="http://schemas.openxmlformats.org/officeDocument/2006/relationships/hyperlink" Target="http://secrets.rutgers.edu:8080/data/asl-ftp/asllvd/demos/verify_start_end_handshape_annotations//test_auto_move//signs_mov/2833.mov" TargetMode="External"/><Relationship Id="rId19072" Type="http://schemas.openxmlformats.org/officeDocument/2006/relationships/hyperlink" Target="http://secrets.rutgers.edu:8080/data/asl-ftp/asllvd/demos/verify_start_end_handshape_annotations//test_auto_move//signs_mov_separ_signers/Liz_2833.mov" TargetMode="External"/><Relationship Id="rId19073" Type="http://schemas.openxmlformats.org/officeDocument/2006/relationships/hyperlink" Target="http://csr.bu.edu/ftp/asl/asllvd/demos/verify_start_end_handshape_annotations//test_auto_move//signs_mov_separ_signers/Brady_2833.mov" TargetMode="External"/><Relationship Id="rId19074" Type="http://schemas.openxmlformats.org/officeDocument/2006/relationships/hyperlink" Target="http://secrets.rutgers.edu:8080/data/asl-ftp/asllvd/demos/verify_start_end_handshape_annotations//test_auto_move//signs_mov_separ_signers/Brady_2833.mov" TargetMode="External"/><Relationship Id="rId19075" Type="http://schemas.openxmlformats.org/officeDocument/2006/relationships/hyperlink" Target="http://csr.bu.edu/ftp/asl/asllvd/demos/verify_start_end_handshape_annotations//test_auto_move//signs_mov/15172.mov" TargetMode="External"/><Relationship Id="rId19076" Type="http://schemas.openxmlformats.org/officeDocument/2006/relationships/hyperlink" Target="http://csr.bu.edu/ftp/asl/asllvd/demos/verify_start_end_handshape_annotations//test_auto_move//signs_mov_separ_signers/Liz_15172.mov" TargetMode="External"/><Relationship Id="rId19077" Type="http://schemas.openxmlformats.org/officeDocument/2006/relationships/hyperlink" Target="http://secrets.rutgers.edu:8080/data/asl-ftp/asllvd/demos/verify_start_end_handshape_annotations//test_auto_move//signs_mov/15172.mov" TargetMode="External"/><Relationship Id="rId19078" Type="http://schemas.openxmlformats.org/officeDocument/2006/relationships/hyperlink" Target="http://secrets.rutgers.edu:8080/data/asl-ftp/asllvd/demos/verify_start_end_handshape_annotations//test_auto_move//signs_mov_separ_signers/Liz_15172.mov" TargetMode="External"/><Relationship Id="rId19079" Type="http://schemas.openxmlformats.org/officeDocument/2006/relationships/hyperlink" Target="http://csr.bu.edu/ftp/asl/asllvd/demos/verify_start_end_handshape_annotations//test_auto_move//signs_mov_separ_signers/Brady_15172.mov" TargetMode="External"/><Relationship Id="rId19080" Type="http://schemas.openxmlformats.org/officeDocument/2006/relationships/hyperlink" Target="http://secrets.rutgers.edu:8080/data/asl-ftp/asllvd/demos/verify_start_end_handshape_annotations//test_auto_move//signs_mov_separ_signers/Brady_15172.mov" TargetMode="External"/><Relationship Id="rId19081" Type="http://schemas.openxmlformats.org/officeDocument/2006/relationships/hyperlink" Target="http://csr.bu.edu/ftp/asl/asllvd/demos/verify_start_end_handshape_annotations//test_auto_move//signs_mov/15181.mov" TargetMode="External"/><Relationship Id="rId19082" Type="http://schemas.openxmlformats.org/officeDocument/2006/relationships/hyperlink" Target="http://csr.bu.edu/ftp/asl/asllvd/demos/verify_start_end_handshape_annotations//test_auto_move//signs_mov_separ_signers/Liz_15181.mov" TargetMode="External"/><Relationship Id="rId19083" Type="http://schemas.openxmlformats.org/officeDocument/2006/relationships/hyperlink" Target="http://secrets.rutgers.edu:8080/data/asl-ftp/asllvd/demos/verify_start_end_handshape_annotations//test_auto_move//signs_mov/15181.mov" TargetMode="External"/><Relationship Id="rId19084" Type="http://schemas.openxmlformats.org/officeDocument/2006/relationships/hyperlink" Target="http://secrets.rutgers.edu:8080/data/asl-ftp/asllvd/demos/verify_start_end_handshape_annotations//test_auto_move//signs_mov_separ_signers/Liz_15181.mov" TargetMode="External"/><Relationship Id="rId19085" Type="http://schemas.openxmlformats.org/officeDocument/2006/relationships/hyperlink" Target="http://csr.bu.edu/ftp/asl/asllvd/demos/verify_start_end_handshape_annotations//test_auto_move//signs_mov_separ_signers/Liz_15186.mov" TargetMode="External"/><Relationship Id="rId19086" Type="http://schemas.openxmlformats.org/officeDocument/2006/relationships/hyperlink" Target="http://secrets.rutgers.edu:8080/data/asl-ftp/asllvd/demos/verify_start_end_handshape_annotations//test_auto_move//signs_mov_separ_signers/Liz_15186.mov" TargetMode="External"/><Relationship Id="rId19087" Type="http://schemas.openxmlformats.org/officeDocument/2006/relationships/hyperlink" Target="http://csr.bu.edu/ftp/asl/asllvd/demos/verify_start_end_handshape_annotations//test_auto_move//signs_mov/15186.mov" TargetMode="External"/><Relationship Id="rId19088" Type="http://schemas.openxmlformats.org/officeDocument/2006/relationships/hyperlink" Target="http://csr.bu.edu/ftp/asl/asllvd/demos/verify_start_end_handshape_annotations//test_auto_move//signs_mov_separ_signers/Tyler_15186.mov" TargetMode="External"/><Relationship Id="rId19089" Type="http://schemas.openxmlformats.org/officeDocument/2006/relationships/hyperlink" Target="http://secrets.rutgers.edu:8080/data/asl-ftp/asllvd/demos/verify_start_end_handshape_annotations//test_auto_move//signs_mov/15186.mov" TargetMode="External"/><Relationship Id="rId19090" Type="http://schemas.openxmlformats.org/officeDocument/2006/relationships/hyperlink" Target="http://secrets.rutgers.edu:8080/data/asl-ftp/asllvd/demos/verify_start_end_handshape_annotations//test_auto_move//signs_mov_separ_signers/Tyler_15186.mov" TargetMode="External"/><Relationship Id="rId19091" Type="http://schemas.openxmlformats.org/officeDocument/2006/relationships/hyperlink" Target="http://csr.bu.edu/ftp/asl/asllvd/demos/verify_start_end_handshape_annotations//test_auto_move//signs_mov_separ_signers/Naomi_15186.mov" TargetMode="External"/><Relationship Id="rId19092" Type="http://schemas.openxmlformats.org/officeDocument/2006/relationships/hyperlink" Target="http://secrets.rutgers.edu:8080/data/asl-ftp/asllvd/demos/verify_start_end_handshape_annotations//test_auto_move//signs_mov_separ_signers/Naomi_15186.mov" TargetMode="External"/><Relationship Id="rId19093" Type="http://schemas.openxmlformats.org/officeDocument/2006/relationships/hyperlink" Target="http://csr.bu.edu/ftp/asl/asllvd/demos/verify_start_end_handshape_annotations//test_auto_move//signs_mov_separ_signers/Brady_15186.mov" TargetMode="External"/><Relationship Id="rId19094" Type="http://schemas.openxmlformats.org/officeDocument/2006/relationships/hyperlink" Target="http://secrets.rutgers.edu:8080/data/asl-ftp/asllvd/demos/verify_start_end_handshape_annotations//test_auto_move//signs_mov_separ_signers/Brady_15186.mov" TargetMode="External"/><Relationship Id="rId19095" Type="http://schemas.openxmlformats.org/officeDocument/2006/relationships/hyperlink" Target="http://csr.bu.edu/ftp/asl/asllvd/demos/verify_start_end_handshape_annotations//test_auto_move//signs_mov_separ_signers/Liz_2837.mov" TargetMode="External"/><Relationship Id="rId19096" Type="http://schemas.openxmlformats.org/officeDocument/2006/relationships/hyperlink" Target="http://secrets.rutgers.edu:8080/data/asl-ftp/asllvd/demos/verify_start_end_handshape_annotations//test_auto_move//signs_mov_separ_signers/Liz_2837.mov" TargetMode="External"/><Relationship Id="rId19097" Type="http://schemas.openxmlformats.org/officeDocument/2006/relationships/hyperlink" Target="http://csr.bu.edu/ftp/asl/asllvd/demos/verify_start_end_handshape_annotations//test_auto_move//signs_mov_separ_signers/Liz_15356.mov" TargetMode="External"/><Relationship Id="rId19098" Type="http://schemas.openxmlformats.org/officeDocument/2006/relationships/hyperlink" Target="http://secrets.rutgers.edu:8080/data/asl-ftp/asllvd/demos/verify_start_end_handshape_annotations//test_auto_move//signs_mov_separ_signers/Liz_15356.mov" TargetMode="External"/><Relationship Id="rId19099" Type="http://schemas.openxmlformats.org/officeDocument/2006/relationships/hyperlink" Target="http://csr.bu.edu/ftp/asl/asllvd/demos/verify_start_end_handshape_annotations//test_auto_move//signs_mov/2837_15356_merged.mov" TargetMode="External"/><Relationship Id="rId19100" Type="http://schemas.openxmlformats.org/officeDocument/2006/relationships/hyperlink" Target="http://csr.bu.edu/ftp/asl/asllvd/demos/verify_start_end_handshape_annotations//test_auto_move//signs_mov_separ_signers/Brady_2837.mov" TargetMode="External"/><Relationship Id="rId19101" Type="http://schemas.openxmlformats.org/officeDocument/2006/relationships/hyperlink" Target="http://secrets.rutgers.edu:8080/data/asl-ftp/asllvd/demos/verify_start_end_handshape_annotations//test_auto_move//signs_mov/2837_15356_merged.mov" TargetMode="External"/><Relationship Id="rId19102" Type="http://schemas.openxmlformats.org/officeDocument/2006/relationships/hyperlink" Target="http://secrets.rutgers.edu:8080/data/asl-ftp/asllvd/demos/verify_start_end_handshape_annotations//test_auto_move//signs_mov_separ_signers/Brady_2837.mov" TargetMode="External"/><Relationship Id="rId19103" Type="http://schemas.openxmlformats.org/officeDocument/2006/relationships/hyperlink" Target="http://csr.bu.edu/ftp/asl/asllvd/demos/verify_start_end_handshape_annotations//test_auto_move//signs_mov_separ_signers/Brady_15356.mov" TargetMode="External"/><Relationship Id="rId19104" Type="http://schemas.openxmlformats.org/officeDocument/2006/relationships/hyperlink" Target="http://secrets.rutgers.edu:8080/data/asl-ftp/asllvd/demos/verify_start_end_handshape_annotations//test_auto_move//signs_mov_separ_signers/Brady_15356.mov" TargetMode="External"/><Relationship Id="rId19105" Type="http://schemas.openxmlformats.org/officeDocument/2006/relationships/hyperlink" Target="http://csr.bu.edu/ftp/asl/asllvd/demos/verify_start_end_handshape_annotations//test_auto_move//signs_mov_separ_signers/Lana_2837.mov" TargetMode="External"/><Relationship Id="rId19106" Type="http://schemas.openxmlformats.org/officeDocument/2006/relationships/hyperlink" Target="http://secrets.rutgers.edu:8080/data/asl-ftp/asllvd/demos/verify_start_end_handshape_annotations//test_auto_move//signs_mov_separ_signers/Lana_2837.mov" TargetMode="External"/><Relationship Id="rId19107" Type="http://schemas.openxmlformats.org/officeDocument/2006/relationships/hyperlink" Target="http://csr.bu.edu/ftp/asl/asllvd/demos/verify_start_end_handshape_annotations//test_auto_move//signs_mov_separ_signers/Liz_4707.mov" TargetMode="External"/><Relationship Id="rId19108" Type="http://schemas.openxmlformats.org/officeDocument/2006/relationships/hyperlink" Target="http://secrets.rutgers.edu:8080/data/asl-ftp/asllvd/demos/verify_start_end_handshape_annotations//test_auto_move//signs_mov_separ_signers/Liz_4707.mov" TargetMode="External"/><Relationship Id="rId19109" Type="http://schemas.openxmlformats.org/officeDocument/2006/relationships/hyperlink" Target="http://csr.bu.edu/ftp/asl/asllvd/demos/verify_start_end_handshape_annotations//test_auto_move//signs_mov_separ_signers/Tyler_4707.mov" TargetMode="External"/><Relationship Id="rId19110" Type="http://schemas.openxmlformats.org/officeDocument/2006/relationships/hyperlink" Target="http://secrets.rutgers.edu:8080/data/asl-ftp/asllvd/demos/verify_start_end_handshape_annotations//test_auto_move//signs_mov_separ_signers/Tyler_4707.mov" TargetMode="External"/><Relationship Id="rId19111" Type="http://schemas.openxmlformats.org/officeDocument/2006/relationships/hyperlink" Target="http://csr.bu.edu/ftp/asl/asllvd/demos/verify_start_end_handshape_annotations//test_auto_move//signs_mov/4707.mov" TargetMode="External"/><Relationship Id="rId19112" Type="http://schemas.openxmlformats.org/officeDocument/2006/relationships/hyperlink" Target="http://csr.bu.edu/ftp/asl/asllvd/demos/verify_start_end_handshape_annotations//test_auto_move//signs_mov_separ_signers/Naomi_4707.mov" TargetMode="External"/><Relationship Id="rId19113" Type="http://schemas.openxmlformats.org/officeDocument/2006/relationships/hyperlink" Target="http://secrets.rutgers.edu:8080/data/asl-ftp/asllvd/demos/verify_start_end_handshape_annotations//test_auto_move//signs_mov/4707.mov" TargetMode="External"/><Relationship Id="rId19114" Type="http://schemas.openxmlformats.org/officeDocument/2006/relationships/hyperlink" Target="http://secrets.rutgers.edu:8080/data/asl-ftp/asllvd/demos/verify_start_end_handshape_annotations//test_auto_move//signs_mov_separ_signers/Naomi_4707.mov" TargetMode="External"/><Relationship Id="rId19115" Type="http://schemas.openxmlformats.org/officeDocument/2006/relationships/hyperlink" Target="http://csr.bu.edu/ftp/asl/asllvd/demos/verify_start_end_handshape_annotations//test_auto_move//signs_mov_separ_signers/Brady_4707.mov" TargetMode="External"/><Relationship Id="rId19116" Type="http://schemas.openxmlformats.org/officeDocument/2006/relationships/hyperlink" Target="http://secrets.rutgers.edu:8080/data/asl-ftp/asllvd/demos/verify_start_end_handshape_annotations//test_auto_move//signs_mov_separ_signers/Brady_4707.mov" TargetMode="External"/><Relationship Id="rId19117" Type="http://schemas.openxmlformats.org/officeDocument/2006/relationships/hyperlink" Target="http://csr.bu.edu/ftp/asl/asllvd/demos/verify_start_end_handshape_annotations//test_auto_move//signs_mov_separ_signers/Lana_4707.mov" TargetMode="External"/><Relationship Id="rId19118" Type="http://schemas.openxmlformats.org/officeDocument/2006/relationships/hyperlink" Target="http://secrets.rutgers.edu:8080/data/asl-ftp/asllvd/demos/verify_start_end_handshape_annotations//test_auto_move//signs_mov_separ_signers/Lana_4707.mov" TargetMode="External"/><Relationship Id="rId19119" Type="http://schemas.openxmlformats.org/officeDocument/2006/relationships/hyperlink" Target="http://csr.bu.edu/ftp/asl/asllvd/demos/verify_start_end_handshape_annotations//test_auto_move//signs_mov_separ_signers/Dana_4707.mov" TargetMode="External"/><Relationship Id="rId19120" Type="http://schemas.openxmlformats.org/officeDocument/2006/relationships/hyperlink" Target="http://secrets.rutgers.edu:8080/data/asl-ftp/asllvd/demos/verify_start_end_handshape_annotations//test_auto_move//signs_mov_separ_signers/Dana_4707.mov" TargetMode="External"/><Relationship Id="rId19121" Type="http://schemas.openxmlformats.org/officeDocument/2006/relationships/hyperlink" Target="http://csr.bu.edu/ftp/asl/asllvd/demos/verify_start_end_handshape_annotations//test_auto_move//signs_mov/2840.mov" TargetMode="External"/><Relationship Id="rId19122" Type="http://schemas.openxmlformats.org/officeDocument/2006/relationships/hyperlink" Target="http://csr.bu.edu/ftp/asl/asllvd/demos/verify_start_end_handshape_annotations//test_auto_move//signs_mov_separ_signers/Liz_2840.mov" TargetMode="External"/><Relationship Id="rId19123" Type="http://schemas.openxmlformats.org/officeDocument/2006/relationships/hyperlink" Target="http://secrets.rutgers.edu:8080/data/asl-ftp/asllvd/demos/verify_start_end_handshape_annotations//test_auto_move//signs_mov/2840.mov" TargetMode="External"/><Relationship Id="rId19124" Type="http://schemas.openxmlformats.org/officeDocument/2006/relationships/hyperlink" Target="http://secrets.rutgers.edu:8080/data/asl-ftp/asllvd/demos/verify_start_end_handshape_annotations//test_auto_move//signs_mov_separ_signers/Liz_2840.mov" TargetMode="External"/><Relationship Id="rId19125" Type="http://schemas.openxmlformats.org/officeDocument/2006/relationships/hyperlink" Target="http://csr.bu.edu/ftp/asl/asllvd/demos/verify_start_end_handshape_annotations//test_auto_move//signs_mov_separ_signers/Brady_2840.mov" TargetMode="External"/><Relationship Id="rId19126" Type="http://schemas.openxmlformats.org/officeDocument/2006/relationships/hyperlink" Target="http://secrets.rutgers.edu:8080/data/asl-ftp/asllvd/demos/verify_start_end_handshape_annotations//test_auto_move//signs_mov_separ_signers/Brady_2840.mov" TargetMode="External"/><Relationship Id="rId19127" Type="http://schemas.openxmlformats.org/officeDocument/2006/relationships/hyperlink" Target="http://csr.bu.edu/ftp/asl/asllvd/demos/verify_start_end_handshape_annotations//test_auto_move//signs_mov/2842.mov" TargetMode="External"/><Relationship Id="rId19128" Type="http://schemas.openxmlformats.org/officeDocument/2006/relationships/hyperlink" Target="http://csr.bu.edu/ftp/asl/asllvd/demos/verify_start_end_handshape_annotations//test_auto_move//signs_mov_separ_signers/Liz_2842.mov" TargetMode="External"/><Relationship Id="rId19129" Type="http://schemas.openxmlformats.org/officeDocument/2006/relationships/hyperlink" Target="http://secrets.rutgers.edu:8080/data/asl-ftp/asllvd/demos/verify_start_end_handshape_annotations//test_auto_move//signs_mov/2842.mov" TargetMode="External"/><Relationship Id="rId19130" Type="http://schemas.openxmlformats.org/officeDocument/2006/relationships/hyperlink" Target="http://secrets.rutgers.edu:8080/data/asl-ftp/asllvd/demos/verify_start_end_handshape_annotations//test_auto_move//signs_mov_separ_signers/Liz_2842.mov" TargetMode="External"/><Relationship Id="rId19131" Type="http://schemas.openxmlformats.org/officeDocument/2006/relationships/hyperlink" Target="http://csr.bu.edu/ftp/asl/asllvd/demos/verify_start_end_handshape_annotations//test_auto_move//signs_mov/3884.mov" TargetMode="External"/><Relationship Id="rId19132" Type="http://schemas.openxmlformats.org/officeDocument/2006/relationships/hyperlink" Target="http://csr.bu.edu/ftp/asl/asllvd/demos/verify_start_end_handshape_annotations//test_auto_move//signs_mov_separ_signers/Liz_3884.mov" TargetMode="External"/><Relationship Id="rId19133" Type="http://schemas.openxmlformats.org/officeDocument/2006/relationships/hyperlink" Target="http://secrets.rutgers.edu:8080/data/asl-ftp/asllvd/demos/verify_start_end_handshape_annotations//test_auto_move//signs_mov/3884.mov" TargetMode="External"/><Relationship Id="rId19134" Type="http://schemas.openxmlformats.org/officeDocument/2006/relationships/hyperlink" Target="http://secrets.rutgers.edu:8080/data/asl-ftp/asllvd/demos/verify_start_end_handshape_annotations//test_auto_move//signs_mov_separ_signers/Liz_3884.mov" TargetMode="External"/><Relationship Id="rId19135" Type="http://schemas.openxmlformats.org/officeDocument/2006/relationships/hyperlink" Target="http://csr.bu.edu/ftp/asl/asllvd/demos/verify_start_end_handshape_annotations//test_auto_move//signs_mov_separ_signers/Brady_3884.mov" TargetMode="External"/><Relationship Id="rId19136" Type="http://schemas.openxmlformats.org/officeDocument/2006/relationships/hyperlink" Target="http://secrets.rutgers.edu:8080/data/asl-ftp/asllvd/demos/verify_start_end_handshape_annotations//test_auto_move//signs_mov_separ_signers/Brady_3884.mov" TargetMode="External"/><Relationship Id="rId19137" Type="http://schemas.openxmlformats.org/officeDocument/2006/relationships/hyperlink" Target="http://csr.bu.edu/ftp/asl/asllvd/demos/verify_start_end_handshape_annotations//test_auto_move//signs_mov/5962.mov" TargetMode="External"/><Relationship Id="rId19138" Type="http://schemas.openxmlformats.org/officeDocument/2006/relationships/hyperlink" Target="http://csr.bu.edu/ftp/asl/asllvd/demos/verify_start_end_handshape_annotations//test_auto_move//signs_mov_separ_signers/Brady_5962.mov" TargetMode="External"/><Relationship Id="rId19139" Type="http://schemas.openxmlformats.org/officeDocument/2006/relationships/hyperlink" Target="http://secrets.rutgers.edu:8080/data/asl-ftp/asllvd/demos/verify_start_end_handshape_annotations//test_auto_move//signs_mov/5962.mov" TargetMode="External"/><Relationship Id="rId19140" Type="http://schemas.openxmlformats.org/officeDocument/2006/relationships/hyperlink" Target="http://secrets.rutgers.edu:8080/data/asl-ftp/asllvd/demos/verify_start_end_handshape_annotations//test_auto_move//signs_mov_separ_signers/Brady_5962.mov" TargetMode="External"/><Relationship Id="rId19141" Type="http://schemas.openxmlformats.org/officeDocument/2006/relationships/hyperlink" Target="http://csr.bu.edu/ftp/asl/asllvd/demos/verify_start_end_handshape_annotations//test_auto_move//signs_mov/2850.mov" TargetMode="External"/><Relationship Id="rId19142" Type="http://schemas.openxmlformats.org/officeDocument/2006/relationships/hyperlink" Target="http://csr.bu.edu/ftp/asl/asllvd/demos/verify_start_end_handshape_annotations//test_auto_move//signs_mov_separ_signers/Liz_2850.mov" TargetMode="External"/><Relationship Id="rId19143" Type="http://schemas.openxmlformats.org/officeDocument/2006/relationships/hyperlink" Target="http://secrets.rutgers.edu:8080/data/asl-ftp/asllvd/demos/verify_start_end_handshape_annotations//test_auto_move//signs_mov/2850.mov" TargetMode="External"/><Relationship Id="rId19144" Type="http://schemas.openxmlformats.org/officeDocument/2006/relationships/hyperlink" Target="http://secrets.rutgers.edu:8080/data/asl-ftp/asllvd/demos/verify_start_end_handshape_annotations//test_auto_move//signs_mov_separ_signers/Liz_2850.mov" TargetMode="External"/><Relationship Id="rId19145" Type="http://schemas.openxmlformats.org/officeDocument/2006/relationships/hyperlink" Target="http://csr.bu.edu/ftp/asl/asllvd/demos/verify_start_end_handshape_annotations//test_auto_move//signs_mov_separ_signers/Brady_2850.mov" TargetMode="External"/><Relationship Id="rId19146" Type="http://schemas.openxmlformats.org/officeDocument/2006/relationships/hyperlink" Target="http://secrets.rutgers.edu:8080/data/asl-ftp/asllvd/demos/verify_start_end_handshape_annotations//test_auto_move//signs_mov_separ_signers/Brady_2850.mov" TargetMode="External"/><Relationship Id="rId19147" Type="http://schemas.openxmlformats.org/officeDocument/2006/relationships/hyperlink" Target="http://csr.bu.edu/ftp/asl/asllvd/demos/verify_start_end_handshape_annotations//test_auto_move//signs_mov/15949.mov" TargetMode="External"/><Relationship Id="rId19148" Type="http://schemas.openxmlformats.org/officeDocument/2006/relationships/hyperlink" Target="http://csr.bu.edu/ftp/asl/asllvd/demos/verify_start_end_handshape_annotations//test_auto_move//signs_mov_separ_signers/Liz_15949.mov" TargetMode="External"/><Relationship Id="rId19149" Type="http://schemas.openxmlformats.org/officeDocument/2006/relationships/hyperlink" Target="http://secrets.rutgers.edu:8080/data/asl-ftp/asllvd/demos/verify_start_end_handshape_annotations//test_auto_move//signs_mov/15949.mov" TargetMode="External"/><Relationship Id="rId19150" Type="http://schemas.openxmlformats.org/officeDocument/2006/relationships/hyperlink" Target="http://secrets.rutgers.edu:8080/data/asl-ftp/asllvd/demos/verify_start_end_handshape_annotations//test_auto_move//signs_mov_separ_signers/Liz_15949.mov" TargetMode="External"/><Relationship Id="rId19151" Type="http://schemas.openxmlformats.org/officeDocument/2006/relationships/hyperlink" Target="http://csr.bu.edu/ftp/asl/asllvd/demos/verify_start_end_handshape_annotations//test_auto_move//signs_mov/15955.mov" TargetMode="External"/><Relationship Id="rId19152" Type="http://schemas.openxmlformats.org/officeDocument/2006/relationships/hyperlink" Target="http://csr.bu.edu/ftp/asl/asllvd/demos/verify_start_end_handshape_annotations//test_auto_move//signs_mov_separ_signers/Brady_15955.mov" TargetMode="External"/><Relationship Id="rId19153" Type="http://schemas.openxmlformats.org/officeDocument/2006/relationships/hyperlink" Target="http://secrets.rutgers.edu:8080/data/asl-ftp/asllvd/demos/verify_start_end_handshape_annotations//test_auto_move//signs_mov/15955.mov" TargetMode="External"/><Relationship Id="rId19154" Type="http://schemas.openxmlformats.org/officeDocument/2006/relationships/hyperlink" Target="http://secrets.rutgers.edu:8080/data/asl-ftp/asllvd/demos/verify_start_end_handshape_annotations//test_auto_move//signs_mov_separ_signers/Brady_15955.mov" TargetMode="External"/><Relationship Id="rId19155" Type="http://schemas.openxmlformats.org/officeDocument/2006/relationships/hyperlink" Target="http://csr.bu.edu/ftp/asl/asllvd/demos/verify_start_end_handshape_annotations//test_auto_move//signs_mov/15967.mov" TargetMode="External"/><Relationship Id="rId19156" Type="http://schemas.openxmlformats.org/officeDocument/2006/relationships/hyperlink" Target="http://csr.bu.edu/ftp/asl/asllvd/demos/verify_start_end_handshape_annotations//test_auto_move//signs_mov_separ_signers/Liz_15967.mov" TargetMode="External"/><Relationship Id="rId19157" Type="http://schemas.openxmlformats.org/officeDocument/2006/relationships/hyperlink" Target="http://secrets.rutgers.edu:8080/data/asl-ftp/asllvd/demos/verify_start_end_handshape_annotations//test_auto_move//signs_mov/15967.mov" TargetMode="External"/><Relationship Id="rId19158" Type="http://schemas.openxmlformats.org/officeDocument/2006/relationships/hyperlink" Target="http://secrets.rutgers.edu:8080/data/asl-ftp/asllvd/demos/verify_start_end_handshape_annotations//test_auto_move//signs_mov_separ_signers/Liz_15967.mov" TargetMode="External"/><Relationship Id="rId19159" Type="http://schemas.openxmlformats.org/officeDocument/2006/relationships/hyperlink" Target="http://csr.bu.edu/ftp/asl/asllvd/demos/verify_start_end_handshape_annotations//test_auto_move//signs_mov_separ_signers/Brady_15967.mov" TargetMode="External"/><Relationship Id="rId19160" Type="http://schemas.openxmlformats.org/officeDocument/2006/relationships/hyperlink" Target="http://secrets.rutgers.edu:8080/data/asl-ftp/asllvd/demos/verify_start_end_handshape_annotations//test_auto_move//signs_mov_separ_signers/Brady_15967.mov" TargetMode="External"/><Relationship Id="rId19161" Type="http://schemas.openxmlformats.org/officeDocument/2006/relationships/hyperlink" Target="http://csr.bu.edu/ftp/asl/asllvd/demos/verify_start_end_handshape_annotations//test_auto_move//signs_mov/15992.mov" TargetMode="External"/><Relationship Id="rId19162" Type="http://schemas.openxmlformats.org/officeDocument/2006/relationships/hyperlink" Target="http://csr.bu.edu/ftp/asl/asllvd/demos/verify_start_end_handshape_annotations//test_auto_move//signs_mov_separ_signers/Liz_15992.mov" TargetMode="External"/><Relationship Id="rId19163" Type="http://schemas.openxmlformats.org/officeDocument/2006/relationships/hyperlink" Target="http://secrets.rutgers.edu:8080/data/asl-ftp/asllvd/demos/verify_start_end_handshape_annotations//test_auto_move//signs_mov/15992.mov" TargetMode="External"/><Relationship Id="rId19164" Type="http://schemas.openxmlformats.org/officeDocument/2006/relationships/hyperlink" Target="http://secrets.rutgers.edu:8080/data/asl-ftp/asllvd/demos/verify_start_end_handshape_annotations//test_auto_move//signs_mov_separ_signers/Liz_15992.mov" TargetMode="External"/><Relationship Id="rId19165" Type="http://schemas.openxmlformats.org/officeDocument/2006/relationships/hyperlink" Target="http://csr.bu.edu/ftp/asl/asllvd/demos/verify_start_end_handshape_annotations//test_auto_move//signs_mov_separ_signers/Brady_15992.mov" TargetMode="External"/><Relationship Id="rId19166" Type="http://schemas.openxmlformats.org/officeDocument/2006/relationships/hyperlink" Target="http://secrets.rutgers.edu:8080/data/asl-ftp/asllvd/demos/verify_start_end_handshape_annotations//test_auto_move//signs_mov_separ_signers/Brady_15992.mov" TargetMode="External"/><Relationship Id="rId19167" Type="http://schemas.openxmlformats.org/officeDocument/2006/relationships/hyperlink" Target="http://csr.bu.edu/ftp/asl/asllvd/demos/verify_start_end_handshape_annotations//test_auto_move//signs_mov/16016.mov" TargetMode="External"/><Relationship Id="rId19168" Type="http://schemas.openxmlformats.org/officeDocument/2006/relationships/hyperlink" Target="http://csr.bu.edu/ftp/asl/asllvd/demos/verify_start_end_handshape_annotations//test_auto_move//signs_mov_separ_signers/Liz_16016.mov" TargetMode="External"/><Relationship Id="rId19169" Type="http://schemas.openxmlformats.org/officeDocument/2006/relationships/hyperlink" Target="http://secrets.rutgers.edu:8080/data/asl-ftp/asllvd/demos/verify_start_end_handshape_annotations//test_auto_move//signs_mov/16016.mov" TargetMode="External"/><Relationship Id="rId19170" Type="http://schemas.openxmlformats.org/officeDocument/2006/relationships/hyperlink" Target="http://secrets.rutgers.edu:8080/data/asl-ftp/asllvd/demos/verify_start_end_handshape_annotations//test_auto_move//signs_mov_separ_signers/Liz_16016.mov" TargetMode="External"/><Relationship Id="rId19171" Type="http://schemas.openxmlformats.org/officeDocument/2006/relationships/hyperlink" Target="http://csr.bu.edu/ftp/asl/asllvd/demos/verify_start_end_handshape_annotations//test_auto_move//signs_mov/2851.mov" TargetMode="External"/><Relationship Id="rId19172" Type="http://schemas.openxmlformats.org/officeDocument/2006/relationships/hyperlink" Target="http://csr.bu.edu/ftp/asl/asllvd/demos/verify_start_end_handshape_annotations//test_auto_move//signs_mov_separ_signers/Liz_2851.mov" TargetMode="External"/><Relationship Id="rId19173" Type="http://schemas.openxmlformats.org/officeDocument/2006/relationships/hyperlink" Target="http://secrets.rutgers.edu:8080/data/asl-ftp/asllvd/demos/verify_start_end_handshape_annotations//test_auto_move//signs_mov/2851.mov" TargetMode="External"/><Relationship Id="rId19174" Type="http://schemas.openxmlformats.org/officeDocument/2006/relationships/hyperlink" Target="http://secrets.rutgers.edu:8080/data/asl-ftp/asllvd/demos/verify_start_end_handshape_annotations//test_auto_move//signs_mov_separ_signers/Liz_2851.mov" TargetMode="External"/><Relationship Id="rId19175" Type="http://schemas.openxmlformats.org/officeDocument/2006/relationships/hyperlink" Target="http://csr.bu.edu/ftp/asl/asllvd/demos/verify_start_end_handshape_annotations//test_auto_move//signs_mov/2854.mov" TargetMode="External"/><Relationship Id="rId19176" Type="http://schemas.openxmlformats.org/officeDocument/2006/relationships/hyperlink" Target="http://csr.bu.edu/ftp/asl/asllvd/demos/verify_start_end_handshape_annotations//test_auto_move//signs_mov_separ_signers/Liz_2854.mov" TargetMode="External"/><Relationship Id="rId19177" Type="http://schemas.openxmlformats.org/officeDocument/2006/relationships/hyperlink" Target="http://secrets.rutgers.edu:8080/data/asl-ftp/asllvd/demos/verify_start_end_handshape_annotations//test_auto_move//signs_mov/2854.mov" TargetMode="External"/><Relationship Id="rId19178" Type="http://schemas.openxmlformats.org/officeDocument/2006/relationships/hyperlink" Target="http://secrets.rutgers.edu:8080/data/asl-ftp/asllvd/demos/verify_start_end_handshape_annotations//test_auto_move//signs_mov_separ_signers/Liz_2854.mov" TargetMode="External"/><Relationship Id="rId19179" Type="http://schemas.openxmlformats.org/officeDocument/2006/relationships/hyperlink" Target="http://csr.bu.edu/ftp/asl/asllvd/demos/verify_start_end_handshape_annotations//test_auto_move//signs_mov_separ_signers/Brady_2854.mov" TargetMode="External"/><Relationship Id="rId19180" Type="http://schemas.openxmlformats.org/officeDocument/2006/relationships/hyperlink" Target="http://secrets.rutgers.edu:8080/data/asl-ftp/asllvd/demos/verify_start_end_handshape_annotations//test_auto_move//signs_mov_separ_signers/Brady_2854.mov" TargetMode="External"/><Relationship Id="rId19181" Type="http://schemas.openxmlformats.org/officeDocument/2006/relationships/hyperlink" Target="http://csr.bu.edu/ftp/asl/asllvd/demos/verify_start_end_handshape_annotations//test_auto_move//signs_mov/15752.mov" TargetMode="External"/><Relationship Id="rId19182" Type="http://schemas.openxmlformats.org/officeDocument/2006/relationships/hyperlink" Target="http://csr.bu.edu/ftp/asl/asllvd/demos/verify_start_end_handshape_annotations//test_auto_move//signs_mov_separ_signers/Tyler_15752.mov" TargetMode="External"/><Relationship Id="rId19183" Type="http://schemas.openxmlformats.org/officeDocument/2006/relationships/hyperlink" Target="http://secrets.rutgers.edu:8080/data/asl-ftp/asllvd/demos/verify_start_end_handshape_annotations//test_auto_move//signs_mov/15752.mov" TargetMode="External"/><Relationship Id="rId19184" Type="http://schemas.openxmlformats.org/officeDocument/2006/relationships/hyperlink" Target="http://secrets.rutgers.edu:8080/data/asl-ftp/asllvd/demos/verify_start_end_handshape_annotations//test_auto_move//signs_mov_separ_signers/Tyler_15752.mov" TargetMode="External"/><Relationship Id="rId19185" Type="http://schemas.openxmlformats.org/officeDocument/2006/relationships/hyperlink" Target="http://csr.bu.edu/ftp/asl/asllvd/demos/verify_start_end_handshape_annotations//test_auto_move//signs_mov/15797.mov" TargetMode="External"/><Relationship Id="rId19186" Type="http://schemas.openxmlformats.org/officeDocument/2006/relationships/hyperlink" Target="http://csr.bu.edu/ftp/asl/asllvd/demos/verify_start_end_handshape_annotations//test_auto_move//signs_mov_separ_signers/Liz_15797.mov" TargetMode="External"/><Relationship Id="rId19187" Type="http://schemas.openxmlformats.org/officeDocument/2006/relationships/hyperlink" Target="http://secrets.rutgers.edu:8080/data/asl-ftp/asllvd/demos/verify_start_end_handshape_annotations//test_auto_move//signs_mov/15797.mov" TargetMode="External"/><Relationship Id="rId19188" Type="http://schemas.openxmlformats.org/officeDocument/2006/relationships/hyperlink" Target="http://secrets.rutgers.edu:8080/data/asl-ftp/asllvd/demos/verify_start_end_handshape_annotations//test_auto_move//signs_mov_separ_signers/Liz_15797.mov" TargetMode="External"/><Relationship Id="rId19189" Type="http://schemas.openxmlformats.org/officeDocument/2006/relationships/hyperlink" Target="http://csr.bu.edu/ftp/asl/asllvd/demos/verify_start_end_handshape_annotations//test_auto_move//signs_mov_separ_signers/Naomi_15797.mov" TargetMode="External"/><Relationship Id="rId19190" Type="http://schemas.openxmlformats.org/officeDocument/2006/relationships/hyperlink" Target="http://secrets.rutgers.edu:8080/data/asl-ftp/asllvd/demos/verify_start_end_handshape_annotations//test_auto_move//signs_mov_separ_signers/Naomi_15797.mov" TargetMode="External"/><Relationship Id="rId19191" Type="http://schemas.openxmlformats.org/officeDocument/2006/relationships/hyperlink" Target="http://csr.bu.edu/ftp/asl/asllvd/demos/verify_start_end_handshape_annotations//test_auto_move//signs_mov_separ_signers/Liz_2855.mov" TargetMode="External"/><Relationship Id="rId19192" Type="http://schemas.openxmlformats.org/officeDocument/2006/relationships/hyperlink" Target="http://secrets.rutgers.edu:8080/data/asl-ftp/asllvd/demos/verify_start_end_handshape_annotations//test_auto_move//signs_mov_separ_signers/Liz_2855.mov" TargetMode="External"/><Relationship Id="rId19193" Type="http://schemas.openxmlformats.org/officeDocument/2006/relationships/hyperlink" Target="http://csr.bu.edu/ftp/asl/asllvd/demos/verify_start_end_handshape_annotations//test_auto_move//signs_mov_separ_signers/Liz_3354.mov" TargetMode="External"/><Relationship Id="rId19194" Type="http://schemas.openxmlformats.org/officeDocument/2006/relationships/hyperlink" Target="http://secrets.rutgers.edu:8080/data/asl-ftp/asllvd/demos/verify_start_end_handshape_annotations//test_auto_move//signs_mov_separ_signers/Liz_3354.mov" TargetMode="External"/><Relationship Id="rId19195" Type="http://schemas.openxmlformats.org/officeDocument/2006/relationships/hyperlink" Target="http://csr.bu.edu/ftp/asl/asllvd/demos/verify_start_end_handshape_annotations//test_auto_move//signs_mov/2855_3354_5936_merged.mov" TargetMode="External"/><Relationship Id="rId19196" Type="http://schemas.openxmlformats.org/officeDocument/2006/relationships/hyperlink" Target="http://csr.bu.edu/ftp/asl/asllvd/demos/verify_start_end_handshape_annotations//test_auto_move//signs_mov_separ_signers/Brady_2855.mov" TargetMode="External"/><Relationship Id="rId19197" Type="http://schemas.openxmlformats.org/officeDocument/2006/relationships/hyperlink" Target="http://secrets.rutgers.edu:8080/data/asl-ftp/asllvd/demos/verify_start_end_handshape_annotations//test_auto_move//signs_mov/2855_3354_5936_merged.mov" TargetMode="External"/><Relationship Id="rId19198" Type="http://schemas.openxmlformats.org/officeDocument/2006/relationships/hyperlink" Target="http://secrets.rutgers.edu:8080/data/asl-ftp/asllvd/demos/verify_start_end_handshape_annotations//test_auto_move//signs_mov_separ_signers/Brady_2855.mov" TargetMode="External"/><Relationship Id="rId19199" Type="http://schemas.openxmlformats.org/officeDocument/2006/relationships/hyperlink" Target="http://csr.bu.edu/ftp/asl/asllvd/demos/verify_start_end_handshape_annotations//test_auto_move//signs_mov_separ_signers/Brady_3354.mov" TargetMode="External"/><Relationship Id="rId19200" Type="http://schemas.openxmlformats.org/officeDocument/2006/relationships/hyperlink" Target="http://secrets.rutgers.edu:8080/data/asl-ftp/asllvd/demos/verify_start_end_handshape_annotations//test_auto_move//signs_mov_separ_signers/Brady_3354.mov" TargetMode="External"/><Relationship Id="rId19201" Type="http://schemas.openxmlformats.org/officeDocument/2006/relationships/hyperlink" Target="http://csr.bu.edu/ftp/asl/asllvd/demos/verify_start_end_handshape_annotations//test_auto_move//signs_mov_separ_signers/Brady_5936.mov" TargetMode="External"/><Relationship Id="rId19202" Type="http://schemas.openxmlformats.org/officeDocument/2006/relationships/hyperlink" Target="http://secrets.rutgers.edu:8080/data/asl-ftp/asllvd/demos/verify_start_end_handshape_annotations//test_auto_move//signs_mov_separ_signers/Brady_5936.mov" TargetMode="External"/><Relationship Id="rId19203" Type="http://schemas.openxmlformats.org/officeDocument/2006/relationships/hyperlink" Target="http://csr.bu.edu/ftp/asl/asllvd/demos/verify_start_end_handshape_annotations//test_auto_move//signs_mov/2856.mov" TargetMode="External"/><Relationship Id="rId19204" Type="http://schemas.openxmlformats.org/officeDocument/2006/relationships/hyperlink" Target="http://csr.bu.edu/ftp/asl/asllvd/demos/verify_start_end_handshape_annotations//test_auto_move//signs_mov_separ_signers/Liz_2856.mov" TargetMode="External"/><Relationship Id="rId19205" Type="http://schemas.openxmlformats.org/officeDocument/2006/relationships/hyperlink" Target="http://secrets.rutgers.edu:8080/data/asl-ftp/asllvd/demos/verify_start_end_handshape_annotations//test_auto_move//signs_mov/2856.mov" TargetMode="External"/><Relationship Id="rId19206" Type="http://schemas.openxmlformats.org/officeDocument/2006/relationships/hyperlink" Target="http://secrets.rutgers.edu:8080/data/asl-ftp/asllvd/demos/verify_start_end_handshape_annotations//test_auto_move//signs_mov_separ_signers/Liz_2856.mov" TargetMode="External"/><Relationship Id="rId19207" Type="http://schemas.openxmlformats.org/officeDocument/2006/relationships/hyperlink" Target="http://csr.bu.edu/ftp/asl/asllvd/demos/verify_start_end_handshape_annotations//test_auto_move//signs_mov_separ_signers/Brady_2856.mov" TargetMode="External"/><Relationship Id="rId19208" Type="http://schemas.openxmlformats.org/officeDocument/2006/relationships/hyperlink" Target="http://secrets.rutgers.edu:8080/data/asl-ftp/asllvd/demos/verify_start_end_handshape_annotations//test_auto_move//signs_mov_separ_signers/Brady_2856.mov" TargetMode="External"/><Relationship Id="rId19209" Type="http://schemas.openxmlformats.org/officeDocument/2006/relationships/hyperlink" Target="http://csr.bu.edu/ftp/asl/asllvd/demos/verify_start_end_handshape_annotations//test_auto_move//signs_mov/2857.mov" TargetMode="External"/><Relationship Id="rId19210" Type="http://schemas.openxmlformats.org/officeDocument/2006/relationships/hyperlink" Target="http://csr.bu.edu/ftp/asl/asllvd/demos/verify_start_end_handshape_annotations//test_auto_move//signs_mov_separ_signers/Brady_2857.mov" TargetMode="External"/><Relationship Id="rId19211" Type="http://schemas.openxmlformats.org/officeDocument/2006/relationships/hyperlink" Target="http://secrets.rutgers.edu:8080/data/asl-ftp/asllvd/demos/verify_start_end_handshape_annotations//test_auto_move//signs_mov/2857.mov" TargetMode="External"/><Relationship Id="rId19212" Type="http://schemas.openxmlformats.org/officeDocument/2006/relationships/hyperlink" Target="http://secrets.rutgers.edu:8080/data/asl-ftp/asllvd/demos/verify_start_end_handshape_annotations//test_auto_move//signs_mov_separ_signers/Brady_2857.mov" TargetMode="External"/><Relationship Id="rId19213" Type="http://schemas.openxmlformats.org/officeDocument/2006/relationships/hyperlink" Target="http://csr.bu.edu/ftp/asl/asllvd/demos/verify_start_end_handshape_annotations//test_auto_move//signs_mov/16509.mov" TargetMode="External"/><Relationship Id="rId19214" Type="http://schemas.openxmlformats.org/officeDocument/2006/relationships/hyperlink" Target="http://csr.bu.edu/ftp/asl/asllvd/demos/verify_start_end_handshape_annotations//test_auto_move//signs_mov_separ_signers/Liz_16509.mov" TargetMode="External"/><Relationship Id="rId19215" Type="http://schemas.openxmlformats.org/officeDocument/2006/relationships/hyperlink" Target="http://secrets.rutgers.edu:8080/data/asl-ftp/asllvd/demos/verify_start_end_handshape_annotations//test_auto_move//signs_mov/16509.mov" TargetMode="External"/><Relationship Id="rId19216" Type="http://schemas.openxmlformats.org/officeDocument/2006/relationships/hyperlink" Target="http://secrets.rutgers.edu:8080/data/asl-ftp/asllvd/demos/verify_start_end_handshape_annotations//test_auto_move//signs_mov_separ_signers/Liz_16509.mov" TargetMode="External"/><Relationship Id="rId19217" Type="http://schemas.openxmlformats.org/officeDocument/2006/relationships/hyperlink" Target="http://csr.bu.edu/ftp/asl/asllvd/demos/verify_start_end_handshape_annotations//test_auto_move//signs_mov/2860.mov" TargetMode="External"/><Relationship Id="rId19218" Type="http://schemas.openxmlformats.org/officeDocument/2006/relationships/hyperlink" Target="http://csr.bu.edu/ftp/asl/asllvd/demos/verify_start_end_handshape_annotations//test_auto_move//signs_mov_separ_signers/Liz_2860.mov" TargetMode="External"/><Relationship Id="rId19219" Type="http://schemas.openxmlformats.org/officeDocument/2006/relationships/hyperlink" Target="http://secrets.rutgers.edu:8080/data/asl-ftp/asllvd/demos/verify_start_end_handshape_annotations//test_auto_move//signs_mov/2860.mov" TargetMode="External"/><Relationship Id="rId19220" Type="http://schemas.openxmlformats.org/officeDocument/2006/relationships/hyperlink" Target="http://secrets.rutgers.edu:8080/data/asl-ftp/asllvd/demos/verify_start_end_handshape_annotations//test_auto_move//signs_mov_separ_signers/Liz_2860.mov" TargetMode="External"/><Relationship Id="rId19221" Type="http://schemas.openxmlformats.org/officeDocument/2006/relationships/hyperlink" Target="http://csr.bu.edu/ftp/asl/asllvd/demos/verify_start_end_handshape_annotations//test_auto_move//signs_mov_separ_signers/Brady_2860.mov" TargetMode="External"/><Relationship Id="rId19222" Type="http://schemas.openxmlformats.org/officeDocument/2006/relationships/hyperlink" Target="http://secrets.rutgers.edu:8080/data/asl-ftp/asllvd/demos/verify_start_end_handshape_annotations//test_auto_move//signs_mov_separ_signers/Brady_2860.mov" TargetMode="External"/><Relationship Id="rId19223" Type="http://schemas.openxmlformats.org/officeDocument/2006/relationships/hyperlink" Target="http://csr.bu.edu/ftp/asl/asllvd/demos/verify_start_end_handshape_annotations//test_auto_move//signs_mov/5810.mov" TargetMode="External"/><Relationship Id="rId19224" Type="http://schemas.openxmlformats.org/officeDocument/2006/relationships/hyperlink" Target="http://csr.bu.edu/ftp/asl/asllvd/demos/verify_start_end_handshape_annotations//test_auto_move//signs_mov_separ_signers/Liz_5810.mov" TargetMode="External"/><Relationship Id="rId19225" Type="http://schemas.openxmlformats.org/officeDocument/2006/relationships/hyperlink" Target="http://secrets.rutgers.edu:8080/data/asl-ftp/asllvd/demos/verify_start_end_handshape_annotations//test_auto_move//signs_mov/5810.mov" TargetMode="External"/><Relationship Id="rId19226" Type="http://schemas.openxmlformats.org/officeDocument/2006/relationships/hyperlink" Target="http://secrets.rutgers.edu:8080/data/asl-ftp/asllvd/demos/verify_start_end_handshape_annotations//test_auto_move//signs_mov_separ_signers/Liz_5810.mov" TargetMode="External"/><Relationship Id="rId19227" Type="http://schemas.openxmlformats.org/officeDocument/2006/relationships/hyperlink" Target="http://csr.bu.edu/ftp/asl/asllvd/demos/verify_start_end_handshape_annotations//test_auto_move//signs_mov/15738_16017_merged.mov" TargetMode="External"/><Relationship Id="rId19228" Type="http://schemas.openxmlformats.org/officeDocument/2006/relationships/hyperlink" Target="http://csr.bu.edu/ftp/asl/asllvd/demos/verify_start_end_handshape_annotations//test_auto_move//signs_mov_separ_signers/Brady_15738.mov" TargetMode="External"/><Relationship Id="rId19229" Type="http://schemas.openxmlformats.org/officeDocument/2006/relationships/hyperlink" Target="http://secrets.rutgers.edu:8080/data/asl-ftp/asllvd/demos/verify_start_end_handshape_annotations//test_auto_move//signs_mov/15738_16017_merged.mov" TargetMode="External"/><Relationship Id="rId19230" Type="http://schemas.openxmlformats.org/officeDocument/2006/relationships/hyperlink" Target="http://secrets.rutgers.edu:8080/data/asl-ftp/asllvd/demos/verify_start_end_handshape_annotations//test_auto_move//signs_mov_separ_signers/Brady_15738.mov" TargetMode="External"/><Relationship Id="rId19231" Type="http://schemas.openxmlformats.org/officeDocument/2006/relationships/hyperlink" Target="http://csr.bu.edu/ftp/asl/asllvd/demos/verify_start_end_handshape_annotations//test_auto_move//signs_mov_separ_signers/Brady_16017.mov" TargetMode="External"/><Relationship Id="rId19232" Type="http://schemas.openxmlformats.org/officeDocument/2006/relationships/hyperlink" Target="http://secrets.rutgers.edu:8080/data/asl-ftp/asllvd/demos/verify_start_end_handshape_annotations//test_auto_move//signs_mov_separ_signers/Brady_16017.mov" TargetMode="External"/><Relationship Id="rId19233" Type="http://schemas.openxmlformats.org/officeDocument/2006/relationships/hyperlink" Target="http://csr.bu.edu/ftp/asl/asllvd/demos/verify_start_end_handshape_annotations//test_auto_move//signs_mov/2865.mov" TargetMode="External"/><Relationship Id="rId19234" Type="http://schemas.openxmlformats.org/officeDocument/2006/relationships/hyperlink" Target="http://csr.bu.edu/ftp/asl/asllvd/demos/verify_start_end_handshape_annotations//test_auto_move//signs_mov_separ_signers/Liz_2865.mov" TargetMode="External"/><Relationship Id="rId19235" Type="http://schemas.openxmlformats.org/officeDocument/2006/relationships/hyperlink" Target="http://secrets.rutgers.edu:8080/data/asl-ftp/asllvd/demos/verify_start_end_handshape_annotations//test_auto_move//signs_mov/2865.mov" TargetMode="External"/><Relationship Id="rId19236" Type="http://schemas.openxmlformats.org/officeDocument/2006/relationships/hyperlink" Target="http://secrets.rutgers.edu:8080/data/asl-ftp/asllvd/demos/verify_start_end_handshape_annotations//test_auto_move//signs_mov_separ_signers/Liz_2865.mov" TargetMode="External"/><Relationship Id="rId19237" Type="http://schemas.openxmlformats.org/officeDocument/2006/relationships/hyperlink" Target="http://csr.bu.edu/ftp/asl/asllvd/demos/verify_start_end_handshape_annotations//test_auto_move//signs_mov_separ_signers/Brady_2865.mov" TargetMode="External"/><Relationship Id="rId19238" Type="http://schemas.openxmlformats.org/officeDocument/2006/relationships/hyperlink" Target="http://secrets.rutgers.edu:8080/data/asl-ftp/asllvd/demos/verify_start_end_handshape_annotations//test_auto_move//signs_mov_separ_signers/Brady_2865.mov" TargetMode="External"/><Relationship Id="rId19239" Type="http://schemas.openxmlformats.org/officeDocument/2006/relationships/hyperlink" Target="http://csr.bu.edu/ftp/asl/asllvd/demos/verify_start_end_handshape_annotations//test_auto_move//signs_mov/2867.mov" TargetMode="External"/><Relationship Id="rId19240" Type="http://schemas.openxmlformats.org/officeDocument/2006/relationships/hyperlink" Target="http://csr.bu.edu/ftp/asl/asllvd/demos/verify_start_end_handshape_annotations//test_auto_move//signs_mov_separ_signers/Liz_2867.mov" TargetMode="External"/><Relationship Id="rId19241" Type="http://schemas.openxmlformats.org/officeDocument/2006/relationships/hyperlink" Target="http://secrets.rutgers.edu:8080/data/asl-ftp/asllvd/demos/verify_start_end_handshape_annotations//test_auto_move//signs_mov/2867.mov" TargetMode="External"/><Relationship Id="rId19242" Type="http://schemas.openxmlformats.org/officeDocument/2006/relationships/hyperlink" Target="http://secrets.rutgers.edu:8080/data/asl-ftp/asllvd/demos/verify_start_end_handshape_annotations//test_auto_move//signs_mov_separ_signers/Liz_2867.mov" TargetMode="External"/><Relationship Id="rId19243" Type="http://schemas.openxmlformats.org/officeDocument/2006/relationships/hyperlink" Target="http://csr.bu.edu/ftp/asl/asllvd/demos/verify_start_end_handshape_annotations//test_auto_move//signs_mov_separ_signers/Brady_2867.mov" TargetMode="External"/><Relationship Id="rId19244" Type="http://schemas.openxmlformats.org/officeDocument/2006/relationships/hyperlink" Target="http://secrets.rutgers.edu:8080/data/asl-ftp/asllvd/demos/verify_start_end_handshape_annotations//test_auto_move//signs_mov_separ_signers/Brady_2867.mov" TargetMode="External"/><Relationship Id="rId19245" Type="http://schemas.openxmlformats.org/officeDocument/2006/relationships/hyperlink" Target="http://csr.bu.edu/ftp/asl/asllvd/demos/verify_start_end_handshape_annotations//test_auto_move//signs_mov/3821.mov" TargetMode="External"/><Relationship Id="rId19246" Type="http://schemas.openxmlformats.org/officeDocument/2006/relationships/hyperlink" Target="http://csr.bu.edu/ftp/asl/asllvd/demos/verify_start_end_handshape_annotations//test_auto_move//signs_mov_separ_signers/Liz_3821.mov" TargetMode="External"/><Relationship Id="rId19247" Type="http://schemas.openxmlformats.org/officeDocument/2006/relationships/hyperlink" Target="http://secrets.rutgers.edu:8080/data/asl-ftp/asllvd/demos/verify_start_end_handshape_annotations//test_auto_move//signs_mov/3821.mov" TargetMode="External"/><Relationship Id="rId19248" Type="http://schemas.openxmlformats.org/officeDocument/2006/relationships/hyperlink" Target="http://secrets.rutgers.edu:8080/data/asl-ftp/asllvd/demos/verify_start_end_handshape_annotations//test_auto_move//signs_mov_separ_signers/Liz_3821.mov" TargetMode="External"/><Relationship Id="rId19249" Type="http://schemas.openxmlformats.org/officeDocument/2006/relationships/hyperlink" Target="http://csr.bu.edu/ftp/asl/asllvd/demos/verify_start_end_handshape_annotations//test_auto_move//signs_mov_separ_signers/Brady_3821.mov" TargetMode="External"/><Relationship Id="rId19250" Type="http://schemas.openxmlformats.org/officeDocument/2006/relationships/hyperlink" Target="http://secrets.rutgers.edu:8080/data/asl-ftp/asllvd/demos/verify_start_end_handshape_annotations//test_auto_move//signs_mov_separ_signers/Brady_3821.mov" TargetMode="External"/><Relationship Id="rId19251" Type="http://schemas.openxmlformats.org/officeDocument/2006/relationships/hyperlink" Target="http://csr.bu.edu/ftp/asl/asllvd/demos/verify_start_end_handshape_annotations//test_auto_move//signs_mov/2869.mov" TargetMode="External"/><Relationship Id="rId19252" Type="http://schemas.openxmlformats.org/officeDocument/2006/relationships/hyperlink" Target="http://csr.bu.edu/ftp/asl/asllvd/demos/verify_start_end_handshape_annotations//test_auto_move//signs_mov_separ_signers/Liz_2869.mov" TargetMode="External"/><Relationship Id="rId19253" Type="http://schemas.openxmlformats.org/officeDocument/2006/relationships/hyperlink" Target="http://secrets.rutgers.edu:8080/data/asl-ftp/asllvd/demos/verify_start_end_handshape_annotations//test_auto_move//signs_mov/2869.mov" TargetMode="External"/><Relationship Id="rId19254" Type="http://schemas.openxmlformats.org/officeDocument/2006/relationships/hyperlink" Target="http://secrets.rutgers.edu:8080/data/asl-ftp/asllvd/demos/verify_start_end_handshape_annotations//test_auto_move//signs_mov_separ_signers/Liz_2869.mov" TargetMode="External"/><Relationship Id="rId19255" Type="http://schemas.openxmlformats.org/officeDocument/2006/relationships/hyperlink" Target="http://csr.bu.edu/ftp/asl/asllvd/demos/verify_start_end_handshape_annotations//test_auto_move//signs_mov_separ_signers/Brady_2869.mov" TargetMode="External"/><Relationship Id="rId19256" Type="http://schemas.openxmlformats.org/officeDocument/2006/relationships/hyperlink" Target="http://secrets.rutgers.edu:8080/data/asl-ftp/asllvd/demos/verify_start_end_handshape_annotations//test_auto_move//signs_mov_separ_signers/Brady_2869.mov" TargetMode="External"/><Relationship Id="rId19257" Type="http://schemas.openxmlformats.org/officeDocument/2006/relationships/hyperlink" Target="http://csr.bu.edu/ftp/asl/asllvd/demos/verify_start_end_handshape_annotations//test_auto_move//signs_mov/3822.mov" TargetMode="External"/><Relationship Id="rId19258" Type="http://schemas.openxmlformats.org/officeDocument/2006/relationships/hyperlink" Target="http://csr.bu.edu/ftp/asl/asllvd/demos/verify_start_end_handshape_annotations//test_auto_move//signs_mov_separ_signers/Liz_3822.mov" TargetMode="External"/><Relationship Id="rId19259" Type="http://schemas.openxmlformats.org/officeDocument/2006/relationships/hyperlink" Target="http://secrets.rutgers.edu:8080/data/asl-ftp/asllvd/demos/verify_start_end_handshape_annotations//test_auto_move//signs_mov/3822.mov" TargetMode="External"/><Relationship Id="rId19260" Type="http://schemas.openxmlformats.org/officeDocument/2006/relationships/hyperlink" Target="http://secrets.rutgers.edu:8080/data/asl-ftp/asllvd/demos/verify_start_end_handshape_annotations//test_auto_move//signs_mov_separ_signers/Liz_3822.mov" TargetMode="External"/><Relationship Id="rId19261" Type="http://schemas.openxmlformats.org/officeDocument/2006/relationships/hyperlink" Target="http://csr.bu.edu/ftp/asl/asllvd/demos/verify_start_end_handshape_annotations//test_auto_move//signs_mov_separ_signers/Brady_3822.mov" TargetMode="External"/><Relationship Id="rId19262" Type="http://schemas.openxmlformats.org/officeDocument/2006/relationships/hyperlink" Target="http://secrets.rutgers.edu:8080/data/asl-ftp/asllvd/demos/verify_start_end_handshape_annotations//test_auto_move//signs_mov_separ_signers/Brady_3822.mov" TargetMode="External"/><Relationship Id="rId19263" Type="http://schemas.openxmlformats.org/officeDocument/2006/relationships/hyperlink" Target="http://csr.bu.edu/ftp/asl/asllvd/demos/verify_start_end_handshape_annotations//test_auto_move//signs_mov/2877.mov" TargetMode="External"/><Relationship Id="rId19264" Type="http://schemas.openxmlformats.org/officeDocument/2006/relationships/hyperlink" Target="http://csr.bu.edu/ftp/asl/asllvd/demos/verify_start_end_handshape_annotations//test_auto_move//signs_mov_separ_signers/Liz_2877.mov" TargetMode="External"/><Relationship Id="rId19265" Type="http://schemas.openxmlformats.org/officeDocument/2006/relationships/hyperlink" Target="http://secrets.rutgers.edu:8080/data/asl-ftp/asllvd/demos/verify_start_end_handshape_annotations//test_auto_move//signs_mov/2877.mov" TargetMode="External"/><Relationship Id="rId19266" Type="http://schemas.openxmlformats.org/officeDocument/2006/relationships/hyperlink" Target="http://secrets.rutgers.edu:8080/data/asl-ftp/asllvd/demos/verify_start_end_handshape_annotations//test_auto_move//signs_mov_separ_signers/Liz_2877.mov" TargetMode="External"/><Relationship Id="rId19267" Type="http://schemas.openxmlformats.org/officeDocument/2006/relationships/hyperlink" Target="http://csr.bu.edu/ftp/asl/asllvd/demos/verify_start_end_handshape_annotations//test_auto_move//signs_mov_separ_signers/Brady_2877.mov" TargetMode="External"/><Relationship Id="rId19268" Type="http://schemas.openxmlformats.org/officeDocument/2006/relationships/hyperlink" Target="http://secrets.rutgers.edu:8080/data/asl-ftp/asllvd/demos/verify_start_end_handshape_annotations//test_auto_move//signs_mov_separ_signers/Brady_2877.mov" TargetMode="External"/><Relationship Id="rId19269" Type="http://schemas.openxmlformats.org/officeDocument/2006/relationships/hyperlink" Target="http://csr.bu.edu/ftp/asl/asllvd/demos/verify_start_end_handshape_annotations//test_auto_move//signs_mov/3985.mov" TargetMode="External"/><Relationship Id="rId19270" Type="http://schemas.openxmlformats.org/officeDocument/2006/relationships/hyperlink" Target="http://csr.bu.edu/ftp/asl/asllvd/demos/verify_start_end_handshape_annotations//test_auto_move//signs_mov_separ_signers/Liz_3985.mov" TargetMode="External"/><Relationship Id="rId19271" Type="http://schemas.openxmlformats.org/officeDocument/2006/relationships/hyperlink" Target="http://secrets.rutgers.edu:8080/data/asl-ftp/asllvd/demos/verify_start_end_handshape_annotations//test_auto_move//signs_mov/3985.mov" TargetMode="External"/><Relationship Id="rId19272" Type="http://schemas.openxmlformats.org/officeDocument/2006/relationships/hyperlink" Target="http://secrets.rutgers.edu:8080/data/asl-ftp/asllvd/demos/verify_start_end_handshape_annotations//test_auto_move//signs_mov_separ_signers/Liz_3985.mov" TargetMode="External"/><Relationship Id="rId19273" Type="http://schemas.openxmlformats.org/officeDocument/2006/relationships/hyperlink" Target="http://csr.bu.edu/ftp/asl/asllvd/demos/verify_start_end_handshape_annotations//test_auto_move//signs_mov_separ_signers/Brady_3985.mov" TargetMode="External"/><Relationship Id="rId19274" Type="http://schemas.openxmlformats.org/officeDocument/2006/relationships/hyperlink" Target="http://secrets.rutgers.edu:8080/data/asl-ftp/asllvd/demos/verify_start_end_handshape_annotations//test_auto_move//signs_mov_separ_signers/Brady_3985.mov" TargetMode="External"/><Relationship Id="rId19275" Type="http://schemas.openxmlformats.org/officeDocument/2006/relationships/hyperlink" Target="http://csr.bu.edu/ftp/asl/asllvd/demos/verify_start_end_handshape_annotations//test_auto_move//signs_mov/15366.mov" TargetMode="External"/><Relationship Id="rId19276" Type="http://schemas.openxmlformats.org/officeDocument/2006/relationships/hyperlink" Target="http://csr.bu.edu/ftp/asl/asllvd/demos/verify_start_end_handshape_annotations//test_auto_move//signs_mov_separ_signers/Liz_15366.mov" TargetMode="External"/><Relationship Id="rId19277" Type="http://schemas.openxmlformats.org/officeDocument/2006/relationships/hyperlink" Target="http://secrets.rutgers.edu:8080/data/asl-ftp/asllvd/demos/verify_start_end_handshape_annotations//test_auto_move//signs_mov/15366.mov" TargetMode="External"/><Relationship Id="rId19278" Type="http://schemas.openxmlformats.org/officeDocument/2006/relationships/hyperlink" Target="http://secrets.rutgers.edu:8080/data/asl-ftp/asllvd/demos/verify_start_end_handshape_annotations//test_auto_move//signs_mov_separ_signers/Liz_15366.mov" TargetMode="External"/><Relationship Id="rId19279" Type="http://schemas.openxmlformats.org/officeDocument/2006/relationships/hyperlink" Target="http://csr.bu.edu/ftp/asl/asllvd/demos/verify_start_end_handshape_annotations//test_auto_move//signs_mov_separ_signers/Brady_15366.mov" TargetMode="External"/><Relationship Id="rId19280" Type="http://schemas.openxmlformats.org/officeDocument/2006/relationships/hyperlink" Target="http://secrets.rutgers.edu:8080/data/asl-ftp/asllvd/demos/verify_start_end_handshape_annotations//test_auto_move//signs_mov_separ_signers/Brady_15366.mov" TargetMode="External"/><Relationship Id="rId19281" Type="http://schemas.openxmlformats.org/officeDocument/2006/relationships/hyperlink" Target="http://csr.bu.edu/ftp/asl/asllvd/demos/verify_start_end_handshape_annotations//test_auto_move//signs_mov/2880.mov" TargetMode="External"/><Relationship Id="rId19282" Type="http://schemas.openxmlformats.org/officeDocument/2006/relationships/hyperlink" Target="http://csr.bu.edu/ftp/asl/asllvd/demos/verify_start_end_handshape_annotations//test_auto_move//signs_mov_separ_signers/Liz_2880.mov" TargetMode="External"/><Relationship Id="rId19283" Type="http://schemas.openxmlformats.org/officeDocument/2006/relationships/hyperlink" Target="http://secrets.rutgers.edu:8080/data/asl-ftp/asllvd/demos/verify_start_end_handshape_annotations//test_auto_move//signs_mov/2880.mov" TargetMode="External"/><Relationship Id="rId19284" Type="http://schemas.openxmlformats.org/officeDocument/2006/relationships/hyperlink" Target="http://secrets.rutgers.edu:8080/data/asl-ftp/asllvd/demos/verify_start_end_handshape_annotations//test_auto_move//signs_mov_separ_signers/Liz_2880.mov" TargetMode="External"/><Relationship Id="rId19285" Type="http://schemas.openxmlformats.org/officeDocument/2006/relationships/hyperlink" Target="http://csr.bu.edu/ftp/asl/asllvd/demos/verify_start_end_handshape_annotations//test_auto_move//signs_mov_separ_signers/Brady_2880.mov" TargetMode="External"/><Relationship Id="rId19286" Type="http://schemas.openxmlformats.org/officeDocument/2006/relationships/hyperlink" Target="http://secrets.rutgers.edu:8080/data/asl-ftp/asllvd/demos/verify_start_end_handshape_annotations//test_auto_move//signs_mov_separ_signers/Brady_2880.mov" TargetMode="External"/><Relationship Id="rId19287" Type="http://schemas.openxmlformats.org/officeDocument/2006/relationships/hyperlink" Target="http://csr.bu.edu/ftp/asl/asllvd/demos/verify_start_end_handshape_annotations//test_auto_move//signs_mov/2881.mov" TargetMode="External"/><Relationship Id="rId19288" Type="http://schemas.openxmlformats.org/officeDocument/2006/relationships/hyperlink" Target="http://csr.bu.edu/ftp/asl/asllvd/demos/verify_start_end_handshape_annotations//test_auto_move//signs_mov_separ_signers/Liz_2881.mov" TargetMode="External"/><Relationship Id="rId19289" Type="http://schemas.openxmlformats.org/officeDocument/2006/relationships/hyperlink" Target="http://secrets.rutgers.edu:8080/data/asl-ftp/asllvd/demos/verify_start_end_handshape_annotations//test_auto_move//signs_mov/2881.mov" TargetMode="External"/><Relationship Id="rId19290" Type="http://schemas.openxmlformats.org/officeDocument/2006/relationships/hyperlink" Target="http://secrets.rutgers.edu:8080/data/asl-ftp/asllvd/demos/verify_start_end_handshape_annotations//test_auto_move//signs_mov_separ_signers/Liz_2881.mov" TargetMode="External"/><Relationship Id="rId19291" Type="http://schemas.openxmlformats.org/officeDocument/2006/relationships/hyperlink" Target="http://csr.bu.edu/ftp/asl/asllvd/demos/verify_start_end_handshape_annotations//test_auto_move//signs_mov_separ_signers/Brady_2881.mov" TargetMode="External"/><Relationship Id="rId19292" Type="http://schemas.openxmlformats.org/officeDocument/2006/relationships/hyperlink" Target="http://secrets.rutgers.edu:8080/data/asl-ftp/asllvd/demos/verify_start_end_handshape_annotations//test_auto_move//signs_mov_separ_signers/Brady_2881.mov" TargetMode="External"/><Relationship Id="rId19293" Type="http://schemas.openxmlformats.org/officeDocument/2006/relationships/hyperlink" Target="http://csr.bu.edu/ftp/asl/asllvd/demos/verify_start_end_handshape_annotations//test_auto_move//signs_mov/2886.mov" TargetMode="External"/><Relationship Id="rId19294" Type="http://schemas.openxmlformats.org/officeDocument/2006/relationships/hyperlink" Target="http://csr.bu.edu/ftp/asl/asllvd/demos/verify_start_end_handshape_annotations//test_auto_move//signs_mov_separ_signers/Liz_2886.mov" TargetMode="External"/><Relationship Id="rId19295" Type="http://schemas.openxmlformats.org/officeDocument/2006/relationships/hyperlink" Target="http://secrets.rutgers.edu:8080/data/asl-ftp/asllvd/demos/verify_start_end_handshape_annotations//test_auto_move//signs_mov/2886.mov" TargetMode="External"/><Relationship Id="rId19296" Type="http://schemas.openxmlformats.org/officeDocument/2006/relationships/hyperlink" Target="http://secrets.rutgers.edu:8080/data/asl-ftp/asllvd/demos/verify_start_end_handshape_annotations//test_auto_move//signs_mov_separ_signers/Liz_2886.mov" TargetMode="External"/><Relationship Id="rId19297" Type="http://schemas.openxmlformats.org/officeDocument/2006/relationships/hyperlink" Target="http://csr.bu.edu/ftp/asl/asllvd/demos/verify_start_end_handshape_annotations//test_auto_move//signs_mov_separ_signers/Brady_2886.mov" TargetMode="External"/><Relationship Id="rId19298" Type="http://schemas.openxmlformats.org/officeDocument/2006/relationships/hyperlink" Target="http://secrets.rutgers.edu:8080/data/asl-ftp/asllvd/demos/verify_start_end_handshape_annotations//test_auto_move//signs_mov_separ_signers/Brady_2886.mov" TargetMode="External"/><Relationship Id="rId19299" Type="http://schemas.openxmlformats.org/officeDocument/2006/relationships/hyperlink" Target="http://csr.bu.edu/ftp/asl/asllvd/demos/verify_start_end_handshape_annotations//test_auto_move//signs_mov/3826.mov" TargetMode="External"/><Relationship Id="rId19300" Type="http://schemas.openxmlformats.org/officeDocument/2006/relationships/hyperlink" Target="http://csr.bu.edu/ftp/asl/asllvd/demos/verify_start_end_handshape_annotations//test_auto_move//signs_mov_separ_signers/Liz_3826.mov" TargetMode="External"/><Relationship Id="rId19301" Type="http://schemas.openxmlformats.org/officeDocument/2006/relationships/hyperlink" Target="http://secrets.rutgers.edu:8080/data/asl-ftp/asllvd/demos/verify_start_end_handshape_annotations//test_auto_move//signs_mov/3826.mov" TargetMode="External"/><Relationship Id="rId19302" Type="http://schemas.openxmlformats.org/officeDocument/2006/relationships/hyperlink" Target="http://secrets.rutgers.edu:8080/data/asl-ftp/asllvd/demos/verify_start_end_handshape_annotations//test_auto_move//signs_mov_separ_signers/Liz_3826.mov" TargetMode="External"/><Relationship Id="rId19303" Type="http://schemas.openxmlformats.org/officeDocument/2006/relationships/hyperlink" Target="http://csr.bu.edu/ftp/asl/asllvd/demos/verify_start_end_handshape_annotations//test_auto_move//signs_mov_separ_signers/Brady_3826.mov" TargetMode="External"/><Relationship Id="rId19304" Type="http://schemas.openxmlformats.org/officeDocument/2006/relationships/hyperlink" Target="http://secrets.rutgers.edu:8080/data/asl-ftp/asllvd/demos/verify_start_end_handshape_annotations//test_auto_move//signs_mov_separ_signers/Brady_3826.mov" TargetMode="External"/><Relationship Id="rId19305" Type="http://schemas.openxmlformats.org/officeDocument/2006/relationships/hyperlink" Target="http://csr.bu.edu/ftp/asl/asllvd/demos/verify_start_end_handshape_annotations//test_auto_move//signs_mov_separ_signers/Liz_2888.mov" TargetMode="External"/><Relationship Id="rId19306" Type="http://schemas.openxmlformats.org/officeDocument/2006/relationships/hyperlink" Target="http://secrets.rutgers.edu:8080/data/asl-ftp/asllvd/demos/verify_start_end_handshape_annotations//test_auto_move//signs_mov_separ_signers/Liz_2888.mov" TargetMode="External"/><Relationship Id="rId19307" Type="http://schemas.openxmlformats.org/officeDocument/2006/relationships/hyperlink" Target="http://csr.bu.edu/ftp/asl/asllvd/demos/verify_start_end_handshape_annotations//test_auto_move//signs_mov/2888.mov" TargetMode="External"/><Relationship Id="rId19308" Type="http://schemas.openxmlformats.org/officeDocument/2006/relationships/hyperlink" Target="http://csr.bu.edu/ftp/asl/asllvd/demos/verify_start_end_handshape_annotations//test_auto_move//signs_mov_separ_signers/Brady_2888.mov" TargetMode="External"/><Relationship Id="rId19309" Type="http://schemas.openxmlformats.org/officeDocument/2006/relationships/hyperlink" Target="http://secrets.rutgers.edu:8080/data/asl-ftp/asllvd/demos/verify_start_end_handshape_annotations//test_auto_move//signs_mov/2888.mov" TargetMode="External"/><Relationship Id="rId19310" Type="http://schemas.openxmlformats.org/officeDocument/2006/relationships/hyperlink" Target="http://secrets.rutgers.edu:8080/data/asl-ftp/asllvd/demos/verify_start_end_handshape_annotations//test_auto_move//signs_mov_separ_signers/Brady_2888.mov" TargetMode="External"/><Relationship Id="rId19311" Type="http://schemas.openxmlformats.org/officeDocument/2006/relationships/hyperlink" Target="http://csr.bu.edu/ftp/asl/asllvd/demos/verify_start_end_handshape_annotations//test_auto_move//signs_mov_separ_signers/Lana_2888.mov" TargetMode="External"/><Relationship Id="rId19312" Type="http://schemas.openxmlformats.org/officeDocument/2006/relationships/hyperlink" Target="http://secrets.rutgers.edu:8080/data/asl-ftp/asllvd/demos/verify_start_end_handshape_annotations//test_auto_move//signs_mov_separ_signers/Lana_2888.mov" TargetMode="External"/><Relationship Id="rId19313" Type="http://schemas.openxmlformats.org/officeDocument/2006/relationships/hyperlink" Target="http://csr.bu.edu/ftp/asl/asllvd/demos/verify_start_end_handshape_annotations//test_auto_move//signs_mov_separ_signers/Liz_15352.mov" TargetMode="External"/><Relationship Id="rId19314" Type="http://schemas.openxmlformats.org/officeDocument/2006/relationships/hyperlink" Target="http://secrets.rutgers.edu:8080/data/asl-ftp/asllvd/demos/verify_start_end_handshape_annotations//test_auto_move//signs_mov_separ_signers/Liz_15352.mov" TargetMode="External"/><Relationship Id="rId19315" Type="http://schemas.openxmlformats.org/officeDocument/2006/relationships/hyperlink" Target="http://csr.bu.edu/ftp/asl/asllvd/demos/verify_start_end_handshape_annotations//test_auto_move//signs_mov_separ_signers/Liz_15354.mov" TargetMode="External"/><Relationship Id="rId19316" Type="http://schemas.openxmlformats.org/officeDocument/2006/relationships/hyperlink" Target="http://secrets.rutgers.edu:8080/data/asl-ftp/asllvd/demos/verify_start_end_handshape_annotations//test_auto_move//signs_mov_separ_signers/Liz_15354.mov" TargetMode="External"/><Relationship Id="rId19317" Type="http://schemas.openxmlformats.org/officeDocument/2006/relationships/hyperlink" Target="http://csr.bu.edu/ftp/asl/asllvd/demos/verify_start_end_handshape_annotations//test_auto_move//signs_mov/15352_15354_merged.mov" TargetMode="External"/><Relationship Id="rId19318" Type="http://schemas.openxmlformats.org/officeDocument/2006/relationships/hyperlink" Target="http://csr.bu.edu/ftp/asl/asllvd/demos/verify_start_end_handshape_annotations//test_auto_move//signs_mov_separ_signers/Brady_15352.mov" TargetMode="External"/><Relationship Id="rId19319" Type="http://schemas.openxmlformats.org/officeDocument/2006/relationships/hyperlink" Target="http://secrets.rutgers.edu:8080/data/asl-ftp/asllvd/demos/verify_start_end_handshape_annotations//test_auto_move//signs_mov/15352_15354_merged.mov" TargetMode="External"/><Relationship Id="rId19320" Type="http://schemas.openxmlformats.org/officeDocument/2006/relationships/hyperlink" Target="http://secrets.rutgers.edu:8080/data/asl-ftp/asllvd/demos/verify_start_end_handshape_annotations//test_auto_move//signs_mov_separ_signers/Brady_15352.mov" TargetMode="External"/><Relationship Id="rId19321" Type="http://schemas.openxmlformats.org/officeDocument/2006/relationships/hyperlink" Target="http://csr.bu.edu/ftp/asl/asllvd/demos/verify_start_end_handshape_annotations//test_auto_move//signs_mov_separ_signers/Brady_15354.mov" TargetMode="External"/><Relationship Id="rId19322" Type="http://schemas.openxmlformats.org/officeDocument/2006/relationships/hyperlink" Target="http://secrets.rutgers.edu:8080/data/asl-ftp/asllvd/demos/verify_start_end_handshape_annotations//test_auto_move//signs_mov_separ_signers/Brady_15354.mov" TargetMode="External"/><Relationship Id="rId19323" Type="http://schemas.openxmlformats.org/officeDocument/2006/relationships/hyperlink" Target="http://csr.bu.edu/ftp/asl/asllvd/demos/verify_start_end_handshape_annotations//test_auto_move//signs_mov_separ_signers/Dana_15352.mov" TargetMode="External"/><Relationship Id="rId19324" Type="http://schemas.openxmlformats.org/officeDocument/2006/relationships/hyperlink" Target="http://secrets.rutgers.edu:8080/data/asl-ftp/asllvd/demos/verify_start_end_handshape_annotations//test_auto_move//signs_mov_separ_signers/Dana_15352.mov" TargetMode="External"/><Relationship Id="rId19325" Type="http://schemas.openxmlformats.org/officeDocument/2006/relationships/hyperlink" Target="http://csr.bu.edu/ftp/asl/asllvd/demos/verify_start_end_handshape_annotations//test_auto_move//signs_mov_separ_signers/Liz_15355.mov" TargetMode="External"/><Relationship Id="rId19326" Type="http://schemas.openxmlformats.org/officeDocument/2006/relationships/hyperlink" Target="http://secrets.rutgers.edu:8080/data/asl-ftp/asllvd/demos/verify_start_end_handshape_annotations//test_auto_move//signs_mov_separ_signers/Liz_15355.mov" TargetMode="External"/><Relationship Id="rId19327" Type="http://schemas.openxmlformats.org/officeDocument/2006/relationships/hyperlink" Target="http://csr.bu.edu/ftp/asl/asllvd/demos/verify_start_end_handshape_annotations//test_auto_move//signs_mov/15355.mov" TargetMode="External"/><Relationship Id="rId19328" Type="http://schemas.openxmlformats.org/officeDocument/2006/relationships/hyperlink" Target="http://csr.bu.edu/ftp/asl/asllvd/demos/verify_start_end_handshape_annotations//test_auto_move//signs_mov_separ_signers/Naomi_15355.mov" TargetMode="External"/><Relationship Id="rId19329" Type="http://schemas.openxmlformats.org/officeDocument/2006/relationships/hyperlink" Target="http://secrets.rutgers.edu:8080/data/asl-ftp/asllvd/demos/verify_start_end_handshape_annotations//test_auto_move//signs_mov/15355.mov" TargetMode="External"/><Relationship Id="rId19330" Type="http://schemas.openxmlformats.org/officeDocument/2006/relationships/hyperlink" Target="http://secrets.rutgers.edu:8080/data/asl-ftp/asllvd/demos/verify_start_end_handshape_annotations//test_auto_move//signs_mov_separ_signers/Naomi_15355.mov" TargetMode="External"/><Relationship Id="rId19331" Type="http://schemas.openxmlformats.org/officeDocument/2006/relationships/hyperlink" Target="http://csr.bu.edu/ftp/asl/asllvd/demos/verify_start_end_handshape_annotations//test_auto_move//signs_mov_separ_signers/Brady_15355.mov" TargetMode="External"/><Relationship Id="rId19332" Type="http://schemas.openxmlformats.org/officeDocument/2006/relationships/hyperlink" Target="http://secrets.rutgers.edu:8080/data/asl-ftp/asllvd/demos/verify_start_end_handshape_annotations//test_auto_move//signs_mov_separ_signers/Brady_15355.mov" TargetMode="External"/><Relationship Id="rId19333" Type="http://schemas.openxmlformats.org/officeDocument/2006/relationships/hyperlink" Target="http://csr.bu.edu/ftp/asl/asllvd/demos/verify_start_end_handshape_annotations//test_auto_move//signs_mov_separ_signers/Liz_15359.mov" TargetMode="External"/><Relationship Id="rId19334" Type="http://schemas.openxmlformats.org/officeDocument/2006/relationships/hyperlink" Target="http://secrets.rutgers.edu:8080/data/asl-ftp/asllvd/demos/verify_start_end_handshape_annotations//test_auto_move//signs_mov_separ_signers/Liz_15359.mov" TargetMode="External"/><Relationship Id="rId19335" Type="http://schemas.openxmlformats.org/officeDocument/2006/relationships/hyperlink" Target="http://csr.bu.edu/ftp/asl/asllvd/demos/verify_start_end_handshape_annotations//test_auto_move//signs_mov_separ_signers/Liz_15360.mov" TargetMode="External"/><Relationship Id="rId19336" Type="http://schemas.openxmlformats.org/officeDocument/2006/relationships/hyperlink" Target="http://secrets.rutgers.edu:8080/data/asl-ftp/asllvd/demos/verify_start_end_handshape_annotations//test_auto_move//signs_mov_separ_signers/Liz_15360.mov" TargetMode="External"/><Relationship Id="rId19337" Type="http://schemas.openxmlformats.org/officeDocument/2006/relationships/hyperlink" Target="http://csr.bu.edu/ftp/asl/asllvd/demos/verify_start_end_handshape_annotations//test_auto_move//signs_mov_separ_signers/Tyler_15359.mov" TargetMode="External"/><Relationship Id="rId19338" Type="http://schemas.openxmlformats.org/officeDocument/2006/relationships/hyperlink" Target="http://secrets.rutgers.edu:8080/data/asl-ftp/asllvd/demos/verify_start_end_handshape_annotations//test_auto_move//signs_mov_separ_signers/Tyler_15359.mov" TargetMode="External"/><Relationship Id="rId19339" Type="http://schemas.openxmlformats.org/officeDocument/2006/relationships/hyperlink" Target="http://csr.bu.edu/ftp/asl/asllvd/demos/verify_start_end_handshape_annotations//test_auto_move//signs_mov/15359_15360_merged.mov" TargetMode="External"/><Relationship Id="rId19340" Type="http://schemas.openxmlformats.org/officeDocument/2006/relationships/hyperlink" Target="http://csr.bu.edu/ftp/asl/asllvd/demos/verify_start_end_handshape_annotations//test_auto_move//signs_mov_separ_signers/Tyler_15360.mov" TargetMode="External"/><Relationship Id="rId19341" Type="http://schemas.openxmlformats.org/officeDocument/2006/relationships/hyperlink" Target="http://secrets.rutgers.edu:8080/data/asl-ftp/asllvd/demos/verify_start_end_handshape_annotations//test_auto_move//signs_mov/15359_15360_merged.mov" TargetMode="External"/><Relationship Id="rId19342" Type="http://schemas.openxmlformats.org/officeDocument/2006/relationships/hyperlink" Target="http://secrets.rutgers.edu:8080/data/asl-ftp/asllvd/demos/verify_start_end_handshape_annotations//test_auto_move//signs_mov_separ_signers/Tyler_15360.mov" TargetMode="External"/><Relationship Id="rId19343" Type="http://schemas.openxmlformats.org/officeDocument/2006/relationships/hyperlink" Target="http://csr.bu.edu/ftp/asl/asllvd/demos/verify_start_end_handshape_annotations//test_auto_move//signs_mov_separ_signers/Naomi_15359.mov" TargetMode="External"/><Relationship Id="rId19344" Type="http://schemas.openxmlformats.org/officeDocument/2006/relationships/hyperlink" Target="http://secrets.rutgers.edu:8080/data/asl-ftp/asllvd/demos/verify_start_end_handshape_annotations//test_auto_move//signs_mov_separ_signers/Naomi_15359.mov" TargetMode="External"/><Relationship Id="rId19345" Type="http://schemas.openxmlformats.org/officeDocument/2006/relationships/hyperlink" Target="http://csr.bu.edu/ftp/asl/asllvd/demos/verify_start_end_handshape_annotations//test_auto_move//signs_mov_separ_signers/Naomi_15360.mov" TargetMode="External"/><Relationship Id="rId19346" Type="http://schemas.openxmlformats.org/officeDocument/2006/relationships/hyperlink" Target="http://secrets.rutgers.edu:8080/data/asl-ftp/asllvd/demos/verify_start_end_handshape_annotations//test_auto_move//signs_mov_separ_signers/Naomi_15360.mov" TargetMode="External"/><Relationship Id="rId19347" Type="http://schemas.openxmlformats.org/officeDocument/2006/relationships/hyperlink" Target="http://csr.bu.edu/ftp/asl/asllvd/demos/verify_start_end_handshape_annotations//test_auto_move//signs_mov_separ_signers/Brady_15359.mov" TargetMode="External"/><Relationship Id="rId19348" Type="http://schemas.openxmlformats.org/officeDocument/2006/relationships/hyperlink" Target="http://secrets.rutgers.edu:8080/data/asl-ftp/asllvd/demos/verify_start_end_handshape_annotations//test_auto_move//signs_mov_separ_signers/Brady_15359.mov" TargetMode="External"/><Relationship Id="rId19349" Type="http://schemas.openxmlformats.org/officeDocument/2006/relationships/hyperlink" Target="http://csr.bu.edu/ftp/asl/asllvd/demos/verify_start_end_handshape_annotations//test_auto_move//signs_mov_separ_signers/Brady_15360.mov" TargetMode="External"/><Relationship Id="rId19350" Type="http://schemas.openxmlformats.org/officeDocument/2006/relationships/hyperlink" Target="http://secrets.rutgers.edu:8080/data/asl-ftp/asllvd/demos/verify_start_end_handshape_annotations//test_auto_move//signs_mov_separ_signers/Brady_15360.mov" TargetMode="External"/><Relationship Id="rId19351" Type="http://schemas.openxmlformats.org/officeDocument/2006/relationships/hyperlink" Target="http://csr.bu.edu/ftp/asl/asllvd/demos/verify_start_end_handshape_annotations//test_auto_move//signs_mov_separ_signers/Liz_15363.mov" TargetMode="External"/><Relationship Id="rId19352" Type="http://schemas.openxmlformats.org/officeDocument/2006/relationships/hyperlink" Target="http://secrets.rutgers.edu:8080/data/asl-ftp/asllvd/demos/verify_start_end_handshape_annotations//test_auto_move//signs_mov_separ_signers/Liz_15363.mov" TargetMode="External"/><Relationship Id="rId19353" Type="http://schemas.openxmlformats.org/officeDocument/2006/relationships/hyperlink" Target="http://csr.bu.edu/ftp/asl/asllvd/demos/verify_start_end_handshape_annotations//test_auto_move//signs_mov_separ_signers/Tyler_15363.mov" TargetMode="External"/><Relationship Id="rId19354" Type="http://schemas.openxmlformats.org/officeDocument/2006/relationships/hyperlink" Target="http://secrets.rutgers.edu:8080/data/asl-ftp/asllvd/demos/verify_start_end_handshape_annotations//test_auto_move//signs_mov_separ_signers/Tyler_15363.mov" TargetMode="External"/><Relationship Id="rId19355" Type="http://schemas.openxmlformats.org/officeDocument/2006/relationships/hyperlink" Target="http://csr.bu.edu/ftp/asl/asllvd/demos/verify_start_end_handshape_annotations//test_auto_move//signs_mov/15363_15365_merged.mov" TargetMode="External"/><Relationship Id="rId19356" Type="http://schemas.openxmlformats.org/officeDocument/2006/relationships/hyperlink" Target="http://csr.bu.edu/ftp/asl/asllvd/demos/verify_start_end_handshape_annotations//test_auto_move//signs_mov_separ_signers/Tyler_15365.mov" TargetMode="External"/><Relationship Id="rId19357" Type="http://schemas.openxmlformats.org/officeDocument/2006/relationships/hyperlink" Target="http://secrets.rutgers.edu:8080/data/asl-ftp/asllvd/demos/verify_start_end_handshape_annotations//test_auto_move//signs_mov/15363_15365_merged.mov" TargetMode="External"/><Relationship Id="rId19358" Type="http://schemas.openxmlformats.org/officeDocument/2006/relationships/hyperlink" Target="http://secrets.rutgers.edu:8080/data/asl-ftp/asllvd/demos/verify_start_end_handshape_annotations//test_auto_move//signs_mov_separ_signers/Tyler_15365.mov" TargetMode="External"/><Relationship Id="rId19359" Type="http://schemas.openxmlformats.org/officeDocument/2006/relationships/hyperlink" Target="http://csr.bu.edu/ftp/asl/asllvd/demos/verify_start_end_handshape_annotations//test_auto_move//signs_mov_separ_signers/Brady_15363.mov" TargetMode="External"/><Relationship Id="rId19360" Type="http://schemas.openxmlformats.org/officeDocument/2006/relationships/hyperlink" Target="http://secrets.rutgers.edu:8080/data/asl-ftp/asllvd/demos/verify_start_end_handshape_annotations//test_auto_move//signs_mov_separ_signers/Brady_15363.mov" TargetMode="External"/><Relationship Id="rId19361" Type="http://schemas.openxmlformats.org/officeDocument/2006/relationships/hyperlink" Target="http://csr.bu.edu/ftp/asl/asllvd/demos/verify_start_end_handshape_annotations//test_auto_move//signs_mov_separ_signers/Lana_15363.mov" TargetMode="External"/><Relationship Id="rId19362" Type="http://schemas.openxmlformats.org/officeDocument/2006/relationships/hyperlink" Target="http://secrets.rutgers.edu:8080/data/asl-ftp/asllvd/demos/verify_start_end_handshape_annotations//test_auto_move//signs_mov_separ_signers/Lana_15363.mov" TargetMode="External"/><Relationship Id="rId19363" Type="http://schemas.openxmlformats.org/officeDocument/2006/relationships/hyperlink" Target="http://csr.bu.edu/ftp/asl/asllvd/demos/verify_start_end_handshape_annotations//test_auto_move//signs_mov/15387.mov" TargetMode="External"/><Relationship Id="rId19364" Type="http://schemas.openxmlformats.org/officeDocument/2006/relationships/hyperlink" Target="http://csr.bu.edu/ftp/asl/asllvd/demos/verify_start_end_handshape_annotations//test_auto_move//signs_mov_separ_signers/Naomi_15387.mov" TargetMode="External"/><Relationship Id="rId19365" Type="http://schemas.openxmlformats.org/officeDocument/2006/relationships/hyperlink" Target="http://secrets.rutgers.edu:8080/data/asl-ftp/asllvd/demos/verify_start_end_handshape_annotations//test_auto_move//signs_mov/15387.mov" TargetMode="External"/><Relationship Id="rId19366" Type="http://schemas.openxmlformats.org/officeDocument/2006/relationships/hyperlink" Target="http://secrets.rutgers.edu:8080/data/asl-ftp/asllvd/demos/verify_start_end_handshape_annotations//test_auto_move//signs_mov_separ_signers/Naomi_15387.mov" TargetMode="External"/><Relationship Id="rId19367" Type="http://schemas.openxmlformats.org/officeDocument/2006/relationships/hyperlink" Target="http://csr.bu.edu/ftp/asl/asllvd/demos/verify_start_end_handshape_annotations//test_auto_move//signs_mov_separ_signers/Liz_15404.mov" TargetMode="External"/><Relationship Id="rId19368" Type="http://schemas.openxmlformats.org/officeDocument/2006/relationships/hyperlink" Target="http://secrets.rutgers.edu:8080/data/asl-ftp/asllvd/demos/verify_start_end_handshape_annotations//test_auto_move//signs_mov_separ_signers/Liz_15404.mov" TargetMode="External"/><Relationship Id="rId19369" Type="http://schemas.openxmlformats.org/officeDocument/2006/relationships/hyperlink" Target="http://csr.bu.edu/ftp/asl/asllvd/demos/verify_start_end_handshape_annotations//test_auto_move//signs_mov_separ_signers/Naomi_15404.mov" TargetMode="External"/><Relationship Id="rId19370" Type="http://schemas.openxmlformats.org/officeDocument/2006/relationships/hyperlink" Target="http://secrets.rutgers.edu:8080/data/asl-ftp/asllvd/demos/verify_start_end_handshape_annotations//test_auto_move//signs_mov_separ_signers/Naomi_15404.mov" TargetMode="External"/><Relationship Id="rId19371" Type="http://schemas.openxmlformats.org/officeDocument/2006/relationships/hyperlink" Target="http://csr.bu.edu/ftp/asl/asllvd/demos/verify_start_end_handshape_annotations//test_auto_move//signs_mov/15404_15405_merged.mov" TargetMode="External"/><Relationship Id="rId19372" Type="http://schemas.openxmlformats.org/officeDocument/2006/relationships/hyperlink" Target="http://csr.bu.edu/ftp/asl/asllvd/demos/verify_start_end_handshape_annotations//test_auto_move//signs_mov_separ_signers/Naomi_15405.mov" TargetMode="External"/><Relationship Id="rId19373" Type="http://schemas.openxmlformats.org/officeDocument/2006/relationships/hyperlink" Target="http://secrets.rutgers.edu:8080/data/asl-ftp/asllvd/demos/verify_start_end_handshape_annotations//test_auto_move//signs_mov/15404_15405_merged.mov" TargetMode="External"/><Relationship Id="rId19374" Type="http://schemas.openxmlformats.org/officeDocument/2006/relationships/hyperlink" Target="http://secrets.rutgers.edu:8080/data/asl-ftp/asllvd/demos/verify_start_end_handshape_annotations//test_auto_move//signs_mov_separ_signers/Naomi_15405.mov" TargetMode="External"/><Relationship Id="rId19375" Type="http://schemas.openxmlformats.org/officeDocument/2006/relationships/hyperlink" Target="http://csr.bu.edu/ftp/asl/asllvd/demos/verify_start_end_handshape_annotations//test_auto_move//signs_mov_separ_signers/Brady_15404.mov" TargetMode="External"/><Relationship Id="rId19376" Type="http://schemas.openxmlformats.org/officeDocument/2006/relationships/hyperlink" Target="http://secrets.rutgers.edu:8080/data/asl-ftp/asllvd/demos/verify_start_end_handshape_annotations//test_auto_move//signs_mov_separ_signers/Brady_15404.mov" TargetMode="External"/><Relationship Id="rId19377" Type="http://schemas.openxmlformats.org/officeDocument/2006/relationships/hyperlink" Target="http://csr.bu.edu/ftp/asl/asllvd/demos/verify_start_end_handshape_annotations//test_auto_move//signs_mov_separ_signers/Lana_15404.mov" TargetMode="External"/><Relationship Id="rId19378" Type="http://schemas.openxmlformats.org/officeDocument/2006/relationships/hyperlink" Target="http://secrets.rutgers.edu:8080/data/asl-ftp/asllvd/demos/verify_start_end_handshape_annotations//test_auto_move//signs_mov_separ_signers/Lana_15404.mov" TargetMode="External"/><Relationship Id="rId19379" Type="http://schemas.openxmlformats.org/officeDocument/2006/relationships/hyperlink" Target="http://csr.bu.edu/ftp/asl/asllvd/demos/verify_start_end_handshape_annotations//test_auto_move//signs_mov_separ_signers/Liz_15543.mov" TargetMode="External"/><Relationship Id="rId19380" Type="http://schemas.openxmlformats.org/officeDocument/2006/relationships/hyperlink" Target="http://secrets.rutgers.edu:8080/data/asl-ftp/asllvd/demos/verify_start_end_handshape_annotations//test_auto_move//signs_mov_separ_signers/Liz_15543.mov" TargetMode="External"/><Relationship Id="rId19381" Type="http://schemas.openxmlformats.org/officeDocument/2006/relationships/hyperlink" Target="http://csr.bu.edu/ftp/asl/asllvd/demos/verify_start_end_handshape_annotations//test_auto_move//signs_mov_separ_signers/Liz_15631.mov" TargetMode="External"/><Relationship Id="rId19382" Type="http://schemas.openxmlformats.org/officeDocument/2006/relationships/hyperlink" Target="http://secrets.rutgers.edu:8080/data/asl-ftp/asllvd/demos/verify_start_end_handshape_annotations//test_auto_move//signs_mov_separ_signers/Liz_15631.mov" TargetMode="External"/><Relationship Id="rId19383" Type="http://schemas.openxmlformats.org/officeDocument/2006/relationships/hyperlink" Target="http://csr.bu.edu/ftp/asl/asllvd/demos/verify_start_end_handshape_annotations//test_auto_move//signs_mov/15543_15631_merged.mov" TargetMode="External"/><Relationship Id="rId19384" Type="http://schemas.openxmlformats.org/officeDocument/2006/relationships/hyperlink" Target="http://csr.bu.edu/ftp/asl/asllvd/demos/verify_start_end_handshape_annotations//test_auto_move//signs_mov_separ_signers/Tyler_15543.mov" TargetMode="External"/><Relationship Id="rId19385" Type="http://schemas.openxmlformats.org/officeDocument/2006/relationships/hyperlink" Target="http://secrets.rutgers.edu:8080/data/asl-ftp/asllvd/demos/verify_start_end_handshape_annotations//test_auto_move//signs_mov/15543_15631_merged.mov" TargetMode="External"/><Relationship Id="rId19386" Type="http://schemas.openxmlformats.org/officeDocument/2006/relationships/hyperlink" Target="http://secrets.rutgers.edu:8080/data/asl-ftp/asllvd/demos/verify_start_end_handshape_annotations//test_auto_move//signs_mov_separ_signers/Tyler_15543.mov" TargetMode="External"/><Relationship Id="rId19387" Type="http://schemas.openxmlformats.org/officeDocument/2006/relationships/hyperlink" Target="http://csr.bu.edu/ftp/asl/asllvd/demos/verify_start_end_handshape_annotations//test_auto_move//signs_mov_separ_signers/Naomi_15543.mov" TargetMode="External"/><Relationship Id="rId19388" Type="http://schemas.openxmlformats.org/officeDocument/2006/relationships/hyperlink" Target="http://secrets.rutgers.edu:8080/data/asl-ftp/asllvd/demos/verify_start_end_handshape_annotations//test_auto_move//signs_mov_separ_signers/Naomi_15543.mov" TargetMode="External"/><Relationship Id="rId19389" Type="http://schemas.openxmlformats.org/officeDocument/2006/relationships/hyperlink" Target="http://csr.bu.edu/ftp/asl/asllvd/demos/verify_start_end_handshape_annotations//test_auto_move//signs_mov_separ_signers/Brady_15543.mov" TargetMode="External"/><Relationship Id="rId19390" Type="http://schemas.openxmlformats.org/officeDocument/2006/relationships/hyperlink" Target="http://secrets.rutgers.edu:8080/data/asl-ftp/asllvd/demos/verify_start_end_handshape_annotations//test_auto_move//signs_mov_separ_signers/Brady_15543.mov" TargetMode="External"/><Relationship Id="rId19391" Type="http://schemas.openxmlformats.org/officeDocument/2006/relationships/hyperlink" Target="http://csr.bu.edu/ftp/asl/asllvd/demos/verify_start_end_handshape_annotations//test_auto_move//signs_mov_separ_signers/Dana_15543.mov" TargetMode="External"/><Relationship Id="rId19392" Type="http://schemas.openxmlformats.org/officeDocument/2006/relationships/hyperlink" Target="http://secrets.rutgers.edu:8080/data/asl-ftp/asllvd/demos/verify_start_end_handshape_annotations//test_auto_move//signs_mov_separ_signers/Dana_15543.mov" TargetMode="External"/><Relationship Id="rId19393" Type="http://schemas.openxmlformats.org/officeDocument/2006/relationships/hyperlink" Target="http://csr.bu.edu/ftp/asl/asllvd/demos/verify_start_end_handshape_annotations//test_auto_move//signs_mov/15632.mov" TargetMode="External"/><Relationship Id="rId19394" Type="http://schemas.openxmlformats.org/officeDocument/2006/relationships/hyperlink" Target="http://csr.bu.edu/ftp/asl/asllvd/demos/verify_start_end_handshape_annotations//test_auto_move//signs_mov_separ_signers/Naomi_15632.mov" TargetMode="External"/><Relationship Id="rId19395" Type="http://schemas.openxmlformats.org/officeDocument/2006/relationships/hyperlink" Target="http://secrets.rutgers.edu:8080/data/asl-ftp/asllvd/demos/verify_start_end_handshape_annotations//test_auto_move//signs_mov/15632.mov" TargetMode="External"/><Relationship Id="rId19396" Type="http://schemas.openxmlformats.org/officeDocument/2006/relationships/hyperlink" Target="http://secrets.rutgers.edu:8080/data/asl-ftp/asllvd/demos/verify_start_end_handshape_annotations//test_auto_move//signs_mov_separ_signers/Naomi_15632.mov" TargetMode="External"/><Relationship Id="rId19397" Type="http://schemas.openxmlformats.org/officeDocument/2006/relationships/hyperlink" Target="http://csr.bu.edu/ftp/asl/asllvd/demos/verify_start_end_handshape_annotations//test_auto_move//signs_mov_separ_signers/Brady_15632.mov" TargetMode="External"/><Relationship Id="rId19398" Type="http://schemas.openxmlformats.org/officeDocument/2006/relationships/hyperlink" Target="http://secrets.rutgers.edu:8080/data/asl-ftp/asllvd/demos/verify_start_end_handshape_annotations//test_auto_move//signs_mov_separ_signers/Brady_15632.mov" TargetMode="External"/><Relationship Id="rId19399" Type="http://schemas.openxmlformats.org/officeDocument/2006/relationships/hyperlink" Target="http://csr.bu.edu/ftp/asl/asllvd/demos/verify_start_end_handshape_annotations//test_auto_move//signs_mov/15633.mov" TargetMode="External"/><Relationship Id="rId19400" Type="http://schemas.openxmlformats.org/officeDocument/2006/relationships/hyperlink" Target="http://csr.bu.edu/ftp/asl/asllvd/demos/verify_start_end_handshape_annotations//test_auto_move//signs_mov_separ_signers/Liz_15633.mov" TargetMode="External"/><Relationship Id="rId19401" Type="http://schemas.openxmlformats.org/officeDocument/2006/relationships/hyperlink" Target="http://secrets.rutgers.edu:8080/data/asl-ftp/asllvd/demos/verify_start_end_handshape_annotations//test_auto_move//signs_mov/15633.mov" TargetMode="External"/><Relationship Id="rId19402" Type="http://schemas.openxmlformats.org/officeDocument/2006/relationships/hyperlink" Target="http://secrets.rutgers.edu:8080/data/asl-ftp/asllvd/demos/verify_start_end_handshape_annotations//test_auto_move//signs_mov_separ_signers/Liz_15633.mov" TargetMode="External"/><Relationship Id="rId19403" Type="http://schemas.openxmlformats.org/officeDocument/2006/relationships/hyperlink" Target="http://csr.bu.edu/ftp/asl/asllvd/demos/verify_start_end_handshape_annotations//test_auto_move//signs_mov_separ_signers/Liz_16018.mov" TargetMode="External"/><Relationship Id="rId19404" Type="http://schemas.openxmlformats.org/officeDocument/2006/relationships/hyperlink" Target="http://secrets.rutgers.edu:8080/data/asl-ftp/asllvd/demos/verify_start_end_handshape_annotations//test_auto_move//signs_mov_separ_signers/Liz_16018.mov" TargetMode="External"/><Relationship Id="rId19405" Type="http://schemas.openxmlformats.org/officeDocument/2006/relationships/hyperlink" Target="http://csr.bu.edu/ftp/asl/asllvd/demos/verify_start_end_handshape_annotations//test_auto_move//signs_mov_separ_signers/Tyler_16018.mov" TargetMode="External"/><Relationship Id="rId19406" Type="http://schemas.openxmlformats.org/officeDocument/2006/relationships/hyperlink" Target="http://secrets.rutgers.edu:8080/data/asl-ftp/asllvd/demos/verify_start_end_handshape_annotations//test_auto_move//signs_mov_separ_signers/Tyler_16018.mov" TargetMode="External"/><Relationship Id="rId19407" Type="http://schemas.openxmlformats.org/officeDocument/2006/relationships/hyperlink" Target="http://csr.bu.edu/ftp/asl/asllvd/demos/verify_start_end_handshape_annotations//test_auto_move//signs_mov/16018_16510_merged.mov" TargetMode="External"/><Relationship Id="rId19408" Type="http://schemas.openxmlformats.org/officeDocument/2006/relationships/hyperlink" Target="http://csr.bu.edu/ftp/asl/asllvd/demos/verify_start_end_handshape_annotations//test_auto_move//signs_mov_separ_signers/Naomi_16018.mov" TargetMode="External"/><Relationship Id="rId19409" Type="http://schemas.openxmlformats.org/officeDocument/2006/relationships/hyperlink" Target="http://secrets.rutgers.edu:8080/data/asl-ftp/asllvd/demos/verify_start_end_handshape_annotations//test_auto_move//signs_mov/16018_16510_merged.mov" TargetMode="External"/><Relationship Id="rId19410" Type="http://schemas.openxmlformats.org/officeDocument/2006/relationships/hyperlink" Target="http://secrets.rutgers.edu:8080/data/asl-ftp/asllvd/demos/verify_start_end_handshape_annotations//test_auto_move//signs_mov_separ_signers/Naomi_16018.mov" TargetMode="External"/><Relationship Id="rId19411" Type="http://schemas.openxmlformats.org/officeDocument/2006/relationships/hyperlink" Target="http://csr.bu.edu/ftp/asl/asllvd/demos/verify_start_end_handshape_annotations//test_auto_move//signs_mov_separ_signers/Brady_16018.mov" TargetMode="External"/><Relationship Id="rId19412" Type="http://schemas.openxmlformats.org/officeDocument/2006/relationships/hyperlink" Target="http://secrets.rutgers.edu:8080/data/asl-ftp/asllvd/demos/verify_start_end_handshape_annotations//test_auto_move//signs_mov_separ_signers/Brady_16018.mov" TargetMode="External"/><Relationship Id="rId19413" Type="http://schemas.openxmlformats.org/officeDocument/2006/relationships/hyperlink" Target="http://csr.bu.edu/ftp/asl/asllvd/demos/verify_start_end_handshape_annotations//test_auto_move//signs_mov_separ_signers/Brady_16510.mov" TargetMode="External"/><Relationship Id="rId19414" Type="http://schemas.openxmlformats.org/officeDocument/2006/relationships/hyperlink" Target="http://secrets.rutgers.edu:8080/data/asl-ftp/asllvd/demos/verify_start_end_handshape_annotations//test_auto_move//signs_mov_separ_signers/Brady_16510.mov" TargetMode="External"/><Relationship Id="rId19415" Type="http://schemas.openxmlformats.org/officeDocument/2006/relationships/hyperlink" Target="http://csr.bu.edu/ftp/asl/asllvd/demos/verify_start_end_handshape_annotations//test_auto_move//signs_mov_separ_signers/Lana_16018.mov" TargetMode="External"/><Relationship Id="rId19416" Type="http://schemas.openxmlformats.org/officeDocument/2006/relationships/hyperlink" Target="http://secrets.rutgers.edu:8080/data/asl-ftp/asllvd/demos/verify_start_end_handshape_annotations//test_auto_move//signs_mov_separ_signers/Lana_16018.mov" TargetMode="External"/><Relationship Id="rId19417" Type="http://schemas.openxmlformats.org/officeDocument/2006/relationships/hyperlink" Target="http://csr.bu.edu/ftp/asl/asllvd/demos/verify_start_end_handshape_annotations//test_auto_move//signs_mov/16511.mov" TargetMode="External"/><Relationship Id="rId19418" Type="http://schemas.openxmlformats.org/officeDocument/2006/relationships/hyperlink" Target="http://csr.bu.edu/ftp/asl/asllvd/demos/verify_start_end_handshape_annotations//test_auto_move//signs_mov_separ_signers/Dana_16511.mov" TargetMode="External"/><Relationship Id="rId19419" Type="http://schemas.openxmlformats.org/officeDocument/2006/relationships/hyperlink" Target="http://secrets.rutgers.edu:8080/data/asl-ftp/asllvd/demos/verify_start_end_handshape_annotations//test_auto_move//signs_mov/16511.mov" TargetMode="External"/><Relationship Id="rId19420" Type="http://schemas.openxmlformats.org/officeDocument/2006/relationships/hyperlink" Target="http://secrets.rutgers.edu:8080/data/asl-ftp/asllvd/demos/verify_start_end_handshape_annotations//test_auto_move//signs_mov_separ_signers/Dana_16511.mov" TargetMode="External"/><Relationship Id="rId19421" Type="http://schemas.openxmlformats.org/officeDocument/2006/relationships/hyperlink" Target="http://csr.bu.edu/ftp/asl/asllvd/demos/verify_start_end_handshape_annotations//test_auto_move//signs_mov_separ_signers/Liz_16512.mov" TargetMode="External"/><Relationship Id="rId19422" Type="http://schemas.openxmlformats.org/officeDocument/2006/relationships/hyperlink" Target="http://secrets.rutgers.edu:8080/data/asl-ftp/asllvd/demos/verify_start_end_handshape_annotations//test_auto_move//signs_mov_separ_signers/Liz_16512.mov" TargetMode="External"/><Relationship Id="rId19423" Type="http://schemas.openxmlformats.org/officeDocument/2006/relationships/hyperlink" Target="http://csr.bu.edu/ftp/asl/asllvd/demos/verify_start_end_handshape_annotations//test_auto_move//signs_mov/16512.mov" TargetMode="External"/><Relationship Id="rId19424" Type="http://schemas.openxmlformats.org/officeDocument/2006/relationships/hyperlink" Target="http://csr.bu.edu/ftp/asl/asllvd/demos/verify_start_end_handshape_annotations//test_auto_move//signs_mov_separ_signers/Tyler_16512.mov" TargetMode="External"/><Relationship Id="rId19425" Type="http://schemas.openxmlformats.org/officeDocument/2006/relationships/hyperlink" Target="http://secrets.rutgers.edu:8080/data/asl-ftp/asllvd/demos/verify_start_end_handshape_annotations//test_auto_move//signs_mov/16512.mov" TargetMode="External"/><Relationship Id="rId19426" Type="http://schemas.openxmlformats.org/officeDocument/2006/relationships/hyperlink" Target="http://secrets.rutgers.edu:8080/data/asl-ftp/asllvd/demos/verify_start_end_handshape_annotations//test_auto_move//signs_mov_separ_signers/Tyler_16512.mov" TargetMode="External"/><Relationship Id="rId19427" Type="http://schemas.openxmlformats.org/officeDocument/2006/relationships/hyperlink" Target="http://csr.bu.edu/ftp/asl/asllvd/demos/verify_start_end_handshape_annotations//test_auto_move//signs_mov_separ_signers/Naomi_16512.mov" TargetMode="External"/><Relationship Id="rId19428" Type="http://schemas.openxmlformats.org/officeDocument/2006/relationships/hyperlink" Target="http://secrets.rutgers.edu:8080/data/asl-ftp/asllvd/demos/verify_start_end_handshape_annotations//test_auto_move//signs_mov_separ_signers/Naomi_16512.mov" TargetMode="External"/><Relationship Id="rId19429" Type="http://schemas.openxmlformats.org/officeDocument/2006/relationships/hyperlink" Target="http://csr.bu.edu/ftp/asl/asllvd/demos/verify_start_end_handshape_annotations//test_auto_move//signs_mov_separ_signers/Brady_16512.mov" TargetMode="External"/><Relationship Id="rId19430" Type="http://schemas.openxmlformats.org/officeDocument/2006/relationships/hyperlink" Target="http://secrets.rutgers.edu:8080/data/asl-ftp/asllvd/demos/verify_start_end_handshape_annotations//test_auto_move//signs_mov_separ_signers/Brady_16512.mov" TargetMode="External"/><Relationship Id="rId19431" Type="http://schemas.openxmlformats.org/officeDocument/2006/relationships/hyperlink" Target="http://csr.bu.edu/ftp/asl/asllvd/demos/verify_start_end_handshape_annotations//test_auto_move//signs_mov_separ_signers/Liz_2892.mov" TargetMode="External"/><Relationship Id="rId19432" Type="http://schemas.openxmlformats.org/officeDocument/2006/relationships/hyperlink" Target="http://secrets.rutgers.edu:8080/data/asl-ftp/asllvd/demos/verify_start_end_handshape_annotations//test_auto_move//signs_mov_separ_signers/Liz_2892.mov" TargetMode="External"/><Relationship Id="rId19433" Type="http://schemas.openxmlformats.org/officeDocument/2006/relationships/hyperlink" Target="http://csr.bu.edu/ftp/asl/asllvd/demos/verify_start_end_handshape_annotations//test_auto_move//signs_mov/2892_3461_3466_merged.mov" TargetMode="External"/><Relationship Id="rId19434" Type="http://schemas.openxmlformats.org/officeDocument/2006/relationships/hyperlink" Target="http://csr.bu.edu/ftp/asl/asllvd/demos/verify_start_end_handshape_annotations//test_auto_move//signs_mov_separ_signers/Brady_2892.mov" TargetMode="External"/><Relationship Id="rId19435" Type="http://schemas.openxmlformats.org/officeDocument/2006/relationships/hyperlink" Target="http://secrets.rutgers.edu:8080/data/asl-ftp/asllvd/demos/verify_start_end_handshape_annotations//test_auto_move//signs_mov/2892_3461_3466_merged.mov" TargetMode="External"/><Relationship Id="rId19436" Type="http://schemas.openxmlformats.org/officeDocument/2006/relationships/hyperlink" Target="http://secrets.rutgers.edu:8080/data/asl-ftp/asllvd/demos/verify_start_end_handshape_annotations//test_auto_move//signs_mov_separ_signers/Brady_2892.mov" TargetMode="External"/><Relationship Id="rId19437" Type="http://schemas.openxmlformats.org/officeDocument/2006/relationships/hyperlink" Target="http://csr.bu.edu/ftp/asl/asllvd/demos/verify_start_end_handshape_annotations//test_auto_move//signs_mov_separ_signers/Brady_3461.mov" TargetMode="External"/><Relationship Id="rId19438" Type="http://schemas.openxmlformats.org/officeDocument/2006/relationships/hyperlink" Target="http://secrets.rutgers.edu:8080/data/asl-ftp/asllvd/demos/verify_start_end_handshape_annotations//test_auto_move//signs_mov_separ_signers/Brady_3461.mov" TargetMode="External"/><Relationship Id="rId19439" Type="http://schemas.openxmlformats.org/officeDocument/2006/relationships/hyperlink" Target="http://csr.bu.edu/ftp/asl/asllvd/demos/verify_start_end_handshape_annotations//test_auto_move//signs_mov_separ_signers/Brady_3466.mov" TargetMode="External"/><Relationship Id="rId19440" Type="http://schemas.openxmlformats.org/officeDocument/2006/relationships/hyperlink" Target="http://secrets.rutgers.edu:8080/data/asl-ftp/asllvd/demos/verify_start_end_handshape_annotations//test_auto_move//signs_mov_separ_signers/Brady_3466.mov" TargetMode="External"/><Relationship Id="rId19441" Type="http://schemas.openxmlformats.org/officeDocument/2006/relationships/hyperlink" Target="http://csr.bu.edu/ftp/asl/asllvd/demos/verify_start_end_handshape_annotations//test_auto_move//signs_mov_separ_signers/Liz_3246.mov" TargetMode="External"/><Relationship Id="rId19442" Type="http://schemas.openxmlformats.org/officeDocument/2006/relationships/hyperlink" Target="http://secrets.rutgers.edu:8080/data/asl-ftp/asllvd/demos/verify_start_end_handshape_annotations//test_auto_move//signs_mov_separ_signers/Liz_3246.mov" TargetMode="External"/><Relationship Id="rId19443" Type="http://schemas.openxmlformats.org/officeDocument/2006/relationships/hyperlink" Target="http://csr.bu.edu/ftp/asl/asllvd/demos/verify_start_end_handshape_annotations//test_auto_move//signs_mov/3246_3508_merged.mov" TargetMode="External"/><Relationship Id="rId19444" Type="http://schemas.openxmlformats.org/officeDocument/2006/relationships/hyperlink" Target="http://csr.bu.edu/ftp/asl/asllvd/demos/verify_start_end_handshape_annotations//test_auto_move//signs_mov_separ_signers/Liz_3508.mov" TargetMode="External"/><Relationship Id="rId19445" Type="http://schemas.openxmlformats.org/officeDocument/2006/relationships/hyperlink" Target="http://secrets.rutgers.edu:8080/data/asl-ftp/asllvd/demos/verify_start_end_handshape_annotations//test_auto_move//signs_mov/3246_3508_merged.mov" TargetMode="External"/><Relationship Id="rId19446" Type="http://schemas.openxmlformats.org/officeDocument/2006/relationships/hyperlink" Target="http://secrets.rutgers.edu:8080/data/asl-ftp/asllvd/demos/verify_start_end_handshape_annotations//test_auto_move//signs_mov_separ_signers/Liz_3508.mov" TargetMode="External"/><Relationship Id="rId19447" Type="http://schemas.openxmlformats.org/officeDocument/2006/relationships/hyperlink" Target="http://csr.bu.edu/ftp/asl/asllvd/demos/verify_start_end_handshape_annotations//test_auto_move//signs_mov_separ_signers/Brady_3246.mov" TargetMode="External"/><Relationship Id="rId19448" Type="http://schemas.openxmlformats.org/officeDocument/2006/relationships/hyperlink" Target="http://secrets.rutgers.edu:8080/data/asl-ftp/asllvd/demos/verify_start_end_handshape_annotations//test_auto_move//signs_mov_separ_signers/Brady_3246.mov" TargetMode="External"/><Relationship Id="rId19449" Type="http://schemas.openxmlformats.org/officeDocument/2006/relationships/hyperlink" Target="http://csr.bu.edu/ftp/asl/asllvd/demos/verify_start_end_handshape_annotations//test_auto_move//signs_mov/2897.mov" TargetMode="External"/><Relationship Id="rId19450" Type="http://schemas.openxmlformats.org/officeDocument/2006/relationships/hyperlink" Target="http://csr.bu.edu/ftp/asl/asllvd/demos/verify_start_end_handshape_annotations//test_auto_move//signs_mov_separ_signers/Liz_2897.mov" TargetMode="External"/><Relationship Id="rId19451" Type="http://schemas.openxmlformats.org/officeDocument/2006/relationships/hyperlink" Target="http://secrets.rutgers.edu:8080/data/asl-ftp/asllvd/demos/verify_start_end_handshape_annotations//test_auto_move//signs_mov/2897.mov" TargetMode="External"/><Relationship Id="rId19452" Type="http://schemas.openxmlformats.org/officeDocument/2006/relationships/hyperlink" Target="http://secrets.rutgers.edu:8080/data/asl-ftp/asllvd/demos/verify_start_end_handshape_annotations//test_auto_move//signs_mov_separ_signers/Liz_2897.mov" TargetMode="External"/><Relationship Id="rId19453" Type="http://schemas.openxmlformats.org/officeDocument/2006/relationships/hyperlink" Target="http://csr.bu.edu/ftp/asl/asllvd/demos/verify_start_end_handshape_annotations//test_auto_move//signs_mov_separ_signers/Brady_2897.mov" TargetMode="External"/><Relationship Id="rId19454" Type="http://schemas.openxmlformats.org/officeDocument/2006/relationships/hyperlink" Target="http://secrets.rutgers.edu:8080/data/asl-ftp/asllvd/demos/verify_start_end_handshape_annotations//test_auto_move//signs_mov_separ_signers/Brady_2897.mov" TargetMode="External"/><Relationship Id="rId19455" Type="http://schemas.openxmlformats.org/officeDocument/2006/relationships/hyperlink" Target="http://csr.bu.edu/ftp/asl/asllvd/demos/verify_start_end_handshape_annotations//test_auto_move//signs_mov/2898.mov" TargetMode="External"/><Relationship Id="rId19456" Type="http://schemas.openxmlformats.org/officeDocument/2006/relationships/hyperlink" Target="http://csr.bu.edu/ftp/asl/asllvd/demos/verify_start_end_handshape_annotations//test_auto_move//signs_mov_separ_signers/Liz_2898.mov" TargetMode="External"/><Relationship Id="rId19457" Type="http://schemas.openxmlformats.org/officeDocument/2006/relationships/hyperlink" Target="http://secrets.rutgers.edu:8080/data/asl-ftp/asllvd/demos/verify_start_end_handshape_annotations//test_auto_move//signs_mov/2898.mov" TargetMode="External"/><Relationship Id="rId19458" Type="http://schemas.openxmlformats.org/officeDocument/2006/relationships/hyperlink" Target="http://secrets.rutgers.edu:8080/data/asl-ftp/asllvd/demos/verify_start_end_handshape_annotations//test_auto_move//signs_mov_separ_signers/Liz_2898.mov" TargetMode="External"/><Relationship Id="rId19459" Type="http://schemas.openxmlformats.org/officeDocument/2006/relationships/hyperlink" Target="http://csr.bu.edu/ftp/asl/asllvd/demos/verify_start_end_handshape_annotations//test_auto_move//signs_mov_separ_signers/Brady_2898.mov" TargetMode="External"/><Relationship Id="rId19460" Type="http://schemas.openxmlformats.org/officeDocument/2006/relationships/hyperlink" Target="http://secrets.rutgers.edu:8080/data/asl-ftp/asllvd/demos/verify_start_end_handshape_annotations//test_auto_move//signs_mov_separ_signers/Brady_2898.mov" TargetMode="External"/><Relationship Id="rId19461" Type="http://schemas.openxmlformats.org/officeDocument/2006/relationships/hyperlink" Target="http://csr.bu.edu/ftp/asl/asllvd/demos/verify_start_end_handshape_annotations//test_auto_move//signs_mov_separ_signers/Liz_15309.mov" TargetMode="External"/><Relationship Id="rId19462" Type="http://schemas.openxmlformats.org/officeDocument/2006/relationships/hyperlink" Target="http://secrets.rutgers.edu:8080/data/asl-ftp/asllvd/demos/verify_start_end_handshape_annotations//test_auto_move//signs_mov_separ_signers/Liz_15309.mov" TargetMode="External"/><Relationship Id="rId19463" Type="http://schemas.openxmlformats.org/officeDocument/2006/relationships/hyperlink" Target="http://csr.bu.edu/ftp/asl/asllvd/demos/verify_start_end_handshape_annotations//test_auto_move//signs_mov/15309.mov" TargetMode="External"/><Relationship Id="rId19464" Type="http://schemas.openxmlformats.org/officeDocument/2006/relationships/hyperlink" Target="http://csr.bu.edu/ftp/asl/asllvd/demos/verify_start_end_handshape_annotations//test_auto_move//signs_mov_separ_signers/Tyler_15309.mov" TargetMode="External"/><Relationship Id="rId19465" Type="http://schemas.openxmlformats.org/officeDocument/2006/relationships/hyperlink" Target="http://secrets.rutgers.edu:8080/data/asl-ftp/asllvd/demos/verify_start_end_handshape_annotations//test_auto_move//signs_mov/15309.mov" TargetMode="External"/><Relationship Id="rId19466" Type="http://schemas.openxmlformats.org/officeDocument/2006/relationships/hyperlink" Target="http://secrets.rutgers.edu:8080/data/asl-ftp/asllvd/demos/verify_start_end_handshape_annotations//test_auto_move//signs_mov_separ_signers/Tyler_15309.mov" TargetMode="External"/><Relationship Id="rId19467" Type="http://schemas.openxmlformats.org/officeDocument/2006/relationships/hyperlink" Target="http://csr.bu.edu/ftp/asl/asllvd/demos/verify_start_end_handshape_annotations//test_auto_move//signs_mov_separ_signers/Naomi_15309.mov" TargetMode="External"/><Relationship Id="rId19468" Type="http://schemas.openxmlformats.org/officeDocument/2006/relationships/hyperlink" Target="http://secrets.rutgers.edu:8080/data/asl-ftp/asllvd/demos/verify_start_end_handshape_annotations//test_auto_move//signs_mov_separ_signers/Naomi_15309.mov" TargetMode="External"/><Relationship Id="rId19469" Type="http://schemas.openxmlformats.org/officeDocument/2006/relationships/hyperlink" Target="http://csr.bu.edu/ftp/asl/asllvd/demos/verify_start_end_handshape_annotations//test_auto_move//signs_mov_separ_signers/Brady_15309.mov" TargetMode="External"/><Relationship Id="rId19470" Type="http://schemas.openxmlformats.org/officeDocument/2006/relationships/hyperlink" Target="http://secrets.rutgers.edu:8080/data/asl-ftp/asllvd/demos/verify_start_end_handshape_annotations//test_auto_move//signs_mov_separ_signers/Brady_15309.mov" TargetMode="External"/><Relationship Id="rId19471" Type="http://schemas.openxmlformats.org/officeDocument/2006/relationships/hyperlink" Target="http://csr.bu.edu/ftp/asl/asllvd/demos/verify_start_end_handshape_annotations//test_auto_move//signs_mov/15564.mov" TargetMode="External"/><Relationship Id="rId19472" Type="http://schemas.openxmlformats.org/officeDocument/2006/relationships/hyperlink" Target="http://csr.bu.edu/ftp/asl/asllvd/demos/verify_start_end_handshape_annotations//test_auto_move//signs_mov_separ_signers/Liz_15564.mov" TargetMode="External"/><Relationship Id="rId19473" Type="http://schemas.openxmlformats.org/officeDocument/2006/relationships/hyperlink" Target="http://secrets.rutgers.edu:8080/data/asl-ftp/asllvd/demos/verify_start_end_handshape_annotations//test_auto_move//signs_mov/15564.mov" TargetMode="External"/><Relationship Id="rId19474" Type="http://schemas.openxmlformats.org/officeDocument/2006/relationships/hyperlink" Target="http://secrets.rutgers.edu:8080/data/asl-ftp/asllvd/demos/verify_start_end_handshape_annotations//test_auto_move//signs_mov_separ_signers/Liz_15564.mov" TargetMode="External"/><Relationship Id="rId19475" Type="http://schemas.openxmlformats.org/officeDocument/2006/relationships/hyperlink" Target="http://csr.bu.edu/ftp/asl/asllvd/demos/verify_start_end_handshape_annotations//test_auto_move//signs_mov_separ_signers/Brady_15564.mov" TargetMode="External"/><Relationship Id="rId19476" Type="http://schemas.openxmlformats.org/officeDocument/2006/relationships/hyperlink" Target="http://secrets.rutgers.edu:8080/data/asl-ftp/asllvd/demos/verify_start_end_handshape_annotations//test_auto_move//signs_mov_separ_signers/Brady_15564.mov" TargetMode="External"/><Relationship Id="rId19477" Type="http://schemas.openxmlformats.org/officeDocument/2006/relationships/hyperlink" Target="http://csr.bu.edu/ftp/asl/asllvd/demos/verify_start_end_handshape_annotations//test_auto_move//signs_mov/2899.mov" TargetMode="External"/><Relationship Id="rId19478" Type="http://schemas.openxmlformats.org/officeDocument/2006/relationships/hyperlink" Target="http://csr.bu.edu/ftp/asl/asllvd/demos/verify_start_end_handshape_annotations//test_auto_move//signs_mov_separ_signers/Liz_2899.mov" TargetMode="External"/><Relationship Id="rId19479" Type="http://schemas.openxmlformats.org/officeDocument/2006/relationships/hyperlink" Target="http://secrets.rutgers.edu:8080/data/asl-ftp/asllvd/demos/verify_start_end_handshape_annotations//test_auto_move//signs_mov/2899.mov" TargetMode="External"/><Relationship Id="rId19480" Type="http://schemas.openxmlformats.org/officeDocument/2006/relationships/hyperlink" Target="http://secrets.rutgers.edu:8080/data/asl-ftp/asllvd/demos/verify_start_end_handshape_annotations//test_auto_move//signs_mov_separ_signers/Liz_2899.mov" TargetMode="External"/><Relationship Id="rId19481" Type="http://schemas.openxmlformats.org/officeDocument/2006/relationships/hyperlink" Target="http://csr.bu.edu/ftp/asl/asllvd/demos/verify_start_end_handshape_annotations//test_auto_move//signs_mov_separ_signers/Brady_2899.mov" TargetMode="External"/><Relationship Id="rId19482" Type="http://schemas.openxmlformats.org/officeDocument/2006/relationships/hyperlink" Target="http://secrets.rutgers.edu:8080/data/asl-ftp/asllvd/demos/verify_start_end_handshape_annotations//test_auto_move//signs_mov_separ_signers/Brady_2899.mov" TargetMode="External"/><Relationship Id="rId19483" Type="http://schemas.openxmlformats.org/officeDocument/2006/relationships/hyperlink" Target="http://csr.bu.edu/ftp/asl/asllvd/demos/verify_start_end_handshape_annotations//test_auto_move//signs_mov/2900.mov" TargetMode="External"/><Relationship Id="rId19484" Type="http://schemas.openxmlformats.org/officeDocument/2006/relationships/hyperlink" Target="http://csr.bu.edu/ftp/asl/asllvd/demos/verify_start_end_handshape_annotations//test_auto_move//signs_mov_separ_signers/Liz_2900.mov" TargetMode="External"/><Relationship Id="rId19485" Type="http://schemas.openxmlformats.org/officeDocument/2006/relationships/hyperlink" Target="http://secrets.rutgers.edu:8080/data/asl-ftp/asllvd/demos/verify_start_end_handshape_annotations//test_auto_move//signs_mov/2900.mov" TargetMode="External"/><Relationship Id="rId19486" Type="http://schemas.openxmlformats.org/officeDocument/2006/relationships/hyperlink" Target="http://secrets.rutgers.edu:8080/data/asl-ftp/asllvd/demos/verify_start_end_handshape_annotations//test_auto_move//signs_mov_separ_signers/Liz_2900.mov" TargetMode="External"/><Relationship Id="rId19487" Type="http://schemas.openxmlformats.org/officeDocument/2006/relationships/hyperlink" Target="http://csr.bu.edu/ftp/asl/asllvd/demos/verify_start_end_handshape_annotations//test_auto_move//signs_mov_separ_signers/Brady_2900.mov" TargetMode="External"/><Relationship Id="rId19488" Type="http://schemas.openxmlformats.org/officeDocument/2006/relationships/hyperlink" Target="http://secrets.rutgers.edu:8080/data/asl-ftp/asllvd/demos/verify_start_end_handshape_annotations//test_auto_move//signs_mov_separ_signers/Brady_2900.mov" TargetMode="External"/><Relationship Id="rId19489" Type="http://schemas.openxmlformats.org/officeDocument/2006/relationships/hyperlink" Target="http://csr.bu.edu/ftp/asl/asllvd/demos/verify_start_end_handshape_annotations//test_auto_move//signs_mov/16134.mov" TargetMode="External"/><Relationship Id="rId19490" Type="http://schemas.openxmlformats.org/officeDocument/2006/relationships/hyperlink" Target="http://csr.bu.edu/ftp/asl/asllvd/demos/verify_start_end_handshape_annotations//test_auto_move//signs_mov_separ_signers/Liz_16134.mov" TargetMode="External"/><Relationship Id="rId19491" Type="http://schemas.openxmlformats.org/officeDocument/2006/relationships/hyperlink" Target="http://secrets.rutgers.edu:8080/data/asl-ftp/asllvd/demos/verify_start_end_handshape_annotations//test_auto_move//signs_mov/16134.mov" TargetMode="External"/><Relationship Id="rId19492" Type="http://schemas.openxmlformats.org/officeDocument/2006/relationships/hyperlink" Target="http://secrets.rutgers.edu:8080/data/asl-ftp/asllvd/demos/verify_start_end_handshape_annotations//test_auto_move//signs_mov_separ_signers/Liz_16134.mov" TargetMode="External"/><Relationship Id="rId19493" Type="http://schemas.openxmlformats.org/officeDocument/2006/relationships/hyperlink" Target="http://csr.bu.edu/ftp/asl/asllvd/demos/verify_start_end_handshape_annotations//test_auto_move//signs_mov_separ_signers/Brady_16134.mov" TargetMode="External"/><Relationship Id="rId19494" Type="http://schemas.openxmlformats.org/officeDocument/2006/relationships/hyperlink" Target="http://secrets.rutgers.edu:8080/data/asl-ftp/asllvd/demos/verify_start_end_handshape_annotations//test_auto_move//signs_mov_separ_signers/Brady_16134.mov" TargetMode="External"/><Relationship Id="rId19495" Type="http://schemas.openxmlformats.org/officeDocument/2006/relationships/hyperlink" Target="http://csr.bu.edu/ftp/asl/asllvd/demos/verify_start_end_handshape_annotations//test_auto_move//signs_mov/2906.mov" TargetMode="External"/><Relationship Id="rId19496" Type="http://schemas.openxmlformats.org/officeDocument/2006/relationships/hyperlink" Target="http://csr.bu.edu/ftp/asl/asllvd/demos/verify_start_end_handshape_annotations//test_auto_move//signs_mov_separ_signers/Liz_2906.mov" TargetMode="External"/><Relationship Id="rId19497" Type="http://schemas.openxmlformats.org/officeDocument/2006/relationships/hyperlink" Target="http://secrets.rutgers.edu:8080/data/asl-ftp/asllvd/demos/verify_start_end_handshape_annotations//test_auto_move//signs_mov/2906.mov" TargetMode="External"/><Relationship Id="rId19498" Type="http://schemas.openxmlformats.org/officeDocument/2006/relationships/hyperlink" Target="http://secrets.rutgers.edu:8080/data/asl-ftp/asllvd/demos/verify_start_end_handshape_annotations//test_auto_move//signs_mov_separ_signers/Liz_2906.mov" TargetMode="External"/><Relationship Id="rId19499" Type="http://schemas.openxmlformats.org/officeDocument/2006/relationships/hyperlink" Target="http://csr.bu.edu/ftp/asl/asllvd/demos/verify_start_end_handshape_annotations//test_auto_move//signs_mov_separ_signers/Brady_2906.mov" TargetMode="External"/><Relationship Id="rId19500" Type="http://schemas.openxmlformats.org/officeDocument/2006/relationships/hyperlink" Target="http://secrets.rutgers.edu:8080/data/asl-ftp/asllvd/demos/verify_start_end_handshape_annotations//test_auto_move//signs_mov_separ_signers/Brady_2906.mov" TargetMode="External"/><Relationship Id="rId19501" Type="http://schemas.openxmlformats.org/officeDocument/2006/relationships/hyperlink" Target="http://csr.bu.edu/ftp/asl/asllvd/demos/verify_start_end_handshape_annotations//test_auto_move//signs_mov/2907.mov" TargetMode="External"/><Relationship Id="rId19502" Type="http://schemas.openxmlformats.org/officeDocument/2006/relationships/hyperlink" Target="http://csr.bu.edu/ftp/asl/asllvd/demos/verify_start_end_handshape_annotations//test_auto_move//signs_mov_separ_signers/Liz_2907.mov" TargetMode="External"/><Relationship Id="rId19503" Type="http://schemas.openxmlformats.org/officeDocument/2006/relationships/hyperlink" Target="http://secrets.rutgers.edu:8080/data/asl-ftp/asllvd/demos/verify_start_end_handshape_annotations//test_auto_move//signs_mov/2907.mov" TargetMode="External"/><Relationship Id="rId19504" Type="http://schemas.openxmlformats.org/officeDocument/2006/relationships/hyperlink" Target="http://secrets.rutgers.edu:8080/data/asl-ftp/asllvd/demos/verify_start_end_handshape_annotations//test_auto_move//signs_mov_separ_signers/Liz_2907.mov" TargetMode="External"/><Relationship Id="rId19505" Type="http://schemas.openxmlformats.org/officeDocument/2006/relationships/hyperlink" Target="http://csr.bu.edu/ftp/asl/asllvd/demos/verify_start_end_handshape_annotations//test_auto_move//signs_mov_separ_signers/Brady_2907.mov" TargetMode="External"/><Relationship Id="rId19506" Type="http://schemas.openxmlformats.org/officeDocument/2006/relationships/hyperlink" Target="http://secrets.rutgers.edu:8080/data/asl-ftp/asllvd/demos/verify_start_end_handshape_annotations//test_auto_move//signs_mov_separ_signers/Brady_2907.mov" TargetMode="External"/><Relationship Id="rId19507" Type="http://schemas.openxmlformats.org/officeDocument/2006/relationships/hyperlink" Target="http://csr.bu.edu/ftp/asl/asllvd/demos/verify_start_end_handshape_annotations//test_auto_move//signs_mov_separ_signers/Tyler_5766.mov" TargetMode="External"/><Relationship Id="rId19508" Type="http://schemas.openxmlformats.org/officeDocument/2006/relationships/hyperlink" Target="http://secrets.rutgers.edu:8080/data/asl-ftp/asllvd/demos/verify_start_end_handshape_annotations//test_auto_move//signs_mov_separ_signers/Tyler_5766.mov" TargetMode="External"/><Relationship Id="rId19509" Type="http://schemas.openxmlformats.org/officeDocument/2006/relationships/hyperlink" Target="http://csr.bu.edu/ftp/asl/asllvd/demos/verify_start_end_handshape_annotations//test_auto_move//signs_mov_separ_signers/Naomi_5766.mov" TargetMode="External"/><Relationship Id="rId19510" Type="http://schemas.openxmlformats.org/officeDocument/2006/relationships/hyperlink" Target="http://secrets.rutgers.edu:8080/data/asl-ftp/asllvd/demos/verify_start_end_handshape_annotations//test_auto_move//signs_mov_separ_signers/Naomi_5766.mov" TargetMode="External"/><Relationship Id="rId19511" Type="http://schemas.openxmlformats.org/officeDocument/2006/relationships/hyperlink" Target="http://csr.bu.edu/ftp/asl/asllvd/demos/verify_start_end_handshape_annotations//test_auto_move//signs_mov/5766_16506_16507_merged.mov" TargetMode="External"/><Relationship Id="rId19512" Type="http://schemas.openxmlformats.org/officeDocument/2006/relationships/hyperlink" Target="http://csr.bu.edu/ftp/asl/asllvd/demos/verify_start_end_handshape_annotations//test_auto_move//signs_mov_separ_signers/Brady_5766.mov" TargetMode="External"/><Relationship Id="rId19513" Type="http://schemas.openxmlformats.org/officeDocument/2006/relationships/hyperlink" Target="http://secrets.rutgers.edu:8080/data/asl-ftp/asllvd/demos/verify_start_end_handshape_annotations//test_auto_move//signs_mov/5766_16506_16507_merged.mov" TargetMode="External"/><Relationship Id="rId19514" Type="http://schemas.openxmlformats.org/officeDocument/2006/relationships/hyperlink" Target="http://secrets.rutgers.edu:8080/data/asl-ftp/asllvd/demos/verify_start_end_handshape_annotations//test_auto_move//signs_mov_separ_signers/Brady_5766.mov" TargetMode="External"/><Relationship Id="rId19515" Type="http://schemas.openxmlformats.org/officeDocument/2006/relationships/hyperlink" Target="http://csr.bu.edu/ftp/asl/asllvd/demos/verify_start_end_handshape_annotations//test_auto_move//signs_mov_separ_signers/Brady_16506.mov" TargetMode="External"/><Relationship Id="rId19516" Type="http://schemas.openxmlformats.org/officeDocument/2006/relationships/hyperlink" Target="http://secrets.rutgers.edu:8080/data/asl-ftp/asllvd/demos/verify_start_end_handshape_annotations//test_auto_move//signs_mov_separ_signers/Brady_16506.mov" TargetMode="External"/><Relationship Id="rId19517" Type="http://schemas.openxmlformats.org/officeDocument/2006/relationships/hyperlink" Target="http://csr.bu.edu/ftp/asl/asllvd/demos/verify_start_end_handshape_annotations//test_auto_move//signs_mov_separ_signers/Brady_16507.mov" TargetMode="External"/><Relationship Id="rId19518" Type="http://schemas.openxmlformats.org/officeDocument/2006/relationships/hyperlink" Target="http://secrets.rutgers.edu:8080/data/asl-ftp/asllvd/demos/verify_start_end_handshape_annotations//test_auto_move//signs_mov_separ_signers/Brady_16507.mov" TargetMode="External"/><Relationship Id="rId19519" Type="http://schemas.openxmlformats.org/officeDocument/2006/relationships/hyperlink" Target="http://csr.bu.edu/ftp/asl/asllvd/demos/verify_start_end_handshape_annotations//test_auto_move//signs_mov/2913.mov" TargetMode="External"/><Relationship Id="rId19520" Type="http://schemas.openxmlformats.org/officeDocument/2006/relationships/hyperlink" Target="http://csr.bu.edu/ftp/asl/asllvd/demos/verify_start_end_handshape_annotations//test_auto_move//signs_mov_separ_signers/Liz_2913.mov" TargetMode="External"/><Relationship Id="rId19521" Type="http://schemas.openxmlformats.org/officeDocument/2006/relationships/hyperlink" Target="http://secrets.rutgers.edu:8080/data/asl-ftp/asllvd/demos/verify_start_end_handshape_annotations//test_auto_move//signs_mov/2913.mov" TargetMode="External"/><Relationship Id="rId19522" Type="http://schemas.openxmlformats.org/officeDocument/2006/relationships/hyperlink" Target="http://secrets.rutgers.edu:8080/data/asl-ftp/asllvd/demos/verify_start_end_handshape_annotations//test_auto_move//signs_mov_separ_signers/Liz_2913.mov" TargetMode="External"/><Relationship Id="rId19523" Type="http://schemas.openxmlformats.org/officeDocument/2006/relationships/hyperlink" Target="http://csr.bu.edu/ftp/asl/asllvd/demos/verify_start_end_handshape_annotations//test_auto_move//signs_mov_separ_signers/Brady_2913.mov" TargetMode="External"/><Relationship Id="rId19524" Type="http://schemas.openxmlformats.org/officeDocument/2006/relationships/hyperlink" Target="http://secrets.rutgers.edu:8080/data/asl-ftp/asllvd/demos/verify_start_end_handshape_annotations//test_auto_move//signs_mov_separ_signers/Brady_2913.mov" TargetMode="External"/><Relationship Id="rId19525" Type="http://schemas.openxmlformats.org/officeDocument/2006/relationships/hyperlink" Target="http://csr.bu.edu/ftp/asl/asllvd/demos/verify_start_end_handshape_annotations//test_auto_move//signs_mov/15823.mov" TargetMode="External"/><Relationship Id="rId19526" Type="http://schemas.openxmlformats.org/officeDocument/2006/relationships/hyperlink" Target="http://csr.bu.edu/ftp/asl/asllvd/demos/verify_start_end_handshape_annotations//test_auto_move//signs_mov_separ_signers/Liz_15823.mov" TargetMode="External"/><Relationship Id="rId19527" Type="http://schemas.openxmlformats.org/officeDocument/2006/relationships/hyperlink" Target="http://secrets.rutgers.edu:8080/data/asl-ftp/asllvd/demos/verify_start_end_handshape_annotations//test_auto_move//signs_mov/15823.mov" TargetMode="External"/><Relationship Id="rId19528" Type="http://schemas.openxmlformats.org/officeDocument/2006/relationships/hyperlink" Target="http://secrets.rutgers.edu:8080/data/asl-ftp/asllvd/demos/verify_start_end_handshape_annotations//test_auto_move//signs_mov_separ_signers/Liz_15823.mov" TargetMode="External"/><Relationship Id="rId19529" Type="http://schemas.openxmlformats.org/officeDocument/2006/relationships/hyperlink" Target="http://csr.bu.edu/ftp/asl/asllvd/demos/verify_start_end_handshape_annotations//test_auto_move//signs_mov_separ_signers/Liz_2914.mov" TargetMode="External"/><Relationship Id="rId19530" Type="http://schemas.openxmlformats.org/officeDocument/2006/relationships/hyperlink" Target="http://secrets.rutgers.edu:8080/data/asl-ftp/asllvd/demos/verify_start_end_handshape_annotations//test_auto_move//signs_mov_separ_signers/Liz_2914.mov" TargetMode="External"/><Relationship Id="rId19531" Type="http://schemas.openxmlformats.org/officeDocument/2006/relationships/hyperlink" Target="http://csr.bu.edu/ftp/asl/asllvd/demos/verify_start_end_handshape_annotations//test_auto_move//signs_mov/2914_5759_merged.mov" TargetMode="External"/><Relationship Id="rId19532" Type="http://schemas.openxmlformats.org/officeDocument/2006/relationships/hyperlink" Target="http://csr.bu.edu/ftp/asl/asllvd/demos/verify_start_end_handshape_annotations//test_auto_move//signs_mov_separ_signers/Liz_5759.mov" TargetMode="External"/><Relationship Id="rId19533" Type="http://schemas.openxmlformats.org/officeDocument/2006/relationships/hyperlink" Target="http://secrets.rutgers.edu:8080/data/asl-ftp/asllvd/demos/verify_start_end_handshape_annotations//test_auto_move//signs_mov/2914_5759_merged.mov" TargetMode="External"/><Relationship Id="rId19534" Type="http://schemas.openxmlformats.org/officeDocument/2006/relationships/hyperlink" Target="http://secrets.rutgers.edu:8080/data/asl-ftp/asllvd/demos/verify_start_end_handshape_annotations//test_auto_move//signs_mov_separ_signers/Liz_5759.mov" TargetMode="External"/><Relationship Id="rId19535" Type="http://schemas.openxmlformats.org/officeDocument/2006/relationships/hyperlink" Target="http://csr.bu.edu/ftp/asl/asllvd/demos/verify_start_end_handshape_annotations//test_auto_move//signs_mov_separ_signers/Brady_2914.mov" TargetMode="External"/><Relationship Id="rId19536" Type="http://schemas.openxmlformats.org/officeDocument/2006/relationships/hyperlink" Target="http://secrets.rutgers.edu:8080/data/asl-ftp/asllvd/demos/verify_start_end_handshape_annotations//test_auto_move//signs_mov_separ_signers/Brady_2914.mov" TargetMode="External"/><Relationship Id="rId19537" Type="http://schemas.openxmlformats.org/officeDocument/2006/relationships/hyperlink" Target="http://csr.bu.edu/ftp/asl/asllvd/demos/verify_start_end_handshape_annotations//test_auto_move//signs_mov_separ_signers/Dana_2914.mov" TargetMode="External"/><Relationship Id="rId19538" Type="http://schemas.openxmlformats.org/officeDocument/2006/relationships/hyperlink" Target="http://secrets.rutgers.edu:8080/data/asl-ftp/asllvd/demos/verify_start_end_handshape_annotations//test_auto_move//signs_mov_separ_signers/Dana_2914.mov" TargetMode="External"/><Relationship Id="rId19539" Type="http://schemas.openxmlformats.org/officeDocument/2006/relationships/hyperlink" Target="http://csr.bu.edu/ftp/asl/asllvd/demos/verify_start_end_handshape_annotations//test_auto_move//signs_mov/15247.mov" TargetMode="External"/><Relationship Id="rId19540" Type="http://schemas.openxmlformats.org/officeDocument/2006/relationships/hyperlink" Target="http://csr.bu.edu/ftp/asl/asllvd/demos/verify_start_end_handshape_annotations//test_auto_move//signs_mov_separ_signers/Liz_15247.mov" TargetMode="External"/><Relationship Id="rId19541" Type="http://schemas.openxmlformats.org/officeDocument/2006/relationships/hyperlink" Target="http://secrets.rutgers.edu:8080/data/asl-ftp/asllvd/demos/verify_start_end_handshape_annotations//test_auto_move//signs_mov/15247.mov" TargetMode="External"/><Relationship Id="rId19542" Type="http://schemas.openxmlformats.org/officeDocument/2006/relationships/hyperlink" Target="http://secrets.rutgers.edu:8080/data/asl-ftp/asllvd/demos/verify_start_end_handshape_annotations//test_auto_move//signs_mov_separ_signers/Liz_15247.mov" TargetMode="External"/><Relationship Id="rId19543" Type="http://schemas.openxmlformats.org/officeDocument/2006/relationships/hyperlink" Target="http://csr.bu.edu/ftp/asl/asllvd/demos/verify_start_end_handshape_annotations//test_auto_move//signs_mov_separ_signers/Lana_15247.mov" TargetMode="External"/><Relationship Id="rId19544" Type="http://schemas.openxmlformats.org/officeDocument/2006/relationships/hyperlink" Target="http://secrets.rutgers.edu:8080/data/asl-ftp/asllvd/demos/verify_start_end_handshape_annotations//test_auto_move//signs_mov_separ_signers/Lana_15247.mov" TargetMode="External"/><Relationship Id="rId19545" Type="http://schemas.openxmlformats.org/officeDocument/2006/relationships/hyperlink" Target="http://csr.bu.edu/ftp/asl/asllvd/demos/verify_start_end_handshape_annotations//test_auto_move//signs_mov/2917.mov" TargetMode="External"/><Relationship Id="rId19546" Type="http://schemas.openxmlformats.org/officeDocument/2006/relationships/hyperlink" Target="http://csr.bu.edu/ftp/asl/asllvd/demos/verify_start_end_handshape_annotations//test_auto_move//signs_mov_separ_signers/Liz_2917.mov" TargetMode="External"/><Relationship Id="rId19547" Type="http://schemas.openxmlformats.org/officeDocument/2006/relationships/hyperlink" Target="http://secrets.rutgers.edu:8080/data/asl-ftp/asllvd/demos/verify_start_end_handshape_annotations//test_auto_move//signs_mov/2917.mov" TargetMode="External"/><Relationship Id="rId19548" Type="http://schemas.openxmlformats.org/officeDocument/2006/relationships/hyperlink" Target="http://secrets.rutgers.edu:8080/data/asl-ftp/asllvd/demos/verify_start_end_handshape_annotations//test_auto_move//signs_mov_separ_signers/Liz_2917.mov" TargetMode="External"/><Relationship Id="rId19549" Type="http://schemas.openxmlformats.org/officeDocument/2006/relationships/hyperlink" Target="http://csr.bu.edu/ftp/asl/asllvd/demos/verify_start_end_handshape_annotations//test_auto_move//signs_mov_separ_signers/Brady_2917.mov" TargetMode="External"/><Relationship Id="rId19550" Type="http://schemas.openxmlformats.org/officeDocument/2006/relationships/hyperlink" Target="http://secrets.rutgers.edu:8080/data/asl-ftp/asllvd/demos/verify_start_end_handshape_annotations//test_auto_move//signs_mov_separ_signers/Brady_2917.mov" TargetMode="External"/><Relationship Id="rId19551" Type="http://schemas.openxmlformats.org/officeDocument/2006/relationships/hyperlink" Target="http://csr.bu.edu/ftp/asl/asllvd/demos/verify_start_end_handshape_annotations//test_auto_move//signs_mov/2920.mov" TargetMode="External"/><Relationship Id="rId19552" Type="http://schemas.openxmlformats.org/officeDocument/2006/relationships/hyperlink" Target="http://csr.bu.edu/ftp/asl/asllvd/demos/verify_start_end_handshape_annotations//test_auto_move//signs_mov_separ_signers/Brady_2920.mov" TargetMode="External"/><Relationship Id="rId19553" Type="http://schemas.openxmlformats.org/officeDocument/2006/relationships/hyperlink" Target="http://secrets.rutgers.edu:8080/data/asl-ftp/asllvd/demos/verify_start_end_handshape_annotations//test_auto_move//signs_mov/2920.mov" TargetMode="External"/><Relationship Id="rId19554" Type="http://schemas.openxmlformats.org/officeDocument/2006/relationships/hyperlink" Target="http://secrets.rutgers.edu:8080/data/asl-ftp/asllvd/demos/verify_start_end_handshape_annotations//test_auto_move//signs_mov_separ_signers/Brady_2920.mov" TargetMode="External"/><Relationship Id="rId19555" Type="http://schemas.openxmlformats.org/officeDocument/2006/relationships/hyperlink" Target="http://csr.bu.edu/ftp/asl/asllvd/demos/verify_start_end_handshape_annotations//test_auto_move//signs_mov/5762.mov" TargetMode="External"/><Relationship Id="rId19556" Type="http://schemas.openxmlformats.org/officeDocument/2006/relationships/hyperlink" Target="http://csr.bu.edu/ftp/asl/asllvd/demos/verify_start_end_handshape_annotations//test_auto_move//signs_mov_separ_signers/Liz_5762.mov" TargetMode="External"/><Relationship Id="rId19557" Type="http://schemas.openxmlformats.org/officeDocument/2006/relationships/hyperlink" Target="http://secrets.rutgers.edu:8080/data/asl-ftp/asllvd/demos/verify_start_end_handshape_annotations//test_auto_move//signs_mov/5762.mov" TargetMode="External"/><Relationship Id="rId19558" Type="http://schemas.openxmlformats.org/officeDocument/2006/relationships/hyperlink" Target="http://secrets.rutgers.edu:8080/data/asl-ftp/asllvd/demos/verify_start_end_handshape_annotations//test_auto_move//signs_mov_separ_signers/Liz_5762.mov" TargetMode="External"/><Relationship Id="rId19559" Type="http://schemas.openxmlformats.org/officeDocument/2006/relationships/hyperlink" Target="http://csr.bu.edu/ftp/asl/asllvd/demos/verify_start_end_handshape_annotations//test_auto_move//signs_mov/16171.mov" TargetMode="External"/><Relationship Id="rId19560" Type="http://schemas.openxmlformats.org/officeDocument/2006/relationships/hyperlink" Target="http://csr.bu.edu/ftp/asl/asllvd/demos/verify_start_end_handshape_annotations//test_auto_move//signs_mov_separ_signers/Brady_16171.mov" TargetMode="External"/><Relationship Id="rId19561" Type="http://schemas.openxmlformats.org/officeDocument/2006/relationships/hyperlink" Target="http://secrets.rutgers.edu:8080/data/asl-ftp/asllvd/demos/verify_start_end_handshape_annotations//test_auto_move//signs_mov/16171.mov" TargetMode="External"/><Relationship Id="rId19562" Type="http://schemas.openxmlformats.org/officeDocument/2006/relationships/hyperlink" Target="http://secrets.rutgers.edu:8080/data/asl-ftp/asllvd/demos/verify_start_end_handshape_annotations//test_auto_move//signs_mov_separ_signers/Brady_16171.mov" TargetMode="External"/><Relationship Id="rId19563" Type="http://schemas.openxmlformats.org/officeDocument/2006/relationships/hyperlink" Target="http://csr.bu.edu/ftp/asl/asllvd/demos/verify_start_end_handshape_annotations//test_auto_move//signs_mov/2921.mov" TargetMode="External"/><Relationship Id="rId19564" Type="http://schemas.openxmlformats.org/officeDocument/2006/relationships/hyperlink" Target="http://csr.bu.edu/ftp/asl/asllvd/demos/verify_start_end_handshape_annotations//test_auto_move//signs_mov_separ_signers/Liz_2921.mov" TargetMode="External"/><Relationship Id="rId19565" Type="http://schemas.openxmlformats.org/officeDocument/2006/relationships/hyperlink" Target="http://secrets.rutgers.edu:8080/data/asl-ftp/asllvd/demos/verify_start_end_handshape_annotations//test_auto_move//signs_mov/2921.mov" TargetMode="External"/><Relationship Id="rId19566" Type="http://schemas.openxmlformats.org/officeDocument/2006/relationships/hyperlink" Target="http://secrets.rutgers.edu:8080/data/asl-ftp/asllvd/demos/verify_start_end_handshape_annotations//test_auto_move//signs_mov_separ_signers/Liz_2921.mov" TargetMode="External"/><Relationship Id="rId19567" Type="http://schemas.openxmlformats.org/officeDocument/2006/relationships/hyperlink" Target="http://csr.bu.edu/ftp/asl/asllvd/demos/verify_start_end_handshape_annotations//test_auto_move//signs_mov_separ_signers/Brady_2921.mov" TargetMode="External"/><Relationship Id="rId19568" Type="http://schemas.openxmlformats.org/officeDocument/2006/relationships/hyperlink" Target="http://secrets.rutgers.edu:8080/data/asl-ftp/asllvd/demos/verify_start_end_handshape_annotations//test_auto_move//signs_mov_separ_signers/Brady_2921.mov" TargetMode="External"/><Relationship Id="rId19569" Type="http://schemas.openxmlformats.org/officeDocument/2006/relationships/hyperlink" Target="http://csr.bu.edu/ftp/asl/asllvd/demos/verify_start_end_handshape_annotations//test_auto_move//signs_mov_separ_signers/Liz_2923.mov" TargetMode="External"/><Relationship Id="rId19570" Type="http://schemas.openxmlformats.org/officeDocument/2006/relationships/hyperlink" Target="http://secrets.rutgers.edu:8080/data/asl-ftp/asllvd/demos/verify_start_end_handshape_annotations//test_auto_move//signs_mov_separ_signers/Liz_2923.mov" TargetMode="External"/><Relationship Id="rId19571" Type="http://schemas.openxmlformats.org/officeDocument/2006/relationships/hyperlink" Target="http://csr.bu.edu/ftp/asl/asllvd/demos/verify_start_end_handshape_annotations//test_auto_move//signs_mov/2923.mov" TargetMode="External"/><Relationship Id="rId19572" Type="http://schemas.openxmlformats.org/officeDocument/2006/relationships/hyperlink" Target="http://csr.bu.edu/ftp/asl/asllvd/demos/verify_start_end_handshape_annotations//test_auto_move//signs_mov_separ_signers/Brady_2923.mov" TargetMode="External"/><Relationship Id="rId19573" Type="http://schemas.openxmlformats.org/officeDocument/2006/relationships/hyperlink" Target="http://secrets.rutgers.edu:8080/data/asl-ftp/asllvd/demos/verify_start_end_handshape_annotations//test_auto_move//signs_mov/2923.mov" TargetMode="External"/><Relationship Id="rId19574" Type="http://schemas.openxmlformats.org/officeDocument/2006/relationships/hyperlink" Target="http://secrets.rutgers.edu:8080/data/asl-ftp/asllvd/demos/verify_start_end_handshape_annotations//test_auto_move//signs_mov_separ_signers/Brady_2923.mov" TargetMode="External"/><Relationship Id="rId19575" Type="http://schemas.openxmlformats.org/officeDocument/2006/relationships/hyperlink" Target="http://csr.bu.edu/ftp/asl/asllvd/demos/verify_start_end_handshape_annotations//test_auto_move//signs_mov_separ_signers/Lana_2923.mov" TargetMode="External"/><Relationship Id="rId19576" Type="http://schemas.openxmlformats.org/officeDocument/2006/relationships/hyperlink" Target="http://secrets.rutgers.edu:8080/data/asl-ftp/asllvd/demos/verify_start_end_handshape_annotations//test_auto_move//signs_mov_separ_signers/Lana_2923.mov" TargetMode="External"/><Relationship Id="rId19577" Type="http://schemas.openxmlformats.org/officeDocument/2006/relationships/hyperlink" Target="http://csr.bu.edu/ftp/asl/asllvd/demos/verify_start_end_handshape_annotations//test_auto_move//signs_mov_separ_signers/Dana_2923.mov" TargetMode="External"/><Relationship Id="rId19578" Type="http://schemas.openxmlformats.org/officeDocument/2006/relationships/hyperlink" Target="http://secrets.rutgers.edu:8080/data/asl-ftp/asllvd/demos/verify_start_end_handshape_annotations//test_auto_move//signs_mov_separ_signers/Dana_2923.mov" TargetMode="External"/><Relationship Id="rId19579" Type="http://schemas.openxmlformats.org/officeDocument/2006/relationships/hyperlink" Target="http://csr.bu.edu/ftp/asl/asllvd/demos/verify_start_end_handshape_annotations//test_auto_move//signs_mov/2925.mov" TargetMode="External"/><Relationship Id="rId19580" Type="http://schemas.openxmlformats.org/officeDocument/2006/relationships/hyperlink" Target="http://csr.bu.edu/ftp/asl/asllvd/demos/verify_start_end_handshape_annotations//test_auto_move//signs_mov_separ_signers/Liz_2925.mov" TargetMode="External"/><Relationship Id="rId19581" Type="http://schemas.openxmlformats.org/officeDocument/2006/relationships/hyperlink" Target="http://secrets.rutgers.edu:8080/data/asl-ftp/asllvd/demos/verify_start_end_handshape_annotations//test_auto_move//signs_mov/2925.mov" TargetMode="External"/><Relationship Id="rId19582" Type="http://schemas.openxmlformats.org/officeDocument/2006/relationships/hyperlink" Target="http://secrets.rutgers.edu:8080/data/asl-ftp/asllvd/demos/verify_start_end_handshape_annotations//test_auto_move//signs_mov_separ_signers/Liz_2925.mov" TargetMode="External"/><Relationship Id="rId19583" Type="http://schemas.openxmlformats.org/officeDocument/2006/relationships/hyperlink" Target="http://csr.bu.edu/ftp/asl/asllvd/demos/verify_start_end_handshape_annotations//test_auto_move//signs_mov_separ_signers/Brady_2925.mov" TargetMode="External"/><Relationship Id="rId19584" Type="http://schemas.openxmlformats.org/officeDocument/2006/relationships/hyperlink" Target="http://secrets.rutgers.edu:8080/data/asl-ftp/asllvd/demos/verify_start_end_handshape_annotations//test_auto_move//signs_mov_separ_signers/Brady_2925.mov" TargetMode="External"/><Relationship Id="rId19585" Type="http://schemas.openxmlformats.org/officeDocument/2006/relationships/hyperlink" Target="http://csr.bu.edu/ftp/asl/asllvd/demos/verify_start_end_handshape_annotations//test_auto_move//signs_mov_separ_signers/Liz_15019.mov" TargetMode="External"/><Relationship Id="rId19586" Type="http://schemas.openxmlformats.org/officeDocument/2006/relationships/hyperlink" Target="http://secrets.rutgers.edu:8080/data/asl-ftp/asllvd/demos/verify_start_end_handshape_annotations//test_auto_move//signs_mov_separ_signers/Liz_15019.mov" TargetMode="External"/><Relationship Id="rId19587" Type="http://schemas.openxmlformats.org/officeDocument/2006/relationships/hyperlink" Target="http://csr.bu.edu/ftp/asl/asllvd/demos/verify_start_end_handshape_annotations//test_auto_move//signs_mov/15019_15024_merged.mov" TargetMode="External"/><Relationship Id="rId19588" Type="http://schemas.openxmlformats.org/officeDocument/2006/relationships/hyperlink" Target="http://csr.bu.edu/ftp/asl/asllvd/demos/verify_start_end_handshape_annotations//test_auto_move//signs_mov_separ_signers/Liz_15024.mov" TargetMode="External"/><Relationship Id="rId19589" Type="http://schemas.openxmlformats.org/officeDocument/2006/relationships/hyperlink" Target="http://secrets.rutgers.edu:8080/data/asl-ftp/asllvd/demos/verify_start_end_handshape_annotations//test_auto_move//signs_mov/15019_15024_merged.mov" TargetMode="External"/><Relationship Id="rId19590" Type="http://schemas.openxmlformats.org/officeDocument/2006/relationships/hyperlink" Target="http://secrets.rutgers.edu:8080/data/asl-ftp/asllvd/demos/verify_start_end_handshape_annotations//test_auto_move//signs_mov_separ_signers/Liz_15024.mov" TargetMode="External"/><Relationship Id="rId19591" Type="http://schemas.openxmlformats.org/officeDocument/2006/relationships/hyperlink" Target="http://csr.bu.edu/ftp/asl/asllvd/demos/verify_start_end_handshape_annotations//test_auto_move//signs_mov_separ_signers/Brady_15019.mov" TargetMode="External"/><Relationship Id="rId19592" Type="http://schemas.openxmlformats.org/officeDocument/2006/relationships/hyperlink" Target="http://secrets.rutgers.edu:8080/data/asl-ftp/asllvd/demos/verify_start_end_handshape_annotations//test_auto_move//signs_mov_separ_signers/Brady_15019.mov" TargetMode="External"/><Relationship Id="rId19593" Type="http://schemas.openxmlformats.org/officeDocument/2006/relationships/hyperlink" Target="http://csr.bu.edu/ftp/asl/asllvd/demos/verify_start_end_handshape_annotations//test_auto_move//signs_mov/2938.mov" TargetMode="External"/><Relationship Id="rId19594" Type="http://schemas.openxmlformats.org/officeDocument/2006/relationships/hyperlink" Target="http://csr.bu.edu/ftp/asl/asllvd/demos/verify_start_end_handshape_annotations//test_auto_move//signs_mov_separ_signers/Liz_2938.mov" TargetMode="External"/><Relationship Id="rId19595" Type="http://schemas.openxmlformats.org/officeDocument/2006/relationships/hyperlink" Target="http://secrets.rutgers.edu:8080/data/asl-ftp/asllvd/demos/verify_start_end_handshape_annotations//test_auto_move//signs_mov/2938.mov" TargetMode="External"/><Relationship Id="rId19596" Type="http://schemas.openxmlformats.org/officeDocument/2006/relationships/hyperlink" Target="http://secrets.rutgers.edu:8080/data/asl-ftp/asllvd/demos/verify_start_end_handshape_annotations//test_auto_move//signs_mov_separ_signers/Liz_2938.mov" TargetMode="External"/><Relationship Id="rId19597" Type="http://schemas.openxmlformats.org/officeDocument/2006/relationships/hyperlink" Target="http://csr.bu.edu/ftp/asl/asllvd/demos/verify_start_end_handshape_annotations//test_auto_move//signs_mov_separ_signers/Brady_2938.mov" TargetMode="External"/><Relationship Id="rId19598" Type="http://schemas.openxmlformats.org/officeDocument/2006/relationships/hyperlink" Target="http://secrets.rutgers.edu:8080/data/asl-ftp/asllvd/demos/verify_start_end_handshape_annotations//test_auto_move//signs_mov_separ_signers/Brady_2938.mov" TargetMode="External"/><Relationship Id="rId19599" Type="http://schemas.openxmlformats.org/officeDocument/2006/relationships/hyperlink" Target="http://csr.bu.edu/ftp/asl/asllvd/demos/verify_start_end_handshape_annotations//test_auto_move//signs_mov/2939.mov" TargetMode="External"/><Relationship Id="rId19600" Type="http://schemas.openxmlformats.org/officeDocument/2006/relationships/hyperlink" Target="http://csr.bu.edu/ftp/asl/asllvd/demos/verify_start_end_handshape_annotations//test_auto_move//signs_mov_separ_signers/Liz_2939.mov" TargetMode="External"/><Relationship Id="rId19601" Type="http://schemas.openxmlformats.org/officeDocument/2006/relationships/hyperlink" Target="http://secrets.rutgers.edu:8080/data/asl-ftp/asllvd/demos/verify_start_end_handshape_annotations//test_auto_move//signs_mov/2939.mov" TargetMode="External"/><Relationship Id="rId19602" Type="http://schemas.openxmlformats.org/officeDocument/2006/relationships/hyperlink" Target="http://secrets.rutgers.edu:8080/data/asl-ftp/asllvd/demos/verify_start_end_handshape_annotations//test_auto_move//signs_mov_separ_signers/Liz_2939.mov" TargetMode="External"/><Relationship Id="rId19603" Type="http://schemas.openxmlformats.org/officeDocument/2006/relationships/hyperlink" Target="http://csr.bu.edu/ftp/asl/asllvd/demos/verify_start_end_handshape_annotations//test_auto_move//signs_mov_separ_signers/Brady_2939.mov" TargetMode="External"/><Relationship Id="rId19604" Type="http://schemas.openxmlformats.org/officeDocument/2006/relationships/hyperlink" Target="http://secrets.rutgers.edu:8080/data/asl-ftp/asllvd/demos/verify_start_end_handshape_annotations//test_auto_move//signs_mov_separ_signers/Brady_2939.mov" TargetMode="External"/><Relationship Id="rId19605" Type="http://schemas.openxmlformats.org/officeDocument/2006/relationships/hyperlink" Target="http://csr.bu.edu/ftp/asl/asllvd/demos/verify_start_end_handshape_annotations//test_auto_move//signs_mov_separ_signers/Liz_3006.mov" TargetMode="External"/><Relationship Id="rId19606" Type="http://schemas.openxmlformats.org/officeDocument/2006/relationships/hyperlink" Target="http://secrets.rutgers.edu:8080/data/asl-ftp/asllvd/demos/verify_start_end_handshape_annotations//test_auto_move//signs_mov_separ_signers/Liz_3006.mov" TargetMode="External"/><Relationship Id="rId19607" Type="http://schemas.openxmlformats.org/officeDocument/2006/relationships/hyperlink" Target="http://csr.bu.edu/ftp/asl/asllvd/demos/verify_start_end_handshape_annotations//test_auto_move//signs_mov/3006.mov" TargetMode="External"/><Relationship Id="rId19608" Type="http://schemas.openxmlformats.org/officeDocument/2006/relationships/hyperlink" Target="http://csr.bu.edu/ftp/asl/asllvd/demos/verify_start_end_handshape_annotations//test_auto_move//signs_mov_separ_signers/Naomi_3006.mov" TargetMode="External"/><Relationship Id="rId19609" Type="http://schemas.openxmlformats.org/officeDocument/2006/relationships/hyperlink" Target="http://secrets.rutgers.edu:8080/data/asl-ftp/asllvd/demos/verify_start_end_handshape_annotations//test_auto_move//signs_mov/3006.mov" TargetMode="External"/><Relationship Id="rId19610" Type="http://schemas.openxmlformats.org/officeDocument/2006/relationships/hyperlink" Target="http://secrets.rutgers.edu:8080/data/asl-ftp/asllvd/demos/verify_start_end_handshape_annotations//test_auto_move//signs_mov_separ_signers/Naomi_3006.mov" TargetMode="External"/><Relationship Id="rId19611" Type="http://schemas.openxmlformats.org/officeDocument/2006/relationships/hyperlink" Target="http://csr.bu.edu/ftp/asl/asllvd/demos/verify_start_end_handshape_annotations//test_auto_move//signs_mov_separ_signers/Brady_3006.mov" TargetMode="External"/><Relationship Id="rId19612" Type="http://schemas.openxmlformats.org/officeDocument/2006/relationships/hyperlink" Target="http://secrets.rutgers.edu:8080/data/asl-ftp/asllvd/demos/verify_start_end_handshape_annotations//test_auto_move//signs_mov_separ_signers/Brady_3006.mov" TargetMode="External"/><Relationship Id="rId19613" Type="http://schemas.openxmlformats.org/officeDocument/2006/relationships/hyperlink" Target="http://csr.bu.edu/ftp/asl/asllvd/demos/verify_start_end_handshape_annotations//test_auto_move//signs_mov/5568.mov" TargetMode="External"/><Relationship Id="rId19614" Type="http://schemas.openxmlformats.org/officeDocument/2006/relationships/hyperlink" Target="http://csr.bu.edu/ftp/asl/asllvd/demos/verify_start_end_handshape_annotations//test_auto_move//signs_mov_separ_signers/Liz_5568.mov" TargetMode="External"/><Relationship Id="rId19615" Type="http://schemas.openxmlformats.org/officeDocument/2006/relationships/hyperlink" Target="http://secrets.rutgers.edu:8080/data/asl-ftp/asllvd/demos/verify_start_end_handshape_annotations//test_auto_move//signs_mov/5568.mov" TargetMode="External"/><Relationship Id="rId19616" Type="http://schemas.openxmlformats.org/officeDocument/2006/relationships/hyperlink" Target="http://secrets.rutgers.edu:8080/data/asl-ftp/asllvd/demos/verify_start_end_handshape_annotations//test_auto_move//signs_mov_separ_signers/Liz_5568.mov" TargetMode="External"/><Relationship Id="rId19617" Type="http://schemas.openxmlformats.org/officeDocument/2006/relationships/hyperlink" Target="http://csr.bu.edu/ftp/asl/asllvd/demos/verify_start_end_handshape_annotations//test_auto_move//signs_mov/5595.mov" TargetMode="External"/><Relationship Id="rId19618" Type="http://schemas.openxmlformats.org/officeDocument/2006/relationships/hyperlink" Target="http://csr.bu.edu/ftp/asl/asllvd/demos/verify_start_end_handshape_annotations//test_auto_move//signs_mov_separ_signers/Liz_5595.mov" TargetMode="External"/><Relationship Id="rId19619" Type="http://schemas.openxmlformats.org/officeDocument/2006/relationships/hyperlink" Target="http://secrets.rutgers.edu:8080/data/asl-ftp/asllvd/demos/verify_start_end_handshape_annotations//test_auto_move//signs_mov/5595.mov" TargetMode="External"/><Relationship Id="rId19620" Type="http://schemas.openxmlformats.org/officeDocument/2006/relationships/hyperlink" Target="http://secrets.rutgers.edu:8080/data/asl-ftp/asllvd/demos/verify_start_end_handshape_annotations//test_auto_move//signs_mov_separ_signers/Liz_5595.mov" TargetMode="External"/><Relationship Id="rId19621" Type="http://schemas.openxmlformats.org/officeDocument/2006/relationships/hyperlink" Target="http://csr.bu.edu/ftp/asl/asllvd/demos/verify_start_end_handshape_annotations//test_auto_move//signs_mov_separ_signers/Tyler_5595.mov" TargetMode="External"/><Relationship Id="rId19622" Type="http://schemas.openxmlformats.org/officeDocument/2006/relationships/hyperlink" Target="http://secrets.rutgers.edu:8080/data/asl-ftp/asllvd/demos/verify_start_end_handshape_annotations//test_auto_move//signs_mov_separ_signers/Tyler_5595.mov" TargetMode="External"/><Relationship Id="rId19623" Type="http://schemas.openxmlformats.org/officeDocument/2006/relationships/hyperlink" Target="http://csr.bu.edu/ftp/asl/asllvd/demos/verify_start_end_handshape_annotations//test_auto_move//signs_mov/16033.mov" TargetMode="External"/><Relationship Id="rId19624" Type="http://schemas.openxmlformats.org/officeDocument/2006/relationships/hyperlink" Target="http://csr.bu.edu/ftp/asl/asllvd/demos/verify_start_end_handshape_annotations//test_auto_move//signs_mov_separ_signers/Liz_16033.mov" TargetMode="External"/><Relationship Id="rId19625" Type="http://schemas.openxmlformats.org/officeDocument/2006/relationships/hyperlink" Target="http://secrets.rutgers.edu:8080/data/asl-ftp/asllvd/demos/verify_start_end_handshape_annotations//test_auto_move//signs_mov/16033.mov" TargetMode="External"/><Relationship Id="rId19626" Type="http://schemas.openxmlformats.org/officeDocument/2006/relationships/hyperlink" Target="http://secrets.rutgers.edu:8080/data/asl-ftp/asllvd/demos/verify_start_end_handshape_annotations//test_auto_move//signs_mov_separ_signers/Liz_16033.mov" TargetMode="External"/><Relationship Id="rId19627" Type="http://schemas.openxmlformats.org/officeDocument/2006/relationships/hyperlink" Target="http://csr.bu.edu/ftp/asl/asllvd/demos/verify_start_end_handshape_annotations//test_auto_move//signs_mov_separ_signers/Brady_16033.mov" TargetMode="External"/><Relationship Id="rId19628" Type="http://schemas.openxmlformats.org/officeDocument/2006/relationships/hyperlink" Target="http://secrets.rutgers.edu:8080/data/asl-ftp/asllvd/demos/verify_start_end_handshape_annotations//test_auto_move//signs_mov_separ_signers/Brady_16033.mov" TargetMode="External"/><Relationship Id="rId19629" Type="http://schemas.openxmlformats.org/officeDocument/2006/relationships/hyperlink" Target="http://csr.bu.edu/ftp/asl/asllvd/demos/verify_start_end_handshape_annotations//test_auto_move//signs_mov/3020.mov" TargetMode="External"/><Relationship Id="rId19630" Type="http://schemas.openxmlformats.org/officeDocument/2006/relationships/hyperlink" Target="http://csr.bu.edu/ftp/asl/asllvd/demos/verify_start_end_handshape_annotations//test_auto_move//signs_mov_separ_signers/Liz_3020.mov" TargetMode="External"/><Relationship Id="rId19631" Type="http://schemas.openxmlformats.org/officeDocument/2006/relationships/hyperlink" Target="http://secrets.rutgers.edu:8080/data/asl-ftp/asllvd/demos/verify_start_end_handshape_annotations//test_auto_move//signs_mov/3020.mov" TargetMode="External"/><Relationship Id="rId19632" Type="http://schemas.openxmlformats.org/officeDocument/2006/relationships/hyperlink" Target="http://secrets.rutgers.edu:8080/data/asl-ftp/asllvd/demos/verify_start_end_handshape_annotations//test_auto_move//signs_mov_separ_signers/Liz_3020.mov" TargetMode="External"/><Relationship Id="rId19633" Type="http://schemas.openxmlformats.org/officeDocument/2006/relationships/hyperlink" Target="http://csr.bu.edu/ftp/asl/asllvd/demos/verify_start_end_handshape_annotations//test_auto_move//signs_mov_separ_signers/Liz_3071.mov" TargetMode="External"/><Relationship Id="rId19634" Type="http://schemas.openxmlformats.org/officeDocument/2006/relationships/hyperlink" Target="http://secrets.rutgers.edu:8080/data/asl-ftp/asllvd/demos/verify_start_end_handshape_annotations//test_auto_move//signs_mov_separ_signers/Liz_3071.mov" TargetMode="External"/><Relationship Id="rId19635" Type="http://schemas.openxmlformats.org/officeDocument/2006/relationships/hyperlink" Target="http://csr.bu.edu/ftp/asl/asllvd/demos/verify_start_end_handshape_annotations//test_auto_move//signs_mov/3071_5685_merged.mov" TargetMode="External"/><Relationship Id="rId19636" Type="http://schemas.openxmlformats.org/officeDocument/2006/relationships/hyperlink" Target="http://csr.bu.edu/ftp/asl/asllvd/demos/verify_start_end_handshape_annotations//test_auto_move//signs_mov_separ_signers/Naomi_3071.mov" TargetMode="External"/><Relationship Id="rId19637" Type="http://schemas.openxmlformats.org/officeDocument/2006/relationships/hyperlink" Target="http://secrets.rutgers.edu:8080/data/asl-ftp/asllvd/demos/verify_start_end_handshape_annotations//test_auto_move//signs_mov/3071_5685_merged.mov" TargetMode="External"/><Relationship Id="rId19638" Type="http://schemas.openxmlformats.org/officeDocument/2006/relationships/hyperlink" Target="http://secrets.rutgers.edu:8080/data/asl-ftp/asllvd/demos/verify_start_end_handshape_annotations//test_auto_move//signs_mov_separ_signers/Naomi_3071.mov" TargetMode="External"/><Relationship Id="rId19639" Type="http://schemas.openxmlformats.org/officeDocument/2006/relationships/hyperlink" Target="http://csr.bu.edu/ftp/asl/asllvd/demos/verify_start_end_handshape_annotations//test_auto_move//signs_mov_separ_signers/Brady_3071.mov" TargetMode="External"/><Relationship Id="rId19640" Type="http://schemas.openxmlformats.org/officeDocument/2006/relationships/hyperlink" Target="http://secrets.rutgers.edu:8080/data/asl-ftp/asllvd/demos/verify_start_end_handshape_annotations//test_auto_move//signs_mov_separ_signers/Brady_3071.mov" TargetMode="External"/><Relationship Id="rId19641" Type="http://schemas.openxmlformats.org/officeDocument/2006/relationships/hyperlink" Target="http://csr.bu.edu/ftp/asl/asllvd/demos/verify_start_end_handshape_annotations//test_auto_move//signs_mov_separ_signers/Brady_5685.mov" TargetMode="External"/><Relationship Id="rId19642" Type="http://schemas.openxmlformats.org/officeDocument/2006/relationships/hyperlink" Target="http://secrets.rutgers.edu:8080/data/asl-ftp/asllvd/demos/verify_start_end_handshape_annotations//test_auto_move//signs_mov_separ_signers/Brady_5685.mov" TargetMode="External"/><Relationship Id="rId19643" Type="http://schemas.openxmlformats.org/officeDocument/2006/relationships/hyperlink" Target="http://csr.bu.edu/ftp/asl/asllvd/demos/verify_start_end_handshape_annotations//test_auto_move//signs_mov_separ_signers/Liz_5986.mov" TargetMode="External"/><Relationship Id="rId19644" Type="http://schemas.openxmlformats.org/officeDocument/2006/relationships/hyperlink" Target="http://secrets.rutgers.edu:8080/data/asl-ftp/asllvd/demos/verify_start_end_handshape_annotations//test_auto_move//signs_mov_separ_signers/Liz_5986.mov" TargetMode="External"/><Relationship Id="rId19645" Type="http://schemas.openxmlformats.org/officeDocument/2006/relationships/hyperlink" Target="http://csr.bu.edu/ftp/asl/asllvd/demos/verify_start_end_handshape_annotations//test_auto_move//signs_mov/5986.mov" TargetMode="External"/><Relationship Id="rId19646" Type="http://schemas.openxmlformats.org/officeDocument/2006/relationships/hyperlink" Target="http://csr.bu.edu/ftp/asl/asllvd/demos/verify_start_end_handshape_annotations//test_auto_move//signs_mov_separ_signers/Tyler_5986.mov" TargetMode="External"/><Relationship Id="rId19647" Type="http://schemas.openxmlformats.org/officeDocument/2006/relationships/hyperlink" Target="http://secrets.rutgers.edu:8080/data/asl-ftp/asllvd/demos/verify_start_end_handshape_annotations//test_auto_move//signs_mov/5986.mov" TargetMode="External"/><Relationship Id="rId19648" Type="http://schemas.openxmlformats.org/officeDocument/2006/relationships/hyperlink" Target="http://secrets.rutgers.edu:8080/data/asl-ftp/asllvd/demos/verify_start_end_handshape_annotations//test_auto_move//signs_mov_separ_signers/Tyler_5986.mov" TargetMode="External"/><Relationship Id="rId19649" Type="http://schemas.openxmlformats.org/officeDocument/2006/relationships/hyperlink" Target="http://csr.bu.edu/ftp/asl/asllvd/demos/verify_start_end_handshape_annotations//test_auto_move//signs_mov_separ_signers/Brady_5986.mov" TargetMode="External"/><Relationship Id="rId19650" Type="http://schemas.openxmlformats.org/officeDocument/2006/relationships/hyperlink" Target="http://secrets.rutgers.edu:8080/data/asl-ftp/asllvd/demos/verify_start_end_handshape_annotations//test_auto_move//signs_mov_separ_signers/Brady_5986.mov" TargetMode="External"/><Relationship Id="rId19651" Type="http://schemas.openxmlformats.org/officeDocument/2006/relationships/hyperlink" Target="http://csr.bu.edu/ftp/asl/asllvd/demos/verify_start_end_handshape_annotations//test_auto_move//signs_mov/15321.mov" TargetMode="External"/><Relationship Id="rId19652" Type="http://schemas.openxmlformats.org/officeDocument/2006/relationships/hyperlink" Target="http://csr.bu.edu/ftp/asl/asllvd/demos/verify_start_end_handshape_annotations//test_auto_move//signs_mov_separ_signers/Liz_15321.mov" TargetMode="External"/><Relationship Id="rId19653" Type="http://schemas.openxmlformats.org/officeDocument/2006/relationships/hyperlink" Target="http://secrets.rutgers.edu:8080/data/asl-ftp/asllvd/demos/verify_start_end_handshape_annotations//test_auto_move//signs_mov/15321.mov" TargetMode="External"/><Relationship Id="rId19654" Type="http://schemas.openxmlformats.org/officeDocument/2006/relationships/hyperlink" Target="http://secrets.rutgers.edu:8080/data/asl-ftp/asllvd/demos/verify_start_end_handshape_annotations//test_auto_move//signs_mov_separ_signers/Liz_15321.mov" TargetMode="External"/><Relationship Id="rId19655" Type="http://schemas.openxmlformats.org/officeDocument/2006/relationships/hyperlink" Target="http://csr.bu.edu/ftp/asl/asllvd/demos/verify_start_end_handshape_annotations//test_auto_move//signs_mov_separ_signers/Brady_15321.mov" TargetMode="External"/><Relationship Id="rId19656" Type="http://schemas.openxmlformats.org/officeDocument/2006/relationships/hyperlink" Target="http://secrets.rutgers.edu:8080/data/asl-ftp/asllvd/demos/verify_start_end_handshape_annotations//test_auto_move//signs_mov_separ_signers/Brady_15321.mov" TargetMode="External"/><Relationship Id="rId19657" Type="http://schemas.openxmlformats.org/officeDocument/2006/relationships/hyperlink" Target="http://csr.bu.edu/ftp/asl/asllvd/demos/verify_start_end_handshape_annotations//test_auto_move//signs_mov_separ_signers/Liz_15421.mov" TargetMode="External"/><Relationship Id="rId19658" Type="http://schemas.openxmlformats.org/officeDocument/2006/relationships/hyperlink" Target="http://secrets.rutgers.edu:8080/data/asl-ftp/asllvd/demos/verify_start_end_handshape_annotations//test_auto_move//signs_mov_separ_signers/Liz_15421.mov" TargetMode="External"/><Relationship Id="rId19659" Type="http://schemas.openxmlformats.org/officeDocument/2006/relationships/hyperlink" Target="http://csr.bu.edu/ftp/asl/asllvd/demos/verify_start_end_handshape_annotations//test_auto_move//signs_mov/15421.mov" TargetMode="External"/><Relationship Id="rId19660" Type="http://schemas.openxmlformats.org/officeDocument/2006/relationships/hyperlink" Target="http://csr.bu.edu/ftp/asl/asllvd/demos/verify_start_end_handshape_annotations//test_auto_move//signs_mov_separ_signers/Naomi_15421.mov" TargetMode="External"/><Relationship Id="rId19661" Type="http://schemas.openxmlformats.org/officeDocument/2006/relationships/hyperlink" Target="http://secrets.rutgers.edu:8080/data/asl-ftp/asllvd/demos/verify_start_end_handshape_annotations//test_auto_move//signs_mov/15421.mov" TargetMode="External"/><Relationship Id="rId19662" Type="http://schemas.openxmlformats.org/officeDocument/2006/relationships/hyperlink" Target="http://secrets.rutgers.edu:8080/data/asl-ftp/asllvd/demos/verify_start_end_handshape_annotations//test_auto_move//signs_mov_separ_signers/Naomi_15421.mov" TargetMode="External"/><Relationship Id="rId19663" Type="http://schemas.openxmlformats.org/officeDocument/2006/relationships/hyperlink" Target="http://csr.bu.edu/ftp/asl/asllvd/demos/verify_start_end_handshape_annotations//test_auto_move//signs_mov_separ_signers/Brady_15421.mov" TargetMode="External"/><Relationship Id="rId19664" Type="http://schemas.openxmlformats.org/officeDocument/2006/relationships/hyperlink" Target="http://secrets.rutgers.edu:8080/data/asl-ftp/asllvd/demos/verify_start_end_handshape_annotations//test_auto_move//signs_mov_separ_signers/Brady_15421.mov" TargetMode="External"/><Relationship Id="rId19665" Type="http://schemas.openxmlformats.org/officeDocument/2006/relationships/hyperlink" Target="http://csr.bu.edu/ftp/asl/asllvd/demos/verify_start_end_handshape_annotations//test_auto_move//signs_mov/15422.mov" TargetMode="External"/><Relationship Id="rId19666" Type="http://schemas.openxmlformats.org/officeDocument/2006/relationships/hyperlink" Target="http://csr.bu.edu/ftp/asl/asllvd/demos/verify_start_end_handshape_annotations//test_auto_move//signs_mov_separ_signers/Liz_15422.mov" TargetMode="External"/><Relationship Id="rId19667" Type="http://schemas.openxmlformats.org/officeDocument/2006/relationships/hyperlink" Target="http://secrets.rutgers.edu:8080/data/asl-ftp/asllvd/demos/verify_start_end_handshape_annotations//test_auto_move//signs_mov/15422.mov" TargetMode="External"/><Relationship Id="rId19668" Type="http://schemas.openxmlformats.org/officeDocument/2006/relationships/hyperlink" Target="http://secrets.rutgers.edu:8080/data/asl-ftp/asllvd/demos/verify_start_end_handshape_annotations//test_auto_move//signs_mov_separ_signers/Liz_15422.mov" TargetMode="External"/><Relationship Id="rId19669" Type="http://schemas.openxmlformats.org/officeDocument/2006/relationships/hyperlink" Target="http://csr.bu.edu/ftp/asl/asllvd/demos/verify_start_end_handshape_annotations//test_auto_move//signs_mov_separ_signers/Naomi_15422.mov" TargetMode="External"/><Relationship Id="rId19670" Type="http://schemas.openxmlformats.org/officeDocument/2006/relationships/hyperlink" Target="http://secrets.rutgers.edu:8080/data/asl-ftp/asllvd/demos/verify_start_end_handshape_annotations//test_auto_move//signs_mov_separ_signers/Naomi_15422.mov" TargetMode="External"/><Relationship Id="rId19671" Type="http://schemas.openxmlformats.org/officeDocument/2006/relationships/hyperlink" Target="http://csr.bu.edu/ftp/asl/asllvd/demos/verify_start_end_handshape_annotations//test_auto_move//signs_mov_separ_signers/Liz_15946.mov" TargetMode="External"/><Relationship Id="rId19672" Type="http://schemas.openxmlformats.org/officeDocument/2006/relationships/hyperlink" Target="http://secrets.rutgers.edu:8080/data/asl-ftp/asllvd/demos/verify_start_end_handshape_annotations//test_auto_move//signs_mov_separ_signers/Liz_15946.mov" TargetMode="External"/><Relationship Id="rId19673" Type="http://schemas.openxmlformats.org/officeDocument/2006/relationships/hyperlink" Target="http://csr.bu.edu/ftp/asl/asllvd/demos/verify_start_end_handshape_annotations//test_auto_move//signs_mov/15946.mov" TargetMode="External"/><Relationship Id="rId19674" Type="http://schemas.openxmlformats.org/officeDocument/2006/relationships/hyperlink" Target="http://csr.bu.edu/ftp/asl/asllvd/demos/verify_start_end_handshape_annotations//test_auto_move//signs_mov_separ_signers/Tyler_15946.mov" TargetMode="External"/><Relationship Id="rId19675" Type="http://schemas.openxmlformats.org/officeDocument/2006/relationships/hyperlink" Target="http://secrets.rutgers.edu:8080/data/asl-ftp/asllvd/demos/verify_start_end_handshape_annotations//test_auto_move//signs_mov/15946.mov" TargetMode="External"/><Relationship Id="rId19676" Type="http://schemas.openxmlformats.org/officeDocument/2006/relationships/hyperlink" Target="http://secrets.rutgers.edu:8080/data/asl-ftp/asllvd/demos/verify_start_end_handshape_annotations//test_auto_move//signs_mov_separ_signers/Tyler_15946.mov" TargetMode="External"/><Relationship Id="rId19677" Type="http://schemas.openxmlformats.org/officeDocument/2006/relationships/hyperlink" Target="http://csr.bu.edu/ftp/asl/asllvd/demos/verify_start_end_handshape_annotations//test_auto_move//signs_mov_separ_signers/Naomi_15946.mov" TargetMode="External"/><Relationship Id="rId19678" Type="http://schemas.openxmlformats.org/officeDocument/2006/relationships/hyperlink" Target="http://secrets.rutgers.edu:8080/data/asl-ftp/asllvd/demos/verify_start_end_handshape_annotations//test_auto_move//signs_mov_separ_signers/Naomi_15946.mov" TargetMode="External"/><Relationship Id="rId19679" Type="http://schemas.openxmlformats.org/officeDocument/2006/relationships/hyperlink" Target="http://csr.bu.edu/ftp/asl/asllvd/demos/verify_start_end_handshape_annotations//test_auto_move//signs_mov_separ_signers/Brady_15946.mov" TargetMode="External"/><Relationship Id="rId19680" Type="http://schemas.openxmlformats.org/officeDocument/2006/relationships/hyperlink" Target="http://secrets.rutgers.edu:8080/data/asl-ftp/asllvd/demos/verify_start_end_handshape_annotations//test_auto_move//signs_mov_separ_signers/Brady_15946.mov" TargetMode="External"/><Relationship Id="rId19681" Type="http://schemas.openxmlformats.org/officeDocument/2006/relationships/hyperlink" Target="http://csr.bu.edu/ftp/asl/asllvd/demos/verify_start_end_handshape_annotations//test_auto_move//signs_mov/15954.mov" TargetMode="External"/><Relationship Id="rId19682" Type="http://schemas.openxmlformats.org/officeDocument/2006/relationships/hyperlink" Target="http://csr.bu.edu/ftp/asl/asllvd/demos/verify_start_end_handshape_annotations//test_auto_move//signs_mov_separ_signers/Liz_15954.mov" TargetMode="External"/><Relationship Id="rId19683" Type="http://schemas.openxmlformats.org/officeDocument/2006/relationships/hyperlink" Target="http://secrets.rutgers.edu:8080/data/asl-ftp/asllvd/demos/verify_start_end_handshape_annotations//test_auto_move//signs_mov/15954.mov" TargetMode="External"/><Relationship Id="rId19684" Type="http://schemas.openxmlformats.org/officeDocument/2006/relationships/hyperlink" Target="http://secrets.rutgers.edu:8080/data/asl-ftp/asllvd/demos/verify_start_end_handshape_annotations//test_auto_move//signs_mov_separ_signers/Liz_15954.mov" TargetMode="External"/><Relationship Id="rId19685" Type="http://schemas.openxmlformats.org/officeDocument/2006/relationships/hyperlink" Target="http://csr.bu.edu/ftp/asl/asllvd/demos/verify_start_end_handshape_annotations//test_auto_move//signs_mov_separ_signers/Brady_15954.mov" TargetMode="External"/><Relationship Id="rId19686" Type="http://schemas.openxmlformats.org/officeDocument/2006/relationships/hyperlink" Target="http://secrets.rutgers.edu:8080/data/asl-ftp/asllvd/demos/verify_start_end_handshape_annotations//test_auto_move//signs_mov_separ_signers/Brady_15954.mov" TargetMode="External"/><Relationship Id="rId19687" Type="http://schemas.openxmlformats.org/officeDocument/2006/relationships/hyperlink" Target="http://csr.bu.edu/ftp/asl/asllvd/demos/verify_start_end_handshape_annotations//test_auto_move//signs_mov/15965.mov" TargetMode="External"/><Relationship Id="rId19688" Type="http://schemas.openxmlformats.org/officeDocument/2006/relationships/hyperlink" Target="http://csr.bu.edu/ftp/asl/asllvd/demos/verify_start_end_handshape_annotations//test_auto_move//signs_mov_separ_signers/Liz_15965.mov" TargetMode="External"/><Relationship Id="rId19689" Type="http://schemas.openxmlformats.org/officeDocument/2006/relationships/hyperlink" Target="http://secrets.rutgers.edu:8080/data/asl-ftp/asllvd/demos/verify_start_end_handshape_annotations//test_auto_move//signs_mov/15965.mov" TargetMode="External"/><Relationship Id="rId19690" Type="http://schemas.openxmlformats.org/officeDocument/2006/relationships/hyperlink" Target="http://secrets.rutgers.edu:8080/data/asl-ftp/asllvd/demos/verify_start_end_handshape_annotations//test_auto_move//signs_mov_separ_signers/Liz_15965.mov" TargetMode="External"/><Relationship Id="rId19691" Type="http://schemas.openxmlformats.org/officeDocument/2006/relationships/hyperlink" Target="http://csr.bu.edu/ftp/asl/asllvd/demos/verify_start_end_handshape_annotations//test_auto_move//signs_mov_separ_signers/Brady_15965.mov" TargetMode="External"/><Relationship Id="rId19692" Type="http://schemas.openxmlformats.org/officeDocument/2006/relationships/hyperlink" Target="http://secrets.rutgers.edu:8080/data/asl-ftp/asllvd/demos/verify_start_end_handshape_annotations//test_auto_move//signs_mov_separ_signers/Brady_15965.mov" TargetMode="External"/><Relationship Id="rId19693" Type="http://schemas.openxmlformats.org/officeDocument/2006/relationships/hyperlink" Target="http://csr.bu.edu/ftp/asl/asllvd/demos/verify_start_end_handshape_annotations//test_auto_move//signs_mov/16019.mov" TargetMode="External"/><Relationship Id="rId19694" Type="http://schemas.openxmlformats.org/officeDocument/2006/relationships/hyperlink" Target="http://csr.bu.edu/ftp/asl/asllvd/demos/verify_start_end_handshape_annotations//test_auto_move//signs_mov_separ_signers/Brady_16019.mov" TargetMode="External"/><Relationship Id="rId19695" Type="http://schemas.openxmlformats.org/officeDocument/2006/relationships/hyperlink" Target="http://secrets.rutgers.edu:8080/data/asl-ftp/asllvd/demos/verify_start_end_handshape_annotations//test_auto_move//signs_mov/16019.mov" TargetMode="External"/><Relationship Id="rId19696" Type="http://schemas.openxmlformats.org/officeDocument/2006/relationships/hyperlink" Target="http://secrets.rutgers.edu:8080/data/asl-ftp/asllvd/demos/verify_start_end_handshape_annotations//test_auto_move//signs_mov_separ_signers/Brady_16019.mov" TargetMode="External"/><Relationship Id="rId19697" Type="http://schemas.openxmlformats.org/officeDocument/2006/relationships/hyperlink" Target="http://csr.bu.edu/ftp/asl/asllvd/demos/verify_start_end_handshape_annotations//test_auto_move//signs_mov/16121.mov" TargetMode="External"/><Relationship Id="rId19698" Type="http://schemas.openxmlformats.org/officeDocument/2006/relationships/hyperlink" Target="http://csr.bu.edu/ftp/asl/asllvd/demos/verify_start_end_handshape_annotations//test_auto_move//signs_mov_separ_signers/Liz_16121.mov" TargetMode="External"/><Relationship Id="rId19699" Type="http://schemas.openxmlformats.org/officeDocument/2006/relationships/hyperlink" Target="http://secrets.rutgers.edu:8080/data/asl-ftp/asllvd/demos/verify_start_end_handshape_annotations//test_auto_move//signs_mov/16121.mov" TargetMode="External"/><Relationship Id="rId19700" Type="http://schemas.openxmlformats.org/officeDocument/2006/relationships/hyperlink" Target="http://secrets.rutgers.edu:8080/data/asl-ftp/asllvd/demos/verify_start_end_handshape_annotations//test_auto_move//signs_mov_separ_signers/Liz_16121.mov" TargetMode="External"/><Relationship Id="rId19701" Type="http://schemas.openxmlformats.org/officeDocument/2006/relationships/hyperlink" Target="http://csr.bu.edu/ftp/asl/asllvd/demos/verify_start_end_handshape_annotations//test_auto_move//signs_mov_separ_signers/Liz_3072.mov" TargetMode="External"/><Relationship Id="rId19702" Type="http://schemas.openxmlformats.org/officeDocument/2006/relationships/hyperlink" Target="http://secrets.rutgers.edu:8080/data/asl-ftp/asllvd/demos/verify_start_end_handshape_annotations//test_auto_move//signs_mov_separ_signers/Liz_3072.mov" TargetMode="External"/><Relationship Id="rId19703" Type="http://schemas.openxmlformats.org/officeDocument/2006/relationships/hyperlink" Target="http://csr.bu.edu/ftp/asl/asllvd/demos/verify_start_end_handshape_annotations//test_auto_move//signs_mov/3072.mov" TargetMode="External"/><Relationship Id="rId19704" Type="http://schemas.openxmlformats.org/officeDocument/2006/relationships/hyperlink" Target="http://csr.bu.edu/ftp/asl/asllvd/demos/verify_start_end_handshape_annotations//test_auto_move//signs_mov_separ_signers/Tyler_3072.mov" TargetMode="External"/><Relationship Id="rId19705" Type="http://schemas.openxmlformats.org/officeDocument/2006/relationships/hyperlink" Target="http://secrets.rutgers.edu:8080/data/asl-ftp/asllvd/demos/verify_start_end_handshape_annotations//test_auto_move//signs_mov/3072.mov" TargetMode="External"/><Relationship Id="rId19706" Type="http://schemas.openxmlformats.org/officeDocument/2006/relationships/hyperlink" Target="http://secrets.rutgers.edu:8080/data/asl-ftp/asllvd/demos/verify_start_end_handshape_annotations//test_auto_move//signs_mov_separ_signers/Tyler_3072.mov" TargetMode="External"/><Relationship Id="rId19707" Type="http://schemas.openxmlformats.org/officeDocument/2006/relationships/hyperlink" Target="http://csr.bu.edu/ftp/asl/asllvd/demos/verify_start_end_handshape_annotations//test_auto_move//signs_mov_separ_signers/Naomi_3072.mov" TargetMode="External"/><Relationship Id="rId19708" Type="http://schemas.openxmlformats.org/officeDocument/2006/relationships/hyperlink" Target="http://secrets.rutgers.edu:8080/data/asl-ftp/asllvd/demos/verify_start_end_handshape_annotations//test_auto_move//signs_mov_separ_signers/Naomi_3072.mov" TargetMode="External"/><Relationship Id="rId19709" Type="http://schemas.openxmlformats.org/officeDocument/2006/relationships/hyperlink" Target="http://csr.bu.edu/ftp/asl/asllvd/demos/verify_start_end_handshape_annotations//test_auto_move//signs_mov_separ_signers/Brady_3072.mov" TargetMode="External"/><Relationship Id="rId19710" Type="http://schemas.openxmlformats.org/officeDocument/2006/relationships/hyperlink" Target="http://secrets.rutgers.edu:8080/data/asl-ftp/asllvd/demos/verify_start_end_handshape_annotations//test_auto_move//signs_mov_separ_signers/Brady_3072.mov" TargetMode="External"/><Relationship Id="rId19711" Type="http://schemas.openxmlformats.org/officeDocument/2006/relationships/hyperlink" Target="http://csr.bu.edu/ftp/asl/asllvd/demos/verify_start_end_handshape_annotations//test_auto_move//signs_mov/5833.mov" TargetMode="External"/><Relationship Id="rId19712" Type="http://schemas.openxmlformats.org/officeDocument/2006/relationships/hyperlink" Target="http://csr.bu.edu/ftp/asl/asllvd/demos/verify_start_end_handshape_annotations//test_auto_move//signs_mov_separ_signers/Brady_5833.mov" TargetMode="External"/><Relationship Id="rId19713" Type="http://schemas.openxmlformats.org/officeDocument/2006/relationships/hyperlink" Target="http://secrets.rutgers.edu:8080/data/asl-ftp/asllvd/demos/verify_start_end_handshape_annotations//test_auto_move//signs_mov/5833.mov" TargetMode="External"/><Relationship Id="rId19714" Type="http://schemas.openxmlformats.org/officeDocument/2006/relationships/hyperlink" Target="http://secrets.rutgers.edu:8080/data/asl-ftp/asllvd/demos/verify_start_end_handshape_annotations//test_auto_move//signs_mov_separ_signers/Brady_5833.mov" TargetMode="External"/><Relationship Id="rId19715" Type="http://schemas.openxmlformats.org/officeDocument/2006/relationships/hyperlink" Target="http://csr.bu.edu/ftp/asl/asllvd/demos/verify_start_end_handshape_annotations//test_auto_move//signs_mov_separ_signers/Liz_3074.mov" TargetMode="External"/><Relationship Id="rId19716" Type="http://schemas.openxmlformats.org/officeDocument/2006/relationships/hyperlink" Target="http://secrets.rutgers.edu:8080/data/asl-ftp/asllvd/demos/verify_start_end_handshape_annotations//test_auto_move//signs_mov_separ_signers/Liz_3074.mov" TargetMode="External"/><Relationship Id="rId19717" Type="http://schemas.openxmlformats.org/officeDocument/2006/relationships/hyperlink" Target="http://csr.bu.edu/ftp/asl/asllvd/demos/verify_start_end_handshape_annotations//test_auto_move//signs_mov/3074_5790_merged.mov" TargetMode="External"/><Relationship Id="rId19718" Type="http://schemas.openxmlformats.org/officeDocument/2006/relationships/hyperlink" Target="http://csr.bu.edu/ftp/asl/asllvd/demos/verify_start_end_handshape_annotations//test_auto_move//signs_mov_separ_signers/Naomi_3074.mov" TargetMode="External"/><Relationship Id="rId19719" Type="http://schemas.openxmlformats.org/officeDocument/2006/relationships/hyperlink" Target="http://secrets.rutgers.edu:8080/data/asl-ftp/asllvd/demos/verify_start_end_handshape_annotations//test_auto_move//signs_mov/3074_5790_merged.mov" TargetMode="External"/><Relationship Id="rId19720" Type="http://schemas.openxmlformats.org/officeDocument/2006/relationships/hyperlink" Target="http://secrets.rutgers.edu:8080/data/asl-ftp/asllvd/demos/verify_start_end_handshape_annotations//test_auto_move//signs_mov_separ_signers/Naomi_3074.mov" TargetMode="External"/><Relationship Id="rId19721" Type="http://schemas.openxmlformats.org/officeDocument/2006/relationships/hyperlink" Target="http://csr.bu.edu/ftp/asl/asllvd/demos/verify_start_end_handshape_annotations//test_auto_move//signs_mov_separ_signers/Brady_3074.mov" TargetMode="External"/><Relationship Id="rId19722" Type="http://schemas.openxmlformats.org/officeDocument/2006/relationships/hyperlink" Target="http://secrets.rutgers.edu:8080/data/asl-ftp/asllvd/demos/verify_start_end_handshape_annotations//test_auto_move//signs_mov_separ_signers/Brady_3074.mov" TargetMode="External"/><Relationship Id="rId19723" Type="http://schemas.openxmlformats.org/officeDocument/2006/relationships/hyperlink" Target="http://csr.bu.edu/ftp/asl/asllvd/demos/verify_start_end_handshape_annotations//test_auto_move//signs_mov_separ_signers/Brady_5790.mov" TargetMode="External"/><Relationship Id="rId19724" Type="http://schemas.openxmlformats.org/officeDocument/2006/relationships/hyperlink" Target="http://secrets.rutgers.edu:8080/data/asl-ftp/asllvd/demos/verify_start_end_handshape_annotations//test_auto_move//signs_mov_separ_signers/Brady_5790.mov" TargetMode="External"/><Relationship Id="rId19725" Type="http://schemas.openxmlformats.org/officeDocument/2006/relationships/hyperlink" Target="http://csr.bu.edu/ftp/asl/asllvd/demos/verify_start_end_handshape_annotations//test_auto_move//signs_mov/3080.mov" TargetMode="External"/><Relationship Id="rId19726" Type="http://schemas.openxmlformats.org/officeDocument/2006/relationships/hyperlink" Target="http://csr.bu.edu/ftp/asl/asllvd/demos/verify_start_end_handshape_annotations//test_auto_move//signs_mov_separ_signers/Tyler_3080.mov" TargetMode="External"/><Relationship Id="rId19727" Type="http://schemas.openxmlformats.org/officeDocument/2006/relationships/hyperlink" Target="http://secrets.rutgers.edu:8080/data/asl-ftp/asllvd/demos/verify_start_end_handshape_annotations//test_auto_move//signs_mov/3080.mov" TargetMode="External"/><Relationship Id="rId19728" Type="http://schemas.openxmlformats.org/officeDocument/2006/relationships/hyperlink" Target="http://secrets.rutgers.edu:8080/data/asl-ftp/asllvd/demos/verify_start_end_handshape_annotations//test_auto_move//signs_mov_separ_signers/Tyler_3080.mov" TargetMode="External"/><Relationship Id="rId19729" Type="http://schemas.openxmlformats.org/officeDocument/2006/relationships/hyperlink" Target="http://csr.bu.edu/ftp/asl/asllvd/demos/verify_start_end_handshape_annotations//test_auto_move//signs_mov_separ_signers/Liz_3084.mov" TargetMode="External"/><Relationship Id="rId19730" Type="http://schemas.openxmlformats.org/officeDocument/2006/relationships/hyperlink" Target="http://secrets.rutgers.edu:8080/data/asl-ftp/asllvd/demos/verify_start_end_handshape_annotations//test_auto_move//signs_mov_separ_signers/Liz_3084.mov" TargetMode="External"/><Relationship Id="rId19731" Type="http://schemas.openxmlformats.org/officeDocument/2006/relationships/hyperlink" Target="http://csr.bu.edu/ftp/asl/asllvd/demos/verify_start_end_handshape_annotations//test_auto_move//signs_mov_separ_signers/Tyler_3084.mov" TargetMode="External"/><Relationship Id="rId19732" Type="http://schemas.openxmlformats.org/officeDocument/2006/relationships/hyperlink" Target="http://secrets.rutgers.edu:8080/data/asl-ftp/asllvd/demos/verify_start_end_handshape_annotations//test_auto_move//signs_mov_separ_signers/Tyler_3084.mov" TargetMode="External"/><Relationship Id="rId19733" Type="http://schemas.openxmlformats.org/officeDocument/2006/relationships/hyperlink" Target="http://csr.bu.edu/ftp/asl/asllvd/demos/verify_start_end_handshape_annotations//test_auto_move//signs_mov/3084_5823_merged.mov" TargetMode="External"/><Relationship Id="rId19734" Type="http://schemas.openxmlformats.org/officeDocument/2006/relationships/hyperlink" Target="http://csr.bu.edu/ftp/asl/asllvd/demos/verify_start_end_handshape_annotations//test_auto_move//signs_mov_separ_signers/Naomi_3084.mov" TargetMode="External"/><Relationship Id="rId19735" Type="http://schemas.openxmlformats.org/officeDocument/2006/relationships/hyperlink" Target="http://secrets.rutgers.edu:8080/data/asl-ftp/asllvd/demos/verify_start_end_handshape_annotations//test_auto_move//signs_mov/3084_5823_merged.mov" TargetMode="External"/><Relationship Id="rId19736" Type="http://schemas.openxmlformats.org/officeDocument/2006/relationships/hyperlink" Target="http://secrets.rutgers.edu:8080/data/asl-ftp/asllvd/demos/verify_start_end_handshape_annotations//test_auto_move//signs_mov_separ_signers/Naomi_3084.mov" TargetMode="External"/><Relationship Id="rId19737" Type="http://schemas.openxmlformats.org/officeDocument/2006/relationships/hyperlink" Target="http://csr.bu.edu/ftp/asl/asllvd/demos/verify_start_end_handshape_annotations//test_auto_move//signs_mov_separ_signers/Brady_3084.mov" TargetMode="External"/><Relationship Id="rId19738" Type="http://schemas.openxmlformats.org/officeDocument/2006/relationships/hyperlink" Target="http://secrets.rutgers.edu:8080/data/asl-ftp/asllvd/demos/verify_start_end_handshape_annotations//test_auto_move//signs_mov_separ_signers/Brady_3084.mov" TargetMode="External"/><Relationship Id="rId19739" Type="http://schemas.openxmlformats.org/officeDocument/2006/relationships/hyperlink" Target="http://csr.bu.edu/ftp/asl/asllvd/demos/verify_start_end_handshape_annotations//test_auto_move//signs_mov_separ_signers/Brady_5823.mov" TargetMode="External"/><Relationship Id="rId19740" Type="http://schemas.openxmlformats.org/officeDocument/2006/relationships/hyperlink" Target="http://secrets.rutgers.edu:8080/data/asl-ftp/asllvd/demos/verify_start_end_handshape_annotations//test_auto_move//signs_mov_separ_signers/Brady_5823.mov" TargetMode="External"/><Relationship Id="rId19741" Type="http://schemas.openxmlformats.org/officeDocument/2006/relationships/hyperlink" Target="http://csr.bu.edu/ftp/asl/asllvd/demos/verify_start_end_handshape_annotations//test_auto_move//signs_mov/3090.mov" TargetMode="External"/><Relationship Id="rId19742" Type="http://schemas.openxmlformats.org/officeDocument/2006/relationships/hyperlink" Target="http://csr.bu.edu/ftp/asl/asllvd/demos/verify_start_end_handshape_annotations//test_auto_move//signs_mov_separ_signers/Liz_3090.mov" TargetMode="External"/><Relationship Id="rId19743" Type="http://schemas.openxmlformats.org/officeDocument/2006/relationships/hyperlink" Target="http://secrets.rutgers.edu:8080/data/asl-ftp/asllvd/demos/verify_start_end_handshape_annotations//test_auto_move//signs_mov/3090.mov" TargetMode="External"/><Relationship Id="rId19744" Type="http://schemas.openxmlformats.org/officeDocument/2006/relationships/hyperlink" Target="http://secrets.rutgers.edu:8080/data/asl-ftp/asllvd/demos/verify_start_end_handshape_annotations//test_auto_move//signs_mov_separ_signers/Liz_3090.mov" TargetMode="External"/><Relationship Id="rId19745" Type="http://schemas.openxmlformats.org/officeDocument/2006/relationships/hyperlink" Target="http://csr.bu.edu/ftp/asl/asllvd/demos/verify_start_end_handshape_annotations//test_auto_move//signs_mov_separ_signers/Brady_3090.mov" TargetMode="External"/><Relationship Id="rId19746" Type="http://schemas.openxmlformats.org/officeDocument/2006/relationships/hyperlink" Target="http://secrets.rutgers.edu:8080/data/asl-ftp/asllvd/demos/verify_start_end_handshape_annotations//test_auto_move//signs_mov_separ_signers/Brady_3090.mov" TargetMode="External"/><Relationship Id="rId19747" Type="http://schemas.openxmlformats.org/officeDocument/2006/relationships/hyperlink" Target="http://csr.bu.edu/ftp/asl/asllvd/demos/verify_start_end_handshape_annotations//test_auto_move//signs_mov/3100.mov" TargetMode="External"/><Relationship Id="rId19748" Type="http://schemas.openxmlformats.org/officeDocument/2006/relationships/hyperlink" Target="http://csr.bu.edu/ftp/asl/asllvd/demos/verify_start_end_handshape_annotations//test_auto_move//signs_mov_separ_signers/Liz_3100.mov" TargetMode="External"/><Relationship Id="rId19749" Type="http://schemas.openxmlformats.org/officeDocument/2006/relationships/hyperlink" Target="http://secrets.rutgers.edu:8080/data/asl-ftp/asllvd/demos/verify_start_end_handshape_annotations//test_auto_move//signs_mov/3100.mov" TargetMode="External"/><Relationship Id="rId19750" Type="http://schemas.openxmlformats.org/officeDocument/2006/relationships/hyperlink" Target="http://secrets.rutgers.edu:8080/data/asl-ftp/asllvd/demos/verify_start_end_handshape_annotations//test_auto_move//signs_mov_separ_signers/Liz_3100.mov" TargetMode="External"/><Relationship Id="rId19751" Type="http://schemas.openxmlformats.org/officeDocument/2006/relationships/hyperlink" Target="http://csr.bu.edu/ftp/asl/asllvd/demos/verify_start_end_handshape_annotations//test_auto_move//signs_mov/3101.mov" TargetMode="External"/><Relationship Id="rId19752" Type="http://schemas.openxmlformats.org/officeDocument/2006/relationships/hyperlink" Target="http://csr.bu.edu/ftp/asl/asllvd/demos/verify_start_end_handshape_annotations//test_auto_move//signs_mov_separ_signers/Liz_3101.mov" TargetMode="External"/><Relationship Id="rId19753" Type="http://schemas.openxmlformats.org/officeDocument/2006/relationships/hyperlink" Target="http://secrets.rutgers.edu:8080/data/asl-ftp/asllvd/demos/verify_start_end_handshape_annotations//test_auto_move//signs_mov/3101.mov" TargetMode="External"/><Relationship Id="rId19754" Type="http://schemas.openxmlformats.org/officeDocument/2006/relationships/hyperlink" Target="http://secrets.rutgers.edu:8080/data/asl-ftp/asllvd/demos/verify_start_end_handshape_annotations//test_auto_move//signs_mov_separ_signers/Liz_3101.mov" TargetMode="External"/><Relationship Id="rId19755" Type="http://schemas.openxmlformats.org/officeDocument/2006/relationships/hyperlink" Target="http://csr.bu.edu/ftp/asl/asllvd/demos/verify_start_end_handshape_annotations//test_auto_move//signs_mov/5670.mov" TargetMode="External"/><Relationship Id="rId19756" Type="http://schemas.openxmlformats.org/officeDocument/2006/relationships/hyperlink" Target="http://csr.bu.edu/ftp/asl/asllvd/demos/verify_start_end_handshape_annotations//test_auto_move//signs_mov_separ_signers/Tyler_5670.mov" TargetMode="External"/><Relationship Id="rId19757" Type="http://schemas.openxmlformats.org/officeDocument/2006/relationships/hyperlink" Target="http://secrets.rutgers.edu:8080/data/asl-ftp/asllvd/demos/verify_start_end_handshape_annotations//test_auto_move//signs_mov/5670.mov" TargetMode="External"/><Relationship Id="rId19758" Type="http://schemas.openxmlformats.org/officeDocument/2006/relationships/hyperlink" Target="http://secrets.rutgers.edu:8080/data/asl-ftp/asllvd/demos/verify_start_end_handshape_annotations//test_auto_move//signs_mov_separ_signers/Tyler_5670.mov" TargetMode="External"/><Relationship Id="rId19759" Type="http://schemas.openxmlformats.org/officeDocument/2006/relationships/hyperlink" Target="http://csr.bu.edu/ftp/asl/asllvd/demos/verify_start_end_handshape_annotations//test_auto_move//signs_mov/3102.mov" TargetMode="External"/><Relationship Id="rId19760" Type="http://schemas.openxmlformats.org/officeDocument/2006/relationships/hyperlink" Target="http://csr.bu.edu/ftp/asl/asllvd/demos/verify_start_end_handshape_annotations//test_auto_move//signs_mov_separ_signers/Liz_3102.mov" TargetMode="External"/><Relationship Id="rId19761" Type="http://schemas.openxmlformats.org/officeDocument/2006/relationships/hyperlink" Target="http://secrets.rutgers.edu:8080/data/asl-ftp/asllvd/demos/verify_start_end_handshape_annotations//test_auto_move//signs_mov/3102.mov" TargetMode="External"/><Relationship Id="rId19762" Type="http://schemas.openxmlformats.org/officeDocument/2006/relationships/hyperlink" Target="http://secrets.rutgers.edu:8080/data/asl-ftp/asllvd/demos/verify_start_end_handshape_annotations//test_auto_move//signs_mov_separ_signers/Liz_3102.mov" TargetMode="External"/><Relationship Id="rId19763" Type="http://schemas.openxmlformats.org/officeDocument/2006/relationships/hyperlink" Target="http://csr.bu.edu/ftp/asl/asllvd/demos/verify_start_end_handshape_annotations//test_auto_move//signs_mov_separ_signers/Liz_3112.mov" TargetMode="External"/><Relationship Id="rId19764" Type="http://schemas.openxmlformats.org/officeDocument/2006/relationships/hyperlink" Target="http://secrets.rutgers.edu:8080/data/asl-ftp/asllvd/demos/verify_start_end_handshape_annotations//test_auto_move//signs_mov_separ_signers/Liz_3112.mov" TargetMode="External"/><Relationship Id="rId19765" Type="http://schemas.openxmlformats.org/officeDocument/2006/relationships/hyperlink" Target="http://csr.bu.edu/ftp/asl/asllvd/demos/verify_start_end_handshape_annotations//test_auto_move//signs_mov/3112.mov" TargetMode="External"/><Relationship Id="rId19766" Type="http://schemas.openxmlformats.org/officeDocument/2006/relationships/hyperlink" Target="http://csr.bu.edu/ftp/asl/asllvd/demos/verify_start_end_handshape_annotations//test_auto_move//signs_mov_separ_signers/Tyler_3112.mov" TargetMode="External"/><Relationship Id="rId19767" Type="http://schemas.openxmlformats.org/officeDocument/2006/relationships/hyperlink" Target="http://secrets.rutgers.edu:8080/data/asl-ftp/asllvd/demos/verify_start_end_handshape_annotations//test_auto_move//signs_mov/3112.mov" TargetMode="External"/><Relationship Id="rId19768" Type="http://schemas.openxmlformats.org/officeDocument/2006/relationships/hyperlink" Target="http://secrets.rutgers.edu:8080/data/asl-ftp/asllvd/demos/verify_start_end_handshape_annotations//test_auto_move//signs_mov_separ_signers/Tyler_3112.mov" TargetMode="External"/><Relationship Id="rId19769" Type="http://schemas.openxmlformats.org/officeDocument/2006/relationships/hyperlink" Target="http://csr.bu.edu/ftp/asl/asllvd/demos/verify_start_end_handshape_annotations//test_auto_move//signs_mov_separ_signers/Brady_3112.mov" TargetMode="External"/><Relationship Id="rId19770" Type="http://schemas.openxmlformats.org/officeDocument/2006/relationships/hyperlink" Target="http://secrets.rutgers.edu:8080/data/asl-ftp/asllvd/demos/verify_start_end_handshape_annotations//test_auto_move//signs_mov_separ_signers/Brady_3112.mov" TargetMode="External"/><Relationship Id="rId19771" Type="http://schemas.openxmlformats.org/officeDocument/2006/relationships/hyperlink" Target="http://csr.bu.edu/ftp/asl/asllvd/demos/verify_start_end_handshape_annotations//test_auto_move//signs_mov/3120.mov" TargetMode="External"/><Relationship Id="rId19772" Type="http://schemas.openxmlformats.org/officeDocument/2006/relationships/hyperlink" Target="http://csr.bu.edu/ftp/asl/asllvd/demos/verify_start_end_handshape_annotations//test_auto_move//signs_mov_separ_signers/Liz_3120.mov" TargetMode="External"/><Relationship Id="rId19773" Type="http://schemas.openxmlformats.org/officeDocument/2006/relationships/hyperlink" Target="http://secrets.rutgers.edu:8080/data/asl-ftp/asllvd/demos/verify_start_end_handshape_annotations//test_auto_move//signs_mov/3120.mov" TargetMode="External"/><Relationship Id="rId19774" Type="http://schemas.openxmlformats.org/officeDocument/2006/relationships/hyperlink" Target="http://secrets.rutgers.edu:8080/data/asl-ftp/asllvd/demos/verify_start_end_handshape_annotations//test_auto_move//signs_mov_separ_signers/Liz_3120.mov" TargetMode="External"/><Relationship Id="rId19775" Type="http://schemas.openxmlformats.org/officeDocument/2006/relationships/hyperlink" Target="http://csr.bu.edu/ftp/asl/asllvd/demos/verify_start_end_handshape_annotations//test_auto_move//signs_mov_separ_signers/Brady_3120.mov" TargetMode="External"/><Relationship Id="rId19776" Type="http://schemas.openxmlformats.org/officeDocument/2006/relationships/hyperlink" Target="http://secrets.rutgers.edu:8080/data/asl-ftp/asllvd/demos/verify_start_end_handshape_annotations//test_auto_move//signs_mov_separ_signers/Brady_3120.mov" TargetMode="External"/><Relationship Id="rId19777" Type="http://schemas.openxmlformats.org/officeDocument/2006/relationships/hyperlink" Target="http://csr.bu.edu/ftp/asl/asllvd/demos/verify_start_end_handshape_annotations//test_auto_move//signs_mov_separ_signers/Liz_5777.mov" TargetMode="External"/><Relationship Id="rId19778" Type="http://schemas.openxmlformats.org/officeDocument/2006/relationships/hyperlink" Target="http://secrets.rutgers.edu:8080/data/asl-ftp/asllvd/demos/verify_start_end_handshape_annotations//test_auto_move//signs_mov_separ_signers/Liz_5777.mov" TargetMode="External"/><Relationship Id="rId19779" Type="http://schemas.openxmlformats.org/officeDocument/2006/relationships/hyperlink" Target="http://csr.bu.edu/ftp/asl/asllvd/demos/verify_start_end_handshape_annotations//test_auto_move//signs_mov/5777_5787_merged.mov" TargetMode="External"/><Relationship Id="rId19780" Type="http://schemas.openxmlformats.org/officeDocument/2006/relationships/hyperlink" Target="http://csr.bu.edu/ftp/asl/asllvd/demos/verify_start_end_handshape_annotations//test_auto_move//signs_mov_separ_signers/Brady_5777.mov" TargetMode="External"/><Relationship Id="rId19781" Type="http://schemas.openxmlformats.org/officeDocument/2006/relationships/hyperlink" Target="http://secrets.rutgers.edu:8080/data/asl-ftp/asllvd/demos/verify_start_end_handshape_annotations//test_auto_move//signs_mov/5777_5787_merged.mov" TargetMode="External"/><Relationship Id="rId19782" Type="http://schemas.openxmlformats.org/officeDocument/2006/relationships/hyperlink" Target="http://secrets.rutgers.edu:8080/data/asl-ftp/asllvd/demos/verify_start_end_handshape_annotations//test_auto_move//signs_mov_separ_signers/Brady_5777.mov" TargetMode="External"/><Relationship Id="rId19783" Type="http://schemas.openxmlformats.org/officeDocument/2006/relationships/hyperlink" Target="http://csr.bu.edu/ftp/asl/asllvd/demos/verify_start_end_handshape_annotations//test_auto_move//signs_mov_separ_signers/Brady_5787.mov" TargetMode="External"/><Relationship Id="rId19784" Type="http://schemas.openxmlformats.org/officeDocument/2006/relationships/hyperlink" Target="http://secrets.rutgers.edu:8080/data/asl-ftp/asllvd/demos/verify_start_end_handshape_annotations//test_auto_move//signs_mov_separ_signers/Brady_5787.mov" TargetMode="External"/><Relationship Id="rId19785" Type="http://schemas.openxmlformats.org/officeDocument/2006/relationships/hyperlink" Target="http://csr.bu.edu/ftp/asl/asllvd/demos/verify_start_end_handshape_annotations//test_auto_move//signs_mov/3158.mov" TargetMode="External"/><Relationship Id="rId19786" Type="http://schemas.openxmlformats.org/officeDocument/2006/relationships/hyperlink" Target="http://csr.bu.edu/ftp/asl/asllvd/demos/verify_start_end_handshape_annotations//test_auto_move//signs_mov_separ_signers/Liz_3158.mov" TargetMode="External"/><Relationship Id="rId19787" Type="http://schemas.openxmlformats.org/officeDocument/2006/relationships/hyperlink" Target="http://secrets.rutgers.edu:8080/data/asl-ftp/asllvd/demos/verify_start_end_handshape_annotations//test_auto_move//signs_mov/3158.mov" TargetMode="External"/><Relationship Id="rId19788" Type="http://schemas.openxmlformats.org/officeDocument/2006/relationships/hyperlink" Target="http://secrets.rutgers.edu:8080/data/asl-ftp/asllvd/demos/verify_start_end_handshape_annotations//test_auto_move//signs_mov_separ_signers/Liz_3158.mov" TargetMode="External"/><Relationship Id="rId19789" Type="http://schemas.openxmlformats.org/officeDocument/2006/relationships/hyperlink" Target="http://csr.bu.edu/ftp/asl/asllvd/demos/verify_start_end_handshape_annotations//test_auto_move//signs_mov/3159.mov" TargetMode="External"/><Relationship Id="rId19790" Type="http://schemas.openxmlformats.org/officeDocument/2006/relationships/hyperlink" Target="http://csr.bu.edu/ftp/asl/asllvd/demos/verify_start_end_handshape_annotations//test_auto_move//signs_mov_separ_signers/Liz_3159.mov" TargetMode="External"/><Relationship Id="rId19791" Type="http://schemas.openxmlformats.org/officeDocument/2006/relationships/hyperlink" Target="http://secrets.rutgers.edu:8080/data/asl-ftp/asllvd/demos/verify_start_end_handshape_annotations//test_auto_move//signs_mov/3159.mov" TargetMode="External"/><Relationship Id="rId19792" Type="http://schemas.openxmlformats.org/officeDocument/2006/relationships/hyperlink" Target="http://secrets.rutgers.edu:8080/data/asl-ftp/asllvd/demos/verify_start_end_handshape_annotations//test_auto_move//signs_mov_separ_signers/Liz_3159.mov" TargetMode="External"/><Relationship Id="rId19793" Type="http://schemas.openxmlformats.org/officeDocument/2006/relationships/hyperlink" Target="http://csr.bu.edu/ftp/asl/asllvd/demos/verify_start_end_handshape_annotations//test_auto_move//signs_mov/3160.mov" TargetMode="External"/><Relationship Id="rId19794" Type="http://schemas.openxmlformats.org/officeDocument/2006/relationships/hyperlink" Target="http://csr.bu.edu/ftp/asl/asllvd/demos/verify_start_end_handshape_annotations//test_auto_move//signs_mov_separ_signers/Liz_3160.mov" TargetMode="External"/><Relationship Id="rId19795" Type="http://schemas.openxmlformats.org/officeDocument/2006/relationships/hyperlink" Target="http://secrets.rutgers.edu:8080/data/asl-ftp/asllvd/demos/verify_start_end_handshape_annotations//test_auto_move//signs_mov/3160.mov" TargetMode="External"/><Relationship Id="rId19796" Type="http://schemas.openxmlformats.org/officeDocument/2006/relationships/hyperlink" Target="http://secrets.rutgers.edu:8080/data/asl-ftp/asllvd/demos/verify_start_end_handshape_annotations//test_auto_move//signs_mov_separ_signers/Liz_3160.mov" TargetMode="External"/><Relationship Id="rId19797" Type="http://schemas.openxmlformats.org/officeDocument/2006/relationships/hyperlink" Target="http://csr.bu.edu/ftp/asl/asllvd/demos/verify_start_end_handshape_annotations//test_auto_move//signs_mov_separ_signers/Liz_3163.mov" TargetMode="External"/><Relationship Id="rId19798" Type="http://schemas.openxmlformats.org/officeDocument/2006/relationships/hyperlink" Target="http://secrets.rutgers.edu:8080/data/asl-ftp/asllvd/demos/verify_start_end_handshape_annotations//test_auto_move//signs_mov_separ_signers/Liz_3163.mov" TargetMode="External"/><Relationship Id="rId19799" Type="http://schemas.openxmlformats.org/officeDocument/2006/relationships/hyperlink" Target="http://csr.bu.edu/ftp/asl/asllvd/demos/verify_start_end_handshape_annotations//test_auto_move//signs_mov_separ_signers/Liz_3460.mov" TargetMode="External"/><Relationship Id="rId19800" Type="http://schemas.openxmlformats.org/officeDocument/2006/relationships/hyperlink" Target="http://secrets.rutgers.edu:8080/data/asl-ftp/asllvd/demos/verify_start_end_handshape_annotations//test_auto_move//signs_mov_separ_signers/Liz_3460.mov" TargetMode="External"/><Relationship Id="rId19801" Type="http://schemas.openxmlformats.org/officeDocument/2006/relationships/hyperlink" Target="http://csr.bu.edu/ftp/asl/asllvd/demos/verify_start_end_handshape_annotations//test_auto_move//signs_mov_separ_signers/Liz_3465.mov" TargetMode="External"/><Relationship Id="rId19802" Type="http://schemas.openxmlformats.org/officeDocument/2006/relationships/hyperlink" Target="http://secrets.rutgers.edu:8080/data/asl-ftp/asllvd/demos/verify_start_end_handshape_annotations//test_auto_move//signs_mov_separ_signers/Liz_3465.mov" TargetMode="External"/><Relationship Id="rId19803" Type="http://schemas.openxmlformats.org/officeDocument/2006/relationships/hyperlink" Target="http://csr.bu.edu/ftp/asl/asllvd/demos/verify_start_end_handshape_annotations//test_auto_move//signs_mov/3163_3460_3465_merged.mov" TargetMode="External"/><Relationship Id="rId19804" Type="http://schemas.openxmlformats.org/officeDocument/2006/relationships/hyperlink" Target="http://csr.bu.edu/ftp/asl/asllvd/demos/verify_start_end_handshape_annotations//test_auto_move//signs_mov_separ_signers/Tyler_3163.mov" TargetMode="External"/><Relationship Id="rId19805" Type="http://schemas.openxmlformats.org/officeDocument/2006/relationships/hyperlink" Target="http://secrets.rutgers.edu:8080/data/asl-ftp/asllvd/demos/verify_start_end_handshape_annotations//test_auto_move//signs_mov/3163_3460_3465_merged.mov" TargetMode="External"/><Relationship Id="rId19806" Type="http://schemas.openxmlformats.org/officeDocument/2006/relationships/hyperlink" Target="http://secrets.rutgers.edu:8080/data/asl-ftp/asllvd/demos/verify_start_end_handshape_annotations//test_auto_move//signs_mov_separ_signers/Tyler_3163.mov" TargetMode="External"/><Relationship Id="rId19807" Type="http://schemas.openxmlformats.org/officeDocument/2006/relationships/hyperlink" Target="http://csr.bu.edu/ftp/asl/asllvd/demos/verify_start_end_handshape_annotations//test_auto_move//signs_mov_separ_signers/Tyler_3460.mov" TargetMode="External"/><Relationship Id="rId19808" Type="http://schemas.openxmlformats.org/officeDocument/2006/relationships/hyperlink" Target="http://secrets.rutgers.edu:8080/data/asl-ftp/asllvd/demos/verify_start_end_handshape_annotations//test_auto_move//signs_mov_separ_signers/Tyler_3460.mov" TargetMode="External"/><Relationship Id="rId19809" Type="http://schemas.openxmlformats.org/officeDocument/2006/relationships/hyperlink" Target="http://csr.bu.edu/ftp/asl/asllvd/demos/verify_start_end_handshape_annotations//test_auto_move//signs_mov_separ_signers/Naomi_3163.mov" TargetMode="External"/><Relationship Id="rId19810" Type="http://schemas.openxmlformats.org/officeDocument/2006/relationships/hyperlink" Target="http://secrets.rutgers.edu:8080/data/asl-ftp/asllvd/demos/verify_start_end_handshape_annotations//test_auto_move//signs_mov_separ_signers/Naomi_3163.mov" TargetMode="External"/><Relationship Id="rId19811" Type="http://schemas.openxmlformats.org/officeDocument/2006/relationships/hyperlink" Target="http://csr.bu.edu/ftp/asl/asllvd/demos/verify_start_end_handshape_annotations//test_auto_move//signs_mov_separ_signers/Brady_3163.mov" TargetMode="External"/><Relationship Id="rId19812" Type="http://schemas.openxmlformats.org/officeDocument/2006/relationships/hyperlink" Target="http://secrets.rutgers.edu:8080/data/asl-ftp/asllvd/demos/verify_start_end_handshape_annotations//test_auto_move//signs_mov_separ_signers/Brady_3163.mov" TargetMode="External"/><Relationship Id="rId19813" Type="http://schemas.openxmlformats.org/officeDocument/2006/relationships/hyperlink" Target="http://csr.bu.edu/ftp/asl/asllvd/demos/verify_start_end_handshape_annotations//test_auto_move//signs_mov_separ_signers/Brady_3460.mov" TargetMode="External"/><Relationship Id="rId19814" Type="http://schemas.openxmlformats.org/officeDocument/2006/relationships/hyperlink" Target="http://secrets.rutgers.edu:8080/data/asl-ftp/asllvd/demos/verify_start_end_handshape_annotations//test_auto_move//signs_mov_separ_signers/Brady_3460.mov" TargetMode="External"/><Relationship Id="rId19815" Type="http://schemas.openxmlformats.org/officeDocument/2006/relationships/hyperlink" Target="http://csr.bu.edu/ftp/asl/asllvd/demos/verify_start_end_handshape_annotations//test_auto_move//signs_mov_separ_signers/Liz_15367.mov" TargetMode="External"/><Relationship Id="rId19816" Type="http://schemas.openxmlformats.org/officeDocument/2006/relationships/hyperlink" Target="http://secrets.rutgers.edu:8080/data/asl-ftp/asllvd/demos/verify_start_end_handshape_annotations//test_auto_move//signs_mov_separ_signers/Liz_15367.mov" TargetMode="External"/><Relationship Id="rId19817" Type="http://schemas.openxmlformats.org/officeDocument/2006/relationships/hyperlink" Target="http://csr.bu.edu/ftp/asl/asllvd/demos/verify_start_end_handshape_annotations//test_auto_move//signs_mov_separ_signers/Liz_15376.mov" TargetMode="External"/><Relationship Id="rId19818" Type="http://schemas.openxmlformats.org/officeDocument/2006/relationships/hyperlink" Target="http://secrets.rutgers.edu:8080/data/asl-ftp/asllvd/demos/verify_start_end_handshape_annotations//test_auto_move//signs_mov_separ_signers/Liz_15376.mov" TargetMode="External"/><Relationship Id="rId19819" Type="http://schemas.openxmlformats.org/officeDocument/2006/relationships/hyperlink" Target="http://csr.bu.edu/ftp/asl/asllvd/demos/verify_start_end_handshape_annotations//test_auto_move//signs_mov/15367_15376_15406_merged.mov" TargetMode="External"/><Relationship Id="rId19820" Type="http://schemas.openxmlformats.org/officeDocument/2006/relationships/hyperlink" Target="http://csr.bu.edu/ftp/asl/asllvd/demos/verify_start_end_handshape_annotations//test_auto_move//signs_mov_separ_signers/Brady_15367.mov" TargetMode="External"/><Relationship Id="rId19821" Type="http://schemas.openxmlformats.org/officeDocument/2006/relationships/hyperlink" Target="http://secrets.rutgers.edu:8080/data/asl-ftp/asllvd/demos/verify_start_end_handshape_annotations//test_auto_move//signs_mov/15367_15376_15406_merged.mov" TargetMode="External"/><Relationship Id="rId19822" Type="http://schemas.openxmlformats.org/officeDocument/2006/relationships/hyperlink" Target="http://secrets.rutgers.edu:8080/data/asl-ftp/asllvd/demos/verify_start_end_handshape_annotations//test_auto_move//signs_mov_separ_signers/Brady_15367.mov" TargetMode="External"/><Relationship Id="rId19823" Type="http://schemas.openxmlformats.org/officeDocument/2006/relationships/hyperlink" Target="http://csr.bu.edu/ftp/asl/asllvd/demos/verify_start_end_handshape_annotations//test_auto_move//signs_mov_separ_signers/Brady_15376.mov" TargetMode="External"/><Relationship Id="rId19824" Type="http://schemas.openxmlformats.org/officeDocument/2006/relationships/hyperlink" Target="http://secrets.rutgers.edu:8080/data/asl-ftp/asllvd/demos/verify_start_end_handshape_annotations//test_auto_move//signs_mov_separ_signers/Brady_15376.mov" TargetMode="External"/><Relationship Id="rId19825" Type="http://schemas.openxmlformats.org/officeDocument/2006/relationships/hyperlink" Target="http://csr.bu.edu/ftp/asl/asllvd/demos/verify_start_end_handshape_annotations//test_auto_move//signs_mov_separ_signers/Brady_15406.mov" TargetMode="External"/><Relationship Id="rId19826" Type="http://schemas.openxmlformats.org/officeDocument/2006/relationships/hyperlink" Target="http://secrets.rutgers.edu:8080/data/asl-ftp/asllvd/demos/verify_start_end_handshape_annotations//test_auto_move//signs_mov_separ_signers/Brady_15406.mov" TargetMode="External"/><Relationship Id="rId19827" Type="http://schemas.openxmlformats.org/officeDocument/2006/relationships/hyperlink" Target="http://csr.bu.edu/ftp/asl/asllvd/demos/verify_start_end_handshape_annotations//test_auto_move//signs_mov_separ_signers/Liz_3168.mov" TargetMode="External"/><Relationship Id="rId19828" Type="http://schemas.openxmlformats.org/officeDocument/2006/relationships/hyperlink" Target="http://secrets.rutgers.edu:8080/data/asl-ftp/asllvd/demos/verify_start_end_handshape_annotations//test_auto_move//signs_mov_separ_signers/Liz_3168.mov" TargetMode="External"/><Relationship Id="rId19829" Type="http://schemas.openxmlformats.org/officeDocument/2006/relationships/hyperlink" Target="http://csr.bu.edu/ftp/asl/asllvd/demos/verify_start_end_handshape_annotations//test_auto_move//signs_mov/3168_5765_merged.mov" TargetMode="External"/><Relationship Id="rId19830" Type="http://schemas.openxmlformats.org/officeDocument/2006/relationships/hyperlink" Target="http://csr.bu.edu/ftp/asl/asllvd/demos/verify_start_end_handshape_annotations//test_auto_move//signs_mov_separ_signers/Brady_3168.mov" TargetMode="External"/><Relationship Id="rId19831" Type="http://schemas.openxmlformats.org/officeDocument/2006/relationships/hyperlink" Target="http://secrets.rutgers.edu:8080/data/asl-ftp/asllvd/demos/verify_start_end_handshape_annotations//test_auto_move//signs_mov/3168_5765_merged.mov" TargetMode="External"/><Relationship Id="rId19832" Type="http://schemas.openxmlformats.org/officeDocument/2006/relationships/hyperlink" Target="http://secrets.rutgers.edu:8080/data/asl-ftp/asllvd/demos/verify_start_end_handshape_annotations//test_auto_move//signs_mov_separ_signers/Brady_3168.mov" TargetMode="External"/><Relationship Id="rId19833" Type="http://schemas.openxmlformats.org/officeDocument/2006/relationships/hyperlink" Target="http://csr.bu.edu/ftp/asl/asllvd/demos/verify_start_end_handshape_annotations//test_auto_move//signs_mov_separ_signers/Brady_5765.mov" TargetMode="External"/><Relationship Id="rId19834" Type="http://schemas.openxmlformats.org/officeDocument/2006/relationships/hyperlink" Target="http://secrets.rutgers.edu:8080/data/asl-ftp/asllvd/demos/verify_start_end_handshape_annotations//test_auto_move//signs_mov_separ_signers/Brady_5765.mov" TargetMode="External"/><Relationship Id="rId19835" Type="http://schemas.openxmlformats.org/officeDocument/2006/relationships/hyperlink" Target="http://csr.bu.edu/ftp/asl/asllvd/demos/verify_start_end_handshape_annotations//test_auto_move//signs_mov_separ_signers/Liz_3169.mov" TargetMode="External"/><Relationship Id="rId19836" Type="http://schemas.openxmlformats.org/officeDocument/2006/relationships/hyperlink" Target="http://secrets.rutgers.edu:8080/data/asl-ftp/asllvd/demos/verify_start_end_handshape_annotations//test_auto_move//signs_mov_separ_signers/Liz_3169.mov" TargetMode="External"/><Relationship Id="rId19837" Type="http://schemas.openxmlformats.org/officeDocument/2006/relationships/hyperlink" Target="http://csr.bu.edu/ftp/asl/asllvd/demos/verify_start_end_handshape_annotations//test_auto_move//signs_mov/3169_5835_merged.mov" TargetMode="External"/><Relationship Id="rId19838" Type="http://schemas.openxmlformats.org/officeDocument/2006/relationships/hyperlink" Target="http://csr.bu.edu/ftp/asl/asllvd/demos/verify_start_end_handshape_annotations//test_auto_move//signs_mov_separ_signers/Brady_3169.mov" TargetMode="External"/><Relationship Id="rId19839" Type="http://schemas.openxmlformats.org/officeDocument/2006/relationships/hyperlink" Target="http://secrets.rutgers.edu:8080/data/asl-ftp/asllvd/demos/verify_start_end_handshape_annotations//test_auto_move//signs_mov/3169_5835_merged.mov" TargetMode="External"/><Relationship Id="rId19840" Type="http://schemas.openxmlformats.org/officeDocument/2006/relationships/hyperlink" Target="http://secrets.rutgers.edu:8080/data/asl-ftp/asllvd/demos/verify_start_end_handshape_annotations//test_auto_move//signs_mov_separ_signers/Brady_3169.mov" TargetMode="External"/><Relationship Id="rId19841" Type="http://schemas.openxmlformats.org/officeDocument/2006/relationships/hyperlink" Target="http://csr.bu.edu/ftp/asl/asllvd/demos/verify_start_end_handshape_annotations//test_auto_move//signs_mov_separ_signers/Brady_5835.mov" TargetMode="External"/><Relationship Id="rId19842" Type="http://schemas.openxmlformats.org/officeDocument/2006/relationships/hyperlink" Target="http://secrets.rutgers.edu:8080/data/asl-ftp/asllvd/demos/verify_start_end_handshape_annotations//test_auto_move//signs_mov_separ_signers/Brady_5835.mov" TargetMode="External"/><Relationship Id="rId19843" Type="http://schemas.openxmlformats.org/officeDocument/2006/relationships/hyperlink" Target="http://csr.bu.edu/ftp/asl/asllvd/demos/verify_start_end_handshape_annotations//test_auto_move//signs_mov/3173.mov" TargetMode="External"/><Relationship Id="rId19844" Type="http://schemas.openxmlformats.org/officeDocument/2006/relationships/hyperlink" Target="http://csr.bu.edu/ftp/asl/asllvd/demos/verify_start_end_handshape_annotations//test_auto_move//signs_mov_separ_signers/Liz_3173.mov" TargetMode="External"/><Relationship Id="rId19845" Type="http://schemas.openxmlformats.org/officeDocument/2006/relationships/hyperlink" Target="http://secrets.rutgers.edu:8080/data/asl-ftp/asllvd/demos/verify_start_end_handshape_annotations//test_auto_move//signs_mov/3173.mov" TargetMode="External"/><Relationship Id="rId19846" Type="http://schemas.openxmlformats.org/officeDocument/2006/relationships/hyperlink" Target="http://secrets.rutgers.edu:8080/data/asl-ftp/asllvd/demos/verify_start_end_handshape_annotations//test_auto_move//signs_mov_separ_signers/Liz_3173.mov" TargetMode="External"/><Relationship Id="rId19847" Type="http://schemas.openxmlformats.org/officeDocument/2006/relationships/hyperlink" Target="http://csr.bu.edu/ftp/asl/asllvd/demos/verify_start_end_handshape_annotations//test_auto_move//signs_mov_separ_signers/Brady_3173.mov" TargetMode="External"/><Relationship Id="rId19848" Type="http://schemas.openxmlformats.org/officeDocument/2006/relationships/hyperlink" Target="http://secrets.rutgers.edu:8080/data/asl-ftp/asllvd/demos/verify_start_end_handshape_annotations//test_auto_move//signs_mov_separ_signers/Brady_3173.mov" TargetMode="External"/><Relationship Id="rId19849" Type="http://schemas.openxmlformats.org/officeDocument/2006/relationships/hyperlink" Target="http://csr.bu.edu/ftp/asl/asllvd/demos/verify_start_end_handshape_annotations//test_auto_move//signs_mov/3175.mov" TargetMode="External"/><Relationship Id="rId19850" Type="http://schemas.openxmlformats.org/officeDocument/2006/relationships/hyperlink" Target="http://csr.bu.edu/ftp/asl/asllvd/demos/verify_start_end_handshape_annotations//test_auto_move//signs_mov_separ_signers/Liz_3175.mov" TargetMode="External"/><Relationship Id="rId19851" Type="http://schemas.openxmlformats.org/officeDocument/2006/relationships/hyperlink" Target="http://secrets.rutgers.edu:8080/data/asl-ftp/asllvd/demos/verify_start_end_handshape_annotations//test_auto_move//signs_mov/3175.mov" TargetMode="External"/><Relationship Id="rId19852" Type="http://schemas.openxmlformats.org/officeDocument/2006/relationships/hyperlink" Target="http://secrets.rutgers.edu:8080/data/asl-ftp/asllvd/demos/verify_start_end_handshape_annotations//test_auto_move//signs_mov_separ_signers/Liz_3175.mov" TargetMode="External"/><Relationship Id="rId19853" Type="http://schemas.openxmlformats.org/officeDocument/2006/relationships/hyperlink" Target="http://csr.bu.edu/ftp/asl/asllvd/demos/verify_start_end_handshape_annotations//test_auto_move//signs_mov_separ_signers/Brady_3175.mov" TargetMode="External"/><Relationship Id="rId19854" Type="http://schemas.openxmlformats.org/officeDocument/2006/relationships/hyperlink" Target="http://secrets.rutgers.edu:8080/data/asl-ftp/asllvd/demos/verify_start_end_handshape_annotations//test_auto_move//signs_mov_separ_signers/Brady_3175.mov" TargetMode="External"/><Relationship Id="rId19855" Type="http://schemas.openxmlformats.org/officeDocument/2006/relationships/hyperlink" Target="http://csr.bu.edu/ftp/asl/asllvd/demos/verify_start_end_handshape_annotations//test_auto_move//signs_mov_separ_signers/Liz_3187.mov" TargetMode="External"/><Relationship Id="rId19856" Type="http://schemas.openxmlformats.org/officeDocument/2006/relationships/hyperlink" Target="http://secrets.rutgers.edu:8080/data/asl-ftp/asllvd/demos/verify_start_end_handshape_annotations//test_auto_move//signs_mov_separ_signers/Liz_3187.mov" TargetMode="External"/><Relationship Id="rId19857" Type="http://schemas.openxmlformats.org/officeDocument/2006/relationships/hyperlink" Target="http://csr.bu.edu/ftp/asl/asllvd/demos/verify_start_end_handshape_annotations//test_auto_move//signs_mov/3187_3493_merged.mov" TargetMode="External"/><Relationship Id="rId19858" Type="http://schemas.openxmlformats.org/officeDocument/2006/relationships/hyperlink" Target="http://csr.bu.edu/ftp/asl/asllvd/demos/verify_start_end_handshape_annotations//test_auto_move//signs_mov_separ_signers/Tyler_3187.mov" TargetMode="External"/><Relationship Id="rId19859" Type="http://schemas.openxmlformats.org/officeDocument/2006/relationships/hyperlink" Target="http://secrets.rutgers.edu:8080/data/asl-ftp/asllvd/demos/verify_start_end_handshape_annotations//test_auto_move//signs_mov/3187_3493_merged.mov" TargetMode="External"/><Relationship Id="rId19860" Type="http://schemas.openxmlformats.org/officeDocument/2006/relationships/hyperlink" Target="http://secrets.rutgers.edu:8080/data/asl-ftp/asllvd/demos/verify_start_end_handshape_annotations//test_auto_move//signs_mov_separ_signers/Tyler_3187.mov" TargetMode="External"/><Relationship Id="rId19861" Type="http://schemas.openxmlformats.org/officeDocument/2006/relationships/hyperlink" Target="http://csr.bu.edu/ftp/asl/asllvd/demos/verify_start_end_handshape_annotations//test_auto_move//signs_mov_separ_signers/Tyler_3493.mov" TargetMode="External"/><Relationship Id="rId19862" Type="http://schemas.openxmlformats.org/officeDocument/2006/relationships/hyperlink" Target="http://secrets.rutgers.edu:8080/data/asl-ftp/asllvd/demos/verify_start_end_handshape_annotations//test_auto_move//signs_mov_separ_signers/Tyler_3493.mov" TargetMode="External"/><Relationship Id="rId19863" Type="http://schemas.openxmlformats.org/officeDocument/2006/relationships/hyperlink" Target="http://csr.bu.edu/ftp/asl/asllvd/demos/verify_start_end_handshape_annotations//test_auto_move//signs_mov_separ_signers/Brady_3187.mov" TargetMode="External"/><Relationship Id="rId19864" Type="http://schemas.openxmlformats.org/officeDocument/2006/relationships/hyperlink" Target="http://secrets.rutgers.edu:8080/data/asl-ftp/asllvd/demos/verify_start_end_handshape_annotations//test_auto_move//signs_mov_separ_signers/Brady_3187.mov" TargetMode="External"/><Relationship Id="rId19865" Type="http://schemas.openxmlformats.org/officeDocument/2006/relationships/hyperlink" Target="http://csr.bu.edu/ftp/asl/asllvd/demos/verify_start_end_handshape_annotations//test_auto_move//signs_mov/5671.mov" TargetMode="External"/><Relationship Id="rId19866" Type="http://schemas.openxmlformats.org/officeDocument/2006/relationships/hyperlink" Target="http://csr.bu.edu/ftp/asl/asllvd/demos/verify_start_end_handshape_annotations//test_auto_move//signs_mov_separ_signers/Naomi_5671.mov" TargetMode="External"/><Relationship Id="rId19867" Type="http://schemas.openxmlformats.org/officeDocument/2006/relationships/hyperlink" Target="http://secrets.rutgers.edu:8080/data/asl-ftp/asllvd/demos/verify_start_end_handshape_annotations//test_auto_move//signs_mov/5671.mov" TargetMode="External"/><Relationship Id="rId19868" Type="http://schemas.openxmlformats.org/officeDocument/2006/relationships/hyperlink" Target="http://secrets.rutgers.edu:8080/data/asl-ftp/asllvd/demos/verify_start_end_handshape_annotations//test_auto_move//signs_mov_separ_signers/Naomi_5671.mov" TargetMode="External"/><Relationship Id="rId19869" Type="http://schemas.openxmlformats.org/officeDocument/2006/relationships/hyperlink" Target="http://csr.bu.edu/ftp/asl/asllvd/demos/verify_start_end_handshape_annotations//test_auto_move//signs_mov_separ_signers/Liz_15799.mov" TargetMode="External"/><Relationship Id="rId19870" Type="http://schemas.openxmlformats.org/officeDocument/2006/relationships/hyperlink" Target="http://secrets.rutgers.edu:8080/data/asl-ftp/asllvd/demos/verify_start_end_handshape_annotations//test_auto_move//signs_mov_separ_signers/Liz_15799.mov" TargetMode="External"/><Relationship Id="rId19871" Type="http://schemas.openxmlformats.org/officeDocument/2006/relationships/hyperlink" Target="http://csr.bu.edu/ftp/asl/asllvd/demos/verify_start_end_handshape_annotations//test_auto_move//signs_mov_separ_signers/Tyler_15799.mov" TargetMode="External"/><Relationship Id="rId19872" Type="http://schemas.openxmlformats.org/officeDocument/2006/relationships/hyperlink" Target="http://secrets.rutgers.edu:8080/data/asl-ftp/asllvd/demos/verify_start_end_handshape_annotations//test_auto_move//signs_mov_separ_signers/Tyler_15799.mov" TargetMode="External"/><Relationship Id="rId19873" Type="http://schemas.openxmlformats.org/officeDocument/2006/relationships/hyperlink" Target="http://csr.bu.edu/ftp/asl/asllvd/demos/verify_start_end_handshape_annotations//test_auto_move//signs_mov/15799.mov" TargetMode="External"/><Relationship Id="rId19874" Type="http://schemas.openxmlformats.org/officeDocument/2006/relationships/hyperlink" Target="http://csr.bu.edu/ftp/asl/asllvd/demos/verify_start_end_handshape_annotations//test_auto_move//signs_mov_separ_signers/Naomi_15799.mov" TargetMode="External"/><Relationship Id="rId19875" Type="http://schemas.openxmlformats.org/officeDocument/2006/relationships/hyperlink" Target="http://secrets.rutgers.edu:8080/data/asl-ftp/asllvd/demos/verify_start_end_handshape_annotations//test_auto_move//signs_mov/15799.mov" TargetMode="External"/><Relationship Id="rId19876" Type="http://schemas.openxmlformats.org/officeDocument/2006/relationships/hyperlink" Target="http://secrets.rutgers.edu:8080/data/asl-ftp/asllvd/demos/verify_start_end_handshape_annotations//test_auto_move//signs_mov_separ_signers/Naomi_15799.mov" TargetMode="External"/><Relationship Id="rId19877" Type="http://schemas.openxmlformats.org/officeDocument/2006/relationships/hyperlink" Target="http://csr.bu.edu/ftp/asl/asllvd/demos/verify_start_end_handshape_annotations//test_auto_move//signs_mov_separ_signers/Brady_15799.mov" TargetMode="External"/><Relationship Id="rId19878" Type="http://schemas.openxmlformats.org/officeDocument/2006/relationships/hyperlink" Target="http://secrets.rutgers.edu:8080/data/asl-ftp/asllvd/demos/verify_start_end_handshape_annotations//test_auto_move//signs_mov_separ_signers/Brady_15799.mov" TargetMode="External"/><Relationship Id="rId19879" Type="http://schemas.openxmlformats.org/officeDocument/2006/relationships/hyperlink" Target="http://csr.bu.edu/ftp/asl/asllvd/demos/verify_start_end_handshape_annotations//test_auto_move//signs_mov_separ_signers/Lana_15799.mov" TargetMode="External"/><Relationship Id="rId19880" Type="http://schemas.openxmlformats.org/officeDocument/2006/relationships/hyperlink" Target="http://secrets.rutgers.edu:8080/data/asl-ftp/asllvd/demos/verify_start_end_handshape_annotations//test_auto_move//signs_mov_separ_signers/Lana_15799.mov" TargetMode="External"/><Relationship Id="rId19881" Type="http://schemas.openxmlformats.org/officeDocument/2006/relationships/hyperlink" Target="http://csr.bu.edu/ftp/asl/asllvd/demos/verify_start_end_handshape_annotations//test_auto_move//signs_mov_separ_signers/Dana_15799.mov" TargetMode="External"/><Relationship Id="rId19882" Type="http://schemas.openxmlformats.org/officeDocument/2006/relationships/hyperlink" Target="http://secrets.rutgers.edu:8080/data/asl-ftp/asllvd/demos/verify_start_end_handshape_annotations//test_auto_move//signs_mov_separ_signers/Dana_15799.mov" TargetMode="External"/><Relationship Id="rId19883" Type="http://schemas.openxmlformats.org/officeDocument/2006/relationships/hyperlink" Target="http://csr.bu.edu/ftp/asl/asllvd/demos/verify_start_end_handshape_annotations//test_auto_move//signs_mov/3206.mov" TargetMode="External"/><Relationship Id="rId19884" Type="http://schemas.openxmlformats.org/officeDocument/2006/relationships/hyperlink" Target="http://csr.bu.edu/ftp/asl/asllvd/demos/verify_start_end_handshape_annotations//test_auto_move//signs_mov_separ_signers/Liz_3206.mov" TargetMode="External"/><Relationship Id="rId19885" Type="http://schemas.openxmlformats.org/officeDocument/2006/relationships/hyperlink" Target="http://secrets.rutgers.edu:8080/data/asl-ftp/asllvd/demos/verify_start_end_handshape_annotations//test_auto_move//signs_mov/3206.mov" TargetMode="External"/><Relationship Id="rId19886" Type="http://schemas.openxmlformats.org/officeDocument/2006/relationships/hyperlink" Target="http://secrets.rutgers.edu:8080/data/asl-ftp/asllvd/demos/verify_start_end_handshape_annotations//test_auto_move//signs_mov_separ_signers/Liz_3206.mov" TargetMode="External"/><Relationship Id="rId19887" Type="http://schemas.openxmlformats.org/officeDocument/2006/relationships/hyperlink" Target="http://csr.bu.edu/ftp/asl/asllvd/demos/verify_start_end_handshape_annotations//test_auto_move//signs_mov_separ_signers/Brady_3206.mov" TargetMode="External"/><Relationship Id="rId19888" Type="http://schemas.openxmlformats.org/officeDocument/2006/relationships/hyperlink" Target="http://secrets.rutgers.edu:8080/data/asl-ftp/asllvd/demos/verify_start_end_handshape_annotations//test_auto_move//signs_mov_separ_signers/Brady_3206.mov" TargetMode="External"/><Relationship Id="rId19889" Type="http://schemas.openxmlformats.org/officeDocument/2006/relationships/hyperlink" Target="http://csr.bu.edu/ftp/asl/asllvd/demos/verify_start_end_handshape_annotations//test_auto_move//signs_mov/3207.mov" TargetMode="External"/><Relationship Id="rId19890" Type="http://schemas.openxmlformats.org/officeDocument/2006/relationships/hyperlink" Target="http://csr.bu.edu/ftp/asl/asllvd/demos/verify_start_end_handshape_annotations//test_auto_move//signs_mov_separ_signers/Liz_3207.mov" TargetMode="External"/><Relationship Id="rId19891" Type="http://schemas.openxmlformats.org/officeDocument/2006/relationships/hyperlink" Target="http://secrets.rutgers.edu:8080/data/asl-ftp/asllvd/demos/verify_start_end_handshape_annotations//test_auto_move//signs_mov/3207.mov" TargetMode="External"/><Relationship Id="rId19892" Type="http://schemas.openxmlformats.org/officeDocument/2006/relationships/hyperlink" Target="http://secrets.rutgers.edu:8080/data/asl-ftp/asllvd/demos/verify_start_end_handshape_annotations//test_auto_move//signs_mov_separ_signers/Liz_3207.mov" TargetMode="External"/><Relationship Id="rId19893" Type="http://schemas.openxmlformats.org/officeDocument/2006/relationships/hyperlink" Target="http://csr.bu.edu/ftp/asl/asllvd/demos/verify_start_end_handshape_annotations//test_auto_move//signs_mov_separ_signers/Brady_3207.mov" TargetMode="External"/><Relationship Id="rId19894" Type="http://schemas.openxmlformats.org/officeDocument/2006/relationships/hyperlink" Target="http://secrets.rutgers.edu:8080/data/asl-ftp/asllvd/demos/verify_start_end_handshape_annotations//test_auto_move//signs_mov_separ_signers/Brady_3207.mov" TargetMode="External"/><Relationship Id="rId19895" Type="http://schemas.openxmlformats.org/officeDocument/2006/relationships/hyperlink" Target="http://csr.bu.edu/ftp/asl/asllvd/demos/verify_start_end_handshape_annotations//test_auto_move//signs_mov/3210.mov" TargetMode="External"/><Relationship Id="rId19896" Type="http://schemas.openxmlformats.org/officeDocument/2006/relationships/hyperlink" Target="http://csr.bu.edu/ftp/asl/asllvd/demos/verify_start_end_handshape_annotations//test_auto_move//signs_mov_separ_signers/Liz_3210.mov" TargetMode="External"/><Relationship Id="rId19897" Type="http://schemas.openxmlformats.org/officeDocument/2006/relationships/hyperlink" Target="http://secrets.rutgers.edu:8080/data/asl-ftp/asllvd/demos/verify_start_end_handshape_annotations//test_auto_move//signs_mov/3210.mov" TargetMode="External"/><Relationship Id="rId19898" Type="http://schemas.openxmlformats.org/officeDocument/2006/relationships/hyperlink" Target="http://secrets.rutgers.edu:8080/data/asl-ftp/asllvd/demos/verify_start_end_handshape_annotations//test_auto_move//signs_mov_separ_signers/Liz_3210.mov" TargetMode="External"/><Relationship Id="rId19899" Type="http://schemas.openxmlformats.org/officeDocument/2006/relationships/hyperlink" Target="http://csr.bu.edu/ftp/asl/asllvd/demos/verify_start_end_handshape_annotations//test_auto_move//signs_mov_separ_signers/Brady_3210.mov" TargetMode="External"/><Relationship Id="rId19900" Type="http://schemas.openxmlformats.org/officeDocument/2006/relationships/hyperlink" Target="http://secrets.rutgers.edu:8080/data/asl-ftp/asllvd/demos/verify_start_end_handshape_annotations//test_auto_move//signs_mov_separ_signers/Brady_3210.mov" TargetMode="External"/><Relationship Id="rId19901" Type="http://schemas.openxmlformats.org/officeDocument/2006/relationships/hyperlink" Target="http://csr.bu.edu/ftp/asl/asllvd/demos/verify_start_end_handshape_annotations//test_auto_move//signs_mov/3214.mov" TargetMode="External"/><Relationship Id="rId19902" Type="http://schemas.openxmlformats.org/officeDocument/2006/relationships/hyperlink" Target="http://csr.bu.edu/ftp/asl/asllvd/demos/verify_start_end_handshape_annotations//test_auto_move//signs_mov_separ_signers/Liz_3214.mov" TargetMode="External"/><Relationship Id="rId19903" Type="http://schemas.openxmlformats.org/officeDocument/2006/relationships/hyperlink" Target="http://secrets.rutgers.edu:8080/data/asl-ftp/asllvd/demos/verify_start_end_handshape_annotations//test_auto_move//signs_mov/3214.mov" TargetMode="External"/><Relationship Id="rId19904" Type="http://schemas.openxmlformats.org/officeDocument/2006/relationships/hyperlink" Target="http://secrets.rutgers.edu:8080/data/asl-ftp/asllvd/demos/verify_start_end_handshape_annotations//test_auto_move//signs_mov_separ_signers/Liz_3214.mov" TargetMode="External"/><Relationship Id="rId19905" Type="http://schemas.openxmlformats.org/officeDocument/2006/relationships/hyperlink" Target="http://csr.bu.edu/ftp/asl/asllvd/demos/verify_start_end_handshape_annotations//test_auto_move//signs_mov/3229.mov" TargetMode="External"/><Relationship Id="rId19906" Type="http://schemas.openxmlformats.org/officeDocument/2006/relationships/hyperlink" Target="http://csr.bu.edu/ftp/asl/asllvd/demos/verify_start_end_handshape_annotations//test_auto_move//signs_mov_separ_signers/Liz_3229.mov" TargetMode="External"/><Relationship Id="rId19907" Type="http://schemas.openxmlformats.org/officeDocument/2006/relationships/hyperlink" Target="http://secrets.rutgers.edu:8080/data/asl-ftp/asllvd/demos/verify_start_end_handshape_annotations//test_auto_move//signs_mov/3229.mov" TargetMode="External"/><Relationship Id="rId19908" Type="http://schemas.openxmlformats.org/officeDocument/2006/relationships/hyperlink" Target="http://secrets.rutgers.edu:8080/data/asl-ftp/asllvd/demos/verify_start_end_handshape_annotations//test_auto_move//signs_mov_separ_signers/Liz_3229.mov" TargetMode="External"/><Relationship Id="rId19909" Type="http://schemas.openxmlformats.org/officeDocument/2006/relationships/hyperlink" Target="http://csr.bu.edu/ftp/asl/asllvd/demos/verify_start_end_handshape_annotations//test_auto_move//signs_mov_separ_signers/Liz_3232.mov" TargetMode="External"/><Relationship Id="rId19910" Type="http://schemas.openxmlformats.org/officeDocument/2006/relationships/hyperlink" Target="http://secrets.rutgers.edu:8080/data/asl-ftp/asllvd/demos/verify_start_end_handshape_annotations//test_auto_move//signs_mov_separ_signers/Liz_3232.mov" TargetMode="External"/><Relationship Id="rId19911" Type="http://schemas.openxmlformats.org/officeDocument/2006/relationships/hyperlink" Target="http://csr.bu.edu/ftp/asl/asllvd/demos/verify_start_end_handshape_annotations//test_auto_move//signs_mov/3232_5686_merged.mov" TargetMode="External"/><Relationship Id="rId19912" Type="http://schemas.openxmlformats.org/officeDocument/2006/relationships/hyperlink" Target="http://csr.bu.edu/ftp/asl/asllvd/demos/verify_start_end_handshape_annotations//test_auto_move//signs_mov_separ_signers/Liz_5686.mov" TargetMode="External"/><Relationship Id="rId19913" Type="http://schemas.openxmlformats.org/officeDocument/2006/relationships/hyperlink" Target="http://secrets.rutgers.edu:8080/data/asl-ftp/asllvd/demos/verify_start_end_handshape_annotations//test_auto_move//signs_mov/3232_5686_merged.mov" TargetMode="External"/><Relationship Id="rId19914" Type="http://schemas.openxmlformats.org/officeDocument/2006/relationships/hyperlink" Target="http://secrets.rutgers.edu:8080/data/asl-ftp/asllvd/demos/verify_start_end_handshape_annotations//test_auto_move//signs_mov_separ_signers/Liz_5686.mov" TargetMode="External"/><Relationship Id="rId19915" Type="http://schemas.openxmlformats.org/officeDocument/2006/relationships/hyperlink" Target="http://csr.bu.edu/ftp/asl/asllvd/demos/verify_start_end_handshape_annotations//test_auto_move//signs_mov_separ_signers/Lana_3232.mov" TargetMode="External"/><Relationship Id="rId19916" Type="http://schemas.openxmlformats.org/officeDocument/2006/relationships/hyperlink" Target="http://secrets.rutgers.edu:8080/data/asl-ftp/asllvd/demos/verify_start_end_handshape_annotations//test_auto_move//signs_mov_separ_signers/Lana_3232.mov" TargetMode="External"/><Relationship Id="rId19917" Type="http://schemas.openxmlformats.org/officeDocument/2006/relationships/hyperlink" Target="http://csr.bu.edu/ftp/asl/asllvd/demos/verify_start_end_handshape_annotations//test_auto_move//signs_mov_separ_signers/Liz_5687.mov" TargetMode="External"/><Relationship Id="rId19918" Type="http://schemas.openxmlformats.org/officeDocument/2006/relationships/hyperlink" Target="http://secrets.rutgers.edu:8080/data/asl-ftp/asllvd/demos/verify_start_end_handshape_annotations//test_auto_move//signs_mov_separ_signers/Liz_5687.mov" TargetMode="External"/><Relationship Id="rId19919" Type="http://schemas.openxmlformats.org/officeDocument/2006/relationships/hyperlink" Target="http://csr.bu.edu/ftp/asl/asllvd/demos/verify_start_end_handshape_annotations//test_auto_move//signs_mov/5687_15371_merged.mov" TargetMode="External"/><Relationship Id="rId19920" Type="http://schemas.openxmlformats.org/officeDocument/2006/relationships/hyperlink" Target="http://csr.bu.edu/ftp/asl/asllvd/demos/verify_start_end_handshape_annotations//test_auto_move//signs_mov_separ_signers/Liz_15371.mov" TargetMode="External"/><Relationship Id="rId19921" Type="http://schemas.openxmlformats.org/officeDocument/2006/relationships/hyperlink" Target="http://secrets.rutgers.edu:8080/data/asl-ftp/asllvd/demos/verify_start_end_handshape_annotations//test_auto_move//signs_mov/5687_15371_merged.mov" TargetMode="External"/><Relationship Id="rId19922" Type="http://schemas.openxmlformats.org/officeDocument/2006/relationships/hyperlink" Target="http://secrets.rutgers.edu:8080/data/asl-ftp/asllvd/demos/verify_start_end_handshape_annotations//test_auto_move//signs_mov_separ_signers/Liz_15371.mov" TargetMode="External"/><Relationship Id="rId19923" Type="http://schemas.openxmlformats.org/officeDocument/2006/relationships/hyperlink" Target="http://csr.bu.edu/ftp/asl/asllvd/demos/verify_start_end_handshape_annotations//test_auto_move//signs_mov_separ_signers/Brady_5687.mov" TargetMode="External"/><Relationship Id="rId19924" Type="http://schemas.openxmlformats.org/officeDocument/2006/relationships/hyperlink" Target="http://secrets.rutgers.edu:8080/data/asl-ftp/asllvd/demos/verify_start_end_handshape_annotations//test_auto_move//signs_mov_separ_signers/Brady_5687.mov" TargetMode="External"/><Relationship Id="rId19925" Type="http://schemas.openxmlformats.org/officeDocument/2006/relationships/hyperlink" Target="http://csr.bu.edu/ftp/asl/asllvd/demos/verify_start_end_handshape_annotations//test_auto_move//signs_mov_separ_signers/Brady_15371.mov" TargetMode="External"/><Relationship Id="rId19926" Type="http://schemas.openxmlformats.org/officeDocument/2006/relationships/hyperlink" Target="http://secrets.rutgers.edu:8080/data/asl-ftp/asllvd/demos/verify_start_end_handshape_annotations//test_auto_move//signs_mov_separ_signers/Brady_15371.mov" TargetMode="External"/><Relationship Id="rId19927" Type="http://schemas.openxmlformats.org/officeDocument/2006/relationships/hyperlink" Target="http://csr.bu.edu/ftp/asl/asllvd/demos/verify_start_end_handshape_annotations//test_auto_move//signs_mov_separ_signers/Liz_15920.mov" TargetMode="External"/><Relationship Id="rId19928" Type="http://schemas.openxmlformats.org/officeDocument/2006/relationships/hyperlink" Target="http://secrets.rutgers.edu:8080/data/asl-ftp/asllvd/demos/verify_start_end_handshape_annotations//test_auto_move//signs_mov_separ_signers/Liz_15920.mov" TargetMode="External"/><Relationship Id="rId19929" Type="http://schemas.openxmlformats.org/officeDocument/2006/relationships/hyperlink" Target="http://csr.bu.edu/ftp/asl/asllvd/demos/verify_start_end_handshape_annotations//test_auto_move//signs_mov_separ_signers/Tyler_15920.mov" TargetMode="External"/><Relationship Id="rId19930" Type="http://schemas.openxmlformats.org/officeDocument/2006/relationships/hyperlink" Target="http://secrets.rutgers.edu:8080/data/asl-ftp/asllvd/demos/verify_start_end_handshape_annotations//test_auto_move//signs_mov_separ_signers/Tyler_15920.mov" TargetMode="External"/><Relationship Id="rId19931" Type="http://schemas.openxmlformats.org/officeDocument/2006/relationships/hyperlink" Target="http://csr.bu.edu/ftp/asl/asllvd/demos/verify_start_end_handshape_annotations//test_auto_move//signs_mov/15920.mov" TargetMode="External"/><Relationship Id="rId19932" Type="http://schemas.openxmlformats.org/officeDocument/2006/relationships/hyperlink" Target="http://csr.bu.edu/ftp/asl/asllvd/demos/verify_start_end_handshape_annotations//test_auto_move//signs_mov_separ_signers/Naomi_15920.mov" TargetMode="External"/><Relationship Id="rId19933" Type="http://schemas.openxmlformats.org/officeDocument/2006/relationships/hyperlink" Target="http://secrets.rutgers.edu:8080/data/asl-ftp/asllvd/demos/verify_start_end_handshape_annotations//test_auto_move//signs_mov/15920.mov" TargetMode="External"/><Relationship Id="rId19934" Type="http://schemas.openxmlformats.org/officeDocument/2006/relationships/hyperlink" Target="http://secrets.rutgers.edu:8080/data/asl-ftp/asllvd/demos/verify_start_end_handshape_annotations//test_auto_move//signs_mov_separ_signers/Naomi_15920.mov" TargetMode="External"/><Relationship Id="rId19935" Type="http://schemas.openxmlformats.org/officeDocument/2006/relationships/hyperlink" Target="http://csr.bu.edu/ftp/asl/asllvd/demos/verify_start_end_handshape_annotations//test_auto_move//signs_mov_separ_signers/Brady_15920.mov" TargetMode="External"/><Relationship Id="rId19936" Type="http://schemas.openxmlformats.org/officeDocument/2006/relationships/hyperlink" Target="http://secrets.rutgers.edu:8080/data/asl-ftp/asllvd/demos/verify_start_end_handshape_annotations//test_auto_move//signs_mov_separ_signers/Brady_15920.mov" TargetMode="External"/><Relationship Id="rId19937" Type="http://schemas.openxmlformats.org/officeDocument/2006/relationships/hyperlink" Target="http://csr.bu.edu/ftp/asl/asllvd/demos/verify_start_end_handshape_annotations//test_auto_move//signs_mov_separ_signers/Lana_15920.mov" TargetMode="External"/><Relationship Id="rId19938" Type="http://schemas.openxmlformats.org/officeDocument/2006/relationships/hyperlink" Target="http://secrets.rutgers.edu:8080/data/asl-ftp/asllvd/demos/verify_start_end_handshape_annotations//test_auto_move//signs_mov_separ_signers/Lana_15920.mov" TargetMode="External"/><Relationship Id="rId19939" Type="http://schemas.openxmlformats.org/officeDocument/2006/relationships/hyperlink" Target="http://csr.bu.edu/ftp/asl/asllvd/demos/verify_start_end_handshape_annotations//test_auto_move//signs_mov/16216.mov" TargetMode="External"/><Relationship Id="rId19940" Type="http://schemas.openxmlformats.org/officeDocument/2006/relationships/hyperlink" Target="http://csr.bu.edu/ftp/asl/asllvd/demos/verify_start_end_handshape_annotations//test_auto_move//signs_mov_separ_signers/Liz_16216.mov" TargetMode="External"/><Relationship Id="rId19941" Type="http://schemas.openxmlformats.org/officeDocument/2006/relationships/hyperlink" Target="http://secrets.rutgers.edu:8080/data/asl-ftp/asllvd/demos/verify_start_end_handshape_annotations//test_auto_move//signs_mov/16216.mov" TargetMode="External"/><Relationship Id="rId19942" Type="http://schemas.openxmlformats.org/officeDocument/2006/relationships/hyperlink" Target="http://secrets.rutgers.edu:8080/data/asl-ftp/asllvd/demos/verify_start_end_handshape_annotations//test_auto_move//signs_mov_separ_signers/Liz_16216.mov" TargetMode="External"/><Relationship Id="rId19943" Type="http://schemas.openxmlformats.org/officeDocument/2006/relationships/hyperlink" Target="http://csr.bu.edu/ftp/asl/asllvd/demos/verify_start_end_handshape_annotations//test_auto_move//signs_mov_separ_signers/Brady_16216.mov" TargetMode="External"/><Relationship Id="rId19944" Type="http://schemas.openxmlformats.org/officeDocument/2006/relationships/hyperlink" Target="http://secrets.rutgers.edu:8080/data/asl-ftp/asllvd/demos/verify_start_end_handshape_annotations//test_auto_move//signs_mov_separ_signers/Brady_16216.mov" TargetMode="External"/><Relationship Id="rId19945" Type="http://schemas.openxmlformats.org/officeDocument/2006/relationships/hyperlink" Target="http://csr.bu.edu/ftp/asl/asllvd/demos/verify_start_end_handshape_annotations//test_auto_move//signs_mov_separ_signers/Liz_3241.mov" TargetMode="External"/><Relationship Id="rId19946" Type="http://schemas.openxmlformats.org/officeDocument/2006/relationships/hyperlink" Target="http://secrets.rutgers.edu:8080/data/asl-ftp/asllvd/demos/verify_start_end_handshape_annotations//test_auto_move//signs_mov_separ_signers/Liz_3241.mov" TargetMode="External"/><Relationship Id="rId19947" Type="http://schemas.openxmlformats.org/officeDocument/2006/relationships/hyperlink" Target="http://csr.bu.edu/ftp/asl/asllvd/demos/verify_start_end_handshape_annotations//test_auto_move//signs_mov/3241_5982_merged.mov" TargetMode="External"/><Relationship Id="rId19948" Type="http://schemas.openxmlformats.org/officeDocument/2006/relationships/hyperlink" Target="http://csr.bu.edu/ftp/asl/asllvd/demos/verify_start_end_handshape_annotations//test_auto_move//signs_mov_separ_signers/Liz_5982.mov" TargetMode="External"/><Relationship Id="rId19949" Type="http://schemas.openxmlformats.org/officeDocument/2006/relationships/hyperlink" Target="http://secrets.rutgers.edu:8080/data/asl-ftp/asllvd/demos/verify_start_end_handshape_annotations//test_auto_move//signs_mov/3241_5982_merged.mov" TargetMode="External"/><Relationship Id="rId19950" Type="http://schemas.openxmlformats.org/officeDocument/2006/relationships/hyperlink" Target="http://secrets.rutgers.edu:8080/data/asl-ftp/asllvd/demos/verify_start_end_handshape_annotations//test_auto_move//signs_mov_separ_signers/Liz_5982.mov" TargetMode="External"/><Relationship Id="rId19951" Type="http://schemas.openxmlformats.org/officeDocument/2006/relationships/hyperlink" Target="http://csr.bu.edu/ftp/asl/asllvd/demos/verify_start_end_handshape_annotations//test_auto_move//signs_mov_separ_signers/Brady_3241.mov" TargetMode="External"/><Relationship Id="rId19952" Type="http://schemas.openxmlformats.org/officeDocument/2006/relationships/hyperlink" Target="http://secrets.rutgers.edu:8080/data/asl-ftp/asllvd/demos/verify_start_end_handshape_annotations//test_auto_move//signs_mov_separ_signers/Brady_3241.mov" TargetMode="External"/><Relationship Id="rId19953" Type="http://schemas.openxmlformats.org/officeDocument/2006/relationships/hyperlink" Target="http://csr.bu.edu/ftp/asl/asllvd/demos/verify_start_end_handshape_annotations//test_auto_move//signs_mov_separ_signers/Liz_15447.mov" TargetMode="External"/><Relationship Id="rId19954" Type="http://schemas.openxmlformats.org/officeDocument/2006/relationships/hyperlink" Target="http://secrets.rutgers.edu:8080/data/asl-ftp/asllvd/demos/verify_start_end_handshape_annotations//test_auto_move//signs_mov_separ_signers/Liz_15447.mov" TargetMode="External"/><Relationship Id="rId19955" Type="http://schemas.openxmlformats.org/officeDocument/2006/relationships/hyperlink" Target="http://csr.bu.edu/ftp/asl/asllvd/demos/verify_start_end_handshape_annotations//test_auto_move//signs_mov/15447_15487_merged.mov" TargetMode="External"/><Relationship Id="rId19956" Type="http://schemas.openxmlformats.org/officeDocument/2006/relationships/hyperlink" Target="http://csr.bu.edu/ftp/asl/asllvd/demos/verify_start_end_handshape_annotations//test_auto_move//signs_mov_separ_signers/Brady_15447.mov" TargetMode="External"/><Relationship Id="rId19957" Type="http://schemas.openxmlformats.org/officeDocument/2006/relationships/hyperlink" Target="http://secrets.rutgers.edu:8080/data/asl-ftp/asllvd/demos/verify_start_end_handshape_annotations//test_auto_move//signs_mov/15447_15487_merged.mov" TargetMode="External"/><Relationship Id="rId19958" Type="http://schemas.openxmlformats.org/officeDocument/2006/relationships/hyperlink" Target="http://secrets.rutgers.edu:8080/data/asl-ftp/asllvd/demos/verify_start_end_handshape_annotations//test_auto_move//signs_mov_separ_signers/Brady_15447.mov" TargetMode="External"/><Relationship Id="rId19959" Type="http://schemas.openxmlformats.org/officeDocument/2006/relationships/hyperlink" Target="http://csr.bu.edu/ftp/asl/asllvd/demos/verify_start_end_handshape_annotations//test_auto_move//signs_mov_separ_signers/Brady_15487.mov" TargetMode="External"/><Relationship Id="rId19960" Type="http://schemas.openxmlformats.org/officeDocument/2006/relationships/hyperlink" Target="http://secrets.rutgers.edu:8080/data/asl-ftp/asllvd/demos/verify_start_end_handshape_annotations//test_auto_move//signs_mov_separ_signers/Brady_15487.mov" TargetMode="External"/><Relationship Id="rId19961" Type="http://schemas.openxmlformats.org/officeDocument/2006/relationships/hyperlink" Target="http://csr.bu.edu/ftp/asl/asllvd/demos/verify_start_end_handshape_annotations//test_auto_move//signs_mov/3280.mov" TargetMode="External"/><Relationship Id="rId19962" Type="http://schemas.openxmlformats.org/officeDocument/2006/relationships/hyperlink" Target="http://csr.bu.edu/ftp/asl/asllvd/demos/verify_start_end_handshape_annotations//test_auto_move//signs_mov_separ_signers/Lana_3280.mov" TargetMode="External"/><Relationship Id="rId19963" Type="http://schemas.openxmlformats.org/officeDocument/2006/relationships/hyperlink" Target="http://secrets.rutgers.edu:8080/data/asl-ftp/asllvd/demos/verify_start_end_handshape_annotations//test_auto_move//signs_mov/3280.mov" TargetMode="External"/><Relationship Id="rId19964" Type="http://schemas.openxmlformats.org/officeDocument/2006/relationships/hyperlink" Target="http://secrets.rutgers.edu:8080/data/asl-ftp/asllvd/demos/verify_start_end_handshape_annotations//test_auto_move//signs_mov_separ_signers/Lana_3280.mov" TargetMode="External"/><Relationship Id="rId19965" Type="http://schemas.openxmlformats.org/officeDocument/2006/relationships/hyperlink" Target="http://csr.bu.edu/ftp/asl/asllvd/demos/verify_start_end_handshape_annotations//test_auto_move//signs_mov/15583.mov" TargetMode="External"/><Relationship Id="rId19966" Type="http://schemas.openxmlformats.org/officeDocument/2006/relationships/hyperlink" Target="http://csr.bu.edu/ftp/asl/asllvd/demos/verify_start_end_handshape_annotations//test_auto_move//signs_mov_separ_signers/Liz_15583.mov" TargetMode="External"/><Relationship Id="rId19967" Type="http://schemas.openxmlformats.org/officeDocument/2006/relationships/hyperlink" Target="http://secrets.rutgers.edu:8080/data/asl-ftp/asllvd/demos/verify_start_end_handshape_annotations//test_auto_move//signs_mov/15583.mov" TargetMode="External"/><Relationship Id="rId19968" Type="http://schemas.openxmlformats.org/officeDocument/2006/relationships/hyperlink" Target="http://secrets.rutgers.edu:8080/data/asl-ftp/asllvd/demos/verify_start_end_handshape_annotations//test_auto_move//signs_mov_separ_signers/Liz_15583.mov" TargetMode="External"/><Relationship Id="rId19969" Type="http://schemas.openxmlformats.org/officeDocument/2006/relationships/hyperlink" Target="http://csr.bu.edu/ftp/asl/asllvd/demos/verify_start_end_handshape_annotations//test_auto_move//signs_mov_separ_signers/Brady_15583.mov" TargetMode="External"/><Relationship Id="rId19970" Type="http://schemas.openxmlformats.org/officeDocument/2006/relationships/hyperlink" Target="http://secrets.rutgers.edu:8080/data/asl-ftp/asllvd/demos/verify_start_end_handshape_annotations//test_auto_move//signs_mov_separ_signers/Brady_15583.mov" TargetMode="External"/><Relationship Id="rId19971" Type="http://schemas.openxmlformats.org/officeDocument/2006/relationships/hyperlink" Target="http://csr.bu.edu/ftp/asl/asllvd/demos/verify_start_end_handshape_annotations//test_auto_move//signs_mov_separ_signers/Liz_16050.mov" TargetMode="External"/><Relationship Id="rId19972" Type="http://schemas.openxmlformats.org/officeDocument/2006/relationships/hyperlink" Target="http://secrets.rutgers.edu:8080/data/asl-ftp/asllvd/demos/verify_start_end_handshape_annotations//test_auto_move//signs_mov_separ_signers/Liz_16050.mov" TargetMode="External"/><Relationship Id="rId19973" Type="http://schemas.openxmlformats.org/officeDocument/2006/relationships/hyperlink" Target="http://csr.bu.edu/ftp/asl/asllvd/demos/verify_start_end_handshape_annotations//test_auto_move//signs_mov_separ_signers/Tyler_16050.mov" TargetMode="External"/><Relationship Id="rId19974" Type="http://schemas.openxmlformats.org/officeDocument/2006/relationships/hyperlink" Target="http://secrets.rutgers.edu:8080/data/asl-ftp/asllvd/demos/verify_start_end_handshape_annotations//test_auto_move//signs_mov_separ_signers/Tyler_16050.mov" TargetMode="External"/><Relationship Id="rId19975" Type="http://schemas.openxmlformats.org/officeDocument/2006/relationships/hyperlink" Target="http://csr.bu.edu/ftp/asl/asllvd/demos/verify_start_end_handshape_annotations//test_auto_move//signs_mov/16050.mov" TargetMode="External"/><Relationship Id="rId19976" Type="http://schemas.openxmlformats.org/officeDocument/2006/relationships/hyperlink" Target="http://csr.bu.edu/ftp/asl/asllvd/demos/verify_start_end_handshape_annotations//test_auto_move//signs_mov_separ_signers/Naomi_16050.mov" TargetMode="External"/><Relationship Id="rId19977" Type="http://schemas.openxmlformats.org/officeDocument/2006/relationships/hyperlink" Target="http://secrets.rutgers.edu:8080/data/asl-ftp/asllvd/demos/verify_start_end_handshape_annotations//test_auto_move//signs_mov/16050.mov" TargetMode="External"/><Relationship Id="rId19978" Type="http://schemas.openxmlformats.org/officeDocument/2006/relationships/hyperlink" Target="http://secrets.rutgers.edu:8080/data/asl-ftp/asllvd/demos/verify_start_end_handshape_annotations//test_auto_move//signs_mov_separ_signers/Naomi_16050.mov" TargetMode="External"/><Relationship Id="rId19979" Type="http://schemas.openxmlformats.org/officeDocument/2006/relationships/hyperlink" Target="http://csr.bu.edu/ftp/asl/asllvd/demos/verify_start_end_handshape_annotations//test_auto_move//signs_mov_separ_signers/Brady_16050.mov" TargetMode="External"/><Relationship Id="rId19980" Type="http://schemas.openxmlformats.org/officeDocument/2006/relationships/hyperlink" Target="http://secrets.rutgers.edu:8080/data/asl-ftp/asllvd/demos/verify_start_end_handshape_annotations//test_auto_move//signs_mov_separ_signers/Brady_16050.mov" TargetMode="External"/><Relationship Id="rId19981" Type="http://schemas.openxmlformats.org/officeDocument/2006/relationships/hyperlink" Target="http://csr.bu.edu/ftp/asl/asllvd/demos/verify_start_end_handshape_annotations//test_auto_move//signs_mov_separ_signers/Lana_16050.mov" TargetMode="External"/><Relationship Id="rId19982" Type="http://schemas.openxmlformats.org/officeDocument/2006/relationships/hyperlink" Target="http://secrets.rutgers.edu:8080/data/asl-ftp/asllvd/demos/verify_start_end_handshape_annotations//test_auto_move//signs_mov_separ_signers/Lana_16050.mov" TargetMode="External"/><Relationship Id="rId19983" Type="http://schemas.openxmlformats.org/officeDocument/2006/relationships/hyperlink" Target="http://csr.bu.edu/ftp/asl/asllvd/demos/verify_start_end_handshape_annotations//test_auto_move//signs_mov_separ_signers/Dana_16050.mov" TargetMode="External"/><Relationship Id="rId19984" Type="http://schemas.openxmlformats.org/officeDocument/2006/relationships/hyperlink" Target="http://secrets.rutgers.edu:8080/data/asl-ftp/asllvd/demos/verify_start_end_handshape_annotations//test_auto_move//signs_mov_separ_signers/Dana_16050.mov" TargetMode="External"/><Relationship Id="rId19985" Type="http://schemas.openxmlformats.org/officeDocument/2006/relationships/hyperlink" Target="http://csr.bu.edu/ftp/asl/asllvd/demos/verify_start_end_handshape_annotations//test_auto_move//signs_mov_separ_signers/Liz_16172.mov" TargetMode="External"/><Relationship Id="rId19986" Type="http://schemas.openxmlformats.org/officeDocument/2006/relationships/hyperlink" Target="http://secrets.rutgers.edu:8080/data/asl-ftp/asllvd/demos/verify_start_end_handshape_annotations//test_auto_move//signs_mov_separ_signers/Liz_16172.mov" TargetMode="External"/><Relationship Id="rId19987" Type="http://schemas.openxmlformats.org/officeDocument/2006/relationships/hyperlink" Target="http://csr.bu.edu/ftp/asl/asllvd/demos/verify_start_end_handshape_annotations//test_auto_move//signs_mov/16172.mov" TargetMode="External"/><Relationship Id="rId19988" Type="http://schemas.openxmlformats.org/officeDocument/2006/relationships/hyperlink" Target="http://csr.bu.edu/ftp/asl/asllvd/demos/verify_start_end_handshape_annotations//test_auto_move//signs_mov_separ_signers/Brady_16172.mov" TargetMode="External"/><Relationship Id="rId19989" Type="http://schemas.openxmlformats.org/officeDocument/2006/relationships/hyperlink" Target="http://secrets.rutgers.edu:8080/data/asl-ftp/asllvd/demos/verify_start_end_handshape_annotations//test_auto_move//signs_mov/16172.mov" TargetMode="External"/><Relationship Id="rId19990" Type="http://schemas.openxmlformats.org/officeDocument/2006/relationships/hyperlink" Target="http://secrets.rutgers.edu:8080/data/asl-ftp/asllvd/demos/verify_start_end_handshape_annotations//test_auto_move//signs_mov_separ_signers/Brady_16172.mov" TargetMode="External"/><Relationship Id="rId19991" Type="http://schemas.openxmlformats.org/officeDocument/2006/relationships/hyperlink" Target="http://csr.bu.edu/ftp/asl/asllvd/demos/verify_start_end_handshape_annotations//test_auto_move//signs_mov_separ_signers/Dana_16172.mov" TargetMode="External"/><Relationship Id="rId19992" Type="http://schemas.openxmlformats.org/officeDocument/2006/relationships/hyperlink" Target="http://secrets.rutgers.edu:8080/data/asl-ftp/asllvd/demos/verify_start_end_handshape_annotations//test_auto_move//signs_mov_separ_signers/Dana_16172.mov" TargetMode="External"/><Relationship Id="rId19993" Type="http://schemas.openxmlformats.org/officeDocument/2006/relationships/hyperlink" Target="http://csr.bu.edu/ftp/asl/asllvd/demos/verify_start_end_handshape_annotations//test_auto_move//signs_mov_separ_signers/Liz_16184.mov" TargetMode="External"/><Relationship Id="rId19994" Type="http://schemas.openxmlformats.org/officeDocument/2006/relationships/hyperlink" Target="http://secrets.rutgers.edu:8080/data/asl-ftp/asllvd/demos/verify_start_end_handshape_annotations//test_auto_move//signs_mov_separ_signers/Liz_16184.mov" TargetMode="External"/><Relationship Id="rId19995" Type="http://schemas.openxmlformats.org/officeDocument/2006/relationships/hyperlink" Target="http://csr.bu.edu/ftp/asl/asllvd/demos/verify_start_end_handshape_annotations//test_auto_move//signs_mov_separ_signers/Brady_16184.mov" TargetMode="External"/><Relationship Id="rId19996" Type="http://schemas.openxmlformats.org/officeDocument/2006/relationships/hyperlink" Target="http://secrets.rutgers.edu:8080/data/asl-ftp/asllvd/demos/verify_start_end_handshape_annotations//test_auto_move//signs_mov_separ_signers/Brady_16184.mov" TargetMode="External"/><Relationship Id="rId19997" Type="http://schemas.openxmlformats.org/officeDocument/2006/relationships/hyperlink" Target="http://csr.bu.edu/ftp/asl/asllvd/demos/verify_start_end_handshape_annotations//test_auto_move//signs_mov/16184_16208_merged.mov" TargetMode="External"/><Relationship Id="rId19998" Type="http://schemas.openxmlformats.org/officeDocument/2006/relationships/hyperlink" Target="http://csr.bu.edu/ftp/asl/asllvd/demos/verify_start_end_handshape_annotations//test_auto_move//signs_mov_separ_signers/Brady_16208.mov" TargetMode="External"/><Relationship Id="rId19999" Type="http://schemas.openxmlformats.org/officeDocument/2006/relationships/hyperlink" Target="http://secrets.rutgers.edu:8080/data/asl-ftp/asllvd/demos/verify_start_end_handshape_annotations//test_auto_move//signs_mov/16184_16208_merged.mov" TargetMode="External"/><Relationship Id="rId20000" Type="http://schemas.openxmlformats.org/officeDocument/2006/relationships/hyperlink" Target="http://secrets.rutgers.edu:8080/data/asl-ftp/asllvd/demos/verify_start_end_handshape_annotations//test_auto_move//signs_mov_separ_signers/Brady_16208.mov" TargetMode="External"/><Relationship Id="rId20001" Type="http://schemas.openxmlformats.org/officeDocument/2006/relationships/hyperlink" Target="http://csr.bu.edu/ftp/asl/asllvd/demos/verify_start_end_handshape_annotations//test_auto_move//signs_mov_separ_signers/Lana_16184.mov" TargetMode="External"/><Relationship Id="rId20002" Type="http://schemas.openxmlformats.org/officeDocument/2006/relationships/hyperlink" Target="http://secrets.rutgers.edu:8080/data/asl-ftp/asllvd/demos/verify_start_end_handshape_annotations//test_auto_move//signs_mov_separ_signers/Lana_16184.mov" TargetMode="External"/><Relationship Id="rId20003" Type="http://schemas.openxmlformats.org/officeDocument/2006/relationships/hyperlink" Target="http://csr.bu.edu/ftp/asl/asllvd/demos/verify_start_end_handshape_annotations//test_auto_move//signs_mov_separ_signers/Dana_16184.mov" TargetMode="External"/><Relationship Id="rId20004" Type="http://schemas.openxmlformats.org/officeDocument/2006/relationships/hyperlink" Target="http://secrets.rutgers.edu:8080/data/asl-ftp/asllvd/demos/verify_start_end_handshape_annotations//test_auto_move//signs_mov_separ_signers/Dana_16184.mov" TargetMode="External"/><Relationship Id="rId20005" Type="http://schemas.openxmlformats.org/officeDocument/2006/relationships/hyperlink" Target="http://csr.bu.edu/ftp/asl/asllvd/demos/verify_start_end_handshape_annotations//test_auto_move//signs_mov_separ_signers/Liz_16209.mov" TargetMode="External"/><Relationship Id="rId20006" Type="http://schemas.openxmlformats.org/officeDocument/2006/relationships/hyperlink" Target="http://secrets.rutgers.edu:8080/data/asl-ftp/asllvd/demos/verify_start_end_handshape_annotations//test_auto_move//signs_mov_separ_signers/Liz_16209.mov" TargetMode="External"/><Relationship Id="rId20007" Type="http://schemas.openxmlformats.org/officeDocument/2006/relationships/hyperlink" Target="http://csr.bu.edu/ftp/asl/asllvd/demos/verify_start_end_handshape_annotations//test_auto_move//signs_mov/16209.mov" TargetMode="External"/><Relationship Id="rId20008" Type="http://schemas.openxmlformats.org/officeDocument/2006/relationships/hyperlink" Target="http://csr.bu.edu/ftp/asl/asllvd/demos/verify_start_end_handshape_annotations//test_auto_move//signs_mov_separ_signers/Tyler_16209.mov" TargetMode="External"/><Relationship Id="rId20009" Type="http://schemas.openxmlformats.org/officeDocument/2006/relationships/hyperlink" Target="http://secrets.rutgers.edu:8080/data/asl-ftp/asllvd/demos/verify_start_end_handshape_annotations//test_auto_move//signs_mov/16209.mov" TargetMode="External"/><Relationship Id="rId20010" Type="http://schemas.openxmlformats.org/officeDocument/2006/relationships/hyperlink" Target="http://secrets.rutgers.edu:8080/data/asl-ftp/asllvd/demos/verify_start_end_handshape_annotations//test_auto_move//signs_mov_separ_signers/Tyler_16209.mov" TargetMode="External"/><Relationship Id="rId20011" Type="http://schemas.openxmlformats.org/officeDocument/2006/relationships/hyperlink" Target="http://csr.bu.edu/ftp/asl/asllvd/demos/verify_start_end_handshape_annotations//test_auto_move//signs_mov_separ_signers/Naomi_16209.mov" TargetMode="External"/><Relationship Id="rId20012" Type="http://schemas.openxmlformats.org/officeDocument/2006/relationships/hyperlink" Target="http://secrets.rutgers.edu:8080/data/asl-ftp/asllvd/demos/verify_start_end_handshape_annotations//test_auto_move//signs_mov_separ_signers/Naomi_16209.mov" TargetMode="External"/><Relationship Id="rId20013" Type="http://schemas.openxmlformats.org/officeDocument/2006/relationships/hyperlink" Target="http://csr.bu.edu/ftp/asl/asllvd/demos/verify_start_end_handshape_annotations//test_auto_move//signs_mov_separ_signers/Liz_3292.mov" TargetMode="External"/><Relationship Id="rId20014" Type="http://schemas.openxmlformats.org/officeDocument/2006/relationships/hyperlink" Target="http://secrets.rutgers.edu:8080/data/asl-ftp/asllvd/demos/verify_start_end_handshape_annotations//test_auto_move//signs_mov_separ_signers/Liz_3292.mov" TargetMode="External"/><Relationship Id="rId20015" Type="http://schemas.openxmlformats.org/officeDocument/2006/relationships/hyperlink" Target="http://csr.bu.edu/ftp/asl/asllvd/demos/verify_start_end_handshape_annotations//test_auto_move//signs_mov_separ_signers/Tyler_3292.mov" TargetMode="External"/><Relationship Id="rId20016" Type="http://schemas.openxmlformats.org/officeDocument/2006/relationships/hyperlink" Target="http://secrets.rutgers.edu:8080/data/asl-ftp/asllvd/demos/verify_start_end_handshape_annotations//test_auto_move//signs_mov_separ_signers/Tyler_3292.mov" TargetMode="External"/><Relationship Id="rId20017" Type="http://schemas.openxmlformats.org/officeDocument/2006/relationships/hyperlink" Target="http://csr.bu.edu/ftp/asl/asllvd/demos/verify_start_end_handshape_annotations//test_auto_move//signs_mov/3292_5054_merged.mov" TargetMode="External"/><Relationship Id="rId20018" Type="http://schemas.openxmlformats.org/officeDocument/2006/relationships/hyperlink" Target="http://csr.bu.edu/ftp/asl/asllvd/demos/verify_start_end_handshape_annotations//test_auto_move//signs_mov_separ_signers/Naomi_3292.mov" TargetMode="External"/><Relationship Id="rId20019" Type="http://schemas.openxmlformats.org/officeDocument/2006/relationships/hyperlink" Target="http://secrets.rutgers.edu:8080/data/asl-ftp/asllvd/demos/verify_start_end_handshape_annotations//test_auto_move//signs_mov/3292_5054_merged.mov" TargetMode="External"/><Relationship Id="rId20020" Type="http://schemas.openxmlformats.org/officeDocument/2006/relationships/hyperlink" Target="http://secrets.rutgers.edu:8080/data/asl-ftp/asllvd/demos/verify_start_end_handshape_annotations//test_auto_move//signs_mov_separ_signers/Naomi_3292.mov" TargetMode="External"/><Relationship Id="rId20021" Type="http://schemas.openxmlformats.org/officeDocument/2006/relationships/hyperlink" Target="http://csr.bu.edu/ftp/asl/asllvd/demos/verify_start_end_handshape_annotations//test_auto_move//signs_mov_separ_signers/Brady_3292.mov" TargetMode="External"/><Relationship Id="rId20022" Type="http://schemas.openxmlformats.org/officeDocument/2006/relationships/hyperlink" Target="http://secrets.rutgers.edu:8080/data/asl-ftp/asllvd/demos/verify_start_end_handshape_annotations//test_auto_move//signs_mov_separ_signers/Brady_3292.mov" TargetMode="External"/><Relationship Id="rId20023" Type="http://schemas.openxmlformats.org/officeDocument/2006/relationships/hyperlink" Target="http://csr.bu.edu/ftp/asl/asllvd/demos/verify_start_end_handshape_annotations//test_auto_move//signs_mov_separ_signers/Brady_5054.mov" TargetMode="External"/><Relationship Id="rId20024" Type="http://schemas.openxmlformats.org/officeDocument/2006/relationships/hyperlink" Target="http://secrets.rutgers.edu:8080/data/asl-ftp/asllvd/demos/verify_start_end_handshape_annotations//test_auto_move//signs_mov_separ_signers/Brady_5054.mov" TargetMode="External"/><Relationship Id="rId20025" Type="http://schemas.openxmlformats.org/officeDocument/2006/relationships/hyperlink" Target="http://csr.bu.edu/ftp/asl/asllvd/demos/verify_start_end_handshape_annotations//test_auto_move//signs_mov/4007.mov" TargetMode="External"/><Relationship Id="rId20026" Type="http://schemas.openxmlformats.org/officeDocument/2006/relationships/hyperlink" Target="http://csr.bu.edu/ftp/asl/asllvd/demos/verify_start_end_handshape_annotations//test_auto_move//signs_mov_separ_signers/Liz_4007.mov" TargetMode="External"/><Relationship Id="rId20027" Type="http://schemas.openxmlformats.org/officeDocument/2006/relationships/hyperlink" Target="http://secrets.rutgers.edu:8080/data/asl-ftp/asllvd/demos/verify_start_end_handshape_annotations//test_auto_move//signs_mov/4007.mov" TargetMode="External"/><Relationship Id="rId20028" Type="http://schemas.openxmlformats.org/officeDocument/2006/relationships/hyperlink" Target="http://secrets.rutgers.edu:8080/data/asl-ftp/asllvd/demos/verify_start_end_handshape_annotations//test_auto_move//signs_mov_separ_signers/Liz_4007.mov" TargetMode="External"/><Relationship Id="rId20029" Type="http://schemas.openxmlformats.org/officeDocument/2006/relationships/hyperlink" Target="http://csr.bu.edu/ftp/asl/asllvd/demos/verify_start_end_handshape_annotations//test_auto_move//signs_mov_separ_signers/Brady_4007.mov" TargetMode="External"/><Relationship Id="rId20030" Type="http://schemas.openxmlformats.org/officeDocument/2006/relationships/hyperlink" Target="http://secrets.rutgers.edu:8080/data/asl-ftp/asllvd/demos/verify_start_end_handshape_annotations//test_auto_move//signs_mov_separ_signers/Brady_4007.mov" TargetMode="External"/><Relationship Id="rId20031" Type="http://schemas.openxmlformats.org/officeDocument/2006/relationships/hyperlink" Target="http://csr.bu.edu/ftp/asl/asllvd/demos/verify_start_end_handshape_annotations//test_auto_move//signs_mov/4010.mov" TargetMode="External"/><Relationship Id="rId20032" Type="http://schemas.openxmlformats.org/officeDocument/2006/relationships/hyperlink" Target="http://csr.bu.edu/ftp/asl/asllvd/demos/verify_start_end_handshape_annotations//test_auto_move//signs_mov_separ_signers/Liz_4010.mov" TargetMode="External"/><Relationship Id="rId20033" Type="http://schemas.openxmlformats.org/officeDocument/2006/relationships/hyperlink" Target="http://secrets.rutgers.edu:8080/data/asl-ftp/asllvd/demos/verify_start_end_handshape_annotations//test_auto_move//signs_mov/4010.mov" TargetMode="External"/><Relationship Id="rId20034" Type="http://schemas.openxmlformats.org/officeDocument/2006/relationships/hyperlink" Target="http://secrets.rutgers.edu:8080/data/asl-ftp/asllvd/demos/verify_start_end_handshape_annotations//test_auto_move//signs_mov_separ_signers/Liz_4010.mov" TargetMode="External"/><Relationship Id="rId20035" Type="http://schemas.openxmlformats.org/officeDocument/2006/relationships/hyperlink" Target="http://csr.bu.edu/ftp/asl/asllvd/demos/verify_start_end_handshape_annotations//test_auto_move//signs_mov_separ_signers/Brady_4010.mov" TargetMode="External"/><Relationship Id="rId20036" Type="http://schemas.openxmlformats.org/officeDocument/2006/relationships/hyperlink" Target="http://secrets.rutgers.edu:8080/data/asl-ftp/asllvd/demos/verify_start_end_handshape_annotations//test_auto_move//signs_mov_separ_signers/Brady_4010.mov" TargetMode="External"/><Relationship Id="rId20037" Type="http://schemas.openxmlformats.org/officeDocument/2006/relationships/hyperlink" Target="http://csr.bu.edu/ftp/asl/asllvd/demos/verify_start_end_handshape_annotations//test_auto_move//signs_mov/4012.mov" TargetMode="External"/><Relationship Id="rId20038" Type="http://schemas.openxmlformats.org/officeDocument/2006/relationships/hyperlink" Target="http://csr.bu.edu/ftp/asl/asllvd/demos/verify_start_end_handshape_annotations//test_auto_move//signs_mov_separ_signers/Brady_4012.mov" TargetMode="External"/><Relationship Id="rId20039" Type="http://schemas.openxmlformats.org/officeDocument/2006/relationships/hyperlink" Target="http://secrets.rutgers.edu:8080/data/asl-ftp/asllvd/demos/verify_start_end_handshape_annotations//test_auto_move//signs_mov/4012.mov" TargetMode="External"/><Relationship Id="rId20040" Type="http://schemas.openxmlformats.org/officeDocument/2006/relationships/hyperlink" Target="http://secrets.rutgers.edu:8080/data/asl-ftp/asllvd/demos/verify_start_end_handshape_annotations//test_auto_move//signs_mov_separ_signers/Brady_4012.mov" TargetMode="External"/><Relationship Id="rId20041" Type="http://schemas.openxmlformats.org/officeDocument/2006/relationships/hyperlink" Target="http://csr.bu.edu/ftp/asl/asllvd/demos/verify_start_end_handshape_annotations//test_auto_move//signs_mov_separ_signers/Liz_4753.mov" TargetMode="External"/><Relationship Id="rId20042" Type="http://schemas.openxmlformats.org/officeDocument/2006/relationships/hyperlink" Target="http://secrets.rutgers.edu:8080/data/asl-ftp/asllvd/demos/verify_start_end_handshape_annotations//test_auto_move//signs_mov_separ_signers/Liz_4753.mov" TargetMode="External"/><Relationship Id="rId20043" Type="http://schemas.openxmlformats.org/officeDocument/2006/relationships/hyperlink" Target="http://csr.bu.edu/ftp/asl/asllvd/demos/verify_start_end_handshape_annotations//test_auto_move//signs_mov/4753_16311_merged.mov" TargetMode="External"/><Relationship Id="rId20044" Type="http://schemas.openxmlformats.org/officeDocument/2006/relationships/hyperlink" Target="http://csr.bu.edu/ftp/asl/asllvd/demos/verify_start_end_handshape_annotations//test_auto_move//signs_mov_separ_signers/Brady_4753.mov" TargetMode="External"/><Relationship Id="rId20045" Type="http://schemas.openxmlformats.org/officeDocument/2006/relationships/hyperlink" Target="http://secrets.rutgers.edu:8080/data/asl-ftp/asllvd/demos/verify_start_end_handshape_annotations//test_auto_move//signs_mov/4753_16311_merged.mov" TargetMode="External"/><Relationship Id="rId20046" Type="http://schemas.openxmlformats.org/officeDocument/2006/relationships/hyperlink" Target="http://secrets.rutgers.edu:8080/data/asl-ftp/asllvd/demos/verify_start_end_handshape_annotations//test_auto_move//signs_mov_separ_signers/Brady_4753.mov" TargetMode="External"/><Relationship Id="rId20047" Type="http://schemas.openxmlformats.org/officeDocument/2006/relationships/hyperlink" Target="http://csr.bu.edu/ftp/asl/asllvd/demos/verify_start_end_handshape_annotations//test_auto_move//signs_mov_separ_signers/Brady_16311.mov" TargetMode="External"/><Relationship Id="rId20048" Type="http://schemas.openxmlformats.org/officeDocument/2006/relationships/hyperlink" Target="http://secrets.rutgers.edu:8080/data/asl-ftp/asllvd/demos/verify_start_end_handshape_annotations//test_auto_move//signs_mov_separ_signers/Brady_16311.mov" TargetMode="External"/><Relationship Id="rId20049" Type="http://schemas.openxmlformats.org/officeDocument/2006/relationships/hyperlink" Target="http://csr.bu.edu/ftp/asl/asllvd/demos/verify_start_end_handshape_annotations//test_auto_move//signs_mov/4017.mov" TargetMode="External"/><Relationship Id="rId20050" Type="http://schemas.openxmlformats.org/officeDocument/2006/relationships/hyperlink" Target="http://csr.bu.edu/ftp/asl/asllvd/demos/verify_start_end_handshape_annotations//test_auto_move//signs_mov_separ_signers/Liz_4017.mov" TargetMode="External"/><Relationship Id="rId20051" Type="http://schemas.openxmlformats.org/officeDocument/2006/relationships/hyperlink" Target="http://secrets.rutgers.edu:8080/data/asl-ftp/asllvd/demos/verify_start_end_handshape_annotations//test_auto_move//signs_mov/4017.mov" TargetMode="External"/><Relationship Id="rId20052" Type="http://schemas.openxmlformats.org/officeDocument/2006/relationships/hyperlink" Target="http://secrets.rutgers.edu:8080/data/asl-ftp/asllvd/demos/verify_start_end_handshape_annotations//test_auto_move//signs_mov_separ_signers/Liz_4017.mov" TargetMode="External"/><Relationship Id="rId20053" Type="http://schemas.openxmlformats.org/officeDocument/2006/relationships/hyperlink" Target="http://csr.bu.edu/ftp/asl/asllvd/demos/verify_start_end_handshape_annotations//test_auto_move//signs_mov_separ_signers/Brady_4017.mov" TargetMode="External"/><Relationship Id="rId20054" Type="http://schemas.openxmlformats.org/officeDocument/2006/relationships/hyperlink" Target="http://secrets.rutgers.edu:8080/data/asl-ftp/asllvd/demos/verify_start_end_handshape_annotations//test_auto_move//signs_mov_separ_signers/Brady_4017.mov" TargetMode="External"/><Relationship Id="rId20055" Type="http://schemas.openxmlformats.org/officeDocument/2006/relationships/hyperlink" Target="http://csr.bu.edu/ftp/asl/asllvd/demos/verify_start_end_handshape_annotations//test_auto_move//signs_mov/4018.mov" TargetMode="External"/><Relationship Id="rId20056" Type="http://schemas.openxmlformats.org/officeDocument/2006/relationships/hyperlink" Target="http://csr.bu.edu/ftp/asl/asllvd/demos/verify_start_end_handshape_annotations//test_auto_move//signs_mov_separ_signers/Liz_4018.mov" TargetMode="External"/><Relationship Id="rId20057" Type="http://schemas.openxmlformats.org/officeDocument/2006/relationships/hyperlink" Target="http://secrets.rutgers.edu:8080/data/asl-ftp/asllvd/demos/verify_start_end_handshape_annotations//test_auto_move//signs_mov/4018.mov" TargetMode="External"/><Relationship Id="rId20058" Type="http://schemas.openxmlformats.org/officeDocument/2006/relationships/hyperlink" Target="http://secrets.rutgers.edu:8080/data/asl-ftp/asllvd/demos/verify_start_end_handshape_annotations//test_auto_move//signs_mov_separ_signers/Liz_4018.mov" TargetMode="External"/><Relationship Id="rId20059" Type="http://schemas.openxmlformats.org/officeDocument/2006/relationships/hyperlink" Target="http://csr.bu.edu/ftp/asl/asllvd/demos/verify_start_end_handshape_annotations//test_auto_move//signs_mov_separ_signers/Brady_4018.mov" TargetMode="External"/><Relationship Id="rId20060" Type="http://schemas.openxmlformats.org/officeDocument/2006/relationships/hyperlink" Target="http://secrets.rutgers.edu:8080/data/asl-ftp/asllvd/demos/verify_start_end_handshape_annotations//test_auto_move//signs_mov_separ_signers/Brady_4018.mov" TargetMode="External"/><Relationship Id="rId20061" Type="http://schemas.openxmlformats.org/officeDocument/2006/relationships/hyperlink" Target="http://csr.bu.edu/ftp/asl/asllvd/demos/verify_start_end_handshape_annotations//test_auto_move//signs_mov/4020.mov" TargetMode="External"/><Relationship Id="rId20062" Type="http://schemas.openxmlformats.org/officeDocument/2006/relationships/hyperlink" Target="http://csr.bu.edu/ftp/asl/asllvd/demos/verify_start_end_handshape_annotations//test_auto_move//signs_mov_separ_signers/Liz_4020.mov" TargetMode="External"/><Relationship Id="rId20063" Type="http://schemas.openxmlformats.org/officeDocument/2006/relationships/hyperlink" Target="http://secrets.rutgers.edu:8080/data/asl-ftp/asllvd/demos/verify_start_end_handshape_annotations//test_auto_move//signs_mov/4020.mov" TargetMode="External"/><Relationship Id="rId20064" Type="http://schemas.openxmlformats.org/officeDocument/2006/relationships/hyperlink" Target="http://secrets.rutgers.edu:8080/data/asl-ftp/asllvd/demos/verify_start_end_handshape_annotations//test_auto_move//signs_mov_separ_signers/Liz_4020.mov" TargetMode="External"/><Relationship Id="rId20065" Type="http://schemas.openxmlformats.org/officeDocument/2006/relationships/hyperlink" Target="http://csr.bu.edu/ftp/asl/asllvd/demos/verify_start_end_handshape_annotations//test_auto_move//signs_mov/5672.mov" TargetMode="External"/><Relationship Id="rId20066" Type="http://schemas.openxmlformats.org/officeDocument/2006/relationships/hyperlink" Target="http://csr.bu.edu/ftp/asl/asllvd/demos/verify_start_end_handshape_annotations//test_auto_move//signs_mov_separ_signers/Brady_5672.mov" TargetMode="External"/><Relationship Id="rId20067" Type="http://schemas.openxmlformats.org/officeDocument/2006/relationships/hyperlink" Target="http://secrets.rutgers.edu:8080/data/asl-ftp/asllvd/demos/verify_start_end_handshape_annotations//test_auto_move//signs_mov/5672.mov" TargetMode="External"/><Relationship Id="rId20068" Type="http://schemas.openxmlformats.org/officeDocument/2006/relationships/hyperlink" Target="http://secrets.rutgers.edu:8080/data/asl-ftp/asllvd/demos/verify_start_end_handshape_annotations//test_auto_move//signs_mov_separ_signers/Brady_5672.mov" TargetMode="External"/><Relationship Id="rId20069" Type="http://schemas.openxmlformats.org/officeDocument/2006/relationships/hyperlink" Target="http://csr.bu.edu/ftp/asl/asllvd/demos/verify_start_end_handshape_annotations//test_auto_move//signs_mov_separ_signers/Lana_5672.mov" TargetMode="External"/><Relationship Id="rId20070" Type="http://schemas.openxmlformats.org/officeDocument/2006/relationships/hyperlink" Target="http://secrets.rutgers.edu:8080/data/asl-ftp/asllvd/demos/verify_start_end_handshape_annotations//test_auto_move//signs_mov_separ_signers/Lana_5672.mov" TargetMode="External"/><Relationship Id="rId20071" Type="http://schemas.openxmlformats.org/officeDocument/2006/relationships/hyperlink" Target="http://csr.bu.edu/ftp/asl/asllvd/demos/verify_start_end_handshape_annotations//test_auto_move//signs_mov_separ_signers/Liz_4023.mov" TargetMode="External"/><Relationship Id="rId20072" Type="http://schemas.openxmlformats.org/officeDocument/2006/relationships/hyperlink" Target="http://secrets.rutgers.edu:8080/data/asl-ftp/asllvd/demos/verify_start_end_handshape_annotations//test_auto_move//signs_mov_separ_signers/Liz_4023.mov" TargetMode="External"/><Relationship Id="rId20073" Type="http://schemas.openxmlformats.org/officeDocument/2006/relationships/hyperlink" Target="http://csr.bu.edu/ftp/asl/asllvd/demos/verify_start_end_handshape_annotations//test_auto_move//signs_mov/4023_5561_merged.mov" TargetMode="External"/><Relationship Id="rId20074" Type="http://schemas.openxmlformats.org/officeDocument/2006/relationships/hyperlink" Target="http://csr.bu.edu/ftp/asl/asllvd/demos/verify_start_end_handshape_annotations//test_auto_move//signs_mov_separ_signers/Brady_4023.mov" TargetMode="External"/><Relationship Id="rId20075" Type="http://schemas.openxmlformats.org/officeDocument/2006/relationships/hyperlink" Target="http://secrets.rutgers.edu:8080/data/asl-ftp/asllvd/demos/verify_start_end_handshape_annotations//test_auto_move//signs_mov/4023_5561_merged.mov" TargetMode="External"/><Relationship Id="rId20076" Type="http://schemas.openxmlformats.org/officeDocument/2006/relationships/hyperlink" Target="http://secrets.rutgers.edu:8080/data/asl-ftp/asllvd/demos/verify_start_end_handshape_annotations//test_auto_move//signs_mov_separ_signers/Brady_4023.mov" TargetMode="External"/><Relationship Id="rId20077" Type="http://schemas.openxmlformats.org/officeDocument/2006/relationships/hyperlink" Target="http://csr.bu.edu/ftp/asl/asllvd/demos/verify_start_end_handshape_annotations//test_auto_move//signs_mov_separ_signers/Brady_5561.mov" TargetMode="External"/><Relationship Id="rId20078" Type="http://schemas.openxmlformats.org/officeDocument/2006/relationships/hyperlink" Target="http://secrets.rutgers.edu:8080/data/asl-ftp/asllvd/demos/verify_start_end_handshape_annotations//test_auto_move//signs_mov_separ_signers/Brady_5561.mov" TargetMode="External"/><Relationship Id="rId20079" Type="http://schemas.openxmlformats.org/officeDocument/2006/relationships/hyperlink" Target="http://csr.bu.edu/ftp/asl/asllvd/demos/verify_start_end_handshape_annotations//test_auto_move//signs_mov/16227.mov" TargetMode="External"/><Relationship Id="rId20080" Type="http://schemas.openxmlformats.org/officeDocument/2006/relationships/hyperlink" Target="http://csr.bu.edu/ftp/asl/asllvd/demos/verify_start_end_handshape_annotations//test_auto_move//signs_mov_separ_signers/Liz_16227.mov" TargetMode="External"/><Relationship Id="rId20081" Type="http://schemas.openxmlformats.org/officeDocument/2006/relationships/hyperlink" Target="http://secrets.rutgers.edu:8080/data/asl-ftp/asllvd/demos/verify_start_end_handshape_annotations//test_auto_move//signs_mov/16227.mov" TargetMode="External"/><Relationship Id="rId20082" Type="http://schemas.openxmlformats.org/officeDocument/2006/relationships/hyperlink" Target="http://secrets.rutgers.edu:8080/data/asl-ftp/asllvd/demos/verify_start_end_handshape_annotations//test_auto_move//signs_mov_separ_signers/Liz_16227.mov" TargetMode="External"/><Relationship Id="rId20083" Type="http://schemas.openxmlformats.org/officeDocument/2006/relationships/hyperlink" Target="http://csr.bu.edu/ftp/asl/asllvd/demos/verify_start_end_handshape_annotations//test_auto_move//signs_mov_separ_signers/Liz_4025.mov" TargetMode="External"/><Relationship Id="rId20084" Type="http://schemas.openxmlformats.org/officeDocument/2006/relationships/hyperlink" Target="http://secrets.rutgers.edu:8080/data/asl-ftp/asllvd/demos/verify_start_end_handshape_annotations//test_auto_move//signs_mov_separ_signers/Liz_4025.mov" TargetMode="External"/><Relationship Id="rId20085" Type="http://schemas.openxmlformats.org/officeDocument/2006/relationships/hyperlink" Target="http://csr.bu.edu/ftp/asl/asllvd/demos/verify_start_end_handshape_annotations//test_auto_move//signs_mov/4025_5562_merged.mov" TargetMode="External"/><Relationship Id="rId20086" Type="http://schemas.openxmlformats.org/officeDocument/2006/relationships/hyperlink" Target="http://csr.bu.edu/ftp/asl/asllvd/demos/verify_start_end_handshape_annotations//test_auto_move//signs_mov_separ_signers/Liz_5562.mov" TargetMode="External"/><Relationship Id="rId20087" Type="http://schemas.openxmlformats.org/officeDocument/2006/relationships/hyperlink" Target="http://secrets.rutgers.edu:8080/data/asl-ftp/asllvd/demos/verify_start_end_handshape_annotations//test_auto_move//signs_mov/4025_5562_merged.mov" TargetMode="External"/><Relationship Id="rId20088" Type="http://schemas.openxmlformats.org/officeDocument/2006/relationships/hyperlink" Target="http://secrets.rutgers.edu:8080/data/asl-ftp/asllvd/demos/verify_start_end_handshape_annotations//test_auto_move//signs_mov_separ_signers/Liz_5562.mov" TargetMode="External"/><Relationship Id="rId20089" Type="http://schemas.openxmlformats.org/officeDocument/2006/relationships/hyperlink" Target="http://csr.bu.edu/ftp/asl/asllvd/demos/verify_start_end_handshape_annotations//test_auto_move//signs_mov_separ_signers/Brady_4025.mov" TargetMode="External"/><Relationship Id="rId20090" Type="http://schemas.openxmlformats.org/officeDocument/2006/relationships/hyperlink" Target="http://secrets.rutgers.edu:8080/data/asl-ftp/asllvd/demos/verify_start_end_handshape_annotations//test_auto_move//signs_mov_separ_signers/Brady_4025.mov" TargetMode="External"/><Relationship Id="rId20091" Type="http://schemas.openxmlformats.org/officeDocument/2006/relationships/hyperlink" Target="http://csr.bu.edu/ftp/asl/asllvd/demos/verify_start_end_handshape_annotations//test_auto_move//signs_mov_separ_signers/Brady_5562.mov" TargetMode="External"/><Relationship Id="rId20092" Type="http://schemas.openxmlformats.org/officeDocument/2006/relationships/hyperlink" Target="http://secrets.rutgers.edu:8080/data/asl-ftp/asllvd/demos/verify_start_end_handshape_annotations//test_auto_move//signs_mov_separ_signers/Brady_5562.mov" TargetMode="External"/><Relationship Id="rId20093" Type="http://schemas.openxmlformats.org/officeDocument/2006/relationships/hyperlink" Target="http://csr.bu.edu/ftp/asl/asllvd/demos/verify_start_end_handshape_annotations//test_auto_move//signs_mov/16536.mov" TargetMode="External"/><Relationship Id="rId20094" Type="http://schemas.openxmlformats.org/officeDocument/2006/relationships/hyperlink" Target="http://csr.bu.edu/ftp/asl/asllvd/demos/verify_start_end_handshape_annotations//test_auto_move//signs_mov_separ_signers/Liz_16536.mov" TargetMode="External"/><Relationship Id="rId20095" Type="http://schemas.openxmlformats.org/officeDocument/2006/relationships/hyperlink" Target="http://secrets.rutgers.edu:8080/data/asl-ftp/asllvd/demos/verify_start_end_handshape_annotations//test_auto_move//signs_mov/16536.mov" TargetMode="External"/><Relationship Id="rId20096" Type="http://schemas.openxmlformats.org/officeDocument/2006/relationships/hyperlink" Target="http://secrets.rutgers.edu:8080/data/asl-ftp/asllvd/demos/verify_start_end_handshape_annotations//test_auto_move//signs_mov_separ_signers/Liz_16536.mov" TargetMode="External"/><Relationship Id="rId20097" Type="http://schemas.openxmlformats.org/officeDocument/2006/relationships/hyperlink" Target="http://csr.bu.edu/ftp/asl/asllvd/demos/verify_start_end_handshape_annotations//test_auto_move//signs_mov/4041_5566_merged.mov" TargetMode="External"/><Relationship Id="rId20098" Type="http://schemas.openxmlformats.org/officeDocument/2006/relationships/hyperlink" Target="http://csr.bu.edu/ftp/asl/asllvd/demos/verify_start_end_handshape_annotations//test_auto_move//signs_mov_separ_signers/Liz_4041.mov" TargetMode="External"/><Relationship Id="rId20099" Type="http://schemas.openxmlformats.org/officeDocument/2006/relationships/hyperlink" Target="http://secrets.rutgers.edu:8080/data/asl-ftp/asllvd/demos/verify_start_end_handshape_annotations//test_auto_move//signs_mov/4041_5566_merged.mov" TargetMode="External"/><Relationship Id="rId20100" Type="http://schemas.openxmlformats.org/officeDocument/2006/relationships/hyperlink" Target="http://secrets.rutgers.edu:8080/data/asl-ftp/asllvd/demos/verify_start_end_handshape_annotations//test_auto_move//signs_mov_separ_signers/Liz_4041.mov" TargetMode="External"/><Relationship Id="rId20101" Type="http://schemas.openxmlformats.org/officeDocument/2006/relationships/hyperlink" Target="http://csr.bu.edu/ftp/asl/asllvd/demos/verify_start_end_handshape_annotations//test_auto_move//signs_mov_separ_signers/Liz_5566.mov" TargetMode="External"/><Relationship Id="rId20102" Type="http://schemas.openxmlformats.org/officeDocument/2006/relationships/hyperlink" Target="http://secrets.rutgers.edu:8080/data/asl-ftp/asllvd/demos/verify_start_end_handshape_annotations//test_auto_move//signs_mov_separ_signers/Liz_5566.mov" TargetMode="External"/><Relationship Id="rId20103" Type="http://schemas.openxmlformats.org/officeDocument/2006/relationships/hyperlink" Target="http://csr.bu.edu/ftp/asl/asllvd/demos/verify_start_end_handshape_annotations//test_auto_move//signs_mov/15441_16155_merged.mov" TargetMode="External"/><Relationship Id="rId20104" Type="http://schemas.openxmlformats.org/officeDocument/2006/relationships/hyperlink" Target="http://csr.bu.edu/ftp/asl/asllvd/demos/verify_start_end_handshape_annotations//test_auto_move//signs_mov_separ_signers/Brady_15441.mov" TargetMode="External"/><Relationship Id="rId20105" Type="http://schemas.openxmlformats.org/officeDocument/2006/relationships/hyperlink" Target="http://secrets.rutgers.edu:8080/data/asl-ftp/asllvd/demos/verify_start_end_handshape_annotations//test_auto_move//signs_mov/15441_16155_merged.mov" TargetMode="External"/><Relationship Id="rId20106" Type="http://schemas.openxmlformats.org/officeDocument/2006/relationships/hyperlink" Target="http://secrets.rutgers.edu:8080/data/asl-ftp/asllvd/demos/verify_start_end_handshape_annotations//test_auto_move//signs_mov_separ_signers/Brady_15441.mov" TargetMode="External"/><Relationship Id="rId20107" Type="http://schemas.openxmlformats.org/officeDocument/2006/relationships/hyperlink" Target="http://csr.bu.edu/ftp/asl/asllvd/demos/verify_start_end_handshape_annotations//test_auto_move//signs_mov_separ_signers/Brady_16155.mov" TargetMode="External"/><Relationship Id="rId20108" Type="http://schemas.openxmlformats.org/officeDocument/2006/relationships/hyperlink" Target="http://secrets.rutgers.edu:8080/data/asl-ftp/asllvd/demos/verify_start_end_handshape_annotations//test_auto_move//signs_mov_separ_signers/Brady_16155.mov" TargetMode="External"/><Relationship Id="rId20109" Type="http://schemas.openxmlformats.org/officeDocument/2006/relationships/hyperlink" Target="http://csr.bu.edu/ftp/asl/asllvd/demos/verify_start_end_handshape_annotations//test_auto_move//signs_mov_separ_signers/Liz_16158.mov" TargetMode="External"/><Relationship Id="rId20110" Type="http://schemas.openxmlformats.org/officeDocument/2006/relationships/hyperlink" Target="http://secrets.rutgers.edu:8080/data/asl-ftp/asllvd/demos/verify_start_end_handshape_annotations//test_auto_move//signs_mov_separ_signers/Liz_16158.mov" TargetMode="External"/><Relationship Id="rId20111" Type="http://schemas.openxmlformats.org/officeDocument/2006/relationships/hyperlink" Target="http://csr.bu.edu/ftp/asl/asllvd/demos/verify_start_end_handshape_annotations//test_auto_move//signs_mov/16158.mov" TargetMode="External"/><Relationship Id="rId20112" Type="http://schemas.openxmlformats.org/officeDocument/2006/relationships/hyperlink" Target="http://csr.bu.edu/ftp/asl/asllvd/demos/verify_start_end_handshape_annotations//test_auto_move//signs_mov_separ_signers/Naomi_16158.mov" TargetMode="External"/><Relationship Id="rId20113" Type="http://schemas.openxmlformats.org/officeDocument/2006/relationships/hyperlink" Target="http://secrets.rutgers.edu:8080/data/asl-ftp/asllvd/demos/verify_start_end_handshape_annotations//test_auto_move//signs_mov/16158.mov" TargetMode="External"/><Relationship Id="rId20114" Type="http://schemas.openxmlformats.org/officeDocument/2006/relationships/hyperlink" Target="http://secrets.rutgers.edu:8080/data/asl-ftp/asllvd/demos/verify_start_end_handshape_annotations//test_auto_move//signs_mov_separ_signers/Naomi_16158.mov" TargetMode="External"/><Relationship Id="rId20115" Type="http://schemas.openxmlformats.org/officeDocument/2006/relationships/hyperlink" Target="http://csr.bu.edu/ftp/asl/asllvd/demos/verify_start_end_handshape_annotations//test_auto_move//signs_mov_separ_signers/Brady_16158.mov" TargetMode="External"/><Relationship Id="rId20116" Type="http://schemas.openxmlformats.org/officeDocument/2006/relationships/hyperlink" Target="http://secrets.rutgers.edu:8080/data/asl-ftp/asllvd/demos/verify_start_end_handshape_annotations//test_auto_move//signs_mov_separ_signers/Brady_16158.mov" TargetMode="External"/><Relationship Id="rId20117" Type="http://schemas.openxmlformats.org/officeDocument/2006/relationships/hyperlink" Target="http://csr.bu.edu/ftp/asl/asllvd/demos/verify_start_end_handshape_annotations//test_auto_move//signs_mov_separ_signers/Liz_16210.mov" TargetMode="External"/><Relationship Id="rId20118" Type="http://schemas.openxmlformats.org/officeDocument/2006/relationships/hyperlink" Target="http://secrets.rutgers.edu:8080/data/asl-ftp/asllvd/demos/verify_start_end_handshape_annotations//test_auto_move//signs_mov_separ_signers/Liz_16210.mov" TargetMode="External"/><Relationship Id="rId20119" Type="http://schemas.openxmlformats.org/officeDocument/2006/relationships/hyperlink" Target="http://csr.bu.edu/ftp/asl/asllvd/demos/verify_start_end_handshape_annotations//test_auto_move//signs_mov_separ_signers/Liz_16279.mov" TargetMode="External"/><Relationship Id="rId20120" Type="http://schemas.openxmlformats.org/officeDocument/2006/relationships/hyperlink" Target="http://secrets.rutgers.edu:8080/data/asl-ftp/asllvd/demos/verify_start_end_handshape_annotations//test_auto_move//signs_mov_separ_signers/Liz_16279.mov" TargetMode="External"/><Relationship Id="rId20121" Type="http://schemas.openxmlformats.org/officeDocument/2006/relationships/hyperlink" Target="http://csr.bu.edu/ftp/asl/asllvd/demos/verify_start_end_handshape_annotations//test_auto_move//signs_mov_separ_signers/Tyler_16210.mov" TargetMode="External"/><Relationship Id="rId20122" Type="http://schemas.openxmlformats.org/officeDocument/2006/relationships/hyperlink" Target="http://secrets.rutgers.edu:8080/data/asl-ftp/asllvd/demos/verify_start_end_handshape_annotations//test_auto_move//signs_mov_separ_signers/Tyler_16210.mov" TargetMode="External"/><Relationship Id="rId20123" Type="http://schemas.openxmlformats.org/officeDocument/2006/relationships/hyperlink" Target="http://csr.bu.edu/ftp/asl/asllvd/demos/verify_start_end_handshape_annotations//test_auto_move//signs_mov/16210_16279_merged.mov" TargetMode="External"/><Relationship Id="rId20124" Type="http://schemas.openxmlformats.org/officeDocument/2006/relationships/hyperlink" Target="http://csr.bu.edu/ftp/asl/asllvd/demos/verify_start_end_handshape_annotations//test_auto_move//signs_mov_separ_signers/Tyler_16279.mov" TargetMode="External"/><Relationship Id="rId20125" Type="http://schemas.openxmlformats.org/officeDocument/2006/relationships/hyperlink" Target="http://secrets.rutgers.edu:8080/data/asl-ftp/asllvd/demos/verify_start_end_handshape_annotations//test_auto_move//signs_mov/16210_16279_merged.mov" TargetMode="External"/><Relationship Id="rId20126" Type="http://schemas.openxmlformats.org/officeDocument/2006/relationships/hyperlink" Target="http://secrets.rutgers.edu:8080/data/asl-ftp/asllvd/demos/verify_start_end_handshape_annotations//test_auto_move//signs_mov_separ_signers/Tyler_16279.mov" TargetMode="External"/><Relationship Id="rId20127" Type="http://schemas.openxmlformats.org/officeDocument/2006/relationships/hyperlink" Target="http://csr.bu.edu/ftp/asl/asllvd/demos/verify_start_end_handshape_annotations//test_auto_move//signs_mov_separ_signers/Naomi_16210.mov" TargetMode="External"/><Relationship Id="rId20128" Type="http://schemas.openxmlformats.org/officeDocument/2006/relationships/hyperlink" Target="http://secrets.rutgers.edu:8080/data/asl-ftp/asllvd/demos/verify_start_end_handshape_annotations//test_auto_move//signs_mov_separ_signers/Naomi_16210.mov" TargetMode="External"/><Relationship Id="rId20129" Type="http://schemas.openxmlformats.org/officeDocument/2006/relationships/hyperlink" Target="http://csr.bu.edu/ftp/asl/asllvd/demos/verify_start_end_handshape_annotations//test_auto_move//signs_mov_separ_signers/Brady_16210.mov" TargetMode="External"/><Relationship Id="rId20130" Type="http://schemas.openxmlformats.org/officeDocument/2006/relationships/hyperlink" Target="http://secrets.rutgers.edu:8080/data/asl-ftp/asllvd/demos/verify_start_end_handshape_annotations//test_auto_move//signs_mov_separ_signers/Brady_16210.mov" TargetMode="External"/><Relationship Id="rId20131" Type="http://schemas.openxmlformats.org/officeDocument/2006/relationships/hyperlink" Target="http://csr.bu.edu/ftp/asl/asllvd/demos/verify_start_end_handshape_annotations//test_auto_move//signs_mov_separ_signers/Brady_16279.mov" TargetMode="External"/><Relationship Id="rId20132" Type="http://schemas.openxmlformats.org/officeDocument/2006/relationships/hyperlink" Target="http://secrets.rutgers.edu:8080/data/asl-ftp/asllvd/demos/verify_start_end_handshape_annotations//test_auto_move//signs_mov_separ_signers/Brady_16279.mov" TargetMode="External"/><Relationship Id="rId20133" Type="http://schemas.openxmlformats.org/officeDocument/2006/relationships/hyperlink" Target="http://csr.bu.edu/ftp/asl/asllvd/demos/verify_start_end_handshape_annotations//test_auto_move//signs_mov_separ_signers/Liz_4043.mov" TargetMode="External"/><Relationship Id="rId20134" Type="http://schemas.openxmlformats.org/officeDocument/2006/relationships/hyperlink" Target="http://secrets.rutgers.edu:8080/data/asl-ftp/asllvd/demos/verify_start_end_handshape_annotations//test_auto_move//signs_mov_separ_signers/Liz_4043.mov" TargetMode="External"/><Relationship Id="rId20135" Type="http://schemas.openxmlformats.org/officeDocument/2006/relationships/hyperlink" Target="http://csr.bu.edu/ftp/asl/asllvd/demos/verify_start_end_handshape_annotations//test_auto_move//signs_mov/4043.mov" TargetMode="External"/><Relationship Id="rId20136" Type="http://schemas.openxmlformats.org/officeDocument/2006/relationships/hyperlink" Target="http://csr.bu.edu/ftp/asl/asllvd/demos/verify_start_end_handshape_annotations//test_auto_move//signs_mov_separ_signers/Brady_4043.mov" TargetMode="External"/><Relationship Id="rId20137" Type="http://schemas.openxmlformats.org/officeDocument/2006/relationships/hyperlink" Target="http://secrets.rutgers.edu:8080/data/asl-ftp/asllvd/demos/verify_start_end_handshape_annotations//test_auto_move//signs_mov/4043.mov" TargetMode="External"/><Relationship Id="rId20138" Type="http://schemas.openxmlformats.org/officeDocument/2006/relationships/hyperlink" Target="http://secrets.rutgers.edu:8080/data/asl-ftp/asllvd/demos/verify_start_end_handshape_annotations//test_auto_move//signs_mov_separ_signers/Brady_4043.mov" TargetMode="External"/><Relationship Id="rId20139" Type="http://schemas.openxmlformats.org/officeDocument/2006/relationships/hyperlink" Target="http://csr.bu.edu/ftp/asl/asllvd/demos/verify_start_end_handshape_annotations//test_auto_move//signs_mov_separ_signers/Lana_4043.mov" TargetMode="External"/><Relationship Id="rId20140" Type="http://schemas.openxmlformats.org/officeDocument/2006/relationships/hyperlink" Target="http://secrets.rutgers.edu:8080/data/asl-ftp/asllvd/demos/verify_start_end_handshape_annotations//test_auto_move//signs_mov_separ_signers/Lana_4043.mov" TargetMode="External"/><Relationship Id="rId20141" Type="http://schemas.openxmlformats.org/officeDocument/2006/relationships/hyperlink" Target="http://csr.bu.edu/ftp/asl/asllvd/demos/verify_start_end_handshape_annotations//test_auto_move//signs_mov/5567.mov" TargetMode="External"/><Relationship Id="rId20142" Type="http://schemas.openxmlformats.org/officeDocument/2006/relationships/hyperlink" Target="http://csr.bu.edu/ftp/asl/asllvd/demos/verify_start_end_handshape_annotations//test_auto_move//signs_mov_separ_signers/Liz_5567.mov" TargetMode="External"/><Relationship Id="rId20143" Type="http://schemas.openxmlformats.org/officeDocument/2006/relationships/hyperlink" Target="http://secrets.rutgers.edu:8080/data/asl-ftp/asllvd/demos/verify_start_end_handshape_annotations//test_auto_move//signs_mov/5567.mov" TargetMode="External"/><Relationship Id="rId20144" Type="http://schemas.openxmlformats.org/officeDocument/2006/relationships/hyperlink" Target="http://secrets.rutgers.edu:8080/data/asl-ftp/asllvd/demos/verify_start_end_handshape_annotations//test_auto_move//signs_mov_separ_signers/Liz_5567.mov" TargetMode="External"/><Relationship Id="rId20145" Type="http://schemas.openxmlformats.org/officeDocument/2006/relationships/hyperlink" Target="http://csr.bu.edu/ftp/asl/asllvd/demos/verify_start_end_handshape_annotations//test_auto_move//signs_mov_separ_signers/Brady_5567.mov" TargetMode="External"/><Relationship Id="rId20146" Type="http://schemas.openxmlformats.org/officeDocument/2006/relationships/hyperlink" Target="http://secrets.rutgers.edu:8080/data/asl-ftp/asllvd/demos/verify_start_end_handshape_annotations//test_auto_move//signs_mov_separ_signers/Brady_5567.mov" TargetMode="External"/><Relationship Id="rId20147" Type="http://schemas.openxmlformats.org/officeDocument/2006/relationships/hyperlink" Target="http://csr.bu.edu/ftp/asl/asllvd/demos/verify_start_end_handshape_annotations//test_auto_move//signs_mov/5901.mov" TargetMode="External"/><Relationship Id="rId20148" Type="http://schemas.openxmlformats.org/officeDocument/2006/relationships/hyperlink" Target="http://csr.bu.edu/ftp/asl/asllvd/demos/verify_start_end_handshape_annotations//test_auto_move//signs_mov_separ_signers/Liz_5901.mov" TargetMode="External"/><Relationship Id="rId20149" Type="http://schemas.openxmlformats.org/officeDocument/2006/relationships/hyperlink" Target="http://secrets.rutgers.edu:8080/data/asl-ftp/asllvd/demos/verify_start_end_handshape_annotations//test_auto_move//signs_mov/5901.mov" TargetMode="External"/><Relationship Id="rId20150" Type="http://schemas.openxmlformats.org/officeDocument/2006/relationships/hyperlink" Target="http://secrets.rutgers.edu:8080/data/asl-ftp/asllvd/demos/verify_start_end_handshape_annotations//test_auto_move//signs_mov_separ_signers/Liz_5901.mov" TargetMode="External"/><Relationship Id="rId20151" Type="http://schemas.openxmlformats.org/officeDocument/2006/relationships/hyperlink" Target="http://csr.bu.edu/ftp/asl/asllvd/demos/verify_start_end_handshape_annotations//test_auto_move//signs_mov_separ_signers/Brady_5901.mov" TargetMode="External"/><Relationship Id="rId20152" Type="http://schemas.openxmlformats.org/officeDocument/2006/relationships/hyperlink" Target="http://secrets.rutgers.edu:8080/data/asl-ftp/asllvd/demos/verify_start_end_handshape_annotations//test_auto_move//signs_mov_separ_signers/Brady_5901.mov" TargetMode="External"/><Relationship Id="rId20153" Type="http://schemas.openxmlformats.org/officeDocument/2006/relationships/hyperlink" Target="http://csr.bu.edu/ftp/asl/asllvd/demos/verify_start_end_handshape_annotations//test_auto_move//signs_mov_separ_signers/Liz_4053.mov" TargetMode="External"/><Relationship Id="rId20154" Type="http://schemas.openxmlformats.org/officeDocument/2006/relationships/hyperlink" Target="http://secrets.rutgers.edu:8080/data/asl-ftp/asllvd/demos/verify_start_end_handshape_annotations//test_auto_move//signs_mov_separ_signers/Liz_4053.mov" TargetMode="External"/><Relationship Id="rId20155" Type="http://schemas.openxmlformats.org/officeDocument/2006/relationships/hyperlink" Target="http://csr.bu.edu/ftp/asl/asllvd/demos/verify_start_end_handshape_annotations//test_auto_move//signs_mov_separ_signers/Liz_5583.mov" TargetMode="External"/><Relationship Id="rId20156" Type="http://schemas.openxmlformats.org/officeDocument/2006/relationships/hyperlink" Target="http://secrets.rutgers.edu:8080/data/asl-ftp/asllvd/demos/verify_start_end_handshape_annotations//test_auto_move//signs_mov_separ_signers/Liz_5583.mov" TargetMode="External"/><Relationship Id="rId20157" Type="http://schemas.openxmlformats.org/officeDocument/2006/relationships/hyperlink" Target="http://csr.bu.edu/ftp/asl/asllvd/demos/verify_start_end_handshape_annotations//test_auto_move//signs_mov/4053_5583_5649_5656_merged.mov" TargetMode="External"/><Relationship Id="rId20158" Type="http://schemas.openxmlformats.org/officeDocument/2006/relationships/hyperlink" Target="http://csr.bu.edu/ftp/asl/asllvd/demos/verify_start_end_handshape_annotations//test_auto_move//signs_mov_separ_signers/Liz_5649.mov" TargetMode="External"/><Relationship Id="rId20159" Type="http://schemas.openxmlformats.org/officeDocument/2006/relationships/hyperlink" Target="http://secrets.rutgers.edu:8080/data/asl-ftp/asllvd/demos/verify_start_end_handshape_annotations//test_auto_move//signs_mov/4053_5583_5649_5656_merged.mov" TargetMode="External"/><Relationship Id="rId20160" Type="http://schemas.openxmlformats.org/officeDocument/2006/relationships/hyperlink" Target="http://secrets.rutgers.edu:8080/data/asl-ftp/asllvd/demos/verify_start_end_handshape_annotations//test_auto_move//signs_mov_separ_signers/Liz_5649.mov" TargetMode="External"/><Relationship Id="rId20161" Type="http://schemas.openxmlformats.org/officeDocument/2006/relationships/hyperlink" Target="http://csr.bu.edu/ftp/asl/asllvd/demos/verify_start_end_handshape_annotations//test_auto_move//signs_mov_separ_signers/Liz_5656.mov" TargetMode="External"/><Relationship Id="rId20162" Type="http://schemas.openxmlformats.org/officeDocument/2006/relationships/hyperlink" Target="http://secrets.rutgers.edu:8080/data/asl-ftp/asllvd/demos/verify_start_end_handshape_annotations//test_auto_move//signs_mov_separ_signers/Liz_5656.mov" TargetMode="External"/><Relationship Id="rId20163" Type="http://schemas.openxmlformats.org/officeDocument/2006/relationships/hyperlink" Target="http://csr.bu.edu/ftp/asl/asllvd/demos/verify_start_end_handshape_annotations//test_auto_move//signs_mov_separ_signers/Lana_4053.mov" TargetMode="External"/><Relationship Id="rId20164" Type="http://schemas.openxmlformats.org/officeDocument/2006/relationships/hyperlink" Target="http://secrets.rutgers.edu:8080/data/asl-ftp/asllvd/demos/verify_start_end_handshape_annotations//test_auto_move//signs_mov_separ_signers/Lana_4053.mov" TargetMode="External"/><Relationship Id="rId20165" Type="http://schemas.openxmlformats.org/officeDocument/2006/relationships/hyperlink" Target="http://csr.bu.edu/ftp/asl/asllvd/demos/verify_start_end_handshape_annotations//test_auto_move//signs_mov/5673.mov" TargetMode="External"/><Relationship Id="rId20166" Type="http://schemas.openxmlformats.org/officeDocument/2006/relationships/hyperlink" Target="http://csr.bu.edu/ftp/asl/asllvd/demos/verify_start_end_handshape_annotations//test_auto_move//signs_mov_separ_signers/Liz_5673.mov" TargetMode="External"/><Relationship Id="rId20167" Type="http://schemas.openxmlformats.org/officeDocument/2006/relationships/hyperlink" Target="http://secrets.rutgers.edu:8080/data/asl-ftp/asllvd/demos/verify_start_end_handshape_annotations//test_auto_move//signs_mov/5673.mov" TargetMode="External"/><Relationship Id="rId20168" Type="http://schemas.openxmlformats.org/officeDocument/2006/relationships/hyperlink" Target="http://secrets.rutgers.edu:8080/data/asl-ftp/asllvd/demos/verify_start_end_handshape_annotations//test_auto_move//signs_mov_separ_signers/Liz_5673.mov" TargetMode="External"/><Relationship Id="rId20169" Type="http://schemas.openxmlformats.org/officeDocument/2006/relationships/hyperlink" Target="http://csr.bu.edu/ftp/asl/asllvd/demos/verify_start_end_handshape_annotations//test_auto_move//signs_mov_separ_signers/Brady_16122.mov" TargetMode="External"/><Relationship Id="rId20170" Type="http://schemas.openxmlformats.org/officeDocument/2006/relationships/hyperlink" Target="http://secrets.rutgers.edu:8080/data/asl-ftp/asllvd/demos/verify_start_end_handshape_annotations//test_auto_move//signs_mov_separ_signers/Brady_16122.mov" TargetMode="External"/><Relationship Id="rId20171" Type="http://schemas.openxmlformats.org/officeDocument/2006/relationships/hyperlink" Target="http://csr.bu.edu/ftp/asl/asllvd/demos/verify_start_end_handshape_annotations//test_auto_move//signs_mov_separ_signers/Brady_16123.mov" TargetMode="External"/><Relationship Id="rId20172" Type="http://schemas.openxmlformats.org/officeDocument/2006/relationships/hyperlink" Target="http://secrets.rutgers.edu:8080/data/asl-ftp/asllvd/demos/verify_start_end_handshape_annotations//test_auto_move//signs_mov_separ_signers/Brady_16123.mov" TargetMode="External"/><Relationship Id="rId20173" Type="http://schemas.openxmlformats.org/officeDocument/2006/relationships/hyperlink" Target="http://csr.bu.edu/ftp/asl/asllvd/demos/verify_start_end_handshape_annotations//test_auto_move//signs_mov/16122_16123_16481_16482_merged.mov" TargetMode="External"/><Relationship Id="rId20174" Type="http://schemas.openxmlformats.org/officeDocument/2006/relationships/hyperlink" Target="http://csr.bu.edu/ftp/asl/asllvd/demos/verify_start_end_handshape_annotations//test_auto_move//signs_mov_separ_signers/Brady_16481.mov" TargetMode="External"/><Relationship Id="rId20175" Type="http://schemas.openxmlformats.org/officeDocument/2006/relationships/hyperlink" Target="http://secrets.rutgers.edu:8080/data/asl-ftp/asllvd/demos/verify_start_end_handshape_annotations//test_auto_move//signs_mov/16122_16123_16481_16482_merged.mov" TargetMode="External"/><Relationship Id="rId20176" Type="http://schemas.openxmlformats.org/officeDocument/2006/relationships/hyperlink" Target="http://secrets.rutgers.edu:8080/data/asl-ftp/asllvd/demos/verify_start_end_handshape_annotations//test_auto_move//signs_mov_separ_signers/Brady_16481.mov" TargetMode="External"/><Relationship Id="rId20177" Type="http://schemas.openxmlformats.org/officeDocument/2006/relationships/hyperlink" Target="http://csr.bu.edu/ftp/asl/asllvd/demos/verify_start_end_handshape_annotations//test_auto_move//signs_mov_separ_signers/Brady_16482.mov" TargetMode="External"/><Relationship Id="rId20178" Type="http://schemas.openxmlformats.org/officeDocument/2006/relationships/hyperlink" Target="http://secrets.rutgers.edu:8080/data/asl-ftp/asllvd/demos/verify_start_end_handshape_annotations//test_auto_move//signs_mov_separ_signers/Brady_16482.mov" TargetMode="External"/><Relationship Id="rId20179" Type="http://schemas.openxmlformats.org/officeDocument/2006/relationships/hyperlink" Target="http://csr.bu.edu/ftp/asl/asllvd/demos/verify_start_end_handshape_annotations//test_auto_move//signs_mov_separ_signers/Dana_16122.mov" TargetMode="External"/><Relationship Id="rId20180" Type="http://schemas.openxmlformats.org/officeDocument/2006/relationships/hyperlink" Target="http://secrets.rutgers.edu:8080/data/asl-ftp/asllvd/demos/verify_start_end_handshape_annotations//test_auto_move//signs_mov_separ_signers/Dana_16122.mov" TargetMode="External"/><Relationship Id="rId20181" Type="http://schemas.openxmlformats.org/officeDocument/2006/relationships/hyperlink" Target="http://csr.bu.edu/ftp/asl/asllvd/demos/verify_start_end_handshape_annotations//test_auto_move//signs_mov/4059.mov" TargetMode="External"/><Relationship Id="rId20182" Type="http://schemas.openxmlformats.org/officeDocument/2006/relationships/hyperlink" Target="http://csr.bu.edu/ftp/asl/asllvd/demos/verify_start_end_handshape_annotations//test_auto_move//signs_mov_separ_signers/Dana_4059.mov" TargetMode="External"/><Relationship Id="rId20183" Type="http://schemas.openxmlformats.org/officeDocument/2006/relationships/hyperlink" Target="http://secrets.rutgers.edu:8080/data/asl-ftp/asllvd/demos/verify_start_end_handshape_annotations//test_auto_move//signs_mov/4059.mov" TargetMode="External"/><Relationship Id="rId20184" Type="http://schemas.openxmlformats.org/officeDocument/2006/relationships/hyperlink" Target="http://secrets.rutgers.edu:8080/data/asl-ftp/asllvd/demos/verify_start_end_handshape_annotations//test_auto_move//signs_mov_separ_signers/Dana_4059.mov" TargetMode="External"/><Relationship Id="rId20185" Type="http://schemas.openxmlformats.org/officeDocument/2006/relationships/hyperlink" Target="http://csr.bu.edu/ftp/asl/asllvd/demos/verify_start_end_handshape_annotations//test_auto_move//signs_mov/3872_5449_merged.mov" TargetMode="External"/><Relationship Id="rId20186" Type="http://schemas.openxmlformats.org/officeDocument/2006/relationships/hyperlink" Target="http://csr.bu.edu/ftp/asl/asllvd/demos/verify_start_end_handshape_annotations//test_auto_move//signs_mov_separ_signers/Liz_3872.mov" TargetMode="External"/><Relationship Id="rId20187" Type="http://schemas.openxmlformats.org/officeDocument/2006/relationships/hyperlink" Target="http://secrets.rutgers.edu:8080/data/asl-ftp/asllvd/demos/verify_start_end_handshape_annotations//test_auto_move//signs_mov/3872_5449_merged.mov" TargetMode="External"/><Relationship Id="rId20188" Type="http://schemas.openxmlformats.org/officeDocument/2006/relationships/hyperlink" Target="http://secrets.rutgers.edu:8080/data/asl-ftp/asllvd/demos/verify_start_end_handshape_annotations//test_auto_move//signs_mov_separ_signers/Liz_3872.mov" TargetMode="External"/><Relationship Id="rId20189" Type="http://schemas.openxmlformats.org/officeDocument/2006/relationships/hyperlink" Target="http://csr.bu.edu/ftp/asl/asllvd/demos/verify_start_end_handshape_annotations//test_auto_move//signs_mov_separ_signers/Liz_5449.mov" TargetMode="External"/><Relationship Id="rId20190" Type="http://schemas.openxmlformats.org/officeDocument/2006/relationships/hyperlink" Target="http://secrets.rutgers.edu:8080/data/asl-ftp/asllvd/demos/verify_start_end_handshape_annotations//test_auto_move//signs_mov_separ_signers/Liz_5449.mov" TargetMode="External"/><Relationship Id="rId20191" Type="http://schemas.openxmlformats.org/officeDocument/2006/relationships/hyperlink" Target="http://csr.bu.edu/ftp/asl/asllvd/demos/verify_start_end_handshape_annotations//test_auto_move//signs_mov_separ_signers/Liz_5974.mov" TargetMode="External"/><Relationship Id="rId20192" Type="http://schemas.openxmlformats.org/officeDocument/2006/relationships/hyperlink" Target="http://secrets.rutgers.edu:8080/data/asl-ftp/asllvd/demos/verify_start_end_handshape_annotations//test_auto_move//signs_mov_separ_signers/Liz_5974.mov" TargetMode="External"/><Relationship Id="rId20193" Type="http://schemas.openxmlformats.org/officeDocument/2006/relationships/hyperlink" Target="http://csr.bu.edu/ftp/asl/asllvd/demos/verify_start_end_handshape_annotations//test_auto_move//signs_mov/5974_5976_merged.mov" TargetMode="External"/><Relationship Id="rId20194" Type="http://schemas.openxmlformats.org/officeDocument/2006/relationships/hyperlink" Target="http://csr.bu.edu/ftp/asl/asllvd/demos/verify_start_end_handshape_annotations//test_auto_move//signs_mov_separ_signers/Liz_5976.mov" TargetMode="External"/><Relationship Id="rId20195" Type="http://schemas.openxmlformats.org/officeDocument/2006/relationships/hyperlink" Target="http://secrets.rutgers.edu:8080/data/asl-ftp/asllvd/demos/verify_start_end_handshape_annotations//test_auto_move//signs_mov/5974_5976_merged.mov" TargetMode="External"/><Relationship Id="rId20196" Type="http://schemas.openxmlformats.org/officeDocument/2006/relationships/hyperlink" Target="http://secrets.rutgers.edu:8080/data/asl-ftp/asllvd/demos/verify_start_end_handshape_annotations//test_auto_move//signs_mov_separ_signers/Liz_5976.mov" TargetMode="External"/><Relationship Id="rId20197" Type="http://schemas.openxmlformats.org/officeDocument/2006/relationships/hyperlink" Target="http://csr.bu.edu/ftp/asl/asllvd/demos/verify_start_end_handshape_annotations//test_auto_move//signs_mov_separ_signers/Lana_5974.mov" TargetMode="External"/><Relationship Id="rId20198" Type="http://schemas.openxmlformats.org/officeDocument/2006/relationships/hyperlink" Target="http://secrets.rutgers.edu:8080/data/asl-ftp/asllvd/demos/verify_start_end_handshape_annotations//test_auto_move//signs_mov_separ_signers/Lana_5974.mov" TargetMode="External"/><Relationship Id="rId20199" Type="http://schemas.openxmlformats.org/officeDocument/2006/relationships/hyperlink" Target="http://csr.bu.edu/ftp/asl/asllvd/demos/verify_start_end_handshape_annotations//test_auto_move//signs_mov/4063.mov" TargetMode="External"/><Relationship Id="rId20200" Type="http://schemas.openxmlformats.org/officeDocument/2006/relationships/hyperlink" Target="http://csr.bu.edu/ftp/asl/asllvd/demos/verify_start_end_handshape_annotations//test_auto_move//signs_mov_separ_signers/Liz_4063.mov" TargetMode="External"/><Relationship Id="rId20201" Type="http://schemas.openxmlformats.org/officeDocument/2006/relationships/hyperlink" Target="http://secrets.rutgers.edu:8080/data/asl-ftp/asllvd/demos/verify_start_end_handshape_annotations//test_auto_move//signs_mov/4063.mov" TargetMode="External"/><Relationship Id="rId20202" Type="http://schemas.openxmlformats.org/officeDocument/2006/relationships/hyperlink" Target="http://secrets.rutgers.edu:8080/data/asl-ftp/asllvd/demos/verify_start_end_handshape_annotations//test_auto_move//signs_mov_separ_signers/Liz_4063.mov" TargetMode="External"/><Relationship Id="rId20203" Type="http://schemas.openxmlformats.org/officeDocument/2006/relationships/hyperlink" Target="http://csr.bu.edu/ftp/asl/asllvd/demos/verify_start_end_handshape_annotations//test_auto_move//signs_mov_separ_signers/Brady_4063.mov" TargetMode="External"/><Relationship Id="rId20204" Type="http://schemas.openxmlformats.org/officeDocument/2006/relationships/hyperlink" Target="http://secrets.rutgers.edu:8080/data/asl-ftp/asllvd/demos/verify_start_end_handshape_annotations//test_auto_move//signs_mov_separ_signers/Brady_4063.mov" TargetMode="External"/><Relationship Id="rId20205" Type="http://schemas.openxmlformats.org/officeDocument/2006/relationships/hyperlink" Target="http://csr.bu.edu/ftp/asl/asllvd/demos/verify_start_end_handshape_annotations//test_auto_move//signs_mov_separ_signers/Liz_5585.mov" TargetMode="External"/><Relationship Id="rId20206" Type="http://schemas.openxmlformats.org/officeDocument/2006/relationships/hyperlink" Target="http://secrets.rutgers.edu:8080/data/asl-ftp/asllvd/demos/verify_start_end_handshape_annotations//test_auto_move//signs_mov_separ_signers/Liz_5585.mov" TargetMode="External"/><Relationship Id="rId20207" Type="http://schemas.openxmlformats.org/officeDocument/2006/relationships/hyperlink" Target="http://csr.bu.edu/ftp/asl/asllvd/demos/verify_start_end_handshape_annotations//test_auto_move//signs_mov/5585_15440_merged.mov" TargetMode="External"/><Relationship Id="rId20208" Type="http://schemas.openxmlformats.org/officeDocument/2006/relationships/hyperlink" Target="http://csr.bu.edu/ftp/asl/asllvd/demos/verify_start_end_handshape_annotations//test_auto_move//signs_mov_separ_signers/Liz_15440.mov" TargetMode="External"/><Relationship Id="rId20209" Type="http://schemas.openxmlformats.org/officeDocument/2006/relationships/hyperlink" Target="http://secrets.rutgers.edu:8080/data/asl-ftp/asllvd/demos/verify_start_end_handshape_annotations//test_auto_move//signs_mov/5585_15440_merged.mov" TargetMode="External"/><Relationship Id="rId20210" Type="http://schemas.openxmlformats.org/officeDocument/2006/relationships/hyperlink" Target="http://secrets.rutgers.edu:8080/data/asl-ftp/asllvd/demos/verify_start_end_handshape_annotations//test_auto_move//signs_mov_separ_signers/Liz_15440.mov" TargetMode="External"/><Relationship Id="rId20211" Type="http://schemas.openxmlformats.org/officeDocument/2006/relationships/hyperlink" Target="http://csr.bu.edu/ftp/asl/asllvd/demos/verify_start_end_handshape_annotations//test_auto_move//signs_mov_separ_signers/Brady_5585.mov" TargetMode="External"/><Relationship Id="rId20212" Type="http://schemas.openxmlformats.org/officeDocument/2006/relationships/hyperlink" Target="http://secrets.rutgers.edu:8080/data/asl-ftp/asllvd/demos/verify_start_end_handshape_annotations//test_auto_move//signs_mov_separ_signers/Brady_5585.mov" TargetMode="External"/><Relationship Id="rId20213" Type="http://schemas.openxmlformats.org/officeDocument/2006/relationships/hyperlink" Target="http://csr.bu.edu/ftp/asl/asllvd/demos/verify_start_end_handshape_annotations//test_auto_move//signs_mov_separ_signers/Brady_15440.mov" TargetMode="External"/><Relationship Id="rId20214" Type="http://schemas.openxmlformats.org/officeDocument/2006/relationships/hyperlink" Target="http://secrets.rutgers.edu:8080/data/asl-ftp/asllvd/demos/verify_start_end_handshape_annotations//test_auto_move//signs_mov_separ_signers/Brady_15440.mov" TargetMode="External"/><Relationship Id="rId20215" Type="http://schemas.openxmlformats.org/officeDocument/2006/relationships/hyperlink" Target="http://csr.bu.edu/ftp/asl/asllvd/demos/verify_start_end_handshape_annotations//test_auto_move//signs_mov_separ_signers/Liz_4065.mov" TargetMode="External"/><Relationship Id="rId20216" Type="http://schemas.openxmlformats.org/officeDocument/2006/relationships/hyperlink" Target="http://secrets.rutgers.edu:8080/data/asl-ftp/asllvd/demos/verify_start_end_handshape_annotations//test_auto_move//signs_mov_separ_signers/Liz_4065.mov" TargetMode="External"/><Relationship Id="rId20217" Type="http://schemas.openxmlformats.org/officeDocument/2006/relationships/hyperlink" Target="http://csr.bu.edu/ftp/asl/asllvd/demos/verify_start_end_handshape_annotations//test_auto_move//signs_mov_separ_signers/Liz_3432.mov" TargetMode="External"/><Relationship Id="rId20218" Type="http://schemas.openxmlformats.org/officeDocument/2006/relationships/hyperlink" Target="http://secrets.rutgers.edu:8080/data/asl-ftp/asllvd/demos/verify_start_end_handshape_annotations//test_auto_move//signs_mov_separ_signers/Liz_3432.mov" TargetMode="External"/><Relationship Id="rId20219" Type="http://schemas.openxmlformats.org/officeDocument/2006/relationships/hyperlink" Target="http://csr.bu.edu/ftp/asl/asllvd/demos/verify_start_end_handshape_annotations//test_auto_move//signs_mov_separ_signers/Tyler_4065.mov" TargetMode="External"/><Relationship Id="rId20220" Type="http://schemas.openxmlformats.org/officeDocument/2006/relationships/hyperlink" Target="http://secrets.rutgers.edu:8080/data/asl-ftp/asllvd/demos/verify_start_end_handshape_annotations//test_auto_move//signs_mov_separ_signers/Tyler_4065.mov" TargetMode="External"/><Relationship Id="rId20221" Type="http://schemas.openxmlformats.org/officeDocument/2006/relationships/hyperlink" Target="http://csr.bu.edu/ftp/asl/asllvd/demos/verify_start_end_handshape_annotations//test_auto_move//signs_mov/3432_3441_4065_5966_merged.mov" TargetMode="External"/><Relationship Id="rId20222" Type="http://schemas.openxmlformats.org/officeDocument/2006/relationships/hyperlink" Target="http://csr.bu.edu/ftp/asl/asllvd/demos/verify_start_end_handshape_annotations//test_auto_move//signs_mov_separ_signers/Naomi_4065.mov" TargetMode="External"/><Relationship Id="rId20223" Type="http://schemas.openxmlformats.org/officeDocument/2006/relationships/hyperlink" Target="http://secrets.rutgers.edu:8080/data/asl-ftp/asllvd/demos/verify_start_end_handshape_annotations//test_auto_move//signs_mov/3432_3441_4065_5966_merged.mov" TargetMode="External"/><Relationship Id="rId20224" Type="http://schemas.openxmlformats.org/officeDocument/2006/relationships/hyperlink" Target="http://secrets.rutgers.edu:8080/data/asl-ftp/asllvd/demos/verify_start_end_handshape_annotations//test_auto_move//signs_mov_separ_signers/Naomi_4065.mov" TargetMode="External"/><Relationship Id="rId20225" Type="http://schemas.openxmlformats.org/officeDocument/2006/relationships/hyperlink" Target="http://csr.bu.edu/ftp/asl/asllvd/demos/verify_start_end_handshape_annotations//test_auto_move//signs_mov_separ_signers/Brady_4065.mov" TargetMode="External"/><Relationship Id="rId20226" Type="http://schemas.openxmlformats.org/officeDocument/2006/relationships/hyperlink" Target="http://secrets.rutgers.edu:8080/data/asl-ftp/asllvd/demos/verify_start_end_handshape_annotations//test_auto_move//signs_mov_separ_signers/Brady_4065.mov" TargetMode="External"/><Relationship Id="rId20227" Type="http://schemas.openxmlformats.org/officeDocument/2006/relationships/hyperlink" Target="http://csr.bu.edu/ftp/asl/asllvd/demos/verify_start_end_handshape_annotations//test_auto_move//signs_mov_separ_signers/Brady_3432.mov" TargetMode="External"/><Relationship Id="rId20228" Type="http://schemas.openxmlformats.org/officeDocument/2006/relationships/hyperlink" Target="http://secrets.rutgers.edu:8080/data/asl-ftp/asllvd/demos/verify_start_end_handshape_annotations//test_auto_move//signs_mov_separ_signers/Brady_3432.mov" TargetMode="External"/><Relationship Id="rId20229" Type="http://schemas.openxmlformats.org/officeDocument/2006/relationships/hyperlink" Target="http://csr.bu.edu/ftp/asl/asllvd/demos/verify_start_end_handshape_annotations//test_auto_move//signs_mov_separ_signers/Brady_3441.mov" TargetMode="External"/><Relationship Id="rId20230" Type="http://schemas.openxmlformats.org/officeDocument/2006/relationships/hyperlink" Target="http://secrets.rutgers.edu:8080/data/asl-ftp/asllvd/demos/verify_start_end_handshape_annotations//test_auto_move//signs_mov_separ_signers/Brady_3441.mov" TargetMode="External"/><Relationship Id="rId20231" Type="http://schemas.openxmlformats.org/officeDocument/2006/relationships/hyperlink" Target="http://csr.bu.edu/ftp/asl/asllvd/demos/verify_start_end_handshape_annotations//test_auto_move//signs_mov_separ_signers/Brady_5966.mov" TargetMode="External"/><Relationship Id="rId20232" Type="http://schemas.openxmlformats.org/officeDocument/2006/relationships/hyperlink" Target="http://secrets.rutgers.edu:8080/data/asl-ftp/asllvd/demos/verify_start_end_handshape_annotations//test_auto_move//signs_mov_separ_signers/Brady_5966.mov" TargetMode="External"/><Relationship Id="rId20233" Type="http://schemas.openxmlformats.org/officeDocument/2006/relationships/hyperlink" Target="http://csr.bu.edu/ftp/asl/asllvd/demos/verify_start_end_handshape_annotations//test_auto_move//signs_mov/15407.mov" TargetMode="External"/><Relationship Id="rId20234" Type="http://schemas.openxmlformats.org/officeDocument/2006/relationships/hyperlink" Target="http://csr.bu.edu/ftp/asl/asllvd/demos/verify_start_end_handshape_annotations//test_auto_move//signs_mov_separ_signers/Liz_15407.mov" TargetMode="External"/><Relationship Id="rId20235" Type="http://schemas.openxmlformats.org/officeDocument/2006/relationships/hyperlink" Target="http://secrets.rutgers.edu:8080/data/asl-ftp/asllvd/demos/verify_start_end_handshape_annotations//test_auto_move//signs_mov/15407.mov" TargetMode="External"/><Relationship Id="rId20236" Type="http://schemas.openxmlformats.org/officeDocument/2006/relationships/hyperlink" Target="http://secrets.rutgers.edu:8080/data/asl-ftp/asllvd/demos/verify_start_end_handshape_annotations//test_auto_move//signs_mov_separ_signers/Liz_15407.mov" TargetMode="External"/><Relationship Id="rId20237" Type="http://schemas.openxmlformats.org/officeDocument/2006/relationships/hyperlink" Target="http://csr.bu.edu/ftp/asl/asllvd/demos/verify_start_end_handshape_annotations//test_auto_move//signs_mov/15489.mov" TargetMode="External"/><Relationship Id="rId20238" Type="http://schemas.openxmlformats.org/officeDocument/2006/relationships/hyperlink" Target="http://csr.bu.edu/ftp/asl/asllvd/demos/verify_start_end_handshape_annotations//test_auto_move//signs_mov_separ_signers/Liz_15489.mov" TargetMode="External"/><Relationship Id="rId20239" Type="http://schemas.openxmlformats.org/officeDocument/2006/relationships/hyperlink" Target="http://secrets.rutgers.edu:8080/data/asl-ftp/asllvd/demos/verify_start_end_handshape_annotations//test_auto_move//signs_mov/15489.mov" TargetMode="External"/><Relationship Id="rId20240" Type="http://schemas.openxmlformats.org/officeDocument/2006/relationships/hyperlink" Target="http://secrets.rutgers.edu:8080/data/asl-ftp/asllvd/demos/verify_start_end_handshape_annotations//test_auto_move//signs_mov_separ_signers/Liz_15489.mov" TargetMode="External"/><Relationship Id="rId20241" Type="http://schemas.openxmlformats.org/officeDocument/2006/relationships/hyperlink" Target="http://csr.bu.edu/ftp/asl/asllvd/demos/verify_start_end_handshape_annotations//test_auto_move//signs_mov/4066.mov" TargetMode="External"/><Relationship Id="rId20242" Type="http://schemas.openxmlformats.org/officeDocument/2006/relationships/hyperlink" Target="http://csr.bu.edu/ftp/asl/asllvd/demos/verify_start_end_handshape_annotations//test_auto_move//signs_mov_separ_signers/Liz_4066.mov" TargetMode="External"/><Relationship Id="rId20243" Type="http://schemas.openxmlformats.org/officeDocument/2006/relationships/hyperlink" Target="http://secrets.rutgers.edu:8080/data/asl-ftp/asllvd/demos/verify_start_end_handshape_annotations//test_auto_move//signs_mov/4066.mov" TargetMode="External"/><Relationship Id="rId20244" Type="http://schemas.openxmlformats.org/officeDocument/2006/relationships/hyperlink" Target="http://secrets.rutgers.edu:8080/data/asl-ftp/asllvd/demos/verify_start_end_handshape_annotations//test_auto_move//signs_mov_separ_signers/Liz_4066.mov" TargetMode="External"/><Relationship Id="rId20245" Type="http://schemas.openxmlformats.org/officeDocument/2006/relationships/hyperlink" Target="http://csr.bu.edu/ftp/asl/asllvd/demos/verify_start_end_handshape_annotations//test_auto_move//signs_mov_separ_signers/Brady_4066.mov" TargetMode="External"/><Relationship Id="rId20246" Type="http://schemas.openxmlformats.org/officeDocument/2006/relationships/hyperlink" Target="http://secrets.rutgers.edu:8080/data/asl-ftp/asllvd/demos/verify_start_end_handshape_annotations//test_auto_move//signs_mov_separ_signers/Brady_4066.mov" TargetMode="External"/><Relationship Id="rId20247" Type="http://schemas.openxmlformats.org/officeDocument/2006/relationships/hyperlink" Target="http://csr.bu.edu/ftp/asl/asllvd/demos/verify_start_end_handshape_annotations//test_auto_move//signs_mov/4069.mov" TargetMode="External"/><Relationship Id="rId20248" Type="http://schemas.openxmlformats.org/officeDocument/2006/relationships/hyperlink" Target="http://csr.bu.edu/ftp/asl/asllvd/demos/verify_start_end_handshape_annotations//test_auto_move//signs_mov_separ_signers/Liz_4069.mov" TargetMode="External"/><Relationship Id="rId20249" Type="http://schemas.openxmlformats.org/officeDocument/2006/relationships/hyperlink" Target="http://secrets.rutgers.edu:8080/data/asl-ftp/asllvd/demos/verify_start_end_handshape_annotations//test_auto_move//signs_mov/4069.mov" TargetMode="External"/><Relationship Id="rId20250" Type="http://schemas.openxmlformats.org/officeDocument/2006/relationships/hyperlink" Target="http://secrets.rutgers.edu:8080/data/asl-ftp/asllvd/demos/verify_start_end_handshape_annotations//test_auto_move//signs_mov_separ_signers/Liz_4069.mov" TargetMode="External"/><Relationship Id="rId20251" Type="http://schemas.openxmlformats.org/officeDocument/2006/relationships/hyperlink" Target="http://csr.bu.edu/ftp/asl/asllvd/demos/verify_start_end_handshape_annotations//test_auto_move//signs_mov_separ_signers/Brady_4069.mov" TargetMode="External"/><Relationship Id="rId20252" Type="http://schemas.openxmlformats.org/officeDocument/2006/relationships/hyperlink" Target="http://secrets.rutgers.edu:8080/data/asl-ftp/asllvd/demos/verify_start_end_handshape_annotations//test_auto_move//signs_mov_separ_signers/Brady_4069.mov" TargetMode="External"/><Relationship Id="rId20253" Type="http://schemas.openxmlformats.org/officeDocument/2006/relationships/hyperlink" Target="http://csr.bu.edu/ftp/asl/asllvd/demos/verify_start_end_handshape_annotations//test_auto_move//signs_mov_separ_signers/Liz_4082.mov" TargetMode="External"/><Relationship Id="rId20254" Type="http://schemas.openxmlformats.org/officeDocument/2006/relationships/hyperlink" Target="http://secrets.rutgers.edu:8080/data/asl-ftp/asllvd/demos/verify_start_end_handshape_annotations//test_auto_move//signs_mov_separ_signers/Liz_4082.mov" TargetMode="External"/><Relationship Id="rId20255" Type="http://schemas.openxmlformats.org/officeDocument/2006/relationships/hyperlink" Target="http://csr.bu.edu/ftp/asl/asllvd/demos/verify_start_end_handshape_annotations//test_auto_move//signs_mov/4082.mov" TargetMode="External"/><Relationship Id="rId20256" Type="http://schemas.openxmlformats.org/officeDocument/2006/relationships/hyperlink" Target="http://csr.bu.edu/ftp/asl/asllvd/demos/verify_start_end_handshape_annotations//test_auto_move//signs_mov_separ_signers/Naomi_4082.mov" TargetMode="External"/><Relationship Id="rId20257" Type="http://schemas.openxmlformats.org/officeDocument/2006/relationships/hyperlink" Target="http://secrets.rutgers.edu:8080/data/asl-ftp/asllvd/demos/verify_start_end_handshape_annotations//test_auto_move//signs_mov/4082.mov" TargetMode="External"/><Relationship Id="rId20258" Type="http://schemas.openxmlformats.org/officeDocument/2006/relationships/hyperlink" Target="http://secrets.rutgers.edu:8080/data/asl-ftp/asllvd/demos/verify_start_end_handshape_annotations//test_auto_move//signs_mov_separ_signers/Naomi_4082.mov" TargetMode="External"/><Relationship Id="rId20259" Type="http://schemas.openxmlformats.org/officeDocument/2006/relationships/hyperlink" Target="http://csr.bu.edu/ftp/asl/asllvd/demos/verify_start_end_handshape_annotations//test_auto_move//signs_mov_separ_signers/Brady_4082.mov" TargetMode="External"/><Relationship Id="rId20260" Type="http://schemas.openxmlformats.org/officeDocument/2006/relationships/hyperlink" Target="http://secrets.rutgers.edu:8080/data/asl-ftp/asllvd/demos/verify_start_end_handshape_annotations//test_auto_move//signs_mov_separ_signers/Brady_4082.mov" TargetMode="External"/><Relationship Id="rId20261" Type="http://schemas.openxmlformats.org/officeDocument/2006/relationships/hyperlink" Target="http://csr.bu.edu/ftp/asl/asllvd/demos/verify_start_end_handshape_annotations//test_auto_move//signs_mov_separ_signers/Liz_3846.mov" TargetMode="External"/><Relationship Id="rId20262" Type="http://schemas.openxmlformats.org/officeDocument/2006/relationships/hyperlink" Target="http://secrets.rutgers.edu:8080/data/asl-ftp/asllvd/demos/verify_start_end_handshape_annotations//test_auto_move//signs_mov_separ_signers/Liz_3846.mov" TargetMode="External"/><Relationship Id="rId20263" Type="http://schemas.openxmlformats.org/officeDocument/2006/relationships/hyperlink" Target="http://csr.bu.edu/ftp/asl/asllvd/demos/verify_start_end_handshape_annotations//test_auto_move//signs_mov/3846.mov" TargetMode="External"/><Relationship Id="rId20264" Type="http://schemas.openxmlformats.org/officeDocument/2006/relationships/hyperlink" Target="http://csr.bu.edu/ftp/asl/asllvd/demos/verify_start_end_handshape_annotations//test_auto_move//signs_mov_separ_signers/Tyler_3846.mov" TargetMode="External"/><Relationship Id="rId20265" Type="http://schemas.openxmlformats.org/officeDocument/2006/relationships/hyperlink" Target="http://secrets.rutgers.edu:8080/data/asl-ftp/asllvd/demos/verify_start_end_handshape_annotations//test_auto_move//signs_mov/3846.mov" TargetMode="External"/><Relationship Id="rId20266" Type="http://schemas.openxmlformats.org/officeDocument/2006/relationships/hyperlink" Target="http://secrets.rutgers.edu:8080/data/asl-ftp/asllvd/demos/verify_start_end_handshape_annotations//test_auto_move//signs_mov_separ_signers/Tyler_3846.mov" TargetMode="External"/><Relationship Id="rId20267" Type="http://schemas.openxmlformats.org/officeDocument/2006/relationships/hyperlink" Target="http://csr.bu.edu/ftp/asl/asllvd/demos/verify_start_end_handshape_annotations//test_auto_move//signs_mov_separ_signers/Brady_3846.mov" TargetMode="External"/><Relationship Id="rId20268" Type="http://schemas.openxmlformats.org/officeDocument/2006/relationships/hyperlink" Target="http://secrets.rutgers.edu:8080/data/asl-ftp/asllvd/demos/verify_start_end_handshape_annotations//test_auto_move//signs_mov_separ_signers/Brady_3846.mov" TargetMode="External"/><Relationship Id="rId20269" Type="http://schemas.openxmlformats.org/officeDocument/2006/relationships/hyperlink" Target="http://csr.bu.edu/ftp/asl/asllvd/demos/verify_start_end_handshape_annotations//test_auto_move//signs_mov_separ_signers/Liz_4083.mov" TargetMode="External"/><Relationship Id="rId20270" Type="http://schemas.openxmlformats.org/officeDocument/2006/relationships/hyperlink" Target="http://secrets.rutgers.edu:8080/data/asl-ftp/asllvd/demos/verify_start_end_handshape_annotations//test_auto_move//signs_mov_separ_signers/Liz_4083.mov" TargetMode="External"/><Relationship Id="rId20271" Type="http://schemas.openxmlformats.org/officeDocument/2006/relationships/hyperlink" Target="http://csr.bu.edu/ftp/asl/asllvd/demos/verify_start_end_handshape_annotations//test_auto_move//signs_mov/3397_4083_merged.mov" TargetMode="External"/><Relationship Id="rId20272" Type="http://schemas.openxmlformats.org/officeDocument/2006/relationships/hyperlink" Target="http://csr.bu.edu/ftp/asl/asllvd/demos/verify_start_end_handshape_annotations//test_auto_move//signs_mov_separ_signers/Liz_3397.mov" TargetMode="External"/><Relationship Id="rId20273" Type="http://schemas.openxmlformats.org/officeDocument/2006/relationships/hyperlink" Target="http://secrets.rutgers.edu:8080/data/asl-ftp/asllvd/demos/verify_start_end_handshape_annotations//test_auto_move//signs_mov/3397_4083_merged.mov" TargetMode="External"/><Relationship Id="rId20274" Type="http://schemas.openxmlformats.org/officeDocument/2006/relationships/hyperlink" Target="http://secrets.rutgers.edu:8080/data/asl-ftp/asllvd/demos/verify_start_end_handshape_annotations//test_auto_move//signs_mov_separ_signers/Liz_3397.mov" TargetMode="External"/><Relationship Id="rId20275" Type="http://schemas.openxmlformats.org/officeDocument/2006/relationships/hyperlink" Target="http://csr.bu.edu/ftp/asl/asllvd/demos/verify_start_end_handshape_annotations//test_auto_move//signs_mov_separ_signers/Brady_4083.mov" TargetMode="External"/><Relationship Id="rId20276" Type="http://schemas.openxmlformats.org/officeDocument/2006/relationships/hyperlink" Target="http://secrets.rutgers.edu:8080/data/asl-ftp/asllvd/demos/verify_start_end_handshape_annotations//test_auto_move//signs_mov_separ_signers/Brady_4083.mov" TargetMode="External"/><Relationship Id="rId20277" Type="http://schemas.openxmlformats.org/officeDocument/2006/relationships/hyperlink" Target="http://csr.bu.edu/ftp/asl/asllvd/demos/verify_start_end_handshape_annotations//test_auto_move//signs_mov_separ_signers/Brady_3397.mov" TargetMode="External"/><Relationship Id="rId20278" Type="http://schemas.openxmlformats.org/officeDocument/2006/relationships/hyperlink" Target="http://secrets.rutgers.edu:8080/data/asl-ftp/asllvd/demos/verify_start_end_handshape_annotations//test_auto_move//signs_mov_separ_signers/Brady_3397.mov" TargetMode="External"/><Relationship Id="rId20279" Type="http://schemas.openxmlformats.org/officeDocument/2006/relationships/hyperlink" Target="http://csr.bu.edu/ftp/asl/asllvd/demos/verify_start_end_handshape_annotations//test_auto_move//signs_mov/4089.mov" TargetMode="External"/><Relationship Id="rId20280" Type="http://schemas.openxmlformats.org/officeDocument/2006/relationships/hyperlink" Target="http://csr.bu.edu/ftp/asl/asllvd/demos/verify_start_end_handshape_annotations//test_auto_move//signs_mov_separ_signers/Liz_4089.mov" TargetMode="External"/><Relationship Id="rId20281" Type="http://schemas.openxmlformats.org/officeDocument/2006/relationships/hyperlink" Target="http://secrets.rutgers.edu:8080/data/asl-ftp/asllvd/demos/verify_start_end_handshape_annotations//test_auto_move//signs_mov/4089.mov" TargetMode="External"/><Relationship Id="rId20282" Type="http://schemas.openxmlformats.org/officeDocument/2006/relationships/hyperlink" Target="http://secrets.rutgers.edu:8080/data/asl-ftp/asllvd/demos/verify_start_end_handshape_annotations//test_auto_move//signs_mov_separ_signers/Liz_4089.mov" TargetMode="External"/><Relationship Id="rId20283" Type="http://schemas.openxmlformats.org/officeDocument/2006/relationships/hyperlink" Target="http://csr.bu.edu/ftp/asl/asllvd/demos/verify_start_end_handshape_annotations//test_auto_move//signs_mov_separ_signers/Brady_4089.mov" TargetMode="External"/><Relationship Id="rId20284" Type="http://schemas.openxmlformats.org/officeDocument/2006/relationships/hyperlink" Target="http://secrets.rutgers.edu:8080/data/asl-ftp/asllvd/demos/verify_start_end_handshape_annotations//test_auto_move//signs_mov_separ_signers/Brady_4089.mov" TargetMode="External"/><Relationship Id="rId20285" Type="http://schemas.openxmlformats.org/officeDocument/2006/relationships/hyperlink" Target="http://csr.bu.edu/ftp/asl/asllvd/demos/verify_start_end_handshape_annotations//test_auto_move//signs_mov/4094.mov" TargetMode="External"/><Relationship Id="rId20286" Type="http://schemas.openxmlformats.org/officeDocument/2006/relationships/hyperlink" Target="http://csr.bu.edu/ftp/asl/asllvd/demos/verify_start_end_handshape_annotations//test_auto_move//signs_mov_separ_signers/Liz_4094.mov" TargetMode="External"/><Relationship Id="rId20287" Type="http://schemas.openxmlformats.org/officeDocument/2006/relationships/hyperlink" Target="http://secrets.rutgers.edu:8080/data/asl-ftp/asllvd/demos/verify_start_end_handshape_annotations//test_auto_move//signs_mov/4094.mov" TargetMode="External"/><Relationship Id="rId20288" Type="http://schemas.openxmlformats.org/officeDocument/2006/relationships/hyperlink" Target="http://secrets.rutgers.edu:8080/data/asl-ftp/asllvd/demos/verify_start_end_handshape_annotations//test_auto_move//signs_mov_separ_signers/Liz_4094.mov" TargetMode="External"/><Relationship Id="rId20289" Type="http://schemas.openxmlformats.org/officeDocument/2006/relationships/hyperlink" Target="http://csr.bu.edu/ftp/asl/asllvd/demos/verify_start_end_handshape_annotations//test_auto_move//signs_mov/15314.mov" TargetMode="External"/><Relationship Id="rId20290" Type="http://schemas.openxmlformats.org/officeDocument/2006/relationships/hyperlink" Target="http://csr.bu.edu/ftp/asl/asllvd/demos/verify_start_end_handshape_annotations//test_auto_move//signs_mov_separ_signers/Brady_15314.mov" TargetMode="External"/><Relationship Id="rId20291" Type="http://schemas.openxmlformats.org/officeDocument/2006/relationships/hyperlink" Target="http://secrets.rutgers.edu:8080/data/asl-ftp/asllvd/demos/verify_start_end_handshape_annotations//test_auto_move//signs_mov/15314.mov" TargetMode="External"/><Relationship Id="rId20292" Type="http://schemas.openxmlformats.org/officeDocument/2006/relationships/hyperlink" Target="http://secrets.rutgers.edu:8080/data/asl-ftp/asllvd/demos/verify_start_end_handshape_annotations//test_auto_move//signs_mov_separ_signers/Brady_15314.mov" TargetMode="External"/><Relationship Id="rId20293" Type="http://schemas.openxmlformats.org/officeDocument/2006/relationships/hyperlink" Target="http://csr.bu.edu/ftp/asl/asllvd/demos/verify_start_end_handshape_annotations//test_auto_move//signs_mov/16351.mov" TargetMode="External"/><Relationship Id="rId20294" Type="http://schemas.openxmlformats.org/officeDocument/2006/relationships/hyperlink" Target="http://csr.bu.edu/ftp/asl/asllvd/demos/verify_start_end_handshape_annotations//test_auto_move//signs_mov_separ_signers/Liz_16351.mov" TargetMode="External"/><Relationship Id="rId20295" Type="http://schemas.openxmlformats.org/officeDocument/2006/relationships/hyperlink" Target="http://secrets.rutgers.edu:8080/data/asl-ftp/asllvd/demos/verify_start_end_handshape_annotations//test_auto_move//signs_mov/16351.mov" TargetMode="External"/><Relationship Id="rId20296" Type="http://schemas.openxmlformats.org/officeDocument/2006/relationships/hyperlink" Target="http://secrets.rutgers.edu:8080/data/asl-ftp/asllvd/demos/verify_start_end_handshape_annotations//test_auto_move//signs_mov_separ_signers/Liz_16351.mov" TargetMode="External"/><Relationship Id="rId20297" Type="http://schemas.openxmlformats.org/officeDocument/2006/relationships/hyperlink" Target="http://csr.bu.edu/ftp/asl/asllvd/demos/verify_start_end_handshape_annotations//test_auto_move//signs_mov_separ_signers/Brady_16351.mov" TargetMode="External"/><Relationship Id="rId20298" Type="http://schemas.openxmlformats.org/officeDocument/2006/relationships/hyperlink" Target="http://secrets.rutgers.edu:8080/data/asl-ftp/asllvd/demos/verify_start_end_handshape_annotations//test_auto_move//signs_mov_separ_signers/Brady_16351.mov" TargetMode="External"/><Relationship Id="rId20299" Type="http://schemas.openxmlformats.org/officeDocument/2006/relationships/hyperlink" Target="http://csr.bu.edu/ftp/asl/asllvd/demos/verify_start_end_handshape_annotations//test_auto_move//signs_mov/4095.mov" TargetMode="External"/><Relationship Id="rId20300" Type="http://schemas.openxmlformats.org/officeDocument/2006/relationships/hyperlink" Target="http://csr.bu.edu/ftp/asl/asllvd/demos/verify_start_end_handshape_annotations//test_auto_move//signs_mov_separ_signers/Tyler_4095.mov" TargetMode="External"/><Relationship Id="rId20301" Type="http://schemas.openxmlformats.org/officeDocument/2006/relationships/hyperlink" Target="http://secrets.rutgers.edu:8080/data/asl-ftp/asllvd/demos/verify_start_end_handshape_annotations//test_auto_move//signs_mov/4095.mov" TargetMode="External"/><Relationship Id="rId20302" Type="http://schemas.openxmlformats.org/officeDocument/2006/relationships/hyperlink" Target="http://secrets.rutgers.edu:8080/data/asl-ftp/asllvd/demos/verify_start_end_handshape_annotations//test_auto_move//signs_mov_separ_signers/Tyler_4095.mov" TargetMode="External"/><Relationship Id="rId20303" Type="http://schemas.openxmlformats.org/officeDocument/2006/relationships/hyperlink" Target="http://csr.bu.edu/ftp/asl/asllvd/demos/verify_start_end_handshape_annotations//test_auto_move//signs_mov/16020.mov" TargetMode="External"/><Relationship Id="rId20304" Type="http://schemas.openxmlformats.org/officeDocument/2006/relationships/hyperlink" Target="http://csr.bu.edu/ftp/asl/asllvd/demos/verify_start_end_handshape_annotations//test_auto_move//signs_mov_separ_signers/Liz_16020.mov" TargetMode="External"/><Relationship Id="rId20305" Type="http://schemas.openxmlformats.org/officeDocument/2006/relationships/hyperlink" Target="http://secrets.rutgers.edu:8080/data/asl-ftp/asllvd/demos/verify_start_end_handshape_annotations//test_auto_move//signs_mov/16020.mov" TargetMode="External"/><Relationship Id="rId20306" Type="http://schemas.openxmlformats.org/officeDocument/2006/relationships/hyperlink" Target="http://secrets.rutgers.edu:8080/data/asl-ftp/asllvd/demos/verify_start_end_handshape_annotations//test_auto_move//signs_mov_separ_signers/Liz_16020.mov" TargetMode="External"/><Relationship Id="rId20307" Type="http://schemas.openxmlformats.org/officeDocument/2006/relationships/hyperlink" Target="http://csr.bu.edu/ftp/asl/asllvd/demos/verify_start_end_handshape_annotations//test_auto_move//signs_mov_separ_signers/Brady_16020.mov" TargetMode="External"/><Relationship Id="rId20308" Type="http://schemas.openxmlformats.org/officeDocument/2006/relationships/hyperlink" Target="http://secrets.rutgers.edu:8080/data/asl-ftp/asllvd/demos/verify_start_end_handshape_annotations//test_auto_move//signs_mov_separ_signers/Brady_16020.mov" TargetMode="External"/><Relationship Id="rId20309" Type="http://schemas.openxmlformats.org/officeDocument/2006/relationships/hyperlink" Target="http://csr.bu.edu/ftp/asl/asllvd/demos/verify_start_end_handshape_annotations//test_auto_move//signs_mov/4096.mov" TargetMode="External"/><Relationship Id="rId20310" Type="http://schemas.openxmlformats.org/officeDocument/2006/relationships/hyperlink" Target="http://csr.bu.edu/ftp/asl/asllvd/demos/verify_start_end_handshape_annotations//test_auto_move//signs_mov_separ_signers/Liz_4096.mov" TargetMode="External"/><Relationship Id="rId20311" Type="http://schemas.openxmlformats.org/officeDocument/2006/relationships/hyperlink" Target="http://secrets.rutgers.edu:8080/data/asl-ftp/asllvd/demos/verify_start_end_handshape_annotations//test_auto_move//signs_mov/4096.mov" TargetMode="External"/><Relationship Id="rId20312" Type="http://schemas.openxmlformats.org/officeDocument/2006/relationships/hyperlink" Target="http://secrets.rutgers.edu:8080/data/asl-ftp/asllvd/demos/verify_start_end_handshape_annotations//test_auto_move//signs_mov_separ_signers/Liz_4096.mov" TargetMode="External"/><Relationship Id="rId20313" Type="http://schemas.openxmlformats.org/officeDocument/2006/relationships/hyperlink" Target="http://csr.bu.edu/ftp/asl/asllvd/demos/verify_start_end_handshape_annotations//test_auto_move//signs_mov_separ_signers/Brady_4096.mov" TargetMode="External"/><Relationship Id="rId20314" Type="http://schemas.openxmlformats.org/officeDocument/2006/relationships/hyperlink" Target="http://secrets.rutgers.edu:8080/data/asl-ftp/asllvd/demos/verify_start_end_handshape_annotations//test_auto_move//signs_mov_separ_signers/Brady_4096.mov" TargetMode="External"/><Relationship Id="rId20315" Type="http://schemas.openxmlformats.org/officeDocument/2006/relationships/hyperlink" Target="http://csr.bu.edu/ftp/asl/asllvd/demos/verify_start_end_handshape_annotations//test_auto_move//signs_mov/4124.mov" TargetMode="External"/><Relationship Id="rId20316" Type="http://schemas.openxmlformats.org/officeDocument/2006/relationships/hyperlink" Target="http://csr.bu.edu/ftp/asl/asllvd/demos/verify_start_end_handshape_annotations//test_auto_move//signs_mov_separ_signers/Liz_4124.mov" TargetMode="External"/><Relationship Id="rId20317" Type="http://schemas.openxmlformats.org/officeDocument/2006/relationships/hyperlink" Target="http://secrets.rutgers.edu:8080/data/asl-ftp/asllvd/demos/verify_start_end_handshape_annotations//test_auto_move//signs_mov/4124.mov" TargetMode="External"/><Relationship Id="rId20318" Type="http://schemas.openxmlformats.org/officeDocument/2006/relationships/hyperlink" Target="http://secrets.rutgers.edu:8080/data/asl-ftp/asllvd/demos/verify_start_end_handshape_annotations//test_auto_move//signs_mov_separ_signers/Liz_4124.mov" TargetMode="External"/><Relationship Id="rId20319" Type="http://schemas.openxmlformats.org/officeDocument/2006/relationships/hyperlink" Target="http://csr.bu.edu/ftp/asl/asllvd/demos/verify_start_end_handshape_annotations//test_auto_move//signs_mov_separ_signers/Brady_4124.mov" TargetMode="External"/><Relationship Id="rId20320" Type="http://schemas.openxmlformats.org/officeDocument/2006/relationships/hyperlink" Target="http://secrets.rutgers.edu:8080/data/asl-ftp/asllvd/demos/verify_start_end_handshape_annotations//test_auto_move//signs_mov_separ_signers/Brady_4124.mov" TargetMode="External"/><Relationship Id="rId20321" Type="http://schemas.openxmlformats.org/officeDocument/2006/relationships/hyperlink" Target="http://csr.bu.edu/ftp/asl/asllvd/demos/verify_start_end_handshape_annotations//test_auto_move//signs_mov/4126.mov" TargetMode="External"/><Relationship Id="rId20322" Type="http://schemas.openxmlformats.org/officeDocument/2006/relationships/hyperlink" Target="http://csr.bu.edu/ftp/asl/asllvd/demos/verify_start_end_handshape_annotations//test_auto_move//signs_mov_separ_signers/Liz_4126.mov" TargetMode="External"/><Relationship Id="rId20323" Type="http://schemas.openxmlformats.org/officeDocument/2006/relationships/hyperlink" Target="http://secrets.rutgers.edu:8080/data/asl-ftp/asllvd/demos/verify_start_end_handshape_annotations//test_auto_move//signs_mov/4126.mov" TargetMode="External"/><Relationship Id="rId20324" Type="http://schemas.openxmlformats.org/officeDocument/2006/relationships/hyperlink" Target="http://secrets.rutgers.edu:8080/data/asl-ftp/asllvd/demos/verify_start_end_handshape_annotations//test_auto_move//signs_mov_separ_signers/Liz_4126.mov" TargetMode="External"/><Relationship Id="rId20325" Type="http://schemas.openxmlformats.org/officeDocument/2006/relationships/hyperlink" Target="http://csr.bu.edu/ftp/asl/asllvd/demos/verify_start_end_handshape_annotations//test_auto_move//signs_mov_separ_signers/Brady_4126.mov" TargetMode="External"/><Relationship Id="rId20326" Type="http://schemas.openxmlformats.org/officeDocument/2006/relationships/hyperlink" Target="http://secrets.rutgers.edu:8080/data/asl-ftp/asllvd/demos/verify_start_end_handshape_annotations//test_auto_move//signs_mov_separ_signers/Brady_4126.mov" TargetMode="External"/><Relationship Id="rId20327" Type="http://schemas.openxmlformats.org/officeDocument/2006/relationships/hyperlink" Target="http://csr.bu.edu/ftp/asl/asllvd/demos/verify_start_end_handshape_annotations//test_auto_move//signs_mov/4129.mov" TargetMode="External"/><Relationship Id="rId20328" Type="http://schemas.openxmlformats.org/officeDocument/2006/relationships/hyperlink" Target="http://csr.bu.edu/ftp/asl/asllvd/demos/verify_start_end_handshape_annotations//test_auto_move//signs_mov_separ_signers/Liz_4129.mov" TargetMode="External"/><Relationship Id="rId20329" Type="http://schemas.openxmlformats.org/officeDocument/2006/relationships/hyperlink" Target="http://secrets.rutgers.edu:8080/data/asl-ftp/asllvd/demos/verify_start_end_handshape_annotations//test_auto_move//signs_mov/4129.mov" TargetMode="External"/><Relationship Id="rId20330" Type="http://schemas.openxmlformats.org/officeDocument/2006/relationships/hyperlink" Target="http://secrets.rutgers.edu:8080/data/asl-ftp/asllvd/demos/verify_start_end_handshape_annotations//test_auto_move//signs_mov_separ_signers/Liz_4129.mov" TargetMode="External"/><Relationship Id="rId20331" Type="http://schemas.openxmlformats.org/officeDocument/2006/relationships/hyperlink" Target="http://csr.bu.edu/ftp/asl/asllvd/demos/verify_start_end_handshape_annotations//test_auto_move//signs_mov/16483.mov" TargetMode="External"/><Relationship Id="rId20332" Type="http://schemas.openxmlformats.org/officeDocument/2006/relationships/hyperlink" Target="http://csr.bu.edu/ftp/asl/asllvd/demos/verify_start_end_handshape_annotations//test_auto_move//signs_mov_separ_signers/Brady_16483.mov" TargetMode="External"/><Relationship Id="rId20333" Type="http://schemas.openxmlformats.org/officeDocument/2006/relationships/hyperlink" Target="http://secrets.rutgers.edu:8080/data/asl-ftp/asllvd/demos/verify_start_end_handshape_annotations//test_auto_move//signs_mov/16483.mov" TargetMode="External"/><Relationship Id="rId20334" Type="http://schemas.openxmlformats.org/officeDocument/2006/relationships/hyperlink" Target="http://secrets.rutgers.edu:8080/data/asl-ftp/asllvd/demos/verify_start_end_handshape_annotations//test_auto_move//signs_mov_separ_signers/Brady_16483.mov" TargetMode="External"/><Relationship Id="rId20335" Type="http://schemas.openxmlformats.org/officeDocument/2006/relationships/hyperlink" Target="http://csr.bu.edu/ftp/asl/asllvd/demos/verify_start_end_handshape_annotations//test_auto_move//signs_mov/4140.mov" TargetMode="External"/><Relationship Id="rId20336" Type="http://schemas.openxmlformats.org/officeDocument/2006/relationships/hyperlink" Target="http://csr.bu.edu/ftp/asl/asllvd/demos/verify_start_end_handshape_annotations//test_auto_move//signs_mov_separ_signers/Liz_4140.mov" TargetMode="External"/><Relationship Id="rId20337" Type="http://schemas.openxmlformats.org/officeDocument/2006/relationships/hyperlink" Target="http://secrets.rutgers.edu:8080/data/asl-ftp/asllvd/demos/verify_start_end_handshape_annotations//test_auto_move//signs_mov/4140.mov" TargetMode="External"/><Relationship Id="rId20338" Type="http://schemas.openxmlformats.org/officeDocument/2006/relationships/hyperlink" Target="http://secrets.rutgers.edu:8080/data/asl-ftp/asllvd/demos/verify_start_end_handshape_annotations//test_auto_move//signs_mov_separ_signers/Liz_4140.mov" TargetMode="External"/><Relationship Id="rId20339" Type="http://schemas.openxmlformats.org/officeDocument/2006/relationships/hyperlink" Target="http://csr.bu.edu/ftp/asl/asllvd/demos/verify_start_end_handshape_annotations//test_auto_move//signs_mov_separ_signers/Brady_4140.mov" TargetMode="External"/><Relationship Id="rId20340" Type="http://schemas.openxmlformats.org/officeDocument/2006/relationships/hyperlink" Target="http://secrets.rutgers.edu:8080/data/asl-ftp/asllvd/demos/verify_start_end_handshape_annotations//test_auto_move//signs_mov_separ_signers/Brady_4140.mov" TargetMode="External"/><Relationship Id="rId20341" Type="http://schemas.openxmlformats.org/officeDocument/2006/relationships/hyperlink" Target="http://csr.bu.edu/ftp/asl/asllvd/demos/verify_start_end_handshape_annotations//test_auto_move//signs_mov/4141.mov" TargetMode="External"/><Relationship Id="rId20342" Type="http://schemas.openxmlformats.org/officeDocument/2006/relationships/hyperlink" Target="http://csr.bu.edu/ftp/asl/asllvd/demos/verify_start_end_handshape_annotations//test_auto_move//signs_mov_separ_signers/Liz_4141.mov" TargetMode="External"/><Relationship Id="rId20343" Type="http://schemas.openxmlformats.org/officeDocument/2006/relationships/hyperlink" Target="http://secrets.rutgers.edu:8080/data/asl-ftp/asllvd/demos/verify_start_end_handshape_annotations//test_auto_move//signs_mov/4141.mov" TargetMode="External"/><Relationship Id="rId20344" Type="http://schemas.openxmlformats.org/officeDocument/2006/relationships/hyperlink" Target="http://secrets.rutgers.edu:8080/data/asl-ftp/asllvd/demos/verify_start_end_handshape_annotations//test_auto_move//signs_mov_separ_signers/Liz_4141.mov" TargetMode="External"/><Relationship Id="rId20345" Type="http://schemas.openxmlformats.org/officeDocument/2006/relationships/hyperlink" Target="http://csr.bu.edu/ftp/asl/asllvd/demos/verify_start_end_handshape_annotations//test_auto_move//signs_mov_separ_signers/Brady_4141.mov" TargetMode="External"/><Relationship Id="rId20346" Type="http://schemas.openxmlformats.org/officeDocument/2006/relationships/hyperlink" Target="http://secrets.rutgers.edu:8080/data/asl-ftp/asllvd/demos/verify_start_end_handshape_annotations//test_auto_move//signs_mov_separ_signers/Brady_4141.mov" TargetMode="External"/><Relationship Id="rId20347" Type="http://schemas.openxmlformats.org/officeDocument/2006/relationships/hyperlink" Target="http://csr.bu.edu/ftp/asl/asllvd/demos/verify_start_end_handshape_annotations//test_auto_move//signs_mov/4143.mov" TargetMode="External"/><Relationship Id="rId20348" Type="http://schemas.openxmlformats.org/officeDocument/2006/relationships/hyperlink" Target="http://csr.bu.edu/ftp/asl/asllvd/demos/verify_start_end_handshape_annotations//test_auto_move//signs_mov_separ_signers/Liz_4143.mov" TargetMode="External"/><Relationship Id="rId20349" Type="http://schemas.openxmlformats.org/officeDocument/2006/relationships/hyperlink" Target="http://secrets.rutgers.edu:8080/data/asl-ftp/asllvd/demos/verify_start_end_handshape_annotations//test_auto_move//signs_mov/4143.mov" TargetMode="External"/><Relationship Id="rId20350" Type="http://schemas.openxmlformats.org/officeDocument/2006/relationships/hyperlink" Target="http://secrets.rutgers.edu:8080/data/asl-ftp/asllvd/demos/verify_start_end_handshape_annotations//test_auto_move//signs_mov_separ_signers/Liz_4143.mov" TargetMode="External"/><Relationship Id="rId20351" Type="http://schemas.openxmlformats.org/officeDocument/2006/relationships/hyperlink" Target="http://csr.bu.edu/ftp/asl/asllvd/demos/verify_start_end_handshape_annotations//test_auto_move//signs_mov_separ_signers/Brady_4143.mov" TargetMode="External"/><Relationship Id="rId20352" Type="http://schemas.openxmlformats.org/officeDocument/2006/relationships/hyperlink" Target="http://secrets.rutgers.edu:8080/data/asl-ftp/asllvd/demos/verify_start_end_handshape_annotations//test_auto_move//signs_mov_separ_signers/Brady_4143.mov" TargetMode="External"/><Relationship Id="rId20353" Type="http://schemas.openxmlformats.org/officeDocument/2006/relationships/hyperlink" Target="http://csr.bu.edu/ftp/asl/asllvd/demos/verify_start_end_handshape_annotations//test_auto_move//signs_mov/4144.mov" TargetMode="External"/><Relationship Id="rId20354" Type="http://schemas.openxmlformats.org/officeDocument/2006/relationships/hyperlink" Target="http://csr.bu.edu/ftp/asl/asllvd/demos/verify_start_end_handshape_annotations//test_auto_move//signs_mov_separ_signers/Liz_4144.mov" TargetMode="External"/><Relationship Id="rId20355" Type="http://schemas.openxmlformats.org/officeDocument/2006/relationships/hyperlink" Target="http://secrets.rutgers.edu:8080/data/asl-ftp/asllvd/demos/verify_start_end_handshape_annotations//test_auto_move//signs_mov/4144.mov" TargetMode="External"/><Relationship Id="rId20356" Type="http://schemas.openxmlformats.org/officeDocument/2006/relationships/hyperlink" Target="http://secrets.rutgers.edu:8080/data/asl-ftp/asllvd/demos/verify_start_end_handshape_annotations//test_auto_move//signs_mov_separ_signers/Liz_4144.mov" TargetMode="External"/><Relationship Id="rId20357" Type="http://schemas.openxmlformats.org/officeDocument/2006/relationships/hyperlink" Target="http://csr.bu.edu/ftp/asl/asllvd/demos/verify_start_end_handshape_annotations//test_auto_move//signs_mov_separ_signers/Brady_4144.mov" TargetMode="External"/><Relationship Id="rId20358" Type="http://schemas.openxmlformats.org/officeDocument/2006/relationships/hyperlink" Target="http://secrets.rutgers.edu:8080/data/asl-ftp/asllvd/demos/verify_start_end_handshape_annotations//test_auto_move//signs_mov_separ_signers/Brady_4144.mov" TargetMode="External"/><Relationship Id="rId20359" Type="http://schemas.openxmlformats.org/officeDocument/2006/relationships/hyperlink" Target="http://csr.bu.edu/ftp/asl/asllvd/demos/verify_start_end_handshape_annotations//test_auto_move//signs_mov/4146.mov" TargetMode="External"/><Relationship Id="rId20360" Type="http://schemas.openxmlformats.org/officeDocument/2006/relationships/hyperlink" Target="http://csr.bu.edu/ftp/asl/asllvd/demos/verify_start_end_handshape_annotations//test_auto_move//signs_mov_separ_signers/Liz_4146.mov" TargetMode="External"/><Relationship Id="rId20361" Type="http://schemas.openxmlformats.org/officeDocument/2006/relationships/hyperlink" Target="http://secrets.rutgers.edu:8080/data/asl-ftp/asllvd/demos/verify_start_end_handshape_annotations//test_auto_move//signs_mov/4146.mov" TargetMode="External"/><Relationship Id="rId20362" Type="http://schemas.openxmlformats.org/officeDocument/2006/relationships/hyperlink" Target="http://secrets.rutgers.edu:8080/data/asl-ftp/asllvd/demos/verify_start_end_handshape_annotations//test_auto_move//signs_mov_separ_signers/Liz_4146.mov" TargetMode="External"/><Relationship Id="rId20363" Type="http://schemas.openxmlformats.org/officeDocument/2006/relationships/hyperlink" Target="http://csr.bu.edu/ftp/asl/asllvd/demos/verify_start_end_handshape_annotations//test_auto_move//signs_mov_separ_signers/Brady_4146.mov" TargetMode="External"/><Relationship Id="rId20364" Type="http://schemas.openxmlformats.org/officeDocument/2006/relationships/hyperlink" Target="http://secrets.rutgers.edu:8080/data/asl-ftp/asllvd/demos/verify_start_end_handshape_annotations//test_auto_move//signs_mov_separ_signers/Brady_4146.mov" TargetMode="External"/><Relationship Id="rId20365" Type="http://schemas.openxmlformats.org/officeDocument/2006/relationships/hyperlink" Target="http://csr.bu.edu/ftp/asl/asllvd/demos/verify_start_end_handshape_annotations//test_auto_move//signs_mov/4147.mov" TargetMode="External"/><Relationship Id="rId20366" Type="http://schemas.openxmlformats.org/officeDocument/2006/relationships/hyperlink" Target="http://csr.bu.edu/ftp/asl/asllvd/demos/verify_start_end_handshape_annotations//test_auto_move//signs_mov_separ_signers/Liz_4147.mov" TargetMode="External"/><Relationship Id="rId20367" Type="http://schemas.openxmlformats.org/officeDocument/2006/relationships/hyperlink" Target="http://secrets.rutgers.edu:8080/data/asl-ftp/asllvd/demos/verify_start_end_handshape_annotations//test_auto_move//signs_mov/4147.mov" TargetMode="External"/><Relationship Id="rId20368" Type="http://schemas.openxmlformats.org/officeDocument/2006/relationships/hyperlink" Target="http://secrets.rutgers.edu:8080/data/asl-ftp/asllvd/demos/verify_start_end_handshape_annotations//test_auto_move//signs_mov_separ_signers/Liz_4147.mov" TargetMode="External"/><Relationship Id="rId20369" Type="http://schemas.openxmlformats.org/officeDocument/2006/relationships/hyperlink" Target="http://csr.bu.edu/ftp/asl/asllvd/demos/verify_start_end_handshape_annotations//test_auto_move//signs_mov_separ_signers/Brady_4147.mov" TargetMode="External"/><Relationship Id="rId20370" Type="http://schemas.openxmlformats.org/officeDocument/2006/relationships/hyperlink" Target="http://secrets.rutgers.edu:8080/data/asl-ftp/asllvd/demos/verify_start_end_handshape_annotations//test_auto_move//signs_mov_separ_signers/Brady_4147.mov" TargetMode="External"/><Relationship Id="rId20371" Type="http://schemas.openxmlformats.org/officeDocument/2006/relationships/hyperlink" Target="http://csr.bu.edu/ftp/asl/asllvd/demos/verify_start_end_handshape_annotations//test_auto_move//signs_mov/4149.mov" TargetMode="External"/><Relationship Id="rId20372" Type="http://schemas.openxmlformats.org/officeDocument/2006/relationships/hyperlink" Target="http://csr.bu.edu/ftp/asl/asllvd/demos/verify_start_end_handshape_annotations//test_auto_move//signs_mov_separ_signers/Liz_4149.mov" TargetMode="External"/><Relationship Id="rId20373" Type="http://schemas.openxmlformats.org/officeDocument/2006/relationships/hyperlink" Target="http://secrets.rutgers.edu:8080/data/asl-ftp/asllvd/demos/verify_start_end_handshape_annotations//test_auto_move//signs_mov/4149.mov" TargetMode="External"/><Relationship Id="rId20374" Type="http://schemas.openxmlformats.org/officeDocument/2006/relationships/hyperlink" Target="http://secrets.rutgers.edu:8080/data/asl-ftp/asllvd/demos/verify_start_end_handshape_annotations//test_auto_move//signs_mov_separ_signers/Liz_4149.mov" TargetMode="External"/><Relationship Id="rId20375" Type="http://schemas.openxmlformats.org/officeDocument/2006/relationships/hyperlink" Target="http://csr.bu.edu/ftp/asl/asllvd/demos/verify_start_end_handshape_annotations//test_auto_move//signs_mov/4150.mov" TargetMode="External"/><Relationship Id="rId20376" Type="http://schemas.openxmlformats.org/officeDocument/2006/relationships/hyperlink" Target="http://csr.bu.edu/ftp/asl/asllvd/demos/verify_start_end_handshape_annotations//test_auto_move//signs_mov_separ_signers/Liz_4150.mov" TargetMode="External"/><Relationship Id="rId20377" Type="http://schemas.openxmlformats.org/officeDocument/2006/relationships/hyperlink" Target="http://secrets.rutgers.edu:8080/data/asl-ftp/asllvd/demos/verify_start_end_handshape_annotations//test_auto_move//signs_mov/4150.mov" TargetMode="External"/><Relationship Id="rId20378" Type="http://schemas.openxmlformats.org/officeDocument/2006/relationships/hyperlink" Target="http://secrets.rutgers.edu:8080/data/asl-ftp/asllvd/demos/verify_start_end_handshape_annotations//test_auto_move//signs_mov_separ_signers/Liz_4150.mov" TargetMode="External"/><Relationship Id="rId20379" Type="http://schemas.openxmlformats.org/officeDocument/2006/relationships/hyperlink" Target="http://csr.bu.edu/ftp/asl/asllvd/demos/verify_start_end_handshape_annotations//test_auto_move//signs_mov/4152.mov" TargetMode="External"/><Relationship Id="rId20380" Type="http://schemas.openxmlformats.org/officeDocument/2006/relationships/hyperlink" Target="http://csr.bu.edu/ftp/asl/asllvd/demos/verify_start_end_handshape_annotations//test_auto_move//signs_mov_separ_signers/Liz_4152.mov" TargetMode="External"/><Relationship Id="rId20381" Type="http://schemas.openxmlformats.org/officeDocument/2006/relationships/hyperlink" Target="http://secrets.rutgers.edu:8080/data/asl-ftp/asllvd/demos/verify_start_end_handshape_annotations//test_auto_move//signs_mov/4152.mov" TargetMode="External"/><Relationship Id="rId20382" Type="http://schemas.openxmlformats.org/officeDocument/2006/relationships/hyperlink" Target="http://secrets.rutgers.edu:8080/data/asl-ftp/asllvd/demos/verify_start_end_handshape_annotations//test_auto_move//signs_mov_separ_signers/Liz_4152.mov" TargetMode="External"/><Relationship Id="rId20383" Type="http://schemas.openxmlformats.org/officeDocument/2006/relationships/hyperlink" Target="http://csr.bu.edu/ftp/asl/asllvd/demos/verify_start_end_handshape_annotations//test_auto_move//signs_mov_separ_signers/Brady_4152.mov" TargetMode="External"/><Relationship Id="rId20384" Type="http://schemas.openxmlformats.org/officeDocument/2006/relationships/hyperlink" Target="http://secrets.rutgers.edu:8080/data/asl-ftp/asllvd/demos/verify_start_end_handshape_annotations//test_auto_move//signs_mov_separ_signers/Brady_4152.mov" TargetMode="External"/><Relationship Id="rId20385" Type="http://schemas.openxmlformats.org/officeDocument/2006/relationships/hyperlink" Target="http://csr.bu.edu/ftp/asl/asllvd/demos/verify_start_end_handshape_annotations//test_auto_move//signs_mov/4153.mov" TargetMode="External"/><Relationship Id="rId20386" Type="http://schemas.openxmlformats.org/officeDocument/2006/relationships/hyperlink" Target="http://csr.bu.edu/ftp/asl/asllvd/demos/verify_start_end_handshape_annotations//test_auto_move//signs_mov_separ_signers/Liz_4153.mov" TargetMode="External"/><Relationship Id="rId20387" Type="http://schemas.openxmlformats.org/officeDocument/2006/relationships/hyperlink" Target="http://secrets.rutgers.edu:8080/data/asl-ftp/asllvd/demos/verify_start_end_handshape_annotations//test_auto_move//signs_mov/4153.mov" TargetMode="External"/><Relationship Id="rId20388" Type="http://schemas.openxmlformats.org/officeDocument/2006/relationships/hyperlink" Target="http://secrets.rutgers.edu:8080/data/asl-ftp/asllvd/demos/verify_start_end_handshape_annotations//test_auto_move//signs_mov_separ_signers/Liz_4153.mov" TargetMode="External"/><Relationship Id="rId20389" Type="http://schemas.openxmlformats.org/officeDocument/2006/relationships/hyperlink" Target="http://csr.bu.edu/ftp/asl/asllvd/demos/verify_start_end_handshape_annotations//test_auto_move//signs_mov_separ_signers/Brady_4153.mov" TargetMode="External"/><Relationship Id="rId20390" Type="http://schemas.openxmlformats.org/officeDocument/2006/relationships/hyperlink" Target="http://secrets.rutgers.edu:8080/data/asl-ftp/asllvd/demos/verify_start_end_handshape_annotations//test_auto_move//signs_mov_separ_signers/Brady_4153.mov" TargetMode="External"/><Relationship Id="rId20391" Type="http://schemas.openxmlformats.org/officeDocument/2006/relationships/hyperlink" Target="http://csr.bu.edu/ftp/asl/asllvd/demos/verify_start_end_handshape_annotations//test_auto_move//signs_mov/4155.mov" TargetMode="External"/><Relationship Id="rId20392" Type="http://schemas.openxmlformats.org/officeDocument/2006/relationships/hyperlink" Target="http://csr.bu.edu/ftp/asl/asllvd/demos/verify_start_end_handshape_annotations//test_auto_move//signs_mov_separ_signers/Liz_4155.mov" TargetMode="External"/><Relationship Id="rId20393" Type="http://schemas.openxmlformats.org/officeDocument/2006/relationships/hyperlink" Target="http://secrets.rutgers.edu:8080/data/asl-ftp/asllvd/demos/verify_start_end_handshape_annotations//test_auto_move//signs_mov/4155.mov" TargetMode="External"/><Relationship Id="rId20394" Type="http://schemas.openxmlformats.org/officeDocument/2006/relationships/hyperlink" Target="http://secrets.rutgers.edu:8080/data/asl-ftp/asllvd/demos/verify_start_end_handshape_annotations//test_auto_move//signs_mov_separ_signers/Liz_4155.mov" TargetMode="External"/><Relationship Id="rId20395" Type="http://schemas.openxmlformats.org/officeDocument/2006/relationships/hyperlink" Target="http://csr.bu.edu/ftp/asl/asllvd/demos/verify_start_end_handshape_annotations//test_auto_move//signs_mov/4156.mov" TargetMode="External"/><Relationship Id="rId20396" Type="http://schemas.openxmlformats.org/officeDocument/2006/relationships/hyperlink" Target="http://csr.bu.edu/ftp/asl/asllvd/demos/verify_start_end_handshape_annotations//test_auto_move//signs_mov_separ_signers/Liz_4156.mov" TargetMode="External"/><Relationship Id="rId20397" Type="http://schemas.openxmlformats.org/officeDocument/2006/relationships/hyperlink" Target="http://secrets.rutgers.edu:8080/data/asl-ftp/asllvd/demos/verify_start_end_handshape_annotations//test_auto_move//signs_mov/4156.mov" TargetMode="External"/><Relationship Id="rId20398" Type="http://schemas.openxmlformats.org/officeDocument/2006/relationships/hyperlink" Target="http://secrets.rutgers.edu:8080/data/asl-ftp/asllvd/demos/verify_start_end_handshape_annotations//test_auto_move//signs_mov_separ_signers/Liz_4156.mov" TargetMode="External"/><Relationship Id="rId20399" Type="http://schemas.openxmlformats.org/officeDocument/2006/relationships/hyperlink" Target="http://csr.bu.edu/ftp/asl/asllvd/demos/verify_start_end_handshape_annotations//test_auto_move//signs_mov_separ_signers/Brady_4156.mov" TargetMode="External"/><Relationship Id="rId20400" Type="http://schemas.openxmlformats.org/officeDocument/2006/relationships/hyperlink" Target="http://secrets.rutgers.edu:8080/data/asl-ftp/asllvd/demos/verify_start_end_handshape_annotations//test_auto_move//signs_mov_separ_signers/Brady_4156.mov" TargetMode="External"/><Relationship Id="rId20401" Type="http://schemas.openxmlformats.org/officeDocument/2006/relationships/hyperlink" Target="http://csr.bu.edu/ftp/asl/asllvd/demos/verify_start_end_handshape_annotations//test_auto_move//signs_mov/4157.mov" TargetMode="External"/><Relationship Id="rId20402" Type="http://schemas.openxmlformats.org/officeDocument/2006/relationships/hyperlink" Target="http://csr.bu.edu/ftp/asl/asllvd/demos/verify_start_end_handshape_annotations//test_auto_move//signs_mov_separ_signers/Brady_4157.mov" TargetMode="External"/><Relationship Id="rId20403" Type="http://schemas.openxmlformats.org/officeDocument/2006/relationships/hyperlink" Target="http://secrets.rutgers.edu:8080/data/asl-ftp/asllvd/demos/verify_start_end_handshape_annotations//test_auto_move//signs_mov/4157.mov" TargetMode="External"/><Relationship Id="rId20404" Type="http://schemas.openxmlformats.org/officeDocument/2006/relationships/hyperlink" Target="http://secrets.rutgers.edu:8080/data/asl-ftp/asllvd/demos/verify_start_end_handshape_annotations//test_auto_move//signs_mov_separ_signers/Brady_4157.mov" TargetMode="External"/><Relationship Id="rId20405" Type="http://schemas.openxmlformats.org/officeDocument/2006/relationships/hyperlink" Target="http://csr.bu.edu/ftp/asl/asllvd/demos/verify_start_end_handshape_annotations//test_auto_move//signs_mov/5869.mov" TargetMode="External"/><Relationship Id="rId20406" Type="http://schemas.openxmlformats.org/officeDocument/2006/relationships/hyperlink" Target="http://csr.bu.edu/ftp/asl/asllvd/demos/verify_start_end_handshape_annotations//test_auto_move//signs_mov_separ_signers/Liz_5869.mov" TargetMode="External"/><Relationship Id="rId20407" Type="http://schemas.openxmlformats.org/officeDocument/2006/relationships/hyperlink" Target="http://secrets.rutgers.edu:8080/data/asl-ftp/asllvd/demos/verify_start_end_handshape_annotations//test_auto_move//signs_mov/5869.mov" TargetMode="External"/><Relationship Id="rId20408" Type="http://schemas.openxmlformats.org/officeDocument/2006/relationships/hyperlink" Target="http://secrets.rutgers.edu:8080/data/asl-ftp/asllvd/demos/verify_start_end_handshape_annotations//test_auto_move//signs_mov_separ_signers/Liz_5869.mov" TargetMode="External"/><Relationship Id="rId20409" Type="http://schemas.openxmlformats.org/officeDocument/2006/relationships/hyperlink" Target="http://csr.bu.edu/ftp/asl/asllvd/demos/verify_start_end_handshape_annotations//test_auto_move//signs_mov/4158.mov" TargetMode="External"/><Relationship Id="rId20410" Type="http://schemas.openxmlformats.org/officeDocument/2006/relationships/hyperlink" Target="http://csr.bu.edu/ftp/asl/asllvd/demos/verify_start_end_handshape_annotations//test_auto_move//signs_mov_separ_signers/Liz_4158.mov" TargetMode="External"/><Relationship Id="rId20411" Type="http://schemas.openxmlformats.org/officeDocument/2006/relationships/hyperlink" Target="http://secrets.rutgers.edu:8080/data/asl-ftp/asllvd/demos/verify_start_end_handshape_annotations//test_auto_move//signs_mov/4158.mov" TargetMode="External"/><Relationship Id="rId20412" Type="http://schemas.openxmlformats.org/officeDocument/2006/relationships/hyperlink" Target="http://secrets.rutgers.edu:8080/data/asl-ftp/asllvd/demos/verify_start_end_handshape_annotations//test_auto_move//signs_mov_separ_signers/Liz_4158.mov" TargetMode="External"/><Relationship Id="rId20413" Type="http://schemas.openxmlformats.org/officeDocument/2006/relationships/hyperlink" Target="http://csr.bu.edu/ftp/asl/asllvd/demos/verify_start_end_handshape_annotations//test_auto_move//signs_mov_separ_signers/Brady_4158.mov" TargetMode="External"/><Relationship Id="rId20414" Type="http://schemas.openxmlformats.org/officeDocument/2006/relationships/hyperlink" Target="http://secrets.rutgers.edu:8080/data/asl-ftp/asllvd/demos/verify_start_end_handshape_annotations//test_auto_move//signs_mov_separ_signers/Brady_4158.mov" TargetMode="External"/><Relationship Id="rId20415" Type="http://schemas.openxmlformats.org/officeDocument/2006/relationships/hyperlink" Target="http://csr.bu.edu/ftp/asl/asllvd/demos/verify_start_end_handshape_annotations//test_auto_move//signs_mov/4159.mov" TargetMode="External"/><Relationship Id="rId20416" Type="http://schemas.openxmlformats.org/officeDocument/2006/relationships/hyperlink" Target="http://csr.bu.edu/ftp/asl/asllvd/demos/verify_start_end_handshape_annotations//test_auto_move//signs_mov_separ_signers/Liz_4159.mov" TargetMode="External"/><Relationship Id="rId20417" Type="http://schemas.openxmlformats.org/officeDocument/2006/relationships/hyperlink" Target="http://secrets.rutgers.edu:8080/data/asl-ftp/asllvd/demos/verify_start_end_handshape_annotations//test_auto_move//signs_mov/4159.mov" TargetMode="External"/><Relationship Id="rId20418" Type="http://schemas.openxmlformats.org/officeDocument/2006/relationships/hyperlink" Target="http://secrets.rutgers.edu:8080/data/asl-ftp/asllvd/demos/verify_start_end_handshape_annotations//test_auto_move//signs_mov_separ_signers/Liz_4159.mov" TargetMode="External"/><Relationship Id="rId20419" Type="http://schemas.openxmlformats.org/officeDocument/2006/relationships/hyperlink" Target="http://csr.bu.edu/ftp/asl/asllvd/demos/verify_start_end_handshape_annotations//test_auto_move//signs_mov_separ_signers/Brady_4159.mov" TargetMode="External"/><Relationship Id="rId20420" Type="http://schemas.openxmlformats.org/officeDocument/2006/relationships/hyperlink" Target="http://secrets.rutgers.edu:8080/data/asl-ftp/asllvd/demos/verify_start_end_handshape_annotations//test_auto_move//signs_mov_separ_signers/Brady_4159.mov" TargetMode="External"/><Relationship Id="rId20421" Type="http://schemas.openxmlformats.org/officeDocument/2006/relationships/hyperlink" Target="http://csr.bu.edu/ftp/asl/asllvd/demos/verify_start_end_handshape_annotations//test_auto_move//signs_mov/4161.mov" TargetMode="External"/><Relationship Id="rId20422" Type="http://schemas.openxmlformats.org/officeDocument/2006/relationships/hyperlink" Target="http://csr.bu.edu/ftp/asl/asllvd/demos/verify_start_end_handshape_annotations//test_auto_move//signs_mov_separ_signers/Liz_4161.mov" TargetMode="External"/><Relationship Id="rId20423" Type="http://schemas.openxmlformats.org/officeDocument/2006/relationships/hyperlink" Target="http://secrets.rutgers.edu:8080/data/asl-ftp/asllvd/demos/verify_start_end_handshape_annotations//test_auto_move//signs_mov/4161.mov" TargetMode="External"/><Relationship Id="rId20424" Type="http://schemas.openxmlformats.org/officeDocument/2006/relationships/hyperlink" Target="http://secrets.rutgers.edu:8080/data/asl-ftp/asllvd/demos/verify_start_end_handshape_annotations//test_auto_move//signs_mov_separ_signers/Liz_4161.mov" TargetMode="External"/><Relationship Id="rId20425" Type="http://schemas.openxmlformats.org/officeDocument/2006/relationships/hyperlink" Target="http://csr.bu.edu/ftp/asl/asllvd/demos/verify_start_end_handshape_annotations//test_auto_move//signs_mov_separ_signers/Brady_4161.mov" TargetMode="External"/><Relationship Id="rId20426" Type="http://schemas.openxmlformats.org/officeDocument/2006/relationships/hyperlink" Target="http://secrets.rutgers.edu:8080/data/asl-ftp/asllvd/demos/verify_start_end_handshape_annotations//test_auto_move//signs_mov_separ_signers/Brady_4161.mov" TargetMode="External"/><Relationship Id="rId20427" Type="http://schemas.openxmlformats.org/officeDocument/2006/relationships/hyperlink" Target="http://csr.bu.edu/ftp/asl/asllvd/demos/verify_start_end_handshape_annotations//test_auto_move//signs_mov/4162.mov" TargetMode="External"/><Relationship Id="rId20428" Type="http://schemas.openxmlformats.org/officeDocument/2006/relationships/hyperlink" Target="http://csr.bu.edu/ftp/asl/asllvd/demos/verify_start_end_handshape_annotations//test_auto_move//signs_mov_separ_signers/Liz_4162.mov" TargetMode="External"/><Relationship Id="rId20429" Type="http://schemas.openxmlformats.org/officeDocument/2006/relationships/hyperlink" Target="http://secrets.rutgers.edu:8080/data/asl-ftp/asllvd/demos/verify_start_end_handshape_annotations//test_auto_move//signs_mov/4162.mov" TargetMode="External"/><Relationship Id="rId20430" Type="http://schemas.openxmlformats.org/officeDocument/2006/relationships/hyperlink" Target="http://secrets.rutgers.edu:8080/data/asl-ftp/asllvd/demos/verify_start_end_handshape_annotations//test_auto_move//signs_mov_separ_signers/Liz_4162.mov" TargetMode="External"/><Relationship Id="rId20431" Type="http://schemas.openxmlformats.org/officeDocument/2006/relationships/hyperlink" Target="http://csr.bu.edu/ftp/asl/asllvd/demos/verify_start_end_handshape_annotations//test_auto_move//signs_mov_separ_signers/Brady_4162.mov" TargetMode="External"/><Relationship Id="rId20432" Type="http://schemas.openxmlformats.org/officeDocument/2006/relationships/hyperlink" Target="http://secrets.rutgers.edu:8080/data/asl-ftp/asllvd/demos/verify_start_end_handshape_annotations//test_auto_move//signs_mov_separ_signers/Brady_4162.mov" TargetMode="External"/><Relationship Id="rId20433" Type="http://schemas.openxmlformats.org/officeDocument/2006/relationships/hyperlink" Target="http://csr.bu.edu/ftp/asl/asllvd/demos/verify_start_end_handshape_annotations//test_auto_move//signs_mov/4163.mov" TargetMode="External"/><Relationship Id="rId20434" Type="http://schemas.openxmlformats.org/officeDocument/2006/relationships/hyperlink" Target="http://csr.bu.edu/ftp/asl/asllvd/demos/verify_start_end_handshape_annotations//test_auto_move//signs_mov_separ_signers/Liz_4163.mov" TargetMode="External"/><Relationship Id="rId20435" Type="http://schemas.openxmlformats.org/officeDocument/2006/relationships/hyperlink" Target="http://secrets.rutgers.edu:8080/data/asl-ftp/asllvd/demos/verify_start_end_handshape_annotations//test_auto_move//signs_mov/4163.mov" TargetMode="External"/><Relationship Id="rId20436" Type="http://schemas.openxmlformats.org/officeDocument/2006/relationships/hyperlink" Target="http://secrets.rutgers.edu:8080/data/asl-ftp/asllvd/demos/verify_start_end_handshape_annotations//test_auto_move//signs_mov_separ_signers/Liz_4163.mov" TargetMode="External"/><Relationship Id="rId20437" Type="http://schemas.openxmlformats.org/officeDocument/2006/relationships/hyperlink" Target="http://csr.bu.edu/ftp/asl/asllvd/demos/verify_start_end_handshape_annotations//test_auto_move//signs_mov_separ_signers/Brady_4163.mov" TargetMode="External"/><Relationship Id="rId20438" Type="http://schemas.openxmlformats.org/officeDocument/2006/relationships/hyperlink" Target="http://secrets.rutgers.edu:8080/data/asl-ftp/asllvd/demos/verify_start_end_handshape_annotations//test_auto_move//signs_mov_separ_signers/Brady_4163.mov" TargetMode="External"/><Relationship Id="rId20439" Type="http://schemas.openxmlformats.org/officeDocument/2006/relationships/hyperlink" Target="http://csr.bu.edu/ftp/asl/asllvd/demos/verify_start_end_handshape_annotations//test_auto_move//signs_mov/4164.mov" TargetMode="External"/><Relationship Id="rId20440" Type="http://schemas.openxmlformats.org/officeDocument/2006/relationships/hyperlink" Target="http://csr.bu.edu/ftp/asl/asllvd/demos/verify_start_end_handshape_annotations//test_auto_move//signs_mov_separ_signers/Liz_4164.mov" TargetMode="External"/><Relationship Id="rId20441" Type="http://schemas.openxmlformats.org/officeDocument/2006/relationships/hyperlink" Target="http://secrets.rutgers.edu:8080/data/asl-ftp/asllvd/demos/verify_start_end_handshape_annotations//test_auto_move//signs_mov/4164.mov" TargetMode="External"/><Relationship Id="rId20442" Type="http://schemas.openxmlformats.org/officeDocument/2006/relationships/hyperlink" Target="http://secrets.rutgers.edu:8080/data/asl-ftp/asllvd/demos/verify_start_end_handshape_annotations//test_auto_move//signs_mov_separ_signers/Liz_4164.mov" TargetMode="External"/><Relationship Id="rId20443" Type="http://schemas.openxmlformats.org/officeDocument/2006/relationships/hyperlink" Target="http://csr.bu.edu/ftp/asl/asllvd/demos/verify_start_end_handshape_annotations//test_auto_move//signs_mov_separ_signers/Brady_4164.mov" TargetMode="External"/><Relationship Id="rId20444" Type="http://schemas.openxmlformats.org/officeDocument/2006/relationships/hyperlink" Target="http://secrets.rutgers.edu:8080/data/asl-ftp/asllvd/demos/verify_start_end_handshape_annotations//test_auto_move//signs_mov_separ_signers/Brady_4164.mov" TargetMode="External"/><Relationship Id="rId20445" Type="http://schemas.openxmlformats.org/officeDocument/2006/relationships/hyperlink" Target="http://csr.bu.edu/ftp/asl/asllvd/demos/verify_start_end_handshape_annotations//test_auto_move//signs_mov/15448.mov" TargetMode="External"/><Relationship Id="rId20446" Type="http://schemas.openxmlformats.org/officeDocument/2006/relationships/hyperlink" Target="http://csr.bu.edu/ftp/asl/asllvd/demos/verify_start_end_handshape_annotations//test_auto_move//signs_mov_separ_signers/Liz_15448.mov" TargetMode="External"/><Relationship Id="rId20447" Type="http://schemas.openxmlformats.org/officeDocument/2006/relationships/hyperlink" Target="http://secrets.rutgers.edu:8080/data/asl-ftp/asllvd/demos/verify_start_end_handshape_annotations//test_auto_move//signs_mov/15448.mov" TargetMode="External"/><Relationship Id="rId20448" Type="http://schemas.openxmlformats.org/officeDocument/2006/relationships/hyperlink" Target="http://secrets.rutgers.edu:8080/data/asl-ftp/asllvd/demos/verify_start_end_handshape_annotations//test_auto_move//signs_mov_separ_signers/Liz_15448.mov" TargetMode="External"/><Relationship Id="rId20449" Type="http://schemas.openxmlformats.org/officeDocument/2006/relationships/hyperlink" Target="http://csr.bu.edu/ftp/asl/asllvd/demos/verify_start_end_handshape_annotations//test_auto_move//signs_mov_separ_signers/Brady_15448.mov" TargetMode="External"/><Relationship Id="rId20450" Type="http://schemas.openxmlformats.org/officeDocument/2006/relationships/hyperlink" Target="http://secrets.rutgers.edu:8080/data/asl-ftp/asllvd/demos/verify_start_end_handshape_annotations//test_auto_move//signs_mov_separ_signers/Brady_15448.mov" TargetMode="External"/><Relationship Id="rId20451" Type="http://schemas.openxmlformats.org/officeDocument/2006/relationships/hyperlink" Target="http://csr.bu.edu/ftp/asl/asllvd/demos/verify_start_end_handshape_annotations//test_auto_move//signs_mov/15449.mov" TargetMode="External"/><Relationship Id="rId20452" Type="http://schemas.openxmlformats.org/officeDocument/2006/relationships/hyperlink" Target="http://csr.bu.edu/ftp/asl/asllvd/demos/verify_start_end_handshape_annotations//test_auto_move//signs_mov_separ_signers/Liz_15449.mov" TargetMode="External"/><Relationship Id="rId20453" Type="http://schemas.openxmlformats.org/officeDocument/2006/relationships/hyperlink" Target="http://secrets.rutgers.edu:8080/data/asl-ftp/asllvd/demos/verify_start_end_handshape_annotations//test_auto_move//signs_mov/15449.mov" TargetMode="External"/><Relationship Id="rId20454" Type="http://schemas.openxmlformats.org/officeDocument/2006/relationships/hyperlink" Target="http://secrets.rutgers.edu:8080/data/asl-ftp/asllvd/demos/verify_start_end_handshape_annotations//test_auto_move//signs_mov_separ_signers/Liz_15449.mov" TargetMode="External"/><Relationship Id="rId20455" Type="http://schemas.openxmlformats.org/officeDocument/2006/relationships/hyperlink" Target="http://csr.bu.edu/ftp/asl/asllvd/demos/verify_start_end_handshape_annotations//test_auto_move//signs_mov_separ_signers/Brady_15449.mov" TargetMode="External"/><Relationship Id="rId20456" Type="http://schemas.openxmlformats.org/officeDocument/2006/relationships/hyperlink" Target="http://secrets.rutgers.edu:8080/data/asl-ftp/asllvd/demos/verify_start_end_handshape_annotations//test_auto_move//signs_mov_separ_signers/Brady_15449.mov" TargetMode="External"/><Relationship Id="rId20457" Type="http://schemas.openxmlformats.org/officeDocument/2006/relationships/hyperlink" Target="http://csr.bu.edu/ftp/asl/asllvd/demos/verify_start_end_handshape_annotations//test_auto_move//signs_mov/15450.mov" TargetMode="External"/><Relationship Id="rId20458" Type="http://schemas.openxmlformats.org/officeDocument/2006/relationships/hyperlink" Target="http://csr.bu.edu/ftp/asl/asllvd/demos/verify_start_end_handshape_annotations//test_auto_move//signs_mov_separ_signers/Liz_15450.mov" TargetMode="External"/><Relationship Id="rId20459" Type="http://schemas.openxmlformats.org/officeDocument/2006/relationships/hyperlink" Target="http://secrets.rutgers.edu:8080/data/asl-ftp/asllvd/demos/verify_start_end_handshape_annotations//test_auto_move//signs_mov/15450.mov" TargetMode="External"/><Relationship Id="rId20460" Type="http://schemas.openxmlformats.org/officeDocument/2006/relationships/hyperlink" Target="http://secrets.rutgers.edu:8080/data/asl-ftp/asllvd/demos/verify_start_end_handshape_annotations//test_auto_move//signs_mov_separ_signers/Liz_15450.mov" TargetMode="External"/><Relationship Id="rId20461" Type="http://schemas.openxmlformats.org/officeDocument/2006/relationships/hyperlink" Target="http://csr.bu.edu/ftp/asl/asllvd/demos/verify_start_end_handshape_annotations//test_auto_move//signs_mov_separ_signers/Brady_15450.mov" TargetMode="External"/><Relationship Id="rId20462" Type="http://schemas.openxmlformats.org/officeDocument/2006/relationships/hyperlink" Target="http://secrets.rutgers.edu:8080/data/asl-ftp/asllvd/demos/verify_start_end_handshape_annotations//test_auto_move//signs_mov_separ_signers/Brady_15450.mov" TargetMode="External"/><Relationship Id="rId20463" Type="http://schemas.openxmlformats.org/officeDocument/2006/relationships/hyperlink" Target="http://csr.bu.edu/ftp/asl/asllvd/demos/verify_start_end_handshape_annotations//test_auto_move//signs_mov/15451.mov" TargetMode="External"/><Relationship Id="rId20464" Type="http://schemas.openxmlformats.org/officeDocument/2006/relationships/hyperlink" Target="http://csr.bu.edu/ftp/asl/asllvd/demos/verify_start_end_handshape_annotations//test_auto_move//signs_mov_separ_signers/Liz_15451.mov" TargetMode="External"/><Relationship Id="rId20465" Type="http://schemas.openxmlformats.org/officeDocument/2006/relationships/hyperlink" Target="http://secrets.rutgers.edu:8080/data/asl-ftp/asllvd/demos/verify_start_end_handshape_annotations//test_auto_move//signs_mov/15451.mov" TargetMode="External"/><Relationship Id="rId20466" Type="http://schemas.openxmlformats.org/officeDocument/2006/relationships/hyperlink" Target="http://secrets.rutgers.edu:8080/data/asl-ftp/asllvd/demos/verify_start_end_handshape_annotations//test_auto_move//signs_mov_separ_signers/Liz_15451.mov" TargetMode="External"/><Relationship Id="rId20467" Type="http://schemas.openxmlformats.org/officeDocument/2006/relationships/hyperlink" Target="http://csr.bu.edu/ftp/asl/asllvd/demos/verify_start_end_handshape_annotations//test_auto_move//signs_mov_separ_signers/Brady_15451.mov" TargetMode="External"/><Relationship Id="rId20468" Type="http://schemas.openxmlformats.org/officeDocument/2006/relationships/hyperlink" Target="http://secrets.rutgers.edu:8080/data/asl-ftp/asllvd/demos/verify_start_end_handshape_annotations//test_auto_move//signs_mov_separ_signers/Brady_15451.mov" TargetMode="External"/><Relationship Id="rId20469" Type="http://schemas.openxmlformats.org/officeDocument/2006/relationships/hyperlink" Target="http://csr.bu.edu/ftp/asl/asllvd/demos/verify_start_end_handshape_annotations//test_auto_move//signs_mov/4207.mov" TargetMode="External"/><Relationship Id="rId20470" Type="http://schemas.openxmlformats.org/officeDocument/2006/relationships/hyperlink" Target="http://csr.bu.edu/ftp/asl/asllvd/demos/verify_start_end_handshape_annotations//test_auto_move//signs_mov_separ_signers/Liz_4207.mov" TargetMode="External"/><Relationship Id="rId20471" Type="http://schemas.openxmlformats.org/officeDocument/2006/relationships/hyperlink" Target="http://secrets.rutgers.edu:8080/data/asl-ftp/asllvd/demos/verify_start_end_handshape_annotations//test_auto_move//signs_mov/4207.mov" TargetMode="External"/><Relationship Id="rId20472" Type="http://schemas.openxmlformats.org/officeDocument/2006/relationships/hyperlink" Target="http://secrets.rutgers.edu:8080/data/asl-ftp/asllvd/demos/verify_start_end_handshape_annotations//test_auto_move//signs_mov_separ_signers/Liz_4207.mov" TargetMode="External"/><Relationship Id="rId20473" Type="http://schemas.openxmlformats.org/officeDocument/2006/relationships/hyperlink" Target="http://csr.bu.edu/ftp/asl/asllvd/demos/verify_start_end_handshape_annotations//test_auto_move//signs_mov_separ_signers/Brady_4207.mov" TargetMode="External"/><Relationship Id="rId20474" Type="http://schemas.openxmlformats.org/officeDocument/2006/relationships/hyperlink" Target="http://secrets.rutgers.edu:8080/data/asl-ftp/asllvd/demos/verify_start_end_handshape_annotations//test_auto_move//signs_mov_separ_signers/Brady_4207.mov" TargetMode="External"/><Relationship Id="rId20475" Type="http://schemas.openxmlformats.org/officeDocument/2006/relationships/hyperlink" Target="http://csr.bu.edu/ftp/asl/asllvd/demos/verify_start_end_handshape_annotations//test_auto_move//signs_mov/4208.mov" TargetMode="External"/><Relationship Id="rId20476" Type="http://schemas.openxmlformats.org/officeDocument/2006/relationships/hyperlink" Target="http://csr.bu.edu/ftp/asl/asllvd/demos/verify_start_end_handshape_annotations//test_auto_move//signs_mov_separ_signers/Liz_4208.mov" TargetMode="External"/><Relationship Id="rId20477" Type="http://schemas.openxmlformats.org/officeDocument/2006/relationships/hyperlink" Target="http://secrets.rutgers.edu:8080/data/asl-ftp/asllvd/demos/verify_start_end_handshape_annotations//test_auto_move//signs_mov/4208.mov" TargetMode="External"/><Relationship Id="rId20478" Type="http://schemas.openxmlformats.org/officeDocument/2006/relationships/hyperlink" Target="http://secrets.rutgers.edu:8080/data/asl-ftp/asllvd/demos/verify_start_end_handshape_annotations//test_auto_move//signs_mov_separ_signers/Liz_4208.mov" TargetMode="External"/><Relationship Id="rId20479" Type="http://schemas.openxmlformats.org/officeDocument/2006/relationships/hyperlink" Target="http://csr.bu.edu/ftp/asl/asllvd/demos/verify_start_end_handshape_annotations//test_auto_move//signs_mov_separ_signers/Brady_4208.mov" TargetMode="External"/><Relationship Id="rId20480" Type="http://schemas.openxmlformats.org/officeDocument/2006/relationships/hyperlink" Target="http://secrets.rutgers.edu:8080/data/asl-ftp/asllvd/demos/verify_start_end_handshape_annotations//test_auto_move//signs_mov_separ_signers/Brady_4208.mov" TargetMode="External"/><Relationship Id="rId20481" Type="http://schemas.openxmlformats.org/officeDocument/2006/relationships/hyperlink" Target="http://csr.bu.edu/ftp/asl/asllvd/demos/verify_start_end_handshape_annotations//test_auto_move//signs_mov/4210.mov" TargetMode="External"/><Relationship Id="rId20482" Type="http://schemas.openxmlformats.org/officeDocument/2006/relationships/hyperlink" Target="http://csr.bu.edu/ftp/asl/asllvd/demos/verify_start_end_handshape_annotations//test_auto_move//signs_mov_separ_signers/Liz_4210.mov" TargetMode="External"/><Relationship Id="rId20483" Type="http://schemas.openxmlformats.org/officeDocument/2006/relationships/hyperlink" Target="http://secrets.rutgers.edu:8080/data/asl-ftp/asllvd/demos/verify_start_end_handshape_annotations//test_auto_move//signs_mov/4210.mov" TargetMode="External"/><Relationship Id="rId20484" Type="http://schemas.openxmlformats.org/officeDocument/2006/relationships/hyperlink" Target="http://secrets.rutgers.edu:8080/data/asl-ftp/asllvd/demos/verify_start_end_handshape_annotations//test_auto_move//signs_mov_separ_signers/Liz_4210.mov" TargetMode="External"/><Relationship Id="rId20485" Type="http://schemas.openxmlformats.org/officeDocument/2006/relationships/hyperlink" Target="http://csr.bu.edu/ftp/asl/asllvd/demos/verify_start_end_handshape_annotations//test_auto_move//signs_mov/4768.mov" TargetMode="External"/><Relationship Id="rId20486" Type="http://schemas.openxmlformats.org/officeDocument/2006/relationships/hyperlink" Target="http://csr.bu.edu/ftp/asl/asllvd/demos/verify_start_end_handshape_annotations//test_auto_move//signs_mov_separ_signers/Brady_4768.mov" TargetMode="External"/><Relationship Id="rId20487" Type="http://schemas.openxmlformats.org/officeDocument/2006/relationships/hyperlink" Target="http://secrets.rutgers.edu:8080/data/asl-ftp/asllvd/demos/verify_start_end_handshape_annotations//test_auto_move//signs_mov/4768.mov" TargetMode="External"/><Relationship Id="rId20488" Type="http://schemas.openxmlformats.org/officeDocument/2006/relationships/hyperlink" Target="http://secrets.rutgers.edu:8080/data/asl-ftp/asllvd/demos/verify_start_end_handshape_annotations//test_auto_move//signs_mov_separ_signers/Brady_4768.mov" TargetMode="External"/><Relationship Id="rId20489" Type="http://schemas.openxmlformats.org/officeDocument/2006/relationships/hyperlink" Target="http://csr.bu.edu/ftp/asl/asllvd/demos/verify_start_end_handshape_annotations//test_auto_move//signs_mov/4211.mov" TargetMode="External"/><Relationship Id="rId20490" Type="http://schemas.openxmlformats.org/officeDocument/2006/relationships/hyperlink" Target="http://csr.bu.edu/ftp/asl/asllvd/demos/verify_start_end_handshape_annotations//test_auto_move//signs_mov_separ_signers/Liz_4211.mov" TargetMode="External"/><Relationship Id="rId20491" Type="http://schemas.openxmlformats.org/officeDocument/2006/relationships/hyperlink" Target="http://secrets.rutgers.edu:8080/data/asl-ftp/asllvd/demos/verify_start_end_handshape_annotations//test_auto_move//signs_mov/4211.mov" TargetMode="External"/><Relationship Id="rId20492" Type="http://schemas.openxmlformats.org/officeDocument/2006/relationships/hyperlink" Target="http://secrets.rutgers.edu:8080/data/asl-ftp/asllvd/demos/verify_start_end_handshape_annotations//test_auto_move//signs_mov_separ_signers/Liz_4211.mov" TargetMode="External"/><Relationship Id="rId20493" Type="http://schemas.openxmlformats.org/officeDocument/2006/relationships/hyperlink" Target="http://csr.bu.edu/ftp/asl/asllvd/demos/verify_start_end_handshape_annotations//test_auto_move//signs_mov_separ_signers/Brady_4211.mov" TargetMode="External"/><Relationship Id="rId20494" Type="http://schemas.openxmlformats.org/officeDocument/2006/relationships/hyperlink" Target="http://secrets.rutgers.edu:8080/data/asl-ftp/asllvd/demos/verify_start_end_handshape_annotations//test_auto_move//signs_mov_separ_signers/Brady_4211.mov" TargetMode="External"/><Relationship Id="rId20495" Type="http://schemas.openxmlformats.org/officeDocument/2006/relationships/hyperlink" Target="http://csr.bu.edu/ftp/asl/asllvd/demos/verify_start_end_handshape_annotations//test_auto_move//signs_mov_separ_signers/Liz_15722.mov" TargetMode="External"/><Relationship Id="rId20496" Type="http://schemas.openxmlformats.org/officeDocument/2006/relationships/hyperlink" Target="http://secrets.rutgers.edu:8080/data/asl-ftp/asllvd/demos/verify_start_end_handshape_annotations//test_auto_move//signs_mov_separ_signers/Liz_15722.mov" TargetMode="External"/><Relationship Id="rId20497" Type="http://schemas.openxmlformats.org/officeDocument/2006/relationships/hyperlink" Target="http://csr.bu.edu/ftp/asl/asllvd/demos/verify_start_end_handshape_annotations//test_auto_move//signs_mov/15722.mov" TargetMode="External"/><Relationship Id="rId20498" Type="http://schemas.openxmlformats.org/officeDocument/2006/relationships/hyperlink" Target="http://csr.bu.edu/ftp/asl/asllvd/demos/verify_start_end_handshape_annotations//test_auto_move//signs_mov_separ_signers/Tyler_15722.mov" TargetMode="External"/><Relationship Id="rId20499" Type="http://schemas.openxmlformats.org/officeDocument/2006/relationships/hyperlink" Target="http://secrets.rutgers.edu:8080/data/asl-ftp/asllvd/demos/verify_start_end_handshape_annotations//test_auto_move//signs_mov/15722.mov" TargetMode="External"/><Relationship Id="rId20500" Type="http://schemas.openxmlformats.org/officeDocument/2006/relationships/hyperlink" Target="http://secrets.rutgers.edu:8080/data/asl-ftp/asllvd/demos/verify_start_end_handshape_annotations//test_auto_move//signs_mov_separ_signers/Tyler_15722.mov" TargetMode="External"/><Relationship Id="rId20501" Type="http://schemas.openxmlformats.org/officeDocument/2006/relationships/hyperlink" Target="http://csr.bu.edu/ftp/asl/asllvd/demos/verify_start_end_handshape_annotations//test_auto_move//signs_mov_separ_signers/Naomi_15722.mov" TargetMode="External"/><Relationship Id="rId20502" Type="http://schemas.openxmlformats.org/officeDocument/2006/relationships/hyperlink" Target="http://secrets.rutgers.edu:8080/data/asl-ftp/asllvd/demos/verify_start_end_handshape_annotations//test_auto_move//signs_mov_separ_signers/Naomi_15722.mov" TargetMode="External"/><Relationship Id="rId20503" Type="http://schemas.openxmlformats.org/officeDocument/2006/relationships/hyperlink" Target="http://csr.bu.edu/ftp/asl/asllvd/demos/verify_start_end_handshape_annotations//test_auto_move//signs_mov_separ_signers/Brady_15722.mov" TargetMode="External"/><Relationship Id="rId20504" Type="http://schemas.openxmlformats.org/officeDocument/2006/relationships/hyperlink" Target="http://secrets.rutgers.edu:8080/data/asl-ftp/asllvd/demos/verify_start_end_handshape_annotations//test_auto_move//signs_mov_separ_signers/Brady_15722.mov" TargetMode="External"/><Relationship Id="rId20505" Type="http://schemas.openxmlformats.org/officeDocument/2006/relationships/hyperlink" Target="http://csr.bu.edu/ftp/asl/asllvd/demos/verify_start_end_handshape_annotations//test_auto_move//signs_mov/4212.mov" TargetMode="External"/><Relationship Id="rId20506" Type="http://schemas.openxmlformats.org/officeDocument/2006/relationships/hyperlink" Target="http://csr.bu.edu/ftp/asl/asllvd/demos/verify_start_end_handshape_annotations//test_auto_move//signs_mov_separ_signers/Liz_4212.mov" TargetMode="External"/><Relationship Id="rId20507" Type="http://schemas.openxmlformats.org/officeDocument/2006/relationships/hyperlink" Target="http://secrets.rutgers.edu:8080/data/asl-ftp/asllvd/demos/verify_start_end_handshape_annotations//test_auto_move//signs_mov/4212.mov" TargetMode="External"/><Relationship Id="rId20508" Type="http://schemas.openxmlformats.org/officeDocument/2006/relationships/hyperlink" Target="http://secrets.rutgers.edu:8080/data/asl-ftp/asllvd/demos/verify_start_end_handshape_annotations//test_auto_move//signs_mov_separ_signers/Liz_4212.mov" TargetMode="External"/><Relationship Id="rId20509" Type="http://schemas.openxmlformats.org/officeDocument/2006/relationships/hyperlink" Target="http://csr.bu.edu/ftp/asl/asllvd/demos/verify_start_end_handshape_annotations//test_auto_move//signs_mov_separ_signers/Brady_4212.mov" TargetMode="External"/><Relationship Id="rId20510" Type="http://schemas.openxmlformats.org/officeDocument/2006/relationships/hyperlink" Target="http://secrets.rutgers.edu:8080/data/asl-ftp/asllvd/demos/verify_start_end_handshape_annotations//test_auto_move//signs_mov_separ_signers/Brady_4212.mov" TargetMode="External"/><Relationship Id="rId20511" Type="http://schemas.openxmlformats.org/officeDocument/2006/relationships/hyperlink" Target="http://csr.bu.edu/ftp/asl/asllvd/demos/verify_start_end_handshape_annotations//test_auto_move//signs_mov/4216.mov" TargetMode="External"/><Relationship Id="rId20512" Type="http://schemas.openxmlformats.org/officeDocument/2006/relationships/hyperlink" Target="http://csr.bu.edu/ftp/asl/asllvd/demos/verify_start_end_handshape_annotations//test_auto_move//signs_mov_separ_signers/Liz_4216.mov" TargetMode="External"/><Relationship Id="rId20513" Type="http://schemas.openxmlformats.org/officeDocument/2006/relationships/hyperlink" Target="http://secrets.rutgers.edu:8080/data/asl-ftp/asllvd/demos/verify_start_end_handshape_annotations//test_auto_move//signs_mov/4216.mov" TargetMode="External"/><Relationship Id="rId20514" Type="http://schemas.openxmlformats.org/officeDocument/2006/relationships/hyperlink" Target="http://secrets.rutgers.edu:8080/data/asl-ftp/asllvd/demos/verify_start_end_handshape_annotations//test_auto_move//signs_mov_separ_signers/Liz_4216.mov" TargetMode="External"/><Relationship Id="rId20515" Type="http://schemas.openxmlformats.org/officeDocument/2006/relationships/hyperlink" Target="http://csr.bu.edu/ftp/asl/asllvd/demos/verify_start_end_handshape_annotations//test_auto_move//signs_mov_separ_signers/Brady_4216.mov" TargetMode="External"/><Relationship Id="rId20516" Type="http://schemas.openxmlformats.org/officeDocument/2006/relationships/hyperlink" Target="http://secrets.rutgers.edu:8080/data/asl-ftp/asllvd/demos/verify_start_end_handshape_annotations//test_auto_move//signs_mov_separ_signers/Brady_4216.mov" TargetMode="External"/><Relationship Id="rId20517" Type="http://schemas.openxmlformats.org/officeDocument/2006/relationships/hyperlink" Target="http://csr.bu.edu/ftp/asl/asllvd/demos/verify_start_end_handshape_annotations//test_auto_move//signs_mov/4217.mov" TargetMode="External"/><Relationship Id="rId20518" Type="http://schemas.openxmlformats.org/officeDocument/2006/relationships/hyperlink" Target="http://csr.bu.edu/ftp/asl/asllvd/demos/verify_start_end_handshape_annotations//test_auto_move//signs_mov_separ_signers/Liz_4217.mov" TargetMode="External"/><Relationship Id="rId20519" Type="http://schemas.openxmlformats.org/officeDocument/2006/relationships/hyperlink" Target="http://secrets.rutgers.edu:8080/data/asl-ftp/asllvd/demos/verify_start_end_handshape_annotations//test_auto_move//signs_mov/4217.mov" TargetMode="External"/><Relationship Id="rId20520" Type="http://schemas.openxmlformats.org/officeDocument/2006/relationships/hyperlink" Target="http://secrets.rutgers.edu:8080/data/asl-ftp/asllvd/demos/verify_start_end_handshape_annotations//test_auto_move//signs_mov_separ_signers/Liz_4217.mov" TargetMode="External"/><Relationship Id="rId20521" Type="http://schemas.openxmlformats.org/officeDocument/2006/relationships/hyperlink" Target="http://csr.bu.edu/ftp/asl/asllvd/demos/verify_start_end_handshape_annotations//test_auto_move//signs_mov_separ_signers/Brady_4217.mov" TargetMode="External"/><Relationship Id="rId20522" Type="http://schemas.openxmlformats.org/officeDocument/2006/relationships/hyperlink" Target="http://secrets.rutgers.edu:8080/data/asl-ftp/asllvd/demos/verify_start_end_handshape_annotations//test_auto_move//signs_mov_separ_signers/Brady_4217.mov" TargetMode="External"/><Relationship Id="rId20523" Type="http://schemas.openxmlformats.org/officeDocument/2006/relationships/hyperlink" Target="http://csr.bu.edu/ftp/asl/asllvd/demos/verify_start_end_handshape_annotations//test_auto_move//signs_mov_separ_signers/Liz_4219.mov" TargetMode="External"/><Relationship Id="rId20524" Type="http://schemas.openxmlformats.org/officeDocument/2006/relationships/hyperlink" Target="http://secrets.rutgers.edu:8080/data/asl-ftp/asllvd/demos/verify_start_end_handshape_annotations//test_auto_move//signs_mov_separ_signers/Liz_4219.mov" TargetMode="External"/><Relationship Id="rId20525" Type="http://schemas.openxmlformats.org/officeDocument/2006/relationships/hyperlink" Target="http://csr.bu.edu/ftp/asl/asllvd/demos/verify_start_end_handshape_annotations//test_auto_move//signs_mov/4219_16230_merged.mov" TargetMode="External"/><Relationship Id="rId20526" Type="http://schemas.openxmlformats.org/officeDocument/2006/relationships/hyperlink" Target="http://csr.bu.edu/ftp/asl/asllvd/demos/verify_start_end_handshape_annotations//test_auto_move//signs_mov_separ_signers/Liz_16230.mov" TargetMode="External"/><Relationship Id="rId20527" Type="http://schemas.openxmlformats.org/officeDocument/2006/relationships/hyperlink" Target="http://secrets.rutgers.edu:8080/data/asl-ftp/asllvd/demos/verify_start_end_handshape_annotations//test_auto_move//signs_mov/4219_16230_merged.mov" TargetMode="External"/><Relationship Id="rId20528" Type="http://schemas.openxmlformats.org/officeDocument/2006/relationships/hyperlink" Target="http://secrets.rutgers.edu:8080/data/asl-ftp/asllvd/demos/verify_start_end_handshape_annotations//test_auto_move//signs_mov_separ_signers/Liz_16230.mov" TargetMode="External"/><Relationship Id="rId20529" Type="http://schemas.openxmlformats.org/officeDocument/2006/relationships/hyperlink" Target="http://csr.bu.edu/ftp/asl/asllvd/demos/verify_start_end_handshape_annotations//test_auto_move//signs_mov_separ_signers/Brady_4219.mov" TargetMode="External"/><Relationship Id="rId20530" Type="http://schemas.openxmlformats.org/officeDocument/2006/relationships/hyperlink" Target="http://secrets.rutgers.edu:8080/data/asl-ftp/asllvd/demos/verify_start_end_handshape_annotations//test_auto_move//signs_mov_separ_signers/Brady_4219.mov" TargetMode="External"/><Relationship Id="rId20531" Type="http://schemas.openxmlformats.org/officeDocument/2006/relationships/hyperlink" Target="http://csr.bu.edu/ftp/asl/asllvd/demos/verify_start_end_handshape_annotations//test_auto_move//signs_mov_separ_signers/Liz_4225.mov" TargetMode="External"/><Relationship Id="rId20532" Type="http://schemas.openxmlformats.org/officeDocument/2006/relationships/hyperlink" Target="http://secrets.rutgers.edu:8080/data/asl-ftp/asllvd/demos/verify_start_end_handshape_annotations//test_auto_move//signs_mov_separ_signers/Liz_4225.mov" TargetMode="External"/><Relationship Id="rId20533" Type="http://schemas.openxmlformats.org/officeDocument/2006/relationships/hyperlink" Target="http://csr.bu.edu/ftp/asl/asllvd/demos/verify_start_end_handshape_annotations//test_auto_move//signs_mov/4225_15600_merged.mov" TargetMode="External"/><Relationship Id="rId20534" Type="http://schemas.openxmlformats.org/officeDocument/2006/relationships/hyperlink" Target="http://csr.bu.edu/ftp/asl/asllvd/demos/verify_start_end_handshape_annotations//test_auto_move//signs_mov_separ_signers/Liz_15600.mov" TargetMode="External"/><Relationship Id="rId20535" Type="http://schemas.openxmlformats.org/officeDocument/2006/relationships/hyperlink" Target="http://secrets.rutgers.edu:8080/data/asl-ftp/asllvd/demos/verify_start_end_handshape_annotations//test_auto_move//signs_mov/4225_15600_merged.mov" TargetMode="External"/><Relationship Id="rId20536" Type="http://schemas.openxmlformats.org/officeDocument/2006/relationships/hyperlink" Target="http://secrets.rutgers.edu:8080/data/asl-ftp/asllvd/demos/verify_start_end_handshape_annotations//test_auto_move//signs_mov_separ_signers/Liz_15600.mov" TargetMode="External"/><Relationship Id="rId20537" Type="http://schemas.openxmlformats.org/officeDocument/2006/relationships/hyperlink" Target="http://csr.bu.edu/ftp/asl/asllvd/demos/verify_start_end_handshape_annotations//test_auto_move//signs_mov_separ_signers/Brady_4225.mov" TargetMode="External"/><Relationship Id="rId20538" Type="http://schemas.openxmlformats.org/officeDocument/2006/relationships/hyperlink" Target="http://secrets.rutgers.edu:8080/data/asl-ftp/asllvd/demos/verify_start_end_handshape_annotations//test_auto_move//signs_mov_separ_signers/Brady_4225.mov" TargetMode="External"/><Relationship Id="rId20539" Type="http://schemas.openxmlformats.org/officeDocument/2006/relationships/hyperlink" Target="http://csr.bu.edu/ftp/asl/asllvd/demos/verify_start_end_handshape_annotations//test_auto_move//signs_mov_separ_signers/Brady_15600.mov" TargetMode="External"/><Relationship Id="rId20540" Type="http://schemas.openxmlformats.org/officeDocument/2006/relationships/hyperlink" Target="http://secrets.rutgers.edu:8080/data/asl-ftp/asllvd/demos/verify_start_end_handshape_annotations//test_auto_move//signs_mov_separ_signers/Brady_15600.mov" TargetMode="External"/><Relationship Id="rId20541" Type="http://schemas.openxmlformats.org/officeDocument/2006/relationships/hyperlink" Target="http://csr.bu.edu/ftp/asl/asllvd/demos/verify_start_end_handshape_annotations//test_auto_move//signs_mov/4231.mov" TargetMode="External"/><Relationship Id="rId20542" Type="http://schemas.openxmlformats.org/officeDocument/2006/relationships/hyperlink" Target="http://csr.bu.edu/ftp/asl/asllvd/demos/verify_start_end_handshape_annotations//test_auto_move//signs_mov_separ_signers/Liz_4231.mov" TargetMode="External"/><Relationship Id="rId20543" Type="http://schemas.openxmlformats.org/officeDocument/2006/relationships/hyperlink" Target="http://secrets.rutgers.edu:8080/data/asl-ftp/asllvd/demos/verify_start_end_handshape_annotations//test_auto_move//signs_mov/4231.mov" TargetMode="External"/><Relationship Id="rId20544" Type="http://schemas.openxmlformats.org/officeDocument/2006/relationships/hyperlink" Target="http://secrets.rutgers.edu:8080/data/asl-ftp/asllvd/demos/verify_start_end_handshape_annotations//test_auto_move//signs_mov_separ_signers/Liz_4231.mov" TargetMode="External"/><Relationship Id="rId20545" Type="http://schemas.openxmlformats.org/officeDocument/2006/relationships/hyperlink" Target="http://csr.bu.edu/ftp/asl/asllvd/demos/verify_start_end_handshape_annotations//test_auto_move//signs_mov_separ_signers/Brady_4231.mov" TargetMode="External"/><Relationship Id="rId20546" Type="http://schemas.openxmlformats.org/officeDocument/2006/relationships/hyperlink" Target="http://secrets.rutgers.edu:8080/data/asl-ftp/asllvd/demos/verify_start_end_handshape_annotations//test_auto_move//signs_mov_separ_signers/Brady_4231.mov" TargetMode="External"/><Relationship Id="rId20547" Type="http://schemas.openxmlformats.org/officeDocument/2006/relationships/hyperlink" Target="http://csr.bu.edu/ftp/asl/asllvd/demos/verify_start_end_handshape_annotations//test_auto_move//signs_mov/5729.mov" TargetMode="External"/><Relationship Id="rId20548" Type="http://schemas.openxmlformats.org/officeDocument/2006/relationships/hyperlink" Target="http://csr.bu.edu/ftp/asl/asllvd/demos/verify_start_end_handshape_annotations//test_auto_move//signs_mov_separ_signers/Liz_5729.mov" TargetMode="External"/><Relationship Id="rId20549" Type="http://schemas.openxmlformats.org/officeDocument/2006/relationships/hyperlink" Target="http://secrets.rutgers.edu:8080/data/asl-ftp/asllvd/demos/verify_start_end_handshape_annotations//test_auto_move//signs_mov/5729.mov" TargetMode="External"/><Relationship Id="rId20550" Type="http://schemas.openxmlformats.org/officeDocument/2006/relationships/hyperlink" Target="http://secrets.rutgers.edu:8080/data/asl-ftp/asllvd/demos/verify_start_end_handshape_annotations//test_auto_move//signs_mov_separ_signers/Liz_5729.mov" TargetMode="External"/><Relationship Id="rId20551" Type="http://schemas.openxmlformats.org/officeDocument/2006/relationships/hyperlink" Target="http://csr.bu.edu/ftp/asl/asllvd/demos/verify_start_end_handshape_annotations//test_auto_move//signs_mov/15717.mov" TargetMode="External"/><Relationship Id="rId20552" Type="http://schemas.openxmlformats.org/officeDocument/2006/relationships/hyperlink" Target="http://csr.bu.edu/ftp/asl/asllvd/demos/verify_start_end_handshape_annotations//test_auto_move//signs_mov_separ_signers/Liz_15717.mov" TargetMode="External"/><Relationship Id="rId20553" Type="http://schemas.openxmlformats.org/officeDocument/2006/relationships/hyperlink" Target="http://secrets.rutgers.edu:8080/data/asl-ftp/asllvd/demos/verify_start_end_handshape_annotations//test_auto_move//signs_mov/15717.mov" TargetMode="External"/><Relationship Id="rId20554" Type="http://schemas.openxmlformats.org/officeDocument/2006/relationships/hyperlink" Target="http://secrets.rutgers.edu:8080/data/asl-ftp/asllvd/demos/verify_start_end_handshape_annotations//test_auto_move//signs_mov_separ_signers/Liz_15717.mov" TargetMode="External"/><Relationship Id="rId20555" Type="http://schemas.openxmlformats.org/officeDocument/2006/relationships/hyperlink" Target="http://csr.bu.edu/ftp/asl/asllvd/demos/verify_start_end_handshape_annotations//test_auto_move//signs_mov/16211.mov" TargetMode="External"/><Relationship Id="rId20556" Type="http://schemas.openxmlformats.org/officeDocument/2006/relationships/hyperlink" Target="http://csr.bu.edu/ftp/asl/asllvd/demos/verify_start_end_handshape_annotations//test_auto_move//signs_mov_separ_signers/Naomi_16211.mov" TargetMode="External"/><Relationship Id="rId20557" Type="http://schemas.openxmlformats.org/officeDocument/2006/relationships/hyperlink" Target="http://secrets.rutgers.edu:8080/data/asl-ftp/asllvd/demos/verify_start_end_handshape_annotations//test_auto_move//signs_mov/16211.mov" TargetMode="External"/><Relationship Id="rId20558" Type="http://schemas.openxmlformats.org/officeDocument/2006/relationships/hyperlink" Target="http://secrets.rutgers.edu:8080/data/asl-ftp/asllvd/demos/verify_start_end_handshape_annotations//test_auto_move//signs_mov_separ_signers/Naomi_16211.mov" TargetMode="External"/><Relationship Id="rId20559" Type="http://schemas.openxmlformats.org/officeDocument/2006/relationships/hyperlink" Target="http://csr.bu.edu/ftp/asl/asllvd/demos/verify_start_end_handshape_annotations//test_auto_move//signs_mov/3978_4239_merged.mov" TargetMode="External"/><Relationship Id="rId20560" Type="http://schemas.openxmlformats.org/officeDocument/2006/relationships/hyperlink" Target="http://csr.bu.edu/ftp/asl/asllvd/demos/verify_start_end_handshape_annotations//test_auto_move//signs_mov_separ_signers/Liz_4239.mov" TargetMode="External"/><Relationship Id="rId20561" Type="http://schemas.openxmlformats.org/officeDocument/2006/relationships/hyperlink" Target="http://secrets.rutgers.edu:8080/data/asl-ftp/asllvd/demos/verify_start_end_handshape_annotations//test_auto_move//signs_mov/3978_4239_merged.mov" TargetMode="External"/><Relationship Id="rId20562" Type="http://schemas.openxmlformats.org/officeDocument/2006/relationships/hyperlink" Target="http://secrets.rutgers.edu:8080/data/asl-ftp/asllvd/demos/verify_start_end_handshape_annotations//test_auto_move//signs_mov_separ_signers/Liz_4239.mov" TargetMode="External"/><Relationship Id="rId20563" Type="http://schemas.openxmlformats.org/officeDocument/2006/relationships/hyperlink" Target="http://csr.bu.edu/ftp/asl/asllvd/demos/verify_start_end_handshape_annotations//test_auto_move//signs_mov_separ_signers/Liz_3978.mov" TargetMode="External"/><Relationship Id="rId20564" Type="http://schemas.openxmlformats.org/officeDocument/2006/relationships/hyperlink" Target="http://secrets.rutgers.edu:8080/data/asl-ftp/asllvd/demos/verify_start_end_handshape_annotations//test_auto_move//signs_mov_separ_signers/Liz_3978.mov" TargetMode="External"/><Relationship Id="rId20565" Type="http://schemas.openxmlformats.org/officeDocument/2006/relationships/hyperlink" Target="http://csr.bu.edu/ftp/asl/asllvd/demos/verify_start_end_handshape_annotations//test_auto_move//signs_mov/15068.mov" TargetMode="External"/><Relationship Id="rId20566" Type="http://schemas.openxmlformats.org/officeDocument/2006/relationships/hyperlink" Target="http://csr.bu.edu/ftp/asl/asllvd/demos/verify_start_end_handshape_annotations//test_auto_move//signs_mov_separ_signers/Brady_15068.mov" TargetMode="External"/><Relationship Id="rId20567" Type="http://schemas.openxmlformats.org/officeDocument/2006/relationships/hyperlink" Target="http://secrets.rutgers.edu:8080/data/asl-ftp/asllvd/demos/verify_start_end_handshape_annotations//test_auto_move//signs_mov/15068.mov" TargetMode="External"/><Relationship Id="rId20568" Type="http://schemas.openxmlformats.org/officeDocument/2006/relationships/hyperlink" Target="http://secrets.rutgers.edu:8080/data/asl-ftp/asllvd/demos/verify_start_end_handshape_annotations//test_auto_move//signs_mov_separ_signers/Brady_15068.mov" TargetMode="External"/><Relationship Id="rId20569" Type="http://schemas.openxmlformats.org/officeDocument/2006/relationships/hyperlink" Target="http://csr.bu.edu/ftp/asl/asllvd/demos/verify_start_end_handshape_annotations//test_auto_move//signs_mov/4241.mov" TargetMode="External"/><Relationship Id="rId20570" Type="http://schemas.openxmlformats.org/officeDocument/2006/relationships/hyperlink" Target="http://csr.bu.edu/ftp/asl/asllvd/demos/verify_start_end_handshape_annotations//test_auto_move//signs_mov_separ_signers/Liz_4241.mov" TargetMode="External"/><Relationship Id="rId20571" Type="http://schemas.openxmlformats.org/officeDocument/2006/relationships/hyperlink" Target="http://secrets.rutgers.edu:8080/data/asl-ftp/asllvd/demos/verify_start_end_handshape_annotations//test_auto_move//signs_mov/4241.mov" TargetMode="External"/><Relationship Id="rId20572" Type="http://schemas.openxmlformats.org/officeDocument/2006/relationships/hyperlink" Target="http://secrets.rutgers.edu:8080/data/asl-ftp/asllvd/demos/verify_start_end_handshape_annotations//test_auto_move//signs_mov_separ_signers/Liz_4241.mov" TargetMode="External"/><Relationship Id="rId20573" Type="http://schemas.openxmlformats.org/officeDocument/2006/relationships/hyperlink" Target="http://csr.bu.edu/ftp/asl/asllvd/demos/verify_start_end_handshape_annotations//test_auto_move//signs_mov/4242.mov" TargetMode="External"/><Relationship Id="rId20574" Type="http://schemas.openxmlformats.org/officeDocument/2006/relationships/hyperlink" Target="http://csr.bu.edu/ftp/asl/asllvd/demos/verify_start_end_handshape_annotations//test_auto_move//signs_mov_separ_signers/Liz_4242.mov" TargetMode="External"/><Relationship Id="rId20575" Type="http://schemas.openxmlformats.org/officeDocument/2006/relationships/hyperlink" Target="http://secrets.rutgers.edu:8080/data/asl-ftp/asllvd/demos/verify_start_end_handshape_annotations//test_auto_move//signs_mov/4242.mov" TargetMode="External"/><Relationship Id="rId20576" Type="http://schemas.openxmlformats.org/officeDocument/2006/relationships/hyperlink" Target="http://secrets.rutgers.edu:8080/data/asl-ftp/asllvd/demos/verify_start_end_handshape_annotations//test_auto_move//signs_mov_separ_signers/Liz_4242.mov" TargetMode="External"/><Relationship Id="rId20577" Type="http://schemas.openxmlformats.org/officeDocument/2006/relationships/hyperlink" Target="http://csr.bu.edu/ftp/asl/asllvd/demos/verify_start_end_handshape_annotations//test_auto_move//signs_mov_separ_signers/Brady_4242.mov" TargetMode="External"/><Relationship Id="rId20578" Type="http://schemas.openxmlformats.org/officeDocument/2006/relationships/hyperlink" Target="http://secrets.rutgers.edu:8080/data/asl-ftp/asllvd/demos/verify_start_end_handshape_annotations//test_auto_move//signs_mov_separ_signers/Brady_4242.mov" TargetMode="External"/><Relationship Id="rId20579" Type="http://schemas.openxmlformats.org/officeDocument/2006/relationships/hyperlink" Target="http://csr.bu.edu/ftp/asl/asllvd/demos/verify_start_end_handshape_annotations//test_auto_move//signs_mov/5738.mov" TargetMode="External"/><Relationship Id="rId20580" Type="http://schemas.openxmlformats.org/officeDocument/2006/relationships/hyperlink" Target="http://csr.bu.edu/ftp/asl/asllvd/demos/verify_start_end_handshape_annotations//test_auto_move//signs_mov_separ_signers/Liz_5738.mov" TargetMode="External"/><Relationship Id="rId20581" Type="http://schemas.openxmlformats.org/officeDocument/2006/relationships/hyperlink" Target="http://secrets.rutgers.edu:8080/data/asl-ftp/asllvd/demos/verify_start_end_handshape_annotations//test_auto_move//signs_mov/5738.mov" TargetMode="External"/><Relationship Id="rId20582" Type="http://schemas.openxmlformats.org/officeDocument/2006/relationships/hyperlink" Target="http://secrets.rutgers.edu:8080/data/asl-ftp/asllvd/demos/verify_start_end_handshape_annotations//test_auto_move//signs_mov_separ_signers/Liz_5738.mov" TargetMode="External"/><Relationship Id="rId20583" Type="http://schemas.openxmlformats.org/officeDocument/2006/relationships/hyperlink" Target="http://csr.bu.edu/ftp/asl/asllvd/demos/verify_start_end_handshape_annotations//test_auto_move//signs_mov/15112.mov" TargetMode="External"/><Relationship Id="rId20584" Type="http://schemas.openxmlformats.org/officeDocument/2006/relationships/hyperlink" Target="http://csr.bu.edu/ftp/asl/asllvd/demos/verify_start_end_handshape_annotations//test_auto_move//signs_mov_separ_signers/Brady_15112.mov" TargetMode="External"/><Relationship Id="rId20585" Type="http://schemas.openxmlformats.org/officeDocument/2006/relationships/hyperlink" Target="http://secrets.rutgers.edu:8080/data/asl-ftp/asllvd/demos/verify_start_end_handshape_annotations//test_auto_move//signs_mov/15112.mov" TargetMode="External"/><Relationship Id="rId20586" Type="http://schemas.openxmlformats.org/officeDocument/2006/relationships/hyperlink" Target="http://secrets.rutgers.edu:8080/data/asl-ftp/asllvd/demos/verify_start_end_handshape_annotations//test_auto_move//signs_mov_separ_signers/Brady_15112.mov" TargetMode="External"/><Relationship Id="rId20587" Type="http://schemas.openxmlformats.org/officeDocument/2006/relationships/hyperlink" Target="http://csr.bu.edu/ftp/asl/asllvd/demos/verify_start_end_handshape_annotations//test_auto_move//signs_mov/4244.mov" TargetMode="External"/><Relationship Id="rId20588" Type="http://schemas.openxmlformats.org/officeDocument/2006/relationships/hyperlink" Target="http://csr.bu.edu/ftp/asl/asllvd/demos/verify_start_end_handshape_annotations//test_auto_move//signs_mov_separ_signers/Liz_4244.mov" TargetMode="External"/><Relationship Id="rId20589" Type="http://schemas.openxmlformats.org/officeDocument/2006/relationships/hyperlink" Target="http://secrets.rutgers.edu:8080/data/asl-ftp/asllvd/demos/verify_start_end_handshape_annotations//test_auto_move//signs_mov/4244.mov" TargetMode="External"/><Relationship Id="rId20590" Type="http://schemas.openxmlformats.org/officeDocument/2006/relationships/hyperlink" Target="http://secrets.rutgers.edu:8080/data/asl-ftp/asllvd/demos/verify_start_end_handshape_annotations//test_auto_move//signs_mov_separ_signers/Liz_4244.mov" TargetMode="External"/><Relationship Id="rId20591" Type="http://schemas.openxmlformats.org/officeDocument/2006/relationships/hyperlink" Target="http://csr.bu.edu/ftp/asl/asllvd/demos/verify_start_end_handshape_annotations//test_auto_move//signs_mov_separ_signers/Brady_4244.mov" TargetMode="External"/><Relationship Id="rId20592" Type="http://schemas.openxmlformats.org/officeDocument/2006/relationships/hyperlink" Target="http://secrets.rutgers.edu:8080/data/asl-ftp/asllvd/demos/verify_start_end_handshape_annotations//test_auto_move//signs_mov_separ_signers/Brady_4244.mov" TargetMode="External"/><Relationship Id="rId20593" Type="http://schemas.openxmlformats.org/officeDocument/2006/relationships/hyperlink" Target="http://csr.bu.edu/ftp/asl/asllvd/demos/verify_start_end_handshape_annotations//test_auto_move//signs_mov/4248.mov" TargetMode="External"/><Relationship Id="rId20594" Type="http://schemas.openxmlformats.org/officeDocument/2006/relationships/hyperlink" Target="http://csr.bu.edu/ftp/asl/asllvd/demos/verify_start_end_handshape_annotations//test_auto_move//signs_mov_separ_signers/Liz_4248.mov" TargetMode="External"/><Relationship Id="rId20595" Type="http://schemas.openxmlformats.org/officeDocument/2006/relationships/hyperlink" Target="http://secrets.rutgers.edu:8080/data/asl-ftp/asllvd/demos/verify_start_end_handshape_annotations//test_auto_move//signs_mov/4248.mov" TargetMode="External"/><Relationship Id="rId20596" Type="http://schemas.openxmlformats.org/officeDocument/2006/relationships/hyperlink" Target="http://secrets.rutgers.edu:8080/data/asl-ftp/asllvd/demos/verify_start_end_handshape_annotations//test_auto_move//signs_mov_separ_signers/Liz_4248.mov" TargetMode="External"/><Relationship Id="rId20597" Type="http://schemas.openxmlformats.org/officeDocument/2006/relationships/hyperlink" Target="http://csr.bu.edu/ftp/asl/asllvd/demos/verify_start_end_handshape_annotations//test_auto_move//signs_mov/4249.mov" TargetMode="External"/><Relationship Id="rId20598" Type="http://schemas.openxmlformats.org/officeDocument/2006/relationships/hyperlink" Target="http://csr.bu.edu/ftp/asl/asllvd/demos/verify_start_end_handshape_annotations//test_auto_move//signs_mov_separ_signers/Liz_4249.mov" TargetMode="External"/><Relationship Id="rId20599" Type="http://schemas.openxmlformats.org/officeDocument/2006/relationships/hyperlink" Target="http://secrets.rutgers.edu:8080/data/asl-ftp/asllvd/demos/verify_start_end_handshape_annotations//test_auto_move//signs_mov/4249.mov" TargetMode="External"/><Relationship Id="rId20600" Type="http://schemas.openxmlformats.org/officeDocument/2006/relationships/hyperlink" Target="http://secrets.rutgers.edu:8080/data/asl-ftp/asllvd/demos/verify_start_end_handshape_annotations//test_auto_move//signs_mov_separ_signers/Liz_4249.mov" TargetMode="External"/><Relationship Id="rId20601" Type="http://schemas.openxmlformats.org/officeDocument/2006/relationships/hyperlink" Target="http://csr.bu.edu/ftp/asl/asllvd/demos/verify_start_end_handshape_annotations//test_auto_move//signs_mov/16430.mov" TargetMode="External"/><Relationship Id="rId20602" Type="http://schemas.openxmlformats.org/officeDocument/2006/relationships/hyperlink" Target="http://csr.bu.edu/ftp/asl/asllvd/demos/verify_start_end_handshape_annotations//test_auto_move//signs_mov_separ_signers/Brady_16430.mov" TargetMode="External"/><Relationship Id="rId20603" Type="http://schemas.openxmlformats.org/officeDocument/2006/relationships/hyperlink" Target="http://secrets.rutgers.edu:8080/data/asl-ftp/asllvd/demos/verify_start_end_handshape_annotations//test_auto_move//signs_mov/16430.mov" TargetMode="External"/><Relationship Id="rId20604" Type="http://schemas.openxmlformats.org/officeDocument/2006/relationships/hyperlink" Target="http://secrets.rutgers.edu:8080/data/asl-ftp/asllvd/demos/verify_start_end_handshape_annotations//test_auto_move//signs_mov_separ_signers/Brady_16430.mov" TargetMode="External"/><Relationship Id="rId20605" Type="http://schemas.openxmlformats.org/officeDocument/2006/relationships/hyperlink" Target="http://csr.bu.edu/ftp/asl/asllvd/demos/verify_start_end_handshape_annotations//test_auto_move//signs_mov/4250.mov" TargetMode="External"/><Relationship Id="rId20606" Type="http://schemas.openxmlformats.org/officeDocument/2006/relationships/hyperlink" Target="http://csr.bu.edu/ftp/asl/asllvd/demos/verify_start_end_handshape_annotations//test_auto_move//signs_mov_separ_signers/Lana_4250.mov" TargetMode="External"/><Relationship Id="rId20607" Type="http://schemas.openxmlformats.org/officeDocument/2006/relationships/hyperlink" Target="http://secrets.rutgers.edu:8080/data/asl-ftp/asllvd/demos/verify_start_end_handshape_annotations//test_auto_move//signs_mov/4250.mov" TargetMode="External"/><Relationship Id="rId20608" Type="http://schemas.openxmlformats.org/officeDocument/2006/relationships/hyperlink" Target="http://secrets.rutgers.edu:8080/data/asl-ftp/asllvd/demos/verify_start_end_handshape_annotations//test_auto_move//signs_mov_separ_signers/Lana_4250.mov" TargetMode="External"/><Relationship Id="rId20609" Type="http://schemas.openxmlformats.org/officeDocument/2006/relationships/hyperlink" Target="http://csr.bu.edu/ftp/asl/asllvd/demos/verify_start_end_handshape_annotations//test_auto_move//signs_mov_separ_signers/Dana_4250.mov" TargetMode="External"/><Relationship Id="rId20610" Type="http://schemas.openxmlformats.org/officeDocument/2006/relationships/hyperlink" Target="http://secrets.rutgers.edu:8080/data/asl-ftp/asllvd/demos/verify_start_end_handshape_annotations//test_auto_move//signs_mov_separ_signers/Dana_4250.mov" TargetMode="External"/><Relationship Id="rId20611" Type="http://schemas.openxmlformats.org/officeDocument/2006/relationships/hyperlink" Target="http://csr.bu.edu/ftp/asl/asllvd/demos/verify_start_end_handshape_annotations//test_auto_move//signs_mov/4252.mov" TargetMode="External"/><Relationship Id="rId20612" Type="http://schemas.openxmlformats.org/officeDocument/2006/relationships/hyperlink" Target="http://csr.bu.edu/ftp/asl/asllvd/demos/verify_start_end_handshape_annotations//test_auto_move//signs_mov_separ_signers/Liz_4252.mov" TargetMode="External"/><Relationship Id="rId20613" Type="http://schemas.openxmlformats.org/officeDocument/2006/relationships/hyperlink" Target="http://secrets.rutgers.edu:8080/data/asl-ftp/asllvd/demos/verify_start_end_handshape_annotations//test_auto_move//signs_mov/4252.mov" TargetMode="External"/><Relationship Id="rId20614" Type="http://schemas.openxmlformats.org/officeDocument/2006/relationships/hyperlink" Target="http://secrets.rutgers.edu:8080/data/asl-ftp/asllvd/demos/verify_start_end_handshape_annotations//test_auto_move//signs_mov_separ_signers/Liz_4252.mov" TargetMode="External"/><Relationship Id="rId20615" Type="http://schemas.openxmlformats.org/officeDocument/2006/relationships/hyperlink" Target="http://csr.bu.edu/ftp/asl/asllvd/demos/verify_start_end_handshape_annotations//test_auto_move//signs_mov_separ_signers/Brady_4252.mov" TargetMode="External"/><Relationship Id="rId20616" Type="http://schemas.openxmlformats.org/officeDocument/2006/relationships/hyperlink" Target="http://secrets.rutgers.edu:8080/data/asl-ftp/asllvd/demos/verify_start_end_handshape_annotations//test_auto_move//signs_mov_separ_signers/Brady_4252.mov" TargetMode="External"/><Relationship Id="rId20617" Type="http://schemas.openxmlformats.org/officeDocument/2006/relationships/hyperlink" Target="http://csr.bu.edu/ftp/asl/asllvd/demos/verify_start_end_handshape_annotations//test_auto_move//signs_mov/4254_5345_merged.mov" TargetMode="External"/><Relationship Id="rId20618" Type="http://schemas.openxmlformats.org/officeDocument/2006/relationships/hyperlink" Target="http://csr.bu.edu/ftp/asl/asllvd/demos/verify_start_end_handshape_annotations//test_auto_move//signs_mov_separ_signers/Brady_4254.mov" TargetMode="External"/><Relationship Id="rId20619" Type="http://schemas.openxmlformats.org/officeDocument/2006/relationships/hyperlink" Target="http://secrets.rutgers.edu:8080/data/asl-ftp/asllvd/demos/verify_start_end_handshape_annotations//test_auto_move//signs_mov/4254_5345_merged.mov" TargetMode="External"/><Relationship Id="rId20620" Type="http://schemas.openxmlformats.org/officeDocument/2006/relationships/hyperlink" Target="http://secrets.rutgers.edu:8080/data/asl-ftp/asllvd/demos/verify_start_end_handshape_annotations//test_auto_move//signs_mov_separ_signers/Brady_4254.mov" TargetMode="External"/><Relationship Id="rId20621" Type="http://schemas.openxmlformats.org/officeDocument/2006/relationships/hyperlink" Target="http://csr.bu.edu/ftp/asl/asllvd/demos/verify_start_end_handshape_annotations//test_auto_move//signs_mov_separ_signers/Brady_5345.mov" TargetMode="External"/><Relationship Id="rId20622" Type="http://schemas.openxmlformats.org/officeDocument/2006/relationships/hyperlink" Target="http://secrets.rutgers.edu:8080/data/asl-ftp/asllvd/demos/verify_start_end_handshape_annotations//test_auto_move//signs_mov_separ_signers/Brady_5345.mov" TargetMode="External"/><Relationship Id="rId20623" Type="http://schemas.openxmlformats.org/officeDocument/2006/relationships/hyperlink" Target="http://csr.bu.edu/ftp/asl/asllvd/demos/verify_start_end_handshape_annotations//test_auto_move//signs_mov/16431.mov" TargetMode="External"/><Relationship Id="rId20624" Type="http://schemas.openxmlformats.org/officeDocument/2006/relationships/hyperlink" Target="http://csr.bu.edu/ftp/asl/asllvd/demos/verify_start_end_handshape_annotations//test_auto_move//signs_mov_separ_signers/Liz_16431.mov" TargetMode="External"/><Relationship Id="rId20625" Type="http://schemas.openxmlformats.org/officeDocument/2006/relationships/hyperlink" Target="http://secrets.rutgers.edu:8080/data/asl-ftp/asllvd/demos/verify_start_end_handshape_annotations//test_auto_move//signs_mov/16431.mov" TargetMode="External"/><Relationship Id="rId20626" Type="http://schemas.openxmlformats.org/officeDocument/2006/relationships/hyperlink" Target="http://secrets.rutgers.edu:8080/data/asl-ftp/asllvd/demos/verify_start_end_handshape_annotations//test_auto_move//signs_mov_separ_signers/Liz_16431.mov" TargetMode="External"/><Relationship Id="rId20627" Type="http://schemas.openxmlformats.org/officeDocument/2006/relationships/hyperlink" Target="http://csr.bu.edu/ftp/asl/asllvd/demos/verify_start_end_handshape_annotations//test_auto_move//signs_mov/4255.mov" TargetMode="External"/><Relationship Id="rId20628" Type="http://schemas.openxmlformats.org/officeDocument/2006/relationships/hyperlink" Target="http://csr.bu.edu/ftp/asl/asllvd/demos/verify_start_end_handshape_annotations//test_auto_move//signs_mov_separ_signers/Liz_4255.mov" TargetMode="External"/><Relationship Id="rId20629" Type="http://schemas.openxmlformats.org/officeDocument/2006/relationships/hyperlink" Target="http://secrets.rutgers.edu:8080/data/asl-ftp/asllvd/demos/verify_start_end_handshape_annotations//test_auto_move//signs_mov/4255.mov" TargetMode="External"/><Relationship Id="rId20630" Type="http://schemas.openxmlformats.org/officeDocument/2006/relationships/hyperlink" Target="http://secrets.rutgers.edu:8080/data/asl-ftp/asllvd/demos/verify_start_end_handshape_annotations//test_auto_move//signs_mov_separ_signers/Liz_4255.mov" TargetMode="External"/><Relationship Id="rId20631" Type="http://schemas.openxmlformats.org/officeDocument/2006/relationships/hyperlink" Target="http://csr.bu.edu/ftp/asl/asllvd/demos/verify_start_end_handshape_annotations//test_auto_move//signs_mov_separ_signers/Brady_4255.mov" TargetMode="External"/><Relationship Id="rId20632" Type="http://schemas.openxmlformats.org/officeDocument/2006/relationships/hyperlink" Target="http://secrets.rutgers.edu:8080/data/asl-ftp/asllvd/demos/verify_start_end_handshape_annotations//test_auto_move//signs_mov_separ_signers/Brady_4255.mov" TargetMode="External"/><Relationship Id="rId20633" Type="http://schemas.openxmlformats.org/officeDocument/2006/relationships/hyperlink" Target="http://csr.bu.edu/ftp/asl/asllvd/demos/verify_start_end_handshape_annotations//test_auto_move//signs_mov/4257.mov" TargetMode="External"/><Relationship Id="rId20634" Type="http://schemas.openxmlformats.org/officeDocument/2006/relationships/hyperlink" Target="http://csr.bu.edu/ftp/asl/asllvd/demos/verify_start_end_handshape_annotations//test_auto_move//signs_mov_separ_signers/Liz_4257.mov" TargetMode="External"/><Relationship Id="rId20635" Type="http://schemas.openxmlformats.org/officeDocument/2006/relationships/hyperlink" Target="http://secrets.rutgers.edu:8080/data/asl-ftp/asllvd/demos/verify_start_end_handshape_annotations//test_auto_move//signs_mov/4257.mov" TargetMode="External"/><Relationship Id="rId20636" Type="http://schemas.openxmlformats.org/officeDocument/2006/relationships/hyperlink" Target="http://secrets.rutgers.edu:8080/data/asl-ftp/asllvd/demos/verify_start_end_handshape_annotations//test_auto_move//signs_mov_separ_signers/Liz_4257.mov" TargetMode="External"/><Relationship Id="rId20637" Type="http://schemas.openxmlformats.org/officeDocument/2006/relationships/hyperlink" Target="http://csr.bu.edu/ftp/asl/asllvd/demos/verify_start_end_handshape_annotations//test_auto_move//signs_mov_separ_signers/Brady_4257.mov" TargetMode="External"/><Relationship Id="rId20638" Type="http://schemas.openxmlformats.org/officeDocument/2006/relationships/hyperlink" Target="http://secrets.rutgers.edu:8080/data/asl-ftp/asllvd/demos/verify_start_end_handshape_annotations//test_auto_move//signs_mov_separ_signers/Brady_4257.mov" TargetMode="External"/><Relationship Id="rId20639" Type="http://schemas.openxmlformats.org/officeDocument/2006/relationships/hyperlink" Target="http://csr.bu.edu/ftp/asl/asllvd/demos/verify_start_end_handshape_annotations//test_auto_move//signs_mov/4258.mov" TargetMode="External"/><Relationship Id="rId20640" Type="http://schemas.openxmlformats.org/officeDocument/2006/relationships/hyperlink" Target="http://csr.bu.edu/ftp/asl/asllvd/demos/verify_start_end_handshape_annotations//test_auto_move//signs_mov_separ_signers/Liz_4258.mov" TargetMode="External"/><Relationship Id="rId20641" Type="http://schemas.openxmlformats.org/officeDocument/2006/relationships/hyperlink" Target="http://secrets.rutgers.edu:8080/data/asl-ftp/asllvd/demos/verify_start_end_handshape_annotations//test_auto_move//signs_mov/4258.mov" TargetMode="External"/><Relationship Id="rId20642" Type="http://schemas.openxmlformats.org/officeDocument/2006/relationships/hyperlink" Target="http://secrets.rutgers.edu:8080/data/asl-ftp/asllvd/demos/verify_start_end_handshape_annotations//test_auto_move//signs_mov_separ_signers/Liz_4258.mov" TargetMode="External"/><Relationship Id="rId20643" Type="http://schemas.openxmlformats.org/officeDocument/2006/relationships/hyperlink" Target="http://csr.bu.edu/ftp/asl/asllvd/demos/verify_start_end_handshape_annotations//test_auto_move//signs_mov/5707.mov" TargetMode="External"/><Relationship Id="rId20644" Type="http://schemas.openxmlformats.org/officeDocument/2006/relationships/hyperlink" Target="http://csr.bu.edu/ftp/asl/asllvd/demos/verify_start_end_handshape_annotations//test_auto_move//signs_mov_separ_signers/Brady_5707.mov" TargetMode="External"/><Relationship Id="rId20645" Type="http://schemas.openxmlformats.org/officeDocument/2006/relationships/hyperlink" Target="http://secrets.rutgers.edu:8080/data/asl-ftp/asllvd/demos/verify_start_end_handshape_annotations//test_auto_move//signs_mov/5707.mov" TargetMode="External"/><Relationship Id="rId20646" Type="http://schemas.openxmlformats.org/officeDocument/2006/relationships/hyperlink" Target="http://secrets.rutgers.edu:8080/data/asl-ftp/asllvd/demos/verify_start_end_handshape_annotations//test_auto_move//signs_mov_separ_signers/Brady_5707.mov" TargetMode="External"/><Relationship Id="rId20647" Type="http://schemas.openxmlformats.org/officeDocument/2006/relationships/hyperlink" Target="http://csr.bu.edu/ftp/asl/asllvd/demos/verify_start_end_handshape_annotations//test_auto_move//signs_mov/16558.mov" TargetMode="External"/><Relationship Id="rId20648" Type="http://schemas.openxmlformats.org/officeDocument/2006/relationships/hyperlink" Target="http://csr.bu.edu/ftp/asl/asllvd/demos/verify_start_end_handshape_annotations//test_auto_move//signs_mov_separ_signers/Liz_16558.mov" TargetMode="External"/><Relationship Id="rId20649" Type="http://schemas.openxmlformats.org/officeDocument/2006/relationships/hyperlink" Target="http://secrets.rutgers.edu:8080/data/asl-ftp/asllvd/demos/verify_start_end_handshape_annotations//test_auto_move//signs_mov/16558.mov" TargetMode="External"/><Relationship Id="rId20650" Type="http://schemas.openxmlformats.org/officeDocument/2006/relationships/hyperlink" Target="http://secrets.rutgers.edu:8080/data/asl-ftp/asllvd/demos/verify_start_end_handshape_annotations//test_auto_move//signs_mov_separ_signers/Liz_16558.mov" TargetMode="External"/><Relationship Id="rId20651" Type="http://schemas.openxmlformats.org/officeDocument/2006/relationships/hyperlink" Target="http://csr.bu.edu/ftp/asl/asllvd/demos/verify_start_end_handshape_annotations//test_auto_move//signs_mov/4265.mov" TargetMode="External"/><Relationship Id="rId20652" Type="http://schemas.openxmlformats.org/officeDocument/2006/relationships/hyperlink" Target="http://csr.bu.edu/ftp/asl/asllvd/demos/verify_start_end_handshape_annotations//test_auto_move//signs_mov_separ_signers/Liz_4265.mov" TargetMode="External"/><Relationship Id="rId20653" Type="http://schemas.openxmlformats.org/officeDocument/2006/relationships/hyperlink" Target="http://secrets.rutgers.edu:8080/data/asl-ftp/asllvd/demos/verify_start_end_handshape_annotations//test_auto_move//signs_mov/4265.mov" TargetMode="External"/><Relationship Id="rId20654" Type="http://schemas.openxmlformats.org/officeDocument/2006/relationships/hyperlink" Target="http://secrets.rutgers.edu:8080/data/asl-ftp/asllvd/demos/verify_start_end_handshape_annotations//test_auto_move//signs_mov_separ_signers/Liz_4265.mov" TargetMode="External"/><Relationship Id="rId20655" Type="http://schemas.openxmlformats.org/officeDocument/2006/relationships/hyperlink" Target="http://csr.bu.edu/ftp/asl/asllvd/demos/verify_start_end_handshape_annotations//test_auto_move//signs_mov_separ_signers/Brady_4265.mov" TargetMode="External"/><Relationship Id="rId20656" Type="http://schemas.openxmlformats.org/officeDocument/2006/relationships/hyperlink" Target="http://secrets.rutgers.edu:8080/data/asl-ftp/asllvd/demos/verify_start_end_handshape_annotations//test_auto_move//signs_mov_separ_signers/Brady_4265.mov" TargetMode="External"/><Relationship Id="rId20657" Type="http://schemas.openxmlformats.org/officeDocument/2006/relationships/hyperlink" Target="http://csr.bu.edu/ftp/asl/asllvd/demos/verify_start_end_handshape_annotations//test_auto_move//signs_mov/4266.mov" TargetMode="External"/><Relationship Id="rId20658" Type="http://schemas.openxmlformats.org/officeDocument/2006/relationships/hyperlink" Target="http://csr.bu.edu/ftp/asl/asllvd/demos/verify_start_end_handshape_annotations//test_auto_move//signs_mov_separ_signers/Liz_4266.mov" TargetMode="External"/><Relationship Id="rId20659" Type="http://schemas.openxmlformats.org/officeDocument/2006/relationships/hyperlink" Target="http://secrets.rutgers.edu:8080/data/asl-ftp/asllvd/demos/verify_start_end_handshape_annotations//test_auto_move//signs_mov/4266.mov" TargetMode="External"/><Relationship Id="rId20660" Type="http://schemas.openxmlformats.org/officeDocument/2006/relationships/hyperlink" Target="http://secrets.rutgers.edu:8080/data/asl-ftp/asllvd/demos/verify_start_end_handshape_annotations//test_auto_move//signs_mov_separ_signers/Liz_4266.mov" TargetMode="External"/><Relationship Id="rId20661" Type="http://schemas.openxmlformats.org/officeDocument/2006/relationships/hyperlink" Target="http://csr.bu.edu/ftp/asl/asllvd/demos/verify_start_end_handshape_annotations//test_auto_move//signs_mov_separ_signers/Brady_4266.mov" TargetMode="External"/><Relationship Id="rId20662" Type="http://schemas.openxmlformats.org/officeDocument/2006/relationships/hyperlink" Target="http://secrets.rutgers.edu:8080/data/asl-ftp/asllvd/demos/verify_start_end_handshape_annotations//test_auto_move//signs_mov_separ_signers/Brady_4266.mov" TargetMode="External"/><Relationship Id="rId20663" Type="http://schemas.openxmlformats.org/officeDocument/2006/relationships/hyperlink" Target="http://csr.bu.edu/ftp/asl/asllvd/demos/verify_start_end_handshape_annotations//test_auto_move//signs_mov/4267.mov" TargetMode="External"/><Relationship Id="rId20664" Type="http://schemas.openxmlformats.org/officeDocument/2006/relationships/hyperlink" Target="http://csr.bu.edu/ftp/asl/asllvd/demos/verify_start_end_handshape_annotations//test_auto_move//signs_mov_separ_signers/Brady_4267.mov" TargetMode="External"/><Relationship Id="rId20665" Type="http://schemas.openxmlformats.org/officeDocument/2006/relationships/hyperlink" Target="http://secrets.rutgers.edu:8080/data/asl-ftp/asllvd/demos/verify_start_end_handshape_annotations//test_auto_move//signs_mov/4267.mov" TargetMode="External"/><Relationship Id="rId20666" Type="http://schemas.openxmlformats.org/officeDocument/2006/relationships/hyperlink" Target="http://secrets.rutgers.edu:8080/data/asl-ftp/asllvd/demos/verify_start_end_handshape_annotations//test_auto_move//signs_mov_separ_signers/Brady_4267.mov" TargetMode="External"/><Relationship Id="rId20667" Type="http://schemas.openxmlformats.org/officeDocument/2006/relationships/hyperlink" Target="http://csr.bu.edu/ftp/asl/asllvd/demos/verify_start_end_handshape_annotations//test_auto_move//signs_mov/15005.mov" TargetMode="External"/><Relationship Id="rId20668" Type="http://schemas.openxmlformats.org/officeDocument/2006/relationships/hyperlink" Target="http://csr.bu.edu/ftp/asl/asllvd/demos/verify_start_end_handshape_annotations//test_auto_move//signs_mov_separ_signers/Liz_15005.mov" TargetMode="External"/><Relationship Id="rId20669" Type="http://schemas.openxmlformats.org/officeDocument/2006/relationships/hyperlink" Target="http://secrets.rutgers.edu:8080/data/asl-ftp/asllvd/demos/verify_start_end_handshape_annotations//test_auto_move//signs_mov/15005.mov" TargetMode="External"/><Relationship Id="rId20670" Type="http://schemas.openxmlformats.org/officeDocument/2006/relationships/hyperlink" Target="http://secrets.rutgers.edu:8080/data/asl-ftp/asllvd/demos/verify_start_end_handshape_annotations//test_auto_move//signs_mov_separ_signers/Liz_15005.mov" TargetMode="External"/><Relationship Id="rId20671" Type="http://schemas.openxmlformats.org/officeDocument/2006/relationships/hyperlink" Target="http://csr.bu.edu/ftp/asl/asllvd/demos/verify_start_end_handshape_annotations//test_auto_move//signs_mov/4269.mov" TargetMode="External"/><Relationship Id="rId20672" Type="http://schemas.openxmlformats.org/officeDocument/2006/relationships/hyperlink" Target="http://csr.bu.edu/ftp/asl/asllvd/demos/verify_start_end_handshape_annotations//test_auto_move//signs_mov_separ_signers/Liz_4269.mov" TargetMode="External"/><Relationship Id="rId20673" Type="http://schemas.openxmlformats.org/officeDocument/2006/relationships/hyperlink" Target="http://secrets.rutgers.edu:8080/data/asl-ftp/asllvd/demos/verify_start_end_handshape_annotations//test_auto_move//signs_mov/4269.mov" TargetMode="External"/><Relationship Id="rId20674" Type="http://schemas.openxmlformats.org/officeDocument/2006/relationships/hyperlink" Target="http://secrets.rutgers.edu:8080/data/asl-ftp/asllvd/demos/verify_start_end_handshape_annotations//test_auto_move//signs_mov_separ_signers/Liz_4269.mov" TargetMode="External"/><Relationship Id="rId20675" Type="http://schemas.openxmlformats.org/officeDocument/2006/relationships/hyperlink" Target="http://csr.bu.edu/ftp/asl/asllvd/demos/verify_start_end_handshape_annotations//test_auto_move//signs_mov/5624.mov" TargetMode="External"/><Relationship Id="rId20676" Type="http://schemas.openxmlformats.org/officeDocument/2006/relationships/hyperlink" Target="http://csr.bu.edu/ftp/asl/asllvd/demos/verify_start_end_handshape_annotations//test_auto_move//signs_mov_separ_signers/Brady_5624.mov" TargetMode="External"/><Relationship Id="rId20677" Type="http://schemas.openxmlformats.org/officeDocument/2006/relationships/hyperlink" Target="http://secrets.rutgers.edu:8080/data/asl-ftp/asllvd/demos/verify_start_end_handshape_annotations//test_auto_move//signs_mov/5624.mov" TargetMode="External"/><Relationship Id="rId20678" Type="http://schemas.openxmlformats.org/officeDocument/2006/relationships/hyperlink" Target="http://secrets.rutgers.edu:8080/data/asl-ftp/asllvd/demos/verify_start_end_handshape_annotations//test_auto_move//signs_mov_separ_signers/Brady_5624.mov" TargetMode="External"/><Relationship Id="rId20679" Type="http://schemas.openxmlformats.org/officeDocument/2006/relationships/hyperlink" Target="http://csr.bu.edu/ftp/asl/asllvd/demos/verify_start_end_handshape_annotations//test_auto_move//signs_mov_separ_signers/Liz_4270.mov" TargetMode="External"/><Relationship Id="rId20680" Type="http://schemas.openxmlformats.org/officeDocument/2006/relationships/hyperlink" Target="http://secrets.rutgers.edu:8080/data/asl-ftp/asllvd/demos/verify_start_end_handshape_annotations//test_auto_move//signs_mov_separ_signers/Liz_4270.mov" TargetMode="External"/><Relationship Id="rId20681" Type="http://schemas.openxmlformats.org/officeDocument/2006/relationships/hyperlink" Target="http://csr.bu.edu/ftp/asl/asllvd/demos/verify_start_end_handshape_annotations//test_auto_move//signs_mov/4270_5010_merged.mov" TargetMode="External"/><Relationship Id="rId20682" Type="http://schemas.openxmlformats.org/officeDocument/2006/relationships/hyperlink" Target="http://csr.bu.edu/ftp/asl/asllvd/demos/verify_start_end_handshape_annotations//test_auto_move//signs_mov_separ_signers/Brady_4270.mov" TargetMode="External"/><Relationship Id="rId20683" Type="http://schemas.openxmlformats.org/officeDocument/2006/relationships/hyperlink" Target="http://secrets.rutgers.edu:8080/data/asl-ftp/asllvd/demos/verify_start_end_handshape_annotations//test_auto_move//signs_mov/4270_5010_merged.mov" TargetMode="External"/><Relationship Id="rId20684" Type="http://schemas.openxmlformats.org/officeDocument/2006/relationships/hyperlink" Target="http://secrets.rutgers.edu:8080/data/asl-ftp/asllvd/demos/verify_start_end_handshape_annotations//test_auto_move//signs_mov_separ_signers/Brady_4270.mov" TargetMode="External"/><Relationship Id="rId20685" Type="http://schemas.openxmlformats.org/officeDocument/2006/relationships/hyperlink" Target="http://csr.bu.edu/ftp/asl/asllvd/demos/verify_start_end_handshape_annotations//test_auto_move//signs_mov_separ_signers/Brady_5010.mov" TargetMode="External"/><Relationship Id="rId20686" Type="http://schemas.openxmlformats.org/officeDocument/2006/relationships/hyperlink" Target="http://secrets.rutgers.edu:8080/data/asl-ftp/asllvd/demos/verify_start_end_handshape_annotations//test_auto_move//signs_mov_separ_signers/Brady_5010.mov" TargetMode="External"/><Relationship Id="rId20687" Type="http://schemas.openxmlformats.org/officeDocument/2006/relationships/hyperlink" Target="http://csr.bu.edu/ftp/asl/asllvd/demos/verify_start_end_handshape_annotations//test_auto_move//signs_mov/4277.mov" TargetMode="External"/><Relationship Id="rId20688" Type="http://schemas.openxmlformats.org/officeDocument/2006/relationships/hyperlink" Target="http://csr.bu.edu/ftp/asl/asllvd/demos/verify_start_end_handshape_annotations//test_auto_move//signs_mov_separ_signers/Liz_4277.mov" TargetMode="External"/><Relationship Id="rId20689" Type="http://schemas.openxmlformats.org/officeDocument/2006/relationships/hyperlink" Target="http://secrets.rutgers.edu:8080/data/asl-ftp/asllvd/demos/verify_start_end_handshape_annotations//test_auto_move//signs_mov/4277.mov" TargetMode="External"/><Relationship Id="rId20690" Type="http://schemas.openxmlformats.org/officeDocument/2006/relationships/hyperlink" Target="http://secrets.rutgers.edu:8080/data/asl-ftp/asllvd/demos/verify_start_end_handshape_annotations//test_auto_move//signs_mov_separ_signers/Liz_4277.mov" TargetMode="External"/><Relationship Id="rId20691" Type="http://schemas.openxmlformats.org/officeDocument/2006/relationships/hyperlink" Target="http://csr.bu.edu/ftp/asl/asllvd/demos/verify_start_end_handshape_annotations//test_auto_move//signs_mov_separ_signers/Brady_4277.mov" TargetMode="External"/><Relationship Id="rId20692" Type="http://schemas.openxmlformats.org/officeDocument/2006/relationships/hyperlink" Target="http://secrets.rutgers.edu:8080/data/asl-ftp/asllvd/demos/verify_start_end_handshape_annotations//test_auto_move//signs_mov_separ_signers/Brady_4277.mov" TargetMode="External"/><Relationship Id="rId20693" Type="http://schemas.openxmlformats.org/officeDocument/2006/relationships/hyperlink" Target="http://csr.bu.edu/ftp/asl/asllvd/demos/verify_start_end_handshape_annotations//test_auto_move//signs_mov/4287.mov" TargetMode="External"/><Relationship Id="rId20694" Type="http://schemas.openxmlformats.org/officeDocument/2006/relationships/hyperlink" Target="http://csr.bu.edu/ftp/asl/asllvd/demos/verify_start_end_handshape_annotations//test_auto_move//signs_mov_separ_signers/Liz_4287.mov" TargetMode="External"/><Relationship Id="rId20695" Type="http://schemas.openxmlformats.org/officeDocument/2006/relationships/hyperlink" Target="http://secrets.rutgers.edu:8080/data/asl-ftp/asllvd/demos/verify_start_end_handshape_annotations//test_auto_move//signs_mov/4287.mov" TargetMode="External"/><Relationship Id="rId20696" Type="http://schemas.openxmlformats.org/officeDocument/2006/relationships/hyperlink" Target="http://secrets.rutgers.edu:8080/data/asl-ftp/asllvd/demos/verify_start_end_handshape_annotations//test_auto_move//signs_mov_separ_signers/Liz_4287.mov" TargetMode="External"/><Relationship Id="rId20697" Type="http://schemas.openxmlformats.org/officeDocument/2006/relationships/hyperlink" Target="http://csr.bu.edu/ftp/asl/asllvd/demos/verify_start_end_handshape_annotations//test_auto_move//signs_mov_separ_signers/Brady_4287.mov" TargetMode="External"/><Relationship Id="rId20698" Type="http://schemas.openxmlformats.org/officeDocument/2006/relationships/hyperlink" Target="http://secrets.rutgers.edu:8080/data/asl-ftp/asllvd/demos/verify_start_end_handshape_annotations//test_auto_move//signs_mov_separ_signers/Brady_4287.mov" TargetMode="External"/><Relationship Id="rId20699" Type="http://schemas.openxmlformats.org/officeDocument/2006/relationships/hyperlink" Target="http://csr.bu.edu/ftp/asl/asllvd/demos/verify_start_end_handshape_annotations//test_auto_move//signs_mov/4301.mov" TargetMode="External"/><Relationship Id="rId20700" Type="http://schemas.openxmlformats.org/officeDocument/2006/relationships/hyperlink" Target="http://csr.bu.edu/ftp/asl/asllvd/demos/verify_start_end_handshape_annotations//test_auto_move//signs_mov_separ_signers/Liz_4301.mov" TargetMode="External"/><Relationship Id="rId20701" Type="http://schemas.openxmlformats.org/officeDocument/2006/relationships/hyperlink" Target="http://secrets.rutgers.edu:8080/data/asl-ftp/asllvd/demos/verify_start_end_handshape_annotations//test_auto_move//signs_mov/4301.mov" TargetMode="External"/><Relationship Id="rId20702" Type="http://schemas.openxmlformats.org/officeDocument/2006/relationships/hyperlink" Target="http://secrets.rutgers.edu:8080/data/asl-ftp/asllvd/demos/verify_start_end_handshape_annotations//test_auto_move//signs_mov_separ_signers/Liz_4301.mov" TargetMode="External"/><Relationship Id="rId20703" Type="http://schemas.openxmlformats.org/officeDocument/2006/relationships/hyperlink" Target="http://csr.bu.edu/ftp/asl/asllvd/demos/verify_start_end_handshape_annotations//test_auto_move//signs_mov/15069.mov" TargetMode="External"/><Relationship Id="rId20704" Type="http://schemas.openxmlformats.org/officeDocument/2006/relationships/hyperlink" Target="http://csr.bu.edu/ftp/asl/asllvd/demos/verify_start_end_handshape_annotations//test_auto_move//signs_mov_separ_signers/Brady_15069.mov" TargetMode="External"/><Relationship Id="rId20705" Type="http://schemas.openxmlformats.org/officeDocument/2006/relationships/hyperlink" Target="http://secrets.rutgers.edu:8080/data/asl-ftp/asllvd/demos/verify_start_end_handshape_annotations//test_auto_move//signs_mov/15069.mov" TargetMode="External"/><Relationship Id="rId20706" Type="http://schemas.openxmlformats.org/officeDocument/2006/relationships/hyperlink" Target="http://secrets.rutgers.edu:8080/data/asl-ftp/asllvd/demos/verify_start_end_handshape_annotations//test_auto_move//signs_mov_separ_signers/Brady_15069.mov" TargetMode="External"/><Relationship Id="rId20707" Type="http://schemas.openxmlformats.org/officeDocument/2006/relationships/hyperlink" Target="http://csr.bu.edu/ftp/asl/asllvd/demos/verify_start_end_handshape_annotations//test_auto_move//signs_mov/4310.mov" TargetMode="External"/><Relationship Id="rId20708" Type="http://schemas.openxmlformats.org/officeDocument/2006/relationships/hyperlink" Target="http://csr.bu.edu/ftp/asl/asllvd/demos/verify_start_end_handshape_annotations//test_auto_move//signs_mov_separ_signers/Brady_4310.mov" TargetMode="External"/><Relationship Id="rId20709" Type="http://schemas.openxmlformats.org/officeDocument/2006/relationships/hyperlink" Target="http://secrets.rutgers.edu:8080/data/asl-ftp/asllvd/demos/verify_start_end_handshape_annotations//test_auto_move//signs_mov/4310.mov" TargetMode="External"/><Relationship Id="rId20710" Type="http://schemas.openxmlformats.org/officeDocument/2006/relationships/hyperlink" Target="http://secrets.rutgers.edu:8080/data/asl-ftp/asllvd/demos/verify_start_end_handshape_annotations//test_auto_move//signs_mov_separ_signers/Brady_4310.mov" TargetMode="External"/><Relationship Id="rId20711" Type="http://schemas.openxmlformats.org/officeDocument/2006/relationships/hyperlink" Target="http://csr.bu.edu/ftp/asl/asllvd/demos/verify_start_end_handshape_annotations//test_auto_move//signs_mov/15234.mov" TargetMode="External"/><Relationship Id="rId20712" Type="http://schemas.openxmlformats.org/officeDocument/2006/relationships/hyperlink" Target="http://csr.bu.edu/ftp/asl/asllvd/demos/verify_start_end_handshape_annotations//test_auto_move//signs_mov_separ_signers/Liz_15234.mov" TargetMode="External"/><Relationship Id="rId20713" Type="http://schemas.openxmlformats.org/officeDocument/2006/relationships/hyperlink" Target="http://secrets.rutgers.edu:8080/data/asl-ftp/asllvd/demos/verify_start_end_handshape_annotations//test_auto_move//signs_mov/15234.mov" TargetMode="External"/><Relationship Id="rId20714" Type="http://schemas.openxmlformats.org/officeDocument/2006/relationships/hyperlink" Target="http://secrets.rutgers.edu:8080/data/asl-ftp/asllvd/demos/verify_start_end_handshape_annotations//test_auto_move//signs_mov_separ_signers/Liz_15234.mov" TargetMode="External"/><Relationship Id="rId20715" Type="http://schemas.openxmlformats.org/officeDocument/2006/relationships/hyperlink" Target="http://csr.bu.edu/ftp/asl/asllvd/demos/verify_start_end_handshape_annotations//test_auto_move//signs_mov_separ_signers/Liz_4315.mov" TargetMode="External"/><Relationship Id="rId20716" Type="http://schemas.openxmlformats.org/officeDocument/2006/relationships/hyperlink" Target="http://secrets.rutgers.edu:8080/data/asl-ftp/asllvd/demos/verify_start_end_handshape_annotations//test_auto_move//signs_mov_separ_signers/Liz_4315.mov" TargetMode="External"/><Relationship Id="rId20717" Type="http://schemas.openxmlformats.org/officeDocument/2006/relationships/hyperlink" Target="http://csr.bu.edu/ftp/asl/asllvd/demos/verify_start_end_handshape_annotations//test_auto_move//signs_mov_separ_signers/Liz_3972.mov" TargetMode="External"/><Relationship Id="rId20718" Type="http://schemas.openxmlformats.org/officeDocument/2006/relationships/hyperlink" Target="http://secrets.rutgers.edu:8080/data/asl-ftp/asllvd/demos/verify_start_end_handshape_annotations//test_auto_move//signs_mov_separ_signers/Liz_3972.mov" TargetMode="External"/><Relationship Id="rId20719" Type="http://schemas.openxmlformats.org/officeDocument/2006/relationships/hyperlink" Target="http://csr.bu.edu/ftp/asl/asllvd/demos/verify_start_end_handshape_annotations//test_auto_move//signs_mov/3972_4315_5570_merged.mov" TargetMode="External"/><Relationship Id="rId20720" Type="http://schemas.openxmlformats.org/officeDocument/2006/relationships/hyperlink" Target="http://csr.bu.edu/ftp/asl/asllvd/demos/verify_start_end_handshape_annotations//test_auto_move//signs_mov_separ_signers/Liz_5570.mov" TargetMode="External"/><Relationship Id="rId20721" Type="http://schemas.openxmlformats.org/officeDocument/2006/relationships/hyperlink" Target="http://secrets.rutgers.edu:8080/data/asl-ftp/asllvd/demos/verify_start_end_handshape_annotations//test_auto_move//signs_mov/3972_4315_5570_merged.mov" TargetMode="External"/><Relationship Id="rId20722" Type="http://schemas.openxmlformats.org/officeDocument/2006/relationships/hyperlink" Target="http://secrets.rutgers.edu:8080/data/asl-ftp/asllvd/demos/verify_start_end_handshape_annotations//test_auto_move//signs_mov_separ_signers/Liz_5570.mov" TargetMode="External"/><Relationship Id="rId20723" Type="http://schemas.openxmlformats.org/officeDocument/2006/relationships/hyperlink" Target="http://csr.bu.edu/ftp/asl/asllvd/demos/verify_start_end_handshape_annotations//test_auto_move//signs_mov_separ_signers/Brady_4315.mov" TargetMode="External"/><Relationship Id="rId20724" Type="http://schemas.openxmlformats.org/officeDocument/2006/relationships/hyperlink" Target="http://secrets.rutgers.edu:8080/data/asl-ftp/asllvd/demos/verify_start_end_handshape_annotations//test_auto_move//signs_mov_separ_signers/Brady_4315.mov" TargetMode="External"/><Relationship Id="rId20725" Type="http://schemas.openxmlformats.org/officeDocument/2006/relationships/hyperlink" Target="http://csr.bu.edu/ftp/asl/asllvd/demos/verify_start_end_handshape_annotations//test_auto_move//signs_mov_separ_signers/Lana_4315.mov" TargetMode="External"/><Relationship Id="rId20726" Type="http://schemas.openxmlformats.org/officeDocument/2006/relationships/hyperlink" Target="http://secrets.rutgers.edu:8080/data/asl-ftp/asllvd/demos/verify_start_end_handshape_annotations//test_auto_move//signs_mov_separ_signers/Lana_4315.mov" TargetMode="External"/><Relationship Id="rId20727" Type="http://schemas.openxmlformats.org/officeDocument/2006/relationships/hyperlink" Target="http://csr.bu.edu/ftp/asl/asllvd/demos/verify_start_end_handshape_annotations//test_auto_move//signs_mov_separ_signers/Dana_4315.mov" TargetMode="External"/><Relationship Id="rId20728" Type="http://schemas.openxmlformats.org/officeDocument/2006/relationships/hyperlink" Target="http://secrets.rutgers.edu:8080/data/asl-ftp/asllvd/demos/verify_start_end_handshape_annotations//test_auto_move//signs_mov_separ_signers/Dana_4315.mov" TargetMode="External"/><Relationship Id="rId20729" Type="http://schemas.openxmlformats.org/officeDocument/2006/relationships/hyperlink" Target="http://csr.bu.edu/ftp/asl/asllvd/demos/verify_start_end_handshape_annotations//test_auto_move//signs_mov/15312.mov" TargetMode="External"/><Relationship Id="rId20730" Type="http://schemas.openxmlformats.org/officeDocument/2006/relationships/hyperlink" Target="http://csr.bu.edu/ftp/asl/asllvd/demos/verify_start_end_handshape_annotations//test_auto_move//signs_mov_separ_signers/Liz_15312.mov" TargetMode="External"/><Relationship Id="rId20731" Type="http://schemas.openxmlformats.org/officeDocument/2006/relationships/hyperlink" Target="http://secrets.rutgers.edu:8080/data/asl-ftp/asllvd/demos/verify_start_end_handshape_annotations//test_auto_move//signs_mov/15312.mov" TargetMode="External"/><Relationship Id="rId20732" Type="http://schemas.openxmlformats.org/officeDocument/2006/relationships/hyperlink" Target="http://secrets.rutgers.edu:8080/data/asl-ftp/asllvd/demos/verify_start_end_handshape_annotations//test_auto_move//signs_mov_separ_signers/Liz_15312.mov" TargetMode="External"/><Relationship Id="rId20733" Type="http://schemas.openxmlformats.org/officeDocument/2006/relationships/hyperlink" Target="http://csr.bu.edu/ftp/asl/asllvd/demos/verify_start_end_handshape_annotations//test_auto_move//signs_mov_separ_signers/Brady_15312.mov" TargetMode="External"/><Relationship Id="rId20734" Type="http://schemas.openxmlformats.org/officeDocument/2006/relationships/hyperlink" Target="http://secrets.rutgers.edu:8080/data/asl-ftp/asllvd/demos/verify_start_end_handshape_annotations//test_auto_move//signs_mov_separ_signers/Brady_15312.mov" TargetMode="External"/><Relationship Id="rId20735" Type="http://schemas.openxmlformats.org/officeDocument/2006/relationships/hyperlink" Target="http://csr.bu.edu/ftp/asl/asllvd/demos/verify_start_end_handshape_annotations//test_auto_move//signs_mov_separ_signers/Liz_4317.mov" TargetMode="External"/><Relationship Id="rId20736" Type="http://schemas.openxmlformats.org/officeDocument/2006/relationships/hyperlink" Target="http://secrets.rutgers.edu:8080/data/asl-ftp/asllvd/demos/verify_start_end_handshape_annotations//test_auto_move//signs_mov_separ_signers/Liz_4317.mov" TargetMode="External"/><Relationship Id="rId20737" Type="http://schemas.openxmlformats.org/officeDocument/2006/relationships/hyperlink" Target="http://csr.bu.edu/ftp/asl/asllvd/demos/verify_start_end_handshape_annotations//test_auto_move//signs_mov/4317.mov" TargetMode="External"/><Relationship Id="rId20738" Type="http://schemas.openxmlformats.org/officeDocument/2006/relationships/hyperlink" Target="http://csr.bu.edu/ftp/asl/asllvd/demos/verify_start_end_handshape_annotations//test_auto_move//signs_mov_separ_signers/Brady_4317.mov" TargetMode="External"/><Relationship Id="rId20739" Type="http://schemas.openxmlformats.org/officeDocument/2006/relationships/hyperlink" Target="http://secrets.rutgers.edu:8080/data/asl-ftp/asllvd/demos/verify_start_end_handshape_annotations//test_auto_move//signs_mov/4317.mov" TargetMode="External"/><Relationship Id="rId20740" Type="http://schemas.openxmlformats.org/officeDocument/2006/relationships/hyperlink" Target="http://secrets.rutgers.edu:8080/data/asl-ftp/asllvd/demos/verify_start_end_handshape_annotations//test_auto_move//signs_mov_separ_signers/Brady_4317.mov" TargetMode="External"/><Relationship Id="rId20741" Type="http://schemas.openxmlformats.org/officeDocument/2006/relationships/hyperlink" Target="http://csr.bu.edu/ftp/asl/asllvd/demos/verify_start_end_handshape_annotations//test_auto_move//signs_mov_separ_signers/Lana_4317.mov" TargetMode="External"/><Relationship Id="rId20742" Type="http://schemas.openxmlformats.org/officeDocument/2006/relationships/hyperlink" Target="http://secrets.rutgers.edu:8080/data/asl-ftp/asllvd/demos/verify_start_end_handshape_annotations//test_auto_move//signs_mov_separ_signers/Lana_4317.mov" TargetMode="External"/><Relationship Id="rId20743" Type="http://schemas.openxmlformats.org/officeDocument/2006/relationships/hyperlink" Target="http://csr.bu.edu/ftp/asl/asllvd/demos/verify_start_end_handshape_annotations//test_auto_move//signs_mov_separ_signers/Dana_4317.mov" TargetMode="External"/><Relationship Id="rId20744" Type="http://schemas.openxmlformats.org/officeDocument/2006/relationships/hyperlink" Target="http://secrets.rutgers.edu:8080/data/asl-ftp/asllvd/demos/verify_start_end_handshape_annotations//test_auto_move//signs_mov_separ_signers/Dana_4317.mov" TargetMode="External"/><Relationship Id="rId20745" Type="http://schemas.openxmlformats.org/officeDocument/2006/relationships/hyperlink" Target="http://csr.bu.edu/ftp/asl/asllvd/demos/verify_start_end_handshape_annotations//test_auto_move//signs_mov/5571.mov" TargetMode="External"/><Relationship Id="rId20746" Type="http://schemas.openxmlformats.org/officeDocument/2006/relationships/hyperlink" Target="http://csr.bu.edu/ftp/asl/asllvd/demos/verify_start_end_handshape_annotations//test_auto_move//signs_mov_separ_signers/Liz_5571.mov" TargetMode="External"/><Relationship Id="rId20747" Type="http://schemas.openxmlformats.org/officeDocument/2006/relationships/hyperlink" Target="http://secrets.rutgers.edu:8080/data/asl-ftp/asllvd/demos/verify_start_end_handshape_annotations//test_auto_move//signs_mov/5571.mov" TargetMode="External"/><Relationship Id="rId20748" Type="http://schemas.openxmlformats.org/officeDocument/2006/relationships/hyperlink" Target="http://secrets.rutgers.edu:8080/data/asl-ftp/asllvd/demos/verify_start_end_handshape_annotations//test_auto_move//signs_mov_separ_signers/Liz_5571.mov" TargetMode="External"/><Relationship Id="rId20749" Type="http://schemas.openxmlformats.org/officeDocument/2006/relationships/hyperlink" Target="http://csr.bu.edu/ftp/asl/asllvd/demos/verify_start_end_handshape_annotations//test_auto_move//signs_mov_separ_signers/Brady_5571.mov" TargetMode="External"/><Relationship Id="rId20750" Type="http://schemas.openxmlformats.org/officeDocument/2006/relationships/hyperlink" Target="http://secrets.rutgers.edu:8080/data/asl-ftp/asllvd/demos/verify_start_end_handshape_annotations//test_auto_move//signs_mov_separ_signers/Brady_5571.mov" TargetMode="External"/><Relationship Id="rId20751" Type="http://schemas.openxmlformats.org/officeDocument/2006/relationships/hyperlink" Target="http://csr.bu.edu/ftp/asl/asllvd/demos/verify_start_end_handshape_annotations//test_auto_move//signs_mov_separ_signers/Liz_4319.mov" TargetMode="External"/><Relationship Id="rId20752" Type="http://schemas.openxmlformats.org/officeDocument/2006/relationships/hyperlink" Target="http://secrets.rutgers.edu:8080/data/asl-ftp/asllvd/demos/verify_start_end_handshape_annotations//test_auto_move//signs_mov_separ_signers/Liz_4319.mov" TargetMode="External"/><Relationship Id="rId20753" Type="http://schemas.openxmlformats.org/officeDocument/2006/relationships/hyperlink" Target="http://csr.bu.edu/ftp/asl/asllvd/demos/verify_start_end_handshape_annotations//test_auto_move//signs_mov_separ_signers/Brady_4319.mov" TargetMode="External"/><Relationship Id="rId20754" Type="http://schemas.openxmlformats.org/officeDocument/2006/relationships/hyperlink" Target="http://secrets.rutgers.edu:8080/data/asl-ftp/asllvd/demos/verify_start_end_handshape_annotations//test_auto_move//signs_mov_separ_signers/Brady_4319.mov" TargetMode="External"/><Relationship Id="rId20755" Type="http://schemas.openxmlformats.org/officeDocument/2006/relationships/hyperlink" Target="http://csr.bu.edu/ftp/asl/asllvd/demos/verify_start_end_handshape_annotations//test_auto_move//signs_mov/4319_5007_merged.mov" TargetMode="External"/><Relationship Id="rId20756" Type="http://schemas.openxmlformats.org/officeDocument/2006/relationships/hyperlink" Target="http://csr.bu.edu/ftp/asl/asllvd/demos/verify_start_end_handshape_annotations//test_auto_move//signs_mov_separ_signers/Brady_5007.mov" TargetMode="External"/><Relationship Id="rId20757" Type="http://schemas.openxmlformats.org/officeDocument/2006/relationships/hyperlink" Target="http://secrets.rutgers.edu:8080/data/asl-ftp/asllvd/demos/verify_start_end_handshape_annotations//test_auto_move//signs_mov/4319_5007_merged.mov" TargetMode="External"/><Relationship Id="rId20758" Type="http://schemas.openxmlformats.org/officeDocument/2006/relationships/hyperlink" Target="http://secrets.rutgers.edu:8080/data/asl-ftp/asllvd/demos/verify_start_end_handshape_annotations//test_auto_move//signs_mov_separ_signers/Brady_5007.mov" TargetMode="External"/><Relationship Id="rId20759" Type="http://schemas.openxmlformats.org/officeDocument/2006/relationships/hyperlink" Target="http://csr.bu.edu/ftp/asl/asllvd/demos/verify_start_end_handshape_annotations//test_auto_move//signs_mov_separ_signers/Lana_4319.mov" TargetMode="External"/><Relationship Id="rId20760" Type="http://schemas.openxmlformats.org/officeDocument/2006/relationships/hyperlink" Target="http://secrets.rutgers.edu:8080/data/asl-ftp/asllvd/demos/verify_start_end_handshape_annotations//test_auto_move//signs_mov_separ_signers/Lana_4319.mov" TargetMode="External"/><Relationship Id="rId20761" Type="http://schemas.openxmlformats.org/officeDocument/2006/relationships/hyperlink" Target="http://csr.bu.edu/ftp/asl/asllvd/demos/verify_start_end_handshape_annotations//test_auto_move//signs_mov_separ_signers/Dana_4319.mov" TargetMode="External"/><Relationship Id="rId20762" Type="http://schemas.openxmlformats.org/officeDocument/2006/relationships/hyperlink" Target="http://secrets.rutgers.edu:8080/data/asl-ftp/asllvd/demos/verify_start_end_handshape_annotations//test_auto_move//signs_mov_separ_signers/Dana_4319.mov" TargetMode="External"/><Relationship Id="rId20763" Type="http://schemas.openxmlformats.org/officeDocument/2006/relationships/hyperlink" Target="http://csr.bu.edu/ftp/asl/asllvd/demos/verify_start_end_handshape_annotations//test_auto_move//signs_mov_separ_signers/Dana_5007.mov" TargetMode="External"/><Relationship Id="rId20764" Type="http://schemas.openxmlformats.org/officeDocument/2006/relationships/hyperlink" Target="http://secrets.rutgers.edu:8080/data/asl-ftp/asllvd/demos/verify_start_end_handshape_annotations//test_auto_move//signs_mov_separ_signers/Dana_5007.mov" TargetMode="External"/><Relationship Id="rId20765" Type="http://schemas.openxmlformats.org/officeDocument/2006/relationships/hyperlink" Target="http://csr.bu.edu/ftp/asl/asllvd/demos/verify_start_end_handshape_annotations//test_auto_move//signs_mov/5625.mov" TargetMode="External"/><Relationship Id="rId20766" Type="http://schemas.openxmlformats.org/officeDocument/2006/relationships/hyperlink" Target="http://csr.bu.edu/ftp/asl/asllvd/demos/verify_start_end_handshape_annotations//test_auto_move//signs_mov_separ_signers/Liz_5625.mov" TargetMode="External"/><Relationship Id="rId20767" Type="http://schemas.openxmlformats.org/officeDocument/2006/relationships/hyperlink" Target="http://secrets.rutgers.edu:8080/data/asl-ftp/asllvd/demos/verify_start_end_handshape_annotations//test_auto_move//signs_mov/5625.mov" TargetMode="External"/><Relationship Id="rId20768" Type="http://schemas.openxmlformats.org/officeDocument/2006/relationships/hyperlink" Target="http://secrets.rutgers.edu:8080/data/asl-ftp/asllvd/demos/verify_start_end_handshape_annotations//test_auto_move//signs_mov_separ_signers/Liz_5625.mov" TargetMode="External"/><Relationship Id="rId20769" Type="http://schemas.openxmlformats.org/officeDocument/2006/relationships/hyperlink" Target="http://csr.bu.edu/ftp/asl/asllvd/demos/verify_start_end_handshape_annotations//test_auto_move//signs_mov_separ_signers/Liz_15800.mov" TargetMode="External"/><Relationship Id="rId20770" Type="http://schemas.openxmlformats.org/officeDocument/2006/relationships/hyperlink" Target="http://secrets.rutgers.edu:8080/data/asl-ftp/asllvd/demos/verify_start_end_handshape_annotations//test_auto_move//signs_mov_separ_signers/Liz_15800.mov" TargetMode="External"/><Relationship Id="rId20771" Type="http://schemas.openxmlformats.org/officeDocument/2006/relationships/hyperlink" Target="http://csr.bu.edu/ftp/asl/asllvd/demos/verify_start_end_handshape_annotations//test_auto_move//signs_mov/15800_16410_merged.mov" TargetMode="External"/><Relationship Id="rId20772" Type="http://schemas.openxmlformats.org/officeDocument/2006/relationships/hyperlink" Target="http://csr.bu.edu/ftp/asl/asllvd/demos/verify_start_end_handshape_annotations//test_auto_move//signs_mov_separ_signers/Liz_16410.mov" TargetMode="External"/><Relationship Id="rId20773" Type="http://schemas.openxmlformats.org/officeDocument/2006/relationships/hyperlink" Target="http://secrets.rutgers.edu:8080/data/asl-ftp/asllvd/demos/verify_start_end_handshape_annotations//test_auto_move//signs_mov/15800_16410_merged.mov" TargetMode="External"/><Relationship Id="rId20774" Type="http://schemas.openxmlformats.org/officeDocument/2006/relationships/hyperlink" Target="http://secrets.rutgers.edu:8080/data/asl-ftp/asllvd/demos/verify_start_end_handshape_annotations//test_auto_move//signs_mov_separ_signers/Liz_16410.mov" TargetMode="External"/><Relationship Id="rId20775" Type="http://schemas.openxmlformats.org/officeDocument/2006/relationships/hyperlink" Target="http://csr.bu.edu/ftp/asl/asllvd/demos/verify_start_end_handshape_annotations//test_auto_move//signs_mov_separ_signers/Brady_15800.mov" TargetMode="External"/><Relationship Id="rId20776" Type="http://schemas.openxmlformats.org/officeDocument/2006/relationships/hyperlink" Target="http://secrets.rutgers.edu:8080/data/asl-ftp/asllvd/demos/verify_start_end_handshape_annotations//test_auto_move//signs_mov_separ_signers/Brady_15800.mov" TargetMode="External"/><Relationship Id="rId20777" Type="http://schemas.openxmlformats.org/officeDocument/2006/relationships/hyperlink" Target="http://csr.bu.edu/ftp/asl/asllvd/demos/verify_start_end_handshape_annotations//test_auto_move//signs_mov_separ_signers/Brady_16410.mov" TargetMode="External"/><Relationship Id="rId20778" Type="http://schemas.openxmlformats.org/officeDocument/2006/relationships/hyperlink" Target="http://secrets.rutgers.edu:8080/data/asl-ftp/asllvd/demos/verify_start_end_handshape_annotations//test_auto_move//signs_mov_separ_signers/Brady_16410.mov" TargetMode="External"/><Relationship Id="rId20779" Type="http://schemas.openxmlformats.org/officeDocument/2006/relationships/hyperlink" Target="http://csr.bu.edu/ftp/asl/asllvd/demos/verify_start_end_handshape_annotations//test_auto_move//signs_mov/4321.mov" TargetMode="External"/><Relationship Id="rId20780" Type="http://schemas.openxmlformats.org/officeDocument/2006/relationships/hyperlink" Target="http://csr.bu.edu/ftp/asl/asllvd/demos/verify_start_end_handshape_annotations//test_auto_move//signs_mov_separ_signers/Liz_4321.mov" TargetMode="External"/><Relationship Id="rId20781" Type="http://schemas.openxmlformats.org/officeDocument/2006/relationships/hyperlink" Target="http://secrets.rutgers.edu:8080/data/asl-ftp/asllvd/demos/verify_start_end_handshape_annotations//test_auto_move//signs_mov/4321.mov" TargetMode="External"/><Relationship Id="rId20782" Type="http://schemas.openxmlformats.org/officeDocument/2006/relationships/hyperlink" Target="http://secrets.rutgers.edu:8080/data/asl-ftp/asllvd/demos/verify_start_end_handshape_annotations//test_auto_move//signs_mov_separ_signers/Liz_4321.mov" TargetMode="External"/><Relationship Id="rId20783" Type="http://schemas.openxmlformats.org/officeDocument/2006/relationships/hyperlink" Target="http://csr.bu.edu/ftp/asl/asllvd/demos/verify_start_end_handshape_annotations//test_auto_move//signs_mov_separ_signers/Brady_4321.mov" TargetMode="External"/><Relationship Id="rId20784" Type="http://schemas.openxmlformats.org/officeDocument/2006/relationships/hyperlink" Target="http://secrets.rutgers.edu:8080/data/asl-ftp/asllvd/demos/verify_start_end_handshape_annotations//test_auto_move//signs_mov_separ_signers/Brady_4321.mov" TargetMode="External"/><Relationship Id="rId20785" Type="http://schemas.openxmlformats.org/officeDocument/2006/relationships/hyperlink" Target="http://csr.bu.edu/ftp/asl/asllvd/demos/verify_start_end_handshape_annotations//test_auto_move//signs_mov/5572.mov" TargetMode="External"/><Relationship Id="rId20786" Type="http://schemas.openxmlformats.org/officeDocument/2006/relationships/hyperlink" Target="http://csr.bu.edu/ftp/asl/asllvd/demos/verify_start_end_handshape_annotations//test_auto_move//signs_mov_separ_signers/Liz_5572.mov" TargetMode="External"/><Relationship Id="rId20787" Type="http://schemas.openxmlformats.org/officeDocument/2006/relationships/hyperlink" Target="http://secrets.rutgers.edu:8080/data/asl-ftp/asllvd/demos/verify_start_end_handshape_annotations//test_auto_move//signs_mov/5572.mov" TargetMode="External"/><Relationship Id="rId20788" Type="http://schemas.openxmlformats.org/officeDocument/2006/relationships/hyperlink" Target="http://secrets.rutgers.edu:8080/data/asl-ftp/asllvd/demos/verify_start_end_handshape_annotations//test_auto_move//signs_mov_separ_signers/Liz_5572.mov" TargetMode="External"/><Relationship Id="rId20789" Type="http://schemas.openxmlformats.org/officeDocument/2006/relationships/hyperlink" Target="http://csr.bu.edu/ftp/asl/asllvd/demos/verify_start_end_handshape_annotations//test_auto_move//signs_mov_separ_signers/Brady_5572.mov" TargetMode="External"/><Relationship Id="rId20790" Type="http://schemas.openxmlformats.org/officeDocument/2006/relationships/hyperlink" Target="http://secrets.rutgers.edu:8080/data/asl-ftp/asllvd/demos/verify_start_end_handshape_annotations//test_auto_move//signs_mov_separ_signers/Brady_5572.mov" TargetMode="External"/><Relationship Id="rId20791" Type="http://schemas.openxmlformats.org/officeDocument/2006/relationships/hyperlink" Target="http://csr.bu.edu/ftp/asl/asllvd/demos/verify_start_end_handshape_annotations//test_auto_move//signs_mov_separ_signers/Liz_4323.mov" TargetMode="External"/><Relationship Id="rId20792" Type="http://schemas.openxmlformats.org/officeDocument/2006/relationships/hyperlink" Target="http://secrets.rutgers.edu:8080/data/asl-ftp/asllvd/demos/verify_start_end_handshape_annotations//test_auto_move//signs_mov_separ_signers/Liz_4323.mov" TargetMode="External"/><Relationship Id="rId20793" Type="http://schemas.openxmlformats.org/officeDocument/2006/relationships/hyperlink" Target="http://csr.bu.edu/ftp/asl/asllvd/demos/verify_start_end_handshape_annotations//test_auto_move//signs_mov_separ_signers/Liz_5573.mov" TargetMode="External"/><Relationship Id="rId20794" Type="http://schemas.openxmlformats.org/officeDocument/2006/relationships/hyperlink" Target="http://secrets.rutgers.edu:8080/data/asl-ftp/asllvd/demos/verify_start_end_handshape_annotations//test_auto_move//signs_mov_separ_signers/Liz_5573.mov" TargetMode="External"/><Relationship Id="rId20795" Type="http://schemas.openxmlformats.org/officeDocument/2006/relationships/hyperlink" Target="http://csr.bu.edu/ftp/asl/asllvd/demos/verify_start_end_handshape_annotations//test_auto_move//signs_mov/4323_5573_merged.mov" TargetMode="External"/><Relationship Id="rId20796" Type="http://schemas.openxmlformats.org/officeDocument/2006/relationships/hyperlink" Target="http://csr.bu.edu/ftp/asl/asllvd/demos/verify_start_end_handshape_annotations//test_auto_move//signs_mov_separ_signers/Brady_4323.mov" TargetMode="External"/><Relationship Id="rId20797" Type="http://schemas.openxmlformats.org/officeDocument/2006/relationships/hyperlink" Target="http://secrets.rutgers.edu:8080/data/asl-ftp/asllvd/demos/verify_start_end_handshape_annotations//test_auto_move//signs_mov/4323_5573_merged.mov" TargetMode="External"/><Relationship Id="rId20798" Type="http://schemas.openxmlformats.org/officeDocument/2006/relationships/hyperlink" Target="http://secrets.rutgers.edu:8080/data/asl-ftp/asllvd/demos/verify_start_end_handshape_annotations//test_auto_move//signs_mov_separ_signers/Brady_4323.mov" TargetMode="External"/><Relationship Id="rId20799" Type="http://schemas.openxmlformats.org/officeDocument/2006/relationships/hyperlink" Target="http://csr.bu.edu/ftp/asl/asllvd/demos/verify_start_end_handshape_annotations//test_auto_move//signs_mov_separ_signers/Lana_4323.mov" TargetMode="External"/><Relationship Id="rId20800" Type="http://schemas.openxmlformats.org/officeDocument/2006/relationships/hyperlink" Target="http://secrets.rutgers.edu:8080/data/asl-ftp/asllvd/demos/verify_start_end_handshape_annotations//test_auto_move//signs_mov_separ_signers/Lana_4323.mov" TargetMode="External"/><Relationship Id="rId20801" Type="http://schemas.openxmlformats.org/officeDocument/2006/relationships/hyperlink" Target="http://csr.bu.edu/ftp/asl/asllvd/demos/verify_start_end_handshape_annotations//test_auto_move//signs_mov_separ_signers/Dana_4323.mov" TargetMode="External"/><Relationship Id="rId20802" Type="http://schemas.openxmlformats.org/officeDocument/2006/relationships/hyperlink" Target="http://secrets.rutgers.edu:8080/data/asl-ftp/asllvd/demos/verify_start_end_handshape_annotations//test_auto_move//signs_mov_separ_signers/Dana_4323.mov" TargetMode="External"/><Relationship Id="rId20803" Type="http://schemas.openxmlformats.org/officeDocument/2006/relationships/hyperlink" Target="http://csr.bu.edu/ftp/asl/asllvd/demos/verify_start_end_handshape_annotations//test_auto_move//signs_mov/16361.mov" TargetMode="External"/><Relationship Id="rId20804" Type="http://schemas.openxmlformats.org/officeDocument/2006/relationships/hyperlink" Target="http://csr.bu.edu/ftp/asl/asllvd/demos/verify_start_end_handshape_annotations//test_auto_move//signs_mov_separ_signers/Liz_16361.mov" TargetMode="External"/><Relationship Id="rId20805" Type="http://schemas.openxmlformats.org/officeDocument/2006/relationships/hyperlink" Target="http://secrets.rutgers.edu:8080/data/asl-ftp/asllvd/demos/verify_start_end_handshape_annotations//test_auto_move//signs_mov/16361.mov" TargetMode="External"/><Relationship Id="rId20806" Type="http://schemas.openxmlformats.org/officeDocument/2006/relationships/hyperlink" Target="http://secrets.rutgers.edu:8080/data/asl-ftp/asllvd/demos/verify_start_end_handshape_annotations//test_auto_move//signs_mov_separ_signers/Liz_16361.mov" TargetMode="External"/><Relationship Id="rId20807" Type="http://schemas.openxmlformats.org/officeDocument/2006/relationships/hyperlink" Target="http://csr.bu.edu/ftp/asl/asllvd/demos/verify_start_end_handshape_annotations//test_auto_move//signs_mov_separ_signers/Brady_16361.mov" TargetMode="External"/><Relationship Id="rId20808" Type="http://schemas.openxmlformats.org/officeDocument/2006/relationships/hyperlink" Target="http://secrets.rutgers.edu:8080/data/asl-ftp/asllvd/demos/verify_start_end_handshape_annotations//test_auto_move//signs_mov_separ_signers/Brady_16361.mov" TargetMode="External"/><Relationship Id="rId20809" Type="http://schemas.openxmlformats.org/officeDocument/2006/relationships/hyperlink" Target="http://csr.bu.edu/ftp/asl/asllvd/demos/verify_start_end_handshape_annotations//test_auto_move//signs_mov/4325.mov" TargetMode="External"/><Relationship Id="rId20810" Type="http://schemas.openxmlformats.org/officeDocument/2006/relationships/hyperlink" Target="http://csr.bu.edu/ftp/asl/asllvd/demos/verify_start_end_handshape_annotations//test_auto_move//signs_mov_separ_signers/Liz_4325.mov" TargetMode="External"/><Relationship Id="rId20811" Type="http://schemas.openxmlformats.org/officeDocument/2006/relationships/hyperlink" Target="http://secrets.rutgers.edu:8080/data/asl-ftp/asllvd/demos/verify_start_end_handshape_annotations//test_auto_move//signs_mov/4325.mov" TargetMode="External"/><Relationship Id="rId20812" Type="http://schemas.openxmlformats.org/officeDocument/2006/relationships/hyperlink" Target="http://secrets.rutgers.edu:8080/data/asl-ftp/asllvd/demos/verify_start_end_handshape_annotations//test_auto_move//signs_mov_separ_signers/Liz_4325.mov" TargetMode="External"/><Relationship Id="rId20813" Type="http://schemas.openxmlformats.org/officeDocument/2006/relationships/hyperlink" Target="http://csr.bu.edu/ftp/asl/asllvd/demos/verify_start_end_handshape_annotations//test_auto_move//signs_mov/5574.mov" TargetMode="External"/><Relationship Id="rId20814" Type="http://schemas.openxmlformats.org/officeDocument/2006/relationships/hyperlink" Target="http://csr.bu.edu/ftp/asl/asllvd/demos/verify_start_end_handshape_annotations//test_auto_move//signs_mov_separ_signers/Brady_5574.mov" TargetMode="External"/><Relationship Id="rId20815" Type="http://schemas.openxmlformats.org/officeDocument/2006/relationships/hyperlink" Target="http://secrets.rutgers.edu:8080/data/asl-ftp/asllvd/demos/verify_start_end_handshape_annotations//test_auto_move//signs_mov/5574.mov" TargetMode="External"/><Relationship Id="rId20816" Type="http://schemas.openxmlformats.org/officeDocument/2006/relationships/hyperlink" Target="http://secrets.rutgers.edu:8080/data/asl-ftp/asllvd/demos/verify_start_end_handshape_annotations//test_auto_move//signs_mov_separ_signers/Brady_5574.mov" TargetMode="External"/><Relationship Id="rId20817" Type="http://schemas.openxmlformats.org/officeDocument/2006/relationships/hyperlink" Target="http://csr.bu.edu/ftp/asl/asllvd/demos/verify_start_end_handshape_annotations//test_auto_move//signs_mov/16260.mov" TargetMode="External"/><Relationship Id="rId20818" Type="http://schemas.openxmlformats.org/officeDocument/2006/relationships/hyperlink" Target="http://csr.bu.edu/ftp/asl/asllvd/demos/verify_start_end_handshape_annotations//test_auto_move//signs_mov_separ_signers/Liz_16260.mov" TargetMode="External"/><Relationship Id="rId20819" Type="http://schemas.openxmlformats.org/officeDocument/2006/relationships/hyperlink" Target="http://secrets.rutgers.edu:8080/data/asl-ftp/asllvd/demos/verify_start_end_handshape_annotations//test_auto_move//signs_mov/16260.mov" TargetMode="External"/><Relationship Id="rId20820" Type="http://schemas.openxmlformats.org/officeDocument/2006/relationships/hyperlink" Target="http://secrets.rutgers.edu:8080/data/asl-ftp/asllvd/demos/verify_start_end_handshape_annotations//test_auto_move//signs_mov_separ_signers/Liz_16260.mov" TargetMode="External"/><Relationship Id="rId20821" Type="http://schemas.openxmlformats.org/officeDocument/2006/relationships/hyperlink" Target="http://csr.bu.edu/ftp/asl/asllvd/demos/verify_start_end_handshape_annotations//test_auto_move//signs_mov/16261.mov" TargetMode="External"/><Relationship Id="rId20822" Type="http://schemas.openxmlformats.org/officeDocument/2006/relationships/hyperlink" Target="http://csr.bu.edu/ftp/asl/asllvd/demos/verify_start_end_handshape_annotations//test_auto_move//signs_mov_separ_signers/Brady_16261.mov" TargetMode="External"/><Relationship Id="rId20823" Type="http://schemas.openxmlformats.org/officeDocument/2006/relationships/hyperlink" Target="http://secrets.rutgers.edu:8080/data/asl-ftp/asllvd/demos/verify_start_end_handshape_annotations//test_auto_move//signs_mov/16261.mov" TargetMode="External"/><Relationship Id="rId20824" Type="http://schemas.openxmlformats.org/officeDocument/2006/relationships/hyperlink" Target="http://secrets.rutgers.edu:8080/data/asl-ftp/asllvd/demos/verify_start_end_handshape_annotations//test_auto_move//signs_mov_separ_signers/Brady_16261.mov" TargetMode="External"/><Relationship Id="rId20825" Type="http://schemas.openxmlformats.org/officeDocument/2006/relationships/hyperlink" Target="http://csr.bu.edu/ftp/asl/asllvd/demos/verify_start_end_handshape_annotations//test_auto_move//signs_mov/4327.mov" TargetMode="External"/><Relationship Id="rId20826" Type="http://schemas.openxmlformats.org/officeDocument/2006/relationships/hyperlink" Target="http://csr.bu.edu/ftp/asl/asllvd/demos/verify_start_end_handshape_annotations//test_auto_move//signs_mov_separ_signers/Liz_4327.mov" TargetMode="External"/><Relationship Id="rId20827" Type="http://schemas.openxmlformats.org/officeDocument/2006/relationships/hyperlink" Target="http://secrets.rutgers.edu:8080/data/asl-ftp/asllvd/demos/verify_start_end_handshape_annotations//test_auto_move//signs_mov/4327.mov" TargetMode="External"/><Relationship Id="rId20828" Type="http://schemas.openxmlformats.org/officeDocument/2006/relationships/hyperlink" Target="http://secrets.rutgers.edu:8080/data/asl-ftp/asllvd/demos/verify_start_end_handshape_annotations//test_auto_move//signs_mov_separ_signers/Liz_4327.mov" TargetMode="External"/><Relationship Id="rId20829" Type="http://schemas.openxmlformats.org/officeDocument/2006/relationships/hyperlink" Target="http://csr.bu.edu/ftp/asl/asllvd/demos/verify_start_end_handshape_annotations//test_auto_move//signs_mov_separ_signers/Brady_4327.mov" TargetMode="External"/><Relationship Id="rId20830" Type="http://schemas.openxmlformats.org/officeDocument/2006/relationships/hyperlink" Target="http://secrets.rutgers.edu:8080/data/asl-ftp/asllvd/demos/verify_start_end_handshape_annotations//test_auto_move//signs_mov_separ_signers/Brady_4327.mov" TargetMode="External"/><Relationship Id="rId20831" Type="http://schemas.openxmlformats.org/officeDocument/2006/relationships/hyperlink" Target="http://csr.bu.edu/ftp/asl/asllvd/demos/verify_start_end_handshape_annotations//test_auto_move//signs_mov/5575.mov" TargetMode="External"/><Relationship Id="rId20832" Type="http://schemas.openxmlformats.org/officeDocument/2006/relationships/hyperlink" Target="http://csr.bu.edu/ftp/asl/asllvd/demos/verify_start_end_handshape_annotations//test_auto_move//signs_mov_separ_signers/Liz_5575.mov" TargetMode="External"/><Relationship Id="rId20833" Type="http://schemas.openxmlformats.org/officeDocument/2006/relationships/hyperlink" Target="http://secrets.rutgers.edu:8080/data/asl-ftp/asllvd/demos/verify_start_end_handshape_annotations//test_auto_move//signs_mov/5575.mov" TargetMode="External"/><Relationship Id="rId20834" Type="http://schemas.openxmlformats.org/officeDocument/2006/relationships/hyperlink" Target="http://secrets.rutgers.edu:8080/data/asl-ftp/asllvd/demos/verify_start_end_handshape_annotations//test_auto_move//signs_mov_separ_signers/Liz_5575.mov" TargetMode="External"/><Relationship Id="rId20835" Type="http://schemas.openxmlformats.org/officeDocument/2006/relationships/hyperlink" Target="http://csr.bu.edu/ftp/asl/asllvd/demos/verify_start_end_handshape_annotations//test_auto_move//signs_mov_separ_signers/Liz_4329.mov" TargetMode="External"/><Relationship Id="rId20836" Type="http://schemas.openxmlformats.org/officeDocument/2006/relationships/hyperlink" Target="http://secrets.rutgers.edu:8080/data/asl-ftp/asllvd/demos/verify_start_end_handshape_annotations//test_auto_move//signs_mov_separ_signers/Liz_4329.mov" TargetMode="External"/><Relationship Id="rId20837" Type="http://schemas.openxmlformats.org/officeDocument/2006/relationships/hyperlink" Target="http://csr.bu.edu/ftp/asl/asllvd/demos/verify_start_end_handshape_annotations//test_auto_move//signs_mov/4329.mov" TargetMode="External"/><Relationship Id="rId20838" Type="http://schemas.openxmlformats.org/officeDocument/2006/relationships/hyperlink" Target="http://csr.bu.edu/ftp/asl/asllvd/demos/verify_start_end_handshape_annotations//test_auto_move//signs_mov_separ_signers/Brady_4329.mov" TargetMode="External"/><Relationship Id="rId20839" Type="http://schemas.openxmlformats.org/officeDocument/2006/relationships/hyperlink" Target="http://secrets.rutgers.edu:8080/data/asl-ftp/asllvd/demos/verify_start_end_handshape_annotations//test_auto_move//signs_mov/4329.mov" TargetMode="External"/><Relationship Id="rId20840" Type="http://schemas.openxmlformats.org/officeDocument/2006/relationships/hyperlink" Target="http://secrets.rutgers.edu:8080/data/asl-ftp/asllvd/demos/verify_start_end_handshape_annotations//test_auto_move//signs_mov_separ_signers/Brady_4329.mov" TargetMode="External"/><Relationship Id="rId20841" Type="http://schemas.openxmlformats.org/officeDocument/2006/relationships/hyperlink" Target="http://csr.bu.edu/ftp/asl/asllvd/demos/verify_start_end_handshape_annotations//test_auto_move//signs_mov_separ_signers/Lana_4329.mov" TargetMode="External"/><Relationship Id="rId20842" Type="http://schemas.openxmlformats.org/officeDocument/2006/relationships/hyperlink" Target="http://secrets.rutgers.edu:8080/data/asl-ftp/asllvd/demos/verify_start_end_handshape_annotations//test_auto_move//signs_mov_separ_signers/Lana_4329.mov" TargetMode="External"/><Relationship Id="rId20843" Type="http://schemas.openxmlformats.org/officeDocument/2006/relationships/hyperlink" Target="http://csr.bu.edu/ftp/asl/asllvd/demos/verify_start_end_handshape_annotations//test_auto_move//signs_mov_separ_signers/Dana_4329.mov" TargetMode="External"/><Relationship Id="rId20844" Type="http://schemas.openxmlformats.org/officeDocument/2006/relationships/hyperlink" Target="http://secrets.rutgers.edu:8080/data/asl-ftp/asllvd/demos/verify_start_end_handshape_annotations//test_auto_move//signs_mov_separ_signers/Dana_4329.mov" TargetMode="External"/><Relationship Id="rId20845" Type="http://schemas.openxmlformats.org/officeDocument/2006/relationships/hyperlink" Target="http://csr.bu.edu/ftp/asl/asllvd/demos/verify_start_end_handshape_annotations//test_auto_move//signs_mov/5576.mov" TargetMode="External"/><Relationship Id="rId20846" Type="http://schemas.openxmlformats.org/officeDocument/2006/relationships/hyperlink" Target="http://csr.bu.edu/ftp/asl/asllvd/demos/verify_start_end_handshape_annotations//test_auto_move//signs_mov_separ_signers/Liz_5576.mov" TargetMode="External"/><Relationship Id="rId20847" Type="http://schemas.openxmlformats.org/officeDocument/2006/relationships/hyperlink" Target="http://secrets.rutgers.edu:8080/data/asl-ftp/asllvd/demos/verify_start_end_handshape_annotations//test_auto_move//signs_mov/5576.mov" TargetMode="External"/><Relationship Id="rId20848" Type="http://schemas.openxmlformats.org/officeDocument/2006/relationships/hyperlink" Target="http://secrets.rutgers.edu:8080/data/asl-ftp/asllvd/demos/verify_start_end_handshape_annotations//test_auto_move//signs_mov_separ_signers/Liz_5576.mov" TargetMode="External"/><Relationship Id="rId20849" Type="http://schemas.openxmlformats.org/officeDocument/2006/relationships/hyperlink" Target="http://csr.bu.edu/ftp/asl/asllvd/demos/verify_start_end_handshape_annotations//test_auto_move//signs_mov_separ_signers/Brady_5576.mov" TargetMode="External"/><Relationship Id="rId20850" Type="http://schemas.openxmlformats.org/officeDocument/2006/relationships/hyperlink" Target="http://secrets.rutgers.edu:8080/data/asl-ftp/asllvd/demos/verify_start_end_handshape_annotations//test_auto_move//signs_mov_separ_signers/Brady_5576.mov" TargetMode="External"/><Relationship Id="rId20851" Type="http://schemas.openxmlformats.org/officeDocument/2006/relationships/hyperlink" Target="http://csr.bu.edu/ftp/asl/asllvd/demos/verify_start_end_handshape_annotations//test_auto_move//signs_mov/4331.mov" TargetMode="External"/><Relationship Id="rId20852" Type="http://schemas.openxmlformats.org/officeDocument/2006/relationships/hyperlink" Target="http://csr.bu.edu/ftp/asl/asllvd/demos/verify_start_end_handshape_annotations//test_auto_move//signs_mov_separ_signers/Liz_4331.mov" TargetMode="External"/><Relationship Id="rId20853" Type="http://schemas.openxmlformats.org/officeDocument/2006/relationships/hyperlink" Target="http://secrets.rutgers.edu:8080/data/asl-ftp/asllvd/demos/verify_start_end_handshape_annotations//test_auto_move//signs_mov/4331.mov" TargetMode="External"/><Relationship Id="rId20854" Type="http://schemas.openxmlformats.org/officeDocument/2006/relationships/hyperlink" Target="http://secrets.rutgers.edu:8080/data/asl-ftp/asllvd/demos/verify_start_end_handshape_annotations//test_auto_move//signs_mov_separ_signers/Liz_4331.mov" TargetMode="External"/><Relationship Id="rId20855" Type="http://schemas.openxmlformats.org/officeDocument/2006/relationships/hyperlink" Target="http://csr.bu.edu/ftp/asl/asllvd/demos/verify_start_end_handshape_annotations//test_auto_move//signs_mov_separ_signers/Brady_4331.mov" TargetMode="External"/><Relationship Id="rId20856" Type="http://schemas.openxmlformats.org/officeDocument/2006/relationships/hyperlink" Target="http://secrets.rutgers.edu:8080/data/asl-ftp/asllvd/demos/verify_start_end_handshape_annotations//test_auto_move//signs_mov_separ_signers/Brady_4331.mov" TargetMode="External"/><Relationship Id="rId20857" Type="http://schemas.openxmlformats.org/officeDocument/2006/relationships/hyperlink" Target="http://csr.bu.edu/ftp/asl/asllvd/demos/verify_start_end_handshape_annotations//test_auto_move//signs_mov/5577.mov" TargetMode="External"/><Relationship Id="rId20858" Type="http://schemas.openxmlformats.org/officeDocument/2006/relationships/hyperlink" Target="http://csr.bu.edu/ftp/asl/asllvd/demos/verify_start_end_handshape_annotations//test_auto_move//signs_mov_separ_signers/Liz_5577.mov" TargetMode="External"/><Relationship Id="rId20859" Type="http://schemas.openxmlformats.org/officeDocument/2006/relationships/hyperlink" Target="http://secrets.rutgers.edu:8080/data/asl-ftp/asllvd/demos/verify_start_end_handshape_annotations//test_auto_move//signs_mov/5577.mov" TargetMode="External"/><Relationship Id="rId20860" Type="http://schemas.openxmlformats.org/officeDocument/2006/relationships/hyperlink" Target="http://secrets.rutgers.edu:8080/data/asl-ftp/asllvd/demos/verify_start_end_handshape_annotations//test_auto_move//signs_mov_separ_signers/Liz_5577.mov" TargetMode="External"/><Relationship Id="rId20861" Type="http://schemas.openxmlformats.org/officeDocument/2006/relationships/hyperlink" Target="http://csr.bu.edu/ftp/asl/asllvd/demos/verify_start_end_handshape_annotations//test_auto_move//signs_mov_separ_signers/Brady_5577.mov" TargetMode="External"/><Relationship Id="rId20862" Type="http://schemas.openxmlformats.org/officeDocument/2006/relationships/hyperlink" Target="http://secrets.rutgers.edu:8080/data/asl-ftp/asllvd/demos/verify_start_end_handshape_annotations//test_auto_move//signs_mov_separ_signers/Brady_5577.mov" TargetMode="External"/><Relationship Id="rId20863" Type="http://schemas.openxmlformats.org/officeDocument/2006/relationships/hyperlink" Target="http://csr.bu.edu/ftp/asl/asllvd/demos/verify_start_end_handshape_annotations//test_auto_move//signs_mov_separ_signers/Liz_4333.mov" TargetMode="External"/><Relationship Id="rId20864" Type="http://schemas.openxmlformats.org/officeDocument/2006/relationships/hyperlink" Target="http://secrets.rutgers.edu:8080/data/asl-ftp/asllvd/demos/verify_start_end_handshape_annotations//test_auto_move//signs_mov_separ_signers/Liz_4333.mov" TargetMode="External"/><Relationship Id="rId20865" Type="http://schemas.openxmlformats.org/officeDocument/2006/relationships/hyperlink" Target="http://csr.bu.edu/ftp/asl/asllvd/demos/verify_start_end_handshape_annotations//test_auto_move//signs_mov/4333.mov" TargetMode="External"/><Relationship Id="rId20866" Type="http://schemas.openxmlformats.org/officeDocument/2006/relationships/hyperlink" Target="http://csr.bu.edu/ftp/asl/asllvd/demos/verify_start_end_handshape_annotations//test_auto_move//signs_mov_separ_signers/Brady_4333.mov" TargetMode="External"/><Relationship Id="rId20867" Type="http://schemas.openxmlformats.org/officeDocument/2006/relationships/hyperlink" Target="http://secrets.rutgers.edu:8080/data/asl-ftp/asllvd/demos/verify_start_end_handshape_annotations//test_auto_move//signs_mov/4333.mov" TargetMode="External"/><Relationship Id="rId20868" Type="http://schemas.openxmlformats.org/officeDocument/2006/relationships/hyperlink" Target="http://secrets.rutgers.edu:8080/data/asl-ftp/asllvd/demos/verify_start_end_handshape_annotations//test_auto_move//signs_mov_separ_signers/Brady_4333.mov" TargetMode="External"/><Relationship Id="rId20869" Type="http://schemas.openxmlformats.org/officeDocument/2006/relationships/hyperlink" Target="http://csr.bu.edu/ftp/asl/asllvd/demos/verify_start_end_handshape_annotations//test_auto_move//signs_mov_separ_signers/Lana_4333.mov" TargetMode="External"/><Relationship Id="rId20870" Type="http://schemas.openxmlformats.org/officeDocument/2006/relationships/hyperlink" Target="http://secrets.rutgers.edu:8080/data/asl-ftp/asllvd/demos/verify_start_end_handshape_annotations//test_auto_move//signs_mov_separ_signers/Lana_4333.mov" TargetMode="External"/><Relationship Id="rId20871" Type="http://schemas.openxmlformats.org/officeDocument/2006/relationships/hyperlink" Target="http://csr.bu.edu/ftp/asl/asllvd/demos/verify_start_end_handshape_annotations//test_auto_move//signs_mov_separ_signers/Dana_4333.mov" TargetMode="External"/><Relationship Id="rId20872" Type="http://schemas.openxmlformats.org/officeDocument/2006/relationships/hyperlink" Target="http://secrets.rutgers.edu:8080/data/asl-ftp/asllvd/demos/verify_start_end_handshape_annotations//test_auto_move//signs_mov_separ_signers/Dana_4333.mov" TargetMode="External"/><Relationship Id="rId20873" Type="http://schemas.openxmlformats.org/officeDocument/2006/relationships/hyperlink" Target="http://csr.bu.edu/ftp/asl/asllvd/demos/verify_start_end_handshape_annotations//test_auto_move//signs_mov/5578.mov" TargetMode="External"/><Relationship Id="rId20874" Type="http://schemas.openxmlformats.org/officeDocument/2006/relationships/hyperlink" Target="http://csr.bu.edu/ftp/asl/asllvd/demos/verify_start_end_handshape_annotations//test_auto_move//signs_mov_separ_signers/Liz_5578.mov" TargetMode="External"/><Relationship Id="rId20875" Type="http://schemas.openxmlformats.org/officeDocument/2006/relationships/hyperlink" Target="http://secrets.rutgers.edu:8080/data/asl-ftp/asllvd/demos/verify_start_end_handshape_annotations//test_auto_move//signs_mov/5578.mov" TargetMode="External"/><Relationship Id="rId20876" Type="http://schemas.openxmlformats.org/officeDocument/2006/relationships/hyperlink" Target="http://secrets.rutgers.edu:8080/data/asl-ftp/asllvd/demos/verify_start_end_handshape_annotations//test_auto_move//signs_mov_separ_signers/Liz_5578.mov" TargetMode="External"/><Relationship Id="rId20877" Type="http://schemas.openxmlformats.org/officeDocument/2006/relationships/hyperlink" Target="http://csr.bu.edu/ftp/asl/asllvd/demos/verify_start_end_handshape_annotations//test_auto_move//signs_mov_separ_signers/Brady_5578.mov" TargetMode="External"/><Relationship Id="rId20878" Type="http://schemas.openxmlformats.org/officeDocument/2006/relationships/hyperlink" Target="http://secrets.rutgers.edu:8080/data/asl-ftp/asllvd/demos/verify_start_end_handshape_annotations//test_auto_move//signs_mov_separ_signers/Brady_5578.mov" TargetMode="External"/><Relationship Id="rId20879" Type="http://schemas.openxmlformats.org/officeDocument/2006/relationships/hyperlink" Target="http://csr.bu.edu/ftp/asl/asllvd/demos/verify_start_end_handshape_annotations//test_auto_move//signs_mov_separ_signers/Liz_15969.mov" TargetMode="External"/><Relationship Id="rId20880" Type="http://schemas.openxmlformats.org/officeDocument/2006/relationships/hyperlink" Target="http://secrets.rutgers.edu:8080/data/asl-ftp/asllvd/demos/verify_start_end_handshape_annotations//test_auto_move//signs_mov_separ_signers/Liz_15969.mov" TargetMode="External"/><Relationship Id="rId20881" Type="http://schemas.openxmlformats.org/officeDocument/2006/relationships/hyperlink" Target="http://csr.bu.edu/ftp/asl/asllvd/demos/verify_start_end_handshape_annotations//test_auto_move//signs_mov/15969_15977_merged.mov" TargetMode="External"/><Relationship Id="rId20882" Type="http://schemas.openxmlformats.org/officeDocument/2006/relationships/hyperlink" Target="http://csr.bu.edu/ftp/asl/asllvd/demos/verify_start_end_handshape_annotations//test_auto_move//signs_mov_separ_signers/Brady_15969.mov" TargetMode="External"/><Relationship Id="rId20883" Type="http://schemas.openxmlformats.org/officeDocument/2006/relationships/hyperlink" Target="http://secrets.rutgers.edu:8080/data/asl-ftp/asllvd/demos/verify_start_end_handshape_annotations//test_auto_move//signs_mov/15969_15977_merged.mov" TargetMode="External"/><Relationship Id="rId20884" Type="http://schemas.openxmlformats.org/officeDocument/2006/relationships/hyperlink" Target="http://secrets.rutgers.edu:8080/data/asl-ftp/asllvd/demos/verify_start_end_handshape_annotations//test_auto_move//signs_mov_separ_signers/Brady_15969.mov" TargetMode="External"/><Relationship Id="rId20885" Type="http://schemas.openxmlformats.org/officeDocument/2006/relationships/hyperlink" Target="http://csr.bu.edu/ftp/asl/asllvd/demos/verify_start_end_handshape_annotations//test_auto_move//signs_mov_separ_signers/Brady_15977.mov" TargetMode="External"/><Relationship Id="rId20886" Type="http://schemas.openxmlformats.org/officeDocument/2006/relationships/hyperlink" Target="http://secrets.rutgers.edu:8080/data/asl-ftp/asllvd/demos/verify_start_end_handshape_annotations//test_auto_move//signs_mov_separ_signers/Brady_15977.mov" TargetMode="External"/><Relationship Id="rId20887" Type="http://schemas.openxmlformats.org/officeDocument/2006/relationships/hyperlink" Target="http://csr.bu.edu/ftp/asl/asllvd/demos/verify_start_end_handshape_annotations//test_auto_move//signs_mov_separ_signers/Lana_15969.mov" TargetMode="External"/><Relationship Id="rId20888" Type="http://schemas.openxmlformats.org/officeDocument/2006/relationships/hyperlink" Target="http://secrets.rutgers.edu:8080/data/asl-ftp/asllvd/demos/verify_start_end_handshape_annotations//test_auto_move//signs_mov_separ_signers/Lana_15969.mov" TargetMode="External"/><Relationship Id="rId20889" Type="http://schemas.openxmlformats.org/officeDocument/2006/relationships/hyperlink" Target="http://csr.bu.edu/ftp/asl/asllvd/demos/verify_start_end_handshape_annotations//test_auto_move//signs_mov/16282.mov" TargetMode="External"/><Relationship Id="rId20890" Type="http://schemas.openxmlformats.org/officeDocument/2006/relationships/hyperlink" Target="http://csr.bu.edu/ftp/asl/asllvd/demos/verify_start_end_handshape_annotations//test_auto_move//signs_mov_separ_signers/Liz_16282.mov" TargetMode="External"/><Relationship Id="rId20891" Type="http://schemas.openxmlformats.org/officeDocument/2006/relationships/hyperlink" Target="http://secrets.rutgers.edu:8080/data/asl-ftp/asllvd/demos/verify_start_end_handshape_annotations//test_auto_move//signs_mov/16282.mov" TargetMode="External"/><Relationship Id="rId20892" Type="http://schemas.openxmlformats.org/officeDocument/2006/relationships/hyperlink" Target="http://secrets.rutgers.edu:8080/data/asl-ftp/asllvd/demos/verify_start_end_handshape_annotations//test_auto_move//signs_mov_separ_signers/Liz_16282.mov" TargetMode="External"/><Relationship Id="rId20893" Type="http://schemas.openxmlformats.org/officeDocument/2006/relationships/hyperlink" Target="http://csr.bu.edu/ftp/asl/asllvd/demos/verify_start_end_handshape_annotations//test_auto_move//signs_mov_separ_signers/Brady_16282.mov" TargetMode="External"/><Relationship Id="rId20894" Type="http://schemas.openxmlformats.org/officeDocument/2006/relationships/hyperlink" Target="http://secrets.rutgers.edu:8080/data/asl-ftp/asllvd/demos/verify_start_end_handshape_annotations//test_auto_move//signs_mov_separ_signers/Brady_16282.mov" TargetMode="External"/><Relationship Id="rId20895" Type="http://schemas.openxmlformats.org/officeDocument/2006/relationships/hyperlink" Target="http://csr.bu.edu/ftp/asl/asllvd/demos/verify_start_end_handshape_annotations//test_auto_move//signs_mov/16298.mov" TargetMode="External"/><Relationship Id="rId20896" Type="http://schemas.openxmlformats.org/officeDocument/2006/relationships/hyperlink" Target="http://csr.bu.edu/ftp/asl/asllvd/demos/verify_start_end_handshape_annotations//test_auto_move//signs_mov_separ_signers/Liz_16298.mov" TargetMode="External"/><Relationship Id="rId20897" Type="http://schemas.openxmlformats.org/officeDocument/2006/relationships/hyperlink" Target="http://secrets.rutgers.edu:8080/data/asl-ftp/asllvd/demos/verify_start_end_handshape_annotations//test_auto_move//signs_mov/16298.mov" TargetMode="External"/><Relationship Id="rId20898" Type="http://schemas.openxmlformats.org/officeDocument/2006/relationships/hyperlink" Target="http://secrets.rutgers.edu:8080/data/asl-ftp/asllvd/demos/verify_start_end_handshape_annotations//test_auto_move//signs_mov_separ_signers/Liz_16298.mov" TargetMode="External"/><Relationship Id="rId20899" Type="http://schemas.openxmlformats.org/officeDocument/2006/relationships/hyperlink" Target="http://csr.bu.edu/ftp/asl/asllvd/demos/verify_start_end_handshape_annotations//test_auto_move//signs_mov/4337.mov" TargetMode="External"/><Relationship Id="rId20900" Type="http://schemas.openxmlformats.org/officeDocument/2006/relationships/hyperlink" Target="http://csr.bu.edu/ftp/asl/asllvd/demos/verify_start_end_handshape_annotations//test_auto_move//signs_mov_separ_signers/Liz_4337.mov" TargetMode="External"/><Relationship Id="rId20901" Type="http://schemas.openxmlformats.org/officeDocument/2006/relationships/hyperlink" Target="http://secrets.rutgers.edu:8080/data/asl-ftp/asllvd/demos/verify_start_end_handshape_annotations//test_auto_move//signs_mov/4337.mov" TargetMode="External"/><Relationship Id="rId20902" Type="http://schemas.openxmlformats.org/officeDocument/2006/relationships/hyperlink" Target="http://secrets.rutgers.edu:8080/data/asl-ftp/asllvd/demos/verify_start_end_handshape_annotations//test_auto_move//signs_mov_separ_signers/Liz_4337.mov" TargetMode="External"/><Relationship Id="rId20903" Type="http://schemas.openxmlformats.org/officeDocument/2006/relationships/hyperlink" Target="http://csr.bu.edu/ftp/asl/asllvd/demos/verify_start_end_handshape_annotations//test_auto_move//signs_mov_separ_signers/Brady_4337.mov" TargetMode="External"/><Relationship Id="rId20904" Type="http://schemas.openxmlformats.org/officeDocument/2006/relationships/hyperlink" Target="http://secrets.rutgers.edu:8080/data/asl-ftp/asllvd/demos/verify_start_end_handshape_annotations//test_auto_move//signs_mov_separ_signers/Brady_4337.mov" TargetMode="External"/><Relationship Id="rId20905" Type="http://schemas.openxmlformats.org/officeDocument/2006/relationships/hyperlink" Target="http://csr.bu.edu/ftp/asl/asllvd/demos/verify_start_end_handshape_annotations//test_auto_move//signs_mov/5283.mov" TargetMode="External"/><Relationship Id="rId20906" Type="http://schemas.openxmlformats.org/officeDocument/2006/relationships/hyperlink" Target="http://csr.bu.edu/ftp/asl/asllvd/demos/verify_start_end_handshape_annotations//test_auto_move//signs_mov_separ_signers/Liz_5283.mov" TargetMode="External"/><Relationship Id="rId20907" Type="http://schemas.openxmlformats.org/officeDocument/2006/relationships/hyperlink" Target="http://secrets.rutgers.edu:8080/data/asl-ftp/asllvd/demos/verify_start_end_handshape_annotations//test_auto_move//signs_mov/5283.mov" TargetMode="External"/><Relationship Id="rId20908" Type="http://schemas.openxmlformats.org/officeDocument/2006/relationships/hyperlink" Target="http://secrets.rutgers.edu:8080/data/asl-ftp/asllvd/demos/verify_start_end_handshape_annotations//test_auto_move//signs_mov_separ_signers/Liz_5283.mov" TargetMode="External"/><Relationship Id="rId20909" Type="http://schemas.openxmlformats.org/officeDocument/2006/relationships/hyperlink" Target="http://csr.bu.edu/ftp/asl/asllvd/demos/verify_start_end_handshape_annotations//test_auto_move//signs_mov_separ_signers/Brady_5283.mov" TargetMode="External"/><Relationship Id="rId20910" Type="http://schemas.openxmlformats.org/officeDocument/2006/relationships/hyperlink" Target="http://secrets.rutgers.edu:8080/data/asl-ftp/asllvd/demos/verify_start_end_handshape_annotations//test_auto_move//signs_mov_separ_signers/Brady_5283.mov" TargetMode="External"/><Relationship Id="rId20911" Type="http://schemas.openxmlformats.org/officeDocument/2006/relationships/hyperlink" Target="http://csr.bu.edu/ftp/asl/asllvd/demos/verify_start_end_handshape_annotations//test_auto_move//signs_mov_separ_signers/Liz_4339.mov" TargetMode="External"/><Relationship Id="rId20912" Type="http://schemas.openxmlformats.org/officeDocument/2006/relationships/hyperlink" Target="http://secrets.rutgers.edu:8080/data/asl-ftp/asllvd/demos/verify_start_end_handshape_annotations//test_auto_move//signs_mov_separ_signers/Liz_4339.mov" TargetMode="External"/><Relationship Id="rId20913" Type="http://schemas.openxmlformats.org/officeDocument/2006/relationships/hyperlink" Target="http://csr.bu.edu/ftp/asl/asllvd/demos/verify_start_end_handshape_annotations//test_auto_move//signs_mov/4339_5579_merged.mov" TargetMode="External"/><Relationship Id="rId20914" Type="http://schemas.openxmlformats.org/officeDocument/2006/relationships/hyperlink" Target="http://csr.bu.edu/ftp/asl/asllvd/demos/verify_start_end_handshape_annotations//test_auto_move//signs_mov_separ_signers/Brady_4339.mov" TargetMode="External"/><Relationship Id="rId20915" Type="http://schemas.openxmlformats.org/officeDocument/2006/relationships/hyperlink" Target="http://secrets.rutgers.edu:8080/data/asl-ftp/asllvd/demos/verify_start_end_handshape_annotations//test_auto_move//signs_mov/4339_5579_merged.mov" TargetMode="External"/><Relationship Id="rId20916" Type="http://schemas.openxmlformats.org/officeDocument/2006/relationships/hyperlink" Target="http://secrets.rutgers.edu:8080/data/asl-ftp/asllvd/demos/verify_start_end_handshape_annotations//test_auto_move//signs_mov_separ_signers/Brady_4339.mov" TargetMode="External"/><Relationship Id="rId20917" Type="http://schemas.openxmlformats.org/officeDocument/2006/relationships/hyperlink" Target="http://csr.bu.edu/ftp/asl/asllvd/demos/verify_start_end_handshape_annotations//test_auto_move//signs_mov_separ_signers/Brady_5579.mov" TargetMode="External"/><Relationship Id="rId20918" Type="http://schemas.openxmlformats.org/officeDocument/2006/relationships/hyperlink" Target="http://secrets.rutgers.edu:8080/data/asl-ftp/asllvd/demos/verify_start_end_handshape_annotations//test_auto_move//signs_mov_separ_signers/Brady_5579.mov" TargetMode="External"/><Relationship Id="rId20919" Type="http://schemas.openxmlformats.org/officeDocument/2006/relationships/hyperlink" Target="http://csr.bu.edu/ftp/asl/asllvd/demos/verify_start_end_handshape_annotations//test_auto_move//signs_mov/16561.mov" TargetMode="External"/><Relationship Id="rId20920" Type="http://schemas.openxmlformats.org/officeDocument/2006/relationships/hyperlink" Target="http://csr.bu.edu/ftp/asl/asllvd/demos/verify_start_end_handshape_annotations//test_auto_move//signs_mov_separ_signers/Liz_16561.mov" TargetMode="External"/><Relationship Id="rId20921" Type="http://schemas.openxmlformats.org/officeDocument/2006/relationships/hyperlink" Target="http://secrets.rutgers.edu:8080/data/asl-ftp/asllvd/demos/verify_start_end_handshape_annotations//test_auto_move//signs_mov/16561.mov" TargetMode="External"/><Relationship Id="rId20922" Type="http://schemas.openxmlformats.org/officeDocument/2006/relationships/hyperlink" Target="http://secrets.rutgers.edu:8080/data/asl-ftp/asllvd/demos/verify_start_end_handshape_annotations//test_auto_move//signs_mov_separ_signers/Liz_16561.mov" TargetMode="External"/><Relationship Id="rId20923" Type="http://schemas.openxmlformats.org/officeDocument/2006/relationships/hyperlink" Target="http://csr.bu.edu/ftp/asl/asllvd/demos/verify_start_end_handshape_annotations//test_auto_move//signs_mov/4343.mov" TargetMode="External"/><Relationship Id="rId20924" Type="http://schemas.openxmlformats.org/officeDocument/2006/relationships/hyperlink" Target="http://csr.bu.edu/ftp/asl/asllvd/demos/verify_start_end_handshape_annotations//test_auto_move//signs_mov_separ_signers/Liz_4343.mov" TargetMode="External"/><Relationship Id="rId20925" Type="http://schemas.openxmlformats.org/officeDocument/2006/relationships/hyperlink" Target="http://secrets.rutgers.edu:8080/data/asl-ftp/asllvd/demos/verify_start_end_handshape_annotations//test_auto_move//signs_mov/4343.mov" TargetMode="External"/><Relationship Id="rId20926" Type="http://schemas.openxmlformats.org/officeDocument/2006/relationships/hyperlink" Target="http://secrets.rutgers.edu:8080/data/asl-ftp/asllvd/demos/verify_start_end_handshape_annotations//test_auto_move//signs_mov_separ_signers/Liz_4343.mov" TargetMode="External"/><Relationship Id="rId20927" Type="http://schemas.openxmlformats.org/officeDocument/2006/relationships/hyperlink" Target="http://csr.bu.edu/ftp/asl/asllvd/demos/verify_start_end_handshape_annotations//test_auto_move//signs_mov_separ_signers/Brady_4343.mov" TargetMode="External"/><Relationship Id="rId20928" Type="http://schemas.openxmlformats.org/officeDocument/2006/relationships/hyperlink" Target="http://secrets.rutgers.edu:8080/data/asl-ftp/asllvd/demos/verify_start_end_handshape_annotations//test_auto_move//signs_mov_separ_signers/Brady_4343.mov" TargetMode="External"/><Relationship Id="rId20929" Type="http://schemas.openxmlformats.org/officeDocument/2006/relationships/hyperlink" Target="http://csr.bu.edu/ftp/asl/asllvd/demos/verify_start_end_handshape_annotations//test_auto_move//signs_mov_separ_signers/Liz_4345.mov" TargetMode="External"/><Relationship Id="rId20930" Type="http://schemas.openxmlformats.org/officeDocument/2006/relationships/hyperlink" Target="http://secrets.rutgers.edu:8080/data/asl-ftp/asllvd/demos/verify_start_end_handshape_annotations//test_auto_move//signs_mov_separ_signers/Liz_4345.mov" TargetMode="External"/><Relationship Id="rId20931" Type="http://schemas.openxmlformats.org/officeDocument/2006/relationships/hyperlink" Target="http://csr.bu.edu/ftp/asl/asllvd/demos/verify_start_end_handshape_annotations//test_auto_move//signs_mov/4345_5311_5313_merged.mov" TargetMode="External"/><Relationship Id="rId20932" Type="http://schemas.openxmlformats.org/officeDocument/2006/relationships/hyperlink" Target="http://csr.bu.edu/ftp/asl/asllvd/demos/verify_start_end_handshape_annotations//test_auto_move//signs_mov_separ_signers/Brady_4345.mov" TargetMode="External"/><Relationship Id="rId20933" Type="http://schemas.openxmlformats.org/officeDocument/2006/relationships/hyperlink" Target="http://secrets.rutgers.edu:8080/data/asl-ftp/asllvd/demos/verify_start_end_handshape_annotations//test_auto_move//signs_mov/4345_5311_5313_merged.mov" TargetMode="External"/><Relationship Id="rId20934" Type="http://schemas.openxmlformats.org/officeDocument/2006/relationships/hyperlink" Target="http://secrets.rutgers.edu:8080/data/asl-ftp/asllvd/demos/verify_start_end_handshape_annotations//test_auto_move//signs_mov_separ_signers/Brady_4345.mov" TargetMode="External"/><Relationship Id="rId20935" Type="http://schemas.openxmlformats.org/officeDocument/2006/relationships/hyperlink" Target="http://csr.bu.edu/ftp/asl/asllvd/demos/verify_start_end_handshape_annotations//test_auto_move//signs_mov_separ_signers/Brady_5311.mov" TargetMode="External"/><Relationship Id="rId20936" Type="http://schemas.openxmlformats.org/officeDocument/2006/relationships/hyperlink" Target="http://secrets.rutgers.edu:8080/data/asl-ftp/asllvd/demos/verify_start_end_handshape_annotations//test_auto_move//signs_mov_separ_signers/Brady_5311.mov" TargetMode="External"/><Relationship Id="rId20937" Type="http://schemas.openxmlformats.org/officeDocument/2006/relationships/hyperlink" Target="http://csr.bu.edu/ftp/asl/asllvd/demos/verify_start_end_handshape_annotations//test_auto_move//signs_mov_separ_signers/Brady_5313.mov" TargetMode="External"/><Relationship Id="rId20938" Type="http://schemas.openxmlformats.org/officeDocument/2006/relationships/hyperlink" Target="http://secrets.rutgers.edu:8080/data/asl-ftp/asllvd/demos/verify_start_end_handshape_annotations//test_auto_move//signs_mov_separ_signers/Brady_5313.mov" TargetMode="External"/><Relationship Id="rId20939" Type="http://schemas.openxmlformats.org/officeDocument/2006/relationships/hyperlink" Target="http://csr.bu.edu/ftp/asl/asllvd/demos/verify_start_end_handshape_annotations//test_auto_move//signs_mov_separ_signers/Liz_4349.mov" TargetMode="External"/><Relationship Id="rId20940" Type="http://schemas.openxmlformats.org/officeDocument/2006/relationships/hyperlink" Target="http://secrets.rutgers.edu:8080/data/asl-ftp/asllvd/demos/verify_start_end_handshape_annotations//test_auto_move//signs_mov_separ_signers/Liz_4349.mov" TargetMode="External"/><Relationship Id="rId20941" Type="http://schemas.openxmlformats.org/officeDocument/2006/relationships/hyperlink" Target="http://csr.bu.edu/ftp/asl/asllvd/demos/verify_start_end_handshape_annotations//test_auto_move//signs_mov/4349.mov" TargetMode="External"/><Relationship Id="rId20942" Type="http://schemas.openxmlformats.org/officeDocument/2006/relationships/hyperlink" Target="http://csr.bu.edu/ftp/asl/asllvd/demos/verify_start_end_handshape_annotations//test_auto_move//signs_mov_separ_signers/Tyler_4349.mov" TargetMode="External"/><Relationship Id="rId20943" Type="http://schemas.openxmlformats.org/officeDocument/2006/relationships/hyperlink" Target="http://secrets.rutgers.edu:8080/data/asl-ftp/asllvd/demos/verify_start_end_handshape_annotations//test_auto_move//signs_mov/4349.mov" TargetMode="External"/><Relationship Id="rId20944" Type="http://schemas.openxmlformats.org/officeDocument/2006/relationships/hyperlink" Target="http://secrets.rutgers.edu:8080/data/asl-ftp/asllvd/demos/verify_start_end_handshape_annotations//test_auto_move//signs_mov_separ_signers/Tyler_4349.mov" TargetMode="External"/><Relationship Id="rId20945" Type="http://schemas.openxmlformats.org/officeDocument/2006/relationships/hyperlink" Target="http://csr.bu.edu/ftp/asl/asllvd/demos/verify_start_end_handshape_annotations//test_auto_move//signs_mov_separ_signers/Brady_4349.mov" TargetMode="External"/><Relationship Id="rId20946" Type="http://schemas.openxmlformats.org/officeDocument/2006/relationships/hyperlink" Target="http://secrets.rutgers.edu:8080/data/asl-ftp/asllvd/demos/verify_start_end_handshape_annotations//test_auto_move//signs_mov_separ_signers/Brady_4349.mov" TargetMode="External"/><Relationship Id="rId20947" Type="http://schemas.openxmlformats.org/officeDocument/2006/relationships/hyperlink" Target="http://csr.bu.edu/ftp/asl/asllvd/demos/verify_start_end_handshape_annotations//test_auto_move//signs_mov/4361.mov" TargetMode="External"/><Relationship Id="rId20948" Type="http://schemas.openxmlformats.org/officeDocument/2006/relationships/hyperlink" Target="http://csr.bu.edu/ftp/asl/asllvd/demos/verify_start_end_handshape_annotations//test_auto_move//signs_mov_separ_signers/Liz_4361.mov" TargetMode="External"/><Relationship Id="rId20949" Type="http://schemas.openxmlformats.org/officeDocument/2006/relationships/hyperlink" Target="http://secrets.rutgers.edu:8080/data/asl-ftp/asllvd/demos/verify_start_end_handshape_annotations//test_auto_move//signs_mov/4361.mov" TargetMode="External"/><Relationship Id="rId20950" Type="http://schemas.openxmlformats.org/officeDocument/2006/relationships/hyperlink" Target="http://secrets.rutgers.edu:8080/data/asl-ftp/asllvd/demos/verify_start_end_handshape_annotations//test_auto_move//signs_mov_separ_signers/Liz_4361.mov" TargetMode="External"/><Relationship Id="rId20951" Type="http://schemas.openxmlformats.org/officeDocument/2006/relationships/hyperlink" Target="http://csr.bu.edu/ftp/asl/asllvd/demos/verify_start_end_handshape_annotations//test_auto_move//signs_mov_separ_signers/Dana_4361.mov" TargetMode="External"/><Relationship Id="rId20952" Type="http://schemas.openxmlformats.org/officeDocument/2006/relationships/hyperlink" Target="http://secrets.rutgers.edu:8080/data/asl-ftp/asllvd/demos/verify_start_end_handshape_annotations//test_auto_move//signs_mov_separ_signers/Dana_4361.mov" TargetMode="External"/><Relationship Id="rId20953" Type="http://schemas.openxmlformats.org/officeDocument/2006/relationships/hyperlink" Target="http://csr.bu.edu/ftp/asl/asllvd/demos/verify_start_end_handshape_annotations//test_auto_move//signs_mov/5377.mov" TargetMode="External"/><Relationship Id="rId20954" Type="http://schemas.openxmlformats.org/officeDocument/2006/relationships/hyperlink" Target="http://csr.bu.edu/ftp/asl/asllvd/demos/verify_start_end_handshape_annotations//test_auto_move//signs_mov_separ_signers/Lana_5377.mov" TargetMode="External"/><Relationship Id="rId20955" Type="http://schemas.openxmlformats.org/officeDocument/2006/relationships/hyperlink" Target="http://secrets.rutgers.edu:8080/data/asl-ftp/asllvd/demos/verify_start_end_handshape_annotations//test_auto_move//signs_mov/5377.mov" TargetMode="External"/><Relationship Id="rId20956" Type="http://schemas.openxmlformats.org/officeDocument/2006/relationships/hyperlink" Target="http://secrets.rutgers.edu:8080/data/asl-ftp/asllvd/demos/verify_start_end_handshape_annotations//test_auto_move//signs_mov_separ_signers/Lana_5377.mov" TargetMode="External"/><Relationship Id="rId20957" Type="http://schemas.openxmlformats.org/officeDocument/2006/relationships/hyperlink" Target="http://csr.bu.edu/ftp/asl/asllvd/demos/verify_start_end_handshape_annotations//test_auto_move//signs_mov/4362.mov" TargetMode="External"/><Relationship Id="rId20958" Type="http://schemas.openxmlformats.org/officeDocument/2006/relationships/hyperlink" Target="http://csr.bu.edu/ftp/asl/asllvd/demos/verify_start_end_handshape_annotations//test_auto_move//signs_mov_separ_signers/Liz_4362.mov" TargetMode="External"/><Relationship Id="rId20959" Type="http://schemas.openxmlformats.org/officeDocument/2006/relationships/hyperlink" Target="http://secrets.rutgers.edu:8080/data/asl-ftp/asllvd/demos/verify_start_end_handshape_annotations//test_auto_move//signs_mov/4362.mov" TargetMode="External"/><Relationship Id="rId20960" Type="http://schemas.openxmlformats.org/officeDocument/2006/relationships/hyperlink" Target="http://secrets.rutgers.edu:8080/data/asl-ftp/asllvd/demos/verify_start_end_handshape_annotations//test_auto_move//signs_mov_separ_signers/Liz_4362.mov" TargetMode="External"/><Relationship Id="rId20961" Type="http://schemas.openxmlformats.org/officeDocument/2006/relationships/hyperlink" Target="http://csr.bu.edu/ftp/asl/asllvd/demos/verify_start_end_handshape_annotations//test_auto_move//signs_mov_separ_signers/Brady_4362.mov" TargetMode="External"/><Relationship Id="rId20962" Type="http://schemas.openxmlformats.org/officeDocument/2006/relationships/hyperlink" Target="http://secrets.rutgers.edu:8080/data/asl-ftp/asllvd/demos/verify_start_end_handshape_annotations//test_auto_move//signs_mov_separ_signers/Brady_4362.mov" TargetMode="External"/><Relationship Id="rId20963" Type="http://schemas.openxmlformats.org/officeDocument/2006/relationships/hyperlink" Target="http://csr.bu.edu/ftp/asl/asllvd/demos/verify_start_end_handshape_annotations//test_auto_move//signs_mov/4364.mov" TargetMode="External"/><Relationship Id="rId20964" Type="http://schemas.openxmlformats.org/officeDocument/2006/relationships/hyperlink" Target="http://csr.bu.edu/ftp/asl/asllvd/demos/verify_start_end_handshape_annotations//test_auto_move//signs_mov_separ_signers/Liz_4364.mov" TargetMode="External"/><Relationship Id="rId20965" Type="http://schemas.openxmlformats.org/officeDocument/2006/relationships/hyperlink" Target="http://secrets.rutgers.edu:8080/data/asl-ftp/asllvd/demos/verify_start_end_handshape_annotations//test_auto_move//signs_mov/4364.mov" TargetMode="External"/><Relationship Id="rId20966" Type="http://schemas.openxmlformats.org/officeDocument/2006/relationships/hyperlink" Target="http://secrets.rutgers.edu:8080/data/asl-ftp/asllvd/demos/verify_start_end_handshape_annotations//test_auto_move//signs_mov_separ_signers/Liz_4364.mov" TargetMode="External"/><Relationship Id="rId20967" Type="http://schemas.openxmlformats.org/officeDocument/2006/relationships/hyperlink" Target="http://csr.bu.edu/ftp/asl/asllvd/demos/verify_start_end_handshape_annotations//test_auto_move//signs_mov/15143.mov" TargetMode="External"/><Relationship Id="rId20968" Type="http://schemas.openxmlformats.org/officeDocument/2006/relationships/hyperlink" Target="http://csr.bu.edu/ftp/asl/asllvd/demos/verify_start_end_handshape_annotations//test_auto_move//signs_mov_separ_signers/Brady_15143.mov" TargetMode="External"/><Relationship Id="rId20969" Type="http://schemas.openxmlformats.org/officeDocument/2006/relationships/hyperlink" Target="http://secrets.rutgers.edu:8080/data/asl-ftp/asllvd/demos/verify_start_end_handshape_annotations//test_auto_move//signs_mov/15143.mov" TargetMode="External"/><Relationship Id="rId20970" Type="http://schemas.openxmlformats.org/officeDocument/2006/relationships/hyperlink" Target="http://secrets.rutgers.edu:8080/data/asl-ftp/asllvd/demos/verify_start_end_handshape_annotations//test_auto_move//signs_mov_separ_signers/Brady_15143.mov" TargetMode="External"/><Relationship Id="rId20971" Type="http://schemas.openxmlformats.org/officeDocument/2006/relationships/hyperlink" Target="http://csr.bu.edu/ftp/asl/asllvd/demos/verify_start_end_handshape_annotations//test_auto_move//signs_mov/4369.mov" TargetMode="External"/><Relationship Id="rId20972" Type="http://schemas.openxmlformats.org/officeDocument/2006/relationships/hyperlink" Target="http://csr.bu.edu/ftp/asl/asllvd/demos/verify_start_end_handshape_annotations//test_auto_move//signs_mov_separ_signers/Liz_4369.mov" TargetMode="External"/><Relationship Id="rId20973" Type="http://schemas.openxmlformats.org/officeDocument/2006/relationships/hyperlink" Target="http://secrets.rutgers.edu:8080/data/asl-ftp/asllvd/demos/verify_start_end_handshape_annotations//test_auto_move//signs_mov/4369.mov" TargetMode="External"/><Relationship Id="rId20974" Type="http://schemas.openxmlformats.org/officeDocument/2006/relationships/hyperlink" Target="http://secrets.rutgers.edu:8080/data/asl-ftp/asllvd/demos/verify_start_end_handshape_annotations//test_auto_move//signs_mov_separ_signers/Liz_4369.mov" TargetMode="External"/><Relationship Id="rId20975" Type="http://schemas.openxmlformats.org/officeDocument/2006/relationships/hyperlink" Target="http://csr.bu.edu/ftp/asl/asllvd/demos/verify_start_end_handshape_annotations//test_auto_move//signs_mov/16073.mov" TargetMode="External"/><Relationship Id="rId20976" Type="http://schemas.openxmlformats.org/officeDocument/2006/relationships/hyperlink" Target="http://csr.bu.edu/ftp/asl/asllvd/demos/verify_start_end_handshape_annotations//test_auto_move//signs_mov_separ_signers/Liz_16073.mov" TargetMode="External"/><Relationship Id="rId20977" Type="http://schemas.openxmlformats.org/officeDocument/2006/relationships/hyperlink" Target="http://secrets.rutgers.edu:8080/data/asl-ftp/asllvd/demos/verify_start_end_handshape_annotations//test_auto_move//signs_mov/16073.mov" TargetMode="External"/><Relationship Id="rId20978" Type="http://schemas.openxmlformats.org/officeDocument/2006/relationships/hyperlink" Target="http://secrets.rutgers.edu:8080/data/asl-ftp/asllvd/demos/verify_start_end_handshape_annotations//test_auto_move//signs_mov_separ_signers/Liz_16073.mov" TargetMode="External"/><Relationship Id="rId20979" Type="http://schemas.openxmlformats.org/officeDocument/2006/relationships/hyperlink" Target="http://csr.bu.edu/ftp/asl/asllvd/demos/verify_start_end_handshape_annotations//test_auto_move//signs_mov_separ_signers/Brady_16073.mov" TargetMode="External"/><Relationship Id="rId20980" Type="http://schemas.openxmlformats.org/officeDocument/2006/relationships/hyperlink" Target="http://secrets.rutgers.edu:8080/data/asl-ftp/asllvd/demos/verify_start_end_handshape_annotations//test_auto_move//signs_mov_separ_signers/Brady_16073.mov" TargetMode="External"/><Relationship Id="rId20981" Type="http://schemas.openxmlformats.org/officeDocument/2006/relationships/hyperlink" Target="http://csr.bu.edu/ftp/asl/asllvd/demos/verify_start_end_handshape_annotations//test_auto_move//signs_mov/4375.mov" TargetMode="External"/><Relationship Id="rId20982" Type="http://schemas.openxmlformats.org/officeDocument/2006/relationships/hyperlink" Target="http://csr.bu.edu/ftp/asl/asllvd/demos/verify_start_end_handshape_annotations//test_auto_move//signs_mov_separ_signers/Liz_4375.mov" TargetMode="External"/><Relationship Id="rId20983" Type="http://schemas.openxmlformats.org/officeDocument/2006/relationships/hyperlink" Target="http://secrets.rutgers.edu:8080/data/asl-ftp/asllvd/demos/verify_start_end_handshape_annotations//test_auto_move//signs_mov/4375.mov" TargetMode="External"/><Relationship Id="rId20984" Type="http://schemas.openxmlformats.org/officeDocument/2006/relationships/hyperlink" Target="http://secrets.rutgers.edu:8080/data/asl-ftp/asllvd/demos/verify_start_end_handshape_annotations//test_auto_move//signs_mov_separ_signers/Liz_4375.mov" TargetMode="External"/><Relationship Id="rId20985" Type="http://schemas.openxmlformats.org/officeDocument/2006/relationships/hyperlink" Target="http://csr.bu.edu/ftp/asl/asllvd/demos/verify_start_end_handshape_annotations//test_auto_move//signs_mov_separ_signers/Brady_4375.mov" TargetMode="External"/><Relationship Id="rId20986" Type="http://schemas.openxmlformats.org/officeDocument/2006/relationships/hyperlink" Target="http://secrets.rutgers.edu:8080/data/asl-ftp/asllvd/demos/verify_start_end_handshape_annotations//test_auto_move//signs_mov_separ_signers/Brady_4375.mov" TargetMode="External"/><Relationship Id="rId20987" Type="http://schemas.openxmlformats.org/officeDocument/2006/relationships/hyperlink" Target="http://csr.bu.edu/ftp/asl/asllvd/demos/verify_start_end_handshape_annotations//test_auto_move//signs_mov_separ_signers/Liz_15565.mov" TargetMode="External"/><Relationship Id="rId20988" Type="http://schemas.openxmlformats.org/officeDocument/2006/relationships/hyperlink" Target="http://secrets.rutgers.edu:8080/data/asl-ftp/asllvd/demos/verify_start_end_handshape_annotations//test_auto_move//signs_mov_separ_signers/Liz_15565.mov" TargetMode="External"/><Relationship Id="rId20989" Type="http://schemas.openxmlformats.org/officeDocument/2006/relationships/hyperlink" Target="http://csr.bu.edu/ftp/asl/asllvd/demos/verify_start_end_handshape_annotations//test_auto_move//signs_mov_separ_signers/Liz_15569.mov" TargetMode="External"/><Relationship Id="rId20990" Type="http://schemas.openxmlformats.org/officeDocument/2006/relationships/hyperlink" Target="http://secrets.rutgers.edu:8080/data/asl-ftp/asllvd/demos/verify_start_end_handshape_annotations//test_auto_move//signs_mov_separ_signers/Liz_15569.mov" TargetMode="External"/><Relationship Id="rId20991" Type="http://schemas.openxmlformats.org/officeDocument/2006/relationships/hyperlink" Target="http://csr.bu.edu/ftp/asl/asllvd/demos/verify_start_end_handshape_annotations//test_auto_move//signs_mov_separ_signers/Liz_15656.mov" TargetMode="External"/><Relationship Id="rId20992" Type="http://schemas.openxmlformats.org/officeDocument/2006/relationships/hyperlink" Target="http://secrets.rutgers.edu:8080/data/asl-ftp/asllvd/demos/verify_start_end_handshape_annotations//test_auto_move//signs_mov_separ_signers/Liz_15656.mov" TargetMode="External"/><Relationship Id="rId20993" Type="http://schemas.openxmlformats.org/officeDocument/2006/relationships/hyperlink" Target="http://csr.bu.edu/ftp/asl/asllvd/demos/verify_start_end_handshape_annotations//test_auto_move//signs_mov/15565_15569_15656_16212_merged.mov" TargetMode="External"/><Relationship Id="rId20994" Type="http://schemas.openxmlformats.org/officeDocument/2006/relationships/hyperlink" Target="http://csr.bu.edu/ftp/asl/asllvd/demos/verify_start_end_handshape_annotations//test_auto_move//signs_mov_separ_signers/Brady_15565.mov" TargetMode="External"/><Relationship Id="rId20995" Type="http://schemas.openxmlformats.org/officeDocument/2006/relationships/hyperlink" Target="http://secrets.rutgers.edu:8080/data/asl-ftp/asllvd/demos/verify_start_end_handshape_annotations//test_auto_move//signs_mov/15565_15569_15656_16212_merged.mov" TargetMode="External"/><Relationship Id="rId20996" Type="http://schemas.openxmlformats.org/officeDocument/2006/relationships/hyperlink" Target="http://secrets.rutgers.edu:8080/data/asl-ftp/asllvd/demos/verify_start_end_handshape_annotations//test_auto_move//signs_mov_separ_signers/Brady_15565.mov" TargetMode="External"/><Relationship Id="rId20997" Type="http://schemas.openxmlformats.org/officeDocument/2006/relationships/hyperlink" Target="http://csr.bu.edu/ftp/asl/asllvd/demos/verify_start_end_handshape_annotations//test_auto_move//signs_mov_separ_signers/Brady_15569.mov" TargetMode="External"/><Relationship Id="rId20998" Type="http://schemas.openxmlformats.org/officeDocument/2006/relationships/hyperlink" Target="http://secrets.rutgers.edu:8080/data/asl-ftp/asllvd/demos/verify_start_end_handshape_annotations//test_auto_move//signs_mov_separ_signers/Brady_15569.mov" TargetMode="External"/><Relationship Id="rId20999" Type="http://schemas.openxmlformats.org/officeDocument/2006/relationships/hyperlink" Target="http://csr.bu.edu/ftp/asl/asllvd/demos/verify_start_end_handshape_annotations//test_auto_move//signs_mov_separ_signers/Brady_15656.mov" TargetMode="External"/><Relationship Id="rId21000" Type="http://schemas.openxmlformats.org/officeDocument/2006/relationships/hyperlink" Target="http://secrets.rutgers.edu:8080/data/asl-ftp/asllvd/demos/verify_start_end_handshape_annotations//test_auto_move//signs_mov_separ_signers/Brady_15656.mov" TargetMode="External"/><Relationship Id="rId21001" Type="http://schemas.openxmlformats.org/officeDocument/2006/relationships/hyperlink" Target="http://csr.bu.edu/ftp/asl/asllvd/demos/verify_start_end_handshape_annotations//test_auto_move//signs_mov_separ_signers/Brady_16212.mov" TargetMode="External"/><Relationship Id="rId21002" Type="http://schemas.openxmlformats.org/officeDocument/2006/relationships/hyperlink" Target="http://secrets.rutgers.edu:8080/data/asl-ftp/asllvd/demos/verify_start_end_handshape_annotations//test_auto_move//signs_mov_separ_signers/Brady_16212.mov" TargetMode="External"/><Relationship Id="rId21003" Type="http://schemas.openxmlformats.org/officeDocument/2006/relationships/hyperlink" Target="http://csr.bu.edu/ftp/asl/asllvd/demos/verify_start_end_handshape_annotations//test_auto_move//signs_mov/16213.mov" TargetMode="External"/><Relationship Id="rId21004" Type="http://schemas.openxmlformats.org/officeDocument/2006/relationships/hyperlink" Target="http://csr.bu.edu/ftp/asl/asllvd/demos/verify_start_end_handshape_annotations//test_auto_move//signs_mov_separ_signers/Naomi_16213.mov" TargetMode="External"/><Relationship Id="rId21005" Type="http://schemas.openxmlformats.org/officeDocument/2006/relationships/hyperlink" Target="http://secrets.rutgers.edu:8080/data/asl-ftp/asllvd/demos/verify_start_end_handshape_annotations//test_auto_move//signs_mov/16213.mov" TargetMode="External"/><Relationship Id="rId21006" Type="http://schemas.openxmlformats.org/officeDocument/2006/relationships/hyperlink" Target="http://secrets.rutgers.edu:8080/data/asl-ftp/asllvd/demos/verify_start_end_handshape_annotations//test_auto_move//signs_mov_separ_signers/Naomi_16213.mov" TargetMode="External"/><Relationship Id="rId21007" Type="http://schemas.openxmlformats.org/officeDocument/2006/relationships/hyperlink" Target="http://csr.bu.edu/ftp/asl/asllvd/demos/verify_start_end_handshape_annotations//test_auto_move//signs_mov/4376.mov" TargetMode="External"/><Relationship Id="rId21008" Type="http://schemas.openxmlformats.org/officeDocument/2006/relationships/hyperlink" Target="http://csr.bu.edu/ftp/asl/asllvd/demos/verify_start_end_handshape_annotations//test_auto_move//signs_mov_separ_signers/Liz_4376.mov" TargetMode="External"/><Relationship Id="rId21009" Type="http://schemas.openxmlformats.org/officeDocument/2006/relationships/hyperlink" Target="http://secrets.rutgers.edu:8080/data/asl-ftp/asllvd/demos/verify_start_end_handshape_annotations//test_auto_move//signs_mov/4376.mov" TargetMode="External"/><Relationship Id="rId21010" Type="http://schemas.openxmlformats.org/officeDocument/2006/relationships/hyperlink" Target="http://secrets.rutgers.edu:8080/data/asl-ftp/asllvd/demos/verify_start_end_handshape_annotations//test_auto_move//signs_mov_separ_signers/Liz_4376.mov" TargetMode="External"/><Relationship Id="rId21011" Type="http://schemas.openxmlformats.org/officeDocument/2006/relationships/hyperlink" Target="http://csr.bu.edu/ftp/asl/asllvd/demos/verify_start_end_handshape_annotations//test_auto_move//signs_mov/4377.mov" TargetMode="External"/><Relationship Id="rId21012" Type="http://schemas.openxmlformats.org/officeDocument/2006/relationships/hyperlink" Target="http://csr.bu.edu/ftp/asl/asllvd/demos/verify_start_end_handshape_annotations//test_auto_move//signs_mov_separ_signers/Liz_4377.mov" TargetMode="External"/><Relationship Id="rId21013" Type="http://schemas.openxmlformats.org/officeDocument/2006/relationships/hyperlink" Target="http://secrets.rutgers.edu:8080/data/asl-ftp/asllvd/demos/verify_start_end_handshape_annotations//test_auto_move//signs_mov/4377.mov" TargetMode="External"/><Relationship Id="rId21014" Type="http://schemas.openxmlformats.org/officeDocument/2006/relationships/hyperlink" Target="http://secrets.rutgers.edu:8080/data/asl-ftp/asllvd/demos/verify_start_end_handshape_annotations//test_auto_move//signs_mov_separ_signers/Liz_4377.mov" TargetMode="External"/><Relationship Id="rId21015" Type="http://schemas.openxmlformats.org/officeDocument/2006/relationships/hyperlink" Target="http://csr.bu.edu/ftp/asl/asllvd/demos/verify_start_end_handshape_annotations//test_auto_move//signs_mov/4378.mov" TargetMode="External"/><Relationship Id="rId21016" Type="http://schemas.openxmlformats.org/officeDocument/2006/relationships/hyperlink" Target="http://csr.bu.edu/ftp/asl/asllvd/demos/verify_start_end_handshape_annotations//test_auto_move//signs_mov_separ_signers/Liz_4378.mov" TargetMode="External"/><Relationship Id="rId21017" Type="http://schemas.openxmlformats.org/officeDocument/2006/relationships/hyperlink" Target="http://secrets.rutgers.edu:8080/data/asl-ftp/asllvd/demos/verify_start_end_handshape_annotations//test_auto_move//signs_mov/4378.mov" TargetMode="External"/><Relationship Id="rId21018" Type="http://schemas.openxmlformats.org/officeDocument/2006/relationships/hyperlink" Target="http://secrets.rutgers.edu:8080/data/asl-ftp/asllvd/demos/verify_start_end_handshape_annotations//test_auto_move//signs_mov_separ_signers/Liz_4378.mov" TargetMode="External"/><Relationship Id="rId21019" Type="http://schemas.openxmlformats.org/officeDocument/2006/relationships/hyperlink" Target="http://csr.bu.edu/ftp/asl/asllvd/demos/verify_start_end_handshape_annotations//test_auto_move//signs_mov/4380.mov" TargetMode="External"/><Relationship Id="rId21020" Type="http://schemas.openxmlformats.org/officeDocument/2006/relationships/hyperlink" Target="http://csr.bu.edu/ftp/asl/asllvd/demos/verify_start_end_handshape_annotations//test_auto_move//signs_mov_separ_signers/Brady_4380.mov" TargetMode="External"/><Relationship Id="rId21021" Type="http://schemas.openxmlformats.org/officeDocument/2006/relationships/hyperlink" Target="http://secrets.rutgers.edu:8080/data/asl-ftp/asllvd/demos/verify_start_end_handshape_annotations//test_auto_move//signs_mov/4380.mov" TargetMode="External"/><Relationship Id="rId21022" Type="http://schemas.openxmlformats.org/officeDocument/2006/relationships/hyperlink" Target="http://secrets.rutgers.edu:8080/data/asl-ftp/asllvd/demos/verify_start_end_handshape_annotations//test_auto_move//signs_mov_separ_signers/Brady_4380.mov" TargetMode="External"/><Relationship Id="rId21023" Type="http://schemas.openxmlformats.org/officeDocument/2006/relationships/hyperlink" Target="http://csr.bu.edu/ftp/asl/asllvd/demos/verify_start_end_handshape_annotations//test_auto_move//signs_mov/3931.mov" TargetMode="External"/><Relationship Id="rId21024" Type="http://schemas.openxmlformats.org/officeDocument/2006/relationships/hyperlink" Target="http://csr.bu.edu/ftp/asl/asllvd/demos/verify_start_end_handshape_annotations//test_auto_move//signs_mov_separ_signers/Liz_3931.mov" TargetMode="External"/><Relationship Id="rId21025" Type="http://schemas.openxmlformats.org/officeDocument/2006/relationships/hyperlink" Target="http://secrets.rutgers.edu:8080/data/asl-ftp/asllvd/demos/verify_start_end_handshape_annotations//test_auto_move//signs_mov/3931.mov" TargetMode="External"/><Relationship Id="rId21026" Type="http://schemas.openxmlformats.org/officeDocument/2006/relationships/hyperlink" Target="http://secrets.rutgers.edu:8080/data/asl-ftp/asllvd/demos/verify_start_end_handshape_annotations//test_auto_move//signs_mov_separ_signers/Liz_3931.mov" TargetMode="External"/><Relationship Id="rId21027" Type="http://schemas.openxmlformats.org/officeDocument/2006/relationships/hyperlink" Target="http://csr.bu.edu/ftp/asl/asllvd/demos/verify_start_end_handshape_annotations//test_auto_move//signs_mov/4383.mov" TargetMode="External"/><Relationship Id="rId21028" Type="http://schemas.openxmlformats.org/officeDocument/2006/relationships/hyperlink" Target="http://csr.bu.edu/ftp/asl/asllvd/demos/verify_start_end_handshape_annotations//test_auto_move//signs_mov_separ_signers/Liz_4383.mov" TargetMode="External"/><Relationship Id="rId21029" Type="http://schemas.openxmlformats.org/officeDocument/2006/relationships/hyperlink" Target="http://secrets.rutgers.edu:8080/data/asl-ftp/asllvd/demos/verify_start_end_handshape_annotations//test_auto_move//signs_mov/4383.mov" TargetMode="External"/><Relationship Id="rId21030" Type="http://schemas.openxmlformats.org/officeDocument/2006/relationships/hyperlink" Target="http://secrets.rutgers.edu:8080/data/asl-ftp/asllvd/demos/verify_start_end_handshape_annotations//test_auto_move//signs_mov_separ_signers/Liz_4383.mov" TargetMode="External"/><Relationship Id="rId21031" Type="http://schemas.openxmlformats.org/officeDocument/2006/relationships/hyperlink" Target="http://csr.bu.edu/ftp/asl/asllvd/demos/verify_start_end_handshape_annotations//test_auto_move//signs_mov/5544.mov" TargetMode="External"/><Relationship Id="rId21032" Type="http://schemas.openxmlformats.org/officeDocument/2006/relationships/hyperlink" Target="http://csr.bu.edu/ftp/asl/asllvd/demos/verify_start_end_handshape_annotations//test_auto_move//signs_mov_separ_signers/Brady_5544.mov" TargetMode="External"/><Relationship Id="rId21033" Type="http://schemas.openxmlformats.org/officeDocument/2006/relationships/hyperlink" Target="http://secrets.rutgers.edu:8080/data/asl-ftp/asllvd/demos/verify_start_end_handshape_annotations//test_auto_move//signs_mov/5544.mov" TargetMode="External"/><Relationship Id="rId21034" Type="http://schemas.openxmlformats.org/officeDocument/2006/relationships/hyperlink" Target="http://secrets.rutgers.edu:8080/data/asl-ftp/asllvd/demos/verify_start_end_handshape_annotations//test_auto_move//signs_mov_separ_signers/Brady_5544.mov" TargetMode="External"/><Relationship Id="rId21035" Type="http://schemas.openxmlformats.org/officeDocument/2006/relationships/hyperlink" Target="http://csr.bu.edu/ftp/asl/asllvd/demos/verify_start_end_handshape_annotations//test_auto_move//signs_mov/4388.mov" TargetMode="External"/><Relationship Id="rId21036" Type="http://schemas.openxmlformats.org/officeDocument/2006/relationships/hyperlink" Target="http://csr.bu.edu/ftp/asl/asllvd/demos/verify_start_end_handshape_annotations//test_auto_move//signs_mov_separ_signers/Liz_4388.mov" TargetMode="External"/><Relationship Id="rId21037" Type="http://schemas.openxmlformats.org/officeDocument/2006/relationships/hyperlink" Target="http://secrets.rutgers.edu:8080/data/asl-ftp/asllvd/demos/verify_start_end_handshape_annotations//test_auto_move//signs_mov/4388.mov" TargetMode="External"/><Relationship Id="rId21038" Type="http://schemas.openxmlformats.org/officeDocument/2006/relationships/hyperlink" Target="http://secrets.rutgers.edu:8080/data/asl-ftp/asllvd/demos/verify_start_end_handshape_annotations//test_auto_move//signs_mov_separ_signers/Liz_4388.mov" TargetMode="External"/><Relationship Id="rId21039" Type="http://schemas.openxmlformats.org/officeDocument/2006/relationships/hyperlink" Target="http://csr.bu.edu/ftp/asl/asllvd/demos/verify_start_end_handshape_annotations//test_auto_move//signs_mov_separ_signers/Brady_4388.mov" TargetMode="External"/><Relationship Id="rId21040" Type="http://schemas.openxmlformats.org/officeDocument/2006/relationships/hyperlink" Target="http://secrets.rutgers.edu:8080/data/asl-ftp/asllvd/demos/verify_start_end_handshape_annotations//test_auto_move//signs_mov_separ_signers/Brady_4388.mov" TargetMode="External"/><Relationship Id="rId21041" Type="http://schemas.openxmlformats.org/officeDocument/2006/relationships/hyperlink" Target="http://csr.bu.edu/ftp/asl/asllvd/demos/verify_start_end_handshape_annotations//test_auto_move//signs_mov_separ_signers/Liz_4400.mov" TargetMode="External"/><Relationship Id="rId21042" Type="http://schemas.openxmlformats.org/officeDocument/2006/relationships/hyperlink" Target="http://secrets.rutgers.edu:8080/data/asl-ftp/asllvd/demos/verify_start_end_handshape_annotations//test_auto_move//signs_mov_separ_signers/Liz_4400.mov" TargetMode="External"/><Relationship Id="rId21043" Type="http://schemas.openxmlformats.org/officeDocument/2006/relationships/hyperlink" Target="http://csr.bu.edu/ftp/asl/asllvd/demos/verify_start_end_handshape_annotations//test_auto_move//signs_mov/4400_5529_merged.mov" TargetMode="External"/><Relationship Id="rId21044" Type="http://schemas.openxmlformats.org/officeDocument/2006/relationships/hyperlink" Target="http://csr.bu.edu/ftp/asl/asllvd/demos/verify_start_end_handshape_annotations//test_auto_move//signs_mov_separ_signers/Brady_4400.mov" TargetMode="External"/><Relationship Id="rId21045" Type="http://schemas.openxmlformats.org/officeDocument/2006/relationships/hyperlink" Target="http://secrets.rutgers.edu:8080/data/asl-ftp/asllvd/demos/verify_start_end_handshape_annotations//test_auto_move//signs_mov/4400_5529_merged.mov" TargetMode="External"/><Relationship Id="rId21046" Type="http://schemas.openxmlformats.org/officeDocument/2006/relationships/hyperlink" Target="http://secrets.rutgers.edu:8080/data/asl-ftp/asllvd/demos/verify_start_end_handshape_annotations//test_auto_move//signs_mov_separ_signers/Brady_4400.mov" TargetMode="External"/><Relationship Id="rId21047" Type="http://schemas.openxmlformats.org/officeDocument/2006/relationships/hyperlink" Target="http://csr.bu.edu/ftp/asl/asllvd/demos/verify_start_end_handshape_annotations//test_auto_move//signs_mov_separ_signers/Brady_5529.mov" TargetMode="External"/><Relationship Id="rId21048" Type="http://schemas.openxmlformats.org/officeDocument/2006/relationships/hyperlink" Target="http://secrets.rutgers.edu:8080/data/asl-ftp/asllvd/demos/verify_start_end_handshape_annotations//test_auto_move//signs_mov_separ_signers/Brady_5529.mov" TargetMode="External"/><Relationship Id="rId21049" Type="http://schemas.openxmlformats.org/officeDocument/2006/relationships/hyperlink" Target="http://csr.bu.edu/ftp/asl/asllvd/demos/verify_start_end_handshape_annotations//test_auto_move//signs_mov/4403.mov" TargetMode="External"/><Relationship Id="rId21050" Type="http://schemas.openxmlformats.org/officeDocument/2006/relationships/hyperlink" Target="http://csr.bu.edu/ftp/asl/asllvd/demos/verify_start_end_handshape_annotations//test_auto_move//signs_mov_separ_signers/Liz_4403.mov" TargetMode="External"/><Relationship Id="rId21051" Type="http://schemas.openxmlformats.org/officeDocument/2006/relationships/hyperlink" Target="http://secrets.rutgers.edu:8080/data/asl-ftp/asllvd/demos/verify_start_end_handshape_annotations//test_auto_move//signs_mov/4403.mov" TargetMode="External"/><Relationship Id="rId21052" Type="http://schemas.openxmlformats.org/officeDocument/2006/relationships/hyperlink" Target="http://secrets.rutgers.edu:8080/data/asl-ftp/asllvd/demos/verify_start_end_handshape_annotations//test_auto_move//signs_mov_separ_signers/Liz_4403.mov" TargetMode="External"/><Relationship Id="rId21053" Type="http://schemas.openxmlformats.org/officeDocument/2006/relationships/hyperlink" Target="http://csr.bu.edu/ftp/asl/asllvd/demos/verify_start_end_handshape_annotations//test_auto_move//signs_mov_separ_signers/Brady_4403.mov" TargetMode="External"/><Relationship Id="rId21054" Type="http://schemas.openxmlformats.org/officeDocument/2006/relationships/hyperlink" Target="http://secrets.rutgers.edu:8080/data/asl-ftp/asllvd/demos/verify_start_end_handshape_annotations//test_auto_move//signs_mov_separ_signers/Brady_4403.mov" TargetMode="External"/><Relationship Id="rId21055" Type="http://schemas.openxmlformats.org/officeDocument/2006/relationships/hyperlink" Target="http://csr.bu.edu/ftp/asl/asllvd/demos/verify_start_end_handshape_annotations//test_auto_move//signs_mov/15906.mov" TargetMode="External"/><Relationship Id="rId21056" Type="http://schemas.openxmlformats.org/officeDocument/2006/relationships/hyperlink" Target="http://csr.bu.edu/ftp/asl/asllvd/demos/verify_start_end_handshape_annotations//test_auto_move//signs_mov_separ_signers/Liz_15906.mov" TargetMode="External"/><Relationship Id="rId21057" Type="http://schemas.openxmlformats.org/officeDocument/2006/relationships/hyperlink" Target="http://secrets.rutgers.edu:8080/data/asl-ftp/asllvd/demos/verify_start_end_handshape_annotations//test_auto_move//signs_mov/15906.mov" TargetMode="External"/><Relationship Id="rId21058" Type="http://schemas.openxmlformats.org/officeDocument/2006/relationships/hyperlink" Target="http://secrets.rutgers.edu:8080/data/asl-ftp/asllvd/demos/verify_start_end_handshape_annotations//test_auto_move//signs_mov_separ_signers/Liz_15906.mov" TargetMode="External"/><Relationship Id="rId21059" Type="http://schemas.openxmlformats.org/officeDocument/2006/relationships/hyperlink" Target="http://csr.bu.edu/ftp/asl/asllvd/demos/verify_start_end_handshape_annotations//test_auto_move//signs_mov_separ_signers/Brady_15906.mov" TargetMode="External"/><Relationship Id="rId21060" Type="http://schemas.openxmlformats.org/officeDocument/2006/relationships/hyperlink" Target="http://secrets.rutgers.edu:8080/data/asl-ftp/asllvd/demos/verify_start_end_handshape_annotations//test_auto_move//signs_mov_separ_signers/Brady_15906.mov" TargetMode="External"/><Relationship Id="rId21061" Type="http://schemas.openxmlformats.org/officeDocument/2006/relationships/hyperlink" Target="http://csr.bu.edu/ftp/asl/asllvd/demos/verify_start_end_handshape_annotations//test_auto_move//signs_mov/16021.mov" TargetMode="External"/><Relationship Id="rId21062" Type="http://schemas.openxmlformats.org/officeDocument/2006/relationships/hyperlink" Target="http://csr.bu.edu/ftp/asl/asllvd/demos/verify_start_end_handshape_annotations//test_auto_move//signs_mov_separ_signers/Naomi_16021.mov" TargetMode="External"/><Relationship Id="rId21063" Type="http://schemas.openxmlformats.org/officeDocument/2006/relationships/hyperlink" Target="http://secrets.rutgers.edu:8080/data/asl-ftp/asllvd/demos/verify_start_end_handshape_annotations//test_auto_move//signs_mov/16021.mov" TargetMode="External"/><Relationship Id="rId21064" Type="http://schemas.openxmlformats.org/officeDocument/2006/relationships/hyperlink" Target="http://secrets.rutgers.edu:8080/data/asl-ftp/asllvd/demos/verify_start_end_handshape_annotations//test_auto_move//signs_mov_separ_signers/Naomi_16021.mov" TargetMode="External"/><Relationship Id="rId21065" Type="http://schemas.openxmlformats.org/officeDocument/2006/relationships/hyperlink" Target="http://csr.bu.edu/ftp/asl/asllvd/demos/verify_start_end_handshape_annotations//test_auto_move//signs_mov_separ_signers/Liz_16124.mov" TargetMode="External"/><Relationship Id="rId21066" Type="http://schemas.openxmlformats.org/officeDocument/2006/relationships/hyperlink" Target="http://secrets.rutgers.edu:8080/data/asl-ftp/asllvd/demos/verify_start_end_handshape_annotations//test_auto_move//signs_mov_separ_signers/Liz_16124.mov" TargetMode="External"/><Relationship Id="rId21067" Type="http://schemas.openxmlformats.org/officeDocument/2006/relationships/hyperlink" Target="http://csr.bu.edu/ftp/asl/asllvd/demos/verify_start_end_handshape_annotations//test_auto_move//signs_mov/16124.mov" TargetMode="External"/><Relationship Id="rId21068" Type="http://schemas.openxmlformats.org/officeDocument/2006/relationships/hyperlink" Target="http://csr.bu.edu/ftp/asl/asllvd/demos/verify_start_end_handshape_annotations//test_auto_move//signs_mov_separ_signers/Naomi_16124.mov" TargetMode="External"/><Relationship Id="rId21069" Type="http://schemas.openxmlformats.org/officeDocument/2006/relationships/hyperlink" Target="http://secrets.rutgers.edu:8080/data/asl-ftp/asllvd/demos/verify_start_end_handshape_annotations//test_auto_move//signs_mov/16124.mov" TargetMode="External"/><Relationship Id="rId21070" Type="http://schemas.openxmlformats.org/officeDocument/2006/relationships/hyperlink" Target="http://secrets.rutgers.edu:8080/data/asl-ftp/asllvd/demos/verify_start_end_handshape_annotations//test_auto_move//signs_mov_separ_signers/Naomi_16124.mov" TargetMode="External"/><Relationship Id="rId21071" Type="http://schemas.openxmlformats.org/officeDocument/2006/relationships/hyperlink" Target="http://csr.bu.edu/ftp/asl/asllvd/demos/verify_start_end_handshape_annotations//test_auto_move//signs_mov_separ_signers/Brady_16124.mov" TargetMode="External"/><Relationship Id="rId21072" Type="http://schemas.openxmlformats.org/officeDocument/2006/relationships/hyperlink" Target="http://secrets.rutgers.edu:8080/data/asl-ftp/asllvd/demos/verify_start_end_handshape_annotations//test_auto_move//signs_mov_separ_signers/Brady_16124.mov" TargetMode="External"/><Relationship Id="rId21073" Type="http://schemas.openxmlformats.org/officeDocument/2006/relationships/hyperlink" Target="http://csr.bu.edu/ftp/asl/asllvd/demos/verify_start_end_handshape_annotations//test_auto_move//signs_mov/4406.mov" TargetMode="External"/><Relationship Id="rId21074" Type="http://schemas.openxmlformats.org/officeDocument/2006/relationships/hyperlink" Target="http://csr.bu.edu/ftp/asl/asllvd/demos/verify_start_end_handshape_annotations//test_auto_move//signs_mov_separ_signers/Liz_4406.mov" TargetMode="External"/><Relationship Id="rId21075" Type="http://schemas.openxmlformats.org/officeDocument/2006/relationships/hyperlink" Target="http://secrets.rutgers.edu:8080/data/asl-ftp/asllvd/demos/verify_start_end_handshape_annotations//test_auto_move//signs_mov/4406.mov" TargetMode="External"/><Relationship Id="rId21076" Type="http://schemas.openxmlformats.org/officeDocument/2006/relationships/hyperlink" Target="http://secrets.rutgers.edu:8080/data/asl-ftp/asllvd/demos/verify_start_end_handshape_annotations//test_auto_move//signs_mov_separ_signers/Liz_4406.mov" TargetMode="External"/><Relationship Id="rId21077" Type="http://schemas.openxmlformats.org/officeDocument/2006/relationships/hyperlink" Target="http://csr.bu.edu/ftp/asl/asllvd/demos/verify_start_end_handshape_annotations//test_auto_move//signs_mov_separ_signers/Brady_4406.mov" TargetMode="External"/><Relationship Id="rId21078" Type="http://schemas.openxmlformats.org/officeDocument/2006/relationships/hyperlink" Target="http://secrets.rutgers.edu:8080/data/asl-ftp/asllvd/demos/verify_start_end_handshape_annotations//test_auto_move//signs_mov_separ_signers/Brady_4406.mov" TargetMode="External"/><Relationship Id="rId21079" Type="http://schemas.openxmlformats.org/officeDocument/2006/relationships/hyperlink" Target="http://csr.bu.edu/ftp/asl/asllvd/demos/verify_start_end_handshape_annotations//test_auto_move//signs_mov/4415_5014_merged.mov" TargetMode="External"/><Relationship Id="rId21080" Type="http://schemas.openxmlformats.org/officeDocument/2006/relationships/hyperlink" Target="http://csr.bu.edu/ftp/asl/asllvd/demos/verify_start_end_handshape_annotations//test_auto_move//signs_mov_separ_signers/Brady_4415.mov" TargetMode="External"/><Relationship Id="rId21081" Type="http://schemas.openxmlformats.org/officeDocument/2006/relationships/hyperlink" Target="http://secrets.rutgers.edu:8080/data/asl-ftp/asllvd/demos/verify_start_end_handshape_annotations//test_auto_move//signs_mov/4415_5014_merged.mov" TargetMode="External"/><Relationship Id="rId21082" Type="http://schemas.openxmlformats.org/officeDocument/2006/relationships/hyperlink" Target="http://secrets.rutgers.edu:8080/data/asl-ftp/asllvd/demos/verify_start_end_handshape_annotations//test_auto_move//signs_mov_separ_signers/Brady_4415.mov" TargetMode="External"/><Relationship Id="rId21083" Type="http://schemas.openxmlformats.org/officeDocument/2006/relationships/hyperlink" Target="http://csr.bu.edu/ftp/asl/asllvd/demos/verify_start_end_handshape_annotations//test_auto_move//signs_mov_separ_signers/Brady_5014.mov" TargetMode="External"/><Relationship Id="rId21084" Type="http://schemas.openxmlformats.org/officeDocument/2006/relationships/hyperlink" Target="http://secrets.rutgers.edu:8080/data/asl-ftp/asllvd/demos/verify_start_end_handshape_annotations//test_auto_move//signs_mov_separ_signers/Brady_5014.mov" TargetMode="External"/><Relationship Id="rId21085" Type="http://schemas.openxmlformats.org/officeDocument/2006/relationships/hyperlink" Target="http://csr.bu.edu/ftp/asl/asllvd/demos/verify_start_end_handshape_annotations//test_auto_move//signs_mov/16280.mov" TargetMode="External"/><Relationship Id="rId21086" Type="http://schemas.openxmlformats.org/officeDocument/2006/relationships/hyperlink" Target="http://csr.bu.edu/ftp/asl/asllvd/demos/verify_start_end_handshape_annotations//test_auto_move//signs_mov_separ_signers/Liz_16280.mov" TargetMode="External"/><Relationship Id="rId21087" Type="http://schemas.openxmlformats.org/officeDocument/2006/relationships/hyperlink" Target="http://secrets.rutgers.edu:8080/data/asl-ftp/asllvd/demos/verify_start_end_handshape_annotations//test_auto_move//signs_mov/16280.mov" TargetMode="External"/><Relationship Id="rId21088" Type="http://schemas.openxmlformats.org/officeDocument/2006/relationships/hyperlink" Target="http://secrets.rutgers.edu:8080/data/asl-ftp/asllvd/demos/verify_start_end_handshape_annotations//test_auto_move//signs_mov_separ_signers/Liz_16280.mov" TargetMode="External"/><Relationship Id="rId21089" Type="http://schemas.openxmlformats.org/officeDocument/2006/relationships/hyperlink" Target="http://csr.bu.edu/ftp/asl/asllvd/demos/verify_start_end_handshape_annotations//test_auto_move//signs_mov/4427.mov" TargetMode="External"/><Relationship Id="rId21090" Type="http://schemas.openxmlformats.org/officeDocument/2006/relationships/hyperlink" Target="http://csr.bu.edu/ftp/asl/asllvd/demos/verify_start_end_handshape_annotations//test_auto_move//signs_mov_separ_signers/Liz_4427.mov" TargetMode="External"/><Relationship Id="rId21091" Type="http://schemas.openxmlformats.org/officeDocument/2006/relationships/hyperlink" Target="http://secrets.rutgers.edu:8080/data/asl-ftp/asllvd/demos/verify_start_end_handshape_annotations//test_auto_move//signs_mov/4427.mov" TargetMode="External"/><Relationship Id="rId21092" Type="http://schemas.openxmlformats.org/officeDocument/2006/relationships/hyperlink" Target="http://secrets.rutgers.edu:8080/data/asl-ftp/asllvd/demos/verify_start_end_handshape_annotations//test_auto_move//signs_mov_separ_signers/Liz_4427.mov" TargetMode="External"/><Relationship Id="rId21093" Type="http://schemas.openxmlformats.org/officeDocument/2006/relationships/hyperlink" Target="http://csr.bu.edu/ftp/asl/asllvd/demos/verify_start_end_handshape_annotations//test_auto_move//signs_mov_separ_signers/Brady_4427.mov" TargetMode="External"/><Relationship Id="rId21094" Type="http://schemas.openxmlformats.org/officeDocument/2006/relationships/hyperlink" Target="http://secrets.rutgers.edu:8080/data/asl-ftp/asllvd/demos/verify_start_end_handshape_annotations//test_auto_move//signs_mov_separ_signers/Brady_4427.mov" TargetMode="External"/><Relationship Id="rId21095" Type="http://schemas.openxmlformats.org/officeDocument/2006/relationships/hyperlink" Target="http://csr.bu.edu/ftp/asl/asllvd/demos/verify_start_end_handshape_annotations//test_auto_move//signs_mov/4429.mov" TargetMode="External"/><Relationship Id="rId21096" Type="http://schemas.openxmlformats.org/officeDocument/2006/relationships/hyperlink" Target="http://csr.bu.edu/ftp/asl/asllvd/demos/verify_start_end_handshape_annotations//test_auto_move//signs_mov_separ_signers/Liz_4429.mov" TargetMode="External"/><Relationship Id="rId21097" Type="http://schemas.openxmlformats.org/officeDocument/2006/relationships/hyperlink" Target="http://secrets.rutgers.edu:8080/data/asl-ftp/asllvd/demos/verify_start_end_handshape_annotations//test_auto_move//signs_mov/4429.mov" TargetMode="External"/><Relationship Id="rId21098" Type="http://schemas.openxmlformats.org/officeDocument/2006/relationships/hyperlink" Target="http://secrets.rutgers.edu:8080/data/asl-ftp/asllvd/demos/verify_start_end_handshape_annotations//test_auto_move//signs_mov_separ_signers/Liz_4429.mov" TargetMode="External"/><Relationship Id="rId21099" Type="http://schemas.openxmlformats.org/officeDocument/2006/relationships/hyperlink" Target="http://csr.bu.edu/ftp/asl/asllvd/demos/verify_start_end_handshape_annotations//test_auto_move//signs_mov_separ_signers/Brady_4429.mov" TargetMode="External"/><Relationship Id="rId21100" Type="http://schemas.openxmlformats.org/officeDocument/2006/relationships/hyperlink" Target="http://secrets.rutgers.edu:8080/data/asl-ftp/asllvd/demos/verify_start_end_handshape_annotations//test_auto_move//signs_mov_separ_signers/Brady_4429.mov" TargetMode="External"/><Relationship Id="rId21101" Type="http://schemas.openxmlformats.org/officeDocument/2006/relationships/hyperlink" Target="http://csr.bu.edu/ftp/asl/asllvd/demos/verify_start_end_handshape_annotations//test_auto_move//signs_mov/4506.mov" TargetMode="External"/><Relationship Id="rId21102" Type="http://schemas.openxmlformats.org/officeDocument/2006/relationships/hyperlink" Target="http://csr.bu.edu/ftp/asl/asllvd/demos/verify_start_end_handshape_annotations//test_auto_move//signs_mov_separ_signers/Brady_4506.mov" TargetMode="External"/><Relationship Id="rId21103" Type="http://schemas.openxmlformats.org/officeDocument/2006/relationships/hyperlink" Target="http://secrets.rutgers.edu:8080/data/asl-ftp/asllvd/demos/verify_start_end_handshape_annotations//test_auto_move//signs_mov/4506.mov" TargetMode="External"/><Relationship Id="rId21104" Type="http://schemas.openxmlformats.org/officeDocument/2006/relationships/hyperlink" Target="http://secrets.rutgers.edu:8080/data/asl-ftp/asllvd/demos/verify_start_end_handshape_annotations//test_auto_move//signs_mov_separ_signers/Brady_4506.mov" TargetMode="External"/><Relationship Id="rId21105" Type="http://schemas.openxmlformats.org/officeDocument/2006/relationships/hyperlink" Target="http://csr.bu.edu/ftp/asl/asllvd/demos/verify_start_end_handshape_annotations//test_auto_move//signs_mov/4544.mov" TargetMode="External"/><Relationship Id="rId21106" Type="http://schemas.openxmlformats.org/officeDocument/2006/relationships/hyperlink" Target="http://csr.bu.edu/ftp/asl/asllvd/demos/verify_start_end_handshape_annotations//test_auto_move//signs_mov_separ_signers/Tyler_4544.mov" TargetMode="External"/><Relationship Id="rId21107" Type="http://schemas.openxmlformats.org/officeDocument/2006/relationships/hyperlink" Target="http://secrets.rutgers.edu:8080/data/asl-ftp/asllvd/demos/verify_start_end_handshape_annotations//test_auto_move//signs_mov/4544.mov" TargetMode="External"/><Relationship Id="rId21108" Type="http://schemas.openxmlformats.org/officeDocument/2006/relationships/hyperlink" Target="http://secrets.rutgers.edu:8080/data/asl-ftp/asllvd/demos/verify_start_end_handshape_annotations//test_auto_move//signs_mov_separ_signers/Tyler_4544.mov" TargetMode="External"/><Relationship Id="rId21109" Type="http://schemas.openxmlformats.org/officeDocument/2006/relationships/hyperlink" Target="http://csr.bu.edu/ftp/asl/asllvd/demos/verify_start_end_handshape_annotations//test_auto_move//signs_mov_separ_signers/Dana_4544.mov" TargetMode="External"/><Relationship Id="rId21110" Type="http://schemas.openxmlformats.org/officeDocument/2006/relationships/hyperlink" Target="http://secrets.rutgers.edu:8080/data/asl-ftp/asllvd/demos/verify_start_end_handshape_annotations//test_auto_move//signs_mov_separ_signers/Dana_4544.mov" TargetMode="External"/><Relationship Id="rId21111" Type="http://schemas.openxmlformats.org/officeDocument/2006/relationships/hyperlink" Target="http://csr.bu.edu/ftp/asl/asllvd/demos/verify_start_end_handshape_annotations//test_auto_move//signs_mov_separ_signers/Liz_5487.mov" TargetMode="External"/><Relationship Id="rId21112" Type="http://schemas.openxmlformats.org/officeDocument/2006/relationships/hyperlink" Target="http://secrets.rutgers.edu:8080/data/asl-ftp/asllvd/demos/verify_start_end_handshape_annotations//test_auto_move//signs_mov_separ_signers/Liz_5487.mov" TargetMode="External"/><Relationship Id="rId21113" Type="http://schemas.openxmlformats.org/officeDocument/2006/relationships/hyperlink" Target="http://csr.bu.edu/ftp/asl/asllvd/demos/verify_start_end_handshape_annotations//test_auto_move//signs_mov_separ_signers/Liz_5547.mov" TargetMode="External"/><Relationship Id="rId21114" Type="http://schemas.openxmlformats.org/officeDocument/2006/relationships/hyperlink" Target="http://secrets.rutgers.edu:8080/data/asl-ftp/asllvd/demos/verify_start_end_handshape_annotations//test_auto_move//signs_mov_separ_signers/Liz_5547.mov" TargetMode="External"/><Relationship Id="rId21115" Type="http://schemas.openxmlformats.org/officeDocument/2006/relationships/hyperlink" Target="http://csr.bu.edu/ftp/asl/asllvd/demos/verify_start_end_handshape_annotations//test_auto_move//signs_mov/5487_5547_merged.mov" TargetMode="External"/><Relationship Id="rId21116" Type="http://schemas.openxmlformats.org/officeDocument/2006/relationships/hyperlink" Target="http://csr.bu.edu/ftp/asl/asllvd/demos/verify_start_end_handshape_annotations//test_auto_move//signs_mov_separ_signers/Tyler_5487.mov" TargetMode="External"/><Relationship Id="rId21117" Type="http://schemas.openxmlformats.org/officeDocument/2006/relationships/hyperlink" Target="http://secrets.rutgers.edu:8080/data/asl-ftp/asllvd/demos/verify_start_end_handshape_annotations//test_auto_move//signs_mov/5487_5547_merged.mov" TargetMode="External"/><Relationship Id="rId21118" Type="http://schemas.openxmlformats.org/officeDocument/2006/relationships/hyperlink" Target="http://secrets.rutgers.edu:8080/data/asl-ftp/asllvd/demos/verify_start_end_handshape_annotations//test_auto_move//signs_mov_separ_signers/Tyler_5487.mov" TargetMode="External"/><Relationship Id="rId21119" Type="http://schemas.openxmlformats.org/officeDocument/2006/relationships/hyperlink" Target="http://csr.bu.edu/ftp/asl/asllvd/demos/verify_start_end_handshape_annotations//test_auto_move//signs_mov_separ_signers/Naomi_5487.mov" TargetMode="External"/><Relationship Id="rId21120" Type="http://schemas.openxmlformats.org/officeDocument/2006/relationships/hyperlink" Target="http://secrets.rutgers.edu:8080/data/asl-ftp/asllvd/demos/verify_start_end_handshape_annotations//test_auto_move//signs_mov_separ_signers/Naomi_5487.mov" TargetMode="External"/><Relationship Id="rId21121" Type="http://schemas.openxmlformats.org/officeDocument/2006/relationships/hyperlink" Target="http://csr.bu.edu/ftp/asl/asllvd/demos/verify_start_end_handshape_annotations//test_auto_move//signs_mov_separ_signers/Naomi_5547.mov" TargetMode="External"/><Relationship Id="rId21122" Type="http://schemas.openxmlformats.org/officeDocument/2006/relationships/hyperlink" Target="http://secrets.rutgers.edu:8080/data/asl-ftp/asllvd/demos/verify_start_end_handshape_annotations//test_auto_move//signs_mov_separ_signers/Naomi_5547.mov" TargetMode="External"/><Relationship Id="rId21123" Type="http://schemas.openxmlformats.org/officeDocument/2006/relationships/hyperlink" Target="http://csr.bu.edu/ftp/asl/asllvd/demos/verify_start_end_handshape_annotations//test_auto_move//signs_mov_separ_signers/Brady_5487.mov" TargetMode="External"/><Relationship Id="rId21124" Type="http://schemas.openxmlformats.org/officeDocument/2006/relationships/hyperlink" Target="http://secrets.rutgers.edu:8080/data/asl-ftp/asllvd/demos/verify_start_end_handshape_annotations//test_auto_move//signs_mov_separ_signers/Brady_5487.mov" TargetMode="External"/><Relationship Id="rId21125" Type="http://schemas.openxmlformats.org/officeDocument/2006/relationships/hyperlink" Target="http://csr.bu.edu/ftp/asl/asllvd/demos/verify_start_end_handshape_annotations//test_auto_move//signs_mov/5548.mov" TargetMode="External"/><Relationship Id="rId21126" Type="http://schemas.openxmlformats.org/officeDocument/2006/relationships/hyperlink" Target="http://csr.bu.edu/ftp/asl/asllvd/demos/verify_start_end_handshape_annotations//test_auto_move//signs_mov_separ_signers/Lana_5548.mov" TargetMode="External"/><Relationship Id="rId21127" Type="http://schemas.openxmlformats.org/officeDocument/2006/relationships/hyperlink" Target="http://secrets.rutgers.edu:8080/data/asl-ftp/asllvd/demos/verify_start_end_handshape_annotations//test_auto_move//signs_mov/5548.mov" TargetMode="External"/><Relationship Id="rId21128" Type="http://schemas.openxmlformats.org/officeDocument/2006/relationships/hyperlink" Target="http://secrets.rutgers.edu:8080/data/asl-ftp/asllvd/demos/verify_start_end_handshape_annotations//test_auto_move//signs_mov_separ_signers/Lana_5548.mov" TargetMode="External"/><Relationship Id="rId21129" Type="http://schemas.openxmlformats.org/officeDocument/2006/relationships/hyperlink" Target="http://csr.bu.edu/ftp/asl/asllvd/demos/verify_start_end_handshape_annotations//test_auto_move//signs_mov_separ_signers/Liz_15897.mov" TargetMode="External"/><Relationship Id="rId21130" Type="http://schemas.openxmlformats.org/officeDocument/2006/relationships/hyperlink" Target="http://secrets.rutgers.edu:8080/data/asl-ftp/asllvd/demos/verify_start_end_handshape_annotations//test_auto_move//signs_mov_separ_signers/Liz_15897.mov" TargetMode="External"/><Relationship Id="rId21131" Type="http://schemas.openxmlformats.org/officeDocument/2006/relationships/hyperlink" Target="http://csr.bu.edu/ftp/asl/asllvd/demos/verify_start_end_handshape_annotations//test_auto_move//signs_mov_separ_signers/Liz_16214.mov" TargetMode="External"/><Relationship Id="rId21132" Type="http://schemas.openxmlformats.org/officeDocument/2006/relationships/hyperlink" Target="http://secrets.rutgers.edu:8080/data/asl-ftp/asllvd/demos/verify_start_end_handshape_annotations//test_auto_move//signs_mov_separ_signers/Liz_16214.mov" TargetMode="External"/><Relationship Id="rId21133" Type="http://schemas.openxmlformats.org/officeDocument/2006/relationships/hyperlink" Target="http://csr.bu.edu/ftp/asl/asllvd/demos/verify_start_end_handshape_annotations//test_auto_move//signs_mov/15897_16214_merged.mov" TargetMode="External"/><Relationship Id="rId21134" Type="http://schemas.openxmlformats.org/officeDocument/2006/relationships/hyperlink" Target="http://csr.bu.edu/ftp/asl/asllvd/demos/verify_start_end_handshape_annotations//test_auto_move//signs_mov_separ_signers/Tyler_15897.mov" TargetMode="External"/><Relationship Id="rId21135" Type="http://schemas.openxmlformats.org/officeDocument/2006/relationships/hyperlink" Target="http://secrets.rutgers.edu:8080/data/asl-ftp/asllvd/demos/verify_start_end_handshape_annotations//test_auto_move//signs_mov/15897_16214_merged.mov" TargetMode="External"/><Relationship Id="rId21136" Type="http://schemas.openxmlformats.org/officeDocument/2006/relationships/hyperlink" Target="http://secrets.rutgers.edu:8080/data/asl-ftp/asllvd/demos/verify_start_end_handshape_annotations//test_auto_move//signs_mov_separ_signers/Tyler_15897.mov" TargetMode="External"/><Relationship Id="rId21137" Type="http://schemas.openxmlformats.org/officeDocument/2006/relationships/hyperlink" Target="http://csr.bu.edu/ftp/asl/asllvd/demos/verify_start_end_handshape_annotations//test_auto_move//signs_mov_separ_signers/Naomi_15897.mov" TargetMode="External"/><Relationship Id="rId21138" Type="http://schemas.openxmlformats.org/officeDocument/2006/relationships/hyperlink" Target="http://secrets.rutgers.edu:8080/data/asl-ftp/asllvd/demos/verify_start_end_handshape_annotations//test_auto_move//signs_mov_separ_signers/Naomi_15897.mov" TargetMode="External"/><Relationship Id="rId21139" Type="http://schemas.openxmlformats.org/officeDocument/2006/relationships/hyperlink" Target="http://csr.bu.edu/ftp/asl/asllvd/demos/verify_start_end_handshape_annotations//test_auto_move//signs_mov_separ_signers/Brady_15897.mov" TargetMode="External"/><Relationship Id="rId21140" Type="http://schemas.openxmlformats.org/officeDocument/2006/relationships/hyperlink" Target="http://secrets.rutgers.edu:8080/data/asl-ftp/asllvd/demos/verify_start_end_handshape_annotations//test_auto_move//signs_mov_separ_signers/Brady_15897.mov" TargetMode="External"/><Relationship Id="rId21141" Type="http://schemas.openxmlformats.org/officeDocument/2006/relationships/hyperlink" Target="http://csr.bu.edu/ftp/asl/asllvd/demos/verify_start_end_handshape_annotations//test_auto_move//signs_mov_separ_signers/Brady_16214.mov" TargetMode="External"/><Relationship Id="rId21142" Type="http://schemas.openxmlformats.org/officeDocument/2006/relationships/hyperlink" Target="http://secrets.rutgers.edu:8080/data/asl-ftp/asllvd/demos/verify_start_end_handshape_annotations//test_auto_move//signs_mov_separ_signers/Brady_16214.mov" TargetMode="External"/><Relationship Id="rId21143" Type="http://schemas.openxmlformats.org/officeDocument/2006/relationships/hyperlink" Target="http://csr.bu.edu/ftp/asl/asllvd/demos/verify_start_end_handshape_annotations//test_auto_move//signs_mov_separ_signers/Liz_4552.mov" TargetMode="External"/><Relationship Id="rId21144" Type="http://schemas.openxmlformats.org/officeDocument/2006/relationships/hyperlink" Target="http://secrets.rutgers.edu:8080/data/asl-ftp/asllvd/demos/verify_start_end_handshape_annotations//test_auto_move//signs_mov_separ_signers/Liz_4552.mov" TargetMode="External"/><Relationship Id="rId21145" Type="http://schemas.openxmlformats.org/officeDocument/2006/relationships/hyperlink" Target="http://csr.bu.edu/ftp/asl/asllvd/demos/verify_start_end_handshape_annotations//test_auto_move//signs_mov_separ_signers/Liz_5488.mov" TargetMode="External"/><Relationship Id="rId21146" Type="http://schemas.openxmlformats.org/officeDocument/2006/relationships/hyperlink" Target="http://secrets.rutgers.edu:8080/data/asl-ftp/asllvd/demos/verify_start_end_handshape_annotations//test_auto_move//signs_mov_separ_signers/Liz_5488.mov" TargetMode="External"/><Relationship Id="rId21147" Type="http://schemas.openxmlformats.org/officeDocument/2006/relationships/hyperlink" Target="http://csr.bu.edu/ftp/asl/asllvd/demos/verify_start_end_handshape_annotations//test_auto_move//signs_mov_separ_signers/Liz_5717.mov" TargetMode="External"/><Relationship Id="rId21148" Type="http://schemas.openxmlformats.org/officeDocument/2006/relationships/hyperlink" Target="http://secrets.rutgers.edu:8080/data/asl-ftp/asllvd/demos/verify_start_end_handshape_annotations//test_auto_move//signs_mov_separ_signers/Liz_5717.mov" TargetMode="External"/><Relationship Id="rId21149" Type="http://schemas.openxmlformats.org/officeDocument/2006/relationships/hyperlink" Target="http://csr.bu.edu/ftp/asl/asllvd/demos/verify_start_end_handshape_annotations//test_auto_move//signs_mov_separ_signers/Tyler_4552.mov" TargetMode="External"/><Relationship Id="rId21150" Type="http://schemas.openxmlformats.org/officeDocument/2006/relationships/hyperlink" Target="http://secrets.rutgers.edu:8080/data/asl-ftp/asllvd/demos/verify_start_end_handshape_annotations//test_auto_move//signs_mov_separ_signers/Tyler_4552.mov" TargetMode="External"/><Relationship Id="rId21151" Type="http://schemas.openxmlformats.org/officeDocument/2006/relationships/hyperlink" Target="http://csr.bu.edu/ftp/asl/asllvd/demos/verify_start_end_handshape_annotations//test_auto_move//signs_mov_separ_signers/Tyler_5488.mov" TargetMode="External"/><Relationship Id="rId21152" Type="http://schemas.openxmlformats.org/officeDocument/2006/relationships/hyperlink" Target="http://secrets.rutgers.edu:8080/data/asl-ftp/asllvd/demos/verify_start_end_handshape_annotations//test_auto_move//signs_mov_separ_signers/Tyler_5488.mov" TargetMode="External"/><Relationship Id="rId21153" Type="http://schemas.openxmlformats.org/officeDocument/2006/relationships/hyperlink" Target="http://csr.bu.edu/ftp/asl/asllvd/demos/verify_start_end_handshape_annotations//test_auto_move//signs_mov_separ_signers/Tyler_5717.mov" TargetMode="External"/><Relationship Id="rId21154" Type="http://schemas.openxmlformats.org/officeDocument/2006/relationships/hyperlink" Target="http://secrets.rutgers.edu:8080/data/asl-ftp/asllvd/demos/verify_start_end_handshape_annotations//test_auto_move//signs_mov_separ_signers/Tyler_5717.mov" TargetMode="External"/><Relationship Id="rId21155" Type="http://schemas.openxmlformats.org/officeDocument/2006/relationships/hyperlink" Target="http://csr.bu.edu/ftp/asl/asllvd/demos/verify_start_end_handshape_annotations//test_auto_move//signs_mov/4552_5488_5717_5718_merged.mov" TargetMode="External"/><Relationship Id="rId21156" Type="http://schemas.openxmlformats.org/officeDocument/2006/relationships/hyperlink" Target="http://csr.bu.edu/ftp/asl/asllvd/demos/verify_start_end_handshape_annotations//test_auto_move//signs_mov_separ_signers/Naomi_4552.mov" TargetMode="External"/><Relationship Id="rId21157" Type="http://schemas.openxmlformats.org/officeDocument/2006/relationships/hyperlink" Target="http://secrets.rutgers.edu:8080/data/asl-ftp/asllvd/demos/verify_start_end_handshape_annotations//test_auto_move//signs_mov/4552_5488_5717_5718_merged.mov" TargetMode="External"/><Relationship Id="rId21158" Type="http://schemas.openxmlformats.org/officeDocument/2006/relationships/hyperlink" Target="http://secrets.rutgers.edu:8080/data/asl-ftp/asllvd/demos/verify_start_end_handshape_annotations//test_auto_move//signs_mov_separ_signers/Naomi_4552.mov" TargetMode="External"/><Relationship Id="rId21159" Type="http://schemas.openxmlformats.org/officeDocument/2006/relationships/hyperlink" Target="http://csr.bu.edu/ftp/asl/asllvd/demos/verify_start_end_handshape_annotations//test_auto_move//signs_mov_separ_signers/Naomi_5488.mov" TargetMode="External"/><Relationship Id="rId21160" Type="http://schemas.openxmlformats.org/officeDocument/2006/relationships/hyperlink" Target="http://secrets.rutgers.edu:8080/data/asl-ftp/asllvd/demos/verify_start_end_handshape_annotations//test_auto_move//signs_mov_separ_signers/Naomi_5488.mov" TargetMode="External"/><Relationship Id="rId21161" Type="http://schemas.openxmlformats.org/officeDocument/2006/relationships/hyperlink" Target="http://csr.bu.edu/ftp/asl/asllvd/demos/verify_start_end_handshape_annotations//test_auto_move//signs_mov_separ_signers/Brady_4552.mov" TargetMode="External"/><Relationship Id="rId21162" Type="http://schemas.openxmlformats.org/officeDocument/2006/relationships/hyperlink" Target="http://secrets.rutgers.edu:8080/data/asl-ftp/asllvd/demos/verify_start_end_handshape_annotations//test_auto_move//signs_mov_separ_signers/Brady_4552.mov" TargetMode="External"/><Relationship Id="rId21163" Type="http://schemas.openxmlformats.org/officeDocument/2006/relationships/hyperlink" Target="http://csr.bu.edu/ftp/asl/asllvd/demos/verify_start_end_handshape_annotations//test_auto_move//signs_mov_separ_signers/Brady_5488.mov" TargetMode="External"/><Relationship Id="rId21164" Type="http://schemas.openxmlformats.org/officeDocument/2006/relationships/hyperlink" Target="http://secrets.rutgers.edu:8080/data/asl-ftp/asllvd/demos/verify_start_end_handshape_annotations//test_auto_move//signs_mov_separ_signers/Brady_5488.mov" TargetMode="External"/><Relationship Id="rId21165" Type="http://schemas.openxmlformats.org/officeDocument/2006/relationships/hyperlink" Target="http://csr.bu.edu/ftp/asl/asllvd/demos/verify_start_end_handshape_annotations//test_auto_move//signs_mov_separ_signers/Brady_5717.mov" TargetMode="External"/><Relationship Id="rId21166" Type="http://schemas.openxmlformats.org/officeDocument/2006/relationships/hyperlink" Target="http://secrets.rutgers.edu:8080/data/asl-ftp/asllvd/demos/verify_start_end_handshape_annotations//test_auto_move//signs_mov_separ_signers/Brady_5717.mov" TargetMode="External"/><Relationship Id="rId21167" Type="http://schemas.openxmlformats.org/officeDocument/2006/relationships/hyperlink" Target="http://csr.bu.edu/ftp/asl/asllvd/demos/verify_start_end_handshape_annotations//test_auto_move//signs_mov_separ_signers/Brady_5718.mov" TargetMode="External"/><Relationship Id="rId21168" Type="http://schemas.openxmlformats.org/officeDocument/2006/relationships/hyperlink" Target="http://secrets.rutgers.edu:8080/data/asl-ftp/asllvd/demos/verify_start_end_handshape_annotations//test_auto_move//signs_mov_separ_signers/Brady_5718.mov" TargetMode="External"/><Relationship Id="rId21169" Type="http://schemas.openxmlformats.org/officeDocument/2006/relationships/hyperlink" Target="http://csr.bu.edu/ftp/asl/asllvd/demos/verify_start_end_handshape_annotations//test_auto_move//signs_mov_separ_signers/Lana_4552.mov" TargetMode="External"/><Relationship Id="rId21170" Type="http://schemas.openxmlformats.org/officeDocument/2006/relationships/hyperlink" Target="http://secrets.rutgers.edu:8080/data/asl-ftp/asllvd/demos/verify_start_end_handshape_annotations//test_auto_move//signs_mov_separ_signers/Lana_4552.mov" TargetMode="External"/><Relationship Id="rId21171" Type="http://schemas.openxmlformats.org/officeDocument/2006/relationships/hyperlink" Target="http://csr.bu.edu/ftp/asl/asllvd/demos/verify_start_end_handshape_annotations//test_auto_move//signs_mov_separ_signers/Dana_4552.mov" TargetMode="External"/><Relationship Id="rId21172" Type="http://schemas.openxmlformats.org/officeDocument/2006/relationships/hyperlink" Target="http://secrets.rutgers.edu:8080/data/asl-ftp/asllvd/demos/verify_start_end_handshape_annotations//test_auto_move//signs_mov_separ_signers/Dana_4552.mov" TargetMode="External"/><Relationship Id="rId21173" Type="http://schemas.openxmlformats.org/officeDocument/2006/relationships/hyperlink" Target="http://csr.bu.edu/ftp/asl/asllvd/demos/verify_start_end_handshape_annotations//test_auto_move//signs_mov_separ_signers/Liz_5719.mov" TargetMode="External"/><Relationship Id="rId21174" Type="http://schemas.openxmlformats.org/officeDocument/2006/relationships/hyperlink" Target="http://secrets.rutgers.edu:8080/data/asl-ftp/asllvd/demos/verify_start_end_handshape_annotations//test_auto_move//signs_mov_separ_signers/Liz_5719.mov" TargetMode="External"/><Relationship Id="rId21175" Type="http://schemas.openxmlformats.org/officeDocument/2006/relationships/hyperlink" Target="http://csr.bu.edu/ftp/asl/asllvd/demos/verify_start_end_handshape_annotations//test_auto_move//signs_mov_separ_signers/Tyler_5719.mov" TargetMode="External"/><Relationship Id="rId21176" Type="http://schemas.openxmlformats.org/officeDocument/2006/relationships/hyperlink" Target="http://secrets.rutgers.edu:8080/data/asl-ftp/asllvd/demos/verify_start_end_handshape_annotations//test_auto_move//signs_mov_separ_signers/Tyler_5719.mov" TargetMode="External"/><Relationship Id="rId21177" Type="http://schemas.openxmlformats.org/officeDocument/2006/relationships/hyperlink" Target="http://csr.bu.edu/ftp/asl/asllvd/demos/verify_start_end_handshape_annotations//test_auto_move//signs_mov/5719_5720_5728_merged.mov" TargetMode="External"/><Relationship Id="rId21178" Type="http://schemas.openxmlformats.org/officeDocument/2006/relationships/hyperlink" Target="http://csr.bu.edu/ftp/asl/asllvd/demos/verify_start_end_handshape_annotations//test_auto_move//signs_mov_separ_signers/Naomi_5719.mov" TargetMode="External"/><Relationship Id="rId21179" Type="http://schemas.openxmlformats.org/officeDocument/2006/relationships/hyperlink" Target="http://secrets.rutgers.edu:8080/data/asl-ftp/asllvd/demos/verify_start_end_handshape_annotations//test_auto_move//signs_mov/5719_5720_5728_merged.mov" TargetMode="External"/><Relationship Id="rId21180" Type="http://schemas.openxmlformats.org/officeDocument/2006/relationships/hyperlink" Target="http://secrets.rutgers.edu:8080/data/asl-ftp/asllvd/demos/verify_start_end_handshape_annotations//test_auto_move//signs_mov_separ_signers/Naomi_5719.mov" TargetMode="External"/><Relationship Id="rId21181" Type="http://schemas.openxmlformats.org/officeDocument/2006/relationships/hyperlink" Target="http://csr.bu.edu/ftp/asl/asllvd/demos/verify_start_end_handshape_annotations//test_auto_move//signs_mov_separ_signers/Brady_5719.mov" TargetMode="External"/><Relationship Id="rId21182" Type="http://schemas.openxmlformats.org/officeDocument/2006/relationships/hyperlink" Target="http://secrets.rutgers.edu:8080/data/asl-ftp/asllvd/demos/verify_start_end_handshape_annotations//test_auto_move//signs_mov_separ_signers/Brady_5719.mov" TargetMode="External"/><Relationship Id="rId21183" Type="http://schemas.openxmlformats.org/officeDocument/2006/relationships/hyperlink" Target="http://csr.bu.edu/ftp/asl/asllvd/demos/verify_start_end_handshape_annotations//test_auto_move//signs_mov_separ_signers/Brady_5720.mov" TargetMode="External"/><Relationship Id="rId21184" Type="http://schemas.openxmlformats.org/officeDocument/2006/relationships/hyperlink" Target="http://secrets.rutgers.edu:8080/data/asl-ftp/asllvd/demos/verify_start_end_handshape_annotations//test_auto_move//signs_mov_separ_signers/Brady_5720.mov" TargetMode="External"/><Relationship Id="rId21185" Type="http://schemas.openxmlformats.org/officeDocument/2006/relationships/hyperlink" Target="http://csr.bu.edu/ftp/asl/asllvd/demos/verify_start_end_handshape_annotations//test_auto_move//signs_mov_separ_signers/Brady_5728.mov" TargetMode="External"/><Relationship Id="rId21186" Type="http://schemas.openxmlformats.org/officeDocument/2006/relationships/hyperlink" Target="http://secrets.rutgers.edu:8080/data/asl-ftp/asllvd/demos/verify_start_end_handshape_annotations//test_auto_move//signs_mov_separ_signers/Brady_5728.mov" TargetMode="External"/><Relationship Id="rId21187" Type="http://schemas.openxmlformats.org/officeDocument/2006/relationships/hyperlink" Target="http://csr.bu.edu/ftp/asl/asllvd/demos/verify_start_end_handshape_annotations//test_auto_move//signs_mov_separ_signers/Liz_5734.mov" TargetMode="External"/><Relationship Id="rId21188" Type="http://schemas.openxmlformats.org/officeDocument/2006/relationships/hyperlink" Target="http://secrets.rutgers.edu:8080/data/asl-ftp/asllvd/demos/verify_start_end_handshape_annotations//test_auto_move//signs_mov_separ_signers/Liz_5734.mov" TargetMode="External"/><Relationship Id="rId21189" Type="http://schemas.openxmlformats.org/officeDocument/2006/relationships/hyperlink" Target="http://csr.bu.edu/ftp/asl/asllvd/demos/verify_start_end_handshape_annotations//test_auto_move//signs_mov_separ_signers/Tyler_5734.mov" TargetMode="External"/><Relationship Id="rId21190" Type="http://schemas.openxmlformats.org/officeDocument/2006/relationships/hyperlink" Target="http://secrets.rutgers.edu:8080/data/asl-ftp/asllvd/demos/verify_start_end_handshape_annotations//test_auto_move//signs_mov_separ_signers/Tyler_5734.mov" TargetMode="External"/><Relationship Id="rId21191" Type="http://schemas.openxmlformats.org/officeDocument/2006/relationships/hyperlink" Target="http://csr.bu.edu/ftp/asl/asllvd/demos/verify_start_end_handshape_annotations//test_auto_move//signs_mov/5734_5741_merged.mov" TargetMode="External"/><Relationship Id="rId21192" Type="http://schemas.openxmlformats.org/officeDocument/2006/relationships/hyperlink" Target="http://csr.bu.edu/ftp/asl/asllvd/demos/verify_start_end_handshape_annotations//test_auto_move//signs_mov_separ_signers/Tyler_5741.mov" TargetMode="External"/><Relationship Id="rId21193" Type="http://schemas.openxmlformats.org/officeDocument/2006/relationships/hyperlink" Target="http://secrets.rutgers.edu:8080/data/asl-ftp/asllvd/demos/verify_start_end_handshape_annotations//test_auto_move//signs_mov/5734_5741_merged.mov" TargetMode="External"/><Relationship Id="rId21194" Type="http://schemas.openxmlformats.org/officeDocument/2006/relationships/hyperlink" Target="http://secrets.rutgers.edu:8080/data/asl-ftp/asllvd/demos/verify_start_end_handshape_annotations//test_auto_move//signs_mov_separ_signers/Tyler_5741.mov" TargetMode="External"/><Relationship Id="rId21195" Type="http://schemas.openxmlformats.org/officeDocument/2006/relationships/hyperlink" Target="http://csr.bu.edu/ftp/asl/asllvd/demos/verify_start_end_handshape_annotations//test_auto_move//signs_mov_separ_signers/Naomi_5734.mov" TargetMode="External"/><Relationship Id="rId21196" Type="http://schemas.openxmlformats.org/officeDocument/2006/relationships/hyperlink" Target="http://secrets.rutgers.edu:8080/data/asl-ftp/asllvd/demos/verify_start_end_handshape_annotations//test_auto_move//signs_mov_separ_signers/Naomi_5734.mov" TargetMode="External"/><Relationship Id="rId21197" Type="http://schemas.openxmlformats.org/officeDocument/2006/relationships/hyperlink" Target="http://csr.bu.edu/ftp/asl/asllvd/demos/verify_start_end_handshape_annotations//test_auto_move//signs_mov_separ_signers/Brady_5734.mov" TargetMode="External"/><Relationship Id="rId21198" Type="http://schemas.openxmlformats.org/officeDocument/2006/relationships/hyperlink" Target="http://secrets.rutgers.edu:8080/data/asl-ftp/asllvd/demos/verify_start_end_handshape_annotations//test_auto_move//signs_mov_separ_signers/Brady_5734.mov" TargetMode="External"/><Relationship Id="rId21199" Type="http://schemas.openxmlformats.org/officeDocument/2006/relationships/hyperlink" Target="http://csr.bu.edu/ftp/asl/asllvd/demos/verify_start_end_handshape_annotations//test_auto_move//signs_mov_separ_signers/Brady_5741.mov" TargetMode="External"/><Relationship Id="rId21200" Type="http://schemas.openxmlformats.org/officeDocument/2006/relationships/hyperlink" Target="http://secrets.rutgers.edu:8080/data/asl-ftp/asllvd/demos/verify_start_end_handshape_annotations//test_auto_move//signs_mov_separ_signers/Brady_5741.mov" TargetMode="External"/><Relationship Id="rId21201" Type="http://schemas.openxmlformats.org/officeDocument/2006/relationships/hyperlink" Target="http://csr.bu.edu/ftp/asl/asllvd/demos/verify_start_end_handshape_annotations//test_auto_move//signs_mov_separ_signers/Liz_5745.mov" TargetMode="External"/><Relationship Id="rId21202" Type="http://schemas.openxmlformats.org/officeDocument/2006/relationships/hyperlink" Target="http://secrets.rutgers.edu:8080/data/asl-ftp/asllvd/demos/verify_start_end_handshape_annotations//test_auto_move//signs_mov_separ_signers/Liz_5745.mov" TargetMode="External"/><Relationship Id="rId21203" Type="http://schemas.openxmlformats.org/officeDocument/2006/relationships/hyperlink" Target="http://csr.bu.edu/ftp/asl/asllvd/demos/verify_start_end_handshape_annotations//test_auto_move//signs_mov/5745.mov" TargetMode="External"/><Relationship Id="rId21204" Type="http://schemas.openxmlformats.org/officeDocument/2006/relationships/hyperlink" Target="http://csr.bu.edu/ftp/asl/asllvd/demos/verify_start_end_handshape_annotations//test_auto_move//signs_mov_separ_signers/Tyler_5745.mov" TargetMode="External"/><Relationship Id="rId21205" Type="http://schemas.openxmlformats.org/officeDocument/2006/relationships/hyperlink" Target="http://secrets.rutgers.edu:8080/data/asl-ftp/asllvd/demos/verify_start_end_handshape_annotations//test_auto_move//signs_mov/5745.mov" TargetMode="External"/><Relationship Id="rId21206" Type="http://schemas.openxmlformats.org/officeDocument/2006/relationships/hyperlink" Target="http://secrets.rutgers.edu:8080/data/asl-ftp/asllvd/demos/verify_start_end_handshape_annotations//test_auto_move//signs_mov_separ_signers/Tyler_5745.mov" TargetMode="External"/><Relationship Id="rId21207" Type="http://schemas.openxmlformats.org/officeDocument/2006/relationships/hyperlink" Target="http://csr.bu.edu/ftp/asl/asllvd/demos/verify_start_end_handshape_annotations//test_auto_move//signs_mov_separ_signers/Naomi_5745.mov" TargetMode="External"/><Relationship Id="rId21208" Type="http://schemas.openxmlformats.org/officeDocument/2006/relationships/hyperlink" Target="http://secrets.rutgers.edu:8080/data/asl-ftp/asllvd/demos/verify_start_end_handshape_annotations//test_auto_move//signs_mov_separ_signers/Naomi_5745.mov" TargetMode="External"/><Relationship Id="rId21209" Type="http://schemas.openxmlformats.org/officeDocument/2006/relationships/hyperlink" Target="http://csr.bu.edu/ftp/asl/asllvd/demos/verify_start_end_handshape_annotations//test_auto_move//signs_mov_separ_signers/Brady_5745.mov" TargetMode="External"/><Relationship Id="rId21210" Type="http://schemas.openxmlformats.org/officeDocument/2006/relationships/hyperlink" Target="http://secrets.rutgers.edu:8080/data/asl-ftp/asllvd/demos/verify_start_end_handshape_annotations//test_auto_move//signs_mov_separ_signers/Brady_5745.mov" TargetMode="External"/><Relationship Id="rId21211" Type="http://schemas.openxmlformats.org/officeDocument/2006/relationships/hyperlink" Target="http://csr.bu.edu/ftp/asl/asllvd/demos/verify_start_end_handshape_annotations//test_auto_move//signs_mov_separ_signers/Liz_5751.mov" TargetMode="External"/><Relationship Id="rId21212" Type="http://schemas.openxmlformats.org/officeDocument/2006/relationships/hyperlink" Target="http://secrets.rutgers.edu:8080/data/asl-ftp/asllvd/demos/verify_start_end_handshape_annotations//test_auto_move//signs_mov_separ_signers/Liz_5751.mov" TargetMode="External"/><Relationship Id="rId21213" Type="http://schemas.openxmlformats.org/officeDocument/2006/relationships/hyperlink" Target="http://csr.bu.edu/ftp/asl/asllvd/demos/verify_start_end_handshape_annotations//test_auto_move//signs_mov_separ_signers/Liz_5752.mov" TargetMode="External"/><Relationship Id="rId21214" Type="http://schemas.openxmlformats.org/officeDocument/2006/relationships/hyperlink" Target="http://secrets.rutgers.edu:8080/data/asl-ftp/asllvd/demos/verify_start_end_handshape_annotations//test_auto_move//signs_mov_separ_signers/Liz_5752.mov" TargetMode="External"/><Relationship Id="rId21215" Type="http://schemas.openxmlformats.org/officeDocument/2006/relationships/hyperlink" Target="http://csr.bu.edu/ftp/asl/asllvd/demos/verify_start_end_handshape_annotations//test_auto_move//signs_mov/5751_5752_merged.mov" TargetMode="External"/><Relationship Id="rId21216" Type="http://schemas.openxmlformats.org/officeDocument/2006/relationships/hyperlink" Target="http://csr.bu.edu/ftp/asl/asllvd/demos/verify_start_end_handshape_annotations//test_auto_move//signs_mov_separ_signers/Tyler_5751.mov" TargetMode="External"/><Relationship Id="rId21217" Type="http://schemas.openxmlformats.org/officeDocument/2006/relationships/hyperlink" Target="http://secrets.rutgers.edu:8080/data/asl-ftp/asllvd/demos/verify_start_end_handshape_annotations//test_auto_move//signs_mov/5751_5752_merged.mov" TargetMode="External"/><Relationship Id="rId21218" Type="http://schemas.openxmlformats.org/officeDocument/2006/relationships/hyperlink" Target="http://secrets.rutgers.edu:8080/data/asl-ftp/asllvd/demos/verify_start_end_handshape_annotations//test_auto_move//signs_mov_separ_signers/Tyler_5751.mov" TargetMode="External"/><Relationship Id="rId21219" Type="http://schemas.openxmlformats.org/officeDocument/2006/relationships/hyperlink" Target="http://csr.bu.edu/ftp/asl/asllvd/demos/verify_start_end_handshape_annotations//test_auto_move//signs_mov_separ_signers/Naomi_5751.mov" TargetMode="External"/><Relationship Id="rId21220" Type="http://schemas.openxmlformats.org/officeDocument/2006/relationships/hyperlink" Target="http://secrets.rutgers.edu:8080/data/asl-ftp/asllvd/demos/verify_start_end_handshape_annotations//test_auto_move//signs_mov_separ_signers/Naomi_5751.mov" TargetMode="External"/><Relationship Id="rId21221" Type="http://schemas.openxmlformats.org/officeDocument/2006/relationships/hyperlink" Target="http://csr.bu.edu/ftp/asl/asllvd/demos/verify_start_end_handshape_annotations//test_auto_move//signs_mov_separ_signers/Brady_5751.mov" TargetMode="External"/><Relationship Id="rId21222" Type="http://schemas.openxmlformats.org/officeDocument/2006/relationships/hyperlink" Target="http://secrets.rutgers.edu:8080/data/asl-ftp/asllvd/demos/verify_start_end_handshape_annotations//test_auto_move//signs_mov_separ_signers/Brady_5751.mov" TargetMode="External"/><Relationship Id="rId21223" Type="http://schemas.openxmlformats.org/officeDocument/2006/relationships/hyperlink" Target="http://csr.bu.edu/ftp/asl/asllvd/demos/verify_start_end_handshape_annotations//test_auto_move//signs_mov_separ_signers/Brady_5752.mov" TargetMode="External"/><Relationship Id="rId21224" Type="http://schemas.openxmlformats.org/officeDocument/2006/relationships/hyperlink" Target="http://secrets.rutgers.edu:8080/data/asl-ftp/asllvd/demos/verify_start_end_handshape_annotations//test_auto_move//signs_mov_separ_signers/Brady_5752.mov" TargetMode="External"/><Relationship Id="rId21225" Type="http://schemas.openxmlformats.org/officeDocument/2006/relationships/hyperlink" Target="http://csr.bu.edu/ftp/asl/asllvd/demos/verify_start_end_handshape_annotations//test_auto_move//signs_mov_separ_signers/Liz_5870.mov" TargetMode="External"/><Relationship Id="rId21226" Type="http://schemas.openxmlformats.org/officeDocument/2006/relationships/hyperlink" Target="http://secrets.rutgers.edu:8080/data/asl-ftp/asllvd/demos/verify_start_end_handshape_annotations//test_auto_move//signs_mov_separ_signers/Liz_5870.mov" TargetMode="External"/><Relationship Id="rId21227" Type="http://schemas.openxmlformats.org/officeDocument/2006/relationships/hyperlink" Target="http://csr.bu.edu/ftp/asl/asllvd/demos/verify_start_end_handshape_annotations//test_auto_move//signs_mov_separ_signers/Tyler_5870.mov" TargetMode="External"/><Relationship Id="rId21228" Type="http://schemas.openxmlformats.org/officeDocument/2006/relationships/hyperlink" Target="http://secrets.rutgers.edu:8080/data/asl-ftp/asllvd/demos/verify_start_end_handshape_annotations//test_auto_move//signs_mov_separ_signers/Tyler_5870.mov" TargetMode="External"/><Relationship Id="rId21229" Type="http://schemas.openxmlformats.org/officeDocument/2006/relationships/hyperlink" Target="http://csr.bu.edu/ftp/asl/asllvd/demos/verify_start_end_handshape_annotations//test_auto_move//signs_mov/5870_5871_merged.mov" TargetMode="External"/><Relationship Id="rId21230" Type="http://schemas.openxmlformats.org/officeDocument/2006/relationships/hyperlink" Target="http://csr.bu.edu/ftp/asl/asllvd/demos/verify_start_end_handshape_annotations//test_auto_move//signs_mov_separ_signers/Naomi_5870.mov" TargetMode="External"/><Relationship Id="rId21231" Type="http://schemas.openxmlformats.org/officeDocument/2006/relationships/hyperlink" Target="http://secrets.rutgers.edu:8080/data/asl-ftp/asllvd/demos/verify_start_end_handshape_annotations//test_auto_move//signs_mov/5870_5871_merged.mov" TargetMode="External"/><Relationship Id="rId21232" Type="http://schemas.openxmlformats.org/officeDocument/2006/relationships/hyperlink" Target="http://secrets.rutgers.edu:8080/data/asl-ftp/asllvd/demos/verify_start_end_handshape_annotations//test_auto_move//signs_mov_separ_signers/Naomi_5870.mov" TargetMode="External"/><Relationship Id="rId21233" Type="http://schemas.openxmlformats.org/officeDocument/2006/relationships/hyperlink" Target="http://csr.bu.edu/ftp/asl/asllvd/demos/verify_start_end_handshape_annotations//test_auto_move//signs_mov_separ_signers/Naomi_5871.mov" TargetMode="External"/><Relationship Id="rId21234" Type="http://schemas.openxmlformats.org/officeDocument/2006/relationships/hyperlink" Target="http://secrets.rutgers.edu:8080/data/asl-ftp/asllvd/demos/verify_start_end_handshape_annotations//test_auto_move//signs_mov_separ_signers/Naomi_5871.mov" TargetMode="External"/><Relationship Id="rId21235" Type="http://schemas.openxmlformats.org/officeDocument/2006/relationships/hyperlink" Target="http://csr.bu.edu/ftp/asl/asllvd/demos/verify_start_end_handshape_annotations//test_auto_move//signs_mov_separ_signers/Brady_5870.mov" TargetMode="External"/><Relationship Id="rId21236" Type="http://schemas.openxmlformats.org/officeDocument/2006/relationships/hyperlink" Target="http://secrets.rutgers.edu:8080/data/asl-ftp/asllvd/demos/verify_start_end_handshape_annotations//test_auto_move//signs_mov_separ_signers/Brady_5870.mov" TargetMode="External"/><Relationship Id="rId21237" Type="http://schemas.openxmlformats.org/officeDocument/2006/relationships/hyperlink" Target="http://csr.bu.edu/ftp/asl/asllvd/demos/verify_start_end_handshape_annotations//test_auto_move//signs_mov_separ_signers/Liz_15113.mov" TargetMode="External"/><Relationship Id="rId21238" Type="http://schemas.openxmlformats.org/officeDocument/2006/relationships/hyperlink" Target="http://secrets.rutgers.edu:8080/data/asl-ftp/asllvd/demos/verify_start_end_handshape_annotations//test_auto_move//signs_mov_separ_signers/Liz_15113.mov" TargetMode="External"/><Relationship Id="rId21239" Type="http://schemas.openxmlformats.org/officeDocument/2006/relationships/hyperlink" Target="http://csr.bu.edu/ftp/asl/asllvd/demos/verify_start_end_handshape_annotations//test_auto_move//signs_mov/15113_15119_merged.mov" TargetMode="External"/><Relationship Id="rId21240" Type="http://schemas.openxmlformats.org/officeDocument/2006/relationships/hyperlink" Target="http://csr.bu.edu/ftp/asl/asllvd/demos/verify_start_end_handshape_annotations//test_auto_move//signs_mov_separ_signers/Tyler_15113.mov" TargetMode="External"/><Relationship Id="rId21241" Type="http://schemas.openxmlformats.org/officeDocument/2006/relationships/hyperlink" Target="http://secrets.rutgers.edu:8080/data/asl-ftp/asllvd/demos/verify_start_end_handshape_annotations//test_auto_move//signs_mov/15113_15119_merged.mov" TargetMode="External"/><Relationship Id="rId21242" Type="http://schemas.openxmlformats.org/officeDocument/2006/relationships/hyperlink" Target="http://secrets.rutgers.edu:8080/data/asl-ftp/asllvd/demos/verify_start_end_handshape_annotations//test_auto_move//signs_mov_separ_signers/Tyler_15113.mov" TargetMode="External"/><Relationship Id="rId21243" Type="http://schemas.openxmlformats.org/officeDocument/2006/relationships/hyperlink" Target="http://csr.bu.edu/ftp/asl/asllvd/demos/verify_start_end_handshape_annotations//test_auto_move//signs_mov_separ_signers/Brady_15113.mov" TargetMode="External"/><Relationship Id="rId21244" Type="http://schemas.openxmlformats.org/officeDocument/2006/relationships/hyperlink" Target="http://secrets.rutgers.edu:8080/data/asl-ftp/asllvd/demos/verify_start_end_handshape_annotations//test_auto_move//signs_mov_separ_signers/Brady_15113.mov" TargetMode="External"/><Relationship Id="rId21245" Type="http://schemas.openxmlformats.org/officeDocument/2006/relationships/hyperlink" Target="http://csr.bu.edu/ftp/asl/asllvd/demos/verify_start_end_handshape_annotations//test_auto_move//signs_mov_separ_signers/Brady_15119.mov" TargetMode="External"/><Relationship Id="rId21246" Type="http://schemas.openxmlformats.org/officeDocument/2006/relationships/hyperlink" Target="http://secrets.rutgers.edu:8080/data/asl-ftp/asllvd/demos/verify_start_end_handshape_annotations//test_auto_move//signs_mov_separ_signers/Brady_15119.mov" TargetMode="External"/><Relationship Id="rId21247" Type="http://schemas.openxmlformats.org/officeDocument/2006/relationships/hyperlink" Target="http://csr.bu.edu/ftp/asl/asllvd/demos/verify_start_end_handshape_annotations//test_auto_move//signs_mov_separ_signers/Liz_15130.mov" TargetMode="External"/><Relationship Id="rId21248" Type="http://schemas.openxmlformats.org/officeDocument/2006/relationships/hyperlink" Target="http://secrets.rutgers.edu:8080/data/asl-ftp/asllvd/demos/verify_start_end_handshape_annotations//test_auto_move//signs_mov_separ_signers/Liz_15130.mov" TargetMode="External"/><Relationship Id="rId21249" Type="http://schemas.openxmlformats.org/officeDocument/2006/relationships/hyperlink" Target="http://csr.bu.edu/ftp/asl/asllvd/demos/verify_start_end_handshape_annotations//test_auto_move//signs_mov/15130.mov" TargetMode="External"/><Relationship Id="rId21250" Type="http://schemas.openxmlformats.org/officeDocument/2006/relationships/hyperlink" Target="http://csr.bu.edu/ftp/asl/asllvd/demos/verify_start_end_handshape_annotations//test_auto_move//signs_mov_separ_signers/Naomi_15130.mov" TargetMode="External"/><Relationship Id="rId21251" Type="http://schemas.openxmlformats.org/officeDocument/2006/relationships/hyperlink" Target="http://secrets.rutgers.edu:8080/data/asl-ftp/asllvd/demos/verify_start_end_handshape_annotations//test_auto_move//signs_mov/15130.mov" TargetMode="External"/><Relationship Id="rId21252" Type="http://schemas.openxmlformats.org/officeDocument/2006/relationships/hyperlink" Target="http://secrets.rutgers.edu:8080/data/asl-ftp/asllvd/demos/verify_start_end_handshape_annotations//test_auto_move//signs_mov_separ_signers/Naomi_15130.mov" TargetMode="External"/><Relationship Id="rId21253" Type="http://schemas.openxmlformats.org/officeDocument/2006/relationships/hyperlink" Target="http://csr.bu.edu/ftp/asl/asllvd/demos/verify_start_end_handshape_annotations//test_auto_move//signs_mov_separ_signers/Brady_15130.mov" TargetMode="External"/><Relationship Id="rId21254" Type="http://schemas.openxmlformats.org/officeDocument/2006/relationships/hyperlink" Target="http://secrets.rutgers.edu:8080/data/asl-ftp/asllvd/demos/verify_start_end_handshape_annotations//test_auto_move//signs_mov_separ_signers/Brady_15130.mov" TargetMode="External"/><Relationship Id="rId21255" Type="http://schemas.openxmlformats.org/officeDocument/2006/relationships/hyperlink" Target="http://csr.bu.edu/ftp/asl/asllvd/demos/verify_start_end_handshape_annotations//test_auto_move//signs_mov_separ_signers/Tyler_15144.mov" TargetMode="External"/><Relationship Id="rId21256" Type="http://schemas.openxmlformats.org/officeDocument/2006/relationships/hyperlink" Target="http://secrets.rutgers.edu:8080/data/asl-ftp/asllvd/demos/verify_start_end_handshape_annotations//test_auto_move//signs_mov_separ_signers/Tyler_15144.mov" TargetMode="External"/><Relationship Id="rId21257" Type="http://schemas.openxmlformats.org/officeDocument/2006/relationships/hyperlink" Target="http://csr.bu.edu/ftp/asl/asllvd/demos/verify_start_end_handshape_annotations//test_auto_move//signs_mov/15144_15293_merged.mov" TargetMode="External"/><Relationship Id="rId21258" Type="http://schemas.openxmlformats.org/officeDocument/2006/relationships/hyperlink" Target="http://csr.bu.edu/ftp/asl/asllvd/demos/verify_start_end_handshape_annotations//test_auto_move//signs_mov_separ_signers/Naomi_15144.mov" TargetMode="External"/><Relationship Id="rId21259" Type="http://schemas.openxmlformats.org/officeDocument/2006/relationships/hyperlink" Target="http://secrets.rutgers.edu:8080/data/asl-ftp/asllvd/demos/verify_start_end_handshape_annotations//test_auto_move//signs_mov/15144_15293_merged.mov" TargetMode="External"/><Relationship Id="rId21260" Type="http://schemas.openxmlformats.org/officeDocument/2006/relationships/hyperlink" Target="http://secrets.rutgers.edu:8080/data/asl-ftp/asllvd/demos/verify_start_end_handshape_annotations//test_auto_move//signs_mov_separ_signers/Naomi_15144.mov" TargetMode="External"/><Relationship Id="rId21261" Type="http://schemas.openxmlformats.org/officeDocument/2006/relationships/hyperlink" Target="http://csr.bu.edu/ftp/asl/asllvd/demos/verify_start_end_handshape_annotations//test_auto_move//signs_mov_separ_signers/Naomi_15293.mov" TargetMode="External"/><Relationship Id="rId21262" Type="http://schemas.openxmlformats.org/officeDocument/2006/relationships/hyperlink" Target="http://secrets.rutgers.edu:8080/data/asl-ftp/asllvd/demos/verify_start_end_handshape_annotations//test_auto_move//signs_mov_separ_signers/Naomi_15293.mov" TargetMode="External"/><Relationship Id="rId21263" Type="http://schemas.openxmlformats.org/officeDocument/2006/relationships/hyperlink" Target="http://csr.bu.edu/ftp/asl/asllvd/demos/verify_start_end_handshape_annotations//test_auto_move//signs_mov_separ_signers/Brady_15144.mov" TargetMode="External"/><Relationship Id="rId21264" Type="http://schemas.openxmlformats.org/officeDocument/2006/relationships/hyperlink" Target="http://secrets.rutgers.edu:8080/data/asl-ftp/asllvd/demos/verify_start_end_handshape_annotations//test_auto_move//signs_mov_separ_signers/Brady_15144.mov" TargetMode="External"/><Relationship Id="rId21265" Type="http://schemas.openxmlformats.org/officeDocument/2006/relationships/hyperlink" Target="http://csr.bu.edu/ftp/asl/asllvd/demos/verify_start_end_handshape_annotations//test_auto_move//signs_mov_separ_signers/Liz_15761.mov" TargetMode="External"/><Relationship Id="rId21266" Type="http://schemas.openxmlformats.org/officeDocument/2006/relationships/hyperlink" Target="http://secrets.rutgers.edu:8080/data/asl-ftp/asllvd/demos/verify_start_end_handshape_annotations//test_auto_move//signs_mov_separ_signers/Liz_15761.mov" TargetMode="External"/><Relationship Id="rId21267" Type="http://schemas.openxmlformats.org/officeDocument/2006/relationships/hyperlink" Target="http://csr.bu.edu/ftp/asl/asllvd/demos/verify_start_end_handshape_annotations//test_auto_move//signs_mov_separ_signers/Liz_16087.mov" TargetMode="External"/><Relationship Id="rId21268" Type="http://schemas.openxmlformats.org/officeDocument/2006/relationships/hyperlink" Target="http://secrets.rutgers.edu:8080/data/asl-ftp/asllvd/demos/verify_start_end_handshape_annotations//test_auto_move//signs_mov_separ_signers/Liz_16087.mov" TargetMode="External"/><Relationship Id="rId21269" Type="http://schemas.openxmlformats.org/officeDocument/2006/relationships/hyperlink" Target="http://csr.bu.edu/ftp/asl/asllvd/demos/verify_start_end_handshape_annotations//test_auto_move//signs_mov/15761_16087_merged.mov" TargetMode="External"/><Relationship Id="rId21270" Type="http://schemas.openxmlformats.org/officeDocument/2006/relationships/hyperlink" Target="http://csr.bu.edu/ftp/asl/asllvd/demos/verify_start_end_handshape_annotations//test_auto_move//signs_mov_separ_signers/Naomi_15761.mov" TargetMode="External"/><Relationship Id="rId21271" Type="http://schemas.openxmlformats.org/officeDocument/2006/relationships/hyperlink" Target="http://secrets.rutgers.edu:8080/data/asl-ftp/asllvd/demos/verify_start_end_handshape_annotations//test_auto_move//signs_mov/15761_16087_merged.mov" TargetMode="External"/><Relationship Id="rId21272" Type="http://schemas.openxmlformats.org/officeDocument/2006/relationships/hyperlink" Target="http://secrets.rutgers.edu:8080/data/asl-ftp/asllvd/demos/verify_start_end_handshape_annotations//test_auto_move//signs_mov_separ_signers/Naomi_15761.mov" TargetMode="External"/><Relationship Id="rId21273" Type="http://schemas.openxmlformats.org/officeDocument/2006/relationships/hyperlink" Target="http://csr.bu.edu/ftp/asl/asllvd/demos/verify_start_end_handshape_annotations//test_auto_move//signs_mov_separ_signers/Brady_15761.mov" TargetMode="External"/><Relationship Id="rId21274" Type="http://schemas.openxmlformats.org/officeDocument/2006/relationships/hyperlink" Target="http://secrets.rutgers.edu:8080/data/asl-ftp/asllvd/demos/verify_start_end_handshape_annotations//test_auto_move//signs_mov_separ_signers/Brady_15761.mov" TargetMode="External"/><Relationship Id="rId21275" Type="http://schemas.openxmlformats.org/officeDocument/2006/relationships/hyperlink" Target="http://csr.bu.edu/ftp/asl/asllvd/demos/verify_start_end_handshape_annotations//test_auto_move//signs_mov_separ_signers/Brady_16087.mov" TargetMode="External"/><Relationship Id="rId21276" Type="http://schemas.openxmlformats.org/officeDocument/2006/relationships/hyperlink" Target="http://secrets.rutgers.edu:8080/data/asl-ftp/asllvd/demos/verify_start_end_handshape_annotations//test_auto_move//signs_mov_separ_signers/Brady_16087.mov" TargetMode="External"/><Relationship Id="rId21277" Type="http://schemas.openxmlformats.org/officeDocument/2006/relationships/hyperlink" Target="http://csr.bu.edu/ftp/asl/asllvd/demos/verify_start_end_handshape_annotations//test_auto_move//signs_mov/16370.mov" TargetMode="External"/><Relationship Id="rId21278" Type="http://schemas.openxmlformats.org/officeDocument/2006/relationships/hyperlink" Target="http://csr.bu.edu/ftp/asl/asllvd/demos/verify_start_end_handshape_annotations//test_auto_move//signs_mov_separ_signers/Liz_16370.mov" TargetMode="External"/><Relationship Id="rId21279" Type="http://schemas.openxmlformats.org/officeDocument/2006/relationships/hyperlink" Target="http://secrets.rutgers.edu:8080/data/asl-ftp/asllvd/demos/verify_start_end_handshape_annotations//test_auto_move//signs_mov/16370.mov" TargetMode="External"/><Relationship Id="rId21280" Type="http://schemas.openxmlformats.org/officeDocument/2006/relationships/hyperlink" Target="http://secrets.rutgers.edu:8080/data/asl-ftp/asllvd/demos/verify_start_end_handshape_annotations//test_auto_move//signs_mov_separ_signers/Liz_16370.mov" TargetMode="External"/><Relationship Id="rId21281" Type="http://schemas.openxmlformats.org/officeDocument/2006/relationships/hyperlink" Target="http://csr.bu.edu/ftp/asl/asllvd/demos/verify_start_end_handshape_annotations//test_auto_move//signs_mov_separ_signers/Brady_16370.mov" TargetMode="External"/><Relationship Id="rId21282" Type="http://schemas.openxmlformats.org/officeDocument/2006/relationships/hyperlink" Target="http://secrets.rutgers.edu:8080/data/asl-ftp/asllvd/demos/verify_start_end_handshape_annotations//test_auto_move//signs_mov_separ_signers/Brady_16370.mov" TargetMode="External"/><Relationship Id="rId21283" Type="http://schemas.openxmlformats.org/officeDocument/2006/relationships/hyperlink" Target="http://csr.bu.edu/ftp/asl/asllvd/demos/verify_start_end_handshape_annotations//test_auto_move//signs_mov/16397.mov" TargetMode="External"/><Relationship Id="rId21284" Type="http://schemas.openxmlformats.org/officeDocument/2006/relationships/hyperlink" Target="http://csr.bu.edu/ftp/asl/asllvd/demos/verify_start_end_handshape_annotations//test_auto_move//signs_mov_separ_signers/Tyler_16397.mov" TargetMode="External"/><Relationship Id="rId21285" Type="http://schemas.openxmlformats.org/officeDocument/2006/relationships/hyperlink" Target="http://secrets.rutgers.edu:8080/data/asl-ftp/asllvd/demos/verify_start_end_handshape_annotations//test_auto_move//signs_mov/16397.mov" TargetMode="External"/><Relationship Id="rId21286" Type="http://schemas.openxmlformats.org/officeDocument/2006/relationships/hyperlink" Target="http://secrets.rutgers.edu:8080/data/asl-ftp/asllvd/demos/verify_start_end_handshape_annotations//test_auto_move//signs_mov_separ_signers/Tyler_16397.mov" TargetMode="External"/><Relationship Id="rId21287" Type="http://schemas.openxmlformats.org/officeDocument/2006/relationships/hyperlink" Target="http://csr.bu.edu/ftp/asl/asllvd/demos/verify_start_end_handshape_annotations//test_auto_move//signs_mov_separ_signers/Brady_16397.mov" TargetMode="External"/><Relationship Id="rId21288" Type="http://schemas.openxmlformats.org/officeDocument/2006/relationships/hyperlink" Target="http://secrets.rutgers.edu:8080/data/asl-ftp/asllvd/demos/verify_start_end_handshape_annotations//test_auto_move//signs_mov_separ_signers/Brady_16397.mov" TargetMode="External"/><Relationship Id="rId21289" Type="http://schemas.openxmlformats.org/officeDocument/2006/relationships/hyperlink" Target="http://csr.bu.edu/ftp/asl/asllvd/demos/verify_start_end_handshape_annotations//test_auto_move//signs_mov_separ_signers/Liz_4555.mov" TargetMode="External"/><Relationship Id="rId21290" Type="http://schemas.openxmlformats.org/officeDocument/2006/relationships/hyperlink" Target="http://secrets.rutgers.edu:8080/data/asl-ftp/asllvd/demos/verify_start_end_handshape_annotations//test_auto_move//signs_mov_separ_signers/Liz_4555.mov" TargetMode="External"/><Relationship Id="rId21291" Type="http://schemas.openxmlformats.org/officeDocument/2006/relationships/hyperlink" Target="http://csr.bu.edu/ftp/asl/asllvd/demos/verify_start_end_handshape_annotations//test_auto_move//signs_mov_separ_signers/Liz_5523.mov" TargetMode="External"/><Relationship Id="rId21292" Type="http://schemas.openxmlformats.org/officeDocument/2006/relationships/hyperlink" Target="http://secrets.rutgers.edu:8080/data/asl-ftp/asllvd/demos/verify_start_end_handshape_annotations//test_auto_move//signs_mov_separ_signers/Liz_5523.mov" TargetMode="External"/><Relationship Id="rId21293" Type="http://schemas.openxmlformats.org/officeDocument/2006/relationships/hyperlink" Target="http://csr.bu.edu/ftp/asl/asllvd/demos/verify_start_end_handshape_annotations//test_auto_move//signs_mov_separ_signers/Liz_5677.mov" TargetMode="External"/><Relationship Id="rId21294" Type="http://schemas.openxmlformats.org/officeDocument/2006/relationships/hyperlink" Target="http://secrets.rutgers.edu:8080/data/asl-ftp/asllvd/demos/verify_start_end_handshape_annotations//test_auto_move//signs_mov_separ_signers/Liz_5677.mov" TargetMode="External"/><Relationship Id="rId21295" Type="http://schemas.openxmlformats.org/officeDocument/2006/relationships/hyperlink" Target="http://csr.bu.edu/ftp/asl/asllvd/demos/verify_start_end_handshape_annotations//test_auto_move//signs_mov_separ_signers/Naomi_4555.mov" TargetMode="External"/><Relationship Id="rId21296" Type="http://schemas.openxmlformats.org/officeDocument/2006/relationships/hyperlink" Target="http://secrets.rutgers.edu:8080/data/asl-ftp/asllvd/demos/verify_start_end_handshape_annotations//test_auto_move//signs_mov_separ_signers/Naomi_4555.mov" TargetMode="External"/><Relationship Id="rId21297" Type="http://schemas.openxmlformats.org/officeDocument/2006/relationships/hyperlink" Target="http://csr.bu.edu/ftp/asl/asllvd/demos/verify_start_end_handshape_annotations//test_auto_move//signs_mov/4555_5523_5677_5688_5967_merged.mov" TargetMode="External"/><Relationship Id="rId21298" Type="http://schemas.openxmlformats.org/officeDocument/2006/relationships/hyperlink" Target="http://csr.bu.edu/ftp/asl/asllvd/demos/verify_start_end_handshape_annotations//test_auto_move//signs_mov_separ_signers/Brady_4555.mov" TargetMode="External"/><Relationship Id="rId21299" Type="http://schemas.openxmlformats.org/officeDocument/2006/relationships/hyperlink" Target="http://secrets.rutgers.edu:8080/data/asl-ftp/asllvd/demos/verify_start_end_handshape_annotations//test_auto_move//signs_mov/4555_5523_5677_5688_5967_merged.mov" TargetMode="External"/><Relationship Id="rId21300" Type="http://schemas.openxmlformats.org/officeDocument/2006/relationships/hyperlink" Target="http://secrets.rutgers.edu:8080/data/asl-ftp/asllvd/demos/verify_start_end_handshape_annotations//test_auto_move//signs_mov_separ_signers/Brady_4555.mov" TargetMode="External"/><Relationship Id="rId21301" Type="http://schemas.openxmlformats.org/officeDocument/2006/relationships/hyperlink" Target="http://csr.bu.edu/ftp/asl/asllvd/demos/verify_start_end_handshape_annotations//test_auto_move//signs_mov_separ_signers/Brady_5523.mov" TargetMode="External"/><Relationship Id="rId21302" Type="http://schemas.openxmlformats.org/officeDocument/2006/relationships/hyperlink" Target="http://secrets.rutgers.edu:8080/data/asl-ftp/asllvd/demos/verify_start_end_handshape_annotations//test_auto_move//signs_mov_separ_signers/Brady_5523.mov" TargetMode="External"/><Relationship Id="rId21303" Type="http://schemas.openxmlformats.org/officeDocument/2006/relationships/hyperlink" Target="http://csr.bu.edu/ftp/asl/asllvd/demos/verify_start_end_handshape_annotations//test_auto_move//signs_mov_separ_signers/Brady_5677.mov" TargetMode="External"/><Relationship Id="rId21304" Type="http://schemas.openxmlformats.org/officeDocument/2006/relationships/hyperlink" Target="http://secrets.rutgers.edu:8080/data/asl-ftp/asllvd/demos/verify_start_end_handshape_annotations//test_auto_move//signs_mov_separ_signers/Brady_5677.mov" TargetMode="External"/><Relationship Id="rId21305" Type="http://schemas.openxmlformats.org/officeDocument/2006/relationships/hyperlink" Target="http://csr.bu.edu/ftp/asl/asllvd/demos/verify_start_end_handshape_annotations//test_auto_move//signs_mov_separ_signers/Brady_5688.mov" TargetMode="External"/><Relationship Id="rId21306" Type="http://schemas.openxmlformats.org/officeDocument/2006/relationships/hyperlink" Target="http://secrets.rutgers.edu:8080/data/asl-ftp/asllvd/demos/verify_start_end_handshape_annotations//test_auto_move//signs_mov_separ_signers/Brady_5688.mov" TargetMode="External"/><Relationship Id="rId21307" Type="http://schemas.openxmlformats.org/officeDocument/2006/relationships/hyperlink" Target="http://csr.bu.edu/ftp/asl/asllvd/demos/verify_start_end_handshape_annotations//test_auto_move//signs_mov_separ_signers/Brady_5967.mov" TargetMode="External"/><Relationship Id="rId21308" Type="http://schemas.openxmlformats.org/officeDocument/2006/relationships/hyperlink" Target="http://secrets.rutgers.edu:8080/data/asl-ftp/asllvd/demos/verify_start_end_handshape_annotations//test_auto_move//signs_mov_separ_signers/Brady_5967.mov" TargetMode="External"/><Relationship Id="rId21309" Type="http://schemas.openxmlformats.org/officeDocument/2006/relationships/hyperlink" Target="http://csr.bu.edu/ftp/asl/asllvd/demos/verify_start_end_handshape_annotations//test_auto_move//signs_mov_separ_signers/Dana_4555.mov" TargetMode="External"/><Relationship Id="rId21310" Type="http://schemas.openxmlformats.org/officeDocument/2006/relationships/hyperlink" Target="http://secrets.rutgers.edu:8080/data/asl-ftp/asllvd/demos/verify_start_end_handshape_annotations//test_auto_move//signs_mov_separ_signers/Dana_4555.mov" TargetMode="External"/><Relationship Id="rId21311" Type="http://schemas.openxmlformats.org/officeDocument/2006/relationships/hyperlink" Target="http://csr.bu.edu/ftp/asl/asllvd/demos/verify_start_end_handshape_annotations//test_auto_move//signs_mov/15294.mov" TargetMode="External"/><Relationship Id="rId21312" Type="http://schemas.openxmlformats.org/officeDocument/2006/relationships/hyperlink" Target="http://csr.bu.edu/ftp/asl/asllvd/demos/verify_start_end_handshape_annotations//test_auto_move//signs_mov_separ_signers/Liz_15294.mov" TargetMode="External"/><Relationship Id="rId21313" Type="http://schemas.openxmlformats.org/officeDocument/2006/relationships/hyperlink" Target="http://secrets.rutgers.edu:8080/data/asl-ftp/asllvd/demos/verify_start_end_handshape_annotations//test_auto_move//signs_mov/15294.mov" TargetMode="External"/><Relationship Id="rId21314" Type="http://schemas.openxmlformats.org/officeDocument/2006/relationships/hyperlink" Target="http://secrets.rutgers.edu:8080/data/asl-ftp/asllvd/demos/verify_start_end_handshape_annotations//test_auto_move//signs_mov_separ_signers/Liz_15294.mov" TargetMode="External"/><Relationship Id="rId21315" Type="http://schemas.openxmlformats.org/officeDocument/2006/relationships/hyperlink" Target="http://csr.bu.edu/ftp/asl/asllvd/demos/verify_start_end_handshape_annotations//test_auto_move//signs_mov_separ_signers/Liz_16022.mov" TargetMode="External"/><Relationship Id="rId21316" Type="http://schemas.openxmlformats.org/officeDocument/2006/relationships/hyperlink" Target="http://secrets.rutgers.edu:8080/data/asl-ftp/asllvd/demos/verify_start_end_handshape_annotations//test_auto_move//signs_mov_separ_signers/Liz_16022.mov" TargetMode="External"/><Relationship Id="rId21317" Type="http://schemas.openxmlformats.org/officeDocument/2006/relationships/hyperlink" Target="http://csr.bu.edu/ftp/asl/asllvd/demos/verify_start_end_handshape_annotations//test_auto_move//signs_mov/16022_16081_merged.mov" TargetMode="External"/><Relationship Id="rId21318" Type="http://schemas.openxmlformats.org/officeDocument/2006/relationships/hyperlink" Target="http://csr.bu.edu/ftp/asl/asllvd/demos/verify_start_end_handshape_annotations//test_auto_move//signs_mov_separ_signers/Brady_16022.mov" TargetMode="External"/><Relationship Id="rId21319" Type="http://schemas.openxmlformats.org/officeDocument/2006/relationships/hyperlink" Target="http://secrets.rutgers.edu:8080/data/asl-ftp/asllvd/demos/verify_start_end_handshape_annotations//test_auto_move//signs_mov/16022_16081_merged.mov" TargetMode="External"/><Relationship Id="rId21320" Type="http://schemas.openxmlformats.org/officeDocument/2006/relationships/hyperlink" Target="http://secrets.rutgers.edu:8080/data/asl-ftp/asllvd/demos/verify_start_end_handshape_annotations//test_auto_move//signs_mov_separ_signers/Brady_16022.mov" TargetMode="External"/><Relationship Id="rId21321" Type="http://schemas.openxmlformats.org/officeDocument/2006/relationships/hyperlink" Target="http://csr.bu.edu/ftp/asl/asllvd/demos/verify_start_end_handshape_annotations//test_auto_move//signs_mov_separ_signers/Brady_16081.mov" TargetMode="External"/><Relationship Id="rId21322" Type="http://schemas.openxmlformats.org/officeDocument/2006/relationships/hyperlink" Target="http://secrets.rutgers.edu:8080/data/asl-ftp/asllvd/demos/verify_start_end_handshape_annotations//test_auto_move//signs_mov_separ_signers/Brady_16081.mov" TargetMode="External"/><Relationship Id="rId21323" Type="http://schemas.openxmlformats.org/officeDocument/2006/relationships/hyperlink" Target="http://csr.bu.edu/ftp/asl/asllvd/demos/verify_start_end_handshape_annotations//test_auto_move//signs_mov/16125.mov" TargetMode="External"/><Relationship Id="rId21324" Type="http://schemas.openxmlformats.org/officeDocument/2006/relationships/hyperlink" Target="http://csr.bu.edu/ftp/asl/asllvd/demos/verify_start_end_handshape_annotations//test_auto_move//signs_mov_separ_signers/Liz_16125.mov" TargetMode="External"/><Relationship Id="rId21325" Type="http://schemas.openxmlformats.org/officeDocument/2006/relationships/hyperlink" Target="http://secrets.rutgers.edu:8080/data/asl-ftp/asllvd/demos/verify_start_end_handshape_annotations//test_auto_move//signs_mov/16125.mov" TargetMode="External"/><Relationship Id="rId21326" Type="http://schemas.openxmlformats.org/officeDocument/2006/relationships/hyperlink" Target="http://secrets.rutgers.edu:8080/data/asl-ftp/asllvd/demos/verify_start_end_handshape_annotations//test_auto_move//signs_mov_separ_signers/Liz_16125.mov" TargetMode="External"/><Relationship Id="rId21327" Type="http://schemas.openxmlformats.org/officeDocument/2006/relationships/hyperlink" Target="http://csr.bu.edu/ftp/asl/asllvd/demos/verify_start_end_handshape_annotations//test_auto_move//signs_mov_separ_signers/Lana_16125.mov" TargetMode="External"/><Relationship Id="rId21328" Type="http://schemas.openxmlformats.org/officeDocument/2006/relationships/hyperlink" Target="http://secrets.rutgers.edu:8080/data/asl-ftp/asllvd/demos/verify_start_end_handshape_annotations//test_auto_move//signs_mov_separ_signers/Lana_16125.mov" TargetMode="External"/><Relationship Id="rId21329" Type="http://schemas.openxmlformats.org/officeDocument/2006/relationships/hyperlink" Target="http://csr.bu.edu/ftp/asl/asllvd/demos/verify_start_end_handshape_annotations//test_auto_move//signs_mov/16126.mov" TargetMode="External"/><Relationship Id="rId21330" Type="http://schemas.openxmlformats.org/officeDocument/2006/relationships/hyperlink" Target="http://csr.bu.edu/ftp/asl/asllvd/demos/verify_start_end_handshape_annotations//test_auto_move//signs_mov_separ_signers/Brady_16126.mov" TargetMode="External"/><Relationship Id="rId21331" Type="http://schemas.openxmlformats.org/officeDocument/2006/relationships/hyperlink" Target="http://secrets.rutgers.edu:8080/data/asl-ftp/asllvd/demos/verify_start_end_handshape_annotations//test_auto_move//signs_mov/16126.mov" TargetMode="External"/><Relationship Id="rId21332" Type="http://schemas.openxmlformats.org/officeDocument/2006/relationships/hyperlink" Target="http://secrets.rutgers.edu:8080/data/asl-ftp/asllvd/demos/verify_start_end_handshape_annotations//test_auto_move//signs_mov_separ_signers/Brady_16126.mov" TargetMode="External"/><Relationship Id="rId21333" Type="http://schemas.openxmlformats.org/officeDocument/2006/relationships/hyperlink" Target="http://csr.bu.edu/ftp/asl/asllvd/demos/verify_start_end_handshape_annotations//test_auto_move//signs_mov_separ_signers/Liz_4558.mov" TargetMode="External"/><Relationship Id="rId21334" Type="http://schemas.openxmlformats.org/officeDocument/2006/relationships/hyperlink" Target="http://secrets.rutgers.edu:8080/data/asl-ftp/asllvd/demos/verify_start_end_handshape_annotations//test_auto_move//signs_mov_separ_signers/Liz_4558.mov" TargetMode="External"/><Relationship Id="rId21335" Type="http://schemas.openxmlformats.org/officeDocument/2006/relationships/hyperlink" Target="http://csr.bu.edu/ftp/asl/asllvd/demos/verify_start_end_handshape_annotations//test_auto_move//signs_mov/4558_5755_merged.mov" TargetMode="External"/><Relationship Id="rId21336" Type="http://schemas.openxmlformats.org/officeDocument/2006/relationships/hyperlink" Target="http://csr.bu.edu/ftp/asl/asllvd/demos/verify_start_end_handshape_annotations//test_auto_move//signs_mov_separ_signers/Liz_5755.mov" TargetMode="External"/><Relationship Id="rId21337" Type="http://schemas.openxmlformats.org/officeDocument/2006/relationships/hyperlink" Target="http://secrets.rutgers.edu:8080/data/asl-ftp/asllvd/demos/verify_start_end_handshape_annotations//test_auto_move//signs_mov/4558_5755_merged.mov" TargetMode="External"/><Relationship Id="rId21338" Type="http://schemas.openxmlformats.org/officeDocument/2006/relationships/hyperlink" Target="http://secrets.rutgers.edu:8080/data/asl-ftp/asllvd/demos/verify_start_end_handshape_annotations//test_auto_move//signs_mov_separ_signers/Liz_5755.mov" TargetMode="External"/><Relationship Id="rId21339" Type="http://schemas.openxmlformats.org/officeDocument/2006/relationships/hyperlink" Target="http://csr.bu.edu/ftp/asl/asllvd/demos/verify_start_end_handshape_annotations//test_auto_move//signs_mov_separ_signers/Brady_4558.mov" TargetMode="External"/><Relationship Id="rId21340" Type="http://schemas.openxmlformats.org/officeDocument/2006/relationships/hyperlink" Target="http://secrets.rutgers.edu:8080/data/asl-ftp/asllvd/demos/verify_start_end_handshape_annotations//test_auto_move//signs_mov_separ_signers/Brady_4558.mov" TargetMode="External"/><Relationship Id="rId21341" Type="http://schemas.openxmlformats.org/officeDocument/2006/relationships/hyperlink" Target="http://csr.bu.edu/ftp/asl/asllvd/demos/verify_start_end_handshape_annotations//test_auto_move//signs_mov_separ_signers/Brady_5755.mov" TargetMode="External"/><Relationship Id="rId21342" Type="http://schemas.openxmlformats.org/officeDocument/2006/relationships/hyperlink" Target="http://secrets.rutgers.edu:8080/data/asl-ftp/asllvd/demos/verify_start_end_handshape_annotations//test_auto_move//signs_mov_separ_signers/Brady_5755.mov" TargetMode="External"/><Relationship Id="rId21343" Type="http://schemas.openxmlformats.org/officeDocument/2006/relationships/hyperlink" Target="http://csr.bu.edu/ftp/asl/asllvd/demos/verify_start_end_handshape_annotations//test_auto_move//signs_mov/4559.mov" TargetMode="External"/><Relationship Id="rId21344" Type="http://schemas.openxmlformats.org/officeDocument/2006/relationships/hyperlink" Target="http://csr.bu.edu/ftp/asl/asllvd/demos/verify_start_end_handshape_annotations//test_auto_move//signs_mov_separ_signers/Liz_4559.mov" TargetMode="External"/><Relationship Id="rId21345" Type="http://schemas.openxmlformats.org/officeDocument/2006/relationships/hyperlink" Target="http://secrets.rutgers.edu:8080/data/asl-ftp/asllvd/demos/verify_start_end_handshape_annotations//test_auto_move//signs_mov/4559.mov" TargetMode="External"/><Relationship Id="rId21346" Type="http://schemas.openxmlformats.org/officeDocument/2006/relationships/hyperlink" Target="http://secrets.rutgers.edu:8080/data/asl-ftp/asllvd/demos/verify_start_end_handshape_annotations//test_auto_move//signs_mov_separ_signers/Liz_4559.mov" TargetMode="External"/><Relationship Id="rId21347" Type="http://schemas.openxmlformats.org/officeDocument/2006/relationships/hyperlink" Target="http://csr.bu.edu/ftp/asl/asllvd/demos/verify_start_end_handshape_annotations//test_auto_move//signs_mov/4580.mov" TargetMode="External"/><Relationship Id="rId21348" Type="http://schemas.openxmlformats.org/officeDocument/2006/relationships/hyperlink" Target="http://csr.bu.edu/ftp/asl/asllvd/demos/verify_start_end_handshape_annotations//test_auto_move//signs_mov_separ_signers/Liz_4580.mov" TargetMode="External"/><Relationship Id="rId21349" Type="http://schemas.openxmlformats.org/officeDocument/2006/relationships/hyperlink" Target="http://secrets.rutgers.edu:8080/data/asl-ftp/asllvd/demos/verify_start_end_handshape_annotations//test_auto_move//signs_mov/4580.mov" TargetMode="External"/><Relationship Id="rId21350" Type="http://schemas.openxmlformats.org/officeDocument/2006/relationships/hyperlink" Target="http://secrets.rutgers.edu:8080/data/asl-ftp/asllvd/demos/verify_start_end_handshape_annotations//test_auto_move//signs_mov_separ_signers/Liz_4580.mov" TargetMode="External"/><Relationship Id="rId21351" Type="http://schemas.openxmlformats.org/officeDocument/2006/relationships/hyperlink" Target="http://csr.bu.edu/ftp/asl/asllvd/demos/verify_start_end_handshape_annotations//test_auto_move//signs_mov_separ_signers/Brady_4580.mov" TargetMode="External"/><Relationship Id="rId21352" Type="http://schemas.openxmlformats.org/officeDocument/2006/relationships/hyperlink" Target="http://secrets.rutgers.edu:8080/data/asl-ftp/asllvd/demos/verify_start_end_handshape_annotations//test_auto_move//signs_mov_separ_signers/Brady_4580.mov" TargetMode="External"/><Relationship Id="rId21353" Type="http://schemas.openxmlformats.org/officeDocument/2006/relationships/hyperlink" Target="http://csr.bu.edu/ftp/asl/asllvd/demos/verify_start_end_handshape_annotations//test_auto_move//signs_mov/15940.mov" TargetMode="External"/><Relationship Id="rId21354" Type="http://schemas.openxmlformats.org/officeDocument/2006/relationships/hyperlink" Target="http://csr.bu.edu/ftp/asl/asllvd/demos/verify_start_end_handshape_annotations//test_auto_move//signs_mov_separ_signers/Liz_15940.mov" TargetMode="External"/><Relationship Id="rId21355" Type="http://schemas.openxmlformats.org/officeDocument/2006/relationships/hyperlink" Target="http://secrets.rutgers.edu:8080/data/asl-ftp/asllvd/demos/verify_start_end_handshape_annotations//test_auto_move//signs_mov/15940.mov" TargetMode="External"/><Relationship Id="rId21356" Type="http://schemas.openxmlformats.org/officeDocument/2006/relationships/hyperlink" Target="http://secrets.rutgers.edu:8080/data/asl-ftp/asllvd/demos/verify_start_end_handshape_annotations//test_auto_move//signs_mov_separ_signers/Liz_15940.mov" TargetMode="External"/><Relationship Id="rId21357" Type="http://schemas.openxmlformats.org/officeDocument/2006/relationships/hyperlink" Target="http://csr.bu.edu/ftp/asl/asllvd/demos/verify_start_end_handshape_annotations//test_auto_move//signs_mov/15963.mov" TargetMode="External"/><Relationship Id="rId21358" Type="http://schemas.openxmlformats.org/officeDocument/2006/relationships/hyperlink" Target="http://csr.bu.edu/ftp/asl/asllvd/demos/verify_start_end_handshape_annotations//test_auto_move//signs_mov_separ_signers/Liz_15963.mov" TargetMode="External"/><Relationship Id="rId21359" Type="http://schemas.openxmlformats.org/officeDocument/2006/relationships/hyperlink" Target="http://secrets.rutgers.edu:8080/data/asl-ftp/asllvd/demos/verify_start_end_handshape_annotations//test_auto_move//signs_mov/15963.mov" TargetMode="External"/><Relationship Id="rId21360" Type="http://schemas.openxmlformats.org/officeDocument/2006/relationships/hyperlink" Target="http://secrets.rutgers.edu:8080/data/asl-ftp/asllvd/demos/verify_start_end_handshape_annotations//test_auto_move//signs_mov_separ_signers/Liz_15963.mov" TargetMode="External"/><Relationship Id="rId21361" Type="http://schemas.openxmlformats.org/officeDocument/2006/relationships/hyperlink" Target="http://csr.bu.edu/ftp/asl/asllvd/demos/verify_start_end_handshape_annotations//test_auto_move//signs_mov_separ_signers/Brady_15963.mov" TargetMode="External"/><Relationship Id="rId21362" Type="http://schemas.openxmlformats.org/officeDocument/2006/relationships/hyperlink" Target="http://secrets.rutgers.edu:8080/data/asl-ftp/asllvd/demos/verify_start_end_handshape_annotations//test_auto_move//signs_mov_separ_signers/Brady_15963.mov" TargetMode="External"/><Relationship Id="rId21363" Type="http://schemas.openxmlformats.org/officeDocument/2006/relationships/hyperlink" Target="http://csr.bu.edu/ftp/asl/asllvd/demos/verify_start_end_handshape_annotations//test_auto_move//signs_mov_separ_signers/Liz_15986.mov" TargetMode="External"/><Relationship Id="rId21364" Type="http://schemas.openxmlformats.org/officeDocument/2006/relationships/hyperlink" Target="http://secrets.rutgers.edu:8080/data/asl-ftp/asllvd/demos/verify_start_end_handshape_annotations//test_auto_move//signs_mov_separ_signers/Liz_15986.mov" TargetMode="External"/><Relationship Id="rId21365" Type="http://schemas.openxmlformats.org/officeDocument/2006/relationships/hyperlink" Target="http://csr.bu.edu/ftp/asl/asllvd/demos/verify_start_end_handshape_annotations//test_auto_move//signs_mov/15986.mov" TargetMode="External"/><Relationship Id="rId21366" Type="http://schemas.openxmlformats.org/officeDocument/2006/relationships/hyperlink" Target="http://csr.bu.edu/ftp/asl/asllvd/demos/verify_start_end_handshape_annotations//test_auto_move//signs_mov_separ_signers/Tyler_15986.mov" TargetMode="External"/><Relationship Id="rId21367" Type="http://schemas.openxmlformats.org/officeDocument/2006/relationships/hyperlink" Target="http://secrets.rutgers.edu:8080/data/asl-ftp/asllvd/demos/verify_start_end_handshape_annotations//test_auto_move//signs_mov/15986.mov" TargetMode="External"/><Relationship Id="rId21368" Type="http://schemas.openxmlformats.org/officeDocument/2006/relationships/hyperlink" Target="http://secrets.rutgers.edu:8080/data/asl-ftp/asllvd/demos/verify_start_end_handshape_annotations//test_auto_move//signs_mov_separ_signers/Tyler_15986.mov" TargetMode="External"/><Relationship Id="rId21369" Type="http://schemas.openxmlformats.org/officeDocument/2006/relationships/hyperlink" Target="http://csr.bu.edu/ftp/asl/asllvd/demos/verify_start_end_handshape_annotations//test_auto_move//signs_mov_separ_signers/Naomi_15986.mov" TargetMode="External"/><Relationship Id="rId21370" Type="http://schemas.openxmlformats.org/officeDocument/2006/relationships/hyperlink" Target="http://secrets.rutgers.edu:8080/data/asl-ftp/asllvd/demos/verify_start_end_handshape_annotations//test_auto_move//signs_mov_separ_signers/Naomi_15986.mov" TargetMode="External"/><Relationship Id="rId21371" Type="http://schemas.openxmlformats.org/officeDocument/2006/relationships/hyperlink" Target="http://csr.bu.edu/ftp/asl/asllvd/demos/verify_start_end_handshape_annotations//test_auto_move//signs_mov_separ_signers/Brady_15986.mov" TargetMode="External"/><Relationship Id="rId21372" Type="http://schemas.openxmlformats.org/officeDocument/2006/relationships/hyperlink" Target="http://secrets.rutgers.edu:8080/data/asl-ftp/asllvd/demos/verify_start_end_handshape_annotations//test_auto_move//signs_mov_separ_signers/Brady_15986.mov" TargetMode="External"/><Relationship Id="rId21373" Type="http://schemas.openxmlformats.org/officeDocument/2006/relationships/hyperlink" Target="http://csr.bu.edu/ftp/asl/asllvd/demos/verify_start_end_handshape_annotations//test_auto_move//signs_mov_separ_signers/Liz_16035.mov" TargetMode="External"/><Relationship Id="rId21374" Type="http://schemas.openxmlformats.org/officeDocument/2006/relationships/hyperlink" Target="http://secrets.rutgers.edu:8080/data/asl-ftp/asllvd/demos/verify_start_end_handshape_annotations//test_auto_move//signs_mov_separ_signers/Liz_16035.mov" TargetMode="External"/><Relationship Id="rId21375" Type="http://schemas.openxmlformats.org/officeDocument/2006/relationships/hyperlink" Target="http://csr.bu.edu/ftp/asl/asllvd/demos/verify_start_end_handshape_annotations//test_auto_move//signs_mov/16035.mov" TargetMode="External"/><Relationship Id="rId21376" Type="http://schemas.openxmlformats.org/officeDocument/2006/relationships/hyperlink" Target="http://csr.bu.edu/ftp/asl/asllvd/demos/verify_start_end_handshape_annotations//test_auto_move//signs_mov_separ_signers/Brady_16035.mov" TargetMode="External"/><Relationship Id="rId21377" Type="http://schemas.openxmlformats.org/officeDocument/2006/relationships/hyperlink" Target="http://secrets.rutgers.edu:8080/data/asl-ftp/asllvd/demos/verify_start_end_handshape_annotations//test_auto_move//signs_mov/16035.mov" TargetMode="External"/><Relationship Id="rId21378" Type="http://schemas.openxmlformats.org/officeDocument/2006/relationships/hyperlink" Target="http://secrets.rutgers.edu:8080/data/asl-ftp/asllvd/demos/verify_start_end_handshape_annotations//test_auto_move//signs_mov_separ_signers/Brady_16035.mov" TargetMode="External"/><Relationship Id="rId21379" Type="http://schemas.openxmlformats.org/officeDocument/2006/relationships/hyperlink" Target="http://csr.bu.edu/ftp/asl/asllvd/demos/verify_start_end_handshape_annotations//test_auto_move//signs_mov_separ_signers/Lana_16035.mov" TargetMode="External"/><Relationship Id="rId21380" Type="http://schemas.openxmlformats.org/officeDocument/2006/relationships/hyperlink" Target="http://secrets.rutgers.edu:8080/data/asl-ftp/asllvd/demos/verify_start_end_handshape_annotations//test_auto_move//signs_mov_separ_signers/Lana_16035.mov" TargetMode="External"/><Relationship Id="rId21381" Type="http://schemas.openxmlformats.org/officeDocument/2006/relationships/hyperlink" Target="http://csr.bu.edu/ftp/asl/asllvd/demos/verify_start_end_handshape_annotations//test_auto_move//signs_mov_separ_signers/Dana_16035.mov" TargetMode="External"/><Relationship Id="rId21382" Type="http://schemas.openxmlformats.org/officeDocument/2006/relationships/hyperlink" Target="http://secrets.rutgers.edu:8080/data/asl-ftp/asllvd/demos/verify_start_end_handshape_annotations//test_auto_move//signs_mov_separ_signers/Dana_16035.mov" TargetMode="External"/><Relationship Id="rId21383" Type="http://schemas.openxmlformats.org/officeDocument/2006/relationships/hyperlink" Target="http://csr.bu.edu/ftp/asl/asllvd/demos/verify_start_end_handshape_annotations//test_auto_move//signs_mov_separ_signers/Liz_4581.mov" TargetMode="External"/><Relationship Id="rId21384" Type="http://schemas.openxmlformats.org/officeDocument/2006/relationships/hyperlink" Target="http://secrets.rutgers.edu:8080/data/asl-ftp/asllvd/demos/verify_start_end_handshape_annotations//test_auto_move//signs_mov_separ_signers/Liz_4581.mov" TargetMode="External"/><Relationship Id="rId21385" Type="http://schemas.openxmlformats.org/officeDocument/2006/relationships/hyperlink" Target="http://csr.bu.edu/ftp/asl/asllvd/demos/verify_start_end_handshape_annotations//test_auto_move//signs_mov/4581_5684_merged.mov" TargetMode="External"/><Relationship Id="rId21386" Type="http://schemas.openxmlformats.org/officeDocument/2006/relationships/hyperlink" Target="http://csr.bu.edu/ftp/asl/asllvd/demos/verify_start_end_handshape_annotations//test_auto_move//signs_mov_separ_signers/Liz_5684.mov" TargetMode="External"/><Relationship Id="rId21387" Type="http://schemas.openxmlformats.org/officeDocument/2006/relationships/hyperlink" Target="http://secrets.rutgers.edu:8080/data/asl-ftp/asllvd/demos/verify_start_end_handshape_annotations//test_auto_move//signs_mov/4581_5684_merged.mov" TargetMode="External"/><Relationship Id="rId21388" Type="http://schemas.openxmlformats.org/officeDocument/2006/relationships/hyperlink" Target="http://secrets.rutgers.edu:8080/data/asl-ftp/asllvd/demos/verify_start_end_handshape_annotations//test_auto_move//signs_mov_separ_signers/Liz_5684.mov" TargetMode="External"/><Relationship Id="rId21389" Type="http://schemas.openxmlformats.org/officeDocument/2006/relationships/hyperlink" Target="http://csr.bu.edu/ftp/asl/asllvd/demos/verify_start_end_handshape_annotations//test_auto_move//signs_mov_separ_signers/Brady_4581.mov" TargetMode="External"/><Relationship Id="rId21390" Type="http://schemas.openxmlformats.org/officeDocument/2006/relationships/hyperlink" Target="http://secrets.rutgers.edu:8080/data/asl-ftp/asllvd/demos/verify_start_end_handshape_annotations//test_auto_move//signs_mov_separ_signers/Brady_4581.mov" TargetMode="External"/><Relationship Id="rId21391" Type="http://schemas.openxmlformats.org/officeDocument/2006/relationships/hyperlink" Target="http://csr.bu.edu/ftp/asl/asllvd/demos/verify_start_end_handshape_annotations//test_auto_move//signs_mov_separ_signers/Brady_5684.mov" TargetMode="External"/><Relationship Id="rId21392" Type="http://schemas.openxmlformats.org/officeDocument/2006/relationships/hyperlink" Target="http://secrets.rutgers.edu:8080/data/asl-ftp/asllvd/demos/verify_start_end_handshape_annotations//test_auto_move//signs_mov_separ_signers/Brady_5684.mov" TargetMode="External"/><Relationship Id="rId21393" Type="http://schemas.openxmlformats.org/officeDocument/2006/relationships/hyperlink" Target="http://csr.bu.edu/ftp/asl/asllvd/demos/verify_start_end_handshape_annotations//test_auto_move//signs_mov/15810.mov" TargetMode="External"/><Relationship Id="rId21394" Type="http://schemas.openxmlformats.org/officeDocument/2006/relationships/hyperlink" Target="http://csr.bu.edu/ftp/asl/asllvd/demos/verify_start_end_handshape_annotations//test_auto_move//signs_mov_separ_signers/Liz_15810.mov" TargetMode="External"/><Relationship Id="rId21395" Type="http://schemas.openxmlformats.org/officeDocument/2006/relationships/hyperlink" Target="http://secrets.rutgers.edu:8080/data/asl-ftp/asllvd/demos/verify_start_end_handshape_annotations//test_auto_move//signs_mov/15810.mov" TargetMode="External"/><Relationship Id="rId21396" Type="http://schemas.openxmlformats.org/officeDocument/2006/relationships/hyperlink" Target="http://secrets.rutgers.edu:8080/data/asl-ftp/asllvd/demos/verify_start_end_handshape_annotations//test_auto_move//signs_mov_separ_signers/Liz_15810.mov" TargetMode="External"/><Relationship Id="rId21397" Type="http://schemas.openxmlformats.org/officeDocument/2006/relationships/hyperlink" Target="http://csr.bu.edu/ftp/asl/asllvd/demos/verify_start_end_handshape_annotations//test_auto_move//signs_mov_separ_signers/Brady_15810.mov" TargetMode="External"/><Relationship Id="rId21398" Type="http://schemas.openxmlformats.org/officeDocument/2006/relationships/hyperlink" Target="http://secrets.rutgers.edu:8080/data/asl-ftp/asllvd/demos/verify_start_end_handshape_annotations//test_auto_move//signs_mov_separ_signers/Brady_15810.mov" TargetMode="External"/><Relationship Id="rId21399" Type="http://schemas.openxmlformats.org/officeDocument/2006/relationships/hyperlink" Target="http://csr.bu.edu/ftp/asl/asllvd/demos/verify_start_end_handshape_annotations//test_auto_move//signs_mov_separ_signers/Liz_4587.mov" TargetMode="External"/><Relationship Id="rId21400" Type="http://schemas.openxmlformats.org/officeDocument/2006/relationships/hyperlink" Target="http://secrets.rutgers.edu:8080/data/asl-ftp/asllvd/demos/verify_start_end_handshape_annotations//test_auto_move//signs_mov_separ_signers/Liz_4587.mov" TargetMode="External"/><Relationship Id="rId21401" Type="http://schemas.openxmlformats.org/officeDocument/2006/relationships/hyperlink" Target="http://csr.bu.edu/ftp/asl/asllvd/demos/verify_start_end_handshape_annotations//test_auto_move//signs_mov/4587_5754_merged.mov" TargetMode="External"/><Relationship Id="rId21402" Type="http://schemas.openxmlformats.org/officeDocument/2006/relationships/hyperlink" Target="http://csr.bu.edu/ftp/asl/asllvd/demos/verify_start_end_handshape_annotations//test_auto_move//signs_mov_separ_signers/Tyler_4587.mov" TargetMode="External"/><Relationship Id="rId21403" Type="http://schemas.openxmlformats.org/officeDocument/2006/relationships/hyperlink" Target="http://secrets.rutgers.edu:8080/data/asl-ftp/asllvd/demos/verify_start_end_handshape_annotations//test_auto_move//signs_mov/4587_5754_merged.mov" TargetMode="External"/><Relationship Id="rId21404" Type="http://schemas.openxmlformats.org/officeDocument/2006/relationships/hyperlink" Target="http://secrets.rutgers.edu:8080/data/asl-ftp/asllvd/demos/verify_start_end_handshape_annotations//test_auto_move//signs_mov_separ_signers/Tyler_4587.mov" TargetMode="External"/><Relationship Id="rId21405" Type="http://schemas.openxmlformats.org/officeDocument/2006/relationships/hyperlink" Target="http://csr.bu.edu/ftp/asl/asllvd/demos/verify_start_end_handshape_annotations//test_auto_move//signs_mov_separ_signers/Brady_4587.mov" TargetMode="External"/><Relationship Id="rId21406" Type="http://schemas.openxmlformats.org/officeDocument/2006/relationships/hyperlink" Target="http://secrets.rutgers.edu:8080/data/asl-ftp/asllvd/demos/verify_start_end_handshape_annotations//test_auto_move//signs_mov_separ_signers/Brady_4587.mov" TargetMode="External"/><Relationship Id="rId21407" Type="http://schemas.openxmlformats.org/officeDocument/2006/relationships/hyperlink" Target="http://csr.bu.edu/ftp/asl/asllvd/demos/verify_start_end_handshape_annotations//test_auto_move//signs_mov_separ_signers/Brady_5754.mov" TargetMode="External"/><Relationship Id="rId21408" Type="http://schemas.openxmlformats.org/officeDocument/2006/relationships/hyperlink" Target="http://secrets.rutgers.edu:8080/data/asl-ftp/asllvd/demos/verify_start_end_handshape_annotations//test_auto_move//signs_mov_separ_signers/Brady_5754.mov" TargetMode="External"/><Relationship Id="rId21409" Type="http://schemas.openxmlformats.org/officeDocument/2006/relationships/hyperlink" Target="http://csr.bu.edu/ftp/asl/asllvd/demos/verify_start_end_handshape_annotations//test_auto_move//signs_mov/4597.mov" TargetMode="External"/><Relationship Id="rId21410" Type="http://schemas.openxmlformats.org/officeDocument/2006/relationships/hyperlink" Target="http://csr.bu.edu/ftp/asl/asllvd/demos/verify_start_end_handshape_annotations//test_auto_move//signs_mov_separ_signers/Dana_4597.mov" TargetMode="External"/><Relationship Id="rId21411" Type="http://schemas.openxmlformats.org/officeDocument/2006/relationships/hyperlink" Target="http://secrets.rutgers.edu:8080/data/asl-ftp/asllvd/demos/verify_start_end_handshape_annotations//test_auto_move//signs_mov/4597.mov" TargetMode="External"/><Relationship Id="rId21412" Type="http://schemas.openxmlformats.org/officeDocument/2006/relationships/hyperlink" Target="http://secrets.rutgers.edu:8080/data/asl-ftp/asllvd/demos/verify_start_end_handshape_annotations//test_auto_move//signs_mov_separ_signers/Dana_4597.mov" TargetMode="External"/><Relationship Id="rId21413" Type="http://schemas.openxmlformats.org/officeDocument/2006/relationships/hyperlink" Target="http://csr.bu.edu/ftp/asl/asllvd/demos/verify_start_end_handshape_annotations//test_auto_move//signs_mov_separ_signers/Liz_4612.mov" TargetMode="External"/><Relationship Id="rId21414" Type="http://schemas.openxmlformats.org/officeDocument/2006/relationships/hyperlink" Target="http://secrets.rutgers.edu:8080/data/asl-ftp/asllvd/demos/verify_start_end_handshape_annotations//test_auto_move//signs_mov_separ_signers/Liz_4612.mov" TargetMode="External"/><Relationship Id="rId21415" Type="http://schemas.openxmlformats.org/officeDocument/2006/relationships/hyperlink" Target="http://csr.bu.edu/ftp/asl/asllvd/demos/verify_start_end_handshape_annotations//test_auto_move//signs_mov/4612.mov" TargetMode="External"/><Relationship Id="rId21416" Type="http://schemas.openxmlformats.org/officeDocument/2006/relationships/hyperlink" Target="http://csr.bu.edu/ftp/asl/asllvd/demos/verify_start_end_handshape_annotations//test_auto_move//signs_mov_separ_signers/Naomi_4612.mov" TargetMode="External"/><Relationship Id="rId21417" Type="http://schemas.openxmlformats.org/officeDocument/2006/relationships/hyperlink" Target="http://secrets.rutgers.edu:8080/data/asl-ftp/asllvd/demos/verify_start_end_handshape_annotations//test_auto_move//signs_mov/4612.mov" TargetMode="External"/><Relationship Id="rId21418" Type="http://schemas.openxmlformats.org/officeDocument/2006/relationships/hyperlink" Target="http://secrets.rutgers.edu:8080/data/asl-ftp/asllvd/demos/verify_start_end_handshape_annotations//test_auto_move//signs_mov_separ_signers/Naomi_4612.mov" TargetMode="External"/><Relationship Id="rId21419" Type="http://schemas.openxmlformats.org/officeDocument/2006/relationships/hyperlink" Target="http://csr.bu.edu/ftp/asl/asllvd/demos/verify_start_end_handshape_annotations//test_auto_move//signs_mov_separ_signers/Brady_4612.mov" TargetMode="External"/><Relationship Id="rId21420" Type="http://schemas.openxmlformats.org/officeDocument/2006/relationships/hyperlink" Target="http://secrets.rutgers.edu:8080/data/asl-ftp/asllvd/demos/verify_start_end_handshape_annotations//test_auto_move//signs_mov_separ_signers/Brady_4612.mov" TargetMode="External"/><Relationship Id="rId21421" Type="http://schemas.openxmlformats.org/officeDocument/2006/relationships/hyperlink" Target="http://csr.bu.edu/ftp/asl/asllvd/demos/verify_start_end_handshape_annotations//test_auto_move//signs_mov_separ_signers/Liz_15167.mov" TargetMode="External"/><Relationship Id="rId21422" Type="http://schemas.openxmlformats.org/officeDocument/2006/relationships/hyperlink" Target="http://secrets.rutgers.edu:8080/data/asl-ftp/asllvd/demos/verify_start_end_handshape_annotations//test_auto_move//signs_mov_separ_signers/Liz_15167.mov" TargetMode="External"/><Relationship Id="rId21423" Type="http://schemas.openxmlformats.org/officeDocument/2006/relationships/hyperlink" Target="http://csr.bu.edu/ftp/asl/asllvd/demos/verify_start_end_handshape_annotations//test_auto_move//signs_mov/15167.mov" TargetMode="External"/><Relationship Id="rId21424" Type="http://schemas.openxmlformats.org/officeDocument/2006/relationships/hyperlink" Target="http://csr.bu.edu/ftp/asl/asllvd/demos/verify_start_end_handshape_annotations//test_auto_move//signs_mov_separ_signers/Naomi_15167.mov" TargetMode="External"/><Relationship Id="rId21425" Type="http://schemas.openxmlformats.org/officeDocument/2006/relationships/hyperlink" Target="http://secrets.rutgers.edu:8080/data/asl-ftp/asllvd/demos/verify_start_end_handshape_annotations//test_auto_move//signs_mov/15167.mov" TargetMode="External"/><Relationship Id="rId21426" Type="http://schemas.openxmlformats.org/officeDocument/2006/relationships/hyperlink" Target="http://secrets.rutgers.edu:8080/data/asl-ftp/asllvd/demos/verify_start_end_handshape_annotations//test_auto_move//signs_mov_separ_signers/Naomi_15167.mov" TargetMode="External"/><Relationship Id="rId21427" Type="http://schemas.openxmlformats.org/officeDocument/2006/relationships/hyperlink" Target="http://csr.bu.edu/ftp/asl/asllvd/demos/verify_start_end_handshape_annotations//test_auto_move//signs_mov_separ_signers/Brady_15167.mov" TargetMode="External"/><Relationship Id="rId21428" Type="http://schemas.openxmlformats.org/officeDocument/2006/relationships/hyperlink" Target="http://secrets.rutgers.edu:8080/data/asl-ftp/asllvd/demos/verify_start_end_handshape_annotations//test_auto_move//signs_mov_separ_signers/Brady_15167.mov" TargetMode="External"/><Relationship Id="rId21429" Type="http://schemas.openxmlformats.org/officeDocument/2006/relationships/hyperlink" Target="http://csr.bu.edu/ftp/asl/asllvd/demos/verify_start_end_handshape_annotations//test_auto_move//signs_mov_separ_signers/Liz_15168.mov" TargetMode="External"/><Relationship Id="rId21430" Type="http://schemas.openxmlformats.org/officeDocument/2006/relationships/hyperlink" Target="http://secrets.rutgers.edu:8080/data/asl-ftp/asllvd/demos/verify_start_end_handshape_annotations//test_auto_move//signs_mov_separ_signers/Liz_15168.mov" TargetMode="External"/><Relationship Id="rId21431" Type="http://schemas.openxmlformats.org/officeDocument/2006/relationships/hyperlink" Target="http://csr.bu.edu/ftp/asl/asllvd/demos/verify_start_end_handshape_annotations//test_auto_move//signs_mov_separ_signers/Liz_15184.mov" TargetMode="External"/><Relationship Id="rId21432" Type="http://schemas.openxmlformats.org/officeDocument/2006/relationships/hyperlink" Target="http://secrets.rutgers.edu:8080/data/asl-ftp/asllvd/demos/verify_start_end_handshape_annotations//test_auto_move//signs_mov_separ_signers/Liz_15184.mov" TargetMode="External"/><Relationship Id="rId21433" Type="http://schemas.openxmlformats.org/officeDocument/2006/relationships/hyperlink" Target="http://csr.bu.edu/ftp/asl/asllvd/demos/verify_start_end_handshape_annotations//test_auto_move//signs_mov_separ_signers/Liz_15268.mov" TargetMode="External"/><Relationship Id="rId21434" Type="http://schemas.openxmlformats.org/officeDocument/2006/relationships/hyperlink" Target="http://secrets.rutgers.edu:8080/data/asl-ftp/asllvd/demos/verify_start_end_handshape_annotations//test_auto_move//signs_mov_separ_signers/Liz_15268.mov" TargetMode="External"/><Relationship Id="rId21435" Type="http://schemas.openxmlformats.org/officeDocument/2006/relationships/hyperlink" Target="http://csr.bu.edu/ftp/asl/asllvd/demos/verify_start_end_handshape_annotations//test_auto_move//signs_mov_separ_signers/Liz_15302.mov" TargetMode="External"/><Relationship Id="rId21436" Type="http://schemas.openxmlformats.org/officeDocument/2006/relationships/hyperlink" Target="http://secrets.rutgers.edu:8080/data/asl-ftp/asllvd/demos/verify_start_end_handshape_annotations//test_auto_move//signs_mov_separ_signers/Liz_15302.mov" TargetMode="External"/><Relationship Id="rId21437" Type="http://schemas.openxmlformats.org/officeDocument/2006/relationships/hyperlink" Target="http://csr.bu.edu/ftp/asl/asllvd/demos/verify_start_end_handshape_annotations//test_auto_move//signs_mov_separ_signers/Tyler_15168.mov" TargetMode="External"/><Relationship Id="rId21438" Type="http://schemas.openxmlformats.org/officeDocument/2006/relationships/hyperlink" Target="http://secrets.rutgers.edu:8080/data/asl-ftp/asllvd/demos/verify_start_end_handshape_annotations//test_auto_move//signs_mov_separ_signers/Tyler_15168.mov" TargetMode="External"/><Relationship Id="rId21439" Type="http://schemas.openxmlformats.org/officeDocument/2006/relationships/hyperlink" Target="http://csr.bu.edu/ftp/asl/asllvd/demos/verify_start_end_handshape_annotations//test_auto_move//signs_mov/15168_15184_15268_15302_merged.mov" TargetMode="External"/><Relationship Id="rId21440" Type="http://schemas.openxmlformats.org/officeDocument/2006/relationships/hyperlink" Target="http://csr.bu.edu/ftp/asl/asllvd/demos/verify_start_end_handshape_annotations//test_auto_move//signs_mov_separ_signers/Tyler_15184.mov" TargetMode="External"/><Relationship Id="rId21441" Type="http://schemas.openxmlformats.org/officeDocument/2006/relationships/hyperlink" Target="http://secrets.rutgers.edu:8080/data/asl-ftp/asllvd/demos/verify_start_end_handshape_annotations//test_auto_move//signs_mov/15168_15184_15268_15302_merged.mov" TargetMode="External"/><Relationship Id="rId21442" Type="http://schemas.openxmlformats.org/officeDocument/2006/relationships/hyperlink" Target="http://secrets.rutgers.edu:8080/data/asl-ftp/asllvd/demos/verify_start_end_handshape_annotations//test_auto_move//signs_mov_separ_signers/Tyler_15184.mov" TargetMode="External"/><Relationship Id="rId21443" Type="http://schemas.openxmlformats.org/officeDocument/2006/relationships/hyperlink" Target="http://csr.bu.edu/ftp/asl/asllvd/demos/verify_start_end_handshape_annotations//test_auto_move//signs_mov_separ_signers/Naomi_15168.mov" TargetMode="External"/><Relationship Id="rId21444" Type="http://schemas.openxmlformats.org/officeDocument/2006/relationships/hyperlink" Target="http://secrets.rutgers.edu:8080/data/asl-ftp/asllvd/demos/verify_start_end_handshape_annotations//test_auto_move//signs_mov_separ_signers/Naomi_15168.mov" TargetMode="External"/><Relationship Id="rId21445" Type="http://schemas.openxmlformats.org/officeDocument/2006/relationships/hyperlink" Target="http://csr.bu.edu/ftp/asl/asllvd/demos/verify_start_end_handshape_annotations//test_auto_move//signs_mov_separ_signers/Naomi_15184.mov" TargetMode="External"/><Relationship Id="rId21446" Type="http://schemas.openxmlformats.org/officeDocument/2006/relationships/hyperlink" Target="http://secrets.rutgers.edu:8080/data/asl-ftp/asllvd/demos/verify_start_end_handshape_annotations//test_auto_move//signs_mov_separ_signers/Naomi_15184.mov" TargetMode="External"/><Relationship Id="rId21447" Type="http://schemas.openxmlformats.org/officeDocument/2006/relationships/hyperlink" Target="http://csr.bu.edu/ftp/asl/asllvd/demos/verify_start_end_handshape_annotations//test_auto_move//signs_mov_separ_signers/Brady_15168.mov" TargetMode="External"/><Relationship Id="rId21448" Type="http://schemas.openxmlformats.org/officeDocument/2006/relationships/hyperlink" Target="http://secrets.rutgers.edu:8080/data/asl-ftp/asllvd/demos/verify_start_end_handshape_annotations//test_auto_move//signs_mov_separ_signers/Brady_15168.mov" TargetMode="External"/><Relationship Id="rId21449" Type="http://schemas.openxmlformats.org/officeDocument/2006/relationships/hyperlink" Target="http://csr.bu.edu/ftp/asl/asllvd/demos/verify_start_end_handshape_annotations//test_auto_move//signs_mov_separ_signers/Brady_15184.mov" TargetMode="External"/><Relationship Id="rId21450" Type="http://schemas.openxmlformats.org/officeDocument/2006/relationships/hyperlink" Target="http://secrets.rutgers.edu:8080/data/asl-ftp/asllvd/demos/verify_start_end_handshape_annotations//test_auto_move//signs_mov_separ_signers/Brady_15184.mov" TargetMode="External"/><Relationship Id="rId21451" Type="http://schemas.openxmlformats.org/officeDocument/2006/relationships/hyperlink" Target="http://csr.bu.edu/ftp/asl/asllvd/demos/verify_start_end_handshape_annotations//test_auto_move//signs_mov_separ_signers/Brady_15268.mov" TargetMode="External"/><Relationship Id="rId21452" Type="http://schemas.openxmlformats.org/officeDocument/2006/relationships/hyperlink" Target="http://secrets.rutgers.edu:8080/data/asl-ftp/asllvd/demos/verify_start_end_handshape_annotations//test_auto_move//signs_mov_separ_signers/Brady_15268.mov" TargetMode="External"/><Relationship Id="rId21453" Type="http://schemas.openxmlformats.org/officeDocument/2006/relationships/hyperlink" Target="http://csr.bu.edu/ftp/asl/asllvd/demos/verify_start_end_handshape_annotations//test_auto_move//signs_mov_separ_signers/Brady_15302.mov" TargetMode="External"/><Relationship Id="rId21454" Type="http://schemas.openxmlformats.org/officeDocument/2006/relationships/hyperlink" Target="http://secrets.rutgers.edu:8080/data/asl-ftp/asllvd/demos/verify_start_end_handshape_annotations//test_auto_move//signs_mov_separ_signers/Brady_15302.mov" TargetMode="External"/><Relationship Id="rId21455" Type="http://schemas.openxmlformats.org/officeDocument/2006/relationships/hyperlink" Target="http://csr.bu.edu/ftp/asl/asllvd/demos/verify_start_end_handshape_annotations//test_auto_move//signs_mov_separ_signers/Liz_15427.mov" TargetMode="External"/><Relationship Id="rId21456" Type="http://schemas.openxmlformats.org/officeDocument/2006/relationships/hyperlink" Target="http://secrets.rutgers.edu:8080/data/asl-ftp/asllvd/demos/verify_start_end_handshape_annotations//test_auto_move//signs_mov_separ_signers/Liz_15427.mov" TargetMode="External"/><Relationship Id="rId21457" Type="http://schemas.openxmlformats.org/officeDocument/2006/relationships/hyperlink" Target="http://csr.bu.edu/ftp/asl/asllvd/demos/verify_start_end_handshape_annotations//test_auto_move//signs_mov/15427.mov" TargetMode="External"/><Relationship Id="rId21458" Type="http://schemas.openxmlformats.org/officeDocument/2006/relationships/hyperlink" Target="http://csr.bu.edu/ftp/asl/asllvd/demos/verify_start_end_handshape_annotations//test_auto_move//signs_mov_separ_signers/Tyler_15427.mov" TargetMode="External"/><Relationship Id="rId21459" Type="http://schemas.openxmlformats.org/officeDocument/2006/relationships/hyperlink" Target="http://secrets.rutgers.edu:8080/data/asl-ftp/asllvd/demos/verify_start_end_handshape_annotations//test_auto_move//signs_mov/15427.mov" TargetMode="External"/><Relationship Id="rId21460" Type="http://schemas.openxmlformats.org/officeDocument/2006/relationships/hyperlink" Target="http://secrets.rutgers.edu:8080/data/asl-ftp/asllvd/demos/verify_start_end_handshape_annotations//test_auto_move//signs_mov_separ_signers/Tyler_15427.mov" TargetMode="External"/><Relationship Id="rId21461" Type="http://schemas.openxmlformats.org/officeDocument/2006/relationships/hyperlink" Target="http://csr.bu.edu/ftp/asl/asllvd/demos/verify_start_end_handshape_annotations//test_auto_move//signs_mov_separ_signers/Naomi_15427.mov" TargetMode="External"/><Relationship Id="rId21462" Type="http://schemas.openxmlformats.org/officeDocument/2006/relationships/hyperlink" Target="http://secrets.rutgers.edu:8080/data/asl-ftp/asllvd/demos/verify_start_end_handshape_annotations//test_auto_move//signs_mov_separ_signers/Naomi_15427.mov" TargetMode="External"/><Relationship Id="rId21463" Type="http://schemas.openxmlformats.org/officeDocument/2006/relationships/hyperlink" Target="http://csr.bu.edu/ftp/asl/asllvd/demos/verify_start_end_handshape_annotations//test_auto_move//signs_mov_separ_signers/Brady_15427.mov" TargetMode="External"/><Relationship Id="rId21464" Type="http://schemas.openxmlformats.org/officeDocument/2006/relationships/hyperlink" Target="http://secrets.rutgers.edu:8080/data/asl-ftp/asllvd/demos/verify_start_end_handshape_annotations//test_auto_move//signs_mov_separ_signers/Brady_15427.mov" TargetMode="External"/><Relationship Id="rId21465" Type="http://schemas.openxmlformats.org/officeDocument/2006/relationships/hyperlink" Target="http://csr.bu.edu/ftp/asl/asllvd/demos/verify_start_end_handshape_annotations//test_auto_move//signs_mov/4614.mov" TargetMode="External"/><Relationship Id="rId21466" Type="http://schemas.openxmlformats.org/officeDocument/2006/relationships/hyperlink" Target="http://csr.bu.edu/ftp/asl/asllvd/demos/verify_start_end_handshape_annotations//test_auto_move//signs_mov_separ_signers/Liz_4614.mov" TargetMode="External"/><Relationship Id="rId21467" Type="http://schemas.openxmlformats.org/officeDocument/2006/relationships/hyperlink" Target="http://secrets.rutgers.edu:8080/data/asl-ftp/asllvd/demos/verify_start_end_handshape_annotations//test_auto_move//signs_mov/4614.mov" TargetMode="External"/><Relationship Id="rId21468" Type="http://schemas.openxmlformats.org/officeDocument/2006/relationships/hyperlink" Target="http://secrets.rutgers.edu:8080/data/asl-ftp/asllvd/demos/verify_start_end_handshape_annotations//test_auto_move//signs_mov_separ_signers/Liz_4614.mov" TargetMode="External"/><Relationship Id="rId21469" Type="http://schemas.openxmlformats.org/officeDocument/2006/relationships/hyperlink" Target="http://csr.bu.edu/ftp/asl/asllvd/demos/verify_start_end_handshape_annotations//test_auto_move//signs_mov/15182.mov" TargetMode="External"/><Relationship Id="rId21470" Type="http://schemas.openxmlformats.org/officeDocument/2006/relationships/hyperlink" Target="http://csr.bu.edu/ftp/asl/asllvd/demos/verify_start_end_handshape_annotations//test_auto_move//signs_mov_separ_signers/Liz_15182.mov" TargetMode="External"/><Relationship Id="rId21471" Type="http://schemas.openxmlformats.org/officeDocument/2006/relationships/hyperlink" Target="http://secrets.rutgers.edu:8080/data/asl-ftp/asllvd/demos/verify_start_end_handshape_annotations//test_auto_move//signs_mov/15182.mov" TargetMode="External"/><Relationship Id="rId21472" Type="http://schemas.openxmlformats.org/officeDocument/2006/relationships/hyperlink" Target="http://secrets.rutgers.edu:8080/data/asl-ftp/asllvd/demos/verify_start_end_handshape_annotations//test_auto_move//signs_mov_separ_signers/Liz_15182.mov" TargetMode="External"/><Relationship Id="rId21473" Type="http://schemas.openxmlformats.org/officeDocument/2006/relationships/hyperlink" Target="http://csr.bu.edu/ftp/asl/asllvd/demos/verify_start_end_handshape_annotations//test_auto_move//signs_mov_separ_signers/Brady_15182.mov" TargetMode="External"/><Relationship Id="rId21474" Type="http://schemas.openxmlformats.org/officeDocument/2006/relationships/hyperlink" Target="http://secrets.rutgers.edu:8080/data/asl-ftp/asllvd/demos/verify_start_end_handshape_annotations//test_auto_move//signs_mov_separ_signers/Brady_15182.mov" TargetMode="External"/><Relationship Id="rId21475" Type="http://schemas.openxmlformats.org/officeDocument/2006/relationships/hyperlink" Target="http://csr.bu.edu/ftp/asl/asllvd/demos/verify_start_end_handshape_annotations//test_auto_move//signs_mov/15235.mov" TargetMode="External"/><Relationship Id="rId21476" Type="http://schemas.openxmlformats.org/officeDocument/2006/relationships/hyperlink" Target="http://csr.bu.edu/ftp/asl/asllvd/demos/verify_start_end_handshape_annotations//test_auto_move//signs_mov_separ_signers/Liz_15235.mov" TargetMode="External"/><Relationship Id="rId21477" Type="http://schemas.openxmlformats.org/officeDocument/2006/relationships/hyperlink" Target="http://secrets.rutgers.edu:8080/data/asl-ftp/asllvd/demos/verify_start_end_handshape_annotations//test_auto_move//signs_mov/15235.mov" TargetMode="External"/><Relationship Id="rId21478" Type="http://schemas.openxmlformats.org/officeDocument/2006/relationships/hyperlink" Target="http://secrets.rutgers.edu:8080/data/asl-ftp/asllvd/demos/verify_start_end_handshape_annotations//test_auto_move//signs_mov_separ_signers/Liz_15235.mov" TargetMode="External"/><Relationship Id="rId21479" Type="http://schemas.openxmlformats.org/officeDocument/2006/relationships/hyperlink" Target="http://csr.bu.edu/ftp/asl/asllvd/demos/verify_start_end_handshape_annotations//test_auto_move//signs_mov_separ_signers/Brady_15235.mov" TargetMode="External"/><Relationship Id="rId21480" Type="http://schemas.openxmlformats.org/officeDocument/2006/relationships/hyperlink" Target="http://secrets.rutgers.edu:8080/data/asl-ftp/asllvd/demos/verify_start_end_handshape_annotations//test_auto_move//signs_mov_separ_signers/Brady_15235.mov" TargetMode="External"/><Relationship Id="rId21481" Type="http://schemas.openxmlformats.org/officeDocument/2006/relationships/hyperlink" Target="http://csr.bu.edu/ftp/asl/asllvd/demos/verify_start_end_handshape_annotations//test_auto_move//signs_mov/16332.mov" TargetMode="External"/><Relationship Id="rId21482" Type="http://schemas.openxmlformats.org/officeDocument/2006/relationships/hyperlink" Target="http://csr.bu.edu/ftp/asl/asllvd/demos/verify_start_end_handshape_annotations//test_auto_move//signs_mov_separ_signers/Liz_16332.mov" TargetMode="External"/><Relationship Id="rId21483" Type="http://schemas.openxmlformats.org/officeDocument/2006/relationships/hyperlink" Target="http://secrets.rutgers.edu:8080/data/asl-ftp/asllvd/demos/verify_start_end_handshape_annotations//test_auto_move//signs_mov/16332.mov" TargetMode="External"/><Relationship Id="rId21484" Type="http://schemas.openxmlformats.org/officeDocument/2006/relationships/hyperlink" Target="http://secrets.rutgers.edu:8080/data/asl-ftp/asllvd/demos/verify_start_end_handshape_annotations//test_auto_move//signs_mov_separ_signers/Liz_16332.mov" TargetMode="External"/><Relationship Id="rId21485" Type="http://schemas.openxmlformats.org/officeDocument/2006/relationships/hyperlink" Target="http://csr.bu.edu/ftp/asl/asllvd/demos/verify_start_end_handshape_annotations//test_auto_move//signs_mov_separ_signers/Brady_16332.mov" TargetMode="External"/><Relationship Id="rId21486" Type="http://schemas.openxmlformats.org/officeDocument/2006/relationships/hyperlink" Target="http://secrets.rutgers.edu:8080/data/asl-ftp/asllvd/demos/verify_start_end_handshape_annotations//test_auto_move//signs_mov_separ_signers/Brady_16332.mov" TargetMode="External"/><Relationship Id="rId21487" Type="http://schemas.openxmlformats.org/officeDocument/2006/relationships/hyperlink" Target="http://csr.bu.edu/ftp/asl/asllvd/demos/verify_start_end_handshape_annotations//test_auto_move//signs_mov/16333.mov" TargetMode="External"/><Relationship Id="rId21488" Type="http://schemas.openxmlformats.org/officeDocument/2006/relationships/hyperlink" Target="http://csr.bu.edu/ftp/asl/asllvd/demos/verify_start_end_handshape_annotations//test_auto_move//signs_mov_separ_signers/Liz_16333.mov" TargetMode="External"/><Relationship Id="rId21489" Type="http://schemas.openxmlformats.org/officeDocument/2006/relationships/hyperlink" Target="http://secrets.rutgers.edu:8080/data/asl-ftp/asllvd/demos/verify_start_end_handshape_annotations//test_auto_move//signs_mov/16333.mov" TargetMode="External"/><Relationship Id="rId21490" Type="http://schemas.openxmlformats.org/officeDocument/2006/relationships/hyperlink" Target="http://secrets.rutgers.edu:8080/data/asl-ftp/asllvd/demos/verify_start_end_handshape_annotations//test_auto_move//signs_mov_separ_signers/Liz_16333.mov" TargetMode="External"/><Relationship Id="rId21491" Type="http://schemas.openxmlformats.org/officeDocument/2006/relationships/hyperlink" Target="http://csr.bu.edu/ftp/asl/asllvd/demos/verify_start_end_handshape_annotations//test_auto_move//signs_mov_separ_signers/Brady_16333.mov" TargetMode="External"/><Relationship Id="rId21492" Type="http://schemas.openxmlformats.org/officeDocument/2006/relationships/hyperlink" Target="http://secrets.rutgers.edu:8080/data/asl-ftp/asllvd/demos/verify_start_end_handshape_annotations//test_auto_move//signs_mov_separ_signers/Brady_16333.mov" TargetMode="External"/><Relationship Id="rId21493" Type="http://schemas.openxmlformats.org/officeDocument/2006/relationships/hyperlink" Target="http://csr.bu.edu/ftp/asl/asllvd/demos/verify_start_end_handshape_annotations//test_auto_move//signs_mov/16354.mov" TargetMode="External"/><Relationship Id="rId21494" Type="http://schemas.openxmlformats.org/officeDocument/2006/relationships/hyperlink" Target="http://csr.bu.edu/ftp/asl/asllvd/demos/verify_start_end_handshape_annotations//test_auto_move//signs_mov_separ_signers/Naomi_16354.mov" TargetMode="External"/><Relationship Id="rId21495" Type="http://schemas.openxmlformats.org/officeDocument/2006/relationships/hyperlink" Target="http://secrets.rutgers.edu:8080/data/asl-ftp/asllvd/demos/verify_start_end_handshape_annotations//test_auto_move//signs_mov/16354.mov" TargetMode="External"/><Relationship Id="rId21496" Type="http://schemas.openxmlformats.org/officeDocument/2006/relationships/hyperlink" Target="http://secrets.rutgers.edu:8080/data/asl-ftp/asllvd/demos/verify_start_end_handshape_annotations//test_auto_move//signs_mov_separ_signers/Naomi_16354.mov" TargetMode="External"/><Relationship Id="rId21497" Type="http://schemas.openxmlformats.org/officeDocument/2006/relationships/hyperlink" Target="http://csr.bu.edu/ftp/asl/asllvd/demos/verify_start_end_handshape_annotations//test_auto_move//signs_mov_separ_signers/Liz_4615.mov" TargetMode="External"/><Relationship Id="rId21498" Type="http://schemas.openxmlformats.org/officeDocument/2006/relationships/hyperlink" Target="http://secrets.rutgers.edu:8080/data/asl-ftp/asllvd/demos/verify_start_end_handshape_annotations//test_auto_move//signs_mov_separ_signers/Liz_4615.mov" TargetMode="External"/><Relationship Id="rId21499" Type="http://schemas.openxmlformats.org/officeDocument/2006/relationships/hyperlink" Target="http://csr.bu.edu/ftp/asl/asllvd/demos/verify_start_end_handshape_annotations//test_auto_move//signs_mov_separ_signers/Tyler_4615.mov" TargetMode="External"/><Relationship Id="rId21500" Type="http://schemas.openxmlformats.org/officeDocument/2006/relationships/hyperlink" Target="http://secrets.rutgers.edu:8080/data/asl-ftp/asllvd/demos/verify_start_end_handshape_annotations//test_auto_move//signs_mov_separ_signers/Tyler_4615.mov" TargetMode="External"/><Relationship Id="rId21501" Type="http://schemas.openxmlformats.org/officeDocument/2006/relationships/hyperlink" Target="http://csr.bu.edu/ftp/asl/asllvd/demos/verify_start_end_handshape_annotations//test_auto_move//signs_mov/4615.mov" TargetMode="External"/><Relationship Id="rId21502" Type="http://schemas.openxmlformats.org/officeDocument/2006/relationships/hyperlink" Target="http://csr.bu.edu/ftp/asl/asllvd/demos/verify_start_end_handshape_annotations//test_auto_move//signs_mov_separ_signers/Brady_4615.mov" TargetMode="External"/><Relationship Id="rId21503" Type="http://schemas.openxmlformats.org/officeDocument/2006/relationships/hyperlink" Target="http://secrets.rutgers.edu:8080/data/asl-ftp/asllvd/demos/verify_start_end_handshape_annotations//test_auto_move//signs_mov/4615.mov" TargetMode="External"/><Relationship Id="rId21504" Type="http://schemas.openxmlformats.org/officeDocument/2006/relationships/hyperlink" Target="http://secrets.rutgers.edu:8080/data/asl-ftp/asllvd/demos/verify_start_end_handshape_annotations//test_auto_move//signs_mov_separ_signers/Brady_4615.mov" TargetMode="External"/><Relationship Id="rId21505" Type="http://schemas.openxmlformats.org/officeDocument/2006/relationships/hyperlink" Target="http://csr.bu.edu/ftp/asl/asllvd/demos/verify_start_end_handshape_annotations//test_auto_move//signs_mov_separ_signers/Lana_4615.mov" TargetMode="External"/><Relationship Id="rId21506" Type="http://schemas.openxmlformats.org/officeDocument/2006/relationships/hyperlink" Target="http://secrets.rutgers.edu:8080/data/asl-ftp/asllvd/demos/verify_start_end_handshape_annotations//test_auto_move//signs_mov_separ_signers/Lana_4615.mov" TargetMode="External"/><Relationship Id="rId21507" Type="http://schemas.openxmlformats.org/officeDocument/2006/relationships/hyperlink" Target="http://csr.bu.edu/ftp/asl/asllvd/demos/verify_start_end_handshape_annotations//test_auto_move//signs_mov_separ_signers/Dana_4615.mov" TargetMode="External"/><Relationship Id="rId21508" Type="http://schemas.openxmlformats.org/officeDocument/2006/relationships/hyperlink" Target="http://secrets.rutgers.edu:8080/data/asl-ftp/asllvd/demos/verify_start_end_handshape_annotations//test_auto_move//signs_mov_separ_signers/Dana_4615.mov" TargetMode="External"/><Relationship Id="rId21509" Type="http://schemas.openxmlformats.org/officeDocument/2006/relationships/hyperlink" Target="http://csr.bu.edu/ftp/asl/asllvd/demos/verify_start_end_handshape_annotations//test_auto_move//signs_mov_separ_signers/Liz_15174.mov" TargetMode="External"/><Relationship Id="rId21510" Type="http://schemas.openxmlformats.org/officeDocument/2006/relationships/hyperlink" Target="http://secrets.rutgers.edu:8080/data/asl-ftp/asllvd/demos/verify_start_end_handshape_annotations//test_auto_move//signs_mov_separ_signers/Liz_15174.mov" TargetMode="External"/><Relationship Id="rId21511" Type="http://schemas.openxmlformats.org/officeDocument/2006/relationships/hyperlink" Target="http://csr.bu.edu/ftp/asl/asllvd/demos/verify_start_end_handshape_annotations//test_auto_move//signs_mov/15174.mov" TargetMode="External"/><Relationship Id="rId21512" Type="http://schemas.openxmlformats.org/officeDocument/2006/relationships/hyperlink" Target="http://csr.bu.edu/ftp/asl/asllvd/demos/verify_start_end_handshape_annotations//test_auto_move//signs_mov_separ_signers/Tyler_15174.mov" TargetMode="External"/><Relationship Id="rId21513" Type="http://schemas.openxmlformats.org/officeDocument/2006/relationships/hyperlink" Target="http://secrets.rutgers.edu:8080/data/asl-ftp/asllvd/demos/verify_start_end_handshape_annotations//test_auto_move//signs_mov/15174.mov" TargetMode="External"/><Relationship Id="rId21514" Type="http://schemas.openxmlformats.org/officeDocument/2006/relationships/hyperlink" Target="http://secrets.rutgers.edu:8080/data/asl-ftp/asllvd/demos/verify_start_end_handshape_annotations//test_auto_move//signs_mov_separ_signers/Tyler_15174.mov" TargetMode="External"/><Relationship Id="rId21515" Type="http://schemas.openxmlformats.org/officeDocument/2006/relationships/hyperlink" Target="http://csr.bu.edu/ftp/asl/asllvd/demos/verify_start_end_handshape_annotations//test_auto_move//signs_mov_separ_signers/Brady_15174.mov" TargetMode="External"/><Relationship Id="rId21516" Type="http://schemas.openxmlformats.org/officeDocument/2006/relationships/hyperlink" Target="http://secrets.rutgers.edu:8080/data/asl-ftp/asllvd/demos/verify_start_end_handshape_annotations//test_auto_move//signs_mov_separ_signers/Brady_15174.mov" TargetMode="External"/><Relationship Id="rId21517" Type="http://schemas.openxmlformats.org/officeDocument/2006/relationships/hyperlink" Target="http://csr.bu.edu/ftp/asl/asllvd/demos/verify_start_end_handshape_annotations//test_auto_move//signs_mov/4616.mov" TargetMode="External"/><Relationship Id="rId21518" Type="http://schemas.openxmlformats.org/officeDocument/2006/relationships/hyperlink" Target="http://csr.bu.edu/ftp/asl/asllvd/demos/verify_start_end_handshape_annotations//test_auto_move//signs_mov_separ_signers/Tyler_4616.mov" TargetMode="External"/><Relationship Id="rId21519" Type="http://schemas.openxmlformats.org/officeDocument/2006/relationships/hyperlink" Target="http://secrets.rutgers.edu:8080/data/asl-ftp/asllvd/demos/verify_start_end_handshape_annotations//test_auto_move//signs_mov/4616.mov" TargetMode="External"/><Relationship Id="rId21520" Type="http://schemas.openxmlformats.org/officeDocument/2006/relationships/hyperlink" Target="http://secrets.rutgers.edu:8080/data/asl-ftp/asllvd/demos/verify_start_end_handshape_annotations//test_auto_move//signs_mov_separ_signers/Tyler_4616.mov" TargetMode="External"/><Relationship Id="rId21521" Type="http://schemas.openxmlformats.org/officeDocument/2006/relationships/hyperlink" Target="http://csr.bu.edu/ftp/asl/asllvd/demos/verify_start_end_handshape_annotations//test_auto_move//signs_mov_separ_signers/Naomi_4616.mov" TargetMode="External"/><Relationship Id="rId21522" Type="http://schemas.openxmlformats.org/officeDocument/2006/relationships/hyperlink" Target="http://secrets.rutgers.edu:8080/data/asl-ftp/asllvd/demos/verify_start_end_handshape_annotations//test_auto_move//signs_mov_separ_signers/Naomi_4616.mov" TargetMode="External"/><Relationship Id="rId21523" Type="http://schemas.openxmlformats.org/officeDocument/2006/relationships/hyperlink" Target="http://csr.bu.edu/ftp/asl/asllvd/demos/verify_start_end_handshape_annotations//test_auto_move//signs_mov_separ_signers/Liz_15971.mov" TargetMode="External"/><Relationship Id="rId21524" Type="http://schemas.openxmlformats.org/officeDocument/2006/relationships/hyperlink" Target="http://secrets.rutgers.edu:8080/data/asl-ftp/asllvd/demos/verify_start_end_handshape_annotations//test_auto_move//signs_mov_separ_signers/Liz_15971.mov" TargetMode="External"/><Relationship Id="rId21525" Type="http://schemas.openxmlformats.org/officeDocument/2006/relationships/hyperlink" Target="http://csr.bu.edu/ftp/asl/asllvd/demos/verify_start_end_handshape_annotations//test_auto_move//signs_mov_separ_signers/Tyler_15971.mov" TargetMode="External"/><Relationship Id="rId21526" Type="http://schemas.openxmlformats.org/officeDocument/2006/relationships/hyperlink" Target="http://secrets.rutgers.edu:8080/data/asl-ftp/asllvd/demos/verify_start_end_handshape_annotations//test_auto_move//signs_mov_separ_signers/Tyler_15971.mov" TargetMode="External"/><Relationship Id="rId21527" Type="http://schemas.openxmlformats.org/officeDocument/2006/relationships/hyperlink" Target="http://csr.bu.edu/ftp/asl/asllvd/demos/verify_start_end_handshape_annotations//test_auto_move//signs_mov/15971_15990_merged.mov" TargetMode="External"/><Relationship Id="rId21528" Type="http://schemas.openxmlformats.org/officeDocument/2006/relationships/hyperlink" Target="http://csr.bu.edu/ftp/asl/asllvd/demos/verify_start_end_handshape_annotations//test_auto_move//signs_mov_separ_signers/Tyler_15990.mov" TargetMode="External"/><Relationship Id="rId21529" Type="http://schemas.openxmlformats.org/officeDocument/2006/relationships/hyperlink" Target="http://secrets.rutgers.edu:8080/data/asl-ftp/asllvd/demos/verify_start_end_handshape_annotations//test_auto_move//signs_mov/15971_15990_merged.mov" TargetMode="External"/><Relationship Id="rId21530" Type="http://schemas.openxmlformats.org/officeDocument/2006/relationships/hyperlink" Target="http://secrets.rutgers.edu:8080/data/asl-ftp/asllvd/demos/verify_start_end_handshape_annotations//test_auto_move//signs_mov_separ_signers/Tyler_15990.mov" TargetMode="External"/><Relationship Id="rId21531" Type="http://schemas.openxmlformats.org/officeDocument/2006/relationships/hyperlink" Target="http://csr.bu.edu/ftp/asl/asllvd/demos/verify_start_end_handshape_annotations//test_auto_move//signs_mov_separ_signers/Naomi_15971.mov" TargetMode="External"/><Relationship Id="rId21532" Type="http://schemas.openxmlformats.org/officeDocument/2006/relationships/hyperlink" Target="http://secrets.rutgers.edu:8080/data/asl-ftp/asllvd/demos/verify_start_end_handshape_annotations//test_auto_move//signs_mov_separ_signers/Naomi_15971.mov" TargetMode="External"/><Relationship Id="rId21533" Type="http://schemas.openxmlformats.org/officeDocument/2006/relationships/hyperlink" Target="http://csr.bu.edu/ftp/asl/asllvd/demos/verify_start_end_handshape_annotations//test_auto_move//signs_mov_separ_signers/Brady_15971.mov" TargetMode="External"/><Relationship Id="rId21534" Type="http://schemas.openxmlformats.org/officeDocument/2006/relationships/hyperlink" Target="http://secrets.rutgers.edu:8080/data/asl-ftp/asllvd/demos/verify_start_end_handshape_annotations//test_auto_move//signs_mov_separ_signers/Brady_15971.mov" TargetMode="External"/><Relationship Id="rId21535" Type="http://schemas.openxmlformats.org/officeDocument/2006/relationships/hyperlink" Target="http://csr.bu.edu/ftp/asl/asllvd/demos/verify_start_end_handshape_annotations//test_auto_move//signs_mov_separ_signers/Brady_15990.mov" TargetMode="External"/><Relationship Id="rId21536" Type="http://schemas.openxmlformats.org/officeDocument/2006/relationships/hyperlink" Target="http://secrets.rutgers.edu:8080/data/asl-ftp/asllvd/demos/verify_start_end_handshape_annotations//test_auto_move//signs_mov_separ_signers/Brady_15990.mov" TargetMode="External"/><Relationship Id="rId21537" Type="http://schemas.openxmlformats.org/officeDocument/2006/relationships/hyperlink" Target="http://csr.bu.edu/ftp/asl/asllvd/demos/verify_start_end_handshape_annotations//test_auto_move//signs_mov/16389.mov" TargetMode="External"/><Relationship Id="rId21538" Type="http://schemas.openxmlformats.org/officeDocument/2006/relationships/hyperlink" Target="http://csr.bu.edu/ftp/asl/asllvd/demos/verify_start_end_handshape_annotations//test_auto_move//signs_mov_separ_signers/Liz_16389.mov" TargetMode="External"/><Relationship Id="rId21539" Type="http://schemas.openxmlformats.org/officeDocument/2006/relationships/hyperlink" Target="http://secrets.rutgers.edu:8080/data/asl-ftp/asllvd/demos/verify_start_end_handshape_annotations//test_auto_move//signs_mov/16389.mov" TargetMode="External"/><Relationship Id="rId21540" Type="http://schemas.openxmlformats.org/officeDocument/2006/relationships/hyperlink" Target="http://secrets.rutgers.edu:8080/data/asl-ftp/asllvd/demos/verify_start_end_handshape_annotations//test_auto_move//signs_mov_separ_signers/Liz_16389.mov" TargetMode="External"/><Relationship Id="rId21541" Type="http://schemas.openxmlformats.org/officeDocument/2006/relationships/hyperlink" Target="http://csr.bu.edu/ftp/asl/asllvd/demos/verify_start_end_handshape_annotations//test_auto_move//signs_mov_separ_signers/Brady_16389.mov" TargetMode="External"/><Relationship Id="rId21542" Type="http://schemas.openxmlformats.org/officeDocument/2006/relationships/hyperlink" Target="http://secrets.rutgers.edu:8080/data/asl-ftp/asllvd/demos/verify_start_end_handshape_annotations//test_auto_move//signs_mov_separ_signers/Brady_16389.mov" TargetMode="External"/><Relationship Id="rId21543" Type="http://schemas.openxmlformats.org/officeDocument/2006/relationships/hyperlink" Target="http://csr.bu.edu/ftp/asl/asllvd/demos/verify_start_end_handshape_annotations//test_auto_move//signs_mov_separ_signers/Liz_4618.mov" TargetMode="External"/><Relationship Id="rId21544" Type="http://schemas.openxmlformats.org/officeDocument/2006/relationships/hyperlink" Target="http://secrets.rutgers.edu:8080/data/asl-ftp/asllvd/demos/verify_start_end_handshape_annotations//test_auto_move//signs_mov_separ_signers/Liz_4618.mov" TargetMode="External"/><Relationship Id="rId21545" Type="http://schemas.openxmlformats.org/officeDocument/2006/relationships/hyperlink" Target="http://csr.bu.edu/ftp/asl/asllvd/demos/verify_start_end_handshape_annotations//test_auto_move//signs_mov_separ_signers/Liz_15196.mov" TargetMode="External"/><Relationship Id="rId21546" Type="http://schemas.openxmlformats.org/officeDocument/2006/relationships/hyperlink" Target="http://secrets.rutgers.edu:8080/data/asl-ftp/asllvd/demos/verify_start_end_handshape_annotations//test_auto_move//signs_mov_separ_signers/Liz_15196.mov" TargetMode="External"/><Relationship Id="rId21547" Type="http://schemas.openxmlformats.org/officeDocument/2006/relationships/hyperlink" Target="http://csr.bu.edu/ftp/asl/asllvd/demos/verify_start_end_handshape_annotations//test_auto_move//signs_mov/4618_15196_15197_merged.mov" TargetMode="External"/><Relationship Id="rId21548" Type="http://schemas.openxmlformats.org/officeDocument/2006/relationships/hyperlink" Target="http://csr.bu.edu/ftp/asl/asllvd/demos/verify_start_end_handshape_annotations//test_auto_move//signs_mov_separ_signers/Brady_4618.mov" TargetMode="External"/><Relationship Id="rId21549" Type="http://schemas.openxmlformats.org/officeDocument/2006/relationships/hyperlink" Target="http://secrets.rutgers.edu:8080/data/asl-ftp/asllvd/demos/verify_start_end_handshape_annotations//test_auto_move//signs_mov/4618_15196_15197_merged.mov" TargetMode="External"/><Relationship Id="rId21550" Type="http://schemas.openxmlformats.org/officeDocument/2006/relationships/hyperlink" Target="http://secrets.rutgers.edu:8080/data/asl-ftp/asllvd/demos/verify_start_end_handshape_annotations//test_auto_move//signs_mov_separ_signers/Brady_4618.mov" TargetMode="External"/><Relationship Id="rId21551" Type="http://schemas.openxmlformats.org/officeDocument/2006/relationships/hyperlink" Target="http://csr.bu.edu/ftp/asl/asllvd/demos/verify_start_end_handshape_annotations//test_auto_move//signs_mov_separ_signers/Brady_15196.mov" TargetMode="External"/><Relationship Id="rId21552" Type="http://schemas.openxmlformats.org/officeDocument/2006/relationships/hyperlink" Target="http://secrets.rutgers.edu:8080/data/asl-ftp/asllvd/demos/verify_start_end_handshape_annotations//test_auto_move//signs_mov_separ_signers/Brady_15196.mov" TargetMode="External"/><Relationship Id="rId21553" Type="http://schemas.openxmlformats.org/officeDocument/2006/relationships/hyperlink" Target="http://csr.bu.edu/ftp/asl/asllvd/demos/verify_start_end_handshape_annotations//test_auto_move//signs_mov_separ_signers/Brady_15197.mov" TargetMode="External"/><Relationship Id="rId21554" Type="http://schemas.openxmlformats.org/officeDocument/2006/relationships/hyperlink" Target="http://secrets.rutgers.edu:8080/data/asl-ftp/asllvd/demos/verify_start_end_handshape_annotations//test_auto_move//signs_mov_separ_signers/Brady_15197.mov" TargetMode="External"/><Relationship Id="rId21555" Type="http://schemas.openxmlformats.org/officeDocument/2006/relationships/hyperlink" Target="http://csr.bu.edu/ftp/asl/asllvd/demos/verify_start_end_handshape_annotations//test_auto_move//signs_mov_separ_signers/Liz_15198.mov" TargetMode="External"/><Relationship Id="rId21556" Type="http://schemas.openxmlformats.org/officeDocument/2006/relationships/hyperlink" Target="http://secrets.rutgers.edu:8080/data/asl-ftp/asllvd/demos/verify_start_end_handshape_annotations//test_auto_move//signs_mov_separ_signers/Liz_15198.mov" TargetMode="External"/><Relationship Id="rId21557" Type="http://schemas.openxmlformats.org/officeDocument/2006/relationships/hyperlink" Target="http://csr.bu.edu/ftp/asl/asllvd/demos/verify_start_end_handshape_annotations//test_auto_move//signs_mov/15198_15199_merged.mov" TargetMode="External"/><Relationship Id="rId21558" Type="http://schemas.openxmlformats.org/officeDocument/2006/relationships/hyperlink" Target="http://csr.bu.edu/ftp/asl/asllvd/demos/verify_start_end_handshape_annotations//test_auto_move//signs_mov_separ_signers/Liz_15199.mov" TargetMode="External"/><Relationship Id="rId21559" Type="http://schemas.openxmlformats.org/officeDocument/2006/relationships/hyperlink" Target="http://secrets.rutgers.edu:8080/data/asl-ftp/asllvd/demos/verify_start_end_handshape_annotations//test_auto_move//signs_mov/15198_15199_merged.mov" TargetMode="External"/><Relationship Id="rId21560" Type="http://schemas.openxmlformats.org/officeDocument/2006/relationships/hyperlink" Target="http://secrets.rutgers.edu:8080/data/asl-ftp/asllvd/demos/verify_start_end_handshape_annotations//test_auto_move//signs_mov_separ_signers/Liz_15199.mov" TargetMode="External"/><Relationship Id="rId21561" Type="http://schemas.openxmlformats.org/officeDocument/2006/relationships/hyperlink" Target="http://csr.bu.edu/ftp/asl/asllvd/demos/verify_start_end_handshape_annotations//test_auto_move//signs_mov_separ_signers/Brady_15198.mov" TargetMode="External"/><Relationship Id="rId21562" Type="http://schemas.openxmlformats.org/officeDocument/2006/relationships/hyperlink" Target="http://secrets.rutgers.edu:8080/data/asl-ftp/asllvd/demos/verify_start_end_handshape_annotations//test_auto_move//signs_mov_separ_signers/Brady_15198.mov" TargetMode="External"/><Relationship Id="rId21563" Type="http://schemas.openxmlformats.org/officeDocument/2006/relationships/hyperlink" Target="http://csr.bu.edu/ftp/asl/asllvd/demos/verify_start_end_handshape_annotations//test_auto_move//signs_mov_separ_signers/Brady_15199.mov" TargetMode="External"/><Relationship Id="rId21564" Type="http://schemas.openxmlformats.org/officeDocument/2006/relationships/hyperlink" Target="http://secrets.rutgers.edu:8080/data/asl-ftp/asllvd/demos/verify_start_end_handshape_annotations//test_auto_move//signs_mov_separ_signers/Brady_15199.mov" TargetMode="External"/><Relationship Id="rId21565" Type="http://schemas.openxmlformats.org/officeDocument/2006/relationships/hyperlink" Target="http://csr.bu.edu/ftp/asl/asllvd/demos/verify_start_end_handshape_annotations//test_auto_move//signs_mov/4623.mov" TargetMode="External"/><Relationship Id="rId21566" Type="http://schemas.openxmlformats.org/officeDocument/2006/relationships/hyperlink" Target="http://csr.bu.edu/ftp/asl/asllvd/demos/verify_start_end_handshape_annotations//test_auto_move//signs_mov_separ_signers/Liz_4623.mov" TargetMode="External"/><Relationship Id="rId21567" Type="http://schemas.openxmlformats.org/officeDocument/2006/relationships/hyperlink" Target="http://secrets.rutgers.edu:8080/data/asl-ftp/asllvd/demos/verify_start_end_handshape_annotations//test_auto_move//signs_mov/4623.mov" TargetMode="External"/><Relationship Id="rId21568" Type="http://schemas.openxmlformats.org/officeDocument/2006/relationships/hyperlink" Target="http://secrets.rutgers.edu:8080/data/asl-ftp/asllvd/demos/verify_start_end_handshape_annotations//test_auto_move//signs_mov_separ_signers/Liz_4623.mov" TargetMode="External"/><Relationship Id="rId21569" Type="http://schemas.openxmlformats.org/officeDocument/2006/relationships/hyperlink" Target="http://csr.bu.edu/ftp/asl/asllvd/demos/verify_start_end_handshape_annotations//test_auto_move//signs_mov_separ_signers/Brady_4623.mov" TargetMode="External"/><Relationship Id="rId21570" Type="http://schemas.openxmlformats.org/officeDocument/2006/relationships/hyperlink" Target="http://secrets.rutgers.edu:8080/data/asl-ftp/asllvd/demos/verify_start_end_handshape_annotations//test_auto_move//signs_mov_separ_signers/Brady_4623.mov" TargetMode="External"/><Relationship Id="rId21571" Type="http://schemas.openxmlformats.org/officeDocument/2006/relationships/hyperlink" Target="http://csr.bu.edu/ftp/asl/asllvd/demos/verify_start_end_handshape_annotations//test_auto_move//signs_mov/15263.mov" TargetMode="External"/><Relationship Id="rId21572" Type="http://schemas.openxmlformats.org/officeDocument/2006/relationships/hyperlink" Target="http://csr.bu.edu/ftp/asl/asllvd/demos/verify_start_end_handshape_annotations//test_auto_move//signs_mov_separ_signers/Liz_15263.mov" TargetMode="External"/><Relationship Id="rId21573" Type="http://schemas.openxmlformats.org/officeDocument/2006/relationships/hyperlink" Target="http://secrets.rutgers.edu:8080/data/asl-ftp/asllvd/demos/verify_start_end_handshape_annotations//test_auto_move//signs_mov/15263.mov" TargetMode="External"/><Relationship Id="rId21574" Type="http://schemas.openxmlformats.org/officeDocument/2006/relationships/hyperlink" Target="http://secrets.rutgers.edu:8080/data/asl-ftp/asllvd/demos/verify_start_end_handshape_annotations//test_auto_move//signs_mov_separ_signers/Liz_15263.mov" TargetMode="External"/><Relationship Id="rId21575" Type="http://schemas.openxmlformats.org/officeDocument/2006/relationships/hyperlink" Target="http://csr.bu.edu/ftp/asl/asllvd/demos/verify_start_end_handshape_annotations//test_auto_move//signs_mov_separ_signers/Brady_15263.mov" TargetMode="External"/><Relationship Id="rId21576" Type="http://schemas.openxmlformats.org/officeDocument/2006/relationships/hyperlink" Target="http://secrets.rutgers.edu:8080/data/asl-ftp/asllvd/demos/verify_start_end_handshape_annotations//test_auto_move//signs_mov_separ_signers/Brady_15263.mov" TargetMode="External"/><Relationship Id="rId21577" Type="http://schemas.openxmlformats.org/officeDocument/2006/relationships/hyperlink" Target="http://csr.bu.edu/ftp/asl/asllvd/demos/verify_start_end_handshape_annotations//test_auto_move//signs_mov_separ_signers/Liz_15276.mov" TargetMode="External"/><Relationship Id="rId21578" Type="http://schemas.openxmlformats.org/officeDocument/2006/relationships/hyperlink" Target="http://secrets.rutgers.edu:8080/data/asl-ftp/asllvd/demos/verify_start_end_handshape_annotations//test_auto_move//signs_mov_separ_signers/Liz_15276.mov" TargetMode="External"/><Relationship Id="rId21579" Type="http://schemas.openxmlformats.org/officeDocument/2006/relationships/hyperlink" Target="http://csr.bu.edu/ftp/asl/asllvd/demos/verify_start_end_handshape_annotations//test_auto_move//signs_mov_separ_signers/Tyler_15276.mov" TargetMode="External"/><Relationship Id="rId21580" Type="http://schemas.openxmlformats.org/officeDocument/2006/relationships/hyperlink" Target="http://secrets.rutgers.edu:8080/data/asl-ftp/asllvd/demos/verify_start_end_handshape_annotations//test_auto_move//signs_mov_separ_signers/Tyler_15276.mov" TargetMode="External"/><Relationship Id="rId21581" Type="http://schemas.openxmlformats.org/officeDocument/2006/relationships/hyperlink" Target="http://csr.bu.edu/ftp/asl/asllvd/demos/verify_start_end_handshape_annotations//test_auto_move//signs_mov/15276_15389_merged.mov" TargetMode="External"/><Relationship Id="rId21582" Type="http://schemas.openxmlformats.org/officeDocument/2006/relationships/hyperlink" Target="http://csr.bu.edu/ftp/asl/asllvd/demos/verify_start_end_handshape_annotations//test_auto_move//signs_mov_separ_signers/Naomi_15276.mov" TargetMode="External"/><Relationship Id="rId21583" Type="http://schemas.openxmlformats.org/officeDocument/2006/relationships/hyperlink" Target="http://secrets.rutgers.edu:8080/data/asl-ftp/asllvd/demos/verify_start_end_handshape_annotations//test_auto_move//signs_mov/15276_15389_merged.mov" TargetMode="External"/><Relationship Id="rId21584" Type="http://schemas.openxmlformats.org/officeDocument/2006/relationships/hyperlink" Target="http://secrets.rutgers.edu:8080/data/asl-ftp/asllvd/demos/verify_start_end_handshape_annotations//test_auto_move//signs_mov_separ_signers/Naomi_15276.mov" TargetMode="External"/><Relationship Id="rId21585" Type="http://schemas.openxmlformats.org/officeDocument/2006/relationships/hyperlink" Target="http://csr.bu.edu/ftp/asl/asllvd/demos/verify_start_end_handshape_annotations//test_auto_move//signs_mov_separ_signers/Brady_15276.mov" TargetMode="External"/><Relationship Id="rId21586" Type="http://schemas.openxmlformats.org/officeDocument/2006/relationships/hyperlink" Target="http://secrets.rutgers.edu:8080/data/asl-ftp/asllvd/demos/verify_start_end_handshape_annotations//test_auto_move//signs_mov_separ_signers/Brady_15276.mov" TargetMode="External"/><Relationship Id="rId21587" Type="http://schemas.openxmlformats.org/officeDocument/2006/relationships/hyperlink" Target="http://csr.bu.edu/ftp/asl/asllvd/demos/verify_start_end_handshape_annotations//test_auto_move//signs_mov_separ_signers/Brady_15389.mov" TargetMode="External"/><Relationship Id="rId21588" Type="http://schemas.openxmlformats.org/officeDocument/2006/relationships/hyperlink" Target="http://secrets.rutgers.edu:8080/data/asl-ftp/asllvd/demos/verify_start_end_handshape_annotations//test_auto_move//signs_mov_separ_signers/Brady_15389.mov" TargetMode="External"/><Relationship Id="rId21589" Type="http://schemas.openxmlformats.org/officeDocument/2006/relationships/hyperlink" Target="http://csr.bu.edu/ftp/asl/asllvd/demos/verify_start_end_handshape_annotations//test_auto_move//signs_mov_separ_signers/Liz_4626.mov" TargetMode="External"/><Relationship Id="rId21590" Type="http://schemas.openxmlformats.org/officeDocument/2006/relationships/hyperlink" Target="http://secrets.rutgers.edu:8080/data/asl-ftp/asllvd/demos/verify_start_end_handshape_annotations//test_auto_move//signs_mov_separ_signers/Liz_4626.mov" TargetMode="External"/><Relationship Id="rId21591" Type="http://schemas.openxmlformats.org/officeDocument/2006/relationships/hyperlink" Target="http://csr.bu.edu/ftp/asl/asllvd/demos/verify_start_end_handshape_annotations//test_auto_move//signs_mov_separ_signers/Tyler_4626.mov" TargetMode="External"/><Relationship Id="rId21592" Type="http://schemas.openxmlformats.org/officeDocument/2006/relationships/hyperlink" Target="http://secrets.rutgers.edu:8080/data/asl-ftp/asllvd/demos/verify_start_end_handshape_annotations//test_auto_move//signs_mov_separ_signers/Tyler_4626.mov" TargetMode="External"/><Relationship Id="rId21593" Type="http://schemas.openxmlformats.org/officeDocument/2006/relationships/hyperlink" Target="http://csr.bu.edu/ftp/asl/asllvd/demos/verify_start_end_handshape_annotations//test_auto_move//signs_mov_separ_signers/Naomi_4626.mov" TargetMode="External"/><Relationship Id="rId21594" Type="http://schemas.openxmlformats.org/officeDocument/2006/relationships/hyperlink" Target="http://secrets.rutgers.edu:8080/data/asl-ftp/asllvd/demos/verify_start_end_handshape_annotations//test_auto_move//signs_mov_separ_signers/Naomi_4626.mov" TargetMode="External"/><Relationship Id="rId21595" Type="http://schemas.openxmlformats.org/officeDocument/2006/relationships/hyperlink" Target="http://csr.bu.edu/ftp/asl/asllvd/demos/verify_start_end_handshape_annotations//test_auto_move//signs_mov/4626_15272_merged.mov" TargetMode="External"/><Relationship Id="rId21596" Type="http://schemas.openxmlformats.org/officeDocument/2006/relationships/hyperlink" Target="http://csr.bu.edu/ftp/asl/asllvd/demos/verify_start_end_handshape_annotations//test_auto_move//signs_mov_separ_signers/Brady_4626.mov" TargetMode="External"/><Relationship Id="rId21597" Type="http://schemas.openxmlformats.org/officeDocument/2006/relationships/hyperlink" Target="http://secrets.rutgers.edu:8080/data/asl-ftp/asllvd/demos/verify_start_end_handshape_annotations//test_auto_move//signs_mov/4626_15272_merged.mov" TargetMode="External"/><Relationship Id="rId21598" Type="http://schemas.openxmlformats.org/officeDocument/2006/relationships/hyperlink" Target="http://secrets.rutgers.edu:8080/data/asl-ftp/asllvd/demos/verify_start_end_handshape_annotations//test_auto_move//signs_mov_separ_signers/Brady_4626.mov" TargetMode="External"/><Relationship Id="rId21599" Type="http://schemas.openxmlformats.org/officeDocument/2006/relationships/hyperlink" Target="http://csr.bu.edu/ftp/asl/asllvd/demos/verify_start_end_handshape_annotations//test_auto_move//signs_mov_separ_signers/Brady_15272.mov" TargetMode="External"/><Relationship Id="rId21600" Type="http://schemas.openxmlformats.org/officeDocument/2006/relationships/hyperlink" Target="http://secrets.rutgers.edu:8080/data/asl-ftp/asllvd/demos/verify_start_end_handshape_annotations//test_auto_move//signs_mov_separ_signers/Brady_15272.mov" TargetMode="External"/><Relationship Id="rId21601" Type="http://schemas.openxmlformats.org/officeDocument/2006/relationships/hyperlink" Target="http://csr.bu.edu/ftp/asl/asllvd/demos/verify_start_end_handshape_annotations//test_auto_move//signs_mov_separ_signers/Lana_4626.mov" TargetMode="External"/><Relationship Id="rId21602" Type="http://schemas.openxmlformats.org/officeDocument/2006/relationships/hyperlink" Target="http://secrets.rutgers.edu:8080/data/asl-ftp/asllvd/demos/verify_start_end_handshape_annotations//test_auto_move//signs_mov_separ_signers/Lana_4626.mov" TargetMode="External"/><Relationship Id="rId21603" Type="http://schemas.openxmlformats.org/officeDocument/2006/relationships/hyperlink" Target="http://csr.bu.edu/ftp/asl/asllvd/demos/verify_start_end_handshape_annotations//test_auto_move//signs_mov_separ_signers/Dana_4626.mov" TargetMode="External"/><Relationship Id="rId21604" Type="http://schemas.openxmlformats.org/officeDocument/2006/relationships/hyperlink" Target="http://secrets.rutgers.edu:8080/data/asl-ftp/asllvd/demos/verify_start_end_handshape_annotations//test_auto_move//signs_mov_separ_signers/Dana_4626.mov" TargetMode="External"/><Relationship Id="rId21605" Type="http://schemas.openxmlformats.org/officeDocument/2006/relationships/hyperlink" Target="http://csr.bu.edu/ftp/asl/asllvd/demos/verify_start_end_handshape_annotations//test_auto_move//signs_mov/15277.mov" TargetMode="External"/><Relationship Id="rId21606" Type="http://schemas.openxmlformats.org/officeDocument/2006/relationships/hyperlink" Target="http://csr.bu.edu/ftp/asl/asllvd/demos/verify_start_end_handshape_annotations//test_auto_move//signs_mov_separ_signers/Liz_15277.mov" TargetMode="External"/><Relationship Id="rId21607" Type="http://schemas.openxmlformats.org/officeDocument/2006/relationships/hyperlink" Target="http://secrets.rutgers.edu:8080/data/asl-ftp/asllvd/demos/verify_start_end_handshape_annotations//test_auto_move//signs_mov/15277.mov" TargetMode="External"/><Relationship Id="rId21608" Type="http://schemas.openxmlformats.org/officeDocument/2006/relationships/hyperlink" Target="http://secrets.rutgers.edu:8080/data/asl-ftp/asllvd/demos/verify_start_end_handshape_annotations//test_auto_move//signs_mov_separ_signers/Liz_15277.mov" TargetMode="External"/><Relationship Id="rId21609" Type="http://schemas.openxmlformats.org/officeDocument/2006/relationships/hyperlink" Target="http://csr.bu.edu/ftp/asl/asllvd/demos/verify_start_end_handshape_annotations//test_auto_move//signs_mov_separ_signers/Brady_15277.mov" TargetMode="External"/><Relationship Id="rId21610" Type="http://schemas.openxmlformats.org/officeDocument/2006/relationships/hyperlink" Target="http://secrets.rutgers.edu:8080/data/asl-ftp/asllvd/demos/verify_start_end_handshape_annotations//test_auto_move//signs_mov_separ_signers/Brady_15277.mov" TargetMode="External"/><Relationship Id="rId21611" Type="http://schemas.openxmlformats.org/officeDocument/2006/relationships/hyperlink" Target="http://csr.bu.edu/ftp/asl/asllvd/demos/verify_start_end_handshape_annotations//test_auto_move//signs_mov/15898.mov" TargetMode="External"/><Relationship Id="rId21612" Type="http://schemas.openxmlformats.org/officeDocument/2006/relationships/hyperlink" Target="http://csr.bu.edu/ftp/asl/asllvd/demos/verify_start_end_handshape_annotations//test_auto_move//signs_mov_separ_signers/Liz_15898.mov" TargetMode="External"/><Relationship Id="rId21613" Type="http://schemas.openxmlformats.org/officeDocument/2006/relationships/hyperlink" Target="http://secrets.rutgers.edu:8080/data/asl-ftp/asllvd/demos/verify_start_end_handshape_annotations//test_auto_move//signs_mov/15898.mov" TargetMode="External"/><Relationship Id="rId21614" Type="http://schemas.openxmlformats.org/officeDocument/2006/relationships/hyperlink" Target="http://secrets.rutgers.edu:8080/data/asl-ftp/asllvd/demos/verify_start_end_handshape_annotations//test_auto_move//signs_mov_separ_signers/Liz_15898.mov" TargetMode="External"/><Relationship Id="rId21615" Type="http://schemas.openxmlformats.org/officeDocument/2006/relationships/hyperlink" Target="http://csr.bu.edu/ftp/asl/asllvd/demos/verify_start_end_handshape_annotations//test_auto_move//signs_mov_separ_signers/Liz_4627.mov" TargetMode="External"/><Relationship Id="rId21616" Type="http://schemas.openxmlformats.org/officeDocument/2006/relationships/hyperlink" Target="http://secrets.rutgers.edu:8080/data/asl-ftp/asllvd/demos/verify_start_end_handshape_annotations//test_auto_move//signs_mov_separ_signers/Liz_4627.mov" TargetMode="External"/><Relationship Id="rId21617" Type="http://schemas.openxmlformats.org/officeDocument/2006/relationships/hyperlink" Target="http://csr.bu.edu/ftp/asl/asllvd/demos/verify_start_end_handshape_annotations//test_auto_move//signs_mov_separ_signers/Liz_15254.mov" TargetMode="External"/><Relationship Id="rId21618" Type="http://schemas.openxmlformats.org/officeDocument/2006/relationships/hyperlink" Target="http://secrets.rutgers.edu:8080/data/asl-ftp/asllvd/demos/verify_start_end_handshape_annotations//test_auto_move//signs_mov_separ_signers/Liz_15254.mov" TargetMode="External"/><Relationship Id="rId21619" Type="http://schemas.openxmlformats.org/officeDocument/2006/relationships/hyperlink" Target="http://csr.bu.edu/ftp/asl/asllvd/demos/verify_start_end_handshape_annotations//test_auto_move//signs_mov/4627_15254_15264_15273_merged.mov" TargetMode="External"/><Relationship Id="rId21620" Type="http://schemas.openxmlformats.org/officeDocument/2006/relationships/hyperlink" Target="http://csr.bu.edu/ftp/asl/asllvd/demos/verify_start_end_handshape_annotations//test_auto_move//signs_mov_separ_signers/Brady_4627.mov" TargetMode="External"/><Relationship Id="rId21621" Type="http://schemas.openxmlformats.org/officeDocument/2006/relationships/hyperlink" Target="http://secrets.rutgers.edu:8080/data/asl-ftp/asllvd/demos/verify_start_end_handshape_annotations//test_auto_move//signs_mov/4627_15254_15264_15273_merged.mov" TargetMode="External"/><Relationship Id="rId21622" Type="http://schemas.openxmlformats.org/officeDocument/2006/relationships/hyperlink" Target="http://secrets.rutgers.edu:8080/data/asl-ftp/asllvd/demos/verify_start_end_handshape_annotations//test_auto_move//signs_mov_separ_signers/Brady_4627.mov" TargetMode="External"/><Relationship Id="rId21623" Type="http://schemas.openxmlformats.org/officeDocument/2006/relationships/hyperlink" Target="http://csr.bu.edu/ftp/asl/asllvd/demos/verify_start_end_handshape_annotations//test_auto_move//signs_mov_separ_signers/Brady_15254.mov" TargetMode="External"/><Relationship Id="rId21624" Type="http://schemas.openxmlformats.org/officeDocument/2006/relationships/hyperlink" Target="http://secrets.rutgers.edu:8080/data/asl-ftp/asllvd/demos/verify_start_end_handshape_annotations//test_auto_move//signs_mov_separ_signers/Brady_15254.mov" TargetMode="External"/><Relationship Id="rId21625" Type="http://schemas.openxmlformats.org/officeDocument/2006/relationships/hyperlink" Target="http://csr.bu.edu/ftp/asl/asllvd/demos/verify_start_end_handshape_annotations//test_auto_move//signs_mov_separ_signers/Brady_15264.mov" TargetMode="External"/><Relationship Id="rId21626" Type="http://schemas.openxmlformats.org/officeDocument/2006/relationships/hyperlink" Target="http://secrets.rutgers.edu:8080/data/asl-ftp/asllvd/demos/verify_start_end_handshape_annotations//test_auto_move//signs_mov_separ_signers/Brady_15264.mov" TargetMode="External"/><Relationship Id="rId21627" Type="http://schemas.openxmlformats.org/officeDocument/2006/relationships/hyperlink" Target="http://csr.bu.edu/ftp/asl/asllvd/demos/verify_start_end_handshape_annotations//test_auto_move//signs_mov_separ_signers/Brady_15273.mov" TargetMode="External"/><Relationship Id="rId21628" Type="http://schemas.openxmlformats.org/officeDocument/2006/relationships/hyperlink" Target="http://secrets.rutgers.edu:8080/data/asl-ftp/asllvd/demos/verify_start_end_handshape_annotations//test_auto_move//signs_mov_separ_signers/Brady_15273.mov" TargetMode="External"/><Relationship Id="rId21629" Type="http://schemas.openxmlformats.org/officeDocument/2006/relationships/hyperlink" Target="http://csr.bu.edu/ftp/asl/asllvd/demos/verify_start_end_handshape_annotations//test_auto_move//signs_mov/15295.mov" TargetMode="External"/><Relationship Id="rId21630" Type="http://schemas.openxmlformats.org/officeDocument/2006/relationships/hyperlink" Target="http://csr.bu.edu/ftp/asl/asllvd/demos/verify_start_end_handshape_annotations//test_auto_move//signs_mov_separ_signers/Liz_15295.mov" TargetMode="External"/><Relationship Id="rId21631" Type="http://schemas.openxmlformats.org/officeDocument/2006/relationships/hyperlink" Target="http://secrets.rutgers.edu:8080/data/asl-ftp/asllvd/demos/verify_start_end_handshape_annotations//test_auto_move//signs_mov/15295.mov" TargetMode="External"/><Relationship Id="rId21632" Type="http://schemas.openxmlformats.org/officeDocument/2006/relationships/hyperlink" Target="http://secrets.rutgers.edu:8080/data/asl-ftp/asllvd/demos/verify_start_end_handshape_annotations//test_auto_move//signs_mov_separ_signers/Liz_15295.mov" TargetMode="External"/><Relationship Id="rId21633" Type="http://schemas.openxmlformats.org/officeDocument/2006/relationships/hyperlink" Target="http://csr.bu.edu/ftp/asl/asllvd/demos/verify_start_end_handshape_annotations//test_auto_move//signs_mov_separ_signers/Liz_4630.mov" TargetMode="External"/><Relationship Id="rId21634" Type="http://schemas.openxmlformats.org/officeDocument/2006/relationships/hyperlink" Target="http://secrets.rutgers.edu:8080/data/asl-ftp/asllvd/demos/verify_start_end_handshape_annotations//test_auto_move//signs_mov_separ_signers/Liz_4630.mov" TargetMode="External"/><Relationship Id="rId21635" Type="http://schemas.openxmlformats.org/officeDocument/2006/relationships/hyperlink" Target="http://csr.bu.edu/ftp/asl/asllvd/demos/verify_start_end_handshape_annotations//test_auto_move//signs_mov_separ_signers/Liz_15307.mov" TargetMode="External"/><Relationship Id="rId21636" Type="http://schemas.openxmlformats.org/officeDocument/2006/relationships/hyperlink" Target="http://secrets.rutgers.edu:8080/data/asl-ftp/asllvd/demos/verify_start_end_handshape_annotations//test_auto_move//signs_mov_separ_signers/Liz_15307.mov" TargetMode="External"/><Relationship Id="rId21637" Type="http://schemas.openxmlformats.org/officeDocument/2006/relationships/hyperlink" Target="http://csr.bu.edu/ftp/asl/asllvd/demos/verify_start_end_handshape_annotations//test_auto_move//signs_mov_separ_signers/Liz_15317.mov" TargetMode="External"/><Relationship Id="rId21638" Type="http://schemas.openxmlformats.org/officeDocument/2006/relationships/hyperlink" Target="http://secrets.rutgers.edu:8080/data/asl-ftp/asllvd/demos/verify_start_end_handshape_annotations//test_auto_move//signs_mov_separ_signers/Liz_15317.mov" TargetMode="External"/><Relationship Id="rId21639" Type="http://schemas.openxmlformats.org/officeDocument/2006/relationships/hyperlink" Target="http://csr.bu.edu/ftp/asl/asllvd/demos/verify_start_end_handshape_annotations//test_auto_move//signs_mov_separ_signers/Tyler_4630.mov" TargetMode="External"/><Relationship Id="rId21640" Type="http://schemas.openxmlformats.org/officeDocument/2006/relationships/hyperlink" Target="http://secrets.rutgers.edu:8080/data/asl-ftp/asllvd/demos/verify_start_end_handshape_annotations//test_auto_move//signs_mov_separ_signers/Tyler_4630.mov" TargetMode="External"/><Relationship Id="rId21641" Type="http://schemas.openxmlformats.org/officeDocument/2006/relationships/hyperlink" Target="http://csr.bu.edu/ftp/asl/asllvd/demos/verify_start_end_handshape_annotations//test_auto_move//signs_mov_separ_signers/Tyler_15307.mov" TargetMode="External"/><Relationship Id="rId21642" Type="http://schemas.openxmlformats.org/officeDocument/2006/relationships/hyperlink" Target="http://secrets.rutgers.edu:8080/data/asl-ftp/asllvd/demos/verify_start_end_handshape_annotations//test_auto_move//signs_mov_separ_signers/Tyler_15307.mov" TargetMode="External"/><Relationship Id="rId21643" Type="http://schemas.openxmlformats.org/officeDocument/2006/relationships/hyperlink" Target="http://csr.bu.edu/ftp/asl/asllvd/demos/verify_start_end_handshape_annotations//test_auto_move//signs_mov/4630_15307_15317_15323_merged.mov" TargetMode="External"/><Relationship Id="rId21644" Type="http://schemas.openxmlformats.org/officeDocument/2006/relationships/hyperlink" Target="http://csr.bu.edu/ftp/asl/asllvd/demos/verify_start_end_handshape_annotations//test_auto_move//signs_mov_separ_signers/Naomi_4630.mov" TargetMode="External"/><Relationship Id="rId21645" Type="http://schemas.openxmlformats.org/officeDocument/2006/relationships/hyperlink" Target="http://secrets.rutgers.edu:8080/data/asl-ftp/asllvd/demos/verify_start_end_handshape_annotations//test_auto_move//signs_mov/4630_15307_15317_15323_merged.mov" TargetMode="External"/><Relationship Id="rId21646" Type="http://schemas.openxmlformats.org/officeDocument/2006/relationships/hyperlink" Target="http://secrets.rutgers.edu:8080/data/asl-ftp/asllvd/demos/verify_start_end_handshape_annotations//test_auto_move//signs_mov_separ_signers/Naomi_4630.mov" TargetMode="External"/><Relationship Id="rId21647" Type="http://schemas.openxmlformats.org/officeDocument/2006/relationships/hyperlink" Target="http://csr.bu.edu/ftp/asl/asllvd/demos/verify_start_end_handshape_annotations//test_auto_move//signs_mov_separ_signers/Naomi_15307.mov" TargetMode="External"/><Relationship Id="rId21648" Type="http://schemas.openxmlformats.org/officeDocument/2006/relationships/hyperlink" Target="http://secrets.rutgers.edu:8080/data/asl-ftp/asllvd/demos/verify_start_end_handshape_annotations//test_auto_move//signs_mov_separ_signers/Naomi_15307.mov" TargetMode="External"/><Relationship Id="rId21649" Type="http://schemas.openxmlformats.org/officeDocument/2006/relationships/hyperlink" Target="http://csr.bu.edu/ftp/asl/asllvd/demos/verify_start_end_handshape_annotations//test_auto_move//signs_mov_separ_signers/Brady_4630.mov" TargetMode="External"/><Relationship Id="rId21650" Type="http://schemas.openxmlformats.org/officeDocument/2006/relationships/hyperlink" Target="http://secrets.rutgers.edu:8080/data/asl-ftp/asllvd/demos/verify_start_end_handshape_annotations//test_auto_move//signs_mov_separ_signers/Brady_4630.mov" TargetMode="External"/><Relationship Id="rId21651" Type="http://schemas.openxmlformats.org/officeDocument/2006/relationships/hyperlink" Target="http://csr.bu.edu/ftp/asl/asllvd/demos/verify_start_end_handshape_annotations//test_auto_move//signs_mov_separ_signers/Brady_15307.mov" TargetMode="External"/><Relationship Id="rId21652" Type="http://schemas.openxmlformats.org/officeDocument/2006/relationships/hyperlink" Target="http://secrets.rutgers.edu:8080/data/asl-ftp/asllvd/demos/verify_start_end_handshape_annotations//test_auto_move//signs_mov_separ_signers/Brady_15307.mov" TargetMode="External"/><Relationship Id="rId21653" Type="http://schemas.openxmlformats.org/officeDocument/2006/relationships/hyperlink" Target="http://csr.bu.edu/ftp/asl/asllvd/demos/verify_start_end_handshape_annotations//test_auto_move//signs_mov_separ_signers/Brady_15317.mov" TargetMode="External"/><Relationship Id="rId21654" Type="http://schemas.openxmlformats.org/officeDocument/2006/relationships/hyperlink" Target="http://secrets.rutgers.edu:8080/data/asl-ftp/asllvd/demos/verify_start_end_handshape_annotations//test_auto_move//signs_mov_separ_signers/Brady_15317.mov" TargetMode="External"/><Relationship Id="rId21655" Type="http://schemas.openxmlformats.org/officeDocument/2006/relationships/hyperlink" Target="http://csr.bu.edu/ftp/asl/asllvd/demos/verify_start_end_handshape_annotations//test_auto_move//signs_mov_separ_signers/Brady_15323.mov" TargetMode="External"/><Relationship Id="rId21656" Type="http://schemas.openxmlformats.org/officeDocument/2006/relationships/hyperlink" Target="http://secrets.rutgers.edu:8080/data/asl-ftp/asllvd/demos/verify_start_end_handshape_annotations//test_auto_move//signs_mov_separ_signers/Brady_15323.mov" TargetMode="External"/><Relationship Id="rId21657" Type="http://schemas.openxmlformats.org/officeDocument/2006/relationships/hyperlink" Target="http://csr.bu.edu/ftp/asl/asllvd/demos/verify_start_end_handshape_annotations//test_auto_move//signs_mov_separ_signers/Liz_4632.mov" TargetMode="External"/><Relationship Id="rId21658" Type="http://schemas.openxmlformats.org/officeDocument/2006/relationships/hyperlink" Target="http://secrets.rutgers.edu:8080/data/asl-ftp/asllvd/demos/verify_start_end_handshape_annotations//test_auto_move//signs_mov_separ_signers/Liz_4632.mov" TargetMode="External"/><Relationship Id="rId21659" Type="http://schemas.openxmlformats.org/officeDocument/2006/relationships/hyperlink" Target="http://csr.bu.edu/ftp/asl/asllvd/demos/verify_start_end_handshape_annotations//test_auto_move//signs_mov/4632_15318_merged.mov" TargetMode="External"/><Relationship Id="rId21660" Type="http://schemas.openxmlformats.org/officeDocument/2006/relationships/hyperlink" Target="http://csr.bu.edu/ftp/asl/asllvd/demos/verify_start_end_handshape_annotations//test_auto_move//signs_mov_separ_signers/Liz_15318.mov" TargetMode="External"/><Relationship Id="rId21661" Type="http://schemas.openxmlformats.org/officeDocument/2006/relationships/hyperlink" Target="http://secrets.rutgers.edu:8080/data/asl-ftp/asllvd/demos/verify_start_end_handshape_annotations//test_auto_move//signs_mov/4632_15318_merged.mov" TargetMode="External"/><Relationship Id="rId21662" Type="http://schemas.openxmlformats.org/officeDocument/2006/relationships/hyperlink" Target="http://secrets.rutgers.edu:8080/data/asl-ftp/asllvd/demos/verify_start_end_handshape_annotations//test_auto_move//signs_mov_separ_signers/Liz_15318.mov" TargetMode="External"/><Relationship Id="rId21663" Type="http://schemas.openxmlformats.org/officeDocument/2006/relationships/hyperlink" Target="http://csr.bu.edu/ftp/asl/asllvd/demos/verify_start_end_handshape_annotations//test_auto_move//signs_mov_separ_signers/Brady_4632.mov" TargetMode="External"/><Relationship Id="rId21664" Type="http://schemas.openxmlformats.org/officeDocument/2006/relationships/hyperlink" Target="http://secrets.rutgers.edu:8080/data/asl-ftp/asllvd/demos/verify_start_end_handshape_annotations//test_auto_move//signs_mov_separ_signers/Brady_4632.mov" TargetMode="External"/><Relationship Id="rId21665" Type="http://schemas.openxmlformats.org/officeDocument/2006/relationships/hyperlink" Target="http://csr.bu.edu/ftp/asl/asllvd/demos/verify_start_end_handshape_annotations//test_auto_move//signs_mov_separ_signers/Brady_15318.mov" TargetMode="External"/><Relationship Id="rId21666" Type="http://schemas.openxmlformats.org/officeDocument/2006/relationships/hyperlink" Target="http://secrets.rutgers.edu:8080/data/asl-ftp/asllvd/demos/verify_start_end_handshape_annotations//test_auto_move//signs_mov_separ_signers/Brady_15318.mov" TargetMode="External"/><Relationship Id="rId21667" Type="http://schemas.openxmlformats.org/officeDocument/2006/relationships/hyperlink" Target="http://csr.bu.edu/ftp/asl/asllvd/demos/verify_start_end_handshape_annotations//test_auto_move//signs_mov_separ_signers/Liz_4636.mov" TargetMode="External"/><Relationship Id="rId21668" Type="http://schemas.openxmlformats.org/officeDocument/2006/relationships/hyperlink" Target="http://secrets.rutgers.edu:8080/data/asl-ftp/asllvd/demos/verify_start_end_handshape_annotations//test_auto_move//signs_mov_separ_signers/Liz_4636.mov" TargetMode="External"/><Relationship Id="rId21669" Type="http://schemas.openxmlformats.org/officeDocument/2006/relationships/hyperlink" Target="http://csr.bu.edu/ftp/asl/asllvd/demos/verify_start_end_handshape_annotations//test_auto_move//signs_mov/4636.mov" TargetMode="External"/><Relationship Id="rId21670" Type="http://schemas.openxmlformats.org/officeDocument/2006/relationships/hyperlink" Target="http://csr.bu.edu/ftp/asl/asllvd/demos/verify_start_end_handshape_annotations//test_auto_move//signs_mov_separ_signers/Naomi_4636.mov" TargetMode="External"/><Relationship Id="rId21671" Type="http://schemas.openxmlformats.org/officeDocument/2006/relationships/hyperlink" Target="http://secrets.rutgers.edu:8080/data/asl-ftp/asllvd/demos/verify_start_end_handshape_annotations//test_auto_move//signs_mov/4636.mov" TargetMode="External"/><Relationship Id="rId21672" Type="http://schemas.openxmlformats.org/officeDocument/2006/relationships/hyperlink" Target="http://secrets.rutgers.edu:8080/data/asl-ftp/asllvd/demos/verify_start_end_handshape_annotations//test_auto_move//signs_mov_separ_signers/Naomi_4636.mov" TargetMode="External"/><Relationship Id="rId21673" Type="http://schemas.openxmlformats.org/officeDocument/2006/relationships/hyperlink" Target="http://csr.bu.edu/ftp/asl/asllvd/demos/verify_start_end_handshape_annotations//test_auto_move//signs_mov_separ_signers/Brady_4636.mov" TargetMode="External"/><Relationship Id="rId21674" Type="http://schemas.openxmlformats.org/officeDocument/2006/relationships/hyperlink" Target="http://secrets.rutgers.edu:8080/data/asl-ftp/asllvd/demos/verify_start_end_handshape_annotations//test_auto_move//signs_mov_separ_signers/Brady_4636.mov" TargetMode="External"/><Relationship Id="rId21675" Type="http://schemas.openxmlformats.org/officeDocument/2006/relationships/hyperlink" Target="http://csr.bu.edu/ftp/asl/asllvd/demos/verify_start_end_handshape_annotations//test_auto_move//signs_mov_separ_signers/Liz_15423.mov" TargetMode="External"/><Relationship Id="rId21676" Type="http://schemas.openxmlformats.org/officeDocument/2006/relationships/hyperlink" Target="http://secrets.rutgers.edu:8080/data/asl-ftp/asllvd/demos/verify_start_end_handshape_annotations//test_auto_move//signs_mov_separ_signers/Liz_15423.mov" TargetMode="External"/><Relationship Id="rId21677" Type="http://schemas.openxmlformats.org/officeDocument/2006/relationships/hyperlink" Target="http://csr.bu.edu/ftp/asl/asllvd/demos/verify_start_end_handshape_annotations//test_auto_move//signs_mov_separ_signers/Tyler_15423.mov" TargetMode="External"/><Relationship Id="rId21678" Type="http://schemas.openxmlformats.org/officeDocument/2006/relationships/hyperlink" Target="http://secrets.rutgers.edu:8080/data/asl-ftp/asllvd/demos/verify_start_end_handshape_annotations//test_auto_move//signs_mov_separ_signers/Tyler_15423.mov" TargetMode="External"/><Relationship Id="rId21679" Type="http://schemas.openxmlformats.org/officeDocument/2006/relationships/hyperlink" Target="http://csr.bu.edu/ftp/asl/asllvd/demos/verify_start_end_handshape_annotations//test_auto_move//signs_mov/15423_16372_merged.mov" TargetMode="External"/><Relationship Id="rId21680" Type="http://schemas.openxmlformats.org/officeDocument/2006/relationships/hyperlink" Target="http://csr.bu.edu/ftp/asl/asllvd/demos/verify_start_end_handshape_annotations//test_auto_move//signs_mov_separ_signers/Tyler_16372.mov" TargetMode="External"/><Relationship Id="rId21681" Type="http://schemas.openxmlformats.org/officeDocument/2006/relationships/hyperlink" Target="http://secrets.rutgers.edu:8080/data/asl-ftp/asllvd/demos/verify_start_end_handshape_annotations//test_auto_move//signs_mov/15423_16372_merged.mov" TargetMode="External"/><Relationship Id="rId21682" Type="http://schemas.openxmlformats.org/officeDocument/2006/relationships/hyperlink" Target="http://secrets.rutgers.edu:8080/data/asl-ftp/asllvd/demos/verify_start_end_handshape_annotations//test_auto_move//signs_mov_separ_signers/Tyler_16372.mov" TargetMode="External"/><Relationship Id="rId21683" Type="http://schemas.openxmlformats.org/officeDocument/2006/relationships/hyperlink" Target="http://csr.bu.edu/ftp/asl/asllvd/demos/verify_start_end_handshape_annotations//test_auto_move//signs_mov_separ_signers/Naomi_15423.mov" TargetMode="External"/><Relationship Id="rId21684" Type="http://schemas.openxmlformats.org/officeDocument/2006/relationships/hyperlink" Target="http://secrets.rutgers.edu:8080/data/asl-ftp/asllvd/demos/verify_start_end_handshape_annotations//test_auto_move//signs_mov_separ_signers/Naomi_15423.mov" TargetMode="External"/><Relationship Id="rId21685" Type="http://schemas.openxmlformats.org/officeDocument/2006/relationships/hyperlink" Target="http://csr.bu.edu/ftp/asl/asllvd/demos/verify_start_end_handshape_annotations//test_auto_move//signs_mov_separ_signers/Brady_15423.mov" TargetMode="External"/><Relationship Id="rId21686" Type="http://schemas.openxmlformats.org/officeDocument/2006/relationships/hyperlink" Target="http://secrets.rutgers.edu:8080/data/asl-ftp/asllvd/demos/verify_start_end_handshape_annotations//test_auto_move//signs_mov_separ_signers/Brady_15423.mov" TargetMode="External"/><Relationship Id="rId21687" Type="http://schemas.openxmlformats.org/officeDocument/2006/relationships/hyperlink" Target="http://csr.bu.edu/ftp/asl/asllvd/demos/verify_start_end_handshape_annotations//test_auto_move//signs_mov_separ_signers/Liz_4637.mov" TargetMode="External"/><Relationship Id="rId21688" Type="http://schemas.openxmlformats.org/officeDocument/2006/relationships/hyperlink" Target="http://secrets.rutgers.edu:8080/data/asl-ftp/asllvd/demos/verify_start_end_handshape_annotations//test_auto_move//signs_mov_separ_signers/Liz_4637.mov" TargetMode="External"/><Relationship Id="rId21689" Type="http://schemas.openxmlformats.org/officeDocument/2006/relationships/hyperlink" Target="http://csr.bu.edu/ftp/asl/asllvd/demos/verify_start_end_handshape_annotations//test_auto_move//signs_mov_separ_signers/Liz_15379.mov" TargetMode="External"/><Relationship Id="rId21690" Type="http://schemas.openxmlformats.org/officeDocument/2006/relationships/hyperlink" Target="http://secrets.rutgers.edu:8080/data/asl-ftp/asllvd/demos/verify_start_end_handshape_annotations//test_auto_move//signs_mov_separ_signers/Liz_15379.mov" TargetMode="External"/><Relationship Id="rId21691" Type="http://schemas.openxmlformats.org/officeDocument/2006/relationships/hyperlink" Target="http://csr.bu.edu/ftp/asl/asllvd/demos/verify_start_end_handshape_annotations//test_auto_move//signs_mov/4637_15379_15382_merged.mov" TargetMode="External"/><Relationship Id="rId21692" Type="http://schemas.openxmlformats.org/officeDocument/2006/relationships/hyperlink" Target="http://csr.bu.edu/ftp/asl/asllvd/demos/verify_start_end_handshape_annotations//test_auto_move//signs_mov_separ_signers/Naomi_4637.mov" TargetMode="External"/><Relationship Id="rId21693" Type="http://schemas.openxmlformats.org/officeDocument/2006/relationships/hyperlink" Target="http://secrets.rutgers.edu:8080/data/asl-ftp/asllvd/demos/verify_start_end_handshape_annotations//test_auto_move//signs_mov/4637_15379_15382_merged.mov" TargetMode="External"/><Relationship Id="rId21694" Type="http://schemas.openxmlformats.org/officeDocument/2006/relationships/hyperlink" Target="http://secrets.rutgers.edu:8080/data/asl-ftp/asllvd/demos/verify_start_end_handshape_annotations//test_auto_move//signs_mov_separ_signers/Naomi_4637.mov" TargetMode="External"/><Relationship Id="rId21695" Type="http://schemas.openxmlformats.org/officeDocument/2006/relationships/hyperlink" Target="http://csr.bu.edu/ftp/asl/asllvd/demos/verify_start_end_handshape_annotations//test_auto_move//signs_mov_separ_signers/Brady_4637.mov" TargetMode="External"/><Relationship Id="rId21696" Type="http://schemas.openxmlformats.org/officeDocument/2006/relationships/hyperlink" Target="http://secrets.rutgers.edu:8080/data/asl-ftp/asllvd/demos/verify_start_end_handshape_annotations//test_auto_move//signs_mov_separ_signers/Brady_4637.mov" TargetMode="External"/><Relationship Id="rId21697" Type="http://schemas.openxmlformats.org/officeDocument/2006/relationships/hyperlink" Target="http://csr.bu.edu/ftp/asl/asllvd/demos/verify_start_end_handshape_annotations//test_auto_move//signs_mov_separ_signers/Brady_15379.mov" TargetMode="External"/><Relationship Id="rId21698" Type="http://schemas.openxmlformats.org/officeDocument/2006/relationships/hyperlink" Target="http://secrets.rutgers.edu:8080/data/asl-ftp/asllvd/demos/verify_start_end_handshape_annotations//test_auto_move//signs_mov_separ_signers/Brady_15379.mov" TargetMode="External"/><Relationship Id="rId21699" Type="http://schemas.openxmlformats.org/officeDocument/2006/relationships/hyperlink" Target="http://csr.bu.edu/ftp/asl/asllvd/demos/verify_start_end_handshape_annotations//test_auto_move//signs_mov_separ_signers/Brady_15382.mov" TargetMode="External"/><Relationship Id="rId21700" Type="http://schemas.openxmlformats.org/officeDocument/2006/relationships/hyperlink" Target="http://secrets.rutgers.edu:8080/data/asl-ftp/asllvd/demos/verify_start_end_handshape_annotations//test_auto_move//signs_mov_separ_signers/Brady_15382.mov" TargetMode="External"/><Relationship Id="rId21701" Type="http://schemas.openxmlformats.org/officeDocument/2006/relationships/hyperlink" Target="http://csr.bu.edu/ftp/asl/asllvd/demos/verify_start_end_handshape_annotations//test_auto_move//signs_mov/15385.mov" TargetMode="External"/><Relationship Id="rId21702" Type="http://schemas.openxmlformats.org/officeDocument/2006/relationships/hyperlink" Target="http://csr.bu.edu/ftp/asl/asllvd/demos/verify_start_end_handshape_annotations//test_auto_move//signs_mov_separ_signers/Liz_15385.mov" TargetMode="External"/><Relationship Id="rId21703" Type="http://schemas.openxmlformats.org/officeDocument/2006/relationships/hyperlink" Target="http://secrets.rutgers.edu:8080/data/asl-ftp/asllvd/demos/verify_start_end_handshape_annotations//test_auto_move//signs_mov/15385.mov" TargetMode="External"/><Relationship Id="rId21704" Type="http://schemas.openxmlformats.org/officeDocument/2006/relationships/hyperlink" Target="http://secrets.rutgers.edu:8080/data/asl-ftp/asllvd/demos/verify_start_end_handshape_annotations//test_auto_move//signs_mov_separ_signers/Liz_15385.mov" TargetMode="External"/><Relationship Id="rId21705" Type="http://schemas.openxmlformats.org/officeDocument/2006/relationships/hyperlink" Target="http://csr.bu.edu/ftp/asl/asllvd/demos/verify_start_end_handshape_annotations//test_auto_move//signs_mov_separ_signers/Brady_15385.mov" TargetMode="External"/><Relationship Id="rId21706" Type="http://schemas.openxmlformats.org/officeDocument/2006/relationships/hyperlink" Target="http://secrets.rutgers.edu:8080/data/asl-ftp/asllvd/demos/verify_start_end_handshape_annotations//test_auto_move//signs_mov_separ_signers/Brady_15385.mov" TargetMode="External"/><Relationship Id="rId21707" Type="http://schemas.openxmlformats.org/officeDocument/2006/relationships/hyperlink" Target="http://csr.bu.edu/ftp/asl/asllvd/demos/verify_start_end_handshape_annotations//test_auto_move//signs_mov/15454.mov" TargetMode="External"/><Relationship Id="rId21708" Type="http://schemas.openxmlformats.org/officeDocument/2006/relationships/hyperlink" Target="http://csr.bu.edu/ftp/asl/asllvd/demos/verify_start_end_handshape_annotations//test_auto_move//signs_mov_separ_signers/Tyler_15454.mov" TargetMode="External"/><Relationship Id="rId21709" Type="http://schemas.openxmlformats.org/officeDocument/2006/relationships/hyperlink" Target="http://secrets.rutgers.edu:8080/data/asl-ftp/asllvd/demos/verify_start_end_handshape_annotations//test_auto_move//signs_mov/15454.mov" TargetMode="External"/><Relationship Id="rId21710" Type="http://schemas.openxmlformats.org/officeDocument/2006/relationships/hyperlink" Target="http://secrets.rutgers.edu:8080/data/asl-ftp/asllvd/demos/verify_start_end_handshape_annotations//test_auto_move//signs_mov_separ_signers/Tyler_15454.mov" TargetMode="External"/><Relationship Id="rId21711" Type="http://schemas.openxmlformats.org/officeDocument/2006/relationships/hyperlink" Target="http://csr.bu.edu/ftp/asl/asllvd/demos/verify_start_end_handshape_annotations//test_auto_move//signs_mov_separ_signers/Brady_15454.mov" TargetMode="External"/><Relationship Id="rId21712" Type="http://schemas.openxmlformats.org/officeDocument/2006/relationships/hyperlink" Target="http://secrets.rutgers.edu:8080/data/asl-ftp/asllvd/demos/verify_start_end_handshape_annotations//test_auto_move//signs_mov_separ_signers/Brady_15454.mov" TargetMode="External"/><Relationship Id="rId21713" Type="http://schemas.openxmlformats.org/officeDocument/2006/relationships/hyperlink" Target="http://csr.bu.edu/ftp/asl/asllvd/demos/verify_start_end_handshape_annotations//test_auto_move//signs_mov_separ_signers/Liz_4638.mov" TargetMode="External"/><Relationship Id="rId21714" Type="http://schemas.openxmlformats.org/officeDocument/2006/relationships/hyperlink" Target="http://secrets.rutgers.edu:8080/data/asl-ftp/asllvd/demos/verify_start_end_handshape_annotations//test_auto_move//signs_mov_separ_signers/Liz_4638.mov" TargetMode="External"/><Relationship Id="rId21715" Type="http://schemas.openxmlformats.org/officeDocument/2006/relationships/hyperlink" Target="http://csr.bu.edu/ftp/asl/asllvd/demos/verify_start_end_handshape_annotations//test_auto_move//signs_mov_separ_signers/Liz_15374.mov" TargetMode="External"/><Relationship Id="rId21716" Type="http://schemas.openxmlformats.org/officeDocument/2006/relationships/hyperlink" Target="http://secrets.rutgers.edu:8080/data/asl-ftp/asllvd/demos/verify_start_end_handshape_annotations//test_auto_move//signs_mov_separ_signers/Liz_15374.mov" TargetMode="External"/><Relationship Id="rId21717" Type="http://schemas.openxmlformats.org/officeDocument/2006/relationships/hyperlink" Target="http://csr.bu.edu/ftp/asl/asllvd/demos/verify_start_end_handshape_annotations//test_auto_move//signs_mov_separ_signers/Liz_15377.mov" TargetMode="External"/><Relationship Id="rId21718" Type="http://schemas.openxmlformats.org/officeDocument/2006/relationships/hyperlink" Target="http://secrets.rutgers.edu:8080/data/asl-ftp/asllvd/demos/verify_start_end_handshape_annotations//test_auto_move//signs_mov_separ_signers/Liz_15377.mov" TargetMode="External"/><Relationship Id="rId21719" Type="http://schemas.openxmlformats.org/officeDocument/2006/relationships/hyperlink" Target="http://csr.bu.edu/ftp/asl/asllvd/demos/verify_start_end_handshape_annotations//test_auto_move//signs_mov/4638_15374_15377_merged.mov" TargetMode="External"/><Relationship Id="rId21720" Type="http://schemas.openxmlformats.org/officeDocument/2006/relationships/hyperlink" Target="http://csr.bu.edu/ftp/asl/asllvd/demos/verify_start_end_handshape_annotations//test_auto_move//signs_mov_separ_signers/Tyler_4638.mov" TargetMode="External"/><Relationship Id="rId21721" Type="http://schemas.openxmlformats.org/officeDocument/2006/relationships/hyperlink" Target="http://secrets.rutgers.edu:8080/data/asl-ftp/asllvd/demos/verify_start_end_handshape_annotations//test_auto_move//signs_mov/4638_15374_15377_merged.mov" TargetMode="External"/><Relationship Id="rId21722" Type="http://schemas.openxmlformats.org/officeDocument/2006/relationships/hyperlink" Target="http://secrets.rutgers.edu:8080/data/asl-ftp/asllvd/demos/verify_start_end_handshape_annotations//test_auto_move//signs_mov_separ_signers/Tyler_4638.mov" TargetMode="External"/><Relationship Id="rId21723" Type="http://schemas.openxmlformats.org/officeDocument/2006/relationships/hyperlink" Target="http://csr.bu.edu/ftp/asl/asllvd/demos/verify_start_end_handshape_annotations//test_auto_move//signs_mov_separ_signers/Naomi_4638.mov" TargetMode="External"/><Relationship Id="rId21724" Type="http://schemas.openxmlformats.org/officeDocument/2006/relationships/hyperlink" Target="http://secrets.rutgers.edu:8080/data/asl-ftp/asllvd/demos/verify_start_end_handshape_annotations//test_auto_move//signs_mov_separ_signers/Naomi_4638.mov" TargetMode="External"/><Relationship Id="rId21725" Type="http://schemas.openxmlformats.org/officeDocument/2006/relationships/hyperlink" Target="http://csr.bu.edu/ftp/asl/asllvd/demos/verify_start_end_handshape_annotations//test_auto_move//signs_mov_separ_signers/Naomi_15374.mov" TargetMode="External"/><Relationship Id="rId21726" Type="http://schemas.openxmlformats.org/officeDocument/2006/relationships/hyperlink" Target="http://secrets.rutgers.edu:8080/data/asl-ftp/asllvd/demos/verify_start_end_handshape_annotations//test_auto_move//signs_mov_separ_signers/Naomi_15374.mov" TargetMode="External"/><Relationship Id="rId21727" Type="http://schemas.openxmlformats.org/officeDocument/2006/relationships/hyperlink" Target="http://csr.bu.edu/ftp/asl/asllvd/demos/verify_start_end_handshape_annotations//test_auto_move//signs_mov_separ_signers/Brady_4638.mov" TargetMode="External"/><Relationship Id="rId21728" Type="http://schemas.openxmlformats.org/officeDocument/2006/relationships/hyperlink" Target="http://secrets.rutgers.edu:8080/data/asl-ftp/asllvd/demos/verify_start_end_handshape_annotations//test_auto_move//signs_mov_separ_signers/Brady_4638.mov" TargetMode="External"/><Relationship Id="rId21729" Type="http://schemas.openxmlformats.org/officeDocument/2006/relationships/hyperlink" Target="http://csr.bu.edu/ftp/asl/asllvd/demos/verify_start_end_handshape_annotations//test_auto_move//signs_mov_separ_signers/Brady_15374.mov" TargetMode="External"/><Relationship Id="rId21730" Type="http://schemas.openxmlformats.org/officeDocument/2006/relationships/hyperlink" Target="http://secrets.rutgers.edu:8080/data/asl-ftp/asllvd/demos/verify_start_end_handshape_annotations//test_auto_move//signs_mov_separ_signers/Brady_15374.mov" TargetMode="External"/><Relationship Id="rId21731" Type="http://schemas.openxmlformats.org/officeDocument/2006/relationships/hyperlink" Target="http://csr.bu.edu/ftp/asl/asllvd/demos/verify_start_end_handshape_annotations//test_auto_move//signs_mov/15378.mov" TargetMode="External"/><Relationship Id="rId21732" Type="http://schemas.openxmlformats.org/officeDocument/2006/relationships/hyperlink" Target="http://csr.bu.edu/ftp/asl/asllvd/demos/verify_start_end_handshape_annotations//test_auto_move//signs_mov_separ_signers/Brady_15378.mov" TargetMode="External"/><Relationship Id="rId21733" Type="http://schemas.openxmlformats.org/officeDocument/2006/relationships/hyperlink" Target="http://secrets.rutgers.edu:8080/data/asl-ftp/asllvd/demos/verify_start_end_handshape_annotations//test_auto_move//signs_mov/15378.mov" TargetMode="External"/><Relationship Id="rId21734" Type="http://schemas.openxmlformats.org/officeDocument/2006/relationships/hyperlink" Target="http://secrets.rutgers.edu:8080/data/asl-ftp/asllvd/demos/verify_start_end_handshape_annotations//test_auto_move//signs_mov_separ_signers/Brady_15378.mov" TargetMode="External"/><Relationship Id="rId21735" Type="http://schemas.openxmlformats.org/officeDocument/2006/relationships/hyperlink" Target="http://csr.bu.edu/ftp/asl/asllvd/demos/verify_start_end_handshape_annotations//test_auto_move//signs_mov/16487.mov" TargetMode="External"/><Relationship Id="rId21736" Type="http://schemas.openxmlformats.org/officeDocument/2006/relationships/hyperlink" Target="http://csr.bu.edu/ftp/asl/asllvd/demos/verify_start_end_handshape_annotations//test_auto_move//signs_mov_separ_signers/Liz_16487.mov" TargetMode="External"/><Relationship Id="rId21737" Type="http://schemas.openxmlformats.org/officeDocument/2006/relationships/hyperlink" Target="http://secrets.rutgers.edu:8080/data/asl-ftp/asllvd/demos/verify_start_end_handshape_annotations//test_auto_move//signs_mov/16487.mov" TargetMode="External"/><Relationship Id="rId21738" Type="http://schemas.openxmlformats.org/officeDocument/2006/relationships/hyperlink" Target="http://secrets.rutgers.edu:8080/data/asl-ftp/asllvd/demos/verify_start_end_handshape_annotations//test_auto_move//signs_mov_separ_signers/Liz_16487.mov" TargetMode="External"/><Relationship Id="rId21739" Type="http://schemas.openxmlformats.org/officeDocument/2006/relationships/hyperlink" Target="http://csr.bu.edu/ftp/asl/asllvd/demos/verify_start_end_handshape_annotations//test_auto_move//signs_mov_separ_signers/Liz_4639.mov" TargetMode="External"/><Relationship Id="rId21740" Type="http://schemas.openxmlformats.org/officeDocument/2006/relationships/hyperlink" Target="http://secrets.rutgers.edu:8080/data/asl-ftp/asllvd/demos/verify_start_end_handshape_annotations//test_auto_move//signs_mov_separ_signers/Liz_4639.mov" TargetMode="External"/><Relationship Id="rId21741" Type="http://schemas.openxmlformats.org/officeDocument/2006/relationships/hyperlink" Target="http://csr.bu.edu/ftp/asl/asllvd/demos/verify_start_end_handshape_annotations//test_auto_move//signs_mov_separ_signers/Liz_15383.mov" TargetMode="External"/><Relationship Id="rId21742" Type="http://schemas.openxmlformats.org/officeDocument/2006/relationships/hyperlink" Target="http://secrets.rutgers.edu:8080/data/asl-ftp/asllvd/demos/verify_start_end_handshape_annotations//test_auto_move//signs_mov_separ_signers/Liz_15383.mov" TargetMode="External"/><Relationship Id="rId21743" Type="http://schemas.openxmlformats.org/officeDocument/2006/relationships/hyperlink" Target="http://csr.bu.edu/ftp/asl/asllvd/demos/verify_start_end_handshape_annotations//test_auto_move//signs_mov/4639_15383_15384_merged.mov" TargetMode="External"/><Relationship Id="rId21744" Type="http://schemas.openxmlformats.org/officeDocument/2006/relationships/hyperlink" Target="http://csr.bu.edu/ftp/asl/asllvd/demos/verify_start_end_handshape_annotations//test_auto_move//signs_mov_separ_signers/Liz_15384.mov" TargetMode="External"/><Relationship Id="rId21745" Type="http://schemas.openxmlformats.org/officeDocument/2006/relationships/hyperlink" Target="http://secrets.rutgers.edu:8080/data/asl-ftp/asllvd/demos/verify_start_end_handshape_annotations//test_auto_move//signs_mov/4639_15383_15384_merged.mov" TargetMode="External"/><Relationship Id="rId21746" Type="http://schemas.openxmlformats.org/officeDocument/2006/relationships/hyperlink" Target="http://secrets.rutgers.edu:8080/data/asl-ftp/asllvd/demos/verify_start_end_handshape_annotations//test_auto_move//signs_mov_separ_signers/Liz_15384.mov" TargetMode="External"/><Relationship Id="rId21747" Type="http://schemas.openxmlformats.org/officeDocument/2006/relationships/hyperlink" Target="http://csr.bu.edu/ftp/asl/asllvd/demos/verify_start_end_handshape_annotations//test_auto_move//signs_mov_separ_signers/Brady_4639.mov" TargetMode="External"/><Relationship Id="rId21748" Type="http://schemas.openxmlformats.org/officeDocument/2006/relationships/hyperlink" Target="http://secrets.rutgers.edu:8080/data/asl-ftp/asllvd/demos/verify_start_end_handshape_annotations//test_auto_move//signs_mov_separ_signers/Brady_4639.mov" TargetMode="External"/><Relationship Id="rId21749" Type="http://schemas.openxmlformats.org/officeDocument/2006/relationships/hyperlink" Target="http://csr.bu.edu/ftp/asl/asllvd/demos/verify_start_end_handshape_annotations//test_auto_move//signs_mov_separ_signers/Brady_15383.mov" TargetMode="External"/><Relationship Id="rId21750" Type="http://schemas.openxmlformats.org/officeDocument/2006/relationships/hyperlink" Target="http://secrets.rutgers.edu:8080/data/asl-ftp/asllvd/demos/verify_start_end_handshape_annotations//test_auto_move//signs_mov_separ_signers/Brady_15383.mov" TargetMode="External"/><Relationship Id="rId21751" Type="http://schemas.openxmlformats.org/officeDocument/2006/relationships/hyperlink" Target="http://csr.bu.edu/ftp/asl/asllvd/demos/verify_start_end_handshape_annotations//test_auto_move//signs_mov_separ_signers/Brady_15384.mov" TargetMode="External"/><Relationship Id="rId21752" Type="http://schemas.openxmlformats.org/officeDocument/2006/relationships/hyperlink" Target="http://secrets.rutgers.edu:8080/data/asl-ftp/asllvd/demos/verify_start_end_handshape_annotations//test_auto_move//signs_mov_separ_signers/Brady_15384.mov" TargetMode="External"/><Relationship Id="rId21753" Type="http://schemas.openxmlformats.org/officeDocument/2006/relationships/hyperlink" Target="http://csr.bu.edu/ftp/asl/asllvd/demos/verify_start_end_handshape_annotations//test_auto_move//signs_mov/4743.mov" TargetMode="External"/><Relationship Id="rId21754" Type="http://schemas.openxmlformats.org/officeDocument/2006/relationships/hyperlink" Target="http://csr.bu.edu/ftp/asl/asllvd/demos/verify_start_end_handshape_annotations//test_auto_move//signs_mov_separ_signers/Brady_4743.mov" TargetMode="External"/><Relationship Id="rId21755" Type="http://schemas.openxmlformats.org/officeDocument/2006/relationships/hyperlink" Target="http://secrets.rutgers.edu:8080/data/asl-ftp/asllvd/demos/verify_start_end_handshape_annotations//test_auto_move//signs_mov/4743.mov" TargetMode="External"/><Relationship Id="rId21756" Type="http://schemas.openxmlformats.org/officeDocument/2006/relationships/hyperlink" Target="http://secrets.rutgers.edu:8080/data/asl-ftp/asllvd/demos/verify_start_end_handshape_annotations//test_auto_move//signs_mov_separ_signers/Brady_4743.mov" TargetMode="External"/><Relationship Id="rId21757" Type="http://schemas.openxmlformats.org/officeDocument/2006/relationships/hyperlink" Target="http://csr.bu.edu/ftp/asl/asllvd/demos/verify_start_end_handshape_annotations//test_auto_move//signs_mov_separ_signers/Liz_4654.mov" TargetMode="External"/><Relationship Id="rId21758" Type="http://schemas.openxmlformats.org/officeDocument/2006/relationships/hyperlink" Target="http://secrets.rutgers.edu:8080/data/asl-ftp/asllvd/demos/verify_start_end_handshape_annotations//test_auto_move//signs_mov_separ_signers/Liz_4654.mov" TargetMode="External"/><Relationship Id="rId21759" Type="http://schemas.openxmlformats.org/officeDocument/2006/relationships/hyperlink" Target="http://csr.bu.edu/ftp/asl/asllvd/demos/verify_start_end_handshape_annotations//test_auto_move//signs_mov_separ_signers/Liz_15429.mov" TargetMode="External"/><Relationship Id="rId21760" Type="http://schemas.openxmlformats.org/officeDocument/2006/relationships/hyperlink" Target="http://secrets.rutgers.edu:8080/data/asl-ftp/asllvd/demos/verify_start_end_handshape_annotations//test_auto_move//signs_mov_separ_signers/Liz_15429.mov" TargetMode="External"/><Relationship Id="rId21761" Type="http://schemas.openxmlformats.org/officeDocument/2006/relationships/hyperlink" Target="http://csr.bu.edu/ftp/asl/asllvd/demos/verify_start_end_handshape_annotations//test_auto_move//signs_mov_separ_signers/Tyler_4654.mov" TargetMode="External"/><Relationship Id="rId21762" Type="http://schemas.openxmlformats.org/officeDocument/2006/relationships/hyperlink" Target="http://secrets.rutgers.edu:8080/data/asl-ftp/asllvd/demos/verify_start_end_handshape_annotations//test_auto_move//signs_mov_separ_signers/Tyler_4654.mov" TargetMode="External"/><Relationship Id="rId21763" Type="http://schemas.openxmlformats.org/officeDocument/2006/relationships/hyperlink" Target="http://csr.bu.edu/ftp/asl/asllvd/demos/verify_start_end_handshape_annotations//test_auto_move//signs_mov/4654_15429_merged.mov" TargetMode="External"/><Relationship Id="rId21764" Type="http://schemas.openxmlformats.org/officeDocument/2006/relationships/hyperlink" Target="http://csr.bu.edu/ftp/asl/asllvd/demos/verify_start_end_handshape_annotations//test_auto_move//signs_mov_separ_signers/Naomi_4654.mov" TargetMode="External"/><Relationship Id="rId21765" Type="http://schemas.openxmlformats.org/officeDocument/2006/relationships/hyperlink" Target="http://secrets.rutgers.edu:8080/data/asl-ftp/asllvd/demos/verify_start_end_handshape_annotations//test_auto_move//signs_mov/4654_15429_merged.mov" TargetMode="External"/><Relationship Id="rId21766" Type="http://schemas.openxmlformats.org/officeDocument/2006/relationships/hyperlink" Target="http://secrets.rutgers.edu:8080/data/asl-ftp/asllvd/demos/verify_start_end_handshape_annotations//test_auto_move//signs_mov_separ_signers/Naomi_4654.mov" TargetMode="External"/><Relationship Id="rId21767" Type="http://schemas.openxmlformats.org/officeDocument/2006/relationships/hyperlink" Target="http://csr.bu.edu/ftp/asl/asllvd/demos/verify_start_end_handshape_annotations//test_auto_move//signs_mov_separ_signers/Naomi_15429.mov" TargetMode="External"/><Relationship Id="rId21768" Type="http://schemas.openxmlformats.org/officeDocument/2006/relationships/hyperlink" Target="http://secrets.rutgers.edu:8080/data/asl-ftp/asllvd/demos/verify_start_end_handshape_annotations//test_auto_move//signs_mov_separ_signers/Naomi_15429.mov" TargetMode="External"/><Relationship Id="rId21769" Type="http://schemas.openxmlformats.org/officeDocument/2006/relationships/hyperlink" Target="http://csr.bu.edu/ftp/asl/asllvd/demos/verify_start_end_handshape_annotations//test_auto_move//signs_mov_separ_signers/Brady_4654.mov" TargetMode="External"/><Relationship Id="rId21770" Type="http://schemas.openxmlformats.org/officeDocument/2006/relationships/hyperlink" Target="http://secrets.rutgers.edu:8080/data/asl-ftp/asllvd/demos/verify_start_end_handshape_annotations//test_auto_move//signs_mov_separ_signers/Brady_4654.mov" TargetMode="External"/><Relationship Id="rId21771" Type="http://schemas.openxmlformats.org/officeDocument/2006/relationships/hyperlink" Target="http://csr.bu.edu/ftp/asl/asllvd/demos/verify_start_end_handshape_annotations//test_auto_move//signs_mov_separ_signers/Brady_15429.mov" TargetMode="External"/><Relationship Id="rId21772" Type="http://schemas.openxmlformats.org/officeDocument/2006/relationships/hyperlink" Target="http://secrets.rutgers.edu:8080/data/asl-ftp/asllvd/demos/verify_start_end_handshape_annotations//test_auto_move//signs_mov_separ_signers/Brady_15429.mov" TargetMode="External"/><Relationship Id="rId21773" Type="http://schemas.openxmlformats.org/officeDocument/2006/relationships/hyperlink" Target="http://csr.bu.edu/ftp/asl/asllvd/demos/verify_start_end_handshape_annotations//test_auto_move//signs_mov/15948.mov" TargetMode="External"/><Relationship Id="rId21774" Type="http://schemas.openxmlformats.org/officeDocument/2006/relationships/hyperlink" Target="http://csr.bu.edu/ftp/asl/asllvd/demos/verify_start_end_handshape_annotations//test_auto_move//signs_mov_separ_signers/Liz_15948.mov" TargetMode="External"/><Relationship Id="rId21775" Type="http://schemas.openxmlformats.org/officeDocument/2006/relationships/hyperlink" Target="http://secrets.rutgers.edu:8080/data/asl-ftp/asllvd/demos/verify_start_end_handshape_annotations//test_auto_move//signs_mov/15948.mov" TargetMode="External"/><Relationship Id="rId21776" Type="http://schemas.openxmlformats.org/officeDocument/2006/relationships/hyperlink" Target="http://secrets.rutgers.edu:8080/data/asl-ftp/asllvd/demos/verify_start_end_handshape_annotations//test_auto_move//signs_mov_separ_signers/Liz_15948.mov" TargetMode="External"/><Relationship Id="rId21777" Type="http://schemas.openxmlformats.org/officeDocument/2006/relationships/hyperlink" Target="http://csr.bu.edu/ftp/asl/asllvd/demos/verify_start_end_handshape_annotations//test_auto_move//signs_mov_separ_signers/Brady_15948.mov" TargetMode="External"/><Relationship Id="rId21778" Type="http://schemas.openxmlformats.org/officeDocument/2006/relationships/hyperlink" Target="http://secrets.rutgers.edu:8080/data/asl-ftp/asllvd/demos/verify_start_end_handshape_annotations//test_auto_move//signs_mov_separ_signers/Brady_15948.mov" TargetMode="External"/><Relationship Id="rId21779" Type="http://schemas.openxmlformats.org/officeDocument/2006/relationships/hyperlink" Target="http://csr.bu.edu/ftp/asl/asllvd/demos/verify_start_end_handshape_annotations//test_auto_move//signs_mov/4665.mov" TargetMode="External"/><Relationship Id="rId21780" Type="http://schemas.openxmlformats.org/officeDocument/2006/relationships/hyperlink" Target="http://csr.bu.edu/ftp/asl/asllvd/demos/verify_start_end_handshape_annotations//test_auto_move//signs_mov_separ_signers/Lana_4665.mov" TargetMode="External"/><Relationship Id="rId21781" Type="http://schemas.openxmlformats.org/officeDocument/2006/relationships/hyperlink" Target="http://secrets.rutgers.edu:8080/data/asl-ftp/asllvd/demos/verify_start_end_handshape_annotations//test_auto_move//signs_mov/4665.mov" TargetMode="External"/><Relationship Id="rId21782" Type="http://schemas.openxmlformats.org/officeDocument/2006/relationships/hyperlink" Target="http://secrets.rutgers.edu:8080/data/asl-ftp/asllvd/demos/verify_start_end_handshape_annotations//test_auto_move//signs_mov_separ_signers/Lana_4665.mov" TargetMode="External"/><Relationship Id="rId21783" Type="http://schemas.openxmlformats.org/officeDocument/2006/relationships/hyperlink" Target="http://csr.bu.edu/ftp/asl/asllvd/demos/verify_start_end_handshape_annotations//test_auto_move//signs_mov_separ_signers/Dana_4665.mov" TargetMode="External"/><Relationship Id="rId21784" Type="http://schemas.openxmlformats.org/officeDocument/2006/relationships/hyperlink" Target="http://secrets.rutgers.edu:8080/data/asl-ftp/asllvd/demos/verify_start_end_handshape_annotations//test_auto_move//signs_mov_separ_signers/Dana_4665.mov" TargetMode="External"/><Relationship Id="rId21785" Type="http://schemas.openxmlformats.org/officeDocument/2006/relationships/hyperlink" Target="http://csr.bu.edu/ftp/asl/asllvd/demos/verify_start_end_handshape_annotations//test_auto_move//signs_mov_separ_signers/Tyler_15522.mov" TargetMode="External"/><Relationship Id="rId21786" Type="http://schemas.openxmlformats.org/officeDocument/2006/relationships/hyperlink" Target="http://secrets.rutgers.edu:8080/data/asl-ftp/asllvd/demos/verify_start_end_handshape_annotations//test_auto_move//signs_mov_separ_signers/Tyler_15522.mov" TargetMode="External"/><Relationship Id="rId21787" Type="http://schemas.openxmlformats.org/officeDocument/2006/relationships/hyperlink" Target="http://csr.bu.edu/ftp/asl/asllvd/demos/verify_start_end_handshape_annotations//test_auto_move//signs_mov_separ_signers/Naomi_15522.mov" TargetMode="External"/><Relationship Id="rId21788" Type="http://schemas.openxmlformats.org/officeDocument/2006/relationships/hyperlink" Target="http://secrets.rutgers.edu:8080/data/asl-ftp/asllvd/demos/verify_start_end_handshape_annotations//test_auto_move//signs_mov_separ_signers/Naomi_15522.mov" TargetMode="External"/><Relationship Id="rId21789" Type="http://schemas.openxmlformats.org/officeDocument/2006/relationships/hyperlink" Target="http://csr.bu.edu/ftp/asl/asllvd/demos/verify_start_end_handshape_annotations//test_auto_move//signs_mov/15522.mov" TargetMode="External"/><Relationship Id="rId21790" Type="http://schemas.openxmlformats.org/officeDocument/2006/relationships/hyperlink" Target="http://csr.bu.edu/ftp/asl/asllvd/demos/verify_start_end_handshape_annotations//test_auto_move//signs_mov_separ_signers/Brady_15522.mov" TargetMode="External"/><Relationship Id="rId21791" Type="http://schemas.openxmlformats.org/officeDocument/2006/relationships/hyperlink" Target="http://secrets.rutgers.edu:8080/data/asl-ftp/asllvd/demos/verify_start_end_handshape_annotations//test_auto_move//signs_mov/15522.mov" TargetMode="External"/><Relationship Id="rId21792" Type="http://schemas.openxmlformats.org/officeDocument/2006/relationships/hyperlink" Target="http://secrets.rutgers.edu:8080/data/asl-ftp/asllvd/demos/verify_start_end_handshape_annotations//test_auto_move//signs_mov_separ_signers/Brady_15522.mov" TargetMode="External"/><Relationship Id="rId21793" Type="http://schemas.openxmlformats.org/officeDocument/2006/relationships/hyperlink" Target="http://csr.bu.edu/ftp/asl/asllvd/demos/verify_start_end_handshape_annotations//test_auto_move//signs_mov_separ_signers/Lana_15522.mov" TargetMode="External"/><Relationship Id="rId21794" Type="http://schemas.openxmlformats.org/officeDocument/2006/relationships/hyperlink" Target="http://secrets.rutgers.edu:8080/data/asl-ftp/asllvd/demos/verify_start_end_handshape_annotations//test_auto_move//signs_mov_separ_signers/Lana_15522.mov" TargetMode="External"/><Relationship Id="rId21795" Type="http://schemas.openxmlformats.org/officeDocument/2006/relationships/hyperlink" Target="http://csr.bu.edu/ftp/asl/asllvd/demos/verify_start_end_handshape_annotations//test_auto_move//signs_mov_separ_signers/Dana_15522.mov" TargetMode="External"/><Relationship Id="rId21796" Type="http://schemas.openxmlformats.org/officeDocument/2006/relationships/hyperlink" Target="http://secrets.rutgers.edu:8080/data/asl-ftp/asllvd/demos/verify_start_end_handshape_annotations//test_auto_move//signs_mov_separ_signers/Dana_15522.mov" TargetMode="External"/><Relationship Id="rId21797" Type="http://schemas.openxmlformats.org/officeDocument/2006/relationships/hyperlink" Target="http://csr.bu.edu/ftp/asl/asllvd/demos/verify_start_end_handshape_annotations//test_auto_move//signs_mov/15637.mov" TargetMode="External"/><Relationship Id="rId21798" Type="http://schemas.openxmlformats.org/officeDocument/2006/relationships/hyperlink" Target="http://csr.bu.edu/ftp/asl/asllvd/demos/verify_start_end_handshape_annotations//test_auto_move//signs_mov_separ_signers/Liz_15637.mov" TargetMode="External"/><Relationship Id="rId21799" Type="http://schemas.openxmlformats.org/officeDocument/2006/relationships/hyperlink" Target="http://secrets.rutgers.edu:8080/data/asl-ftp/asllvd/demos/verify_start_end_handshape_annotations//test_auto_move//signs_mov/15637.mov" TargetMode="External"/><Relationship Id="rId21800" Type="http://schemas.openxmlformats.org/officeDocument/2006/relationships/hyperlink" Target="http://secrets.rutgers.edu:8080/data/asl-ftp/asllvd/demos/verify_start_end_handshape_annotations//test_auto_move//signs_mov_separ_signers/Liz_15637.mov" TargetMode="External"/><Relationship Id="rId21801" Type="http://schemas.openxmlformats.org/officeDocument/2006/relationships/hyperlink" Target="http://csr.bu.edu/ftp/asl/asllvd/demos/verify_start_end_handshape_annotations//test_auto_move//signs_mov_separ_signers/Brady_15637.mov" TargetMode="External"/><Relationship Id="rId21802" Type="http://schemas.openxmlformats.org/officeDocument/2006/relationships/hyperlink" Target="http://secrets.rutgers.edu:8080/data/asl-ftp/asllvd/demos/verify_start_end_handshape_annotations//test_auto_move//signs_mov_separ_signers/Brady_15637.mov" TargetMode="External"/><Relationship Id="rId21803" Type="http://schemas.openxmlformats.org/officeDocument/2006/relationships/hyperlink" Target="http://csr.bu.edu/ftp/asl/asllvd/demos/verify_start_end_handshape_annotations//test_auto_move//signs_mov_separ_signers/Liz_15709.mov" TargetMode="External"/><Relationship Id="rId21804" Type="http://schemas.openxmlformats.org/officeDocument/2006/relationships/hyperlink" Target="http://secrets.rutgers.edu:8080/data/asl-ftp/asllvd/demos/verify_start_end_handshape_annotations//test_auto_move//signs_mov_separ_signers/Liz_15709.mov" TargetMode="External"/><Relationship Id="rId21805" Type="http://schemas.openxmlformats.org/officeDocument/2006/relationships/hyperlink" Target="http://csr.bu.edu/ftp/asl/asllvd/demos/verify_start_end_handshape_annotations//test_auto_move//signs_mov/15709.mov" TargetMode="External"/><Relationship Id="rId21806" Type="http://schemas.openxmlformats.org/officeDocument/2006/relationships/hyperlink" Target="http://csr.bu.edu/ftp/asl/asllvd/demos/verify_start_end_handshape_annotations//test_auto_move//signs_mov_separ_signers/Tyler_15709.mov" TargetMode="External"/><Relationship Id="rId21807" Type="http://schemas.openxmlformats.org/officeDocument/2006/relationships/hyperlink" Target="http://secrets.rutgers.edu:8080/data/asl-ftp/asllvd/demos/verify_start_end_handshape_annotations//test_auto_move//signs_mov/15709.mov" TargetMode="External"/><Relationship Id="rId21808" Type="http://schemas.openxmlformats.org/officeDocument/2006/relationships/hyperlink" Target="http://secrets.rutgers.edu:8080/data/asl-ftp/asllvd/demos/verify_start_end_handshape_annotations//test_auto_move//signs_mov_separ_signers/Tyler_15709.mov" TargetMode="External"/><Relationship Id="rId21809" Type="http://schemas.openxmlformats.org/officeDocument/2006/relationships/hyperlink" Target="http://csr.bu.edu/ftp/asl/asllvd/demos/verify_start_end_handshape_annotations//test_auto_move//signs_mov_separ_signers/Naomi_15709.mov" TargetMode="External"/><Relationship Id="rId21810" Type="http://schemas.openxmlformats.org/officeDocument/2006/relationships/hyperlink" Target="http://secrets.rutgers.edu:8080/data/asl-ftp/asllvd/demos/verify_start_end_handshape_annotations//test_auto_move//signs_mov_separ_signers/Naomi_15709.mov" TargetMode="External"/><Relationship Id="rId21811" Type="http://schemas.openxmlformats.org/officeDocument/2006/relationships/hyperlink" Target="http://csr.bu.edu/ftp/asl/asllvd/demos/verify_start_end_handshape_annotations//test_auto_move//signs_mov_separ_signers/Brady_15709.mov" TargetMode="External"/><Relationship Id="rId21812" Type="http://schemas.openxmlformats.org/officeDocument/2006/relationships/hyperlink" Target="http://secrets.rutgers.edu:8080/data/asl-ftp/asllvd/demos/verify_start_end_handshape_annotations//test_auto_move//signs_mov_separ_signers/Brady_15709.mov" TargetMode="External"/><Relationship Id="rId21813" Type="http://schemas.openxmlformats.org/officeDocument/2006/relationships/hyperlink" Target="http://csr.bu.edu/ftp/asl/asllvd/demos/verify_start_end_handshape_annotations//test_auto_move//signs_mov_separ_signers/Liz_4666.mov" TargetMode="External"/><Relationship Id="rId21814" Type="http://schemas.openxmlformats.org/officeDocument/2006/relationships/hyperlink" Target="http://secrets.rutgers.edu:8080/data/asl-ftp/asllvd/demos/verify_start_end_handshape_annotations//test_auto_move//signs_mov_separ_signers/Liz_4666.mov" TargetMode="External"/><Relationship Id="rId21815" Type="http://schemas.openxmlformats.org/officeDocument/2006/relationships/hyperlink" Target="http://csr.bu.edu/ftp/asl/asllvd/demos/verify_start_end_handshape_annotations//test_auto_move//signs_mov_separ_signers/Liz_15491.mov" TargetMode="External"/><Relationship Id="rId21816" Type="http://schemas.openxmlformats.org/officeDocument/2006/relationships/hyperlink" Target="http://secrets.rutgers.edu:8080/data/asl-ftp/asllvd/demos/verify_start_end_handshape_annotations//test_auto_move//signs_mov_separ_signers/Liz_15491.mov" TargetMode="External"/><Relationship Id="rId21817" Type="http://schemas.openxmlformats.org/officeDocument/2006/relationships/hyperlink" Target="http://csr.bu.edu/ftp/asl/asllvd/demos/verify_start_end_handshape_annotations//test_auto_move//signs_mov_separ_signers/Tyler_4666.mov" TargetMode="External"/><Relationship Id="rId21818" Type="http://schemas.openxmlformats.org/officeDocument/2006/relationships/hyperlink" Target="http://secrets.rutgers.edu:8080/data/asl-ftp/asllvd/demos/verify_start_end_handshape_annotations//test_auto_move//signs_mov_separ_signers/Tyler_4666.mov" TargetMode="External"/><Relationship Id="rId21819" Type="http://schemas.openxmlformats.org/officeDocument/2006/relationships/hyperlink" Target="http://csr.bu.edu/ftp/asl/asllvd/demos/verify_start_end_handshape_annotations//test_auto_move//signs_mov_separ_signers/Tyler_15491.mov" TargetMode="External"/><Relationship Id="rId21820" Type="http://schemas.openxmlformats.org/officeDocument/2006/relationships/hyperlink" Target="http://secrets.rutgers.edu:8080/data/asl-ftp/asllvd/demos/verify_start_end_handshape_annotations//test_auto_move//signs_mov_separ_signers/Tyler_15491.mov" TargetMode="External"/><Relationship Id="rId21821" Type="http://schemas.openxmlformats.org/officeDocument/2006/relationships/hyperlink" Target="http://csr.bu.edu/ftp/asl/asllvd/demos/verify_start_end_handshape_annotations//test_auto_move//signs_mov_separ_signers/Naomi_4666.mov" TargetMode="External"/><Relationship Id="rId21822" Type="http://schemas.openxmlformats.org/officeDocument/2006/relationships/hyperlink" Target="http://secrets.rutgers.edu:8080/data/asl-ftp/asllvd/demos/verify_start_end_handshape_annotations//test_auto_move//signs_mov_separ_signers/Naomi_4666.mov" TargetMode="External"/><Relationship Id="rId21823" Type="http://schemas.openxmlformats.org/officeDocument/2006/relationships/hyperlink" Target="http://csr.bu.edu/ftp/asl/asllvd/demos/verify_start_end_handshape_annotations//test_auto_move//signs_mov/4666_15491_15500_merged.mov" TargetMode="External"/><Relationship Id="rId21824" Type="http://schemas.openxmlformats.org/officeDocument/2006/relationships/hyperlink" Target="http://csr.bu.edu/ftp/asl/asllvd/demos/verify_start_end_handshape_annotations//test_auto_move//signs_mov_separ_signers/Naomi_15491.mov" TargetMode="External"/><Relationship Id="rId21825" Type="http://schemas.openxmlformats.org/officeDocument/2006/relationships/hyperlink" Target="http://secrets.rutgers.edu:8080/data/asl-ftp/asllvd/demos/verify_start_end_handshape_annotations//test_auto_move//signs_mov/4666_15491_15500_merged.mov" TargetMode="External"/><Relationship Id="rId21826" Type="http://schemas.openxmlformats.org/officeDocument/2006/relationships/hyperlink" Target="http://secrets.rutgers.edu:8080/data/asl-ftp/asllvd/demos/verify_start_end_handshape_annotations//test_auto_move//signs_mov_separ_signers/Naomi_15491.mov" TargetMode="External"/><Relationship Id="rId21827" Type="http://schemas.openxmlformats.org/officeDocument/2006/relationships/hyperlink" Target="http://csr.bu.edu/ftp/asl/asllvd/demos/verify_start_end_handshape_annotations//test_auto_move//signs_mov_separ_signers/Brady_4666.mov" TargetMode="External"/><Relationship Id="rId21828" Type="http://schemas.openxmlformats.org/officeDocument/2006/relationships/hyperlink" Target="http://secrets.rutgers.edu:8080/data/asl-ftp/asllvd/demos/verify_start_end_handshape_annotations//test_auto_move//signs_mov_separ_signers/Brady_4666.mov" TargetMode="External"/><Relationship Id="rId21829" Type="http://schemas.openxmlformats.org/officeDocument/2006/relationships/hyperlink" Target="http://csr.bu.edu/ftp/asl/asllvd/demos/verify_start_end_handshape_annotations//test_auto_move//signs_mov_separ_signers/Brady_15491.mov" TargetMode="External"/><Relationship Id="rId21830" Type="http://schemas.openxmlformats.org/officeDocument/2006/relationships/hyperlink" Target="http://secrets.rutgers.edu:8080/data/asl-ftp/asllvd/demos/verify_start_end_handshape_annotations//test_auto_move//signs_mov_separ_signers/Brady_15491.mov" TargetMode="External"/><Relationship Id="rId21831" Type="http://schemas.openxmlformats.org/officeDocument/2006/relationships/hyperlink" Target="http://csr.bu.edu/ftp/asl/asllvd/demos/verify_start_end_handshape_annotations//test_auto_move//signs_mov_separ_signers/Brady_15500.mov" TargetMode="External"/><Relationship Id="rId21832" Type="http://schemas.openxmlformats.org/officeDocument/2006/relationships/hyperlink" Target="http://secrets.rutgers.edu:8080/data/asl-ftp/asllvd/demos/verify_start_end_handshape_annotations//test_auto_move//signs_mov_separ_signers/Brady_15500.mov" TargetMode="External"/><Relationship Id="rId21833" Type="http://schemas.openxmlformats.org/officeDocument/2006/relationships/hyperlink" Target="http://csr.bu.edu/ftp/asl/asllvd/demos/verify_start_end_handshape_annotations//test_auto_move//signs_mov_separ_signers/Lana_4666.mov" TargetMode="External"/><Relationship Id="rId21834" Type="http://schemas.openxmlformats.org/officeDocument/2006/relationships/hyperlink" Target="http://secrets.rutgers.edu:8080/data/asl-ftp/asllvd/demos/verify_start_end_handshape_annotations//test_auto_move//signs_mov_separ_signers/Lana_4666.mov" TargetMode="External"/><Relationship Id="rId21835" Type="http://schemas.openxmlformats.org/officeDocument/2006/relationships/hyperlink" Target="http://csr.bu.edu/ftp/asl/asllvd/demos/verify_start_end_handshape_annotations//test_auto_move//signs_mov_separ_signers/Dana_4666.mov" TargetMode="External"/><Relationship Id="rId21836" Type="http://schemas.openxmlformats.org/officeDocument/2006/relationships/hyperlink" Target="http://secrets.rutgers.edu:8080/data/asl-ftp/asllvd/demos/verify_start_end_handshape_annotations//test_auto_move//signs_mov_separ_signers/Dana_4666.mov" TargetMode="External"/><Relationship Id="rId21837" Type="http://schemas.openxmlformats.org/officeDocument/2006/relationships/hyperlink" Target="http://csr.bu.edu/ftp/asl/asllvd/demos/verify_start_end_handshape_annotations//test_auto_move//signs_mov/15523.mov" TargetMode="External"/><Relationship Id="rId21838" Type="http://schemas.openxmlformats.org/officeDocument/2006/relationships/hyperlink" Target="http://csr.bu.edu/ftp/asl/asllvd/demos/verify_start_end_handshape_annotations//test_auto_move//signs_mov_separ_signers/Liz_15523.mov" TargetMode="External"/><Relationship Id="rId21839" Type="http://schemas.openxmlformats.org/officeDocument/2006/relationships/hyperlink" Target="http://secrets.rutgers.edu:8080/data/asl-ftp/asllvd/demos/verify_start_end_handshape_annotations//test_auto_move//signs_mov/15523.mov" TargetMode="External"/><Relationship Id="rId21840" Type="http://schemas.openxmlformats.org/officeDocument/2006/relationships/hyperlink" Target="http://secrets.rutgers.edu:8080/data/asl-ftp/asllvd/demos/verify_start_end_handshape_annotations//test_auto_move//signs_mov_separ_signers/Liz_15523.mov" TargetMode="External"/><Relationship Id="rId21841" Type="http://schemas.openxmlformats.org/officeDocument/2006/relationships/hyperlink" Target="http://csr.bu.edu/ftp/asl/asllvd/demos/verify_start_end_handshape_annotations//test_auto_move//signs_mov_separ_signers/Liz_15638.mov" TargetMode="External"/><Relationship Id="rId21842" Type="http://schemas.openxmlformats.org/officeDocument/2006/relationships/hyperlink" Target="http://secrets.rutgers.edu:8080/data/asl-ftp/asllvd/demos/verify_start_end_handshape_annotations//test_auto_move//signs_mov_separ_signers/Liz_15638.mov" TargetMode="External"/><Relationship Id="rId21843" Type="http://schemas.openxmlformats.org/officeDocument/2006/relationships/hyperlink" Target="http://csr.bu.edu/ftp/asl/asllvd/demos/verify_start_end_handshape_annotations//test_auto_move//signs_mov/15638.mov" TargetMode="External"/><Relationship Id="rId21844" Type="http://schemas.openxmlformats.org/officeDocument/2006/relationships/hyperlink" Target="http://csr.bu.edu/ftp/asl/asllvd/demos/verify_start_end_handshape_annotations//test_auto_move//signs_mov_separ_signers/Brady_15638.mov" TargetMode="External"/><Relationship Id="rId21845" Type="http://schemas.openxmlformats.org/officeDocument/2006/relationships/hyperlink" Target="http://secrets.rutgers.edu:8080/data/asl-ftp/asllvd/demos/verify_start_end_handshape_annotations//test_auto_move//signs_mov/15638.mov" TargetMode="External"/><Relationship Id="rId21846" Type="http://schemas.openxmlformats.org/officeDocument/2006/relationships/hyperlink" Target="http://secrets.rutgers.edu:8080/data/asl-ftp/asllvd/demos/verify_start_end_handshape_annotations//test_auto_move//signs_mov_separ_signers/Brady_15638.mov" TargetMode="External"/><Relationship Id="rId21847" Type="http://schemas.openxmlformats.org/officeDocument/2006/relationships/hyperlink" Target="http://csr.bu.edu/ftp/asl/asllvd/demos/verify_start_end_handshape_annotations//test_auto_move//signs_mov_separ_signers/Lana_15638.mov" TargetMode="External"/><Relationship Id="rId21848" Type="http://schemas.openxmlformats.org/officeDocument/2006/relationships/hyperlink" Target="http://secrets.rutgers.edu:8080/data/asl-ftp/asllvd/demos/verify_start_end_handshape_annotations//test_auto_move//signs_mov_separ_signers/Lana_15638.mov" TargetMode="External"/><Relationship Id="rId21849" Type="http://schemas.openxmlformats.org/officeDocument/2006/relationships/hyperlink" Target="http://csr.bu.edu/ftp/asl/asllvd/demos/verify_start_end_handshape_annotations//test_auto_move//signs_mov_separ_signers/Dana_15638.mov" TargetMode="External"/><Relationship Id="rId21850" Type="http://schemas.openxmlformats.org/officeDocument/2006/relationships/hyperlink" Target="http://secrets.rutgers.edu:8080/data/asl-ftp/asllvd/demos/verify_start_end_handshape_annotations//test_auto_move//signs_mov_separ_signers/Dana_15638.mov" TargetMode="External"/><Relationship Id="rId21851" Type="http://schemas.openxmlformats.org/officeDocument/2006/relationships/hyperlink" Target="http://csr.bu.edu/ftp/asl/asllvd/demos/verify_start_end_handshape_annotations//test_auto_move//signs_mov_separ_signers/Liz_4667.mov" TargetMode="External"/><Relationship Id="rId21852" Type="http://schemas.openxmlformats.org/officeDocument/2006/relationships/hyperlink" Target="http://secrets.rutgers.edu:8080/data/asl-ftp/asllvd/demos/verify_start_end_handshape_annotations//test_auto_move//signs_mov_separ_signers/Liz_4667.mov" TargetMode="External"/><Relationship Id="rId21853" Type="http://schemas.openxmlformats.org/officeDocument/2006/relationships/hyperlink" Target="http://csr.bu.edu/ftp/asl/asllvd/demos/verify_start_end_handshape_annotations//test_auto_move//signs_mov_separ_signers/Naomi_4667.mov" TargetMode="External"/><Relationship Id="rId21854" Type="http://schemas.openxmlformats.org/officeDocument/2006/relationships/hyperlink" Target="http://secrets.rutgers.edu:8080/data/asl-ftp/asllvd/demos/verify_start_end_handshape_annotations//test_auto_move//signs_mov_separ_signers/Naomi_4667.mov" TargetMode="External"/><Relationship Id="rId21855" Type="http://schemas.openxmlformats.org/officeDocument/2006/relationships/hyperlink" Target="http://csr.bu.edu/ftp/asl/asllvd/demos/verify_start_end_handshape_annotations//test_auto_move//signs_mov/4667_15499_merged.mov" TargetMode="External"/><Relationship Id="rId21856" Type="http://schemas.openxmlformats.org/officeDocument/2006/relationships/hyperlink" Target="http://csr.bu.edu/ftp/asl/asllvd/demos/verify_start_end_handshape_annotations//test_auto_move//signs_mov_separ_signers/Naomi_15499.mov" TargetMode="External"/><Relationship Id="rId21857" Type="http://schemas.openxmlformats.org/officeDocument/2006/relationships/hyperlink" Target="http://secrets.rutgers.edu:8080/data/asl-ftp/asllvd/demos/verify_start_end_handshape_annotations//test_auto_move//signs_mov/4667_15499_merged.mov" TargetMode="External"/><Relationship Id="rId21858" Type="http://schemas.openxmlformats.org/officeDocument/2006/relationships/hyperlink" Target="http://secrets.rutgers.edu:8080/data/asl-ftp/asllvd/demos/verify_start_end_handshape_annotations//test_auto_move//signs_mov_separ_signers/Naomi_15499.mov" TargetMode="External"/><Relationship Id="rId21859" Type="http://schemas.openxmlformats.org/officeDocument/2006/relationships/hyperlink" Target="http://csr.bu.edu/ftp/asl/asllvd/demos/verify_start_end_handshape_annotations//test_auto_move//signs_mov_separ_signers/Brady_4667.mov" TargetMode="External"/><Relationship Id="rId21860" Type="http://schemas.openxmlformats.org/officeDocument/2006/relationships/hyperlink" Target="http://secrets.rutgers.edu:8080/data/asl-ftp/asllvd/demos/verify_start_end_handshape_annotations//test_auto_move//signs_mov_separ_signers/Brady_4667.mov" TargetMode="External"/><Relationship Id="rId21861" Type="http://schemas.openxmlformats.org/officeDocument/2006/relationships/hyperlink" Target="http://csr.bu.edu/ftp/asl/asllvd/demos/verify_start_end_handshape_annotations//test_auto_move//signs_mov_separ_signers/Brady_15499.mov" TargetMode="External"/><Relationship Id="rId21862" Type="http://schemas.openxmlformats.org/officeDocument/2006/relationships/hyperlink" Target="http://secrets.rutgers.edu:8080/data/asl-ftp/asllvd/demos/verify_start_end_handshape_annotations//test_auto_move//signs_mov_separ_signers/Brady_15499.mov" TargetMode="External"/><Relationship Id="rId21863" Type="http://schemas.openxmlformats.org/officeDocument/2006/relationships/hyperlink" Target="http://csr.bu.edu/ftp/asl/asllvd/demos/verify_start_end_handshape_annotations//test_auto_move//signs_mov_separ_signers/Lana_4667.mov" TargetMode="External"/><Relationship Id="rId21864" Type="http://schemas.openxmlformats.org/officeDocument/2006/relationships/hyperlink" Target="http://secrets.rutgers.edu:8080/data/asl-ftp/asllvd/demos/verify_start_end_handshape_annotations//test_auto_move//signs_mov_separ_signers/Lana_4667.mov" TargetMode="External"/><Relationship Id="rId21865" Type="http://schemas.openxmlformats.org/officeDocument/2006/relationships/hyperlink" Target="http://csr.bu.edu/ftp/asl/asllvd/demos/verify_start_end_handshape_annotations//test_auto_move//signs_mov_separ_signers/Liz_16390.mov" TargetMode="External"/><Relationship Id="rId21866" Type="http://schemas.openxmlformats.org/officeDocument/2006/relationships/hyperlink" Target="http://secrets.rutgers.edu:8080/data/asl-ftp/asllvd/demos/verify_start_end_handshape_annotations//test_auto_move//signs_mov_separ_signers/Liz_16390.mov" TargetMode="External"/><Relationship Id="rId21867" Type="http://schemas.openxmlformats.org/officeDocument/2006/relationships/hyperlink" Target="http://csr.bu.edu/ftp/asl/asllvd/demos/verify_start_end_handshape_annotations//test_auto_move//signs_mov/16390_16552_merged.mov" TargetMode="External"/><Relationship Id="rId21868" Type="http://schemas.openxmlformats.org/officeDocument/2006/relationships/hyperlink" Target="http://csr.bu.edu/ftp/asl/asllvd/demos/verify_start_end_handshape_annotations//test_auto_move//signs_mov_separ_signers/Tyler_16390.mov" TargetMode="External"/><Relationship Id="rId21869" Type="http://schemas.openxmlformats.org/officeDocument/2006/relationships/hyperlink" Target="http://secrets.rutgers.edu:8080/data/asl-ftp/asllvd/demos/verify_start_end_handshape_annotations//test_auto_move//signs_mov/16390_16552_merged.mov" TargetMode="External"/><Relationship Id="rId21870" Type="http://schemas.openxmlformats.org/officeDocument/2006/relationships/hyperlink" Target="http://secrets.rutgers.edu:8080/data/asl-ftp/asllvd/demos/verify_start_end_handshape_annotations//test_auto_move//signs_mov_separ_signers/Tyler_16390.mov" TargetMode="External"/><Relationship Id="rId21871" Type="http://schemas.openxmlformats.org/officeDocument/2006/relationships/hyperlink" Target="http://csr.bu.edu/ftp/asl/asllvd/demos/verify_start_end_handshape_annotations//test_auto_move//signs_mov_separ_signers/Tyler_16552.mov" TargetMode="External"/><Relationship Id="rId21872" Type="http://schemas.openxmlformats.org/officeDocument/2006/relationships/hyperlink" Target="http://secrets.rutgers.edu:8080/data/asl-ftp/asllvd/demos/verify_start_end_handshape_annotations//test_auto_move//signs_mov_separ_signers/Tyler_16552.mov" TargetMode="External"/><Relationship Id="rId21873" Type="http://schemas.openxmlformats.org/officeDocument/2006/relationships/hyperlink" Target="http://csr.bu.edu/ftp/asl/asllvd/demos/verify_start_end_handshape_annotations//test_auto_move//signs_mov/16553.mov" TargetMode="External"/><Relationship Id="rId21874" Type="http://schemas.openxmlformats.org/officeDocument/2006/relationships/hyperlink" Target="http://csr.bu.edu/ftp/asl/asllvd/demos/verify_start_end_handshape_annotations//test_auto_move//signs_mov_separ_signers/Dana_16553.mov" TargetMode="External"/><Relationship Id="rId21875" Type="http://schemas.openxmlformats.org/officeDocument/2006/relationships/hyperlink" Target="http://secrets.rutgers.edu:8080/data/asl-ftp/asllvd/demos/verify_start_end_handshape_annotations//test_auto_move//signs_mov/16553.mov" TargetMode="External"/><Relationship Id="rId21876" Type="http://schemas.openxmlformats.org/officeDocument/2006/relationships/hyperlink" Target="http://secrets.rutgers.edu:8080/data/asl-ftp/asllvd/demos/verify_start_end_handshape_annotations//test_auto_move//signs_mov_separ_signers/Dana_16553.mov" TargetMode="External"/><Relationship Id="rId21877" Type="http://schemas.openxmlformats.org/officeDocument/2006/relationships/hyperlink" Target="http://csr.bu.edu/ftp/asl/asllvd/demos/verify_start_end_handshape_annotations//test_auto_move//signs_mov_separ_signers/Liz_4677.mov" TargetMode="External"/><Relationship Id="rId21878" Type="http://schemas.openxmlformats.org/officeDocument/2006/relationships/hyperlink" Target="http://secrets.rutgers.edu:8080/data/asl-ftp/asllvd/demos/verify_start_end_handshape_annotations//test_auto_move//signs_mov_separ_signers/Liz_4677.mov" TargetMode="External"/><Relationship Id="rId21879" Type="http://schemas.openxmlformats.org/officeDocument/2006/relationships/hyperlink" Target="http://csr.bu.edu/ftp/asl/asllvd/demos/verify_start_end_handshape_annotations//test_auto_move//signs_mov/4677.mov" TargetMode="External"/><Relationship Id="rId21880" Type="http://schemas.openxmlformats.org/officeDocument/2006/relationships/hyperlink" Target="http://csr.bu.edu/ftp/asl/asllvd/demos/verify_start_end_handshape_annotations//test_auto_move//signs_mov_separ_signers/Naomi_4677.mov" TargetMode="External"/><Relationship Id="rId21881" Type="http://schemas.openxmlformats.org/officeDocument/2006/relationships/hyperlink" Target="http://secrets.rutgers.edu:8080/data/asl-ftp/asllvd/demos/verify_start_end_handshape_annotations//test_auto_move//signs_mov/4677.mov" TargetMode="External"/><Relationship Id="rId21882" Type="http://schemas.openxmlformats.org/officeDocument/2006/relationships/hyperlink" Target="http://secrets.rutgers.edu:8080/data/asl-ftp/asllvd/demos/verify_start_end_handshape_annotations//test_auto_move//signs_mov_separ_signers/Naomi_4677.mov" TargetMode="External"/><Relationship Id="rId21883" Type="http://schemas.openxmlformats.org/officeDocument/2006/relationships/hyperlink" Target="http://csr.bu.edu/ftp/asl/asllvd/demos/verify_start_end_handshape_annotations//test_auto_move//signs_mov_separ_signers/Brady_4677.mov" TargetMode="External"/><Relationship Id="rId21884" Type="http://schemas.openxmlformats.org/officeDocument/2006/relationships/hyperlink" Target="http://secrets.rutgers.edu:8080/data/asl-ftp/asllvd/demos/verify_start_end_handshape_annotations//test_auto_move//signs_mov_separ_signers/Brady_4677.mov" TargetMode="External"/><Relationship Id="rId21885" Type="http://schemas.openxmlformats.org/officeDocument/2006/relationships/hyperlink" Target="http://csr.bu.edu/ftp/asl/asllvd/demos/verify_start_end_handshape_annotations//test_auto_move//signs_mov/15533.mov" TargetMode="External"/><Relationship Id="rId21886" Type="http://schemas.openxmlformats.org/officeDocument/2006/relationships/hyperlink" Target="http://csr.bu.edu/ftp/asl/asllvd/demos/verify_start_end_handshape_annotations//test_auto_move//signs_mov_separ_signers/Liz_15533.mov" TargetMode="External"/><Relationship Id="rId21887" Type="http://schemas.openxmlformats.org/officeDocument/2006/relationships/hyperlink" Target="http://secrets.rutgers.edu:8080/data/asl-ftp/asllvd/demos/verify_start_end_handshape_annotations//test_auto_move//signs_mov/15533.mov" TargetMode="External"/><Relationship Id="rId21888" Type="http://schemas.openxmlformats.org/officeDocument/2006/relationships/hyperlink" Target="http://secrets.rutgers.edu:8080/data/asl-ftp/asllvd/demos/verify_start_end_handshape_annotations//test_auto_move//signs_mov_separ_signers/Liz_15533.mov" TargetMode="External"/><Relationship Id="rId21889" Type="http://schemas.openxmlformats.org/officeDocument/2006/relationships/hyperlink" Target="http://csr.bu.edu/ftp/asl/asllvd/demos/verify_start_end_handshape_annotations//test_auto_move//signs_mov_separ_signers/Brady_15533.mov" TargetMode="External"/><Relationship Id="rId21890" Type="http://schemas.openxmlformats.org/officeDocument/2006/relationships/hyperlink" Target="http://secrets.rutgers.edu:8080/data/asl-ftp/asllvd/demos/verify_start_end_handshape_annotations//test_auto_move//signs_mov_separ_signers/Brady_15533.mov" TargetMode="External"/><Relationship Id="rId21891" Type="http://schemas.openxmlformats.org/officeDocument/2006/relationships/hyperlink" Target="http://csr.bu.edu/ftp/asl/asllvd/demos/verify_start_end_handshape_annotations//test_auto_move//signs_mov/15639.mov" TargetMode="External"/><Relationship Id="rId21892" Type="http://schemas.openxmlformats.org/officeDocument/2006/relationships/hyperlink" Target="http://csr.bu.edu/ftp/asl/asllvd/demos/verify_start_end_handshape_annotations//test_auto_move//signs_mov_separ_signers/Naomi_15639.mov" TargetMode="External"/><Relationship Id="rId21893" Type="http://schemas.openxmlformats.org/officeDocument/2006/relationships/hyperlink" Target="http://secrets.rutgers.edu:8080/data/asl-ftp/asllvd/demos/verify_start_end_handshape_annotations//test_auto_move//signs_mov/15639.mov" TargetMode="External"/><Relationship Id="rId21894" Type="http://schemas.openxmlformats.org/officeDocument/2006/relationships/hyperlink" Target="http://secrets.rutgers.edu:8080/data/asl-ftp/asllvd/demos/verify_start_end_handshape_annotations//test_auto_move//signs_mov_separ_signers/Naomi_15639.mov" TargetMode="External"/><Relationship Id="rId21895" Type="http://schemas.openxmlformats.org/officeDocument/2006/relationships/hyperlink" Target="http://csr.bu.edu/ftp/asl/asllvd/demos/verify_start_end_handshape_annotations//test_auto_move//signs_mov/15640.mov" TargetMode="External"/><Relationship Id="rId21896" Type="http://schemas.openxmlformats.org/officeDocument/2006/relationships/hyperlink" Target="http://csr.bu.edu/ftp/asl/asllvd/demos/verify_start_end_handshape_annotations//test_auto_move//signs_mov_separ_signers/Tyler_15640.mov" TargetMode="External"/><Relationship Id="rId21897" Type="http://schemas.openxmlformats.org/officeDocument/2006/relationships/hyperlink" Target="http://secrets.rutgers.edu:8080/data/asl-ftp/asllvd/demos/verify_start_end_handshape_annotations//test_auto_move//signs_mov/15640.mov" TargetMode="External"/><Relationship Id="rId21898" Type="http://schemas.openxmlformats.org/officeDocument/2006/relationships/hyperlink" Target="http://secrets.rutgers.edu:8080/data/asl-ftp/asllvd/demos/verify_start_end_handshape_annotations//test_auto_move//signs_mov_separ_signers/Tyler_15640.mov" TargetMode="External"/><Relationship Id="rId21899" Type="http://schemas.openxmlformats.org/officeDocument/2006/relationships/hyperlink" Target="http://csr.bu.edu/ftp/asl/asllvd/demos/verify_start_end_handshape_annotations//test_auto_move//signs_mov_separ_signers/Liz_15710.mov" TargetMode="External"/><Relationship Id="rId21900" Type="http://schemas.openxmlformats.org/officeDocument/2006/relationships/hyperlink" Target="http://secrets.rutgers.edu:8080/data/asl-ftp/asllvd/demos/verify_start_end_handshape_annotations//test_auto_move//signs_mov_separ_signers/Liz_15710.mov" TargetMode="External"/><Relationship Id="rId21901" Type="http://schemas.openxmlformats.org/officeDocument/2006/relationships/hyperlink" Target="http://csr.bu.edu/ftp/asl/asllvd/demos/verify_start_end_handshape_annotations//test_auto_move//signs_mov_separ_signers/Liz_15711.mov" TargetMode="External"/><Relationship Id="rId21902" Type="http://schemas.openxmlformats.org/officeDocument/2006/relationships/hyperlink" Target="http://secrets.rutgers.edu:8080/data/asl-ftp/asllvd/demos/verify_start_end_handshape_annotations//test_auto_move//signs_mov_separ_signers/Liz_15711.mov" TargetMode="External"/><Relationship Id="rId21903" Type="http://schemas.openxmlformats.org/officeDocument/2006/relationships/hyperlink" Target="http://csr.bu.edu/ftp/asl/asllvd/demos/verify_start_end_handshape_annotations//test_auto_move//signs_mov/15710_15711_merged.mov" TargetMode="External"/><Relationship Id="rId21904" Type="http://schemas.openxmlformats.org/officeDocument/2006/relationships/hyperlink" Target="http://csr.bu.edu/ftp/asl/asllvd/demos/verify_start_end_handshape_annotations//test_auto_move//signs_mov_separ_signers/Tyler_15710.mov" TargetMode="External"/><Relationship Id="rId21905" Type="http://schemas.openxmlformats.org/officeDocument/2006/relationships/hyperlink" Target="http://secrets.rutgers.edu:8080/data/asl-ftp/asllvd/demos/verify_start_end_handshape_annotations//test_auto_move//signs_mov/15710_15711_merged.mov" TargetMode="External"/><Relationship Id="rId21906" Type="http://schemas.openxmlformats.org/officeDocument/2006/relationships/hyperlink" Target="http://secrets.rutgers.edu:8080/data/asl-ftp/asllvd/demos/verify_start_end_handshape_annotations//test_auto_move//signs_mov_separ_signers/Tyler_15710.mov" TargetMode="External"/><Relationship Id="rId21907" Type="http://schemas.openxmlformats.org/officeDocument/2006/relationships/hyperlink" Target="http://csr.bu.edu/ftp/asl/asllvd/demos/verify_start_end_handshape_annotations//test_auto_move//signs_mov_separ_signers/Naomi_15710.mov" TargetMode="External"/><Relationship Id="rId21908" Type="http://schemas.openxmlformats.org/officeDocument/2006/relationships/hyperlink" Target="http://secrets.rutgers.edu:8080/data/asl-ftp/asllvd/demos/verify_start_end_handshape_annotations//test_auto_move//signs_mov_separ_signers/Naomi_15710.mov" TargetMode="External"/><Relationship Id="rId21909" Type="http://schemas.openxmlformats.org/officeDocument/2006/relationships/hyperlink" Target="http://csr.bu.edu/ftp/asl/asllvd/demos/verify_start_end_handshape_annotations//test_auto_move//signs_mov_separ_signers/Naomi_15711.mov" TargetMode="External"/><Relationship Id="rId21910" Type="http://schemas.openxmlformats.org/officeDocument/2006/relationships/hyperlink" Target="http://secrets.rutgers.edu:8080/data/asl-ftp/asllvd/demos/verify_start_end_handshape_annotations//test_auto_move//signs_mov_separ_signers/Naomi_15711.mov" TargetMode="External"/><Relationship Id="rId21911" Type="http://schemas.openxmlformats.org/officeDocument/2006/relationships/hyperlink" Target="http://csr.bu.edu/ftp/asl/asllvd/demos/verify_start_end_handshape_annotations//test_auto_move//signs_mov_separ_signers/Brady_15710.mov" TargetMode="External"/><Relationship Id="rId21912" Type="http://schemas.openxmlformats.org/officeDocument/2006/relationships/hyperlink" Target="http://secrets.rutgers.edu:8080/data/asl-ftp/asllvd/demos/verify_start_end_handshape_annotations//test_auto_move//signs_mov_separ_signers/Brady_15710.mov" TargetMode="External"/><Relationship Id="rId21913" Type="http://schemas.openxmlformats.org/officeDocument/2006/relationships/hyperlink" Target="http://csr.bu.edu/ftp/asl/asllvd/demos/verify_start_end_handshape_annotations//test_auto_move//signs_mov/15712.mov" TargetMode="External"/><Relationship Id="rId21914" Type="http://schemas.openxmlformats.org/officeDocument/2006/relationships/hyperlink" Target="http://csr.bu.edu/ftp/asl/asllvd/demos/verify_start_end_handshape_annotations//test_auto_move//signs_mov_separ_signers/Lana_15712.mov" TargetMode="External"/><Relationship Id="rId21915" Type="http://schemas.openxmlformats.org/officeDocument/2006/relationships/hyperlink" Target="http://secrets.rutgers.edu:8080/data/asl-ftp/asllvd/demos/verify_start_end_handshape_annotations//test_auto_move//signs_mov/15712.mov" TargetMode="External"/><Relationship Id="rId21916" Type="http://schemas.openxmlformats.org/officeDocument/2006/relationships/hyperlink" Target="http://secrets.rutgers.edu:8080/data/asl-ftp/asllvd/demos/verify_start_end_handshape_annotations//test_auto_move//signs_mov_separ_signers/Lana_15712.mov" TargetMode="External"/><Relationship Id="rId21917" Type="http://schemas.openxmlformats.org/officeDocument/2006/relationships/hyperlink" Target="http://csr.bu.edu/ftp/asl/asllvd/demos/verify_start_end_handshape_annotations//test_auto_move//signs_mov/15801.mov" TargetMode="External"/><Relationship Id="rId21918" Type="http://schemas.openxmlformats.org/officeDocument/2006/relationships/hyperlink" Target="http://csr.bu.edu/ftp/asl/asllvd/demos/verify_start_end_handshape_annotations//test_auto_move//signs_mov_separ_signers/Tyler_15801.mov" TargetMode="External"/><Relationship Id="rId21919" Type="http://schemas.openxmlformats.org/officeDocument/2006/relationships/hyperlink" Target="http://secrets.rutgers.edu:8080/data/asl-ftp/asllvd/demos/verify_start_end_handshape_annotations//test_auto_move//signs_mov/15801.mov" TargetMode="External"/><Relationship Id="rId21920" Type="http://schemas.openxmlformats.org/officeDocument/2006/relationships/hyperlink" Target="http://secrets.rutgers.edu:8080/data/asl-ftp/asllvd/demos/verify_start_end_handshape_annotations//test_auto_move//signs_mov_separ_signers/Tyler_15801.mov" TargetMode="External"/><Relationship Id="rId21921" Type="http://schemas.openxmlformats.org/officeDocument/2006/relationships/hyperlink" Target="http://csr.bu.edu/ftp/asl/asllvd/demos/verify_start_end_handshape_annotations//test_auto_move//signs_mov_separ_signers/Dana_15801.mov" TargetMode="External"/><Relationship Id="rId21922" Type="http://schemas.openxmlformats.org/officeDocument/2006/relationships/hyperlink" Target="http://secrets.rutgers.edu:8080/data/asl-ftp/asllvd/demos/verify_start_end_handshape_annotations//test_auto_move//signs_mov_separ_signers/Dana_15801.mov" TargetMode="External"/><Relationship Id="rId21923" Type="http://schemas.openxmlformats.org/officeDocument/2006/relationships/hyperlink" Target="http://csr.bu.edu/ftp/asl/asllvd/demos/verify_start_end_handshape_annotations//test_auto_move//signs_mov/15899.mov" TargetMode="External"/><Relationship Id="rId21924" Type="http://schemas.openxmlformats.org/officeDocument/2006/relationships/hyperlink" Target="http://csr.bu.edu/ftp/asl/asllvd/demos/verify_start_end_handshape_annotations//test_auto_move//signs_mov_separ_signers/Liz_15899.mov" TargetMode="External"/><Relationship Id="rId21925" Type="http://schemas.openxmlformats.org/officeDocument/2006/relationships/hyperlink" Target="http://secrets.rutgers.edu:8080/data/asl-ftp/asllvd/demos/verify_start_end_handshape_annotations//test_auto_move//signs_mov/15899.mov" TargetMode="External"/><Relationship Id="rId21926" Type="http://schemas.openxmlformats.org/officeDocument/2006/relationships/hyperlink" Target="http://secrets.rutgers.edu:8080/data/asl-ftp/asllvd/demos/verify_start_end_handshape_annotations//test_auto_move//signs_mov_separ_signers/Liz_15899.mov" TargetMode="External"/><Relationship Id="rId21927" Type="http://schemas.openxmlformats.org/officeDocument/2006/relationships/hyperlink" Target="http://csr.bu.edu/ftp/asl/asllvd/demos/verify_start_end_handshape_annotations//test_auto_move//signs_mov_separ_signers/Brady_15899.mov" TargetMode="External"/><Relationship Id="rId21928" Type="http://schemas.openxmlformats.org/officeDocument/2006/relationships/hyperlink" Target="http://secrets.rutgers.edu:8080/data/asl-ftp/asllvd/demos/verify_start_end_handshape_annotations//test_auto_move//signs_mov_separ_signers/Brady_15899.mov" TargetMode="External"/><Relationship Id="rId21929" Type="http://schemas.openxmlformats.org/officeDocument/2006/relationships/hyperlink" Target="http://csr.bu.edu/ftp/asl/asllvd/demos/verify_start_end_handshape_annotations//test_auto_move//signs_mov_separ_signers/Liz_4684.mov" TargetMode="External"/><Relationship Id="rId21930" Type="http://schemas.openxmlformats.org/officeDocument/2006/relationships/hyperlink" Target="http://secrets.rutgers.edu:8080/data/asl-ftp/asllvd/demos/verify_start_end_handshape_annotations//test_auto_move//signs_mov_separ_signers/Liz_4684.mov" TargetMode="External"/><Relationship Id="rId21931" Type="http://schemas.openxmlformats.org/officeDocument/2006/relationships/hyperlink" Target="http://csr.bu.edu/ftp/asl/asllvd/demos/verify_start_end_handshape_annotations//test_auto_move//signs_mov_separ_signers/Liz_15652.mov" TargetMode="External"/><Relationship Id="rId21932" Type="http://schemas.openxmlformats.org/officeDocument/2006/relationships/hyperlink" Target="http://secrets.rutgers.edu:8080/data/asl-ftp/asllvd/demos/verify_start_end_handshape_annotations//test_auto_move//signs_mov_separ_signers/Liz_15652.mov" TargetMode="External"/><Relationship Id="rId21933" Type="http://schemas.openxmlformats.org/officeDocument/2006/relationships/hyperlink" Target="http://csr.bu.edu/ftp/asl/asllvd/demos/verify_start_end_handshape_annotations//test_auto_move//signs_mov_separ_signers/Tyler_4684.mov" TargetMode="External"/><Relationship Id="rId21934" Type="http://schemas.openxmlformats.org/officeDocument/2006/relationships/hyperlink" Target="http://secrets.rutgers.edu:8080/data/asl-ftp/asllvd/demos/verify_start_end_handshape_annotations//test_auto_move//signs_mov_separ_signers/Tyler_4684.mov" TargetMode="External"/><Relationship Id="rId21935" Type="http://schemas.openxmlformats.org/officeDocument/2006/relationships/hyperlink" Target="http://csr.bu.edu/ftp/asl/asllvd/demos/verify_start_end_handshape_annotations//test_auto_move//signs_mov/4684_15652_merged.mov" TargetMode="External"/><Relationship Id="rId21936" Type="http://schemas.openxmlformats.org/officeDocument/2006/relationships/hyperlink" Target="http://csr.bu.edu/ftp/asl/asllvd/demos/verify_start_end_handshape_annotations//test_auto_move//signs_mov_separ_signers/Naomi_4684.mov" TargetMode="External"/><Relationship Id="rId21937" Type="http://schemas.openxmlformats.org/officeDocument/2006/relationships/hyperlink" Target="http://secrets.rutgers.edu:8080/data/asl-ftp/asllvd/demos/verify_start_end_handshape_annotations//test_auto_move//signs_mov/4684_15652_merged.mov" TargetMode="External"/><Relationship Id="rId21938" Type="http://schemas.openxmlformats.org/officeDocument/2006/relationships/hyperlink" Target="http://secrets.rutgers.edu:8080/data/asl-ftp/asllvd/demos/verify_start_end_handshape_annotations//test_auto_move//signs_mov_separ_signers/Naomi_4684.mov" TargetMode="External"/><Relationship Id="rId21939" Type="http://schemas.openxmlformats.org/officeDocument/2006/relationships/hyperlink" Target="http://csr.bu.edu/ftp/asl/asllvd/demos/verify_start_end_handshape_annotations//test_auto_move//signs_mov_separ_signers/Naomi_15652.mov" TargetMode="External"/><Relationship Id="rId21940" Type="http://schemas.openxmlformats.org/officeDocument/2006/relationships/hyperlink" Target="http://secrets.rutgers.edu:8080/data/asl-ftp/asllvd/demos/verify_start_end_handshape_annotations//test_auto_move//signs_mov_separ_signers/Naomi_15652.mov" TargetMode="External"/><Relationship Id="rId21941" Type="http://schemas.openxmlformats.org/officeDocument/2006/relationships/hyperlink" Target="http://csr.bu.edu/ftp/asl/asllvd/demos/verify_start_end_handshape_annotations//test_auto_move//signs_mov_separ_signers/Brady_4684.mov" TargetMode="External"/><Relationship Id="rId21942" Type="http://schemas.openxmlformats.org/officeDocument/2006/relationships/hyperlink" Target="http://secrets.rutgers.edu:8080/data/asl-ftp/asllvd/demos/verify_start_end_handshape_annotations//test_auto_move//signs_mov_separ_signers/Brady_4684.mov" TargetMode="External"/><Relationship Id="rId21943" Type="http://schemas.openxmlformats.org/officeDocument/2006/relationships/hyperlink" Target="http://csr.bu.edu/ftp/asl/asllvd/demos/verify_start_end_handshape_annotations//test_auto_move//signs_mov_separ_signers/Brady_15652.mov" TargetMode="External"/><Relationship Id="rId21944" Type="http://schemas.openxmlformats.org/officeDocument/2006/relationships/hyperlink" Target="http://secrets.rutgers.edu:8080/data/asl-ftp/asllvd/demos/verify_start_end_handshape_annotations//test_auto_move//signs_mov_separ_signers/Brady_15652.mov" TargetMode="External"/><Relationship Id="rId21945" Type="http://schemas.openxmlformats.org/officeDocument/2006/relationships/hyperlink" Target="http://csr.bu.edu/ftp/asl/asllvd/demos/verify_start_end_handshape_annotations//test_auto_move//signs_mov/4690.mov" TargetMode="External"/><Relationship Id="rId21946" Type="http://schemas.openxmlformats.org/officeDocument/2006/relationships/hyperlink" Target="http://csr.bu.edu/ftp/asl/asllvd/demos/verify_start_end_handshape_annotations//test_auto_move//signs_mov_separ_signers/Tyler_4690.mov" TargetMode="External"/><Relationship Id="rId21947" Type="http://schemas.openxmlformats.org/officeDocument/2006/relationships/hyperlink" Target="http://secrets.rutgers.edu:8080/data/asl-ftp/asllvd/demos/verify_start_end_handshape_annotations//test_auto_move//signs_mov/4690.mov" TargetMode="External"/><Relationship Id="rId21948" Type="http://schemas.openxmlformats.org/officeDocument/2006/relationships/hyperlink" Target="http://secrets.rutgers.edu:8080/data/asl-ftp/asllvd/demos/verify_start_end_handshape_annotations//test_auto_move//signs_mov_separ_signers/Tyler_4690.mov" TargetMode="External"/><Relationship Id="rId21949" Type="http://schemas.openxmlformats.org/officeDocument/2006/relationships/hyperlink" Target="http://csr.bu.edu/ftp/asl/asllvd/demos/verify_start_end_handshape_annotations//test_auto_move//signs_mov_separ_signers/Liz_4692.mov" TargetMode="External"/><Relationship Id="rId21950" Type="http://schemas.openxmlformats.org/officeDocument/2006/relationships/hyperlink" Target="http://secrets.rutgers.edu:8080/data/asl-ftp/asllvd/demos/verify_start_end_handshape_annotations//test_auto_move//signs_mov_separ_signers/Liz_4692.mov" TargetMode="External"/><Relationship Id="rId21951" Type="http://schemas.openxmlformats.org/officeDocument/2006/relationships/hyperlink" Target="http://csr.bu.edu/ftp/asl/asllvd/demos/verify_start_end_handshape_annotations//test_auto_move//signs_mov/4692.mov" TargetMode="External"/><Relationship Id="rId21952" Type="http://schemas.openxmlformats.org/officeDocument/2006/relationships/hyperlink" Target="http://csr.bu.edu/ftp/asl/asllvd/demos/verify_start_end_handshape_annotations//test_auto_move//signs_mov_separ_signers/Naomi_4692.mov" TargetMode="External"/><Relationship Id="rId21953" Type="http://schemas.openxmlformats.org/officeDocument/2006/relationships/hyperlink" Target="http://secrets.rutgers.edu:8080/data/asl-ftp/asllvd/demos/verify_start_end_handshape_annotations//test_auto_move//signs_mov/4692.mov" TargetMode="External"/><Relationship Id="rId21954" Type="http://schemas.openxmlformats.org/officeDocument/2006/relationships/hyperlink" Target="http://secrets.rutgers.edu:8080/data/asl-ftp/asllvd/demos/verify_start_end_handshape_annotations//test_auto_move//signs_mov_separ_signers/Naomi_4692.mov" TargetMode="External"/><Relationship Id="rId21955" Type="http://schemas.openxmlformats.org/officeDocument/2006/relationships/hyperlink" Target="http://csr.bu.edu/ftp/asl/asllvd/demos/verify_start_end_handshape_annotations//test_auto_move//signs_mov_separ_signers/Brady_4692.mov" TargetMode="External"/><Relationship Id="rId21956" Type="http://schemas.openxmlformats.org/officeDocument/2006/relationships/hyperlink" Target="http://secrets.rutgers.edu:8080/data/asl-ftp/asllvd/demos/verify_start_end_handshape_annotations//test_auto_move//signs_mov_separ_signers/Brady_4692.mov" TargetMode="External"/><Relationship Id="rId21957" Type="http://schemas.openxmlformats.org/officeDocument/2006/relationships/hyperlink" Target="http://csr.bu.edu/ftp/asl/asllvd/demos/verify_start_end_handshape_annotations//test_auto_move//signs_mov/16262.mov" TargetMode="External"/><Relationship Id="rId21958" Type="http://schemas.openxmlformats.org/officeDocument/2006/relationships/hyperlink" Target="http://csr.bu.edu/ftp/asl/asllvd/demos/verify_start_end_handshape_annotations//test_auto_move//signs_mov_separ_signers/Tyler_16262.mov" TargetMode="External"/><Relationship Id="rId21959" Type="http://schemas.openxmlformats.org/officeDocument/2006/relationships/hyperlink" Target="http://secrets.rutgers.edu:8080/data/asl-ftp/asllvd/demos/verify_start_end_handshape_annotations//test_auto_move//signs_mov/16262.mov" TargetMode="External"/><Relationship Id="rId21960" Type="http://schemas.openxmlformats.org/officeDocument/2006/relationships/hyperlink" Target="http://secrets.rutgers.edu:8080/data/asl-ftp/asllvd/demos/verify_start_end_handshape_annotations//test_auto_move//signs_mov_separ_signers/Tyler_16262.mov" TargetMode="External"/><Relationship Id="rId21961" Type="http://schemas.openxmlformats.org/officeDocument/2006/relationships/hyperlink" Target="http://csr.bu.edu/ftp/asl/asllvd/demos/verify_start_end_handshape_annotations//test_auto_move//signs_mov_separ_signers/Liz_4693.mov" TargetMode="External"/><Relationship Id="rId21962" Type="http://schemas.openxmlformats.org/officeDocument/2006/relationships/hyperlink" Target="http://secrets.rutgers.edu:8080/data/asl-ftp/asllvd/demos/verify_start_end_handshape_annotations//test_auto_move//signs_mov_separ_signers/Liz_4693.mov" TargetMode="External"/><Relationship Id="rId21963" Type="http://schemas.openxmlformats.org/officeDocument/2006/relationships/hyperlink" Target="http://csr.bu.edu/ftp/asl/asllvd/demos/verify_start_end_handshape_annotations//test_auto_move//signs_mov_separ_signers/Liz_15721.mov" TargetMode="External"/><Relationship Id="rId21964" Type="http://schemas.openxmlformats.org/officeDocument/2006/relationships/hyperlink" Target="http://secrets.rutgers.edu:8080/data/asl-ftp/asllvd/demos/verify_start_end_handshape_annotations//test_auto_move//signs_mov_separ_signers/Liz_15721.mov" TargetMode="External"/><Relationship Id="rId21965" Type="http://schemas.openxmlformats.org/officeDocument/2006/relationships/hyperlink" Target="http://csr.bu.edu/ftp/asl/asllvd/demos/verify_start_end_handshape_annotations//test_auto_move//signs_mov_separ_signers/Tyler_4693.mov" TargetMode="External"/><Relationship Id="rId21966" Type="http://schemas.openxmlformats.org/officeDocument/2006/relationships/hyperlink" Target="http://secrets.rutgers.edu:8080/data/asl-ftp/asllvd/demos/verify_start_end_handshape_annotations//test_auto_move//signs_mov_separ_signers/Tyler_4693.mov" TargetMode="External"/><Relationship Id="rId21967" Type="http://schemas.openxmlformats.org/officeDocument/2006/relationships/hyperlink" Target="http://csr.bu.edu/ftp/asl/asllvd/demos/verify_start_end_handshape_annotations//test_auto_move//signs_mov_separ_signers/Naomi_4693.mov" TargetMode="External"/><Relationship Id="rId21968" Type="http://schemas.openxmlformats.org/officeDocument/2006/relationships/hyperlink" Target="http://secrets.rutgers.edu:8080/data/asl-ftp/asllvd/demos/verify_start_end_handshape_annotations//test_auto_move//signs_mov_separ_signers/Naomi_4693.mov" TargetMode="External"/><Relationship Id="rId21969" Type="http://schemas.openxmlformats.org/officeDocument/2006/relationships/hyperlink" Target="http://csr.bu.edu/ftp/asl/asllvd/demos/verify_start_end_handshape_annotations//test_auto_move//signs_mov/4693_15721_merged.mov" TargetMode="External"/><Relationship Id="rId21970" Type="http://schemas.openxmlformats.org/officeDocument/2006/relationships/hyperlink" Target="http://csr.bu.edu/ftp/asl/asllvd/demos/verify_start_end_handshape_annotations//test_auto_move//signs_mov_separ_signers/Naomi_15721.mov" TargetMode="External"/><Relationship Id="rId21971" Type="http://schemas.openxmlformats.org/officeDocument/2006/relationships/hyperlink" Target="http://secrets.rutgers.edu:8080/data/asl-ftp/asllvd/demos/verify_start_end_handshape_annotations//test_auto_move//signs_mov/4693_15721_merged.mov" TargetMode="External"/><Relationship Id="rId21972" Type="http://schemas.openxmlformats.org/officeDocument/2006/relationships/hyperlink" Target="http://secrets.rutgers.edu:8080/data/asl-ftp/asllvd/demos/verify_start_end_handshape_annotations//test_auto_move//signs_mov_separ_signers/Naomi_15721.mov" TargetMode="External"/><Relationship Id="rId21973" Type="http://schemas.openxmlformats.org/officeDocument/2006/relationships/hyperlink" Target="http://csr.bu.edu/ftp/asl/asllvd/demos/verify_start_end_handshape_annotations//test_auto_move//signs_mov_separ_signers/Brady_4693.mov" TargetMode="External"/><Relationship Id="rId21974" Type="http://schemas.openxmlformats.org/officeDocument/2006/relationships/hyperlink" Target="http://secrets.rutgers.edu:8080/data/asl-ftp/asllvd/demos/verify_start_end_handshape_annotations//test_auto_move//signs_mov_separ_signers/Brady_4693.mov" TargetMode="External"/><Relationship Id="rId21975" Type="http://schemas.openxmlformats.org/officeDocument/2006/relationships/hyperlink" Target="http://csr.bu.edu/ftp/asl/asllvd/demos/verify_start_end_handshape_annotations//test_auto_move//signs_mov_separ_signers/Brady_15721.mov" TargetMode="External"/><Relationship Id="rId21976" Type="http://schemas.openxmlformats.org/officeDocument/2006/relationships/hyperlink" Target="http://secrets.rutgers.edu:8080/data/asl-ftp/asllvd/demos/verify_start_end_handshape_annotations//test_auto_move//signs_mov_separ_signers/Brady_15721.mov" TargetMode="External"/><Relationship Id="rId21977" Type="http://schemas.openxmlformats.org/officeDocument/2006/relationships/hyperlink" Target="http://csr.bu.edu/ftp/asl/asllvd/demos/verify_start_end_handshape_annotations//test_auto_move//signs_mov_separ_signers/Lana_4693.mov" TargetMode="External"/><Relationship Id="rId21978" Type="http://schemas.openxmlformats.org/officeDocument/2006/relationships/hyperlink" Target="http://secrets.rutgers.edu:8080/data/asl-ftp/asllvd/demos/verify_start_end_handshape_annotations//test_auto_move//signs_mov_separ_signers/Lana_4693.mov" TargetMode="External"/><Relationship Id="rId21979" Type="http://schemas.openxmlformats.org/officeDocument/2006/relationships/hyperlink" Target="http://csr.bu.edu/ftp/asl/asllvd/demos/verify_start_end_handshape_annotations//test_auto_move//signs_mov_separ_signers/Dana_4693.mov" TargetMode="External"/><Relationship Id="rId21980" Type="http://schemas.openxmlformats.org/officeDocument/2006/relationships/hyperlink" Target="http://secrets.rutgers.edu:8080/data/asl-ftp/asllvd/demos/verify_start_end_handshape_annotations//test_auto_move//signs_mov_separ_signers/Dana_4693.mov" TargetMode="External"/><Relationship Id="rId21981" Type="http://schemas.openxmlformats.org/officeDocument/2006/relationships/hyperlink" Target="http://csr.bu.edu/ftp/asl/asllvd/demos/verify_start_end_handshape_annotations//test_auto_move//signs_mov/16127.mov" TargetMode="External"/><Relationship Id="rId21982" Type="http://schemas.openxmlformats.org/officeDocument/2006/relationships/hyperlink" Target="http://csr.bu.edu/ftp/asl/asllvd/demos/verify_start_end_handshape_annotations//test_auto_move//signs_mov_separ_signers/Tyler_16127.mov" TargetMode="External"/><Relationship Id="rId21983" Type="http://schemas.openxmlformats.org/officeDocument/2006/relationships/hyperlink" Target="http://secrets.rutgers.edu:8080/data/asl-ftp/asllvd/demos/verify_start_end_handshape_annotations//test_auto_move//signs_mov/16127.mov" TargetMode="External"/><Relationship Id="rId21984" Type="http://schemas.openxmlformats.org/officeDocument/2006/relationships/hyperlink" Target="http://secrets.rutgers.edu:8080/data/asl-ftp/asllvd/demos/verify_start_end_handshape_annotations//test_auto_move//signs_mov_separ_signers/Tyler_16127.mov" TargetMode="External"/><Relationship Id="rId21985" Type="http://schemas.openxmlformats.org/officeDocument/2006/relationships/hyperlink" Target="http://csr.bu.edu/ftp/asl/asllvd/demos/verify_start_end_handshape_annotations//test_auto_move//signs_mov_separ_signers/Liz_4695.mov" TargetMode="External"/><Relationship Id="rId21986" Type="http://schemas.openxmlformats.org/officeDocument/2006/relationships/hyperlink" Target="http://secrets.rutgers.edu:8080/data/asl-ftp/asllvd/demos/verify_start_end_handshape_annotations//test_auto_move//signs_mov_separ_signers/Liz_4695.mov" TargetMode="External"/><Relationship Id="rId21987" Type="http://schemas.openxmlformats.org/officeDocument/2006/relationships/hyperlink" Target="http://csr.bu.edu/ftp/asl/asllvd/demos/verify_start_end_handshape_annotations//test_auto_move//signs_mov_separ_signers/Naomi_4695.mov" TargetMode="External"/><Relationship Id="rId21988" Type="http://schemas.openxmlformats.org/officeDocument/2006/relationships/hyperlink" Target="http://secrets.rutgers.edu:8080/data/asl-ftp/asllvd/demos/verify_start_end_handshape_annotations//test_auto_move//signs_mov_separ_signers/Naomi_4695.mov" TargetMode="External"/><Relationship Id="rId21989" Type="http://schemas.openxmlformats.org/officeDocument/2006/relationships/hyperlink" Target="http://csr.bu.edu/ftp/asl/asllvd/demos/verify_start_end_handshape_annotations//test_auto_move//signs_mov_separ_signers/Naomi_15750.mov" TargetMode="External"/><Relationship Id="rId21990" Type="http://schemas.openxmlformats.org/officeDocument/2006/relationships/hyperlink" Target="http://secrets.rutgers.edu:8080/data/asl-ftp/asllvd/demos/verify_start_end_handshape_annotations//test_auto_move//signs_mov_separ_signers/Naomi_15750.mov" TargetMode="External"/><Relationship Id="rId21991" Type="http://schemas.openxmlformats.org/officeDocument/2006/relationships/hyperlink" Target="http://csr.bu.edu/ftp/asl/asllvd/demos/verify_start_end_handshape_annotations//test_auto_move//signs_mov/4695_15750_15754_merged.mov" TargetMode="External"/><Relationship Id="rId21992" Type="http://schemas.openxmlformats.org/officeDocument/2006/relationships/hyperlink" Target="http://csr.bu.edu/ftp/asl/asllvd/demos/verify_start_end_handshape_annotations//test_auto_move//signs_mov_separ_signers/Brady_4695.mov" TargetMode="External"/><Relationship Id="rId21993" Type="http://schemas.openxmlformats.org/officeDocument/2006/relationships/hyperlink" Target="http://secrets.rutgers.edu:8080/data/asl-ftp/asllvd/demos/verify_start_end_handshape_annotations//test_auto_move//signs_mov/4695_15750_15754_merged.mov" TargetMode="External"/><Relationship Id="rId21994" Type="http://schemas.openxmlformats.org/officeDocument/2006/relationships/hyperlink" Target="http://secrets.rutgers.edu:8080/data/asl-ftp/asllvd/demos/verify_start_end_handshape_annotations//test_auto_move//signs_mov_separ_signers/Brady_4695.mov" TargetMode="External"/><Relationship Id="rId21995" Type="http://schemas.openxmlformats.org/officeDocument/2006/relationships/hyperlink" Target="http://csr.bu.edu/ftp/asl/asllvd/demos/verify_start_end_handshape_annotations//test_auto_move//signs_mov_separ_signers/Brady_15750.mov" TargetMode="External"/><Relationship Id="rId21996" Type="http://schemas.openxmlformats.org/officeDocument/2006/relationships/hyperlink" Target="http://secrets.rutgers.edu:8080/data/asl-ftp/asllvd/demos/verify_start_end_handshape_annotations//test_auto_move//signs_mov_separ_signers/Brady_15750.mov" TargetMode="External"/><Relationship Id="rId21997" Type="http://schemas.openxmlformats.org/officeDocument/2006/relationships/hyperlink" Target="http://csr.bu.edu/ftp/asl/asllvd/demos/verify_start_end_handshape_annotations//test_auto_move//signs_mov_separ_signers/Brady_15754.mov" TargetMode="External"/><Relationship Id="rId21998" Type="http://schemas.openxmlformats.org/officeDocument/2006/relationships/hyperlink" Target="http://secrets.rutgers.edu:8080/data/asl-ftp/asllvd/demos/verify_start_end_handshape_annotations//test_auto_move//signs_mov_separ_signers/Brady_15754.mov" TargetMode="External"/><Relationship Id="rId21999" Type="http://schemas.openxmlformats.org/officeDocument/2006/relationships/hyperlink" Target="http://csr.bu.edu/ftp/asl/asllvd/demos/verify_start_end_handshape_annotations//test_auto_move//signs_mov_separ_signers/Lana_4695.mov" TargetMode="External"/><Relationship Id="rId22000" Type="http://schemas.openxmlformats.org/officeDocument/2006/relationships/hyperlink" Target="http://secrets.rutgers.edu:8080/data/asl-ftp/asllvd/demos/verify_start_end_handshape_annotations//test_auto_move//signs_mov_separ_signers/Lana_4695.mov" TargetMode="External"/><Relationship Id="rId22001" Type="http://schemas.openxmlformats.org/officeDocument/2006/relationships/hyperlink" Target="http://csr.bu.edu/ftp/asl/asllvd/demos/verify_start_end_handshape_annotations//test_auto_move//signs_mov/15802.mov" TargetMode="External"/><Relationship Id="rId22002" Type="http://schemas.openxmlformats.org/officeDocument/2006/relationships/hyperlink" Target="http://csr.bu.edu/ftp/asl/asllvd/demos/verify_start_end_handshape_annotations//test_auto_move//signs_mov_separ_signers/Tyler_15802.mov" TargetMode="External"/><Relationship Id="rId22003" Type="http://schemas.openxmlformats.org/officeDocument/2006/relationships/hyperlink" Target="http://secrets.rutgers.edu:8080/data/asl-ftp/asllvd/demos/verify_start_end_handshape_annotations//test_auto_move//signs_mov/15802.mov" TargetMode="External"/><Relationship Id="rId22004" Type="http://schemas.openxmlformats.org/officeDocument/2006/relationships/hyperlink" Target="http://secrets.rutgers.edu:8080/data/asl-ftp/asllvd/demos/verify_start_end_handshape_annotations//test_auto_move//signs_mov_separ_signers/Tyler_15802.mov" TargetMode="External"/><Relationship Id="rId22005" Type="http://schemas.openxmlformats.org/officeDocument/2006/relationships/hyperlink" Target="http://csr.bu.edu/ftp/asl/asllvd/demos/verify_start_end_handshape_annotations//test_auto_move//signs_mov/15803.mov" TargetMode="External"/><Relationship Id="rId22006" Type="http://schemas.openxmlformats.org/officeDocument/2006/relationships/hyperlink" Target="http://csr.bu.edu/ftp/asl/asllvd/demos/verify_start_end_handshape_annotations//test_auto_move//signs_mov_separ_signers/Dana_15803.mov" TargetMode="External"/><Relationship Id="rId22007" Type="http://schemas.openxmlformats.org/officeDocument/2006/relationships/hyperlink" Target="http://secrets.rutgers.edu:8080/data/asl-ftp/asllvd/demos/verify_start_end_handshape_annotations//test_auto_move//signs_mov/15803.mov" TargetMode="External"/><Relationship Id="rId22008" Type="http://schemas.openxmlformats.org/officeDocument/2006/relationships/hyperlink" Target="http://secrets.rutgers.edu:8080/data/asl-ftp/asllvd/demos/verify_start_end_handshape_annotations//test_auto_move//signs_mov_separ_signers/Dana_15803.mov" TargetMode="External"/><Relationship Id="rId22009" Type="http://schemas.openxmlformats.org/officeDocument/2006/relationships/hyperlink" Target="http://csr.bu.edu/ftp/asl/asllvd/demos/verify_start_end_handshape_annotations//test_auto_move//signs_mov/16128.mov" TargetMode="External"/><Relationship Id="rId22010" Type="http://schemas.openxmlformats.org/officeDocument/2006/relationships/hyperlink" Target="http://csr.bu.edu/ftp/asl/asllvd/demos/verify_start_end_handshape_annotations//test_auto_move//signs_mov_separ_signers/Tyler_16128.mov" TargetMode="External"/><Relationship Id="rId22011" Type="http://schemas.openxmlformats.org/officeDocument/2006/relationships/hyperlink" Target="http://secrets.rutgers.edu:8080/data/asl-ftp/asllvd/demos/verify_start_end_handshape_annotations//test_auto_move//signs_mov/16128.mov" TargetMode="External"/><Relationship Id="rId22012" Type="http://schemas.openxmlformats.org/officeDocument/2006/relationships/hyperlink" Target="http://secrets.rutgers.edu:8080/data/asl-ftp/asllvd/demos/verify_start_end_handshape_annotations//test_auto_move//signs_mov_separ_signers/Tyler_16128.mov" TargetMode="External"/><Relationship Id="rId22013" Type="http://schemas.openxmlformats.org/officeDocument/2006/relationships/hyperlink" Target="http://csr.bu.edu/ftp/asl/asllvd/demos/verify_start_end_handshape_annotations//test_auto_move//signs_mov/16550.mov" TargetMode="External"/><Relationship Id="rId22014" Type="http://schemas.openxmlformats.org/officeDocument/2006/relationships/hyperlink" Target="http://csr.bu.edu/ftp/asl/asllvd/demos/verify_start_end_handshape_annotations//test_auto_move//signs_mov_separ_signers/Liz_16550.mov" TargetMode="External"/><Relationship Id="rId22015" Type="http://schemas.openxmlformats.org/officeDocument/2006/relationships/hyperlink" Target="http://secrets.rutgers.edu:8080/data/asl-ftp/asllvd/demos/verify_start_end_handshape_annotations//test_auto_move//signs_mov/16550.mov" TargetMode="External"/><Relationship Id="rId22016" Type="http://schemas.openxmlformats.org/officeDocument/2006/relationships/hyperlink" Target="http://secrets.rutgers.edu:8080/data/asl-ftp/asllvd/demos/verify_start_end_handshape_annotations//test_auto_move//signs_mov_separ_signers/Liz_16550.mov" TargetMode="External"/><Relationship Id="rId22017" Type="http://schemas.openxmlformats.org/officeDocument/2006/relationships/hyperlink" Target="http://csr.bu.edu/ftp/asl/asllvd/demos/verify_start_end_handshape_annotations//test_auto_move//signs_mov/4697.mov" TargetMode="External"/><Relationship Id="rId22018" Type="http://schemas.openxmlformats.org/officeDocument/2006/relationships/hyperlink" Target="http://csr.bu.edu/ftp/asl/asllvd/demos/verify_start_end_handshape_annotations//test_auto_move//signs_mov_separ_signers/Liz_4697.mov" TargetMode="External"/><Relationship Id="rId22019" Type="http://schemas.openxmlformats.org/officeDocument/2006/relationships/hyperlink" Target="http://secrets.rutgers.edu:8080/data/asl-ftp/asllvd/demos/verify_start_end_handshape_annotations//test_auto_move//signs_mov/4697.mov" TargetMode="External"/><Relationship Id="rId22020" Type="http://schemas.openxmlformats.org/officeDocument/2006/relationships/hyperlink" Target="http://secrets.rutgers.edu:8080/data/asl-ftp/asllvd/demos/verify_start_end_handshape_annotations//test_auto_move//signs_mov_separ_signers/Liz_4697.mov" TargetMode="External"/><Relationship Id="rId22021" Type="http://schemas.openxmlformats.org/officeDocument/2006/relationships/hyperlink" Target="http://csr.bu.edu/ftp/asl/asllvd/demos/verify_start_end_handshape_annotations//test_auto_move//signs_mov_separ_signers/Naomi_15917.mov" TargetMode="External"/><Relationship Id="rId22022" Type="http://schemas.openxmlformats.org/officeDocument/2006/relationships/hyperlink" Target="http://secrets.rutgers.edu:8080/data/asl-ftp/asllvd/demos/verify_start_end_handshape_annotations//test_auto_move//signs_mov_separ_signers/Naomi_15917.mov" TargetMode="External"/><Relationship Id="rId22023" Type="http://schemas.openxmlformats.org/officeDocument/2006/relationships/hyperlink" Target="http://csr.bu.edu/ftp/asl/asllvd/demos/verify_start_end_handshape_annotations//test_auto_move//signs_mov/15917_16024_merged.mov" TargetMode="External"/><Relationship Id="rId22024" Type="http://schemas.openxmlformats.org/officeDocument/2006/relationships/hyperlink" Target="http://csr.bu.edu/ftp/asl/asllvd/demos/verify_start_end_handshape_annotations//test_auto_move//signs_mov_separ_signers/Brady_15917.mov" TargetMode="External"/><Relationship Id="rId22025" Type="http://schemas.openxmlformats.org/officeDocument/2006/relationships/hyperlink" Target="http://secrets.rutgers.edu:8080/data/asl-ftp/asllvd/demos/verify_start_end_handshape_annotations//test_auto_move//signs_mov/15917_16024_merged.mov" TargetMode="External"/><Relationship Id="rId22026" Type="http://schemas.openxmlformats.org/officeDocument/2006/relationships/hyperlink" Target="http://secrets.rutgers.edu:8080/data/asl-ftp/asllvd/demos/verify_start_end_handshape_annotations//test_auto_move//signs_mov_separ_signers/Brady_15917.mov" TargetMode="External"/><Relationship Id="rId22027" Type="http://schemas.openxmlformats.org/officeDocument/2006/relationships/hyperlink" Target="http://csr.bu.edu/ftp/asl/asllvd/demos/verify_start_end_handshape_annotations//test_auto_move//signs_mov_separ_signers/Brady_16024.mov" TargetMode="External"/><Relationship Id="rId22028" Type="http://schemas.openxmlformats.org/officeDocument/2006/relationships/hyperlink" Target="http://secrets.rutgers.edu:8080/data/asl-ftp/asllvd/demos/verify_start_end_handshape_annotations//test_auto_move//signs_mov_separ_signers/Brady_16024.mov" TargetMode="External"/><Relationship Id="rId22029" Type="http://schemas.openxmlformats.org/officeDocument/2006/relationships/hyperlink" Target="http://csr.bu.edu/ftp/asl/asllvd/demos/verify_start_end_handshape_annotations//test_auto_move//signs_mov/16025.mov" TargetMode="External"/><Relationship Id="rId22030" Type="http://schemas.openxmlformats.org/officeDocument/2006/relationships/hyperlink" Target="http://csr.bu.edu/ftp/asl/asllvd/demos/verify_start_end_handshape_annotations//test_auto_move//signs_mov_separ_signers/Tyler_16025.mov" TargetMode="External"/><Relationship Id="rId22031" Type="http://schemas.openxmlformats.org/officeDocument/2006/relationships/hyperlink" Target="http://secrets.rutgers.edu:8080/data/asl-ftp/asllvd/demos/verify_start_end_handshape_annotations//test_auto_move//signs_mov/16025.mov" TargetMode="External"/><Relationship Id="rId22032" Type="http://schemas.openxmlformats.org/officeDocument/2006/relationships/hyperlink" Target="http://secrets.rutgers.edu:8080/data/asl-ftp/asllvd/demos/verify_start_end_handshape_annotations//test_auto_move//signs_mov_separ_signers/Tyler_16025.mov" TargetMode="External"/><Relationship Id="rId22033" Type="http://schemas.openxmlformats.org/officeDocument/2006/relationships/hyperlink" Target="http://csr.bu.edu/ftp/asl/asllvd/demos/verify_start_end_handshape_annotations//test_auto_move//signs_mov_separ_signers/Liz_4698.mov" TargetMode="External"/><Relationship Id="rId22034" Type="http://schemas.openxmlformats.org/officeDocument/2006/relationships/hyperlink" Target="http://secrets.rutgers.edu:8080/data/asl-ftp/asllvd/demos/verify_start_end_handshape_annotations//test_auto_move//signs_mov_separ_signers/Liz_4698.mov" TargetMode="External"/><Relationship Id="rId22035" Type="http://schemas.openxmlformats.org/officeDocument/2006/relationships/hyperlink" Target="http://csr.bu.edu/ftp/asl/asllvd/demos/verify_start_end_handshape_annotations//test_auto_move//signs_mov/4698_15745_merged.mov" TargetMode="External"/><Relationship Id="rId22036" Type="http://schemas.openxmlformats.org/officeDocument/2006/relationships/hyperlink" Target="http://csr.bu.edu/ftp/asl/asllvd/demos/verify_start_end_handshape_annotations//test_auto_move//signs_mov_separ_signers/Liz_15745.mov" TargetMode="External"/><Relationship Id="rId22037" Type="http://schemas.openxmlformats.org/officeDocument/2006/relationships/hyperlink" Target="http://secrets.rutgers.edu:8080/data/asl-ftp/asllvd/demos/verify_start_end_handshape_annotations//test_auto_move//signs_mov/4698_15745_merged.mov" TargetMode="External"/><Relationship Id="rId22038" Type="http://schemas.openxmlformats.org/officeDocument/2006/relationships/hyperlink" Target="http://secrets.rutgers.edu:8080/data/asl-ftp/asllvd/demos/verify_start_end_handshape_annotations//test_auto_move//signs_mov_separ_signers/Liz_15745.mov" TargetMode="External"/><Relationship Id="rId22039" Type="http://schemas.openxmlformats.org/officeDocument/2006/relationships/hyperlink" Target="http://csr.bu.edu/ftp/asl/asllvd/demos/verify_start_end_handshape_annotations//test_auto_move//signs_mov_separ_signers/Tyler_4698.mov" TargetMode="External"/><Relationship Id="rId22040" Type="http://schemas.openxmlformats.org/officeDocument/2006/relationships/hyperlink" Target="http://secrets.rutgers.edu:8080/data/asl-ftp/asllvd/demos/verify_start_end_handshape_annotations//test_auto_move//signs_mov_separ_signers/Tyler_4698.mov" TargetMode="External"/><Relationship Id="rId22041" Type="http://schemas.openxmlformats.org/officeDocument/2006/relationships/hyperlink" Target="http://csr.bu.edu/ftp/asl/asllvd/demos/verify_start_end_handshape_annotations//test_auto_move//signs_mov_separ_signers/Brady_4698.mov" TargetMode="External"/><Relationship Id="rId22042" Type="http://schemas.openxmlformats.org/officeDocument/2006/relationships/hyperlink" Target="http://secrets.rutgers.edu:8080/data/asl-ftp/asllvd/demos/verify_start_end_handshape_annotations//test_auto_move//signs_mov_separ_signers/Brady_4698.mov" TargetMode="External"/><Relationship Id="rId22043" Type="http://schemas.openxmlformats.org/officeDocument/2006/relationships/hyperlink" Target="http://csr.bu.edu/ftp/asl/asllvd/demos/verify_start_end_handshape_annotations//test_auto_move//signs_mov_separ_signers/Liz_15828.mov" TargetMode="External"/><Relationship Id="rId22044" Type="http://schemas.openxmlformats.org/officeDocument/2006/relationships/hyperlink" Target="http://secrets.rutgers.edu:8080/data/asl-ftp/asllvd/demos/verify_start_end_handshape_annotations//test_auto_move//signs_mov_separ_signers/Liz_15828.mov" TargetMode="External"/><Relationship Id="rId22045" Type="http://schemas.openxmlformats.org/officeDocument/2006/relationships/hyperlink" Target="http://csr.bu.edu/ftp/asl/asllvd/demos/verify_start_end_handshape_annotations//test_auto_move//signs_mov/15828_15843_merged.mov" TargetMode="External"/><Relationship Id="rId22046" Type="http://schemas.openxmlformats.org/officeDocument/2006/relationships/hyperlink" Target="http://csr.bu.edu/ftp/asl/asllvd/demos/verify_start_end_handshape_annotations//test_auto_move//signs_mov_separ_signers/Brady_15828.mov" TargetMode="External"/><Relationship Id="rId22047" Type="http://schemas.openxmlformats.org/officeDocument/2006/relationships/hyperlink" Target="http://secrets.rutgers.edu:8080/data/asl-ftp/asllvd/demos/verify_start_end_handshape_annotations//test_auto_move//signs_mov/15828_15843_merged.mov" TargetMode="External"/><Relationship Id="rId22048" Type="http://schemas.openxmlformats.org/officeDocument/2006/relationships/hyperlink" Target="http://secrets.rutgers.edu:8080/data/asl-ftp/asllvd/demos/verify_start_end_handshape_annotations//test_auto_move//signs_mov_separ_signers/Brady_15828.mov" TargetMode="External"/><Relationship Id="rId22049" Type="http://schemas.openxmlformats.org/officeDocument/2006/relationships/hyperlink" Target="http://csr.bu.edu/ftp/asl/asllvd/demos/verify_start_end_handshape_annotations//test_auto_move//signs_mov_separ_signers/Brady_15843.mov" TargetMode="External"/><Relationship Id="rId22050" Type="http://schemas.openxmlformats.org/officeDocument/2006/relationships/hyperlink" Target="http://secrets.rutgers.edu:8080/data/asl-ftp/asllvd/demos/verify_start_end_handshape_annotations//test_auto_move//signs_mov_separ_signers/Brady_15843.mov" TargetMode="External"/><Relationship Id="rId22051" Type="http://schemas.openxmlformats.org/officeDocument/2006/relationships/hyperlink" Target="http://csr.bu.edu/ftp/asl/asllvd/demos/verify_start_end_handshape_annotations//test_auto_move//signs_mov/15847.mov" TargetMode="External"/><Relationship Id="rId22052" Type="http://schemas.openxmlformats.org/officeDocument/2006/relationships/hyperlink" Target="http://csr.bu.edu/ftp/asl/asllvd/demos/verify_start_end_handshape_annotations//test_auto_move//signs_mov_separ_signers/Liz_15847.mov" TargetMode="External"/><Relationship Id="rId22053" Type="http://schemas.openxmlformats.org/officeDocument/2006/relationships/hyperlink" Target="http://secrets.rutgers.edu:8080/data/asl-ftp/asllvd/demos/verify_start_end_handshape_annotations//test_auto_move//signs_mov/15847.mov" TargetMode="External"/><Relationship Id="rId22054" Type="http://schemas.openxmlformats.org/officeDocument/2006/relationships/hyperlink" Target="http://secrets.rutgers.edu:8080/data/asl-ftp/asllvd/demos/verify_start_end_handshape_annotations//test_auto_move//signs_mov_separ_signers/Liz_15847.mov" TargetMode="External"/><Relationship Id="rId22055" Type="http://schemas.openxmlformats.org/officeDocument/2006/relationships/hyperlink" Target="http://csr.bu.edu/ftp/asl/asllvd/demos/verify_start_end_handshape_annotations//test_auto_move//signs_mov_separ_signers/Brady_15847.mov" TargetMode="External"/><Relationship Id="rId22056" Type="http://schemas.openxmlformats.org/officeDocument/2006/relationships/hyperlink" Target="http://secrets.rutgers.edu:8080/data/asl-ftp/asllvd/demos/verify_start_end_handshape_annotations//test_auto_move//signs_mov_separ_signers/Brady_15847.mov" TargetMode="External"/><Relationship Id="rId22057" Type="http://schemas.openxmlformats.org/officeDocument/2006/relationships/hyperlink" Target="http://csr.bu.edu/ftp/asl/asllvd/demos/verify_start_end_handshape_annotations//test_auto_move//signs_mov/15854.mov" TargetMode="External"/><Relationship Id="rId22058" Type="http://schemas.openxmlformats.org/officeDocument/2006/relationships/hyperlink" Target="http://csr.bu.edu/ftp/asl/asllvd/demos/verify_start_end_handshape_annotations//test_auto_move//signs_mov_separ_signers/Liz_15854.mov" TargetMode="External"/><Relationship Id="rId22059" Type="http://schemas.openxmlformats.org/officeDocument/2006/relationships/hyperlink" Target="http://secrets.rutgers.edu:8080/data/asl-ftp/asllvd/demos/verify_start_end_handshape_annotations//test_auto_move//signs_mov/15854.mov" TargetMode="External"/><Relationship Id="rId22060" Type="http://schemas.openxmlformats.org/officeDocument/2006/relationships/hyperlink" Target="http://secrets.rutgers.edu:8080/data/asl-ftp/asllvd/demos/verify_start_end_handshape_annotations//test_auto_move//signs_mov_separ_signers/Liz_15854.mov" TargetMode="External"/><Relationship Id="rId22061" Type="http://schemas.openxmlformats.org/officeDocument/2006/relationships/hyperlink" Target="http://csr.bu.edu/ftp/asl/asllvd/demos/verify_start_end_handshape_annotations//test_auto_move//signs_mov_separ_signers/Tyler_15854.mov" TargetMode="External"/><Relationship Id="rId22062" Type="http://schemas.openxmlformats.org/officeDocument/2006/relationships/hyperlink" Target="http://secrets.rutgers.edu:8080/data/asl-ftp/asllvd/demos/verify_start_end_handshape_annotations//test_auto_move//signs_mov_separ_signers/Tyler_15854.mov" TargetMode="External"/><Relationship Id="rId22063" Type="http://schemas.openxmlformats.org/officeDocument/2006/relationships/hyperlink" Target="http://csr.bu.edu/ftp/asl/asllvd/demos/verify_start_end_handshape_annotations//test_auto_move//signs_mov/15900.mov" TargetMode="External"/><Relationship Id="rId22064" Type="http://schemas.openxmlformats.org/officeDocument/2006/relationships/hyperlink" Target="http://csr.bu.edu/ftp/asl/asllvd/demos/verify_start_end_handshape_annotations//test_auto_move//signs_mov_separ_signers/Liz_15900.mov" TargetMode="External"/><Relationship Id="rId22065" Type="http://schemas.openxmlformats.org/officeDocument/2006/relationships/hyperlink" Target="http://secrets.rutgers.edu:8080/data/asl-ftp/asllvd/demos/verify_start_end_handshape_annotations//test_auto_move//signs_mov/15900.mov" TargetMode="External"/><Relationship Id="rId22066" Type="http://schemas.openxmlformats.org/officeDocument/2006/relationships/hyperlink" Target="http://secrets.rutgers.edu:8080/data/asl-ftp/asllvd/demos/verify_start_end_handshape_annotations//test_auto_move//signs_mov_separ_signers/Liz_15900.mov" TargetMode="External"/><Relationship Id="rId22067" Type="http://schemas.openxmlformats.org/officeDocument/2006/relationships/hyperlink" Target="http://csr.bu.edu/ftp/asl/asllvd/demos/verify_start_end_handshape_annotations//test_auto_move//signs_mov_separ_signers/Brady_15900.mov" TargetMode="External"/><Relationship Id="rId22068" Type="http://schemas.openxmlformats.org/officeDocument/2006/relationships/hyperlink" Target="http://secrets.rutgers.edu:8080/data/asl-ftp/asllvd/demos/verify_start_end_handshape_annotations//test_auto_move//signs_mov_separ_signers/Brady_15900.mov" TargetMode="External"/><Relationship Id="rId22069" Type="http://schemas.openxmlformats.org/officeDocument/2006/relationships/hyperlink" Target="http://csr.bu.edu/ftp/asl/asllvd/demos/verify_start_end_handshape_annotations//test_auto_move//signs_mov_separ_signers/Liz_16092.mov" TargetMode="External"/><Relationship Id="rId22070" Type="http://schemas.openxmlformats.org/officeDocument/2006/relationships/hyperlink" Target="http://secrets.rutgers.edu:8080/data/asl-ftp/asllvd/demos/verify_start_end_handshape_annotations//test_auto_move//signs_mov_separ_signers/Liz_16092.mov" TargetMode="External"/><Relationship Id="rId22071" Type="http://schemas.openxmlformats.org/officeDocument/2006/relationships/hyperlink" Target="http://csr.bu.edu/ftp/asl/asllvd/demos/verify_start_end_handshape_annotations//test_auto_move//signs_mov_separ_signers/Tyler_16092.mov" TargetMode="External"/><Relationship Id="rId22072" Type="http://schemas.openxmlformats.org/officeDocument/2006/relationships/hyperlink" Target="http://secrets.rutgers.edu:8080/data/asl-ftp/asllvd/demos/verify_start_end_handshape_annotations//test_auto_move//signs_mov_separ_signers/Tyler_16092.mov" TargetMode="External"/><Relationship Id="rId22073" Type="http://schemas.openxmlformats.org/officeDocument/2006/relationships/hyperlink" Target="http://csr.bu.edu/ftp/asl/asllvd/demos/verify_start_end_handshape_annotations//test_auto_move//signs_mov/16092_16129_merged.mov" TargetMode="External"/><Relationship Id="rId22074" Type="http://schemas.openxmlformats.org/officeDocument/2006/relationships/hyperlink" Target="http://csr.bu.edu/ftp/asl/asllvd/demos/verify_start_end_handshape_annotations//test_auto_move//signs_mov_separ_signers/Naomi_16092.mov" TargetMode="External"/><Relationship Id="rId22075" Type="http://schemas.openxmlformats.org/officeDocument/2006/relationships/hyperlink" Target="http://secrets.rutgers.edu:8080/data/asl-ftp/asllvd/demos/verify_start_end_handshape_annotations//test_auto_move//signs_mov/16092_16129_merged.mov" TargetMode="External"/><Relationship Id="rId22076" Type="http://schemas.openxmlformats.org/officeDocument/2006/relationships/hyperlink" Target="http://secrets.rutgers.edu:8080/data/asl-ftp/asllvd/demos/verify_start_end_handshape_annotations//test_auto_move//signs_mov_separ_signers/Naomi_16092.mov" TargetMode="External"/><Relationship Id="rId22077" Type="http://schemas.openxmlformats.org/officeDocument/2006/relationships/hyperlink" Target="http://csr.bu.edu/ftp/asl/asllvd/demos/verify_start_end_handshape_annotations//test_auto_move//signs_mov_separ_signers/Brady_16092.mov" TargetMode="External"/><Relationship Id="rId22078" Type="http://schemas.openxmlformats.org/officeDocument/2006/relationships/hyperlink" Target="http://secrets.rutgers.edu:8080/data/asl-ftp/asllvd/demos/verify_start_end_handshape_annotations//test_auto_move//signs_mov_separ_signers/Brady_16092.mov" TargetMode="External"/><Relationship Id="rId22079" Type="http://schemas.openxmlformats.org/officeDocument/2006/relationships/hyperlink" Target="http://csr.bu.edu/ftp/asl/asllvd/demos/verify_start_end_handshape_annotations//test_auto_move//signs_mov_separ_signers/Brady_16129.mov" TargetMode="External"/><Relationship Id="rId22080" Type="http://schemas.openxmlformats.org/officeDocument/2006/relationships/hyperlink" Target="http://secrets.rutgers.edu:8080/data/asl-ftp/asllvd/demos/verify_start_end_handshape_annotations//test_auto_move//signs_mov_separ_signers/Brady_16129.mov" TargetMode="External"/><Relationship Id="rId22081" Type="http://schemas.openxmlformats.org/officeDocument/2006/relationships/hyperlink" Target="http://csr.bu.edu/ftp/asl/asllvd/demos/verify_start_end_handshape_annotations//test_auto_move//signs_mov/16130.mov" TargetMode="External"/><Relationship Id="rId22082" Type="http://schemas.openxmlformats.org/officeDocument/2006/relationships/hyperlink" Target="http://csr.bu.edu/ftp/asl/asllvd/demos/verify_start_end_handshape_annotations//test_auto_move//signs_mov_separ_signers/Tyler_16130.mov" TargetMode="External"/><Relationship Id="rId22083" Type="http://schemas.openxmlformats.org/officeDocument/2006/relationships/hyperlink" Target="http://secrets.rutgers.edu:8080/data/asl-ftp/asllvd/demos/verify_start_end_handshape_annotations//test_auto_move//signs_mov/16130.mov" TargetMode="External"/><Relationship Id="rId22084" Type="http://schemas.openxmlformats.org/officeDocument/2006/relationships/hyperlink" Target="http://secrets.rutgers.edu:8080/data/asl-ftp/asllvd/demos/verify_start_end_handshape_annotations//test_auto_move//signs_mov_separ_signers/Tyler_16130.mov" TargetMode="External"/><Relationship Id="rId22085" Type="http://schemas.openxmlformats.org/officeDocument/2006/relationships/hyperlink" Target="http://csr.bu.edu/ftp/asl/asllvd/demos/verify_start_end_handshape_annotations//test_auto_move//signs_mov_separ_signers/Brady_16130.mov" TargetMode="External"/><Relationship Id="rId22086" Type="http://schemas.openxmlformats.org/officeDocument/2006/relationships/hyperlink" Target="http://secrets.rutgers.edu:8080/data/asl-ftp/asllvd/demos/verify_start_end_handshape_annotations//test_auto_move//signs_mov_separ_signers/Brady_16130.mov" TargetMode="External"/><Relationship Id="rId22087" Type="http://schemas.openxmlformats.org/officeDocument/2006/relationships/hyperlink" Target="http://csr.bu.edu/ftp/asl/asllvd/demos/verify_start_end_handshape_annotations//test_auto_move//signs_mov_separ_signers/Liz_4703.mov" TargetMode="External"/><Relationship Id="rId22088" Type="http://schemas.openxmlformats.org/officeDocument/2006/relationships/hyperlink" Target="http://secrets.rutgers.edu:8080/data/asl-ftp/asllvd/demos/verify_start_end_handshape_annotations//test_auto_move//signs_mov_separ_signers/Liz_4703.mov" TargetMode="External"/><Relationship Id="rId22089" Type="http://schemas.openxmlformats.org/officeDocument/2006/relationships/hyperlink" Target="http://csr.bu.edu/ftp/asl/asllvd/demos/verify_start_end_handshape_annotations//test_auto_move//signs_mov_separ_signers/Liz_15749.mov" TargetMode="External"/><Relationship Id="rId22090" Type="http://schemas.openxmlformats.org/officeDocument/2006/relationships/hyperlink" Target="http://secrets.rutgers.edu:8080/data/asl-ftp/asllvd/demos/verify_start_end_handshape_annotations//test_auto_move//signs_mov_separ_signers/Liz_15749.mov" TargetMode="External"/><Relationship Id="rId22091" Type="http://schemas.openxmlformats.org/officeDocument/2006/relationships/hyperlink" Target="http://csr.bu.edu/ftp/asl/asllvd/demos/verify_start_end_handshape_annotations//test_auto_move//signs_mov/4703_15749_merged.mov" TargetMode="External"/><Relationship Id="rId22092" Type="http://schemas.openxmlformats.org/officeDocument/2006/relationships/hyperlink" Target="http://csr.bu.edu/ftp/asl/asllvd/demos/verify_start_end_handshape_annotations//test_auto_move//signs_mov_separ_signers/Tyler_4703.mov" TargetMode="External"/><Relationship Id="rId22093" Type="http://schemas.openxmlformats.org/officeDocument/2006/relationships/hyperlink" Target="http://secrets.rutgers.edu:8080/data/asl-ftp/asllvd/demos/verify_start_end_handshape_annotations//test_auto_move//signs_mov/4703_15749_merged.mov" TargetMode="External"/><Relationship Id="rId22094" Type="http://schemas.openxmlformats.org/officeDocument/2006/relationships/hyperlink" Target="http://secrets.rutgers.edu:8080/data/asl-ftp/asllvd/demos/verify_start_end_handshape_annotations//test_auto_move//signs_mov_separ_signers/Tyler_4703.mov" TargetMode="External"/><Relationship Id="rId22095" Type="http://schemas.openxmlformats.org/officeDocument/2006/relationships/hyperlink" Target="http://csr.bu.edu/ftp/asl/asllvd/demos/verify_start_end_handshape_annotations//test_auto_move//signs_mov_separ_signers/Tyler_15749.mov" TargetMode="External"/><Relationship Id="rId22096" Type="http://schemas.openxmlformats.org/officeDocument/2006/relationships/hyperlink" Target="http://secrets.rutgers.edu:8080/data/asl-ftp/asllvd/demos/verify_start_end_handshape_annotations//test_auto_move//signs_mov_separ_signers/Tyler_15749.mov" TargetMode="External"/><Relationship Id="rId22097" Type="http://schemas.openxmlformats.org/officeDocument/2006/relationships/hyperlink" Target="http://csr.bu.edu/ftp/asl/asllvd/demos/verify_start_end_handshape_annotations//test_auto_move//signs_mov_separ_signers/Naomi_4703.mov" TargetMode="External"/><Relationship Id="rId22098" Type="http://schemas.openxmlformats.org/officeDocument/2006/relationships/hyperlink" Target="http://secrets.rutgers.edu:8080/data/asl-ftp/asllvd/demos/verify_start_end_handshape_annotations//test_auto_move//signs_mov_separ_signers/Naomi_4703.mov" TargetMode="External"/><Relationship Id="rId22099" Type="http://schemas.openxmlformats.org/officeDocument/2006/relationships/hyperlink" Target="http://csr.bu.edu/ftp/asl/asllvd/demos/verify_start_end_handshape_annotations//test_auto_move//signs_mov_separ_signers/Brady_4703.mov" TargetMode="External"/><Relationship Id="rId22100" Type="http://schemas.openxmlformats.org/officeDocument/2006/relationships/hyperlink" Target="http://secrets.rutgers.edu:8080/data/asl-ftp/asllvd/demos/verify_start_end_handshape_annotations//test_auto_move//signs_mov_separ_signers/Brady_4703.mov" TargetMode="External"/><Relationship Id="rId22101" Type="http://schemas.openxmlformats.org/officeDocument/2006/relationships/hyperlink" Target="http://csr.bu.edu/ftp/asl/asllvd/demos/verify_start_end_handshape_annotations//test_auto_move//signs_mov_separ_signers/Liz_15765.mov" TargetMode="External"/><Relationship Id="rId22102" Type="http://schemas.openxmlformats.org/officeDocument/2006/relationships/hyperlink" Target="http://secrets.rutgers.edu:8080/data/asl-ftp/asllvd/demos/verify_start_end_handshape_annotations//test_auto_move//signs_mov_separ_signers/Liz_15765.mov" TargetMode="External"/><Relationship Id="rId22103" Type="http://schemas.openxmlformats.org/officeDocument/2006/relationships/hyperlink" Target="http://csr.bu.edu/ftp/asl/asllvd/demos/verify_start_end_handshape_annotations//test_auto_move//signs_mov/15765.mov" TargetMode="External"/><Relationship Id="rId22104" Type="http://schemas.openxmlformats.org/officeDocument/2006/relationships/hyperlink" Target="http://csr.bu.edu/ftp/asl/asllvd/demos/verify_start_end_handshape_annotations//test_auto_move//signs_mov_separ_signers/Tyler_15765.mov" TargetMode="External"/><Relationship Id="rId22105" Type="http://schemas.openxmlformats.org/officeDocument/2006/relationships/hyperlink" Target="http://secrets.rutgers.edu:8080/data/asl-ftp/asllvd/demos/verify_start_end_handshape_annotations//test_auto_move//signs_mov/15765.mov" TargetMode="External"/><Relationship Id="rId22106" Type="http://schemas.openxmlformats.org/officeDocument/2006/relationships/hyperlink" Target="http://secrets.rutgers.edu:8080/data/asl-ftp/asllvd/demos/verify_start_end_handshape_annotations//test_auto_move//signs_mov_separ_signers/Tyler_15765.mov" TargetMode="External"/><Relationship Id="rId22107" Type="http://schemas.openxmlformats.org/officeDocument/2006/relationships/hyperlink" Target="http://csr.bu.edu/ftp/asl/asllvd/demos/verify_start_end_handshape_annotations//test_auto_move//signs_mov_separ_signers/Naomi_15765.mov" TargetMode="External"/><Relationship Id="rId22108" Type="http://schemas.openxmlformats.org/officeDocument/2006/relationships/hyperlink" Target="http://secrets.rutgers.edu:8080/data/asl-ftp/asllvd/demos/verify_start_end_handshape_annotations//test_auto_move//signs_mov_separ_signers/Naomi_15765.mov" TargetMode="External"/><Relationship Id="rId22109" Type="http://schemas.openxmlformats.org/officeDocument/2006/relationships/hyperlink" Target="http://csr.bu.edu/ftp/asl/asllvd/demos/verify_start_end_handshape_annotations//test_auto_move//signs_mov_separ_signers/Brady_15765.mov" TargetMode="External"/><Relationship Id="rId22110" Type="http://schemas.openxmlformats.org/officeDocument/2006/relationships/hyperlink" Target="http://secrets.rutgers.edu:8080/data/asl-ftp/asllvd/demos/verify_start_end_handshape_annotations//test_auto_move//signs_mov_separ_signers/Brady_15765.mov" TargetMode="External"/><Relationship Id="rId22111" Type="http://schemas.openxmlformats.org/officeDocument/2006/relationships/hyperlink" Target="http://csr.bu.edu/ftp/asl/asllvd/demos/verify_start_end_handshape_annotations//test_auto_move//signs_mov/4710.mov" TargetMode="External"/><Relationship Id="rId22112" Type="http://schemas.openxmlformats.org/officeDocument/2006/relationships/hyperlink" Target="http://csr.bu.edu/ftp/asl/asllvd/demos/verify_start_end_handshape_annotations//test_auto_move//signs_mov_separ_signers/Liz_4710.mov" TargetMode="External"/><Relationship Id="rId22113" Type="http://schemas.openxmlformats.org/officeDocument/2006/relationships/hyperlink" Target="http://secrets.rutgers.edu:8080/data/asl-ftp/asllvd/demos/verify_start_end_handshape_annotations//test_auto_move//signs_mov/4710.mov" TargetMode="External"/><Relationship Id="rId22114" Type="http://schemas.openxmlformats.org/officeDocument/2006/relationships/hyperlink" Target="http://secrets.rutgers.edu:8080/data/asl-ftp/asllvd/demos/verify_start_end_handshape_annotations//test_auto_move//signs_mov_separ_signers/Liz_4710.mov" TargetMode="External"/><Relationship Id="rId22115" Type="http://schemas.openxmlformats.org/officeDocument/2006/relationships/hyperlink" Target="http://csr.bu.edu/ftp/asl/asllvd/demos/verify_start_end_handshape_annotations//test_auto_move//signs_mov_separ_signers/Brady_4710.mov" TargetMode="External"/><Relationship Id="rId22116" Type="http://schemas.openxmlformats.org/officeDocument/2006/relationships/hyperlink" Target="http://secrets.rutgers.edu:8080/data/asl-ftp/asllvd/demos/verify_start_end_handshape_annotations//test_auto_move//signs_mov_separ_signers/Brady_4710.mov" TargetMode="External"/><Relationship Id="rId22117" Type="http://schemas.openxmlformats.org/officeDocument/2006/relationships/hyperlink" Target="http://csr.bu.edu/ftp/asl/asllvd/demos/verify_start_end_handshape_annotations//test_auto_move//signs_mov_separ_signers/Liz_15817.mov" TargetMode="External"/><Relationship Id="rId22118" Type="http://schemas.openxmlformats.org/officeDocument/2006/relationships/hyperlink" Target="http://secrets.rutgers.edu:8080/data/asl-ftp/asllvd/demos/verify_start_end_handshape_annotations//test_auto_move//signs_mov_separ_signers/Liz_15817.mov" TargetMode="External"/><Relationship Id="rId22119" Type="http://schemas.openxmlformats.org/officeDocument/2006/relationships/hyperlink" Target="http://csr.bu.edu/ftp/asl/asllvd/demos/verify_start_end_handshape_annotations//test_auto_move//signs_mov/15817.mov" TargetMode="External"/><Relationship Id="rId22120" Type="http://schemas.openxmlformats.org/officeDocument/2006/relationships/hyperlink" Target="http://csr.bu.edu/ftp/asl/asllvd/demos/verify_start_end_handshape_annotations//test_auto_move//signs_mov_separ_signers/Naomi_15817.mov" TargetMode="External"/><Relationship Id="rId22121" Type="http://schemas.openxmlformats.org/officeDocument/2006/relationships/hyperlink" Target="http://secrets.rutgers.edu:8080/data/asl-ftp/asllvd/demos/verify_start_end_handshape_annotations//test_auto_move//signs_mov/15817.mov" TargetMode="External"/><Relationship Id="rId22122" Type="http://schemas.openxmlformats.org/officeDocument/2006/relationships/hyperlink" Target="http://secrets.rutgers.edu:8080/data/asl-ftp/asllvd/demos/verify_start_end_handshape_annotations//test_auto_move//signs_mov_separ_signers/Naomi_15817.mov" TargetMode="External"/><Relationship Id="rId22123" Type="http://schemas.openxmlformats.org/officeDocument/2006/relationships/hyperlink" Target="http://csr.bu.edu/ftp/asl/asllvd/demos/verify_start_end_handshape_annotations//test_auto_move//signs_mov_separ_signers/Brady_15817.mov" TargetMode="External"/><Relationship Id="rId22124" Type="http://schemas.openxmlformats.org/officeDocument/2006/relationships/hyperlink" Target="http://secrets.rutgers.edu:8080/data/asl-ftp/asllvd/demos/verify_start_end_handshape_annotations//test_auto_move//signs_mov_separ_signers/Brady_15817.mov" TargetMode="External"/><Relationship Id="rId22125" Type="http://schemas.openxmlformats.org/officeDocument/2006/relationships/hyperlink" Target="http://csr.bu.edu/ftp/asl/asllvd/demos/verify_start_end_handshape_annotations//test_auto_move//signs_mov/15901.mov" TargetMode="External"/><Relationship Id="rId22126" Type="http://schemas.openxmlformats.org/officeDocument/2006/relationships/hyperlink" Target="http://csr.bu.edu/ftp/asl/asllvd/demos/verify_start_end_handshape_annotations//test_auto_move//signs_mov_separ_signers/Tyler_15901.mov" TargetMode="External"/><Relationship Id="rId22127" Type="http://schemas.openxmlformats.org/officeDocument/2006/relationships/hyperlink" Target="http://secrets.rutgers.edu:8080/data/asl-ftp/asllvd/demos/verify_start_end_handshape_annotations//test_auto_move//signs_mov/15901.mov" TargetMode="External"/><Relationship Id="rId22128" Type="http://schemas.openxmlformats.org/officeDocument/2006/relationships/hyperlink" Target="http://secrets.rutgers.edu:8080/data/asl-ftp/asllvd/demos/verify_start_end_handshape_annotations//test_auto_move//signs_mov_separ_signers/Tyler_15901.mov" TargetMode="External"/><Relationship Id="rId22129" Type="http://schemas.openxmlformats.org/officeDocument/2006/relationships/hyperlink" Target="http://csr.bu.edu/ftp/asl/asllvd/demos/verify_start_end_handshape_annotations//test_auto_move//signs_mov_separ_signers/Liz_4711.mov" TargetMode="External"/><Relationship Id="rId22130" Type="http://schemas.openxmlformats.org/officeDocument/2006/relationships/hyperlink" Target="http://secrets.rutgers.edu:8080/data/asl-ftp/asllvd/demos/verify_start_end_handshape_annotations//test_auto_move//signs_mov_separ_signers/Liz_4711.mov" TargetMode="External"/><Relationship Id="rId22131" Type="http://schemas.openxmlformats.org/officeDocument/2006/relationships/hyperlink" Target="http://csr.bu.edu/ftp/asl/asllvd/demos/verify_start_end_handshape_annotations//test_auto_move//signs_mov_separ_signers/Liz_15837.mov" TargetMode="External"/><Relationship Id="rId22132" Type="http://schemas.openxmlformats.org/officeDocument/2006/relationships/hyperlink" Target="http://secrets.rutgers.edu:8080/data/asl-ftp/asllvd/demos/verify_start_end_handshape_annotations//test_auto_move//signs_mov_separ_signers/Liz_15837.mov" TargetMode="External"/><Relationship Id="rId22133" Type="http://schemas.openxmlformats.org/officeDocument/2006/relationships/hyperlink" Target="http://csr.bu.edu/ftp/asl/asllvd/demos/verify_start_end_handshape_annotations//test_auto_move//signs_mov_separ_signers/Naomi_4711.mov" TargetMode="External"/><Relationship Id="rId22134" Type="http://schemas.openxmlformats.org/officeDocument/2006/relationships/hyperlink" Target="http://secrets.rutgers.edu:8080/data/asl-ftp/asllvd/demos/verify_start_end_handshape_annotations//test_auto_move//signs_mov_separ_signers/Naomi_4711.mov" TargetMode="External"/><Relationship Id="rId22135" Type="http://schemas.openxmlformats.org/officeDocument/2006/relationships/hyperlink" Target="http://csr.bu.edu/ftp/asl/asllvd/demos/verify_start_end_handshape_annotations//test_auto_move//signs_mov/4711_15837_15852_15864_merged.mov" TargetMode="External"/><Relationship Id="rId22136" Type="http://schemas.openxmlformats.org/officeDocument/2006/relationships/hyperlink" Target="http://csr.bu.edu/ftp/asl/asllvd/demos/verify_start_end_handshape_annotations//test_auto_move//signs_mov_separ_signers/Brady_4711.mov" TargetMode="External"/><Relationship Id="rId22137" Type="http://schemas.openxmlformats.org/officeDocument/2006/relationships/hyperlink" Target="http://secrets.rutgers.edu:8080/data/asl-ftp/asllvd/demos/verify_start_end_handshape_annotations//test_auto_move//signs_mov/4711_15837_15852_15864_merged.mov" TargetMode="External"/><Relationship Id="rId22138" Type="http://schemas.openxmlformats.org/officeDocument/2006/relationships/hyperlink" Target="http://secrets.rutgers.edu:8080/data/asl-ftp/asllvd/demos/verify_start_end_handshape_annotations//test_auto_move//signs_mov_separ_signers/Brady_4711.mov" TargetMode="External"/><Relationship Id="rId22139" Type="http://schemas.openxmlformats.org/officeDocument/2006/relationships/hyperlink" Target="http://csr.bu.edu/ftp/asl/asllvd/demos/verify_start_end_handshape_annotations//test_auto_move//signs_mov_separ_signers/Brady_15837.mov" TargetMode="External"/><Relationship Id="rId22140" Type="http://schemas.openxmlformats.org/officeDocument/2006/relationships/hyperlink" Target="http://secrets.rutgers.edu:8080/data/asl-ftp/asllvd/demos/verify_start_end_handshape_annotations//test_auto_move//signs_mov_separ_signers/Brady_15837.mov" TargetMode="External"/><Relationship Id="rId22141" Type="http://schemas.openxmlformats.org/officeDocument/2006/relationships/hyperlink" Target="http://csr.bu.edu/ftp/asl/asllvd/demos/verify_start_end_handshape_annotations//test_auto_move//signs_mov_separ_signers/Brady_15852.mov" TargetMode="External"/><Relationship Id="rId22142" Type="http://schemas.openxmlformats.org/officeDocument/2006/relationships/hyperlink" Target="http://secrets.rutgers.edu:8080/data/asl-ftp/asllvd/demos/verify_start_end_handshape_annotations//test_auto_move//signs_mov_separ_signers/Brady_15852.mov" TargetMode="External"/><Relationship Id="rId22143" Type="http://schemas.openxmlformats.org/officeDocument/2006/relationships/hyperlink" Target="http://csr.bu.edu/ftp/asl/asllvd/demos/verify_start_end_handshape_annotations//test_auto_move//signs_mov_separ_signers/Brady_15864.mov" TargetMode="External"/><Relationship Id="rId22144" Type="http://schemas.openxmlformats.org/officeDocument/2006/relationships/hyperlink" Target="http://secrets.rutgers.edu:8080/data/asl-ftp/asllvd/demos/verify_start_end_handshape_annotations//test_auto_move//signs_mov_separ_signers/Brady_15864.mov" TargetMode="External"/><Relationship Id="rId22145" Type="http://schemas.openxmlformats.org/officeDocument/2006/relationships/hyperlink" Target="http://csr.bu.edu/ftp/asl/asllvd/demos/verify_start_end_handshape_annotations//test_auto_move//signs_mov/15902.mov" TargetMode="External"/><Relationship Id="rId22146" Type="http://schemas.openxmlformats.org/officeDocument/2006/relationships/hyperlink" Target="http://csr.bu.edu/ftp/asl/asllvd/demos/verify_start_end_handshape_annotations//test_auto_move//signs_mov_separ_signers/Liz_15902.mov" TargetMode="External"/><Relationship Id="rId22147" Type="http://schemas.openxmlformats.org/officeDocument/2006/relationships/hyperlink" Target="http://secrets.rutgers.edu:8080/data/asl-ftp/asllvd/demos/verify_start_end_handshape_annotations//test_auto_move//signs_mov/15902.mov" TargetMode="External"/><Relationship Id="rId22148" Type="http://schemas.openxmlformats.org/officeDocument/2006/relationships/hyperlink" Target="http://secrets.rutgers.edu:8080/data/asl-ftp/asllvd/demos/verify_start_end_handshape_annotations//test_auto_move//signs_mov_separ_signers/Liz_15902.mov" TargetMode="External"/><Relationship Id="rId22149" Type="http://schemas.openxmlformats.org/officeDocument/2006/relationships/hyperlink" Target="http://csr.bu.edu/ftp/asl/asllvd/demos/verify_start_end_handshape_annotations//test_auto_move//signs_mov_separ_signers/Liz_4715.mov" TargetMode="External"/><Relationship Id="rId22150" Type="http://schemas.openxmlformats.org/officeDocument/2006/relationships/hyperlink" Target="http://secrets.rutgers.edu:8080/data/asl-ftp/asllvd/demos/verify_start_end_handshape_annotations//test_auto_move//signs_mov_separ_signers/Liz_4715.mov" TargetMode="External"/><Relationship Id="rId22151" Type="http://schemas.openxmlformats.org/officeDocument/2006/relationships/hyperlink" Target="http://csr.bu.edu/ftp/asl/asllvd/demos/verify_start_end_handshape_annotations//test_auto_move//signs_mov_separ_signers/Tyler_4715.mov" TargetMode="External"/><Relationship Id="rId22152" Type="http://schemas.openxmlformats.org/officeDocument/2006/relationships/hyperlink" Target="http://secrets.rutgers.edu:8080/data/asl-ftp/asllvd/demos/verify_start_end_handshape_annotations//test_auto_move//signs_mov_separ_signers/Tyler_4715.mov" TargetMode="External"/><Relationship Id="rId22153" Type="http://schemas.openxmlformats.org/officeDocument/2006/relationships/hyperlink" Target="http://csr.bu.edu/ftp/asl/asllvd/demos/verify_start_end_handshape_annotations//test_auto_move//signs_mov/4715_15936_merged.mov" TargetMode="External"/><Relationship Id="rId22154" Type="http://schemas.openxmlformats.org/officeDocument/2006/relationships/hyperlink" Target="http://csr.bu.edu/ftp/asl/asllvd/demos/verify_start_end_handshape_annotations//test_auto_move//signs_mov_separ_signers/Tyler_15936.mov" TargetMode="External"/><Relationship Id="rId22155" Type="http://schemas.openxmlformats.org/officeDocument/2006/relationships/hyperlink" Target="http://secrets.rutgers.edu:8080/data/asl-ftp/asllvd/demos/verify_start_end_handshape_annotations//test_auto_move//signs_mov/4715_15936_merged.mov" TargetMode="External"/><Relationship Id="rId22156" Type="http://schemas.openxmlformats.org/officeDocument/2006/relationships/hyperlink" Target="http://secrets.rutgers.edu:8080/data/asl-ftp/asllvd/demos/verify_start_end_handshape_annotations//test_auto_move//signs_mov_separ_signers/Tyler_15936.mov" TargetMode="External"/><Relationship Id="rId22157" Type="http://schemas.openxmlformats.org/officeDocument/2006/relationships/hyperlink" Target="http://csr.bu.edu/ftp/asl/asllvd/demos/verify_start_end_handshape_annotations//test_auto_move//signs_mov_separ_signers/Naomi_4715.mov" TargetMode="External"/><Relationship Id="rId22158" Type="http://schemas.openxmlformats.org/officeDocument/2006/relationships/hyperlink" Target="http://secrets.rutgers.edu:8080/data/asl-ftp/asllvd/demos/verify_start_end_handshape_annotations//test_auto_move//signs_mov_separ_signers/Naomi_4715.mov" TargetMode="External"/><Relationship Id="rId22159" Type="http://schemas.openxmlformats.org/officeDocument/2006/relationships/hyperlink" Target="http://csr.bu.edu/ftp/asl/asllvd/demos/verify_start_end_handshape_annotations//test_auto_move//signs_mov_separ_signers/Brady_4715.mov" TargetMode="External"/><Relationship Id="rId22160" Type="http://schemas.openxmlformats.org/officeDocument/2006/relationships/hyperlink" Target="http://secrets.rutgers.edu:8080/data/asl-ftp/asllvd/demos/verify_start_end_handshape_annotations//test_auto_move//signs_mov_separ_signers/Brady_4715.mov" TargetMode="External"/><Relationship Id="rId22161" Type="http://schemas.openxmlformats.org/officeDocument/2006/relationships/hyperlink" Target="http://csr.bu.edu/ftp/asl/asllvd/demos/verify_start_end_handshape_annotations//test_auto_move//signs_mov/16131.mov" TargetMode="External"/><Relationship Id="rId22162" Type="http://schemas.openxmlformats.org/officeDocument/2006/relationships/hyperlink" Target="http://csr.bu.edu/ftp/asl/asllvd/demos/verify_start_end_handshape_annotations//test_auto_move//signs_mov_separ_signers/Liz_16131.mov" TargetMode="External"/><Relationship Id="rId22163" Type="http://schemas.openxmlformats.org/officeDocument/2006/relationships/hyperlink" Target="http://secrets.rutgers.edu:8080/data/asl-ftp/asllvd/demos/verify_start_end_handshape_annotations//test_auto_move//signs_mov/16131.mov" TargetMode="External"/><Relationship Id="rId22164" Type="http://schemas.openxmlformats.org/officeDocument/2006/relationships/hyperlink" Target="http://secrets.rutgers.edu:8080/data/asl-ftp/asllvd/demos/verify_start_end_handshape_annotations//test_auto_move//signs_mov_separ_signers/Liz_16131.mov" TargetMode="External"/><Relationship Id="rId22165" Type="http://schemas.openxmlformats.org/officeDocument/2006/relationships/hyperlink" Target="http://csr.bu.edu/ftp/asl/asllvd/demos/verify_start_end_handshape_annotations//test_auto_move//signs_mov_separ_signers/Brady_16131.mov" TargetMode="External"/><Relationship Id="rId22166" Type="http://schemas.openxmlformats.org/officeDocument/2006/relationships/hyperlink" Target="http://secrets.rutgers.edu:8080/data/asl-ftp/asllvd/demos/verify_start_end_handshape_annotations//test_auto_move//signs_mov_separ_signers/Brady_16131.mov" TargetMode="External"/><Relationship Id="rId22167" Type="http://schemas.openxmlformats.org/officeDocument/2006/relationships/hyperlink" Target="http://csr.bu.edu/ftp/asl/asllvd/demos/verify_start_end_handshape_annotations//test_auto_move//signs_mov_separ_signers/Liz_4721.mov" TargetMode="External"/><Relationship Id="rId22168" Type="http://schemas.openxmlformats.org/officeDocument/2006/relationships/hyperlink" Target="http://secrets.rutgers.edu:8080/data/asl-ftp/asllvd/demos/verify_start_end_handshape_annotations//test_auto_move//signs_mov_separ_signers/Liz_4721.mov" TargetMode="External"/><Relationship Id="rId22169" Type="http://schemas.openxmlformats.org/officeDocument/2006/relationships/hyperlink" Target="http://csr.bu.edu/ftp/asl/asllvd/demos/verify_start_end_handshape_annotations//test_auto_move//signs_mov_separ_signers/Liz_15991.mov" TargetMode="External"/><Relationship Id="rId22170" Type="http://schemas.openxmlformats.org/officeDocument/2006/relationships/hyperlink" Target="http://secrets.rutgers.edu:8080/data/asl-ftp/asllvd/demos/verify_start_end_handshape_annotations//test_auto_move//signs_mov_separ_signers/Liz_15991.mov" TargetMode="External"/><Relationship Id="rId22171" Type="http://schemas.openxmlformats.org/officeDocument/2006/relationships/hyperlink" Target="http://csr.bu.edu/ftp/asl/asllvd/demos/verify_start_end_handshape_annotations//test_auto_move//signs_mov_separ_signers/Tyler_4721.mov" TargetMode="External"/><Relationship Id="rId22172" Type="http://schemas.openxmlformats.org/officeDocument/2006/relationships/hyperlink" Target="http://secrets.rutgers.edu:8080/data/asl-ftp/asllvd/demos/verify_start_end_handshape_annotations//test_auto_move//signs_mov_separ_signers/Tyler_4721.mov" TargetMode="External"/><Relationship Id="rId22173" Type="http://schemas.openxmlformats.org/officeDocument/2006/relationships/hyperlink" Target="http://csr.bu.edu/ftp/asl/asllvd/demos/verify_start_end_handshape_annotations//test_auto_move//signs_mov/4721_15991_merged.mov" TargetMode="External"/><Relationship Id="rId22174" Type="http://schemas.openxmlformats.org/officeDocument/2006/relationships/hyperlink" Target="http://csr.bu.edu/ftp/asl/asllvd/demos/verify_start_end_handshape_annotations//test_auto_move//signs_mov_separ_signers/Naomi_4721.mov" TargetMode="External"/><Relationship Id="rId22175" Type="http://schemas.openxmlformats.org/officeDocument/2006/relationships/hyperlink" Target="http://secrets.rutgers.edu:8080/data/asl-ftp/asllvd/demos/verify_start_end_handshape_annotations//test_auto_move//signs_mov/4721_15991_merged.mov" TargetMode="External"/><Relationship Id="rId22176" Type="http://schemas.openxmlformats.org/officeDocument/2006/relationships/hyperlink" Target="http://secrets.rutgers.edu:8080/data/asl-ftp/asllvd/demos/verify_start_end_handshape_annotations//test_auto_move//signs_mov_separ_signers/Naomi_4721.mov" TargetMode="External"/><Relationship Id="rId22177" Type="http://schemas.openxmlformats.org/officeDocument/2006/relationships/hyperlink" Target="http://csr.bu.edu/ftp/asl/asllvd/demos/verify_start_end_handshape_annotations//test_auto_move//signs_mov_separ_signers/Naomi_15991.mov" TargetMode="External"/><Relationship Id="rId22178" Type="http://schemas.openxmlformats.org/officeDocument/2006/relationships/hyperlink" Target="http://secrets.rutgers.edu:8080/data/asl-ftp/asllvd/demos/verify_start_end_handshape_annotations//test_auto_move//signs_mov_separ_signers/Naomi_15991.mov" TargetMode="External"/><Relationship Id="rId22179" Type="http://schemas.openxmlformats.org/officeDocument/2006/relationships/hyperlink" Target="http://csr.bu.edu/ftp/asl/asllvd/demos/verify_start_end_handshape_annotations//test_auto_move//signs_mov_separ_signers/Brady_4721.mov" TargetMode="External"/><Relationship Id="rId22180" Type="http://schemas.openxmlformats.org/officeDocument/2006/relationships/hyperlink" Target="http://secrets.rutgers.edu:8080/data/asl-ftp/asllvd/demos/verify_start_end_handshape_annotations//test_auto_move//signs_mov_separ_signers/Brady_4721.mov" TargetMode="External"/><Relationship Id="rId22181" Type="http://schemas.openxmlformats.org/officeDocument/2006/relationships/hyperlink" Target="http://csr.bu.edu/ftp/asl/asllvd/demos/verify_start_end_handshape_annotations//test_auto_move//signs_mov_separ_signers/Brady_15991.mov" TargetMode="External"/><Relationship Id="rId22182" Type="http://schemas.openxmlformats.org/officeDocument/2006/relationships/hyperlink" Target="http://secrets.rutgers.edu:8080/data/asl-ftp/asllvd/demos/verify_start_end_handshape_annotations//test_auto_move//signs_mov_separ_signers/Brady_15991.mov" TargetMode="External"/><Relationship Id="rId22183" Type="http://schemas.openxmlformats.org/officeDocument/2006/relationships/hyperlink" Target="http://csr.bu.edu/ftp/asl/asllvd/demos/verify_start_end_handshape_annotations//test_auto_move//signs_mov/16058.mov" TargetMode="External"/><Relationship Id="rId22184" Type="http://schemas.openxmlformats.org/officeDocument/2006/relationships/hyperlink" Target="http://csr.bu.edu/ftp/asl/asllvd/demos/verify_start_end_handshape_annotations//test_auto_move//signs_mov_separ_signers/Liz_16058.mov" TargetMode="External"/><Relationship Id="rId22185" Type="http://schemas.openxmlformats.org/officeDocument/2006/relationships/hyperlink" Target="http://secrets.rutgers.edu:8080/data/asl-ftp/asllvd/demos/verify_start_end_handshape_annotations//test_auto_move//signs_mov/16058.mov" TargetMode="External"/><Relationship Id="rId22186" Type="http://schemas.openxmlformats.org/officeDocument/2006/relationships/hyperlink" Target="http://secrets.rutgers.edu:8080/data/asl-ftp/asllvd/demos/verify_start_end_handshape_annotations//test_auto_move//signs_mov_separ_signers/Liz_16058.mov" TargetMode="External"/><Relationship Id="rId22187" Type="http://schemas.openxmlformats.org/officeDocument/2006/relationships/hyperlink" Target="http://csr.bu.edu/ftp/asl/asllvd/demos/verify_start_end_handshape_annotations//test_auto_move//signs_mov_separ_signers/Liz_4739.mov" TargetMode="External"/><Relationship Id="rId22188" Type="http://schemas.openxmlformats.org/officeDocument/2006/relationships/hyperlink" Target="http://secrets.rutgers.edu:8080/data/asl-ftp/asllvd/demos/verify_start_end_handshape_annotations//test_auto_move//signs_mov_separ_signers/Liz_4739.mov" TargetMode="External"/><Relationship Id="rId22189" Type="http://schemas.openxmlformats.org/officeDocument/2006/relationships/hyperlink" Target="http://csr.bu.edu/ftp/asl/asllvd/demos/verify_start_end_handshape_annotations//test_auto_move//signs_mov/4739_16229_merged.mov" TargetMode="External"/><Relationship Id="rId22190" Type="http://schemas.openxmlformats.org/officeDocument/2006/relationships/hyperlink" Target="http://csr.bu.edu/ftp/asl/asllvd/demos/verify_start_end_handshape_annotations//test_auto_move//signs_mov_separ_signers/Tyler_4739.mov" TargetMode="External"/><Relationship Id="rId22191" Type="http://schemas.openxmlformats.org/officeDocument/2006/relationships/hyperlink" Target="http://secrets.rutgers.edu:8080/data/asl-ftp/asllvd/demos/verify_start_end_handshape_annotations//test_auto_move//signs_mov/4739_16229_merged.mov" TargetMode="External"/><Relationship Id="rId22192" Type="http://schemas.openxmlformats.org/officeDocument/2006/relationships/hyperlink" Target="http://secrets.rutgers.edu:8080/data/asl-ftp/asllvd/demos/verify_start_end_handshape_annotations//test_auto_move//signs_mov_separ_signers/Tyler_4739.mov" TargetMode="External"/><Relationship Id="rId22193" Type="http://schemas.openxmlformats.org/officeDocument/2006/relationships/hyperlink" Target="http://csr.bu.edu/ftp/asl/asllvd/demos/verify_start_end_handshape_annotations//test_auto_move//signs_mov_separ_signers/Brady_4739.mov" TargetMode="External"/><Relationship Id="rId22194" Type="http://schemas.openxmlformats.org/officeDocument/2006/relationships/hyperlink" Target="http://secrets.rutgers.edu:8080/data/asl-ftp/asllvd/demos/verify_start_end_handshape_annotations//test_auto_move//signs_mov_separ_signers/Brady_4739.mov" TargetMode="External"/><Relationship Id="rId22195" Type="http://schemas.openxmlformats.org/officeDocument/2006/relationships/hyperlink" Target="http://csr.bu.edu/ftp/asl/asllvd/demos/verify_start_end_handshape_annotations//test_auto_move//signs_mov_separ_signers/Brady_16229.mov" TargetMode="External"/><Relationship Id="rId22196" Type="http://schemas.openxmlformats.org/officeDocument/2006/relationships/hyperlink" Target="http://secrets.rutgers.edu:8080/data/asl-ftp/asllvd/demos/verify_start_end_handshape_annotations//test_auto_move//signs_mov_separ_signers/Brady_16229.mov" TargetMode="External"/><Relationship Id="rId22197" Type="http://schemas.openxmlformats.org/officeDocument/2006/relationships/hyperlink" Target="http://csr.bu.edu/ftp/asl/asllvd/demos/verify_start_end_handshape_annotations//test_auto_move//signs_mov/16231.mov" TargetMode="External"/><Relationship Id="rId22198" Type="http://schemas.openxmlformats.org/officeDocument/2006/relationships/hyperlink" Target="http://csr.bu.edu/ftp/asl/asllvd/demos/verify_start_end_handshape_annotations//test_auto_move//signs_mov_separ_signers/Liz_16231.mov" TargetMode="External"/><Relationship Id="rId22199" Type="http://schemas.openxmlformats.org/officeDocument/2006/relationships/hyperlink" Target="http://secrets.rutgers.edu:8080/data/asl-ftp/asllvd/demos/verify_start_end_handshape_annotations//test_auto_move//signs_mov/16231.mov" TargetMode="External"/><Relationship Id="rId22200" Type="http://schemas.openxmlformats.org/officeDocument/2006/relationships/hyperlink" Target="http://secrets.rutgers.edu:8080/data/asl-ftp/asllvd/demos/verify_start_end_handshape_annotations//test_auto_move//signs_mov_separ_signers/Liz_16231.mov" TargetMode="External"/><Relationship Id="rId22201" Type="http://schemas.openxmlformats.org/officeDocument/2006/relationships/hyperlink" Target="http://csr.bu.edu/ftp/asl/asllvd/demos/verify_start_end_handshape_annotations//test_auto_move//signs_mov_separ_signers/Liz_4742.mov" TargetMode="External"/><Relationship Id="rId22202" Type="http://schemas.openxmlformats.org/officeDocument/2006/relationships/hyperlink" Target="http://secrets.rutgers.edu:8080/data/asl-ftp/asllvd/demos/verify_start_end_handshape_annotations//test_auto_move//signs_mov_separ_signers/Liz_4742.mov" TargetMode="External"/><Relationship Id="rId22203" Type="http://schemas.openxmlformats.org/officeDocument/2006/relationships/hyperlink" Target="http://csr.bu.edu/ftp/asl/asllvd/demos/verify_start_end_handshape_annotations//test_auto_move//signs_mov/4742.mov" TargetMode="External"/><Relationship Id="rId22204" Type="http://schemas.openxmlformats.org/officeDocument/2006/relationships/hyperlink" Target="http://csr.bu.edu/ftp/asl/asllvd/demos/verify_start_end_handshape_annotations//test_auto_move//signs_mov_separ_signers/Tyler_4742.mov" TargetMode="External"/><Relationship Id="rId22205" Type="http://schemas.openxmlformats.org/officeDocument/2006/relationships/hyperlink" Target="http://secrets.rutgers.edu:8080/data/asl-ftp/asllvd/demos/verify_start_end_handshape_annotations//test_auto_move//signs_mov/4742.mov" TargetMode="External"/><Relationship Id="rId22206" Type="http://schemas.openxmlformats.org/officeDocument/2006/relationships/hyperlink" Target="http://secrets.rutgers.edu:8080/data/asl-ftp/asllvd/demos/verify_start_end_handshape_annotations//test_auto_move//signs_mov_separ_signers/Tyler_4742.mov" TargetMode="External"/><Relationship Id="rId22207" Type="http://schemas.openxmlformats.org/officeDocument/2006/relationships/hyperlink" Target="http://csr.bu.edu/ftp/asl/asllvd/demos/verify_start_end_handshape_annotations//test_auto_move//signs_mov_separ_signers/Naomi_4742.mov" TargetMode="External"/><Relationship Id="rId22208" Type="http://schemas.openxmlformats.org/officeDocument/2006/relationships/hyperlink" Target="http://secrets.rutgers.edu:8080/data/asl-ftp/asllvd/demos/verify_start_end_handshape_annotations//test_auto_move//signs_mov_separ_signers/Naomi_4742.mov" TargetMode="External"/><Relationship Id="rId22209" Type="http://schemas.openxmlformats.org/officeDocument/2006/relationships/hyperlink" Target="http://csr.bu.edu/ftp/asl/asllvd/demos/verify_start_end_handshape_annotations//test_auto_move//signs_mov/16356.mov" TargetMode="External"/><Relationship Id="rId22210" Type="http://schemas.openxmlformats.org/officeDocument/2006/relationships/hyperlink" Target="http://csr.bu.edu/ftp/asl/asllvd/demos/verify_start_end_handshape_annotations//test_auto_move//signs_mov_separ_signers/Liz_16356.mov" TargetMode="External"/><Relationship Id="rId22211" Type="http://schemas.openxmlformats.org/officeDocument/2006/relationships/hyperlink" Target="http://secrets.rutgers.edu:8080/data/asl-ftp/asllvd/demos/verify_start_end_handshape_annotations//test_auto_move//signs_mov/16356.mov" TargetMode="External"/><Relationship Id="rId22212" Type="http://schemas.openxmlformats.org/officeDocument/2006/relationships/hyperlink" Target="http://secrets.rutgers.edu:8080/data/asl-ftp/asllvd/demos/verify_start_end_handshape_annotations//test_auto_move//signs_mov_separ_signers/Liz_16356.mov" TargetMode="External"/><Relationship Id="rId22213" Type="http://schemas.openxmlformats.org/officeDocument/2006/relationships/hyperlink" Target="http://csr.bu.edu/ftp/asl/asllvd/demos/verify_start_end_handshape_annotations//test_auto_move//signs_mov_separ_signers/Naomi_16356.mov" TargetMode="External"/><Relationship Id="rId22214" Type="http://schemas.openxmlformats.org/officeDocument/2006/relationships/hyperlink" Target="http://secrets.rutgers.edu:8080/data/asl-ftp/asllvd/demos/verify_start_end_handshape_annotations//test_auto_move//signs_mov_separ_signers/Naomi_16356.mov" TargetMode="External"/><Relationship Id="rId22215" Type="http://schemas.openxmlformats.org/officeDocument/2006/relationships/hyperlink" Target="http://csr.bu.edu/ftp/asl/asllvd/demos/verify_start_end_handshape_annotations//test_auto_move//signs_mov_separ_signers/Liz_4747.mov" TargetMode="External"/><Relationship Id="rId22216" Type="http://schemas.openxmlformats.org/officeDocument/2006/relationships/hyperlink" Target="http://secrets.rutgers.edu:8080/data/asl-ftp/asllvd/demos/verify_start_end_handshape_annotations//test_auto_move//signs_mov_separ_signers/Liz_4747.mov" TargetMode="External"/><Relationship Id="rId22217" Type="http://schemas.openxmlformats.org/officeDocument/2006/relationships/hyperlink" Target="http://csr.bu.edu/ftp/asl/asllvd/demos/verify_start_end_handshape_annotations//test_auto_move//signs_mov/4747.mov" TargetMode="External"/><Relationship Id="rId22218" Type="http://schemas.openxmlformats.org/officeDocument/2006/relationships/hyperlink" Target="http://csr.bu.edu/ftp/asl/asllvd/demos/verify_start_end_handshape_annotations//test_auto_move//signs_mov_separ_signers/Tyler_4747.mov" TargetMode="External"/><Relationship Id="rId22219" Type="http://schemas.openxmlformats.org/officeDocument/2006/relationships/hyperlink" Target="http://secrets.rutgers.edu:8080/data/asl-ftp/asllvd/demos/verify_start_end_handshape_annotations//test_auto_move//signs_mov/4747.mov" TargetMode="External"/><Relationship Id="rId22220" Type="http://schemas.openxmlformats.org/officeDocument/2006/relationships/hyperlink" Target="http://secrets.rutgers.edu:8080/data/asl-ftp/asllvd/demos/verify_start_end_handshape_annotations//test_auto_move//signs_mov_separ_signers/Tyler_4747.mov" TargetMode="External"/><Relationship Id="rId22221" Type="http://schemas.openxmlformats.org/officeDocument/2006/relationships/hyperlink" Target="http://csr.bu.edu/ftp/asl/asllvd/demos/verify_start_end_handshape_annotations//test_auto_move//signs_mov_separ_signers/Naomi_4747.mov" TargetMode="External"/><Relationship Id="rId22222" Type="http://schemas.openxmlformats.org/officeDocument/2006/relationships/hyperlink" Target="http://secrets.rutgers.edu:8080/data/asl-ftp/asllvd/demos/verify_start_end_handshape_annotations//test_auto_move//signs_mov_separ_signers/Naomi_4747.mov" TargetMode="External"/><Relationship Id="rId22223" Type="http://schemas.openxmlformats.org/officeDocument/2006/relationships/hyperlink" Target="http://csr.bu.edu/ftp/asl/asllvd/demos/verify_start_end_handshape_annotations//test_auto_move//signs_mov_separ_signers/Liz_16299.mov" TargetMode="External"/><Relationship Id="rId22224" Type="http://schemas.openxmlformats.org/officeDocument/2006/relationships/hyperlink" Target="http://secrets.rutgers.edu:8080/data/asl-ftp/asllvd/demos/verify_start_end_handshape_annotations//test_auto_move//signs_mov_separ_signers/Liz_16299.mov" TargetMode="External"/><Relationship Id="rId22225" Type="http://schemas.openxmlformats.org/officeDocument/2006/relationships/hyperlink" Target="http://csr.bu.edu/ftp/asl/asllvd/demos/verify_start_end_handshape_annotations//test_auto_move//signs_mov/16299_16489_merged.mov" TargetMode="External"/><Relationship Id="rId22226" Type="http://schemas.openxmlformats.org/officeDocument/2006/relationships/hyperlink" Target="http://csr.bu.edu/ftp/asl/asllvd/demos/verify_start_end_handshape_annotations//test_auto_move//signs_mov_separ_signers/Brady_16299.mov" TargetMode="External"/><Relationship Id="rId22227" Type="http://schemas.openxmlformats.org/officeDocument/2006/relationships/hyperlink" Target="http://secrets.rutgers.edu:8080/data/asl-ftp/asllvd/demos/verify_start_end_handshape_annotations//test_auto_move//signs_mov/16299_16489_merged.mov" TargetMode="External"/><Relationship Id="rId22228" Type="http://schemas.openxmlformats.org/officeDocument/2006/relationships/hyperlink" Target="http://secrets.rutgers.edu:8080/data/asl-ftp/asllvd/demos/verify_start_end_handshape_annotations//test_auto_move//signs_mov_separ_signers/Brady_16299.mov" TargetMode="External"/><Relationship Id="rId22229" Type="http://schemas.openxmlformats.org/officeDocument/2006/relationships/hyperlink" Target="http://csr.bu.edu/ftp/asl/asllvd/demos/verify_start_end_handshape_annotations//test_auto_move//signs_mov_separ_signers/Brady_16489.mov" TargetMode="External"/><Relationship Id="rId22230" Type="http://schemas.openxmlformats.org/officeDocument/2006/relationships/hyperlink" Target="http://secrets.rutgers.edu:8080/data/asl-ftp/asllvd/demos/verify_start_end_handshape_annotations//test_auto_move//signs_mov_separ_signers/Brady_16489.mov" TargetMode="External"/><Relationship Id="rId22231" Type="http://schemas.openxmlformats.org/officeDocument/2006/relationships/hyperlink" Target="http://csr.bu.edu/ftp/asl/asllvd/demos/verify_start_end_handshape_annotations//test_auto_move//signs_mov_separ_signers/Liz_4749.mov" TargetMode="External"/><Relationship Id="rId22232" Type="http://schemas.openxmlformats.org/officeDocument/2006/relationships/hyperlink" Target="http://secrets.rutgers.edu:8080/data/asl-ftp/asllvd/demos/verify_start_end_handshape_annotations//test_auto_move//signs_mov_separ_signers/Liz_4749.mov" TargetMode="External"/><Relationship Id="rId22233" Type="http://schemas.openxmlformats.org/officeDocument/2006/relationships/hyperlink" Target="http://csr.bu.edu/ftp/asl/asllvd/demos/verify_start_end_handshape_annotations//test_auto_move//signs_mov/4749.mov" TargetMode="External"/><Relationship Id="rId22234" Type="http://schemas.openxmlformats.org/officeDocument/2006/relationships/hyperlink" Target="http://csr.bu.edu/ftp/asl/asllvd/demos/verify_start_end_handshape_annotations//test_auto_move//signs_mov_separ_signers/Tyler_4749.mov" TargetMode="External"/><Relationship Id="rId22235" Type="http://schemas.openxmlformats.org/officeDocument/2006/relationships/hyperlink" Target="http://secrets.rutgers.edu:8080/data/asl-ftp/asllvd/demos/verify_start_end_handshape_annotations//test_auto_move//signs_mov/4749.mov" TargetMode="External"/><Relationship Id="rId22236" Type="http://schemas.openxmlformats.org/officeDocument/2006/relationships/hyperlink" Target="http://secrets.rutgers.edu:8080/data/asl-ftp/asllvd/demos/verify_start_end_handshape_annotations//test_auto_move//signs_mov_separ_signers/Tyler_4749.mov" TargetMode="External"/><Relationship Id="rId22237" Type="http://schemas.openxmlformats.org/officeDocument/2006/relationships/hyperlink" Target="http://csr.bu.edu/ftp/asl/asllvd/demos/verify_start_end_handshape_annotations//test_auto_move//signs_mov_separ_signers/Naomi_4749.mov" TargetMode="External"/><Relationship Id="rId22238" Type="http://schemas.openxmlformats.org/officeDocument/2006/relationships/hyperlink" Target="http://secrets.rutgers.edu:8080/data/asl-ftp/asllvd/demos/verify_start_end_handshape_annotations//test_auto_move//signs_mov_separ_signers/Naomi_4749.mov" TargetMode="External"/><Relationship Id="rId22239" Type="http://schemas.openxmlformats.org/officeDocument/2006/relationships/hyperlink" Target="http://csr.bu.edu/ftp/asl/asllvd/demos/verify_start_end_handshape_annotations//test_auto_move//signs_mov/16313.mov" TargetMode="External"/><Relationship Id="rId22240" Type="http://schemas.openxmlformats.org/officeDocument/2006/relationships/hyperlink" Target="http://csr.bu.edu/ftp/asl/asllvd/demos/verify_start_end_handshape_annotations//test_auto_move//signs_mov_separ_signers/Liz_16313.mov" TargetMode="External"/><Relationship Id="rId22241" Type="http://schemas.openxmlformats.org/officeDocument/2006/relationships/hyperlink" Target="http://secrets.rutgers.edu:8080/data/asl-ftp/asllvd/demos/verify_start_end_handshape_annotations//test_auto_move//signs_mov/16313.mov" TargetMode="External"/><Relationship Id="rId22242" Type="http://schemas.openxmlformats.org/officeDocument/2006/relationships/hyperlink" Target="http://secrets.rutgers.edu:8080/data/asl-ftp/asllvd/demos/verify_start_end_handshape_annotations//test_auto_move//signs_mov_separ_signers/Liz_16313.mov" TargetMode="External"/><Relationship Id="rId22243" Type="http://schemas.openxmlformats.org/officeDocument/2006/relationships/hyperlink" Target="http://csr.bu.edu/ftp/asl/asllvd/demos/verify_start_end_handshape_annotations//test_auto_move//signs_mov_separ_signers/Naomi_16313.mov" TargetMode="External"/><Relationship Id="rId22244" Type="http://schemas.openxmlformats.org/officeDocument/2006/relationships/hyperlink" Target="http://secrets.rutgers.edu:8080/data/asl-ftp/asllvd/demos/verify_start_end_handshape_annotations//test_auto_move//signs_mov_separ_signers/Naomi_16313.mov" TargetMode="External"/><Relationship Id="rId22245" Type="http://schemas.openxmlformats.org/officeDocument/2006/relationships/hyperlink" Target="http://csr.bu.edu/ftp/asl/asllvd/demos/verify_start_end_handshape_annotations//test_auto_move//signs_mov/16317.mov" TargetMode="External"/><Relationship Id="rId22246" Type="http://schemas.openxmlformats.org/officeDocument/2006/relationships/hyperlink" Target="http://csr.bu.edu/ftp/asl/asllvd/demos/verify_start_end_handshape_annotations//test_auto_move//signs_mov_separ_signers/Brady_16317.mov" TargetMode="External"/><Relationship Id="rId22247" Type="http://schemas.openxmlformats.org/officeDocument/2006/relationships/hyperlink" Target="http://secrets.rutgers.edu:8080/data/asl-ftp/asllvd/demos/verify_start_end_handshape_annotations//test_auto_move//signs_mov/16317.mov" TargetMode="External"/><Relationship Id="rId22248" Type="http://schemas.openxmlformats.org/officeDocument/2006/relationships/hyperlink" Target="http://secrets.rutgers.edu:8080/data/asl-ftp/asllvd/demos/verify_start_end_handshape_annotations//test_auto_move//signs_mov_separ_signers/Brady_16317.mov" TargetMode="External"/><Relationship Id="rId22249" Type="http://schemas.openxmlformats.org/officeDocument/2006/relationships/hyperlink" Target="http://csr.bu.edu/ftp/asl/asllvd/demos/verify_start_end_handshape_annotations//test_auto_move//signs_mov/4751_16399_merged.mov" TargetMode="External"/><Relationship Id="rId22250" Type="http://schemas.openxmlformats.org/officeDocument/2006/relationships/hyperlink" Target="http://csr.bu.edu/ftp/asl/asllvd/demos/verify_start_end_handshape_annotations//test_auto_move//signs_mov_separ_signers/Liz_4751.mov" TargetMode="External"/><Relationship Id="rId22251" Type="http://schemas.openxmlformats.org/officeDocument/2006/relationships/hyperlink" Target="http://secrets.rutgers.edu:8080/data/asl-ftp/asllvd/demos/verify_start_end_handshape_annotations//test_auto_move//signs_mov/4751_16399_merged.mov" TargetMode="External"/><Relationship Id="rId22252" Type="http://schemas.openxmlformats.org/officeDocument/2006/relationships/hyperlink" Target="http://secrets.rutgers.edu:8080/data/asl-ftp/asllvd/demos/verify_start_end_handshape_annotations//test_auto_move//signs_mov_separ_signers/Liz_4751.mov" TargetMode="External"/><Relationship Id="rId22253" Type="http://schemas.openxmlformats.org/officeDocument/2006/relationships/hyperlink" Target="http://csr.bu.edu/ftp/asl/asllvd/demos/verify_start_end_handshape_annotations//test_auto_move//signs_mov_separ_signers/Liz_16399.mov" TargetMode="External"/><Relationship Id="rId22254" Type="http://schemas.openxmlformats.org/officeDocument/2006/relationships/hyperlink" Target="http://secrets.rutgers.edu:8080/data/asl-ftp/asllvd/demos/verify_start_end_handshape_annotations//test_auto_move//signs_mov_separ_signers/Liz_16399.mov" TargetMode="External"/><Relationship Id="rId22255" Type="http://schemas.openxmlformats.org/officeDocument/2006/relationships/hyperlink" Target="http://csr.bu.edu/ftp/asl/asllvd/demos/verify_start_end_handshape_annotations//test_auto_move//signs_mov/4752.mov" TargetMode="External"/><Relationship Id="rId22256" Type="http://schemas.openxmlformats.org/officeDocument/2006/relationships/hyperlink" Target="http://csr.bu.edu/ftp/asl/asllvd/demos/verify_start_end_handshape_annotations//test_auto_move//signs_mov_separ_signers/Lana_4752.mov" TargetMode="External"/><Relationship Id="rId22257" Type="http://schemas.openxmlformats.org/officeDocument/2006/relationships/hyperlink" Target="http://secrets.rutgers.edu:8080/data/asl-ftp/asllvd/demos/verify_start_end_handshape_annotations//test_auto_move//signs_mov/4752.mov" TargetMode="External"/><Relationship Id="rId22258" Type="http://schemas.openxmlformats.org/officeDocument/2006/relationships/hyperlink" Target="http://secrets.rutgers.edu:8080/data/asl-ftp/asllvd/demos/verify_start_end_handshape_annotations//test_auto_move//signs_mov_separ_signers/Lana_4752.mov" TargetMode="External"/><Relationship Id="rId22259" Type="http://schemas.openxmlformats.org/officeDocument/2006/relationships/hyperlink" Target="http://csr.bu.edu/ftp/asl/asllvd/demos/verify_start_end_handshape_annotations//test_auto_move//signs_mov_separ_signers/Dana_4752.mov" TargetMode="External"/><Relationship Id="rId22260" Type="http://schemas.openxmlformats.org/officeDocument/2006/relationships/hyperlink" Target="http://secrets.rutgers.edu:8080/data/asl-ftp/asllvd/demos/verify_start_end_handshape_annotations//test_auto_move//signs_mov_separ_signers/Dana_4752.mov" TargetMode="External"/><Relationship Id="rId22261" Type="http://schemas.openxmlformats.org/officeDocument/2006/relationships/hyperlink" Target="http://csr.bu.edu/ftp/asl/asllvd/demos/verify_start_end_handshape_annotations//test_auto_move//signs_mov/4765.mov" TargetMode="External"/><Relationship Id="rId22262" Type="http://schemas.openxmlformats.org/officeDocument/2006/relationships/hyperlink" Target="http://csr.bu.edu/ftp/asl/asllvd/demos/verify_start_end_handshape_annotations//test_auto_move//signs_mov_separ_signers/Brady_4765.mov" TargetMode="External"/><Relationship Id="rId22263" Type="http://schemas.openxmlformats.org/officeDocument/2006/relationships/hyperlink" Target="http://secrets.rutgers.edu:8080/data/asl-ftp/asllvd/demos/verify_start_end_handshape_annotations//test_auto_move//signs_mov/4765.mov" TargetMode="External"/><Relationship Id="rId22264" Type="http://schemas.openxmlformats.org/officeDocument/2006/relationships/hyperlink" Target="http://secrets.rutgers.edu:8080/data/asl-ftp/asllvd/demos/verify_start_end_handshape_annotations//test_auto_move//signs_mov_separ_signers/Brady_4765.mov" TargetMode="External"/><Relationship Id="rId22265" Type="http://schemas.openxmlformats.org/officeDocument/2006/relationships/hyperlink" Target="http://csr.bu.edu/ftp/asl/asllvd/demos/verify_start_end_handshape_annotations//test_auto_move//signs_mov/4766.mov" TargetMode="External"/><Relationship Id="rId22266" Type="http://schemas.openxmlformats.org/officeDocument/2006/relationships/hyperlink" Target="http://csr.bu.edu/ftp/asl/asllvd/demos/verify_start_end_handshape_annotations//test_auto_move//signs_mov_separ_signers/Liz_4766.mov" TargetMode="External"/><Relationship Id="rId22267" Type="http://schemas.openxmlformats.org/officeDocument/2006/relationships/hyperlink" Target="http://secrets.rutgers.edu:8080/data/asl-ftp/asllvd/demos/verify_start_end_handshape_annotations//test_auto_move//signs_mov/4766.mov" TargetMode="External"/><Relationship Id="rId22268" Type="http://schemas.openxmlformats.org/officeDocument/2006/relationships/hyperlink" Target="http://secrets.rutgers.edu:8080/data/asl-ftp/asllvd/demos/verify_start_end_handshape_annotations//test_auto_move//signs_mov_separ_signers/Liz_4766.mov" TargetMode="External"/><Relationship Id="rId22269" Type="http://schemas.openxmlformats.org/officeDocument/2006/relationships/hyperlink" Target="http://csr.bu.edu/ftp/asl/asllvd/demos/verify_start_end_handshape_annotations//test_auto_move//signs_mov/4769.mov" TargetMode="External"/><Relationship Id="rId22270" Type="http://schemas.openxmlformats.org/officeDocument/2006/relationships/hyperlink" Target="http://csr.bu.edu/ftp/asl/asllvd/demos/verify_start_end_handshape_annotations//test_auto_move//signs_mov_separ_signers/Tyler_4769.mov" TargetMode="External"/><Relationship Id="rId22271" Type="http://schemas.openxmlformats.org/officeDocument/2006/relationships/hyperlink" Target="http://secrets.rutgers.edu:8080/data/asl-ftp/asllvd/demos/verify_start_end_handshape_annotations//test_auto_move//signs_mov/4769.mov" TargetMode="External"/><Relationship Id="rId22272" Type="http://schemas.openxmlformats.org/officeDocument/2006/relationships/hyperlink" Target="http://secrets.rutgers.edu:8080/data/asl-ftp/asllvd/demos/verify_start_end_handshape_annotations//test_auto_move//signs_mov_separ_signers/Tyler_4769.mov" TargetMode="External"/><Relationship Id="rId22273" Type="http://schemas.openxmlformats.org/officeDocument/2006/relationships/hyperlink" Target="http://csr.bu.edu/ftp/asl/asllvd/demos/verify_start_end_handshape_annotations//test_auto_move//signs_mov_separ_signers/Liz_6010.mov" TargetMode="External"/><Relationship Id="rId22274" Type="http://schemas.openxmlformats.org/officeDocument/2006/relationships/hyperlink" Target="http://secrets.rutgers.edu:8080/data/asl-ftp/asllvd/demos/verify_start_end_handshape_annotations//test_auto_move//signs_mov_separ_signers/Liz_6010.mov" TargetMode="External"/><Relationship Id="rId22275" Type="http://schemas.openxmlformats.org/officeDocument/2006/relationships/hyperlink" Target="http://csr.bu.edu/ftp/asl/asllvd/demos/verify_start_end_handshape_annotations//test_auto_move//signs_mov/6010.mov" TargetMode="External"/><Relationship Id="rId22276" Type="http://schemas.openxmlformats.org/officeDocument/2006/relationships/hyperlink" Target="http://csr.bu.edu/ftp/asl/asllvd/demos/verify_start_end_handshape_annotations//test_auto_move//signs_mov_separ_signers/Tyler_6010.mov" TargetMode="External"/><Relationship Id="rId22277" Type="http://schemas.openxmlformats.org/officeDocument/2006/relationships/hyperlink" Target="http://secrets.rutgers.edu:8080/data/asl-ftp/asllvd/demos/verify_start_end_handshape_annotations//test_auto_move//signs_mov/6010.mov" TargetMode="External"/><Relationship Id="rId22278" Type="http://schemas.openxmlformats.org/officeDocument/2006/relationships/hyperlink" Target="http://secrets.rutgers.edu:8080/data/asl-ftp/asllvd/demos/verify_start_end_handshape_annotations//test_auto_move//signs_mov_separ_signers/Tyler_6010.mov" TargetMode="External"/><Relationship Id="rId22279" Type="http://schemas.openxmlformats.org/officeDocument/2006/relationships/hyperlink" Target="http://csr.bu.edu/ftp/asl/asllvd/demos/verify_start_end_handshape_annotations//test_auto_move//signs_mov_separ_signers/Naomi_6010.mov" TargetMode="External"/><Relationship Id="rId22280" Type="http://schemas.openxmlformats.org/officeDocument/2006/relationships/hyperlink" Target="http://secrets.rutgers.edu:8080/data/asl-ftp/asllvd/demos/verify_start_end_handshape_annotations//test_auto_move//signs_mov_separ_signers/Naomi_6010.mov" TargetMode="External"/><Relationship Id="rId22281" Type="http://schemas.openxmlformats.org/officeDocument/2006/relationships/hyperlink" Target="http://csr.bu.edu/ftp/asl/asllvd/demos/verify_start_end_handshape_annotations//test_auto_move//signs_mov_separ_signers/Brady_6010.mov" TargetMode="External"/><Relationship Id="rId22282" Type="http://schemas.openxmlformats.org/officeDocument/2006/relationships/hyperlink" Target="http://secrets.rutgers.edu:8080/data/asl-ftp/asllvd/demos/verify_start_end_handshape_annotations//test_auto_move//signs_mov_separ_signers/Brady_6010.mov" TargetMode="External"/><Relationship Id="rId22283" Type="http://schemas.openxmlformats.org/officeDocument/2006/relationships/hyperlink" Target="http://csr.bu.edu/ftp/asl/asllvd/demos/verify_start_end_handshape_annotations//test_auto_move//signs_mov/6172.mov" TargetMode="External"/><Relationship Id="rId22284" Type="http://schemas.openxmlformats.org/officeDocument/2006/relationships/hyperlink" Target="http://csr.bu.edu/ftp/asl/asllvd/demos/verify_start_end_handshape_annotations//test_auto_move//signs_mov_separ_signers/Brady_6172.mov" TargetMode="External"/><Relationship Id="rId22285" Type="http://schemas.openxmlformats.org/officeDocument/2006/relationships/hyperlink" Target="http://secrets.rutgers.edu:8080/data/asl-ftp/asllvd/demos/verify_start_end_handshape_annotations//test_auto_move//signs_mov/6172.mov" TargetMode="External"/><Relationship Id="rId22286" Type="http://schemas.openxmlformats.org/officeDocument/2006/relationships/hyperlink" Target="http://secrets.rutgers.edu:8080/data/asl-ftp/asllvd/demos/verify_start_end_handshape_annotations//test_auto_move//signs_mov_separ_signers/Brady_6172.mov" TargetMode="External"/><Relationship Id="rId22287" Type="http://schemas.openxmlformats.org/officeDocument/2006/relationships/hyperlink" Target="http://csr.bu.edu/ftp/asl/asllvd/demos/verify_start_end_handshape_annotations//test_auto_move//signs_mov/5872.mov" TargetMode="External"/><Relationship Id="rId22288" Type="http://schemas.openxmlformats.org/officeDocument/2006/relationships/hyperlink" Target="http://csr.bu.edu/ftp/asl/asllvd/demos/verify_start_end_handshape_annotations//test_auto_move//signs_mov_separ_signers/Liz_5872.mov" TargetMode="External"/><Relationship Id="rId22289" Type="http://schemas.openxmlformats.org/officeDocument/2006/relationships/hyperlink" Target="http://secrets.rutgers.edu:8080/data/asl-ftp/asllvd/demos/verify_start_end_handshape_annotations//test_auto_move//signs_mov/5872.mov" TargetMode="External"/><Relationship Id="rId22290" Type="http://schemas.openxmlformats.org/officeDocument/2006/relationships/hyperlink" Target="http://secrets.rutgers.edu:8080/data/asl-ftp/asllvd/demos/verify_start_end_handshape_annotations//test_auto_move//signs_mov_separ_signers/Liz_5872.mov" TargetMode="External"/><Relationship Id="rId22291" Type="http://schemas.openxmlformats.org/officeDocument/2006/relationships/hyperlink" Target="http://csr.bu.edu/ftp/asl/asllvd/demos/verify_start_end_handshape_annotations//test_auto_move//signs_mov/6174.mov" TargetMode="External"/><Relationship Id="rId22292" Type="http://schemas.openxmlformats.org/officeDocument/2006/relationships/hyperlink" Target="http://csr.bu.edu/ftp/asl/asllvd/demos/verify_start_end_handshape_annotations//test_auto_move//signs_mov_separ_signers/Brady_6174.mov" TargetMode="External"/><Relationship Id="rId22293" Type="http://schemas.openxmlformats.org/officeDocument/2006/relationships/hyperlink" Target="http://secrets.rutgers.edu:8080/data/asl-ftp/asllvd/demos/verify_start_end_handshape_annotations//test_auto_move//signs_mov/6174.mov" TargetMode="External"/><Relationship Id="rId22294" Type="http://schemas.openxmlformats.org/officeDocument/2006/relationships/hyperlink" Target="http://secrets.rutgers.edu:8080/data/asl-ftp/asllvd/demos/verify_start_end_handshape_annotations//test_auto_move//signs_mov_separ_signers/Brady_6174.mov" TargetMode="External"/><Relationship Id="rId22295" Type="http://schemas.openxmlformats.org/officeDocument/2006/relationships/hyperlink" Target="http://csr.bu.edu/ftp/asl/asllvd/demos/verify_start_end_handshape_annotations//test_auto_move//signs_mov/6231.mov" TargetMode="External"/><Relationship Id="rId22296" Type="http://schemas.openxmlformats.org/officeDocument/2006/relationships/hyperlink" Target="http://csr.bu.edu/ftp/asl/asllvd/demos/verify_start_end_handshape_annotations//test_auto_move//signs_mov_separ_signers/Liz_6231.mov" TargetMode="External"/><Relationship Id="rId22297" Type="http://schemas.openxmlformats.org/officeDocument/2006/relationships/hyperlink" Target="http://secrets.rutgers.edu:8080/data/asl-ftp/asllvd/demos/verify_start_end_handshape_annotations//test_auto_move//signs_mov/6231.mov" TargetMode="External"/><Relationship Id="rId22298" Type="http://schemas.openxmlformats.org/officeDocument/2006/relationships/hyperlink" Target="http://secrets.rutgers.edu:8080/data/asl-ftp/asllvd/demos/verify_start_end_handshape_annotations//test_auto_move//signs_mov_separ_signers/Liz_6231.mov" TargetMode="External"/><Relationship Id="rId22299" Type="http://schemas.openxmlformats.org/officeDocument/2006/relationships/hyperlink" Target="http://csr.bu.edu/ftp/asl/asllvd/demos/verify_start_end_handshape_annotations//test_auto_move//signs_mov/15072.mov" TargetMode="External"/><Relationship Id="rId22300" Type="http://schemas.openxmlformats.org/officeDocument/2006/relationships/hyperlink" Target="http://csr.bu.edu/ftp/asl/asllvd/demos/verify_start_end_handshape_annotations//test_auto_move//signs_mov_separ_signers/Brady_15072.mov" TargetMode="External"/><Relationship Id="rId22301" Type="http://schemas.openxmlformats.org/officeDocument/2006/relationships/hyperlink" Target="http://secrets.rutgers.edu:8080/data/asl-ftp/asllvd/demos/verify_start_end_handshape_annotations//test_auto_move//signs_mov/15072.mov" TargetMode="External"/><Relationship Id="rId22302" Type="http://schemas.openxmlformats.org/officeDocument/2006/relationships/hyperlink" Target="http://secrets.rutgers.edu:8080/data/asl-ftp/asllvd/demos/verify_start_end_handshape_annotations//test_auto_move//signs_mov_separ_signers/Brady_15072.mov" TargetMode="External"/><Relationship Id="rId22303" Type="http://schemas.openxmlformats.org/officeDocument/2006/relationships/hyperlink" Target="http://csr.bu.edu/ftp/asl/asllvd/demos/verify_start_end_handshape_annotations//test_auto_move//signs_mov/6295.mov" TargetMode="External"/><Relationship Id="rId22304" Type="http://schemas.openxmlformats.org/officeDocument/2006/relationships/hyperlink" Target="http://csr.bu.edu/ftp/asl/asllvd/demos/verify_start_end_handshape_annotations//test_auto_move//signs_mov_separ_signers/Tyler_6295.mov" TargetMode="External"/><Relationship Id="rId22305" Type="http://schemas.openxmlformats.org/officeDocument/2006/relationships/hyperlink" Target="http://secrets.rutgers.edu:8080/data/asl-ftp/asllvd/demos/verify_start_end_handshape_annotations//test_auto_move//signs_mov/6295.mov" TargetMode="External"/><Relationship Id="rId22306" Type="http://schemas.openxmlformats.org/officeDocument/2006/relationships/hyperlink" Target="http://secrets.rutgers.edu:8080/data/asl-ftp/asllvd/demos/verify_start_end_handshape_annotations//test_auto_move//signs_mov_separ_signers/Tyler_6295.mov" TargetMode="External"/><Relationship Id="rId22307" Type="http://schemas.openxmlformats.org/officeDocument/2006/relationships/hyperlink" Target="http://csr.bu.edu/ftp/asl/asllvd/demos/verify_start_end_handshape_annotations//test_auto_move//signs_mov/6348.mov" TargetMode="External"/><Relationship Id="rId22308" Type="http://schemas.openxmlformats.org/officeDocument/2006/relationships/hyperlink" Target="http://csr.bu.edu/ftp/asl/asllvd/demos/verify_start_end_handshape_annotations//test_auto_move//signs_mov_separ_signers/Liz_6348.mov" TargetMode="External"/><Relationship Id="rId22309" Type="http://schemas.openxmlformats.org/officeDocument/2006/relationships/hyperlink" Target="http://secrets.rutgers.edu:8080/data/asl-ftp/asllvd/demos/verify_start_end_handshape_annotations//test_auto_move//signs_mov/6348.mov" TargetMode="External"/><Relationship Id="rId22310" Type="http://schemas.openxmlformats.org/officeDocument/2006/relationships/hyperlink" Target="http://secrets.rutgers.edu:8080/data/asl-ftp/asllvd/demos/verify_start_end_handshape_annotations//test_auto_move//signs_mov_separ_signers/Liz_6348.mov" TargetMode="External"/><Relationship Id="rId22311" Type="http://schemas.openxmlformats.org/officeDocument/2006/relationships/hyperlink" Target="http://csr.bu.edu/ftp/asl/asllvd/demos/verify_start_end_handshape_annotations//test_auto_move//signs_mov/5596.mov" TargetMode="External"/><Relationship Id="rId22312" Type="http://schemas.openxmlformats.org/officeDocument/2006/relationships/hyperlink" Target="http://csr.bu.edu/ftp/asl/asllvd/demos/verify_start_end_handshape_annotations//test_auto_move//signs_mov_separ_signers/Tyler_5596.mov" TargetMode="External"/><Relationship Id="rId22313" Type="http://schemas.openxmlformats.org/officeDocument/2006/relationships/hyperlink" Target="http://secrets.rutgers.edu:8080/data/asl-ftp/asllvd/demos/verify_start_end_handshape_annotations//test_auto_move//signs_mov/5596.mov" TargetMode="External"/><Relationship Id="rId22314" Type="http://schemas.openxmlformats.org/officeDocument/2006/relationships/hyperlink" Target="http://secrets.rutgers.edu:8080/data/asl-ftp/asllvd/demos/verify_start_end_handshape_annotations//test_auto_move//signs_mov_separ_signers/Tyler_5596.mov" TargetMode="External"/><Relationship Id="rId22315" Type="http://schemas.openxmlformats.org/officeDocument/2006/relationships/hyperlink" Target="http://csr.bu.edu/ftp/asl/asllvd/demos/verify_start_end_handshape_annotations//test_auto_move//signs_mov/5599_5628_merged.mov" TargetMode="External"/><Relationship Id="rId22316" Type="http://schemas.openxmlformats.org/officeDocument/2006/relationships/hyperlink" Target="http://csr.bu.edu/ftp/asl/asllvd/demos/verify_start_end_handshape_annotations//test_auto_move//signs_mov_separ_signers/Brady_5599.mov" TargetMode="External"/><Relationship Id="rId22317" Type="http://schemas.openxmlformats.org/officeDocument/2006/relationships/hyperlink" Target="http://secrets.rutgers.edu:8080/data/asl-ftp/asllvd/demos/verify_start_end_handshape_annotations//test_auto_move//signs_mov/5599_5628_merged.mov" TargetMode="External"/><Relationship Id="rId22318" Type="http://schemas.openxmlformats.org/officeDocument/2006/relationships/hyperlink" Target="http://secrets.rutgers.edu:8080/data/asl-ftp/asllvd/demos/verify_start_end_handshape_annotations//test_auto_move//signs_mov_separ_signers/Brady_5599.mov" TargetMode="External"/><Relationship Id="rId22319" Type="http://schemas.openxmlformats.org/officeDocument/2006/relationships/hyperlink" Target="http://csr.bu.edu/ftp/asl/asllvd/demos/verify_start_end_handshape_annotations//test_auto_move//signs_mov_separ_signers/Brady_5628.mov" TargetMode="External"/><Relationship Id="rId22320" Type="http://schemas.openxmlformats.org/officeDocument/2006/relationships/hyperlink" Target="http://secrets.rutgers.edu:8080/data/asl-ftp/asllvd/demos/verify_start_end_handshape_annotations//test_auto_move//signs_mov_separ_signers/Brady_5628.mov" TargetMode="External"/><Relationship Id="rId22321" Type="http://schemas.openxmlformats.org/officeDocument/2006/relationships/hyperlink" Target="http://csr.bu.edu/ftp/asl/asllvd/demos/verify_start_end_handshape_annotations//test_auto_move//signs_mov/5873.mov" TargetMode="External"/><Relationship Id="rId22322" Type="http://schemas.openxmlformats.org/officeDocument/2006/relationships/hyperlink" Target="http://csr.bu.edu/ftp/asl/asllvd/demos/verify_start_end_handshape_annotations//test_auto_move//signs_mov_separ_signers/Liz_5873.mov" TargetMode="External"/><Relationship Id="rId22323" Type="http://schemas.openxmlformats.org/officeDocument/2006/relationships/hyperlink" Target="http://secrets.rutgers.edu:8080/data/asl-ftp/asllvd/demos/verify_start_end_handshape_annotations//test_auto_move//signs_mov/5873.mov" TargetMode="External"/><Relationship Id="rId22324" Type="http://schemas.openxmlformats.org/officeDocument/2006/relationships/hyperlink" Target="http://secrets.rutgers.edu:8080/data/asl-ftp/asllvd/demos/verify_start_end_handshape_annotations//test_auto_move//signs_mov_separ_signers/Liz_5873.mov" TargetMode="External"/><Relationship Id="rId22325" Type="http://schemas.openxmlformats.org/officeDocument/2006/relationships/hyperlink" Target="http://csr.bu.edu/ftp/asl/asllvd/demos/verify_start_end_handshape_annotations//test_auto_move//signs_mov_separ_signers/Naomi_5873.mov" TargetMode="External"/><Relationship Id="rId22326" Type="http://schemas.openxmlformats.org/officeDocument/2006/relationships/hyperlink" Target="http://secrets.rutgers.edu:8080/data/asl-ftp/asllvd/demos/verify_start_end_handshape_annotations//test_auto_move//signs_mov_separ_signers/Naomi_5873.mov" TargetMode="External"/><Relationship Id="rId22327" Type="http://schemas.openxmlformats.org/officeDocument/2006/relationships/hyperlink" Target="http://csr.bu.edu/ftp/asl/asllvd/demos/verify_start_end_handshape_annotations//test_auto_move//signs_mov/6361.mov" TargetMode="External"/><Relationship Id="rId22328" Type="http://schemas.openxmlformats.org/officeDocument/2006/relationships/hyperlink" Target="http://csr.bu.edu/ftp/asl/asllvd/demos/verify_start_end_handshape_annotations//test_auto_move//signs_mov_separ_signers/Tyler_6361.mov" TargetMode="External"/><Relationship Id="rId22329" Type="http://schemas.openxmlformats.org/officeDocument/2006/relationships/hyperlink" Target="http://secrets.rutgers.edu:8080/data/asl-ftp/asllvd/demos/verify_start_end_handshape_annotations//test_auto_move//signs_mov/6361.mov" TargetMode="External"/><Relationship Id="rId22330" Type="http://schemas.openxmlformats.org/officeDocument/2006/relationships/hyperlink" Target="http://secrets.rutgers.edu:8080/data/asl-ftp/asllvd/demos/verify_start_end_handshape_annotations//test_auto_move//signs_mov_separ_signers/Tyler_6361.mov" TargetMode="External"/><Relationship Id="rId22331" Type="http://schemas.openxmlformats.org/officeDocument/2006/relationships/hyperlink" Target="http://csr.bu.edu/ftp/asl/asllvd/demos/verify_start_end_handshape_annotations//test_auto_move//signs_mov_separ_signers/Brady_6361.mov" TargetMode="External"/><Relationship Id="rId22332" Type="http://schemas.openxmlformats.org/officeDocument/2006/relationships/hyperlink" Target="http://secrets.rutgers.edu:8080/data/asl-ftp/asllvd/demos/verify_start_end_handshape_annotations//test_auto_move//signs_mov_separ_signers/Brady_6361.mov" TargetMode="External"/><Relationship Id="rId22333" Type="http://schemas.openxmlformats.org/officeDocument/2006/relationships/hyperlink" Target="http://csr.bu.edu/ftp/asl/asllvd/demos/verify_start_end_handshape_annotations//test_auto_move//signs_mov_separ_signers/Naomi_6380.mov" TargetMode="External"/><Relationship Id="rId22334" Type="http://schemas.openxmlformats.org/officeDocument/2006/relationships/hyperlink" Target="http://secrets.rutgers.edu:8080/data/asl-ftp/asllvd/demos/verify_start_end_handshape_annotations//test_auto_move//signs_mov_separ_signers/Naomi_6380.mov" TargetMode="External"/><Relationship Id="rId22335" Type="http://schemas.openxmlformats.org/officeDocument/2006/relationships/hyperlink" Target="http://csr.bu.edu/ftp/asl/asllvd/demos/verify_start_end_handshape_annotations//test_auto_move//signs_mov/5006_6380_merged.mov" TargetMode="External"/><Relationship Id="rId22336" Type="http://schemas.openxmlformats.org/officeDocument/2006/relationships/hyperlink" Target="http://csr.bu.edu/ftp/asl/asllvd/demos/verify_start_end_handshape_annotations//test_auto_move//signs_mov_separ_signers/Brady_6380.mov" TargetMode="External"/><Relationship Id="rId22337" Type="http://schemas.openxmlformats.org/officeDocument/2006/relationships/hyperlink" Target="http://secrets.rutgers.edu:8080/data/asl-ftp/asllvd/demos/verify_start_end_handshape_annotations//test_auto_move//signs_mov/5006_6380_merged.mov" TargetMode="External"/><Relationship Id="rId22338" Type="http://schemas.openxmlformats.org/officeDocument/2006/relationships/hyperlink" Target="http://secrets.rutgers.edu:8080/data/asl-ftp/asllvd/demos/verify_start_end_handshape_annotations//test_auto_move//signs_mov_separ_signers/Brady_6380.mov" TargetMode="External"/><Relationship Id="rId22339" Type="http://schemas.openxmlformats.org/officeDocument/2006/relationships/hyperlink" Target="http://csr.bu.edu/ftp/asl/asllvd/demos/verify_start_end_handshape_annotations//test_auto_move//signs_mov_separ_signers/Brady_5006.mov" TargetMode="External"/><Relationship Id="rId22340" Type="http://schemas.openxmlformats.org/officeDocument/2006/relationships/hyperlink" Target="http://secrets.rutgers.edu:8080/data/asl-ftp/asllvd/demos/verify_start_end_handshape_annotations//test_auto_move//signs_mov_separ_signers/Brady_5006.mov" TargetMode="External"/><Relationship Id="rId22341" Type="http://schemas.openxmlformats.org/officeDocument/2006/relationships/hyperlink" Target="http://csr.bu.edu/ftp/asl/asllvd/demos/verify_start_end_handshape_annotations//test_auto_move//signs_mov_separ_signers/Dana_6380.mov" TargetMode="External"/><Relationship Id="rId22342" Type="http://schemas.openxmlformats.org/officeDocument/2006/relationships/hyperlink" Target="http://secrets.rutgers.edu:8080/data/asl-ftp/asllvd/demos/verify_start_end_handshape_annotations//test_auto_move//signs_mov_separ_signers/Dana_6380.mov" TargetMode="External"/><Relationship Id="rId22343" Type="http://schemas.openxmlformats.org/officeDocument/2006/relationships/hyperlink" Target="http://csr.bu.edu/ftp/asl/asllvd/demos/verify_start_end_handshape_annotations//test_auto_move//signs_mov/5300.mov" TargetMode="External"/><Relationship Id="rId22344" Type="http://schemas.openxmlformats.org/officeDocument/2006/relationships/hyperlink" Target="http://csr.bu.edu/ftp/asl/asllvd/demos/verify_start_end_handshape_annotations//test_auto_move//signs_mov_separ_signers/Brady_5300.mov" TargetMode="External"/><Relationship Id="rId22345" Type="http://schemas.openxmlformats.org/officeDocument/2006/relationships/hyperlink" Target="http://secrets.rutgers.edu:8080/data/asl-ftp/asllvd/demos/verify_start_end_handshape_annotations//test_auto_move//signs_mov/5300.mov" TargetMode="External"/><Relationship Id="rId22346" Type="http://schemas.openxmlformats.org/officeDocument/2006/relationships/hyperlink" Target="http://secrets.rutgers.edu:8080/data/asl-ftp/asllvd/demos/verify_start_end_handshape_annotations//test_auto_move//signs_mov_separ_signers/Brady_5300.mov" TargetMode="External"/><Relationship Id="rId22347" Type="http://schemas.openxmlformats.org/officeDocument/2006/relationships/hyperlink" Target="http://csr.bu.edu/ftp/asl/asllvd/demos/verify_start_end_handshape_annotations//test_auto_move//signs_mov/5580_5732_merged.mov" TargetMode="External"/><Relationship Id="rId22348" Type="http://schemas.openxmlformats.org/officeDocument/2006/relationships/hyperlink" Target="http://csr.bu.edu/ftp/asl/asllvd/demos/verify_start_end_handshape_annotations//test_auto_move//signs_mov_separ_signers/Liz_5580.mov" TargetMode="External"/><Relationship Id="rId22349" Type="http://schemas.openxmlformats.org/officeDocument/2006/relationships/hyperlink" Target="http://secrets.rutgers.edu:8080/data/asl-ftp/asllvd/demos/verify_start_end_handshape_annotations//test_auto_move//signs_mov/5580_5732_merged.mov" TargetMode="External"/><Relationship Id="rId22350" Type="http://schemas.openxmlformats.org/officeDocument/2006/relationships/hyperlink" Target="http://secrets.rutgers.edu:8080/data/asl-ftp/asllvd/demos/verify_start_end_handshape_annotations//test_auto_move//signs_mov_separ_signers/Liz_5580.mov" TargetMode="External"/><Relationship Id="rId22351" Type="http://schemas.openxmlformats.org/officeDocument/2006/relationships/hyperlink" Target="http://csr.bu.edu/ftp/asl/asllvd/demos/verify_start_end_handshape_annotations//test_auto_move//signs_mov_separ_signers/Liz_5732.mov" TargetMode="External"/><Relationship Id="rId22352" Type="http://schemas.openxmlformats.org/officeDocument/2006/relationships/hyperlink" Target="http://secrets.rutgers.edu:8080/data/asl-ftp/asllvd/demos/verify_start_end_handshape_annotations//test_auto_move//signs_mov_separ_signers/Liz_5732.mov" TargetMode="External"/><Relationship Id="rId22353" Type="http://schemas.openxmlformats.org/officeDocument/2006/relationships/hyperlink" Target="http://csr.bu.edu/ftp/asl/asllvd/demos/verify_start_end_handshape_annotations//test_auto_move//signs_mov_separ_signers/Tyler_5737.mov" TargetMode="External"/><Relationship Id="rId22354" Type="http://schemas.openxmlformats.org/officeDocument/2006/relationships/hyperlink" Target="http://secrets.rutgers.edu:8080/data/asl-ftp/asllvd/demos/verify_start_end_handshape_annotations//test_auto_move//signs_mov_separ_signers/Tyler_5737.mov" TargetMode="External"/><Relationship Id="rId22355" Type="http://schemas.openxmlformats.org/officeDocument/2006/relationships/hyperlink" Target="http://csr.bu.edu/ftp/asl/asllvd/demos/verify_start_end_handshape_annotations//test_auto_move//signs_mov/5737.mov" TargetMode="External"/><Relationship Id="rId22356" Type="http://schemas.openxmlformats.org/officeDocument/2006/relationships/hyperlink" Target="http://csr.bu.edu/ftp/asl/asllvd/demos/verify_start_end_handshape_annotations//test_auto_move//signs_mov_separ_signers/Brady_5737.mov" TargetMode="External"/><Relationship Id="rId22357" Type="http://schemas.openxmlformats.org/officeDocument/2006/relationships/hyperlink" Target="http://secrets.rutgers.edu:8080/data/asl-ftp/asllvd/demos/verify_start_end_handshape_annotations//test_auto_move//signs_mov/5737.mov" TargetMode="External"/><Relationship Id="rId22358" Type="http://schemas.openxmlformats.org/officeDocument/2006/relationships/hyperlink" Target="http://secrets.rutgers.edu:8080/data/asl-ftp/asllvd/demos/verify_start_end_handshape_annotations//test_auto_move//signs_mov_separ_signers/Brady_5737.mov" TargetMode="External"/><Relationship Id="rId22359" Type="http://schemas.openxmlformats.org/officeDocument/2006/relationships/hyperlink" Target="http://csr.bu.edu/ftp/asl/asllvd/demos/verify_start_end_handshape_annotations//test_auto_move//signs_mov_separ_signers/Lana_5737.mov" TargetMode="External"/><Relationship Id="rId22360" Type="http://schemas.openxmlformats.org/officeDocument/2006/relationships/hyperlink" Target="http://secrets.rutgers.edu:8080/data/asl-ftp/asllvd/demos/verify_start_end_handshape_annotations//test_auto_move//signs_mov_separ_signers/Lana_5737.mov" TargetMode="External"/><Relationship Id="rId22361" Type="http://schemas.openxmlformats.org/officeDocument/2006/relationships/hyperlink" Target="http://csr.bu.edu/ftp/asl/asllvd/demos/verify_start_end_handshape_annotations//test_auto_move//signs_mov_separ_signers/Liz_5877.mov" TargetMode="External"/><Relationship Id="rId22362" Type="http://schemas.openxmlformats.org/officeDocument/2006/relationships/hyperlink" Target="http://secrets.rutgers.edu:8080/data/asl-ftp/asllvd/demos/verify_start_end_handshape_annotations//test_auto_move//signs_mov_separ_signers/Liz_5877.mov" TargetMode="External"/><Relationship Id="rId22363" Type="http://schemas.openxmlformats.org/officeDocument/2006/relationships/hyperlink" Target="http://csr.bu.edu/ftp/asl/asllvd/demos/verify_start_end_handshape_annotations//test_auto_move//signs_mov/5877_5878_5879_merged.mov" TargetMode="External"/><Relationship Id="rId22364" Type="http://schemas.openxmlformats.org/officeDocument/2006/relationships/hyperlink" Target="http://csr.bu.edu/ftp/asl/asllvd/demos/verify_start_end_handshape_annotations//test_auto_move//signs_mov_separ_signers/Liz_5878.mov" TargetMode="External"/><Relationship Id="rId22365" Type="http://schemas.openxmlformats.org/officeDocument/2006/relationships/hyperlink" Target="http://secrets.rutgers.edu:8080/data/asl-ftp/asllvd/demos/verify_start_end_handshape_annotations//test_auto_move//signs_mov/5877_5878_5879_merged.mov" TargetMode="External"/><Relationship Id="rId22366" Type="http://schemas.openxmlformats.org/officeDocument/2006/relationships/hyperlink" Target="http://secrets.rutgers.edu:8080/data/asl-ftp/asllvd/demos/verify_start_end_handshape_annotations//test_auto_move//signs_mov_separ_signers/Liz_5878.mov" TargetMode="External"/><Relationship Id="rId22367" Type="http://schemas.openxmlformats.org/officeDocument/2006/relationships/hyperlink" Target="http://csr.bu.edu/ftp/asl/asllvd/demos/verify_start_end_handshape_annotations//test_auto_move//signs_mov_separ_signers/Liz_5879.mov" TargetMode="External"/><Relationship Id="rId22368" Type="http://schemas.openxmlformats.org/officeDocument/2006/relationships/hyperlink" Target="http://secrets.rutgers.edu:8080/data/asl-ftp/asllvd/demos/verify_start_end_handshape_annotations//test_auto_move//signs_mov_separ_signers/Liz_5879.mov" TargetMode="External"/><Relationship Id="rId22369" Type="http://schemas.openxmlformats.org/officeDocument/2006/relationships/hyperlink" Target="http://csr.bu.edu/ftp/asl/asllvd/demos/verify_start_end_handshape_annotations//test_auto_move//signs_mov/5880.mov" TargetMode="External"/><Relationship Id="rId22370" Type="http://schemas.openxmlformats.org/officeDocument/2006/relationships/hyperlink" Target="http://csr.bu.edu/ftp/asl/asllvd/demos/verify_start_end_handshape_annotations//test_auto_move//signs_mov_separ_signers/Brady_5880.mov" TargetMode="External"/><Relationship Id="rId22371" Type="http://schemas.openxmlformats.org/officeDocument/2006/relationships/hyperlink" Target="http://secrets.rutgers.edu:8080/data/asl-ftp/asllvd/demos/verify_start_end_handshape_annotations//test_auto_move//signs_mov/5880.mov" TargetMode="External"/><Relationship Id="rId22372" Type="http://schemas.openxmlformats.org/officeDocument/2006/relationships/hyperlink" Target="http://secrets.rutgers.edu:8080/data/asl-ftp/asllvd/demos/verify_start_end_handshape_annotations//test_auto_move//signs_mov_separ_signers/Brady_5880.mov" TargetMode="External"/><Relationship Id="rId22373" Type="http://schemas.openxmlformats.org/officeDocument/2006/relationships/hyperlink" Target="http://csr.bu.edu/ftp/asl/asllvd/demos/verify_start_end_handshape_annotations//test_auto_move//signs_mov/6625.mov" TargetMode="External"/><Relationship Id="rId22374" Type="http://schemas.openxmlformats.org/officeDocument/2006/relationships/hyperlink" Target="http://csr.bu.edu/ftp/asl/asllvd/demos/verify_start_end_handshape_annotations//test_auto_move//signs_mov_separ_signers/Naomi_6625.mov" TargetMode="External"/><Relationship Id="rId22375" Type="http://schemas.openxmlformats.org/officeDocument/2006/relationships/hyperlink" Target="http://secrets.rutgers.edu:8080/data/asl-ftp/asllvd/demos/verify_start_end_handshape_annotations//test_auto_move//signs_mov/6625.mov" TargetMode="External"/><Relationship Id="rId22376" Type="http://schemas.openxmlformats.org/officeDocument/2006/relationships/hyperlink" Target="http://secrets.rutgers.edu:8080/data/asl-ftp/asllvd/demos/verify_start_end_handshape_annotations//test_auto_move//signs_mov_separ_signers/Naomi_6625.mov" TargetMode="External"/><Relationship Id="rId22377" Type="http://schemas.openxmlformats.org/officeDocument/2006/relationships/hyperlink" Target="http://csr.bu.edu/ftp/asl/asllvd/demos/verify_start_end_handshape_annotations//test_auto_move//signs_mov_separ_signers/Tyler_6716.mov" TargetMode="External"/><Relationship Id="rId22378" Type="http://schemas.openxmlformats.org/officeDocument/2006/relationships/hyperlink" Target="http://secrets.rutgers.edu:8080/data/asl-ftp/asllvd/demos/verify_start_end_handshape_annotations//test_auto_move//signs_mov_separ_signers/Tyler_6716.mov" TargetMode="External"/><Relationship Id="rId22379" Type="http://schemas.openxmlformats.org/officeDocument/2006/relationships/hyperlink" Target="http://csr.bu.edu/ftp/asl/asllvd/demos/verify_start_end_handshape_annotations//test_auto_move//signs_mov/3979_6716_merged.mov" TargetMode="External"/><Relationship Id="rId22380" Type="http://schemas.openxmlformats.org/officeDocument/2006/relationships/hyperlink" Target="http://csr.bu.edu/ftp/asl/asllvd/demos/verify_start_end_handshape_annotations//test_auto_move//signs_mov_separ_signers/Tyler_3979.mov" TargetMode="External"/><Relationship Id="rId22381" Type="http://schemas.openxmlformats.org/officeDocument/2006/relationships/hyperlink" Target="http://secrets.rutgers.edu:8080/data/asl-ftp/asllvd/demos/verify_start_end_handshape_annotations//test_auto_move//signs_mov/3979_6716_merged.mov" TargetMode="External"/><Relationship Id="rId22382" Type="http://schemas.openxmlformats.org/officeDocument/2006/relationships/hyperlink" Target="http://secrets.rutgers.edu:8080/data/asl-ftp/asllvd/demos/verify_start_end_handshape_annotations//test_auto_move//signs_mov_separ_signers/Tyler_3979.mov" TargetMode="External"/><Relationship Id="rId22383" Type="http://schemas.openxmlformats.org/officeDocument/2006/relationships/hyperlink" Target="http://csr.bu.edu/ftp/asl/asllvd/demos/verify_start_end_handshape_annotations//test_auto_move//signs_mov_separ_signers/Brady_6716.mov" TargetMode="External"/><Relationship Id="rId22384" Type="http://schemas.openxmlformats.org/officeDocument/2006/relationships/hyperlink" Target="http://secrets.rutgers.edu:8080/data/asl-ftp/asllvd/demos/verify_start_end_handshape_annotations//test_auto_move//signs_mov_separ_signers/Brady_6716.mov" TargetMode="External"/><Relationship Id="rId22385" Type="http://schemas.openxmlformats.org/officeDocument/2006/relationships/hyperlink" Target="http://csr.bu.edu/ftp/asl/asllvd/demos/verify_start_end_handshape_annotations//test_auto_move//signs_mov_separ_signers/Liz_6756.mov" TargetMode="External"/><Relationship Id="rId22386" Type="http://schemas.openxmlformats.org/officeDocument/2006/relationships/hyperlink" Target="http://secrets.rutgers.edu:8080/data/asl-ftp/asllvd/demos/verify_start_end_handshape_annotations//test_auto_move//signs_mov_separ_signers/Liz_6756.mov" TargetMode="External"/><Relationship Id="rId22387" Type="http://schemas.openxmlformats.org/officeDocument/2006/relationships/hyperlink" Target="http://csr.bu.edu/ftp/asl/asllvd/demos/verify_start_end_handshape_annotations//test_auto_move//signs_mov/6756.mov" TargetMode="External"/><Relationship Id="rId22388" Type="http://schemas.openxmlformats.org/officeDocument/2006/relationships/hyperlink" Target="http://csr.bu.edu/ftp/asl/asllvd/demos/verify_start_end_handshape_annotations//test_auto_move//signs_mov_separ_signers/Naomi_6756.mov" TargetMode="External"/><Relationship Id="rId22389" Type="http://schemas.openxmlformats.org/officeDocument/2006/relationships/hyperlink" Target="http://secrets.rutgers.edu:8080/data/asl-ftp/asllvd/demos/verify_start_end_handshape_annotations//test_auto_move//signs_mov/6756.mov" TargetMode="External"/><Relationship Id="rId22390" Type="http://schemas.openxmlformats.org/officeDocument/2006/relationships/hyperlink" Target="http://secrets.rutgers.edu:8080/data/asl-ftp/asllvd/demos/verify_start_end_handshape_annotations//test_auto_move//signs_mov_separ_signers/Naomi_6756.mov" TargetMode="External"/><Relationship Id="rId22391" Type="http://schemas.openxmlformats.org/officeDocument/2006/relationships/hyperlink" Target="http://csr.bu.edu/ftp/asl/asllvd/demos/verify_start_end_handshape_annotations//test_auto_move//signs_mov_separ_signers/Brady_6756.mov" TargetMode="External"/><Relationship Id="rId22392" Type="http://schemas.openxmlformats.org/officeDocument/2006/relationships/hyperlink" Target="http://secrets.rutgers.edu:8080/data/asl-ftp/asllvd/demos/verify_start_end_handshape_annotations//test_auto_move//signs_mov_separ_signers/Brady_6756.mov" TargetMode="External"/><Relationship Id="rId22393" Type="http://schemas.openxmlformats.org/officeDocument/2006/relationships/hyperlink" Target="http://csr.bu.edu/ftp/asl/asllvd/demos/verify_start_end_handshape_annotations//test_auto_move//signs_mov_separ_signers/Liz_6833.mov" TargetMode="External"/><Relationship Id="rId22394" Type="http://schemas.openxmlformats.org/officeDocument/2006/relationships/hyperlink" Target="http://secrets.rutgers.edu:8080/data/asl-ftp/asllvd/demos/verify_start_end_handshape_annotations//test_auto_move//signs_mov_separ_signers/Liz_6833.mov" TargetMode="External"/><Relationship Id="rId22395" Type="http://schemas.openxmlformats.org/officeDocument/2006/relationships/hyperlink" Target="http://csr.bu.edu/ftp/asl/asllvd/demos/verify_start_end_handshape_annotations//test_auto_move//signs_mov_separ_signers/Tyler_6833.mov" TargetMode="External"/><Relationship Id="rId22396" Type="http://schemas.openxmlformats.org/officeDocument/2006/relationships/hyperlink" Target="http://secrets.rutgers.edu:8080/data/asl-ftp/asllvd/demos/verify_start_end_handshape_annotations//test_auto_move//signs_mov_separ_signers/Tyler_6833.mov" TargetMode="External"/><Relationship Id="rId22397" Type="http://schemas.openxmlformats.org/officeDocument/2006/relationships/hyperlink" Target="http://csr.bu.edu/ftp/asl/asllvd/demos/verify_start_end_handshape_annotations//test_auto_move//signs_mov/5832_6833_merged.mov" TargetMode="External"/><Relationship Id="rId22398" Type="http://schemas.openxmlformats.org/officeDocument/2006/relationships/hyperlink" Target="http://csr.bu.edu/ftp/asl/asllvd/demos/verify_start_end_handshape_annotations//test_auto_move//signs_mov_separ_signers/Naomi_6833.mov" TargetMode="External"/><Relationship Id="rId22399" Type="http://schemas.openxmlformats.org/officeDocument/2006/relationships/hyperlink" Target="http://secrets.rutgers.edu:8080/data/asl-ftp/asllvd/demos/verify_start_end_handshape_annotations//test_auto_move//signs_mov/5832_6833_merged.mov" TargetMode="External"/><Relationship Id="rId22400" Type="http://schemas.openxmlformats.org/officeDocument/2006/relationships/hyperlink" Target="http://secrets.rutgers.edu:8080/data/asl-ftp/asllvd/demos/verify_start_end_handshape_annotations//test_auto_move//signs_mov_separ_signers/Naomi_6833.mov" TargetMode="External"/><Relationship Id="rId22401" Type="http://schemas.openxmlformats.org/officeDocument/2006/relationships/hyperlink" Target="http://csr.bu.edu/ftp/asl/asllvd/demos/verify_start_end_handshape_annotations//test_auto_move//signs_mov_separ_signers/Brady_6833.mov" TargetMode="External"/><Relationship Id="rId22402" Type="http://schemas.openxmlformats.org/officeDocument/2006/relationships/hyperlink" Target="http://secrets.rutgers.edu:8080/data/asl-ftp/asllvd/demos/verify_start_end_handshape_annotations//test_auto_move//signs_mov_separ_signers/Brady_6833.mov" TargetMode="External"/><Relationship Id="rId22403" Type="http://schemas.openxmlformats.org/officeDocument/2006/relationships/hyperlink" Target="http://csr.bu.edu/ftp/asl/asllvd/demos/verify_start_end_handshape_annotations//test_auto_move//signs_mov_separ_signers/Brady_5832.mov" TargetMode="External"/><Relationship Id="rId22404" Type="http://schemas.openxmlformats.org/officeDocument/2006/relationships/hyperlink" Target="http://secrets.rutgers.edu:8080/data/asl-ftp/asllvd/demos/verify_start_end_handshape_annotations//test_auto_move//signs_mov_separ_signers/Brady_5832.mov" TargetMode="External"/><Relationship Id="rId22405" Type="http://schemas.openxmlformats.org/officeDocument/2006/relationships/hyperlink" Target="http://csr.bu.edu/ftp/asl/asllvd/demos/verify_start_end_handshape_annotations//test_auto_move//signs_mov_separ_signers/Liz_6842.mov" TargetMode="External"/><Relationship Id="rId22406" Type="http://schemas.openxmlformats.org/officeDocument/2006/relationships/hyperlink" Target="http://secrets.rutgers.edu:8080/data/asl-ftp/asllvd/demos/verify_start_end_handshape_annotations//test_auto_move//signs_mov_separ_signers/Liz_6842.mov" TargetMode="External"/><Relationship Id="rId22407" Type="http://schemas.openxmlformats.org/officeDocument/2006/relationships/hyperlink" Target="http://csr.bu.edu/ftp/asl/asllvd/demos/verify_start_end_handshape_annotations//test_auto_move//signs_mov/5834_6842_merged.mov" TargetMode="External"/><Relationship Id="rId22408" Type="http://schemas.openxmlformats.org/officeDocument/2006/relationships/hyperlink" Target="http://csr.bu.edu/ftp/asl/asllvd/demos/verify_start_end_handshape_annotations//test_auto_move//signs_mov_separ_signers/Naomi_6842.mov" TargetMode="External"/><Relationship Id="rId22409" Type="http://schemas.openxmlformats.org/officeDocument/2006/relationships/hyperlink" Target="http://secrets.rutgers.edu:8080/data/asl-ftp/asllvd/demos/verify_start_end_handshape_annotations//test_auto_move//signs_mov/5834_6842_merged.mov" TargetMode="External"/><Relationship Id="rId22410" Type="http://schemas.openxmlformats.org/officeDocument/2006/relationships/hyperlink" Target="http://secrets.rutgers.edu:8080/data/asl-ftp/asllvd/demos/verify_start_end_handshape_annotations//test_auto_move//signs_mov_separ_signers/Naomi_6842.mov" TargetMode="External"/><Relationship Id="rId22411" Type="http://schemas.openxmlformats.org/officeDocument/2006/relationships/hyperlink" Target="http://csr.bu.edu/ftp/asl/asllvd/demos/verify_start_end_handshape_annotations//test_auto_move//signs_mov_separ_signers/Brady_6842.mov" TargetMode="External"/><Relationship Id="rId22412" Type="http://schemas.openxmlformats.org/officeDocument/2006/relationships/hyperlink" Target="http://secrets.rutgers.edu:8080/data/asl-ftp/asllvd/demos/verify_start_end_handshape_annotations//test_auto_move//signs_mov_separ_signers/Brady_6842.mov" TargetMode="External"/><Relationship Id="rId22413" Type="http://schemas.openxmlformats.org/officeDocument/2006/relationships/hyperlink" Target="http://csr.bu.edu/ftp/asl/asllvd/demos/verify_start_end_handshape_annotations//test_auto_move//signs_mov_separ_signers/Brady_5834.mov" TargetMode="External"/><Relationship Id="rId22414" Type="http://schemas.openxmlformats.org/officeDocument/2006/relationships/hyperlink" Target="http://secrets.rutgers.edu:8080/data/asl-ftp/asllvd/demos/verify_start_end_handshape_annotations//test_auto_move//signs_mov_separ_signers/Brady_5834.mov" TargetMode="External"/><Relationship Id="rId22415" Type="http://schemas.openxmlformats.org/officeDocument/2006/relationships/hyperlink" Target="http://csr.bu.edu/ftp/asl/asllvd/demos/verify_start_end_handshape_annotations//test_auto_move//signs_mov_separ_signers/Liz_15811.mov" TargetMode="External"/><Relationship Id="rId22416" Type="http://schemas.openxmlformats.org/officeDocument/2006/relationships/hyperlink" Target="http://secrets.rutgers.edu:8080/data/asl-ftp/asllvd/demos/verify_start_end_handshape_annotations//test_auto_move//signs_mov_separ_signers/Liz_15811.mov" TargetMode="External"/><Relationship Id="rId22417" Type="http://schemas.openxmlformats.org/officeDocument/2006/relationships/hyperlink" Target="http://csr.bu.edu/ftp/asl/asllvd/demos/verify_start_end_handshape_annotations//test_auto_move//signs_mov/15811.mov" TargetMode="External"/><Relationship Id="rId22418" Type="http://schemas.openxmlformats.org/officeDocument/2006/relationships/hyperlink" Target="http://csr.bu.edu/ftp/asl/asllvd/demos/verify_start_end_handshape_annotations//test_auto_move//signs_mov_separ_signers/Tyler_15811.mov" TargetMode="External"/><Relationship Id="rId22419" Type="http://schemas.openxmlformats.org/officeDocument/2006/relationships/hyperlink" Target="http://secrets.rutgers.edu:8080/data/asl-ftp/asllvd/demos/verify_start_end_handshape_annotations//test_auto_move//signs_mov/15811.mov" TargetMode="External"/><Relationship Id="rId22420" Type="http://schemas.openxmlformats.org/officeDocument/2006/relationships/hyperlink" Target="http://secrets.rutgers.edu:8080/data/asl-ftp/asllvd/demos/verify_start_end_handshape_annotations//test_auto_move//signs_mov_separ_signers/Tyler_15811.mov" TargetMode="External"/><Relationship Id="rId22421" Type="http://schemas.openxmlformats.org/officeDocument/2006/relationships/hyperlink" Target="http://csr.bu.edu/ftp/asl/asllvd/demos/verify_start_end_handshape_annotations//test_auto_move//signs_mov_separ_signers/Brady_15811.mov" TargetMode="External"/><Relationship Id="rId22422" Type="http://schemas.openxmlformats.org/officeDocument/2006/relationships/hyperlink" Target="http://secrets.rutgers.edu:8080/data/asl-ftp/asllvd/demos/verify_start_end_handshape_annotations//test_auto_move//signs_mov_separ_signers/Brady_15811.mov" TargetMode="External"/><Relationship Id="rId22423" Type="http://schemas.openxmlformats.org/officeDocument/2006/relationships/hyperlink" Target="http://csr.bu.edu/ftp/asl/asllvd/demos/verify_start_end_handshape_annotations//test_auto_move//signs_mov/15926.mov" TargetMode="External"/><Relationship Id="rId22424" Type="http://schemas.openxmlformats.org/officeDocument/2006/relationships/hyperlink" Target="http://csr.bu.edu/ftp/asl/asllvd/demos/verify_start_end_handshape_annotations//test_auto_move//signs_mov_separ_signers/Liz_15926.mov" TargetMode="External"/><Relationship Id="rId22425" Type="http://schemas.openxmlformats.org/officeDocument/2006/relationships/hyperlink" Target="http://secrets.rutgers.edu:8080/data/asl-ftp/asllvd/demos/verify_start_end_handshape_annotations//test_auto_move//signs_mov/15926.mov" TargetMode="External"/><Relationship Id="rId22426" Type="http://schemas.openxmlformats.org/officeDocument/2006/relationships/hyperlink" Target="http://secrets.rutgers.edu:8080/data/asl-ftp/asllvd/demos/verify_start_end_handshape_annotations//test_auto_move//signs_mov_separ_signers/Liz_15926.mov" TargetMode="External"/><Relationship Id="rId22427" Type="http://schemas.openxmlformats.org/officeDocument/2006/relationships/hyperlink" Target="http://csr.bu.edu/ftp/asl/asllvd/demos/verify_start_end_handshape_annotations//test_auto_move//signs_mov_separ_signers/Brady_15926.mov" TargetMode="External"/><Relationship Id="rId22428" Type="http://schemas.openxmlformats.org/officeDocument/2006/relationships/hyperlink" Target="http://secrets.rutgers.edu:8080/data/asl-ftp/asllvd/demos/verify_start_end_handshape_annotations//test_auto_move//signs_mov_separ_signers/Brady_15926.mov" TargetMode="External"/><Relationship Id="rId22429" Type="http://schemas.openxmlformats.org/officeDocument/2006/relationships/hyperlink" Target="http://csr.bu.edu/ftp/asl/asllvd/demos/verify_start_end_handshape_annotations//test_auto_move//signs_mov/15987.mov" TargetMode="External"/><Relationship Id="rId22430" Type="http://schemas.openxmlformats.org/officeDocument/2006/relationships/hyperlink" Target="http://csr.bu.edu/ftp/asl/asllvd/demos/verify_start_end_handshape_annotations//test_auto_move//signs_mov_separ_signers/Tyler_15987.mov" TargetMode="External"/><Relationship Id="rId22431" Type="http://schemas.openxmlformats.org/officeDocument/2006/relationships/hyperlink" Target="http://secrets.rutgers.edu:8080/data/asl-ftp/asllvd/demos/verify_start_end_handshape_annotations//test_auto_move//signs_mov/15987.mov" TargetMode="External"/><Relationship Id="rId22432" Type="http://schemas.openxmlformats.org/officeDocument/2006/relationships/hyperlink" Target="http://secrets.rutgers.edu:8080/data/asl-ftp/asllvd/demos/verify_start_end_handshape_annotations//test_auto_move//signs_mov_separ_signers/Tyler_15987.mov" TargetMode="External"/><Relationship Id="rId22433" Type="http://schemas.openxmlformats.org/officeDocument/2006/relationships/hyperlink" Target="http://csr.bu.edu/ftp/asl/asllvd/demos/verify_start_end_handshape_annotations//test_auto_move//signs_mov/16026.mov" TargetMode="External"/><Relationship Id="rId22434" Type="http://schemas.openxmlformats.org/officeDocument/2006/relationships/hyperlink" Target="http://csr.bu.edu/ftp/asl/asllvd/demos/verify_start_end_handshape_annotations//test_auto_move//signs_mov_separ_signers/Liz_16026.mov" TargetMode="External"/><Relationship Id="rId22435" Type="http://schemas.openxmlformats.org/officeDocument/2006/relationships/hyperlink" Target="http://secrets.rutgers.edu:8080/data/asl-ftp/asllvd/demos/verify_start_end_handshape_annotations//test_auto_move//signs_mov/16026.mov" TargetMode="External"/><Relationship Id="rId22436" Type="http://schemas.openxmlformats.org/officeDocument/2006/relationships/hyperlink" Target="http://secrets.rutgers.edu:8080/data/asl-ftp/asllvd/demos/verify_start_end_handshape_annotations//test_auto_move//signs_mov_separ_signers/Liz_16026.mov" TargetMode="External"/><Relationship Id="rId22437" Type="http://schemas.openxmlformats.org/officeDocument/2006/relationships/hyperlink" Target="http://csr.bu.edu/ftp/asl/asllvd/demos/verify_start_end_handshape_annotations//test_auto_move//signs_mov_separ_signers/Brady_16026.mov" TargetMode="External"/><Relationship Id="rId22438" Type="http://schemas.openxmlformats.org/officeDocument/2006/relationships/hyperlink" Target="http://secrets.rutgers.edu:8080/data/asl-ftp/asllvd/demos/verify_start_end_handshape_annotations//test_auto_move//signs_mov_separ_signers/Brady_16026.mov" TargetMode="External"/><Relationship Id="rId22439" Type="http://schemas.openxmlformats.org/officeDocument/2006/relationships/hyperlink" Target="http://csr.bu.edu/ftp/asl/asllvd/demos/verify_start_end_handshape_annotations//test_auto_move//signs_mov/6886.mov" TargetMode="External"/><Relationship Id="rId22440" Type="http://schemas.openxmlformats.org/officeDocument/2006/relationships/hyperlink" Target="http://csr.bu.edu/ftp/asl/asllvd/demos/verify_start_end_handshape_annotations//test_auto_move//signs_mov_separ_signers/Liz_6886.mov" TargetMode="External"/><Relationship Id="rId22441" Type="http://schemas.openxmlformats.org/officeDocument/2006/relationships/hyperlink" Target="http://secrets.rutgers.edu:8080/data/asl-ftp/asllvd/demos/verify_start_end_handshape_annotations//test_auto_move//signs_mov/6886.mov" TargetMode="External"/><Relationship Id="rId22442" Type="http://schemas.openxmlformats.org/officeDocument/2006/relationships/hyperlink" Target="http://secrets.rutgers.edu:8080/data/asl-ftp/asllvd/demos/verify_start_end_handshape_annotations//test_auto_move//signs_mov_separ_signers/Liz_6886.mov" TargetMode="External"/><Relationship Id="rId22443" Type="http://schemas.openxmlformats.org/officeDocument/2006/relationships/hyperlink" Target="http://csr.bu.edu/ftp/asl/asllvd/demos/verify_start_end_handshape_annotations//test_auto_move//signs_mov_separ_signers/Liz_5304.mov" TargetMode="External"/><Relationship Id="rId22444" Type="http://schemas.openxmlformats.org/officeDocument/2006/relationships/hyperlink" Target="http://secrets.rutgers.edu:8080/data/asl-ftp/asllvd/demos/verify_start_end_handshape_annotations//test_auto_move//signs_mov_separ_signers/Liz_5304.mov" TargetMode="External"/><Relationship Id="rId22445" Type="http://schemas.openxmlformats.org/officeDocument/2006/relationships/hyperlink" Target="http://csr.bu.edu/ftp/asl/asllvd/demos/verify_start_end_handshape_annotations//test_auto_move//signs_mov_separ_signers/Liz_5347.mov" TargetMode="External"/><Relationship Id="rId22446" Type="http://schemas.openxmlformats.org/officeDocument/2006/relationships/hyperlink" Target="http://secrets.rutgers.edu:8080/data/asl-ftp/asllvd/demos/verify_start_end_handshape_annotations//test_auto_move//signs_mov_separ_signers/Liz_5347.mov" TargetMode="External"/><Relationship Id="rId22447" Type="http://schemas.openxmlformats.org/officeDocument/2006/relationships/hyperlink" Target="http://csr.bu.edu/ftp/asl/asllvd/demos/verify_start_end_handshape_annotations//test_auto_move//signs_mov/5304_5347_15679_merged.mov" TargetMode="External"/><Relationship Id="rId22448" Type="http://schemas.openxmlformats.org/officeDocument/2006/relationships/hyperlink" Target="http://csr.bu.edu/ftp/asl/asllvd/demos/verify_start_end_handshape_annotations//test_auto_move//signs_mov_separ_signers/Brady_5304.mov" TargetMode="External"/><Relationship Id="rId22449" Type="http://schemas.openxmlformats.org/officeDocument/2006/relationships/hyperlink" Target="http://secrets.rutgers.edu:8080/data/asl-ftp/asllvd/demos/verify_start_end_handshape_annotations//test_auto_move//signs_mov/5304_5347_15679_merged.mov" TargetMode="External"/><Relationship Id="rId22450" Type="http://schemas.openxmlformats.org/officeDocument/2006/relationships/hyperlink" Target="http://secrets.rutgers.edu:8080/data/asl-ftp/asllvd/demos/verify_start_end_handshape_annotations//test_auto_move//signs_mov_separ_signers/Brady_5304.mov" TargetMode="External"/><Relationship Id="rId22451" Type="http://schemas.openxmlformats.org/officeDocument/2006/relationships/hyperlink" Target="http://csr.bu.edu/ftp/asl/asllvd/demos/verify_start_end_handshape_annotations//test_auto_move//signs_mov_separ_signers/Brady_5347.mov" TargetMode="External"/><Relationship Id="rId22452" Type="http://schemas.openxmlformats.org/officeDocument/2006/relationships/hyperlink" Target="http://secrets.rutgers.edu:8080/data/asl-ftp/asllvd/demos/verify_start_end_handshape_annotations//test_auto_move//signs_mov_separ_signers/Brady_5347.mov" TargetMode="External"/><Relationship Id="rId22453" Type="http://schemas.openxmlformats.org/officeDocument/2006/relationships/hyperlink" Target="http://csr.bu.edu/ftp/asl/asllvd/demos/verify_start_end_handshape_annotations//test_auto_move//signs_mov_separ_signers/Brady_15679.mov" TargetMode="External"/><Relationship Id="rId22454" Type="http://schemas.openxmlformats.org/officeDocument/2006/relationships/hyperlink" Target="http://secrets.rutgers.edu:8080/data/asl-ftp/asllvd/demos/verify_start_end_handshape_annotations//test_auto_move//signs_mov_separ_signers/Brady_15679.mov" TargetMode="External"/><Relationship Id="rId22455" Type="http://schemas.openxmlformats.org/officeDocument/2006/relationships/hyperlink" Target="http://csr.bu.edu/ftp/asl/asllvd/demos/verify_start_end_handshape_annotations//test_auto_move//signs_mov/6917.mov" TargetMode="External"/><Relationship Id="rId22456" Type="http://schemas.openxmlformats.org/officeDocument/2006/relationships/hyperlink" Target="http://csr.bu.edu/ftp/asl/asllvd/demos/verify_start_end_handshape_annotations//test_auto_move//signs_mov_separ_signers/Brady_6917.mov" TargetMode="External"/><Relationship Id="rId22457" Type="http://schemas.openxmlformats.org/officeDocument/2006/relationships/hyperlink" Target="http://secrets.rutgers.edu:8080/data/asl-ftp/asllvd/demos/verify_start_end_handshape_annotations//test_auto_move//signs_mov/6917.mov" TargetMode="External"/><Relationship Id="rId22458" Type="http://schemas.openxmlformats.org/officeDocument/2006/relationships/hyperlink" Target="http://secrets.rutgers.edu:8080/data/asl-ftp/asllvd/demos/verify_start_end_handshape_annotations//test_auto_move//signs_mov_separ_signers/Brady_6917.mov" TargetMode="External"/><Relationship Id="rId22459" Type="http://schemas.openxmlformats.org/officeDocument/2006/relationships/hyperlink" Target="http://csr.bu.edu/ftp/asl/asllvd/demos/verify_start_end_handshape_annotations//test_auto_move//signs_mov/5885.mov" TargetMode="External"/><Relationship Id="rId22460" Type="http://schemas.openxmlformats.org/officeDocument/2006/relationships/hyperlink" Target="http://csr.bu.edu/ftp/asl/asllvd/demos/verify_start_end_handshape_annotations//test_auto_move//signs_mov_separ_signers/Liz_5885.mov" TargetMode="External"/><Relationship Id="rId22461" Type="http://schemas.openxmlformats.org/officeDocument/2006/relationships/hyperlink" Target="http://secrets.rutgers.edu:8080/data/asl-ftp/asllvd/demos/verify_start_end_handshape_annotations//test_auto_move//signs_mov/5885.mov" TargetMode="External"/><Relationship Id="rId22462" Type="http://schemas.openxmlformats.org/officeDocument/2006/relationships/hyperlink" Target="http://secrets.rutgers.edu:8080/data/asl-ftp/asllvd/demos/verify_start_end_handshape_annotations//test_auto_move//signs_mov_separ_signers/Liz_5885.mov" TargetMode="External"/><Relationship Id="rId22463" Type="http://schemas.openxmlformats.org/officeDocument/2006/relationships/hyperlink" Target="http://csr.bu.edu/ftp/asl/asllvd/demos/verify_start_end_handshape_annotations//test_auto_move//signs_mov_separ_signers/Liz_6931.mov" TargetMode="External"/><Relationship Id="rId22464" Type="http://schemas.openxmlformats.org/officeDocument/2006/relationships/hyperlink" Target="http://secrets.rutgers.edu:8080/data/asl-ftp/asllvd/demos/verify_start_end_handshape_annotations//test_auto_move//signs_mov_separ_signers/Liz_6931.mov" TargetMode="External"/><Relationship Id="rId22465" Type="http://schemas.openxmlformats.org/officeDocument/2006/relationships/hyperlink" Target="http://csr.bu.edu/ftp/asl/asllvd/demos/verify_start_end_handshape_annotations//test_auto_move//signs_mov/6931.mov" TargetMode="External"/><Relationship Id="rId22466" Type="http://schemas.openxmlformats.org/officeDocument/2006/relationships/hyperlink" Target="http://csr.bu.edu/ftp/asl/asllvd/demos/verify_start_end_handshape_annotations//test_auto_move//signs_mov_separ_signers/Tyler_6931.mov" TargetMode="External"/><Relationship Id="rId22467" Type="http://schemas.openxmlformats.org/officeDocument/2006/relationships/hyperlink" Target="http://secrets.rutgers.edu:8080/data/asl-ftp/asllvd/demos/verify_start_end_handshape_annotations//test_auto_move//signs_mov/6931.mov" TargetMode="External"/><Relationship Id="rId22468" Type="http://schemas.openxmlformats.org/officeDocument/2006/relationships/hyperlink" Target="http://secrets.rutgers.edu:8080/data/asl-ftp/asllvd/demos/verify_start_end_handshape_annotations//test_auto_move//signs_mov_separ_signers/Tyler_6931.mov" TargetMode="External"/><Relationship Id="rId22469" Type="http://schemas.openxmlformats.org/officeDocument/2006/relationships/hyperlink" Target="http://csr.bu.edu/ftp/asl/asllvd/demos/verify_start_end_handshape_annotations//test_auto_move//signs_mov_separ_signers/Naomi_6931.mov" TargetMode="External"/><Relationship Id="rId22470" Type="http://schemas.openxmlformats.org/officeDocument/2006/relationships/hyperlink" Target="http://secrets.rutgers.edu:8080/data/asl-ftp/asllvd/demos/verify_start_end_handshape_annotations//test_auto_move//signs_mov_separ_signers/Naomi_6931.mov" TargetMode="External"/><Relationship Id="rId22471" Type="http://schemas.openxmlformats.org/officeDocument/2006/relationships/hyperlink" Target="http://csr.bu.edu/ftp/asl/asllvd/demos/verify_start_end_handshape_annotations//test_auto_move//signs_mov_separ_signers/Brady_6931.mov" TargetMode="External"/><Relationship Id="rId22472" Type="http://schemas.openxmlformats.org/officeDocument/2006/relationships/hyperlink" Target="http://secrets.rutgers.edu:8080/data/asl-ftp/asllvd/demos/verify_start_end_handshape_annotations//test_auto_move//signs_mov_separ_signers/Brady_6931.mov" TargetMode="External"/><Relationship Id="rId22473" Type="http://schemas.openxmlformats.org/officeDocument/2006/relationships/hyperlink" Target="http://csr.bu.edu/ftp/asl/asllvd/demos/verify_start_end_handshape_annotations//test_auto_move//signs_mov_separ_signers/Liz_6963.mov" TargetMode="External"/><Relationship Id="rId22474" Type="http://schemas.openxmlformats.org/officeDocument/2006/relationships/hyperlink" Target="http://secrets.rutgers.edu:8080/data/asl-ftp/asllvd/demos/verify_start_end_handshape_annotations//test_auto_move//signs_mov_separ_signers/Liz_6963.mov" TargetMode="External"/><Relationship Id="rId22475" Type="http://schemas.openxmlformats.org/officeDocument/2006/relationships/hyperlink" Target="http://csr.bu.edu/ftp/asl/asllvd/demos/verify_start_end_handshape_annotations//test_auto_move//signs_mov_separ_signers/Naomi_6963.mov" TargetMode="External"/><Relationship Id="rId22476" Type="http://schemas.openxmlformats.org/officeDocument/2006/relationships/hyperlink" Target="http://secrets.rutgers.edu:8080/data/asl-ftp/asllvd/demos/verify_start_end_handshape_annotations//test_auto_move//signs_mov_separ_signers/Naomi_6963.mov" TargetMode="External"/><Relationship Id="rId22477" Type="http://schemas.openxmlformats.org/officeDocument/2006/relationships/hyperlink" Target="http://csr.bu.edu/ftp/asl/asllvd/demos/verify_start_end_handshape_annotations//test_auto_move//signs_mov/5824_6963_16383_merged.mov" TargetMode="External"/><Relationship Id="rId22478" Type="http://schemas.openxmlformats.org/officeDocument/2006/relationships/hyperlink" Target="http://csr.bu.edu/ftp/asl/asllvd/demos/verify_start_end_handshape_annotations//test_auto_move//signs_mov_separ_signers/Brady_6963.mov" TargetMode="External"/><Relationship Id="rId22479" Type="http://schemas.openxmlformats.org/officeDocument/2006/relationships/hyperlink" Target="http://secrets.rutgers.edu:8080/data/asl-ftp/asllvd/demos/verify_start_end_handshape_annotations//test_auto_move//signs_mov/5824_6963_16383_merged.mov" TargetMode="External"/><Relationship Id="rId22480" Type="http://schemas.openxmlformats.org/officeDocument/2006/relationships/hyperlink" Target="http://secrets.rutgers.edu:8080/data/asl-ftp/asllvd/demos/verify_start_end_handshape_annotations//test_auto_move//signs_mov_separ_signers/Brady_6963.mov" TargetMode="External"/><Relationship Id="rId22481" Type="http://schemas.openxmlformats.org/officeDocument/2006/relationships/hyperlink" Target="http://csr.bu.edu/ftp/asl/asllvd/demos/verify_start_end_handshape_annotations//test_auto_move//signs_mov_separ_signers/Brady_5824.mov" TargetMode="External"/><Relationship Id="rId22482" Type="http://schemas.openxmlformats.org/officeDocument/2006/relationships/hyperlink" Target="http://secrets.rutgers.edu:8080/data/asl-ftp/asllvd/demos/verify_start_end_handshape_annotations//test_auto_move//signs_mov_separ_signers/Brady_5824.mov" TargetMode="External"/><Relationship Id="rId22483" Type="http://schemas.openxmlformats.org/officeDocument/2006/relationships/hyperlink" Target="http://csr.bu.edu/ftp/asl/asllvd/demos/verify_start_end_handshape_annotations//test_auto_move//signs_mov_separ_signers/Brady_16383.mov" TargetMode="External"/><Relationship Id="rId22484" Type="http://schemas.openxmlformats.org/officeDocument/2006/relationships/hyperlink" Target="http://secrets.rutgers.edu:8080/data/asl-ftp/asllvd/demos/verify_start_end_handshape_annotations//test_auto_move//signs_mov_separ_signers/Brady_16383.mov" TargetMode="External"/><Relationship Id="rId22485" Type="http://schemas.openxmlformats.org/officeDocument/2006/relationships/hyperlink" Target="http://csr.bu.edu/ftp/asl/asllvd/demos/verify_start_end_handshape_annotations//test_auto_move//signs_mov/6964.mov" TargetMode="External"/><Relationship Id="rId22486" Type="http://schemas.openxmlformats.org/officeDocument/2006/relationships/hyperlink" Target="http://csr.bu.edu/ftp/asl/asllvd/demos/verify_start_end_handshape_annotations//test_auto_move//signs_mov_separ_signers/Brady_6964.mov" TargetMode="External"/><Relationship Id="rId22487" Type="http://schemas.openxmlformats.org/officeDocument/2006/relationships/hyperlink" Target="http://secrets.rutgers.edu:8080/data/asl-ftp/asllvd/demos/verify_start_end_handshape_annotations//test_auto_move//signs_mov/6964.mov" TargetMode="External"/><Relationship Id="rId22488" Type="http://schemas.openxmlformats.org/officeDocument/2006/relationships/hyperlink" Target="http://secrets.rutgers.edu:8080/data/asl-ftp/asllvd/demos/verify_start_end_handshape_annotations//test_auto_move//signs_mov_separ_signers/Brady_6964.mov" TargetMode="External"/><Relationship Id="rId22489" Type="http://schemas.openxmlformats.org/officeDocument/2006/relationships/hyperlink" Target="http://csr.bu.edu/ftp/asl/asllvd/demos/verify_start_end_handshape_annotations//test_auto_move//signs_mov/16027.mov" TargetMode="External"/><Relationship Id="rId22490" Type="http://schemas.openxmlformats.org/officeDocument/2006/relationships/hyperlink" Target="http://csr.bu.edu/ftp/asl/asllvd/demos/verify_start_end_handshape_annotations//test_auto_move//signs_mov_separ_signers/Liz_16027.mov" TargetMode="External"/><Relationship Id="rId22491" Type="http://schemas.openxmlformats.org/officeDocument/2006/relationships/hyperlink" Target="http://secrets.rutgers.edu:8080/data/asl-ftp/asllvd/demos/verify_start_end_handshape_annotations//test_auto_move//signs_mov/16027.mov" TargetMode="External"/><Relationship Id="rId22492" Type="http://schemas.openxmlformats.org/officeDocument/2006/relationships/hyperlink" Target="http://secrets.rutgers.edu:8080/data/asl-ftp/asllvd/demos/verify_start_end_handshape_annotations//test_auto_move//signs_mov_separ_signers/Liz_16027.mov" TargetMode="External"/><Relationship Id="rId22493" Type="http://schemas.openxmlformats.org/officeDocument/2006/relationships/hyperlink" Target="http://csr.bu.edu/ftp/asl/asllvd/demos/verify_start_end_handshape_annotations//test_auto_move//signs_mov_separ_signers/Naomi_16027.mov" TargetMode="External"/><Relationship Id="rId22494" Type="http://schemas.openxmlformats.org/officeDocument/2006/relationships/hyperlink" Target="http://secrets.rutgers.edu:8080/data/asl-ftp/asllvd/demos/verify_start_end_handshape_annotations//test_auto_move//signs_mov_separ_signers/Naomi_16027.mov" TargetMode="External"/><Relationship Id="rId22495" Type="http://schemas.openxmlformats.org/officeDocument/2006/relationships/hyperlink" Target="http://csr.bu.edu/ftp/asl/asllvd/demos/verify_start_end_handshape_annotations//test_auto_move//signs_mov/6978.mov" TargetMode="External"/><Relationship Id="rId22496" Type="http://schemas.openxmlformats.org/officeDocument/2006/relationships/hyperlink" Target="http://csr.bu.edu/ftp/asl/asllvd/demos/verify_start_end_handshape_annotations//test_auto_move//signs_mov_separ_signers/Liz_6978.mov" TargetMode="External"/><Relationship Id="rId22497" Type="http://schemas.openxmlformats.org/officeDocument/2006/relationships/hyperlink" Target="http://secrets.rutgers.edu:8080/data/asl-ftp/asllvd/demos/verify_start_end_handshape_annotations//test_auto_move//signs_mov/6978.mov" TargetMode="External"/><Relationship Id="rId22498" Type="http://schemas.openxmlformats.org/officeDocument/2006/relationships/hyperlink" Target="http://secrets.rutgers.edu:8080/data/asl-ftp/asllvd/demos/verify_start_end_handshape_annotations//test_auto_move//signs_mov_separ_signers/Liz_6978.mov" TargetMode="External"/><Relationship Id="rId22499" Type="http://schemas.openxmlformats.org/officeDocument/2006/relationships/hyperlink" Target="http://csr.bu.edu/ftp/asl/asllvd/demos/verify_start_end_handshape_annotations//test_auto_move//signs_mov/5385.mov" TargetMode="External"/><Relationship Id="rId22500" Type="http://schemas.openxmlformats.org/officeDocument/2006/relationships/hyperlink" Target="http://csr.bu.edu/ftp/asl/asllvd/demos/verify_start_end_handshape_annotations//test_auto_move//signs_mov_separ_signers/Tyler_5385.mov" TargetMode="External"/><Relationship Id="rId22501" Type="http://schemas.openxmlformats.org/officeDocument/2006/relationships/hyperlink" Target="http://secrets.rutgers.edu:8080/data/asl-ftp/asllvd/demos/verify_start_end_handshape_annotations//test_auto_move//signs_mov/5385.mov" TargetMode="External"/><Relationship Id="rId22502" Type="http://schemas.openxmlformats.org/officeDocument/2006/relationships/hyperlink" Target="http://secrets.rutgers.edu:8080/data/asl-ftp/asllvd/demos/verify_start_end_handshape_annotations//test_auto_move//signs_mov_separ_signers/Tyler_5385.mov" TargetMode="External"/><Relationship Id="rId22503" Type="http://schemas.openxmlformats.org/officeDocument/2006/relationships/hyperlink" Target="http://csr.bu.edu/ftp/asl/asllvd/demos/verify_start_end_handshape_annotations//test_auto_move//signs_mov_separ_signers/Brady_5385.mov" TargetMode="External"/><Relationship Id="rId22504" Type="http://schemas.openxmlformats.org/officeDocument/2006/relationships/hyperlink" Target="http://secrets.rutgers.edu:8080/data/asl-ftp/asllvd/demos/verify_start_end_handshape_annotations//test_auto_move//signs_mov_separ_signers/Brady_5385.mov" TargetMode="External"/><Relationship Id="rId22505" Type="http://schemas.openxmlformats.org/officeDocument/2006/relationships/hyperlink" Target="http://csr.bu.edu/ftp/asl/asllvd/demos/verify_start_end_handshape_annotations//test_auto_move//signs_mov_separ_signers/Liz_5736.mov" TargetMode="External"/><Relationship Id="rId22506" Type="http://schemas.openxmlformats.org/officeDocument/2006/relationships/hyperlink" Target="http://secrets.rutgers.edu:8080/data/asl-ftp/asllvd/demos/verify_start_end_handshape_annotations//test_auto_move//signs_mov_separ_signers/Liz_5736.mov" TargetMode="External"/><Relationship Id="rId22507" Type="http://schemas.openxmlformats.org/officeDocument/2006/relationships/hyperlink" Target="http://csr.bu.edu/ftp/asl/asllvd/demos/verify_start_end_handshape_annotations//test_auto_move//signs_mov/5736_5968_merged.mov" TargetMode="External"/><Relationship Id="rId22508" Type="http://schemas.openxmlformats.org/officeDocument/2006/relationships/hyperlink" Target="http://csr.bu.edu/ftp/asl/asllvd/demos/verify_start_end_handshape_annotations//test_auto_move//signs_mov_separ_signers/Brady_5736.mov" TargetMode="External"/><Relationship Id="rId22509" Type="http://schemas.openxmlformats.org/officeDocument/2006/relationships/hyperlink" Target="http://secrets.rutgers.edu:8080/data/asl-ftp/asllvd/demos/verify_start_end_handshape_annotations//test_auto_move//signs_mov/5736_5968_merged.mov" TargetMode="External"/><Relationship Id="rId22510" Type="http://schemas.openxmlformats.org/officeDocument/2006/relationships/hyperlink" Target="http://secrets.rutgers.edu:8080/data/asl-ftp/asllvd/demos/verify_start_end_handshape_annotations//test_auto_move//signs_mov_separ_signers/Brady_5736.mov" TargetMode="External"/><Relationship Id="rId22511" Type="http://schemas.openxmlformats.org/officeDocument/2006/relationships/hyperlink" Target="http://csr.bu.edu/ftp/asl/asllvd/demos/verify_start_end_handshape_annotations//test_auto_move//signs_mov_separ_signers/Brady_5968.mov" TargetMode="External"/><Relationship Id="rId22512" Type="http://schemas.openxmlformats.org/officeDocument/2006/relationships/hyperlink" Target="http://secrets.rutgers.edu:8080/data/asl-ftp/asllvd/demos/verify_start_end_handshape_annotations//test_auto_move//signs_mov_separ_signers/Brady_5968.mov" TargetMode="External"/><Relationship Id="rId22513" Type="http://schemas.openxmlformats.org/officeDocument/2006/relationships/hyperlink" Target="http://csr.bu.edu/ftp/asl/asllvd/demos/verify_start_end_handshape_annotations//test_auto_move//signs_mov/16309.mov" TargetMode="External"/><Relationship Id="rId22514" Type="http://schemas.openxmlformats.org/officeDocument/2006/relationships/hyperlink" Target="http://csr.bu.edu/ftp/asl/asllvd/demos/verify_start_end_handshape_annotations//test_auto_move//signs_mov_separ_signers/Liz_16309.mov" TargetMode="External"/><Relationship Id="rId22515" Type="http://schemas.openxmlformats.org/officeDocument/2006/relationships/hyperlink" Target="http://secrets.rutgers.edu:8080/data/asl-ftp/asllvd/demos/verify_start_end_handshape_annotations//test_auto_move//signs_mov/16309.mov" TargetMode="External"/><Relationship Id="rId22516" Type="http://schemas.openxmlformats.org/officeDocument/2006/relationships/hyperlink" Target="http://secrets.rutgers.edu:8080/data/asl-ftp/asllvd/demos/verify_start_end_handshape_annotations//test_auto_move//signs_mov_separ_signers/Liz_16309.mov" TargetMode="External"/><Relationship Id="rId22517" Type="http://schemas.openxmlformats.org/officeDocument/2006/relationships/hyperlink" Target="http://csr.bu.edu/ftp/asl/asllvd/demos/verify_start_end_handshape_annotations//test_auto_move//signs_mov_separ_signers/Brady_16309.mov" TargetMode="External"/><Relationship Id="rId22518" Type="http://schemas.openxmlformats.org/officeDocument/2006/relationships/hyperlink" Target="http://secrets.rutgers.edu:8080/data/asl-ftp/asllvd/demos/verify_start_end_handshape_annotations//test_auto_move//signs_mov_separ_signers/Brady_16309.mov" TargetMode="External"/><Relationship Id="rId22519" Type="http://schemas.openxmlformats.org/officeDocument/2006/relationships/hyperlink" Target="http://csr.bu.edu/ftp/asl/asllvd/demos/verify_start_end_handshape_annotations//test_auto_move//signs_mov_separ_signers/Liz_6981.mov" TargetMode="External"/><Relationship Id="rId22520" Type="http://schemas.openxmlformats.org/officeDocument/2006/relationships/hyperlink" Target="http://secrets.rutgers.edu:8080/data/asl-ftp/asllvd/demos/verify_start_end_handshape_annotations//test_auto_move//signs_mov_separ_signers/Liz_6981.mov" TargetMode="External"/><Relationship Id="rId22521" Type="http://schemas.openxmlformats.org/officeDocument/2006/relationships/hyperlink" Target="http://csr.bu.edu/ftp/asl/asllvd/demos/verify_start_end_handshape_annotations//test_auto_move//signs_mov/5339_6981_merged.mov" TargetMode="External"/><Relationship Id="rId22522" Type="http://schemas.openxmlformats.org/officeDocument/2006/relationships/hyperlink" Target="http://csr.bu.edu/ftp/asl/asllvd/demos/verify_start_end_handshape_annotations//test_auto_move//signs_mov_separ_signers/Liz_5339.mov" TargetMode="External"/><Relationship Id="rId22523" Type="http://schemas.openxmlformats.org/officeDocument/2006/relationships/hyperlink" Target="http://secrets.rutgers.edu:8080/data/asl-ftp/asllvd/demos/verify_start_end_handshape_annotations//test_auto_move//signs_mov/5339_6981_merged.mov" TargetMode="External"/><Relationship Id="rId22524" Type="http://schemas.openxmlformats.org/officeDocument/2006/relationships/hyperlink" Target="http://secrets.rutgers.edu:8080/data/asl-ftp/asllvd/demos/verify_start_end_handshape_annotations//test_auto_move//signs_mov_separ_signers/Liz_5339.mov" TargetMode="External"/><Relationship Id="rId22525" Type="http://schemas.openxmlformats.org/officeDocument/2006/relationships/hyperlink" Target="http://csr.bu.edu/ftp/asl/asllvd/demos/verify_start_end_handshape_annotations//test_auto_move//signs_mov_separ_signers/Tyler_6981.mov" TargetMode="External"/><Relationship Id="rId22526" Type="http://schemas.openxmlformats.org/officeDocument/2006/relationships/hyperlink" Target="http://secrets.rutgers.edu:8080/data/asl-ftp/asllvd/demos/verify_start_end_handshape_annotations//test_auto_move//signs_mov_separ_signers/Tyler_6981.mov" TargetMode="External"/><Relationship Id="rId22527" Type="http://schemas.openxmlformats.org/officeDocument/2006/relationships/hyperlink" Target="http://csr.bu.edu/ftp/asl/asllvd/demos/verify_start_end_handshape_annotations//test_auto_move//signs_mov_separ_signers/Brady_6981.mov" TargetMode="External"/><Relationship Id="rId22528" Type="http://schemas.openxmlformats.org/officeDocument/2006/relationships/hyperlink" Target="http://secrets.rutgers.edu:8080/data/asl-ftp/asllvd/demos/verify_start_end_handshape_annotations//test_auto_move//signs_mov_separ_signers/Brady_6981.mov" TargetMode="External"/><Relationship Id="rId22529" Type="http://schemas.openxmlformats.org/officeDocument/2006/relationships/hyperlink" Target="http://csr.bu.edu/ftp/asl/asllvd/demos/verify_start_end_handshape_annotations//test_auto_move//signs_mov/15180.mov" TargetMode="External"/><Relationship Id="rId22530" Type="http://schemas.openxmlformats.org/officeDocument/2006/relationships/hyperlink" Target="http://csr.bu.edu/ftp/asl/asllvd/demos/verify_start_end_handshape_annotations//test_auto_move//signs_mov_separ_signers/Liz_15180.mov" TargetMode="External"/><Relationship Id="rId22531" Type="http://schemas.openxmlformats.org/officeDocument/2006/relationships/hyperlink" Target="http://secrets.rutgers.edu:8080/data/asl-ftp/asllvd/demos/verify_start_end_handshape_annotations//test_auto_move//signs_mov/15180.mov" TargetMode="External"/><Relationship Id="rId22532" Type="http://schemas.openxmlformats.org/officeDocument/2006/relationships/hyperlink" Target="http://secrets.rutgers.edu:8080/data/asl-ftp/asllvd/demos/verify_start_end_handshape_annotations//test_auto_move//signs_mov_separ_signers/Liz_15180.mov" TargetMode="External"/><Relationship Id="rId22533" Type="http://schemas.openxmlformats.org/officeDocument/2006/relationships/hyperlink" Target="http://csr.bu.edu/ftp/asl/asllvd/demos/verify_start_end_handshape_annotations//test_auto_move//signs_mov/7007.mov" TargetMode="External"/><Relationship Id="rId22534" Type="http://schemas.openxmlformats.org/officeDocument/2006/relationships/hyperlink" Target="http://csr.bu.edu/ftp/asl/asllvd/demos/verify_start_end_handshape_annotations//test_auto_move//signs_mov_separ_signers/Tyler_7007.mov" TargetMode="External"/><Relationship Id="rId22535" Type="http://schemas.openxmlformats.org/officeDocument/2006/relationships/hyperlink" Target="http://secrets.rutgers.edu:8080/data/asl-ftp/asllvd/demos/verify_start_end_handshape_annotations//test_auto_move//signs_mov/7007.mov" TargetMode="External"/><Relationship Id="rId22536" Type="http://schemas.openxmlformats.org/officeDocument/2006/relationships/hyperlink" Target="http://secrets.rutgers.edu:8080/data/asl-ftp/asllvd/demos/verify_start_end_handshape_annotations//test_auto_move//signs_mov_separ_signers/Tyler_7007.mov" TargetMode="External"/><Relationship Id="rId22537" Type="http://schemas.openxmlformats.org/officeDocument/2006/relationships/hyperlink" Target="http://csr.bu.edu/ftp/asl/asllvd/demos/verify_start_end_handshape_annotations//test_auto_move//signs_mov_separ_signers/Liz_7009.mov" TargetMode="External"/><Relationship Id="rId22538" Type="http://schemas.openxmlformats.org/officeDocument/2006/relationships/hyperlink" Target="http://secrets.rutgers.edu:8080/data/asl-ftp/asllvd/demos/verify_start_end_handshape_annotations//test_auto_move//signs_mov_separ_signers/Liz_7009.mov" TargetMode="External"/><Relationship Id="rId22539" Type="http://schemas.openxmlformats.org/officeDocument/2006/relationships/hyperlink" Target="http://csr.bu.edu/ftp/asl/asllvd/demos/verify_start_end_handshape_annotations//test_auto_move//signs_mov_separ_signers/Tyler_7009.mov" TargetMode="External"/><Relationship Id="rId22540" Type="http://schemas.openxmlformats.org/officeDocument/2006/relationships/hyperlink" Target="http://secrets.rutgers.edu:8080/data/asl-ftp/asllvd/demos/verify_start_end_handshape_annotations//test_auto_move//signs_mov_separ_signers/Tyler_7009.mov" TargetMode="External"/><Relationship Id="rId22541" Type="http://schemas.openxmlformats.org/officeDocument/2006/relationships/hyperlink" Target="http://csr.bu.edu/ftp/asl/asllvd/demos/verify_start_end_handshape_annotations//test_auto_move//signs_mov/7009.mov" TargetMode="External"/><Relationship Id="rId22542" Type="http://schemas.openxmlformats.org/officeDocument/2006/relationships/hyperlink" Target="http://csr.bu.edu/ftp/asl/asllvd/demos/verify_start_end_handshape_annotations//test_auto_move//signs_mov_separ_signers/Naomi_7009.mov" TargetMode="External"/><Relationship Id="rId22543" Type="http://schemas.openxmlformats.org/officeDocument/2006/relationships/hyperlink" Target="http://secrets.rutgers.edu:8080/data/asl-ftp/asllvd/demos/verify_start_end_handshape_annotations//test_auto_move//signs_mov/7009.mov" TargetMode="External"/><Relationship Id="rId22544" Type="http://schemas.openxmlformats.org/officeDocument/2006/relationships/hyperlink" Target="http://secrets.rutgers.edu:8080/data/asl-ftp/asllvd/demos/verify_start_end_handshape_annotations//test_auto_move//signs_mov_separ_signers/Naomi_7009.mov" TargetMode="External"/><Relationship Id="rId22545" Type="http://schemas.openxmlformats.org/officeDocument/2006/relationships/hyperlink" Target="http://csr.bu.edu/ftp/asl/asllvd/demos/verify_start_end_handshape_annotations//test_auto_move//signs_mov_separ_signers/Brady_7009.mov" TargetMode="External"/><Relationship Id="rId22546" Type="http://schemas.openxmlformats.org/officeDocument/2006/relationships/hyperlink" Target="http://secrets.rutgers.edu:8080/data/asl-ftp/asllvd/demos/verify_start_end_handshape_annotations//test_auto_move//signs_mov_separ_signers/Brady_7009.mov" TargetMode="External"/><Relationship Id="rId22547" Type="http://schemas.openxmlformats.org/officeDocument/2006/relationships/hyperlink" Target="http://csr.bu.edu/ftp/asl/asllvd/demos/verify_start_end_handshape_annotations//test_auto_move//signs_mov_separ_signers/Lana_7009.mov" TargetMode="External"/><Relationship Id="rId22548" Type="http://schemas.openxmlformats.org/officeDocument/2006/relationships/hyperlink" Target="http://secrets.rutgers.edu:8080/data/asl-ftp/asllvd/demos/verify_start_end_handshape_annotations//test_auto_move//signs_mov_separ_signers/Lana_7009.mov" TargetMode="External"/><Relationship Id="rId22549" Type="http://schemas.openxmlformats.org/officeDocument/2006/relationships/hyperlink" Target="http://csr.bu.edu/ftp/asl/asllvd/demos/verify_start_end_handshape_annotations//test_auto_move//signs_mov/15073.mov" TargetMode="External"/><Relationship Id="rId22550" Type="http://schemas.openxmlformats.org/officeDocument/2006/relationships/hyperlink" Target="http://csr.bu.edu/ftp/asl/asllvd/demos/verify_start_end_handshape_annotations//test_auto_move//signs_mov_separ_signers/Dana_15073.mov" TargetMode="External"/><Relationship Id="rId22551" Type="http://schemas.openxmlformats.org/officeDocument/2006/relationships/hyperlink" Target="http://secrets.rutgers.edu:8080/data/asl-ftp/asllvd/demos/verify_start_end_handshape_annotations//test_auto_move//signs_mov/15073.mov" TargetMode="External"/><Relationship Id="rId22552" Type="http://schemas.openxmlformats.org/officeDocument/2006/relationships/hyperlink" Target="http://secrets.rutgers.edu:8080/data/asl-ftp/asllvd/demos/verify_start_end_handshape_annotations//test_auto_move//signs_mov_separ_signers/Dana_15073.mov" TargetMode="External"/><Relationship Id="rId22553" Type="http://schemas.openxmlformats.org/officeDocument/2006/relationships/hyperlink" Target="http://csr.bu.edu/ftp/asl/asllvd/demos/verify_start_end_handshape_annotations//test_auto_move//signs_mov_separ_signers/Liz_16179.mov" TargetMode="External"/><Relationship Id="rId22554" Type="http://schemas.openxmlformats.org/officeDocument/2006/relationships/hyperlink" Target="http://secrets.rutgers.edu:8080/data/asl-ftp/asllvd/demos/verify_start_end_handshape_annotations//test_auto_move//signs_mov_separ_signers/Liz_16179.mov" TargetMode="External"/><Relationship Id="rId22555" Type="http://schemas.openxmlformats.org/officeDocument/2006/relationships/hyperlink" Target="http://csr.bu.edu/ftp/asl/asllvd/demos/verify_start_end_handshape_annotations//test_auto_move//signs_mov/16179_16185_merged.mov" TargetMode="External"/><Relationship Id="rId22556" Type="http://schemas.openxmlformats.org/officeDocument/2006/relationships/hyperlink" Target="http://csr.bu.edu/ftp/asl/asllvd/demos/verify_start_end_handshape_annotations//test_auto_move//signs_mov_separ_signers/Liz_16185.mov" TargetMode="External"/><Relationship Id="rId22557" Type="http://schemas.openxmlformats.org/officeDocument/2006/relationships/hyperlink" Target="http://secrets.rutgers.edu:8080/data/asl-ftp/asllvd/demos/verify_start_end_handshape_annotations//test_auto_move//signs_mov/16179_16185_merged.mov" TargetMode="External"/><Relationship Id="rId22558" Type="http://schemas.openxmlformats.org/officeDocument/2006/relationships/hyperlink" Target="http://secrets.rutgers.edu:8080/data/asl-ftp/asllvd/demos/verify_start_end_handshape_annotations//test_auto_move//signs_mov_separ_signers/Liz_16185.mov" TargetMode="External"/><Relationship Id="rId22559" Type="http://schemas.openxmlformats.org/officeDocument/2006/relationships/hyperlink" Target="http://csr.bu.edu/ftp/asl/asllvd/demos/verify_start_end_handshape_annotations//test_auto_move//signs_mov_separ_signers/Naomi_16179.mov" TargetMode="External"/><Relationship Id="rId22560" Type="http://schemas.openxmlformats.org/officeDocument/2006/relationships/hyperlink" Target="http://secrets.rutgers.edu:8080/data/asl-ftp/asllvd/demos/verify_start_end_handshape_annotations//test_auto_move//signs_mov_separ_signers/Naomi_16179.mov" TargetMode="External"/><Relationship Id="rId22561" Type="http://schemas.openxmlformats.org/officeDocument/2006/relationships/hyperlink" Target="http://csr.bu.edu/ftp/asl/asllvd/demos/verify_start_end_handshape_annotations//test_auto_move//signs_mov_separ_signers/Brady_16179.mov" TargetMode="External"/><Relationship Id="rId22562" Type="http://schemas.openxmlformats.org/officeDocument/2006/relationships/hyperlink" Target="http://secrets.rutgers.edu:8080/data/asl-ftp/asllvd/demos/verify_start_end_handshape_annotations//test_auto_move//signs_mov_separ_signers/Brady_16179.mov" TargetMode="External"/><Relationship Id="rId22563" Type="http://schemas.openxmlformats.org/officeDocument/2006/relationships/hyperlink" Target="http://csr.bu.edu/ftp/asl/asllvd/demos/verify_start_end_handshape_annotations//test_auto_move//signs_mov/7113.mov" TargetMode="External"/><Relationship Id="rId22564" Type="http://schemas.openxmlformats.org/officeDocument/2006/relationships/hyperlink" Target="http://csr.bu.edu/ftp/asl/asllvd/demos/verify_start_end_handshape_annotations//test_auto_move//signs_mov_separ_signers/Tyler_7113.mov" TargetMode="External"/><Relationship Id="rId22565" Type="http://schemas.openxmlformats.org/officeDocument/2006/relationships/hyperlink" Target="http://secrets.rutgers.edu:8080/data/asl-ftp/asllvd/demos/verify_start_end_handshape_annotations//test_auto_move//signs_mov/7113.mov" TargetMode="External"/><Relationship Id="rId22566" Type="http://schemas.openxmlformats.org/officeDocument/2006/relationships/hyperlink" Target="http://secrets.rutgers.edu:8080/data/asl-ftp/asllvd/demos/verify_start_end_handshape_annotations//test_auto_move//signs_mov_separ_signers/Tyler_7113.mov" TargetMode="External"/><Relationship Id="rId22567" Type="http://schemas.openxmlformats.org/officeDocument/2006/relationships/hyperlink" Target="http://csr.bu.edu/ftp/asl/asllvd/demos/verify_start_end_handshape_annotations//test_auto_move//signs_mov_separ_signers/Brady_7113.mov" TargetMode="External"/><Relationship Id="rId22568" Type="http://schemas.openxmlformats.org/officeDocument/2006/relationships/hyperlink" Target="http://secrets.rutgers.edu:8080/data/asl-ftp/asllvd/demos/verify_start_end_handshape_annotations//test_auto_move//signs_mov_separ_signers/Brady_7113.mov" TargetMode="External"/><Relationship Id="rId22569" Type="http://schemas.openxmlformats.org/officeDocument/2006/relationships/hyperlink" Target="http://csr.bu.edu/ftp/asl/asllvd/demos/verify_start_end_handshape_annotations//test_auto_move//signs_mov/7139.mov" TargetMode="External"/><Relationship Id="rId22570" Type="http://schemas.openxmlformats.org/officeDocument/2006/relationships/hyperlink" Target="http://csr.bu.edu/ftp/asl/asllvd/demos/verify_start_end_handshape_annotations//test_auto_move//signs_mov_separ_signers/Lana_7139.mov" TargetMode="External"/><Relationship Id="rId22571" Type="http://schemas.openxmlformats.org/officeDocument/2006/relationships/hyperlink" Target="http://secrets.rutgers.edu:8080/data/asl-ftp/asllvd/demos/verify_start_end_handshape_annotations//test_auto_move//signs_mov/7139.mov" TargetMode="External"/><Relationship Id="rId22572" Type="http://schemas.openxmlformats.org/officeDocument/2006/relationships/hyperlink" Target="http://secrets.rutgers.edu:8080/data/asl-ftp/asllvd/demos/verify_start_end_handshape_annotations//test_auto_move//signs_mov_separ_signers/Lana_7139.mov" TargetMode="External"/><Relationship Id="rId22573" Type="http://schemas.openxmlformats.org/officeDocument/2006/relationships/hyperlink" Target="http://csr.bu.edu/ftp/asl/asllvd/demos/verify_start_end_handshape_annotations//test_auto_move//signs_mov_separ_signers/Liz_5470.mov" TargetMode="External"/><Relationship Id="rId22574" Type="http://schemas.openxmlformats.org/officeDocument/2006/relationships/hyperlink" Target="http://secrets.rutgers.edu:8080/data/asl-ftp/asllvd/demos/verify_start_end_handshape_annotations//test_auto_move//signs_mov_separ_signers/Liz_5470.mov" TargetMode="External"/><Relationship Id="rId22575" Type="http://schemas.openxmlformats.org/officeDocument/2006/relationships/hyperlink" Target="http://csr.bu.edu/ftp/asl/asllvd/demos/verify_start_end_handshape_annotations//test_auto_move//signs_mov/5470_5895_merged.mov" TargetMode="External"/><Relationship Id="rId22576" Type="http://schemas.openxmlformats.org/officeDocument/2006/relationships/hyperlink" Target="http://csr.bu.edu/ftp/asl/asllvd/demos/verify_start_end_handshape_annotations//test_auto_move//signs_mov_separ_signers/Liz_5895.mov" TargetMode="External"/><Relationship Id="rId22577" Type="http://schemas.openxmlformats.org/officeDocument/2006/relationships/hyperlink" Target="http://secrets.rutgers.edu:8080/data/asl-ftp/asllvd/demos/verify_start_end_handshape_annotations//test_auto_move//signs_mov/5470_5895_merged.mov" TargetMode="External"/><Relationship Id="rId22578" Type="http://schemas.openxmlformats.org/officeDocument/2006/relationships/hyperlink" Target="http://secrets.rutgers.edu:8080/data/asl-ftp/asllvd/demos/verify_start_end_handshape_annotations//test_auto_move//signs_mov_separ_signers/Liz_5895.mov" TargetMode="External"/><Relationship Id="rId22579" Type="http://schemas.openxmlformats.org/officeDocument/2006/relationships/hyperlink" Target="http://csr.bu.edu/ftp/asl/asllvd/demos/verify_start_end_handshape_annotations//test_auto_move//signs_mov_separ_signers/Brady_5470.mov" TargetMode="External"/><Relationship Id="rId22580" Type="http://schemas.openxmlformats.org/officeDocument/2006/relationships/hyperlink" Target="http://secrets.rutgers.edu:8080/data/asl-ftp/asllvd/demos/verify_start_end_handshape_annotations//test_auto_move//signs_mov_separ_signers/Brady_5470.mov" TargetMode="External"/><Relationship Id="rId22581" Type="http://schemas.openxmlformats.org/officeDocument/2006/relationships/hyperlink" Target="http://csr.bu.edu/ftp/asl/asllvd/demos/verify_start_end_handshape_annotations//test_auto_move//signs_mov_separ_signers/Brady_5895.mov" TargetMode="External"/><Relationship Id="rId22582" Type="http://schemas.openxmlformats.org/officeDocument/2006/relationships/hyperlink" Target="http://secrets.rutgers.edu:8080/data/asl-ftp/asllvd/demos/verify_start_end_handshape_annotations//test_auto_move//signs_mov_separ_signers/Brady_5895.mov" TargetMode="External"/><Relationship Id="rId22583" Type="http://schemas.openxmlformats.org/officeDocument/2006/relationships/hyperlink" Target="http://csr.bu.edu/ftp/asl/asllvd/demos/verify_start_end_handshape_annotations//test_auto_move//signs_mov/7152.mov" TargetMode="External"/><Relationship Id="rId22584" Type="http://schemas.openxmlformats.org/officeDocument/2006/relationships/hyperlink" Target="http://csr.bu.edu/ftp/asl/asllvd/demos/verify_start_end_handshape_annotations//test_auto_move//signs_mov_separ_signers/Brady_7152.mov" TargetMode="External"/><Relationship Id="rId22585" Type="http://schemas.openxmlformats.org/officeDocument/2006/relationships/hyperlink" Target="http://secrets.rutgers.edu:8080/data/asl-ftp/asllvd/demos/verify_start_end_handshape_annotations//test_auto_move//signs_mov/7152.mov" TargetMode="External"/><Relationship Id="rId22586" Type="http://schemas.openxmlformats.org/officeDocument/2006/relationships/hyperlink" Target="http://secrets.rutgers.edu:8080/data/asl-ftp/asllvd/demos/verify_start_end_handshape_annotations//test_auto_move//signs_mov_separ_signers/Brady_7152.mov" TargetMode="External"/><Relationship Id="rId22587" Type="http://schemas.openxmlformats.org/officeDocument/2006/relationships/hyperlink" Target="http://csr.bu.edu/ftp/asl/asllvd/demos/verify_start_end_handshape_annotations//test_auto_move//signs_mov/5886.mov" TargetMode="External"/><Relationship Id="rId22588" Type="http://schemas.openxmlformats.org/officeDocument/2006/relationships/hyperlink" Target="http://csr.bu.edu/ftp/asl/asllvd/demos/verify_start_end_handshape_annotations//test_auto_move//signs_mov_separ_signers/Liz_5886.mov" TargetMode="External"/><Relationship Id="rId22589" Type="http://schemas.openxmlformats.org/officeDocument/2006/relationships/hyperlink" Target="http://secrets.rutgers.edu:8080/data/asl-ftp/asllvd/demos/verify_start_end_handshape_annotations//test_auto_move//signs_mov/5886.mov" TargetMode="External"/><Relationship Id="rId22590" Type="http://schemas.openxmlformats.org/officeDocument/2006/relationships/hyperlink" Target="http://secrets.rutgers.edu:8080/data/asl-ftp/asllvd/demos/verify_start_end_handshape_annotations//test_auto_move//signs_mov_separ_signers/Liz_5886.mov" TargetMode="External"/><Relationship Id="rId22591" Type="http://schemas.openxmlformats.org/officeDocument/2006/relationships/hyperlink" Target="http://csr.bu.edu/ftp/asl/asllvd/demos/verify_start_end_handshape_annotations//test_auto_move//signs_mov_separ_signers/Liz_7200.mov" TargetMode="External"/><Relationship Id="rId22592" Type="http://schemas.openxmlformats.org/officeDocument/2006/relationships/hyperlink" Target="http://secrets.rutgers.edu:8080/data/asl-ftp/asllvd/demos/verify_start_end_handshape_annotations//test_auto_move//signs_mov_separ_signers/Liz_7200.mov" TargetMode="External"/><Relationship Id="rId22593" Type="http://schemas.openxmlformats.org/officeDocument/2006/relationships/hyperlink" Target="http://csr.bu.edu/ftp/asl/asllvd/demos/verify_start_end_handshape_annotations//test_auto_move//signs_mov_separ_signers/Liz_5022.mov" TargetMode="External"/><Relationship Id="rId22594" Type="http://schemas.openxmlformats.org/officeDocument/2006/relationships/hyperlink" Target="http://secrets.rutgers.edu:8080/data/asl-ftp/asllvd/demos/verify_start_end_handshape_annotations//test_auto_move//signs_mov_separ_signers/Liz_5022.mov" TargetMode="External"/><Relationship Id="rId22595" Type="http://schemas.openxmlformats.org/officeDocument/2006/relationships/hyperlink" Target="http://csr.bu.edu/ftp/asl/asllvd/demos/verify_start_end_handshape_annotations//test_auto_move//signs_mov_separ_signers/Tyler_7200.mov" TargetMode="External"/><Relationship Id="rId22596" Type="http://schemas.openxmlformats.org/officeDocument/2006/relationships/hyperlink" Target="http://secrets.rutgers.edu:8080/data/asl-ftp/asllvd/demos/verify_start_end_handshape_annotations//test_auto_move//signs_mov_separ_signers/Tyler_7200.mov" TargetMode="External"/><Relationship Id="rId22597" Type="http://schemas.openxmlformats.org/officeDocument/2006/relationships/hyperlink" Target="http://csr.bu.edu/ftp/asl/asllvd/demos/verify_start_end_handshape_annotations//test_auto_move//signs_mov/5022_7200_merged.mov" TargetMode="External"/><Relationship Id="rId22598" Type="http://schemas.openxmlformats.org/officeDocument/2006/relationships/hyperlink" Target="http://csr.bu.edu/ftp/asl/asllvd/demos/verify_start_end_handshape_annotations//test_auto_move//signs_mov_separ_signers/Naomi_7200.mov" TargetMode="External"/><Relationship Id="rId22599" Type="http://schemas.openxmlformats.org/officeDocument/2006/relationships/hyperlink" Target="http://secrets.rutgers.edu:8080/data/asl-ftp/asllvd/demos/verify_start_end_handshape_annotations//test_auto_move//signs_mov/5022_7200_merged.mov" TargetMode="External"/><Relationship Id="rId22600" Type="http://schemas.openxmlformats.org/officeDocument/2006/relationships/hyperlink" Target="http://secrets.rutgers.edu:8080/data/asl-ftp/asllvd/demos/verify_start_end_handshape_annotations//test_auto_move//signs_mov_separ_signers/Naomi_7200.mov" TargetMode="External"/><Relationship Id="rId22601" Type="http://schemas.openxmlformats.org/officeDocument/2006/relationships/hyperlink" Target="http://csr.bu.edu/ftp/asl/asllvd/demos/verify_start_end_handshape_annotations//test_auto_move//signs_mov_separ_signers/Brady_7200.mov" TargetMode="External"/><Relationship Id="rId22602" Type="http://schemas.openxmlformats.org/officeDocument/2006/relationships/hyperlink" Target="http://secrets.rutgers.edu:8080/data/asl-ftp/asllvd/demos/verify_start_end_handshape_annotations//test_auto_move//signs_mov_separ_signers/Brady_7200.mov" TargetMode="External"/><Relationship Id="rId22603" Type="http://schemas.openxmlformats.org/officeDocument/2006/relationships/hyperlink" Target="http://csr.bu.edu/ftp/asl/asllvd/demos/verify_start_end_handshape_annotations//test_auto_move//signs_mov_separ_signers/Brady_5022.mov" TargetMode="External"/><Relationship Id="rId22604" Type="http://schemas.openxmlformats.org/officeDocument/2006/relationships/hyperlink" Target="http://secrets.rutgers.edu:8080/data/asl-ftp/asllvd/demos/verify_start_end_handshape_annotations//test_auto_move//signs_mov_separ_signers/Brady_5022.mov" TargetMode="External"/><Relationship Id="rId22605" Type="http://schemas.openxmlformats.org/officeDocument/2006/relationships/hyperlink" Target="http://csr.bu.edu/ftp/asl/asllvd/demos/verify_start_end_handshape_annotations//test_auto_move//signs_mov_separ_signers/Lana_7200.mov" TargetMode="External"/><Relationship Id="rId22606" Type="http://schemas.openxmlformats.org/officeDocument/2006/relationships/hyperlink" Target="http://secrets.rutgers.edu:8080/data/asl-ftp/asllvd/demos/verify_start_end_handshape_annotations//test_auto_move//signs_mov_separ_signers/Lana_7200.mov" TargetMode="External"/><Relationship Id="rId22607" Type="http://schemas.openxmlformats.org/officeDocument/2006/relationships/hyperlink" Target="http://csr.bu.edu/ftp/asl/asllvd/demos/verify_start_end_handshape_annotations//test_auto_move//signs_mov_separ_signers/Dana_7200.mov" TargetMode="External"/><Relationship Id="rId22608" Type="http://schemas.openxmlformats.org/officeDocument/2006/relationships/hyperlink" Target="http://secrets.rutgers.edu:8080/data/asl-ftp/asllvd/demos/verify_start_end_handshape_annotations//test_auto_move//signs_mov_separ_signers/Dana_7200.mov" TargetMode="External"/><Relationship Id="rId22609" Type="http://schemas.openxmlformats.org/officeDocument/2006/relationships/hyperlink" Target="http://csr.bu.edu/ftp/asl/asllvd/demos/verify_start_end_handshape_annotations//test_auto_move//signs_mov_separ_signers/Liz_7232.mov" TargetMode="External"/><Relationship Id="rId22610" Type="http://schemas.openxmlformats.org/officeDocument/2006/relationships/hyperlink" Target="http://secrets.rutgers.edu:8080/data/asl-ftp/asllvd/demos/verify_start_end_handshape_annotations//test_auto_move//signs_mov_separ_signers/Liz_7232.mov" TargetMode="External"/><Relationship Id="rId22611" Type="http://schemas.openxmlformats.org/officeDocument/2006/relationships/hyperlink" Target="http://csr.bu.edu/ftp/asl/asllvd/demos/verify_start_end_handshape_annotations//test_auto_move//signs_mov_separ_signers/Liz_5021.mov" TargetMode="External"/><Relationship Id="rId22612" Type="http://schemas.openxmlformats.org/officeDocument/2006/relationships/hyperlink" Target="http://secrets.rutgers.edu:8080/data/asl-ftp/asllvd/demos/verify_start_end_handshape_annotations//test_auto_move//signs_mov_separ_signers/Liz_5021.mov" TargetMode="External"/><Relationship Id="rId22613" Type="http://schemas.openxmlformats.org/officeDocument/2006/relationships/hyperlink" Target="http://csr.bu.edu/ftp/asl/asllvd/demos/verify_start_end_handshape_annotations//test_auto_move//signs_mov_separ_signers/Liz_5813.mov" TargetMode="External"/><Relationship Id="rId22614" Type="http://schemas.openxmlformats.org/officeDocument/2006/relationships/hyperlink" Target="http://secrets.rutgers.edu:8080/data/asl-ftp/asllvd/demos/verify_start_end_handshape_annotations//test_auto_move//signs_mov_separ_signers/Liz_5813.mov" TargetMode="External"/><Relationship Id="rId22615" Type="http://schemas.openxmlformats.org/officeDocument/2006/relationships/hyperlink" Target="http://csr.bu.edu/ftp/asl/asllvd/demos/verify_start_end_handshape_annotations//test_auto_move//signs_mov_separ_signers/Tyler_7232.mov" TargetMode="External"/><Relationship Id="rId22616" Type="http://schemas.openxmlformats.org/officeDocument/2006/relationships/hyperlink" Target="http://secrets.rutgers.edu:8080/data/asl-ftp/asllvd/demos/verify_start_end_handshape_annotations//test_auto_move//signs_mov_separ_signers/Tyler_7232.mov" TargetMode="External"/><Relationship Id="rId22617" Type="http://schemas.openxmlformats.org/officeDocument/2006/relationships/hyperlink" Target="http://csr.bu.edu/ftp/asl/asllvd/demos/verify_start_end_handshape_annotations//test_auto_move//signs_mov_separ_signers/Naomi_7232.mov" TargetMode="External"/><Relationship Id="rId22618" Type="http://schemas.openxmlformats.org/officeDocument/2006/relationships/hyperlink" Target="http://secrets.rutgers.edu:8080/data/asl-ftp/asllvd/demos/verify_start_end_handshape_annotations//test_auto_move//signs_mov_separ_signers/Naomi_7232.mov" TargetMode="External"/><Relationship Id="rId22619" Type="http://schemas.openxmlformats.org/officeDocument/2006/relationships/hyperlink" Target="http://csr.bu.edu/ftp/asl/asllvd/demos/verify_start_end_handshape_annotations//test_auto_move//signs_mov/5021_5813_5938_7232_15127_merged.mov" TargetMode="External"/><Relationship Id="rId22620" Type="http://schemas.openxmlformats.org/officeDocument/2006/relationships/hyperlink" Target="http://csr.bu.edu/ftp/asl/asllvd/demos/verify_start_end_handshape_annotations//test_auto_move//signs_mov_separ_signers/Naomi_5021.mov" TargetMode="External"/><Relationship Id="rId22621" Type="http://schemas.openxmlformats.org/officeDocument/2006/relationships/hyperlink" Target="http://secrets.rutgers.edu:8080/data/asl-ftp/asllvd/demos/verify_start_end_handshape_annotations//test_auto_move//signs_mov/5021_5813_5938_7232_15127_merged.mov" TargetMode="External"/><Relationship Id="rId22622" Type="http://schemas.openxmlformats.org/officeDocument/2006/relationships/hyperlink" Target="http://secrets.rutgers.edu:8080/data/asl-ftp/asllvd/demos/verify_start_end_handshape_annotations//test_auto_move//signs_mov_separ_signers/Naomi_5021.mov" TargetMode="External"/><Relationship Id="rId22623" Type="http://schemas.openxmlformats.org/officeDocument/2006/relationships/hyperlink" Target="http://csr.bu.edu/ftp/asl/asllvd/demos/verify_start_end_handshape_annotations//test_auto_move//signs_mov_separ_signers/Brady_7232.mov" TargetMode="External"/><Relationship Id="rId22624" Type="http://schemas.openxmlformats.org/officeDocument/2006/relationships/hyperlink" Target="http://secrets.rutgers.edu:8080/data/asl-ftp/asllvd/demos/verify_start_end_handshape_annotations//test_auto_move//signs_mov_separ_signers/Brady_7232.mov" TargetMode="External"/><Relationship Id="rId22625" Type="http://schemas.openxmlformats.org/officeDocument/2006/relationships/hyperlink" Target="http://csr.bu.edu/ftp/asl/asllvd/demos/verify_start_end_handshape_annotations//test_auto_move//signs_mov_separ_signers/Brady_5021.mov" TargetMode="External"/><Relationship Id="rId22626" Type="http://schemas.openxmlformats.org/officeDocument/2006/relationships/hyperlink" Target="http://secrets.rutgers.edu:8080/data/asl-ftp/asllvd/demos/verify_start_end_handshape_annotations//test_auto_move//signs_mov_separ_signers/Brady_5021.mov" TargetMode="External"/><Relationship Id="rId22627" Type="http://schemas.openxmlformats.org/officeDocument/2006/relationships/hyperlink" Target="http://csr.bu.edu/ftp/asl/asllvd/demos/verify_start_end_handshape_annotations//test_auto_move//signs_mov_separ_signers/Brady_5813.mov" TargetMode="External"/><Relationship Id="rId22628" Type="http://schemas.openxmlformats.org/officeDocument/2006/relationships/hyperlink" Target="http://secrets.rutgers.edu:8080/data/asl-ftp/asllvd/demos/verify_start_end_handshape_annotations//test_auto_move//signs_mov_separ_signers/Brady_5813.mov" TargetMode="External"/><Relationship Id="rId22629" Type="http://schemas.openxmlformats.org/officeDocument/2006/relationships/hyperlink" Target="http://csr.bu.edu/ftp/asl/asllvd/demos/verify_start_end_handshape_annotations//test_auto_move//signs_mov_separ_signers/Brady_5938.mov" TargetMode="External"/><Relationship Id="rId22630" Type="http://schemas.openxmlformats.org/officeDocument/2006/relationships/hyperlink" Target="http://secrets.rutgers.edu:8080/data/asl-ftp/asllvd/demos/verify_start_end_handshape_annotations//test_auto_move//signs_mov_separ_signers/Brady_5938.mov" TargetMode="External"/><Relationship Id="rId22631" Type="http://schemas.openxmlformats.org/officeDocument/2006/relationships/hyperlink" Target="http://csr.bu.edu/ftp/asl/asllvd/demos/verify_start_end_handshape_annotations//test_auto_move//signs_mov_separ_signers/Brady_15127.mov" TargetMode="External"/><Relationship Id="rId22632" Type="http://schemas.openxmlformats.org/officeDocument/2006/relationships/hyperlink" Target="http://secrets.rutgers.edu:8080/data/asl-ftp/asllvd/demos/verify_start_end_handshape_annotations//test_auto_move//signs_mov_separ_signers/Brady_15127.mov" TargetMode="External"/><Relationship Id="rId22633" Type="http://schemas.openxmlformats.org/officeDocument/2006/relationships/hyperlink" Target="http://csr.bu.edu/ftp/asl/asllvd/demos/verify_start_end_handshape_annotations//test_auto_move//signs_mov_separ_signers/Liz_7256.mov" TargetMode="External"/><Relationship Id="rId22634" Type="http://schemas.openxmlformats.org/officeDocument/2006/relationships/hyperlink" Target="http://secrets.rutgers.edu:8080/data/asl-ftp/asllvd/demos/verify_start_end_handshape_annotations//test_auto_move//signs_mov_separ_signers/Liz_7256.mov" TargetMode="External"/><Relationship Id="rId22635" Type="http://schemas.openxmlformats.org/officeDocument/2006/relationships/hyperlink" Target="http://csr.bu.edu/ftp/asl/asllvd/demos/verify_start_end_handshape_annotations//test_auto_move//signs_mov_separ_signers/Tyler_7256.mov" TargetMode="External"/><Relationship Id="rId22636" Type="http://schemas.openxmlformats.org/officeDocument/2006/relationships/hyperlink" Target="http://secrets.rutgers.edu:8080/data/asl-ftp/asllvd/demos/verify_start_end_handshape_annotations//test_auto_move//signs_mov_separ_signers/Tyler_7256.mov" TargetMode="External"/><Relationship Id="rId22637" Type="http://schemas.openxmlformats.org/officeDocument/2006/relationships/hyperlink" Target="http://csr.bu.edu/ftp/asl/asllvd/demos/verify_start_end_handshape_annotations//test_auto_move//signs_mov/5803_7256_merged.mov" TargetMode="External"/><Relationship Id="rId22638" Type="http://schemas.openxmlformats.org/officeDocument/2006/relationships/hyperlink" Target="http://csr.bu.edu/ftp/asl/asllvd/demos/verify_start_end_handshape_annotations//test_auto_move//signs_mov_separ_signers/Naomi_7256.mov" TargetMode="External"/><Relationship Id="rId22639" Type="http://schemas.openxmlformats.org/officeDocument/2006/relationships/hyperlink" Target="http://secrets.rutgers.edu:8080/data/asl-ftp/asllvd/demos/verify_start_end_handshape_annotations//test_auto_move//signs_mov/5803_7256_merged.mov" TargetMode="External"/><Relationship Id="rId22640" Type="http://schemas.openxmlformats.org/officeDocument/2006/relationships/hyperlink" Target="http://secrets.rutgers.edu:8080/data/asl-ftp/asllvd/demos/verify_start_end_handshape_annotations//test_auto_move//signs_mov_separ_signers/Naomi_7256.mov" TargetMode="External"/><Relationship Id="rId22641" Type="http://schemas.openxmlformats.org/officeDocument/2006/relationships/hyperlink" Target="http://csr.bu.edu/ftp/asl/asllvd/demos/verify_start_end_handshape_annotations//test_auto_move//signs_mov_separ_signers/Brady_7256.mov" TargetMode="External"/><Relationship Id="rId22642" Type="http://schemas.openxmlformats.org/officeDocument/2006/relationships/hyperlink" Target="http://secrets.rutgers.edu:8080/data/asl-ftp/asllvd/demos/verify_start_end_handshape_annotations//test_auto_move//signs_mov_separ_signers/Brady_7256.mov" TargetMode="External"/><Relationship Id="rId22643" Type="http://schemas.openxmlformats.org/officeDocument/2006/relationships/hyperlink" Target="http://csr.bu.edu/ftp/asl/asllvd/demos/verify_start_end_handshape_annotations//test_auto_move//signs_mov_separ_signers/Brady_5803.mov" TargetMode="External"/><Relationship Id="rId22644" Type="http://schemas.openxmlformats.org/officeDocument/2006/relationships/hyperlink" Target="http://secrets.rutgers.edu:8080/data/asl-ftp/asllvd/demos/verify_start_end_handshape_annotations//test_auto_move//signs_mov_separ_signers/Brady_5803.mov" TargetMode="External"/><Relationship Id="rId22645" Type="http://schemas.openxmlformats.org/officeDocument/2006/relationships/hyperlink" Target="http://csr.bu.edu/ftp/asl/asllvd/demos/verify_start_end_handshape_annotations//test_auto_move//signs_mov/16077.mov" TargetMode="External"/><Relationship Id="rId22646" Type="http://schemas.openxmlformats.org/officeDocument/2006/relationships/hyperlink" Target="http://csr.bu.edu/ftp/asl/asllvd/demos/verify_start_end_handshape_annotations//test_auto_move//signs_mov_separ_signers/Liz_16077.mov" TargetMode="External"/><Relationship Id="rId22647" Type="http://schemas.openxmlformats.org/officeDocument/2006/relationships/hyperlink" Target="http://secrets.rutgers.edu:8080/data/asl-ftp/asllvd/demos/verify_start_end_handshape_annotations//test_auto_move//signs_mov/16077.mov" TargetMode="External"/><Relationship Id="rId22648" Type="http://schemas.openxmlformats.org/officeDocument/2006/relationships/hyperlink" Target="http://secrets.rutgers.edu:8080/data/asl-ftp/asllvd/demos/verify_start_end_handshape_annotations//test_auto_move//signs_mov_separ_signers/Liz_16077.mov" TargetMode="External"/><Relationship Id="rId22649" Type="http://schemas.openxmlformats.org/officeDocument/2006/relationships/hyperlink" Target="http://csr.bu.edu/ftp/asl/asllvd/demos/verify_start_end_handshape_annotations//test_auto_move//signs_mov_separ_signers/Brady_16077.mov" TargetMode="External"/><Relationship Id="rId22650" Type="http://schemas.openxmlformats.org/officeDocument/2006/relationships/hyperlink" Target="http://secrets.rutgers.edu:8080/data/asl-ftp/asllvd/demos/verify_start_end_handshape_annotations//test_auto_move//signs_mov_separ_signers/Brady_16077.mov" TargetMode="External"/><Relationship Id="rId22651" Type="http://schemas.openxmlformats.org/officeDocument/2006/relationships/hyperlink" Target="http://csr.bu.edu/ftp/asl/asllvd/demos/verify_start_end_handshape_annotations//test_auto_move//signs_mov_separ_signers/Liz_7322.mov" TargetMode="External"/><Relationship Id="rId22652" Type="http://schemas.openxmlformats.org/officeDocument/2006/relationships/hyperlink" Target="http://secrets.rutgers.edu:8080/data/asl-ftp/asllvd/demos/verify_start_end_handshape_annotations//test_auto_move//signs_mov_separ_signers/Liz_7322.mov" TargetMode="External"/><Relationship Id="rId22653" Type="http://schemas.openxmlformats.org/officeDocument/2006/relationships/hyperlink" Target="http://csr.bu.edu/ftp/asl/asllvd/demos/verify_start_end_handshape_annotations//test_auto_move//signs_mov_separ_signers/Tyler_7322.mov" TargetMode="External"/><Relationship Id="rId22654" Type="http://schemas.openxmlformats.org/officeDocument/2006/relationships/hyperlink" Target="http://secrets.rutgers.edu:8080/data/asl-ftp/asllvd/demos/verify_start_end_handshape_annotations//test_auto_move//signs_mov_separ_signers/Tyler_7322.mov" TargetMode="External"/><Relationship Id="rId22655" Type="http://schemas.openxmlformats.org/officeDocument/2006/relationships/hyperlink" Target="http://csr.bu.edu/ftp/asl/asllvd/demos/verify_start_end_handshape_annotations//test_auto_move//signs_mov/5795_7322_merged.mov" TargetMode="External"/><Relationship Id="rId22656" Type="http://schemas.openxmlformats.org/officeDocument/2006/relationships/hyperlink" Target="http://csr.bu.edu/ftp/asl/asllvd/demos/verify_start_end_handshape_annotations//test_auto_move//signs_mov_separ_signers/Naomi_7322.mov" TargetMode="External"/><Relationship Id="rId22657" Type="http://schemas.openxmlformats.org/officeDocument/2006/relationships/hyperlink" Target="http://secrets.rutgers.edu:8080/data/asl-ftp/asllvd/demos/verify_start_end_handshape_annotations//test_auto_move//signs_mov/5795_7322_merged.mov" TargetMode="External"/><Relationship Id="rId22658" Type="http://schemas.openxmlformats.org/officeDocument/2006/relationships/hyperlink" Target="http://secrets.rutgers.edu:8080/data/asl-ftp/asllvd/demos/verify_start_end_handshape_annotations//test_auto_move//signs_mov_separ_signers/Naomi_7322.mov" TargetMode="External"/><Relationship Id="rId22659" Type="http://schemas.openxmlformats.org/officeDocument/2006/relationships/hyperlink" Target="http://csr.bu.edu/ftp/asl/asllvd/demos/verify_start_end_handshape_annotations//test_auto_move//signs_mov_separ_signers/Brady_7322.mov" TargetMode="External"/><Relationship Id="rId22660" Type="http://schemas.openxmlformats.org/officeDocument/2006/relationships/hyperlink" Target="http://secrets.rutgers.edu:8080/data/asl-ftp/asllvd/demos/verify_start_end_handshape_annotations//test_auto_move//signs_mov_separ_signers/Brady_7322.mov" TargetMode="External"/><Relationship Id="rId22661" Type="http://schemas.openxmlformats.org/officeDocument/2006/relationships/hyperlink" Target="http://csr.bu.edu/ftp/asl/asllvd/demos/verify_start_end_handshape_annotations//test_auto_move//signs_mov_separ_signers/Brady_5795.mov" TargetMode="External"/><Relationship Id="rId22662" Type="http://schemas.openxmlformats.org/officeDocument/2006/relationships/hyperlink" Target="http://secrets.rutgers.edu:8080/data/asl-ftp/asllvd/demos/verify_start_end_handshape_annotations//test_auto_move//signs_mov_separ_signers/Brady_5795.mov" TargetMode="External"/><Relationship Id="rId22663" Type="http://schemas.openxmlformats.org/officeDocument/2006/relationships/hyperlink" Target="http://csr.bu.edu/ftp/asl/asllvd/demos/verify_start_end_handshape_annotations//test_auto_move//signs_mov/7379.mov" TargetMode="External"/><Relationship Id="rId22664" Type="http://schemas.openxmlformats.org/officeDocument/2006/relationships/hyperlink" Target="http://csr.bu.edu/ftp/asl/asllvd/demos/verify_start_end_handshape_annotations//test_auto_move//signs_mov_separ_signers/Brady_7379.mov" TargetMode="External"/><Relationship Id="rId22665" Type="http://schemas.openxmlformats.org/officeDocument/2006/relationships/hyperlink" Target="http://secrets.rutgers.edu:8080/data/asl-ftp/asllvd/demos/verify_start_end_handshape_annotations//test_auto_move//signs_mov/7379.mov" TargetMode="External"/><Relationship Id="rId22666" Type="http://schemas.openxmlformats.org/officeDocument/2006/relationships/hyperlink" Target="http://secrets.rutgers.edu:8080/data/asl-ftp/asllvd/demos/verify_start_end_handshape_annotations//test_auto_move//signs_mov_separ_signers/Brady_7379.mov" TargetMode="External"/><Relationship Id="rId22667" Type="http://schemas.openxmlformats.org/officeDocument/2006/relationships/hyperlink" Target="http://csr.bu.edu/ftp/asl/asllvd/demos/verify_start_end_handshape_annotations//test_auto_move//signs_mov_separ_signers/Liz_5066.mov" TargetMode="External"/><Relationship Id="rId22668" Type="http://schemas.openxmlformats.org/officeDocument/2006/relationships/hyperlink" Target="http://secrets.rutgers.edu:8080/data/asl-ftp/asllvd/demos/verify_start_end_handshape_annotations//test_auto_move//signs_mov_separ_signers/Liz_5066.mov" TargetMode="External"/><Relationship Id="rId22669" Type="http://schemas.openxmlformats.org/officeDocument/2006/relationships/hyperlink" Target="http://csr.bu.edu/ftp/asl/asllvd/demos/verify_start_end_handshape_annotations//test_auto_move//signs_mov/5066.mov" TargetMode="External"/><Relationship Id="rId22670" Type="http://schemas.openxmlformats.org/officeDocument/2006/relationships/hyperlink" Target="http://csr.bu.edu/ftp/asl/asllvd/demos/verify_start_end_handshape_annotations//test_auto_move//signs_mov_separ_signers/Tyler_5066.mov" TargetMode="External"/><Relationship Id="rId22671" Type="http://schemas.openxmlformats.org/officeDocument/2006/relationships/hyperlink" Target="http://secrets.rutgers.edu:8080/data/asl-ftp/asllvd/demos/verify_start_end_handshape_annotations//test_auto_move//signs_mov/5066.mov" TargetMode="External"/><Relationship Id="rId22672" Type="http://schemas.openxmlformats.org/officeDocument/2006/relationships/hyperlink" Target="http://secrets.rutgers.edu:8080/data/asl-ftp/asllvd/demos/verify_start_end_handshape_annotations//test_auto_move//signs_mov_separ_signers/Tyler_5066.mov" TargetMode="External"/><Relationship Id="rId22673" Type="http://schemas.openxmlformats.org/officeDocument/2006/relationships/hyperlink" Target="http://csr.bu.edu/ftp/asl/asllvd/demos/verify_start_end_handshape_annotations//test_auto_move//signs_mov_separ_signers/Brady_5066.mov" TargetMode="External"/><Relationship Id="rId22674" Type="http://schemas.openxmlformats.org/officeDocument/2006/relationships/hyperlink" Target="http://secrets.rutgers.edu:8080/data/asl-ftp/asllvd/demos/verify_start_end_handshape_annotations//test_auto_move//signs_mov_separ_signers/Brady_5066.mov" TargetMode="External"/><Relationship Id="rId22675" Type="http://schemas.openxmlformats.org/officeDocument/2006/relationships/hyperlink" Target="http://csr.bu.edu/ftp/asl/asllvd/demos/verify_start_end_handshape_annotations//test_auto_move//signs_mov/7405.mov" TargetMode="External"/><Relationship Id="rId22676" Type="http://schemas.openxmlformats.org/officeDocument/2006/relationships/hyperlink" Target="http://csr.bu.edu/ftp/asl/asllvd/demos/verify_start_end_handshape_annotations//test_auto_move//signs_mov_separ_signers/Liz_7405.mov" TargetMode="External"/><Relationship Id="rId22677" Type="http://schemas.openxmlformats.org/officeDocument/2006/relationships/hyperlink" Target="http://secrets.rutgers.edu:8080/data/asl-ftp/asllvd/demos/verify_start_end_handshape_annotations//test_auto_move//signs_mov/7405.mov" TargetMode="External"/><Relationship Id="rId22678" Type="http://schemas.openxmlformats.org/officeDocument/2006/relationships/hyperlink" Target="http://secrets.rutgers.edu:8080/data/asl-ftp/asllvd/demos/verify_start_end_handshape_annotations//test_auto_move//signs_mov_separ_signers/Liz_7405.mov" TargetMode="External"/><Relationship Id="rId22679" Type="http://schemas.openxmlformats.org/officeDocument/2006/relationships/hyperlink" Target="http://csr.bu.edu/ftp/asl/asllvd/demos/verify_start_end_handshape_annotations//test_auto_move//signs_mov_separ_signers/Naomi_7405.mov" TargetMode="External"/><Relationship Id="rId22680" Type="http://schemas.openxmlformats.org/officeDocument/2006/relationships/hyperlink" Target="http://secrets.rutgers.edu:8080/data/asl-ftp/asllvd/demos/verify_start_end_handshape_annotations//test_auto_move//signs_mov_separ_signers/Naomi_7405.mov" TargetMode="External"/><Relationship Id="rId22681" Type="http://schemas.openxmlformats.org/officeDocument/2006/relationships/hyperlink" Target="http://csr.bu.edu/ftp/asl/asllvd/demos/verify_start_end_handshape_annotations//test_auto_move//signs_mov_separ_signers/Liz_5589.mov" TargetMode="External"/><Relationship Id="rId22682" Type="http://schemas.openxmlformats.org/officeDocument/2006/relationships/hyperlink" Target="http://secrets.rutgers.edu:8080/data/asl-ftp/asllvd/demos/verify_start_end_handshape_annotations//test_auto_move//signs_mov_separ_signers/Liz_5589.mov" TargetMode="External"/><Relationship Id="rId22683" Type="http://schemas.openxmlformats.org/officeDocument/2006/relationships/hyperlink" Target="http://csr.bu.edu/ftp/asl/asllvd/demos/verify_start_end_handshape_annotations//test_auto_move//signs_mov/5589.mov" TargetMode="External"/><Relationship Id="rId22684" Type="http://schemas.openxmlformats.org/officeDocument/2006/relationships/hyperlink" Target="http://csr.bu.edu/ftp/asl/asllvd/demos/verify_start_end_handshape_annotations//test_auto_move//signs_mov_separ_signers/Tyler_5589.mov" TargetMode="External"/><Relationship Id="rId22685" Type="http://schemas.openxmlformats.org/officeDocument/2006/relationships/hyperlink" Target="http://secrets.rutgers.edu:8080/data/asl-ftp/asllvd/demos/verify_start_end_handshape_annotations//test_auto_move//signs_mov/5589.mov" TargetMode="External"/><Relationship Id="rId22686" Type="http://schemas.openxmlformats.org/officeDocument/2006/relationships/hyperlink" Target="http://secrets.rutgers.edu:8080/data/asl-ftp/asllvd/demos/verify_start_end_handshape_annotations//test_auto_move//signs_mov_separ_signers/Tyler_5589.mov" TargetMode="External"/><Relationship Id="rId22687" Type="http://schemas.openxmlformats.org/officeDocument/2006/relationships/hyperlink" Target="http://csr.bu.edu/ftp/asl/asllvd/demos/verify_start_end_handshape_annotations//test_auto_move//signs_mov_separ_signers/Naomi_5589.mov" TargetMode="External"/><Relationship Id="rId22688" Type="http://schemas.openxmlformats.org/officeDocument/2006/relationships/hyperlink" Target="http://secrets.rutgers.edu:8080/data/asl-ftp/asllvd/demos/verify_start_end_handshape_annotations//test_auto_move//signs_mov_separ_signers/Naomi_5589.mov" TargetMode="External"/><Relationship Id="rId22689" Type="http://schemas.openxmlformats.org/officeDocument/2006/relationships/hyperlink" Target="http://csr.bu.edu/ftp/asl/asllvd/demos/verify_start_end_handshape_annotations//test_auto_move//signs_mov_separ_signers/Brady_5589.mov" TargetMode="External"/><Relationship Id="rId22690" Type="http://schemas.openxmlformats.org/officeDocument/2006/relationships/hyperlink" Target="http://secrets.rutgers.edu:8080/data/asl-ftp/asllvd/demos/verify_start_end_handshape_annotations//test_auto_move//signs_mov_separ_signers/Brady_5589.mov" TargetMode="External"/><Relationship Id="rId22691" Type="http://schemas.openxmlformats.org/officeDocument/2006/relationships/hyperlink" Target="http://csr.bu.edu/ftp/asl/asllvd/demos/verify_start_end_handshape_annotations//test_auto_move//signs_mov_separ_signers/Naomi_5632.mov" TargetMode="External"/><Relationship Id="rId22692" Type="http://schemas.openxmlformats.org/officeDocument/2006/relationships/hyperlink" Target="http://secrets.rutgers.edu:8080/data/asl-ftp/asllvd/demos/verify_start_end_handshape_annotations//test_auto_move//signs_mov_separ_signers/Naomi_5632.mov" TargetMode="External"/><Relationship Id="rId22693" Type="http://schemas.openxmlformats.org/officeDocument/2006/relationships/hyperlink" Target="http://csr.bu.edu/ftp/asl/asllvd/demos/verify_start_end_handshape_annotations//test_auto_move//signs_mov/5632_5969_merged.mov" TargetMode="External"/><Relationship Id="rId22694" Type="http://schemas.openxmlformats.org/officeDocument/2006/relationships/hyperlink" Target="http://csr.bu.edu/ftp/asl/asllvd/demos/verify_start_end_handshape_annotations//test_auto_move//signs_mov_separ_signers/Brady_5632.mov" TargetMode="External"/><Relationship Id="rId22695" Type="http://schemas.openxmlformats.org/officeDocument/2006/relationships/hyperlink" Target="http://secrets.rutgers.edu:8080/data/asl-ftp/asllvd/demos/verify_start_end_handshape_annotations//test_auto_move//signs_mov/5632_5969_merged.mov" TargetMode="External"/><Relationship Id="rId22696" Type="http://schemas.openxmlformats.org/officeDocument/2006/relationships/hyperlink" Target="http://secrets.rutgers.edu:8080/data/asl-ftp/asllvd/demos/verify_start_end_handshape_annotations//test_auto_move//signs_mov_separ_signers/Brady_5632.mov" TargetMode="External"/><Relationship Id="rId22697" Type="http://schemas.openxmlformats.org/officeDocument/2006/relationships/hyperlink" Target="http://csr.bu.edu/ftp/asl/asllvd/demos/verify_start_end_handshape_annotations//test_auto_move//signs_mov_separ_signers/Brady_5969.mov" TargetMode="External"/><Relationship Id="rId22698" Type="http://schemas.openxmlformats.org/officeDocument/2006/relationships/hyperlink" Target="http://secrets.rutgers.edu:8080/data/asl-ftp/asllvd/demos/verify_start_end_handshape_annotations//test_auto_move//signs_mov_separ_signers/Brady_5969.mov" TargetMode="External"/><Relationship Id="rId22699" Type="http://schemas.openxmlformats.org/officeDocument/2006/relationships/hyperlink" Target="http://csr.bu.edu/ftp/asl/asllvd/demos/verify_start_end_handshape_annotations//test_auto_move//signs_mov/15114.mov" TargetMode="External"/><Relationship Id="rId22700" Type="http://schemas.openxmlformats.org/officeDocument/2006/relationships/hyperlink" Target="http://csr.bu.edu/ftp/asl/asllvd/demos/verify_start_end_handshape_annotations//test_auto_move//signs_mov_separ_signers/Naomi_15114.mov" TargetMode="External"/><Relationship Id="rId22701" Type="http://schemas.openxmlformats.org/officeDocument/2006/relationships/hyperlink" Target="http://secrets.rutgers.edu:8080/data/asl-ftp/asllvd/demos/verify_start_end_handshape_annotations//test_auto_move//signs_mov/15114.mov" TargetMode="External"/><Relationship Id="rId22702" Type="http://schemas.openxmlformats.org/officeDocument/2006/relationships/hyperlink" Target="http://secrets.rutgers.edu:8080/data/asl-ftp/asllvd/demos/verify_start_end_handshape_annotations//test_auto_move//signs_mov_separ_signers/Naomi_15114.mov" TargetMode="External"/><Relationship Id="rId22703" Type="http://schemas.openxmlformats.org/officeDocument/2006/relationships/hyperlink" Target="http://csr.bu.edu/ftp/asl/asllvd/demos/verify_start_end_handshape_annotations//test_auto_move//signs_mov/7459.mov" TargetMode="External"/><Relationship Id="rId22704" Type="http://schemas.openxmlformats.org/officeDocument/2006/relationships/hyperlink" Target="http://csr.bu.edu/ftp/asl/asllvd/demos/verify_start_end_handshape_annotations//test_auto_move//signs_mov_separ_signers/Tyler_7459.mov" TargetMode="External"/><Relationship Id="rId22705" Type="http://schemas.openxmlformats.org/officeDocument/2006/relationships/hyperlink" Target="http://secrets.rutgers.edu:8080/data/asl-ftp/asllvd/demos/verify_start_end_handshape_annotations//test_auto_move//signs_mov/7459.mov" TargetMode="External"/><Relationship Id="rId22706" Type="http://schemas.openxmlformats.org/officeDocument/2006/relationships/hyperlink" Target="http://secrets.rutgers.edu:8080/data/asl-ftp/asllvd/demos/verify_start_end_handshape_annotations//test_auto_move//signs_mov_separ_signers/Tyler_7459.mov" TargetMode="External"/><Relationship Id="rId22707" Type="http://schemas.openxmlformats.org/officeDocument/2006/relationships/hyperlink" Target="http://csr.bu.edu/ftp/asl/asllvd/demos/verify_start_end_handshape_annotations//test_auto_move//signs_mov_separ_signers/Brady_7459.mov" TargetMode="External"/><Relationship Id="rId22708" Type="http://schemas.openxmlformats.org/officeDocument/2006/relationships/hyperlink" Target="http://secrets.rutgers.edu:8080/data/asl-ftp/asllvd/demos/verify_start_end_handshape_annotations//test_auto_move//signs_mov_separ_signers/Brady_7459.mov" TargetMode="External"/><Relationship Id="rId22709" Type="http://schemas.openxmlformats.org/officeDocument/2006/relationships/hyperlink" Target="http://csr.bu.edu/ftp/asl/asllvd/demos/verify_start_end_handshape_annotations//test_auto_move//signs_mov_separ_signers/Liz_7482.mov" TargetMode="External"/><Relationship Id="rId22710" Type="http://schemas.openxmlformats.org/officeDocument/2006/relationships/hyperlink" Target="http://secrets.rutgers.edu:8080/data/asl-ftp/asllvd/demos/verify_start_end_handshape_annotations//test_auto_move//signs_mov_separ_signers/Liz_7482.mov" TargetMode="External"/><Relationship Id="rId22711" Type="http://schemas.openxmlformats.org/officeDocument/2006/relationships/hyperlink" Target="http://csr.bu.edu/ftp/asl/asllvd/demos/verify_start_end_handshape_annotations//test_auto_move//signs_mov_separ_signers/Liz_5586.mov" TargetMode="External"/><Relationship Id="rId22712" Type="http://schemas.openxmlformats.org/officeDocument/2006/relationships/hyperlink" Target="http://secrets.rutgers.edu:8080/data/asl-ftp/asllvd/demos/verify_start_end_handshape_annotations//test_auto_move//signs_mov_separ_signers/Liz_5586.mov" TargetMode="External"/><Relationship Id="rId22713" Type="http://schemas.openxmlformats.org/officeDocument/2006/relationships/hyperlink" Target="http://csr.bu.edu/ftp/asl/asllvd/demos/verify_start_end_handshape_annotations//test_auto_move//signs_mov_separ_signers/Tyler_7482.mov" TargetMode="External"/><Relationship Id="rId22714" Type="http://schemas.openxmlformats.org/officeDocument/2006/relationships/hyperlink" Target="http://secrets.rutgers.edu:8080/data/asl-ftp/asllvd/demos/verify_start_end_handshape_annotations//test_auto_move//signs_mov_separ_signers/Tyler_7482.mov" TargetMode="External"/><Relationship Id="rId22715" Type="http://schemas.openxmlformats.org/officeDocument/2006/relationships/hyperlink" Target="http://csr.bu.edu/ftp/asl/asllvd/demos/verify_start_end_handshape_annotations//test_auto_move//signs_mov/5586_7482_merged.mov" TargetMode="External"/><Relationship Id="rId22716" Type="http://schemas.openxmlformats.org/officeDocument/2006/relationships/hyperlink" Target="http://csr.bu.edu/ftp/asl/asllvd/demos/verify_start_end_handshape_annotations//test_auto_move//signs_mov_separ_signers/Tyler_5586.mov" TargetMode="External"/><Relationship Id="rId22717" Type="http://schemas.openxmlformats.org/officeDocument/2006/relationships/hyperlink" Target="http://secrets.rutgers.edu:8080/data/asl-ftp/asllvd/demos/verify_start_end_handshape_annotations//test_auto_move//signs_mov/5586_7482_merged.mov" TargetMode="External"/><Relationship Id="rId22718" Type="http://schemas.openxmlformats.org/officeDocument/2006/relationships/hyperlink" Target="http://secrets.rutgers.edu:8080/data/asl-ftp/asllvd/demos/verify_start_end_handshape_annotations//test_auto_move//signs_mov_separ_signers/Tyler_5586.mov" TargetMode="External"/><Relationship Id="rId22719" Type="http://schemas.openxmlformats.org/officeDocument/2006/relationships/hyperlink" Target="http://csr.bu.edu/ftp/asl/asllvd/demos/verify_start_end_handshape_annotations//test_auto_move//signs_mov_separ_signers/Naomi_7482.mov" TargetMode="External"/><Relationship Id="rId22720" Type="http://schemas.openxmlformats.org/officeDocument/2006/relationships/hyperlink" Target="http://secrets.rutgers.edu:8080/data/asl-ftp/asllvd/demos/verify_start_end_handshape_annotations//test_auto_move//signs_mov_separ_signers/Naomi_7482.mov" TargetMode="External"/><Relationship Id="rId22721" Type="http://schemas.openxmlformats.org/officeDocument/2006/relationships/hyperlink" Target="http://csr.bu.edu/ftp/asl/asllvd/demos/verify_start_end_handshape_annotations//test_auto_move//signs_mov_separ_signers/Naomi_5586.mov" TargetMode="External"/><Relationship Id="rId22722" Type="http://schemas.openxmlformats.org/officeDocument/2006/relationships/hyperlink" Target="http://secrets.rutgers.edu:8080/data/asl-ftp/asllvd/demos/verify_start_end_handshape_annotations//test_auto_move//signs_mov_separ_signers/Naomi_5586.mov" TargetMode="External"/><Relationship Id="rId22723" Type="http://schemas.openxmlformats.org/officeDocument/2006/relationships/hyperlink" Target="http://csr.bu.edu/ftp/asl/asllvd/demos/verify_start_end_handshape_annotations//test_auto_move//signs_mov_separ_signers/Brady_7482.mov" TargetMode="External"/><Relationship Id="rId22724" Type="http://schemas.openxmlformats.org/officeDocument/2006/relationships/hyperlink" Target="http://secrets.rutgers.edu:8080/data/asl-ftp/asllvd/demos/verify_start_end_handshape_annotations//test_auto_move//signs_mov_separ_signers/Brady_7482.mov" TargetMode="External"/><Relationship Id="rId22725" Type="http://schemas.openxmlformats.org/officeDocument/2006/relationships/hyperlink" Target="http://csr.bu.edu/ftp/asl/asllvd/demos/verify_start_end_handshape_annotations//test_auto_move//signs_mov_separ_signers/Brady_5586.mov" TargetMode="External"/><Relationship Id="rId22726" Type="http://schemas.openxmlformats.org/officeDocument/2006/relationships/hyperlink" Target="http://secrets.rutgers.edu:8080/data/asl-ftp/asllvd/demos/verify_start_end_handshape_annotations//test_auto_move//signs_mov_separ_signers/Brady_5586.mov" TargetMode="External"/><Relationship Id="rId22727" Type="http://schemas.openxmlformats.org/officeDocument/2006/relationships/hyperlink" Target="http://csr.bu.edu/ftp/asl/asllvd/demos/verify_start_end_handshape_annotations//test_auto_move//signs_mov_separ_signers/Liz_7631.mov" TargetMode="External"/><Relationship Id="rId22728" Type="http://schemas.openxmlformats.org/officeDocument/2006/relationships/hyperlink" Target="http://secrets.rutgers.edu:8080/data/asl-ftp/asllvd/demos/verify_start_end_handshape_annotations//test_auto_move//signs_mov_separ_signers/Liz_7631.mov" TargetMode="External"/><Relationship Id="rId22729" Type="http://schemas.openxmlformats.org/officeDocument/2006/relationships/hyperlink" Target="http://csr.bu.edu/ftp/asl/asllvd/demos/verify_start_end_handshape_annotations//test_auto_move//signs_mov_separ_signers/Tyler_7631.mov" TargetMode="External"/><Relationship Id="rId22730" Type="http://schemas.openxmlformats.org/officeDocument/2006/relationships/hyperlink" Target="http://secrets.rutgers.edu:8080/data/asl-ftp/asllvd/demos/verify_start_end_handshape_annotations//test_auto_move//signs_mov_separ_signers/Tyler_7631.mov" TargetMode="External"/><Relationship Id="rId22731" Type="http://schemas.openxmlformats.org/officeDocument/2006/relationships/hyperlink" Target="http://csr.bu.edu/ftp/asl/asllvd/demos/verify_start_end_handshape_annotations//test_auto_move//signs_mov/5773_7631_merged.mov" TargetMode="External"/><Relationship Id="rId22732" Type="http://schemas.openxmlformats.org/officeDocument/2006/relationships/hyperlink" Target="http://csr.bu.edu/ftp/asl/asllvd/demos/verify_start_end_handshape_annotations//test_auto_move//signs_mov_separ_signers/Naomi_7631.mov" TargetMode="External"/><Relationship Id="rId22733" Type="http://schemas.openxmlformats.org/officeDocument/2006/relationships/hyperlink" Target="http://secrets.rutgers.edu:8080/data/asl-ftp/asllvd/demos/verify_start_end_handshape_annotations//test_auto_move//signs_mov/5773_7631_merged.mov" TargetMode="External"/><Relationship Id="rId22734" Type="http://schemas.openxmlformats.org/officeDocument/2006/relationships/hyperlink" Target="http://secrets.rutgers.edu:8080/data/asl-ftp/asllvd/demos/verify_start_end_handshape_annotations//test_auto_move//signs_mov_separ_signers/Naomi_7631.mov" TargetMode="External"/><Relationship Id="rId22735" Type="http://schemas.openxmlformats.org/officeDocument/2006/relationships/hyperlink" Target="http://csr.bu.edu/ftp/asl/asllvd/demos/verify_start_end_handshape_annotations//test_auto_move//signs_mov_separ_signers/Brady_7631.mov" TargetMode="External"/><Relationship Id="rId22736" Type="http://schemas.openxmlformats.org/officeDocument/2006/relationships/hyperlink" Target="http://secrets.rutgers.edu:8080/data/asl-ftp/asllvd/demos/verify_start_end_handshape_annotations//test_auto_move//signs_mov_separ_signers/Brady_7631.mov" TargetMode="External"/><Relationship Id="rId22737" Type="http://schemas.openxmlformats.org/officeDocument/2006/relationships/hyperlink" Target="http://csr.bu.edu/ftp/asl/asllvd/demos/verify_start_end_handshape_annotations//test_auto_move//signs_mov_separ_signers/Brady_5773.mov" TargetMode="External"/><Relationship Id="rId22738" Type="http://schemas.openxmlformats.org/officeDocument/2006/relationships/hyperlink" Target="http://secrets.rutgers.edu:8080/data/asl-ftp/asllvd/demos/verify_start_end_handshape_annotations//test_auto_move//signs_mov_separ_signers/Brady_5773.mov" TargetMode="External"/><Relationship Id="rId22739" Type="http://schemas.openxmlformats.org/officeDocument/2006/relationships/hyperlink" Target="http://csr.bu.edu/ftp/asl/asllvd/demos/verify_start_end_handshape_annotations//test_auto_move//signs_mov/5775.mov" TargetMode="External"/><Relationship Id="rId22740" Type="http://schemas.openxmlformats.org/officeDocument/2006/relationships/hyperlink" Target="http://csr.bu.edu/ftp/asl/asllvd/demos/verify_start_end_handshape_annotations//test_auto_move//signs_mov_separ_signers/Brady_5775.mov" TargetMode="External"/><Relationship Id="rId22741" Type="http://schemas.openxmlformats.org/officeDocument/2006/relationships/hyperlink" Target="http://secrets.rutgers.edu:8080/data/asl-ftp/asllvd/demos/verify_start_end_handshape_annotations//test_auto_move//signs_mov/5775.mov" TargetMode="External"/><Relationship Id="rId22742" Type="http://schemas.openxmlformats.org/officeDocument/2006/relationships/hyperlink" Target="http://secrets.rutgers.edu:8080/data/asl-ftp/asllvd/demos/verify_start_end_handshape_annotations//test_auto_move//signs_mov_separ_signers/Brady_5775.mov" TargetMode="External"/><Relationship Id="rId22743" Type="http://schemas.openxmlformats.org/officeDocument/2006/relationships/hyperlink" Target="http://csr.bu.edu/ftp/asl/asllvd/demos/verify_start_end_handshape_annotations//test_auto_move//signs_mov/15982.mov" TargetMode="External"/><Relationship Id="rId22744" Type="http://schemas.openxmlformats.org/officeDocument/2006/relationships/hyperlink" Target="http://csr.bu.edu/ftp/asl/asllvd/demos/verify_start_end_handshape_annotations//test_auto_move//signs_mov_separ_signers/Naomi_15982.mov" TargetMode="External"/><Relationship Id="rId22745" Type="http://schemas.openxmlformats.org/officeDocument/2006/relationships/hyperlink" Target="http://secrets.rutgers.edu:8080/data/asl-ftp/asllvd/demos/verify_start_end_handshape_annotations//test_auto_move//signs_mov/15982.mov" TargetMode="External"/><Relationship Id="rId22746" Type="http://schemas.openxmlformats.org/officeDocument/2006/relationships/hyperlink" Target="http://secrets.rutgers.edu:8080/data/asl-ftp/asllvd/demos/verify_start_end_handshape_annotations//test_auto_move//signs_mov_separ_signers/Naomi_15982.mov" TargetMode="External"/><Relationship Id="rId22747" Type="http://schemas.openxmlformats.org/officeDocument/2006/relationships/hyperlink" Target="http://csr.bu.edu/ftp/asl/asllvd/demos/verify_start_end_handshape_annotations//test_auto_move//signs_mov/7635.mov" TargetMode="External"/><Relationship Id="rId22748" Type="http://schemas.openxmlformats.org/officeDocument/2006/relationships/hyperlink" Target="http://csr.bu.edu/ftp/asl/asllvd/demos/verify_start_end_handshape_annotations//test_auto_move//signs_mov_separ_signers/Liz_7635.mov" TargetMode="External"/><Relationship Id="rId22749" Type="http://schemas.openxmlformats.org/officeDocument/2006/relationships/hyperlink" Target="http://secrets.rutgers.edu:8080/data/asl-ftp/asllvd/demos/verify_start_end_handshape_annotations//test_auto_move//signs_mov/7635.mov" TargetMode="External"/><Relationship Id="rId22750" Type="http://schemas.openxmlformats.org/officeDocument/2006/relationships/hyperlink" Target="http://secrets.rutgers.edu:8080/data/asl-ftp/asllvd/demos/verify_start_end_handshape_annotations//test_auto_move//signs_mov_separ_signers/Liz_7635.mov" TargetMode="External"/><Relationship Id="rId22751" Type="http://schemas.openxmlformats.org/officeDocument/2006/relationships/hyperlink" Target="http://csr.bu.edu/ftp/asl/asllvd/demos/verify_start_end_handshape_annotations//test_auto_move//signs_mov/15350.mov" TargetMode="External"/><Relationship Id="rId22752" Type="http://schemas.openxmlformats.org/officeDocument/2006/relationships/hyperlink" Target="http://csr.bu.edu/ftp/asl/asllvd/demos/verify_start_end_handshape_annotations//test_auto_move//signs_mov_separ_signers/Tyler_15350.mov" TargetMode="External"/><Relationship Id="rId22753" Type="http://schemas.openxmlformats.org/officeDocument/2006/relationships/hyperlink" Target="http://secrets.rutgers.edu:8080/data/asl-ftp/asllvd/demos/verify_start_end_handshape_annotations//test_auto_move//signs_mov/15350.mov" TargetMode="External"/><Relationship Id="rId22754" Type="http://schemas.openxmlformats.org/officeDocument/2006/relationships/hyperlink" Target="http://secrets.rutgers.edu:8080/data/asl-ftp/asllvd/demos/verify_start_end_handshape_annotations//test_auto_move//signs_mov_separ_signers/Tyler_15350.mov" TargetMode="External"/><Relationship Id="rId22755" Type="http://schemas.openxmlformats.org/officeDocument/2006/relationships/hyperlink" Target="http://csr.bu.edu/ftp/asl/asllvd/demos/verify_start_end_handshape_annotations//test_auto_move//signs_mov_separ_signers/Liz_7658.mov" TargetMode="External"/><Relationship Id="rId22756" Type="http://schemas.openxmlformats.org/officeDocument/2006/relationships/hyperlink" Target="http://secrets.rutgers.edu:8080/data/asl-ftp/asllvd/demos/verify_start_end_handshape_annotations//test_auto_move//signs_mov_separ_signers/Liz_7658.mov" TargetMode="External"/><Relationship Id="rId22757" Type="http://schemas.openxmlformats.org/officeDocument/2006/relationships/hyperlink" Target="http://csr.bu.edu/ftp/asl/asllvd/demos/verify_start_end_handshape_annotations//test_auto_move//signs_mov/7658.mov" TargetMode="External"/><Relationship Id="rId22758" Type="http://schemas.openxmlformats.org/officeDocument/2006/relationships/hyperlink" Target="http://csr.bu.edu/ftp/asl/asllvd/demos/verify_start_end_handshape_annotations//test_auto_move//signs_mov_separ_signers/Tyler_7658.mov" TargetMode="External"/><Relationship Id="rId22759" Type="http://schemas.openxmlformats.org/officeDocument/2006/relationships/hyperlink" Target="http://secrets.rutgers.edu:8080/data/asl-ftp/asllvd/demos/verify_start_end_handshape_annotations//test_auto_move//signs_mov/7658.mov" TargetMode="External"/><Relationship Id="rId22760" Type="http://schemas.openxmlformats.org/officeDocument/2006/relationships/hyperlink" Target="http://secrets.rutgers.edu:8080/data/asl-ftp/asllvd/demos/verify_start_end_handshape_annotations//test_auto_move//signs_mov_separ_signers/Tyler_7658.mov" TargetMode="External"/><Relationship Id="rId22761" Type="http://schemas.openxmlformats.org/officeDocument/2006/relationships/hyperlink" Target="http://csr.bu.edu/ftp/asl/asllvd/demos/verify_start_end_handshape_annotations//test_auto_move//signs_mov_separ_signers/Brady_7658.mov" TargetMode="External"/><Relationship Id="rId22762" Type="http://schemas.openxmlformats.org/officeDocument/2006/relationships/hyperlink" Target="http://secrets.rutgers.edu:8080/data/asl-ftp/asllvd/demos/verify_start_end_handshape_annotations//test_auto_move//signs_mov_separ_signers/Brady_7658.mov" TargetMode="External"/><Relationship Id="rId22763" Type="http://schemas.openxmlformats.org/officeDocument/2006/relationships/hyperlink" Target="http://csr.bu.edu/ftp/asl/asllvd/demos/verify_start_end_handshape_annotations//test_auto_move//signs_mov_separ_signers/Liz_5380.mov" TargetMode="External"/><Relationship Id="rId22764" Type="http://schemas.openxmlformats.org/officeDocument/2006/relationships/hyperlink" Target="http://secrets.rutgers.edu:8080/data/asl-ftp/asllvd/demos/verify_start_end_handshape_annotations//test_auto_move//signs_mov_separ_signers/Liz_5380.mov" TargetMode="External"/><Relationship Id="rId22765" Type="http://schemas.openxmlformats.org/officeDocument/2006/relationships/hyperlink" Target="http://csr.bu.edu/ftp/asl/asllvd/demos/verify_start_end_handshape_annotations//test_auto_move//signs_mov_separ_signers/Naomi_5380.mov" TargetMode="External"/><Relationship Id="rId22766" Type="http://schemas.openxmlformats.org/officeDocument/2006/relationships/hyperlink" Target="http://secrets.rutgers.edu:8080/data/asl-ftp/asllvd/demos/verify_start_end_handshape_annotations//test_auto_move//signs_mov_separ_signers/Naomi_5380.mov" TargetMode="External"/><Relationship Id="rId22767" Type="http://schemas.openxmlformats.org/officeDocument/2006/relationships/hyperlink" Target="http://csr.bu.edu/ftp/asl/asllvd/demos/verify_start_end_handshape_annotations//test_auto_move//signs_mov/5380_5382_merged.mov" TargetMode="External"/><Relationship Id="rId22768" Type="http://schemas.openxmlformats.org/officeDocument/2006/relationships/hyperlink" Target="http://csr.bu.edu/ftp/asl/asllvd/demos/verify_start_end_handshape_annotations//test_auto_move//signs_mov_separ_signers/Naomi_5382.mov" TargetMode="External"/><Relationship Id="rId22769" Type="http://schemas.openxmlformats.org/officeDocument/2006/relationships/hyperlink" Target="http://secrets.rutgers.edu:8080/data/asl-ftp/asllvd/demos/verify_start_end_handshape_annotations//test_auto_move//signs_mov/5380_5382_merged.mov" TargetMode="External"/><Relationship Id="rId22770" Type="http://schemas.openxmlformats.org/officeDocument/2006/relationships/hyperlink" Target="http://secrets.rutgers.edu:8080/data/asl-ftp/asllvd/demos/verify_start_end_handshape_annotations//test_auto_move//signs_mov_separ_signers/Naomi_5382.mov" TargetMode="External"/><Relationship Id="rId22771" Type="http://schemas.openxmlformats.org/officeDocument/2006/relationships/hyperlink" Target="http://csr.bu.edu/ftp/asl/asllvd/demos/verify_start_end_handshape_annotations//test_auto_move//signs_mov_separ_signers/Brady_5380.mov" TargetMode="External"/><Relationship Id="rId22772" Type="http://schemas.openxmlformats.org/officeDocument/2006/relationships/hyperlink" Target="http://secrets.rutgers.edu:8080/data/asl-ftp/asllvd/demos/verify_start_end_handshape_annotations//test_auto_move//signs_mov_separ_signers/Brady_5380.mov" TargetMode="External"/><Relationship Id="rId22773" Type="http://schemas.openxmlformats.org/officeDocument/2006/relationships/hyperlink" Target="http://csr.bu.edu/ftp/asl/asllvd/demos/verify_start_end_handshape_annotations//test_auto_move//signs_mov_separ_signers/Brady_5382.mov" TargetMode="External"/><Relationship Id="rId22774" Type="http://schemas.openxmlformats.org/officeDocument/2006/relationships/hyperlink" Target="http://secrets.rutgers.edu:8080/data/asl-ftp/asllvd/demos/verify_start_end_handshape_annotations//test_auto_move//signs_mov_separ_signers/Brady_5382.mov" TargetMode="External"/><Relationship Id="rId22775" Type="http://schemas.openxmlformats.org/officeDocument/2006/relationships/hyperlink" Target="http://csr.bu.edu/ftp/asl/asllvd/demos/verify_start_end_handshape_annotations//test_auto_move//signs_mov/5485.mov" TargetMode="External"/><Relationship Id="rId22776" Type="http://schemas.openxmlformats.org/officeDocument/2006/relationships/hyperlink" Target="http://csr.bu.edu/ftp/asl/asllvd/demos/verify_start_end_handshape_annotations//test_auto_move//signs_mov_separ_signers/Tyler_5485.mov" TargetMode="External"/><Relationship Id="rId22777" Type="http://schemas.openxmlformats.org/officeDocument/2006/relationships/hyperlink" Target="http://secrets.rutgers.edu:8080/data/asl-ftp/asllvd/demos/verify_start_end_handshape_annotations//test_auto_move//signs_mov/5485.mov" TargetMode="External"/><Relationship Id="rId22778" Type="http://schemas.openxmlformats.org/officeDocument/2006/relationships/hyperlink" Target="http://secrets.rutgers.edu:8080/data/asl-ftp/asllvd/demos/verify_start_end_handshape_annotations//test_auto_move//signs_mov_separ_signers/Tyler_5485.mov" TargetMode="External"/><Relationship Id="rId22779" Type="http://schemas.openxmlformats.org/officeDocument/2006/relationships/hyperlink" Target="http://csr.bu.edu/ftp/asl/asllvd/demos/verify_start_end_handshape_annotations//test_auto_move//signs_mov/7671.mov" TargetMode="External"/><Relationship Id="rId22780" Type="http://schemas.openxmlformats.org/officeDocument/2006/relationships/hyperlink" Target="http://csr.bu.edu/ftp/asl/asllvd/demos/verify_start_end_handshape_annotations//test_auto_move//signs_mov_separ_signers/Tyler_7671.mov" TargetMode="External"/><Relationship Id="rId22781" Type="http://schemas.openxmlformats.org/officeDocument/2006/relationships/hyperlink" Target="http://secrets.rutgers.edu:8080/data/asl-ftp/asllvd/demos/verify_start_end_handshape_annotations//test_auto_move//signs_mov/7671.mov" TargetMode="External"/><Relationship Id="rId22782" Type="http://schemas.openxmlformats.org/officeDocument/2006/relationships/hyperlink" Target="http://secrets.rutgers.edu:8080/data/asl-ftp/asllvd/demos/verify_start_end_handshape_annotations//test_auto_move//signs_mov_separ_signers/Tyler_7671.mov" TargetMode="External"/><Relationship Id="rId22783" Type="http://schemas.openxmlformats.org/officeDocument/2006/relationships/hyperlink" Target="http://csr.bu.edu/ftp/asl/asllvd/demos/verify_start_end_handshape_annotations//test_auto_move//signs_mov_separ_signers/Brady_7671.mov" TargetMode="External"/><Relationship Id="rId22784" Type="http://schemas.openxmlformats.org/officeDocument/2006/relationships/hyperlink" Target="http://secrets.rutgers.edu:8080/data/asl-ftp/asllvd/demos/verify_start_end_handshape_annotations//test_auto_move//signs_mov_separ_signers/Brady_7671.mov" TargetMode="External"/><Relationship Id="rId22785" Type="http://schemas.openxmlformats.org/officeDocument/2006/relationships/hyperlink" Target="http://csr.bu.edu/ftp/asl/asllvd/demos/verify_start_end_handshape_annotations//test_auto_move//signs_mov_separ_signers/Liz_5075.mov" TargetMode="External"/><Relationship Id="rId22786" Type="http://schemas.openxmlformats.org/officeDocument/2006/relationships/hyperlink" Target="http://secrets.rutgers.edu:8080/data/asl-ftp/asllvd/demos/verify_start_end_handshape_annotations//test_auto_move//signs_mov_separ_signers/Liz_5075.mov" TargetMode="External"/><Relationship Id="rId22787" Type="http://schemas.openxmlformats.org/officeDocument/2006/relationships/hyperlink" Target="http://csr.bu.edu/ftp/asl/asllvd/demos/verify_start_end_handshape_annotations//test_auto_move//signs_mov/5075.mov" TargetMode="External"/><Relationship Id="rId22788" Type="http://schemas.openxmlformats.org/officeDocument/2006/relationships/hyperlink" Target="http://csr.bu.edu/ftp/asl/asllvd/demos/verify_start_end_handshape_annotations//test_auto_move//signs_mov_separ_signers/Naomi_5075.mov" TargetMode="External"/><Relationship Id="rId22789" Type="http://schemas.openxmlformats.org/officeDocument/2006/relationships/hyperlink" Target="http://secrets.rutgers.edu:8080/data/asl-ftp/asllvd/demos/verify_start_end_handshape_annotations//test_auto_move//signs_mov/5075.mov" TargetMode="External"/><Relationship Id="rId22790" Type="http://schemas.openxmlformats.org/officeDocument/2006/relationships/hyperlink" Target="http://secrets.rutgers.edu:8080/data/asl-ftp/asllvd/demos/verify_start_end_handshape_annotations//test_auto_move//signs_mov_separ_signers/Naomi_5075.mov" TargetMode="External"/><Relationship Id="rId22791" Type="http://schemas.openxmlformats.org/officeDocument/2006/relationships/hyperlink" Target="http://csr.bu.edu/ftp/asl/asllvd/demos/verify_start_end_handshape_annotations//test_auto_move//signs_mov_separ_signers/Brady_5075.mov" TargetMode="External"/><Relationship Id="rId22792" Type="http://schemas.openxmlformats.org/officeDocument/2006/relationships/hyperlink" Target="http://secrets.rutgers.edu:8080/data/asl-ftp/asllvd/demos/verify_start_end_handshape_annotations//test_auto_move//signs_mov_separ_signers/Brady_5075.mov" TargetMode="External"/><Relationship Id="rId22793" Type="http://schemas.openxmlformats.org/officeDocument/2006/relationships/hyperlink" Target="http://csr.bu.edu/ftp/asl/asllvd/demos/verify_start_end_handshape_annotations//test_auto_move//signs_mov/5299.mov" TargetMode="External"/><Relationship Id="rId22794" Type="http://schemas.openxmlformats.org/officeDocument/2006/relationships/hyperlink" Target="http://csr.bu.edu/ftp/asl/asllvd/demos/verify_start_end_handshape_annotations//test_auto_move//signs_mov_separ_signers/Liz_5299.mov" TargetMode="External"/><Relationship Id="rId22795" Type="http://schemas.openxmlformats.org/officeDocument/2006/relationships/hyperlink" Target="http://secrets.rutgers.edu:8080/data/asl-ftp/asllvd/demos/verify_start_end_handshape_annotations//test_auto_move//signs_mov/5299.mov" TargetMode="External"/><Relationship Id="rId22796" Type="http://schemas.openxmlformats.org/officeDocument/2006/relationships/hyperlink" Target="http://secrets.rutgers.edu:8080/data/asl-ftp/asllvd/demos/verify_start_end_handshape_annotations//test_auto_move//signs_mov_separ_signers/Liz_5299.mov" TargetMode="External"/><Relationship Id="rId22797" Type="http://schemas.openxmlformats.org/officeDocument/2006/relationships/hyperlink" Target="http://csr.bu.edu/ftp/asl/asllvd/demos/verify_start_end_handshape_annotations//test_auto_move//signs_mov_separ_signers/Brady_5299.mov" TargetMode="External"/><Relationship Id="rId22798" Type="http://schemas.openxmlformats.org/officeDocument/2006/relationships/hyperlink" Target="http://secrets.rutgers.edu:8080/data/asl-ftp/asllvd/demos/verify_start_end_handshape_annotations//test_auto_move//signs_mov_separ_signers/Brady_5299.mov" TargetMode="External"/><Relationship Id="rId22799" Type="http://schemas.openxmlformats.org/officeDocument/2006/relationships/hyperlink" Target="http://csr.bu.edu/ftp/asl/asllvd/demos/verify_start_end_handshape_annotations//test_auto_move//signs_mov/7818.mov" TargetMode="External"/><Relationship Id="rId22800" Type="http://schemas.openxmlformats.org/officeDocument/2006/relationships/hyperlink" Target="http://csr.bu.edu/ftp/asl/asllvd/demos/verify_start_end_handshape_annotations//test_auto_move//signs_mov_separ_signers/Brady_7818.mov" TargetMode="External"/><Relationship Id="rId22801" Type="http://schemas.openxmlformats.org/officeDocument/2006/relationships/hyperlink" Target="http://secrets.rutgers.edu:8080/data/asl-ftp/asllvd/demos/verify_start_end_handshape_annotations//test_auto_move//signs_mov/7818.mov" TargetMode="External"/><Relationship Id="rId22802" Type="http://schemas.openxmlformats.org/officeDocument/2006/relationships/hyperlink" Target="http://secrets.rutgers.edu:8080/data/asl-ftp/asllvd/demos/verify_start_end_handshape_annotations//test_auto_move//signs_mov_separ_signers/Brady_7818.mov" TargetMode="External"/><Relationship Id="rId22803" Type="http://schemas.openxmlformats.org/officeDocument/2006/relationships/hyperlink" Target="http://csr.bu.edu/ftp/asl/asllvd/demos/verify_start_end_handshape_annotations//test_auto_move//signs_mov/5802_7833_merged.mov" TargetMode="External"/><Relationship Id="rId22804" Type="http://schemas.openxmlformats.org/officeDocument/2006/relationships/hyperlink" Target="http://csr.bu.edu/ftp/asl/asllvd/demos/verify_start_end_handshape_annotations//test_auto_move//signs_mov_separ_signers/Brady_7833.mov" TargetMode="External"/><Relationship Id="rId22805" Type="http://schemas.openxmlformats.org/officeDocument/2006/relationships/hyperlink" Target="http://secrets.rutgers.edu:8080/data/asl-ftp/asllvd/demos/verify_start_end_handshape_annotations//test_auto_move//signs_mov/5802_7833_merged.mov" TargetMode="External"/><Relationship Id="rId22806" Type="http://schemas.openxmlformats.org/officeDocument/2006/relationships/hyperlink" Target="http://secrets.rutgers.edu:8080/data/asl-ftp/asllvd/demos/verify_start_end_handshape_annotations//test_auto_move//signs_mov_separ_signers/Brady_7833.mov" TargetMode="External"/><Relationship Id="rId22807" Type="http://schemas.openxmlformats.org/officeDocument/2006/relationships/hyperlink" Target="http://csr.bu.edu/ftp/asl/asllvd/demos/verify_start_end_handshape_annotations//test_auto_move//signs_mov_separ_signers/Brady_5802.mov" TargetMode="External"/><Relationship Id="rId22808" Type="http://schemas.openxmlformats.org/officeDocument/2006/relationships/hyperlink" Target="http://secrets.rutgers.edu:8080/data/asl-ftp/asllvd/demos/verify_start_end_handshape_annotations//test_auto_move//signs_mov_separ_signers/Brady_5802.mov" TargetMode="External"/><Relationship Id="rId22809" Type="http://schemas.openxmlformats.org/officeDocument/2006/relationships/hyperlink" Target="http://csr.bu.edu/ftp/asl/asllvd/demos/verify_start_end_handshape_annotations//test_auto_move//signs_mov/16263.mov" TargetMode="External"/><Relationship Id="rId22810" Type="http://schemas.openxmlformats.org/officeDocument/2006/relationships/hyperlink" Target="http://csr.bu.edu/ftp/asl/asllvd/demos/verify_start_end_handshape_annotations//test_auto_move//signs_mov_separ_signers/Liz_16263.mov" TargetMode="External"/><Relationship Id="rId22811" Type="http://schemas.openxmlformats.org/officeDocument/2006/relationships/hyperlink" Target="http://secrets.rutgers.edu:8080/data/asl-ftp/asllvd/demos/verify_start_end_handshape_annotations//test_auto_move//signs_mov/16263.mov" TargetMode="External"/><Relationship Id="rId22812" Type="http://schemas.openxmlformats.org/officeDocument/2006/relationships/hyperlink" Target="http://secrets.rutgers.edu:8080/data/asl-ftp/asllvd/demos/verify_start_end_handshape_annotations//test_auto_move//signs_mov_separ_signers/Liz_16263.mov" TargetMode="External"/><Relationship Id="rId22813" Type="http://schemas.openxmlformats.org/officeDocument/2006/relationships/hyperlink" Target="http://csr.bu.edu/ftp/asl/asllvd/demos/verify_start_end_handshape_annotations//test_auto_move//signs_mov_separ_signers/Liz_7904.mov" TargetMode="External"/><Relationship Id="rId22814" Type="http://schemas.openxmlformats.org/officeDocument/2006/relationships/hyperlink" Target="http://secrets.rutgers.edu:8080/data/asl-ftp/asllvd/demos/verify_start_end_handshape_annotations//test_auto_move//signs_mov_separ_signers/Liz_7904.mov" TargetMode="External"/><Relationship Id="rId22815" Type="http://schemas.openxmlformats.org/officeDocument/2006/relationships/hyperlink" Target="http://csr.bu.edu/ftp/asl/asllvd/demos/verify_start_end_handshape_annotations//test_auto_move//signs_mov/5785_7904_merged.mov" TargetMode="External"/><Relationship Id="rId22816" Type="http://schemas.openxmlformats.org/officeDocument/2006/relationships/hyperlink" Target="http://csr.bu.edu/ftp/asl/asllvd/demos/verify_start_end_handshape_annotations//test_auto_move//signs_mov_separ_signers/Brady_7904.mov" TargetMode="External"/><Relationship Id="rId22817" Type="http://schemas.openxmlformats.org/officeDocument/2006/relationships/hyperlink" Target="http://secrets.rutgers.edu:8080/data/asl-ftp/asllvd/demos/verify_start_end_handshape_annotations//test_auto_move//signs_mov/5785_7904_merged.mov" TargetMode="External"/><Relationship Id="rId22818" Type="http://schemas.openxmlformats.org/officeDocument/2006/relationships/hyperlink" Target="http://secrets.rutgers.edu:8080/data/asl-ftp/asllvd/demos/verify_start_end_handshape_annotations//test_auto_move//signs_mov_separ_signers/Brady_7904.mov" TargetMode="External"/><Relationship Id="rId22819" Type="http://schemas.openxmlformats.org/officeDocument/2006/relationships/hyperlink" Target="http://csr.bu.edu/ftp/asl/asllvd/demos/verify_start_end_handshape_annotations//test_auto_move//signs_mov_separ_signers/Brady_5785.mov" TargetMode="External"/><Relationship Id="rId22820" Type="http://schemas.openxmlformats.org/officeDocument/2006/relationships/hyperlink" Target="http://secrets.rutgers.edu:8080/data/asl-ftp/asllvd/demos/verify_start_end_handshape_annotations//test_auto_move//signs_mov_separ_signers/Brady_5785.mov" TargetMode="External"/><Relationship Id="rId22821" Type="http://schemas.openxmlformats.org/officeDocument/2006/relationships/hyperlink" Target="http://csr.bu.edu/ftp/asl/asllvd/demos/verify_start_end_handshape_annotations//test_auto_move//signs_mov_separ_signers/Liz_7906.mov" TargetMode="External"/><Relationship Id="rId22822" Type="http://schemas.openxmlformats.org/officeDocument/2006/relationships/hyperlink" Target="http://secrets.rutgers.edu:8080/data/asl-ftp/asllvd/demos/verify_start_end_handshape_annotations//test_auto_move//signs_mov_separ_signers/Liz_7906.mov" TargetMode="External"/><Relationship Id="rId22823" Type="http://schemas.openxmlformats.org/officeDocument/2006/relationships/hyperlink" Target="http://csr.bu.edu/ftp/asl/asllvd/demos/verify_start_end_handshape_annotations//test_auto_move//signs_mov/5789_7906_merged.mov" TargetMode="External"/><Relationship Id="rId22824" Type="http://schemas.openxmlformats.org/officeDocument/2006/relationships/hyperlink" Target="http://csr.bu.edu/ftp/asl/asllvd/demos/verify_start_end_handshape_annotations//test_auto_move//signs_mov_separ_signers/Brady_7906.mov" TargetMode="External"/><Relationship Id="rId22825" Type="http://schemas.openxmlformats.org/officeDocument/2006/relationships/hyperlink" Target="http://secrets.rutgers.edu:8080/data/asl-ftp/asllvd/demos/verify_start_end_handshape_annotations//test_auto_move//signs_mov/5789_7906_merged.mov" TargetMode="External"/><Relationship Id="rId22826" Type="http://schemas.openxmlformats.org/officeDocument/2006/relationships/hyperlink" Target="http://secrets.rutgers.edu:8080/data/asl-ftp/asllvd/demos/verify_start_end_handshape_annotations//test_auto_move//signs_mov_separ_signers/Brady_7906.mov" TargetMode="External"/><Relationship Id="rId22827" Type="http://schemas.openxmlformats.org/officeDocument/2006/relationships/hyperlink" Target="http://csr.bu.edu/ftp/asl/asllvd/demos/verify_start_end_handshape_annotations//test_auto_move//signs_mov_separ_signers/Brady_5789.mov" TargetMode="External"/><Relationship Id="rId22828" Type="http://schemas.openxmlformats.org/officeDocument/2006/relationships/hyperlink" Target="http://secrets.rutgers.edu:8080/data/asl-ftp/asllvd/demos/verify_start_end_handshape_annotations//test_auto_move//signs_mov_separ_signers/Brady_5789.mov" TargetMode="External"/><Relationship Id="rId22829" Type="http://schemas.openxmlformats.org/officeDocument/2006/relationships/hyperlink" Target="http://csr.bu.edu/ftp/asl/asllvd/demos/verify_start_end_handshape_annotations//test_auto_move//signs_mov/5784_7977_merged.mov" TargetMode="External"/><Relationship Id="rId22830" Type="http://schemas.openxmlformats.org/officeDocument/2006/relationships/hyperlink" Target="http://csr.bu.edu/ftp/asl/asllvd/demos/verify_start_end_handshape_annotations//test_auto_move//signs_mov_separ_signers/Brady_7977.mov" TargetMode="External"/><Relationship Id="rId22831" Type="http://schemas.openxmlformats.org/officeDocument/2006/relationships/hyperlink" Target="http://secrets.rutgers.edu:8080/data/asl-ftp/asllvd/demos/verify_start_end_handshape_annotations//test_auto_move//signs_mov/5784_7977_merged.mov" TargetMode="External"/><Relationship Id="rId22832" Type="http://schemas.openxmlformats.org/officeDocument/2006/relationships/hyperlink" Target="http://secrets.rutgers.edu:8080/data/asl-ftp/asllvd/demos/verify_start_end_handshape_annotations//test_auto_move//signs_mov_separ_signers/Brady_7977.mov" TargetMode="External"/><Relationship Id="rId22833" Type="http://schemas.openxmlformats.org/officeDocument/2006/relationships/hyperlink" Target="http://csr.bu.edu/ftp/asl/asllvd/demos/verify_start_end_handshape_annotations//test_auto_move//signs_mov_separ_signers/Brady_5784.mov" TargetMode="External"/><Relationship Id="rId22834" Type="http://schemas.openxmlformats.org/officeDocument/2006/relationships/hyperlink" Target="http://secrets.rutgers.edu:8080/data/asl-ftp/asllvd/demos/verify_start_end_handshape_annotations//test_auto_move//signs_mov_separ_signers/Brady_5784.mov" TargetMode="External"/><Relationship Id="rId22835" Type="http://schemas.openxmlformats.org/officeDocument/2006/relationships/hyperlink" Target="http://csr.bu.edu/ftp/asl/asllvd/demos/verify_start_end_handshape_annotations//test_auto_move//signs_mov/7980.mov" TargetMode="External"/><Relationship Id="rId22836" Type="http://schemas.openxmlformats.org/officeDocument/2006/relationships/hyperlink" Target="http://csr.bu.edu/ftp/asl/asllvd/demos/verify_start_end_handshape_annotations//test_auto_move//signs_mov_separ_signers/Liz_7980.mov" TargetMode="External"/><Relationship Id="rId22837" Type="http://schemas.openxmlformats.org/officeDocument/2006/relationships/hyperlink" Target="http://secrets.rutgers.edu:8080/data/asl-ftp/asllvd/demos/verify_start_end_handshape_annotations//test_auto_move//signs_mov/7980.mov" TargetMode="External"/><Relationship Id="rId22838" Type="http://schemas.openxmlformats.org/officeDocument/2006/relationships/hyperlink" Target="http://secrets.rutgers.edu:8080/data/asl-ftp/asllvd/demos/verify_start_end_handshape_annotations//test_auto_move//signs_mov_separ_signers/Liz_7980.mov" TargetMode="External"/><Relationship Id="rId22839" Type="http://schemas.openxmlformats.org/officeDocument/2006/relationships/hyperlink" Target="http://csr.bu.edu/ftp/asl/asllvd/demos/verify_start_end_handshape_annotations//test_auto_move//signs_mov_separ_signers/Brady_7980.mov" TargetMode="External"/><Relationship Id="rId22840" Type="http://schemas.openxmlformats.org/officeDocument/2006/relationships/hyperlink" Target="http://secrets.rutgers.edu:8080/data/asl-ftp/asllvd/demos/verify_start_end_handshape_annotations//test_auto_move//signs_mov_separ_signers/Brady_7980.mov" TargetMode="External"/><Relationship Id="rId22841" Type="http://schemas.openxmlformats.org/officeDocument/2006/relationships/hyperlink" Target="http://csr.bu.edu/ftp/asl/asllvd/demos/verify_start_end_handshape_annotations//test_auto_move//signs_mov/5788.mov" TargetMode="External"/><Relationship Id="rId22842" Type="http://schemas.openxmlformats.org/officeDocument/2006/relationships/hyperlink" Target="http://csr.bu.edu/ftp/asl/asllvd/demos/verify_start_end_handshape_annotations//test_auto_move//signs_mov_separ_signers/Brady_5788.mov" TargetMode="External"/><Relationship Id="rId22843" Type="http://schemas.openxmlformats.org/officeDocument/2006/relationships/hyperlink" Target="http://secrets.rutgers.edu:8080/data/asl-ftp/asllvd/demos/verify_start_end_handshape_annotations//test_auto_move//signs_mov/5788.mov" TargetMode="External"/><Relationship Id="rId22844" Type="http://schemas.openxmlformats.org/officeDocument/2006/relationships/hyperlink" Target="http://secrets.rutgers.edu:8080/data/asl-ftp/asllvd/demos/verify_start_end_handshape_annotations//test_auto_move//signs_mov_separ_signers/Brady_5788.mov" TargetMode="External"/><Relationship Id="rId22845" Type="http://schemas.openxmlformats.org/officeDocument/2006/relationships/hyperlink" Target="http://csr.bu.edu/ftp/asl/asllvd/demos/verify_start_end_handshape_annotations//test_auto_move//signs_mov/8061.mov" TargetMode="External"/><Relationship Id="rId22846" Type="http://schemas.openxmlformats.org/officeDocument/2006/relationships/hyperlink" Target="http://csr.bu.edu/ftp/asl/asllvd/demos/verify_start_end_handshape_annotations//test_auto_move//signs_mov_separ_signers/Brady_8061.mov" TargetMode="External"/><Relationship Id="rId22847" Type="http://schemas.openxmlformats.org/officeDocument/2006/relationships/hyperlink" Target="http://secrets.rutgers.edu:8080/data/asl-ftp/asllvd/demos/verify_start_end_handshape_annotations//test_auto_move//signs_mov/8061.mov" TargetMode="External"/><Relationship Id="rId22848" Type="http://schemas.openxmlformats.org/officeDocument/2006/relationships/hyperlink" Target="http://secrets.rutgers.edu:8080/data/asl-ftp/asllvd/demos/verify_start_end_handshape_annotations//test_auto_move//signs_mov_separ_signers/Brady_8061.mov" TargetMode="External"/><Relationship Id="rId22849" Type="http://schemas.openxmlformats.org/officeDocument/2006/relationships/hyperlink" Target="http://csr.bu.edu/ftp/asl/asllvd/demos/verify_start_end_handshape_annotations//test_auto_move//signs_mov_separ_signers/Liz_8081.mov" TargetMode="External"/><Relationship Id="rId22850" Type="http://schemas.openxmlformats.org/officeDocument/2006/relationships/hyperlink" Target="http://secrets.rutgers.edu:8080/data/asl-ftp/asllvd/demos/verify_start_end_handshape_annotations//test_auto_move//signs_mov_separ_signers/Liz_8081.mov" TargetMode="External"/><Relationship Id="rId22851" Type="http://schemas.openxmlformats.org/officeDocument/2006/relationships/hyperlink" Target="http://csr.bu.edu/ftp/asl/asllvd/demos/verify_start_end_handshape_annotations//test_auto_move//signs_mov/5769_8081_merged.mov" TargetMode="External"/><Relationship Id="rId22852" Type="http://schemas.openxmlformats.org/officeDocument/2006/relationships/hyperlink" Target="http://csr.bu.edu/ftp/asl/asllvd/demos/verify_start_end_handshape_annotations//test_auto_move//signs_mov_separ_signers/Brady_8081.mov" TargetMode="External"/><Relationship Id="rId22853" Type="http://schemas.openxmlformats.org/officeDocument/2006/relationships/hyperlink" Target="http://secrets.rutgers.edu:8080/data/asl-ftp/asllvd/demos/verify_start_end_handshape_annotations//test_auto_move//signs_mov/5769_8081_merged.mov" TargetMode="External"/><Relationship Id="rId22854" Type="http://schemas.openxmlformats.org/officeDocument/2006/relationships/hyperlink" Target="http://secrets.rutgers.edu:8080/data/asl-ftp/asllvd/demos/verify_start_end_handshape_annotations//test_auto_move//signs_mov_separ_signers/Brady_8081.mov" TargetMode="External"/><Relationship Id="rId22855" Type="http://schemas.openxmlformats.org/officeDocument/2006/relationships/hyperlink" Target="http://csr.bu.edu/ftp/asl/asllvd/demos/verify_start_end_handshape_annotations//test_auto_move//signs_mov_separ_signers/Brady_5769.mov" TargetMode="External"/><Relationship Id="rId22856" Type="http://schemas.openxmlformats.org/officeDocument/2006/relationships/hyperlink" Target="http://secrets.rutgers.edu:8080/data/asl-ftp/asllvd/demos/verify_start_end_handshape_annotations//test_auto_move//signs_mov_separ_signers/Brady_5769.mov" TargetMode="External"/><Relationship Id="rId22857" Type="http://schemas.openxmlformats.org/officeDocument/2006/relationships/hyperlink" Target="http://csr.bu.edu/ftp/asl/asllvd/demos/verify_start_end_handshape_annotations//test_auto_move//signs_mov_separ_signers/Liz_8086.mov" TargetMode="External"/><Relationship Id="rId22858" Type="http://schemas.openxmlformats.org/officeDocument/2006/relationships/hyperlink" Target="http://secrets.rutgers.edu:8080/data/asl-ftp/asllvd/demos/verify_start_end_handshape_annotations//test_auto_move//signs_mov_separ_signers/Liz_8086.mov" TargetMode="External"/><Relationship Id="rId22859" Type="http://schemas.openxmlformats.org/officeDocument/2006/relationships/hyperlink" Target="http://csr.bu.edu/ftp/asl/asllvd/demos/verify_start_end_handshape_annotations//test_auto_move//signs_mov/5770_8086_merged.mov" TargetMode="External"/><Relationship Id="rId22860" Type="http://schemas.openxmlformats.org/officeDocument/2006/relationships/hyperlink" Target="http://csr.bu.edu/ftp/asl/asllvd/demos/verify_start_end_handshape_annotations//test_auto_move//signs_mov_separ_signers/Brady_8086.mov" TargetMode="External"/><Relationship Id="rId22861" Type="http://schemas.openxmlformats.org/officeDocument/2006/relationships/hyperlink" Target="http://secrets.rutgers.edu:8080/data/asl-ftp/asllvd/demos/verify_start_end_handshape_annotations//test_auto_move//signs_mov/5770_8086_merged.mov" TargetMode="External"/><Relationship Id="rId22862" Type="http://schemas.openxmlformats.org/officeDocument/2006/relationships/hyperlink" Target="http://secrets.rutgers.edu:8080/data/asl-ftp/asllvd/demos/verify_start_end_handshape_annotations//test_auto_move//signs_mov_separ_signers/Brady_8086.mov" TargetMode="External"/><Relationship Id="rId22863" Type="http://schemas.openxmlformats.org/officeDocument/2006/relationships/hyperlink" Target="http://csr.bu.edu/ftp/asl/asllvd/demos/verify_start_end_handshape_annotations//test_auto_move//signs_mov_separ_signers/Brady_5770.mov" TargetMode="External"/><Relationship Id="rId22864" Type="http://schemas.openxmlformats.org/officeDocument/2006/relationships/hyperlink" Target="http://secrets.rutgers.edu:8080/data/asl-ftp/asllvd/demos/verify_start_end_handshape_annotations//test_auto_move//signs_mov_separ_signers/Brady_5770.mov" TargetMode="External"/><Relationship Id="rId22865" Type="http://schemas.openxmlformats.org/officeDocument/2006/relationships/hyperlink" Target="http://csr.bu.edu/ftp/asl/asllvd/demos/verify_start_end_handshape_annotations//test_auto_move//signs_mov/8097.mov" TargetMode="External"/><Relationship Id="rId22866" Type="http://schemas.openxmlformats.org/officeDocument/2006/relationships/hyperlink" Target="http://csr.bu.edu/ftp/asl/asllvd/demos/verify_start_end_handshape_annotations//test_auto_move//signs_mov_separ_signers/Brady_8097.mov" TargetMode="External"/><Relationship Id="rId22867" Type="http://schemas.openxmlformats.org/officeDocument/2006/relationships/hyperlink" Target="http://secrets.rutgers.edu:8080/data/asl-ftp/asllvd/demos/verify_start_end_handshape_annotations//test_auto_move//signs_mov/8097.mov" TargetMode="External"/><Relationship Id="rId22868" Type="http://schemas.openxmlformats.org/officeDocument/2006/relationships/hyperlink" Target="http://secrets.rutgers.edu:8080/data/asl-ftp/asllvd/demos/verify_start_end_handshape_annotations//test_auto_move//signs_mov_separ_signers/Brady_8097.mov" TargetMode="External"/><Relationship Id="rId22869" Type="http://schemas.openxmlformats.org/officeDocument/2006/relationships/hyperlink" Target="http://csr.bu.edu/ftp/asl/asllvd/demos/verify_start_end_handshape_annotations//test_auto_move//signs_mov/5887.mov" TargetMode="External"/><Relationship Id="rId22870" Type="http://schemas.openxmlformats.org/officeDocument/2006/relationships/hyperlink" Target="http://csr.bu.edu/ftp/asl/asllvd/demos/verify_start_end_handshape_annotations//test_auto_move//signs_mov_separ_signers/Liz_5887.mov" TargetMode="External"/><Relationship Id="rId22871" Type="http://schemas.openxmlformats.org/officeDocument/2006/relationships/hyperlink" Target="http://secrets.rutgers.edu:8080/data/asl-ftp/asllvd/demos/verify_start_end_handshape_annotations//test_auto_move//signs_mov/5887.mov" TargetMode="External"/><Relationship Id="rId22872" Type="http://schemas.openxmlformats.org/officeDocument/2006/relationships/hyperlink" Target="http://secrets.rutgers.edu:8080/data/asl-ftp/asllvd/demos/verify_start_end_handshape_annotations//test_auto_move//signs_mov_separ_signers/Liz_5887.mov" TargetMode="External"/><Relationship Id="rId22873" Type="http://schemas.openxmlformats.org/officeDocument/2006/relationships/hyperlink" Target="http://csr.bu.edu/ftp/asl/asllvd/demos/verify_start_end_handshape_annotations//test_auto_move//signs_mov/8134.mov" TargetMode="External"/><Relationship Id="rId22874" Type="http://schemas.openxmlformats.org/officeDocument/2006/relationships/hyperlink" Target="http://csr.bu.edu/ftp/asl/asllvd/demos/verify_start_end_handshape_annotations//test_auto_move//signs_mov_separ_signers/Liz_8134.mov" TargetMode="External"/><Relationship Id="rId22875" Type="http://schemas.openxmlformats.org/officeDocument/2006/relationships/hyperlink" Target="http://secrets.rutgers.edu:8080/data/asl-ftp/asllvd/demos/verify_start_end_handshape_annotations//test_auto_move//signs_mov/8134.mov" TargetMode="External"/><Relationship Id="rId22876" Type="http://schemas.openxmlformats.org/officeDocument/2006/relationships/hyperlink" Target="http://secrets.rutgers.edu:8080/data/asl-ftp/asllvd/demos/verify_start_end_handshape_annotations//test_auto_move//signs_mov_separ_signers/Liz_8134.mov" TargetMode="External"/><Relationship Id="rId22877" Type="http://schemas.openxmlformats.org/officeDocument/2006/relationships/hyperlink" Target="http://csr.bu.edu/ftp/asl/asllvd/demos/verify_start_end_handshape_annotations//test_auto_move//signs_mov_separ_signers/Brady_8134.mov" TargetMode="External"/><Relationship Id="rId22878" Type="http://schemas.openxmlformats.org/officeDocument/2006/relationships/hyperlink" Target="http://secrets.rutgers.edu:8080/data/asl-ftp/asllvd/demos/verify_start_end_handshape_annotations//test_auto_move//signs_mov_separ_signers/Brady_8134.mov" TargetMode="External"/><Relationship Id="rId22879" Type="http://schemas.openxmlformats.org/officeDocument/2006/relationships/hyperlink" Target="http://csr.bu.edu/ftp/asl/asllvd/demos/verify_start_end_handshape_annotations//test_auto_move//signs_mov_separ_signers/Liz_8223.mov" TargetMode="External"/><Relationship Id="rId22880" Type="http://schemas.openxmlformats.org/officeDocument/2006/relationships/hyperlink" Target="http://secrets.rutgers.edu:8080/data/asl-ftp/asllvd/demos/verify_start_end_handshape_annotations//test_auto_move//signs_mov_separ_signers/Liz_8223.mov" TargetMode="External"/><Relationship Id="rId22881" Type="http://schemas.openxmlformats.org/officeDocument/2006/relationships/hyperlink" Target="http://csr.bu.edu/ftp/asl/asllvd/demos/verify_start_end_handshape_annotations//test_auto_move//signs_mov/5807_8223_merged.mov" TargetMode="External"/><Relationship Id="rId22882" Type="http://schemas.openxmlformats.org/officeDocument/2006/relationships/hyperlink" Target="http://csr.bu.edu/ftp/asl/asllvd/demos/verify_start_end_handshape_annotations//test_auto_move//signs_mov_separ_signers/Brady_8223.mov" TargetMode="External"/><Relationship Id="rId22883" Type="http://schemas.openxmlformats.org/officeDocument/2006/relationships/hyperlink" Target="http://secrets.rutgers.edu:8080/data/asl-ftp/asllvd/demos/verify_start_end_handshape_annotations//test_auto_move//signs_mov/5807_8223_merged.mov" TargetMode="External"/><Relationship Id="rId22884" Type="http://schemas.openxmlformats.org/officeDocument/2006/relationships/hyperlink" Target="http://secrets.rutgers.edu:8080/data/asl-ftp/asllvd/demos/verify_start_end_handshape_annotations//test_auto_move//signs_mov_separ_signers/Brady_8223.mov" TargetMode="External"/><Relationship Id="rId22885" Type="http://schemas.openxmlformats.org/officeDocument/2006/relationships/hyperlink" Target="http://csr.bu.edu/ftp/asl/asllvd/demos/verify_start_end_handshape_annotations//test_auto_move//signs_mov_separ_signers/Brady_5807.mov" TargetMode="External"/><Relationship Id="rId22886" Type="http://schemas.openxmlformats.org/officeDocument/2006/relationships/hyperlink" Target="http://secrets.rutgers.edu:8080/data/asl-ftp/asllvd/demos/verify_start_end_handshape_annotations//test_auto_move//signs_mov_separ_signers/Brady_5807.mov" TargetMode="External"/><Relationship Id="rId22887" Type="http://schemas.openxmlformats.org/officeDocument/2006/relationships/hyperlink" Target="http://csr.bu.edu/ftp/asl/asllvd/demos/verify_start_end_handshape_annotations//test_auto_move//signs_mov/16490.mov" TargetMode="External"/><Relationship Id="rId22888" Type="http://schemas.openxmlformats.org/officeDocument/2006/relationships/hyperlink" Target="http://csr.bu.edu/ftp/asl/asllvd/demos/verify_start_end_handshape_annotations//test_auto_move//signs_mov_separ_signers/Lana_16490.mov" TargetMode="External"/><Relationship Id="rId22889" Type="http://schemas.openxmlformats.org/officeDocument/2006/relationships/hyperlink" Target="http://secrets.rutgers.edu:8080/data/asl-ftp/asllvd/demos/verify_start_end_handshape_annotations//test_auto_move//signs_mov/16490.mov" TargetMode="External"/><Relationship Id="rId22890" Type="http://schemas.openxmlformats.org/officeDocument/2006/relationships/hyperlink" Target="http://secrets.rutgers.edu:8080/data/asl-ftp/asllvd/demos/verify_start_end_handshape_annotations//test_auto_move//signs_mov_separ_signers/Lana_16490.mov" TargetMode="External"/><Relationship Id="rId22891" Type="http://schemas.openxmlformats.org/officeDocument/2006/relationships/hyperlink" Target="http://csr.bu.edu/ftp/asl/asllvd/demos/verify_start_end_handshape_annotations//test_auto_move//signs_mov_separ_signers/Dana_16490.mov" TargetMode="External"/><Relationship Id="rId22892" Type="http://schemas.openxmlformats.org/officeDocument/2006/relationships/hyperlink" Target="http://secrets.rutgers.edu:8080/data/asl-ftp/asllvd/demos/verify_start_end_handshape_annotations//test_auto_move//signs_mov_separ_signers/Dana_16490.mov" TargetMode="External"/><Relationship Id="rId22893" Type="http://schemas.openxmlformats.org/officeDocument/2006/relationships/hyperlink" Target="http://csr.bu.edu/ftp/asl/asllvd/demos/verify_start_end_handshape_annotations//test_auto_move//signs_mov/8324.mov" TargetMode="External"/><Relationship Id="rId22894" Type="http://schemas.openxmlformats.org/officeDocument/2006/relationships/hyperlink" Target="http://csr.bu.edu/ftp/asl/asllvd/demos/verify_start_end_handshape_annotations//test_auto_move//signs_mov_separ_signers/Liz_8324.mov" TargetMode="External"/><Relationship Id="rId22895" Type="http://schemas.openxmlformats.org/officeDocument/2006/relationships/hyperlink" Target="http://secrets.rutgers.edu:8080/data/asl-ftp/asllvd/demos/verify_start_end_handshape_annotations//test_auto_move//signs_mov/8324.mov" TargetMode="External"/><Relationship Id="rId22896" Type="http://schemas.openxmlformats.org/officeDocument/2006/relationships/hyperlink" Target="http://secrets.rutgers.edu:8080/data/asl-ftp/asllvd/demos/verify_start_end_handshape_annotations//test_auto_move//signs_mov_separ_signers/Liz_8324.mov" TargetMode="External"/><Relationship Id="rId22897" Type="http://schemas.openxmlformats.org/officeDocument/2006/relationships/hyperlink" Target="http://csr.bu.edu/ftp/asl/asllvd/demos/verify_start_end_handshape_annotations//test_auto_move//signs_mov_separ_signers/Brady_8324.mov" TargetMode="External"/><Relationship Id="rId22898" Type="http://schemas.openxmlformats.org/officeDocument/2006/relationships/hyperlink" Target="http://secrets.rutgers.edu:8080/data/asl-ftp/asllvd/demos/verify_start_end_handshape_annotations//test_auto_move//signs_mov_separ_signers/Brady_8324.mov" TargetMode="External"/><Relationship Id="rId22899" Type="http://schemas.openxmlformats.org/officeDocument/2006/relationships/hyperlink" Target="http://csr.bu.edu/ftp/asl/asllvd/demos/verify_start_end_handshape_annotations//test_auto_move//signs_mov/5450.mov" TargetMode="External"/><Relationship Id="rId22900" Type="http://schemas.openxmlformats.org/officeDocument/2006/relationships/hyperlink" Target="http://csr.bu.edu/ftp/asl/asllvd/demos/verify_start_end_handshape_annotations//test_auto_move//signs_mov_separ_signers/Lana_5450.mov" TargetMode="External"/><Relationship Id="rId22901" Type="http://schemas.openxmlformats.org/officeDocument/2006/relationships/hyperlink" Target="http://secrets.rutgers.edu:8080/data/asl-ftp/asllvd/demos/verify_start_end_handshape_annotations//test_auto_move//signs_mov/5450.mov" TargetMode="External"/><Relationship Id="rId22902" Type="http://schemas.openxmlformats.org/officeDocument/2006/relationships/hyperlink" Target="http://secrets.rutgers.edu:8080/data/asl-ftp/asllvd/demos/verify_start_end_handshape_annotations//test_auto_move//signs_mov_separ_signers/Lana_5450.mov" TargetMode="External"/><Relationship Id="rId22903" Type="http://schemas.openxmlformats.org/officeDocument/2006/relationships/hyperlink" Target="http://csr.bu.edu/ftp/asl/asllvd/demos/verify_start_end_handshape_annotations//test_auto_move//signs_mov_separ_signers/Liz_8327.mov" TargetMode="External"/><Relationship Id="rId22904" Type="http://schemas.openxmlformats.org/officeDocument/2006/relationships/hyperlink" Target="http://secrets.rutgers.edu:8080/data/asl-ftp/asllvd/demos/verify_start_end_handshape_annotations//test_auto_move//signs_mov_separ_signers/Liz_8327.mov" TargetMode="External"/><Relationship Id="rId22905" Type="http://schemas.openxmlformats.org/officeDocument/2006/relationships/hyperlink" Target="http://csr.bu.edu/ftp/asl/asllvd/demos/verify_start_end_handshape_annotations//test_auto_move//signs_mov/5761_8327_merged.mov" TargetMode="External"/><Relationship Id="rId22906" Type="http://schemas.openxmlformats.org/officeDocument/2006/relationships/hyperlink" Target="http://csr.bu.edu/ftp/asl/asllvd/demos/verify_start_end_handshape_annotations//test_auto_move//signs_mov_separ_signers/Brady_8327.mov" TargetMode="External"/><Relationship Id="rId22907" Type="http://schemas.openxmlformats.org/officeDocument/2006/relationships/hyperlink" Target="http://secrets.rutgers.edu:8080/data/asl-ftp/asllvd/demos/verify_start_end_handshape_annotations//test_auto_move//signs_mov/5761_8327_merged.mov" TargetMode="External"/><Relationship Id="rId22908" Type="http://schemas.openxmlformats.org/officeDocument/2006/relationships/hyperlink" Target="http://secrets.rutgers.edu:8080/data/asl-ftp/asllvd/demos/verify_start_end_handshape_annotations//test_auto_move//signs_mov_separ_signers/Brady_8327.mov" TargetMode="External"/><Relationship Id="rId22909" Type="http://schemas.openxmlformats.org/officeDocument/2006/relationships/hyperlink" Target="http://csr.bu.edu/ftp/asl/asllvd/demos/verify_start_end_handshape_annotations//test_auto_move//signs_mov_separ_signers/Brady_5761.mov" TargetMode="External"/><Relationship Id="rId22910" Type="http://schemas.openxmlformats.org/officeDocument/2006/relationships/hyperlink" Target="http://secrets.rutgers.edu:8080/data/asl-ftp/asllvd/demos/verify_start_end_handshape_annotations//test_auto_move//signs_mov_separ_signers/Brady_5761.mov" TargetMode="External"/><Relationship Id="rId22911" Type="http://schemas.openxmlformats.org/officeDocument/2006/relationships/hyperlink" Target="http://csr.bu.edu/ftp/asl/asllvd/demos/verify_start_end_handshape_annotations//test_auto_move//signs_mov/8426.mov" TargetMode="External"/><Relationship Id="rId22912" Type="http://schemas.openxmlformats.org/officeDocument/2006/relationships/hyperlink" Target="http://csr.bu.edu/ftp/asl/asllvd/demos/verify_start_end_handshape_annotations//test_auto_move//signs_mov_separ_signers/Liz_8426.mov" TargetMode="External"/><Relationship Id="rId22913" Type="http://schemas.openxmlformats.org/officeDocument/2006/relationships/hyperlink" Target="http://secrets.rutgers.edu:8080/data/asl-ftp/asllvd/demos/verify_start_end_handshape_annotations//test_auto_move//signs_mov/8426.mov" TargetMode="External"/><Relationship Id="rId22914" Type="http://schemas.openxmlformats.org/officeDocument/2006/relationships/hyperlink" Target="http://secrets.rutgers.edu:8080/data/asl-ftp/asllvd/demos/verify_start_end_handshape_annotations//test_auto_move//signs_mov_separ_signers/Liz_8426.mov" TargetMode="External"/><Relationship Id="rId22915" Type="http://schemas.openxmlformats.org/officeDocument/2006/relationships/hyperlink" Target="http://csr.bu.edu/ftp/asl/asllvd/demos/verify_start_end_handshape_annotations//test_auto_move//signs_mov_separ_signers/Brady_8426.mov" TargetMode="External"/><Relationship Id="rId22916" Type="http://schemas.openxmlformats.org/officeDocument/2006/relationships/hyperlink" Target="http://secrets.rutgers.edu:8080/data/asl-ftp/asllvd/demos/verify_start_end_handshape_annotations//test_auto_move//signs_mov_separ_signers/Brady_8426.mov" TargetMode="External"/><Relationship Id="rId22917" Type="http://schemas.openxmlformats.org/officeDocument/2006/relationships/hyperlink" Target="http://csr.bu.edu/ftp/asl/asllvd/demos/verify_start_end_handshape_annotations//test_auto_move//signs_mov_separ_signers/Liz_8453.mov" TargetMode="External"/><Relationship Id="rId22918" Type="http://schemas.openxmlformats.org/officeDocument/2006/relationships/hyperlink" Target="http://secrets.rutgers.edu:8080/data/asl-ftp/asllvd/demos/verify_start_end_handshape_annotations//test_auto_move//signs_mov_separ_signers/Liz_8453.mov" TargetMode="External"/><Relationship Id="rId22919" Type="http://schemas.openxmlformats.org/officeDocument/2006/relationships/hyperlink" Target="http://csr.bu.edu/ftp/asl/asllvd/demos/verify_start_end_handshape_annotations//test_auto_move//signs_mov/5778_8453_merged.mov" TargetMode="External"/><Relationship Id="rId22920" Type="http://schemas.openxmlformats.org/officeDocument/2006/relationships/hyperlink" Target="http://csr.bu.edu/ftp/asl/asllvd/demos/verify_start_end_handshape_annotations//test_auto_move//signs_mov_separ_signers/Brady_8453.mov" TargetMode="External"/><Relationship Id="rId22921" Type="http://schemas.openxmlformats.org/officeDocument/2006/relationships/hyperlink" Target="http://secrets.rutgers.edu:8080/data/asl-ftp/asllvd/demos/verify_start_end_handshape_annotations//test_auto_move//signs_mov/5778_8453_merged.mov" TargetMode="External"/><Relationship Id="rId22922" Type="http://schemas.openxmlformats.org/officeDocument/2006/relationships/hyperlink" Target="http://secrets.rutgers.edu:8080/data/asl-ftp/asllvd/demos/verify_start_end_handshape_annotations//test_auto_move//signs_mov_separ_signers/Brady_8453.mov" TargetMode="External"/><Relationship Id="rId22923" Type="http://schemas.openxmlformats.org/officeDocument/2006/relationships/hyperlink" Target="http://csr.bu.edu/ftp/asl/asllvd/demos/verify_start_end_handshape_annotations//test_auto_move//signs_mov_separ_signers/Brady_5778.mov" TargetMode="External"/><Relationship Id="rId22924" Type="http://schemas.openxmlformats.org/officeDocument/2006/relationships/hyperlink" Target="http://secrets.rutgers.edu:8080/data/asl-ftp/asllvd/demos/verify_start_end_handshape_annotations//test_auto_move//signs_mov_separ_signers/Brady_5778.mov" TargetMode="External"/><Relationship Id="rId22925" Type="http://schemas.openxmlformats.org/officeDocument/2006/relationships/hyperlink" Target="http://csr.bu.edu/ftp/asl/asllvd/demos/verify_start_end_handshape_annotations//test_auto_move//signs_mov/15563.mov" TargetMode="External"/><Relationship Id="rId22926" Type="http://schemas.openxmlformats.org/officeDocument/2006/relationships/hyperlink" Target="http://csr.bu.edu/ftp/asl/asllvd/demos/verify_start_end_handshape_annotations//test_auto_move//signs_mov_separ_signers/Liz_15563.mov" TargetMode="External"/><Relationship Id="rId22927" Type="http://schemas.openxmlformats.org/officeDocument/2006/relationships/hyperlink" Target="http://secrets.rutgers.edu:8080/data/asl-ftp/asllvd/demos/verify_start_end_handshape_annotations//test_auto_move//signs_mov/15563.mov" TargetMode="External"/><Relationship Id="rId22928" Type="http://schemas.openxmlformats.org/officeDocument/2006/relationships/hyperlink" Target="http://secrets.rutgers.edu:8080/data/asl-ftp/asllvd/demos/verify_start_end_handshape_annotations//test_auto_move//signs_mov_separ_signers/Liz_15563.mov" TargetMode="External"/><Relationship Id="rId22929" Type="http://schemas.openxmlformats.org/officeDocument/2006/relationships/hyperlink" Target="http://csr.bu.edu/ftp/asl/asllvd/demos/verify_start_end_handshape_annotations//test_auto_move//signs_mov_separ_signers/Brady_15563.mov" TargetMode="External"/><Relationship Id="rId22930" Type="http://schemas.openxmlformats.org/officeDocument/2006/relationships/hyperlink" Target="http://secrets.rutgers.edu:8080/data/asl-ftp/asllvd/demos/verify_start_end_handshape_annotations//test_auto_move//signs_mov_separ_signers/Brady_15563.mov" TargetMode="External"/><Relationship Id="rId22931" Type="http://schemas.openxmlformats.org/officeDocument/2006/relationships/hyperlink" Target="http://csr.bu.edu/ftp/asl/asllvd/demos/verify_start_end_handshape_annotations//test_auto_move//signs_mov/15588.mov" TargetMode="External"/><Relationship Id="rId22932" Type="http://schemas.openxmlformats.org/officeDocument/2006/relationships/hyperlink" Target="http://csr.bu.edu/ftp/asl/asllvd/demos/verify_start_end_handshape_annotations//test_auto_move//signs_mov_separ_signers/Liz_15588.mov" TargetMode="External"/><Relationship Id="rId22933" Type="http://schemas.openxmlformats.org/officeDocument/2006/relationships/hyperlink" Target="http://secrets.rutgers.edu:8080/data/asl-ftp/asllvd/demos/verify_start_end_handshape_annotations//test_auto_move//signs_mov/15588.mov" TargetMode="External"/><Relationship Id="rId22934" Type="http://schemas.openxmlformats.org/officeDocument/2006/relationships/hyperlink" Target="http://secrets.rutgers.edu:8080/data/asl-ftp/asllvd/demos/verify_start_end_handshape_annotations//test_auto_move//signs_mov_separ_signers/Liz_15588.mov" TargetMode="External"/><Relationship Id="rId22935" Type="http://schemas.openxmlformats.org/officeDocument/2006/relationships/hyperlink" Target="http://csr.bu.edu/ftp/asl/asllvd/demos/verify_start_end_handshape_annotations//test_auto_move//signs_mov_separ_signers/Brady_15588.mov" TargetMode="External"/><Relationship Id="rId22936" Type="http://schemas.openxmlformats.org/officeDocument/2006/relationships/hyperlink" Target="http://secrets.rutgers.edu:8080/data/asl-ftp/asllvd/demos/verify_start_end_handshape_annotations//test_auto_move//signs_mov_separ_signers/Brady_15588.mov" TargetMode="External"/><Relationship Id="rId22937" Type="http://schemas.openxmlformats.org/officeDocument/2006/relationships/hyperlink" Target="http://csr.bu.edu/ftp/asl/asllvd/demos/verify_start_end_handshape_annotations//test_auto_move//signs_mov/15935.mov" TargetMode="External"/><Relationship Id="rId22938" Type="http://schemas.openxmlformats.org/officeDocument/2006/relationships/hyperlink" Target="http://csr.bu.edu/ftp/asl/asllvd/demos/verify_start_end_handshape_annotations//test_auto_move//signs_mov_separ_signers/Brady_15935.mov" TargetMode="External"/><Relationship Id="rId22939" Type="http://schemas.openxmlformats.org/officeDocument/2006/relationships/hyperlink" Target="http://secrets.rutgers.edu:8080/data/asl-ftp/asllvd/demos/verify_start_end_handshape_annotations//test_auto_move//signs_mov/15935.mov" TargetMode="External"/><Relationship Id="rId22940" Type="http://schemas.openxmlformats.org/officeDocument/2006/relationships/hyperlink" Target="http://secrets.rutgers.edu:8080/data/asl-ftp/asllvd/demos/verify_start_end_handshape_annotations//test_auto_move//signs_mov_separ_signers/Brady_15935.mov" TargetMode="External"/><Relationship Id="rId22941" Type="http://schemas.openxmlformats.org/officeDocument/2006/relationships/hyperlink" Target="http://csr.bu.edu/ftp/asl/asllvd/demos/verify_start_end_handshape_annotations//test_auto_move//signs_mov/8455.mov" TargetMode="External"/><Relationship Id="rId22942" Type="http://schemas.openxmlformats.org/officeDocument/2006/relationships/hyperlink" Target="http://csr.bu.edu/ftp/asl/asllvd/demos/verify_start_end_handshape_annotations//test_auto_move//signs_mov_separ_signers/Brady_8455.mov" TargetMode="External"/><Relationship Id="rId22943" Type="http://schemas.openxmlformats.org/officeDocument/2006/relationships/hyperlink" Target="http://secrets.rutgers.edu:8080/data/asl-ftp/asllvd/demos/verify_start_end_handshape_annotations//test_auto_move//signs_mov/8455.mov" TargetMode="External"/><Relationship Id="rId22944" Type="http://schemas.openxmlformats.org/officeDocument/2006/relationships/hyperlink" Target="http://secrets.rutgers.edu:8080/data/asl-ftp/asllvd/demos/verify_start_end_handshape_annotations//test_auto_move//signs_mov_separ_signers/Brady_8455.mov" TargetMode="External"/><Relationship Id="rId22945" Type="http://schemas.openxmlformats.org/officeDocument/2006/relationships/hyperlink" Target="http://csr.bu.edu/ftp/asl/asllvd/demos/verify_start_end_handshape_annotations//test_auto_move//signs_mov/5888.mov" TargetMode="External"/><Relationship Id="rId22946" Type="http://schemas.openxmlformats.org/officeDocument/2006/relationships/hyperlink" Target="http://csr.bu.edu/ftp/asl/asllvd/demos/verify_start_end_handshape_annotations//test_auto_move//signs_mov_separ_signers/Liz_5888.mov" TargetMode="External"/><Relationship Id="rId22947" Type="http://schemas.openxmlformats.org/officeDocument/2006/relationships/hyperlink" Target="http://secrets.rutgers.edu:8080/data/asl-ftp/asllvd/demos/verify_start_end_handshape_annotations//test_auto_move//signs_mov/5888.mov" TargetMode="External"/><Relationship Id="rId22948" Type="http://schemas.openxmlformats.org/officeDocument/2006/relationships/hyperlink" Target="http://secrets.rutgers.edu:8080/data/asl-ftp/asllvd/demos/verify_start_end_handshape_annotations//test_auto_move//signs_mov_separ_signers/Liz_5888.mov" TargetMode="External"/><Relationship Id="rId22949" Type="http://schemas.openxmlformats.org/officeDocument/2006/relationships/hyperlink" Target="http://csr.bu.edu/ftp/asl/asllvd/demos/verify_start_end_handshape_annotations//test_auto_move//signs_mov_separ_signers/Liz_8466.mov" TargetMode="External"/><Relationship Id="rId22950" Type="http://schemas.openxmlformats.org/officeDocument/2006/relationships/hyperlink" Target="http://secrets.rutgers.edu:8080/data/asl-ftp/asllvd/demos/verify_start_end_handshape_annotations//test_auto_move//signs_mov_separ_signers/Liz_8466.mov" TargetMode="External"/><Relationship Id="rId22951" Type="http://schemas.openxmlformats.org/officeDocument/2006/relationships/hyperlink" Target="http://csr.bu.edu/ftp/asl/asllvd/demos/verify_start_end_handshape_annotations//test_auto_move//signs_mov/5726_8466_merged.mov" TargetMode="External"/><Relationship Id="rId22952" Type="http://schemas.openxmlformats.org/officeDocument/2006/relationships/hyperlink" Target="http://csr.bu.edu/ftp/asl/asllvd/demos/verify_start_end_handshape_annotations//test_auto_move//signs_mov_separ_signers/Brady_8466.mov" TargetMode="External"/><Relationship Id="rId22953" Type="http://schemas.openxmlformats.org/officeDocument/2006/relationships/hyperlink" Target="http://secrets.rutgers.edu:8080/data/asl-ftp/asllvd/demos/verify_start_end_handshape_annotations//test_auto_move//signs_mov/5726_8466_merged.mov" TargetMode="External"/><Relationship Id="rId22954" Type="http://schemas.openxmlformats.org/officeDocument/2006/relationships/hyperlink" Target="http://secrets.rutgers.edu:8080/data/asl-ftp/asllvd/demos/verify_start_end_handshape_annotations//test_auto_move//signs_mov_separ_signers/Brady_8466.mov" TargetMode="External"/><Relationship Id="rId22955" Type="http://schemas.openxmlformats.org/officeDocument/2006/relationships/hyperlink" Target="http://csr.bu.edu/ftp/asl/asllvd/demos/verify_start_end_handshape_annotations//test_auto_move//signs_mov_separ_signers/Brady_5726.mov" TargetMode="External"/><Relationship Id="rId22956" Type="http://schemas.openxmlformats.org/officeDocument/2006/relationships/hyperlink" Target="http://secrets.rutgers.edu:8080/data/asl-ftp/asllvd/demos/verify_start_end_handshape_annotations//test_auto_move//signs_mov_separ_signers/Brady_5726.mov" TargetMode="External"/><Relationship Id="rId22957" Type="http://schemas.openxmlformats.org/officeDocument/2006/relationships/hyperlink" Target="http://csr.bu.edu/ftp/asl/asllvd/demos/verify_start_end_handshape_annotations//test_auto_move//signs_mov/5746.mov" TargetMode="External"/><Relationship Id="rId22958" Type="http://schemas.openxmlformats.org/officeDocument/2006/relationships/hyperlink" Target="http://csr.bu.edu/ftp/asl/asllvd/demos/verify_start_end_handshape_annotations//test_auto_move//signs_mov_separ_signers/Liz_5746.mov" TargetMode="External"/><Relationship Id="rId22959" Type="http://schemas.openxmlformats.org/officeDocument/2006/relationships/hyperlink" Target="http://secrets.rutgers.edu:8080/data/asl-ftp/asllvd/demos/verify_start_end_handshape_annotations//test_auto_move//signs_mov/5746.mov" TargetMode="External"/><Relationship Id="rId22960" Type="http://schemas.openxmlformats.org/officeDocument/2006/relationships/hyperlink" Target="http://secrets.rutgers.edu:8080/data/asl-ftp/asllvd/demos/verify_start_end_handshape_annotations//test_auto_move//signs_mov_separ_signers/Liz_5746.mov" TargetMode="External"/><Relationship Id="rId22961" Type="http://schemas.openxmlformats.org/officeDocument/2006/relationships/hyperlink" Target="http://csr.bu.edu/ftp/asl/asllvd/demos/verify_start_end_handshape_annotations//test_auto_move//signs_mov_separ_signers/Brady_5746.mov" TargetMode="External"/><Relationship Id="rId22962" Type="http://schemas.openxmlformats.org/officeDocument/2006/relationships/hyperlink" Target="http://secrets.rutgers.edu:8080/data/asl-ftp/asllvd/demos/verify_start_end_handshape_annotations//test_auto_move//signs_mov_separ_signers/Brady_5746.mov" TargetMode="External"/><Relationship Id="rId22963" Type="http://schemas.openxmlformats.org/officeDocument/2006/relationships/hyperlink" Target="http://csr.bu.edu/ftp/asl/asllvd/demos/verify_start_end_handshape_annotations//test_auto_move//signs_mov_separ_signers/Liz_8559.mov" TargetMode="External"/><Relationship Id="rId22964" Type="http://schemas.openxmlformats.org/officeDocument/2006/relationships/hyperlink" Target="http://secrets.rutgers.edu:8080/data/asl-ftp/asllvd/demos/verify_start_end_handshape_annotations//test_auto_move//signs_mov_separ_signers/Liz_8559.mov" TargetMode="External"/><Relationship Id="rId22965" Type="http://schemas.openxmlformats.org/officeDocument/2006/relationships/hyperlink" Target="http://csr.bu.edu/ftp/asl/asllvd/demos/verify_start_end_handshape_annotations//test_auto_move//signs_mov/5816_8559_merged.mov" TargetMode="External"/><Relationship Id="rId22966" Type="http://schemas.openxmlformats.org/officeDocument/2006/relationships/hyperlink" Target="http://csr.bu.edu/ftp/asl/asllvd/demos/verify_start_end_handshape_annotations//test_auto_move//signs_mov_separ_signers/Liz_5816.mov" TargetMode="External"/><Relationship Id="rId22967" Type="http://schemas.openxmlformats.org/officeDocument/2006/relationships/hyperlink" Target="http://secrets.rutgers.edu:8080/data/asl-ftp/asllvd/demos/verify_start_end_handshape_annotations//test_auto_move//signs_mov/5816_8559_merged.mov" TargetMode="External"/><Relationship Id="rId22968" Type="http://schemas.openxmlformats.org/officeDocument/2006/relationships/hyperlink" Target="http://secrets.rutgers.edu:8080/data/asl-ftp/asllvd/demos/verify_start_end_handshape_annotations//test_auto_move//signs_mov_separ_signers/Liz_5816.mov" TargetMode="External"/><Relationship Id="rId22969" Type="http://schemas.openxmlformats.org/officeDocument/2006/relationships/hyperlink" Target="http://csr.bu.edu/ftp/asl/asllvd/demos/verify_start_end_handshape_annotations//test_auto_move//signs_mov_separ_signers/Brady_8559.mov" TargetMode="External"/><Relationship Id="rId22970" Type="http://schemas.openxmlformats.org/officeDocument/2006/relationships/hyperlink" Target="http://secrets.rutgers.edu:8080/data/asl-ftp/asllvd/demos/verify_start_end_handshape_annotations//test_auto_move//signs_mov_separ_signers/Brady_8559.mov" TargetMode="External"/><Relationship Id="rId22971" Type="http://schemas.openxmlformats.org/officeDocument/2006/relationships/hyperlink" Target="http://csr.bu.edu/ftp/asl/asllvd/demos/verify_start_end_handshape_annotations//test_auto_move//signs_mov/5838_16491_merged.mov" TargetMode="External"/><Relationship Id="rId22972" Type="http://schemas.openxmlformats.org/officeDocument/2006/relationships/hyperlink" Target="http://csr.bu.edu/ftp/asl/asllvd/demos/verify_start_end_handshape_annotations//test_auto_move//signs_mov_separ_signers/Brady_5838.mov" TargetMode="External"/><Relationship Id="rId22973" Type="http://schemas.openxmlformats.org/officeDocument/2006/relationships/hyperlink" Target="http://secrets.rutgers.edu:8080/data/asl-ftp/asllvd/demos/verify_start_end_handshape_annotations//test_auto_move//signs_mov/5838_16491_merged.mov" TargetMode="External"/><Relationship Id="rId22974" Type="http://schemas.openxmlformats.org/officeDocument/2006/relationships/hyperlink" Target="http://secrets.rutgers.edu:8080/data/asl-ftp/asllvd/demos/verify_start_end_handshape_annotations//test_auto_move//signs_mov_separ_signers/Brady_5838.mov" TargetMode="External"/><Relationship Id="rId22975" Type="http://schemas.openxmlformats.org/officeDocument/2006/relationships/hyperlink" Target="http://csr.bu.edu/ftp/asl/asllvd/demos/verify_start_end_handshape_annotations//test_auto_move//signs_mov_separ_signers/Brady_16491.mov" TargetMode="External"/><Relationship Id="rId22976" Type="http://schemas.openxmlformats.org/officeDocument/2006/relationships/hyperlink" Target="http://secrets.rutgers.edu:8080/data/asl-ftp/asllvd/demos/verify_start_end_handshape_annotations//test_auto_move//signs_mov_separ_signers/Brady_16491.mov" TargetMode="External"/><Relationship Id="rId22977" Type="http://schemas.openxmlformats.org/officeDocument/2006/relationships/hyperlink" Target="http://csr.bu.edu/ftp/asl/asllvd/demos/verify_start_end_handshape_annotations//test_auto_move//signs_mov_separ_signers/Liz_8602.mov" TargetMode="External"/><Relationship Id="rId22978" Type="http://schemas.openxmlformats.org/officeDocument/2006/relationships/hyperlink" Target="http://secrets.rutgers.edu:8080/data/asl-ftp/asllvd/demos/verify_start_end_handshape_annotations//test_auto_move//signs_mov_separ_signers/Liz_8602.mov" TargetMode="External"/><Relationship Id="rId22979" Type="http://schemas.openxmlformats.org/officeDocument/2006/relationships/hyperlink" Target="http://csr.bu.edu/ftp/asl/asllvd/demos/verify_start_end_handshape_annotations//test_auto_move//signs_mov/5837_8602_merged.mov" TargetMode="External"/><Relationship Id="rId22980" Type="http://schemas.openxmlformats.org/officeDocument/2006/relationships/hyperlink" Target="http://csr.bu.edu/ftp/asl/asllvd/demos/verify_start_end_handshape_annotations//test_auto_move//signs_mov_separ_signers/Brady_8602.mov" TargetMode="External"/><Relationship Id="rId22981" Type="http://schemas.openxmlformats.org/officeDocument/2006/relationships/hyperlink" Target="http://secrets.rutgers.edu:8080/data/asl-ftp/asllvd/demos/verify_start_end_handshape_annotations//test_auto_move//signs_mov/5837_8602_merged.mov" TargetMode="External"/><Relationship Id="rId22982" Type="http://schemas.openxmlformats.org/officeDocument/2006/relationships/hyperlink" Target="http://secrets.rutgers.edu:8080/data/asl-ftp/asllvd/demos/verify_start_end_handshape_annotations//test_auto_move//signs_mov_separ_signers/Brady_8602.mov" TargetMode="External"/><Relationship Id="rId22983" Type="http://schemas.openxmlformats.org/officeDocument/2006/relationships/hyperlink" Target="http://csr.bu.edu/ftp/asl/asllvd/demos/verify_start_end_handshape_annotations//test_auto_move//signs_mov_separ_signers/Brady_5837.mov" TargetMode="External"/><Relationship Id="rId22984" Type="http://schemas.openxmlformats.org/officeDocument/2006/relationships/hyperlink" Target="http://secrets.rutgers.edu:8080/data/asl-ftp/asllvd/demos/verify_start_end_handshape_annotations//test_auto_move//signs_mov_separ_signers/Brady_5837.mov" TargetMode="External"/><Relationship Id="rId22985" Type="http://schemas.openxmlformats.org/officeDocument/2006/relationships/hyperlink" Target="http://csr.bu.edu/ftp/asl/asllvd/demos/verify_start_end_handshape_annotations//test_auto_move//signs_mov_separ_signers/Liz_8608.mov" TargetMode="External"/><Relationship Id="rId22986" Type="http://schemas.openxmlformats.org/officeDocument/2006/relationships/hyperlink" Target="http://secrets.rutgers.edu:8080/data/asl-ftp/asllvd/demos/verify_start_end_handshape_annotations//test_auto_move//signs_mov_separ_signers/Liz_8608.mov" TargetMode="External"/><Relationship Id="rId22987" Type="http://schemas.openxmlformats.org/officeDocument/2006/relationships/hyperlink" Target="http://csr.bu.edu/ftp/asl/asllvd/demos/verify_start_end_handshape_annotations//test_auto_move//signs_mov/5840_8608_merged.mov" TargetMode="External"/><Relationship Id="rId22988" Type="http://schemas.openxmlformats.org/officeDocument/2006/relationships/hyperlink" Target="http://csr.bu.edu/ftp/asl/asllvd/demos/verify_start_end_handshape_annotations//test_auto_move//signs_mov_separ_signers/Brady_8608.mov" TargetMode="External"/><Relationship Id="rId22989" Type="http://schemas.openxmlformats.org/officeDocument/2006/relationships/hyperlink" Target="http://secrets.rutgers.edu:8080/data/asl-ftp/asllvd/demos/verify_start_end_handshape_annotations//test_auto_move//signs_mov/5840_8608_merged.mov" TargetMode="External"/><Relationship Id="rId22990" Type="http://schemas.openxmlformats.org/officeDocument/2006/relationships/hyperlink" Target="http://secrets.rutgers.edu:8080/data/asl-ftp/asllvd/demos/verify_start_end_handshape_annotations//test_auto_move//signs_mov_separ_signers/Brady_8608.mov" TargetMode="External"/><Relationship Id="rId22991" Type="http://schemas.openxmlformats.org/officeDocument/2006/relationships/hyperlink" Target="http://csr.bu.edu/ftp/asl/asllvd/demos/verify_start_end_handshape_annotations//test_auto_move//signs_mov_separ_signers/Brady_5840.mov" TargetMode="External"/><Relationship Id="rId22992" Type="http://schemas.openxmlformats.org/officeDocument/2006/relationships/hyperlink" Target="http://secrets.rutgers.edu:8080/data/asl-ftp/asllvd/demos/verify_start_end_handshape_annotations//test_auto_move//signs_mov_separ_signers/Brady_5840.mov" TargetMode="External"/><Relationship Id="rId22993" Type="http://schemas.openxmlformats.org/officeDocument/2006/relationships/hyperlink" Target="http://csr.bu.edu/ftp/asl/asllvd/demos/verify_start_end_handshape_annotations//test_auto_move//signs_mov_separ_signers/Liz_15361.mov" TargetMode="External"/><Relationship Id="rId22994" Type="http://schemas.openxmlformats.org/officeDocument/2006/relationships/hyperlink" Target="http://secrets.rutgers.edu:8080/data/asl-ftp/asllvd/demos/verify_start_end_handshape_annotations//test_auto_move//signs_mov_separ_signers/Liz_15361.mov" TargetMode="External"/><Relationship Id="rId22995" Type="http://schemas.openxmlformats.org/officeDocument/2006/relationships/hyperlink" Target="http://csr.bu.edu/ftp/asl/asllvd/demos/verify_start_end_handshape_annotations//test_auto_move//signs_mov_separ_signers/Liz_15362.mov" TargetMode="External"/><Relationship Id="rId22996" Type="http://schemas.openxmlformats.org/officeDocument/2006/relationships/hyperlink" Target="http://secrets.rutgers.edu:8080/data/asl-ftp/asllvd/demos/verify_start_end_handshape_annotations//test_auto_move//signs_mov_separ_signers/Liz_15362.mov" TargetMode="External"/><Relationship Id="rId22997" Type="http://schemas.openxmlformats.org/officeDocument/2006/relationships/hyperlink" Target="http://csr.bu.edu/ftp/asl/asllvd/demos/verify_start_end_handshape_annotations//test_auto_move//signs_mov/15361_15362_merged.mov" TargetMode="External"/><Relationship Id="rId22998" Type="http://schemas.openxmlformats.org/officeDocument/2006/relationships/hyperlink" Target="http://csr.bu.edu/ftp/asl/asllvd/demos/verify_start_end_handshape_annotations//test_auto_move//signs_mov_separ_signers/Tyler_15361.mov" TargetMode="External"/><Relationship Id="rId22999" Type="http://schemas.openxmlformats.org/officeDocument/2006/relationships/hyperlink" Target="http://secrets.rutgers.edu:8080/data/asl-ftp/asllvd/demos/verify_start_end_handshape_annotations//test_auto_move//signs_mov/15361_15362_merged.mov" TargetMode="External"/><Relationship Id="rId23000" Type="http://schemas.openxmlformats.org/officeDocument/2006/relationships/hyperlink" Target="http://secrets.rutgers.edu:8080/data/asl-ftp/asllvd/demos/verify_start_end_handshape_annotations//test_auto_move//signs_mov_separ_signers/Tyler_15361.mov" TargetMode="External"/><Relationship Id="rId23001" Type="http://schemas.openxmlformats.org/officeDocument/2006/relationships/hyperlink" Target="http://csr.bu.edu/ftp/asl/asllvd/demos/verify_start_end_handshape_annotations//test_auto_move//signs_mov_separ_signers/Naomi_15361.mov" TargetMode="External"/><Relationship Id="rId23002" Type="http://schemas.openxmlformats.org/officeDocument/2006/relationships/hyperlink" Target="http://secrets.rutgers.edu:8080/data/asl-ftp/asllvd/demos/verify_start_end_handshape_annotations//test_auto_move//signs_mov_separ_signers/Naomi_15361.mov" TargetMode="External"/><Relationship Id="rId23003" Type="http://schemas.openxmlformats.org/officeDocument/2006/relationships/hyperlink" Target="http://csr.bu.edu/ftp/asl/asllvd/demos/verify_start_end_handshape_annotations//test_auto_move//signs_mov_separ_signers/Brady_15361.mov" TargetMode="External"/><Relationship Id="rId23004" Type="http://schemas.openxmlformats.org/officeDocument/2006/relationships/hyperlink" Target="http://secrets.rutgers.edu:8080/data/asl-ftp/asllvd/demos/verify_start_end_handshape_annotations//test_auto_move//signs_mov_separ_signers/Brady_15361.mov" TargetMode="External"/><Relationship Id="rId23005" Type="http://schemas.openxmlformats.org/officeDocument/2006/relationships/hyperlink" Target="http://csr.bu.edu/ftp/asl/asllvd/demos/verify_start_end_handshape_annotations//test_auto_move//signs_mov_separ_signers/Brady_15362.mov" TargetMode="External"/><Relationship Id="rId23006" Type="http://schemas.openxmlformats.org/officeDocument/2006/relationships/hyperlink" Target="http://secrets.rutgers.edu:8080/data/asl-ftp/asllvd/demos/verify_start_end_handshape_annotations//test_auto_move//signs_mov_separ_signers/Brady_15362.mov" TargetMode="External"/><Relationship Id="rId23007" Type="http://schemas.openxmlformats.org/officeDocument/2006/relationships/hyperlink" Target="http://csr.bu.edu/ftp/asl/asllvd/demos/verify_start_end_handshape_annotations//test_auto_move//signs_mov/15392.mov" TargetMode="External"/><Relationship Id="rId23008" Type="http://schemas.openxmlformats.org/officeDocument/2006/relationships/hyperlink" Target="http://csr.bu.edu/ftp/asl/asllvd/demos/verify_start_end_handshape_annotations//test_auto_move//signs_mov_separ_signers/Lana_15392.mov" TargetMode="External"/><Relationship Id="rId23009" Type="http://schemas.openxmlformats.org/officeDocument/2006/relationships/hyperlink" Target="http://secrets.rutgers.edu:8080/data/asl-ftp/asllvd/demos/verify_start_end_handshape_annotations//test_auto_move//signs_mov/15392.mov" TargetMode="External"/><Relationship Id="rId23010" Type="http://schemas.openxmlformats.org/officeDocument/2006/relationships/hyperlink" Target="http://secrets.rutgers.edu:8080/data/asl-ftp/asllvd/demos/verify_start_end_handshape_annotations//test_auto_move//signs_mov_separ_signers/Lana_15392.mov" TargetMode="External"/><Relationship Id="rId23011" Type="http://schemas.openxmlformats.org/officeDocument/2006/relationships/hyperlink" Target="http://csr.bu.edu/ftp/asl/asllvd/demos/verify_start_end_handshape_annotations//test_auto_move//signs_mov_separ_signers/Liz_15804.mov" TargetMode="External"/><Relationship Id="rId23012" Type="http://schemas.openxmlformats.org/officeDocument/2006/relationships/hyperlink" Target="http://secrets.rutgers.edu:8080/data/asl-ftp/asllvd/demos/verify_start_end_handshape_annotations//test_auto_move//signs_mov_separ_signers/Liz_15804.mov" TargetMode="External"/><Relationship Id="rId23013" Type="http://schemas.openxmlformats.org/officeDocument/2006/relationships/hyperlink" Target="http://csr.bu.edu/ftp/asl/asllvd/demos/verify_start_end_handshape_annotations//test_auto_move//signs_mov/15804.mov" TargetMode="External"/><Relationship Id="rId23014" Type="http://schemas.openxmlformats.org/officeDocument/2006/relationships/hyperlink" Target="http://csr.bu.edu/ftp/asl/asllvd/demos/verify_start_end_handshape_annotations//test_auto_move//signs_mov_separ_signers/Tyler_15804.mov" TargetMode="External"/><Relationship Id="rId23015" Type="http://schemas.openxmlformats.org/officeDocument/2006/relationships/hyperlink" Target="http://secrets.rutgers.edu:8080/data/asl-ftp/asllvd/demos/verify_start_end_handshape_annotations//test_auto_move//signs_mov/15804.mov" TargetMode="External"/><Relationship Id="rId23016" Type="http://schemas.openxmlformats.org/officeDocument/2006/relationships/hyperlink" Target="http://secrets.rutgers.edu:8080/data/asl-ftp/asllvd/demos/verify_start_end_handshape_annotations//test_auto_move//signs_mov_separ_signers/Tyler_15804.mov" TargetMode="External"/><Relationship Id="rId23017" Type="http://schemas.openxmlformats.org/officeDocument/2006/relationships/hyperlink" Target="http://csr.bu.edu/ftp/asl/asllvd/demos/verify_start_end_handshape_annotations//test_auto_move//signs_mov_separ_signers/Naomi_15804.mov" TargetMode="External"/><Relationship Id="rId23018" Type="http://schemas.openxmlformats.org/officeDocument/2006/relationships/hyperlink" Target="http://secrets.rutgers.edu:8080/data/asl-ftp/asllvd/demos/verify_start_end_handshape_annotations//test_auto_move//signs_mov_separ_signers/Naomi_15804.mov" TargetMode="External"/><Relationship Id="rId23019" Type="http://schemas.openxmlformats.org/officeDocument/2006/relationships/hyperlink" Target="http://csr.bu.edu/ftp/asl/asllvd/demos/verify_start_end_handshape_annotations//test_auto_move//signs_mov_separ_signers/Brady_15804.mov" TargetMode="External"/><Relationship Id="rId23020" Type="http://schemas.openxmlformats.org/officeDocument/2006/relationships/hyperlink" Target="http://secrets.rutgers.edu:8080/data/asl-ftp/asllvd/demos/verify_start_end_handshape_annotations//test_auto_move//signs_mov_separ_signers/Brady_15804.mov" TargetMode="External"/><Relationship Id="rId23021" Type="http://schemas.openxmlformats.org/officeDocument/2006/relationships/hyperlink" Target="http://csr.bu.edu/ftp/asl/asllvd/demos/verify_start_end_handshape_annotations//test_auto_move//signs_mov/16492.mov" TargetMode="External"/><Relationship Id="rId23022" Type="http://schemas.openxmlformats.org/officeDocument/2006/relationships/hyperlink" Target="http://csr.bu.edu/ftp/asl/asllvd/demos/verify_start_end_handshape_annotations//test_auto_move//signs_mov_separ_signers/Tyler_16492.mov" TargetMode="External"/><Relationship Id="rId23023" Type="http://schemas.openxmlformats.org/officeDocument/2006/relationships/hyperlink" Target="http://secrets.rutgers.edu:8080/data/asl-ftp/asllvd/demos/verify_start_end_handshape_annotations//test_auto_move//signs_mov/16492.mov" TargetMode="External"/><Relationship Id="rId23024" Type="http://schemas.openxmlformats.org/officeDocument/2006/relationships/hyperlink" Target="http://secrets.rutgers.edu:8080/data/asl-ftp/asllvd/demos/verify_start_end_handshape_annotations//test_auto_move//signs_mov_separ_signers/Tyler_16492.mov" TargetMode="External"/><Relationship Id="rId23025" Type="http://schemas.openxmlformats.org/officeDocument/2006/relationships/hyperlink" Target="http://csr.bu.edu/ftp/asl/asllvd/demos/verify_start_end_handshape_annotations//test_auto_move//signs_mov_separ_signers/Naomi_16492.mov" TargetMode="External"/><Relationship Id="rId23026" Type="http://schemas.openxmlformats.org/officeDocument/2006/relationships/hyperlink" Target="http://secrets.rutgers.edu:8080/data/asl-ftp/asllvd/demos/verify_start_end_handshape_annotations//test_auto_move//signs_mov_separ_signers/Naomi_16492.mov" TargetMode="External"/><Relationship Id="rId23027" Type="http://schemas.openxmlformats.org/officeDocument/2006/relationships/hyperlink" Target="http://csr.bu.edu/ftp/asl/asllvd/demos/verify_start_end_handshape_annotations//test_auto_move//signs_mov/16493.mov" TargetMode="External"/><Relationship Id="rId23028" Type="http://schemas.openxmlformats.org/officeDocument/2006/relationships/hyperlink" Target="http://csr.bu.edu/ftp/asl/asllvd/demos/verify_start_end_handshape_annotations//test_auto_move//signs_mov_separ_signers/Liz_16493.mov" TargetMode="External"/><Relationship Id="rId23029" Type="http://schemas.openxmlformats.org/officeDocument/2006/relationships/hyperlink" Target="http://secrets.rutgers.edu:8080/data/asl-ftp/asllvd/demos/verify_start_end_handshape_annotations//test_auto_move//signs_mov/16493.mov" TargetMode="External"/><Relationship Id="rId23030" Type="http://schemas.openxmlformats.org/officeDocument/2006/relationships/hyperlink" Target="http://secrets.rutgers.edu:8080/data/asl-ftp/asllvd/demos/verify_start_end_handshape_annotations//test_auto_move//signs_mov_separ_signers/Liz_16493.mov" TargetMode="External"/><Relationship Id="rId23031" Type="http://schemas.openxmlformats.org/officeDocument/2006/relationships/hyperlink" Target="http://csr.bu.edu/ftp/asl/asllvd/demos/verify_start_end_handshape_annotations//test_auto_move//signs_mov_separ_signers/Brady_16493.mov" TargetMode="External"/><Relationship Id="rId23032" Type="http://schemas.openxmlformats.org/officeDocument/2006/relationships/hyperlink" Target="http://secrets.rutgers.edu:8080/data/asl-ftp/asllvd/demos/verify_start_end_handshape_annotations//test_auto_move//signs_mov_separ_signers/Brady_16493.mov" TargetMode="External"/><Relationship Id="rId23033" Type="http://schemas.openxmlformats.org/officeDocument/2006/relationships/hyperlink" Target="http://csr.bu.edu/ftp/asl/asllvd/demos/verify_start_end_handshape_annotations//test_auto_move//signs_mov_separ_signers/Liz_8643.mov" TargetMode="External"/><Relationship Id="rId23034" Type="http://schemas.openxmlformats.org/officeDocument/2006/relationships/hyperlink" Target="http://secrets.rutgers.edu:8080/data/asl-ftp/asllvd/demos/verify_start_end_handshape_annotations//test_auto_move//signs_mov_separ_signers/Liz_8643.mov" TargetMode="External"/><Relationship Id="rId23035" Type="http://schemas.openxmlformats.org/officeDocument/2006/relationships/hyperlink" Target="http://csr.bu.edu/ftp/asl/asllvd/demos/verify_start_end_handshape_annotations//test_auto_move//signs_mov/8643.mov" TargetMode="External"/><Relationship Id="rId23036" Type="http://schemas.openxmlformats.org/officeDocument/2006/relationships/hyperlink" Target="http://csr.bu.edu/ftp/asl/asllvd/demos/verify_start_end_handshape_annotations//test_auto_move//signs_mov_separ_signers/Brady_8643.mov" TargetMode="External"/><Relationship Id="rId23037" Type="http://schemas.openxmlformats.org/officeDocument/2006/relationships/hyperlink" Target="http://secrets.rutgers.edu:8080/data/asl-ftp/asllvd/demos/verify_start_end_handshape_annotations//test_auto_move//signs_mov/8643.mov" TargetMode="External"/><Relationship Id="rId23038" Type="http://schemas.openxmlformats.org/officeDocument/2006/relationships/hyperlink" Target="http://secrets.rutgers.edu:8080/data/asl-ftp/asllvd/demos/verify_start_end_handshape_annotations//test_auto_move//signs_mov_separ_signers/Brady_8643.mov" TargetMode="External"/><Relationship Id="rId23039" Type="http://schemas.openxmlformats.org/officeDocument/2006/relationships/hyperlink" Target="http://csr.bu.edu/ftp/asl/asllvd/demos/verify_start_end_handshape_annotations//test_auto_move//signs_mov_separ_signers/Lana_8643.mov" TargetMode="External"/><Relationship Id="rId23040" Type="http://schemas.openxmlformats.org/officeDocument/2006/relationships/hyperlink" Target="http://secrets.rutgers.edu:8080/data/asl-ftp/asllvd/demos/verify_start_end_handshape_annotations//test_auto_move//signs_mov_separ_signers/Lana_8643.mov" TargetMode="External"/><Relationship Id="rId23041" Type="http://schemas.openxmlformats.org/officeDocument/2006/relationships/hyperlink" Target="http://csr.bu.edu/ftp/asl/asllvd/demos/verify_start_end_handshape_annotations//test_auto_move//signs_mov/5522.mov" TargetMode="External"/><Relationship Id="rId23042" Type="http://schemas.openxmlformats.org/officeDocument/2006/relationships/hyperlink" Target="http://csr.bu.edu/ftp/asl/asllvd/demos/verify_start_end_handshape_annotations//test_auto_move//signs_mov_separ_signers/Liz_5522.mov" TargetMode="External"/><Relationship Id="rId23043" Type="http://schemas.openxmlformats.org/officeDocument/2006/relationships/hyperlink" Target="http://secrets.rutgers.edu:8080/data/asl-ftp/asllvd/demos/verify_start_end_handshape_annotations//test_auto_move//signs_mov/5522.mov" TargetMode="External"/><Relationship Id="rId23044" Type="http://schemas.openxmlformats.org/officeDocument/2006/relationships/hyperlink" Target="http://secrets.rutgers.edu:8080/data/asl-ftp/asllvd/demos/verify_start_end_handshape_annotations//test_auto_move//signs_mov_separ_signers/Liz_5522.mov" TargetMode="External"/><Relationship Id="rId23045" Type="http://schemas.openxmlformats.org/officeDocument/2006/relationships/hyperlink" Target="http://csr.bu.edu/ftp/asl/asllvd/demos/verify_start_end_handshape_annotations//test_auto_move//signs_mov_separ_signers/Brady_5522.mov" TargetMode="External"/><Relationship Id="rId23046" Type="http://schemas.openxmlformats.org/officeDocument/2006/relationships/hyperlink" Target="http://secrets.rutgers.edu:8080/data/asl-ftp/asllvd/demos/verify_start_end_handshape_annotations//test_auto_move//signs_mov_separ_signers/Brady_5522.mov" TargetMode="External"/><Relationship Id="rId23047" Type="http://schemas.openxmlformats.org/officeDocument/2006/relationships/hyperlink" Target="http://csr.bu.edu/ftp/asl/asllvd/demos/verify_start_end_handshape_annotations//test_auto_move//signs_mov/8649.mov" TargetMode="External"/><Relationship Id="rId23048" Type="http://schemas.openxmlformats.org/officeDocument/2006/relationships/hyperlink" Target="http://csr.bu.edu/ftp/asl/asllvd/demos/verify_start_end_handshape_annotations//test_auto_move//signs_mov_separ_signers/Liz_8649.mov" TargetMode="External"/><Relationship Id="rId23049" Type="http://schemas.openxmlformats.org/officeDocument/2006/relationships/hyperlink" Target="http://secrets.rutgers.edu:8080/data/asl-ftp/asllvd/demos/verify_start_end_handshape_annotations//test_auto_move//signs_mov/8649.mov" TargetMode="External"/><Relationship Id="rId23050" Type="http://schemas.openxmlformats.org/officeDocument/2006/relationships/hyperlink" Target="http://secrets.rutgers.edu:8080/data/asl-ftp/asllvd/demos/verify_start_end_handshape_annotations//test_auto_move//signs_mov_separ_signers/Liz_8649.mov" TargetMode="External"/><Relationship Id="rId23051" Type="http://schemas.openxmlformats.org/officeDocument/2006/relationships/hyperlink" Target="http://csr.bu.edu/ftp/asl/asllvd/demos/verify_start_end_handshape_annotations//test_auto_move//signs_mov_separ_signers/Brady_8649.mov" TargetMode="External"/><Relationship Id="rId23052" Type="http://schemas.openxmlformats.org/officeDocument/2006/relationships/hyperlink" Target="http://secrets.rutgers.edu:8080/data/asl-ftp/asllvd/demos/verify_start_end_handshape_annotations//test_auto_move//signs_mov_separ_signers/Brady_8649.mov" TargetMode="External"/><Relationship Id="rId23053" Type="http://schemas.openxmlformats.org/officeDocument/2006/relationships/hyperlink" Target="http://csr.bu.edu/ftp/asl/asllvd/demos/verify_start_end_handshape_annotations//test_auto_move//signs_mov/5500.mov" TargetMode="External"/><Relationship Id="rId23054" Type="http://schemas.openxmlformats.org/officeDocument/2006/relationships/hyperlink" Target="http://csr.bu.edu/ftp/asl/asllvd/demos/verify_start_end_handshape_annotations//test_auto_move//signs_mov_separ_signers/Liz_5500.mov" TargetMode="External"/><Relationship Id="rId23055" Type="http://schemas.openxmlformats.org/officeDocument/2006/relationships/hyperlink" Target="http://secrets.rutgers.edu:8080/data/asl-ftp/asllvd/demos/verify_start_end_handshape_annotations//test_auto_move//signs_mov/5500.mov" TargetMode="External"/><Relationship Id="rId23056" Type="http://schemas.openxmlformats.org/officeDocument/2006/relationships/hyperlink" Target="http://secrets.rutgers.edu:8080/data/asl-ftp/asllvd/demos/verify_start_end_handshape_annotations//test_auto_move//signs_mov_separ_signers/Liz_5500.mov" TargetMode="External"/><Relationship Id="rId23057" Type="http://schemas.openxmlformats.org/officeDocument/2006/relationships/hyperlink" Target="http://csr.bu.edu/ftp/asl/asllvd/demos/verify_start_end_handshape_annotations//test_auto_move//signs_mov/5513.mov" TargetMode="External"/><Relationship Id="rId23058" Type="http://schemas.openxmlformats.org/officeDocument/2006/relationships/hyperlink" Target="http://csr.bu.edu/ftp/asl/asllvd/demos/verify_start_end_handshape_annotations//test_auto_move//signs_mov_separ_signers/Liz_5513.mov" TargetMode="External"/><Relationship Id="rId23059" Type="http://schemas.openxmlformats.org/officeDocument/2006/relationships/hyperlink" Target="http://secrets.rutgers.edu:8080/data/asl-ftp/asllvd/demos/verify_start_end_handshape_annotations//test_auto_move//signs_mov/5513.mov" TargetMode="External"/><Relationship Id="rId23060" Type="http://schemas.openxmlformats.org/officeDocument/2006/relationships/hyperlink" Target="http://secrets.rutgers.edu:8080/data/asl-ftp/asllvd/demos/verify_start_end_handshape_annotations//test_auto_move//signs_mov_separ_signers/Liz_5513.mov" TargetMode="External"/><Relationship Id="rId23061" Type="http://schemas.openxmlformats.org/officeDocument/2006/relationships/hyperlink" Target="http://csr.bu.edu/ftp/asl/asllvd/demos/verify_start_end_handshape_annotations//test_auto_move//signs_mov_separ_signers/Brady_5513.mov" TargetMode="External"/><Relationship Id="rId23062" Type="http://schemas.openxmlformats.org/officeDocument/2006/relationships/hyperlink" Target="http://secrets.rutgers.edu:8080/data/asl-ftp/asllvd/demos/verify_start_end_handshape_annotations//test_auto_move//signs_mov_separ_signers/Brady_5513.mov" TargetMode="External"/><Relationship Id="rId23063" Type="http://schemas.openxmlformats.org/officeDocument/2006/relationships/hyperlink" Target="http://csr.bu.edu/ftp/asl/asllvd/demos/verify_start_end_handshape_annotations//test_auto_move//signs_mov/8658.mov" TargetMode="External"/><Relationship Id="rId23064" Type="http://schemas.openxmlformats.org/officeDocument/2006/relationships/hyperlink" Target="http://csr.bu.edu/ftp/asl/asllvd/demos/verify_start_end_handshape_annotations//test_auto_move//signs_mov_separ_signers/Liz_8658.mov" TargetMode="External"/><Relationship Id="rId23065" Type="http://schemas.openxmlformats.org/officeDocument/2006/relationships/hyperlink" Target="http://secrets.rutgers.edu:8080/data/asl-ftp/asllvd/demos/verify_start_end_handshape_annotations//test_auto_move//signs_mov/8658.mov" TargetMode="External"/><Relationship Id="rId23066" Type="http://schemas.openxmlformats.org/officeDocument/2006/relationships/hyperlink" Target="http://secrets.rutgers.edu:8080/data/asl-ftp/asllvd/demos/verify_start_end_handshape_annotations//test_auto_move//signs_mov_separ_signers/Liz_8658.mov" TargetMode="External"/><Relationship Id="rId23067" Type="http://schemas.openxmlformats.org/officeDocument/2006/relationships/hyperlink" Target="http://csr.bu.edu/ftp/asl/asllvd/demos/verify_start_end_handshape_annotations//test_auto_move//signs_mov_separ_signers/Brady_8658.mov" TargetMode="External"/><Relationship Id="rId23068" Type="http://schemas.openxmlformats.org/officeDocument/2006/relationships/hyperlink" Target="http://secrets.rutgers.edu:8080/data/asl-ftp/asllvd/demos/verify_start_end_handshape_annotations//test_auto_move//signs_mov_separ_signers/Brady_8658.mov" TargetMode="External"/><Relationship Id="rId23069" Type="http://schemas.openxmlformats.org/officeDocument/2006/relationships/hyperlink" Target="http://csr.bu.edu/ftp/asl/asllvd/demos/verify_start_end_handshape_annotations//test_auto_move//signs_mov/5501.mov" TargetMode="External"/><Relationship Id="rId23070" Type="http://schemas.openxmlformats.org/officeDocument/2006/relationships/hyperlink" Target="http://csr.bu.edu/ftp/asl/asllvd/demos/verify_start_end_handshape_annotations//test_auto_move//signs_mov_separ_signers/Liz_5501.mov" TargetMode="External"/><Relationship Id="rId23071" Type="http://schemas.openxmlformats.org/officeDocument/2006/relationships/hyperlink" Target="http://secrets.rutgers.edu:8080/data/asl-ftp/asllvd/demos/verify_start_end_handshape_annotations//test_auto_move//signs_mov/5501.mov" TargetMode="External"/><Relationship Id="rId23072" Type="http://schemas.openxmlformats.org/officeDocument/2006/relationships/hyperlink" Target="http://secrets.rutgers.edu:8080/data/asl-ftp/asllvd/demos/verify_start_end_handshape_annotations//test_auto_move//signs_mov_separ_signers/Liz_5501.mov" TargetMode="External"/><Relationship Id="rId23073" Type="http://schemas.openxmlformats.org/officeDocument/2006/relationships/hyperlink" Target="http://csr.bu.edu/ftp/asl/asllvd/demos/verify_start_end_handshape_annotations//test_auto_move//signs_mov_separ_signers/Brady_5501.mov" TargetMode="External"/><Relationship Id="rId23074" Type="http://schemas.openxmlformats.org/officeDocument/2006/relationships/hyperlink" Target="http://secrets.rutgers.edu:8080/data/asl-ftp/asllvd/demos/verify_start_end_handshape_annotations//test_auto_move//signs_mov_separ_signers/Brady_5501.mov" TargetMode="External"/><Relationship Id="rId23075" Type="http://schemas.openxmlformats.org/officeDocument/2006/relationships/hyperlink" Target="http://csr.bu.edu/ftp/asl/asllvd/demos/verify_start_end_handshape_annotations//test_auto_move//signs_mov_separ_signers/Liz_8659.mov" TargetMode="External"/><Relationship Id="rId23076" Type="http://schemas.openxmlformats.org/officeDocument/2006/relationships/hyperlink" Target="http://secrets.rutgers.edu:8080/data/asl-ftp/asllvd/demos/verify_start_end_handshape_annotations//test_auto_move//signs_mov_separ_signers/Liz_8659.mov" TargetMode="External"/><Relationship Id="rId23077" Type="http://schemas.openxmlformats.org/officeDocument/2006/relationships/hyperlink" Target="http://csr.bu.edu/ftp/asl/asllvd/demos/verify_start_end_handshape_annotations//test_auto_move//signs_mov/5503_8659_merged.mov" TargetMode="External"/><Relationship Id="rId23078" Type="http://schemas.openxmlformats.org/officeDocument/2006/relationships/hyperlink" Target="http://csr.bu.edu/ftp/asl/asllvd/demos/verify_start_end_handshape_annotations//test_auto_move//signs_mov_separ_signers/Liz_5503.mov" TargetMode="External"/><Relationship Id="rId23079" Type="http://schemas.openxmlformats.org/officeDocument/2006/relationships/hyperlink" Target="http://secrets.rutgers.edu:8080/data/asl-ftp/asllvd/demos/verify_start_end_handshape_annotations//test_auto_move//signs_mov/5503_8659_merged.mov" TargetMode="External"/><Relationship Id="rId23080" Type="http://schemas.openxmlformats.org/officeDocument/2006/relationships/hyperlink" Target="http://secrets.rutgers.edu:8080/data/asl-ftp/asllvd/demos/verify_start_end_handshape_annotations//test_auto_move//signs_mov_separ_signers/Liz_5503.mov" TargetMode="External"/><Relationship Id="rId23081" Type="http://schemas.openxmlformats.org/officeDocument/2006/relationships/hyperlink" Target="http://csr.bu.edu/ftp/asl/asllvd/demos/verify_start_end_handshape_annotations//test_auto_move//signs_mov_separ_signers/Brady_8659.mov" TargetMode="External"/><Relationship Id="rId23082" Type="http://schemas.openxmlformats.org/officeDocument/2006/relationships/hyperlink" Target="http://secrets.rutgers.edu:8080/data/asl-ftp/asllvd/demos/verify_start_end_handshape_annotations//test_auto_move//signs_mov_separ_signers/Brady_8659.mov" TargetMode="External"/><Relationship Id="rId23083" Type="http://schemas.openxmlformats.org/officeDocument/2006/relationships/hyperlink" Target="http://csr.bu.edu/ftp/asl/asllvd/demos/verify_start_end_handshape_annotations//test_auto_move//signs_mov_separ_signers/Brady_5503.mov" TargetMode="External"/><Relationship Id="rId23084" Type="http://schemas.openxmlformats.org/officeDocument/2006/relationships/hyperlink" Target="http://secrets.rutgers.edu:8080/data/asl-ftp/asllvd/demos/verify_start_end_handshape_annotations//test_auto_move//signs_mov_separ_signers/Brady_5503.mov" TargetMode="External"/><Relationship Id="rId23085" Type="http://schemas.openxmlformats.org/officeDocument/2006/relationships/hyperlink" Target="http://csr.bu.edu/ftp/asl/asllvd/demos/verify_start_end_handshape_annotations//test_auto_move//signs_mov/5890.mov" TargetMode="External"/><Relationship Id="rId23086" Type="http://schemas.openxmlformats.org/officeDocument/2006/relationships/hyperlink" Target="http://csr.bu.edu/ftp/asl/asllvd/demos/verify_start_end_handshape_annotations//test_auto_move//signs_mov_separ_signers/Liz_5890.mov" TargetMode="External"/><Relationship Id="rId23087" Type="http://schemas.openxmlformats.org/officeDocument/2006/relationships/hyperlink" Target="http://secrets.rutgers.edu:8080/data/asl-ftp/asllvd/demos/verify_start_end_handshape_annotations//test_auto_move//signs_mov/5890.mov" TargetMode="External"/><Relationship Id="rId23088" Type="http://schemas.openxmlformats.org/officeDocument/2006/relationships/hyperlink" Target="http://secrets.rutgers.edu:8080/data/asl-ftp/asllvd/demos/verify_start_end_handshape_annotations//test_auto_move//signs_mov_separ_signers/Liz_5890.mov" TargetMode="External"/><Relationship Id="rId23089" Type="http://schemas.openxmlformats.org/officeDocument/2006/relationships/hyperlink" Target="http://csr.bu.edu/ftp/asl/asllvd/demos/verify_start_end_handshape_annotations//test_auto_move//signs_mov_separ_signers/Liz_15821.mov" TargetMode="External"/><Relationship Id="rId23090" Type="http://schemas.openxmlformats.org/officeDocument/2006/relationships/hyperlink" Target="http://secrets.rutgers.edu:8080/data/asl-ftp/asllvd/demos/verify_start_end_handshape_annotations//test_auto_move//signs_mov_separ_signers/Liz_15821.mov" TargetMode="External"/><Relationship Id="rId23091" Type="http://schemas.openxmlformats.org/officeDocument/2006/relationships/hyperlink" Target="http://csr.bu.edu/ftp/asl/asllvd/demos/verify_start_end_handshape_annotations//test_auto_move//signs_mov/15821.mov" TargetMode="External"/><Relationship Id="rId23092" Type="http://schemas.openxmlformats.org/officeDocument/2006/relationships/hyperlink" Target="http://csr.bu.edu/ftp/asl/asllvd/demos/verify_start_end_handshape_annotations//test_auto_move//signs_mov_separ_signers/Brady_15821.mov" TargetMode="External"/><Relationship Id="rId23093" Type="http://schemas.openxmlformats.org/officeDocument/2006/relationships/hyperlink" Target="http://secrets.rutgers.edu:8080/data/asl-ftp/asllvd/demos/verify_start_end_handshape_annotations//test_auto_move//signs_mov/15821.mov" TargetMode="External"/><Relationship Id="rId23094" Type="http://schemas.openxmlformats.org/officeDocument/2006/relationships/hyperlink" Target="http://secrets.rutgers.edu:8080/data/asl-ftp/asllvd/demos/verify_start_end_handshape_annotations//test_auto_move//signs_mov_separ_signers/Brady_15821.mov" TargetMode="External"/><Relationship Id="rId23095" Type="http://schemas.openxmlformats.org/officeDocument/2006/relationships/hyperlink" Target="http://csr.bu.edu/ftp/asl/asllvd/demos/verify_start_end_handshape_annotations//test_auto_move//signs_mov_separ_signers/Lana_15821.mov" TargetMode="External"/><Relationship Id="rId23096" Type="http://schemas.openxmlformats.org/officeDocument/2006/relationships/hyperlink" Target="http://secrets.rutgers.edu:8080/data/asl-ftp/asllvd/demos/verify_start_end_handshape_annotations//test_auto_move//signs_mov_separ_signers/Lana_15821.mov" TargetMode="External"/><Relationship Id="rId23097" Type="http://schemas.openxmlformats.org/officeDocument/2006/relationships/hyperlink" Target="http://csr.bu.edu/ftp/asl/asllvd/demos/verify_start_end_handshape_annotations//test_auto_move//signs_mov_separ_signers/Dana_15821.mov" TargetMode="External"/><Relationship Id="rId23098" Type="http://schemas.openxmlformats.org/officeDocument/2006/relationships/hyperlink" Target="http://secrets.rutgers.edu:8080/data/asl-ftp/asllvd/demos/verify_start_end_handshape_annotations//test_auto_move//signs_mov_separ_signers/Dana_15821.mov" TargetMode="External"/><Relationship Id="rId23099" Type="http://schemas.openxmlformats.org/officeDocument/2006/relationships/hyperlink" Target="http://csr.bu.edu/ftp/asl/asllvd/demos/verify_start_end_handshape_annotations//test_auto_move//signs_mov_separ_signers/Liz_15831.mov" TargetMode="External"/><Relationship Id="rId23100" Type="http://schemas.openxmlformats.org/officeDocument/2006/relationships/hyperlink" Target="http://secrets.rutgers.edu:8080/data/asl-ftp/asllvd/demos/verify_start_end_handshape_annotations//test_auto_move//signs_mov_separ_signers/Liz_15831.mov" TargetMode="External"/><Relationship Id="rId23101" Type="http://schemas.openxmlformats.org/officeDocument/2006/relationships/hyperlink" Target="http://csr.bu.edu/ftp/asl/asllvd/demos/verify_start_end_handshape_annotations//test_auto_move//signs_mov/15831.mov" TargetMode="External"/><Relationship Id="rId23102" Type="http://schemas.openxmlformats.org/officeDocument/2006/relationships/hyperlink" Target="http://csr.bu.edu/ftp/asl/asllvd/demos/verify_start_end_handshape_annotations//test_auto_move//signs_mov_separ_signers/Tyler_15831.mov" TargetMode="External"/><Relationship Id="rId23103" Type="http://schemas.openxmlformats.org/officeDocument/2006/relationships/hyperlink" Target="http://secrets.rutgers.edu:8080/data/asl-ftp/asllvd/demos/verify_start_end_handshape_annotations//test_auto_move//signs_mov/15831.mov" TargetMode="External"/><Relationship Id="rId23104" Type="http://schemas.openxmlformats.org/officeDocument/2006/relationships/hyperlink" Target="http://secrets.rutgers.edu:8080/data/asl-ftp/asllvd/demos/verify_start_end_handshape_annotations//test_auto_move//signs_mov_separ_signers/Tyler_15831.mov" TargetMode="External"/><Relationship Id="rId23105" Type="http://schemas.openxmlformats.org/officeDocument/2006/relationships/hyperlink" Target="http://csr.bu.edu/ftp/asl/asllvd/demos/verify_start_end_handshape_annotations//test_auto_move//signs_mov_separ_signers/Naomi_15831.mov" TargetMode="External"/><Relationship Id="rId23106" Type="http://schemas.openxmlformats.org/officeDocument/2006/relationships/hyperlink" Target="http://secrets.rutgers.edu:8080/data/asl-ftp/asllvd/demos/verify_start_end_handshape_annotations//test_auto_move//signs_mov_separ_signers/Naomi_15831.mov" TargetMode="External"/><Relationship Id="rId23107" Type="http://schemas.openxmlformats.org/officeDocument/2006/relationships/hyperlink" Target="http://csr.bu.edu/ftp/asl/asllvd/demos/verify_start_end_handshape_annotations//test_auto_move//signs_mov_separ_signers/Brady_15831.mov" TargetMode="External"/><Relationship Id="rId23108" Type="http://schemas.openxmlformats.org/officeDocument/2006/relationships/hyperlink" Target="http://secrets.rutgers.edu:8080/data/asl-ftp/asllvd/demos/verify_start_end_handshape_annotations//test_auto_move//signs_mov_separ_signers/Brady_15831.mov" TargetMode="External"/><Relationship Id="rId23109" Type="http://schemas.openxmlformats.org/officeDocument/2006/relationships/hyperlink" Target="http://csr.bu.edu/ftp/asl/asllvd/demos/verify_start_end_handshape_annotations//test_auto_move//signs_mov_separ_signers/Liz_15856.mov" TargetMode="External"/><Relationship Id="rId23110" Type="http://schemas.openxmlformats.org/officeDocument/2006/relationships/hyperlink" Target="http://secrets.rutgers.edu:8080/data/asl-ftp/asllvd/demos/verify_start_end_handshape_annotations//test_auto_move//signs_mov_separ_signers/Liz_15856.mov" TargetMode="External"/><Relationship Id="rId23111" Type="http://schemas.openxmlformats.org/officeDocument/2006/relationships/hyperlink" Target="http://csr.bu.edu/ftp/asl/asllvd/demos/verify_start_end_handshape_annotations//test_auto_move//signs_mov/15856_15858_merged.mov" TargetMode="External"/><Relationship Id="rId23112" Type="http://schemas.openxmlformats.org/officeDocument/2006/relationships/hyperlink" Target="http://csr.bu.edu/ftp/asl/asllvd/demos/verify_start_end_handshape_annotations//test_auto_move//signs_mov_separ_signers/Brady_15856.mov" TargetMode="External"/><Relationship Id="rId23113" Type="http://schemas.openxmlformats.org/officeDocument/2006/relationships/hyperlink" Target="http://secrets.rutgers.edu:8080/data/asl-ftp/asllvd/demos/verify_start_end_handshape_annotations//test_auto_move//signs_mov/15856_15858_merged.mov" TargetMode="External"/><Relationship Id="rId23114" Type="http://schemas.openxmlformats.org/officeDocument/2006/relationships/hyperlink" Target="http://secrets.rutgers.edu:8080/data/asl-ftp/asllvd/demos/verify_start_end_handshape_annotations//test_auto_move//signs_mov_separ_signers/Brady_15856.mov" TargetMode="External"/><Relationship Id="rId23115" Type="http://schemas.openxmlformats.org/officeDocument/2006/relationships/hyperlink" Target="http://csr.bu.edu/ftp/asl/asllvd/demos/verify_start_end_handshape_annotations//test_auto_move//signs_mov_separ_signers/Brady_15858.mov" TargetMode="External"/><Relationship Id="rId23116" Type="http://schemas.openxmlformats.org/officeDocument/2006/relationships/hyperlink" Target="http://secrets.rutgers.edu:8080/data/asl-ftp/asllvd/demos/verify_start_end_handshape_annotations//test_auto_move//signs_mov_separ_signers/Brady_15858.mov" TargetMode="External"/><Relationship Id="rId23117" Type="http://schemas.openxmlformats.org/officeDocument/2006/relationships/hyperlink" Target="http://csr.bu.edu/ftp/asl/asllvd/demos/verify_start_end_handshape_annotations//test_auto_move//signs_mov/15862.mov" TargetMode="External"/><Relationship Id="rId23118" Type="http://schemas.openxmlformats.org/officeDocument/2006/relationships/hyperlink" Target="http://csr.bu.edu/ftp/asl/asllvd/demos/verify_start_end_handshape_annotations//test_auto_move//signs_mov_separ_signers/Tyler_15862.mov" TargetMode="External"/><Relationship Id="rId23119" Type="http://schemas.openxmlformats.org/officeDocument/2006/relationships/hyperlink" Target="http://secrets.rutgers.edu:8080/data/asl-ftp/asllvd/demos/verify_start_end_handshape_annotations//test_auto_move//signs_mov/15862.mov" TargetMode="External"/><Relationship Id="rId23120" Type="http://schemas.openxmlformats.org/officeDocument/2006/relationships/hyperlink" Target="http://secrets.rutgers.edu:8080/data/asl-ftp/asllvd/demos/verify_start_end_handshape_annotations//test_auto_move//signs_mov_separ_signers/Tyler_15862.mov" TargetMode="External"/><Relationship Id="rId23121" Type="http://schemas.openxmlformats.org/officeDocument/2006/relationships/hyperlink" Target="http://csr.bu.edu/ftp/asl/asllvd/demos/verify_start_end_handshape_annotations//test_auto_move//signs_mov_separ_signers/Liz_15903.mov" TargetMode="External"/><Relationship Id="rId23122" Type="http://schemas.openxmlformats.org/officeDocument/2006/relationships/hyperlink" Target="http://secrets.rutgers.edu:8080/data/asl-ftp/asllvd/demos/verify_start_end_handshape_annotations//test_auto_move//signs_mov_separ_signers/Liz_15903.mov" TargetMode="External"/><Relationship Id="rId23123" Type="http://schemas.openxmlformats.org/officeDocument/2006/relationships/hyperlink" Target="http://csr.bu.edu/ftp/asl/asllvd/demos/verify_start_end_handshape_annotations//test_auto_move//signs_mov/15903_16028_merged.mov" TargetMode="External"/><Relationship Id="rId23124" Type="http://schemas.openxmlformats.org/officeDocument/2006/relationships/hyperlink" Target="http://csr.bu.edu/ftp/asl/asllvd/demos/verify_start_end_handshape_annotations//test_auto_move//signs_mov_separ_signers/Tyler_15903.mov" TargetMode="External"/><Relationship Id="rId23125" Type="http://schemas.openxmlformats.org/officeDocument/2006/relationships/hyperlink" Target="http://secrets.rutgers.edu:8080/data/asl-ftp/asllvd/demos/verify_start_end_handshape_annotations//test_auto_move//signs_mov/15903_16028_merged.mov" TargetMode="External"/><Relationship Id="rId23126" Type="http://schemas.openxmlformats.org/officeDocument/2006/relationships/hyperlink" Target="http://secrets.rutgers.edu:8080/data/asl-ftp/asllvd/demos/verify_start_end_handshape_annotations//test_auto_move//signs_mov_separ_signers/Tyler_15903.mov" TargetMode="External"/><Relationship Id="rId23127" Type="http://schemas.openxmlformats.org/officeDocument/2006/relationships/hyperlink" Target="http://csr.bu.edu/ftp/asl/asllvd/demos/verify_start_end_handshape_annotations//test_auto_move//signs_mov_separ_signers/Brady_15903.mov" TargetMode="External"/><Relationship Id="rId23128" Type="http://schemas.openxmlformats.org/officeDocument/2006/relationships/hyperlink" Target="http://secrets.rutgers.edu:8080/data/asl-ftp/asllvd/demos/verify_start_end_handshape_annotations//test_auto_move//signs_mov_separ_signers/Brady_15903.mov" TargetMode="External"/><Relationship Id="rId23129" Type="http://schemas.openxmlformats.org/officeDocument/2006/relationships/hyperlink" Target="http://csr.bu.edu/ftp/asl/asllvd/demos/verify_start_end_handshape_annotations//test_auto_move//signs_mov_separ_signers/Brady_16028.mov" TargetMode="External"/><Relationship Id="rId23130" Type="http://schemas.openxmlformats.org/officeDocument/2006/relationships/hyperlink" Target="http://secrets.rutgers.edu:8080/data/asl-ftp/asllvd/demos/verify_start_end_handshape_annotations//test_auto_move//signs_mov_separ_signers/Brady_16028.mov" TargetMode="External"/><Relationship Id="rId23131" Type="http://schemas.openxmlformats.org/officeDocument/2006/relationships/hyperlink" Target="http://csr.bu.edu/ftp/asl/asllvd/demos/verify_start_end_handshape_annotations//test_auto_move//signs_mov_separ_signers/Liz_16159.mov" TargetMode="External"/><Relationship Id="rId23132" Type="http://schemas.openxmlformats.org/officeDocument/2006/relationships/hyperlink" Target="http://secrets.rutgers.edu:8080/data/asl-ftp/asllvd/demos/verify_start_end_handshape_annotations//test_auto_move//signs_mov_separ_signers/Liz_16159.mov" TargetMode="External"/><Relationship Id="rId23133" Type="http://schemas.openxmlformats.org/officeDocument/2006/relationships/hyperlink" Target="http://csr.bu.edu/ftp/asl/asllvd/demos/verify_start_end_handshape_annotations//test_auto_move//signs_mov/16159.mov" TargetMode="External"/><Relationship Id="rId23134" Type="http://schemas.openxmlformats.org/officeDocument/2006/relationships/hyperlink" Target="http://csr.bu.edu/ftp/asl/asllvd/demos/verify_start_end_handshape_annotations//test_auto_move//signs_mov_separ_signers/Tyler_16159.mov" TargetMode="External"/><Relationship Id="rId23135" Type="http://schemas.openxmlformats.org/officeDocument/2006/relationships/hyperlink" Target="http://secrets.rutgers.edu:8080/data/asl-ftp/asllvd/demos/verify_start_end_handshape_annotations//test_auto_move//signs_mov/16159.mov" TargetMode="External"/><Relationship Id="rId23136" Type="http://schemas.openxmlformats.org/officeDocument/2006/relationships/hyperlink" Target="http://secrets.rutgers.edu:8080/data/asl-ftp/asllvd/demos/verify_start_end_handshape_annotations//test_auto_move//signs_mov_separ_signers/Tyler_16159.mov" TargetMode="External"/><Relationship Id="rId23137" Type="http://schemas.openxmlformats.org/officeDocument/2006/relationships/hyperlink" Target="http://csr.bu.edu/ftp/asl/asllvd/demos/verify_start_end_handshape_annotations//test_auto_move//signs_mov_separ_signers/Naomi_16159.mov" TargetMode="External"/><Relationship Id="rId23138" Type="http://schemas.openxmlformats.org/officeDocument/2006/relationships/hyperlink" Target="http://secrets.rutgers.edu:8080/data/asl-ftp/asllvd/demos/verify_start_end_handshape_annotations//test_auto_move//signs_mov_separ_signers/Naomi_16159.mov" TargetMode="External"/><Relationship Id="rId23139" Type="http://schemas.openxmlformats.org/officeDocument/2006/relationships/hyperlink" Target="http://csr.bu.edu/ftp/asl/asllvd/demos/verify_start_end_handshape_annotations//test_auto_move//signs_mov_separ_signers/Brady_16159.mov" TargetMode="External"/><Relationship Id="rId23140" Type="http://schemas.openxmlformats.org/officeDocument/2006/relationships/hyperlink" Target="http://secrets.rutgers.edu:8080/data/asl-ftp/asllvd/demos/verify_start_end_handshape_annotations//test_auto_move//signs_mov_separ_signers/Brady_16159.mov" TargetMode="External"/><Relationship Id="rId23141" Type="http://schemas.openxmlformats.org/officeDocument/2006/relationships/hyperlink" Target="http://csr.bu.edu/ftp/asl/asllvd/demos/verify_start_end_handshape_annotations//test_auto_move//signs_mov_separ_signers/Liz_16174.mov" TargetMode="External"/><Relationship Id="rId23142" Type="http://schemas.openxmlformats.org/officeDocument/2006/relationships/hyperlink" Target="http://secrets.rutgers.edu:8080/data/asl-ftp/asllvd/demos/verify_start_end_handshape_annotations//test_auto_move//signs_mov_separ_signers/Liz_16174.mov" TargetMode="External"/><Relationship Id="rId23143" Type="http://schemas.openxmlformats.org/officeDocument/2006/relationships/hyperlink" Target="http://csr.bu.edu/ftp/asl/asllvd/demos/verify_start_end_handshape_annotations//test_auto_move//signs_mov/16174_16494_merged.mov" TargetMode="External"/><Relationship Id="rId23144" Type="http://schemas.openxmlformats.org/officeDocument/2006/relationships/hyperlink" Target="http://csr.bu.edu/ftp/asl/asllvd/demos/verify_start_end_handshape_annotations//test_auto_move//signs_mov_separ_signers/Liz_16494.mov" TargetMode="External"/><Relationship Id="rId23145" Type="http://schemas.openxmlformats.org/officeDocument/2006/relationships/hyperlink" Target="http://secrets.rutgers.edu:8080/data/asl-ftp/asllvd/demos/verify_start_end_handshape_annotations//test_auto_move//signs_mov/16174_16494_merged.mov" TargetMode="External"/><Relationship Id="rId23146" Type="http://schemas.openxmlformats.org/officeDocument/2006/relationships/hyperlink" Target="http://secrets.rutgers.edu:8080/data/asl-ftp/asllvd/demos/verify_start_end_handshape_annotations//test_auto_move//signs_mov_separ_signers/Liz_16494.mov" TargetMode="External"/><Relationship Id="rId23147" Type="http://schemas.openxmlformats.org/officeDocument/2006/relationships/hyperlink" Target="http://csr.bu.edu/ftp/asl/asllvd/demos/verify_start_end_handshape_annotations//test_auto_move//signs_mov_separ_signers/Brady_16174.mov" TargetMode="External"/><Relationship Id="rId23148" Type="http://schemas.openxmlformats.org/officeDocument/2006/relationships/hyperlink" Target="http://secrets.rutgers.edu:8080/data/asl-ftp/asllvd/demos/verify_start_end_handshape_annotations//test_auto_move//signs_mov_separ_signers/Brady_16174.mov" TargetMode="External"/><Relationship Id="rId23149" Type="http://schemas.openxmlformats.org/officeDocument/2006/relationships/hyperlink" Target="http://csr.bu.edu/ftp/asl/asllvd/demos/verify_start_end_handshape_annotations//test_auto_move//signs_mov_separ_signers/Brady_16494.mov" TargetMode="External"/><Relationship Id="rId23150" Type="http://schemas.openxmlformats.org/officeDocument/2006/relationships/hyperlink" Target="http://secrets.rutgers.edu:8080/data/asl-ftp/asllvd/demos/verify_start_end_handshape_annotations//test_auto_move//signs_mov_separ_signers/Brady_16494.mov" TargetMode="External"/><Relationship Id="rId23151" Type="http://schemas.openxmlformats.org/officeDocument/2006/relationships/hyperlink" Target="http://csr.bu.edu/ftp/asl/asllvd/demos/verify_start_end_handshape_annotations//test_auto_move//signs_mov_separ_signers/Liz_8663.mov" TargetMode="External"/><Relationship Id="rId23152" Type="http://schemas.openxmlformats.org/officeDocument/2006/relationships/hyperlink" Target="http://secrets.rutgers.edu:8080/data/asl-ftp/asllvd/demos/verify_start_end_handshape_annotations//test_auto_move//signs_mov_separ_signers/Liz_8663.mov" TargetMode="External"/><Relationship Id="rId23153" Type="http://schemas.openxmlformats.org/officeDocument/2006/relationships/hyperlink" Target="http://csr.bu.edu/ftp/asl/asllvd/demos/verify_start_end_handshape_annotations//test_auto_move//signs_mov/5490_8663_merged.mov" TargetMode="External"/><Relationship Id="rId23154" Type="http://schemas.openxmlformats.org/officeDocument/2006/relationships/hyperlink" Target="http://csr.bu.edu/ftp/asl/asllvd/demos/verify_start_end_handshape_annotations//test_auto_move//signs_mov_separ_signers/Liz_5490.mov" TargetMode="External"/><Relationship Id="rId23155" Type="http://schemas.openxmlformats.org/officeDocument/2006/relationships/hyperlink" Target="http://secrets.rutgers.edu:8080/data/asl-ftp/asllvd/demos/verify_start_end_handshape_annotations//test_auto_move//signs_mov/5490_8663_merged.mov" TargetMode="External"/><Relationship Id="rId23156" Type="http://schemas.openxmlformats.org/officeDocument/2006/relationships/hyperlink" Target="http://secrets.rutgers.edu:8080/data/asl-ftp/asllvd/demos/verify_start_end_handshape_annotations//test_auto_move//signs_mov_separ_signers/Liz_5490.mov" TargetMode="External"/><Relationship Id="rId23157" Type="http://schemas.openxmlformats.org/officeDocument/2006/relationships/hyperlink" Target="http://csr.bu.edu/ftp/asl/asllvd/demos/verify_start_end_handshape_annotations//test_auto_move//signs_mov_separ_signers/Brady_8663.mov" TargetMode="External"/><Relationship Id="rId23158" Type="http://schemas.openxmlformats.org/officeDocument/2006/relationships/hyperlink" Target="http://secrets.rutgers.edu:8080/data/asl-ftp/asllvd/demos/verify_start_end_handshape_annotations//test_auto_move//signs_mov_separ_signers/Brady_8663.mov" TargetMode="External"/><Relationship Id="rId23159" Type="http://schemas.openxmlformats.org/officeDocument/2006/relationships/hyperlink" Target="http://csr.bu.edu/ftp/asl/asllvd/demos/verify_start_end_handshape_annotations//test_auto_move//signs_mov_separ_signers/Brady_5490.mov" TargetMode="External"/><Relationship Id="rId23160" Type="http://schemas.openxmlformats.org/officeDocument/2006/relationships/hyperlink" Target="http://secrets.rutgers.edu:8080/data/asl-ftp/asllvd/demos/verify_start_end_handshape_annotations//test_auto_move//signs_mov_separ_signers/Brady_5490.mov" TargetMode="External"/><Relationship Id="rId23161" Type="http://schemas.openxmlformats.org/officeDocument/2006/relationships/hyperlink" Target="http://csr.bu.edu/ftp/asl/asllvd/demos/verify_start_end_handshape_annotations//test_auto_move//signs_mov_separ_signers/Liz_8682.mov" TargetMode="External"/><Relationship Id="rId23162" Type="http://schemas.openxmlformats.org/officeDocument/2006/relationships/hyperlink" Target="http://secrets.rutgers.edu:8080/data/asl-ftp/asllvd/demos/verify_start_end_handshape_annotations//test_auto_move//signs_mov_separ_signers/Liz_8682.mov" TargetMode="External"/><Relationship Id="rId23163" Type="http://schemas.openxmlformats.org/officeDocument/2006/relationships/hyperlink" Target="http://csr.bu.edu/ftp/asl/asllvd/demos/verify_start_end_handshape_annotations//test_auto_move//signs_mov_separ_signers/Liz_5498.mov" TargetMode="External"/><Relationship Id="rId23164" Type="http://schemas.openxmlformats.org/officeDocument/2006/relationships/hyperlink" Target="http://secrets.rutgers.edu:8080/data/asl-ftp/asllvd/demos/verify_start_end_handshape_annotations//test_auto_move//signs_mov_separ_signers/Liz_5498.mov" TargetMode="External"/><Relationship Id="rId23165" Type="http://schemas.openxmlformats.org/officeDocument/2006/relationships/hyperlink" Target="http://csr.bu.edu/ftp/asl/asllvd/demos/verify_start_end_handshape_annotations//test_auto_move//signs_mov_separ_signers/Tyler_8682.mov" TargetMode="External"/><Relationship Id="rId23166" Type="http://schemas.openxmlformats.org/officeDocument/2006/relationships/hyperlink" Target="http://secrets.rutgers.edu:8080/data/asl-ftp/asllvd/demos/verify_start_end_handshape_annotations//test_auto_move//signs_mov_separ_signers/Tyler_8682.mov" TargetMode="External"/><Relationship Id="rId23167" Type="http://schemas.openxmlformats.org/officeDocument/2006/relationships/hyperlink" Target="http://csr.bu.edu/ftp/asl/asllvd/demos/verify_start_end_handshape_annotations//test_auto_move//signs_mov_separ_signers/Tyler_5498.mov" TargetMode="External"/><Relationship Id="rId23168" Type="http://schemas.openxmlformats.org/officeDocument/2006/relationships/hyperlink" Target="http://secrets.rutgers.edu:8080/data/asl-ftp/asllvd/demos/verify_start_end_handshape_annotations//test_auto_move//signs_mov_separ_signers/Tyler_5498.mov" TargetMode="External"/><Relationship Id="rId23169" Type="http://schemas.openxmlformats.org/officeDocument/2006/relationships/hyperlink" Target="http://csr.bu.edu/ftp/asl/asllvd/demos/verify_start_end_handshape_annotations//test_auto_move//signs_mov_separ_signers/Naomi_8682.mov" TargetMode="External"/><Relationship Id="rId23170" Type="http://schemas.openxmlformats.org/officeDocument/2006/relationships/hyperlink" Target="http://secrets.rutgers.edu:8080/data/asl-ftp/asllvd/demos/verify_start_end_handshape_annotations//test_auto_move//signs_mov_separ_signers/Naomi_8682.mov" TargetMode="External"/><Relationship Id="rId23171" Type="http://schemas.openxmlformats.org/officeDocument/2006/relationships/hyperlink" Target="http://csr.bu.edu/ftp/asl/asllvd/demos/verify_start_end_handshape_annotations//test_auto_move//signs_mov/5498_5518_8682_merged.mov" TargetMode="External"/><Relationship Id="rId23172" Type="http://schemas.openxmlformats.org/officeDocument/2006/relationships/hyperlink" Target="http://csr.bu.edu/ftp/asl/asllvd/demos/verify_start_end_handshape_annotations//test_auto_move//signs_mov_separ_signers/Naomi_5498.mov" TargetMode="External"/><Relationship Id="rId23173" Type="http://schemas.openxmlformats.org/officeDocument/2006/relationships/hyperlink" Target="http://secrets.rutgers.edu:8080/data/asl-ftp/asllvd/demos/verify_start_end_handshape_annotations//test_auto_move//signs_mov/5498_5518_8682_merged.mov" TargetMode="External"/><Relationship Id="rId23174" Type="http://schemas.openxmlformats.org/officeDocument/2006/relationships/hyperlink" Target="http://secrets.rutgers.edu:8080/data/asl-ftp/asllvd/demos/verify_start_end_handshape_annotations//test_auto_move//signs_mov_separ_signers/Naomi_5498.mov" TargetMode="External"/><Relationship Id="rId23175" Type="http://schemas.openxmlformats.org/officeDocument/2006/relationships/hyperlink" Target="http://csr.bu.edu/ftp/asl/asllvd/demos/verify_start_end_handshape_annotations//test_auto_move//signs_mov_separ_signers/Brady_8682.mov" TargetMode="External"/><Relationship Id="rId23176" Type="http://schemas.openxmlformats.org/officeDocument/2006/relationships/hyperlink" Target="http://secrets.rutgers.edu:8080/data/asl-ftp/asllvd/demos/verify_start_end_handshape_annotations//test_auto_move//signs_mov_separ_signers/Brady_8682.mov" TargetMode="External"/><Relationship Id="rId23177" Type="http://schemas.openxmlformats.org/officeDocument/2006/relationships/hyperlink" Target="http://csr.bu.edu/ftp/asl/asllvd/demos/verify_start_end_handshape_annotations//test_auto_move//signs_mov_separ_signers/Brady_5498.mov" TargetMode="External"/><Relationship Id="rId23178" Type="http://schemas.openxmlformats.org/officeDocument/2006/relationships/hyperlink" Target="http://secrets.rutgers.edu:8080/data/asl-ftp/asllvd/demos/verify_start_end_handshape_annotations//test_auto_move//signs_mov_separ_signers/Brady_5498.mov" TargetMode="External"/><Relationship Id="rId23179" Type="http://schemas.openxmlformats.org/officeDocument/2006/relationships/hyperlink" Target="http://csr.bu.edu/ftp/asl/asllvd/demos/verify_start_end_handshape_annotations//test_auto_move//signs_mov_separ_signers/Brady_5518.mov" TargetMode="External"/><Relationship Id="rId23180" Type="http://schemas.openxmlformats.org/officeDocument/2006/relationships/hyperlink" Target="http://secrets.rutgers.edu:8080/data/asl-ftp/asllvd/demos/verify_start_end_handshape_annotations//test_auto_move//signs_mov_separ_signers/Brady_5518.mov" TargetMode="External"/><Relationship Id="rId23181" Type="http://schemas.openxmlformats.org/officeDocument/2006/relationships/hyperlink" Target="http://csr.bu.edu/ftp/asl/asllvd/demos/verify_start_end_handshape_annotations//test_auto_move//signs_mov_separ_signers/Lana_8682.mov" TargetMode="External"/><Relationship Id="rId23182" Type="http://schemas.openxmlformats.org/officeDocument/2006/relationships/hyperlink" Target="http://secrets.rutgers.edu:8080/data/asl-ftp/asllvd/demos/verify_start_end_handshape_annotations//test_auto_move//signs_mov_separ_signers/Lana_8682.mov" TargetMode="External"/><Relationship Id="rId23183" Type="http://schemas.openxmlformats.org/officeDocument/2006/relationships/hyperlink" Target="http://csr.bu.edu/ftp/asl/asllvd/demos/verify_start_end_handshape_annotations//test_auto_move//signs_mov_separ_signers/Dana_8682.mov" TargetMode="External"/><Relationship Id="rId23184" Type="http://schemas.openxmlformats.org/officeDocument/2006/relationships/hyperlink" Target="http://secrets.rutgers.edu:8080/data/asl-ftp/asllvd/demos/verify_start_end_handshape_annotations//test_auto_move//signs_mov_separ_signers/Dana_8682.mov" TargetMode="External"/><Relationship Id="rId23185" Type="http://schemas.openxmlformats.org/officeDocument/2006/relationships/hyperlink" Target="http://csr.bu.edu/ftp/asl/asllvd/demos/verify_start_end_handshape_annotations//test_auto_move//signs_mov_separ_signers/Liz_8683.mov" TargetMode="External"/><Relationship Id="rId23186" Type="http://schemas.openxmlformats.org/officeDocument/2006/relationships/hyperlink" Target="http://secrets.rutgers.edu:8080/data/asl-ftp/asllvd/demos/verify_start_end_handshape_annotations//test_auto_move//signs_mov_separ_signers/Liz_8683.mov" TargetMode="External"/><Relationship Id="rId23187" Type="http://schemas.openxmlformats.org/officeDocument/2006/relationships/hyperlink" Target="http://csr.bu.edu/ftp/asl/asllvd/demos/verify_start_end_handshape_annotations//test_auto_move//signs_mov/5499_8683_merged.mov" TargetMode="External"/><Relationship Id="rId23188" Type="http://schemas.openxmlformats.org/officeDocument/2006/relationships/hyperlink" Target="http://csr.bu.edu/ftp/asl/asllvd/demos/verify_start_end_handshape_annotations//test_auto_move//signs_mov_separ_signers/Liz_5499.mov" TargetMode="External"/><Relationship Id="rId23189" Type="http://schemas.openxmlformats.org/officeDocument/2006/relationships/hyperlink" Target="http://secrets.rutgers.edu:8080/data/asl-ftp/asllvd/demos/verify_start_end_handshape_annotations//test_auto_move//signs_mov/5499_8683_merged.mov" TargetMode="External"/><Relationship Id="rId23190" Type="http://schemas.openxmlformats.org/officeDocument/2006/relationships/hyperlink" Target="http://secrets.rutgers.edu:8080/data/asl-ftp/asllvd/demos/verify_start_end_handshape_annotations//test_auto_move//signs_mov_separ_signers/Liz_5499.mov" TargetMode="External"/><Relationship Id="rId23191" Type="http://schemas.openxmlformats.org/officeDocument/2006/relationships/hyperlink" Target="http://csr.bu.edu/ftp/asl/asllvd/demos/verify_start_end_handshape_annotations//test_auto_move//signs_mov_separ_signers/Brady_8683.mov" TargetMode="External"/><Relationship Id="rId23192" Type="http://schemas.openxmlformats.org/officeDocument/2006/relationships/hyperlink" Target="http://secrets.rutgers.edu:8080/data/asl-ftp/asllvd/demos/verify_start_end_handshape_annotations//test_auto_move//signs_mov_separ_signers/Brady_8683.mov" TargetMode="External"/><Relationship Id="rId23193" Type="http://schemas.openxmlformats.org/officeDocument/2006/relationships/hyperlink" Target="http://csr.bu.edu/ftp/asl/asllvd/demos/verify_start_end_handshape_annotations//test_auto_move//signs_mov/8696.mov" TargetMode="External"/><Relationship Id="rId23194" Type="http://schemas.openxmlformats.org/officeDocument/2006/relationships/hyperlink" Target="http://csr.bu.edu/ftp/asl/asllvd/demos/verify_start_end_handshape_annotations//test_auto_move//signs_mov_separ_signers/Liz_8696.mov" TargetMode="External"/><Relationship Id="rId23195" Type="http://schemas.openxmlformats.org/officeDocument/2006/relationships/hyperlink" Target="http://secrets.rutgers.edu:8080/data/asl-ftp/asllvd/demos/verify_start_end_handshape_annotations//test_auto_move//signs_mov/8696.mov" TargetMode="External"/><Relationship Id="rId23196" Type="http://schemas.openxmlformats.org/officeDocument/2006/relationships/hyperlink" Target="http://secrets.rutgers.edu:8080/data/asl-ftp/asllvd/demos/verify_start_end_handshape_annotations//test_auto_move//signs_mov_separ_signers/Liz_8696.mov" TargetMode="External"/><Relationship Id="rId23197" Type="http://schemas.openxmlformats.org/officeDocument/2006/relationships/hyperlink" Target="http://csr.bu.edu/ftp/asl/asllvd/demos/verify_start_end_handshape_annotations//test_auto_move//signs_mov_separ_signers/Brady_8696.mov" TargetMode="External"/><Relationship Id="rId23198" Type="http://schemas.openxmlformats.org/officeDocument/2006/relationships/hyperlink" Target="http://secrets.rutgers.edu:8080/data/asl-ftp/asllvd/demos/verify_start_end_handshape_annotations//test_auto_move//signs_mov_separ_signers/Brady_8696.mov" TargetMode="External"/><Relationship Id="rId23199" Type="http://schemas.openxmlformats.org/officeDocument/2006/relationships/hyperlink" Target="http://csr.bu.edu/ftp/asl/asllvd/demos/verify_start_end_handshape_annotations//test_auto_move//signs_mov/5691.mov" TargetMode="External"/><Relationship Id="rId23200" Type="http://schemas.openxmlformats.org/officeDocument/2006/relationships/hyperlink" Target="http://csr.bu.edu/ftp/asl/asllvd/demos/verify_start_end_handshape_annotations//test_auto_move//signs_mov_separ_signers/Liz_5691.mov" TargetMode="External"/><Relationship Id="rId23201" Type="http://schemas.openxmlformats.org/officeDocument/2006/relationships/hyperlink" Target="http://secrets.rutgers.edu:8080/data/asl-ftp/asllvd/demos/verify_start_end_handshape_annotations//test_auto_move//signs_mov/5691.mov" TargetMode="External"/><Relationship Id="rId23202" Type="http://schemas.openxmlformats.org/officeDocument/2006/relationships/hyperlink" Target="http://secrets.rutgers.edu:8080/data/asl-ftp/asllvd/demos/verify_start_end_handshape_annotations//test_auto_move//signs_mov_separ_signers/Liz_5691.mov" TargetMode="External"/><Relationship Id="rId23203" Type="http://schemas.openxmlformats.org/officeDocument/2006/relationships/hyperlink" Target="http://csr.bu.edu/ftp/asl/asllvd/demos/verify_start_end_handshape_annotations//test_auto_move//signs_mov_separ_signers/Brady_5691.mov" TargetMode="External"/><Relationship Id="rId23204" Type="http://schemas.openxmlformats.org/officeDocument/2006/relationships/hyperlink" Target="http://secrets.rutgers.edu:8080/data/asl-ftp/asllvd/demos/verify_start_end_handshape_annotations//test_auto_move//signs_mov_separ_signers/Brady_5691.mov" TargetMode="External"/><Relationship Id="rId23205" Type="http://schemas.openxmlformats.org/officeDocument/2006/relationships/hyperlink" Target="http://csr.bu.edu/ftp/asl/asllvd/demos/verify_start_end_handshape_annotations//test_auto_move//signs_mov/8701.mov" TargetMode="External"/><Relationship Id="rId23206" Type="http://schemas.openxmlformats.org/officeDocument/2006/relationships/hyperlink" Target="http://csr.bu.edu/ftp/asl/asllvd/demos/verify_start_end_handshape_annotations//test_auto_move//signs_mov_separ_signers/Liz_8701.mov" TargetMode="External"/><Relationship Id="rId23207" Type="http://schemas.openxmlformats.org/officeDocument/2006/relationships/hyperlink" Target="http://secrets.rutgers.edu:8080/data/asl-ftp/asllvd/demos/verify_start_end_handshape_annotations//test_auto_move//signs_mov/8701.mov" TargetMode="External"/><Relationship Id="rId23208" Type="http://schemas.openxmlformats.org/officeDocument/2006/relationships/hyperlink" Target="http://secrets.rutgers.edu:8080/data/asl-ftp/asllvd/demos/verify_start_end_handshape_annotations//test_auto_move//signs_mov_separ_signers/Liz_8701.mov" TargetMode="External"/><Relationship Id="rId23209" Type="http://schemas.openxmlformats.org/officeDocument/2006/relationships/hyperlink" Target="http://csr.bu.edu/ftp/asl/asllvd/demos/verify_start_end_handshape_annotations//test_auto_move//signs_mov_separ_signers/Brady_8701.mov" TargetMode="External"/><Relationship Id="rId23210" Type="http://schemas.openxmlformats.org/officeDocument/2006/relationships/hyperlink" Target="http://secrets.rutgers.edu:8080/data/asl-ftp/asllvd/demos/verify_start_end_handshape_annotations//test_auto_move//signs_mov_separ_signers/Brady_8701.mov" TargetMode="External"/><Relationship Id="rId23211" Type="http://schemas.openxmlformats.org/officeDocument/2006/relationships/hyperlink" Target="http://csr.bu.edu/ftp/asl/asllvd/demos/verify_start_end_handshape_annotations//test_auto_move//signs_mov/5507.mov" TargetMode="External"/><Relationship Id="rId23212" Type="http://schemas.openxmlformats.org/officeDocument/2006/relationships/hyperlink" Target="http://csr.bu.edu/ftp/asl/asllvd/demos/verify_start_end_handshape_annotations//test_auto_move//signs_mov_separ_signers/Liz_5507.mov" TargetMode="External"/><Relationship Id="rId23213" Type="http://schemas.openxmlformats.org/officeDocument/2006/relationships/hyperlink" Target="http://secrets.rutgers.edu:8080/data/asl-ftp/asllvd/demos/verify_start_end_handshape_annotations//test_auto_move//signs_mov/5507.mov" TargetMode="External"/><Relationship Id="rId23214" Type="http://schemas.openxmlformats.org/officeDocument/2006/relationships/hyperlink" Target="http://secrets.rutgers.edu:8080/data/asl-ftp/asllvd/demos/verify_start_end_handshape_annotations//test_auto_move//signs_mov_separ_signers/Liz_5507.mov" TargetMode="External"/><Relationship Id="rId23215" Type="http://schemas.openxmlformats.org/officeDocument/2006/relationships/hyperlink" Target="http://csr.bu.edu/ftp/asl/asllvd/demos/verify_start_end_handshape_annotations//test_auto_move//signs_mov_separ_signers/Brady_5507.mov" TargetMode="External"/><Relationship Id="rId23216" Type="http://schemas.openxmlformats.org/officeDocument/2006/relationships/hyperlink" Target="http://secrets.rutgers.edu:8080/data/asl-ftp/asllvd/demos/verify_start_end_handshape_annotations//test_auto_move//signs_mov_separ_signers/Brady_5507.mov" TargetMode="External"/><Relationship Id="rId23217" Type="http://schemas.openxmlformats.org/officeDocument/2006/relationships/hyperlink" Target="http://csr.bu.edu/ftp/asl/asllvd/demos/verify_start_end_handshape_annotations//test_auto_move//signs_mov/16495.mov" TargetMode="External"/><Relationship Id="rId23218" Type="http://schemas.openxmlformats.org/officeDocument/2006/relationships/hyperlink" Target="http://csr.bu.edu/ftp/asl/asllvd/demos/verify_start_end_handshape_annotations//test_auto_move//signs_mov_separ_signers/Tyler_16495.mov" TargetMode="External"/><Relationship Id="rId23219" Type="http://schemas.openxmlformats.org/officeDocument/2006/relationships/hyperlink" Target="http://secrets.rutgers.edu:8080/data/asl-ftp/asllvd/demos/verify_start_end_handshape_annotations//test_auto_move//signs_mov/16495.mov" TargetMode="External"/><Relationship Id="rId23220" Type="http://schemas.openxmlformats.org/officeDocument/2006/relationships/hyperlink" Target="http://secrets.rutgers.edu:8080/data/asl-ftp/asllvd/demos/verify_start_end_handshape_annotations//test_auto_move//signs_mov_separ_signers/Tyler_16495.mov" TargetMode="External"/><Relationship Id="rId23221" Type="http://schemas.openxmlformats.org/officeDocument/2006/relationships/hyperlink" Target="http://csr.bu.edu/ftp/asl/asllvd/demos/verify_start_end_handshape_annotations//test_auto_move//signs_mov/8703.mov" TargetMode="External"/><Relationship Id="rId23222" Type="http://schemas.openxmlformats.org/officeDocument/2006/relationships/hyperlink" Target="http://csr.bu.edu/ftp/asl/asllvd/demos/verify_start_end_handshape_annotations//test_auto_move//signs_mov_separ_signers/Brady_8703.mov" TargetMode="External"/><Relationship Id="rId23223" Type="http://schemas.openxmlformats.org/officeDocument/2006/relationships/hyperlink" Target="http://secrets.rutgers.edu:8080/data/asl-ftp/asllvd/demos/verify_start_end_handshape_annotations//test_auto_move//signs_mov/8703.mov" TargetMode="External"/><Relationship Id="rId23224" Type="http://schemas.openxmlformats.org/officeDocument/2006/relationships/hyperlink" Target="http://secrets.rutgers.edu:8080/data/asl-ftp/asllvd/demos/verify_start_end_handshape_annotations//test_auto_move//signs_mov_separ_signers/Brady_8703.mov" TargetMode="External"/><Relationship Id="rId23225" Type="http://schemas.openxmlformats.org/officeDocument/2006/relationships/hyperlink" Target="http://csr.bu.edu/ftp/asl/asllvd/demos/verify_start_end_handshape_annotations//test_auto_move//signs_mov/5891.mov" TargetMode="External"/><Relationship Id="rId23226" Type="http://schemas.openxmlformats.org/officeDocument/2006/relationships/hyperlink" Target="http://csr.bu.edu/ftp/asl/asllvd/demos/verify_start_end_handshape_annotations//test_auto_move//signs_mov_separ_signers/Liz_5891.mov" TargetMode="External"/><Relationship Id="rId23227" Type="http://schemas.openxmlformats.org/officeDocument/2006/relationships/hyperlink" Target="http://secrets.rutgers.edu:8080/data/asl-ftp/asllvd/demos/verify_start_end_handshape_annotations//test_auto_move//signs_mov/5891.mov" TargetMode="External"/><Relationship Id="rId23228" Type="http://schemas.openxmlformats.org/officeDocument/2006/relationships/hyperlink" Target="http://secrets.rutgers.edu:8080/data/asl-ftp/asllvd/demos/verify_start_end_handshape_annotations//test_auto_move//signs_mov_separ_signers/Liz_5891.mov" TargetMode="External"/><Relationship Id="rId23229" Type="http://schemas.openxmlformats.org/officeDocument/2006/relationships/hyperlink" Target="http://csr.bu.edu/ftp/asl/asllvd/demos/verify_start_end_handshape_annotations//test_auto_move//signs_mov_separ_signers/Liz_8715.mov" TargetMode="External"/><Relationship Id="rId23230" Type="http://schemas.openxmlformats.org/officeDocument/2006/relationships/hyperlink" Target="http://secrets.rutgers.edu:8080/data/asl-ftp/asllvd/demos/verify_start_end_handshape_annotations//test_auto_move//signs_mov_separ_signers/Liz_8715.mov" TargetMode="External"/><Relationship Id="rId23231" Type="http://schemas.openxmlformats.org/officeDocument/2006/relationships/hyperlink" Target="http://csr.bu.edu/ftp/asl/asllvd/demos/verify_start_end_handshape_annotations//test_auto_move//signs_mov_separ_signers/Tyler_8715.mov" TargetMode="External"/><Relationship Id="rId23232" Type="http://schemas.openxmlformats.org/officeDocument/2006/relationships/hyperlink" Target="http://secrets.rutgers.edu:8080/data/asl-ftp/asllvd/demos/verify_start_end_handshape_annotations//test_auto_move//signs_mov_separ_signers/Tyler_8715.mov" TargetMode="External"/><Relationship Id="rId23233" Type="http://schemas.openxmlformats.org/officeDocument/2006/relationships/hyperlink" Target="http://csr.bu.edu/ftp/asl/asllvd/demos/verify_start_end_handshape_annotations//test_auto_move//signs_mov/5486_8715_merged.mov" TargetMode="External"/><Relationship Id="rId23234" Type="http://schemas.openxmlformats.org/officeDocument/2006/relationships/hyperlink" Target="http://csr.bu.edu/ftp/asl/asllvd/demos/verify_start_end_handshape_annotations//test_auto_move//signs_mov_separ_signers/Naomi_8715.mov" TargetMode="External"/><Relationship Id="rId23235" Type="http://schemas.openxmlformats.org/officeDocument/2006/relationships/hyperlink" Target="http://secrets.rutgers.edu:8080/data/asl-ftp/asllvd/demos/verify_start_end_handshape_annotations//test_auto_move//signs_mov/5486_8715_merged.mov" TargetMode="External"/><Relationship Id="rId23236" Type="http://schemas.openxmlformats.org/officeDocument/2006/relationships/hyperlink" Target="http://secrets.rutgers.edu:8080/data/asl-ftp/asllvd/demos/verify_start_end_handshape_annotations//test_auto_move//signs_mov_separ_signers/Naomi_8715.mov" TargetMode="External"/><Relationship Id="rId23237" Type="http://schemas.openxmlformats.org/officeDocument/2006/relationships/hyperlink" Target="http://csr.bu.edu/ftp/asl/asllvd/demos/verify_start_end_handshape_annotations//test_auto_move//signs_mov_separ_signers/Brady_8715.mov" TargetMode="External"/><Relationship Id="rId23238" Type="http://schemas.openxmlformats.org/officeDocument/2006/relationships/hyperlink" Target="http://secrets.rutgers.edu:8080/data/asl-ftp/asllvd/demos/verify_start_end_handshape_annotations//test_auto_move//signs_mov_separ_signers/Brady_8715.mov" TargetMode="External"/><Relationship Id="rId23239" Type="http://schemas.openxmlformats.org/officeDocument/2006/relationships/hyperlink" Target="http://csr.bu.edu/ftp/asl/asllvd/demos/verify_start_end_handshape_annotations//test_auto_move//signs_mov_separ_signers/Brady_5486.mov" TargetMode="External"/><Relationship Id="rId23240" Type="http://schemas.openxmlformats.org/officeDocument/2006/relationships/hyperlink" Target="http://secrets.rutgers.edu:8080/data/asl-ftp/asllvd/demos/verify_start_end_handshape_annotations//test_auto_move//signs_mov_separ_signers/Brady_5486.mov" TargetMode="External"/><Relationship Id="rId23241" Type="http://schemas.openxmlformats.org/officeDocument/2006/relationships/hyperlink" Target="http://csr.bu.edu/ftp/asl/asllvd/demos/verify_start_end_handshape_annotations//test_auto_move//signs_mov/5554.mov" TargetMode="External"/><Relationship Id="rId23242" Type="http://schemas.openxmlformats.org/officeDocument/2006/relationships/hyperlink" Target="http://csr.bu.edu/ftp/asl/asllvd/demos/verify_start_end_handshape_annotations//test_auto_move//signs_mov_separ_signers/Liz_5554.mov" TargetMode="External"/><Relationship Id="rId23243" Type="http://schemas.openxmlformats.org/officeDocument/2006/relationships/hyperlink" Target="http://secrets.rutgers.edu:8080/data/asl-ftp/asllvd/demos/verify_start_end_handshape_annotations//test_auto_move//signs_mov/5554.mov" TargetMode="External"/><Relationship Id="rId23244" Type="http://schemas.openxmlformats.org/officeDocument/2006/relationships/hyperlink" Target="http://secrets.rutgers.edu:8080/data/asl-ftp/asllvd/demos/verify_start_end_handshape_annotations//test_auto_move//signs_mov_separ_signers/Liz_5554.mov" TargetMode="External"/><Relationship Id="rId23245" Type="http://schemas.openxmlformats.org/officeDocument/2006/relationships/hyperlink" Target="http://csr.bu.edu/ftp/asl/asllvd/demos/verify_start_end_handshape_annotations//test_auto_move//signs_mov/8717.mov" TargetMode="External"/><Relationship Id="rId23246" Type="http://schemas.openxmlformats.org/officeDocument/2006/relationships/hyperlink" Target="http://csr.bu.edu/ftp/asl/asllvd/demos/verify_start_end_handshape_annotations//test_auto_move//signs_mov_separ_signers/Liz_8717.mov" TargetMode="External"/><Relationship Id="rId23247" Type="http://schemas.openxmlformats.org/officeDocument/2006/relationships/hyperlink" Target="http://secrets.rutgers.edu:8080/data/asl-ftp/asllvd/demos/verify_start_end_handshape_annotations//test_auto_move//signs_mov/8717.mov" TargetMode="External"/><Relationship Id="rId23248" Type="http://schemas.openxmlformats.org/officeDocument/2006/relationships/hyperlink" Target="http://secrets.rutgers.edu:8080/data/asl-ftp/asllvd/demos/verify_start_end_handshape_annotations//test_auto_move//signs_mov_separ_signers/Liz_8717.mov" TargetMode="External"/><Relationship Id="rId23249" Type="http://schemas.openxmlformats.org/officeDocument/2006/relationships/hyperlink" Target="http://csr.bu.edu/ftp/asl/asllvd/demos/verify_start_end_handshape_annotations//test_auto_move//signs_mov_separ_signers/Brady_8717.mov" TargetMode="External"/><Relationship Id="rId23250" Type="http://schemas.openxmlformats.org/officeDocument/2006/relationships/hyperlink" Target="http://secrets.rutgers.edu:8080/data/asl-ftp/asllvd/demos/verify_start_end_handshape_annotations//test_auto_move//signs_mov_separ_signers/Brady_8717.mov" TargetMode="External"/><Relationship Id="rId23251" Type="http://schemas.openxmlformats.org/officeDocument/2006/relationships/hyperlink" Target="http://csr.bu.edu/ftp/asl/asllvd/demos/verify_start_end_handshape_annotations//test_auto_move//signs_mov/5504.mov" TargetMode="External"/><Relationship Id="rId23252" Type="http://schemas.openxmlformats.org/officeDocument/2006/relationships/hyperlink" Target="http://csr.bu.edu/ftp/asl/asllvd/demos/verify_start_end_handshape_annotations//test_auto_move//signs_mov_separ_signers/Liz_5504.mov" TargetMode="External"/><Relationship Id="rId23253" Type="http://schemas.openxmlformats.org/officeDocument/2006/relationships/hyperlink" Target="http://secrets.rutgers.edu:8080/data/asl-ftp/asllvd/demos/verify_start_end_handshape_annotations//test_auto_move//signs_mov/5504.mov" TargetMode="External"/><Relationship Id="rId23254" Type="http://schemas.openxmlformats.org/officeDocument/2006/relationships/hyperlink" Target="http://secrets.rutgers.edu:8080/data/asl-ftp/asllvd/demos/verify_start_end_handshape_annotations//test_auto_move//signs_mov_separ_signers/Liz_5504.mov" TargetMode="External"/><Relationship Id="rId23255" Type="http://schemas.openxmlformats.org/officeDocument/2006/relationships/hyperlink" Target="http://csr.bu.edu/ftp/asl/asllvd/demos/verify_start_end_handshape_annotations//test_auto_move//signs_mov_separ_signers/Brady_5504.mov" TargetMode="External"/><Relationship Id="rId23256" Type="http://schemas.openxmlformats.org/officeDocument/2006/relationships/hyperlink" Target="http://secrets.rutgers.edu:8080/data/asl-ftp/asllvd/demos/verify_start_end_handshape_annotations//test_auto_move//signs_mov_separ_signers/Brady_5504.mov" TargetMode="External"/><Relationship Id="rId23257" Type="http://schemas.openxmlformats.org/officeDocument/2006/relationships/hyperlink" Target="http://csr.bu.edu/ftp/asl/asllvd/demos/verify_start_end_handshape_annotations//test_auto_move//signs_mov/15259.mov" TargetMode="External"/><Relationship Id="rId23258" Type="http://schemas.openxmlformats.org/officeDocument/2006/relationships/hyperlink" Target="http://csr.bu.edu/ftp/asl/asllvd/demos/verify_start_end_handshape_annotations//test_auto_move//signs_mov_separ_signers/Liz_15259.mov" TargetMode="External"/><Relationship Id="rId23259" Type="http://schemas.openxmlformats.org/officeDocument/2006/relationships/hyperlink" Target="http://secrets.rutgers.edu:8080/data/asl-ftp/asllvd/demos/verify_start_end_handshape_annotations//test_auto_move//signs_mov/15259.mov" TargetMode="External"/><Relationship Id="rId23260" Type="http://schemas.openxmlformats.org/officeDocument/2006/relationships/hyperlink" Target="http://secrets.rutgers.edu:8080/data/asl-ftp/asllvd/demos/verify_start_end_handshape_annotations//test_auto_move//signs_mov_separ_signers/Liz_15259.mov" TargetMode="External"/><Relationship Id="rId23261" Type="http://schemas.openxmlformats.org/officeDocument/2006/relationships/hyperlink" Target="http://csr.bu.edu/ftp/asl/asllvd/demos/verify_start_end_handshape_annotations//test_auto_move//signs_mov_separ_signers/Brady_15259.mov" TargetMode="External"/><Relationship Id="rId23262" Type="http://schemas.openxmlformats.org/officeDocument/2006/relationships/hyperlink" Target="http://secrets.rutgers.edu:8080/data/asl-ftp/asllvd/demos/verify_start_end_handshape_annotations//test_auto_move//signs_mov_separ_signers/Brady_15259.mov" TargetMode="External"/><Relationship Id="rId23263" Type="http://schemas.openxmlformats.org/officeDocument/2006/relationships/hyperlink" Target="http://csr.bu.edu/ftp/asl/asllvd/demos/verify_start_end_handshape_annotations//test_auto_move//signs_mov_separ_signers/Liz_8722.mov" TargetMode="External"/><Relationship Id="rId23264" Type="http://schemas.openxmlformats.org/officeDocument/2006/relationships/hyperlink" Target="http://secrets.rutgers.edu:8080/data/asl-ftp/asllvd/demos/verify_start_end_handshape_annotations//test_auto_move//signs_mov_separ_signers/Liz_8722.mov" TargetMode="External"/><Relationship Id="rId23265" Type="http://schemas.openxmlformats.org/officeDocument/2006/relationships/hyperlink" Target="http://csr.bu.edu/ftp/asl/asllvd/demos/verify_start_end_handshape_annotations//test_auto_move//signs_mov_separ_signers/Brady_8722.mov" TargetMode="External"/><Relationship Id="rId23266" Type="http://schemas.openxmlformats.org/officeDocument/2006/relationships/hyperlink" Target="http://secrets.rutgers.edu:8080/data/asl-ftp/asllvd/demos/verify_start_end_handshape_annotations//test_auto_move//signs_mov_separ_signers/Brady_8722.mov" TargetMode="External"/><Relationship Id="rId23267" Type="http://schemas.openxmlformats.org/officeDocument/2006/relationships/hyperlink" Target="http://csr.bu.edu/ftp/asl/asllvd/demos/verify_start_end_handshape_annotations//test_auto_move//signs_mov/5520_8722_merged.mov" TargetMode="External"/><Relationship Id="rId23268" Type="http://schemas.openxmlformats.org/officeDocument/2006/relationships/hyperlink" Target="http://csr.bu.edu/ftp/asl/asllvd/demos/verify_start_end_handshape_annotations//test_auto_move//signs_mov_separ_signers/Lana_8722.mov" TargetMode="External"/><Relationship Id="rId23269" Type="http://schemas.openxmlformats.org/officeDocument/2006/relationships/hyperlink" Target="http://secrets.rutgers.edu:8080/data/asl-ftp/asllvd/demos/verify_start_end_handshape_annotations//test_auto_move//signs_mov/5520_8722_merged.mov" TargetMode="External"/><Relationship Id="rId23270" Type="http://schemas.openxmlformats.org/officeDocument/2006/relationships/hyperlink" Target="http://secrets.rutgers.edu:8080/data/asl-ftp/asllvd/demos/verify_start_end_handshape_annotations//test_auto_move//signs_mov_separ_signers/Lana_8722.mov" TargetMode="External"/><Relationship Id="rId23271" Type="http://schemas.openxmlformats.org/officeDocument/2006/relationships/hyperlink" Target="http://csr.bu.edu/ftp/asl/asllvd/demos/verify_start_end_handshape_annotations//test_auto_move//signs_mov_separ_signers/Lana_5520.mov" TargetMode="External"/><Relationship Id="rId23272" Type="http://schemas.openxmlformats.org/officeDocument/2006/relationships/hyperlink" Target="http://secrets.rutgers.edu:8080/data/asl-ftp/asllvd/demos/verify_start_end_handshape_annotations//test_auto_move//signs_mov_separ_signers/Lana_5520.mov" TargetMode="External"/><Relationship Id="rId23273" Type="http://schemas.openxmlformats.org/officeDocument/2006/relationships/hyperlink" Target="http://csr.bu.edu/ftp/asl/asllvd/demos/verify_start_end_handshape_annotations//test_auto_move//signs_mov_separ_signers/Dana_8722.mov" TargetMode="External"/><Relationship Id="rId23274" Type="http://schemas.openxmlformats.org/officeDocument/2006/relationships/hyperlink" Target="http://secrets.rutgers.edu:8080/data/asl-ftp/asllvd/demos/verify_start_end_handshape_annotations//test_auto_move//signs_mov_separ_signers/Dana_8722.mov" TargetMode="External"/><Relationship Id="rId23275" Type="http://schemas.openxmlformats.org/officeDocument/2006/relationships/hyperlink" Target="http://csr.bu.edu/ftp/asl/asllvd/demos/verify_start_end_handshape_annotations//test_auto_move//signs_mov_separ_signers/Dana_5520.mov" TargetMode="External"/><Relationship Id="rId23276" Type="http://schemas.openxmlformats.org/officeDocument/2006/relationships/hyperlink" Target="http://secrets.rutgers.edu:8080/data/asl-ftp/asllvd/demos/verify_start_end_handshape_annotations//test_auto_move//signs_mov_separ_signers/Dana_5520.mov" TargetMode="External"/><Relationship Id="rId23277" Type="http://schemas.openxmlformats.org/officeDocument/2006/relationships/hyperlink" Target="http://csr.bu.edu/ftp/asl/asllvd/demos/verify_start_end_handshape_annotations//test_auto_move//signs_mov/5496_8724_merged.mov" TargetMode="External"/><Relationship Id="rId23278" Type="http://schemas.openxmlformats.org/officeDocument/2006/relationships/hyperlink" Target="http://csr.bu.edu/ftp/asl/asllvd/demos/verify_start_end_handshape_annotations//test_auto_move//signs_mov_separ_signers/Brady_8724.mov" TargetMode="External"/><Relationship Id="rId23279" Type="http://schemas.openxmlformats.org/officeDocument/2006/relationships/hyperlink" Target="http://secrets.rutgers.edu:8080/data/asl-ftp/asllvd/demos/verify_start_end_handshape_annotations//test_auto_move//signs_mov/5496_8724_merged.mov" TargetMode="External"/><Relationship Id="rId23280" Type="http://schemas.openxmlformats.org/officeDocument/2006/relationships/hyperlink" Target="http://secrets.rutgers.edu:8080/data/asl-ftp/asllvd/demos/verify_start_end_handshape_annotations//test_auto_move//signs_mov_separ_signers/Brady_8724.mov" TargetMode="External"/><Relationship Id="rId23281" Type="http://schemas.openxmlformats.org/officeDocument/2006/relationships/hyperlink" Target="http://csr.bu.edu/ftp/asl/asllvd/demos/verify_start_end_handshape_annotations//test_auto_move//signs_mov_separ_signers/Brady_5496.mov" TargetMode="External"/><Relationship Id="rId23282" Type="http://schemas.openxmlformats.org/officeDocument/2006/relationships/hyperlink" Target="http://secrets.rutgers.edu:8080/data/asl-ftp/asllvd/demos/verify_start_end_handshape_annotations//test_auto_move//signs_mov_separ_signers/Brady_5496.mov" TargetMode="External"/><Relationship Id="rId23283" Type="http://schemas.openxmlformats.org/officeDocument/2006/relationships/hyperlink" Target="http://csr.bu.edu/ftp/asl/asllvd/demos/verify_start_end_handshape_annotations//test_auto_move//signs_mov/5820.mov" TargetMode="External"/><Relationship Id="rId23284" Type="http://schemas.openxmlformats.org/officeDocument/2006/relationships/hyperlink" Target="http://csr.bu.edu/ftp/asl/asllvd/demos/verify_start_end_handshape_annotations//test_auto_move//signs_mov_separ_signers/Brady_5820.mov" TargetMode="External"/><Relationship Id="rId23285" Type="http://schemas.openxmlformats.org/officeDocument/2006/relationships/hyperlink" Target="http://secrets.rutgers.edu:8080/data/asl-ftp/asllvd/demos/verify_start_end_handshape_annotations//test_auto_move//signs_mov/5820.mov" TargetMode="External"/><Relationship Id="rId23286" Type="http://schemas.openxmlformats.org/officeDocument/2006/relationships/hyperlink" Target="http://secrets.rutgers.edu:8080/data/asl-ftp/asllvd/demos/verify_start_end_handshape_annotations//test_auto_move//signs_mov_separ_signers/Brady_5820.mov" TargetMode="External"/><Relationship Id="rId23287" Type="http://schemas.openxmlformats.org/officeDocument/2006/relationships/hyperlink" Target="http://csr.bu.edu/ftp/asl/asllvd/demos/verify_start_end_handshape_annotations//test_auto_move//signs_mov_separ_signers/Liz_5828.mov" TargetMode="External"/><Relationship Id="rId23288" Type="http://schemas.openxmlformats.org/officeDocument/2006/relationships/hyperlink" Target="http://secrets.rutgers.edu:8080/data/asl-ftp/asllvd/demos/verify_start_end_handshape_annotations//test_auto_move//signs_mov_separ_signers/Liz_5828.mov" TargetMode="External"/><Relationship Id="rId23289" Type="http://schemas.openxmlformats.org/officeDocument/2006/relationships/hyperlink" Target="http://csr.bu.edu/ftp/asl/asllvd/demos/verify_start_end_handshape_annotations//test_auto_move//signs_mov/5828_5908_merged.mov" TargetMode="External"/><Relationship Id="rId23290" Type="http://schemas.openxmlformats.org/officeDocument/2006/relationships/hyperlink" Target="http://csr.bu.edu/ftp/asl/asllvd/demos/verify_start_end_handshape_annotations//test_auto_move//signs_mov_separ_signers/Liz_5908.mov" TargetMode="External"/><Relationship Id="rId23291" Type="http://schemas.openxmlformats.org/officeDocument/2006/relationships/hyperlink" Target="http://secrets.rutgers.edu:8080/data/asl-ftp/asllvd/demos/verify_start_end_handshape_annotations//test_auto_move//signs_mov/5828_5908_merged.mov" TargetMode="External"/><Relationship Id="rId23292" Type="http://schemas.openxmlformats.org/officeDocument/2006/relationships/hyperlink" Target="http://secrets.rutgers.edu:8080/data/asl-ftp/asllvd/demos/verify_start_end_handshape_annotations//test_auto_move//signs_mov_separ_signers/Liz_5908.mov" TargetMode="External"/><Relationship Id="rId23293" Type="http://schemas.openxmlformats.org/officeDocument/2006/relationships/hyperlink" Target="http://csr.bu.edu/ftp/asl/asllvd/demos/verify_start_end_handshape_annotations//test_auto_move//signs_mov_separ_signers/Brady_5828.mov" TargetMode="External"/><Relationship Id="rId23294" Type="http://schemas.openxmlformats.org/officeDocument/2006/relationships/hyperlink" Target="http://secrets.rutgers.edu:8080/data/asl-ftp/asllvd/demos/verify_start_end_handshape_annotations//test_auto_move//signs_mov_separ_signers/Brady_5828.mov" TargetMode="External"/><Relationship Id="rId23295" Type="http://schemas.openxmlformats.org/officeDocument/2006/relationships/hyperlink" Target="http://csr.bu.edu/ftp/asl/asllvd/demos/verify_start_end_handshape_annotations//test_auto_move//signs_mov/5923.mov" TargetMode="External"/><Relationship Id="rId23296" Type="http://schemas.openxmlformats.org/officeDocument/2006/relationships/hyperlink" Target="http://csr.bu.edu/ftp/asl/asllvd/demos/verify_start_end_handshape_annotations//test_auto_move//signs_mov_separ_signers/Liz_5923.mov" TargetMode="External"/><Relationship Id="rId23297" Type="http://schemas.openxmlformats.org/officeDocument/2006/relationships/hyperlink" Target="http://secrets.rutgers.edu:8080/data/asl-ftp/asllvd/demos/verify_start_end_handshape_annotations//test_auto_move//signs_mov/5923.mov" TargetMode="External"/><Relationship Id="rId23298" Type="http://schemas.openxmlformats.org/officeDocument/2006/relationships/hyperlink" Target="http://secrets.rutgers.edu:8080/data/asl-ftp/asllvd/demos/verify_start_end_handshape_annotations//test_auto_move//signs_mov_separ_signers/Liz_5923.mov" TargetMode="External"/><Relationship Id="rId23299" Type="http://schemas.openxmlformats.org/officeDocument/2006/relationships/hyperlink" Target="http://csr.bu.edu/ftp/asl/asllvd/demos/verify_start_end_handshape_annotations//test_auto_move//signs_mov_separ_signers/Liz_16496.mov" TargetMode="External"/><Relationship Id="rId23300" Type="http://schemas.openxmlformats.org/officeDocument/2006/relationships/hyperlink" Target="http://secrets.rutgers.edu:8080/data/asl-ftp/asllvd/demos/verify_start_end_handshape_annotations//test_auto_move//signs_mov_separ_signers/Liz_16496.mov" TargetMode="External"/><Relationship Id="rId23301" Type="http://schemas.openxmlformats.org/officeDocument/2006/relationships/hyperlink" Target="http://csr.bu.edu/ftp/asl/asllvd/demos/verify_start_end_handshape_annotations//test_auto_move//signs_mov/16496.mov" TargetMode="External"/><Relationship Id="rId23302" Type="http://schemas.openxmlformats.org/officeDocument/2006/relationships/hyperlink" Target="http://csr.bu.edu/ftp/asl/asllvd/demos/verify_start_end_handshape_annotations//test_auto_move//signs_mov_separ_signers/Tyler_16496.mov" TargetMode="External"/><Relationship Id="rId23303" Type="http://schemas.openxmlformats.org/officeDocument/2006/relationships/hyperlink" Target="http://secrets.rutgers.edu:8080/data/asl-ftp/asllvd/demos/verify_start_end_handshape_annotations//test_auto_move//signs_mov/16496.mov" TargetMode="External"/><Relationship Id="rId23304" Type="http://schemas.openxmlformats.org/officeDocument/2006/relationships/hyperlink" Target="http://secrets.rutgers.edu:8080/data/asl-ftp/asllvd/demos/verify_start_end_handshape_annotations//test_auto_move//signs_mov_separ_signers/Tyler_16496.mov" TargetMode="External"/><Relationship Id="rId23305" Type="http://schemas.openxmlformats.org/officeDocument/2006/relationships/hyperlink" Target="http://csr.bu.edu/ftp/asl/asllvd/demos/verify_start_end_handshape_annotations//test_auto_move//signs_mov_separ_signers/Naomi_16496.mov" TargetMode="External"/><Relationship Id="rId23306" Type="http://schemas.openxmlformats.org/officeDocument/2006/relationships/hyperlink" Target="http://secrets.rutgers.edu:8080/data/asl-ftp/asllvd/demos/verify_start_end_handshape_annotations//test_auto_move//signs_mov_separ_signers/Naomi_16496.mov" TargetMode="External"/><Relationship Id="rId23307" Type="http://schemas.openxmlformats.org/officeDocument/2006/relationships/hyperlink" Target="http://csr.bu.edu/ftp/asl/asllvd/demos/verify_start_end_handshape_annotations//test_auto_move//signs_mov_separ_signers/Brady_16496.mov" TargetMode="External"/><Relationship Id="rId23308" Type="http://schemas.openxmlformats.org/officeDocument/2006/relationships/hyperlink" Target="http://secrets.rutgers.edu:8080/data/asl-ftp/asllvd/demos/verify_start_end_handshape_annotations//test_auto_move//signs_mov_separ_signers/Brady_16496.mov" TargetMode="External"/><Relationship Id="rId23309" Type="http://schemas.openxmlformats.org/officeDocument/2006/relationships/hyperlink" Target="http://csr.bu.edu/ftp/asl/asllvd/demos/verify_start_end_handshape_annotations//test_auto_move//signs_mov/8729.mov" TargetMode="External"/><Relationship Id="rId23310" Type="http://schemas.openxmlformats.org/officeDocument/2006/relationships/hyperlink" Target="http://csr.bu.edu/ftp/asl/asllvd/demos/verify_start_end_handshape_annotations//test_auto_move//signs_mov_separ_signers/Liz_8729.mov" TargetMode="External"/><Relationship Id="rId23311" Type="http://schemas.openxmlformats.org/officeDocument/2006/relationships/hyperlink" Target="http://secrets.rutgers.edu:8080/data/asl-ftp/asllvd/demos/verify_start_end_handshape_annotations//test_auto_move//signs_mov/8729.mov" TargetMode="External"/><Relationship Id="rId23312" Type="http://schemas.openxmlformats.org/officeDocument/2006/relationships/hyperlink" Target="http://secrets.rutgers.edu:8080/data/asl-ftp/asllvd/demos/verify_start_end_handshape_annotations//test_auto_move//signs_mov_separ_signers/Liz_8729.mov" TargetMode="External"/><Relationship Id="rId23313" Type="http://schemas.openxmlformats.org/officeDocument/2006/relationships/hyperlink" Target="http://csr.bu.edu/ftp/asl/asllvd/demos/verify_start_end_handshape_annotations//test_auto_move//signs_mov_separ_signers/Brady_8729.mov" TargetMode="External"/><Relationship Id="rId23314" Type="http://schemas.openxmlformats.org/officeDocument/2006/relationships/hyperlink" Target="http://secrets.rutgers.edu:8080/data/asl-ftp/asllvd/demos/verify_start_end_handshape_annotations//test_auto_move//signs_mov_separ_signers/Brady_8729.mov" TargetMode="External"/><Relationship Id="rId23315" Type="http://schemas.openxmlformats.org/officeDocument/2006/relationships/hyperlink" Target="http://csr.bu.edu/ftp/asl/asllvd/demos/verify_start_end_handshape_annotations//test_auto_move//signs_mov/5505.mov" TargetMode="External"/><Relationship Id="rId23316" Type="http://schemas.openxmlformats.org/officeDocument/2006/relationships/hyperlink" Target="http://csr.bu.edu/ftp/asl/asllvd/demos/verify_start_end_handshape_annotations//test_auto_move//signs_mov_separ_signers/Liz_5505.mov" TargetMode="External"/><Relationship Id="rId23317" Type="http://schemas.openxmlformats.org/officeDocument/2006/relationships/hyperlink" Target="http://secrets.rutgers.edu:8080/data/asl-ftp/asllvd/demos/verify_start_end_handshape_annotations//test_auto_move//signs_mov/5505.mov" TargetMode="External"/><Relationship Id="rId23318" Type="http://schemas.openxmlformats.org/officeDocument/2006/relationships/hyperlink" Target="http://secrets.rutgers.edu:8080/data/asl-ftp/asllvd/demos/verify_start_end_handshape_annotations//test_auto_move//signs_mov_separ_signers/Liz_5505.mov" TargetMode="External"/><Relationship Id="rId23319" Type="http://schemas.openxmlformats.org/officeDocument/2006/relationships/hyperlink" Target="http://csr.bu.edu/ftp/asl/asllvd/demos/verify_start_end_handshape_annotations//test_auto_move//signs_mov_separ_signers/Brady_5505.mov" TargetMode="External"/><Relationship Id="rId23320" Type="http://schemas.openxmlformats.org/officeDocument/2006/relationships/hyperlink" Target="http://secrets.rutgers.edu:8080/data/asl-ftp/asllvd/demos/verify_start_end_handshape_annotations//test_auto_move//signs_mov_separ_signers/Brady_5505.mov" TargetMode="External"/><Relationship Id="rId23321" Type="http://schemas.openxmlformats.org/officeDocument/2006/relationships/hyperlink" Target="http://csr.bu.edu/ftp/asl/asllvd/demos/verify_start_end_handshape_annotations//test_auto_move//signs_mov/15562.mov" TargetMode="External"/><Relationship Id="rId23322" Type="http://schemas.openxmlformats.org/officeDocument/2006/relationships/hyperlink" Target="http://csr.bu.edu/ftp/asl/asllvd/demos/verify_start_end_handshape_annotations//test_auto_move//signs_mov_separ_signers/Liz_15562.mov" TargetMode="External"/><Relationship Id="rId23323" Type="http://schemas.openxmlformats.org/officeDocument/2006/relationships/hyperlink" Target="http://secrets.rutgers.edu:8080/data/asl-ftp/asllvd/demos/verify_start_end_handshape_annotations//test_auto_move//signs_mov/15562.mov" TargetMode="External"/><Relationship Id="rId23324" Type="http://schemas.openxmlformats.org/officeDocument/2006/relationships/hyperlink" Target="http://secrets.rutgers.edu:8080/data/asl-ftp/asllvd/demos/verify_start_end_handshape_annotations//test_auto_move//signs_mov_separ_signers/Liz_15562.mov" TargetMode="External"/><Relationship Id="rId23325" Type="http://schemas.openxmlformats.org/officeDocument/2006/relationships/hyperlink" Target="http://csr.bu.edu/ftp/asl/asllvd/demos/verify_start_end_handshape_annotations//test_auto_move//signs_mov_separ_signers/Brady_15562.mov" TargetMode="External"/><Relationship Id="rId23326" Type="http://schemas.openxmlformats.org/officeDocument/2006/relationships/hyperlink" Target="http://secrets.rutgers.edu:8080/data/asl-ftp/asllvd/demos/verify_start_end_handshape_annotations//test_auto_move//signs_mov_separ_signers/Brady_15562.mov" TargetMode="External"/><Relationship Id="rId23327" Type="http://schemas.openxmlformats.org/officeDocument/2006/relationships/hyperlink" Target="http://csr.bu.edu/ftp/asl/asllvd/demos/verify_start_end_handshape_annotations//test_auto_move//signs_mov/15579.mov" TargetMode="External"/><Relationship Id="rId23328" Type="http://schemas.openxmlformats.org/officeDocument/2006/relationships/hyperlink" Target="http://csr.bu.edu/ftp/asl/asllvd/demos/verify_start_end_handshape_annotations//test_auto_move//signs_mov_separ_signers/Liz_15579.mov" TargetMode="External"/><Relationship Id="rId23329" Type="http://schemas.openxmlformats.org/officeDocument/2006/relationships/hyperlink" Target="http://secrets.rutgers.edu:8080/data/asl-ftp/asllvd/demos/verify_start_end_handshape_annotations//test_auto_move//signs_mov/15579.mov" TargetMode="External"/><Relationship Id="rId23330" Type="http://schemas.openxmlformats.org/officeDocument/2006/relationships/hyperlink" Target="http://secrets.rutgers.edu:8080/data/asl-ftp/asllvd/demos/verify_start_end_handshape_annotations//test_auto_move//signs_mov_separ_signers/Liz_15579.mov" TargetMode="External"/><Relationship Id="rId23331" Type="http://schemas.openxmlformats.org/officeDocument/2006/relationships/hyperlink" Target="http://csr.bu.edu/ftp/asl/asllvd/demos/verify_start_end_handshape_annotations//test_auto_move//signs_mov_separ_signers/Brady_15579.mov" TargetMode="External"/><Relationship Id="rId23332" Type="http://schemas.openxmlformats.org/officeDocument/2006/relationships/hyperlink" Target="http://secrets.rutgers.edu:8080/data/asl-ftp/asllvd/demos/verify_start_end_handshape_annotations//test_auto_move//signs_mov_separ_signers/Brady_15579.mov" TargetMode="External"/><Relationship Id="rId23333" Type="http://schemas.openxmlformats.org/officeDocument/2006/relationships/hyperlink" Target="http://csr.bu.edu/ftp/asl/asllvd/demos/verify_start_end_handshape_annotations//test_auto_move//signs_mov/8806.mov" TargetMode="External"/><Relationship Id="rId23334" Type="http://schemas.openxmlformats.org/officeDocument/2006/relationships/hyperlink" Target="http://csr.bu.edu/ftp/asl/asllvd/demos/verify_start_end_handshape_annotations//test_auto_move//signs_mov_separ_signers/Brady_8806.mov" TargetMode="External"/><Relationship Id="rId23335" Type="http://schemas.openxmlformats.org/officeDocument/2006/relationships/hyperlink" Target="http://secrets.rutgers.edu:8080/data/asl-ftp/asllvd/demos/verify_start_end_handshape_annotations//test_auto_move//signs_mov/8806.mov" TargetMode="External"/><Relationship Id="rId23336" Type="http://schemas.openxmlformats.org/officeDocument/2006/relationships/hyperlink" Target="http://secrets.rutgers.edu:8080/data/asl-ftp/asllvd/demos/verify_start_end_handshape_annotations//test_auto_move//signs_mov_separ_signers/Brady_8806.mov" TargetMode="External"/><Relationship Id="rId23337" Type="http://schemas.openxmlformats.org/officeDocument/2006/relationships/hyperlink" Target="http://csr.bu.edu/ftp/asl/asllvd/demos/verify_start_end_handshape_annotations//test_auto_move//signs_mov/15297.mov" TargetMode="External"/><Relationship Id="rId23338" Type="http://schemas.openxmlformats.org/officeDocument/2006/relationships/hyperlink" Target="http://csr.bu.edu/ftp/asl/asllvd/demos/verify_start_end_handshape_annotations//test_auto_move//signs_mov_separ_signers/Liz_15297.mov" TargetMode="External"/><Relationship Id="rId23339" Type="http://schemas.openxmlformats.org/officeDocument/2006/relationships/hyperlink" Target="http://secrets.rutgers.edu:8080/data/asl-ftp/asllvd/demos/verify_start_end_handshape_annotations//test_auto_move//signs_mov/15297.mov" TargetMode="External"/><Relationship Id="rId23340" Type="http://schemas.openxmlformats.org/officeDocument/2006/relationships/hyperlink" Target="http://secrets.rutgers.edu:8080/data/asl-ftp/asllvd/demos/verify_start_end_handshape_annotations//test_auto_move//signs_mov_separ_signers/Liz_15297.mov" TargetMode="External"/><Relationship Id="rId23341" Type="http://schemas.openxmlformats.org/officeDocument/2006/relationships/hyperlink" Target="http://csr.bu.edu/ftp/asl/asllvd/demos/verify_start_end_handshape_annotations//test_auto_move//signs_mov/8878.mov" TargetMode="External"/><Relationship Id="rId23342" Type="http://schemas.openxmlformats.org/officeDocument/2006/relationships/hyperlink" Target="http://csr.bu.edu/ftp/asl/asllvd/demos/verify_start_end_handshape_annotations//test_auto_move//signs_mov_separ_signers/Brady_8878.mov" TargetMode="External"/><Relationship Id="rId23343" Type="http://schemas.openxmlformats.org/officeDocument/2006/relationships/hyperlink" Target="http://secrets.rutgers.edu:8080/data/asl-ftp/asllvd/demos/verify_start_end_handshape_annotations//test_auto_move//signs_mov/8878.mov" TargetMode="External"/><Relationship Id="rId23344" Type="http://schemas.openxmlformats.org/officeDocument/2006/relationships/hyperlink" Target="http://secrets.rutgers.edu:8080/data/asl-ftp/asllvd/demos/verify_start_end_handshape_annotations//test_auto_move//signs_mov_separ_signers/Brady_8878.mov" TargetMode="External"/><Relationship Id="rId23345" Type="http://schemas.openxmlformats.org/officeDocument/2006/relationships/hyperlink" Target="http://csr.bu.edu/ftp/asl/asllvd/demos/verify_start_end_handshape_annotations//test_auto_move//signs_mov/8908.mov" TargetMode="External"/><Relationship Id="rId23346" Type="http://schemas.openxmlformats.org/officeDocument/2006/relationships/hyperlink" Target="http://csr.bu.edu/ftp/asl/asllvd/demos/verify_start_end_handshape_annotations//test_auto_move//signs_mov_separ_signers/Brady_8908.mov" TargetMode="External"/><Relationship Id="rId23347" Type="http://schemas.openxmlformats.org/officeDocument/2006/relationships/hyperlink" Target="http://secrets.rutgers.edu:8080/data/asl-ftp/asllvd/demos/verify_start_end_handshape_annotations//test_auto_move//signs_mov/8908.mov" TargetMode="External"/><Relationship Id="rId23348" Type="http://schemas.openxmlformats.org/officeDocument/2006/relationships/hyperlink" Target="http://secrets.rutgers.edu:8080/data/asl-ftp/asllvd/demos/verify_start_end_handshape_annotations//test_auto_move//signs_mov_separ_signers/Brady_8908.mov" TargetMode="External"/><Relationship Id="rId23349" Type="http://schemas.openxmlformats.org/officeDocument/2006/relationships/hyperlink" Target="http://csr.bu.edu/ftp/asl/asllvd/demos/verify_start_end_handshape_annotations//test_auto_move//signs_mov/16061.mov" TargetMode="External"/><Relationship Id="rId23350" Type="http://schemas.openxmlformats.org/officeDocument/2006/relationships/hyperlink" Target="http://csr.bu.edu/ftp/asl/asllvd/demos/verify_start_end_handshape_annotations//test_auto_move//signs_mov_separ_signers/Liz_16061.mov" TargetMode="External"/><Relationship Id="rId23351" Type="http://schemas.openxmlformats.org/officeDocument/2006/relationships/hyperlink" Target="http://secrets.rutgers.edu:8080/data/asl-ftp/asllvd/demos/verify_start_end_handshape_annotations//test_auto_move//signs_mov/16061.mov" TargetMode="External"/><Relationship Id="rId23352" Type="http://schemas.openxmlformats.org/officeDocument/2006/relationships/hyperlink" Target="http://secrets.rutgers.edu:8080/data/asl-ftp/asllvd/demos/verify_start_end_handshape_annotations//test_auto_move//signs_mov_separ_signers/Liz_16061.mov" TargetMode="External"/><Relationship Id="rId23353" Type="http://schemas.openxmlformats.org/officeDocument/2006/relationships/hyperlink" Target="http://csr.bu.edu/ftp/asl/asllvd/demos/verify_start_end_handshape_annotations//test_auto_move//signs_mov_separ_signers/Brady_16061.mov" TargetMode="External"/><Relationship Id="rId23354" Type="http://schemas.openxmlformats.org/officeDocument/2006/relationships/hyperlink" Target="http://secrets.rutgers.edu:8080/data/asl-ftp/asllvd/demos/verify_start_end_handshape_annotations//test_auto_move//signs_mov_separ_signers/Brady_16061.mov" TargetMode="External"/><Relationship Id="rId23355" Type="http://schemas.openxmlformats.org/officeDocument/2006/relationships/hyperlink" Target="http://csr.bu.edu/ftp/asl/asllvd/demos/verify_start_end_handshape_annotations//test_auto_move//signs_mov_separ_signers/Liz_16075.mov" TargetMode="External"/><Relationship Id="rId23356" Type="http://schemas.openxmlformats.org/officeDocument/2006/relationships/hyperlink" Target="http://secrets.rutgers.edu:8080/data/asl-ftp/asllvd/demos/verify_start_end_handshape_annotations//test_auto_move//signs_mov_separ_signers/Liz_16075.mov" TargetMode="External"/><Relationship Id="rId23357" Type="http://schemas.openxmlformats.org/officeDocument/2006/relationships/hyperlink" Target="http://csr.bu.edu/ftp/asl/asllvd/demos/verify_start_end_handshape_annotations//test_auto_move//signs_mov/16075.mov" TargetMode="External"/><Relationship Id="rId23358" Type="http://schemas.openxmlformats.org/officeDocument/2006/relationships/hyperlink" Target="http://csr.bu.edu/ftp/asl/asllvd/demos/verify_start_end_handshape_annotations//test_auto_move//signs_mov_separ_signers/Naomi_16075.mov" TargetMode="External"/><Relationship Id="rId23359" Type="http://schemas.openxmlformats.org/officeDocument/2006/relationships/hyperlink" Target="http://secrets.rutgers.edu:8080/data/asl-ftp/asllvd/demos/verify_start_end_handshape_annotations//test_auto_move//signs_mov/16075.mov" TargetMode="External"/><Relationship Id="rId23360" Type="http://schemas.openxmlformats.org/officeDocument/2006/relationships/hyperlink" Target="http://secrets.rutgers.edu:8080/data/asl-ftp/asllvd/demos/verify_start_end_handshape_annotations//test_auto_move//signs_mov_separ_signers/Naomi_16075.mov" TargetMode="External"/><Relationship Id="rId23361" Type="http://schemas.openxmlformats.org/officeDocument/2006/relationships/hyperlink" Target="http://csr.bu.edu/ftp/asl/asllvd/demos/verify_start_end_handshape_annotations//test_auto_move//signs_mov_separ_signers/Brady_16075.mov" TargetMode="External"/><Relationship Id="rId23362" Type="http://schemas.openxmlformats.org/officeDocument/2006/relationships/hyperlink" Target="http://secrets.rutgers.edu:8080/data/asl-ftp/asllvd/demos/verify_start_end_handshape_annotations//test_auto_move//signs_mov_separ_signers/Brady_16075.mov" TargetMode="External"/><Relationship Id="rId23363" Type="http://schemas.openxmlformats.org/officeDocument/2006/relationships/hyperlink" Target="http://csr.bu.edu/ftp/asl/asllvd/demos/verify_start_end_handshape_annotations//test_auto_move//signs_mov/16084.mov" TargetMode="External"/><Relationship Id="rId23364" Type="http://schemas.openxmlformats.org/officeDocument/2006/relationships/hyperlink" Target="http://csr.bu.edu/ftp/asl/asllvd/demos/verify_start_end_handshape_annotations//test_auto_move//signs_mov_separ_signers/Liz_16084.mov" TargetMode="External"/><Relationship Id="rId23365" Type="http://schemas.openxmlformats.org/officeDocument/2006/relationships/hyperlink" Target="http://secrets.rutgers.edu:8080/data/asl-ftp/asllvd/demos/verify_start_end_handshape_annotations//test_auto_move//signs_mov/16084.mov" TargetMode="External"/><Relationship Id="rId23366" Type="http://schemas.openxmlformats.org/officeDocument/2006/relationships/hyperlink" Target="http://secrets.rutgers.edu:8080/data/asl-ftp/asllvd/demos/verify_start_end_handshape_annotations//test_auto_move//signs_mov_separ_signers/Liz_16084.mov" TargetMode="External"/><Relationship Id="rId23367" Type="http://schemas.openxmlformats.org/officeDocument/2006/relationships/hyperlink" Target="http://csr.bu.edu/ftp/asl/asllvd/demos/verify_start_end_handshape_annotations//test_auto_move//signs_mov_separ_signers/Brady_16084.mov" TargetMode="External"/><Relationship Id="rId23368" Type="http://schemas.openxmlformats.org/officeDocument/2006/relationships/hyperlink" Target="http://secrets.rutgers.edu:8080/data/asl-ftp/asllvd/demos/verify_start_end_handshape_annotations//test_auto_move//signs_mov_separ_signers/Brady_16084.mov" TargetMode="External"/><Relationship Id="rId23369" Type="http://schemas.openxmlformats.org/officeDocument/2006/relationships/hyperlink" Target="http://csr.bu.edu/ftp/asl/asllvd/demos/verify_start_end_handshape_annotations//test_auto_move//signs_mov/8915.mov" TargetMode="External"/><Relationship Id="rId23370" Type="http://schemas.openxmlformats.org/officeDocument/2006/relationships/hyperlink" Target="http://csr.bu.edu/ftp/asl/asllvd/demos/verify_start_end_handshape_annotations//test_auto_move//signs_mov_separ_signers/Brady_8915.mov" TargetMode="External"/><Relationship Id="rId23371" Type="http://schemas.openxmlformats.org/officeDocument/2006/relationships/hyperlink" Target="http://secrets.rutgers.edu:8080/data/asl-ftp/asllvd/demos/verify_start_end_handshape_annotations//test_auto_move//signs_mov/8915.mov" TargetMode="External"/><Relationship Id="rId23372" Type="http://schemas.openxmlformats.org/officeDocument/2006/relationships/hyperlink" Target="http://secrets.rutgers.edu:8080/data/asl-ftp/asllvd/demos/verify_start_end_handshape_annotations//test_auto_move//signs_mov_separ_signers/Brady_8915.mov" TargetMode="External"/><Relationship Id="rId23373" Type="http://schemas.openxmlformats.org/officeDocument/2006/relationships/hyperlink" Target="http://csr.bu.edu/ftp/asl/asllvd/demos/verify_start_end_handshape_annotations//test_auto_move//signs_mov_separ_signers/Liz_8945.mov" TargetMode="External"/><Relationship Id="rId23374" Type="http://schemas.openxmlformats.org/officeDocument/2006/relationships/hyperlink" Target="http://secrets.rutgers.edu:8080/data/asl-ftp/asllvd/demos/verify_start_end_handshape_annotations//test_auto_move//signs_mov_separ_signers/Liz_8945.mov" TargetMode="External"/><Relationship Id="rId23375" Type="http://schemas.openxmlformats.org/officeDocument/2006/relationships/hyperlink" Target="http://csr.bu.edu/ftp/asl/asllvd/demos/verify_start_end_handshape_annotations//test_auto_move//signs_mov/8945_15255_merged.mov" TargetMode="External"/><Relationship Id="rId23376" Type="http://schemas.openxmlformats.org/officeDocument/2006/relationships/hyperlink" Target="http://csr.bu.edu/ftp/asl/asllvd/demos/verify_start_end_handshape_annotations//test_auto_move//signs_mov_separ_signers/Brady_8945.mov" TargetMode="External"/><Relationship Id="rId23377" Type="http://schemas.openxmlformats.org/officeDocument/2006/relationships/hyperlink" Target="http://secrets.rutgers.edu:8080/data/asl-ftp/asllvd/demos/verify_start_end_handshape_annotations//test_auto_move//signs_mov/8945_15255_merged.mov" TargetMode="External"/><Relationship Id="rId23378" Type="http://schemas.openxmlformats.org/officeDocument/2006/relationships/hyperlink" Target="http://secrets.rutgers.edu:8080/data/asl-ftp/asllvd/demos/verify_start_end_handshape_annotations//test_auto_move//signs_mov_separ_signers/Brady_8945.mov" TargetMode="External"/><Relationship Id="rId23379" Type="http://schemas.openxmlformats.org/officeDocument/2006/relationships/hyperlink" Target="http://csr.bu.edu/ftp/asl/asllvd/demos/verify_start_end_handshape_annotations//test_auto_move//signs_mov_separ_signers/Brady_15255.mov" TargetMode="External"/><Relationship Id="rId23380" Type="http://schemas.openxmlformats.org/officeDocument/2006/relationships/hyperlink" Target="http://secrets.rutgers.edu:8080/data/asl-ftp/asllvd/demos/verify_start_end_handshape_annotations//test_auto_move//signs_mov_separ_signers/Brady_15255.mov" TargetMode="External"/><Relationship Id="rId23381" Type="http://schemas.openxmlformats.org/officeDocument/2006/relationships/hyperlink" Target="http://csr.bu.edu/ftp/asl/asllvd/demos/verify_start_end_handshape_annotations//test_auto_move//signs_mov/9027.mov" TargetMode="External"/><Relationship Id="rId23382" Type="http://schemas.openxmlformats.org/officeDocument/2006/relationships/hyperlink" Target="http://csr.bu.edu/ftp/asl/asllvd/demos/verify_start_end_handshape_annotations//test_auto_move//signs_mov_separ_signers/Brady_9027.mov" TargetMode="External"/><Relationship Id="rId23383" Type="http://schemas.openxmlformats.org/officeDocument/2006/relationships/hyperlink" Target="http://secrets.rutgers.edu:8080/data/asl-ftp/asllvd/demos/verify_start_end_handshape_annotations//test_auto_move//signs_mov/9027.mov" TargetMode="External"/><Relationship Id="rId23384" Type="http://schemas.openxmlformats.org/officeDocument/2006/relationships/hyperlink" Target="http://secrets.rutgers.edu:8080/data/asl-ftp/asllvd/demos/verify_start_end_handshape_annotations//test_auto_move//signs_mov_separ_signers/Brady_9027.mov" TargetMode="External"/><Relationship Id="rId23385" Type="http://schemas.openxmlformats.org/officeDocument/2006/relationships/hyperlink" Target="http://csr.bu.edu/ftp/asl/asllvd/demos/verify_start_end_handshape_annotations//test_auto_move//signs_mov/11028.mov" TargetMode="External"/><Relationship Id="rId23386" Type="http://schemas.openxmlformats.org/officeDocument/2006/relationships/hyperlink" Target="http://csr.bu.edu/ftp/asl/asllvd/demos/verify_start_end_handshape_annotations//test_auto_move//signs_mov_separ_signers/Dana_11028.mov" TargetMode="External"/><Relationship Id="rId23387" Type="http://schemas.openxmlformats.org/officeDocument/2006/relationships/hyperlink" Target="http://secrets.rutgers.edu:8080/data/asl-ftp/asllvd/demos/verify_start_end_handshape_annotations//test_auto_move//signs_mov/11028.mov" TargetMode="External"/><Relationship Id="rId23388" Type="http://schemas.openxmlformats.org/officeDocument/2006/relationships/hyperlink" Target="http://secrets.rutgers.edu:8080/data/asl-ftp/asllvd/demos/verify_start_end_handshape_annotations//test_auto_move//signs_mov_separ_signers/Dana_11028.mov" TargetMode="External"/><Relationship Id="rId23389" Type="http://schemas.openxmlformats.org/officeDocument/2006/relationships/hyperlink" Target="http://csr.bu.edu/ftp/asl/asllvd/demos/verify_start_end_handshape_annotations//test_auto_move//signs_mov/5451.mov" TargetMode="External"/><Relationship Id="rId23390" Type="http://schemas.openxmlformats.org/officeDocument/2006/relationships/hyperlink" Target="http://csr.bu.edu/ftp/asl/asllvd/demos/verify_start_end_handshape_annotations//test_auto_move//signs_mov_separ_signers/Lana_5451.mov" TargetMode="External"/><Relationship Id="rId23391" Type="http://schemas.openxmlformats.org/officeDocument/2006/relationships/hyperlink" Target="http://secrets.rutgers.edu:8080/data/asl-ftp/asllvd/demos/verify_start_end_handshape_annotations//test_auto_move//signs_mov/5451.mov" TargetMode="External"/><Relationship Id="rId23392" Type="http://schemas.openxmlformats.org/officeDocument/2006/relationships/hyperlink" Target="http://secrets.rutgers.edu:8080/data/asl-ftp/asllvd/demos/verify_start_end_handshape_annotations//test_auto_move//signs_mov_separ_signers/Lana_5451.mov" TargetMode="External"/><Relationship Id="rId23393" Type="http://schemas.openxmlformats.org/officeDocument/2006/relationships/hyperlink" Target="http://csr.bu.edu/ftp/asl/asllvd/demos/verify_start_end_handshape_annotations//test_auto_move//signs_mov/5471.mov" TargetMode="External"/><Relationship Id="rId23394" Type="http://schemas.openxmlformats.org/officeDocument/2006/relationships/hyperlink" Target="http://csr.bu.edu/ftp/asl/asllvd/demos/verify_start_end_handshape_annotations//test_auto_move//signs_mov_separ_signers/Liz_5471.mov" TargetMode="External"/><Relationship Id="rId23395" Type="http://schemas.openxmlformats.org/officeDocument/2006/relationships/hyperlink" Target="http://secrets.rutgers.edu:8080/data/asl-ftp/asllvd/demos/verify_start_end_handshape_annotations//test_auto_move//signs_mov/5471.mov" TargetMode="External"/><Relationship Id="rId23396" Type="http://schemas.openxmlformats.org/officeDocument/2006/relationships/hyperlink" Target="http://secrets.rutgers.edu:8080/data/asl-ftp/asllvd/demos/verify_start_end_handshape_annotations//test_auto_move//signs_mov_separ_signers/Liz_5471.mov" TargetMode="External"/><Relationship Id="rId23397" Type="http://schemas.openxmlformats.org/officeDocument/2006/relationships/hyperlink" Target="http://csr.bu.edu/ftp/asl/asllvd/demos/verify_start_end_handshape_annotations//test_auto_move//signs_mov_separ_signers/Brady_5471.mov" TargetMode="External"/><Relationship Id="rId23398" Type="http://schemas.openxmlformats.org/officeDocument/2006/relationships/hyperlink" Target="http://secrets.rutgers.edu:8080/data/asl-ftp/asllvd/demos/verify_start_end_handshape_annotations//test_auto_move//signs_mov_separ_signers/Brady_5471.mov" TargetMode="External"/><Relationship Id="rId23399" Type="http://schemas.openxmlformats.org/officeDocument/2006/relationships/hyperlink" Target="http://csr.bu.edu/ftp/asl/asllvd/demos/verify_start_end_handshape_annotations//test_auto_move//signs_mov_separ_signers/Liz_11194.mov" TargetMode="External"/><Relationship Id="rId23400" Type="http://schemas.openxmlformats.org/officeDocument/2006/relationships/hyperlink" Target="http://secrets.rutgers.edu:8080/data/asl-ftp/asllvd/demos/verify_start_end_handshape_annotations//test_auto_move//signs_mov_separ_signers/Liz_11194.mov" TargetMode="External"/><Relationship Id="rId23401" Type="http://schemas.openxmlformats.org/officeDocument/2006/relationships/hyperlink" Target="http://csr.bu.edu/ftp/asl/asllvd/demos/verify_start_end_handshape_annotations//test_auto_move//signs_mov_separ_signers/Tyler_11194.mov" TargetMode="External"/><Relationship Id="rId23402" Type="http://schemas.openxmlformats.org/officeDocument/2006/relationships/hyperlink" Target="http://secrets.rutgers.edu:8080/data/asl-ftp/asllvd/demos/verify_start_end_handshape_annotations//test_auto_move//signs_mov_separ_signers/Tyler_11194.mov" TargetMode="External"/><Relationship Id="rId23403" Type="http://schemas.openxmlformats.org/officeDocument/2006/relationships/hyperlink" Target="http://csr.bu.edu/ftp/asl/asllvd/demos/verify_start_end_handshape_annotations//test_auto_move//signs_mov/5731_11194_merged.mov" TargetMode="External"/><Relationship Id="rId23404" Type="http://schemas.openxmlformats.org/officeDocument/2006/relationships/hyperlink" Target="http://csr.bu.edu/ftp/asl/asllvd/demos/verify_start_end_handshape_annotations//test_auto_move//signs_mov_separ_signers/Brady_11194.mov" TargetMode="External"/><Relationship Id="rId23405" Type="http://schemas.openxmlformats.org/officeDocument/2006/relationships/hyperlink" Target="http://secrets.rutgers.edu:8080/data/asl-ftp/asllvd/demos/verify_start_end_handshape_annotations//test_auto_move//signs_mov/5731_11194_merged.mov" TargetMode="External"/><Relationship Id="rId23406" Type="http://schemas.openxmlformats.org/officeDocument/2006/relationships/hyperlink" Target="http://secrets.rutgers.edu:8080/data/asl-ftp/asllvd/demos/verify_start_end_handshape_annotations//test_auto_move//signs_mov_separ_signers/Brady_11194.mov" TargetMode="External"/><Relationship Id="rId23407" Type="http://schemas.openxmlformats.org/officeDocument/2006/relationships/hyperlink" Target="http://csr.bu.edu/ftp/asl/asllvd/demos/verify_start_end_handshape_annotations//test_auto_move//signs_mov_separ_signers/Brady_5731.mov" TargetMode="External"/><Relationship Id="rId23408" Type="http://schemas.openxmlformats.org/officeDocument/2006/relationships/hyperlink" Target="http://secrets.rutgers.edu:8080/data/asl-ftp/asllvd/demos/verify_start_end_handshape_annotations//test_auto_move//signs_mov_separ_signers/Brady_5731.mov" TargetMode="External"/><Relationship Id="rId23409" Type="http://schemas.openxmlformats.org/officeDocument/2006/relationships/hyperlink" Target="http://csr.bu.edu/ftp/asl/asllvd/demos/verify_start_end_handshape_annotations//test_auto_move//signs_mov_separ_signers/Lana_11194.mov" TargetMode="External"/><Relationship Id="rId23410" Type="http://schemas.openxmlformats.org/officeDocument/2006/relationships/hyperlink" Target="http://secrets.rutgers.edu:8080/data/asl-ftp/asllvd/demos/verify_start_end_handshape_annotations//test_auto_move//signs_mov_separ_signers/Lana_11194.mov" TargetMode="External"/><Relationship Id="rId23411" Type="http://schemas.openxmlformats.org/officeDocument/2006/relationships/hyperlink" Target="http://csr.bu.edu/ftp/asl/asllvd/demos/verify_start_end_handshape_annotations//test_auto_move//signs_mov_separ_signers/Dana_11194.mov" TargetMode="External"/><Relationship Id="rId23412" Type="http://schemas.openxmlformats.org/officeDocument/2006/relationships/hyperlink" Target="http://secrets.rutgers.edu:8080/data/asl-ftp/asllvd/demos/verify_start_end_handshape_annotations//test_auto_move//signs_mov_separ_signers/Dana_11194.mov" TargetMode="External"/><Relationship Id="rId23413" Type="http://schemas.openxmlformats.org/officeDocument/2006/relationships/hyperlink" Target="http://csr.bu.edu/ftp/asl/asllvd/demos/verify_start_end_handshape_annotations//test_auto_move//signs_mov/15037.mov" TargetMode="External"/><Relationship Id="rId23414" Type="http://schemas.openxmlformats.org/officeDocument/2006/relationships/hyperlink" Target="http://csr.bu.edu/ftp/asl/asllvd/demos/verify_start_end_handshape_annotations//test_auto_move//signs_mov_separ_signers/Naomi_15037.mov" TargetMode="External"/><Relationship Id="rId23415" Type="http://schemas.openxmlformats.org/officeDocument/2006/relationships/hyperlink" Target="http://secrets.rutgers.edu:8080/data/asl-ftp/asllvd/demos/verify_start_end_handshape_annotations//test_auto_move//signs_mov/15037.mov" TargetMode="External"/><Relationship Id="rId23416" Type="http://schemas.openxmlformats.org/officeDocument/2006/relationships/hyperlink" Target="http://secrets.rutgers.edu:8080/data/asl-ftp/asllvd/demos/verify_start_end_handshape_annotations//test_auto_move//signs_mov_separ_signers/Naomi_15037.mov" TargetMode="External"/><Relationship Id="rId23417" Type="http://schemas.openxmlformats.org/officeDocument/2006/relationships/hyperlink" Target="http://csr.bu.edu/ftp/asl/asllvd/demos/verify_start_end_handshape_annotations//test_auto_move//signs_mov_separ_signers/Liz_15038.mov" TargetMode="External"/><Relationship Id="rId23418" Type="http://schemas.openxmlformats.org/officeDocument/2006/relationships/hyperlink" Target="http://secrets.rutgers.edu:8080/data/asl-ftp/asllvd/demos/verify_start_end_handshape_annotations//test_auto_move//signs_mov_separ_signers/Liz_15038.mov" TargetMode="External"/><Relationship Id="rId23419" Type="http://schemas.openxmlformats.org/officeDocument/2006/relationships/hyperlink" Target="http://csr.bu.edu/ftp/asl/asllvd/demos/verify_start_end_handshape_annotations//test_auto_move//signs_mov/15038_16417_merged.mov" TargetMode="External"/><Relationship Id="rId23420" Type="http://schemas.openxmlformats.org/officeDocument/2006/relationships/hyperlink" Target="http://csr.bu.edu/ftp/asl/asllvd/demos/verify_start_end_handshape_annotations//test_auto_move//signs_mov_separ_signers/Brady_15038.mov" TargetMode="External"/><Relationship Id="rId23421" Type="http://schemas.openxmlformats.org/officeDocument/2006/relationships/hyperlink" Target="http://secrets.rutgers.edu:8080/data/asl-ftp/asllvd/demos/verify_start_end_handshape_annotations//test_auto_move//signs_mov/15038_16417_merged.mov" TargetMode="External"/><Relationship Id="rId23422" Type="http://schemas.openxmlformats.org/officeDocument/2006/relationships/hyperlink" Target="http://secrets.rutgers.edu:8080/data/asl-ftp/asllvd/demos/verify_start_end_handshape_annotations//test_auto_move//signs_mov_separ_signers/Brady_15038.mov" TargetMode="External"/><Relationship Id="rId23423" Type="http://schemas.openxmlformats.org/officeDocument/2006/relationships/hyperlink" Target="http://csr.bu.edu/ftp/asl/asllvd/demos/verify_start_end_handshape_annotations//test_auto_move//signs_mov_separ_signers/Brady_16417.mov" TargetMode="External"/><Relationship Id="rId23424" Type="http://schemas.openxmlformats.org/officeDocument/2006/relationships/hyperlink" Target="http://secrets.rutgers.edu:8080/data/asl-ftp/asllvd/demos/verify_start_end_handshape_annotations//test_auto_move//signs_mov_separ_signers/Brady_16417.mov" TargetMode="External"/><Relationship Id="rId23425" Type="http://schemas.openxmlformats.org/officeDocument/2006/relationships/hyperlink" Target="http://csr.bu.edu/ftp/asl/asllvd/demos/verify_start_end_handshape_annotations//test_auto_move//signs_mov/11201.mov" TargetMode="External"/><Relationship Id="rId23426" Type="http://schemas.openxmlformats.org/officeDocument/2006/relationships/hyperlink" Target="http://csr.bu.edu/ftp/asl/asllvd/demos/verify_start_end_handshape_annotations//test_auto_move//signs_mov_separ_signers/Liz_11201.mov" TargetMode="External"/><Relationship Id="rId23427" Type="http://schemas.openxmlformats.org/officeDocument/2006/relationships/hyperlink" Target="http://secrets.rutgers.edu:8080/data/asl-ftp/asllvd/demos/verify_start_end_handshape_annotations//test_auto_move//signs_mov/11201.mov" TargetMode="External"/><Relationship Id="rId23428" Type="http://schemas.openxmlformats.org/officeDocument/2006/relationships/hyperlink" Target="http://secrets.rutgers.edu:8080/data/asl-ftp/asllvd/demos/verify_start_end_handshape_annotations//test_auto_move//signs_mov_separ_signers/Liz_11201.mov" TargetMode="External"/><Relationship Id="rId23429" Type="http://schemas.openxmlformats.org/officeDocument/2006/relationships/hyperlink" Target="http://csr.bu.edu/ftp/asl/asllvd/demos/verify_start_end_handshape_annotations//test_auto_move//signs_mov_separ_signers/Naomi_11201.mov" TargetMode="External"/><Relationship Id="rId23430" Type="http://schemas.openxmlformats.org/officeDocument/2006/relationships/hyperlink" Target="http://secrets.rutgers.edu:8080/data/asl-ftp/asllvd/demos/verify_start_end_handshape_annotations//test_auto_move//signs_mov_separ_signers/Naomi_11201.mov" TargetMode="External"/><Relationship Id="rId23431" Type="http://schemas.openxmlformats.org/officeDocument/2006/relationships/hyperlink" Target="http://csr.bu.edu/ftp/asl/asllvd/demos/verify_start_end_handshape_annotations//test_auto_move//signs_mov/15236.mov" TargetMode="External"/><Relationship Id="rId23432" Type="http://schemas.openxmlformats.org/officeDocument/2006/relationships/hyperlink" Target="http://csr.bu.edu/ftp/asl/asllvd/demos/verify_start_end_handshape_annotations//test_auto_move//signs_mov_separ_signers/Lana_15236.mov" TargetMode="External"/><Relationship Id="rId23433" Type="http://schemas.openxmlformats.org/officeDocument/2006/relationships/hyperlink" Target="http://secrets.rutgers.edu:8080/data/asl-ftp/asllvd/demos/verify_start_end_handshape_annotations//test_auto_move//signs_mov/15236.mov" TargetMode="External"/><Relationship Id="rId23434" Type="http://schemas.openxmlformats.org/officeDocument/2006/relationships/hyperlink" Target="http://secrets.rutgers.edu:8080/data/asl-ftp/asllvd/demos/verify_start_end_handshape_annotations//test_auto_move//signs_mov_separ_signers/Lana_15236.mov" TargetMode="External"/><Relationship Id="rId23435" Type="http://schemas.openxmlformats.org/officeDocument/2006/relationships/hyperlink" Target="http://csr.bu.edu/ftp/asl/asllvd/demos/verify_start_end_handshape_annotations//test_auto_move//signs_mov_separ_signers/Dana_15236.mov" TargetMode="External"/><Relationship Id="rId23436" Type="http://schemas.openxmlformats.org/officeDocument/2006/relationships/hyperlink" Target="http://secrets.rutgers.edu:8080/data/asl-ftp/asllvd/demos/verify_start_end_handshape_annotations//test_auto_move//signs_mov_separ_signers/Dana_15236.mov" TargetMode="External"/><Relationship Id="rId23437" Type="http://schemas.openxmlformats.org/officeDocument/2006/relationships/hyperlink" Target="http://csr.bu.edu/ftp/asl/asllvd/demos/verify_start_end_handshape_annotations//test_auto_move//signs_mov/11241.mov" TargetMode="External"/><Relationship Id="rId23438" Type="http://schemas.openxmlformats.org/officeDocument/2006/relationships/hyperlink" Target="http://csr.bu.edu/ftp/asl/asllvd/demos/verify_start_end_handshape_annotations//test_auto_move//signs_mov_separ_signers/Lana_11241.mov" TargetMode="External"/><Relationship Id="rId23439" Type="http://schemas.openxmlformats.org/officeDocument/2006/relationships/hyperlink" Target="http://secrets.rutgers.edu:8080/data/asl-ftp/asllvd/demos/verify_start_end_handshape_annotations//test_auto_move//signs_mov/11241.mov" TargetMode="External"/><Relationship Id="rId23440" Type="http://schemas.openxmlformats.org/officeDocument/2006/relationships/hyperlink" Target="http://secrets.rutgers.edu:8080/data/asl-ftp/asllvd/demos/verify_start_end_handshape_annotations//test_auto_move//signs_mov_separ_signers/Lana_11241.mov" TargetMode="External"/><Relationship Id="rId23441" Type="http://schemas.openxmlformats.org/officeDocument/2006/relationships/hyperlink" Target="http://csr.bu.edu/ftp/asl/asllvd/demos/verify_start_end_handshape_annotations//test_auto_move//signs_mov/11250.mov" TargetMode="External"/><Relationship Id="rId23442" Type="http://schemas.openxmlformats.org/officeDocument/2006/relationships/hyperlink" Target="http://csr.bu.edu/ftp/asl/asllvd/demos/verify_start_end_handshape_annotations//test_auto_move//signs_mov_separ_signers/Tyler_11250.mov" TargetMode="External"/><Relationship Id="rId23443" Type="http://schemas.openxmlformats.org/officeDocument/2006/relationships/hyperlink" Target="http://secrets.rutgers.edu:8080/data/asl-ftp/asllvd/demos/verify_start_end_handshape_annotations//test_auto_move//signs_mov/11250.mov" TargetMode="External"/><Relationship Id="rId23444" Type="http://schemas.openxmlformats.org/officeDocument/2006/relationships/hyperlink" Target="http://secrets.rutgers.edu:8080/data/asl-ftp/asllvd/demos/verify_start_end_handshape_annotations//test_auto_move//signs_mov_separ_signers/Tyler_11250.mov" TargetMode="External"/><Relationship Id="rId23445" Type="http://schemas.openxmlformats.org/officeDocument/2006/relationships/hyperlink" Target="http://csr.bu.edu/ftp/asl/asllvd/demos/verify_start_end_handshape_annotations//test_auto_move//signs_mov_separ_signers/Lana_11250.mov" TargetMode="External"/><Relationship Id="rId23446" Type="http://schemas.openxmlformats.org/officeDocument/2006/relationships/hyperlink" Target="http://secrets.rutgers.edu:8080/data/asl-ftp/asllvd/demos/verify_start_end_handshape_annotations//test_auto_move//signs_mov_separ_signers/Lana_11250.mov" TargetMode="External"/><Relationship Id="rId23447" Type="http://schemas.openxmlformats.org/officeDocument/2006/relationships/hyperlink" Target="http://csr.bu.edu/ftp/asl/asllvd/demos/verify_start_end_handshape_annotations//test_auto_move//signs_mov_separ_signers/Liz_15310.mov" TargetMode="External"/><Relationship Id="rId23448" Type="http://schemas.openxmlformats.org/officeDocument/2006/relationships/hyperlink" Target="http://secrets.rutgers.edu:8080/data/asl-ftp/asllvd/demos/verify_start_end_handshape_annotations//test_auto_move//signs_mov_separ_signers/Liz_15310.mov" TargetMode="External"/><Relationship Id="rId23449" Type="http://schemas.openxmlformats.org/officeDocument/2006/relationships/hyperlink" Target="http://csr.bu.edu/ftp/asl/asllvd/demos/verify_start_end_handshape_annotations//test_auto_move//signs_mov_separ_signers/Liz_15351.mov" TargetMode="External"/><Relationship Id="rId23450" Type="http://schemas.openxmlformats.org/officeDocument/2006/relationships/hyperlink" Target="http://secrets.rutgers.edu:8080/data/asl-ftp/asllvd/demos/verify_start_end_handshape_annotations//test_auto_move//signs_mov_separ_signers/Liz_15351.mov" TargetMode="External"/><Relationship Id="rId23451" Type="http://schemas.openxmlformats.org/officeDocument/2006/relationships/hyperlink" Target="http://csr.bu.edu/ftp/asl/asllvd/demos/verify_start_end_handshape_annotations//test_auto_move//signs_mov_separ_signers/Naomi_15310.mov" TargetMode="External"/><Relationship Id="rId23452" Type="http://schemas.openxmlformats.org/officeDocument/2006/relationships/hyperlink" Target="http://secrets.rutgers.edu:8080/data/asl-ftp/asllvd/demos/verify_start_end_handshape_annotations//test_auto_move//signs_mov_separ_signers/Naomi_15310.mov" TargetMode="External"/><Relationship Id="rId23453" Type="http://schemas.openxmlformats.org/officeDocument/2006/relationships/hyperlink" Target="http://csr.bu.edu/ftp/asl/asllvd/demos/verify_start_end_handshape_annotations//test_auto_move//signs_mov/15310_15351_merged.mov" TargetMode="External"/><Relationship Id="rId23454" Type="http://schemas.openxmlformats.org/officeDocument/2006/relationships/hyperlink" Target="http://csr.bu.edu/ftp/asl/asllvd/demos/verify_start_end_handshape_annotations//test_auto_move//signs_mov_separ_signers/Brady_15310.mov" TargetMode="External"/><Relationship Id="rId23455" Type="http://schemas.openxmlformats.org/officeDocument/2006/relationships/hyperlink" Target="http://secrets.rutgers.edu:8080/data/asl-ftp/asllvd/demos/verify_start_end_handshape_annotations//test_auto_move//signs_mov/15310_15351_merged.mov" TargetMode="External"/><Relationship Id="rId23456" Type="http://schemas.openxmlformats.org/officeDocument/2006/relationships/hyperlink" Target="http://secrets.rutgers.edu:8080/data/asl-ftp/asllvd/demos/verify_start_end_handshape_annotations//test_auto_move//signs_mov_separ_signers/Brady_15310.mov" TargetMode="External"/><Relationship Id="rId23457" Type="http://schemas.openxmlformats.org/officeDocument/2006/relationships/hyperlink" Target="http://csr.bu.edu/ftp/asl/asllvd/demos/verify_start_end_handshape_annotations//test_auto_move//signs_mov_separ_signers/Lana_15310.mov" TargetMode="External"/><Relationship Id="rId23458" Type="http://schemas.openxmlformats.org/officeDocument/2006/relationships/hyperlink" Target="http://secrets.rutgers.edu:8080/data/asl-ftp/asllvd/demos/verify_start_end_handshape_annotations//test_auto_move//signs_mov_separ_signers/Lana_15310.mov" TargetMode="External"/><Relationship Id="rId23459" Type="http://schemas.openxmlformats.org/officeDocument/2006/relationships/hyperlink" Target="http://csr.bu.edu/ftp/asl/asllvd/demos/verify_start_end_handshape_annotations//test_auto_move//signs_mov_separ_signers/Dana_15310.mov" TargetMode="External"/><Relationship Id="rId23460" Type="http://schemas.openxmlformats.org/officeDocument/2006/relationships/hyperlink" Target="http://secrets.rutgers.edu:8080/data/asl-ftp/asllvd/demos/verify_start_end_handshape_annotations//test_auto_move//signs_mov_separ_signers/Dana_15310.mov" TargetMode="External"/><Relationship Id="rId23461" Type="http://schemas.openxmlformats.org/officeDocument/2006/relationships/hyperlink" Target="http://csr.bu.edu/ftp/asl/asllvd/demos/verify_start_end_handshape_annotations//test_auto_move//signs_mov_separ_signers/Dana_15351.mov" TargetMode="External"/><Relationship Id="rId23462" Type="http://schemas.openxmlformats.org/officeDocument/2006/relationships/hyperlink" Target="http://secrets.rutgers.edu:8080/data/asl-ftp/asllvd/demos/verify_start_end_handshape_annotations//test_auto_move//signs_mov_separ_signers/Dana_15351.mov" TargetMode="External"/><Relationship Id="rId23463" Type="http://schemas.openxmlformats.org/officeDocument/2006/relationships/hyperlink" Target="http://csr.bu.edu/ftp/asl/asllvd/demos/verify_start_end_handshape_annotations//test_auto_move//signs_mov/11262.mov" TargetMode="External"/><Relationship Id="rId23464" Type="http://schemas.openxmlformats.org/officeDocument/2006/relationships/hyperlink" Target="http://csr.bu.edu/ftp/asl/asllvd/demos/verify_start_end_handshape_annotations//test_auto_move//signs_mov_separ_signers/Dana_11262.mov" TargetMode="External"/><Relationship Id="rId23465" Type="http://schemas.openxmlformats.org/officeDocument/2006/relationships/hyperlink" Target="http://secrets.rutgers.edu:8080/data/asl-ftp/asllvd/demos/verify_start_end_handshape_annotations//test_auto_move//signs_mov/11262.mov" TargetMode="External"/><Relationship Id="rId23466" Type="http://schemas.openxmlformats.org/officeDocument/2006/relationships/hyperlink" Target="http://secrets.rutgers.edu:8080/data/asl-ftp/asllvd/demos/verify_start_end_handshape_annotations//test_auto_move//signs_mov_separ_signers/Dana_11262.mov" TargetMode="External"/><Relationship Id="rId23467" Type="http://schemas.openxmlformats.org/officeDocument/2006/relationships/hyperlink" Target="http://csr.bu.edu/ftp/asl/asllvd/demos/verify_start_end_handshape_annotations//test_auto_move//signs_mov/16029.mov" TargetMode="External"/><Relationship Id="rId23468" Type="http://schemas.openxmlformats.org/officeDocument/2006/relationships/hyperlink" Target="http://csr.bu.edu/ftp/asl/asllvd/demos/verify_start_end_handshape_annotations//test_auto_move//signs_mov_separ_signers/Liz_16029.mov" TargetMode="External"/><Relationship Id="rId23469" Type="http://schemas.openxmlformats.org/officeDocument/2006/relationships/hyperlink" Target="http://secrets.rutgers.edu:8080/data/asl-ftp/asllvd/demos/verify_start_end_handshape_annotations//test_auto_move//signs_mov/16029.mov" TargetMode="External"/><Relationship Id="rId23470" Type="http://schemas.openxmlformats.org/officeDocument/2006/relationships/hyperlink" Target="http://secrets.rutgers.edu:8080/data/asl-ftp/asllvd/demos/verify_start_end_handshape_annotations//test_auto_move//signs_mov_separ_signers/Liz_16029.mov" TargetMode="External"/><Relationship Id="rId23471" Type="http://schemas.openxmlformats.org/officeDocument/2006/relationships/hyperlink" Target="http://csr.bu.edu/ftp/asl/asllvd/demos/verify_start_end_handshape_annotations//test_auto_move//signs_mov_separ_signers/Brady_16029.mov" TargetMode="External"/><Relationship Id="rId23472" Type="http://schemas.openxmlformats.org/officeDocument/2006/relationships/hyperlink" Target="http://secrets.rutgers.edu:8080/data/asl-ftp/asllvd/demos/verify_start_end_handshape_annotations//test_auto_move//signs_mov_separ_signers/Brady_16029.mov" TargetMode="External"/><Relationship Id="rId23473" Type="http://schemas.openxmlformats.org/officeDocument/2006/relationships/hyperlink" Target="http://csr.bu.edu/ftp/asl/asllvd/demos/verify_start_end_handshape_annotations//test_auto_move//signs_mov/11388.mov" TargetMode="External"/><Relationship Id="rId23474" Type="http://schemas.openxmlformats.org/officeDocument/2006/relationships/hyperlink" Target="http://csr.bu.edu/ftp/asl/asllvd/demos/verify_start_end_handshape_annotations//test_auto_move//signs_mov_separ_signers/Lana_11388.mov" TargetMode="External"/><Relationship Id="rId23475" Type="http://schemas.openxmlformats.org/officeDocument/2006/relationships/hyperlink" Target="http://secrets.rutgers.edu:8080/data/asl-ftp/asllvd/demos/verify_start_end_handshape_annotations//test_auto_move//signs_mov/11388.mov" TargetMode="External"/><Relationship Id="rId23476" Type="http://schemas.openxmlformats.org/officeDocument/2006/relationships/hyperlink" Target="http://secrets.rutgers.edu:8080/data/asl-ftp/asllvd/demos/verify_start_end_handshape_annotations//test_auto_move//signs_mov_separ_signers/Lana_11388.mov" TargetMode="External"/><Relationship Id="rId23477" Type="http://schemas.openxmlformats.org/officeDocument/2006/relationships/hyperlink" Target="http://csr.bu.edu/ftp/asl/asllvd/demos/verify_start_end_handshape_annotations//test_auto_move//signs_mov/11417.mov" TargetMode="External"/><Relationship Id="rId23478" Type="http://schemas.openxmlformats.org/officeDocument/2006/relationships/hyperlink" Target="http://csr.bu.edu/ftp/asl/asllvd/demos/verify_start_end_handshape_annotations//test_auto_move//signs_mov_separ_signers/Dana_11417.mov" TargetMode="External"/><Relationship Id="rId23479" Type="http://schemas.openxmlformats.org/officeDocument/2006/relationships/hyperlink" Target="http://secrets.rutgers.edu:8080/data/asl-ftp/asllvd/demos/verify_start_end_handshape_annotations//test_auto_move//signs_mov/11417.mov" TargetMode="External"/><Relationship Id="rId23480" Type="http://schemas.openxmlformats.org/officeDocument/2006/relationships/hyperlink" Target="http://secrets.rutgers.edu:8080/data/asl-ftp/asllvd/demos/verify_start_end_handshape_annotations//test_auto_move//signs_mov_separ_signers/Dana_11417.mov" TargetMode="External"/><Relationship Id="rId23481" Type="http://schemas.openxmlformats.org/officeDocument/2006/relationships/hyperlink" Target="http://csr.bu.edu/ftp/asl/asllvd/demos/verify_start_end_handshape_annotations//test_auto_move//signs_mov/16391.mov" TargetMode="External"/><Relationship Id="rId23482" Type="http://schemas.openxmlformats.org/officeDocument/2006/relationships/hyperlink" Target="http://csr.bu.edu/ftp/asl/asllvd/demos/verify_start_end_handshape_annotations//test_auto_move//signs_mov_separ_signers/Lana_16391.mov" TargetMode="External"/><Relationship Id="rId23483" Type="http://schemas.openxmlformats.org/officeDocument/2006/relationships/hyperlink" Target="http://secrets.rutgers.edu:8080/data/asl-ftp/asllvd/demos/verify_start_end_handshape_annotations//test_auto_move//signs_mov/16391.mov" TargetMode="External"/><Relationship Id="rId23484" Type="http://schemas.openxmlformats.org/officeDocument/2006/relationships/hyperlink" Target="http://secrets.rutgers.edu:8080/data/asl-ftp/asllvd/demos/verify_start_end_handshape_annotations//test_auto_move//signs_mov_separ_signers/Lana_16391.mov" TargetMode="External"/><Relationship Id="rId23485" Type="http://schemas.openxmlformats.org/officeDocument/2006/relationships/hyperlink" Target="http://csr.bu.edu/ftp/asl/asllvd/demos/verify_start_end_handshape_annotations//test_auto_move//signs_mov/14251.mov" TargetMode="External"/><Relationship Id="rId23486" Type="http://schemas.openxmlformats.org/officeDocument/2006/relationships/hyperlink" Target="http://csr.bu.edu/ftp/asl/asllvd/demos/verify_start_end_handshape_annotations//test_auto_move//signs_mov_separ_signers/Dana_14251.mov" TargetMode="External"/><Relationship Id="rId23487" Type="http://schemas.openxmlformats.org/officeDocument/2006/relationships/hyperlink" Target="http://secrets.rutgers.edu:8080/data/asl-ftp/asllvd/demos/verify_start_end_handshape_annotations//test_auto_move//signs_mov/14251.mov" TargetMode="External"/><Relationship Id="rId23488" Type="http://schemas.openxmlformats.org/officeDocument/2006/relationships/hyperlink" Target="http://secrets.rutgers.edu:8080/data/asl-ftp/asllvd/demos/verify_start_end_handshape_annotations//test_auto_move//signs_mov_separ_signers/Dana_14251.mov" TargetMode="External"/><Relationship Id="rId23489" Type="http://schemas.openxmlformats.org/officeDocument/2006/relationships/hyperlink" Target="http://csr.bu.edu/ftp/asl/asllvd/demos/verify_start_end_handshape_annotations//test_auto_move//signs_mov_separ_signers/Liz_1.mov" TargetMode="External"/><Relationship Id="rId23490" Type="http://schemas.openxmlformats.org/officeDocument/2006/relationships/hyperlink" Target="http://secrets.rutgers.edu:8080/data/asl-ftp/asllvd/demos/verify_start_end_handshape_annotations//test_auto_move//signs_mov_separ_signers/Liz_1.mov" TargetMode="External"/><Relationship Id="rId23491" Type="http://schemas.openxmlformats.org/officeDocument/2006/relationships/hyperlink" Target="http://csr.bu.edu/ftp/asl/asllvd/demos/verify_start_end_handshape_annotations//test_auto_move//signs_mov/1.mov" TargetMode="External"/><Relationship Id="rId23492" Type="http://schemas.openxmlformats.org/officeDocument/2006/relationships/hyperlink" Target="http://csr.bu.edu/ftp/asl/asllvd/demos/verify_start_end_handshape_annotations//test_auto_move//signs_mov_separ_signers/Tyler_1.mov" TargetMode="External"/><Relationship Id="rId23493" Type="http://schemas.openxmlformats.org/officeDocument/2006/relationships/hyperlink" Target="http://secrets.rutgers.edu:8080/data/asl-ftp/asllvd/demos/verify_start_end_handshape_annotations//test_auto_move//signs_mov/1.mov" TargetMode="External"/><Relationship Id="rId23494" Type="http://schemas.openxmlformats.org/officeDocument/2006/relationships/hyperlink" Target="http://secrets.rutgers.edu:8080/data/asl-ftp/asllvd/demos/verify_start_end_handshape_annotations//test_auto_move//signs_mov_separ_signers/Tyler_1.mov" TargetMode="External"/><Relationship Id="rId23495" Type="http://schemas.openxmlformats.org/officeDocument/2006/relationships/hyperlink" Target="http://csr.bu.edu/ftp/asl/asllvd/demos/verify_start_end_handshape_annotations//test_auto_move//signs_mov_separ_signers/Naomi_1.mov" TargetMode="External"/><Relationship Id="rId23496" Type="http://schemas.openxmlformats.org/officeDocument/2006/relationships/hyperlink" Target="http://secrets.rutgers.edu:8080/data/asl-ftp/asllvd/demos/verify_start_end_handshape_annotations//test_auto_move//signs_mov_separ_signers/Naomi_1.mov" TargetMode="External"/><Relationship Id="rId23497" Type="http://schemas.openxmlformats.org/officeDocument/2006/relationships/hyperlink" Target="http://csr.bu.edu/ftp/asl/asllvd/demos/verify_start_end_handshape_annotations//test_auto_move//signs_mov_separ_signers/Brady_1.mov" TargetMode="External"/><Relationship Id="rId23498" Type="http://schemas.openxmlformats.org/officeDocument/2006/relationships/hyperlink" Target="http://secrets.rutgers.edu:8080/data/asl-ftp/asllvd/demos/verify_start_end_handshape_annotations//test_auto_move//signs_mov_separ_signers/Brady_1.mov" TargetMode="External"/><Relationship Id="rId23499" Type="http://schemas.openxmlformats.org/officeDocument/2006/relationships/hyperlink" Target="http://csr.bu.edu/ftp/asl/asllvd/demos/verify_start_end_handshape_annotations//test_auto_move//signs_mov_separ_signers/Liz_2.mov" TargetMode="External"/><Relationship Id="rId23500" Type="http://schemas.openxmlformats.org/officeDocument/2006/relationships/hyperlink" Target="http://secrets.rutgers.edu:8080/data/asl-ftp/asllvd/demos/verify_start_end_handshape_annotations//test_auto_move//signs_mov_separ_signers/Liz_2.mov" TargetMode="External"/><Relationship Id="rId23501" Type="http://schemas.openxmlformats.org/officeDocument/2006/relationships/hyperlink" Target="http://csr.bu.edu/ftp/asl/asllvd/demos/verify_start_end_handshape_annotations//test_auto_move//signs_mov_separ_signers/Tyler_2.mov" TargetMode="External"/><Relationship Id="rId23502" Type="http://schemas.openxmlformats.org/officeDocument/2006/relationships/hyperlink" Target="http://secrets.rutgers.edu:8080/data/asl-ftp/asllvd/demos/verify_start_end_handshape_annotations//test_auto_move//signs_mov_separ_signers/Tyler_2.mov" TargetMode="External"/><Relationship Id="rId23503" Type="http://schemas.openxmlformats.org/officeDocument/2006/relationships/hyperlink" Target="http://csr.bu.edu/ftp/asl/asllvd/demos/verify_start_end_handshape_annotations//test_auto_move//signs_mov/2_3935_merged.mov" TargetMode="External"/><Relationship Id="rId23504" Type="http://schemas.openxmlformats.org/officeDocument/2006/relationships/hyperlink" Target="http://csr.bu.edu/ftp/asl/asllvd/demos/verify_start_end_handshape_annotations//test_auto_move//signs_mov_separ_signers/Naomi_2.mov" TargetMode="External"/><Relationship Id="rId23505" Type="http://schemas.openxmlformats.org/officeDocument/2006/relationships/hyperlink" Target="http://secrets.rutgers.edu:8080/data/asl-ftp/asllvd/demos/verify_start_end_handshape_annotations//test_auto_move//signs_mov/2_3935_merged.mov" TargetMode="External"/><Relationship Id="rId23506" Type="http://schemas.openxmlformats.org/officeDocument/2006/relationships/hyperlink" Target="http://secrets.rutgers.edu:8080/data/asl-ftp/asllvd/demos/verify_start_end_handshape_annotations//test_auto_move//signs_mov_separ_signers/Naomi_2.mov" TargetMode="External"/><Relationship Id="rId23507" Type="http://schemas.openxmlformats.org/officeDocument/2006/relationships/hyperlink" Target="http://csr.bu.edu/ftp/asl/asllvd/demos/verify_start_end_handshape_annotations//test_auto_move//signs_mov_separ_signers/Brady_2.mov" TargetMode="External"/><Relationship Id="rId23508" Type="http://schemas.openxmlformats.org/officeDocument/2006/relationships/hyperlink" Target="http://secrets.rutgers.edu:8080/data/asl-ftp/asllvd/demos/verify_start_end_handshape_annotations//test_auto_move//signs_mov_separ_signers/Brady_2.mov" TargetMode="External"/><Relationship Id="rId23509" Type="http://schemas.openxmlformats.org/officeDocument/2006/relationships/hyperlink" Target="http://csr.bu.edu/ftp/asl/asllvd/demos/verify_start_end_handshape_annotations//test_auto_move//signs_mov_separ_signers/Brady_3935.mov" TargetMode="External"/><Relationship Id="rId23510" Type="http://schemas.openxmlformats.org/officeDocument/2006/relationships/hyperlink" Target="http://secrets.rutgers.edu:8080/data/asl-ftp/asllvd/demos/verify_start_end_handshape_annotations//test_auto_move//signs_mov_separ_signers/Brady_3935.mov" TargetMode="External"/><Relationship Id="rId23511" Type="http://schemas.openxmlformats.org/officeDocument/2006/relationships/hyperlink" Target="http://csr.bu.edu/ftp/asl/asllvd/demos/verify_start_end_handshape_annotations//test_auto_move//signs_mov_separ_signers/Liz_3.mov" TargetMode="External"/><Relationship Id="rId23512" Type="http://schemas.openxmlformats.org/officeDocument/2006/relationships/hyperlink" Target="http://secrets.rutgers.edu:8080/data/asl-ftp/asllvd/demos/verify_start_end_handshape_annotations//test_auto_move//signs_mov_separ_signers/Liz_3.mov" TargetMode="External"/><Relationship Id="rId23513" Type="http://schemas.openxmlformats.org/officeDocument/2006/relationships/hyperlink" Target="http://csr.bu.edu/ftp/asl/asllvd/demos/verify_start_end_handshape_annotations//test_auto_move//signs_mov/3.mov" TargetMode="External"/><Relationship Id="rId23514" Type="http://schemas.openxmlformats.org/officeDocument/2006/relationships/hyperlink" Target="http://csr.bu.edu/ftp/asl/asllvd/demos/verify_start_end_handshape_annotations//test_auto_move//signs_mov_separ_signers/Tyler_3.mov" TargetMode="External"/><Relationship Id="rId23515" Type="http://schemas.openxmlformats.org/officeDocument/2006/relationships/hyperlink" Target="http://secrets.rutgers.edu:8080/data/asl-ftp/asllvd/demos/verify_start_end_handshape_annotations//test_auto_move//signs_mov/3.mov" TargetMode="External"/><Relationship Id="rId23516" Type="http://schemas.openxmlformats.org/officeDocument/2006/relationships/hyperlink" Target="http://secrets.rutgers.edu:8080/data/asl-ftp/asllvd/demos/verify_start_end_handshape_annotations//test_auto_move//signs_mov_separ_signers/Tyler_3.mov" TargetMode="External"/><Relationship Id="rId23517" Type="http://schemas.openxmlformats.org/officeDocument/2006/relationships/hyperlink" Target="http://csr.bu.edu/ftp/asl/asllvd/demos/verify_start_end_handshape_annotations//test_auto_move//signs_mov_separ_signers/Naomi_3.mov" TargetMode="External"/><Relationship Id="rId23518" Type="http://schemas.openxmlformats.org/officeDocument/2006/relationships/hyperlink" Target="http://secrets.rutgers.edu:8080/data/asl-ftp/asllvd/demos/verify_start_end_handshape_annotations//test_auto_move//signs_mov_separ_signers/Naomi_3.mov" TargetMode="External"/><Relationship Id="rId23519" Type="http://schemas.openxmlformats.org/officeDocument/2006/relationships/hyperlink" Target="http://csr.bu.edu/ftp/asl/asllvd/demos/verify_start_end_handshape_annotations//test_auto_move//signs_mov_separ_signers/Brady_3.mov" TargetMode="External"/><Relationship Id="rId23520" Type="http://schemas.openxmlformats.org/officeDocument/2006/relationships/hyperlink" Target="http://secrets.rutgers.edu:8080/data/asl-ftp/asllvd/demos/verify_start_end_handshape_annotations//test_auto_move//signs_mov_separ_signers/Brady_3.mov" TargetMode="External"/><Relationship Id="rId23521" Type="http://schemas.openxmlformats.org/officeDocument/2006/relationships/hyperlink" Target="http://csr.bu.edu/ftp/asl/asllvd/demos/verify_start_end_handshape_annotations//test_auto_move//signs_mov_separ_signers/Liz_4.mov" TargetMode="External"/><Relationship Id="rId23522" Type="http://schemas.openxmlformats.org/officeDocument/2006/relationships/hyperlink" Target="http://secrets.rutgers.edu:8080/data/asl-ftp/asllvd/demos/verify_start_end_handshape_annotations//test_auto_move//signs_mov_separ_signers/Liz_4.mov" TargetMode="External"/><Relationship Id="rId23523" Type="http://schemas.openxmlformats.org/officeDocument/2006/relationships/hyperlink" Target="http://csr.bu.edu/ftp/asl/asllvd/demos/verify_start_end_handshape_annotations//test_auto_move//signs_mov/4.mov" TargetMode="External"/><Relationship Id="rId23524" Type="http://schemas.openxmlformats.org/officeDocument/2006/relationships/hyperlink" Target="http://csr.bu.edu/ftp/asl/asllvd/demos/verify_start_end_handshape_annotations//test_auto_move//signs_mov_separ_signers/Tyler_4.mov" TargetMode="External"/><Relationship Id="rId23525" Type="http://schemas.openxmlformats.org/officeDocument/2006/relationships/hyperlink" Target="http://secrets.rutgers.edu:8080/data/asl-ftp/asllvd/demos/verify_start_end_handshape_annotations//test_auto_move//signs_mov/4.mov" TargetMode="External"/><Relationship Id="rId23526" Type="http://schemas.openxmlformats.org/officeDocument/2006/relationships/hyperlink" Target="http://secrets.rutgers.edu:8080/data/asl-ftp/asllvd/demos/verify_start_end_handshape_annotations//test_auto_move//signs_mov_separ_signers/Tyler_4.mov" TargetMode="External"/><Relationship Id="rId23527" Type="http://schemas.openxmlformats.org/officeDocument/2006/relationships/hyperlink" Target="http://csr.bu.edu/ftp/asl/asllvd/demos/verify_start_end_handshape_annotations//test_auto_move//signs_mov_separ_signers/Naomi_4.mov" TargetMode="External"/><Relationship Id="rId23528" Type="http://schemas.openxmlformats.org/officeDocument/2006/relationships/hyperlink" Target="http://secrets.rutgers.edu:8080/data/asl-ftp/asllvd/demos/verify_start_end_handshape_annotations//test_auto_move//signs_mov_separ_signers/Naomi_4.mov" TargetMode="External"/><Relationship Id="rId23529" Type="http://schemas.openxmlformats.org/officeDocument/2006/relationships/hyperlink" Target="http://csr.bu.edu/ftp/asl/asllvd/demos/verify_start_end_handshape_annotations//test_auto_move//signs_mov_separ_signers/Brady_4.mov" TargetMode="External"/><Relationship Id="rId23530" Type="http://schemas.openxmlformats.org/officeDocument/2006/relationships/hyperlink" Target="http://secrets.rutgers.edu:8080/data/asl-ftp/asllvd/demos/verify_start_end_handshape_annotations//test_auto_move//signs_mov_separ_signers/Brady_4.mov" TargetMode="External"/><Relationship Id="rId23531" Type="http://schemas.openxmlformats.org/officeDocument/2006/relationships/hyperlink" Target="http://csr.bu.edu/ftp/asl/asllvd/demos/verify_start_end_handshape_annotations//test_auto_move//signs_mov_separ_signers/Liz_5.mov" TargetMode="External"/><Relationship Id="rId23532" Type="http://schemas.openxmlformats.org/officeDocument/2006/relationships/hyperlink" Target="http://secrets.rutgers.edu:8080/data/asl-ftp/asllvd/demos/verify_start_end_handshape_annotations//test_auto_move//signs_mov_separ_signers/Liz_5.mov" TargetMode="External"/><Relationship Id="rId23533" Type="http://schemas.openxmlformats.org/officeDocument/2006/relationships/hyperlink" Target="http://csr.bu.edu/ftp/asl/asllvd/demos/verify_start_end_handshape_annotations//test_auto_move//signs_mov/5.mov" TargetMode="External"/><Relationship Id="rId23534" Type="http://schemas.openxmlformats.org/officeDocument/2006/relationships/hyperlink" Target="http://csr.bu.edu/ftp/asl/asllvd/demos/verify_start_end_handshape_annotations//test_auto_move//signs_mov_separ_signers/Tyler_5.mov" TargetMode="External"/><Relationship Id="rId23535" Type="http://schemas.openxmlformats.org/officeDocument/2006/relationships/hyperlink" Target="http://secrets.rutgers.edu:8080/data/asl-ftp/asllvd/demos/verify_start_end_handshape_annotations//test_auto_move//signs_mov/5.mov" TargetMode="External"/><Relationship Id="rId23536" Type="http://schemas.openxmlformats.org/officeDocument/2006/relationships/hyperlink" Target="http://secrets.rutgers.edu:8080/data/asl-ftp/asllvd/demos/verify_start_end_handshape_annotations//test_auto_move//signs_mov_separ_signers/Tyler_5.mov" TargetMode="External"/><Relationship Id="rId23537" Type="http://schemas.openxmlformats.org/officeDocument/2006/relationships/hyperlink" Target="http://csr.bu.edu/ftp/asl/asllvd/demos/verify_start_end_handshape_annotations//test_auto_move//signs_mov_separ_signers/Naomi_5.mov" TargetMode="External"/><Relationship Id="rId23538" Type="http://schemas.openxmlformats.org/officeDocument/2006/relationships/hyperlink" Target="http://secrets.rutgers.edu:8080/data/asl-ftp/asllvd/demos/verify_start_end_handshape_annotations//test_auto_move//signs_mov_separ_signers/Naomi_5.mov" TargetMode="External"/><Relationship Id="rId23539" Type="http://schemas.openxmlformats.org/officeDocument/2006/relationships/hyperlink" Target="http://csr.bu.edu/ftp/asl/asllvd/demos/verify_start_end_handshape_annotations//test_auto_move//signs_mov_separ_signers/Brady_5.mov" TargetMode="External"/><Relationship Id="rId23540" Type="http://schemas.openxmlformats.org/officeDocument/2006/relationships/hyperlink" Target="http://secrets.rutgers.edu:8080/data/asl-ftp/asllvd/demos/verify_start_end_handshape_annotations//test_auto_move//signs_mov_separ_signers/Brady_5.mov" TargetMode="External"/><Relationship Id="rId23541" Type="http://schemas.openxmlformats.org/officeDocument/2006/relationships/hyperlink" Target="http://csr.bu.edu/ftp/asl/asllvd/demos/verify_start_end_handshape_annotations//test_auto_move//signs_mov_separ_signers/Liz_6.mov" TargetMode="External"/><Relationship Id="rId23542" Type="http://schemas.openxmlformats.org/officeDocument/2006/relationships/hyperlink" Target="http://secrets.rutgers.edu:8080/data/asl-ftp/asllvd/demos/verify_start_end_handshape_annotations//test_auto_move//signs_mov_separ_signers/Liz_6.mov" TargetMode="External"/><Relationship Id="rId23543" Type="http://schemas.openxmlformats.org/officeDocument/2006/relationships/hyperlink" Target="http://csr.bu.edu/ftp/asl/asllvd/demos/verify_start_end_handshape_annotations//test_auto_move//signs_mov_separ_signers/Tyler_6.mov" TargetMode="External"/><Relationship Id="rId23544" Type="http://schemas.openxmlformats.org/officeDocument/2006/relationships/hyperlink" Target="http://secrets.rutgers.edu:8080/data/asl-ftp/asllvd/demos/verify_start_end_handshape_annotations//test_auto_move//signs_mov_separ_signers/Tyler_6.mov" TargetMode="External"/><Relationship Id="rId23545" Type="http://schemas.openxmlformats.org/officeDocument/2006/relationships/hyperlink" Target="http://csr.bu.edu/ftp/asl/asllvd/demos/verify_start_end_handshape_annotations//test_auto_move//signs_mov/6_3835_merged.mov" TargetMode="External"/><Relationship Id="rId23546" Type="http://schemas.openxmlformats.org/officeDocument/2006/relationships/hyperlink" Target="http://csr.bu.edu/ftp/asl/asllvd/demos/verify_start_end_handshape_annotations//test_auto_move//signs_mov_separ_signers/Tyler_3835.mov" TargetMode="External"/><Relationship Id="rId23547" Type="http://schemas.openxmlformats.org/officeDocument/2006/relationships/hyperlink" Target="http://secrets.rutgers.edu:8080/data/asl-ftp/asllvd/demos/verify_start_end_handshape_annotations//test_auto_move//signs_mov/6_3835_merged.mov" TargetMode="External"/><Relationship Id="rId23548" Type="http://schemas.openxmlformats.org/officeDocument/2006/relationships/hyperlink" Target="http://secrets.rutgers.edu:8080/data/asl-ftp/asllvd/demos/verify_start_end_handshape_annotations//test_auto_move//signs_mov_separ_signers/Tyler_3835.mov" TargetMode="External"/><Relationship Id="rId23549" Type="http://schemas.openxmlformats.org/officeDocument/2006/relationships/hyperlink" Target="http://csr.bu.edu/ftp/asl/asllvd/demos/verify_start_end_handshape_annotations//test_auto_move//signs_mov_separ_signers/Naomi_6.mov" TargetMode="External"/><Relationship Id="rId23550" Type="http://schemas.openxmlformats.org/officeDocument/2006/relationships/hyperlink" Target="http://secrets.rutgers.edu:8080/data/asl-ftp/asllvd/demos/verify_start_end_handshape_annotations//test_auto_move//signs_mov_separ_signers/Naomi_6.mov" TargetMode="External"/><Relationship Id="rId23551" Type="http://schemas.openxmlformats.org/officeDocument/2006/relationships/hyperlink" Target="http://csr.bu.edu/ftp/asl/asllvd/demos/verify_start_end_handshape_annotations//test_auto_move//signs_mov_separ_signers/Brady_6.mov" TargetMode="External"/><Relationship Id="rId23552" Type="http://schemas.openxmlformats.org/officeDocument/2006/relationships/hyperlink" Target="http://secrets.rutgers.edu:8080/data/asl-ftp/asllvd/demos/verify_start_end_handshape_annotations//test_auto_move//signs_mov_separ_signers/Brady_6.mov" TargetMode="External"/><Relationship Id="rId23553" Type="http://schemas.openxmlformats.org/officeDocument/2006/relationships/hyperlink" Target="http://csr.bu.edu/ftp/asl/asllvd/demos/verify_start_end_handshape_annotations//test_auto_move//signs_mov_separ_signers/Liz_7.mov" TargetMode="External"/><Relationship Id="rId23554" Type="http://schemas.openxmlformats.org/officeDocument/2006/relationships/hyperlink" Target="http://secrets.rutgers.edu:8080/data/asl-ftp/asllvd/demos/verify_start_end_handshape_annotations//test_auto_move//signs_mov_separ_signers/Liz_7.mov" TargetMode="External"/><Relationship Id="rId23555" Type="http://schemas.openxmlformats.org/officeDocument/2006/relationships/hyperlink" Target="http://csr.bu.edu/ftp/asl/asllvd/demos/verify_start_end_handshape_annotations//test_auto_move//signs_mov/7.mov" TargetMode="External"/><Relationship Id="rId23556" Type="http://schemas.openxmlformats.org/officeDocument/2006/relationships/hyperlink" Target="http://csr.bu.edu/ftp/asl/asllvd/demos/verify_start_end_handshape_annotations//test_auto_move//signs_mov_separ_signers/Tyler_7.mov" TargetMode="External"/><Relationship Id="rId23557" Type="http://schemas.openxmlformats.org/officeDocument/2006/relationships/hyperlink" Target="http://secrets.rutgers.edu:8080/data/asl-ftp/asllvd/demos/verify_start_end_handshape_annotations//test_auto_move//signs_mov/7.mov" TargetMode="External"/><Relationship Id="rId23558" Type="http://schemas.openxmlformats.org/officeDocument/2006/relationships/hyperlink" Target="http://secrets.rutgers.edu:8080/data/asl-ftp/asllvd/demos/verify_start_end_handshape_annotations//test_auto_move//signs_mov_separ_signers/Tyler_7.mov" TargetMode="External"/><Relationship Id="rId23559" Type="http://schemas.openxmlformats.org/officeDocument/2006/relationships/hyperlink" Target="http://csr.bu.edu/ftp/asl/asllvd/demos/verify_start_end_handshape_annotations//test_auto_move//signs_mov_separ_signers/Naomi_7.mov" TargetMode="External"/><Relationship Id="rId23560" Type="http://schemas.openxmlformats.org/officeDocument/2006/relationships/hyperlink" Target="http://secrets.rutgers.edu:8080/data/asl-ftp/asllvd/demos/verify_start_end_handshape_annotations//test_auto_move//signs_mov_separ_signers/Naomi_7.mov" TargetMode="External"/><Relationship Id="rId23561" Type="http://schemas.openxmlformats.org/officeDocument/2006/relationships/hyperlink" Target="http://csr.bu.edu/ftp/asl/asllvd/demos/verify_start_end_handshape_annotations//test_auto_move//signs_mov_separ_signers/Brady_7.mov" TargetMode="External"/><Relationship Id="rId23562" Type="http://schemas.openxmlformats.org/officeDocument/2006/relationships/hyperlink" Target="http://secrets.rutgers.edu:8080/data/asl-ftp/asllvd/demos/verify_start_end_handshape_annotations//test_auto_move//signs_mov_separ_signers/Brady_7.mov" TargetMode="External"/><Relationship Id="rId23563" Type="http://schemas.openxmlformats.org/officeDocument/2006/relationships/hyperlink" Target="http://csr.bu.edu/ftp/asl/asllvd/demos/verify_start_end_handshape_annotations//test_auto_move//signs_mov_separ_signers/Liz_8.mov" TargetMode="External"/><Relationship Id="rId23564" Type="http://schemas.openxmlformats.org/officeDocument/2006/relationships/hyperlink" Target="http://secrets.rutgers.edu:8080/data/asl-ftp/asllvd/demos/verify_start_end_handshape_annotations//test_auto_move//signs_mov_separ_signers/Liz_8.mov" TargetMode="External"/><Relationship Id="rId23565" Type="http://schemas.openxmlformats.org/officeDocument/2006/relationships/hyperlink" Target="http://csr.bu.edu/ftp/asl/asllvd/demos/verify_start_end_handshape_annotations//test_auto_move//signs_mov_separ_signers/Tyler_8.mov" TargetMode="External"/><Relationship Id="rId23566" Type="http://schemas.openxmlformats.org/officeDocument/2006/relationships/hyperlink" Target="http://secrets.rutgers.edu:8080/data/asl-ftp/asllvd/demos/verify_start_end_handshape_annotations//test_auto_move//signs_mov_separ_signers/Tyler_8.mov" TargetMode="External"/><Relationship Id="rId23567" Type="http://schemas.openxmlformats.org/officeDocument/2006/relationships/hyperlink" Target="http://csr.bu.edu/ftp/asl/asllvd/demos/verify_start_end_handshape_annotations//test_auto_move//signs_mov/8.mov" TargetMode="External"/><Relationship Id="rId23568" Type="http://schemas.openxmlformats.org/officeDocument/2006/relationships/hyperlink" Target="http://csr.bu.edu/ftp/asl/asllvd/demos/verify_start_end_handshape_annotations//test_auto_move//signs_mov_separ_signers/Naomi_8.mov" TargetMode="External"/><Relationship Id="rId23569" Type="http://schemas.openxmlformats.org/officeDocument/2006/relationships/hyperlink" Target="http://secrets.rutgers.edu:8080/data/asl-ftp/asllvd/demos/verify_start_end_handshape_annotations//test_auto_move//signs_mov/8.mov" TargetMode="External"/><Relationship Id="rId23570" Type="http://schemas.openxmlformats.org/officeDocument/2006/relationships/hyperlink" Target="http://secrets.rutgers.edu:8080/data/asl-ftp/asllvd/demos/verify_start_end_handshape_annotations//test_auto_move//signs_mov_separ_signers/Naomi_8.mov" TargetMode="External"/><Relationship Id="rId23571" Type="http://schemas.openxmlformats.org/officeDocument/2006/relationships/hyperlink" Target="http://csr.bu.edu/ftp/asl/asllvd/demos/verify_start_end_handshape_annotations//test_auto_move//signs_mov_separ_signers/Brady_8.mov" TargetMode="External"/><Relationship Id="rId23572" Type="http://schemas.openxmlformats.org/officeDocument/2006/relationships/hyperlink" Target="http://secrets.rutgers.edu:8080/data/asl-ftp/asllvd/demos/verify_start_end_handshape_annotations//test_auto_move//signs_mov_separ_signers/Brady_8.mov" TargetMode="External"/><Relationship Id="rId23573" Type="http://schemas.openxmlformats.org/officeDocument/2006/relationships/hyperlink" Target="http://csr.bu.edu/ftp/asl/asllvd/demos/verify_start_end_handshape_annotations//test_auto_move//signs_mov_separ_signers/Lana_8.mov" TargetMode="External"/><Relationship Id="rId23574" Type="http://schemas.openxmlformats.org/officeDocument/2006/relationships/hyperlink" Target="http://secrets.rutgers.edu:8080/data/asl-ftp/asllvd/demos/verify_start_end_handshape_annotations//test_auto_move//signs_mov_separ_signers/Lana_8.mov" TargetMode="External"/><Relationship Id="rId23575" Type="http://schemas.openxmlformats.org/officeDocument/2006/relationships/hyperlink" Target="http://csr.bu.edu/ftp/asl/asllvd/demos/verify_start_end_handshape_annotations//test_auto_move//signs_mov_separ_signers/Dana_8.mov" TargetMode="External"/><Relationship Id="rId23576" Type="http://schemas.openxmlformats.org/officeDocument/2006/relationships/hyperlink" Target="http://secrets.rutgers.edu:8080/data/asl-ftp/asllvd/demos/verify_start_end_handshape_annotations//test_auto_move//signs_mov_separ_signers/Dana_8.mov" TargetMode="External"/><Relationship Id="rId23577" Type="http://schemas.openxmlformats.org/officeDocument/2006/relationships/hyperlink" Target="http://csr.bu.edu/ftp/asl/asllvd/demos/verify_start_end_handshape_annotations//test_auto_move//signs_mov_separ_signers/Liz_9.mov" TargetMode="External"/><Relationship Id="rId23578" Type="http://schemas.openxmlformats.org/officeDocument/2006/relationships/hyperlink" Target="http://secrets.rutgers.edu:8080/data/asl-ftp/asllvd/demos/verify_start_end_handshape_annotations//test_auto_move//signs_mov_separ_signers/Liz_9.mov" TargetMode="External"/><Relationship Id="rId23579" Type="http://schemas.openxmlformats.org/officeDocument/2006/relationships/hyperlink" Target="http://csr.bu.edu/ftp/asl/asllvd/demos/verify_start_end_handshape_annotations//test_auto_move//signs_mov/9.mov" TargetMode="External"/><Relationship Id="rId23580" Type="http://schemas.openxmlformats.org/officeDocument/2006/relationships/hyperlink" Target="http://csr.bu.edu/ftp/asl/asllvd/demos/verify_start_end_handshape_annotations//test_auto_move//signs_mov_separ_signers/Tyler_9.mov" TargetMode="External"/><Relationship Id="rId23581" Type="http://schemas.openxmlformats.org/officeDocument/2006/relationships/hyperlink" Target="http://secrets.rutgers.edu:8080/data/asl-ftp/asllvd/demos/verify_start_end_handshape_annotations//test_auto_move//signs_mov/9.mov" TargetMode="External"/><Relationship Id="rId23582" Type="http://schemas.openxmlformats.org/officeDocument/2006/relationships/hyperlink" Target="http://secrets.rutgers.edu:8080/data/asl-ftp/asllvd/demos/verify_start_end_handshape_annotations//test_auto_move//signs_mov_separ_signers/Tyler_9.mov" TargetMode="External"/><Relationship Id="rId23583" Type="http://schemas.openxmlformats.org/officeDocument/2006/relationships/hyperlink" Target="http://csr.bu.edu/ftp/asl/asllvd/demos/verify_start_end_handshape_annotations//test_auto_move//signs_mov_separ_signers/Naomi_9.mov" TargetMode="External"/><Relationship Id="rId23584" Type="http://schemas.openxmlformats.org/officeDocument/2006/relationships/hyperlink" Target="http://secrets.rutgers.edu:8080/data/asl-ftp/asllvd/demos/verify_start_end_handshape_annotations//test_auto_move//signs_mov_separ_signers/Naomi_9.mov" TargetMode="External"/><Relationship Id="rId23585" Type="http://schemas.openxmlformats.org/officeDocument/2006/relationships/hyperlink" Target="http://csr.bu.edu/ftp/asl/asllvd/demos/verify_start_end_handshape_annotations//test_auto_move//signs_mov_separ_signers/Brady_9.mov" TargetMode="External"/><Relationship Id="rId23586" Type="http://schemas.openxmlformats.org/officeDocument/2006/relationships/hyperlink" Target="http://secrets.rutgers.edu:8080/data/asl-ftp/asllvd/demos/verify_start_end_handshape_annotations//test_auto_move//signs_mov_separ_signers/Brady_9.mov" TargetMode="External"/><Relationship Id="rId23587" Type="http://schemas.openxmlformats.org/officeDocument/2006/relationships/hyperlink" Target="http://csr.bu.edu/ftp/asl/asllvd/demos/verify_start_end_handshape_annotations//test_auto_move//signs_mov/3937.mov" TargetMode="External"/><Relationship Id="rId23588" Type="http://schemas.openxmlformats.org/officeDocument/2006/relationships/hyperlink" Target="http://csr.bu.edu/ftp/asl/asllvd/demos/verify_start_end_handshape_annotations//test_auto_move//signs_mov_separ_signers/Brady_3937.mov" TargetMode="External"/><Relationship Id="rId23589" Type="http://schemas.openxmlformats.org/officeDocument/2006/relationships/hyperlink" Target="http://secrets.rutgers.edu:8080/data/asl-ftp/asllvd/demos/verify_start_end_handshape_annotations//test_auto_move//signs_mov/3937.mov" TargetMode="External"/><Relationship Id="rId23590" Type="http://schemas.openxmlformats.org/officeDocument/2006/relationships/hyperlink" Target="http://secrets.rutgers.edu:8080/data/asl-ftp/asllvd/demos/verify_start_end_handshape_annotations//test_auto_move//signs_mov_separ_signers/Brady_3937.mov" TargetMode="External"/><Relationship Id="rId23591" Type="http://schemas.openxmlformats.org/officeDocument/2006/relationships/hyperlink" Target="http://csr.bu.edu/ftp/asl/asllvd/demos/verify_start_end_handshape_annotations//test_auto_move//signs_mov_separ_signers/Liz_11.mov" TargetMode="External"/><Relationship Id="rId23592" Type="http://schemas.openxmlformats.org/officeDocument/2006/relationships/hyperlink" Target="http://secrets.rutgers.edu:8080/data/asl-ftp/asllvd/demos/verify_start_end_handshape_annotations//test_auto_move//signs_mov_separ_signers/Liz_11.mov" TargetMode="External"/><Relationship Id="rId23593" Type="http://schemas.openxmlformats.org/officeDocument/2006/relationships/hyperlink" Target="http://csr.bu.edu/ftp/asl/asllvd/demos/verify_start_end_handshape_annotations//test_auto_move//signs_mov_separ_signers/Tyler_11.mov" TargetMode="External"/><Relationship Id="rId23594" Type="http://schemas.openxmlformats.org/officeDocument/2006/relationships/hyperlink" Target="http://secrets.rutgers.edu:8080/data/asl-ftp/asllvd/demos/verify_start_end_handshape_annotations//test_auto_move//signs_mov_separ_signers/Tyler_11.mov" TargetMode="External"/><Relationship Id="rId23595" Type="http://schemas.openxmlformats.org/officeDocument/2006/relationships/hyperlink" Target="http://csr.bu.edu/ftp/asl/asllvd/demos/verify_start_end_handshape_annotations//test_auto_move//signs_mov_separ_signers/Tyler_3358.mov" TargetMode="External"/><Relationship Id="rId23596" Type="http://schemas.openxmlformats.org/officeDocument/2006/relationships/hyperlink" Target="http://secrets.rutgers.edu:8080/data/asl-ftp/asllvd/demos/verify_start_end_handshape_annotations//test_auto_move//signs_mov_separ_signers/Tyler_3358.mov" TargetMode="External"/><Relationship Id="rId23597" Type="http://schemas.openxmlformats.org/officeDocument/2006/relationships/hyperlink" Target="http://csr.bu.edu/ftp/asl/asllvd/demos/verify_start_end_handshape_annotations//test_auto_move//signs_mov/11_3358_3934_merged.mov" TargetMode="External"/><Relationship Id="rId23598" Type="http://schemas.openxmlformats.org/officeDocument/2006/relationships/hyperlink" Target="http://csr.bu.edu/ftp/asl/asllvd/demos/verify_start_end_handshape_annotations//test_auto_move//signs_mov_separ_signers/Naomi_11.mov" TargetMode="External"/><Relationship Id="rId23599" Type="http://schemas.openxmlformats.org/officeDocument/2006/relationships/hyperlink" Target="http://secrets.rutgers.edu:8080/data/asl-ftp/asllvd/demos/verify_start_end_handshape_annotations//test_auto_move//signs_mov/11_3358_3934_merged.mov" TargetMode="External"/><Relationship Id="rId23600" Type="http://schemas.openxmlformats.org/officeDocument/2006/relationships/hyperlink" Target="http://secrets.rutgers.edu:8080/data/asl-ftp/asllvd/demos/verify_start_end_handshape_annotations//test_auto_move//signs_mov_separ_signers/Naomi_11.mov" TargetMode="External"/><Relationship Id="rId23601" Type="http://schemas.openxmlformats.org/officeDocument/2006/relationships/hyperlink" Target="http://csr.bu.edu/ftp/asl/asllvd/demos/verify_start_end_handshape_annotations//test_auto_move//signs_mov_separ_signers/Naomi_3358.mov" TargetMode="External"/><Relationship Id="rId23602" Type="http://schemas.openxmlformats.org/officeDocument/2006/relationships/hyperlink" Target="http://secrets.rutgers.edu:8080/data/asl-ftp/asllvd/demos/verify_start_end_handshape_annotations//test_auto_move//signs_mov_separ_signers/Naomi_3358.mov" TargetMode="External"/><Relationship Id="rId23603" Type="http://schemas.openxmlformats.org/officeDocument/2006/relationships/hyperlink" Target="http://csr.bu.edu/ftp/asl/asllvd/demos/verify_start_end_handshape_annotations//test_auto_move//signs_mov_separ_signers/Brady_11.mov" TargetMode="External"/><Relationship Id="rId23604" Type="http://schemas.openxmlformats.org/officeDocument/2006/relationships/hyperlink" Target="http://secrets.rutgers.edu:8080/data/asl-ftp/asllvd/demos/verify_start_end_handshape_annotations//test_auto_move//signs_mov_separ_signers/Brady_11.mov" TargetMode="External"/><Relationship Id="rId23605" Type="http://schemas.openxmlformats.org/officeDocument/2006/relationships/hyperlink" Target="http://csr.bu.edu/ftp/asl/asllvd/demos/verify_start_end_handshape_annotations//test_auto_move//signs_mov_separ_signers/Brady_3358.mov" TargetMode="External"/><Relationship Id="rId23606" Type="http://schemas.openxmlformats.org/officeDocument/2006/relationships/hyperlink" Target="http://secrets.rutgers.edu:8080/data/asl-ftp/asllvd/demos/verify_start_end_handshape_annotations//test_auto_move//signs_mov_separ_signers/Brady_3358.mov" TargetMode="External"/><Relationship Id="rId23607" Type="http://schemas.openxmlformats.org/officeDocument/2006/relationships/hyperlink" Target="http://csr.bu.edu/ftp/asl/asllvd/demos/verify_start_end_handshape_annotations//test_auto_move//signs_mov_separ_signers/Brady_3934.mov" TargetMode="External"/><Relationship Id="rId23608" Type="http://schemas.openxmlformats.org/officeDocument/2006/relationships/hyperlink" Target="http://secrets.rutgers.edu:8080/data/asl-ftp/asllvd/demos/verify_start_end_handshape_annotations//test_auto_move//signs_mov_separ_signers/Brady_3934.mov" TargetMode="External"/><Relationship Id="rId23609" Type="http://schemas.openxmlformats.org/officeDocument/2006/relationships/hyperlink" Target="http://csr.bu.edu/ftp/asl/asllvd/demos/verify_start_end_handshape_annotations//test_auto_move//signs_mov/16234.mov" TargetMode="External"/><Relationship Id="rId23610" Type="http://schemas.openxmlformats.org/officeDocument/2006/relationships/hyperlink" Target="http://csr.bu.edu/ftp/asl/asllvd/demos/verify_start_end_handshape_annotations//test_auto_move//signs_mov_separ_signers/Liz_16234.mov" TargetMode="External"/><Relationship Id="rId23611" Type="http://schemas.openxmlformats.org/officeDocument/2006/relationships/hyperlink" Target="http://secrets.rutgers.edu:8080/data/asl-ftp/asllvd/demos/verify_start_end_handshape_annotations//test_auto_move//signs_mov/16234.mov" TargetMode="External"/><Relationship Id="rId23612" Type="http://schemas.openxmlformats.org/officeDocument/2006/relationships/hyperlink" Target="http://secrets.rutgers.edu:8080/data/asl-ftp/asllvd/demos/verify_start_end_handshape_annotations//test_auto_move//signs_mov_separ_signers/Liz_16234.mov" TargetMode="External"/><Relationship Id="rId23613" Type="http://schemas.openxmlformats.org/officeDocument/2006/relationships/hyperlink" Target="http://csr.bu.edu/ftp/asl/asllvd/demos/verify_start_end_handshape_annotations//test_auto_move//signs_mov_separ_signers/Liz_12.mov" TargetMode="External"/><Relationship Id="rId23614" Type="http://schemas.openxmlformats.org/officeDocument/2006/relationships/hyperlink" Target="http://secrets.rutgers.edu:8080/data/asl-ftp/asllvd/demos/verify_start_end_handshape_annotations//test_auto_move//signs_mov_separ_signers/Liz_12.mov" TargetMode="External"/><Relationship Id="rId23615" Type="http://schemas.openxmlformats.org/officeDocument/2006/relationships/hyperlink" Target="http://csr.bu.edu/ftp/asl/asllvd/demos/verify_start_end_handshape_annotations//test_auto_move//signs_mov/12.mov" TargetMode="External"/><Relationship Id="rId23616" Type="http://schemas.openxmlformats.org/officeDocument/2006/relationships/hyperlink" Target="http://csr.bu.edu/ftp/asl/asllvd/demos/verify_start_end_handshape_annotations//test_auto_move//signs_mov_separ_signers/Tyler_12.mov" TargetMode="External"/><Relationship Id="rId23617" Type="http://schemas.openxmlformats.org/officeDocument/2006/relationships/hyperlink" Target="http://secrets.rutgers.edu:8080/data/asl-ftp/asllvd/demos/verify_start_end_handshape_annotations//test_auto_move//signs_mov/12.mov" TargetMode="External"/><Relationship Id="rId23618" Type="http://schemas.openxmlformats.org/officeDocument/2006/relationships/hyperlink" Target="http://secrets.rutgers.edu:8080/data/asl-ftp/asllvd/demos/verify_start_end_handshape_annotations//test_auto_move//signs_mov_separ_signers/Tyler_12.mov" TargetMode="External"/><Relationship Id="rId23619" Type="http://schemas.openxmlformats.org/officeDocument/2006/relationships/hyperlink" Target="http://csr.bu.edu/ftp/asl/asllvd/demos/verify_start_end_handshape_annotations//test_auto_move//signs_mov_separ_signers/Naomi_12.mov" TargetMode="External"/><Relationship Id="rId23620" Type="http://schemas.openxmlformats.org/officeDocument/2006/relationships/hyperlink" Target="http://secrets.rutgers.edu:8080/data/asl-ftp/asllvd/demos/verify_start_end_handshape_annotations//test_auto_move//signs_mov_separ_signers/Naomi_12.mov" TargetMode="External"/><Relationship Id="rId23621" Type="http://schemas.openxmlformats.org/officeDocument/2006/relationships/hyperlink" Target="http://csr.bu.edu/ftp/asl/asllvd/demos/verify_start_end_handshape_annotations//test_auto_move//signs_mov_separ_signers/Brady_12.mov" TargetMode="External"/><Relationship Id="rId23622" Type="http://schemas.openxmlformats.org/officeDocument/2006/relationships/hyperlink" Target="http://secrets.rutgers.edu:8080/data/asl-ftp/asllvd/demos/verify_start_end_handshape_annotations//test_auto_move//signs_mov_separ_signers/Brady_12.mov" TargetMode="External"/><Relationship Id="rId23623" Type="http://schemas.openxmlformats.org/officeDocument/2006/relationships/hyperlink" Target="http://csr.bu.edu/ftp/asl/asllvd/demos/verify_start_end_handshape_annotations//test_auto_move//signs_mov_separ_signers/Tyler_13.mov" TargetMode="External"/><Relationship Id="rId23624" Type="http://schemas.openxmlformats.org/officeDocument/2006/relationships/hyperlink" Target="http://secrets.rutgers.edu:8080/data/asl-ftp/asllvd/demos/verify_start_end_handshape_annotations//test_auto_move//signs_mov_separ_signers/Tyler_13.mov" TargetMode="External"/><Relationship Id="rId23625" Type="http://schemas.openxmlformats.org/officeDocument/2006/relationships/hyperlink" Target="http://csr.bu.edu/ftp/asl/asllvd/demos/verify_start_end_handshape_annotations//test_auto_move//signs_mov/13.mov" TargetMode="External"/><Relationship Id="rId23626" Type="http://schemas.openxmlformats.org/officeDocument/2006/relationships/hyperlink" Target="http://csr.bu.edu/ftp/asl/asllvd/demos/verify_start_end_handshape_annotations//test_auto_move//signs_mov_separ_signers/Naomi_13.mov" TargetMode="External"/><Relationship Id="rId23627" Type="http://schemas.openxmlformats.org/officeDocument/2006/relationships/hyperlink" Target="http://secrets.rutgers.edu:8080/data/asl-ftp/asllvd/demos/verify_start_end_handshape_annotations//test_auto_move//signs_mov/13.mov" TargetMode="External"/><Relationship Id="rId23628" Type="http://schemas.openxmlformats.org/officeDocument/2006/relationships/hyperlink" Target="http://secrets.rutgers.edu:8080/data/asl-ftp/asllvd/demos/verify_start_end_handshape_annotations//test_auto_move//signs_mov_separ_signers/Naomi_13.mov" TargetMode="External"/><Relationship Id="rId23629" Type="http://schemas.openxmlformats.org/officeDocument/2006/relationships/hyperlink" Target="http://csr.bu.edu/ftp/asl/asllvd/demos/verify_start_end_handshape_annotations//test_auto_move//signs_mov_separ_signers/Brady_13.mov" TargetMode="External"/><Relationship Id="rId23630" Type="http://schemas.openxmlformats.org/officeDocument/2006/relationships/hyperlink" Target="http://secrets.rutgers.edu:8080/data/asl-ftp/asllvd/demos/verify_start_end_handshape_annotations//test_auto_move//signs_mov_separ_signers/Brady_13.mov" TargetMode="External"/><Relationship Id="rId23631" Type="http://schemas.openxmlformats.org/officeDocument/2006/relationships/hyperlink" Target="http://csr.bu.edu/ftp/asl/asllvd/demos/verify_start_end_handshape_annotations//test_auto_move//signs_mov_separ_signers/Liz_14.mov" TargetMode="External"/><Relationship Id="rId23632" Type="http://schemas.openxmlformats.org/officeDocument/2006/relationships/hyperlink" Target="http://secrets.rutgers.edu:8080/data/asl-ftp/asllvd/demos/verify_start_end_handshape_annotations//test_auto_move//signs_mov_separ_signers/Liz_14.mov" TargetMode="External"/><Relationship Id="rId23633" Type="http://schemas.openxmlformats.org/officeDocument/2006/relationships/hyperlink" Target="http://csr.bu.edu/ftp/asl/asllvd/demos/verify_start_end_handshape_annotations//test_auto_move//signs_mov/14.mov" TargetMode="External"/><Relationship Id="rId23634" Type="http://schemas.openxmlformats.org/officeDocument/2006/relationships/hyperlink" Target="http://csr.bu.edu/ftp/asl/asllvd/demos/verify_start_end_handshape_annotations//test_auto_move//signs_mov_separ_signers/Tyler_14.mov" TargetMode="External"/><Relationship Id="rId23635" Type="http://schemas.openxmlformats.org/officeDocument/2006/relationships/hyperlink" Target="http://secrets.rutgers.edu:8080/data/asl-ftp/asllvd/demos/verify_start_end_handshape_annotations//test_auto_move//signs_mov/14.mov" TargetMode="External"/><Relationship Id="rId23636" Type="http://schemas.openxmlformats.org/officeDocument/2006/relationships/hyperlink" Target="http://secrets.rutgers.edu:8080/data/asl-ftp/asllvd/demos/verify_start_end_handshape_annotations//test_auto_move//signs_mov_separ_signers/Tyler_14.mov" TargetMode="External"/><Relationship Id="rId23637" Type="http://schemas.openxmlformats.org/officeDocument/2006/relationships/hyperlink" Target="http://csr.bu.edu/ftp/asl/asllvd/demos/verify_start_end_handshape_annotations//test_auto_move//signs_mov_separ_signers/Naomi_14.mov" TargetMode="External"/><Relationship Id="rId23638" Type="http://schemas.openxmlformats.org/officeDocument/2006/relationships/hyperlink" Target="http://secrets.rutgers.edu:8080/data/asl-ftp/asllvd/demos/verify_start_end_handshape_annotations//test_auto_move//signs_mov_separ_signers/Naomi_14.mov" TargetMode="External"/><Relationship Id="rId23639" Type="http://schemas.openxmlformats.org/officeDocument/2006/relationships/hyperlink" Target="http://csr.bu.edu/ftp/asl/asllvd/demos/verify_start_end_handshape_annotations//test_auto_move//signs_mov_separ_signers/Brady_14.mov" TargetMode="External"/><Relationship Id="rId23640" Type="http://schemas.openxmlformats.org/officeDocument/2006/relationships/hyperlink" Target="http://secrets.rutgers.edu:8080/data/asl-ftp/asllvd/demos/verify_start_end_handshape_annotations//test_auto_move//signs_mov_separ_signers/Brady_14.mov" TargetMode="External"/><Relationship Id="rId23641" Type="http://schemas.openxmlformats.org/officeDocument/2006/relationships/hyperlink" Target="http://csr.bu.edu/ftp/asl/asllvd/demos/verify_start_end_handshape_annotations//test_auto_move//signs_mov_separ_signers/Liz_15.mov" TargetMode="External"/><Relationship Id="rId23642" Type="http://schemas.openxmlformats.org/officeDocument/2006/relationships/hyperlink" Target="http://secrets.rutgers.edu:8080/data/asl-ftp/asllvd/demos/verify_start_end_handshape_annotations//test_auto_move//signs_mov_separ_signers/Liz_15.mov" TargetMode="External"/><Relationship Id="rId23643" Type="http://schemas.openxmlformats.org/officeDocument/2006/relationships/hyperlink" Target="http://csr.bu.edu/ftp/asl/asllvd/demos/verify_start_end_handshape_annotations//test_auto_move//signs_mov/15.mov" TargetMode="External"/><Relationship Id="rId23644" Type="http://schemas.openxmlformats.org/officeDocument/2006/relationships/hyperlink" Target="http://csr.bu.edu/ftp/asl/asllvd/demos/verify_start_end_handshape_annotations//test_auto_move//signs_mov_separ_signers/Tyler_15.mov" TargetMode="External"/><Relationship Id="rId23645" Type="http://schemas.openxmlformats.org/officeDocument/2006/relationships/hyperlink" Target="http://secrets.rutgers.edu:8080/data/asl-ftp/asllvd/demos/verify_start_end_handshape_annotations//test_auto_move//signs_mov/15.mov" TargetMode="External"/><Relationship Id="rId23646" Type="http://schemas.openxmlformats.org/officeDocument/2006/relationships/hyperlink" Target="http://secrets.rutgers.edu:8080/data/asl-ftp/asllvd/demos/verify_start_end_handshape_annotations//test_auto_move//signs_mov_separ_signers/Tyler_15.mov" TargetMode="External"/><Relationship Id="rId23647" Type="http://schemas.openxmlformats.org/officeDocument/2006/relationships/hyperlink" Target="http://csr.bu.edu/ftp/asl/asllvd/demos/verify_start_end_handshape_annotations//test_auto_move//signs_mov_separ_signers/Naomi_15.mov" TargetMode="External"/><Relationship Id="rId23648" Type="http://schemas.openxmlformats.org/officeDocument/2006/relationships/hyperlink" Target="http://secrets.rutgers.edu:8080/data/asl-ftp/asllvd/demos/verify_start_end_handshape_annotations//test_auto_move//signs_mov_separ_signers/Naomi_15.mov" TargetMode="External"/><Relationship Id="rId23649" Type="http://schemas.openxmlformats.org/officeDocument/2006/relationships/hyperlink" Target="http://csr.bu.edu/ftp/asl/asllvd/demos/verify_start_end_handshape_annotations//test_auto_move//signs_mov_separ_signers/Brady_15.mov" TargetMode="External"/><Relationship Id="rId23650" Type="http://schemas.openxmlformats.org/officeDocument/2006/relationships/hyperlink" Target="http://secrets.rutgers.edu:8080/data/asl-ftp/asllvd/demos/verify_start_end_handshape_annotations//test_auto_move//signs_mov_separ_signers/Brady_15.mov" TargetMode="External"/><Relationship Id="rId23651" Type="http://schemas.openxmlformats.org/officeDocument/2006/relationships/hyperlink" Target="http://csr.bu.edu/ftp/asl/asllvd/demos/verify_start_end_handshape_annotations//test_auto_move//signs_mov_separ_signers/Liz_16.mov" TargetMode="External"/><Relationship Id="rId23652" Type="http://schemas.openxmlformats.org/officeDocument/2006/relationships/hyperlink" Target="http://secrets.rutgers.edu:8080/data/asl-ftp/asllvd/demos/verify_start_end_handshape_annotations//test_auto_move//signs_mov_separ_signers/Liz_16.mov" TargetMode="External"/><Relationship Id="rId23653" Type="http://schemas.openxmlformats.org/officeDocument/2006/relationships/hyperlink" Target="http://csr.bu.edu/ftp/asl/asllvd/demos/verify_start_end_handshape_annotations//test_auto_move//signs_mov/16.mov" TargetMode="External"/><Relationship Id="rId23654" Type="http://schemas.openxmlformats.org/officeDocument/2006/relationships/hyperlink" Target="http://csr.bu.edu/ftp/asl/asllvd/demos/verify_start_end_handshape_annotations//test_auto_move//signs_mov_separ_signers/Naomi_16.mov" TargetMode="External"/><Relationship Id="rId23655" Type="http://schemas.openxmlformats.org/officeDocument/2006/relationships/hyperlink" Target="http://secrets.rutgers.edu:8080/data/asl-ftp/asllvd/demos/verify_start_end_handshape_annotations//test_auto_move//signs_mov/16.mov" TargetMode="External"/><Relationship Id="rId23656" Type="http://schemas.openxmlformats.org/officeDocument/2006/relationships/hyperlink" Target="http://secrets.rutgers.edu:8080/data/asl-ftp/asllvd/demos/verify_start_end_handshape_annotations//test_auto_move//signs_mov_separ_signers/Naomi_16.mov" TargetMode="External"/><Relationship Id="rId23657" Type="http://schemas.openxmlformats.org/officeDocument/2006/relationships/hyperlink" Target="http://csr.bu.edu/ftp/asl/asllvd/demos/verify_start_end_handshape_annotations//test_auto_move//signs_mov_separ_signers/Brady_16.mov" TargetMode="External"/><Relationship Id="rId23658" Type="http://schemas.openxmlformats.org/officeDocument/2006/relationships/hyperlink" Target="http://secrets.rutgers.edu:8080/data/asl-ftp/asllvd/demos/verify_start_end_handshape_annotations//test_auto_move//signs_mov_separ_signers/Brady_16.mov" TargetMode="External"/><Relationship Id="rId23659" Type="http://schemas.openxmlformats.org/officeDocument/2006/relationships/hyperlink" Target="http://csr.bu.edu/ftp/asl/asllvd/demos/verify_start_end_handshape_annotations//test_auto_move//signs_mov/3936.mov" TargetMode="External"/><Relationship Id="rId23660" Type="http://schemas.openxmlformats.org/officeDocument/2006/relationships/hyperlink" Target="http://csr.bu.edu/ftp/asl/asllvd/demos/verify_start_end_handshape_annotations//test_auto_move//signs_mov_separ_signers/Tyler_3936.mov" TargetMode="External"/><Relationship Id="rId23661" Type="http://schemas.openxmlformats.org/officeDocument/2006/relationships/hyperlink" Target="http://secrets.rutgers.edu:8080/data/asl-ftp/asllvd/demos/verify_start_end_handshape_annotations//test_auto_move//signs_mov/3936.mov" TargetMode="External"/><Relationship Id="rId23662" Type="http://schemas.openxmlformats.org/officeDocument/2006/relationships/hyperlink" Target="http://secrets.rutgers.edu:8080/data/asl-ftp/asllvd/demos/verify_start_end_handshape_annotations//test_auto_move//signs_mov_separ_signers/Tyler_3936.mov" TargetMode="External"/><Relationship Id="rId23663" Type="http://schemas.openxmlformats.org/officeDocument/2006/relationships/hyperlink" Target="http://csr.bu.edu/ftp/asl/asllvd/demos/verify_start_end_handshape_annotations//test_auto_move//signs_mov/18_3360_merged.mov" TargetMode="External"/><Relationship Id="rId23664" Type="http://schemas.openxmlformats.org/officeDocument/2006/relationships/hyperlink" Target="http://csr.bu.edu/ftp/asl/asllvd/demos/verify_start_end_handshape_annotations//test_auto_move//signs_mov_separ_signers/Liz_18.mov" TargetMode="External"/><Relationship Id="rId23665" Type="http://schemas.openxmlformats.org/officeDocument/2006/relationships/hyperlink" Target="http://secrets.rutgers.edu:8080/data/asl-ftp/asllvd/demos/verify_start_end_handshape_annotations//test_auto_move//signs_mov/18_3360_merged.mov" TargetMode="External"/><Relationship Id="rId23666" Type="http://schemas.openxmlformats.org/officeDocument/2006/relationships/hyperlink" Target="http://secrets.rutgers.edu:8080/data/asl-ftp/asllvd/demos/verify_start_end_handshape_annotations//test_auto_move//signs_mov_separ_signers/Liz_18.mov" TargetMode="External"/><Relationship Id="rId23667" Type="http://schemas.openxmlformats.org/officeDocument/2006/relationships/hyperlink" Target="http://csr.bu.edu/ftp/asl/asllvd/demos/verify_start_end_handshape_annotations//test_auto_move//signs_mov_separ_signers/Liz_3360.mov" TargetMode="External"/><Relationship Id="rId23668" Type="http://schemas.openxmlformats.org/officeDocument/2006/relationships/hyperlink" Target="http://secrets.rutgers.edu:8080/data/asl-ftp/asllvd/demos/verify_start_end_handshape_annotations//test_auto_move//signs_mov_separ_signers/Liz_3360.mov" TargetMode="External"/><Relationship Id="rId23669" Type="http://schemas.openxmlformats.org/officeDocument/2006/relationships/hyperlink" Target="http://csr.bu.edu/ftp/asl/asllvd/demos/verify_start_end_handshape_annotations//test_auto_move//signs_mov_separ_signers/Liz_16334.mov" TargetMode="External"/><Relationship Id="rId23670" Type="http://schemas.openxmlformats.org/officeDocument/2006/relationships/hyperlink" Target="http://secrets.rutgers.edu:8080/data/asl-ftp/asllvd/demos/verify_start_end_handshape_annotations//test_auto_move//signs_mov_separ_signers/Liz_16334.mov" TargetMode="External"/><Relationship Id="rId23671" Type="http://schemas.openxmlformats.org/officeDocument/2006/relationships/hyperlink" Target="http://csr.bu.edu/ftp/asl/asllvd/demos/verify_start_end_handshape_annotations//test_auto_move//signs_mov_separ_signers/Tyler_16334.mov" TargetMode="External"/><Relationship Id="rId23672" Type="http://schemas.openxmlformats.org/officeDocument/2006/relationships/hyperlink" Target="http://secrets.rutgers.edu:8080/data/asl-ftp/asllvd/demos/verify_start_end_handshape_annotations//test_auto_move//signs_mov_separ_signers/Tyler_16334.mov" TargetMode="External"/><Relationship Id="rId23673" Type="http://schemas.openxmlformats.org/officeDocument/2006/relationships/hyperlink" Target="http://csr.bu.edu/ftp/asl/asllvd/demos/verify_start_end_handshape_annotations//test_auto_move//signs_mov/16334_16335_merged.mov" TargetMode="External"/><Relationship Id="rId23674" Type="http://schemas.openxmlformats.org/officeDocument/2006/relationships/hyperlink" Target="http://csr.bu.edu/ftp/asl/asllvd/demos/verify_start_end_handshape_annotations//test_auto_move//signs_mov_separ_signers/Tyler_16335.mov" TargetMode="External"/><Relationship Id="rId23675" Type="http://schemas.openxmlformats.org/officeDocument/2006/relationships/hyperlink" Target="http://secrets.rutgers.edu:8080/data/asl-ftp/asllvd/demos/verify_start_end_handshape_annotations//test_auto_move//signs_mov/16334_16335_merged.mov" TargetMode="External"/><Relationship Id="rId23676" Type="http://schemas.openxmlformats.org/officeDocument/2006/relationships/hyperlink" Target="http://secrets.rutgers.edu:8080/data/asl-ftp/asllvd/demos/verify_start_end_handshape_annotations//test_auto_move//signs_mov_separ_signers/Tyler_16335.mov" TargetMode="External"/><Relationship Id="rId23677" Type="http://schemas.openxmlformats.org/officeDocument/2006/relationships/hyperlink" Target="http://csr.bu.edu/ftp/asl/asllvd/demos/verify_start_end_handshape_annotations//test_auto_move//signs_mov_separ_signers/Naomi_16334.mov" TargetMode="External"/><Relationship Id="rId23678" Type="http://schemas.openxmlformats.org/officeDocument/2006/relationships/hyperlink" Target="http://secrets.rutgers.edu:8080/data/asl-ftp/asllvd/demos/verify_start_end_handshape_annotations//test_auto_move//signs_mov_separ_signers/Naomi_16334.mov" TargetMode="External"/><Relationship Id="rId23679" Type="http://schemas.openxmlformats.org/officeDocument/2006/relationships/hyperlink" Target="http://csr.bu.edu/ftp/asl/asllvd/demos/verify_start_end_handshape_annotations//test_auto_move//signs_mov_separ_signers/Naomi_16335.mov" TargetMode="External"/><Relationship Id="rId23680" Type="http://schemas.openxmlformats.org/officeDocument/2006/relationships/hyperlink" Target="http://secrets.rutgers.edu:8080/data/asl-ftp/asllvd/demos/verify_start_end_handshape_annotations//test_auto_move//signs_mov_separ_signers/Naomi_16335.mov" TargetMode="External"/><Relationship Id="rId23681" Type="http://schemas.openxmlformats.org/officeDocument/2006/relationships/hyperlink" Target="http://csr.bu.edu/ftp/asl/asllvd/demos/verify_start_end_handshape_annotations//test_auto_move//signs_mov_separ_signers/Brady_16334.mov" TargetMode="External"/><Relationship Id="rId23682" Type="http://schemas.openxmlformats.org/officeDocument/2006/relationships/hyperlink" Target="http://secrets.rutgers.edu:8080/data/asl-ftp/asllvd/demos/verify_start_end_handshape_annotations//test_auto_move//signs_mov_separ_signers/Brady_16334.mov" TargetMode="External"/><Relationship Id="rId23683" Type="http://schemas.openxmlformats.org/officeDocument/2006/relationships/hyperlink" Target="http://csr.bu.edu/ftp/asl/asllvd/demos/verify_start_end_handshape_annotations//test_auto_move//signs_mov_separ_signers/Liz_20.mov" TargetMode="External"/><Relationship Id="rId23684" Type="http://schemas.openxmlformats.org/officeDocument/2006/relationships/hyperlink" Target="http://secrets.rutgers.edu:8080/data/asl-ftp/asllvd/demos/verify_start_end_handshape_annotations//test_auto_move//signs_mov_separ_signers/Liz_20.mov" TargetMode="External"/><Relationship Id="rId23685" Type="http://schemas.openxmlformats.org/officeDocument/2006/relationships/hyperlink" Target="http://csr.bu.edu/ftp/asl/asllvd/demos/verify_start_end_handshape_annotations//test_auto_move//signs_mov_separ_signers/Tyler_20.mov" TargetMode="External"/><Relationship Id="rId23686" Type="http://schemas.openxmlformats.org/officeDocument/2006/relationships/hyperlink" Target="http://secrets.rutgers.edu:8080/data/asl-ftp/asllvd/demos/verify_start_end_handshape_annotations//test_auto_move//signs_mov_separ_signers/Tyler_20.mov" TargetMode="External"/><Relationship Id="rId23687" Type="http://schemas.openxmlformats.org/officeDocument/2006/relationships/hyperlink" Target="http://csr.bu.edu/ftp/asl/asllvd/demos/verify_start_end_handshape_annotations//test_auto_move//signs_mov/20_3361_merged.mov" TargetMode="External"/><Relationship Id="rId23688" Type="http://schemas.openxmlformats.org/officeDocument/2006/relationships/hyperlink" Target="http://csr.bu.edu/ftp/asl/asllvd/demos/verify_start_end_handshape_annotations//test_auto_move//signs_mov_separ_signers/Tyler_3361.mov" TargetMode="External"/><Relationship Id="rId23689" Type="http://schemas.openxmlformats.org/officeDocument/2006/relationships/hyperlink" Target="http://secrets.rutgers.edu:8080/data/asl-ftp/asllvd/demos/verify_start_end_handshape_annotations//test_auto_move//signs_mov/20_3361_merged.mov" TargetMode="External"/><Relationship Id="rId23690" Type="http://schemas.openxmlformats.org/officeDocument/2006/relationships/hyperlink" Target="http://secrets.rutgers.edu:8080/data/asl-ftp/asllvd/demos/verify_start_end_handshape_annotations//test_auto_move//signs_mov_separ_signers/Tyler_3361.mov" TargetMode="External"/><Relationship Id="rId23691" Type="http://schemas.openxmlformats.org/officeDocument/2006/relationships/hyperlink" Target="http://csr.bu.edu/ftp/asl/asllvd/demos/verify_start_end_handshape_annotations//test_auto_move//signs_mov_separ_signers/Naomi_20.mov" TargetMode="External"/><Relationship Id="rId23692" Type="http://schemas.openxmlformats.org/officeDocument/2006/relationships/hyperlink" Target="http://secrets.rutgers.edu:8080/data/asl-ftp/asllvd/demos/verify_start_end_handshape_annotations//test_auto_move//signs_mov_separ_signers/Naomi_20.mov" TargetMode="External"/><Relationship Id="rId23693" Type="http://schemas.openxmlformats.org/officeDocument/2006/relationships/hyperlink" Target="http://csr.bu.edu/ftp/asl/asllvd/demos/verify_start_end_handshape_annotations//test_auto_move//signs_mov_separ_signers/Naomi_3361.mov" TargetMode="External"/><Relationship Id="rId23694" Type="http://schemas.openxmlformats.org/officeDocument/2006/relationships/hyperlink" Target="http://secrets.rutgers.edu:8080/data/asl-ftp/asllvd/demos/verify_start_end_handshape_annotations//test_auto_move//signs_mov_separ_signers/Naomi_3361.mov" TargetMode="External"/><Relationship Id="rId23695" Type="http://schemas.openxmlformats.org/officeDocument/2006/relationships/hyperlink" Target="http://csr.bu.edu/ftp/asl/asllvd/demos/verify_start_end_handshape_annotations//test_auto_move//signs_mov_separ_signers/Brady_20.mov" TargetMode="External"/><Relationship Id="rId23696" Type="http://schemas.openxmlformats.org/officeDocument/2006/relationships/hyperlink" Target="http://secrets.rutgers.edu:8080/data/asl-ftp/asllvd/demos/verify_start_end_handshape_annotations//test_auto_move//signs_mov_separ_signers/Brady_20.mov" TargetMode="External"/><Relationship Id="rId23697" Type="http://schemas.openxmlformats.org/officeDocument/2006/relationships/hyperlink" Target="http://csr.bu.edu/ftp/asl/asllvd/demos/verify_start_end_handshape_annotations//test_auto_move//signs_mov/16437.mov" TargetMode="External"/><Relationship Id="rId23698" Type="http://schemas.openxmlformats.org/officeDocument/2006/relationships/hyperlink" Target="http://csr.bu.edu/ftp/asl/asllvd/demos/verify_start_end_handshape_annotations//test_auto_move//signs_mov_separ_signers/Liz_16437.mov" TargetMode="External"/><Relationship Id="rId23699" Type="http://schemas.openxmlformats.org/officeDocument/2006/relationships/hyperlink" Target="http://secrets.rutgers.edu:8080/data/asl-ftp/asllvd/demos/verify_start_end_handshape_annotations//test_auto_move//signs_mov/16437.mov" TargetMode="External"/><Relationship Id="rId23700" Type="http://schemas.openxmlformats.org/officeDocument/2006/relationships/hyperlink" Target="http://secrets.rutgers.edu:8080/data/asl-ftp/asllvd/demos/verify_start_end_handshape_annotations//test_auto_move//signs_mov_separ_signers/Liz_16437.mov" TargetMode="External"/><Relationship Id="rId23701" Type="http://schemas.openxmlformats.org/officeDocument/2006/relationships/hyperlink" Target="http://csr.bu.edu/ftp/asl/asllvd/demos/verify_start_end_handshape_annotations//test_auto_move//signs_mov_separ_signers/Tyler_22.mov" TargetMode="External"/><Relationship Id="rId23702" Type="http://schemas.openxmlformats.org/officeDocument/2006/relationships/hyperlink" Target="http://secrets.rutgers.edu:8080/data/asl-ftp/asllvd/demos/verify_start_end_handshape_annotations//test_auto_move//signs_mov_separ_signers/Tyler_22.mov" TargetMode="External"/><Relationship Id="rId23703" Type="http://schemas.openxmlformats.org/officeDocument/2006/relationships/hyperlink" Target="http://csr.bu.edu/ftp/asl/asllvd/demos/verify_start_end_handshape_annotations//test_auto_move//signs_mov/22_3362_merged.mov" TargetMode="External"/><Relationship Id="rId23704" Type="http://schemas.openxmlformats.org/officeDocument/2006/relationships/hyperlink" Target="http://csr.bu.edu/ftp/asl/asllvd/demos/verify_start_end_handshape_annotations//test_auto_move//signs_mov_separ_signers/Tyler_3362.mov" TargetMode="External"/><Relationship Id="rId23705" Type="http://schemas.openxmlformats.org/officeDocument/2006/relationships/hyperlink" Target="http://secrets.rutgers.edu:8080/data/asl-ftp/asllvd/demos/verify_start_end_handshape_annotations//test_auto_move//signs_mov/22_3362_merged.mov" TargetMode="External"/><Relationship Id="rId23706" Type="http://schemas.openxmlformats.org/officeDocument/2006/relationships/hyperlink" Target="http://secrets.rutgers.edu:8080/data/asl-ftp/asllvd/demos/verify_start_end_handshape_annotations//test_auto_move//signs_mov_separ_signers/Tyler_3362.mov" TargetMode="External"/><Relationship Id="rId23707" Type="http://schemas.openxmlformats.org/officeDocument/2006/relationships/hyperlink" Target="http://csr.bu.edu/ftp/asl/asllvd/demos/verify_start_end_handshape_annotations//test_auto_move//signs_mov_separ_signers/Naomi_22.mov" TargetMode="External"/><Relationship Id="rId23708" Type="http://schemas.openxmlformats.org/officeDocument/2006/relationships/hyperlink" Target="http://secrets.rutgers.edu:8080/data/asl-ftp/asllvd/demos/verify_start_end_handshape_annotations//test_auto_move//signs_mov_separ_signers/Naomi_22.mov" TargetMode="External"/><Relationship Id="rId23709" Type="http://schemas.openxmlformats.org/officeDocument/2006/relationships/hyperlink" Target="http://csr.bu.edu/ftp/asl/asllvd/demos/verify_start_end_handshape_annotations//test_auto_move//signs_mov_separ_signers/Brady_22.mov" TargetMode="External"/><Relationship Id="rId23710" Type="http://schemas.openxmlformats.org/officeDocument/2006/relationships/hyperlink" Target="http://secrets.rutgers.edu:8080/data/asl-ftp/asllvd/demos/verify_start_end_handshape_annotations//test_auto_move//signs_mov_separ_signers/Brady_22.mov" TargetMode="External"/><Relationship Id="rId23711" Type="http://schemas.openxmlformats.org/officeDocument/2006/relationships/hyperlink" Target="http://csr.bu.edu/ftp/asl/asllvd/demos/verify_start_end_handshape_annotations//test_auto_move//signs_mov/16438.mov" TargetMode="External"/><Relationship Id="rId23712" Type="http://schemas.openxmlformats.org/officeDocument/2006/relationships/hyperlink" Target="http://csr.bu.edu/ftp/asl/asllvd/demos/verify_start_end_handshape_annotations//test_auto_move//signs_mov_separ_signers/Liz_16438.mov" TargetMode="External"/><Relationship Id="rId23713" Type="http://schemas.openxmlformats.org/officeDocument/2006/relationships/hyperlink" Target="http://secrets.rutgers.edu:8080/data/asl-ftp/asllvd/demos/verify_start_end_handshape_annotations//test_auto_move//signs_mov/16438.mov" TargetMode="External"/><Relationship Id="rId23714" Type="http://schemas.openxmlformats.org/officeDocument/2006/relationships/hyperlink" Target="http://secrets.rutgers.edu:8080/data/asl-ftp/asllvd/demos/verify_start_end_handshape_annotations//test_auto_move//signs_mov_separ_signers/Liz_16438.mov" TargetMode="External"/><Relationship Id="rId23715" Type="http://schemas.openxmlformats.org/officeDocument/2006/relationships/hyperlink" Target="http://csr.bu.edu/ftp/asl/asllvd/demos/verify_start_end_handshape_annotations//test_auto_move//signs_mov/16439.mov" TargetMode="External"/><Relationship Id="rId23716" Type="http://schemas.openxmlformats.org/officeDocument/2006/relationships/hyperlink" Target="http://csr.bu.edu/ftp/asl/asllvd/demos/verify_start_end_handshape_annotations//test_auto_move//signs_mov_separ_signers/Liz_16439.mov" TargetMode="External"/><Relationship Id="rId23717" Type="http://schemas.openxmlformats.org/officeDocument/2006/relationships/hyperlink" Target="http://secrets.rutgers.edu:8080/data/asl-ftp/asllvd/demos/verify_start_end_handshape_annotations//test_auto_move//signs_mov/16439.mov" TargetMode="External"/><Relationship Id="rId23718" Type="http://schemas.openxmlformats.org/officeDocument/2006/relationships/hyperlink" Target="http://secrets.rutgers.edu:8080/data/asl-ftp/asllvd/demos/verify_start_end_handshape_annotations//test_auto_move//signs_mov_separ_signers/Liz_16439.mov" TargetMode="External"/><Relationship Id="rId23719" Type="http://schemas.openxmlformats.org/officeDocument/2006/relationships/hyperlink" Target="http://csr.bu.edu/ftp/asl/asllvd/demos/verify_start_end_handshape_annotations//test_auto_move//signs_mov_separ_signers/Liz_24.mov" TargetMode="External"/><Relationship Id="rId23720" Type="http://schemas.openxmlformats.org/officeDocument/2006/relationships/hyperlink" Target="http://secrets.rutgers.edu:8080/data/asl-ftp/asllvd/demos/verify_start_end_handshape_annotations//test_auto_move//signs_mov_separ_signers/Liz_24.mov" TargetMode="External"/><Relationship Id="rId23721" Type="http://schemas.openxmlformats.org/officeDocument/2006/relationships/hyperlink" Target="http://csr.bu.edu/ftp/asl/asllvd/demos/verify_start_end_handshape_annotations//test_auto_move//signs_mov/24.mov" TargetMode="External"/><Relationship Id="rId23722" Type="http://schemas.openxmlformats.org/officeDocument/2006/relationships/hyperlink" Target="http://csr.bu.edu/ftp/asl/asllvd/demos/verify_start_end_handshape_annotations//test_auto_move//signs_mov_separ_signers/Tyler_24.mov" TargetMode="External"/><Relationship Id="rId23723" Type="http://schemas.openxmlformats.org/officeDocument/2006/relationships/hyperlink" Target="http://secrets.rutgers.edu:8080/data/asl-ftp/asllvd/demos/verify_start_end_handshape_annotations//test_auto_move//signs_mov/24.mov" TargetMode="External"/><Relationship Id="rId23724" Type="http://schemas.openxmlformats.org/officeDocument/2006/relationships/hyperlink" Target="http://secrets.rutgers.edu:8080/data/asl-ftp/asllvd/demos/verify_start_end_handshape_annotations//test_auto_move//signs_mov_separ_signers/Tyler_24.mov" TargetMode="External"/><Relationship Id="rId23725" Type="http://schemas.openxmlformats.org/officeDocument/2006/relationships/hyperlink" Target="http://csr.bu.edu/ftp/asl/asllvd/demos/verify_start_end_handshape_annotations//test_auto_move//signs_mov_separ_signers/Naomi_24.mov" TargetMode="External"/><Relationship Id="rId23726" Type="http://schemas.openxmlformats.org/officeDocument/2006/relationships/hyperlink" Target="http://secrets.rutgers.edu:8080/data/asl-ftp/asllvd/demos/verify_start_end_handshape_annotations//test_auto_move//signs_mov_separ_signers/Naomi_24.mov" TargetMode="External"/><Relationship Id="rId23727" Type="http://schemas.openxmlformats.org/officeDocument/2006/relationships/hyperlink" Target="http://csr.bu.edu/ftp/asl/asllvd/demos/verify_start_end_handshape_annotations//test_auto_move//signs_mov_separ_signers/Brady_24.mov" TargetMode="External"/><Relationship Id="rId23728" Type="http://schemas.openxmlformats.org/officeDocument/2006/relationships/hyperlink" Target="http://secrets.rutgers.edu:8080/data/asl-ftp/asllvd/demos/verify_start_end_handshape_annotations//test_auto_move//signs_mov_separ_signers/Brady_24.mov" TargetMode="External"/><Relationship Id="rId23729" Type="http://schemas.openxmlformats.org/officeDocument/2006/relationships/hyperlink" Target="http://csr.bu.edu/ftp/asl/asllvd/demos/verify_start_end_handshape_annotations//test_auto_move//signs_mov_separ_signers/Liz_55.mov" TargetMode="External"/><Relationship Id="rId23730" Type="http://schemas.openxmlformats.org/officeDocument/2006/relationships/hyperlink" Target="http://secrets.rutgers.edu:8080/data/asl-ftp/asllvd/demos/verify_start_end_handshape_annotations//test_auto_move//signs_mov_separ_signers/Liz_55.mov" TargetMode="External"/><Relationship Id="rId23731" Type="http://schemas.openxmlformats.org/officeDocument/2006/relationships/hyperlink" Target="http://csr.bu.edu/ftp/asl/asllvd/demos/verify_start_end_handshape_annotations//test_auto_move//signs_mov/55.mov" TargetMode="External"/><Relationship Id="rId23732" Type="http://schemas.openxmlformats.org/officeDocument/2006/relationships/hyperlink" Target="http://csr.bu.edu/ftp/asl/asllvd/demos/verify_start_end_handshape_annotations//test_auto_move//signs_mov_separ_signers/Tyler_55.mov" TargetMode="External"/><Relationship Id="rId23733" Type="http://schemas.openxmlformats.org/officeDocument/2006/relationships/hyperlink" Target="http://secrets.rutgers.edu:8080/data/asl-ftp/asllvd/demos/verify_start_end_handshape_annotations//test_auto_move//signs_mov/55.mov" TargetMode="External"/><Relationship Id="rId23734" Type="http://schemas.openxmlformats.org/officeDocument/2006/relationships/hyperlink" Target="http://secrets.rutgers.edu:8080/data/asl-ftp/asllvd/demos/verify_start_end_handshape_annotations//test_auto_move//signs_mov_separ_signers/Tyler_55.mov" TargetMode="External"/><Relationship Id="rId23735" Type="http://schemas.openxmlformats.org/officeDocument/2006/relationships/hyperlink" Target="http://csr.bu.edu/ftp/asl/asllvd/demos/verify_start_end_handshape_annotations//test_auto_move//signs_mov_separ_signers/Naomi_55.mov" TargetMode="External"/><Relationship Id="rId23736" Type="http://schemas.openxmlformats.org/officeDocument/2006/relationships/hyperlink" Target="http://secrets.rutgers.edu:8080/data/asl-ftp/asllvd/demos/verify_start_end_handshape_annotations//test_auto_move//signs_mov_separ_signers/Naomi_55.mov" TargetMode="External"/><Relationship Id="rId23737" Type="http://schemas.openxmlformats.org/officeDocument/2006/relationships/hyperlink" Target="http://csr.bu.edu/ftp/asl/asllvd/demos/verify_start_end_handshape_annotations//test_auto_move//signs_mov_separ_signers/Liz_59.mov" TargetMode="External"/><Relationship Id="rId23738" Type="http://schemas.openxmlformats.org/officeDocument/2006/relationships/hyperlink" Target="http://secrets.rutgers.edu:8080/data/asl-ftp/asllvd/demos/verify_start_end_handshape_annotations//test_auto_move//signs_mov_separ_signers/Liz_59.mov" TargetMode="External"/><Relationship Id="rId23739" Type="http://schemas.openxmlformats.org/officeDocument/2006/relationships/hyperlink" Target="http://csr.bu.edu/ftp/asl/asllvd/demos/verify_start_end_handshape_annotations//test_auto_move//signs_mov/59.mov" TargetMode="External"/><Relationship Id="rId23740" Type="http://schemas.openxmlformats.org/officeDocument/2006/relationships/hyperlink" Target="http://csr.bu.edu/ftp/asl/asllvd/demos/verify_start_end_handshape_annotations//test_auto_move//signs_mov_separ_signers/Tyler_59.mov" TargetMode="External"/><Relationship Id="rId23741" Type="http://schemas.openxmlformats.org/officeDocument/2006/relationships/hyperlink" Target="http://secrets.rutgers.edu:8080/data/asl-ftp/asllvd/demos/verify_start_end_handshape_annotations//test_auto_move//signs_mov/59.mov" TargetMode="External"/><Relationship Id="rId23742" Type="http://schemas.openxmlformats.org/officeDocument/2006/relationships/hyperlink" Target="http://secrets.rutgers.edu:8080/data/asl-ftp/asllvd/demos/verify_start_end_handshape_annotations//test_auto_move//signs_mov_separ_signers/Tyler_59.mov" TargetMode="External"/><Relationship Id="rId23743" Type="http://schemas.openxmlformats.org/officeDocument/2006/relationships/hyperlink" Target="http://csr.bu.edu/ftp/asl/asllvd/demos/verify_start_end_handshape_annotations//test_auto_move//signs_mov_separ_signers/Naomi_59.mov" TargetMode="External"/><Relationship Id="rId23744" Type="http://schemas.openxmlformats.org/officeDocument/2006/relationships/hyperlink" Target="http://secrets.rutgers.edu:8080/data/asl-ftp/asllvd/demos/verify_start_end_handshape_annotations//test_auto_move//signs_mov_separ_signers/Naomi_59.mov" TargetMode="External"/><Relationship Id="rId23745" Type="http://schemas.openxmlformats.org/officeDocument/2006/relationships/hyperlink" Target="http://csr.bu.edu/ftp/asl/asllvd/demos/verify_start_end_handshape_annotations//test_auto_move//signs_mov_separ_signers/Brady_59.mov" TargetMode="External"/><Relationship Id="rId23746" Type="http://schemas.openxmlformats.org/officeDocument/2006/relationships/hyperlink" Target="http://secrets.rutgers.edu:8080/data/asl-ftp/asllvd/demos/verify_start_end_handshape_annotations//test_auto_move//signs_mov_separ_signers/Brady_59.mov" TargetMode="External"/><Relationship Id="rId23747" Type="http://schemas.openxmlformats.org/officeDocument/2006/relationships/hyperlink" Target="http://csr.bu.edu/ftp/asl/asllvd/demos/verify_start_end_handshape_annotations//test_auto_move//signs_mov/3569.mov" TargetMode="External"/><Relationship Id="rId23748" Type="http://schemas.openxmlformats.org/officeDocument/2006/relationships/hyperlink" Target="http://csr.bu.edu/ftp/asl/asllvd/demos/verify_start_end_handshape_annotations//test_auto_move//signs_mov_separ_signers/Liz_3569.mov" TargetMode="External"/><Relationship Id="rId23749" Type="http://schemas.openxmlformats.org/officeDocument/2006/relationships/hyperlink" Target="http://secrets.rutgers.edu:8080/data/asl-ftp/asllvd/demos/verify_start_end_handshape_annotations//test_auto_move//signs_mov/3569.mov" TargetMode="External"/><Relationship Id="rId23750" Type="http://schemas.openxmlformats.org/officeDocument/2006/relationships/hyperlink" Target="http://secrets.rutgers.edu:8080/data/asl-ftp/asllvd/demos/verify_start_end_handshape_annotations//test_auto_move//signs_mov_separ_signers/Liz_3569.mov" TargetMode="External"/><Relationship Id="rId23751" Type="http://schemas.openxmlformats.org/officeDocument/2006/relationships/hyperlink" Target="http://csr.bu.edu/ftp/asl/asllvd/demos/verify_start_end_handshape_annotations//test_auto_move//signs_mov_separ_signers/Liz_130.mov" TargetMode="External"/><Relationship Id="rId23752" Type="http://schemas.openxmlformats.org/officeDocument/2006/relationships/hyperlink" Target="http://secrets.rutgers.edu:8080/data/asl-ftp/asllvd/demos/verify_start_end_handshape_annotations//test_auto_move//signs_mov_separ_signers/Liz_130.mov" TargetMode="External"/><Relationship Id="rId23753" Type="http://schemas.openxmlformats.org/officeDocument/2006/relationships/hyperlink" Target="http://csr.bu.edu/ftp/asl/asllvd/demos/verify_start_end_handshape_annotations//test_auto_move//signs_mov/130.mov" TargetMode="External"/><Relationship Id="rId23754" Type="http://schemas.openxmlformats.org/officeDocument/2006/relationships/hyperlink" Target="http://csr.bu.edu/ftp/asl/asllvd/demos/verify_start_end_handshape_annotations//test_auto_move//signs_mov_separ_signers/Tyler_130.mov" TargetMode="External"/><Relationship Id="rId23755" Type="http://schemas.openxmlformats.org/officeDocument/2006/relationships/hyperlink" Target="http://secrets.rutgers.edu:8080/data/asl-ftp/asllvd/demos/verify_start_end_handshape_annotations//test_auto_move//signs_mov/130.mov" TargetMode="External"/><Relationship Id="rId23756" Type="http://schemas.openxmlformats.org/officeDocument/2006/relationships/hyperlink" Target="http://secrets.rutgers.edu:8080/data/asl-ftp/asllvd/demos/verify_start_end_handshape_annotations//test_auto_move//signs_mov_separ_signers/Tyler_130.mov" TargetMode="External"/><Relationship Id="rId23757" Type="http://schemas.openxmlformats.org/officeDocument/2006/relationships/hyperlink" Target="http://csr.bu.edu/ftp/asl/asllvd/demos/verify_start_end_handshape_annotations//test_auto_move//signs_mov_separ_signers/Naomi_130.mov" TargetMode="External"/><Relationship Id="rId23758" Type="http://schemas.openxmlformats.org/officeDocument/2006/relationships/hyperlink" Target="http://secrets.rutgers.edu:8080/data/asl-ftp/asllvd/demos/verify_start_end_handshape_annotations//test_auto_move//signs_mov_separ_signers/Naomi_130.mov" TargetMode="External"/><Relationship Id="rId23759" Type="http://schemas.openxmlformats.org/officeDocument/2006/relationships/hyperlink" Target="http://csr.bu.edu/ftp/asl/asllvd/demos/verify_start_end_handshape_annotations//test_auto_move//signs_mov_separ_signers/Brady_130.mov" TargetMode="External"/><Relationship Id="rId23760" Type="http://schemas.openxmlformats.org/officeDocument/2006/relationships/hyperlink" Target="http://secrets.rutgers.edu:8080/data/asl-ftp/asllvd/demos/verify_start_end_handshape_annotations//test_auto_move//signs_mov_separ_signers/Brady_130.mov" TargetMode="External"/><Relationship Id="rId23761" Type="http://schemas.openxmlformats.org/officeDocument/2006/relationships/hyperlink" Target="http://csr.bu.edu/ftp/asl/asllvd/demos/verify_start_end_handshape_annotations//test_auto_move//signs_mov_separ_signers/Liz_136.mov" TargetMode="External"/><Relationship Id="rId23762" Type="http://schemas.openxmlformats.org/officeDocument/2006/relationships/hyperlink" Target="http://secrets.rutgers.edu:8080/data/asl-ftp/asllvd/demos/verify_start_end_handshape_annotations//test_auto_move//signs_mov_separ_signers/Liz_136.mov" TargetMode="External"/><Relationship Id="rId23763" Type="http://schemas.openxmlformats.org/officeDocument/2006/relationships/hyperlink" Target="http://csr.bu.edu/ftp/asl/asllvd/demos/verify_start_end_handshape_annotations//test_auto_move//signs_mov_separ_signers/Tyler_136.mov" TargetMode="External"/><Relationship Id="rId23764" Type="http://schemas.openxmlformats.org/officeDocument/2006/relationships/hyperlink" Target="http://secrets.rutgers.edu:8080/data/asl-ftp/asllvd/demos/verify_start_end_handshape_annotations//test_auto_move//signs_mov_separ_signers/Tyler_136.mov" TargetMode="External"/><Relationship Id="rId23765" Type="http://schemas.openxmlformats.org/officeDocument/2006/relationships/hyperlink" Target="http://csr.bu.edu/ftp/asl/asllvd/demos/verify_start_end_handshape_annotations//test_auto_move//signs_mov/136_3831_merged.mov" TargetMode="External"/><Relationship Id="rId23766" Type="http://schemas.openxmlformats.org/officeDocument/2006/relationships/hyperlink" Target="http://csr.bu.edu/ftp/asl/asllvd/demos/verify_start_end_handshape_annotations//test_auto_move//signs_mov_separ_signers/Tyler_3831.mov" TargetMode="External"/><Relationship Id="rId23767" Type="http://schemas.openxmlformats.org/officeDocument/2006/relationships/hyperlink" Target="http://secrets.rutgers.edu:8080/data/asl-ftp/asllvd/demos/verify_start_end_handshape_annotations//test_auto_move//signs_mov/136_3831_merged.mov" TargetMode="External"/><Relationship Id="rId23768" Type="http://schemas.openxmlformats.org/officeDocument/2006/relationships/hyperlink" Target="http://secrets.rutgers.edu:8080/data/asl-ftp/asllvd/demos/verify_start_end_handshape_annotations//test_auto_move//signs_mov_separ_signers/Tyler_3831.mov" TargetMode="External"/><Relationship Id="rId23769" Type="http://schemas.openxmlformats.org/officeDocument/2006/relationships/hyperlink" Target="http://csr.bu.edu/ftp/asl/asllvd/demos/verify_start_end_handshape_annotations//test_auto_move//signs_mov_separ_signers/Naomi_136.mov" TargetMode="External"/><Relationship Id="rId23770" Type="http://schemas.openxmlformats.org/officeDocument/2006/relationships/hyperlink" Target="http://secrets.rutgers.edu:8080/data/asl-ftp/asllvd/demos/verify_start_end_handshape_annotations//test_auto_move//signs_mov_separ_signers/Naomi_136.mov" TargetMode="External"/><Relationship Id="rId23771" Type="http://schemas.openxmlformats.org/officeDocument/2006/relationships/hyperlink" Target="http://csr.bu.edu/ftp/asl/asllvd/demos/verify_start_end_handshape_annotations//test_auto_move//signs_mov_separ_signers/Brady_136.mov" TargetMode="External"/><Relationship Id="rId23772" Type="http://schemas.openxmlformats.org/officeDocument/2006/relationships/hyperlink" Target="http://secrets.rutgers.edu:8080/data/asl-ftp/asllvd/demos/verify_start_end_handshape_annotations//test_auto_move//signs_mov_separ_signers/Brady_136.mov" TargetMode="External"/><Relationship Id="rId23773" Type="http://schemas.openxmlformats.org/officeDocument/2006/relationships/hyperlink" Target="http://csr.bu.edu/ftp/asl/asllvd/demos/verify_start_end_handshape_annotations//test_auto_move//signs_mov_separ_signers/Brady_3831.mov" TargetMode="External"/><Relationship Id="rId23774" Type="http://schemas.openxmlformats.org/officeDocument/2006/relationships/hyperlink" Target="http://secrets.rutgers.edu:8080/data/asl-ftp/asllvd/demos/verify_start_end_handshape_annotations//test_auto_move//signs_mov_separ_signers/Brady_3831.mov" TargetMode="External"/><Relationship Id="rId23775" Type="http://schemas.openxmlformats.org/officeDocument/2006/relationships/hyperlink" Target="http://csr.bu.edu/ftp/asl/asllvd/demos/verify_start_end_handshape_annotations//test_auto_move//signs_mov_separ_signers/Brady_15025.mov" TargetMode="External"/><Relationship Id="rId23776" Type="http://schemas.openxmlformats.org/officeDocument/2006/relationships/hyperlink" Target="http://secrets.rutgers.edu:8080/data/asl-ftp/asllvd/demos/verify_start_end_handshape_annotations//test_auto_move//signs_mov_separ_signers/Brady_15025.mov" TargetMode="External"/><Relationship Id="rId23777" Type="http://schemas.openxmlformats.org/officeDocument/2006/relationships/hyperlink" Target="http://csr.bu.edu/ftp/asl/asllvd/demos/verify_start_end_handshape_annotations//test_auto_move//signs_mov/15025_15031_15032_merged.mov" TargetMode="External"/><Relationship Id="rId23778" Type="http://schemas.openxmlformats.org/officeDocument/2006/relationships/hyperlink" Target="http://csr.bu.edu/ftp/asl/asllvd/demos/verify_start_end_handshape_annotations//test_auto_move//signs_mov_separ_signers/Brady_15031.mov" TargetMode="External"/><Relationship Id="rId23779" Type="http://schemas.openxmlformats.org/officeDocument/2006/relationships/hyperlink" Target="http://secrets.rutgers.edu:8080/data/asl-ftp/asllvd/demos/verify_start_end_handshape_annotations//test_auto_move//signs_mov/15025_15031_15032_merged.mov" TargetMode="External"/><Relationship Id="rId23780" Type="http://schemas.openxmlformats.org/officeDocument/2006/relationships/hyperlink" Target="http://secrets.rutgers.edu:8080/data/asl-ftp/asllvd/demos/verify_start_end_handshape_annotations//test_auto_move//signs_mov_separ_signers/Brady_15031.mov" TargetMode="External"/><Relationship Id="rId23781" Type="http://schemas.openxmlformats.org/officeDocument/2006/relationships/hyperlink" Target="http://csr.bu.edu/ftp/asl/asllvd/demos/verify_start_end_handshape_annotations//test_auto_move//signs_mov_separ_signers/Brady_15032.mov" TargetMode="External"/><Relationship Id="rId23782" Type="http://schemas.openxmlformats.org/officeDocument/2006/relationships/hyperlink" Target="http://secrets.rutgers.edu:8080/data/asl-ftp/asllvd/demos/verify_start_end_handshape_annotations//test_auto_move//signs_mov_separ_signers/Brady_15032.mov" TargetMode="External"/><Relationship Id="rId23783" Type="http://schemas.openxmlformats.org/officeDocument/2006/relationships/hyperlink" Target="http://csr.bu.edu/ftp/asl/asllvd/demos/verify_start_end_handshape_annotations//test_auto_move//signs_mov_separ_signers/Liz_148.mov" TargetMode="External"/><Relationship Id="rId23784" Type="http://schemas.openxmlformats.org/officeDocument/2006/relationships/hyperlink" Target="http://secrets.rutgers.edu:8080/data/asl-ftp/asllvd/demos/verify_start_end_handshape_annotations//test_auto_move//signs_mov_separ_signers/Liz_148.mov" TargetMode="External"/><Relationship Id="rId23785" Type="http://schemas.openxmlformats.org/officeDocument/2006/relationships/hyperlink" Target="http://csr.bu.edu/ftp/asl/asllvd/demos/verify_start_end_handshape_annotations//test_auto_move//signs_mov/148.mov" TargetMode="External"/><Relationship Id="rId23786" Type="http://schemas.openxmlformats.org/officeDocument/2006/relationships/hyperlink" Target="http://csr.bu.edu/ftp/asl/asllvd/demos/verify_start_end_handshape_annotations//test_auto_move//signs_mov_separ_signers/Tyler_148.mov" TargetMode="External"/><Relationship Id="rId23787" Type="http://schemas.openxmlformats.org/officeDocument/2006/relationships/hyperlink" Target="http://secrets.rutgers.edu:8080/data/asl-ftp/asllvd/demos/verify_start_end_handshape_annotations//test_auto_move//signs_mov/148.mov" TargetMode="External"/><Relationship Id="rId23788" Type="http://schemas.openxmlformats.org/officeDocument/2006/relationships/hyperlink" Target="http://secrets.rutgers.edu:8080/data/asl-ftp/asllvd/demos/verify_start_end_handshape_annotations//test_auto_move//signs_mov_separ_signers/Tyler_148.mov" TargetMode="External"/><Relationship Id="rId23789" Type="http://schemas.openxmlformats.org/officeDocument/2006/relationships/hyperlink" Target="http://csr.bu.edu/ftp/asl/asllvd/demos/verify_start_end_handshape_annotations//test_auto_move//signs_mov_separ_signers/Naomi_148.mov" TargetMode="External"/><Relationship Id="rId23790" Type="http://schemas.openxmlformats.org/officeDocument/2006/relationships/hyperlink" Target="http://secrets.rutgers.edu:8080/data/asl-ftp/asllvd/demos/verify_start_end_handshape_annotations//test_auto_move//signs_mov_separ_signers/Naomi_148.mov" TargetMode="External"/><Relationship Id="rId23791" Type="http://schemas.openxmlformats.org/officeDocument/2006/relationships/hyperlink" Target="http://csr.bu.edu/ftp/asl/asllvd/demos/verify_start_end_handshape_annotations//test_auto_move//signs_mov_separ_signers/Brady_148.mov" TargetMode="External"/><Relationship Id="rId23792" Type="http://schemas.openxmlformats.org/officeDocument/2006/relationships/hyperlink" Target="http://secrets.rutgers.edu:8080/data/asl-ftp/asllvd/demos/verify_start_end_handshape_annotations//test_auto_move//signs_mov_separ_signers/Brady_148.mov" TargetMode="External"/><Relationship Id="rId23793" Type="http://schemas.openxmlformats.org/officeDocument/2006/relationships/hyperlink" Target="http://csr.bu.edu/ftp/asl/asllvd/demos/verify_start_end_handshape_annotations//test_auto_move//signs_mov_separ_signers/Liz_168.mov" TargetMode="External"/><Relationship Id="rId23794" Type="http://schemas.openxmlformats.org/officeDocument/2006/relationships/hyperlink" Target="http://secrets.rutgers.edu:8080/data/asl-ftp/asllvd/demos/verify_start_end_handshape_annotations//test_auto_move//signs_mov_separ_signers/Liz_168.mov" TargetMode="External"/><Relationship Id="rId23795" Type="http://schemas.openxmlformats.org/officeDocument/2006/relationships/hyperlink" Target="http://csr.bu.edu/ftp/asl/asllvd/demos/verify_start_end_handshape_annotations//test_auto_move//signs_mov/168.mov" TargetMode="External"/><Relationship Id="rId23796" Type="http://schemas.openxmlformats.org/officeDocument/2006/relationships/hyperlink" Target="http://csr.bu.edu/ftp/asl/asllvd/demos/verify_start_end_handshape_annotations//test_auto_move//signs_mov_separ_signers/Tyler_168.mov" TargetMode="External"/><Relationship Id="rId23797" Type="http://schemas.openxmlformats.org/officeDocument/2006/relationships/hyperlink" Target="http://secrets.rutgers.edu:8080/data/asl-ftp/asllvd/demos/verify_start_end_handshape_annotations//test_auto_move//signs_mov/168.mov" TargetMode="External"/><Relationship Id="rId23798" Type="http://schemas.openxmlformats.org/officeDocument/2006/relationships/hyperlink" Target="http://secrets.rutgers.edu:8080/data/asl-ftp/asllvd/demos/verify_start_end_handshape_annotations//test_auto_move//signs_mov_separ_signers/Tyler_168.mov" TargetMode="External"/><Relationship Id="rId23799" Type="http://schemas.openxmlformats.org/officeDocument/2006/relationships/hyperlink" Target="http://csr.bu.edu/ftp/asl/asllvd/demos/verify_start_end_handshape_annotations//test_auto_move//signs_mov_separ_signers/Brady_168.mov" TargetMode="External"/><Relationship Id="rId23800" Type="http://schemas.openxmlformats.org/officeDocument/2006/relationships/hyperlink" Target="http://secrets.rutgers.edu:8080/data/asl-ftp/asllvd/demos/verify_start_end_handshape_annotations//test_auto_move//signs_mov_separ_signers/Brady_168.mov" TargetMode="External"/><Relationship Id="rId23801" Type="http://schemas.openxmlformats.org/officeDocument/2006/relationships/hyperlink" Target="http://csr.bu.edu/ftp/asl/asllvd/demos/verify_start_end_handshape_annotations//test_auto_move//signs_mov/5473.mov" TargetMode="External"/><Relationship Id="rId23802" Type="http://schemas.openxmlformats.org/officeDocument/2006/relationships/hyperlink" Target="http://csr.bu.edu/ftp/asl/asllvd/demos/verify_start_end_handshape_annotations//test_auto_move//signs_mov_separ_signers/Naomi_5473.mov" TargetMode="External"/><Relationship Id="rId23803" Type="http://schemas.openxmlformats.org/officeDocument/2006/relationships/hyperlink" Target="http://secrets.rutgers.edu:8080/data/asl-ftp/asllvd/demos/verify_start_end_handshape_annotations//test_auto_move//signs_mov/5473.mov" TargetMode="External"/><Relationship Id="rId23804" Type="http://schemas.openxmlformats.org/officeDocument/2006/relationships/hyperlink" Target="http://secrets.rutgers.edu:8080/data/asl-ftp/asllvd/demos/verify_start_end_handshape_annotations//test_auto_move//signs_mov_separ_signers/Naomi_5473.mov" TargetMode="External"/><Relationship Id="rId23805" Type="http://schemas.openxmlformats.org/officeDocument/2006/relationships/hyperlink" Target="http://csr.bu.edu/ftp/asl/asllvd/demos/verify_start_end_handshape_annotations//test_auto_move//signs_mov/16199.mov" TargetMode="External"/><Relationship Id="rId23806" Type="http://schemas.openxmlformats.org/officeDocument/2006/relationships/hyperlink" Target="http://csr.bu.edu/ftp/asl/asllvd/demos/verify_start_end_handshape_annotations//test_auto_move//signs_mov_separ_signers/Liz_16199.mov" TargetMode="External"/><Relationship Id="rId23807" Type="http://schemas.openxmlformats.org/officeDocument/2006/relationships/hyperlink" Target="http://secrets.rutgers.edu:8080/data/asl-ftp/asllvd/demos/verify_start_end_handshape_annotations//test_auto_move//signs_mov/16199.mov" TargetMode="External"/><Relationship Id="rId23808" Type="http://schemas.openxmlformats.org/officeDocument/2006/relationships/hyperlink" Target="http://secrets.rutgers.edu:8080/data/asl-ftp/asllvd/demos/verify_start_end_handshape_annotations//test_auto_move//signs_mov_separ_signers/Liz_16199.mov" TargetMode="External"/><Relationship Id="rId23809" Type="http://schemas.openxmlformats.org/officeDocument/2006/relationships/hyperlink" Target="http://csr.bu.edu/ftp/asl/asllvd/demos/verify_start_end_handshape_annotations//test_auto_move//signs_mov_separ_signers/Brady_16199.mov" TargetMode="External"/><Relationship Id="rId23810" Type="http://schemas.openxmlformats.org/officeDocument/2006/relationships/hyperlink" Target="http://secrets.rutgers.edu:8080/data/asl-ftp/asllvd/demos/verify_start_end_handshape_annotations//test_auto_move//signs_mov_separ_signers/Brady_16199.mov" TargetMode="External"/><Relationship Id="rId23811" Type="http://schemas.openxmlformats.org/officeDocument/2006/relationships/hyperlink" Target="http://csr.bu.edu/ftp/asl/asllvd/demos/verify_start_end_handshape_annotations//test_auto_move//signs_mov/190.mov" TargetMode="External"/><Relationship Id="rId23812" Type="http://schemas.openxmlformats.org/officeDocument/2006/relationships/hyperlink" Target="http://csr.bu.edu/ftp/asl/asllvd/demos/verify_start_end_handshape_annotations//test_auto_move//signs_mov_separ_signers/Brady_190.mov" TargetMode="External"/><Relationship Id="rId23813" Type="http://schemas.openxmlformats.org/officeDocument/2006/relationships/hyperlink" Target="http://secrets.rutgers.edu:8080/data/asl-ftp/asllvd/demos/verify_start_end_handshape_annotations//test_auto_move//signs_mov/190.mov" TargetMode="External"/><Relationship Id="rId23814" Type="http://schemas.openxmlformats.org/officeDocument/2006/relationships/hyperlink" Target="http://secrets.rutgers.edu:8080/data/asl-ftp/asllvd/demos/verify_start_end_handshape_annotations//test_auto_move//signs_mov_separ_signers/Brady_190.mov" TargetMode="External"/><Relationship Id="rId23815" Type="http://schemas.openxmlformats.org/officeDocument/2006/relationships/hyperlink" Target="http://csr.bu.edu/ftp/asl/asllvd/demos/verify_start_end_handshape_annotations//test_auto_move//signs_mov/3953.mov" TargetMode="External"/><Relationship Id="rId23816" Type="http://schemas.openxmlformats.org/officeDocument/2006/relationships/hyperlink" Target="http://csr.bu.edu/ftp/asl/asllvd/demos/verify_start_end_handshape_annotations//test_auto_move//signs_mov_separ_signers/Naomi_3953.mov" TargetMode="External"/><Relationship Id="rId23817" Type="http://schemas.openxmlformats.org/officeDocument/2006/relationships/hyperlink" Target="http://secrets.rutgers.edu:8080/data/asl-ftp/asllvd/demos/verify_start_end_handshape_annotations//test_auto_move//signs_mov/3953.mov" TargetMode="External"/><Relationship Id="rId23818" Type="http://schemas.openxmlformats.org/officeDocument/2006/relationships/hyperlink" Target="http://secrets.rutgers.edu:8080/data/asl-ftp/asllvd/demos/verify_start_end_handshape_annotations//test_auto_move//signs_mov_separ_signers/Naomi_3953.mov" TargetMode="External"/><Relationship Id="rId23819" Type="http://schemas.openxmlformats.org/officeDocument/2006/relationships/hyperlink" Target="http://csr.bu.edu/ftp/asl/asllvd/demos/verify_start_end_handshape_annotations//test_auto_move//signs_mov/5099.mov" TargetMode="External"/><Relationship Id="rId23820" Type="http://schemas.openxmlformats.org/officeDocument/2006/relationships/hyperlink" Target="http://csr.bu.edu/ftp/asl/asllvd/demos/verify_start_end_handshape_annotations//test_auto_move//signs_mov_separ_signers/Liz_5099.mov" TargetMode="External"/><Relationship Id="rId23821" Type="http://schemas.openxmlformats.org/officeDocument/2006/relationships/hyperlink" Target="http://secrets.rutgers.edu:8080/data/asl-ftp/asllvd/demos/verify_start_end_handshape_annotations//test_auto_move//signs_mov/5099.mov" TargetMode="External"/><Relationship Id="rId23822" Type="http://schemas.openxmlformats.org/officeDocument/2006/relationships/hyperlink" Target="http://secrets.rutgers.edu:8080/data/asl-ftp/asllvd/demos/verify_start_end_handshape_annotations//test_auto_move//signs_mov_separ_signers/Liz_5099.mov" TargetMode="External"/><Relationship Id="rId23823" Type="http://schemas.openxmlformats.org/officeDocument/2006/relationships/hyperlink" Target="http://csr.bu.edu/ftp/asl/asllvd/demos/verify_start_end_handshape_annotations//test_auto_move//signs_mov/219.mov" TargetMode="External"/><Relationship Id="rId23824" Type="http://schemas.openxmlformats.org/officeDocument/2006/relationships/hyperlink" Target="http://csr.bu.edu/ftp/asl/asllvd/demos/verify_start_end_handshape_annotations//test_auto_move//signs_mov_separ_signers/Liz_219.mov" TargetMode="External"/><Relationship Id="rId23825" Type="http://schemas.openxmlformats.org/officeDocument/2006/relationships/hyperlink" Target="http://secrets.rutgers.edu:8080/data/asl-ftp/asllvd/demos/verify_start_end_handshape_annotations//test_auto_move//signs_mov/219.mov" TargetMode="External"/><Relationship Id="rId23826" Type="http://schemas.openxmlformats.org/officeDocument/2006/relationships/hyperlink" Target="http://secrets.rutgers.edu:8080/data/asl-ftp/asllvd/demos/verify_start_end_handshape_annotations//test_auto_move//signs_mov_separ_signers/Liz_219.mov" TargetMode="External"/><Relationship Id="rId23827" Type="http://schemas.openxmlformats.org/officeDocument/2006/relationships/hyperlink" Target="http://csr.bu.edu/ftp/asl/asllvd/demos/verify_start_end_handshape_annotations//test_auto_move//signs_mov_separ_signers/Naomi_219.mov" TargetMode="External"/><Relationship Id="rId23828" Type="http://schemas.openxmlformats.org/officeDocument/2006/relationships/hyperlink" Target="http://secrets.rutgers.edu:8080/data/asl-ftp/asllvd/demos/verify_start_end_handshape_annotations//test_auto_move//signs_mov_separ_signers/Naomi_219.mov" TargetMode="External"/><Relationship Id="rId23829" Type="http://schemas.openxmlformats.org/officeDocument/2006/relationships/hyperlink" Target="http://csr.bu.edu/ftp/asl/asllvd/demos/verify_start_end_handshape_annotations//test_auto_move//signs_mov_separ_signers/Liz_225.mov" TargetMode="External"/><Relationship Id="rId23830" Type="http://schemas.openxmlformats.org/officeDocument/2006/relationships/hyperlink" Target="http://secrets.rutgers.edu:8080/data/asl-ftp/asllvd/demos/verify_start_end_handshape_annotations//test_auto_move//signs_mov_separ_signers/Liz_225.mov" TargetMode="External"/><Relationship Id="rId23831" Type="http://schemas.openxmlformats.org/officeDocument/2006/relationships/hyperlink" Target="http://csr.bu.edu/ftp/asl/asllvd/demos/verify_start_end_handshape_annotations//test_auto_move//signs_mov/225.mov" TargetMode="External"/><Relationship Id="rId23832" Type="http://schemas.openxmlformats.org/officeDocument/2006/relationships/hyperlink" Target="http://csr.bu.edu/ftp/asl/asllvd/demos/verify_start_end_handshape_annotations//test_auto_move//signs_mov_separ_signers/Tyler_225.mov" TargetMode="External"/><Relationship Id="rId23833" Type="http://schemas.openxmlformats.org/officeDocument/2006/relationships/hyperlink" Target="http://secrets.rutgers.edu:8080/data/asl-ftp/asllvd/demos/verify_start_end_handshape_annotations//test_auto_move//signs_mov/225.mov" TargetMode="External"/><Relationship Id="rId23834" Type="http://schemas.openxmlformats.org/officeDocument/2006/relationships/hyperlink" Target="http://secrets.rutgers.edu:8080/data/asl-ftp/asllvd/demos/verify_start_end_handshape_annotations//test_auto_move//signs_mov_separ_signers/Tyler_225.mov" TargetMode="External"/><Relationship Id="rId23835" Type="http://schemas.openxmlformats.org/officeDocument/2006/relationships/hyperlink" Target="http://csr.bu.edu/ftp/asl/asllvd/demos/verify_start_end_handshape_annotations//test_auto_move//signs_mov_separ_signers/Naomi_225.mov" TargetMode="External"/><Relationship Id="rId23836" Type="http://schemas.openxmlformats.org/officeDocument/2006/relationships/hyperlink" Target="http://secrets.rutgers.edu:8080/data/asl-ftp/asllvd/demos/verify_start_end_handshape_annotations//test_auto_move//signs_mov_separ_signers/Naomi_225.mov" TargetMode="External"/><Relationship Id="rId23837" Type="http://schemas.openxmlformats.org/officeDocument/2006/relationships/hyperlink" Target="http://csr.bu.edu/ftp/asl/asllvd/demos/verify_start_end_handshape_annotations//test_auto_move//signs_mov/5990.mov" TargetMode="External"/><Relationship Id="rId23838" Type="http://schemas.openxmlformats.org/officeDocument/2006/relationships/hyperlink" Target="http://csr.bu.edu/ftp/asl/asllvd/demos/verify_start_end_handshape_annotations//test_auto_move//signs_mov_separ_signers/Brady_5990.mov" TargetMode="External"/><Relationship Id="rId23839" Type="http://schemas.openxmlformats.org/officeDocument/2006/relationships/hyperlink" Target="http://secrets.rutgers.edu:8080/data/asl-ftp/asllvd/demos/verify_start_end_handshape_annotations//test_auto_move//signs_mov/5990.mov" TargetMode="External"/><Relationship Id="rId23840" Type="http://schemas.openxmlformats.org/officeDocument/2006/relationships/hyperlink" Target="http://secrets.rutgers.edu:8080/data/asl-ftp/asllvd/demos/verify_start_end_handshape_annotations//test_auto_move//signs_mov_separ_signers/Brady_5990.mov" TargetMode="External"/><Relationship Id="rId23841" Type="http://schemas.openxmlformats.org/officeDocument/2006/relationships/hyperlink" Target="http://csr.bu.edu/ftp/asl/asllvd/demos/verify_start_end_handshape_annotations//test_auto_move//signs_mov_separ_signers/Liz_232.mov" TargetMode="External"/><Relationship Id="rId23842" Type="http://schemas.openxmlformats.org/officeDocument/2006/relationships/hyperlink" Target="http://secrets.rutgers.edu:8080/data/asl-ftp/asllvd/demos/verify_start_end_handshape_annotations//test_auto_move//signs_mov_separ_signers/Liz_232.mov" TargetMode="External"/><Relationship Id="rId23843" Type="http://schemas.openxmlformats.org/officeDocument/2006/relationships/hyperlink" Target="http://csr.bu.edu/ftp/asl/asllvd/demos/verify_start_end_handshape_annotations//test_auto_move//signs_mov_separ_signers/Tyler_232.mov" TargetMode="External"/><Relationship Id="rId23844" Type="http://schemas.openxmlformats.org/officeDocument/2006/relationships/hyperlink" Target="http://secrets.rutgers.edu:8080/data/asl-ftp/asllvd/demos/verify_start_end_handshape_annotations//test_auto_move//signs_mov_separ_signers/Tyler_232.mov" TargetMode="External"/><Relationship Id="rId23845" Type="http://schemas.openxmlformats.org/officeDocument/2006/relationships/hyperlink" Target="http://csr.bu.edu/ftp/asl/asllvd/demos/verify_start_end_handshape_annotations//test_auto_move//signs_mov/232.mov" TargetMode="External"/><Relationship Id="rId23846" Type="http://schemas.openxmlformats.org/officeDocument/2006/relationships/hyperlink" Target="http://csr.bu.edu/ftp/asl/asllvd/demos/verify_start_end_handshape_annotations//test_auto_move//signs_mov_separ_signers/Naomi_232.mov" TargetMode="External"/><Relationship Id="rId23847" Type="http://schemas.openxmlformats.org/officeDocument/2006/relationships/hyperlink" Target="http://secrets.rutgers.edu:8080/data/asl-ftp/asllvd/demos/verify_start_end_handshape_annotations//test_auto_move//signs_mov/232.mov" TargetMode="External"/><Relationship Id="rId23848" Type="http://schemas.openxmlformats.org/officeDocument/2006/relationships/hyperlink" Target="http://secrets.rutgers.edu:8080/data/asl-ftp/asllvd/demos/verify_start_end_handshape_annotations//test_auto_move//signs_mov_separ_signers/Naomi_232.mov" TargetMode="External"/><Relationship Id="rId23849" Type="http://schemas.openxmlformats.org/officeDocument/2006/relationships/hyperlink" Target="http://csr.bu.edu/ftp/asl/asllvd/demos/verify_start_end_handshape_annotations//test_auto_move//signs_mov_separ_signers/Brady_232.mov" TargetMode="External"/><Relationship Id="rId23850" Type="http://schemas.openxmlformats.org/officeDocument/2006/relationships/hyperlink" Target="http://secrets.rutgers.edu:8080/data/asl-ftp/asllvd/demos/verify_start_end_handshape_annotations//test_auto_move//signs_mov_separ_signers/Brady_232.mov" TargetMode="External"/><Relationship Id="rId23851" Type="http://schemas.openxmlformats.org/officeDocument/2006/relationships/hyperlink" Target="http://csr.bu.edu/ftp/asl/asllvd/demos/verify_start_end_handshape_annotations//test_auto_move//signs_mov_separ_signers/Lana_232.mov" TargetMode="External"/><Relationship Id="rId23852" Type="http://schemas.openxmlformats.org/officeDocument/2006/relationships/hyperlink" Target="http://secrets.rutgers.edu:8080/data/asl-ftp/asllvd/demos/verify_start_end_handshape_annotations//test_auto_move//signs_mov_separ_signers/Lana_232.mov" TargetMode="External"/><Relationship Id="rId23853" Type="http://schemas.openxmlformats.org/officeDocument/2006/relationships/hyperlink" Target="http://csr.bu.edu/ftp/asl/asllvd/demos/verify_start_end_handshape_annotations//test_auto_move//signs_mov_separ_signers/Dana_232.mov" TargetMode="External"/><Relationship Id="rId23854" Type="http://schemas.openxmlformats.org/officeDocument/2006/relationships/hyperlink" Target="http://secrets.rutgers.edu:8080/data/asl-ftp/asllvd/demos/verify_start_end_handshape_annotations//test_auto_move//signs_mov_separ_signers/Dana_232.mov" TargetMode="External"/><Relationship Id="rId23855" Type="http://schemas.openxmlformats.org/officeDocument/2006/relationships/hyperlink" Target="http://csr.bu.edu/ftp/asl/asllvd/demos/verify_start_end_handshape_annotations//test_auto_move//signs_mov/237.mov" TargetMode="External"/><Relationship Id="rId23856" Type="http://schemas.openxmlformats.org/officeDocument/2006/relationships/hyperlink" Target="http://csr.bu.edu/ftp/asl/asllvd/demos/verify_start_end_handshape_annotations//test_auto_move//signs_mov_separ_signers/Liz_237.mov" TargetMode="External"/><Relationship Id="rId23857" Type="http://schemas.openxmlformats.org/officeDocument/2006/relationships/hyperlink" Target="http://secrets.rutgers.edu:8080/data/asl-ftp/asllvd/demos/verify_start_end_handshape_annotations//test_auto_move//signs_mov/237.mov" TargetMode="External"/><Relationship Id="rId23858" Type="http://schemas.openxmlformats.org/officeDocument/2006/relationships/hyperlink" Target="http://secrets.rutgers.edu:8080/data/asl-ftp/asllvd/demos/verify_start_end_handshape_annotations//test_auto_move//signs_mov_separ_signers/Liz_237.mov" TargetMode="External"/><Relationship Id="rId23859" Type="http://schemas.openxmlformats.org/officeDocument/2006/relationships/hyperlink" Target="http://csr.bu.edu/ftp/asl/asllvd/demos/verify_start_end_handshape_annotations//test_auto_move//signs_mov_separ_signers/Liz_248.mov" TargetMode="External"/><Relationship Id="rId23860" Type="http://schemas.openxmlformats.org/officeDocument/2006/relationships/hyperlink" Target="http://secrets.rutgers.edu:8080/data/asl-ftp/asllvd/demos/verify_start_end_handshape_annotations//test_auto_move//signs_mov_separ_signers/Liz_248.mov" TargetMode="External"/><Relationship Id="rId23861" Type="http://schemas.openxmlformats.org/officeDocument/2006/relationships/hyperlink" Target="http://csr.bu.edu/ftp/asl/asllvd/demos/verify_start_end_handshape_annotations//test_auto_move//signs_mov/248.mov" TargetMode="External"/><Relationship Id="rId23862" Type="http://schemas.openxmlformats.org/officeDocument/2006/relationships/hyperlink" Target="http://csr.bu.edu/ftp/asl/asllvd/demos/verify_start_end_handshape_annotations//test_auto_move//signs_mov_separ_signers/Tyler_248.mov" TargetMode="External"/><Relationship Id="rId23863" Type="http://schemas.openxmlformats.org/officeDocument/2006/relationships/hyperlink" Target="http://secrets.rutgers.edu:8080/data/asl-ftp/asllvd/demos/verify_start_end_handshape_annotations//test_auto_move//signs_mov/248.mov" TargetMode="External"/><Relationship Id="rId23864" Type="http://schemas.openxmlformats.org/officeDocument/2006/relationships/hyperlink" Target="http://secrets.rutgers.edu:8080/data/asl-ftp/asllvd/demos/verify_start_end_handshape_annotations//test_auto_move//signs_mov_separ_signers/Tyler_248.mov" TargetMode="External"/><Relationship Id="rId23865" Type="http://schemas.openxmlformats.org/officeDocument/2006/relationships/hyperlink" Target="http://csr.bu.edu/ftp/asl/asllvd/demos/verify_start_end_handshape_annotations//test_auto_move//signs_mov_separ_signers/Naomi_248.mov" TargetMode="External"/><Relationship Id="rId23866" Type="http://schemas.openxmlformats.org/officeDocument/2006/relationships/hyperlink" Target="http://secrets.rutgers.edu:8080/data/asl-ftp/asllvd/demos/verify_start_end_handshape_annotations//test_auto_move//signs_mov_separ_signers/Naomi_248.mov" TargetMode="External"/><Relationship Id="rId23867" Type="http://schemas.openxmlformats.org/officeDocument/2006/relationships/hyperlink" Target="http://csr.bu.edu/ftp/asl/asllvd/demos/verify_start_end_handshape_annotations//test_auto_move//signs_mov_separ_signers/Brady_248.mov" TargetMode="External"/><Relationship Id="rId23868" Type="http://schemas.openxmlformats.org/officeDocument/2006/relationships/hyperlink" Target="http://secrets.rutgers.edu:8080/data/asl-ftp/asllvd/demos/verify_start_end_handshape_annotations//test_auto_move//signs_mov_separ_signers/Brady_248.mov" TargetMode="External"/><Relationship Id="rId23869" Type="http://schemas.openxmlformats.org/officeDocument/2006/relationships/hyperlink" Target="http://csr.bu.edu/ftp/asl/asllvd/demos/verify_start_end_handshape_annotations//test_auto_move//signs_mov/3190.mov" TargetMode="External"/><Relationship Id="rId23870" Type="http://schemas.openxmlformats.org/officeDocument/2006/relationships/hyperlink" Target="http://csr.bu.edu/ftp/asl/asllvd/demos/verify_start_end_handshape_annotations//test_auto_move//signs_mov_separ_signers/Liz_3190.mov" TargetMode="External"/><Relationship Id="rId23871" Type="http://schemas.openxmlformats.org/officeDocument/2006/relationships/hyperlink" Target="http://secrets.rutgers.edu:8080/data/asl-ftp/asllvd/demos/verify_start_end_handshape_annotations//test_auto_move//signs_mov/3190.mov" TargetMode="External"/><Relationship Id="rId23872" Type="http://schemas.openxmlformats.org/officeDocument/2006/relationships/hyperlink" Target="http://secrets.rutgers.edu:8080/data/asl-ftp/asllvd/demos/verify_start_end_handshape_annotations//test_auto_move//signs_mov_separ_signers/Liz_3190.mov" TargetMode="External"/><Relationship Id="rId23873" Type="http://schemas.openxmlformats.org/officeDocument/2006/relationships/hyperlink" Target="http://csr.bu.edu/ftp/asl/asllvd/demos/verify_start_end_handshape_annotations//test_auto_move//signs_mov_separ_signers/Naomi_3190.mov" TargetMode="External"/><Relationship Id="rId23874" Type="http://schemas.openxmlformats.org/officeDocument/2006/relationships/hyperlink" Target="http://secrets.rutgers.edu:8080/data/asl-ftp/asllvd/demos/verify_start_end_handshape_annotations//test_auto_move//signs_mov_separ_signers/Naomi_3190.mov" TargetMode="External"/><Relationship Id="rId23875" Type="http://schemas.openxmlformats.org/officeDocument/2006/relationships/hyperlink" Target="http://csr.bu.edu/ftp/asl/asllvd/demos/verify_start_end_handshape_annotations//test_auto_move//signs_mov/3293.mov" TargetMode="External"/><Relationship Id="rId23876" Type="http://schemas.openxmlformats.org/officeDocument/2006/relationships/hyperlink" Target="http://csr.bu.edu/ftp/asl/asllvd/demos/verify_start_end_handshape_annotations//test_auto_move//signs_mov_separ_signers/Brady_3293.mov" TargetMode="External"/><Relationship Id="rId23877" Type="http://schemas.openxmlformats.org/officeDocument/2006/relationships/hyperlink" Target="http://secrets.rutgers.edu:8080/data/asl-ftp/asllvd/demos/verify_start_end_handshape_annotations//test_auto_move//signs_mov/3293.mov" TargetMode="External"/><Relationship Id="rId23878" Type="http://schemas.openxmlformats.org/officeDocument/2006/relationships/hyperlink" Target="http://secrets.rutgers.edu:8080/data/asl-ftp/asllvd/demos/verify_start_end_handshape_annotations//test_auto_move//signs_mov_separ_signers/Brady_3293.mov" TargetMode="External"/><Relationship Id="rId23879" Type="http://schemas.openxmlformats.org/officeDocument/2006/relationships/hyperlink" Target="http://csr.bu.edu/ftp/asl/asllvd/demos/verify_start_end_handshape_annotations//test_auto_move//signs_mov/294.mov" TargetMode="External"/><Relationship Id="rId23880" Type="http://schemas.openxmlformats.org/officeDocument/2006/relationships/hyperlink" Target="http://csr.bu.edu/ftp/asl/asllvd/demos/verify_start_end_handshape_annotations//test_auto_move//signs_mov_separ_signers/Naomi_294.mov" TargetMode="External"/><Relationship Id="rId23881" Type="http://schemas.openxmlformats.org/officeDocument/2006/relationships/hyperlink" Target="http://secrets.rutgers.edu:8080/data/asl-ftp/asllvd/demos/verify_start_end_handshape_annotations//test_auto_move//signs_mov/294.mov" TargetMode="External"/><Relationship Id="rId23882" Type="http://schemas.openxmlformats.org/officeDocument/2006/relationships/hyperlink" Target="http://secrets.rutgers.edu:8080/data/asl-ftp/asllvd/demos/verify_start_end_handshape_annotations//test_auto_move//signs_mov_separ_signers/Naomi_294.mov" TargetMode="External"/><Relationship Id="rId23883" Type="http://schemas.openxmlformats.org/officeDocument/2006/relationships/hyperlink" Target="http://csr.bu.edu/ftp/asl/asllvd/demos/verify_start_end_handshape_annotations//test_auto_move//signs_mov_separ_signers/Brady_294.mov" TargetMode="External"/><Relationship Id="rId23884" Type="http://schemas.openxmlformats.org/officeDocument/2006/relationships/hyperlink" Target="http://secrets.rutgers.edu:8080/data/asl-ftp/asllvd/demos/verify_start_end_handshape_annotations//test_auto_move//signs_mov_separ_signers/Brady_294.mov" TargetMode="External"/><Relationship Id="rId23885" Type="http://schemas.openxmlformats.org/officeDocument/2006/relationships/hyperlink" Target="http://csr.bu.edu/ftp/asl/asllvd/demos/verify_start_end_handshape_annotations//test_auto_move//signs_mov/3295.mov" TargetMode="External"/><Relationship Id="rId23886" Type="http://schemas.openxmlformats.org/officeDocument/2006/relationships/hyperlink" Target="http://csr.bu.edu/ftp/asl/asllvd/demos/verify_start_end_handshape_annotations//test_auto_move//signs_mov_separ_signers/Brady_3295.mov" TargetMode="External"/><Relationship Id="rId23887" Type="http://schemas.openxmlformats.org/officeDocument/2006/relationships/hyperlink" Target="http://secrets.rutgers.edu:8080/data/asl-ftp/asllvd/demos/verify_start_end_handshape_annotations//test_auto_move//signs_mov/3295.mov" TargetMode="External"/><Relationship Id="rId23888" Type="http://schemas.openxmlformats.org/officeDocument/2006/relationships/hyperlink" Target="http://secrets.rutgers.edu:8080/data/asl-ftp/asllvd/demos/verify_start_end_handshape_annotations//test_auto_move//signs_mov_separ_signers/Brady_3295.mov" TargetMode="External"/><Relationship Id="rId23889" Type="http://schemas.openxmlformats.org/officeDocument/2006/relationships/hyperlink" Target="http://csr.bu.edu/ftp/asl/asllvd/demos/verify_start_end_handshape_annotations//test_auto_move//signs_mov_separ_signers/Liz_312.mov" TargetMode="External"/><Relationship Id="rId23890" Type="http://schemas.openxmlformats.org/officeDocument/2006/relationships/hyperlink" Target="http://secrets.rutgers.edu:8080/data/asl-ftp/asllvd/demos/verify_start_end_handshape_annotations//test_auto_move//signs_mov_separ_signers/Liz_312.mov" TargetMode="External"/><Relationship Id="rId23891" Type="http://schemas.openxmlformats.org/officeDocument/2006/relationships/hyperlink" Target="http://csr.bu.edu/ftp/asl/asllvd/demos/verify_start_end_handshape_annotations//test_auto_move//signs_mov/312.mov" TargetMode="External"/><Relationship Id="rId23892" Type="http://schemas.openxmlformats.org/officeDocument/2006/relationships/hyperlink" Target="http://csr.bu.edu/ftp/asl/asllvd/demos/verify_start_end_handshape_annotations//test_auto_move//signs_mov_separ_signers/Tyler_312.mov" TargetMode="External"/><Relationship Id="rId23893" Type="http://schemas.openxmlformats.org/officeDocument/2006/relationships/hyperlink" Target="http://secrets.rutgers.edu:8080/data/asl-ftp/asllvd/demos/verify_start_end_handshape_annotations//test_auto_move//signs_mov/312.mov" TargetMode="External"/><Relationship Id="rId23894" Type="http://schemas.openxmlformats.org/officeDocument/2006/relationships/hyperlink" Target="http://secrets.rutgers.edu:8080/data/asl-ftp/asllvd/demos/verify_start_end_handshape_annotations//test_auto_move//signs_mov_separ_signers/Tyler_312.mov" TargetMode="External"/><Relationship Id="rId23895" Type="http://schemas.openxmlformats.org/officeDocument/2006/relationships/hyperlink" Target="http://csr.bu.edu/ftp/asl/asllvd/demos/verify_start_end_handshape_annotations//test_auto_move//signs_mov_separ_signers/Naomi_312.mov" TargetMode="External"/><Relationship Id="rId23896" Type="http://schemas.openxmlformats.org/officeDocument/2006/relationships/hyperlink" Target="http://secrets.rutgers.edu:8080/data/asl-ftp/asllvd/demos/verify_start_end_handshape_annotations//test_auto_move//signs_mov_separ_signers/Naomi_312.mov" TargetMode="External"/><Relationship Id="rId23897" Type="http://schemas.openxmlformats.org/officeDocument/2006/relationships/hyperlink" Target="http://csr.bu.edu/ftp/asl/asllvd/demos/verify_start_end_handshape_annotations//test_auto_move//signs_mov_separ_signers/Liz_328.mov" TargetMode="External"/><Relationship Id="rId23898" Type="http://schemas.openxmlformats.org/officeDocument/2006/relationships/hyperlink" Target="http://secrets.rutgers.edu:8080/data/asl-ftp/asllvd/demos/verify_start_end_handshape_annotations//test_auto_move//signs_mov_separ_signers/Liz_328.mov" TargetMode="External"/><Relationship Id="rId23899" Type="http://schemas.openxmlformats.org/officeDocument/2006/relationships/hyperlink" Target="http://csr.bu.edu/ftp/asl/asllvd/demos/verify_start_end_handshape_annotations//test_auto_move//signs_mov_separ_signers/Tyler_328.mov" TargetMode="External"/><Relationship Id="rId23900" Type="http://schemas.openxmlformats.org/officeDocument/2006/relationships/hyperlink" Target="http://secrets.rutgers.edu:8080/data/asl-ftp/asllvd/demos/verify_start_end_handshape_annotations//test_auto_move//signs_mov_separ_signers/Tyler_328.mov" TargetMode="External"/><Relationship Id="rId23901" Type="http://schemas.openxmlformats.org/officeDocument/2006/relationships/hyperlink" Target="http://csr.bu.edu/ftp/asl/asllvd/demos/verify_start_end_handshape_annotations//test_auto_move//signs_mov/328.mov" TargetMode="External"/><Relationship Id="rId23902" Type="http://schemas.openxmlformats.org/officeDocument/2006/relationships/hyperlink" Target="http://csr.bu.edu/ftp/asl/asllvd/demos/verify_start_end_handshape_annotations//test_auto_move//signs_mov_separ_signers/Naomi_328.mov" TargetMode="External"/><Relationship Id="rId23903" Type="http://schemas.openxmlformats.org/officeDocument/2006/relationships/hyperlink" Target="http://secrets.rutgers.edu:8080/data/asl-ftp/asllvd/demos/verify_start_end_handshape_annotations//test_auto_move//signs_mov/328.mov" TargetMode="External"/><Relationship Id="rId23904" Type="http://schemas.openxmlformats.org/officeDocument/2006/relationships/hyperlink" Target="http://secrets.rutgers.edu:8080/data/asl-ftp/asllvd/demos/verify_start_end_handshape_annotations//test_auto_move//signs_mov_separ_signers/Naomi_328.mov" TargetMode="External"/><Relationship Id="rId23905" Type="http://schemas.openxmlformats.org/officeDocument/2006/relationships/hyperlink" Target="http://csr.bu.edu/ftp/asl/asllvd/demos/verify_start_end_handshape_annotations//test_auto_move//signs_mov_separ_signers/Brady_328.mov" TargetMode="External"/><Relationship Id="rId23906" Type="http://schemas.openxmlformats.org/officeDocument/2006/relationships/hyperlink" Target="http://secrets.rutgers.edu:8080/data/asl-ftp/asllvd/demos/verify_start_end_handshape_annotations//test_auto_move//signs_mov_separ_signers/Brady_328.mov" TargetMode="External"/><Relationship Id="rId23907" Type="http://schemas.openxmlformats.org/officeDocument/2006/relationships/hyperlink" Target="http://csr.bu.edu/ftp/asl/asllvd/demos/verify_start_end_handshape_annotations//test_auto_move//signs_mov_separ_signers/Lana_328.mov" TargetMode="External"/><Relationship Id="rId23908" Type="http://schemas.openxmlformats.org/officeDocument/2006/relationships/hyperlink" Target="http://secrets.rutgers.edu:8080/data/asl-ftp/asllvd/demos/verify_start_end_handshape_annotations//test_auto_move//signs_mov_separ_signers/Lana_328.mov" TargetMode="External"/><Relationship Id="rId23909" Type="http://schemas.openxmlformats.org/officeDocument/2006/relationships/hyperlink" Target="http://csr.bu.edu/ftp/asl/asllvd/demos/verify_start_end_handshape_annotations//test_auto_move//signs_mov_separ_signers/Dana_328.mov" TargetMode="External"/><Relationship Id="rId23910" Type="http://schemas.openxmlformats.org/officeDocument/2006/relationships/hyperlink" Target="http://secrets.rutgers.edu:8080/data/asl-ftp/asllvd/demos/verify_start_end_handshape_annotations//test_auto_move//signs_mov_separ_signers/Dana_328.mov" TargetMode="External"/><Relationship Id="rId23911" Type="http://schemas.openxmlformats.org/officeDocument/2006/relationships/hyperlink" Target="http://csr.bu.edu/ftp/asl/asllvd/demos/verify_start_end_handshape_annotations//test_auto_move//signs_mov/341.mov" TargetMode="External"/><Relationship Id="rId23912" Type="http://schemas.openxmlformats.org/officeDocument/2006/relationships/hyperlink" Target="http://csr.bu.edu/ftp/asl/asllvd/demos/verify_start_end_handshape_annotations//test_auto_move//signs_mov_separ_signers/Naomi_341.mov" TargetMode="External"/><Relationship Id="rId23913" Type="http://schemas.openxmlformats.org/officeDocument/2006/relationships/hyperlink" Target="http://secrets.rutgers.edu:8080/data/asl-ftp/asllvd/demos/verify_start_end_handshape_annotations//test_auto_move//signs_mov/341.mov" TargetMode="External"/><Relationship Id="rId23914" Type="http://schemas.openxmlformats.org/officeDocument/2006/relationships/hyperlink" Target="http://secrets.rutgers.edu:8080/data/asl-ftp/asllvd/demos/verify_start_end_handshape_annotations//test_auto_move//signs_mov_separ_signers/Naomi_341.mov" TargetMode="External"/><Relationship Id="rId23915" Type="http://schemas.openxmlformats.org/officeDocument/2006/relationships/hyperlink" Target="http://csr.bu.edu/ftp/asl/asllvd/demos/verify_start_end_handshape_annotations//test_auto_move//signs_mov_separ_signers/Brady_341.mov" TargetMode="External"/><Relationship Id="rId23916" Type="http://schemas.openxmlformats.org/officeDocument/2006/relationships/hyperlink" Target="http://secrets.rutgers.edu:8080/data/asl-ftp/asllvd/demos/verify_start_end_handshape_annotations//test_auto_move//signs_mov_separ_signers/Brady_341.mov" TargetMode="External"/><Relationship Id="rId23917" Type="http://schemas.openxmlformats.org/officeDocument/2006/relationships/hyperlink" Target="http://csr.bu.edu/ftp/asl/asllvd/demos/verify_start_end_handshape_annotations//test_auto_move//signs_mov_separ_signers/Liz_351.mov" TargetMode="External"/><Relationship Id="rId23918" Type="http://schemas.openxmlformats.org/officeDocument/2006/relationships/hyperlink" Target="http://secrets.rutgers.edu:8080/data/asl-ftp/asllvd/demos/verify_start_end_handshape_annotations//test_auto_move//signs_mov_separ_signers/Liz_351.mov" TargetMode="External"/><Relationship Id="rId23919" Type="http://schemas.openxmlformats.org/officeDocument/2006/relationships/hyperlink" Target="http://csr.bu.edu/ftp/asl/asllvd/demos/verify_start_end_handshape_annotations//test_auto_move//signs_mov/351.mov" TargetMode="External"/><Relationship Id="rId23920" Type="http://schemas.openxmlformats.org/officeDocument/2006/relationships/hyperlink" Target="http://csr.bu.edu/ftp/asl/asllvd/demos/verify_start_end_handshape_annotations//test_auto_move//signs_mov_separ_signers/Tyler_351.mov" TargetMode="External"/><Relationship Id="rId23921" Type="http://schemas.openxmlformats.org/officeDocument/2006/relationships/hyperlink" Target="http://secrets.rutgers.edu:8080/data/asl-ftp/asllvd/demos/verify_start_end_handshape_annotations//test_auto_move//signs_mov/351.mov" TargetMode="External"/><Relationship Id="rId23922" Type="http://schemas.openxmlformats.org/officeDocument/2006/relationships/hyperlink" Target="http://secrets.rutgers.edu:8080/data/asl-ftp/asllvd/demos/verify_start_end_handshape_annotations//test_auto_move//signs_mov_separ_signers/Tyler_351.mov" TargetMode="External"/><Relationship Id="rId23923" Type="http://schemas.openxmlformats.org/officeDocument/2006/relationships/hyperlink" Target="http://csr.bu.edu/ftp/asl/asllvd/demos/verify_start_end_handshape_annotations//test_auto_move//signs_mov_separ_signers/Naomi_351.mov" TargetMode="External"/><Relationship Id="rId23924" Type="http://schemas.openxmlformats.org/officeDocument/2006/relationships/hyperlink" Target="http://secrets.rutgers.edu:8080/data/asl-ftp/asllvd/demos/verify_start_end_handshape_annotations//test_auto_move//signs_mov_separ_signers/Naomi_351.mov" TargetMode="External"/><Relationship Id="rId23925" Type="http://schemas.openxmlformats.org/officeDocument/2006/relationships/hyperlink" Target="http://csr.bu.edu/ftp/asl/asllvd/demos/verify_start_end_handshape_annotations//test_auto_move//signs_mov_separ_signers/Brady_351.mov" TargetMode="External"/><Relationship Id="rId23926" Type="http://schemas.openxmlformats.org/officeDocument/2006/relationships/hyperlink" Target="http://secrets.rutgers.edu:8080/data/asl-ftp/asllvd/demos/verify_start_end_handshape_annotations//test_auto_move//signs_mov_separ_signers/Brady_351.mov" TargetMode="External"/><Relationship Id="rId23927" Type="http://schemas.openxmlformats.org/officeDocument/2006/relationships/hyperlink" Target="http://csr.bu.edu/ftp/asl/asllvd/demos/verify_start_end_handshape_annotations//test_auto_move//signs_mov_separ_signers/Liz_360.mov" TargetMode="External"/><Relationship Id="rId23928" Type="http://schemas.openxmlformats.org/officeDocument/2006/relationships/hyperlink" Target="http://secrets.rutgers.edu:8080/data/asl-ftp/asllvd/demos/verify_start_end_handshape_annotations//test_auto_move//signs_mov_separ_signers/Liz_360.mov" TargetMode="External"/><Relationship Id="rId23929" Type="http://schemas.openxmlformats.org/officeDocument/2006/relationships/hyperlink" Target="http://csr.bu.edu/ftp/asl/asllvd/demos/verify_start_end_handshape_annotations//test_auto_move//signs_mov/360.mov" TargetMode="External"/><Relationship Id="rId23930" Type="http://schemas.openxmlformats.org/officeDocument/2006/relationships/hyperlink" Target="http://csr.bu.edu/ftp/asl/asllvd/demos/verify_start_end_handshape_annotations//test_auto_move//signs_mov_separ_signers/Tyler_360.mov" TargetMode="External"/><Relationship Id="rId23931" Type="http://schemas.openxmlformats.org/officeDocument/2006/relationships/hyperlink" Target="http://secrets.rutgers.edu:8080/data/asl-ftp/asllvd/demos/verify_start_end_handshape_annotations//test_auto_move//signs_mov/360.mov" TargetMode="External"/><Relationship Id="rId23932" Type="http://schemas.openxmlformats.org/officeDocument/2006/relationships/hyperlink" Target="http://secrets.rutgers.edu:8080/data/asl-ftp/asllvd/demos/verify_start_end_handshape_annotations//test_auto_move//signs_mov_separ_signers/Tyler_360.mov" TargetMode="External"/><Relationship Id="rId23933" Type="http://schemas.openxmlformats.org/officeDocument/2006/relationships/hyperlink" Target="http://csr.bu.edu/ftp/asl/asllvd/demos/verify_start_end_handshape_annotations//test_auto_move//signs_mov_separ_signers/Naomi_360.mov" TargetMode="External"/><Relationship Id="rId23934" Type="http://schemas.openxmlformats.org/officeDocument/2006/relationships/hyperlink" Target="http://secrets.rutgers.edu:8080/data/asl-ftp/asllvd/demos/verify_start_end_handshape_annotations//test_auto_move//signs_mov_separ_signers/Naomi_360.mov" TargetMode="External"/><Relationship Id="rId23935" Type="http://schemas.openxmlformats.org/officeDocument/2006/relationships/hyperlink" Target="http://csr.bu.edu/ftp/asl/asllvd/demos/verify_start_end_handshape_annotations//test_auto_move//signs_mov_separ_signers/Brady_360.mov" TargetMode="External"/><Relationship Id="rId23936" Type="http://schemas.openxmlformats.org/officeDocument/2006/relationships/hyperlink" Target="http://secrets.rutgers.edu:8080/data/asl-ftp/asllvd/demos/verify_start_end_handshape_annotations//test_auto_move//signs_mov_separ_signers/Brady_360.mov" TargetMode="External"/><Relationship Id="rId23937" Type="http://schemas.openxmlformats.org/officeDocument/2006/relationships/hyperlink" Target="http://csr.bu.edu/ftp/asl/asllvd/demos/verify_start_end_handshape_annotations//test_auto_move//signs_mov_separ_signers/Liz_361.mov" TargetMode="External"/><Relationship Id="rId23938" Type="http://schemas.openxmlformats.org/officeDocument/2006/relationships/hyperlink" Target="http://secrets.rutgers.edu:8080/data/asl-ftp/asllvd/demos/verify_start_end_handshape_annotations//test_auto_move//signs_mov_separ_signers/Liz_361.mov" TargetMode="External"/><Relationship Id="rId23939" Type="http://schemas.openxmlformats.org/officeDocument/2006/relationships/hyperlink" Target="http://csr.bu.edu/ftp/asl/asllvd/demos/verify_start_end_handshape_annotations//test_auto_move//signs_mov/361.mov" TargetMode="External"/><Relationship Id="rId23940" Type="http://schemas.openxmlformats.org/officeDocument/2006/relationships/hyperlink" Target="http://csr.bu.edu/ftp/asl/asllvd/demos/verify_start_end_handshape_annotations//test_auto_move//signs_mov_separ_signers/Naomi_361.mov" TargetMode="External"/><Relationship Id="rId23941" Type="http://schemas.openxmlformats.org/officeDocument/2006/relationships/hyperlink" Target="http://secrets.rutgers.edu:8080/data/asl-ftp/asllvd/demos/verify_start_end_handshape_annotations//test_auto_move//signs_mov/361.mov" TargetMode="External"/><Relationship Id="rId23942" Type="http://schemas.openxmlformats.org/officeDocument/2006/relationships/hyperlink" Target="http://secrets.rutgers.edu:8080/data/asl-ftp/asllvd/demos/verify_start_end_handshape_annotations//test_auto_move//signs_mov_separ_signers/Naomi_361.mov" TargetMode="External"/><Relationship Id="rId23943" Type="http://schemas.openxmlformats.org/officeDocument/2006/relationships/hyperlink" Target="http://csr.bu.edu/ftp/asl/asllvd/demos/verify_start_end_handshape_annotations//test_auto_move//signs_mov_separ_signers/Brady_361.mov" TargetMode="External"/><Relationship Id="rId23944" Type="http://schemas.openxmlformats.org/officeDocument/2006/relationships/hyperlink" Target="http://secrets.rutgers.edu:8080/data/asl-ftp/asllvd/demos/verify_start_end_handshape_annotations//test_auto_move//signs_mov_separ_signers/Brady_361.mov" TargetMode="External"/><Relationship Id="rId23945" Type="http://schemas.openxmlformats.org/officeDocument/2006/relationships/hyperlink" Target="http://csr.bu.edu/ftp/asl/asllvd/demos/verify_start_end_handshape_annotations//test_auto_move//signs_mov/3012.mov" TargetMode="External"/><Relationship Id="rId23946" Type="http://schemas.openxmlformats.org/officeDocument/2006/relationships/hyperlink" Target="http://csr.bu.edu/ftp/asl/asllvd/demos/verify_start_end_handshape_annotations//test_auto_move//signs_mov_separ_signers/Naomi_3012.mov" TargetMode="External"/><Relationship Id="rId23947" Type="http://schemas.openxmlformats.org/officeDocument/2006/relationships/hyperlink" Target="http://secrets.rutgers.edu:8080/data/asl-ftp/asllvd/demos/verify_start_end_handshape_annotations//test_auto_move//signs_mov/3012.mov" TargetMode="External"/><Relationship Id="rId23948" Type="http://schemas.openxmlformats.org/officeDocument/2006/relationships/hyperlink" Target="http://secrets.rutgers.edu:8080/data/asl-ftp/asllvd/demos/verify_start_end_handshape_annotations//test_auto_move//signs_mov_separ_signers/Naomi_3012.mov" TargetMode="External"/><Relationship Id="rId23949" Type="http://schemas.openxmlformats.org/officeDocument/2006/relationships/hyperlink" Target="http://csr.bu.edu/ftp/asl/asllvd/demos/verify_start_end_handshape_annotations//test_auto_move//signs_mov_separ_signers/Brady_3012.mov" TargetMode="External"/><Relationship Id="rId23950" Type="http://schemas.openxmlformats.org/officeDocument/2006/relationships/hyperlink" Target="http://secrets.rutgers.edu:8080/data/asl-ftp/asllvd/demos/verify_start_end_handshape_annotations//test_auto_move//signs_mov_separ_signers/Brady_3012.mov" TargetMode="External"/><Relationship Id="rId23951" Type="http://schemas.openxmlformats.org/officeDocument/2006/relationships/hyperlink" Target="http://csr.bu.edu/ftp/asl/asllvd/demos/verify_start_end_handshape_annotations//test_auto_move//signs_mov_separ_signers/Liz_436.mov" TargetMode="External"/><Relationship Id="rId23952" Type="http://schemas.openxmlformats.org/officeDocument/2006/relationships/hyperlink" Target="http://secrets.rutgers.edu:8080/data/asl-ftp/asllvd/demos/verify_start_end_handshape_annotations//test_auto_move//signs_mov_separ_signers/Liz_436.mov" TargetMode="External"/><Relationship Id="rId23953" Type="http://schemas.openxmlformats.org/officeDocument/2006/relationships/hyperlink" Target="http://csr.bu.edu/ftp/asl/asllvd/demos/verify_start_end_handshape_annotations//test_auto_move//signs_mov/436.mov" TargetMode="External"/><Relationship Id="rId23954" Type="http://schemas.openxmlformats.org/officeDocument/2006/relationships/hyperlink" Target="http://csr.bu.edu/ftp/asl/asllvd/demos/verify_start_end_handshape_annotations//test_auto_move//signs_mov_separ_signers/Tyler_436.mov" TargetMode="External"/><Relationship Id="rId23955" Type="http://schemas.openxmlformats.org/officeDocument/2006/relationships/hyperlink" Target="http://secrets.rutgers.edu:8080/data/asl-ftp/asllvd/demos/verify_start_end_handshape_annotations//test_auto_move//signs_mov/436.mov" TargetMode="External"/><Relationship Id="rId23956" Type="http://schemas.openxmlformats.org/officeDocument/2006/relationships/hyperlink" Target="http://secrets.rutgers.edu:8080/data/asl-ftp/asllvd/demos/verify_start_end_handshape_annotations//test_auto_move//signs_mov_separ_signers/Tyler_436.mov" TargetMode="External"/><Relationship Id="rId23957" Type="http://schemas.openxmlformats.org/officeDocument/2006/relationships/hyperlink" Target="http://csr.bu.edu/ftp/asl/asllvd/demos/verify_start_end_handshape_annotations//test_auto_move//signs_mov_separ_signers/Naomi_436.mov" TargetMode="External"/><Relationship Id="rId23958" Type="http://schemas.openxmlformats.org/officeDocument/2006/relationships/hyperlink" Target="http://secrets.rutgers.edu:8080/data/asl-ftp/asllvd/demos/verify_start_end_handshape_annotations//test_auto_move//signs_mov_separ_signers/Naomi_436.mov" TargetMode="External"/><Relationship Id="rId23959" Type="http://schemas.openxmlformats.org/officeDocument/2006/relationships/hyperlink" Target="http://csr.bu.edu/ftp/asl/asllvd/demos/verify_start_end_handshape_annotations//test_auto_move//signs_mov_separ_signers/Brady_436.mov" TargetMode="External"/><Relationship Id="rId23960" Type="http://schemas.openxmlformats.org/officeDocument/2006/relationships/hyperlink" Target="http://secrets.rutgers.edu:8080/data/asl-ftp/asllvd/demos/verify_start_end_handshape_annotations//test_auto_move//signs_mov_separ_signers/Brady_436.mov" TargetMode="External"/><Relationship Id="rId23961" Type="http://schemas.openxmlformats.org/officeDocument/2006/relationships/hyperlink" Target="http://csr.bu.edu/ftp/asl/asllvd/demos/verify_start_end_handshape_annotations//test_auto_move//signs_mov_separ_signers/Liz_472.mov" TargetMode="External"/><Relationship Id="rId23962" Type="http://schemas.openxmlformats.org/officeDocument/2006/relationships/hyperlink" Target="http://secrets.rutgers.edu:8080/data/asl-ftp/asllvd/demos/verify_start_end_handshape_annotations//test_auto_move//signs_mov_separ_signers/Liz_472.mov" TargetMode="External"/><Relationship Id="rId23963" Type="http://schemas.openxmlformats.org/officeDocument/2006/relationships/hyperlink" Target="http://csr.bu.edu/ftp/asl/asllvd/demos/verify_start_end_handshape_annotations//test_auto_move//signs_mov/472.mov" TargetMode="External"/><Relationship Id="rId23964" Type="http://schemas.openxmlformats.org/officeDocument/2006/relationships/hyperlink" Target="http://csr.bu.edu/ftp/asl/asllvd/demos/verify_start_end_handshape_annotations//test_auto_move//signs_mov_separ_signers/Tyler_472.mov" TargetMode="External"/><Relationship Id="rId23965" Type="http://schemas.openxmlformats.org/officeDocument/2006/relationships/hyperlink" Target="http://secrets.rutgers.edu:8080/data/asl-ftp/asllvd/demos/verify_start_end_handshape_annotations//test_auto_move//signs_mov/472.mov" TargetMode="External"/><Relationship Id="rId23966" Type="http://schemas.openxmlformats.org/officeDocument/2006/relationships/hyperlink" Target="http://secrets.rutgers.edu:8080/data/asl-ftp/asllvd/demos/verify_start_end_handshape_annotations//test_auto_move//signs_mov_separ_signers/Tyler_472.mov" TargetMode="External"/><Relationship Id="rId23967" Type="http://schemas.openxmlformats.org/officeDocument/2006/relationships/hyperlink" Target="http://csr.bu.edu/ftp/asl/asllvd/demos/verify_start_end_handshape_annotations//test_auto_move//signs_mov_separ_signers/Naomi_472.mov" TargetMode="External"/><Relationship Id="rId23968" Type="http://schemas.openxmlformats.org/officeDocument/2006/relationships/hyperlink" Target="http://secrets.rutgers.edu:8080/data/asl-ftp/asllvd/demos/verify_start_end_handshape_annotations//test_auto_move//signs_mov_separ_signers/Naomi_472.mov" TargetMode="External"/><Relationship Id="rId23969" Type="http://schemas.openxmlformats.org/officeDocument/2006/relationships/hyperlink" Target="http://csr.bu.edu/ftp/asl/asllvd/demos/verify_start_end_handshape_annotations//test_auto_move//signs_mov_separ_signers/Brady_472.mov" TargetMode="External"/><Relationship Id="rId23970" Type="http://schemas.openxmlformats.org/officeDocument/2006/relationships/hyperlink" Target="http://secrets.rutgers.edu:8080/data/asl-ftp/asllvd/demos/verify_start_end_handshape_annotations//test_auto_move//signs_mov_separ_signers/Brady_472.mov" TargetMode="External"/><Relationship Id="rId23971" Type="http://schemas.openxmlformats.org/officeDocument/2006/relationships/hyperlink" Target="http://csr.bu.edu/ftp/asl/asllvd/demos/verify_start_end_handshape_annotations//test_auto_move//signs_mov/533.mov" TargetMode="External"/><Relationship Id="rId23972" Type="http://schemas.openxmlformats.org/officeDocument/2006/relationships/hyperlink" Target="http://csr.bu.edu/ftp/asl/asllvd/demos/verify_start_end_handshape_annotations//test_auto_move//signs_mov_separ_signers/Liz_533.mov" TargetMode="External"/><Relationship Id="rId23973" Type="http://schemas.openxmlformats.org/officeDocument/2006/relationships/hyperlink" Target="http://secrets.rutgers.edu:8080/data/asl-ftp/asllvd/demos/verify_start_end_handshape_annotations//test_auto_move//signs_mov/533.mov" TargetMode="External"/><Relationship Id="rId23974" Type="http://schemas.openxmlformats.org/officeDocument/2006/relationships/hyperlink" Target="http://secrets.rutgers.edu:8080/data/asl-ftp/asllvd/demos/verify_start_end_handshape_annotations//test_auto_move//signs_mov_separ_signers/Liz_533.mov" TargetMode="External"/><Relationship Id="rId23975" Type="http://schemas.openxmlformats.org/officeDocument/2006/relationships/hyperlink" Target="http://csr.bu.edu/ftp/asl/asllvd/demos/verify_start_end_handshape_annotations//test_auto_move//signs_mov_separ_signers/Naomi_533.mov" TargetMode="External"/><Relationship Id="rId23976" Type="http://schemas.openxmlformats.org/officeDocument/2006/relationships/hyperlink" Target="http://secrets.rutgers.edu:8080/data/asl-ftp/asllvd/demos/verify_start_end_handshape_annotations//test_auto_move//signs_mov_separ_signers/Naomi_533.mov" TargetMode="External"/><Relationship Id="rId23977" Type="http://schemas.openxmlformats.org/officeDocument/2006/relationships/hyperlink" Target="http://csr.bu.edu/ftp/asl/asllvd/demos/verify_start_end_handshape_annotations//test_auto_move//signs_mov/16518.mov" TargetMode="External"/><Relationship Id="rId23978" Type="http://schemas.openxmlformats.org/officeDocument/2006/relationships/hyperlink" Target="http://csr.bu.edu/ftp/asl/asllvd/demos/verify_start_end_handshape_annotations//test_auto_move//signs_mov_separ_signers/Brady_16518.mov" TargetMode="External"/><Relationship Id="rId23979" Type="http://schemas.openxmlformats.org/officeDocument/2006/relationships/hyperlink" Target="http://secrets.rutgers.edu:8080/data/asl-ftp/asllvd/demos/verify_start_end_handshape_annotations//test_auto_move//signs_mov/16518.mov" TargetMode="External"/><Relationship Id="rId23980" Type="http://schemas.openxmlformats.org/officeDocument/2006/relationships/hyperlink" Target="http://secrets.rutgers.edu:8080/data/asl-ftp/asllvd/demos/verify_start_end_handshape_annotations//test_auto_move//signs_mov_separ_signers/Brady_16518.mov" TargetMode="External"/><Relationship Id="rId23981" Type="http://schemas.openxmlformats.org/officeDocument/2006/relationships/hyperlink" Target="http://csr.bu.edu/ftp/asl/asllvd/demos/verify_start_end_handshape_annotations//test_auto_move//signs_mov_separ_signers/Liz_534.mov" TargetMode="External"/><Relationship Id="rId23982" Type="http://schemas.openxmlformats.org/officeDocument/2006/relationships/hyperlink" Target="http://secrets.rutgers.edu:8080/data/asl-ftp/asllvd/demos/verify_start_end_handshape_annotations//test_auto_move//signs_mov_separ_signers/Liz_534.mov" TargetMode="External"/><Relationship Id="rId23983" Type="http://schemas.openxmlformats.org/officeDocument/2006/relationships/hyperlink" Target="http://csr.bu.edu/ftp/asl/asllvd/demos/verify_start_end_handshape_annotations//test_auto_move//signs_mov/534.mov" TargetMode="External"/><Relationship Id="rId23984" Type="http://schemas.openxmlformats.org/officeDocument/2006/relationships/hyperlink" Target="http://csr.bu.edu/ftp/asl/asllvd/demos/verify_start_end_handshape_annotations//test_auto_move//signs_mov_separ_signers/Naomi_534.mov" TargetMode="External"/><Relationship Id="rId23985" Type="http://schemas.openxmlformats.org/officeDocument/2006/relationships/hyperlink" Target="http://secrets.rutgers.edu:8080/data/asl-ftp/asllvd/demos/verify_start_end_handshape_annotations//test_auto_move//signs_mov/534.mov" TargetMode="External"/><Relationship Id="rId23986" Type="http://schemas.openxmlformats.org/officeDocument/2006/relationships/hyperlink" Target="http://secrets.rutgers.edu:8080/data/asl-ftp/asllvd/demos/verify_start_end_handshape_annotations//test_auto_move//signs_mov_separ_signers/Naomi_534.mov" TargetMode="External"/><Relationship Id="rId23987" Type="http://schemas.openxmlformats.org/officeDocument/2006/relationships/hyperlink" Target="http://csr.bu.edu/ftp/asl/asllvd/demos/verify_start_end_handshape_annotations//test_auto_move//signs_mov_separ_signers/Brady_534.mov" TargetMode="External"/><Relationship Id="rId23988" Type="http://schemas.openxmlformats.org/officeDocument/2006/relationships/hyperlink" Target="http://secrets.rutgers.edu:8080/data/asl-ftp/asllvd/demos/verify_start_end_handshape_annotations//test_auto_move//signs_mov_separ_signers/Brady_534.mov" TargetMode="External"/><Relationship Id="rId23989" Type="http://schemas.openxmlformats.org/officeDocument/2006/relationships/hyperlink" Target="http://csr.bu.edu/ftp/asl/asllvd/demos/verify_start_end_handshape_annotations//test_auto_move//signs_mov/552.mov" TargetMode="External"/><Relationship Id="rId23990" Type="http://schemas.openxmlformats.org/officeDocument/2006/relationships/hyperlink" Target="http://csr.bu.edu/ftp/asl/asllvd/demos/verify_start_end_handshape_annotations//test_auto_move//signs_mov_separ_signers/Brady_552.mov" TargetMode="External"/><Relationship Id="rId23991" Type="http://schemas.openxmlformats.org/officeDocument/2006/relationships/hyperlink" Target="http://secrets.rutgers.edu:8080/data/asl-ftp/asllvd/demos/verify_start_end_handshape_annotations//test_auto_move//signs_mov/552.mov" TargetMode="External"/><Relationship Id="rId23992" Type="http://schemas.openxmlformats.org/officeDocument/2006/relationships/hyperlink" Target="http://secrets.rutgers.edu:8080/data/asl-ftp/asllvd/demos/verify_start_end_handshape_annotations//test_auto_move//signs_mov_separ_signers/Brady_552.mov" TargetMode="External"/><Relationship Id="rId23993" Type="http://schemas.openxmlformats.org/officeDocument/2006/relationships/hyperlink" Target="http://csr.bu.edu/ftp/asl/asllvd/demos/verify_start_end_handshape_annotations//test_auto_move//signs_mov/5848.mov" TargetMode="External"/><Relationship Id="rId23994" Type="http://schemas.openxmlformats.org/officeDocument/2006/relationships/hyperlink" Target="http://csr.bu.edu/ftp/asl/asllvd/demos/verify_start_end_handshape_annotations//test_auto_move//signs_mov_separ_signers/Liz_5848.mov" TargetMode="External"/><Relationship Id="rId23995" Type="http://schemas.openxmlformats.org/officeDocument/2006/relationships/hyperlink" Target="http://secrets.rutgers.edu:8080/data/asl-ftp/asllvd/demos/verify_start_end_handshape_annotations//test_auto_move//signs_mov/5848.mov" TargetMode="External"/><Relationship Id="rId23996" Type="http://schemas.openxmlformats.org/officeDocument/2006/relationships/hyperlink" Target="http://secrets.rutgers.edu:8080/data/asl-ftp/asllvd/demos/verify_start_end_handshape_annotations//test_auto_move//signs_mov_separ_signers/Liz_5848.mov" TargetMode="External"/><Relationship Id="rId23997" Type="http://schemas.openxmlformats.org/officeDocument/2006/relationships/hyperlink" Target="http://csr.bu.edu/ftp/asl/asllvd/demos/verify_start_end_handshape_annotations//test_auto_move//signs_mov_separ_signers/Naomi_5848.mov" TargetMode="External"/><Relationship Id="rId23998" Type="http://schemas.openxmlformats.org/officeDocument/2006/relationships/hyperlink" Target="http://secrets.rutgers.edu:8080/data/asl-ftp/asllvd/demos/verify_start_end_handshape_annotations//test_auto_move//signs_mov_separ_signers/Naomi_5848.mov" TargetMode="External"/><Relationship Id="rId23999" Type="http://schemas.openxmlformats.org/officeDocument/2006/relationships/hyperlink" Target="http://csr.bu.edu/ftp/asl/asllvd/demos/verify_start_end_handshape_annotations//test_auto_move//signs_mov_separ_signers/Liz_561.mov" TargetMode="External"/><Relationship Id="rId24000" Type="http://schemas.openxmlformats.org/officeDocument/2006/relationships/hyperlink" Target="http://secrets.rutgers.edu:8080/data/asl-ftp/asllvd/demos/verify_start_end_handshape_annotations//test_auto_move//signs_mov_separ_signers/Liz_561.mov" TargetMode="External"/><Relationship Id="rId24001" Type="http://schemas.openxmlformats.org/officeDocument/2006/relationships/hyperlink" Target="http://csr.bu.edu/ftp/asl/asllvd/demos/verify_start_end_handshape_annotations//test_auto_move//signs_mov/561.mov" TargetMode="External"/><Relationship Id="rId24002" Type="http://schemas.openxmlformats.org/officeDocument/2006/relationships/hyperlink" Target="http://csr.bu.edu/ftp/asl/asllvd/demos/verify_start_end_handshape_annotations//test_auto_move//signs_mov_separ_signers/Naomi_561.mov" TargetMode="External"/><Relationship Id="rId24003" Type="http://schemas.openxmlformats.org/officeDocument/2006/relationships/hyperlink" Target="http://secrets.rutgers.edu:8080/data/asl-ftp/asllvd/demos/verify_start_end_handshape_annotations//test_auto_move//signs_mov/561.mov" TargetMode="External"/><Relationship Id="rId24004" Type="http://schemas.openxmlformats.org/officeDocument/2006/relationships/hyperlink" Target="http://secrets.rutgers.edu:8080/data/asl-ftp/asllvd/demos/verify_start_end_handshape_annotations//test_auto_move//signs_mov_separ_signers/Naomi_561.mov" TargetMode="External"/><Relationship Id="rId24005" Type="http://schemas.openxmlformats.org/officeDocument/2006/relationships/hyperlink" Target="http://csr.bu.edu/ftp/asl/asllvd/demos/verify_start_end_handshape_annotations//test_auto_move//signs_mov_separ_signers/Brady_561.mov" TargetMode="External"/><Relationship Id="rId24006" Type="http://schemas.openxmlformats.org/officeDocument/2006/relationships/hyperlink" Target="http://secrets.rutgers.edu:8080/data/asl-ftp/asllvd/demos/verify_start_end_handshape_annotations//test_auto_move//signs_mov_separ_signers/Brady_561.mov" TargetMode="External"/><Relationship Id="rId24007" Type="http://schemas.openxmlformats.org/officeDocument/2006/relationships/hyperlink" Target="http://csr.bu.edu/ftp/asl/asllvd/demos/verify_start_end_handshape_annotations//test_auto_move//signs_mov/4635.mov" TargetMode="External"/><Relationship Id="rId24008" Type="http://schemas.openxmlformats.org/officeDocument/2006/relationships/hyperlink" Target="http://csr.bu.edu/ftp/asl/asllvd/demos/verify_start_end_handshape_annotations//test_auto_move//signs_mov_separ_signers/Tyler_4635.mov" TargetMode="External"/><Relationship Id="rId24009" Type="http://schemas.openxmlformats.org/officeDocument/2006/relationships/hyperlink" Target="http://secrets.rutgers.edu:8080/data/asl-ftp/asllvd/demos/verify_start_end_handshape_annotations//test_auto_move//signs_mov/4635.mov" TargetMode="External"/><Relationship Id="rId24010" Type="http://schemas.openxmlformats.org/officeDocument/2006/relationships/hyperlink" Target="http://secrets.rutgers.edu:8080/data/asl-ftp/asllvd/demos/verify_start_end_handshape_annotations//test_auto_move//signs_mov_separ_signers/Tyler_4635.mov" TargetMode="External"/><Relationship Id="rId24011" Type="http://schemas.openxmlformats.org/officeDocument/2006/relationships/hyperlink" Target="http://csr.bu.edu/ftp/asl/asllvd/demos/verify_start_end_handshape_annotations//test_auto_move//signs_mov_separ_signers/Liz_579.mov" TargetMode="External"/><Relationship Id="rId24012" Type="http://schemas.openxmlformats.org/officeDocument/2006/relationships/hyperlink" Target="http://secrets.rutgers.edu:8080/data/asl-ftp/asllvd/demos/verify_start_end_handshape_annotations//test_auto_move//signs_mov_separ_signers/Liz_579.mov" TargetMode="External"/><Relationship Id="rId24013" Type="http://schemas.openxmlformats.org/officeDocument/2006/relationships/hyperlink" Target="http://csr.bu.edu/ftp/asl/asllvd/demos/verify_start_end_handshape_annotations//test_auto_move//signs_mov_separ_signers/Liz_5695.mov" TargetMode="External"/><Relationship Id="rId24014" Type="http://schemas.openxmlformats.org/officeDocument/2006/relationships/hyperlink" Target="http://secrets.rutgers.edu:8080/data/asl-ftp/asllvd/demos/verify_start_end_handshape_annotations//test_auto_move//signs_mov_separ_signers/Liz_5695.mov" TargetMode="External"/><Relationship Id="rId24015" Type="http://schemas.openxmlformats.org/officeDocument/2006/relationships/hyperlink" Target="http://csr.bu.edu/ftp/asl/asllvd/demos/verify_start_end_handshape_annotations//test_auto_move//signs_mov/579_5695_merged.mov" TargetMode="External"/><Relationship Id="rId24016" Type="http://schemas.openxmlformats.org/officeDocument/2006/relationships/hyperlink" Target="http://csr.bu.edu/ftp/asl/asllvd/demos/verify_start_end_handshape_annotations//test_auto_move//signs_mov_separ_signers/Naomi_579.mov" TargetMode="External"/><Relationship Id="rId24017" Type="http://schemas.openxmlformats.org/officeDocument/2006/relationships/hyperlink" Target="http://secrets.rutgers.edu:8080/data/asl-ftp/asllvd/demos/verify_start_end_handshape_annotations//test_auto_move//signs_mov/579_5695_merged.mov" TargetMode="External"/><Relationship Id="rId24018" Type="http://schemas.openxmlformats.org/officeDocument/2006/relationships/hyperlink" Target="http://secrets.rutgers.edu:8080/data/asl-ftp/asllvd/demos/verify_start_end_handshape_annotations//test_auto_move//signs_mov_separ_signers/Naomi_579.mov" TargetMode="External"/><Relationship Id="rId24019" Type="http://schemas.openxmlformats.org/officeDocument/2006/relationships/hyperlink" Target="http://csr.bu.edu/ftp/asl/asllvd/demos/verify_start_end_handshape_annotations//test_auto_move//signs_mov_separ_signers/Naomi_5695.mov" TargetMode="External"/><Relationship Id="rId24020" Type="http://schemas.openxmlformats.org/officeDocument/2006/relationships/hyperlink" Target="http://secrets.rutgers.edu:8080/data/asl-ftp/asllvd/demos/verify_start_end_handshape_annotations//test_auto_move//signs_mov_separ_signers/Naomi_5695.mov" TargetMode="External"/><Relationship Id="rId24021" Type="http://schemas.openxmlformats.org/officeDocument/2006/relationships/hyperlink" Target="http://csr.bu.edu/ftp/asl/asllvd/demos/verify_start_end_handshape_annotations//test_auto_move//signs_mov_separ_signers/Brady_579.mov" TargetMode="External"/><Relationship Id="rId24022" Type="http://schemas.openxmlformats.org/officeDocument/2006/relationships/hyperlink" Target="http://secrets.rutgers.edu:8080/data/asl-ftp/asllvd/demos/verify_start_end_handshape_annotations//test_auto_move//signs_mov_separ_signers/Brady_579.mov" TargetMode="External"/><Relationship Id="rId24023" Type="http://schemas.openxmlformats.org/officeDocument/2006/relationships/hyperlink" Target="http://csr.bu.edu/ftp/asl/asllvd/demos/verify_start_end_handshape_annotations//test_auto_move//signs_mov_separ_signers/Brady_5695.mov" TargetMode="External"/><Relationship Id="rId24024" Type="http://schemas.openxmlformats.org/officeDocument/2006/relationships/hyperlink" Target="http://secrets.rutgers.edu:8080/data/asl-ftp/asllvd/demos/verify_start_end_handshape_annotations//test_auto_move//signs_mov_separ_signers/Brady_5695.mov" TargetMode="External"/><Relationship Id="rId24025" Type="http://schemas.openxmlformats.org/officeDocument/2006/relationships/hyperlink" Target="http://csr.bu.edu/ftp/asl/asllvd/demos/verify_start_end_handshape_annotations//test_auto_move//signs_mov/619.mov" TargetMode="External"/><Relationship Id="rId24026" Type="http://schemas.openxmlformats.org/officeDocument/2006/relationships/hyperlink" Target="http://csr.bu.edu/ftp/asl/asllvd/demos/verify_start_end_handshape_annotations//test_auto_move//signs_mov_separ_signers/Liz_619.mov" TargetMode="External"/><Relationship Id="rId24027" Type="http://schemas.openxmlformats.org/officeDocument/2006/relationships/hyperlink" Target="http://secrets.rutgers.edu:8080/data/asl-ftp/asllvd/demos/verify_start_end_handshape_annotations//test_auto_move//signs_mov/619.mov" TargetMode="External"/><Relationship Id="rId24028" Type="http://schemas.openxmlformats.org/officeDocument/2006/relationships/hyperlink" Target="http://secrets.rutgers.edu:8080/data/asl-ftp/asllvd/demos/verify_start_end_handshape_annotations//test_auto_move//signs_mov_separ_signers/Liz_619.mov" TargetMode="External"/><Relationship Id="rId24029" Type="http://schemas.openxmlformats.org/officeDocument/2006/relationships/hyperlink" Target="http://csr.bu.edu/ftp/asl/asllvd/demos/verify_start_end_handshape_annotations//test_auto_move//signs_mov_separ_signers/Naomi_619.mov" TargetMode="External"/><Relationship Id="rId24030" Type="http://schemas.openxmlformats.org/officeDocument/2006/relationships/hyperlink" Target="http://secrets.rutgers.edu:8080/data/asl-ftp/asllvd/demos/verify_start_end_handshape_annotations//test_auto_move//signs_mov_separ_signers/Naomi_619.mov" TargetMode="External"/><Relationship Id="rId24031" Type="http://schemas.openxmlformats.org/officeDocument/2006/relationships/hyperlink" Target="http://csr.bu.edu/ftp/asl/asllvd/demos/verify_start_end_handshape_annotations//test_auto_move//signs_mov_separ_signers/Liz_623.mov" TargetMode="External"/><Relationship Id="rId24032" Type="http://schemas.openxmlformats.org/officeDocument/2006/relationships/hyperlink" Target="http://secrets.rutgers.edu:8080/data/asl-ftp/asllvd/demos/verify_start_end_handshape_annotations//test_auto_move//signs_mov_separ_signers/Liz_623.mov" TargetMode="External"/><Relationship Id="rId24033" Type="http://schemas.openxmlformats.org/officeDocument/2006/relationships/hyperlink" Target="http://csr.bu.edu/ftp/asl/asllvd/demos/verify_start_end_handshape_annotations//test_auto_move//signs_mov/623.mov" TargetMode="External"/><Relationship Id="rId24034" Type="http://schemas.openxmlformats.org/officeDocument/2006/relationships/hyperlink" Target="http://csr.bu.edu/ftp/asl/asllvd/demos/verify_start_end_handshape_annotations//test_auto_move//signs_mov_separ_signers/Tyler_623.mov" TargetMode="External"/><Relationship Id="rId24035" Type="http://schemas.openxmlformats.org/officeDocument/2006/relationships/hyperlink" Target="http://secrets.rutgers.edu:8080/data/asl-ftp/asllvd/demos/verify_start_end_handshape_annotations//test_auto_move//signs_mov/623.mov" TargetMode="External"/><Relationship Id="rId24036" Type="http://schemas.openxmlformats.org/officeDocument/2006/relationships/hyperlink" Target="http://secrets.rutgers.edu:8080/data/asl-ftp/asllvd/demos/verify_start_end_handshape_annotations//test_auto_move//signs_mov_separ_signers/Tyler_623.mov" TargetMode="External"/><Relationship Id="rId24037" Type="http://schemas.openxmlformats.org/officeDocument/2006/relationships/hyperlink" Target="http://csr.bu.edu/ftp/asl/asllvd/demos/verify_start_end_handshape_annotations//test_auto_move//signs_mov_separ_signers/Naomi_623.mov" TargetMode="External"/><Relationship Id="rId24038" Type="http://schemas.openxmlformats.org/officeDocument/2006/relationships/hyperlink" Target="http://secrets.rutgers.edu:8080/data/asl-ftp/asllvd/demos/verify_start_end_handshape_annotations//test_auto_move//signs_mov_separ_signers/Naomi_623.mov" TargetMode="External"/><Relationship Id="rId24039" Type="http://schemas.openxmlformats.org/officeDocument/2006/relationships/hyperlink" Target="http://csr.bu.edu/ftp/asl/asllvd/demos/verify_start_end_handshape_annotations//test_auto_move//signs_mov_separ_signers/Brady_623.mov" TargetMode="External"/><Relationship Id="rId24040" Type="http://schemas.openxmlformats.org/officeDocument/2006/relationships/hyperlink" Target="http://secrets.rutgers.edu:8080/data/asl-ftp/asllvd/demos/verify_start_end_handshape_annotations//test_auto_move//signs_mov_separ_signers/Brady_623.mov" TargetMode="External"/><Relationship Id="rId24041" Type="http://schemas.openxmlformats.org/officeDocument/2006/relationships/hyperlink" Target="http://csr.bu.edu/ftp/asl/asllvd/demos/verify_start_end_handshape_annotations//test_auto_move//signs_mov/644.mov" TargetMode="External"/><Relationship Id="rId24042" Type="http://schemas.openxmlformats.org/officeDocument/2006/relationships/hyperlink" Target="http://csr.bu.edu/ftp/asl/asllvd/demos/verify_start_end_handshape_annotations//test_auto_move//signs_mov_separ_signers/Liz_644.mov" TargetMode="External"/><Relationship Id="rId24043" Type="http://schemas.openxmlformats.org/officeDocument/2006/relationships/hyperlink" Target="http://secrets.rutgers.edu:8080/data/asl-ftp/asllvd/demos/verify_start_end_handshape_annotations//test_auto_move//signs_mov/644.mov" TargetMode="External"/><Relationship Id="rId24044" Type="http://schemas.openxmlformats.org/officeDocument/2006/relationships/hyperlink" Target="http://secrets.rutgers.edu:8080/data/asl-ftp/asllvd/demos/verify_start_end_handshape_annotations//test_auto_move//signs_mov_separ_signers/Liz_644.mov" TargetMode="External"/><Relationship Id="rId24045" Type="http://schemas.openxmlformats.org/officeDocument/2006/relationships/hyperlink" Target="http://csr.bu.edu/ftp/asl/asllvd/demos/verify_start_end_handshape_annotations//test_auto_move//signs_mov_separ_signers/Brady_644.mov" TargetMode="External"/><Relationship Id="rId24046" Type="http://schemas.openxmlformats.org/officeDocument/2006/relationships/hyperlink" Target="http://secrets.rutgers.edu:8080/data/asl-ftp/asllvd/demos/verify_start_end_handshape_annotations//test_auto_move//signs_mov_separ_signers/Brady_644.mov" TargetMode="External"/><Relationship Id="rId24047" Type="http://schemas.openxmlformats.org/officeDocument/2006/relationships/hyperlink" Target="http://csr.bu.edu/ftp/asl/asllvd/demos/verify_start_end_handshape_annotations//test_auto_move//signs_mov/5160.mov" TargetMode="External"/><Relationship Id="rId24048" Type="http://schemas.openxmlformats.org/officeDocument/2006/relationships/hyperlink" Target="http://csr.bu.edu/ftp/asl/asllvd/demos/verify_start_end_handshape_annotations//test_auto_move//signs_mov_separ_signers/Tyler_5160.mov" TargetMode="External"/><Relationship Id="rId24049" Type="http://schemas.openxmlformats.org/officeDocument/2006/relationships/hyperlink" Target="http://secrets.rutgers.edu:8080/data/asl-ftp/asllvd/demos/verify_start_end_handshape_annotations//test_auto_move//signs_mov/5160.mov" TargetMode="External"/><Relationship Id="rId24050" Type="http://schemas.openxmlformats.org/officeDocument/2006/relationships/hyperlink" Target="http://secrets.rutgers.edu:8080/data/asl-ftp/asllvd/demos/verify_start_end_handshape_annotations//test_auto_move//signs_mov_separ_signers/Tyler_5160.mov" TargetMode="External"/><Relationship Id="rId24051" Type="http://schemas.openxmlformats.org/officeDocument/2006/relationships/hyperlink" Target="http://csr.bu.edu/ftp/asl/asllvd/demos/verify_start_end_handshape_annotations//test_auto_move//signs_mov/16358.mov" TargetMode="External"/><Relationship Id="rId24052" Type="http://schemas.openxmlformats.org/officeDocument/2006/relationships/hyperlink" Target="http://csr.bu.edu/ftp/asl/asllvd/demos/verify_start_end_handshape_annotations//test_auto_move//signs_mov_separ_signers/Naomi_16358.mov" TargetMode="External"/><Relationship Id="rId24053" Type="http://schemas.openxmlformats.org/officeDocument/2006/relationships/hyperlink" Target="http://secrets.rutgers.edu:8080/data/asl-ftp/asllvd/demos/verify_start_end_handshape_annotations//test_auto_move//signs_mov/16358.mov" TargetMode="External"/><Relationship Id="rId24054" Type="http://schemas.openxmlformats.org/officeDocument/2006/relationships/hyperlink" Target="http://secrets.rutgers.edu:8080/data/asl-ftp/asllvd/demos/verify_start_end_handshape_annotations//test_auto_move//signs_mov_separ_signers/Naomi_16358.mov" TargetMode="External"/><Relationship Id="rId24055" Type="http://schemas.openxmlformats.org/officeDocument/2006/relationships/hyperlink" Target="http://csr.bu.edu/ftp/asl/asllvd/demos/verify_start_end_handshape_annotations//test_auto_move//signs_mov_separ_signers/Liz_649.mov" TargetMode="External"/><Relationship Id="rId24056" Type="http://schemas.openxmlformats.org/officeDocument/2006/relationships/hyperlink" Target="http://secrets.rutgers.edu:8080/data/asl-ftp/asllvd/demos/verify_start_end_handshape_annotations//test_auto_move//signs_mov_separ_signers/Liz_649.mov" TargetMode="External"/><Relationship Id="rId24057" Type="http://schemas.openxmlformats.org/officeDocument/2006/relationships/hyperlink" Target="http://csr.bu.edu/ftp/asl/asllvd/demos/verify_start_end_handshape_annotations//test_auto_move//signs_mov/649.mov" TargetMode="External"/><Relationship Id="rId24058" Type="http://schemas.openxmlformats.org/officeDocument/2006/relationships/hyperlink" Target="http://csr.bu.edu/ftp/asl/asllvd/demos/verify_start_end_handshape_annotations//test_auto_move//signs_mov_separ_signers/Naomi_649.mov" TargetMode="External"/><Relationship Id="rId24059" Type="http://schemas.openxmlformats.org/officeDocument/2006/relationships/hyperlink" Target="http://secrets.rutgers.edu:8080/data/asl-ftp/asllvd/demos/verify_start_end_handshape_annotations//test_auto_move//signs_mov/649.mov" TargetMode="External"/><Relationship Id="rId24060" Type="http://schemas.openxmlformats.org/officeDocument/2006/relationships/hyperlink" Target="http://secrets.rutgers.edu:8080/data/asl-ftp/asllvd/demos/verify_start_end_handshape_annotations//test_auto_move//signs_mov_separ_signers/Naomi_649.mov" TargetMode="External"/><Relationship Id="rId24061" Type="http://schemas.openxmlformats.org/officeDocument/2006/relationships/hyperlink" Target="http://csr.bu.edu/ftp/asl/asllvd/demos/verify_start_end_handshape_annotations//test_auto_move//signs_mov_separ_signers/Brady_649.mov" TargetMode="External"/><Relationship Id="rId24062" Type="http://schemas.openxmlformats.org/officeDocument/2006/relationships/hyperlink" Target="http://secrets.rutgers.edu:8080/data/asl-ftp/asllvd/demos/verify_start_end_handshape_annotations//test_auto_move//signs_mov_separ_signers/Brady_649.mov" TargetMode="External"/><Relationship Id="rId24063" Type="http://schemas.openxmlformats.org/officeDocument/2006/relationships/hyperlink" Target="http://csr.bu.edu/ftp/asl/asllvd/demos/verify_start_end_handshape_annotations//test_auto_move//signs_mov/5849.mov" TargetMode="External"/><Relationship Id="rId24064" Type="http://schemas.openxmlformats.org/officeDocument/2006/relationships/hyperlink" Target="http://csr.bu.edu/ftp/asl/asllvd/demos/verify_start_end_handshape_annotations//test_auto_move//signs_mov_separ_signers/Tyler_5849.mov" TargetMode="External"/><Relationship Id="rId24065" Type="http://schemas.openxmlformats.org/officeDocument/2006/relationships/hyperlink" Target="http://secrets.rutgers.edu:8080/data/asl-ftp/asllvd/demos/verify_start_end_handshape_annotations//test_auto_move//signs_mov/5849.mov" TargetMode="External"/><Relationship Id="rId24066" Type="http://schemas.openxmlformats.org/officeDocument/2006/relationships/hyperlink" Target="http://secrets.rutgers.edu:8080/data/asl-ftp/asllvd/demos/verify_start_end_handshape_annotations//test_auto_move//signs_mov_separ_signers/Tyler_5849.mov" TargetMode="External"/><Relationship Id="rId24067" Type="http://schemas.openxmlformats.org/officeDocument/2006/relationships/hyperlink" Target="http://csr.bu.edu/ftp/asl/asllvd/demos/verify_start_end_handshape_annotations//test_auto_move//signs_mov_separ_signers/Liz_658.mov" TargetMode="External"/><Relationship Id="rId24068" Type="http://schemas.openxmlformats.org/officeDocument/2006/relationships/hyperlink" Target="http://secrets.rutgers.edu:8080/data/asl-ftp/asllvd/demos/verify_start_end_handshape_annotations//test_auto_move//signs_mov_separ_signers/Liz_658.mov" TargetMode="External"/><Relationship Id="rId24069" Type="http://schemas.openxmlformats.org/officeDocument/2006/relationships/hyperlink" Target="http://csr.bu.edu/ftp/asl/asllvd/demos/verify_start_end_handshape_annotations//test_auto_move//signs_mov/658_5416_merged.mov" TargetMode="External"/><Relationship Id="rId24070" Type="http://schemas.openxmlformats.org/officeDocument/2006/relationships/hyperlink" Target="http://csr.bu.edu/ftp/asl/asllvd/demos/verify_start_end_handshape_annotations//test_auto_move//signs_mov_separ_signers/Naomi_658.mov" TargetMode="External"/><Relationship Id="rId24071" Type="http://schemas.openxmlformats.org/officeDocument/2006/relationships/hyperlink" Target="http://secrets.rutgers.edu:8080/data/asl-ftp/asllvd/demos/verify_start_end_handshape_annotations//test_auto_move//signs_mov/658_5416_merged.mov" TargetMode="External"/><Relationship Id="rId24072" Type="http://schemas.openxmlformats.org/officeDocument/2006/relationships/hyperlink" Target="http://secrets.rutgers.edu:8080/data/asl-ftp/asllvd/demos/verify_start_end_handshape_annotations//test_auto_move//signs_mov_separ_signers/Naomi_658.mov" TargetMode="External"/><Relationship Id="rId24073" Type="http://schemas.openxmlformats.org/officeDocument/2006/relationships/hyperlink" Target="http://csr.bu.edu/ftp/asl/asllvd/demos/verify_start_end_handshape_annotations//test_auto_move//signs_mov_separ_signers/Brady_658.mov" TargetMode="External"/><Relationship Id="rId24074" Type="http://schemas.openxmlformats.org/officeDocument/2006/relationships/hyperlink" Target="http://secrets.rutgers.edu:8080/data/asl-ftp/asllvd/demos/verify_start_end_handshape_annotations//test_auto_move//signs_mov_separ_signers/Brady_658.mov" TargetMode="External"/><Relationship Id="rId24075" Type="http://schemas.openxmlformats.org/officeDocument/2006/relationships/hyperlink" Target="http://csr.bu.edu/ftp/asl/asllvd/demos/verify_start_end_handshape_annotations//test_auto_move//signs_mov_separ_signers/Brady_5416.mov" TargetMode="External"/><Relationship Id="rId24076" Type="http://schemas.openxmlformats.org/officeDocument/2006/relationships/hyperlink" Target="http://secrets.rutgers.edu:8080/data/asl-ftp/asllvd/demos/verify_start_end_handshape_annotations//test_auto_move//signs_mov_separ_signers/Brady_5416.mov" TargetMode="External"/><Relationship Id="rId24077" Type="http://schemas.openxmlformats.org/officeDocument/2006/relationships/hyperlink" Target="http://csr.bu.edu/ftp/asl/asllvd/demos/verify_start_end_handshape_annotations//test_auto_move//signs_mov_separ_signers/Liz_660.mov" TargetMode="External"/><Relationship Id="rId24078" Type="http://schemas.openxmlformats.org/officeDocument/2006/relationships/hyperlink" Target="http://secrets.rutgers.edu:8080/data/asl-ftp/asllvd/demos/verify_start_end_handshape_annotations//test_auto_move//signs_mov_separ_signers/Liz_660.mov" TargetMode="External"/><Relationship Id="rId24079" Type="http://schemas.openxmlformats.org/officeDocument/2006/relationships/hyperlink" Target="http://csr.bu.edu/ftp/asl/asllvd/demos/verify_start_end_handshape_annotations//test_auto_move//signs_mov_separ_signers/Liz_3679.mov" TargetMode="External"/><Relationship Id="rId24080" Type="http://schemas.openxmlformats.org/officeDocument/2006/relationships/hyperlink" Target="http://secrets.rutgers.edu:8080/data/asl-ftp/asllvd/demos/verify_start_end_handshape_annotations//test_auto_move//signs_mov_separ_signers/Liz_3679.mov" TargetMode="External"/><Relationship Id="rId24081" Type="http://schemas.openxmlformats.org/officeDocument/2006/relationships/hyperlink" Target="http://csr.bu.edu/ftp/asl/asllvd/demos/verify_start_end_handshape_annotations//test_auto_move//signs_mov_separ_signers/Tyler_660.mov" TargetMode="External"/><Relationship Id="rId24082" Type="http://schemas.openxmlformats.org/officeDocument/2006/relationships/hyperlink" Target="http://secrets.rutgers.edu:8080/data/asl-ftp/asllvd/demos/verify_start_end_handshape_annotations//test_auto_move//signs_mov_separ_signers/Tyler_660.mov" TargetMode="External"/><Relationship Id="rId24083" Type="http://schemas.openxmlformats.org/officeDocument/2006/relationships/hyperlink" Target="http://csr.bu.edu/ftp/asl/asllvd/demos/verify_start_end_handshape_annotations//test_auto_move//signs_mov/660_3679_5162_merged.mov" TargetMode="External"/><Relationship Id="rId24084" Type="http://schemas.openxmlformats.org/officeDocument/2006/relationships/hyperlink" Target="http://csr.bu.edu/ftp/asl/asllvd/demos/verify_start_end_handshape_annotations//test_auto_move//signs_mov_separ_signers/Naomi_660.mov" TargetMode="External"/><Relationship Id="rId24085" Type="http://schemas.openxmlformats.org/officeDocument/2006/relationships/hyperlink" Target="http://secrets.rutgers.edu:8080/data/asl-ftp/asllvd/demos/verify_start_end_handshape_annotations//test_auto_move//signs_mov/660_3679_5162_merged.mov" TargetMode="External"/><Relationship Id="rId24086" Type="http://schemas.openxmlformats.org/officeDocument/2006/relationships/hyperlink" Target="http://secrets.rutgers.edu:8080/data/asl-ftp/asllvd/demos/verify_start_end_handshape_annotations//test_auto_move//signs_mov_separ_signers/Naomi_660.mov" TargetMode="External"/><Relationship Id="rId24087" Type="http://schemas.openxmlformats.org/officeDocument/2006/relationships/hyperlink" Target="http://csr.bu.edu/ftp/asl/asllvd/demos/verify_start_end_handshape_annotations//test_auto_move//signs_mov_separ_signers/Naomi_3679.mov" TargetMode="External"/><Relationship Id="rId24088" Type="http://schemas.openxmlformats.org/officeDocument/2006/relationships/hyperlink" Target="http://secrets.rutgers.edu:8080/data/asl-ftp/asllvd/demos/verify_start_end_handshape_annotations//test_auto_move//signs_mov_separ_signers/Naomi_3679.mov" TargetMode="External"/><Relationship Id="rId24089" Type="http://schemas.openxmlformats.org/officeDocument/2006/relationships/hyperlink" Target="http://csr.bu.edu/ftp/asl/asllvd/demos/verify_start_end_handshape_annotations//test_auto_move//signs_mov_separ_signers/Brady_660.mov" TargetMode="External"/><Relationship Id="rId24090" Type="http://schemas.openxmlformats.org/officeDocument/2006/relationships/hyperlink" Target="http://secrets.rutgers.edu:8080/data/asl-ftp/asllvd/demos/verify_start_end_handshape_annotations//test_auto_move//signs_mov_separ_signers/Brady_660.mov" TargetMode="External"/><Relationship Id="rId24091" Type="http://schemas.openxmlformats.org/officeDocument/2006/relationships/hyperlink" Target="http://csr.bu.edu/ftp/asl/asllvd/demos/verify_start_end_handshape_annotations//test_auto_move//signs_mov_separ_signers/Brady_3679.mov" TargetMode="External"/><Relationship Id="rId24092" Type="http://schemas.openxmlformats.org/officeDocument/2006/relationships/hyperlink" Target="http://secrets.rutgers.edu:8080/data/asl-ftp/asllvd/demos/verify_start_end_handshape_annotations//test_auto_move//signs_mov_separ_signers/Brady_3679.mov" TargetMode="External"/><Relationship Id="rId24093" Type="http://schemas.openxmlformats.org/officeDocument/2006/relationships/hyperlink" Target="http://csr.bu.edu/ftp/asl/asllvd/demos/verify_start_end_handshape_annotations//test_auto_move//signs_mov_separ_signers/Brady_5162.mov" TargetMode="External"/><Relationship Id="rId24094" Type="http://schemas.openxmlformats.org/officeDocument/2006/relationships/hyperlink" Target="http://secrets.rutgers.edu:8080/data/asl-ftp/asllvd/demos/verify_start_end_handshape_annotations//test_auto_move//signs_mov_separ_signers/Brady_5162.mov" TargetMode="External"/><Relationship Id="rId24095" Type="http://schemas.openxmlformats.org/officeDocument/2006/relationships/hyperlink" Target="http://csr.bu.edu/ftp/asl/asllvd/demos/verify_start_end_handshape_annotations//test_auto_move//signs_mov_separ_signers/Liz_667.mov" TargetMode="External"/><Relationship Id="rId24096" Type="http://schemas.openxmlformats.org/officeDocument/2006/relationships/hyperlink" Target="http://secrets.rutgers.edu:8080/data/asl-ftp/asllvd/demos/verify_start_end_handshape_annotations//test_auto_move//signs_mov_separ_signers/Liz_667.mov" TargetMode="External"/><Relationship Id="rId24097" Type="http://schemas.openxmlformats.org/officeDocument/2006/relationships/hyperlink" Target="http://csr.bu.edu/ftp/asl/asllvd/demos/verify_start_end_handshape_annotations//test_auto_move//signs_mov_separ_signers/Tyler_667.mov" TargetMode="External"/><Relationship Id="rId24098" Type="http://schemas.openxmlformats.org/officeDocument/2006/relationships/hyperlink" Target="http://secrets.rutgers.edu:8080/data/asl-ftp/asllvd/demos/verify_start_end_handshape_annotations//test_auto_move//signs_mov_separ_signers/Tyler_667.mov" TargetMode="External"/><Relationship Id="rId24099" Type="http://schemas.openxmlformats.org/officeDocument/2006/relationships/hyperlink" Target="http://csr.bu.edu/ftp/asl/asllvd/demos/verify_start_end_handshape_annotations//test_auto_move//signs_mov/667_5415_merged.mov" TargetMode="External"/><Relationship Id="rId24100" Type="http://schemas.openxmlformats.org/officeDocument/2006/relationships/hyperlink" Target="http://csr.bu.edu/ftp/asl/asllvd/demos/verify_start_end_handshape_annotations//test_auto_move//signs_mov_separ_signers/Naomi_667.mov" TargetMode="External"/><Relationship Id="rId24101" Type="http://schemas.openxmlformats.org/officeDocument/2006/relationships/hyperlink" Target="http://secrets.rutgers.edu:8080/data/asl-ftp/asllvd/demos/verify_start_end_handshape_annotations//test_auto_move//signs_mov/667_5415_merged.mov" TargetMode="External"/><Relationship Id="rId24102" Type="http://schemas.openxmlformats.org/officeDocument/2006/relationships/hyperlink" Target="http://secrets.rutgers.edu:8080/data/asl-ftp/asllvd/demos/verify_start_end_handshape_annotations//test_auto_move//signs_mov_separ_signers/Naomi_667.mov" TargetMode="External"/><Relationship Id="rId24103" Type="http://schemas.openxmlformats.org/officeDocument/2006/relationships/hyperlink" Target="http://csr.bu.edu/ftp/asl/asllvd/demos/verify_start_end_handshape_annotations//test_auto_move//signs_mov_separ_signers/Brady_667.mov" TargetMode="External"/><Relationship Id="rId24104" Type="http://schemas.openxmlformats.org/officeDocument/2006/relationships/hyperlink" Target="http://secrets.rutgers.edu:8080/data/asl-ftp/asllvd/demos/verify_start_end_handshape_annotations//test_auto_move//signs_mov_separ_signers/Brady_667.mov" TargetMode="External"/><Relationship Id="rId24105" Type="http://schemas.openxmlformats.org/officeDocument/2006/relationships/hyperlink" Target="http://csr.bu.edu/ftp/asl/asllvd/demos/verify_start_end_handshape_annotations//test_auto_move//signs_mov_separ_signers/Brady_5415.mov" TargetMode="External"/><Relationship Id="rId24106" Type="http://schemas.openxmlformats.org/officeDocument/2006/relationships/hyperlink" Target="http://secrets.rutgers.edu:8080/data/asl-ftp/asllvd/demos/verify_start_end_handshape_annotations//test_auto_move//signs_mov_separ_signers/Brady_5415.mov" TargetMode="External"/><Relationship Id="rId24107" Type="http://schemas.openxmlformats.org/officeDocument/2006/relationships/hyperlink" Target="http://csr.bu.edu/ftp/asl/asllvd/demos/verify_start_end_handshape_annotations//test_auto_move//signs_mov_separ_signers/Liz_669.mov" TargetMode="External"/><Relationship Id="rId24108" Type="http://schemas.openxmlformats.org/officeDocument/2006/relationships/hyperlink" Target="http://secrets.rutgers.edu:8080/data/asl-ftp/asllvd/demos/verify_start_end_handshape_annotations//test_auto_move//signs_mov_separ_signers/Liz_669.mov" TargetMode="External"/><Relationship Id="rId24109" Type="http://schemas.openxmlformats.org/officeDocument/2006/relationships/hyperlink" Target="http://csr.bu.edu/ftp/asl/asllvd/demos/verify_start_end_handshape_annotations//test_auto_move//signs_mov/669_16275_merged.mov" TargetMode="External"/><Relationship Id="rId24110" Type="http://schemas.openxmlformats.org/officeDocument/2006/relationships/hyperlink" Target="http://csr.bu.edu/ftp/asl/asllvd/demos/verify_start_end_handshape_annotations//test_auto_move//signs_mov_separ_signers/Naomi_669.mov" TargetMode="External"/><Relationship Id="rId24111" Type="http://schemas.openxmlformats.org/officeDocument/2006/relationships/hyperlink" Target="http://secrets.rutgers.edu:8080/data/asl-ftp/asllvd/demos/verify_start_end_handshape_annotations//test_auto_move//signs_mov/669_16275_merged.mov" TargetMode="External"/><Relationship Id="rId24112" Type="http://schemas.openxmlformats.org/officeDocument/2006/relationships/hyperlink" Target="http://secrets.rutgers.edu:8080/data/asl-ftp/asllvd/demos/verify_start_end_handshape_annotations//test_auto_move//signs_mov_separ_signers/Naomi_669.mov" TargetMode="External"/><Relationship Id="rId24113" Type="http://schemas.openxmlformats.org/officeDocument/2006/relationships/hyperlink" Target="http://csr.bu.edu/ftp/asl/asllvd/demos/verify_start_end_handshape_annotations//test_auto_move//signs_mov_separ_signers/Brady_669.mov" TargetMode="External"/><Relationship Id="rId24114" Type="http://schemas.openxmlformats.org/officeDocument/2006/relationships/hyperlink" Target="http://secrets.rutgers.edu:8080/data/asl-ftp/asllvd/demos/verify_start_end_handshape_annotations//test_auto_move//signs_mov_separ_signers/Brady_669.mov" TargetMode="External"/><Relationship Id="rId24115" Type="http://schemas.openxmlformats.org/officeDocument/2006/relationships/hyperlink" Target="http://csr.bu.edu/ftp/asl/asllvd/demos/verify_start_end_handshape_annotations//test_auto_move//signs_mov_separ_signers/Brady_16275.mov" TargetMode="External"/><Relationship Id="rId24116" Type="http://schemas.openxmlformats.org/officeDocument/2006/relationships/hyperlink" Target="http://secrets.rutgers.edu:8080/data/asl-ftp/asllvd/demos/verify_start_end_handshape_annotations//test_auto_move//signs_mov_separ_signers/Brady_16275.mov" TargetMode="External"/><Relationship Id="rId24117" Type="http://schemas.openxmlformats.org/officeDocument/2006/relationships/hyperlink" Target="http://csr.bu.edu/ftp/asl/asllvd/demos/verify_start_end_handshape_annotations//test_auto_move//signs_mov_separ_signers/Liz_677.mov" TargetMode="External"/><Relationship Id="rId24118" Type="http://schemas.openxmlformats.org/officeDocument/2006/relationships/hyperlink" Target="http://secrets.rutgers.edu:8080/data/asl-ftp/asllvd/demos/verify_start_end_handshape_annotations//test_auto_move//signs_mov_separ_signers/Liz_677.mov" TargetMode="External"/><Relationship Id="rId24119" Type="http://schemas.openxmlformats.org/officeDocument/2006/relationships/hyperlink" Target="http://csr.bu.edu/ftp/asl/asllvd/demos/verify_start_end_handshape_annotations//test_auto_move//signs_mov/677.mov" TargetMode="External"/><Relationship Id="rId24120" Type="http://schemas.openxmlformats.org/officeDocument/2006/relationships/hyperlink" Target="http://csr.bu.edu/ftp/asl/asllvd/demos/verify_start_end_handshape_annotations//test_auto_move//signs_mov_separ_signers/Tyler_677.mov" TargetMode="External"/><Relationship Id="rId24121" Type="http://schemas.openxmlformats.org/officeDocument/2006/relationships/hyperlink" Target="http://secrets.rutgers.edu:8080/data/asl-ftp/asllvd/demos/verify_start_end_handshape_annotations//test_auto_move//signs_mov/677.mov" TargetMode="External"/><Relationship Id="rId24122" Type="http://schemas.openxmlformats.org/officeDocument/2006/relationships/hyperlink" Target="http://secrets.rutgers.edu:8080/data/asl-ftp/asllvd/demos/verify_start_end_handshape_annotations//test_auto_move//signs_mov_separ_signers/Tyler_677.mov" TargetMode="External"/><Relationship Id="rId24123" Type="http://schemas.openxmlformats.org/officeDocument/2006/relationships/hyperlink" Target="http://csr.bu.edu/ftp/asl/asllvd/demos/verify_start_end_handshape_annotations//test_auto_move//signs_mov_separ_signers/Naomi_677.mov" TargetMode="External"/><Relationship Id="rId24124" Type="http://schemas.openxmlformats.org/officeDocument/2006/relationships/hyperlink" Target="http://secrets.rutgers.edu:8080/data/asl-ftp/asllvd/demos/verify_start_end_handshape_annotations//test_auto_move//signs_mov_separ_signers/Naomi_677.mov" TargetMode="External"/><Relationship Id="rId24125" Type="http://schemas.openxmlformats.org/officeDocument/2006/relationships/hyperlink" Target="http://csr.bu.edu/ftp/asl/asllvd/demos/verify_start_end_handshape_annotations//test_auto_move//signs_mov_separ_signers/Brady_677.mov" TargetMode="External"/><Relationship Id="rId24126" Type="http://schemas.openxmlformats.org/officeDocument/2006/relationships/hyperlink" Target="http://secrets.rutgers.edu:8080/data/asl-ftp/asllvd/demos/verify_start_end_handshape_annotations//test_auto_move//signs_mov_separ_signers/Brady_677.mov" TargetMode="External"/><Relationship Id="rId24127" Type="http://schemas.openxmlformats.org/officeDocument/2006/relationships/hyperlink" Target="http://csr.bu.edu/ftp/asl/asllvd/demos/verify_start_end_handshape_annotations//test_auto_move//signs_mov_separ_signers/Liz_693.mov" TargetMode="External"/><Relationship Id="rId24128" Type="http://schemas.openxmlformats.org/officeDocument/2006/relationships/hyperlink" Target="http://secrets.rutgers.edu:8080/data/asl-ftp/asllvd/demos/verify_start_end_handshape_annotations//test_auto_move//signs_mov_separ_signers/Liz_693.mov" TargetMode="External"/><Relationship Id="rId24129" Type="http://schemas.openxmlformats.org/officeDocument/2006/relationships/hyperlink" Target="http://csr.bu.edu/ftp/asl/asllvd/demos/verify_start_end_handshape_annotations//test_auto_move//signs_mov/693.mov" TargetMode="External"/><Relationship Id="rId24130" Type="http://schemas.openxmlformats.org/officeDocument/2006/relationships/hyperlink" Target="http://csr.bu.edu/ftp/asl/asllvd/demos/verify_start_end_handshape_annotations//test_auto_move//signs_mov_separ_signers/Tyler_693.mov" TargetMode="External"/><Relationship Id="rId24131" Type="http://schemas.openxmlformats.org/officeDocument/2006/relationships/hyperlink" Target="http://secrets.rutgers.edu:8080/data/asl-ftp/asllvd/demos/verify_start_end_handshape_annotations//test_auto_move//signs_mov/693.mov" TargetMode="External"/><Relationship Id="rId24132" Type="http://schemas.openxmlformats.org/officeDocument/2006/relationships/hyperlink" Target="http://secrets.rutgers.edu:8080/data/asl-ftp/asllvd/demos/verify_start_end_handshape_annotations//test_auto_move//signs_mov_separ_signers/Tyler_693.mov" TargetMode="External"/><Relationship Id="rId24133" Type="http://schemas.openxmlformats.org/officeDocument/2006/relationships/hyperlink" Target="http://csr.bu.edu/ftp/asl/asllvd/demos/verify_start_end_handshape_annotations//test_auto_move//signs_mov_separ_signers/Naomi_693.mov" TargetMode="External"/><Relationship Id="rId24134" Type="http://schemas.openxmlformats.org/officeDocument/2006/relationships/hyperlink" Target="http://secrets.rutgers.edu:8080/data/asl-ftp/asllvd/demos/verify_start_end_handshape_annotations//test_auto_move//signs_mov_separ_signers/Naomi_693.mov" TargetMode="External"/><Relationship Id="rId24135" Type="http://schemas.openxmlformats.org/officeDocument/2006/relationships/hyperlink" Target="http://csr.bu.edu/ftp/asl/asllvd/demos/verify_start_end_handshape_annotations//test_auto_move//signs_mov_separ_signers/Brady_693.mov" TargetMode="External"/><Relationship Id="rId24136" Type="http://schemas.openxmlformats.org/officeDocument/2006/relationships/hyperlink" Target="http://secrets.rutgers.edu:8080/data/asl-ftp/asllvd/demos/verify_start_end_handshape_annotations//test_auto_move//signs_mov_separ_signers/Brady_693.mov" TargetMode="External"/><Relationship Id="rId24137" Type="http://schemas.openxmlformats.org/officeDocument/2006/relationships/hyperlink" Target="http://csr.bu.edu/ftp/asl/asllvd/demos/verify_start_end_handshape_annotations//test_auto_move//signs_mov_separ_signers/Liz_704.mov" TargetMode="External"/><Relationship Id="rId24138" Type="http://schemas.openxmlformats.org/officeDocument/2006/relationships/hyperlink" Target="http://secrets.rutgers.edu:8080/data/asl-ftp/asllvd/demos/verify_start_end_handshape_annotations//test_auto_move//signs_mov_separ_signers/Liz_704.mov" TargetMode="External"/><Relationship Id="rId24139" Type="http://schemas.openxmlformats.org/officeDocument/2006/relationships/hyperlink" Target="http://csr.bu.edu/ftp/asl/asllvd/demos/verify_start_end_handshape_annotations//test_auto_move//signs_mov_separ_signers/Tyler_704.mov" TargetMode="External"/><Relationship Id="rId24140" Type="http://schemas.openxmlformats.org/officeDocument/2006/relationships/hyperlink" Target="http://secrets.rutgers.edu:8080/data/asl-ftp/asllvd/demos/verify_start_end_handshape_annotations//test_auto_move//signs_mov_separ_signers/Tyler_704.mov" TargetMode="External"/><Relationship Id="rId24141" Type="http://schemas.openxmlformats.org/officeDocument/2006/relationships/hyperlink" Target="http://csr.bu.edu/ftp/asl/asllvd/demos/verify_start_end_handshape_annotations//test_auto_move//signs_mov/704.mov" TargetMode="External"/><Relationship Id="rId24142" Type="http://schemas.openxmlformats.org/officeDocument/2006/relationships/hyperlink" Target="http://csr.bu.edu/ftp/asl/asllvd/demos/verify_start_end_handshape_annotations//test_auto_move//signs_mov_separ_signers/Naomi_704.mov" TargetMode="External"/><Relationship Id="rId24143" Type="http://schemas.openxmlformats.org/officeDocument/2006/relationships/hyperlink" Target="http://secrets.rutgers.edu:8080/data/asl-ftp/asllvd/demos/verify_start_end_handshape_annotations//test_auto_move//signs_mov/704.mov" TargetMode="External"/><Relationship Id="rId24144" Type="http://schemas.openxmlformats.org/officeDocument/2006/relationships/hyperlink" Target="http://secrets.rutgers.edu:8080/data/asl-ftp/asllvd/demos/verify_start_end_handshape_annotations//test_auto_move//signs_mov_separ_signers/Naomi_704.mov" TargetMode="External"/><Relationship Id="rId24145" Type="http://schemas.openxmlformats.org/officeDocument/2006/relationships/hyperlink" Target="http://csr.bu.edu/ftp/asl/asllvd/demos/verify_start_end_handshape_annotations//test_auto_move//signs_mov_separ_signers/Brady_704.mov" TargetMode="External"/><Relationship Id="rId24146" Type="http://schemas.openxmlformats.org/officeDocument/2006/relationships/hyperlink" Target="http://secrets.rutgers.edu:8080/data/asl-ftp/asllvd/demos/verify_start_end_handshape_annotations//test_auto_move//signs_mov_separ_signers/Brady_704.mov" TargetMode="External"/><Relationship Id="rId24147" Type="http://schemas.openxmlformats.org/officeDocument/2006/relationships/hyperlink" Target="http://csr.bu.edu/ftp/asl/asllvd/demos/verify_start_end_handshape_annotations//test_auto_move//signs_mov_separ_signers/Lana_704.mov" TargetMode="External"/><Relationship Id="rId24148" Type="http://schemas.openxmlformats.org/officeDocument/2006/relationships/hyperlink" Target="http://secrets.rutgers.edu:8080/data/asl-ftp/asllvd/demos/verify_start_end_handshape_annotations//test_auto_move//signs_mov_separ_signers/Lana_704.mov" TargetMode="External"/><Relationship Id="rId24149" Type="http://schemas.openxmlformats.org/officeDocument/2006/relationships/hyperlink" Target="http://csr.bu.edu/ftp/asl/asllvd/demos/verify_start_end_handshape_annotations//test_auto_move//signs_mov_separ_signers/Dana_704.mov" TargetMode="External"/><Relationship Id="rId24150" Type="http://schemas.openxmlformats.org/officeDocument/2006/relationships/hyperlink" Target="http://secrets.rutgers.edu:8080/data/asl-ftp/asllvd/demos/verify_start_end_handshape_annotations//test_auto_move//signs_mov_separ_signers/Dana_704.mov" TargetMode="External"/><Relationship Id="rId24151" Type="http://schemas.openxmlformats.org/officeDocument/2006/relationships/hyperlink" Target="http://csr.bu.edu/ftp/asl/asllvd/demos/verify_start_end_handshape_annotations//test_auto_move//signs_mov_separ_signers/Liz_749.mov" TargetMode="External"/><Relationship Id="rId24152" Type="http://schemas.openxmlformats.org/officeDocument/2006/relationships/hyperlink" Target="http://secrets.rutgers.edu:8080/data/asl-ftp/asllvd/demos/verify_start_end_handshape_annotations//test_auto_move//signs_mov_separ_signers/Liz_749.mov" TargetMode="External"/><Relationship Id="rId24153" Type="http://schemas.openxmlformats.org/officeDocument/2006/relationships/hyperlink" Target="http://csr.bu.edu/ftp/asl/asllvd/demos/verify_start_end_handshape_annotations//test_auto_move//signs_mov/749.mov" TargetMode="External"/><Relationship Id="rId24154" Type="http://schemas.openxmlformats.org/officeDocument/2006/relationships/hyperlink" Target="http://csr.bu.edu/ftp/asl/asllvd/demos/verify_start_end_handshape_annotations//test_auto_move//signs_mov_separ_signers/Naomi_749.mov" TargetMode="External"/><Relationship Id="rId24155" Type="http://schemas.openxmlformats.org/officeDocument/2006/relationships/hyperlink" Target="http://secrets.rutgers.edu:8080/data/asl-ftp/asllvd/demos/verify_start_end_handshape_annotations//test_auto_move//signs_mov/749.mov" TargetMode="External"/><Relationship Id="rId24156" Type="http://schemas.openxmlformats.org/officeDocument/2006/relationships/hyperlink" Target="http://secrets.rutgers.edu:8080/data/asl-ftp/asllvd/demos/verify_start_end_handshape_annotations//test_auto_move//signs_mov_separ_signers/Naomi_749.mov" TargetMode="External"/><Relationship Id="rId24157" Type="http://schemas.openxmlformats.org/officeDocument/2006/relationships/hyperlink" Target="http://csr.bu.edu/ftp/asl/asllvd/demos/verify_start_end_handshape_annotations//test_auto_move//signs_mov_separ_signers/Brady_749.mov" TargetMode="External"/><Relationship Id="rId24158" Type="http://schemas.openxmlformats.org/officeDocument/2006/relationships/hyperlink" Target="http://secrets.rutgers.edu:8080/data/asl-ftp/asllvd/demos/verify_start_end_handshape_annotations//test_auto_move//signs_mov_separ_signers/Brady_749.mov" TargetMode="External"/><Relationship Id="rId24159" Type="http://schemas.openxmlformats.org/officeDocument/2006/relationships/hyperlink" Target="http://csr.bu.edu/ftp/asl/asllvd/demos/verify_start_end_handshape_annotations//test_auto_move//signs_mov/5749.mov" TargetMode="External"/><Relationship Id="rId24160" Type="http://schemas.openxmlformats.org/officeDocument/2006/relationships/hyperlink" Target="http://csr.bu.edu/ftp/asl/asllvd/demos/verify_start_end_handshape_annotations//test_auto_move//signs_mov_separ_signers/Tyler_5749.mov" TargetMode="External"/><Relationship Id="rId24161" Type="http://schemas.openxmlformats.org/officeDocument/2006/relationships/hyperlink" Target="http://secrets.rutgers.edu:8080/data/asl-ftp/asllvd/demos/verify_start_end_handshape_annotations//test_auto_move//signs_mov/5749.mov" TargetMode="External"/><Relationship Id="rId24162" Type="http://schemas.openxmlformats.org/officeDocument/2006/relationships/hyperlink" Target="http://secrets.rutgers.edu:8080/data/asl-ftp/asllvd/demos/verify_start_end_handshape_annotations//test_auto_move//signs_mov_separ_signers/Tyler_5749.mov" TargetMode="External"/><Relationship Id="rId24163" Type="http://schemas.openxmlformats.org/officeDocument/2006/relationships/hyperlink" Target="http://csr.bu.edu/ftp/asl/asllvd/demos/verify_start_end_handshape_annotations//test_auto_move//signs_mov_separ_signers/Brady_5749.mov" TargetMode="External"/><Relationship Id="rId24164" Type="http://schemas.openxmlformats.org/officeDocument/2006/relationships/hyperlink" Target="http://secrets.rutgers.edu:8080/data/asl-ftp/asllvd/demos/verify_start_end_handshape_annotations//test_auto_move//signs_mov_separ_signers/Brady_5749.mov" TargetMode="External"/><Relationship Id="rId24165" Type="http://schemas.openxmlformats.org/officeDocument/2006/relationships/hyperlink" Target="http://csr.bu.edu/ftp/asl/asllvd/demos/verify_start_end_handshape_annotations//test_auto_move//signs_mov/763.mov" TargetMode="External"/><Relationship Id="rId24166" Type="http://schemas.openxmlformats.org/officeDocument/2006/relationships/hyperlink" Target="http://csr.bu.edu/ftp/asl/asllvd/demos/verify_start_end_handshape_annotations//test_auto_move//signs_mov_separ_signers/Naomi_763.mov" TargetMode="External"/><Relationship Id="rId24167" Type="http://schemas.openxmlformats.org/officeDocument/2006/relationships/hyperlink" Target="http://secrets.rutgers.edu:8080/data/asl-ftp/asllvd/demos/verify_start_end_handshape_annotations//test_auto_move//signs_mov/763.mov" TargetMode="External"/><Relationship Id="rId24168" Type="http://schemas.openxmlformats.org/officeDocument/2006/relationships/hyperlink" Target="http://secrets.rutgers.edu:8080/data/asl-ftp/asllvd/demos/verify_start_end_handshape_annotations//test_auto_move//signs_mov_separ_signers/Naomi_763.mov" TargetMode="External"/><Relationship Id="rId24169" Type="http://schemas.openxmlformats.org/officeDocument/2006/relationships/hyperlink" Target="http://csr.bu.edu/ftp/asl/asllvd/demos/verify_start_end_handshape_annotations//test_auto_move//signs_mov_separ_signers/Liz_764.mov" TargetMode="External"/><Relationship Id="rId24170" Type="http://schemas.openxmlformats.org/officeDocument/2006/relationships/hyperlink" Target="http://secrets.rutgers.edu:8080/data/asl-ftp/asllvd/demos/verify_start_end_handshape_annotations//test_auto_move//signs_mov_separ_signers/Liz_764.mov" TargetMode="External"/><Relationship Id="rId24171" Type="http://schemas.openxmlformats.org/officeDocument/2006/relationships/hyperlink" Target="http://csr.bu.edu/ftp/asl/asllvd/demos/verify_start_end_handshape_annotations//test_auto_move//signs_mov/764_3621_merged.mov" TargetMode="External"/><Relationship Id="rId24172" Type="http://schemas.openxmlformats.org/officeDocument/2006/relationships/hyperlink" Target="http://csr.bu.edu/ftp/asl/asllvd/demos/verify_start_end_handshape_annotations//test_auto_move//signs_mov_separ_signers/Liz_3621.mov" TargetMode="External"/><Relationship Id="rId24173" Type="http://schemas.openxmlformats.org/officeDocument/2006/relationships/hyperlink" Target="http://secrets.rutgers.edu:8080/data/asl-ftp/asllvd/demos/verify_start_end_handshape_annotations//test_auto_move//signs_mov/764_3621_merged.mov" TargetMode="External"/><Relationship Id="rId24174" Type="http://schemas.openxmlformats.org/officeDocument/2006/relationships/hyperlink" Target="http://secrets.rutgers.edu:8080/data/asl-ftp/asllvd/demos/verify_start_end_handshape_annotations//test_auto_move//signs_mov_separ_signers/Liz_3621.mov" TargetMode="External"/><Relationship Id="rId24175" Type="http://schemas.openxmlformats.org/officeDocument/2006/relationships/hyperlink" Target="http://csr.bu.edu/ftp/asl/asllvd/demos/verify_start_end_handshape_annotations//test_auto_move//signs_mov_separ_signers/Brady_764.mov" TargetMode="External"/><Relationship Id="rId24176" Type="http://schemas.openxmlformats.org/officeDocument/2006/relationships/hyperlink" Target="http://secrets.rutgers.edu:8080/data/asl-ftp/asllvd/demos/verify_start_end_handshape_annotations//test_auto_move//signs_mov_separ_signers/Brady_764.mov" TargetMode="External"/><Relationship Id="rId24177" Type="http://schemas.openxmlformats.org/officeDocument/2006/relationships/hyperlink" Target="http://csr.bu.edu/ftp/asl/asllvd/demos/verify_start_end_handshape_annotations//test_auto_move//signs_mov_separ_signers/Brady_3621.mov" TargetMode="External"/><Relationship Id="rId24178" Type="http://schemas.openxmlformats.org/officeDocument/2006/relationships/hyperlink" Target="http://secrets.rutgers.edu:8080/data/asl-ftp/asllvd/demos/verify_start_end_handshape_annotations//test_auto_move//signs_mov_separ_signers/Brady_3621.mov" TargetMode="External"/><Relationship Id="rId24179" Type="http://schemas.openxmlformats.org/officeDocument/2006/relationships/hyperlink" Target="http://csr.bu.edu/ftp/asl/asllvd/demos/verify_start_end_handshape_annotations//test_auto_move//signs_mov_separ_signers/Liz_770.mov" TargetMode="External"/><Relationship Id="rId24180" Type="http://schemas.openxmlformats.org/officeDocument/2006/relationships/hyperlink" Target="http://secrets.rutgers.edu:8080/data/asl-ftp/asllvd/demos/verify_start_end_handshape_annotations//test_auto_move//signs_mov_separ_signers/Liz_770.mov" TargetMode="External"/><Relationship Id="rId24181" Type="http://schemas.openxmlformats.org/officeDocument/2006/relationships/hyperlink" Target="http://csr.bu.edu/ftp/asl/asllvd/demos/verify_start_end_handshape_annotations//test_auto_move//signs_mov/770.mov" TargetMode="External"/><Relationship Id="rId24182" Type="http://schemas.openxmlformats.org/officeDocument/2006/relationships/hyperlink" Target="http://csr.bu.edu/ftp/asl/asllvd/demos/verify_start_end_handshape_annotations//test_auto_move//signs_mov_separ_signers/Tyler_770.mov" TargetMode="External"/><Relationship Id="rId24183" Type="http://schemas.openxmlformats.org/officeDocument/2006/relationships/hyperlink" Target="http://secrets.rutgers.edu:8080/data/asl-ftp/asllvd/demos/verify_start_end_handshape_annotations//test_auto_move//signs_mov/770.mov" TargetMode="External"/><Relationship Id="rId24184" Type="http://schemas.openxmlformats.org/officeDocument/2006/relationships/hyperlink" Target="http://secrets.rutgers.edu:8080/data/asl-ftp/asllvd/demos/verify_start_end_handshape_annotations//test_auto_move//signs_mov_separ_signers/Tyler_770.mov" TargetMode="External"/><Relationship Id="rId24185" Type="http://schemas.openxmlformats.org/officeDocument/2006/relationships/hyperlink" Target="http://csr.bu.edu/ftp/asl/asllvd/demos/verify_start_end_handshape_annotations//test_auto_move//signs_mov_separ_signers/Naomi_770.mov" TargetMode="External"/><Relationship Id="rId24186" Type="http://schemas.openxmlformats.org/officeDocument/2006/relationships/hyperlink" Target="http://secrets.rutgers.edu:8080/data/asl-ftp/asllvd/demos/verify_start_end_handshape_annotations//test_auto_move//signs_mov_separ_signers/Naomi_770.mov" TargetMode="External"/><Relationship Id="rId24187" Type="http://schemas.openxmlformats.org/officeDocument/2006/relationships/hyperlink" Target="http://csr.bu.edu/ftp/asl/asllvd/demos/verify_start_end_handshape_annotations//test_auto_move//signs_mov_separ_signers/Brady_770.mov" TargetMode="External"/><Relationship Id="rId24188" Type="http://schemas.openxmlformats.org/officeDocument/2006/relationships/hyperlink" Target="http://secrets.rutgers.edu:8080/data/asl-ftp/asllvd/demos/verify_start_end_handshape_annotations//test_auto_move//signs_mov_separ_signers/Brady_770.mov" TargetMode="External"/><Relationship Id="rId24189" Type="http://schemas.openxmlformats.org/officeDocument/2006/relationships/hyperlink" Target="http://csr.bu.edu/ftp/asl/asllvd/demos/verify_start_end_handshape_annotations//test_auto_move//signs_mov_separ_signers/Liz_778.mov" TargetMode="External"/><Relationship Id="rId24190" Type="http://schemas.openxmlformats.org/officeDocument/2006/relationships/hyperlink" Target="http://secrets.rutgers.edu:8080/data/asl-ftp/asllvd/demos/verify_start_end_handshape_annotations//test_auto_move//signs_mov_separ_signers/Liz_778.mov" TargetMode="External"/><Relationship Id="rId24191" Type="http://schemas.openxmlformats.org/officeDocument/2006/relationships/hyperlink" Target="http://csr.bu.edu/ftp/asl/asllvd/demos/verify_start_end_handshape_annotations//test_auto_move//signs_mov/778.mov" TargetMode="External"/><Relationship Id="rId24192" Type="http://schemas.openxmlformats.org/officeDocument/2006/relationships/hyperlink" Target="http://csr.bu.edu/ftp/asl/asllvd/demos/verify_start_end_handshape_annotations//test_auto_move//signs_mov_separ_signers/Tyler_778.mov" TargetMode="External"/><Relationship Id="rId24193" Type="http://schemas.openxmlformats.org/officeDocument/2006/relationships/hyperlink" Target="http://secrets.rutgers.edu:8080/data/asl-ftp/asllvd/demos/verify_start_end_handshape_annotations//test_auto_move//signs_mov/778.mov" TargetMode="External"/><Relationship Id="rId24194" Type="http://schemas.openxmlformats.org/officeDocument/2006/relationships/hyperlink" Target="http://secrets.rutgers.edu:8080/data/asl-ftp/asllvd/demos/verify_start_end_handshape_annotations//test_auto_move//signs_mov_separ_signers/Tyler_778.mov" TargetMode="External"/><Relationship Id="rId24195" Type="http://schemas.openxmlformats.org/officeDocument/2006/relationships/hyperlink" Target="http://csr.bu.edu/ftp/asl/asllvd/demos/verify_start_end_handshape_annotations//test_auto_move//signs_mov_separ_signers/Naomi_778.mov" TargetMode="External"/><Relationship Id="rId24196" Type="http://schemas.openxmlformats.org/officeDocument/2006/relationships/hyperlink" Target="http://secrets.rutgers.edu:8080/data/asl-ftp/asllvd/demos/verify_start_end_handshape_annotations//test_auto_move//signs_mov_separ_signers/Naomi_778.mov" TargetMode="External"/><Relationship Id="rId24197" Type="http://schemas.openxmlformats.org/officeDocument/2006/relationships/hyperlink" Target="http://csr.bu.edu/ftp/asl/asllvd/demos/verify_start_end_handshape_annotations//test_auto_move//signs_mov_separ_signers/Brady_778.mov" TargetMode="External"/><Relationship Id="rId24198" Type="http://schemas.openxmlformats.org/officeDocument/2006/relationships/hyperlink" Target="http://secrets.rutgers.edu:8080/data/asl-ftp/asllvd/demos/verify_start_end_handshape_annotations//test_auto_move//signs_mov_separ_signers/Brady_778.mov" TargetMode="External"/><Relationship Id="rId24199" Type="http://schemas.openxmlformats.org/officeDocument/2006/relationships/hyperlink" Target="http://csr.bu.edu/ftp/asl/asllvd/demos/verify_start_end_handshape_annotations//test_auto_move//signs_mov/3877.mov" TargetMode="External"/><Relationship Id="rId24200" Type="http://schemas.openxmlformats.org/officeDocument/2006/relationships/hyperlink" Target="http://csr.bu.edu/ftp/asl/asllvd/demos/verify_start_end_handshape_annotations//test_auto_move//signs_mov_separ_signers/Liz_3877.mov" TargetMode="External"/><Relationship Id="rId24201" Type="http://schemas.openxmlformats.org/officeDocument/2006/relationships/hyperlink" Target="http://secrets.rutgers.edu:8080/data/asl-ftp/asllvd/demos/verify_start_end_handshape_annotations//test_auto_move//signs_mov/3877.mov" TargetMode="External"/><Relationship Id="rId24202" Type="http://schemas.openxmlformats.org/officeDocument/2006/relationships/hyperlink" Target="http://secrets.rutgers.edu:8080/data/asl-ftp/asllvd/demos/verify_start_end_handshape_annotations//test_auto_move//signs_mov_separ_signers/Liz_3877.mov" TargetMode="External"/><Relationship Id="rId24203" Type="http://schemas.openxmlformats.org/officeDocument/2006/relationships/hyperlink" Target="http://csr.bu.edu/ftp/asl/asllvd/demos/verify_start_end_handshape_annotations//test_auto_move//signs_mov_separ_signers/Liz_784.mov" TargetMode="External"/><Relationship Id="rId24204" Type="http://schemas.openxmlformats.org/officeDocument/2006/relationships/hyperlink" Target="http://secrets.rutgers.edu:8080/data/asl-ftp/asllvd/demos/verify_start_end_handshape_annotations//test_auto_move//signs_mov_separ_signers/Liz_784.mov" TargetMode="External"/><Relationship Id="rId24205" Type="http://schemas.openxmlformats.org/officeDocument/2006/relationships/hyperlink" Target="http://csr.bu.edu/ftp/asl/asllvd/demos/verify_start_end_handshape_annotations//test_auto_move//signs_mov/784.mov" TargetMode="External"/><Relationship Id="rId24206" Type="http://schemas.openxmlformats.org/officeDocument/2006/relationships/hyperlink" Target="http://csr.bu.edu/ftp/asl/asllvd/demos/verify_start_end_handshape_annotations//test_auto_move//signs_mov_separ_signers/Naomi_784.mov" TargetMode="External"/><Relationship Id="rId24207" Type="http://schemas.openxmlformats.org/officeDocument/2006/relationships/hyperlink" Target="http://secrets.rutgers.edu:8080/data/asl-ftp/asllvd/demos/verify_start_end_handshape_annotations//test_auto_move//signs_mov/784.mov" TargetMode="External"/><Relationship Id="rId24208" Type="http://schemas.openxmlformats.org/officeDocument/2006/relationships/hyperlink" Target="http://secrets.rutgers.edu:8080/data/asl-ftp/asllvd/demos/verify_start_end_handshape_annotations//test_auto_move//signs_mov_separ_signers/Naomi_784.mov" TargetMode="External"/><Relationship Id="rId24209" Type="http://schemas.openxmlformats.org/officeDocument/2006/relationships/hyperlink" Target="http://csr.bu.edu/ftp/asl/asllvd/demos/verify_start_end_handshape_annotations//test_auto_move//signs_mov_separ_signers/Brady_784.mov" TargetMode="External"/><Relationship Id="rId24210" Type="http://schemas.openxmlformats.org/officeDocument/2006/relationships/hyperlink" Target="http://secrets.rutgers.edu:8080/data/asl-ftp/asllvd/demos/verify_start_end_handshape_annotations//test_auto_move//signs_mov_separ_signers/Brady_784.mov" TargetMode="External"/><Relationship Id="rId24211" Type="http://schemas.openxmlformats.org/officeDocument/2006/relationships/hyperlink" Target="http://csr.bu.edu/ftp/asl/asllvd/demos/verify_start_end_handshape_annotations//test_auto_move//signs_mov_separ_signers/Liz_791.mov" TargetMode="External"/><Relationship Id="rId24212" Type="http://schemas.openxmlformats.org/officeDocument/2006/relationships/hyperlink" Target="http://secrets.rutgers.edu:8080/data/asl-ftp/asllvd/demos/verify_start_end_handshape_annotations//test_auto_move//signs_mov_separ_signers/Liz_791.mov" TargetMode="External"/><Relationship Id="rId24213" Type="http://schemas.openxmlformats.org/officeDocument/2006/relationships/hyperlink" Target="http://csr.bu.edu/ftp/asl/asllvd/demos/verify_start_end_handshape_annotations//test_auto_move//signs_mov/791.mov" TargetMode="External"/><Relationship Id="rId24214" Type="http://schemas.openxmlformats.org/officeDocument/2006/relationships/hyperlink" Target="http://csr.bu.edu/ftp/asl/asllvd/demos/verify_start_end_handshape_annotations//test_auto_move//signs_mov_separ_signers/Tyler_791.mov" TargetMode="External"/><Relationship Id="rId24215" Type="http://schemas.openxmlformats.org/officeDocument/2006/relationships/hyperlink" Target="http://secrets.rutgers.edu:8080/data/asl-ftp/asllvd/demos/verify_start_end_handshape_annotations//test_auto_move//signs_mov/791.mov" TargetMode="External"/><Relationship Id="rId24216" Type="http://schemas.openxmlformats.org/officeDocument/2006/relationships/hyperlink" Target="http://secrets.rutgers.edu:8080/data/asl-ftp/asllvd/demos/verify_start_end_handshape_annotations//test_auto_move//signs_mov_separ_signers/Tyler_791.mov" TargetMode="External"/><Relationship Id="rId24217" Type="http://schemas.openxmlformats.org/officeDocument/2006/relationships/hyperlink" Target="http://csr.bu.edu/ftp/asl/asllvd/demos/verify_start_end_handshape_annotations//test_auto_move//signs_mov_separ_signers/Naomi_791.mov" TargetMode="External"/><Relationship Id="rId24218" Type="http://schemas.openxmlformats.org/officeDocument/2006/relationships/hyperlink" Target="http://secrets.rutgers.edu:8080/data/asl-ftp/asllvd/demos/verify_start_end_handshape_annotations//test_auto_move//signs_mov_separ_signers/Naomi_791.mov" TargetMode="External"/><Relationship Id="rId24219" Type="http://schemas.openxmlformats.org/officeDocument/2006/relationships/hyperlink" Target="http://csr.bu.edu/ftp/asl/asllvd/demos/verify_start_end_handshape_annotations//test_auto_move//signs_mov_separ_signers/Brady_791.mov" TargetMode="External"/><Relationship Id="rId24220" Type="http://schemas.openxmlformats.org/officeDocument/2006/relationships/hyperlink" Target="http://secrets.rutgers.edu:8080/data/asl-ftp/asllvd/demos/verify_start_end_handshape_annotations//test_auto_move//signs_mov_separ_signers/Brady_791.mov" TargetMode="External"/><Relationship Id="rId24221" Type="http://schemas.openxmlformats.org/officeDocument/2006/relationships/hyperlink" Target="http://csr.bu.edu/ftp/asl/asllvd/demos/verify_start_end_handshape_annotations//test_auto_move//signs_mov_separ_signers/Liz_805.mov" TargetMode="External"/><Relationship Id="rId24222" Type="http://schemas.openxmlformats.org/officeDocument/2006/relationships/hyperlink" Target="http://secrets.rutgers.edu:8080/data/asl-ftp/asllvd/demos/verify_start_end_handshape_annotations//test_auto_move//signs_mov_separ_signers/Liz_805.mov" TargetMode="External"/><Relationship Id="rId24223" Type="http://schemas.openxmlformats.org/officeDocument/2006/relationships/hyperlink" Target="http://csr.bu.edu/ftp/asl/asllvd/demos/verify_start_end_handshape_annotations//test_auto_move//signs_mov/805.mov" TargetMode="External"/><Relationship Id="rId24224" Type="http://schemas.openxmlformats.org/officeDocument/2006/relationships/hyperlink" Target="http://csr.bu.edu/ftp/asl/asllvd/demos/verify_start_end_handshape_annotations//test_auto_move//signs_mov_separ_signers/Naomi_805.mov" TargetMode="External"/><Relationship Id="rId24225" Type="http://schemas.openxmlformats.org/officeDocument/2006/relationships/hyperlink" Target="http://secrets.rutgers.edu:8080/data/asl-ftp/asllvd/demos/verify_start_end_handshape_annotations//test_auto_move//signs_mov/805.mov" TargetMode="External"/><Relationship Id="rId24226" Type="http://schemas.openxmlformats.org/officeDocument/2006/relationships/hyperlink" Target="http://secrets.rutgers.edu:8080/data/asl-ftp/asllvd/demos/verify_start_end_handshape_annotations//test_auto_move//signs_mov_separ_signers/Naomi_805.mov" TargetMode="External"/><Relationship Id="rId24227" Type="http://schemas.openxmlformats.org/officeDocument/2006/relationships/hyperlink" Target="http://csr.bu.edu/ftp/asl/asllvd/demos/verify_start_end_handshape_annotations//test_auto_move//signs_mov_separ_signers/Brady_805.mov" TargetMode="External"/><Relationship Id="rId24228" Type="http://schemas.openxmlformats.org/officeDocument/2006/relationships/hyperlink" Target="http://secrets.rutgers.edu:8080/data/asl-ftp/asllvd/demos/verify_start_end_handshape_annotations//test_auto_move//signs_mov_separ_signers/Brady_805.mov" TargetMode="External"/><Relationship Id="rId24229" Type="http://schemas.openxmlformats.org/officeDocument/2006/relationships/hyperlink" Target="http://csr.bu.edu/ftp/asl/asllvd/demos/verify_start_end_handshape_annotations//test_auto_move//signs_mov/809.mov" TargetMode="External"/><Relationship Id="rId24230" Type="http://schemas.openxmlformats.org/officeDocument/2006/relationships/hyperlink" Target="http://csr.bu.edu/ftp/asl/asllvd/demos/verify_start_end_handshape_annotations//test_auto_move//signs_mov_separ_signers/Liz_809.mov" TargetMode="External"/><Relationship Id="rId24231" Type="http://schemas.openxmlformats.org/officeDocument/2006/relationships/hyperlink" Target="http://secrets.rutgers.edu:8080/data/asl-ftp/asllvd/demos/verify_start_end_handshape_annotations//test_auto_move//signs_mov/809.mov" TargetMode="External"/><Relationship Id="rId24232" Type="http://schemas.openxmlformats.org/officeDocument/2006/relationships/hyperlink" Target="http://secrets.rutgers.edu:8080/data/asl-ftp/asllvd/demos/verify_start_end_handshape_annotations//test_auto_move//signs_mov_separ_signers/Liz_809.mov" TargetMode="External"/><Relationship Id="rId24233" Type="http://schemas.openxmlformats.org/officeDocument/2006/relationships/hyperlink" Target="http://csr.bu.edu/ftp/asl/asllvd/demos/verify_start_end_handshape_annotations//test_auto_move//signs_mov/4745.mov" TargetMode="External"/><Relationship Id="rId24234" Type="http://schemas.openxmlformats.org/officeDocument/2006/relationships/hyperlink" Target="http://csr.bu.edu/ftp/asl/asllvd/demos/verify_start_end_handshape_annotations//test_auto_move//signs_mov_separ_signers/Brady_4745.mov" TargetMode="External"/><Relationship Id="rId24235" Type="http://schemas.openxmlformats.org/officeDocument/2006/relationships/hyperlink" Target="http://secrets.rutgers.edu:8080/data/asl-ftp/asllvd/demos/verify_start_end_handshape_annotations//test_auto_move//signs_mov/4745.mov" TargetMode="External"/><Relationship Id="rId24236" Type="http://schemas.openxmlformats.org/officeDocument/2006/relationships/hyperlink" Target="http://secrets.rutgers.edu:8080/data/asl-ftp/asllvd/demos/verify_start_end_handshape_annotations//test_auto_move//signs_mov_separ_signers/Brady_4745.mov" TargetMode="External"/><Relationship Id="rId24237" Type="http://schemas.openxmlformats.org/officeDocument/2006/relationships/hyperlink" Target="http://csr.bu.edu/ftp/asl/asllvd/demos/verify_start_end_handshape_annotations//test_auto_move//signs_mov_separ_signers/Liz_810.mov" TargetMode="External"/><Relationship Id="rId24238" Type="http://schemas.openxmlformats.org/officeDocument/2006/relationships/hyperlink" Target="http://secrets.rutgers.edu:8080/data/asl-ftp/asllvd/demos/verify_start_end_handshape_annotations//test_auto_move//signs_mov_separ_signers/Liz_810.mov" TargetMode="External"/><Relationship Id="rId24239" Type="http://schemas.openxmlformats.org/officeDocument/2006/relationships/hyperlink" Target="http://csr.bu.edu/ftp/asl/asllvd/demos/verify_start_end_handshape_annotations//test_auto_move//signs_mov/810.mov" TargetMode="External"/><Relationship Id="rId24240" Type="http://schemas.openxmlformats.org/officeDocument/2006/relationships/hyperlink" Target="http://csr.bu.edu/ftp/asl/asllvd/demos/verify_start_end_handshape_annotations//test_auto_move//signs_mov_separ_signers/Naomi_810.mov" TargetMode="External"/><Relationship Id="rId24241" Type="http://schemas.openxmlformats.org/officeDocument/2006/relationships/hyperlink" Target="http://secrets.rutgers.edu:8080/data/asl-ftp/asllvd/demos/verify_start_end_handshape_annotations//test_auto_move//signs_mov/810.mov" TargetMode="External"/><Relationship Id="rId24242" Type="http://schemas.openxmlformats.org/officeDocument/2006/relationships/hyperlink" Target="http://secrets.rutgers.edu:8080/data/asl-ftp/asllvd/demos/verify_start_end_handshape_annotations//test_auto_move//signs_mov_separ_signers/Naomi_810.mov" TargetMode="External"/><Relationship Id="rId24243" Type="http://schemas.openxmlformats.org/officeDocument/2006/relationships/hyperlink" Target="http://csr.bu.edu/ftp/asl/asllvd/demos/verify_start_end_handshape_annotations//test_auto_move//signs_mov_separ_signers/Brady_810.mov" TargetMode="External"/><Relationship Id="rId24244" Type="http://schemas.openxmlformats.org/officeDocument/2006/relationships/hyperlink" Target="http://secrets.rutgers.edu:8080/data/asl-ftp/asllvd/demos/verify_start_end_handshape_annotations//test_auto_move//signs_mov_separ_signers/Brady_810.mov" TargetMode="External"/><Relationship Id="rId24245" Type="http://schemas.openxmlformats.org/officeDocument/2006/relationships/hyperlink" Target="http://csr.bu.edu/ftp/asl/asllvd/demos/verify_start_end_handshape_annotations//test_auto_move//signs_mov/16556.mov" TargetMode="External"/><Relationship Id="rId24246" Type="http://schemas.openxmlformats.org/officeDocument/2006/relationships/hyperlink" Target="http://csr.bu.edu/ftp/asl/asllvd/demos/verify_start_end_handshape_annotations//test_auto_move//signs_mov_separ_signers/Tyler_16556.mov" TargetMode="External"/><Relationship Id="rId24247" Type="http://schemas.openxmlformats.org/officeDocument/2006/relationships/hyperlink" Target="http://secrets.rutgers.edu:8080/data/asl-ftp/asllvd/demos/verify_start_end_handshape_annotations//test_auto_move//signs_mov/16556.mov" TargetMode="External"/><Relationship Id="rId24248" Type="http://schemas.openxmlformats.org/officeDocument/2006/relationships/hyperlink" Target="http://secrets.rutgers.edu:8080/data/asl-ftp/asllvd/demos/verify_start_end_handshape_annotations//test_auto_move//signs_mov_separ_signers/Tyler_16556.mov" TargetMode="External"/><Relationship Id="rId24249" Type="http://schemas.openxmlformats.org/officeDocument/2006/relationships/hyperlink" Target="http://csr.bu.edu/ftp/asl/asllvd/demos/verify_start_end_handshape_annotations//test_auto_move//signs_mov/841.mov" TargetMode="External"/><Relationship Id="rId24250" Type="http://schemas.openxmlformats.org/officeDocument/2006/relationships/hyperlink" Target="http://csr.bu.edu/ftp/asl/asllvd/demos/verify_start_end_handshape_annotations//test_auto_move//signs_mov_separ_signers/Liz_841.mov" TargetMode="External"/><Relationship Id="rId24251" Type="http://schemas.openxmlformats.org/officeDocument/2006/relationships/hyperlink" Target="http://secrets.rutgers.edu:8080/data/asl-ftp/asllvd/demos/verify_start_end_handshape_annotations//test_auto_move//signs_mov/841.mov" TargetMode="External"/><Relationship Id="rId24252" Type="http://schemas.openxmlformats.org/officeDocument/2006/relationships/hyperlink" Target="http://secrets.rutgers.edu:8080/data/asl-ftp/asllvd/demos/verify_start_end_handshape_annotations//test_auto_move//signs_mov_separ_signers/Liz_841.mov" TargetMode="External"/><Relationship Id="rId24253" Type="http://schemas.openxmlformats.org/officeDocument/2006/relationships/hyperlink" Target="http://csr.bu.edu/ftp/asl/asllvd/demos/verify_start_end_handshape_annotations//test_auto_move//signs_mov_separ_signers/Naomi_841.mov" TargetMode="External"/><Relationship Id="rId24254" Type="http://schemas.openxmlformats.org/officeDocument/2006/relationships/hyperlink" Target="http://secrets.rutgers.edu:8080/data/asl-ftp/asllvd/demos/verify_start_end_handshape_annotations//test_auto_move//signs_mov_separ_signers/Naomi_841.mov" TargetMode="External"/><Relationship Id="rId24255" Type="http://schemas.openxmlformats.org/officeDocument/2006/relationships/hyperlink" Target="http://csr.bu.edu/ftp/asl/asllvd/demos/verify_start_end_handshape_annotations//test_auto_move//signs_mov_separ_signers/Liz_5176.mov" TargetMode="External"/><Relationship Id="rId24256" Type="http://schemas.openxmlformats.org/officeDocument/2006/relationships/hyperlink" Target="http://secrets.rutgers.edu:8080/data/asl-ftp/asllvd/demos/verify_start_end_handshape_annotations//test_auto_move//signs_mov_separ_signers/Liz_5176.mov" TargetMode="External"/><Relationship Id="rId24257" Type="http://schemas.openxmlformats.org/officeDocument/2006/relationships/hyperlink" Target="http://csr.bu.edu/ftp/asl/asllvd/demos/verify_start_end_handshape_annotations//test_auto_move//signs_mov_separ_signers/Tyler_5176.mov" TargetMode="External"/><Relationship Id="rId24258" Type="http://schemas.openxmlformats.org/officeDocument/2006/relationships/hyperlink" Target="http://secrets.rutgers.edu:8080/data/asl-ftp/asllvd/demos/verify_start_end_handshape_annotations//test_auto_move//signs_mov_separ_signers/Tyler_5176.mov" TargetMode="External"/><Relationship Id="rId24259" Type="http://schemas.openxmlformats.org/officeDocument/2006/relationships/hyperlink" Target="http://csr.bu.edu/ftp/asl/asllvd/demos/verify_start_end_handshape_annotations//test_auto_move//signs_mov/5176_15053_merged.mov" TargetMode="External"/><Relationship Id="rId24260" Type="http://schemas.openxmlformats.org/officeDocument/2006/relationships/hyperlink" Target="http://csr.bu.edu/ftp/asl/asllvd/demos/verify_start_end_handshape_annotations//test_auto_move//signs_mov_separ_signers/Tyler_15053.mov" TargetMode="External"/><Relationship Id="rId24261" Type="http://schemas.openxmlformats.org/officeDocument/2006/relationships/hyperlink" Target="http://secrets.rutgers.edu:8080/data/asl-ftp/asllvd/demos/verify_start_end_handshape_annotations//test_auto_move//signs_mov/5176_15053_merged.mov" TargetMode="External"/><Relationship Id="rId24262" Type="http://schemas.openxmlformats.org/officeDocument/2006/relationships/hyperlink" Target="http://secrets.rutgers.edu:8080/data/asl-ftp/asllvd/demos/verify_start_end_handshape_annotations//test_auto_move//signs_mov_separ_signers/Tyler_15053.mov" TargetMode="External"/><Relationship Id="rId24263" Type="http://schemas.openxmlformats.org/officeDocument/2006/relationships/hyperlink" Target="http://csr.bu.edu/ftp/asl/asllvd/demos/verify_start_end_handshape_annotations//test_auto_move//signs_mov_separ_signers/Naomi_5176.mov" TargetMode="External"/><Relationship Id="rId24264" Type="http://schemas.openxmlformats.org/officeDocument/2006/relationships/hyperlink" Target="http://secrets.rutgers.edu:8080/data/asl-ftp/asllvd/demos/verify_start_end_handshape_annotations//test_auto_move//signs_mov_separ_signers/Naomi_5176.mov" TargetMode="External"/><Relationship Id="rId24265" Type="http://schemas.openxmlformats.org/officeDocument/2006/relationships/hyperlink" Target="http://csr.bu.edu/ftp/asl/asllvd/demos/verify_start_end_handshape_annotations//test_auto_move//signs_mov_separ_signers/Brady_5176.mov" TargetMode="External"/><Relationship Id="rId24266" Type="http://schemas.openxmlformats.org/officeDocument/2006/relationships/hyperlink" Target="http://secrets.rutgers.edu:8080/data/asl-ftp/asllvd/demos/verify_start_end_handshape_annotations//test_auto_move//signs_mov_separ_signers/Brady_5176.mov" TargetMode="External"/><Relationship Id="rId24267" Type="http://schemas.openxmlformats.org/officeDocument/2006/relationships/hyperlink" Target="http://csr.bu.edu/ftp/asl/asllvd/demos/verify_start_end_handshape_annotations//test_auto_move//signs_mov_separ_signers/Brady_15053.mov" TargetMode="External"/><Relationship Id="rId24268" Type="http://schemas.openxmlformats.org/officeDocument/2006/relationships/hyperlink" Target="http://secrets.rutgers.edu:8080/data/asl-ftp/asllvd/demos/verify_start_end_handshape_annotations//test_auto_move//signs_mov_separ_signers/Brady_15053.mov" TargetMode="External"/><Relationship Id="rId24269" Type="http://schemas.openxmlformats.org/officeDocument/2006/relationships/hyperlink" Target="http://csr.bu.edu/ftp/asl/asllvd/demos/verify_start_end_handshape_annotations//test_auto_move//signs_mov_separ_signers/Liz_867.mov" TargetMode="External"/><Relationship Id="rId24270" Type="http://schemas.openxmlformats.org/officeDocument/2006/relationships/hyperlink" Target="http://secrets.rutgers.edu:8080/data/asl-ftp/asllvd/demos/verify_start_end_handshape_annotations//test_auto_move//signs_mov_separ_signers/Liz_867.mov" TargetMode="External"/><Relationship Id="rId24271" Type="http://schemas.openxmlformats.org/officeDocument/2006/relationships/hyperlink" Target="http://csr.bu.edu/ftp/asl/asllvd/demos/verify_start_end_handshape_annotations//test_auto_move//signs_mov/867.mov" TargetMode="External"/><Relationship Id="rId24272" Type="http://schemas.openxmlformats.org/officeDocument/2006/relationships/hyperlink" Target="http://csr.bu.edu/ftp/asl/asllvd/demos/verify_start_end_handshape_annotations//test_auto_move//signs_mov_separ_signers/Naomi_867.mov" TargetMode="External"/><Relationship Id="rId24273" Type="http://schemas.openxmlformats.org/officeDocument/2006/relationships/hyperlink" Target="http://secrets.rutgers.edu:8080/data/asl-ftp/asllvd/demos/verify_start_end_handshape_annotations//test_auto_move//signs_mov/867.mov" TargetMode="External"/><Relationship Id="rId24274" Type="http://schemas.openxmlformats.org/officeDocument/2006/relationships/hyperlink" Target="http://secrets.rutgers.edu:8080/data/asl-ftp/asllvd/demos/verify_start_end_handshape_annotations//test_auto_move//signs_mov_separ_signers/Naomi_867.mov" TargetMode="External"/><Relationship Id="rId24275" Type="http://schemas.openxmlformats.org/officeDocument/2006/relationships/hyperlink" Target="http://csr.bu.edu/ftp/asl/asllvd/demos/verify_start_end_handshape_annotations//test_auto_move//signs_mov_separ_signers/Brady_867.mov" TargetMode="External"/><Relationship Id="rId24276" Type="http://schemas.openxmlformats.org/officeDocument/2006/relationships/hyperlink" Target="http://secrets.rutgers.edu:8080/data/asl-ftp/asllvd/demos/verify_start_end_handshape_annotations//test_auto_move//signs_mov_separ_signers/Brady_867.mov" TargetMode="External"/><Relationship Id="rId24277" Type="http://schemas.openxmlformats.org/officeDocument/2006/relationships/hyperlink" Target="http://csr.bu.edu/ftp/asl/asllvd/demos/verify_start_end_handshape_annotations//test_auto_move//signs_mov_separ_signers/Liz_879.mov" TargetMode="External"/><Relationship Id="rId24278" Type="http://schemas.openxmlformats.org/officeDocument/2006/relationships/hyperlink" Target="http://secrets.rutgers.edu:8080/data/asl-ftp/asllvd/demos/verify_start_end_handshape_annotations//test_auto_move//signs_mov_separ_signers/Liz_879.mov" TargetMode="External"/><Relationship Id="rId24279" Type="http://schemas.openxmlformats.org/officeDocument/2006/relationships/hyperlink" Target="http://csr.bu.edu/ftp/asl/asllvd/demos/verify_start_end_handshape_annotations//test_auto_move//signs_mov/879.mov" TargetMode="External"/><Relationship Id="rId24280" Type="http://schemas.openxmlformats.org/officeDocument/2006/relationships/hyperlink" Target="http://csr.bu.edu/ftp/asl/asllvd/demos/verify_start_end_handshape_annotations//test_auto_move//signs_mov_separ_signers/Naomi_879.mov" TargetMode="External"/><Relationship Id="rId24281" Type="http://schemas.openxmlformats.org/officeDocument/2006/relationships/hyperlink" Target="http://secrets.rutgers.edu:8080/data/asl-ftp/asllvd/demos/verify_start_end_handshape_annotations//test_auto_move//signs_mov/879.mov" TargetMode="External"/><Relationship Id="rId24282" Type="http://schemas.openxmlformats.org/officeDocument/2006/relationships/hyperlink" Target="http://secrets.rutgers.edu:8080/data/asl-ftp/asllvd/demos/verify_start_end_handshape_annotations//test_auto_move//signs_mov_separ_signers/Naomi_879.mov" TargetMode="External"/><Relationship Id="rId24283" Type="http://schemas.openxmlformats.org/officeDocument/2006/relationships/hyperlink" Target="http://csr.bu.edu/ftp/asl/asllvd/demos/verify_start_end_handshape_annotations//test_auto_move//signs_mov_separ_signers/Brady_879.mov" TargetMode="External"/><Relationship Id="rId24284" Type="http://schemas.openxmlformats.org/officeDocument/2006/relationships/hyperlink" Target="http://secrets.rutgers.edu:8080/data/asl-ftp/asllvd/demos/verify_start_end_handshape_annotations//test_auto_move//signs_mov_separ_signers/Brady_879.mov" TargetMode="External"/><Relationship Id="rId24285" Type="http://schemas.openxmlformats.org/officeDocument/2006/relationships/hyperlink" Target="http://csr.bu.edu/ftp/asl/asllvd/demos/verify_start_end_handshape_annotations//test_auto_move//signs_mov/16521.mov" TargetMode="External"/><Relationship Id="rId24286" Type="http://schemas.openxmlformats.org/officeDocument/2006/relationships/hyperlink" Target="http://csr.bu.edu/ftp/asl/asllvd/demos/verify_start_end_handshape_annotations//test_auto_move//signs_mov_separ_signers/Tyler_16521.mov" TargetMode="External"/><Relationship Id="rId24287" Type="http://schemas.openxmlformats.org/officeDocument/2006/relationships/hyperlink" Target="http://secrets.rutgers.edu:8080/data/asl-ftp/asllvd/demos/verify_start_end_handshape_annotations//test_auto_move//signs_mov/16521.mov" TargetMode="External"/><Relationship Id="rId24288" Type="http://schemas.openxmlformats.org/officeDocument/2006/relationships/hyperlink" Target="http://secrets.rutgers.edu:8080/data/asl-ftp/asllvd/demos/verify_start_end_handshape_annotations//test_auto_move//signs_mov_separ_signers/Tyler_16521.mov" TargetMode="External"/><Relationship Id="rId24289" Type="http://schemas.openxmlformats.org/officeDocument/2006/relationships/hyperlink" Target="http://csr.bu.edu/ftp/asl/asllvd/demos/verify_start_end_handshape_annotations//test_auto_move//signs_mov_separ_signers/Liz_897.mov" TargetMode="External"/><Relationship Id="rId24290" Type="http://schemas.openxmlformats.org/officeDocument/2006/relationships/hyperlink" Target="http://secrets.rutgers.edu:8080/data/asl-ftp/asllvd/demos/verify_start_end_handshape_annotations//test_auto_move//signs_mov_separ_signers/Liz_897.mov" TargetMode="External"/><Relationship Id="rId24291" Type="http://schemas.openxmlformats.org/officeDocument/2006/relationships/hyperlink" Target="http://csr.bu.edu/ftp/asl/asllvd/demos/verify_start_end_handshape_annotations//test_auto_move//signs_mov_separ_signers/Liz_3489.mov" TargetMode="External"/><Relationship Id="rId24292" Type="http://schemas.openxmlformats.org/officeDocument/2006/relationships/hyperlink" Target="http://secrets.rutgers.edu:8080/data/asl-ftp/asllvd/demos/verify_start_end_handshape_annotations//test_auto_move//signs_mov_separ_signers/Liz_3489.mov" TargetMode="External"/><Relationship Id="rId24293" Type="http://schemas.openxmlformats.org/officeDocument/2006/relationships/hyperlink" Target="http://csr.bu.edu/ftp/asl/asllvd/demos/verify_start_end_handshape_annotations//test_auto_move//signs_mov_separ_signers/Liz_3491.mov" TargetMode="External"/><Relationship Id="rId24294" Type="http://schemas.openxmlformats.org/officeDocument/2006/relationships/hyperlink" Target="http://secrets.rutgers.edu:8080/data/asl-ftp/asllvd/demos/verify_start_end_handshape_annotations//test_auto_move//signs_mov_separ_signers/Liz_3491.mov" TargetMode="External"/><Relationship Id="rId24295" Type="http://schemas.openxmlformats.org/officeDocument/2006/relationships/hyperlink" Target="http://csr.bu.edu/ftp/asl/asllvd/demos/verify_start_end_handshape_annotations//test_auto_move//signs_mov_separ_signers/Liz_3524.mov" TargetMode="External"/><Relationship Id="rId24296" Type="http://schemas.openxmlformats.org/officeDocument/2006/relationships/hyperlink" Target="http://secrets.rutgers.edu:8080/data/asl-ftp/asllvd/demos/verify_start_end_handshape_annotations//test_auto_move//signs_mov_separ_signers/Liz_3524.mov" TargetMode="External"/><Relationship Id="rId24297" Type="http://schemas.openxmlformats.org/officeDocument/2006/relationships/hyperlink" Target="http://csr.bu.edu/ftp/asl/asllvd/demos/verify_start_end_handshape_annotations//test_auto_move//signs_mov_separ_signers/Liz_3533.mov" TargetMode="External"/><Relationship Id="rId24298" Type="http://schemas.openxmlformats.org/officeDocument/2006/relationships/hyperlink" Target="http://secrets.rutgers.edu:8080/data/asl-ftp/asllvd/demos/verify_start_end_handshape_annotations//test_auto_move//signs_mov_separ_signers/Liz_3533.mov" TargetMode="External"/><Relationship Id="rId24299" Type="http://schemas.openxmlformats.org/officeDocument/2006/relationships/hyperlink" Target="http://csr.bu.edu/ftp/asl/asllvd/demos/verify_start_end_handshape_annotations//test_auto_move//signs_mov_separ_signers/Tyler_897.mov" TargetMode="External"/><Relationship Id="rId24300" Type="http://schemas.openxmlformats.org/officeDocument/2006/relationships/hyperlink" Target="http://secrets.rutgers.edu:8080/data/asl-ftp/asllvd/demos/verify_start_end_handshape_annotations//test_auto_move//signs_mov_separ_signers/Tyler_897.mov" TargetMode="External"/><Relationship Id="rId24301" Type="http://schemas.openxmlformats.org/officeDocument/2006/relationships/hyperlink" Target="http://csr.bu.edu/ftp/asl/asllvd/demos/verify_start_end_handshape_annotations//test_auto_move//signs_mov_separ_signers/Naomi_897.mov" TargetMode="External"/><Relationship Id="rId24302" Type="http://schemas.openxmlformats.org/officeDocument/2006/relationships/hyperlink" Target="http://secrets.rutgers.edu:8080/data/asl-ftp/asllvd/demos/verify_start_end_handshape_annotations//test_auto_move//signs_mov_separ_signers/Naomi_897.mov" TargetMode="External"/><Relationship Id="rId24303" Type="http://schemas.openxmlformats.org/officeDocument/2006/relationships/hyperlink" Target="http://csr.bu.edu/ftp/asl/asllvd/demos/verify_start_end_handshape_annotations//test_auto_move//signs_mov/897_3489_3491_3524_3533_3537_3995_merged.mov" TargetMode="External"/><Relationship Id="rId24304" Type="http://schemas.openxmlformats.org/officeDocument/2006/relationships/hyperlink" Target="http://csr.bu.edu/ftp/asl/asllvd/demos/verify_start_end_handshape_annotations//test_auto_move//signs_mov_separ_signers/Naomi_3489.mov" TargetMode="External"/><Relationship Id="rId24305" Type="http://schemas.openxmlformats.org/officeDocument/2006/relationships/hyperlink" Target="http://secrets.rutgers.edu:8080/data/asl-ftp/asllvd/demos/verify_start_end_handshape_annotations//test_auto_move//signs_mov/897_3489_3491_3524_3533_3537_3995_merged.mov" TargetMode="External"/><Relationship Id="rId24306" Type="http://schemas.openxmlformats.org/officeDocument/2006/relationships/hyperlink" Target="http://secrets.rutgers.edu:8080/data/asl-ftp/asllvd/demos/verify_start_end_handshape_annotations//test_auto_move//signs_mov_separ_signers/Naomi_3489.mov" TargetMode="External"/><Relationship Id="rId24307" Type="http://schemas.openxmlformats.org/officeDocument/2006/relationships/hyperlink" Target="http://csr.bu.edu/ftp/asl/asllvd/demos/verify_start_end_handshape_annotations//test_auto_move//signs_mov_separ_signers/Brady_897.mov" TargetMode="External"/><Relationship Id="rId24308" Type="http://schemas.openxmlformats.org/officeDocument/2006/relationships/hyperlink" Target="http://secrets.rutgers.edu:8080/data/asl-ftp/asllvd/demos/verify_start_end_handshape_annotations//test_auto_move//signs_mov_separ_signers/Brady_897.mov" TargetMode="External"/><Relationship Id="rId24309" Type="http://schemas.openxmlformats.org/officeDocument/2006/relationships/hyperlink" Target="http://csr.bu.edu/ftp/asl/asllvd/demos/verify_start_end_handshape_annotations//test_auto_move//signs_mov_separ_signers/Brady_3489.mov" TargetMode="External"/><Relationship Id="rId24310" Type="http://schemas.openxmlformats.org/officeDocument/2006/relationships/hyperlink" Target="http://secrets.rutgers.edu:8080/data/asl-ftp/asllvd/demos/verify_start_end_handshape_annotations//test_auto_move//signs_mov_separ_signers/Brady_3489.mov" TargetMode="External"/><Relationship Id="rId24311" Type="http://schemas.openxmlformats.org/officeDocument/2006/relationships/hyperlink" Target="http://csr.bu.edu/ftp/asl/asllvd/demos/verify_start_end_handshape_annotations//test_auto_move//signs_mov_separ_signers/Brady_3491.mov" TargetMode="External"/><Relationship Id="rId24312" Type="http://schemas.openxmlformats.org/officeDocument/2006/relationships/hyperlink" Target="http://secrets.rutgers.edu:8080/data/asl-ftp/asllvd/demos/verify_start_end_handshape_annotations//test_auto_move//signs_mov_separ_signers/Brady_3491.mov" TargetMode="External"/><Relationship Id="rId24313" Type="http://schemas.openxmlformats.org/officeDocument/2006/relationships/hyperlink" Target="http://csr.bu.edu/ftp/asl/asllvd/demos/verify_start_end_handshape_annotations//test_auto_move//signs_mov_separ_signers/Brady_3524.mov" TargetMode="External"/><Relationship Id="rId24314" Type="http://schemas.openxmlformats.org/officeDocument/2006/relationships/hyperlink" Target="http://secrets.rutgers.edu:8080/data/asl-ftp/asllvd/demos/verify_start_end_handshape_annotations//test_auto_move//signs_mov_separ_signers/Brady_3524.mov" TargetMode="External"/><Relationship Id="rId24315" Type="http://schemas.openxmlformats.org/officeDocument/2006/relationships/hyperlink" Target="http://csr.bu.edu/ftp/asl/asllvd/demos/verify_start_end_handshape_annotations//test_auto_move//signs_mov_separ_signers/Brady_3533.mov" TargetMode="External"/><Relationship Id="rId24316" Type="http://schemas.openxmlformats.org/officeDocument/2006/relationships/hyperlink" Target="http://secrets.rutgers.edu:8080/data/asl-ftp/asllvd/demos/verify_start_end_handshape_annotations//test_auto_move//signs_mov_separ_signers/Brady_3533.mov" TargetMode="External"/><Relationship Id="rId24317" Type="http://schemas.openxmlformats.org/officeDocument/2006/relationships/hyperlink" Target="http://csr.bu.edu/ftp/asl/asllvd/demos/verify_start_end_handshape_annotations//test_auto_move//signs_mov_separ_signers/Brady_3537.mov" TargetMode="External"/><Relationship Id="rId24318" Type="http://schemas.openxmlformats.org/officeDocument/2006/relationships/hyperlink" Target="http://secrets.rutgers.edu:8080/data/asl-ftp/asllvd/demos/verify_start_end_handshape_annotations//test_auto_move//signs_mov_separ_signers/Brady_3537.mov" TargetMode="External"/><Relationship Id="rId24319" Type="http://schemas.openxmlformats.org/officeDocument/2006/relationships/hyperlink" Target="http://csr.bu.edu/ftp/asl/asllvd/demos/verify_start_end_handshape_annotations//test_auto_move//signs_mov_separ_signers/Brady_3995.mov" TargetMode="External"/><Relationship Id="rId24320" Type="http://schemas.openxmlformats.org/officeDocument/2006/relationships/hyperlink" Target="http://secrets.rutgers.edu:8080/data/asl-ftp/asllvd/demos/verify_start_end_handshape_annotations//test_auto_move//signs_mov_separ_signers/Brady_3995.mov" TargetMode="External"/><Relationship Id="rId24321" Type="http://schemas.openxmlformats.org/officeDocument/2006/relationships/hyperlink" Target="http://csr.bu.edu/ftp/asl/asllvd/demos/verify_start_end_handshape_annotations//test_auto_move//signs_mov/5015_5017_merged.mov" TargetMode="External"/><Relationship Id="rId24322" Type="http://schemas.openxmlformats.org/officeDocument/2006/relationships/hyperlink" Target="http://csr.bu.edu/ftp/asl/asllvd/demos/verify_start_end_handshape_annotations//test_auto_move//signs_mov_separ_signers/Brady_5015.mov" TargetMode="External"/><Relationship Id="rId24323" Type="http://schemas.openxmlformats.org/officeDocument/2006/relationships/hyperlink" Target="http://secrets.rutgers.edu:8080/data/asl-ftp/asllvd/demos/verify_start_end_handshape_annotations//test_auto_move//signs_mov/5015_5017_merged.mov" TargetMode="External"/><Relationship Id="rId24324" Type="http://schemas.openxmlformats.org/officeDocument/2006/relationships/hyperlink" Target="http://secrets.rutgers.edu:8080/data/asl-ftp/asllvd/demos/verify_start_end_handshape_annotations//test_auto_move//signs_mov_separ_signers/Brady_5015.mov" TargetMode="External"/><Relationship Id="rId24325" Type="http://schemas.openxmlformats.org/officeDocument/2006/relationships/hyperlink" Target="http://csr.bu.edu/ftp/asl/asllvd/demos/verify_start_end_handshape_annotations//test_auto_move//signs_mov_separ_signers/Brady_5017.mov" TargetMode="External"/><Relationship Id="rId24326" Type="http://schemas.openxmlformats.org/officeDocument/2006/relationships/hyperlink" Target="http://secrets.rutgers.edu:8080/data/asl-ftp/asllvd/demos/verify_start_end_handshape_annotations//test_auto_move//signs_mov_separ_signers/Brady_5017.mov" TargetMode="External"/><Relationship Id="rId24327" Type="http://schemas.openxmlformats.org/officeDocument/2006/relationships/hyperlink" Target="http://csr.bu.edu/ftp/asl/asllvd/demos/verify_start_end_handshape_annotations//test_auto_move//signs_mov_separ_signers/Liz_5689.mov" TargetMode="External"/><Relationship Id="rId24328" Type="http://schemas.openxmlformats.org/officeDocument/2006/relationships/hyperlink" Target="http://secrets.rutgers.edu:8080/data/asl-ftp/asllvd/demos/verify_start_end_handshape_annotations//test_auto_move//signs_mov_separ_signers/Liz_5689.mov" TargetMode="External"/><Relationship Id="rId24329" Type="http://schemas.openxmlformats.org/officeDocument/2006/relationships/hyperlink" Target="http://csr.bu.edu/ftp/asl/asllvd/demos/verify_start_end_handshape_annotations//test_auto_move//signs_mov/5689.mov" TargetMode="External"/><Relationship Id="rId24330" Type="http://schemas.openxmlformats.org/officeDocument/2006/relationships/hyperlink" Target="http://csr.bu.edu/ftp/asl/asllvd/demos/verify_start_end_handshape_annotations//test_auto_move//signs_mov_separ_signers/Tyler_5689.mov" TargetMode="External"/><Relationship Id="rId24331" Type="http://schemas.openxmlformats.org/officeDocument/2006/relationships/hyperlink" Target="http://secrets.rutgers.edu:8080/data/asl-ftp/asllvd/demos/verify_start_end_handshape_annotations//test_auto_move//signs_mov/5689.mov" TargetMode="External"/><Relationship Id="rId24332" Type="http://schemas.openxmlformats.org/officeDocument/2006/relationships/hyperlink" Target="http://secrets.rutgers.edu:8080/data/asl-ftp/asllvd/demos/verify_start_end_handshape_annotations//test_auto_move//signs_mov_separ_signers/Tyler_5689.mov" TargetMode="External"/><Relationship Id="rId24333" Type="http://schemas.openxmlformats.org/officeDocument/2006/relationships/hyperlink" Target="http://csr.bu.edu/ftp/asl/asllvd/demos/verify_start_end_handshape_annotations//test_auto_move//signs_mov_separ_signers/Brady_5689.mov" TargetMode="External"/><Relationship Id="rId24334" Type="http://schemas.openxmlformats.org/officeDocument/2006/relationships/hyperlink" Target="http://secrets.rutgers.edu:8080/data/asl-ftp/asllvd/demos/verify_start_end_handshape_annotations//test_auto_move//signs_mov_separ_signers/Brady_5689.mov" TargetMode="External"/><Relationship Id="rId24335" Type="http://schemas.openxmlformats.org/officeDocument/2006/relationships/hyperlink" Target="http://csr.bu.edu/ftp/asl/asllvd/demos/verify_start_end_handshape_annotations//test_auto_move//signs_mov/4649_15394_merged.mov" TargetMode="External"/><Relationship Id="rId24336" Type="http://schemas.openxmlformats.org/officeDocument/2006/relationships/hyperlink" Target="http://csr.bu.edu/ftp/asl/asllvd/demos/verify_start_end_handshape_annotations//test_auto_move//signs_mov_separ_signers/Liz_4649.mov" TargetMode="External"/><Relationship Id="rId24337" Type="http://schemas.openxmlformats.org/officeDocument/2006/relationships/hyperlink" Target="http://secrets.rutgers.edu:8080/data/asl-ftp/asllvd/demos/verify_start_end_handshape_annotations//test_auto_move//signs_mov/4649_15394_merged.mov" TargetMode="External"/><Relationship Id="rId24338" Type="http://schemas.openxmlformats.org/officeDocument/2006/relationships/hyperlink" Target="http://secrets.rutgers.edu:8080/data/asl-ftp/asllvd/demos/verify_start_end_handshape_annotations//test_auto_move//signs_mov_separ_signers/Liz_4649.mov" TargetMode="External"/><Relationship Id="rId24339" Type="http://schemas.openxmlformats.org/officeDocument/2006/relationships/hyperlink" Target="http://csr.bu.edu/ftp/asl/asllvd/demos/verify_start_end_handshape_annotations//test_auto_move//signs_mov_separ_signers/Liz_15394.mov" TargetMode="External"/><Relationship Id="rId24340" Type="http://schemas.openxmlformats.org/officeDocument/2006/relationships/hyperlink" Target="http://secrets.rutgers.edu:8080/data/asl-ftp/asllvd/demos/verify_start_end_handshape_annotations//test_auto_move//signs_mov_separ_signers/Liz_15394.mov" TargetMode="External"/><Relationship Id="rId24341" Type="http://schemas.openxmlformats.org/officeDocument/2006/relationships/hyperlink" Target="http://csr.bu.edu/ftp/asl/asllvd/demos/verify_start_end_handshape_annotations//test_auto_move//signs_mov_separ_signers/Liz_918.mov" TargetMode="External"/><Relationship Id="rId24342" Type="http://schemas.openxmlformats.org/officeDocument/2006/relationships/hyperlink" Target="http://secrets.rutgers.edu:8080/data/asl-ftp/asllvd/demos/verify_start_end_handshape_annotations//test_auto_move//signs_mov_separ_signers/Liz_918.mov" TargetMode="External"/><Relationship Id="rId24343" Type="http://schemas.openxmlformats.org/officeDocument/2006/relationships/hyperlink" Target="http://csr.bu.edu/ftp/asl/asllvd/demos/verify_start_end_handshape_annotations//test_auto_move//signs_mov/918.mov" TargetMode="External"/><Relationship Id="rId24344" Type="http://schemas.openxmlformats.org/officeDocument/2006/relationships/hyperlink" Target="http://csr.bu.edu/ftp/asl/asllvd/demos/verify_start_end_handshape_annotations//test_auto_move//signs_mov_separ_signers/Tyler_918.mov" TargetMode="External"/><Relationship Id="rId24345" Type="http://schemas.openxmlformats.org/officeDocument/2006/relationships/hyperlink" Target="http://secrets.rutgers.edu:8080/data/asl-ftp/asllvd/demos/verify_start_end_handshape_annotations//test_auto_move//signs_mov/918.mov" TargetMode="External"/><Relationship Id="rId24346" Type="http://schemas.openxmlformats.org/officeDocument/2006/relationships/hyperlink" Target="http://secrets.rutgers.edu:8080/data/asl-ftp/asllvd/demos/verify_start_end_handshape_annotations//test_auto_move//signs_mov_separ_signers/Tyler_918.mov" TargetMode="External"/><Relationship Id="rId24347" Type="http://schemas.openxmlformats.org/officeDocument/2006/relationships/hyperlink" Target="http://csr.bu.edu/ftp/asl/asllvd/demos/verify_start_end_handshape_annotations//test_auto_move//signs_mov_separ_signers/Naomi_918.mov" TargetMode="External"/><Relationship Id="rId24348" Type="http://schemas.openxmlformats.org/officeDocument/2006/relationships/hyperlink" Target="http://secrets.rutgers.edu:8080/data/asl-ftp/asllvd/demos/verify_start_end_handshape_annotations//test_auto_move//signs_mov_separ_signers/Naomi_918.mov" TargetMode="External"/><Relationship Id="rId24349" Type="http://schemas.openxmlformats.org/officeDocument/2006/relationships/hyperlink" Target="http://csr.bu.edu/ftp/asl/asllvd/demos/verify_start_end_handshape_annotations//test_auto_move//signs_mov/16522.mov" TargetMode="External"/><Relationship Id="rId24350" Type="http://schemas.openxmlformats.org/officeDocument/2006/relationships/hyperlink" Target="http://csr.bu.edu/ftp/asl/asllvd/demos/verify_start_end_handshape_annotations//test_auto_move//signs_mov_separ_signers/Brady_16522.mov" TargetMode="External"/><Relationship Id="rId24351" Type="http://schemas.openxmlformats.org/officeDocument/2006/relationships/hyperlink" Target="http://secrets.rutgers.edu:8080/data/asl-ftp/asllvd/demos/verify_start_end_handshape_annotations//test_auto_move//signs_mov/16522.mov" TargetMode="External"/><Relationship Id="rId24352" Type="http://schemas.openxmlformats.org/officeDocument/2006/relationships/hyperlink" Target="http://secrets.rutgers.edu:8080/data/asl-ftp/asllvd/demos/verify_start_end_handshape_annotations//test_auto_move//signs_mov_separ_signers/Brady_16522.mov" TargetMode="External"/><Relationship Id="rId24353" Type="http://schemas.openxmlformats.org/officeDocument/2006/relationships/hyperlink" Target="http://csr.bu.edu/ftp/asl/asllvd/demos/verify_start_end_handshape_annotations//test_auto_move//signs_mov_separ_signers/Liz_919.mov" TargetMode="External"/><Relationship Id="rId24354" Type="http://schemas.openxmlformats.org/officeDocument/2006/relationships/hyperlink" Target="http://secrets.rutgers.edu:8080/data/asl-ftp/asllvd/demos/verify_start_end_handshape_annotations//test_auto_move//signs_mov_separ_signers/Liz_919.mov" TargetMode="External"/><Relationship Id="rId24355" Type="http://schemas.openxmlformats.org/officeDocument/2006/relationships/hyperlink" Target="http://csr.bu.edu/ftp/asl/asllvd/demos/verify_start_end_handshape_annotations//test_auto_move//signs_mov/919_3940_merged.mov" TargetMode="External"/><Relationship Id="rId24356" Type="http://schemas.openxmlformats.org/officeDocument/2006/relationships/hyperlink" Target="http://csr.bu.edu/ftp/asl/asllvd/demos/verify_start_end_handshape_annotations//test_auto_move//signs_mov_separ_signers/Tyler_919.mov" TargetMode="External"/><Relationship Id="rId24357" Type="http://schemas.openxmlformats.org/officeDocument/2006/relationships/hyperlink" Target="http://secrets.rutgers.edu:8080/data/asl-ftp/asllvd/demos/verify_start_end_handshape_annotations//test_auto_move//signs_mov/919_3940_merged.mov" TargetMode="External"/><Relationship Id="rId24358" Type="http://schemas.openxmlformats.org/officeDocument/2006/relationships/hyperlink" Target="http://secrets.rutgers.edu:8080/data/asl-ftp/asllvd/demos/verify_start_end_handshape_annotations//test_auto_move//signs_mov_separ_signers/Tyler_919.mov" TargetMode="External"/><Relationship Id="rId24359" Type="http://schemas.openxmlformats.org/officeDocument/2006/relationships/hyperlink" Target="http://csr.bu.edu/ftp/asl/asllvd/demos/verify_start_end_handshape_annotations//test_auto_move//signs_mov_separ_signers/Brady_919.mov" TargetMode="External"/><Relationship Id="rId24360" Type="http://schemas.openxmlformats.org/officeDocument/2006/relationships/hyperlink" Target="http://secrets.rutgers.edu:8080/data/asl-ftp/asllvd/demos/verify_start_end_handshape_annotations//test_auto_move//signs_mov_separ_signers/Brady_919.mov" TargetMode="External"/><Relationship Id="rId24361" Type="http://schemas.openxmlformats.org/officeDocument/2006/relationships/hyperlink" Target="http://csr.bu.edu/ftp/asl/asllvd/demos/verify_start_end_handshape_annotations//test_auto_move//signs_mov_separ_signers/Brady_3940.mov" TargetMode="External"/><Relationship Id="rId24362" Type="http://schemas.openxmlformats.org/officeDocument/2006/relationships/hyperlink" Target="http://secrets.rutgers.edu:8080/data/asl-ftp/asllvd/demos/verify_start_end_handshape_annotations//test_auto_move//signs_mov_separ_signers/Brady_3940.mov" TargetMode="External"/><Relationship Id="rId24363" Type="http://schemas.openxmlformats.org/officeDocument/2006/relationships/hyperlink" Target="http://csr.bu.edu/ftp/asl/asllvd/demos/verify_start_end_handshape_annotations//test_auto_move//signs_mov/3941.mov" TargetMode="External"/><Relationship Id="rId24364" Type="http://schemas.openxmlformats.org/officeDocument/2006/relationships/hyperlink" Target="http://csr.bu.edu/ftp/asl/asllvd/demos/verify_start_end_handshape_annotations//test_auto_move//signs_mov_separ_signers/Brady_3941.mov" TargetMode="External"/><Relationship Id="rId24365" Type="http://schemas.openxmlformats.org/officeDocument/2006/relationships/hyperlink" Target="http://secrets.rutgers.edu:8080/data/asl-ftp/asllvd/demos/verify_start_end_handshape_annotations//test_auto_move//signs_mov/3941.mov" TargetMode="External"/><Relationship Id="rId24366" Type="http://schemas.openxmlformats.org/officeDocument/2006/relationships/hyperlink" Target="http://secrets.rutgers.edu:8080/data/asl-ftp/asllvd/demos/verify_start_end_handshape_annotations//test_auto_move//signs_mov_separ_signers/Brady_3941.mov" TargetMode="External"/><Relationship Id="rId24367" Type="http://schemas.openxmlformats.org/officeDocument/2006/relationships/hyperlink" Target="http://csr.bu.edu/ftp/asl/asllvd/demos/verify_start_end_handshape_annotations//test_auto_move//signs_mov_separ_signers/Liz_4641.mov" TargetMode="External"/><Relationship Id="rId24368" Type="http://schemas.openxmlformats.org/officeDocument/2006/relationships/hyperlink" Target="http://secrets.rutgers.edu:8080/data/asl-ftp/asllvd/demos/verify_start_end_handshape_annotations//test_auto_move//signs_mov_separ_signers/Liz_4641.mov" TargetMode="External"/><Relationship Id="rId24369" Type="http://schemas.openxmlformats.org/officeDocument/2006/relationships/hyperlink" Target="http://csr.bu.edu/ftp/asl/asllvd/demos/verify_start_end_handshape_annotations//test_auto_move//signs_mov_separ_signers/Liz_15380.mov" TargetMode="External"/><Relationship Id="rId24370" Type="http://schemas.openxmlformats.org/officeDocument/2006/relationships/hyperlink" Target="http://secrets.rutgers.edu:8080/data/asl-ftp/asllvd/demos/verify_start_end_handshape_annotations//test_auto_move//signs_mov_separ_signers/Liz_15380.mov" TargetMode="External"/><Relationship Id="rId24371" Type="http://schemas.openxmlformats.org/officeDocument/2006/relationships/hyperlink" Target="http://csr.bu.edu/ftp/asl/asllvd/demos/verify_start_end_handshape_annotations//test_auto_move//signs_mov/4641_15380_merged.mov" TargetMode="External"/><Relationship Id="rId24372" Type="http://schemas.openxmlformats.org/officeDocument/2006/relationships/hyperlink" Target="http://csr.bu.edu/ftp/asl/asllvd/demos/verify_start_end_handshape_annotations//test_auto_move//signs_mov_separ_signers/Naomi_4641.mov" TargetMode="External"/><Relationship Id="rId24373" Type="http://schemas.openxmlformats.org/officeDocument/2006/relationships/hyperlink" Target="http://secrets.rutgers.edu:8080/data/asl-ftp/asllvd/demos/verify_start_end_handshape_annotations//test_auto_move//signs_mov/4641_15380_merged.mov" TargetMode="External"/><Relationship Id="rId24374" Type="http://schemas.openxmlformats.org/officeDocument/2006/relationships/hyperlink" Target="http://secrets.rutgers.edu:8080/data/asl-ftp/asllvd/demos/verify_start_end_handshape_annotations//test_auto_move//signs_mov_separ_signers/Naomi_4641.mov" TargetMode="External"/><Relationship Id="rId24375" Type="http://schemas.openxmlformats.org/officeDocument/2006/relationships/hyperlink" Target="http://csr.bu.edu/ftp/asl/asllvd/demos/verify_start_end_handshape_annotations//test_auto_move//signs_mov_separ_signers/Brady_4641.mov" TargetMode="External"/><Relationship Id="rId24376" Type="http://schemas.openxmlformats.org/officeDocument/2006/relationships/hyperlink" Target="http://secrets.rutgers.edu:8080/data/asl-ftp/asllvd/demos/verify_start_end_handshape_annotations//test_auto_move//signs_mov_separ_signers/Brady_4641.mov" TargetMode="External"/><Relationship Id="rId24377" Type="http://schemas.openxmlformats.org/officeDocument/2006/relationships/hyperlink" Target="http://csr.bu.edu/ftp/asl/asllvd/demos/verify_start_end_handshape_annotations//test_auto_move//signs_mov_separ_signers/Lana_4641.mov" TargetMode="External"/><Relationship Id="rId24378" Type="http://schemas.openxmlformats.org/officeDocument/2006/relationships/hyperlink" Target="http://secrets.rutgers.edu:8080/data/asl-ftp/asllvd/demos/verify_start_end_handshape_annotations//test_auto_move//signs_mov_separ_signers/Lana_4641.mov" TargetMode="External"/><Relationship Id="rId24379" Type="http://schemas.openxmlformats.org/officeDocument/2006/relationships/hyperlink" Target="http://csr.bu.edu/ftp/asl/asllvd/demos/verify_start_end_handshape_annotations//test_auto_move//signs_mov_separ_signers/Dana_4641.mov" TargetMode="External"/><Relationship Id="rId24380" Type="http://schemas.openxmlformats.org/officeDocument/2006/relationships/hyperlink" Target="http://secrets.rutgers.edu:8080/data/asl-ftp/asllvd/demos/verify_start_end_handshape_annotations//test_auto_move//signs_mov_separ_signers/Dana_4641.mov" TargetMode="External"/><Relationship Id="rId24381" Type="http://schemas.openxmlformats.org/officeDocument/2006/relationships/hyperlink" Target="http://csr.bu.edu/ftp/asl/asllvd/demos/verify_start_end_handshape_annotations//test_auto_move//signs_mov/15635.mov" TargetMode="External"/><Relationship Id="rId24382" Type="http://schemas.openxmlformats.org/officeDocument/2006/relationships/hyperlink" Target="http://csr.bu.edu/ftp/asl/asllvd/demos/verify_start_end_handshape_annotations//test_auto_move//signs_mov_separ_signers/Brady_15635.mov" TargetMode="External"/><Relationship Id="rId24383" Type="http://schemas.openxmlformats.org/officeDocument/2006/relationships/hyperlink" Target="http://secrets.rutgers.edu:8080/data/asl-ftp/asllvd/demos/verify_start_end_handshape_annotations//test_auto_move//signs_mov/15635.mov" TargetMode="External"/><Relationship Id="rId24384" Type="http://schemas.openxmlformats.org/officeDocument/2006/relationships/hyperlink" Target="http://secrets.rutgers.edu:8080/data/asl-ftp/asllvd/demos/verify_start_end_handshape_annotations//test_auto_move//signs_mov_separ_signers/Brady_15635.mov" TargetMode="External"/><Relationship Id="rId24385" Type="http://schemas.openxmlformats.org/officeDocument/2006/relationships/hyperlink" Target="http://csr.bu.edu/ftp/asl/asllvd/demos/verify_start_end_handshape_annotations//test_auto_move//signs_mov/4650.mov" TargetMode="External"/><Relationship Id="rId24386" Type="http://schemas.openxmlformats.org/officeDocument/2006/relationships/hyperlink" Target="http://csr.bu.edu/ftp/asl/asllvd/demos/verify_start_end_handshape_annotations//test_auto_move//signs_mov_separ_signers/Liz_4650.mov" TargetMode="External"/><Relationship Id="rId24387" Type="http://schemas.openxmlformats.org/officeDocument/2006/relationships/hyperlink" Target="http://secrets.rutgers.edu:8080/data/asl-ftp/asllvd/demos/verify_start_end_handshape_annotations//test_auto_move//signs_mov/4650.mov" TargetMode="External"/><Relationship Id="rId24388" Type="http://schemas.openxmlformats.org/officeDocument/2006/relationships/hyperlink" Target="http://secrets.rutgers.edu:8080/data/asl-ftp/asllvd/demos/verify_start_end_handshape_annotations//test_auto_move//signs_mov_separ_signers/Liz_4650.mov" TargetMode="External"/><Relationship Id="rId24389" Type="http://schemas.openxmlformats.org/officeDocument/2006/relationships/hyperlink" Target="http://csr.bu.edu/ftp/asl/asllvd/demos/verify_start_end_handshape_annotations//test_auto_move//signs_mov_separ_signers/Brady_4650.mov" TargetMode="External"/><Relationship Id="rId24390" Type="http://schemas.openxmlformats.org/officeDocument/2006/relationships/hyperlink" Target="http://secrets.rutgers.edu:8080/data/asl-ftp/asllvd/demos/verify_start_end_handshape_annotations//test_auto_move//signs_mov_separ_signers/Brady_4650.mov" TargetMode="External"/><Relationship Id="rId24391" Type="http://schemas.openxmlformats.org/officeDocument/2006/relationships/hyperlink" Target="http://csr.bu.edu/ftp/asl/asllvd/demos/verify_start_end_handshape_annotations//test_auto_move//signs_mov_separ_signers/Liz_927.mov" TargetMode="External"/><Relationship Id="rId24392" Type="http://schemas.openxmlformats.org/officeDocument/2006/relationships/hyperlink" Target="http://secrets.rutgers.edu:8080/data/asl-ftp/asllvd/demos/verify_start_end_handshape_annotations//test_auto_move//signs_mov_separ_signers/Liz_927.mov" TargetMode="External"/><Relationship Id="rId24393" Type="http://schemas.openxmlformats.org/officeDocument/2006/relationships/hyperlink" Target="http://csr.bu.edu/ftp/asl/asllvd/demos/verify_start_end_handshape_annotations//test_auto_move//signs_mov/927.mov" TargetMode="External"/><Relationship Id="rId24394" Type="http://schemas.openxmlformats.org/officeDocument/2006/relationships/hyperlink" Target="http://csr.bu.edu/ftp/asl/asllvd/demos/verify_start_end_handshape_annotations//test_auto_move//signs_mov_separ_signers/Tyler_927.mov" TargetMode="External"/><Relationship Id="rId24395" Type="http://schemas.openxmlformats.org/officeDocument/2006/relationships/hyperlink" Target="http://secrets.rutgers.edu:8080/data/asl-ftp/asllvd/demos/verify_start_end_handshape_annotations//test_auto_move//signs_mov/927.mov" TargetMode="External"/><Relationship Id="rId24396" Type="http://schemas.openxmlformats.org/officeDocument/2006/relationships/hyperlink" Target="http://secrets.rutgers.edu:8080/data/asl-ftp/asllvd/demos/verify_start_end_handshape_annotations//test_auto_move//signs_mov_separ_signers/Tyler_927.mov" TargetMode="External"/><Relationship Id="rId24397" Type="http://schemas.openxmlformats.org/officeDocument/2006/relationships/hyperlink" Target="http://csr.bu.edu/ftp/asl/asllvd/demos/verify_start_end_handshape_annotations//test_auto_move//signs_mov_separ_signers/Naomi_927.mov" TargetMode="External"/><Relationship Id="rId24398" Type="http://schemas.openxmlformats.org/officeDocument/2006/relationships/hyperlink" Target="http://secrets.rutgers.edu:8080/data/asl-ftp/asllvd/demos/verify_start_end_handshape_annotations//test_auto_move//signs_mov_separ_signers/Naomi_927.mov" TargetMode="External"/><Relationship Id="rId24399" Type="http://schemas.openxmlformats.org/officeDocument/2006/relationships/hyperlink" Target="http://csr.bu.edu/ftp/asl/asllvd/demos/verify_start_end_handshape_annotations//test_auto_move//signs_mov_separ_signers/Brady_927.mov" TargetMode="External"/><Relationship Id="rId24400" Type="http://schemas.openxmlformats.org/officeDocument/2006/relationships/hyperlink" Target="http://secrets.rutgers.edu:8080/data/asl-ftp/asllvd/demos/verify_start_end_handshape_annotations//test_auto_move//signs_mov_separ_signers/Brady_927.mov" TargetMode="External"/><Relationship Id="rId24401" Type="http://schemas.openxmlformats.org/officeDocument/2006/relationships/hyperlink" Target="http://csr.bu.edu/ftp/asl/asllvd/demos/verify_start_end_handshape_annotations//test_auto_move//signs_mov_separ_signers/Liz_938.mov" TargetMode="External"/><Relationship Id="rId24402" Type="http://schemas.openxmlformats.org/officeDocument/2006/relationships/hyperlink" Target="http://secrets.rutgers.edu:8080/data/asl-ftp/asllvd/demos/verify_start_end_handshape_annotations//test_auto_move//signs_mov_separ_signers/Liz_938.mov" TargetMode="External"/><Relationship Id="rId24403" Type="http://schemas.openxmlformats.org/officeDocument/2006/relationships/hyperlink" Target="http://csr.bu.edu/ftp/asl/asllvd/demos/verify_start_end_handshape_annotations//test_auto_move//signs_mov/938.mov" TargetMode="External"/><Relationship Id="rId24404" Type="http://schemas.openxmlformats.org/officeDocument/2006/relationships/hyperlink" Target="http://csr.bu.edu/ftp/asl/asllvd/demos/verify_start_end_handshape_annotations//test_auto_move//signs_mov_separ_signers/Tyler_938.mov" TargetMode="External"/><Relationship Id="rId24405" Type="http://schemas.openxmlformats.org/officeDocument/2006/relationships/hyperlink" Target="http://secrets.rutgers.edu:8080/data/asl-ftp/asllvd/demos/verify_start_end_handshape_annotations//test_auto_move//signs_mov/938.mov" TargetMode="External"/><Relationship Id="rId24406" Type="http://schemas.openxmlformats.org/officeDocument/2006/relationships/hyperlink" Target="http://secrets.rutgers.edu:8080/data/asl-ftp/asllvd/demos/verify_start_end_handshape_annotations//test_auto_move//signs_mov_separ_signers/Tyler_938.mov" TargetMode="External"/><Relationship Id="rId24407" Type="http://schemas.openxmlformats.org/officeDocument/2006/relationships/hyperlink" Target="http://csr.bu.edu/ftp/asl/asllvd/demos/verify_start_end_handshape_annotations//test_auto_move//signs_mov_separ_signers/Naomi_938.mov" TargetMode="External"/><Relationship Id="rId24408" Type="http://schemas.openxmlformats.org/officeDocument/2006/relationships/hyperlink" Target="http://secrets.rutgers.edu:8080/data/asl-ftp/asllvd/demos/verify_start_end_handshape_annotations//test_auto_move//signs_mov_separ_signers/Naomi_938.mov" TargetMode="External"/><Relationship Id="rId24409" Type="http://schemas.openxmlformats.org/officeDocument/2006/relationships/hyperlink" Target="http://csr.bu.edu/ftp/asl/asllvd/demos/verify_start_end_handshape_annotations//test_auto_move//signs_mov/4730.mov" TargetMode="External"/><Relationship Id="rId24410" Type="http://schemas.openxmlformats.org/officeDocument/2006/relationships/hyperlink" Target="http://csr.bu.edu/ftp/asl/asllvd/demos/verify_start_end_handshape_annotations//test_auto_move//signs_mov_separ_signers/Brady_4730.mov" TargetMode="External"/><Relationship Id="rId24411" Type="http://schemas.openxmlformats.org/officeDocument/2006/relationships/hyperlink" Target="http://secrets.rutgers.edu:8080/data/asl-ftp/asllvd/demos/verify_start_end_handshape_annotations//test_auto_move//signs_mov/4730.mov" TargetMode="External"/><Relationship Id="rId24412" Type="http://schemas.openxmlformats.org/officeDocument/2006/relationships/hyperlink" Target="http://secrets.rutgers.edu:8080/data/asl-ftp/asllvd/demos/verify_start_end_handshape_annotations//test_auto_move//signs_mov_separ_signers/Brady_4730.mov" TargetMode="External"/><Relationship Id="rId24413" Type="http://schemas.openxmlformats.org/officeDocument/2006/relationships/hyperlink" Target="http://csr.bu.edu/ftp/asl/asllvd/demos/verify_start_end_handshape_annotations//test_auto_move//signs_mov_separ_signers/Liz_973.mov" TargetMode="External"/><Relationship Id="rId24414" Type="http://schemas.openxmlformats.org/officeDocument/2006/relationships/hyperlink" Target="http://secrets.rutgers.edu:8080/data/asl-ftp/asllvd/demos/verify_start_end_handshape_annotations//test_auto_move//signs_mov_separ_signers/Liz_973.mov" TargetMode="External"/><Relationship Id="rId24415" Type="http://schemas.openxmlformats.org/officeDocument/2006/relationships/hyperlink" Target="http://csr.bu.edu/ftp/asl/asllvd/demos/verify_start_end_handshape_annotations//test_auto_move//signs_mov/973.mov" TargetMode="External"/><Relationship Id="rId24416" Type="http://schemas.openxmlformats.org/officeDocument/2006/relationships/hyperlink" Target="http://csr.bu.edu/ftp/asl/asllvd/demos/verify_start_end_handshape_annotations//test_auto_move//signs_mov_separ_signers/Tyler_973.mov" TargetMode="External"/><Relationship Id="rId24417" Type="http://schemas.openxmlformats.org/officeDocument/2006/relationships/hyperlink" Target="http://secrets.rutgers.edu:8080/data/asl-ftp/asllvd/demos/verify_start_end_handshape_annotations//test_auto_move//signs_mov/973.mov" TargetMode="External"/><Relationship Id="rId24418" Type="http://schemas.openxmlformats.org/officeDocument/2006/relationships/hyperlink" Target="http://secrets.rutgers.edu:8080/data/asl-ftp/asllvd/demos/verify_start_end_handshape_annotations//test_auto_move//signs_mov_separ_signers/Tyler_973.mov" TargetMode="External"/><Relationship Id="rId24419" Type="http://schemas.openxmlformats.org/officeDocument/2006/relationships/hyperlink" Target="http://csr.bu.edu/ftp/asl/asllvd/demos/verify_start_end_handshape_annotations//test_auto_move//signs_mov_separ_signers/Brady_973.mov" TargetMode="External"/><Relationship Id="rId24420" Type="http://schemas.openxmlformats.org/officeDocument/2006/relationships/hyperlink" Target="http://secrets.rutgers.edu:8080/data/asl-ftp/asllvd/demos/verify_start_end_handshape_annotations//test_auto_move//signs_mov_separ_signers/Brady_973.mov" TargetMode="External"/><Relationship Id="rId24421" Type="http://schemas.openxmlformats.org/officeDocument/2006/relationships/hyperlink" Target="http://csr.bu.edu/ftp/asl/asllvd/demos/verify_start_end_handshape_annotations//test_auto_move//signs_mov_separ_signers/Liz_976.mov" TargetMode="External"/><Relationship Id="rId24422" Type="http://schemas.openxmlformats.org/officeDocument/2006/relationships/hyperlink" Target="http://secrets.rutgers.edu:8080/data/asl-ftp/asllvd/demos/verify_start_end_handshape_annotations//test_auto_move//signs_mov_separ_signers/Liz_976.mov" TargetMode="External"/><Relationship Id="rId24423" Type="http://schemas.openxmlformats.org/officeDocument/2006/relationships/hyperlink" Target="http://csr.bu.edu/ftp/asl/asllvd/demos/verify_start_end_handshape_annotations//test_auto_move//signs_mov/976.mov" TargetMode="External"/><Relationship Id="rId24424" Type="http://schemas.openxmlformats.org/officeDocument/2006/relationships/hyperlink" Target="http://csr.bu.edu/ftp/asl/asllvd/demos/verify_start_end_handshape_annotations//test_auto_move//signs_mov_separ_signers/Tyler_976.mov" TargetMode="External"/><Relationship Id="rId24425" Type="http://schemas.openxmlformats.org/officeDocument/2006/relationships/hyperlink" Target="http://secrets.rutgers.edu:8080/data/asl-ftp/asllvd/demos/verify_start_end_handshape_annotations//test_auto_move//signs_mov/976.mov" TargetMode="External"/><Relationship Id="rId24426" Type="http://schemas.openxmlformats.org/officeDocument/2006/relationships/hyperlink" Target="http://secrets.rutgers.edu:8080/data/asl-ftp/asllvd/demos/verify_start_end_handshape_annotations//test_auto_move//signs_mov_separ_signers/Tyler_976.mov" TargetMode="External"/><Relationship Id="rId24427" Type="http://schemas.openxmlformats.org/officeDocument/2006/relationships/hyperlink" Target="http://csr.bu.edu/ftp/asl/asllvd/demos/verify_start_end_handshape_annotations//test_auto_move//signs_mov_separ_signers/Naomi_976.mov" TargetMode="External"/><Relationship Id="rId24428" Type="http://schemas.openxmlformats.org/officeDocument/2006/relationships/hyperlink" Target="http://secrets.rutgers.edu:8080/data/asl-ftp/asllvd/demos/verify_start_end_handshape_annotations//test_auto_move//signs_mov_separ_signers/Naomi_976.mov" TargetMode="External"/><Relationship Id="rId24429" Type="http://schemas.openxmlformats.org/officeDocument/2006/relationships/hyperlink" Target="http://csr.bu.edu/ftp/asl/asllvd/demos/verify_start_end_handshape_annotations//test_auto_move//signs_mov_separ_signers/Brady_976.mov" TargetMode="External"/><Relationship Id="rId24430" Type="http://schemas.openxmlformats.org/officeDocument/2006/relationships/hyperlink" Target="http://secrets.rutgers.edu:8080/data/asl-ftp/asllvd/demos/verify_start_end_handshape_annotations//test_auto_move//signs_mov_separ_signers/Brady_976.mov" TargetMode="External"/><Relationship Id="rId24431" Type="http://schemas.openxmlformats.org/officeDocument/2006/relationships/hyperlink" Target="http://csr.bu.edu/ftp/asl/asllvd/demos/verify_start_end_handshape_annotations//test_auto_move//signs_mov_separ_signers/Liz_986.mov" TargetMode="External"/><Relationship Id="rId24432" Type="http://schemas.openxmlformats.org/officeDocument/2006/relationships/hyperlink" Target="http://secrets.rutgers.edu:8080/data/asl-ftp/asllvd/demos/verify_start_end_handshape_annotations//test_auto_move//signs_mov_separ_signers/Liz_986.mov" TargetMode="External"/><Relationship Id="rId24433" Type="http://schemas.openxmlformats.org/officeDocument/2006/relationships/hyperlink" Target="http://csr.bu.edu/ftp/asl/asllvd/demos/verify_start_end_handshape_annotations//test_auto_move//signs_mov_separ_signers/Tyler_986.mov" TargetMode="External"/><Relationship Id="rId24434" Type="http://schemas.openxmlformats.org/officeDocument/2006/relationships/hyperlink" Target="http://secrets.rutgers.edu:8080/data/asl-ftp/asllvd/demos/verify_start_end_handshape_annotations//test_auto_move//signs_mov_separ_signers/Tyler_986.mov" TargetMode="External"/><Relationship Id="rId24435" Type="http://schemas.openxmlformats.org/officeDocument/2006/relationships/hyperlink" Target="http://csr.bu.edu/ftp/asl/asllvd/demos/verify_start_end_handshape_annotations//test_auto_move//signs_mov/986.mov" TargetMode="External"/><Relationship Id="rId24436" Type="http://schemas.openxmlformats.org/officeDocument/2006/relationships/hyperlink" Target="http://csr.bu.edu/ftp/asl/asllvd/demos/verify_start_end_handshape_annotations//test_auto_move//signs_mov_separ_signers/Naomi_986.mov" TargetMode="External"/><Relationship Id="rId24437" Type="http://schemas.openxmlformats.org/officeDocument/2006/relationships/hyperlink" Target="http://secrets.rutgers.edu:8080/data/asl-ftp/asllvd/demos/verify_start_end_handshape_annotations//test_auto_move//signs_mov/986.mov" TargetMode="External"/><Relationship Id="rId24438" Type="http://schemas.openxmlformats.org/officeDocument/2006/relationships/hyperlink" Target="http://secrets.rutgers.edu:8080/data/asl-ftp/asllvd/demos/verify_start_end_handshape_annotations//test_auto_move//signs_mov_separ_signers/Naomi_986.mov" TargetMode="External"/><Relationship Id="rId24439" Type="http://schemas.openxmlformats.org/officeDocument/2006/relationships/hyperlink" Target="http://csr.bu.edu/ftp/asl/asllvd/demos/verify_start_end_handshape_annotations//test_auto_move//signs_mov_separ_signers/Brady_986.mov" TargetMode="External"/><Relationship Id="rId24440" Type="http://schemas.openxmlformats.org/officeDocument/2006/relationships/hyperlink" Target="http://secrets.rutgers.edu:8080/data/asl-ftp/asllvd/demos/verify_start_end_handshape_annotations//test_auto_move//signs_mov_separ_signers/Brady_986.mov" TargetMode="External"/><Relationship Id="rId24441" Type="http://schemas.openxmlformats.org/officeDocument/2006/relationships/hyperlink" Target="http://csr.bu.edu/ftp/asl/asllvd/demos/verify_start_end_handshape_annotations//test_auto_move//signs_mov_separ_signers/Dana_986.mov" TargetMode="External"/><Relationship Id="rId24442" Type="http://schemas.openxmlformats.org/officeDocument/2006/relationships/hyperlink" Target="http://secrets.rutgers.edu:8080/data/asl-ftp/asllvd/demos/verify_start_end_handshape_annotations//test_auto_move//signs_mov_separ_signers/Dana_986.mov" TargetMode="External"/><Relationship Id="rId24443" Type="http://schemas.openxmlformats.org/officeDocument/2006/relationships/hyperlink" Target="http://csr.bu.edu/ftp/asl/asllvd/demos/verify_start_end_handshape_annotations//test_auto_move//signs_mov/16204.mov" TargetMode="External"/><Relationship Id="rId24444" Type="http://schemas.openxmlformats.org/officeDocument/2006/relationships/hyperlink" Target="http://csr.bu.edu/ftp/asl/asllvd/demos/verify_start_end_handshape_annotations//test_auto_move//signs_mov_separ_signers/Lana_16204.mov" TargetMode="External"/><Relationship Id="rId24445" Type="http://schemas.openxmlformats.org/officeDocument/2006/relationships/hyperlink" Target="http://secrets.rutgers.edu:8080/data/asl-ftp/asllvd/demos/verify_start_end_handshape_annotations//test_auto_move//signs_mov/16204.mov" TargetMode="External"/><Relationship Id="rId24446" Type="http://schemas.openxmlformats.org/officeDocument/2006/relationships/hyperlink" Target="http://secrets.rutgers.edu:8080/data/asl-ftp/asllvd/demos/verify_start_end_handshape_annotations//test_auto_move//signs_mov_separ_signers/Lana_16204.mov" TargetMode="External"/><Relationship Id="rId24447" Type="http://schemas.openxmlformats.org/officeDocument/2006/relationships/hyperlink" Target="http://csr.bu.edu/ftp/asl/asllvd/demos/verify_start_end_handshape_annotations//test_auto_move//signs_mov/1017.mov" TargetMode="External"/><Relationship Id="rId24448" Type="http://schemas.openxmlformats.org/officeDocument/2006/relationships/hyperlink" Target="http://csr.bu.edu/ftp/asl/asllvd/demos/verify_start_end_handshape_annotations//test_auto_move//signs_mov_separ_signers/Liz_1017.mov" TargetMode="External"/><Relationship Id="rId24449" Type="http://schemas.openxmlformats.org/officeDocument/2006/relationships/hyperlink" Target="http://secrets.rutgers.edu:8080/data/asl-ftp/asllvd/demos/verify_start_end_handshape_annotations//test_auto_move//signs_mov/1017.mov" TargetMode="External"/><Relationship Id="rId24450" Type="http://schemas.openxmlformats.org/officeDocument/2006/relationships/hyperlink" Target="http://secrets.rutgers.edu:8080/data/asl-ftp/asllvd/demos/verify_start_end_handshape_annotations//test_auto_move//signs_mov_separ_signers/Liz_1017.mov" TargetMode="External"/><Relationship Id="rId24451" Type="http://schemas.openxmlformats.org/officeDocument/2006/relationships/hyperlink" Target="http://csr.bu.edu/ftp/asl/asllvd/demos/verify_start_end_handshape_annotations//test_auto_move//signs_mov/16374.mov" TargetMode="External"/><Relationship Id="rId24452" Type="http://schemas.openxmlformats.org/officeDocument/2006/relationships/hyperlink" Target="http://csr.bu.edu/ftp/asl/asllvd/demos/verify_start_end_handshape_annotations//test_auto_move//signs_mov_separ_signers/Naomi_16374.mov" TargetMode="External"/><Relationship Id="rId24453" Type="http://schemas.openxmlformats.org/officeDocument/2006/relationships/hyperlink" Target="http://secrets.rutgers.edu:8080/data/asl-ftp/asllvd/demos/verify_start_end_handshape_annotations//test_auto_move//signs_mov/16374.mov" TargetMode="External"/><Relationship Id="rId24454" Type="http://schemas.openxmlformats.org/officeDocument/2006/relationships/hyperlink" Target="http://secrets.rutgers.edu:8080/data/asl-ftp/asllvd/demos/verify_start_end_handshape_annotations//test_auto_move//signs_mov_separ_signers/Naomi_16374.mov" TargetMode="External"/><Relationship Id="rId24455" Type="http://schemas.openxmlformats.org/officeDocument/2006/relationships/hyperlink" Target="http://csr.bu.edu/ftp/asl/asllvd/demos/verify_start_end_handshape_annotations//test_auto_move//signs_mov_separ_signers/Liz_1039.mov" TargetMode="External"/><Relationship Id="rId24456" Type="http://schemas.openxmlformats.org/officeDocument/2006/relationships/hyperlink" Target="http://secrets.rutgers.edu:8080/data/asl-ftp/asllvd/demos/verify_start_end_handshape_annotations//test_auto_move//signs_mov_separ_signers/Liz_1039.mov" TargetMode="External"/><Relationship Id="rId24457" Type="http://schemas.openxmlformats.org/officeDocument/2006/relationships/hyperlink" Target="http://csr.bu.edu/ftp/asl/asllvd/demos/verify_start_end_handshape_annotations//test_auto_move//signs_mov_separ_signers/Tyler_1039.mov" TargetMode="External"/><Relationship Id="rId24458" Type="http://schemas.openxmlformats.org/officeDocument/2006/relationships/hyperlink" Target="http://secrets.rutgers.edu:8080/data/asl-ftp/asllvd/demos/verify_start_end_handshape_annotations//test_auto_move//signs_mov_separ_signers/Tyler_1039.mov" TargetMode="External"/><Relationship Id="rId24459" Type="http://schemas.openxmlformats.org/officeDocument/2006/relationships/hyperlink" Target="http://csr.bu.edu/ftp/asl/asllvd/demos/verify_start_end_handshape_annotations//test_auto_move//signs_mov/1039.mov" TargetMode="External"/><Relationship Id="rId24460" Type="http://schemas.openxmlformats.org/officeDocument/2006/relationships/hyperlink" Target="http://csr.bu.edu/ftp/asl/asllvd/demos/verify_start_end_handshape_annotations//test_auto_move//signs_mov_separ_signers/Naomi_1039.mov" TargetMode="External"/><Relationship Id="rId24461" Type="http://schemas.openxmlformats.org/officeDocument/2006/relationships/hyperlink" Target="http://secrets.rutgers.edu:8080/data/asl-ftp/asllvd/demos/verify_start_end_handshape_annotations//test_auto_move//signs_mov/1039.mov" TargetMode="External"/><Relationship Id="rId24462" Type="http://schemas.openxmlformats.org/officeDocument/2006/relationships/hyperlink" Target="http://secrets.rutgers.edu:8080/data/asl-ftp/asllvd/demos/verify_start_end_handshape_annotations//test_auto_move//signs_mov_separ_signers/Naomi_1039.mov" TargetMode="External"/><Relationship Id="rId24463" Type="http://schemas.openxmlformats.org/officeDocument/2006/relationships/hyperlink" Target="http://csr.bu.edu/ftp/asl/asllvd/demos/verify_start_end_handshape_annotations//test_auto_move//signs_mov_separ_signers/Brady_1039.mov" TargetMode="External"/><Relationship Id="rId24464" Type="http://schemas.openxmlformats.org/officeDocument/2006/relationships/hyperlink" Target="http://secrets.rutgers.edu:8080/data/asl-ftp/asllvd/demos/verify_start_end_handshape_annotations//test_auto_move//signs_mov_separ_signers/Brady_1039.mov" TargetMode="External"/><Relationship Id="rId24465" Type="http://schemas.openxmlformats.org/officeDocument/2006/relationships/hyperlink" Target="http://csr.bu.edu/ftp/asl/asllvd/demos/verify_start_end_handshape_annotations//test_auto_move//signs_mov_separ_signers/Lana_1039.mov" TargetMode="External"/><Relationship Id="rId24466" Type="http://schemas.openxmlformats.org/officeDocument/2006/relationships/hyperlink" Target="http://secrets.rutgers.edu:8080/data/asl-ftp/asllvd/demos/verify_start_end_handshape_annotations//test_auto_move//signs_mov_separ_signers/Lana_1039.mov" TargetMode="External"/><Relationship Id="rId24467" Type="http://schemas.openxmlformats.org/officeDocument/2006/relationships/hyperlink" Target="http://csr.bu.edu/ftp/asl/asllvd/demos/verify_start_end_handshape_annotations//test_auto_move//signs_mov_separ_signers/Dana_1039.mov" TargetMode="External"/><Relationship Id="rId24468" Type="http://schemas.openxmlformats.org/officeDocument/2006/relationships/hyperlink" Target="http://secrets.rutgers.edu:8080/data/asl-ftp/asllvd/demos/verify_start_end_handshape_annotations//test_auto_move//signs_mov_separ_signers/Dana_1039.mov" TargetMode="External"/><Relationship Id="rId24469" Type="http://schemas.openxmlformats.org/officeDocument/2006/relationships/hyperlink" Target="http://csr.bu.edu/ftp/asl/asllvd/demos/verify_start_end_handshape_annotations//test_auto_move//signs_mov_separ_signers/Liz_1071.mov" TargetMode="External"/><Relationship Id="rId24470" Type="http://schemas.openxmlformats.org/officeDocument/2006/relationships/hyperlink" Target="http://secrets.rutgers.edu:8080/data/asl-ftp/asllvd/demos/verify_start_end_handshape_annotations//test_auto_move//signs_mov_separ_signers/Liz_1071.mov" TargetMode="External"/><Relationship Id="rId24471" Type="http://schemas.openxmlformats.org/officeDocument/2006/relationships/hyperlink" Target="http://csr.bu.edu/ftp/asl/asllvd/demos/verify_start_end_handshape_annotations//test_auto_move//signs_mov/1071.mov" TargetMode="External"/><Relationship Id="rId24472" Type="http://schemas.openxmlformats.org/officeDocument/2006/relationships/hyperlink" Target="http://csr.bu.edu/ftp/asl/asllvd/demos/verify_start_end_handshape_annotations//test_auto_move//signs_mov_separ_signers/Tyler_1071.mov" TargetMode="External"/><Relationship Id="rId24473" Type="http://schemas.openxmlformats.org/officeDocument/2006/relationships/hyperlink" Target="http://secrets.rutgers.edu:8080/data/asl-ftp/asllvd/demos/verify_start_end_handshape_annotations//test_auto_move//signs_mov/1071.mov" TargetMode="External"/><Relationship Id="rId24474" Type="http://schemas.openxmlformats.org/officeDocument/2006/relationships/hyperlink" Target="http://secrets.rutgers.edu:8080/data/asl-ftp/asllvd/demos/verify_start_end_handshape_annotations//test_auto_move//signs_mov_separ_signers/Tyler_1071.mov" TargetMode="External"/><Relationship Id="rId24475" Type="http://schemas.openxmlformats.org/officeDocument/2006/relationships/hyperlink" Target="http://csr.bu.edu/ftp/asl/asllvd/demos/verify_start_end_handshape_annotations//test_auto_move//signs_mov_separ_signers/Naomi_1071.mov" TargetMode="External"/><Relationship Id="rId24476" Type="http://schemas.openxmlformats.org/officeDocument/2006/relationships/hyperlink" Target="http://secrets.rutgers.edu:8080/data/asl-ftp/asllvd/demos/verify_start_end_handshape_annotations//test_auto_move//signs_mov_separ_signers/Naomi_1071.mov" TargetMode="External"/><Relationship Id="rId24477" Type="http://schemas.openxmlformats.org/officeDocument/2006/relationships/hyperlink" Target="http://csr.bu.edu/ftp/asl/asllvd/demos/verify_start_end_handshape_annotations//test_auto_move//signs_mov/1072.mov" TargetMode="External"/><Relationship Id="rId24478" Type="http://schemas.openxmlformats.org/officeDocument/2006/relationships/hyperlink" Target="http://csr.bu.edu/ftp/asl/asllvd/demos/verify_start_end_handshape_annotations//test_auto_move//signs_mov_separ_signers/Tyler_1072.mov" TargetMode="External"/><Relationship Id="rId24479" Type="http://schemas.openxmlformats.org/officeDocument/2006/relationships/hyperlink" Target="http://secrets.rutgers.edu:8080/data/asl-ftp/asllvd/demos/verify_start_end_handshape_annotations//test_auto_move//signs_mov/1072.mov" TargetMode="External"/><Relationship Id="rId24480" Type="http://schemas.openxmlformats.org/officeDocument/2006/relationships/hyperlink" Target="http://secrets.rutgers.edu:8080/data/asl-ftp/asllvd/demos/verify_start_end_handshape_annotations//test_auto_move//signs_mov_separ_signers/Tyler_1072.mov" TargetMode="External"/><Relationship Id="rId24481" Type="http://schemas.openxmlformats.org/officeDocument/2006/relationships/hyperlink" Target="http://csr.bu.edu/ftp/asl/asllvd/demos/verify_start_end_handshape_annotations//test_auto_move//signs_mov_separ_signers/Naomi_1072.mov" TargetMode="External"/><Relationship Id="rId24482" Type="http://schemas.openxmlformats.org/officeDocument/2006/relationships/hyperlink" Target="http://secrets.rutgers.edu:8080/data/asl-ftp/asllvd/demos/verify_start_end_handshape_annotations//test_auto_move//signs_mov_separ_signers/Naomi_1072.mov" TargetMode="External"/><Relationship Id="rId24483" Type="http://schemas.openxmlformats.org/officeDocument/2006/relationships/hyperlink" Target="http://csr.bu.edu/ftp/asl/asllvd/demos/verify_start_end_handshape_annotations//test_auto_move//signs_mov/15081.mov" TargetMode="External"/><Relationship Id="rId24484" Type="http://schemas.openxmlformats.org/officeDocument/2006/relationships/hyperlink" Target="http://csr.bu.edu/ftp/asl/asllvd/demos/verify_start_end_handshape_annotations//test_auto_move//signs_mov_separ_signers/Liz_15081.mov" TargetMode="External"/><Relationship Id="rId24485" Type="http://schemas.openxmlformats.org/officeDocument/2006/relationships/hyperlink" Target="http://secrets.rutgers.edu:8080/data/asl-ftp/asllvd/demos/verify_start_end_handshape_annotations//test_auto_move//signs_mov/15081.mov" TargetMode="External"/><Relationship Id="rId24486" Type="http://schemas.openxmlformats.org/officeDocument/2006/relationships/hyperlink" Target="http://secrets.rutgers.edu:8080/data/asl-ftp/asllvd/demos/verify_start_end_handshape_annotations//test_auto_move//signs_mov_separ_signers/Liz_15081.mov" TargetMode="External"/><Relationship Id="rId24487" Type="http://schemas.openxmlformats.org/officeDocument/2006/relationships/hyperlink" Target="http://csr.bu.edu/ftp/asl/asllvd/demos/verify_start_end_handshape_annotations//test_auto_move//signs_mov_separ_signers/Liz_16524.mov" TargetMode="External"/><Relationship Id="rId24488" Type="http://schemas.openxmlformats.org/officeDocument/2006/relationships/hyperlink" Target="http://secrets.rutgers.edu:8080/data/asl-ftp/asllvd/demos/verify_start_end_handshape_annotations//test_auto_move//signs_mov_separ_signers/Liz_16524.mov" TargetMode="External"/><Relationship Id="rId24489" Type="http://schemas.openxmlformats.org/officeDocument/2006/relationships/hyperlink" Target="http://csr.bu.edu/ftp/asl/asllvd/demos/verify_start_end_handshape_annotations//test_auto_move//signs_mov/16524.mov" TargetMode="External"/><Relationship Id="rId24490" Type="http://schemas.openxmlformats.org/officeDocument/2006/relationships/hyperlink" Target="http://csr.bu.edu/ftp/asl/asllvd/demos/verify_start_end_handshape_annotations//test_auto_move//signs_mov_separ_signers/Tyler_16524.mov" TargetMode="External"/><Relationship Id="rId24491" Type="http://schemas.openxmlformats.org/officeDocument/2006/relationships/hyperlink" Target="http://secrets.rutgers.edu:8080/data/asl-ftp/asllvd/demos/verify_start_end_handshape_annotations//test_auto_move//signs_mov/16524.mov" TargetMode="External"/><Relationship Id="rId24492" Type="http://schemas.openxmlformats.org/officeDocument/2006/relationships/hyperlink" Target="http://secrets.rutgers.edu:8080/data/asl-ftp/asllvd/demos/verify_start_end_handshape_annotations//test_auto_move//signs_mov_separ_signers/Tyler_16524.mov" TargetMode="External"/><Relationship Id="rId24493" Type="http://schemas.openxmlformats.org/officeDocument/2006/relationships/hyperlink" Target="http://csr.bu.edu/ftp/asl/asllvd/demos/verify_start_end_handshape_annotations//test_auto_move//signs_mov_separ_signers/Naomi_16524.mov" TargetMode="External"/><Relationship Id="rId24494" Type="http://schemas.openxmlformats.org/officeDocument/2006/relationships/hyperlink" Target="http://secrets.rutgers.edu:8080/data/asl-ftp/asllvd/demos/verify_start_end_handshape_annotations//test_auto_move//signs_mov_separ_signers/Naomi_16524.mov" TargetMode="External"/><Relationship Id="rId24495" Type="http://schemas.openxmlformats.org/officeDocument/2006/relationships/hyperlink" Target="http://csr.bu.edu/ftp/asl/asllvd/demos/verify_start_end_handshape_annotations//test_auto_move//signs_mov/1074.mov" TargetMode="External"/><Relationship Id="rId24496" Type="http://schemas.openxmlformats.org/officeDocument/2006/relationships/hyperlink" Target="http://csr.bu.edu/ftp/asl/asllvd/demos/verify_start_end_handshape_annotations//test_auto_move//signs_mov_separ_signers/Tyler_1074.mov" TargetMode="External"/><Relationship Id="rId24497" Type="http://schemas.openxmlformats.org/officeDocument/2006/relationships/hyperlink" Target="http://secrets.rutgers.edu:8080/data/asl-ftp/asllvd/demos/verify_start_end_handshape_annotations//test_auto_move//signs_mov/1074.mov" TargetMode="External"/><Relationship Id="rId24498" Type="http://schemas.openxmlformats.org/officeDocument/2006/relationships/hyperlink" Target="http://secrets.rutgers.edu:8080/data/asl-ftp/asllvd/demos/verify_start_end_handshape_annotations//test_auto_move//signs_mov_separ_signers/Tyler_1074.mov" TargetMode="External"/><Relationship Id="rId24499" Type="http://schemas.openxmlformats.org/officeDocument/2006/relationships/hyperlink" Target="http://csr.bu.edu/ftp/asl/asllvd/demos/verify_start_end_handshape_annotations//test_auto_move//signs_mov/16525.mov" TargetMode="External"/><Relationship Id="rId24500" Type="http://schemas.openxmlformats.org/officeDocument/2006/relationships/hyperlink" Target="http://csr.bu.edu/ftp/asl/asllvd/demos/verify_start_end_handshape_annotations//test_auto_move//signs_mov_separ_signers/Liz_16525.mov" TargetMode="External"/><Relationship Id="rId24501" Type="http://schemas.openxmlformats.org/officeDocument/2006/relationships/hyperlink" Target="http://secrets.rutgers.edu:8080/data/asl-ftp/asllvd/demos/verify_start_end_handshape_annotations//test_auto_move//signs_mov/16525.mov" TargetMode="External"/><Relationship Id="rId24502" Type="http://schemas.openxmlformats.org/officeDocument/2006/relationships/hyperlink" Target="http://secrets.rutgers.edu:8080/data/asl-ftp/asllvd/demos/verify_start_end_handshape_annotations//test_auto_move//signs_mov_separ_signers/Liz_16525.mov" TargetMode="External"/><Relationship Id="rId24503" Type="http://schemas.openxmlformats.org/officeDocument/2006/relationships/hyperlink" Target="http://csr.bu.edu/ftp/asl/asllvd/demos/verify_start_end_handshape_annotations//test_auto_move//signs_mov_separ_signers/Naomi_16525.mov" TargetMode="External"/><Relationship Id="rId24504" Type="http://schemas.openxmlformats.org/officeDocument/2006/relationships/hyperlink" Target="http://secrets.rutgers.edu:8080/data/asl-ftp/asllvd/demos/verify_start_end_handshape_annotations//test_auto_move//signs_mov_separ_signers/Naomi_16525.mov" TargetMode="External"/><Relationship Id="rId24505" Type="http://schemas.openxmlformats.org/officeDocument/2006/relationships/hyperlink" Target="http://csr.bu.edu/ftp/asl/asllvd/demos/verify_start_end_handshape_annotations//test_auto_move//signs_mov_separ_signers/Liz_1096.mov" TargetMode="External"/><Relationship Id="rId24506" Type="http://schemas.openxmlformats.org/officeDocument/2006/relationships/hyperlink" Target="http://secrets.rutgers.edu:8080/data/asl-ftp/asllvd/demos/verify_start_end_handshape_annotations//test_auto_move//signs_mov_separ_signers/Liz_1096.mov" TargetMode="External"/><Relationship Id="rId24507" Type="http://schemas.openxmlformats.org/officeDocument/2006/relationships/hyperlink" Target="http://csr.bu.edu/ftp/asl/asllvd/demos/verify_start_end_handshape_annotations//test_auto_move//signs_mov/1096.mov" TargetMode="External"/><Relationship Id="rId24508" Type="http://schemas.openxmlformats.org/officeDocument/2006/relationships/hyperlink" Target="http://csr.bu.edu/ftp/asl/asllvd/demos/verify_start_end_handshape_annotations//test_auto_move//signs_mov_separ_signers/Naomi_1096.mov" TargetMode="External"/><Relationship Id="rId24509" Type="http://schemas.openxmlformats.org/officeDocument/2006/relationships/hyperlink" Target="http://secrets.rutgers.edu:8080/data/asl-ftp/asllvd/demos/verify_start_end_handshape_annotations//test_auto_move//signs_mov/1096.mov" TargetMode="External"/><Relationship Id="rId24510" Type="http://schemas.openxmlformats.org/officeDocument/2006/relationships/hyperlink" Target="http://secrets.rutgers.edu:8080/data/asl-ftp/asllvd/demos/verify_start_end_handshape_annotations//test_auto_move//signs_mov_separ_signers/Naomi_1096.mov" TargetMode="External"/><Relationship Id="rId24511" Type="http://schemas.openxmlformats.org/officeDocument/2006/relationships/hyperlink" Target="http://csr.bu.edu/ftp/asl/asllvd/demos/verify_start_end_handshape_annotations//test_auto_move//signs_mov_separ_signers/Brady_1096.mov" TargetMode="External"/><Relationship Id="rId24512" Type="http://schemas.openxmlformats.org/officeDocument/2006/relationships/hyperlink" Target="http://secrets.rutgers.edu:8080/data/asl-ftp/asllvd/demos/verify_start_end_handshape_annotations//test_auto_move//signs_mov_separ_signers/Brady_1096.mov" TargetMode="External"/><Relationship Id="rId24513" Type="http://schemas.openxmlformats.org/officeDocument/2006/relationships/hyperlink" Target="http://csr.bu.edu/ftp/asl/asllvd/demos/verify_start_end_handshape_annotations//test_auto_move//signs_mov/3026.mov" TargetMode="External"/><Relationship Id="rId24514" Type="http://schemas.openxmlformats.org/officeDocument/2006/relationships/hyperlink" Target="http://csr.bu.edu/ftp/asl/asllvd/demos/verify_start_end_handshape_annotations//test_auto_move//signs_mov_separ_signers/Tyler_3026.mov" TargetMode="External"/><Relationship Id="rId24515" Type="http://schemas.openxmlformats.org/officeDocument/2006/relationships/hyperlink" Target="http://secrets.rutgers.edu:8080/data/asl-ftp/asllvd/demos/verify_start_end_handshape_annotations//test_auto_move//signs_mov/3026.mov" TargetMode="External"/><Relationship Id="rId24516" Type="http://schemas.openxmlformats.org/officeDocument/2006/relationships/hyperlink" Target="http://secrets.rutgers.edu:8080/data/asl-ftp/asllvd/demos/verify_start_end_handshape_annotations//test_auto_move//signs_mov_separ_signers/Tyler_3026.mov" TargetMode="External"/><Relationship Id="rId24517" Type="http://schemas.openxmlformats.org/officeDocument/2006/relationships/hyperlink" Target="http://csr.bu.edu/ftp/asl/asllvd/demos/verify_start_end_handshape_annotations//test_auto_move//signs_mov_separ_signers/Brady_3026.mov" TargetMode="External"/><Relationship Id="rId24518" Type="http://schemas.openxmlformats.org/officeDocument/2006/relationships/hyperlink" Target="http://secrets.rutgers.edu:8080/data/asl-ftp/asllvd/demos/verify_start_end_handshape_annotations//test_auto_move//signs_mov_separ_signers/Brady_3026.mov" TargetMode="External"/><Relationship Id="rId24519" Type="http://schemas.openxmlformats.org/officeDocument/2006/relationships/hyperlink" Target="http://csr.bu.edu/ftp/asl/asllvd/demos/verify_start_end_handshape_annotations//test_auto_move//signs_mov_separ_signers/Liz_1101.mov" TargetMode="External"/><Relationship Id="rId24520" Type="http://schemas.openxmlformats.org/officeDocument/2006/relationships/hyperlink" Target="http://secrets.rutgers.edu:8080/data/asl-ftp/asllvd/demos/verify_start_end_handshape_annotations//test_auto_move//signs_mov_separ_signers/Liz_1101.mov" TargetMode="External"/><Relationship Id="rId24521" Type="http://schemas.openxmlformats.org/officeDocument/2006/relationships/hyperlink" Target="http://csr.bu.edu/ftp/asl/asllvd/demos/verify_start_end_handshape_annotations//test_auto_move//signs_mov/1101.mov" TargetMode="External"/><Relationship Id="rId24522" Type="http://schemas.openxmlformats.org/officeDocument/2006/relationships/hyperlink" Target="http://csr.bu.edu/ftp/asl/asllvd/demos/verify_start_end_handshape_annotations//test_auto_move//signs_mov_separ_signers/Naomi_1101.mov" TargetMode="External"/><Relationship Id="rId24523" Type="http://schemas.openxmlformats.org/officeDocument/2006/relationships/hyperlink" Target="http://secrets.rutgers.edu:8080/data/asl-ftp/asllvd/demos/verify_start_end_handshape_annotations//test_auto_move//signs_mov/1101.mov" TargetMode="External"/><Relationship Id="rId24524" Type="http://schemas.openxmlformats.org/officeDocument/2006/relationships/hyperlink" Target="http://secrets.rutgers.edu:8080/data/asl-ftp/asllvd/demos/verify_start_end_handshape_annotations//test_auto_move//signs_mov_separ_signers/Naomi_1101.mov" TargetMode="External"/><Relationship Id="rId24525" Type="http://schemas.openxmlformats.org/officeDocument/2006/relationships/hyperlink" Target="http://csr.bu.edu/ftp/asl/asllvd/demos/verify_start_end_handshape_annotations//test_auto_move//signs_mov_separ_signers/Brady_1101.mov" TargetMode="External"/><Relationship Id="rId24526" Type="http://schemas.openxmlformats.org/officeDocument/2006/relationships/hyperlink" Target="http://secrets.rutgers.edu:8080/data/asl-ftp/asllvd/demos/verify_start_end_handshape_annotations//test_auto_move//signs_mov_separ_signers/Brady_1101.mov" TargetMode="External"/><Relationship Id="rId24527" Type="http://schemas.openxmlformats.org/officeDocument/2006/relationships/hyperlink" Target="http://csr.bu.edu/ftp/asl/asllvd/demos/verify_start_end_handshape_annotations//test_auto_move//signs_mov_separ_signers/Liz_1109.mov" TargetMode="External"/><Relationship Id="rId24528" Type="http://schemas.openxmlformats.org/officeDocument/2006/relationships/hyperlink" Target="http://secrets.rutgers.edu:8080/data/asl-ftp/asllvd/demos/verify_start_end_handshape_annotations//test_auto_move//signs_mov_separ_signers/Liz_1109.mov" TargetMode="External"/><Relationship Id="rId24529" Type="http://schemas.openxmlformats.org/officeDocument/2006/relationships/hyperlink" Target="http://csr.bu.edu/ftp/asl/asllvd/demos/verify_start_end_handshape_annotations//test_auto_move//signs_mov/1109.mov" TargetMode="External"/><Relationship Id="rId24530" Type="http://schemas.openxmlformats.org/officeDocument/2006/relationships/hyperlink" Target="http://csr.bu.edu/ftp/asl/asllvd/demos/verify_start_end_handshape_annotations//test_auto_move//signs_mov_separ_signers/Naomi_1109.mov" TargetMode="External"/><Relationship Id="rId24531" Type="http://schemas.openxmlformats.org/officeDocument/2006/relationships/hyperlink" Target="http://secrets.rutgers.edu:8080/data/asl-ftp/asllvd/demos/verify_start_end_handshape_annotations//test_auto_move//signs_mov/1109.mov" TargetMode="External"/><Relationship Id="rId24532" Type="http://schemas.openxmlformats.org/officeDocument/2006/relationships/hyperlink" Target="http://secrets.rutgers.edu:8080/data/asl-ftp/asllvd/demos/verify_start_end_handshape_annotations//test_auto_move//signs_mov_separ_signers/Naomi_1109.mov" TargetMode="External"/><Relationship Id="rId24533" Type="http://schemas.openxmlformats.org/officeDocument/2006/relationships/hyperlink" Target="http://csr.bu.edu/ftp/asl/asllvd/demos/verify_start_end_handshape_annotations//test_auto_move//signs_mov_separ_signers/Brady_1109.mov" TargetMode="External"/><Relationship Id="rId24534" Type="http://schemas.openxmlformats.org/officeDocument/2006/relationships/hyperlink" Target="http://secrets.rutgers.edu:8080/data/asl-ftp/asllvd/demos/verify_start_end_handshape_annotations//test_auto_move//signs_mov_separ_signers/Brady_1109.mov" TargetMode="External"/><Relationship Id="rId24535" Type="http://schemas.openxmlformats.org/officeDocument/2006/relationships/hyperlink" Target="http://csr.bu.edu/ftp/asl/asllvd/demos/verify_start_end_handshape_annotations//test_auto_move//signs_mov/5312.mov" TargetMode="External"/><Relationship Id="rId24536" Type="http://schemas.openxmlformats.org/officeDocument/2006/relationships/hyperlink" Target="http://csr.bu.edu/ftp/asl/asllvd/demos/verify_start_end_handshape_annotations//test_auto_move//signs_mov_separ_signers/Brady_5312.mov" TargetMode="External"/><Relationship Id="rId24537" Type="http://schemas.openxmlformats.org/officeDocument/2006/relationships/hyperlink" Target="http://secrets.rutgers.edu:8080/data/asl-ftp/asllvd/demos/verify_start_end_handshape_annotations//test_auto_move//signs_mov/5312.mov" TargetMode="External"/><Relationship Id="rId24538" Type="http://schemas.openxmlformats.org/officeDocument/2006/relationships/hyperlink" Target="http://secrets.rutgers.edu:8080/data/asl-ftp/asllvd/demos/verify_start_end_handshape_annotations//test_auto_move//signs_mov_separ_signers/Brady_5312.mov" TargetMode="External"/><Relationship Id="rId24539" Type="http://schemas.openxmlformats.org/officeDocument/2006/relationships/hyperlink" Target="http://csr.bu.edu/ftp/asl/asllvd/demos/verify_start_end_handshape_annotations//test_auto_move//signs_mov_separ_signers/Liz_1113.mov" TargetMode="External"/><Relationship Id="rId24540" Type="http://schemas.openxmlformats.org/officeDocument/2006/relationships/hyperlink" Target="http://secrets.rutgers.edu:8080/data/asl-ftp/asllvd/demos/verify_start_end_handshape_annotations//test_auto_move//signs_mov_separ_signers/Liz_1113.mov" TargetMode="External"/><Relationship Id="rId24541" Type="http://schemas.openxmlformats.org/officeDocument/2006/relationships/hyperlink" Target="http://csr.bu.edu/ftp/asl/asllvd/demos/verify_start_end_handshape_annotations//test_auto_move//signs_mov/1113.mov" TargetMode="External"/><Relationship Id="rId24542" Type="http://schemas.openxmlformats.org/officeDocument/2006/relationships/hyperlink" Target="http://csr.bu.edu/ftp/asl/asllvd/demos/verify_start_end_handshape_annotations//test_auto_move//signs_mov_separ_signers/Tyler_1113.mov" TargetMode="External"/><Relationship Id="rId24543" Type="http://schemas.openxmlformats.org/officeDocument/2006/relationships/hyperlink" Target="http://secrets.rutgers.edu:8080/data/asl-ftp/asllvd/demos/verify_start_end_handshape_annotations//test_auto_move//signs_mov/1113.mov" TargetMode="External"/><Relationship Id="rId24544" Type="http://schemas.openxmlformats.org/officeDocument/2006/relationships/hyperlink" Target="http://secrets.rutgers.edu:8080/data/asl-ftp/asllvd/demos/verify_start_end_handshape_annotations//test_auto_move//signs_mov_separ_signers/Tyler_1113.mov" TargetMode="External"/><Relationship Id="rId24545" Type="http://schemas.openxmlformats.org/officeDocument/2006/relationships/hyperlink" Target="http://csr.bu.edu/ftp/asl/asllvd/demos/verify_start_end_handshape_annotations//test_auto_move//signs_mov_separ_signers/Naomi_1113.mov" TargetMode="External"/><Relationship Id="rId24546" Type="http://schemas.openxmlformats.org/officeDocument/2006/relationships/hyperlink" Target="http://secrets.rutgers.edu:8080/data/asl-ftp/asllvd/demos/verify_start_end_handshape_annotations//test_auto_move//signs_mov_separ_signers/Naomi_1113.mov" TargetMode="External"/><Relationship Id="rId24547" Type="http://schemas.openxmlformats.org/officeDocument/2006/relationships/hyperlink" Target="http://csr.bu.edu/ftp/asl/asllvd/demos/verify_start_end_handshape_annotations//test_auto_move//signs_mov_separ_signers/Brady_1113.mov" TargetMode="External"/><Relationship Id="rId24548" Type="http://schemas.openxmlformats.org/officeDocument/2006/relationships/hyperlink" Target="http://secrets.rutgers.edu:8080/data/asl-ftp/asllvd/demos/verify_start_end_handshape_annotations//test_auto_move//signs_mov_separ_signers/Brady_1113.mov" TargetMode="External"/><Relationship Id="rId24549" Type="http://schemas.openxmlformats.org/officeDocument/2006/relationships/hyperlink" Target="http://csr.bu.edu/ftp/asl/asllvd/demos/verify_start_end_handshape_annotations//test_auto_move//signs_mov_separ_signers/Liz_1119.mov" TargetMode="External"/><Relationship Id="rId24550" Type="http://schemas.openxmlformats.org/officeDocument/2006/relationships/hyperlink" Target="http://secrets.rutgers.edu:8080/data/asl-ftp/asllvd/demos/verify_start_end_handshape_annotations//test_auto_move//signs_mov_separ_signers/Liz_1119.mov" TargetMode="External"/><Relationship Id="rId24551" Type="http://schemas.openxmlformats.org/officeDocument/2006/relationships/hyperlink" Target="http://csr.bu.edu/ftp/asl/asllvd/demos/verify_start_end_handshape_annotations//test_auto_move//signs_mov_separ_signers/Liz_3704.mov" TargetMode="External"/><Relationship Id="rId24552" Type="http://schemas.openxmlformats.org/officeDocument/2006/relationships/hyperlink" Target="http://secrets.rutgers.edu:8080/data/asl-ftp/asllvd/demos/verify_start_end_handshape_annotations//test_auto_move//signs_mov_separ_signers/Liz_3704.mov" TargetMode="External"/><Relationship Id="rId24553" Type="http://schemas.openxmlformats.org/officeDocument/2006/relationships/hyperlink" Target="http://csr.bu.edu/ftp/asl/asllvd/demos/verify_start_end_handshape_annotations//test_auto_move//signs_mov/1119_3704_3890_merged.mov" TargetMode="External"/><Relationship Id="rId24554" Type="http://schemas.openxmlformats.org/officeDocument/2006/relationships/hyperlink" Target="http://csr.bu.edu/ftp/asl/asllvd/demos/verify_start_end_handshape_annotations//test_auto_move//signs_mov_separ_signers/Tyler_1119.mov" TargetMode="External"/><Relationship Id="rId24555" Type="http://schemas.openxmlformats.org/officeDocument/2006/relationships/hyperlink" Target="http://secrets.rutgers.edu:8080/data/asl-ftp/asllvd/demos/verify_start_end_handshape_annotations//test_auto_move//signs_mov/1119_3704_3890_merged.mov" TargetMode="External"/><Relationship Id="rId24556" Type="http://schemas.openxmlformats.org/officeDocument/2006/relationships/hyperlink" Target="http://secrets.rutgers.edu:8080/data/asl-ftp/asllvd/demos/verify_start_end_handshape_annotations//test_auto_move//signs_mov_separ_signers/Tyler_1119.mov" TargetMode="External"/><Relationship Id="rId24557" Type="http://schemas.openxmlformats.org/officeDocument/2006/relationships/hyperlink" Target="http://csr.bu.edu/ftp/asl/asllvd/demos/verify_start_end_handshape_annotations//test_auto_move//signs_mov_separ_signers/Brady_1119.mov" TargetMode="External"/><Relationship Id="rId24558" Type="http://schemas.openxmlformats.org/officeDocument/2006/relationships/hyperlink" Target="http://secrets.rutgers.edu:8080/data/asl-ftp/asllvd/demos/verify_start_end_handshape_annotations//test_auto_move//signs_mov_separ_signers/Brady_1119.mov" TargetMode="External"/><Relationship Id="rId24559" Type="http://schemas.openxmlformats.org/officeDocument/2006/relationships/hyperlink" Target="http://csr.bu.edu/ftp/asl/asllvd/demos/verify_start_end_handshape_annotations//test_auto_move//signs_mov_separ_signers/Brady_3704.mov" TargetMode="External"/><Relationship Id="rId24560" Type="http://schemas.openxmlformats.org/officeDocument/2006/relationships/hyperlink" Target="http://secrets.rutgers.edu:8080/data/asl-ftp/asllvd/demos/verify_start_end_handshape_annotations//test_auto_move//signs_mov_separ_signers/Brady_3704.mov" TargetMode="External"/><Relationship Id="rId24561" Type="http://schemas.openxmlformats.org/officeDocument/2006/relationships/hyperlink" Target="http://csr.bu.edu/ftp/asl/asllvd/demos/verify_start_end_handshape_annotations//test_auto_move//signs_mov_separ_signers/Brady_3890.mov" TargetMode="External"/><Relationship Id="rId24562" Type="http://schemas.openxmlformats.org/officeDocument/2006/relationships/hyperlink" Target="http://secrets.rutgers.edu:8080/data/asl-ftp/asllvd/demos/verify_start_end_handshape_annotations//test_auto_move//signs_mov_separ_signers/Brady_3890.mov" TargetMode="External"/><Relationship Id="rId24563" Type="http://schemas.openxmlformats.org/officeDocument/2006/relationships/hyperlink" Target="http://csr.bu.edu/ftp/asl/asllvd/demos/verify_start_end_handshape_annotations//test_auto_move//signs_mov/15183.mov" TargetMode="External"/><Relationship Id="rId24564" Type="http://schemas.openxmlformats.org/officeDocument/2006/relationships/hyperlink" Target="http://csr.bu.edu/ftp/asl/asllvd/demos/verify_start_end_handshape_annotations//test_auto_move//signs_mov_separ_signers/Liz_15183.mov" TargetMode="External"/><Relationship Id="rId24565" Type="http://schemas.openxmlformats.org/officeDocument/2006/relationships/hyperlink" Target="http://secrets.rutgers.edu:8080/data/asl-ftp/asllvd/demos/verify_start_end_handshape_annotations//test_auto_move//signs_mov/15183.mov" TargetMode="External"/><Relationship Id="rId24566" Type="http://schemas.openxmlformats.org/officeDocument/2006/relationships/hyperlink" Target="http://secrets.rutgers.edu:8080/data/asl-ftp/asllvd/demos/verify_start_end_handshape_annotations//test_auto_move//signs_mov_separ_signers/Liz_15183.mov" TargetMode="External"/><Relationship Id="rId24567" Type="http://schemas.openxmlformats.org/officeDocument/2006/relationships/hyperlink" Target="http://csr.bu.edu/ftp/asl/asllvd/demos/verify_start_end_handshape_annotations//test_auto_move//signs_mov/16253.mov" TargetMode="External"/><Relationship Id="rId24568" Type="http://schemas.openxmlformats.org/officeDocument/2006/relationships/hyperlink" Target="http://csr.bu.edu/ftp/asl/asllvd/demos/verify_start_end_handshape_annotations//test_auto_move//signs_mov_separ_signers/Liz_16253.mov" TargetMode="External"/><Relationship Id="rId24569" Type="http://schemas.openxmlformats.org/officeDocument/2006/relationships/hyperlink" Target="http://secrets.rutgers.edu:8080/data/asl-ftp/asllvd/demos/verify_start_end_handshape_annotations//test_auto_move//signs_mov/16253.mov" TargetMode="External"/><Relationship Id="rId24570" Type="http://schemas.openxmlformats.org/officeDocument/2006/relationships/hyperlink" Target="http://secrets.rutgers.edu:8080/data/asl-ftp/asllvd/demos/verify_start_end_handshape_annotations//test_auto_move//signs_mov_separ_signers/Liz_16253.mov" TargetMode="External"/><Relationship Id="rId24571" Type="http://schemas.openxmlformats.org/officeDocument/2006/relationships/hyperlink" Target="http://csr.bu.edu/ftp/asl/asllvd/demos/verify_start_end_handshape_annotations//test_auto_move//signs_mov_separ_signers/Brady_16253.mov" TargetMode="External"/><Relationship Id="rId24572" Type="http://schemas.openxmlformats.org/officeDocument/2006/relationships/hyperlink" Target="http://secrets.rutgers.edu:8080/data/asl-ftp/asllvd/demos/verify_start_end_handshape_annotations//test_auto_move//signs_mov_separ_signers/Brady_16253.mov" TargetMode="External"/><Relationship Id="rId24573" Type="http://schemas.openxmlformats.org/officeDocument/2006/relationships/hyperlink" Target="http://csr.bu.edu/ftp/asl/asllvd/demos/verify_start_end_handshape_annotations//test_auto_move//signs_mov_separ_signers/Liz_1171.mov" TargetMode="External"/><Relationship Id="rId24574" Type="http://schemas.openxmlformats.org/officeDocument/2006/relationships/hyperlink" Target="http://secrets.rutgers.edu:8080/data/asl-ftp/asllvd/demos/verify_start_end_handshape_annotations//test_auto_move//signs_mov_separ_signers/Liz_1171.mov" TargetMode="External"/><Relationship Id="rId24575" Type="http://schemas.openxmlformats.org/officeDocument/2006/relationships/hyperlink" Target="http://csr.bu.edu/ftp/asl/asllvd/demos/verify_start_end_handshape_annotations//test_auto_move//signs_mov_separ_signers/Tyler_1171.mov" TargetMode="External"/><Relationship Id="rId24576" Type="http://schemas.openxmlformats.org/officeDocument/2006/relationships/hyperlink" Target="http://secrets.rutgers.edu:8080/data/asl-ftp/asllvd/demos/verify_start_end_handshape_annotations//test_auto_move//signs_mov_separ_signers/Tyler_1171.mov" TargetMode="External"/><Relationship Id="rId24577" Type="http://schemas.openxmlformats.org/officeDocument/2006/relationships/hyperlink" Target="http://csr.bu.edu/ftp/asl/asllvd/demos/verify_start_end_handshape_annotations//test_auto_move//signs_mov/1171.mov" TargetMode="External"/><Relationship Id="rId24578" Type="http://schemas.openxmlformats.org/officeDocument/2006/relationships/hyperlink" Target="http://csr.bu.edu/ftp/asl/asllvd/demos/verify_start_end_handshape_annotations//test_auto_move//signs_mov_separ_signers/Naomi_1171.mov" TargetMode="External"/><Relationship Id="rId24579" Type="http://schemas.openxmlformats.org/officeDocument/2006/relationships/hyperlink" Target="http://secrets.rutgers.edu:8080/data/asl-ftp/asllvd/demos/verify_start_end_handshape_annotations//test_auto_move//signs_mov/1171.mov" TargetMode="External"/><Relationship Id="rId24580" Type="http://schemas.openxmlformats.org/officeDocument/2006/relationships/hyperlink" Target="http://secrets.rutgers.edu:8080/data/asl-ftp/asllvd/demos/verify_start_end_handshape_annotations//test_auto_move//signs_mov_separ_signers/Naomi_1171.mov" TargetMode="External"/><Relationship Id="rId24581" Type="http://schemas.openxmlformats.org/officeDocument/2006/relationships/hyperlink" Target="http://csr.bu.edu/ftp/asl/asllvd/demos/verify_start_end_handshape_annotations//test_auto_move//signs_mov_separ_signers/Brady_1171.mov" TargetMode="External"/><Relationship Id="rId24582" Type="http://schemas.openxmlformats.org/officeDocument/2006/relationships/hyperlink" Target="http://secrets.rutgers.edu:8080/data/asl-ftp/asllvd/demos/verify_start_end_handshape_annotations//test_auto_move//signs_mov_separ_signers/Brady_1171.mov" TargetMode="External"/><Relationship Id="rId24583" Type="http://schemas.openxmlformats.org/officeDocument/2006/relationships/hyperlink" Target="http://csr.bu.edu/ftp/asl/asllvd/demos/verify_start_end_handshape_annotations//test_auto_move//signs_mov_separ_signers/Lana_1171.mov" TargetMode="External"/><Relationship Id="rId24584" Type="http://schemas.openxmlformats.org/officeDocument/2006/relationships/hyperlink" Target="http://secrets.rutgers.edu:8080/data/asl-ftp/asllvd/demos/verify_start_end_handshape_annotations//test_auto_move//signs_mov_separ_signers/Lana_1171.mov" TargetMode="External"/><Relationship Id="rId24585" Type="http://schemas.openxmlformats.org/officeDocument/2006/relationships/hyperlink" Target="http://csr.bu.edu/ftp/asl/asllvd/demos/verify_start_end_handshape_annotations//test_auto_move//signs_mov/1184.mov" TargetMode="External"/><Relationship Id="rId24586" Type="http://schemas.openxmlformats.org/officeDocument/2006/relationships/hyperlink" Target="http://csr.bu.edu/ftp/asl/asllvd/demos/verify_start_end_handshape_annotations//test_auto_move//signs_mov_separ_signers/Liz_1184.mov" TargetMode="External"/><Relationship Id="rId24587" Type="http://schemas.openxmlformats.org/officeDocument/2006/relationships/hyperlink" Target="http://secrets.rutgers.edu:8080/data/asl-ftp/asllvd/demos/verify_start_end_handshape_annotations//test_auto_move//signs_mov/1184.mov" TargetMode="External"/><Relationship Id="rId24588" Type="http://schemas.openxmlformats.org/officeDocument/2006/relationships/hyperlink" Target="http://secrets.rutgers.edu:8080/data/asl-ftp/asllvd/demos/verify_start_end_handshape_annotations//test_auto_move//signs_mov_separ_signers/Liz_1184.mov" TargetMode="External"/><Relationship Id="rId24589" Type="http://schemas.openxmlformats.org/officeDocument/2006/relationships/hyperlink" Target="http://csr.bu.edu/ftp/asl/asllvd/demos/verify_start_end_handshape_annotations//test_auto_move//signs_mov_separ_signers/Naomi_1184.mov" TargetMode="External"/><Relationship Id="rId24590" Type="http://schemas.openxmlformats.org/officeDocument/2006/relationships/hyperlink" Target="http://secrets.rutgers.edu:8080/data/asl-ftp/asllvd/demos/verify_start_end_handshape_annotations//test_auto_move//signs_mov_separ_signers/Naomi_1184.mov" TargetMode="External"/><Relationship Id="rId24591" Type="http://schemas.openxmlformats.org/officeDocument/2006/relationships/hyperlink" Target="http://csr.bu.edu/ftp/asl/asllvd/demos/verify_start_end_handshape_annotations//test_auto_move//signs_mov/5217.mov" TargetMode="External"/><Relationship Id="rId24592" Type="http://schemas.openxmlformats.org/officeDocument/2006/relationships/hyperlink" Target="http://csr.bu.edu/ftp/asl/asllvd/demos/verify_start_end_handshape_annotations//test_auto_move//signs_mov_separ_signers/Tyler_5217.mov" TargetMode="External"/><Relationship Id="rId24593" Type="http://schemas.openxmlformats.org/officeDocument/2006/relationships/hyperlink" Target="http://secrets.rutgers.edu:8080/data/asl-ftp/asllvd/demos/verify_start_end_handshape_annotations//test_auto_move//signs_mov/5217.mov" TargetMode="External"/><Relationship Id="rId24594" Type="http://schemas.openxmlformats.org/officeDocument/2006/relationships/hyperlink" Target="http://secrets.rutgers.edu:8080/data/asl-ftp/asllvd/demos/verify_start_end_handshape_annotations//test_auto_move//signs_mov_separ_signers/Tyler_5217.mov" TargetMode="External"/><Relationship Id="rId24595" Type="http://schemas.openxmlformats.org/officeDocument/2006/relationships/hyperlink" Target="http://csr.bu.edu/ftp/asl/asllvd/demos/verify_start_end_handshape_annotations//test_auto_move//signs_mov_separ_signers/Liz_1198.mov" TargetMode="External"/><Relationship Id="rId24596" Type="http://schemas.openxmlformats.org/officeDocument/2006/relationships/hyperlink" Target="http://secrets.rutgers.edu:8080/data/asl-ftp/asllvd/demos/verify_start_end_handshape_annotations//test_auto_move//signs_mov_separ_signers/Liz_1198.mov" TargetMode="External"/><Relationship Id="rId24597" Type="http://schemas.openxmlformats.org/officeDocument/2006/relationships/hyperlink" Target="http://csr.bu.edu/ftp/asl/asllvd/demos/verify_start_end_handshape_annotations//test_auto_move//signs_mov/1198.mov" TargetMode="External"/><Relationship Id="rId24598" Type="http://schemas.openxmlformats.org/officeDocument/2006/relationships/hyperlink" Target="http://csr.bu.edu/ftp/asl/asllvd/demos/verify_start_end_handshape_annotations//test_auto_move//signs_mov_separ_signers/Naomi_1198.mov" TargetMode="External"/><Relationship Id="rId24599" Type="http://schemas.openxmlformats.org/officeDocument/2006/relationships/hyperlink" Target="http://secrets.rutgers.edu:8080/data/asl-ftp/asllvd/demos/verify_start_end_handshape_annotations//test_auto_move//signs_mov/1198.mov" TargetMode="External"/><Relationship Id="rId24600" Type="http://schemas.openxmlformats.org/officeDocument/2006/relationships/hyperlink" Target="http://secrets.rutgers.edu:8080/data/asl-ftp/asllvd/demos/verify_start_end_handshape_annotations//test_auto_move//signs_mov_separ_signers/Naomi_1198.mov" TargetMode="External"/><Relationship Id="rId24601" Type="http://schemas.openxmlformats.org/officeDocument/2006/relationships/hyperlink" Target="http://csr.bu.edu/ftp/asl/asllvd/demos/verify_start_end_handshape_annotations//test_auto_move//signs_mov_separ_signers/Brady_1198.mov" TargetMode="External"/><Relationship Id="rId24602" Type="http://schemas.openxmlformats.org/officeDocument/2006/relationships/hyperlink" Target="http://secrets.rutgers.edu:8080/data/asl-ftp/asllvd/demos/verify_start_end_handshape_annotations//test_auto_move//signs_mov_separ_signers/Brady_1198.mov" TargetMode="External"/><Relationship Id="rId24603" Type="http://schemas.openxmlformats.org/officeDocument/2006/relationships/hyperlink" Target="http://csr.bu.edu/ftp/asl/asllvd/demos/verify_start_end_handshape_annotations//test_auto_move//signs_mov/3682_16526_merged.mov" TargetMode="External"/><Relationship Id="rId24604" Type="http://schemas.openxmlformats.org/officeDocument/2006/relationships/hyperlink" Target="http://csr.bu.edu/ftp/asl/asllvd/demos/verify_start_end_handshape_annotations//test_auto_move//signs_mov_separ_signers/Tyler_3682.mov" TargetMode="External"/><Relationship Id="rId24605" Type="http://schemas.openxmlformats.org/officeDocument/2006/relationships/hyperlink" Target="http://secrets.rutgers.edu:8080/data/asl-ftp/asllvd/demos/verify_start_end_handshape_annotations//test_auto_move//signs_mov/3682_16526_merged.mov" TargetMode="External"/><Relationship Id="rId24606" Type="http://schemas.openxmlformats.org/officeDocument/2006/relationships/hyperlink" Target="http://secrets.rutgers.edu:8080/data/asl-ftp/asllvd/demos/verify_start_end_handshape_annotations//test_auto_move//signs_mov_separ_signers/Tyler_3682.mov" TargetMode="External"/><Relationship Id="rId24607" Type="http://schemas.openxmlformats.org/officeDocument/2006/relationships/hyperlink" Target="http://csr.bu.edu/ftp/asl/asllvd/demos/verify_start_end_handshape_annotations//test_auto_move//signs_mov_separ_signers/Tyler_16526.mov" TargetMode="External"/><Relationship Id="rId24608" Type="http://schemas.openxmlformats.org/officeDocument/2006/relationships/hyperlink" Target="http://secrets.rutgers.edu:8080/data/asl-ftp/asllvd/demos/verify_start_end_handshape_annotations//test_auto_move//signs_mov_separ_signers/Tyler_16526.mov" TargetMode="External"/><Relationship Id="rId24609" Type="http://schemas.openxmlformats.org/officeDocument/2006/relationships/hyperlink" Target="http://csr.bu.edu/ftp/asl/asllvd/demos/verify_start_end_handshape_annotations//test_auto_move//signs_mov_separ_signers/Liz_1214.mov" TargetMode="External"/><Relationship Id="rId24610" Type="http://schemas.openxmlformats.org/officeDocument/2006/relationships/hyperlink" Target="http://secrets.rutgers.edu:8080/data/asl-ftp/asllvd/demos/verify_start_end_handshape_annotations//test_auto_move//signs_mov_separ_signers/Liz_1214.mov" TargetMode="External"/><Relationship Id="rId24611" Type="http://schemas.openxmlformats.org/officeDocument/2006/relationships/hyperlink" Target="http://csr.bu.edu/ftp/asl/asllvd/demos/verify_start_end_handshape_annotations//test_auto_move//signs_mov/1214.mov" TargetMode="External"/><Relationship Id="rId24612" Type="http://schemas.openxmlformats.org/officeDocument/2006/relationships/hyperlink" Target="http://csr.bu.edu/ftp/asl/asllvd/demos/verify_start_end_handshape_annotations//test_auto_move//signs_mov_separ_signers/Naomi_1214.mov" TargetMode="External"/><Relationship Id="rId24613" Type="http://schemas.openxmlformats.org/officeDocument/2006/relationships/hyperlink" Target="http://secrets.rutgers.edu:8080/data/asl-ftp/asllvd/demos/verify_start_end_handshape_annotations//test_auto_move//signs_mov/1214.mov" TargetMode="External"/><Relationship Id="rId24614" Type="http://schemas.openxmlformats.org/officeDocument/2006/relationships/hyperlink" Target="http://secrets.rutgers.edu:8080/data/asl-ftp/asllvd/demos/verify_start_end_handshape_annotations//test_auto_move//signs_mov_separ_signers/Naomi_1214.mov" TargetMode="External"/><Relationship Id="rId24615" Type="http://schemas.openxmlformats.org/officeDocument/2006/relationships/hyperlink" Target="http://csr.bu.edu/ftp/asl/asllvd/demos/verify_start_end_handshape_annotations//test_auto_move//signs_mov_separ_signers/Brady_1214.mov" TargetMode="External"/><Relationship Id="rId24616" Type="http://schemas.openxmlformats.org/officeDocument/2006/relationships/hyperlink" Target="http://secrets.rutgers.edu:8080/data/asl-ftp/asllvd/demos/verify_start_end_handshape_annotations//test_auto_move//signs_mov_separ_signers/Brady_1214.mov" TargetMode="External"/><Relationship Id="rId24617" Type="http://schemas.openxmlformats.org/officeDocument/2006/relationships/hyperlink" Target="http://csr.bu.edu/ftp/asl/asllvd/demos/verify_start_end_handshape_annotations//test_auto_move//signs_mov/1267.mov" TargetMode="External"/><Relationship Id="rId24618" Type="http://schemas.openxmlformats.org/officeDocument/2006/relationships/hyperlink" Target="http://csr.bu.edu/ftp/asl/asllvd/demos/verify_start_end_handshape_annotations//test_auto_move//signs_mov_separ_signers/Tyler_1267.mov" TargetMode="External"/><Relationship Id="rId24619" Type="http://schemas.openxmlformats.org/officeDocument/2006/relationships/hyperlink" Target="http://secrets.rutgers.edu:8080/data/asl-ftp/asllvd/demos/verify_start_end_handshape_annotations//test_auto_move//signs_mov/1267.mov" TargetMode="External"/><Relationship Id="rId24620" Type="http://schemas.openxmlformats.org/officeDocument/2006/relationships/hyperlink" Target="http://secrets.rutgers.edu:8080/data/asl-ftp/asllvd/demos/verify_start_end_handshape_annotations//test_auto_move//signs_mov_separ_signers/Tyler_1267.mov" TargetMode="External"/><Relationship Id="rId24621" Type="http://schemas.openxmlformats.org/officeDocument/2006/relationships/hyperlink" Target="http://csr.bu.edu/ftp/asl/asllvd/demos/verify_start_end_handshape_annotations//test_auto_move//signs_mov_separ_signers/Naomi_1267.mov" TargetMode="External"/><Relationship Id="rId24622" Type="http://schemas.openxmlformats.org/officeDocument/2006/relationships/hyperlink" Target="http://secrets.rutgers.edu:8080/data/asl-ftp/asllvd/demos/verify_start_end_handshape_annotations//test_auto_move//signs_mov_separ_signers/Naomi_1267.mov" TargetMode="External"/><Relationship Id="rId24623" Type="http://schemas.openxmlformats.org/officeDocument/2006/relationships/hyperlink" Target="http://csr.bu.edu/ftp/asl/asllvd/demos/verify_start_end_handshape_annotations//test_auto_move//signs_mov/16442.mov" TargetMode="External"/><Relationship Id="rId24624" Type="http://schemas.openxmlformats.org/officeDocument/2006/relationships/hyperlink" Target="http://csr.bu.edu/ftp/asl/asllvd/demos/verify_start_end_handshape_annotations//test_auto_move//signs_mov_separ_signers/Liz_16442.mov" TargetMode="External"/><Relationship Id="rId24625" Type="http://schemas.openxmlformats.org/officeDocument/2006/relationships/hyperlink" Target="http://secrets.rutgers.edu:8080/data/asl-ftp/asllvd/demos/verify_start_end_handshape_annotations//test_auto_move//signs_mov/16442.mov" TargetMode="External"/><Relationship Id="rId24626" Type="http://schemas.openxmlformats.org/officeDocument/2006/relationships/hyperlink" Target="http://secrets.rutgers.edu:8080/data/asl-ftp/asllvd/demos/verify_start_end_handshape_annotations//test_auto_move//signs_mov_separ_signers/Liz_16442.mov" TargetMode="External"/><Relationship Id="rId24627" Type="http://schemas.openxmlformats.org/officeDocument/2006/relationships/hyperlink" Target="http://csr.bu.edu/ftp/asl/asllvd/demos/verify_start_end_handshape_annotations//test_auto_move//signs_mov_separ_signers/Brady_16442.mov" TargetMode="External"/><Relationship Id="rId24628" Type="http://schemas.openxmlformats.org/officeDocument/2006/relationships/hyperlink" Target="http://secrets.rutgers.edu:8080/data/asl-ftp/asllvd/demos/verify_start_end_handshape_annotations//test_auto_move//signs_mov_separ_signers/Brady_16442.mov" TargetMode="External"/><Relationship Id="rId24629" Type="http://schemas.openxmlformats.org/officeDocument/2006/relationships/hyperlink" Target="http://csr.bu.edu/ftp/asl/asllvd/demos/verify_start_end_handshape_annotations//test_auto_move//signs_mov_separ_signers/Liz_1273.mov" TargetMode="External"/><Relationship Id="rId24630" Type="http://schemas.openxmlformats.org/officeDocument/2006/relationships/hyperlink" Target="http://secrets.rutgers.edu:8080/data/asl-ftp/asllvd/demos/verify_start_end_handshape_annotations//test_auto_move//signs_mov_separ_signers/Liz_1273.mov" TargetMode="External"/><Relationship Id="rId24631" Type="http://schemas.openxmlformats.org/officeDocument/2006/relationships/hyperlink" Target="http://csr.bu.edu/ftp/asl/asllvd/demos/verify_start_end_handshape_annotations//test_auto_move//signs_mov/1273.mov" TargetMode="External"/><Relationship Id="rId24632" Type="http://schemas.openxmlformats.org/officeDocument/2006/relationships/hyperlink" Target="http://csr.bu.edu/ftp/asl/asllvd/demos/verify_start_end_handshape_annotations//test_auto_move//signs_mov_separ_signers/Tyler_1273.mov" TargetMode="External"/><Relationship Id="rId24633" Type="http://schemas.openxmlformats.org/officeDocument/2006/relationships/hyperlink" Target="http://secrets.rutgers.edu:8080/data/asl-ftp/asllvd/demos/verify_start_end_handshape_annotations//test_auto_move//signs_mov/1273.mov" TargetMode="External"/><Relationship Id="rId24634" Type="http://schemas.openxmlformats.org/officeDocument/2006/relationships/hyperlink" Target="http://secrets.rutgers.edu:8080/data/asl-ftp/asllvd/demos/verify_start_end_handshape_annotations//test_auto_move//signs_mov_separ_signers/Tyler_1273.mov" TargetMode="External"/><Relationship Id="rId24635" Type="http://schemas.openxmlformats.org/officeDocument/2006/relationships/hyperlink" Target="http://csr.bu.edu/ftp/asl/asllvd/demos/verify_start_end_handshape_annotations//test_auto_move//signs_mov_separ_signers/Naomi_1273.mov" TargetMode="External"/><Relationship Id="rId24636" Type="http://schemas.openxmlformats.org/officeDocument/2006/relationships/hyperlink" Target="http://secrets.rutgers.edu:8080/data/asl-ftp/asllvd/demos/verify_start_end_handshape_annotations//test_auto_move//signs_mov_separ_signers/Naomi_1273.mov" TargetMode="External"/><Relationship Id="rId24637" Type="http://schemas.openxmlformats.org/officeDocument/2006/relationships/hyperlink" Target="http://csr.bu.edu/ftp/asl/asllvd/demos/verify_start_end_handshape_annotations//test_auto_move//signs_mov_separ_signers/Brady_1273.mov" TargetMode="External"/><Relationship Id="rId24638" Type="http://schemas.openxmlformats.org/officeDocument/2006/relationships/hyperlink" Target="http://secrets.rutgers.edu:8080/data/asl-ftp/asllvd/demos/verify_start_end_handshape_annotations//test_auto_move//signs_mov_separ_signers/Brady_1273.mov" TargetMode="External"/><Relationship Id="rId24639" Type="http://schemas.openxmlformats.org/officeDocument/2006/relationships/hyperlink" Target="http://csr.bu.edu/ftp/asl/asllvd/demos/verify_start_end_handshape_annotations//test_auto_move//signs_mov_separ_signers/Liz_1305.mov" TargetMode="External"/><Relationship Id="rId24640" Type="http://schemas.openxmlformats.org/officeDocument/2006/relationships/hyperlink" Target="http://secrets.rutgers.edu:8080/data/asl-ftp/asllvd/demos/verify_start_end_handshape_annotations//test_auto_move//signs_mov_separ_signers/Liz_1305.mov" TargetMode="External"/><Relationship Id="rId24641" Type="http://schemas.openxmlformats.org/officeDocument/2006/relationships/hyperlink" Target="http://csr.bu.edu/ftp/asl/asllvd/demos/verify_start_end_handshape_annotations//test_auto_move//signs_mov/1305.mov" TargetMode="External"/><Relationship Id="rId24642" Type="http://schemas.openxmlformats.org/officeDocument/2006/relationships/hyperlink" Target="http://csr.bu.edu/ftp/asl/asllvd/demos/verify_start_end_handshape_annotations//test_auto_move//signs_mov_separ_signers/Brady_1305.mov" TargetMode="External"/><Relationship Id="rId24643" Type="http://schemas.openxmlformats.org/officeDocument/2006/relationships/hyperlink" Target="http://secrets.rutgers.edu:8080/data/asl-ftp/asllvd/demos/verify_start_end_handshape_annotations//test_auto_move//signs_mov/1305.mov" TargetMode="External"/><Relationship Id="rId24644" Type="http://schemas.openxmlformats.org/officeDocument/2006/relationships/hyperlink" Target="http://secrets.rutgers.edu:8080/data/asl-ftp/asllvd/demos/verify_start_end_handshape_annotations//test_auto_move//signs_mov_separ_signers/Brady_1305.mov" TargetMode="External"/><Relationship Id="rId24645" Type="http://schemas.openxmlformats.org/officeDocument/2006/relationships/hyperlink" Target="http://csr.bu.edu/ftp/asl/asllvd/demos/verify_start_end_handshape_annotations//test_auto_move//signs_mov_separ_signers/Lana_1305.mov" TargetMode="External"/><Relationship Id="rId24646" Type="http://schemas.openxmlformats.org/officeDocument/2006/relationships/hyperlink" Target="http://secrets.rutgers.edu:8080/data/asl-ftp/asllvd/demos/verify_start_end_handshape_annotations//test_auto_move//signs_mov_separ_signers/Lana_1305.mov" TargetMode="External"/><Relationship Id="rId24647" Type="http://schemas.openxmlformats.org/officeDocument/2006/relationships/hyperlink" Target="http://csr.bu.edu/ftp/asl/asllvd/demos/verify_start_end_handshape_annotations//test_auto_move//signs_mov/5360.mov" TargetMode="External"/><Relationship Id="rId24648" Type="http://schemas.openxmlformats.org/officeDocument/2006/relationships/hyperlink" Target="http://csr.bu.edu/ftp/asl/asllvd/demos/verify_start_end_handshape_annotations//test_auto_move//signs_mov_separ_signers/Naomi_5360.mov" TargetMode="External"/><Relationship Id="rId24649" Type="http://schemas.openxmlformats.org/officeDocument/2006/relationships/hyperlink" Target="http://secrets.rutgers.edu:8080/data/asl-ftp/asllvd/demos/verify_start_end_handshape_annotations//test_auto_move//signs_mov/5360.mov" TargetMode="External"/><Relationship Id="rId24650" Type="http://schemas.openxmlformats.org/officeDocument/2006/relationships/hyperlink" Target="http://secrets.rutgers.edu:8080/data/asl-ftp/asllvd/demos/verify_start_end_handshape_annotations//test_auto_move//signs_mov_separ_signers/Naomi_5360.mov" TargetMode="External"/><Relationship Id="rId24651" Type="http://schemas.openxmlformats.org/officeDocument/2006/relationships/hyperlink" Target="http://csr.bu.edu/ftp/asl/asllvd/demos/verify_start_end_handshape_annotations//test_auto_move//signs_mov_separ_signers/Dana_5360.mov" TargetMode="External"/><Relationship Id="rId24652" Type="http://schemas.openxmlformats.org/officeDocument/2006/relationships/hyperlink" Target="http://secrets.rutgers.edu:8080/data/asl-ftp/asllvd/demos/verify_start_end_handshape_annotations//test_auto_move//signs_mov_separ_signers/Dana_5360.mov" TargetMode="External"/><Relationship Id="rId24653" Type="http://schemas.openxmlformats.org/officeDocument/2006/relationships/hyperlink" Target="http://csr.bu.edu/ftp/asl/asllvd/demos/verify_start_end_handshape_annotations//test_auto_move//signs_mov_separ_signers/Liz_1310.mov" TargetMode="External"/><Relationship Id="rId24654" Type="http://schemas.openxmlformats.org/officeDocument/2006/relationships/hyperlink" Target="http://secrets.rutgers.edu:8080/data/asl-ftp/asllvd/demos/verify_start_end_handshape_annotations//test_auto_move//signs_mov_separ_signers/Liz_1310.mov" TargetMode="External"/><Relationship Id="rId24655" Type="http://schemas.openxmlformats.org/officeDocument/2006/relationships/hyperlink" Target="http://csr.bu.edu/ftp/asl/asllvd/demos/verify_start_end_handshape_annotations//test_auto_move//signs_mov/1310.mov" TargetMode="External"/><Relationship Id="rId24656" Type="http://schemas.openxmlformats.org/officeDocument/2006/relationships/hyperlink" Target="http://csr.bu.edu/ftp/asl/asllvd/demos/verify_start_end_handshape_annotations//test_auto_move//signs_mov_separ_signers/Naomi_1310.mov" TargetMode="External"/><Relationship Id="rId24657" Type="http://schemas.openxmlformats.org/officeDocument/2006/relationships/hyperlink" Target="http://secrets.rutgers.edu:8080/data/asl-ftp/asllvd/demos/verify_start_end_handshape_annotations//test_auto_move//signs_mov/1310.mov" TargetMode="External"/><Relationship Id="rId24658" Type="http://schemas.openxmlformats.org/officeDocument/2006/relationships/hyperlink" Target="http://secrets.rutgers.edu:8080/data/asl-ftp/asllvd/demos/verify_start_end_handshape_annotations//test_auto_move//signs_mov_separ_signers/Naomi_1310.mov" TargetMode="External"/><Relationship Id="rId24659" Type="http://schemas.openxmlformats.org/officeDocument/2006/relationships/hyperlink" Target="http://csr.bu.edu/ftp/asl/asllvd/demos/verify_start_end_handshape_annotations//test_auto_move//signs_mov_separ_signers/Brady_1310.mov" TargetMode="External"/><Relationship Id="rId24660" Type="http://schemas.openxmlformats.org/officeDocument/2006/relationships/hyperlink" Target="http://secrets.rutgers.edu:8080/data/asl-ftp/asllvd/demos/verify_start_end_handshape_annotations//test_auto_move//signs_mov_separ_signers/Brady_1310.mov" TargetMode="External"/><Relationship Id="rId24661" Type="http://schemas.openxmlformats.org/officeDocument/2006/relationships/hyperlink" Target="http://csr.bu.edu/ftp/asl/asllvd/demos/verify_start_end_handshape_annotations//test_auto_move//signs_mov_separ_signers/Liz_1319.mov" TargetMode="External"/><Relationship Id="rId24662" Type="http://schemas.openxmlformats.org/officeDocument/2006/relationships/hyperlink" Target="http://secrets.rutgers.edu:8080/data/asl-ftp/asllvd/demos/verify_start_end_handshape_annotations//test_auto_move//signs_mov_separ_signers/Liz_1319.mov" TargetMode="External"/><Relationship Id="rId24663" Type="http://schemas.openxmlformats.org/officeDocument/2006/relationships/hyperlink" Target="http://csr.bu.edu/ftp/asl/asllvd/demos/verify_start_end_handshape_annotations//test_auto_move//signs_mov/1319.mov" TargetMode="External"/><Relationship Id="rId24664" Type="http://schemas.openxmlformats.org/officeDocument/2006/relationships/hyperlink" Target="http://csr.bu.edu/ftp/asl/asllvd/demos/verify_start_end_handshape_annotations//test_auto_move//signs_mov_separ_signers/Tyler_1319.mov" TargetMode="External"/><Relationship Id="rId24665" Type="http://schemas.openxmlformats.org/officeDocument/2006/relationships/hyperlink" Target="http://secrets.rutgers.edu:8080/data/asl-ftp/asllvd/demos/verify_start_end_handshape_annotations//test_auto_move//signs_mov/1319.mov" TargetMode="External"/><Relationship Id="rId24666" Type="http://schemas.openxmlformats.org/officeDocument/2006/relationships/hyperlink" Target="http://secrets.rutgers.edu:8080/data/asl-ftp/asllvd/demos/verify_start_end_handshape_annotations//test_auto_move//signs_mov_separ_signers/Tyler_1319.mov" TargetMode="External"/><Relationship Id="rId24667" Type="http://schemas.openxmlformats.org/officeDocument/2006/relationships/hyperlink" Target="http://csr.bu.edu/ftp/asl/asllvd/demos/verify_start_end_handshape_annotations//test_auto_move//signs_mov_separ_signers/Naomi_1319.mov" TargetMode="External"/><Relationship Id="rId24668" Type="http://schemas.openxmlformats.org/officeDocument/2006/relationships/hyperlink" Target="http://secrets.rutgers.edu:8080/data/asl-ftp/asllvd/demos/verify_start_end_handshape_annotations//test_auto_move//signs_mov_separ_signers/Naomi_1319.mov" TargetMode="External"/><Relationship Id="rId24669" Type="http://schemas.openxmlformats.org/officeDocument/2006/relationships/hyperlink" Target="http://csr.bu.edu/ftp/asl/asllvd/demos/verify_start_end_handshape_annotations//test_auto_move//signs_mov_separ_signers/Brady_1319.mov" TargetMode="External"/><Relationship Id="rId24670" Type="http://schemas.openxmlformats.org/officeDocument/2006/relationships/hyperlink" Target="http://secrets.rutgers.edu:8080/data/asl-ftp/asllvd/demos/verify_start_end_handshape_annotations//test_auto_move//signs_mov_separ_signers/Brady_1319.mov" TargetMode="External"/><Relationship Id="rId24671" Type="http://schemas.openxmlformats.org/officeDocument/2006/relationships/hyperlink" Target="http://csr.bu.edu/ftp/asl/asllvd/demos/verify_start_end_handshape_annotations//test_auto_move//signs_mov_separ_signers/Liz_1336.mov" TargetMode="External"/><Relationship Id="rId24672" Type="http://schemas.openxmlformats.org/officeDocument/2006/relationships/hyperlink" Target="http://secrets.rutgers.edu:8080/data/asl-ftp/asllvd/demos/verify_start_end_handshape_annotations//test_auto_move//signs_mov_separ_signers/Liz_1336.mov" TargetMode="External"/><Relationship Id="rId24673" Type="http://schemas.openxmlformats.org/officeDocument/2006/relationships/hyperlink" Target="http://csr.bu.edu/ftp/asl/asllvd/demos/verify_start_end_handshape_annotations//test_auto_move//signs_mov/1336.mov" TargetMode="External"/><Relationship Id="rId24674" Type="http://schemas.openxmlformats.org/officeDocument/2006/relationships/hyperlink" Target="http://csr.bu.edu/ftp/asl/asllvd/demos/verify_start_end_handshape_annotations//test_auto_move//signs_mov_separ_signers/Tyler_1336.mov" TargetMode="External"/><Relationship Id="rId24675" Type="http://schemas.openxmlformats.org/officeDocument/2006/relationships/hyperlink" Target="http://secrets.rutgers.edu:8080/data/asl-ftp/asllvd/demos/verify_start_end_handshape_annotations//test_auto_move//signs_mov/1336.mov" TargetMode="External"/><Relationship Id="rId24676" Type="http://schemas.openxmlformats.org/officeDocument/2006/relationships/hyperlink" Target="http://secrets.rutgers.edu:8080/data/asl-ftp/asllvd/demos/verify_start_end_handshape_annotations//test_auto_move//signs_mov_separ_signers/Tyler_1336.mov" TargetMode="External"/><Relationship Id="rId24677" Type="http://schemas.openxmlformats.org/officeDocument/2006/relationships/hyperlink" Target="http://csr.bu.edu/ftp/asl/asllvd/demos/verify_start_end_handshape_annotations//test_auto_move//signs_mov_separ_signers/Naomi_1336.mov" TargetMode="External"/><Relationship Id="rId24678" Type="http://schemas.openxmlformats.org/officeDocument/2006/relationships/hyperlink" Target="http://secrets.rutgers.edu:8080/data/asl-ftp/asllvd/demos/verify_start_end_handshape_annotations//test_auto_move//signs_mov_separ_signers/Naomi_1336.mov" TargetMode="External"/><Relationship Id="rId24679" Type="http://schemas.openxmlformats.org/officeDocument/2006/relationships/hyperlink" Target="http://csr.bu.edu/ftp/asl/asllvd/demos/verify_start_end_handshape_annotations//test_auto_move//signs_mov_separ_signers/Brady_1336.mov" TargetMode="External"/><Relationship Id="rId24680" Type="http://schemas.openxmlformats.org/officeDocument/2006/relationships/hyperlink" Target="http://secrets.rutgers.edu:8080/data/asl-ftp/asllvd/demos/verify_start_end_handshape_annotations//test_auto_move//signs_mov_separ_signers/Brady_1336.mov" TargetMode="External"/><Relationship Id="rId24681" Type="http://schemas.openxmlformats.org/officeDocument/2006/relationships/hyperlink" Target="http://csr.bu.edu/ftp/asl/asllvd/demos/verify_start_end_handshape_annotations//test_auto_move//signs_mov/1338.mov" TargetMode="External"/><Relationship Id="rId24682" Type="http://schemas.openxmlformats.org/officeDocument/2006/relationships/hyperlink" Target="http://csr.bu.edu/ftp/asl/asllvd/demos/verify_start_end_handshape_annotations//test_auto_move//signs_mov_separ_signers/Liz_1338.mov" TargetMode="External"/><Relationship Id="rId24683" Type="http://schemas.openxmlformats.org/officeDocument/2006/relationships/hyperlink" Target="http://secrets.rutgers.edu:8080/data/asl-ftp/asllvd/demos/verify_start_end_handshape_annotations//test_auto_move//signs_mov/1338.mov" TargetMode="External"/><Relationship Id="rId24684" Type="http://schemas.openxmlformats.org/officeDocument/2006/relationships/hyperlink" Target="http://secrets.rutgers.edu:8080/data/asl-ftp/asllvd/demos/verify_start_end_handshape_annotations//test_auto_move//signs_mov_separ_signers/Liz_1338.mov" TargetMode="External"/><Relationship Id="rId24685" Type="http://schemas.openxmlformats.org/officeDocument/2006/relationships/hyperlink" Target="http://csr.bu.edu/ftp/asl/asllvd/demos/verify_start_end_handshape_annotations//test_auto_move//signs_mov_separ_signers/Brady_1338.mov" TargetMode="External"/><Relationship Id="rId24686" Type="http://schemas.openxmlformats.org/officeDocument/2006/relationships/hyperlink" Target="http://secrets.rutgers.edu:8080/data/asl-ftp/asllvd/demos/verify_start_end_handshape_annotations//test_auto_move//signs_mov_separ_signers/Brady_1338.mov" TargetMode="External"/><Relationship Id="rId24687" Type="http://schemas.openxmlformats.org/officeDocument/2006/relationships/hyperlink" Target="http://csr.bu.edu/ftp/asl/asllvd/demos/verify_start_end_handshape_annotations//test_auto_move//signs_mov/1351.mov" TargetMode="External"/><Relationship Id="rId24688" Type="http://schemas.openxmlformats.org/officeDocument/2006/relationships/hyperlink" Target="http://csr.bu.edu/ftp/asl/asllvd/demos/verify_start_end_handshape_annotations//test_auto_move//signs_mov_separ_signers/Liz_1351.mov" TargetMode="External"/><Relationship Id="rId24689" Type="http://schemas.openxmlformats.org/officeDocument/2006/relationships/hyperlink" Target="http://secrets.rutgers.edu:8080/data/asl-ftp/asllvd/demos/verify_start_end_handshape_annotations//test_auto_move//signs_mov/1351.mov" TargetMode="External"/><Relationship Id="rId24690" Type="http://schemas.openxmlformats.org/officeDocument/2006/relationships/hyperlink" Target="http://secrets.rutgers.edu:8080/data/asl-ftp/asllvd/demos/verify_start_end_handshape_annotations//test_auto_move//signs_mov_separ_signers/Liz_1351.mov" TargetMode="External"/><Relationship Id="rId24691" Type="http://schemas.openxmlformats.org/officeDocument/2006/relationships/hyperlink" Target="http://csr.bu.edu/ftp/asl/asllvd/demos/verify_start_end_handshape_annotations//test_auto_move//signs_mov_separ_signers/Naomi_1351.mov" TargetMode="External"/><Relationship Id="rId24692" Type="http://schemas.openxmlformats.org/officeDocument/2006/relationships/hyperlink" Target="http://secrets.rutgers.edu:8080/data/asl-ftp/asllvd/demos/verify_start_end_handshape_annotations//test_auto_move//signs_mov_separ_signers/Naomi_1351.mov" TargetMode="External"/><Relationship Id="rId24693" Type="http://schemas.openxmlformats.org/officeDocument/2006/relationships/hyperlink" Target="http://csr.bu.edu/ftp/asl/asllvd/demos/verify_start_end_handshape_annotations//test_auto_move//signs_mov_separ_signers/Liz_1360.mov" TargetMode="External"/><Relationship Id="rId24694" Type="http://schemas.openxmlformats.org/officeDocument/2006/relationships/hyperlink" Target="http://secrets.rutgers.edu:8080/data/asl-ftp/asllvd/demos/verify_start_end_handshape_annotations//test_auto_move//signs_mov_separ_signers/Liz_1360.mov" TargetMode="External"/><Relationship Id="rId24695" Type="http://schemas.openxmlformats.org/officeDocument/2006/relationships/hyperlink" Target="http://csr.bu.edu/ftp/asl/asllvd/demos/verify_start_end_handshape_annotations//test_auto_move//signs_mov/1360.mov" TargetMode="External"/><Relationship Id="rId24696" Type="http://schemas.openxmlformats.org/officeDocument/2006/relationships/hyperlink" Target="http://csr.bu.edu/ftp/asl/asllvd/demos/verify_start_end_handshape_annotations//test_auto_move//signs_mov_separ_signers/Tyler_1360.mov" TargetMode="External"/><Relationship Id="rId24697" Type="http://schemas.openxmlformats.org/officeDocument/2006/relationships/hyperlink" Target="http://secrets.rutgers.edu:8080/data/asl-ftp/asllvd/demos/verify_start_end_handshape_annotations//test_auto_move//signs_mov/1360.mov" TargetMode="External"/><Relationship Id="rId24698" Type="http://schemas.openxmlformats.org/officeDocument/2006/relationships/hyperlink" Target="http://secrets.rutgers.edu:8080/data/asl-ftp/asllvd/demos/verify_start_end_handshape_annotations//test_auto_move//signs_mov_separ_signers/Tyler_1360.mov" TargetMode="External"/><Relationship Id="rId24699" Type="http://schemas.openxmlformats.org/officeDocument/2006/relationships/hyperlink" Target="http://csr.bu.edu/ftp/asl/asllvd/demos/verify_start_end_handshape_annotations//test_auto_move//signs_mov_separ_signers/Naomi_1360.mov" TargetMode="External"/><Relationship Id="rId24700" Type="http://schemas.openxmlformats.org/officeDocument/2006/relationships/hyperlink" Target="http://secrets.rutgers.edu:8080/data/asl-ftp/asllvd/demos/verify_start_end_handshape_annotations//test_auto_move//signs_mov_separ_signers/Naomi_1360.mov" TargetMode="External"/><Relationship Id="rId24701" Type="http://schemas.openxmlformats.org/officeDocument/2006/relationships/hyperlink" Target="http://csr.bu.edu/ftp/asl/asllvd/demos/verify_start_end_handshape_annotations//test_auto_move//signs_mov_separ_signers/Brady_1360.mov" TargetMode="External"/><Relationship Id="rId24702" Type="http://schemas.openxmlformats.org/officeDocument/2006/relationships/hyperlink" Target="http://secrets.rutgers.edu:8080/data/asl-ftp/asllvd/demos/verify_start_end_handshape_annotations//test_auto_move//signs_mov_separ_signers/Brady_1360.mov" TargetMode="External"/><Relationship Id="rId24703" Type="http://schemas.openxmlformats.org/officeDocument/2006/relationships/hyperlink" Target="http://csr.bu.edu/ftp/asl/asllvd/demos/verify_start_end_handshape_annotations//test_auto_move//signs_mov_separ_signers/Liz_1367.mov" TargetMode="External"/><Relationship Id="rId24704" Type="http://schemas.openxmlformats.org/officeDocument/2006/relationships/hyperlink" Target="http://secrets.rutgers.edu:8080/data/asl-ftp/asllvd/demos/verify_start_end_handshape_annotations//test_auto_move//signs_mov_separ_signers/Liz_1367.mov" TargetMode="External"/><Relationship Id="rId24705" Type="http://schemas.openxmlformats.org/officeDocument/2006/relationships/hyperlink" Target="http://csr.bu.edu/ftp/asl/asllvd/demos/verify_start_end_handshape_annotations//test_auto_move//signs_mov/1367.mov" TargetMode="External"/><Relationship Id="rId24706" Type="http://schemas.openxmlformats.org/officeDocument/2006/relationships/hyperlink" Target="http://csr.bu.edu/ftp/asl/asllvd/demos/verify_start_end_handshape_annotations//test_auto_move//signs_mov_separ_signers/Tyler_1367.mov" TargetMode="External"/><Relationship Id="rId24707" Type="http://schemas.openxmlformats.org/officeDocument/2006/relationships/hyperlink" Target="http://secrets.rutgers.edu:8080/data/asl-ftp/asllvd/demos/verify_start_end_handshape_annotations//test_auto_move//signs_mov/1367.mov" TargetMode="External"/><Relationship Id="rId24708" Type="http://schemas.openxmlformats.org/officeDocument/2006/relationships/hyperlink" Target="http://secrets.rutgers.edu:8080/data/asl-ftp/asllvd/demos/verify_start_end_handshape_annotations//test_auto_move//signs_mov_separ_signers/Tyler_1367.mov" TargetMode="External"/><Relationship Id="rId24709" Type="http://schemas.openxmlformats.org/officeDocument/2006/relationships/hyperlink" Target="http://csr.bu.edu/ftp/asl/asllvd/demos/verify_start_end_handshape_annotations//test_auto_move//signs_mov_separ_signers/Naomi_1367.mov" TargetMode="External"/><Relationship Id="rId24710" Type="http://schemas.openxmlformats.org/officeDocument/2006/relationships/hyperlink" Target="http://secrets.rutgers.edu:8080/data/asl-ftp/asllvd/demos/verify_start_end_handshape_annotations//test_auto_move//signs_mov_separ_signers/Naomi_1367.mov" TargetMode="External"/><Relationship Id="rId24711" Type="http://schemas.openxmlformats.org/officeDocument/2006/relationships/hyperlink" Target="http://csr.bu.edu/ftp/asl/asllvd/demos/verify_start_end_handshape_annotations//test_auto_move//signs_mov_separ_signers/Brady_1367.mov" TargetMode="External"/><Relationship Id="rId24712" Type="http://schemas.openxmlformats.org/officeDocument/2006/relationships/hyperlink" Target="http://secrets.rutgers.edu:8080/data/asl-ftp/asllvd/demos/verify_start_end_handshape_annotations//test_auto_move//signs_mov_separ_signers/Brady_1367.mov" TargetMode="External"/><Relationship Id="rId24713" Type="http://schemas.openxmlformats.org/officeDocument/2006/relationships/hyperlink" Target="http://csr.bu.edu/ftp/asl/asllvd/demos/verify_start_end_handshape_annotations//test_auto_move//signs_mov_separ_signers/Liz_1393.mov" TargetMode="External"/><Relationship Id="rId24714" Type="http://schemas.openxmlformats.org/officeDocument/2006/relationships/hyperlink" Target="http://secrets.rutgers.edu:8080/data/asl-ftp/asllvd/demos/verify_start_end_handshape_annotations//test_auto_move//signs_mov_separ_signers/Liz_1393.mov" TargetMode="External"/><Relationship Id="rId24715" Type="http://schemas.openxmlformats.org/officeDocument/2006/relationships/hyperlink" Target="http://csr.bu.edu/ftp/asl/asllvd/demos/verify_start_end_handshape_annotations//test_auto_move//signs_mov/1393.mov" TargetMode="External"/><Relationship Id="rId24716" Type="http://schemas.openxmlformats.org/officeDocument/2006/relationships/hyperlink" Target="http://csr.bu.edu/ftp/asl/asllvd/demos/verify_start_end_handshape_annotations//test_auto_move//signs_mov_separ_signers/Tyler_1393.mov" TargetMode="External"/><Relationship Id="rId24717" Type="http://schemas.openxmlformats.org/officeDocument/2006/relationships/hyperlink" Target="http://secrets.rutgers.edu:8080/data/asl-ftp/asllvd/demos/verify_start_end_handshape_annotations//test_auto_move//signs_mov/1393.mov" TargetMode="External"/><Relationship Id="rId24718" Type="http://schemas.openxmlformats.org/officeDocument/2006/relationships/hyperlink" Target="http://secrets.rutgers.edu:8080/data/asl-ftp/asllvd/demos/verify_start_end_handshape_annotations//test_auto_move//signs_mov_separ_signers/Tyler_1393.mov" TargetMode="External"/><Relationship Id="rId24719" Type="http://schemas.openxmlformats.org/officeDocument/2006/relationships/hyperlink" Target="http://csr.bu.edu/ftp/asl/asllvd/demos/verify_start_end_handshape_annotations//test_auto_move//signs_mov_separ_signers/Naomi_1393.mov" TargetMode="External"/><Relationship Id="rId24720" Type="http://schemas.openxmlformats.org/officeDocument/2006/relationships/hyperlink" Target="http://secrets.rutgers.edu:8080/data/asl-ftp/asllvd/demos/verify_start_end_handshape_annotations//test_auto_move//signs_mov_separ_signers/Naomi_1393.mov" TargetMode="External"/><Relationship Id="rId24721" Type="http://schemas.openxmlformats.org/officeDocument/2006/relationships/hyperlink" Target="http://csr.bu.edu/ftp/asl/asllvd/demos/verify_start_end_handshape_annotations//test_auto_move//signs_mov_separ_signers/Brady_1393.mov" TargetMode="External"/><Relationship Id="rId24722" Type="http://schemas.openxmlformats.org/officeDocument/2006/relationships/hyperlink" Target="http://secrets.rutgers.edu:8080/data/asl-ftp/asllvd/demos/verify_start_end_handshape_annotations//test_auto_move//signs_mov_separ_signers/Brady_1393.mov" TargetMode="External"/><Relationship Id="rId24723" Type="http://schemas.openxmlformats.org/officeDocument/2006/relationships/hyperlink" Target="http://csr.bu.edu/ftp/asl/asllvd/demos/verify_start_end_handshape_annotations//test_auto_move//signs_mov_separ_signers/Liz_1409.mov" TargetMode="External"/><Relationship Id="rId24724" Type="http://schemas.openxmlformats.org/officeDocument/2006/relationships/hyperlink" Target="http://secrets.rutgers.edu:8080/data/asl-ftp/asllvd/demos/verify_start_end_handshape_annotations//test_auto_move//signs_mov_separ_signers/Liz_1409.mov" TargetMode="External"/><Relationship Id="rId24725" Type="http://schemas.openxmlformats.org/officeDocument/2006/relationships/hyperlink" Target="http://csr.bu.edu/ftp/asl/asllvd/demos/verify_start_end_handshape_annotations//test_auto_move//signs_mov/1409.mov" TargetMode="External"/><Relationship Id="rId24726" Type="http://schemas.openxmlformats.org/officeDocument/2006/relationships/hyperlink" Target="http://csr.bu.edu/ftp/asl/asllvd/demos/verify_start_end_handshape_annotations//test_auto_move//signs_mov_separ_signers/Tyler_1409.mov" TargetMode="External"/><Relationship Id="rId24727" Type="http://schemas.openxmlformats.org/officeDocument/2006/relationships/hyperlink" Target="http://secrets.rutgers.edu:8080/data/asl-ftp/asllvd/demos/verify_start_end_handshape_annotations//test_auto_move//signs_mov/1409.mov" TargetMode="External"/><Relationship Id="rId24728" Type="http://schemas.openxmlformats.org/officeDocument/2006/relationships/hyperlink" Target="http://secrets.rutgers.edu:8080/data/asl-ftp/asllvd/demos/verify_start_end_handshape_annotations//test_auto_move//signs_mov_separ_signers/Tyler_1409.mov" TargetMode="External"/><Relationship Id="rId24729" Type="http://schemas.openxmlformats.org/officeDocument/2006/relationships/hyperlink" Target="http://csr.bu.edu/ftp/asl/asllvd/demos/verify_start_end_handshape_annotations//test_auto_move//signs_mov_separ_signers/Naomi_1409.mov" TargetMode="External"/><Relationship Id="rId24730" Type="http://schemas.openxmlformats.org/officeDocument/2006/relationships/hyperlink" Target="http://secrets.rutgers.edu:8080/data/asl-ftp/asllvd/demos/verify_start_end_handshape_annotations//test_auto_move//signs_mov_separ_signers/Naomi_1409.mov" TargetMode="External"/><Relationship Id="rId24731" Type="http://schemas.openxmlformats.org/officeDocument/2006/relationships/hyperlink" Target="http://csr.bu.edu/ftp/asl/asllvd/demos/verify_start_end_handshape_annotations//test_auto_move//signs_mov_separ_signers/Liz_1410.mov" TargetMode="External"/><Relationship Id="rId24732" Type="http://schemas.openxmlformats.org/officeDocument/2006/relationships/hyperlink" Target="http://secrets.rutgers.edu:8080/data/asl-ftp/asllvd/demos/verify_start_end_handshape_annotations//test_auto_move//signs_mov_separ_signers/Liz_1410.mov" TargetMode="External"/><Relationship Id="rId24733" Type="http://schemas.openxmlformats.org/officeDocument/2006/relationships/hyperlink" Target="http://csr.bu.edu/ftp/asl/asllvd/demos/verify_start_end_handshape_annotations//test_auto_move//signs_mov/1410.mov" TargetMode="External"/><Relationship Id="rId24734" Type="http://schemas.openxmlformats.org/officeDocument/2006/relationships/hyperlink" Target="http://csr.bu.edu/ftp/asl/asllvd/demos/verify_start_end_handshape_annotations//test_auto_move//signs_mov_separ_signers/Tyler_1410.mov" TargetMode="External"/><Relationship Id="rId24735" Type="http://schemas.openxmlformats.org/officeDocument/2006/relationships/hyperlink" Target="http://secrets.rutgers.edu:8080/data/asl-ftp/asllvd/demos/verify_start_end_handshape_annotations//test_auto_move//signs_mov/1410.mov" TargetMode="External"/><Relationship Id="rId24736" Type="http://schemas.openxmlformats.org/officeDocument/2006/relationships/hyperlink" Target="http://secrets.rutgers.edu:8080/data/asl-ftp/asllvd/demos/verify_start_end_handshape_annotations//test_auto_move//signs_mov_separ_signers/Tyler_1410.mov" TargetMode="External"/><Relationship Id="rId24737" Type="http://schemas.openxmlformats.org/officeDocument/2006/relationships/hyperlink" Target="http://csr.bu.edu/ftp/asl/asllvd/demos/verify_start_end_handshape_annotations//test_auto_move//signs_mov_separ_signers/Naomi_1410.mov" TargetMode="External"/><Relationship Id="rId24738" Type="http://schemas.openxmlformats.org/officeDocument/2006/relationships/hyperlink" Target="http://secrets.rutgers.edu:8080/data/asl-ftp/asllvd/demos/verify_start_end_handshape_annotations//test_auto_move//signs_mov_separ_signers/Naomi_1410.mov" TargetMode="External"/><Relationship Id="rId24739" Type="http://schemas.openxmlformats.org/officeDocument/2006/relationships/hyperlink" Target="http://csr.bu.edu/ftp/asl/asllvd/demos/verify_start_end_handshape_annotations//test_auto_move//signs_mov_separ_signers/Liz_4674.mov" TargetMode="External"/><Relationship Id="rId24740" Type="http://schemas.openxmlformats.org/officeDocument/2006/relationships/hyperlink" Target="http://secrets.rutgers.edu:8080/data/asl-ftp/asllvd/demos/verify_start_end_handshape_annotations//test_auto_move//signs_mov_separ_signers/Liz_4674.mov" TargetMode="External"/><Relationship Id="rId24741" Type="http://schemas.openxmlformats.org/officeDocument/2006/relationships/hyperlink" Target="http://csr.bu.edu/ftp/asl/asllvd/demos/verify_start_end_handshape_annotations//test_auto_move//signs_mov_separ_signers/Liz_15509.mov" TargetMode="External"/><Relationship Id="rId24742" Type="http://schemas.openxmlformats.org/officeDocument/2006/relationships/hyperlink" Target="http://secrets.rutgers.edu:8080/data/asl-ftp/asllvd/demos/verify_start_end_handshape_annotations//test_auto_move//signs_mov_separ_signers/Liz_15509.mov" TargetMode="External"/><Relationship Id="rId24743" Type="http://schemas.openxmlformats.org/officeDocument/2006/relationships/hyperlink" Target="http://csr.bu.edu/ftp/asl/asllvd/demos/verify_start_end_handshape_annotations//test_auto_move//signs_mov_separ_signers/Tyler_4674.mov" TargetMode="External"/><Relationship Id="rId24744" Type="http://schemas.openxmlformats.org/officeDocument/2006/relationships/hyperlink" Target="http://secrets.rutgers.edu:8080/data/asl-ftp/asllvd/demos/verify_start_end_handshape_annotations//test_auto_move//signs_mov_separ_signers/Tyler_4674.mov" TargetMode="External"/><Relationship Id="rId24745" Type="http://schemas.openxmlformats.org/officeDocument/2006/relationships/hyperlink" Target="http://csr.bu.edu/ftp/asl/asllvd/demos/verify_start_end_handshape_annotations//test_auto_move//signs_mov/4674_15509_merged.mov" TargetMode="External"/><Relationship Id="rId24746" Type="http://schemas.openxmlformats.org/officeDocument/2006/relationships/hyperlink" Target="http://csr.bu.edu/ftp/asl/asllvd/demos/verify_start_end_handshape_annotations//test_auto_move//signs_mov_separ_signers/Naomi_4674.mov" TargetMode="External"/><Relationship Id="rId24747" Type="http://schemas.openxmlformats.org/officeDocument/2006/relationships/hyperlink" Target="http://secrets.rutgers.edu:8080/data/asl-ftp/asllvd/demos/verify_start_end_handshape_annotations//test_auto_move//signs_mov/4674_15509_merged.mov" TargetMode="External"/><Relationship Id="rId24748" Type="http://schemas.openxmlformats.org/officeDocument/2006/relationships/hyperlink" Target="http://secrets.rutgers.edu:8080/data/asl-ftp/asllvd/demos/verify_start_end_handshape_annotations//test_auto_move//signs_mov_separ_signers/Naomi_4674.mov" TargetMode="External"/><Relationship Id="rId24749" Type="http://schemas.openxmlformats.org/officeDocument/2006/relationships/hyperlink" Target="http://csr.bu.edu/ftp/asl/asllvd/demos/verify_start_end_handshape_annotations//test_auto_move//signs_mov_separ_signers/Brady_4674.mov" TargetMode="External"/><Relationship Id="rId24750" Type="http://schemas.openxmlformats.org/officeDocument/2006/relationships/hyperlink" Target="http://secrets.rutgers.edu:8080/data/asl-ftp/asllvd/demos/verify_start_end_handshape_annotations//test_auto_move//signs_mov_separ_signers/Brady_4674.mov" TargetMode="External"/><Relationship Id="rId24751" Type="http://schemas.openxmlformats.org/officeDocument/2006/relationships/hyperlink" Target="http://csr.bu.edu/ftp/asl/asllvd/demos/verify_start_end_handshape_annotations//test_auto_move//signs_mov_separ_signers/Brady_15509.mov" TargetMode="External"/><Relationship Id="rId24752" Type="http://schemas.openxmlformats.org/officeDocument/2006/relationships/hyperlink" Target="http://secrets.rutgers.edu:8080/data/asl-ftp/asllvd/demos/verify_start_end_handshape_annotations//test_auto_move//signs_mov_separ_signers/Brady_15509.mov" TargetMode="External"/><Relationship Id="rId24753" Type="http://schemas.openxmlformats.org/officeDocument/2006/relationships/hyperlink" Target="http://csr.bu.edu/ftp/asl/asllvd/demos/verify_start_end_handshape_annotations//test_auto_move//signs_mov_separ_signers/Lana_4674.mov" TargetMode="External"/><Relationship Id="rId24754" Type="http://schemas.openxmlformats.org/officeDocument/2006/relationships/hyperlink" Target="http://secrets.rutgers.edu:8080/data/asl-ftp/asllvd/demos/verify_start_end_handshape_annotations//test_auto_move//signs_mov_separ_signers/Lana_4674.mov" TargetMode="External"/><Relationship Id="rId24755" Type="http://schemas.openxmlformats.org/officeDocument/2006/relationships/hyperlink" Target="http://csr.bu.edu/ftp/asl/asllvd/demos/verify_start_end_handshape_annotations//test_auto_move//signs_mov_separ_signers/Dana_4674.mov" TargetMode="External"/><Relationship Id="rId24756" Type="http://schemas.openxmlformats.org/officeDocument/2006/relationships/hyperlink" Target="http://secrets.rutgers.edu:8080/data/asl-ftp/asllvd/demos/verify_start_end_handshape_annotations//test_auto_move//signs_mov_separ_signers/Dana_4674.mov" TargetMode="External"/><Relationship Id="rId24757" Type="http://schemas.openxmlformats.org/officeDocument/2006/relationships/hyperlink" Target="http://csr.bu.edu/ftp/asl/asllvd/demos/verify_start_end_handshape_annotations//test_auto_move//signs_mov_separ_signers/Liz_1426.mov" TargetMode="External"/><Relationship Id="rId24758" Type="http://schemas.openxmlformats.org/officeDocument/2006/relationships/hyperlink" Target="http://secrets.rutgers.edu:8080/data/asl-ftp/asllvd/demos/verify_start_end_handshape_annotations//test_auto_move//signs_mov_separ_signers/Liz_1426.mov" TargetMode="External"/><Relationship Id="rId24759" Type="http://schemas.openxmlformats.org/officeDocument/2006/relationships/hyperlink" Target="http://csr.bu.edu/ftp/asl/asllvd/demos/verify_start_end_handshape_annotations//test_auto_move//signs_mov/1426.mov" TargetMode="External"/><Relationship Id="rId24760" Type="http://schemas.openxmlformats.org/officeDocument/2006/relationships/hyperlink" Target="http://csr.bu.edu/ftp/asl/asllvd/demos/verify_start_end_handshape_annotations//test_auto_move//signs_mov_separ_signers/Naomi_1426.mov" TargetMode="External"/><Relationship Id="rId24761" Type="http://schemas.openxmlformats.org/officeDocument/2006/relationships/hyperlink" Target="http://secrets.rutgers.edu:8080/data/asl-ftp/asllvd/demos/verify_start_end_handshape_annotations//test_auto_move//signs_mov/1426.mov" TargetMode="External"/><Relationship Id="rId24762" Type="http://schemas.openxmlformats.org/officeDocument/2006/relationships/hyperlink" Target="http://secrets.rutgers.edu:8080/data/asl-ftp/asllvd/demos/verify_start_end_handshape_annotations//test_auto_move//signs_mov_separ_signers/Naomi_1426.mov" TargetMode="External"/><Relationship Id="rId24763" Type="http://schemas.openxmlformats.org/officeDocument/2006/relationships/hyperlink" Target="http://csr.bu.edu/ftp/asl/asllvd/demos/verify_start_end_handshape_annotations//test_auto_move//signs_mov_separ_signers/Brady_1426.mov" TargetMode="External"/><Relationship Id="rId24764" Type="http://schemas.openxmlformats.org/officeDocument/2006/relationships/hyperlink" Target="http://secrets.rutgers.edu:8080/data/asl-ftp/asllvd/demos/verify_start_end_handshape_annotations//test_auto_move//signs_mov_separ_signers/Brady_1426.mov" TargetMode="External"/><Relationship Id="rId24765" Type="http://schemas.openxmlformats.org/officeDocument/2006/relationships/hyperlink" Target="http://csr.bu.edu/ftp/asl/asllvd/demos/verify_start_end_handshape_annotations//test_auto_move//signs_mov/3028.mov" TargetMode="External"/><Relationship Id="rId24766" Type="http://schemas.openxmlformats.org/officeDocument/2006/relationships/hyperlink" Target="http://csr.bu.edu/ftp/asl/asllvd/demos/verify_start_end_handshape_annotations//test_auto_move//signs_mov_separ_signers/Tyler_3028.mov" TargetMode="External"/><Relationship Id="rId24767" Type="http://schemas.openxmlformats.org/officeDocument/2006/relationships/hyperlink" Target="http://secrets.rutgers.edu:8080/data/asl-ftp/asllvd/demos/verify_start_end_handshape_annotations//test_auto_move//signs_mov/3028.mov" TargetMode="External"/><Relationship Id="rId24768" Type="http://schemas.openxmlformats.org/officeDocument/2006/relationships/hyperlink" Target="http://secrets.rutgers.edu:8080/data/asl-ftp/asllvd/demos/verify_start_end_handshape_annotations//test_auto_move//signs_mov_separ_signers/Tyler_3028.mov" TargetMode="External"/><Relationship Id="rId24769" Type="http://schemas.openxmlformats.org/officeDocument/2006/relationships/hyperlink" Target="http://csr.bu.edu/ftp/asl/asllvd/demos/verify_start_end_handshape_annotations//test_auto_move//signs_mov_separ_signers/Brady_3028.mov" TargetMode="External"/><Relationship Id="rId24770" Type="http://schemas.openxmlformats.org/officeDocument/2006/relationships/hyperlink" Target="http://secrets.rutgers.edu:8080/data/asl-ftp/asllvd/demos/verify_start_end_handshape_annotations//test_auto_move//signs_mov_separ_signers/Brady_3028.mov" TargetMode="External"/><Relationship Id="rId24771" Type="http://schemas.openxmlformats.org/officeDocument/2006/relationships/hyperlink" Target="http://csr.bu.edu/ftp/asl/asllvd/demos/verify_start_end_handshape_annotations//test_auto_move//signs_mov_separ_signers/Liz_1427.mov" TargetMode="External"/><Relationship Id="rId24772" Type="http://schemas.openxmlformats.org/officeDocument/2006/relationships/hyperlink" Target="http://secrets.rutgers.edu:8080/data/asl-ftp/asllvd/demos/verify_start_end_handshape_annotations//test_auto_move//signs_mov_separ_signers/Liz_1427.mov" TargetMode="External"/><Relationship Id="rId24773" Type="http://schemas.openxmlformats.org/officeDocument/2006/relationships/hyperlink" Target="http://csr.bu.edu/ftp/asl/asllvd/demos/verify_start_end_handshape_annotations//test_auto_move//signs_mov/1427.mov" TargetMode="External"/><Relationship Id="rId24774" Type="http://schemas.openxmlformats.org/officeDocument/2006/relationships/hyperlink" Target="http://csr.bu.edu/ftp/asl/asllvd/demos/verify_start_end_handshape_annotations//test_auto_move//signs_mov_separ_signers/Tyler_1427.mov" TargetMode="External"/><Relationship Id="rId24775" Type="http://schemas.openxmlformats.org/officeDocument/2006/relationships/hyperlink" Target="http://secrets.rutgers.edu:8080/data/asl-ftp/asllvd/demos/verify_start_end_handshape_annotations//test_auto_move//signs_mov/1427.mov" TargetMode="External"/><Relationship Id="rId24776" Type="http://schemas.openxmlformats.org/officeDocument/2006/relationships/hyperlink" Target="http://secrets.rutgers.edu:8080/data/asl-ftp/asllvd/demos/verify_start_end_handshape_annotations//test_auto_move//signs_mov_separ_signers/Tyler_1427.mov" TargetMode="External"/><Relationship Id="rId24777" Type="http://schemas.openxmlformats.org/officeDocument/2006/relationships/hyperlink" Target="http://csr.bu.edu/ftp/asl/asllvd/demos/verify_start_end_handshape_annotations//test_auto_move//signs_mov_separ_signers/Naomi_1427.mov" TargetMode="External"/><Relationship Id="rId24778" Type="http://schemas.openxmlformats.org/officeDocument/2006/relationships/hyperlink" Target="http://secrets.rutgers.edu:8080/data/asl-ftp/asllvd/demos/verify_start_end_handshape_annotations//test_auto_move//signs_mov_separ_signers/Naomi_1427.mov" TargetMode="External"/><Relationship Id="rId24779" Type="http://schemas.openxmlformats.org/officeDocument/2006/relationships/hyperlink" Target="http://csr.bu.edu/ftp/asl/asllvd/demos/verify_start_end_handshape_annotations//test_auto_move//signs_mov_separ_signers/Brady_1427.mov" TargetMode="External"/><Relationship Id="rId24780" Type="http://schemas.openxmlformats.org/officeDocument/2006/relationships/hyperlink" Target="http://secrets.rutgers.edu:8080/data/asl-ftp/asllvd/demos/verify_start_end_handshape_annotations//test_auto_move//signs_mov_separ_signers/Brady_1427.mov" TargetMode="External"/><Relationship Id="rId24781" Type="http://schemas.openxmlformats.org/officeDocument/2006/relationships/hyperlink" Target="http://csr.bu.edu/ftp/asl/asllvd/demos/verify_start_end_handshape_annotations//test_auto_move//signs_mov_separ_signers/Liz_1442.mov" TargetMode="External"/><Relationship Id="rId24782" Type="http://schemas.openxmlformats.org/officeDocument/2006/relationships/hyperlink" Target="http://secrets.rutgers.edu:8080/data/asl-ftp/asllvd/demos/verify_start_end_handshape_annotations//test_auto_move//signs_mov_separ_signers/Liz_1442.mov" TargetMode="External"/><Relationship Id="rId24783" Type="http://schemas.openxmlformats.org/officeDocument/2006/relationships/hyperlink" Target="http://csr.bu.edu/ftp/asl/asllvd/demos/verify_start_end_handshape_annotations//test_auto_move//signs_mov/1442.mov" TargetMode="External"/><Relationship Id="rId24784" Type="http://schemas.openxmlformats.org/officeDocument/2006/relationships/hyperlink" Target="http://csr.bu.edu/ftp/asl/asllvd/demos/verify_start_end_handshape_annotations//test_auto_move//signs_mov_separ_signers/Naomi_1442.mov" TargetMode="External"/><Relationship Id="rId24785" Type="http://schemas.openxmlformats.org/officeDocument/2006/relationships/hyperlink" Target="http://secrets.rutgers.edu:8080/data/asl-ftp/asllvd/demos/verify_start_end_handshape_annotations//test_auto_move//signs_mov/1442.mov" TargetMode="External"/><Relationship Id="rId24786" Type="http://schemas.openxmlformats.org/officeDocument/2006/relationships/hyperlink" Target="http://secrets.rutgers.edu:8080/data/asl-ftp/asllvd/demos/verify_start_end_handshape_annotations//test_auto_move//signs_mov_separ_signers/Naomi_1442.mov" TargetMode="External"/><Relationship Id="rId24787" Type="http://schemas.openxmlformats.org/officeDocument/2006/relationships/hyperlink" Target="http://csr.bu.edu/ftp/asl/asllvd/demos/verify_start_end_handshape_annotations//test_auto_move//signs_mov_separ_signers/Brady_1442.mov" TargetMode="External"/><Relationship Id="rId24788" Type="http://schemas.openxmlformats.org/officeDocument/2006/relationships/hyperlink" Target="http://secrets.rutgers.edu:8080/data/asl-ftp/asllvd/demos/verify_start_end_handshape_annotations//test_auto_move//signs_mov_separ_signers/Brady_1442.mov" TargetMode="External"/><Relationship Id="rId24789" Type="http://schemas.openxmlformats.org/officeDocument/2006/relationships/hyperlink" Target="http://csr.bu.edu/ftp/asl/asllvd/demos/verify_start_end_handshape_annotations//test_auto_move//signs_mov_separ_signers/Liz_1443.mov" TargetMode="External"/><Relationship Id="rId24790" Type="http://schemas.openxmlformats.org/officeDocument/2006/relationships/hyperlink" Target="http://secrets.rutgers.edu:8080/data/asl-ftp/asllvd/demos/verify_start_end_handshape_annotations//test_auto_move//signs_mov_separ_signers/Liz_1443.mov" TargetMode="External"/><Relationship Id="rId24791" Type="http://schemas.openxmlformats.org/officeDocument/2006/relationships/hyperlink" Target="http://csr.bu.edu/ftp/asl/asllvd/demos/verify_start_end_handshape_annotations//test_auto_move//signs_mov/1443.mov" TargetMode="External"/><Relationship Id="rId24792" Type="http://schemas.openxmlformats.org/officeDocument/2006/relationships/hyperlink" Target="http://csr.bu.edu/ftp/asl/asllvd/demos/verify_start_end_handshape_annotations//test_auto_move//signs_mov_separ_signers/Tyler_1443.mov" TargetMode="External"/><Relationship Id="rId24793" Type="http://schemas.openxmlformats.org/officeDocument/2006/relationships/hyperlink" Target="http://secrets.rutgers.edu:8080/data/asl-ftp/asllvd/demos/verify_start_end_handshape_annotations//test_auto_move//signs_mov/1443.mov" TargetMode="External"/><Relationship Id="rId24794" Type="http://schemas.openxmlformats.org/officeDocument/2006/relationships/hyperlink" Target="http://secrets.rutgers.edu:8080/data/asl-ftp/asllvd/demos/verify_start_end_handshape_annotations//test_auto_move//signs_mov_separ_signers/Tyler_1443.mov" TargetMode="External"/><Relationship Id="rId24795" Type="http://schemas.openxmlformats.org/officeDocument/2006/relationships/hyperlink" Target="http://csr.bu.edu/ftp/asl/asllvd/demos/verify_start_end_handshape_annotations//test_auto_move//signs_mov_separ_signers/Naomi_1443.mov" TargetMode="External"/><Relationship Id="rId24796" Type="http://schemas.openxmlformats.org/officeDocument/2006/relationships/hyperlink" Target="http://secrets.rutgers.edu:8080/data/asl-ftp/asllvd/demos/verify_start_end_handshape_annotations//test_auto_move//signs_mov_separ_signers/Naomi_1443.mov" TargetMode="External"/><Relationship Id="rId24797" Type="http://schemas.openxmlformats.org/officeDocument/2006/relationships/hyperlink" Target="http://csr.bu.edu/ftp/asl/asllvd/demos/verify_start_end_handshape_annotations//test_auto_move//signs_mov_separ_signers/Brady_1443.mov" TargetMode="External"/><Relationship Id="rId24798" Type="http://schemas.openxmlformats.org/officeDocument/2006/relationships/hyperlink" Target="http://secrets.rutgers.edu:8080/data/asl-ftp/asllvd/demos/verify_start_end_handshape_annotations//test_auto_move//signs_mov_separ_signers/Brady_1443.mov" TargetMode="External"/><Relationship Id="rId24799" Type="http://schemas.openxmlformats.org/officeDocument/2006/relationships/hyperlink" Target="http://csr.bu.edu/ftp/asl/asllvd/demos/verify_start_end_handshape_annotations//test_auto_move//signs_mov/5247.mov" TargetMode="External"/><Relationship Id="rId24800" Type="http://schemas.openxmlformats.org/officeDocument/2006/relationships/hyperlink" Target="http://csr.bu.edu/ftp/asl/asllvd/demos/verify_start_end_handshape_annotations//test_auto_move//signs_mov_separ_signers/Tyler_5247.mov" TargetMode="External"/><Relationship Id="rId24801" Type="http://schemas.openxmlformats.org/officeDocument/2006/relationships/hyperlink" Target="http://secrets.rutgers.edu:8080/data/asl-ftp/asllvd/demos/verify_start_end_handshape_annotations//test_auto_move//signs_mov/5247.mov" TargetMode="External"/><Relationship Id="rId24802" Type="http://schemas.openxmlformats.org/officeDocument/2006/relationships/hyperlink" Target="http://secrets.rutgers.edu:8080/data/asl-ftp/asllvd/demos/verify_start_end_handshape_annotations//test_auto_move//signs_mov_separ_signers/Tyler_5247.mov" TargetMode="External"/><Relationship Id="rId24803" Type="http://schemas.openxmlformats.org/officeDocument/2006/relationships/hyperlink" Target="http://csr.bu.edu/ftp/asl/asllvd/demos/verify_start_end_handshape_annotations//test_auto_move//signs_mov_separ_signers/Liz_1452.mov" TargetMode="External"/><Relationship Id="rId24804" Type="http://schemas.openxmlformats.org/officeDocument/2006/relationships/hyperlink" Target="http://secrets.rutgers.edu:8080/data/asl-ftp/asllvd/demos/verify_start_end_handshape_annotations//test_auto_move//signs_mov_separ_signers/Liz_1452.mov" TargetMode="External"/><Relationship Id="rId24805" Type="http://schemas.openxmlformats.org/officeDocument/2006/relationships/hyperlink" Target="http://csr.bu.edu/ftp/asl/asllvd/demos/verify_start_end_handshape_annotations//test_auto_move//signs_mov/1452.mov" TargetMode="External"/><Relationship Id="rId24806" Type="http://schemas.openxmlformats.org/officeDocument/2006/relationships/hyperlink" Target="http://csr.bu.edu/ftp/asl/asllvd/demos/verify_start_end_handshape_annotations//test_auto_move//signs_mov_separ_signers/Tyler_1452.mov" TargetMode="External"/><Relationship Id="rId24807" Type="http://schemas.openxmlformats.org/officeDocument/2006/relationships/hyperlink" Target="http://secrets.rutgers.edu:8080/data/asl-ftp/asllvd/demos/verify_start_end_handshape_annotations//test_auto_move//signs_mov/1452.mov" TargetMode="External"/><Relationship Id="rId24808" Type="http://schemas.openxmlformats.org/officeDocument/2006/relationships/hyperlink" Target="http://secrets.rutgers.edu:8080/data/asl-ftp/asllvd/demos/verify_start_end_handshape_annotations//test_auto_move//signs_mov_separ_signers/Tyler_1452.mov" TargetMode="External"/><Relationship Id="rId24809" Type="http://schemas.openxmlformats.org/officeDocument/2006/relationships/hyperlink" Target="http://csr.bu.edu/ftp/asl/asllvd/demos/verify_start_end_handshape_annotations//test_auto_move//signs_mov_separ_signers/Naomi_1452.mov" TargetMode="External"/><Relationship Id="rId24810" Type="http://schemas.openxmlformats.org/officeDocument/2006/relationships/hyperlink" Target="http://secrets.rutgers.edu:8080/data/asl-ftp/asllvd/demos/verify_start_end_handshape_annotations//test_auto_move//signs_mov_separ_signers/Naomi_1452.mov" TargetMode="External"/><Relationship Id="rId24811" Type="http://schemas.openxmlformats.org/officeDocument/2006/relationships/hyperlink" Target="http://csr.bu.edu/ftp/asl/asllvd/demos/verify_start_end_handshape_annotations//test_auto_move//signs_mov_separ_signers/Liz_4732.mov" TargetMode="External"/><Relationship Id="rId24812" Type="http://schemas.openxmlformats.org/officeDocument/2006/relationships/hyperlink" Target="http://secrets.rutgers.edu:8080/data/asl-ftp/asllvd/demos/verify_start_end_handshape_annotations//test_auto_move//signs_mov_separ_signers/Liz_4732.mov" TargetMode="External"/><Relationship Id="rId24813" Type="http://schemas.openxmlformats.org/officeDocument/2006/relationships/hyperlink" Target="http://csr.bu.edu/ftp/asl/asllvd/demos/verify_start_end_handshape_annotations//test_auto_move//signs_mov_separ_signers/Tyler_4732.mov" TargetMode="External"/><Relationship Id="rId24814" Type="http://schemas.openxmlformats.org/officeDocument/2006/relationships/hyperlink" Target="http://secrets.rutgers.edu:8080/data/asl-ftp/asllvd/demos/verify_start_end_handshape_annotations//test_auto_move//signs_mov_separ_signers/Tyler_4732.mov" TargetMode="External"/><Relationship Id="rId24815" Type="http://schemas.openxmlformats.org/officeDocument/2006/relationships/hyperlink" Target="http://csr.bu.edu/ftp/asl/asllvd/demos/verify_start_end_handshape_annotations//test_auto_move//signs_mov/4732.mov" TargetMode="External"/><Relationship Id="rId24816" Type="http://schemas.openxmlformats.org/officeDocument/2006/relationships/hyperlink" Target="http://csr.bu.edu/ftp/asl/asllvd/demos/verify_start_end_handshape_annotations//test_auto_move//signs_mov_separ_signers/Naomi_4732.mov" TargetMode="External"/><Relationship Id="rId24817" Type="http://schemas.openxmlformats.org/officeDocument/2006/relationships/hyperlink" Target="http://secrets.rutgers.edu:8080/data/asl-ftp/asllvd/demos/verify_start_end_handshape_annotations//test_auto_move//signs_mov/4732.mov" TargetMode="External"/><Relationship Id="rId24818" Type="http://schemas.openxmlformats.org/officeDocument/2006/relationships/hyperlink" Target="http://secrets.rutgers.edu:8080/data/asl-ftp/asllvd/demos/verify_start_end_handshape_annotations//test_auto_move//signs_mov_separ_signers/Naomi_4732.mov" TargetMode="External"/><Relationship Id="rId24819" Type="http://schemas.openxmlformats.org/officeDocument/2006/relationships/hyperlink" Target="http://csr.bu.edu/ftp/asl/asllvd/demos/verify_start_end_handshape_annotations//test_auto_move//signs_mov_separ_signers/Brady_4732.mov" TargetMode="External"/><Relationship Id="rId24820" Type="http://schemas.openxmlformats.org/officeDocument/2006/relationships/hyperlink" Target="http://secrets.rutgers.edu:8080/data/asl-ftp/asllvd/demos/verify_start_end_handshape_annotations//test_auto_move//signs_mov_separ_signers/Brady_4732.mov" TargetMode="External"/><Relationship Id="rId24821" Type="http://schemas.openxmlformats.org/officeDocument/2006/relationships/hyperlink" Target="http://csr.bu.edu/ftp/asl/asllvd/demos/verify_start_end_handshape_annotations//test_auto_move//signs_mov_separ_signers/Lana_4732.mov" TargetMode="External"/><Relationship Id="rId24822" Type="http://schemas.openxmlformats.org/officeDocument/2006/relationships/hyperlink" Target="http://secrets.rutgers.edu:8080/data/asl-ftp/asllvd/demos/verify_start_end_handshape_annotations//test_auto_move//signs_mov_separ_signers/Lana_4732.mov" TargetMode="External"/><Relationship Id="rId24823" Type="http://schemas.openxmlformats.org/officeDocument/2006/relationships/hyperlink" Target="http://csr.bu.edu/ftp/asl/asllvd/demos/verify_start_end_handshape_annotations//test_auto_move//signs_mov_separ_signers/Dana_4732.mov" TargetMode="External"/><Relationship Id="rId24824" Type="http://schemas.openxmlformats.org/officeDocument/2006/relationships/hyperlink" Target="http://secrets.rutgers.edu:8080/data/asl-ftp/asllvd/demos/verify_start_end_handshape_annotations//test_auto_move//signs_mov_separ_signers/Dana_4732.mov" TargetMode="External"/><Relationship Id="rId24825" Type="http://schemas.openxmlformats.org/officeDocument/2006/relationships/hyperlink" Target="http://csr.bu.edu/ftp/asl/asllvd/demos/verify_start_end_handshape_annotations//test_auto_move//signs_mov/1471.mov" TargetMode="External"/><Relationship Id="rId24826" Type="http://schemas.openxmlformats.org/officeDocument/2006/relationships/hyperlink" Target="http://csr.bu.edu/ftp/asl/asllvd/demos/verify_start_end_handshape_annotations//test_auto_move//signs_mov_separ_signers/Liz_1471.mov" TargetMode="External"/><Relationship Id="rId24827" Type="http://schemas.openxmlformats.org/officeDocument/2006/relationships/hyperlink" Target="http://secrets.rutgers.edu:8080/data/asl-ftp/asllvd/demos/verify_start_end_handshape_annotations//test_auto_move//signs_mov/1471.mov" TargetMode="External"/><Relationship Id="rId24828" Type="http://schemas.openxmlformats.org/officeDocument/2006/relationships/hyperlink" Target="http://secrets.rutgers.edu:8080/data/asl-ftp/asllvd/demos/verify_start_end_handshape_annotations//test_auto_move//signs_mov_separ_signers/Liz_1471.mov" TargetMode="External"/><Relationship Id="rId24829" Type="http://schemas.openxmlformats.org/officeDocument/2006/relationships/hyperlink" Target="http://csr.bu.edu/ftp/asl/asllvd/demos/verify_start_end_handshape_annotations//test_auto_move//signs_mov/1487.mov" TargetMode="External"/><Relationship Id="rId24830" Type="http://schemas.openxmlformats.org/officeDocument/2006/relationships/hyperlink" Target="http://csr.bu.edu/ftp/asl/asllvd/demos/verify_start_end_handshape_annotations//test_auto_move//signs_mov_separ_signers/Liz_1487.mov" TargetMode="External"/><Relationship Id="rId24831" Type="http://schemas.openxmlformats.org/officeDocument/2006/relationships/hyperlink" Target="http://secrets.rutgers.edu:8080/data/asl-ftp/asllvd/demos/verify_start_end_handshape_annotations//test_auto_move//signs_mov/1487.mov" TargetMode="External"/><Relationship Id="rId24832" Type="http://schemas.openxmlformats.org/officeDocument/2006/relationships/hyperlink" Target="http://secrets.rutgers.edu:8080/data/asl-ftp/asllvd/demos/verify_start_end_handshape_annotations//test_auto_move//signs_mov_separ_signers/Liz_1487.mov" TargetMode="External"/><Relationship Id="rId24833" Type="http://schemas.openxmlformats.org/officeDocument/2006/relationships/hyperlink" Target="http://csr.bu.edu/ftp/asl/asllvd/demos/verify_start_end_handshape_annotations//test_auto_move//signs_mov_separ_signers/Naomi_1487.mov" TargetMode="External"/><Relationship Id="rId24834" Type="http://schemas.openxmlformats.org/officeDocument/2006/relationships/hyperlink" Target="http://secrets.rutgers.edu:8080/data/asl-ftp/asllvd/demos/verify_start_end_handshape_annotations//test_auto_move//signs_mov_separ_signers/Naomi_1487.mov" TargetMode="External"/><Relationship Id="rId24835" Type="http://schemas.openxmlformats.org/officeDocument/2006/relationships/hyperlink" Target="http://csr.bu.edu/ftp/asl/asllvd/demos/verify_start_end_handshape_annotations//test_auto_move//signs_mov/1501.mov" TargetMode="External"/><Relationship Id="rId24836" Type="http://schemas.openxmlformats.org/officeDocument/2006/relationships/hyperlink" Target="http://csr.bu.edu/ftp/asl/asllvd/demos/verify_start_end_handshape_annotations//test_auto_move//signs_mov_separ_signers/Brady_1501.mov" TargetMode="External"/><Relationship Id="rId24837" Type="http://schemas.openxmlformats.org/officeDocument/2006/relationships/hyperlink" Target="http://secrets.rutgers.edu:8080/data/asl-ftp/asllvd/demos/verify_start_end_handshape_annotations//test_auto_move//signs_mov/1501.mov" TargetMode="External"/><Relationship Id="rId24838" Type="http://schemas.openxmlformats.org/officeDocument/2006/relationships/hyperlink" Target="http://secrets.rutgers.edu:8080/data/asl-ftp/asllvd/demos/verify_start_end_handshape_annotations//test_auto_move//signs_mov_separ_signers/Brady_1501.mov" TargetMode="External"/><Relationship Id="rId24839" Type="http://schemas.openxmlformats.org/officeDocument/2006/relationships/hyperlink" Target="http://csr.bu.edu/ftp/asl/asllvd/demos/verify_start_end_handshape_annotations//test_auto_move//signs_mov/5256.mov" TargetMode="External"/><Relationship Id="rId24840" Type="http://schemas.openxmlformats.org/officeDocument/2006/relationships/hyperlink" Target="http://csr.bu.edu/ftp/asl/asllvd/demos/verify_start_end_handshape_annotations//test_auto_move//signs_mov_separ_signers/Liz_5256.mov" TargetMode="External"/><Relationship Id="rId24841" Type="http://schemas.openxmlformats.org/officeDocument/2006/relationships/hyperlink" Target="http://secrets.rutgers.edu:8080/data/asl-ftp/asllvd/demos/verify_start_end_handshape_annotations//test_auto_move//signs_mov/5256.mov" TargetMode="External"/><Relationship Id="rId24842" Type="http://schemas.openxmlformats.org/officeDocument/2006/relationships/hyperlink" Target="http://secrets.rutgers.edu:8080/data/asl-ftp/asllvd/demos/verify_start_end_handshape_annotations//test_auto_move//signs_mov_separ_signers/Liz_5256.mov" TargetMode="External"/><Relationship Id="rId24843" Type="http://schemas.openxmlformats.org/officeDocument/2006/relationships/hyperlink" Target="http://csr.bu.edu/ftp/asl/asllvd/demos/verify_start_end_handshape_annotations//test_auto_move//signs_mov/1503.mov" TargetMode="External"/><Relationship Id="rId24844" Type="http://schemas.openxmlformats.org/officeDocument/2006/relationships/hyperlink" Target="http://csr.bu.edu/ftp/asl/asllvd/demos/verify_start_end_handshape_annotations//test_auto_move//signs_mov_separ_signers/Tyler_1503.mov" TargetMode="External"/><Relationship Id="rId24845" Type="http://schemas.openxmlformats.org/officeDocument/2006/relationships/hyperlink" Target="http://secrets.rutgers.edu:8080/data/asl-ftp/asllvd/demos/verify_start_end_handshape_annotations//test_auto_move//signs_mov/1503.mov" TargetMode="External"/><Relationship Id="rId24846" Type="http://schemas.openxmlformats.org/officeDocument/2006/relationships/hyperlink" Target="http://secrets.rutgers.edu:8080/data/asl-ftp/asllvd/demos/verify_start_end_handshape_annotations//test_auto_move//signs_mov_separ_signers/Tyler_1503.mov" TargetMode="External"/><Relationship Id="rId24847" Type="http://schemas.openxmlformats.org/officeDocument/2006/relationships/hyperlink" Target="http://csr.bu.edu/ftp/asl/asllvd/demos/verify_start_end_handshape_annotations//test_auto_move//signs_mov/1520.mov" TargetMode="External"/><Relationship Id="rId24848" Type="http://schemas.openxmlformats.org/officeDocument/2006/relationships/hyperlink" Target="http://csr.bu.edu/ftp/asl/asllvd/demos/verify_start_end_handshape_annotations//test_auto_move//signs_mov_separ_signers/Liz_1520.mov" TargetMode="External"/><Relationship Id="rId24849" Type="http://schemas.openxmlformats.org/officeDocument/2006/relationships/hyperlink" Target="http://secrets.rutgers.edu:8080/data/asl-ftp/asllvd/demos/verify_start_end_handshape_annotations//test_auto_move//signs_mov/1520.mov" TargetMode="External"/><Relationship Id="rId24850" Type="http://schemas.openxmlformats.org/officeDocument/2006/relationships/hyperlink" Target="http://secrets.rutgers.edu:8080/data/asl-ftp/asllvd/demos/verify_start_end_handshape_annotations//test_auto_move//signs_mov_separ_signers/Liz_1520.mov" TargetMode="External"/><Relationship Id="rId24851" Type="http://schemas.openxmlformats.org/officeDocument/2006/relationships/hyperlink" Target="http://csr.bu.edu/ftp/asl/asllvd/demos/verify_start_end_handshape_annotations//test_auto_move//signs_mov_separ_signers/Brady_1520.mov" TargetMode="External"/><Relationship Id="rId24852" Type="http://schemas.openxmlformats.org/officeDocument/2006/relationships/hyperlink" Target="http://secrets.rutgers.edu:8080/data/asl-ftp/asllvd/demos/verify_start_end_handshape_annotations//test_auto_move//signs_mov_separ_signers/Brady_1520.mov" TargetMode="External"/><Relationship Id="rId24853" Type="http://schemas.openxmlformats.org/officeDocument/2006/relationships/hyperlink" Target="http://csr.bu.edu/ftp/asl/asllvd/demos/verify_start_end_handshape_annotations//test_auto_move//signs_mov/15347.mov" TargetMode="External"/><Relationship Id="rId24854" Type="http://schemas.openxmlformats.org/officeDocument/2006/relationships/hyperlink" Target="http://csr.bu.edu/ftp/asl/asllvd/demos/verify_start_end_handshape_annotations//test_auto_move//signs_mov_separ_signers/Tyler_15347.mov" TargetMode="External"/><Relationship Id="rId24855" Type="http://schemas.openxmlformats.org/officeDocument/2006/relationships/hyperlink" Target="http://secrets.rutgers.edu:8080/data/asl-ftp/asllvd/demos/verify_start_end_handshape_annotations//test_auto_move//signs_mov/15347.mov" TargetMode="External"/><Relationship Id="rId24856" Type="http://schemas.openxmlformats.org/officeDocument/2006/relationships/hyperlink" Target="http://secrets.rutgers.edu:8080/data/asl-ftp/asllvd/demos/verify_start_end_handshape_annotations//test_auto_move//signs_mov_separ_signers/Tyler_15347.mov" TargetMode="External"/><Relationship Id="rId24857" Type="http://schemas.openxmlformats.org/officeDocument/2006/relationships/hyperlink" Target="http://csr.bu.edu/ftp/asl/asllvd/demos/verify_start_end_handshape_annotations//test_auto_move//signs_mov/1523.mov" TargetMode="External"/><Relationship Id="rId24858" Type="http://schemas.openxmlformats.org/officeDocument/2006/relationships/hyperlink" Target="http://csr.bu.edu/ftp/asl/asllvd/demos/verify_start_end_handshape_annotations//test_auto_move//signs_mov_separ_signers/Tyler_1523.mov" TargetMode="External"/><Relationship Id="rId24859" Type="http://schemas.openxmlformats.org/officeDocument/2006/relationships/hyperlink" Target="http://secrets.rutgers.edu:8080/data/asl-ftp/asllvd/demos/verify_start_end_handshape_annotations//test_auto_move//signs_mov/1523.mov" TargetMode="External"/><Relationship Id="rId24860" Type="http://schemas.openxmlformats.org/officeDocument/2006/relationships/hyperlink" Target="http://secrets.rutgers.edu:8080/data/asl-ftp/asllvd/demos/verify_start_end_handshape_annotations//test_auto_move//signs_mov_separ_signers/Tyler_1523.mov" TargetMode="External"/><Relationship Id="rId24861" Type="http://schemas.openxmlformats.org/officeDocument/2006/relationships/hyperlink" Target="http://csr.bu.edu/ftp/asl/asllvd/demos/verify_start_end_handshape_annotations//test_auto_move//signs_mov_separ_signers/Brady_1523.mov" TargetMode="External"/><Relationship Id="rId24862" Type="http://schemas.openxmlformats.org/officeDocument/2006/relationships/hyperlink" Target="http://secrets.rutgers.edu:8080/data/asl-ftp/asllvd/demos/verify_start_end_handshape_annotations//test_auto_move//signs_mov_separ_signers/Brady_1523.mov" TargetMode="External"/><Relationship Id="rId24863" Type="http://schemas.openxmlformats.org/officeDocument/2006/relationships/hyperlink" Target="http://csr.bu.edu/ftp/asl/asllvd/demos/verify_start_end_handshape_annotations//test_auto_move//signs_mov/1529.mov" TargetMode="External"/><Relationship Id="rId24864" Type="http://schemas.openxmlformats.org/officeDocument/2006/relationships/hyperlink" Target="http://csr.bu.edu/ftp/asl/asllvd/demos/verify_start_end_handshape_annotations//test_auto_move//signs_mov_separ_signers/Liz_1529.mov" TargetMode="External"/><Relationship Id="rId24865" Type="http://schemas.openxmlformats.org/officeDocument/2006/relationships/hyperlink" Target="http://secrets.rutgers.edu:8080/data/asl-ftp/asllvd/demos/verify_start_end_handshape_annotations//test_auto_move//signs_mov/1529.mov" TargetMode="External"/><Relationship Id="rId24866" Type="http://schemas.openxmlformats.org/officeDocument/2006/relationships/hyperlink" Target="http://secrets.rutgers.edu:8080/data/asl-ftp/asllvd/demos/verify_start_end_handshape_annotations//test_auto_move//signs_mov_separ_signers/Liz_1529.mov" TargetMode="External"/><Relationship Id="rId24867" Type="http://schemas.openxmlformats.org/officeDocument/2006/relationships/hyperlink" Target="http://csr.bu.edu/ftp/asl/asllvd/demos/verify_start_end_handshape_annotations//test_auto_move//signs_mov_separ_signers/Brady_1529.mov" TargetMode="External"/><Relationship Id="rId24868" Type="http://schemas.openxmlformats.org/officeDocument/2006/relationships/hyperlink" Target="http://secrets.rutgers.edu:8080/data/asl-ftp/asllvd/demos/verify_start_end_handshape_annotations//test_auto_move//signs_mov_separ_signers/Brady_1529.mov" TargetMode="External"/><Relationship Id="rId24869" Type="http://schemas.openxmlformats.org/officeDocument/2006/relationships/hyperlink" Target="http://csr.bu.edu/ftp/asl/asllvd/demos/verify_start_end_handshape_annotations//test_auto_move//signs_mov/1542.mov" TargetMode="External"/><Relationship Id="rId24870" Type="http://schemas.openxmlformats.org/officeDocument/2006/relationships/hyperlink" Target="http://csr.bu.edu/ftp/asl/asllvd/demos/verify_start_end_handshape_annotations//test_auto_move//signs_mov_separ_signers/Liz_1542.mov" TargetMode="External"/><Relationship Id="rId24871" Type="http://schemas.openxmlformats.org/officeDocument/2006/relationships/hyperlink" Target="http://secrets.rutgers.edu:8080/data/asl-ftp/asllvd/demos/verify_start_end_handshape_annotations//test_auto_move//signs_mov/1542.mov" TargetMode="External"/><Relationship Id="rId24872" Type="http://schemas.openxmlformats.org/officeDocument/2006/relationships/hyperlink" Target="http://secrets.rutgers.edu:8080/data/asl-ftp/asllvd/demos/verify_start_end_handshape_annotations//test_auto_move//signs_mov_separ_signers/Liz_1542.mov" TargetMode="External"/><Relationship Id="rId24873" Type="http://schemas.openxmlformats.org/officeDocument/2006/relationships/hyperlink" Target="http://csr.bu.edu/ftp/asl/asllvd/demos/verify_start_end_handshape_annotations//test_auto_move//signs_mov_separ_signers/Brady_1542.mov" TargetMode="External"/><Relationship Id="rId24874" Type="http://schemas.openxmlformats.org/officeDocument/2006/relationships/hyperlink" Target="http://secrets.rutgers.edu:8080/data/asl-ftp/asllvd/demos/verify_start_end_handshape_annotations//test_auto_move//signs_mov_separ_signers/Brady_1542.mov" TargetMode="External"/><Relationship Id="rId24875" Type="http://schemas.openxmlformats.org/officeDocument/2006/relationships/hyperlink" Target="http://csr.bu.edu/ftp/asl/asllvd/demos/verify_start_end_handshape_annotations//test_auto_move//signs_mov/16563.mov" TargetMode="External"/><Relationship Id="rId24876" Type="http://schemas.openxmlformats.org/officeDocument/2006/relationships/hyperlink" Target="http://csr.bu.edu/ftp/asl/asllvd/demos/verify_start_end_handshape_annotations//test_auto_move//signs_mov_separ_signers/Tyler_16563.mov" TargetMode="External"/><Relationship Id="rId24877" Type="http://schemas.openxmlformats.org/officeDocument/2006/relationships/hyperlink" Target="http://secrets.rutgers.edu:8080/data/asl-ftp/asllvd/demos/verify_start_end_handshape_annotations//test_auto_move//signs_mov/16563.mov" TargetMode="External"/><Relationship Id="rId24878" Type="http://schemas.openxmlformats.org/officeDocument/2006/relationships/hyperlink" Target="http://secrets.rutgers.edu:8080/data/asl-ftp/asllvd/demos/verify_start_end_handshape_annotations//test_auto_move//signs_mov_separ_signers/Tyler_16563.mov" TargetMode="External"/><Relationship Id="rId24879" Type="http://schemas.openxmlformats.org/officeDocument/2006/relationships/hyperlink" Target="http://csr.bu.edu/ftp/asl/asllvd/demos/verify_start_end_handshape_annotations//test_auto_move//signs_mov/1549.mov" TargetMode="External"/><Relationship Id="rId24880" Type="http://schemas.openxmlformats.org/officeDocument/2006/relationships/hyperlink" Target="http://csr.bu.edu/ftp/asl/asllvd/demos/verify_start_end_handshape_annotations//test_auto_move//signs_mov_separ_signers/Tyler_1549.mov" TargetMode="External"/><Relationship Id="rId24881" Type="http://schemas.openxmlformats.org/officeDocument/2006/relationships/hyperlink" Target="http://secrets.rutgers.edu:8080/data/asl-ftp/asllvd/demos/verify_start_end_handshape_annotations//test_auto_move//signs_mov/1549.mov" TargetMode="External"/><Relationship Id="rId24882" Type="http://schemas.openxmlformats.org/officeDocument/2006/relationships/hyperlink" Target="http://secrets.rutgers.edu:8080/data/asl-ftp/asllvd/demos/verify_start_end_handshape_annotations//test_auto_move//signs_mov_separ_signers/Tyler_1549.mov" TargetMode="External"/><Relationship Id="rId24883" Type="http://schemas.openxmlformats.org/officeDocument/2006/relationships/hyperlink" Target="http://csr.bu.edu/ftp/asl/asllvd/demos/verify_start_end_handshape_annotations//test_auto_move//signs_mov_separ_signers/Brady_1549.mov" TargetMode="External"/><Relationship Id="rId24884" Type="http://schemas.openxmlformats.org/officeDocument/2006/relationships/hyperlink" Target="http://secrets.rutgers.edu:8080/data/asl-ftp/asllvd/demos/verify_start_end_handshape_annotations//test_auto_move//signs_mov_separ_signers/Brady_1549.mov" TargetMode="External"/><Relationship Id="rId24885" Type="http://schemas.openxmlformats.org/officeDocument/2006/relationships/hyperlink" Target="http://csr.bu.edu/ftp/asl/asllvd/demos/verify_start_end_handshape_annotations//test_auto_move//signs_mov/16527.mov" TargetMode="External"/><Relationship Id="rId24886" Type="http://schemas.openxmlformats.org/officeDocument/2006/relationships/hyperlink" Target="http://csr.bu.edu/ftp/asl/asllvd/demos/verify_start_end_handshape_annotations//test_auto_move//signs_mov_separ_signers/Liz_16527.mov" TargetMode="External"/><Relationship Id="rId24887" Type="http://schemas.openxmlformats.org/officeDocument/2006/relationships/hyperlink" Target="http://secrets.rutgers.edu:8080/data/asl-ftp/asllvd/demos/verify_start_end_handshape_annotations//test_auto_move//signs_mov/16527.mov" TargetMode="External"/><Relationship Id="rId24888" Type="http://schemas.openxmlformats.org/officeDocument/2006/relationships/hyperlink" Target="http://secrets.rutgers.edu:8080/data/asl-ftp/asllvd/demos/verify_start_end_handshape_annotations//test_auto_move//signs_mov_separ_signers/Liz_16527.mov" TargetMode="External"/><Relationship Id="rId24889" Type="http://schemas.openxmlformats.org/officeDocument/2006/relationships/hyperlink" Target="http://csr.bu.edu/ftp/asl/asllvd/demos/verify_start_end_handshape_annotations//test_auto_move//signs_mov/1588.mov" TargetMode="External"/><Relationship Id="rId24890" Type="http://schemas.openxmlformats.org/officeDocument/2006/relationships/hyperlink" Target="http://csr.bu.edu/ftp/asl/asllvd/demos/verify_start_end_handshape_annotations//test_auto_move//signs_mov_separ_signers/Liz_1588.mov" TargetMode="External"/><Relationship Id="rId24891" Type="http://schemas.openxmlformats.org/officeDocument/2006/relationships/hyperlink" Target="http://secrets.rutgers.edu:8080/data/asl-ftp/asllvd/demos/verify_start_end_handshape_annotations//test_auto_move//signs_mov/1588.mov" TargetMode="External"/><Relationship Id="rId24892" Type="http://schemas.openxmlformats.org/officeDocument/2006/relationships/hyperlink" Target="http://secrets.rutgers.edu:8080/data/asl-ftp/asllvd/demos/verify_start_end_handshape_annotations//test_auto_move//signs_mov_separ_signers/Liz_1588.mov" TargetMode="External"/><Relationship Id="rId24893" Type="http://schemas.openxmlformats.org/officeDocument/2006/relationships/hyperlink" Target="http://csr.bu.edu/ftp/asl/asllvd/demos/verify_start_end_handshape_annotations//test_auto_move//signs_mov/5263.mov" TargetMode="External"/><Relationship Id="rId24894" Type="http://schemas.openxmlformats.org/officeDocument/2006/relationships/hyperlink" Target="http://csr.bu.edu/ftp/asl/asllvd/demos/verify_start_end_handshape_annotations//test_auto_move//signs_mov_separ_signers/Tyler_5263.mov" TargetMode="External"/><Relationship Id="rId24895" Type="http://schemas.openxmlformats.org/officeDocument/2006/relationships/hyperlink" Target="http://secrets.rutgers.edu:8080/data/asl-ftp/asllvd/demos/verify_start_end_handshape_annotations//test_auto_move//signs_mov/5263.mov" TargetMode="External"/><Relationship Id="rId24896" Type="http://schemas.openxmlformats.org/officeDocument/2006/relationships/hyperlink" Target="http://secrets.rutgers.edu:8080/data/asl-ftp/asllvd/demos/verify_start_end_handshape_annotations//test_auto_move//signs_mov_separ_signers/Tyler_5263.mov" TargetMode="External"/><Relationship Id="rId24897" Type="http://schemas.openxmlformats.org/officeDocument/2006/relationships/hyperlink" Target="http://csr.bu.edu/ftp/asl/asllvd/demos/verify_start_end_handshape_annotations//test_auto_move//signs_mov/1623.mov" TargetMode="External"/><Relationship Id="rId24898" Type="http://schemas.openxmlformats.org/officeDocument/2006/relationships/hyperlink" Target="http://csr.bu.edu/ftp/asl/asllvd/demos/verify_start_end_handshape_annotations//test_auto_move//signs_mov_separ_signers/Tyler_1623.mov" TargetMode="External"/><Relationship Id="rId24899" Type="http://schemas.openxmlformats.org/officeDocument/2006/relationships/hyperlink" Target="http://secrets.rutgers.edu:8080/data/asl-ftp/asllvd/demos/verify_start_end_handshape_annotations//test_auto_move//signs_mov/1623.mov" TargetMode="External"/><Relationship Id="rId24900" Type="http://schemas.openxmlformats.org/officeDocument/2006/relationships/hyperlink" Target="http://secrets.rutgers.edu:8080/data/asl-ftp/asllvd/demos/verify_start_end_handshape_annotations//test_auto_move//signs_mov_separ_signers/Tyler_1623.mov" TargetMode="External"/><Relationship Id="rId24901" Type="http://schemas.openxmlformats.org/officeDocument/2006/relationships/hyperlink" Target="http://csr.bu.edu/ftp/asl/asllvd/demos/verify_start_end_handshape_annotations//test_auto_move//signs_mov/1637.mov" TargetMode="External"/><Relationship Id="rId24902" Type="http://schemas.openxmlformats.org/officeDocument/2006/relationships/hyperlink" Target="http://csr.bu.edu/ftp/asl/asllvd/demos/verify_start_end_handshape_annotations//test_auto_move//signs_mov_separ_signers/Liz_1637.mov" TargetMode="External"/><Relationship Id="rId24903" Type="http://schemas.openxmlformats.org/officeDocument/2006/relationships/hyperlink" Target="http://secrets.rutgers.edu:8080/data/asl-ftp/asllvd/demos/verify_start_end_handshape_annotations//test_auto_move//signs_mov/1637.mov" TargetMode="External"/><Relationship Id="rId24904" Type="http://schemas.openxmlformats.org/officeDocument/2006/relationships/hyperlink" Target="http://secrets.rutgers.edu:8080/data/asl-ftp/asllvd/demos/verify_start_end_handshape_annotations//test_auto_move//signs_mov_separ_signers/Liz_1637.mov" TargetMode="External"/><Relationship Id="rId24905" Type="http://schemas.openxmlformats.org/officeDocument/2006/relationships/hyperlink" Target="http://csr.bu.edu/ftp/asl/asllvd/demos/verify_start_end_handshape_annotations//test_auto_move//signs_mov/1652.mov" TargetMode="External"/><Relationship Id="rId24906" Type="http://schemas.openxmlformats.org/officeDocument/2006/relationships/hyperlink" Target="http://csr.bu.edu/ftp/asl/asllvd/demos/verify_start_end_handshape_annotations//test_auto_move//signs_mov_separ_signers/Liz_1652.mov" TargetMode="External"/><Relationship Id="rId24907" Type="http://schemas.openxmlformats.org/officeDocument/2006/relationships/hyperlink" Target="http://secrets.rutgers.edu:8080/data/asl-ftp/asllvd/demos/verify_start_end_handshape_annotations//test_auto_move//signs_mov/1652.mov" TargetMode="External"/><Relationship Id="rId24908" Type="http://schemas.openxmlformats.org/officeDocument/2006/relationships/hyperlink" Target="http://secrets.rutgers.edu:8080/data/asl-ftp/asllvd/demos/verify_start_end_handshape_annotations//test_auto_move//signs_mov_separ_signers/Liz_1652.mov" TargetMode="External"/><Relationship Id="rId24909" Type="http://schemas.openxmlformats.org/officeDocument/2006/relationships/hyperlink" Target="http://csr.bu.edu/ftp/asl/asllvd/demos/verify_start_end_handshape_annotations//test_auto_move//signs_mov/1662.mov" TargetMode="External"/><Relationship Id="rId24910" Type="http://schemas.openxmlformats.org/officeDocument/2006/relationships/hyperlink" Target="http://csr.bu.edu/ftp/asl/asllvd/demos/verify_start_end_handshape_annotations//test_auto_move//signs_mov_separ_signers/Liz_1662.mov" TargetMode="External"/><Relationship Id="rId24911" Type="http://schemas.openxmlformats.org/officeDocument/2006/relationships/hyperlink" Target="http://secrets.rutgers.edu:8080/data/asl-ftp/asllvd/demos/verify_start_end_handshape_annotations//test_auto_move//signs_mov/1662.mov" TargetMode="External"/><Relationship Id="rId24912" Type="http://schemas.openxmlformats.org/officeDocument/2006/relationships/hyperlink" Target="http://secrets.rutgers.edu:8080/data/asl-ftp/asllvd/demos/verify_start_end_handshape_annotations//test_auto_move//signs_mov_separ_signers/Liz_1662.mov" TargetMode="External"/><Relationship Id="rId24913" Type="http://schemas.openxmlformats.org/officeDocument/2006/relationships/hyperlink" Target="http://csr.bu.edu/ftp/asl/asllvd/demos/verify_start_end_handshape_annotations//test_auto_move//signs_mov/1667.mov" TargetMode="External"/><Relationship Id="rId24914" Type="http://schemas.openxmlformats.org/officeDocument/2006/relationships/hyperlink" Target="http://csr.bu.edu/ftp/asl/asllvd/demos/verify_start_end_handshape_annotations//test_auto_move//signs_mov_separ_signers/Liz_1667.mov" TargetMode="External"/><Relationship Id="rId24915" Type="http://schemas.openxmlformats.org/officeDocument/2006/relationships/hyperlink" Target="http://secrets.rutgers.edu:8080/data/asl-ftp/asllvd/demos/verify_start_end_handshape_annotations//test_auto_move//signs_mov/1667.mov" TargetMode="External"/><Relationship Id="rId24916" Type="http://schemas.openxmlformats.org/officeDocument/2006/relationships/hyperlink" Target="http://secrets.rutgers.edu:8080/data/asl-ftp/asllvd/demos/verify_start_end_handshape_annotations//test_auto_move//signs_mov_separ_signers/Liz_1667.mov" TargetMode="External"/><Relationship Id="rId24917" Type="http://schemas.openxmlformats.org/officeDocument/2006/relationships/hyperlink" Target="http://csr.bu.edu/ftp/asl/asllvd/demos/verify_start_end_handshape_annotations//test_auto_move//signs_mov_separ_signers/Liz_1669.mov" TargetMode="External"/><Relationship Id="rId24918" Type="http://schemas.openxmlformats.org/officeDocument/2006/relationships/hyperlink" Target="http://secrets.rutgers.edu:8080/data/asl-ftp/asllvd/demos/verify_start_end_handshape_annotations//test_auto_move//signs_mov_separ_signers/Liz_1669.mov" TargetMode="External"/><Relationship Id="rId24919" Type="http://schemas.openxmlformats.org/officeDocument/2006/relationships/hyperlink" Target="http://csr.bu.edu/ftp/asl/asllvd/demos/verify_start_end_handshape_annotations//test_auto_move//signs_mov/1669.mov" TargetMode="External"/><Relationship Id="rId24920" Type="http://schemas.openxmlformats.org/officeDocument/2006/relationships/hyperlink" Target="http://csr.bu.edu/ftp/asl/asllvd/demos/verify_start_end_handshape_annotations//test_auto_move//signs_mov_separ_signers/Lana_1669.mov" TargetMode="External"/><Relationship Id="rId24921" Type="http://schemas.openxmlformats.org/officeDocument/2006/relationships/hyperlink" Target="http://secrets.rutgers.edu:8080/data/asl-ftp/asllvd/demos/verify_start_end_handshape_annotations//test_auto_move//signs_mov/1669.mov" TargetMode="External"/><Relationship Id="rId24922" Type="http://schemas.openxmlformats.org/officeDocument/2006/relationships/hyperlink" Target="http://secrets.rutgers.edu:8080/data/asl-ftp/asllvd/demos/verify_start_end_handshape_annotations//test_auto_move//signs_mov_separ_signers/Lana_1669.mov" TargetMode="External"/><Relationship Id="rId24923" Type="http://schemas.openxmlformats.org/officeDocument/2006/relationships/hyperlink" Target="http://csr.bu.edu/ftp/asl/asllvd/demos/verify_start_end_handshape_annotations//test_auto_move//signs_mov_separ_signers/Dana_1669.mov" TargetMode="External"/><Relationship Id="rId24924" Type="http://schemas.openxmlformats.org/officeDocument/2006/relationships/hyperlink" Target="http://secrets.rutgers.edu:8080/data/asl-ftp/asllvd/demos/verify_start_end_handshape_annotations//test_auto_move//signs_mov_separ_signers/Dana_1669.mov" TargetMode="External"/><Relationship Id="rId24925" Type="http://schemas.openxmlformats.org/officeDocument/2006/relationships/hyperlink" Target="http://csr.bu.edu/ftp/asl/asllvd/demos/verify_start_end_handshape_annotations//test_auto_move//signs_mov/1671.mov" TargetMode="External"/><Relationship Id="rId24926" Type="http://schemas.openxmlformats.org/officeDocument/2006/relationships/hyperlink" Target="http://csr.bu.edu/ftp/asl/asllvd/demos/verify_start_end_handshape_annotations//test_auto_move//signs_mov_separ_signers/Liz_1671.mov" TargetMode="External"/><Relationship Id="rId24927" Type="http://schemas.openxmlformats.org/officeDocument/2006/relationships/hyperlink" Target="http://secrets.rutgers.edu:8080/data/asl-ftp/asllvd/demos/verify_start_end_handshape_annotations//test_auto_move//signs_mov/1671.mov" TargetMode="External"/><Relationship Id="rId24928" Type="http://schemas.openxmlformats.org/officeDocument/2006/relationships/hyperlink" Target="http://secrets.rutgers.edu:8080/data/asl-ftp/asllvd/demos/verify_start_end_handshape_annotations//test_auto_move//signs_mov_separ_signers/Liz_1671.mov" TargetMode="External"/><Relationship Id="rId24929" Type="http://schemas.openxmlformats.org/officeDocument/2006/relationships/hyperlink" Target="http://csr.bu.edu/ftp/asl/asllvd/demos/verify_start_end_handshape_annotations//test_auto_move//signs_mov/1683.mov" TargetMode="External"/><Relationship Id="rId24930" Type="http://schemas.openxmlformats.org/officeDocument/2006/relationships/hyperlink" Target="http://csr.bu.edu/ftp/asl/asllvd/demos/verify_start_end_handshape_annotations//test_auto_move//signs_mov_separ_signers/Liz_1683.mov" TargetMode="External"/><Relationship Id="rId24931" Type="http://schemas.openxmlformats.org/officeDocument/2006/relationships/hyperlink" Target="http://secrets.rutgers.edu:8080/data/asl-ftp/asllvd/demos/verify_start_end_handshape_annotations//test_auto_move//signs_mov/1683.mov" TargetMode="External"/><Relationship Id="rId24932" Type="http://schemas.openxmlformats.org/officeDocument/2006/relationships/hyperlink" Target="http://secrets.rutgers.edu:8080/data/asl-ftp/asllvd/demos/verify_start_end_handshape_annotations//test_auto_move//signs_mov_separ_signers/Liz_1683.mov" TargetMode="External"/><Relationship Id="rId24933" Type="http://schemas.openxmlformats.org/officeDocument/2006/relationships/hyperlink" Target="http://csr.bu.edu/ftp/asl/asllvd/demos/verify_start_end_handshape_annotations//test_auto_move//signs_mov/1694.mov" TargetMode="External"/><Relationship Id="rId24934" Type="http://schemas.openxmlformats.org/officeDocument/2006/relationships/hyperlink" Target="http://csr.bu.edu/ftp/asl/asllvd/demos/verify_start_end_handshape_annotations//test_auto_move//signs_mov_separ_signers/Liz_1694.mov" TargetMode="External"/><Relationship Id="rId24935" Type="http://schemas.openxmlformats.org/officeDocument/2006/relationships/hyperlink" Target="http://secrets.rutgers.edu:8080/data/asl-ftp/asllvd/demos/verify_start_end_handshape_annotations//test_auto_move//signs_mov/1694.mov" TargetMode="External"/><Relationship Id="rId24936" Type="http://schemas.openxmlformats.org/officeDocument/2006/relationships/hyperlink" Target="http://secrets.rutgers.edu:8080/data/asl-ftp/asllvd/demos/verify_start_end_handshape_annotations//test_auto_move//signs_mov_separ_signers/Liz_1694.mov" TargetMode="External"/><Relationship Id="rId24937" Type="http://schemas.openxmlformats.org/officeDocument/2006/relationships/hyperlink" Target="http://csr.bu.edu/ftp/asl/asllvd/demos/verify_start_end_handshape_annotations//test_auto_move//signs_mov_separ_signers/Brady_1694.mov" TargetMode="External"/><Relationship Id="rId24938" Type="http://schemas.openxmlformats.org/officeDocument/2006/relationships/hyperlink" Target="http://secrets.rutgers.edu:8080/data/asl-ftp/asllvd/demos/verify_start_end_handshape_annotations//test_auto_move//signs_mov_separ_signers/Brady_1694.mov" TargetMode="External"/><Relationship Id="rId24939" Type="http://schemas.openxmlformats.org/officeDocument/2006/relationships/hyperlink" Target="http://csr.bu.edu/ftp/asl/asllvd/demos/verify_start_end_handshape_annotations//test_auto_move//signs_mov/1695.mov" TargetMode="External"/><Relationship Id="rId24940" Type="http://schemas.openxmlformats.org/officeDocument/2006/relationships/hyperlink" Target="http://csr.bu.edu/ftp/asl/asllvd/demos/verify_start_end_handshape_annotations//test_auto_move//signs_mov_separ_signers/Liz_1695.mov" TargetMode="External"/><Relationship Id="rId24941" Type="http://schemas.openxmlformats.org/officeDocument/2006/relationships/hyperlink" Target="http://secrets.rutgers.edu:8080/data/asl-ftp/asllvd/demos/verify_start_end_handshape_annotations//test_auto_move//signs_mov/1695.mov" TargetMode="External"/><Relationship Id="rId24942" Type="http://schemas.openxmlformats.org/officeDocument/2006/relationships/hyperlink" Target="http://secrets.rutgers.edu:8080/data/asl-ftp/asllvd/demos/verify_start_end_handshape_annotations//test_auto_move//signs_mov_separ_signers/Liz_1695.mov" TargetMode="External"/><Relationship Id="rId24943" Type="http://schemas.openxmlformats.org/officeDocument/2006/relationships/hyperlink" Target="http://csr.bu.edu/ftp/asl/asllvd/demos/verify_start_end_handshape_annotations//test_auto_move//signs_mov_separ_signers/Brady_1695.mov" TargetMode="External"/><Relationship Id="rId24944" Type="http://schemas.openxmlformats.org/officeDocument/2006/relationships/hyperlink" Target="http://secrets.rutgers.edu:8080/data/asl-ftp/asllvd/demos/verify_start_end_handshape_annotations//test_auto_move//signs_mov_separ_signers/Brady_1695.mov" TargetMode="External"/><Relationship Id="rId24945" Type="http://schemas.openxmlformats.org/officeDocument/2006/relationships/hyperlink" Target="http://csr.bu.edu/ftp/asl/asllvd/demos/verify_start_end_handshape_annotations//test_auto_move//signs_mov/1702.mov" TargetMode="External"/><Relationship Id="rId24946" Type="http://schemas.openxmlformats.org/officeDocument/2006/relationships/hyperlink" Target="http://csr.bu.edu/ftp/asl/asllvd/demos/verify_start_end_handshape_annotations//test_auto_move//signs_mov_separ_signers/Liz_1702.mov" TargetMode="External"/><Relationship Id="rId24947" Type="http://schemas.openxmlformats.org/officeDocument/2006/relationships/hyperlink" Target="http://secrets.rutgers.edu:8080/data/asl-ftp/asllvd/demos/verify_start_end_handshape_annotations//test_auto_move//signs_mov/1702.mov" TargetMode="External"/><Relationship Id="rId24948" Type="http://schemas.openxmlformats.org/officeDocument/2006/relationships/hyperlink" Target="http://secrets.rutgers.edu:8080/data/asl-ftp/asllvd/demos/verify_start_end_handshape_annotations//test_auto_move//signs_mov_separ_signers/Liz_1702.mov" TargetMode="External"/><Relationship Id="rId24949" Type="http://schemas.openxmlformats.org/officeDocument/2006/relationships/hyperlink" Target="http://csr.bu.edu/ftp/asl/asllvd/demos/verify_start_end_handshape_annotations//test_auto_move//signs_mov_separ_signers/Brady_1702.mov" TargetMode="External"/><Relationship Id="rId24950" Type="http://schemas.openxmlformats.org/officeDocument/2006/relationships/hyperlink" Target="http://secrets.rutgers.edu:8080/data/asl-ftp/asllvd/demos/verify_start_end_handshape_annotations//test_auto_move//signs_mov_separ_signers/Brady_1702.mov" TargetMode="External"/><Relationship Id="rId24951" Type="http://schemas.openxmlformats.org/officeDocument/2006/relationships/hyperlink" Target="http://csr.bu.edu/ftp/asl/asllvd/demos/verify_start_end_handshape_annotations//test_auto_move//signs_mov/1710.mov" TargetMode="External"/><Relationship Id="rId24952" Type="http://schemas.openxmlformats.org/officeDocument/2006/relationships/hyperlink" Target="http://csr.bu.edu/ftp/asl/asllvd/demos/verify_start_end_handshape_annotations//test_auto_move//signs_mov_separ_signers/Liz_1710.mov" TargetMode="External"/><Relationship Id="rId24953" Type="http://schemas.openxmlformats.org/officeDocument/2006/relationships/hyperlink" Target="http://secrets.rutgers.edu:8080/data/asl-ftp/asllvd/demos/verify_start_end_handshape_annotations//test_auto_move//signs_mov/1710.mov" TargetMode="External"/><Relationship Id="rId24954" Type="http://schemas.openxmlformats.org/officeDocument/2006/relationships/hyperlink" Target="http://secrets.rutgers.edu:8080/data/asl-ftp/asllvd/demos/verify_start_end_handshape_annotations//test_auto_move//signs_mov_separ_signers/Liz_1710.mov" TargetMode="External"/><Relationship Id="rId24955" Type="http://schemas.openxmlformats.org/officeDocument/2006/relationships/hyperlink" Target="http://csr.bu.edu/ftp/asl/asllvd/demos/verify_start_end_handshape_annotations//test_auto_move//signs_mov_separ_signers/Brady_1710.mov" TargetMode="External"/><Relationship Id="rId24956" Type="http://schemas.openxmlformats.org/officeDocument/2006/relationships/hyperlink" Target="http://secrets.rutgers.edu:8080/data/asl-ftp/asllvd/demos/verify_start_end_handshape_annotations//test_auto_move//signs_mov_separ_signers/Brady_1710.mov" TargetMode="External"/><Relationship Id="rId24957" Type="http://schemas.openxmlformats.org/officeDocument/2006/relationships/hyperlink" Target="http://csr.bu.edu/ftp/asl/asllvd/demos/verify_start_end_handshape_annotations//test_auto_move//signs_mov_separ_signers/Liz_1715.mov" TargetMode="External"/><Relationship Id="rId24958" Type="http://schemas.openxmlformats.org/officeDocument/2006/relationships/hyperlink" Target="http://secrets.rutgers.edu:8080/data/asl-ftp/asllvd/demos/verify_start_end_handshape_annotations//test_auto_move//signs_mov_separ_signers/Liz_1715.mov" TargetMode="External"/><Relationship Id="rId24959" Type="http://schemas.openxmlformats.org/officeDocument/2006/relationships/hyperlink" Target="http://csr.bu.edu/ftp/asl/asllvd/demos/verify_start_end_handshape_annotations//test_auto_move//signs_mov/1715_3703_merged.mov" TargetMode="External"/><Relationship Id="rId24960" Type="http://schemas.openxmlformats.org/officeDocument/2006/relationships/hyperlink" Target="http://csr.bu.edu/ftp/asl/asllvd/demos/verify_start_end_handshape_annotations//test_auto_move//signs_mov_separ_signers/Brady_1715.mov" TargetMode="External"/><Relationship Id="rId24961" Type="http://schemas.openxmlformats.org/officeDocument/2006/relationships/hyperlink" Target="http://secrets.rutgers.edu:8080/data/asl-ftp/asllvd/demos/verify_start_end_handshape_annotations//test_auto_move//signs_mov/1715_3703_merged.mov" TargetMode="External"/><Relationship Id="rId24962" Type="http://schemas.openxmlformats.org/officeDocument/2006/relationships/hyperlink" Target="http://secrets.rutgers.edu:8080/data/asl-ftp/asllvd/demos/verify_start_end_handshape_annotations//test_auto_move//signs_mov_separ_signers/Brady_1715.mov" TargetMode="External"/><Relationship Id="rId24963" Type="http://schemas.openxmlformats.org/officeDocument/2006/relationships/hyperlink" Target="http://csr.bu.edu/ftp/asl/asllvd/demos/verify_start_end_handshape_annotations//test_auto_move//signs_mov_separ_signers/Brady_3703.mov" TargetMode="External"/><Relationship Id="rId24964" Type="http://schemas.openxmlformats.org/officeDocument/2006/relationships/hyperlink" Target="http://secrets.rutgers.edu:8080/data/asl-ftp/asllvd/demos/verify_start_end_handshape_annotations//test_auto_move//signs_mov_separ_signers/Brady_3703.mov" TargetMode="External"/><Relationship Id="rId24965" Type="http://schemas.openxmlformats.org/officeDocument/2006/relationships/hyperlink" Target="http://csr.bu.edu/ftp/asl/asllvd/demos/verify_start_end_handshape_annotations//test_auto_move//signs_mov/16256.mov" TargetMode="External"/><Relationship Id="rId24966" Type="http://schemas.openxmlformats.org/officeDocument/2006/relationships/hyperlink" Target="http://csr.bu.edu/ftp/asl/asllvd/demos/verify_start_end_handshape_annotations//test_auto_move//signs_mov_separ_signers/Liz_16256.mov" TargetMode="External"/><Relationship Id="rId24967" Type="http://schemas.openxmlformats.org/officeDocument/2006/relationships/hyperlink" Target="http://secrets.rutgers.edu:8080/data/asl-ftp/asllvd/demos/verify_start_end_handshape_annotations//test_auto_move//signs_mov/16256.mov" TargetMode="External"/><Relationship Id="rId24968" Type="http://schemas.openxmlformats.org/officeDocument/2006/relationships/hyperlink" Target="http://secrets.rutgers.edu:8080/data/asl-ftp/asllvd/demos/verify_start_end_handshape_annotations//test_auto_move//signs_mov_separ_signers/Liz_16256.mov" TargetMode="External"/><Relationship Id="rId24969" Type="http://schemas.openxmlformats.org/officeDocument/2006/relationships/hyperlink" Target="http://csr.bu.edu/ftp/asl/asllvd/demos/verify_start_end_handshape_annotations//test_auto_move//signs_mov/1720.mov" TargetMode="External"/><Relationship Id="rId24970" Type="http://schemas.openxmlformats.org/officeDocument/2006/relationships/hyperlink" Target="http://csr.bu.edu/ftp/asl/asllvd/demos/verify_start_end_handshape_annotations//test_auto_move//signs_mov_separ_signers/Brady_1720.mov" TargetMode="External"/><Relationship Id="rId24971" Type="http://schemas.openxmlformats.org/officeDocument/2006/relationships/hyperlink" Target="http://secrets.rutgers.edu:8080/data/asl-ftp/asllvd/demos/verify_start_end_handshape_annotations//test_auto_move//signs_mov/1720.mov" TargetMode="External"/><Relationship Id="rId24972" Type="http://schemas.openxmlformats.org/officeDocument/2006/relationships/hyperlink" Target="http://secrets.rutgers.edu:8080/data/asl-ftp/asllvd/demos/verify_start_end_handshape_annotations//test_auto_move//signs_mov_separ_signers/Brady_1720.mov" TargetMode="External"/><Relationship Id="rId24973" Type="http://schemas.openxmlformats.org/officeDocument/2006/relationships/hyperlink" Target="http://csr.bu.edu/ftp/asl/asllvd/demos/verify_start_end_handshape_annotations//test_auto_move//signs_mov_separ_signers/Liz_3705.mov" TargetMode="External"/><Relationship Id="rId24974" Type="http://schemas.openxmlformats.org/officeDocument/2006/relationships/hyperlink" Target="http://secrets.rutgers.edu:8080/data/asl-ftp/asllvd/demos/verify_start_end_handshape_annotations//test_auto_move//signs_mov_separ_signers/Liz_3705.mov" TargetMode="External"/><Relationship Id="rId24975" Type="http://schemas.openxmlformats.org/officeDocument/2006/relationships/hyperlink" Target="http://csr.bu.edu/ftp/asl/asllvd/demos/verify_start_end_handshape_annotations//test_auto_move//signs_mov/3705_5319_5331_merged.mov" TargetMode="External"/><Relationship Id="rId24976" Type="http://schemas.openxmlformats.org/officeDocument/2006/relationships/hyperlink" Target="http://csr.bu.edu/ftp/asl/asllvd/demos/verify_start_end_handshape_annotations//test_auto_move//signs_mov_separ_signers/Brady_3705.mov" TargetMode="External"/><Relationship Id="rId24977" Type="http://schemas.openxmlformats.org/officeDocument/2006/relationships/hyperlink" Target="http://secrets.rutgers.edu:8080/data/asl-ftp/asllvd/demos/verify_start_end_handshape_annotations//test_auto_move//signs_mov/3705_5319_5331_merged.mov" TargetMode="External"/><Relationship Id="rId24978" Type="http://schemas.openxmlformats.org/officeDocument/2006/relationships/hyperlink" Target="http://secrets.rutgers.edu:8080/data/asl-ftp/asllvd/demos/verify_start_end_handshape_annotations//test_auto_move//signs_mov_separ_signers/Brady_3705.mov" TargetMode="External"/><Relationship Id="rId24979" Type="http://schemas.openxmlformats.org/officeDocument/2006/relationships/hyperlink" Target="http://csr.bu.edu/ftp/asl/asllvd/demos/verify_start_end_handshape_annotations//test_auto_move//signs_mov_separ_signers/Brady_5319.mov" TargetMode="External"/><Relationship Id="rId24980" Type="http://schemas.openxmlformats.org/officeDocument/2006/relationships/hyperlink" Target="http://secrets.rutgers.edu:8080/data/asl-ftp/asllvd/demos/verify_start_end_handshape_annotations//test_auto_move//signs_mov_separ_signers/Brady_5319.mov" TargetMode="External"/><Relationship Id="rId24981" Type="http://schemas.openxmlformats.org/officeDocument/2006/relationships/hyperlink" Target="http://csr.bu.edu/ftp/asl/asllvd/demos/verify_start_end_handshape_annotations//test_auto_move//signs_mov_separ_signers/Brady_5331.mov" TargetMode="External"/><Relationship Id="rId24982" Type="http://schemas.openxmlformats.org/officeDocument/2006/relationships/hyperlink" Target="http://secrets.rutgers.edu:8080/data/asl-ftp/asllvd/demos/verify_start_end_handshape_annotations//test_auto_move//signs_mov_separ_signers/Brady_5331.mov" TargetMode="External"/><Relationship Id="rId24983" Type="http://schemas.openxmlformats.org/officeDocument/2006/relationships/hyperlink" Target="http://csr.bu.edu/ftp/asl/asllvd/demos/verify_start_end_handshape_annotations//test_auto_move//signs_mov_separ_signers/Liz_1722.mov" TargetMode="External"/><Relationship Id="rId24984" Type="http://schemas.openxmlformats.org/officeDocument/2006/relationships/hyperlink" Target="http://secrets.rutgers.edu:8080/data/asl-ftp/asllvd/demos/verify_start_end_handshape_annotations//test_auto_move//signs_mov_separ_signers/Liz_1722.mov" TargetMode="External"/><Relationship Id="rId24985" Type="http://schemas.openxmlformats.org/officeDocument/2006/relationships/hyperlink" Target="http://csr.bu.edu/ftp/asl/asllvd/demos/verify_start_end_handshape_annotations//test_auto_move//signs_mov/1722_3706_merged.mov" TargetMode="External"/><Relationship Id="rId24986" Type="http://schemas.openxmlformats.org/officeDocument/2006/relationships/hyperlink" Target="http://csr.bu.edu/ftp/asl/asllvd/demos/verify_start_end_handshape_annotations//test_auto_move//signs_mov_separ_signers/Brady_1722.mov" TargetMode="External"/><Relationship Id="rId24987" Type="http://schemas.openxmlformats.org/officeDocument/2006/relationships/hyperlink" Target="http://secrets.rutgers.edu:8080/data/asl-ftp/asllvd/demos/verify_start_end_handshape_annotations//test_auto_move//signs_mov/1722_3706_merged.mov" TargetMode="External"/><Relationship Id="rId24988" Type="http://schemas.openxmlformats.org/officeDocument/2006/relationships/hyperlink" Target="http://secrets.rutgers.edu:8080/data/asl-ftp/asllvd/demos/verify_start_end_handshape_annotations//test_auto_move//signs_mov_separ_signers/Brady_1722.mov" TargetMode="External"/><Relationship Id="rId24989" Type="http://schemas.openxmlformats.org/officeDocument/2006/relationships/hyperlink" Target="http://csr.bu.edu/ftp/asl/asllvd/demos/verify_start_end_handshape_annotations//test_auto_move//signs_mov_separ_signers/Brady_3706.mov" TargetMode="External"/><Relationship Id="rId24990" Type="http://schemas.openxmlformats.org/officeDocument/2006/relationships/hyperlink" Target="http://secrets.rutgers.edu:8080/data/asl-ftp/asllvd/demos/verify_start_end_handshape_annotations//test_auto_move//signs_mov_separ_signers/Brady_3706.mov" TargetMode="External"/><Relationship Id="rId24991" Type="http://schemas.openxmlformats.org/officeDocument/2006/relationships/hyperlink" Target="http://csr.bu.edu/ftp/asl/asllvd/demos/verify_start_end_handshape_annotations//test_auto_move//signs_mov/16257.mov" TargetMode="External"/><Relationship Id="rId24992" Type="http://schemas.openxmlformats.org/officeDocument/2006/relationships/hyperlink" Target="http://csr.bu.edu/ftp/asl/asllvd/demos/verify_start_end_handshape_annotations//test_auto_move//signs_mov_separ_signers/Liz_16257.mov" TargetMode="External"/><Relationship Id="rId24993" Type="http://schemas.openxmlformats.org/officeDocument/2006/relationships/hyperlink" Target="http://secrets.rutgers.edu:8080/data/asl-ftp/asllvd/demos/verify_start_end_handshape_annotations//test_auto_move//signs_mov/16257.mov" TargetMode="External"/><Relationship Id="rId24994" Type="http://schemas.openxmlformats.org/officeDocument/2006/relationships/hyperlink" Target="http://secrets.rutgers.edu:8080/data/asl-ftp/asllvd/demos/verify_start_end_handshape_annotations//test_auto_move//signs_mov_separ_signers/Liz_16257.mov" TargetMode="External"/><Relationship Id="rId24995" Type="http://schemas.openxmlformats.org/officeDocument/2006/relationships/hyperlink" Target="http://csr.bu.edu/ftp/asl/asllvd/demos/verify_start_end_handshape_annotations//test_auto_move//signs_mov/1724.mov" TargetMode="External"/><Relationship Id="rId24996" Type="http://schemas.openxmlformats.org/officeDocument/2006/relationships/hyperlink" Target="http://csr.bu.edu/ftp/asl/asllvd/demos/verify_start_end_handshape_annotations//test_auto_move//signs_mov_separ_signers/Liz_1724.mov" TargetMode="External"/><Relationship Id="rId24997" Type="http://schemas.openxmlformats.org/officeDocument/2006/relationships/hyperlink" Target="http://secrets.rutgers.edu:8080/data/asl-ftp/asllvd/demos/verify_start_end_handshape_annotations//test_auto_move//signs_mov/1724.mov" TargetMode="External"/><Relationship Id="rId24998" Type="http://schemas.openxmlformats.org/officeDocument/2006/relationships/hyperlink" Target="http://secrets.rutgers.edu:8080/data/asl-ftp/asllvd/demos/verify_start_end_handshape_annotations//test_auto_move//signs_mov_separ_signers/Liz_1724.mov" TargetMode="External"/><Relationship Id="rId24999" Type="http://schemas.openxmlformats.org/officeDocument/2006/relationships/hyperlink" Target="http://csr.bu.edu/ftp/asl/asllvd/demos/verify_start_end_handshape_annotations//test_auto_move//signs_mov_separ_signers/Brady_1724.mov" TargetMode="External"/><Relationship Id="rId25000" Type="http://schemas.openxmlformats.org/officeDocument/2006/relationships/hyperlink" Target="http://secrets.rutgers.edu:8080/data/asl-ftp/asllvd/demos/verify_start_end_handshape_annotations//test_auto_move//signs_mov_separ_signers/Brady_1724.mov" TargetMode="External"/><Relationship Id="rId25001" Type="http://schemas.openxmlformats.org/officeDocument/2006/relationships/hyperlink" Target="http://csr.bu.edu/ftp/asl/asllvd/demos/verify_start_end_handshape_annotations//test_auto_move//signs_mov/1730.mov" TargetMode="External"/><Relationship Id="rId25002" Type="http://schemas.openxmlformats.org/officeDocument/2006/relationships/hyperlink" Target="http://csr.bu.edu/ftp/asl/asllvd/demos/verify_start_end_handshape_annotations//test_auto_move//signs_mov_separ_signers/Liz_1730.mov" TargetMode="External"/><Relationship Id="rId25003" Type="http://schemas.openxmlformats.org/officeDocument/2006/relationships/hyperlink" Target="http://secrets.rutgers.edu:8080/data/asl-ftp/asllvd/demos/verify_start_end_handshape_annotations//test_auto_move//signs_mov/1730.mov" TargetMode="External"/><Relationship Id="rId25004" Type="http://schemas.openxmlformats.org/officeDocument/2006/relationships/hyperlink" Target="http://secrets.rutgers.edu:8080/data/asl-ftp/asllvd/demos/verify_start_end_handshape_annotations//test_auto_move//signs_mov_separ_signers/Liz_1730.mov" TargetMode="External"/><Relationship Id="rId25005" Type="http://schemas.openxmlformats.org/officeDocument/2006/relationships/hyperlink" Target="http://csr.bu.edu/ftp/asl/asllvd/demos/verify_start_end_handshape_annotations//test_auto_move//signs_mov_separ_signers/Brady_1730.mov" TargetMode="External"/><Relationship Id="rId25006" Type="http://schemas.openxmlformats.org/officeDocument/2006/relationships/hyperlink" Target="http://secrets.rutgers.edu:8080/data/asl-ftp/asllvd/demos/verify_start_end_handshape_annotations//test_auto_move//signs_mov_separ_signers/Brady_1730.mov" TargetMode="External"/><Relationship Id="rId25007" Type="http://schemas.openxmlformats.org/officeDocument/2006/relationships/hyperlink" Target="http://csr.bu.edu/ftp/asl/asllvd/demos/verify_start_end_handshape_annotations//test_auto_move//signs_mov/1743.mov" TargetMode="External"/><Relationship Id="rId25008" Type="http://schemas.openxmlformats.org/officeDocument/2006/relationships/hyperlink" Target="http://csr.bu.edu/ftp/asl/asllvd/demos/verify_start_end_handshape_annotations//test_auto_move//signs_mov_separ_signers/Liz_1743.mov" TargetMode="External"/><Relationship Id="rId25009" Type="http://schemas.openxmlformats.org/officeDocument/2006/relationships/hyperlink" Target="http://secrets.rutgers.edu:8080/data/asl-ftp/asllvd/demos/verify_start_end_handshape_annotations//test_auto_move//signs_mov/1743.mov" TargetMode="External"/><Relationship Id="rId25010" Type="http://schemas.openxmlformats.org/officeDocument/2006/relationships/hyperlink" Target="http://secrets.rutgers.edu:8080/data/asl-ftp/asllvd/demos/verify_start_end_handshape_annotations//test_auto_move//signs_mov_separ_signers/Liz_1743.mov" TargetMode="External"/><Relationship Id="rId25011" Type="http://schemas.openxmlformats.org/officeDocument/2006/relationships/hyperlink" Target="http://csr.bu.edu/ftp/asl/asllvd/demos/verify_start_end_handshape_annotations//test_auto_move//signs_mov/1766.mov" TargetMode="External"/><Relationship Id="rId25012" Type="http://schemas.openxmlformats.org/officeDocument/2006/relationships/hyperlink" Target="http://csr.bu.edu/ftp/asl/asllvd/demos/verify_start_end_handshape_annotations//test_auto_move//signs_mov_separ_signers/Liz_1766.mov" TargetMode="External"/><Relationship Id="rId25013" Type="http://schemas.openxmlformats.org/officeDocument/2006/relationships/hyperlink" Target="http://secrets.rutgers.edu:8080/data/asl-ftp/asllvd/demos/verify_start_end_handshape_annotations//test_auto_move//signs_mov/1766.mov" TargetMode="External"/><Relationship Id="rId25014" Type="http://schemas.openxmlformats.org/officeDocument/2006/relationships/hyperlink" Target="http://secrets.rutgers.edu:8080/data/asl-ftp/asllvd/demos/verify_start_end_handshape_annotations//test_auto_move//signs_mov_separ_signers/Liz_1766.mov" TargetMode="External"/><Relationship Id="rId25015" Type="http://schemas.openxmlformats.org/officeDocument/2006/relationships/hyperlink" Target="http://csr.bu.edu/ftp/asl/asllvd/demos/verify_start_end_handshape_annotations//test_auto_move//signs_mov_separ_signers/Brady_1766.mov" TargetMode="External"/><Relationship Id="rId25016" Type="http://schemas.openxmlformats.org/officeDocument/2006/relationships/hyperlink" Target="http://secrets.rutgers.edu:8080/data/asl-ftp/asllvd/demos/verify_start_end_handshape_annotations//test_auto_move//signs_mov_separ_signers/Brady_1766.mov" TargetMode="External"/><Relationship Id="rId25017" Type="http://schemas.openxmlformats.org/officeDocument/2006/relationships/hyperlink" Target="http://csr.bu.edu/ftp/asl/asllvd/demos/verify_start_end_handshape_annotations//test_auto_move//signs_mov/1767.mov" TargetMode="External"/><Relationship Id="rId25018" Type="http://schemas.openxmlformats.org/officeDocument/2006/relationships/hyperlink" Target="http://csr.bu.edu/ftp/asl/asllvd/demos/verify_start_end_handshape_annotations//test_auto_move//signs_mov_separ_signers/Liz_1767.mov" TargetMode="External"/><Relationship Id="rId25019" Type="http://schemas.openxmlformats.org/officeDocument/2006/relationships/hyperlink" Target="http://secrets.rutgers.edu:8080/data/asl-ftp/asllvd/demos/verify_start_end_handshape_annotations//test_auto_move//signs_mov/1767.mov" TargetMode="External"/><Relationship Id="rId25020" Type="http://schemas.openxmlformats.org/officeDocument/2006/relationships/hyperlink" Target="http://secrets.rutgers.edu:8080/data/asl-ftp/asllvd/demos/verify_start_end_handshape_annotations//test_auto_move//signs_mov_separ_signers/Liz_1767.mov" TargetMode="External"/><Relationship Id="rId25021" Type="http://schemas.openxmlformats.org/officeDocument/2006/relationships/hyperlink" Target="http://csr.bu.edu/ftp/asl/asllvd/demos/verify_start_end_handshape_annotations//test_auto_move//signs_mov/16445.mov" TargetMode="External"/><Relationship Id="rId25022" Type="http://schemas.openxmlformats.org/officeDocument/2006/relationships/hyperlink" Target="http://csr.bu.edu/ftp/asl/asllvd/demos/verify_start_end_handshape_annotations//test_auto_move//signs_mov_separ_signers/Brady_16445.mov" TargetMode="External"/><Relationship Id="rId25023" Type="http://schemas.openxmlformats.org/officeDocument/2006/relationships/hyperlink" Target="http://secrets.rutgers.edu:8080/data/asl-ftp/asllvd/demos/verify_start_end_handshape_annotations//test_auto_move//signs_mov/16445.mov" TargetMode="External"/><Relationship Id="rId25024" Type="http://schemas.openxmlformats.org/officeDocument/2006/relationships/hyperlink" Target="http://secrets.rutgers.edu:8080/data/asl-ftp/asllvd/demos/verify_start_end_handshape_annotations//test_auto_move//signs_mov_separ_signers/Brady_16445.mov" TargetMode="External"/><Relationship Id="rId25025" Type="http://schemas.openxmlformats.org/officeDocument/2006/relationships/hyperlink" Target="http://csr.bu.edu/ftp/asl/asllvd/demos/verify_start_end_handshape_annotations//test_auto_move//signs_mov/1775.mov" TargetMode="External"/><Relationship Id="rId25026" Type="http://schemas.openxmlformats.org/officeDocument/2006/relationships/hyperlink" Target="http://csr.bu.edu/ftp/asl/asllvd/demos/verify_start_end_handshape_annotations//test_auto_move//signs_mov_separ_signers/Liz_1775.mov" TargetMode="External"/><Relationship Id="rId25027" Type="http://schemas.openxmlformats.org/officeDocument/2006/relationships/hyperlink" Target="http://secrets.rutgers.edu:8080/data/asl-ftp/asllvd/demos/verify_start_end_handshape_annotations//test_auto_move//signs_mov/1775.mov" TargetMode="External"/><Relationship Id="rId25028" Type="http://schemas.openxmlformats.org/officeDocument/2006/relationships/hyperlink" Target="http://secrets.rutgers.edu:8080/data/asl-ftp/asllvd/demos/verify_start_end_handshape_annotations//test_auto_move//signs_mov_separ_signers/Liz_1775.mov" TargetMode="External"/><Relationship Id="rId25029" Type="http://schemas.openxmlformats.org/officeDocument/2006/relationships/hyperlink" Target="http://csr.bu.edu/ftp/asl/asllvd/demos/verify_start_end_handshape_annotations//test_auto_move//signs_mov_separ_signers/Brady_1775.mov" TargetMode="External"/><Relationship Id="rId25030" Type="http://schemas.openxmlformats.org/officeDocument/2006/relationships/hyperlink" Target="http://secrets.rutgers.edu:8080/data/asl-ftp/asllvd/demos/verify_start_end_handshape_annotations//test_auto_move//signs_mov_separ_signers/Brady_1775.mov" TargetMode="External"/><Relationship Id="rId25031" Type="http://schemas.openxmlformats.org/officeDocument/2006/relationships/hyperlink" Target="http://csr.bu.edu/ftp/asl/asllvd/demos/verify_start_end_handshape_annotations//test_auto_move//signs_mov_separ_signers/Liz_1783.mov" TargetMode="External"/><Relationship Id="rId25032" Type="http://schemas.openxmlformats.org/officeDocument/2006/relationships/hyperlink" Target="http://secrets.rutgers.edu:8080/data/asl-ftp/asllvd/demos/verify_start_end_handshape_annotations//test_auto_move//signs_mov_separ_signers/Liz_1783.mov" TargetMode="External"/><Relationship Id="rId25033" Type="http://schemas.openxmlformats.org/officeDocument/2006/relationships/hyperlink" Target="http://csr.bu.edu/ftp/asl/asllvd/demos/verify_start_end_handshape_annotations//test_auto_move//signs_mov/1783.mov" TargetMode="External"/><Relationship Id="rId25034" Type="http://schemas.openxmlformats.org/officeDocument/2006/relationships/hyperlink" Target="http://csr.bu.edu/ftp/asl/asllvd/demos/verify_start_end_handshape_annotations//test_auto_move//signs_mov_separ_signers/Brady_1783.mov" TargetMode="External"/><Relationship Id="rId25035" Type="http://schemas.openxmlformats.org/officeDocument/2006/relationships/hyperlink" Target="http://secrets.rutgers.edu:8080/data/asl-ftp/asllvd/demos/verify_start_end_handshape_annotations//test_auto_move//signs_mov/1783.mov" TargetMode="External"/><Relationship Id="rId25036" Type="http://schemas.openxmlformats.org/officeDocument/2006/relationships/hyperlink" Target="http://secrets.rutgers.edu:8080/data/asl-ftp/asllvd/demos/verify_start_end_handshape_annotations//test_auto_move//signs_mov_separ_signers/Brady_1783.mov" TargetMode="External"/><Relationship Id="rId25037" Type="http://schemas.openxmlformats.org/officeDocument/2006/relationships/hyperlink" Target="http://csr.bu.edu/ftp/asl/asllvd/demos/verify_start_end_handshape_annotations//test_auto_move//signs_mov_separ_signers/Lana_1783.mov" TargetMode="External"/><Relationship Id="rId25038" Type="http://schemas.openxmlformats.org/officeDocument/2006/relationships/hyperlink" Target="http://secrets.rutgers.edu:8080/data/asl-ftp/asllvd/demos/verify_start_end_handshape_annotations//test_auto_move//signs_mov_separ_signers/Lana_1783.mov" TargetMode="External"/><Relationship Id="rId25039" Type="http://schemas.openxmlformats.org/officeDocument/2006/relationships/hyperlink" Target="http://csr.bu.edu/ftp/asl/asllvd/demos/verify_start_end_handshape_annotations//test_auto_move//signs_mov_separ_signers/Dana_1783.mov" TargetMode="External"/><Relationship Id="rId25040" Type="http://schemas.openxmlformats.org/officeDocument/2006/relationships/hyperlink" Target="http://secrets.rutgers.edu:8080/data/asl-ftp/asllvd/demos/verify_start_end_handshape_annotations//test_auto_move//signs_mov_separ_signers/Dana_1783.mov" TargetMode="External"/><Relationship Id="rId25041" Type="http://schemas.openxmlformats.org/officeDocument/2006/relationships/hyperlink" Target="http://csr.bu.edu/ftp/asl/asllvd/demos/verify_start_end_handshape_annotations//test_auto_move//signs_mov/1802.mov" TargetMode="External"/><Relationship Id="rId25042" Type="http://schemas.openxmlformats.org/officeDocument/2006/relationships/hyperlink" Target="http://csr.bu.edu/ftp/asl/asllvd/demos/verify_start_end_handshape_annotations//test_auto_move//signs_mov_separ_signers/Liz_1802.mov" TargetMode="External"/><Relationship Id="rId25043" Type="http://schemas.openxmlformats.org/officeDocument/2006/relationships/hyperlink" Target="http://secrets.rutgers.edu:8080/data/asl-ftp/asllvd/demos/verify_start_end_handshape_annotations//test_auto_move//signs_mov/1802.mov" TargetMode="External"/><Relationship Id="rId25044" Type="http://schemas.openxmlformats.org/officeDocument/2006/relationships/hyperlink" Target="http://secrets.rutgers.edu:8080/data/asl-ftp/asllvd/demos/verify_start_end_handshape_annotations//test_auto_move//signs_mov_separ_signers/Liz_1802.mov" TargetMode="External"/><Relationship Id="rId25045" Type="http://schemas.openxmlformats.org/officeDocument/2006/relationships/hyperlink" Target="http://csr.bu.edu/ftp/asl/asllvd/demos/verify_start_end_handshape_annotations//test_auto_move//signs_mov_separ_signers/Brady_1802.mov" TargetMode="External"/><Relationship Id="rId25046" Type="http://schemas.openxmlformats.org/officeDocument/2006/relationships/hyperlink" Target="http://secrets.rutgers.edu:8080/data/asl-ftp/asllvd/demos/verify_start_end_handshape_annotations//test_auto_move//signs_mov_separ_signers/Brady_1802.mov" TargetMode="External"/><Relationship Id="rId25047" Type="http://schemas.openxmlformats.org/officeDocument/2006/relationships/hyperlink" Target="http://csr.bu.edu/ftp/asl/asllvd/demos/verify_start_end_handshape_annotations//test_auto_move//signs_mov/1811.mov" TargetMode="External"/><Relationship Id="rId25048" Type="http://schemas.openxmlformats.org/officeDocument/2006/relationships/hyperlink" Target="http://csr.bu.edu/ftp/asl/asllvd/demos/verify_start_end_handshape_annotations//test_auto_move//signs_mov_separ_signers/Liz_1811.mov" TargetMode="External"/><Relationship Id="rId25049" Type="http://schemas.openxmlformats.org/officeDocument/2006/relationships/hyperlink" Target="http://secrets.rutgers.edu:8080/data/asl-ftp/asllvd/demos/verify_start_end_handshape_annotations//test_auto_move//signs_mov/1811.mov" TargetMode="External"/><Relationship Id="rId25050" Type="http://schemas.openxmlformats.org/officeDocument/2006/relationships/hyperlink" Target="http://secrets.rutgers.edu:8080/data/asl-ftp/asllvd/demos/verify_start_end_handshape_annotations//test_auto_move//signs_mov_separ_signers/Liz_1811.mov" TargetMode="External"/><Relationship Id="rId25051" Type="http://schemas.openxmlformats.org/officeDocument/2006/relationships/hyperlink" Target="http://csr.bu.edu/ftp/asl/asllvd/demos/verify_start_end_handshape_annotations//test_auto_move//signs_mov/1813.mov" TargetMode="External"/><Relationship Id="rId25052" Type="http://schemas.openxmlformats.org/officeDocument/2006/relationships/hyperlink" Target="http://csr.bu.edu/ftp/asl/asllvd/demos/verify_start_end_handshape_annotations//test_auto_move//signs_mov_separ_signers/Liz_1813.mov" TargetMode="External"/><Relationship Id="rId25053" Type="http://schemas.openxmlformats.org/officeDocument/2006/relationships/hyperlink" Target="http://secrets.rutgers.edu:8080/data/asl-ftp/asllvd/demos/verify_start_end_handshape_annotations//test_auto_move//signs_mov/1813.mov" TargetMode="External"/><Relationship Id="rId25054" Type="http://schemas.openxmlformats.org/officeDocument/2006/relationships/hyperlink" Target="http://secrets.rutgers.edu:8080/data/asl-ftp/asllvd/demos/verify_start_end_handshape_annotations//test_auto_move//signs_mov_separ_signers/Liz_1813.mov" TargetMode="External"/><Relationship Id="rId25055" Type="http://schemas.openxmlformats.org/officeDocument/2006/relationships/hyperlink" Target="http://csr.bu.edu/ftp/asl/asllvd/demos/verify_start_end_handshape_annotations//test_auto_move//signs_mov/1819.mov" TargetMode="External"/><Relationship Id="rId25056" Type="http://schemas.openxmlformats.org/officeDocument/2006/relationships/hyperlink" Target="http://csr.bu.edu/ftp/asl/asllvd/demos/verify_start_end_handshape_annotations//test_auto_move//signs_mov_separ_signers/Liz_1819.mov" TargetMode="External"/><Relationship Id="rId25057" Type="http://schemas.openxmlformats.org/officeDocument/2006/relationships/hyperlink" Target="http://secrets.rutgers.edu:8080/data/asl-ftp/asllvd/demos/verify_start_end_handshape_annotations//test_auto_move//signs_mov/1819.mov" TargetMode="External"/><Relationship Id="rId25058" Type="http://schemas.openxmlformats.org/officeDocument/2006/relationships/hyperlink" Target="http://secrets.rutgers.edu:8080/data/asl-ftp/asllvd/demos/verify_start_end_handshape_annotations//test_auto_move//signs_mov_separ_signers/Liz_1819.mov" TargetMode="External"/><Relationship Id="rId25059" Type="http://schemas.openxmlformats.org/officeDocument/2006/relationships/hyperlink" Target="http://csr.bu.edu/ftp/asl/asllvd/demos/verify_start_end_handshape_annotations//test_auto_move//signs_mov/1857.mov" TargetMode="External"/><Relationship Id="rId25060" Type="http://schemas.openxmlformats.org/officeDocument/2006/relationships/hyperlink" Target="http://csr.bu.edu/ftp/asl/asllvd/demos/verify_start_end_handshape_annotations//test_auto_move//signs_mov_separ_signers/Liz_1857.mov" TargetMode="External"/><Relationship Id="rId25061" Type="http://schemas.openxmlformats.org/officeDocument/2006/relationships/hyperlink" Target="http://secrets.rutgers.edu:8080/data/asl-ftp/asllvd/demos/verify_start_end_handshape_annotations//test_auto_move//signs_mov/1857.mov" TargetMode="External"/><Relationship Id="rId25062" Type="http://schemas.openxmlformats.org/officeDocument/2006/relationships/hyperlink" Target="http://secrets.rutgers.edu:8080/data/asl-ftp/asllvd/demos/verify_start_end_handshape_annotations//test_auto_move//signs_mov_separ_signers/Liz_1857.mov" TargetMode="External"/><Relationship Id="rId25063" Type="http://schemas.openxmlformats.org/officeDocument/2006/relationships/hyperlink" Target="http://csr.bu.edu/ftp/asl/asllvd/demos/verify_start_end_handshape_annotations//test_auto_move//signs_mov/1874.mov" TargetMode="External"/><Relationship Id="rId25064" Type="http://schemas.openxmlformats.org/officeDocument/2006/relationships/hyperlink" Target="http://csr.bu.edu/ftp/asl/asllvd/demos/verify_start_end_handshape_annotations//test_auto_move//signs_mov_separ_signers/Liz_1874.mov" TargetMode="External"/><Relationship Id="rId25065" Type="http://schemas.openxmlformats.org/officeDocument/2006/relationships/hyperlink" Target="http://secrets.rutgers.edu:8080/data/asl-ftp/asllvd/demos/verify_start_end_handshape_annotations//test_auto_move//signs_mov/1874.mov" TargetMode="External"/><Relationship Id="rId25066" Type="http://schemas.openxmlformats.org/officeDocument/2006/relationships/hyperlink" Target="http://secrets.rutgers.edu:8080/data/asl-ftp/asllvd/demos/verify_start_end_handshape_annotations//test_auto_move//signs_mov_separ_signers/Liz_1874.mov" TargetMode="External"/><Relationship Id="rId25067" Type="http://schemas.openxmlformats.org/officeDocument/2006/relationships/hyperlink" Target="http://csr.bu.edu/ftp/asl/asllvd/demos/verify_start_end_handshape_annotations//test_auto_move//signs_mov_separ_signers/Brady_1874.mov" TargetMode="External"/><Relationship Id="rId25068" Type="http://schemas.openxmlformats.org/officeDocument/2006/relationships/hyperlink" Target="http://secrets.rutgers.edu:8080/data/asl-ftp/asllvd/demos/verify_start_end_handshape_annotations//test_auto_move//signs_mov_separ_signers/Brady_1874.mov" TargetMode="External"/><Relationship Id="rId25069" Type="http://schemas.openxmlformats.org/officeDocument/2006/relationships/hyperlink" Target="http://csr.bu.edu/ftp/asl/asllvd/demos/verify_start_end_handshape_annotations//test_auto_move//signs_mov/1884.mov" TargetMode="External"/><Relationship Id="rId25070" Type="http://schemas.openxmlformats.org/officeDocument/2006/relationships/hyperlink" Target="http://csr.bu.edu/ftp/asl/asllvd/demos/verify_start_end_handshape_annotations//test_auto_move//signs_mov_separ_signers/Liz_1884.mov" TargetMode="External"/><Relationship Id="rId25071" Type="http://schemas.openxmlformats.org/officeDocument/2006/relationships/hyperlink" Target="http://secrets.rutgers.edu:8080/data/asl-ftp/asllvd/demos/verify_start_end_handshape_annotations//test_auto_move//signs_mov/1884.mov" TargetMode="External"/><Relationship Id="rId25072" Type="http://schemas.openxmlformats.org/officeDocument/2006/relationships/hyperlink" Target="http://secrets.rutgers.edu:8080/data/asl-ftp/asllvd/demos/verify_start_end_handshape_annotations//test_auto_move//signs_mov_separ_signers/Liz_1884.mov" TargetMode="External"/><Relationship Id="rId25073" Type="http://schemas.openxmlformats.org/officeDocument/2006/relationships/hyperlink" Target="http://csr.bu.edu/ftp/asl/asllvd/demos/verify_start_end_handshape_annotations//test_auto_move//signs_mov_separ_signers/Brady_1884.mov" TargetMode="External"/><Relationship Id="rId25074" Type="http://schemas.openxmlformats.org/officeDocument/2006/relationships/hyperlink" Target="http://secrets.rutgers.edu:8080/data/asl-ftp/asllvd/demos/verify_start_end_handshape_annotations//test_auto_move//signs_mov_separ_signers/Brady_1884.mov" TargetMode="External"/><Relationship Id="rId25075" Type="http://schemas.openxmlformats.org/officeDocument/2006/relationships/hyperlink" Target="http://csr.bu.edu/ftp/asl/asllvd/demos/verify_start_end_handshape_annotations//test_auto_move//signs_mov/1889.mov" TargetMode="External"/><Relationship Id="rId25076" Type="http://schemas.openxmlformats.org/officeDocument/2006/relationships/hyperlink" Target="http://csr.bu.edu/ftp/asl/asllvd/demos/verify_start_end_handshape_annotations//test_auto_move//signs_mov_separ_signers/Liz_1889.mov" TargetMode="External"/><Relationship Id="rId25077" Type="http://schemas.openxmlformats.org/officeDocument/2006/relationships/hyperlink" Target="http://secrets.rutgers.edu:8080/data/asl-ftp/asllvd/demos/verify_start_end_handshape_annotations//test_auto_move//signs_mov/1889.mov" TargetMode="External"/><Relationship Id="rId25078" Type="http://schemas.openxmlformats.org/officeDocument/2006/relationships/hyperlink" Target="http://secrets.rutgers.edu:8080/data/asl-ftp/asllvd/demos/verify_start_end_handshape_annotations//test_auto_move//signs_mov_separ_signers/Liz_1889.mov" TargetMode="External"/><Relationship Id="rId25079" Type="http://schemas.openxmlformats.org/officeDocument/2006/relationships/hyperlink" Target="http://csr.bu.edu/ftp/asl/asllvd/demos/verify_start_end_handshape_annotations//test_auto_move//signs_mov_separ_signers/Brady_1889.mov" TargetMode="External"/><Relationship Id="rId25080" Type="http://schemas.openxmlformats.org/officeDocument/2006/relationships/hyperlink" Target="http://secrets.rutgers.edu:8080/data/asl-ftp/asllvd/demos/verify_start_end_handshape_annotations//test_auto_move//signs_mov_separ_signers/Brady_1889.mov" TargetMode="External"/><Relationship Id="rId25081" Type="http://schemas.openxmlformats.org/officeDocument/2006/relationships/hyperlink" Target="http://csr.bu.edu/ftp/asl/asllvd/demos/verify_start_end_handshape_annotations//test_auto_move//signs_mov/1891.mov" TargetMode="External"/><Relationship Id="rId25082" Type="http://schemas.openxmlformats.org/officeDocument/2006/relationships/hyperlink" Target="http://csr.bu.edu/ftp/asl/asllvd/demos/verify_start_end_handshape_annotations//test_auto_move//signs_mov_separ_signers/Liz_1891.mov" TargetMode="External"/><Relationship Id="rId25083" Type="http://schemas.openxmlformats.org/officeDocument/2006/relationships/hyperlink" Target="http://secrets.rutgers.edu:8080/data/asl-ftp/asllvd/demos/verify_start_end_handshape_annotations//test_auto_move//signs_mov/1891.mov" TargetMode="External"/><Relationship Id="rId25084" Type="http://schemas.openxmlformats.org/officeDocument/2006/relationships/hyperlink" Target="http://secrets.rutgers.edu:8080/data/asl-ftp/asllvd/demos/verify_start_end_handshape_annotations//test_auto_move//signs_mov_separ_signers/Liz_1891.mov" TargetMode="External"/><Relationship Id="rId25085" Type="http://schemas.openxmlformats.org/officeDocument/2006/relationships/hyperlink" Target="http://csr.bu.edu/ftp/asl/asllvd/demos/verify_start_end_handshape_annotations//test_auto_move//signs_mov_separ_signers/Brady_1891.mov" TargetMode="External"/><Relationship Id="rId25086" Type="http://schemas.openxmlformats.org/officeDocument/2006/relationships/hyperlink" Target="http://secrets.rutgers.edu:8080/data/asl-ftp/asllvd/demos/verify_start_end_handshape_annotations//test_auto_move//signs_mov_separ_signers/Brady_1891.mov" TargetMode="External"/><Relationship Id="rId25087" Type="http://schemas.openxmlformats.org/officeDocument/2006/relationships/hyperlink" Target="http://csr.bu.edu/ftp/asl/asllvd/demos/verify_start_end_handshape_annotations//test_auto_move//signs_mov/1909.mov" TargetMode="External"/><Relationship Id="rId25088" Type="http://schemas.openxmlformats.org/officeDocument/2006/relationships/hyperlink" Target="http://csr.bu.edu/ftp/asl/asllvd/demos/verify_start_end_handshape_annotations//test_auto_move//signs_mov_separ_signers/Liz_1909.mov" TargetMode="External"/><Relationship Id="rId25089" Type="http://schemas.openxmlformats.org/officeDocument/2006/relationships/hyperlink" Target="http://secrets.rutgers.edu:8080/data/asl-ftp/asllvd/demos/verify_start_end_handshape_annotations//test_auto_move//signs_mov/1909.mov" TargetMode="External"/><Relationship Id="rId25090" Type="http://schemas.openxmlformats.org/officeDocument/2006/relationships/hyperlink" Target="http://secrets.rutgers.edu:8080/data/asl-ftp/asllvd/demos/verify_start_end_handshape_annotations//test_auto_move//signs_mov_separ_signers/Liz_1909.mov" TargetMode="External"/><Relationship Id="rId25091" Type="http://schemas.openxmlformats.org/officeDocument/2006/relationships/hyperlink" Target="http://csr.bu.edu/ftp/asl/asllvd/demos/verify_start_end_handshape_annotations//test_auto_move//signs_mov/1921.mov" TargetMode="External"/><Relationship Id="rId25092" Type="http://schemas.openxmlformats.org/officeDocument/2006/relationships/hyperlink" Target="http://csr.bu.edu/ftp/asl/asllvd/demos/verify_start_end_handshape_annotations//test_auto_move//signs_mov_separ_signers/Liz_1921.mov" TargetMode="External"/><Relationship Id="rId25093" Type="http://schemas.openxmlformats.org/officeDocument/2006/relationships/hyperlink" Target="http://secrets.rutgers.edu:8080/data/asl-ftp/asllvd/demos/verify_start_end_handshape_annotations//test_auto_move//signs_mov/1921.mov" TargetMode="External"/><Relationship Id="rId25094" Type="http://schemas.openxmlformats.org/officeDocument/2006/relationships/hyperlink" Target="http://secrets.rutgers.edu:8080/data/asl-ftp/asllvd/demos/verify_start_end_handshape_annotations//test_auto_move//signs_mov_separ_signers/Liz_1921.mov" TargetMode="External"/><Relationship Id="rId25095" Type="http://schemas.openxmlformats.org/officeDocument/2006/relationships/hyperlink" Target="http://csr.bu.edu/ftp/asl/asllvd/demos/verify_start_end_handshape_annotations//test_auto_move//signs_mov_separ_signers/Brady_1921.mov" TargetMode="External"/><Relationship Id="rId25096" Type="http://schemas.openxmlformats.org/officeDocument/2006/relationships/hyperlink" Target="http://secrets.rutgers.edu:8080/data/asl-ftp/asllvd/demos/verify_start_end_handshape_annotations//test_auto_move//signs_mov_separ_signers/Brady_1921.mov" TargetMode="External"/><Relationship Id="rId25097" Type="http://schemas.openxmlformats.org/officeDocument/2006/relationships/hyperlink" Target="http://csr.bu.edu/ftp/asl/asllvd/demos/verify_start_end_handshape_annotations//test_auto_move//signs_mov/1935.mov" TargetMode="External"/><Relationship Id="rId25098" Type="http://schemas.openxmlformats.org/officeDocument/2006/relationships/hyperlink" Target="http://csr.bu.edu/ftp/asl/asllvd/demos/verify_start_end_handshape_annotations//test_auto_move//signs_mov_separ_signers/Liz_1935.mov" TargetMode="External"/><Relationship Id="rId25099" Type="http://schemas.openxmlformats.org/officeDocument/2006/relationships/hyperlink" Target="http://secrets.rutgers.edu:8080/data/asl-ftp/asllvd/demos/verify_start_end_handshape_annotations//test_auto_move//signs_mov/1935.mov" TargetMode="External"/><Relationship Id="rId25100" Type="http://schemas.openxmlformats.org/officeDocument/2006/relationships/hyperlink" Target="http://secrets.rutgers.edu:8080/data/asl-ftp/asllvd/demos/verify_start_end_handshape_annotations//test_auto_move//signs_mov_separ_signers/Liz_1935.mov" TargetMode="External"/><Relationship Id="rId25101" Type="http://schemas.openxmlformats.org/officeDocument/2006/relationships/hyperlink" Target="http://csr.bu.edu/ftp/asl/asllvd/demos/verify_start_end_handshape_annotations//test_auto_move//signs_mov_separ_signers/Brady_1935.mov" TargetMode="External"/><Relationship Id="rId25102" Type="http://schemas.openxmlformats.org/officeDocument/2006/relationships/hyperlink" Target="http://secrets.rutgers.edu:8080/data/asl-ftp/asllvd/demos/verify_start_end_handshape_annotations//test_auto_move//signs_mov_separ_signers/Brady_1935.mov" TargetMode="External"/><Relationship Id="rId25103" Type="http://schemas.openxmlformats.org/officeDocument/2006/relationships/hyperlink" Target="http://csr.bu.edu/ftp/asl/asllvd/demos/verify_start_end_handshape_annotations//test_auto_move//signs_mov/1943.mov" TargetMode="External"/><Relationship Id="rId25104" Type="http://schemas.openxmlformats.org/officeDocument/2006/relationships/hyperlink" Target="http://csr.bu.edu/ftp/asl/asllvd/demos/verify_start_end_handshape_annotations//test_auto_move//signs_mov_separ_signers/Liz_1943.mov" TargetMode="External"/><Relationship Id="rId25105" Type="http://schemas.openxmlformats.org/officeDocument/2006/relationships/hyperlink" Target="http://secrets.rutgers.edu:8080/data/asl-ftp/asllvd/demos/verify_start_end_handshape_annotations//test_auto_move//signs_mov/1943.mov" TargetMode="External"/><Relationship Id="rId25106" Type="http://schemas.openxmlformats.org/officeDocument/2006/relationships/hyperlink" Target="http://secrets.rutgers.edu:8080/data/asl-ftp/asllvd/demos/verify_start_end_handshape_annotations//test_auto_move//signs_mov_separ_signers/Liz_1943.mov" TargetMode="External"/><Relationship Id="rId25107" Type="http://schemas.openxmlformats.org/officeDocument/2006/relationships/hyperlink" Target="http://csr.bu.edu/ftp/asl/asllvd/demos/verify_start_end_handshape_annotations//test_auto_move//signs_mov_separ_signers/Brady_1943.mov" TargetMode="External"/><Relationship Id="rId25108" Type="http://schemas.openxmlformats.org/officeDocument/2006/relationships/hyperlink" Target="http://secrets.rutgers.edu:8080/data/asl-ftp/asllvd/demos/verify_start_end_handshape_annotations//test_auto_move//signs_mov_separ_signers/Brady_1943.mov" TargetMode="External"/><Relationship Id="rId25109" Type="http://schemas.openxmlformats.org/officeDocument/2006/relationships/hyperlink" Target="http://csr.bu.edu/ftp/asl/asllvd/demos/verify_start_end_handshape_annotations//test_auto_move//signs_mov/5365.mov" TargetMode="External"/><Relationship Id="rId25110" Type="http://schemas.openxmlformats.org/officeDocument/2006/relationships/hyperlink" Target="http://csr.bu.edu/ftp/asl/asllvd/demos/verify_start_end_handshape_annotations//test_auto_move//signs_mov_separ_signers/Liz_5365.mov" TargetMode="External"/><Relationship Id="rId25111" Type="http://schemas.openxmlformats.org/officeDocument/2006/relationships/hyperlink" Target="http://secrets.rutgers.edu:8080/data/asl-ftp/asllvd/demos/verify_start_end_handshape_annotations//test_auto_move//signs_mov/5365.mov" TargetMode="External"/><Relationship Id="rId25112" Type="http://schemas.openxmlformats.org/officeDocument/2006/relationships/hyperlink" Target="http://secrets.rutgers.edu:8080/data/asl-ftp/asllvd/demos/verify_start_end_handshape_annotations//test_auto_move//signs_mov_separ_signers/Liz_5365.mov" TargetMode="External"/><Relationship Id="rId25113" Type="http://schemas.openxmlformats.org/officeDocument/2006/relationships/hyperlink" Target="http://csr.bu.edu/ftp/asl/asllvd/demos/verify_start_end_handshape_annotations//test_auto_move//signs_mov/1957.mov" TargetMode="External"/><Relationship Id="rId25114" Type="http://schemas.openxmlformats.org/officeDocument/2006/relationships/hyperlink" Target="http://csr.bu.edu/ftp/asl/asllvd/demos/verify_start_end_handshape_annotations//test_auto_move//signs_mov_separ_signers/Liz_1957.mov" TargetMode="External"/><Relationship Id="rId25115" Type="http://schemas.openxmlformats.org/officeDocument/2006/relationships/hyperlink" Target="http://secrets.rutgers.edu:8080/data/asl-ftp/asllvd/demos/verify_start_end_handshape_annotations//test_auto_move//signs_mov/1957.mov" TargetMode="External"/><Relationship Id="rId25116" Type="http://schemas.openxmlformats.org/officeDocument/2006/relationships/hyperlink" Target="http://secrets.rutgers.edu:8080/data/asl-ftp/asllvd/demos/verify_start_end_handshape_annotations//test_auto_move//signs_mov_separ_signers/Liz_1957.mov" TargetMode="External"/><Relationship Id="rId25117" Type="http://schemas.openxmlformats.org/officeDocument/2006/relationships/hyperlink" Target="http://csr.bu.edu/ftp/asl/asllvd/demos/verify_start_end_handshape_annotations//test_auto_move//signs_mov_separ_signers/Brady_1957.mov" TargetMode="External"/><Relationship Id="rId25118" Type="http://schemas.openxmlformats.org/officeDocument/2006/relationships/hyperlink" Target="http://secrets.rutgers.edu:8080/data/asl-ftp/asllvd/demos/verify_start_end_handshape_annotations//test_auto_move//signs_mov_separ_signers/Brady_1957.mov" TargetMode="External"/><Relationship Id="rId25119" Type="http://schemas.openxmlformats.org/officeDocument/2006/relationships/hyperlink" Target="http://csr.bu.edu/ftp/asl/asllvd/demos/verify_start_end_handshape_annotations//test_auto_move//signs_mov/1961.mov" TargetMode="External"/><Relationship Id="rId25120" Type="http://schemas.openxmlformats.org/officeDocument/2006/relationships/hyperlink" Target="http://csr.bu.edu/ftp/asl/asllvd/demos/verify_start_end_handshape_annotations//test_auto_move//signs_mov_separ_signers/Liz_1961.mov" TargetMode="External"/><Relationship Id="rId25121" Type="http://schemas.openxmlformats.org/officeDocument/2006/relationships/hyperlink" Target="http://secrets.rutgers.edu:8080/data/asl-ftp/asllvd/demos/verify_start_end_handshape_annotations//test_auto_move//signs_mov/1961.mov" TargetMode="External"/><Relationship Id="rId25122" Type="http://schemas.openxmlformats.org/officeDocument/2006/relationships/hyperlink" Target="http://secrets.rutgers.edu:8080/data/asl-ftp/asllvd/demos/verify_start_end_handshape_annotations//test_auto_move//signs_mov_separ_signers/Liz_1961.mov" TargetMode="External"/><Relationship Id="rId25123" Type="http://schemas.openxmlformats.org/officeDocument/2006/relationships/hyperlink" Target="http://csr.bu.edu/ftp/asl/asllvd/demos/verify_start_end_handshape_annotations//test_auto_move//signs_mov_separ_signers/Brady_1961.mov" TargetMode="External"/><Relationship Id="rId25124" Type="http://schemas.openxmlformats.org/officeDocument/2006/relationships/hyperlink" Target="http://secrets.rutgers.edu:8080/data/asl-ftp/asllvd/demos/verify_start_end_handshape_annotations//test_auto_move//signs_mov_separ_signers/Brady_1961.mov" TargetMode="External"/><Relationship Id="rId25125" Type="http://schemas.openxmlformats.org/officeDocument/2006/relationships/hyperlink" Target="http://csr.bu.edu/ftp/asl/asllvd/demos/verify_start_end_handshape_annotations//test_auto_move//signs_mov/1975.mov" TargetMode="External"/><Relationship Id="rId25126" Type="http://schemas.openxmlformats.org/officeDocument/2006/relationships/hyperlink" Target="http://csr.bu.edu/ftp/asl/asllvd/demos/verify_start_end_handshape_annotations//test_auto_move//signs_mov_separ_signers/Liz_1975.mov" TargetMode="External"/><Relationship Id="rId25127" Type="http://schemas.openxmlformats.org/officeDocument/2006/relationships/hyperlink" Target="http://secrets.rutgers.edu:8080/data/asl-ftp/asllvd/demos/verify_start_end_handshape_annotations//test_auto_move//signs_mov/1975.mov" TargetMode="External"/><Relationship Id="rId25128" Type="http://schemas.openxmlformats.org/officeDocument/2006/relationships/hyperlink" Target="http://secrets.rutgers.edu:8080/data/asl-ftp/asllvd/demos/verify_start_end_handshape_annotations//test_auto_move//signs_mov_separ_signers/Liz_1975.mov" TargetMode="External"/><Relationship Id="rId25129" Type="http://schemas.openxmlformats.org/officeDocument/2006/relationships/hyperlink" Target="http://csr.bu.edu/ftp/asl/asllvd/demos/verify_start_end_handshape_annotations//test_auto_move//signs_mov_separ_signers/Brady_1975.mov" TargetMode="External"/><Relationship Id="rId25130" Type="http://schemas.openxmlformats.org/officeDocument/2006/relationships/hyperlink" Target="http://secrets.rutgers.edu:8080/data/asl-ftp/asllvd/demos/verify_start_end_handshape_annotations//test_auto_move//signs_mov_separ_signers/Brady_1975.mov" TargetMode="External"/><Relationship Id="rId25131" Type="http://schemas.openxmlformats.org/officeDocument/2006/relationships/hyperlink" Target="http://csr.bu.edu/ftp/asl/asllvd/demos/verify_start_end_handshape_annotations//test_auto_move//signs_mov/1981.mov" TargetMode="External"/><Relationship Id="rId25132" Type="http://schemas.openxmlformats.org/officeDocument/2006/relationships/hyperlink" Target="http://csr.bu.edu/ftp/asl/asllvd/demos/verify_start_end_handshape_annotations//test_auto_move//signs_mov_separ_signers/Liz_1981.mov" TargetMode="External"/><Relationship Id="rId25133" Type="http://schemas.openxmlformats.org/officeDocument/2006/relationships/hyperlink" Target="http://secrets.rutgers.edu:8080/data/asl-ftp/asllvd/demos/verify_start_end_handshape_annotations//test_auto_move//signs_mov/1981.mov" TargetMode="External"/><Relationship Id="rId25134" Type="http://schemas.openxmlformats.org/officeDocument/2006/relationships/hyperlink" Target="http://secrets.rutgers.edu:8080/data/asl-ftp/asllvd/demos/verify_start_end_handshape_annotations//test_auto_move//signs_mov_separ_signers/Liz_1981.mov" TargetMode="External"/><Relationship Id="rId25135" Type="http://schemas.openxmlformats.org/officeDocument/2006/relationships/hyperlink" Target="http://csr.bu.edu/ftp/asl/asllvd/demos/verify_start_end_handshape_annotations//test_auto_move//signs_mov_separ_signers/Brady_1981.mov" TargetMode="External"/><Relationship Id="rId25136" Type="http://schemas.openxmlformats.org/officeDocument/2006/relationships/hyperlink" Target="http://secrets.rutgers.edu:8080/data/asl-ftp/asllvd/demos/verify_start_end_handshape_annotations//test_auto_move//signs_mov_separ_signers/Brady_1981.mov" TargetMode="External"/><Relationship Id="rId25137" Type="http://schemas.openxmlformats.org/officeDocument/2006/relationships/hyperlink" Target="http://csr.bu.edu/ftp/asl/asllvd/demos/verify_start_end_handshape_annotations//test_auto_move//signs_mov/1983.mov" TargetMode="External"/><Relationship Id="rId25138" Type="http://schemas.openxmlformats.org/officeDocument/2006/relationships/hyperlink" Target="http://csr.bu.edu/ftp/asl/asllvd/demos/verify_start_end_handshape_annotations//test_auto_move//signs_mov_separ_signers/Liz_1983.mov" TargetMode="External"/><Relationship Id="rId25139" Type="http://schemas.openxmlformats.org/officeDocument/2006/relationships/hyperlink" Target="http://secrets.rutgers.edu:8080/data/asl-ftp/asllvd/demos/verify_start_end_handshape_annotations//test_auto_move//signs_mov/1983.mov" TargetMode="External"/><Relationship Id="rId25140" Type="http://schemas.openxmlformats.org/officeDocument/2006/relationships/hyperlink" Target="http://secrets.rutgers.edu:8080/data/asl-ftp/asllvd/demos/verify_start_end_handshape_annotations//test_auto_move//signs_mov_separ_signers/Liz_1983.mov" TargetMode="External"/><Relationship Id="rId25141" Type="http://schemas.openxmlformats.org/officeDocument/2006/relationships/hyperlink" Target="http://csr.bu.edu/ftp/asl/asllvd/demos/verify_start_end_handshape_annotations//test_auto_move//signs_mov_separ_signers/Brady_1983.mov" TargetMode="External"/><Relationship Id="rId25142" Type="http://schemas.openxmlformats.org/officeDocument/2006/relationships/hyperlink" Target="http://secrets.rutgers.edu:8080/data/asl-ftp/asllvd/demos/verify_start_end_handshape_annotations//test_auto_move//signs_mov_separ_signers/Brady_1983.mov" TargetMode="External"/><Relationship Id="rId25143" Type="http://schemas.openxmlformats.org/officeDocument/2006/relationships/hyperlink" Target="http://csr.bu.edu/ftp/asl/asllvd/demos/verify_start_end_handshape_annotations//test_auto_move//signs_mov/2011.mov" TargetMode="External"/><Relationship Id="rId25144" Type="http://schemas.openxmlformats.org/officeDocument/2006/relationships/hyperlink" Target="http://csr.bu.edu/ftp/asl/asllvd/demos/verify_start_end_handshape_annotations//test_auto_move//signs_mov_separ_signers/Liz_2011.mov" TargetMode="External"/><Relationship Id="rId25145" Type="http://schemas.openxmlformats.org/officeDocument/2006/relationships/hyperlink" Target="http://secrets.rutgers.edu:8080/data/asl-ftp/asllvd/demos/verify_start_end_handshape_annotations//test_auto_move//signs_mov/2011.mov" TargetMode="External"/><Relationship Id="rId25146" Type="http://schemas.openxmlformats.org/officeDocument/2006/relationships/hyperlink" Target="http://secrets.rutgers.edu:8080/data/asl-ftp/asllvd/demos/verify_start_end_handshape_annotations//test_auto_move//signs_mov_separ_signers/Liz_2011.mov" TargetMode="External"/><Relationship Id="rId25147" Type="http://schemas.openxmlformats.org/officeDocument/2006/relationships/hyperlink" Target="http://csr.bu.edu/ftp/asl/asllvd/demos/verify_start_end_handshape_annotations//test_auto_move//signs_mov_separ_signers/Brady_2011.mov" TargetMode="External"/><Relationship Id="rId25148" Type="http://schemas.openxmlformats.org/officeDocument/2006/relationships/hyperlink" Target="http://secrets.rutgers.edu:8080/data/asl-ftp/asllvd/demos/verify_start_end_handshape_annotations//test_auto_move//signs_mov_separ_signers/Brady_2011.mov" TargetMode="External"/><Relationship Id="rId25149" Type="http://schemas.openxmlformats.org/officeDocument/2006/relationships/hyperlink" Target="http://csr.bu.edu/ftp/asl/asllvd/demos/verify_start_end_handshape_annotations//test_auto_move//signs_mov/2032.mov" TargetMode="External"/><Relationship Id="rId25150" Type="http://schemas.openxmlformats.org/officeDocument/2006/relationships/hyperlink" Target="http://csr.bu.edu/ftp/asl/asllvd/demos/verify_start_end_handshape_annotations//test_auto_move//signs_mov_separ_signers/Liz_2032.mov" TargetMode="External"/><Relationship Id="rId25151" Type="http://schemas.openxmlformats.org/officeDocument/2006/relationships/hyperlink" Target="http://secrets.rutgers.edu:8080/data/asl-ftp/asllvd/demos/verify_start_end_handshape_annotations//test_auto_move//signs_mov/2032.mov" TargetMode="External"/><Relationship Id="rId25152" Type="http://schemas.openxmlformats.org/officeDocument/2006/relationships/hyperlink" Target="http://secrets.rutgers.edu:8080/data/asl-ftp/asllvd/demos/verify_start_end_handshape_annotations//test_auto_move//signs_mov_separ_signers/Liz_2032.mov" TargetMode="External"/><Relationship Id="rId25153" Type="http://schemas.openxmlformats.org/officeDocument/2006/relationships/hyperlink" Target="http://csr.bu.edu/ftp/asl/asllvd/demos/verify_start_end_handshape_annotations//test_auto_move//signs_mov_separ_signers/Liz_2033.mov" TargetMode="External"/><Relationship Id="rId25154" Type="http://schemas.openxmlformats.org/officeDocument/2006/relationships/hyperlink" Target="http://secrets.rutgers.edu:8080/data/asl-ftp/asllvd/demos/verify_start_end_handshape_annotations//test_auto_move//signs_mov_separ_signers/Liz_2033.mov" TargetMode="External"/><Relationship Id="rId25155" Type="http://schemas.openxmlformats.org/officeDocument/2006/relationships/hyperlink" Target="http://csr.bu.edu/ftp/asl/asllvd/demos/verify_start_end_handshape_annotations//test_auto_move//signs_mov_separ_signers/Liz_3833.mov" TargetMode="External"/><Relationship Id="rId25156" Type="http://schemas.openxmlformats.org/officeDocument/2006/relationships/hyperlink" Target="http://secrets.rutgers.edu:8080/data/asl-ftp/asllvd/demos/verify_start_end_handshape_annotations//test_auto_move//signs_mov_separ_signers/Liz_3833.mov" TargetMode="External"/><Relationship Id="rId25157" Type="http://schemas.openxmlformats.org/officeDocument/2006/relationships/hyperlink" Target="http://csr.bu.edu/ftp/asl/asllvd/demos/verify_start_end_handshape_annotations//test_auto_move//signs_mov/2033_3833_merged.mov" TargetMode="External"/><Relationship Id="rId25158" Type="http://schemas.openxmlformats.org/officeDocument/2006/relationships/hyperlink" Target="http://csr.bu.edu/ftp/asl/asllvd/demos/verify_start_end_handshape_annotations//test_auto_move//signs_mov_separ_signers/Naomi_2033.mov" TargetMode="External"/><Relationship Id="rId25159" Type="http://schemas.openxmlformats.org/officeDocument/2006/relationships/hyperlink" Target="http://secrets.rutgers.edu:8080/data/asl-ftp/asllvd/demos/verify_start_end_handshape_annotations//test_auto_move//signs_mov/2033_3833_merged.mov" TargetMode="External"/><Relationship Id="rId25160" Type="http://schemas.openxmlformats.org/officeDocument/2006/relationships/hyperlink" Target="http://secrets.rutgers.edu:8080/data/asl-ftp/asllvd/demos/verify_start_end_handshape_annotations//test_auto_move//signs_mov_separ_signers/Naomi_2033.mov" TargetMode="External"/><Relationship Id="rId25161" Type="http://schemas.openxmlformats.org/officeDocument/2006/relationships/hyperlink" Target="http://csr.bu.edu/ftp/asl/asllvd/demos/verify_start_end_handshape_annotations//test_auto_move//signs_mov_separ_signers/Brady_2033.mov" TargetMode="External"/><Relationship Id="rId25162" Type="http://schemas.openxmlformats.org/officeDocument/2006/relationships/hyperlink" Target="http://secrets.rutgers.edu:8080/data/asl-ftp/asllvd/demos/verify_start_end_handshape_annotations//test_auto_move//signs_mov_separ_signers/Brady_2033.mov" TargetMode="External"/><Relationship Id="rId25163" Type="http://schemas.openxmlformats.org/officeDocument/2006/relationships/hyperlink" Target="http://csr.bu.edu/ftp/asl/asllvd/demos/verify_start_end_handshape_annotations//test_auto_move//signs_mov_separ_signers/Brady_3833.mov" TargetMode="External"/><Relationship Id="rId25164" Type="http://schemas.openxmlformats.org/officeDocument/2006/relationships/hyperlink" Target="http://secrets.rutgers.edu:8080/data/asl-ftp/asllvd/demos/verify_start_end_handshape_annotations//test_auto_move//signs_mov_separ_signers/Brady_3833.mov" TargetMode="External"/><Relationship Id="rId25165" Type="http://schemas.openxmlformats.org/officeDocument/2006/relationships/hyperlink" Target="http://csr.bu.edu/ftp/asl/asllvd/demos/verify_start_end_handshape_annotations//test_auto_move//signs_mov/2036.mov" TargetMode="External"/><Relationship Id="rId25166" Type="http://schemas.openxmlformats.org/officeDocument/2006/relationships/hyperlink" Target="http://csr.bu.edu/ftp/asl/asllvd/demos/verify_start_end_handshape_annotations//test_auto_move//signs_mov_separ_signers/Liz_2036.mov" TargetMode="External"/><Relationship Id="rId25167" Type="http://schemas.openxmlformats.org/officeDocument/2006/relationships/hyperlink" Target="http://secrets.rutgers.edu:8080/data/asl-ftp/asllvd/demos/verify_start_end_handshape_annotations//test_auto_move//signs_mov/2036.mov" TargetMode="External"/><Relationship Id="rId25168" Type="http://schemas.openxmlformats.org/officeDocument/2006/relationships/hyperlink" Target="http://secrets.rutgers.edu:8080/data/asl-ftp/asllvd/demos/verify_start_end_handshape_annotations//test_auto_move//signs_mov_separ_signers/Liz_2036.mov" TargetMode="External"/><Relationship Id="rId25169" Type="http://schemas.openxmlformats.org/officeDocument/2006/relationships/hyperlink" Target="http://csr.bu.edu/ftp/asl/asllvd/demos/verify_start_end_handshape_annotations//test_auto_move//signs_mov/2049.mov" TargetMode="External"/><Relationship Id="rId25170" Type="http://schemas.openxmlformats.org/officeDocument/2006/relationships/hyperlink" Target="http://csr.bu.edu/ftp/asl/asllvd/demos/verify_start_end_handshape_annotations//test_auto_move//signs_mov_separ_signers/Liz_2049.mov" TargetMode="External"/><Relationship Id="rId25171" Type="http://schemas.openxmlformats.org/officeDocument/2006/relationships/hyperlink" Target="http://secrets.rutgers.edu:8080/data/asl-ftp/asllvd/demos/verify_start_end_handshape_annotations//test_auto_move//signs_mov/2049.mov" TargetMode="External"/><Relationship Id="rId25172" Type="http://schemas.openxmlformats.org/officeDocument/2006/relationships/hyperlink" Target="http://secrets.rutgers.edu:8080/data/asl-ftp/asllvd/demos/verify_start_end_handshape_annotations//test_auto_move//signs_mov_separ_signers/Liz_2049.mov" TargetMode="External"/><Relationship Id="rId25173" Type="http://schemas.openxmlformats.org/officeDocument/2006/relationships/hyperlink" Target="http://csr.bu.edu/ftp/asl/asllvd/demos/verify_start_end_handshape_annotations//test_auto_move//signs_mov_separ_signers/Brady_2049.mov" TargetMode="External"/><Relationship Id="rId25174" Type="http://schemas.openxmlformats.org/officeDocument/2006/relationships/hyperlink" Target="http://secrets.rutgers.edu:8080/data/asl-ftp/asllvd/demos/verify_start_end_handshape_annotations//test_auto_move//signs_mov_separ_signers/Brady_2049.mov" TargetMode="External"/><Relationship Id="rId25175" Type="http://schemas.openxmlformats.org/officeDocument/2006/relationships/hyperlink" Target="http://csr.bu.edu/ftp/asl/asllvd/demos/verify_start_end_handshape_annotations//test_auto_move//signs_mov/2051.mov" TargetMode="External"/><Relationship Id="rId25176" Type="http://schemas.openxmlformats.org/officeDocument/2006/relationships/hyperlink" Target="http://csr.bu.edu/ftp/asl/asllvd/demos/verify_start_end_handshape_annotations//test_auto_move//signs_mov_separ_signers/Liz_2051.mov" TargetMode="External"/><Relationship Id="rId25177" Type="http://schemas.openxmlformats.org/officeDocument/2006/relationships/hyperlink" Target="http://secrets.rutgers.edu:8080/data/asl-ftp/asllvd/demos/verify_start_end_handshape_annotations//test_auto_move//signs_mov/2051.mov" TargetMode="External"/><Relationship Id="rId25178" Type="http://schemas.openxmlformats.org/officeDocument/2006/relationships/hyperlink" Target="http://secrets.rutgers.edu:8080/data/asl-ftp/asllvd/demos/verify_start_end_handshape_annotations//test_auto_move//signs_mov_separ_signers/Liz_2051.mov" TargetMode="External"/><Relationship Id="rId25179" Type="http://schemas.openxmlformats.org/officeDocument/2006/relationships/hyperlink" Target="http://csr.bu.edu/ftp/asl/asllvd/demos/verify_start_end_handshape_annotations//test_auto_move//signs_mov_separ_signers/Brady_2051.mov" TargetMode="External"/><Relationship Id="rId25180" Type="http://schemas.openxmlformats.org/officeDocument/2006/relationships/hyperlink" Target="http://secrets.rutgers.edu:8080/data/asl-ftp/asllvd/demos/verify_start_end_handshape_annotations//test_auto_move//signs_mov_separ_signers/Brady_2051.mov" TargetMode="External"/><Relationship Id="rId25181" Type="http://schemas.openxmlformats.org/officeDocument/2006/relationships/hyperlink" Target="http://csr.bu.edu/ftp/asl/asllvd/demos/verify_start_end_handshape_annotations//test_auto_move//signs_mov/2060.mov" TargetMode="External"/><Relationship Id="rId25182" Type="http://schemas.openxmlformats.org/officeDocument/2006/relationships/hyperlink" Target="http://csr.bu.edu/ftp/asl/asllvd/demos/verify_start_end_handshape_annotations//test_auto_move//signs_mov_separ_signers/Liz_2060.mov" TargetMode="External"/><Relationship Id="rId25183" Type="http://schemas.openxmlformats.org/officeDocument/2006/relationships/hyperlink" Target="http://secrets.rutgers.edu:8080/data/asl-ftp/asllvd/demos/verify_start_end_handshape_annotations//test_auto_move//signs_mov/2060.mov" TargetMode="External"/><Relationship Id="rId25184" Type="http://schemas.openxmlformats.org/officeDocument/2006/relationships/hyperlink" Target="http://secrets.rutgers.edu:8080/data/asl-ftp/asllvd/demos/verify_start_end_handshape_annotations//test_auto_move//signs_mov_separ_signers/Liz_2060.mov" TargetMode="External"/><Relationship Id="rId25185" Type="http://schemas.openxmlformats.org/officeDocument/2006/relationships/hyperlink" Target="http://csr.bu.edu/ftp/asl/asllvd/demos/verify_start_end_handshape_annotations//test_auto_move//signs_mov_separ_signers/Brady_2060.mov" TargetMode="External"/><Relationship Id="rId25186" Type="http://schemas.openxmlformats.org/officeDocument/2006/relationships/hyperlink" Target="http://secrets.rutgers.edu:8080/data/asl-ftp/asllvd/demos/verify_start_end_handshape_annotations//test_auto_move//signs_mov_separ_signers/Brady_2060.mov" TargetMode="External"/><Relationship Id="rId25187" Type="http://schemas.openxmlformats.org/officeDocument/2006/relationships/hyperlink" Target="http://csr.bu.edu/ftp/asl/asllvd/demos/verify_start_end_handshape_annotations//test_auto_move//signs_mov/2084.mov" TargetMode="External"/><Relationship Id="rId25188" Type="http://schemas.openxmlformats.org/officeDocument/2006/relationships/hyperlink" Target="http://csr.bu.edu/ftp/asl/asllvd/demos/verify_start_end_handshape_annotations//test_auto_move//signs_mov_separ_signers/Liz_2084.mov" TargetMode="External"/><Relationship Id="rId25189" Type="http://schemas.openxmlformats.org/officeDocument/2006/relationships/hyperlink" Target="http://secrets.rutgers.edu:8080/data/asl-ftp/asllvd/demos/verify_start_end_handshape_annotations//test_auto_move//signs_mov/2084.mov" TargetMode="External"/><Relationship Id="rId25190" Type="http://schemas.openxmlformats.org/officeDocument/2006/relationships/hyperlink" Target="http://secrets.rutgers.edu:8080/data/asl-ftp/asllvd/demos/verify_start_end_handshape_annotations//test_auto_move//signs_mov_separ_signers/Liz_2084.mov" TargetMode="External"/><Relationship Id="rId25191" Type="http://schemas.openxmlformats.org/officeDocument/2006/relationships/hyperlink" Target="http://csr.bu.edu/ftp/asl/asllvd/demos/verify_start_end_handshape_annotations//test_auto_move//signs_mov/15348.mov" TargetMode="External"/><Relationship Id="rId25192" Type="http://schemas.openxmlformats.org/officeDocument/2006/relationships/hyperlink" Target="http://csr.bu.edu/ftp/asl/asllvd/demos/verify_start_end_handshape_annotations//test_auto_move//signs_mov_separ_signers/Brady_15348.mov" TargetMode="External"/><Relationship Id="rId25193" Type="http://schemas.openxmlformats.org/officeDocument/2006/relationships/hyperlink" Target="http://secrets.rutgers.edu:8080/data/asl-ftp/asllvd/demos/verify_start_end_handshape_annotations//test_auto_move//signs_mov/15348.mov" TargetMode="External"/><Relationship Id="rId25194" Type="http://schemas.openxmlformats.org/officeDocument/2006/relationships/hyperlink" Target="http://secrets.rutgers.edu:8080/data/asl-ftp/asllvd/demos/verify_start_end_handshape_annotations//test_auto_move//signs_mov_separ_signers/Brady_15348.mov" TargetMode="External"/><Relationship Id="rId25195" Type="http://schemas.openxmlformats.org/officeDocument/2006/relationships/hyperlink" Target="http://csr.bu.edu/ftp/asl/asllvd/demos/verify_start_end_handshape_annotations//test_auto_move//signs_mov_separ_signers/Liz_2085.mov" TargetMode="External"/><Relationship Id="rId25196" Type="http://schemas.openxmlformats.org/officeDocument/2006/relationships/hyperlink" Target="http://secrets.rutgers.edu:8080/data/asl-ftp/asllvd/demos/verify_start_end_handshape_annotations//test_auto_move//signs_mov_separ_signers/Liz_2085.mov" TargetMode="External"/><Relationship Id="rId25197" Type="http://schemas.openxmlformats.org/officeDocument/2006/relationships/hyperlink" Target="http://csr.bu.edu/ftp/asl/asllvd/demos/verify_start_end_handshape_annotations//test_auto_move//signs_mov/2085_3828_merged.mov" TargetMode="External"/><Relationship Id="rId25198" Type="http://schemas.openxmlformats.org/officeDocument/2006/relationships/hyperlink" Target="http://csr.bu.edu/ftp/asl/asllvd/demos/verify_start_end_handshape_annotations//test_auto_move//signs_mov_separ_signers/Liz_3828.mov" TargetMode="External"/><Relationship Id="rId25199" Type="http://schemas.openxmlformats.org/officeDocument/2006/relationships/hyperlink" Target="http://secrets.rutgers.edu:8080/data/asl-ftp/asllvd/demos/verify_start_end_handshape_annotations//test_auto_move//signs_mov/2085_3828_merged.mov" TargetMode="External"/><Relationship Id="rId25200" Type="http://schemas.openxmlformats.org/officeDocument/2006/relationships/hyperlink" Target="http://secrets.rutgers.edu:8080/data/asl-ftp/asllvd/demos/verify_start_end_handshape_annotations//test_auto_move//signs_mov_separ_signers/Liz_3828.mov" TargetMode="External"/><Relationship Id="rId25201" Type="http://schemas.openxmlformats.org/officeDocument/2006/relationships/hyperlink" Target="http://csr.bu.edu/ftp/asl/asllvd/demos/verify_start_end_handshape_annotations//test_auto_move//signs_mov_separ_signers/Brady_2085.mov" TargetMode="External"/><Relationship Id="rId25202" Type="http://schemas.openxmlformats.org/officeDocument/2006/relationships/hyperlink" Target="http://secrets.rutgers.edu:8080/data/asl-ftp/asllvd/demos/verify_start_end_handshape_annotations//test_auto_move//signs_mov_separ_signers/Brady_2085.mov" TargetMode="External"/><Relationship Id="rId25203" Type="http://schemas.openxmlformats.org/officeDocument/2006/relationships/hyperlink" Target="http://csr.bu.edu/ftp/asl/asllvd/demos/verify_start_end_handshape_annotations//test_auto_move//signs_mov_separ_signers/Brady_3828.mov" TargetMode="External"/><Relationship Id="rId25204" Type="http://schemas.openxmlformats.org/officeDocument/2006/relationships/hyperlink" Target="http://secrets.rutgers.edu:8080/data/asl-ftp/asllvd/demos/verify_start_end_handshape_annotations//test_auto_move//signs_mov_separ_signers/Brady_3828.mov" TargetMode="External"/><Relationship Id="rId25205" Type="http://schemas.openxmlformats.org/officeDocument/2006/relationships/hyperlink" Target="http://csr.bu.edu/ftp/asl/asllvd/demos/verify_start_end_handshape_annotations//test_auto_move//signs_mov/2088.mov" TargetMode="External"/><Relationship Id="rId25206" Type="http://schemas.openxmlformats.org/officeDocument/2006/relationships/hyperlink" Target="http://csr.bu.edu/ftp/asl/asllvd/demos/verify_start_end_handshape_annotations//test_auto_move//signs_mov_separ_signers/Liz_2088.mov" TargetMode="External"/><Relationship Id="rId25207" Type="http://schemas.openxmlformats.org/officeDocument/2006/relationships/hyperlink" Target="http://secrets.rutgers.edu:8080/data/asl-ftp/asllvd/demos/verify_start_end_handshape_annotations//test_auto_move//signs_mov/2088.mov" TargetMode="External"/><Relationship Id="rId25208" Type="http://schemas.openxmlformats.org/officeDocument/2006/relationships/hyperlink" Target="http://secrets.rutgers.edu:8080/data/asl-ftp/asllvd/demos/verify_start_end_handshape_annotations//test_auto_move//signs_mov_separ_signers/Liz_2088.mov" TargetMode="External"/><Relationship Id="rId25209" Type="http://schemas.openxmlformats.org/officeDocument/2006/relationships/hyperlink" Target="http://csr.bu.edu/ftp/asl/asllvd/demos/verify_start_end_handshape_annotations//test_auto_move//signs_mov_separ_signers/Brady_2088.mov" TargetMode="External"/><Relationship Id="rId25210" Type="http://schemas.openxmlformats.org/officeDocument/2006/relationships/hyperlink" Target="http://secrets.rutgers.edu:8080/data/asl-ftp/asllvd/demos/verify_start_end_handshape_annotations//test_auto_move//signs_mov_separ_signers/Brady_2088.mov" TargetMode="External"/><Relationship Id="rId25211" Type="http://schemas.openxmlformats.org/officeDocument/2006/relationships/hyperlink" Target="http://csr.bu.edu/ftp/asl/asllvd/demos/verify_start_end_handshape_annotations//test_auto_move//signs_mov/3741.mov" TargetMode="External"/><Relationship Id="rId25212" Type="http://schemas.openxmlformats.org/officeDocument/2006/relationships/hyperlink" Target="http://csr.bu.edu/ftp/asl/asllvd/demos/verify_start_end_handshape_annotations//test_auto_move//signs_mov_separ_signers/Liz_3741.mov" TargetMode="External"/><Relationship Id="rId25213" Type="http://schemas.openxmlformats.org/officeDocument/2006/relationships/hyperlink" Target="http://secrets.rutgers.edu:8080/data/asl-ftp/asllvd/demos/verify_start_end_handshape_annotations//test_auto_move//signs_mov/3741.mov" TargetMode="External"/><Relationship Id="rId25214" Type="http://schemas.openxmlformats.org/officeDocument/2006/relationships/hyperlink" Target="http://secrets.rutgers.edu:8080/data/asl-ftp/asllvd/demos/verify_start_end_handshape_annotations//test_auto_move//signs_mov_separ_signers/Liz_3741.mov" TargetMode="External"/><Relationship Id="rId25215" Type="http://schemas.openxmlformats.org/officeDocument/2006/relationships/hyperlink" Target="http://csr.bu.edu/ftp/asl/asllvd/demos/verify_start_end_handshape_annotations//test_auto_move//signs_mov_separ_signers/Liz_2103.mov" TargetMode="External"/><Relationship Id="rId25216" Type="http://schemas.openxmlformats.org/officeDocument/2006/relationships/hyperlink" Target="http://secrets.rutgers.edu:8080/data/asl-ftp/asllvd/demos/verify_start_end_handshape_annotations//test_auto_move//signs_mov_separ_signers/Liz_2103.mov" TargetMode="External"/><Relationship Id="rId25217" Type="http://schemas.openxmlformats.org/officeDocument/2006/relationships/hyperlink" Target="http://csr.bu.edu/ftp/asl/asllvd/demos/verify_start_end_handshape_annotations//test_auto_move//signs_mov/2103.mov" TargetMode="External"/><Relationship Id="rId25218" Type="http://schemas.openxmlformats.org/officeDocument/2006/relationships/hyperlink" Target="http://csr.bu.edu/ftp/asl/asllvd/demos/verify_start_end_handshape_annotations//test_auto_move//signs_mov_separ_signers/Brady_2103.mov" TargetMode="External"/><Relationship Id="rId25219" Type="http://schemas.openxmlformats.org/officeDocument/2006/relationships/hyperlink" Target="http://secrets.rutgers.edu:8080/data/asl-ftp/asllvd/demos/verify_start_end_handshape_annotations//test_auto_move//signs_mov/2103.mov" TargetMode="External"/><Relationship Id="rId25220" Type="http://schemas.openxmlformats.org/officeDocument/2006/relationships/hyperlink" Target="http://secrets.rutgers.edu:8080/data/asl-ftp/asllvd/demos/verify_start_end_handshape_annotations//test_auto_move//signs_mov_separ_signers/Brady_2103.mov" TargetMode="External"/><Relationship Id="rId25221" Type="http://schemas.openxmlformats.org/officeDocument/2006/relationships/hyperlink" Target="http://csr.bu.edu/ftp/asl/asllvd/demos/verify_start_end_handshape_annotations//test_auto_move//signs_mov_separ_signers/Dana_2103.mov" TargetMode="External"/><Relationship Id="rId25222" Type="http://schemas.openxmlformats.org/officeDocument/2006/relationships/hyperlink" Target="http://secrets.rutgers.edu:8080/data/asl-ftp/asllvd/demos/verify_start_end_handshape_annotations//test_auto_move//signs_mov_separ_signers/Dana_2103.mov" TargetMode="External"/><Relationship Id="rId25223" Type="http://schemas.openxmlformats.org/officeDocument/2006/relationships/hyperlink" Target="http://csr.bu.edu/ftp/asl/asllvd/demos/verify_start_end_handshape_annotations//test_auto_move//signs_mov/2107.mov" TargetMode="External"/><Relationship Id="rId25224" Type="http://schemas.openxmlformats.org/officeDocument/2006/relationships/hyperlink" Target="http://csr.bu.edu/ftp/asl/asllvd/demos/verify_start_end_handshape_annotations//test_auto_move//signs_mov_separ_signers/Liz_2107.mov" TargetMode="External"/><Relationship Id="rId25225" Type="http://schemas.openxmlformats.org/officeDocument/2006/relationships/hyperlink" Target="http://secrets.rutgers.edu:8080/data/asl-ftp/asllvd/demos/verify_start_end_handshape_annotations//test_auto_move//signs_mov/2107.mov" TargetMode="External"/><Relationship Id="rId25226" Type="http://schemas.openxmlformats.org/officeDocument/2006/relationships/hyperlink" Target="http://secrets.rutgers.edu:8080/data/asl-ftp/asllvd/demos/verify_start_end_handshape_annotations//test_auto_move//signs_mov_separ_signers/Liz_2107.mov" TargetMode="External"/><Relationship Id="rId25227" Type="http://schemas.openxmlformats.org/officeDocument/2006/relationships/hyperlink" Target="http://csr.bu.edu/ftp/asl/asllvd/demos/verify_start_end_handshape_annotations//test_auto_move//signs_mov_separ_signers/Brady_2107.mov" TargetMode="External"/><Relationship Id="rId25228" Type="http://schemas.openxmlformats.org/officeDocument/2006/relationships/hyperlink" Target="http://secrets.rutgers.edu:8080/data/asl-ftp/asllvd/demos/verify_start_end_handshape_annotations//test_auto_move//signs_mov_separ_signers/Brady_2107.mov" TargetMode="External"/><Relationship Id="rId25229" Type="http://schemas.openxmlformats.org/officeDocument/2006/relationships/hyperlink" Target="http://csr.bu.edu/ftp/asl/asllvd/demos/verify_start_end_handshape_annotations//test_auto_move//signs_mov/2139.mov" TargetMode="External"/><Relationship Id="rId25230" Type="http://schemas.openxmlformats.org/officeDocument/2006/relationships/hyperlink" Target="http://csr.bu.edu/ftp/asl/asllvd/demos/verify_start_end_handshape_annotations//test_auto_move//signs_mov_separ_signers/Liz_2139.mov" TargetMode="External"/><Relationship Id="rId25231" Type="http://schemas.openxmlformats.org/officeDocument/2006/relationships/hyperlink" Target="http://secrets.rutgers.edu:8080/data/asl-ftp/asllvd/demos/verify_start_end_handshape_annotations//test_auto_move//signs_mov/2139.mov" TargetMode="External"/><Relationship Id="rId25232" Type="http://schemas.openxmlformats.org/officeDocument/2006/relationships/hyperlink" Target="http://secrets.rutgers.edu:8080/data/asl-ftp/asllvd/demos/verify_start_end_handshape_annotations//test_auto_move//signs_mov_separ_signers/Liz_2139.mov" TargetMode="External"/><Relationship Id="rId25233" Type="http://schemas.openxmlformats.org/officeDocument/2006/relationships/hyperlink" Target="http://csr.bu.edu/ftp/asl/asllvd/demos/verify_start_end_handshape_annotations//test_auto_move//signs_mov/2176.mov" TargetMode="External"/><Relationship Id="rId25234" Type="http://schemas.openxmlformats.org/officeDocument/2006/relationships/hyperlink" Target="http://csr.bu.edu/ftp/asl/asllvd/demos/verify_start_end_handshape_annotations//test_auto_move//signs_mov_separ_signers/Liz_2176.mov" TargetMode="External"/><Relationship Id="rId25235" Type="http://schemas.openxmlformats.org/officeDocument/2006/relationships/hyperlink" Target="http://secrets.rutgers.edu:8080/data/asl-ftp/asllvd/demos/verify_start_end_handshape_annotations//test_auto_move//signs_mov/2176.mov" TargetMode="External"/><Relationship Id="rId25236" Type="http://schemas.openxmlformats.org/officeDocument/2006/relationships/hyperlink" Target="http://secrets.rutgers.edu:8080/data/asl-ftp/asllvd/demos/verify_start_end_handshape_annotations//test_auto_move//signs_mov_separ_signers/Liz_2176.mov" TargetMode="External"/><Relationship Id="rId25237" Type="http://schemas.openxmlformats.org/officeDocument/2006/relationships/hyperlink" Target="http://csr.bu.edu/ftp/asl/asllvd/demos/verify_start_end_handshape_annotations//test_auto_move//signs_mov_separ_signers/Brady_2176.mov" TargetMode="External"/><Relationship Id="rId25238" Type="http://schemas.openxmlformats.org/officeDocument/2006/relationships/hyperlink" Target="http://secrets.rutgers.edu:8080/data/asl-ftp/asllvd/demos/verify_start_end_handshape_annotations//test_auto_move//signs_mov_separ_signers/Brady_2176.mov" TargetMode="External"/><Relationship Id="rId25239" Type="http://schemas.openxmlformats.org/officeDocument/2006/relationships/hyperlink" Target="http://csr.bu.edu/ftp/asl/asllvd/demos/verify_start_end_handshape_annotations//test_auto_move//signs_mov/2177.mov" TargetMode="External"/><Relationship Id="rId25240" Type="http://schemas.openxmlformats.org/officeDocument/2006/relationships/hyperlink" Target="http://csr.bu.edu/ftp/asl/asllvd/demos/verify_start_end_handshape_annotations//test_auto_move//signs_mov_separ_signers/Liz_2177.mov" TargetMode="External"/><Relationship Id="rId25241" Type="http://schemas.openxmlformats.org/officeDocument/2006/relationships/hyperlink" Target="http://secrets.rutgers.edu:8080/data/asl-ftp/asllvd/demos/verify_start_end_handshape_annotations//test_auto_move//signs_mov/2177.mov" TargetMode="External"/><Relationship Id="rId25242" Type="http://schemas.openxmlformats.org/officeDocument/2006/relationships/hyperlink" Target="http://secrets.rutgers.edu:8080/data/asl-ftp/asllvd/demos/verify_start_end_handshape_annotations//test_auto_move//signs_mov_separ_signers/Liz_2177.mov" TargetMode="External"/><Relationship Id="rId25243" Type="http://schemas.openxmlformats.org/officeDocument/2006/relationships/hyperlink" Target="http://csr.bu.edu/ftp/asl/asllvd/demos/verify_start_end_handshape_annotations//test_auto_move//signs_mov_separ_signers/Brady_2177.mov" TargetMode="External"/><Relationship Id="rId25244" Type="http://schemas.openxmlformats.org/officeDocument/2006/relationships/hyperlink" Target="http://secrets.rutgers.edu:8080/data/asl-ftp/asllvd/demos/verify_start_end_handshape_annotations//test_auto_move//signs_mov_separ_signers/Brady_2177.mov" TargetMode="External"/><Relationship Id="rId25245" Type="http://schemas.openxmlformats.org/officeDocument/2006/relationships/hyperlink" Target="http://csr.bu.edu/ftp/asl/asllvd/demos/verify_start_end_handshape_annotations//test_auto_move//signs_mov/2186.mov" TargetMode="External"/><Relationship Id="rId25246" Type="http://schemas.openxmlformats.org/officeDocument/2006/relationships/hyperlink" Target="http://csr.bu.edu/ftp/asl/asllvd/demos/verify_start_end_handshape_annotations//test_auto_move//signs_mov_separ_signers/Brady_2186.mov" TargetMode="External"/><Relationship Id="rId25247" Type="http://schemas.openxmlformats.org/officeDocument/2006/relationships/hyperlink" Target="http://secrets.rutgers.edu:8080/data/asl-ftp/asllvd/demos/verify_start_end_handshape_annotations//test_auto_move//signs_mov/2186.mov" TargetMode="External"/><Relationship Id="rId25248" Type="http://schemas.openxmlformats.org/officeDocument/2006/relationships/hyperlink" Target="http://secrets.rutgers.edu:8080/data/asl-ftp/asllvd/demos/verify_start_end_handshape_annotations//test_auto_move//signs_mov_separ_signers/Brady_2186.mov" TargetMode="External"/><Relationship Id="rId25249" Type="http://schemas.openxmlformats.org/officeDocument/2006/relationships/hyperlink" Target="http://csr.bu.edu/ftp/asl/asllvd/demos/verify_start_end_handshape_annotations//test_auto_move//signs_mov/16567.mov" TargetMode="External"/><Relationship Id="rId25250" Type="http://schemas.openxmlformats.org/officeDocument/2006/relationships/hyperlink" Target="http://csr.bu.edu/ftp/asl/asllvd/demos/verify_start_end_handshape_annotations//test_auto_move//signs_mov_separ_signers/Liz_16567.mov" TargetMode="External"/><Relationship Id="rId25251" Type="http://schemas.openxmlformats.org/officeDocument/2006/relationships/hyperlink" Target="http://secrets.rutgers.edu:8080/data/asl-ftp/asllvd/demos/verify_start_end_handshape_annotations//test_auto_move//signs_mov/16567.mov" TargetMode="External"/><Relationship Id="rId25252" Type="http://schemas.openxmlformats.org/officeDocument/2006/relationships/hyperlink" Target="http://secrets.rutgers.edu:8080/data/asl-ftp/asllvd/demos/verify_start_end_handshape_annotations//test_auto_move//signs_mov_separ_signers/Liz_16567.mov" TargetMode="External"/><Relationship Id="rId25253" Type="http://schemas.openxmlformats.org/officeDocument/2006/relationships/hyperlink" Target="http://csr.bu.edu/ftp/asl/asllvd/demos/verify_start_end_handshape_annotations//test_auto_move//signs_mov/2196.mov" TargetMode="External"/><Relationship Id="rId25254" Type="http://schemas.openxmlformats.org/officeDocument/2006/relationships/hyperlink" Target="http://csr.bu.edu/ftp/asl/asllvd/demos/verify_start_end_handshape_annotations//test_auto_move//signs_mov_separ_signers/Liz_2196.mov" TargetMode="External"/><Relationship Id="rId25255" Type="http://schemas.openxmlformats.org/officeDocument/2006/relationships/hyperlink" Target="http://secrets.rutgers.edu:8080/data/asl-ftp/asllvd/demos/verify_start_end_handshape_annotations//test_auto_move//signs_mov/2196.mov" TargetMode="External"/><Relationship Id="rId25256" Type="http://schemas.openxmlformats.org/officeDocument/2006/relationships/hyperlink" Target="http://secrets.rutgers.edu:8080/data/asl-ftp/asllvd/demos/verify_start_end_handshape_annotations//test_auto_move//signs_mov_separ_signers/Liz_2196.mov" TargetMode="External"/><Relationship Id="rId25257" Type="http://schemas.openxmlformats.org/officeDocument/2006/relationships/hyperlink" Target="http://csr.bu.edu/ftp/asl/asllvd/demos/verify_start_end_handshape_annotations//test_auto_move//signs_mov_separ_signers/Brady_2196.mov" TargetMode="External"/><Relationship Id="rId25258" Type="http://schemas.openxmlformats.org/officeDocument/2006/relationships/hyperlink" Target="http://secrets.rutgers.edu:8080/data/asl-ftp/asllvd/demos/verify_start_end_handshape_annotations//test_auto_move//signs_mov_separ_signers/Brady_2196.mov" TargetMode="External"/><Relationship Id="rId25259" Type="http://schemas.openxmlformats.org/officeDocument/2006/relationships/hyperlink" Target="http://csr.bu.edu/ftp/asl/asllvd/demos/verify_start_end_handshape_annotations//test_auto_move//signs_mov/2206.mov" TargetMode="External"/><Relationship Id="rId25260" Type="http://schemas.openxmlformats.org/officeDocument/2006/relationships/hyperlink" Target="http://csr.bu.edu/ftp/asl/asllvd/demos/verify_start_end_handshape_annotations//test_auto_move//signs_mov_separ_signers/Liz_2206.mov" TargetMode="External"/><Relationship Id="rId25261" Type="http://schemas.openxmlformats.org/officeDocument/2006/relationships/hyperlink" Target="http://secrets.rutgers.edu:8080/data/asl-ftp/asllvd/demos/verify_start_end_handshape_annotations//test_auto_move//signs_mov/2206.mov" TargetMode="External"/><Relationship Id="rId25262" Type="http://schemas.openxmlformats.org/officeDocument/2006/relationships/hyperlink" Target="http://secrets.rutgers.edu:8080/data/asl-ftp/asllvd/demos/verify_start_end_handshape_annotations//test_auto_move//signs_mov_separ_signers/Liz_2206.mov" TargetMode="External"/><Relationship Id="rId25263" Type="http://schemas.openxmlformats.org/officeDocument/2006/relationships/hyperlink" Target="http://csr.bu.edu/ftp/asl/asllvd/demos/verify_start_end_handshape_annotations//test_auto_move//signs_mov_separ_signers/Brady_2206.mov" TargetMode="External"/><Relationship Id="rId25264" Type="http://schemas.openxmlformats.org/officeDocument/2006/relationships/hyperlink" Target="http://secrets.rutgers.edu:8080/data/asl-ftp/asllvd/demos/verify_start_end_handshape_annotations//test_auto_move//signs_mov_separ_signers/Brady_2206.mov" TargetMode="External"/><Relationship Id="rId25265" Type="http://schemas.openxmlformats.org/officeDocument/2006/relationships/hyperlink" Target="http://csr.bu.edu/ftp/asl/asllvd/demos/verify_start_end_handshape_annotations//test_auto_move//signs_mov/2256.mov" TargetMode="External"/><Relationship Id="rId25266" Type="http://schemas.openxmlformats.org/officeDocument/2006/relationships/hyperlink" Target="http://csr.bu.edu/ftp/asl/asllvd/demos/verify_start_end_handshape_annotations//test_auto_move//signs_mov_separ_signers/Liz_2256.mov" TargetMode="External"/><Relationship Id="rId25267" Type="http://schemas.openxmlformats.org/officeDocument/2006/relationships/hyperlink" Target="http://secrets.rutgers.edu:8080/data/asl-ftp/asllvd/demos/verify_start_end_handshape_annotations//test_auto_move//signs_mov/2256.mov" TargetMode="External"/><Relationship Id="rId25268" Type="http://schemas.openxmlformats.org/officeDocument/2006/relationships/hyperlink" Target="http://secrets.rutgers.edu:8080/data/asl-ftp/asllvd/demos/verify_start_end_handshape_annotations//test_auto_move//signs_mov_separ_signers/Liz_2256.mov" TargetMode="External"/><Relationship Id="rId25269" Type="http://schemas.openxmlformats.org/officeDocument/2006/relationships/hyperlink" Target="http://csr.bu.edu/ftp/asl/asllvd/demos/verify_start_end_handshape_annotations//test_auto_move//signs_mov/16452.mov" TargetMode="External"/><Relationship Id="rId25270" Type="http://schemas.openxmlformats.org/officeDocument/2006/relationships/hyperlink" Target="http://csr.bu.edu/ftp/asl/asllvd/demos/verify_start_end_handshape_annotations//test_auto_move//signs_mov_separ_signers/Brady_16452.mov" TargetMode="External"/><Relationship Id="rId25271" Type="http://schemas.openxmlformats.org/officeDocument/2006/relationships/hyperlink" Target="http://secrets.rutgers.edu:8080/data/asl-ftp/asllvd/demos/verify_start_end_handshape_annotations//test_auto_move//signs_mov/16452.mov" TargetMode="External"/><Relationship Id="rId25272" Type="http://schemas.openxmlformats.org/officeDocument/2006/relationships/hyperlink" Target="http://secrets.rutgers.edu:8080/data/asl-ftp/asllvd/demos/verify_start_end_handshape_annotations//test_auto_move//signs_mov_separ_signers/Brady_16452.mov" TargetMode="External"/><Relationship Id="rId25273" Type="http://schemas.openxmlformats.org/officeDocument/2006/relationships/hyperlink" Target="http://csr.bu.edu/ftp/asl/asllvd/demos/verify_start_end_handshape_annotations//test_auto_move//signs_mov/2286.mov" TargetMode="External"/><Relationship Id="rId25274" Type="http://schemas.openxmlformats.org/officeDocument/2006/relationships/hyperlink" Target="http://csr.bu.edu/ftp/asl/asllvd/demos/verify_start_end_handshape_annotations//test_auto_move//signs_mov_separ_signers/Liz_2286.mov" TargetMode="External"/><Relationship Id="rId25275" Type="http://schemas.openxmlformats.org/officeDocument/2006/relationships/hyperlink" Target="http://secrets.rutgers.edu:8080/data/asl-ftp/asllvd/demos/verify_start_end_handshape_annotations//test_auto_move//signs_mov/2286.mov" TargetMode="External"/><Relationship Id="rId25276" Type="http://schemas.openxmlformats.org/officeDocument/2006/relationships/hyperlink" Target="http://secrets.rutgers.edu:8080/data/asl-ftp/asllvd/demos/verify_start_end_handshape_annotations//test_auto_move//signs_mov_separ_signers/Liz_2286.mov" TargetMode="External"/><Relationship Id="rId25277" Type="http://schemas.openxmlformats.org/officeDocument/2006/relationships/hyperlink" Target="http://csr.bu.edu/ftp/asl/asllvd/demos/verify_start_end_handshape_annotations//test_auto_move//signs_mov/2291.mov" TargetMode="External"/><Relationship Id="rId25278" Type="http://schemas.openxmlformats.org/officeDocument/2006/relationships/hyperlink" Target="http://csr.bu.edu/ftp/asl/asllvd/demos/verify_start_end_handshape_annotations//test_auto_move//signs_mov_separ_signers/Liz_2291.mov" TargetMode="External"/><Relationship Id="rId25279" Type="http://schemas.openxmlformats.org/officeDocument/2006/relationships/hyperlink" Target="http://secrets.rutgers.edu:8080/data/asl-ftp/asllvd/demos/verify_start_end_handshape_annotations//test_auto_move//signs_mov/2291.mov" TargetMode="External"/><Relationship Id="rId25280" Type="http://schemas.openxmlformats.org/officeDocument/2006/relationships/hyperlink" Target="http://secrets.rutgers.edu:8080/data/asl-ftp/asllvd/demos/verify_start_end_handshape_annotations//test_auto_move//signs_mov_separ_signers/Liz_2291.mov" TargetMode="External"/><Relationship Id="rId25281" Type="http://schemas.openxmlformats.org/officeDocument/2006/relationships/hyperlink" Target="http://csr.bu.edu/ftp/asl/asllvd/demos/verify_start_end_handshape_annotations//test_auto_move//signs_mov/2313.mov" TargetMode="External"/><Relationship Id="rId25282" Type="http://schemas.openxmlformats.org/officeDocument/2006/relationships/hyperlink" Target="http://csr.bu.edu/ftp/asl/asllvd/demos/verify_start_end_handshape_annotations//test_auto_move//signs_mov_separ_signers/Liz_2313.mov" TargetMode="External"/><Relationship Id="rId25283" Type="http://schemas.openxmlformats.org/officeDocument/2006/relationships/hyperlink" Target="http://secrets.rutgers.edu:8080/data/asl-ftp/asllvd/demos/verify_start_end_handshape_annotations//test_auto_move//signs_mov/2313.mov" TargetMode="External"/><Relationship Id="rId25284" Type="http://schemas.openxmlformats.org/officeDocument/2006/relationships/hyperlink" Target="http://secrets.rutgers.edu:8080/data/asl-ftp/asllvd/demos/verify_start_end_handshape_annotations//test_auto_move//signs_mov_separ_signers/Liz_2313.mov" TargetMode="External"/><Relationship Id="rId25285" Type="http://schemas.openxmlformats.org/officeDocument/2006/relationships/hyperlink" Target="http://csr.bu.edu/ftp/asl/asllvd/demos/verify_start_end_handshape_annotations//test_auto_move//signs_mov/2331.mov" TargetMode="External"/><Relationship Id="rId25286" Type="http://schemas.openxmlformats.org/officeDocument/2006/relationships/hyperlink" Target="http://csr.bu.edu/ftp/asl/asllvd/demos/verify_start_end_handshape_annotations//test_auto_move//signs_mov_separ_signers/Brady_2331.mov" TargetMode="External"/><Relationship Id="rId25287" Type="http://schemas.openxmlformats.org/officeDocument/2006/relationships/hyperlink" Target="http://secrets.rutgers.edu:8080/data/asl-ftp/asllvd/demos/verify_start_end_handshape_annotations//test_auto_move//signs_mov/2331.mov" TargetMode="External"/><Relationship Id="rId25288" Type="http://schemas.openxmlformats.org/officeDocument/2006/relationships/hyperlink" Target="http://secrets.rutgers.edu:8080/data/asl-ftp/asllvd/demos/verify_start_end_handshape_annotations//test_auto_move//signs_mov_separ_signers/Brady_2331.mov" TargetMode="External"/><Relationship Id="rId25289" Type="http://schemas.openxmlformats.org/officeDocument/2006/relationships/hyperlink" Target="http://csr.bu.edu/ftp/asl/asllvd/demos/verify_start_end_handshape_annotations//test_auto_move//signs_mov/2334.mov" TargetMode="External"/><Relationship Id="rId25290" Type="http://schemas.openxmlformats.org/officeDocument/2006/relationships/hyperlink" Target="http://csr.bu.edu/ftp/asl/asllvd/demos/verify_start_end_handshape_annotations//test_auto_move//signs_mov_separ_signers/Liz_2334.mov" TargetMode="External"/><Relationship Id="rId25291" Type="http://schemas.openxmlformats.org/officeDocument/2006/relationships/hyperlink" Target="http://secrets.rutgers.edu:8080/data/asl-ftp/asllvd/demos/verify_start_end_handshape_annotations//test_auto_move//signs_mov/2334.mov" TargetMode="External"/><Relationship Id="rId25292" Type="http://schemas.openxmlformats.org/officeDocument/2006/relationships/hyperlink" Target="http://secrets.rutgers.edu:8080/data/asl-ftp/asllvd/demos/verify_start_end_handshape_annotations//test_auto_move//signs_mov_separ_signers/Liz_2334.mov" TargetMode="External"/><Relationship Id="rId25293" Type="http://schemas.openxmlformats.org/officeDocument/2006/relationships/hyperlink" Target="http://csr.bu.edu/ftp/asl/asllvd/demos/verify_start_end_handshape_annotations//test_auto_move//signs_mov_separ_signers/Brady_2334.mov" TargetMode="External"/><Relationship Id="rId25294" Type="http://schemas.openxmlformats.org/officeDocument/2006/relationships/hyperlink" Target="http://secrets.rutgers.edu:8080/data/asl-ftp/asllvd/demos/verify_start_end_handshape_annotations//test_auto_move//signs_mov_separ_signers/Brady_2334.mov" TargetMode="External"/><Relationship Id="rId25295" Type="http://schemas.openxmlformats.org/officeDocument/2006/relationships/hyperlink" Target="http://csr.bu.edu/ftp/asl/asllvd/demos/verify_start_end_handshape_annotations//test_auto_move//signs_mov/2357.mov" TargetMode="External"/><Relationship Id="rId25296" Type="http://schemas.openxmlformats.org/officeDocument/2006/relationships/hyperlink" Target="http://csr.bu.edu/ftp/asl/asllvd/demos/verify_start_end_handshape_annotations//test_auto_move//signs_mov_separ_signers/Liz_2357.mov" TargetMode="External"/><Relationship Id="rId25297" Type="http://schemas.openxmlformats.org/officeDocument/2006/relationships/hyperlink" Target="http://secrets.rutgers.edu:8080/data/asl-ftp/asllvd/demos/verify_start_end_handshape_annotations//test_auto_move//signs_mov/2357.mov" TargetMode="External"/><Relationship Id="rId25298" Type="http://schemas.openxmlformats.org/officeDocument/2006/relationships/hyperlink" Target="http://secrets.rutgers.edu:8080/data/asl-ftp/asllvd/demos/verify_start_end_handshape_annotations//test_auto_move//signs_mov_separ_signers/Liz_2357.mov" TargetMode="External"/><Relationship Id="rId25299" Type="http://schemas.openxmlformats.org/officeDocument/2006/relationships/hyperlink" Target="http://csr.bu.edu/ftp/asl/asllvd/demos/verify_start_end_handshape_annotations//test_auto_move//signs_mov/5441.mov" TargetMode="External"/><Relationship Id="rId25300" Type="http://schemas.openxmlformats.org/officeDocument/2006/relationships/hyperlink" Target="http://csr.bu.edu/ftp/asl/asllvd/demos/verify_start_end_handshape_annotations//test_auto_move//signs_mov_separ_signers/Brady_5441.mov" TargetMode="External"/><Relationship Id="rId25301" Type="http://schemas.openxmlformats.org/officeDocument/2006/relationships/hyperlink" Target="http://secrets.rutgers.edu:8080/data/asl-ftp/asllvd/demos/verify_start_end_handshape_annotations//test_auto_move//signs_mov/5441.mov" TargetMode="External"/><Relationship Id="rId25302" Type="http://schemas.openxmlformats.org/officeDocument/2006/relationships/hyperlink" Target="http://secrets.rutgers.edu:8080/data/asl-ftp/asllvd/demos/verify_start_end_handshape_annotations//test_auto_move//signs_mov_separ_signers/Brady_5441.mov" TargetMode="External"/><Relationship Id="rId25303" Type="http://schemas.openxmlformats.org/officeDocument/2006/relationships/hyperlink" Target="http://csr.bu.edu/ftp/asl/asllvd/demos/verify_start_end_handshape_annotations//test_auto_move//signs_mov/2367.mov" TargetMode="External"/><Relationship Id="rId25304" Type="http://schemas.openxmlformats.org/officeDocument/2006/relationships/hyperlink" Target="http://csr.bu.edu/ftp/asl/asllvd/demos/verify_start_end_handshape_annotations//test_auto_move//signs_mov_separ_signers/Liz_2367.mov" TargetMode="External"/><Relationship Id="rId25305" Type="http://schemas.openxmlformats.org/officeDocument/2006/relationships/hyperlink" Target="http://secrets.rutgers.edu:8080/data/asl-ftp/asllvd/demos/verify_start_end_handshape_annotations//test_auto_move//signs_mov/2367.mov" TargetMode="External"/><Relationship Id="rId25306" Type="http://schemas.openxmlformats.org/officeDocument/2006/relationships/hyperlink" Target="http://secrets.rutgers.edu:8080/data/asl-ftp/asllvd/demos/verify_start_end_handshape_annotations//test_auto_move//signs_mov_separ_signers/Liz_2367.mov" TargetMode="External"/><Relationship Id="rId25307" Type="http://schemas.openxmlformats.org/officeDocument/2006/relationships/hyperlink" Target="http://csr.bu.edu/ftp/asl/asllvd/demos/verify_start_end_handshape_annotations//test_auto_move//signs_mov/2389_15017_merged.mov" TargetMode="External"/><Relationship Id="rId25308" Type="http://schemas.openxmlformats.org/officeDocument/2006/relationships/hyperlink" Target="http://csr.bu.edu/ftp/asl/asllvd/demos/verify_start_end_handshape_annotations//test_auto_move//signs_mov_separ_signers/Liz_2389.mov" TargetMode="External"/><Relationship Id="rId25309" Type="http://schemas.openxmlformats.org/officeDocument/2006/relationships/hyperlink" Target="http://secrets.rutgers.edu:8080/data/asl-ftp/asllvd/demos/verify_start_end_handshape_annotations//test_auto_move//signs_mov/2389_15017_merged.mov" TargetMode="External"/><Relationship Id="rId25310" Type="http://schemas.openxmlformats.org/officeDocument/2006/relationships/hyperlink" Target="http://secrets.rutgers.edu:8080/data/asl-ftp/asllvd/demos/verify_start_end_handshape_annotations//test_auto_move//signs_mov_separ_signers/Liz_2389.mov" TargetMode="External"/><Relationship Id="rId25311" Type="http://schemas.openxmlformats.org/officeDocument/2006/relationships/hyperlink" Target="http://csr.bu.edu/ftp/asl/asllvd/demos/verify_start_end_handshape_annotations//test_auto_move//signs_mov_separ_signers/Liz_15017.mov" TargetMode="External"/><Relationship Id="rId25312" Type="http://schemas.openxmlformats.org/officeDocument/2006/relationships/hyperlink" Target="http://secrets.rutgers.edu:8080/data/asl-ftp/asllvd/demos/verify_start_end_handshape_annotations//test_auto_move//signs_mov_separ_signers/Liz_15017.mov" TargetMode="External"/><Relationship Id="rId25313" Type="http://schemas.openxmlformats.org/officeDocument/2006/relationships/hyperlink" Target="http://csr.bu.edu/ftp/asl/asllvd/demos/verify_start_end_handshape_annotations//test_auto_move//signs_mov/2412.mov" TargetMode="External"/><Relationship Id="rId25314" Type="http://schemas.openxmlformats.org/officeDocument/2006/relationships/hyperlink" Target="http://csr.bu.edu/ftp/asl/asllvd/demos/verify_start_end_handshape_annotations//test_auto_move//signs_mov_separ_signers/Brady_2412.mov" TargetMode="External"/><Relationship Id="rId25315" Type="http://schemas.openxmlformats.org/officeDocument/2006/relationships/hyperlink" Target="http://secrets.rutgers.edu:8080/data/asl-ftp/asllvd/demos/verify_start_end_handshape_annotations//test_auto_move//signs_mov/2412.mov" TargetMode="External"/><Relationship Id="rId25316" Type="http://schemas.openxmlformats.org/officeDocument/2006/relationships/hyperlink" Target="http://secrets.rutgers.edu:8080/data/asl-ftp/asllvd/demos/verify_start_end_handshape_annotations//test_auto_move//signs_mov_separ_signers/Brady_2412.mov" TargetMode="External"/><Relationship Id="rId25317" Type="http://schemas.openxmlformats.org/officeDocument/2006/relationships/hyperlink" Target="http://csr.bu.edu/ftp/asl/asllvd/demos/verify_start_end_handshape_annotations//test_auto_move//signs_mov/5442.mov" TargetMode="External"/><Relationship Id="rId25318" Type="http://schemas.openxmlformats.org/officeDocument/2006/relationships/hyperlink" Target="http://csr.bu.edu/ftp/asl/asllvd/demos/verify_start_end_handshape_annotations//test_auto_move//signs_mov_separ_signers/Liz_5442.mov" TargetMode="External"/><Relationship Id="rId25319" Type="http://schemas.openxmlformats.org/officeDocument/2006/relationships/hyperlink" Target="http://secrets.rutgers.edu:8080/data/asl-ftp/asllvd/demos/verify_start_end_handshape_annotations//test_auto_move//signs_mov/5442.mov" TargetMode="External"/><Relationship Id="rId25320" Type="http://schemas.openxmlformats.org/officeDocument/2006/relationships/hyperlink" Target="http://secrets.rutgers.edu:8080/data/asl-ftp/asllvd/demos/verify_start_end_handshape_annotations//test_auto_move//signs_mov_separ_signers/Liz_5442.mov" TargetMode="External"/><Relationship Id="rId25321" Type="http://schemas.openxmlformats.org/officeDocument/2006/relationships/hyperlink" Target="http://csr.bu.edu/ftp/asl/asllvd/demos/verify_start_end_handshape_annotations//test_auto_move//signs_mov/4772.mov" TargetMode="External"/><Relationship Id="rId25322" Type="http://schemas.openxmlformats.org/officeDocument/2006/relationships/hyperlink" Target="http://csr.bu.edu/ftp/asl/asllvd/demos/verify_start_end_handshape_annotations//test_auto_move//signs_mov_separ_signers/Brady_4772.mov" TargetMode="External"/><Relationship Id="rId25323" Type="http://schemas.openxmlformats.org/officeDocument/2006/relationships/hyperlink" Target="http://secrets.rutgers.edu:8080/data/asl-ftp/asllvd/demos/verify_start_end_handshape_annotations//test_auto_move//signs_mov/4772.mov" TargetMode="External"/><Relationship Id="rId25324" Type="http://schemas.openxmlformats.org/officeDocument/2006/relationships/hyperlink" Target="http://secrets.rutgers.edu:8080/data/asl-ftp/asllvd/demos/verify_start_end_handshape_annotations//test_auto_move//signs_mov_separ_signers/Brady_4772.mov" TargetMode="External"/><Relationship Id="rId25325" Type="http://schemas.openxmlformats.org/officeDocument/2006/relationships/hyperlink" Target="http://csr.bu.edu/ftp/asl/asllvd/demos/verify_start_end_handshape_annotations//test_auto_move//signs_mov/2413.mov" TargetMode="External"/><Relationship Id="rId25326" Type="http://schemas.openxmlformats.org/officeDocument/2006/relationships/hyperlink" Target="http://csr.bu.edu/ftp/asl/asllvd/demos/verify_start_end_handshape_annotations//test_auto_move//signs_mov_separ_signers/Liz_2413.mov" TargetMode="External"/><Relationship Id="rId25327" Type="http://schemas.openxmlformats.org/officeDocument/2006/relationships/hyperlink" Target="http://secrets.rutgers.edu:8080/data/asl-ftp/asllvd/demos/verify_start_end_handshape_annotations//test_auto_move//signs_mov/2413.mov" TargetMode="External"/><Relationship Id="rId25328" Type="http://schemas.openxmlformats.org/officeDocument/2006/relationships/hyperlink" Target="http://secrets.rutgers.edu:8080/data/asl-ftp/asllvd/demos/verify_start_end_handshape_annotations//test_auto_move//signs_mov_separ_signers/Liz_2413.mov" TargetMode="External"/><Relationship Id="rId25329" Type="http://schemas.openxmlformats.org/officeDocument/2006/relationships/hyperlink" Target="http://csr.bu.edu/ftp/asl/asllvd/demos/verify_start_end_handshape_annotations//test_auto_move//signs_mov_separ_signers/Brady_2413.mov" TargetMode="External"/><Relationship Id="rId25330" Type="http://schemas.openxmlformats.org/officeDocument/2006/relationships/hyperlink" Target="http://secrets.rutgers.edu:8080/data/asl-ftp/asllvd/demos/verify_start_end_handshape_annotations//test_auto_move//signs_mov_separ_signers/Brady_2413.mov" TargetMode="External"/><Relationship Id="rId25331" Type="http://schemas.openxmlformats.org/officeDocument/2006/relationships/hyperlink" Target="http://csr.bu.edu/ftp/asl/asllvd/demos/verify_start_end_handshape_annotations//test_auto_move//signs_mov/2414.mov" TargetMode="External"/><Relationship Id="rId25332" Type="http://schemas.openxmlformats.org/officeDocument/2006/relationships/hyperlink" Target="http://csr.bu.edu/ftp/asl/asllvd/demos/verify_start_end_handshape_annotations//test_auto_move//signs_mov_separ_signers/Liz_2414.mov" TargetMode="External"/><Relationship Id="rId25333" Type="http://schemas.openxmlformats.org/officeDocument/2006/relationships/hyperlink" Target="http://secrets.rutgers.edu:8080/data/asl-ftp/asllvd/demos/verify_start_end_handshape_annotations//test_auto_move//signs_mov/2414.mov" TargetMode="External"/><Relationship Id="rId25334" Type="http://schemas.openxmlformats.org/officeDocument/2006/relationships/hyperlink" Target="http://secrets.rutgers.edu:8080/data/asl-ftp/asllvd/demos/verify_start_end_handshape_annotations//test_auto_move//signs_mov_separ_signers/Liz_2414.mov" TargetMode="External"/><Relationship Id="rId25335" Type="http://schemas.openxmlformats.org/officeDocument/2006/relationships/hyperlink" Target="http://csr.bu.edu/ftp/asl/asllvd/demos/verify_start_end_handshape_annotations//test_auto_move//signs_mov/5444.mov" TargetMode="External"/><Relationship Id="rId25336" Type="http://schemas.openxmlformats.org/officeDocument/2006/relationships/hyperlink" Target="http://csr.bu.edu/ftp/asl/asllvd/demos/verify_start_end_handshape_annotations//test_auto_move//signs_mov_separ_signers/Brady_5444.mov" TargetMode="External"/><Relationship Id="rId25337" Type="http://schemas.openxmlformats.org/officeDocument/2006/relationships/hyperlink" Target="http://secrets.rutgers.edu:8080/data/asl-ftp/asllvd/demos/verify_start_end_handshape_annotations//test_auto_move//signs_mov/5444.mov" TargetMode="External"/><Relationship Id="rId25338" Type="http://schemas.openxmlformats.org/officeDocument/2006/relationships/hyperlink" Target="http://secrets.rutgers.edu:8080/data/asl-ftp/asllvd/demos/verify_start_end_handshape_annotations//test_auto_move//signs_mov_separ_signers/Brady_5444.mov" TargetMode="External"/><Relationship Id="rId25339" Type="http://schemas.openxmlformats.org/officeDocument/2006/relationships/hyperlink" Target="http://csr.bu.edu/ftp/asl/asllvd/demos/verify_start_end_handshape_annotations//test_auto_move//signs_mov_separ_signers/Liz_2457.mov" TargetMode="External"/><Relationship Id="rId25340" Type="http://schemas.openxmlformats.org/officeDocument/2006/relationships/hyperlink" Target="http://secrets.rutgers.edu:8080/data/asl-ftp/asllvd/demos/verify_start_end_handshape_annotations//test_auto_move//signs_mov_separ_signers/Liz_2457.mov" TargetMode="External"/><Relationship Id="rId25341" Type="http://schemas.openxmlformats.org/officeDocument/2006/relationships/hyperlink" Target="http://csr.bu.edu/ftp/asl/asllvd/demos/verify_start_end_handshape_annotations//test_auto_move//signs_mov/2457_3775_3776_merged.mov" TargetMode="External"/><Relationship Id="rId25342" Type="http://schemas.openxmlformats.org/officeDocument/2006/relationships/hyperlink" Target="http://csr.bu.edu/ftp/asl/asllvd/demos/verify_start_end_handshape_annotations//test_auto_move//signs_mov_separ_signers/Liz_3775.mov" TargetMode="External"/><Relationship Id="rId25343" Type="http://schemas.openxmlformats.org/officeDocument/2006/relationships/hyperlink" Target="http://secrets.rutgers.edu:8080/data/asl-ftp/asllvd/demos/verify_start_end_handshape_annotations//test_auto_move//signs_mov/2457_3775_3776_merged.mov" TargetMode="External"/><Relationship Id="rId25344" Type="http://schemas.openxmlformats.org/officeDocument/2006/relationships/hyperlink" Target="http://secrets.rutgers.edu:8080/data/asl-ftp/asllvd/demos/verify_start_end_handshape_annotations//test_auto_move//signs_mov_separ_signers/Liz_3775.mov" TargetMode="External"/><Relationship Id="rId25345" Type="http://schemas.openxmlformats.org/officeDocument/2006/relationships/hyperlink" Target="http://csr.bu.edu/ftp/asl/asllvd/demos/verify_start_end_handshape_annotations//test_auto_move//signs_mov_separ_signers/Liz_3776.mov" TargetMode="External"/><Relationship Id="rId25346" Type="http://schemas.openxmlformats.org/officeDocument/2006/relationships/hyperlink" Target="http://secrets.rutgers.edu:8080/data/asl-ftp/asllvd/demos/verify_start_end_handshape_annotations//test_auto_move//signs_mov_separ_signers/Liz_3776.mov" TargetMode="External"/><Relationship Id="rId25347" Type="http://schemas.openxmlformats.org/officeDocument/2006/relationships/hyperlink" Target="http://csr.bu.edu/ftp/asl/asllvd/demos/verify_start_end_handshape_annotations//test_auto_move//signs_mov/2461.mov" TargetMode="External"/><Relationship Id="rId25348" Type="http://schemas.openxmlformats.org/officeDocument/2006/relationships/hyperlink" Target="http://csr.bu.edu/ftp/asl/asllvd/demos/verify_start_end_handshape_annotations//test_auto_move//signs_mov_separ_signers/Liz_2461.mov" TargetMode="External"/><Relationship Id="rId25349" Type="http://schemas.openxmlformats.org/officeDocument/2006/relationships/hyperlink" Target="http://secrets.rutgers.edu:8080/data/asl-ftp/asllvd/demos/verify_start_end_handshape_annotations//test_auto_move//signs_mov/2461.mov" TargetMode="External"/><Relationship Id="rId25350" Type="http://schemas.openxmlformats.org/officeDocument/2006/relationships/hyperlink" Target="http://secrets.rutgers.edu:8080/data/asl-ftp/asllvd/demos/verify_start_end_handshape_annotations//test_auto_move//signs_mov_separ_signers/Liz_2461.mov" TargetMode="External"/><Relationship Id="rId25351" Type="http://schemas.openxmlformats.org/officeDocument/2006/relationships/hyperlink" Target="http://csr.bu.edu/ftp/asl/asllvd/demos/verify_start_end_handshape_annotations//test_auto_move//signs_mov/2514.mov" TargetMode="External"/><Relationship Id="rId25352" Type="http://schemas.openxmlformats.org/officeDocument/2006/relationships/hyperlink" Target="http://csr.bu.edu/ftp/asl/asllvd/demos/verify_start_end_handshape_annotations//test_auto_move//signs_mov_separ_signers/Liz_2514.mov" TargetMode="External"/><Relationship Id="rId25353" Type="http://schemas.openxmlformats.org/officeDocument/2006/relationships/hyperlink" Target="http://secrets.rutgers.edu:8080/data/asl-ftp/asllvd/demos/verify_start_end_handshape_annotations//test_auto_move//signs_mov/2514.mov" TargetMode="External"/><Relationship Id="rId25354" Type="http://schemas.openxmlformats.org/officeDocument/2006/relationships/hyperlink" Target="http://secrets.rutgers.edu:8080/data/asl-ftp/asllvd/demos/verify_start_end_handshape_annotations//test_auto_move//signs_mov_separ_signers/Liz_2514.mov" TargetMode="External"/><Relationship Id="rId25355" Type="http://schemas.openxmlformats.org/officeDocument/2006/relationships/hyperlink" Target="http://csr.bu.edu/ftp/asl/asllvd/demos/verify_start_end_handshape_annotations//test_auto_move//signs_mov/2541.mov" TargetMode="External"/><Relationship Id="rId25356" Type="http://schemas.openxmlformats.org/officeDocument/2006/relationships/hyperlink" Target="http://csr.bu.edu/ftp/asl/asllvd/demos/verify_start_end_handshape_annotations//test_auto_move//signs_mov_separ_signers/Liz_2541.mov" TargetMode="External"/><Relationship Id="rId25357" Type="http://schemas.openxmlformats.org/officeDocument/2006/relationships/hyperlink" Target="http://secrets.rutgers.edu:8080/data/asl-ftp/asllvd/demos/verify_start_end_handshape_annotations//test_auto_move//signs_mov/2541.mov" TargetMode="External"/><Relationship Id="rId25358" Type="http://schemas.openxmlformats.org/officeDocument/2006/relationships/hyperlink" Target="http://secrets.rutgers.edu:8080/data/asl-ftp/asllvd/demos/verify_start_end_handshape_annotations//test_auto_move//signs_mov_separ_signers/Liz_2541.mov" TargetMode="External"/><Relationship Id="rId25359" Type="http://schemas.openxmlformats.org/officeDocument/2006/relationships/hyperlink" Target="http://csr.bu.edu/ftp/asl/asllvd/demos/verify_start_end_handshape_annotations//test_auto_move//signs_mov_separ_signers/Brady_2541.mov" TargetMode="External"/><Relationship Id="rId25360" Type="http://schemas.openxmlformats.org/officeDocument/2006/relationships/hyperlink" Target="http://secrets.rutgers.edu:8080/data/asl-ftp/asllvd/demos/verify_start_end_handshape_annotations//test_auto_move//signs_mov_separ_signers/Brady_2541.mov" TargetMode="External"/><Relationship Id="rId25361" Type="http://schemas.openxmlformats.org/officeDocument/2006/relationships/hyperlink" Target="http://csr.bu.edu/ftp/asl/asllvd/demos/verify_start_end_handshape_annotations//test_auto_move//signs_mov/2544.mov" TargetMode="External"/><Relationship Id="rId25362" Type="http://schemas.openxmlformats.org/officeDocument/2006/relationships/hyperlink" Target="http://csr.bu.edu/ftp/asl/asllvd/demos/verify_start_end_handshape_annotations//test_auto_move//signs_mov_separ_signers/Liz_2544.mov" TargetMode="External"/><Relationship Id="rId25363" Type="http://schemas.openxmlformats.org/officeDocument/2006/relationships/hyperlink" Target="http://secrets.rutgers.edu:8080/data/asl-ftp/asllvd/demos/verify_start_end_handshape_annotations//test_auto_move//signs_mov/2544.mov" TargetMode="External"/><Relationship Id="rId25364" Type="http://schemas.openxmlformats.org/officeDocument/2006/relationships/hyperlink" Target="http://secrets.rutgers.edu:8080/data/asl-ftp/asllvd/demos/verify_start_end_handshape_annotations//test_auto_move//signs_mov_separ_signers/Liz_2544.mov" TargetMode="External"/><Relationship Id="rId25365" Type="http://schemas.openxmlformats.org/officeDocument/2006/relationships/hyperlink" Target="http://csr.bu.edu/ftp/asl/asllvd/demos/verify_start_end_handshape_annotations//test_auto_move//signs_mov/16469.mov" TargetMode="External"/><Relationship Id="rId25366" Type="http://schemas.openxmlformats.org/officeDocument/2006/relationships/hyperlink" Target="http://csr.bu.edu/ftp/asl/asllvd/demos/verify_start_end_handshape_annotations//test_auto_move//signs_mov_separ_signers/Brady_16469.mov" TargetMode="External"/><Relationship Id="rId25367" Type="http://schemas.openxmlformats.org/officeDocument/2006/relationships/hyperlink" Target="http://secrets.rutgers.edu:8080/data/asl-ftp/asllvd/demos/verify_start_end_handshape_annotations//test_auto_move//signs_mov/16469.mov" TargetMode="External"/><Relationship Id="rId25368" Type="http://schemas.openxmlformats.org/officeDocument/2006/relationships/hyperlink" Target="http://secrets.rutgers.edu:8080/data/asl-ftp/asllvd/demos/verify_start_end_handshape_annotations//test_auto_move//signs_mov_separ_signers/Brady_16469.mov" TargetMode="External"/><Relationship Id="rId25369" Type="http://schemas.openxmlformats.org/officeDocument/2006/relationships/hyperlink" Target="http://csr.bu.edu/ftp/asl/asllvd/demos/verify_start_end_handshape_annotations//test_auto_move//signs_mov/2551.mov" TargetMode="External"/><Relationship Id="rId25370" Type="http://schemas.openxmlformats.org/officeDocument/2006/relationships/hyperlink" Target="http://csr.bu.edu/ftp/asl/asllvd/demos/verify_start_end_handshape_annotations//test_auto_move//signs_mov_separ_signers/Liz_2551.mov" TargetMode="External"/><Relationship Id="rId25371" Type="http://schemas.openxmlformats.org/officeDocument/2006/relationships/hyperlink" Target="http://secrets.rutgers.edu:8080/data/asl-ftp/asllvd/demos/verify_start_end_handshape_annotations//test_auto_move//signs_mov/2551.mov" TargetMode="External"/><Relationship Id="rId25372" Type="http://schemas.openxmlformats.org/officeDocument/2006/relationships/hyperlink" Target="http://secrets.rutgers.edu:8080/data/asl-ftp/asllvd/demos/verify_start_end_handshape_annotations//test_auto_move//signs_mov_separ_signers/Liz_2551.mov" TargetMode="External"/><Relationship Id="rId25373" Type="http://schemas.openxmlformats.org/officeDocument/2006/relationships/hyperlink" Target="http://csr.bu.edu/ftp/asl/asllvd/demos/verify_start_end_handshape_annotations//test_auto_move//signs_mov_separ_signers/Brady_2551.mov" TargetMode="External"/><Relationship Id="rId25374" Type="http://schemas.openxmlformats.org/officeDocument/2006/relationships/hyperlink" Target="http://secrets.rutgers.edu:8080/data/asl-ftp/asllvd/demos/verify_start_end_handshape_annotations//test_auto_move//signs_mov_separ_signers/Brady_2551.mov" TargetMode="External"/><Relationship Id="rId25375" Type="http://schemas.openxmlformats.org/officeDocument/2006/relationships/hyperlink" Target="http://csr.bu.edu/ftp/asl/asllvd/demos/verify_start_end_handshape_annotations//test_auto_move//signs_mov/2570.mov" TargetMode="External"/><Relationship Id="rId25376" Type="http://schemas.openxmlformats.org/officeDocument/2006/relationships/hyperlink" Target="http://csr.bu.edu/ftp/asl/asllvd/demos/verify_start_end_handshape_annotations//test_auto_move//signs_mov_separ_signers/Liz_2570.mov" TargetMode="External"/><Relationship Id="rId25377" Type="http://schemas.openxmlformats.org/officeDocument/2006/relationships/hyperlink" Target="http://secrets.rutgers.edu:8080/data/asl-ftp/asllvd/demos/verify_start_end_handshape_annotations//test_auto_move//signs_mov/2570.mov" TargetMode="External"/><Relationship Id="rId25378" Type="http://schemas.openxmlformats.org/officeDocument/2006/relationships/hyperlink" Target="http://secrets.rutgers.edu:8080/data/asl-ftp/asllvd/demos/verify_start_end_handshape_annotations//test_auto_move//signs_mov_separ_signers/Liz_2570.mov" TargetMode="External"/><Relationship Id="rId25379" Type="http://schemas.openxmlformats.org/officeDocument/2006/relationships/hyperlink" Target="http://csr.bu.edu/ftp/asl/asllvd/demos/verify_start_end_handshape_annotations//test_auto_move//signs_mov_separ_signers/Brady_2570.mov" TargetMode="External"/><Relationship Id="rId25380" Type="http://schemas.openxmlformats.org/officeDocument/2006/relationships/hyperlink" Target="http://secrets.rutgers.edu:8080/data/asl-ftp/asllvd/demos/verify_start_end_handshape_annotations//test_auto_move//signs_mov_separ_signers/Brady_2570.mov" TargetMode="External"/><Relationship Id="rId25381" Type="http://schemas.openxmlformats.org/officeDocument/2006/relationships/hyperlink" Target="http://csr.bu.edu/ftp/asl/asllvd/demos/verify_start_end_handshape_annotations//test_auto_move//signs_mov/2597.mov" TargetMode="External"/><Relationship Id="rId25382" Type="http://schemas.openxmlformats.org/officeDocument/2006/relationships/hyperlink" Target="http://csr.bu.edu/ftp/asl/asllvd/demos/verify_start_end_handshape_annotations//test_auto_move//signs_mov_separ_signers/Liz_2597.mov" TargetMode="External"/><Relationship Id="rId25383" Type="http://schemas.openxmlformats.org/officeDocument/2006/relationships/hyperlink" Target="http://secrets.rutgers.edu:8080/data/asl-ftp/asllvd/demos/verify_start_end_handshape_annotations//test_auto_move//signs_mov/2597.mov" TargetMode="External"/><Relationship Id="rId25384" Type="http://schemas.openxmlformats.org/officeDocument/2006/relationships/hyperlink" Target="http://secrets.rutgers.edu:8080/data/asl-ftp/asllvd/demos/verify_start_end_handshape_annotations//test_auto_move//signs_mov_separ_signers/Liz_2597.mov" TargetMode="External"/><Relationship Id="rId25385" Type="http://schemas.openxmlformats.org/officeDocument/2006/relationships/hyperlink" Target="http://csr.bu.edu/ftp/asl/asllvd/demos/verify_start_end_handshape_annotations//test_auto_move//signs_mov/16472.mov" TargetMode="External"/><Relationship Id="rId25386" Type="http://schemas.openxmlformats.org/officeDocument/2006/relationships/hyperlink" Target="http://csr.bu.edu/ftp/asl/asllvd/demos/verify_start_end_handshape_annotations//test_auto_move//signs_mov_separ_signers/Brady_16472.mov" TargetMode="External"/><Relationship Id="rId25387" Type="http://schemas.openxmlformats.org/officeDocument/2006/relationships/hyperlink" Target="http://secrets.rutgers.edu:8080/data/asl-ftp/asllvd/demos/verify_start_end_handshape_annotations//test_auto_move//signs_mov/16472.mov" TargetMode="External"/><Relationship Id="rId25388" Type="http://schemas.openxmlformats.org/officeDocument/2006/relationships/hyperlink" Target="http://secrets.rutgers.edu:8080/data/asl-ftp/asllvd/demos/verify_start_end_handshape_annotations//test_auto_move//signs_mov_separ_signers/Brady_16472.mov" TargetMode="External"/><Relationship Id="rId25389" Type="http://schemas.openxmlformats.org/officeDocument/2006/relationships/hyperlink" Target="http://csr.bu.edu/ftp/asl/asllvd/demos/verify_start_end_handshape_annotations//test_auto_move//signs_mov/2608.mov" TargetMode="External"/><Relationship Id="rId25390" Type="http://schemas.openxmlformats.org/officeDocument/2006/relationships/hyperlink" Target="http://csr.bu.edu/ftp/asl/asllvd/demos/verify_start_end_handshape_annotations//test_auto_move//signs_mov_separ_signers/Liz_2608.mov" TargetMode="External"/><Relationship Id="rId25391" Type="http://schemas.openxmlformats.org/officeDocument/2006/relationships/hyperlink" Target="http://secrets.rutgers.edu:8080/data/asl-ftp/asllvd/demos/verify_start_end_handshape_annotations//test_auto_move//signs_mov/2608.mov" TargetMode="External"/><Relationship Id="rId25392" Type="http://schemas.openxmlformats.org/officeDocument/2006/relationships/hyperlink" Target="http://secrets.rutgers.edu:8080/data/asl-ftp/asllvd/demos/verify_start_end_handshape_annotations//test_auto_move//signs_mov_separ_signers/Liz_2608.mov" TargetMode="External"/><Relationship Id="rId25393" Type="http://schemas.openxmlformats.org/officeDocument/2006/relationships/hyperlink" Target="http://csr.bu.edu/ftp/asl/asllvd/demos/verify_start_end_handshape_annotations//test_auto_move//signs_mov_separ_signers/Brady_2608.mov" TargetMode="External"/><Relationship Id="rId25394" Type="http://schemas.openxmlformats.org/officeDocument/2006/relationships/hyperlink" Target="http://secrets.rutgers.edu:8080/data/asl-ftp/asllvd/demos/verify_start_end_handshape_annotations//test_auto_move//signs_mov_separ_signers/Brady_2608.mov" TargetMode="External"/><Relationship Id="rId25395" Type="http://schemas.openxmlformats.org/officeDocument/2006/relationships/hyperlink" Target="http://csr.bu.edu/ftp/asl/asllvd/demos/verify_start_end_handshape_annotations//test_auto_move//signs_mov_separ_signers/Liz_2623.mov" TargetMode="External"/><Relationship Id="rId25396" Type="http://schemas.openxmlformats.org/officeDocument/2006/relationships/hyperlink" Target="http://secrets.rutgers.edu:8080/data/asl-ftp/asllvd/demos/verify_start_end_handshape_annotations//test_auto_move//signs_mov_separ_signers/Liz_2623.mov" TargetMode="External"/><Relationship Id="rId25397" Type="http://schemas.openxmlformats.org/officeDocument/2006/relationships/hyperlink" Target="http://csr.bu.edu/ftp/asl/asllvd/demos/verify_start_end_handshape_annotations//test_auto_move//signs_mov/2623_3834_merged.mov" TargetMode="External"/><Relationship Id="rId25398" Type="http://schemas.openxmlformats.org/officeDocument/2006/relationships/hyperlink" Target="http://csr.bu.edu/ftp/asl/asllvd/demos/verify_start_end_handshape_annotations//test_auto_move//signs_mov_separ_signers/Liz_3834.mov" TargetMode="External"/><Relationship Id="rId25399" Type="http://schemas.openxmlformats.org/officeDocument/2006/relationships/hyperlink" Target="http://secrets.rutgers.edu:8080/data/asl-ftp/asllvd/demos/verify_start_end_handshape_annotations//test_auto_move//signs_mov/2623_3834_merged.mov" TargetMode="External"/><Relationship Id="rId25400" Type="http://schemas.openxmlformats.org/officeDocument/2006/relationships/hyperlink" Target="http://secrets.rutgers.edu:8080/data/asl-ftp/asllvd/demos/verify_start_end_handshape_annotations//test_auto_move//signs_mov_separ_signers/Liz_3834.mov" TargetMode="External"/><Relationship Id="rId25401" Type="http://schemas.openxmlformats.org/officeDocument/2006/relationships/hyperlink" Target="http://csr.bu.edu/ftp/asl/asllvd/demos/verify_start_end_handshape_annotations//test_auto_move//signs_mov_separ_signers/Naomi_2623.mov" TargetMode="External"/><Relationship Id="rId25402" Type="http://schemas.openxmlformats.org/officeDocument/2006/relationships/hyperlink" Target="http://secrets.rutgers.edu:8080/data/asl-ftp/asllvd/demos/verify_start_end_handshape_annotations//test_auto_move//signs_mov_separ_signers/Naomi_2623.mov" TargetMode="External"/><Relationship Id="rId25403" Type="http://schemas.openxmlformats.org/officeDocument/2006/relationships/hyperlink" Target="http://csr.bu.edu/ftp/asl/asllvd/demos/verify_start_end_handshape_annotations//test_auto_move//signs_mov_separ_signers/Brady_2623.mov" TargetMode="External"/><Relationship Id="rId25404" Type="http://schemas.openxmlformats.org/officeDocument/2006/relationships/hyperlink" Target="http://secrets.rutgers.edu:8080/data/asl-ftp/asllvd/demos/verify_start_end_handshape_annotations//test_auto_move//signs_mov_separ_signers/Brady_2623.mov" TargetMode="External"/><Relationship Id="rId25405" Type="http://schemas.openxmlformats.org/officeDocument/2006/relationships/hyperlink" Target="http://csr.bu.edu/ftp/asl/asllvd/demos/verify_start_end_handshape_annotations//test_auto_move//signs_mov_separ_signers/Tyler_5269.mov" TargetMode="External"/><Relationship Id="rId25406" Type="http://schemas.openxmlformats.org/officeDocument/2006/relationships/hyperlink" Target="http://secrets.rutgers.edu:8080/data/asl-ftp/asllvd/demos/verify_start_end_handshape_annotations//test_auto_move//signs_mov_separ_signers/Tyler_5269.mov" TargetMode="External"/><Relationship Id="rId25407" Type="http://schemas.openxmlformats.org/officeDocument/2006/relationships/hyperlink" Target="http://csr.bu.edu/ftp/asl/asllvd/demos/verify_start_end_handshape_annotations//test_auto_move//signs_mov/5269_16259_merged.mov" TargetMode="External"/><Relationship Id="rId25408" Type="http://schemas.openxmlformats.org/officeDocument/2006/relationships/hyperlink" Target="http://csr.bu.edu/ftp/asl/asllvd/demos/verify_start_end_handshape_annotations//test_auto_move//signs_mov_separ_signers/Brady_5269.mov" TargetMode="External"/><Relationship Id="rId25409" Type="http://schemas.openxmlformats.org/officeDocument/2006/relationships/hyperlink" Target="http://secrets.rutgers.edu:8080/data/asl-ftp/asllvd/demos/verify_start_end_handshape_annotations//test_auto_move//signs_mov/5269_16259_merged.mov" TargetMode="External"/><Relationship Id="rId25410" Type="http://schemas.openxmlformats.org/officeDocument/2006/relationships/hyperlink" Target="http://secrets.rutgers.edu:8080/data/asl-ftp/asllvd/demos/verify_start_end_handshape_annotations//test_auto_move//signs_mov_separ_signers/Brady_5269.mov" TargetMode="External"/><Relationship Id="rId25411" Type="http://schemas.openxmlformats.org/officeDocument/2006/relationships/hyperlink" Target="http://csr.bu.edu/ftp/asl/asllvd/demos/verify_start_end_handshape_annotations//test_auto_move//signs_mov_separ_signers/Brady_16259.mov" TargetMode="External"/><Relationship Id="rId25412" Type="http://schemas.openxmlformats.org/officeDocument/2006/relationships/hyperlink" Target="http://secrets.rutgers.edu:8080/data/asl-ftp/asllvd/demos/verify_start_end_handshape_annotations//test_auto_move//signs_mov_separ_signers/Brady_16259.mov" TargetMode="External"/><Relationship Id="rId25413" Type="http://schemas.openxmlformats.org/officeDocument/2006/relationships/hyperlink" Target="http://csr.bu.edu/ftp/asl/asllvd/demos/verify_start_end_handshape_annotations//test_auto_move//signs_mov_separ_signers/Lana_5269.mov" TargetMode="External"/><Relationship Id="rId25414" Type="http://schemas.openxmlformats.org/officeDocument/2006/relationships/hyperlink" Target="http://secrets.rutgers.edu:8080/data/asl-ftp/asllvd/demos/verify_start_end_handshape_annotations//test_auto_move//signs_mov_separ_signers/Lana_5269.mov" TargetMode="External"/><Relationship Id="rId25415" Type="http://schemas.openxmlformats.org/officeDocument/2006/relationships/hyperlink" Target="http://csr.bu.edu/ftp/asl/asllvd/demos/verify_start_end_handshape_annotations//test_auto_move//signs_mov/16551.mov" TargetMode="External"/><Relationship Id="rId25416" Type="http://schemas.openxmlformats.org/officeDocument/2006/relationships/hyperlink" Target="http://csr.bu.edu/ftp/asl/asllvd/demos/verify_start_end_handshape_annotations//test_auto_move//signs_mov_separ_signers/Dana_16551.mov" TargetMode="External"/><Relationship Id="rId25417" Type="http://schemas.openxmlformats.org/officeDocument/2006/relationships/hyperlink" Target="http://secrets.rutgers.edu:8080/data/asl-ftp/asllvd/demos/verify_start_end_handshape_annotations//test_auto_move//signs_mov/16551.mov" TargetMode="External"/><Relationship Id="rId25418" Type="http://schemas.openxmlformats.org/officeDocument/2006/relationships/hyperlink" Target="http://secrets.rutgers.edu:8080/data/asl-ftp/asllvd/demos/verify_start_end_handshape_annotations//test_auto_move//signs_mov_separ_signers/Dana_16551.mov" TargetMode="External"/><Relationship Id="rId25419" Type="http://schemas.openxmlformats.org/officeDocument/2006/relationships/hyperlink" Target="http://csr.bu.edu/ftp/asl/asllvd/demos/verify_start_end_handshape_annotations//test_auto_move//signs_mov/2644.mov" TargetMode="External"/><Relationship Id="rId25420" Type="http://schemas.openxmlformats.org/officeDocument/2006/relationships/hyperlink" Target="http://csr.bu.edu/ftp/asl/asllvd/demos/verify_start_end_handshape_annotations//test_auto_move//signs_mov_separ_signers/Liz_2644.mov" TargetMode="External"/><Relationship Id="rId25421" Type="http://schemas.openxmlformats.org/officeDocument/2006/relationships/hyperlink" Target="http://secrets.rutgers.edu:8080/data/asl-ftp/asllvd/demos/verify_start_end_handshape_annotations//test_auto_move//signs_mov/2644.mov" TargetMode="External"/><Relationship Id="rId25422" Type="http://schemas.openxmlformats.org/officeDocument/2006/relationships/hyperlink" Target="http://secrets.rutgers.edu:8080/data/asl-ftp/asllvd/demos/verify_start_end_handshape_annotations//test_auto_move//signs_mov_separ_signers/Liz_2644.mov" TargetMode="External"/><Relationship Id="rId25423" Type="http://schemas.openxmlformats.org/officeDocument/2006/relationships/hyperlink" Target="http://csr.bu.edu/ftp/asl/asllvd/demos/verify_start_end_handshape_annotations//test_auto_move//signs_mov_separ_signers/Brady_2644.mov" TargetMode="External"/><Relationship Id="rId25424" Type="http://schemas.openxmlformats.org/officeDocument/2006/relationships/hyperlink" Target="http://secrets.rutgers.edu:8080/data/asl-ftp/asllvd/demos/verify_start_end_handshape_annotations//test_auto_move//signs_mov_separ_signers/Brady_2644.mov" TargetMode="External"/><Relationship Id="rId25425" Type="http://schemas.openxmlformats.org/officeDocument/2006/relationships/hyperlink" Target="http://csr.bu.edu/ftp/asl/asllvd/demos/verify_start_end_handshape_annotations//test_auto_move//signs_mov/2678.mov" TargetMode="External"/><Relationship Id="rId25426" Type="http://schemas.openxmlformats.org/officeDocument/2006/relationships/hyperlink" Target="http://csr.bu.edu/ftp/asl/asllvd/demos/verify_start_end_handshape_annotations//test_auto_move//signs_mov_separ_signers/Liz_2678.mov" TargetMode="External"/><Relationship Id="rId25427" Type="http://schemas.openxmlformats.org/officeDocument/2006/relationships/hyperlink" Target="http://secrets.rutgers.edu:8080/data/asl-ftp/asllvd/demos/verify_start_end_handshape_annotations//test_auto_move//signs_mov/2678.mov" TargetMode="External"/><Relationship Id="rId25428" Type="http://schemas.openxmlformats.org/officeDocument/2006/relationships/hyperlink" Target="http://secrets.rutgers.edu:8080/data/asl-ftp/asllvd/demos/verify_start_end_handshape_annotations//test_auto_move//signs_mov_separ_signers/Liz_2678.mov" TargetMode="External"/><Relationship Id="rId25429" Type="http://schemas.openxmlformats.org/officeDocument/2006/relationships/hyperlink" Target="http://csr.bu.edu/ftp/asl/asllvd/demos/verify_start_end_handshape_annotations//test_auto_move//signs_mov_separ_signers/Brady_2678.mov" TargetMode="External"/><Relationship Id="rId25430" Type="http://schemas.openxmlformats.org/officeDocument/2006/relationships/hyperlink" Target="http://secrets.rutgers.edu:8080/data/asl-ftp/asllvd/demos/verify_start_end_handshape_annotations//test_auto_move//signs_mov_separ_signers/Brady_2678.mov" TargetMode="External"/><Relationship Id="rId25431" Type="http://schemas.openxmlformats.org/officeDocument/2006/relationships/hyperlink" Target="http://csr.bu.edu/ftp/asl/asllvd/demos/verify_start_end_handshape_annotations//test_auto_move//signs_mov/2706.mov" TargetMode="External"/><Relationship Id="rId25432" Type="http://schemas.openxmlformats.org/officeDocument/2006/relationships/hyperlink" Target="http://csr.bu.edu/ftp/asl/asllvd/demos/verify_start_end_handshape_annotations//test_auto_move//signs_mov_separ_signers/Brady_2706.mov" TargetMode="External"/><Relationship Id="rId25433" Type="http://schemas.openxmlformats.org/officeDocument/2006/relationships/hyperlink" Target="http://secrets.rutgers.edu:8080/data/asl-ftp/asllvd/demos/verify_start_end_handshape_annotations//test_auto_move//signs_mov/2706.mov" TargetMode="External"/><Relationship Id="rId25434" Type="http://schemas.openxmlformats.org/officeDocument/2006/relationships/hyperlink" Target="http://secrets.rutgers.edu:8080/data/asl-ftp/asllvd/demos/verify_start_end_handshape_annotations//test_auto_move//signs_mov_separ_signers/Brady_2706.mov" TargetMode="External"/><Relationship Id="rId25435" Type="http://schemas.openxmlformats.org/officeDocument/2006/relationships/hyperlink" Target="http://csr.bu.edu/ftp/asl/asllvd/demos/verify_start_end_handshape_annotations//test_auto_move//signs_mov/2713.mov" TargetMode="External"/><Relationship Id="rId25436" Type="http://schemas.openxmlformats.org/officeDocument/2006/relationships/hyperlink" Target="http://csr.bu.edu/ftp/asl/asllvd/demos/verify_start_end_handshape_annotations//test_auto_move//signs_mov_separ_signers/Liz_2713.mov" TargetMode="External"/><Relationship Id="rId25437" Type="http://schemas.openxmlformats.org/officeDocument/2006/relationships/hyperlink" Target="http://secrets.rutgers.edu:8080/data/asl-ftp/asllvd/demos/verify_start_end_handshape_annotations//test_auto_move//signs_mov/2713.mov" TargetMode="External"/><Relationship Id="rId25438" Type="http://schemas.openxmlformats.org/officeDocument/2006/relationships/hyperlink" Target="http://secrets.rutgers.edu:8080/data/asl-ftp/asllvd/demos/verify_start_end_handshape_annotations//test_auto_move//signs_mov_separ_signers/Liz_2713.mov" TargetMode="External"/><Relationship Id="rId25439" Type="http://schemas.openxmlformats.org/officeDocument/2006/relationships/hyperlink" Target="http://csr.bu.edu/ftp/asl/asllvd/demos/verify_start_end_handshape_annotations//test_auto_move//signs_mov/2715.mov" TargetMode="External"/><Relationship Id="rId25440" Type="http://schemas.openxmlformats.org/officeDocument/2006/relationships/hyperlink" Target="http://csr.bu.edu/ftp/asl/asllvd/demos/verify_start_end_handshape_annotations//test_auto_move//signs_mov_separ_signers/Liz_2715.mov" TargetMode="External"/><Relationship Id="rId25441" Type="http://schemas.openxmlformats.org/officeDocument/2006/relationships/hyperlink" Target="http://secrets.rutgers.edu:8080/data/asl-ftp/asllvd/demos/verify_start_end_handshape_annotations//test_auto_move//signs_mov/2715.mov" TargetMode="External"/><Relationship Id="rId25442" Type="http://schemas.openxmlformats.org/officeDocument/2006/relationships/hyperlink" Target="http://secrets.rutgers.edu:8080/data/asl-ftp/asllvd/demos/verify_start_end_handshape_annotations//test_auto_move//signs_mov_separ_signers/Liz_2715.mov" TargetMode="External"/><Relationship Id="rId25443" Type="http://schemas.openxmlformats.org/officeDocument/2006/relationships/hyperlink" Target="http://csr.bu.edu/ftp/asl/asllvd/demos/verify_start_end_handshape_annotations//test_auto_move//signs_mov/2732.mov" TargetMode="External"/><Relationship Id="rId25444" Type="http://schemas.openxmlformats.org/officeDocument/2006/relationships/hyperlink" Target="http://csr.bu.edu/ftp/asl/asllvd/demos/verify_start_end_handshape_annotations//test_auto_move//signs_mov_separ_signers/Liz_2732.mov" TargetMode="External"/><Relationship Id="rId25445" Type="http://schemas.openxmlformats.org/officeDocument/2006/relationships/hyperlink" Target="http://secrets.rutgers.edu:8080/data/asl-ftp/asllvd/demos/verify_start_end_handshape_annotations//test_auto_move//signs_mov/2732.mov" TargetMode="External"/><Relationship Id="rId25446" Type="http://schemas.openxmlformats.org/officeDocument/2006/relationships/hyperlink" Target="http://secrets.rutgers.edu:8080/data/asl-ftp/asllvd/demos/verify_start_end_handshape_annotations//test_auto_move//signs_mov_separ_signers/Liz_2732.mov" TargetMode="External"/><Relationship Id="rId25447" Type="http://schemas.openxmlformats.org/officeDocument/2006/relationships/hyperlink" Target="http://csr.bu.edu/ftp/asl/asllvd/demos/verify_start_end_handshape_annotations//test_auto_move//signs_mov_separ_signers/Brady_2732.mov" TargetMode="External"/><Relationship Id="rId25448" Type="http://schemas.openxmlformats.org/officeDocument/2006/relationships/hyperlink" Target="http://secrets.rutgers.edu:8080/data/asl-ftp/asllvd/demos/verify_start_end_handshape_annotations//test_auto_move//signs_mov_separ_signers/Brady_2732.mov" TargetMode="External"/><Relationship Id="rId25449" Type="http://schemas.openxmlformats.org/officeDocument/2006/relationships/hyperlink" Target="http://csr.bu.edu/ftp/asl/asllvd/demos/verify_start_end_handshape_annotations//test_auto_move//signs_mov/2776.mov" TargetMode="External"/><Relationship Id="rId25450" Type="http://schemas.openxmlformats.org/officeDocument/2006/relationships/hyperlink" Target="http://csr.bu.edu/ftp/asl/asllvd/demos/verify_start_end_handshape_annotations//test_auto_move//signs_mov_separ_signers/Liz_2776.mov" TargetMode="External"/><Relationship Id="rId25451" Type="http://schemas.openxmlformats.org/officeDocument/2006/relationships/hyperlink" Target="http://secrets.rutgers.edu:8080/data/asl-ftp/asllvd/demos/verify_start_end_handshape_annotations//test_auto_move//signs_mov/2776.mov" TargetMode="External"/><Relationship Id="rId25452" Type="http://schemas.openxmlformats.org/officeDocument/2006/relationships/hyperlink" Target="http://secrets.rutgers.edu:8080/data/asl-ftp/asllvd/demos/verify_start_end_handshape_annotations//test_auto_move//signs_mov_separ_signers/Liz_2776.mov" TargetMode="External"/><Relationship Id="rId25453" Type="http://schemas.openxmlformats.org/officeDocument/2006/relationships/hyperlink" Target="http://csr.bu.edu/ftp/asl/asllvd/demos/verify_start_end_handshape_annotations//test_auto_move//signs_mov_separ_signers/Brady_2776.mov" TargetMode="External"/><Relationship Id="rId25454" Type="http://schemas.openxmlformats.org/officeDocument/2006/relationships/hyperlink" Target="http://secrets.rutgers.edu:8080/data/asl-ftp/asllvd/demos/verify_start_end_handshape_annotations//test_auto_move//signs_mov_separ_signers/Brady_2776.mov" TargetMode="External"/><Relationship Id="rId25455" Type="http://schemas.openxmlformats.org/officeDocument/2006/relationships/hyperlink" Target="http://csr.bu.edu/ftp/asl/asllvd/demos/verify_start_end_handshape_annotations//test_auto_move//signs_mov/2794.mov" TargetMode="External"/><Relationship Id="rId25456" Type="http://schemas.openxmlformats.org/officeDocument/2006/relationships/hyperlink" Target="http://csr.bu.edu/ftp/asl/asllvd/demos/verify_start_end_handshape_annotations//test_auto_move//signs_mov_separ_signers/Liz_2794.mov" TargetMode="External"/><Relationship Id="rId25457" Type="http://schemas.openxmlformats.org/officeDocument/2006/relationships/hyperlink" Target="http://secrets.rutgers.edu:8080/data/asl-ftp/asllvd/demos/verify_start_end_handshape_annotations//test_auto_move//signs_mov/2794.mov" TargetMode="External"/><Relationship Id="rId25458" Type="http://schemas.openxmlformats.org/officeDocument/2006/relationships/hyperlink" Target="http://secrets.rutgers.edu:8080/data/asl-ftp/asllvd/demos/verify_start_end_handshape_annotations//test_auto_move//signs_mov_separ_signers/Liz_2794.mov" TargetMode="External"/><Relationship Id="rId25459" Type="http://schemas.openxmlformats.org/officeDocument/2006/relationships/hyperlink" Target="http://csr.bu.edu/ftp/asl/asllvd/demos/verify_start_end_handshape_annotations//test_auto_move//signs_mov_separ_signers/Liz_4680.mov" TargetMode="External"/><Relationship Id="rId25460" Type="http://schemas.openxmlformats.org/officeDocument/2006/relationships/hyperlink" Target="http://secrets.rutgers.edu:8080/data/asl-ftp/asllvd/demos/verify_start_end_handshape_annotations//test_auto_move//signs_mov_separ_signers/Liz_4680.mov" TargetMode="External"/><Relationship Id="rId25461" Type="http://schemas.openxmlformats.org/officeDocument/2006/relationships/hyperlink" Target="http://csr.bu.edu/ftp/asl/asllvd/demos/verify_start_end_handshape_annotations//test_auto_move//signs_mov_separ_signers/Naomi_4680.mov" TargetMode="External"/><Relationship Id="rId25462" Type="http://schemas.openxmlformats.org/officeDocument/2006/relationships/hyperlink" Target="http://secrets.rutgers.edu:8080/data/asl-ftp/asllvd/demos/verify_start_end_handshape_annotations//test_auto_move//signs_mov_separ_signers/Naomi_4680.mov" TargetMode="External"/><Relationship Id="rId25463" Type="http://schemas.openxmlformats.org/officeDocument/2006/relationships/hyperlink" Target="http://csr.bu.edu/ftp/asl/asllvd/demos/verify_start_end_handshape_annotations//test_auto_move//signs_mov/4680.mov" TargetMode="External"/><Relationship Id="rId25464" Type="http://schemas.openxmlformats.org/officeDocument/2006/relationships/hyperlink" Target="http://csr.bu.edu/ftp/asl/asllvd/demos/verify_start_end_handshape_annotations//test_auto_move//signs_mov_separ_signers/Brady_4680.mov" TargetMode="External"/><Relationship Id="rId25465" Type="http://schemas.openxmlformats.org/officeDocument/2006/relationships/hyperlink" Target="http://secrets.rutgers.edu:8080/data/asl-ftp/asllvd/demos/verify_start_end_handshape_annotations//test_auto_move//signs_mov/4680.mov" TargetMode="External"/><Relationship Id="rId25466" Type="http://schemas.openxmlformats.org/officeDocument/2006/relationships/hyperlink" Target="http://secrets.rutgers.edu:8080/data/asl-ftp/asllvd/demos/verify_start_end_handshape_annotations//test_auto_move//signs_mov_separ_signers/Brady_4680.mov" TargetMode="External"/><Relationship Id="rId25467" Type="http://schemas.openxmlformats.org/officeDocument/2006/relationships/hyperlink" Target="http://csr.bu.edu/ftp/asl/asllvd/demos/verify_start_end_handshape_annotations//test_auto_move//signs_mov_separ_signers/Lana_4680.mov" TargetMode="External"/><Relationship Id="rId25468" Type="http://schemas.openxmlformats.org/officeDocument/2006/relationships/hyperlink" Target="http://secrets.rutgers.edu:8080/data/asl-ftp/asllvd/demos/verify_start_end_handshape_annotations//test_auto_move//signs_mov_separ_signers/Lana_4680.mov" TargetMode="External"/><Relationship Id="rId25469" Type="http://schemas.openxmlformats.org/officeDocument/2006/relationships/hyperlink" Target="http://csr.bu.edu/ftp/asl/asllvd/demos/verify_start_end_handshape_annotations//test_auto_move//signs_mov_separ_signers/Dana_4680.mov" TargetMode="External"/><Relationship Id="rId25470" Type="http://schemas.openxmlformats.org/officeDocument/2006/relationships/hyperlink" Target="http://secrets.rutgers.edu:8080/data/asl-ftp/asllvd/demos/verify_start_end_handshape_annotations//test_auto_move//signs_mov_separ_signers/Dana_4680.mov" TargetMode="External"/><Relationship Id="rId25471" Type="http://schemas.openxmlformats.org/officeDocument/2006/relationships/hyperlink" Target="http://csr.bu.edu/ftp/asl/asllvd/demos/verify_start_end_handshape_annotations//test_auto_move//signs_mov/16023.mov" TargetMode="External"/><Relationship Id="rId25472" Type="http://schemas.openxmlformats.org/officeDocument/2006/relationships/hyperlink" Target="http://csr.bu.edu/ftp/asl/asllvd/demos/verify_start_end_handshape_annotations//test_auto_move//signs_mov_separ_signers/Tyler_16023.mov" TargetMode="External"/><Relationship Id="rId25473" Type="http://schemas.openxmlformats.org/officeDocument/2006/relationships/hyperlink" Target="http://secrets.rutgers.edu:8080/data/asl-ftp/asllvd/demos/verify_start_end_handshape_annotations//test_auto_move//signs_mov/16023.mov" TargetMode="External"/><Relationship Id="rId25474" Type="http://schemas.openxmlformats.org/officeDocument/2006/relationships/hyperlink" Target="http://secrets.rutgers.edu:8080/data/asl-ftp/asllvd/demos/verify_start_end_handshape_annotations//test_auto_move//signs_mov_separ_signers/Tyler_16023.mov" TargetMode="External"/><Relationship Id="rId25475" Type="http://schemas.openxmlformats.org/officeDocument/2006/relationships/hyperlink" Target="http://csr.bu.edu/ftp/asl/asllvd/demos/verify_start_end_handshape_annotations//test_auto_move//signs_mov/2804.mov" TargetMode="External"/><Relationship Id="rId25476" Type="http://schemas.openxmlformats.org/officeDocument/2006/relationships/hyperlink" Target="http://csr.bu.edu/ftp/asl/asllvd/demos/verify_start_end_handshape_annotations//test_auto_move//signs_mov_separ_signers/Brady_2804.mov" TargetMode="External"/><Relationship Id="rId25477" Type="http://schemas.openxmlformats.org/officeDocument/2006/relationships/hyperlink" Target="http://secrets.rutgers.edu:8080/data/asl-ftp/asllvd/demos/verify_start_end_handshape_annotations//test_auto_move//signs_mov/2804.mov" TargetMode="External"/><Relationship Id="rId25478" Type="http://schemas.openxmlformats.org/officeDocument/2006/relationships/hyperlink" Target="http://secrets.rutgers.edu:8080/data/asl-ftp/asllvd/demos/verify_start_end_handshape_annotations//test_auto_move//signs_mov_separ_signers/Brady_2804.mov" TargetMode="External"/><Relationship Id="rId25479" Type="http://schemas.openxmlformats.org/officeDocument/2006/relationships/hyperlink" Target="http://csr.bu.edu/ftp/asl/asllvd/demos/verify_start_end_handshape_annotations//test_auto_move//signs_mov/2811.mov" TargetMode="External"/><Relationship Id="rId25480" Type="http://schemas.openxmlformats.org/officeDocument/2006/relationships/hyperlink" Target="http://csr.bu.edu/ftp/asl/asllvd/demos/verify_start_end_handshape_annotations//test_auto_move//signs_mov_separ_signers/Liz_2811.mov" TargetMode="External"/><Relationship Id="rId25481" Type="http://schemas.openxmlformats.org/officeDocument/2006/relationships/hyperlink" Target="http://secrets.rutgers.edu:8080/data/asl-ftp/asllvd/demos/verify_start_end_handshape_annotations//test_auto_move//signs_mov/2811.mov" TargetMode="External"/><Relationship Id="rId25482" Type="http://schemas.openxmlformats.org/officeDocument/2006/relationships/hyperlink" Target="http://secrets.rutgers.edu:8080/data/asl-ftp/asllvd/demos/verify_start_end_handshape_annotations//test_auto_move//signs_mov_separ_signers/Liz_2811.mov" TargetMode="External"/><Relationship Id="rId25483" Type="http://schemas.openxmlformats.org/officeDocument/2006/relationships/hyperlink" Target="http://csr.bu.edu/ftp/asl/asllvd/demos/verify_start_end_handshape_annotations//test_auto_move//signs_mov/2816.mov" TargetMode="External"/><Relationship Id="rId25484" Type="http://schemas.openxmlformats.org/officeDocument/2006/relationships/hyperlink" Target="http://csr.bu.edu/ftp/asl/asllvd/demos/verify_start_end_handshape_annotations//test_auto_move//signs_mov_separ_signers/Liz_2816.mov" TargetMode="External"/><Relationship Id="rId25485" Type="http://schemas.openxmlformats.org/officeDocument/2006/relationships/hyperlink" Target="http://secrets.rutgers.edu:8080/data/asl-ftp/asllvd/demos/verify_start_end_handshape_annotations//test_auto_move//signs_mov/2816.mov" TargetMode="External"/><Relationship Id="rId25486" Type="http://schemas.openxmlformats.org/officeDocument/2006/relationships/hyperlink" Target="http://secrets.rutgers.edu:8080/data/asl-ftp/asllvd/demos/verify_start_end_handshape_annotations//test_auto_move//signs_mov_separ_signers/Liz_2816.mov" TargetMode="External"/><Relationship Id="rId25487" Type="http://schemas.openxmlformats.org/officeDocument/2006/relationships/hyperlink" Target="http://csr.bu.edu/ftp/asl/asllvd/demos/verify_start_end_handshape_annotations//test_auto_move//signs_mov/15018.mov" TargetMode="External"/><Relationship Id="rId25488" Type="http://schemas.openxmlformats.org/officeDocument/2006/relationships/hyperlink" Target="http://csr.bu.edu/ftp/asl/asllvd/demos/verify_start_end_handshape_annotations//test_auto_move//signs_mov_separ_signers/Liz_15018.mov" TargetMode="External"/><Relationship Id="rId25489" Type="http://schemas.openxmlformats.org/officeDocument/2006/relationships/hyperlink" Target="http://secrets.rutgers.edu:8080/data/asl-ftp/asllvd/demos/verify_start_end_handshape_annotations//test_auto_move//signs_mov/15018.mov" TargetMode="External"/><Relationship Id="rId25490" Type="http://schemas.openxmlformats.org/officeDocument/2006/relationships/hyperlink" Target="http://secrets.rutgers.edu:8080/data/asl-ftp/asllvd/demos/verify_start_end_handshape_annotations//test_auto_move//signs_mov_separ_signers/Liz_15018.mov" TargetMode="External"/><Relationship Id="rId25491" Type="http://schemas.openxmlformats.org/officeDocument/2006/relationships/hyperlink" Target="http://csr.bu.edu/ftp/asl/asllvd/demos/verify_start_end_handshape_annotations//test_auto_move//signs_mov/4774.mov" TargetMode="External"/><Relationship Id="rId25492" Type="http://schemas.openxmlformats.org/officeDocument/2006/relationships/hyperlink" Target="http://csr.bu.edu/ftp/asl/asllvd/demos/verify_start_end_handshape_annotations//test_auto_move//signs_mov_separ_signers/Brady_4774.mov" TargetMode="External"/><Relationship Id="rId25493" Type="http://schemas.openxmlformats.org/officeDocument/2006/relationships/hyperlink" Target="http://secrets.rutgers.edu:8080/data/asl-ftp/asllvd/demos/verify_start_end_handshape_annotations//test_auto_move//signs_mov/4774.mov" TargetMode="External"/><Relationship Id="rId25494" Type="http://schemas.openxmlformats.org/officeDocument/2006/relationships/hyperlink" Target="http://secrets.rutgers.edu:8080/data/asl-ftp/asllvd/demos/verify_start_end_handshape_annotations//test_auto_move//signs_mov_separ_signers/Brady_4774.mov" TargetMode="External"/><Relationship Id="rId25495" Type="http://schemas.openxmlformats.org/officeDocument/2006/relationships/hyperlink" Target="http://csr.bu.edu/ftp/asl/asllvd/demos/verify_start_end_handshape_annotations//test_auto_move//signs_mov/2820.mov" TargetMode="External"/><Relationship Id="rId25496" Type="http://schemas.openxmlformats.org/officeDocument/2006/relationships/hyperlink" Target="http://csr.bu.edu/ftp/asl/asllvd/demos/verify_start_end_handshape_annotations//test_auto_move//signs_mov_separ_signers/Liz_2820.mov" TargetMode="External"/><Relationship Id="rId25497" Type="http://schemas.openxmlformats.org/officeDocument/2006/relationships/hyperlink" Target="http://secrets.rutgers.edu:8080/data/asl-ftp/asllvd/demos/verify_start_end_handshape_annotations//test_auto_move//signs_mov/2820.mov" TargetMode="External"/><Relationship Id="rId25498" Type="http://schemas.openxmlformats.org/officeDocument/2006/relationships/hyperlink" Target="http://secrets.rutgers.edu:8080/data/asl-ftp/asllvd/demos/verify_start_end_handshape_annotations//test_auto_move//signs_mov_separ_signers/Liz_2820.mov" TargetMode="External"/><Relationship Id="rId25499" Type="http://schemas.openxmlformats.org/officeDocument/2006/relationships/hyperlink" Target="http://csr.bu.edu/ftp/asl/asllvd/demos/verify_start_end_handshape_annotations//test_auto_move//signs_mov/2821.mov" TargetMode="External"/><Relationship Id="rId25500" Type="http://schemas.openxmlformats.org/officeDocument/2006/relationships/hyperlink" Target="http://csr.bu.edu/ftp/asl/asllvd/demos/verify_start_end_handshape_annotations//test_auto_move//signs_mov_separ_signers/Liz_2821.mov" TargetMode="External"/><Relationship Id="rId25501" Type="http://schemas.openxmlformats.org/officeDocument/2006/relationships/hyperlink" Target="http://secrets.rutgers.edu:8080/data/asl-ftp/asllvd/demos/verify_start_end_handshape_annotations//test_auto_move//signs_mov/2821.mov" TargetMode="External"/><Relationship Id="rId25502" Type="http://schemas.openxmlformats.org/officeDocument/2006/relationships/hyperlink" Target="http://secrets.rutgers.edu:8080/data/asl-ftp/asllvd/demos/verify_start_end_handshape_annotations//test_auto_move//signs_mov_separ_signers/Liz_2821.mov" TargetMode="External"/><Relationship Id="rId25503" Type="http://schemas.openxmlformats.org/officeDocument/2006/relationships/hyperlink" Target="http://csr.bu.edu/ftp/asl/asllvd/demos/verify_start_end_handshape_annotations//test_auto_move//signs_mov/2878.mov" TargetMode="External"/><Relationship Id="rId25504" Type="http://schemas.openxmlformats.org/officeDocument/2006/relationships/hyperlink" Target="http://csr.bu.edu/ftp/asl/asllvd/demos/verify_start_end_handshape_annotations//test_auto_move//signs_mov_separ_signers/Liz_2878.mov" TargetMode="External"/><Relationship Id="rId25505" Type="http://schemas.openxmlformats.org/officeDocument/2006/relationships/hyperlink" Target="http://secrets.rutgers.edu:8080/data/asl-ftp/asllvd/demos/verify_start_end_handshape_annotations//test_auto_move//signs_mov/2878.mov" TargetMode="External"/><Relationship Id="rId25506" Type="http://schemas.openxmlformats.org/officeDocument/2006/relationships/hyperlink" Target="http://secrets.rutgers.edu:8080/data/asl-ftp/asllvd/demos/verify_start_end_handshape_annotations//test_auto_move//signs_mov_separ_signers/Liz_2878.mov" TargetMode="External"/><Relationship Id="rId25507" Type="http://schemas.openxmlformats.org/officeDocument/2006/relationships/hyperlink" Target="http://csr.bu.edu/ftp/asl/asllvd/demos/verify_start_end_handshape_annotations//test_auto_move//signs_mov/2905.mov" TargetMode="External"/><Relationship Id="rId25508" Type="http://schemas.openxmlformats.org/officeDocument/2006/relationships/hyperlink" Target="http://csr.bu.edu/ftp/asl/asllvd/demos/verify_start_end_handshape_annotations//test_auto_move//signs_mov_separ_signers/Liz_2905.mov" TargetMode="External"/><Relationship Id="rId25509" Type="http://schemas.openxmlformats.org/officeDocument/2006/relationships/hyperlink" Target="http://secrets.rutgers.edu:8080/data/asl-ftp/asllvd/demos/verify_start_end_handshape_annotations//test_auto_move//signs_mov/2905.mov" TargetMode="External"/><Relationship Id="rId25510" Type="http://schemas.openxmlformats.org/officeDocument/2006/relationships/hyperlink" Target="http://secrets.rutgers.edu:8080/data/asl-ftp/asllvd/demos/verify_start_end_handshape_annotations//test_auto_move//signs_mov_separ_signers/Liz_2905.mov" TargetMode="External"/><Relationship Id="rId25511" Type="http://schemas.openxmlformats.org/officeDocument/2006/relationships/hyperlink" Target="http://csr.bu.edu/ftp/asl/asllvd/demos/verify_start_end_handshape_annotations//test_auto_move//signs_mov_separ_signers/Brady_2905.mov" TargetMode="External"/><Relationship Id="rId25512" Type="http://schemas.openxmlformats.org/officeDocument/2006/relationships/hyperlink" Target="http://secrets.rutgers.edu:8080/data/asl-ftp/asllvd/demos/verify_start_end_handshape_annotations//test_auto_move//signs_mov_separ_signers/Brady_2905.mov" TargetMode="External"/><Relationship Id="rId25513" Type="http://schemas.openxmlformats.org/officeDocument/2006/relationships/hyperlink" Target="http://csr.bu.edu/ftp/asl/asllvd/demos/verify_start_end_handshape_annotations//test_auto_move//signs_mov/2910.mov" TargetMode="External"/><Relationship Id="rId25514" Type="http://schemas.openxmlformats.org/officeDocument/2006/relationships/hyperlink" Target="http://csr.bu.edu/ftp/asl/asllvd/demos/verify_start_end_handshape_annotations//test_auto_move//signs_mov_separ_signers/Liz_2910.mov" TargetMode="External"/><Relationship Id="rId25515" Type="http://schemas.openxmlformats.org/officeDocument/2006/relationships/hyperlink" Target="http://secrets.rutgers.edu:8080/data/asl-ftp/asllvd/demos/verify_start_end_handshape_annotations//test_auto_move//signs_mov/2910.mov" TargetMode="External"/><Relationship Id="rId25516" Type="http://schemas.openxmlformats.org/officeDocument/2006/relationships/hyperlink" Target="http://secrets.rutgers.edu:8080/data/asl-ftp/asllvd/demos/verify_start_end_handshape_annotations//test_auto_move//signs_mov_separ_signers/Liz_2910.mov" TargetMode="External"/><Relationship Id="rId25517" Type="http://schemas.openxmlformats.org/officeDocument/2006/relationships/hyperlink" Target="http://csr.bu.edu/ftp/asl/asllvd/demos/verify_start_end_handshape_annotations//test_auto_move//signs_mov_separ_signers/Brady_2910.mov" TargetMode="External"/><Relationship Id="rId25518" Type="http://schemas.openxmlformats.org/officeDocument/2006/relationships/hyperlink" Target="http://secrets.rutgers.edu:8080/data/asl-ftp/asllvd/demos/verify_start_end_handshape_annotations//test_auto_move//signs_mov_separ_signers/Brady_2910.mov" TargetMode="External"/><Relationship Id="rId25519" Type="http://schemas.openxmlformats.org/officeDocument/2006/relationships/hyperlink" Target="http://csr.bu.edu/ftp/asl/asllvd/demos/verify_start_end_handshape_annotations//test_auto_move//signs_mov_separ_signers/Liz_3004.mov" TargetMode="External"/><Relationship Id="rId25520" Type="http://schemas.openxmlformats.org/officeDocument/2006/relationships/hyperlink" Target="http://secrets.rutgers.edu:8080/data/asl-ftp/asllvd/demos/verify_start_end_handshape_annotations//test_auto_move//signs_mov_separ_signers/Liz_3004.mov" TargetMode="External"/><Relationship Id="rId25521" Type="http://schemas.openxmlformats.org/officeDocument/2006/relationships/hyperlink" Target="http://csr.bu.edu/ftp/asl/asllvd/demos/verify_start_end_handshape_annotations//test_auto_move//signs_mov/3004.mov" TargetMode="External"/><Relationship Id="rId25522" Type="http://schemas.openxmlformats.org/officeDocument/2006/relationships/hyperlink" Target="http://csr.bu.edu/ftp/asl/asllvd/demos/verify_start_end_handshape_annotations//test_auto_move//signs_mov_separ_signers/Naomi_3004.mov" TargetMode="External"/><Relationship Id="rId25523" Type="http://schemas.openxmlformats.org/officeDocument/2006/relationships/hyperlink" Target="http://secrets.rutgers.edu:8080/data/asl-ftp/asllvd/demos/verify_start_end_handshape_annotations//test_auto_move//signs_mov/3004.mov" TargetMode="External"/><Relationship Id="rId25524" Type="http://schemas.openxmlformats.org/officeDocument/2006/relationships/hyperlink" Target="http://secrets.rutgers.edu:8080/data/asl-ftp/asllvd/demos/verify_start_end_handshape_annotations//test_auto_move//signs_mov_separ_signers/Naomi_3004.mov" TargetMode="External"/><Relationship Id="rId25525" Type="http://schemas.openxmlformats.org/officeDocument/2006/relationships/hyperlink" Target="http://csr.bu.edu/ftp/asl/asllvd/demos/verify_start_end_handshape_annotations//test_auto_move//signs_mov_separ_signers/Brady_3004.mov" TargetMode="External"/><Relationship Id="rId25526" Type="http://schemas.openxmlformats.org/officeDocument/2006/relationships/hyperlink" Target="http://secrets.rutgers.edu:8080/data/asl-ftp/asllvd/demos/verify_start_end_handshape_annotations//test_auto_move//signs_mov_separ_signers/Brady_3004.mov" TargetMode="External"/><Relationship Id="rId25527" Type="http://schemas.openxmlformats.org/officeDocument/2006/relationships/hyperlink" Target="http://csr.bu.edu/ftp/asl/asllvd/demos/verify_start_end_handshape_annotations//test_auto_move//signs_mov/5620.mov" TargetMode="External"/><Relationship Id="rId25528" Type="http://schemas.openxmlformats.org/officeDocument/2006/relationships/hyperlink" Target="http://csr.bu.edu/ftp/asl/asllvd/demos/verify_start_end_handshape_annotations//test_auto_move//signs_mov_separ_signers/Tyler_5620.mov" TargetMode="External"/><Relationship Id="rId25529" Type="http://schemas.openxmlformats.org/officeDocument/2006/relationships/hyperlink" Target="http://secrets.rutgers.edu:8080/data/asl-ftp/asllvd/demos/verify_start_end_handshape_annotations//test_auto_move//signs_mov/5620.mov" TargetMode="External"/><Relationship Id="rId25530" Type="http://schemas.openxmlformats.org/officeDocument/2006/relationships/hyperlink" Target="http://secrets.rutgers.edu:8080/data/asl-ftp/asllvd/demos/verify_start_end_handshape_annotations//test_auto_move//signs_mov_separ_signers/Tyler_5620.mov" TargetMode="External"/><Relationship Id="rId25531" Type="http://schemas.openxmlformats.org/officeDocument/2006/relationships/hyperlink" Target="http://csr.bu.edu/ftp/asl/asllvd/demos/verify_start_end_handshape_annotations//test_auto_move//signs_mov/3005.mov" TargetMode="External"/><Relationship Id="rId25532" Type="http://schemas.openxmlformats.org/officeDocument/2006/relationships/hyperlink" Target="http://csr.bu.edu/ftp/asl/asllvd/demos/verify_start_end_handshape_annotations//test_auto_move//signs_mov_separ_signers/Tyler_3005.mov" TargetMode="External"/><Relationship Id="rId25533" Type="http://schemas.openxmlformats.org/officeDocument/2006/relationships/hyperlink" Target="http://secrets.rutgers.edu:8080/data/asl-ftp/asllvd/demos/verify_start_end_handshape_annotations//test_auto_move//signs_mov/3005.mov" TargetMode="External"/><Relationship Id="rId25534" Type="http://schemas.openxmlformats.org/officeDocument/2006/relationships/hyperlink" Target="http://secrets.rutgers.edu:8080/data/asl-ftp/asllvd/demos/verify_start_end_handshape_annotations//test_auto_move//signs_mov_separ_signers/Tyler_3005.mov" TargetMode="External"/><Relationship Id="rId25535" Type="http://schemas.openxmlformats.org/officeDocument/2006/relationships/hyperlink" Target="http://csr.bu.edu/ftp/asl/asllvd/demos/verify_start_end_handshape_annotations//test_auto_move//signs_mov_separ_signers/Naomi_3005.mov" TargetMode="External"/><Relationship Id="rId25536" Type="http://schemas.openxmlformats.org/officeDocument/2006/relationships/hyperlink" Target="http://secrets.rutgers.edu:8080/data/asl-ftp/asllvd/demos/verify_start_end_handshape_annotations//test_auto_move//signs_mov_separ_signers/Naomi_3005.mov" TargetMode="External"/><Relationship Id="rId25537" Type="http://schemas.openxmlformats.org/officeDocument/2006/relationships/hyperlink" Target="http://csr.bu.edu/ftp/asl/asllvd/demos/verify_start_end_handshape_annotations//test_auto_move//signs_mov/5621.mov" TargetMode="External"/><Relationship Id="rId25538" Type="http://schemas.openxmlformats.org/officeDocument/2006/relationships/hyperlink" Target="http://csr.bu.edu/ftp/asl/asllvd/demos/verify_start_end_handshape_annotations//test_auto_move//signs_mov_separ_signers/Liz_5621.mov" TargetMode="External"/><Relationship Id="rId25539" Type="http://schemas.openxmlformats.org/officeDocument/2006/relationships/hyperlink" Target="http://secrets.rutgers.edu:8080/data/asl-ftp/asllvd/demos/verify_start_end_handshape_annotations//test_auto_move//signs_mov/5621.mov" TargetMode="External"/><Relationship Id="rId25540" Type="http://schemas.openxmlformats.org/officeDocument/2006/relationships/hyperlink" Target="http://secrets.rutgers.edu:8080/data/asl-ftp/asllvd/demos/verify_start_end_handshape_annotations//test_auto_move//signs_mov_separ_signers/Liz_5621.mov" TargetMode="External"/><Relationship Id="rId25541" Type="http://schemas.openxmlformats.org/officeDocument/2006/relationships/hyperlink" Target="http://csr.bu.edu/ftp/asl/asllvd/demos/verify_start_end_handshape_annotations//test_auto_move//signs_mov_separ_signers/Brady_5621.mov" TargetMode="External"/><Relationship Id="rId25542" Type="http://schemas.openxmlformats.org/officeDocument/2006/relationships/hyperlink" Target="http://secrets.rutgers.edu:8080/data/asl-ftp/asllvd/demos/verify_start_end_handshape_annotations//test_auto_move//signs_mov_separ_signers/Brady_5621.mov" TargetMode="External"/><Relationship Id="rId25543" Type="http://schemas.openxmlformats.org/officeDocument/2006/relationships/hyperlink" Target="http://csr.bu.edu/ftp/asl/asllvd/demos/verify_start_end_handshape_annotations//test_auto_move//signs_mov/3015.mov" TargetMode="External"/><Relationship Id="rId25544" Type="http://schemas.openxmlformats.org/officeDocument/2006/relationships/hyperlink" Target="http://csr.bu.edu/ftp/asl/asllvd/demos/verify_start_end_handshape_annotations//test_auto_move//signs_mov_separ_signers/Liz_3015.mov" TargetMode="External"/><Relationship Id="rId25545" Type="http://schemas.openxmlformats.org/officeDocument/2006/relationships/hyperlink" Target="http://secrets.rutgers.edu:8080/data/asl-ftp/asllvd/demos/verify_start_end_handshape_annotations//test_auto_move//signs_mov/3015.mov" TargetMode="External"/><Relationship Id="rId25546" Type="http://schemas.openxmlformats.org/officeDocument/2006/relationships/hyperlink" Target="http://secrets.rutgers.edu:8080/data/asl-ftp/asllvd/demos/verify_start_end_handshape_annotations//test_auto_move//signs_mov_separ_signers/Liz_3015.mov" TargetMode="External"/><Relationship Id="rId25547" Type="http://schemas.openxmlformats.org/officeDocument/2006/relationships/hyperlink" Target="http://csr.bu.edu/ftp/asl/asllvd/demos/verify_start_end_handshape_annotations//test_auto_move//signs_mov_separ_signers/Naomi_3015.mov" TargetMode="External"/><Relationship Id="rId25548" Type="http://schemas.openxmlformats.org/officeDocument/2006/relationships/hyperlink" Target="http://secrets.rutgers.edu:8080/data/asl-ftp/asllvd/demos/verify_start_end_handshape_annotations//test_auto_move//signs_mov_separ_signers/Naomi_3015.mov" TargetMode="External"/><Relationship Id="rId25549" Type="http://schemas.openxmlformats.org/officeDocument/2006/relationships/hyperlink" Target="http://csr.bu.edu/ftp/asl/asllvd/demos/verify_start_end_handshape_annotations//test_auto_move//signs_mov/3022.mov" TargetMode="External"/><Relationship Id="rId25550" Type="http://schemas.openxmlformats.org/officeDocument/2006/relationships/hyperlink" Target="http://csr.bu.edu/ftp/asl/asllvd/demos/verify_start_end_handshape_annotations//test_auto_move//signs_mov_separ_signers/Tyler_3022.mov" TargetMode="External"/><Relationship Id="rId25551" Type="http://schemas.openxmlformats.org/officeDocument/2006/relationships/hyperlink" Target="http://secrets.rutgers.edu:8080/data/asl-ftp/asllvd/demos/verify_start_end_handshape_annotations//test_auto_move//signs_mov/3022.mov" TargetMode="External"/><Relationship Id="rId25552" Type="http://schemas.openxmlformats.org/officeDocument/2006/relationships/hyperlink" Target="http://secrets.rutgers.edu:8080/data/asl-ftp/asllvd/demos/verify_start_end_handshape_annotations//test_auto_move//signs_mov_separ_signers/Tyler_3022.mov" TargetMode="External"/><Relationship Id="rId25553" Type="http://schemas.openxmlformats.org/officeDocument/2006/relationships/hyperlink" Target="http://csr.bu.edu/ftp/asl/asllvd/demos/verify_start_end_handshape_annotations//test_auto_move//signs_mov_separ_signers/Brady_3022.mov" TargetMode="External"/><Relationship Id="rId25554" Type="http://schemas.openxmlformats.org/officeDocument/2006/relationships/hyperlink" Target="http://secrets.rutgers.edu:8080/data/asl-ftp/asllvd/demos/verify_start_end_handshape_annotations//test_auto_move//signs_mov_separ_signers/Brady_3022.mov" TargetMode="External"/><Relationship Id="rId25555" Type="http://schemas.openxmlformats.org/officeDocument/2006/relationships/hyperlink" Target="http://csr.bu.edu/ftp/asl/asllvd/demos/verify_start_end_handshape_annotations//test_auto_move//signs_mov/3029.mov" TargetMode="External"/><Relationship Id="rId25556" Type="http://schemas.openxmlformats.org/officeDocument/2006/relationships/hyperlink" Target="http://csr.bu.edu/ftp/asl/asllvd/demos/verify_start_end_handshape_annotations//test_auto_move//signs_mov_separ_signers/Liz_3029.mov" TargetMode="External"/><Relationship Id="rId25557" Type="http://schemas.openxmlformats.org/officeDocument/2006/relationships/hyperlink" Target="http://secrets.rutgers.edu:8080/data/asl-ftp/asllvd/demos/verify_start_end_handshape_annotations//test_auto_move//signs_mov/3029.mov" TargetMode="External"/><Relationship Id="rId25558" Type="http://schemas.openxmlformats.org/officeDocument/2006/relationships/hyperlink" Target="http://secrets.rutgers.edu:8080/data/asl-ftp/asllvd/demos/verify_start_end_handshape_annotations//test_auto_move//signs_mov_separ_signers/Liz_3029.mov" TargetMode="External"/><Relationship Id="rId25559" Type="http://schemas.openxmlformats.org/officeDocument/2006/relationships/hyperlink" Target="http://csr.bu.edu/ftp/asl/asllvd/demos/verify_start_end_handshape_annotations//test_auto_move//signs_mov_separ_signers/Naomi_3029.mov" TargetMode="External"/><Relationship Id="rId25560" Type="http://schemas.openxmlformats.org/officeDocument/2006/relationships/hyperlink" Target="http://secrets.rutgers.edu:8080/data/asl-ftp/asllvd/demos/verify_start_end_handshape_annotations//test_auto_move//signs_mov_separ_signers/Naomi_3029.mov" TargetMode="External"/><Relationship Id="rId25561" Type="http://schemas.openxmlformats.org/officeDocument/2006/relationships/hyperlink" Target="http://csr.bu.edu/ftp/asl/asllvd/demos/verify_start_end_handshape_annotations//test_auto_move//signs_mov_separ_signers/Liz_3031.mov" TargetMode="External"/><Relationship Id="rId25562" Type="http://schemas.openxmlformats.org/officeDocument/2006/relationships/hyperlink" Target="http://secrets.rutgers.edu:8080/data/asl-ftp/asllvd/demos/verify_start_end_handshape_annotations//test_auto_move//signs_mov_separ_signers/Liz_3031.mov" TargetMode="External"/><Relationship Id="rId25563" Type="http://schemas.openxmlformats.org/officeDocument/2006/relationships/hyperlink" Target="http://csr.bu.edu/ftp/asl/asllvd/demos/verify_start_end_handshape_annotations//test_auto_move//signs_mov/3031.mov" TargetMode="External"/><Relationship Id="rId25564" Type="http://schemas.openxmlformats.org/officeDocument/2006/relationships/hyperlink" Target="http://csr.bu.edu/ftp/asl/asllvd/demos/verify_start_end_handshape_annotations//test_auto_move//signs_mov_separ_signers/Tyler_3031.mov" TargetMode="External"/><Relationship Id="rId25565" Type="http://schemas.openxmlformats.org/officeDocument/2006/relationships/hyperlink" Target="http://secrets.rutgers.edu:8080/data/asl-ftp/asllvd/demos/verify_start_end_handshape_annotations//test_auto_move//signs_mov/3031.mov" TargetMode="External"/><Relationship Id="rId25566" Type="http://schemas.openxmlformats.org/officeDocument/2006/relationships/hyperlink" Target="http://secrets.rutgers.edu:8080/data/asl-ftp/asllvd/demos/verify_start_end_handshape_annotations//test_auto_move//signs_mov_separ_signers/Tyler_3031.mov" TargetMode="External"/><Relationship Id="rId25567" Type="http://schemas.openxmlformats.org/officeDocument/2006/relationships/hyperlink" Target="http://csr.bu.edu/ftp/asl/asllvd/demos/verify_start_end_handshape_annotations//test_auto_move//signs_mov_separ_signers/Brady_3031.mov" TargetMode="External"/><Relationship Id="rId25568" Type="http://schemas.openxmlformats.org/officeDocument/2006/relationships/hyperlink" Target="http://secrets.rutgers.edu:8080/data/asl-ftp/asllvd/demos/verify_start_end_handshape_annotations//test_auto_move//signs_mov_separ_signers/Brady_3031.mov" TargetMode="External"/><Relationship Id="rId25569" Type="http://schemas.openxmlformats.org/officeDocument/2006/relationships/hyperlink" Target="http://csr.bu.edu/ftp/asl/asllvd/demos/verify_start_end_handshape_annotations//test_auto_move//signs_mov/3067.mov" TargetMode="External"/><Relationship Id="rId25570" Type="http://schemas.openxmlformats.org/officeDocument/2006/relationships/hyperlink" Target="http://csr.bu.edu/ftp/asl/asllvd/demos/verify_start_end_handshape_annotations//test_auto_move//signs_mov_separ_signers/Tyler_3067.mov" TargetMode="External"/><Relationship Id="rId25571" Type="http://schemas.openxmlformats.org/officeDocument/2006/relationships/hyperlink" Target="http://secrets.rutgers.edu:8080/data/asl-ftp/asllvd/demos/verify_start_end_handshape_annotations//test_auto_move//signs_mov/3067.mov" TargetMode="External"/><Relationship Id="rId25572" Type="http://schemas.openxmlformats.org/officeDocument/2006/relationships/hyperlink" Target="http://secrets.rutgers.edu:8080/data/asl-ftp/asllvd/demos/verify_start_end_handshape_annotations//test_auto_move//signs_mov_separ_signers/Tyler_3067.mov" TargetMode="External"/><Relationship Id="rId25573" Type="http://schemas.openxmlformats.org/officeDocument/2006/relationships/hyperlink" Target="http://csr.bu.edu/ftp/asl/asllvd/demos/verify_start_end_handshape_annotations//test_auto_move//signs_mov_separ_signers/Brady_3067.mov" TargetMode="External"/><Relationship Id="rId25574" Type="http://schemas.openxmlformats.org/officeDocument/2006/relationships/hyperlink" Target="http://secrets.rutgers.edu:8080/data/asl-ftp/asllvd/demos/verify_start_end_handshape_annotations//test_auto_move//signs_mov_separ_signers/Brady_3067.mov" TargetMode="External"/><Relationship Id="rId25575" Type="http://schemas.openxmlformats.org/officeDocument/2006/relationships/hyperlink" Target="http://csr.bu.edu/ftp/asl/asllvd/demos/verify_start_end_handshape_annotations//test_auto_move//signs_mov/3085.mov" TargetMode="External"/><Relationship Id="rId25576" Type="http://schemas.openxmlformats.org/officeDocument/2006/relationships/hyperlink" Target="http://csr.bu.edu/ftp/asl/asllvd/demos/verify_start_end_handshape_annotations//test_auto_move//signs_mov_separ_signers/Tyler_3085.mov" TargetMode="External"/><Relationship Id="rId25577" Type="http://schemas.openxmlformats.org/officeDocument/2006/relationships/hyperlink" Target="http://secrets.rutgers.edu:8080/data/asl-ftp/asllvd/demos/verify_start_end_handshape_annotations//test_auto_move//signs_mov/3085.mov" TargetMode="External"/><Relationship Id="rId25578" Type="http://schemas.openxmlformats.org/officeDocument/2006/relationships/hyperlink" Target="http://secrets.rutgers.edu:8080/data/asl-ftp/asllvd/demos/verify_start_end_handshape_annotations//test_auto_move//signs_mov_separ_signers/Tyler_3085.mov" TargetMode="External"/><Relationship Id="rId25579" Type="http://schemas.openxmlformats.org/officeDocument/2006/relationships/hyperlink" Target="http://csr.bu.edu/ftp/asl/asllvd/demos/verify_start_end_handshape_annotations//test_auto_move//signs_mov_separ_signers/Liz_3103.mov" TargetMode="External"/><Relationship Id="rId25580" Type="http://schemas.openxmlformats.org/officeDocument/2006/relationships/hyperlink" Target="http://secrets.rutgers.edu:8080/data/asl-ftp/asllvd/demos/verify_start_end_handshape_annotations//test_auto_move//signs_mov_separ_signers/Liz_3103.mov" TargetMode="External"/><Relationship Id="rId25581" Type="http://schemas.openxmlformats.org/officeDocument/2006/relationships/hyperlink" Target="http://csr.bu.edu/ftp/asl/asllvd/demos/verify_start_end_handshape_annotations//test_auto_move//signs_mov/3103.mov" TargetMode="External"/><Relationship Id="rId25582" Type="http://schemas.openxmlformats.org/officeDocument/2006/relationships/hyperlink" Target="http://csr.bu.edu/ftp/asl/asllvd/demos/verify_start_end_handshape_annotations//test_auto_move//signs_mov_separ_signers/Tyler_3103.mov" TargetMode="External"/><Relationship Id="rId25583" Type="http://schemas.openxmlformats.org/officeDocument/2006/relationships/hyperlink" Target="http://secrets.rutgers.edu:8080/data/asl-ftp/asllvd/demos/verify_start_end_handshape_annotations//test_auto_move//signs_mov/3103.mov" TargetMode="External"/><Relationship Id="rId25584" Type="http://schemas.openxmlformats.org/officeDocument/2006/relationships/hyperlink" Target="http://secrets.rutgers.edu:8080/data/asl-ftp/asllvd/demos/verify_start_end_handshape_annotations//test_auto_move//signs_mov_separ_signers/Tyler_3103.mov" TargetMode="External"/><Relationship Id="rId25585" Type="http://schemas.openxmlformats.org/officeDocument/2006/relationships/hyperlink" Target="http://csr.bu.edu/ftp/asl/asllvd/demos/verify_start_end_handshape_annotations//test_auto_move//signs_mov_separ_signers/Naomi_3103.mov" TargetMode="External"/><Relationship Id="rId25586" Type="http://schemas.openxmlformats.org/officeDocument/2006/relationships/hyperlink" Target="http://secrets.rutgers.edu:8080/data/asl-ftp/asllvd/demos/verify_start_end_handshape_annotations//test_auto_move//signs_mov_separ_signers/Naomi_3103.mov" TargetMode="External"/><Relationship Id="rId25587" Type="http://schemas.openxmlformats.org/officeDocument/2006/relationships/hyperlink" Target="http://csr.bu.edu/ftp/asl/asllvd/demos/verify_start_end_handshape_annotations//test_auto_move//signs_mov_separ_signers/Brady_3103.mov" TargetMode="External"/><Relationship Id="rId25588" Type="http://schemas.openxmlformats.org/officeDocument/2006/relationships/hyperlink" Target="http://secrets.rutgers.edu:8080/data/asl-ftp/asllvd/demos/verify_start_end_handshape_annotations//test_auto_move//signs_mov_separ_signers/Brady_3103.mov" TargetMode="External"/><Relationship Id="rId25589" Type="http://schemas.openxmlformats.org/officeDocument/2006/relationships/hyperlink" Target="http://csr.bu.edu/ftp/asl/asllvd/demos/verify_start_end_handshape_annotations//test_auto_move//signs_mov/3106.mov" TargetMode="External"/><Relationship Id="rId25590" Type="http://schemas.openxmlformats.org/officeDocument/2006/relationships/hyperlink" Target="http://csr.bu.edu/ftp/asl/asllvd/demos/verify_start_end_handshape_annotations//test_auto_move//signs_mov_separ_signers/Tyler_3106.mov" TargetMode="External"/><Relationship Id="rId25591" Type="http://schemas.openxmlformats.org/officeDocument/2006/relationships/hyperlink" Target="http://secrets.rutgers.edu:8080/data/asl-ftp/asllvd/demos/verify_start_end_handshape_annotations//test_auto_move//signs_mov/3106.mov" TargetMode="External"/><Relationship Id="rId25592" Type="http://schemas.openxmlformats.org/officeDocument/2006/relationships/hyperlink" Target="http://secrets.rutgers.edu:8080/data/asl-ftp/asllvd/demos/verify_start_end_handshape_annotations//test_auto_move//signs_mov_separ_signers/Tyler_3106.mov" TargetMode="External"/><Relationship Id="rId25593" Type="http://schemas.openxmlformats.org/officeDocument/2006/relationships/hyperlink" Target="http://csr.bu.edu/ftp/asl/asllvd/demos/verify_start_end_handshape_annotations//test_auto_move//signs_mov_separ_signers/Liz_3107.mov" TargetMode="External"/><Relationship Id="rId25594" Type="http://schemas.openxmlformats.org/officeDocument/2006/relationships/hyperlink" Target="http://secrets.rutgers.edu:8080/data/asl-ftp/asllvd/demos/verify_start_end_handshape_annotations//test_auto_move//signs_mov_separ_signers/Liz_3107.mov" TargetMode="External"/><Relationship Id="rId25595" Type="http://schemas.openxmlformats.org/officeDocument/2006/relationships/hyperlink" Target="http://csr.bu.edu/ftp/asl/asllvd/demos/verify_start_end_handshape_annotations//test_auto_move//signs_mov/3107_5679_merged.mov" TargetMode="External"/><Relationship Id="rId25596" Type="http://schemas.openxmlformats.org/officeDocument/2006/relationships/hyperlink" Target="http://csr.bu.edu/ftp/asl/asllvd/demos/verify_start_end_handshape_annotations//test_auto_move//signs_mov_separ_signers/Liz_5679.mov" TargetMode="External"/><Relationship Id="rId25597" Type="http://schemas.openxmlformats.org/officeDocument/2006/relationships/hyperlink" Target="http://secrets.rutgers.edu:8080/data/asl-ftp/asllvd/demos/verify_start_end_handshape_annotations//test_auto_move//signs_mov/3107_5679_merged.mov" TargetMode="External"/><Relationship Id="rId25598" Type="http://schemas.openxmlformats.org/officeDocument/2006/relationships/hyperlink" Target="http://secrets.rutgers.edu:8080/data/asl-ftp/asllvd/demos/verify_start_end_handshape_annotations//test_auto_move//signs_mov_separ_signers/Liz_5679.mov" TargetMode="External"/><Relationship Id="rId25599" Type="http://schemas.openxmlformats.org/officeDocument/2006/relationships/hyperlink" Target="http://csr.bu.edu/ftp/asl/asllvd/demos/verify_start_end_handshape_annotations//test_auto_move//signs_mov_separ_signers/Naomi_3107.mov" TargetMode="External"/><Relationship Id="rId25600" Type="http://schemas.openxmlformats.org/officeDocument/2006/relationships/hyperlink" Target="http://secrets.rutgers.edu:8080/data/asl-ftp/asllvd/demos/verify_start_end_handshape_annotations//test_auto_move//signs_mov_separ_signers/Naomi_3107.mov" TargetMode="External"/><Relationship Id="rId25601" Type="http://schemas.openxmlformats.org/officeDocument/2006/relationships/hyperlink" Target="http://csr.bu.edu/ftp/asl/asllvd/demos/verify_start_end_handshape_annotations//test_auto_move//signs_mov_separ_signers/Brady_3107.mov" TargetMode="External"/><Relationship Id="rId25602" Type="http://schemas.openxmlformats.org/officeDocument/2006/relationships/hyperlink" Target="http://secrets.rutgers.edu:8080/data/asl-ftp/asllvd/demos/verify_start_end_handshape_annotations//test_auto_move//signs_mov_separ_signers/Brady_3107.mov" TargetMode="External"/><Relationship Id="rId25603" Type="http://schemas.openxmlformats.org/officeDocument/2006/relationships/hyperlink" Target="http://csr.bu.edu/ftp/asl/asllvd/demos/verify_start_end_handshape_annotations//test_auto_move//signs_mov/3115.mov" TargetMode="External"/><Relationship Id="rId25604" Type="http://schemas.openxmlformats.org/officeDocument/2006/relationships/hyperlink" Target="http://csr.bu.edu/ftp/asl/asllvd/demos/verify_start_end_handshape_annotations//test_auto_move//signs_mov_separ_signers/Liz_3115.mov" TargetMode="External"/><Relationship Id="rId25605" Type="http://schemas.openxmlformats.org/officeDocument/2006/relationships/hyperlink" Target="http://secrets.rutgers.edu:8080/data/asl-ftp/asllvd/demos/verify_start_end_handshape_annotations//test_auto_move//signs_mov/3115.mov" TargetMode="External"/><Relationship Id="rId25606" Type="http://schemas.openxmlformats.org/officeDocument/2006/relationships/hyperlink" Target="http://secrets.rutgers.edu:8080/data/asl-ftp/asllvd/demos/verify_start_end_handshape_annotations//test_auto_move//signs_mov_separ_signers/Liz_3115.mov" TargetMode="External"/><Relationship Id="rId25607" Type="http://schemas.openxmlformats.org/officeDocument/2006/relationships/hyperlink" Target="http://csr.bu.edu/ftp/asl/asllvd/demos/verify_start_end_handshape_annotations//test_auto_move//signs_mov_separ_signers/Brady_3115.mov" TargetMode="External"/><Relationship Id="rId25608" Type="http://schemas.openxmlformats.org/officeDocument/2006/relationships/hyperlink" Target="http://secrets.rutgers.edu:8080/data/asl-ftp/asllvd/demos/verify_start_end_handshape_annotations//test_auto_move//signs_mov_separ_signers/Brady_3115.mov" TargetMode="External"/><Relationship Id="rId25609" Type="http://schemas.openxmlformats.org/officeDocument/2006/relationships/hyperlink" Target="http://csr.bu.edu/ftp/asl/asllvd/demos/verify_start_end_handshape_annotations//test_auto_move//signs_mov/3130.mov" TargetMode="External"/><Relationship Id="rId25610" Type="http://schemas.openxmlformats.org/officeDocument/2006/relationships/hyperlink" Target="http://csr.bu.edu/ftp/asl/asllvd/demos/verify_start_end_handshape_annotations//test_auto_move//signs_mov_separ_signers/Liz_3130.mov" TargetMode="External"/><Relationship Id="rId25611" Type="http://schemas.openxmlformats.org/officeDocument/2006/relationships/hyperlink" Target="http://secrets.rutgers.edu:8080/data/asl-ftp/asllvd/demos/verify_start_end_handshape_annotations//test_auto_move//signs_mov/3130.mov" TargetMode="External"/><Relationship Id="rId25612" Type="http://schemas.openxmlformats.org/officeDocument/2006/relationships/hyperlink" Target="http://secrets.rutgers.edu:8080/data/asl-ftp/asllvd/demos/verify_start_end_handshape_annotations//test_auto_move//signs_mov_separ_signers/Liz_3130.mov" TargetMode="External"/><Relationship Id="rId25613" Type="http://schemas.openxmlformats.org/officeDocument/2006/relationships/hyperlink" Target="http://csr.bu.edu/ftp/asl/asllvd/demos/verify_start_end_handshape_annotations//test_auto_move//signs_mov/3193.mov" TargetMode="External"/><Relationship Id="rId25614" Type="http://schemas.openxmlformats.org/officeDocument/2006/relationships/hyperlink" Target="http://csr.bu.edu/ftp/asl/asllvd/demos/verify_start_end_handshape_annotations//test_auto_move//signs_mov_separ_signers/Naomi_3193.mov" TargetMode="External"/><Relationship Id="rId25615" Type="http://schemas.openxmlformats.org/officeDocument/2006/relationships/hyperlink" Target="http://secrets.rutgers.edu:8080/data/asl-ftp/asllvd/demos/verify_start_end_handshape_annotations//test_auto_move//signs_mov/3193.mov" TargetMode="External"/><Relationship Id="rId25616" Type="http://schemas.openxmlformats.org/officeDocument/2006/relationships/hyperlink" Target="http://secrets.rutgers.edu:8080/data/asl-ftp/asllvd/demos/verify_start_end_handshape_annotations//test_auto_move//signs_mov_separ_signers/Naomi_3193.mov" TargetMode="External"/><Relationship Id="rId25617" Type="http://schemas.openxmlformats.org/officeDocument/2006/relationships/hyperlink" Target="http://csr.bu.edu/ftp/asl/asllvd/demos/verify_start_end_handshape_annotations//test_auto_move//signs_mov/3211.mov" TargetMode="External"/><Relationship Id="rId25618" Type="http://schemas.openxmlformats.org/officeDocument/2006/relationships/hyperlink" Target="http://csr.bu.edu/ftp/asl/asllvd/demos/verify_start_end_handshape_annotations//test_auto_move//signs_mov_separ_signers/Liz_3211.mov" TargetMode="External"/><Relationship Id="rId25619" Type="http://schemas.openxmlformats.org/officeDocument/2006/relationships/hyperlink" Target="http://secrets.rutgers.edu:8080/data/asl-ftp/asllvd/demos/verify_start_end_handshape_annotations//test_auto_move//signs_mov/3211.mov" TargetMode="External"/><Relationship Id="rId25620" Type="http://schemas.openxmlformats.org/officeDocument/2006/relationships/hyperlink" Target="http://secrets.rutgers.edu:8080/data/asl-ftp/asllvd/demos/verify_start_end_handshape_annotations//test_auto_move//signs_mov_separ_signers/Liz_3211.mov" TargetMode="External"/><Relationship Id="rId25621" Type="http://schemas.openxmlformats.org/officeDocument/2006/relationships/hyperlink" Target="http://csr.bu.edu/ftp/asl/asllvd/demos/verify_start_end_handshape_annotations//test_auto_move//signs_mov/3225_3539_merged.mov" TargetMode="External"/><Relationship Id="rId25622" Type="http://schemas.openxmlformats.org/officeDocument/2006/relationships/hyperlink" Target="http://csr.bu.edu/ftp/asl/asllvd/demos/verify_start_end_handshape_annotations//test_auto_move//signs_mov_separ_signers/Liz_3225.mov" TargetMode="External"/><Relationship Id="rId25623" Type="http://schemas.openxmlformats.org/officeDocument/2006/relationships/hyperlink" Target="http://secrets.rutgers.edu:8080/data/asl-ftp/asllvd/demos/verify_start_end_handshape_annotations//test_auto_move//signs_mov/3225_3539_merged.mov" TargetMode="External"/><Relationship Id="rId25624" Type="http://schemas.openxmlformats.org/officeDocument/2006/relationships/hyperlink" Target="http://secrets.rutgers.edu:8080/data/asl-ftp/asllvd/demos/verify_start_end_handshape_annotations//test_auto_move//signs_mov_separ_signers/Liz_3225.mov" TargetMode="External"/><Relationship Id="rId25625" Type="http://schemas.openxmlformats.org/officeDocument/2006/relationships/hyperlink" Target="http://csr.bu.edu/ftp/asl/asllvd/demos/verify_start_end_handshape_annotations//test_auto_move//signs_mov_separ_signers/Liz_3539.mov" TargetMode="External"/><Relationship Id="rId25626" Type="http://schemas.openxmlformats.org/officeDocument/2006/relationships/hyperlink" Target="http://secrets.rutgers.edu:8080/data/asl-ftp/asllvd/demos/verify_start_end_handshape_annotations//test_auto_move//signs_mov_separ_signers/Liz_3539.mov" TargetMode="External"/><Relationship Id="rId25627" Type="http://schemas.openxmlformats.org/officeDocument/2006/relationships/hyperlink" Target="http://csr.bu.edu/ftp/asl/asllvd/demos/verify_start_end_handshape_annotations//test_auto_move//signs_mov/4008.mov" TargetMode="External"/><Relationship Id="rId25628" Type="http://schemas.openxmlformats.org/officeDocument/2006/relationships/hyperlink" Target="http://csr.bu.edu/ftp/asl/asllvd/demos/verify_start_end_handshape_annotations//test_auto_move//signs_mov_separ_signers/Liz_4008.mov" TargetMode="External"/><Relationship Id="rId25629" Type="http://schemas.openxmlformats.org/officeDocument/2006/relationships/hyperlink" Target="http://secrets.rutgers.edu:8080/data/asl-ftp/asllvd/demos/verify_start_end_handshape_annotations//test_auto_move//signs_mov/4008.mov" TargetMode="External"/><Relationship Id="rId25630" Type="http://schemas.openxmlformats.org/officeDocument/2006/relationships/hyperlink" Target="http://secrets.rutgers.edu:8080/data/asl-ftp/asllvd/demos/verify_start_end_handshape_annotations//test_auto_move//signs_mov_separ_signers/Liz_4008.mov" TargetMode="External"/><Relationship Id="rId25631" Type="http://schemas.openxmlformats.org/officeDocument/2006/relationships/hyperlink" Target="http://csr.bu.edu/ftp/asl/asllvd/demos/verify_start_end_handshape_annotations//test_auto_move//signs_mov/4014.mov" TargetMode="External"/><Relationship Id="rId25632" Type="http://schemas.openxmlformats.org/officeDocument/2006/relationships/hyperlink" Target="http://csr.bu.edu/ftp/asl/asllvd/demos/verify_start_end_handshape_annotations//test_auto_move//signs_mov_separ_signers/Liz_4014.mov" TargetMode="External"/><Relationship Id="rId25633" Type="http://schemas.openxmlformats.org/officeDocument/2006/relationships/hyperlink" Target="http://secrets.rutgers.edu:8080/data/asl-ftp/asllvd/demos/verify_start_end_handshape_annotations//test_auto_move//signs_mov/4014.mov" TargetMode="External"/><Relationship Id="rId25634" Type="http://schemas.openxmlformats.org/officeDocument/2006/relationships/hyperlink" Target="http://secrets.rutgers.edu:8080/data/asl-ftp/asllvd/demos/verify_start_end_handshape_annotations//test_auto_move//signs_mov_separ_signers/Liz_4014.mov" TargetMode="External"/><Relationship Id="rId25635" Type="http://schemas.openxmlformats.org/officeDocument/2006/relationships/hyperlink" Target="http://csr.bu.edu/ftp/asl/asllvd/demos/verify_start_end_handshape_annotations//test_auto_move//signs_mov/3869_4027_merged.mov" TargetMode="External"/><Relationship Id="rId25636" Type="http://schemas.openxmlformats.org/officeDocument/2006/relationships/hyperlink" Target="http://csr.bu.edu/ftp/asl/asllvd/demos/verify_start_end_handshape_annotations//test_auto_move//signs_mov_separ_signers/Liz_4027.mov" TargetMode="External"/><Relationship Id="rId25637" Type="http://schemas.openxmlformats.org/officeDocument/2006/relationships/hyperlink" Target="http://secrets.rutgers.edu:8080/data/asl-ftp/asllvd/demos/verify_start_end_handshape_annotations//test_auto_move//signs_mov/3869_4027_merged.mov" TargetMode="External"/><Relationship Id="rId25638" Type="http://schemas.openxmlformats.org/officeDocument/2006/relationships/hyperlink" Target="http://secrets.rutgers.edu:8080/data/asl-ftp/asllvd/demos/verify_start_end_handshape_annotations//test_auto_move//signs_mov_separ_signers/Liz_4027.mov" TargetMode="External"/><Relationship Id="rId25639" Type="http://schemas.openxmlformats.org/officeDocument/2006/relationships/hyperlink" Target="http://csr.bu.edu/ftp/asl/asllvd/demos/verify_start_end_handshape_annotations//test_auto_move//signs_mov_separ_signers/Liz_3869.mov" TargetMode="External"/><Relationship Id="rId25640" Type="http://schemas.openxmlformats.org/officeDocument/2006/relationships/hyperlink" Target="http://secrets.rutgers.edu:8080/data/asl-ftp/asllvd/demos/verify_start_end_handshape_annotations//test_auto_move//signs_mov_separ_signers/Liz_3869.mov" TargetMode="External"/><Relationship Id="rId25641" Type="http://schemas.openxmlformats.org/officeDocument/2006/relationships/hyperlink" Target="http://csr.bu.edu/ftp/asl/asllvd/demos/verify_start_end_handshape_annotations//test_auto_move//signs_mov/16154.mov" TargetMode="External"/><Relationship Id="rId25642" Type="http://schemas.openxmlformats.org/officeDocument/2006/relationships/hyperlink" Target="http://csr.bu.edu/ftp/asl/asllvd/demos/verify_start_end_handshape_annotations//test_auto_move//signs_mov_separ_signers/Brady_16154.mov" TargetMode="External"/><Relationship Id="rId25643" Type="http://schemas.openxmlformats.org/officeDocument/2006/relationships/hyperlink" Target="http://secrets.rutgers.edu:8080/data/asl-ftp/asllvd/demos/verify_start_end_handshape_annotations//test_auto_move//signs_mov/16154.mov" TargetMode="External"/><Relationship Id="rId25644" Type="http://schemas.openxmlformats.org/officeDocument/2006/relationships/hyperlink" Target="http://secrets.rutgers.edu:8080/data/asl-ftp/asllvd/demos/verify_start_end_handshape_annotations//test_auto_move//signs_mov_separ_signers/Brady_16154.mov" TargetMode="External"/><Relationship Id="rId25645" Type="http://schemas.openxmlformats.org/officeDocument/2006/relationships/hyperlink" Target="http://csr.bu.edu/ftp/asl/asllvd/demos/verify_start_end_handshape_annotations//test_auto_move//signs_mov/4068.mov" TargetMode="External"/><Relationship Id="rId25646" Type="http://schemas.openxmlformats.org/officeDocument/2006/relationships/hyperlink" Target="http://csr.bu.edu/ftp/asl/asllvd/demos/verify_start_end_handshape_annotations//test_auto_move//signs_mov_separ_signers/Liz_4068.mov" TargetMode="External"/><Relationship Id="rId25647" Type="http://schemas.openxmlformats.org/officeDocument/2006/relationships/hyperlink" Target="http://secrets.rutgers.edu:8080/data/asl-ftp/asllvd/demos/verify_start_end_handshape_annotations//test_auto_move//signs_mov/4068.mov" TargetMode="External"/><Relationship Id="rId25648" Type="http://schemas.openxmlformats.org/officeDocument/2006/relationships/hyperlink" Target="http://secrets.rutgers.edu:8080/data/asl-ftp/asllvd/demos/verify_start_end_handshape_annotations//test_auto_move//signs_mov_separ_signers/Liz_4068.mov" TargetMode="External"/><Relationship Id="rId25649" Type="http://schemas.openxmlformats.org/officeDocument/2006/relationships/hyperlink" Target="http://csr.bu.edu/ftp/asl/asllvd/demos/verify_start_end_handshape_annotations//test_auto_move//signs_mov_separ_signers/Brady_4068.mov" TargetMode="External"/><Relationship Id="rId25650" Type="http://schemas.openxmlformats.org/officeDocument/2006/relationships/hyperlink" Target="http://secrets.rutgers.edu:8080/data/asl-ftp/asllvd/demos/verify_start_end_handshape_annotations//test_auto_move//signs_mov_separ_signers/Brady_4068.mov" TargetMode="External"/><Relationship Id="rId25651" Type="http://schemas.openxmlformats.org/officeDocument/2006/relationships/hyperlink" Target="http://csr.bu.edu/ftp/asl/asllvd/demos/verify_start_end_handshape_annotations//test_auto_move//signs_mov/4097.mov" TargetMode="External"/><Relationship Id="rId25652" Type="http://schemas.openxmlformats.org/officeDocument/2006/relationships/hyperlink" Target="http://csr.bu.edu/ftp/asl/asllvd/demos/verify_start_end_handshape_annotations//test_auto_move//signs_mov_separ_signers/Liz_4097.mov" TargetMode="External"/><Relationship Id="rId25653" Type="http://schemas.openxmlformats.org/officeDocument/2006/relationships/hyperlink" Target="http://secrets.rutgers.edu:8080/data/asl-ftp/asllvd/demos/verify_start_end_handshape_annotations//test_auto_move//signs_mov/4097.mov" TargetMode="External"/><Relationship Id="rId25654" Type="http://schemas.openxmlformats.org/officeDocument/2006/relationships/hyperlink" Target="http://secrets.rutgers.edu:8080/data/asl-ftp/asllvd/demos/verify_start_end_handshape_annotations//test_auto_move//signs_mov_separ_signers/Liz_4097.mov" TargetMode="External"/><Relationship Id="rId25655" Type="http://schemas.openxmlformats.org/officeDocument/2006/relationships/hyperlink" Target="http://csr.bu.edu/ftp/asl/asllvd/demos/verify_start_end_handshape_annotations//test_auto_move//signs_mov_separ_signers/Brady_4097.mov" TargetMode="External"/><Relationship Id="rId25656" Type="http://schemas.openxmlformats.org/officeDocument/2006/relationships/hyperlink" Target="http://secrets.rutgers.edu:8080/data/asl-ftp/asllvd/demos/verify_start_end_handshape_annotations//test_auto_move//signs_mov_separ_signers/Brady_4097.mov" TargetMode="External"/><Relationship Id="rId25657" Type="http://schemas.openxmlformats.org/officeDocument/2006/relationships/hyperlink" Target="http://csr.bu.edu/ftp/asl/asllvd/demos/verify_start_end_handshape_annotations//test_auto_move//signs_mov/4108.mov" TargetMode="External"/><Relationship Id="rId25658" Type="http://schemas.openxmlformats.org/officeDocument/2006/relationships/hyperlink" Target="http://csr.bu.edu/ftp/asl/asllvd/demos/verify_start_end_handshape_annotations//test_auto_move//signs_mov_separ_signers/Liz_4108.mov" TargetMode="External"/><Relationship Id="rId25659" Type="http://schemas.openxmlformats.org/officeDocument/2006/relationships/hyperlink" Target="http://secrets.rutgers.edu:8080/data/asl-ftp/asllvd/demos/verify_start_end_handshape_annotations//test_auto_move//signs_mov/4108.mov" TargetMode="External"/><Relationship Id="rId25660" Type="http://schemas.openxmlformats.org/officeDocument/2006/relationships/hyperlink" Target="http://secrets.rutgers.edu:8080/data/asl-ftp/asllvd/demos/verify_start_end_handshape_annotations//test_auto_move//signs_mov_separ_signers/Liz_4108.mov" TargetMode="External"/><Relationship Id="rId25661" Type="http://schemas.openxmlformats.org/officeDocument/2006/relationships/hyperlink" Target="http://csr.bu.edu/ftp/asl/asllvd/demos/verify_start_end_handshape_annotations//test_auto_move//signs_mov/4110.mov" TargetMode="External"/><Relationship Id="rId25662" Type="http://schemas.openxmlformats.org/officeDocument/2006/relationships/hyperlink" Target="http://csr.bu.edu/ftp/asl/asllvd/demos/verify_start_end_handshape_annotations//test_auto_move//signs_mov_separ_signers/Brady_4110.mov" TargetMode="External"/><Relationship Id="rId25663" Type="http://schemas.openxmlformats.org/officeDocument/2006/relationships/hyperlink" Target="http://secrets.rutgers.edu:8080/data/asl-ftp/asllvd/demos/verify_start_end_handshape_annotations//test_auto_move//signs_mov/4110.mov" TargetMode="External"/><Relationship Id="rId25664" Type="http://schemas.openxmlformats.org/officeDocument/2006/relationships/hyperlink" Target="http://secrets.rutgers.edu:8080/data/asl-ftp/asllvd/demos/verify_start_end_handshape_annotations//test_auto_move//signs_mov_separ_signers/Brady_4110.mov" TargetMode="External"/><Relationship Id="rId25665" Type="http://schemas.openxmlformats.org/officeDocument/2006/relationships/hyperlink" Target="http://csr.bu.edu/ftp/asl/asllvd/demos/verify_start_end_handshape_annotations//test_auto_move//signs_mov/15111.mov" TargetMode="External"/><Relationship Id="rId25666" Type="http://schemas.openxmlformats.org/officeDocument/2006/relationships/hyperlink" Target="http://csr.bu.edu/ftp/asl/asllvd/demos/verify_start_end_handshape_annotations//test_auto_move//signs_mov_separ_signers/Liz_15111.mov" TargetMode="External"/><Relationship Id="rId25667" Type="http://schemas.openxmlformats.org/officeDocument/2006/relationships/hyperlink" Target="http://secrets.rutgers.edu:8080/data/asl-ftp/asllvd/demos/verify_start_end_handshape_annotations//test_auto_move//signs_mov/15111.mov" TargetMode="External"/><Relationship Id="rId25668" Type="http://schemas.openxmlformats.org/officeDocument/2006/relationships/hyperlink" Target="http://secrets.rutgers.edu:8080/data/asl-ftp/asllvd/demos/verify_start_end_handshape_annotations//test_auto_move//signs_mov_separ_signers/Liz_15111.mov" TargetMode="External"/><Relationship Id="rId25669" Type="http://schemas.openxmlformats.org/officeDocument/2006/relationships/hyperlink" Target="http://csr.bu.edu/ftp/asl/asllvd/demos/verify_start_end_handshape_annotations//test_auto_move//signs_mov/4127.mov" TargetMode="External"/><Relationship Id="rId25670" Type="http://schemas.openxmlformats.org/officeDocument/2006/relationships/hyperlink" Target="http://csr.bu.edu/ftp/asl/asllvd/demos/verify_start_end_handshape_annotations//test_auto_move//signs_mov_separ_signers/Liz_4127.mov" TargetMode="External"/><Relationship Id="rId25671" Type="http://schemas.openxmlformats.org/officeDocument/2006/relationships/hyperlink" Target="http://secrets.rutgers.edu:8080/data/asl-ftp/asllvd/demos/verify_start_end_handshape_annotations//test_auto_move//signs_mov/4127.mov" TargetMode="External"/><Relationship Id="rId25672" Type="http://schemas.openxmlformats.org/officeDocument/2006/relationships/hyperlink" Target="http://secrets.rutgers.edu:8080/data/asl-ftp/asllvd/demos/verify_start_end_handshape_annotations//test_auto_move//signs_mov_separ_signers/Liz_4127.mov" TargetMode="External"/><Relationship Id="rId25673" Type="http://schemas.openxmlformats.org/officeDocument/2006/relationships/hyperlink" Target="http://csr.bu.edu/ftp/asl/asllvd/demos/verify_start_end_handshape_annotations//test_auto_move//signs_mov_separ_signers/Brady_4127.mov" TargetMode="External"/><Relationship Id="rId25674" Type="http://schemas.openxmlformats.org/officeDocument/2006/relationships/hyperlink" Target="http://secrets.rutgers.edu:8080/data/asl-ftp/asllvd/demos/verify_start_end_handshape_annotations//test_auto_move//signs_mov_separ_signers/Brady_4127.mov" TargetMode="External"/><Relationship Id="rId25675" Type="http://schemas.openxmlformats.org/officeDocument/2006/relationships/hyperlink" Target="http://csr.bu.edu/ftp/asl/asllvd/demos/verify_start_end_handshape_annotations//test_auto_move//signs_mov/4128.mov" TargetMode="External"/><Relationship Id="rId25676" Type="http://schemas.openxmlformats.org/officeDocument/2006/relationships/hyperlink" Target="http://csr.bu.edu/ftp/asl/asllvd/demos/verify_start_end_handshape_annotations//test_auto_move//signs_mov_separ_signers/Liz_4128.mov" TargetMode="External"/><Relationship Id="rId25677" Type="http://schemas.openxmlformats.org/officeDocument/2006/relationships/hyperlink" Target="http://secrets.rutgers.edu:8080/data/asl-ftp/asllvd/demos/verify_start_end_handshape_annotations//test_auto_move//signs_mov/4128.mov" TargetMode="External"/><Relationship Id="rId25678" Type="http://schemas.openxmlformats.org/officeDocument/2006/relationships/hyperlink" Target="http://secrets.rutgers.edu:8080/data/asl-ftp/asllvd/demos/verify_start_end_handshape_annotations//test_auto_move//signs_mov_separ_signers/Liz_4128.mov" TargetMode="External"/><Relationship Id="rId25679" Type="http://schemas.openxmlformats.org/officeDocument/2006/relationships/hyperlink" Target="http://csr.bu.edu/ftp/asl/asllvd/demos/verify_start_end_handshape_annotations//test_auto_move//signs_mov_separ_signers/Brady_4128.mov" TargetMode="External"/><Relationship Id="rId25680" Type="http://schemas.openxmlformats.org/officeDocument/2006/relationships/hyperlink" Target="http://secrets.rutgers.edu:8080/data/asl-ftp/asllvd/demos/verify_start_end_handshape_annotations//test_auto_move//signs_mov_separ_signers/Brady_4128.mov" TargetMode="External"/><Relationship Id="rId25681" Type="http://schemas.openxmlformats.org/officeDocument/2006/relationships/hyperlink" Target="http://csr.bu.edu/ftp/asl/asllvd/demos/verify_start_end_handshape_annotations//test_auto_move//signs_mov/4130.mov" TargetMode="External"/><Relationship Id="rId25682" Type="http://schemas.openxmlformats.org/officeDocument/2006/relationships/hyperlink" Target="http://csr.bu.edu/ftp/asl/asllvd/demos/verify_start_end_handshape_annotations//test_auto_move//signs_mov_separ_signers/Liz_4130.mov" TargetMode="External"/><Relationship Id="rId25683" Type="http://schemas.openxmlformats.org/officeDocument/2006/relationships/hyperlink" Target="http://secrets.rutgers.edu:8080/data/asl-ftp/asllvd/demos/verify_start_end_handshape_annotations//test_auto_move//signs_mov/4130.mov" TargetMode="External"/><Relationship Id="rId25684" Type="http://schemas.openxmlformats.org/officeDocument/2006/relationships/hyperlink" Target="http://secrets.rutgers.edu:8080/data/asl-ftp/asllvd/demos/verify_start_end_handshape_annotations//test_auto_move//signs_mov_separ_signers/Liz_4130.mov" TargetMode="External"/><Relationship Id="rId25685" Type="http://schemas.openxmlformats.org/officeDocument/2006/relationships/hyperlink" Target="http://csr.bu.edu/ftp/asl/asllvd/demos/verify_start_end_handshape_annotations//test_auto_move//signs_mov_separ_signers/Brady_4130.mov" TargetMode="External"/><Relationship Id="rId25686" Type="http://schemas.openxmlformats.org/officeDocument/2006/relationships/hyperlink" Target="http://secrets.rutgers.edu:8080/data/asl-ftp/asllvd/demos/verify_start_end_handshape_annotations//test_auto_move//signs_mov_separ_signers/Brady_4130.mov" TargetMode="External"/><Relationship Id="rId25687" Type="http://schemas.openxmlformats.org/officeDocument/2006/relationships/hyperlink" Target="http://csr.bu.edu/ftp/asl/asllvd/demos/verify_start_end_handshape_annotations//test_auto_move//signs_mov/4137.mov" TargetMode="External"/><Relationship Id="rId25688" Type="http://schemas.openxmlformats.org/officeDocument/2006/relationships/hyperlink" Target="http://csr.bu.edu/ftp/asl/asllvd/demos/verify_start_end_handshape_annotations//test_auto_move//signs_mov_separ_signers/Liz_4137.mov" TargetMode="External"/><Relationship Id="rId25689" Type="http://schemas.openxmlformats.org/officeDocument/2006/relationships/hyperlink" Target="http://secrets.rutgers.edu:8080/data/asl-ftp/asllvd/demos/verify_start_end_handshape_annotations//test_auto_move//signs_mov/4137.mov" TargetMode="External"/><Relationship Id="rId25690" Type="http://schemas.openxmlformats.org/officeDocument/2006/relationships/hyperlink" Target="http://secrets.rutgers.edu:8080/data/asl-ftp/asllvd/demos/verify_start_end_handshape_annotations//test_auto_move//signs_mov_separ_signers/Liz_4137.mov" TargetMode="External"/><Relationship Id="rId25691" Type="http://schemas.openxmlformats.org/officeDocument/2006/relationships/hyperlink" Target="http://csr.bu.edu/ftp/asl/asllvd/demos/verify_start_end_handshape_annotations//test_auto_move//signs_mov_separ_signers/Brady_4137.mov" TargetMode="External"/><Relationship Id="rId25692" Type="http://schemas.openxmlformats.org/officeDocument/2006/relationships/hyperlink" Target="http://secrets.rutgers.edu:8080/data/asl-ftp/asllvd/demos/verify_start_end_handshape_annotations//test_auto_move//signs_mov_separ_signers/Brady_4137.mov" TargetMode="External"/><Relationship Id="rId25693" Type="http://schemas.openxmlformats.org/officeDocument/2006/relationships/hyperlink" Target="http://csr.bu.edu/ftp/asl/asllvd/demos/verify_start_end_handshape_annotations//test_auto_move//signs_mov/4148.mov" TargetMode="External"/><Relationship Id="rId25694" Type="http://schemas.openxmlformats.org/officeDocument/2006/relationships/hyperlink" Target="http://csr.bu.edu/ftp/asl/asllvd/demos/verify_start_end_handshape_annotations//test_auto_move//signs_mov_separ_signers/Liz_4148.mov" TargetMode="External"/><Relationship Id="rId25695" Type="http://schemas.openxmlformats.org/officeDocument/2006/relationships/hyperlink" Target="http://secrets.rutgers.edu:8080/data/asl-ftp/asllvd/demos/verify_start_end_handshape_annotations//test_auto_move//signs_mov/4148.mov" TargetMode="External"/><Relationship Id="rId25696" Type="http://schemas.openxmlformats.org/officeDocument/2006/relationships/hyperlink" Target="http://secrets.rutgers.edu:8080/data/asl-ftp/asllvd/demos/verify_start_end_handshape_annotations//test_auto_move//signs_mov_separ_signers/Liz_4148.mov" TargetMode="External"/><Relationship Id="rId25697" Type="http://schemas.openxmlformats.org/officeDocument/2006/relationships/hyperlink" Target="http://csr.bu.edu/ftp/asl/asllvd/demos/verify_start_end_handshape_annotations//test_auto_move//signs_mov/4169.mov" TargetMode="External"/><Relationship Id="rId25698" Type="http://schemas.openxmlformats.org/officeDocument/2006/relationships/hyperlink" Target="http://csr.bu.edu/ftp/asl/asllvd/demos/verify_start_end_handshape_annotations//test_auto_move//signs_mov_separ_signers/Liz_4169.mov" TargetMode="External"/><Relationship Id="rId25699" Type="http://schemas.openxmlformats.org/officeDocument/2006/relationships/hyperlink" Target="http://secrets.rutgers.edu:8080/data/asl-ftp/asllvd/demos/verify_start_end_handshape_annotations//test_auto_move//signs_mov/4169.mov" TargetMode="External"/><Relationship Id="rId25700" Type="http://schemas.openxmlformats.org/officeDocument/2006/relationships/hyperlink" Target="http://secrets.rutgers.edu:8080/data/asl-ftp/asllvd/demos/verify_start_end_handshape_annotations//test_auto_move//signs_mov_separ_signers/Liz_4169.mov" TargetMode="External"/><Relationship Id="rId25701" Type="http://schemas.openxmlformats.org/officeDocument/2006/relationships/hyperlink" Target="http://csr.bu.edu/ftp/asl/asllvd/demos/verify_start_end_handshape_annotations//test_auto_move//signs_mov_separ_signers/Brady_4169.mov" TargetMode="External"/><Relationship Id="rId25702" Type="http://schemas.openxmlformats.org/officeDocument/2006/relationships/hyperlink" Target="http://secrets.rutgers.edu:8080/data/asl-ftp/asllvd/demos/verify_start_end_handshape_annotations//test_auto_move//signs_mov_separ_signers/Brady_4169.mov" TargetMode="External"/><Relationship Id="rId25703" Type="http://schemas.openxmlformats.org/officeDocument/2006/relationships/hyperlink" Target="http://csr.bu.edu/ftp/asl/asllvd/demos/verify_start_end_handshape_annotations//test_auto_move//signs_mov/4170.mov" TargetMode="External"/><Relationship Id="rId25704" Type="http://schemas.openxmlformats.org/officeDocument/2006/relationships/hyperlink" Target="http://csr.bu.edu/ftp/asl/asllvd/demos/verify_start_end_handshape_annotations//test_auto_move//signs_mov_separ_signers/Brady_4170.mov" TargetMode="External"/><Relationship Id="rId25705" Type="http://schemas.openxmlformats.org/officeDocument/2006/relationships/hyperlink" Target="http://secrets.rutgers.edu:8080/data/asl-ftp/asllvd/demos/verify_start_end_handshape_annotations//test_auto_move//signs_mov/4170.mov" TargetMode="External"/><Relationship Id="rId25706" Type="http://schemas.openxmlformats.org/officeDocument/2006/relationships/hyperlink" Target="http://secrets.rutgers.edu:8080/data/asl-ftp/asllvd/demos/verify_start_end_handshape_annotations//test_auto_move//signs_mov_separ_signers/Brady_4170.mov" TargetMode="External"/><Relationship Id="rId25707" Type="http://schemas.openxmlformats.org/officeDocument/2006/relationships/hyperlink" Target="http://csr.bu.edu/ftp/asl/asllvd/demos/verify_start_end_handshape_annotations//test_auto_move//signs_mov/16352.mov" TargetMode="External"/><Relationship Id="rId25708" Type="http://schemas.openxmlformats.org/officeDocument/2006/relationships/hyperlink" Target="http://csr.bu.edu/ftp/asl/asllvd/demos/verify_start_end_handshape_annotations//test_auto_move//signs_mov_separ_signers/Liz_16352.mov" TargetMode="External"/><Relationship Id="rId25709" Type="http://schemas.openxmlformats.org/officeDocument/2006/relationships/hyperlink" Target="http://secrets.rutgers.edu:8080/data/asl-ftp/asllvd/demos/verify_start_end_handshape_annotations//test_auto_move//signs_mov/16352.mov" TargetMode="External"/><Relationship Id="rId25710" Type="http://schemas.openxmlformats.org/officeDocument/2006/relationships/hyperlink" Target="http://secrets.rutgers.edu:8080/data/asl-ftp/asllvd/demos/verify_start_end_handshape_annotations//test_auto_move//signs_mov_separ_signers/Liz_16352.mov" TargetMode="External"/><Relationship Id="rId25711" Type="http://schemas.openxmlformats.org/officeDocument/2006/relationships/hyperlink" Target="http://csr.bu.edu/ftp/asl/asllvd/demos/verify_start_end_handshape_annotations//test_auto_move//signs_mov/4171.mov" TargetMode="External"/><Relationship Id="rId25712" Type="http://schemas.openxmlformats.org/officeDocument/2006/relationships/hyperlink" Target="http://csr.bu.edu/ftp/asl/asllvd/demos/verify_start_end_handshape_annotations//test_auto_move//signs_mov_separ_signers/Liz_4171.mov" TargetMode="External"/><Relationship Id="rId25713" Type="http://schemas.openxmlformats.org/officeDocument/2006/relationships/hyperlink" Target="http://secrets.rutgers.edu:8080/data/asl-ftp/asllvd/demos/verify_start_end_handshape_annotations//test_auto_move//signs_mov/4171.mov" TargetMode="External"/><Relationship Id="rId25714" Type="http://schemas.openxmlformats.org/officeDocument/2006/relationships/hyperlink" Target="http://secrets.rutgers.edu:8080/data/asl-ftp/asllvd/demos/verify_start_end_handshape_annotations//test_auto_move//signs_mov_separ_signers/Liz_4171.mov" TargetMode="External"/><Relationship Id="rId25715" Type="http://schemas.openxmlformats.org/officeDocument/2006/relationships/hyperlink" Target="http://csr.bu.edu/ftp/asl/asllvd/demos/verify_start_end_handshape_annotations//test_auto_move//signs_mov_separ_signers/Brady_4171.mov" TargetMode="External"/><Relationship Id="rId25716" Type="http://schemas.openxmlformats.org/officeDocument/2006/relationships/hyperlink" Target="http://secrets.rutgers.edu:8080/data/asl-ftp/asllvd/demos/verify_start_end_handshape_annotations//test_auto_move//signs_mov_separ_signers/Brady_4171.mov" TargetMode="External"/><Relationship Id="rId25717" Type="http://schemas.openxmlformats.org/officeDocument/2006/relationships/hyperlink" Target="http://csr.bu.edu/ftp/asl/asllvd/demos/verify_start_end_handshape_annotations//test_auto_move//signs_mov/4172.mov" TargetMode="External"/><Relationship Id="rId25718" Type="http://schemas.openxmlformats.org/officeDocument/2006/relationships/hyperlink" Target="http://csr.bu.edu/ftp/asl/asllvd/demos/verify_start_end_handshape_annotations//test_auto_move//signs_mov_separ_signers/Liz_4172.mov" TargetMode="External"/><Relationship Id="rId25719" Type="http://schemas.openxmlformats.org/officeDocument/2006/relationships/hyperlink" Target="http://secrets.rutgers.edu:8080/data/asl-ftp/asllvd/demos/verify_start_end_handshape_annotations//test_auto_move//signs_mov/4172.mov" TargetMode="External"/><Relationship Id="rId25720" Type="http://schemas.openxmlformats.org/officeDocument/2006/relationships/hyperlink" Target="http://secrets.rutgers.edu:8080/data/asl-ftp/asllvd/demos/verify_start_end_handshape_annotations//test_auto_move//signs_mov_separ_signers/Liz_4172.mov" TargetMode="External"/><Relationship Id="rId25721" Type="http://schemas.openxmlformats.org/officeDocument/2006/relationships/hyperlink" Target="http://csr.bu.edu/ftp/asl/asllvd/demos/verify_start_end_handshape_annotations//test_auto_move//signs_mov_separ_signers/Brady_4172.mov" TargetMode="External"/><Relationship Id="rId25722" Type="http://schemas.openxmlformats.org/officeDocument/2006/relationships/hyperlink" Target="http://secrets.rutgers.edu:8080/data/asl-ftp/asllvd/demos/verify_start_end_handshape_annotations//test_auto_move//signs_mov_separ_signers/Brady_4172.mov" TargetMode="External"/><Relationship Id="rId25723" Type="http://schemas.openxmlformats.org/officeDocument/2006/relationships/hyperlink" Target="http://csr.bu.edu/ftp/asl/asllvd/demos/verify_start_end_handshape_annotations//test_auto_move//signs_mov/4173.mov" TargetMode="External"/><Relationship Id="rId25724" Type="http://schemas.openxmlformats.org/officeDocument/2006/relationships/hyperlink" Target="http://csr.bu.edu/ftp/asl/asllvd/demos/verify_start_end_handshape_annotations//test_auto_move//signs_mov_separ_signers/Liz_4173.mov" TargetMode="External"/><Relationship Id="rId25725" Type="http://schemas.openxmlformats.org/officeDocument/2006/relationships/hyperlink" Target="http://secrets.rutgers.edu:8080/data/asl-ftp/asllvd/demos/verify_start_end_handshape_annotations//test_auto_move//signs_mov/4173.mov" TargetMode="External"/><Relationship Id="rId25726" Type="http://schemas.openxmlformats.org/officeDocument/2006/relationships/hyperlink" Target="http://secrets.rutgers.edu:8080/data/asl-ftp/asllvd/demos/verify_start_end_handshape_annotations//test_auto_move//signs_mov_separ_signers/Liz_4173.mov" TargetMode="External"/><Relationship Id="rId25727" Type="http://schemas.openxmlformats.org/officeDocument/2006/relationships/hyperlink" Target="http://csr.bu.edu/ftp/asl/asllvd/demos/verify_start_end_handshape_annotations//test_auto_move//signs_mov_separ_signers/Brady_4173.mov" TargetMode="External"/><Relationship Id="rId25728" Type="http://schemas.openxmlformats.org/officeDocument/2006/relationships/hyperlink" Target="http://secrets.rutgers.edu:8080/data/asl-ftp/asllvd/demos/verify_start_end_handshape_annotations//test_auto_move//signs_mov_separ_signers/Brady_4173.mov" TargetMode="External"/><Relationship Id="rId25729" Type="http://schemas.openxmlformats.org/officeDocument/2006/relationships/hyperlink" Target="http://csr.bu.edu/ftp/asl/asllvd/demos/verify_start_end_handshape_annotations//test_auto_move//signs_mov/4176.mov" TargetMode="External"/><Relationship Id="rId25730" Type="http://schemas.openxmlformats.org/officeDocument/2006/relationships/hyperlink" Target="http://csr.bu.edu/ftp/asl/asllvd/demos/verify_start_end_handshape_annotations//test_auto_move//signs_mov_separ_signers/Liz_4176.mov" TargetMode="External"/><Relationship Id="rId25731" Type="http://schemas.openxmlformats.org/officeDocument/2006/relationships/hyperlink" Target="http://secrets.rutgers.edu:8080/data/asl-ftp/asllvd/demos/verify_start_end_handshape_annotations//test_auto_move//signs_mov/4176.mov" TargetMode="External"/><Relationship Id="rId25732" Type="http://schemas.openxmlformats.org/officeDocument/2006/relationships/hyperlink" Target="http://secrets.rutgers.edu:8080/data/asl-ftp/asllvd/demos/verify_start_end_handshape_annotations//test_auto_move//signs_mov_separ_signers/Liz_4176.mov" TargetMode="External"/><Relationship Id="rId25733" Type="http://schemas.openxmlformats.org/officeDocument/2006/relationships/hyperlink" Target="http://csr.bu.edu/ftp/asl/asllvd/demos/verify_start_end_handshape_annotations//test_auto_move//signs_mov/4177.mov" TargetMode="External"/><Relationship Id="rId25734" Type="http://schemas.openxmlformats.org/officeDocument/2006/relationships/hyperlink" Target="http://csr.bu.edu/ftp/asl/asllvd/demos/verify_start_end_handshape_annotations//test_auto_move//signs_mov_separ_signers/Liz_4177.mov" TargetMode="External"/><Relationship Id="rId25735" Type="http://schemas.openxmlformats.org/officeDocument/2006/relationships/hyperlink" Target="http://secrets.rutgers.edu:8080/data/asl-ftp/asllvd/demos/verify_start_end_handshape_annotations//test_auto_move//signs_mov/4177.mov" TargetMode="External"/><Relationship Id="rId25736" Type="http://schemas.openxmlformats.org/officeDocument/2006/relationships/hyperlink" Target="http://secrets.rutgers.edu:8080/data/asl-ftp/asllvd/demos/verify_start_end_handshape_annotations//test_auto_move//signs_mov_separ_signers/Liz_4177.mov" TargetMode="External"/><Relationship Id="rId25737" Type="http://schemas.openxmlformats.org/officeDocument/2006/relationships/hyperlink" Target="http://csr.bu.edu/ftp/asl/asllvd/demos/verify_start_end_handshape_annotations//test_auto_move//signs_mov/4178.mov" TargetMode="External"/><Relationship Id="rId25738" Type="http://schemas.openxmlformats.org/officeDocument/2006/relationships/hyperlink" Target="http://csr.bu.edu/ftp/asl/asllvd/demos/verify_start_end_handshape_annotations//test_auto_move//signs_mov_separ_signers/Liz_4178.mov" TargetMode="External"/><Relationship Id="rId25739" Type="http://schemas.openxmlformats.org/officeDocument/2006/relationships/hyperlink" Target="http://secrets.rutgers.edu:8080/data/asl-ftp/asllvd/demos/verify_start_end_handshape_annotations//test_auto_move//signs_mov/4178.mov" TargetMode="External"/><Relationship Id="rId25740" Type="http://schemas.openxmlformats.org/officeDocument/2006/relationships/hyperlink" Target="http://secrets.rutgers.edu:8080/data/asl-ftp/asllvd/demos/verify_start_end_handshape_annotations//test_auto_move//signs_mov_separ_signers/Liz_4178.mov" TargetMode="External"/><Relationship Id="rId25741" Type="http://schemas.openxmlformats.org/officeDocument/2006/relationships/hyperlink" Target="http://csr.bu.edu/ftp/asl/asllvd/demos/verify_start_end_handshape_annotations//test_auto_move//signs_mov/4179.mov" TargetMode="External"/><Relationship Id="rId25742" Type="http://schemas.openxmlformats.org/officeDocument/2006/relationships/hyperlink" Target="http://csr.bu.edu/ftp/asl/asllvd/demos/verify_start_end_handshape_annotations//test_auto_move//signs_mov_separ_signers/Liz_4179.mov" TargetMode="External"/><Relationship Id="rId25743" Type="http://schemas.openxmlformats.org/officeDocument/2006/relationships/hyperlink" Target="http://secrets.rutgers.edu:8080/data/asl-ftp/asllvd/demos/verify_start_end_handshape_annotations//test_auto_move//signs_mov/4179.mov" TargetMode="External"/><Relationship Id="rId25744" Type="http://schemas.openxmlformats.org/officeDocument/2006/relationships/hyperlink" Target="http://secrets.rutgers.edu:8080/data/asl-ftp/asllvd/demos/verify_start_end_handshape_annotations//test_auto_move//signs_mov_separ_signers/Liz_4179.mov" TargetMode="External"/><Relationship Id="rId25745" Type="http://schemas.openxmlformats.org/officeDocument/2006/relationships/hyperlink" Target="http://csr.bu.edu/ftp/asl/asllvd/demos/verify_start_end_handshape_annotations//test_auto_move//signs_mov_separ_signers/Brady_4179.mov" TargetMode="External"/><Relationship Id="rId25746" Type="http://schemas.openxmlformats.org/officeDocument/2006/relationships/hyperlink" Target="http://secrets.rutgers.edu:8080/data/asl-ftp/asllvd/demos/verify_start_end_handshape_annotations//test_auto_move//signs_mov_separ_signers/Brady_4179.mov" TargetMode="External"/><Relationship Id="rId25747" Type="http://schemas.openxmlformats.org/officeDocument/2006/relationships/hyperlink" Target="http://csr.bu.edu/ftp/asl/asllvd/demos/verify_start_end_handshape_annotations//test_auto_move//signs_mov/4180.mov" TargetMode="External"/><Relationship Id="rId25748" Type="http://schemas.openxmlformats.org/officeDocument/2006/relationships/hyperlink" Target="http://csr.bu.edu/ftp/asl/asllvd/demos/verify_start_end_handshape_annotations//test_auto_move//signs_mov_separ_signers/Liz_4180.mov" TargetMode="External"/><Relationship Id="rId25749" Type="http://schemas.openxmlformats.org/officeDocument/2006/relationships/hyperlink" Target="http://secrets.rutgers.edu:8080/data/asl-ftp/asllvd/demos/verify_start_end_handshape_annotations//test_auto_move//signs_mov/4180.mov" TargetMode="External"/><Relationship Id="rId25750" Type="http://schemas.openxmlformats.org/officeDocument/2006/relationships/hyperlink" Target="http://secrets.rutgers.edu:8080/data/asl-ftp/asllvd/demos/verify_start_end_handshape_annotations//test_auto_move//signs_mov_separ_signers/Liz_4180.mov" TargetMode="External"/><Relationship Id="rId25751" Type="http://schemas.openxmlformats.org/officeDocument/2006/relationships/hyperlink" Target="http://csr.bu.edu/ftp/asl/asllvd/demos/verify_start_end_handshape_annotations//test_auto_move//signs_mov_separ_signers/Brady_4180.mov" TargetMode="External"/><Relationship Id="rId25752" Type="http://schemas.openxmlformats.org/officeDocument/2006/relationships/hyperlink" Target="http://secrets.rutgers.edu:8080/data/asl-ftp/asllvd/demos/verify_start_end_handshape_annotations//test_auto_move//signs_mov_separ_signers/Brady_4180.mov" TargetMode="External"/><Relationship Id="rId25753" Type="http://schemas.openxmlformats.org/officeDocument/2006/relationships/hyperlink" Target="http://csr.bu.edu/ftp/asl/asllvd/demos/verify_start_end_handshape_annotations//test_auto_move//signs_mov/4181.mov" TargetMode="External"/><Relationship Id="rId25754" Type="http://schemas.openxmlformats.org/officeDocument/2006/relationships/hyperlink" Target="http://csr.bu.edu/ftp/asl/asllvd/demos/verify_start_end_handshape_annotations//test_auto_move//signs_mov_separ_signers/Liz_4181.mov" TargetMode="External"/><Relationship Id="rId25755" Type="http://schemas.openxmlformats.org/officeDocument/2006/relationships/hyperlink" Target="http://secrets.rutgers.edu:8080/data/asl-ftp/asllvd/demos/verify_start_end_handshape_annotations//test_auto_move//signs_mov/4181.mov" TargetMode="External"/><Relationship Id="rId25756" Type="http://schemas.openxmlformats.org/officeDocument/2006/relationships/hyperlink" Target="http://secrets.rutgers.edu:8080/data/asl-ftp/asllvd/demos/verify_start_end_handshape_annotations//test_auto_move//signs_mov_separ_signers/Liz_4181.mov" TargetMode="External"/><Relationship Id="rId25757" Type="http://schemas.openxmlformats.org/officeDocument/2006/relationships/hyperlink" Target="http://csr.bu.edu/ftp/asl/asllvd/demos/verify_start_end_handshape_annotations//test_auto_move//signs_mov/16484.mov" TargetMode="External"/><Relationship Id="rId25758" Type="http://schemas.openxmlformats.org/officeDocument/2006/relationships/hyperlink" Target="http://csr.bu.edu/ftp/asl/asllvd/demos/verify_start_end_handshape_annotations//test_auto_move//signs_mov_separ_signers/Brady_16484.mov" TargetMode="External"/><Relationship Id="rId25759" Type="http://schemas.openxmlformats.org/officeDocument/2006/relationships/hyperlink" Target="http://secrets.rutgers.edu:8080/data/asl-ftp/asllvd/demos/verify_start_end_handshape_annotations//test_auto_move//signs_mov/16484.mov" TargetMode="External"/><Relationship Id="rId25760" Type="http://schemas.openxmlformats.org/officeDocument/2006/relationships/hyperlink" Target="http://secrets.rutgers.edu:8080/data/asl-ftp/asllvd/demos/verify_start_end_handshape_annotations//test_auto_move//signs_mov_separ_signers/Brady_16484.mov" TargetMode="External"/><Relationship Id="rId25761" Type="http://schemas.openxmlformats.org/officeDocument/2006/relationships/hyperlink" Target="http://csr.bu.edu/ftp/asl/asllvd/demos/verify_start_end_handshape_annotations//test_auto_move//signs_mov/4182.mov" TargetMode="External"/><Relationship Id="rId25762" Type="http://schemas.openxmlformats.org/officeDocument/2006/relationships/hyperlink" Target="http://csr.bu.edu/ftp/asl/asllvd/demos/verify_start_end_handshape_annotations//test_auto_move//signs_mov_separ_signers/Brady_4182.mov" TargetMode="External"/><Relationship Id="rId25763" Type="http://schemas.openxmlformats.org/officeDocument/2006/relationships/hyperlink" Target="http://secrets.rutgers.edu:8080/data/asl-ftp/asllvd/demos/verify_start_end_handshape_annotations//test_auto_move//signs_mov/4182.mov" TargetMode="External"/><Relationship Id="rId25764" Type="http://schemas.openxmlformats.org/officeDocument/2006/relationships/hyperlink" Target="http://secrets.rutgers.edu:8080/data/asl-ftp/asllvd/demos/verify_start_end_handshape_annotations//test_auto_move//signs_mov_separ_signers/Brady_4182.mov" TargetMode="External"/><Relationship Id="rId25765" Type="http://schemas.openxmlformats.org/officeDocument/2006/relationships/hyperlink" Target="http://csr.bu.edu/ftp/asl/asllvd/demos/verify_start_end_handshape_annotations//test_auto_move//signs_mov/16485.mov" TargetMode="External"/><Relationship Id="rId25766" Type="http://schemas.openxmlformats.org/officeDocument/2006/relationships/hyperlink" Target="http://csr.bu.edu/ftp/asl/asllvd/demos/verify_start_end_handshape_annotations//test_auto_move//signs_mov_separ_signers/Liz_16485.mov" TargetMode="External"/><Relationship Id="rId25767" Type="http://schemas.openxmlformats.org/officeDocument/2006/relationships/hyperlink" Target="http://secrets.rutgers.edu:8080/data/asl-ftp/asllvd/demos/verify_start_end_handshape_annotations//test_auto_move//signs_mov/16485.mov" TargetMode="External"/><Relationship Id="rId25768" Type="http://schemas.openxmlformats.org/officeDocument/2006/relationships/hyperlink" Target="http://secrets.rutgers.edu:8080/data/asl-ftp/asllvd/demos/verify_start_end_handshape_annotations//test_auto_move//signs_mov_separ_signers/Liz_16485.mov" TargetMode="External"/><Relationship Id="rId25769" Type="http://schemas.openxmlformats.org/officeDocument/2006/relationships/hyperlink" Target="http://csr.bu.edu/ftp/asl/asllvd/demos/verify_start_end_handshape_annotations//test_auto_move//signs_mov/4183.mov" TargetMode="External"/><Relationship Id="rId25770" Type="http://schemas.openxmlformats.org/officeDocument/2006/relationships/hyperlink" Target="http://csr.bu.edu/ftp/asl/asllvd/demos/verify_start_end_handshape_annotations//test_auto_move//signs_mov_separ_signers/Liz_4183.mov" TargetMode="External"/><Relationship Id="rId25771" Type="http://schemas.openxmlformats.org/officeDocument/2006/relationships/hyperlink" Target="http://secrets.rutgers.edu:8080/data/asl-ftp/asllvd/demos/verify_start_end_handshape_annotations//test_auto_move//signs_mov/4183.mov" TargetMode="External"/><Relationship Id="rId25772" Type="http://schemas.openxmlformats.org/officeDocument/2006/relationships/hyperlink" Target="http://secrets.rutgers.edu:8080/data/asl-ftp/asllvd/demos/verify_start_end_handshape_annotations//test_auto_move//signs_mov_separ_signers/Liz_4183.mov" TargetMode="External"/><Relationship Id="rId25773" Type="http://schemas.openxmlformats.org/officeDocument/2006/relationships/hyperlink" Target="http://csr.bu.edu/ftp/asl/asllvd/demos/verify_start_end_handshape_annotations//test_auto_move//signs_mov_separ_signers/Brady_4183.mov" TargetMode="External"/><Relationship Id="rId25774" Type="http://schemas.openxmlformats.org/officeDocument/2006/relationships/hyperlink" Target="http://secrets.rutgers.edu:8080/data/asl-ftp/asllvd/demos/verify_start_end_handshape_annotations//test_auto_move//signs_mov_separ_signers/Brady_4183.mov" TargetMode="External"/><Relationship Id="rId25775" Type="http://schemas.openxmlformats.org/officeDocument/2006/relationships/hyperlink" Target="http://csr.bu.edu/ftp/asl/asllvd/demos/verify_start_end_handshape_annotations//test_auto_move//signs_mov/4184.mov" TargetMode="External"/><Relationship Id="rId25776" Type="http://schemas.openxmlformats.org/officeDocument/2006/relationships/hyperlink" Target="http://csr.bu.edu/ftp/asl/asllvd/demos/verify_start_end_handshape_annotations//test_auto_move//signs_mov_separ_signers/Liz_4184.mov" TargetMode="External"/><Relationship Id="rId25777" Type="http://schemas.openxmlformats.org/officeDocument/2006/relationships/hyperlink" Target="http://secrets.rutgers.edu:8080/data/asl-ftp/asllvd/demos/verify_start_end_handshape_annotations//test_auto_move//signs_mov/4184.mov" TargetMode="External"/><Relationship Id="rId25778" Type="http://schemas.openxmlformats.org/officeDocument/2006/relationships/hyperlink" Target="http://secrets.rutgers.edu:8080/data/asl-ftp/asllvd/demos/verify_start_end_handshape_annotations//test_auto_move//signs_mov_separ_signers/Liz_4184.mov" TargetMode="External"/><Relationship Id="rId25779" Type="http://schemas.openxmlformats.org/officeDocument/2006/relationships/hyperlink" Target="http://csr.bu.edu/ftp/asl/asllvd/demos/verify_start_end_handshape_annotations//test_auto_move//signs_mov_separ_signers/Brady_4184.mov" TargetMode="External"/><Relationship Id="rId25780" Type="http://schemas.openxmlformats.org/officeDocument/2006/relationships/hyperlink" Target="http://secrets.rutgers.edu:8080/data/asl-ftp/asllvd/demos/verify_start_end_handshape_annotations//test_auto_move//signs_mov_separ_signers/Brady_4184.mov" TargetMode="External"/><Relationship Id="rId25781" Type="http://schemas.openxmlformats.org/officeDocument/2006/relationships/hyperlink" Target="http://csr.bu.edu/ftp/asl/asllvd/demos/verify_start_end_handshape_annotations//test_auto_move//signs_mov/4185.mov" TargetMode="External"/><Relationship Id="rId25782" Type="http://schemas.openxmlformats.org/officeDocument/2006/relationships/hyperlink" Target="http://csr.bu.edu/ftp/asl/asllvd/demos/verify_start_end_handshape_annotations//test_auto_move//signs_mov_separ_signers/Liz_4185.mov" TargetMode="External"/><Relationship Id="rId25783" Type="http://schemas.openxmlformats.org/officeDocument/2006/relationships/hyperlink" Target="http://secrets.rutgers.edu:8080/data/asl-ftp/asllvd/demos/verify_start_end_handshape_annotations//test_auto_move//signs_mov/4185.mov" TargetMode="External"/><Relationship Id="rId25784" Type="http://schemas.openxmlformats.org/officeDocument/2006/relationships/hyperlink" Target="http://secrets.rutgers.edu:8080/data/asl-ftp/asllvd/demos/verify_start_end_handshape_annotations//test_auto_move//signs_mov_separ_signers/Liz_4185.mov" TargetMode="External"/><Relationship Id="rId25785" Type="http://schemas.openxmlformats.org/officeDocument/2006/relationships/hyperlink" Target="http://csr.bu.edu/ftp/asl/asllvd/demos/verify_start_end_handshape_annotations//test_auto_move//signs_mov_separ_signers/Brady_4185.mov" TargetMode="External"/><Relationship Id="rId25786" Type="http://schemas.openxmlformats.org/officeDocument/2006/relationships/hyperlink" Target="http://secrets.rutgers.edu:8080/data/asl-ftp/asllvd/demos/verify_start_end_handshape_annotations//test_auto_move//signs_mov_separ_signers/Brady_4185.mov" TargetMode="External"/><Relationship Id="rId25787" Type="http://schemas.openxmlformats.org/officeDocument/2006/relationships/hyperlink" Target="http://csr.bu.edu/ftp/asl/asllvd/demos/verify_start_end_handshape_annotations//test_auto_move//signs_mov/4186.mov" TargetMode="External"/><Relationship Id="rId25788" Type="http://schemas.openxmlformats.org/officeDocument/2006/relationships/hyperlink" Target="http://csr.bu.edu/ftp/asl/asllvd/demos/verify_start_end_handshape_annotations//test_auto_move//signs_mov_separ_signers/Brady_4186.mov" TargetMode="External"/><Relationship Id="rId25789" Type="http://schemas.openxmlformats.org/officeDocument/2006/relationships/hyperlink" Target="http://secrets.rutgers.edu:8080/data/asl-ftp/asllvd/demos/verify_start_end_handshape_annotations//test_auto_move//signs_mov/4186.mov" TargetMode="External"/><Relationship Id="rId25790" Type="http://schemas.openxmlformats.org/officeDocument/2006/relationships/hyperlink" Target="http://secrets.rutgers.edu:8080/data/asl-ftp/asllvd/demos/verify_start_end_handshape_annotations//test_auto_move//signs_mov_separ_signers/Brady_4186.mov" TargetMode="External"/><Relationship Id="rId25791" Type="http://schemas.openxmlformats.org/officeDocument/2006/relationships/hyperlink" Target="http://csr.bu.edu/ftp/asl/asllvd/demos/verify_start_end_handshape_annotations//test_auto_move//signs_mov/16486.mov" TargetMode="External"/><Relationship Id="rId25792" Type="http://schemas.openxmlformats.org/officeDocument/2006/relationships/hyperlink" Target="http://csr.bu.edu/ftp/asl/asllvd/demos/verify_start_end_handshape_annotations//test_auto_move//signs_mov_separ_signers/Liz_16486.mov" TargetMode="External"/><Relationship Id="rId25793" Type="http://schemas.openxmlformats.org/officeDocument/2006/relationships/hyperlink" Target="http://secrets.rutgers.edu:8080/data/asl-ftp/asllvd/demos/verify_start_end_handshape_annotations//test_auto_move//signs_mov/16486.mov" TargetMode="External"/><Relationship Id="rId25794" Type="http://schemas.openxmlformats.org/officeDocument/2006/relationships/hyperlink" Target="http://secrets.rutgers.edu:8080/data/asl-ftp/asllvd/demos/verify_start_end_handshape_annotations//test_auto_move//signs_mov_separ_signers/Liz_16486.mov" TargetMode="External"/><Relationship Id="rId25795" Type="http://schemas.openxmlformats.org/officeDocument/2006/relationships/hyperlink" Target="http://csr.bu.edu/ftp/asl/asllvd/demos/verify_start_end_handshape_annotations//test_auto_move//signs_mov/4187.mov" TargetMode="External"/><Relationship Id="rId25796" Type="http://schemas.openxmlformats.org/officeDocument/2006/relationships/hyperlink" Target="http://csr.bu.edu/ftp/asl/asllvd/demos/verify_start_end_handshape_annotations//test_auto_move//signs_mov_separ_signers/Brady_4187.mov" TargetMode="External"/><Relationship Id="rId25797" Type="http://schemas.openxmlformats.org/officeDocument/2006/relationships/hyperlink" Target="http://secrets.rutgers.edu:8080/data/asl-ftp/asllvd/demos/verify_start_end_handshape_annotations//test_auto_move//signs_mov/4187.mov" TargetMode="External"/><Relationship Id="rId25798" Type="http://schemas.openxmlformats.org/officeDocument/2006/relationships/hyperlink" Target="http://secrets.rutgers.edu:8080/data/asl-ftp/asllvd/demos/verify_start_end_handshape_annotations//test_auto_move//signs_mov_separ_signers/Brady_4187.mov" TargetMode="External"/><Relationship Id="rId25799" Type="http://schemas.openxmlformats.org/officeDocument/2006/relationships/hyperlink" Target="http://csr.bu.edu/ftp/asl/asllvd/demos/verify_start_end_handshape_annotations//test_auto_move//signs_mov/15410.mov" TargetMode="External"/><Relationship Id="rId25800" Type="http://schemas.openxmlformats.org/officeDocument/2006/relationships/hyperlink" Target="http://csr.bu.edu/ftp/asl/asllvd/demos/verify_start_end_handshape_annotations//test_auto_move//signs_mov_separ_signers/Liz_15410.mov" TargetMode="External"/><Relationship Id="rId25801" Type="http://schemas.openxmlformats.org/officeDocument/2006/relationships/hyperlink" Target="http://secrets.rutgers.edu:8080/data/asl-ftp/asllvd/demos/verify_start_end_handshape_annotations//test_auto_move//signs_mov/15410.mov" TargetMode="External"/><Relationship Id="rId25802" Type="http://schemas.openxmlformats.org/officeDocument/2006/relationships/hyperlink" Target="http://secrets.rutgers.edu:8080/data/asl-ftp/asllvd/demos/verify_start_end_handshape_annotations//test_auto_move//signs_mov_separ_signers/Liz_15410.mov" TargetMode="External"/><Relationship Id="rId25803" Type="http://schemas.openxmlformats.org/officeDocument/2006/relationships/hyperlink" Target="http://csr.bu.edu/ftp/asl/asllvd/demos/verify_start_end_handshape_annotations//test_auto_move//signs_mov/4189.mov" TargetMode="External"/><Relationship Id="rId25804" Type="http://schemas.openxmlformats.org/officeDocument/2006/relationships/hyperlink" Target="http://csr.bu.edu/ftp/asl/asllvd/demos/verify_start_end_handshape_annotations//test_auto_move//signs_mov_separ_signers/Liz_4189.mov" TargetMode="External"/><Relationship Id="rId25805" Type="http://schemas.openxmlformats.org/officeDocument/2006/relationships/hyperlink" Target="http://secrets.rutgers.edu:8080/data/asl-ftp/asllvd/demos/verify_start_end_handshape_annotations//test_auto_move//signs_mov/4189.mov" TargetMode="External"/><Relationship Id="rId25806" Type="http://schemas.openxmlformats.org/officeDocument/2006/relationships/hyperlink" Target="http://secrets.rutgers.edu:8080/data/asl-ftp/asllvd/demos/verify_start_end_handshape_annotations//test_auto_move//signs_mov_separ_signers/Liz_4189.mov" TargetMode="External"/><Relationship Id="rId25807" Type="http://schemas.openxmlformats.org/officeDocument/2006/relationships/hyperlink" Target="http://csr.bu.edu/ftp/asl/asllvd/demos/verify_start_end_handshape_annotations//test_auto_move//signs_mov_separ_signers/Brady_4189.mov" TargetMode="External"/><Relationship Id="rId25808" Type="http://schemas.openxmlformats.org/officeDocument/2006/relationships/hyperlink" Target="http://secrets.rutgers.edu:8080/data/asl-ftp/asllvd/demos/verify_start_end_handshape_annotations//test_auto_move//signs_mov_separ_signers/Brady_4189.mov" TargetMode="External"/><Relationship Id="rId25809" Type="http://schemas.openxmlformats.org/officeDocument/2006/relationships/hyperlink" Target="http://csr.bu.edu/ftp/asl/asllvd/demos/verify_start_end_handshape_annotations//test_auto_move//signs_mov/4190.mov" TargetMode="External"/><Relationship Id="rId25810" Type="http://schemas.openxmlformats.org/officeDocument/2006/relationships/hyperlink" Target="http://csr.bu.edu/ftp/asl/asllvd/demos/verify_start_end_handshape_annotations//test_auto_move//signs_mov_separ_signers/Liz_4190.mov" TargetMode="External"/><Relationship Id="rId25811" Type="http://schemas.openxmlformats.org/officeDocument/2006/relationships/hyperlink" Target="http://secrets.rutgers.edu:8080/data/asl-ftp/asllvd/demos/verify_start_end_handshape_annotations//test_auto_move//signs_mov/4190.mov" TargetMode="External"/><Relationship Id="rId25812" Type="http://schemas.openxmlformats.org/officeDocument/2006/relationships/hyperlink" Target="http://secrets.rutgers.edu:8080/data/asl-ftp/asllvd/demos/verify_start_end_handshape_annotations//test_auto_move//signs_mov_separ_signers/Liz_4190.mov" TargetMode="External"/><Relationship Id="rId25813" Type="http://schemas.openxmlformats.org/officeDocument/2006/relationships/hyperlink" Target="http://csr.bu.edu/ftp/asl/asllvd/demos/verify_start_end_handshape_annotations//test_auto_move//signs_mov_separ_signers/Brady_4190.mov" TargetMode="External"/><Relationship Id="rId25814" Type="http://schemas.openxmlformats.org/officeDocument/2006/relationships/hyperlink" Target="http://secrets.rutgers.edu:8080/data/asl-ftp/asllvd/demos/verify_start_end_handshape_annotations//test_auto_move//signs_mov_separ_signers/Brady_4190.mov" TargetMode="External"/><Relationship Id="rId25815" Type="http://schemas.openxmlformats.org/officeDocument/2006/relationships/hyperlink" Target="http://csr.bu.edu/ftp/asl/asllvd/demos/verify_start_end_handshape_annotations//test_auto_move//signs_mov/4192.mov" TargetMode="External"/><Relationship Id="rId25816" Type="http://schemas.openxmlformats.org/officeDocument/2006/relationships/hyperlink" Target="http://csr.bu.edu/ftp/asl/asllvd/demos/verify_start_end_handshape_annotations//test_auto_move//signs_mov_separ_signers/Liz_4192.mov" TargetMode="External"/><Relationship Id="rId25817" Type="http://schemas.openxmlformats.org/officeDocument/2006/relationships/hyperlink" Target="http://secrets.rutgers.edu:8080/data/asl-ftp/asllvd/demos/verify_start_end_handshape_annotations//test_auto_move//signs_mov/4192.mov" TargetMode="External"/><Relationship Id="rId25818" Type="http://schemas.openxmlformats.org/officeDocument/2006/relationships/hyperlink" Target="http://secrets.rutgers.edu:8080/data/asl-ftp/asllvd/demos/verify_start_end_handshape_annotations//test_auto_move//signs_mov_separ_signers/Liz_4192.mov" TargetMode="External"/><Relationship Id="rId25819" Type="http://schemas.openxmlformats.org/officeDocument/2006/relationships/hyperlink" Target="http://csr.bu.edu/ftp/asl/asllvd/demos/verify_start_end_handshape_annotations//test_auto_move//signs_mov/15001.mov" TargetMode="External"/><Relationship Id="rId25820" Type="http://schemas.openxmlformats.org/officeDocument/2006/relationships/hyperlink" Target="http://csr.bu.edu/ftp/asl/asllvd/demos/verify_start_end_handshape_annotations//test_auto_move//signs_mov_separ_signers/Brady_15001.mov" TargetMode="External"/><Relationship Id="rId25821" Type="http://schemas.openxmlformats.org/officeDocument/2006/relationships/hyperlink" Target="http://secrets.rutgers.edu:8080/data/asl-ftp/asllvd/demos/verify_start_end_handshape_annotations//test_auto_move//signs_mov/15001.mov" TargetMode="External"/><Relationship Id="rId25822" Type="http://schemas.openxmlformats.org/officeDocument/2006/relationships/hyperlink" Target="http://secrets.rutgers.edu:8080/data/asl-ftp/asllvd/demos/verify_start_end_handshape_annotations//test_auto_move//signs_mov_separ_signers/Brady_15001.mov" TargetMode="External"/><Relationship Id="rId25823" Type="http://schemas.openxmlformats.org/officeDocument/2006/relationships/hyperlink" Target="http://csr.bu.edu/ftp/asl/asllvd/demos/verify_start_end_handshape_annotations//test_auto_move//signs_mov/4194.mov" TargetMode="External"/><Relationship Id="rId25824" Type="http://schemas.openxmlformats.org/officeDocument/2006/relationships/hyperlink" Target="http://csr.bu.edu/ftp/asl/asllvd/demos/verify_start_end_handshape_annotations//test_auto_move//signs_mov_separ_signers/Liz_4194.mov" TargetMode="External"/><Relationship Id="rId25825" Type="http://schemas.openxmlformats.org/officeDocument/2006/relationships/hyperlink" Target="http://secrets.rutgers.edu:8080/data/asl-ftp/asllvd/demos/verify_start_end_handshape_annotations//test_auto_move//signs_mov/4194.mov" TargetMode="External"/><Relationship Id="rId25826" Type="http://schemas.openxmlformats.org/officeDocument/2006/relationships/hyperlink" Target="http://secrets.rutgers.edu:8080/data/asl-ftp/asllvd/demos/verify_start_end_handshape_annotations//test_auto_move//signs_mov_separ_signers/Liz_4194.mov" TargetMode="External"/><Relationship Id="rId25827" Type="http://schemas.openxmlformats.org/officeDocument/2006/relationships/hyperlink" Target="http://csr.bu.edu/ftp/asl/asllvd/demos/verify_start_end_handshape_annotations//test_auto_move//signs_mov/15002.mov" TargetMode="External"/><Relationship Id="rId25828" Type="http://schemas.openxmlformats.org/officeDocument/2006/relationships/hyperlink" Target="http://csr.bu.edu/ftp/asl/asllvd/demos/verify_start_end_handshape_annotations//test_auto_move//signs_mov_separ_signers/Brady_15002.mov" TargetMode="External"/><Relationship Id="rId25829" Type="http://schemas.openxmlformats.org/officeDocument/2006/relationships/hyperlink" Target="http://secrets.rutgers.edu:8080/data/asl-ftp/asllvd/demos/verify_start_end_handshape_annotations//test_auto_move//signs_mov/15002.mov" TargetMode="External"/><Relationship Id="rId25830" Type="http://schemas.openxmlformats.org/officeDocument/2006/relationships/hyperlink" Target="http://secrets.rutgers.edu:8080/data/asl-ftp/asllvd/demos/verify_start_end_handshape_annotations//test_auto_move//signs_mov_separ_signers/Brady_15002.mov" TargetMode="External"/><Relationship Id="rId25831" Type="http://schemas.openxmlformats.org/officeDocument/2006/relationships/hyperlink" Target="http://csr.bu.edu/ftp/asl/asllvd/demos/verify_start_end_handshape_annotations//test_auto_move//signs_mov/4196.mov" TargetMode="External"/><Relationship Id="rId25832" Type="http://schemas.openxmlformats.org/officeDocument/2006/relationships/hyperlink" Target="http://csr.bu.edu/ftp/asl/asllvd/demos/verify_start_end_handshape_annotations//test_auto_move//signs_mov_separ_signers/Liz_4196.mov" TargetMode="External"/><Relationship Id="rId25833" Type="http://schemas.openxmlformats.org/officeDocument/2006/relationships/hyperlink" Target="http://secrets.rutgers.edu:8080/data/asl-ftp/asllvd/demos/verify_start_end_handshape_annotations//test_auto_move//signs_mov/4196.mov" TargetMode="External"/><Relationship Id="rId25834" Type="http://schemas.openxmlformats.org/officeDocument/2006/relationships/hyperlink" Target="http://secrets.rutgers.edu:8080/data/asl-ftp/asllvd/demos/verify_start_end_handshape_annotations//test_auto_move//signs_mov_separ_signers/Liz_4196.mov" TargetMode="External"/><Relationship Id="rId25835" Type="http://schemas.openxmlformats.org/officeDocument/2006/relationships/hyperlink" Target="http://csr.bu.edu/ftp/asl/asllvd/demos/verify_start_end_handshape_annotations//test_auto_move//signs_mov/4198.mov" TargetMode="External"/><Relationship Id="rId25836" Type="http://schemas.openxmlformats.org/officeDocument/2006/relationships/hyperlink" Target="http://csr.bu.edu/ftp/asl/asllvd/demos/verify_start_end_handshape_annotations//test_auto_move//signs_mov_separ_signers/Liz_4198.mov" TargetMode="External"/><Relationship Id="rId25837" Type="http://schemas.openxmlformats.org/officeDocument/2006/relationships/hyperlink" Target="http://secrets.rutgers.edu:8080/data/asl-ftp/asllvd/demos/verify_start_end_handshape_annotations//test_auto_move//signs_mov/4198.mov" TargetMode="External"/><Relationship Id="rId25838" Type="http://schemas.openxmlformats.org/officeDocument/2006/relationships/hyperlink" Target="http://secrets.rutgers.edu:8080/data/asl-ftp/asllvd/demos/verify_start_end_handshape_annotations//test_auto_move//signs_mov_separ_signers/Liz_4198.mov" TargetMode="External"/><Relationship Id="rId25839" Type="http://schemas.openxmlformats.org/officeDocument/2006/relationships/hyperlink" Target="http://csr.bu.edu/ftp/asl/asllvd/demos/verify_start_end_handshape_annotations//test_auto_move//signs_mov/15003.mov" TargetMode="External"/><Relationship Id="rId25840" Type="http://schemas.openxmlformats.org/officeDocument/2006/relationships/hyperlink" Target="http://csr.bu.edu/ftp/asl/asllvd/demos/verify_start_end_handshape_annotations//test_auto_move//signs_mov_separ_signers/Brady_15003.mov" TargetMode="External"/><Relationship Id="rId25841" Type="http://schemas.openxmlformats.org/officeDocument/2006/relationships/hyperlink" Target="http://secrets.rutgers.edu:8080/data/asl-ftp/asllvd/demos/verify_start_end_handshape_annotations//test_auto_move//signs_mov/15003.mov" TargetMode="External"/><Relationship Id="rId25842" Type="http://schemas.openxmlformats.org/officeDocument/2006/relationships/hyperlink" Target="http://secrets.rutgers.edu:8080/data/asl-ftp/asllvd/demos/verify_start_end_handshape_annotations//test_auto_move//signs_mov_separ_signers/Brady_15003.mov" TargetMode="External"/><Relationship Id="rId25843" Type="http://schemas.openxmlformats.org/officeDocument/2006/relationships/hyperlink" Target="http://csr.bu.edu/ftp/asl/asllvd/demos/verify_start_end_handshape_annotations//test_auto_move//signs_mov/4200.mov" TargetMode="External"/><Relationship Id="rId25844" Type="http://schemas.openxmlformats.org/officeDocument/2006/relationships/hyperlink" Target="http://csr.bu.edu/ftp/asl/asllvd/demos/verify_start_end_handshape_annotations//test_auto_move//signs_mov_separ_signers/Liz_4200.mov" TargetMode="External"/><Relationship Id="rId25845" Type="http://schemas.openxmlformats.org/officeDocument/2006/relationships/hyperlink" Target="http://secrets.rutgers.edu:8080/data/asl-ftp/asllvd/demos/verify_start_end_handshape_annotations//test_auto_move//signs_mov/4200.mov" TargetMode="External"/><Relationship Id="rId25846" Type="http://schemas.openxmlformats.org/officeDocument/2006/relationships/hyperlink" Target="http://secrets.rutgers.edu:8080/data/asl-ftp/asllvd/demos/verify_start_end_handshape_annotations//test_auto_move//signs_mov_separ_signers/Liz_4200.mov" TargetMode="External"/><Relationship Id="rId25847" Type="http://schemas.openxmlformats.org/officeDocument/2006/relationships/hyperlink" Target="http://csr.bu.edu/ftp/asl/asllvd/demos/verify_start_end_handshape_annotations//test_auto_move//signs_mov/15004.mov" TargetMode="External"/><Relationship Id="rId25848" Type="http://schemas.openxmlformats.org/officeDocument/2006/relationships/hyperlink" Target="http://csr.bu.edu/ftp/asl/asllvd/demos/verify_start_end_handshape_annotations//test_auto_move//signs_mov_separ_signers/Brady_15004.mov" TargetMode="External"/><Relationship Id="rId25849" Type="http://schemas.openxmlformats.org/officeDocument/2006/relationships/hyperlink" Target="http://secrets.rutgers.edu:8080/data/asl-ftp/asllvd/demos/verify_start_end_handshape_annotations//test_auto_move//signs_mov/15004.mov" TargetMode="External"/><Relationship Id="rId25850" Type="http://schemas.openxmlformats.org/officeDocument/2006/relationships/hyperlink" Target="http://secrets.rutgers.edu:8080/data/asl-ftp/asllvd/demos/verify_start_end_handshape_annotations//test_auto_move//signs_mov_separ_signers/Brady_15004.mov" TargetMode="External"/><Relationship Id="rId25851" Type="http://schemas.openxmlformats.org/officeDocument/2006/relationships/hyperlink" Target="http://csr.bu.edu/ftp/asl/asllvd/demos/verify_start_end_handshape_annotations//test_auto_move//signs_mov/4209.mov" TargetMode="External"/><Relationship Id="rId25852" Type="http://schemas.openxmlformats.org/officeDocument/2006/relationships/hyperlink" Target="http://csr.bu.edu/ftp/asl/asllvd/demos/verify_start_end_handshape_annotations//test_auto_move//signs_mov_separ_signers/Liz_4209.mov" TargetMode="External"/><Relationship Id="rId25853" Type="http://schemas.openxmlformats.org/officeDocument/2006/relationships/hyperlink" Target="http://secrets.rutgers.edu:8080/data/asl-ftp/asllvd/demos/verify_start_end_handshape_annotations//test_auto_move//signs_mov/4209.mov" TargetMode="External"/><Relationship Id="rId25854" Type="http://schemas.openxmlformats.org/officeDocument/2006/relationships/hyperlink" Target="http://secrets.rutgers.edu:8080/data/asl-ftp/asllvd/demos/verify_start_end_handshape_annotations//test_auto_move//signs_mov_separ_signers/Liz_4209.mov" TargetMode="External"/><Relationship Id="rId25855" Type="http://schemas.openxmlformats.org/officeDocument/2006/relationships/hyperlink" Target="http://csr.bu.edu/ftp/asl/asllvd/demos/verify_start_end_handshape_annotations//test_auto_move//signs_mov_separ_signers/Brady_4209.mov" TargetMode="External"/><Relationship Id="rId25856" Type="http://schemas.openxmlformats.org/officeDocument/2006/relationships/hyperlink" Target="http://secrets.rutgers.edu:8080/data/asl-ftp/asllvd/demos/verify_start_end_handshape_annotations//test_auto_move//signs_mov_separ_signers/Brady_4209.mov" TargetMode="External"/><Relationship Id="rId25857" Type="http://schemas.openxmlformats.org/officeDocument/2006/relationships/hyperlink" Target="http://csr.bu.edu/ftp/asl/asllvd/demos/verify_start_end_handshape_annotations//test_auto_move//signs_mov/4246.mov" TargetMode="External"/><Relationship Id="rId25858" Type="http://schemas.openxmlformats.org/officeDocument/2006/relationships/hyperlink" Target="http://csr.bu.edu/ftp/asl/asllvd/demos/verify_start_end_handshape_annotations//test_auto_move//signs_mov_separ_signers/Liz_4246.mov" TargetMode="External"/><Relationship Id="rId25859" Type="http://schemas.openxmlformats.org/officeDocument/2006/relationships/hyperlink" Target="http://secrets.rutgers.edu:8080/data/asl-ftp/asllvd/demos/verify_start_end_handshape_annotations//test_auto_move//signs_mov/4246.mov" TargetMode="External"/><Relationship Id="rId25860" Type="http://schemas.openxmlformats.org/officeDocument/2006/relationships/hyperlink" Target="http://secrets.rutgers.edu:8080/data/asl-ftp/asllvd/demos/verify_start_end_handshape_annotations//test_auto_move//signs_mov_separ_signers/Liz_4246.mov" TargetMode="External"/><Relationship Id="rId25861" Type="http://schemas.openxmlformats.org/officeDocument/2006/relationships/hyperlink" Target="http://csr.bu.edu/ftp/asl/asllvd/demos/verify_start_end_handshape_annotations//test_auto_move//signs_mov_separ_signers/Brady_4246.mov" TargetMode="External"/><Relationship Id="rId25862" Type="http://schemas.openxmlformats.org/officeDocument/2006/relationships/hyperlink" Target="http://secrets.rutgers.edu:8080/data/asl-ftp/asllvd/demos/verify_start_end_handshape_annotations//test_auto_move//signs_mov_separ_signers/Brady_4246.mov" TargetMode="External"/><Relationship Id="rId25863" Type="http://schemas.openxmlformats.org/officeDocument/2006/relationships/hyperlink" Target="http://csr.bu.edu/ftp/asl/asllvd/demos/verify_start_end_handshape_annotations//test_auto_move//signs_mov/4247.mov" TargetMode="External"/><Relationship Id="rId25864" Type="http://schemas.openxmlformats.org/officeDocument/2006/relationships/hyperlink" Target="http://csr.bu.edu/ftp/asl/asllvd/demos/verify_start_end_handshape_annotations//test_auto_move//signs_mov_separ_signers/Liz_4247.mov" TargetMode="External"/><Relationship Id="rId25865" Type="http://schemas.openxmlformats.org/officeDocument/2006/relationships/hyperlink" Target="http://secrets.rutgers.edu:8080/data/asl-ftp/asllvd/demos/verify_start_end_handshape_annotations//test_auto_move//signs_mov/4247.mov" TargetMode="External"/><Relationship Id="rId25866" Type="http://schemas.openxmlformats.org/officeDocument/2006/relationships/hyperlink" Target="http://secrets.rutgers.edu:8080/data/asl-ftp/asllvd/demos/verify_start_end_handshape_annotations//test_auto_move//signs_mov_separ_signers/Liz_4247.mov" TargetMode="External"/><Relationship Id="rId25867" Type="http://schemas.openxmlformats.org/officeDocument/2006/relationships/hyperlink" Target="http://csr.bu.edu/ftp/asl/asllvd/demos/verify_start_end_handshape_annotations//test_auto_move//signs_mov_separ_signers/Brady_4247.mov" TargetMode="External"/><Relationship Id="rId25868" Type="http://schemas.openxmlformats.org/officeDocument/2006/relationships/hyperlink" Target="http://secrets.rutgers.edu:8080/data/asl-ftp/asllvd/demos/verify_start_end_handshape_annotations//test_auto_move//signs_mov_separ_signers/Brady_4247.mov" TargetMode="External"/><Relationship Id="rId25869" Type="http://schemas.openxmlformats.org/officeDocument/2006/relationships/hyperlink" Target="http://csr.bu.edu/ftp/asl/asllvd/demos/verify_start_end_handshape_annotations//test_auto_move//signs_mov/4276.mov" TargetMode="External"/><Relationship Id="rId25870" Type="http://schemas.openxmlformats.org/officeDocument/2006/relationships/hyperlink" Target="http://csr.bu.edu/ftp/asl/asllvd/demos/verify_start_end_handshape_annotations//test_auto_move//signs_mov_separ_signers/Liz_4276.mov" TargetMode="External"/><Relationship Id="rId25871" Type="http://schemas.openxmlformats.org/officeDocument/2006/relationships/hyperlink" Target="http://secrets.rutgers.edu:8080/data/asl-ftp/asllvd/demos/verify_start_end_handshape_annotations//test_auto_move//signs_mov/4276.mov" TargetMode="External"/><Relationship Id="rId25872" Type="http://schemas.openxmlformats.org/officeDocument/2006/relationships/hyperlink" Target="http://secrets.rutgers.edu:8080/data/asl-ftp/asllvd/demos/verify_start_end_handshape_annotations//test_auto_move//signs_mov_separ_signers/Liz_4276.mov" TargetMode="External"/><Relationship Id="rId25873" Type="http://schemas.openxmlformats.org/officeDocument/2006/relationships/hyperlink" Target="http://csr.bu.edu/ftp/asl/asllvd/demos/verify_start_end_handshape_annotations//test_auto_move//signs_mov_separ_signers/Brady_4276.mov" TargetMode="External"/><Relationship Id="rId25874" Type="http://schemas.openxmlformats.org/officeDocument/2006/relationships/hyperlink" Target="http://secrets.rutgers.edu:8080/data/asl-ftp/asllvd/demos/verify_start_end_handshape_annotations//test_auto_move//signs_mov_separ_signers/Brady_4276.mov" TargetMode="External"/><Relationship Id="rId25875" Type="http://schemas.openxmlformats.org/officeDocument/2006/relationships/hyperlink" Target="http://csr.bu.edu/ftp/asl/asllvd/demos/verify_start_end_handshape_annotations//test_auto_move//signs_mov/4281.mov" TargetMode="External"/><Relationship Id="rId25876" Type="http://schemas.openxmlformats.org/officeDocument/2006/relationships/hyperlink" Target="http://csr.bu.edu/ftp/asl/asllvd/demos/verify_start_end_handshape_annotations//test_auto_move//signs_mov_separ_signers/Liz_4281.mov" TargetMode="External"/><Relationship Id="rId25877" Type="http://schemas.openxmlformats.org/officeDocument/2006/relationships/hyperlink" Target="http://secrets.rutgers.edu:8080/data/asl-ftp/asllvd/demos/verify_start_end_handshape_annotations//test_auto_move//signs_mov/4281.mov" TargetMode="External"/><Relationship Id="rId25878" Type="http://schemas.openxmlformats.org/officeDocument/2006/relationships/hyperlink" Target="http://secrets.rutgers.edu:8080/data/asl-ftp/asllvd/demos/verify_start_end_handshape_annotations//test_auto_move//signs_mov_separ_signers/Liz_4281.mov" TargetMode="External"/><Relationship Id="rId25879" Type="http://schemas.openxmlformats.org/officeDocument/2006/relationships/hyperlink" Target="http://csr.bu.edu/ftp/asl/asllvd/demos/verify_start_end_handshape_annotations//test_auto_move//signs_mov/4297.mov" TargetMode="External"/><Relationship Id="rId25880" Type="http://schemas.openxmlformats.org/officeDocument/2006/relationships/hyperlink" Target="http://csr.bu.edu/ftp/asl/asllvd/demos/verify_start_end_handshape_annotations//test_auto_move//signs_mov_separ_signers/Liz_4297.mov" TargetMode="External"/><Relationship Id="rId25881" Type="http://schemas.openxmlformats.org/officeDocument/2006/relationships/hyperlink" Target="http://secrets.rutgers.edu:8080/data/asl-ftp/asllvd/demos/verify_start_end_handshape_annotations//test_auto_move//signs_mov/4297.mov" TargetMode="External"/><Relationship Id="rId25882" Type="http://schemas.openxmlformats.org/officeDocument/2006/relationships/hyperlink" Target="http://secrets.rutgers.edu:8080/data/asl-ftp/asllvd/demos/verify_start_end_handshape_annotations//test_auto_move//signs_mov_separ_signers/Liz_4297.mov" TargetMode="External"/><Relationship Id="rId25883" Type="http://schemas.openxmlformats.org/officeDocument/2006/relationships/hyperlink" Target="http://csr.bu.edu/ftp/asl/asllvd/demos/verify_start_end_handshape_annotations//test_auto_move//signs_mov_separ_signers/Brady_4297.mov" TargetMode="External"/><Relationship Id="rId25884" Type="http://schemas.openxmlformats.org/officeDocument/2006/relationships/hyperlink" Target="http://secrets.rutgers.edu:8080/data/asl-ftp/asllvd/demos/verify_start_end_handshape_annotations//test_auto_move//signs_mov_separ_signers/Brady_4297.mov" TargetMode="External"/><Relationship Id="rId25885" Type="http://schemas.openxmlformats.org/officeDocument/2006/relationships/hyperlink" Target="http://csr.bu.edu/ftp/asl/asllvd/demos/verify_start_end_handshape_annotations//test_auto_move//signs_mov/4342.mov" TargetMode="External"/><Relationship Id="rId25886" Type="http://schemas.openxmlformats.org/officeDocument/2006/relationships/hyperlink" Target="http://csr.bu.edu/ftp/asl/asllvd/demos/verify_start_end_handshape_annotations//test_auto_move//signs_mov_separ_signers/Brady_4342.mov" TargetMode="External"/><Relationship Id="rId25887" Type="http://schemas.openxmlformats.org/officeDocument/2006/relationships/hyperlink" Target="http://secrets.rutgers.edu:8080/data/asl-ftp/asllvd/demos/verify_start_end_handshape_annotations//test_auto_move//signs_mov/4342.mov" TargetMode="External"/><Relationship Id="rId25888" Type="http://schemas.openxmlformats.org/officeDocument/2006/relationships/hyperlink" Target="http://secrets.rutgers.edu:8080/data/asl-ftp/asllvd/demos/verify_start_end_handshape_annotations//test_auto_move//signs_mov_separ_signers/Brady_4342.mov" TargetMode="External"/><Relationship Id="rId25889" Type="http://schemas.openxmlformats.org/officeDocument/2006/relationships/hyperlink" Target="http://csr.bu.edu/ftp/asl/asllvd/demos/verify_start_end_handshape_annotations//test_auto_move//signs_mov/4352.mov" TargetMode="External"/><Relationship Id="rId25890" Type="http://schemas.openxmlformats.org/officeDocument/2006/relationships/hyperlink" Target="http://csr.bu.edu/ftp/asl/asllvd/demos/verify_start_end_handshape_annotations//test_auto_move//signs_mov_separ_signers/Liz_4352.mov" TargetMode="External"/><Relationship Id="rId25891" Type="http://schemas.openxmlformats.org/officeDocument/2006/relationships/hyperlink" Target="http://secrets.rutgers.edu:8080/data/asl-ftp/asllvd/demos/verify_start_end_handshape_annotations//test_auto_move//signs_mov/4352.mov" TargetMode="External"/><Relationship Id="rId25892" Type="http://schemas.openxmlformats.org/officeDocument/2006/relationships/hyperlink" Target="http://secrets.rutgers.edu:8080/data/asl-ftp/asllvd/demos/verify_start_end_handshape_annotations//test_auto_move//signs_mov_separ_signers/Liz_4352.mov" TargetMode="External"/><Relationship Id="rId25893" Type="http://schemas.openxmlformats.org/officeDocument/2006/relationships/hyperlink" Target="http://csr.bu.edu/ftp/asl/asllvd/demos/verify_start_end_handshape_annotations//test_auto_move//signs_mov/4366.mov" TargetMode="External"/><Relationship Id="rId25894" Type="http://schemas.openxmlformats.org/officeDocument/2006/relationships/hyperlink" Target="http://csr.bu.edu/ftp/asl/asllvd/demos/verify_start_end_handshape_annotations//test_auto_move//signs_mov_separ_signers/Liz_4366.mov" TargetMode="External"/><Relationship Id="rId25895" Type="http://schemas.openxmlformats.org/officeDocument/2006/relationships/hyperlink" Target="http://secrets.rutgers.edu:8080/data/asl-ftp/asllvd/demos/verify_start_end_handshape_annotations//test_auto_move//signs_mov/4366.mov" TargetMode="External"/><Relationship Id="rId25896" Type="http://schemas.openxmlformats.org/officeDocument/2006/relationships/hyperlink" Target="http://secrets.rutgers.edu:8080/data/asl-ftp/asllvd/demos/verify_start_end_handshape_annotations//test_auto_move//signs_mov_separ_signers/Liz_4366.mov" TargetMode="External"/><Relationship Id="rId25897" Type="http://schemas.openxmlformats.org/officeDocument/2006/relationships/hyperlink" Target="http://csr.bu.edu/ftp/asl/asllvd/demos/verify_start_end_handshape_annotations//test_auto_move//signs_mov_separ_signers/Brady_4366.mov" TargetMode="External"/><Relationship Id="rId25898" Type="http://schemas.openxmlformats.org/officeDocument/2006/relationships/hyperlink" Target="http://secrets.rutgers.edu:8080/data/asl-ftp/asllvd/demos/verify_start_end_handshape_annotations//test_auto_move//signs_mov_separ_signers/Brady_4366.mov" TargetMode="External"/><Relationship Id="rId25899" Type="http://schemas.openxmlformats.org/officeDocument/2006/relationships/hyperlink" Target="http://csr.bu.edu/ftp/asl/asllvd/demos/verify_start_end_handshape_annotations//test_auto_move//signs_mov/4379.mov" TargetMode="External"/><Relationship Id="rId25900" Type="http://schemas.openxmlformats.org/officeDocument/2006/relationships/hyperlink" Target="http://csr.bu.edu/ftp/asl/asllvd/demos/verify_start_end_handshape_annotations//test_auto_move//signs_mov_separ_signers/Liz_4379.mov" TargetMode="External"/><Relationship Id="rId25901" Type="http://schemas.openxmlformats.org/officeDocument/2006/relationships/hyperlink" Target="http://secrets.rutgers.edu:8080/data/asl-ftp/asllvd/demos/verify_start_end_handshape_annotations//test_auto_move//signs_mov/4379.mov" TargetMode="External"/><Relationship Id="rId25902" Type="http://schemas.openxmlformats.org/officeDocument/2006/relationships/hyperlink" Target="http://secrets.rutgers.edu:8080/data/asl-ftp/asllvd/demos/verify_start_end_handshape_annotations//test_auto_move//signs_mov_separ_signers/Liz_4379.mov" TargetMode="External"/><Relationship Id="rId25903" Type="http://schemas.openxmlformats.org/officeDocument/2006/relationships/hyperlink" Target="http://csr.bu.edu/ftp/asl/asllvd/demos/verify_start_end_handshape_annotations//test_auto_move//signs_mov_separ_signers/Brady_4379.mov" TargetMode="External"/><Relationship Id="rId25904" Type="http://schemas.openxmlformats.org/officeDocument/2006/relationships/hyperlink" Target="http://secrets.rutgers.edu:8080/data/asl-ftp/asllvd/demos/verify_start_end_handshape_annotations//test_auto_move//signs_mov_separ_signers/Brady_4379.mov" TargetMode="External"/><Relationship Id="rId25905" Type="http://schemas.openxmlformats.org/officeDocument/2006/relationships/hyperlink" Target="http://csr.bu.edu/ftp/asl/asllvd/demos/verify_start_end_handshape_annotations//test_auto_move//signs_mov/4382.mov" TargetMode="External"/><Relationship Id="rId25906" Type="http://schemas.openxmlformats.org/officeDocument/2006/relationships/hyperlink" Target="http://csr.bu.edu/ftp/asl/asllvd/demos/verify_start_end_handshape_annotations//test_auto_move//signs_mov_separ_signers/Liz_4382.mov" TargetMode="External"/><Relationship Id="rId25907" Type="http://schemas.openxmlformats.org/officeDocument/2006/relationships/hyperlink" Target="http://secrets.rutgers.edu:8080/data/asl-ftp/asllvd/demos/verify_start_end_handshape_annotations//test_auto_move//signs_mov/4382.mov" TargetMode="External"/><Relationship Id="rId25908" Type="http://schemas.openxmlformats.org/officeDocument/2006/relationships/hyperlink" Target="http://secrets.rutgers.edu:8080/data/asl-ftp/asllvd/demos/verify_start_end_handshape_annotations//test_auto_move//signs_mov_separ_signers/Liz_4382.mov" TargetMode="External"/><Relationship Id="rId25909" Type="http://schemas.openxmlformats.org/officeDocument/2006/relationships/hyperlink" Target="http://csr.bu.edu/ftp/asl/asllvd/demos/verify_start_end_handshape_annotations//test_auto_move//signs_mov_separ_signers/Liz_4395.mov" TargetMode="External"/><Relationship Id="rId25910" Type="http://schemas.openxmlformats.org/officeDocument/2006/relationships/hyperlink" Target="http://secrets.rutgers.edu:8080/data/asl-ftp/asllvd/demos/verify_start_end_handshape_annotations//test_auto_move//signs_mov_separ_signers/Liz_4395.mov" TargetMode="External"/><Relationship Id="rId25911" Type="http://schemas.openxmlformats.org/officeDocument/2006/relationships/hyperlink" Target="http://csr.bu.edu/ftp/asl/asllvd/demos/verify_start_end_handshape_annotations//test_auto_move//signs_mov/4395_16400_merged.mov" TargetMode="External"/><Relationship Id="rId25912" Type="http://schemas.openxmlformats.org/officeDocument/2006/relationships/hyperlink" Target="http://csr.bu.edu/ftp/asl/asllvd/demos/verify_start_end_handshape_annotations//test_auto_move//signs_mov_separ_signers/Brady_4395.mov" TargetMode="External"/><Relationship Id="rId25913" Type="http://schemas.openxmlformats.org/officeDocument/2006/relationships/hyperlink" Target="http://secrets.rutgers.edu:8080/data/asl-ftp/asllvd/demos/verify_start_end_handshape_annotations//test_auto_move//signs_mov/4395_16400_merged.mov" TargetMode="External"/><Relationship Id="rId25914" Type="http://schemas.openxmlformats.org/officeDocument/2006/relationships/hyperlink" Target="http://secrets.rutgers.edu:8080/data/asl-ftp/asllvd/demos/verify_start_end_handshape_annotations//test_auto_move//signs_mov_separ_signers/Brady_4395.mov" TargetMode="External"/><Relationship Id="rId25915" Type="http://schemas.openxmlformats.org/officeDocument/2006/relationships/hyperlink" Target="http://csr.bu.edu/ftp/asl/asllvd/demos/verify_start_end_handshape_annotations//test_auto_move//signs_mov_separ_signers/Brady_16400.mov" TargetMode="External"/><Relationship Id="rId25916" Type="http://schemas.openxmlformats.org/officeDocument/2006/relationships/hyperlink" Target="http://secrets.rutgers.edu:8080/data/asl-ftp/asllvd/demos/verify_start_end_handshape_annotations//test_auto_move//signs_mov_separ_signers/Brady_16400.mov" TargetMode="External"/><Relationship Id="rId25917" Type="http://schemas.openxmlformats.org/officeDocument/2006/relationships/hyperlink" Target="http://csr.bu.edu/ftp/asl/asllvd/demos/verify_start_end_handshape_annotations//test_auto_move//signs_mov/4405.mov" TargetMode="External"/><Relationship Id="rId25918" Type="http://schemas.openxmlformats.org/officeDocument/2006/relationships/hyperlink" Target="http://csr.bu.edu/ftp/asl/asllvd/demos/verify_start_end_handshape_annotations//test_auto_move//signs_mov_separ_signers/Liz_4405.mov" TargetMode="External"/><Relationship Id="rId25919" Type="http://schemas.openxmlformats.org/officeDocument/2006/relationships/hyperlink" Target="http://secrets.rutgers.edu:8080/data/asl-ftp/asllvd/demos/verify_start_end_handshape_annotations//test_auto_move//signs_mov/4405.mov" TargetMode="External"/><Relationship Id="rId25920" Type="http://schemas.openxmlformats.org/officeDocument/2006/relationships/hyperlink" Target="http://secrets.rutgers.edu:8080/data/asl-ftp/asllvd/demos/verify_start_end_handshape_annotations//test_auto_move//signs_mov_separ_signers/Liz_4405.mov" TargetMode="External"/><Relationship Id="rId25921" Type="http://schemas.openxmlformats.org/officeDocument/2006/relationships/hyperlink" Target="http://csr.bu.edu/ftp/asl/asllvd/demos/verify_start_end_handshape_annotations//test_auto_move//signs_mov_separ_signers/Brady_4405.mov" TargetMode="External"/><Relationship Id="rId25922" Type="http://schemas.openxmlformats.org/officeDocument/2006/relationships/hyperlink" Target="http://secrets.rutgers.edu:8080/data/asl-ftp/asllvd/demos/verify_start_end_handshape_annotations//test_auto_move//signs_mov_separ_signers/Brady_4405.mov" TargetMode="External"/><Relationship Id="rId25923" Type="http://schemas.openxmlformats.org/officeDocument/2006/relationships/hyperlink" Target="http://csr.bu.edu/ftp/asl/asllvd/demos/verify_start_end_handshape_annotations//test_auto_move//signs_mov/4416.mov" TargetMode="External"/><Relationship Id="rId25924" Type="http://schemas.openxmlformats.org/officeDocument/2006/relationships/hyperlink" Target="http://csr.bu.edu/ftp/asl/asllvd/demos/verify_start_end_handshape_annotations//test_auto_move//signs_mov_separ_signers/Liz_4416.mov" TargetMode="External"/><Relationship Id="rId25925" Type="http://schemas.openxmlformats.org/officeDocument/2006/relationships/hyperlink" Target="http://secrets.rutgers.edu:8080/data/asl-ftp/asllvd/demos/verify_start_end_handshape_annotations//test_auto_move//signs_mov/4416.mov" TargetMode="External"/><Relationship Id="rId25926" Type="http://schemas.openxmlformats.org/officeDocument/2006/relationships/hyperlink" Target="http://secrets.rutgers.edu:8080/data/asl-ftp/asllvd/demos/verify_start_end_handshape_annotations//test_auto_move//signs_mov_separ_signers/Liz_4416.mov" TargetMode="External"/><Relationship Id="rId25927" Type="http://schemas.openxmlformats.org/officeDocument/2006/relationships/hyperlink" Target="http://csr.bu.edu/ftp/asl/asllvd/demos/verify_start_end_handshape_annotations//test_auto_move//signs_mov_separ_signers/Liz_4419.mov" TargetMode="External"/><Relationship Id="rId25928" Type="http://schemas.openxmlformats.org/officeDocument/2006/relationships/hyperlink" Target="http://secrets.rutgers.edu:8080/data/asl-ftp/asllvd/demos/verify_start_end_handshape_annotations//test_auto_move//signs_mov_separ_signers/Liz_4419.mov" TargetMode="External"/><Relationship Id="rId25929" Type="http://schemas.openxmlformats.org/officeDocument/2006/relationships/hyperlink" Target="http://csr.bu.edu/ftp/asl/asllvd/demos/verify_start_end_handshape_annotations//test_auto_move//signs_mov/3917_4419_merged.mov" TargetMode="External"/><Relationship Id="rId25930" Type="http://schemas.openxmlformats.org/officeDocument/2006/relationships/hyperlink" Target="http://csr.bu.edu/ftp/asl/asllvd/demos/verify_start_end_handshape_annotations//test_auto_move//signs_mov_separ_signers/Liz_3917.mov" TargetMode="External"/><Relationship Id="rId25931" Type="http://schemas.openxmlformats.org/officeDocument/2006/relationships/hyperlink" Target="http://secrets.rutgers.edu:8080/data/asl-ftp/asllvd/demos/verify_start_end_handshape_annotations//test_auto_move//signs_mov/3917_4419_merged.mov" TargetMode="External"/><Relationship Id="rId25932" Type="http://schemas.openxmlformats.org/officeDocument/2006/relationships/hyperlink" Target="http://secrets.rutgers.edu:8080/data/asl-ftp/asllvd/demos/verify_start_end_handshape_annotations//test_auto_move//signs_mov_separ_signers/Liz_3917.mov" TargetMode="External"/><Relationship Id="rId25933" Type="http://schemas.openxmlformats.org/officeDocument/2006/relationships/hyperlink" Target="http://csr.bu.edu/ftp/asl/asllvd/demos/verify_start_end_handshape_annotations//test_auto_move//signs_mov_separ_signers/Brady_4419.mov" TargetMode="External"/><Relationship Id="rId25934" Type="http://schemas.openxmlformats.org/officeDocument/2006/relationships/hyperlink" Target="http://secrets.rutgers.edu:8080/data/asl-ftp/asllvd/demos/verify_start_end_handshape_annotations//test_auto_move//signs_mov_separ_signers/Brady_4419.mov" TargetMode="External"/><Relationship Id="rId25935" Type="http://schemas.openxmlformats.org/officeDocument/2006/relationships/hyperlink" Target="http://csr.bu.edu/ftp/asl/asllvd/demos/verify_start_end_handshape_annotations//test_auto_move//signs_mov_separ_signers/Brady_3917.mov" TargetMode="External"/><Relationship Id="rId25936" Type="http://schemas.openxmlformats.org/officeDocument/2006/relationships/hyperlink" Target="http://secrets.rutgers.edu:8080/data/asl-ftp/asllvd/demos/verify_start_end_handshape_annotations//test_auto_move//signs_mov_separ_signers/Brady_3917.mov" TargetMode="External"/><Relationship Id="rId25937" Type="http://schemas.openxmlformats.org/officeDocument/2006/relationships/hyperlink" Target="http://csr.bu.edu/ftp/asl/asllvd/demos/verify_start_end_handshape_annotations//test_auto_move//signs_mov/4435.mov" TargetMode="External"/><Relationship Id="rId25938" Type="http://schemas.openxmlformats.org/officeDocument/2006/relationships/hyperlink" Target="http://csr.bu.edu/ftp/asl/asllvd/demos/verify_start_end_handshape_annotations//test_auto_move//signs_mov_separ_signers/Liz_4435.mov" TargetMode="External"/><Relationship Id="rId25939" Type="http://schemas.openxmlformats.org/officeDocument/2006/relationships/hyperlink" Target="http://secrets.rutgers.edu:8080/data/asl-ftp/asllvd/demos/verify_start_end_handshape_annotations//test_auto_move//signs_mov/4435.mov" TargetMode="External"/><Relationship Id="rId25940" Type="http://schemas.openxmlformats.org/officeDocument/2006/relationships/hyperlink" Target="http://secrets.rutgers.edu:8080/data/asl-ftp/asllvd/demos/verify_start_end_handshape_annotations//test_auto_move//signs_mov_separ_signers/Liz_4435.mov" TargetMode="External"/><Relationship Id="rId25941" Type="http://schemas.openxmlformats.org/officeDocument/2006/relationships/hyperlink" Target="http://csr.bu.edu/ftp/asl/asllvd/demos/verify_start_end_handshape_annotations//test_auto_move//signs_mov/4439.mov" TargetMode="External"/><Relationship Id="rId25942" Type="http://schemas.openxmlformats.org/officeDocument/2006/relationships/hyperlink" Target="http://csr.bu.edu/ftp/asl/asllvd/demos/verify_start_end_handshape_annotations//test_auto_move//signs_mov_separ_signers/Liz_4439.mov" TargetMode="External"/><Relationship Id="rId25943" Type="http://schemas.openxmlformats.org/officeDocument/2006/relationships/hyperlink" Target="http://secrets.rutgers.edu:8080/data/asl-ftp/asllvd/demos/verify_start_end_handshape_annotations//test_auto_move//signs_mov/4439.mov" TargetMode="External"/><Relationship Id="rId25944" Type="http://schemas.openxmlformats.org/officeDocument/2006/relationships/hyperlink" Target="http://secrets.rutgers.edu:8080/data/asl-ftp/asllvd/demos/verify_start_end_handshape_annotations//test_auto_move//signs_mov_separ_signers/Liz_4439.mov" TargetMode="External"/><Relationship Id="rId25945" Type="http://schemas.openxmlformats.org/officeDocument/2006/relationships/hyperlink" Target="http://csr.bu.edu/ftp/asl/asllvd/demos/verify_start_end_handshape_annotations//test_auto_move//signs_mov/4538.mov" TargetMode="External"/><Relationship Id="rId25946" Type="http://schemas.openxmlformats.org/officeDocument/2006/relationships/hyperlink" Target="http://csr.bu.edu/ftp/asl/asllvd/demos/verify_start_end_handshape_annotations//test_auto_move//signs_mov_separ_signers/Liz_4538.mov" TargetMode="External"/><Relationship Id="rId25947" Type="http://schemas.openxmlformats.org/officeDocument/2006/relationships/hyperlink" Target="http://secrets.rutgers.edu:8080/data/asl-ftp/asllvd/demos/verify_start_end_handshape_annotations//test_auto_move//signs_mov/4538.mov" TargetMode="External"/><Relationship Id="rId25948" Type="http://schemas.openxmlformats.org/officeDocument/2006/relationships/hyperlink" Target="http://secrets.rutgers.edu:8080/data/asl-ftp/asllvd/demos/verify_start_end_handshape_annotations//test_auto_move//signs_mov_separ_signers/Liz_4538.mov" TargetMode="External"/><Relationship Id="rId25949" Type="http://schemas.openxmlformats.org/officeDocument/2006/relationships/hyperlink" Target="http://csr.bu.edu/ftp/asl/asllvd/demos/verify_start_end_handshape_annotations//test_auto_move//signs_mov_separ_signers/Brady_4538.mov" TargetMode="External"/><Relationship Id="rId25950" Type="http://schemas.openxmlformats.org/officeDocument/2006/relationships/hyperlink" Target="http://secrets.rutgers.edu:8080/data/asl-ftp/asllvd/demos/verify_start_end_handshape_annotations//test_auto_move//signs_mov_separ_signers/Brady_4538.mov" TargetMode="External"/><Relationship Id="rId25951" Type="http://schemas.openxmlformats.org/officeDocument/2006/relationships/hyperlink" Target="http://csr.bu.edu/ftp/asl/asllvd/demos/verify_start_end_handshape_annotations//test_auto_move//signs_mov/4545.mov" TargetMode="External"/><Relationship Id="rId25952" Type="http://schemas.openxmlformats.org/officeDocument/2006/relationships/hyperlink" Target="http://csr.bu.edu/ftp/asl/asllvd/demos/verify_start_end_handshape_annotations//test_auto_move//signs_mov_separ_signers/Liz_4545.mov" TargetMode="External"/><Relationship Id="rId25953" Type="http://schemas.openxmlformats.org/officeDocument/2006/relationships/hyperlink" Target="http://secrets.rutgers.edu:8080/data/asl-ftp/asllvd/demos/verify_start_end_handshape_annotations//test_auto_move//signs_mov/4545.mov" TargetMode="External"/><Relationship Id="rId25954" Type="http://schemas.openxmlformats.org/officeDocument/2006/relationships/hyperlink" Target="http://secrets.rutgers.edu:8080/data/asl-ftp/asllvd/demos/verify_start_end_handshape_annotations//test_auto_move//signs_mov_separ_signers/Liz_4545.mov" TargetMode="External"/><Relationship Id="rId25955" Type="http://schemas.openxmlformats.org/officeDocument/2006/relationships/hyperlink" Target="http://csr.bu.edu/ftp/asl/asllvd/demos/verify_start_end_handshape_annotations//test_auto_move//signs_mov/4547.mov" TargetMode="External"/><Relationship Id="rId25956" Type="http://schemas.openxmlformats.org/officeDocument/2006/relationships/hyperlink" Target="http://csr.bu.edu/ftp/asl/asllvd/demos/verify_start_end_handshape_annotations//test_auto_move//signs_mov_separ_signers/Liz_4547.mov" TargetMode="External"/><Relationship Id="rId25957" Type="http://schemas.openxmlformats.org/officeDocument/2006/relationships/hyperlink" Target="http://secrets.rutgers.edu:8080/data/asl-ftp/asllvd/demos/verify_start_end_handshape_annotations//test_auto_move//signs_mov/4547.mov" TargetMode="External"/><Relationship Id="rId25958" Type="http://schemas.openxmlformats.org/officeDocument/2006/relationships/hyperlink" Target="http://secrets.rutgers.edu:8080/data/asl-ftp/asllvd/demos/verify_start_end_handshape_annotations//test_auto_move//signs_mov_separ_signers/Liz_4547.mov" TargetMode="External"/><Relationship Id="rId25959" Type="http://schemas.openxmlformats.org/officeDocument/2006/relationships/hyperlink" Target="http://csr.bu.edu/ftp/asl/asllvd/demos/verify_start_end_handshape_annotations//test_auto_move//signs_mov_separ_signers/Brady_4547.mov" TargetMode="External"/><Relationship Id="rId25960" Type="http://schemas.openxmlformats.org/officeDocument/2006/relationships/hyperlink" Target="http://secrets.rutgers.edu:8080/data/asl-ftp/asllvd/demos/verify_start_end_handshape_annotations//test_auto_move//signs_mov_separ_signers/Brady_4547.mov" TargetMode="External"/><Relationship Id="rId25961" Type="http://schemas.openxmlformats.org/officeDocument/2006/relationships/hyperlink" Target="http://csr.bu.edu/ftp/asl/asllvd/demos/verify_start_end_handshape_annotations//test_auto_move//signs_mov_separ_signers/Liz_4548.mov" TargetMode="External"/><Relationship Id="rId25962" Type="http://schemas.openxmlformats.org/officeDocument/2006/relationships/hyperlink" Target="http://secrets.rutgers.edu:8080/data/asl-ftp/asllvd/demos/verify_start_end_handshape_annotations//test_auto_move//signs_mov_separ_signers/Liz_4548.mov" TargetMode="External"/><Relationship Id="rId25963" Type="http://schemas.openxmlformats.org/officeDocument/2006/relationships/hyperlink" Target="http://csr.bu.edu/ftp/asl/asllvd/demos/verify_start_end_handshape_annotations//test_auto_move//signs_mov/4548.mov" TargetMode="External"/><Relationship Id="rId25964" Type="http://schemas.openxmlformats.org/officeDocument/2006/relationships/hyperlink" Target="http://csr.bu.edu/ftp/asl/asllvd/demos/verify_start_end_handshape_annotations//test_auto_move//signs_mov_separ_signers/Tyler_4548.mov" TargetMode="External"/><Relationship Id="rId25965" Type="http://schemas.openxmlformats.org/officeDocument/2006/relationships/hyperlink" Target="http://secrets.rutgers.edu:8080/data/asl-ftp/asllvd/demos/verify_start_end_handshape_annotations//test_auto_move//signs_mov/4548.mov" TargetMode="External"/><Relationship Id="rId25966" Type="http://schemas.openxmlformats.org/officeDocument/2006/relationships/hyperlink" Target="http://secrets.rutgers.edu:8080/data/asl-ftp/asllvd/demos/verify_start_end_handshape_annotations//test_auto_move//signs_mov_separ_signers/Tyler_4548.mov" TargetMode="External"/><Relationship Id="rId25967" Type="http://schemas.openxmlformats.org/officeDocument/2006/relationships/hyperlink" Target="http://csr.bu.edu/ftp/asl/asllvd/demos/verify_start_end_handshape_annotations//test_auto_move//signs_mov_separ_signers/Naomi_4548.mov" TargetMode="External"/><Relationship Id="rId25968" Type="http://schemas.openxmlformats.org/officeDocument/2006/relationships/hyperlink" Target="http://secrets.rutgers.edu:8080/data/asl-ftp/asllvd/demos/verify_start_end_handshape_annotations//test_auto_move//signs_mov_separ_signers/Naomi_4548.mov" TargetMode="External"/><Relationship Id="rId25969" Type="http://schemas.openxmlformats.org/officeDocument/2006/relationships/hyperlink" Target="http://csr.bu.edu/ftp/asl/asllvd/demos/verify_start_end_handshape_annotations//test_auto_move//signs_mov_separ_signers/Brady_4548.mov" TargetMode="External"/><Relationship Id="rId25970" Type="http://schemas.openxmlformats.org/officeDocument/2006/relationships/hyperlink" Target="http://secrets.rutgers.edu:8080/data/asl-ftp/asllvd/demos/verify_start_end_handshape_annotations//test_auto_move//signs_mov_separ_signers/Brady_4548.mov" TargetMode="External"/><Relationship Id="rId25971" Type="http://schemas.openxmlformats.org/officeDocument/2006/relationships/hyperlink" Target="http://csr.bu.edu/ftp/asl/asllvd/demos/verify_start_end_handshape_annotations//test_auto_move//signs_mov_separ_signers/Liz_4549.mov" TargetMode="External"/><Relationship Id="rId25972" Type="http://schemas.openxmlformats.org/officeDocument/2006/relationships/hyperlink" Target="http://secrets.rutgers.edu:8080/data/asl-ftp/asllvd/demos/verify_start_end_handshape_annotations//test_auto_move//signs_mov_separ_signers/Liz_4549.mov" TargetMode="External"/><Relationship Id="rId25973" Type="http://schemas.openxmlformats.org/officeDocument/2006/relationships/hyperlink" Target="http://csr.bu.edu/ftp/asl/asllvd/demos/verify_start_end_handshape_annotations//test_auto_move//signs_mov/4549.mov" TargetMode="External"/><Relationship Id="rId25974" Type="http://schemas.openxmlformats.org/officeDocument/2006/relationships/hyperlink" Target="http://csr.bu.edu/ftp/asl/asllvd/demos/verify_start_end_handshape_annotations//test_auto_move//signs_mov_separ_signers/Tyler_4549.mov" TargetMode="External"/><Relationship Id="rId25975" Type="http://schemas.openxmlformats.org/officeDocument/2006/relationships/hyperlink" Target="http://secrets.rutgers.edu:8080/data/asl-ftp/asllvd/demos/verify_start_end_handshape_annotations//test_auto_move//signs_mov/4549.mov" TargetMode="External"/><Relationship Id="rId25976" Type="http://schemas.openxmlformats.org/officeDocument/2006/relationships/hyperlink" Target="http://secrets.rutgers.edu:8080/data/asl-ftp/asllvd/demos/verify_start_end_handshape_annotations//test_auto_move//signs_mov_separ_signers/Tyler_4549.mov" TargetMode="External"/><Relationship Id="rId25977" Type="http://schemas.openxmlformats.org/officeDocument/2006/relationships/hyperlink" Target="http://csr.bu.edu/ftp/asl/asllvd/demos/verify_start_end_handshape_annotations//test_auto_move//signs_mov_separ_signers/Brady_4549.mov" TargetMode="External"/><Relationship Id="rId25978" Type="http://schemas.openxmlformats.org/officeDocument/2006/relationships/hyperlink" Target="http://secrets.rutgers.edu:8080/data/asl-ftp/asllvd/demos/verify_start_end_handshape_annotations//test_auto_move//signs_mov_separ_signers/Brady_4549.mov" TargetMode="External"/><Relationship Id="rId25979" Type="http://schemas.openxmlformats.org/officeDocument/2006/relationships/hyperlink" Target="http://csr.bu.edu/ftp/asl/asllvd/demos/verify_start_end_handshape_annotations//test_auto_move//signs_mov_separ_signers/Liz_4550.mov" TargetMode="External"/><Relationship Id="rId25980" Type="http://schemas.openxmlformats.org/officeDocument/2006/relationships/hyperlink" Target="http://secrets.rutgers.edu:8080/data/asl-ftp/asllvd/demos/verify_start_end_handshape_annotations//test_auto_move//signs_mov_separ_signers/Liz_4550.mov" TargetMode="External"/><Relationship Id="rId25981" Type="http://schemas.openxmlformats.org/officeDocument/2006/relationships/hyperlink" Target="http://csr.bu.edu/ftp/asl/asllvd/demos/verify_start_end_handshape_annotations//test_auto_move//signs_mov/4550.mov" TargetMode="External"/><Relationship Id="rId25982" Type="http://schemas.openxmlformats.org/officeDocument/2006/relationships/hyperlink" Target="http://csr.bu.edu/ftp/asl/asllvd/demos/verify_start_end_handshape_annotations//test_auto_move//signs_mov_separ_signers/Naomi_4550.mov" TargetMode="External"/><Relationship Id="rId25983" Type="http://schemas.openxmlformats.org/officeDocument/2006/relationships/hyperlink" Target="http://secrets.rutgers.edu:8080/data/asl-ftp/asllvd/demos/verify_start_end_handshape_annotations//test_auto_move//signs_mov/4550.mov" TargetMode="External"/><Relationship Id="rId25984" Type="http://schemas.openxmlformats.org/officeDocument/2006/relationships/hyperlink" Target="http://secrets.rutgers.edu:8080/data/asl-ftp/asllvd/demos/verify_start_end_handshape_annotations//test_auto_move//signs_mov_separ_signers/Naomi_4550.mov" TargetMode="External"/><Relationship Id="rId25985" Type="http://schemas.openxmlformats.org/officeDocument/2006/relationships/hyperlink" Target="http://csr.bu.edu/ftp/asl/asllvd/demos/verify_start_end_handshape_annotations//test_auto_move//signs_mov_separ_signers/Brady_4550.mov" TargetMode="External"/><Relationship Id="rId25986" Type="http://schemas.openxmlformats.org/officeDocument/2006/relationships/hyperlink" Target="http://secrets.rutgers.edu:8080/data/asl-ftp/asllvd/demos/verify_start_end_handshape_annotations//test_auto_move//signs_mov_separ_signers/Brady_4550.mov" TargetMode="External"/><Relationship Id="rId25987" Type="http://schemas.openxmlformats.org/officeDocument/2006/relationships/hyperlink" Target="http://csr.bu.edu/ftp/asl/asllvd/demos/verify_start_end_handshape_annotations//test_auto_move//signs_mov_separ_signers/Liz_5483.mov" TargetMode="External"/><Relationship Id="rId25988" Type="http://schemas.openxmlformats.org/officeDocument/2006/relationships/hyperlink" Target="http://secrets.rutgers.edu:8080/data/asl-ftp/asllvd/demos/verify_start_end_handshape_annotations//test_auto_move//signs_mov_separ_signers/Liz_5483.mov" TargetMode="External"/><Relationship Id="rId25989" Type="http://schemas.openxmlformats.org/officeDocument/2006/relationships/hyperlink" Target="http://csr.bu.edu/ftp/asl/asllvd/demos/verify_start_end_handshape_annotations//test_auto_move//signs_mov/5483.mov" TargetMode="External"/><Relationship Id="rId25990" Type="http://schemas.openxmlformats.org/officeDocument/2006/relationships/hyperlink" Target="http://csr.bu.edu/ftp/asl/asllvd/demos/verify_start_end_handshape_annotations//test_auto_move//signs_mov_separ_signers/Naomi_5483.mov" TargetMode="External"/><Relationship Id="rId25991" Type="http://schemas.openxmlformats.org/officeDocument/2006/relationships/hyperlink" Target="http://secrets.rutgers.edu:8080/data/asl-ftp/asllvd/demos/verify_start_end_handshape_annotations//test_auto_move//signs_mov/5483.mov" TargetMode="External"/><Relationship Id="rId25992" Type="http://schemas.openxmlformats.org/officeDocument/2006/relationships/hyperlink" Target="http://secrets.rutgers.edu:8080/data/asl-ftp/asllvd/demos/verify_start_end_handshape_annotations//test_auto_move//signs_mov_separ_signers/Naomi_5483.mov" TargetMode="External"/><Relationship Id="rId25993" Type="http://schemas.openxmlformats.org/officeDocument/2006/relationships/hyperlink" Target="http://csr.bu.edu/ftp/asl/asllvd/demos/verify_start_end_handshape_annotations//test_auto_move//signs_mov_separ_signers/Brady_5483.mov" TargetMode="External"/><Relationship Id="rId25994" Type="http://schemas.openxmlformats.org/officeDocument/2006/relationships/hyperlink" Target="http://secrets.rutgers.edu:8080/data/asl-ftp/asllvd/demos/verify_start_end_handshape_annotations//test_auto_move//signs_mov_separ_signers/Brady_5483.mov" TargetMode="External"/><Relationship Id="rId25995" Type="http://schemas.openxmlformats.org/officeDocument/2006/relationships/hyperlink" Target="http://csr.bu.edu/ftp/asl/asllvd/demos/verify_start_end_handshape_annotations//test_auto_move//signs_mov_separ_signers/Liz_5750.mov" TargetMode="External"/><Relationship Id="rId25996" Type="http://schemas.openxmlformats.org/officeDocument/2006/relationships/hyperlink" Target="http://secrets.rutgers.edu:8080/data/asl-ftp/asllvd/demos/verify_start_end_handshape_annotations//test_auto_move//signs_mov_separ_signers/Liz_5750.mov" TargetMode="External"/><Relationship Id="rId25997" Type="http://schemas.openxmlformats.org/officeDocument/2006/relationships/hyperlink" Target="http://csr.bu.edu/ftp/asl/asllvd/demos/verify_start_end_handshape_annotations//test_auto_move//signs_mov_separ_signers/Tyler_5750.mov" TargetMode="External"/><Relationship Id="rId25998" Type="http://schemas.openxmlformats.org/officeDocument/2006/relationships/hyperlink" Target="http://secrets.rutgers.edu:8080/data/asl-ftp/asllvd/demos/verify_start_end_handshape_annotations//test_auto_move//signs_mov_separ_signers/Tyler_5750.mov" TargetMode="External"/><Relationship Id="rId25999" Type="http://schemas.openxmlformats.org/officeDocument/2006/relationships/hyperlink" Target="http://csr.bu.edu/ftp/asl/asllvd/demos/verify_start_end_handshape_annotations//test_auto_move//signs_mov/5750_15070_merged.mov" TargetMode="External"/><Relationship Id="rId26000" Type="http://schemas.openxmlformats.org/officeDocument/2006/relationships/hyperlink" Target="http://csr.bu.edu/ftp/asl/asllvd/demos/verify_start_end_handshape_annotations//test_auto_move//signs_mov_separ_signers/Tyler_15070.mov" TargetMode="External"/><Relationship Id="rId26001" Type="http://schemas.openxmlformats.org/officeDocument/2006/relationships/hyperlink" Target="http://secrets.rutgers.edu:8080/data/asl-ftp/asllvd/demos/verify_start_end_handshape_annotations//test_auto_move//signs_mov/5750_15070_merged.mov" TargetMode="External"/><Relationship Id="rId26002" Type="http://schemas.openxmlformats.org/officeDocument/2006/relationships/hyperlink" Target="http://secrets.rutgers.edu:8080/data/asl-ftp/asllvd/demos/verify_start_end_handshape_annotations//test_auto_move//signs_mov_separ_signers/Tyler_15070.mov" TargetMode="External"/><Relationship Id="rId26003" Type="http://schemas.openxmlformats.org/officeDocument/2006/relationships/hyperlink" Target="http://csr.bu.edu/ftp/asl/asllvd/demos/verify_start_end_handshape_annotations//test_auto_move//signs_mov_separ_signers/Naomi_5750.mov" TargetMode="External"/><Relationship Id="rId26004" Type="http://schemas.openxmlformats.org/officeDocument/2006/relationships/hyperlink" Target="http://secrets.rutgers.edu:8080/data/asl-ftp/asllvd/demos/verify_start_end_handshape_annotations//test_auto_move//signs_mov_separ_signers/Naomi_5750.mov" TargetMode="External"/><Relationship Id="rId26005" Type="http://schemas.openxmlformats.org/officeDocument/2006/relationships/hyperlink" Target="http://csr.bu.edu/ftp/asl/asllvd/demos/verify_start_end_handshape_annotations//test_auto_move//signs_mov_separ_signers/Brady_5750.mov" TargetMode="External"/><Relationship Id="rId26006" Type="http://schemas.openxmlformats.org/officeDocument/2006/relationships/hyperlink" Target="http://secrets.rutgers.edu:8080/data/asl-ftp/asllvd/demos/verify_start_end_handshape_annotations//test_auto_move//signs_mov_separ_signers/Brady_5750.mov" TargetMode="External"/><Relationship Id="rId26007" Type="http://schemas.openxmlformats.org/officeDocument/2006/relationships/hyperlink" Target="http://csr.bu.edu/ftp/asl/asllvd/demos/verify_start_end_handshape_annotations//test_auto_move//signs_mov/4589.mov" TargetMode="External"/><Relationship Id="rId26008" Type="http://schemas.openxmlformats.org/officeDocument/2006/relationships/hyperlink" Target="http://csr.bu.edu/ftp/asl/asllvd/demos/verify_start_end_handshape_annotations//test_auto_move//signs_mov_separ_signers/Liz_4589.mov" TargetMode="External"/><Relationship Id="rId26009" Type="http://schemas.openxmlformats.org/officeDocument/2006/relationships/hyperlink" Target="http://secrets.rutgers.edu:8080/data/asl-ftp/asllvd/demos/verify_start_end_handshape_annotations//test_auto_move//signs_mov/4589.mov" TargetMode="External"/><Relationship Id="rId26010" Type="http://schemas.openxmlformats.org/officeDocument/2006/relationships/hyperlink" Target="http://secrets.rutgers.edu:8080/data/asl-ftp/asllvd/demos/verify_start_end_handshape_annotations//test_auto_move//signs_mov_separ_signers/Liz_4589.mov" TargetMode="External"/><Relationship Id="rId26011" Type="http://schemas.openxmlformats.org/officeDocument/2006/relationships/hyperlink" Target="http://csr.bu.edu/ftp/asl/asllvd/demos/verify_start_end_handshape_annotations//test_auto_move//signs_mov_separ_signers/Liz_4594.mov" TargetMode="External"/><Relationship Id="rId26012" Type="http://schemas.openxmlformats.org/officeDocument/2006/relationships/hyperlink" Target="http://secrets.rutgers.edu:8080/data/asl-ftp/asllvd/demos/verify_start_end_handshape_annotations//test_auto_move//signs_mov_separ_signers/Liz_4594.mov" TargetMode="External"/><Relationship Id="rId26013" Type="http://schemas.openxmlformats.org/officeDocument/2006/relationships/hyperlink" Target="http://csr.bu.edu/ftp/asl/asllvd/demos/verify_start_end_handshape_annotations//test_auto_move//signs_mov/4594.mov" TargetMode="External"/><Relationship Id="rId26014" Type="http://schemas.openxmlformats.org/officeDocument/2006/relationships/hyperlink" Target="http://csr.bu.edu/ftp/asl/asllvd/demos/verify_start_end_handshape_annotations//test_auto_move//signs_mov_separ_signers/Tyler_4594.mov" TargetMode="External"/><Relationship Id="rId26015" Type="http://schemas.openxmlformats.org/officeDocument/2006/relationships/hyperlink" Target="http://secrets.rutgers.edu:8080/data/asl-ftp/asllvd/demos/verify_start_end_handshape_annotations//test_auto_move//signs_mov/4594.mov" TargetMode="External"/><Relationship Id="rId26016" Type="http://schemas.openxmlformats.org/officeDocument/2006/relationships/hyperlink" Target="http://secrets.rutgers.edu:8080/data/asl-ftp/asllvd/demos/verify_start_end_handshape_annotations//test_auto_move//signs_mov_separ_signers/Tyler_4594.mov" TargetMode="External"/><Relationship Id="rId26017" Type="http://schemas.openxmlformats.org/officeDocument/2006/relationships/hyperlink" Target="http://csr.bu.edu/ftp/asl/asllvd/demos/verify_start_end_handshape_annotations//test_auto_move//signs_mov_separ_signers/Brady_4594.mov" TargetMode="External"/><Relationship Id="rId26018" Type="http://schemas.openxmlformats.org/officeDocument/2006/relationships/hyperlink" Target="http://secrets.rutgers.edu:8080/data/asl-ftp/asllvd/demos/verify_start_end_handshape_annotations//test_auto_move//signs_mov_separ_signers/Brady_4594.mov" TargetMode="External"/><Relationship Id="rId26019" Type="http://schemas.openxmlformats.org/officeDocument/2006/relationships/hyperlink" Target="http://csr.bu.edu/ftp/asl/asllvd/demos/verify_start_end_handshape_annotations//test_auto_move//signs_mov/15006.mov" TargetMode="External"/><Relationship Id="rId26020" Type="http://schemas.openxmlformats.org/officeDocument/2006/relationships/hyperlink" Target="http://csr.bu.edu/ftp/asl/asllvd/demos/verify_start_end_handshape_annotations//test_auto_move//signs_mov_separ_signers/Naomi_15006.mov" TargetMode="External"/><Relationship Id="rId26021" Type="http://schemas.openxmlformats.org/officeDocument/2006/relationships/hyperlink" Target="http://secrets.rutgers.edu:8080/data/asl-ftp/asllvd/demos/verify_start_end_handshape_annotations//test_auto_move//signs_mov/15006.mov" TargetMode="External"/><Relationship Id="rId26022" Type="http://schemas.openxmlformats.org/officeDocument/2006/relationships/hyperlink" Target="http://secrets.rutgers.edu:8080/data/asl-ftp/asllvd/demos/verify_start_end_handshape_annotations//test_auto_move//signs_mov_separ_signers/Naomi_15006.mov" TargetMode="External"/><Relationship Id="rId26023" Type="http://schemas.openxmlformats.org/officeDocument/2006/relationships/hyperlink" Target="http://csr.bu.edu/ftp/asl/asllvd/demos/verify_start_end_handshape_annotations//test_auto_move//signs_mov_separ_signers/Liz_4603.mov" TargetMode="External"/><Relationship Id="rId26024" Type="http://schemas.openxmlformats.org/officeDocument/2006/relationships/hyperlink" Target="http://secrets.rutgers.edu:8080/data/asl-ftp/asllvd/demos/verify_start_end_handshape_annotations//test_auto_move//signs_mov_separ_signers/Liz_4603.mov" TargetMode="External"/><Relationship Id="rId26025" Type="http://schemas.openxmlformats.org/officeDocument/2006/relationships/hyperlink" Target="http://csr.bu.edu/ftp/asl/asllvd/demos/verify_start_end_handshape_annotations//test_auto_move//signs_mov_separ_signers/Tyler_4603.mov" TargetMode="External"/><Relationship Id="rId26026" Type="http://schemas.openxmlformats.org/officeDocument/2006/relationships/hyperlink" Target="http://secrets.rutgers.edu:8080/data/asl-ftp/asllvd/demos/verify_start_end_handshape_annotations//test_auto_move//signs_mov_separ_signers/Tyler_4603.mov" TargetMode="External"/><Relationship Id="rId26027" Type="http://schemas.openxmlformats.org/officeDocument/2006/relationships/hyperlink" Target="http://csr.bu.edu/ftp/asl/asllvd/demos/verify_start_end_handshape_annotations//test_auto_move//signs_mov/4603_15093_merged.mov" TargetMode="External"/><Relationship Id="rId26028" Type="http://schemas.openxmlformats.org/officeDocument/2006/relationships/hyperlink" Target="http://csr.bu.edu/ftp/asl/asllvd/demos/verify_start_end_handshape_annotations//test_auto_move//signs_mov_separ_signers/Brady_4603.mov" TargetMode="External"/><Relationship Id="rId26029" Type="http://schemas.openxmlformats.org/officeDocument/2006/relationships/hyperlink" Target="http://secrets.rutgers.edu:8080/data/asl-ftp/asllvd/demos/verify_start_end_handshape_annotations//test_auto_move//signs_mov/4603_15093_merged.mov" TargetMode="External"/><Relationship Id="rId26030" Type="http://schemas.openxmlformats.org/officeDocument/2006/relationships/hyperlink" Target="http://secrets.rutgers.edu:8080/data/asl-ftp/asllvd/demos/verify_start_end_handshape_annotations//test_auto_move//signs_mov_separ_signers/Brady_4603.mov" TargetMode="External"/><Relationship Id="rId26031" Type="http://schemas.openxmlformats.org/officeDocument/2006/relationships/hyperlink" Target="http://csr.bu.edu/ftp/asl/asllvd/demos/verify_start_end_handshape_annotations//test_auto_move//signs_mov_separ_signers/Brady_15093.mov" TargetMode="External"/><Relationship Id="rId26032" Type="http://schemas.openxmlformats.org/officeDocument/2006/relationships/hyperlink" Target="http://secrets.rutgers.edu:8080/data/asl-ftp/asllvd/demos/verify_start_end_handshape_annotations//test_auto_move//signs_mov_separ_signers/Brady_15093.mov" TargetMode="External"/><Relationship Id="rId26033" Type="http://schemas.openxmlformats.org/officeDocument/2006/relationships/hyperlink" Target="http://csr.bu.edu/ftp/asl/asllvd/demos/verify_start_end_handshape_annotations//test_auto_move//signs_mov_separ_signers/Lana_4603.mov" TargetMode="External"/><Relationship Id="rId26034" Type="http://schemas.openxmlformats.org/officeDocument/2006/relationships/hyperlink" Target="http://secrets.rutgers.edu:8080/data/asl-ftp/asllvd/demos/verify_start_end_handshape_annotations//test_auto_move//signs_mov_separ_signers/Lana_4603.mov" TargetMode="External"/><Relationship Id="rId26035" Type="http://schemas.openxmlformats.org/officeDocument/2006/relationships/hyperlink" Target="http://csr.bu.edu/ftp/asl/asllvd/demos/verify_start_end_handshape_annotations//test_auto_move//signs_mov_separ_signers/Dana_4603.mov" TargetMode="External"/><Relationship Id="rId26036" Type="http://schemas.openxmlformats.org/officeDocument/2006/relationships/hyperlink" Target="http://secrets.rutgers.edu:8080/data/asl-ftp/asllvd/demos/verify_start_end_handshape_annotations//test_auto_move//signs_mov_separ_signers/Dana_4603.mov" TargetMode="External"/><Relationship Id="rId26037" Type="http://schemas.openxmlformats.org/officeDocument/2006/relationships/hyperlink" Target="http://csr.bu.edu/ftp/asl/asllvd/demos/verify_start_end_handshape_annotations//test_auto_move//signs_mov/4624.mov" TargetMode="External"/><Relationship Id="rId26038" Type="http://schemas.openxmlformats.org/officeDocument/2006/relationships/hyperlink" Target="http://csr.bu.edu/ftp/asl/asllvd/demos/verify_start_end_handshape_annotations//test_auto_move//signs_mov_separ_signers/Tyler_4624.mov" TargetMode="External"/><Relationship Id="rId26039" Type="http://schemas.openxmlformats.org/officeDocument/2006/relationships/hyperlink" Target="http://secrets.rutgers.edu:8080/data/asl-ftp/asllvd/demos/verify_start_end_handshape_annotations//test_auto_move//signs_mov/4624.mov" TargetMode="External"/><Relationship Id="rId26040" Type="http://schemas.openxmlformats.org/officeDocument/2006/relationships/hyperlink" Target="http://secrets.rutgers.edu:8080/data/asl-ftp/asllvd/demos/verify_start_end_handshape_annotations//test_auto_move//signs_mov_separ_signers/Tyler_4624.mov" TargetMode="External"/><Relationship Id="rId26041" Type="http://schemas.openxmlformats.org/officeDocument/2006/relationships/hyperlink" Target="http://csr.bu.edu/ftp/asl/asllvd/demos/verify_start_end_handshape_annotations//test_auto_move//signs_mov/4643.mov" TargetMode="External"/><Relationship Id="rId26042" Type="http://schemas.openxmlformats.org/officeDocument/2006/relationships/hyperlink" Target="http://csr.bu.edu/ftp/asl/asllvd/demos/verify_start_end_handshape_annotations//test_auto_move//signs_mov_separ_signers/Liz_4643.mov" TargetMode="External"/><Relationship Id="rId26043" Type="http://schemas.openxmlformats.org/officeDocument/2006/relationships/hyperlink" Target="http://secrets.rutgers.edu:8080/data/asl-ftp/asllvd/demos/verify_start_end_handshape_annotations//test_auto_move//signs_mov/4643.mov" TargetMode="External"/><Relationship Id="rId26044" Type="http://schemas.openxmlformats.org/officeDocument/2006/relationships/hyperlink" Target="http://secrets.rutgers.edu:8080/data/asl-ftp/asllvd/demos/verify_start_end_handshape_annotations//test_auto_move//signs_mov_separ_signers/Liz_4643.mov" TargetMode="External"/><Relationship Id="rId26045" Type="http://schemas.openxmlformats.org/officeDocument/2006/relationships/hyperlink" Target="http://csr.bu.edu/ftp/asl/asllvd/demos/verify_start_end_handshape_annotations//test_auto_move//signs_mov_separ_signers/Brady_4643.mov" TargetMode="External"/><Relationship Id="rId26046" Type="http://schemas.openxmlformats.org/officeDocument/2006/relationships/hyperlink" Target="http://secrets.rutgers.edu:8080/data/asl-ftp/asllvd/demos/verify_start_end_handshape_annotations//test_auto_move//signs_mov_separ_signers/Brady_4643.mov" TargetMode="External"/><Relationship Id="rId26047" Type="http://schemas.openxmlformats.org/officeDocument/2006/relationships/hyperlink" Target="http://csr.bu.edu/ftp/asl/asllvd/demos/verify_start_end_handshape_annotations//test_auto_move//signs_mov/4644.mov" TargetMode="External"/><Relationship Id="rId26048" Type="http://schemas.openxmlformats.org/officeDocument/2006/relationships/hyperlink" Target="http://csr.bu.edu/ftp/asl/asllvd/demos/verify_start_end_handshape_annotations//test_auto_move//signs_mov_separ_signers/Brady_4644.mov" TargetMode="External"/><Relationship Id="rId26049" Type="http://schemas.openxmlformats.org/officeDocument/2006/relationships/hyperlink" Target="http://secrets.rutgers.edu:8080/data/asl-ftp/asllvd/demos/verify_start_end_handshape_annotations//test_auto_move//signs_mov/4644.mov" TargetMode="External"/><Relationship Id="rId26050" Type="http://schemas.openxmlformats.org/officeDocument/2006/relationships/hyperlink" Target="http://secrets.rutgers.edu:8080/data/asl-ftp/asllvd/demos/verify_start_end_handshape_annotations//test_auto_move//signs_mov_separ_signers/Brady_4644.mov" TargetMode="External"/><Relationship Id="rId26051" Type="http://schemas.openxmlformats.org/officeDocument/2006/relationships/hyperlink" Target="http://csr.bu.edu/ftp/asl/asllvd/demos/verify_start_end_handshape_annotations//test_auto_move//signs_mov/4645.mov" TargetMode="External"/><Relationship Id="rId26052" Type="http://schemas.openxmlformats.org/officeDocument/2006/relationships/hyperlink" Target="http://csr.bu.edu/ftp/asl/asllvd/demos/verify_start_end_handshape_annotations//test_auto_move//signs_mov_separ_signers/Liz_4645.mov" TargetMode="External"/><Relationship Id="rId26053" Type="http://schemas.openxmlformats.org/officeDocument/2006/relationships/hyperlink" Target="http://secrets.rutgers.edu:8080/data/asl-ftp/asllvd/demos/verify_start_end_handshape_annotations//test_auto_move//signs_mov/4645.mov" TargetMode="External"/><Relationship Id="rId26054" Type="http://schemas.openxmlformats.org/officeDocument/2006/relationships/hyperlink" Target="http://secrets.rutgers.edu:8080/data/asl-ftp/asllvd/demos/verify_start_end_handshape_annotations//test_auto_move//signs_mov_separ_signers/Liz_4645.mov" TargetMode="External"/><Relationship Id="rId26055" Type="http://schemas.openxmlformats.org/officeDocument/2006/relationships/hyperlink" Target="http://csr.bu.edu/ftp/asl/asllvd/demos/verify_start_end_handshape_annotations//test_auto_move//signs_mov/4646.mov" TargetMode="External"/><Relationship Id="rId26056" Type="http://schemas.openxmlformats.org/officeDocument/2006/relationships/hyperlink" Target="http://csr.bu.edu/ftp/asl/asllvd/demos/verify_start_end_handshape_annotations//test_auto_move//signs_mov_separ_signers/Liz_4646.mov" TargetMode="External"/><Relationship Id="rId26057" Type="http://schemas.openxmlformats.org/officeDocument/2006/relationships/hyperlink" Target="http://secrets.rutgers.edu:8080/data/asl-ftp/asllvd/demos/verify_start_end_handshape_annotations//test_auto_move//signs_mov/4646.mov" TargetMode="External"/><Relationship Id="rId26058" Type="http://schemas.openxmlformats.org/officeDocument/2006/relationships/hyperlink" Target="http://secrets.rutgers.edu:8080/data/asl-ftp/asllvd/demos/verify_start_end_handshape_annotations//test_auto_move//signs_mov_separ_signers/Liz_4646.mov" TargetMode="External"/><Relationship Id="rId26059" Type="http://schemas.openxmlformats.org/officeDocument/2006/relationships/hyperlink" Target="http://csr.bu.edu/ftp/asl/asllvd/demos/verify_start_end_handshape_annotations//test_auto_move//signs_mov/4647.mov" TargetMode="External"/><Relationship Id="rId26060" Type="http://schemas.openxmlformats.org/officeDocument/2006/relationships/hyperlink" Target="http://csr.bu.edu/ftp/asl/asllvd/demos/verify_start_end_handshape_annotations//test_auto_move//signs_mov_separ_signers/Liz_4647.mov" TargetMode="External"/><Relationship Id="rId26061" Type="http://schemas.openxmlformats.org/officeDocument/2006/relationships/hyperlink" Target="http://secrets.rutgers.edu:8080/data/asl-ftp/asllvd/demos/verify_start_end_handshape_annotations//test_auto_move//signs_mov/4647.mov" TargetMode="External"/><Relationship Id="rId26062" Type="http://schemas.openxmlformats.org/officeDocument/2006/relationships/hyperlink" Target="http://secrets.rutgers.edu:8080/data/asl-ftp/asllvd/demos/verify_start_end_handshape_annotations//test_auto_move//signs_mov_separ_signers/Liz_4647.mov" TargetMode="External"/><Relationship Id="rId26063" Type="http://schemas.openxmlformats.org/officeDocument/2006/relationships/hyperlink" Target="http://csr.bu.edu/ftp/asl/asllvd/demos/verify_start_end_handshape_annotations//test_auto_move//signs_mov/16488.mov" TargetMode="External"/><Relationship Id="rId26064" Type="http://schemas.openxmlformats.org/officeDocument/2006/relationships/hyperlink" Target="http://csr.bu.edu/ftp/asl/asllvd/demos/verify_start_end_handshape_annotations//test_auto_move//signs_mov_separ_signers/Brady_16488.mov" TargetMode="External"/><Relationship Id="rId26065" Type="http://schemas.openxmlformats.org/officeDocument/2006/relationships/hyperlink" Target="http://secrets.rutgers.edu:8080/data/asl-ftp/asllvd/demos/verify_start_end_handshape_annotations//test_auto_move//signs_mov/16488.mov" TargetMode="External"/><Relationship Id="rId26066" Type="http://schemas.openxmlformats.org/officeDocument/2006/relationships/hyperlink" Target="http://secrets.rutgers.edu:8080/data/asl-ftp/asllvd/demos/verify_start_end_handshape_annotations//test_auto_move//signs_mov_separ_signers/Brady_16488.mov" TargetMode="External"/><Relationship Id="rId26067" Type="http://schemas.openxmlformats.org/officeDocument/2006/relationships/hyperlink" Target="http://csr.bu.edu/ftp/asl/asllvd/demos/verify_start_end_handshape_annotations//test_auto_move//signs_mov_separ_signers/Liz_4663.mov" TargetMode="External"/><Relationship Id="rId26068" Type="http://schemas.openxmlformats.org/officeDocument/2006/relationships/hyperlink" Target="http://secrets.rutgers.edu:8080/data/asl-ftp/asllvd/demos/verify_start_end_handshape_annotations//test_auto_move//signs_mov_separ_signers/Liz_4663.mov" TargetMode="External"/><Relationship Id="rId26069" Type="http://schemas.openxmlformats.org/officeDocument/2006/relationships/hyperlink" Target="http://csr.bu.edu/ftp/asl/asllvd/demos/verify_start_end_handshape_annotations//test_auto_move//signs_mov/4663.mov" TargetMode="External"/><Relationship Id="rId26070" Type="http://schemas.openxmlformats.org/officeDocument/2006/relationships/hyperlink" Target="http://csr.bu.edu/ftp/asl/asllvd/demos/verify_start_end_handshape_annotations//test_auto_move//signs_mov_separ_signers/Tyler_4663.mov" TargetMode="External"/><Relationship Id="rId26071" Type="http://schemas.openxmlformats.org/officeDocument/2006/relationships/hyperlink" Target="http://secrets.rutgers.edu:8080/data/asl-ftp/asllvd/demos/verify_start_end_handshape_annotations//test_auto_move//signs_mov/4663.mov" TargetMode="External"/><Relationship Id="rId26072" Type="http://schemas.openxmlformats.org/officeDocument/2006/relationships/hyperlink" Target="http://secrets.rutgers.edu:8080/data/asl-ftp/asllvd/demos/verify_start_end_handshape_annotations//test_auto_move//signs_mov_separ_signers/Tyler_4663.mov" TargetMode="External"/><Relationship Id="rId26073" Type="http://schemas.openxmlformats.org/officeDocument/2006/relationships/hyperlink" Target="http://csr.bu.edu/ftp/asl/asllvd/demos/verify_start_end_handshape_annotations//test_auto_move//signs_mov_separ_signers/Naomi_4663.mov" TargetMode="External"/><Relationship Id="rId26074" Type="http://schemas.openxmlformats.org/officeDocument/2006/relationships/hyperlink" Target="http://secrets.rutgers.edu:8080/data/asl-ftp/asllvd/demos/verify_start_end_handshape_annotations//test_auto_move//signs_mov_separ_signers/Naomi_4663.mov" TargetMode="External"/><Relationship Id="rId26075" Type="http://schemas.openxmlformats.org/officeDocument/2006/relationships/hyperlink" Target="http://csr.bu.edu/ftp/asl/asllvd/demos/verify_start_end_handshape_annotations//test_auto_move//signs_mov_separ_signers/Brady_4663.mov" TargetMode="External"/><Relationship Id="rId26076" Type="http://schemas.openxmlformats.org/officeDocument/2006/relationships/hyperlink" Target="http://secrets.rutgers.edu:8080/data/asl-ftp/asllvd/demos/verify_start_end_handshape_annotations//test_auto_move//signs_mov_separ_signers/Brady_4663.mov" TargetMode="External"/><Relationship Id="rId26077" Type="http://schemas.openxmlformats.org/officeDocument/2006/relationships/hyperlink" Target="http://csr.bu.edu/ftp/asl/asllvd/demos/verify_start_end_handshape_annotations//test_auto_move//signs_mov_separ_signers/Liz_15641.mov" TargetMode="External"/><Relationship Id="rId26078" Type="http://schemas.openxmlformats.org/officeDocument/2006/relationships/hyperlink" Target="http://secrets.rutgers.edu:8080/data/asl-ftp/asllvd/demos/verify_start_end_handshape_annotations//test_auto_move//signs_mov_separ_signers/Liz_15641.mov" TargetMode="External"/><Relationship Id="rId26079" Type="http://schemas.openxmlformats.org/officeDocument/2006/relationships/hyperlink" Target="http://csr.bu.edu/ftp/asl/asllvd/demos/verify_start_end_handshape_annotations//test_auto_move//signs_mov_separ_signers/Tyler_15641.mov" TargetMode="External"/><Relationship Id="rId26080" Type="http://schemas.openxmlformats.org/officeDocument/2006/relationships/hyperlink" Target="http://secrets.rutgers.edu:8080/data/asl-ftp/asllvd/demos/verify_start_end_handshape_annotations//test_auto_move//signs_mov_separ_signers/Tyler_15641.mov" TargetMode="External"/><Relationship Id="rId26081" Type="http://schemas.openxmlformats.org/officeDocument/2006/relationships/hyperlink" Target="http://csr.bu.edu/ftp/asl/asllvd/demos/verify_start_end_handshape_annotations//test_auto_move//signs_mov/15641_15678_merged.mov" TargetMode="External"/><Relationship Id="rId26082" Type="http://schemas.openxmlformats.org/officeDocument/2006/relationships/hyperlink" Target="http://csr.bu.edu/ftp/asl/asllvd/demos/verify_start_end_handshape_annotations//test_auto_move//signs_mov_separ_signers/Naomi_15641.mov" TargetMode="External"/><Relationship Id="rId26083" Type="http://schemas.openxmlformats.org/officeDocument/2006/relationships/hyperlink" Target="http://secrets.rutgers.edu:8080/data/asl-ftp/asllvd/demos/verify_start_end_handshape_annotations//test_auto_move//signs_mov/15641_15678_merged.mov" TargetMode="External"/><Relationship Id="rId26084" Type="http://schemas.openxmlformats.org/officeDocument/2006/relationships/hyperlink" Target="http://secrets.rutgers.edu:8080/data/asl-ftp/asllvd/demos/verify_start_end_handshape_annotations//test_auto_move//signs_mov_separ_signers/Naomi_15641.mov" TargetMode="External"/><Relationship Id="rId26085" Type="http://schemas.openxmlformats.org/officeDocument/2006/relationships/hyperlink" Target="http://csr.bu.edu/ftp/asl/asllvd/demos/verify_start_end_handshape_annotations//test_auto_move//signs_mov_separ_signers/Brady_15641.mov" TargetMode="External"/><Relationship Id="rId26086" Type="http://schemas.openxmlformats.org/officeDocument/2006/relationships/hyperlink" Target="http://secrets.rutgers.edu:8080/data/asl-ftp/asllvd/demos/verify_start_end_handshape_annotations//test_auto_move//signs_mov_separ_signers/Brady_15641.mov" TargetMode="External"/><Relationship Id="rId26087" Type="http://schemas.openxmlformats.org/officeDocument/2006/relationships/hyperlink" Target="http://csr.bu.edu/ftp/asl/asllvd/demos/verify_start_end_handshape_annotations//test_auto_move//signs_mov_separ_signers/Brady_15678.mov" TargetMode="External"/><Relationship Id="rId26088" Type="http://schemas.openxmlformats.org/officeDocument/2006/relationships/hyperlink" Target="http://secrets.rutgers.edu:8080/data/asl-ftp/asllvd/demos/verify_start_end_handshape_annotations//test_auto_move//signs_mov_separ_signers/Brady_15678.mov" TargetMode="External"/><Relationship Id="rId26089" Type="http://schemas.openxmlformats.org/officeDocument/2006/relationships/hyperlink" Target="http://csr.bu.edu/ftp/asl/asllvd/demos/verify_start_end_handshape_annotations//test_auto_move//signs_mov/4668.mov" TargetMode="External"/><Relationship Id="rId26090" Type="http://schemas.openxmlformats.org/officeDocument/2006/relationships/hyperlink" Target="http://csr.bu.edu/ftp/asl/asllvd/demos/verify_start_end_handshape_annotations//test_auto_move//signs_mov_separ_signers/Liz_4668.mov" TargetMode="External"/><Relationship Id="rId26091" Type="http://schemas.openxmlformats.org/officeDocument/2006/relationships/hyperlink" Target="http://secrets.rutgers.edu:8080/data/asl-ftp/asllvd/demos/verify_start_end_handshape_annotations//test_auto_move//signs_mov/4668.mov" TargetMode="External"/><Relationship Id="rId26092" Type="http://schemas.openxmlformats.org/officeDocument/2006/relationships/hyperlink" Target="http://secrets.rutgers.edu:8080/data/asl-ftp/asllvd/demos/verify_start_end_handshape_annotations//test_auto_move//signs_mov_separ_signers/Liz_4668.mov" TargetMode="External"/><Relationship Id="rId26093" Type="http://schemas.openxmlformats.org/officeDocument/2006/relationships/hyperlink" Target="http://csr.bu.edu/ftp/asl/asllvd/demos/verify_start_end_handshape_annotations//test_auto_move//signs_mov/4671.mov" TargetMode="External"/><Relationship Id="rId26094" Type="http://schemas.openxmlformats.org/officeDocument/2006/relationships/hyperlink" Target="http://csr.bu.edu/ftp/asl/asllvd/demos/verify_start_end_handshape_annotations//test_auto_move//signs_mov_separ_signers/Liz_4671.mov" TargetMode="External"/><Relationship Id="rId26095" Type="http://schemas.openxmlformats.org/officeDocument/2006/relationships/hyperlink" Target="http://secrets.rutgers.edu:8080/data/asl-ftp/asllvd/demos/verify_start_end_handshape_annotations//test_auto_move//signs_mov/4671.mov" TargetMode="External"/><Relationship Id="rId26096" Type="http://schemas.openxmlformats.org/officeDocument/2006/relationships/hyperlink" Target="http://secrets.rutgers.edu:8080/data/asl-ftp/asllvd/demos/verify_start_end_handshape_annotations//test_auto_move//signs_mov_separ_signers/Liz_4671.mov" TargetMode="External"/><Relationship Id="rId26097" Type="http://schemas.openxmlformats.org/officeDocument/2006/relationships/hyperlink" Target="http://csr.bu.edu/ftp/asl/asllvd/demos/verify_start_end_handshape_annotations//test_auto_move//signs_mov_separ_signers/Brady_4671.mov" TargetMode="External"/><Relationship Id="rId26098" Type="http://schemas.openxmlformats.org/officeDocument/2006/relationships/hyperlink" Target="http://secrets.rutgers.edu:8080/data/asl-ftp/asllvd/demos/verify_start_end_handshape_annotations//test_auto_move//signs_mov_separ_signers/Brady_4671.mov" TargetMode="External"/><Relationship Id="rId26099" Type="http://schemas.openxmlformats.org/officeDocument/2006/relationships/hyperlink" Target="http://csr.bu.edu/ftp/asl/asllvd/demos/verify_start_end_handshape_annotations//test_auto_move//signs_mov/15508.mov" TargetMode="External"/><Relationship Id="rId26100" Type="http://schemas.openxmlformats.org/officeDocument/2006/relationships/hyperlink" Target="http://csr.bu.edu/ftp/asl/asllvd/demos/verify_start_end_handshape_annotations//test_auto_move//signs_mov_separ_signers/Liz_15508.mov" TargetMode="External"/><Relationship Id="rId26101" Type="http://schemas.openxmlformats.org/officeDocument/2006/relationships/hyperlink" Target="http://secrets.rutgers.edu:8080/data/asl-ftp/asllvd/demos/verify_start_end_handshape_annotations//test_auto_move//signs_mov/15508.mov" TargetMode="External"/><Relationship Id="rId26102" Type="http://schemas.openxmlformats.org/officeDocument/2006/relationships/hyperlink" Target="http://secrets.rutgers.edu:8080/data/asl-ftp/asllvd/demos/verify_start_end_handshape_annotations//test_auto_move//signs_mov_separ_signers/Liz_15508.mov" TargetMode="External"/><Relationship Id="rId26103" Type="http://schemas.openxmlformats.org/officeDocument/2006/relationships/hyperlink" Target="http://csr.bu.edu/ftp/asl/asllvd/demos/verify_start_end_handshape_annotations//test_auto_move//signs_mov/4678.mov" TargetMode="External"/><Relationship Id="rId26104" Type="http://schemas.openxmlformats.org/officeDocument/2006/relationships/hyperlink" Target="http://csr.bu.edu/ftp/asl/asllvd/demos/verify_start_end_handshape_annotations//test_auto_move//signs_mov_separ_signers/Liz_4678.mov" TargetMode="External"/><Relationship Id="rId26105" Type="http://schemas.openxmlformats.org/officeDocument/2006/relationships/hyperlink" Target="http://secrets.rutgers.edu:8080/data/asl-ftp/asllvd/demos/verify_start_end_handshape_annotations//test_auto_move//signs_mov/4678.mov" TargetMode="External"/><Relationship Id="rId26106" Type="http://schemas.openxmlformats.org/officeDocument/2006/relationships/hyperlink" Target="http://secrets.rutgers.edu:8080/data/asl-ftp/asllvd/demos/verify_start_end_handshape_annotations//test_auto_move//signs_mov_separ_signers/Liz_4678.mov" TargetMode="External"/><Relationship Id="rId26107" Type="http://schemas.openxmlformats.org/officeDocument/2006/relationships/hyperlink" Target="http://csr.bu.edu/ftp/asl/asllvd/demos/verify_start_end_handshape_annotations//test_auto_move//signs_mov_separ_signers/Brady_4678.mov" TargetMode="External"/><Relationship Id="rId26108" Type="http://schemas.openxmlformats.org/officeDocument/2006/relationships/hyperlink" Target="http://secrets.rutgers.edu:8080/data/asl-ftp/asllvd/demos/verify_start_end_handshape_annotations//test_auto_move//signs_mov_separ_signers/Brady_4678.mov" TargetMode="External"/><Relationship Id="rId26109" Type="http://schemas.openxmlformats.org/officeDocument/2006/relationships/hyperlink" Target="http://csr.bu.edu/ftp/asl/asllvd/demos/verify_start_end_handshape_annotations//test_auto_move//signs_mov/4683.mov" TargetMode="External"/><Relationship Id="rId26110" Type="http://schemas.openxmlformats.org/officeDocument/2006/relationships/hyperlink" Target="http://csr.bu.edu/ftp/asl/asllvd/demos/verify_start_end_handshape_annotations//test_auto_move//signs_mov_separ_signers/Liz_4683.mov" TargetMode="External"/><Relationship Id="rId26111" Type="http://schemas.openxmlformats.org/officeDocument/2006/relationships/hyperlink" Target="http://secrets.rutgers.edu:8080/data/asl-ftp/asllvd/demos/verify_start_end_handshape_annotations//test_auto_move//signs_mov/4683.mov" TargetMode="External"/><Relationship Id="rId26112" Type="http://schemas.openxmlformats.org/officeDocument/2006/relationships/hyperlink" Target="http://secrets.rutgers.edu:8080/data/asl-ftp/asllvd/demos/verify_start_end_handshape_annotations//test_auto_move//signs_mov_separ_signers/Liz_4683.mov" TargetMode="External"/><Relationship Id="rId26113" Type="http://schemas.openxmlformats.org/officeDocument/2006/relationships/hyperlink" Target="http://csr.bu.edu/ftp/asl/asllvd/demos/verify_start_end_handshape_annotations//test_auto_move//signs_mov_separ_signers/Brady_4683.mov" TargetMode="External"/><Relationship Id="rId26114" Type="http://schemas.openxmlformats.org/officeDocument/2006/relationships/hyperlink" Target="http://secrets.rutgers.edu:8080/data/asl-ftp/asllvd/demos/verify_start_end_handshape_annotations//test_auto_move//signs_mov_separ_signers/Brady_4683.mov" TargetMode="External"/><Relationship Id="rId26115" Type="http://schemas.openxmlformats.org/officeDocument/2006/relationships/hyperlink" Target="http://csr.bu.edu/ftp/asl/asllvd/demos/verify_start_end_handshape_annotations//test_auto_move//signs_mov/4713.mov" TargetMode="External"/><Relationship Id="rId26116" Type="http://schemas.openxmlformats.org/officeDocument/2006/relationships/hyperlink" Target="http://csr.bu.edu/ftp/asl/asllvd/demos/verify_start_end_handshape_annotations//test_auto_move//signs_mov_separ_signers/Liz_4713.mov" TargetMode="External"/><Relationship Id="rId26117" Type="http://schemas.openxmlformats.org/officeDocument/2006/relationships/hyperlink" Target="http://secrets.rutgers.edu:8080/data/asl-ftp/asllvd/demos/verify_start_end_handshape_annotations//test_auto_move//signs_mov/4713.mov" TargetMode="External"/><Relationship Id="rId26118" Type="http://schemas.openxmlformats.org/officeDocument/2006/relationships/hyperlink" Target="http://secrets.rutgers.edu:8080/data/asl-ftp/asllvd/demos/verify_start_end_handshape_annotations//test_auto_move//signs_mov_separ_signers/Liz_4713.mov" TargetMode="External"/><Relationship Id="rId26119" Type="http://schemas.openxmlformats.org/officeDocument/2006/relationships/hyperlink" Target="http://csr.bu.edu/ftp/asl/asllvd/demos/verify_start_end_handshape_annotations//test_auto_move//signs_mov_separ_signers/Brady_4713.mov" TargetMode="External"/><Relationship Id="rId26120" Type="http://schemas.openxmlformats.org/officeDocument/2006/relationships/hyperlink" Target="http://secrets.rutgers.edu:8080/data/asl-ftp/asllvd/demos/verify_start_end_handshape_annotations//test_auto_move//signs_mov_separ_signers/Brady_4713.mov" TargetMode="External"/><Relationship Id="rId26121" Type="http://schemas.openxmlformats.org/officeDocument/2006/relationships/hyperlink" Target="http://csr.bu.edu/ftp/asl/asllvd/demos/verify_start_end_handshape_annotations//test_auto_move//signs_mov/4746.mov" TargetMode="External"/><Relationship Id="rId26122" Type="http://schemas.openxmlformats.org/officeDocument/2006/relationships/hyperlink" Target="http://csr.bu.edu/ftp/asl/asllvd/demos/verify_start_end_handshape_annotations//test_auto_move//signs_mov_separ_signers/Brady_4746.mov" TargetMode="External"/><Relationship Id="rId26123" Type="http://schemas.openxmlformats.org/officeDocument/2006/relationships/hyperlink" Target="http://secrets.rutgers.edu:8080/data/asl-ftp/asllvd/demos/verify_start_end_handshape_annotations//test_auto_move//signs_mov/4746.mov" TargetMode="External"/><Relationship Id="rId26124" Type="http://schemas.openxmlformats.org/officeDocument/2006/relationships/hyperlink" Target="http://secrets.rutgers.edu:8080/data/asl-ftp/asllvd/demos/verify_start_end_handshape_annotations//test_auto_move//signs_mov_separ_signers/Brady_4746.mov" TargetMode="External"/><Relationship Id="rId26125" Type="http://schemas.openxmlformats.org/officeDocument/2006/relationships/hyperlink" Target="http://csr.bu.edu/ftp/asl/asllvd/demos/verify_start_end_handshape_annotations//test_auto_move//signs_mov/4770.mov" TargetMode="External"/><Relationship Id="rId26126" Type="http://schemas.openxmlformats.org/officeDocument/2006/relationships/hyperlink" Target="http://csr.bu.edu/ftp/asl/asllvd/demos/verify_start_end_handshape_annotations//test_auto_move//signs_mov_separ_signers/Liz_4770.mov" TargetMode="External"/><Relationship Id="rId26127" Type="http://schemas.openxmlformats.org/officeDocument/2006/relationships/hyperlink" Target="http://secrets.rutgers.edu:8080/data/asl-ftp/asllvd/demos/verify_start_end_handshape_annotations//test_auto_move//signs_mov/4770.mov" TargetMode="External"/><Relationship Id="rId26128" Type="http://schemas.openxmlformats.org/officeDocument/2006/relationships/hyperlink" Target="http://secrets.rutgers.edu:8080/data/asl-ftp/asllvd/demos/verify_start_end_handshape_annotations//test_auto_move//signs_mov_separ_signers/Liz_4770.mov" TargetMode="External"/><Relationship Id="rId26129" Type="http://schemas.openxmlformats.org/officeDocument/2006/relationships/hyperlink" Target="http://csr.bu.edu/ftp/asl/asllvd/demos/verify_start_end_handshape_annotations//test_auto_move//signs_mov_separ_signers/Brady_6162.mov" TargetMode="External"/><Relationship Id="rId26130" Type="http://schemas.openxmlformats.org/officeDocument/2006/relationships/hyperlink" Target="http://secrets.rutgers.edu:8080/data/asl-ftp/asllvd/demos/verify_start_end_handshape_annotations//test_auto_move//signs_mov_separ_signers/Brady_6162.mov" TargetMode="External"/><Relationship Id="rId26131" Type="http://schemas.openxmlformats.org/officeDocument/2006/relationships/hyperlink" Target="http://csr.bu.edu/ftp/asl/asllvd/demos/verify_start_end_handshape_annotations//test_auto_move//signs_mov/3863_5051_6162_merged.mov" TargetMode="External"/><Relationship Id="rId26132" Type="http://schemas.openxmlformats.org/officeDocument/2006/relationships/hyperlink" Target="http://csr.bu.edu/ftp/asl/asllvd/demos/verify_start_end_handshape_annotations//test_auto_move//signs_mov_separ_signers/Brady_3863.mov" TargetMode="External"/><Relationship Id="rId26133" Type="http://schemas.openxmlformats.org/officeDocument/2006/relationships/hyperlink" Target="http://secrets.rutgers.edu:8080/data/asl-ftp/asllvd/demos/verify_start_end_handshape_annotations//test_auto_move//signs_mov/3863_5051_6162_merged.mov" TargetMode="External"/><Relationship Id="rId26134" Type="http://schemas.openxmlformats.org/officeDocument/2006/relationships/hyperlink" Target="http://secrets.rutgers.edu:8080/data/asl-ftp/asllvd/demos/verify_start_end_handshape_annotations//test_auto_move//signs_mov_separ_signers/Brady_3863.mov" TargetMode="External"/><Relationship Id="rId26135" Type="http://schemas.openxmlformats.org/officeDocument/2006/relationships/hyperlink" Target="http://csr.bu.edu/ftp/asl/asllvd/demos/verify_start_end_handshape_annotations//test_auto_move//signs_mov_separ_signers/Brady_5051.mov" TargetMode="External"/><Relationship Id="rId26136" Type="http://schemas.openxmlformats.org/officeDocument/2006/relationships/hyperlink" Target="http://secrets.rutgers.edu:8080/data/asl-ftp/asllvd/demos/verify_start_end_handshape_annotations//test_auto_move//signs_mov_separ_signers/Brady_5051.mov" TargetMode="External"/><Relationship Id="rId26137" Type="http://schemas.openxmlformats.org/officeDocument/2006/relationships/hyperlink" Target="http://csr.bu.edu/ftp/asl/asllvd/demos/verify_start_end_handshape_annotations//test_auto_move//signs_mov/5292.mov" TargetMode="External"/><Relationship Id="rId26138" Type="http://schemas.openxmlformats.org/officeDocument/2006/relationships/hyperlink" Target="http://csr.bu.edu/ftp/asl/asllvd/demos/verify_start_end_handshape_annotations//test_auto_move//signs_mov_separ_signers/Liz_5292.mov" TargetMode="External"/><Relationship Id="rId26139" Type="http://schemas.openxmlformats.org/officeDocument/2006/relationships/hyperlink" Target="http://secrets.rutgers.edu:8080/data/asl-ftp/asllvd/demos/verify_start_end_handshape_annotations//test_auto_move//signs_mov/5292.mov" TargetMode="External"/><Relationship Id="rId26140" Type="http://schemas.openxmlformats.org/officeDocument/2006/relationships/hyperlink" Target="http://secrets.rutgers.edu:8080/data/asl-ftp/asllvd/demos/verify_start_end_handshape_annotations//test_auto_move//signs_mov_separ_signers/Liz_5292.mov" TargetMode="External"/><Relationship Id="rId26141" Type="http://schemas.openxmlformats.org/officeDocument/2006/relationships/hyperlink" Target="http://csr.bu.edu/ftp/asl/asllvd/demos/verify_start_end_handshape_annotations//test_auto_move//signs_mov_separ_signers/Liz_6166.mov" TargetMode="External"/><Relationship Id="rId26142" Type="http://schemas.openxmlformats.org/officeDocument/2006/relationships/hyperlink" Target="http://secrets.rutgers.edu:8080/data/asl-ftp/asllvd/demos/verify_start_end_handshape_annotations//test_auto_move//signs_mov_separ_signers/Liz_6166.mov" TargetMode="External"/><Relationship Id="rId26143" Type="http://schemas.openxmlformats.org/officeDocument/2006/relationships/hyperlink" Target="http://csr.bu.edu/ftp/asl/asllvd/demos/verify_start_end_handshape_annotations//test_auto_move//signs_mov/3864_6166_merged.mov" TargetMode="External"/><Relationship Id="rId26144" Type="http://schemas.openxmlformats.org/officeDocument/2006/relationships/hyperlink" Target="http://csr.bu.edu/ftp/asl/asllvd/demos/verify_start_end_handshape_annotations//test_auto_move//signs_mov_separ_signers/Liz_3864.mov" TargetMode="External"/><Relationship Id="rId26145" Type="http://schemas.openxmlformats.org/officeDocument/2006/relationships/hyperlink" Target="http://secrets.rutgers.edu:8080/data/asl-ftp/asllvd/demos/verify_start_end_handshape_annotations//test_auto_move//signs_mov/3864_6166_merged.mov" TargetMode="External"/><Relationship Id="rId26146" Type="http://schemas.openxmlformats.org/officeDocument/2006/relationships/hyperlink" Target="http://secrets.rutgers.edu:8080/data/asl-ftp/asllvd/demos/verify_start_end_handshape_annotations//test_auto_move//signs_mov_separ_signers/Liz_3864.mov" TargetMode="External"/><Relationship Id="rId26147" Type="http://schemas.openxmlformats.org/officeDocument/2006/relationships/hyperlink" Target="http://csr.bu.edu/ftp/asl/asllvd/demos/verify_start_end_handshape_annotations//test_auto_move//signs_mov_separ_signers/Brady_6166.mov" TargetMode="External"/><Relationship Id="rId26148" Type="http://schemas.openxmlformats.org/officeDocument/2006/relationships/hyperlink" Target="http://secrets.rutgers.edu:8080/data/asl-ftp/asllvd/demos/verify_start_end_handshape_annotations//test_auto_move//signs_mov_separ_signers/Brady_6166.mov" TargetMode="External"/><Relationship Id="rId26149" Type="http://schemas.openxmlformats.org/officeDocument/2006/relationships/hyperlink" Target="http://csr.bu.edu/ftp/asl/asllvd/demos/verify_start_end_handshape_annotations//test_auto_move//signs_mov_separ_signers/Brady_3864.mov" TargetMode="External"/><Relationship Id="rId26150" Type="http://schemas.openxmlformats.org/officeDocument/2006/relationships/hyperlink" Target="http://secrets.rutgers.edu:8080/data/asl-ftp/asllvd/demos/verify_start_end_handshape_annotations//test_auto_move//signs_mov_separ_signers/Brady_3864.mov" TargetMode="External"/><Relationship Id="rId26151" Type="http://schemas.openxmlformats.org/officeDocument/2006/relationships/hyperlink" Target="http://csr.bu.edu/ftp/asl/asllvd/demos/verify_start_end_handshape_annotations//test_auto_move//signs_mov_separ_signers/Liz_6167.mov" TargetMode="External"/><Relationship Id="rId26152" Type="http://schemas.openxmlformats.org/officeDocument/2006/relationships/hyperlink" Target="http://secrets.rutgers.edu:8080/data/asl-ftp/asllvd/demos/verify_start_end_handshape_annotations//test_auto_move//signs_mov_separ_signers/Liz_6167.mov" TargetMode="External"/><Relationship Id="rId26153" Type="http://schemas.openxmlformats.org/officeDocument/2006/relationships/hyperlink" Target="http://csr.bu.edu/ftp/asl/asllvd/demos/verify_start_end_handshape_annotations//test_auto_move//signs_mov/3862_6167_merged.mov" TargetMode="External"/><Relationship Id="rId26154" Type="http://schemas.openxmlformats.org/officeDocument/2006/relationships/hyperlink" Target="http://csr.bu.edu/ftp/asl/asllvd/demos/verify_start_end_handshape_annotations//test_auto_move//signs_mov_separ_signers/Liz_3862.mov" TargetMode="External"/><Relationship Id="rId26155" Type="http://schemas.openxmlformats.org/officeDocument/2006/relationships/hyperlink" Target="http://secrets.rutgers.edu:8080/data/asl-ftp/asllvd/demos/verify_start_end_handshape_annotations//test_auto_move//signs_mov/3862_6167_merged.mov" TargetMode="External"/><Relationship Id="rId26156" Type="http://schemas.openxmlformats.org/officeDocument/2006/relationships/hyperlink" Target="http://secrets.rutgers.edu:8080/data/asl-ftp/asllvd/demos/verify_start_end_handshape_annotations//test_auto_move//signs_mov_separ_signers/Liz_3862.mov" TargetMode="External"/><Relationship Id="rId26157" Type="http://schemas.openxmlformats.org/officeDocument/2006/relationships/hyperlink" Target="http://csr.bu.edu/ftp/asl/asllvd/demos/verify_start_end_handshape_annotations//test_auto_move//signs_mov_separ_signers/Brady_6167.mov" TargetMode="External"/><Relationship Id="rId26158" Type="http://schemas.openxmlformats.org/officeDocument/2006/relationships/hyperlink" Target="http://secrets.rutgers.edu:8080/data/asl-ftp/asllvd/demos/verify_start_end_handshape_annotations//test_auto_move//signs_mov_separ_signers/Brady_6167.mov" TargetMode="External"/><Relationship Id="rId26159" Type="http://schemas.openxmlformats.org/officeDocument/2006/relationships/hyperlink" Target="http://csr.bu.edu/ftp/asl/asllvd/demos/verify_start_end_handshape_annotations//test_auto_move//signs_mov_separ_signers/Brady_3862.mov" TargetMode="External"/><Relationship Id="rId26160" Type="http://schemas.openxmlformats.org/officeDocument/2006/relationships/hyperlink" Target="http://secrets.rutgers.edu:8080/data/asl-ftp/asllvd/demos/verify_start_end_handshape_annotations//test_auto_move//signs_mov_separ_signers/Brady_3862.mov" TargetMode="External"/><Relationship Id="rId26161" Type="http://schemas.openxmlformats.org/officeDocument/2006/relationships/hyperlink" Target="http://csr.bu.edu/ftp/asl/asllvd/demos/verify_start_end_handshape_annotations//test_auto_move//signs_mov_separ_signers/Liz_6312.mov" TargetMode="External"/><Relationship Id="rId26162" Type="http://schemas.openxmlformats.org/officeDocument/2006/relationships/hyperlink" Target="http://secrets.rutgers.edu:8080/data/asl-ftp/asllvd/demos/verify_start_end_handshape_annotations//test_auto_move//signs_mov_separ_signers/Liz_6312.mov" TargetMode="External"/><Relationship Id="rId26163" Type="http://schemas.openxmlformats.org/officeDocument/2006/relationships/hyperlink" Target="http://csr.bu.edu/ftp/asl/asllvd/demos/verify_start_end_handshape_annotations//test_auto_move//signs_mov_separ_signers/Liz_3859.mov" TargetMode="External"/><Relationship Id="rId26164" Type="http://schemas.openxmlformats.org/officeDocument/2006/relationships/hyperlink" Target="http://secrets.rutgers.edu:8080/data/asl-ftp/asllvd/demos/verify_start_end_handshape_annotations//test_auto_move//signs_mov_separ_signers/Liz_3859.mov" TargetMode="External"/><Relationship Id="rId26165" Type="http://schemas.openxmlformats.org/officeDocument/2006/relationships/hyperlink" Target="http://csr.bu.edu/ftp/asl/asllvd/demos/verify_start_end_handshape_annotations//test_auto_move//signs_mov/3859_3944_6312_merged.mov" TargetMode="External"/><Relationship Id="rId26166" Type="http://schemas.openxmlformats.org/officeDocument/2006/relationships/hyperlink" Target="http://csr.bu.edu/ftp/asl/asllvd/demos/verify_start_end_handshape_annotations//test_auto_move//signs_mov_separ_signers/Brady_6312.mov" TargetMode="External"/><Relationship Id="rId26167" Type="http://schemas.openxmlformats.org/officeDocument/2006/relationships/hyperlink" Target="http://secrets.rutgers.edu:8080/data/asl-ftp/asllvd/demos/verify_start_end_handshape_annotations//test_auto_move//signs_mov/3859_3944_6312_merged.mov" TargetMode="External"/><Relationship Id="rId26168" Type="http://schemas.openxmlformats.org/officeDocument/2006/relationships/hyperlink" Target="http://secrets.rutgers.edu:8080/data/asl-ftp/asllvd/demos/verify_start_end_handshape_annotations//test_auto_move//signs_mov_separ_signers/Brady_6312.mov" TargetMode="External"/><Relationship Id="rId26169" Type="http://schemas.openxmlformats.org/officeDocument/2006/relationships/hyperlink" Target="http://csr.bu.edu/ftp/asl/asllvd/demos/verify_start_end_handshape_annotations//test_auto_move//signs_mov_separ_signers/Brady_3859.mov" TargetMode="External"/><Relationship Id="rId26170" Type="http://schemas.openxmlformats.org/officeDocument/2006/relationships/hyperlink" Target="http://secrets.rutgers.edu:8080/data/asl-ftp/asllvd/demos/verify_start_end_handshape_annotations//test_auto_move//signs_mov_separ_signers/Brady_3859.mov" TargetMode="External"/><Relationship Id="rId26171" Type="http://schemas.openxmlformats.org/officeDocument/2006/relationships/hyperlink" Target="http://csr.bu.edu/ftp/asl/asllvd/demos/verify_start_end_handshape_annotations//test_auto_move//signs_mov_separ_signers/Brady_3944.mov" TargetMode="External"/><Relationship Id="rId26172" Type="http://schemas.openxmlformats.org/officeDocument/2006/relationships/hyperlink" Target="http://secrets.rutgers.edu:8080/data/asl-ftp/asllvd/demos/verify_start_end_handshape_annotations//test_auto_move//signs_mov_separ_signers/Brady_3944.mov" TargetMode="External"/><Relationship Id="rId26173" Type="http://schemas.openxmlformats.org/officeDocument/2006/relationships/hyperlink" Target="http://csr.bu.edu/ftp/asl/asllvd/demos/verify_start_end_handshape_annotations//test_auto_move//signs_mov/3945_3946_merged.mov" TargetMode="External"/><Relationship Id="rId26174" Type="http://schemas.openxmlformats.org/officeDocument/2006/relationships/hyperlink" Target="http://csr.bu.edu/ftp/asl/asllvd/demos/verify_start_end_handshape_annotations//test_auto_move//signs_mov_separ_signers/Brady_3945.mov" TargetMode="External"/><Relationship Id="rId26175" Type="http://schemas.openxmlformats.org/officeDocument/2006/relationships/hyperlink" Target="http://secrets.rutgers.edu:8080/data/asl-ftp/asllvd/demos/verify_start_end_handshape_annotations//test_auto_move//signs_mov/3945_3946_merged.mov" TargetMode="External"/><Relationship Id="rId26176" Type="http://schemas.openxmlformats.org/officeDocument/2006/relationships/hyperlink" Target="http://secrets.rutgers.edu:8080/data/asl-ftp/asllvd/demos/verify_start_end_handshape_annotations//test_auto_move//signs_mov_separ_signers/Brady_3945.mov" TargetMode="External"/><Relationship Id="rId26177" Type="http://schemas.openxmlformats.org/officeDocument/2006/relationships/hyperlink" Target="http://csr.bu.edu/ftp/asl/asllvd/demos/verify_start_end_handshape_annotations//test_auto_move//signs_mov_separ_signers/Brady_3946.mov" TargetMode="External"/><Relationship Id="rId26178" Type="http://schemas.openxmlformats.org/officeDocument/2006/relationships/hyperlink" Target="http://secrets.rutgers.edu:8080/data/asl-ftp/asllvd/demos/verify_start_end_handshape_annotations//test_auto_move//signs_mov_separ_signers/Brady_3946.mov" TargetMode="External"/><Relationship Id="rId26179" Type="http://schemas.openxmlformats.org/officeDocument/2006/relationships/hyperlink" Target="http://csr.bu.edu/ftp/asl/asllvd/demos/verify_start_end_handshape_annotations//test_auto_move//signs_mov/5681.mov" TargetMode="External"/><Relationship Id="rId26180" Type="http://schemas.openxmlformats.org/officeDocument/2006/relationships/hyperlink" Target="http://csr.bu.edu/ftp/asl/asllvd/demos/verify_start_end_handshape_annotations//test_auto_move//signs_mov_separ_signers/Brady_5681.mov" TargetMode="External"/><Relationship Id="rId26181" Type="http://schemas.openxmlformats.org/officeDocument/2006/relationships/hyperlink" Target="http://secrets.rutgers.edu:8080/data/asl-ftp/asllvd/demos/verify_start_end_handshape_annotations//test_auto_move//signs_mov/5681.mov" TargetMode="External"/><Relationship Id="rId26182" Type="http://schemas.openxmlformats.org/officeDocument/2006/relationships/hyperlink" Target="http://secrets.rutgers.edu:8080/data/asl-ftp/asllvd/demos/verify_start_end_handshape_annotations//test_auto_move//signs_mov_separ_signers/Brady_5681.mov" TargetMode="External"/><Relationship Id="rId26183" Type="http://schemas.openxmlformats.org/officeDocument/2006/relationships/hyperlink" Target="http://csr.bu.edu/ftp/asl/asllvd/demos/verify_start_end_handshape_annotations//test_auto_move//signs_mov_separ_signers/Liz_6313.mov" TargetMode="External"/><Relationship Id="rId26184" Type="http://schemas.openxmlformats.org/officeDocument/2006/relationships/hyperlink" Target="http://secrets.rutgers.edu:8080/data/asl-ftp/asllvd/demos/verify_start_end_handshape_annotations//test_auto_move//signs_mov_separ_signers/Liz_6313.mov" TargetMode="External"/><Relationship Id="rId26185" Type="http://schemas.openxmlformats.org/officeDocument/2006/relationships/hyperlink" Target="http://csr.bu.edu/ftp/asl/asllvd/demos/verify_start_end_handshape_annotations//test_auto_move//signs_mov/3861_6313_merged.mov" TargetMode="External"/><Relationship Id="rId26186" Type="http://schemas.openxmlformats.org/officeDocument/2006/relationships/hyperlink" Target="http://csr.bu.edu/ftp/asl/asllvd/demos/verify_start_end_handshape_annotations//test_auto_move//signs_mov_separ_signers/Liz_3861.mov" TargetMode="External"/><Relationship Id="rId26187" Type="http://schemas.openxmlformats.org/officeDocument/2006/relationships/hyperlink" Target="http://secrets.rutgers.edu:8080/data/asl-ftp/asllvd/demos/verify_start_end_handshape_annotations//test_auto_move//signs_mov/3861_6313_merged.mov" TargetMode="External"/><Relationship Id="rId26188" Type="http://schemas.openxmlformats.org/officeDocument/2006/relationships/hyperlink" Target="http://secrets.rutgers.edu:8080/data/asl-ftp/asllvd/demos/verify_start_end_handshape_annotations//test_auto_move//signs_mov_separ_signers/Liz_3861.mov" TargetMode="External"/><Relationship Id="rId26189" Type="http://schemas.openxmlformats.org/officeDocument/2006/relationships/hyperlink" Target="http://csr.bu.edu/ftp/asl/asllvd/demos/verify_start_end_handshape_annotations//test_auto_move//signs_mov_separ_signers/Brady_6313.mov" TargetMode="External"/><Relationship Id="rId26190" Type="http://schemas.openxmlformats.org/officeDocument/2006/relationships/hyperlink" Target="http://secrets.rutgers.edu:8080/data/asl-ftp/asllvd/demos/verify_start_end_handshape_annotations//test_auto_move//signs_mov_separ_signers/Brady_6313.mov" TargetMode="External"/><Relationship Id="rId26191" Type="http://schemas.openxmlformats.org/officeDocument/2006/relationships/hyperlink" Target="http://csr.bu.edu/ftp/asl/asllvd/demos/verify_start_end_handshape_annotations//test_auto_move//signs_mov/5627.mov" TargetMode="External"/><Relationship Id="rId26192" Type="http://schemas.openxmlformats.org/officeDocument/2006/relationships/hyperlink" Target="http://csr.bu.edu/ftp/asl/asllvd/demos/verify_start_end_handshape_annotations//test_auto_move//signs_mov_separ_signers/Brady_5627.mov" TargetMode="External"/><Relationship Id="rId26193" Type="http://schemas.openxmlformats.org/officeDocument/2006/relationships/hyperlink" Target="http://secrets.rutgers.edu:8080/data/asl-ftp/asllvd/demos/verify_start_end_handshape_annotations//test_auto_move//signs_mov/5627.mov" TargetMode="External"/><Relationship Id="rId26194" Type="http://schemas.openxmlformats.org/officeDocument/2006/relationships/hyperlink" Target="http://secrets.rutgers.edu:8080/data/asl-ftp/asllvd/demos/verify_start_end_handshape_annotations//test_auto_move//signs_mov_separ_signers/Brady_5627.mov" TargetMode="External"/><Relationship Id="rId26195" Type="http://schemas.openxmlformats.org/officeDocument/2006/relationships/hyperlink" Target="http://csr.bu.edu/ftp/asl/asllvd/demos/verify_start_end_handshape_annotations//test_auto_move//signs_mov_separ_signers/Liz_6340.mov" TargetMode="External"/><Relationship Id="rId26196" Type="http://schemas.openxmlformats.org/officeDocument/2006/relationships/hyperlink" Target="http://secrets.rutgers.edu:8080/data/asl-ftp/asllvd/demos/verify_start_end_handshape_annotations//test_auto_move//signs_mov_separ_signers/Liz_6340.mov" TargetMode="External"/><Relationship Id="rId26197" Type="http://schemas.openxmlformats.org/officeDocument/2006/relationships/hyperlink" Target="http://csr.bu.edu/ftp/asl/asllvd/demos/verify_start_end_handshape_annotations//test_auto_move//signs_mov_separ_signers/Tyler_6340.mov" TargetMode="External"/><Relationship Id="rId26198" Type="http://schemas.openxmlformats.org/officeDocument/2006/relationships/hyperlink" Target="http://secrets.rutgers.edu:8080/data/asl-ftp/asllvd/demos/verify_start_end_handshape_annotations//test_auto_move//signs_mov_separ_signers/Tyler_6340.mov" TargetMode="External"/><Relationship Id="rId26199" Type="http://schemas.openxmlformats.org/officeDocument/2006/relationships/hyperlink" Target="http://csr.bu.edu/ftp/asl/asllvd/demos/verify_start_end_handshape_annotations//test_auto_move//signs_mov/5378_6340_merged.mov" TargetMode="External"/><Relationship Id="rId26200" Type="http://schemas.openxmlformats.org/officeDocument/2006/relationships/hyperlink" Target="http://csr.bu.edu/ftp/asl/asllvd/demos/verify_start_end_handshape_annotations//test_auto_move//signs_mov_separ_signers/Naomi_6340.mov" TargetMode="External"/><Relationship Id="rId26201" Type="http://schemas.openxmlformats.org/officeDocument/2006/relationships/hyperlink" Target="http://secrets.rutgers.edu:8080/data/asl-ftp/asllvd/demos/verify_start_end_handshape_annotations//test_auto_move//signs_mov/5378_6340_merged.mov" TargetMode="External"/><Relationship Id="rId26202" Type="http://schemas.openxmlformats.org/officeDocument/2006/relationships/hyperlink" Target="http://secrets.rutgers.edu:8080/data/asl-ftp/asllvd/demos/verify_start_end_handshape_annotations//test_auto_move//signs_mov_separ_signers/Naomi_6340.mov" TargetMode="External"/><Relationship Id="rId26203" Type="http://schemas.openxmlformats.org/officeDocument/2006/relationships/hyperlink" Target="http://csr.bu.edu/ftp/asl/asllvd/demos/verify_start_end_handshape_annotations//test_auto_move//signs_mov_separ_signers/Brady_6340.mov" TargetMode="External"/><Relationship Id="rId26204" Type="http://schemas.openxmlformats.org/officeDocument/2006/relationships/hyperlink" Target="http://secrets.rutgers.edu:8080/data/asl-ftp/asllvd/demos/verify_start_end_handshape_annotations//test_auto_move//signs_mov_separ_signers/Brady_6340.mov" TargetMode="External"/><Relationship Id="rId26205" Type="http://schemas.openxmlformats.org/officeDocument/2006/relationships/hyperlink" Target="http://csr.bu.edu/ftp/asl/asllvd/demos/verify_start_end_handshape_annotations//test_auto_move//signs_mov_separ_signers/Brady_5378.mov" TargetMode="External"/><Relationship Id="rId26206" Type="http://schemas.openxmlformats.org/officeDocument/2006/relationships/hyperlink" Target="http://secrets.rutgers.edu:8080/data/asl-ftp/asllvd/demos/verify_start_end_handshape_annotations//test_auto_move//signs_mov_separ_signers/Brady_5378.mov" TargetMode="External"/><Relationship Id="rId26207" Type="http://schemas.openxmlformats.org/officeDocument/2006/relationships/hyperlink" Target="http://csr.bu.edu/ftp/asl/asllvd/demos/verify_start_end_handshape_annotations//test_auto_move//signs_mov_separ_signers/Liz_6351.mov" TargetMode="External"/><Relationship Id="rId26208" Type="http://schemas.openxmlformats.org/officeDocument/2006/relationships/hyperlink" Target="http://secrets.rutgers.edu:8080/data/asl-ftp/asllvd/demos/verify_start_end_handshape_annotations//test_auto_move//signs_mov_separ_signers/Liz_6351.mov" TargetMode="External"/><Relationship Id="rId26209" Type="http://schemas.openxmlformats.org/officeDocument/2006/relationships/hyperlink" Target="http://csr.bu.edu/ftp/asl/asllvd/demos/verify_start_end_handshape_annotations//test_auto_move//signs_mov/6351.mov" TargetMode="External"/><Relationship Id="rId26210" Type="http://schemas.openxmlformats.org/officeDocument/2006/relationships/hyperlink" Target="http://csr.bu.edu/ftp/asl/asllvd/demos/verify_start_end_handshape_annotations//test_auto_move//signs_mov_separ_signers/Naomi_6351.mov" TargetMode="External"/><Relationship Id="rId26211" Type="http://schemas.openxmlformats.org/officeDocument/2006/relationships/hyperlink" Target="http://secrets.rutgers.edu:8080/data/asl-ftp/asllvd/demos/verify_start_end_handshape_annotations//test_auto_move//signs_mov/6351.mov" TargetMode="External"/><Relationship Id="rId26212" Type="http://schemas.openxmlformats.org/officeDocument/2006/relationships/hyperlink" Target="http://secrets.rutgers.edu:8080/data/asl-ftp/asllvd/demos/verify_start_end_handshape_annotations//test_auto_move//signs_mov_separ_signers/Naomi_6351.mov" TargetMode="External"/><Relationship Id="rId26213" Type="http://schemas.openxmlformats.org/officeDocument/2006/relationships/hyperlink" Target="http://csr.bu.edu/ftp/asl/asllvd/demos/verify_start_end_handshape_annotations//test_auto_move//signs_mov_separ_signers/Brady_6351.mov" TargetMode="External"/><Relationship Id="rId26214" Type="http://schemas.openxmlformats.org/officeDocument/2006/relationships/hyperlink" Target="http://secrets.rutgers.edu:8080/data/asl-ftp/asllvd/demos/verify_start_end_handshape_annotations//test_auto_move//signs_mov_separ_signers/Brady_6351.mov" TargetMode="External"/><Relationship Id="rId26215" Type="http://schemas.openxmlformats.org/officeDocument/2006/relationships/hyperlink" Target="http://csr.bu.edu/ftp/asl/asllvd/demos/verify_start_end_handshape_annotations//test_auto_move//signs_mov/6358.mov" TargetMode="External"/><Relationship Id="rId26216" Type="http://schemas.openxmlformats.org/officeDocument/2006/relationships/hyperlink" Target="http://csr.bu.edu/ftp/asl/asllvd/demos/verify_start_end_handshape_annotations//test_auto_move//signs_mov_separ_signers/Liz_6358.mov" TargetMode="External"/><Relationship Id="rId26217" Type="http://schemas.openxmlformats.org/officeDocument/2006/relationships/hyperlink" Target="http://secrets.rutgers.edu:8080/data/asl-ftp/asllvd/demos/verify_start_end_handshape_annotations//test_auto_move//signs_mov/6358.mov" TargetMode="External"/><Relationship Id="rId26218" Type="http://schemas.openxmlformats.org/officeDocument/2006/relationships/hyperlink" Target="http://secrets.rutgers.edu:8080/data/asl-ftp/asllvd/demos/verify_start_end_handshape_annotations//test_auto_move//signs_mov_separ_signers/Liz_6358.mov" TargetMode="External"/><Relationship Id="rId26219" Type="http://schemas.openxmlformats.org/officeDocument/2006/relationships/hyperlink" Target="http://csr.bu.edu/ftp/asl/asllvd/demos/verify_start_end_handshape_annotations//test_auto_move//signs_mov_separ_signers/Brady_6358.mov" TargetMode="External"/><Relationship Id="rId26220" Type="http://schemas.openxmlformats.org/officeDocument/2006/relationships/hyperlink" Target="http://secrets.rutgers.edu:8080/data/asl-ftp/asllvd/demos/verify_start_end_handshape_annotations//test_auto_move//signs_mov_separ_signers/Brady_6358.mov" TargetMode="External"/><Relationship Id="rId26221" Type="http://schemas.openxmlformats.org/officeDocument/2006/relationships/hyperlink" Target="http://csr.bu.edu/ftp/asl/asllvd/demos/verify_start_end_handshape_annotations//test_auto_move//signs_mov/6366.mov" TargetMode="External"/><Relationship Id="rId26222" Type="http://schemas.openxmlformats.org/officeDocument/2006/relationships/hyperlink" Target="http://csr.bu.edu/ftp/asl/asllvd/demos/verify_start_end_handshape_annotations//test_auto_move//signs_mov_separ_signers/Tyler_6366.mov" TargetMode="External"/><Relationship Id="rId26223" Type="http://schemas.openxmlformats.org/officeDocument/2006/relationships/hyperlink" Target="http://secrets.rutgers.edu:8080/data/asl-ftp/asllvd/demos/verify_start_end_handshape_annotations//test_auto_move//signs_mov/6366.mov" TargetMode="External"/><Relationship Id="rId26224" Type="http://schemas.openxmlformats.org/officeDocument/2006/relationships/hyperlink" Target="http://secrets.rutgers.edu:8080/data/asl-ftp/asllvd/demos/verify_start_end_handshape_annotations//test_auto_move//signs_mov_separ_signers/Tyler_6366.mov" TargetMode="External"/><Relationship Id="rId26225" Type="http://schemas.openxmlformats.org/officeDocument/2006/relationships/hyperlink" Target="http://csr.bu.edu/ftp/asl/asllvd/demos/verify_start_end_handshape_annotations//test_auto_move//signs_mov/5874.mov" TargetMode="External"/><Relationship Id="rId26226" Type="http://schemas.openxmlformats.org/officeDocument/2006/relationships/hyperlink" Target="http://csr.bu.edu/ftp/asl/asllvd/demos/verify_start_end_handshape_annotations//test_auto_move//signs_mov_separ_signers/Brady_5874.mov" TargetMode="External"/><Relationship Id="rId26227" Type="http://schemas.openxmlformats.org/officeDocument/2006/relationships/hyperlink" Target="http://secrets.rutgers.edu:8080/data/asl-ftp/asllvd/demos/verify_start_end_handshape_annotations//test_auto_move//signs_mov/5874.mov" TargetMode="External"/><Relationship Id="rId26228" Type="http://schemas.openxmlformats.org/officeDocument/2006/relationships/hyperlink" Target="http://secrets.rutgers.edu:8080/data/asl-ftp/asllvd/demos/verify_start_end_handshape_annotations//test_auto_move//signs_mov_separ_signers/Brady_5874.mov" TargetMode="External"/><Relationship Id="rId26229" Type="http://schemas.openxmlformats.org/officeDocument/2006/relationships/hyperlink" Target="http://csr.bu.edu/ftp/asl/asllvd/demos/verify_start_end_handshape_annotations//test_auto_move//signs_mov/6370.mov" TargetMode="External"/><Relationship Id="rId26230" Type="http://schemas.openxmlformats.org/officeDocument/2006/relationships/hyperlink" Target="http://csr.bu.edu/ftp/asl/asllvd/demos/verify_start_end_handshape_annotations//test_auto_move//signs_mov_separ_signers/Tyler_6370.mov" TargetMode="External"/><Relationship Id="rId26231" Type="http://schemas.openxmlformats.org/officeDocument/2006/relationships/hyperlink" Target="http://secrets.rutgers.edu:8080/data/asl-ftp/asllvd/demos/verify_start_end_handshape_annotations//test_auto_move//signs_mov/6370.mov" TargetMode="External"/><Relationship Id="rId26232" Type="http://schemas.openxmlformats.org/officeDocument/2006/relationships/hyperlink" Target="http://secrets.rutgers.edu:8080/data/asl-ftp/asllvd/demos/verify_start_end_handshape_annotations//test_auto_move//signs_mov_separ_signers/Tyler_6370.mov" TargetMode="External"/><Relationship Id="rId26233" Type="http://schemas.openxmlformats.org/officeDocument/2006/relationships/hyperlink" Target="http://csr.bu.edu/ftp/asl/asllvd/demos/verify_start_end_handshape_annotations//test_auto_move//signs_mov_separ_signers/Naomi_6370.mov" TargetMode="External"/><Relationship Id="rId26234" Type="http://schemas.openxmlformats.org/officeDocument/2006/relationships/hyperlink" Target="http://secrets.rutgers.edu:8080/data/asl-ftp/asllvd/demos/verify_start_end_handshape_annotations//test_auto_move//signs_mov_separ_signers/Naomi_6370.mov" TargetMode="External"/><Relationship Id="rId26235" Type="http://schemas.openxmlformats.org/officeDocument/2006/relationships/hyperlink" Target="http://csr.bu.edu/ftp/asl/asllvd/demos/verify_start_end_handshape_annotations//test_auto_move//signs_mov/5875.mov" TargetMode="External"/><Relationship Id="rId26236" Type="http://schemas.openxmlformats.org/officeDocument/2006/relationships/hyperlink" Target="http://csr.bu.edu/ftp/asl/asllvd/demos/verify_start_end_handshape_annotations//test_auto_move//signs_mov_separ_signers/Brady_5875.mov" TargetMode="External"/><Relationship Id="rId26237" Type="http://schemas.openxmlformats.org/officeDocument/2006/relationships/hyperlink" Target="http://secrets.rutgers.edu:8080/data/asl-ftp/asllvd/demos/verify_start_end_handshape_annotations//test_auto_move//signs_mov/5875.mov" TargetMode="External"/><Relationship Id="rId26238" Type="http://schemas.openxmlformats.org/officeDocument/2006/relationships/hyperlink" Target="http://secrets.rutgers.edu:8080/data/asl-ftp/asllvd/demos/verify_start_end_handshape_annotations//test_auto_move//signs_mov_separ_signers/Brady_5875.mov" TargetMode="External"/><Relationship Id="rId26239" Type="http://schemas.openxmlformats.org/officeDocument/2006/relationships/hyperlink" Target="http://csr.bu.edu/ftp/asl/asllvd/demos/verify_start_end_handshape_annotations//test_auto_move//signs_mov/6371.mov" TargetMode="External"/><Relationship Id="rId26240" Type="http://schemas.openxmlformats.org/officeDocument/2006/relationships/hyperlink" Target="http://csr.bu.edu/ftp/asl/asllvd/demos/verify_start_end_handshape_annotations//test_auto_move//signs_mov_separ_signers/Tyler_6371.mov" TargetMode="External"/><Relationship Id="rId26241" Type="http://schemas.openxmlformats.org/officeDocument/2006/relationships/hyperlink" Target="http://secrets.rutgers.edu:8080/data/asl-ftp/asllvd/demos/verify_start_end_handshape_annotations//test_auto_move//signs_mov/6371.mov" TargetMode="External"/><Relationship Id="rId26242" Type="http://schemas.openxmlformats.org/officeDocument/2006/relationships/hyperlink" Target="http://secrets.rutgers.edu:8080/data/asl-ftp/asllvd/demos/verify_start_end_handshape_annotations//test_auto_move//signs_mov_separ_signers/Tyler_6371.mov" TargetMode="External"/><Relationship Id="rId26243" Type="http://schemas.openxmlformats.org/officeDocument/2006/relationships/hyperlink" Target="http://csr.bu.edu/ftp/asl/asllvd/demos/verify_start_end_handshape_annotations//test_auto_move//signs_mov_separ_signers/Brady_6371.mov" TargetMode="External"/><Relationship Id="rId26244" Type="http://schemas.openxmlformats.org/officeDocument/2006/relationships/hyperlink" Target="http://secrets.rutgers.edu:8080/data/asl-ftp/asllvd/demos/verify_start_end_handshape_annotations//test_auto_move//signs_mov_separ_signers/Brady_6371.mov" TargetMode="External"/><Relationship Id="rId26245" Type="http://schemas.openxmlformats.org/officeDocument/2006/relationships/hyperlink" Target="http://csr.bu.edu/ftp/asl/asllvd/demos/verify_start_end_handshape_annotations//test_auto_move//signs_mov/6372.mov" TargetMode="External"/><Relationship Id="rId26246" Type="http://schemas.openxmlformats.org/officeDocument/2006/relationships/hyperlink" Target="http://csr.bu.edu/ftp/asl/asllvd/demos/verify_start_end_handshape_annotations//test_auto_move//signs_mov_separ_signers/Brady_6372.mov" TargetMode="External"/><Relationship Id="rId26247" Type="http://schemas.openxmlformats.org/officeDocument/2006/relationships/hyperlink" Target="http://secrets.rutgers.edu:8080/data/asl-ftp/asllvd/demos/verify_start_end_handshape_annotations//test_auto_move//signs_mov/6372.mov" TargetMode="External"/><Relationship Id="rId26248" Type="http://schemas.openxmlformats.org/officeDocument/2006/relationships/hyperlink" Target="http://secrets.rutgers.edu:8080/data/asl-ftp/asllvd/demos/verify_start_end_handshape_annotations//test_auto_move//signs_mov_separ_signers/Brady_6372.mov" TargetMode="External"/><Relationship Id="rId26249" Type="http://schemas.openxmlformats.org/officeDocument/2006/relationships/hyperlink" Target="http://csr.bu.edu/ftp/asl/asllvd/demos/verify_start_end_handshape_annotations//test_auto_move//signs_mov/5629.mov" TargetMode="External"/><Relationship Id="rId26250" Type="http://schemas.openxmlformats.org/officeDocument/2006/relationships/hyperlink" Target="http://csr.bu.edu/ftp/asl/asllvd/demos/verify_start_end_handshape_annotations//test_auto_move//signs_mov_separ_signers/Tyler_5629.mov" TargetMode="External"/><Relationship Id="rId26251" Type="http://schemas.openxmlformats.org/officeDocument/2006/relationships/hyperlink" Target="http://secrets.rutgers.edu:8080/data/asl-ftp/asllvd/demos/verify_start_end_handshape_annotations//test_auto_move//signs_mov/5629.mov" TargetMode="External"/><Relationship Id="rId26252" Type="http://schemas.openxmlformats.org/officeDocument/2006/relationships/hyperlink" Target="http://secrets.rutgers.edu:8080/data/asl-ftp/asllvd/demos/verify_start_end_handshape_annotations//test_auto_move//signs_mov_separ_signers/Tyler_5629.mov" TargetMode="External"/><Relationship Id="rId26253" Type="http://schemas.openxmlformats.org/officeDocument/2006/relationships/hyperlink" Target="http://csr.bu.edu/ftp/asl/asllvd/demos/verify_start_end_handshape_annotations//test_auto_move//signs_mov/5674.mov" TargetMode="External"/><Relationship Id="rId26254" Type="http://schemas.openxmlformats.org/officeDocument/2006/relationships/hyperlink" Target="http://csr.bu.edu/ftp/asl/asllvd/demos/verify_start_end_handshape_annotations//test_auto_move//signs_mov_separ_signers/Liz_5674.mov" TargetMode="External"/><Relationship Id="rId26255" Type="http://schemas.openxmlformats.org/officeDocument/2006/relationships/hyperlink" Target="http://secrets.rutgers.edu:8080/data/asl-ftp/asllvd/demos/verify_start_end_handshape_annotations//test_auto_move//signs_mov/5674.mov" TargetMode="External"/><Relationship Id="rId26256" Type="http://schemas.openxmlformats.org/officeDocument/2006/relationships/hyperlink" Target="http://secrets.rutgers.edu:8080/data/asl-ftp/asllvd/demos/verify_start_end_handshape_annotations//test_auto_move//signs_mov_separ_signers/Liz_5674.mov" TargetMode="External"/><Relationship Id="rId26257" Type="http://schemas.openxmlformats.org/officeDocument/2006/relationships/hyperlink" Target="http://csr.bu.edu/ftp/asl/asllvd/demos/verify_start_end_handshape_annotations//test_auto_move//signs_mov_separ_signers/Naomi_5674.mov" TargetMode="External"/><Relationship Id="rId26258" Type="http://schemas.openxmlformats.org/officeDocument/2006/relationships/hyperlink" Target="http://secrets.rutgers.edu:8080/data/asl-ftp/asllvd/demos/verify_start_end_handshape_annotations//test_auto_move//signs_mov_separ_signers/Naomi_5674.mov" TargetMode="External"/><Relationship Id="rId26259" Type="http://schemas.openxmlformats.org/officeDocument/2006/relationships/hyperlink" Target="http://csr.bu.edu/ftp/asl/asllvd/demos/verify_start_end_handshape_annotations//test_auto_move//signs_mov/6381.mov" TargetMode="External"/><Relationship Id="rId26260" Type="http://schemas.openxmlformats.org/officeDocument/2006/relationships/hyperlink" Target="http://csr.bu.edu/ftp/asl/asllvd/demos/verify_start_end_handshape_annotations//test_auto_move//signs_mov_separ_signers/Tyler_6381.mov" TargetMode="External"/><Relationship Id="rId26261" Type="http://schemas.openxmlformats.org/officeDocument/2006/relationships/hyperlink" Target="http://secrets.rutgers.edu:8080/data/asl-ftp/asllvd/demos/verify_start_end_handshape_annotations//test_auto_move//signs_mov/6381.mov" TargetMode="External"/><Relationship Id="rId26262" Type="http://schemas.openxmlformats.org/officeDocument/2006/relationships/hyperlink" Target="http://secrets.rutgers.edu:8080/data/asl-ftp/asllvd/demos/verify_start_end_handshape_annotations//test_auto_move//signs_mov_separ_signers/Tyler_6381.mov" TargetMode="External"/><Relationship Id="rId26263" Type="http://schemas.openxmlformats.org/officeDocument/2006/relationships/hyperlink" Target="http://csr.bu.edu/ftp/asl/asllvd/demos/verify_start_end_handshape_annotations//test_auto_move//signs_mov_separ_signers/Naomi_6381.mov" TargetMode="External"/><Relationship Id="rId26264" Type="http://schemas.openxmlformats.org/officeDocument/2006/relationships/hyperlink" Target="http://secrets.rutgers.edu:8080/data/asl-ftp/asllvd/demos/verify_start_end_handshape_annotations//test_auto_move//signs_mov_separ_signers/Naomi_6381.mov" TargetMode="External"/><Relationship Id="rId26265" Type="http://schemas.openxmlformats.org/officeDocument/2006/relationships/hyperlink" Target="http://csr.bu.edu/ftp/asl/asllvd/demos/verify_start_end_handshape_annotations//test_auto_move//signs_mov/5556.mov" TargetMode="External"/><Relationship Id="rId26266" Type="http://schemas.openxmlformats.org/officeDocument/2006/relationships/hyperlink" Target="http://csr.bu.edu/ftp/asl/asllvd/demos/verify_start_end_handshape_annotations//test_auto_move//signs_mov_separ_signers/Liz_5556.mov" TargetMode="External"/><Relationship Id="rId26267" Type="http://schemas.openxmlformats.org/officeDocument/2006/relationships/hyperlink" Target="http://secrets.rutgers.edu:8080/data/asl-ftp/asllvd/demos/verify_start_end_handshape_annotations//test_auto_move//signs_mov/5556.mov" TargetMode="External"/><Relationship Id="rId26268" Type="http://schemas.openxmlformats.org/officeDocument/2006/relationships/hyperlink" Target="http://secrets.rutgers.edu:8080/data/asl-ftp/asllvd/demos/verify_start_end_handshape_annotations//test_auto_move//signs_mov_separ_signers/Liz_5556.mov" TargetMode="External"/><Relationship Id="rId26269" Type="http://schemas.openxmlformats.org/officeDocument/2006/relationships/hyperlink" Target="http://csr.bu.edu/ftp/asl/asllvd/demos/verify_start_end_handshape_annotations//test_auto_move//signs_mov_separ_signers/Brady_5556.mov" TargetMode="External"/><Relationship Id="rId26270" Type="http://schemas.openxmlformats.org/officeDocument/2006/relationships/hyperlink" Target="http://secrets.rutgers.edu:8080/data/asl-ftp/asllvd/demos/verify_start_end_handshape_annotations//test_auto_move//signs_mov_separ_signers/Brady_5556.mov" TargetMode="External"/><Relationship Id="rId26271" Type="http://schemas.openxmlformats.org/officeDocument/2006/relationships/hyperlink" Target="http://csr.bu.edu/ftp/asl/asllvd/demos/verify_start_end_handshape_annotations//test_auto_move//signs_mov/6471.mov" TargetMode="External"/><Relationship Id="rId26272" Type="http://schemas.openxmlformats.org/officeDocument/2006/relationships/hyperlink" Target="http://csr.bu.edu/ftp/asl/asllvd/demos/verify_start_end_handshape_annotations//test_auto_move//signs_mov_separ_signers/Brady_6471.mov" TargetMode="External"/><Relationship Id="rId26273" Type="http://schemas.openxmlformats.org/officeDocument/2006/relationships/hyperlink" Target="http://secrets.rutgers.edu:8080/data/asl-ftp/asllvd/demos/verify_start_end_handshape_annotations//test_auto_move//signs_mov/6471.mov" TargetMode="External"/><Relationship Id="rId26274" Type="http://schemas.openxmlformats.org/officeDocument/2006/relationships/hyperlink" Target="http://secrets.rutgers.edu:8080/data/asl-ftp/asllvd/demos/verify_start_end_handshape_annotations//test_auto_move//signs_mov_separ_signers/Brady_6471.mov" TargetMode="External"/><Relationship Id="rId26275" Type="http://schemas.openxmlformats.org/officeDocument/2006/relationships/hyperlink" Target="http://csr.bu.edu/ftp/asl/asllvd/demos/verify_start_end_handshape_annotations//test_auto_move//signs_mov/6693.mov" TargetMode="External"/><Relationship Id="rId26276" Type="http://schemas.openxmlformats.org/officeDocument/2006/relationships/hyperlink" Target="http://csr.bu.edu/ftp/asl/asllvd/demos/verify_start_end_handshape_annotations//test_auto_move//signs_mov_separ_signers/Liz_6693.mov" TargetMode="External"/><Relationship Id="rId26277" Type="http://schemas.openxmlformats.org/officeDocument/2006/relationships/hyperlink" Target="http://secrets.rutgers.edu:8080/data/asl-ftp/asllvd/demos/verify_start_end_handshape_annotations//test_auto_move//signs_mov/6693.mov" TargetMode="External"/><Relationship Id="rId26278" Type="http://schemas.openxmlformats.org/officeDocument/2006/relationships/hyperlink" Target="http://secrets.rutgers.edu:8080/data/asl-ftp/asllvd/demos/verify_start_end_handshape_annotations//test_auto_move//signs_mov_separ_signers/Liz_6693.mov" TargetMode="External"/><Relationship Id="rId26279" Type="http://schemas.openxmlformats.org/officeDocument/2006/relationships/hyperlink" Target="http://csr.bu.edu/ftp/asl/asllvd/demos/verify_start_end_handshape_annotations//test_auto_move//signs_mov_separ_signers/Naomi_6693.mov" TargetMode="External"/><Relationship Id="rId26280" Type="http://schemas.openxmlformats.org/officeDocument/2006/relationships/hyperlink" Target="http://secrets.rutgers.edu:8080/data/asl-ftp/asllvd/demos/verify_start_end_handshape_annotations//test_auto_move//signs_mov_separ_signers/Naomi_6693.mov" TargetMode="External"/><Relationship Id="rId26281" Type="http://schemas.openxmlformats.org/officeDocument/2006/relationships/hyperlink" Target="http://csr.bu.edu/ftp/asl/asllvd/demos/verify_start_end_handshape_annotations//test_auto_move//signs_mov/5883.mov" TargetMode="External"/><Relationship Id="rId26282" Type="http://schemas.openxmlformats.org/officeDocument/2006/relationships/hyperlink" Target="http://csr.bu.edu/ftp/asl/asllvd/demos/verify_start_end_handshape_annotations//test_auto_move//signs_mov_separ_signers/Brady_5883.mov" TargetMode="External"/><Relationship Id="rId26283" Type="http://schemas.openxmlformats.org/officeDocument/2006/relationships/hyperlink" Target="http://secrets.rutgers.edu:8080/data/asl-ftp/asllvd/demos/verify_start_end_handshape_annotations//test_auto_move//signs_mov/5883.mov" TargetMode="External"/><Relationship Id="rId26284" Type="http://schemas.openxmlformats.org/officeDocument/2006/relationships/hyperlink" Target="http://secrets.rutgers.edu:8080/data/asl-ftp/asllvd/demos/verify_start_end_handshape_annotations//test_auto_move//signs_mov_separ_signers/Brady_5883.mov" TargetMode="External"/><Relationship Id="rId26285" Type="http://schemas.openxmlformats.org/officeDocument/2006/relationships/hyperlink" Target="http://csr.bu.edu/ftp/asl/asllvd/demos/verify_start_end_handshape_annotations//test_auto_move//signs_mov/5884.mov" TargetMode="External"/><Relationship Id="rId26286" Type="http://schemas.openxmlformats.org/officeDocument/2006/relationships/hyperlink" Target="http://csr.bu.edu/ftp/asl/asllvd/demos/verify_start_end_handshape_annotations//test_auto_move//signs_mov_separ_signers/Tyler_5884.mov" TargetMode="External"/><Relationship Id="rId26287" Type="http://schemas.openxmlformats.org/officeDocument/2006/relationships/hyperlink" Target="http://secrets.rutgers.edu:8080/data/asl-ftp/asllvd/demos/verify_start_end_handshape_annotations//test_auto_move//signs_mov/5884.mov" TargetMode="External"/><Relationship Id="rId26288" Type="http://schemas.openxmlformats.org/officeDocument/2006/relationships/hyperlink" Target="http://secrets.rutgers.edu:8080/data/asl-ftp/asllvd/demos/verify_start_end_handshape_annotations//test_auto_move//signs_mov_separ_signers/Tyler_5884.mov" TargetMode="External"/><Relationship Id="rId26289" Type="http://schemas.openxmlformats.org/officeDocument/2006/relationships/hyperlink" Target="http://csr.bu.edu/ftp/asl/asllvd/demos/verify_start_end_handshape_annotations//test_auto_move//signs_mov/5792_6723_merged.mov" TargetMode="External"/><Relationship Id="rId26290" Type="http://schemas.openxmlformats.org/officeDocument/2006/relationships/hyperlink" Target="http://csr.bu.edu/ftp/asl/asllvd/demos/verify_start_end_handshape_annotations//test_auto_move//signs_mov_separ_signers/Brady_6723.mov" TargetMode="External"/><Relationship Id="rId26291" Type="http://schemas.openxmlformats.org/officeDocument/2006/relationships/hyperlink" Target="http://secrets.rutgers.edu:8080/data/asl-ftp/asllvd/demos/verify_start_end_handshape_annotations//test_auto_move//signs_mov/5792_6723_merged.mov" TargetMode="External"/><Relationship Id="rId26292" Type="http://schemas.openxmlformats.org/officeDocument/2006/relationships/hyperlink" Target="http://secrets.rutgers.edu:8080/data/asl-ftp/asllvd/demos/verify_start_end_handshape_annotations//test_auto_move//signs_mov_separ_signers/Brady_6723.mov" TargetMode="External"/><Relationship Id="rId26293" Type="http://schemas.openxmlformats.org/officeDocument/2006/relationships/hyperlink" Target="http://csr.bu.edu/ftp/asl/asllvd/demos/verify_start_end_handshape_annotations//test_auto_move//signs_mov_separ_signers/Brady_5792.mov" TargetMode="External"/><Relationship Id="rId26294" Type="http://schemas.openxmlformats.org/officeDocument/2006/relationships/hyperlink" Target="http://secrets.rutgers.edu:8080/data/asl-ftp/asllvd/demos/verify_start_end_handshape_annotations//test_auto_move//signs_mov_separ_signers/Brady_5792.mov" TargetMode="External"/><Relationship Id="rId26295" Type="http://schemas.openxmlformats.org/officeDocument/2006/relationships/hyperlink" Target="http://csr.bu.edu/ftp/asl/asllvd/demos/verify_start_end_handshape_annotations//test_auto_move//signs_mov_separ_signers/Liz_6941.mov" TargetMode="External"/><Relationship Id="rId26296" Type="http://schemas.openxmlformats.org/officeDocument/2006/relationships/hyperlink" Target="http://secrets.rutgers.edu:8080/data/asl-ftp/asllvd/demos/verify_start_end_handshape_annotations//test_auto_move//signs_mov_separ_signers/Liz_6941.mov" TargetMode="External"/><Relationship Id="rId26297" Type="http://schemas.openxmlformats.org/officeDocument/2006/relationships/hyperlink" Target="http://csr.bu.edu/ftp/asl/asllvd/demos/verify_start_end_handshape_annotations//test_auto_move//signs_mov/6941.mov" TargetMode="External"/><Relationship Id="rId26298" Type="http://schemas.openxmlformats.org/officeDocument/2006/relationships/hyperlink" Target="http://csr.bu.edu/ftp/asl/asllvd/demos/verify_start_end_handshape_annotations//test_auto_move//signs_mov_separ_signers/Naomi_6941.mov" TargetMode="External"/><Relationship Id="rId26299" Type="http://schemas.openxmlformats.org/officeDocument/2006/relationships/hyperlink" Target="http://secrets.rutgers.edu:8080/data/asl-ftp/asllvd/demos/verify_start_end_handshape_annotations//test_auto_move//signs_mov/6941.mov" TargetMode="External"/><Relationship Id="rId26300" Type="http://schemas.openxmlformats.org/officeDocument/2006/relationships/hyperlink" Target="http://secrets.rutgers.edu:8080/data/asl-ftp/asllvd/demos/verify_start_end_handshape_annotations//test_auto_move//signs_mov_separ_signers/Naomi_6941.mov" TargetMode="External"/><Relationship Id="rId26301" Type="http://schemas.openxmlformats.org/officeDocument/2006/relationships/hyperlink" Target="http://csr.bu.edu/ftp/asl/asllvd/demos/verify_start_end_handshape_annotations//test_auto_move//signs_mov_separ_signers/Brady_6941.mov" TargetMode="External"/><Relationship Id="rId26302" Type="http://schemas.openxmlformats.org/officeDocument/2006/relationships/hyperlink" Target="http://secrets.rutgers.edu:8080/data/asl-ftp/asllvd/demos/verify_start_end_handshape_annotations//test_auto_move//signs_mov_separ_signers/Brady_6941.mov" TargetMode="External"/><Relationship Id="rId26303" Type="http://schemas.openxmlformats.org/officeDocument/2006/relationships/hyperlink" Target="http://csr.bu.edu/ftp/asl/asllvd/demos/verify_start_end_handshape_annotations//test_auto_move//signs_mov_separ_signers/Liz_7204.mov" TargetMode="External"/><Relationship Id="rId26304" Type="http://schemas.openxmlformats.org/officeDocument/2006/relationships/hyperlink" Target="http://secrets.rutgers.edu:8080/data/asl-ftp/asllvd/demos/verify_start_end_handshape_annotations//test_auto_move//signs_mov_separ_signers/Liz_7204.mov" TargetMode="External"/><Relationship Id="rId26305" Type="http://schemas.openxmlformats.org/officeDocument/2006/relationships/hyperlink" Target="http://csr.bu.edu/ftp/asl/asllvd/demos/verify_start_end_handshape_annotations//test_auto_move//signs_mov/5035_7204_merged.mov" TargetMode="External"/><Relationship Id="rId26306" Type="http://schemas.openxmlformats.org/officeDocument/2006/relationships/hyperlink" Target="http://csr.bu.edu/ftp/asl/asllvd/demos/verify_start_end_handshape_annotations//test_auto_move//signs_mov_separ_signers/Brady_7204.mov" TargetMode="External"/><Relationship Id="rId26307" Type="http://schemas.openxmlformats.org/officeDocument/2006/relationships/hyperlink" Target="http://secrets.rutgers.edu:8080/data/asl-ftp/asllvd/demos/verify_start_end_handshape_annotations//test_auto_move//signs_mov/5035_7204_merged.mov" TargetMode="External"/><Relationship Id="rId26308" Type="http://schemas.openxmlformats.org/officeDocument/2006/relationships/hyperlink" Target="http://secrets.rutgers.edu:8080/data/asl-ftp/asllvd/demos/verify_start_end_handshape_annotations//test_auto_move//signs_mov_separ_signers/Brady_7204.mov" TargetMode="External"/><Relationship Id="rId26309" Type="http://schemas.openxmlformats.org/officeDocument/2006/relationships/hyperlink" Target="http://csr.bu.edu/ftp/asl/asllvd/demos/verify_start_end_handshape_annotations//test_auto_move//signs_mov_separ_signers/Brady_5035.mov" TargetMode="External"/><Relationship Id="rId26310" Type="http://schemas.openxmlformats.org/officeDocument/2006/relationships/hyperlink" Target="http://secrets.rutgers.edu:8080/data/asl-ftp/asllvd/demos/verify_start_end_handshape_annotations//test_auto_move//signs_mov_separ_signers/Brady_5035.mov" TargetMode="External"/><Relationship Id="rId26311" Type="http://schemas.openxmlformats.org/officeDocument/2006/relationships/hyperlink" Target="http://csr.bu.edu/ftp/asl/asllvd/demos/verify_start_end_handshape_annotations//test_auto_move//signs_mov/7293.mov" TargetMode="External"/><Relationship Id="rId26312" Type="http://schemas.openxmlformats.org/officeDocument/2006/relationships/hyperlink" Target="http://csr.bu.edu/ftp/asl/asllvd/demos/verify_start_end_handshape_annotations//test_auto_move//signs_mov_separ_signers/Tyler_7293.mov" TargetMode="External"/><Relationship Id="rId26313" Type="http://schemas.openxmlformats.org/officeDocument/2006/relationships/hyperlink" Target="http://secrets.rutgers.edu:8080/data/asl-ftp/asllvd/demos/verify_start_end_handshape_annotations//test_auto_move//signs_mov/7293.mov" TargetMode="External"/><Relationship Id="rId26314" Type="http://schemas.openxmlformats.org/officeDocument/2006/relationships/hyperlink" Target="http://secrets.rutgers.edu:8080/data/asl-ftp/asllvd/demos/verify_start_end_handshape_annotations//test_auto_move//signs_mov_separ_signers/Tyler_7293.mov" TargetMode="External"/><Relationship Id="rId26315" Type="http://schemas.openxmlformats.org/officeDocument/2006/relationships/hyperlink" Target="http://csr.bu.edu/ftp/asl/asllvd/demos/verify_start_end_handshape_annotations//test_auto_move//signs_mov_separ_signers/Brady_7293.mov" TargetMode="External"/><Relationship Id="rId26316" Type="http://schemas.openxmlformats.org/officeDocument/2006/relationships/hyperlink" Target="http://secrets.rutgers.edu:8080/data/asl-ftp/asllvd/demos/verify_start_end_handshape_annotations//test_auto_move//signs_mov_separ_signers/Brady_7293.mov" TargetMode="External"/><Relationship Id="rId26317" Type="http://schemas.openxmlformats.org/officeDocument/2006/relationships/hyperlink" Target="http://csr.bu.edu/ftp/asl/asllvd/demos/verify_start_end_handshape_annotations//test_auto_move//signs_mov/7310.mov" TargetMode="External"/><Relationship Id="rId26318" Type="http://schemas.openxmlformats.org/officeDocument/2006/relationships/hyperlink" Target="http://csr.bu.edu/ftp/asl/asllvd/demos/verify_start_end_handshape_annotations//test_auto_move//signs_mov_separ_signers/Liz_7310.mov" TargetMode="External"/><Relationship Id="rId26319" Type="http://schemas.openxmlformats.org/officeDocument/2006/relationships/hyperlink" Target="http://secrets.rutgers.edu:8080/data/asl-ftp/asllvd/demos/verify_start_end_handshape_annotations//test_auto_move//signs_mov/7310.mov" TargetMode="External"/><Relationship Id="rId26320" Type="http://schemas.openxmlformats.org/officeDocument/2006/relationships/hyperlink" Target="http://secrets.rutgers.edu:8080/data/asl-ftp/asllvd/demos/verify_start_end_handshape_annotations//test_auto_move//signs_mov_separ_signers/Liz_7310.mov" TargetMode="External"/><Relationship Id="rId26321" Type="http://schemas.openxmlformats.org/officeDocument/2006/relationships/hyperlink" Target="http://csr.bu.edu/ftp/asl/asllvd/demos/verify_start_end_handshape_annotations//test_auto_move//signs_mov_separ_signers/Brady_7310.mov" TargetMode="External"/><Relationship Id="rId26322" Type="http://schemas.openxmlformats.org/officeDocument/2006/relationships/hyperlink" Target="http://secrets.rutgers.edu:8080/data/asl-ftp/asllvd/demos/verify_start_end_handshape_annotations//test_auto_move//signs_mov_separ_signers/Brady_7310.mov" TargetMode="External"/><Relationship Id="rId26323" Type="http://schemas.openxmlformats.org/officeDocument/2006/relationships/hyperlink" Target="http://csr.bu.edu/ftp/asl/asllvd/demos/verify_start_end_handshape_annotations//test_auto_move//signs_mov/7382.mov" TargetMode="External"/><Relationship Id="rId26324" Type="http://schemas.openxmlformats.org/officeDocument/2006/relationships/hyperlink" Target="http://csr.bu.edu/ftp/asl/asllvd/demos/verify_start_end_handshape_annotations//test_auto_move//signs_mov_separ_signers/Brady_7382.mov" TargetMode="External"/><Relationship Id="rId26325" Type="http://schemas.openxmlformats.org/officeDocument/2006/relationships/hyperlink" Target="http://secrets.rutgers.edu:8080/data/asl-ftp/asllvd/demos/verify_start_end_handshape_annotations//test_auto_move//signs_mov/7382.mov" TargetMode="External"/><Relationship Id="rId26326" Type="http://schemas.openxmlformats.org/officeDocument/2006/relationships/hyperlink" Target="http://secrets.rutgers.edu:8080/data/asl-ftp/asllvd/demos/verify_start_end_handshape_annotations//test_auto_move//signs_mov_separ_signers/Brady_7382.mov" TargetMode="External"/><Relationship Id="rId26327" Type="http://schemas.openxmlformats.org/officeDocument/2006/relationships/hyperlink" Target="http://csr.bu.edu/ftp/asl/asllvd/demos/verify_start_end_handshape_annotations//test_auto_move//signs_mov/16327.mov" TargetMode="External"/><Relationship Id="rId26328" Type="http://schemas.openxmlformats.org/officeDocument/2006/relationships/hyperlink" Target="http://csr.bu.edu/ftp/asl/asllvd/demos/verify_start_end_handshape_annotations//test_auto_move//signs_mov_separ_signers/Tyler_16327.mov" TargetMode="External"/><Relationship Id="rId26329" Type="http://schemas.openxmlformats.org/officeDocument/2006/relationships/hyperlink" Target="http://secrets.rutgers.edu:8080/data/asl-ftp/asllvd/demos/verify_start_end_handshape_annotations//test_auto_move//signs_mov/16327.mov" TargetMode="External"/><Relationship Id="rId26330" Type="http://schemas.openxmlformats.org/officeDocument/2006/relationships/hyperlink" Target="http://secrets.rutgers.edu:8080/data/asl-ftp/asllvd/demos/verify_start_end_handshape_annotations//test_auto_move//signs_mov_separ_signers/Tyler_16327.mov" TargetMode="External"/><Relationship Id="rId26331" Type="http://schemas.openxmlformats.org/officeDocument/2006/relationships/hyperlink" Target="http://csr.bu.edu/ftp/asl/asllvd/demos/verify_start_end_handshape_annotations//test_auto_move//signs_mov/7388.mov" TargetMode="External"/><Relationship Id="rId26332" Type="http://schemas.openxmlformats.org/officeDocument/2006/relationships/hyperlink" Target="http://csr.bu.edu/ftp/asl/asllvd/demos/verify_start_end_handshape_annotations//test_auto_move//signs_mov_separ_signers/Tyler_7388.mov" TargetMode="External"/><Relationship Id="rId26333" Type="http://schemas.openxmlformats.org/officeDocument/2006/relationships/hyperlink" Target="http://secrets.rutgers.edu:8080/data/asl-ftp/asllvd/demos/verify_start_end_handshape_annotations//test_auto_move//signs_mov/7388.mov" TargetMode="External"/><Relationship Id="rId26334" Type="http://schemas.openxmlformats.org/officeDocument/2006/relationships/hyperlink" Target="http://secrets.rutgers.edu:8080/data/asl-ftp/asllvd/demos/verify_start_end_handshape_annotations//test_auto_move//signs_mov_separ_signers/Tyler_7388.mov" TargetMode="External"/><Relationship Id="rId26335" Type="http://schemas.openxmlformats.org/officeDocument/2006/relationships/hyperlink" Target="http://csr.bu.edu/ftp/asl/asllvd/demos/verify_start_end_handshape_annotations//test_auto_move//signs_mov_separ_signers/Brady_7388.mov" TargetMode="External"/><Relationship Id="rId26336" Type="http://schemas.openxmlformats.org/officeDocument/2006/relationships/hyperlink" Target="http://secrets.rutgers.edu:8080/data/asl-ftp/asllvd/demos/verify_start_end_handshape_annotations//test_auto_move//signs_mov_separ_signers/Brady_7388.mov" TargetMode="External"/><Relationship Id="rId26337" Type="http://schemas.openxmlformats.org/officeDocument/2006/relationships/hyperlink" Target="http://csr.bu.edu/ftp/asl/asllvd/demos/verify_start_end_handshape_annotations//test_auto_move//signs_mov/7391.mov" TargetMode="External"/><Relationship Id="rId26338" Type="http://schemas.openxmlformats.org/officeDocument/2006/relationships/hyperlink" Target="http://csr.bu.edu/ftp/asl/asllvd/demos/verify_start_end_handshape_annotations//test_auto_move//signs_mov_separ_signers/Tyler_7391.mov" TargetMode="External"/><Relationship Id="rId26339" Type="http://schemas.openxmlformats.org/officeDocument/2006/relationships/hyperlink" Target="http://secrets.rutgers.edu:8080/data/asl-ftp/asllvd/demos/verify_start_end_handshape_annotations//test_auto_move//signs_mov/7391.mov" TargetMode="External"/><Relationship Id="rId26340" Type="http://schemas.openxmlformats.org/officeDocument/2006/relationships/hyperlink" Target="http://secrets.rutgers.edu:8080/data/asl-ftp/asllvd/demos/verify_start_end_handshape_annotations//test_auto_move//signs_mov_separ_signers/Tyler_7391.mov" TargetMode="External"/><Relationship Id="rId26341" Type="http://schemas.openxmlformats.org/officeDocument/2006/relationships/hyperlink" Target="http://csr.bu.edu/ftp/asl/asllvd/demos/verify_start_end_handshape_annotations//test_auto_move//signs_mov_separ_signers/Brady_7391.mov" TargetMode="External"/><Relationship Id="rId26342" Type="http://schemas.openxmlformats.org/officeDocument/2006/relationships/hyperlink" Target="http://secrets.rutgers.edu:8080/data/asl-ftp/asllvd/demos/verify_start_end_handshape_annotations//test_auto_move//signs_mov_separ_signers/Brady_7391.mov" TargetMode="External"/><Relationship Id="rId26343" Type="http://schemas.openxmlformats.org/officeDocument/2006/relationships/hyperlink" Target="http://csr.bu.edu/ftp/asl/asllvd/demos/verify_start_end_handshape_annotations//test_auto_move//signs_mov/7452.mov" TargetMode="External"/><Relationship Id="rId26344" Type="http://schemas.openxmlformats.org/officeDocument/2006/relationships/hyperlink" Target="http://csr.bu.edu/ftp/asl/asllvd/demos/verify_start_end_handshape_annotations//test_auto_move//signs_mov_separ_signers/Tyler_7452.mov" TargetMode="External"/><Relationship Id="rId26345" Type="http://schemas.openxmlformats.org/officeDocument/2006/relationships/hyperlink" Target="http://secrets.rutgers.edu:8080/data/asl-ftp/asllvd/demos/verify_start_end_handshape_annotations//test_auto_move//signs_mov/7452.mov" TargetMode="External"/><Relationship Id="rId26346" Type="http://schemas.openxmlformats.org/officeDocument/2006/relationships/hyperlink" Target="http://secrets.rutgers.edu:8080/data/asl-ftp/asllvd/demos/verify_start_end_handshape_annotations//test_auto_move//signs_mov_separ_signers/Tyler_7452.mov" TargetMode="External"/><Relationship Id="rId26347" Type="http://schemas.openxmlformats.org/officeDocument/2006/relationships/hyperlink" Target="http://csr.bu.edu/ftp/asl/asllvd/demos/verify_start_end_handshape_annotations//test_auto_move//signs_mov_separ_signers/Brady_7452.mov" TargetMode="External"/><Relationship Id="rId26348" Type="http://schemas.openxmlformats.org/officeDocument/2006/relationships/hyperlink" Target="http://secrets.rutgers.edu:8080/data/asl-ftp/asllvd/demos/verify_start_end_handshape_annotations//test_auto_move//signs_mov_separ_signers/Brady_7452.mov" TargetMode="External"/><Relationship Id="rId26349" Type="http://schemas.openxmlformats.org/officeDocument/2006/relationships/hyperlink" Target="http://csr.bu.edu/ftp/asl/asllvd/demos/verify_start_end_handshape_annotations//test_auto_move//signs_mov/7495.mov" TargetMode="External"/><Relationship Id="rId26350" Type="http://schemas.openxmlformats.org/officeDocument/2006/relationships/hyperlink" Target="http://csr.bu.edu/ftp/asl/asllvd/demos/verify_start_end_handshape_annotations//test_auto_move//signs_mov_separ_signers/Brady_7495.mov" TargetMode="External"/><Relationship Id="rId26351" Type="http://schemas.openxmlformats.org/officeDocument/2006/relationships/hyperlink" Target="http://secrets.rutgers.edu:8080/data/asl-ftp/asllvd/demos/verify_start_end_handshape_annotations//test_auto_move//signs_mov/7495.mov" TargetMode="External"/><Relationship Id="rId26352" Type="http://schemas.openxmlformats.org/officeDocument/2006/relationships/hyperlink" Target="http://secrets.rutgers.edu:8080/data/asl-ftp/asllvd/demos/verify_start_end_handshape_annotations//test_auto_move//signs_mov_separ_signers/Brady_7495.mov" TargetMode="External"/><Relationship Id="rId26353" Type="http://schemas.openxmlformats.org/officeDocument/2006/relationships/hyperlink" Target="http://csr.bu.edu/ftp/asl/asllvd/demos/verify_start_end_handshape_annotations//test_auto_move//signs_mov/7514.mov" TargetMode="External"/><Relationship Id="rId26354" Type="http://schemas.openxmlformats.org/officeDocument/2006/relationships/hyperlink" Target="http://csr.bu.edu/ftp/asl/asllvd/demos/verify_start_end_handshape_annotations//test_auto_move//signs_mov_separ_signers/Liz_7514.mov" TargetMode="External"/><Relationship Id="rId26355" Type="http://schemas.openxmlformats.org/officeDocument/2006/relationships/hyperlink" Target="http://secrets.rutgers.edu:8080/data/asl-ftp/asllvd/demos/verify_start_end_handshape_annotations//test_auto_move//signs_mov/7514.mov" TargetMode="External"/><Relationship Id="rId26356" Type="http://schemas.openxmlformats.org/officeDocument/2006/relationships/hyperlink" Target="http://secrets.rutgers.edu:8080/data/asl-ftp/asllvd/demos/verify_start_end_handshape_annotations//test_auto_move//signs_mov_separ_signers/Liz_7514.mov" TargetMode="External"/><Relationship Id="rId26357" Type="http://schemas.openxmlformats.org/officeDocument/2006/relationships/hyperlink" Target="http://csr.bu.edu/ftp/asl/asllvd/demos/verify_start_end_handshape_annotations//test_auto_move//signs_mov_separ_signers/Brady_7514.mov" TargetMode="External"/><Relationship Id="rId26358" Type="http://schemas.openxmlformats.org/officeDocument/2006/relationships/hyperlink" Target="http://secrets.rutgers.edu:8080/data/asl-ftp/asllvd/demos/verify_start_end_handshape_annotations//test_auto_move//signs_mov_separ_signers/Brady_7514.mov" TargetMode="External"/><Relationship Id="rId26359" Type="http://schemas.openxmlformats.org/officeDocument/2006/relationships/hyperlink" Target="http://csr.bu.edu/ftp/asl/asllvd/demos/verify_start_end_handshape_annotations//test_auto_move//signs_mov/7521.mov" TargetMode="External"/><Relationship Id="rId26360" Type="http://schemas.openxmlformats.org/officeDocument/2006/relationships/hyperlink" Target="http://csr.bu.edu/ftp/asl/asllvd/demos/verify_start_end_handshape_annotations//test_auto_move//signs_mov_separ_signers/Brady_7521.mov" TargetMode="External"/><Relationship Id="rId26361" Type="http://schemas.openxmlformats.org/officeDocument/2006/relationships/hyperlink" Target="http://secrets.rutgers.edu:8080/data/asl-ftp/asllvd/demos/verify_start_end_handshape_annotations//test_auto_move//signs_mov/7521.mov" TargetMode="External"/><Relationship Id="rId26362" Type="http://schemas.openxmlformats.org/officeDocument/2006/relationships/hyperlink" Target="http://secrets.rutgers.edu:8080/data/asl-ftp/asllvd/demos/verify_start_end_handshape_annotations//test_auto_move//signs_mov_separ_signers/Brady_7521.mov" TargetMode="External"/><Relationship Id="rId26363" Type="http://schemas.openxmlformats.org/officeDocument/2006/relationships/hyperlink" Target="http://csr.bu.edu/ftp/asl/asllvd/demos/verify_start_end_handshape_annotations//test_auto_move//signs_mov/7617.mov" TargetMode="External"/><Relationship Id="rId26364" Type="http://schemas.openxmlformats.org/officeDocument/2006/relationships/hyperlink" Target="http://csr.bu.edu/ftp/asl/asllvd/demos/verify_start_end_handshape_annotations//test_auto_move//signs_mov_separ_signers/Tyler_7617.mov" TargetMode="External"/><Relationship Id="rId26365" Type="http://schemas.openxmlformats.org/officeDocument/2006/relationships/hyperlink" Target="http://secrets.rutgers.edu:8080/data/asl-ftp/asllvd/demos/verify_start_end_handshape_annotations//test_auto_move//signs_mov/7617.mov" TargetMode="External"/><Relationship Id="rId26366" Type="http://schemas.openxmlformats.org/officeDocument/2006/relationships/hyperlink" Target="http://secrets.rutgers.edu:8080/data/asl-ftp/asllvd/demos/verify_start_end_handshape_annotations//test_auto_move//signs_mov_separ_signers/Tyler_7617.mov" TargetMode="External"/><Relationship Id="rId26367" Type="http://schemas.openxmlformats.org/officeDocument/2006/relationships/hyperlink" Target="http://csr.bu.edu/ftp/asl/asllvd/demos/verify_start_end_handshape_annotations//test_auto_move//signs_mov_separ_signers/Brady_7617.mov" TargetMode="External"/><Relationship Id="rId26368" Type="http://schemas.openxmlformats.org/officeDocument/2006/relationships/hyperlink" Target="http://secrets.rutgers.edu:8080/data/asl-ftp/asllvd/demos/verify_start_end_handshape_annotations//test_auto_move//signs_mov_separ_signers/Brady_7617.mov" TargetMode="External"/><Relationship Id="rId26369" Type="http://schemas.openxmlformats.org/officeDocument/2006/relationships/hyperlink" Target="http://csr.bu.edu/ftp/asl/asllvd/demos/verify_start_end_handshape_annotations//test_auto_move//signs_mov/7644.mov" TargetMode="External"/><Relationship Id="rId26370" Type="http://schemas.openxmlformats.org/officeDocument/2006/relationships/hyperlink" Target="http://csr.bu.edu/ftp/asl/asllvd/demos/verify_start_end_handshape_annotations//test_auto_move//signs_mov_separ_signers/Naomi_7644.mov" TargetMode="External"/><Relationship Id="rId26371" Type="http://schemas.openxmlformats.org/officeDocument/2006/relationships/hyperlink" Target="http://secrets.rutgers.edu:8080/data/asl-ftp/asllvd/demos/verify_start_end_handshape_annotations//test_auto_move//signs_mov/7644.mov" TargetMode="External"/><Relationship Id="rId26372" Type="http://schemas.openxmlformats.org/officeDocument/2006/relationships/hyperlink" Target="http://secrets.rutgers.edu:8080/data/asl-ftp/asllvd/demos/verify_start_end_handshape_annotations//test_auto_move//signs_mov_separ_signers/Naomi_7644.mov" TargetMode="External"/><Relationship Id="rId26373" Type="http://schemas.openxmlformats.org/officeDocument/2006/relationships/hyperlink" Target="http://csr.bu.edu/ftp/asl/asllvd/demos/verify_start_end_handshape_annotations//test_auto_move//signs_mov_separ_signers/Brady_7644.mov" TargetMode="External"/><Relationship Id="rId26374" Type="http://schemas.openxmlformats.org/officeDocument/2006/relationships/hyperlink" Target="http://secrets.rutgers.edu:8080/data/asl-ftp/asllvd/demos/verify_start_end_handshape_annotations//test_auto_move//signs_mov_separ_signers/Brady_7644.mov" TargetMode="External"/><Relationship Id="rId26375" Type="http://schemas.openxmlformats.org/officeDocument/2006/relationships/hyperlink" Target="http://csr.bu.edu/ftp/asl/asllvd/demos/verify_start_end_handshape_annotations//test_auto_move//signs_mov/7662.mov" TargetMode="External"/><Relationship Id="rId26376" Type="http://schemas.openxmlformats.org/officeDocument/2006/relationships/hyperlink" Target="http://csr.bu.edu/ftp/asl/asllvd/demos/verify_start_end_handshape_annotations//test_auto_move//signs_mov_separ_signers/Liz_7662.mov" TargetMode="External"/><Relationship Id="rId26377" Type="http://schemas.openxmlformats.org/officeDocument/2006/relationships/hyperlink" Target="http://secrets.rutgers.edu:8080/data/asl-ftp/asllvd/demos/verify_start_end_handshape_annotations//test_auto_move//signs_mov/7662.mov" TargetMode="External"/><Relationship Id="rId26378" Type="http://schemas.openxmlformats.org/officeDocument/2006/relationships/hyperlink" Target="http://secrets.rutgers.edu:8080/data/asl-ftp/asllvd/demos/verify_start_end_handshape_annotations//test_auto_move//signs_mov_separ_signers/Liz_7662.mov" TargetMode="External"/><Relationship Id="rId26379" Type="http://schemas.openxmlformats.org/officeDocument/2006/relationships/hyperlink" Target="http://csr.bu.edu/ftp/asl/asllvd/demos/verify_start_end_handshape_annotations//test_auto_move//signs_mov_separ_signers/Brady_7662.mov" TargetMode="External"/><Relationship Id="rId26380" Type="http://schemas.openxmlformats.org/officeDocument/2006/relationships/hyperlink" Target="http://secrets.rutgers.edu:8080/data/asl-ftp/asllvd/demos/verify_start_end_handshape_annotations//test_auto_move//signs_mov_separ_signers/Brady_7662.mov" TargetMode="External"/><Relationship Id="rId26381" Type="http://schemas.openxmlformats.org/officeDocument/2006/relationships/hyperlink" Target="http://csr.bu.edu/ftp/asl/asllvd/demos/verify_start_end_handshape_annotations//test_auto_move//signs_mov_separ_signers/Liz_7748.mov" TargetMode="External"/><Relationship Id="rId26382" Type="http://schemas.openxmlformats.org/officeDocument/2006/relationships/hyperlink" Target="http://secrets.rutgers.edu:8080/data/asl-ftp/asllvd/demos/verify_start_end_handshape_annotations//test_auto_move//signs_mov_separ_signers/Liz_7748.mov" TargetMode="External"/><Relationship Id="rId26383" Type="http://schemas.openxmlformats.org/officeDocument/2006/relationships/hyperlink" Target="http://csr.bu.edu/ftp/asl/asllvd/demos/verify_start_end_handshape_annotations//test_auto_move//signs_mov/7748.mov" TargetMode="External"/><Relationship Id="rId26384" Type="http://schemas.openxmlformats.org/officeDocument/2006/relationships/hyperlink" Target="http://csr.bu.edu/ftp/asl/asllvd/demos/verify_start_end_handshape_annotations//test_auto_move//signs_mov_separ_signers/Naomi_7748.mov" TargetMode="External"/><Relationship Id="rId26385" Type="http://schemas.openxmlformats.org/officeDocument/2006/relationships/hyperlink" Target="http://secrets.rutgers.edu:8080/data/asl-ftp/asllvd/demos/verify_start_end_handshape_annotations//test_auto_move//signs_mov/7748.mov" TargetMode="External"/><Relationship Id="rId26386" Type="http://schemas.openxmlformats.org/officeDocument/2006/relationships/hyperlink" Target="http://secrets.rutgers.edu:8080/data/asl-ftp/asllvd/demos/verify_start_end_handshape_annotations//test_auto_move//signs_mov_separ_signers/Naomi_7748.mov" TargetMode="External"/><Relationship Id="rId26387" Type="http://schemas.openxmlformats.org/officeDocument/2006/relationships/hyperlink" Target="http://csr.bu.edu/ftp/asl/asllvd/demos/verify_start_end_handshape_annotations//test_auto_move//signs_mov_separ_signers/Brady_7748.mov" TargetMode="External"/><Relationship Id="rId26388" Type="http://schemas.openxmlformats.org/officeDocument/2006/relationships/hyperlink" Target="http://secrets.rutgers.edu:8080/data/asl-ftp/asllvd/demos/verify_start_end_handshape_annotations//test_auto_move//signs_mov_separ_signers/Brady_7748.mov" TargetMode="External"/><Relationship Id="rId26389" Type="http://schemas.openxmlformats.org/officeDocument/2006/relationships/hyperlink" Target="http://csr.bu.edu/ftp/asl/asllvd/demos/verify_start_end_handshape_annotations//test_auto_move//signs_mov_separ_signers/Liz_7863.mov" TargetMode="External"/><Relationship Id="rId26390" Type="http://schemas.openxmlformats.org/officeDocument/2006/relationships/hyperlink" Target="http://secrets.rutgers.edu:8080/data/asl-ftp/asllvd/demos/verify_start_end_handshape_annotations//test_auto_move//signs_mov_separ_signers/Liz_7863.mov" TargetMode="External"/><Relationship Id="rId26391" Type="http://schemas.openxmlformats.org/officeDocument/2006/relationships/hyperlink" Target="http://csr.bu.edu/ftp/asl/asllvd/demos/verify_start_end_handshape_annotations//test_auto_move//signs_mov/5801_7863_15506_merged.mov" TargetMode="External"/><Relationship Id="rId26392" Type="http://schemas.openxmlformats.org/officeDocument/2006/relationships/hyperlink" Target="http://csr.bu.edu/ftp/asl/asllvd/demos/verify_start_end_handshape_annotations//test_auto_move//signs_mov_separ_signers/Brady_7863.mov" TargetMode="External"/><Relationship Id="rId26393" Type="http://schemas.openxmlformats.org/officeDocument/2006/relationships/hyperlink" Target="http://secrets.rutgers.edu:8080/data/asl-ftp/asllvd/demos/verify_start_end_handshape_annotations//test_auto_move//signs_mov/5801_7863_15506_merged.mov" TargetMode="External"/><Relationship Id="rId26394" Type="http://schemas.openxmlformats.org/officeDocument/2006/relationships/hyperlink" Target="http://secrets.rutgers.edu:8080/data/asl-ftp/asllvd/demos/verify_start_end_handshape_annotations//test_auto_move//signs_mov_separ_signers/Brady_7863.mov" TargetMode="External"/><Relationship Id="rId26395" Type="http://schemas.openxmlformats.org/officeDocument/2006/relationships/hyperlink" Target="http://csr.bu.edu/ftp/asl/asllvd/demos/verify_start_end_handshape_annotations//test_auto_move//signs_mov_separ_signers/Brady_5801.mov" TargetMode="External"/><Relationship Id="rId26396" Type="http://schemas.openxmlformats.org/officeDocument/2006/relationships/hyperlink" Target="http://secrets.rutgers.edu:8080/data/asl-ftp/asllvd/demos/verify_start_end_handshape_annotations//test_auto_move//signs_mov_separ_signers/Brady_5801.mov" TargetMode="External"/><Relationship Id="rId26397" Type="http://schemas.openxmlformats.org/officeDocument/2006/relationships/hyperlink" Target="http://csr.bu.edu/ftp/asl/asllvd/demos/verify_start_end_handshape_annotations//test_auto_move//signs_mov_separ_signers/Brady_15506.mov" TargetMode="External"/><Relationship Id="rId26398" Type="http://schemas.openxmlformats.org/officeDocument/2006/relationships/hyperlink" Target="http://secrets.rutgers.edu:8080/data/asl-ftp/asllvd/demos/verify_start_end_handshape_annotations//test_auto_move//signs_mov_separ_signers/Brady_15506.mov" TargetMode="External"/><Relationship Id="rId26399" Type="http://schemas.openxmlformats.org/officeDocument/2006/relationships/hyperlink" Target="http://csr.bu.edu/ftp/asl/asllvd/demos/verify_start_end_handshape_annotations//test_auto_move//signs_mov/5760_8354_merged.mov" TargetMode="External"/><Relationship Id="rId26400" Type="http://schemas.openxmlformats.org/officeDocument/2006/relationships/hyperlink" Target="http://csr.bu.edu/ftp/asl/asllvd/demos/verify_start_end_handshape_annotations//test_auto_move//signs_mov_separ_signers/Brady_8354.mov" TargetMode="External"/><Relationship Id="rId26401" Type="http://schemas.openxmlformats.org/officeDocument/2006/relationships/hyperlink" Target="http://secrets.rutgers.edu:8080/data/asl-ftp/asllvd/demos/verify_start_end_handshape_annotations//test_auto_move//signs_mov/5760_8354_merged.mov" TargetMode="External"/><Relationship Id="rId26402" Type="http://schemas.openxmlformats.org/officeDocument/2006/relationships/hyperlink" Target="http://secrets.rutgers.edu:8080/data/asl-ftp/asllvd/demos/verify_start_end_handshape_annotations//test_auto_move//signs_mov_separ_signers/Brady_8354.mov" TargetMode="External"/><Relationship Id="rId26403" Type="http://schemas.openxmlformats.org/officeDocument/2006/relationships/hyperlink" Target="http://csr.bu.edu/ftp/asl/asllvd/demos/verify_start_end_handshape_annotations//test_auto_move//signs_mov_separ_signers/Brady_5760.mov" TargetMode="External"/><Relationship Id="rId26404" Type="http://schemas.openxmlformats.org/officeDocument/2006/relationships/hyperlink" Target="http://secrets.rutgers.edu:8080/data/asl-ftp/asllvd/demos/verify_start_end_handshape_annotations//test_auto_move//signs_mov_separ_signers/Brady_5760.mov" TargetMode="External"/><Relationship Id="rId26405" Type="http://schemas.openxmlformats.org/officeDocument/2006/relationships/hyperlink" Target="http://csr.bu.edu/ftp/asl/asllvd/demos/verify_start_end_handshape_annotations//test_auto_move//signs_mov_separ_signers/Liz_8410.mov" TargetMode="External"/><Relationship Id="rId26406" Type="http://schemas.openxmlformats.org/officeDocument/2006/relationships/hyperlink" Target="http://secrets.rutgers.edu:8080/data/asl-ftp/asllvd/demos/verify_start_end_handshape_annotations//test_auto_move//signs_mov_separ_signers/Liz_8410.mov" TargetMode="External"/><Relationship Id="rId26407" Type="http://schemas.openxmlformats.org/officeDocument/2006/relationships/hyperlink" Target="http://csr.bu.edu/ftp/asl/asllvd/demos/verify_start_end_handshape_annotations//test_auto_move//signs_mov/5410_8410_merged.mov" TargetMode="External"/><Relationship Id="rId26408" Type="http://schemas.openxmlformats.org/officeDocument/2006/relationships/hyperlink" Target="http://csr.bu.edu/ftp/asl/asllvd/demos/verify_start_end_handshape_annotations//test_auto_move//signs_mov_separ_signers/Liz_5410.mov" TargetMode="External"/><Relationship Id="rId26409" Type="http://schemas.openxmlformats.org/officeDocument/2006/relationships/hyperlink" Target="http://secrets.rutgers.edu:8080/data/asl-ftp/asllvd/demos/verify_start_end_handshape_annotations//test_auto_move//signs_mov/5410_8410_merged.mov" TargetMode="External"/><Relationship Id="rId26410" Type="http://schemas.openxmlformats.org/officeDocument/2006/relationships/hyperlink" Target="http://secrets.rutgers.edu:8080/data/asl-ftp/asllvd/demos/verify_start_end_handshape_annotations//test_auto_move//signs_mov_separ_signers/Liz_5410.mov" TargetMode="External"/><Relationship Id="rId26411" Type="http://schemas.openxmlformats.org/officeDocument/2006/relationships/hyperlink" Target="http://csr.bu.edu/ftp/asl/asllvd/demos/verify_start_end_handshape_annotations//test_auto_move//signs_mov_separ_signers/Brady_8410.mov" TargetMode="External"/><Relationship Id="rId26412" Type="http://schemas.openxmlformats.org/officeDocument/2006/relationships/hyperlink" Target="http://secrets.rutgers.edu:8080/data/asl-ftp/asllvd/demos/verify_start_end_handshape_annotations//test_auto_move//signs_mov_separ_signers/Brady_8410.mov" TargetMode="External"/><Relationship Id="rId26413" Type="http://schemas.openxmlformats.org/officeDocument/2006/relationships/hyperlink" Target="http://csr.bu.edu/ftp/asl/asllvd/demos/verify_start_end_handshape_annotations//test_auto_move//signs_mov/8520.mov" TargetMode="External"/><Relationship Id="rId26414" Type="http://schemas.openxmlformats.org/officeDocument/2006/relationships/hyperlink" Target="http://csr.bu.edu/ftp/asl/asllvd/demos/verify_start_end_handshape_annotations//test_auto_move//signs_mov_separ_signers/Brady_8520.mov" TargetMode="External"/><Relationship Id="rId26415" Type="http://schemas.openxmlformats.org/officeDocument/2006/relationships/hyperlink" Target="http://secrets.rutgers.edu:8080/data/asl-ftp/asllvd/demos/verify_start_end_handshape_annotations//test_auto_move//signs_mov/8520.mov" TargetMode="External"/><Relationship Id="rId26416" Type="http://schemas.openxmlformats.org/officeDocument/2006/relationships/hyperlink" Target="http://secrets.rutgers.edu:8080/data/asl-ftp/asllvd/demos/verify_start_end_handshape_annotations//test_auto_move//signs_mov_separ_signers/Brady_8520.mov" TargetMode="External"/><Relationship Id="rId26417" Type="http://schemas.openxmlformats.org/officeDocument/2006/relationships/hyperlink" Target="http://csr.bu.edu/ftp/asl/asllvd/demos/verify_start_end_handshape_annotations//test_auto_move//signs_mov_separ_signers/Liz_8657.mov" TargetMode="External"/><Relationship Id="rId26418" Type="http://schemas.openxmlformats.org/officeDocument/2006/relationships/hyperlink" Target="http://secrets.rutgers.edu:8080/data/asl-ftp/asllvd/demos/verify_start_end_handshape_annotations//test_auto_move//signs_mov_separ_signers/Liz_8657.mov" TargetMode="External"/><Relationship Id="rId26419" Type="http://schemas.openxmlformats.org/officeDocument/2006/relationships/hyperlink" Target="http://csr.bu.edu/ftp/asl/asllvd/demos/verify_start_end_handshape_annotations//test_auto_move//signs_mov_separ_signers/Liz_5493.mov" TargetMode="External"/><Relationship Id="rId26420" Type="http://schemas.openxmlformats.org/officeDocument/2006/relationships/hyperlink" Target="http://secrets.rutgers.edu:8080/data/asl-ftp/asllvd/demos/verify_start_end_handshape_annotations//test_auto_move//signs_mov_separ_signers/Liz_5493.mov" TargetMode="External"/><Relationship Id="rId26421" Type="http://schemas.openxmlformats.org/officeDocument/2006/relationships/hyperlink" Target="http://csr.bu.edu/ftp/asl/asllvd/demos/verify_start_end_handshape_annotations//test_auto_move//signs_mov/5493_5509_8657_merged.mov" TargetMode="External"/><Relationship Id="rId26422" Type="http://schemas.openxmlformats.org/officeDocument/2006/relationships/hyperlink" Target="http://csr.bu.edu/ftp/asl/asllvd/demos/verify_start_end_handshape_annotations//test_auto_move//signs_mov_separ_signers/Liz_5509.mov" TargetMode="External"/><Relationship Id="rId26423" Type="http://schemas.openxmlformats.org/officeDocument/2006/relationships/hyperlink" Target="http://secrets.rutgers.edu:8080/data/asl-ftp/asllvd/demos/verify_start_end_handshape_annotations//test_auto_move//signs_mov/5493_5509_8657_merged.mov" TargetMode="External"/><Relationship Id="rId26424" Type="http://schemas.openxmlformats.org/officeDocument/2006/relationships/hyperlink" Target="http://secrets.rutgers.edu:8080/data/asl-ftp/asllvd/demos/verify_start_end_handshape_annotations//test_auto_move//signs_mov_separ_signers/Liz_5509.mov" TargetMode="External"/><Relationship Id="rId26425" Type="http://schemas.openxmlformats.org/officeDocument/2006/relationships/hyperlink" Target="http://csr.bu.edu/ftp/asl/asllvd/demos/verify_start_end_handshape_annotations//test_auto_move//signs_mov_separ_signers/Brady_8657.mov" TargetMode="External"/><Relationship Id="rId26426" Type="http://schemas.openxmlformats.org/officeDocument/2006/relationships/hyperlink" Target="http://secrets.rutgers.edu:8080/data/asl-ftp/asllvd/demos/verify_start_end_handshape_annotations//test_auto_move//signs_mov_separ_signers/Brady_8657.mov" TargetMode="External"/><Relationship Id="rId26427" Type="http://schemas.openxmlformats.org/officeDocument/2006/relationships/hyperlink" Target="http://csr.bu.edu/ftp/asl/asllvd/demos/verify_start_end_handshape_annotations//test_auto_move//signs_mov_separ_signers/Brady_5493.mov" TargetMode="External"/><Relationship Id="rId26428" Type="http://schemas.openxmlformats.org/officeDocument/2006/relationships/hyperlink" Target="http://secrets.rutgers.edu:8080/data/asl-ftp/asllvd/demos/verify_start_end_handshape_annotations//test_auto_move//signs_mov_separ_signers/Brady_5493.mov" TargetMode="External"/><Relationship Id="rId26429" Type="http://schemas.openxmlformats.org/officeDocument/2006/relationships/hyperlink" Target="http://csr.bu.edu/ftp/asl/asllvd/demos/verify_start_end_handshape_annotations//test_auto_move//signs_mov_separ_signers/Liz_8876.mov" TargetMode="External"/><Relationship Id="rId26430" Type="http://schemas.openxmlformats.org/officeDocument/2006/relationships/hyperlink" Target="http://secrets.rutgers.edu:8080/data/asl-ftp/asllvd/demos/verify_start_end_handshape_annotations//test_auto_move//signs_mov_separ_signers/Liz_8876.mov" TargetMode="External"/><Relationship Id="rId26431" Type="http://schemas.openxmlformats.org/officeDocument/2006/relationships/hyperlink" Target="http://csr.bu.edu/ftp/asl/asllvd/demos/verify_start_end_handshape_annotations//test_auto_move//signs_mov_separ_signers/Liz_15734.mov" TargetMode="External"/><Relationship Id="rId26432" Type="http://schemas.openxmlformats.org/officeDocument/2006/relationships/hyperlink" Target="http://secrets.rutgers.edu:8080/data/asl-ftp/asllvd/demos/verify_start_end_handshape_annotations//test_auto_move//signs_mov_separ_signers/Liz_15734.mov" TargetMode="External"/><Relationship Id="rId26433" Type="http://schemas.openxmlformats.org/officeDocument/2006/relationships/hyperlink" Target="http://csr.bu.edu/ftp/asl/asllvd/demos/verify_start_end_handshape_annotations//test_auto_move//signs_mov/8876_15734_15740_merged.mov" TargetMode="External"/><Relationship Id="rId26434" Type="http://schemas.openxmlformats.org/officeDocument/2006/relationships/hyperlink" Target="http://csr.bu.edu/ftp/asl/asllvd/demos/verify_start_end_handshape_annotations//test_auto_move//signs_mov_separ_signers/Brady_8876.mov" TargetMode="External"/><Relationship Id="rId26435" Type="http://schemas.openxmlformats.org/officeDocument/2006/relationships/hyperlink" Target="http://secrets.rutgers.edu:8080/data/asl-ftp/asllvd/demos/verify_start_end_handshape_annotations//test_auto_move//signs_mov/8876_15734_15740_merged.mov" TargetMode="External"/><Relationship Id="rId26436" Type="http://schemas.openxmlformats.org/officeDocument/2006/relationships/hyperlink" Target="http://secrets.rutgers.edu:8080/data/asl-ftp/asllvd/demos/verify_start_end_handshape_annotations//test_auto_move//signs_mov_separ_signers/Brady_8876.mov" TargetMode="External"/><Relationship Id="rId26437" Type="http://schemas.openxmlformats.org/officeDocument/2006/relationships/hyperlink" Target="http://csr.bu.edu/ftp/asl/asllvd/demos/verify_start_end_handshape_annotations//test_auto_move//signs_mov_separ_signers/Brady_15734.mov" TargetMode="External"/><Relationship Id="rId26438" Type="http://schemas.openxmlformats.org/officeDocument/2006/relationships/hyperlink" Target="http://secrets.rutgers.edu:8080/data/asl-ftp/asllvd/demos/verify_start_end_handshape_annotations//test_auto_move//signs_mov_separ_signers/Brady_15734.mov" TargetMode="External"/><Relationship Id="rId26439" Type="http://schemas.openxmlformats.org/officeDocument/2006/relationships/hyperlink" Target="http://csr.bu.edu/ftp/asl/asllvd/demos/verify_start_end_handshape_annotations//test_auto_move//signs_mov_separ_signers/Brady_15740.mov" TargetMode="External"/><Relationship Id="rId26440" Type="http://schemas.openxmlformats.org/officeDocument/2006/relationships/hyperlink" Target="http://secrets.rutgers.edu:8080/data/asl-ftp/asllvd/demos/verify_start_end_handshape_annotations//test_auto_move//signs_mov_separ_signers/Brady_15740.mov" TargetMode="External"/><Relationship Id="rId26441" Type="http://schemas.openxmlformats.org/officeDocument/2006/relationships/hyperlink" Target="http://csr.bu.edu/ftp/asl/asllvd/demos/verify_start_end_handshape_annotations//test_auto_move//signs_mov/8998.mov" TargetMode="External"/><Relationship Id="rId26442" Type="http://schemas.openxmlformats.org/officeDocument/2006/relationships/hyperlink" Target="http://csr.bu.edu/ftp/asl/asllvd/demos/verify_start_end_handshape_annotations//test_auto_move//signs_mov_separ_signers/Brady_8998.mov" TargetMode="External"/><Relationship Id="rId26443" Type="http://schemas.openxmlformats.org/officeDocument/2006/relationships/hyperlink" Target="http://secrets.rutgers.edu:8080/data/asl-ftp/asllvd/demos/verify_start_end_handshape_annotations//test_auto_move//signs_mov/8998.mov" TargetMode="External"/><Relationship Id="rId26444" Type="http://schemas.openxmlformats.org/officeDocument/2006/relationships/hyperlink" Target="http://secrets.rutgers.edu:8080/data/asl-ftp/asllvd/demos/verify_start_end_handshape_annotations//test_auto_move//signs_mov_separ_signers/Brady_8998.mov" TargetMode="External"/><Relationship Id="rId26445" Type="http://schemas.openxmlformats.org/officeDocument/2006/relationships/hyperlink" Target="http://csr.bu.edu/ftp/asl/asllvd/demos/verify_start_end_handshape_annotations//test_auto_move//signs_mov/9003.mov" TargetMode="External"/><Relationship Id="rId26446" Type="http://schemas.openxmlformats.org/officeDocument/2006/relationships/hyperlink" Target="http://csr.bu.edu/ftp/asl/asllvd/demos/verify_start_end_handshape_annotations//test_auto_move//signs_mov_separ_signers/Brady_9003.mov" TargetMode="External"/><Relationship Id="rId26447" Type="http://schemas.openxmlformats.org/officeDocument/2006/relationships/hyperlink" Target="http://secrets.rutgers.edu:8080/data/asl-ftp/asllvd/demos/verify_start_end_handshape_annotations//test_auto_move//signs_mov/9003.mov" TargetMode="External"/><Relationship Id="rId26448" Type="http://schemas.openxmlformats.org/officeDocument/2006/relationships/hyperlink" Target="http://secrets.rutgers.edu:8080/data/asl-ftp/asllvd/demos/verify_start_end_handshape_annotations//test_auto_move//signs_mov_separ_signers/Brady_9003.mov" TargetMode="External"/><Relationship Id="rId26449" Type="http://schemas.openxmlformats.org/officeDocument/2006/relationships/hyperlink" Target="http://csr.bu.edu/ftp/asl/asllvd/demos/verify_start_end_handshape_annotations//test_auto_move//signs_mov/11088.mov" TargetMode="External"/><Relationship Id="rId26450" Type="http://schemas.openxmlformats.org/officeDocument/2006/relationships/hyperlink" Target="http://csr.bu.edu/ftp/asl/asllvd/demos/verify_start_end_handshape_annotations//test_auto_move//signs_mov_separ_signers/Lana_11088.mov" TargetMode="External"/><Relationship Id="rId26451" Type="http://schemas.openxmlformats.org/officeDocument/2006/relationships/hyperlink" Target="http://secrets.rutgers.edu:8080/data/asl-ftp/asllvd/demos/verify_start_end_handshape_annotations//test_auto_move//signs_mov/11088.mov" TargetMode="External"/><Relationship Id="rId26452" Type="http://schemas.openxmlformats.org/officeDocument/2006/relationships/hyperlink" Target="http://secrets.rutgers.edu:8080/data/asl-ftp/asllvd/demos/verify_start_end_handshape_annotations//test_auto_move//signs_mov_separ_signers/Lana_11088.mov" TargetMode="External"/><Relationship Id="rId26453" Type="http://schemas.openxmlformats.org/officeDocument/2006/relationships/hyperlink" Target="http://csr.bu.edu/ftp/asl/asllvd/demos/verify_start_end_handshape_annotations//test_auto_move//signs_mov_separ_signers/Dana_11088.mov" TargetMode="External"/><Relationship Id="rId26454" Type="http://schemas.openxmlformats.org/officeDocument/2006/relationships/hyperlink" Target="http://secrets.rutgers.edu:8080/data/asl-ftp/asllvd/demos/verify_start_end_handshape_annotations//test_auto_move//signs_mov_separ_signers/Dana_11088.mov" TargetMode="External"/><Relationship Id="rId26455" Type="http://schemas.openxmlformats.org/officeDocument/2006/relationships/hyperlink" Target="http://csr.bu.edu/ftp/asl/asllvd/demos/verify_start_end_handshape_annotations//test_auto_move//signs_mov/11275.mov" TargetMode="External"/><Relationship Id="rId26456" Type="http://schemas.openxmlformats.org/officeDocument/2006/relationships/hyperlink" Target="http://csr.bu.edu/ftp/asl/asllvd/demos/verify_start_end_handshape_annotations//test_auto_move//signs_mov_separ_signers/Lana_11275.mov" TargetMode="External"/><Relationship Id="rId26457" Type="http://schemas.openxmlformats.org/officeDocument/2006/relationships/hyperlink" Target="http://secrets.rutgers.edu:8080/data/asl-ftp/asllvd/demos/verify_start_end_handshape_annotations//test_auto_move//signs_mov/11275.mov" TargetMode="External"/><Relationship Id="rId26458" Type="http://schemas.openxmlformats.org/officeDocument/2006/relationships/hyperlink" Target="http://secrets.rutgers.edu:8080/data/asl-ftp/asllvd/demos/verify_start_end_handshape_annotations//test_auto_move//signs_mov_separ_signers/Lana_11275.mov" TargetMode="External"/><Relationship Id="rId26459" Type="http://schemas.openxmlformats.org/officeDocument/2006/relationships/hyperlink" Target="http://csr.bu.edu/ftp/asl/asllvd/demos/verify_start_end_handshape_annotations//test_auto_move//signs_mov_separ_signers/Dana_11275.mov" TargetMode="External"/><Relationship Id="rId26460" Type="http://schemas.openxmlformats.org/officeDocument/2006/relationships/hyperlink" Target="http://secrets.rutgers.edu:8080/data/asl-ftp/asllvd/demos/verify_start_end_handshape_annotations//test_auto_move//signs_mov_separ_signers/Dana_11275.mov" TargetMode="External"/><Relationship Id="rId26461" Type="http://schemas.openxmlformats.org/officeDocument/2006/relationships/hyperlink" Target="http://csr.bu.edu/ftp/asl/asllvd/demos/verify_start_end_handshape_annotations//test_auto_move//signs_mov/11378.mov" TargetMode="External"/><Relationship Id="rId26462" Type="http://schemas.openxmlformats.org/officeDocument/2006/relationships/hyperlink" Target="http://csr.bu.edu/ftp/asl/asllvd/demos/verify_start_end_handshape_annotations//test_auto_move//signs_mov_separ_signers/Lana_11378.mov" TargetMode="External"/><Relationship Id="rId26463" Type="http://schemas.openxmlformats.org/officeDocument/2006/relationships/hyperlink" Target="http://secrets.rutgers.edu:8080/data/asl-ftp/asllvd/demos/verify_start_end_handshape_annotations//test_auto_move//signs_mov/11378.mov" TargetMode="External"/><Relationship Id="rId26464" Type="http://schemas.openxmlformats.org/officeDocument/2006/relationships/hyperlink" Target="http://secrets.rutgers.edu:8080/data/asl-ftp/asllvd/demos/verify_start_end_handshape_annotations//test_auto_move//signs_mov_separ_signers/Lana_11378.mov" TargetMode="External"/><Relationship Id="rId26465" Type="http://schemas.openxmlformats.org/officeDocument/2006/relationships/hyperlink" Target="http://csr.bu.edu/ftp/asl/asllvd/demos/verify_start_end_handshape_annotations//test_auto_move//signs_mov/15298.mov" TargetMode="External"/><Relationship Id="rId26466" Type="http://schemas.openxmlformats.org/officeDocument/2006/relationships/hyperlink" Target="http://csr.bu.edu/ftp/asl/asllvd/demos/verify_start_end_handshape_annotations//test_auto_move//signs_mov_separ_signers/Tyler_15298.mov" TargetMode="External"/><Relationship Id="rId26467" Type="http://schemas.openxmlformats.org/officeDocument/2006/relationships/hyperlink" Target="http://secrets.rutgers.edu:8080/data/asl-ftp/asllvd/demos/verify_start_end_handshape_annotations//test_auto_move//signs_mov/15298.mov" TargetMode="External"/><Relationship Id="rId26468" Type="http://schemas.openxmlformats.org/officeDocument/2006/relationships/hyperlink" Target="http://secrets.rutgers.edu:8080/data/asl-ftp/asllvd/demos/verify_start_end_handshape_annotations//test_auto_move//signs_mov_separ_signers/Tyler_15298.mov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W13236"/>
  <sheetViews>
    <sheetView workbookViewId="0" defaultGridColor="0" colorId="9"/>
  </sheetViews>
  <sheetFormatPr defaultColWidth="12.6667" defaultRowHeight="15" customHeight="1" outlineLevelRow="0" outlineLevelCol="0"/>
  <cols>
    <col min="1" max="1" width="1.5" style="1" customWidth="1"/>
    <col min="2" max="2" width="18.1719" style="1" customWidth="1"/>
    <col min="3" max="3" width="14" style="1" customWidth="1"/>
    <col min="4" max="4" width="18.1719" style="1" customWidth="1"/>
    <col min="5" max="5" width="18.1719" style="1" customWidth="1"/>
    <col min="6" max="6" width="11.8516" style="1" customWidth="1"/>
    <col min="7" max="7" width="11.8516" style="1" customWidth="1"/>
    <col min="8" max="8" width="11.8516" style="1" customWidth="1"/>
    <col min="9" max="9" width="11.8516" style="1" customWidth="1"/>
    <col min="10" max="10" width="11.8516" style="1" customWidth="1"/>
    <col min="11" max="11" width="13.5" style="1" customWidth="1"/>
    <col min="12" max="12" width="13.5" style="1" customWidth="1"/>
    <col min="13" max="13" width="23.8516" style="1" customWidth="1"/>
    <col min="14" max="14" width="13.5" style="1" customWidth="1"/>
    <col min="15" max="15" width="13.5" style="1" customWidth="1"/>
    <col min="16" max="16" width="13" style="1" customWidth="1"/>
    <col min="17" max="17" width="13.5" style="1" customWidth="1"/>
    <col min="18" max="18" width="13.5" style="1" customWidth="1"/>
    <col min="19" max="19" width="7.85156" style="1" customWidth="1"/>
    <col min="20" max="20" width="7.85156" style="1" customWidth="1"/>
    <col min="21" max="21" width="7.85156" style="1" customWidth="1"/>
    <col min="22" max="22" width="7.85156" style="1" customWidth="1"/>
    <col min="23" max="23" width="7.85156" style="1" customWidth="1"/>
    <col min="24" max="256" width="12.6719" style="1" customWidth="1"/>
  </cols>
  <sheetData>
    <row r="1" s="2" customFormat="1" ht="13.5" customHeight="1">
      <c r="B1" t="s" s="3">
        <v>0</v>
      </c>
      <c r="C1" t="s" s="4">
        <v>1</v>
      </c>
      <c r="D1" t="s" s="3">
        <v>0</v>
      </c>
      <c r="E1" t="s" s="4">
        <v>2</v>
      </c>
      <c r="F1" t="s" s="5">
        <v>3</v>
      </c>
      <c r="G1" t="s" s="6">
        <v>4</v>
      </c>
      <c r="H1" t="s" s="5">
        <v>5</v>
      </c>
      <c r="I1" t="s" s="6">
        <v>6</v>
      </c>
      <c r="J1" t="s" s="6">
        <v>7</v>
      </c>
      <c r="K1" t="s" s="7">
        <v>8</v>
      </c>
      <c r="L1" t="s" s="7">
        <v>9</v>
      </c>
      <c r="M1" t="s" s="5">
        <v>10</v>
      </c>
      <c r="N1" t="s" s="6">
        <v>11</v>
      </c>
      <c r="O1" t="s" s="3">
        <v>12</v>
      </c>
      <c r="P1" t="s" s="3">
        <v>13</v>
      </c>
      <c r="Q1" t="s" s="7">
        <v>8</v>
      </c>
      <c r="R1" t="s" s="7">
        <v>9</v>
      </c>
    </row>
    <row r="2" s="2" customFormat="1" ht="13.5" customHeight="1">
      <c r="B2" t="s" s="8">
        <v>14</v>
      </c>
      <c r="C2" t="s" s="9">
        <v>14</v>
      </c>
      <c r="D2" t="s" s="8">
        <v>14</v>
      </c>
      <c r="E2" t="s" s="9">
        <v>14</v>
      </c>
      <c r="F2" t="s" s="10">
        <v>14</v>
      </c>
      <c r="G2" t="s" s="11">
        <v>14</v>
      </c>
      <c r="H2" t="s" s="10">
        <v>14</v>
      </c>
      <c r="I2" t="s" s="11">
        <v>14</v>
      </c>
      <c r="J2" t="s" s="11">
        <v>14</v>
      </c>
      <c r="K2" t="s" s="12">
        <v>14</v>
      </c>
      <c r="L2" t="s" s="12">
        <v>14</v>
      </c>
      <c r="M2" t="s" s="10">
        <v>14</v>
      </c>
      <c r="N2" t="s" s="11">
        <v>14</v>
      </c>
      <c r="O2" t="s" s="8">
        <v>14</v>
      </c>
      <c r="P2" t="s" s="8">
        <v>14</v>
      </c>
      <c r="Q2" t="s" s="12">
        <v>14</v>
      </c>
      <c r="R2" t="s" s="12">
        <v>14</v>
      </c>
    </row>
    <row r="3" s="2" customFormat="1" ht="13.5" customHeight="1">
      <c r="B3" t="s" s="8">
        <v>15</v>
      </c>
      <c r="C3" t="s" s="9">
        <v>14</v>
      </c>
      <c r="D3" t="s" s="8">
        <v>14</v>
      </c>
      <c r="E3" t="s" s="9">
        <v>14</v>
      </c>
      <c r="F3" t="s" s="10">
        <v>14</v>
      </c>
      <c r="G3" t="s" s="11">
        <v>14</v>
      </c>
      <c r="H3" t="s" s="10">
        <v>14</v>
      </c>
      <c r="I3" t="s" s="11">
        <v>14</v>
      </c>
      <c r="J3" t="s" s="11">
        <v>14</v>
      </c>
      <c r="K3" t="s" s="12">
        <v>14</v>
      </c>
      <c r="L3" t="s" s="12">
        <v>14</v>
      </c>
      <c r="M3" t="s" s="10">
        <v>14</v>
      </c>
      <c r="N3" t="s" s="11">
        <v>14</v>
      </c>
      <c r="O3" t="s" s="8">
        <v>14</v>
      </c>
      <c r="P3" t="s" s="8">
        <v>14</v>
      </c>
      <c r="Q3" t="s" s="12">
        <v>14</v>
      </c>
      <c r="R3" t="s" s="12">
        <v>14</v>
      </c>
    </row>
    <row r="4" s="2" customFormat="1" ht="13.5" customHeight="1">
      <c r="B4" s="13"/>
      <c r="C4" t="s" s="9">
        <v>16</v>
      </c>
      <c r="D4" t="s" s="8">
        <v>15</v>
      </c>
      <c r="E4" t="s" s="9">
        <v>17</v>
      </c>
      <c r="F4" t="s" s="10">
        <v>18</v>
      </c>
      <c r="G4" s="14"/>
      <c r="H4" t="s" s="10">
        <v>19</v>
      </c>
      <c r="I4" s="14"/>
      <c r="J4" t="s" s="11">
        <v>20</v>
      </c>
      <c r="K4" s="15"/>
      <c r="L4" t="s" s="16">
        <f>HYPERLINK("http://csr.bu.edu/ftp/asl/asllvd/demos/verify_start_end_handshape_annotations//test_auto_move//signs_mov_separ_signers/Liz_10.mov","MOV")</f>
        <v>21</v>
      </c>
      <c r="M4" t="s" s="10">
        <v>22</v>
      </c>
      <c r="N4" s="17">
        <v>2</v>
      </c>
      <c r="O4" s="18">
        <v>2635</v>
      </c>
      <c r="P4" s="18">
        <v>2661</v>
      </c>
      <c r="Q4" s="15"/>
      <c r="R4" t="s" s="16">
        <f>HYPERLINK("http://secrets.rutgers.edu:8080/data/asl-ftp/asllvd/demos/verify_start_end_handshape_annotations//test_auto_move//signs_mov_separ_signers/Liz_10.mov","MOV")</f>
        <v>21</v>
      </c>
    </row>
    <row r="5" s="2" customFormat="1" ht="13.5" customHeight="1">
      <c r="B5" s="13"/>
      <c r="C5" t="s" s="9">
        <v>23</v>
      </c>
      <c r="D5" t="s" s="8">
        <v>15</v>
      </c>
      <c r="E5" t="s" s="9">
        <v>24</v>
      </c>
      <c r="F5" t="s" s="10">
        <v>25</v>
      </c>
      <c r="G5" s="14"/>
      <c r="H5" t="s" s="10">
        <v>19</v>
      </c>
      <c r="I5" s="14"/>
      <c r="J5" t="s" s="11">
        <v>20</v>
      </c>
      <c r="K5" t="s" s="16">
        <f>HYPERLINK("http://csr.bu.edu/ftp/asl/asllvd/demos/verify_start_end_handshape_annotations//test_auto_move//signs_mov/10.mov","MOV")</f>
        <v>21</v>
      </c>
      <c r="L5" t="s" s="16">
        <f>HYPERLINK("http://csr.bu.edu/ftp/asl/asllvd/demos/verify_start_end_handshape_annotations//test_auto_move//signs_mov_separ_signers/Tyler_10.mov","MOV")</f>
        <v>21</v>
      </c>
      <c r="M5" t="s" s="10">
        <v>26</v>
      </c>
      <c r="N5" s="17">
        <v>1</v>
      </c>
      <c r="O5" s="18">
        <v>2400</v>
      </c>
      <c r="P5" s="18">
        <v>2480</v>
      </c>
      <c r="Q5" t="s" s="16">
        <f>HYPERLINK("http://secrets.rutgers.edu:8080/data/asl-ftp/asllvd/demos/verify_start_end_handshape_annotations//test_auto_move//signs_mov/10.mov","MOV")</f>
        <v>21</v>
      </c>
      <c r="R5" t="s" s="16">
        <f>HYPERLINK("http://secrets.rutgers.edu:8080/data/asl-ftp/asllvd/demos/verify_start_end_handshape_annotations//test_auto_move//signs_mov_separ_signers/Tyler_10.mov","MOV")</f>
        <v>21</v>
      </c>
    </row>
    <row r="6" s="2" customFormat="1" ht="13.5" customHeight="1">
      <c r="B6" s="13"/>
      <c r="C6" t="s" s="9">
        <v>27</v>
      </c>
      <c r="D6" t="s" s="8">
        <v>15</v>
      </c>
      <c r="E6" t="s" s="9">
        <v>17</v>
      </c>
      <c r="F6" t="s" s="10">
        <v>25</v>
      </c>
      <c r="G6" s="14"/>
      <c r="H6" t="s" s="10">
        <v>28</v>
      </c>
      <c r="I6" s="14"/>
      <c r="J6" t="s" s="11">
        <v>20</v>
      </c>
      <c r="K6" s="15"/>
      <c r="L6" t="s" s="16">
        <f>HYPERLINK("http://csr.bu.edu/ftp/asl/asllvd/demos/verify_start_end_handshape_annotations//test_auto_move//signs_mov_separ_signers/Naomi_10.mov","MOV")</f>
        <v>21</v>
      </c>
      <c r="M6" t="s" s="10">
        <v>29</v>
      </c>
      <c r="N6" s="17">
        <v>1</v>
      </c>
      <c r="O6" s="18">
        <v>2279</v>
      </c>
      <c r="P6" s="18">
        <v>2353</v>
      </c>
      <c r="Q6" s="15"/>
      <c r="R6" t="s" s="16">
        <f>HYPERLINK("http://secrets.rutgers.edu:8080/data/asl-ftp/asllvd/demos/verify_start_end_handshape_annotations//test_auto_move//signs_mov_separ_signers/Naomi_10.mov","MOV")</f>
        <v>21</v>
      </c>
    </row>
    <row r="7" s="2" customFormat="1" ht="13.5" customHeight="1">
      <c r="B7" s="13"/>
      <c r="C7" t="s" s="9">
        <v>30</v>
      </c>
      <c r="D7" t="s" s="8">
        <v>15</v>
      </c>
      <c r="E7" t="s" s="9">
        <v>17</v>
      </c>
      <c r="F7" t="s" s="10">
        <v>25</v>
      </c>
      <c r="G7" s="14"/>
      <c r="H7" t="s" s="10">
        <v>19</v>
      </c>
      <c r="I7" s="14"/>
      <c r="J7" t="s" s="11">
        <v>20</v>
      </c>
      <c r="K7" s="15"/>
      <c r="L7" t="s" s="16">
        <f>HYPERLINK("http://csr.bu.edu/ftp/asl/asllvd/demos/verify_start_end_handshape_annotations//test_auto_move//signs_mov_separ_signers/Brady_10.mov","MOV")</f>
        <v>21</v>
      </c>
      <c r="M7" t="s" s="10">
        <v>31</v>
      </c>
      <c r="N7" s="17">
        <v>5</v>
      </c>
      <c r="O7" s="18">
        <v>5170</v>
      </c>
      <c r="P7" s="18">
        <v>5198</v>
      </c>
      <c r="Q7" s="15"/>
      <c r="R7" t="s" s="16">
        <f>HYPERLINK("http://secrets.rutgers.edu:8080/data/asl-ftp/asllvd/demos/verify_start_end_handshape_annotations//test_auto_move//signs_mov_separ_signers/Brady_10.mov","MOV")</f>
        <v>21</v>
      </c>
    </row>
    <row r="8" s="2" customFormat="1" ht="13.5" customHeight="1">
      <c r="B8" t="s" s="8">
        <v>32</v>
      </c>
      <c r="C8" t="s" s="9">
        <v>14</v>
      </c>
      <c r="D8" t="s" s="8">
        <v>14</v>
      </c>
      <c r="E8" t="s" s="9">
        <v>14</v>
      </c>
      <c r="F8" t="s" s="10">
        <v>14</v>
      </c>
      <c r="G8" t="s" s="11">
        <v>14</v>
      </c>
      <c r="H8" t="s" s="10">
        <v>14</v>
      </c>
      <c r="I8" t="s" s="11">
        <v>14</v>
      </c>
      <c r="J8" t="s" s="11">
        <v>14</v>
      </c>
      <c r="K8" t="s" s="12">
        <v>14</v>
      </c>
      <c r="L8" t="s" s="12">
        <v>14</v>
      </c>
      <c r="M8" t="s" s="10">
        <v>14</v>
      </c>
      <c r="N8" t="s" s="11">
        <v>14</v>
      </c>
      <c r="O8" t="s" s="8">
        <v>14</v>
      </c>
      <c r="P8" t="s" s="8">
        <v>14</v>
      </c>
      <c r="Q8" t="s" s="12">
        <v>14</v>
      </c>
      <c r="R8" t="s" s="12">
        <v>14</v>
      </c>
    </row>
    <row r="9" s="2" customFormat="1" ht="13.5" customHeight="1">
      <c r="B9" s="13"/>
      <c r="C9" t="s" s="9">
        <v>16</v>
      </c>
      <c r="D9" t="s" s="8">
        <v>32</v>
      </c>
      <c r="E9" t="s" s="9">
        <v>33</v>
      </c>
      <c r="F9" s="19">
        <v>1</v>
      </c>
      <c r="G9" s="14"/>
      <c r="H9" s="19">
        <v>1</v>
      </c>
      <c r="I9" s="14"/>
      <c r="J9" t="s" s="11">
        <v>20</v>
      </c>
      <c r="K9" s="15"/>
      <c r="L9" t="s" s="16">
        <f>HYPERLINK("http://csr.bu.edu/ftp/asl/asllvd/demos/verify_start_end_handshape_annotations//test_auto_move//signs_mov_separ_signers/Liz_26.mov","MOV")</f>
        <v>21</v>
      </c>
      <c r="M9" t="s" s="10">
        <v>34</v>
      </c>
      <c r="N9" s="17">
        <v>35</v>
      </c>
      <c r="O9" s="18">
        <v>3707</v>
      </c>
      <c r="P9" s="18">
        <v>3782</v>
      </c>
      <c r="Q9" s="15"/>
      <c r="R9" t="s" s="16">
        <f>HYPERLINK("http://secrets.rutgers.edu:8080/data/asl-ftp/asllvd/demos/verify_start_end_handshape_annotations//test_auto_move//signs_mov_separ_signers/Liz_26.mov","MOV")</f>
        <v>21</v>
      </c>
    </row>
    <row r="10" s="2" customFormat="1" ht="13.5" customHeight="1">
      <c r="B10" s="13"/>
      <c r="C10" t="s" s="9">
        <v>16</v>
      </c>
      <c r="D10" t="s" s="8">
        <v>32</v>
      </c>
      <c r="E10" t="s" s="9">
        <v>35</v>
      </c>
      <c r="F10" s="19">
        <v>1</v>
      </c>
      <c r="G10" s="14"/>
      <c r="H10" s="19">
        <v>1</v>
      </c>
      <c r="I10" s="14"/>
      <c r="J10" t="s" s="11">
        <v>20</v>
      </c>
      <c r="K10" s="15"/>
      <c r="L10" t="s" s="16">
        <f>HYPERLINK("http://csr.bu.edu/ftp/asl/asllvd/demos/verify_start_end_handshape_annotations//test_auto_move//signs_mov_separ_signers/Liz_3933.mov","MOV")</f>
        <v>21</v>
      </c>
      <c r="M10" t="s" s="10">
        <v>36</v>
      </c>
      <c r="N10" s="17">
        <v>32</v>
      </c>
      <c r="O10" s="18">
        <v>2890</v>
      </c>
      <c r="P10" s="18">
        <v>2936</v>
      </c>
      <c r="Q10" s="15"/>
      <c r="R10" t="s" s="16">
        <f>HYPERLINK("http://secrets.rutgers.edu:8080/data/asl-ftp/asllvd/demos/verify_start_end_handshape_annotations//test_auto_move//signs_mov_separ_signers/Liz_3933.mov","MOV")</f>
        <v>21</v>
      </c>
    </row>
    <row r="11" s="2" customFormat="1" ht="13.5" customHeight="1">
      <c r="B11" s="13"/>
      <c r="C11" t="s" s="9">
        <v>23</v>
      </c>
      <c r="D11" t="s" s="8">
        <v>32</v>
      </c>
      <c r="E11" t="s" s="9">
        <v>35</v>
      </c>
      <c r="F11" s="19">
        <v>1</v>
      </c>
      <c r="G11" s="14"/>
      <c r="H11" s="19">
        <v>1</v>
      </c>
      <c r="I11" s="14"/>
      <c r="J11" t="s" s="11">
        <v>20</v>
      </c>
      <c r="K11" s="15"/>
      <c r="L11" t="s" s="16">
        <f>HYPERLINK("http://csr.bu.edu/ftp/asl/asllvd/demos/verify_start_end_handshape_annotations//test_auto_move//signs_mov_separ_signers/Tyler_26.mov","MOV")</f>
        <v>21</v>
      </c>
      <c r="M11" t="s" s="10">
        <v>37</v>
      </c>
      <c r="N11" s="17">
        <v>9</v>
      </c>
      <c r="O11" s="18">
        <v>3801</v>
      </c>
      <c r="P11" s="18">
        <v>3830</v>
      </c>
      <c r="Q11" s="15"/>
      <c r="R11" t="s" s="16">
        <f>HYPERLINK("http://secrets.rutgers.edu:8080/data/asl-ftp/asllvd/demos/verify_start_end_handshape_annotations//test_auto_move//signs_mov_separ_signers/Tyler_26.mov","MOV")</f>
        <v>21</v>
      </c>
    </row>
    <row r="12" s="2" customFormat="1" ht="13.5" customHeight="1">
      <c r="B12" s="13"/>
      <c r="C12" t="s" s="9">
        <v>27</v>
      </c>
      <c r="D12" t="s" s="8">
        <v>32</v>
      </c>
      <c r="E12" t="s" s="9">
        <v>33</v>
      </c>
      <c r="F12" s="19">
        <v>1</v>
      </c>
      <c r="G12" s="14"/>
      <c r="H12" s="19">
        <v>1</v>
      </c>
      <c r="I12" s="14"/>
      <c r="J12" t="s" s="11">
        <v>20</v>
      </c>
      <c r="K12" t="s" s="16">
        <f>HYPERLINK("http://csr.bu.edu/ftp/asl/asllvd/demos/verify_start_end_handshape_annotations//test_auto_move//signs_mov/26_3933_merged.mov","MOV")</f>
        <v>21</v>
      </c>
      <c r="L12" t="s" s="16">
        <f>HYPERLINK("http://csr.bu.edu/ftp/asl/asllvd/demos/verify_start_end_handshape_annotations//test_auto_move//signs_mov_separ_signers/Naomi_26.mov","MOV")</f>
        <v>21</v>
      </c>
      <c r="M12" t="s" s="10">
        <v>38</v>
      </c>
      <c r="N12" s="17">
        <v>29</v>
      </c>
      <c r="O12" s="18">
        <v>4065</v>
      </c>
      <c r="P12" s="18">
        <v>4141</v>
      </c>
      <c r="Q12" t="s" s="16">
        <f>HYPERLINK("http://secrets.rutgers.edu:8080/data/asl-ftp/asllvd/demos/verify_start_end_handshape_annotations//test_auto_move//signs_mov/26_3933_merged.mov","MOV")</f>
        <v>21</v>
      </c>
      <c r="R12" t="s" s="16">
        <f>HYPERLINK("http://secrets.rutgers.edu:8080/data/asl-ftp/asllvd/demos/verify_start_end_handshape_annotations//test_auto_move//signs_mov_separ_signers/Naomi_26.mov","MOV")</f>
        <v>21</v>
      </c>
    </row>
    <row r="13" s="2" customFormat="1" ht="13.5" customHeight="1">
      <c r="B13" s="13"/>
      <c r="C13" t="s" s="9">
        <v>30</v>
      </c>
      <c r="D13" t="s" s="8">
        <v>32</v>
      </c>
      <c r="E13" t="s" s="9">
        <v>33</v>
      </c>
      <c r="F13" s="19">
        <v>1</v>
      </c>
      <c r="G13" s="14"/>
      <c r="H13" s="19">
        <v>1</v>
      </c>
      <c r="I13" s="14"/>
      <c r="J13" t="s" s="11">
        <v>20</v>
      </c>
      <c r="K13" s="15"/>
      <c r="L13" t="s" s="16">
        <f>HYPERLINK("http://csr.bu.edu/ftp/asl/asllvd/demos/verify_start_end_handshape_annotations//test_auto_move//signs_mov_separ_signers/Brady_26.mov","MOV")</f>
        <v>21</v>
      </c>
      <c r="M13" t="s" s="10">
        <v>39</v>
      </c>
      <c r="N13" s="17">
        <v>42</v>
      </c>
      <c r="O13" s="18">
        <v>1430</v>
      </c>
      <c r="P13" s="18">
        <v>1498</v>
      </c>
      <c r="Q13" s="15"/>
      <c r="R13" t="s" s="16">
        <f>HYPERLINK("http://secrets.rutgers.edu:8080/data/asl-ftp/asllvd/demos/verify_start_end_handshape_annotations//test_auto_move//signs_mov_separ_signers/Brady_26.mov","MOV")</f>
        <v>21</v>
      </c>
    </row>
    <row r="14" s="2" customFormat="1" ht="13.5" customHeight="1">
      <c r="B14" s="13"/>
      <c r="C14" t="s" s="9">
        <v>30</v>
      </c>
      <c r="D14" t="s" s="8">
        <v>32</v>
      </c>
      <c r="E14" t="s" s="9">
        <v>35</v>
      </c>
      <c r="F14" s="19">
        <v>1</v>
      </c>
      <c r="G14" s="14"/>
      <c r="H14" s="19">
        <v>1</v>
      </c>
      <c r="I14" s="14"/>
      <c r="J14" t="s" s="11">
        <v>20</v>
      </c>
      <c r="K14" s="15"/>
      <c r="L14" t="s" s="16">
        <f>HYPERLINK("http://csr.bu.edu/ftp/asl/asllvd/demos/verify_start_end_handshape_annotations//test_auto_move//signs_mov_separ_signers/Brady_3933.mov","MOV")</f>
        <v>21</v>
      </c>
      <c r="M14" t="s" s="10">
        <v>40</v>
      </c>
      <c r="N14" s="17">
        <v>83</v>
      </c>
      <c r="O14" s="18">
        <v>3186</v>
      </c>
      <c r="P14" s="18">
        <v>3211</v>
      </c>
      <c r="Q14" s="15"/>
      <c r="R14" t="s" s="16">
        <f>HYPERLINK("http://secrets.rutgers.edu:8080/data/asl-ftp/asllvd/demos/verify_start_end_handshape_annotations//test_auto_move//signs_mov_separ_signers/Brady_3933.mov","MOV")</f>
        <v>21</v>
      </c>
    </row>
    <row r="15" s="2" customFormat="1" ht="13.5" customHeight="1">
      <c r="B15" s="13"/>
      <c r="C15" t="s" s="9">
        <v>41</v>
      </c>
      <c r="D15" t="s" s="8">
        <v>32</v>
      </c>
      <c r="E15" t="s" s="9">
        <v>35</v>
      </c>
      <c r="F15" s="19">
        <v>1</v>
      </c>
      <c r="G15" s="14"/>
      <c r="H15" s="19">
        <v>1</v>
      </c>
      <c r="I15" s="14"/>
      <c r="J15" t="s" s="11">
        <v>20</v>
      </c>
      <c r="K15" s="15"/>
      <c r="L15" t="s" s="16">
        <f>HYPERLINK("http://csr.bu.edu/ftp/asl/asllvd/demos/verify_start_end_handshape_annotations//test_auto_move//signs_mov_separ_signers/Lana_26.mov","MOV")</f>
        <v>21</v>
      </c>
      <c r="M15" t="s" s="10">
        <v>42</v>
      </c>
      <c r="N15" s="17">
        <v>2</v>
      </c>
      <c r="O15" s="18">
        <v>2076</v>
      </c>
      <c r="P15" s="18">
        <v>2120</v>
      </c>
      <c r="Q15" s="15"/>
      <c r="R15" t="s" s="16">
        <f>HYPERLINK("http://secrets.rutgers.edu:8080/data/asl-ftp/asllvd/demos/verify_start_end_handshape_annotations//test_auto_move//signs_mov_separ_signers/Lana_26.mov","MOV")</f>
        <v>21</v>
      </c>
    </row>
    <row r="16" s="2" customFormat="1" ht="13.5" customHeight="1">
      <c r="B16" s="13"/>
      <c r="C16" t="s" s="9">
        <v>43</v>
      </c>
      <c r="D16" t="s" s="8">
        <v>32</v>
      </c>
      <c r="E16" t="s" s="9">
        <v>35</v>
      </c>
      <c r="F16" s="19">
        <v>1</v>
      </c>
      <c r="G16" s="14"/>
      <c r="H16" s="19">
        <v>1</v>
      </c>
      <c r="I16" s="14"/>
      <c r="J16" t="s" s="11">
        <v>20</v>
      </c>
      <c r="K16" s="15"/>
      <c r="L16" t="s" s="16">
        <f>HYPERLINK("http://csr.bu.edu/ftp/asl/asllvd/demos/verify_start_end_handshape_annotations//test_auto_move//signs_mov_separ_signers/Dana_26.mov","MOV")</f>
        <v>21</v>
      </c>
      <c r="M16" t="s" s="10">
        <v>44</v>
      </c>
      <c r="N16" s="17">
        <v>5</v>
      </c>
      <c r="O16" s="18">
        <v>2431</v>
      </c>
      <c r="P16" s="18">
        <v>2476</v>
      </c>
      <c r="Q16" s="15"/>
      <c r="R16" t="s" s="16">
        <f>HYPERLINK("http://secrets.rutgers.edu:8080/data/asl-ftp/asllvd/demos/verify_start_end_handshape_annotations//test_auto_move//signs_mov_separ_signers/Dana_26.mov","MOV")</f>
        <v>21</v>
      </c>
    </row>
    <row r="17" s="2" customFormat="1" ht="13.5" customHeight="1">
      <c r="B17" t="s" s="8">
        <v>45</v>
      </c>
      <c r="C17" t="s" s="9">
        <v>14</v>
      </c>
      <c r="D17" t="s" s="8">
        <v>14</v>
      </c>
      <c r="E17" t="s" s="9">
        <v>14</v>
      </c>
      <c r="F17" t="s" s="10">
        <v>14</v>
      </c>
      <c r="G17" t="s" s="11">
        <v>14</v>
      </c>
      <c r="H17" t="s" s="10">
        <v>14</v>
      </c>
      <c r="I17" t="s" s="11">
        <v>14</v>
      </c>
      <c r="J17" t="s" s="11">
        <v>14</v>
      </c>
      <c r="K17" t="s" s="12">
        <v>14</v>
      </c>
      <c r="L17" t="s" s="12">
        <v>14</v>
      </c>
      <c r="M17" t="s" s="10">
        <v>14</v>
      </c>
      <c r="N17" t="s" s="11">
        <v>14</v>
      </c>
      <c r="O17" t="s" s="8">
        <v>14</v>
      </c>
      <c r="P17" t="s" s="8">
        <v>14</v>
      </c>
      <c r="Q17" t="s" s="12">
        <v>14</v>
      </c>
      <c r="R17" t="s" s="12">
        <v>14</v>
      </c>
    </row>
    <row r="18" s="2" customFormat="1" ht="13.5" customHeight="1">
      <c r="B18" s="13"/>
      <c r="C18" t="s" s="9">
        <v>16</v>
      </c>
      <c r="D18" t="s" s="8">
        <v>45</v>
      </c>
      <c r="E18" t="s" s="9">
        <v>46</v>
      </c>
      <c r="F18" s="19">
        <v>1</v>
      </c>
      <c r="G18" s="14"/>
      <c r="H18" s="19">
        <v>1</v>
      </c>
      <c r="I18" s="14"/>
      <c r="J18" t="s" s="11">
        <v>20</v>
      </c>
      <c r="K18" s="15"/>
      <c r="L18" t="s" s="16">
        <f>HYPERLINK("http://csr.bu.edu/ftp/asl/asllvd/demos/verify_start_end_handshape_annotations//test_auto_move//signs_mov_separ_signers/Liz_15714.mov","MOV")</f>
        <v>21</v>
      </c>
      <c r="M18" t="s" s="10">
        <v>34</v>
      </c>
      <c r="N18" s="17">
        <v>52</v>
      </c>
      <c r="O18" s="18">
        <v>751</v>
      </c>
      <c r="P18" s="18">
        <v>805</v>
      </c>
      <c r="Q18" s="15"/>
      <c r="R18" t="s" s="16">
        <f>HYPERLINK("http://secrets.rutgers.edu:8080/data/asl-ftp/asllvd/demos/verify_start_end_handshape_annotations//test_auto_move//signs_mov_separ_signers/Liz_15714.mov","MOV")</f>
        <v>21</v>
      </c>
    </row>
    <row r="19" s="2" customFormat="1" ht="13.5" customHeight="1">
      <c r="B19" s="13"/>
      <c r="C19" t="s" s="9">
        <v>23</v>
      </c>
      <c r="D19" t="s" s="8">
        <v>45</v>
      </c>
      <c r="E19" t="s" s="9">
        <v>46</v>
      </c>
      <c r="F19" s="19">
        <v>1</v>
      </c>
      <c r="G19" s="14"/>
      <c r="H19" s="19">
        <v>1</v>
      </c>
      <c r="I19" s="14"/>
      <c r="J19" t="s" s="11">
        <v>20</v>
      </c>
      <c r="K19" t="s" s="16">
        <f>HYPERLINK("http://csr.bu.edu/ftp/asl/asllvd/demos/verify_start_end_handshape_annotations//test_auto_move//signs_mov/15714.mov","MOV")</f>
        <v>21</v>
      </c>
      <c r="L19" t="s" s="16">
        <f>HYPERLINK("http://csr.bu.edu/ftp/asl/asllvd/demos/verify_start_end_handshape_annotations//test_auto_move//signs_mov_separ_signers/Tyler_15714.mov","MOV")</f>
        <v>21</v>
      </c>
      <c r="M19" t="s" s="10">
        <v>47</v>
      </c>
      <c r="N19" s="17">
        <v>4</v>
      </c>
      <c r="O19" s="18">
        <v>845</v>
      </c>
      <c r="P19" s="18">
        <v>902</v>
      </c>
      <c r="Q19" t="s" s="16">
        <f>HYPERLINK("http://secrets.rutgers.edu:8080/data/asl-ftp/asllvd/demos/verify_start_end_handshape_annotations//test_auto_move//signs_mov/15714.mov","MOV")</f>
        <v>21</v>
      </c>
      <c r="R19" t="s" s="16">
        <f>HYPERLINK("http://secrets.rutgers.edu:8080/data/asl-ftp/asllvd/demos/verify_start_end_handshape_annotations//test_auto_move//signs_mov_separ_signers/Tyler_15714.mov","MOV")</f>
        <v>21</v>
      </c>
    </row>
    <row r="20" s="2" customFormat="1" ht="13.5" customHeight="1">
      <c r="B20" s="13"/>
      <c r="C20" t="s" s="9">
        <v>27</v>
      </c>
      <c r="D20" t="s" s="8">
        <v>45</v>
      </c>
      <c r="E20" t="s" s="9">
        <v>46</v>
      </c>
      <c r="F20" s="19">
        <v>1</v>
      </c>
      <c r="G20" s="14"/>
      <c r="H20" s="19">
        <v>1</v>
      </c>
      <c r="I20" s="14"/>
      <c r="J20" t="s" s="11">
        <v>20</v>
      </c>
      <c r="K20" s="15"/>
      <c r="L20" t="s" s="16">
        <f>HYPERLINK("http://csr.bu.edu/ftp/asl/asllvd/demos/verify_start_end_handshape_annotations//test_auto_move//signs_mov_separ_signers/Naomi_15714.mov","MOV")</f>
        <v>21</v>
      </c>
      <c r="M20" t="s" s="10">
        <v>48</v>
      </c>
      <c r="N20" s="17">
        <v>7</v>
      </c>
      <c r="O20" s="18">
        <v>540</v>
      </c>
      <c r="P20" s="18">
        <v>575</v>
      </c>
      <c r="Q20" s="15"/>
      <c r="R20" t="s" s="16">
        <f>HYPERLINK("http://secrets.rutgers.edu:8080/data/asl-ftp/asllvd/demos/verify_start_end_handshape_annotations//test_auto_move//signs_mov_separ_signers/Naomi_15714.mov","MOV")</f>
        <v>21</v>
      </c>
    </row>
    <row r="21" s="2" customFormat="1" ht="13.5" customHeight="1">
      <c r="B21" s="13"/>
      <c r="C21" t="s" s="9">
        <v>30</v>
      </c>
      <c r="D21" t="s" s="8">
        <v>45</v>
      </c>
      <c r="E21" t="s" s="9">
        <v>46</v>
      </c>
      <c r="F21" s="19">
        <v>1</v>
      </c>
      <c r="G21" s="14"/>
      <c r="H21" s="19">
        <v>1</v>
      </c>
      <c r="I21" s="14"/>
      <c r="J21" t="s" s="11">
        <v>20</v>
      </c>
      <c r="K21" s="15"/>
      <c r="L21" t="s" s="16">
        <f>HYPERLINK("http://csr.bu.edu/ftp/asl/asllvd/demos/verify_start_end_handshape_annotations//test_auto_move//signs_mov_separ_signers/Brady_15714.mov","MOV")</f>
        <v>21</v>
      </c>
      <c r="M21" t="s" s="10">
        <v>39</v>
      </c>
      <c r="N21" s="17">
        <v>51</v>
      </c>
      <c r="O21" s="18">
        <v>80</v>
      </c>
      <c r="P21" s="18">
        <v>119</v>
      </c>
      <c r="Q21" s="15"/>
      <c r="R21" t="s" s="16">
        <f>HYPERLINK("http://secrets.rutgers.edu:8080/data/asl-ftp/asllvd/demos/verify_start_end_handshape_annotations//test_auto_move//signs_mov_separ_signers/Brady_15714.mov","MOV")</f>
        <v>21</v>
      </c>
    </row>
    <row r="22" s="2" customFormat="1" ht="13.5" customHeight="1">
      <c r="B22" t="s" s="8">
        <v>49</v>
      </c>
      <c r="C22" t="s" s="9">
        <v>14</v>
      </c>
      <c r="D22" t="s" s="8">
        <v>14</v>
      </c>
      <c r="E22" t="s" s="9">
        <v>14</v>
      </c>
      <c r="F22" t="s" s="10">
        <v>14</v>
      </c>
      <c r="G22" t="s" s="11">
        <v>14</v>
      </c>
      <c r="H22" t="s" s="10">
        <v>14</v>
      </c>
      <c r="I22" t="s" s="11">
        <v>14</v>
      </c>
      <c r="J22" t="s" s="11">
        <v>14</v>
      </c>
      <c r="K22" t="s" s="12">
        <v>14</v>
      </c>
      <c r="L22" t="s" s="12">
        <v>14</v>
      </c>
      <c r="M22" t="s" s="10">
        <v>14</v>
      </c>
      <c r="N22" t="s" s="11">
        <v>14</v>
      </c>
      <c r="O22" t="s" s="8">
        <v>14</v>
      </c>
      <c r="P22" t="s" s="8">
        <v>14</v>
      </c>
      <c r="Q22" t="s" s="12">
        <v>14</v>
      </c>
      <c r="R22" t="s" s="12">
        <v>14</v>
      </c>
    </row>
    <row r="23" s="2" customFormat="1" ht="13.5" customHeight="1">
      <c r="B23" s="13"/>
      <c r="C23" t="s" s="9">
        <v>16</v>
      </c>
      <c r="D23" t="s" s="8">
        <v>49</v>
      </c>
      <c r="E23" t="s" s="9">
        <v>50</v>
      </c>
      <c r="F23" s="19">
        <v>1</v>
      </c>
      <c r="G23" s="14"/>
      <c r="H23" s="19">
        <v>1</v>
      </c>
      <c r="I23" s="14"/>
      <c r="J23" t="s" s="11">
        <v>20</v>
      </c>
      <c r="K23" t="s" s="16">
        <f>HYPERLINK("http://csr.bu.edu/ftp/asl/asllvd/demos/verify_start_end_handshape_annotations//test_auto_move//signs_mov/15729.mov","MOV")</f>
        <v>21</v>
      </c>
      <c r="L23" t="s" s="16">
        <f>HYPERLINK("http://csr.bu.edu/ftp/asl/asllvd/demos/verify_start_end_handshape_annotations//test_auto_move//signs_mov_separ_signers/Liz_15729.mov","MOV")</f>
        <v>21</v>
      </c>
      <c r="M23" t="s" s="10">
        <v>36</v>
      </c>
      <c r="N23" s="17">
        <v>32</v>
      </c>
      <c r="O23" s="18">
        <v>2629</v>
      </c>
      <c r="P23" s="18">
        <v>2675</v>
      </c>
      <c r="Q23" t="s" s="16">
        <f>HYPERLINK("http://secrets.rutgers.edu:8080/data/asl-ftp/asllvd/demos/verify_start_end_handshape_annotations//test_auto_move//signs_mov/15729.mov","MOV")</f>
        <v>21</v>
      </c>
      <c r="R23" t="s" s="16">
        <f>HYPERLINK("http://secrets.rutgers.edu:8080/data/asl-ftp/asllvd/demos/verify_start_end_handshape_annotations//test_auto_move//signs_mov_separ_signers/Liz_15729.mov","MOV")</f>
        <v>21</v>
      </c>
    </row>
    <row r="24" s="2" customFormat="1" ht="13.5" customHeight="1">
      <c r="B24" s="13"/>
      <c r="C24" t="s" s="9">
        <v>30</v>
      </c>
      <c r="D24" t="s" s="8">
        <v>49</v>
      </c>
      <c r="E24" t="s" s="9">
        <v>50</v>
      </c>
      <c r="F24" t="s" s="10">
        <v>51</v>
      </c>
      <c r="G24" s="14"/>
      <c r="H24" t="s" s="10">
        <v>51</v>
      </c>
      <c r="I24" s="14"/>
      <c r="J24" t="s" s="11">
        <v>20</v>
      </c>
      <c r="K24" s="15"/>
      <c r="L24" t="s" s="16">
        <f>HYPERLINK("http://csr.bu.edu/ftp/asl/asllvd/demos/verify_start_end_handshape_annotations//test_auto_move//signs_mov_separ_signers/Brady_15729.mov","MOV")</f>
        <v>21</v>
      </c>
      <c r="M24" t="s" s="10">
        <v>40</v>
      </c>
      <c r="N24" s="17">
        <v>83</v>
      </c>
      <c r="O24" s="18">
        <v>2957</v>
      </c>
      <c r="P24" s="18">
        <v>2992</v>
      </c>
      <c r="Q24" s="15"/>
      <c r="R24" t="s" s="16">
        <f>HYPERLINK("http://secrets.rutgers.edu:8080/data/asl-ftp/asllvd/demos/verify_start_end_handshape_annotations//test_auto_move//signs_mov_separ_signers/Brady_15729.mov","MOV")</f>
        <v>21</v>
      </c>
    </row>
    <row r="25" s="2" customFormat="1" ht="13.5" customHeight="1">
      <c r="B25" t="s" s="8">
        <v>52</v>
      </c>
      <c r="C25" t="s" s="9">
        <v>53</v>
      </c>
      <c r="D25" t="s" s="8">
        <v>53</v>
      </c>
      <c r="E25" t="s" s="9">
        <v>53</v>
      </c>
      <c r="F25" t="s" s="10">
        <v>53</v>
      </c>
      <c r="G25" t="s" s="11">
        <v>53</v>
      </c>
      <c r="H25" t="s" s="10">
        <v>53</v>
      </c>
      <c r="I25" t="s" s="11">
        <v>53</v>
      </c>
      <c r="J25" t="s" s="11">
        <v>53</v>
      </c>
      <c r="K25" t="s" s="12">
        <v>53</v>
      </c>
      <c r="L25" t="s" s="12">
        <v>53</v>
      </c>
      <c r="M25" t="s" s="10">
        <v>53</v>
      </c>
      <c r="N25" t="s" s="11">
        <v>53</v>
      </c>
      <c r="O25" t="s" s="8">
        <v>53</v>
      </c>
      <c r="P25" t="s" s="8">
        <v>53</v>
      </c>
      <c r="Q25" t="s" s="12">
        <v>53</v>
      </c>
      <c r="R25" t="s" s="12">
        <v>53</v>
      </c>
    </row>
    <row r="26" s="2" customFormat="1" ht="13.5" customHeight="1">
      <c r="B26" s="13"/>
      <c r="C26" t="s" s="9">
        <v>16</v>
      </c>
      <c r="D26" t="s" s="8">
        <v>49</v>
      </c>
      <c r="E26" t="s" s="9">
        <v>54</v>
      </c>
      <c r="F26" s="19">
        <v>1</v>
      </c>
      <c r="G26" s="14"/>
      <c r="H26" s="19">
        <v>1</v>
      </c>
      <c r="I26" s="14"/>
      <c r="J26" t="s" s="11">
        <v>20</v>
      </c>
      <c r="K26" t="s" s="16">
        <f>HYPERLINK("http://csr.bu.edu/ftp/asl/asllvd/demos/verify_start_end_handshape_annotations//test_auto_move//signs_mov/15730.mov","MOV")</f>
        <v>21</v>
      </c>
      <c r="L26" t="s" s="16">
        <f>HYPERLINK("http://csr.bu.edu/ftp/asl/asllvd/demos/verify_start_end_handshape_annotations//test_auto_move//signs_mov_separ_signers/Liz_15730.mov","MOV")</f>
        <v>21</v>
      </c>
      <c r="M26" t="s" s="10">
        <v>36</v>
      </c>
      <c r="N26" s="17">
        <v>32</v>
      </c>
      <c r="O26" s="18">
        <v>3431</v>
      </c>
      <c r="P26" s="18">
        <v>3525</v>
      </c>
      <c r="Q26" t="s" s="16">
        <f>HYPERLINK("http://secrets.rutgers.edu:8080/data/asl-ftp/asllvd/demos/verify_start_end_handshape_annotations//test_auto_move//signs_mov/15730.mov","MOV")</f>
        <v>21</v>
      </c>
      <c r="R26" t="s" s="16">
        <f>HYPERLINK("http://secrets.rutgers.edu:8080/data/asl-ftp/asllvd/demos/verify_start_end_handshape_annotations//test_auto_move//signs_mov_separ_signers/Liz_15730.mov","MOV")</f>
        <v>21</v>
      </c>
    </row>
    <row r="27" s="2" customFormat="1" ht="13.5" customHeight="1">
      <c r="B27" t="s" s="8">
        <v>52</v>
      </c>
      <c r="C27" t="s" s="9">
        <v>53</v>
      </c>
      <c r="D27" t="s" s="8">
        <v>53</v>
      </c>
      <c r="E27" t="s" s="9">
        <v>53</v>
      </c>
      <c r="F27" t="s" s="10">
        <v>53</v>
      </c>
      <c r="G27" t="s" s="11">
        <v>53</v>
      </c>
      <c r="H27" t="s" s="10">
        <v>53</v>
      </c>
      <c r="I27" t="s" s="11">
        <v>53</v>
      </c>
      <c r="J27" t="s" s="11">
        <v>53</v>
      </c>
      <c r="K27" t="s" s="12">
        <v>53</v>
      </c>
      <c r="L27" t="s" s="12">
        <v>53</v>
      </c>
      <c r="M27" t="s" s="10">
        <v>53</v>
      </c>
      <c r="N27" t="s" s="11">
        <v>53</v>
      </c>
      <c r="O27" t="s" s="8">
        <v>53</v>
      </c>
      <c r="P27" t="s" s="8">
        <v>53</v>
      </c>
      <c r="Q27" t="s" s="12">
        <v>53</v>
      </c>
      <c r="R27" t="s" s="12">
        <v>53</v>
      </c>
    </row>
    <row r="28" s="2" customFormat="1" ht="13.5" customHeight="1">
      <c r="B28" s="13"/>
      <c r="C28" t="s" s="9">
        <v>16</v>
      </c>
      <c r="D28" t="s" s="8">
        <v>49</v>
      </c>
      <c r="E28" t="s" s="9">
        <v>49</v>
      </c>
      <c r="F28" t="s" s="10">
        <v>55</v>
      </c>
      <c r="G28" s="14"/>
      <c r="H28" t="s" s="10">
        <v>55</v>
      </c>
      <c r="I28" s="14"/>
      <c r="J28" t="s" s="11">
        <v>20</v>
      </c>
      <c r="K28" s="15"/>
      <c r="L28" t="s" s="16">
        <f>HYPERLINK("http://csr.bu.edu/ftp/asl/asllvd/demos/verify_start_end_handshape_annotations//test_auto_move//signs_mov_separ_signers/Liz_15744.mov","MOV")</f>
        <v>21</v>
      </c>
      <c r="M28" t="s" s="10">
        <v>22</v>
      </c>
      <c r="N28" s="17">
        <v>28</v>
      </c>
      <c r="O28" s="18">
        <v>315</v>
      </c>
      <c r="P28" s="18">
        <v>350</v>
      </c>
      <c r="Q28" s="15"/>
      <c r="R28" t="s" s="16">
        <f>HYPERLINK("http://secrets.rutgers.edu:8080/data/asl-ftp/asllvd/demos/verify_start_end_handshape_annotations//test_auto_move//signs_mov_separ_signers/Liz_15744.mov","MOV")</f>
        <v>21</v>
      </c>
    </row>
    <row r="29" s="2" customFormat="1" ht="13.5" customHeight="1">
      <c r="B29" s="13"/>
      <c r="C29" t="s" s="9">
        <v>23</v>
      </c>
      <c r="D29" t="s" s="8">
        <v>49</v>
      </c>
      <c r="E29" t="s" s="9">
        <v>49</v>
      </c>
      <c r="F29" t="s" s="10">
        <v>55</v>
      </c>
      <c r="G29" s="14"/>
      <c r="H29" t="s" s="10">
        <v>55</v>
      </c>
      <c r="I29" s="14"/>
      <c r="J29" t="s" s="11">
        <v>20</v>
      </c>
      <c r="K29" t="s" s="16">
        <f>HYPERLINK("http://csr.bu.edu/ftp/asl/asllvd/demos/verify_start_end_handshape_annotations//test_auto_move//signs_mov/15744.mov","MOV")</f>
        <v>21</v>
      </c>
      <c r="L29" t="s" s="16">
        <f>HYPERLINK("http://csr.bu.edu/ftp/asl/asllvd/demos/verify_start_end_handshape_annotations//test_auto_move//signs_mov_separ_signers/Tyler_15744.mov","MOV")</f>
        <v>21</v>
      </c>
      <c r="M29" t="s" s="10">
        <v>26</v>
      </c>
      <c r="N29" s="17">
        <v>18</v>
      </c>
      <c r="O29" s="18">
        <v>1000</v>
      </c>
      <c r="P29" s="18">
        <v>1025</v>
      </c>
      <c r="Q29" t="s" s="16">
        <f>HYPERLINK("http://secrets.rutgers.edu:8080/data/asl-ftp/asllvd/demos/verify_start_end_handshape_annotations//test_auto_move//signs_mov/15744.mov","MOV")</f>
        <v>21</v>
      </c>
      <c r="R29" t="s" s="16">
        <f>HYPERLINK("http://secrets.rutgers.edu:8080/data/asl-ftp/asllvd/demos/verify_start_end_handshape_annotations//test_auto_move//signs_mov_separ_signers/Tyler_15744.mov","MOV")</f>
        <v>21</v>
      </c>
    </row>
    <row r="30" s="2" customFormat="1" ht="13.5" customHeight="1">
      <c r="B30" s="13"/>
      <c r="C30" t="s" s="9">
        <v>27</v>
      </c>
      <c r="D30" t="s" s="8">
        <v>49</v>
      </c>
      <c r="E30" t="s" s="9">
        <v>49</v>
      </c>
      <c r="F30" t="s" s="10">
        <v>55</v>
      </c>
      <c r="G30" s="14"/>
      <c r="H30" t="s" s="10">
        <v>55</v>
      </c>
      <c r="I30" s="14"/>
      <c r="J30" t="s" s="11">
        <v>20</v>
      </c>
      <c r="K30" s="15"/>
      <c r="L30" t="s" s="16">
        <f>HYPERLINK("http://csr.bu.edu/ftp/asl/asllvd/demos/verify_start_end_handshape_annotations//test_auto_move//signs_mov_separ_signers/Naomi_15744.mov","MOV")</f>
        <v>21</v>
      </c>
      <c r="M30" t="s" s="10">
        <v>29</v>
      </c>
      <c r="N30" s="17">
        <v>18</v>
      </c>
      <c r="O30" s="18">
        <v>1080</v>
      </c>
      <c r="P30" s="18">
        <v>1105</v>
      </c>
      <c r="Q30" s="15"/>
      <c r="R30" t="s" s="16">
        <f>HYPERLINK("http://secrets.rutgers.edu:8080/data/asl-ftp/asllvd/demos/verify_start_end_handshape_annotations//test_auto_move//signs_mov_separ_signers/Naomi_15744.mov","MOV")</f>
        <v>21</v>
      </c>
    </row>
    <row r="31" s="2" customFormat="1" ht="13.5" customHeight="1">
      <c r="B31" s="13"/>
      <c r="C31" t="s" s="9">
        <v>30</v>
      </c>
      <c r="D31" t="s" s="8">
        <v>49</v>
      </c>
      <c r="E31" t="s" s="9">
        <v>49</v>
      </c>
      <c r="F31" t="s" s="10">
        <v>55</v>
      </c>
      <c r="G31" s="14"/>
      <c r="H31" t="s" s="10">
        <v>55</v>
      </c>
      <c r="I31" s="14"/>
      <c r="J31" t="s" s="11">
        <v>20</v>
      </c>
      <c r="K31" s="15"/>
      <c r="L31" t="s" s="16">
        <f>HYPERLINK("http://csr.bu.edu/ftp/asl/asllvd/demos/verify_start_end_handshape_annotations//test_auto_move//signs_mov_separ_signers/Brady_15744.mov","MOV")</f>
        <v>21</v>
      </c>
      <c r="M31" t="s" s="10">
        <v>31</v>
      </c>
      <c r="N31" s="17">
        <v>15</v>
      </c>
      <c r="O31" s="18">
        <v>233</v>
      </c>
      <c r="P31" s="18">
        <v>263</v>
      </c>
      <c r="Q31" s="15"/>
      <c r="R31" t="s" s="16">
        <f>HYPERLINK("http://secrets.rutgers.edu:8080/data/asl-ftp/asllvd/demos/verify_start_end_handshape_annotations//test_auto_move//signs_mov_separ_signers/Brady_15744.mov","MOV")</f>
        <v>21</v>
      </c>
    </row>
    <row r="32" s="2" customFormat="1" ht="13.5" customHeight="1">
      <c r="B32" t="s" s="8">
        <v>56</v>
      </c>
      <c r="C32" t="s" s="9">
        <v>14</v>
      </c>
      <c r="D32" t="s" s="8">
        <v>14</v>
      </c>
      <c r="E32" t="s" s="9">
        <v>14</v>
      </c>
      <c r="F32" t="s" s="10">
        <v>14</v>
      </c>
      <c r="G32" t="s" s="11">
        <v>14</v>
      </c>
      <c r="H32" t="s" s="10">
        <v>14</v>
      </c>
      <c r="I32" t="s" s="11">
        <v>14</v>
      </c>
      <c r="J32" t="s" s="11">
        <v>14</v>
      </c>
      <c r="K32" t="s" s="12">
        <v>14</v>
      </c>
      <c r="L32" t="s" s="12">
        <v>14</v>
      </c>
      <c r="M32" t="s" s="10">
        <v>14</v>
      </c>
      <c r="N32" t="s" s="11">
        <v>14</v>
      </c>
      <c r="O32" t="s" s="8">
        <v>14</v>
      </c>
      <c r="P32" t="s" s="8">
        <v>14</v>
      </c>
      <c r="Q32" t="s" s="12">
        <v>14</v>
      </c>
      <c r="R32" t="s" s="12">
        <v>14</v>
      </c>
    </row>
    <row r="33" s="2" customFormat="1" ht="13.5" customHeight="1">
      <c r="B33" s="13"/>
      <c r="C33" t="s" s="9">
        <v>16</v>
      </c>
      <c r="D33" t="s" s="8">
        <v>56</v>
      </c>
      <c r="E33" t="s" s="9">
        <v>56</v>
      </c>
      <c r="F33" s="19">
        <v>1</v>
      </c>
      <c r="G33" s="14"/>
      <c r="H33" s="19">
        <v>1</v>
      </c>
      <c r="I33" s="14"/>
      <c r="J33" t="s" s="11">
        <v>20</v>
      </c>
      <c r="K33" t="s" s="16">
        <f>HYPERLINK("http://csr.bu.edu/ftp/asl/asllvd/demos/verify_start_end_handshape_annotations//test_auto_move//signs_mov/15826.mov","MOV")</f>
        <v>21</v>
      </c>
      <c r="L33" t="s" s="16">
        <f>HYPERLINK("http://csr.bu.edu/ftp/asl/asllvd/demos/verify_start_end_handshape_annotations//test_auto_move//signs_mov_separ_signers/Liz_15826.mov","MOV")</f>
        <v>21</v>
      </c>
      <c r="M33" t="s" s="10">
        <v>36</v>
      </c>
      <c r="N33" s="17">
        <v>38</v>
      </c>
      <c r="O33" s="18">
        <v>1230</v>
      </c>
      <c r="P33" s="18">
        <v>1272</v>
      </c>
      <c r="Q33" t="s" s="16">
        <f>HYPERLINK("http://secrets.rutgers.edu:8080/data/asl-ftp/asllvd/demos/verify_start_end_handshape_annotations//test_auto_move//signs_mov/15826.mov","MOV")</f>
        <v>21</v>
      </c>
      <c r="R33" t="s" s="16">
        <f>HYPERLINK("http://secrets.rutgers.edu:8080/data/asl-ftp/asllvd/demos/verify_start_end_handshape_annotations//test_auto_move//signs_mov_separ_signers/Liz_15826.mov","MOV")</f>
        <v>21</v>
      </c>
    </row>
    <row r="34" s="2" customFormat="1" ht="13.5" customHeight="1">
      <c r="B34" t="s" s="8">
        <v>57</v>
      </c>
      <c r="C34" t="s" s="9">
        <v>14</v>
      </c>
      <c r="D34" t="s" s="8">
        <v>14</v>
      </c>
      <c r="E34" t="s" s="9">
        <v>14</v>
      </c>
      <c r="F34" t="s" s="10">
        <v>14</v>
      </c>
      <c r="G34" t="s" s="11">
        <v>14</v>
      </c>
      <c r="H34" t="s" s="10">
        <v>14</v>
      </c>
      <c r="I34" t="s" s="11">
        <v>14</v>
      </c>
      <c r="J34" t="s" s="11">
        <v>14</v>
      </c>
      <c r="K34" t="s" s="12">
        <v>14</v>
      </c>
      <c r="L34" t="s" s="12">
        <v>14</v>
      </c>
      <c r="M34" t="s" s="10">
        <v>14</v>
      </c>
      <c r="N34" t="s" s="11">
        <v>14</v>
      </c>
      <c r="O34" t="s" s="8">
        <v>14</v>
      </c>
      <c r="P34" t="s" s="8">
        <v>14</v>
      </c>
      <c r="Q34" t="s" s="12">
        <v>14</v>
      </c>
      <c r="R34" t="s" s="12">
        <v>14</v>
      </c>
    </row>
    <row r="35" s="2" customFormat="1" ht="13.5" customHeight="1">
      <c r="B35" s="13"/>
      <c r="C35" t="s" s="9">
        <v>16</v>
      </c>
      <c r="D35" t="s" s="8">
        <v>57</v>
      </c>
      <c r="E35" t="s" s="9">
        <v>57</v>
      </c>
      <c r="F35" s="19">
        <v>1</v>
      </c>
      <c r="G35" s="14"/>
      <c r="H35" s="19">
        <v>1</v>
      </c>
      <c r="I35" s="14"/>
      <c r="J35" t="s" s="11">
        <v>20</v>
      </c>
      <c r="K35" s="15"/>
      <c r="L35" t="s" s="16">
        <f>HYPERLINK("http://csr.bu.edu/ftp/asl/asllvd/demos/verify_start_end_handshape_annotations//test_auto_move//signs_mov_separ_signers/Liz_16072.mov","MOV")</f>
        <v>21</v>
      </c>
      <c r="M35" t="s" s="10">
        <v>22</v>
      </c>
      <c r="N35" s="17">
        <v>13</v>
      </c>
      <c r="O35" s="18">
        <v>315</v>
      </c>
      <c r="P35" s="18">
        <v>370</v>
      </c>
      <c r="Q35" s="15"/>
      <c r="R35" t="s" s="16">
        <f>HYPERLINK("http://secrets.rutgers.edu:8080/data/asl-ftp/asllvd/demos/verify_start_end_handshape_annotations//test_auto_move//signs_mov_separ_signers/Liz_16072.mov","MOV")</f>
        <v>21</v>
      </c>
    </row>
    <row r="36" s="2" customFormat="1" ht="13.5" customHeight="1">
      <c r="B36" s="13"/>
      <c r="C36" t="s" s="9">
        <v>23</v>
      </c>
      <c r="D36" t="s" s="8">
        <v>57</v>
      </c>
      <c r="E36" t="s" s="9">
        <v>57</v>
      </c>
      <c r="F36" s="19">
        <v>1</v>
      </c>
      <c r="G36" s="14"/>
      <c r="H36" s="19">
        <v>1</v>
      </c>
      <c r="I36" s="14"/>
      <c r="J36" t="s" s="11">
        <v>20</v>
      </c>
      <c r="K36" t="s" s="16">
        <f>HYPERLINK("http://csr.bu.edu/ftp/asl/asllvd/demos/verify_start_end_handshape_annotations//test_auto_move//signs_mov/16072.mov","MOV")</f>
        <v>21</v>
      </c>
      <c r="L36" t="s" s="16">
        <f>HYPERLINK("http://csr.bu.edu/ftp/asl/asllvd/demos/verify_start_end_handshape_annotations//test_auto_move//signs_mov_separ_signers/Tyler_16072.mov","MOV")</f>
        <v>21</v>
      </c>
      <c r="M36" t="s" s="10">
        <v>26</v>
      </c>
      <c r="N36" s="17">
        <v>10</v>
      </c>
      <c r="O36" s="18">
        <v>1810</v>
      </c>
      <c r="P36" s="18">
        <v>1850</v>
      </c>
      <c r="Q36" t="s" s="16">
        <f>HYPERLINK("http://secrets.rutgers.edu:8080/data/asl-ftp/asllvd/demos/verify_start_end_handshape_annotations//test_auto_move//signs_mov/16072.mov","MOV")</f>
        <v>21</v>
      </c>
      <c r="R36" t="s" s="16">
        <f>HYPERLINK("http://secrets.rutgers.edu:8080/data/asl-ftp/asllvd/demos/verify_start_end_handshape_annotations//test_auto_move//signs_mov_separ_signers/Tyler_16072.mov","MOV")</f>
        <v>21</v>
      </c>
    </row>
    <row r="37" s="2" customFormat="1" ht="13.5" customHeight="1">
      <c r="B37" s="13"/>
      <c r="C37" t="s" s="9">
        <v>27</v>
      </c>
      <c r="D37" t="s" s="8">
        <v>57</v>
      </c>
      <c r="E37" t="s" s="9">
        <v>57</v>
      </c>
      <c r="F37" s="19">
        <v>1</v>
      </c>
      <c r="G37" s="14"/>
      <c r="H37" s="19">
        <v>1</v>
      </c>
      <c r="I37" s="14"/>
      <c r="J37" t="s" s="11">
        <v>20</v>
      </c>
      <c r="K37" s="15"/>
      <c r="L37" t="s" s="16">
        <f>HYPERLINK("http://csr.bu.edu/ftp/asl/asllvd/demos/verify_start_end_handshape_annotations//test_auto_move//signs_mov_separ_signers/Naomi_16072.mov","MOV")</f>
        <v>21</v>
      </c>
      <c r="M37" t="s" s="10">
        <v>29</v>
      </c>
      <c r="N37" s="17">
        <v>9</v>
      </c>
      <c r="O37" s="18">
        <v>1571</v>
      </c>
      <c r="P37" s="18">
        <v>1635</v>
      </c>
      <c r="Q37" s="15"/>
      <c r="R37" t="s" s="16">
        <f>HYPERLINK("http://secrets.rutgers.edu:8080/data/asl-ftp/asllvd/demos/verify_start_end_handshape_annotations//test_auto_move//signs_mov_separ_signers/Naomi_16072.mov","MOV")</f>
        <v>21</v>
      </c>
    </row>
    <row r="38" s="2" customFormat="1" ht="13.5" customHeight="1">
      <c r="B38" s="13"/>
      <c r="C38" t="s" s="9">
        <v>30</v>
      </c>
      <c r="D38" t="s" s="8">
        <v>57</v>
      </c>
      <c r="E38" t="s" s="9">
        <v>57</v>
      </c>
      <c r="F38" s="19">
        <v>1</v>
      </c>
      <c r="G38" s="14"/>
      <c r="H38" s="19">
        <v>1</v>
      </c>
      <c r="I38" s="14"/>
      <c r="J38" t="s" s="11">
        <v>20</v>
      </c>
      <c r="K38" s="15"/>
      <c r="L38" t="s" s="16">
        <f>HYPERLINK("http://csr.bu.edu/ftp/asl/asllvd/demos/verify_start_end_handshape_annotations//test_auto_move//signs_mov_separ_signers/Brady_16072.mov","MOV")</f>
        <v>21</v>
      </c>
      <c r="M38" t="s" s="10">
        <v>31</v>
      </c>
      <c r="N38" s="17">
        <v>11</v>
      </c>
      <c r="O38" s="18">
        <v>2592</v>
      </c>
      <c r="P38" s="18">
        <v>2620</v>
      </c>
      <c r="Q38" s="15"/>
      <c r="R38" t="s" s="16">
        <f>HYPERLINK("http://secrets.rutgers.edu:8080/data/asl-ftp/asllvd/demos/verify_start_end_handshape_annotations//test_auto_move//signs_mov_separ_signers/Brady_16072.mov","MOV")</f>
        <v>21</v>
      </c>
    </row>
    <row r="39" s="2" customFormat="1" ht="13.5" customHeight="1">
      <c r="B39" t="s" s="8">
        <v>58</v>
      </c>
      <c r="C39" t="s" s="9">
        <v>14</v>
      </c>
      <c r="D39" t="s" s="8">
        <v>14</v>
      </c>
      <c r="E39" t="s" s="9">
        <v>14</v>
      </c>
      <c r="F39" t="s" s="10">
        <v>14</v>
      </c>
      <c r="G39" t="s" s="11">
        <v>14</v>
      </c>
      <c r="H39" t="s" s="10">
        <v>14</v>
      </c>
      <c r="I39" t="s" s="11">
        <v>14</v>
      </c>
      <c r="J39" t="s" s="11">
        <v>14</v>
      </c>
      <c r="K39" t="s" s="12">
        <v>14</v>
      </c>
      <c r="L39" t="s" s="12">
        <v>14</v>
      </c>
      <c r="M39" t="s" s="10">
        <v>14</v>
      </c>
      <c r="N39" t="s" s="11">
        <v>14</v>
      </c>
      <c r="O39" t="s" s="8">
        <v>14</v>
      </c>
      <c r="P39" t="s" s="8">
        <v>14</v>
      </c>
      <c r="Q39" t="s" s="12">
        <v>14</v>
      </c>
      <c r="R39" t="s" s="12">
        <v>14</v>
      </c>
    </row>
    <row r="40" s="2" customFormat="1" ht="13.5" customHeight="1">
      <c r="B40" s="13"/>
      <c r="C40" t="s" s="9">
        <v>16</v>
      </c>
      <c r="D40" t="s" s="8">
        <v>58</v>
      </c>
      <c r="E40" t="s" s="9">
        <v>58</v>
      </c>
      <c r="F40" s="19">
        <v>1</v>
      </c>
      <c r="G40" s="14"/>
      <c r="H40" s="19">
        <v>1</v>
      </c>
      <c r="I40" s="14"/>
      <c r="J40" t="s" s="11">
        <v>20</v>
      </c>
      <c r="K40" t="s" s="16">
        <f>HYPERLINK("http://csr.bu.edu/ftp/asl/asllvd/demos/verify_start_end_handshape_annotations//test_auto_move//signs_mov/16088.mov","MOV")</f>
        <v>21</v>
      </c>
      <c r="L40" t="s" s="16">
        <f>HYPERLINK("http://csr.bu.edu/ftp/asl/asllvd/demos/verify_start_end_handshape_annotations//test_auto_move//signs_mov_separ_signers/Liz_16088.mov","MOV")</f>
        <v>21</v>
      </c>
      <c r="M40" t="s" s="10">
        <v>59</v>
      </c>
      <c r="N40" s="17">
        <v>34</v>
      </c>
      <c r="O40" s="18">
        <v>375</v>
      </c>
      <c r="P40" s="18">
        <v>412</v>
      </c>
      <c r="Q40" t="s" s="16">
        <f>HYPERLINK("http://secrets.rutgers.edu:8080/data/asl-ftp/asllvd/demos/verify_start_end_handshape_annotations//test_auto_move//signs_mov/16088.mov","MOV")</f>
        <v>21</v>
      </c>
      <c r="R40" t="s" s="16">
        <f>HYPERLINK("http://secrets.rutgers.edu:8080/data/asl-ftp/asllvd/demos/verify_start_end_handshape_annotations//test_auto_move//signs_mov_separ_signers/Liz_16088.mov","MOV")</f>
        <v>21</v>
      </c>
    </row>
    <row r="41" s="2" customFormat="1" ht="13.5" customHeight="1">
      <c r="B41" s="13"/>
      <c r="C41" t="s" s="9">
        <v>30</v>
      </c>
      <c r="D41" t="s" s="8">
        <v>58</v>
      </c>
      <c r="E41" t="s" s="9">
        <v>58</v>
      </c>
      <c r="F41" s="19">
        <v>1</v>
      </c>
      <c r="G41" s="14"/>
      <c r="H41" s="19">
        <v>1</v>
      </c>
      <c r="I41" s="14"/>
      <c r="J41" t="s" s="11">
        <v>20</v>
      </c>
      <c r="K41" s="15"/>
      <c r="L41" t="s" s="16">
        <f>HYPERLINK("http://csr.bu.edu/ftp/asl/asllvd/demos/verify_start_end_handshape_annotations//test_auto_move//signs_mov_separ_signers/Brady_16088.mov","MOV")</f>
        <v>21</v>
      </c>
      <c r="M41" t="s" s="10">
        <v>60</v>
      </c>
      <c r="N41" s="17">
        <v>22</v>
      </c>
      <c r="O41" s="18">
        <v>1647</v>
      </c>
      <c r="P41" s="18">
        <v>1697</v>
      </c>
      <c r="Q41" s="15"/>
      <c r="R41" t="s" s="16">
        <f>HYPERLINK("http://secrets.rutgers.edu:8080/data/asl-ftp/asllvd/demos/verify_start_end_handshape_annotations//test_auto_move//signs_mov_separ_signers/Brady_16088.mov","MOV")</f>
        <v>21</v>
      </c>
    </row>
    <row r="42" s="2" customFormat="1" ht="13.5" customHeight="1">
      <c r="B42" t="s" s="8">
        <v>61</v>
      </c>
      <c r="C42" t="s" s="9">
        <v>14</v>
      </c>
      <c r="D42" t="s" s="8">
        <v>14</v>
      </c>
      <c r="E42" t="s" s="9">
        <v>14</v>
      </c>
      <c r="F42" t="s" s="10">
        <v>14</v>
      </c>
      <c r="G42" t="s" s="11">
        <v>14</v>
      </c>
      <c r="H42" t="s" s="10">
        <v>14</v>
      </c>
      <c r="I42" t="s" s="11">
        <v>14</v>
      </c>
      <c r="J42" t="s" s="11">
        <v>14</v>
      </c>
      <c r="K42" t="s" s="12">
        <v>14</v>
      </c>
      <c r="L42" t="s" s="12">
        <v>14</v>
      </c>
      <c r="M42" t="s" s="10">
        <v>14</v>
      </c>
      <c r="N42" t="s" s="11">
        <v>14</v>
      </c>
      <c r="O42" t="s" s="8">
        <v>14</v>
      </c>
      <c r="P42" t="s" s="8">
        <v>14</v>
      </c>
      <c r="Q42" t="s" s="12">
        <v>14</v>
      </c>
      <c r="R42" t="s" s="12">
        <v>14</v>
      </c>
    </row>
    <row r="43" s="2" customFormat="1" ht="13.5" customHeight="1">
      <c r="B43" s="13"/>
      <c r="C43" t="s" s="9">
        <v>16</v>
      </c>
      <c r="D43" t="s" s="8">
        <v>61</v>
      </c>
      <c r="E43" t="s" s="9">
        <v>61</v>
      </c>
      <c r="F43" s="19">
        <v>1</v>
      </c>
      <c r="G43" s="14"/>
      <c r="H43" s="19">
        <v>1</v>
      </c>
      <c r="I43" s="14"/>
      <c r="J43" t="s" s="11">
        <v>20</v>
      </c>
      <c r="K43" s="15"/>
      <c r="L43" t="s" s="16">
        <f>HYPERLINK("http://csr.bu.edu/ftp/asl/asllvd/demos/verify_start_end_handshape_annotations//test_auto_move//signs_mov_separ_signers/Liz_16190.mov","MOV")</f>
        <v>21</v>
      </c>
      <c r="M43" t="s" s="10">
        <v>22</v>
      </c>
      <c r="N43" s="17">
        <v>4</v>
      </c>
      <c r="O43" s="18">
        <v>2145</v>
      </c>
      <c r="P43" s="18">
        <v>2185</v>
      </c>
      <c r="Q43" s="15"/>
      <c r="R43" t="s" s="16">
        <f>HYPERLINK("http://secrets.rutgers.edu:8080/data/asl-ftp/asllvd/demos/verify_start_end_handshape_annotations//test_auto_move//signs_mov_separ_signers/Liz_16190.mov","MOV")</f>
        <v>21</v>
      </c>
    </row>
    <row r="44" s="2" customFormat="1" ht="13.5" customHeight="1">
      <c r="B44" s="13"/>
      <c r="C44" t="s" s="9">
        <v>23</v>
      </c>
      <c r="D44" t="s" s="8">
        <v>61</v>
      </c>
      <c r="E44" t="s" s="9">
        <v>61</v>
      </c>
      <c r="F44" s="19">
        <v>1</v>
      </c>
      <c r="G44" s="14"/>
      <c r="H44" s="19">
        <v>1</v>
      </c>
      <c r="I44" s="14"/>
      <c r="J44" t="s" s="11">
        <v>20</v>
      </c>
      <c r="K44" s="15"/>
      <c r="L44" t="s" s="16">
        <f>HYPERLINK("http://csr.bu.edu/ftp/asl/asllvd/demos/verify_start_end_handshape_annotations//test_auto_move//signs_mov_separ_signers/Tyler_16190.mov","MOV")</f>
        <v>21</v>
      </c>
      <c r="M44" t="s" s="10">
        <v>26</v>
      </c>
      <c r="N44" s="17">
        <v>3</v>
      </c>
      <c r="O44" s="18">
        <v>1325</v>
      </c>
      <c r="P44" s="18">
        <v>1380</v>
      </c>
      <c r="Q44" s="15"/>
      <c r="R44" t="s" s="16">
        <f>HYPERLINK("http://secrets.rutgers.edu:8080/data/asl-ftp/asllvd/demos/verify_start_end_handshape_annotations//test_auto_move//signs_mov_separ_signers/Tyler_16190.mov","MOV")</f>
        <v>21</v>
      </c>
    </row>
    <row r="45" s="2" customFormat="1" ht="13.5" customHeight="1">
      <c r="B45" s="13"/>
      <c r="C45" t="s" s="9">
        <v>30</v>
      </c>
      <c r="D45" t="s" s="8">
        <v>61</v>
      </c>
      <c r="E45" t="s" s="9">
        <v>61</v>
      </c>
      <c r="F45" s="19">
        <v>1</v>
      </c>
      <c r="G45" s="14"/>
      <c r="H45" s="19">
        <v>1</v>
      </c>
      <c r="I45" s="14"/>
      <c r="J45" t="s" s="11">
        <v>20</v>
      </c>
      <c r="K45" t="s" s="16">
        <f>HYPERLINK("http://csr.bu.edu/ftp/asl/asllvd/demos/verify_start_end_handshape_annotations//test_auto_move//signs_mov/16190.mov","MOV")</f>
        <v>21</v>
      </c>
      <c r="L45" t="s" s="16">
        <f>HYPERLINK("http://csr.bu.edu/ftp/asl/asllvd/demos/verify_start_end_handshape_annotations//test_auto_move//signs_mov_separ_signers/Brady_16190.mov","MOV")</f>
        <v>21</v>
      </c>
      <c r="M45" t="s" s="10">
        <v>31</v>
      </c>
      <c r="N45" s="17">
        <v>4</v>
      </c>
      <c r="O45" s="18">
        <v>4203</v>
      </c>
      <c r="P45" s="18">
        <v>4214</v>
      </c>
      <c r="Q45" t="s" s="16">
        <f>HYPERLINK("http://secrets.rutgers.edu:8080/data/asl-ftp/asllvd/demos/verify_start_end_handshape_annotations//test_auto_move//signs_mov/16190.mov","MOV")</f>
        <v>21</v>
      </c>
      <c r="R45" t="s" s="16">
        <f>HYPERLINK("http://secrets.rutgers.edu:8080/data/asl-ftp/asllvd/demos/verify_start_end_handshape_annotations//test_auto_move//signs_mov_separ_signers/Brady_16190.mov","MOV")</f>
        <v>21</v>
      </c>
    </row>
    <row r="46" s="2" customFormat="1" ht="13.5" customHeight="1">
      <c r="B46" s="13"/>
      <c r="C46" t="s" s="9">
        <v>41</v>
      </c>
      <c r="D46" t="s" s="8">
        <v>61</v>
      </c>
      <c r="E46" t="s" s="9">
        <v>61</v>
      </c>
      <c r="F46" s="19">
        <v>1</v>
      </c>
      <c r="G46" s="14"/>
      <c r="H46" s="19">
        <v>1</v>
      </c>
      <c r="I46" s="14"/>
      <c r="J46" t="s" s="11">
        <v>20</v>
      </c>
      <c r="K46" s="15"/>
      <c r="L46" t="s" s="16">
        <f>HYPERLINK("http://csr.bu.edu/ftp/asl/asllvd/demos/verify_start_end_handshape_annotations//test_auto_move//signs_mov_separ_signers/Lana_16190.mov","MOV")</f>
        <v>21</v>
      </c>
      <c r="M46" t="s" s="10">
        <v>42</v>
      </c>
      <c r="N46" s="17">
        <v>20</v>
      </c>
      <c r="O46" s="18">
        <v>1338</v>
      </c>
      <c r="P46" s="18">
        <v>1366</v>
      </c>
      <c r="Q46" s="15"/>
      <c r="R46" t="s" s="16">
        <f>HYPERLINK("http://secrets.rutgers.edu:8080/data/asl-ftp/asllvd/demos/verify_start_end_handshape_annotations//test_auto_move//signs_mov_separ_signers/Lana_16190.mov","MOV")</f>
        <v>21</v>
      </c>
    </row>
    <row r="47" s="2" customFormat="1" ht="13.5" customHeight="1">
      <c r="B47" s="13"/>
      <c r="C47" t="s" s="9">
        <v>43</v>
      </c>
      <c r="D47" t="s" s="8">
        <v>61</v>
      </c>
      <c r="E47" t="s" s="9">
        <v>61</v>
      </c>
      <c r="F47" s="19">
        <v>1</v>
      </c>
      <c r="G47" s="14"/>
      <c r="H47" s="19">
        <v>1</v>
      </c>
      <c r="I47" s="14"/>
      <c r="J47" t="s" s="11">
        <v>20</v>
      </c>
      <c r="K47" s="15"/>
      <c r="L47" t="s" s="16">
        <f>HYPERLINK("http://csr.bu.edu/ftp/asl/asllvd/demos/verify_start_end_handshape_annotations//test_auto_move//signs_mov_separ_signers/Dana_16190.mov","MOV")</f>
        <v>21</v>
      </c>
      <c r="M47" t="s" s="10">
        <v>44</v>
      </c>
      <c r="N47" s="17">
        <v>22</v>
      </c>
      <c r="O47" s="18">
        <v>1269</v>
      </c>
      <c r="P47" s="18">
        <v>1277</v>
      </c>
      <c r="Q47" s="15"/>
      <c r="R47" t="s" s="16">
        <f>HYPERLINK("http://secrets.rutgers.edu:8080/data/asl-ftp/asllvd/demos/verify_start_end_handshape_annotations//test_auto_move//signs_mov_separ_signers/Dana_16190.mov","MOV")</f>
        <v>21</v>
      </c>
    </row>
    <row r="48" s="2" customFormat="1" ht="13.5" customHeight="1">
      <c r="B48" t="s" s="8">
        <v>52</v>
      </c>
      <c r="C48" t="s" s="9">
        <v>53</v>
      </c>
      <c r="D48" t="s" s="8">
        <v>53</v>
      </c>
      <c r="E48" t="s" s="9">
        <v>53</v>
      </c>
      <c r="F48" t="s" s="10">
        <v>53</v>
      </c>
      <c r="G48" t="s" s="11">
        <v>53</v>
      </c>
      <c r="H48" t="s" s="10">
        <v>53</v>
      </c>
      <c r="I48" t="s" s="11">
        <v>53</v>
      </c>
      <c r="J48" t="s" s="11">
        <v>53</v>
      </c>
      <c r="K48" t="s" s="12">
        <v>53</v>
      </c>
      <c r="L48" t="s" s="12">
        <v>53</v>
      </c>
      <c r="M48" t="s" s="10">
        <v>53</v>
      </c>
      <c r="N48" t="s" s="11">
        <v>53</v>
      </c>
      <c r="O48" t="s" s="8">
        <v>53</v>
      </c>
      <c r="P48" t="s" s="8">
        <v>53</v>
      </c>
      <c r="Q48" t="s" s="12">
        <v>53</v>
      </c>
      <c r="R48" t="s" s="12">
        <v>53</v>
      </c>
    </row>
    <row r="49" s="2" customFormat="1" ht="13.5" customHeight="1">
      <c r="B49" s="13"/>
      <c r="C49" t="s" s="9">
        <v>27</v>
      </c>
      <c r="D49" t="s" s="8">
        <v>61</v>
      </c>
      <c r="E49" t="s" s="9">
        <v>62</v>
      </c>
      <c r="F49" t="s" s="10">
        <v>51</v>
      </c>
      <c r="G49" s="14"/>
      <c r="H49" t="s" s="10">
        <v>51</v>
      </c>
      <c r="I49" s="14"/>
      <c r="J49" t="s" s="11">
        <v>20</v>
      </c>
      <c r="K49" t="s" s="16">
        <f>HYPERLINK("http://csr.bu.edu/ftp/asl/asllvd/demos/verify_start_end_handshape_annotations//test_auto_move//signs_mov/16235.mov","MOV")</f>
        <v>21</v>
      </c>
      <c r="L49" t="s" s="16">
        <f>HYPERLINK("http://csr.bu.edu/ftp/asl/asllvd/demos/verify_start_end_handshape_annotations//test_auto_move//signs_mov_separ_signers/Naomi_16235.mov","MOV")</f>
        <v>21</v>
      </c>
      <c r="M49" t="s" s="10">
        <v>29</v>
      </c>
      <c r="N49" s="17">
        <v>3</v>
      </c>
      <c r="O49" s="18">
        <v>1626</v>
      </c>
      <c r="P49" s="18">
        <v>1650</v>
      </c>
      <c r="Q49" t="s" s="16">
        <f>HYPERLINK("http://secrets.rutgers.edu:8080/data/asl-ftp/asllvd/demos/verify_start_end_handshape_annotations//test_auto_move//signs_mov/16235.mov","MOV")</f>
        <v>21</v>
      </c>
      <c r="R49" t="s" s="16">
        <f>HYPERLINK("http://secrets.rutgers.edu:8080/data/asl-ftp/asllvd/demos/verify_start_end_handshape_annotations//test_auto_move//signs_mov_separ_signers/Naomi_16235.mov","MOV")</f>
        <v>21</v>
      </c>
    </row>
    <row r="50" s="2" customFormat="1" ht="13.5" customHeight="1">
      <c r="B50" t="s" s="8">
        <v>63</v>
      </c>
      <c r="C50" t="s" s="9">
        <v>14</v>
      </c>
      <c r="D50" t="s" s="8">
        <v>14</v>
      </c>
      <c r="E50" t="s" s="9">
        <v>14</v>
      </c>
      <c r="F50" t="s" s="10">
        <v>14</v>
      </c>
      <c r="G50" t="s" s="11">
        <v>14</v>
      </c>
      <c r="H50" t="s" s="10">
        <v>14</v>
      </c>
      <c r="I50" t="s" s="11">
        <v>14</v>
      </c>
      <c r="J50" t="s" s="11">
        <v>14</v>
      </c>
      <c r="K50" t="s" s="12">
        <v>14</v>
      </c>
      <c r="L50" t="s" s="12">
        <v>14</v>
      </c>
      <c r="M50" t="s" s="10">
        <v>14</v>
      </c>
      <c r="N50" t="s" s="11">
        <v>14</v>
      </c>
      <c r="O50" t="s" s="8">
        <v>14</v>
      </c>
      <c r="P50" t="s" s="8">
        <v>14</v>
      </c>
      <c r="Q50" t="s" s="12">
        <v>14</v>
      </c>
      <c r="R50" t="s" s="12">
        <v>14</v>
      </c>
    </row>
    <row r="51" s="2" customFormat="1" ht="13.5" customHeight="1">
      <c r="B51" s="13"/>
      <c r="C51" t="s" s="9">
        <v>16</v>
      </c>
      <c r="D51" t="s" s="8">
        <v>63</v>
      </c>
      <c r="E51" t="s" s="9">
        <v>63</v>
      </c>
      <c r="F51" t="s" s="10">
        <v>63</v>
      </c>
      <c r="G51" s="14"/>
      <c r="H51" t="s" s="10">
        <v>63</v>
      </c>
      <c r="I51" s="14"/>
      <c r="J51" t="s" s="11">
        <v>20</v>
      </c>
      <c r="K51" s="15"/>
      <c r="L51" t="s" s="16">
        <f>HYPERLINK("http://csr.bu.edu/ftp/asl/asllvd/demos/verify_start_end_handshape_annotations//test_auto_move//signs_mov_separ_signers/Liz_27.mov","MOV")</f>
        <v>21</v>
      </c>
      <c r="M51" t="s" s="10">
        <v>22</v>
      </c>
      <c r="N51" s="17">
        <v>4</v>
      </c>
      <c r="O51" s="18">
        <v>2345</v>
      </c>
      <c r="P51" s="18">
        <v>2370</v>
      </c>
      <c r="Q51" s="15"/>
      <c r="R51" t="s" s="16">
        <f>HYPERLINK("http://secrets.rutgers.edu:8080/data/asl-ftp/asllvd/demos/verify_start_end_handshape_annotations//test_auto_move//signs_mov_separ_signers/Liz_27.mov","MOV")</f>
        <v>21</v>
      </c>
    </row>
    <row r="52" s="2" customFormat="1" ht="13.5" customHeight="1">
      <c r="B52" s="13"/>
      <c r="C52" t="s" s="9">
        <v>23</v>
      </c>
      <c r="D52" t="s" s="8">
        <v>63</v>
      </c>
      <c r="E52" t="s" s="9">
        <v>63</v>
      </c>
      <c r="F52" t="s" s="10">
        <v>63</v>
      </c>
      <c r="G52" s="14"/>
      <c r="H52" t="s" s="10">
        <v>63</v>
      </c>
      <c r="I52" s="14"/>
      <c r="J52" t="s" s="11">
        <v>20</v>
      </c>
      <c r="K52" t="s" s="16">
        <f>HYPERLINK("http://csr.bu.edu/ftp/asl/asllvd/demos/verify_start_end_handshape_annotations//test_auto_move//signs_mov/27.mov","MOV")</f>
        <v>21</v>
      </c>
      <c r="L52" t="s" s="16">
        <f>HYPERLINK("http://csr.bu.edu/ftp/asl/asllvd/demos/verify_start_end_handshape_annotations//test_auto_move//signs_mov_separ_signers/Tyler_27.mov","MOV")</f>
        <v>21</v>
      </c>
      <c r="M52" t="s" s="10">
        <v>26</v>
      </c>
      <c r="N52" s="17">
        <v>3</v>
      </c>
      <c r="O52" s="18">
        <v>1550</v>
      </c>
      <c r="P52" s="18">
        <v>1600</v>
      </c>
      <c r="Q52" t="s" s="16">
        <f>HYPERLINK("http://secrets.rutgers.edu:8080/data/asl-ftp/asllvd/demos/verify_start_end_handshape_annotations//test_auto_move//signs_mov/27.mov","MOV")</f>
        <v>21</v>
      </c>
      <c r="R52" t="s" s="16">
        <f>HYPERLINK("http://secrets.rutgers.edu:8080/data/asl-ftp/asllvd/demos/verify_start_end_handshape_annotations//test_auto_move//signs_mov_separ_signers/Tyler_27.mov","MOV")</f>
        <v>21</v>
      </c>
    </row>
    <row r="53" s="2" customFormat="1" ht="13.5" customHeight="1">
      <c r="B53" s="13"/>
      <c r="C53" t="s" s="9">
        <v>27</v>
      </c>
      <c r="D53" t="s" s="8">
        <v>63</v>
      </c>
      <c r="E53" t="s" s="9">
        <v>63</v>
      </c>
      <c r="F53" t="s" s="10">
        <v>63</v>
      </c>
      <c r="G53" s="14"/>
      <c r="H53" t="s" s="10">
        <v>63</v>
      </c>
      <c r="I53" s="14"/>
      <c r="J53" t="s" s="11">
        <v>20</v>
      </c>
      <c r="K53" s="15"/>
      <c r="L53" t="s" s="16">
        <f>HYPERLINK("http://csr.bu.edu/ftp/asl/asllvd/demos/verify_start_end_handshape_annotations//test_auto_move//signs_mov_separ_signers/Naomi_27.mov","MOV")</f>
        <v>21</v>
      </c>
      <c r="M53" t="s" s="10">
        <v>29</v>
      </c>
      <c r="N53" s="17">
        <v>3</v>
      </c>
      <c r="O53" s="18">
        <v>1830</v>
      </c>
      <c r="P53" s="18">
        <v>1850</v>
      </c>
      <c r="Q53" s="15"/>
      <c r="R53" t="s" s="16">
        <f>HYPERLINK("http://secrets.rutgers.edu:8080/data/asl-ftp/asllvd/demos/verify_start_end_handshape_annotations//test_auto_move//signs_mov_separ_signers/Naomi_27.mov","MOV")</f>
        <v>21</v>
      </c>
    </row>
    <row r="54" s="2" customFormat="1" ht="13.5" customHeight="1">
      <c r="B54" s="13"/>
      <c r="C54" t="s" s="9">
        <v>30</v>
      </c>
      <c r="D54" t="s" s="8">
        <v>63</v>
      </c>
      <c r="E54" t="s" s="9">
        <v>63</v>
      </c>
      <c r="F54" t="s" s="10">
        <v>63</v>
      </c>
      <c r="G54" s="14"/>
      <c r="H54" t="s" s="10">
        <v>63</v>
      </c>
      <c r="I54" s="14"/>
      <c r="J54" t="s" s="11">
        <v>20</v>
      </c>
      <c r="K54" s="15"/>
      <c r="L54" t="s" s="16">
        <f>HYPERLINK("http://csr.bu.edu/ftp/asl/asllvd/demos/verify_start_end_handshape_annotations//test_auto_move//signs_mov_separ_signers/Brady_27.mov","MOV")</f>
        <v>21</v>
      </c>
      <c r="M54" t="s" s="10">
        <v>31</v>
      </c>
      <c r="N54" s="17">
        <v>6</v>
      </c>
      <c r="O54" s="18">
        <v>7024</v>
      </c>
      <c r="P54" s="18">
        <v>7048</v>
      </c>
      <c r="Q54" s="15"/>
      <c r="R54" t="s" s="16">
        <f>HYPERLINK("http://secrets.rutgers.edu:8080/data/asl-ftp/asllvd/demos/verify_start_end_handshape_annotations//test_auto_move//signs_mov_separ_signers/Brady_27.mov","MOV")</f>
        <v>21</v>
      </c>
    </row>
    <row r="55" s="2" customFormat="1" ht="13.5" customHeight="1">
      <c r="B55" t="s" s="8">
        <v>64</v>
      </c>
      <c r="C55" t="s" s="9">
        <v>14</v>
      </c>
      <c r="D55" t="s" s="8">
        <v>14</v>
      </c>
      <c r="E55" t="s" s="9">
        <v>14</v>
      </c>
      <c r="F55" t="s" s="10">
        <v>14</v>
      </c>
      <c r="G55" t="s" s="11">
        <v>14</v>
      </c>
      <c r="H55" t="s" s="10">
        <v>14</v>
      </c>
      <c r="I55" t="s" s="11">
        <v>14</v>
      </c>
      <c r="J55" t="s" s="11">
        <v>14</v>
      </c>
      <c r="K55" t="s" s="12">
        <v>14</v>
      </c>
      <c r="L55" t="s" s="12">
        <v>14</v>
      </c>
      <c r="M55" t="s" s="10">
        <v>14</v>
      </c>
      <c r="N55" t="s" s="11">
        <v>14</v>
      </c>
      <c r="O55" t="s" s="8">
        <v>14</v>
      </c>
      <c r="P55" t="s" s="8">
        <v>14</v>
      </c>
      <c r="Q55" t="s" s="12">
        <v>14</v>
      </c>
      <c r="R55" t="s" s="12">
        <v>14</v>
      </c>
    </row>
    <row r="56" s="2" customFormat="1" ht="13.5" customHeight="1">
      <c r="B56" s="13"/>
      <c r="C56" t="s" s="9">
        <v>16</v>
      </c>
      <c r="D56" t="s" s="8">
        <v>64</v>
      </c>
      <c r="E56" t="s" s="9">
        <v>64</v>
      </c>
      <c r="F56" t="s" s="10">
        <v>65</v>
      </c>
      <c r="G56" s="14"/>
      <c r="H56" s="19">
        <v>10</v>
      </c>
      <c r="I56" s="14"/>
      <c r="J56" t="s" s="11">
        <v>20</v>
      </c>
      <c r="K56" s="15"/>
      <c r="L56" t="s" s="16">
        <f>HYPERLINK("http://csr.bu.edu/ftp/asl/asllvd/demos/verify_start_end_handshape_annotations//test_auto_move//signs_mov_separ_signers/Liz_28.mov","MOV")</f>
        <v>21</v>
      </c>
      <c r="M56" t="s" s="10">
        <v>22</v>
      </c>
      <c r="N56" s="17">
        <v>4</v>
      </c>
      <c r="O56" s="18">
        <v>3030</v>
      </c>
      <c r="P56" s="18">
        <v>3056</v>
      </c>
      <c r="Q56" s="15"/>
      <c r="R56" t="s" s="16">
        <f>HYPERLINK("http://secrets.rutgers.edu:8080/data/asl-ftp/asllvd/demos/verify_start_end_handshape_annotations//test_auto_move//signs_mov_separ_signers/Liz_28.mov","MOV")</f>
        <v>21</v>
      </c>
    </row>
    <row r="57" s="2" customFormat="1" ht="13.5" customHeight="1">
      <c r="B57" s="13"/>
      <c r="C57" t="s" s="9">
        <v>23</v>
      </c>
      <c r="D57" t="s" s="8">
        <v>64</v>
      </c>
      <c r="E57" t="s" s="9">
        <v>66</v>
      </c>
      <c r="F57" t="s" s="10">
        <v>65</v>
      </c>
      <c r="G57" s="14"/>
      <c r="H57" t="s" s="10">
        <v>63</v>
      </c>
      <c r="I57" s="14"/>
      <c r="J57" t="s" s="11">
        <v>20</v>
      </c>
      <c r="K57" t="s" s="16">
        <f>HYPERLINK("http://csr.bu.edu/ftp/asl/asllvd/demos/verify_start_end_handshape_annotations//test_auto_move//signs_mov/28.mov","MOV")</f>
        <v>21</v>
      </c>
      <c r="L57" t="s" s="16">
        <f>HYPERLINK("http://csr.bu.edu/ftp/asl/asllvd/demos/verify_start_end_handshape_annotations//test_auto_move//signs_mov_separ_signers/Tyler_28.mov","MOV")</f>
        <v>21</v>
      </c>
      <c r="M57" t="s" s="10">
        <v>26</v>
      </c>
      <c r="N57" s="17">
        <v>3</v>
      </c>
      <c r="O57" s="18">
        <v>1790</v>
      </c>
      <c r="P57" s="18">
        <v>1850</v>
      </c>
      <c r="Q57" t="s" s="16">
        <f>HYPERLINK("http://secrets.rutgers.edu:8080/data/asl-ftp/asllvd/demos/verify_start_end_handshape_annotations//test_auto_move//signs_mov/28.mov","MOV")</f>
        <v>21</v>
      </c>
      <c r="R57" t="s" s="16">
        <f>HYPERLINK("http://secrets.rutgers.edu:8080/data/asl-ftp/asllvd/demos/verify_start_end_handshape_annotations//test_auto_move//signs_mov_separ_signers/Tyler_28.mov","MOV")</f>
        <v>21</v>
      </c>
    </row>
    <row r="58" s="2" customFormat="1" ht="13.5" customHeight="1">
      <c r="B58" s="13"/>
      <c r="C58" t="s" s="9">
        <v>27</v>
      </c>
      <c r="D58" t="s" s="8">
        <v>64</v>
      </c>
      <c r="E58" t="s" s="9">
        <v>64</v>
      </c>
      <c r="F58" t="s" s="10">
        <v>65</v>
      </c>
      <c r="G58" s="14"/>
      <c r="H58" s="19">
        <v>10</v>
      </c>
      <c r="I58" s="14"/>
      <c r="J58" t="s" s="11">
        <v>20</v>
      </c>
      <c r="K58" s="15"/>
      <c r="L58" t="s" s="16">
        <f>HYPERLINK("http://csr.bu.edu/ftp/asl/asllvd/demos/verify_start_end_handshape_annotations//test_auto_move//signs_mov_separ_signers/Naomi_28.mov","MOV")</f>
        <v>21</v>
      </c>
      <c r="M58" t="s" s="10">
        <v>29</v>
      </c>
      <c r="N58" s="17">
        <v>3</v>
      </c>
      <c r="O58" s="18">
        <v>2040</v>
      </c>
      <c r="P58" s="18">
        <v>2066</v>
      </c>
      <c r="Q58" s="15"/>
      <c r="R58" t="s" s="16">
        <f>HYPERLINK("http://secrets.rutgers.edu:8080/data/asl-ftp/asllvd/demos/verify_start_end_handshape_annotations//test_auto_move//signs_mov_separ_signers/Naomi_28.mov","MOV")</f>
        <v>21</v>
      </c>
    </row>
    <row r="59" s="2" customFormat="1" ht="13.5" customHeight="1">
      <c r="B59" s="13"/>
      <c r="C59" t="s" s="9">
        <v>30</v>
      </c>
      <c r="D59" t="s" s="8">
        <v>64</v>
      </c>
      <c r="E59" t="s" s="9">
        <v>64</v>
      </c>
      <c r="F59" t="s" s="10">
        <v>65</v>
      </c>
      <c r="G59" s="14"/>
      <c r="H59" s="19">
        <v>10</v>
      </c>
      <c r="I59" s="14"/>
      <c r="J59" t="s" s="11">
        <v>20</v>
      </c>
      <c r="K59" s="15"/>
      <c r="L59" t="s" s="16">
        <f>HYPERLINK("http://csr.bu.edu/ftp/asl/asllvd/demos/verify_start_end_handshape_annotations//test_auto_move//signs_mov_separ_signers/Brady_28.mov","MOV")</f>
        <v>21</v>
      </c>
      <c r="M59" t="s" s="10">
        <v>31</v>
      </c>
      <c r="N59" s="17">
        <v>6</v>
      </c>
      <c r="O59" s="18">
        <v>7322</v>
      </c>
      <c r="P59" s="18">
        <v>7339</v>
      </c>
      <c r="Q59" s="15"/>
      <c r="R59" t="s" s="16">
        <f>HYPERLINK("http://secrets.rutgers.edu:8080/data/asl-ftp/asllvd/demos/verify_start_end_handshape_annotations//test_auto_move//signs_mov_separ_signers/Brady_28.mov","MOV")</f>
        <v>21</v>
      </c>
    </row>
    <row r="60" s="2" customFormat="1" ht="13.5" customHeight="1">
      <c r="B60" t="s" s="8">
        <v>67</v>
      </c>
      <c r="C60" t="s" s="9">
        <v>14</v>
      </c>
      <c r="D60" t="s" s="8">
        <v>14</v>
      </c>
      <c r="E60" t="s" s="9">
        <v>14</v>
      </c>
      <c r="F60" t="s" s="10">
        <v>14</v>
      </c>
      <c r="G60" t="s" s="11">
        <v>14</v>
      </c>
      <c r="H60" t="s" s="10">
        <v>14</v>
      </c>
      <c r="I60" t="s" s="11">
        <v>14</v>
      </c>
      <c r="J60" t="s" s="11">
        <v>14</v>
      </c>
      <c r="K60" t="s" s="12">
        <v>14</v>
      </c>
      <c r="L60" t="s" s="12">
        <v>14</v>
      </c>
      <c r="M60" t="s" s="10">
        <v>14</v>
      </c>
      <c r="N60" t="s" s="11">
        <v>14</v>
      </c>
      <c r="O60" t="s" s="8">
        <v>14</v>
      </c>
      <c r="P60" t="s" s="8">
        <v>14</v>
      </c>
      <c r="Q60" t="s" s="12">
        <v>14</v>
      </c>
      <c r="R60" t="s" s="12">
        <v>14</v>
      </c>
    </row>
    <row r="61" s="2" customFormat="1" ht="13.5" customHeight="1">
      <c r="B61" s="13"/>
      <c r="C61" t="s" s="9">
        <v>16</v>
      </c>
      <c r="D61" t="s" s="8">
        <v>67</v>
      </c>
      <c r="E61" t="s" s="9">
        <v>67</v>
      </c>
      <c r="F61" t="s" s="10">
        <v>68</v>
      </c>
      <c r="G61" t="s" s="11">
        <v>68</v>
      </c>
      <c r="H61" s="19">
        <v>5</v>
      </c>
      <c r="I61" s="17">
        <v>5</v>
      </c>
      <c r="J61" t="s" s="11">
        <v>20</v>
      </c>
      <c r="K61" s="15"/>
      <c r="L61" t="s" s="16">
        <f>HYPERLINK("http://csr.bu.edu/ftp/asl/asllvd/demos/verify_start_end_handshape_annotations//test_auto_move//signs_mov_separ_signers/Liz_30.mov","MOV")</f>
        <v>21</v>
      </c>
      <c r="M61" t="s" s="10">
        <v>22</v>
      </c>
      <c r="N61" s="17">
        <v>5</v>
      </c>
      <c r="O61" s="18">
        <v>180</v>
      </c>
      <c r="P61" s="18">
        <v>206</v>
      </c>
      <c r="Q61" s="15"/>
      <c r="R61" t="s" s="16">
        <f>HYPERLINK("http://secrets.rutgers.edu:8080/data/asl-ftp/asllvd/demos/verify_start_end_handshape_annotations//test_auto_move//signs_mov_separ_signers/Liz_30.mov","MOV")</f>
        <v>21</v>
      </c>
    </row>
    <row r="62" s="2" customFormat="1" ht="13.5" customHeight="1">
      <c r="B62" s="13"/>
      <c r="C62" t="s" s="9">
        <v>23</v>
      </c>
      <c r="D62" t="s" s="8">
        <v>67</v>
      </c>
      <c r="E62" t="s" s="9">
        <v>67</v>
      </c>
      <c r="F62" t="s" s="10">
        <v>68</v>
      </c>
      <c r="G62" t="s" s="11">
        <v>68</v>
      </c>
      <c r="H62" s="19">
        <v>5</v>
      </c>
      <c r="I62" s="17">
        <v>5</v>
      </c>
      <c r="J62" t="s" s="11">
        <v>20</v>
      </c>
      <c r="K62" t="s" s="16">
        <f>HYPERLINK("http://csr.bu.edu/ftp/asl/asllvd/demos/verify_start_end_handshape_annotations//test_auto_move//signs_mov/30.mov","MOV")</f>
        <v>21</v>
      </c>
      <c r="L62" t="s" s="16">
        <f>HYPERLINK("http://csr.bu.edu/ftp/asl/asllvd/demos/verify_start_end_handshape_annotations//test_auto_move//signs_mov_separ_signers/Tyler_30.mov","MOV")</f>
        <v>21</v>
      </c>
      <c r="M62" t="s" s="10">
        <v>26</v>
      </c>
      <c r="N62" s="17">
        <v>3</v>
      </c>
      <c r="O62" s="18">
        <v>2227</v>
      </c>
      <c r="P62" s="18">
        <v>2249</v>
      </c>
      <c r="Q62" t="s" s="16">
        <f>HYPERLINK("http://secrets.rutgers.edu:8080/data/asl-ftp/asllvd/demos/verify_start_end_handshape_annotations//test_auto_move//signs_mov/30.mov","MOV")</f>
        <v>21</v>
      </c>
      <c r="R62" t="s" s="16">
        <f>HYPERLINK("http://secrets.rutgers.edu:8080/data/asl-ftp/asllvd/demos/verify_start_end_handshape_annotations//test_auto_move//signs_mov_separ_signers/Tyler_30.mov","MOV")</f>
        <v>21</v>
      </c>
    </row>
    <row r="63" s="2" customFormat="1" ht="13.5" customHeight="1">
      <c r="B63" s="13"/>
      <c r="C63" t="s" s="9">
        <v>30</v>
      </c>
      <c r="D63" t="s" s="8">
        <v>67</v>
      </c>
      <c r="E63" t="s" s="9">
        <v>67</v>
      </c>
      <c r="F63" t="s" s="10">
        <v>68</v>
      </c>
      <c r="G63" t="s" s="11">
        <v>68</v>
      </c>
      <c r="H63" s="19">
        <v>5</v>
      </c>
      <c r="I63" s="17">
        <v>5</v>
      </c>
      <c r="J63" t="s" s="11">
        <v>20</v>
      </c>
      <c r="K63" s="15"/>
      <c r="L63" t="s" s="16">
        <f>HYPERLINK("http://csr.bu.edu/ftp/asl/asllvd/demos/verify_start_end_handshape_annotations//test_auto_move//signs_mov_separ_signers/Brady_30.mov","MOV")</f>
        <v>21</v>
      </c>
      <c r="M63" t="s" s="10">
        <v>31</v>
      </c>
      <c r="N63" s="17">
        <v>6</v>
      </c>
      <c r="O63" s="18">
        <v>7839</v>
      </c>
      <c r="P63" s="18">
        <v>7854</v>
      </c>
      <c r="Q63" s="15"/>
      <c r="R63" t="s" s="16">
        <f>HYPERLINK("http://secrets.rutgers.edu:8080/data/asl-ftp/asllvd/demos/verify_start_end_handshape_annotations//test_auto_move//signs_mov_separ_signers/Brady_30.mov","MOV")</f>
        <v>21</v>
      </c>
    </row>
    <row r="64" s="2" customFormat="1" ht="13.5" customHeight="1">
      <c r="B64" t="s" s="8">
        <v>69</v>
      </c>
      <c r="C64" t="s" s="9">
        <v>14</v>
      </c>
      <c r="D64" t="s" s="8">
        <v>14</v>
      </c>
      <c r="E64" t="s" s="9">
        <v>14</v>
      </c>
      <c r="F64" t="s" s="10">
        <v>14</v>
      </c>
      <c r="G64" t="s" s="11">
        <v>14</v>
      </c>
      <c r="H64" t="s" s="10">
        <v>14</v>
      </c>
      <c r="I64" t="s" s="11">
        <v>14</v>
      </c>
      <c r="J64" t="s" s="11">
        <v>14</v>
      </c>
      <c r="K64" t="s" s="12">
        <v>14</v>
      </c>
      <c r="L64" t="s" s="12">
        <v>14</v>
      </c>
      <c r="M64" t="s" s="10">
        <v>14</v>
      </c>
      <c r="N64" t="s" s="11">
        <v>14</v>
      </c>
      <c r="O64" t="s" s="8">
        <v>14</v>
      </c>
      <c r="P64" t="s" s="8">
        <v>14</v>
      </c>
      <c r="Q64" t="s" s="12">
        <v>14</v>
      </c>
      <c r="R64" t="s" s="12">
        <v>14</v>
      </c>
    </row>
    <row r="65" s="2" customFormat="1" ht="13.5" customHeight="1">
      <c r="B65" s="13"/>
      <c r="C65" t="s" s="9">
        <v>27</v>
      </c>
      <c r="D65" t="s" s="8">
        <v>69</v>
      </c>
      <c r="E65" t="s" s="9">
        <v>69</v>
      </c>
      <c r="F65" t="s" s="10">
        <v>70</v>
      </c>
      <c r="G65" t="s" s="11">
        <v>70</v>
      </c>
      <c r="H65" s="19">
        <v>1</v>
      </c>
      <c r="I65" s="17">
        <v>1</v>
      </c>
      <c r="J65" t="s" s="11">
        <v>20</v>
      </c>
      <c r="K65" t="s" s="16">
        <f>HYPERLINK("http://csr.bu.edu/ftp/asl/asllvd/demos/verify_start_end_handshape_annotations//test_auto_move//signs_mov/5083.mov","MOV")</f>
        <v>21</v>
      </c>
      <c r="L65" t="s" s="16">
        <f>HYPERLINK("http://csr.bu.edu/ftp/asl/asllvd/demos/verify_start_end_handshape_annotations//test_auto_move//signs_mov_separ_signers/Naomi_5083.mov","MOV")</f>
        <v>21</v>
      </c>
      <c r="M65" t="s" s="10">
        <v>29</v>
      </c>
      <c r="N65" s="17">
        <v>3</v>
      </c>
      <c r="O65" s="18">
        <v>2768</v>
      </c>
      <c r="P65" s="18">
        <v>2786</v>
      </c>
      <c r="Q65" t="s" s="16">
        <f>HYPERLINK("http://secrets.rutgers.edu:8080/data/asl-ftp/asllvd/demos/verify_start_end_handshape_annotations//test_auto_move//signs_mov/5083.mov","MOV")</f>
        <v>21</v>
      </c>
      <c r="R65" t="s" s="16">
        <f>HYPERLINK("http://secrets.rutgers.edu:8080/data/asl-ftp/asllvd/demos/verify_start_end_handshape_annotations//test_auto_move//signs_mov_separ_signers/Naomi_5083.mov","MOV")</f>
        <v>21</v>
      </c>
    </row>
    <row r="66" s="2" customFormat="1" ht="13.5" customHeight="1">
      <c r="B66" t="s" s="8">
        <v>71</v>
      </c>
      <c r="C66" t="s" s="9">
        <v>14</v>
      </c>
      <c r="D66" t="s" s="8">
        <v>14</v>
      </c>
      <c r="E66" t="s" s="9">
        <v>14</v>
      </c>
      <c r="F66" t="s" s="10">
        <v>14</v>
      </c>
      <c r="G66" t="s" s="11">
        <v>14</v>
      </c>
      <c r="H66" t="s" s="10">
        <v>14</v>
      </c>
      <c r="I66" t="s" s="11">
        <v>14</v>
      </c>
      <c r="J66" t="s" s="11">
        <v>14</v>
      </c>
      <c r="K66" t="s" s="12">
        <v>14</v>
      </c>
      <c r="L66" t="s" s="12">
        <v>14</v>
      </c>
      <c r="M66" t="s" s="10">
        <v>14</v>
      </c>
      <c r="N66" t="s" s="11">
        <v>14</v>
      </c>
      <c r="O66" t="s" s="8">
        <v>14</v>
      </c>
      <c r="P66" t="s" s="8">
        <v>14</v>
      </c>
      <c r="Q66" t="s" s="12">
        <v>14</v>
      </c>
      <c r="R66" t="s" s="12">
        <v>14</v>
      </c>
    </row>
    <row r="67" s="2" customFormat="1" ht="13.5" customHeight="1">
      <c r="B67" s="13"/>
      <c r="C67" t="s" s="9">
        <v>16</v>
      </c>
      <c r="D67" t="s" s="8">
        <v>71</v>
      </c>
      <c r="E67" t="s" s="9">
        <v>71</v>
      </c>
      <c r="F67" t="s" s="10">
        <v>72</v>
      </c>
      <c r="G67" t="s" s="11">
        <v>73</v>
      </c>
      <c r="H67" s="19">
        <v>5</v>
      </c>
      <c r="I67" t="s" s="11">
        <v>73</v>
      </c>
      <c r="J67" t="s" s="11">
        <v>20</v>
      </c>
      <c r="K67" t="s" s="16">
        <f>HYPERLINK("http://csr.bu.edu/ftp/asl/asllvd/demos/verify_start_end_handshape_annotations//test_auto_move//signs_mov/31.mov","MOV")</f>
        <v>21</v>
      </c>
      <c r="L67" t="s" s="16">
        <f>HYPERLINK("http://csr.bu.edu/ftp/asl/asllvd/demos/verify_start_end_handshape_annotations//test_auto_move//signs_mov_separ_signers/Liz_31.mov","MOV")</f>
        <v>21</v>
      </c>
      <c r="M67" t="s" s="10">
        <v>22</v>
      </c>
      <c r="N67" s="17">
        <v>5</v>
      </c>
      <c r="O67" s="18">
        <v>450</v>
      </c>
      <c r="P67" s="18">
        <v>480</v>
      </c>
      <c r="Q67" t="s" s="16">
        <f>HYPERLINK("http://secrets.rutgers.edu:8080/data/asl-ftp/asllvd/demos/verify_start_end_handshape_annotations//test_auto_move//signs_mov/31.mov","MOV")</f>
        <v>21</v>
      </c>
      <c r="R67" t="s" s="16">
        <f>HYPERLINK("http://secrets.rutgers.edu:8080/data/asl-ftp/asllvd/demos/verify_start_end_handshape_annotations//test_auto_move//signs_mov_separ_signers/Liz_31.mov","MOV")</f>
        <v>21</v>
      </c>
    </row>
    <row r="68" s="2" customFormat="1" ht="13.5" customHeight="1">
      <c r="B68" t="s" s="8">
        <v>52</v>
      </c>
      <c r="C68" t="s" s="9">
        <v>53</v>
      </c>
      <c r="D68" t="s" s="8">
        <v>53</v>
      </c>
      <c r="E68" t="s" s="9">
        <v>53</v>
      </c>
      <c r="F68" t="s" s="10">
        <v>53</v>
      </c>
      <c r="G68" t="s" s="11">
        <v>53</v>
      </c>
      <c r="H68" t="s" s="10">
        <v>53</v>
      </c>
      <c r="I68" t="s" s="11">
        <v>53</v>
      </c>
      <c r="J68" t="s" s="11">
        <v>53</v>
      </c>
      <c r="K68" t="s" s="12">
        <v>53</v>
      </c>
      <c r="L68" t="s" s="12">
        <v>53</v>
      </c>
      <c r="M68" t="s" s="10">
        <v>53</v>
      </c>
      <c r="N68" t="s" s="11">
        <v>53</v>
      </c>
      <c r="O68" t="s" s="8">
        <v>53</v>
      </c>
      <c r="P68" t="s" s="8">
        <v>53</v>
      </c>
      <c r="Q68" t="s" s="12">
        <v>53</v>
      </c>
      <c r="R68" t="s" s="12">
        <v>53</v>
      </c>
    </row>
    <row r="69" s="2" customFormat="1" ht="13.5" customHeight="1">
      <c r="B69" s="13"/>
      <c r="C69" t="s" s="9">
        <v>27</v>
      </c>
      <c r="D69" t="s" s="8">
        <v>71</v>
      </c>
      <c r="E69" t="s" s="9">
        <v>74</v>
      </c>
      <c r="F69" t="s" s="10">
        <v>75</v>
      </c>
      <c r="G69" s="17">
        <v>5</v>
      </c>
      <c r="H69" s="19">
        <v>5</v>
      </c>
      <c r="I69" s="17">
        <v>5</v>
      </c>
      <c r="J69" t="s" s="11">
        <v>20</v>
      </c>
      <c r="K69" t="s" s="16">
        <f>HYPERLINK("http://csr.bu.edu/ftp/asl/asllvd/demos/verify_start_end_handshape_annotations//test_auto_move//signs_mov/3908.mov","MOV")</f>
        <v>21</v>
      </c>
      <c r="L69" t="s" s="16">
        <f>HYPERLINK("http://csr.bu.edu/ftp/asl/asllvd/demos/verify_start_end_handshape_annotations//test_auto_move//signs_mov_separ_signers/Naomi_3908.mov","MOV")</f>
        <v>21</v>
      </c>
      <c r="M69" t="s" s="10">
        <v>29</v>
      </c>
      <c r="N69" s="17">
        <v>4</v>
      </c>
      <c r="O69" s="18">
        <v>548</v>
      </c>
      <c r="P69" s="18">
        <v>575</v>
      </c>
      <c r="Q69" t="s" s="16">
        <f>HYPERLINK("http://secrets.rutgers.edu:8080/data/asl-ftp/asllvd/demos/verify_start_end_handshape_annotations//test_auto_move//signs_mov/3908.mov","MOV")</f>
        <v>21</v>
      </c>
      <c r="R69" t="s" s="16">
        <f>HYPERLINK("http://secrets.rutgers.edu:8080/data/asl-ftp/asllvd/demos/verify_start_end_handshape_annotations//test_auto_move//signs_mov_separ_signers/Naomi_3908.mov","MOV")</f>
        <v>21</v>
      </c>
    </row>
    <row r="70" s="2" customFormat="1" ht="13.5" customHeight="1">
      <c r="B70" t="s" s="8">
        <v>52</v>
      </c>
      <c r="C70" t="s" s="9">
        <v>53</v>
      </c>
      <c r="D70" t="s" s="8">
        <v>53</v>
      </c>
      <c r="E70" t="s" s="9">
        <v>53</v>
      </c>
      <c r="F70" t="s" s="10">
        <v>53</v>
      </c>
      <c r="G70" t="s" s="11">
        <v>53</v>
      </c>
      <c r="H70" t="s" s="10">
        <v>53</v>
      </c>
      <c r="I70" t="s" s="11">
        <v>53</v>
      </c>
      <c r="J70" t="s" s="11">
        <v>53</v>
      </c>
      <c r="K70" t="s" s="12">
        <v>53</v>
      </c>
      <c r="L70" t="s" s="12">
        <v>53</v>
      </c>
      <c r="M70" t="s" s="10">
        <v>53</v>
      </c>
      <c r="N70" t="s" s="11">
        <v>53</v>
      </c>
      <c r="O70" t="s" s="8">
        <v>53</v>
      </c>
      <c r="P70" t="s" s="8">
        <v>53</v>
      </c>
      <c r="Q70" t="s" s="12">
        <v>53</v>
      </c>
      <c r="R70" t="s" s="12">
        <v>53</v>
      </c>
    </row>
    <row r="71" s="2" customFormat="1" ht="13.5" customHeight="1">
      <c r="B71" s="13"/>
      <c r="C71" t="s" s="9">
        <v>16</v>
      </c>
      <c r="D71" t="s" s="8">
        <v>71</v>
      </c>
      <c r="E71" t="s" s="9">
        <v>76</v>
      </c>
      <c r="F71" s="19">
        <v>5</v>
      </c>
      <c r="G71" s="14"/>
      <c r="H71" s="19">
        <v>5</v>
      </c>
      <c r="I71" s="14"/>
      <c r="J71" t="s" s="11">
        <v>20</v>
      </c>
      <c r="K71" t="s" s="16">
        <f>HYPERLINK("http://csr.bu.edu/ftp/asl/asllvd/demos/verify_start_end_handshape_annotations//test_auto_move//signs_mov/5084.mov","MOV")</f>
        <v>21</v>
      </c>
      <c r="L71" t="s" s="16">
        <f>HYPERLINK("http://csr.bu.edu/ftp/asl/asllvd/demos/verify_start_end_handshape_annotations//test_auto_move//signs_mov_separ_signers/Liz_5084.mov","MOV")</f>
        <v>21</v>
      </c>
      <c r="M71" t="s" s="10">
        <v>77</v>
      </c>
      <c r="N71" s="17">
        <v>5</v>
      </c>
      <c r="O71" s="18">
        <v>1098</v>
      </c>
      <c r="P71" s="18">
        <v>1163</v>
      </c>
      <c r="Q71" t="s" s="16">
        <f>HYPERLINK("http://secrets.rutgers.edu:8080/data/asl-ftp/asllvd/demos/verify_start_end_handshape_annotations//test_auto_move//signs_mov/5084.mov","MOV")</f>
        <v>21</v>
      </c>
      <c r="R71" t="s" s="16">
        <f>HYPERLINK("http://secrets.rutgers.edu:8080/data/asl-ftp/asllvd/demos/verify_start_end_handshape_annotations//test_auto_move//signs_mov_separ_signers/Liz_5084.mov","MOV")</f>
        <v>21</v>
      </c>
    </row>
    <row r="72" s="2" customFormat="1" ht="13.5" customHeight="1">
      <c r="B72" t="s" s="8">
        <v>52</v>
      </c>
      <c r="C72" t="s" s="9">
        <v>53</v>
      </c>
      <c r="D72" t="s" s="8">
        <v>53</v>
      </c>
      <c r="E72" t="s" s="9">
        <v>53</v>
      </c>
      <c r="F72" t="s" s="10">
        <v>53</v>
      </c>
      <c r="G72" t="s" s="11">
        <v>53</v>
      </c>
      <c r="H72" t="s" s="10">
        <v>53</v>
      </c>
      <c r="I72" t="s" s="11">
        <v>53</v>
      </c>
      <c r="J72" t="s" s="11">
        <v>53</v>
      </c>
      <c r="K72" t="s" s="12">
        <v>53</v>
      </c>
      <c r="L72" t="s" s="12">
        <v>53</v>
      </c>
      <c r="M72" t="s" s="10">
        <v>53</v>
      </c>
      <c r="N72" t="s" s="11">
        <v>53</v>
      </c>
      <c r="O72" t="s" s="8">
        <v>53</v>
      </c>
      <c r="P72" t="s" s="8">
        <v>53</v>
      </c>
      <c r="Q72" t="s" s="12">
        <v>53</v>
      </c>
      <c r="R72" t="s" s="12">
        <v>53</v>
      </c>
    </row>
    <row r="73" s="2" customFormat="1" ht="13.5" customHeight="1">
      <c r="B73" s="13"/>
      <c r="C73" t="s" s="9">
        <v>23</v>
      </c>
      <c r="D73" t="s" s="8">
        <v>71</v>
      </c>
      <c r="E73" t="s" s="9">
        <v>78</v>
      </c>
      <c r="F73" t="s" s="10">
        <v>68</v>
      </c>
      <c r="G73" t="s" s="11">
        <v>73</v>
      </c>
      <c r="H73" t="s" s="10">
        <v>72</v>
      </c>
      <c r="I73" t="s" s="11">
        <v>73</v>
      </c>
      <c r="J73" t="s" s="11">
        <v>20</v>
      </c>
      <c r="K73" t="s" s="16">
        <f>HYPERLINK("http://csr.bu.edu/ftp/asl/asllvd/demos/verify_start_end_handshape_annotations//test_auto_move//signs_mov/16194.mov","MOV")</f>
        <v>21</v>
      </c>
      <c r="L73" t="s" s="16">
        <f>HYPERLINK("http://csr.bu.edu/ftp/asl/asllvd/demos/verify_start_end_handshape_annotations//test_auto_move//signs_mov_separ_signers/Tyler_16194.mov","MOV")</f>
        <v>21</v>
      </c>
      <c r="M73" t="s" s="10">
        <v>26</v>
      </c>
      <c r="N73" s="17">
        <v>4</v>
      </c>
      <c r="O73" s="18">
        <v>375</v>
      </c>
      <c r="P73" s="18">
        <v>400</v>
      </c>
      <c r="Q73" t="s" s="16">
        <f>HYPERLINK("http://secrets.rutgers.edu:8080/data/asl-ftp/asllvd/demos/verify_start_end_handshape_annotations//test_auto_move//signs_mov/16194.mov","MOV")</f>
        <v>21</v>
      </c>
      <c r="R73" t="s" s="16">
        <f>HYPERLINK("http://secrets.rutgers.edu:8080/data/asl-ftp/asllvd/demos/verify_start_end_handshape_annotations//test_auto_move//signs_mov_separ_signers/Tyler_16194.mov","MOV")</f>
        <v>21</v>
      </c>
    </row>
    <row r="74" s="2" customFormat="1" ht="13.5" customHeight="1">
      <c r="B74" t="s" s="8">
        <v>79</v>
      </c>
      <c r="C74" t="s" s="9">
        <v>14</v>
      </c>
      <c r="D74" t="s" s="8">
        <v>14</v>
      </c>
      <c r="E74" t="s" s="9">
        <v>14</v>
      </c>
      <c r="F74" t="s" s="10">
        <v>14</v>
      </c>
      <c r="G74" t="s" s="11">
        <v>14</v>
      </c>
      <c r="H74" t="s" s="10">
        <v>14</v>
      </c>
      <c r="I74" t="s" s="11">
        <v>14</v>
      </c>
      <c r="J74" t="s" s="11">
        <v>14</v>
      </c>
      <c r="K74" t="s" s="12">
        <v>14</v>
      </c>
      <c r="L74" t="s" s="12">
        <v>14</v>
      </c>
      <c r="M74" t="s" s="10">
        <v>14</v>
      </c>
      <c r="N74" t="s" s="11">
        <v>14</v>
      </c>
      <c r="O74" t="s" s="8">
        <v>14</v>
      </c>
      <c r="P74" t="s" s="8">
        <v>14</v>
      </c>
      <c r="Q74" t="s" s="12">
        <v>14</v>
      </c>
      <c r="R74" t="s" s="12">
        <v>14</v>
      </c>
    </row>
    <row r="75" s="2" customFormat="1" ht="13.5" customHeight="1">
      <c r="B75" s="13"/>
      <c r="C75" t="s" s="9">
        <v>16</v>
      </c>
      <c r="D75" t="s" s="8">
        <v>79</v>
      </c>
      <c r="E75" t="s" s="9">
        <v>79</v>
      </c>
      <c r="F75" t="s" s="10">
        <v>80</v>
      </c>
      <c r="G75" t="s" s="11">
        <v>80</v>
      </c>
      <c r="H75" t="s" s="10">
        <v>80</v>
      </c>
      <c r="I75" t="s" s="11">
        <v>80</v>
      </c>
      <c r="J75" t="s" s="11">
        <v>20</v>
      </c>
      <c r="K75" t="s" s="16">
        <f>HYPERLINK("http://csr.bu.edu/ftp/asl/asllvd/demos/verify_start_end_handshape_annotations//test_auto_move//signs_mov/33.mov","MOV")</f>
        <v>21</v>
      </c>
      <c r="L75" t="s" s="16">
        <f>HYPERLINK("http://csr.bu.edu/ftp/asl/asllvd/demos/verify_start_end_handshape_annotations//test_auto_move//signs_mov_separ_signers/Liz_33.mov","MOV")</f>
        <v>21</v>
      </c>
      <c r="M75" t="s" s="10">
        <v>22</v>
      </c>
      <c r="N75" s="17">
        <v>5</v>
      </c>
      <c r="O75" s="18">
        <v>1296</v>
      </c>
      <c r="P75" s="18">
        <v>1325</v>
      </c>
      <c r="Q75" t="s" s="16">
        <f>HYPERLINK("http://secrets.rutgers.edu:8080/data/asl-ftp/asllvd/demos/verify_start_end_handshape_annotations//test_auto_move//signs_mov/33.mov","MOV")</f>
        <v>21</v>
      </c>
      <c r="R75" t="s" s="16">
        <f>HYPERLINK("http://secrets.rutgers.edu:8080/data/asl-ftp/asllvd/demos/verify_start_end_handshape_annotations//test_auto_move//signs_mov_separ_signers/Liz_33.mov","MOV")</f>
        <v>21</v>
      </c>
    </row>
    <row r="76" s="2" customFormat="1" ht="13.5" customHeight="1">
      <c r="B76" t="s" s="8">
        <v>52</v>
      </c>
      <c r="C76" t="s" s="9">
        <v>53</v>
      </c>
      <c r="D76" t="s" s="8">
        <v>53</v>
      </c>
      <c r="E76" t="s" s="9">
        <v>53</v>
      </c>
      <c r="F76" t="s" s="10">
        <v>53</v>
      </c>
      <c r="G76" t="s" s="11">
        <v>53</v>
      </c>
      <c r="H76" t="s" s="10">
        <v>53</v>
      </c>
      <c r="I76" t="s" s="11">
        <v>53</v>
      </c>
      <c r="J76" t="s" s="11">
        <v>53</v>
      </c>
      <c r="K76" t="s" s="12">
        <v>53</v>
      </c>
      <c r="L76" t="s" s="12">
        <v>53</v>
      </c>
      <c r="M76" t="s" s="10">
        <v>53</v>
      </c>
      <c r="N76" t="s" s="11">
        <v>53</v>
      </c>
      <c r="O76" t="s" s="8">
        <v>53</v>
      </c>
      <c r="P76" t="s" s="8">
        <v>53</v>
      </c>
      <c r="Q76" t="s" s="12">
        <v>53</v>
      </c>
      <c r="R76" t="s" s="12">
        <v>53</v>
      </c>
    </row>
    <row r="77" s="2" customFormat="1" ht="13.5" customHeight="1">
      <c r="B77" s="13"/>
      <c r="C77" t="s" s="9">
        <v>27</v>
      </c>
      <c r="D77" t="s" s="8">
        <v>79</v>
      </c>
      <c r="E77" t="s" s="9">
        <v>81</v>
      </c>
      <c r="F77" t="s" s="10">
        <v>80</v>
      </c>
      <c r="G77" t="s" s="11">
        <v>80</v>
      </c>
      <c r="H77" t="s" s="10">
        <v>80</v>
      </c>
      <c r="I77" t="s" s="11">
        <v>80</v>
      </c>
      <c r="J77" t="s" s="11">
        <v>20</v>
      </c>
      <c r="K77" t="s" s="16">
        <f>HYPERLINK("http://csr.bu.edu/ftp/asl/asllvd/demos/verify_start_end_handshape_annotations//test_auto_move//signs_mov/3566.mov","MOV")</f>
        <v>21</v>
      </c>
      <c r="L77" t="s" s="16">
        <f>HYPERLINK("http://csr.bu.edu/ftp/asl/asllvd/demos/verify_start_end_handshape_annotations//test_auto_move//signs_mov_separ_signers/Naomi_3566.mov","MOV")</f>
        <v>21</v>
      </c>
      <c r="M77" t="s" s="10">
        <v>29</v>
      </c>
      <c r="N77" s="17">
        <v>4</v>
      </c>
      <c r="O77" s="18">
        <v>2288</v>
      </c>
      <c r="P77" s="18">
        <v>2317</v>
      </c>
      <c r="Q77" t="s" s="16">
        <f>HYPERLINK("http://secrets.rutgers.edu:8080/data/asl-ftp/asllvd/demos/verify_start_end_handshape_annotations//test_auto_move//signs_mov/3566.mov","MOV")</f>
        <v>21</v>
      </c>
      <c r="R77" t="s" s="16">
        <f>HYPERLINK("http://secrets.rutgers.edu:8080/data/asl-ftp/asllvd/demos/verify_start_end_handshape_annotations//test_auto_move//signs_mov_separ_signers/Naomi_3566.mov","MOV")</f>
        <v>21</v>
      </c>
    </row>
    <row r="78" s="2" customFormat="1" ht="13.5" customHeight="1">
      <c r="B78" t="s" s="8">
        <v>52</v>
      </c>
      <c r="C78" t="s" s="9">
        <v>53</v>
      </c>
      <c r="D78" t="s" s="8">
        <v>53</v>
      </c>
      <c r="E78" t="s" s="9">
        <v>53</v>
      </c>
      <c r="F78" t="s" s="10">
        <v>53</v>
      </c>
      <c r="G78" t="s" s="11">
        <v>53</v>
      </c>
      <c r="H78" t="s" s="10">
        <v>53</v>
      </c>
      <c r="I78" t="s" s="11">
        <v>53</v>
      </c>
      <c r="J78" t="s" s="11">
        <v>53</v>
      </c>
      <c r="K78" t="s" s="12">
        <v>53</v>
      </c>
      <c r="L78" t="s" s="12">
        <v>53</v>
      </c>
      <c r="M78" t="s" s="10">
        <v>53</v>
      </c>
      <c r="N78" t="s" s="11">
        <v>53</v>
      </c>
      <c r="O78" t="s" s="8">
        <v>53</v>
      </c>
      <c r="P78" t="s" s="8">
        <v>53</v>
      </c>
      <c r="Q78" t="s" s="12">
        <v>53</v>
      </c>
      <c r="R78" t="s" s="12">
        <v>53</v>
      </c>
    </row>
    <row r="79" s="2" customFormat="1" ht="13.5" customHeight="1">
      <c r="B79" s="13"/>
      <c r="C79" t="s" s="9">
        <v>23</v>
      </c>
      <c r="D79" t="s" s="8">
        <v>79</v>
      </c>
      <c r="E79" t="s" s="9">
        <v>82</v>
      </c>
      <c r="F79" t="s" s="10">
        <v>80</v>
      </c>
      <c r="G79" t="s" s="11">
        <v>80</v>
      </c>
      <c r="H79" t="s" s="10">
        <v>80</v>
      </c>
      <c r="I79" t="s" s="11">
        <v>80</v>
      </c>
      <c r="J79" t="s" s="11">
        <v>20</v>
      </c>
      <c r="K79" t="s" s="16">
        <f>HYPERLINK("http://csr.bu.edu/ftp/asl/asllvd/demos/verify_start_end_handshape_annotations//test_auto_move//signs_mov/15305_15313_merged.mov","MOV")</f>
        <v>21</v>
      </c>
      <c r="L79" t="s" s="16">
        <f>HYPERLINK("http://csr.bu.edu/ftp/asl/asllvd/demos/verify_start_end_handshape_annotations//test_auto_move//signs_mov_separ_signers/Tyler_15305.mov","MOV")</f>
        <v>21</v>
      </c>
      <c r="M79" t="s" s="10">
        <v>26</v>
      </c>
      <c r="N79" s="17">
        <v>4</v>
      </c>
      <c r="O79" s="18">
        <v>772</v>
      </c>
      <c r="P79" s="18">
        <v>810</v>
      </c>
      <c r="Q79" t="s" s="16">
        <f>HYPERLINK("http://secrets.rutgers.edu:8080/data/asl-ftp/asllvd/demos/verify_start_end_handshape_annotations//test_auto_move//signs_mov/15305_15313_merged.mov","MOV")</f>
        <v>21</v>
      </c>
      <c r="R79" t="s" s="16">
        <f>HYPERLINK("http://secrets.rutgers.edu:8080/data/asl-ftp/asllvd/demos/verify_start_end_handshape_annotations//test_auto_move//signs_mov_separ_signers/Tyler_15305.mov","MOV")</f>
        <v>21</v>
      </c>
    </row>
    <row r="80" s="2" customFormat="1" ht="13.5" customHeight="1">
      <c r="B80" s="13"/>
      <c r="C80" t="s" s="9">
        <v>23</v>
      </c>
      <c r="D80" t="s" s="8">
        <v>79</v>
      </c>
      <c r="E80" t="s" s="9">
        <v>82</v>
      </c>
      <c r="F80" t="s" s="10">
        <v>80</v>
      </c>
      <c r="G80" t="s" s="11">
        <v>80</v>
      </c>
      <c r="H80" t="s" s="10">
        <v>80</v>
      </c>
      <c r="I80" t="s" s="11">
        <v>80</v>
      </c>
      <c r="J80" t="s" s="11">
        <v>20</v>
      </c>
      <c r="K80" s="15"/>
      <c r="L80" t="s" s="16">
        <f>HYPERLINK("http://csr.bu.edu/ftp/asl/asllvd/demos/verify_start_end_handshape_annotations//test_auto_move//signs_mov_separ_signers/Tyler_15313.mov","MOV")</f>
        <v>21</v>
      </c>
      <c r="M80" t="s" s="10">
        <v>26</v>
      </c>
      <c r="N80" s="17">
        <v>4</v>
      </c>
      <c r="O80" s="18">
        <v>969</v>
      </c>
      <c r="P80" s="18">
        <v>1006</v>
      </c>
      <c r="Q80" s="15"/>
      <c r="R80" t="s" s="16">
        <f>HYPERLINK("http://secrets.rutgers.edu:8080/data/asl-ftp/asllvd/demos/verify_start_end_handshape_annotations//test_auto_move//signs_mov_separ_signers/Tyler_15313.mov","MOV")</f>
        <v>21</v>
      </c>
    </row>
    <row r="81" s="2" customFormat="1" ht="13.5" customHeight="1">
      <c r="B81" t="s" s="8">
        <v>83</v>
      </c>
      <c r="C81" t="s" s="9">
        <v>14</v>
      </c>
      <c r="D81" t="s" s="8">
        <v>14</v>
      </c>
      <c r="E81" t="s" s="9">
        <v>14</v>
      </c>
      <c r="F81" t="s" s="10">
        <v>14</v>
      </c>
      <c r="G81" t="s" s="11">
        <v>14</v>
      </c>
      <c r="H81" t="s" s="10">
        <v>14</v>
      </c>
      <c r="I81" t="s" s="11">
        <v>14</v>
      </c>
      <c r="J81" t="s" s="11">
        <v>14</v>
      </c>
      <c r="K81" t="s" s="12">
        <v>14</v>
      </c>
      <c r="L81" t="s" s="12">
        <v>14</v>
      </c>
      <c r="M81" t="s" s="10">
        <v>14</v>
      </c>
      <c r="N81" t="s" s="11">
        <v>14</v>
      </c>
      <c r="O81" t="s" s="8">
        <v>14</v>
      </c>
      <c r="P81" t="s" s="8">
        <v>14</v>
      </c>
      <c r="Q81" t="s" s="12">
        <v>14</v>
      </c>
      <c r="R81" t="s" s="12">
        <v>14</v>
      </c>
    </row>
    <row r="82" s="2" customFormat="1" ht="13.5" customHeight="1">
      <c r="B82" s="13"/>
      <c r="C82" t="s" s="9">
        <v>16</v>
      </c>
      <c r="D82" t="s" s="8">
        <v>83</v>
      </c>
      <c r="E82" t="s" s="9">
        <v>83</v>
      </c>
      <c r="F82" t="s" s="10">
        <v>80</v>
      </c>
      <c r="G82" t="s" s="11">
        <v>80</v>
      </c>
      <c r="H82" t="s" s="10">
        <v>80</v>
      </c>
      <c r="I82" t="s" s="11">
        <v>80</v>
      </c>
      <c r="J82" t="s" s="11">
        <v>20</v>
      </c>
      <c r="K82" s="15"/>
      <c r="L82" t="s" s="16">
        <f>HYPERLINK("http://csr.bu.edu/ftp/asl/asllvd/demos/verify_start_end_handshape_annotations//test_auto_move//signs_mov_separ_signers/Liz_15527.mov","MOV")</f>
        <v>21</v>
      </c>
      <c r="M82" t="s" s="10">
        <v>22</v>
      </c>
      <c r="N82" s="17">
        <v>5</v>
      </c>
      <c r="O82" s="18">
        <v>1000</v>
      </c>
      <c r="P82" s="18">
        <v>1031</v>
      </c>
      <c r="Q82" s="15"/>
      <c r="R82" t="s" s="16">
        <f>HYPERLINK("http://secrets.rutgers.edu:8080/data/asl-ftp/asllvd/demos/verify_start_end_handshape_annotations//test_auto_move//signs_mov_separ_signers/Liz_15527.mov","MOV")</f>
        <v>21</v>
      </c>
    </row>
    <row r="83" s="2" customFormat="1" ht="13.5" customHeight="1">
      <c r="B83" s="13"/>
      <c r="C83" t="s" s="9">
        <v>16</v>
      </c>
      <c r="D83" t="s" s="8">
        <v>83</v>
      </c>
      <c r="E83" t="s" s="9">
        <v>83</v>
      </c>
      <c r="F83" t="s" s="10">
        <v>80</v>
      </c>
      <c r="G83" t="s" s="11">
        <v>80</v>
      </c>
      <c r="H83" t="s" s="10">
        <v>80</v>
      </c>
      <c r="I83" t="s" s="11">
        <v>80</v>
      </c>
      <c r="J83" t="s" s="11">
        <v>20</v>
      </c>
      <c r="K83" t="s" s="16">
        <f>HYPERLINK("http://csr.bu.edu/ftp/asl/asllvd/demos/verify_start_end_handshape_annotations//test_auto_move//signs_mov/15527_15538_merged.mov","MOV")</f>
        <v>21</v>
      </c>
      <c r="L83" t="s" s="16">
        <f>HYPERLINK("http://csr.bu.edu/ftp/asl/asllvd/demos/verify_start_end_handshape_annotations//test_auto_move//signs_mov_separ_signers/Liz_15538.mov","MOV")</f>
        <v>21</v>
      </c>
      <c r="M83" t="s" s="10">
        <v>84</v>
      </c>
      <c r="N83" s="17">
        <v>35</v>
      </c>
      <c r="O83" s="18">
        <v>1580</v>
      </c>
      <c r="P83" s="18">
        <v>1615</v>
      </c>
      <c r="Q83" t="s" s="16">
        <f>HYPERLINK("http://secrets.rutgers.edu:8080/data/asl-ftp/asllvd/demos/verify_start_end_handshape_annotations//test_auto_move//signs_mov/15527_15538_merged.mov","MOV")</f>
        <v>21</v>
      </c>
      <c r="R83" t="s" s="16">
        <f>HYPERLINK("http://secrets.rutgers.edu:8080/data/asl-ftp/asllvd/demos/verify_start_end_handshape_annotations//test_auto_move//signs_mov_separ_signers/Liz_15538.mov","MOV")</f>
        <v>21</v>
      </c>
    </row>
    <row r="84" s="2" customFormat="1" ht="13.5" customHeight="1">
      <c r="B84" s="13"/>
      <c r="C84" t="s" s="9">
        <v>27</v>
      </c>
      <c r="D84" t="s" s="8">
        <v>83</v>
      </c>
      <c r="E84" t="s" s="9">
        <v>83</v>
      </c>
      <c r="F84" t="s" s="10">
        <v>85</v>
      </c>
      <c r="G84" t="s" s="11">
        <v>85</v>
      </c>
      <c r="H84" t="s" s="10">
        <v>85</v>
      </c>
      <c r="I84" t="s" s="11">
        <v>85</v>
      </c>
      <c r="J84" t="s" s="11">
        <v>20</v>
      </c>
      <c r="K84" s="15"/>
      <c r="L84" t="s" s="16">
        <f>HYPERLINK("http://csr.bu.edu/ftp/asl/asllvd/demos/verify_start_end_handshape_annotations//test_auto_move//signs_mov_separ_signers/Naomi_15527.mov","MOV")</f>
        <v>21</v>
      </c>
      <c r="M84" t="s" s="10">
        <v>86</v>
      </c>
      <c r="N84" s="17">
        <v>35</v>
      </c>
      <c r="O84" s="18">
        <v>1402</v>
      </c>
      <c r="P84" s="18">
        <v>1421</v>
      </c>
      <c r="Q84" s="15"/>
      <c r="R84" t="s" s="16">
        <f>HYPERLINK("http://secrets.rutgers.edu:8080/data/asl-ftp/asllvd/demos/verify_start_end_handshape_annotations//test_auto_move//signs_mov_separ_signers/Naomi_15527.mov","MOV")</f>
        <v>21</v>
      </c>
    </row>
    <row r="85" s="2" customFormat="1" ht="13.5" customHeight="1">
      <c r="B85" s="13"/>
      <c r="C85" t="s" s="9">
        <v>30</v>
      </c>
      <c r="D85" t="s" s="8">
        <v>83</v>
      </c>
      <c r="E85" t="s" s="9">
        <v>83</v>
      </c>
      <c r="F85" t="s" s="10">
        <v>85</v>
      </c>
      <c r="G85" t="s" s="11">
        <v>85</v>
      </c>
      <c r="H85" t="s" s="10">
        <v>85</v>
      </c>
      <c r="I85" t="s" s="11">
        <v>85</v>
      </c>
      <c r="J85" t="s" s="11">
        <v>20</v>
      </c>
      <c r="K85" s="15"/>
      <c r="L85" t="s" s="16">
        <f>HYPERLINK("http://csr.bu.edu/ftp/asl/asllvd/demos/verify_start_end_handshape_annotations//test_auto_move//signs_mov_separ_signers/Brady_15527.mov","MOV")</f>
        <v>21</v>
      </c>
      <c r="M85" t="s" s="10">
        <v>39</v>
      </c>
      <c r="N85" s="17">
        <v>14</v>
      </c>
      <c r="O85" s="18">
        <v>3085</v>
      </c>
      <c r="P85" s="18">
        <v>3105</v>
      </c>
      <c r="Q85" s="15"/>
      <c r="R85" t="s" s="16">
        <f>HYPERLINK("http://secrets.rutgers.edu:8080/data/asl-ftp/asllvd/demos/verify_start_end_handshape_annotations//test_auto_move//signs_mov_separ_signers/Brady_15527.mov","MOV")</f>
        <v>21</v>
      </c>
    </row>
    <row r="86" s="2" customFormat="1" ht="13.5" customHeight="1">
      <c r="B86" t="s" s="8">
        <v>87</v>
      </c>
      <c r="C86" t="s" s="9">
        <v>14</v>
      </c>
      <c r="D86" t="s" s="8">
        <v>14</v>
      </c>
      <c r="E86" t="s" s="9">
        <v>14</v>
      </c>
      <c r="F86" t="s" s="10">
        <v>14</v>
      </c>
      <c r="G86" t="s" s="11">
        <v>14</v>
      </c>
      <c r="H86" t="s" s="10">
        <v>14</v>
      </c>
      <c r="I86" t="s" s="11">
        <v>14</v>
      </c>
      <c r="J86" t="s" s="11">
        <v>14</v>
      </c>
      <c r="K86" t="s" s="12">
        <v>14</v>
      </c>
      <c r="L86" t="s" s="12">
        <v>14</v>
      </c>
      <c r="M86" t="s" s="10">
        <v>14</v>
      </c>
      <c r="N86" t="s" s="11">
        <v>14</v>
      </c>
      <c r="O86" t="s" s="8">
        <v>14</v>
      </c>
      <c r="P86" t="s" s="8">
        <v>14</v>
      </c>
      <c r="Q86" t="s" s="12">
        <v>14</v>
      </c>
      <c r="R86" t="s" s="12">
        <v>14</v>
      </c>
    </row>
    <row r="87" s="2" customFormat="1" ht="13.5" customHeight="1">
      <c r="B87" s="13"/>
      <c r="C87" t="s" s="9">
        <v>16</v>
      </c>
      <c r="D87" t="s" s="8">
        <v>87</v>
      </c>
      <c r="E87" t="s" s="9">
        <v>87</v>
      </c>
      <c r="F87" t="s" s="10">
        <v>80</v>
      </c>
      <c r="G87" t="s" s="11">
        <v>80</v>
      </c>
      <c r="H87" t="s" s="10">
        <v>80</v>
      </c>
      <c r="I87" t="s" s="11">
        <v>80</v>
      </c>
      <c r="J87" t="s" s="11">
        <v>20</v>
      </c>
      <c r="K87" t="s" s="16">
        <f>HYPERLINK("http://csr.bu.edu/ftp/asl/asllvd/demos/verify_start_end_handshape_annotations//test_auto_move//signs_mov/15571.mov","MOV")</f>
        <v>21</v>
      </c>
      <c r="L87" t="s" s="16">
        <f>HYPERLINK("http://csr.bu.edu/ftp/asl/asllvd/demos/verify_start_end_handshape_annotations//test_auto_move//signs_mov_separ_signers/Liz_15571.mov","MOV")</f>
        <v>21</v>
      </c>
      <c r="M87" t="s" s="10">
        <v>88</v>
      </c>
      <c r="N87" s="17">
        <v>50</v>
      </c>
      <c r="O87" s="18">
        <v>420</v>
      </c>
      <c r="P87" s="18">
        <v>450</v>
      </c>
      <c r="Q87" t="s" s="16">
        <f>HYPERLINK("http://secrets.rutgers.edu:8080/data/asl-ftp/asllvd/demos/verify_start_end_handshape_annotations//test_auto_move//signs_mov/15571.mov","MOV")</f>
        <v>21</v>
      </c>
      <c r="R87" t="s" s="16">
        <f>HYPERLINK("http://secrets.rutgers.edu:8080/data/asl-ftp/asllvd/demos/verify_start_end_handshape_annotations//test_auto_move//signs_mov_separ_signers/Liz_15571.mov","MOV")</f>
        <v>21</v>
      </c>
    </row>
    <row r="88" s="2" customFormat="1" ht="13.5" customHeight="1">
      <c r="B88" s="13"/>
      <c r="C88" t="s" s="9">
        <v>30</v>
      </c>
      <c r="D88" t="s" s="8">
        <v>87</v>
      </c>
      <c r="E88" t="s" s="9">
        <v>87</v>
      </c>
      <c r="F88" t="s" s="10">
        <v>80</v>
      </c>
      <c r="G88" t="s" s="11">
        <v>80</v>
      </c>
      <c r="H88" t="s" s="10">
        <v>80</v>
      </c>
      <c r="I88" t="s" s="11">
        <v>80</v>
      </c>
      <c r="J88" t="s" s="11">
        <v>20</v>
      </c>
      <c r="K88" s="15"/>
      <c r="L88" t="s" s="16">
        <f>HYPERLINK("http://csr.bu.edu/ftp/asl/asllvd/demos/verify_start_end_handshape_annotations//test_auto_move//signs_mov_separ_signers/Brady_15571.mov","MOV")</f>
        <v>21</v>
      </c>
      <c r="M88" t="s" s="10">
        <v>40</v>
      </c>
      <c r="N88" s="17">
        <v>44</v>
      </c>
      <c r="O88" s="18">
        <v>3575</v>
      </c>
      <c r="P88" s="18">
        <v>3594</v>
      </c>
      <c r="Q88" s="15"/>
      <c r="R88" t="s" s="16">
        <f>HYPERLINK("http://secrets.rutgers.edu:8080/data/asl-ftp/asllvd/demos/verify_start_end_handshape_annotations//test_auto_move//signs_mov_separ_signers/Brady_15571.mov","MOV")</f>
        <v>21</v>
      </c>
    </row>
    <row r="89" s="2" customFormat="1" ht="13.5" customHeight="1">
      <c r="B89" t="s" s="8">
        <v>89</v>
      </c>
      <c r="C89" t="s" s="9">
        <v>14</v>
      </c>
      <c r="D89" t="s" s="8">
        <v>14</v>
      </c>
      <c r="E89" t="s" s="9">
        <v>14</v>
      </c>
      <c r="F89" t="s" s="10">
        <v>14</v>
      </c>
      <c r="G89" t="s" s="11">
        <v>14</v>
      </c>
      <c r="H89" t="s" s="10">
        <v>14</v>
      </c>
      <c r="I89" t="s" s="11">
        <v>14</v>
      </c>
      <c r="J89" t="s" s="11">
        <v>14</v>
      </c>
      <c r="K89" t="s" s="12">
        <v>14</v>
      </c>
      <c r="L89" t="s" s="12">
        <v>14</v>
      </c>
      <c r="M89" t="s" s="10">
        <v>14</v>
      </c>
      <c r="N89" t="s" s="11">
        <v>14</v>
      </c>
      <c r="O89" t="s" s="8">
        <v>14</v>
      </c>
      <c r="P89" t="s" s="8">
        <v>14</v>
      </c>
      <c r="Q89" t="s" s="12">
        <v>14</v>
      </c>
      <c r="R89" t="s" s="12">
        <v>14</v>
      </c>
    </row>
    <row r="90" s="2" customFormat="1" ht="13.5" customHeight="1">
      <c r="B90" s="13"/>
      <c r="C90" t="s" s="9">
        <v>16</v>
      </c>
      <c r="D90" t="s" s="8">
        <v>89</v>
      </c>
      <c r="E90" t="s" s="9">
        <v>90</v>
      </c>
      <c r="F90" t="s" s="10">
        <v>80</v>
      </c>
      <c r="G90" s="14"/>
      <c r="H90" t="s" s="10">
        <v>80</v>
      </c>
      <c r="I90" s="14"/>
      <c r="J90" t="s" s="11">
        <v>20</v>
      </c>
      <c r="K90" s="15"/>
      <c r="L90" t="s" s="16">
        <f>HYPERLINK("http://csr.bu.edu/ftp/asl/asllvd/demos/verify_start_end_handshape_annotations//test_auto_move//signs_mov_separ_signers/Liz_15604.mov","MOV")</f>
        <v>21</v>
      </c>
      <c r="M90" t="s" s="10">
        <v>59</v>
      </c>
      <c r="N90" s="17">
        <v>4</v>
      </c>
      <c r="O90" s="18">
        <v>2781</v>
      </c>
      <c r="P90" s="18">
        <v>2801</v>
      </c>
      <c r="Q90" s="15"/>
      <c r="R90" t="s" s="16">
        <f>HYPERLINK("http://secrets.rutgers.edu:8080/data/asl-ftp/asllvd/demos/verify_start_end_handshape_annotations//test_auto_move//signs_mov_separ_signers/Liz_15604.mov","MOV")</f>
        <v>21</v>
      </c>
    </row>
    <row r="91" s="2" customFormat="1" ht="13.5" customHeight="1">
      <c r="B91" s="13"/>
      <c r="C91" t="s" s="9">
        <v>16</v>
      </c>
      <c r="D91" t="s" s="8">
        <v>89</v>
      </c>
      <c r="E91" t="s" s="9">
        <v>90</v>
      </c>
      <c r="F91" t="s" s="10">
        <v>80</v>
      </c>
      <c r="G91" s="14"/>
      <c r="H91" t="s" s="10">
        <v>80</v>
      </c>
      <c r="I91" s="14"/>
      <c r="J91" t="s" s="11">
        <v>20</v>
      </c>
      <c r="K91" t="s" s="16">
        <f>HYPERLINK("http://csr.bu.edu/ftp/asl/asllvd/demos/verify_start_end_handshape_annotations//test_auto_move//signs_mov/15604_15767_merged.mov","MOV")</f>
        <v>21</v>
      </c>
      <c r="L91" t="s" s="16">
        <f>HYPERLINK("http://csr.bu.edu/ftp/asl/asllvd/demos/verify_start_end_handshape_annotations//test_auto_move//signs_mov_separ_signers/Liz_15767.mov","MOV")</f>
        <v>21</v>
      </c>
      <c r="M91" t="s" s="10">
        <v>77</v>
      </c>
      <c r="N91" s="17">
        <v>1</v>
      </c>
      <c r="O91" s="18">
        <v>785</v>
      </c>
      <c r="P91" s="18">
        <v>830</v>
      </c>
      <c r="Q91" t="s" s="16">
        <f>HYPERLINK("http://secrets.rutgers.edu:8080/data/asl-ftp/asllvd/demos/verify_start_end_handshape_annotations//test_auto_move//signs_mov/15604_15767_merged.mov","MOV")</f>
        <v>21</v>
      </c>
      <c r="R91" t="s" s="16">
        <f>HYPERLINK("http://secrets.rutgers.edu:8080/data/asl-ftp/asllvd/demos/verify_start_end_handshape_annotations//test_auto_move//signs_mov_separ_signers/Liz_15767.mov","MOV")</f>
        <v>21</v>
      </c>
    </row>
    <row r="92" s="2" customFormat="1" ht="13.5" customHeight="1">
      <c r="B92" s="13"/>
      <c r="C92" t="s" s="9">
        <v>30</v>
      </c>
      <c r="D92" t="s" s="8">
        <v>89</v>
      </c>
      <c r="E92" t="s" s="9">
        <v>90</v>
      </c>
      <c r="F92" t="s" s="10">
        <v>80</v>
      </c>
      <c r="G92" s="14"/>
      <c r="H92" t="s" s="10">
        <v>80</v>
      </c>
      <c r="I92" s="14"/>
      <c r="J92" t="s" s="11">
        <v>20</v>
      </c>
      <c r="K92" s="15"/>
      <c r="L92" t="s" s="16">
        <f>HYPERLINK("http://csr.bu.edu/ftp/asl/asllvd/demos/verify_start_end_handshape_annotations//test_auto_move//signs_mov_separ_signers/Brady_15604.mov","MOV")</f>
        <v>21</v>
      </c>
      <c r="M92" t="s" s="10">
        <v>40</v>
      </c>
      <c r="N92" s="17">
        <v>109</v>
      </c>
      <c r="O92" s="18">
        <v>517</v>
      </c>
      <c r="P92" s="18">
        <v>535</v>
      </c>
      <c r="Q92" s="15"/>
      <c r="R92" t="s" s="16">
        <f>HYPERLINK("http://secrets.rutgers.edu:8080/data/asl-ftp/asllvd/demos/verify_start_end_handshape_annotations//test_auto_move//signs_mov_separ_signers/Brady_15604.mov","MOV")</f>
        <v>21</v>
      </c>
    </row>
    <row r="93" s="2" customFormat="1" ht="13.5" customHeight="1">
      <c r="B93" t="s" s="8">
        <v>52</v>
      </c>
      <c r="C93" t="s" s="9">
        <v>53</v>
      </c>
      <c r="D93" t="s" s="8">
        <v>53</v>
      </c>
      <c r="E93" t="s" s="9">
        <v>53</v>
      </c>
      <c r="F93" t="s" s="10">
        <v>53</v>
      </c>
      <c r="G93" t="s" s="11">
        <v>53</v>
      </c>
      <c r="H93" t="s" s="10">
        <v>53</v>
      </c>
      <c r="I93" t="s" s="11">
        <v>53</v>
      </c>
      <c r="J93" t="s" s="11">
        <v>53</v>
      </c>
      <c r="K93" t="s" s="12">
        <v>53</v>
      </c>
      <c r="L93" t="s" s="12">
        <v>53</v>
      </c>
      <c r="M93" t="s" s="10">
        <v>53</v>
      </c>
      <c r="N93" t="s" s="11">
        <v>53</v>
      </c>
      <c r="O93" t="s" s="8">
        <v>53</v>
      </c>
      <c r="P93" t="s" s="8">
        <v>53</v>
      </c>
      <c r="Q93" t="s" s="12">
        <v>53</v>
      </c>
      <c r="R93" t="s" s="12">
        <v>53</v>
      </c>
    </row>
    <row r="94" s="2" customFormat="1" ht="13.5" customHeight="1">
      <c r="B94" s="13"/>
      <c r="C94" t="s" s="9">
        <v>16</v>
      </c>
      <c r="D94" t="s" s="8">
        <v>89</v>
      </c>
      <c r="E94" t="s" s="9">
        <v>91</v>
      </c>
      <c r="F94" t="s" s="10">
        <v>80</v>
      </c>
      <c r="G94" t="s" s="11">
        <v>80</v>
      </c>
      <c r="H94" t="s" s="10">
        <v>80</v>
      </c>
      <c r="I94" t="s" s="11">
        <v>80</v>
      </c>
      <c r="J94" t="s" s="11">
        <v>20</v>
      </c>
      <c r="K94" t="s" s="16">
        <f>HYPERLINK("http://csr.bu.edu/ftp/asl/asllvd/demos/verify_start_end_handshape_annotations//test_auto_move//signs_mov/15768.mov","MOV")</f>
        <v>21</v>
      </c>
      <c r="L94" t="s" s="16">
        <f>HYPERLINK("http://csr.bu.edu/ftp/asl/asllvd/demos/verify_start_end_handshape_annotations//test_auto_move//signs_mov_separ_signers/Liz_15768.mov","MOV")</f>
        <v>21</v>
      </c>
      <c r="M94" t="s" s="10">
        <v>77</v>
      </c>
      <c r="N94" s="17">
        <v>1</v>
      </c>
      <c r="O94" s="18">
        <v>980</v>
      </c>
      <c r="P94" s="18">
        <v>1011</v>
      </c>
      <c r="Q94" t="s" s="16">
        <f>HYPERLINK("http://secrets.rutgers.edu:8080/data/asl-ftp/asllvd/demos/verify_start_end_handshape_annotations//test_auto_move//signs_mov/15768.mov","MOV")</f>
        <v>21</v>
      </c>
      <c r="R94" t="s" s="16">
        <f>HYPERLINK("http://secrets.rutgers.edu:8080/data/asl-ftp/asllvd/demos/verify_start_end_handshape_annotations//test_auto_move//signs_mov_separ_signers/Liz_15768.mov","MOV")</f>
        <v>21</v>
      </c>
    </row>
    <row r="95" s="2" customFormat="1" ht="13.5" customHeight="1">
      <c r="B95" t="s" s="8">
        <v>52</v>
      </c>
      <c r="C95" t="s" s="9">
        <v>53</v>
      </c>
      <c r="D95" t="s" s="8">
        <v>53</v>
      </c>
      <c r="E95" t="s" s="9">
        <v>53</v>
      </c>
      <c r="F95" t="s" s="10">
        <v>53</v>
      </c>
      <c r="G95" t="s" s="11">
        <v>53</v>
      </c>
      <c r="H95" t="s" s="10">
        <v>53</v>
      </c>
      <c r="I95" t="s" s="11">
        <v>53</v>
      </c>
      <c r="J95" t="s" s="11">
        <v>53</v>
      </c>
      <c r="K95" t="s" s="12">
        <v>53</v>
      </c>
      <c r="L95" t="s" s="12">
        <v>53</v>
      </c>
      <c r="M95" t="s" s="10">
        <v>53</v>
      </c>
      <c r="N95" t="s" s="11">
        <v>53</v>
      </c>
      <c r="O95" t="s" s="8">
        <v>53</v>
      </c>
      <c r="P95" t="s" s="8">
        <v>53</v>
      </c>
      <c r="Q95" t="s" s="12">
        <v>53</v>
      </c>
      <c r="R95" t="s" s="12">
        <v>53</v>
      </c>
    </row>
    <row r="96" s="2" customFormat="1" ht="13.5" customHeight="1">
      <c r="B96" s="13"/>
      <c r="C96" t="s" s="9">
        <v>16</v>
      </c>
      <c r="D96" t="s" s="8">
        <v>89</v>
      </c>
      <c r="E96" t="s" s="9">
        <v>89</v>
      </c>
      <c r="F96" t="s" s="10">
        <v>80</v>
      </c>
      <c r="G96" s="14"/>
      <c r="H96" t="s" s="10">
        <v>80</v>
      </c>
      <c r="I96" s="14"/>
      <c r="J96" t="s" s="11">
        <v>20</v>
      </c>
      <c r="K96" s="15"/>
      <c r="L96" t="s" s="16">
        <f>HYPERLINK("http://csr.bu.edu/ftp/asl/asllvd/demos/verify_start_end_handshape_annotations//test_auto_move//signs_mov_separ_signers/Liz_15769.mov","MOV")</f>
        <v>21</v>
      </c>
      <c r="M96" t="s" s="10">
        <v>34</v>
      </c>
      <c r="N96" s="17">
        <v>4</v>
      </c>
      <c r="O96" s="18">
        <v>1850</v>
      </c>
      <c r="P96" s="18">
        <v>1915</v>
      </c>
      <c r="Q96" s="15"/>
      <c r="R96" t="s" s="16">
        <f>HYPERLINK("http://secrets.rutgers.edu:8080/data/asl-ftp/asllvd/demos/verify_start_end_handshape_annotations//test_auto_move//signs_mov_separ_signers/Liz_15769.mov","MOV")</f>
        <v>21</v>
      </c>
    </row>
    <row r="97" s="2" customFormat="1" ht="13.5" customHeight="1">
      <c r="B97" s="13"/>
      <c r="C97" t="s" s="9">
        <v>23</v>
      </c>
      <c r="D97" t="s" s="8">
        <v>89</v>
      </c>
      <c r="E97" t="s" s="9">
        <v>89</v>
      </c>
      <c r="F97" t="s" s="10">
        <v>80</v>
      </c>
      <c r="G97" s="14"/>
      <c r="H97" t="s" s="10">
        <v>80</v>
      </c>
      <c r="I97" s="14"/>
      <c r="J97" t="s" s="11">
        <v>20</v>
      </c>
      <c r="K97" t="s" s="16">
        <f>HYPERLINK("http://csr.bu.edu/ftp/asl/asllvd/demos/verify_start_end_handshape_annotations//test_auto_move//signs_mov/15769.mov","MOV")</f>
        <v>21</v>
      </c>
      <c r="L97" t="s" s="16">
        <f>HYPERLINK("http://csr.bu.edu/ftp/asl/asllvd/demos/verify_start_end_handshape_annotations//test_auto_move//signs_mov_separ_signers/Tyler_15769.mov","MOV")</f>
        <v>21</v>
      </c>
      <c r="M97" t="s" s="10">
        <v>92</v>
      </c>
      <c r="N97" s="17">
        <v>36</v>
      </c>
      <c r="O97" s="18">
        <v>1260</v>
      </c>
      <c r="P97" s="18">
        <v>1305</v>
      </c>
      <c r="Q97" t="s" s="16">
        <f>HYPERLINK("http://secrets.rutgers.edu:8080/data/asl-ftp/asllvd/demos/verify_start_end_handshape_annotations//test_auto_move//signs_mov/15769.mov","MOV")</f>
        <v>21</v>
      </c>
      <c r="R97" t="s" s="16">
        <f>HYPERLINK("http://secrets.rutgers.edu:8080/data/asl-ftp/asllvd/demos/verify_start_end_handshape_annotations//test_auto_move//signs_mov_separ_signers/Tyler_15769.mov","MOV")</f>
        <v>21</v>
      </c>
    </row>
    <row r="98" s="2" customFormat="1" ht="13.5" customHeight="1">
      <c r="B98" s="13"/>
      <c r="C98" t="s" s="9">
        <v>27</v>
      </c>
      <c r="D98" t="s" s="8">
        <v>89</v>
      </c>
      <c r="E98" t="s" s="9">
        <v>89</v>
      </c>
      <c r="F98" t="s" s="10">
        <v>80</v>
      </c>
      <c r="G98" s="14"/>
      <c r="H98" t="s" s="10">
        <v>80</v>
      </c>
      <c r="I98" s="14"/>
      <c r="J98" t="s" s="11">
        <v>20</v>
      </c>
      <c r="K98" s="15"/>
      <c r="L98" t="s" s="16">
        <f>HYPERLINK("http://csr.bu.edu/ftp/asl/asllvd/demos/verify_start_end_handshape_annotations//test_auto_move//signs_mov_separ_signers/Naomi_15769.mov","MOV")</f>
        <v>21</v>
      </c>
      <c r="M98" t="s" s="10">
        <v>38</v>
      </c>
      <c r="N98" s="17">
        <v>4</v>
      </c>
      <c r="O98" s="18">
        <v>2690</v>
      </c>
      <c r="P98" s="18">
        <v>2720</v>
      </c>
      <c r="Q98" s="15"/>
      <c r="R98" t="s" s="16">
        <f>HYPERLINK("http://secrets.rutgers.edu:8080/data/asl-ftp/asllvd/demos/verify_start_end_handshape_annotations//test_auto_move//signs_mov_separ_signers/Naomi_15769.mov","MOV")</f>
        <v>21</v>
      </c>
    </row>
    <row r="99" s="2" customFormat="1" ht="13.5" customHeight="1">
      <c r="B99" s="13"/>
      <c r="C99" t="s" s="9">
        <v>30</v>
      </c>
      <c r="D99" t="s" s="8">
        <v>89</v>
      </c>
      <c r="E99" t="s" s="9">
        <v>89</v>
      </c>
      <c r="F99" t="s" s="10">
        <v>80</v>
      </c>
      <c r="G99" s="14"/>
      <c r="H99" t="s" s="10">
        <v>80</v>
      </c>
      <c r="I99" s="14"/>
      <c r="J99" t="s" s="11">
        <v>20</v>
      </c>
      <c r="K99" s="15"/>
      <c r="L99" t="s" s="16">
        <f>HYPERLINK("http://csr.bu.edu/ftp/asl/asllvd/demos/verify_start_end_handshape_annotations//test_auto_move//signs_mov_separ_signers/Brady_15769.mov","MOV")</f>
        <v>21</v>
      </c>
      <c r="M99" t="s" s="10">
        <v>39</v>
      </c>
      <c r="N99" s="17">
        <v>25</v>
      </c>
      <c r="O99" s="18">
        <v>5150</v>
      </c>
      <c r="P99" s="18">
        <v>5178</v>
      </c>
      <c r="Q99" s="15"/>
      <c r="R99" t="s" s="16">
        <f>HYPERLINK("http://secrets.rutgers.edu:8080/data/asl-ftp/asllvd/demos/verify_start_end_handshape_annotations//test_auto_move//signs_mov_separ_signers/Brady_15769.mov","MOV")</f>
        <v>21</v>
      </c>
    </row>
    <row r="100" s="2" customFormat="1" ht="13.5" customHeight="1">
      <c r="B100" t="s" s="8">
        <v>93</v>
      </c>
      <c r="C100" t="s" s="9">
        <v>14</v>
      </c>
      <c r="D100" t="s" s="8">
        <v>14</v>
      </c>
      <c r="E100" t="s" s="9">
        <v>14</v>
      </c>
      <c r="F100" t="s" s="10">
        <v>14</v>
      </c>
      <c r="G100" t="s" s="11">
        <v>14</v>
      </c>
      <c r="H100" t="s" s="10">
        <v>14</v>
      </c>
      <c r="I100" t="s" s="11">
        <v>14</v>
      </c>
      <c r="J100" t="s" s="11">
        <v>14</v>
      </c>
      <c r="K100" t="s" s="12">
        <v>14</v>
      </c>
      <c r="L100" t="s" s="12">
        <v>14</v>
      </c>
      <c r="M100" t="s" s="10">
        <v>14</v>
      </c>
      <c r="N100" t="s" s="11">
        <v>14</v>
      </c>
      <c r="O100" t="s" s="8">
        <v>14</v>
      </c>
      <c r="P100" t="s" s="8">
        <v>14</v>
      </c>
      <c r="Q100" t="s" s="12">
        <v>14</v>
      </c>
      <c r="R100" t="s" s="12">
        <v>14</v>
      </c>
    </row>
    <row r="101" s="2" customFormat="1" ht="13.5" customHeight="1">
      <c r="B101" s="13"/>
      <c r="C101" t="s" s="9">
        <v>16</v>
      </c>
      <c r="D101" t="s" s="8">
        <v>93</v>
      </c>
      <c r="E101" t="s" s="9">
        <v>94</v>
      </c>
      <c r="F101" t="s" s="10">
        <v>73</v>
      </c>
      <c r="G101" s="14"/>
      <c r="H101" t="s" s="10">
        <v>73</v>
      </c>
      <c r="I101" s="14"/>
      <c r="J101" t="s" s="11">
        <v>20</v>
      </c>
      <c r="K101" s="15"/>
      <c r="L101" t="s" s="16">
        <f>HYPERLINK("http://csr.bu.edu/ftp/asl/asllvd/demos/verify_start_end_handshape_annotations//test_auto_move//signs_mov_separ_signers/Liz_15770.mov","MOV")</f>
        <v>21</v>
      </c>
      <c r="M101" t="s" s="10">
        <v>22</v>
      </c>
      <c r="N101" s="17">
        <v>74</v>
      </c>
      <c r="O101" s="18">
        <v>1011</v>
      </c>
      <c r="P101" s="18">
        <v>1051</v>
      </c>
      <c r="Q101" s="15"/>
      <c r="R101" t="s" s="16">
        <f>HYPERLINK("http://secrets.rutgers.edu:8080/data/asl-ftp/asllvd/demos/verify_start_end_handshape_annotations//test_auto_move//signs_mov_separ_signers/Liz_15770.mov","MOV")</f>
        <v>21</v>
      </c>
    </row>
    <row r="102" s="2" customFormat="1" ht="13.5" customHeight="1">
      <c r="B102" s="13"/>
      <c r="C102" t="s" s="9">
        <v>27</v>
      </c>
      <c r="D102" t="s" s="8">
        <v>93</v>
      </c>
      <c r="E102" t="s" s="9">
        <v>94</v>
      </c>
      <c r="F102" t="s" s="10">
        <v>73</v>
      </c>
      <c r="G102" s="14"/>
      <c r="H102" t="s" s="10">
        <v>73</v>
      </c>
      <c r="I102" s="14"/>
      <c r="J102" t="s" s="11">
        <v>20</v>
      </c>
      <c r="K102" t="s" s="16">
        <f>HYPERLINK("http://csr.bu.edu/ftp/asl/asllvd/demos/verify_start_end_handshape_annotations//test_auto_move//signs_mov/15770.mov","MOV")</f>
        <v>21</v>
      </c>
      <c r="L102" t="s" s="16">
        <f>HYPERLINK("http://csr.bu.edu/ftp/asl/asllvd/demos/verify_start_end_handshape_annotations//test_auto_move//signs_mov_separ_signers/Naomi_15770.mov","MOV")</f>
        <v>21</v>
      </c>
      <c r="M102" t="s" s="10">
        <v>29</v>
      </c>
      <c r="N102" s="17">
        <v>47</v>
      </c>
      <c r="O102" s="18">
        <v>800</v>
      </c>
      <c r="P102" s="18">
        <v>830</v>
      </c>
      <c r="Q102" t="s" s="16">
        <f>HYPERLINK("http://secrets.rutgers.edu:8080/data/asl-ftp/asllvd/demos/verify_start_end_handshape_annotations//test_auto_move//signs_mov/15770.mov","MOV")</f>
        <v>21</v>
      </c>
      <c r="R102" t="s" s="16">
        <f>HYPERLINK("http://secrets.rutgers.edu:8080/data/asl-ftp/asllvd/demos/verify_start_end_handshape_annotations//test_auto_move//signs_mov_separ_signers/Naomi_15770.mov","MOV")</f>
        <v>21</v>
      </c>
    </row>
    <row r="103" s="2" customFormat="1" ht="13.5" customHeight="1">
      <c r="B103" s="13"/>
      <c r="C103" t="s" s="9">
        <v>30</v>
      </c>
      <c r="D103" t="s" s="8">
        <v>93</v>
      </c>
      <c r="E103" t="s" s="9">
        <v>94</v>
      </c>
      <c r="F103" t="s" s="10">
        <v>73</v>
      </c>
      <c r="G103" s="14"/>
      <c r="H103" t="s" s="10">
        <v>73</v>
      </c>
      <c r="I103" s="14"/>
      <c r="J103" t="s" s="11">
        <v>20</v>
      </c>
      <c r="K103" s="15"/>
      <c r="L103" t="s" s="16">
        <f>HYPERLINK("http://csr.bu.edu/ftp/asl/asllvd/demos/verify_start_end_handshape_annotations//test_auto_move//signs_mov_separ_signers/Brady_15770.mov","MOV")</f>
        <v>21</v>
      </c>
      <c r="M103" t="s" s="10">
        <v>31</v>
      </c>
      <c r="N103" s="17">
        <v>27</v>
      </c>
      <c r="O103" s="18">
        <v>6903</v>
      </c>
      <c r="P103" s="18">
        <v>6925</v>
      </c>
      <c r="Q103" s="15"/>
      <c r="R103" t="s" s="16">
        <f>HYPERLINK("http://secrets.rutgers.edu:8080/data/asl-ftp/asllvd/demos/verify_start_end_handshape_annotations//test_auto_move//signs_mov_separ_signers/Brady_15770.mov","MOV")</f>
        <v>21</v>
      </c>
    </row>
    <row r="104" s="2" customFormat="1" ht="13.5" customHeight="1">
      <c r="B104" t="s" s="8">
        <v>52</v>
      </c>
      <c r="C104" t="s" s="9">
        <v>53</v>
      </c>
      <c r="D104" t="s" s="8">
        <v>53</v>
      </c>
      <c r="E104" t="s" s="9">
        <v>53</v>
      </c>
      <c r="F104" t="s" s="10">
        <v>53</v>
      </c>
      <c r="G104" t="s" s="11">
        <v>53</v>
      </c>
      <c r="H104" t="s" s="10">
        <v>53</v>
      </c>
      <c r="I104" t="s" s="11">
        <v>53</v>
      </c>
      <c r="J104" t="s" s="11">
        <v>53</v>
      </c>
      <c r="K104" t="s" s="12">
        <v>53</v>
      </c>
      <c r="L104" t="s" s="12">
        <v>53</v>
      </c>
      <c r="M104" t="s" s="10">
        <v>53</v>
      </c>
      <c r="N104" t="s" s="11">
        <v>53</v>
      </c>
      <c r="O104" t="s" s="8">
        <v>53</v>
      </c>
      <c r="P104" t="s" s="8">
        <v>53</v>
      </c>
      <c r="Q104" t="s" s="12">
        <v>53</v>
      </c>
      <c r="R104" t="s" s="12">
        <v>53</v>
      </c>
    </row>
    <row r="105" s="2" customFormat="1" ht="13.5" customHeight="1">
      <c r="B105" s="13"/>
      <c r="C105" t="s" s="9">
        <v>23</v>
      </c>
      <c r="D105" t="s" s="8">
        <v>93</v>
      </c>
      <c r="E105" t="s" s="9">
        <v>95</v>
      </c>
      <c r="F105" t="s" s="10">
        <v>73</v>
      </c>
      <c r="G105" t="s" s="11">
        <v>73</v>
      </c>
      <c r="H105" t="s" s="10">
        <v>73</v>
      </c>
      <c r="I105" t="s" s="11">
        <v>73</v>
      </c>
      <c r="J105" t="s" s="11">
        <v>20</v>
      </c>
      <c r="K105" s="15"/>
      <c r="L105" t="s" s="16">
        <f>HYPERLINK("http://csr.bu.edu/ftp/asl/asllvd/demos/verify_start_end_handshape_annotations//test_auto_move//signs_mov_separ_signers/Tyler_15873.mov","MOV")</f>
        <v>21</v>
      </c>
      <c r="M105" t="s" s="10">
        <v>26</v>
      </c>
      <c r="N105" s="17">
        <v>45</v>
      </c>
      <c r="O105" s="18">
        <v>651</v>
      </c>
      <c r="P105" s="18">
        <v>682</v>
      </c>
      <c r="Q105" s="15"/>
      <c r="R105" t="s" s="16">
        <f>HYPERLINK("http://secrets.rutgers.edu:8080/data/asl-ftp/asllvd/demos/verify_start_end_handshape_annotations//test_auto_move//signs_mov_separ_signers/Tyler_15873.mov","MOV")</f>
        <v>21</v>
      </c>
    </row>
    <row r="106" s="2" customFormat="1" ht="13.5" customHeight="1">
      <c r="B106" s="13"/>
      <c r="C106" t="s" s="9">
        <v>23</v>
      </c>
      <c r="D106" t="s" s="8">
        <v>93</v>
      </c>
      <c r="E106" t="s" s="9">
        <v>95</v>
      </c>
      <c r="F106" t="s" s="10">
        <v>73</v>
      </c>
      <c r="G106" t="s" s="11">
        <v>73</v>
      </c>
      <c r="H106" t="s" s="10">
        <v>73</v>
      </c>
      <c r="I106" t="s" s="11">
        <v>73</v>
      </c>
      <c r="J106" t="s" s="11">
        <v>20</v>
      </c>
      <c r="K106" t="s" s="16">
        <f>HYPERLINK("http://csr.bu.edu/ftp/asl/asllvd/demos/verify_start_end_handshape_annotations//test_auto_move//signs_mov/15873_15993_merged.mov","MOV")</f>
        <v>21</v>
      </c>
      <c r="L106" t="s" s="16">
        <f>HYPERLINK("http://csr.bu.edu/ftp/asl/asllvd/demos/verify_start_end_handshape_annotations//test_auto_move//signs_mov_separ_signers/Tyler_15993.mov","MOV")</f>
        <v>21</v>
      </c>
      <c r="M106" t="s" s="10">
        <v>26</v>
      </c>
      <c r="N106" s="17">
        <v>45</v>
      </c>
      <c r="O106" s="18">
        <v>910</v>
      </c>
      <c r="P106" s="18">
        <v>941</v>
      </c>
      <c r="Q106" t="s" s="16">
        <f>HYPERLINK("http://secrets.rutgers.edu:8080/data/asl-ftp/asllvd/demos/verify_start_end_handshape_annotations//test_auto_move//signs_mov/15873_15993_merged.mov","MOV")</f>
        <v>21</v>
      </c>
      <c r="R106" t="s" s="16">
        <f>HYPERLINK("http://secrets.rutgers.edu:8080/data/asl-ftp/asllvd/demos/verify_start_end_handshape_annotations//test_auto_move//signs_mov_separ_signers/Tyler_15993.mov","MOV")</f>
        <v>21</v>
      </c>
    </row>
    <row r="107" s="2" customFormat="1" ht="13.5" customHeight="1">
      <c r="B107" s="13"/>
      <c r="C107" t="s" s="9">
        <v>27</v>
      </c>
      <c r="D107" t="s" s="8">
        <v>93</v>
      </c>
      <c r="E107" t="s" s="9">
        <v>96</v>
      </c>
      <c r="F107" t="s" s="10">
        <v>73</v>
      </c>
      <c r="G107" t="s" s="11">
        <v>73</v>
      </c>
      <c r="H107" t="s" s="10">
        <v>73</v>
      </c>
      <c r="I107" t="s" s="11">
        <v>73</v>
      </c>
      <c r="J107" t="s" s="11">
        <v>20</v>
      </c>
      <c r="K107" s="15"/>
      <c r="L107" t="s" s="16">
        <f>HYPERLINK("http://csr.bu.edu/ftp/asl/asllvd/demos/verify_start_end_handshape_annotations//test_auto_move//signs_mov_separ_signers/Naomi_15873.mov","MOV")</f>
        <v>21</v>
      </c>
      <c r="M107" t="s" s="10">
        <v>29</v>
      </c>
      <c r="N107" s="17">
        <v>47</v>
      </c>
      <c r="O107" s="18">
        <v>1035</v>
      </c>
      <c r="P107" s="18">
        <v>1060</v>
      </c>
      <c r="Q107" s="15"/>
      <c r="R107" t="s" s="16">
        <f>HYPERLINK("http://secrets.rutgers.edu:8080/data/asl-ftp/asllvd/demos/verify_start_end_handshape_annotations//test_auto_move//signs_mov_separ_signers/Naomi_15873.mov","MOV")</f>
        <v>21</v>
      </c>
    </row>
    <row r="108" s="2" customFormat="1" ht="13.5" customHeight="1">
      <c r="B108" t="s" s="8">
        <v>52</v>
      </c>
      <c r="C108" t="s" s="9">
        <v>53</v>
      </c>
      <c r="D108" t="s" s="8">
        <v>53</v>
      </c>
      <c r="E108" t="s" s="9">
        <v>53</v>
      </c>
      <c r="F108" t="s" s="10">
        <v>53</v>
      </c>
      <c r="G108" t="s" s="11">
        <v>53</v>
      </c>
      <c r="H108" t="s" s="10">
        <v>53</v>
      </c>
      <c r="I108" t="s" s="11">
        <v>53</v>
      </c>
      <c r="J108" t="s" s="11">
        <v>53</v>
      </c>
      <c r="K108" t="s" s="12">
        <v>53</v>
      </c>
      <c r="L108" t="s" s="12">
        <v>53</v>
      </c>
      <c r="M108" t="s" s="10">
        <v>53</v>
      </c>
      <c r="N108" t="s" s="11">
        <v>53</v>
      </c>
      <c r="O108" t="s" s="8">
        <v>53</v>
      </c>
      <c r="P108" t="s" s="8">
        <v>53</v>
      </c>
      <c r="Q108" t="s" s="12">
        <v>53</v>
      </c>
      <c r="R108" t="s" s="12">
        <v>53</v>
      </c>
    </row>
    <row r="109" s="2" customFormat="1" ht="13.5" customHeight="1">
      <c r="B109" s="13"/>
      <c r="C109" t="s" s="9">
        <v>16</v>
      </c>
      <c r="D109" t="s" s="8">
        <v>93</v>
      </c>
      <c r="E109" t="s" s="9">
        <v>97</v>
      </c>
      <c r="F109" t="s" s="10">
        <v>73</v>
      </c>
      <c r="G109" s="14"/>
      <c r="H109" t="s" s="10">
        <v>73</v>
      </c>
      <c r="I109" s="14"/>
      <c r="J109" t="s" s="11">
        <v>20</v>
      </c>
      <c r="K109" t="s" s="16">
        <f>HYPERLINK("http://csr.bu.edu/ftp/asl/asllvd/demos/verify_start_end_handshape_annotations//test_auto_move//signs_mov/16043.mov","MOV")</f>
        <v>21</v>
      </c>
      <c r="L109" t="s" s="16">
        <f>HYPERLINK("http://csr.bu.edu/ftp/asl/asllvd/demos/verify_start_end_handshape_annotations//test_auto_move//signs_mov_separ_signers/Liz_16043.mov","MOV")</f>
        <v>21</v>
      </c>
      <c r="M109" t="s" s="10">
        <v>22</v>
      </c>
      <c r="N109" s="17">
        <v>74</v>
      </c>
      <c r="O109" s="18">
        <v>1255</v>
      </c>
      <c r="P109" s="18">
        <v>1290</v>
      </c>
      <c r="Q109" t="s" s="16">
        <f>HYPERLINK("http://secrets.rutgers.edu:8080/data/asl-ftp/asllvd/demos/verify_start_end_handshape_annotations//test_auto_move//signs_mov/16043.mov","MOV")</f>
        <v>21</v>
      </c>
      <c r="R109" t="s" s="16">
        <f>HYPERLINK("http://secrets.rutgers.edu:8080/data/asl-ftp/asllvd/demos/verify_start_end_handshape_annotations//test_auto_move//signs_mov_separ_signers/Liz_16043.mov","MOV")</f>
        <v>21</v>
      </c>
    </row>
    <row r="110" s="2" customFormat="1" ht="13.5" customHeight="1">
      <c r="B110" s="13"/>
      <c r="C110" t="s" s="9">
        <v>30</v>
      </c>
      <c r="D110" t="s" s="8">
        <v>93</v>
      </c>
      <c r="E110" t="s" s="9">
        <v>98</v>
      </c>
      <c r="F110" t="s" s="10">
        <v>73</v>
      </c>
      <c r="G110" s="14"/>
      <c r="H110" t="s" s="10">
        <v>73</v>
      </c>
      <c r="I110" s="14"/>
      <c r="J110" t="s" s="11">
        <v>20</v>
      </c>
      <c r="K110" s="15"/>
      <c r="L110" t="s" s="16">
        <f>HYPERLINK("http://csr.bu.edu/ftp/asl/asllvd/demos/verify_start_end_handshape_annotations//test_auto_move//signs_mov_separ_signers/Brady_16043.mov","MOV")</f>
        <v>21</v>
      </c>
      <c r="M110" t="s" s="10">
        <v>31</v>
      </c>
      <c r="N110" s="17">
        <v>27</v>
      </c>
      <c r="O110" s="18">
        <v>7121</v>
      </c>
      <c r="P110" s="18">
        <v>7150</v>
      </c>
      <c r="Q110" s="15"/>
      <c r="R110" t="s" s="16">
        <f>HYPERLINK("http://secrets.rutgers.edu:8080/data/asl-ftp/asllvd/demos/verify_start_end_handshape_annotations//test_auto_move//signs_mov_separ_signers/Brady_16043.mov","MOV")</f>
        <v>21</v>
      </c>
    </row>
    <row r="111" s="2" customFormat="1" ht="13.5" customHeight="1">
      <c r="B111" t="s" s="8">
        <v>99</v>
      </c>
      <c r="C111" t="s" s="9">
        <v>14</v>
      </c>
      <c r="D111" t="s" s="8">
        <v>14</v>
      </c>
      <c r="E111" t="s" s="9">
        <v>14</v>
      </c>
      <c r="F111" t="s" s="10">
        <v>14</v>
      </c>
      <c r="G111" t="s" s="11">
        <v>14</v>
      </c>
      <c r="H111" t="s" s="10">
        <v>14</v>
      </c>
      <c r="I111" t="s" s="11">
        <v>14</v>
      </c>
      <c r="J111" t="s" s="11">
        <v>14</v>
      </c>
      <c r="K111" t="s" s="12">
        <v>14</v>
      </c>
      <c r="L111" t="s" s="12">
        <v>14</v>
      </c>
      <c r="M111" t="s" s="10">
        <v>14</v>
      </c>
      <c r="N111" t="s" s="11">
        <v>14</v>
      </c>
      <c r="O111" t="s" s="8">
        <v>14</v>
      </c>
      <c r="P111" t="s" s="8">
        <v>14</v>
      </c>
      <c r="Q111" t="s" s="12">
        <v>14</v>
      </c>
      <c r="R111" t="s" s="12">
        <v>14</v>
      </c>
    </row>
    <row r="112" s="2" customFormat="1" ht="13.5" customHeight="1">
      <c r="B112" s="13"/>
      <c r="C112" t="s" s="9">
        <v>16</v>
      </c>
      <c r="D112" t="s" s="8">
        <v>99</v>
      </c>
      <c r="E112" t="s" s="9">
        <v>99</v>
      </c>
      <c r="F112" t="s" s="10">
        <v>73</v>
      </c>
      <c r="G112" s="14"/>
      <c r="H112" t="s" s="10">
        <v>73</v>
      </c>
      <c r="I112" s="14"/>
      <c r="J112" t="s" s="11">
        <v>20</v>
      </c>
      <c r="K112" t="s" s="16">
        <f>HYPERLINK("http://csr.bu.edu/ftp/asl/asllvd/demos/verify_start_end_handshape_annotations//test_auto_move//signs_mov/16044.mov","MOV")</f>
        <v>21</v>
      </c>
      <c r="L112" t="s" s="16">
        <f>HYPERLINK("http://csr.bu.edu/ftp/asl/asllvd/demos/verify_start_end_handshape_annotations//test_auto_move//signs_mov_separ_signers/Liz_16044.mov","MOV")</f>
        <v>21</v>
      </c>
      <c r="M112" t="s" s="10">
        <v>36</v>
      </c>
      <c r="N112" s="17">
        <v>5</v>
      </c>
      <c r="O112" s="18">
        <v>2775</v>
      </c>
      <c r="P112" s="18">
        <v>2835</v>
      </c>
      <c r="Q112" t="s" s="16">
        <f>HYPERLINK("http://secrets.rutgers.edu:8080/data/asl-ftp/asllvd/demos/verify_start_end_handshape_annotations//test_auto_move//signs_mov/16044.mov","MOV")</f>
        <v>21</v>
      </c>
      <c r="R112" t="s" s="16">
        <f>HYPERLINK("http://secrets.rutgers.edu:8080/data/asl-ftp/asllvd/demos/verify_start_end_handshape_annotations//test_auto_move//signs_mov_separ_signers/Liz_16044.mov","MOV")</f>
        <v>21</v>
      </c>
    </row>
    <row r="113" s="2" customFormat="1" ht="13.5" customHeight="1">
      <c r="B113" s="13"/>
      <c r="C113" t="s" s="9">
        <v>30</v>
      </c>
      <c r="D113" t="s" s="8">
        <v>99</v>
      </c>
      <c r="E113" t="s" s="9">
        <v>99</v>
      </c>
      <c r="F113" t="s" s="10">
        <v>85</v>
      </c>
      <c r="G113" s="14"/>
      <c r="H113" t="s" s="10">
        <v>85</v>
      </c>
      <c r="I113" s="14"/>
      <c r="J113" t="s" s="11">
        <v>20</v>
      </c>
      <c r="K113" s="15"/>
      <c r="L113" t="s" s="16">
        <f>HYPERLINK("http://csr.bu.edu/ftp/asl/asllvd/demos/verify_start_end_handshape_annotations//test_auto_move//signs_mov_separ_signers/Brady_16044.mov","MOV")</f>
        <v>21</v>
      </c>
      <c r="M113" t="s" s="10">
        <v>40</v>
      </c>
      <c r="N113" s="17">
        <v>50</v>
      </c>
      <c r="O113" s="18">
        <v>1802</v>
      </c>
      <c r="P113" s="18">
        <v>1831</v>
      </c>
      <c r="Q113" s="15"/>
      <c r="R113" t="s" s="16">
        <f>HYPERLINK("http://secrets.rutgers.edu:8080/data/asl-ftp/asllvd/demos/verify_start_end_handshape_annotations//test_auto_move//signs_mov_separ_signers/Brady_16044.mov","MOV")</f>
        <v>21</v>
      </c>
    </row>
    <row r="114" s="2" customFormat="1" ht="13.5" customHeight="1">
      <c r="B114" t="s" s="8">
        <v>100</v>
      </c>
      <c r="C114" t="s" s="9">
        <v>14</v>
      </c>
      <c r="D114" t="s" s="8">
        <v>14</v>
      </c>
      <c r="E114" t="s" s="9">
        <v>14</v>
      </c>
      <c r="F114" t="s" s="10">
        <v>14</v>
      </c>
      <c r="G114" t="s" s="11">
        <v>14</v>
      </c>
      <c r="H114" t="s" s="10">
        <v>14</v>
      </c>
      <c r="I114" t="s" s="11">
        <v>14</v>
      </c>
      <c r="J114" t="s" s="11">
        <v>14</v>
      </c>
      <c r="K114" t="s" s="12">
        <v>14</v>
      </c>
      <c r="L114" t="s" s="12">
        <v>14</v>
      </c>
      <c r="M114" t="s" s="10">
        <v>14</v>
      </c>
      <c r="N114" t="s" s="11">
        <v>14</v>
      </c>
      <c r="O114" t="s" s="8">
        <v>14</v>
      </c>
      <c r="P114" t="s" s="8">
        <v>14</v>
      </c>
      <c r="Q114" t="s" s="12">
        <v>14</v>
      </c>
      <c r="R114" t="s" s="12">
        <v>14</v>
      </c>
    </row>
    <row r="115" s="2" customFormat="1" ht="13.5" customHeight="1">
      <c r="B115" s="13"/>
      <c r="C115" t="s" s="9">
        <v>16</v>
      </c>
      <c r="D115" t="s" s="8">
        <v>100</v>
      </c>
      <c r="E115" t="s" s="9">
        <v>100</v>
      </c>
      <c r="F115" t="s" s="10">
        <v>73</v>
      </c>
      <c r="G115" t="s" s="11">
        <v>73</v>
      </c>
      <c r="H115" t="s" s="10">
        <v>73</v>
      </c>
      <c r="I115" t="s" s="11">
        <v>73</v>
      </c>
      <c r="J115" t="s" s="11">
        <v>20</v>
      </c>
      <c r="K115" t="s" s="16">
        <f>HYPERLINK("http://csr.bu.edu/ftp/asl/asllvd/demos/verify_start_end_handshape_annotations//test_auto_move//signs_mov/16085.mov","MOV")</f>
        <v>21</v>
      </c>
      <c r="L115" t="s" s="16">
        <f>HYPERLINK("http://csr.bu.edu/ftp/asl/asllvd/demos/verify_start_end_handshape_annotations//test_auto_move//signs_mov_separ_signers/Liz_16085.mov","MOV")</f>
        <v>21</v>
      </c>
      <c r="M115" t="s" s="10">
        <v>88</v>
      </c>
      <c r="N115" s="17">
        <v>5</v>
      </c>
      <c r="O115" s="18">
        <v>2655</v>
      </c>
      <c r="P115" s="18">
        <v>2710</v>
      </c>
      <c r="Q115" t="s" s="16">
        <f>HYPERLINK("http://secrets.rutgers.edu:8080/data/asl-ftp/asllvd/demos/verify_start_end_handshape_annotations//test_auto_move//signs_mov/16085.mov","MOV")</f>
        <v>21</v>
      </c>
      <c r="R115" t="s" s="16">
        <f>HYPERLINK("http://secrets.rutgers.edu:8080/data/asl-ftp/asllvd/demos/verify_start_end_handshape_annotations//test_auto_move//signs_mov_separ_signers/Liz_16085.mov","MOV")</f>
        <v>21</v>
      </c>
    </row>
    <row r="116" s="2" customFormat="1" ht="13.5" customHeight="1">
      <c r="B116" s="13"/>
      <c r="C116" t="s" s="9">
        <v>23</v>
      </c>
      <c r="D116" t="s" s="8">
        <v>100</v>
      </c>
      <c r="E116" t="s" s="9">
        <v>101</v>
      </c>
      <c r="F116" t="s" s="10">
        <v>73</v>
      </c>
      <c r="G116" t="s" s="11">
        <v>73</v>
      </c>
      <c r="H116" t="s" s="10">
        <v>73</v>
      </c>
      <c r="I116" t="s" s="11">
        <v>73</v>
      </c>
      <c r="J116" t="s" s="11">
        <v>20</v>
      </c>
      <c r="K116" s="15"/>
      <c r="L116" t="s" s="16">
        <f>HYPERLINK("http://csr.bu.edu/ftp/asl/asllvd/demos/verify_start_end_handshape_annotations//test_auto_move//signs_mov_separ_signers/Tyler_16085.mov","MOV")</f>
        <v>21</v>
      </c>
      <c r="M116" t="s" s="10">
        <v>47</v>
      </c>
      <c r="N116" s="17">
        <v>15</v>
      </c>
      <c r="O116" s="18">
        <v>1820</v>
      </c>
      <c r="P116" s="18">
        <v>1860</v>
      </c>
      <c r="Q116" s="15"/>
      <c r="R116" t="s" s="16">
        <f>HYPERLINK("http://secrets.rutgers.edu:8080/data/asl-ftp/asllvd/demos/verify_start_end_handshape_annotations//test_auto_move//signs_mov_separ_signers/Tyler_16085.mov","MOV")</f>
        <v>21</v>
      </c>
    </row>
    <row r="117" s="2" customFormat="1" ht="13.5" customHeight="1">
      <c r="B117" t="s" s="8">
        <v>102</v>
      </c>
      <c r="C117" t="s" s="9">
        <v>14</v>
      </c>
      <c r="D117" t="s" s="8">
        <v>14</v>
      </c>
      <c r="E117" t="s" s="9">
        <v>14</v>
      </c>
      <c r="F117" t="s" s="10">
        <v>14</v>
      </c>
      <c r="G117" t="s" s="11">
        <v>14</v>
      </c>
      <c r="H117" t="s" s="10">
        <v>14</v>
      </c>
      <c r="I117" t="s" s="11">
        <v>14</v>
      </c>
      <c r="J117" t="s" s="11">
        <v>14</v>
      </c>
      <c r="K117" t="s" s="12">
        <v>14</v>
      </c>
      <c r="L117" t="s" s="12">
        <v>14</v>
      </c>
      <c r="M117" t="s" s="10">
        <v>14</v>
      </c>
      <c r="N117" t="s" s="11">
        <v>14</v>
      </c>
      <c r="O117" t="s" s="8">
        <v>14</v>
      </c>
      <c r="P117" t="s" s="8">
        <v>14</v>
      </c>
      <c r="Q117" t="s" s="12">
        <v>14</v>
      </c>
      <c r="R117" t="s" s="12">
        <v>14</v>
      </c>
    </row>
    <row r="118" s="2" customFormat="1" ht="13.5" customHeight="1">
      <c r="B118" s="13"/>
      <c r="C118" t="s" s="9">
        <v>27</v>
      </c>
      <c r="D118" t="s" s="8">
        <v>102</v>
      </c>
      <c r="E118" t="s" s="9">
        <v>102</v>
      </c>
      <c r="F118" t="s" s="10">
        <v>80</v>
      </c>
      <c r="G118" t="s" s="11">
        <v>80</v>
      </c>
      <c r="H118" t="s" s="10">
        <v>80</v>
      </c>
      <c r="I118" t="s" s="11">
        <v>80</v>
      </c>
      <c r="J118" t="s" s="11">
        <v>20</v>
      </c>
      <c r="K118" t="s" s="16">
        <f>HYPERLINK("http://csr.bu.edu/ftp/asl/asllvd/demos/verify_start_end_handshape_annotations//test_auto_move//signs_mov/16093.mov","MOV")</f>
        <v>21</v>
      </c>
      <c r="L118" t="s" s="16">
        <f>HYPERLINK("http://csr.bu.edu/ftp/asl/asllvd/demos/verify_start_end_handshape_annotations//test_auto_move//signs_mov_separ_signers/Naomi_16093.mov","MOV")</f>
        <v>21</v>
      </c>
      <c r="M118" t="s" s="10">
        <v>29</v>
      </c>
      <c r="N118" s="17">
        <v>4</v>
      </c>
      <c r="O118" s="18">
        <v>2657</v>
      </c>
      <c r="P118" s="18">
        <v>2675</v>
      </c>
      <c r="Q118" t="s" s="16">
        <f>HYPERLINK("http://secrets.rutgers.edu:8080/data/asl-ftp/asllvd/demos/verify_start_end_handshape_annotations//test_auto_move//signs_mov/16093.mov","MOV")</f>
        <v>21</v>
      </c>
      <c r="R118" t="s" s="16">
        <f>HYPERLINK("http://secrets.rutgers.edu:8080/data/asl-ftp/asllvd/demos/verify_start_end_handshape_annotations//test_auto_move//signs_mov_separ_signers/Naomi_16093.mov","MOV")</f>
        <v>21</v>
      </c>
    </row>
    <row r="119" s="2" customFormat="1" ht="13.5" customHeight="1">
      <c r="B119" t="s" s="8">
        <v>103</v>
      </c>
      <c r="C119" t="s" s="9">
        <v>14</v>
      </c>
      <c r="D119" t="s" s="8">
        <v>14</v>
      </c>
      <c r="E119" t="s" s="9">
        <v>14</v>
      </c>
      <c r="F119" t="s" s="10">
        <v>14</v>
      </c>
      <c r="G119" t="s" s="11">
        <v>14</v>
      </c>
      <c r="H119" t="s" s="10">
        <v>14</v>
      </c>
      <c r="I119" t="s" s="11">
        <v>14</v>
      </c>
      <c r="J119" t="s" s="11">
        <v>14</v>
      </c>
      <c r="K119" t="s" s="12">
        <v>14</v>
      </c>
      <c r="L119" t="s" s="12">
        <v>14</v>
      </c>
      <c r="M119" t="s" s="10">
        <v>14</v>
      </c>
      <c r="N119" t="s" s="11">
        <v>14</v>
      </c>
      <c r="O119" t="s" s="8">
        <v>14</v>
      </c>
      <c r="P119" t="s" s="8">
        <v>14</v>
      </c>
      <c r="Q119" t="s" s="12">
        <v>14</v>
      </c>
      <c r="R119" t="s" s="12">
        <v>14</v>
      </c>
    </row>
    <row r="120" s="2" customFormat="1" ht="13.5" customHeight="1">
      <c r="B120" s="13"/>
      <c r="C120" t="s" s="9">
        <v>16</v>
      </c>
      <c r="D120" t="s" s="8">
        <v>103</v>
      </c>
      <c r="E120" t="s" s="9">
        <v>103</v>
      </c>
      <c r="F120" t="s" s="10">
        <v>85</v>
      </c>
      <c r="G120" t="s" s="11">
        <v>85</v>
      </c>
      <c r="H120" t="s" s="10">
        <v>85</v>
      </c>
      <c r="I120" t="s" s="11">
        <v>85</v>
      </c>
      <c r="J120" t="s" s="11">
        <v>20</v>
      </c>
      <c r="K120" s="15"/>
      <c r="L120" t="s" s="16">
        <f>HYPERLINK("http://csr.bu.edu/ftp/asl/asllvd/demos/verify_start_end_handshape_annotations//test_auto_move//signs_mov_separ_signers/Liz_16094.mov","MOV")</f>
        <v>21</v>
      </c>
      <c r="M120" t="s" s="10">
        <v>22</v>
      </c>
      <c r="N120" s="17">
        <v>40</v>
      </c>
      <c r="O120" s="18">
        <v>495</v>
      </c>
      <c r="P120" s="18">
        <v>520</v>
      </c>
      <c r="Q120" s="15"/>
      <c r="R120" t="s" s="16">
        <f>HYPERLINK("http://secrets.rutgers.edu:8080/data/asl-ftp/asllvd/demos/verify_start_end_handshape_annotations//test_auto_move//signs_mov_separ_signers/Liz_16094.mov","MOV")</f>
        <v>21</v>
      </c>
    </row>
    <row r="121" s="2" customFormat="1" ht="13.5" customHeight="1">
      <c r="B121" s="13"/>
      <c r="C121" t="s" s="9">
        <v>23</v>
      </c>
      <c r="D121" t="s" s="8">
        <v>103</v>
      </c>
      <c r="E121" t="s" s="9">
        <v>103</v>
      </c>
      <c r="F121" t="s" s="10">
        <v>80</v>
      </c>
      <c r="G121" t="s" s="11">
        <v>80</v>
      </c>
      <c r="H121" t="s" s="10">
        <v>73</v>
      </c>
      <c r="I121" t="s" s="11">
        <v>80</v>
      </c>
      <c r="J121" t="s" s="11">
        <v>20</v>
      </c>
      <c r="K121" s="15"/>
      <c r="L121" t="s" s="16">
        <f>HYPERLINK("http://csr.bu.edu/ftp/asl/asllvd/demos/verify_start_end_handshape_annotations//test_auto_move//signs_mov_separ_signers/Tyler_16094.mov","MOV")</f>
        <v>21</v>
      </c>
      <c r="M121" t="s" s="10">
        <v>26</v>
      </c>
      <c r="N121" s="17">
        <v>25</v>
      </c>
      <c r="O121" s="18">
        <v>3850</v>
      </c>
      <c r="P121" s="18">
        <v>3876</v>
      </c>
      <c r="Q121" s="15"/>
      <c r="R121" t="s" s="16">
        <f>HYPERLINK("http://secrets.rutgers.edu:8080/data/asl-ftp/asllvd/demos/verify_start_end_handshape_annotations//test_auto_move//signs_mov_separ_signers/Tyler_16094.mov","MOV")</f>
        <v>21</v>
      </c>
    </row>
    <row r="122" s="2" customFormat="1" ht="13.5" customHeight="1">
      <c r="B122" s="13"/>
      <c r="C122" t="s" s="9">
        <v>27</v>
      </c>
      <c r="D122" t="s" s="8">
        <v>103</v>
      </c>
      <c r="E122" t="s" s="9">
        <v>103</v>
      </c>
      <c r="F122" t="s" s="10">
        <v>80</v>
      </c>
      <c r="G122" t="s" s="11">
        <v>80</v>
      </c>
      <c r="H122" t="s" s="10">
        <v>80</v>
      </c>
      <c r="I122" t="s" s="11">
        <v>80</v>
      </c>
      <c r="J122" t="s" s="11">
        <v>20</v>
      </c>
      <c r="K122" t="s" s="16">
        <f>HYPERLINK("http://csr.bu.edu/ftp/asl/asllvd/demos/verify_start_end_handshape_annotations//test_auto_move//signs_mov/16094_16095_merged.mov","MOV")</f>
        <v>21</v>
      </c>
      <c r="L122" t="s" s="16">
        <f>HYPERLINK("http://csr.bu.edu/ftp/asl/asllvd/demos/verify_start_end_handshape_annotations//test_auto_move//signs_mov_separ_signers/Naomi_16094.mov","MOV")</f>
        <v>21</v>
      </c>
      <c r="M122" t="s" s="10">
        <v>29</v>
      </c>
      <c r="N122" s="17">
        <v>26</v>
      </c>
      <c r="O122" s="18">
        <v>3140</v>
      </c>
      <c r="P122" s="18">
        <v>3165</v>
      </c>
      <c r="Q122" t="s" s="16">
        <f>HYPERLINK("http://secrets.rutgers.edu:8080/data/asl-ftp/asllvd/demos/verify_start_end_handshape_annotations//test_auto_move//signs_mov/16094_16095_merged.mov","MOV")</f>
        <v>21</v>
      </c>
      <c r="R122" t="s" s="16">
        <f>HYPERLINK("http://secrets.rutgers.edu:8080/data/asl-ftp/asllvd/demos/verify_start_end_handshape_annotations//test_auto_move//signs_mov_separ_signers/Naomi_16094.mov","MOV")</f>
        <v>21</v>
      </c>
    </row>
    <row r="123" s="2" customFormat="1" ht="13.5" customHeight="1">
      <c r="B123" s="13"/>
      <c r="C123" t="s" s="9">
        <v>27</v>
      </c>
      <c r="D123" t="s" s="8">
        <v>103</v>
      </c>
      <c r="E123" t="s" s="9">
        <v>103</v>
      </c>
      <c r="F123" t="s" s="10">
        <v>80</v>
      </c>
      <c r="G123" t="s" s="11">
        <v>80</v>
      </c>
      <c r="H123" t="s" s="10">
        <v>73</v>
      </c>
      <c r="I123" t="s" s="11">
        <v>80</v>
      </c>
      <c r="J123" t="s" s="11">
        <v>20</v>
      </c>
      <c r="K123" s="15"/>
      <c r="L123" t="s" s="16">
        <f>HYPERLINK("http://csr.bu.edu/ftp/asl/asllvd/demos/verify_start_end_handshape_annotations//test_auto_move//signs_mov_separ_signers/Naomi_16095.mov","MOV")</f>
        <v>21</v>
      </c>
      <c r="M123" t="s" s="10">
        <v>29</v>
      </c>
      <c r="N123" s="17">
        <v>26</v>
      </c>
      <c r="O123" s="18">
        <v>3380</v>
      </c>
      <c r="P123" s="18">
        <v>3400</v>
      </c>
      <c r="Q123" s="15"/>
      <c r="R123" t="s" s="16">
        <f>HYPERLINK("http://secrets.rutgers.edu:8080/data/asl-ftp/asllvd/demos/verify_start_end_handshape_annotations//test_auto_move//signs_mov_separ_signers/Naomi_16095.mov","MOV")</f>
        <v>21</v>
      </c>
    </row>
    <row r="124" s="2" customFormat="1" ht="13.5" customHeight="1">
      <c r="B124" s="13"/>
      <c r="C124" t="s" s="9">
        <v>30</v>
      </c>
      <c r="D124" t="s" s="8">
        <v>103</v>
      </c>
      <c r="E124" t="s" s="9">
        <v>103</v>
      </c>
      <c r="F124" t="s" s="10">
        <v>80</v>
      </c>
      <c r="G124" t="s" s="11">
        <v>80</v>
      </c>
      <c r="H124" t="s" s="10">
        <v>80</v>
      </c>
      <c r="I124" t="s" s="11">
        <v>80</v>
      </c>
      <c r="J124" t="s" s="11">
        <v>20</v>
      </c>
      <c r="K124" s="15"/>
      <c r="L124" t="s" s="16">
        <f>HYPERLINK("http://csr.bu.edu/ftp/asl/asllvd/demos/verify_start_end_handshape_annotations//test_auto_move//signs_mov_separ_signers/Brady_16094.mov","MOV")</f>
        <v>21</v>
      </c>
      <c r="M124" t="s" s="10">
        <v>31</v>
      </c>
      <c r="N124" s="17">
        <v>19</v>
      </c>
      <c r="O124" s="18">
        <v>5325</v>
      </c>
      <c r="P124" s="18">
        <v>5353</v>
      </c>
      <c r="Q124" s="15"/>
      <c r="R124" t="s" s="16">
        <f>HYPERLINK("http://secrets.rutgers.edu:8080/data/asl-ftp/asllvd/demos/verify_start_end_handshape_annotations//test_auto_move//signs_mov_separ_signers/Brady_16094.mov","MOV")</f>
        <v>21</v>
      </c>
    </row>
    <row r="125" s="2" customFormat="1" ht="13.5" customHeight="1">
      <c r="B125" t="s" s="8">
        <v>104</v>
      </c>
      <c r="C125" t="s" s="9">
        <v>14</v>
      </c>
      <c r="D125" t="s" s="8">
        <v>14</v>
      </c>
      <c r="E125" t="s" s="9">
        <v>14</v>
      </c>
      <c r="F125" t="s" s="10">
        <v>14</v>
      </c>
      <c r="G125" t="s" s="11">
        <v>14</v>
      </c>
      <c r="H125" t="s" s="10">
        <v>14</v>
      </c>
      <c r="I125" t="s" s="11">
        <v>14</v>
      </c>
      <c r="J125" t="s" s="11">
        <v>14</v>
      </c>
      <c r="K125" t="s" s="12">
        <v>14</v>
      </c>
      <c r="L125" t="s" s="12">
        <v>14</v>
      </c>
      <c r="M125" t="s" s="10">
        <v>14</v>
      </c>
      <c r="N125" t="s" s="11">
        <v>14</v>
      </c>
      <c r="O125" t="s" s="8">
        <v>14</v>
      </c>
      <c r="P125" t="s" s="8">
        <v>14</v>
      </c>
      <c r="Q125" t="s" s="12">
        <v>14</v>
      </c>
      <c r="R125" t="s" s="12">
        <v>14</v>
      </c>
    </row>
    <row r="126" s="2" customFormat="1" ht="13.5" customHeight="1">
      <c r="B126" s="13"/>
      <c r="C126" t="s" s="9">
        <v>16</v>
      </c>
      <c r="D126" t="s" s="8">
        <v>104</v>
      </c>
      <c r="E126" t="s" s="9">
        <v>104</v>
      </c>
      <c r="F126" t="s" s="10">
        <v>55</v>
      </c>
      <c r="G126" t="s" s="11">
        <v>55</v>
      </c>
      <c r="H126" t="s" s="10">
        <v>55</v>
      </c>
      <c r="I126" t="s" s="11">
        <v>105</v>
      </c>
      <c r="J126" t="s" s="11">
        <v>20</v>
      </c>
      <c r="K126" t="s" s="16">
        <f>HYPERLINK("http://csr.bu.edu/ftp/asl/asllvd/demos/verify_start_end_handshape_annotations//test_auto_move//signs_mov/16096.mov","MOV")</f>
        <v>21</v>
      </c>
      <c r="L126" t="s" s="16">
        <f>HYPERLINK("http://csr.bu.edu/ftp/asl/asllvd/demos/verify_start_end_handshape_annotations//test_auto_move//signs_mov_separ_signers/Liz_16096.mov","MOV")</f>
        <v>21</v>
      </c>
      <c r="M126" t="s" s="10">
        <v>59</v>
      </c>
      <c r="N126" s="17">
        <v>8</v>
      </c>
      <c r="O126" s="18">
        <v>2316</v>
      </c>
      <c r="P126" s="18">
        <v>2329</v>
      </c>
      <c r="Q126" t="s" s="16">
        <f>HYPERLINK("http://secrets.rutgers.edu:8080/data/asl-ftp/asllvd/demos/verify_start_end_handshape_annotations//test_auto_move//signs_mov/16096.mov","MOV")</f>
        <v>21</v>
      </c>
      <c r="R126" t="s" s="16">
        <f>HYPERLINK("http://secrets.rutgers.edu:8080/data/asl-ftp/asllvd/demos/verify_start_end_handshape_annotations//test_auto_move//signs_mov_separ_signers/Liz_16096.mov","MOV")</f>
        <v>21</v>
      </c>
    </row>
    <row r="127" s="2" customFormat="1" ht="13.5" customHeight="1">
      <c r="B127" s="13"/>
      <c r="C127" t="s" s="9">
        <v>30</v>
      </c>
      <c r="D127" t="s" s="8">
        <v>104</v>
      </c>
      <c r="E127" t="s" s="9">
        <v>104</v>
      </c>
      <c r="F127" t="s" s="10">
        <v>73</v>
      </c>
      <c r="G127" t="s" s="11">
        <v>80</v>
      </c>
      <c r="H127" t="s" s="10">
        <v>73</v>
      </c>
      <c r="I127" t="s" s="11">
        <v>80</v>
      </c>
      <c r="J127" t="s" s="11">
        <v>20</v>
      </c>
      <c r="K127" s="15"/>
      <c r="L127" t="s" s="16">
        <f>HYPERLINK("http://csr.bu.edu/ftp/asl/asllvd/demos/verify_start_end_handshape_annotations//test_auto_move//signs_mov_separ_signers/Brady_16096.mov","MOV")</f>
        <v>21</v>
      </c>
      <c r="M127" t="s" s="10">
        <v>40</v>
      </c>
      <c r="N127" s="17">
        <v>112</v>
      </c>
      <c r="O127" s="18">
        <v>2328</v>
      </c>
      <c r="P127" s="18">
        <v>2339</v>
      </c>
      <c r="Q127" s="15"/>
      <c r="R127" t="s" s="16">
        <f>HYPERLINK("http://secrets.rutgers.edu:8080/data/asl-ftp/asllvd/demos/verify_start_end_handshape_annotations//test_auto_move//signs_mov_separ_signers/Brady_16096.mov","MOV")</f>
        <v>21</v>
      </c>
    </row>
    <row r="128" s="2" customFormat="1" ht="13.5" customHeight="1">
      <c r="B128" t="s" s="8">
        <v>106</v>
      </c>
      <c r="C128" t="s" s="9">
        <v>14</v>
      </c>
      <c r="D128" t="s" s="8">
        <v>14</v>
      </c>
      <c r="E128" t="s" s="9">
        <v>14</v>
      </c>
      <c r="F128" t="s" s="10">
        <v>14</v>
      </c>
      <c r="G128" t="s" s="11">
        <v>14</v>
      </c>
      <c r="H128" t="s" s="10">
        <v>14</v>
      </c>
      <c r="I128" t="s" s="11">
        <v>14</v>
      </c>
      <c r="J128" t="s" s="11">
        <v>14</v>
      </c>
      <c r="K128" t="s" s="12">
        <v>14</v>
      </c>
      <c r="L128" t="s" s="12">
        <v>14</v>
      </c>
      <c r="M128" t="s" s="10">
        <v>14</v>
      </c>
      <c r="N128" t="s" s="11">
        <v>14</v>
      </c>
      <c r="O128" t="s" s="8">
        <v>14</v>
      </c>
      <c r="P128" t="s" s="8">
        <v>14</v>
      </c>
      <c r="Q128" t="s" s="12">
        <v>14</v>
      </c>
      <c r="R128" t="s" s="12">
        <v>14</v>
      </c>
    </row>
    <row r="129" s="2" customFormat="1" ht="13.5" customHeight="1">
      <c r="B129" s="13"/>
      <c r="C129" t="s" s="9">
        <v>16</v>
      </c>
      <c r="D129" t="s" s="8">
        <v>106</v>
      </c>
      <c r="E129" t="s" s="9">
        <v>106</v>
      </c>
      <c r="F129" s="19">
        <v>10</v>
      </c>
      <c r="G129" t="s" s="11">
        <v>73</v>
      </c>
      <c r="H129" s="19">
        <v>10</v>
      </c>
      <c r="I129" t="s" s="11">
        <v>73</v>
      </c>
      <c r="J129" t="s" s="11">
        <v>20</v>
      </c>
      <c r="K129" s="15"/>
      <c r="L129" t="s" s="16">
        <f>HYPERLINK("http://csr.bu.edu/ftp/asl/asllvd/demos/verify_start_end_handshape_annotations//test_auto_move//signs_mov_separ_signers/Liz_16097.mov","MOV")</f>
        <v>21</v>
      </c>
      <c r="M129" t="s" s="10">
        <v>59</v>
      </c>
      <c r="N129" s="17">
        <v>27</v>
      </c>
      <c r="O129" s="18">
        <v>1360</v>
      </c>
      <c r="P129" s="18">
        <v>1390</v>
      </c>
      <c r="Q129" s="15"/>
      <c r="R129" t="s" s="16">
        <f>HYPERLINK("http://secrets.rutgers.edu:8080/data/asl-ftp/asllvd/demos/verify_start_end_handshape_annotations//test_auto_move//signs_mov_separ_signers/Liz_16097.mov","MOV")</f>
        <v>21</v>
      </c>
    </row>
    <row r="130" s="2" customFormat="1" ht="13.5" customHeight="1">
      <c r="B130" s="13"/>
      <c r="C130" t="s" s="9">
        <v>30</v>
      </c>
      <c r="D130" t="s" s="8">
        <v>106</v>
      </c>
      <c r="E130" t="s" s="9">
        <v>106</v>
      </c>
      <c r="F130" s="19">
        <v>10</v>
      </c>
      <c r="G130" t="s" s="11">
        <v>73</v>
      </c>
      <c r="H130" s="19">
        <v>10</v>
      </c>
      <c r="I130" t="s" s="11">
        <v>73</v>
      </c>
      <c r="J130" t="s" s="11">
        <v>20</v>
      </c>
      <c r="K130" t="s" s="16">
        <f>HYPERLINK("http://csr.bu.edu/ftp/asl/asllvd/demos/verify_start_end_handshape_annotations//test_auto_move//signs_mov/16097_16098_merged.mov","MOV")</f>
        <v>21</v>
      </c>
      <c r="L130" t="s" s="16">
        <f>HYPERLINK("http://csr.bu.edu/ftp/asl/asllvd/demos/verify_start_end_handshape_annotations//test_auto_move//signs_mov_separ_signers/Brady_16097.mov","MOV")</f>
        <v>21</v>
      </c>
      <c r="M130" t="s" s="10">
        <v>60</v>
      </c>
      <c r="N130" s="17">
        <v>15</v>
      </c>
      <c r="O130" s="18">
        <v>2378</v>
      </c>
      <c r="P130" s="18">
        <v>2396</v>
      </c>
      <c r="Q130" t="s" s="16">
        <f>HYPERLINK("http://secrets.rutgers.edu:8080/data/asl-ftp/asllvd/demos/verify_start_end_handshape_annotations//test_auto_move//signs_mov/16097_16098_merged.mov","MOV")</f>
        <v>21</v>
      </c>
      <c r="R130" t="s" s="16">
        <f>HYPERLINK("http://secrets.rutgers.edu:8080/data/asl-ftp/asllvd/demos/verify_start_end_handshape_annotations//test_auto_move//signs_mov_separ_signers/Brady_16097.mov","MOV")</f>
        <v>21</v>
      </c>
    </row>
    <row r="131" s="2" customFormat="1" ht="13.5" customHeight="1">
      <c r="B131" s="13"/>
      <c r="C131" t="s" s="9">
        <v>30</v>
      </c>
      <c r="D131" t="s" s="8">
        <v>106</v>
      </c>
      <c r="E131" t="s" s="9">
        <v>106</v>
      </c>
      <c r="F131" s="19">
        <v>10</v>
      </c>
      <c r="G131" t="s" s="11">
        <v>73</v>
      </c>
      <c r="H131" s="19">
        <v>10</v>
      </c>
      <c r="I131" t="s" s="11">
        <v>73</v>
      </c>
      <c r="J131" t="s" s="11">
        <v>20</v>
      </c>
      <c r="K131" s="15"/>
      <c r="L131" t="s" s="16">
        <f>HYPERLINK("http://csr.bu.edu/ftp/asl/asllvd/demos/verify_start_end_handshape_annotations//test_auto_move//signs_mov_separ_signers/Brady_16098.mov","MOV")</f>
        <v>21</v>
      </c>
      <c r="M131" t="s" s="10">
        <v>60</v>
      </c>
      <c r="N131" s="17">
        <v>56</v>
      </c>
      <c r="O131" s="18">
        <v>1880</v>
      </c>
      <c r="P131" s="18">
        <v>1900</v>
      </c>
      <c r="Q131" s="15"/>
      <c r="R131" t="s" s="16">
        <f>HYPERLINK("http://secrets.rutgers.edu:8080/data/asl-ftp/asllvd/demos/verify_start_end_handshape_annotations//test_auto_move//signs_mov_separ_signers/Brady_16098.mov","MOV")</f>
        <v>21</v>
      </c>
    </row>
    <row r="132" s="2" customFormat="1" ht="13.5" customHeight="1">
      <c r="B132" t="s" s="8">
        <v>107</v>
      </c>
      <c r="C132" t="s" s="9">
        <v>14</v>
      </c>
      <c r="D132" t="s" s="8">
        <v>14</v>
      </c>
      <c r="E132" t="s" s="9">
        <v>14</v>
      </c>
      <c r="F132" t="s" s="10">
        <v>14</v>
      </c>
      <c r="G132" t="s" s="11">
        <v>14</v>
      </c>
      <c r="H132" t="s" s="10">
        <v>14</v>
      </c>
      <c r="I132" t="s" s="11">
        <v>14</v>
      </c>
      <c r="J132" t="s" s="11">
        <v>14</v>
      </c>
      <c r="K132" t="s" s="12">
        <v>14</v>
      </c>
      <c r="L132" t="s" s="12">
        <v>14</v>
      </c>
      <c r="M132" t="s" s="10">
        <v>14</v>
      </c>
      <c r="N132" t="s" s="11">
        <v>14</v>
      </c>
      <c r="O132" t="s" s="8">
        <v>14</v>
      </c>
      <c r="P132" t="s" s="8">
        <v>14</v>
      </c>
      <c r="Q132" t="s" s="12">
        <v>14</v>
      </c>
      <c r="R132" t="s" s="12">
        <v>14</v>
      </c>
    </row>
    <row r="133" s="2" customFormat="1" ht="13.5" customHeight="1">
      <c r="B133" s="13"/>
      <c r="C133" t="s" s="9">
        <v>23</v>
      </c>
      <c r="D133" t="s" s="8">
        <v>107</v>
      </c>
      <c r="E133" t="s" s="9">
        <v>108</v>
      </c>
      <c r="F133" s="19">
        <v>10</v>
      </c>
      <c r="G133" t="s" s="11">
        <v>73</v>
      </c>
      <c r="H133" s="19">
        <v>10</v>
      </c>
      <c r="I133" t="s" s="11">
        <v>73</v>
      </c>
      <c r="J133" t="s" s="11">
        <v>20</v>
      </c>
      <c r="K133" s="15"/>
      <c r="L133" t="s" s="16">
        <f>HYPERLINK("http://csr.bu.edu/ftp/asl/asllvd/demos/verify_start_end_handshape_annotations//test_auto_move//signs_mov_separ_signers/Tyler_16162.mov","MOV")</f>
        <v>21</v>
      </c>
      <c r="M133" t="s" s="10">
        <v>26</v>
      </c>
      <c r="N133" s="17">
        <v>21</v>
      </c>
      <c r="O133" s="18">
        <v>715</v>
      </c>
      <c r="P133" s="18">
        <v>760</v>
      </c>
      <c r="Q133" s="15"/>
      <c r="R133" t="s" s="16">
        <f>HYPERLINK("http://secrets.rutgers.edu:8080/data/asl-ftp/asllvd/demos/verify_start_end_handshape_annotations//test_auto_move//signs_mov_separ_signers/Tyler_16162.mov","MOV")</f>
        <v>21</v>
      </c>
    </row>
    <row r="134" s="2" customFormat="1" ht="13.5" customHeight="1">
      <c r="B134" s="13"/>
      <c r="C134" t="s" s="9">
        <v>27</v>
      </c>
      <c r="D134" t="s" s="8">
        <v>107</v>
      </c>
      <c r="E134" t="s" s="9">
        <v>108</v>
      </c>
      <c r="F134" s="19">
        <v>10</v>
      </c>
      <c r="G134" t="s" s="11">
        <v>73</v>
      </c>
      <c r="H134" s="19">
        <v>10</v>
      </c>
      <c r="I134" t="s" s="11">
        <v>73</v>
      </c>
      <c r="J134" t="s" s="11">
        <v>20</v>
      </c>
      <c r="K134" t="s" s="16">
        <f>HYPERLINK("http://csr.bu.edu/ftp/asl/asllvd/demos/verify_start_end_handshape_annotations//test_auto_move//signs_mov/16162.mov","MOV")</f>
        <v>21</v>
      </c>
      <c r="L134" t="s" s="16">
        <f>HYPERLINK("http://csr.bu.edu/ftp/asl/asllvd/demos/verify_start_end_handshape_annotations//test_auto_move//signs_mov_separ_signers/Naomi_16162.mov","MOV")</f>
        <v>21</v>
      </c>
      <c r="M134" t="s" s="10">
        <v>29</v>
      </c>
      <c r="N134" s="17">
        <v>21</v>
      </c>
      <c r="O134" s="18">
        <v>1422</v>
      </c>
      <c r="P134" s="18">
        <v>1470</v>
      </c>
      <c r="Q134" t="s" s="16">
        <f>HYPERLINK("http://secrets.rutgers.edu:8080/data/asl-ftp/asllvd/demos/verify_start_end_handshape_annotations//test_auto_move//signs_mov/16162.mov","MOV")</f>
        <v>21</v>
      </c>
      <c r="R134" t="s" s="16">
        <f>HYPERLINK("http://secrets.rutgers.edu:8080/data/asl-ftp/asllvd/demos/verify_start_end_handshape_annotations//test_auto_move//signs_mov_separ_signers/Naomi_16162.mov","MOV")</f>
        <v>21</v>
      </c>
    </row>
    <row r="135" s="2" customFormat="1" ht="13.5" customHeight="1">
      <c r="B135" s="13"/>
      <c r="C135" t="s" s="9">
        <v>30</v>
      </c>
      <c r="D135" t="s" s="8">
        <v>107</v>
      </c>
      <c r="E135" t="s" s="9">
        <v>108</v>
      </c>
      <c r="F135" s="19">
        <v>10</v>
      </c>
      <c r="G135" t="s" s="11">
        <v>109</v>
      </c>
      <c r="H135" s="19">
        <v>10</v>
      </c>
      <c r="I135" s="17">
        <v>10</v>
      </c>
      <c r="J135" t="s" s="11">
        <v>20</v>
      </c>
      <c r="K135" s="15"/>
      <c r="L135" t="s" s="16">
        <f>HYPERLINK("http://csr.bu.edu/ftp/asl/asllvd/demos/verify_start_end_handshape_annotations//test_auto_move//signs_mov_separ_signers/Brady_16162.mov","MOV")</f>
        <v>21</v>
      </c>
      <c r="M135" t="s" s="10">
        <v>31</v>
      </c>
      <c r="N135" s="17">
        <v>16</v>
      </c>
      <c r="O135" s="18">
        <v>8165</v>
      </c>
      <c r="P135" s="18">
        <v>8191</v>
      </c>
      <c r="Q135" s="15"/>
      <c r="R135" t="s" s="16">
        <f>HYPERLINK("http://secrets.rutgers.edu:8080/data/asl-ftp/asllvd/demos/verify_start_end_handshape_annotations//test_auto_move//signs_mov_separ_signers/Brady_16162.mov","MOV")</f>
        <v>21</v>
      </c>
    </row>
    <row r="136" s="2" customFormat="1" ht="13.5" customHeight="1">
      <c r="B136" t="s" s="8">
        <v>110</v>
      </c>
      <c r="C136" t="s" s="9">
        <v>14</v>
      </c>
      <c r="D136" t="s" s="8">
        <v>14</v>
      </c>
      <c r="E136" t="s" s="9">
        <v>14</v>
      </c>
      <c r="F136" t="s" s="10">
        <v>14</v>
      </c>
      <c r="G136" t="s" s="11">
        <v>14</v>
      </c>
      <c r="H136" t="s" s="10">
        <v>14</v>
      </c>
      <c r="I136" t="s" s="11">
        <v>14</v>
      </c>
      <c r="J136" t="s" s="11">
        <v>14</v>
      </c>
      <c r="K136" t="s" s="12">
        <v>14</v>
      </c>
      <c r="L136" t="s" s="12">
        <v>14</v>
      </c>
      <c r="M136" t="s" s="10">
        <v>14</v>
      </c>
      <c r="N136" t="s" s="11">
        <v>14</v>
      </c>
      <c r="O136" t="s" s="8">
        <v>14</v>
      </c>
      <c r="P136" t="s" s="8">
        <v>14</v>
      </c>
      <c r="Q136" t="s" s="12">
        <v>14</v>
      </c>
      <c r="R136" t="s" s="12">
        <v>14</v>
      </c>
    </row>
    <row r="137" s="2" customFormat="1" ht="13.5" customHeight="1">
      <c r="B137" s="13"/>
      <c r="C137" t="s" s="9">
        <v>16</v>
      </c>
      <c r="D137" t="s" s="8">
        <v>110</v>
      </c>
      <c r="E137" t="s" s="9">
        <v>110</v>
      </c>
      <c r="F137" t="s" s="10">
        <v>73</v>
      </c>
      <c r="G137" s="14"/>
      <c r="H137" t="s" s="10">
        <v>73</v>
      </c>
      <c r="I137" s="14"/>
      <c r="J137" t="s" s="11">
        <v>20</v>
      </c>
      <c r="K137" t="s" s="16">
        <f>HYPERLINK("http://csr.bu.edu/ftp/asl/asllvd/demos/verify_start_end_handshape_annotations//test_auto_move//signs_mov/16163.mov","MOV")</f>
        <v>21</v>
      </c>
      <c r="L137" t="s" s="16">
        <f>HYPERLINK("http://csr.bu.edu/ftp/asl/asllvd/demos/verify_start_end_handshape_annotations//test_auto_move//signs_mov_separ_signers/Liz_16163.mov","MOV")</f>
        <v>21</v>
      </c>
      <c r="M137" t="s" s="10">
        <v>59</v>
      </c>
      <c r="N137" s="17">
        <v>28</v>
      </c>
      <c r="O137" s="18">
        <v>2505</v>
      </c>
      <c r="P137" s="18">
        <v>2535</v>
      </c>
      <c r="Q137" t="s" s="16">
        <f>HYPERLINK("http://secrets.rutgers.edu:8080/data/asl-ftp/asllvd/demos/verify_start_end_handshape_annotations//test_auto_move//signs_mov/16163.mov","MOV")</f>
        <v>21</v>
      </c>
      <c r="R137" t="s" s="16">
        <f>HYPERLINK("http://secrets.rutgers.edu:8080/data/asl-ftp/asllvd/demos/verify_start_end_handshape_annotations//test_auto_move//signs_mov_separ_signers/Liz_16163.mov","MOV")</f>
        <v>21</v>
      </c>
    </row>
    <row r="138" s="2" customFormat="1" ht="13.5" customHeight="1">
      <c r="B138" s="13"/>
      <c r="C138" t="s" s="9">
        <v>30</v>
      </c>
      <c r="D138" t="s" s="8">
        <v>110</v>
      </c>
      <c r="E138" t="s" s="9">
        <v>110</v>
      </c>
      <c r="F138" t="s" s="10">
        <v>55</v>
      </c>
      <c r="G138" s="14"/>
      <c r="H138" t="s" s="10">
        <v>55</v>
      </c>
      <c r="I138" s="14"/>
      <c r="J138" t="s" s="11">
        <v>20</v>
      </c>
      <c r="K138" s="15"/>
      <c r="L138" t="s" s="16">
        <f>HYPERLINK("http://csr.bu.edu/ftp/asl/asllvd/demos/verify_start_end_handshape_annotations//test_auto_move//signs_mov_separ_signers/Brady_16163.mov","MOV")</f>
        <v>21</v>
      </c>
      <c r="M138" t="s" s="10">
        <v>60</v>
      </c>
      <c r="N138" s="17">
        <v>17</v>
      </c>
      <c r="O138" s="18">
        <v>964</v>
      </c>
      <c r="P138" s="18">
        <v>994</v>
      </c>
      <c r="Q138" s="15"/>
      <c r="R138" t="s" s="16">
        <f>HYPERLINK("http://secrets.rutgers.edu:8080/data/asl-ftp/asllvd/demos/verify_start_end_handshape_annotations//test_auto_move//signs_mov_separ_signers/Brady_16163.mov","MOV")</f>
        <v>21</v>
      </c>
    </row>
    <row r="139" s="2" customFormat="1" ht="13.5" customHeight="1">
      <c r="B139" t="s" s="8">
        <v>111</v>
      </c>
      <c r="C139" t="s" s="9">
        <v>14</v>
      </c>
      <c r="D139" t="s" s="8">
        <v>14</v>
      </c>
      <c r="E139" t="s" s="9">
        <v>14</v>
      </c>
      <c r="F139" t="s" s="10">
        <v>14</v>
      </c>
      <c r="G139" t="s" s="11">
        <v>14</v>
      </c>
      <c r="H139" t="s" s="10">
        <v>14</v>
      </c>
      <c r="I139" t="s" s="11">
        <v>14</v>
      </c>
      <c r="J139" t="s" s="11">
        <v>14</v>
      </c>
      <c r="K139" t="s" s="12">
        <v>14</v>
      </c>
      <c r="L139" t="s" s="12">
        <v>14</v>
      </c>
      <c r="M139" t="s" s="10">
        <v>14</v>
      </c>
      <c r="N139" t="s" s="11">
        <v>14</v>
      </c>
      <c r="O139" t="s" s="8">
        <v>14</v>
      </c>
      <c r="P139" t="s" s="8">
        <v>14</v>
      </c>
      <c r="Q139" t="s" s="12">
        <v>14</v>
      </c>
      <c r="R139" t="s" s="12">
        <v>14</v>
      </c>
    </row>
    <row r="140" s="2" customFormat="1" ht="13.5" customHeight="1">
      <c r="B140" s="13"/>
      <c r="C140" t="s" s="9">
        <v>16</v>
      </c>
      <c r="D140" t="s" s="8">
        <v>111</v>
      </c>
      <c r="E140" t="s" s="9">
        <v>111</v>
      </c>
      <c r="F140" t="s" s="10">
        <v>55</v>
      </c>
      <c r="G140" t="s" s="11">
        <v>73</v>
      </c>
      <c r="H140" t="s" s="10">
        <v>73</v>
      </c>
      <c r="I140" t="s" s="11">
        <v>73</v>
      </c>
      <c r="J140" t="s" s="11">
        <v>20</v>
      </c>
      <c r="K140" s="15"/>
      <c r="L140" t="s" s="16">
        <f>HYPERLINK("http://csr.bu.edu/ftp/asl/asllvd/demos/verify_start_end_handshape_annotations//test_auto_move//signs_mov_separ_signers/Liz_16164.mov","MOV")</f>
        <v>21</v>
      </c>
      <c r="M140" t="s" s="10">
        <v>22</v>
      </c>
      <c r="N140" s="17">
        <v>40</v>
      </c>
      <c r="O140" s="18">
        <v>725</v>
      </c>
      <c r="P140" s="18">
        <v>751</v>
      </c>
      <c r="Q140" s="15"/>
      <c r="R140" t="s" s="16">
        <f>HYPERLINK("http://secrets.rutgers.edu:8080/data/asl-ftp/asllvd/demos/verify_start_end_handshape_annotations//test_auto_move//signs_mov_separ_signers/Liz_16164.mov","MOV")</f>
        <v>21</v>
      </c>
    </row>
    <row r="141" s="2" customFormat="1" ht="13.5" customHeight="1">
      <c r="B141" s="13"/>
      <c r="C141" t="s" s="9">
        <v>23</v>
      </c>
      <c r="D141" t="s" s="8">
        <v>111</v>
      </c>
      <c r="E141" t="s" s="9">
        <v>111</v>
      </c>
      <c r="F141" t="s" s="10">
        <v>73</v>
      </c>
      <c r="G141" t="s" s="11">
        <v>73</v>
      </c>
      <c r="H141" t="s" s="10">
        <v>73</v>
      </c>
      <c r="I141" t="s" s="11">
        <v>73</v>
      </c>
      <c r="J141" t="s" s="11">
        <v>20</v>
      </c>
      <c r="K141" t="s" s="16">
        <f>HYPERLINK("http://csr.bu.edu/ftp/asl/asllvd/demos/verify_start_end_handshape_annotations//test_auto_move//signs_mov/16164_16165_merged.mov","MOV")</f>
        <v>21</v>
      </c>
      <c r="L141" t="s" s="16">
        <f>HYPERLINK("http://csr.bu.edu/ftp/asl/asllvd/demos/verify_start_end_handshape_annotations//test_auto_move//signs_mov_separ_signers/Tyler_16164.mov","MOV")</f>
        <v>21</v>
      </c>
      <c r="M141" t="s" s="10">
        <v>26</v>
      </c>
      <c r="N141" s="17">
        <v>25</v>
      </c>
      <c r="O141" s="18">
        <v>3530</v>
      </c>
      <c r="P141" s="18">
        <v>3556</v>
      </c>
      <c r="Q141" t="s" s="16">
        <f>HYPERLINK("http://secrets.rutgers.edu:8080/data/asl-ftp/asllvd/demos/verify_start_end_handshape_annotations//test_auto_move//signs_mov/16164_16165_merged.mov","MOV")</f>
        <v>21</v>
      </c>
      <c r="R141" t="s" s="16">
        <f>HYPERLINK("http://secrets.rutgers.edu:8080/data/asl-ftp/asllvd/demos/verify_start_end_handshape_annotations//test_auto_move//signs_mov_separ_signers/Tyler_16164.mov","MOV")</f>
        <v>21</v>
      </c>
    </row>
    <row r="142" s="2" customFormat="1" ht="13.5" customHeight="1">
      <c r="B142" s="13"/>
      <c r="C142" t="s" s="9">
        <v>30</v>
      </c>
      <c r="D142" t="s" s="8">
        <v>111</v>
      </c>
      <c r="E142" t="s" s="9">
        <v>111</v>
      </c>
      <c r="F142" t="s" s="10">
        <v>55</v>
      </c>
      <c r="G142" t="s" s="11">
        <v>80</v>
      </c>
      <c r="H142" t="s" s="10">
        <v>55</v>
      </c>
      <c r="I142" t="s" s="11">
        <v>80</v>
      </c>
      <c r="J142" t="s" s="11">
        <v>20</v>
      </c>
      <c r="K142" s="15"/>
      <c r="L142" t="s" s="16">
        <f>HYPERLINK("http://csr.bu.edu/ftp/asl/asllvd/demos/verify_start_end_handshape_annotations//test_auto_move//signs_mov_separ_signers/Brady_16164.mov","MOV")</f>
        <v>21</v>
      </c>
      <c r="M142" t="s" s="10">
        <v>31</v>
      </c>
      <c r="N142" s="17">
        <v>19</v>
      </c>
      <c r="O142" s="18">
        <v>5860</v>
      </c>
      <c r="P142" s="18">
        <v>5887</v>
      </c>
      <c r="Q142" s="15"/>
      <c r="R142" t="s" s="16">
        <f>HYPERLINK("http://secrets.rutgers.edu:8080/data/asl-ftp/asllvd/demos/verify_start_end_handshape_annotations//test_auto_move//signs_mov_separ_signers/Brady_16164.mov","MOV")</f>
        <v>21</v>
      </c>
    </row>
    <row r="143" s="2" customFormat="1" ht="13.5" customHeight="1">
      <c r="B143" s="13"/>
      <c r="C143" t="s" s="9">
        <v>30</v>
      </c>
      <c r="D143" t="s" s="8">
        <v>111</v>
      </c>
      <c r="E143" t="s" s="9">
        <v>111</v>
      </c>
      <c r="F143" t="s" s="10">
        <v>55</v>
      </c>
      <c r="G143" t="s" s="11">
        <v>73</v>
      </c>
      <c r="H143" t="s" s="10">
        <v>55</v>
      </c>
      <c r="I143" t="s" s="11">
        <v>73</v>
      </c>
      <c r="J143" t="s" s="11">
        <v>20</v>
      </c>
      <c r="K143" s="15"/>
      <c r="L143" t="s" s="16">
        <f>HYPERLINK("http://csr.bu.edu/ftp/asl/asllvd/demos/verify_start_end_handshape_annotations//test_auto_move//signs_mov_separ_signers/Brady_16165.mov","MOV")</f>
        <v>21</v>
      </c>
      <c r="M143" t="s" s="10">
        <v>60</v>
      </c>
      <c r="N143" s="17">
        <v>38</v>
      </c>
      <c r="O143" s="18">
        <v>2532</v>
      </c>
      <c r="P143" s="18">
        <v>2564</v>
      </c>
      <c r="Q143" s="15"/>
      <c r="R143" t="s" s="16">
        <f>HYPERLINK("http://secrets.rutgers.edu:8080/data/asl-ftp/asllvd/demos/verify_start_end_handshape_annotations//test_auto_move//signs_mov_separ_signers/Brady_16165.mov","MOV")</f>
        <v>21</v>
      </c>
    </row>
    <row r="144" s="2" customFormat="1" ht="13.5" customHeight="1">
      <c r="B144" t="s" s="8">
        <v>111</v>
      </c>
      <c r="C144" t="s" s="9">
        <v>14</v>
      </c>
      <c r="D144" t="s" s="8">
        <v>14</v>
      </c>
      <c r="E144" t="s" s="9">
        <v>14</v>
      </c>
      <c r="F144" t="s" s="10">
        <v>14</v>
      </c>
      <c r="G144" t="s" s="11">
        <v>14</v>
      </c>
      <c r="H144" t="s" s="10">
        <v>14</v>
      </c>
      <c r="I144" t="s" s="11">
        <v>14</v>
      </c>
      <c r="J144" t="s" s="11">
        <v>14</v>
      </c>
      <c r="K144" t="s" s="12">
        <v>14</v>
      </c>
      <c r="L144" t="s" s="12">
        <v>14</v>
      </c>
      <c r="M144" t="s" s="10">
        <v>14</v>
      </c>
      <c r="N144" t="s" s="11">
        <v>14</v>
      </c>
      <c r="O144" t="s" s="8">
        <v>14</v>
      </c>
      <c r="P144" t="s" s="8">
        <v>14</v>
      </c>
      <c r="Q144" t="s" s="12">
        <v>14</v>
      </c>
      <c r="R144" t="s" s="12">
        <v>14</v>
      </c>
    </row>
    <row r="145" s="2" customFormat="1" ht="13.5" customHeight="1">
      <c r="B145" s="13"/>
      <c r="C145" t="s" s="9">
        <v>27</v>
      </c>
      <c r="D145" t="s" s="8">
        <v>112</v>
      </c>
      <c r="E145" t="s" s="9">
        <v>113</v>
      </c>
      <c r="F145" t="s" s="10">
        <v>73</v>
      </c>
      <c r="G145" t="s" s="11">
        <v>73</v>
      </c>
      <c r="H145" t="s" s="10">
        <v>73</v>
      </c>
      <c r="I145" t="s" s="11">
        <v>73</v>
      </c>
      <c r="J145" t="s" s="11">
        <v>20</v>
      </c>
      <c r="K145" t="s" s="16">
        <f>HYPERLINK("http://csr.bu.edu/ftp/asl/asllvd/demos/verify_start_end_handshape_annotations//test_auto_move//signs_mov/16195.mov","MOV")</f>
        <v>21</v>
      </c>
      <c r="L145" t="s" s="16">
        <f>HYPERLINK("http://csr.bu.edu/ftp/asl/asllvd/demos/verify_start_end_handshape_annotations//test_auto_move//signs_mov_separ_signers/Naomi_16195.mov","MOV")</f>
        <v>21</v>
      </c>
      <c r="M145" t="s" s="10">
        <v>29</v>
      </c>
      <c r="N145" s="17">
        <v>22</v>
      </c>
      <c r="O145" s="18">
        <v>860</v>
      </c>
      <c r="P145" s="18">
        <v>908</v>
      </c>
      <c r="Q145" t="s" s="16">
        <f>HYPERLINK("http://secrets.rutgers.edu:8080/data/asl-ftp/asllvd/demos/verify_start_end_handshape_annotations//test_auto_move//signs_mov/16195.mov","MOV")</f>
        <v>21</v>
      </c>
      <c r="R145" t="s" s="16">
        <f>HYPERLINK("http://secrets.rutgers.edu:8080/data/asl-ftp/asllvd/demos/verify_start_end_handshape_annotations//test_auto_move//signs_mov_separ_signers/Naomi_16195.mov","MOV")</f>
        <v>21</v>
      </c>
    </row>
    <row r="146" s="2" customFormat="1" ht="13.5" customHeight="1">
      <c r="B146" s="13"/>
      <c r="C146" t="s" s="9">
        <v>30</v>
      </c>
      <c r="D146" t="s" s="8">
        <v>112</v>
      </c>
      <c r="E146" t="s" s="9">
        <v>113</v>
      </c>
      <c r="F146" t="s" s="10">
        <v>73</v>
      </c>
      <c r="G146" t="s" s="11">
        <v>73</v>
      </c>
      <c r="H146" t="s" s="10">
        <v>73</v>
      </c>
      <c r="I146" t="s" s="11">
        <v>73</v>
      </c>
      <c r="J146" t="s" s="11">
        <v>20</v>
      </c>
      <c r="K146" s="15"/>
      <c r="L146" t="s" s="16">
        <f>HYPERLINK("http://csr.bu.edu/ftp/asl/asllvd/demos/verify_start_end_handshape_annotations//test_auto_move//signs_mov_separ_signers/Brady_16195.mov","MOV")</f>
        <v>21</v>
      </c>
      <c r="M146" t="s" s="10">
        <v>31</v>
      </c>
      <c r="N146" s="17">
        <v>16</v>
      </c>
      <c r="O146" s="18">
        <v>8461</v>
      </c>
      <c r="P146" s="18">
        <v>8496</v>
      </c>
      <c r="Q146" s="15"/>
      <c r="R146" t="s" s="16">
        <f>HYPERLINK("http://secrets.rutgers.edu:8080/data/asl-ftp/asllvd/demos/verify_start_end_handshape_annotations//test_auto_move//signs_mov_separ_signers/Brady_16195.mov","MOV")</f>
        <v>21</v>
      </c>
    </row>
    <row r="147" s="2" customFormat="1" ht="13.5" customHeight="1">
      <c r="B147" t="s" s="8">
        <v>114</v>
      </c>
      <c r="C147" t="s" s="9">
        <v>14</v>
      </c>
      <c r="D147" t="s" s="8">
        <v>14</v>
      </c>
      <c r="E147" t="s" s="9">
        <v>14</v>
      </c>
      <c r="F147" t="s" s="10">
        <v>14</v>
      </c>
      <c r="G147" t="s" s="11">
        <v>14</v>
      </c>
      <c r="H147" t="s" s="10">
        <v>14</v>
      </c>
      <c r="I147" t="s" s="11">
        <v>14</v>
      </c>
      <c r="J147" t="s" s="11">
        <v>14</v>
      </c>
      <c r="K147" t="s" s="12">
        <v>14</v>
      </c>
      <c r="L147" t="s" s="12">
        <v>14</v>
      </c>
      <c r="M147" t="s" s="10">
        <v>14</v>
      </c>
      <c r="N147" t="s" s="11">
        <v>14</v>
      </c>
      <c r="O147" t="s" s="8">
        <v>14</v>
      </c>
      <c r="P147" t="s" s="8">
        <v>14</v>
      </c>
      <c r="Q147" t="s" s="12">
        <v>14</v>
      </c>
      <c r="R147" t="s" s="12">
        <v>14</v>
      </c>
    </row>
    <row r="148" s="2" customFormat="1" ht="13.5" customHeight="1">
      <c r="B148" s="13"/>
      <c r="C148" t="s" s="9">
        <v>16</v>
      </c>
      <c r="D148" t="s" s="8">
        <v>114</v>
      </c>
      <c r="E148" t="s" s="9">
        <v>114</v>
      </c>
      <c r="F148" t="s" s="10">
        <v>115</v>
      </c>
      <c r="G148" t="s" s="11">
        <v>109</v>
      </c>
      <c r="H148" t="s" s="10">
        <v>115</v>
      </c>
      <c r="I148" t="s" s="11">
        <v>109</v>
      </c>
      <c r="J148" t="s" s="11">
        <v>20</v>
      </c>
      <c r="K148" s="15"/>
      <c r="L148" t="s" s="16">
        <f>HYPERLINK("http://csr.bu.edu/ftp/asl/asllvd/demos/verify_start_end_handshape_annotations//test_auto_move//signs_mov_separ_signers/Liz_16196.mov","MOV")</f>
        <v>21</v>
      </c>
      <c r="M148" t="s" s="10">
        <v>84</v>
      </c>
      <c r="N148" s="17">
        <v>30</v>
      </c>
      <c r="O148" s="18">
        <v>705</v>
      </c>
      <c r="P148" s="18">
        <v>745</v>
      </c>
      <c r="Q148" s="15"/>
      <c r="R148" t="s" s="16">
        <f>HYPERLINK("http://secrets.rutgers.edu:8080/data/asl-ftp/asllvd/demos/verify_start_end_handshape_annotations//test_auto_move//signs_mov_separ_signers/Liz_16196.mov","MOV")</f>
        <v>21</v>
      </c>
    </row>
    <row r="149" s="2" customFormat="1" ht="13.5" customHeight="1">
      <c r="B149" s="13"/>
      <c r="C149" t="s" s="9">
        <v>23</v>
      </c>
      <c r="D149" t="s" s="8">
        <v>114</v>
      </c>
      <c r="E149" t="s" s="9">
        <v>116</v>
      </c>
      <c r="F149" t="s" s="10">
        <v>117</v>
      </c>
      <c r="G149" t="s" s="11">
        <v>73</v>
      </c>
      <c r="H149" t="s" s="10">
        <v>117</v>
      </c>
      <c r="I149" t="s" s="11">
        <v>73</v>
      </c>
      <c r="J149" t="s" s="11">
        <v>20</v>
      </c>
      <c r="K149" t="s" s="16">
        <f>HYPERLINK("http://csr.bu.edu/ftp/asl/asllvd/demos/verify_start_end_handshape_annotations//test_auto_move//signs_mov/16196.mov","MOV")</f>
        <v>21</v>
      </c>
      <c r="L149" t="s" s="16">
        <f>HYPERLINK("http://csr.bu.edu/ftp/asl/asllvd/demos/verify_start_end_handshape_annotations//test_auto_move//signs_mov_separ_signers/Tyler_16196.mov","MOV")</f>
        <v>21</v>
      </c>
      <c r="M149" t="s" s="10">
        <v>92</v>
      </c>
      <c r="N149" s="17">
        <v>10</v>
      </c>
      <c r="O149" s="18">
        <v>470</v>
      </c>
      <c r="P149" s="18">
        <v>515</v>
      </c>
      <c r="Q149" t="s" s="16">
        <f>HYPERLINK("http://secrets.rutgers.edu:8080/data/asl-ftp/asllvd/demos/verify_start_end_handshape_annotations//test_auto_move//signs_mov/16196.mov","MOV")</f>
        <v>21</v>
      </c>
      <c r="R149" t="s" s="16">
        <f>HYPERLINK("http://secrets.rutgers.edu:8080/data/asl-ftp/asllvd/demos/verify_start_end_handshape_annotations//test_auto_move//signs_mov_separ_signers/Tyler_16196.mov","MOV")</f>
        <v>21</v>
      </c>
    </row>
    <row r="150" s="2" customFormat="1" ht="13.5" customHeight="1">
      <c r="B150" s="13"/>
      <c r="C150" t="s" s="9">
        <v>27</v>
      </c>
      <c r="D150" t="s" s="8">
        <v>114</v>
      </c>
      <c r="E150" t="s" s="9">
        <v>116</v>
      </c>
      <c r="F150" t="s" s="10">
        <v>117</v>
      </c>
      <c r="G150" t="s" s="11">
        <v>73</v>
      </c>
      <c r="H150" t="s" s="10">
        <v>117</v>
      </c>
      <c r="I150" t="s" s="11">
        <v>73</v>
      </c>
      <c r="J150" t="s" s="11">
        <v>20</v>
      </c>
      <c r="K150" s="15"/>
      <c r="L150" t="s" s="16">
        <f>HYPERLINK("http://csr.bu.edu/ftp/asl/asllvd/demos/verify_start_end_handshape_annotations//test_auto_move//signs_mov_separ_signers/Naomi_16196.mov","MOV")</f>
        <v>21</v>
      </c>
      <c r="M150" t="s" s="10">
        <v>86</v>
      </c>
      <c r="N150" s="17">
        <v>30</v>
      </c>
      <c r="O150" s="18">
        <v>581</v>
      </c>
      <c r="P150" s="18">
        <v>616</v>
      </c>
      <c r="Q150" s="15"/>
      <c r="R150" t="s" s="16">
        <f>HYPERLINK("http://secrets.rutgers.edu:8080/data/asl-ftp/asllvd/demos/verify_start_end_handshape_annotations//test_auto_move//signs_mov_separ_signers/Naomi_16196.mov","MOV")</f>
        <v>21</v>
      </c>
    </row>
    <row r="151" s="2" customFormat="1" ht="13.5" customHeight="1">
      <c r="B151" s="13"/>
      <c r="C151" t="s" s="9">
        <v>30</v>
      </c>
      <c r="D151" t="s" s="8">
        <v>114</v>
      </c>
      <c r="E151" t="s" s="9">
        <v>116</v>
      </c>
      <c r="F151" t="s" s="10">
        <v>115</v>
      </c>
      <c r="G151" t="s" s="11">
        <v>73</v>
      </c>
      <c r="H151" t="s" s="10">
        <v>115</v>
      </c>
      <c r="I151" t="s" s="11">
        <v>73</v>
      </c>
      <c r="J151" t="s" s="11">
        <v>20</v>
      </c>
      <c r="K151" s="15"/>
      <c r="L151" t="s" s="16">
        <f>HYPERLINK("http://csr.bu.edu/ftp/asl/asllvd/demos/verify_start_end_handshape_annotations//test_auto_move//signs_mov_separ_signers/Brady_16196.mov","MOV")</f>
        <v>21</v>
      </c>
      <c r="M151" t="s" s="10">
        <v>39</v>
      </c>
      <c r="N151" s="17">
        <v>11</v>
      </c>
      <c r="O151" s="18">
        <v>2250</v>
      </c>
      <c r="P151" s="18">
        <v>2282</v>
      </c>
      <c r="Q151" s="15"/>
      <c r="R151" t="s" s="16">
        <f>HYPERLINK("http://secrets.rutgers.edu:8080/data/asl-ftp/asllvd/demos/verify_start_end_handshape_annotations//test_auto_move//signs_mov_separ_signers/Brady_16196.mov","MOV")</f>
        <v>21</v>
      </c>
    </row>
    <row r="152" s="2" customFormat="1" ht="13.5" customHeight="1">
      <c r="B152" t="s" s="8">
        <v>118</v>
      </c>
      <c r="C152" t="s" s="9">
        <v>14</v>
      </c>
      <c r="D152" t="s" s="8">
        <v>14</v>
      </c>
      <c r="E152" t="s" s="9">
        <v>14</v>
      </c>
      <c r="F152" t="s" s="10">
        <v>14</v>
      </c>
      <c r="G152" t="s" s="11">
        <v>14</v>
      </c>
      <c r="H152" t="s" s="10">
        <v>14</v>
      </c>
      <c r="I152" t="s" s="11">
        <v>14</v>
      </c>
      <c r="J152" t="s" s="11">
        <v>14</v>
      </c>
      <c r="K152" t="s" s="12">
        <v>14</v>
      </c>
      <c r="L152" t="s" s="12">
        <v>14</v>
      </c>
      <c r="M152" t="s" s="10">
        <v>14</v>
      </c>
      <c r="N152" t="s" s="11">
        <v>14</v>
      </c>
      <c r="O152" t="s" s="8">
        <v>14</v>
      </c>
      <c r="P152" t="s" s="8">
        <v>14</v>
      </c>
      <c r="Q152" t="s" s="12">
        <v>14</v>
      </c>
      <c r="R152" t="s" s="12">
        <v>14</v>
      </c>
    </row>
    <row r="153" s="2" customFormat="1" ht="13.5" customHeight="1">
      <c r="B153" s="13"/>
      <c r="C153" t="s" s="9">
        <v>16</v>
      </c>
      <c r="D153" t="s" s="8">
        <v>118</v>
      </c>
      <c r="E153" t="s" s="9">
        <v>118</v>
      </c>
      <c r="F153" s="19">
        <v>5</v>
      </c>
      <c r="G153" s="17">
        <v>5</v>
      </c>
      <c r="H153" t="s" s="10">
        <v>119</v>
      </c>
      <c r="I153" t="s" s="11">
        <v>119</v>
      </c>
      <c r="J153" t="s" s="11">
        <v>20</v>
      </c>
      <c r="K153" s="15"/>
      <c r="L153" t="s" s="16">
        <f>HYPERLINK("http://csr.bu.edu/ftp/asl/asllvd/demos/verify_start_end_handshape_annotations//test_auto_move//signs_mov_separ_signers/Liz_35.mov","MOV")</f>
        <v>21</v>
      </c>
      <c r="M153" t="s" s="10">
        <v>22</v>
      </c>
      <c r="N153" s="17">
        <v>5</v>
      </c>
      <c r="O153" s="18">
        <v>1565</v>
      </c>
      <c r="P153" s="18">
        <v>1605</v>
      </c>
      <c r="Q153" s="15"/>
      <c r="R153" t="s" s="16">
        <f>HYPERLINK("http://secrets.rutgers.edu:8080/data/asl-ftp/asllvd/demos/verify_start_end_handshape_annotations//test_auto_move//signs_mov_separ_signers/Liz_35.mov","MOV")</f>
        <v>21</v>
      </c>
    </row>
    <row r="154" s="2" customFormat="1" ht="13.5" customHeight="1">
      <c r="B154" s="13"/>
      <c r="C154" t="s" s="9">
        <v>23</v>
      </c>
      <c r="D154" t="s" s="8">
        <v>118</v>
      </c>
      <c r="E154" t="s" s="9">
        <v>118</v>
      </c>
      <c r="F154" s="19">
        <v>5</v>
      </c>
      <c r="G154" s="17">
        <v>5</v>
      </c>
      <c r="H154" t="s" s="10">
        <v>119</v>
      </c>
      <c r="I154" t="s" s="11">
        <v>119</v>
      </c>
      <c r="J154" t="s" s="11">
        <v>20</v>
      </c>
      <c r="K154" s="15"/>
      <c r="L154" t="s" s="16">
        <f>HYPERLINK("http://csr.bu.edu/ftp/asl/asllvd/demos/verify_start_end_handshape_annotations//test_auto_move//signs_mov_separ_signers/Tyler_35.mov","MOV")</f>
        <v>21</v>
      </c>
      <c r="M154" t="s" s="10">
        <v>26</v>
      </c>
      <c r="N154" s="17">
        <v>4</v>
      </c>
      <c r="O154" s="18">
        <v>1351</v>
      </c>
      <c r="P154" s="18">
        <v>1375</v>
      </c>
      <c r="Q154" s="15"/>
      <c r="R154" t="s" s="16">
        <f>HYPERLINK("http://secrets.rutgers.edu:8080/data/asl-ftp/asllvd/demos/verify_start_end_handshape_annotations//test_auto_move//signs_mov_separ_signers/Tyler_35.mov","MOV")</f>
        <v>21</v>
      </c>
    </row>
    <row r="155" s="2" customFormat="1" ht="13.5" customHeight="1">
      <c r="B155" s="13"/>
      <c r="C155" t="s" s="9">
        <v>27</v>
      </c>
      <c r="D155" t="s" s="8">
        <v>118</v>
      </c>
      <c r="E155" t="s" s="9">
        <v>118</v>
      </c>
      <c r="F155" s="19">
        <v>5</v>
      </c>
      <c r="G155" s="17">
        <v>5</v>
      </c>
      <c r="H155" t="s" s="10">
        <v>119</v>
      </c>
      <c r="I155" t="s" s="11">
        <v>119</v>
      </c>
      <c r="J155" t="s" s="11">
        <v>20</v>
      </c>
      <c r="K155" t="s" s="16">
        <f>HYPERLINK("http://csr.bu.edu/ftp/asl/asllvd/demos/verify_start_end_handshape_annotations//test_auto_move//signs_mov/35.mov","MOV")</f>
        <v>21</v>
      </c>
      <c r="L155" t="s" s="16">
        <f>HYPERLINK("http://csr.bu.edu/ftp/asl/asllvd/demos/verify_start_end_handshape_annotations//test_auto_move//signs_mov_separ_signers/Naomi_35.mov","MOV")</f>
        <v>21</v>
      </c>
      <c r="M155" t="s" s="10">
        <v>29</v>
      </c>
      <c r="N155" s="17">
        <v>4</v>
      </c>
      <c r="O155" s="18">
        <v>2903</v>
      </c>
      <c r="P155" s="18">
        <v>2930</v>
      </c>
      <c r="Q155" t="s" s="16">
        <f>HYPERLINK("http://secrets.rutgers.edu:8080/data/asl-ftp/asllvd/demos/verify_start_end_handshape_annotations//test_auto_move//signs_mov/35.mov","MOV")</f>
        <v>21</v>
      </c>
      <c r="R155" t="s" s="16">
        <f>HYPERLINK("http://secrets.rutgers.edu:8080/data/asl-ftp/asllvd/demos/verify_start_end_handshape_annotations//test_auto_move//signs_mov_separ_signers/Naomi_35.mov","MOV")</f>
        <v>21</v>
      </c>
    </row>
    <row r="156" s="2" customFormat="1" ht="13.5" customHeight="1">
      <c r="B156" s="13"/>
      <c r="C156" t="s" s="9">
        <v>41</v>
      </c>
      <c r="D156" t="s" s="8">
        <v>118</v>
      </c>
      <c r="E156" t="s" s="9">
        <v>118</v>
      </c>
      <c r="F156" s="19">
        <v>5</v>
      </c>
      <c r="G156" s="17">
        <v>5</v>
      </c>
      <c r="H156" t="s" s="10">
        <v>119</v>
      </c>
      <c r="I156" t="s" s="11">
        <v>119</v>
      </c>
      <c r="J156" t="s" s="11">
        <v>20</v>
      </c>
      <c r="K156" s="15"/>
      <c r="L156" t="s" s="16">
        <f>HYPERLINK("http://csr.bu.edu/ftp/asl/asllvd/demos/verify_start_end_handshape_annotations//test_auto_move//signs_mov_separ_signers/Lana_35.mov","MOV")</f>
        <v>21</v>
      </c>
      <c r="M156" t="s" s="10">
        <v>42</v>
      </c>
      <c r="N156" s="17">
        <v>2</v>
      </c>
      <c r="O156" s="18">
        <v>272</v>
      </c>
      <c r="P156" s="18">
        <v>283</v>
      </c>
      <c r="Q156" s="15"/>
      <c r="R156" t="s" s="16">
        <f>HYPERLINK("http://secrets.rutgers.edu:8080/data/asl-ftp/asllvd/demos/verify_start_end_handshape_annotations//test_auto_move//signs_mov_separ_signers/Lana_35.mov","MOV")</f>
        <v>21</v>
      </c>
    </row>
    <row r="157" s="2" customFormat="1" ht="13.5" customHeight="1">
      <c r="B157" s="13"/>
      <c r="C157" t="s" s="9">
        <v>43</v>
      </c>
      <c r="D157" t="s" s="8">
        <v>118</v>
      </c>
      <c r="E157" t="s" s="9">
        <v>118</v>
      </c>
      <c r="F157" s="19">
        <v>5</v>
      </c>
      <c r="G157" s="17">
        <v>5</v>
      </c>
      <c r="H157" t="s" s="10">
        <v>119</v>
      </c>
      <c r="I157" t="s" s="11">
        <v>119</v>
      </c>
      <c r="J157" t="s" s="11">
        <v>20</v>
      </c>
      <c r="K157" s="15"/>
      <c r="L157" t="s" s="16">
        <f>HYPERLINK("http://csr.bu.edu/ftp/asl/asllvd/demos/verify_start_end_handshape_annotations//test_auto_move//signs_mov_separ_signers/Dana_35.mov","MOV")</f>
        <v>21</v>
      </c>
      <c r="M157" t="s" s="10">
        <v>44</v>
      </c>
      <c r="N157" s="17">
        <v>5</v>
      </c>
      <c r="O157" s="18">
        <v>278</v>
      </c>
      <c r="P157" s="18">
        <v>317</v>
      </c>
      <c r="Q157" s="15"/>
      <c r="R157" t="s" s="16">
        <f>HYPERLINK("http://secrets.rutgers.edu:8080/data/asl-ftp/asllvd/demos/verify_start_end_handshape_annotations//test_auto_move//signs_mov_separ_signers/Dana_35.mov","MOV")</f>
        <v>21</v>
      </c>
    </row>
    <row r="158" s="2" customFormat="1" ht="13.5" customHeight="1">
      <c r="B158" t="s" s="8">
        <v>120</v>
      </c>
      <c r="C158" t="s" s="9">
        <v>14</v>
      </c>
      <c r="D158" t="s" s="8">
        <v>14</v>
      </c>
      <c r="E158" t="s" s="9">
        <v>14</v>
      </c>
      <c r="F158" t="s" s="10">
        <v>14</v>
      </c>
      <c r="G158" t="s" s="11">
        <v>14</v>
      </c>
      <c r="H158" t="s" s="10">
        <v>14</v>
      </c>
      <c r="I158" t="s" s="11">
        <v>14</v>
      </c>
      <c r="J158" t="s" s="11">
        <v>14</v>
      </c>
      <c r="K158" t="s" s="12">
        <v>14</v>
      </c>
      <c r="L158" t="s" s="12">
        <v>14</v>
      </c>
      <c r="M158" t="s" s="10">
        <v>14</v>
      </c>
      <c r="N158" t="s" s="11">
        <v>14</v>
      </c>
      <c r="O158" t="s" s="8">
        <v>14</v>
      </c>
      <c r="P158" t="s" s="8">
        <v>14</v>
      </c>
      <c r="Q158" t="s" s="12">
        <v>14</v>
      </c>
      <c r="R158" t="s" s="12">
        <v>14</v>
      </c>
    </row>
    <row r="159" s="2" customFormat="1" ht="13.5" customHeight="1">
      <c r="B159" s="13"/>
      <c r="C159" t="s" s="9">
        <v>16</v>
      </c>
      <c r="D159" t="s" s="8">
        <v>120</v>
      </c>
      <c r="E159" t="s" s="9">
        <v>120</v>
      </c>
      <c r="F159" t="s" s="10">
        <v>68</v>
      </c>
      <c r="G159" t="s" s="11">
        <v>68</v>
      </c>
      <c r="H159" t="s" s="10">
        <v>68</v>
      </c>
      <c r="I159" t="s" s="11">
        <v>68</v>
      </c>
      <c r="J159" t="s" s="11">
        <v>20</v>
      </c>
      <c r="K159" t="s" s="16">
        <f>HYPERLINK("http://csr.bu.edu/ftp/asl/asllvd/demos/verify_start_end_handshape_annotations//test_auto_move//signs_mov/36.mov","MOV")</f>
        <v>21</v>
      </c>
      <c r="L159" t="s" s="16">
        <f>HYPERLINK("http://csr.bu.edu/ftp/asl/asllvd/demos/verify_start_end_handshape_annotations//test_auto_move//signs_mov_separ_signers/Liz_36.mov","MOV")</f>
        <v>21</v>
      </c>
      <c r="M159" t="s" s="10">
        <v>22</v>
      </c>
      <c r="N159" s="17">
        <v>5</v>
      </c>
      <c r="O159" s="18">
        <v>2015</v>
      </c>
      <c r="P159" s="18">
        <v>2041</v>
      </c>
      <c r="Q159" t="s" s="16">
        <f>HYPERLINK("http://secrets.rutgers.edu:8080/data/asl-ftp/asllvd/demos/verify_start_end_handshape_annotations//test_auto_move//signs_mov/36.mov","MOV")</f>
        <v>21</v>
      </c>
      <c r="R159" t="s" s="16">
        <f>HYPERLINK("http://secrets.rutgers.edu:8080/data/asl-ftp/asllvd/demos/verify_start_end_handshape_annotations//test_auto_move//signs_mov_separ_signers/Liz_36.mov","MOV")</f>
        <v>21</v>
      </c>
    </row>
    <row r="160" s="2" customFormat="1" ht="13.5" customHeight="1">
      <c r="B160" s="13"/>
      <c r="C160" t="s" s="9">
        <v>27</v>
      </c>
      <c r="D160" t="s" s="8">
        <v>120</v>
      </c>
      <c r="E160" t="s" s="9">
        <v>120</v>
      </c>
      <c r="F160" t="s" s="10">
        <v>68</v>
      </c>
      <c r="G160" t="s" s="11">
        <v>68</v>
      </c>
      <c r="H160" t="s" s="10">
        <v>68</v>
      </c>
      <c r="I160" t="s" s="11">
        <v>68</v>
      </c>
      <c r="J160" t="s" s="11">
        <v>20</v>
      </c>
      <c r="K160" s="15"/>
      <c r="L160" t="s" s="16">
        <f>HYPERLINK("http://csr.bu.edu/ftp/asl/asllvd/demos/verify_start_end_handshape_annotations//test_auto_move//signs_mov_separ_signers/Naomi_36.mov","MOV")</f>
        <v>21</v>
      </c>
      <c r="M160" t="s" s="10">
        <v>29</v>
      </c>
      <c r="N160" s="17">
        <v>4</v>
      </c>
      <c r="O160" s="18">
        <v>3407</v>
      </c>
      <c r="P160" s="18">
        <v>3438</v>
      </c>
      <c r="Q160" s="15"/>
      <c r="R160" t="s" s="16">
        <f>HYPERLINK("http://secrets.rutgers.edu:8080/data/asl-ftp/asllvd/demos/verify_start_end_handshape_annotations//test_auto_move//signs_mov_separ_signers/Naomi_36.mov","MOV")</f>
        <v>21</v>
      </c>
    </row>
    <row r="161" s="2" customFormat="1" ht="13.5" customHeight="1">
      <c r="B161" t="s" s="8">
        <v>52</v>
      </c>
      <c r="C161" t="s" s="9">
        <v>53</v>
      </c>
      <c r="D161" t="s" s="8">
        <v>53</v>
      </c>
      <c r="E161" t="s" s="9">
        <v>53</v>
      </c>
      <c r="F161" t="s" s="10">
        <v>53</v>
      </c>
      <c r="G161" t="s" s="11">
        <v>53</v>
      </c>
      <c r="H161" t="s" s="10">
        <v>53</v>
      </c>
      <c r="I161" t="s" s="11">
        <v>53</v>
      </c>
      <c r="J161" t="s" s="11">
        <v>53</v>
      </c>
      <c r="K161" t="s" s="12">
        <v>53</v>
      </c>
      <c r="L161" t="s" s="12">
        <v>53</v>
      </c>
      <c r="M161" t="s" s="10">
        <v>53</v>
      </c>
      <c r="N161" t="s" s="11">
        <v>53</v>
      </c>
      <c r="O161" t="s" s="8">
        <v>53</v>
      </c>
      <c r="P161" t="s" s="8">
        <v>53</v>
      </c>
      <c r="Q161" t="s" s="12">
        <v>53</v>
      </c>
      <c r="R161" t="s" s="12">
        <v>53</v>
      </c>
    </row>
    <row r="162" s="2" customFormat="1" ht="13.5" customHeight="1">
      <c r="B162" s="13"/>
      <c r="C162" t="s" s="9">
        <v>16</v>
      </c>
      <c r="D162" t="s" s="8">
        <v>120</v>
      </c>
      <c r="E162" t="s" s="9">
        <v>121</v>
      </c>
      <c r="F162" s="19">
        <v>5</v>
      </c>
      <c r="G162" s="17">
        <v>5</v>
      </c>
      <c r="H162" t="s" s="10">
        <v>63</v>
      </c>
      <c r="I162" t="s" s="11">
        <v>63</v>
      </c>
      <c r="J162" t="s" s="11">
        <v>20</v>
      </c>
      <c r="K162" s="15"/>
      <c r="L162" t="s" s="16">
        <f>HYPERLINK("http://csr.bu.edu/ftp/asl/asllvd/demos/verify_start_end_handshape_annotations//test_auto_move//signs_mov_separ_signers/Liz_3567.mov","MOV")</f>
        <v>21</v>
      </c>
      <c r="M162" t="s" s="10">
        <v>22</v>
      </c>
      <c r="N162" s="17">
        <v>5</v>
      </c>
      <c r="O162" s="18">
        <v>1795</v>
      </c>
      <c r="P162" s="18">
        <v>1840</v>
      </c>
      <c r="Q162" s="15"/>
      <c r="R162" t="s" s="16">
        <f>HYPERLINK("http://secrets.rutgers.edu:8080/data/asl-ftp/asllvd/demos/verify_start_end_handshape_annotations//test_auto_move//signs_mov_separ_signers/Liz_3567.mov","MOV")</f>
        <v>21</v>
      </c>
    </row>
    <row r="163" s="2" customFormat="1" ht="13.5" customHeight="1">
      <c r="B163" s="13"/>
      <c r="C163" t="s" s="9">
        <v>27</v>
      </c>
      <c r="D163" t="s" s="8">
        <v>120</v>
      </c>
      <c r="E163" t="s" s="9">
        <v>121</v>
      </c>
      <c r="F163" s="19">
        <v>5</v>
      </c>
      <c r="G163" s="17">
        <v>5</v>
      </c>
      <c r="H163" s="19">
        <v>10</v>
      </c>
      <c r="I163" s="17">
        <v>10</v>
      </c>
      <c r="J163" t="s" s="11">
        <v>20</v>
      </c>
      <c r="K163" t="s" s="16">
        <f>HYPERLINK("http://csr.bu.edu/ftp/asl/asllvd/demos/verify_start_end_handshape_annotations//test_auto_move//signs_mov/3567.mov","MOV")</f>
        <v>21</v>
      </c>
      <c r="L163" t="s" s="16">
        <f>HYPERLINK("http://csr.bu.edu/ftp/asl/asllvd/demos/verify_start_end_handshape_annotations//test_auto_move//signs_mov_separ_signers/Naomi_3567.mov","MOV")</f>
        <v>21</v>
      </c>
      <c r="M163" t="s" s="10">
        <v>29</v>
      </c>
      <c r="N163" s="17">
        <v>4</v>
      </c>
      <c r="O163" s="18">
        <v>3147</v>
      </c>
      <c r="P163" s="18">
        <v>3174</v>
      </c>
      <c r="Q163" t="s" s="16">
        <f>HYPERLINK("http://secrets.rutgers.edu:8080/data/asl-ftp/asllvd/demos/verify_start_end_handshape_annotations//test_auto_move//signs_mov/3567.mov","MOV")</f>
        <v>21</v>
      </c>
      <c r="R163" t="s" s="16">
        <f>HYPERLINK("http://secrets.rutgers.edu:8080/data/asl-ftp/asllvd/demos/verify_start_end_handshape_annotations//test_auto_move//signs_mov_separ_signers/Naomi_3567.mov","MOV")</f>
        <v>21</v>
      </c>
    </row>
    <row r="164" s="2" customFormat="1" ht="13.5" customHeight="1">
      <c r="B164" s="13"/>
      <c r="C164" t="s" s="9">
        <v>41</v>
      </c>
      <c r="D164" t="s" s="8">
        <v>120</v>
      </c>
      <c r="E164" t="s" s="9">
        <v>121</v>
      </c>
      <c r="F164" s="19">
        <v>5</v>
      </c>
      <c r="G164" s="17">
        <v>5</v>
      </c>
      <c r="H164" t="s" s="10">
        <v>68</v>
      </c>
      <c r="I164" t="s" s="11">
        <v>68</v>
      </c>
      <c r="J164" t="s" s="11">
        <v>20</v>
      </c>
      <c r="K164" s="15"/>
      <c r="L164" t="s" s="16">
        <f>HYPERLINK("http://csr.bu.edu/ftp/asl/asllvd/demos/verify_start_end_handshape_annotations//test_auto_move//signs_mov_separ_signers/Lana_3567.mov","MOV")</f>
        <v>21</v>
      </c>
      <c r="M164" t="s" s="10">
        <v>42</v>
      </c>
      <c r="N164" s="17">
        <v>2</v>
      </c>
      <c r="O164" s="18">
        <v>519</v>
      </c>
      <c r="P164" s="18">
        <v>562</v>
      </c>
      <c r="Q164" s="15"/>
      <c r="R164" t="s" s="16">
        <f>HYPERLINK("http://secrets.rutgers.edu:8080/data/asl-ftp/asllvd/demos/verify_start_end_handshape_annotations//test_auto_move//signs_mov_separ_signers/Lana_3567.mov","MOV")</f>
        <v>21</v>
      </c>
    </row>
    <row r="165" s="2" customFormat="1" ht="13.5" customHeight="1">
      <c r="B165" s="13"/>
      <c r="C165" t="s" s="9">
        <v>43</v>
      </c>
      <c r="D165" t="s" s="8">
        <v>120</v>
      </c>
      <c r="E165" t="s" s="9">
        <v>121</v>
      </c>
      <c r="F165" s="19">
        <v>5</v>
      </c>
      <c r="G165" s="17">
        <v>5</v>
      </c>
      <c r="H165" t="s" s="10">
        <v>68</v>
      </c>
      <c r="I165" t="s" s="11">
        <v>68</v>
      </c>
      <c r="J165" t="s" s="11">
        <v>20</v>
      </c>
      <c r="K165" s="15"/>
      <c r="L165" t="s" s="16">
        <f>HYPERLINK("http://csr.bu.edu/ftp/asl/asllvd/demos/verify_start_end_handshape_annotations//test_auto_move//signs_mov_separ_signers/Dana_3567.mov","MOV")</f>
        <v>21</v>
      </c>
      <c r="M165" t="s" s="10">
        <v>44</v>
      </c>
      <c r="N165" s="17">
        <v>5</v>
      </c>
      <c r="O165" s="18">
        <v>632</v>
      </c>
      <c r="P165" s="18">
        <v>660</v>
      </c>
      <c r="Q165" s="15"/>
      <c r="R165" t="s" s="16">
        <f>HYPERLINK("http://secrets.rutgers.edu:8080/data/asl-ftp/asllvd/demos/verify_start_end_handshape_annotations//test_auto_move//signs_mov_separ_signers/Dana_3567.mov","MOV")</f>
        <v>21</v>
      </c>
    </row>
    <row r="166" s="2" customFormat="1" ht="13.5" customHeight="1">
      <c r="B166" t="s" s="8">
        <v>52</v>
      </c>
      <c r="C166" t="s" s="9">
        <v>53</v>
      </c>
      <c r="D166" t="s" s="8">
        <v>53</v>
      </c>
      <c r="E166" t="s" s="9">
        <v>53</v>
      </c>
      <c r="F166" t="s" s="10">
        <v>53</v>
      </c>
      <c r="G166" t="s" s="11">
        <v>53</v>
      </c>
      <c r="H166" t="s" s="10">
        <v>53</v>
      </c>
      <c r="I166" t="s" s="11">
        <v>53</v>
      </c>
      <c r="J166" t="s" s="11">
        <v>53</v>
      </c>
      <c r="K166" t="s" s="12">
        <v>53</v>
      </c>
      <c r="L166" t="s" s="12">
        <v>53</v>
      </c>
      <c r="M166" t="s" s="10">
        <v>53</v>
      </c>
      <c r="N166" t="s" s="11">
        <v>53</v>
      </c>
      <c r="O166" t="s" s="8">
        <v>53</v>
      </c>
      <c r="P166" t="s" s="8">
        <v>53</v>
      </c>
      <c r="Q166" t="s" s="12">
        <v>53</v>
      </c>
      <c r="R166" t="s" s="12">
        <v>53</v>
      </c>
    </row>
    <row r="167" s="2" customFormat="1" ht="13.5" customHeight="1">
      <c r="B167" s="13"/>
      <c r="C167" t="s" s="9">
        <v>23</v>
      </c>
      <c r="D167" t="s" s="8">
        <v>120</v>
      </c>
      <c r="E167" t="s" s="9">
        <v>122</v>
      </c>
      <c r="F167" s="19">
        <v>3</v>
      </c>
      <c r="G167" s="17">
        <v>3</v>
      </c>
      <c r="H167" t="s" s="10">
        <v>68</v>
      </c>
      <c r="I167" t="s" s="11">
        <v>63</v>
      </c>
      <c r="J167" t="s" s="11">
        <v>20</v>
      </c>
      <c r="K167" t="s" s="16">
        <f>HYPERLINK("http://csr.bu.edu/ftp/asl/asllvd/demos/verify_start_end_handshape_annotations//test_auto_move//signs_mov/5086.mov","MOV")</f>
        <v>21</v>
      </c>
      <c r="L167" t="s" s="16">
        <f>HYPERLINK("http://csr.bu.edu/ftp/asl/asllvd/demos/verify_start_end_handshape_annotations//test_auto_move//signs_mov_separ_signers/Tyler_5086.mov","MOV")</f>
        <v>21</v>
      </c>
      <c r="M167" t="s" s="10">
        <v>26</v>
      </c>
      <c r="N167" s="17">
        <v>4</v>
      </c>
      <c r="O167" s="18">
        <v>1705</v>
      </c>
      <c r="P167" s="18">
        <v>1725</v>
      </c>
      <c r="Q167" t="s" s="16">
        <f>HYPERLINK("http://secrets.rutgers.edu:8080/data/asl-ftp/asllvd/demos/verify_start_end_handshape_annotations//test_auto_move//signs_mov/5086.mov","MOV")</f>
        <v>21</v>
      </c>
      <c r="R167" t="s" s="16">
        <f>HYPERLINK("http://secrets.rutgers.edu:8080/data/asl-ftp/asllvd/demos/verify_start_end_handshape_annotations//test_auto_move//signs_mov_separ_signers/Tyler_5086.mov","MOV")</f>
        <v>21</v>
      </c>
    </row>
    <row r="168" s="2" customFormat="1" ht="13.5" customHeight="1">
      <c r="B168" t="s" s="8">
        <v>123</v>
      </c>
      <c r="C168" t="s" s="9">
        <v>14</v>
      </c>
      <c r="D168" t="s" s="8">
        <v>14</v>
      </c>
      <c r="E168" t="s" s="9">
        <v>14</v>
      </c>
      <c r="F168" t="s" s="10">
        <v>14</v>
      </c>
      <c r="G168" t="s" s="11">
        <v>14</v>
      </c>
      <c r="H168" t="s" s="10">
        <v>14</v>
      </c>
      <c r="I168" t="s" s="11">
        <v>14</v>
      </c>
      <c r="J168" t="s" s="11">
        <v>14</v>
      </c>
      <c r="K168" t="s" s="12">
        <v>14</v>
      </c>
      <c r="L168" t="s" s="12">
        <v>14</v>
      </c>
      <c r="M168" t="s" s="10">
        <v>14</v>
      </c>
      <c r="N168" t="s" s="11">
        <v>14</v>
      </c>
      <c r="O168" t="s" s="8">
        <v>14</v>
      </c>
      <c r="P168" t="s" s="8">
        <v>14</v>
      </c>
      <c r="Q168" t="s" s="12">
        <v>14</v>
      </c>
      <c r="R168" t="s" s="12">
        <v>14</v>
      </c>
    </row>
    <row r="169" s="2" customFormat="1" ht="13.5" customHeight="1">
      <c r="B169" s="13"/>
      <c r="C169" t="s" s="9">
        <v>16</v>
      </c>
      <c r="D169" t="s" s="8">
        <v>124</v>
      </c>
      <c r="E169" t="s" s="9">
        <v>124</v>
      </c>
      <c r="F169" s="19">
        <v>5</v>
      </c>
      <c r="G169" t="s" s="11">
        <v>73</v>
      </c>
      <c r="H169" t="s" s="10">
        <v>68</v>
      </c>
      <c r="I169" t="s" s="11">
        <v>73</v>
      </c>
      <c r="J169" t="s" s="11">
        <v>20</v>
      </c>
      <c r="K169" s="15"/>
      <c r="L169" t="s" s="16">
        <f>HYPERLINK("http://csr.bu.edu/ftp/asl/asllvd/demos/verify_start_end_handshape_annotations//test_auto_move//signs_mov_separ_signers/Liz_5987.mov","MOV")</f>
        <v>21</v>
      </c>
      <c r="M169" t="s" s="10">
        <v>84</v>
      </c>
      <c r="N169" s="17">
        <v>8</v>
      </c>
      <c r="O169" s="18">
        <v>266</v>
      </c>
      <c r="P169" s="18">
        <v>297</v>
      </c>
      <c r="Q169" s="15"/>
      <c r="R169" t="s" s="16">
        <f>HYPERLINK("http://secrets.rutgers.edu:8080/data/asl-ftp/asllvd/demos/verify_start_end_handshape_annotations//test_auto_move//signs_mov_separ_signers/Liz_5987.mov","MOV")</f>
        <v>21</v>
      </c>
    </row>
    <row r="170" s="2" customFormat="1" ht="13.5" customHeight="1">
      <c r="B170" s="13"/>
      <c r="C170" t="s" s="9">
        <v>23</v>
      </c>
      <c r="D170" t="s" s="8">
        <v>124</v>
      </c>
      <c r="E170" t="s" s="9">
        <v>124</v>
      </c>
      <c r="F170" s="19">
        <v>5</v>
      </c>
      <c r="G170" t="s" s="11">
        <v>73</v>
      </c>
      <c r="H170" t="s" s="10">
        <v>63</v>
      </c>
      <c r="I170" t="s" s="11">
        <v>73</v>
      </c>
      <c r="J170" t="s" s="11">
        <v>20</v>
      </c>
      <c r="K170" t="s" s="16">
        <f>HYPERLINK("http://csr.bu.edu/ftp/asl/asllvd/demos/verify_start_end_handshape_annotations//test_auto_move//signs_mov/5987.mov","MOV")</f>
        <v>21</v>
      </c>
      <c r="L170" t="s" s="16">
        <f>HYPERLINK("http://csr.bu.edu/ftp/asl/asllvd/demos/verify_start_end_handshape_annotations//test_auto_move//signs_mov_separ_signers/Tyler_5987.mov","MOV")</f>
        <v>21</v>
      </c>
      <c r="M170" t="s" s="10">
        <v>125</v>
      </c>
      <c r="N170" s="17">
        <v>7</v>
      </c>
      <c r="O170" s="18">
        <v>3299</v>
      </c>
      <c r="P170" s="18">
        <v>3335</v>
      </c>
      <c r="Q170" t="s" s="16">
        <f>HYPERLINK("http://secrets.rutgers.edu:8080/data/asl-ftp/asllvd/demos/verify_start_end_handshape_annotations//test_auto_move//signs_mov/5987.mov","MOV")</f>
        <v>21</v>
      </c>
      <c r="R170" t="s" s="16">
        <f>HYPERLINK("http://secrets.rutgers.edu:8080/data/asl-ftp/asllvd/demos/verify_start_end_handshape_annotations//test_auto_move//signs_mov_separ_signers/Tyler_5987.mov","MOV")</f>
        <v>21</v>
      </c>
    </row>
    <row r="171" s="2" customFormat="1" ht="13.5" customHeight="1">
      <c r="B171" s="13"/>
      <c r="C171" t="s" s="9">
        <v>27</v>
      </c>
      <c r="D171" t="s" s="8">
        <v>124</v>
      </c>
      <c r="E171" t="s" s="9">
        <v>124</v>
      </c>
      <c r="F171" s="19">
        <v>5</v>
      </c>
      <c r="G171" s="17">
        <v>5</v>
      </c>
      <c r="H171" t="s" s="10">
        <v>63</v>
      </c>
      <c r="I171" s="17">
        <v>5</v>
      </c>
      <c r="J171" t="s" s="11">
        <v>20</v>
      </c>
      <c r="K171" s="15"/>
      <c r="L171" t="s" s="16">
        <f>HYPERLINK("http://csr.bu.edu/ftp/asl/asllvd/demos/verify_start_end_handshape_annotations//test_auto_move//signs_mov_separ_signers/Naomi_5987.mov","MOV")</f>
        <v>21</v>
      </c>
      <c r="M171" t="s" s="10">
        <v>86</v>
      </c>
      <c r="N171" s="17">
        <v>7</v>
      </c>
      <c r="O171" s="18">
        <v>4397</v>
      </c>
      <c r="P171" s="18">
        <v>4430</v>
      </c>
      <c r="Q171" s="15"/>
      <c r="R171" t="s" s="16">
        <f>HYPERLINK("http://secrets.rutgers.edu:8080/data/asl-ftp/asllvd/demos/verify_start_end_handshape_annotations//test_auto_move//signs_mov_separ_signers/Naomi_5987.mov","MOV")</f>
        <v>21</v>
      </c>
    </row>
    <row r="172" s="2" customFormat="1" ht="13.5" customHeight="1">
      <c r="B172" s="13"/>
      <c r="C172" t="s" s="9">
        <v>30</v>
      </c>
      <c r="D172" t="s" s="8">
        <v>124</v>
      </c>
      <c r="E172" t="s" s="9">
        <v>124</v>
      </c>
      <c r="F172" s="19">
        <v>5</v>
      </c>
      <c r="G172" s="17">
        <v>5</v>
      </c>
      <c r="H172" t="s" s="10">
        <v>68</v>
      </c>
      <c r="I172" s="17">
        <v>5</v>
      </c>
      <c r="J172" t="s" s="11">
        <v>20</v>
      </c>
      <c r="K172" s="15"/>
      <c r="L172" t="s" s="16">
        <f>HYPERLINK("http://csr.bu.edu/ftp/asl/asllvd/demos/verify_start_end_handshape_annotations//test_auto_move//signs_mov_separ_signers/Brady_5987.mov","MOV")</f>
        <v>21</v>
      </c>
      <c r="M172" t="s" s="10">
        <v>31</v>
      </c>
      <c r="N172" s="17">
        <v>31</v>
      </c>
      <c r="O172" s="18">
        <v>3061</v>
      </c>
      <c r="P172" s="18">
        <v>3084</v>
      </c>
      <c r="Q172" s="15"/>
      <c r="R172" t="s" s="16">
        <f>HYPERLINK("http://secrets.rutgers.edu:8080/data/asl-ftp/asllvd/demos/verify_start_end_handshape_annotations//test_auto_move//signs_mov_separ_signers/Brady_5987.mov","MOV")</f>
        <v>21</v>
      </c>
    </row>
    <row r="173" s="2" customFormat="1" ht="13.5" customHeight="1">
      <c r="B173" t="s" s="8">
        <v>126</v>
      </c>
      <c r="C173" t="s" s="9">
        <v>14</v>
      </c>
      <c r="D173" t="s" s="8">
        <v>14</v>
      </c>
      <c r="E173" t="s" s="9">
        <v>14</v>
      </c>
      <c r="F173" t="s" s="10">
        <v>14</v>
      </c>
      <c r="G173" t="s" s="11">
        <v>14</v>
      </c>
      <c r="H173" t="s" s="10">
        <v>14</v>
      </c>
      <c r="I173" t="s" s="11">
        <v>14</v>
      </c>
      <c r="J173" t="s" s="11">
        <v>14</v>
      </c>
      <c r="K173" t="s" s="12">
        <v>14</v>
      </c>
      <c r="L173" t="s" s="12">
        <v>14</v>
      </c>
      <c r="M173" t="s" s="10">
        <v>14</v>
      </c>
      <c r="N173" t="s" s="11">
        <v>14</v>
      </c>
      <c r="O173" t="s" s="8">
        <v>14</v>
      </c>
      <c r="P173" t="s" s="8">
        <v>14</v>
      </c>
      <c r="Q173" t="s" s="12">
        <v>14</v>
      </c>
      <c r="R173" t="s" s="12">
        <v>14</v>
      </c>
    </row>
    <row r="174" s="2" customFormat="1" ht="13.5" customHeight="1">
      <c r="B174" s="13"/>
      <c r="C174" t="s" s="9">
        <v>16</v>
      </c>
      <c r="D174" t="s" s="8">
        <v>126</v>
      </c>
      <c r="E174" t="s" s="9">
        <v>126</v>
      </c>
      <c r="F174" t="s" s="10">
        <v>63</v>
      </c>
      <c r="G174" t="s" s="11">
        <v>63</v>
      </c>
      <c r="H174" t="s" s="10">
        <v>63</v>
      </c>
      <c r="I174" t="s" s="11">
        <v>63</v>
      </c>
      <c r="J174" t="s" s="11">
        <v>20</v>
      </c>
      <c r="K174" t="s" s="16">
        <f>HYPERLINK("http://csr.bu.edu/ftp/asl/asllvd/demos/verify_start_end_handshape_annotations//test_auto_move//signs_mov/38.mov","MOV")</f>
        <v>21</v>
      </c>
      <c r="L174" t="s" s="16">
        <f>HYPERLINK("http://csr.bu.edu/ftp/asl/asllvd/demos/verify_start_end_handshape_annotations//test_auto_move//signs_mov_separ_signers/Liz_38.mov","MOV")</f>
        <v>21</v>
      </c>
      <c r="M174" t="s" s="10">
        <v>22</v>
      </c>
      <c r="N174" s="17">
        <v>5</v>
      </c>
      <c r="O174" s="18">
        <v>2241</v>
      </c>
      <c r="P174" s="18">
        <v>2280</v>
      </c>
      <c r="Q174" t="s" s="16">
        <f>HYPERLINK("http://secrets.rutgers.edu:8080/data/asl-ftp/asllvd/demos/verify_start_end_handshape_annotations//test_auto_move//signs_mov/38.mov","MOV")</f>
        <v>21</v>
      </c>
      <c r="R174" t="s" s="16">
        <f>HYPERLINK("http://secrets.rutgers.edu:8080/data/asl-ftp/asllvd/demos/verify_start_end_handshape_annotations//test_auto_move//signs_mov_separ_signers/Liz_38.mov","MOV")</f>
        <v>21</v>
      </c>
    </row>
    <row r="175" s="2" customFormat="1" ht="13.5" customHeight="1">
      <c r="B175" s="13"/>
      <c r="C175" t="s" s="9">
        <v>27</v>
      </c>
      <c r="D175" t="s" s="8">
        <v>126</v>
      </c>
      <c r="E175" t="s" s="9">
        <v>126</v>
      </c>
      <c r="F175" t="s" s="10">
        <v>63</v>
      </c>
      <c r="G175" t="s" s="11">
        <v>63</v>
      </c>
      <c r="H175" t="s" s="10">
        <v>63</v>
      </c>
      <c r="I175" t="s" s="11">
        <v>63</v>
      </c>
      <c r="J175" t="s" s="11">
        <v>20</v>
      </c>
      <c r="K175" s="15"/>
      <c r="L175" t="s" s="16">
        <f>HYPERLINK("http://csr.bu.edu/ftp/asl/asllvd/demos/verify_start_end_handshape_annotations//test_auto_move//signs_mov_separ_signers/Naomi_38.mov","MOV")</f>
        <v>21</v>
      </c>
      <c r="M175" t="s" s="10">
        <v>29</v>
      </c>
      <c r="N175" s="17">
        <v>4</v>
      </c>
      <c r="O175" s="18">
        <v>3809</v>
      </c>
      <c r="P175" s="18">
        <v>3828</v>
      </c>
      <c r="Q175" s="15"/>
      <c r="R175" t="s" s="16">
        <f>HYPERLINK("http://secrets.rutgers.edu:8080/data/asl-ftp/asllvd/demos/verify_start_end_handshape_annotations//test_auto_move//signs_mov_separ_signers/Naomi_38.mov","MOV")</f>
        <v>21</v>
      </c>
    </row>
    <row r="176" s="2" customFormat="1" ht="13.5" customHeight="1">
      <c r="B176" t="s" s="8">
        <v>127</v>
      </c>
      <c r="C176" t="s" s="9">
        <v>14</v>
      </c>
      <c r="D176" t="s" s="8">
        <v>14</v>
      </c>
      <c r="E176" t="s" s="9">
        <v>14</v>
      </c>
      <c r="F176" t="s" s="10">
        <v>14</v>
      </c>
      <c r="G176" t="s" s="11">
        <v>14</v>
      </c>
      <c r="H176" t="s" s="10">
        <v>14</v>
      </c>
      <c r="I176" t="s" s="11">
        <v>14</v>
      </c>
      <c r="J176" t="s" s="11">
        <v>14</v>
      </c>
      <c r="K176" t="s" s="12">
        <v>14</v>
      </c>
      <c r="L176" t="s" s="12">
        <v>14</v>
      </c>
      <c r="M176" t="s" s="10">
        <v>14</v>
      </c>
      <c r="N176" t="s" s="11">
        <v>14</v>
      </c>
      <c r="O176" t="s" s="8">
        <v>14</v>
      </c>
      <c r="P176" t="s" s="8">
        <v>14</v>
      </c>
      <c r="Q176" t="s" s="12">
        <v>14</v>
      </c>
      <c r="R176" t="s" s="12">
        <v>14</v>
      </c>
    </row>
    <row r="177" s="2" customFormat="1" ht="27.75" customHeight="1">
      <c r="B177" s="13"/>
      <c r="C177" t="s" s="9">
        <v>16</v>
      </c>
      <c r="D177" t="s" s="8">
        <v>127</v>
      </c>
      <c r="E177" t="s" s="9">
        <v>128</v>
      </c>
      <c r="F177" t="s" s="10">
        <v>63</v>
      </c>
      <c r="G177" t="s" s="11">
        <v>63</v>
      </c>
      <c r="H177" t="s" s="10">
        <v>63</v>
      </c>
      <c r="I177" t="s" s="11">
        <v>63</v>
      </c>
      <c r="J177" t="s" s="11">
        <v>20</v>
      </c>
      <c r="K177" s="15"/>
      <c r="L177" t="s" s="16">
        <f>HYPERLINK("http://csr.bu.edu/ftp/asl/asllvd/demos/verify_start_end_handshape_annotations//test_auto_move//signs_mov_separ_signers/Liz_15171.mov","MOV")</f>
        <v>21</v>
      </c>
      <c r="M177" t="s" s="10">
        <v>34</v>
      </c>
      <c r="N177" s="17">
        <v>8</v>
      </c>
      <c r="O177" s="18">
        <v>280</v>
      </c>
      <c r="P177" s="18">
        <v>360</v>
      </c>
      <c r="Q177" s="15"/>
      <c r="R177" t="s" s="16">
        <f>HYPERLINK("http://secrets.rutgers.edu:8080/data/asl-ftp/asllvd/demos/verify_start_end_handshape_annotations//test_auto_move//signs_mov_separ_signers/Liz_15171.mov","MOV")</f>
        <v>21</v>
      </c>
    </row>
    <row r="178" s="2" customFormat="1" ht="13.5" customHeight="1">
      <c r="B178" s="13"/>
      <c r="C178" t="s" s="9">
        <v>16</v>
      </c>
      <c r="D178" t="s" s="8">
        <v>127</v>
      </c>
      <c r="E178" t="s" s="9">
        <v>129</v>
      </c>
      <c r="F178" s="19">
        <v>10</v>
      </c>
      <c r="G178" s="17">
        <v>10</v>
      </c>
      <c r="H178" s="19">
        <v>10</v>
      </c>
      <c r="I178" s="17">
        <v>10</v>
      </c>
      <c r="J178" t="s" s="11">
        <v>20</v>
      </c>
      <c r="K178" s="15"/>
      <c r="L178" t="s" s="16">
        <f>HYPERLINK("http://csr.bu.edu/ftp/asl/asllvd/demos/verify_start_end_handshape_annotations//test_auto_move//signs_mov_separ_signers/Liz_15213.mov","MOV")</f>
        <v>21</v>
      </c>
      <c r="M178" t="s" s="10">
        <v>59</v>
      </c>
      <c r="N178" s="17">
        <v>19</v>
      </c>
      <c r="O178" s="18">
        <v>1425</v>
      </c>
      <c r="P178" s="18">
        <v>1460</v>
      </c>
      <c r="Q178" s="15"/>
      <c r="R178" t="s" s="16">
        <f>HYPERLINK("http://secrets.rutgers.edu:8080/data/asl-ftp/asllvd/demos/verify_start_end_handshape_annotations//test_auto_move//signs_mov_separ_signers/Liz_15213.mov","MOV")</f>
        <v>21</v>
      </c>
    </row>
    <row r="179" s="2" customFormat="1" ht="13.5" customHeight="1">
      <c r="B179" s="13"/>
      <c r="C179" t="s" s="9">
        <v>27</v>
      </c>
      <c r="D179" t="s" s="8">
        <v>127</v>
      </c>
      <c r="E179" t="s" s="9">
        <v>130</v>
      </c>
      <c r="F179" t="s" s="10">
        <v>63</v>
      </c>
      <c r="G179" t="s" s="11">
        <v>63</v>
      </c>
      <c r="H179" t="s" s="10">
        <v>63</v>
      </c>
      <c r="I179" t="s" s="11">
        <v>63</v>
      </c>
      <c r="J179" t="s" s="11">
        <v>20</v>
      </c>
      <c r="K179" t="s" s="16">
        <f>HYPERLINK("http://csr.bu.edu/ftp/asl/asllvd/demos/verify_start_end_handshape_annotations//test_auto_move//signs_mov/15171_15213_merged.mov","MOV")</f>
        <v>21</v>
      </c>
      <c r="L179" t="s" s="16">
        <f>HYPERLINK("http://csr.bu.edu/ftp/asl/asllvd/demos/verify_start_end_handshape_annotations//test_auto_move//signs_mov_separ_signers/Naomi_15171.mov","MOV")</f>
        <v>21</v>
      </c>
      <c r="M179" t="s" s="10">
        <v>38</v>
      </c>
      <c r="N179" s="17">
        <v>6</v>
      </c>
      <c r="O179" s="18">
        <v>3900</v>
      </c>
      <c r="P179" s="18">
        <v>3940</v>
      </c>
      <c r="Q179" t="s" s="16">
        <f>HYPERLINK("http://secrets.rutgers.edu:8080/data/asl-ftp/asllvd/demos/verify_start_end_handshape_annotations//test_auto_move//signs_mov/15171_15213_merged.mov","MOV")</f>
        <v>21</v>
      </c>
      <c r="R179" t="s" s="16">
        <f>HYPERLINK("http://secrets.rutgers.edu:8080/data/asl-ftp/asllvd/demos/verify_start_end_handshape_annotations//test_auto_move//signs_mov_separ_signers/Naomi_15171.mov","MOV")</f>
        <v>21</v>
      </c>
    </row>
    <row r="180" s="2" customFormat="1" ht="13.5" customHeight="1">
      <c r="B180" s="13"/>
      <c r="C180" t="s" s="9">
        <v>30</v>
      </c>
      <c r="D180" t="s" s="8">
        <v>127</v>
      </c>
      <c r="E180" t="s" s="9">
        <v>130</v>
      </c>
      <c r="F180" t="s" s="10">
        <v>63</v>
      </c>
      <c r="G180" t="s" s="11">
        <v>63</v>
      </c>
      <c r="H180" t="s" s="10">
        <v>63</v>
      </c>
      <c r="I180" t="s" s="11">
        <v>63</v>
      </c>
      <c r="J180" t="s" s="11">
        <v>20</v>
      </c>
      <c r="K180" s="15"/>
      <c r="L180" t="s" s="16">
        <f>HYPERLINK("http://csr.bu.edu/ftp/asl/asllvd/demos/verify_start_end_handshape_annotations//test_auto_move//signs_mov_separ_signers/Brady_15171.mov","MOV")</f>
        <v>21</v>
      </c>
      <c r="M180" t="s" s="10">
        <v>39</v>
      </c>
      <c r="N180" s="17">
        <v>27</v>
      </c>
      <c r="O180" s="18">
        <v>1225</v>
      </c>
      <c r="P180" s="18">
        <v>1263</v>
      </c>
      <c r="Q180" s="15"/>
      <c r="R180" t="s" s="16">
        <f>HYPERLINK("http://secrets.rutgers.edu:8080/data/asl-ftp/asllvd/demos/verify_start_end_handshape_annotations//test_auto_move//signs_mov_separ_signers/Brady_15171.mov","MOV")</f>
        <v>21</v>
      </c>
    </row>
    <row r="181" s="2" customFormat="1" ht="13.5" customHeight="1">
      <c r="B181" s="13"/>
      <c r="C181" t="s" s="9">
        <v>30</v>
      </c>
      <c r="D181" t="s" s="8">
        <v>127</v>
      </c>
      <c r="E181" t="s" s="9">
        <v>130</v>
      </c>
      <c r="F181" t="s" s="10">
        <v>63</v>
      </c>
      <c r="G181" t="s" s="11">
        <v>63</v>
      </c>
      <c r="H181" t="s" s="10">
        <v>63</v>
      </c>
      <c r="I181" t="s" s="11">
        <v>63</v>
      </c>
      <c r="J181" t="s" s="11">
        <v>20</v>
      </c>
      <c r="K181" s="15"/>
      <c r="L181" t="s" s="16">
        <f>HYPERLINK("http://csr.bu.edu/ftp/asl/asllvd/demos/verify_start_end_handshape_annotations//test_auto_move//signs_mov_separ_signers/Brady_15213.mov","MOV")</f>
        <v>21</v>
      </c>
      <c r="M181" t="s" s="10">
        <v>60</v>
      </c>
      <c r="N181" s="17">
        <v>7</v>
      </c>
      <c r="O181" s="18">
        <v>1764</v>
      </c>
      <c r="P181" s="18">
        <v>1811</v>
      </c>
      <c r="Q181" s="15"/>
      <c r="R181" t="s" s="16">
        <f>HYPERLINK("http://secrets.rutgers.edu:8080/data/asl-ftp/asllvd/demos/verify_start_end_handshape_annotations//test_auto_move//signs_mov_separ_signers/Brady_15213.mov","MOV")</f>
        <v>21</v>
      </c>
    </row>
    <row r="182" s="2" customFormat="1" ht="13.5" customHeight="1">
      <c r="B182" t="s" s="8">
        <v>52</v>
      </c>
      <c r="C182" t="s" s="9">
        <v>53</v>
      </c>
      <c r="D182" t="s" s="8">
        <v>53</v>
      </c>
      <c r="E182" t="s" s="9">
        <v>53</v>
      </c>
      <c r="F182" t="s" s="10">
        <v>53</v>
      </c>
      <c r="G182" t="s" s="11">
        <v>53</v>
      </c>
      <c r="H182" t="s" s="10">
        <v>53</v>
      </c>
      <c r="I182" t="s" s="11">
        <v>53</v>
      </c>
      <c r="J182" t="s" s="11">
        <v>53</v>
      </c>
      <c r="K182" t="s" s="12">
        <v>53</v>
      </c>
      <c r="L182" t="s" s="12">
        <v>53</v>
      </c>
      <c r="M182" t="s" s="10">
        <v>53</v>
      </c>
      <c r="N182" t="s" s="11">
        <v>53</v>
      </c>
      <c r="O182" t="s" s="8">
        <v>53</v>
      </c>
      <c r="P182" t="s" s="8">
        <v>53</v>
      </c>
      <c r="Q182" t="s" s="12">
        <v>53</v>
      </c>
      <c r="R182" t="s" s="12">
        <v>53</v>
      </c>
    </row>
    <row r="183" s="2" customFormat="1" ht="13.5" customHeight="1">
      <c r="B183" s="13"/>
      <c r="C183" t="s" s="9">
        <v>16</v>
      </c>
      <c r="D183" t="s" s="8">
        <v>127</v>
      </c>
      <c r="E183" t="s" s="9">
        <v>131</v>
      </c>
      <c r="F183" t="s" s="10">
        <v>63</v>
      </c>
      <c r="G183" t="s" s="11">
        <v>63</v>
      </c>
      <c r="H183" t="s" s="10">
        <v>63</v>
      </c>
      <c r="I183" t="s" s="11">
        <v>63</v>
      </c>
      <c r="J183" t="s" s="11">
        <v>20</v>
      </c>
      <c r="K183" s="15"/>
      <c r="L183" t="s" s="16">
        <f>HYPERLINK("http://csr.bu.edu/ftp/asl/asllvd/demos/verify_start_end_handshape_annotations//test_auto_move//signs_mov_separ_signers/Liz_15281.mov","MOV")</f>
        <v>21</v>
      </c>
      <c r="M183" t="s" s="10">
        <v>22</v>
      </c>
      <c r="N183" s="17">
        <v>12</v>
      </c>
      <c r="O183" s="18">
        <v>1510</v>
      </c>
      <c r="P183" s="18">
        <v>1555</v>
      </c>
      <c r="Q183" s="15"/>
      <c r="R183" t="s" s="16">
        <f>HYPERLINK("http://secrets.rutgers.edu:8080/data/asl-ftp/asllvd/demos/verify_start_end_handshape_annotations//test_auto_move//signs_mov_separ_signers/Liz_15281.mov","MOV")</f>
        <v>21</v>
      </c>
    </row>
    <row r="184" s="2" customFormat="1" ht="13.5" customHeight="1">
      <c r="B184" s="13"/>
      <c r="C184" t="s" s="9">
        <v>23</v>
      </c>
      <c r="D184" t="s" s="8">
        <v>127</v>
      </c>
      <c r="E184" t="s" s="9">
        <v>131</v>
      </c>
      <c r="F184" t="s" s="10">
        <v>63</v>
      </c>
      <c r="G184" t="s" s="11">
        <v>63</v>
      </c>
      <c r="H184" t="s" s="10">
        <v>63</v>
      </c>
      <c r="I184" t="s" s="11">
        <v>63</v>
      </c>
      <c r="J184" t="s" s="11">
        <v>20</v>
      </c>
      <c r="K184" t="s" s="16">
        <f>HYPERLINK("http://csr.bu.edu/ftp/asl/asllvd/demos/verify_start_end_handshape_annotations//test_auto_move//signs_mov/15281.mov","MOV")</f>
        <v>21</v>
      </c>
      <c r="L184" t="s" s="16">
        <f>HYPERLINK("http://csr.bu.edu/ftp/asl/asllvd/demos/verify_start_end_handshape_annotations//test_auto_move//signs_mov_separ_signers/Tyler_15281.mov","MOV")</f>
        <v>21</v>
      </c>
      <c r="M184" t="s" s="10">
        <v>26</v>
      </c>
      <c r="N184" s="17">
        <v>10</v>
      </c>
      <c r="O184" s="18">
        <v>1590</v>
      </c>
      <c r="P184" s="18">
        <v>1630</v>
      </c>
      <c r="Q184" t="s" s="16">
        <f>HYPERLINK("http://secrets.rutgers.edu:8080/data/asl-ftp/asllvd/demos/verify_start_end_handshape_annotations//test_auto_move//signs_mov/15281.mov","MOV")</f>
        <v>21</v>
      </c>
      <c r="R184" t="s" s="16">
        <f>HYPERLINK("http://secrets.rutgers.edu:8080/data/asl-ftp/asllvd/demos/verify_start_end_handshape_annotations//test_auto_move//signs_mov_separ_signers/Tyler_15281.mov","MOV")</f>
        <v>21</v>
      </c>
    </row>
    <row r="185" s="2" customFormat="1" ht="13.5" customHeight="1">
      <c r="B185" s="13"/>
      <c r="C185" t="s" s="9">
        <v>27</v>
      </c>
      <c r="D185" t="s" s="8">
        <v>127</v>
      </c>
      <c r="E185" t="s" s="9">
        <v>131</v>
      </c>
      <c r="F185" t="s" s="10">
        <v>63</v>
      </c>
      <c r="G185" t="s" s="11">
        <v>63</v>
      </c>
      <c r="H185" t="s" s="10">
        <v>63</v>
      </c>
      <c r="I185" t="s" s="11">
        <v>63</v>
      </c>
      <c r="J185" t="s" s="11">
        <v>20</v>
      </c>
      <c r="K185" s="15"/>
      <c r="L185" t="s" s="16">
        <f>HYPERLINK("http://csr.bu.edu/ftp/asl/asllvd/demos/verify_start_end_handshape_annotations//test_auto_move//signs_mov_separ_signers/Naomi_15281.mov","MOV")</f>
        <v>21</v>
      </c>
      <c r="M185" t="s" s="10">
        <v>29</v>
      </c>
      <c r="N185" s="17">
        <v>9</v>
      </c>
      <c r="O185" s="18">
        <v>1237</v>
      </c>
      <c r="P185" s="18">
        <v>1277</v>
      </c>
      <c r="Q185" s="15"/>
      <c r="R185" t="s" s="16">
        <f>HYPERLINK("http://secrets.rutgers.edu:8080/data/asl-ftp/asllvd/demos/verify_start_end_handshape_annotations//test_auto_move//signs_mov_separ_signers/Naomi_15281.mov","MOV")</f>
        <v>21</v>
      </c>
    </row>
    <row r="186" s="2" customFormat="1" ht="13.5" customHeight="1">
      <c r="B186" t="s" s="8">
        <v>132</v>
      </c>
      <c r="C186" t="s" s="9">
        <v>14</v>
      </c>
      <c r="D186" t="s" s="8">
        <v>14</v>
      </c>
      <c r="E186" t="s" s="9">
        <v>14</v>
      </c>
      <c r="F186" t="s" s="10">
        <v>14</v>
      </c>
      <c r="G186" t="s" s="11">
        <v>14</v>
      </c>
      <c r="H186" t="s" s="10">
        <v>14</v>
      </c>
      <c r="I186" t="s" s="11">
        <v>14</v>
      </c>
      <c r="J186" t="s" s="11">
        <v>14</v>
      </c>
      <c r="K186" t="s" s="12">
        <v>14</v>
      </c>
      <c r="L186" t="s" s="12">
        <v>14</v>
      </c>
      <c r="M186" t="s" s="10">
        <v>14</v>
      </c>
      <c r="N186" t="s" s="11">
        <v>14</v>
      </c>
      <c r="O186" t="s" s="8">
        <v>14</v>
      </c>
      <c r="P186" t="s" s="8">
        <v>14</v>
      </c>
      <c r="Q186" t="s" s="12">
        <v>14</v>
      </c>
      <c r="R186" t="s" s="12">
        <v>14</v>
      </c>
    </row>
    <row r="187" s="2" customFormat="1" ht="13.5" customHeight="1">
      <c r="B187" s="13"/>
      <c r="C187" t="s" s="9">
        <v>23</v>
      </c>
      <c r="D187" t="s" s="8">
        <v>133</v>
      </c>
      <c r="E187" t="s" s="9">
        <v>134</v>
      </c>
      <c r="F187" s="19">
        <v>1</v>
      </c>
      <c r="G187" s="17">
        <v>1</v>
      </c>
      <c r="H187" s="19">
        <v>1</v>
      </c>
      <c r="I187" s="17">
        <v>1</v>
      </c>
      <c r="J187" t="s" s="11">
        <v>20</v>
      </c>
      <c r="K187" t="s" s="16">
        <f>HYPERLINK("http://csr.bu.edu/ftp/asl/asllvd/demos/verify_start_end_handshape_annotations//test_auto_move//signs_mov/15397.mov","MOV")</f>
        <v>21</v>
      </c>
      <c r="L187" t="s" s="16">
        <f>HYPERLINK("http://csr.bu.edu/ftp/asl/asllvd/demos/verify_start_end_handshape_annotations//test_auto_move//signs_mov_separ_signers/Tyler_15397.mov","MOV")</f>
        <v>21</v>
      </c>
      <c r="M187" t="s" s="10">
        <v>92</v>
      </c>
      <c r="N187" s="17">
        <v>38</v>
      </c>
      <c r="O187" s="18">
        <v>3070</v>
      </c>
      <c r="P187" s="18">
        <v>3145</v>
      </c>
      <c r="Q187" t="s" s="16">
        <f>HYPERLINK("http://secrets.rutgers.edu:8080/data/asl-ftp/asllvd/demos/verify_start_end_handshape_annotations//test_auto_move//signs_mov/15397.mov","MOV")</f>
        <v>21</v>
      </c>
      <c r="R187" t="s" s="16">
        <f>HYPERLINK("http://secrets.rutgers.edu:8080/data/asl-ftp/asllvd/demos/verify_start_end_handshape_annotations//test_auto_move//signs_mov_separ_signers/Tyler_15397.mov","MOV")</f>
        <v>21</v>
      </c>
    </row>
    <row r="188" s="2" customFormat="1" ht="13.5" customHeight="1">
      <c r="B188" t="s" s="8">
        <v>135</v>
      </c>
      <c r="C188" t="s" s="9">
        <v>14</v>
      </c>
      <c r="D188" t="s" s="8">
        <v>14</v>
      </c>
      <c r="E188" t="s" s="9">
        <v>14</v>
      </c>
      <c r="F188" t="s" s="10">
        <v>14</v>
      </c>
      <c r="G188" t="s" s="11">
        <v>14</v>
      </c>
      <c r="H188" t="s" s="10">
        <v>14</v>
      </c>
      <c r="I188" t="s" s="11">
        <v>14</v>
      </c>
      <c r="J188" t="s" s="11">
        <v>14</v>
      </c>
      <c r="K188" t="s" s="12">
        <v>14</v>
      </c>
      <c r="L188" t="s" s="12">
        <v>14</v>
      </c>
      <c r="M188" t="s" s="10">
        <v>14</v>
      </c>
      <c r="N188" t="s" s="11">
        <v>14</v>
      </c>
      <c r="O188" t="s" s="8">
        <v>14</v>
      </c>
      <c r="P188" t="s" s="8">
        <v>14</v>
      </c>
      <c r="Q188" t="s" s="12">
        <v>14</v>
      </c>
      <c r="R188" t="s" s="12">
        <v>14</v>
      </c>
    </row>
    <row r="189" s="2" customFormat="1" ht="13.5" customHeight="1">
      <c r="B189" s="13"/>
      <c r="C189" t="s" s="9">
        <v>16</v>
      </c>
      <c r="D189" t="s" s="8">
        <v>135</v>
      </c>
      <c r="E189" t="s" s="9">
        <v>135</v>
      </c>
      <c r="F189" s="19">
        <v>10</v>
      </c>
      <c r="G189" t="s" s="11">
        <v>63</v>
      </c>
      <c r="H189" s="19">
        <v>10</v>
      </c>
      <c r="I189" t="s" s="11">
        <v>63</v>
      </c>
      <c r="J189" t="s" s="11">
        <v>20</v>
      </c>
      <c r="K189" s="15"/>
      <c r="L189" t="s" s="16">
        <f>HYPERLINK("http://csr.bu.edu/ftp/asl/asllvd/demos/verify_start_end_handshape_annotations//test_auto_move//signs_mov_separ_signers/Liz_40.mov","MOV")</f>
        <v>21</v>
      </c>
      <c r="M189" t="s" s="10">
        <v>22</v>
      </c>
      <c r="N189" s="17">
        <v>6</v>
      </c>
      <c r="O189" s="18">
        <v>1005</v>
      </c>
      <c r="P189" s="18">
        <v>1040</v>
      </c>
      <c r="Q189" s="15"/>
      <c r="R189" t="s" s="16">
        <f>HYPERLINK("http://secrets.rutgers.edu:8080/data/asl-ftp/asllvd/demos/verify_start_end_handshape_annotations//test_auto_move//signs_mov_separ_signers/Liz_40.mov","MOV")</f>
        <v>21</v>
      </c>
    </row>
    <row r="190" s="2" customFormat="1" ht="13.5" customHeight="1">
      <c r="B190" s="13"/>
      <c r="C190" t="s" s="9">
        <v>16</v>
      </c>
      <c r="D190" t="s" s="8">
        <v>135</v>
      </c>
      <c r="E190" t="s" s="9">
        <v>135</v>
      </c>
      <c r="F190" s="19">
        <v>10</v>
      </c>
      <c r="G190" t="s" s="11">
        <v>63</v>
      </c>
      <c r="H190" s="19">
        <v>10</v>
      </c>
      <c r="I190" t="s" s="11">
        <v>63</v>
      </c>
      <c r="J190" t="s" s="11">
        <v>20</v>
      </c>
      <c r="K190" s="15"/>
      <c r="L190" t="s" s="16">
        <f>HYPERLINK("http://csr.bu.edu/ftp/asl/asllvd/demos/verify_start_end_handshape_annotations//test_auto_move//signs_mov_separ_signers/Liz_3443.mov","MOV")</f>
        <v>21</v>
      </c>
      <c r="M190" t="s" s="10">
        <v>22</v>
      </c>
      <c r="N190" s="17">
        <v>45</v>
      </c>
      <c r="O190" s="18">
        <v>535</v>
      </c>
      <c r="P190" s="18">
        <v>560</v>
      </c>
      <c r="Q190" s="15"/>
      <c r="R190" t="s" s="16">
        <f>HYPERLINK("http://secrets.rutgers.edu:8080/data/asl-ftp/asllvd/demos/verify_start_end_handshape_annotations//test_auto_move//signs_mov_separ_signers/Liz_3443.mov","MOV")</f>
        <v>21</v>
      </c>
    </row>
    <row r="191" s="2" customFormat="1" ht="13.5" customHeight="1">
      <c r="B191" s="13"/>
      <c r="C191" t="s" s="9">
        <v>23</v>
      </c>
      <c r="D191" t="s" s="8">
        <v>135</v>
      </c>
      <c r="E191" t="s" s="9">
        <v>135</v>
      </c>
      <c r="F191" s="19">
        <v>10</v>
      </c>
      <c r="G191" t="s" s="11">
        <v>63</v>
      </c>
      <c r="H191" s="19">
        <v>10</v>
      </c>
      <c r="I191" t="s" s="11">
        <v>63</v>
      </c>
      <c r="J191" t="s" s="11">
        <v>20</v>
      </c>
      <c r="K191" s="15"/>
      <c r="L191" t="s" s="16">
        <f>HYPERLINK("http://csr.bu.edu/ftp/asl/asllvd/demos/verify_start_end_handshape_annotations//test_auto_move//signs_mov_separ_signers/Tyler_40.mov","MOV")</f>
        <v>21</v>
      </c>
      <c r="M191" t="s" s="10">
        <v>26</v>
      </c>
      <c r="N191" s="17">
        <v>6</v>
      </c>
      <c r="O191" s="18">
        <v>3517</v>
      </c>
      <c r="P191" s="18">
        <v>3540</v>
      </c>
      <c r="Q191" s="15"/>
      <c r="R191" t="s" s="16">
        <f>HYPERLINK("http://secrets.rutgers.edu:8080/data/asl-ftp/asllvd/demos/verify_start_end_handshape_annotations//test_auto_move//signs_mov_separ_signers/Tyler_40.mov","MOV")</f>
        <v>21</v>
      </c>
    </row>
    <row r="192" s="2" customFormat="1" ht="13.5" customHeight="1">
      <c r="B192" s="13"/>
      <c r="C192" t="s" s="9">
        <v>23</v>
      </c>
      <c r="D192" t="s" s="8">
        <v>135</v>
      </c>
      <c r="E192" t="s" s="9">
        <v>135</v>
      </c>
      <c r="F192" s="19">
        <v>10</v>
      </c>
      <c r="G192" t="s" s="11">
        <v>68</v>
      </c>
      <c r="H192" s="19">
        <v>10</v>
      </c>
      <c r="I192" t="s" s="11">
        <v>68</v>
      </c>
      <c r="J192" t="s" s="11">
        <v>20</v>
      </c>
      <c r="K192" t="s" s="16">
        <f>HYPERLINK("http://csr.bu.edu/ftp/asl/asllvd/demos/verify_start_end_handshape_annotations//test_auto_move//signs_mov/40_3443_merged.mov","MOV")</f>
        <v>21</v>
      </c>
      <c r="L192" t="s" s="16">
        <f>HYPERLINK("http://csr.bu.edu/ftp/asl/asllvd/demos/verify_start_end_handshape_annotations//test_auto_move//signs_mov_separ_signers/Tyler_3443.mov","MOV")</f>
        <v>21</v>
      </c>
      <c r="M192" t="s" s="10">
        <v>26</v>
      </c>
      <c r="N192" s="17">
        <v>28</v>
      </c>
      <c r="O192" s="18">
        <v>710</v>
      </c>
      <c r="P192" s="18">
        <v>740</v>
      </c>
      <c r="Q192" t="s" s="16">
        <f>HYPERLINK("http://secrets.rutgers.edu:8080/data/asl-ftp/asllvd/demos/verify_start_end_handshape_annotations//test_auto_move//signs_mov/40_3443_merged.mov","MOV")</f>
        <v>21</v>
      </c>
      <c r="R192" t="s" s="16">
        <f>HYPERLINK("http://secrets.rutgers.edu:8080/data/asl-ftp/asllvd/demos/verify_start_end_handshape_annotations//test_auto_move//signs_mov_separ_signers/Tyler_3443.mov","MOV")</f>
        <v>21</v>
      </c>
    </row>
    <row r="193" s="2" customFormat="1" ht="13.5" customHeight="1">
      <c r="B193" s="13"/>
      <c r="C193" t="s" s="9">
        <v>27</v>
      </c>
      <c r="D193" t="s" s="8">
        <v>135</v>
      </c>
      <c r="E193" t="s" s="9">
        <v>135</v>
      </c>
      <c r="F193" s="19">
        <v>10</v>
      </c>
      <c r="G193" t="s" s="11">
        <v>63</v>
      </c>
      <c r="H193" s="19">
        <v>10</v>
      </c>
      <c r="I193" t="s" s="11">
        <v>63</v>
      </c>
      <c r="J193" t="s" s="11">
        <v>20</v>
      </c>
      <c r="K193" s="15"/>
      <c r="L193" t="s" s="16">
        <f>HYPERLINK("http://csr.bu.edu/ftp/asl/asllvd/demos/verify_start_end_handshape_annotations//test_auto_move//signs_mov_separ_signers/Naomi_40.mov","MOV")</f>
        <v>21</v>
      </c>
      <c r="M193" t="s" s="10">
        <v>29</v>
      </c>
      <c r="N193" s="17">
        <v>4</v>
      </c>
      <c r="O193" s="18">
        <v>4460</v>
      </c>
      <c r="P193" s="18">
        <v>4490</v>
      </c>
      <c r="Q193" s="15"/>
      <c r="R193" t="s" s="16">
        <f>HYPERLINK("http://secrets.rutgers.edu:8080/data/asl-ftp/asllvd/demos/verify_start_end_handshape_annotations//test_auto_move//signs_mov_separ_signers/Naomi_40.mov","MOV")</f>
        <v>21</v>
      </c>
    </row>
    <row r="194" s="2" customFormat="1" ht="13.5" customHeight="1">
      <c r="B194" s="13"/>
      <c r="C194" t="s" s="9">
        <v>27</v>
      </c>
      <c r="D194" t="s" s="8">
        <v>135</v>
      </c>
      <c r="E194" t="s" s="9">
        <v>135</v>
      </c>
      <c r="F194" s="19">
        <v>10</v>
      </c>
      <c r="G194" t="s" s="11">
        <v>68</v>
      </c>
      <c r="H194" s="19">
        <v>10</v>
      </c>
      <c r="I194" t="s" s="11">
        <v>68</v>
      </c>
      <c r="J194" t="s" s="11">
        <v>20</v>
      </c>
      <c r="K194" s="15"/>
      <c r="L194" t="s" s="16">
        <f>HYPERLINK("http://csr.bu.edu/ftp/asl/asllvd/demos/verify_start_end_handshape_annotations//test_auto_move//signs_mov_separ_signers/Naomi_3443.mov","MOV")</f>
        <v>21</v>
      </c>
      <c r="M194" t="s" s="10">
        <v>29</v>
      </c>
      <c r="N194" s="17">
        <v>29</v>
      </c>
      <c r="O194" s="18">
        <v>1030</v>
      </c>
      <c r="P194" s="18">
        <v>1047</v>
      </c>
      <c r="Q194" s="15"/>
      <c r="R194" t="s" s="16">
        <f>HYPERLINK("http://secrets.rutgers.edu:8080/data/asl-ftp/asllvd/demos/verify_start_end_handshape_annotations//test_auto_move//signs_mov_separ_signers/Naomi_3443.mov","MOV")</f>
        <v>21</v>
      </c>
    </row>
    <row r="195" s="2" customFormat="1" ht="13.5" customHeight="1">
      <c r="B195" s="13"/>
      <c r="C195" t="s" s="9">
        <v>30</v>
      </c>
      <c r="D195" t="s" s="8">
        <v>135</v>
      </c>
      <c r="E195" t="s" s="9">
        <v>135</v>
      </c>
      <c r="F195" s="19">
        <v>10</v>
      </c>
      <c r="G195" s="17">
        <v>10</v>
      </c>
      <c r="H195" s="19">
        <v>10</v>
      </c>
      <c r="I195" s="17">
        <v>10</v>
      </c>
      <c r="J195" t="s" s="11">
        <v>20</v>
      </c>
      <c r="K195" s="15"/>
      <c r="L195" t="s" s="16">
        <f>HYPERLINK("http://csr.bu.edu/ftp/asl/asllvd/demos/verify_start_end_handshape_annotations//test_auto_move//signs_mov_separ_signers/Brady_40.mov","MOV")</f>
        <v>21</v>
      </c>
      <c r="M195" t="s" s="10">
        <v>31</v>
      </c>
      <c r="N195" s="17">
        <v>21</v>
      </c>
      <c r="O195" s="18">
        <v>10451</v>
      </c>
      <c r="P195" s="18">
        <v>10463</v>
      </c>
      <c r="Q195" s="15"/>
      <c r="R195" t="s" s="16">
        <f>HYPERLINK("http://secrets.rutgers.edu:8080/data/asl-ftp/asllvd/demos/verify_start_end_handshape_annotations//test_auto_move//signs_mov_separ_signers/Brady_40.mov","MOV")</f>
        <v>21</v>
      </c>
    </row>
    <row r="196" s="2" customFormat="1" ht="13.5" customHeight="1">
      <c r="B196" s="13"/>
      <c r="C196" t="s" s="9">
        <v>30</v>
      </c>
      <c r="D196" t="s" s="8">
        <v>135</v>
      </c>
      <c r="E196" t="s" s="9">
        <v>135</v>
      </c>
      <c r="F196" s="19">
        <v>10</v>
      </c>
      <c r="G196" t="s" s="11">
        <v>105</v>
      </c>
      <c r="H196" s="19">
        <v>10</v>
      </c>
      <c r="I196" t="s" s="11">
        <v>105</v>
      </c>
      <c r="J196" t="s" s="11">
        <v>136</v>
      </c>
      <c r="K196" s="15"/>
      <c r="L196" t="s" s="16">
        <f>HYPERLINK("http://csr.bu.edu/ftp/asl/asllvd/demos/verify_start_end_handshape_annotations//test_auto_move//signs_mov_separ_signers/Brady_3443.mov","MOV")</f>
        <v>21</v>
      </c>
      <c r="M196" t="s" s="10">
        <v>60</v>
      </c>
      <c r="N196" s="17">
        <v>38</v>
      </c>
      <c r="O196" s="18">
        <v>3002</v>
      </c>
      <c r="P196" s="18">
        <v>3025</v>
      </c>
      <c r="Q196" s="15"/>
      <c r="R196" t="s" s="16">
        <f>HYPERLINK("http://secrets.rutgers.edu:8080/data/asl-ftp/asllvd/demos/verify_start_end_handshape_annotations//test_auto_move//signs_mov_separ_signers/Brady_3443.mov","MOV")</f>
        <v>21</v>
      </c>
    </row>
    <row r="197" s="2" customFormat="1" ht="13.5" customHeight="1">
      <c r="B197" t="s" s="8">
        <v>52</v>
      </c>
      <c r="C197" t="s" s="9">
        <v>53</v>
      </c>
      <c r="D197" t="s" s="8">
        <v>53</v>
      </c>
      <c r="E197" t="s" s="9">
        <v>53</v>
      </c>
      <c r="F197" t="s" s="10">
        <v>53</v>
      </c>
      <c r="G197" t="s" s="11">
        <v>53</v>
      </c>
      <c r="H197" t="s" s="10">
        <v>53</v>
      </c>
      <c r="I197" t="s" s="11">
        <v>53</v>
      </c>
      <c r="J197" t="s" s="11">
        <v>53</v>
      </c>
      <c r="K197" t="s" s="12">
        <v>53</v>
      </c>
      <c r="L197" t="s" s="12">
        <v>53</v>
      </c>
      <c r="M197" t="s" s="10">
        <v>53</v>
      </c>
      <c r="N197" t="s" s="11">
        <v>53</v>
      </c>
      <c r="O197" t="s" s="8">
        <v>53</v>
      </c>
      <c r="P197" t="s" s="8">
        <v>53</v>
      </c>
      <c r="Q197" t="s" s="12">
        <v>53</v>
      </c>
      <c r="R197" t="s" s="12">
        <v>53</v>
      </c>
    </row>
    <row r="198" s="2" customFormat="1" ht="13.5" customHeight="1">
      <c r="B198" s="13"/>
      <c r="C198" t="s" s="9">
        <v>16</v>
      </c>
      <c r="D198" t="s" s="8">
        <v>135</v>
      </c>
      <c r="E198" t="s" s="9">
        <v>137</v>
      </c>
      <c r="F198" s="19">
        <v>10</v>
      </c>
      <c r="G198" t="s" s="11">
        <v>68</v>
      </c>
      <c r="H198" s="19">
        <v>10</v>
      </c>
      <c r="I198" t="s" s="11">
        <v>68</v>
      </c>
      <c r="J198" t="s" s="11">
        <v>20</v>
      </c>
      <c r="K198" t="s" s="16">
        <f>HYPERLINK("http://csr.bu.edu/ftp/asl/asllvd/demos/verify_start_end_handshape_annotations//test_auto_move//signs_mov/5411.mov","MOV")</f>
        <v>21</v>
      </c>
      <c r="L198" t="s" s="16">
        <f>HYPERLINK("http://csr.bu.edu/ftp/asl/asllvd/demos/verify_start_end_handshape_annotations//test_auto_move//signs_mov_separ_signers/Liz_5411.mov","MOV")</f>
        <v>21</v>
      </c>
      <c r="M198" t="s" s="10">
        <v>88</v>
      </c>
      <c r="N198" s="17">
        <v>14</v>
      </c>
      <c r="O198" s="18">
        <v>751</v>
      </c>
      <c r="P198" s="18">
        <v>810</v>
      </c>
      <c r="Q198" t="s" s="16">
        <f>HYPERLINK("http://secrets.rutgers.edu:8080/data/asl-ftp/asllvd/demos/verify_start_end_handshape_annotations//test_auto_move//signs_mov/5411.mov","MOV")</f>
        <v>21</v>
      </c>
      <c r="R198" t="s" s="16">
        <f>HYPERLINK("http://secrets.rutgers.edu:8080/data/asl-ftp/asllvd/demos/verify_start_end_handshape_annotations//test_auto_move//signs_mov_separ_signers/Liz_5411.mov","MOV")</f>
        <v>21</v>
      </c>
    </row>
    <row r="199" s="2" customFormat="1" ht="13.5" customHeight="1">
      <c r="B199" s="13"/>
      <c r="C199" t="s" s="9">
        <v>30</v>
      </c>
      <c r="D199" t="s" s="8">
        <v>135</v>
      </c>
      <c r="E199" t="s" s="9">
        <v>137</v>
      </c>
      <c r="F199" s="19">
        <v>10</v>
      </c>
      <c r="G199" s="17">
        <v>10</v>
      </c>
      <c r="H199" s="19">
        <v>10</v>
      </c>
      <c r="I199" s="17">
        <v>10</v>
      </c>
      <c r="J199" t="s" s="11">
        <v>20</v>
      </c>
      <c r="K199" s="15"/>
      <c r="L199" t="s" s="16">
        <f>HYPERLINK("http://csr.bu.edu/ftp/asl/asllvd/demos/verify_start_end_handshape_annotations//test_auto_move//signs_mov_separ_signers/Brady_5411.mov","MOV")</f>
        <v>21</v>
      </c>
      <c r="M199" t="s" s="10">
        <v>60</v>
      </c>
      <c r="N199" s="17">
        <v>48</v>
      </c>
      <c r="O199" s="18">
        <v>532</v>
      </c>
      <c r="P199" s="18">
        <v>571</v>
      </c>
      <c r="Q199" s="15"/>
      <c r="R199" t="s" s="16">
        <f>HYPERLINK("http://secrets.rutgers.edu:8080/data/asl-ftp/asllvd/demos/verify_start_end_handshape_annotations//test_auto_move//signs_mov_separ_signers/Brady_5411.mov","MOV")</f>
        <v>21</v>
      </c>
    </row>
    <row r="200" s="2" customFormat="1" ht="13.5" customHeight="1">
      <c r="B200" t="s" s="8">
        <v>138</v>
      </c>
      <c r="C200" t="s" s="9">
        <v>14</v>
      </c>
      <c r="D200" t="s" s="8">
        <v>14</v>
      </c>
      <c r="E200" t="s" s="9">
        <v>14</v>
      </c>
      <c r="F200" t="s" s="10">
        <v>14</v>
      </c>
      <c r="G200" t="s" s="11">
        <v>14</v>
      </c>
      <c r="H200" t="s" s="10">
        <v>14</v>
      </c>
      <c r="I200" t="s" s="11">
        <v>14</v>
      </c>
      <c r="J200" t="s" s="11">
        <v>14</v>
      </c>
      <c r="K200" t="s" s="12">
        <v>14</v>
      </c>
      <c r="L200" t="s" s="12">
        <v>14</v>
      </c>
      <c r="M200" t="s" s="10">
        <v>14</v>
      </c>
      <c r="N200" t="s" s="11">
        <v>14</v>
      </c>
      <c r="O200" t="s" s="8">
        <v>14</v>
      </c>
      <c r="P200" t="s" s="8">
        <v>14</v>
      </c>
      <c r="Q200" t="s" s="12">
        <v>14</v>
      </c>
      <c r="R200" t="s" s="12">
        <v>14</v>
      </c>
    </row>
    <row r="201" s="2" customFormat="1" ht="13.5" customHeight="1">
      <c r="B201" s="13"/>
      <c r="C201" t="s" s="9">
        <v>16</v>
      </c>
      <c r="D201" t="s" s="8">
        <v>138</v>
      </c>
      <c r="E201" t="s" s="9">
        <v>138</v>
      </c>
      <c r="F201" t="s" s="10">
        <v>73</v>
      </c>
      <c r="G201" t="s" s="11">
        <v>55</v>
      </c>
      <c r="H201" t="s" s="10">
        <v>73</v>
      </c>
      <c r="I201" t="s" s="11">
        <v>55</v>
      </c>
      <c r="J201" t="s" s="11">
        <v>20</v>
      </c>
      <c r="K201" s="15"/>
      <c r="L201" t="s" s="16">
        <f>HYPERLINK("http://csr.bu.edu/ftp/asl/asllvd/demos/verify_start_end_handshape_annotations//test_auto_move//signs_mov_separ_signers/Liz_41.mov","MOV")</f>
        <v>21</v>
      </c>
      <c r="M201" t="s" s="10">
        <v>22</v>
      </c>
      <c r="N201" s="17">
        <v>6</v>
      </c>
      <c r="O201" s="18">
        <v>1320</v>
      </c>
      <c r="P201" s="18">
        <v>1360</v>
      </c>
      <c r="Q201" s="15"/>
      <c r="R201" t="s" s="16">
        <f>HYPERLINK("http://secrets.rutgers.edu:8080/data/asl-ftp/asllvd/demos/verify_start_end_handshape_annotations//test_auto_move//signs_mov_separ_signers/Liz_41.mov","MOV")</f>
        <v>21</v>
      </c>
    </row>
    <row r="202" s="2" customFormat="1" ht="13.5" customHeight="1">
      <c r="B202" s="13"/>
      <c r="C202" t="s" s="9">
        <v>16</v>
      </c>
      <c r="D202" t="s" s="8">
        <v>138</v>
      </c>
      <c r="E202" t="s" s="9">
        <v>138</v>
      </c>
      <c r="F202" t="s" s="10">
        <v>73</v>
      </c>
      <c r="G202" t="s" s="11">
        <v>55</v>
      </c>
      <c r="H202" t="s" s="10">
        <v>73</v>
      </c>
      <c r="I202" t="s" s="11">
        <v>55</v>
      </c>
      <c r="J202" t="s" s="11">
        <v>20</v>
      </c>
      <c r="K202" s="15"/>
      <c r="L202" t="s" s="16">
        <f>HYPERLINK("http://csr.bu.edu/ftp/asl/asllvd/demos/verify_start_end_handshape_annotations//test_auto_move//signs_mov_separ_signers/Liz_3393.mov","MOV")</f>
        <v>21</v>
      </c>
      <c r="M202" t="s" s="10">
        <v>22</v>
      </c>
      <c r="N202" s="17">
        <v>9</v>
      </c>
      <c r="O202" s="18">
        <v>546</v>
      </c>
      <c r="P202" s="18">
        <v>580</v>
      </c>
      <c r="Q202" s="15"/>
      <c r="R202" t="s" s="16">
        <f>HYPERLINK("http://secrets.rutgers.edu:8080/data/asl-ftp/asllvd/demos/verify_start_end_handshape_annotations//test_auto_move//signs_mov_separ_signers/Liz_3393.mov","MOV")</f>
        <v>21</v>
      </c>
    </row>
    <row r="203" s="2" customFormat="1" ht="13.5" customHeight="1">
      <c r="B203" s="13"/>
      <c r="C203" t="s" s="9">
        <v>16</v>
      </c>
      <c r="D203" t="s" s="8">
        <v>138</v>
      </c>
      <c r="E203" t="s" s="9">
        <v>138</v>
      </c>
      <c r="F203" t="s" s="10">
        <v>55</v>
      </c>
      <c r="G203" t="s" s="11">
        <v>55</v>
      </c>
      <c r="H203" t="s" s="10">
        <v>55</v>
      </c>
      <c r="I203" t="s" s="11">
        <v>55</v>
      </c>
      <c r="J203" t="s" s="11">
        <v>20</v>
      </c>
      <c r="K203" s="15"/>
      <c r="L203" t="s" s="16">
        <f>HYPERLINK("http://csr.bu.edu/ftp/asl/asllvd/demos/verify_start_end_handshape_annotations//test_auto_move//signs_mov_separ_signers/Liz_3570.mov","MOV")</f>
        <v>21</v>
      </c>
      <c r="M203" t="s" s="10">
        <v>88</v>
      </c>
      <c r="N203" s="17">
        <v>28</v>
      </c>
      <c r="O203" s="18">
        <v>2195</v>
      </c>
      <c r="P203" s="18">
        <v>2245</v>
      </c>
      <c r="Q203" s="15"/>
      <c r="R203" t="s" s="16">
        <f>HYPERLINK("http://secrets.rutgers.edu:8080/data/asl-ftp/asllvd/demos/verify_start_end_handshape_annotations//test_auto_move//signs_mov_separ_signers/Liz_3570.mov","MOV")</f>
        <v>21</v>
      </c>
    </row>
    <row r="204" s="2" customFormat="1" ht="13.5" customHeight="1">
      <c r="B204" s="13"/>
      <c r="C204" t="s" s="9">
        <v>23</v>
      </c>
      <c r="D204" t="s" s="8">
        <v>138</v>
      </c>
      <c r="E204" t="s" s="9">
        <v>138</v>
      </c>
      <c r="F204" t="s" s="10">
        <v>109</v>
      </c>
      <c r="G204" t="s" s="11">
        <v>109</v>
      </c>
      <c r="H204" t="s" s="10">
        <v>109</v>
      </c>
      <c r="I204" t="s" s="11">
        <v>109</v>
      </c>
      <c r="J204" t="s" s="11">
        <v>20</v>
      </c>
      <c r="K204" t="s" s="16">
        <f>HYPERLINK("http://csr.bu.edu/ftp/asl/asllvd/demos/verify_start_end_handshape_annotations//test_auto_move//signs_mov/41_3393_3570_merged.mov","MOV")</f>
        <v>21</v>
      </c>
      <c r="L204" t="s" s="16">
        <f>HYPERLINK("http://csr.bu.edu/ftp/asl/asllvd/demos/verify_start_end_handshape_annotations//test_auto_move//signs_mov_separ_signers/Tyler_41.mov","MOV")</f>
        <v>21</v>
      </c>
      <c r="M204" t="s" s="10">
        <v>26</v>
      </c>
      <c r="N204" s="17">
        <v>6</v>
      </c>
      <c r="O204" s="18">
        <v>3730</v>
      </c>
      <c r="P204" s="18">
        <v>3760</v>
      </c>
      <c r="Q204" t="s" s="16">
        <f>HYPERLINK("http://secrets.rutgers.edu:8080/data/asl-ftp/asllvd/demos/verify_start_end_handshape_annotations//test_auto_move//signs_mov/41_3393_3570_merged.mov","MOV")</f>
        <v>21</v>
      </c>
      <c r="R204" t="s" s="16">
        <f>HYPERLINK("http://secrets.rutgers.edu:8080/data/asl-ftp/asllvd/demos/verify_start_end_handshape_annotations//test_auto_move//signs_mov_separ_signers/Tyler_41.mov","MOV")</f>
        <v>21</v>
      </c>
    </row>
    <row r="205" s="2" customFormat="1" ht="13.5" customHeight="1">
      <c r="B205" s="13"/>
      <c r="C205" t="s" s="9">
        <v>23</v>
      </c>
      <c r="D205" t="s" s="8">
        <v>138</v>
      </c>
      <c r="E205" t="s" s="9">
        <v>138</v>
      </c>
      <c r="F205" t="s" s="10">
        <v>73</v>
      </c>
      <c r="G205" t="s" s="11">
        <v>55</v>
      </c>
      <c r="H205" t="s" s="10">
        <v>73</v>
      </c>
      <c r="I205" t="s" s="11">
        <v>55</v>
      </c>
      <c r="J205" t="s" s="11">
        <v>20</v>
      </c>
      <c r="K205" s="15"/>
      <c r="L205" t="s" s="16">
        <f>HYPERLINK("http://csr.bu.edu/ftp/asl/asllvd/demos/verify_start_end_handshape_annotations//test_auto_move//signs_mov_separ_signers/Tyler_3393.mov","MOV")</f>
        <v>21</v>
      </c>
      <c r="M205" t="s" s="10">
        <v>26</v>
      </c>
      <c r="N205" s="17">
        <v>8</v>
      </c>
      <c r="O205" s="18">
        <v>360</v>
      </c>
      <c r="P205" s="18">
        <v>387</v>
      </c>
      <c r="Q205" s="15"/>
      <c r="R205" t="s" s="16">
        <f>HYPERLINK("http://secrets.rutgers.edu:8080/data/asl-ftp/asllvd/demos/verify_start_end_handshape_annotations//test_auto_move//signs_mov_separ_signers/Tyler_3393.mov","MOV")</f>
        <v>21</v>
      </c>
    </row>
    <row r="206" s="2" customFormat="1" ht="13.5" customHeight="1">
      <c r="B206" s="13"/>
      <c r="C206" t="s" s="9">
        <v>27</v>
      </c>
      <c r="D206" t="s" s="8">
        <v>138</v>
      </c>
      <c r="E206" t="s" s="9">
        <v>138</v>
      </c>
      <c r="F206" t="s" s="10">
        <v>73</v>
      </c>
      <c r="G206" t="s" s="11">
        <v>55</v>
      </c>
      <c r="H206" t="s" s="10">
        <v>73</v>
      </c>
      <c r="I206" t="s" s="11">
        <v>55</v>
      </c>
      <c r="J206" t="s" s="11">
        <v>20</v>
      </c>
      <c r="K206" s="15"/>
      <c r="L206" t="s" s="16">
        <f>HYPERLINK("http://csr.bu.edu/ftp/asl/asllvd/demos/verify_start_end_handshape_annotations//test_auto_move//signs_mov_separ_signers/Naomi_41.mov","MOV")</f>
        <v>21</v>
      </c>
      <c r="M206" t="s" s="10">
        <v>29</v>
      </c>
      <c r="N206" s="17">
        <v>5</v>
      </c>
      <c r="O206" s="18">
        <v>410</v>
      </c>
      <c r="P206" s="18">
        <v>425</v>
      </c>
      <c r="Q206" s="15"/>
      <c r="R206" t="s" s="16">
        <f>HYPERLINK("http://secrets.rutgers.edu:8080/data/asl-ftp/asllvd/demos/verify_start_end_handshape_annotations//test_auto_move//signs_mov_separ_signers/Naomi_41.mov","MOV")</f>
        <v>21</v>
      </c>
    </row>
    <row r="207" s="2" customFormat="1" ht="13.5" customHeight="1">
      <c r="B207" s="13"/>
      <c r="C207" t="s" s="9">
        <v>27</v>
      </c>
      <c r="D207" t="s" s="8">
        <v>138</v>
      </c>
      <c r="E207" t="s" s="9">
        <v>138</v>
      </c>
      <c r="F207" t="s" s="10">
        <v>73</v>
      </c>
      <c r="G207" t="s" s="11">
        <v>55</v>
      </c>
      <c r="H207" t="s" s="10">
        <v>73</v>
      </c>
      <c r="I207" t="s" s="11">
        <v>55</v>
      </c>
      <c r="J207" t="s" s="11">
        <v>20</v>
      </c>
      <c r="K207" s="15"/>
      <c r="L207" t="s" s="16">
        <f>HYPERLINK("http://csr.bu.edu/ftp/asl/asllvd/demos/verify_start_end_handshape_annotations//test_auto_move//signs_mov_separ_signers/Naomi_3393.mov","MOV")</f>
        <v>21</v>
      </c>
      <c r="M207" t="s" s="10">
        <v>29</v>
      </c>
      <c r="N207" s="17">
        <v>7</v>
      </c>
      <c r="O207" s="18">
        <v>395</v>
      </c>
      <c r="P207" s="18">
        <v>418</v>
      </c>
      <c r="Q207" s="15"/>
      <c r="R207" t="s" s="16">
        <f>HYPERLINK("http://secrets.rutgers.edu:8080/data/asl-ftp/asllvd/demos/verify_start_end_handshape_annotations//test_auto_move//signs_mov_separ_signers/Naomi_3393.mov","MOV")</f>
        <v>21</v>
      </c>
    </row>
    <row r="208" s="2" customFormat="1" ht="13.5" customHeight="1">
      <c r="B208" s="13"/>
      <c r="C208" t="s" s="9">
        <v>30</v>
      </c>
      <c r="D208" t="s" s="8">
        <v>138</v>
      </c>
      <c r="E208" t="s" s="9">
        <v>138</v>
      </c>
      <c r="F208" t="s" s="10">
        <v>73</v>
      </c>
      <c r="G208" t="s" s="11">
        <v>55</v>
      </c>
      <c r="H208" t="s" s="10">
        <v>73</v>
      </c>
      <c r="I208" t="s" s="11">
        <v>55</v>
      </c>
      <c r="J208" t="s" s="11">
        <v>20</v>
      </c>
      <c r="K208" s="15"/>
      <c r="L208" t="s" s="16">
        <f>HYPERLINK("http://csr.bu.edu/ftp/asl/asllvd/demos/verify_start_end_handshape_annotations//test_auto_move//signs_mov_separ_signers/Brady_41.mov","MOV")</f>
        <v>21</v>
      </c>
      <c r="M208" t="s" s="10">
        <v>31</v>
      </c>
      <c r="N208" s="17">
        <v>9</v>
      </c>
      <c r="O208" s="18">
        <v>6594</v>
      </c>
      <c r="P208" s="18">
        <v>6614</v>
      </c>
      <c r="Q208" s="15"/>
      <c r="R208" t="s" s="16">
        <f>HYPERLINK("http://secrets.rutgers.edu:8080/data/asl-ftp/asllvd/demos/verify_start_end_handshape_annotations//test_auto_move//signs_mov_separ_signers/Brady_41.mov","MOV")</f>
        <v>21</v>
      </c>
    </row>
    <row r="209" s="2" customFormat="1" ht="13.5" customHeight="1">
      <c r="B209" t="s" s="8">
        <v>139</v>
      </c>
      <c r="C209" t="s" s="9">
        <v>14</v>
      </c>
      <c r="D209" t="s" s="8">
        <v>14</v>
      </c>
      <c r="E209" t="s" s="9">
        <v>14</v>
      </c>
      <c r="F209" t="s" s="10">
        <v>14</v>
      </c>
      <c r="G209" t="s" s="11">
        <v>14</v>
      </c>
      <c r="H209" t="s" s="10">
        <v>14</v>
      </c>
      <c r="I209" t="s" s="11">
        <v>14</v>
      </c>
      <c r="J209" t="s" s="11">
        <v>14</v>
      </c>
      <c r="K209" t="s" s="12">
        <v>14</v>
      </c>
      <c r="L209" t="s" s="12">
        <v>14</v>
      </c>
      <c r="M209" t="s" s="10">
        <v>14</v>
      </c>
      <c r="N209" t="s" s="11">
        <v>14</v>
      </c>
      <c r="O209" t="s" s="8">
        <v>14</v>
      </c>
      <c r="P209" t="s" s="8">
        <v>14</v>
      </c>
      <c r="Q209" t="s" s="12">
        <v>14</v>
      </c>
      <c r="R209" t="s" s="12">
        <v>14</v>
      </c>
    </row>
    <row r="210" s="2" customFormat="1" ht="13.5" customHeight="1">
      <c r="B210" s="13"/>
      <c r="C210" t="s" s="9">
        <v>16</v>
      </c>
      <c r="D210" t="s" s="8">
        <v>139</v>
      </c>
      <c r="E210" t="s" s="9">
        <v>140</v>
      </c>
      <c r="F210" t="s" s="10">
        <v>63</v>
      </c>
      <c r="G210" t="s" s="11">
        <v>63</v>
      </c>
      <c r="H210" t="s" s="10">
        <v>63</v>
      </c>
      <c r="I210" t="s" s="11">
        <v>63</v>
      </c>
      <c r="J210" t="s" s="11">
        <v>20</v>
      </c>
      <c r="K210" s="15"/>
      <c r="L210" t="s" s="16">
        <f>HYPERLINK("http://csr.bu.edu/ftp/asl/asllvd/demos/verify_start_end_handshape_annotations//test_auto_move//signs_mov_separ_signers/Liz_42.mov","MOV")</f>
        <v>21</v>
      </c>
      <c r="M210" t="s" s="10">
        <v>22</v>
      </c>
      <c r="N210" s="17">
        <v>6</v>
      </c>
      <c r="O210" s="18">
        <v>1605</v>
      </c>
      <c r="P210" s="18">
        <v>1670</v>
      </c>
      <c r="Q210" s="15"/>
      <c r="R210" t="s" s="16">
        <f>HYPERLINK("http://secrets.rutgers.edu:8080/data/asl-ftp/asllvd/demos/verify_start_end_handshape_annotations//test_auto_move//signs_mov_separ_signers/Liz_42.mov","MOV")</f>
        <v>21</v>
      </c>
    </row>
    <row r="211" s="2" customFormat="1" ht="13.5" customHeight="1">
      <c r="B211" s="13"/>
      <c r="C211" t="s" s="9">
        <v>16</v>
      </c>
      <c r="D211" t="s" s="8">
        <v>139</v>
      </c>
      <c r="E211" t="s" s="9">
        <v>141</v>
      </c>
      <c r="F211" t="s" s="10">
        <v>63</v>
      </c>
      <c r="G211" t="s" s="11">
        <v>63</v>
      </c>
      <c r="H211" t="s" s="10">
        <v>63</v>
      </c>
      <c r="I211" t="s" s="11">
        <v>63</v>
      </c>
      <c r="J211" t="s" s="11">
        <v>20</v>
      </c>
      <c r="K211" s="15"/>
      <c r="L211" t="s" s="16">
        <f>HYPERLINK("http://csr.bu.edu/ftp/asl/asllvd/demos/verify_start_end_handshape_annotations//test_auto_move//signs_mov_separ_signers/Liz_3447.mov","MOV")</f>
        <v>21</v>
      </c>
      <c r="M211" t="s" s="10">
        <v>84</v>
      </c>
      <c r="N211" s="17">
        <v>23</v>
      </c>
      <c r="O211" s="18">
        <v>1387</v>
      </c>
      <c r="P211" s="18">
        <v>1445</v>
      </c>
      <c r="Q211" s="15"/>
      <c r="R211" t="s" s="16">
        <f>HYPERLINK("http://secrets.rutgers.edu:8080/data/asl-ftp/asllvd/demos/verify_start_end_handshape_annotations//test_auto_move//signs_mov_separ_signers/Liz_3447.mov","MOV")</f>
        <v>21</v>
      </c>
    </row>
    <row r="212" s="2" customFormat="1" ht="13.5" customHeight="1">
      <c r="B212" s="13"/>
      <c r="C212" t="s" s="9">
        <v>23</v>
      </c>
      <c r="D212" t="s" s="8">
        <v>139</v>
      </c>
      <c r="E212" t="s" s="9">
        <v>140</v>
      </c>
      <c r="F212" s="19">
        <v>10</v>
      </c>
      <c r="G212" s="17">
        <v>10</v>
      </c>
      <c r="H212" s="19">
        <v>10</v>
      </c>
      <c r="I212" s="17">
        <v>10</v>
      </c>
      <c r="J212" t="s" s="11">
        <v>20</v>
      </c>
      <c r="K212" s="15"/>
      <c r="L212" t="s" s="16">
        <f>HYPERLINK("http://csr.bu.edu/ftp/asl/asllvd/demos/verify_start_end_handshape_annotations//test_auto_move//signs_mov_separ_signers/Tyler_42.mov","MOV")</f>
        <v>21</v>
      </c>
      <c r="M212" t="s" s="10">
        <v>26</v>
      </c>
      <c r="N212" s="17">
        <v>6</v>
      </c>
      <c r="O212" s="18">
        <v>3940</v>
      </c>
      <c r="P212" s="18">
        <v>3985</v>
      </c>
      <c r="Q212" s="15"/>
      <c r="R212" t="s" s="16">
        <f>HYPERLINK("http://secrets.rutgers.edu:8080/data/asl-ftp/asllvd/demos/verify_start_end_handshape_annotations//test_auto_move//signs_mov_separ_signers/Tyler_42.mov","MOV")</f>
        <v>21</v>
      </c>
    </row>
    <row r="213" s="2" customFormat="1" ht="13.5" customHeight="1">
      <c r="B213" s="13"/>
      <c r="C213" t="s" s="9">
        <v>23</v>
      </c>
      <c r="D213" t="s" s="8">
        <v>139</v>
      </c>
      <c r="E213" t="s" s="9">
        <v>140</v>
      </c>
      <c r="F213" s="19">
        <v>10</v>
      </c>
      <c r="G213" s="17">
        <v>10</v>
      </c>
      <c r="H213" s="19">
        <v>10</v>
      </c>
      <c r="I213" s="17">
        <v>10</v>
      </c>
      <c r="J213" t="s" s="11">
        <v>20</v>
      </c>
      <c r="K213" t="s" s="16">
        <f>HYPERLINK("http://csr.bu.edu/ftp/asl/asllvd/demos/verify_start_end_handshape_annotations//test_auto_move//signs_mov/42_3447_merged.mov","MOV")</f>
        <v>21</v>
      </c>
      <c r="L213" t="s" s="16">
        <f>HYPERLINK("http://csr.bu.edu/ftp/asl/asllvd/demos/verify_start_end_handshape_annotations//test_auto_move//signs_mov_separ_signers/Tyler_3447.mov","MOV")</f>
        <v>21</v>
      </c>
      <c r="M213" t="s" s="10">
        <v>92</v>
      </c>
      <c r="N213" s="17">
        <v>3</v>
      </c>
      <c r="O213" s="18">
        <v>1620</v>
      </c>
      <c r="P213" s="18">
        <v>1665</v>
      </c>
      <c r="Q213" t="s" s="16">
        <f>HYPERLINK("http://secrets.rutgers.edu:8080/data/asl-ftp/asllvd/demos/verify_start_end_handshape_annotations//test_auto_move//signs_mov/42_3447_merged.mov","MOV")</f>
        <v>21</v>
      </c>
      <c r="R213" t="s" s="16">
        <f>HYPERLINK("http://secrets.rutgers.edu:8080/data/asl-ftp/asllvd/demos/verify_start_end_handshape_annotations//test_auto_move//signs_mov_separ_signers/Tyler_3447.mov","MOV")</f>
        <v>21</v>
      </c>
    </row>
    <row r="214" s="2" customFormat="1" ht="13.5" customHeight="1">
      <c r="B214" s="13"/>
      <c r="C214" t="s" s="9">
        <v>27</v>
      </c>
      <c r="D214" t="s" s="8">
        <v>139</v>
      </c>
      <c r="E214" t="s" s="9">
        <v>141</v>
      </c>
      <c r="F214" t="s" s="10">
        <v>63</v>
      </c>
      <c r="G214" t="s" s="11">
        <v>63</v>
      </c>
      <c r="H214" t="s" s="10">
        <v>63</v>
      </c>
      <c r="I214" t="s" s="11">
        <v>63</v>
      </c>
      <c r="J214" t="s" s="11">
        <v>20</v>
      </c>
      <c r="K214" s="15"/>
      <c r="L214" t="s" s="16">
        <f>HYPERLINK("http://csr.bu.edu/ftp/asl/asllvd/demos/verify_start_end_handshape_annotations//test_auto_move//signs_mov_separ_signers/Naomi_42.mov","MOV")</f>
        <v>21</v>
      </c>
      <c r="M214" t="s" s="10">
        <v>29</v>
      </c>
      <c r="N214" s="17">
        <v>5</v>
      </c>
      <c r="O214" s="18">
        <v>597</v>
      </c>
      <c r="P214" s="18">
        <v>658</v>
      </c>
      <c r="Q214" s="15"/>
      <c r="R214" t="s" s="16">
        <f>HYPERLINK("http://secrets.rutgers.edu:8080/data/asl-ftp/asllvd/demos/verify_start_end_handshape_annotations//test_auto_move//signs_mov_separ_signers/Naomi_42.mov","MOV")</f>
        <v>21</v>
      </c>
    </row>
    <row r="215" s="2" customFormat="1" ht="13.5" customHeight="1">
      <c r="B215" s="13"/>
      <c r="C215" t="s" s="9">
        <v>27</v>
      </c>
      <c r="D215" t="s" s="8">
        <v>139</v>
      </c>
      <c r="E215" t="s" s="9">
        <v>141</v>
      </c>
      <c r="F215" t="s" s="10">
        <v>63</v>
      </c>
      <c r="G215" t="s" s="11">
        <v>63</v>
      </c>
      <c r="H215" t="s" s="10">
        <v>63</v>
      </c>
      <c r="I215" t="s" s="11">
        <v>63</v>
      </c>
      <c r="J215" t="s" s="11">
        <v>20</v>
      </c>
      <c r="K215" s="15"/>
      <c r="L215" t="s" s="16">
        <f>HYPERLINK("http://csr.bu.edu/ftp/asl/asllvd/demos/verify_start_end_handshape_annotations//test_auto_move//signs_mov_separ_signers/Naomi_3447.mov","MOV")</f>
        <v>21</v>
      </c>
      <c r="M215" t="s" s="10">
        <v>86</v>
      </c>
      <c r="N215" s="17">
        <v>23</v>
      </c>
      <c r="O215" s="18">
        <v>1290</v>
      </c>
      <c r="P215" s="18">
        <v>1342</v>
      </c>
      <c r="Q215" s="15"/>
      <c r="R215" t="s" s="16">
        <f>HYPERLINK("http://secrets.rutgers.edu:8080/data/asl-ftp/asllvd/demos/verify_start_end_handshape_annotations//test_auto_move//signs_mov_separ_signers/Naomi_3447.mov","MOV")</f>
        <v>21</v>
      </c>
    </row>
    <row r="216" s="2" customFormat="1" ht="13.5" customHeight="1">
      <c r="B216" s="13"/>
      <c r="C216" t="s" s="9">
        <v>30</v>
      </c>
      <c r="D216" t="s" s="8">
        <v>139</v>
      </c>
      <c r="E216" t="s" s="9">
        <v>141</v>
      </c>
      <c r="F216" t="s" s="10">
        <v>63</v>
      </c>
      <c r="G216" t="s" s="11">
        <v>63</v>
      </c>
      <c r="H216" t="s" s="10">
        <v>63</v>
      </c>
      <c r="I216" t="s" s="11">
        <v>63</v>
      </c>
      <c r="J216" t="s" s="11">
        <v>20</v>
      </c>
      <c r="K216" s="15"/>
      <c r="L216" t="s" s="16">
        <f>HYPERLINK("http://csr.bu.edu/ftp/asl/asllvd/demos/verify_start_end_handshape_annotations//test_auto_move//signs_mov_separ_signers/Brady_42.mov","MOV")</f>
        <v>21</v>
      </c>
      <c r="M216" t="s" s="10">
        <v>39</v>
      </c>
      <c r="N216" s="17">
        <v>6</v>
      </c>
      <c r="O216" s="18">
        <v>7080</v>
      </c>
      <c r="P216" s="18">
        <v>7105</v>
      </c>
      <c r="Q216" s="15"/>
      <c r="R216" t="s" s="16">
        <f>HYPERLINK("http://secrets.rutgers.edu:8080/data/asl-ftp/asllvd/demos/verify_start_end_handshape_annotations//test_auto_move//signs_mov_separ_signers/Brady_42.mov","MOV")</f>
        <v>21</v>
      </c>
    </row>
    <row r="217" s="2" customFormat="1" ht="13.5" customHeight="1">
      <c r="B217" s="13"/>
      <c r="C217" t="s" s="9">
        <v>30</v>
      </c>
      <c r="D217" t="s" s="8">
        <v>139</v>
      </c>
      <c r="E217" t="s" s="9">
        <v>141</v>
      </c>
      <c r="F217" s="19">
        <v>10</v>
      </c>
      <c r="G217" s="17">
        <v>10</v>
      </c>
      <c r="H217" s="19">
        <v>10</v>
      </c>
      <c r="I217" s="17">
        <v>10</v>
      </c>
      <c r="J217" t="s" s="11">
        <v>20</v>
      </c>
      <c r="K217" s="15"/>
      <c r="L217" t="s" s="16">
        <f>HYPERLINK("http://csr.bu.edu/ftp/asl/asllvd/demos/verify_start_end_handshape_annotations//test_auto_move//signs_mov_separ_signers/Brady_3447.mov","MOV")</f>
        <v>21</v>
      </c>
      <c r="M217" t="s" s="10">
        <v>60</v>
      </c>
      <c r="N217" s="17">
        <v>42</v>
      </c>
      <c r="O217" s="18">
        <v>454</v>
      </c>
      <c r="P217" s="18">
        <v>489</v>
      </c>
      <c r="Q217" s="15"/>
      <c r="R217" t="s" s="16">
        <f>HYPERLINK("http://secrets.rutgers.edu:8080/data/asl-ftp/asllvd/demos/verify_start_end_handshape_annotations//test_auto_move//signs_mov_separ_signers/Brady_3447.mov","MOV")</f>
        <v>21</v>
      </c>
    </row>
    <row r="218" s="2" customFormat="1" ht="13.5" customHeight="1">
      <c r="B218" t="s" s="8">
        <v>142</v>
      </c>
      <c r="C218" t="s" s="9">
        <v>14</v>
      </c>
      <c r="D218" t="s" s="8">
        <v>14</v>
      </c>
      <c r="E218" t="s" s="9">
        <v>14</v>
      </c>
      <c r="F218" t="s" s="10">
        <v>14</v>
      </c>
      <c r="G218" t="s" s="11">
        <v>14</v>
      </c>
      <c r="H218" t="s" s="10">
        <v>14</v>
      </c>
      <c r="I218" t="s" s="11">
        <v>14</v>
      </c>
      <c r="J218" t="s" s="11">
        <v>14</v>
      </c>
      <c r="K218" t="s" s="12">
        <v>14</v>
      </c>
      <c r="L218" t="s" s="12">
        <v>14</v>
      </c>
      <c r="M218" t="s" s="10">
        <v>14</v>
      </c>
      <c r="N218" t="s" s="11">
        <v>14</v>
      </c>
      <c r="O218" t="s" s="8">
        <v>14</v>
      </c>
      <c r="P218" t="s" s="8">
        <v>14</v>
      </c>
      <c r="Q218" t="s" s="12">
        <v>14</v>
      </c>
      <c r="R218" t="s" s="12">
        <v>14</v>
      </c>
    </row>
    <row r="219" s="2" customFormat="1" ht="13.5" customHeight="1">
      <c r="B219" s="13"/>
      <c r="C219" t="s" s="9">
        <v>16</v>
      </c>
      <c r="D219" t="s" s="8">
        <v>142</v>
      </c>
      <c r="E219" t="s" s="9">
        <v>143</v>
      </c>
      <c r="F219" t="s" s="10">
        <v>63</v>
      </c>
      <c r="G219" t="s" s="11">
        <v>63</v>
      </c>
      <c r="H219" t="s" s="10">
        <v>63</v>
      </c>
      <c r="I219" t="s" s="11">
        <v>63</v>
      </c>
      <c r="J219" t="s" s="11">
        <v>20</v>
      </c>
      <c r="K219" s="15"/>
      <c r="L219" t="s" s="16">
        <f>HYPERLINK("http://csr.bu.edu/ftp/asl/asllvd/demos/verify_start_end_handshape_annotations//test_auto_move//signs_mov_separ_signers/Liz_15762.mov","MOV")</f>
        <v>21</v>
      </c>
      <c r="M219" t="s" s="10">
        <v>22</v>
      </c>
      <c r="N219" s="17">
        <v>13</v>
      </c>
      <c r="O219" s="18">
        <v>520</v>
      </c>
      <c r="P219" s="18">
        <v>575</v>
      </c>
      <c r="Q219" s="15"/>
      <c r="R219" t="s" s="16">
        <f>HYPERLINK("http://secrets.rutgers.edu:8080/data/asl-ftp/asllvd/demos/verify_start_end_handshape_annotations//test_auto_move//signs_mov_separ_signers/Liz_15762.mov","MOV")</f>
        <v>21</v>
      </c>
    </row>
    <row r="220" s="2" customFormat="1" ht="13.5" customHeight="1">
      <c r="B220" s="13"/>
      <c r="C220" t="s" s="9">
        <v>23</v>
      </c>
      <c r="D220" t="s" s="8">
        <v>142</v>
      </c>
      <c r="E220" t="s" s="9">
        <v>144</v>
      </c>
      <c r="F220" t="s" s="10">
        <v>63</v>
      </c>
      <c r="G220" s="17">
        <v>10</v>
      </c>
      <c r="H220" t="s" s="10">
        <v>63</v>
      </c>
      <c r="I220" s="17">
        <v>10</v>
      </c>
      <c r="J220" t="s" s="11">
        <v>20</v>
      </c>
      <c r="K220" s="15"/>
      <c r="L220" t="s" s="16">
        <f>HYPERLINK("http://csr.bu.edu/ftp/asl/asllvd/demos/verify_start_end_handshape_annotations//test_auto_move//signs_mov_separ_signers/Tyler_15762.mov","MOV")</f>
        <v>21</v>
      </c>
      <c r="M220" t="s" s="10">
        <v>26</v>
      </c>
      <c r="N220" s="17">
        <v>8</v>
      </c>
      <c r="O220" s="18">
        <v>1600</v>
      </c>
      <c r="P220" s="18">
        <v>1627</v>
      </c>
      <c r="Q220" s="15"/>
      <c r="R220" t="s" s="16">
        <f>HYPERLINK("http://secrets.rutgers.edu:8080/data/asl-ftp/asllvd/demos/verify_start_end_handshape_annotations//test_auto_move//signs_mov_separ_signers/Tyler_15762.mov","MOV")</f>
        <v>21</v>
      </c>
    </row>
    <row r="221" s="2" customFormat="1" ht="13.5" customHeight="1">
      <c r="B221" s="13"/>
      <c r="C221" t="s" s="9">
        <v>27</v>
      </c>
      <c r="D221" t="s" s="8">
        <v>142</v>
      </c>
      <c r="E221" t="s" s="9">
        <v>144</v>
      </c>
      <c r="F221" t="s" s="10">
        <v>63</v>
      </c>
      <c r="G221" t="s" s="11">
        <v>63</v>
      </c>
      <c r="H221" t="s" s="10">
        <v>63</v>
      </c>
      <c r="I221" t="s" s="11">
        <v>63</v>
      </c>
      <c r="J221" t="s" s="11">
        <v>20</v>
      </c>
      <c r="K221" t="s" s="16">
        <f>HYPERLINK("http://csr.bu.edu/ftp/asl/asllvd/demos/verify_start_end_handshape_annotations//test_auto_move//signs_mov/15762_15763_merged.mov","MOV")</f>
        <v>21</v>
      </c>
      <c r="L221" t="s" s="16">
        <f>HYPERLINK("http://csr.bu.edu/ftp/asl/asllvd/demos/verify_start_end_handshape_annotations//test_auto_move//signs_mov_separ_signers/Naomi_15762.mov","MOV")</f>
        <v>21</v>
      </c>
      <c r="M221" t="s" s="10">
        <v>29</v>
      </c>
      <c r="N221" s="17">
        <v>9</v>
      </c>
      <c r="O221" s="18">
        <v>2007</v>
      </c>
      <c r="P221" s="18">
        <v>2047</v>
      </c>
      <c r="Q221" t="s" s="16">
        <f>HYPERLINK("http://secrets.rutgers.edu:8080/data/asl-ftp/asllvd/demos/verify_start_end_handshape_annotations//test_auto_move//signs_mov/15762_15763_merged.mov","MOV")</f>
        <v>21</v>
      </c>
      <c r="R221" t="s" s="16">
        <f>HYPERLINK("http://secrets.rutgers.edu:8080/data/asl-ftp/asllvd/demos/verify_start_end_handshape_annotations//test_auto_move//signs_mov_separ_signers/Naomi_15762.mov","MOV")</f>
        <v>21</v>
      </c>
    </row>
    <row r="222" s="2" customFormat="1" ht="13.5" customHeight="1">
      <c r="B222" s="13"/>
      <c r="C222" t="s" s="9">
        <v>30</v>
      </c>
      <c r="D222" t="s" s="8">
        <v>142</v>
      </c>
      <c r="E222" t="s" s="9">
        <v>144</v>
      </c>
      <c r="F222" s="19">
        <v>10</v>
      </c>
      <c r="G222" s="17">
        <v>10</v>
      </c>
      <c r="H222" s="19">
        <v>10</v>
      </c>
      <c r="I222" s="17">
        <v>10</v>
      </c>
      <c r="J222" t="s" s="11">
        <v>20</v>
      </c>
      <c r="K222" s="15"/>
      <c r="L222" t="s" s="16">
        <f>HYPERLINK("http://csr.bu.edu/ftp/asl/asllvd/demos/verify_start_end_handshape_annotations//test_auto_move//signs_mov_separ_signers/Brady_15762.mov","MOV")</f>
        <v>21</v>
      </c>
      <c r="M222" t="s" s="10">
        <v>31</v>
      </c>
      <c r="N222" s="17">
        <v>9</v>
      </c>
      <c r="O222" s="18">
        <v>12148</v>
      </c>
      <c r="P222" s="18">
        <v>12175</v>
      </c>
      <c r="Q222" s="15"/>
      <c r="R222" t="s" s="16">
        <f>HYPERLINK("http://secrets.rutgers.edu:8080/data/asl-ftp/asllvd/demos/verify_start_end_handshape_annotations//test_auto_move//signs_mov_separ_signers/Brady_15762.mov","MOV")</f>
        <v>21</v>
      </c>
    </row>
    <row r="223" s="2" customFormat="1" ht="13.5" customHeight="1">
      <c r="B223" s="13"/>
      <c r="C223" t="s" s="9">
        <v>30</v>
      </c>
      <c r="D223" t="s" s="8">
        <v>142</v>
      </c>
      <c r="E223" t="s" s="9">
        <v>144</v>
      </c>
      <c r="F223" t="s" s="10">
        <v>63</v>
      </c>
      <c r="G223" t="s" s="11">
        <v>63</v>
      </c>
      <c r="H223" t="s" s="10">
        <v>63</v>
      </c>
      <c r="I223" t="s" s="11">
        <v>63</v>
      </c>
      <c r="J223" t="s" s="11">
        <v>20</v>
      </c>
      <c r="K223" s="15"/>
      <c r="L223" t="s" s="16">
        <f>HYPERLINK("http://csr.bu.edu/ftp/asl/asllvd/demos/verify_start_end_handshape_annotations//test_auto_move//signs_mov_separ_signers/Brady_15763.mov","MOV")</f>
        <v>21</v>
      </c>
      <c r="M223" t="s" s="10">
        <v>31</v>
      </c>
      <c r="N223" s="17">
        <v>11</v>
      </c>
      <c r="O223" s="18">
        <v>2822</v>
      </c>
      <c r="P223" s="18">
        <v>2852</v>
      </c>
      <c r="Q223" s="15"/>
      <c r="R223" t="s" s="16">
        <f>HYPERLINK("http://secrets.rutgers.edu:8080/data/asl-ftp/asllvd/demos/verify_start_end_handshape_annotations//test_auto_move//signs_mov_separ_signers/Brady_15763.mov","MOV")</f>
        <v>21</v>
      </c>
    </row>
    <row r="224" s="2" customFormat="1" ht="13.5" customHeight="1">
      <c r="B224" t="s" s="8">
        <v>145</v>
      </c>
      <c r="C224" t="s" s="9">
        <v>14</v>
      </c>
      <c r="D224" t="s" s="8">
        <v>14</v>
      </c>
      <c r="E224" t="s" s="9">
        <v>14</v>
      </c>
      <c r="F224" t="s" s="10">
        <v>14</v>
      </c>
      <c r="G224" t="s" s="11">
        <v>14</v>
      </c>
      <c r="H224" t="s" s="10">
        <v>14</v>
      </c>
      <c r="I224" t="s" s="11">
        <v>14</v>
      </c>
      <c r="J224" t="s" s="11">
        <v>14</v>
      </c>
      <c r="K224" t="s" s="12">
        <v>14</v>
      </c>
      <c r="L224" t="s" s="12">
        <v>14</v>
      </c>
      <c r="M224" t="s" s="10">
        <v>14</v>
      </c>
      <c r="N224" t="s" s="11">
        <v>14</v>
      </c>
      <c r="O224" t="s" s="8">
        <v>14</v>
      </c>
      <c r="P224" t="s" s="8">
        <v>14</v>
      </c>
      <c r="Q224" t="s" s="12">
        <v>14</v>
      </c>
      <c r="R224" t="s" s="12">
        <v>14</v>
      </c>
    </row>
    <row r="225" s="2" customFormat="1" ht="13.5" customHeight="1">
      <c r="B225" s="13"/>
      <c r="C225" t="s" s="9">
        <v>16</v>
      </c>
      <c r="D225" t="s" s="8">
        <v>145</v>
      </c>
      <c r="E225" t="s" s="9">
        <v>145</v>
      </c>
      <c r="F225" t="s" s="10">
        <v>72</v>
      </c>
      <c r="G225" t="s" s="11">
        <v>72</v>
      </c>
      <c r="H225" t="s" s="10">
        <v>119</v>
      </c>
      <c r="I225" t="s" s="11">
        <v>119</v>
      </c>
      <c r="J225" t="s" s="11">
        <v>20</v>
      </c>
      <c r="K225" s="15"/>
      <c r="L225" t="s" s="16">
        <f>HYPERLINK("http://csr.bu.edu/ftp/asl/asllvd/demos/verify_start_end_handshape_annotations//test_auto_move//signs_mov_separ_signers/Liz_46.mov","MOV")</f>
        <v>21</v>
      </c>
      <c r="M225" t="s" s="10">
        <v>22</v>
      </c>
      <c r="N225" s="17">
        <v>6</v>
      </c>
      <c r="O225" s="18">
        <v>2515</v>
      </c>
      <c r="P225" s="18">
        <v>2560</v>
      </c>
      <c r="Q225" s="15"/>
      <c r="R225" t="s" s="16">
        <f>HYPERLINK("http://secrets.rutgers.edu:8080/data/asl-ftp/asllvd/demos/verify_start_end_handshape_annotations//test_auto_move//signs_mov_separ_signers/Liz_46.mov","MOV")</f>
        <v>21</v>
      </c>
    </row>
    <row r="226" s="2" customFormat="1" ht="13.5" customHeight="1">
      <c r="B226" s="13"/>
      <c r="C226" t="s" s="9">
        <v>16</v>
      </c>
      <c r="D226" t="s" s="8">
        <v>145</v>
      </c>
      <c r="E226" t="s" s="9">
        <v>145</v>
      </c>
      <c r="F226" t="s" s="10">
        <v>72</v>
      </c>
      <c r="G226" t="s" s="11">
        <v>72</v>
      </c>
      <c r="H226" t="s" s="10">
        <v>119</v>
      </c>
      <c r="I226" t="s" s="11">
        <v>119</v>
      </c>
      <c r="J226" t="s" s="11">
        <v>20</v>
      </c>
      <c r="K226" t="s" s="16">
        <f>HYPERLINK("http://csr.bu.edu/ftp/asl/asllvd/demos/verify_start_end_handshape_annotations//test_auto_move//signs_mov/46_3343_merged.mov","MOV")</f>
        <v>21</v>
      </c>
      <c r="L226" t="s" s="16">
        <f>HYPERLINK("http://csr.bu.edu/ftp/asl/asllvd/demos/verify_start_end_handshape_annotations//test_auto_move//signs_mov_separ_signers/Liz_3343.mov","MOV")</f>
        <v>21</v>
      </c>
      <c r="M226" t="s" s="10">
        <v>22</v>
      </c>
      <c r="N226" s="17">
        <v>6</v>
      </c>
      <c r="O226" s="18">
        <v>2820</v>
      </c>
      <c r="P226" s="18">
        <v>2860</v>
      </c>
      <c r="Q226" t="s" s="16">
        <f>HYPERLINK("http://secrets.rutgers.edu:8080/data/asl-ftp/asllvd/demos/verify_start_end_handshape_annotations//test_auto_move//signs_mov/46_3343_merged.mov","MOV")</f>
        <v>21</v>
      </c>
      <c r="R226" t="s" s="16">
        <f>HYPERLINK("http://secrets.rutgers.edu:8080/data/asl-ftp/asllvd/demos/verify_start_end_handshape_annotations//test_auto_move//signs_mov_separ_signers/Liz_3343.mov","MOV")</f>
        <v>21</v>
      </c>
    </row>
    <row r="227" s="2" customFormat="1" ht="13.5" customHeight="1">
      <c r="B227" s="13"/>
      <c r="C227" t="s" s="9">
        <v>27</v>
      </c>
      <c r="D227" t="s" s="8">
        <v>145</v>
      </c>
      <c r="E227" t="s" s="9">
        <v>145</v>
      </c>
      <c r="F227" t="s" s="10">
        <v>72</v>
      </c>
      <c r="G227" t="s" s="11">
        <v>72</v>
      </c>
      <c r="H227" t="s" s="10">
        <v>119</v>
      </c>
      <c r="I227" t="s" s="11">
        <v>119</v>
      </c>
      <c r="J227" t="s" s="11">
        <v>20</v>
      </c>
      <c r="K227" s="15"/>
      <c r="L227" t="s" s="16">
        <f>HYPERLINK("http://csr.bu.edu/ftp/asl/asllvd/demos/verify_start_end_handshape_annotations//test_auto_move//signs_mov_separ_signers/Naomi_46.mov","MOV")</f>
        <v>21</v>
      </c>
      <c r="M227" t="s" s="10">
        <v>29</v>
      </c>
      <c r="N227" s="17">
        <v>5</v>
      </c>
      <c r="O227" s="18">
        <v>1557</v>
      </c>
      <c r="P227" s="18">
        <v>1580</v>
      </c>
      <c r="Q227" s="15"/>
      <c r="R227" t="s" s="16">
        <f>HYPERLINK("http://secrets.rutgers.edu:8080/data/asl-ftp/asllvd/demos/verify_start_end_handshape_annotations//test_auto_move//signs_mov_separ_signers/Naomi_46.mov","MOV")</f>
        <v>21</v>
      </c>
    </row>
    <row r="228" s="2" customFormat="1" ht="13.5" customHeight="1">
      <c r="B228" s="13"/>
      <c r="C228" t="s" s="9">
        <v>27</v>
      </c>
      <c r="D228" t="s" s="8">
        <v>145</v>
      </c>
      <c r="E228" t="s" s="9">
        <v>145</v>
      </c>
      <c r="F228" t="s" s="10">
        <v>72</v>
      </c>
      <c r="G228" t="s" s="11">
        <v>72</v>
      </c>
      <c r="H228" t="s" s="10">
        <v>119</v>
      </c>
      <c r="I228" t="s" s="11">
        <v>119</v>
      </c>
      <c r="J228" t="s" s="11">
        <v>20</v>
      </c>
      <c r="K228" s="15"/>
      <c r="L228" t="s" s="16">
        <f>HYPERLINK("http://csr.bu.edu/ftp/asl/asllvd/demos/verify_start_end_handshape_annotations//test_auto_move//signs_mov_separ_signers/Naomi_3343.mov","MOV")</f>
        <v>21</v>
      </c>
      <c r="M228" t="s" s="10">
        <v>29</v>
      </c>
      <c r="N228" s="17">
        <v>9</v>
      </c>
      <c r="O228" s="18">
        <v>3660</v>
      </c>
      <c r="P228" s="18">
        <v>3690</v>
      </c>
      <c r="Q228" s="15"/>
      <c r="R228" t="s" s="16">
        <f>HYPERLINK("http://secrets.rutgers.edu:8080/data/asl-ftp/asllvd/demos/verify_start_end_handshape_annotations//test_auto_move//signs_mov_separ_signers/Naomi_3343.mov","MOV")</f>
        <v>21</v>
      </c>
    </row>
    <row r="229" s="2" customFormat="1" ht="13.5" customHeight="1">
      <c r="B229" t="s" s="8">
        <v>146</v>
      </c>
      <c r="C229" t="s" s="9">
        <v>14</v>
      </c>
      <c r="D229" t="s" s="8">
        <v>14</v>
      </c>
      <c r="E229" t="s" s="9">
        <v>14</v>
      </c>
      <c r="F229" t="s" s="10">
        <v>14</v>
      </c>
      <c r="G229" t="s" s="11">
        <v>14</v>
      </c>
      <c r="H229" t="s" s="10">
        <v>14</v>
      </c>
      <c r="I229" t="s" s="11">
        <v>14</v>
      </c>
      <c r="J229" t="s" s="11">
        <v>14</v>
      </c>
      <c r="K229" t="s" s="12">
        <v>14</v>
      </c>
      <c r="L229" t="s" s="12">
        <v>14</v>
      </c>
      <c r="M229" t="s" s="10">
        <v>14</v>
      </c>
      <c r="N229" t="s" s="11">
        <v>14</v>
      </c>
      <c r="O229" t="s" s="8">
        <v>14</v>
      </c>
      <c r="P229" t="s" s="8">
        <v>14</v>
      </c>
      <c r="Q229" t="s" s="12">
        <v>14</v>
      </c>
      <c r="R229" t="s" s="12">
        <v>14</v>
      </c>
    </row>
    <row r="230" s="2" customFormat="1" ht="13.5" customHeight="1">
      <c r="B230" s="13"/>
      <c r="C230" t="s" s="9">
        <v>23</v>
      </c>
      <c r="D230" t="s" s="8">
        <v>146</v>
      </c>
      <c r="E230" t="s" s="9">
        <v>146</v>
      </c>
      <c r="F230" t="s" s="10">
        <v>72</v>
      </c>
      <c r="G230" t="s" s="11">
        <v>72</v>
      </c>
      <c r="H230" t="s" s="10">
        <v>119</v>
      </c>
      <c r="I230" t="s" s="11">
        <v>119</v>
      </c>
      <c r="J230" t="s" s="11">
        <v>20</v>
      </c>
      <c r="K230" s="15"/>
      <c r="L230" t="s" s="16">
        <f>HYPERLINK("http://csr.bu.edu/ftp/asl/asllvd/demos/verify_start_end_handshape_annotations//test_auto_move//signs_mov_separ_signers/Tyler_3572.mov","MOV")</f>
        <v>21</v>
      </c>
      <c r="M230" t="s" s="10">
        <v>26</v>
      </c>
      <c r="N230" s="17">
        <v>6</v>
      </c>
      <c r="O230" s="18">
        <v>4855</v>
      </c>
      <c r="P230" s="18">
        <v>4881</v>
      </c>
      <c r="Q230" s="15"/>
      <c r="R230" t="s" s="16">
        <f>HYPERLINK("http://secrets.rutgers.edu:8080/data/asl-ftp/asllvd/demos/verify_start_end_handshape_annotations//test_auto_move//signs_mov_separ_signers/Tyler_3572.mov","MOV")</f>
        <v>21</v>
      </c>
    </row>
    <row r="231" s="2" customFormat="1" ht="13.5" customHeight="1">
      <c r="B231" s="13"/>
      <c r="C231" t="s" s="9">
        <v>23</v>
      </c>
      <c r="D231" t="s" s="8">
        <v>146</v>
      </c>
      <c r="E231" t="s" s="9">
        <v>146</v>
      </c>
      <c r="F231" t="s" s="10">
        <v>72</v>
      </c>
      <c r="G231" t="s" s="11">
        <v>72</v>
      </c>
      <c r="H231" t="s" s="10">
        <v>119</v>
      </c>
      <c r="I231" t="s" s="11">
        <v>119</v>
      </c>
      <c r="J231" t="s" s="11">
        <v>20</v>
      </c>
      <c r="K231" t="s" s="16">
        <f>HYPERLINK("http://csr.bu.edu/ftp/asl/asllvd/demos/verify_start_end_handshape_annotations//test_auto_move//signs_mov/3572_15771_merged.mov","MOV")</f>
        <v>21</v>
      </c>
      <c r="L231" t="s" s="16">
        <f>HYPERLINK("http://csr.bu.edu/ftp/asl/asllvd/demos/verify_start_end_handshape_annotations//test_auto_move//signs_mov_separ_signers/Tyler_15771.mov","MOV")</f>
        <v>21</v>
      </c>
      <c r="M231" t="s" s="10">
        <v>26</v>
      </c>
      <c r="N231" s="17">
        <v>6</v>
      </c>
      <c r="O231" s="18">
        <v>5170</v>
      </c>
      <c r="P231" s="18">
        <v>5200</v>
      </c>
      <c r="Q231" t="s" s="16">
        <f>HYPERLINK("http://secrets.rutgers.edu:8080/data/asl-ftp/asllvd/demos/verify_start_end_handshape_annotations//test_auto_move//signs_mov/3572_15771_merged.mov","MOV")</f>
        <v>21</v>
      </c>
      <c r="R231" t="s" s="16">
        <f>HYPERLINK("http://secrets.rutgers.edu:8080/data/asl-ftp/asllvd/demos/verify_start_end_handshape_annotations//test_auto_move//signs_mov_separ_signers/Tyler_15771.mov","MOV")</f>
        <v>21</v>
      </c>
    </row>
    <row r="232" s="2" customFormat="1" ht="13.5" customHeight="1">
      <c r="B232" s="13"/>
      <c r="C232" t="s" s="9">
        <v>27</v>
      </c>
      <c r="D232" t="s" s="8">
        <v>146</v>
      </c>
      <c r="E232" t="s" s="9">
        <v>146</v>
      </c>
      <c r="F232" t="s" s="10">
        <v>72</v>
      </c>
      <c r="G232" t="s" s="11">
        <v>72</v>
      </c>
      <c r="H232" t="s" s="10">
        <v>119</v>
      </c>
      <c r="I232" t="s" s="11">
        <v>119</v>
      </c>
      <c r="J232" t="s" s="11">
        <v>20</v>
      </c>
      <c r="K232" s="15"/>
      <c r="L232" t="s" s="16">
        <f>HYPERLINK("http://csr.bu.edu/ftp/asl/asllvd/demos/verify_start_end_handshape_annotations//test_auto_move//signs_mov_separ_signers/Naomi_3572.mov","MOV")</f>
        <v>21</v>
      </c>
      <c r="M232" t="s" s="10">
        <v>29</v>
      </c>
      <c r="N232" s="17">
        <v>5</v>
      </c>
      <c r="O232" s="18">
        <v>1339</v>
      </c>
      <c r="P232" s="18">
        <v>1368</v>
      </c>
      <c r="Q232" s="15"/>
      <c r="R232" t="s" s="16">
        <f>HYPERLINK("http://secrets.rutgers.edu:8080/data/asl-ftp/asllvd/demos/verify_start_end_handshape_annotations//test_auto_move//signs_mov_separ_signers/Naomi_3572.mov","MOV")</f>
        <v>21</v>
      </c>
    </row>
    <row r="233" s="2" customFormat="1" ht="13.5" customHeight="1">
      <c r="B233" s="13"/>
      <c r="C233" t="s" s="9">
        <v>30</v>
      </c>
      <c r="D233" t="s" s="8">
        <v>146</v>
      </c>
      <c r="E233" t="s" s="9">
        <v>146</v>
      </c>
      <c r="F233" t="s" s="10">
        <v>72</v>
      </c>
      <c r="G233" t="s" s="11">
        <v>72</v>
      </c>
      <c r="H233" t="s" s="10">
        <v>119</v>
      </c>
      <c r="I233" t="s" s="11">
        <v>119</v>
      </c>
      <c r="J233" t="s" s="11">
        <v>20</v>
      </c>
      <c r="K233" s="15"/>
      <c r="L233" t="s" s="16">
        <f>HYPERLINK("http://csr.bu.edu/ftp/asl/asllvd/demos/verify_start_end_handshape_annotations//test_auto_move//signs_mov_separ_signers/Brady_3572.mov","MOV")</f>
        <v>21</v>
      </c>
      <c r="M233" t="s" s="10">
        <v>60</v>
      </c>
      <c r="N233" s="17">
        <v>37</v>
      </c>
      <c r="O233" s="18">
        <v>606</v>
      </c>
      <c r="P233" s="18">
        <v>630</v>
      </c>
      <c r="Q233" s="15"/>
      <c r="R233" t="s" s="16">
        <f>HYPERLINK("http://secrets.rutgers.edu:8080/data/asl-ftp/asllvd/demos/verify_start_end_handshape_annotations//test_auto_move//signs_mov_separ_signers/Brady_3572.mov","MOV")</f>
        <v>21</v>
      </c>
    </row>
    <row r="234" s="2" customFormat="1" ht="13.5" customHeight="1">
      <c r="B234" t="s" s="8">
        <v>52</v>
      </c>
      <c r="C234" t="s" s="9">
        <v>53</v>
      </c>
      <c r="D234" t="s" s="8">
        <v>53</v>
      </c>
      <c r="E234" t="s" s="9">
        <v>53</v>
      </c>
      <c r="F234" t="s" s="10">
        <v>53</v>
      </c>
      <c r="G234" t="s" s="11">
        <v>53</v>
      </c>
      <c r="H234" t="s" s="10">
        <v>53</v>
      </c>
      <c r="I234" t="s" s="11">
        <v>53</v>
      </c>
      <c r="J234" t="s" s="11">
        <v>53</v>
      </c>
      <c r="K234" t="s" s="12">
        <v>53</v>
      </c>
      <c r="L234" t="s" s="12">
        <v>53</v>
      </c>
      <c r="M234" t="s" s="10">
        <v>53</v>
      </c>
      <c r="N234" t="s" s="11">
        <v>53</v>
      </c>
      <c r="O234" t="s" s="8">
        <v>53</v>
      </c>
      <c r="P234" t="s" s="8">
        <v>53</v>
      </c>
      <c r="Q234" t="s" s="12">
        <v>53</v>
      </c>
      <c r="R234" t="s" s="12">
        <v>53</v>
      </c>
    </row>
    <row r="235" s="2" customFormat="1" ht="13.5" customHeight="1">
      <c r="B235" s="13"/>
      <c r="C235" t="s" s="9">
        <v>16</v>
      </c>
      <c r="D235" t="s" s="8">
        <v>146</v>
      </c>
      <c r="E235" t="s" s="9">
        <v>147</v>
      </c>
      <c r="F235" t="s" s="10">
        <v>72</v>
      </c>
      <c r="G235" t="s" s="11">
        <v>72</v>
      </c>
      <c r="H235" t="s" s="10">
        <v>119</v>
      </c>
      <c r="I235" t="s" s="11">
        <v>119</v>
      </c>
      <c r="J235" t="s" s="11">
        <v>20</v>
      </c>
      <c r="K235" s="15"/>
      <c r="L235" t="s" s="16">
        <f>HYPERLINK("http://csr.bu.edu/ftp/asl/asllvd/demos/verify_start_end_handshape_annotations//test_auto_move//signs_mov_separ_signers/Liz_15772.mov","MOV")</f>
        <v>21</v>
      </c>
      <c r="M235" t="s" s="10">
        <v>22</v>
      </c>
      <c r="N235" s="17">
        <v>13</v>
      </c>
      <c r="O235" s="18">
        <v>1681</v>
      </c>
      <c r="P235" s="18">
        <v>1725</v>
      </c>
      <c r="Q235" s="15"/>
      <c r="R235" t="s" s="16">
        <f>HYPERLINK("http://secrets.rutgers.edu:8080/data/asl-ftp/asllvd/demos/verify_start_end_handshape_annotations//test_auto_move//signs_mov_separ_signers/Liz_15772.mov","MOV")</f>
        <v>21</v>
      </c>
    </row>
    <row r="236" s="2" customFormat="1" ht="13.5" customHeight="1">
      <c r="B236" s="13"/>
      <c r="C236" t="s" s="9">
        <v>23</v>
      </c>
      <c r="D236" t="s" s="8">
        <v>146</v>
      </c>
      <c r="E236" t="s" s="9">
        <v>147</v>
      </c>
      <c r="F236" t="s" s="10">
        <v>72</v>
      </c>
      <c r="G236" t="s" s="11">
        <v>72</v>
      </c>
      <c r="H236" t="s" s="10">
        <v>119</v>
      </c>
      <c r="I236" t="s" s="11">
        <v>119</v>
      </c>
      <c r="J236" t="s" s="11">
        <v>20</v>
      </c>
      <c r="K236" t="s" s="16">
        <f>HYPERLINK("http://csr.bu.edu/ftp/asl/asllvd/demos/verify_start_end_handshape_annotations//test_auto_move//signs_mov/15772.mov","MOV")</f>
        <v>21</v>
      </c>
      <c r="L236" t="s" s="16">
        <f>HYPERLINK("http://csr.bu.edu/ftp/asl/asllvd/demos/verify_start_end_handshape_annotations//test_auto_move//signs_mov_separ_signers/Tyler_15772.mov","MOV")</f>
        <v>21</v>
      </c>
      <c r="M236" t="s" s="10">
        <v>26</v>
      </c>
      <c r="N236" s="17">
        <v>10</v>
      </c>
      <c r="O236" s="18">
        <v>4206</v>
      </c>
      <c r="P236" s="18">
        <v>4236</v>
      </c>
      <c r="Q236" t="s" s="16">
        <f>HYPERLINK("http://secrets.rutgers.edu:8080/data/asl-ftp/asllvd/demos/verify_start_end_handshape_annotations//test_auto_move//signs_mov/15772.mov","MOV")</f>
        <v>21</v>
      </c>
      <c r="R236" t="s" s="16">
        <f>HYPERLINK("http://secrets.rutgers.edu:8080/data/asl-ftp/asllvd/demos/verify_start_end_handshape_annotations//test_auto_move//signs_mov_separ_signers/Tyler_15772.mov","MOV")</f>
        <v>21</v>
      </c>
    </row>
    <row r="237" s="2" customFormat="1" ht="13.5" customHeight="1">
      <c r="B237" s="13"/>
      <c r="C237" t="s" s="9">
        <v>30</v>
      </c>
      <c r="D237" t="s" s="8">
        <v>146</v>
      </c>
      <c r="E237" t="s" s="9">
        <v>147</v>
      </c>
      <c r="F237" t="s" s="10">
        <v>72</v>
      </c>
      <c r="G237" t="s" s="11">
        <v>148</v>
      </c>
      <c r="H237" t="s" s="10">
        <v>119</v>
      </c>
      <c r="I237" t="s" s="11">
        <v>119</v>
      </c>
      <c r="J237" t="s" s="11">
        <v>20</v>
      </c>
      <c r="K237" s="15"/>
      <c r="L237" t="s" s="16">
        <f>HYPERLINK("http://csr.bu.edu/ftp/asl/asllvd/demos/verify_start_end_handshape_annotations//test_auto_move//signs_mov_separ_signers/Brady_15772.mov","MOV")</f>
        <v>21</v>
      </c>
      <c r="M237" t="s" s="10">
        <v>31</v>
      </c>
      <c r="N237" s="17">
        <v>11</v>
      </c>
      <c r="O237" s="18">
        <v>7910</v>
      </c>
      <c r="P237" s="18">
        <v>7936</v>
      </c>
      <c r="Q237" s="15"/>
      <c r="R237" t="s" s="16">
        <f>HYPERLINK("http://secrets.rutgers.edu:8080/data/asl-ftp/asllvd/demos/verify_start_end_handshape_annotations//test_auto_move//signs_mov_separ_signers/Brady_15772.mov","MOV")</f>
        <v>21</v>
      </c>
    </row>
    <row r="238" s="2" customFormat="1" ht="13.5" customHeight="1">
      <c r="B238" t="s" s="8">
        <v>149</v>
      </c>
      <c r="C238" t="s" s="9">
        <v>14</v>
      </c>
      <c r="D238" t="s" s="8">
        <v>14</v>
      </c>
      <c r="E238" t="s" s="9">
        <v>14</v>
      </c>
      <c r="F238" t="s" s="10">
        <v>14</v>
      </c>
      <c r="G238" t="s" s="11">
        <v>14</v>
      </c>
      <c r="H238" t="s" s="10">
        <v>14</v>
      </c>
      <c r="I238" t="s" s="11">
        <v>14</v>
      </c>
      <c r="J238" t="s" s="11">
        <v>14</v>
      </c>
      <c r="K238" t="s" s="12">
        <v>14</v>
      </c>
      <c r="L238" t="s" s="12">
        <v>14</v>
      </c>
      <c r="M238" t="s" s="10">
        <v>14</v>
      </c>
      <c r="N238" t="s" s="11">
        <v>14</v>
      </c>
      <c r="O238" t="s" s="8">
        <v>14</v>
      </c>
      <c r="P238" t="s" s="8">
        <v>14</v>
      </c>
      <c r="Q238" t="s" s="12">
        <v>14</v>
      </c>
      <c r="R238" t="s" s="12">
        <v>14</v>
      </c>
    </row>
    <row r="239" s="2" customFormat="1" ht="13.5" customHeight="1">
      <c r="B239" s="13"/>
      <c r="C239" t="s" s="9">
        <v>16</v>
      </c>
      <c r="D239" t="s" s="8">
        <v>149</v>
      </c>
      <c r="E239" t="s" s="9">
        <v>149</v>
      </c>
      <c r="F239" t="s" s="10">
        <v>55</v>
      </c>
      <c r="G239" t="s" s="11">
        <v>109</v>
      </c>
      <c r="H239" t="s" s="10">
        <v>55</v>
      </c>
      <c r="I239" t="s" s="11">
        <v>109</v>
      </c>
      <c r="J239" t="s" s="11">
        <v>20</v>
      </c>
      <c r="K239" s="15"/>
      <c r="L239" t="s" s="16">
        <f>HYPERLINK("http://csr.bu.edu/ftp/asl/asllvd/demos/verify_start_end_handshape_annotations//test_auto_move//signs_mov_separ_signers/Liz_48.mov","MOV")</f>
        <v>21</v>
      </c>
      <c r="M239" t="s" s="10">
        <v>22</v>
      </c>
      <c r="N239" s="17">
        <v>6</v>
      </c>
      <c r="O239" s="18">
        <v>3355</v>
      </c>
      <c r="P239" s="18">
        <v>3390</v>
      </c>
      <c r="Q239" s="15"/>
      <c r="R239" t="s" s="16">
        <f>HYPERLINK("http://secrets.rutgers.edu:8080/data/asl-ftp/asllvd/demos/verify_start_end_handshape_annotations//test_auto_move//signs_mov_separ_signers/Liz_48.mov","MOV")</f>
        <v>21</v>
      </c>
    </row>
    <row r="240" s="2" customFormat="1" ht="13.5" customHeight="1">
      <c r="B240" s="13"/>
      <c r="C240" t="s" s="9">
        <v>16</v>
      </c>
      <c r="D240" t="s" s="8">
        <v>149</v>
      </c>
      <c r="E240" t="s" s="9">
        <v>149</v>
      </c>
      <c r="F240" t="s" s="10">
        <v>55</v>
      </c>
      <c r="G240" t="s" s="11">
        <v>73</v>
      </c>
      <c r="H240" t="s" s="10">
        <v>55</v>
      </c>
      <c r="I240" t="s" s="11">
        <v>73</v>
      </c>
      <c r="J240" t="s" s="11">
        <v>20</v>
      </c>
      <c r="K240" s="15"/>
      <c r="L240" t="s" s="16">
        <f>HYPERLINK("http://csr.bu.edu/ftp/asl/asllvd/demos/verify_start_end_handshape_annotations//test_auto_move//signs_mov_separ_signers/Liz_3625.mov","MOV")</f>
        <v>21</v>
      </c>
      <c r="M240" t="s" s="10">
        <v>84</v>
      </c>
      <c r="N240" s="17">
        <v>32</v>
      </c>
      <c r="O240" s="18">
        <v>1580</v>
      </c>
      <c r="P240" s="18">
        <v>1620</v>
      </c>
      <c r="Q240" s="15"/>
      <c r="R240" t="s" s="16">
        <f>HYPERLINK("http://secrets.rutgers.edu:8080/data/asl-ftp/asllvd/demos/verify_start_end_handshape_annotations//test_auto_move//signs_mov_separ_signers/Liz_3625.mov","MOV")</f>
        <v>21</v>
      </c>
    </row>
    <row r="241" s="2" customFormat="1" ht="13.5" customHeight="1">
      <c r="B241" s="13"/>
      <c r="C241" t="s" s="9">
        <v>23</v>
      </c>
      <c r="D241" t="s" s="8">
        <v>149</v>
      </c>
      <c r="E241" t="s" s="9">
        <v>149</v>
      </c>
      <c r="F241" t="s" s="10">
        <v>85</v>
      </c>
      <c r="G241" t="s" s="11">
        <v>109</v>
      </c>
      <c r="H241" t="s" s="10">
        <v>109</v>
      </c>
      <c r="I241" t="s" s="11">
        <v>109</v>
      </c>
      <c r="J241" t="s" s="11">
        <v>20</v>
      </c>
      <c r="K241" s="15"/>
      <c r="L241" t="s" s="16">
        <f>HYPERLINK("http://csr.bu.edu/ftp/asl/asllvd/demos/verify_start_end_handshape_annotations//test_auto_move//signs_mov_separ_signers/Tyler_48.mov","MOV")</f>
        <v>21</v>
      </c>
      <c r="M241" t="s" s="10">
        <v>26</v>
      </c>
      <c r="N241" s="17">
        <v>6</v>
      </c>
      <c r="O241" s="18">
        <v>5660</v>
      </c>
      <c r="P241" s="18">
        <v>5680</v>
      </c>
      <c r="Q241" s="15"/>
      <c r="R241" t="s" s="16">
        <f>HYPERLINK("http://secrets.rutgers.edu:8080/data/asl-ftp/asllvd/demos/verify_start_end_handshape_annotations//test_auto_move//signs_mov_separ_signers/Tyler_48.mov","MOV")</f>
        <v>21</v>
      </c>
    </row>
    <row r="242" s="2" customFormat="1" ht="13.5" customHeight="1">
      <c r="B242" s="13"/>
      <c r="C242" t="s" s="9">
        <v>23</v>
      </c>
      <c r="D242" t="s" s="8">
        <v>149</v>
      </c>
      <c r="E242" t="s" s="9">
        <v>149</v>
      </c>
      <c r="F242" t="s" s="10">
        <v>109</v>
      </c>
      <c r="G242" t="s" s="11">
        <v>73</v>
      </c>
      <c r="H242" t="s" s="10">
        <v>109</v>
      </c>
      <c r="I242" t="s" s="11">
        <v>73</v>
      </c>
      <c r="J242" t="s" s="11">
        <v>20</v>
      </c>
      <c r="K242" s="15"/>
      <c r="L242" t="s" s="16">
        <f>HYPERLINK("http://csr.bu.edu/ftp/asl/asllvd/demos/verify_start_end_handshape_annotations//test_auto_move//signs_mov_separ_signers/Tyler_3625.mov","MOV")</f>
        <v>21</v>
      </c>
      <c r="M242" t="s" s="10">
        <v>92</v>
      </c>
      <c r="N242" s="17">
        <v>12</v>
      </c>
      <c r="O242" s="18">
        <v>1535</v>
      </c>
      <c r="P242" s="18">
        <v>1565</v>
      </c>
      <c r="Q242" s="15"/>
      <c r="R242" t="s" s="16">
        <f>HYPERLINK("http://secrets.rutgers.edu:8080/data/asl-ftp/asllvd/demos/verify_start_end_handshape_annotations//test_auto_move//signs_mov_separ_signers/Tyler_3625.mov","MOV")</f>
        <v>21</v>
      </c>
    </row>
    <row r="243" s="2" customFormat="1" ht="13.5" customHeight="1">
      <c r="B243" s="13"/>
      <c r="C243" t="s" s="9">
        <v>27</v>
      </c>
      <c r="D243" t="s" s="8">
        <v>149</v>
      </c>
      <c r="E243" t="s" s="9">
        <v>149</v>
      </c>
      <c r="F243" t="s" s="10">
        <v>150</v>
      </c>
      <c r="G243" t="s" s="11">
        <v>109</v>
      </c>
      <c r="H243" t="s" s="10">
        <v>55</v>
      </c>
      <c r="I243" t="s" s="11">
        <v>109</v>
      </c>
      <c r="J243" t="s" s="11">
        <v>20</v>
      </c>
      <c r="K243" t="s" s="16">
        <f>HYPERLINK("http://csr.bu.edu/ftp/asl/asllvd/demos/verify_start_end_handshape_annotations//test_auto_move//signs_mov/48_3625_merged.mov","MOV")</f>
        <v>21</v>
      </c>
      <c r="L243" t="s" s="16">
        <f>HYPERLINK("http://csr.bu.edu/ftp/asl/asllvd/demos/verify_start_end_handshape_annotations//test_auto_move//signs_mov_separ_signers/Naomi_48.mov","MOV")</f>
        <v>21</v>
      </c>
      <c r="M243" t="s" s="10">
        <v>29</v>
      </c>
      <c r="N243" s="17">
        <v>5</v>
      </c>
      <c r="O243" s="18">
        <v>2825</v>
      </c>
      <c r="P243" s="18">
        <v>2848</v>
      </c>
      <c r="Q243" t="s" s="16">
        <f>HYPERLINK("http://secrets.rutgers.edu:8080/data/asl-ftp/asllvd/demos/verify_start_end_handshape_annotations//test_auto_move//signs_mov/48_3625_merged.mov","MOV")</f>
        <v>21</v>
      </c>
      <c r="R243" t="s" s="16">
        <f>HYPERLINK("http://secrets.rutgers.edu:8080/data/asl-ftp/asllvd/demos/verify_start_end_handshape_annotations//test_auto_move//signs_mov_separ_signers/Naomi_48.mov","MOV")</f>
        <v>21</v>
      </c>
    </row>
    <row r="244" s="2" customFormat="1" ht="13.5" customHeight="1">
      <c r="B244" s="13"/>
      <c r="C244" t="s" s="9">
        <v>27</v>
      </c>
      <c r="D244" t="s" s="8">
        <v>149</v>
      </c>
      <c r="E244" t="s" s="9">
        <v>149</v>
      </c>
      <c r="F244" t="s" s="10">
        <v>85</v>
      </c>
      <c r="G244" t="s" s="11">
        <v>73</v>
      </c>
      <c r="H244" t="s" s="10">
        <v>55</v>
      </c>
      <c r="I244" t="s" s="11">
        <v>73</v>
      </c>
      <c r="J244" t="s" s="11">
        <v>20</v>
      </c>
      <c r="K244" s="15"/>
      <c r="L244" t="s" s="16">
        <f>HYPERLINK("http://csr.bu.edu/ftp/asl/asllvd/demos/verify_start_end_handshape_annotations//test_auto_move//signs_mov_separ_signers/Naomi_3625.mov","MOV")</f>
        <v>21</v>
      </c>
      <c r="M244" t="s" s="10">
        <v>86</v>
      </c>
      <c r="N244" s="17">
        <v>32</v>
      </c>
      <c r="O244" s="18">
        <v>1030</v>
      </c>
      <c r="P244" s="18">
        <v>1065</v>
      </c>
      <c r="Q244" s="15"/>
      <c r="R244" t="s" s="16">
        <f>HYPERLINK("http://secrets.rutgers.edu:8080/data/asl-ftp/asllvd/demos/verify_start_end_handshape_annotations//test_auto_move//signs_mov_separ_signers/Naomi_3625.mov","MOV")</f>
        <v>21</v>
      </c>
    </row>
    <row r="245" s="2" customFormat="1" ht="13.5" customHeight="1">
      <c r="B245" s="13"/>
      <c r="C245" t="s" s="9">
        <v>30</v>
      </c>
      <c r="D245" t="s" s="8">
        <v>149</v>
      </c>
      <c r="E245" t="s" s="9">
        <v>151</v>
      </c>
      <c r="F245" t="s" s="10">
        <v>73</v>
      </c>
      <c r="G245" t="s" s="11">
        <v>73</v>
      </c>
      <c r="H245" t="s" s="10">
        <v>73</v>
      </c>
      <c r="I245" t="s" s="11">
        <v>73</v>
      </c>
      <c r="J245" t="s" s="11">
        <v>20</v>
      </c>
      <c r="K245" s="15"/>
      <c r="L245" t="s" s="16">
        <f>HYPERLINK("http://csr.bu.edu/ftp/asl/asllvd/demos/verify_start_end_handshape_annotations//test_auto_move//signs_mov_separ_signers/Brady_48.mov","MOV")</f>
        <v>21</v>
      </c>
      <c r="M245" t="s" s="10">
        <v>39</v>
      </c>
      <c r="N245" s="17">
        <v>56</v>
      </c>
      <c r="O245" s="18">
        <v>1040</v>
      </c>
      <c r="P245" s="18">
        <v>1062</v>
      </c>
      <c r="Q245" s="15"/>
      <c r="R245" t="s" s="16">
        <f>HYPERLINK("http://secrets.rutgers.edu:8080/data/asl-ftp/asllvd/demos/verify_start_end_handshape_annotations//test_auto_move//signs_mov_separ_signers/Brady_48.mov","MOV")</f>
        <v>21</v>
      </c>
    </row>
    <row r="246" s="2" customFormat="1" ht="13.5" customHeight="1">
      <c r="B246" s="13"/>
      <c r="C246" t="s" s="9">
        <v>41</v>
      </c>
      <c r="D246" t="s" s="8">
        <v>149</v>
      </c>
      <c r="E246" t="s" s="9">
        <v>149</v>
      </c>
      <c r="F246" t="s" s="10">
        <v>152</v>
      </c>
      <c r="G246" t="s" s="11">
        <v>85</v>
      </c>
      <c r="H246" t="s" s="10">
        <v>152</v>
      </c>
      <c r="I246" t="s" s="11">
        <v>85</v>
      </c>
      <c r="J246" t="s" s="11">
        <v>20</v>
      </c>
      <c r="K246" s="15"/>
      <c r="L246" t="s" s="16">
        <f>HYPERLINK("http://csr.bu.edu/ftp/asl/asllvd/demos/verify_start_end_handshape_annotations//test_auto_move//signs_mov_separ_signers/Lana_48.mov","MOV")</f>
        <v>21</v>
      </c>
      <c r="M246" t="s" s="10">
        <v>42</v>
      </c>
      <c r="N246" s="17">
        <v>8</v>
      </c>
      <c r="O246" s="18">
        <v>2584</v>
      </c>
      <c r="P246" s="18">
        <v>2607</v>
      </c>
      <c r="Q246" s="15"/>
      <c r="R246" t="s" s="16">
        <f>HYPERLINK("http://secrets.rutgers.edu:8080/data/asl-ftp/asllvd/demos/verify_start_end_handshape_annotations//test_auto_move//signs_mov_separ_signers/Lana_48.mov","MOV")</f>
        <v>21</v>
      </c>
    </row>
    <row r="247" s="2" customFormat="1" ht="13.5" customHeight="1">
      <c r="B247" s="13"/>
      <c r="C247" t="s" s="9">
        <v>43</v>
      </c>
      <c r="D247" t="s" s="8">
        <v>149</v>
      </c>
      <c r="E247" t="s" s="9">
        <v>149</v>
      </c>
      <c r="F247" t="s" s="10">
        <v>85</v>
      </c>
      <c r="G247" t="s" s="11">
        <v>80</v>
      </c>
      <c r="H247" t="s" s="10">
        <v>80</v>
      </c>
      <c r="I247" t="s" s="11">
        <v>80</v>
      </c>
      <c r="J247" t="s" s="11">
        <v>20</v>
      </c>
      <c r="K247" s="15"/>
      <c r="L247" t="s" s="16">
        <f>HYPERLINK("http://csr.bu.edu/ftp/asl/asllvd/demos/verify_start_end_handshape_annotations//test_auto_move//signs_mov_separ_signers/Dana_48.mov","MOV")</f>
        <v>21</v>
      </c>
      <c r="M247" t="s" s="10">
        <v>44</v>
      </c>
      <c r="N247" s="17">
        <v>12</v>
      </c>
      <c r="O247" s="18">
        <v>2528</v>
      </c>
      <c r="P247" s="18">
        <v>2568</v>
      </c>
      <c r="Q247" s="15"/>
      <c r="R247" t="s" s="16">
        <f>HYPERLINK("http://secrets.rutgers.edu:8080/data/asl-ftp/asllvd/demos/verify_start_end_handshape_annotations//test_auto_move//signs_mov_separ_signers/Dana_48.mov","MOV")</f>
        <v>21</v>
      </c>
    </row>
    <row r="248" s="2" customFormat="1" ht="13.5" customHeight="1">
      <c r="B248" t="s" s="8">
        <v>153</v>
      </c>
      <c r="C248" t="s" s="9">
        <v>14</v>
      </c>
      <c r="D248" t="s" s="8">
        <v>14</v>
      </c>
      <c r="E248" t="s" s="9">
        <v>14</v>
      </c>
      <c r="F248" t="s" s="10">
        <v>14</v>
      </c>
      <c r="G248" t="s" s="11">
        <v>14</v>
      </c>
      <c r="H248" t="s" s="10">
        <v>14</v>
      </c>
      <c r="I248" t="s" s="11">
        <v>14</v>
      </c>
      <c r="J248" t="s" s="11">
        <v>14</v>
      </c>
      <c r="K248" t="s" s="12">
        <v>14</v>
      </c>
      <c r="L248" t="s" s="12">
        <v>14</v>
      </c>
      <c r="M248" t="s" s="10">
        <v>14</v>
      </c>
      <c r="N248" t="s" s="11">
        <v>14</v>
      </c>
      <c r="O248" t="s" s="8">
        <v>14</v>
      </c>
      <c r="P248" t="s" s="8">
        <v>14</v>
      </c>
      <c r="Q248" t="s" s="12">
        <v>14</v>
      </c>
      <c r="R248" t="s" s="12">
        <v>14</v>
      </c>
    </row>
    <row r="249" s="2" customFormat="1" ht="13.5" customHeight="1">
      <c r="B249" s="13"/>
      <c r="C249" t="s" s="9">
        <v>16</v>
      </c>
      <c r="D249" t="s" s="8">
        <v>153</v>
      </c>
      <c r="E249" t="s" s="9">
        <v>153</v>
      </c>
      <c r="F249" t="s" s="10">
        <v>73</v>
      </c>
      <c r="G249" t="s" s="11">
        <v>73</v>
      </c>
      <c r="H249" t="s" s="10">
        <v>73</v>
      </c>
      <c r="I249" t="s" s="11">
        <v>73</v>
      </c>
      <c r="J249" t="s" s="11">
        <v>20</v>
      </c>
      <c r="K249" t="s" s="16">
        <f>HYPERLINK("http://csr.bu.edu/ftp/asl/asllvd/demos/verify_start_end_handshape_annotations//test_auto_move//signs_mov/49.mov","MOV")</f>
        <v>21</v>
      </c>
      <c r="L249" t="s" s="16">
        <f>HYPERLINK("http://csr.bu.edu/ftp/asl/asllvd/demos/verify_start_end_handshape_annotations//test_auto_move//signs_mov_separ_signers/Liz_49.mov","MOV")</f>
        <v>21</v>
      </c>
      <c r="M249" t="s" s="10">
        <v>22</v>
      </c>
      <c r="N249" s="17">
        <v>7</v>
      </c>
      <c r="O249" s="18">
        <v>540</v>
      </c>
      <c r="P249" s="18">
        <v>573</v>
      </c>
      <c r="Q249" t="s" s="16">
        <f>HYPERLINK("http://secrets.rutgers.edu:8080/data/asl-ftp/asllvd/demos/verify_start_end_handshape_annotations//test_auto_move//signs_mov/49.mov","MOV")</f>
        <v>21</v>
      </c>
      <c r="R249" t="s" s="16">
        <f>HYPERLINK("http://secrets.rutgers.edu:8080/data/asl-ftp/asllvd/demos/verify_start_end_handshape_annotations//test_auto_move//signs_mov_separ_signers/Liz_49.mov","MOV")</f>
        <v>21</v>
      </c>
    </row>
    <row r="250" s="2" customFormat="1" ht="13.5" customHeight="1">
      <c r="B250" s="13"/>
      <c r="C250" t="s" s="9">
        <v>27</v>
      </c>
      <c r="D250" t="s" s="8">
        <v>153</v>
      </c>
      <c r="E250" t="s" s="9">
        <v>153</v>
      </c>
      <c r="F250" t="s" s="10">
        <v>73</v>
      </c>
      <c r="G250" t="s" s="11">
        <v>73</v>
      </c>
      <c r="H250" t="s" s="10">
        <v>73</v>
      </c>
      <c r="I250" t="s" s="11">
        <v>73</v>
      </c>
      <c r="J250" t="s" s="11">
        <v>20</v>
      </c>
      <c r="K250" s="15"/>
      <c r="L250" t="s" s="16">
        <f>HYPERLINK("http://csr.bu.edu/ftp/asl/asllvd/demos/verify_start_end_handshape_annotations//test_auto_move//signs_mov_separ_signers/Naomi_49.mov","MOV")</f>
        <v>21</v>
      </c>
      <c r="M250" t="s" s="10">
        <v>29</v>
      </c>
      <c r="N250" s="17">
        <v>5</v>
      </c>
      <c r="O250" s="18">
        <v>3507</v>
      </c>
      <c r="P250" s="18">
        <v>3537</v>
      </c>
      <c r="Q250" s="15"/>
      <c r="R250" t="s" s="16">
        <f>HYPERLINK("http://secrets.rutgers.edu:8080/data/asl-ftp/asllvd/demos/verify_start_end_handshape_annotations//test_auto_move//signs_mov_separ_signers/Naomi_49.mov","MOV")</f>
        <v>21</v>
      </c>
    </row>
    <row r="251" s="2" customFormat="1" ht="13.5" customHeight="1">
      <c r="B251" t="s" s="8">
        <v>52</v>
      </c>
      <c r="C251" t="s" s="9">
        <v>53</v>
      </c>
      <c r="D251" t="s" s="8">
        <v>53</v>
      </c>
      <c r="E251" t="s" s="9">
        <v>53</v>
      </c>
      <c r="F251" t="s" s="10">
        <v>53</v>
      </c>
      <c r="G251" t="s" s="11">
        <v>53</v>
      </c>
      <c r="H251" t="s" s="10">
        <v>53</v>
      </c>
      <c r="I251" t="s" s="11">
        <v>53</v>
      </c>
      <c r="J251" t="s" s="11">
        <v>53</v>
      </c>
      <c r="K251" t="s" s="12">
        <v>53</v>
      </c>
      <c r="L251" t="s" s="12">
        <v>53</v>
      </c>
      <c r="M251" t="s" s="10">
        <v>53</v>
      </c>
      <c r="N251" t="s" s="11">
        <v>53</v>
      </c>
      <c r="O251" t="s" s="8">
        <v>53</v>
      </c>
      <c r="P251" t="s" s="8">
        <v>53</v>
      </c>
      <c r="Q251" t="s" s="12">
        <v>53</v>
      </c>
      <c r="R251" t="s" s="12">
        <v>53</v>
      </c>
    </row>
    <row r="252" s="2" customFormat="1" ht="13.5" customHeight="1">
      <c r="B252" s="13"/>
      <c r="C252" t="s" s="9">
        <v>23</v>
      </c>
      <c r="D252" t="s" s="8">
        <v>153</v>
      </c>
      <c r="E252" t="s" s="9">
        <v>154</v>
      </c>
      <c r="F252" t="s" s="10">
        <v>73</v>
      </c>
      <c r="G252" s="14"/>
      <c r="H252" t="s" s="10">
        <v>73</v>
      </c>
      <c r="I252" s="14"/>
      <c r="J252" t="s" s="11">
        <v>20</v>
      </c>
      <c r="K252" t="s" s="16">
        <f>HYPERLINK("http://csr.bu.edu/ftp/asl/asllvd/demos/verify_start_end_handshape_annotations//test_auto_move//signs_mov/5087.mov","MOV")</f>
        <v>21</v>
      </c>
      <c r="L252" t="s" s="16">
        <f>HYPERLINK("http://csr.bu.edu/ftp/asl/asllvd/demos/verify_start_end_handshape_annotations//test_auto_move//signs_mov_separ_signers/Tyler_5087.mov","MOV")</f>
        <v>21</v>
      </c>
      <c r="M252" t="s" s="10">
        <v>26</v>
      </c>
      <c r="N252" s="17">
        <v>6</v>
      </c>
      <c r="O252" s="18">
        <v>6350</v>
      </c>
      <c r="P252" s="18">
        <v>6392</v>
      </c>
      <c r="Q252" t="s" s="16">
        <f>HYPERLINK("http://secrets.rutgers.edu:8080/data/asl-ftp/asllvd/demos/verify_start_end_handshape_annotations//test_auto_move//signs_mov/5087.mov","MOV")</f>
        <v>21</v>
      </c>
      <c r="R252" t="s" s="16">
        <f>HYPERLINK("http://secrets.rutgers.edu:8080/data/asl-ftp/asllvd/demos/verify_start_end_handshape_annotations//test_auto_move//signs_mov_separ_signers/Tyler_5087.mov","MOV")</f>
        <v>21</v>
      </c>
    </row>
    <row r="253" s="2" customFormat="1" ht="13.5" customHeight="1">
      <c r="B253" t="s" s="8">
        <v>155</v>
      </c>
      <c r="C253" t="s" s="9">
        <v>14</v>
      </c>
      <c r="D253" t="s" s="8">
        <v>14</v>
      </c>
      <c r="E253" t="s" s="9">
        <v>14</v>
      </c>
      <c r="F253" t="s" s="10">
        <v>14</v>
      </c>
      <c r="G253" t="s" s="11">
        <v>14</v>
      </c>
      <c r="H253" t="s" s="10">
        <v>14</v>
      </c>
      <c r="I253" t="s" s="11">
        <v>14</v>
      </c>
      <c r="J253" t="s" s="11">
        <v>14</v>
      </c>
      <c r="K253" t="s" s="12">
        <v>14</v>
      </c>
      <c r="L253" t="s" s="12">
        <v>14</v>
      </c>
      <c r="M253" t="s" s="10">
        <v>14</v>
      </c>
      <c r="N253" t="s" s="11">
        <v>14</v>
      </c>
      <c r="O253" t="s" s="8">
        <v>14</v>
      </c>
      <c r="P253" t="s" s="8">
        <v>14</v>
      </c>
      <c r="Q253" t="s" s="12">
        <v>14</v>
      </c>
      <c r="R253" t="s" s="12">
        <v>14</v>
      </c>
    </row>
    <row r="254" s="2" customFormat="1" ht="13.5" customHeight="1">
      <c r="B254" s="13"/>
      <c r="C254" t="s" s="9">
        <v>16</v>
      </c>
      <c r="D254" t="s" s="8">
        <v>155</v>
      </c>
      <c r="E254" t="s" s="9">
        <v>155</v>
      </c>
      <c r="F254" t="s" s="10">
        <v>119</v>
      </c>
      <c r="G254" t="s" s="11">
        <v>109</v>
      </c>
      <c r="H254" s="19">
        <v>5</v>
      </c>
      <c r="I254" t="s" s="11">
        <v>109</v>
      </c>
      <c r="J254" t="s" s="11">
        <v>20</v>
      </c>
      <c r="K254" s="15"/>
      <c r="L254" t="s" s="16">
        <f>HYPERLINK("http://csr.bu.edu/ftp/asl/asllvd/demos/verify_start_end_handshape_annotations//test_auto_move//signs_mov_separ_signers/Liz_54.mov","MOV")</f>
        <v>21</v>
      </c>
      <c r="M254" t="s" s="10">
        <v>22</v>
      </c>
      <c r="N254" s="17">
        <v>7</v>
      </c>
      <c r="O254" s="18">
        <v>1805</v>
      </c>
      <c r="P254" s="18">
        <v>1830</v>
      </c>
      <c r="Q254" s="15"/>
      <c r="R254" t="s" s="16">
        <f>HYPERLINK("http://secrets.rutgers.edu:8080/data/asl-ftp/asllvd/demos/verify_start_end_handshape_annotations//test_auto_move//signs_mov_separ_signers/Liz_54.mov","MOV")</f>
        <v>21</v>
      </c>
    </row>
    <row r="255" s="2" customFormat="1" ht="13.5" customHeight="1">
      <c r="B255" s="13"/>
      <c r="C255" t="s" s="9">
        <v>16</v>
      </c>
      <c r="D255" t="s" s="8">
        <v>155</v>
      </c>
      <c r="E255" t="s" s="9">
        <v>156</v>
      </c>
      <c r="F255" t="s" s="10">
        <v>119</v>
      </c>
      <c r="G255" t="s" s="11">
        <v>55</v>
      </c>
      <c r="H255" s="19">
        <v>5</v>
      </c>
      <c r="I255" t="s" s="11">
        <v>55</v>
      </c>
      <c r="J255" t="s" s="11">
        <v>20</v>
      </c>
      <c r="K255" s="15"/>
      <c r="L255" t="s" s="16">
        <f>HYPERLINK("http://csr.bu.edu/ftp/asl/asllvd/demos/verify_start_end_handshape_annotations//test_auto_move//signs_mov_separ_signers/Liz_3506.mov","MOV")</f>
        <v>21</v>
      </c>
      <c r="M255" t="s" s="10">
        <v>22</v>
      </c>
      <c r="N255" s="17">
        <v>7</v>
      </c>
      <c r="O255" s="18">
        <v>2110</v>
      </c>
      <c r="P255" s="18">
        <v>2145</v>
      </c>
      <c r="Q255" s="15"/>
      <c r="R255" t="s" s="16">
        <f>HYPERLINK("http://secrets.rutgers.edu:8080/data/asl-ftp/asllvd/demos/verify_start_end_handshape_annotations//test_auto_move//signs_mov_separ_signers/Liz_3506.mov","MOV")</f>
        <v>21</v>
      </c>
    </row>
    <row r="256" s="2" customFormat="1" ht="13.5" customHeight="1">
      <c r="B256" s="13"/>
      <c r="C256" t="s" s="9">
        <v>23</v>
      </c>
      <c r="D256" t="s" s="8">
        <v>155</v>
      </c>
      <c r="E256" t="s" s="9">
        <v>155</v>
      </c>
      <c r="F256" t="s" s="10">
        <v>119</v>
      </c>
      <c r="G256" t="s" s="11">
        <v>55</v>
      </c>
      <c r="H256" s="19">
        <v>5</v>
      </c>
      <c r="I256" t="s" s="11">
        <v>55</v>
      </c>
      <c r="J256" t="s" s="11">
        <v>20</v>
      </c>
      <c r="K256" s="15"/>
      <c r="L256" t="s" s="16">
        <f>HYPERLINK("http://csr.bu.edu/ftp/asl/asllvd/demos/verify_start_end_handshape_annotations//test_auto_move//signs_mov_separ_signers/Tyler_54.mov","MOV")</f>
        <v>21</v>
      </c>
      <c r="M256" t="s" s="10">
        <v>26</v>
      </c>
      <c r="N256" s="17">
        <v>7</v>
      </c>
      <c r="O256" s="18">
        <v>825</v>
      </c>
      <c r="P256" s="18">
        <v>850</v>
      </c>
      <c r="Q256" s="15"/>
      <c r="R256" t="s" s="16">
        <f>HYPERLINK("http://secrets.rutgers.edu:8080/data/asl-ftp/asllvd/demos/verify_start_end_handshape_annotations//test_auto_move//signs_mov_separ_signers/Tyler_54.mov","MOV")</f>
        <v>21</v>
      </c>
    </row>
    <row r="257" s="2" customFormat="1" ht="13.5" customHeight="1">
      <c r="B257" s="13"/>
      <c r="C257" t="s" s="9">
        <v>23</v>
      </c>
      <c r="D257" t="s" s="8">
        <v>155</v>
      </c>
      <c r="E257" t="s" s="9">
        <v>157</v>
      </c>
      <c r="F257" t="s" s="10">
        <v>119</v>
      </c>
      <c r="G257" t="s" s="11">
        <v>55</v>
      </c>
      <c r="H257" s="19">
        <v>5</v>
      </c>
      <c r="I257" t="s" s="11">
        <v>55</v>
      </c>
      <c r="J257" t="s" s="11">
        <v>20</v>
      </c>
      <c r="K257" s="15"/>
      <c r="L257" t="s" s="16">
        <f>HYPERLINK("http://csr.bu.edu/ftp/asl/asllvd/demos/verify_start_end_handshape_annotations//test_auto_move//signs_mov_separ_signers/Tyler_3506.mov","MOV")</f>
        <v>21</v>
      </c>
      <c r="M257" t="s" s="10">
        <v>26</v>
      </c>
      <c r="N257" s="17">
        <v>7</v>
      </c>
      <c r="O257" s="18">
        <v>1060</v>
      </c>
      <c r="P257" s="18">
        <v>1101</v>
      </c>
      <c r="Q257" s="15"/>
      <c r="R257" t="s" s="16">
        <f>HYPERLINK("http://secrets.rutgers.edu:8080/data/asl-ftp/asllvd/demos/verify_start_end_handshape_annotations//test_auto_move//signs_mov_separ_signers/Tyler_3506.mov","MOV")</f>
        <v>21</v>
      </c>
    </row>
    <row r="258" s="2" customFormat="1" ht="13.5" customHeight="1">
      <c r="B258" s="13"/>
      <c r="C258" t="s" s="9">
        <v>27</v>
      </c>
      <c r="D258" t="s" s="8">
        <v>155</v>
      </c>
      <c r="E258" t="s" s="9">
        <v>155</v>
      </c>
      <c r="F258" t="s" s="10">
        <v>119</v>
      </c>
      <c r="G258" t="s" s="11">
        <v>55</v>
      </c>
      <c r="H258" s="19">
        <v>5</v>
      </c>
      <c r="I258" t="s" s="11">
        <v>55</v>
      </c>
      <c r="J258" t="s" s="11">
        <v>20</v>
      </c>
      <c r="K258" t="s" s="16">
        <f>HYPERLINK("http://csr.bu.edu/ftp/asl/asllvd/demos/verify_start_end_handshape_annotations//test_auto_move//signs_mov/54_3506_merged.mov","MOV")</f>
        <v>21</v>
      </c>
      <c r="L258" t="s" s="16">
        <f>HYPERLINK("http://csr.bu.edu/ftp/asl/asllvd/demos/verify_start_end_handshape_annotations//test_auto_move//signs_mov_separ_signers/Naomi_54.mov","MOV")</f>
        <v>21</v>
      </c>
      <c r="M258" t="s" s="10">
        <v>29</v>
      </c>
      <c r="N258" s="17">
        <v>6</v>
      </c>
      <c r="O258" s="18">
        <v>1008</v>
      </c>
      <c r="P258" s="18">
        <v>1041</v>
      </c>
      <c r="Q258" t="s" s="16">
        <f>HYPERLINK("http://secrets.rutgers.edu:8080/data/asl-ftp/asllvd/demos/verify_start_end_handshape_annotations//test_auto_move//signs_mov/54_3506_merged.mov","MOV")</f>
        <v>21</v>
      </c>
      <c r="R258" t="s" s="16">
        <f>HYPERLINK("http://secrets.rutgers.edu:8080/data/asl-ftp/asllvd/demos/verify_start_end_handshape_annotations//test_auto_move//signs_mov_separ_signers/Naomi_54.mov","MOV")</f>
        <v>21</v>
      </c>
    </row>
    <row r="259" s="2" customFormat="1" ht="13.5" customHeight="1">
      <c r="B259" s="13"/>
      <c r="C259" t="s" s="9">
        <v>27</v>
      </c>
      <c r="D259" t="s" s="8">
        <v>155</v>
      </c>
      <c r="E259" t="s" s="9">
        <v>156</v>
      </c>
      <c r="F259" t="s" s="10">
        <v>158</v>
      </c>
      <c r="G259" t="s" s="11">
        <v>105</v>
      </c>
      <c r="H259" t="s" s="10">
        <v>72</v>
      </c>
      <c r="I259" t="s" s="11">
        <v>105</v>
      </c>
      <c r="J259" t="s" s="11">
        <v>20</v>
      </c>
      <c r="K259" s="15"/>
      <c r="L259" t="s" s="16">
        <f>HYPERLINK("http://csr.bu.edu/ftp/asl/asllvd/demos/verify_start_end_handshape_annotations//test_auto_move//signs_mov_separ_signers/Naomi_3506.mov","MOV")</f>
        <v>21</v>
      </c>
      <c r="M259" t="s" s="10">
        <v>29</v>
      </c>
      <c r="N259" s="17">
        <v>6</v>
      </c>
      <c r="O259" s="18">
        <v>1328</v>
      </c>
      <c r="P259" s="18">
        <v>1367</v>
      </c>
      <c r="Q259" s="15"/>
      <c r="R259" t="s" s="16">
        <f>HYPERLINK("http://secrets.rutgers.edu:8080/data/asl-ftp/asllvd/demos/verify_start_end_handshape_annotations//test_auto_move//signs_mov_separ_signers/Naomi_3506.mov","MOV")</f>
        <v>21</v>
      </c>
    </row>
    <row r="260" s="2" customFormat="1" ht="13.5" customHeight="1">
      <c r="B260" s="13"/>
      <c r="C260" t="s" s="9">
        <v>30</v>
      </c>
      <c r="D260" t="s" s="8">
        <v>155</v>
      </c>
      <c r="E260" t="s" s="9">
        <v>155</v>
      </c>
      <c r="F260" t="s" s="10">
        <v>119</v>
      </c>
      <c r="G260" t="s" s="11">
        <v>105</v>
      </c>
      <c r="H260" t="s" s="10">
        <v>148</v>
      </c>
      <c r="I260" t="s" s="11">
        <v>105</v>
      </c>
      <c r="J260" t="s" s="11">
        <v>20</v>
      </c>
      <c r="K260" s="15"/>
      <c r="L260" t="s" s="16">
        <f>HYPERLINK("http://csr.bu.edu/ftp/asl/asllvd/demos/verify_start_end_handshape_annotations//test_auto_move//signs_mov_separ_signers/Brady_54.mov","MOV")</f>
        <v>21</v>
      </c>
      <c r="M260" t="s" s="10">
        <v>31</v>
      </c>
      <c r="N260" s="17">
        <v>9</v>
      </c>
      <c r="O260" s="18">
        <v>352</v>
      </c>
      <c r="P260" s="18">
        <v>365</v>
      </c>
      <c r="Q260" s="15"/>
      <c r="R260" t="s" s="16">
        <f>HYPERLINK("http://secrets.rutgers.edu:8080/data/asl-ftp/asllvd/demos/verify_start_end_handshape_annotations//test_auto_move//signs_mov_separ_signers/Brady_54.mov","MOV")</f>
        <v>21</v>
      </c>
    </row>
    <row r="261" s="2" customFormat="1" ht="13.5" customHeight="1">
      <c r="B261" s="13"/>
      <c r="C261" t="s" s="9">
        <v>41</v>
      </c>
      <c r="D261" t="s" s="8">
        <v>155</v>
      </c>
      <c r="E261" t="s" s="9">
        <v>155</v>
      </c>
      <c r="F261" t="s" s="10">
        <v>119</v>
      </c>
      <c r="G261" t="s" s="11">
        <v>105</v>
      </c>
      <c r="H261" t="s" s="10">
        <v>148</v>
      </c>
      <c r="I261" t="s" s="11">
        <v>105</v>
      </c>
      <c r="J261" t="s" s="11">
        <v>20</v>
      </c>
      <c r="K261" s="15"/>
      <c r="L261" t="s" s="16">
        <f>HYPERLINK("http://csr.bu.edu/ftp/asl/asllvd/demos/verify_start_end_handshape_annotations//test_auto_move//signs_mov_separ_signers/Lana_54.mov","MOV")</f>
        <v>21</v>
      </c>
      <c r="M261" t="s" s="10">
        <v>42</v>
      </c>
      <c r="N261" s="17">
        <v>2</v>
      </c>
      <c r="O261" s="18">
        <v>951</v>
      </c>
      <c r="P261" s="18">
        <v>974</v>
      </c>
      <c r="Q261" s="15"/>
      <c r="R261" t="s" s="16">
        <f>HYPERLINK("http://secrets.rutgers.edu:8080/data/asl-ftp/asllvd/demos/verify_start_end_handshape_annotations//test_auto_move//signs_mov_separ_signers/Lana_54.mov","MOV")</f>
        <v>21</v>
      </c>
    </row>
    <row r="262" s="2" customFormat="1" ht="13.5" customHeight="1">
      <c r="B262" s="13"/>
      <c r="C262" t="s" s="9">
        <v>43</v>
      </c>
      <c r="D262" t="s" s="8">
        <v>155</v>
      </c>
      <c r="E262" t="s" s="9">
        <v>156</v>
      </c>
      <c r="F262" t="s" s="10">
        <v>119</v>
      </c>
      <c r="G262" t="s" s="11">
        <v>105</v>
      </c>
      <c r="H262" s="19">
        <v>5</v>
      </c>
      <c r="I262" t="s" s="11">
        <v>105</v>
      </c>
      <c r="J262" t="s" s="11">
        <v>20</v>
      </c>
      <c r="K262" s="15"/>
      <c r="L262" t="s" s="16">
        <f>HYPERLINK("http://csr.bu.edu/ftp/asl/asllvd/demos/verify_start_end_handshape_annotations//test_auto_move//signs_mov_separ_signers/Dana_54.mov","MOV")</f>
        <v>21</v>
      </c>
      <c r="M262" t="s" s="10">
        <v>44</v>
      </c>
      <c r="N262" s="17">
        <v>5</v>
      </c>
      <c r="O262" s="18">
        <v>1136</v>
      </c>
      <c r="P262" s="18">
        <v>1188</v>
      </c>
      <c r="Q262" s="15"/>
      <c r="R262" t="s" s="16">
        <f>HYPERLINK("http://secrets.rutgers.edu:8080/data/asl-ftp/asllvd/demos/verify_start_end_handshape_annotations//test_auto_move//signs_mov_separ_signers/Dana_54.mov","MOV")</f>
        <v>21</v>
      </c>
    </row>
    <row r="263" s="2" customFormat="1" ht="13.5" customHeight="1">
      <c r="B263" t="s" s="8">
        <v>52</v>
      </c>
      <c r="C263" t="s" s="9">
        <v>53</v>
      </c>
      <c r="D263" t="s" s="8">
        <v>53</v>
      </c>
      <c r="E263" t="s" s="9">
        <v>53</v>
      </c>
      <c r="F263" t="s" s="10">
        <v>53</v>
      </c>
      <c r="G263" t="s" s="11">
        <v>53</v>
      </c>
      <c r="H263" t="s" s="10">
        <v>53</v>
      </c>
      <c r="I263" t="s" s="11">
        <v>53</v>
      </c>
      <c r="J263" t="s" s="11">
        <v>53</v>
      </c>
      <c r="K263" t="s" s="12">
        <v>53</v>
      </c>
      <c r="L263" t="s" s="12">
        <v>53</v>
      </c>
      <c r="M263" t="s" s="10">
        <v>53</v>
      </c>
      <c r="N263" t="s" s="11">
        <v>53</v>
      </c>
      <c r="O263" t="s" s="8">
        <v>53</v>
      </c>
      <c r="P263" t="s" s="8">
        <v>53</v>
      </c>
      <c r="Q263" t="s" s="12">
        <v>53</v>
      </c>
      <c r="R263" t="s" s="12">
        <v>53</v>
      </c>
    </row>
    <row r="264" s="2" customFormat="1" ht="13.5" customHeight="1">
      <c r="B264" s="13"/>
      <c r="C264" t="s" s="9">
        <v>16</v>
      </c>
      <c r="D264" t="s" s="8">
        <v>155</v>
      </c>
      <c r="E264" t="s" s="9">
        <v>159</v>
      </c>
      <c r="F264" t="s" s="10">
        <v>119</v>
      </c>
      <c r="G264" t="s" s="11">
        <v>68</v>
      </c>
      <c r="H264" s="19">
        <v>5</v>
      </c>
      <c r="I264" t="s" s="11">
        <v>68</v>
      </c>
      <c r="J264" t="s" s="11">
        <v>20</v>
      </c>
      <c r="K264" s="15"/>
      <c r="L264" t="s" s="16">
        <f>HYPERLINK("http://csr.bu.edu/ftp/asl/asllvd/demos/verify_start_end_handshape_annotations//test_auto_move//signs_mov_separ_signers/Liz_16513.mov","MOV")</f>
        <v>21</v>
      </c>
      <c r="M264" t="s" s="10">
        <v>34</v>
      </c>
      <c r="N264" s="17">
        <v>31</v>
      </c>
      <c r="O264" s="18">
        <v>1740</v>
      </c>
      <c r="P264" s="18">
        <v>1772</v>
      </c>
      <c r="Q264" s="15"/>
      <c r="R264" t="s" s="16">
        <f>HYPERLINK("http://secrets.rutgers.edu:8080/data/asl-ftp/asllvd/demos/verify_start_end_handshape_annotations//test_auto_move//signs_mov_separ_signers/Liz_16513.mov","MOV")</f>
        <v>21</v>
      </c>
    </row>
    <row r="265" s="2" customFormat="1" ht="13.5" customHeight="1">
      <c r="B265" s="13"/>
      <c r="C265" t="s" s="9">
        <v>27</v>
      </c>
      <c r="D265" t="s" s="8">
        <v>155</v>
      </c>
      <c r="E265" t="s" s="9">
        <v>159</v>
      </c>
      <c r="F265" t="s" s="10">
        <v>119</v>
      </c>
      <c r="G265" t="s" s="11">
        <v>68</v>
      </c>
      <c r="H265" s="19">
        <v>5</v>
      </c>
      <c r="I265" t="s" s="11">
        <v>68</v>
      </c>
      <c r="J265" t="s" s="11">
        <v>20</v>
      </c>
      <c r="K265" t="s" s="16">
        <f>HYPERLINK("http://csr.bu.edu/ftp/asl/asllvd/demos/verify_start_end_handshape_annotations//test_auto_move//signs_mov/16513.mov","MOV")</f>
        <v>21</v>
      </c>
      <c r="L265" t="s" s="16">
        <f>HYPERLINK("http://csr.bu.edu/ftp/asl/asllvd/demos/verify_start_end_handshape_annotations//test_auto_move//signs_mov_separ_signers/Naomi_16513.mov","MOV")</f>
        <v>21</v>
      </c>
      <c r="M265" t="s" s="10">
        <v>38</v>
      </c>
      <c r="N265" s="17">
        <v>26</v>
      </c>
      <c r="O265" s="18">
        <v>3587</v>
      </c>
      <c r="P265" s="18">
        <v>3610</v>
      </c>
      <c r="Q265" t="s" s="16">
        <f>HYPERLINK("http://secrets.rutgers.edu:8080/data/asl-ftp/asllvd/demos/verify_start_end_handshape_annotations//test_auto_move//signs_mov/16513.mov","MOV")</f>
        <v>21</v>
      </c>
      <c r="R265" t="s" s="16">
        <f>HYPERLINK("http://secrets.rutgers.edu:8080/data/asl-ftp/asllvd/demos/verify_start_end_handshape_annotations//test_auto_move//signs_mov_separ_signers/Naomi_16513.mov","MOV")</f>
        <v>21</v>
      </c>
    </row>
    <row r="266" s="2" customFormat="1" ht="13.5" customHeight="1">
      <c r="B266" s="13"/>
      <c r="C266" t="s" s="9">
        <v>30</v>
      </c>
      <c r="D266" t="s" s="8">
        <v>155</v>
      </c>
      <c r="E266" t="s" s="9">
        <v>159</v>
      </c>
      <c r="F266" t="s" s="10">
        <v>119</v>
      </c>
      <c r="G266" t="s" s="11">
        <v>68</v>
      </c>
      <c r="H266" s="19">
        <v>5</v>
      </c>
      <c r="I266" t="s" s="11">
        <v>68</v>
      </c>
      <c r="J266" t="s" s="11">
        <v>20</v>
      </c>
      <c r="K266" s="15"/>
      <c r="L266" t="s" s="16">
        <f>HYPERLINK("http://csr.bu.edu/ftp/asl/asllvd/demos/verify_start_end_handshape_annotations//test_auto_move//signs_mov_separ_signers/Brady_16513.mov","MOV")</f>
        <v>21</v>
      </c>
      <c r="M266" t="s" s="10">
        <v>39</v>
      </c>
      <c r="N266" s="17">
        <v>40</v>
      </c>
      <c r="O266" s="18">
        <v>2471</v>
      </c>
      <c r="P266" s="18">
        <v>2487</v>
      </c>
      <c r="Q266" s="15"/>
      <c r="R266" t="s" s="16">
        <f>HYPERLINK("http://secrets.rutgers.edu:8080/data/asl-ftp/asllvd/demos/verify_start_end_handshape_annotations//test_auto_move//signs_mov_separ_signers/Brady_16513.mov","MOV")</f>
        <v>21</v>
      </c>
    </row>
    <row r="267" s="2" customFormat="1" ht="13.5" customHeight="1">
      <c r="B267" t="s" s="8">
        <v>160</v>
      </c>
      <c r="C267" t="s" s="9">
        <v>14</v>
      </c>
      <c r="D267" t="s" s="8">
        <v>14</v>
      </c>
      <c r="E267" t="s" s="9">
        <v>14</v>
      </c>
      <c r="F267" t="s" s="10">
        <v>14</v>
      </c>
      <c r="G267" t="s" s="11">
        <v>14</v>
      </c>
      <c r="H267" t="s" s="10">
        <v>14</v>
      </c>
      <c r="I267" t="s" s="11">
        <v>14</v>
      </c>
      <c r="J267" t="s" s="11">
        <v>14</v>
      </c>
      <c r="K267" t="s" s="12">
        <v>14</v>
      </c>
      <c r="L267" t="s" s="12">
        <v>14</v>
      </c>
      <c r="M267" t="s" s="10">
        <v>14</v>
      </c>
      <c r="N267" t="s" s="11">
        <v>14</v>
      </c>
      <c r="O267" t="s" s="8">
        <v>14</v>
      </c>
      <c r="P267" t="s" s="8">
        <v>14</v>
      </c>
      <c r="Q267" t="s" s="12">
        <v>14</v>
      </c>
      <c r="R267" t="s" s="12">
        <v>14</v>
      </c>
    </row>
    <row r="268" s="2" customFormat="1" ht="13.5" customHeight="1">
      <c r="B268" s="13"/>
      <c r="C268" t="s" s="9">
        <v>16</v>
      </c>
      <c r="D268" t="s" s="8">
        <v>160</v>
      </c>
      <c r="E268" t="s" s="9">
        <v>161</v>
      </c>
      <c r="F268" s="19">
        <v>5</v>
      </c>
      <c r="G268" s="17">
        <v>5</v>
      </c>
      <c r="H268" s="19">
        <v>5</v>
      </c>
      <c r="I268" s="17">
        <v>5</v>
      </c>
      <c r="J268" t="s" s="11">
        <v>20</v>
      </c>
      <c r="K268" s="15"/>
      <c r="L268" t="s" s="16">
        <f>HYPERLINK("http://csr.bu.edu/ftp/asl/asllvd/demos/verify_start_end_handshape_annotations//test_auto_move//signs_mov_separ_signers/Liz_56.mov","MOV")</f>
        <v>21</v>
      </c>
      <c r="M268" t="s" s="10">
        <v>22</v>
      </c>
      <c r="N268" s="17">
        <v>8</v>
      </c>
      <c r="O268" s="18">
        <v>805</v>
      </c>
      <c r="P268" s="18">
        <v>845</v>
      </c>
      <c r="Q268" s="15"/>
      <c r="R268" t="s" s="16">
        <f>HYPERLINK("http://secrets.rutgers.edu:8080/data/asl-ftp/asllvd/demos/verify_start_end_handshape_annotations//test_auto_move//signs_mov_separ_signers/Liz_56.mov","MOV")</f>
        <v>21</v>
      </c>
    </row>
    <row r="269" s="2" customFormat="1" ht="13.5" customHeight="1">
      <c r="B269" s="13"/>
      <c r="C269" t="s" s="9">
        <v>23</v>
      </c>
      <c r="D269" t="s" s="8">
        <v>160</v>
      </c>
      <c r="E269" t="s" s="9">
        <v>162</v>
      </c>
      <c r="F269" s="19">
        <v>5</v>
      </c>
      <c r="G269" s="17">
        <v>5</v>
      </c>
      <c r="H269" s="19">
        <v>5</v>
      </c>
      <c r="I269" s="17">
        <v>5</v>
      </c>
      <c r="J269" t="s" s="11">
        <v>20</v>
      </c>
      <c r="K269" t="s" s="16">
        <f>HYPERLINK("http://csr.bu.edu/ftp/asl/asllvd/demos/verify_start_end_handshape_annotations//test_auto_move//signs_mov/56.mov","MOV")</f>
        <v>21</v>
      </c>
      <c r="L269" t="s" s="16">
        <f>HYPERLINK("http://csr.bu.edu/ftp/asl/asllvd/demos/verify_start_end_handshape_annotations//test_auto_move//signs_mov_separ_signers/Tyler_56.mov","MOV")</f>
        <v>21</v>
      </c>
      <c r="M269" t="s" s="10">
        <v>26</v>
      </c>
      <c r="N269" s="17">
        <v>7</v>
      </c>
      <c r="O269" s="18">
        <v>1560</v>
      </c>
      <c r="P269" s="18">
        <v>1600</v>
      </c>
      <c r="Q269" t="s" s="16">
        <f>HYPERLINK("http://secrets.rutgers.edu:8080/data/asl-ftp/asllvd/demos/verify_start_end_handshape_annotations//test_auto_move//signs_mov/56.mov","MOV")</f>
        <v>21</v>
      </c>
      <c r="R269" t="s" s="16">
        <f>HYPERLINK("http://secrets.rutgers.edu:8080/data/asl-ftp/asllvd/demos/verify_start_end_handshape_annotations//test_auto_move//signs_mov_separ_signers/Tyler_56.mov","MOV")</f>
        <v>21</v>
      </c>
    </row>
    <row r="270" s="2" customFormat="1" ht="13.5" customHeight="1">
      <c r="B270" s="13"/>
      <c r="C270" t="s" s="9">
        <v>30</v>
      </c>
      <c r="D270" t="s" s="8">
        <v>160</v>
      </c>
      <c r="E270" t="s" s="9">
        <v>161</v>
      </c>
      <c r="F270" s="19">
        <v>5</v>
      </c>
      <c r="G270" s="17">
        <v>5</v>
      </c>
      <c r="H270" s="19">
        <v>5</v>
      </c>
      <c r="I270" s="17">
        <v>5</v>
      </c>
      <c r="J270" t="s" s="11">
        <v>20</v>
      </c>
      <c r="K270" s="15"/>
      <c r="L270" t="s" s="16">
        <f>HYPERLINK("http://csr.bu.edu/ftp/asl/asllvd/demos/verify_start_end_handshape_annotations//test_auto_move//signs_mov_separ_signers/Brady_56.mov","MOV")</f>
        <v>21</v>
      </c>
      <c r="M270" t="s" s="10">
        <v>31</v>
      </c>
      <c r="N270" s="17">
        <v>9</v>
      </c>
      <c r="O270" s="18">
        <v>1148</v>
      </c>
      <c r="P270" s="18">
        <v>1172</v>
      </c>
      <c r="Q270" s="15"/>
      <c r="R270" t="s" s="16">
        <f>HYPERLINK("http://secrets.rutgers.edu:8080/data/asl-ftp/asllvd/demos/verify_start_end_handshape_annotations//test_auto_move//signs_mov_separ_signers/Brady_56.mov","MOV")</f>
        <v>21</v>
      </c>
    </row>
    <row r="271" s="2" customFormat="1" ht="13.5" customHeight="1">
      <c r="B271" t="s" s="8">
        <v>52</v>
      </c>
      <c r="C271" t="s" s="9">
        <v>53</v>
      </c>
      <c r="D271" t="s" s="8">
        <v>53</v>
      </c>
      <c r="E271" t="s" s="9">
        <v>53</v>
      </c>
      <c r="F271" t="s" s="10">
        <v>53</v>
      </c>
      <c r="G271" t="s" s="11">
        <v>53</v>
      </c>
      <c r="H271" t="s" s="10">
        <v>53</v>
      </c>
      <c r="I271" t="s" s="11">
        <v>53</v>
      </c>
      <c r="J271" t="s" s="11">
        <v>53</v>
      </c>
      <c r="K271" t="s" s="12">
        <v>53</v>
      </c>
      <c r="L271" t="s" s="12">
        <v>53</v>
      </c>
      <c r="M271" t="s" s="10">
        <v>53</v>
      </c>
      <c r="N271" t="s" s="11">
        <v>53</v>
      </c>
      <c r="O271" t="s" s="8">
        <v>53</v>
      </c>
      <c r="P271" t="s" s="8">
        <v>53</v>
      </c>
      <c r="Q271" t="s" s="12">
        <v>53</v>
      </c>
      <c r="R271" t="s" s="12">
        <v>53</v>
      </c>
    </row>
    <row r="272" s="2" customFormat="1" ht="13.5" customHeight="1">
      <c r="B272" s="13"/>
      <c r="C272" t="s" s="9">
        <v>16</v>
      </c>
      <c r="D272" t="s" s="8">
        <v>160</v>
      </c>
      <c r="E272" t="s" s="9">
        <v>160</v>
      </c>
      <c r="F272" t="s" s="10">
        <v>68</v>
      </c>
      <c r="G272" t="s" s="11">
        <v>68</v>
      </c>
      <c r="H272" s="19">
        <v>5</v>
      </c>
      <c r="I272" s="17">
        <v>5</v>
      </c>
      <c r="J272" t="s" s="11">
        <v>20</v>
      </c>
      <c r="K272" s="15"/>
      <c r="L272" t="s" s="16">
        <f>HYPERLINK("http://csr.bu.edu/ftp/asl/asllvd/demos/verify_start_end_handshape_annotations//test_auto_move//signs_mov_separ_signers/Liz_3631.mov","MOV")</f>
        <v>21</v>
      </c>
      <c r="M272" t="s" s="10">
        <v>84</v>
      </c>
      <c r="N272" s="17">
        <v>39</v>
      </c>
      <c r="O272" s="18">
        <v>2130</v>
      </c>
      <c r="P272" s="18">
        <v>2155</v>
      </c>
      <c r="Q272" s="15"/>
      <c r="R272" t="s" s="16">
        <f>HYPERLINK("http://secrets.rutgers.edu:8080/data/asl-ftp/asllvd/demos/verify_start_end_handshape_annotations//test_auto_move//signs_mov_separ_signers/Liz_3631.mov","MOV")</f>
        <v>21</v>
      </c>
    </row>
    <row r="273" s="2" customFormat="1" ht="13.5" customHeight="1">
      <c r="B273" s="13"/>
      <c r="C273" t="s" s="9">
        <v>16</v>
      </c>
      <c r="D273" t="s" s="8">
        <v>160</v>
      </c>
      <c r="E273" t="s" s="9">
        <v>160</v>
      </c>
      <c r="F273" t="s" s="10">
        <v>68</v>
      </c>
      <c r="G273" t="s" s="11">
        <v>68</v>
      </c>
      <c r="H273" s="19">
        <v>5</v>
      </c>
      <c r="I273" s="17">
        <v>5</v>
      </c>
      <c r="J273" t="s" s="11">
        <v>20</v>
      </c>
      <c r="K273" s="15"/>
      <c r="L273" t="s" s="16">
        <f>HYPERLINK("http://csr.bu.edu/ftp/asl/asllvd/demos/verify_start_end_handshape_annotations//test_auto_move//signs_mov_separ_signers/Liz_15315.mov","MOV")</f>
        <v>21</v>
      </c>
      <c r="M273" t="s" s="10">
        <v>36</v>
      </c>
      <c r="N273" s="17">
        <v>23</v>
      </c>
      <c r="O273" s="18">
        <v>1210</v>
      </c>
      <c r="P273" s="18">
        <v>1246</v>
      </c>
      <c r="Q273" s="15"/>
      <c r="R273" t="s" s="16">
        <f>HYPERLINK("http://secrets.rutgers.edu:8080/data/asl-ftp/asllvd/demos/verify_start_end_handshape_annotations//test_auto_move//signs_mov_separ_signers/Liz_15315.mov","MOV")</f>
        <v>21</v>
      </c>
    </row>
    <row r="274" s="2" customFormat="1" ht="13.5" customHeight="1">
      <c r="B274" s="13"/>
      <c r="C274" t="s" s="9">
        <v>23</v>
      </c>
      <c r="D274" t="s" s="8">
        <v>160</v>
      </c>
      <c r="E274" t="s" s="9">
        <v>160</v>
      </c>
      <c r="F274" t="s" s="10">
        <v>68</v>
      </c>
      <c r="G274" t="s" s="11">
        <v>68</v>
      </c>
      <c r="H274" s="19">
        <v>5</v>
      </c>
      <c r="I274" s="17">
        <v>5</v>
      </c>
      <c r="J274" t="s" s="11">
        <v>20</v>
      </c>
      <c r="K274" s="15"/>
      <c r="L274" t="s" s="16">
        <f>HYPERLINK("http://csr.bu.edu/ftp/asl/asllvd/demos/verify_start_end_handshape_annotations//test_auto_move//signs_mov_separ_signers/Tyler_3631.mov","MOV")</f>
        <v>21</v>
      </c>
      <c r="M274" t="s" s="10">
        <v>92</v>
      </c>
      <c r="N274" s="17">
        <v>19</v>
      </c>
      <c r="O274" s="18">
        <v>4375</v>
      </c>
      <c r="P274" s="18">
        <v>4400</v>
      </c>
      <c r="Q274" s="15"/>
      <c r="R274" t="s" s="16">
        <f>HYPERLINK("http://secrets.rutgers.edu:8080/data/asl-ftp/asllvd/demos/verify_start_end_handshape_annotations//test_auto_move//signs_mov_separ_signers/Tyler_3631.mov","MOV")</f>
        <v>21</v>
      </c>
    </row>
    <row r="275" s="2" customFormat="1" ht="13.5" customHeight="1">
      <c r="B275" s="13"/>
      <c r="C275" t="s" s="9">
        <v>27</v>
      </c>
      <c r="D275" t="s" s="8">
        <v>160</v>
      </c>
      <c r="E275" t="s" s="9">
        <v>160</v>
      </c>
      <c r="F275" t="s" s="10">
        <v>63</v>
      </c>
      <c r="G275" t="s" s="11">
        <v>63</v>
      </c>
      <c r="H275" s="19">
        <v>5</v>
      </c>
      <c r="I275" s="17">
        <v>5</v>
      </c>
      <c r="J275" t="s" s="11">
        <v>20</v>
      </c>
      <c r="K275" s="15"/>
      <c r="L275" t="s" s="16">
        <f>HYPERLINK("http://csr.bu.edu/ftp/asl/asllvd/demos/verify_start_end_handshape_annotations//test_auto_move//signs_mov_separ_signers/Naomi_3631.mov","MOV")</f>
        <v>21</v>
      </c>
      <c r="M275" t="s" s="10">
        <v>29</v>
      </c>
      <c r="N275" s="17">
        <v>6</v>
      </c>
      <c r="O275" s="18">
        <v>1875</v>
      </c>
      <c r="P275" s="18">
        <v>1900</v>
      </c>
      <c r="Q275" s="15"/>
      <c r="R275" t="s" s="16">
        <f>HYPERLINK("http://secrets.rutgers.edu:8080/data/asl-ftp/asllvd/demos/verify_start_end_handshape_annotations//test_auto_move//signs_mov_separ_signers/Naomi_3631.mov","MOV")</f>
        <v>21</v>
      </c>
    </row>
    <row r="276" s="2" customFormat="1" ht="13.5" customHeight="1">
      <c r="B276" s="13"/>
      <c r="C276" t="s" s="9">
        <v>27</v>
      </c>
      <c r="D276" t="s" s="8">
        <v>160</v>
      </c>
      <c r="E276" t="s" s="9">
        <v>160</v>
      </c>
      <c r="F276" t="s" s="10">
        <v>63</v>
      </c>
      <c r="G276" t="s" s="11">
        <v>63</v>
      </c>
      <c r="H276" s="19">
        <v>5</v>
      </c>
      <c r="I276" s="17">
        <v>5</v>
      </c>
      <c r="J276" t="s" s="11">
        <v>20</v>
      </c>
      <c r="K276" t="s" s="16">
        <f>HYPERLINK("http://csr.bu.edu/ftp/asl/asllvd/demos/verify_start_end_handshape_annotations//test_auto_move//signs_mov/3631_15315_merged.mov","MOV")</f>
        <v>21</v>
      </c>
      <c r="L276" t="s" s="16">
        <f>HYPERLINK("http://csr.bu.edu/ftp/asl/asllvd/demos/verify_start_end_handshape_annotations//test_auto_move//signs_mov_separ_signers/Naomi_15315.mov","MOV")</f>
        <v>21</v>
      </c>
      <c r="M276" t="s" s="10">
        <v>86</v>
      </c>
      <c r="N276" s="17">
        <v>39</v>
      </c>
      <c r="O276" s="18">
        <v>2207</v>
      </c>
      <c r="P276" s="18">
        <v>2240</v>
      </c>
      <c r="Q276" t="s" s="16">
        <f>HYPERLINK("http://secrets.rutgers.edu:8080/data/asl-ftp/asllvd/demos/verify_start_end_handshape_annotations//test_auto_move//signs_mov/3631_15315_merged.mov","MOV")</f>
        <v>21</v>
      </c>
      <c r="R276" t="s" s="16">
        <f>HYPERLINK("http://secrets.rutgers.edu:8080/data/asl-ftp/asllvd/demos/verify_start_end_handshape_annotations//test_auto_move//signs_mov_separ_signers/Naomi_15315.mov","MOV")</f>
        <v>21</v>
      </c>
    </row>
    <row r="277" s="2" customFormat="1" ht="13.5" customHeight="1">
      <c r="B277" s="13"/>
      <c r="C277" t="s" s="9">
        <v>30</v>
      </c>
      <c r="D277" t="s" s="8">
        <v>160</v>
      </c>
      <c r="E277" t="s" s="9">
        <v>160</v>
      </c>
      <c r="F277" t="s" s="10">
        <v>68</v>
      </c>
      <c r="G277" t="s" s="11">
        <v>68</v>
      </c>
      <c r="H277" s="19">
        <v>5</v>
      </c>
      <c r="I277" s="17">
        <v>5</v>
      </c>
      <c r="J277" t="s" s="11">
        <v>20</v>
      </c>
      <c r="K277" s="15"/>
      <c r="L277" t="s" s="16">
        <f>HYPERLINK("http://csr.bu.edu/ftp/asl/asllvd/demos/verify_start_end_handshape_annotations//test_auto_move//signs_mov_separ_signers/Brady_3631.mov","MOV")</f>
        <v>21</v>
      </c>
      <c r="M277" t="s" s="10">
        <v>39</v>
      </c>
      <c r="N277" s="17">
        <v>17</v>
      </c>
      <c r="O277" s="18">
        <v>312</v>
      </c>
      <c r="P277" s="18">
        <v>332</v>
      </c>
      <c r="Q277" s="15"/>
      <c r="R277" t="s" s="16">
        <f>HYPERLINK("http://secrets.rutgers.edu:8080/data/asl-ftp/asllvd/demos/verify_start_end_handshape_annotations//test_auto_move//signs_mov_separ_signers/Brady_3631.mov","MOV")</f>
        <v>21</v>
      </c>
    </row>
    <row r="278" s="2" customFormat="1" ht="13.5" customHeight="1">
      <c r="B278" s="13"/>
      <c r="C278" t="s" s="9">
        <v>30</v>
      </c>
      <c r="D278" t="s" s="8">
        <v>160</v>
      </c>
      <c r="E278" t="s" s="9">
        <v>160</v>
      </c>
      <c r="F278" t="s" s="10">
        <v>68</v>
      </c>
      <c r="G278" t="s" s="11">
        <v>68</v>
      </c>
      <c r="H278" s="19">
        <v>5</v>
      </c>
      <c r="I278" s="17">
        <v>5</v>
      </c>
      <c r="J278" t="s" s="11">
        <v>20</v>
      </c>
      <c r="K278" s="15"/>
      <c r="L278" t="s" s="16">
        <f>HYPERLINK("http://csr.bu.edu/ftp/asl/asllvd/demos/verify_start_end_handshape_annotations//test_auto_move//signs_mov_separ_signers/Brady_15315.mov","MOV")</f>
        <v>21</v>
      </c>
      <c r="M278" t="s" s="10">
        <v>40</v>
      </c>
      <c r="N278" s="17">
        <v>73</v>
      </c>
      <c r="O278" s="18">
        <v>1630</v>
      </c>
      <c r="P278" s="18">
        <v>1652</v>
      </c>
      <c r="Q278" s="15"/>
      <c r="R278" t="s" s="16">
        <f>HYPERLINK("http://secrets.rutgers.edu:8080/data/asl-ftp/asllvd/demos/verify_start_end_handshape_annotations//test_auto_move//signs_mov_separ_signers/Brady_15315.mov","MOV")</f>
        <v>21</v>
      </c>
    </row>
    <row r="279" s="2" customFormat="1" ht="13.5" customHeight="1">
      <c r="B279" s="13"/>
      <c r="C279" t="s" s="9">
        <v>41</v>
      </c>
      <c r="D279" t="s" s="8">
        <v>160</v>
      </c>
      <c r="E279" t="s" s="9">
        <v>160</v>
      </c>
      <c r="F279" t="s" s="10">
        <v>68</v>
      </c>
      <c r="G279" t="s" s="11">
        <v>68</v>
      </c>
      <c r="H279" s="19">
        <v>5</v>
      </c>
      <c r="I279" s="17">
        <v>5</v>
      </c>
      <c r="J279" t="s" s="11">
        <v>20</v>
      </c>
      <c r="K279" s="15"/>
      <c r="L279" t="s" s="16">
        <f>HYPERLINK("http://csr.bu.edu/ftp/asl/asllvd/demos/verify_start_end_handshape_annotations//test_auto_move//signs_mov_separ_signers/Lana_3631.mov","MOV")</f>
        <v>21</v>
      </c>
      <c r="M279" t="s" s="10">
        <v>42</v>
      </c>
      <c r="N279" s="17">
        <v>24</v>
      </c>
      <c r="O279" s="18">
        <v>2306</v>
      </c>
      <c r="P279" s="18">
        <v>2319</v>
      </c>
      <c r="Q279" s="15"/>
      <c r="R279" t="s" s="16">
        <f>HYPERLINK("http://secrets.rutgers.edu:8080/data/asl-ftp/asllvd/demos/verify_start_end_handshape_annotations//test_auto_move//signs_mov_separ_signers/Lana_3631.mov","MOV")</f>
        <v>21</v>
      </c>
    </row>
    <row r="280" s="2" customFormat="1" ht="13.5" customHeight="1">
      <c r="B280" s="13"/>
      <c r="C280" t="s" s="9">
        <v>43</v>
      </c>
      <c r="D280" t="s" s="8">
        <v>160</v>
      </c>
      <c r="E280" t="s" s="9">
        <v>160</v>
      </c>
      <c r="F280" t="s" s="10">
        <v>68</v>
      </c>
      <c r="G280" t="s" s="11">
        <v>68</v>
      </c>
      <c r="H280" s="19">
        <v>5</v>
      </c>
      <c r="I280" s="17">
        <v>5</v>
      </c>
      <c r="J280" t="s" s="11">
        <v>20</v>
      </c>
      <c r="K280" s="15"/>
      <c r="L280" t="s" s="16">
        <f>HYPERLINK("http://csr.bu.edu/ftp/asl/asllvd/demos/verify_start_end_handshape_annotations//test_auto_move//signs_mov_separ_signers/Dana_3631.mov","MOV")</f>
        <v>21</v>
      </c>
      <c r="M280" t="s" s="10">
        <v>44</v>
      </c>
      <c r="N280" s="17">
        <v>26</v>
      </c>
      <c r="O280" s="18">
        <v>2381</v>
      </c>
      <c r="P280" s="18">
        <v>2409</v>
      </c>
      <c r="Q280" s="15"/>
      <c r="R280" t="s" s="16">
        <f>HYPERLINK("http://secrets.rutgers.edu:8080/data/asl-ftp/asllvd/demos/verify_start_end_handshape_annotations//test_auto_move//signs_mov_separ_signers/Dana_3631.mov","MOV")</f>
        <v>21</v>
      </c>
    </row>
    <row r="281" s="2" customFormat="1" ht="13.5" customHeight="1">
      <c r="B281" t="s" s="8">
        <v>163</v>
      </c>
      <c r="C281" t="s" s="9">
        <v>14</v>
      </c>
      <c r="D281" t="s" s="8">
        <v>14</v>
      </c>
      <c r="E281" t="s" s="9">
        <v>14</v>
      </c>
      <c r="F281" t="s" s="10">
        <v>14</v>
      </c>
      <c r="G281" t="s" s="11">
        <v>14</v>
      </c>
      <c r="H281" t="s" s="10">
        <v>14</v>
      </c>
      <c r="I281" t="s" s="11">
        <v>14</v>
      </c>
      <c r="J281" t="s" s="11">
        <v>14</v>
      </c>
      <c r="K281" t="s" s="12">
        <v>14</v>
      </c>
      <c r="L281" t="s" s="12">
        <v>14</v>
      </c>
      <c r="M281" t="s" s="10">
        <v>14</v>
      </c>
      <c r="N281" t="s" s="11">
        <v>14</v>
      </c>
      <c r="O281" t="s" s="8">
        <v>14</v>
      </c>
      <c r="P281" t="s" s="8">
        <v>14</v>
      </c>
      <c r="Q281" t="s" s="12">
        <v>14</v>
      </c>
      <c r="R281" t="s" s="12">
        <v>14</v>
      </c>
    </row>
    <row r="282" s="2" customFormat="1" ht="13.5" customHeight="1">
      <c r="B282" s="13"/>
      <c r="C282" t="s" s="9">
        <v>16</v>
      </c>
      <c r="D282" t="s" s="8">
        <v>163</v>
      </c>
      <c r="E282" t="s" s="9">
        <v>163</v>
      </c>
      <c r="F282" s="19">
        <v>5</v>
      </c>
      <c r="G282" s="14"/>
      <c r="H282" t="s" s="10">
        <v>119</v>
      </c>
      <c r="I282" s="14"/>
      <c r="J282" t="s" s="11">
        <v>20</v>
      </c>
      <c r="K282" s="15"/>
      <c r="L282" t="s" s="16">
        <f>HYPERLINK("http://csr.bu.edu/ftp/asl/asllvd/demos/verify_start_end_handshape_annotations//test_auto_move//signs_mov_separ_signers/Liz_57.mov","MOV")</f>
        <v>21</v>
      </c>
      <c r="M282" t="s" s="10">
        <v>22</v>
      </c>
      <c r="N282" s="17">
        <v>8</v>
      </c>
      <c r="O282" s="18">
        <v>1770</v>
      </c>
      <c r="P282" s="18">
        <v>1815</v>
      </c>
      <c r="Q282" s="15"/>
      <c r="R282" t="s" s="16">
        <f>HYPERLINK("http://secrets.rutgers.edu:8080/data/asl-ftp/asllvd/demos/verify_start_end_handshape_annotations//test_auto_move//signs_mov_separ_signers/Liz_57.mov","MOV")</f>
        <v>21</v>
      </c>
    </row>
    <row r="283" s="2" customFormat="1" ht="13.5" customHeight="1">
      <c r="B283" s="13"/>
      <c r="C283" t="s" s="9">
        <v>23</v>
      </c>
      <c r="D283" t="s" s="8">
        <v>163</v>
      </c>
      <c r="E283" t="s" s="9">
        <v>163</v>
      </c>
      <c r="F283" s="19">
        <v>5</v>
      </c>
      <c r="G283" s="14"/>
      <c r="H283" t="s" s="10">
        <v>119</v>
      </c>
      <c r="I283" s="14"/>
      <c r="J283" t="s" s="11">
        <v>20</v>
      </c>
      <c r="K283" t="s" s="16">
        <f>HYPERLINK("http://csr.bu.edu/ftp/asl/asllvd/demos/verify_start_end_handshape_annotations//test_auto_move//signs_mov/57.mov","MOV")</f>
        <v>21</v>
      </c>
      <c r="L283" t="s" s="16">
        <f>HYPERLINK("http://csr.bu.edu/ftp/asl/asllvd/demos/verify_start_end_handshape_annotations//test_auto_move//signs_mov_separ_signers/Tyler_57.mov","MOV")</f>
        <v>21</v>
      </c>
      <c r="M283" t="s" s="10">
        <v>26</v>
      </c>
      <c r="N283" s="17">
        <v>7</v>
      </c>
      <c r="O283" s="18">
        <v>2495</v>
      </c>
      <c r="P283" s="18">
        <v>2525</v>
      </c>
      <c r="Q283" t="s" s="16">
        <f>HYPERLINK("http://secrets.rutgers.edu:8080/data/asl-ftp/asllvd/demos/verify_start_end_handshape_annotations//test_auto_move//signs_mov/57.mov","MOV")</f>
        <v>21</v>
      </c>
      <c r="R283" t="s" s="16">
        <f>HYPERLINK("http://secrets.rutgers.edu:8080/data/asl-ftp/asllvd/demos/verify_start_end_handshape_annotations//test_auto_move//signs_mov_separ_signers/Tyler_57.mov","MOV")</f>
        <v>21</v>
      </c>
    </row>
    <row r="284" s="2" customFormat="1" ht="13.5" customHeight="1">
      <c r="B284" s="13"/>
      <c r="C284" t="s" s="9">
        <v>27</v>
      </c>
      <c r="D284" t="s" s="8">
        <v>163</v>
      </c>
      <c r="E284" t="s" s="9">
        <v>163</v>
      </c>
      <c r="F284" s="19">
        <v>5</v>
      </c>
      <c r="G284" s="14"/>
      <c r="H284" t="s" s="10">
        <v>119</v>
      </c>
      <c r="I284" s="14"/>
      <c r="J284" t="s" s="11">
        <v>20</v>
      </c>
      <c r="K284" s="15"/>
      <c r="L284" t="s" s="16">
        <f>HYPERLINK("http://csr.bu.edu/ftp/asl/asllvd/demos/verify_start_end_handshape_annotations//test_auto_move//signs_mov_separ_signers/Naomi_57.mov","MOV")</f>
        <v>21</v>
      </c>
      <c r="M284" t="s" s="10">
        <v>29</v>
      </c>
      <c r="N284" s="17">
        <v>6</v>
      </c>
      <c r="O284" s="18">
        <v>2835</v>
      </c>
      <c r="P284" s="18">
        <v>2860</v>
      </c>
      <c r="Q284" s="15"/>
      <c r="R284" t="s" s="16">
        <f>HYPERLINK("http://secrets.rutgers.edu:8080/data/asl-ftp/asllvd/demos/verify_start_end_handshape_annotations//test_auto_move//signs_mov_separ_signers/Naomi_57.mov","MOV")</f>
        <v>21</v>
      </c>
    </row>
    <row r="285" s="2" customFormat="1" ht="13.5" customHeight="1">
      <c r="B285" s="13"/>
      <c r="C285" t="s" s="9">
        <v>30</v>
      </c>
      <c r="D285" t="s" s="8">
        <v>163</v>
      </c>
      <c r="E285" t="s" s="9">
        <v>163</v>
      </c>
      <c r="F285" s="19">
        <v>5</v>
      </c>
      <c r="G285" s="14"/>
      <c r="H285" t="s" s="10">
        <v>119</v>
      </c>
      <c r="I285" s="14"/>
      <c r="J285" t="s" s="11">
        <v>20</v>
      </c>
      <c r="K285" s="15"/>
      <c r="L285" t="s" s="16">
        <f>HYPERLINK("http://csr.bu.edu/ftp/asl/asllvd/demos/verify_start_end_handshape_annotations//test_auto_move//signs_mov_separ_signers/Brady_57.mov","MOV")</f>
        <v>21</v>
      </c>
      <c r="M285" t="s" s="10">
        <v>31</v>
      </c>
      <c r="N285" s="17">
        <v>9</v>
      </c>
      <c r="O285" s="18">
        <v>1666</v>
      </c>
      <c r="P285" s="18">
        <v>1688</v>
      </c>
      <c r="Q285" s="15"/>
      <c r="R285" t="s" s="16">
        <f>HYPERLINK("http://secrets.rutgers.edu:8080/data/asl-ftp/asllvd/demos/verify_start_end_handshape_annotations//test_auto_move//signs_mov_separ_signers/Brady_57.mov","MOV")</f>
        <v>21</v>
      </c>
    </row>
    <row r="286" s="2" customFormat="1" ht="13.5" customHeight="1">
      <c r="B286" t="s" s="8">
        <v>163</v>
      </c>
      <c r="C286" t="s" s="9">
        <v>14</v>
      </c>
      <c r="D286" t="s" s="8">
        <v>14</v>
      </c>
      <c r="E286" t="s" s="9">
        <v>14</v>
      </c>
      <c r="F286" t="s" s="10">
        <v>14</v>
      </c>
      <c r="G286" t="s" s="11">
        <v>14</v>
      </c>
      <c r="H286" t="s" s="10">
        <v>14</v>
      </c>
      <c r="I286" t="s" s="11">
        <v>14</v>
      </c>
      <c r="J286" t="s" s="11">
        <v>14</v>
      </c>
      <c r="K286" t="s" s="12">
        <v>14</v>
      </c>
      <c r="L286" t="s" s="12">
        <v>14</v>
      </c>
      <c r="M286" t="s" s="10">
        <v>14</v>
      </c>
      <c r="N286" t="s" s="11">
        <v>14</v>
      </c>
      <c r="O286" t="s" s="8">
        <v>14</v>
      </c>
      <c r="P286" t="s" s="8">
        <v>14</v>
      </c>
      <c r="Q286" t="s" s="12">
        <v>14</v>
      </c>
      <c r="R286" t="s" s="12">
        <v>14</v>
      </c>
    </row>
    <row r="287" s="2" customFormat="1" ht="13.5" customHeight="1">
      <c r="B287" s="13"/>
      <c r="C287" t="s" s="9">
        <v>16</v>
      </c>
      <c r="D287" t="s" s="8">
        <v>164</v>
      </c>
      <c r="E287" t="s" s="9">
        <v>164</v>
      </c>
      <c r="F287" t="s" s="10">
        <v>63</v>
      </c>
      <c r="G287" s="14"/>
      <c r="H287" t="s" s="10">
        <v>63</v>
      </c>
      <c r="I287" s="14"/>
      <c r="J287" t="s" s="11">
        <v>20</v>
      </c>
      <c r="K287" t="s" s="16">
        <f>HYPERLINK("http://csr.bu.edu/ftp/asl/asllvd/demos/verify_start_end_handshape_annotations//test_auto_move//signs_mov/3568.mov","MOV")</f>
        <v>21</v>
      </c>
      <c r="L287" t="s" s="16">
        <f>HYPERLINK("http://csr.bu.edu/ftp/asl/asllvd/demos/verify_start_end_handshape_annotations//test_auto_move//signs_mov_separ_signers/Liz_3568.mov","MOV")</f>
        <v>21</v>
      </c>
      <c r="M287" t="s" s="10">
        <v>77</v>
      </c>
      <c r="N287" s="17">
        <v>8</v>
      </c>
      <c r="O287" s="18">
        <v>1381</v>
      </c>
      <c r="P287" s="18">
        <v>1445</v>
      </c>
      <c r="Q287" t="s" s="16">
        <f>HYPERLINK("http://secrets.rutgers.edu:8080/data/asl-ftp/asllvd/demos/verify_start_end_handshape_annotations//test_auto_move//signs_mov/3568.mov","MOV")</f>
        <v>21</v>
      </c>
      <c r="R287" t="s" s="16">
        <f>HYPERLINK("http://secrets.rutgers.edu:8080/data/asl-ftp/asllvd/demos/verify_start_end_handshape_annotations//test_auto_move//signs_mov_separ_signers/Liz_3568.mov","MOV")</f>
        <v>21</v>
      </c>
    </row>
    <row r="288" s="2" customFormat="1" ht="13.5" customHeight="1">
      <c r="B288" s="13"/>
      <c r="C288" t="s" s="9">
        <v>27</v>
      </c>
      <c r="D288" t="s" s="8">
        <v>164</v>
      </c>
      <c r="E288" t="s" s="9">
        <v>164</v>
      </c>
      <c r="F288" t="s" s="10">
        <v>63</v>
      </c>
      <c r="G288" s="14"/>
      <c r="H288" t="s" s="10">
        <v>63</v>
      </c>
      <c r="I288" s="14"/>
      <c r="J288" t="s" s="11">
        <v>20</v>
      </c>
      <c r="K288" s="15"/>
      <c r="L288" t="s" s="16">
        <f>HYPERLINK("http://csr.bu.edu/ftp/asl/asllvd/demos/verify_start_end_handshape_annotations//test_auto_move//signs_mov_separ_signers/Naomi_3568.mov","MOV")</f>
        <v>21</v>
      </c>
      <c r="M288" t="s" s="10">
        <v>29</v>
      </c>
      <c r="N288" s="17">
        <v>6</v>
      </c>
      <c r="O288" s="18">
        <v>2280</v>
      </c>
      <c r="P288" s="18">
        <v>2325</v>
      </c>
      <c r="Q288" s="15"/>
      <c r="R288" t="s" s="16">
        <f>HYPERLINK("http://secrets.rutgers.edu:8080/data/asl-ftp/asllvd/demos/verify_start_end_handshape_annotations//test_auto_move//signs_mov_separ_signers/Naomi_3568.mov","MOV")</f>
        <v>21</v>
      </c>
    </row>
    <row r="289" s="2" customFormat="1" ht="13.5" customHeight="1">
      <c r="B289" t="s" s="8">
        <v>165</v>
      </c>
      <c r="C289" t="s" s="9">
        <v>14</v>
      </c>
      <c r="D289" t="s" s="8">
        <v>14</v>
      </c>
      <c r="E289" t="s" s="9">
        <v>14</v>
      </c>
      <c r="F289" t="s" s="10">
        <v>14</v>
      </c>
      <c r="G289" t="s" s="11">
        <v>14</v>
      </c>
      <c r="H289" t="s" s="10">
        <v>14</v>
      </c>
      <c r="I289" t="s" s="11">
        <v>14</v>
      </c>
      <c r="J289" t="s" s="11">
        <v>14</v>
      </c>
      <c r="K289" t="s" s="12">
        <v>14</v>
      </c>
      <c r="L289" t="s" s="12">
        <v>14</v>
      </c>
      <c r="M289" t="s" s="10">
        <v>14</v>
      </c>
      <c r="N289" t="s" s="11">
        <v>14</v>
      </c>
      <c r="O289" t="s" s="8">
        <v>14</v>
      </c>
      <c r="P289" t="s" s="8">
        <v>14</v>
      </c>
      <c r="Q289" t="s" s="12">
        <v>14</v>
      </c>
      <c r="R289" t="s" s="12">
        <v>14</v>
      </c>
    </row>
    <row r="290" s="2" customFormat="1" ht="13.5" customHeight="1">
      <c r="B290" s="13"/>
      <c r="C290" t="s" s="9">
        <v>23</v>
      </c>
      <c r="D290" t="s" s="8">
        <v>165</v>
      </c>
      <c r="E290" t="s" s="9">
        <v>166</v>
      </c>
      <c r="F290" t="s" s="10">
        <v>109</v>
      </c>
      <c r="G290" t="s" s="11">
        <v>55</v>
      </c>
      <c r="H290" t="s" s="10">
        <v>109</v>
      </c>
      <c r="I290" t="s" s="11">
        <v>55</v>
      </c>
      <c r="J290" t="s" s="11">
        <v>136</v>
      </c>
      <c r="K290" s="15"/>
      <c r="L290" t="s" s="16">
        <f>HYPERLINK("http://csr.bu.edu/ftp/asl/asllvd/demos/verify_start_end_handshape_annotations//test_auto_move//signs_mov_separ_signers/Tyler_62.mov","MOV")</f>
        <v>21</v>
      </c>
      <c r="M290" t="s" s="10">
        <v>26</v>
      </c>
      <c r="N290" s="17">
        <v>8</v>
      </c>
      <c r="O290" s="18">
        <v>590</v>
      </c>
      <c r="P290" s="18">
        <v>625</v>
      </c>
      <c r="Q290" s="15"/>
      <c r="R290" t="s" s="16">
        <f>HYPERLINK("http://secrets.rutgers.edu:8080/data/asl-ftp/asllvd/demos/verify_start_end_handshape_annotations//test_auto_move//signs_mov_separ_signers/Tyler_62.mov","MOV")</f>
        <v>21</v>
      </c>
    </row>
    <row r="291" s="2" customFormat="1" ht="13.5" customHeight="1">
      <c r="B291" s="13"/>
      <c r="C291" t="s" s="9">
        <v>23</v>
      </c>
      <c r="D291" t="s" s="8">
        <v>165</v>
      </c>
      <c r="E291" t="s" s="9">
        <v>167</v>
      </c>
      <c r="F291" t="s" s="10">
        <v>73</v>
      </c>
      <c r="G291" t="s" s="11">
        <v>73</v>
      </c>
      <c r="H291" t="s" s="10">
        <v>73</v>
      </c>
      <c r="I291" t="s" s="11">
        <v>73</v>
      </c>
      <c r="J291" t="s" s="11">
        <v>136</v>
      </c>
      <c r="K291" s="15"/>
      <c r="L291" t="s" s="16">
        <f>HYPERLINK("http://csr.bu.edu/ftp/asl/asllvd/demos/verify_start_end_handshape_annotations//test_auto_move//signs_mov_separ_signers/Tyler_3323.mov","MOV")</f>
        <v>21</v>
      </c>
      <c r="M291" t="s" s="10">
        <v>92</v>
      </c>
      <c r="N291" s="17">
        <v>8</v>
      </c>
      <c r="O291" s="18">
        <v>1272</v>
      </c>
      <c r="P291" s="18">
        <v>1320</v>
      </c>
      <c r="Q291" s="15"/>
      <c r="R291" t="s" s="16">
        <f>HYPERLINK("http://secrets.rutgers.edu:8080/data/asl-ftp/asllvd/demos/verify_start_end_handshape_annotations//test_auto_move//signs_mov_separ_signers/Tyler_3323.mov","MOV")</f>
        <v>21</v>
      </c>
    </row>
    <row r="292" s="2" customFormat="1" ht="13.5" customHeight="1">
      <c r="B292" s="13"/>
      <c r="C292" t="s" s="9">
        <v>23</v>
      </c>
      <c r="D292" t="s" s="8">
        <v>165</v>
      </c>
      <c r="E292" t="s" s="9">
        <v>166</v>
      </c>
      <c r="F292" t="s" s="10">
        <v>73</v>
      </c>
      <c r="G292" t="s" s="11">
        <v>73</v>
      </c>
      <c r="H292" t="s" s="10">
        <v>73</v>
      </c>
      <c r="I292" t="s" s="11">
        <v>73</v>
      </c>
      <c r="J292" t="s" s="11">
        <v>136</v>
      </c>
      <c r="K292" t="s" s="16">
        <f>HYPERLINK("http://csr.bu.edu/ftp/asl/asllvd/demos/verify_start_end_handshape_annotations//test_auto_move//signs_mov/62_3323_3497_merged.mov","MOV")</f>
        <v>21</v>
      </c>
      <c r="L292" t="s" s="16">
        <f>HYPERLINK("http://csr.bu.edu/ftp/asl/asllvd/demos/verify_start_end_handshape_annotations//test_auto_move//signs_mov_separ_signers/Tyler_3497.mov","MOV")</f>
        <v>21</v>
      </c>
      <c r="M292" t="s" s="10">
        <v>92</v>
      </c>
      <c r="N292" s="17">
        <v>13</v>
      </c>
      <c r="O292" s="18">
        <v>3510</v>
      </c>
      <c r="P292" s="18">
        <v>3545</v>
      </c>
      <c r="Q292" t="s" s="16">
        <f>HYPERLINK("http://secrets.rutgers.edu:8080/data/asl-ftp/asllvd/demos/verify_start_end_handshape_annotations//test_auto_move//signs_mov/62_3323_3497_merged.mov","MOV")</f>
        <v>21</v>
      </c>
      <c r="R292" t="s" s="16">
        <f>HYPERLINK("http://secrets.rutgers.edu:8080/data/asl-ftp/asllvd/demos/verify_start_end_handshape_annotations//test_auto_move//signs_mov_separ_signers/Tyler_3497.mov","MOV")</f>
        <v>21</v>
      </c>
    </row>
    <row r="293" s="2" customFormat="1" ht="13.5" customHeight="1">
      <c r="B293" s="13"/>
      <c r="C293" t="s" s="9">
        <v>27</v>
      </c>
      <c r="D293" t="s" s="8">
        <v>165</v>
      </c>
      <c r="E293" t="s" s="9">
        <v>168</v>
      </c>
      <c r="F293" t="s" s="10">
        <v>73</v>
      </c>
      <c r="G293" t="s" s="11">
        <v>73</v>
      </c>
      <c r="H293" t="s" s="10">
        <v>73</v>
      </c>
      <c r="I293" t="s" s="11">
        <v>73</v>
      </c>
      <c r="J293" t="s" s="11">
        <v>136</v>
      </c>
      <c r="K293" s="15"/>
      <c r="L293" t="s" s="16">
        <f>HYPERLINK("http://csr.bu.edu/ftp/asl/asllvd/demos/verify_start_end_handshape_annotations//test_auto_move//signs_mov_separ_signers/Naomi_62.mov","MOV")</f>
        <v>21</v>
      </c>
      <c r="M293" t="s" s="10">
        <v>29</v>
      </c>
      <c r="N293" s="17">
        <v>7</v>
      </c>
      <c r="O293" s="18">
        <v>745</v>
      </c>
      <c r="P293" s="18">
        <v>765</v>
      </c>
      <c r="Q293" s="15"/>
      <c r="R293" t="s" s="16">
        <f>HYPERLINK("http://secrets.rutgers.edu:8080/data/asl-ftp/asllvd/demos/verify_start_end_handshape_annotations//test_auto_move//signs_mov_separ_signers/Naomi_62.mov","MOV")</f>
        <v>21</v>
      </c>
    </row>
    <row r="294" s="2" customFormat="1" ht="13.5" customHeight="1">
      <c r="B294" s="13"/>
      <c r="C294" t="s" s="9">
        <v>41</v>
      </c>
      <c r="D294" t="s" s="8">
        <v>165</v>
      </c>
      <c r="E294" t="s" s="9">
        <v>168</v>
      </c>
      <c r="F294" t="s" s="10">
        <v>55</v>
      </c>
      <c r="G294" t="s" s="11">
        <v>55</v>
      </c>
      <c r="H294" t="s" s="10">
        <v>55</v>
      </c>
      <c r="I294" t="s" s="11">
        <v>55</v>
      </c>
      <c r="J294" t="s" s="11">
        <v>136</v>
      </c>
      <c r="K294" s="15"/>
      <c r="L294" t="s" s="16">
        <f>HYPERLINK("http://csr.bu.edu/ftp/asl/asllvd/demos/verify_start_end_handshape_annotations//test_auto_move//signs_mov_separ_signers/Lana_62.mov","MOV")</f>
        <v>21</v>
      </c>
      <c r="M294" t="s" s="10">
        <v>42</v>
      </c>
      <c r="N294" s="17">
        <v>2</v>
      </c>
      <c r="O294" s="18">
        <v>1235</v>
      </c>
      <c r="P294" s="18">
        <v>1264</v>
      </c>
      <c r="Q294" s="15"/>
      <c r="R294" t="s" s="16">
        <f>HYPERLINK("http://secrets.rutgers.edu:8080/data/asl-ftp/asllvd/demos/verify_start_end_handshape_annotations//test_auto_move//signs_mov_separ_signers/Lana_62.mov","MOV")</f>
        <v>21</v>
      </c>
    </row>
    <row r="295" s="2" customFormat="1" ht="13.5" customHeight="1">
      <c r="B295" t="s" s="8">
        <v>52</v>
      </c>
      <c r="C295" t="s" s="9">
        <v>53</v>
      </c>
      <c r="D295" t="s" s="8">
        <v>53</v>
      </c>
      <c r="E295" t="s" s="9">
        <v>53</v>
      </c>
      <c r="F295" t="s" s="10">
        <v>53</v>
      </c>
      <c r="G295" t="s" s="11">
        <v>53</v>
      </c>
      <c r="H295" t="s" s="10">
        <v>53</v>
      </c>
      <c r="I295" t="s" s="11">
        <v>53</v>
      </c>
      <c r="J295" t="s" s="11">
        <v>53</v>
      </c>
      <c r="K295" t="s" s="12">
        <v>53</v>
      </c>
      <c r="L295" t="s" s="12">
        <v>53</v>
      </c>
      <c r="M295" t="s" s="10">
        <v>53</v>
      </c>
      <c r="N295" t="s" s="11">
        <v>53</v>
      </c>
      <c r="O295" t="s" s="8">
        <v>53</v>
      </c>
      <c r="P295" t="s" s="8">
        <v>53</v>
      </c>
      <c r="Q295" t="s" s="12">
        <v>53</v>
      </c>
      <c r="R295" t="s" s="12">
        <v>53</v>
      </c>
    </row>
    <row r="296" s="2" customFormat="1" ht="13.5" customHeight="1">
      <c r="B296" s="13"/>
      <c r="C296" t="s" s="9">
        <v>30</v>
      </c>
      <c r="D296" t="s" s="8">
        <v>165</v>
      </c>
      <c r="E296" t="s" s="9">
        <v>169</v>
      </c>
      <c r="F296" t="s" s="10">
        <v>55</v>
      </c>
      <c r="G296" t="s" s="11">
        <v>55</v>
      </c>
      <c r="H296" t="s" s="10">
        <v>55</v>
      </c>
      <c r="I296" t="s" s="11">
        <v>55</v>
      </c>
      <c r="J296" t="s" s="11">
        <v>136</v>
      </c>
      <c r="K296" t="s" s="16">
        <f>HYPERLINK("http://csr.bu.edu/ftp/asl/asllvd/demos/verify_start_end_handshape_annotations//test_auto_move//signs_mov/16197.mov","MOV")</f>
        <v>21</v>
      </c>
      <c r="L296" t="s" s="16">
        <f>HYPERLINK("http://csr.bu.edu/ftp/asl/asllvd/demos/verify_start_end_handshape_annotations//test_auto_move//signs_mov_separ_signers/Brady_16197.mov","MOV")</f>
        <v>21</v>
      </c>
      <c r="M296" t="s" s="10">
        <v>31</v>
      </c>
      <c r="N296" s="17">
        <v>9</v>
      </c>
      <c r="O296" s="18">
        <v>7773</v>
      </c>
      <c r="P296" s="18">
        <v>7793</v>
      </c>
      <c r="Q296" t="s" s="16">
        <f>HYPERLINK("http://secrets.rutgers.edu:8080/data/asl-ftp/asllvd/demos/verify_start_end_handshape_annotations//test_auto_move//signs_mov/16197.mov","MOV")</f>
        <v>21</v>
      </c>
      <c r="R296" t="s" s="16">
        <f>HYPERLINK("http://secrets.rutgers.edu:8080/data/asl-ftp/asllvd/demos/verify_start_end_handshape_annotations//test_auto_move//signs_mov_separ_signers/Brady_16197.mov","MOV")</f>
        <v>21</v>
      </c>
    </row>
    <row r="297" s="2" customFormat="1" ht="13.5" customHeight="1">
      <c r="B297" s="13"/>
      <c r="C297" t="s" s="9">
        <v>43</v>
      </c>
      <c r="D297" t="s" s="8">
        <v>165</v>
      </c>
      <c r="E297" t="s" s="9">
        <v>169</v>
      </c>
      <c r="F297" t="s" s="10">
        <v>55</v>
      </c>
      <c r="G297" t="s" s="11">
        <v>55</v>
      </c>
      <c r="H297" t="s" s="10">
        <v>55</v>
      </c>
      <c r="I297" t="s" s="11">
        <v>55</v>
      </c>
      <c r="J297" t="s" s="11">
        <v>136</v>
      </c>
      <c r="K297" s="15"/>
      <c r="L297" t="s" s="16">
        <f>HYPERLINK("http://csr.bu.edu/ftp/asl/asllvd/demos/verify_start_end_handshape_annotations//test_auto_move//signs_mov_separ_signers/Dana_16197.mov","MOV")</f>
        <v>21</v>
      </c>
      <c r="M297" t="s" s="10">
        <v>44</v>
      </c>
      <c r="N297" s="17">
        <v>5</v>
      </c>
      <c r="O297" s="18">
        <v>1482</v>
      </c>
      <c r="P297" s="18">
        <v>1522</v>
      </c>
      <c r="Q297" s="15"/>
      <c r="R297" t="s" s="16">
        <f>HYPERLINK("http://secrets.rutgers.edu:8080/data/asl-ftp/asllvd/demos/verify_start_end_handshape_annotations//test_auto_move//signs_mov_separ_signers/Dana_16197.mov","MOV")</f>
        <v>21</v>
      </c>
    </row>
    <row r="298" s="2" customFormat="1" ht="13.5" customHeight="1">
      <c r="B298" t="s" s="8">
        <v>170</v>
      </c>
      <c r="C298" t="s" s="9">
        <v>14</v>
      </c>
      <c r="D298" t="s" s="8">
        <v>14</v>
      </c>
      <c r="E298" t="s" s="9">
        <v>14</v>
      </c>
      <c r="F298" t="s" s="10">
        <v>14</v>
      </c>
      <c r="G298" t="s" s="11">
        <v>14</v>
      </c>
      <c r="H298" t="s" s="10">
        <v>14</v>
      </c>
      <c r="I298" t="s" s="11">
        <v>14</v>
      </c>
      <c r="J298" t="s" s="11">
        <v>14</v>
      </c>
      <c r="K298" t="s" s="12">
        <v>14</v>
      </c>
      <c r="L298" t="s" s="12">
        <v>14</v>
      </c>
      <c r="M298" t="s" s="10">
        <v>14</v>
      </c>
      <c r="N298" t="s" s="11">
        <v>14</v>
      </c>
      <c r="O298" t="s" s="8">
        <v>14</v>
      </c>
      <c r="P298" t="s" s="8">
        <v>14</v>
      </c>
      <c r="Q298" t="s" s="12">
        <v>14</v>
      </c>
      <c r="R298" t="s" s="12">
        <v>14</v>
      </c>
    </row>
    <row r="299" s="2" customFormat="1" ht="13.5" customHeight="1">
      <c r="B299" s="13"/>
      <c r="C299" t="s" s="9">
        <v>16</v>
      </c>
      <c r="D299" t="s" s="8">
        <v>170</v>
      </c>
      <c r="E299" t="s" s="9">
        <v>170</v>
      </c>
      <c r="F299" t="s" s="10">
        <v>55</v>
      </c>
      <c r="G299" t="s" s="11">
        <v>55</v>
      </c>
      <c r="H299" t="s" s="10">
        <v>55</v>
      </c>
      <c r="I299" t="s" s="11">
        <v>55</v>
      </c>
      <c r="J299" t="s" s="11">
        <v>136</v>
      </c>
      <c r="K299" t="s" s="16">
        <f>HYPERLINK("http://csr.bu.edu/ftp/asl/asllvd/demos/verify_start_end_handshape_annotations//test_auto_move//signs_mov/16236.mov","MOV")</f>
        <v>21</v>
      </c>
      <c r="L299" t="s" s="16">
        <f>HYPERLINK("http://csr.bu.edu/ftp/asl/asllvd/demos/verify_start_end_handshape_annotations//test_auto_move//signs_mov_separ_signers/Liz_16236.mov","MOV")</f>
        <v>21</v>
      </c>
      <c r="M299" t="s" s="10">
        <v>22</v>
      </c>
      <c r="N299" s="17">
        <v>9</v>
      </c>
      <c r="O299" s="18">
        <v>765</v>
      </c>
      <c r="P299" s="18">
        <v>790</v>
      </c>
      <c r="Q299" t="s" s="16">
        <f>HYPERLINK("http://secrets.rutgers.edu:8080/data/asl-ftp/asllvd/demos/verify_start_end_handshape_annotations//test_auto_move//signs_mov/16236.mov","MOV")</f>
        <v>21</v>
      </c>
      <c r="R299" t="s" s="16">
        <f>HYPERLINK("http://secrets.rutgers.edu:8080/data/asl-ftp/asllvd/demos/verify_start_end_handshape_annotations//test_auto_move//signs_mov_separ_signers/Liz_16236.mov","MOV")</f>
        <v>21</v>
      </c>
    </row>
    <row r="300" s="2" customFormat="1" ht="13.5" customHeight="1">
      <c r="B300" t="s" s="8">
        <v>171</v>
      </c>
      <c r="C300" t="s" s="9">
        <v>14</v>
      </c>
      <c r="D300" t="s" s="8">
        <v>14</v>
      </c>
      <c r="E300" t="s" s="9">
        <v>14</v>
      </c>
      <c r="F300" t="s" s="10">
        <v>14</v>
      </c>
      <c r="G300" t="s" s="11">
        <v>14</v>
      </c>
      <c r="H300" t="s" s="10">
        <v>14</v>
      </c>
      <c r="I300" t="s" s="11">
        <v>14</v>
      </c>
      <c r="J300" t="s" s="11">
        <v>14</v>
      </c>
      <c r="K300" t="s" s="12">
        <v>14</v>
      </c>
      <c r="L300" t="s" s="12">
        <v>14</v>
      </c>
      <c r="M300" t="s" s="10">
        <v>14</v>
      </c>
      <c r="N300" t="s" s="11">
        <v>14</v>
      </c>
      <c r="O300" t="s" s="8">
        <v>14</v>
      </c>
      <c r="P300" t="s" s="8">
        <v>14</v>
      </c>
      <c r="Q300" t="s" s="12">
        <v>14</v>
      </c>
      <c r="R300" t="s" s="12">
        <v>14</v>
      </c>
    </row>
    <row r="301" s="2" customFormat="1" ht="13.5" customHeight="1">
      <c r="B301" s="13"/>
      <c r="C301" t="s" s="9">
        <v>16</v>
      </c>
      <c r="D301" t="s" s="8">
        <v>171</v>
      </c>
      <c r="E301" t="s" s="9">
        <v>171</v>
      </c>
      <c r="F301" t="s" s="10">
        <v>80</v>
      </c>
      <c r="G301" t="s" s="11">
        <v>73</v>
      </c>
      <c r="H301" t="s" s="10">
        <v>80</v>
      </c>
      <c r="I301" t="s" s="11">
        <v>73</v>
      </c>
      <c r="J301" t="s" s="11">
        <v>20</v>
      </c>
      <c r="K301" s="15"/>
      <c r="L301" t="s" s="16">
        <f>HYPERLINK("http://csr.bu.edu/ftp/asl/asllvd/demos/verify_start_end_handshape_annotations//test_auto_move//signs_mov_separ_signers/Liz_63.mov","MOV")</f>
        <v>21</v>
      </c>
      <c r="M301" t="s" s="10">
        <v>22</v>
      </c>
      <c r="N301" s="17">
        <v>9</v>
      </c>
      <c r="O301" s="18">
        <v>930</v>
      </c>
      <c r="P301" s="18">
        <v>965</v>
      </c>
      <c r="Q301" s="15"/>
      <c r="R301" t="s" s="16">
        <f>HYPERLINK("http://secrets.rutgers.edu:8080/data/asl-ftp/asllvd/demos/verify_start_end_handshape_annotations//test_auto_move//signs_mov_separ_signers/Liz_63.mov","MOV")</f>
        <v>21</v>
      </c>
    </row>
    <row r="302" s="2" customFormat="1" ht="13.5" customHeight="1">
      <c r="B302" s="13"/>
      <c r="C302" t="s" s="9">
        <v>16</v>
      </c>
      <c r="D302" t="s" s="8">
        <v>171</v>
      </c>
      <c r="E302" t="s" s="9">
        <v>172</v>
      </c>
      <c r="F302" t="s" s="10">
        <v>80</v>
      </c>
      <c r="G302" t="s" s="11">
        <v>73</v>
      </c>
      <c r="H302" t="s" s="10">
        <v>80</v>
      </c>
      <c r="I302" t="s" s="11">
        <v>73</v>
      </c>
      <c r="J302" t="s" s="11">
        <v>20</v>
      </c>
      <c r="K302" s="15"/>
      <c r="L302" t="s" s="16">
        <f>HYPERLINK("http://csr.bu.edu/ftp/asl/asllvd/demos/verify_start_end_handshape_annotations//test_auto_move//signs_mov_separ_signers/Liz_3571.mov","MOV")</f>
        <v>21</v>
      </c>
      <c r="M302" t="s" s="10">
        <v>22</v>
      </c>
      <c r="N302" s="17">
        <v>9</v>
      </c>
      <c r="O302" s="18">
        <v>1190</v>
      </c>
      <c r="P302" s="18">
        <v>1260</v>
      </c>
      <c r="Q302" s="15"/>
      <c r="R302" t="s" s="16">
        <f>HYPERLINK("http://secrets.rutgers.edu:8080/data/asl-ftp/asllvd/demos/verify_start_end_handshape_annotations//test_auto_move//signs_mov_separ_signers/Liz_3571.mov","MOV")</f>
        <v>21</v>
      </c>
    </row>
    <row r="303" s="2" customFormat="1" ht="13.5" customHeight="1">
      <c r="B303" s="13"/>
      <c r="C303" t="s" s="9">
        <v>23</v>
      </c>
      <c r="D303" t="s" s="8">
        <v>171</v>
      </c>
      <c r="E303" t="s" s="9">
        <v>171</v>
      </c>
      <c r="F303" t="s" s="10">
        <v>80</v>
      </c>
      <c r="G303" t="s" s="11">
        <v>73</v>
      </c>
      <c r="H303" t="s" s="10">
        <v>80</v>
      </c>
      <c r="I303" t="s" s="11">
        <v>73</v>
      </c>
      <c r="J303" t="s" s="11">
        <v>20</v>
      </c>
      <c r="K303" s="15"/>
      <c r="L303" t="s" s="16">
        <f>HYPERLINK("http://csr.bu.edu/ftp/asl/asllvd/demos/verify_start_end_handshape_annotations//test_auto_move//signs_mov_separ_signers/Tyler_63.mov","MOV")</f>
        <v>21</v>
      </c>
      <c r="M303" t="s" s="10">
        <v>26</v>
      </c>
      <c r="N303" s="17">
        <v>8</v>
      </c>
      <c r="O303" s="18">
        <v>785</v>
      </c>
      <c r="P303" s="18">
        <v>820</v>
      </c>
      <c r="Q303" s="15"/>
      <c r="R303" t="s" s="16">
        <f>HYPERLINK("http://secrets.rutgers.edu:8080/data/asl-ftp/asllvd/demos/verify_start_end_handshape_annotations//test_auto_move//signs_mov_separ_signers/Tyler_63.mov","MOV")</f>
        <v>21</v>
      </c>
    </row>
    <row r="304" s="2" customFormat="1" ht="13.5" customHeight="1">
      <c r="B304" s="13"/>
      <c r="C304" t="s" s="9">
        <v>23</v>
      </c>
      <c r="D304" t="s" s="8">
        <v>171</v>
      </c>
      <c r="E304" t="s" s="9">
        <v>173</v>
      </c>
      <c r="F304" t="s" s="10">
        <v>80</v>
      </c>
      <c r="G304" t="s" s="11">
        <v>73</v>
      </c>
      <c r="H304" t="s" s="10">
        <v>80</v>
      </c>
      <c r="I304" t="s" s="11">
        <v>73</v>
      </c>
      <c r="J304" t="s" s="11">
        <v>20</v>
      </c>
      <c r="K304" s="15"/>
      <c r="L304" t="s" s="16">
        <f>HYPERLINK("http://csr.bu.edu/ftp/asl/asllvd/demos/verify_start_end_handshape_annotations//test_auto_move//signs_mov_separ_signers/Tyler_3571.mov","MOV")</f>
        <v>21</v>
      </c>
      <c r="M304" t="s" s="10">
        <v>26</v>
      </c>
      <c r="N304" s="17">
        <v>8</v>
      </c>
      <c r="O304" s="18">
        <v>1060</v>
      </c>
      <c r="P304" s="18">
        <v>1091</v>
      </c>
      <c r="Q304" s="15"/>
      <c r="R304" t="s" s="16">
        <f>HYPERLINK("http://secrets.rutgers.edu:8080/data/asl-ftp/asllvd/demos/verify_start_end_handshape_annotations//test_auto_move//signs_mov_separ_signers/Tyler_3571.mov","MOV")</f>
        <v>21</v>
      </c>
    </row>
    <row r="305" s="2" customFormat="1" ht="13.5" customHeight="1">
      <c r="B305" s="13"/>
      <c r="C305" t="s" s="9">
        <v>27</v>
      </c>
      <c r="D305" t="s" s="8">
        <v>171</v>
      </c>
      <c r="E305" t="s" s="9">
        <v>171</v>
      </c>
      <c r="F305" t="s" s="10">
        <v>80</v>
      </c>
      <c r="G305" t="s" s="11">
        <v>73</v>
      </c>
      <c r="H305" t="s" s="10">
        <v>80</v>
      </c>
      <c r="I305" t="s" s="11">
        <v>73</v>
      </c>
      <c r="J305" t="s" s="11">
        <v>20</v>
      </c>
      <c r="K305" s="15"/>
      <c r="L305" t="s" s="16">
        <f>HYPERLINK("http://csr.bu.edu/ftp/asl/asllvd/demos/verify_start_end_handshape_annotations//test_auto_move//signs_mov_separ_signers/Naomi_63.mov","MOV")</f>
        <v>21</v>
      </c>
      <c r="M305" t="s" s="10">
        <v>29</v>
      </c>
      <c r="N305" s="17">
        <v>7</v>
      </c>
      <c r="O305" s="18">
        <v>963</v>
      </c>
      <c r="P305" s="18">
        <v>990</v>
      </c>
      <c r="Q305" s="15"/>
      <c r="R305" t="s" s="16">
        <f>HYPERLINK("http://secrets.rutgers.edu:8080/data/asl-ftp/asllvd/demos/verify_start_end_handshape_annotations//test_auto_move//signs_mov_separ_signers/Naomi_63.mov","MOV")</f>
        <v>21</v>
      </c>
    </row>
    <row r="306" s="2" customFormat="1" ht="13.5" customHeight="1">
      <c r="B306" s="13"/>
      <c r="C306" t="s" s="9">
        <v>27</v>
      </c>
      <c r="D306" t="s" s="8">
        <v>171</v>
      </c>
      <c r="E306" t="s" s="9">
        <v>172</v>
      </c>
      <c r="F306" t="s" s="10">
        <v>80</v>
      </c>
      <c r="G306" t="s" s="11">
        <v>73</v>
      </c>
      <c r="H306" t="s" s="10">
        <v>80</v>
      </c>
      <c r="I306" t="s" s="11">
        <v>73</v>
      </c>
      <c r="J306" t="s" s="11">
        <v>20</v>
      </c>
      <c r="K306" t="s" s="16">
        <f>HYPERLINK("http://csr.bu.edu/ftp/asl/asllvd/demos/verify_start_end_handshape_annotations//test_auto_move//signs_mov/63_3571_5041_merged.mov","MOV")</f>
        <v>21</v>
      </c>
      <c r="L306" t="s" s="16">
        <f>HYPERLINK("http://csr.bu.edu/ftp/asl/asllvd/demos/verify_start_end_handshape_annotations//test_auto_move//signs_mov_separ_signers/Naomi_3571.mov","MOV")</f>
        <v>21</v>
      </c>
      <c r="M306" t="s" s="10">
        <v>29</v>
      </c>
      <c r="N306" s="17">
        <v>7</v>
      </c>
      <c r="O306" s="18">
        <v>1190</v>
      </c>
      <c r="P306" s="18">
        <v>1250</v>
      </c>
      <c r="Q306" t="s" s="16">
        <f>HYPERLINK("http://secrets.rutgers.edu:8080/data/asl-ftp/asllvd/demos/verify_start_end_handshape_annotations//test_auto_move//signs_mov/63_3571_5041_merged.mov","MOV")</f>
        <v>21</v>
      </c>
      <c r="R306" t="s" s="16">
        <f>HYPERLINK("http://secrets.rutgers.edu:8080/data/asl-ftp/asllvd/demos/verify_start_end_handshape_annotations//test_auto_move//signs_mov_separ_signers/Naomi_3571.mov","MOV")</f>
        <v>21</v>
      </c>
    </row>
    <row r="307" s="2" customFormat="1" ht="13.5" customHeight="1">
      <c r="B307" s="13"/>
      <c r="C307" t="s" s="9">
        <v>30</v>
      </c>
      <c r="D307" t="s" s="8">
        <v>171</v>
      </c>
      <c r="E307" t="s" s="9">
        <v>171</v>
      </c>
      <c r="F307" t="s" s="10">
        <v>80</v>
      </c>
      <c r="G307" t="s" s="11">
        <v>73</v>
      </c>
      <c r="H307" t="s" s="10">
        <v>80</v>
      </c>
      <c r="I307" t="s" s="11">
        <v>73</v>
      </c>
      <c r="J307" t="s" s="11">
        <v>20</v>
      </c>
      <c r="K307" s="15"/>
      <c r="L307" t="s" s="16">
        <f>HYPERLINK("http://csr.bu.edu/ftp/asl/asllvd/demos/verify_start_end_handshape_annotations//test_auto_move//signs_mov_separ_signers/Brady_63.mov","MOV")</f>
        <v>21</v>
      </c>
      <c r="M307" t="s" s="10">
        <v>31</v>
      </c>
      <c r="N307" s="17">
        <v>9</v>
      </c>
      <c r="O307" s="18">
        <v>7979</v>
      </c>
      <c r="P307" s="18">
        <v>7999</v>
      </c>
      <c r="Q307" s="15"/>
      <c r="R307" t="s" s="16">
        <f>HYPERLINK("http://secrets.rutgers.edu:8080/data/asl-ftp/asllvd/demos/verify_start_end_handshape_annotations//test_auto_move//signs_mov_separ_signers/Brady_63.mov","MOV")</f>
        <v>21</v>
      </c>
    </row>
    <row r="308" s="2" customFormat="1" ht="13.5" customHeight="1">
      <c r="B308" s="13"/>
      <c r="C308" t="s" s="9">
        <v>30</v>
      </c>
      <c r="D308" t="s" s="8">
        <v>171</v>
      </c>
      <c r="E308" t="s" s="9">
        <v>174</v>
      </c>
      <c r="F308" t="s" s="10">
        <v>85</v>
      </c>
      <c r="G308" t="s" s="11">
        <v>73</v>
      </c>
      <c r="H308" t="s" s="10">
        <v>85</v>
      </c>
      <c r="I308" t="s" s="11">
        <v>73</v>
      </c>
      <c r="J308" t="s" s="11">
        <v>20</v>
      </c>
      <c r="K308" s="15"/>
      <c r="L308" t="s" s="16">
        <f>HYPERLINK("http://csr.bu.edu/ftp/asl/asllvd/demos/verify_start_end_handshape_annotations//test_auto_move//signs_mov_separ_signers/Brady_3571.mov","MOV")</f>
        <v>21</v>
      </c>
      <c r="M308" t="s" s="10">
        <v>39</v>
      </c>
      <c r="N308" s="17">
        <v>2</v>
      </c>
      <c r="O308" s="18">
        <v>1265</v>
      </c>
      <c r="P308" s="18">
        <v>1341</v>
      </c>
      <c r="Q308" s="15"/>
      <c r="R308" t="s" s="16">
        <f>HYPERLINK("http://secrets.rutgers.edu:8080/data/asl-ftp/asllvd/demos/verify_start_end_handshape_annotations//test_auto_move//signs_mov_separ_signers/Brady_3571.mov","MOV")</f>
        <v>21</v>
      </c>
    </row>
    <row r="309" s="2" customFormat="1" ht="13.5" customHeight="1">
      <c r="B309" s="13"/>
      <c r="C309" t="s" s="9">
        <v>30</v>
      </c>
      <c r="D309" t="s" s="8">
        <v>171</v>
      </c>
      <c r="E309" t="s" s="9">
        <v>171</v>
      </c>
      <c r="F309" t="s" s="10">
        <v>80</v>
      </c>
      <c r="G309" t="s" s="11">
        <v>73</v>
      </c>
      <c r="H309" t="s" s="10">
        <v>80</v>
      </c>
      <c r="I309" t="s" s="11">
        <v>73</v>
      </c>
      <c r="J309" t="s" s="11">
        <v>20</v>
      </c>
      <c r="K309" s="15"/>
      <c r="L309" t="s" s="16">
        <f>HYPERLINK("http://csr.bu.edu/ftp/asl/asllvd/demos/verify_start_end_handshape_annotations//test_auto_move//signs_mov_separ_signers/Brady_5041.mov","MOV")</f>
        <v>21</v>
      </c>
      <c r="M309" t="s" s="10">
        <v>40</v>
      </c>
      <c r="N309" s="17">
        <v>116</v>
      </c>
      <c r="O309" s="18">
        <v>1860</v>
      </c>
      <c r="P309" s="18">
        <v>1873</v>
      </c>
      <c r="Q309" s="15"/>
      <c r="R309" t="s" s="16">
        <f>HYPERLINK("http://secrets.rutgers.edu:8080/data/asl-ftp/asllvd/demos/verify_start_end_handshape_annotations//test_auto_move//signs_mov_separ_signers/Brady_5041.mov","MOV")</f>
        <v>21</v>
      </c>
    </row>
    <row r="310" s="2" customFormat="1" ht="13.5" customHeight="1">
      <c r="B310" s="13"/>
      <c r="C310" t="s" s="9">
        <v>41</v>
      </c>
      <c r="D310" t="s" s="8">
        <v>171</v>
      </c>
      <c r="E310" t="s" s="9">
        <v>171</v>
      </c>
      <c r="F310" t="s" s="10">
        <v>80</v>
      </c>
      <c r="G310" t="s" s="11">
        <v>73</v>
      </c>
      <c r="H310" t="s" s="10">
        <v>80</v>
      </c>
      <c r="I310" t="s" s="11">
        <v>73</v>
      </c>
      <c r="J310" t="s" s="11">
        <v>20</v>
      </c>
      <c r="K310" s="15"/>
      <c r="L310" t="s" s="16">
        <f>HYPERLINK("http://csr.bu.edu/ftp/asl/asllvd/demos/verify_start_end_handshape_annotations//test_auto_move//signs_mov_separ_signers/Lana_63.mov","MOV")</f>
        <v>21</v>
      </c>
      <c r="M310" t="s" s="10">
        <v>42</v>
      </c>
      <c r="N310" s="17">
        <v>2</v>
      </c>
      <c r="O310" s="18">
        <v>1507</v>
      </c>
      <c r="P310" s="18">
        <v>1524</v>
      </c>
      <c r="Q310" s="15"/>
      <c r="R310" t="s" s="16">
        <f>HYPERLINK("http://secrets.rutgers.edu:8080/data/asl-ftp/asllvd/demos/verify_start_end_handshape_annotations//test_auto_move//signs_mov_separ_signers/Lana_63.mov","MOV")</f>
        <v>21</v>
      </c>
    </row>
    <row r="311" s="2" customFormat="1" ht="13.5" customHeight="1">
      <c r="B311" s="13"/>
      <c r="C311" t="s" s="9">
        <v>43</v>
      </c>
      <c r="D311" t="s" s="8">
        <v>171</v>
      </c>
      <c r="E311" t="s" s="9">
        <v>171</v>
      </c>
      <c r="F311" t="s" s="10">
        <v>80</v>
      </c>
      <c r="G311" t="s" s="11">
        <v>73</v>
      </c>
      <c r="H311" t="s" s="10">
        <v>80</v>
      </c>
      <c r="I311" t="s" s="11">
        <v>73</v>
      </c>
      <c r="J311" t="s" s="11">
        <v>20</v>
      </c>
      <c r="K311" s="15"/>
      <c r="L311" t="s" s="16">
        <f>HYPERLINK("http://csr.bu.edu/ftp/asl/asllvd/demos/verify_start_end_handshape_annotations//test_auto_move//signs_mov_separ_signers/Dana_63.mov","MOV")</f>
        <v>21</v>
      </c>
      <c r="M311" t="s" s="10">
        <v>44</v>
      </c>
      <c r="N311" s="17">
        <v>5</v>
      </c>
      <c r="O311" s="18">
        <v>1806</v>
      </c>
      <c r="P311" s="18">
        <v>1836</v>
      </c>
      <c r="Q311" s="15"/>
      <c r="R311" t="s" s="16">
        <f>HYPERLINK("http://secrets.rutgers.edu:8080/data/asl-ftp/asllvd/demos/verify_start_end_handshape_annotations//test_auto_move//signs_mov_separ_signers/Dana_63.mov","MOV")</f>
        <v>21</v>
      </c>
    </row>
    <row r="312" s="2" customFormat="1" ht="13.5" customHeight="1">
      <c r="B312" t="s" s="8">
        <v>175</v>
      </c>
      <c r="C312" t="s" s="9">
        <v>14</v>
      </c>
      <c r="D312" t="s" s="8">
        <v>14</v>
      </c>
      <c r="E312" t="s" s="9">
        <v>14</v>
      </c>
      <c r="F312" t="s" s="10">
        <v>14</v>
      </c>
      <c r="G312" t="s" s="11">
        <v>14</v>
      </c>
      <c r="H312" t="s" s="10">
        <v>14</v>
      </c>
      <c r="I312" t="s" s="11">
        <v>14</v>
      </c>
      <c r="J312" t="s" s="11">
        <v>14</v>
      </c>
      <c r="K312" t="s" s="12">
        <v>14</v>
      </c>
      <c r="L312" t="s" s="12">
        <v>14</v>
      </c>
      <c r="M312" t="s" s="10">
        <v>14</v>
      </c>
      <c r="N312" t="s" s="11">
        <v>14</v>
      </c>
      <c r="O312" t="s" s="8">
        <v>14</v>
      </c>
      <c r="P312" t="s" s="8">
        <v>14</v>
      </c>
      <c r="Q312" t="s" s="12">
        <v>14</v>
      </c>
      <c r="R312" t="s" s="12">
        <v>14</v>
      </c>
    </row>
    <row r="313" s="2" customFormat="1" ht="13.5" customHeight="1">
      <c r="B313" s="13"/>
      <c r="C313" t="s" s="9">
        <v>30</v>
      </c>
      <c r="D313" t="s" s="8">
        <v>175</v>
      </c>
      <c r="E313" t="s" s="9">
        <v>176</v>
      </c>
      <c r="F313" t="s" s="10">
        <v>80</v>
      </c>
      <c r="G313" t="s" s="11">
        <v>73</v>
      </c>
      <c r="H313" t="s" s="10">
        <v>80</v>
      </c>
      <c r="I313" t="s" s="11">
        <v>73</v>
      </c>
      <c r="J313" t="s" s="11">
        <v>20</v>
      </c>
      <c r="K313" s="15"/>
      <c r="L313" t="s" s="16">
        <f>HYPERLINK("http://csr.bu.edu/ftp/asl/asllvd/demos/verify_start_end_handshape_annotations//test_auto_move//signs_mov_separ_signers/Brady_16082.mov","MOV")</f>
        <v>21</v>
      </c>
      <c r="M313" t="s" s="10">
        <v>31</v>
      </c>
      <c r="N313" s="17">
        <v>21</v>
      </c>
      <c r="O313" s="18">
        <v>4357</v>
      </c>
      <c r="P313" s="18">
        <v>4388</v>
      </c>
      <c r="Q313" s="15"/>
      <c r="R313" t="s" s="16">
        <f>HYPERLINK("http://secrets.rutgers.edu:8080/data/asl-ftp/asllvd/demos/verify_start_end_handshape_annotations//test_auto_move//signs_mov_separ_signers/Brady_16082.mov","MOV")</f>
        <v>21</v>
      </c>
    </row>
    <row r="314" s="2" customFormat="1" ht="13.5" customHeight="1">
      <c r="B314" s="13"/>
      <c r="C314" t="s" s="9">
        <v>30</v>
      </c>
      <c r="D314" t="s" s="8">
        <v>175</v>
      </c>
      <c r="E314" t="s" s="9">
        <v>175</v>
      </c>
      <c r="F314" t="s" s="10">
        <v>73</v>
      </c>
      <c r="G314" t="s" s="11">
        <v>73</v>
      </c>
      <c r="H314" t="s" s="10">
        <v>73</v>
      </c>
      <c r="I314" t="s" s="11">
        <v>73</v>
      </c>
      <c r="J314" t="s" s="11">
        <v>20</v>
      </c>
      <c r="K314" t="s" s="16">
        <f>HYPERLINK("http://csr.bu.edu/ftp/asl/asllvd/demos/verify_start_end_handshape_annotations//test_auto_move//signs_mov/16082_16083_merged.mov","MOV")</f>
        <v>21</v>
      </c>
      <c r="L314" t="s" s="16">
        <f>HYPERLINK("http://csr.bu.edu/ftp/asl/asllvd/demos/verify_start_end_handshape_annotations//test_auto_move//signs_mov_separ_signers/Brady_16083.mov","MOV")</f>
        <v>21</v>
      </c>
      <c r="M314" t="s" s="10">
        <v>40</v>
      </c>
      <c r="N314" s="17">
        <v>18</v>
      </c>
      <c r="O314" s="18">
        <v>2364</v>
      </c>
      <c r="P314" s="18">
        <v>2384</v>
      </c>
      <c r="Q314" t="s" s="16">
        <f>HYPERLINK("http://secrets.rutgers.edu:8080/data/asl-ftp/asllvd/demos/verify_start_end_handshape_annotations//test_auto_move//signs_mov/16082_16083_merged.mov","MOV")</f>
        <v>21</v>
      </c>
      <c r="R314" t="s" s="16">
        <f>HYPERLINK("http://secrets.rutgers.edu:8080/data/asl-ftp/asllvd/demos/verify_start_end_handshape_annotations//test_auto_move//signs_mov_separ_signers/Brady_16083.mov","MOV")</f>
        <v>21</v>
      </c>
    </row>
    <row r="315" s="2" customFormat="1" ht="13.5" customHeight="1">
      <c r="B315" s="13"/>
      <c r="C315" t="s" s="9">
        <v>43</v>
      </c>
      <c r="D315" t="s" s="8">
        <v>175</v>
      </c>
      <c r="E315" t="s" s="9">
        <v>177</v>
      </c>
      <c r="F315" t="s" s="10">
        <v>80</v>
      </c>
      <c r="G315" t="s" s="11">
        <v>73</v>
      </c>
      <c r="H315" t="s" s="10">
        <v>80</v>
      </c>
      <c r="I315" t="s" s="11">
        <v>73</v>
      </c>
      <c r="J315" t="s" s="11">
        <v>20</v>
      </c>
      <c r="K315" s="15"/>
      <c r="L315" t="s" s="16">
        <f>HYPERLINK("http://csr.bu.edu/ftp/asl/asllvd/demos/verify_start_end_handshape_annotations//test_auto_move//signs_mov_separ_signers/Dana_16082.mov","MOV")</f>
        <v>21</v>
      </c>
      <c r="M315" t="s" s="10">
        <v>44</v>
      </c>
      <c r="N315" s="17">
        <v>15</v>
      </c>
      <c r="O315" s="18">
        <v>1457</v>
      </c>
      <c r="P315" s="18">
        <v>1527</v>
      </c>
      <c r="Q315" s="15"/>
      <c r="R315" t="s" s="16">
        <f>HYPERLINK("http://secrets.rutgers.edu:8080/data/asl-ftp/asllvd/demos/verify_start_end_handshape_annotations//test_auto_move//signs_mov_separ_signers/Dana_16082.mov","MOV")</f>
        <v>21</v>
      </c>
    </row>
    <row r="316" s="2" customFormat="1" ht="13.5" customHeight="1">
      <c r="B316" t="s" s="8">
        <v>178</v>
      </c>
      <c r="C316" t="s" s="9">
        <v>14</v>
      </c>
      <c r="D316" t="s" s="8">
        <v>14</v>
      </c>
      <c r="E316" t="s" s="9">
        <v>14</v>
      </c>
      <c r="F316" t="s" s="10">
        <v>14</v>
      </c>
      <c r="G316" t="s" s="11">
        <v>14</v>
      </c>
      <c r="H316" t="s" s="10">
        <v>14</v>
      </c>
      <c r="I316" t="s" s="11">
        <v>14</v>
      </c>
      <c r="J316" t="s" s="11">
        <v>14</v>
      </c>
      <c r="K316" t="s" s="12">
        <v>14</v>
      </c>
      <c r="L316" t="s" s="12">
        <v>14</v>
      </c>
      <c r="M316" t="s" s="10">
        <v>14</v>
      </c>
      <c r="N316" t="s" s="11">
        <v>14</v>
      </c>
      <c r="O316" t="s" s="8">
        <v>14</v>
      </c>
      <c r="P316" t="s" s="8">
        <v>14</v>
      </c>
      <c r="Q316" t="s" s="12">
        <v>14</v>
      </c>
      <c r="R316" t="s" s="12">
        <v>14</v>
      </c>
    </row>
    <row r="317" s="2" customFormat="1" ht="13.5" customHeight="1">
      <c r="B317" s="13"/>
      <c r="C317" t="s" s="9">
        <v>16</v>
      </c>
      <c r="D317" t="s" s="8">
        <v>178</v>
      </c>
      <c r="E317" t="s" s="9">
        <v>178</v>
      </c>
      <c r="F317" t="s" s="10">
        <v>80</v>
      </c>
      <c r="G317" t="s" s="11">
        <v>73</v>
      </c>
      <c r="H317" t="s" s="10">
        <v>80</v>
      </c>
      <c r="I317" t="s" s="11">
        <v>73</v>
      </c>
      <c r="J317" t="s" s="11">
        <v>20</v>
      </c>
      <c r="K317" t="s" s="16">
        <f>HYPERLINK("http://csr.bu.edu/ftp/asl/asllvd/demos/verify_start_end_handshape_annotations//test_auto_move//signs_mov/16090.mov","MOV")</f>
        <v>21</v>
      </c>
      <c r="L317" t="s" s="16">
        <f>HYPERLINK("http://csr.bu.edu/ftp/asl/asllvd/demos/verify_start_end_handshape_annotations//test_auto_move//signs_mov_separ_signers/Liz_16090.mov","MOV")</f>
        <v>21</v>
      </c>
      <c r="M317" t="s" s="10">
        <v>59</v>
      </c>
      <c r="N317" s="17">
        <v>15</v>
      </c>
      <c r="O317" s="18">
        <v>1760</v>
      </c>
      <c r="P317" s="18">
        <v>1780</v>
      </c>
      <c r="Q317" t="s" s="16">
        <f>HYPERLINK("http://secrets.rutgers.edu:8080/data/asl-ftp/asllvd/demos/verify_start_end_handshape_annotations//test_auto_move//signs_mov/16090.mov","MOV")</f>
        <v>21</v>
      </c>
      <c r="R317" t="s" s="16">
        <f>HYPERLINK("http://secrets.rutgers.edu:8080/data/asl-ftp/asllvd/demos/verify_start_end_handshape_annotations//test_auto_move//signs_mov_separ_signers/Liz_16090.mov","MOV")</f>
        <v>21</v>
      </c>
    </row>
    <row r="318" s="2" customFormat="1" ht="13.5" customHeight="1">
      <c r="B318" t="s" s="8">
        <v>179</v>
      </c>
      <c r="C318" t="s" s="9">
        <v>14</v>
      </c>
      <c r="D318" t="s" s="8">
        <v>14</v>
      </c>
      <c r="E318" t="s" s="9">
        <v>14</v>
      </c>
      <c r="F318" t="s" s="10">
        <v>14</v>
      </c>
      <c r="G318" t="s" s="11">
        <v>14</v>
      </c>
      <c r="H318" t="s" s="10">
        <v>14</v>
      </c>
      <c r="I318" t="s" s="11">
        <v>14</v>
      </c>
      <c r="J318" t="s" s="11">
        <v>14</v>
      </c>
      <c r="K318" t="s" s="12">
        <v>14</v>
      </c>
      <c r="L318" t="s" s="12">
        <v>14</v>
      </c>
      <c r="M318" t="s" s="10">
        <v>14</v>
      </c>
      <c r="N318" t="s" s="11">
        <v>14</v>
      </c>
      <c r="O318" t="s" s="8">
        <v>14</v>
      </c>
      <c r="P318" t="s" s="8">
        <v>14</v>
      </c>
      <c r="Q318" t="s" s="12">
        <v>14</v>
      </c>
      <c r="R318" t="s" s="12">
        <v>14</v>
      </c>
    </row>
    <row r="319" s="2" customFormat="1" ht="13.5" customHeight="1">
      <c r="B319" s="13"/>
      <c r="C319" t="s" s="9">
        <v>16</v>
      </c>
      <c r="D319" t="s" s="8">
        <v>179</v>
      </c>
      <c r="E319" t="s" s="9">
        <v>179</v>
      </c>
      <c r="F319" t="s" s="10">
        <v>80</v>
      </c>
      <c r="G319" t="s" s="11">
        <v>73</v>
      </c>
      <c r="H319" t="s" s="10">
        <v>80</v>
      </c>
      <c r="I319" t="s" s="11">
        <v>73</v>
      </c>
      <c r="J319" t="s" s="11">
        <v>20</v>
      </c>
      <c r="K319" s="15"/>
      <c r="L319" t="s" s="16">
        <f>HYPERLINK("http://csr.bu.edu/ftp/asl/asllvd/demos/verify_start_end_handshape_annotations//test_auto_move//signs_mov_separ_signers/Liz_16099.mov","MOV")</f>
        <v>21</v>
      </c>
      <c r="M319" t="s" s="10">
        <v>88</v>
      </c>
      <c r="N319" s="17">
        <v>5</v>
      </c>
      <c r="O319" s="18">
        <v>1287</v>
      </c>
      <c r="P319" s="18">
        <v>1330</v>
      </c>
      <c r="Q319" s="15"/>
      <c r="R319" t="s" s="16">
        <f>HYPERLINK("http://secrets.rutgers.edu:8080/data/asl-ftp/asllvd/demos/verify_start_end_handshape_annotations//test_auto_move//signs_mov_separ_signers/Liz_16099.mov","MOV")</f>
        <v>21</v>
      </c>
    </row>
    <row r="320" s="2" customFormat="1" ht="13.5" customHeight="1">
      <c r="B320" s="13"/>
      <c r="C320" t="s" s="9">
        <v>16</v>
      </c>
      <c r="D320" t="s" s="8">
        <v>179</v>
      </c>
      <c r="E320" t="s" s="9">
        <v>179</v>
      </c>
      <c r="F320" t="s" s="10">
        <v>80</v>
      </c>
      <c r="G320" t="s" s="11">
        <v>73</v>
      </c>
      <c r="H320" t="s" s="10">
        <v>80</v>
      </c>
      <c r="I320" t="s" s="11">
        <v>73</v>
      </c>
      <c r="J320" t="s" s="11">
        <v>20</v>
      </c>
      <c r="K320" t="s" s="16">
        <f>HYPERLINK("http://csr.bu.edu/ftp/asl/asllvd/demos/verify_start_end_handshape_annotations//test_auto_move//signs_mov/16099_16100_merged.mov","MOV")</f>
        <v>21</v>
      </c>
      <c r="L320" t="s" s="16">
        <f>HYPERLINK("http://csr.bu.edu/ftp/asl/asllvd/demos/verify_start_end_handshape_annotations//test_auto_move//signs_mov_separ_signers/Liz_16100.mov","MOV")</f>
        <v>21</v>
      </c>
      <c r="M320" t="s" s="10">
        <v>88</v>
      </c>
      <c r="N320" s="17">
        <v>23</v>
      </c>
      <c r="O320" s="18">
        <v>1365</v>
      </c>
      <c r="P320" s="18">
        <v>1410</v>
      </c>
      <c r="Q320" t="s" s="16">
        <f>HYPERLINK("http://secrets.rutgers.edu:8080/data/asl-ftp/asllvd/demos/verify_start_end_handshape_annotations//test_auto_move//signs_mov/16099_16100_merged.mov","MOV")</f>
        <v>21</v>
      </c>
      <c r="R320" t="s" s="16">
        <f>HYPERLINK("http://secrets.rutgers.edu:8080/data/asl-ftp/asllvd/demos/verify_start_end_handshape_annotations//test_auto_move//signs_mov_separ_signers/Liz_16100.mov","MOV")</f>
        <v>21</v>
      </c>
    </row>
    <row r="321" s="2" customFormat="1" ht="13.5" customHeight="1">
      <c r="B321" s="13"/>
      <c r="C321" t="s" s="9">
        <v>41</v>
      </c>
      <c r="D321" t="s" s="8">
        <v>179</v>
      </c>
      <c r="E321" t="s" s="9">
        <v>179</v>
      </c>
      <c r="F321" t="s" s="10">
        <v>80</v>
      </c>
      <c r="G321" t="s" s="11">
        <v>73</v>
      </c>
      <c r="H321" t="s" s="10">
        <v>80</v>
      </c>
      <c r="I321" t="s" s="11">
        <v>73</v>
      </c>
      <c r="J321" t="s" s="11">
        <v>20</v>
      </c>
      <c r="K321" s="15"/>
      <c r="L321" t="s" s="16">
        <f>HYPERLINK("http://csr.bu.edu/ftp/asl/asllvd/demos/verify_start_end_handshape_annotations//test_auto_move//signs_mov_separ_signers/Lana_16099.mov","MOV")</f>
        <v>21</v>
      </c>
      <c r="M321" t="s" s="10">
        <v>42</v>
      </c>
      <c r="N321" s="17">
        <v>19</v>
      </c>
      <c r="O321" s="18">
        <v>2687</v>
      </c>
      <c r="P321" s="18">
        <v>2709</v>
      </c>
      <c r="Q321" s="15"/>
      <c r="R321" t="s" s="16">
        <f>HYPERLINK("http://secrets.rutgers.edu:8080/data/asl-ftp/asllvd/demos/verify_start_end_handshape_annotations//test_auto_move//signs_mov_separ_signers/Lana_16099.mov","MOV")</f>
        <v>21</v>
      </c>
    </row>
    <row r="322" s="2" customFormat="1" ht="13.5" customHeight="1">
      <c r="B322" s="13"/>
      <c r="C322" t="s" s="9">
        <v>43</v>
      </c>
      <c r="D322" t="s" s="8">
        <v>179</v>
      </c>
      <c r="E322" t="s" s="9">
        <v>179</v>
      </c>
      <c r="F322" t="s" s="10">
        <v>80</v>
      </c>
      <c r="G322" t="s" s="11">
        <v>73</v>
      </c>
      <c r="H322" t="s" s="10">
        <v>80</v>
      </c>
      <c r="I322" t="s" s="11">
        <v>73</v>
      </c>
      <c r="J322" t="s" s="11">
        <v>20</v>
      </c>
      <c r="K322" s="15"/>
      <c r="L322" t="s" s="16">
        <f>HYPERLINK("http://csr.bu.edu/ftp/asl/asllvd/demos/verify_start_end_handshape_annotations//test_auto_move//signs_mov_separ_signers/Dana_16099.mov","MOV")</f>
        <v>21</v>
      </c>
      <c r="M322" t="s" s="10">
        <v>44</v>
      </c>
      <c r="N322" s="17">
        <v>21</v>
      </c>
      <c r="O322" s="18">
        <v>2621</v>
      </c>
      <c r="P322" s="18">
        <v>2656</v>
      </c>
      <c r="Q322" s="15"/>
      <c r="R322" t="s" s="16">
        <f>HYPERLINK("http://secrets.rutgers.edu:8080/data/asl-ftp/asllvd/demos/verify_start_end_handshape_annotations//test_auto_move//signs_mov_separ_signers/Dana_16099.mov","MOV")</f>
        <v>21</v>
      </c>
    </row>
    <row r="323" s="2" customFormat="1" ht="13.5" customHeight="1">
      <c r="B323" t="s" s="8">
        <v>180</v>
      </c>
      <c r="C323" t="s" s="9">
        <v>14</v>
      </c>
      <c r="D323" t="s" s="8">
        <v>14</v>
      </c>
      <c r="E323" t="s" s="9">
        <v>14</v>
      </c>
      <c r="F323" t="s" s="10">
        <v>14</v>
      </c>
      <c r="G323" t="s" s="11">
        <v>14</v>
      </c>
      <c r="H323" t="s" s="10">
        <v>14</v>
      </c>
      <c r="I323" t="s" s="11">
        <v>14</v>
      </c>
      <c r="J323" t="s" s="11">
        <v>14</v>
      </c>
      <c r="K323" t="s" s="12">
        <v>14</v>
      </c>
      <c r="L323" t="s" s="12">
        <v>14</v>
      </c>
      <c r="M323" t="s" s="10">
        <v>14</v>
      </c>
      <c r="N323" t="s" s="11">
        <v>14</v>
      </c>
      <c r="O323" t="s" s="8">
        <v>14</v>
      </c>
      <c r="P323" t="s" s="8">
        <v>14</v>
      </c>
      <c r="Q323" t="s" s="12">
        <v>14</v>
      </c>
      <c r="R323" t="s" s="12">
        <v>14</v>
      </c>
    </row>
    <row r="324" s="2" customFormat="1" ht="13.5" customHeight="1">
      <c r="B324" s="13"/>
      <c r="C324" t="s" s="9">
        <v>16</v>
      </c>
      <c r="D324" t="s" s="8">
        <v>180</v>
      </c>
      <c r="E324" t="s" s="9">
        <v>180</v>
      </c>
      <c r="F324" t="s" s="10">
        <v>80</v>
      </c>
      <c r="G324" t="s" s="11">
        <v>73</v>
      </c>
      <c r="H324" t="s" s="10">
        <v>80</v>
      </c>
      <c r="I324" t="s" s="11">
        <v>73</v>
      </c>
      <c r="J324" t="s" s="11">
        <v>20</v>
      </c>
      <c r="K324" t="s" s="16">
        <f>HYPERLINK("http://csr.bu.edu/ftp/asl/asllvd/demos/verify_start_end_handshape_annotations//test_auto_move//signs_mov/16101.mov","MOV")</f>
        <v>21</v>
      </c>
      <c r="L324" t="s" s="16">
        <f>HYPERLINK("http://csr.bu.edu/ftp/asl/asllvd/demos/verify_start_end_handshape_annotations//test_auto_move//signs_mov_separ_signers/Liz_16101.mov","MOV")</f>
        <v>21</v>
      </c>
      <c r="M324" t="s" s="10">
        <v>22</v>
      </c>
      <c r="N324" s="17">
        <v>42</v>
      </c>
      <c r="O324" s="18">
        <v>1405</v>
      </c>
      <c r="P324" s="18">
        <v>1435</v>
      </c>
      <c r="Q324" t="s" s="16">
        <f>HYPERLINK("http://secrets.rutgers.edu:8080/data/asl-ftp/asllvd/demos/verify_start_end_handshape_annotations//test_auto_move//signs_mov/16101.mov","MOV")</f>
        <v>21</v>
      </c>
      <c r="R324" t="s" s="16">
        <f>HYPERLINK("http://secrets.rutgers.edu:8080/data/asl-ftp/asllvd/demos/verify_start_end_handshape_annotations//test_auto_move//signs_mov_separ_signers/Liz_16101.mov","MOV")</f>
        <v>21</v>
      </c>
    </row>
    <row r="325" s="2" customFormat="1" ht="13.5" customHeight="1">
      <c r="B325" s="13"/>
      <c r="C325" t="s" s="9">
        <v>30</v>
      </c>
      <c r="D325" t="s" s="8">
        <v>180</v>
      </c>
      <c r="E325" t="s" s="9">
        <v>180</v>
      </c>
      <c r="F325" t="s" s="10">
        <v>80</v>
      </c>
      <c r="G325" t="s" s="11">
        <v>73</v>
      </c>
      <c r="H325" t="s" s="10">
        <v>80</v>
      </c>
      <c r="I325" t="s" s="11">
        <v>73</v>
      </c>
      <c r="J325" t="s" s="11">
        <v>20</v>
      </c>
      <c r="K325" s="15"/>
      <c r="L325" t="s" s="16">
        <f>HYPERLINK("http://csr.bu.edu/ftp/asl/asllvd/demos/verify_start_end_handshape_annotations//test_auto_move//signs_mov_separ_signers/Brady_16101.mov","MOV")</f>
        <v>21</v>
      </c>
      <c r="M325" t="s" s="10">
        <v>40</v>
      </c>
      <c r="N325" s="17">
        <v>2</v>
      </c>
      <c r="O325" s="18">
        <v>2448</v>
      </c>
      <c r="P325" s="18">
        <v>2485</v>
      </c>
      <c r="Q325" s="15"/>
      <c r="R325" t="s" s="16">
        <f>HYPERLINK("http://secrets.rutgers.edu:8080/data/asl-ftp/asllvd/demos/verify_start_end_handshape_annotations//test_auto_move//signs_mov_separ_signers/Brady_16101.mov","MOV")</f>
        <v>21</v>
      </c>
    </row>
    <row r="326" s="2" customFormat="1" ht="13.5" customHeight="1">
      <c r="B326" t="s" s="8">
        <v>52</v>
      </c>
      <c r="C326" t="s" s="9">
        <v>53</v>
      </c>
      <c r="D326" t="s" s="8">
        <v>53</v>
      </c>
      <c r="E326" t="s" s="9">
        <v>53</v>
      </c>
      <c r="F326" t="s" s="10">
        <v>53</v>
      </c>
      <c r="G326" t="s" s="11">
        <v>53</v>
      </c>
      <c r="H326" t="s" s="10">
        <v>53</v>
      </c>
      <c r="I326" t="s" s="11">
        <v>53</v>
      </c>
      <c r="J326" t="s" s="11">
        <v>53</v>
      </c>
      <c r="K326" t="s" s="12">
        <v>53</v>
      </c>
      <c r="L326" t="s" s="12">
        <v>53</v>
      </c>
      <c r="M326" t="s" s="10">
        <v>53</v>
      </c>
      <c r="N326" t="s" s="11">
        <v>53</v>
      </c>
      <c r="O326" t="s" s="8">
        <v>53</v>
      </c>
      <c r="P326" t="s" s="8">
        <v>53</v>
      </c>
      <c r="Q326" t="s" s="12">
        <v>53</v>
      </c>
      <c r="R326" t="s" s="12">
        <v>53</v>
      </c>
    </row>
    <row r="327" s="2" customFormat="1" ht="13.5" customHeight="1">
      <c r="B327" s="13"/>
      <c r="C327" t="s" s="9">
        <v>23</v>
      </c>
      <c r="D327" t="s" s="8">
        <v>180</v>
      </c>
      <c r="E327" t="s" s="9">
        <v>181</v>
      </c>
      <c r="F327" t="s" s="10">
        <v>80</v>
      </c>
      <c r="G327" t="s" s="11">
        <v>73</v>
      </c>
      <c r="H327" t="s" s="10">
        <v>80</v>
      </c>
      <c r="I327" t="s" s="11">
        <v>73</v>
      </c>
      <c r="J327" t="s" s="11">
        <v>20</v>
      </c>
      <c r="K327" t="s" s="16">
        <f>HYPERLINK("http://csr.bu.edu/ftp/asl/asllvd/demos/verify_start_end_handshape_annotations//test_auto_move//signs_mov/16102_16198_merged.mov","MOV")</f>
        <v>21</v>
      </c>
      <c r="L327" t="s" s="16">
        <f>HYPERLINK("http://csr.bu.edu/ftp/asl/asllvd/demos/verify_start_end_handshape_annotations//test_auto_move//signs_mov_separ_signers/Tyler_16102.mov","MOV")</f>
        <v>21</v>
      </c>
      <c r="M327" t="s" s="10">
        <v>26</v>
      </c>
      <c r="N327" s="17">
        <v>27</v>
      </c>
      <c r="O327" s="18">
        <v>657</v>
      </c>
      <c r="P327" s="18">
        <v>710</v>
      </c>
      <c r="Q327" t="s" s="16">
        <f>HYPERLINK("http://secrets.rutgers.edu:8080/data/asl-ftp/asllvd/demos/verify_start_end_handshape_annotations//test_auto_move//signs_mov/16102_16198_merged.mov","MOV")</f>
        <v>21</v>
      </c>
      <c r="R327" t="s" s="16">
        <f>HYPERLINK("http://secrets.rutgers.edu:8080/data/asl-ftp/asllvd/demos/verify_start_end_handshape_annotations//test_auto_move//signs_mov_separ_signers/Tyler_16102.mov","MOV")</f>
        <v>21</v>
      </c>
    </row>
    <row r="328" s="2" customFormat="1" ht="13.5" customHeight="1">
      <c r="B328" s="13"/>
      <c r="C328" t="s" s="9">
        <v>23</v>
      </c>
      <c r="D328" t="s" s="8">
        <v>180</v>
      </c>
      <c r="E328" t="s" s="9">
        <v>182</v>
      </c>
      <c r="F328" t="s" s="10">
        <v>80</v>
      </c>
      <c r="G328" t="s" s="11">
        <v>73</v>
      </c>
      <c r="H328" t="s" s="10">
        <v>80</v>
      </c>
      <c r="I328" t="s" s="11">
        <v>73</v>
      </c>
      <c r="J328" t="s" s="11">
        <v>20</v>
      </c>
      <c r="K328" s="15"/>
      <c r="L328" t="s" s="16">
        <f>HYPERLINK("http://csr.bu.edu/ftp/asl/asllvd/demos/verify_start_end_handshape_annotations//test_auto_move//signs_mov_separ_signers/Tyler_16198.mov","MOV")</f>
        <v>21</v>
      </c>
      <c r="M328" t="s" s="10">
        <v>47</v>
      </c>
      <c r="N328" s="17">
        <v>15</v>
      </c>
      <c r="O328" s="18">
        <v>717</v>
      </c>
      <c r="P328" s="18">
        <v>746</v>
      </c>
      <c r="Q328" s="15"/>
      <c r="R328" t="s" s="16">
        <f>HYPERLINK("http://secrets.rutgers.edu:8080/data/asl-ftp/asllvd/demos/verify_start_end_handshape_annotations//test_auto_move//signs_mov_separ_signers/Tyler_16198.mov","MOV")</f>
        <v>21</v>
      </c>
    </row>
    <row r="329" s="2" customFormat="1" ht="13.5" customHeight="1">
      <c r="B329" t="s" s="8">
        <v>183</v>
      </c>
      <c r="C329" t="s" s="9">
        <v>14</v>
      </c>
      <c r="D329" t="s" s="8">
        <v>14</v>
      </c>
      <c r="E329" t="s" s="9">
        <v>14</v>
      </c>
      <c r="F329" t="s" s="10">
        <v>14</v>
      </c>
      <c r="G329" t="s" s="11">
        <v>14</v>
      </c>
      <c r="H329" t="s" s="10">
        <v>14</v>
      </c>
      <c r="I329" t="s" s="11">
        <v>14</v>
      </c>
      <c r="J329" t="s" s="11">
        <v>14</v>
      </c>
      <c r="K329" t="s" s="12">
        <v>14</v>
      </c>
      <c r="L329" t="s" s="12">
        <v>14</v>
      </c>
      <c r="M329" t="s" s="10">
        <v>14</v>
      </c>
      <c r="N329" t="s" s="11">
        <v>14</v>
      </c>
      <c r="O329" t="s" s="8">
        <v>14</v>
      </c>
      <c r="P329" t="s" s="8">
        <v>14</v>
      </c>
      <c r="Q329" t="s" s="12">
        <v>14</v>
      </c>
      <c r="R329" t="s" s="12">
        <v>14</v>
      </c>
    </row>
    <row r="330" s="2" customFormat="1" ht="13.5" customHeight="1">
      <c r="B330" s="13"/>
      <c r="C330" t="s" s="9">
        <v>16</v>
      </c>
      <c r="D330" t="s" s="8">
        <v>183</v>
      </c>
      <c r="E330" t="s" s="9">
        <v>184</v>
      </c>
      <c r="F330" t="s" s="10">
        <v>185</v>
      </c>
      <c r="G330" s="14"/>
      <c r="H330" t="s" s="10">
        <v>68</v>
      </c>
      <c r="I330" s="14"/>
      <c r="J330" t="s" s="11">
        <v>20</v>
      </c>
      <c r="K330" s="15"/>
      <c r="L330" t="s" s="16">
        <f>HYPERLINK("http://csr.bu.edu/ftp/asl/asllvd/demos/verify_start_end_handshape_annotations//test_auto_move//signs_mov_separ_signers/Liz_65.mov","MOV")</f>
        <v>21</v>
      </c>
      <c r="M330" t="s" s="10">
        <v>22</v>
      </c>
      <c r="N330" s="17">
        <v>9</v>
      </c>
      <c r="O330" s="18">
        <v>1463</v>
      </c>
      <c r="P330" s="18">
        <v>1505</v>
      </c>
      <c r="Q330" s="15"/>
      <c r="R330" t="s" s="16">
        <f>HYPERLINK("http://secrets.rutgers.edu:8080/data/asl-ftp/asllvd/demos/verify_start_end_handshape_annotations//test_auto_move//signs_mov_separ_signers/Liz_65.mov","MOV")</f>
        <v>21</v>
      </c>
    </row>
    <row r="331" s="2" customFormat="1" ht="13.5" customHeight="1">
      <c r="B331" s="13"/>
      <c r="C331" t="s" s="9">
        <v>23</v>
      </c>
      <c r="D331" t="s" s="8">
        <v>183</v>
      </c>
      <c r="E331" t="s" s="9">
        <v>186</v>
      </c>
      <c r="F331" t="s" s="10">
        <v>185</v>
      </c>
      <c r="G331" s="14"/>
      <c r="H331" t="s" s="10">
        <v>68</v>
      </c>
      <c r="I331" s="14"/>
      <c r="J331" t="s" s="11">
        <v>20</v>
      </c>
      <c r="K331" t="s" s="16">
        <f>HYPERLINK("http://csr.bu.edu/ftp/asl/asllvd/demos/verify_start_end_handshape_annotations//test_auto_move//signs_mov/65.mov","MOV")</f>
        <v>21</v>
      </c>
      <c r="L331" t="s" s="16">
        <f>HYPERLINK("http://csr.bu.edu/ftp/asl/asllvd/demos/verify_start_end_handshape_annotations//test_auto_move//signs_mov_separ_signers/Tyler_65.mov","MOV")</f>
        <v>21</v>
      </c>
      <c r="M331" t="s" s="10">
        <v>26</v>
      </c>
      <c r="N331" s="17">
        <v>8</v>
      </c>
      <c r="O331" s="18">
        <v>1325</v>
      </c>
      <c r="P331" s="18">
        <v>1377</v>
      </c>
      <c r="Q331" t="s" s="16">
        <f>HYPERLINK("http://secrets.rutgers.edu:8080/data/asl-ftp/asllvd/demos/verify_start_end_handshape_annotations//test_auto_move//signs_mov/65.mov","MOV")</f>
        <v>21</v>
      </c>
      <c r="R331" t="s" s="16">
        <f>HYPERLINK("http://secrets.rutgers.edu:8080/data/asl-ftp/asllvd/demos/verify_start_end_handshape_annotations//test_auto_move//signs_mov_separ_signers/Tyler_65.mov","MOV")</f>
        <v>21</v>
      </c>
    </row>
    <row r="332" s="2" customFormat="1" ht="13.5" customHeight="1">
      <c r="B332" s="13"/>
      <c r="C332" t="s" s="9">
        <v>27</v>
      </c>
      <c r="D332" t="s" s="8">
        <v>183</v>
      </c>
      <c r="E332" t="s" s="9">
        <v>183</v>
      </c>
      <c r="F332" t="s" s="10">
        <v>185</v>
      </c>
      <c r="G332" s="14"/>
      <c r="H332" t="s" s="10">
        <v>68</v>
      </c>
      <c r="I332" s="14"/>
      <c r="J332" t="s" s="11">
        <v>20</v>
      </c>
      <c r="K332" s="15"/>
      <c r="L332" t="s" s="16">
        <f>HYPERLINK("http://csr.bu.edu/ftp/asl/asllvd/demos/verify_start_end_handshape_annotations//test_auto_move//signs_mov_separ_signers/Naomi_65.mov","MOV")</f>
        <v>21</v>
      </c>
      <c r="M332" t="s" s="10">
        <v>29</v>
      </c>
      <c r="N332" s="17">
        <v>7</v>
      </c>
      <c r="O332" s="18">
        <v>1460</v>
      </c>
      <c r="P332" s="18">
        <v>1487</v>
      </c>
      <c r="Q332" s="15"/>
      <c r="R332" t="s" s="16">
        <f>HYPERLINK("http://secrets.rutgers.edu:8080/data/asl-ftp/asllvd/demos/verify_start_end_handshape_annotations//test_auto_move//signs_mov_separ_signers/Naomi_65.mov","MOV")</f>
        <v>21</v>
      </c>
    </row>
    <row r="333" s="2" customFormat="1" ht="13.5" customHeight="1">
      <c r="B333" s="13"/>
      <c r="C333" t="s" s="9">
        <v>30</v>
      </c>
      <c r="D333" t="s" s="8">
        <v>183</v>
      </c>
      <c r="E333" t="s" s="9">
        <v>183</v>
      </c>
      <c r="F333" t="s" s="10">
        <v>187</v>
      </c>
      <c r="G333" s="14"/>
      <c r="H333" t="s" s="10">
        <v>68</v>
      </c>
      <c r="I333" s="14"/>
      <c r="J333" t="s" s="11">
        <v>20</v>
      </c>
      <c r="K333" s="15"/>
      <c r="L333" t="s" s="16">
        <f>HYPERLINK("http://csr.bu.edu/ftp/asl/asllvd/demos/verify_start_end_handshape_annotations//test_auto_move//signs_mov_separ_signers/Brady_65.mov","MOV")</f>
        <v>21</v>
      </c>
      <c r="M333" t="s" s="10">
        <v>31</v>
      </c>
      <c r="N333" s="17">
        <v>9</v>
      </c>
      <c r="O333" s="18">
        <v>8308</v>
      </c>
      <c r="P333" s="18">
        <v>8326</v>
      </c>
      <c r="Q333" s="15"/>
      <c r="R333" t="s" s="16">
        <f>HYPERLINK("http://secrets.rutgers.edu:8080/data/asl-ftp/asllvd/demos/verify_start_end_handshape_annotations//test_auto_move//signs_mov_separ_signers/Brady_65.mov","MOV")</f>
        <v>21</v>
      </c>
    </row>
    <row r="334" s="2" customFormat="1" ht="13.5" customHeight="1">
      <c r="B334" t="s" s="8">
        <v>52</v>
      </c>
      <c r="C334" t="s" s="9">
        <v>53</v>
      </c>
      <c r="D334" t="s" s="8">
        <v>53</v>
      </c>
      <c r="E334" t="s" s="9">
        <v>53</v>
      </c>
      <c r="F334" t="s" s="10">
        <v>53</v>
      </c>
      <c r="G334" t="s" s="11">
        <v>53</v>
      </c>
      <c r="H334" t="s" s="10">
        <v>53</v>
      </c>
      <c r="I334" t="s" s="11">
        <v>53</v>
      </c>
      <c r="J334" t="s" s="11">
        <v>53</v>
      </c>
      <c r="K334" t="s" s="12">
        <v>53</v>
      </c>
      <c r="L334" t="s" s="12">
        <v>53</v>
      </c>
      <c r="M334" t="s" s="10">
        <v>53</v>
      </c>
      <c r="N334" t="s" s="11">
        <v>53</v>
      </c>
      <c r="O334" t="s" s="8">
        <v>53</v>
      </c>
      <c r="P334" t="s" s="8">
        <v>53</v>
      </c>
      <c r="Q334" t="s" s="12">
        <v>53</v>
      </c>
      <c r="R334" t="s" s="12">
        <v>53</v>
      </c>
    </row>
    <row r="335" s="2" customFormat="1" ht="13.5" customHeight="1">
      <c r="B335" s="13"/>
      <c r="C335" t="s" s="9">
        <v>41</v>
      </c>
      <c r="D335" t="s" s="8">
        <v>183</v>
      </c>
      <c r="E335" t="s" s="9">
        <v>188</v>
      </c>
      <c r="F335" t="s" s="10">
        <v>185</v>
      </c>
      <c r="G335" s="14"/>
      <c r="H335" t="s" s="10">
        <v>68</v>
      </c>
      <c r="I335" s="14"/>
      <c r="J335" t="s" s="11">
        <v>20</v>
      </c>
      <c r="K335" t="s" s="16">
        <f>HYPERLINK("http://csr.bu.edu/ftp/asl/asllvd/demos/verify_start_end_handshape_annotations//test_auto_move//signs_mov/5288.mov","MOV")</f>
        <v>21</v>
      </c>
      <c r="L335" t="s" s="16">
        <f>HYPERLINK("http://csr.bu.edu/ftp/asl/asllvd/demos/verify_start_end_handshape_annotations//test_auto_move//signs_mov_separ_signers/Lana_5288.mov","MOV")</f>
        <v>21</v>
      </c>
      <c r="M335" t="s" s="10">
        <v>42</v>
      </c>
      <c r="N335" s="17">
        <v>20</v>
      </c>
      <c r="O335" s="18">
        <v>1095</v>
      </c>
      <c r="P335" s="18">
        <v>1125</v>
      </c>
      <c r="Q335" t="s" s="16">
        <f>HYPERLINK("http://secrets.rutgers.edu:8080/data/asl-ftp/asllvd/demos/verify_start_end_handshape_annotations//test_auto_move//signs_mov/5288.mov","MOV")</f>
        <v>21</v>
      </c>
      <c r="R335" t="s" s="16">
        <f>HYPERLINK("http://secrets.rutgers.edu:8080/data/asl-ftp/asllvd/demos/verify_start_end_handshape_annotations//test_auto_move//signs_mov_separ_signers/Lana_5288.mov","MOV")</f>
        <v>21</v>
      </c>
    </row>
    <row r="336" s="2" customFormat="1" ht="13.5" customHeight="1">
      <c r="B336" s="13"/>
      <c r="C336" t="s" s="9">
        <v>43</v>
      </c>
      <c r="D336" t="s" s="8">
        <v>183</v>
      </c>
      <c r="E336" t="s" s="9">
        <v>188</v>
      </c>
      <c r="F336" t="s" s="10">
        <v>185</v>
      </c>
      <c r="G336" s="14"/>
      <c r="H336" t="s" s="10">
        <v>68</v>
      </c>
      <c r="I336" s="14"/>
      <c r="J336" t="s" s="11">
        <v>20</v>
      </c>
      <c r="K336" s="15"/>
      <c r="L336" t="s" s="16">
        <f>HYPERLINK("http://csr.bu.edu/ftp/asl/asllvd/demos/verify_start_end_handshape_annotations//test_auto_move//signs_mov_separ_signers/Dana_5288.mov","MOV")</f>
        <v>21</v>
      </c>
      <c r="M336" t="s" s="10">
        <v>44</v>
      </c>
      <c r="N336" s="17">
        <v>22</v>
      </c>
      <c r="O336" s="18">
        <v>994</v>
      </c>
      <c r="P336" s="18">
        <v>1044</v>
      </c>
      <c r="Q336" s="15"/>
      <c r="R336" t="s" s="16">
        <f>HYPERLINK("http://secrets.rutgers.edu:8080/data/asl-ftp/asllvd/demos/verify_start_end_handshape_annotations//test_auto_move//signs_mov_separ_signers/Dana_5288.mov","MOV")</f>
        <v>21</v>
      </c>
    </row>
    <row r="337" s="2" customFormat="1" ht="13.5" customHeight="1">
      <c r="B337" t="s" s="8">
        <v>52</v>
      </c>
      <c r="C337" t="s" s="9">
        <v>53</v>
      </c>
      <c r="D337" t="s" s="8">
        <v>53</v>
      </c>
      <c r="E337" t="s" s="9">
        <v>53</v>
      </c>
      <c r="F337" t="s" s="10">
        <v>53</v>
      </c>
      <c r="G337" t="s" s="11">
        <v>53</v>
      </c>
      <c r="H337" t="s" s="10">
        <v>53</v>
      </c>
      <c r="I337" t="s" s="11">
        <v>53</v>
      </c>
      <c r="J337" t="s" s="11">
        <v>53</v>
      </c>
      <c r="K337" t="s" s="12">
        <v>53</v>
      </c>
      <c r="L337" t="s" s="12">
        <v>53</v>
      </c>
      <c r="M337" t="s" s="10">
        <v>53</v>
      </c>
      <c r="N337" t="s" s="11">
        <v>53</v>
      </c>
      <c r="O337" t="s" s="8">
        <v>53</v>
      </c>
      <c r="P337" t="s" s="8">
        <v>53</v>
      </c>
      <c r="Q337" t="s" s="12">
        <v>53</v>
      </c>
      <c r="R337" t="s" s="12">
        <v>53</v>
      </c>
    </row>
    <row r="338" s="2" customFormat="1" ht="13.5" customHeight="1">
      <c r="B338" s="13"/>
      <c r="C338" t="s" s="9">
        <v>16</v>
      </c>
      <c r="D338" t="s" s="8">
        <v>183</v>
      </c>
      <c r="E338" t="s" s="9">
        <v>189</v>
      </c>
      <c r="F338" t="s" s="10">
        <v>68</v>
      </c>
      <c r="G338" s="14"/>
      <c r="H338" t="s" s="10">
        <v>68</v>
      </c>
      <c r="I338" s="14"/>
      <c r="J338" t="s" s="11">
        <v>20</v>
      </c>
      <c r="K338" t="s" s="16">
        <f>HYPERLINK("http://csr.bu.edu/ftp/asl/asllvd/demos/verify_start_end_handshape_annotations//test_auto_move//signs_mov/16415.mov","MOV")</f>
        <v>21</v>
      </c>
      <c r="L338" t="s" s="16">
        <f>HYPERLINK("http://csr.bu.edu/ftp/asl/asllvd/demos/verify_start_end_handshape_annotations//test_auto_move//signs_mov_separ_signers/Liz_16415.mov","MOV")</f>
        <v>21</v>
      </c>
      <c r="M338" t="s" s="10">
        <v>88</v>
      </c>
      <c r="N338" s="17">
        <v>23</v>
      </c>
      <c r="O338" s="18">
        <v>2115</v>
      </c>
      <c r="P338" s="18">
        <v>2150</v>
      </c>
      <c r="Q338" t="s" s="16">
        <f>HYPERLINK("http://secrets.rutgers.edu:8080/data/asl-ftp/asllvd/demos/verify_start_end_handshape_annotations//test_auto_move//signs_mov/16415.mov","MOV")</f>
        <v>21</v>
      </c>
      <c r="R338" t="s" s="16">
        <f>HYPERLINK("http://secrets.rutgers.edu:8080/data/asl-ftp/asllvd/demos/verify_start_end_handshape_annotations//test_auto_move//signs_mov_separ_signers/Liz_16415.mov","MOV")</f>
        <v>21</v>
      </c>
    </row>
    <row r="339" s="2" customFormat="1" ht="13.5" customHeight="1">
      <c r="B339" s="13"/>
      <c r="C339" t="s" s="9">
        <v>30</v>
      </c>
      <c r="D339" t="s" s="8">
        <v>183</v>
      </c>
      <c r="E339" t="s" s="9">
        <v>189</v>
      </c>
      <c r="F339" t="s" s="10">
        <v>68</v>
      </c>
      <c r="G339" s="14"/>
      <c r="H339" t="s" s="10">
        <v>68</v>
      </c>
      <c r="I339" s="14"/>
      <c r="J339" t="s" s="11">
        <v>20</v>
      </c>
      <c r="K339" s="15"/>
      <c r="L339" t="s" s="16">
        <f>HYPERLINK("http://csr.bu.edu/ftp/asl/asllvd/demos/verify_start_end_handshape_annotations//test_auto_move//signs_mov_separ_signers/Brady_16415.mov","MOV")</f>
        <v>21</v>
      </c>
      <c r="M339" t="s" s="10">
        <v>40</v>
      </c>
      <c r="N339" s="17">
        <v>19</v>
      </c>
      <c r="O339" s="18">
        <v>322</v>
      </c>
      <c r="P339" s="18">
        <v>350</v>
      </c>
      <c r="Q339" s="15"/>
      <c r="R339" t="s" s="16">
        <f>HYPERLINK("http://secrets.rutgers.edu:8080/data/asl-ftp/asllvd/demos/verify_start_end_handshape_annotations//test_auto_move//signs_mov_separ_signers/Brady_16415.mov","MOV")</f>
        <v>21</v>
      </c>
    </row>
    <row r="340" s="2" customFormat="1" ht="13.5" customHeight="1">
      <c r="B340" t="s" s="8">
        <v>190</v>
      </c>
      <c r="C340" t="s" s="9">
        <v>14</v>
      </c>
      <c r="D340" t="s" s="8">
        <v>14</v>
      </c>
      <c r="E340" t="s" s="9">
        <v>14</v>
      </c>
      <c r="F340" t="s" s="10">
        <v>14</v>
      </c>
      <c r="G340" t="s" s="11">
        <v>14</v>
      </c>
      <c r="H340" t="s" s="10">
        <v>14</v>
      </c>
      <c r="I340" t="s" s="11">
        <v>14</v>
      </c>
      <c r="J340" t="s" s="11">
        <v>14</v>
      </c>
      <c r="K340" t="s" s="12">
        <v>14</v>
      </c>
      <c r="L340" t="s" s="12">
        <v>14</v>
      </c>
      <c r="M340" t="s" s="10">
        <v>14</v>
      </c>
      <c r="N340" t="s" s="11">
        <v>14</v>
      </c>
      <c r="O340" t="s" s="8">
        <v>14</v>
      </c>
      <c r="P340" t="s" s="8">
        <v>14</v>
      </c>
      <c r="Q340" t="s" s="12">
        <v>14</v>
      </c>
      <c r="R340" t="s" s="12">
        <v>14</v>
      </c>
    </row>
    <row r="341" s="2" customFormat="1" ht="13.5" customHeight="1">
      <c r="B341" s="13"/>
      <c r="C341" t="s" s="9">
        <v>23</v>
      </c>
      <c r="D341" t="s" s="8">
        <v>190</v>
      </c>
      <c r="E341" t="s" s="9">
        <v>190</v>
      </c>
      <c r="F341" s="19">
        <v>1</v>
      </c>
      <c r="G341" s="17">
        <v>1</v>
      </c>
      <c r="H341" s="19">
        <v>1</v>
      </c>
      <c r="I341" s="17">
        <v>1</v>
      </c>
      <c r="J341" t="s" s="11">
        <v>20</v>
      </c>
      <c r="K341" s="15"/>
      <c r="L341" t="s" s="16">
        <f>HYPERLINK("http://csr.bu.edu/ftp/asl/asllvd/demos/verify_start_end_handshape_annotations//test_auto_move//signs_mov_separ_signers/Tyler_68.mov","MOV")</f>
        <v>21</v>
      </c>
      <c r="M341" t="s" s="10">
        <v>26</v>
      </c>
      <c r="N341" s="17">
        <v>8</v>
      </c>
      <c r="O341" s="18">
        <v>2737</v>
      </c>
      <c r="P341" s="18">
        <v>2770</v>
      </c>
      <c r="Q341" s="15"/>
      <c r="R341" t="s" s="16">
        <f>HYPERLINK("http://secrets.rutgers.edu:8080/data/asl-ftp/asllvd/demos/verify_start_end_handshape_annotations//test_auto_move//signs_mov_separ_signers/Tyler_68.mov","MOV")</f>
        <v>21</v>
      </c>
    </row>
    <row r="342" s="2" customFormat="1" ht="13.5" customHeight="1">
      <c r="B342" s="13"/>
      <c r="C342" t="s" s="9">
        <v>27</v>
      </c>
      <c r="D342" t="s" s="8">
        <v>190</v>
      </c>
      <c r="E342" t="s" s="9">
        <v>190</v>
      </c>
      <c r="F342" s="19">
        <v>1</v>
      </c>
      <c r="G342" s="17">
        <v>1</v>
      </c>
      <c r="H342" s="19">
        <v>1</v>
      </c>
      <c r="I342" s="17">
        <v>1</v>
      </c>
      <c r="J342" t="s" s="11">
        <v>20</v>
      </c>
      <c r="K342" t="s" s="16">
        <f>HYPERLINK("http://csr.bu.edu/ftp/asl/asllvd/demos/verify_start_end_handshape_annotations//test_auto_move//signs_mov/68.mov","MOV")</f>
        <v>21</v>
      </c>
      <c r="L342" t="s" s="16">
        <f>HYPERLINK("http://csr.bu.edu/ftp/asl/asllvd/demos/verify_start_end_handshape_annotations//test_auto_move//signs_mov_separ_signers/Naomi_68.mov","MOV")</f>
        <v>21</v>
      </c>
      <c r="M342" t="s" s="10">
        <v>29</v>
      </c>
      <c r="N342" s="17">
        <v>7</v>
      </c>
      <c r="O342" s="18">
        <v>3592</v>
      </c>
      <c r="P342" s="18">
        <v>3617</v>
      </c>
      <c r="Q342" t="s" s="16">
        <f>HYPERLINK("http://secrets.rutgers.edu:8080/data/asl-ftp/asllvd/demos/verify_start_end_handshape_annotations//test_auto_move//signs_mov/68.mov","MOV")</f>
        <v>21</v>
      </c>
      <c r="R342" t="s" s="16">
        <f>HYPERLINK("http://secrets.rutgers.edu:8080/data/asl-ftp/asllvd/demos/verify_start_end_handshape_annotations//test_auto_move//signs_mov_separ_signers/Naomi_68.mov","MOV")</f>
        <v>21</v>
      </c>
    </row>
    <row r="343" s="2" customFormat="1" ht="13.5" customHeight="1">
      <c r="B343" s="13"/>
      <c r="C343" t="s" s="9">
        <v>30</v>
      </c>
      <c r="D343" t="s" s="8">
        <v>190</v>
      </c>
      <c r="E343" t="s" s="9">
        <v>190</v>
      </c>
      <c r="F343" s="19">
        <v>1</v>
      </c>
      <c r="G343" s="17">
        <v>1</v>
      </c>
      <c r="H343" s="19">
        <v>1</v>
      </c>
      <c r="I343" s="17">
        <v>1</v>
      </c>
      <c r="J343" t="s" s="11">
        <v>20</v>
      </c>
      <c r="K343" s="15"/>
      <c r="L343" t="s" s="16">
        <f>HYPERLINK("http://csr.bu.edu/ftp/asl/asllvd/demos/verify_start_end_handshape_annotations//test_auto_move//signs_mov_separ_signers/Brady_68.mov","MOV")</f>
        <v>21</v>
      </c>
      <c r="M343" t="s" s="10">
        <v>31</v>
      </c>
      <c r="N343" s="17">
        <v>10</v>
      </c>
      <c r="O343" s="18">
        <v>371</v>
      </c>
      <c r="P343" s="18">
        <v>390</v>
      </c>
      <c r="Q343" s="15"/>
      <c r="R343" t="s" s="16">
        <f>HYPERLINK("http://secrets.rutgers.edu:8080/data/asl-ftp/asllvd/demos/verify_start_end_handshape_annotations//test_auto_move//signs_mov_separ_signers/Brady_68.mov","MOV")</f>
        <v>21</v>
      </c>
    </row>
    <row r="344" s="2" customFormat="1" ht="13.5" customHeight="1">
      <c r="B344" t="s" s="8">
        <v>52</v>
      </c>
      <c r="C344" t="s" s="9">
        <v>53</v>
      </c>
      <c r="D344" t="s" s="8">
        <v>53</v>
      </c>
      <c r="E344" t="s" s="9">
        <v>53</v>
      </c>
      <c r="F344" t="s" s="10">
        <v>53</v>
      </c>
      <c r="G344" t="s" s="11">
        <v>53</v>
      </c>
      <c r="H344" t="s" s="10">
        <v>53</v>
      </c>
      <c r="I344" t="s" s="11">
        <v>53</v>
      </c>
      <c r="J344" t="s" s="11">
        <v>53</v>
      </c>
      <c r="K344" t="s" s="12">
        <v>53</v>
      </c>
      <c r="L344" t="s" s="12">
        <v>53</v>
      </c>
      <c r="M344" t="s" s="10">
        <v>53</v>
      </c>
      <c r="N344" t="s" s="11">
        <v>53</v>
      </c>
      <c r="O344" t="s" s="8">
        <v>53</v>
      </c>
      <c r="P344" t="s" s="8">
        <v>53</v>
      </c>
      <c r="Q344" t="s" s="12">
        <v>53</v>
      </c>
      <c r="R344" t="s" s="12">
        <v>53</v>
      </c>
    </row>
    <row r="345" s="2" customFormat="1" ht="13.5" customHeight="1">
      <c r="B345" s="13"/>
      <c r="C345" t="s" s="9">
        <v>41</v>
      </c>
      <c r="D345" t="s" s="8">
        <v>190</v>
      </c>
      <c r="E345" t="s" s="9">
        <v>191</v>
      </c>
      <c r="F345" s="19">
        <v>1</v>
      </c>
      <c r="G345" s="17">
        <v>1</v>
      </c>
      <c r="H345" s="19">
        <v>1</v>
      </c>
      <c r="I345" s="17">
        <v>1</v>
      </c>
      <c r="J345" t="s" s="11">
        <v>20</v>
      </c>
      <c r="K345" t="s" s="16">
        <f>HYPERLINK("http://csr.bu.edu/ftp/asl/asllvd/demos/verify_start_end_handshape_annotations//test_auto_move//signs_mov/5946.mov","MOV")</f>
        <v>21</v>
      </c>
      <c r="L345" t="s" s="16">
        <f>HYPERLINK("http://csr.bu.edu/ftp/asl/asllvd/demos/verify_start_end_handshape_annotations//test_auto_move//signs_mov_separ_signers/Lana_5946.mov","MOV")</f>
        <v>21</v>
      </c>
      <c r="M345" t="s" s="10">
        <v>42</v>
      </c>
      <c r="N345" s="17">
        <v>2</v>
      </c>
      <c r="O345" s="18">
        <v>1944</v>
      </c>
      <c r="P345" s="18">
        <v>1968</v>
      </c>
      <c r="Q345" t="s" s="16">
        <f>HYPERLINK("http://secrets.rutgers.edu:8080/data/asl-ftp/asllvd/demos/verify_start_end_handshape_annotations//test_auto_move//signs_mov/5946.mov","MOV")</f>
        <v>21</v>
      </c>
      <c r="R345" t="s" s="16">
        <f>HYPERLINK("http://secrets.rutgers.edu:8080/data/asl-ftp/asllvd/demos/verify_start_end_handshape_annotations//test_auto_move//signs_mov_separ_signers/Lana_5946.mov","MOV")</f>
        <v>21</v>
      </c>
    </row>
    <row r="346" s="2" customFormat="1" ht="13.5" customHeight="1">
      <c r="B346" s="13"/>
      <c r="C346" t="s" s="9">
        <v>43</v>
      </c>
      <c r="D346" t="s" s="8">
        <v>190</v>
      </c>
      <c r="E346" t="s" s="9">
        <v>191</v>
      </c>
      <c r="F346" s="19">
        <v>1</v>
      </c>
      <c r="G346" s="17">
        <v>1</v>
      </c>
      <c r="H346" s="19">
        <v>1</v>
      </c>
      <c r="I346" s="17">
        <v>1</v>
      </c>
      <c r="J346" t="s" s="11">
        <v>20</v>
      </c>
      <c r="K346" s="15"/>
      <c r="L346" t="s" s="16">
        <f>HYPERLINK("http://csr.bu.edu/ftp/asl/asllvd/demos/verify_start_end_handshape_annotations//test_auto_move//signs_mov_separ_signers/Dana_5946.mov","MOV")</f>
        <v>21</v>
      </c>
      <c r="M346" t="s" s="10">
        <v>44</v>
      </c>
      <c r="N346" s="17">
        <v>5</v>
      </c>
      <c r="O346" s="18">
        <v>2276</v>
      </c>
      <c r="P346" s="18">
        <v>2315</v>
      </c>
      <c r="Q346" s="15"/>
      <c r="R346" t="s" s="16">
        <f>HYPERLINK("http://secrets.rutgers.edu:8080/data/asl-ftp/asllvd/demos/verify_start_end_handshape_annotations//test_auto_move//signs_mov_separ_signers/Dana_5946.mov","MOV")</f>
        <v>21</v>
      </c>
    </row>
    <row r="347" s="2" customFormat="1" ht="13.5" customHeight="1">
      <c r="B347" t="s" s="8">
        <v>192</v>
      </c>
      <c r="C347" t="s" s="9">
        <v>14</v>
      </c>
      <c r="D347" t="s" s="8">
        <v>14</v>
      </c>
      <c r="E347" t="s" s="9">
        <v>14</v>
      </c>
      <c r="F347" t="s" s="10">
        <v>14</v>
      </c>
      <c r="G347" t="s" s="11">
        <v>14</v>
      </c>
      <c r="H347" t="s" s="10">
        <v>14</v>
      </c>
      <c r="I347" t="s" s="11">
        <v>14</v>
      </c>
      <c r="J347" t="s" s="11">
        <v>14</v>
      </c>
      <c r="K347" t="s" s="12">
        <v>14</v>
      </c>
      <c r="L347" t="s" s="12">
        <v>14</v>
      </c>
      <c r="M347" t="s" s="10">
        <v>14</v>
      </c>
      <c r="N347" t="s" s="11">
        <v>14</v>
      </c>
      <c r="O347" t="s" s="8">
        <v>14</v>
      </c>
      <c r="P347" t="s" s="8">
        <v>14</v>
      </c>
      <c r="Q347" t="s" s="12">
        <v>14</v>
      </c>
      <c r="R347" t="s" s="12">
        <v>14</v>
      </c>
    </row>
    <row r="348" s="2" customFormat="1" ht="13.5" customHeight="1">
      <c r="B348" s="13"/>
      <c r="C348" t="s" s="9">
        <v>16</v>
      </c>
      <c r="D348" t="s" s="8">
        <v>192</v>
      </c>
      <c r="E348" t="s" s="9">
        <v>192</v>
      </c>
      <c r="F348" s="19">
        <v>1</v>
      </c>
      <c r="G348" s="14"/>
      <c r="H348" s="19">
        <v>1</v>
      </c>
      <c r="I348" s="17">
        <v>1</v>
      </c>
      <c r="J348" t="s" s="11">
        <v>20</v>
      </c>
      <c r="K348" t="s" s="16">
        <f>HYPERLINK("http://csr.bu.edu/ftp/asl/asllvd/demos/verify_start_end_handshape_annotations//test_auto_move//signs_mov/5947.mov","MOV")</f>
        <v>21</v>
      </c>
      <c r="L348" t="s" s="16">
        <f>HYPERLINK("http://csr.bu.edu/ftp/asl/asllvd/demos/verify_start_end_handshape_annotations//test_auto_move//signs_mov_separ_signers/Liz_5947.mov","MOV")</f>
        <v>21</v>
      </c>
      <c r="M348" t="s" s="10">
        <v>22</v>
      </c>
      <c r="N348" s="17">
        <v>10</v>
      </c>
      <c r="O348" s="18">
        <v>656</v>
      </c>
      <c r="P348" s="18">
        <v>700</v>
      </c>
      <c r="Q348" t="s" s="16">
        <f>HYPERLINK("http://secrets.rutgers.edu:8080/data/asl-ftp/asllvd/demos/verify_start_end_handshape_annotations//test_auto_move//signs_mov/5947.mov","MOV")</f>
        <v>21</v>
      </c>
      <c r="R348" t="s" s="16">
        <f>HYPERLINK("http://secrets.rutgers.edu:8080/data/asl-ftp/asllvd/demos/verify_start_end_handshape_annotations//test_auto_move//signs_mov_separ_signers/Liz_5947.mov","MOV")</f>
        <v>21</v>
      </c>
    </row>
    <row r="349" s="2" customFormat="1" ht="13.5" customHeight="1">
      <c r="B349" t="s" s="8">
        <v>193</v>
      </c>
      <c r="C349" t="s" s="9">
        <v>14</v>
      </c>
      <c r="D349" t="s" s="8">
        <v>14</v>
      </c>
      <c r="E349" t="s" s="9">
        <v>14</v>
      </c>
      <c r="F349" t="s" s="10">
        <v>14</v>
      </c>
      <c r="G349" t="s" s="11">
        <v>14</v>
      </c>
      <c r="H349" t="s" s="10">
        <v>14</v>
      </c>
      <c r="I349" t="s" s="11">
        <v>14</v>
      </c>
      <c r="J349" t="s" s="11">
        <v>14</v>
      </c>
      <c r="K349" t="s" s="12">
        <v>14</v>
      </c>
      <c r="L349" t="s" s="12">
        <v>14</v>
      </c>
      <c r="M349" t="s" s="10">
        <v>14</v>
      </c>
      <c r="N349" t="s" s="11">
        <v>14</v>
      </c>
      <c r="O349" t="s" s="8">
        <v>14</v>
      </c>
      <c r="P349" t="s" s="8">
        <v>14</v>
      </c>
      <c r="Q349" t="s" s="12">
        <v>14</v>
      </c>
      <c r="R349" t="s" s="12">
        <v>14</v>
      </c>
    </row>
    <row r="350" s="2" customFormat="1" ht="13.5" customHeight="1">
      <c r="B350" s="13"/>
      <c r="C350" t="s" s="9">
        <v>23</v>
      </c>
      <c r="D350" t="s" s="8">
        <v>193</v>
      </c>
      <c r="E350" t="s" s="9">
        <v>193</v>
      </c>
      <c r="F350" s="19">
        <v>5</v>
      </c>
      <c r="G350" s="14"/>
      <c r="H350" s="19">
        <v>5</v>
      </c>
      <c r="I350" s="14"/>
      <c r="J350" t="s" s="11">
        <v>20</v>
      </c>
      <c r="K350" t="s" s="16">
        <f>HYPERLINK("http://csr.bu.edu/ftp/asl/asllvd/demos/verify_start_end_handshape_annotations//test_auto_move//signs_mov/70.mov","MOV")</f>
        <v>21</v>
      </c>
      <c r="L350" t="s" s="16">
        <f>HYPERLINK("http://csr.bu.edu/ftp/asl/asllvd/demos/verify_start_end_handshape_annotations//test_auto_move//signs_mov_separ_signers/Tyler_70.mov","MOV")</f>
        <v>21</v>
      </c>
      <c r="M350" t="s" s="10">
        <v>26</v>
      </c>
      <c r="N350" s="17">
        <v>8</v>
      </c>
      <c r="O350" s="18">
        <v>3491</v>
      </c>
      <c r="P350" s="18">
        <v>3520</v>
      </c>
      <c r="Q350" t="s" s="16">
        <f>HYPERLINK("http://secrets.rutgers.edu:8080/data/asl-ftp/asllvd/demos/verify_start_end_handshape_annotations//test_auto_move//signs_mov/70.mov","MOV")</f>
        <v>21</v>
      </c>
      <c r="R350" t="s" s="16">
        <f>HYPERLINK("http://secrets.rutgers.edu:8080/data/asl-ftp/asllvd/demos/verify_start_end_handshape_annotations//test_auto_move//signs_mov_separ_signers/Tyler_70.mov","MOV")</f>
        <v>21</v>
      </c>
    </row>
    <row r="351" s="2" customFormat="1" ht="13.5" customHeight="1">
      <c r="B351" t="s" s="8">
        <v>194</v>
      </c>
      <c r="C351" t="s" s="9">
        <v>14</v>
      </c>
      <c r="D351" t="s" s="8">
        <v>14</v>
      </c>
      <c r="E351" t="s" s="9">
        <v>14</v>
      </c>
      <c r="F351" t="s" s="10">
        <v>14</v>
      </c>
      <c r="G351" t="s" s="11">
        <v>14</v>
      </c>
      <c r="H351" t="s" s="10">
        <v>14</v>
      </c>
      <c r="I351" t="s" s="11">
        <v>14</v>
      </c>
      <c r="J351" t="s" s="11">
        <v>14</v>
      </c>
      <c r="K351" t="s" s="12">
        <v>14</v>
      </c>
      <c r="L351" t="s" s="12">
        <v>14</v>
      </c>
      <c r="M351" t="s" s="10">
        <v>14</v>
      </c>
      <c r="N351" t="s" s="11">
        <v>14</v>
      </c>
      <c r="O351" t="s" s="8">
        <v>14</v>
      </c>
      <c r="P351" t="s" s="8">
        <v>14</v>
      </c>
      <c r="Q351" t="s" s="12">
        <v>14</v>
      </c>
      <c r="R351" t="s" s="12">
        <v>14</v>
      </c>
    </row>
    <row r="352" s="2" customFormat="1" ht="13.5" customHeight="1">
      <c r="B352" s="13"/>
      <c r="C352" t="s" s="9">
        <v>16</v>
      </c>
      <c r="D352" t="s" s="8">
        <v>194</v>
      </c>
      <c r="E352" t="s" s="9">
        <v>195</v>
      </c>
      <c r="F352" t="s" s="10">
        <v>196</v>
      </c>
      <c r="G352" s="14"/>
      <c r="H352" t="s" s="10">
        <v>196</v>
      </c>
      <c r="I352" s="14"/>
      <c r="J352" t="s" s="11">
        <v>20</v>
      </c>
      <c r="K352" s="15"/>
      <c r="L352" t="s" s="16">
        <f>HYPERLINK("http://csr.bu.edu/ftp/asl/asllvd/demos/verify_start_end_handshape_annotations//test_auto_move//signs_mov_separ_signers/Liz_71.mov","MOV")</f>
        <v>21</v>
      </c>
      <c r="M352" t="s" s="10">
        <v>22</v>
      </c>
      <c r="N352" s="17">
        <v>10</v>
      </c>
      <c r="O352" s="18">
        <v>1575</v>
      </c>
      <c r="P352" s="18">
        <v>1605</v>
      </c>
      <c r="Q352" s="15"/>
      <c r="R352" t="s" s="16">
        <f>HYPERLINK("http://secrets.rutgers.edu:8080/data/asl-ftp/asllvd/demos/verify_start_end_handshape_annotations//test_auto_move//signs_mov_separ_signers/Liz_71.mov","MOV")</f>
        <v>21</v>
      </c>
    </row>
    <row r="353" s="2" customFormat="1" ht="13.5" customHeight="1">
      <c r="B353" s="13"/>
      <c r="C353" t="s" s="9">
        <v>16</v>
      </c>
      <c r="D353" t="s" s="8">
        <v>194</v>
      </c>
      <c r="E353" t="s" s="9">
        <v>194</v>
      </c>
      <c r="F353" t="s" s="10">
        <v>196</v>
      </c>
      <c r="G353" s="14"/>
      <c r="H353" t="s" s="10">
        <v>196</v>
      </c>
      <c r="I353" s="14"/>
      <c r="J353" t="s" s="11">
        <v>20</v>
      </c>
      <c r="K353" s="15"/>
      <c r="L353" t="s" s="16">
        <f>HYPERLINK("http://csr.bu.edu/ftp/asl/asllvd/demos/verify_start_end_handshape_annotations//test_auto_move//signs_mov_separ_signers/Liz_3422.mov","MOV")</f>
        <v>21</v>
      </c>
      <c r="M353" t="s" s="10">
        <v>77</v>
      </c>
      <c r="N353" s="17">
        <v>8</v>
      </c>
      <c r="O353" s="18">
        <v>1580</v>
      </c>
      <c r="P353" s="18">
        <v>1625</v>
      </c>
      <c r="Q353" s="15"/>
      <c r="R353" t="s" s="16">
        <f>HYPERLINK("http://secrets.rutgers.edu:8080/data/asl-ftp/asllvd/demos/verify_start_end_handshape_annotations//test_auto_move//signs_mov_separ_signers/Liz_3422.mov","MOV")</f>
        <v>21</v>
      </c>
    </row>
    <row r="354" s="2" customFormat="1" ht="13.5" customHeight="1">
      <c r="B354" s="13"/>
      <c r="C354" t="s" s="9">
        <v>23</v>
      </c>
      <c r="D354" t="s" s="8">
        <v>194</v>
      </c>
      <c r="E354" t="s" s="9">
        <v>195</v>
      </c>
      <c r="F354" t="s" s="10">
        <v>196</v>
      </c>
      <c r="G354" s="14"/>
      <c r="H354" t="s" s="10">
        <v>196</v>
      </c>
      <c r="I354" s="14"/>
      <c r="J354" t="s" s="11">
        <v>20</v>
      </c>
      <c r="K354" s="15"/>
      <c r="L354" t="s" s="16">
        <f>HYPERLINK("http://csr.bu.edu/ftp/asl/asllvd/demos/verify_start_end_handshape_annotations//test_auto_move//signs_mov_separ_signers/Tyler_71.mov","MOV")</f>
        <v>21</v>
      </c>
      <c r="M354" t="s" s="10">
        <v>26</v>
      </c>
      <c r="N354" s="17">
        <v>9</v>
      </c>
      <c r="O354" s="18">
        <v>327</v>
      </c>
      <c r="P354" s="18">
        <v>362</v>
      </c>
      <c r="Q354" s="15"/>
      <c r="R354" t="s" s="16">
        <f>HYPERLINK("http://secrets.rutgers.edu:8080/data/asl-ftp/asllvd/demos/verify_start_end_handshape_annotations//test_auto_move//signs_mov_separ_signers/Tyler_71.mov","MOV")</f>
        <v>21</v>
      </c>
    </row>
    <row r="355" s="2" customFormat="1" ht="13.5" customHeight="1">
      <c r="B355" s="13"/>
      <c r="C355" t="s" s="9">
        <v>27</v>
      </c>
      <c r="D355" t="s" s="8">
        <v>194</v>
      </c>
      <c r="E355" t="s" s="9">
        <v>195</v>
      </c>
      <c r="F355" t="s" s="10">
        <v>196</v>
      </c>
      <c r="G355" s="14"/>
      <c r="H355" t="s" s="10">
        <v>196</v>
      </c>
      <c r="I355" s="14"/>
      <c r="J355" t="s" s="11">
        <v>20</v>
      </c>
      <c r="K355" t="s" s="16">
        <f>HYPERLINK("http://csr.bu.edu/ftp/asl/asllvd/demos/verify_start_end_handshape_annotations//test_auto_move//signs_mov/71_3422_merged.mov","MOV")</f>
        <v>21</v>
      </c>
      <c r="L355" t="s" s="16">
        <f>HYPERLINK("http://csr.bu.edu/ftp/asl/asllvd/demos/verify_start_end_handshape_annotations//test_auto_move//signs_mov_separ_signers/Naomi_71.mov","MOV")</f>
        <v>21</v>
      </c>
      <c r="M355" t="s" s="10">
        <v>29</v>
      </c>
      <c r="N355" s="17">
        <v>8</v>
      </c>
      <c r="O355" s="18">
        <v>273</v>
      </c>
      <c r="P355" s="18">
        <v>305</v>
      </c>
      <c r="Q355" t="s" s="16">
        <f>HYPERLINK("http://secrets.rutgers.edu:8080/data/asl-ftp/asllvd/demos/verify_start_end_handshape_annotations//test_auto_move//signs_mov/71_3422_merged.mov","MOV")</f>
        <v>21</v>
      </c>
      <c r="R355" t="s" s="16">
        <f>HYPERLINK("http://secrets.rutgers.edu:8080/data/asl-ftp/asllvd/demos/verify_start_end_handshape_annotations//test_auto_move//signs_mov_separ_signers/Naomi_71.mov","MOV")</f>
        <v>21</v>
      </c>
    </row>
    <row r="356" s="2" customFormat="1" ht="13.5" customHeight="1">
      <c r="B356" s="13"/>
      <c r="C356" t="s" s="9">
        <v>30</v>
      </c>
      <c r="D356" t="s" s="8">
        <v>194</v>
      </c>
      <c r="E356" t="s" s="9">
        <v>195</v>
      </c>
      <c r="F356" t="s" s="10">
        <v>196</v>
      </c>
      <c r="G356" s="14"/>
      <c r="H356" t="s" s="10">
        <v>196</v>
      </c>
      <c r="I356" s="14"/>
      <c r="J356" t="s" s="11">
        <v>20</v>
      </c>
      <c r="K356" s="15"/>
      <c r="L356" t="s" s="16">
        <f>HYPERLINK("http://csr.bu.edu/ftp/asl/asllvd/demos/verify_start_end_handshape_annotations//test_auto_move//signs_mov_separ_signers/Brady_71.mov","MOV")</f>
        <v>21</v>
      </c>
      <c r="M356" t="s" s="10">
        <v>31</v>
      </c>
      <c r="N356" s="17">
        <v>10</v>
      </c>
      <c r="O356" s="18">
        <v>1230</v>
      </c>
      <c r="P356" s="18">
        <v>1253</v>
      </c>
      <c r="Q356" s="15"/>
      <c r="R356" t="s" s="16">
        <f>HYPERLINK("http://secrets.rutgers.edu:8080/data/asl-ftp/asllvd/demos/verify_start_end_handshape_annotations//test_auto_move//signs_mov_separ_signers/Brady_71.mov","MOV")</f>
        <v>21</v>
      </c>
    </row>
    <row r="357" s="2" customFormat="1" ht="13.5" customHeight="1">
      <c r="B357" s="13"/>
      <c r="C357" t="s" s="9">
        <v>30</v>
      </c>
      <c r="D357" t="s" s="8">
        <v>194</v>
      </c>
      <c r="E357" t="s" s="9">
        <v>194</v>
      </c>
      <c r="F357" t="s" s="10">
        <v>197</v>
      </c>
      <c r="G357" s="14"/>
      <c r="H357" t="s" s="10">
        <v>197</v>
      </c>
      <c r="I357" s="14"/>
      <c r="J357" t="s" s="11">
        <v>20</v>
      </c>
      <c r="K357" s="15"/>
      <c r="L357" t="s" s="16">
        <f>HYPERLINK("http://csr.bu.edu/ftp/asl/asllvd/demos/verify_start_end_handshape_annotations//test_auto_move//signs_mov_separ_signers/Brady_3422.mov","MOV")</f>
        <v>21</v>
      </c>
      <c r="M357" t="s" s="10">
        <v>31</v>
      </c>
      <c r="N357" s="17">
        <v>10</v>
      </c>
      <c r="O357" s="18">
        <v>1484</v>
      </c>
      <c r="P357" s="18">
        <v>1511</v>
      </c>
      <c r="Q357" s="15"/>
      <c r="R357" t="s" s="16">
        <f>HYPERLINK("http://secrets.rutgers.edu:8080/data/asl-ftp/asllvd/demos/verify_start_end_handshape_annotations//test_auto_move//signs_mov_separ_signers/Brady_3422.mov","MOV")</f>
        <v>21</v>
      </c>
    </row>
    <row r="358" s="2" customFormat="1" ht="13.5" customHeight="1">
      <c r="B358" s="13"/>
      <c r="C358" t="s" s="9">
        <v>41</v>
      </c>
      <c r="D358" t="s" s="8">
        <v>194</v>
      </c>
      <c r="E358" t="s" s="9">
        <v>195</v>
      </c>
      <c r="F358" t="s" s="10">
        <v>196</v>
      </c>
      <c r="G358" s="14"/>
      <c r="H358" t="s" s="10">
        <v>196</v>
      </c>
      <c r="I358" s="14"/>
      <c r="J358" t="s" s="11">
        <v>20</v>
      </c>
      <c r="K358" s="15"/>
      <c r="L358" t="s" s="16">
        <f>HYPERLINK("http://csr.bu.edu/ftp/asl/asllvd/demos/verify_start_end_handshape_annotations//test_auto_move//signs_mov_separ_signers/Lana_71.mov","MOV")</f>
        <v>21</v>
      </c>
      <c r="M358" t="s" s="10">
        <v>42</v>
      </c>
      <c r="N358" s="17">
        <v>2</v>
      </c>
      <c r="O358" s="18">
        <v>1795</v>
      </c>
      <c r="P358" s="18">
        <v>1821</v>
      </c>
      <c r="Q358" s="15"/>
      <c r="R358" t="s" s="16">
        <f>HYPERLINK("http://secrets.rutgers.edu:8080/data/asl-ftp/asllvd/demos/verify_start_end_handshape_annotations//test_auto_move//signs_mov_separ_signers/Lana_71.mov","MOV")</f>
        <v>21</v>
      </c>
    </row>
    <row r="359" s="2" customFormat="1" ht="13.5" customHeight="1">
      <c r="B359" s="13"/>
      <c r="C359" t="s" s="9">
        <v>43</v>
      </c>
      <c r="D359" t="s" s="8">
        <v>194</v>
      </c>
      <c r="E359" t="s" s="9">
        <v>195</v>
      </c>
      <c r="F359" t="s" s="10">
        <v>196</v>
      </c>
      <c r="G359" s="14"/>
      <c r="H359" t="s" s="10">
        <v>196</v>
      </c>
      <c r="I359" s="14"/>
      <c r="J359" t="s" s="11">
        <v>20</v>
      </c>
      <c r="K359" s="15"/>
      <c r="L359" t="s" s="16">
        <f>HYPERLINK("http://csr.bu.edu/ftp/asl/asllvd/demos/verify_start_end_handshape_annotations//test_auto_move//signs_mov_separ_signers/Dana_71.mov","MOV")</f>
        <v>21</v>
      </c>
      <c r="M359" t="s" s="10">
        <v>44</v>
      </c>
      <c r="N359" s="17">
        <v>5</v>
      </c>
      <c r="O359" s="18">
        <v>2128</v>
      </c>
      <c r="P359" s="18">
        <v>2167</v>
      </c>
      <c r="Q359" s="15"/>
      <c r="R359" t="s" s="16">
        <f>HYPERLINK("http://secrets.rutgers.edu:8080/data/asl-ftp/asllvd/demos/verify_start_end_handshape_annotations//test_auto_move//signs_mov_separ_signers/Dana_71.mov","MOV")</f>
        <v>21</v>
      </c>
    </row>
    <row r="360" s="2" customFormat="1" ht="13.5" customHeight="1">
      <c r="B360" t="s" s="8">
        <v>198</v>
      </c>
      <c r="C360" t="s" s="9">
        <v>14</v>
      </c>
      <c r="D360" t="s" s="8">
        <v>14</v>
      </c>
      <c r="E360" t="s" s="9">
        <v>14</v>
      </c>
      <c r="F360" t="s" s="10">
        <v>14</v>
      </c>
      <c r="G360" t="s" s="11">
        <v>14</v>
      </c>
      <c r="H360" t="s" s="10">
        <v>14</v>
      </c>
      <c r="I360" t="s" s="11">
        <v>14</v>
      </c>
      <c r="J360" t="s" s="11">
        <v>14</v>
      </c>
      <c r="K360" t="s" s="12">
        <v>14</v>
      </c>
      <c r="L360" t="s" s="12">
        <v>14</v>
      </c>
      <c r="M360" t="s" s="10">
        <v>14</v>
      </c>
      <c r="N360" t="s" s="11">
        <v>14</v>
      </c>
      <c r="O360" t="s" s="8">
        <v>14</v>
      </c>
      <c r="P360" t="s" s="8">
        <v>14</v>
      </c>
      <c r="Q360" t="s" s="12">
        <v>14</v>
      </c>
      <c r="R360" t="s" s="12">
        <v>14</v>
      </c>
    </row>
    <row r="361" s="2" customFormat="1" ht="13.5" customHeight="1">
      <c r="B361" s="13"/>
      <c r="C361" t="s" s="9">
        <v>16</v>
      </c>
      <c r="D361" t="s" s="8">
        <v>198</v>
      </c>
      <c r="E361" t="s" s="9">
        <v>198</v>
      </c>
      <c r="F361" t="s" s="10">
        <v>196</v>
      </c>
      <c r="G361" s="14"/>
      <c r="H361" t="s" s="10">
        <v>196</v>
      </c>
      <c r="I361" s="14"/>
      <c r="J361" t="s" s="11">
        <v>20</v>
      </c>
      <c r="K361" s="15"/>
      <c r="L361" t="s" s="16">
        <f>HYPERLINK("http://csr.bu.edu/ftp/asl/asllvd/demos/verify_start_end_handshape_annotations//test_auto_move//signs_mov_separ_signers/Liz_15594.mov","MOV")</f>
        <v>21</v>
      </c>
      <c r="M361" t="s" s="10">
        <v>84</v>
      </c>
      <c r="N361" s="17">
        <v>45</v>
      </c>
      <c r="O361" s="18">
        <v>2570</v>
      </c>
      <c r="P361" s="18">
        <v>2600</v>
      </c>
      <c r="Q361" s="15"/>
      <c r="R361" t="s" s="16">
        <f>HYPERLINK("http://secrets.rutgers.edu:8080/data/asl-ftp/asllvd/demos/verify_start_end_handshape_annotations//test_auto_move//signs_mov_separ_signers/Liz_15594.mov","MOV")</f>
        <v>21</v>
      </c>
    </row>
    <row r="362" s="2" customFormat="1" ht="13.5" customHeight="1">
      <c r="B362" s="13"/>
      <c r="C362" t="s" s="9">
        <v>23</v>
      </c>
      <c r="D362" t="s" s="8">
        <v>198</v>
      </c>
      <c r="E362" t="s" s="9">
        <v>198</v>
      </c>
      <c r="F362" t="s" s="10">
        <v>196</v>
      </c>
      <c r="G362" s="14"/>
      <c r="H362" t="s" s="10">
        <v>196</v>
      </c>
      <c r="I362" s="14"/>
      <c r="J362" t="s" s="11">
        <v>20</v>
      </c>
      <c r="K362" s="15"/>
      <c r="L362" t="s" s="16">
        <f>HYPERLINK("http://csr.bu.edu/ftp/asl/asllvd/demos/verify_start_end_handshape_annotations//test_auto_move//signs_mov_separ_signers/Tyler_15594.mov","MOV")</f>
        <v>21</v>
      </c>
      <c r="M362" t="s" s="10">
        <v>92</v>
      </c>
      <c r="N362" s="17">
        <v>25</v>
      </c>
      <c r="O362" s="18">
        <v>3225</v>
      </c>
      <c r="P362" s="18">
        <v>3250</v>
      </c>
      <c r="Q362" s="15"/>
      <c r="R362" t="s" s="16">
        <f>HYPERLINK("http://secrets.rutgers.edu:8080/data/asl-ftp/asllvd/demos/verify_start_end_handshape_annotations//test_auto_move//signs_mov_separ_signers/Tyler_15594.mov","MOV")</f>
        <v>21</v>
      </c>
    </row>
    <row r="363" s="2" customFormat="1" ht="13.5" customHeight="1">
      <c r="B363" s="13"/>
      <c r="C363" t="s" s="9">
        <v>27</v>
      </c>
      <c r="D363" t="s" s="8">
        <v>198</v>
      </c>
      <c r="E363" t="s" s="9">
        <v>198</v>
      </c>
      <c r="F363" t="s" s="10">
        <v>196</v>
      </c>
      <c r="G363" s="14"/>
      <c r="H363" t="s" s="10">
        <v>196</v>
      </c>
      <c r="I363" s="14"/>
      <c r="J363" t="s" s="11">
        <v>20</v>
      </c>
      <c r="K363" s="15"/>
      <c r="L363" t="s" s="16">
        <f>HYPERLINK("http://csr.bu.edu/ftp/asl/asllvd/demos/verify_start_end_handshape_annotations//test_auto_move//signs_mov_separ_signers/Naomi_15594.mov","MOV")</f>
        <v>21</v>
      </c>
      <c r="M363" t="s" s="10">
        <v>86</v>
      </c>
      <c r="N363" s="17">
        <v>45</v>
      </c>
      <c r="O363" s="18">
        <v>3045</v>
      </c>
      <c r="P363" s="18">
        <v>3065</v>
      </c>
      <c r="Q363" s="15"/>
      <c r="R363" t="s" s="16">
        <f>HYPERLINK("http://secrets.rutgers.edu:8080/data/asl-ftp/asllvd/demos/verify_start_end_handshape_annotations//test_auto_move//signs_mov_separ_signers/Naomi_15594.mov","MOV")</f>
        <v>21</v>
      </c>
    </row>
    <row r="364" s="2" customFormat="1" ht="13.5" customHeight="1">
      <c r="B364" s="13"/>
      <c r="C364" t="s" s="9">
        <v>30</v>
      </c>
      <c r="D364" t="s" s="8">
        <v>198</v>
      </c>
      <c r="E364" t="s" s="9">
        <v>198</v>
      </c>
      <c r="F364" t="s" s="10">
        <v>196</v>
      </c>
      <c r="G364" s="14"/>
      <c r="H364" t="s" s="10">
        <v>196</v>
      </c>
      <c r="I364" s="14"/>
      <c r="J364" t="s" s="11">
        <v>20</v>
      </c>
      <c r="K364" t="s" s="16">
        <f>HYPERLINK("http://csr.bu.edu/ftp/asl/asllvd/demos/verify_start_end_handshape_annotations//test_auto_move//signs_mov/15594_15598_merged.mov","MOV")</f>
        <v>21</v>
      </c>
      <c r="L364" t="s" s="16">
        <f>HYPERLINK("http://csr.bu.edu/ftp/asl/asllvd/demos/verify_start_end_handshape_annotations//test_auto_move//signs_mov_separ_signers/Brady_15594.mov","MOV")</f>
        <v>21</v>
      </c>
      <c r="M364" t="s" s="10">
        <v>39</v>
      </c>
      <c r="N364" s="17">
        <v>20</v>
      </c>
      <c r="O364" s="18">
        <v>5233</v>
      </c>
      <c r="P364" s="18">
        <v>5248</v>
      </c>
      <c r="Q364" t="s" s="16">
        <f>HYPERLINK("http://secrets.rutgers.edu:8080/data/asl-ftp/asllvd/demos/verify_start_end_handshape_annotations//test_auto_move//signs_mov/15594_15598_merged.mov","MOV")</f>
        <v>21</v>
      </c>
      <c r="R364" t="s" s="16">
        <f>HYPERLINK("http://secrets.rutgers.edu:8080/data/asl-ftp/asllvd/demos/verify_start_end_handshape_annotations//test_auto_move//signs_mov_separ_signers/Brady_15594.mov","MOV")</f>
        <v>21</v>
      </c>
    </row>
    <row r="365" s="2" customFormat="1" ht="13.5" customHeight="1">
      <c r="B365" s="13"/>
      <c r="C365" t="s" s="9">
        <v>30</v>
      </c>
      <c r="D365" t="s" s="8">
        <v>198</v>
      </c>
      <c r="E365" t="s" s="9">
        <v>198</v>
      </c>
      <c r="F365" t="s" s="10">
        <v>196</v>
      </c>
      <c r="G365" s="14"/>
      <c r="H365" t="s" s="10">
        <v>196</v>
      </c>
      <c r="I365" s="14"/>
      <c r="J365" t="s" s="11">
        <v>20</v>
      </c>
      <c r="K365" s="15"/>
      <c r="L365" t="s" s="16">
        <f>HYPERLINK("http://csr.bu.edu/ftp/asl/asllvd/demos/verify_start_end_handshape_annotations//test_auto_move//signs_mov_separ_signers/Brady_15598.mov","MOV")</f>
        <v>21</v>
      </c>
      <c r="M365" t="s" s="10">
        <v>60</v>
      </c>
      <c r="N365" s="17">
        <v>43</v>
      </c>
      <c r="O365" s="18">
        <v>925</v>
      </c>
      <c r="P365" s="18">
        <v>949</v>
      </c>
      <c r="Q365" s="15"/>
      <c r="R365" t="s" s="16">
        <f>HYPERLINK("http://secrets.rutgers.edu:8080/data/asl-ftp/asllvd/demos/verify_start_end_handshape_annotations//test_auto_move//signs_mov_separ_signers/Brady_15598.mov","MOV")</f>
        <v>21</v>
      </c>
    </row>
    <row r="366" s="2" customFormat="1" ht="13.5" customHeight="1">
      <c r="B366" s="13"/>
      <c r="C366" t="s" s="9">
        <v>41</v>
      </c>
      <c r="D366" t="s" s="8">
        <v>198</v>
      </c>
      <c r="E366" t="s" s="9">
        <v>198</v>
      </c>
      <c r="F366" t="s" s="10">
        <v>196</v>
      </c>
      <c r="G366" s="14"/>
      <c r="H366" t="s" s="10">
        <v>196</v>
      </c>
      <c r="I366" s="14"/>
      <c r="J366" t="s" s="11">
        <v>20</v>
      </c>
      <c r="K366" s="15"/>
      <c r="L366" t="s" s="16">
        <f>HYPERLINK("http://csr.bu.edu/ftp/asl/asllvd/demos/verify_start_end_handshape_annotations//test_auto_move//signs_mov_separ_signers/Lana_15594.mov","MOV")</f>
        <v>21</v>
      </c>
      <c r="M366" t="s" s="10">
        <v>42</v>
      </c>
      <c r="N366" s="17">
        <v>11</v>
      </c>
      <c r="O366" s="18">
        <v>819</v>
      </c>
      <c r="P366" s="18">
        <v>850</v>
      </c>
      <c r="Q366" s="15"/>
      <c r="R366" t="s" s="16">
        <f>HYPERLINK("http://secrets.rutgers.edu:8080/data/asl-ftp/asllvd/demos/verify_start_end_handshape_annotations//test_auto_move//signs_mov_separ_signers/Lana_15594.mov","MOV")</f>
        <v>21</v>
      </c>
    </row>
    <row r="367" s="2" customFormat="1" ht="13.5" customHeight="1">
      <c r="B367" s="13"/>
      <c r="C367" t="s" s="9">
        <v>43</v>
      </c>
      <c r="D367" t="s" s="8">
        <v>198</v>
      </c>
      <c r="E367" t="s" s="9">
        <v>198</v>
      </c>
      <c r="F367" t="s" s="10">
        <v>196</v>
      </c>
      <c r="G367" s="14"/>
      <c r="H367" t="s" s="10">
        <v>196</v>
      </c>
      <c r="I367" s="14"/>
      <c r="J367" t="s" s="11">
        <v>20</v>
      </c>
      <c r="K367" s="15"/>
      <c r="L367" t="s" s="16">
        <f>HYPERLINK("http://csr.bu.edu/ftp/asl/asllvd/demos/verify_start_end_handshape_annotations//test_auto_move//signs_mov_separ_signers/Dana_15594.mov","MOV")</f>
        <v>21</v>
      </c>
      <c r="M367" t="s" s="10">
        <v>44</v>
      </c>
      <c r="N367" s="17">
        <v>14</v>
      </c>
      <c r="O367" s="18">
        <v>729</v>
      </c>
      <c r="P367" s="18">
        <v>792</v>
      </c>
      <c r="Q367" s="15"/>
      <c r="R367" t="s" s="16">
        <f>HYPERLINK("http://secrets.rutgers.edu:8080/data/asl-ftp/asllvd/demos/verify_start_end_handshape_annotations//test_auto_move//signs_mov_separ_signers/Dana_15594.mov","MOV")</f>
        <v>21</v>
      </c>
    </row>
    <row r="368" s="2" customFormat="1" ht="13.5" customHeight="1">
      <c r="B368" t="s" s="8">
        <v>199</v>
      </c>
      <c r="C368" t="s" s="9">
        <v>14</v>
      </c>
      <c r="D368" t="s" s="8">
        <v>14</v>
      </c>
      <c r="E368" t="s" s="9">
        <v>14</v>
      </c>
      <c r="F368" t="s" s="10">
        <v>14</v>
      </c>
      <c r="G368" t="s" s="11">
        <v>14</v>
      </c>
      <c r="H368" t="s" s="10">
        <v>14</v>
      </c>
      <c r="I368" t="s" s="11">
        <v>14</v>
      </c>
      <c r="J368" t="s" s="11">
        <v>14</v>
      </c>
      <c r="K368" t="s" s="12">
        <v>14</v>
      </c>
      <c r="L368" t="s" s="12">
        <v>14</v>
      </c>
      <c r="M368" t="s" s="10">
        <v>14</v>
      </c>
      <c r="N368" t="s" s="11">
        <v>14</v>
      </c>
      <c r="O368" t="s" s="8">
        <v>14</v>
      </c>
      <c r="P368" t="s" s="8">
        <v>14</v>
      </c>
      <c r="Q368" t="s" s="12">
        <v>14</v>
      </c>
      <c r="R368" t="s" s="12">
        <v>14</v>
      </c>
    </row>
    <row r="369" s="2" customFormat="1" ht="13.5" customHeight="1">
      <c r="B369" s="13"/>
      <c r="C369" t="s" s="9">
        <v>16</v>
      </c>
      <c r="D369" t="s" s="8">
        <v>199</v>
      </c>
      <c r="E369" t="s" s="9">
        <v>200</v>
      </c>
      <c r="F369" s="19">
        <v>1</v>
      </c>
      <c r="G369" t="s" s="11">
        <v>73</v>
      </c>
      <c r="H369" s="19">
        <v>1</v>
      </c>
      <c r="I369" t="s" s="11">
        <v>73</v>
      </c>
      <c r="J369" t="s" s="11">
        <v>20</v>
      </c>
      <c r="K369" s="15"/>
      <c r="L369" t="s" s="16">
        <f>HYPERLINK("http://csr.bu.edu/ftp/asl/asllvd/demos/verify_start_end_handshape_annotations//test_auto_move//signs_mov_separ_signers/Liz_72.mov","MOV")</f>
        <v>21</v>
      </c>
      <c r="M369" t="s" s="10">
        <v>22</v>
      </c>
      <c r="N369" s="17">
        <v>10</v>
      </c>
      <c r="O369" s="18">
        <v>1775</v>
      </c>
      <c r="P369" s="18">
        <v>1805</v>
      </c>
      <c r="Q369" s="15"/>
      <c r="R369" t="s" s="16">
        <f>HYPERLINK("http://secrets.rutgers.edu:8080/data/asl-ftp/asllvd/demos/verify_start_end_handshape_annotations//test_auto_move//signs_mov_separ_signers/Liz_72.mov","MOV")</f>
        <v>21</v>
      </c>
    </row>
    <row r="370" s="2" customFormat="1" ht="13.5" customHeight="1">
      <c r="B370" s="13"/>
      <c r="C370" t="s" s="9">
        <v>23</v>
      </c>
      <c r="D370" t="s" s="8">
        <v>199</v>
      </c>
      <c r="E370" t="s" s="9">
        <v>201</v>
      </c>
      <c r="F370" s="19">
        <v>1</v>
      </c>
      <c r="G370" t="s" s="11">
        <v>73</v>
      </c>
      <c r="H370" s="19">
        <v>1</v>
      </c>
      <c r="I370" t="s" s="11">
        <v>73</v>
      </c>
      <c r="J370" t="s" s="11">
        <v>20</v>
      </c>
      <c r="K370" s="15"/>
      <c r="L370" t="s" s="16">
        <f>HYPERLINK("http://csr.bu.edu/ftp/asl/asllvd/demos/verify_start_end_handshape_annotations//test_auto_move//signs_mov_separ_signers/Tyler_72.mov","MOV")</f>
        <v>21</v>
      </c>
      <c r="M370" t="s" s="10">
        <v>26</v>
      </c>
      <c r="N370" s="17">
        <v>9</v>
      </c>
      <c r="O370" s="18">
        <v>537</v>
      </c>
      <c r="P370" s="18">
        <v>575</v>
      </c>
      <c r="Q370" s="15"/>
      <c r="R370" t="s" s="16">
        <f>HYPERLINK("http://secrets.rutgers.edu:8080/data/asl-ftp/asllvd/demos/verify_start_end_handshape_annotations//test_auto_move//signs_mov_separ_signers/Tyler_72.mov","MOV")</f>
        <v>21</v>
      </c>
    </row>
    <row r="371" s="2" customFormat="1" ht="13.5" customHeight="1">
      <c r="B371" s="13"/>
      <c r="C371" t="s" s="9">
        <v>23</v>
      </c>
      <c r="D371" t="s" s="8">
        <v>199</v>
      </c>
      <c r="E371" t="s" s="9">
        <v>202</v>
      </c>
      <c r="F371" s="19">
        <v>1</v>
      </c>
      <c r="G371" t="s" s="11">
        <v>73</v>
      </c>
      <c r="H371" s="19">
        <v>1</v>
      </c>
      <c r="I371" t="s" s="11">
        <v>73</v>
      </c>
      <c r="J371" t="s" s="11">
        <v>20</v>
      </c>
      <c r="K371" t="s" s="16">
        <f>HYPERLINK("http://csr.bu.edu/ftp/asl/asllvd/demos/verify_start_end_handshape_annotations//test_auto_move//signs_mov/72_3310_merged.mov","MOV")</f>
        <v>21</v>
      </c>
      <c r="L371" t="s" s="16">
        <f>HYPERLINK("http://csr.bu.edu/ftp/asl/asllvd/demos/verify_start_end_handshape_annotations//test_auto_move//signs_mov_separ_signers/Tyler_3310.mov","MOV")</f>
        <v>21</v>
      </c>
      <c r="M371" t="s" s="10">
        <v>26</v>
      </c>
      <c r="N371" s="17">
        <v>25</v>
      </c>
      <c r="O371" s="18">
        <v>1281</v>
      </c>
      <c r="P371" s="18">
        <v>1332</v>
      </c>
      <c r="Q371" t="s" s="16">
        <f>HYPERLINK("http://secrets.rutgers.edu:8080/data/asl-ftp/asllvd/demos/verify_start_end_handshape_annotations//test_auto_move//signs_mov/72_3310_merged.mov","MOV")</f>
        <v>21</v>
      </c>
      <c r="R371" t="s" s="16">
        <f>HYPERLINK("http://secrets.rutgers.edu:8080/data/asl-ftp/asllvd/demos/verify_start_end_handshape_annotations//test_auto_move//signs_mov_separ_signers/Tyler_3310.mov","MOV")</f>
        <v>21</v>
      </c>
    </row>
    <row r="372" s="2" customFormat="1" ht="13.5" customHeight="1">
      <c r="B372" s="13"/>
      <c r="C372" t="s" s="9">
        <v>27</v>
      </c>
      <c r="D372" t="s" s="8">
        <v>199</v>
      </c>
      <c r="E372" t="s" s="9">
        <v>201</v>
      </c>
      <c r="F372" s="19">
        <v>1</v>
      </c>
      <c r="G372" t="s" s="11">
        <v>73</v>
      </c>
      <c r="H372" s="19">
        <v>1</v>
      </c>
      <c r="I372" t="s" s="11">
        <v>73</v>
      </c>
      <c r="J372" t="s" s="11">
        <v>20</v>
      </c>
      <c r="K372" s="15"/>
      <c r="L372" t="s" s="16">
        <f>HYPERLINK("http://csr.bu.edu/ftp/asl/asllvd/demos/verify_start_end_handshape_annotations//test_auto_move//signs_mov_separ_signers/Naomi_72.mov","MOV")</f>
        <v>21</v>
      </c>
      <c r="M372" t="s" s="10">
        <v>29</v>
      </c>
      <c r="N372" s="17">
        <v>8</v>
      </c>
      <c r="O372" s="18">
        <v>478</v>
      </c>
      <c r="P372" s="18">
        <v>527</v>
      </c>
      <c r="Q372" s="15"/>
      <c r="R372" t="s" s="16">
        <f>HYPERLINK("http://secrets.rutgers.edu:8080/data/asl-ftp/asllvd/demos/verify_start_end_handshape_annotations//test_auto_move//signs_mov_separ_signers/Naomi_72.mov","MOV")</f>
        <v>21</v>
      </c>
    </row>
    <row r="373" s="2" customFormat="1" ht="13.5" customHeight="1">
      <c r="B373" s="13"/>
      <c r="C373" t="s" s="9">
        <v>27</v>
      </c>
      <c r="D373" t="s" s="8">
        <v>199</v>
      </c>
      <c r="E373" t="s" s="9">
        <v>200</v>
      </c>
      <c r="F373" t="s" s="10">
        <v>51</v>
      </c>
      <c r="G373" t="s" s="11">
        <v>73</v>
      </c>
      <c r="H373" t="s" s="10">
        <v>51</v>
      </c>
      <c r="I373" t="s" s="11">
        <v>73</v>
      </c>
      <c r="J373" t="s" s="11">
        <v>20</v>
      </c>
      <c r="K373" s="15"/>
      <c r="L373" t="s" s="16">
        <f>HYPERLINK("http://csr.bu.edu/ftp/asl/asllvd/demos/verify_start_end_handshape_annotations//test_auto_move//signs_mov_separ_signers/Naomi_3310.mov","MOV")</f>
        <v>21</v>
      </c>
      <c r="M373" t="s" s="10">
        <v>29</v>
      </c>
      <c r="N373" s="17">
        <v>26</v>
      </c>
      <c r="O373" s="18">
        <v>1493</v>
      </c>
      <c r="P373" s="18">
        <v>1525</v>
      </c>
      <c r="Q373" s="15"/>
      <c r="R373" t="s" s="16">
        <f>HYPERLINK("http://secrets.rutgers.edu:8080/data/asl-ftp/asllvd/demos/verify_start_end_handshape_annotations//test_auto_move//signs_mov_separ_signers/Naomi_3310.mov","MOV")</f>
        <v>21</v>
      </c>
    </row>
    <row r="374" s="2" customFormat="1" ht="13.5" customHeight="1">
      <c r="B374" s="13"/>
      <c r="C374" t="s" s="9">
        <v>30</v>
      </c>
      <c r="D374" t="s" s="8">
        <v>199</v>
      </c>
      <c r="E374" t="s" s="9">
        <v>201</v>
      </c>
      <c r="F374" s="19">
        <v>1</v>
      </c>
      <c r="G374" t="s" s="11">
        <v>73</v>
      </c>
      <c r="H374" s="19">
        <v>1</v>
      </c>
      <c r="I374" t="s" s="11">
        <v>73</v>
      </c>
      <c r="J374" t="s" s="11">
        <v>20</v>
      </c>
      <c r="K374" s="15"/>
      <c r="L374" t="s" s="16">
        <f>HYPERLINK("http://csr.bu.edu/ftp/asl/asllvd/demos/verify_start_end_handshape_annotations//test_auto_move//signs_mov_separ_signers/Brady_72.mov","MOV")</f>
        <v>21</v>
      </c>
      <c r="M374" t="s" s="10">
        <v>31</v>
      </c>
      <c r="N374" s="17">
        <v>10</v>
      </c>
      <c r="O374" s="18">
        <v>1766</v>
      </c>
      <c r="P374" s="18">
        <v>1792</v>
      </c>
      <c r="Q374" s="15"/>
      <c r="R374" t="s" s="16">
        <f>HYPERLINK("http://secrets.rutgers.edu:8080/data/asl-ftp/asllvd/demos/verify_start_end_handshape_annotations//test_auto_move//signs_mov_separ_signers/Brady_72.mov","MOV")</f>
        <v>21</v>
      </c>
    </row>
    <row r="375" s="2" customFormat="1" ht="13.5" customHeight="1">
      <c r="B375" t="s" s="8">
        <v>203</v>
      </c>
      <c r="C375" t="s" s="9">
        <v>14</v>
      </c>
      <c r="D375" t="s" s="8">
        <v>14</v>
      </c>
      <c r="E375" t="s" s="9">
        <v>14</v>
      </c>
      <c r="F375" t="s" s="10">
        <v>14</v>
      </c>
      <c r="G375" t="s" s="11">
        <v>14</v>
      </c>
      <c r="H375" t="s" s="10">
        <v>14</v>
      </c>
      <c r="I375" t="s" s="11">
        <v>14</v>
      </c>
      <c r="J375" t="s" s="11">
        <v>14</v>
      </c>
      <c r="K375" t="s" s="12">
        <v>14</v>
      </c>
      <c r="L375" t="s" s="12">
        <v>14</v>
      </c>
      <c r="M375" t="s" s="10">
        <v>14</v>
      </c>
      <c r="N375" t="s" s="11">
        <v>14</v>
      </c>
      <c r="O375" t="s" s="8">
        <v>14</v>
      </c>
      <c r="P375" t="s" s="8">
        <v>14</v>
      </c>
      <c r="Q375" t="s" s="12">
        <v>14</v>
      </c>
      <c r="R375" t="s" s="12">
        <v>14</v>
      </c>
    </row>
    <row r="376" s="2" customFormat="1" ht="13.5" customHeight="1">
      <c r="B376" s="13"/>
      <c r="C376" t="s" s="9">
        <v>16</v>
      </c>
      <c r="D376" t="s" s="8">
        <v>203</v>
      </c>
      <c r="E376" t="s" s="9">
        <v>204</v>
      </c>
      <c r="F376" t="s" s="10">
        <v>205</v>
      </c>
      <c r="G376" t="s" s="11">
        <v>205</v>
      </c>
      <c r="H376" t="s" s="10">
        <v>205</v>
      </c>
      <c r="I376" t="s" s="11">
        <v>205</v>
      </c>
      <c r="J376" t="s" s="11">
        <v>20</v>
      </c>
      <c r="K376" s="15"/>
      <c r="L376" t="s" s="16">
        <f>HYPERLINK("http://csr.bu.edu/ftp/asl/asllvd/demos/verify_start_end_handshape_annotations//test_auto_move//signs_mov_separ_signers/Liz_73.mov","MOV")</f>
        <v>21</v>
      </c>
      <c r="M376" t="s" s="10">
        <v>34</v>
      </c>
      <c r="N376" s="17">
        <v>51</v>
      </c>
      <c r="O376" s="18">
        <v>612</v>
      </c>
      <c r="P376" s="18">
        <v>652</v>
      </c>
      <c r="Q376" s="15"/>
      <c r="R376" t="s" s="16">
        <f>HYPERLINK("http://secrets.rutgers.edu:8080/data/asl-ftp/asllvd/demos/verify_start_end_handshape_annotations//test_auto_move//signs_mov_separ_signers/Liz_73.mov","MOV")</f>
        <v>21</v>
      </c>
    </row>
    <row r="377" s="2" customFormat="1" ht="13.5" customHeight="1">
      <c r="B377" s="13"/>
      <c r="C377" t="s" s="9">
        <v>23</v>
      </c>
      <c r="D377" t="s" s="8">
        <v>203</v>
      </c>
      <c r="E377" t="s" s="9">
        <v>206</v>
      </c>
      <c r="F377" t="s" s="10">
        <v>205</v>
      </c>
      <c r="G377" t="s" s="11">
        <v>205</v>
      </c>
      <c r="H377" t="s" s="10">
        <v>205</v>
      </c>
      <c r="I377" t="s" s="11">
        <v>205</v>
      </c>
      <c r="J377" t="s" s="11">
        <v>20</v>
      </c>
      <c r="K377" t="s" s="16">
        <f>HYPERLINK("http://csr.bu.edu/ftp/asl/asllvd/demos/verify_start_end_handshape_annotations//test_auto_move//signs_mov/73.mov","MOV")</f>
        <v>21</v>
      </c>
      <c r="L377" t="s" s="16">
        <f>HYPERLINK("http://csr.bu.edu/ftp/asl/asllvd/demos/verify_start_end_handshape_annotations//test_auto_move//signs_mov_separ_signers/Tyler_73.mov","MOV")</f>
        <v>21</v>
      </c>
      <c r="M377" t="s" s="10">
        <v>47</v>
      </c>
      <c r="N377" s="17">
        <v>3</v>
      </c>
      <c r="O377" s="18">
        <v>627</v>
      </c>
      <c r="P377" s="18">
        <v>664</v>
      </c>
      <c r="Q377" t="s" s="16">
        <f>HYPERLINK("http://secrets.rutgers.edu:8080/data/asl-ftp/asllvd/demos/verify_start_end_handshape_annotations//test_auto_move//signs_mov/73.mov","MOV")</f>
        <v>21</v>
      </c>
      <c r="R377" t="s" s="16">
        <f>HYPERLINK("http://secrets.rutgers.edu:8080/data/asl-ftp/asllvd/demos/verify_start_end_handshape_annotations//test_auto_move//signs_mov_separ_signers/Tyler_73.mov","MOV")</f>
        <v>21</v>
      </c>
    </row>
    <row r="378" s="2" customFormat="1" ht="13.5" customHeight="1">
      <c r="B378" s="13"/>
      <c r="C378" t="s" s="9">
        <v>27</v>
      </c>
      <c r="D378" t="s" s="8">
        <v>203</v>
      </c>
      <c r="E378" t="s" s="9">
        <v>204</v>
      </c>
      <c r="F378" t="s" s="10">
        <v>205</v>
      </c>
      <c r="G378" t="s" s="11">
        <v>205</v>
      </c>
      <c r="H378" t="s" s="10">
        <v>205</v>
      </c>
      <c r="I378" t="s" s="11">
        <v>205</v>
      </c>
      <c r="J378" t="s" s="11">
        <v>20</v>
      </c>
      <c r="K378" s="15"/>
      <c r="L378" t="s" s="16">
        <f>HYPERLINK("http://csr.bu.edu/ftp/asl/asllvd/demos/verify_start_end_handshape_annotations//test_auto_move//signs_mov_separ_signers/Naomi_73.mov","MOV")</f>
        <v>21</v>
      </c>
      <c r="M378" t="s" s="10">
        <v>48</v>
      </c>
      <c r="N378" s="17">
        <v>6</v>
      </c>
      <c r="O378" s="18">
        <v>335</v>
      </c>
      <c r="P378" s="18">
        <v>361</v>
      </c>
      <c r="Q378" s="15"/>
      <c r="R378" t="s" s="16">
        <f>HYPERLINK("http://secrets.rutgers.edu:8080/data/asl-ftp/asllvd/demos/verify_start_end_handshape_annotations//test_auto_move//signs_mov_separ_signers/Naomi_73.mov","MOV")</f>
        <v>21</v>
      </c>
    </row>
    <row r="379" s="2" customFormat="1" ht="13.5" customHeight="1">
      <c r="B379" s="13"/>
      <c r="C379" t="s" s="9">
        <v>30</v>
      </c>
      <c r="D379" t="s" s="8">
        <v>203</v>
      </c>
      <c r="E379" t="s" s="9">
        <v>204</v>
      </c>
      <c r="F379" t="s" s="10">
        <v>205</v>
      </c>
      <c r="G379" t="s" s="11">
        <v>205</v>
      </c>
      <c r="H379" t="s" s="10">
        <v>205</v>
      </c>
      <c r="I379" t="s" s="11">
        <v>205</v>
      </c>
      <c r="J379" t="s" s="11">
        <v>20</v>
      </c>
      <c r="K379" s="15"/>
      <c r="L379" t="s" s="16">
        <f>HYPERLINK("http://csr.bu.edu/ftp/asl/asllvd/demos/verify_start_end_handshape_annotations//test_auto_move//signs_mov_separ_signers/Brady_73.mov","MOV")</f>
        <v>21</v>
      </c>
      <c r="M379" t="s" s="10">
        <v>39</v>
      </c>
      <c r="N379" s="17">
        <v>50</v>
      </c>
      <c r="O379" s="18">
        <v>2044</v>
      </c>
      <c r="P379" s="18">
        <v>2078</v>
      </c>
      <c r="Q379" s="15"/>
      <c r="R379" t="s" s="16">
        <f>HYPERLINK("http://secrets.rutgers.edu:8080/data/asl-ftp/asllvd/demos/verify_start_end_handshape_annotations//test_auto_move//signs_mov_separ_signers/Brady_73.mov","MOV")</f>
        <v>21</v>
      </c>
    </row>
    <row r="380" s="2" customFormat="1" ht="13.5" customHeight="1">
      <c r="B380" t="s" s="8">
        <v>207</v>
      </c>
      <c r="C380" t="s" s="9">
        <v>14</v>
      </c>
      <c r="D380" t="s" s="8">
        <v>14</v>
      </c>
      <c r="E380" t="s" s="9">
        <v>14</v>
      </c>
      <c r="F380" t="s" s="10">
        <v>14</v>
      </c>
      <c r="G380" t="s" s="11">
        <v>14</v>
      </c>
      <c r="H380" t="s" s="10">
        <v>14</v>
      </c>
      <c r="I380" t="s" s="11">
        <v>14</v>
      </c>
      <c r="J380" t="s" s="11">
        <v>14</v>
      </c>
      <c r="K380" t="s" s="12">
        <v>14</v>
      </c>
      <c r="L380" t="s" s="12">
        <v>14</v>
      </c>
      <c r="M380" t="s" s="10">
        <v>14</v>
      </c>
      <c r="N380" t="s" s="11">
        <v>14</v>
      </c>
      <c r="O380" t="s" s="8">
        <v>14</v>
      </c>
      <c r="P380" t="s" s="8">
        <v>14</v>
      </c>
      <c r="Q380" t="s" s="12">
        <v>14</v>
      </c>
      <c r="R380" t="s" s="12">
        <v>14</v>
      </c>
    </row>
    <row r="381" s="2" customFormat="1" ht="13.5" customHeight="1">
      <c r="B381" s="13"/>
      <c r="C381" t="s" s="9">
        <v>16</v>
      </c>
      <c r="D381" t="s" s="8">
        <v>207</v>
      </c>
      <c r="E381" t="s" s="9">
        <v>207</v>
      </c>
      <c r="F381" t="s" s="10">
        <v>205</v>
      </c>
      <c r="G381" t="s" s="11">
        <v>205</v>
      </c>
      <c r="H381" t="s" s="10">
        <v>205</v>
      </c>
      <c r="I381" t="s" s="11">
        <v>205</v>
      </c>
      <c r="J381" t="s" s="11">
        <v>20</v>
      </c>
      <c r="K381" s="15"/>
      <c r="L381" t="s" s="16">
        <f>HYPERLINK("http://csr.bu.edu/ftp/asl/asllvd/demos/verify_start_end_handshape_annotations//test_auto_move//signs_mov_separ_signers/Liz_3977.mov","MOV")</f>
        <v>21</v>
      </c>
      <c r="M381" t="s" s="10">
        <v>59</v>
      </c>
      <c r="N381" s="17">
        <v>22</v>
      </c>
      <c r="O381" s="18">
        <v>2796</v>
      </c>
      <c r="P381" s="18">
        <v>2842</v>
      </c>
      <c r="Q381" s="15"/>
      <c r="R381" t="s" s="16">
        <f>HYPERLINK("http://secrets.rutgers.edu:8080/data/asl-ftp/asllvd/demos/verify_start_end_handshape_annotations//test_auto_move//signs_mov_separ_signers/Liz_3977.mov","MOV")</f>
        <v>21</v>
      </c>
    </row>
    <row r="382" s="2" customFormat="1" ht="13.5" customHeight="1">
      <c r="B382" s="13"/>
      <c r="C382" t="s" s="9">
        <v>16</v>
      </c>
      <c r="D382" t="s" s="8">
        <v>207</v>
      </c>
      <c r="E382" t="s" s="9">
        <v>207</v>
      </c>
      <c r="F382" t="s" s="10">
        <v>205</v>
      </c>
      <c r="G382" t="s" s="11">
        <v>205</v>
      </c>
      <c r="H382" t="s" s="10">
        <v>205</v>
      </c>
      <c r="I382" t="s" s="11">
        <v>205</v>
      </c>
      <c r="J382" t="s" s="11">
        <v>20</v>
      </c>
      <c r="K382" s="15"/>
      <c r="L382" t="s" s="16">
        <f>HYPERLINK("http://csr.bu.edu/ftp/asl/asllvd/demos/verify_start_end_handshape_annotations//test_auto_move//signs_mov_separ_signers/Liz_5089.mov","MOV")</f>
        <v>21</v>
      </c>
      <c r="M382" t="s" s="10">
        <v>77</v>
      </c>
      <c r="N382" s="17">
        <v>20</v>
      </c>
      <c r="O382" s="18">
        <v>2000</v>
      </c>
      <c r="P382" s="18">
        <v>2075</v>
      </c>
      <c r="Q382" s="15"/>
      <c r="R382" t="s" s="16">
        <f>HYPERLINK("http://secrets.rutgers.edu:8080/data/asl-ftp/asllvd/demos/verify_start_end_handshape_annotations//test_auto_move//signs_mov_separ_signers/Liz_5089.mov","MOV")</f>
        <v>21</v>
      </c>
    </row>
    <row r="383" s="2" customFormat="1" ht="13.5" customHeight="1">
      <c r="B383" s="13"/>
      <c r="C383" t="s" s="9">
        <v>30</v>
      </c>
      <c r="D383" t="s" s="8">
        <v>207</v>
      </c>
      <c r="E383" t="s" s="9">
        <v>207</v>
      </c>
      <c r="F383" t="s" s="10">
        <v>205</v>
      </c>
      <c r="G383" t="s" s="11">
        <v>205</v>
      </c>
      <c r="H383" t="s" s="10">
        <v>205</v>
      </c>
      <c r="I383" t="s" s="11">
        <v>205</v>
      </c>
      <c r="J383" t="s" s="11">
        <v>20</v>
      </c>
      <c r="K383" t="s" s="16">
        <f>HYPERLINK("http://csr.bu.edu/ftp/asl/asllvd/demos/verify_start_end_handshape_annotations//test_auto_move//signs_mov/3977_5089_16041_merged.mov","MOV")</f>
        <v>21</v>
      </c>
      <c r="L383" t="s" s="16">
        <f>HYPERLINK("http://csr.bu.edu/ftp/asl/asllvd/demos/verify_start_end_handshape_annotations//test_auto_move//signs_mov_separ_signers/Brady_3977.mov","MOV")</f>
        <v>21</v>
      </c>
      <c r="M383" t="s" s="10">
        <v>39</v>
      </c>
      <c r="N383" s="17">
        <v>42</v>
      </c>
      <c r="O383" s="18">
        <v>942</v>
      </c>
      <c r="P383" s="18">
        <v>966</v>
      </c>
      <c r="Q383" t="s" s="16">
        <f>HYPERLINK("http://secrets.rutgers.edu:8080/data/asl-ftp/asllvd/demos/verify_start_end_handshape_annotations//test_auto_move//signs_mov/3977_5089_16041_merged.mov","MOV")</f>
        <v>21</v>
      </c>
      <c r="R383" t="s" s="16">
        <f>HYPERLINK("http://secrets.rutgers.edu:8080/data/asl-ftp/asllvd/demos/verify_start_end_handshape_annotations//test_auto_move//signs_mov_separ_signers/Brady_3977.mov","MOV")</f>
        <v>21</v>
      </c>
    </row>
    <row r="384" s="2" customFormat="1" ht="13.5" customHeight="1">
      <c r="B384" s="13"/>
      <c r="C384" t="s" s="9">
        <v>30</v>
      </c>
      <c r="D384" t="s" s="8">
        <v>207</v>
      </c>
      <c r="E384" t="s" s="9">
        <v>207</v>
      </c>
      <c r="F384" t="s" s="10">
        <v>205</v>
      </c>
      <c r="G384" t="s" s="11">
        <v>205</v>
      </c>
      <c r="H384" t="s" s="10">
        <v>205</v>
      </c>
      <c r="I384" t="s" s="11">
        <v>205</v>
      </c>
      <c r="J384" t="s" s="11">
        <v>20</v>
      </c>
      <c r="K384" s="15"/>
      <c r="L384" t="s" s="16">
        <f>HYPERLINK("http://csr.bu.edu/ftp/asl/asllvd/demos/verify_start_end_handshape_annotations//test_auto_move//signs_mov_separ_signers/Brady_5089.mov","MOV")</f>
        <v>21</v>
      </c>
      <c r="M384" t="s" s="10">
        <v>40</v>
      </c>
      <c r="N384" s="17">
        <v>72</v>
      </c>
      <c r="O384" s="18">
        <v>1277</v>
      </c>
      <c r="P384" s="18">
        <v>1307</v>
      </c>
      <c r="Q384" s="15"/>
      <c r="R384" t="s" s="16">
        <f>HYPERLINK("http://secrets.rutgers.edu:8080/data/asl-ftp/asllvd/demos/verify_start_end_handshape_annotations//test_auto_move//signs_mov_separ_signers/Brady_5089.mov","MOV")</f>
        <v>21</v>
      </c>
    </row>
    <row r="385" s="2" customFormat="1" ht="13.5" customHeight="1">
      <c r="B385" s="13"/>
      <c r="C385" t="s" s="9">
        <v>30</v>
      </c>
      <c r="D385" t="s" s="8">
        <v>207</v>
      </c>
      <c r="E385" t="s" s="9">
        <v>207</v>
      </c>
      <c r="F385" t="s" s="10">
        <v>205</v>
      </c>
      <c r="G385" t="s" s="11">
        <v>205</v>
      </c>
      <c r="H385" t="s" s="10">
        <v>205</v>
      </c>
      <c r="I385" t="s" s="11">
        <v>205</v>
      </c>
      <c r="J385" t="s" s="11">
        <v>20</v>
      </c>
      <c r="K385" s="15"/>
      <c r="L385" t="s" s="16">
        <f>HYPERLINK("http://csr.bu.edu/ftp/asl/asllvd/demos/verify_start_end_handshape_annotations//test_auto_move//signs_mov_separ_signers/Brady_16041.mov","MOV")</f>
        <v>21</v>
      </c>
      <c r="M385" t="s" s="10">
        <v>60</v>
      </c>
      <c r="N385" s="17">
        <v>11</v>
      </c>
      <c r="O385" s="18">
        <v>1067</v>
      </c>
      <c r="P385" s="18">
        <v>1102</v>
      </c>
      <c r="Q385" s="15"/>
      <c r="R385" t="s" s="16">
        <f>HYPERLINK("http://secrets.rutgers.edu:8080/data/asl-ftp/asllvd/demos/verify_start_end_handshape_annotations//test_auto_move//signs_mov_separ_signers/Brady_16041.mov","MOV")</f>
        <v>21</v>
      </c>
    </row>
    <row r="386" s="2" customFormat="1" ht="13.5" customHeight="1">
      <c r="B386" t="s" s="8">
        <v>208</v>
      </c>
      <c r="C386" t="s" s="9">
        <v>14</v>
      </c>
      <c r="D386" t="s" s="8">
        <v>14</v>
      </c>
      <c r="E386" t="s" s="9">
        <v>14</v>
      </c>
      <c r="F386" t="s" s="10">
        <v>14</v>
      </c>
      <c r="G386" t="s" s="11">
        <v>14</v>
      </c>
      <c r="H386" t="s" s="10">
        <v>14</v>
      </c>
      <c r="I386" t="s" s="11">
        <v>14</v>
      </c>
      <c r="J386" t="s" s="11">
        <v>14</v>
      </c>
      <c r="K386" t="s" s="12">
        <v>14</v>
      </c>
      <c r="L386" t="s" s="12">
        <v>14</v>
      </c>
      <c r="M386" t="s" s="10">
        <v>14</v>
      </c>
      <c r="N386" t="s" s="11">
        <v>14</v>
      </c>
      <c r="O386" t="s" s="8">
        <v>14</v>
      </c>
      <c r="P386" t="s" s="8">
        <v>14</v>
      </c>
      <c r="Q386" t="s" s="12">
        <v>14</v>
      </c>
      <c r="R386" t="s" s="12">
        <v>14</v>
      </c>
    </row>
    <row r="387" s="2" customFormat="1" ht="13.5" customHeight="1">
      <c r="B387" s="13"/>
      <c r="C387" t="s" s="9">
        <v>16</v>
      </c>
      <c r="D387" t="s" s="8">
        <v>208</v>
      </c>
      <c r="E387" t="s" s="9">
        <v>208</v>
      </c>
      <c r="F387" t="s" s="10">
        <v>73</v>
      </c>
      <c r="G387" t="s" s="11">
        <v>73</v>
      </c>
      <c r="H387" t="s" s="10">
        <v>73</v>
      </c>
      <c r="I387" t="s" s="11">
        <v>73</v>
      </c>
      <c r="J387" t="s" s="11">
        <v>20</v>
      </c>
      <c r="K387" s="15"/>
      <c r="L387" t="s" s="16">
        <f>HYPERLINK("http://csr.bu.edu/ftp/asl/asllvd/demos/verify_start_end_handshape_annotations//test_auto_move//signs_mov_separ_signers/Liz_74.mov","MOV")</f>
        <v>21</v>
      </c>
      <c r="M387" t="s" s="10">
        <v>22</v>
      </c>
      <c r="N387" s="17">
        <v>11</v>
      </c>
      <c r="O387" s="18">
        <v>470</v>
      </c>
      <c r="P387" s="18">
        <v>520</v>
      </c>
      <c r="Q387" s="15"/>
      <c r="R387" t="s" s="16">
        <f>HYPERLINK("http://secrets.rutgers.edu:8080/data/asl-ftp/asllvd/demos/verify_start_end_handshape_annotations//test_auto_move//signs_mov_separ_signers/Liz_74.mov","MOV")</f>
        <v>21</v>
      </c>
    </row>
    <row r="388" s="2" customFormat="1" ht="13.5" customHeight="1">
      <c r="B388" s="13"/>
      <c r="C388" t="s" s="9">
        <v>23</v>
      </c>
      <c r="D388" t="s" s="8">
        <v>208</v>
      </c>
      <c r="E388" t="s" s="9">
        <v>208</v>
      </c>
      <c r="F388" t="s" s="10">
        <v>73</v>
      </c>
      <c r="G388" t="s" s="11">
        <v>73</v>
      </c>
      <c r="H388" t="s" s="10">
        <v>73</v>
      </c>
      <c r="I388" t="s" s="11">
        <v>73</v>
      </c>
      <c r="J388" t="s" s="11">
        <v>20</v>
      </c>
      <c r="K388" s="15"/>
      <c r="L388" t="s" s="16">
        <f>HYPERLINK("http://csr.bu.edu/ftp/asl/asllvd/demos/verify_start_end_handshape_annotations//test_auto_move//signs_mov_separ_signers/Tyler_74.mov","MOV")</f>
        <v>21</v>
      </c>
      <c r="M388" t="s" s="10">
        <v>26</v>
      </c>
      <c r="N388" s="17">
        <v>9</v>
      </c>
      <c r="O388" s="18">
        <v>1045</v>
      </c>
      <c r="P388" s="18">
        <v>1075</v>
      </c>
      <c r="Q388" s="15"/>
      <c r="R388" t="s" s="16">
        <f>HYPERLINK("http://secrets.rutgers.edu:8080/data/asl-ftp/asllvd/demos/verify_start_end_handshape_annotations//test_auto_move//signs_mov_separ_signers/Tyler_74.mov","MOV")</f>
        <v>21</v>
      </c>
    </row>
    <row r="389" s="2" customFormat="1" ht="13.5" customHeight="1">
      <c r="B389" s="13"/>
      <c r="C389" t="s" s="9">
        <v>27</v>
      </c>
      <c r="D389" t="s" s="8">
        <v>208</v>
      </c>
      <c r="E389" t="s" s="9">
        <v>208</v>
      </c>
      <c r="F389" t="s" s="10">
        <v>73</v>
      </c>
      <c r="G389" t="s" s="11">
        <v>73</v>
      </c>
      <c r="H389" t="s" s="10">
        <v>73</v>
      </c>
      <c r="I389" t="s" s="11">
        <v>73</v>
      </c>
      <c r="J389" t="s" s="11">
        <v>20</v>
      </c>
      <c r="K389" t="s" s="16">
        <f>HYPERLINK("http://csr.bu.edu/ftp/asl/asllvd/demos/verify_start_end_handshape_annotations//test_auto_move//signs_mov/74.mov","MOV")</f>
        <v>21</v>
      </c>
      <c r="L389" t="s" s="16">
        <f>HYPERLINK("http://csr.bu.edu/ftp/asl/asllvd/demos/verify_start_end_handshape_annotations//test_auto_move//signs_mov_separ_signers/Naomi_74.mov","MOV")</f>
        <v>21</v>
      </c>
      <c r="M389" t="s" s="10">
        <v>29</v>
      </c>
      <c r="N389" s="17">
        <v>8</v>
      </c>
      <c r="O389" s="18">
        <v>1680</v>
      </c>
      <c r="P389" s="18">
        <v>1712</v>
      </c>
      <c r="Q389" t="s" s="16">
        <f>HYPERLINK("http://secrets.rutgers.edu:8080/data/asl-ftp/asllvd/demos/verify_start_end_handshape_annotations//test_auto_move//signs_mov/74.mov","MOV")</f>
        <v>21</v>
      </c>
      <c r="R389" t="s" s="16">
        <f>HYPERLINK("http://secrets.rutgers.edu:8080/data/asl-ftp/asllvd/demos/verify_start_end_handshape_annotations//test_auto_move//signs_mov_separ_signers/Naomi_74.mov","MOV")</f>
        <v>21</v>
      </c>
    </row>
    <row r="390" s="2" customFormat="1" ht="13.5" customHeight="1">
      <c r="B390" s="13"/>
      <c r="C390" t="s" s="9">
        <v>30</v>
      </c>
      <c r="D390" t="s" s="8">
        <v>208</v>
      </c>
      <c r="E390" t="s" s="9">
        <v>208</v>
      </c>
      <c r="F390" t="s" s="10">
        <v>73</v>
      </c>
      <c r="G390" t="s" s="11">
        <v>73</v>
      </c>
      <c r="H390" t="s" s="10">
        <v>73</v>
      </c>
      <c r="I390" t="s" s="11">
        <v>73</v>
      </c>
      <c r="J390" t="s" s="11">
        <v>20</v>
      </c>
      <c r="K390" s="15"/>
      <c r="L390" t="s" s="16">
        <f>HYPERLINK("http://csr.bu.edu/ftp/asl/asllvd/demos/verify_start_end_handshape_annotations//test_auto_move//signs_mov_separ_signers/Brady_74.mov","MOV")</f>
        <v>21</v>
      </c>
      <c r="M390" t="s" s="10">
        <v>31</v>
      </c>
      <c r="N390" s="17">
        <v>10</v>
      </c>
      <c r="O390" s="18">
        <v>7564</v>
      </c>
      <c r="P390" s="18">
        <v>7593</v>
      </c>
      <c r="Q390" s="15"/>
      <c r="R390" t="s" s="16">
        <f>HYPERLINK("http://secrets.rutgers.edu:8080/data/asl-ftp/asllvd/demos/verify_start_end_handshape_annotations//test_auto_move//signs_mov_separ_signers/Brady_74.mov","MOV")</f>
        <v>21</v>
      </c>
    </row>
    <row r="391" s="2" customFormat="1" ht="13.5" customHeight="1">
      <c r="B391" s="13"/>
      <c r="C391" t="s" s="9">
        <v>41</v>
      </c>
      <c r="D391" t="s" s="8">
        <v>208</v>
      </c>
      <c r="E391" t="s" s="9">
        <v>208</v>
      </c>
      <c r="F391" t="s" s="10">
        <v>73</v>
      </c>
      <c r="G391" t="s" s="11">
        <v>73</v>
      </c>
      <c r="H391" t="s" s="10">
        <v>73</v>
      </c>
      <c r="I391" t="s" s="11">
        <v>73</v>
      </c>
      <c r="J391" t="s" s="11">
        <v>20</v>
      </c>
      <c r="K391" s="15"/>
      <c r="L391" t="s" s="16">
        <f>HYPERLINK("http://csr.bu.edu/ftp/asl/asllvd/demos/verify_start_end_handshape_annotations//test_auto_move//signs_mov_separ_signers/Lana_74.mov","MOV")</f>
        <v>21</v>
      </c>
      <c r="M391" t="s" s="10">
        <v>42</v>
      </c>
      <c r="N391" s="17">
        <v>2</v>
      </c>
      <c r="O391" s="18">
        <v>2222</v>
      </c>
      <c r="P391" s="18">
        <v>2254</v>
      </c>
      <c r="Q391" s="15"/>
      <c r="R391" t="s" s="16">
        <f>HYPERLINK("http://secrets.rutgers.edu:8080/data/asl-ftp/asllvd/demos/verify_start_end_handshape_annotations//test_auto_move//signs_mov_separ_signers/Lana_74.mov","MOV")</f>
        <v>21</v>
      </c>
    </row>
    <row r="392" s="2" customFormat="1" ht="13.5" customHeight="1">
      <c r="B392" s="13"/>
      <c r="C392" t="s" s="9">
        <v>43</v>
      </c>
      <c r="D392" t="s" s="8">
        <v>208</v>
      </c>
      <c r="E392" t="s" s="9">
        <v>208</v>
      </c>
      <c r="F392" t="s" s="10">
        <v>73</v>
      </c>
      <c r="G392" t="s" s="11">
        <v>73</v>
      </c>
      <c r="H392" t="s" s="10">
        <v>73</v>
      </c>
      <c r="I392" t="s" s="11">
        <v>73</v>
      </c>
      <c r="J392" t="s" s="11">
        <v>20</v>
      </c>
      <c r="K392" s="15"/>
      <c r="L392" t="s" s="16">
        <f>HYPERLINK("http://csr.bu.edu/ftp/asl/asllvd/demos/verify_start_end_handshape_annotations//test_auto_move//signs_mov_separ_signers/Dana_74.mov","MOV")</f>
        <v>21</v>
      </c>
      <c r="M392" t="s" s="10">
        <v>44</v>
      </c>
      <c r="N392" s="17">
        <v>5</v>
      </c>
      <c r="O392" s="18">
        <v>2573</v>
      </c>
      <c r="P392" s="18">
        <v>2616</v>
      </c>
      <c r="Q392" s="15"/>
      <c r="R392" t="s" s="16">
        <f>HYPERLINK("http://secrets.rutgers.edu:8080/data/asl-ftp/asllvd/demos/verify_start_end_handshape_annotations//test_auto_move//signs_mov_separ_signers/Dana_74.mov","MOV")</f>
        <v>21</v>
      </c>
    </row>
    <row r="393" s="2" customFormat="1" ht="13.5" customHeight="1">
      <c r="B393" t="s" s="8">
        <v>209</v>
      </c>
      <c r="C393" t="s" s="9">
        <v>14</v>
      </c>
      <c r="D393" t="s" s="8">
        <v>14</v>
      </c>
      <c r="E393" t="s" s="9">
        <v>14</v>
      </c>
      <c r="F393" t="s" s="10">
        <v>14</v>
      </c>
      <c r="G393" t="s" s="11">
        <v>14</v>
      </c>
      <c r="H393" t="s" s="10">
        <v>14</v>
      </c>
      <c r="I393" t="s" s="11">
        <v>14</v>
      </c>
      <c r="J393" t="s" s="11">
        <v>14</v>
      </c>
      <c r="K393" t="s" s="12">
        <v>14</v>
      </c>
      <c r="L393" t="s" s="12">
        <v>14</v>
      </c>
      <c r="M393" t="s" s="10">
        <v>14</v>
      </c>
      <c r="N393" t="s" s="11">
        <v>14</v>
      </c>
      <c r="O393" t="s" s="8">
        <v>14</v>
      </c>
      <c r="P393" t="s" s="8">
        <v>14</v>
      </c>
      <c r="Q393" t="s" s="12">
        <v>14</v>
      </c>
      <c r="R393" t="s" s="12">
        <v>14</v>
      </c>
    </row>
    <row r="394" s="2" customFormat="1" ht="13.5" customHeight="1">
      <c r="B394" s="13"/>
      <c r="C394" t="s" s="9">
        <v>16</v>
      </c>
      <c r="D394" t="s" s="8">
        <v>209</v>
      </c>
      <c r="E394" t="s" s="9">
        <v>209</v>
      </c>
      <c r="F394" t="s" s="10">
        <v>63</v>
      </c>
      <c r="G394" s="14"/>
      <c r="H394" t="s" s="10">
        <v>25</v>
      </c>
      <c r="I394" s="14"/>
      <c r="J394" t="s" s="11">
        <v>20</v>
      </c>
      <c r="K394" s="15"/>
      <c r="L394" t="s" s="16">
        <f>HYPERLINK("http://csr.bu.edu/ftp/asl/asllvd/demos/verify_start_end_handshape_annotations//test_auto_move//signs_mov_separ_signers/Liz_3930.mov","MOV")</f>
        <v>21</v>
      </c>
      <c r="M394" t="s" s="10">
        <v>22</v>
      </c>
      <c r="N394" s="17">
        <v>12</v>
      </c>
      <c r="O394" s="18">
        <v>275</v>
      </c>
      <c r="P394" s="18">
        <v>300</v>
      </c>
      <c r="Q394" s="15"/>
      <c r="R394" t="s" s="16">
        <f>HYPERLINK("http://secrets.rutgers.edu:8080/data/asl-ftp/asllvd/demos/verify_start_end_handshape_annotations//test_auto_move//signs_mov_separ_signers/Liz_3930.mov","MOV")</f>
        <v>21</v>
      </c>
    </row>
    <row r="395" s="2" customFormat="1" ht="13.5" customHeight="1">
      <c r="B395" s="13"/>
      <c r="C395" t="s" s="9">
        <v>23</v>
      </c>
      <c r="D395" t="s" s="8">
        <v>209</v>
      </c>
      <c r="E395" t="s" s="9">
        <v>209</v>
      </c>
      <c r="F395" t="s" s="10">
        <v>63</v>
      </c>
      <c r="G395" s="14"/>
      <c r="H395" t="s" s="10">
        <v>25</v>
      </c>
      <c r="I395" s="14"/>
      <c r="J395" t="s" s="11">
        <v>20</v>
      </c>
      <c r="K395" s="15"/>
      <c r="L395" t="s" s="16">
        <f>HYPERLINK("http://csr.bu.edu/ftp/asl/asllvd/demos/verify_start_end_handshape_annotations//test_auto_move//signs_mov_separ_signers/Tyler_3930.mov","MOV")</f>
        <v>21</v>
      </c>
      <c r="M395" t="s" s="10">
        <v>26</v>
      </c>
      <c r="N395" s="17">
        <v>9</v>
      </c>
      <c r="O395" s="18">
        <v>2542</v>
      </c>
      <c r="P395" s="18">
        <v>2570</v>
      </c>
      <c r="Q395" s="15"/>
      <c r="R395" t="s" s="16">
        <f>HYPERLINK("http://secrets.rutgers.edu:8080/data/asl-ftp/asllvd/demos/verify_start_end_handshape_annotations//test_auto_move//signs_mov_separ_signers/Tyler_3930.mov","MOV")</f>
        <v>21</v>
      </c>
    </row>
    <row r="396" s="2" customFormat="1" ht="13.5" customHeight="1">
      <c r="B396" s="13"/>
      <c r="C396" t="s" s="9">
        <v>27</v>
      </c>
      <c r="D396" t="s" s="8">
        <v>209</v>
      </c>
      <c r="E396" t="s" s="9">
        <v>209</v>
      </c>
      <c r="F396" t="s" s="10">
        <v>63</v>
      </c>
      <c r="G396" s="14"/>
      <c r="H396" t="s" s="10">
        <v>25</v>
      </c>
      <c r="I396" s="14"/>
      <c r="J396" t="s" s="11">
        <v>20</v>
      </c>
      <c r="K396" t="s" s="16">
        <f>HYPERLINK("http://csr.bu.edu/ftp/asl/asllvd/demos/verify_start_end_handshape_annotations//test_auto_move//signs_mov/3930.mov","MOV")</f>
        <v>21</v>
      </c>
      <c r="L396" t="s" s="16">
        <f>HYPERLINK("http://csr.bu.edu/ftp/asl/asllvd/demos/verify_start_end_handshape_annotations//test_auto_move//signs_mov_separ_signers/Naomi_3930.mov","MOV")</f>
        <v>21</v>
      </c>
      <c r="M396" t="s" s="10">
        <v>29</v>
      </c>
      <c r="N396" s="17">
        <v>8</v>
      </c>
      <c r="O396" s="18">
        <v>2922</v>
      </c>
      <c r="P396" s="18">
        <v>2942</v>
      </c>
      <c r="Q396" t="s" s="16">
        <f>HYPERLINK("http://secrets.rutgers.edu:8080/data/asl-ftp/asllvd/demos/verify_start_end_handshape_annotations//test_auto_move//signs_mov/3930.mov","MOV")</f>
        <v>21</v>
      </c>
      <c r="R396" t="s" s="16">
        <f>HYPERLINK("http://secrets.rutgers.edu:8080/data/asl-ftp/asllvd/demos/verify_start_end_handshape_annotations//test_auto_move//signs_mov_separ_signers/Naomi_3930.mov","MOV")</f>
        <v>21</v>
      </c>
    </row>
    <row r="397" s="2" customFormat="1" ht="13.5" customHeight="1">
      <c r="B397" s="13"/>
      <c r="C397" t="s" s="9">
        <v>30</v>
      </c>
      <c r="D397" t="s" s="8">
        <v>209</v>
      </c>
      <c r="E397" t="s" s="9">
        <v>209</v>
      </c>
      <c r="F397" t="s" s="10">
        <v>63</v>
      </c>
      <c r="G397" s="14"/>
      <c r="H397" t="s" s="10">
        <v>25</v>
      </c>
      <c r="I397" s="14"/>
      <c r="J397" t="s" s="11">
        <v>20</v>
      </c>
      <c r="K397" s="15"/>
      <c r="L397" t="s" s="16">
        <f>HYPERLINK("http://csr.bu.edu/ftp/asl/asllvd/demos/verify_start_end_handshape_annotations//test_auto_move//signs_mov_separ_signers/Brady_3930.mov","MOV")</f>
        <v>21</v>
      </c>
      <c r="M397" t="s" s="10">
        <v>31</v>
      </c>
      <c r="N397" s="17">
        <v>10</v>
      </c>
      <c r="O397" s="18">
        <v>7838</v>
      </c>
      <c r="P397" s="18">
        <v>7857</v>
      </c>
      <c r="Q397" s="15"/>
      <c r="R397" t="s" s="16">
        <f>HYPERLINK("http://secrets.rutgers.edu:8080/data/asl-ftp/asllvd/demos/verify_start_end_handshape_annotations//test_auto_move//signs_mov_separ_signers/Brady_3930.mov","MOV")</f>
        <v>21</v>
      </c>
    </row>
    <row r="398" s="2" customFormat="1" ht="13.5" customHeight="1">
      <c r="B398" s="13"/>
      <c r="C398" t="s" s="9">
        <v>43</v>
      </c>
      <c r="D398" t="s" s="8">
        <v>209</v>
      </c>
      <c r="E398" t="s" s="9">
        <v>209</v>
      </c>
      <c r="F398" t="s" s="10">
        <v>63</v>
      </c>
      <c r="G398" s="14"/>
      <c r="H398" t="s" s="10">
        <v>25</v>
      </c>
      <c r="I398" s="14"/>
      <c r="J398" t="s" s="11">
        <v>20</v>
      </c>
      <c r="K398" s="15"/>
      <c r="L398" t="s" s="16">
        <f>HYPERLINK("http://csr.bu.edu/ftp/asl/asllvd/demos/verify_start_end_handshape_annotations//test_auto_move//signs_mov_separ_signers/Dana_3930.mov","MOV")</f>
        <v>21</v>
      </c>
      <c r="M398" t="s" s="10">
        <v>44</v>
      </c>
      <c r="N398" s="17">
        <v>5</v>
      </c>
      <c r="O398" s="18">
        <v>450</v>
      </c>
      <c r="P398" s="18">
        <v>488</v>
      </c>
      <c r="Q398" s="15"/>
      <c r="R398" t="s" s="16">
        <f>HYPERLINK("http://secrets.rutgers.edu:8080/data/asl-ftp/asllvd/demos/verify_start_end_handshape_annotations//test_auto_move//signs_mov_separ_signers/Dana_3930.mov","MOV")</f>
        <v>21</v>
      </c>
    </row>
    <row r="399" s="2" customFormat="1" ht="13.5" customHeight="1">
      <c r="B399" t="s" s="8">
        <v>52</v>
      </c>
      <c r="C399" t="s" s="9">
        <v>53</v>
      </c>
      <c r="D399" t="s" s="8">
        <v>53</v>
      </c>
      <c r="E399" t="s" s="9">
        <v>53</v>
      </c>
      <c r="F399" t="s" s="10">
        <v>53</v>
      </c>
      <c r="G399" t="s" s="11">
        <v>53</v>
      </c>
      <c r="H399" t="s" s="10">
        <v>53</v>
      </c>
      <c r="I399" t="s" s="11">
        <v>53</v>
      </c>
      <c r="J399" t="s" s="11">
        <v>53</v>
      </c>
      <c r="K399" t="s" s="12">
        <v>53</v>
      </c>
      <c r="L399" t="s" s="12">
        <v>53</v>
      </c>
      <c r="M399" t="s" s="10">
        <v>53</v>
      </c>
      <c r="N399" t="s" s="11">
        <v>53</v>
      </c>
      <c r="O399" t="s" s="8">
        <v>53</v>
      </c>
      <c r="P399" t="s" s="8">
        <v>53</v>
      </c>
      <c r="Q399" t="s" s="12">
        <v>53</v>
      </c>
      <c r="R399" t="s" s="12">
        <v>53</v>
      </c>
    </row>
    <row r="400" s="2" customFormat="1" ht="13.5" customHeight="1">
      <c r="B400" s="13"/>
      <c r="C400" t="s" s="9">
        <v>41</v>
      </c>
      <c r="D400" t="s" s="8">
        <v>209</v>
      </c>
      <c r="E400" t="s" s="9">
        <v>210</v>
      </c>
      <c r="F400" t="s" s="10">
        <v>63</v>
      </c>
      <c r="G400" s="14"/>
      <c r="H400" t="s" s="10">
        <v>25</v>
      </c>
      <c r="I400" s="14"/>
      <c r="J400" t="s" s="11">
        <v>20</v>
      </c>
      <c r="K400" t="s" s="16">
        <f>HYPERLINK("http://csr.bu.edu/ftp/asl/asllvd/demos/verify_start_end_handshape_annotations//test_auto_move//signs_mov/15007.mov","MOV")</f>
        <v>21</v>
      </c>
      <c r="L400" t="s" s="16">
        <f>HYPERLINK("http://csr.bu.edu/ftp/asl/asllvd/demos/verify_start_end_handshape_annotations//test_auto_move//signs_mov_separ_signers/Lana_15007.mov","MOV")</f>
        <v>21</v>
      </c>
      <c r="M400" t="s" s="10">
        <v>42</v>
      </c>
      <c r="N400" s="17">
        <v>2</v>
      </c>
      <c r="O400" s="18">
        <v>396</v>
      </c>
      <c r="P400" s="18">
        <v>416</v>
      </c>
      <c r="Q400" t="s" s="16">
        <f>HYPERLINK("http://secrets.rutgers.edu:8080/data/asl-ftp/asllvd/demos/verify_start_end_handshape_annotations//test_auto_move//signs_mov/15007.mov","MOV")</f>
        <v>21</v>
      </c>
      <c r="R400" t="s" s="16">
        <f>HYPERLINK("http://secrets.rutgers.edu:8080/data/asl-ftp/asllvd/demos/verify_start_end_handshape_annotations//test_auto_move//signs_mov_separ_signers/Lana_15007.mov","MOV")</f>
        <v>21</v>
      </c>
    </row>
    <row r="401" s="2" customFormat="1" ht="13.5" customHeight="1">
      <c r="B401" t="s" s="8">
        <v>211</v>
      </c>
      <c r="C401" t="s" s="9">
        <v>14</v>
      </c>
      <c r="D401" t="s" s="8">
        <v>14</v>
      </c>
      <c r="E401" t="s" s="9">
        <v>14</v>
      </c>
      <c r="F401" t="s" s="10">
        <v>14</v>
      </c>
      <c r="G401" t="s" s="11">
        <v>14</v>
      </c>
      <c r="H401" t="s" s="10">
        <v>14</v>
      </c>
      <c r="I401" t="s" s="11">
        <v>14</v>
      </c>
      <c r="J401" t="s" s="11">
        <v>14</v>
      </c>
      <c r="K401" t="s" s="12">
        <v>14</v>
      </c>
      <c r="L401" t="s" s="12">
        <v>14</v>
      </c>
      <c r="M401" t="s" s="10">
        <v>14</v>
      </c>
      <c r="N401" t="s" s="11">
        <v>14</v>
      </c>
      <c r="O401" t="s" s="8">
        <v>14</v>
      </c>
      <c r="P401" t="s" s="8">
        <v>14</v>
      </c>
      <c r="Q401" t="s" s="12">
        <v>14</v>
      </c>
      <c r="R401" t="s" s="12">
        <v>14</v>
      </c>
    </row>
    <row r="402" s="2" customFormat="1" ht="13.5" customHeight="1">
      <c r="B402" s="13"/>
      <c r="C402" t="s" s="9">
        <v>16</v>
      </c>
      <c r="D402" t="s" s="8">
        <v>211</v>
      </c>
      <c r="E402" t="s" s="9">
        <v>211</v>
      </c>
      <c r="F402" t="s" s="10">
        <v>73</v>
      </c>
      <c r="G402" t="s" s="11">
        <v>73</v>
      </c>
      <c r="H402" t="s" s="10">
        <v>73</v>
      </c>
      <c r="I402" t="s" s="11">
        <v>73</v>
      </c>
      <c r="J402" t="s" s="11">
        <v>136</v>
      </c>
      <c r="K402" s="15"/>
      <c r="L402" t="s" s="16">
        <f>HYPERLINK("http://csr.bu.edu/ftp/asl/asllvd/demos/verify_start_end_handshape_annotations//test_auto_move//signs_mov_separ_signers/Liz_75.mov","MOV")</f>
        <v>21</v>
      </c>
      <c r="M402" t="s" s="10">
        <v>22</v>
      </c>
      <c r="N402" s="17">
        <v>11</v>
      </c>
      <c r="O402" s="18">
        <v>706</v>
      </c>
      <c r="P402" s="18">
        <v>765</v>
      </c>
      <c r="Q402" s="15"/>
      <c r="R402" t="s" s="16">
        <f>HYPERLINK("http://secrets.rutgers.edu:8080/data/asl-ftp/asllvd/demos/verify_start_end_handshape_annotations//test_auto_move//signs_mov_separ_signers/Liz_75.mov","MOV")</f>
        <v>21</v>
      </c>
    </row>
    <row r="403" s="2" customFormat="1" ht="13.5" customHeight="1">
      <c r="B403" s="13"/>
      <c r="C403" t="s" s="9">
        <v>23</v>
      </c>
      <c r="D403" t="s" s="8">
        <v>211</v>
      </c>
      <c r="E403" t="s" s="9">
        <v>211</v>
      </c>
      <c r="F403" t="s" s="10">
        <v>73</v>
      </c>
      <c r="G403" t="s" s="11">
        <v>73</v>
      </c>
      <c r="H403" s="19">
        <v>5</v>
      </c>
      <c r="I403" t="s" s="11">
        <v>73</v>
      </c>
      <c r="J403" t="s" s="11">
        <v>136</v>
      </c>
      <c r="K403" t="s" s="16">
        <f>HYPERLINK("http://csr.bu.edu/ftp/asl/asllvd/demos/verify_start_end_handshape_annotations//test_auto_move//signs_mov/75.mov","MOV")</f>
        <v>21</v>
      </c>
      <c r="L403" t="s" s="16">
        <f>HYPERLINK("http://csr.bu.edu/ftp/asl/asllvd/demos/verify_start_end_handshape_annotations//test_auto_move//signs_mov_separ_signers/Tyler_75.mov","MOV")</f>
        <v>21</v>
      </c>
      <c r="M403" t="s" s="10">
        <v>26</v>
      </c>
      <c r="N403" s="17">
        <v>9</v>
      </c>
      <c r="O403" s="18">
        <v>1312</v>
      </c>
      <c r="P403" s="18">
        <v>1345</v>
      </c>
      <c r="Q403" t="s" s="16">
        <f>HYPERLINK("http://secrets.rutgers.edu:8080/data/asl-ftp/asllvd/demos/verify_start_end_handshape_annotations//test_auto_move//signs_mov/75.mov","MOV")</f>
        <v>21</v>
      </c>
      <c r="R403" t="s" s="16">
        <f>HYPERLINK("http://secrets.rutgers.edu:8080/data/asl-ftp/asllvd/demos/verify_start_end_handshape_annotations//test_auto_move//signs_mov_separ_signers/Tyler_75.mov","MOV")</f>
        <v>21</v>
      </c>
    </row>
    <row r="404" s="2" customFormat="1" ht="13.5" customHeight="1">
      <c r="B404" s="13"/>
      <c r="C404" t="s" s="9">
        <v>27</v>
      </c>
      <c r="D404" t="s" s="8">
        <v>211</v>
      </c>
      <c r="E404" t="s" s="9">
        <v>211</v>
      </c>
      <c r="F404" t="s" s="10">
        <v>150</v>
      </c>
      <c r="G404" t="s" s="11">
        <v>73</v>
      </c>
      <c r="H404" t="s" s="10">
        <v>73</v>
      </c>
      <c r="I404" t="s" s="11">
        <v>73</v>
      </c>
      <c r="J404" t="s" s="11">
        <v>136</v>
      </c>
      <c r="K404" s="15"/>
      <c r="L404" t="s" s="16">
        <f>HYPERLINK("http://csr.bu.edu/ftp/asl/asllvd/demos/verify_start_end_handshape_annotations//test_auto_move//signs_mov_separ_signers/Naomi_75.mov","MOV")</f>
        <v>21</v>
      </c>
      <c r="M404" t="s" s="10">
        <v>29</v>
      </c>
      <c r="N404" s="17">
        <v>8</v>
      </c>
      <c r="O404" s="18">
        <v>1950</v>
      </c>
      <c r="P404" s="18">
        <v>1988</v>
      </c>
      <c r="Q404" s="15"/>
      <c r="R404" t="s" s="16">
        <f>HYPERLINK("http://secrets.rutgers.edu:8080/data/asl-ftp/asllvd/demos/verify_start_end_handshape_annotations//test_auto_move//signs_mov_separ_signers/Naomi_75.mov","MOV")</f>
        <v>21</v>
      </c>
    </row>
    <row r="405" s="2" customFormat="1" ht="13.5" customHeight="1">
      <c r="B405" s="13"/>
      <c r="C405" t="s" s="9">
        <v>30</v>
      </c>
      <c r="D405" t="s" s="8">
        <v>211</v>
      </c>
      <c r="E405" t="s" s="9">
        <v>211</v>
      </c>
      <c r="F405" t="s" s="10">
        <v>55</v>
      </c>
      <c r="G405" t="s" s="11">
        <v>55</v>
      </c>
      <c r="H405" s="19">
        <v>5</v>
      </c>
      <c r="I405" t="s" s="11">
        <v>55</v>
      </c>
      <c r="J405" t="s" s="11">
        <v>136</v>
      </c>
      <c r="K405" s="15"/>
      <c r="L405" t="s" s="16">
        <f>HYPERLINK("http://csr.bu.edu/ftp/asl/asllvd/demos/verify_start_end_handshape_annotations//test_auto_move//signs_mov_separ_signers/Brady_75.mov","MOV")</f>
        <v>21</v>
      </c>
      <c r="M405" t="s" s="10">
        <v>31</v>
      </c>
      <c r="N405" s="17">
        <v>10</v>
      </c>
      <c r="O405" s="18">
        <v>8057</v>
      </c>
      <c r="P405" s="18">
        <v>8085</v>
      </c>
      <c r="Q405" s="15"/>
      <c r="R405" t="s" s="16">
        <f>HYPERLINK("http://secrets.rutgers.edu:8080/data/asl-ftp/asllvd/demos/verify_start_end_handshape_annotations//test_auto_move//signs_mov_separ_signers/Brady_75.mov","MOV")</f>
        <v>21</v>
      </c>
    </row>
    <row r="406" s="2" customFormat="1" ht="13.5" customHeight="1">
      <c r="B406" t="s" s="8">
        <v>212</v>
      </c>
      <c r="C406" t="s" s="9">
        <v>14</v>
      </c>
      <c r="D406" t="s" s="8">
        <v>14</v>
      </c>
      <c r="E406" t="s" s="9">
        <v>14</v>
      </c>
      <c r="F406" t="s" s="10">
        <v>14</v>
      </c>
      <c r="G406" t="s" s="11">
        <v>14</v>
      </c>
      <c r="H406" t="s" s="10">
        <v>14</v>
      </c>
      <c r="I406" t="s" s="11">
        <v>14</v>
      </c>
      <c r="J406" t="s" s="11">
        <v>14</v>
      </c>
      <c r="K406" t="s" s="12">
        <v>14</v>
      </c>
      <c r="L406" t="s" s="12">
        <v>14</v>
      </c>
      <c r="M406" t="s" s="10">
        <v>14</v>
      </c>
      <c r="N406" t="s" s="11">
        <v>14</v>
      </c>
      <c r="O406" t="s" s="8">
        <v>14</v>
      </c>
      <c r="P406" t="s" s="8">
        <v>14</v>
      </c>
      <c r="Q406" t="s" s="12">
        <v>14</v>
      </c>
      <c r="R406" t="s" s="12">
        <v>14</v>
      </c>
    </row>
    <row r="407" s="2" customFormat="1" ht="13.5" customHeight="1">
      <c r="B407" s="13"/>
      <c r="C407" t="s" s="9">
        <v>16</v>
      </c>
      <c r="D407" t="s" s="8">
        <v>212</v>
      </c>
      <c r="E407" t="s" s="9">
        <v>212</v>
      </c>
      <c r="F407" s="19">
        <v>5</v>
      </c>
      <c r="G407" t="s" s="11">
        <v>73</v>
      </c>
      <c r="H407" t="s" s="10">
        <v>68</v>
      </c>
      <c r="I407" t="s" s="11">
        <v>73</v>
      </c>
      <c r="J407" t="s" s="11">
        <v>20</v>
      </c>
      <c r="K407" s="15"/>
      <c r="L407" t="s" s="16">
        <f>HYPERLINK("http://csr.bu.edu/ftp/asl/asllvd/demos/verify_start_end_handshape_annotations//test_auto_move//signs_mov_separ_signers/Liz_76.mov","MOV")</f>
        <v>21</v>
      </c>
      <c r="M407" t="s" s="10">
        <v>22</v>
      </c>
      <c r="N407" s="17">
        <v>11</v>
      </c>
      <c r="O407" s="18">
        <v>950</v>
      </c>
      <c r="P407" s="18">
        <v>980</v>
      </c>
      <c r="Q407" s="15"/>
      <c r="R407" t="s" s="16">
        <f>HYPERLINK("http://secrets.rutgers.edu:8080/data/asl-ftp/asllvd/demos/verify_start_end_handshape_annotations//test_auto_move//signs_mov_separ_signers/Liz_76.mov","MOV")</f>
        <v>21</v>
      </c>
    </row>
    <row r="408" s="2" customFormat="1" ht="13.5" customHeight="1">
      <c r="B408" s="13"/>
      <c r="C408" t="s" s="9">
        <v>23</v>
      </c>
      <c r="D408" t="s" s="8">
        <v>212</v>
      </c>
      <c r="E408" t="s" s="9">
        <v>212</v>
      </c>
      <c r="F408" s="19">
        <v>5</v>
      </c>
      <c r="G408" t="s" s="11">
        <v>73</v>
      </c>
      <c r="H408" t="s" s="10">
        <v>68</v>
      </c>
      <c r="I408" t="s" s="11">
        <v>73</v>
      </c>
      <c r="J408" t="s" s="11">
        <v>20</v>
      </c>
      <c r="K408" s="15"/>
      <c r="L408" t="s" s="16">
        <f>HYPERLINK("http://csr.bu.edu/ftp/asl/asllvd/demos/verify_start_end_handshape_annotations//test_auto_move//signs_mov_separ_signers/Tyler_76.mov","MOV")</f>
        <v>21</v>
      </c>
      <c r="M408" t="s" s="10">
        <v>26</v>
      </c>
      <c r="N408" s="17">
        <v>9</v>
      </c>
      <c r="O408" s="18">
        <v>1612</v>
      </c>
      <c r="P408" s="18">
        <v>1640</v>
      </c>
      <c r="Q408" s="15"/>
      <c r="R408" t="s" s="16">
        <f>HYPERLINK("http://secrets.rutgers.edu:8080/data/asl-ftp/asllvd/demos/verify_start_end_handshape_annotations//test_auto_move//signs_mov_separ_signers/Tyler_76.mov","MOV")</f>
        <v>21</v>
      </c>
    </row>
    <row r="409" s="2" customFormat="1" ht="13.5" customHeight="1">
      <c r="B409" s="13"/>
      <c r="C409" t="s" s="9">
        <v>27</v>
      </c>
      <c r="D409" t="s" s="8">
        <v>212</v>
      </c>
      <c r="E409" t="s" s="9">
        <v>212</v>
      </c>
      <c r="F409" s="19">
        <v>5</v>
      </c>
      <c r="G409" t="s" s="11">
        <v>73</v>
      </c>
      <c r="H409" t="s" s="10">
        <v>68</v>
      </c>
      <c r="I409" t="s" s="11">
        <v>73</v>
      </c>
      <c r="J409" t="s" s="11">
        <v>20</v>
      </c>
      <c r="K409" t="s" s="16">
        <f>HYPERLINK("http://csr.bu.edu/ftp/asl/asllvd/demos/verify_start_end_handshape_annotations//test_auto_move//signs_mov/76.mov","MOV")</f>
        <v>21</v>
      </c>
      <c r="L409" t="s" s="16">
        <f>HYPERLINK("http://csr.bu.edu/ftp/asl/asllvd/demos/verify_start_end_handshape_annotations//test_auto_move//signs_mov_separ_signers/Naomi_76.mov","MOV")</f>
        <v>21</v>
      </c>
      <c r="M409" t="s" s="10">
        <v>29</v>
      </c>
      <c r="N409" s="17">
        <v>8</v>
      </c>
      <c r="O409" s="18">
        <v>2210</v>
      </c>
      <c r="P409" s="18">
        <v>2241</v>
      </c>
      <c r="Q409" t="s" s="16">
        <f>HYPERLINK("http://secrets.rutgers.edu:8080/data/asl-ftp/asllvd/demos/verify_start_end_handshape_annotations//test_auto_move//signs_mov/76.mov","MOV")</f>
        <v>21</v>
      </c>
      <c r="R409" t="s" s="16">
        <f>HYPERLINK("http://secrets.rutgers.edu:8080/data/asl-ftp/asllvd/demos/verify_start_end_handshape_annotations//test_auto_move//signs_mov_separ_signers/Naomi_76.mov","MOV")</f>
        <v>21</v>
      </c>
    </row>
    <row r="410" s="2" customFormat="1" ht="13.5" customHeight="1">
      <c r="B410" s="13"/>
      <c r="C410" t="s" s="9">
        <v>30</v>
      </c>
      <c r="D410" t="s" s="8">
        <v>212</v>
      </c>
      <c r="E410" t="s" s="9">
        <v>212</v>
      </c>
      <c r="F410" s="19">
        <v>5</v>
      </c>
      <c r="G410" t="s" s="11">
        <v>73</v>
      </c>
      <c r="H410" t="s" s="10">
        <v>68</v>
      </c>
      <c r="I410" t="s" s="11">
        <v>73</v>
      </c>
      <c r="J410" t="s" s="11">
        <v>20</v>
      </c>
      <c r="K410" s="15"/>
      <c r="L410" t="s" s="16">
        <f>HYPERLINK("http://csr.bu.edu/ftp/asl/asllvd/demos/verify_start_end_handshape_annotations//test_auto_move//signs_mov_separ_signers/Brady_76.mov","MOV")</f>
        <v>21</v>
      </c>
      <c r="M410" t="s" s="10">
        <v>31</v>
      </c>
      <c r="N410" s="17">
        <v>10</v>
      </c>
      <c r="O410" s="18">
        <v>8299</v>
      </c>
      <c r="P410" s="18">
        <v>8319</v>
      </c>
      <c r="Q410" s="15"/>
      <c r="R410" t="s" s="16">
        <f>HYPERLINK("http://secrets.rutgers.edu:8080/data/asl-ftp/asllvd/demos/verify_start_end_handshape_annotations//test_auto_move//signs_mov_separ_signers/Brady_76.mov","MOV")</f>
        <v>21</v>
      </c>
    </row>
    <row r="411" s="2" customFormat="1" ht="13.5" customHeight="1">
      <c r="B411" s="13"/>
      <c r="C411" t="s" s="9">
        <v>41</v>
      </c>
      <c r="D411" t="s" s="8">
        <v>212</v>
      </c>
      <c r="E411" t="s" s="9">
        <v>212</v>
      </c>
      <c r="F411" s="19">
        <v>5</v>
      </c>
      <c r="G411" t="s" s="11">
        <v>73</v>
      </c>
      <c r="H411" t="s" s="10">
        <v>68</v>
      </c>
      <c r="I411" t="s" s="11">
        <v>73</v>
      </c>
      <c r="J411" t="s" s="11">
        <v>20</v>
      </c>
      <c r="K411" s="15"/>
      <c r="L411" t="s" s="16">
        <f>HYPERLINK("http://csr.bu.edu/ftp/asl/asllvd/demos/verify_start_end_handshape_annotations//test_auto_move//signs_mov_separ_signers/Lana_76.mov","MOV")</f>
        <v>21</v>
      </c>
      <c r="M411" t="s" s="10">
        <v>42</v>
      </c>
      <c r="N411" s="17">
        <v>24</v>
      </c>
      <c r="O411" s="18">
        <v>1080</v>
      </c>
      <c r="P411" s="18">
        <v>1093</v>
      </c>
      <c r="Q411" s="15"/>
      <c r="R411" t="s" s="16">
        <f>HYPERLINK("http://secrets.rutgers.edu:8080/data/asl-ftp/asllvd/demos/verify_start_end_handshape_annotations//test_auto_move//signs_mov_separ_signers/Lana_76.mov","MOV")</f>
        <v>21</v>
      </c>
    </row>
    <row r="412" s="2" customFormat="1" ht="13.5" customHeight="1">
      <c r="B412" t="s" s="8">
        <v>213</v>
      </c>
      <c r="C412" t="s" s="9">
        <v>14</v>
      </c>
      <c r="D412" t="s" s="8">
        <v>14</v>
      </c>
      <c r="E412" t="s" s="9">
        <v>14</v>
      </c>
      <c r="F412" t="s" s="10">
        <v>14</v>
      </c>
      <c r="G412" t="s" s="11">
        <v>14</v>
      </c>
      <c r="H412" t="s" s="10">
        <v>14</v>
      </c>
      <c r="I412" t="s" s="11">
        <v>14</v>
      </c>
      <c r="J412" t="s" s="11">
        <v>14</v>
      </c>
      <c r="K412" t="s" s="12">
        <v>14</v>
      </c>
      <c r="L412" t="s" s="12">
        <v>14</v>
      </c>
      <c r="M412" t="s" s="10">
        <v>14</v>
      </c>
      <c r="N412" t="s" s="11">
        <v>14</v>
      </c>
      <c r="O412" t="s" s="8">
        <v>14</v>
      </c>
      <c r="P412" t="s" s="8">
        <v>14</v>
      </c>
      <c r="Q412" t="s" s="12">
        <v>14</v>
      </c>
      <c r="R412" t="s" s="12">
        <v>14</v>
      </c>
    </row>
    <row r="413" s="2" customFormat="1" ht="13.5" customHeight="1">
      <c r="B413" s="13"/>
      <c r="C413" t="s" s="9">
        <v>16</v>
      </c>
      <c r="D413" t="s" s="8">
        <v>213</v>
      </c>
      <c r="E413" t="s" s="9">
        <v>214</v>
      </c>
      <c r="F413" t="s" s="10">
        <v>73</v>
      </c>
      <c r="G413" t="s" s="11">
        <v>73</v>
      </c>
      <c r="H413" t="s" s="10">
        <v>73</v>
      </c>
      <c r="I413" t="s" s="11">
        <v>73</v>
      </c>
      <c r="J413" t="s" s="11">
        <v>20</v>
      </c>
      <c r="K413" s="15"/>
      <c r="L413" t="s" s="16">
        <f>HYPERLINK("http://csr.bu.edu/ftp/asl/asllvd/demos/verify_start_end_handshape_annotations//test_auto_move//signs_mov_separ_signers/Liz_78.mov","MOV")</f>
        <v>21</v>
      </c>
      <c r="M413" t="s" s="10">
        <v>22</v>
      </c>
      <c r="N413" s="17">
        <v>11</v>
      </c>
      <c r="O413" s="18">
        <v>1440</v>
      </c>
      <c r="P413" s="18">
        <v>1475</v>
      </c>
      <c r="Q413" s="15"/>
      <c r="R413" t="s" s="16">
        <f>HYPERLINK("http://secrets.rutgers.edu:8080/data/asl-ftp/asllvd/demos/verify_start_end_handshape_annotations//test_auto_move//signs_mov_separ_signers/Liz_78.mov","MOV")</f>
        <v>21</v>
      </c>
    </row>
    <row r="414" s="2" customFormat="1" ht="13.5" customHeight="1">
      <c r="B414" s="13"/>
      <c r="C414" t="s" s="9">
        <v>23</v>
      </c>
      <c r="D414" t="s" s="8">
        <v>213</v>
      </c>
      <c r="E414" t="s" s="9">
        <v>215</v>
      </c>
      <c r="F414" t="s" s="10">
        <v>73</v>
      </c>
      <c r="G414" t="s" s="11">
        <v>73</v>
      </c>
      <c r="H414" t="s" s="10">
        <v>73</v>
      </c>
      <c r="I414" t="s" s="11">
        <v>73</v>
      </c>
      <c r="J414" t="s" s="11">
        <v>20</v>
      </c>
      <c r="K414" s="15"/>
      <c r="L414" t="s" s="16">
        <f>HYPERLINK("http://csr.bu.edu/ftp/asl/asllvd/demos/verify_start_end_handshape_annotations//test_auto_move//signs_mov_separ_signers/Tyler_78.mov","MOV")</f>
        <v>21</v>
      </c>
      <c r="M414" t="s" s="10">
        <v>26</v>
      </c>
      <c r="N414" s="17">
        <v>9</v>
      </c>
      <c r="O414" s="18">
        <v>2300</v>
      </c>
      <c r="P414" s="18">
        <v>2335</v>
      </c>
      <c r="Q414" s="15"/>
      <c r="R414" t="s" s="16">
        <f>HYPERLINK("http://secrets.rutgers.edu:8080/data/asl-ftp/asllvd/demos/verify_start_end_handshape_annotations//test_auto_move//signs_mov_separ_signers/Tyler_78.mov","MOV")</f>
        <v>21</v>
      </c>
    </row>
    <row r="415" s="2" customFormat="1" ht="13.5" customHeight="1">
      <c r="B415" s="13"/>
      <c r="C415" t="s" s="9">
        <v>27</v>
      </c>
      <c r="D415" t="s" s="8">
        <v>213</v>
      </c>
      <c r="E415" t="s" s="9">
        <v>215</v>
      </c>
      <c r="F415" t="s" s="10">
        <v>150</v>
      </c>
      <c r="G415" t="s" s="11">
        <v>150</v>
      </c>
      <c r="H415" t="s" s="10">
        <v>150</v>
      </c>
      <c r="I415" t="s" s="11">
        <v>150</v>
      </c>
      <c r="J415" t="s" s="11">
        <v>20</v>
      </c>
      <c r="K415" t="s" s="16">
        <f>HYPERLINK("http://csr.bu.edu/ftp/asl/asllvd/demos/verify_start_end_handshape_annotations//test_auto_move//signs_mov/78.mov","MOV")</f>
        <v>21</v>
      </c>
      <c r="L415" t="s" s="16">
        <f>HYPERLINK("http://csr.bu.edu/ftp/asl/asllvd/demos/verify_start_end_handshape_annotations//test_auto_move//signs_mov_separ_signers/Naomi_78.mov","MOV")</f>
        <v>21</v>
      </c>
      <c r="M415" t="s" s="10">
        <v>29</v>
      </c>
      <c r="N415" s="17">
        <v>8</v>
      </c>
      <c r="O415" s="18">
        <v>2680</v>
      </c>
      <c r="P415" s="18">
        <v>2722</v>
      </c>
      <c r="Q415" t="s" s="16">
        <f>HYPERLINK("http://secrets.rutgers.edu:8080/data/asl-ftp/asllvd/demos/verify_start_end_handshape_annotations//test_auto_move//signs_mov/78.mov","MOV")</f>
        <v>21</v>
      </c>
      <c r="R415" t="s" s="16">
        <f>HYPERLINK("http://secrets.rutgers.edu:8080/data/asl-ftp/asllvd/demos/verify_start_end_handshape_annotations//test_auto_move//signs_mov_separ_signers/Naomi_78.mov","MOV")</f>
        <v>21</v>
      </c>
    </row>
    <row r="416" s="2" customFormat="1" ht="13.5" customHeight="1">
      <c r="B416" s="13"/>
      <c r="C416" t="s" s="9">
        <v>30</v>
      </c>
      <c r="D416" t="s" s="8">
        <v>213</v>
      </c>
      <c r="E416" t="s" s="9">
        <v>214</v>
      </c>
      <c r="F416" t="s" s="10">
        <v>73</v>
      </c>
      <c r="G416" t="s" s="11">
        <v>73</v>
      </c>
      <c r="H416" t="s" s="10">
        <v>73</v>
      </c>
      <c r="I416" t="s" s="11">
        <v>73</v>
      </c>
      <c r="J416" t="s" s="11">
        <v>20</v>
      </c>
      <c r="K416" s="15"/>
      <c r="L416" t="s" s="16">
        <f>HYPERLINK("http://csr.bu.edu/ftp/asl/asllvd/demos/verify_start_end_handshape_annotations//test_auto_move//signs_mov_separ_signers/Brady_78.mov","MOV")</f>
        <v>21</v>
      </c>
      <c r="M416" t="s" s="10">
        <v>31</v>
      </c>
      <c r="N416" s="17">
        <v>10</v>
      </c>
      <c r="O416" s="18">
        <v>8767</v>
      </c>
      <c r="P416" s="18">
        <v>8789</v>
      </c>
      <c r="Q416" s="15"/>
      <c r="R416" t="s" s="16">
        <f>HYPERLINK("http://secrets.rutgers.edu:8080/data/asl-ftp/asllvd/demos/verify_start_end_handshape_annotations//test_auto_move//signs_mov_separ_signers/Brady_78.mov","MOV")</f>
        <v>21</v>
      </c>
    </row>
    <row r="417" s="2" customFormat="1" ht="13.5" customHeight="1">
      <c r="B417" s="13"/>
      <c r="C417" t="s" s="9">
        <v>41</v>
      </c>
      <c r="D417" t="s" s="8">
        <v>213</v>
      </c>
      <c r="E417" t="s" s="9">
        <v>214</v>
      </c>
      <c r="F417" t="s" s="10">
        <v>73</v>
      </c>
      <c r="G417" t="s" s="11">
        <v>73</v>
      </c>
      <c r="H417" t="s" s="10">
        <v>73</v>
      </c>
      <c r="I417" t="s" s="11">
        <v>73</v>
      </c>
      <c r="J417" t="s" s="11">
        <v>20</v>
      </c>
      <c r="K417" s="15"/>
      <c r="L417" t="s" s="16">
        <f>HYPERLINK("http://csr.bu.edu/ftp/asl/asllvd/demos/verify_start_end_handshape_annotations//test_auto_move//signs_mov_separ_signers/Lana_78.mov","MOV")</f>
        <v>21</v>
      </c>
      <c r="M417" t="s" s="10">
        <v>42</v>
      </c>
      <c r="N417" s="17">
        <v>2</v>
      </c>
      <c r="O417" s="18">
        <v>2365</v>
      </c>
      <c r="P417" s="18">
        <v>2396</v>
      </c>
      <c r="Q417" s="15"/>
      <c r="R417" t="s" s="16">
        <f>HYPERLINK("http://secrets.rutgers.edu:8080/data/asl-ftp/asllvd/demos/verify_start_end_handshape_annotations//test_auto_move//signs_mov_separ_signers/Lana_78.mov","MOV")</f>
        <v>21</v>
      </c>
    </row>
    <row r="418" s="2" customFormat="1" ht="13.5" customHeight="1">
      <c r="B418" s="13"/>
      <c r="C418" t="s" s="9">
        <v>43</v>
      </c>
      <c r="D418" t="s" s="8">
        <v>213</v>
      </c>
      <c r="E418" t="s" s="9">
        <v>214</v>
      </c>
      <c r="F418" t="s" s="10">
        <v>73</v>
      </c>
      <c r="G418" t="s" s="11">
        <v>73</v>
      </c>
      <c r="H418" t="s" s="10">
        <v>73</v>
      </c>
      <c r="I418" t="s" s="11">
        <v>73</v>
      </c>
      <c r="J418" t="s" s="11">
        <v>20</v>
      </c>
      <c r="K418" s="15"/>
      <c r="L418" t="s" s="16">
        <f>HYPERLINK("http://csr.bu.edu/ftp/asl/asllvd/demos/verify_start_end_handshape_annotations//test_auto_move//signs_mov_separ_signers/Dana_78.mov","MOV")</f>
        <v>21</v>
      </c>
      <c r="M418" t="s" s="10">
        <v>44</v>
      </c>
      <c r="N418" s="17">
        <v>5</v>
      </c>
      <c r="O418" s="18">
        <v>2750</v>
      </c>
      <c r="P418" s="18">
        <v>2781</v>
      </c>
      <c r="Q418" s="15"/>
      <c r="R418" t="s" s="16">
        <f>HYPERLINK("http://secrets.rutgers.edu:8080/data/asl-ftp/asllvd/demos/verify_start_end_handshape_annotations//test_auto_move//signs_mov_separ_signers/Dana_78.mov","MOV")</f>
        <v>21</v>
      </c>
    </row>
    <row r="419" s="2" customFormat="1" ht="13.5" customHeight="1">
      <c r="B419" t="s" s="8">
        <v>216</v>
      </c>
      <c r="C419" t="s" s="9">
        <v>14</v>
      </c>
      <c r="D419" t="s" s="8">
        <v>14</v>
      </c>
      <c r="E419" t="s" s="9">
        <v>14</v>
      </c>
      <c r="F419" t="s" s="10">
        <v>14</v>
      </c>
      <c r="G419" t="s" s="11">
        <v>14</v>
      </c>
      <c r="H419" t="s" s="10">
        <v>14</v>
      </c>
      <c r="I419" t="s" s="11">
        <v>14</v>
      </c>
      <c r="J419" t="s" s="11">
        <v>14</v>
      </c>
      <c r="K419" t="s" s="12">
        <v>14</v>
      </c>
      <c r="L419" t="s" s="12">
        <v>14</v>
      </c>
      <c r="M419" t="s" s="10">
        <v>14</v>
      </c>
      <c r="N419" t="s" s="11">
        <v>14</v>
      </c>
      <c r="O419" t="s" s="8">
        <v>14</v>
      </c>
      <c r="P419" t="s" s="8">
        <v>14</v>
      </c>
      <c r="Q419" t="s" s="12">
        <v>14</v>
      </c>
      <c r="R419" t="s" s="12">
        <v>14</v>
      </c>
    </row>
    <row r="420" s="2" customFormat="1" ht="13.5" customHeight="1">
      <c r="B420" s="13"/>
      <c r="C420" t="s" s="9">
        <v>16</v>
      </c>
      <c r="D420" t="s" s="8">
        <v>216</v>
      </c>
      <c r="E420" t="s" s="9">
        <v>216</v>
      </c>
      <c r="F420" t="s" s="10">
        <v>72</v>
      </c>
      <c r="G420" t="s" s="11">
        <v>72</v>
      </c>
      <c r="H420" t="s" s="10">
        <v>72</v>
      </c>
      <c r="I420" t="s" s="11">
        <v>72</v>
      </c>
      <c r="J420" t="s" s="11">
        <v>20</v>
      </c>
      <c r="K420" s="15"/>
      <c r="L420" t="s" s="16">
        <f>HYPERLINK("http://csr.bu.edu/ftp/asl/asllvd/demos/verify_start_end_handshape_annotations//test_auto_move//signs_mov_separ_signers/Liz_80.mov","MOV")</f>
        <v>21</v>
      </c>
      <c r="M420" t="s" s="10">
        <v>22</v>
      </c>
      <c r="N420" s="17">
        <v>12</v>
      </c>
      <c r="O420" s="18">
        <v>476</v>
      </c>
      <c r="P420" s="18">
        <v>515</v>
      </c>
      <c r="Q420" s="15"/>
      <c r="R420" t="s" s="16">
        <f>HYPERLINK("http://secrets.rutgers.edu:8080/data/asl-ftp/asllvd/demos/verify_start_end_handshape_annotations//test_auto_move//signs_mov_separ_signers/Liz_80.mov","MOV")</f>
        <v>21</v>
      </c>
    </row>
    <row r="421" s="2" customFormat="1" ht="13.5" customHeight="1">
      <c r="B421" s="13"/>
      <c r="C421" t="s" s="9">
        <v>23</v>
      </c>
      <c r="D421" t="s" s="8">
        <v>216</v>
      </c>
      <c r="E421" t="s" s="9">
        <v>217</v>
      </c>
      <c r="F421" t="s" s="10">
        <v>72</v>
      </c>
      <c r="G421" t="s" s="11">
        <v>72</v>
      </c>
      <c r="H421" t="s" s="10">
        <v>72</v>
      </c>
      <c r="I421" t="s" s="11">
        <v>72</v>
      </c>
      <c r="J421" t="s" s="11">
        <v>20</v>
      </c>
      <c r="K421" t="s" s="16">
        <f>HYPERLINK("http://csr.bu.edu/ftp/asl/asllvd/demos/verify_start_end_handshape_annotations//test_auto_move//signs_mov/80.mov","MOV")</f>
        <v>21</v>
      </c>
      <c r="L421" t="s" s="16">
        <f>HYPERLINK("http://csr.bu.edu/ftp/asl/asllvd/demos/verify_start_end_handshape_annotations//test_auto_move//signs_mov_separ_signers/Tyler_80.mov","MOV")</f>
        <v>21</v>
      </c>
      <c r="M421" t="s" s="10">
        <v>26</v>
      </c>
      <c r="N421" s="17">
        <v>9</v>
      </c>
      <c r="O421" s="18">
        <v>2821</v>
      </c>
      <c r="P421" s="18">
        <v>2890</v>
      </c>
      <c r="Q421" t="s" s="16">
        <f>HYPERLINK("http://secrets.rutgers.edu:8080/data/asl-ftp/asllvd/demos/verify_start_end_handshape_annotations//test_auto_move//signs_mov/80.mov","MOV")</f>
        <v>21</v>
      </c>
      <c r="R421" t="s" s="16">
        <f>HYPERLINK("http://secrets.rutgers.edu:8080/data/asl-ftp/asllvd/demos/verify_start_end_handshape_annotations//test_auto_move//signs_mov_separ_signers/Tyler_80.mov","MOV")</f>
        <v>21</v>
      </c>
    </row>
    <row r="422" s="2" customFormat="1" ht="13.5" customHeight="1">
      <c r="B422" s="13"/>
      <c r="C422" t="s" s="9">
        <v>27</v>
      </c>
      <c r="D422" t="s" s="8">
        <v>216</v>
      </c>
      <c r="E422" t="s" s="9">
        <v>216</v>
      </c>
      <c r="F422" t="s" s="10">
        <v>72</v>
      </c>
      <c r="G422" t="s" s="11">
        <v>72</v>
      </c>
      <c r="H422" t="s" s="10">
        <v>72</v>
      </c>
      <c r="I422" t="s" s="11">
        <v>72</v>
      </c>
      <c r="J422" t="s" s="11">
        <v>20</v>
      </c>
      <c r="K422" s="15"/>
      <c r="L422" t="s" s="16">
        <f>HYPERLINK("http://csr.bu.edu/ftp/asl/asllvd/demos/verify_start_end_handshape_annotations//test_auto_move//signs_mov_separ_signers/Naomi_80.mov","MOV")</f>
        <v>21</v>
      </c>
      <c r="M422" t="s" s="10">
        <v>29</v>
      </c>
      <c r="N422" s="17">
        <v>8</v>
      </c>
      <c r="O422" s="18">
        <v>3180</v>
      </c>
      <c r="P422" s="18">
        <v>3217</v>
      </c>
      <c r="Q422" s="15"/>
      <c r="R422" t="s" s="16">
        <f>HYPERLINK("http://secrets.rutgers.edu:8080/data/asl-ftp/asllvd/demos/verify_start_end_handshape_annotations//test_auto_move//signs_mov_separ_signers/Naomi_80.mov","MOV")</f>
        <v>21</v>
      </c>
    </row>
    <row r="423" s="2" customFormat="1" ht="13.5" customHeight="1">
      <c r="B423" s="13"/>
      <c r="C423" t="s" s="9">
        <v>30</v>
      </c>
      <c r="D423" t="s" s="8">
        <v>216</v>
      </c>
      <c r="E423" t="s" s="9">
        <v>216</v>
      </c>
      <c r="F423" t="s" s="10">
        <v>72</v>
      </c>
      <c r="G423" t="s" s="11">
        <v>72</v>
      </c>
      <c r="H423" t="s" s="10">
        <v>72</v>
      </c>
      <c r="I423" t="s" s="11">
        <v>72</v>
      </c>
      <c r="J423" t="s" s="11">
        <v>20</v>
      </c>
      <c r="K423" s="15"/>
      <c r="L423" t="s" s="16">
        <f>HYPERLINK("http://csr.bu.edu/ftp/asl/asllvd/demos/verify_start_end_handshape_annotations//test_auto_move//signs_mov_separ_signers/Brady_80.mov","MOV")</f>
        <v>21</v>
      </c>
      <c r="M423" t="s" s="10">
        <v>31</v>
      </c>
      <c r="N423" s="17">
        <v>10</v>
      </c>
      <c r="O423" s="18">
        <v>9239</v>
      </c>
      <c r="P423" s="18">
        <v>9269</v>
      </c>
      <c r="Q423" s="15"/>
      <c r="R423" t="s" s="16">
        <f>HYPERLINK("http://secrets.rutgers.edu:8080/data/asl-ftp/asllvd/demos/verify_start_end_handshape_annotations//test_auto_move//signs_mov_separ_signers/Brady_80.mov","MOV")</f>
        <v>21</v>
      </c>
    </row>
    <row r="424" s="2" customFormat="1" ht="13.5" customHeight="1">
      <c r="B424" t="s" s="8">
        <v>218</v>
      </c>
      <c r="C424" t="s" s="9">
        <v>14</v>
      </c>
      <c r="D424" t="s" s="8">
        <v>14</v>
      </c>
      <c r="E424" t="s" s="9">
        <v>14</v>
      </c>
      <c r="F424" t="s" s="10">
        <v>14</v>
      </c>
      <c r="G424" t="s" s="11">
        <v>14</v>
      </c>
      <c r="H424" t="s" s="10">
        <v>14</v>
      </c>
      <c r="I424" t="s" s="11">
        <v>14</v>
      </c>
      <c r="J424" t="s" s="11">
        <v>14</v>
      </c>
      <c r="K424" t="s" s="12">
        <v>14</v>
      </c>
      <c r="L424" t="s" s="12">
        <v>14</v>
      </c>
      <c r="M424" t="s" s="10">
        <v>14</v>
      </c>
      <c r="N424" t="s" s="11">
        <v>14</v>
      </c>
      <c r="O424" t="s" s="8">
        <v>14</v>
      </c>
      <c r="P424" t="s" s="8">
        <v>14</v>
      </c>
      <c r="Q424" t="s" s="12">
        <v>14</v>
      </c>
      <c r="R424" t="s" s="12">
        <v>14</v>
      </c>
    </row>
    <row r="425" s="2" customFormat="1" ht="13.5" customHeight="1">
      <c r="B425" s="13"/>
      <c r="C425" t="s" s="9">
        <v>16</v>
      </c>
      <c r="D425" t="s" s="8">
        <v>218</v>
      </c>
      <c r="E425" t="s" s="9">
        <v>218</v>
      </c>
      <c r="F425" t="s" s="10">
        <v>73</v>
      </c>
      <c r="G425" t="s" s="11">
        <v>73</v>
      </c>
      <c r="H425" t="s" s="10">
        <v>73</v>
      </c>
      <c r="I425" t="s" s="11">
        <v>73</v>
      </c>
      <c r="J425" t="s" s="11">
        <v>20</v>
      </c>
      <c r="K425" s="15"/>
      <c r="L425" t="s" s="16">
        <f>HYPERLINK("http://csr.bu.edu/ftp/asl/asllvd/demos/verify_start_end_handshape_annotations//test_auto_move//signs_mov_separ_signers/Liz_81.mov","MOV")</f>
        <v>21</v>
      </c>
      <c r="M425" t="s" s="10">
        <v>22</v>
      </c>
      <c r="N425" s="17">
        <v>12</v>
      </c>
      <c r="O425" s="18">
        <v>665</v>
      </c>
      <c r="P425" s="18">
        <v>685</v>
      </c>
      <c r="Q425" s="15"/>
      <c r="R425" t="s" s="16">
        <f>HYPERLINK("http://secrets.rutgers.edu:8080/data/asl-ftp/asllvd/demos/verify_start_end_handshape_annotations//test_auto_move//signs_mov_separ_signers/Liz_81.mov","MOV")</f>
        <v>21</v>
      </c>
    </row>
    <row r="426" s="2" customFormat="1" ht="13.5" customHeight="1">
      <c r="B426" s="13"/>
      <c r="C426" t="s" s="9">
        <v>16</v>
      </c>
      <c r="D426" t="s" s="8">
        <v>218</v>
      </c>
      <c r="E426" t="s" s="9">
        <v>218</v>
      </c>
      <c r="F426" t="s" s="10">
        <v>73</v>
      </c>
      <c r="G426" t="s" s="11">
        <v>73</v>
      </c>
      <c r="H426" t="s" s="10">
        <v>73</v>
      </c>
      <c r="I426" t="s" s="11">
        <v>73</v>
      </c>
      <c r="J426" t="s" s="11">
        <v>20</v>
      </c>
      <c r="K426" s="15"/>
      <c r="L426" t="s" s="16">
        <f>HYPERLINK("http://csr.bu.edu/ftp/asl/asllvd/demos/verify_start_end_handshape_annotations//test_auto_move//signs_mov_separ_signers/Liz_3671.mov","MOV")</f>
        <v>21</v>
      </c>
      <c r="M426" t="s" s="10">
        <v>34</v>
      </c>
      <c r="N426" s="17">
        <v>47</v>
      </c>
      <c r="O426" s="18">
        <v>1405</v>
      </c>
      <c r="P426" s="18">
        <v>1430</v>
      </c>
      <c r="Q426" s="15"/>
      <c r="R426" t="s" s="16">
        <f>HYPERLINK("http://secrets.rutgers.edu:8080/data/asl-ftp/asllvd/demos/verify_start_end_handshape_annotations//test_auto_move//signs_mov_separ_signers/Liz_3671.mov","MOV")</f>
        <v>21</v>
      </c>
    </row>
    <row r="427" s="2" customFormat="1" ht="13.5" customHeight="1">
      <c r="B427" s="13"/>
      <c r="C427" t="s" s="9">
        <v>23</v>
      </c>
      <c r="D427" t="s" s="8">
        <v>218</v>
      </c>
      <c r="E427" t="s" s="9">
        <v>218</v>
      </c>
      <c r="F427" t="s" s="10">
        <v>73</v>
      </c>
      <c r="G427" t="s" s="11">
        <v>73</v>
      </c>
      <c r="H427" t="s" s="10">
        <v>73</v>
      </c>
      <c r="I427" t="s" s="11">
        <v>73</v>
      </c>
      <c r="J427" t="s" s="11">
        <v>20</v>
      </c>
      <c r="K427" s="15"/>
      <c r="L427" t="s" s="16">
        <f>HYPERLINK("http://csr.bu.edu/ftp/asl/asllvd/demos/verify_start_end_handshape_annotations//test_auto_move//signs_mov_separ_signers/Tyler_81.mov","MOV")</f>
        <v>21</v>
      </c>
      <c r="M427" t="s" s="10">
        <v>26</v>
      </c>
      <c r="N427" s="17">
        <v>10</v>
      </c>
      <c r="O427" s="18">
        <v>630</v>
      </c>
      <c r="P427" s="18">
        <v>646</v>
      </c>
      <c r="Q427" s="15"/>
      <c r="R427" t="s" s="16">
        <f>HYPERLINK("http://secrets.rutgers.edu:8080/data/asl-ftp/asllvd/demos/verify_start_end_handshape_annotations//test_auto_move//signs_mov_separ_signers/Tyler_81.mov","MOV")</f>
        <v>21</v>
      </c>
    </row>
    <row r="428" s="2" customFormat="1" ht="13.5" customHeight="1">
      <c r="B428" s="13"/>
      <c r="C428" t="s" s="9">
        <v>23</v>
      </c>
      <c r="D428" t="s" s="8">
        <v>218</v>
      </c>
      <c r="E428" t="s" s="9">
        <v>218</v>
      </c>
      <c r="F428" t="s" s="10">
        <v>73</v>
      </c>
      <c r="G428" t="s" s="11">
        <v>73</v>
      </c>
      <c r="H428" t="s" s="10">
        <v>73</v>
      </c>
      <c r="I428" t="s" s="11">
        <v>73</v>
      </c>
      <c r="J428" t="s" s="11">
        <v>20</v>
      </c>
      <c r="K428" t="s" s="16">
        <f>HYPERLINK("http://csr.bu.edu/ftp/asl/asllvd/demos/verify_start_end_handshape_annotations//test_auto_move//signs_mov/81_3671_merged.mov","MOV")</f>
        <v>21</v>
      </c>
      <c r="L428" t="s" s="16">
        <f>HYPERLINK("http://csr.bu.edu/ftp/asl/asllvd/demos/verify_start_end_handshape_annotations//test_auto_move//signs_mov_separ_signers/Tyler_3671.mov","MOV")</f>
        <v>21</v>
      </c>
      <c r="M428" t="s" s="10">
        <v>37</v>
      </c>
      <c r="N428" s="17">
        <v>19</v>
      </c>
      <c r="O428" s="18">
        <v>2542</v>
      </c>
      <c r="P428" s="18">
        <v>2567</v>
      </c>
      <c r="Q428" t="s" s="16">
        <f>HYPERLINK("http://secrets.rutgers.edu:8080/data/asl-ftp/asllvd/demos/verify_start_end_handshape_annotations//test_auto_move//signs_mov/81_3671_merged.mov","MOV")</f>
        <v>21</v>
      </c>
      <c r="R428" t="s" s="16">
        <f>HYPERLINK("http://secrets.rutgers.edu:8080/data/asl-ftp/asllvd/demos/verify_start_end_handshape_annotations//test_auto_move//signs_mov_separ_signers/Tyler_3671.mov","MOV")</f>
        <v>21</v>
      </c>
    </row>
    <row r="429" s="2" customFormat="1" ht="13.5" customHeight="1">
      <c r="B429" s="13"/>
      <c r="C429" t="s" s="9">
        <v>27</v>
      </c>
      <c r="D429" t="s" s="8">
        <v>218</v>
      </c>
      <c r="E429" t="s" s="9">
        <v>218</v>
      </c>
      <c r="F429" t="s" s="10">
        <v>73</v>
      </c>
      <c r="G429" t="s" s="11">
        <v>73</v>
      </c>
      <c r="H429" t="s" s="10">
        <v>73</v>
      </c>
      <c r="I429" t="s" s="11">
        <v>73</v>
      </c>
      <c r="J429" t="s" s="11">
        <v>20</v>
      </c>
      <c r="K429" s="15"/>
      <c r="L429" t="s" s="16">
        <f>HYPERLINK("http://csr.bu.edu/ftp/asl/asllvd/demos/verify_start_end_handshape_annotations//test_auto_move//signs_mov_separ_signers/Naomi_81.mov","MOV")</f>
        <v>21</v>
      </c>
      <c r="M429" t="s" s="10">
        <v>29</v>
      </c>
      <c r="N429" s="17">
        <v>9</v>
      </c>
      <c r="O429" s="18">
        <v>363</v>
      </c>
      <c r="P429" s="18">
        <v>377</v>
      </c>
      <c r="Q429" s="15"/>
      <c r="R429" t="s" s="16">
        <f>HYPERLINK("http://secrets.rutgers.edu:8080/data/asl-ftp/asllvd/demos/verify_start_end_handshape_annotations//test_auto_move//signs_mov_separ_signers/Naomi_81.mov","MOV")</f>
        <v>21</v>
      </c>
    </row>
    <row r="430" s="2" customFormat="1" ht="13.5" customHeight="1">
      <c r="B430" s="13"/>
      <c r="C430" t="s" s="9">
        <v>27</v>
      </c>
      <c r="D430" t="s" s="8">
        <v>218</v>
      </c>
      <c r="E430" t="s" s="9">
        <v>218</v>
      </c>
      <c r="F430" t="s" s="10">
        <v>80</v>
      </c>
      <c r="G430" t="s" s="11">
        <v>80</v>
      </c>
      <c r="H430" t="s" s="10">
        <v>73</v>
      </c>
      <c r="I430" t="s" s="11">
        <v>73</v>
      </c>
      <c r="J430" t="s" s="11">
        <v>20</v>
      </c>
      <c r="K430" s="15"/>
      <c r="L430" t="s" s="16">
        <f>HYPERLINK("http://csr.bu.edu/ftp/asl/asllvd/demos/verify_start_end_handshape_annotations//test_auto_move//signs_mov_separ_signers/Naomi_3671.mov","MOV")</f>
        <v>21</v>
      </c>
      <c r="M430" t="s" s="10">
        <v>48</v>
      </c>
      <c r="N430" s="17">
        <v>2</v>
      </c>
      <c r="O430" s="18">
        <v>2517</v>
      </c>
      <c r="P430" s="18">
        <v>2535</v>
      </c>
      <c r="Q430" s="15"/>
      <c r="R430" t="s" s="16">
        <f>HYPERLINK("http://secrets.rutgers.edu:8080/data/asl-ftp/asllvd/demos/verify_start_end_handshape_annotations//test_auto_move//signs_mov_separ_signers/Naomi_3671.mov","MOV")</f>
        <v>21</v>
      </c>
    </row>
    <row r="431" s="2" customFormat="1" ht="13.5" customHeight="1">
      <c r="B431" s="13"/>
      <c r="C431" t="s" s="9">
        <v>30</v>
      </c>
      <c r="D431" t="s" s="8">
        <v>218</v>
      </c>
      <c r="E431" t="s" s="9">
        <v>218</v>
      </c>
      <c r="F431" t="s" s="10">
        <v>73</v>
      </c>
      <c r="G431" t="s" s="11">
        <v>73</v>
      </c>
      <c r="H431" t="s" s="10">
        <v>73</v>
      </c>
      <c r="I431" t="s" s="11">
        <v>73</v>
      </c>
      <c r="J431" t="s" s="11">
        <v>20</v>
      </c>
      <c r="K431" s="15"/>
      <c r="L431" t="s" s="16">
        <f>HYPERLINK("http://csr.bu.edu/ftp/asl/asllvd/demos/verify_start_end_handshape_annotations//test_auto_move//signs_mov_separ_signers/Brady_81.mov","MOV")</f>
        <v>21</v>
      </c>
      <c r="M431" t="s" s="10">
        <v>31</v>
      </c>
      <c r="N431" s="17">
        <v>10</v>
      </c>
      <c r="O431" s="18">
        <v>10020</v>
      </c>
      <c r="P431" s="18">
        <v>10040</v>
      </c>
      <c r="Q431" s="15"/>
      <c r="R431" t="s" s="16">
        <f>HYPERLINK("http://secrets.rutgers.edu:8080/data/asl-ftp/asllvd/demos/verify_start_end_handshape_annotations//test_auto_move//signs_mov_separ_signers/Brady_81.mov","MOV")</f>
        <v>21</v>
      </c>
    </row>
    <row r="432" s="2" customFormat="1" ht="13.5" customHeight="1">
      <c r="B432" s="13"/>
      <c r="C432" t="s" s="9">
        <v>30</v>
      </c>
      <c r="D432" t="s" s="8">
        <v>218</v>
      </c>
      <c r="E432" t="s" s="9">
        <v>218</v>
      </c>
      <c r="F432" t="s" s="10">
        <v>73</v>
      </c>
      <c r="G432" t="s" s="11">
        <v>73</v>
      </c>
      <c r="H432" t="s" s="10">
        <v>73</v>
      </c>
      <c r="I432" t="s" s="11">
        <v>73</v>
      </c>
      <c r="J432" t="s" s="11">
        <v>20</v>
      </c>
      <c r="K432" s="15"/>
      <c r="L432" t="s" s="16">
        <f>HYPERLINK("http://csr.bu.edu/ftp/asl/asllvd/demos/verify_start_end_handshape_annotations//test_auto_move//signs_mov_separ_signers/Brady_3671.mov","MOV")</f>
        <v>21</v>
      </c>
      <c r="M432" t="s" s="10">
        <v>39</v>
      </c>
      <c r="N432" s="17">
        <v>48</v>
      </c>
      <c r="O432" s="18">
        <v>3924</v>
      </c>
      <c r="P432" s="18">
        <v>3938</v>
      </c>
      <c r="Q432" s="15"/>
      <c r="R432" t="s" s="16">
        <f>HYPERLINK("http://secrets.rutgers.edu:8080/data/asl-ftp/asllvd/demos/verify_start_end_handshape_annotations//test_auto_move//signs_mov_separ_signers/Brady_3671.mov","MOV")</f>
        <v>21</v>
      </c>
    </row>
    <row r="433" s="2" customFormat="1" ht="13.5" customHeight="1">
      <c r="B433" t="s" s="8">
        <v>219</v>
      </c>
      <c r="C433" t="s" s="9">
        <v>14</v>
      </c>
      <c r="D433" t="s" s="8">
        <v>14</v>
      </c>
      <c r="E433" t="s" s="9">
        <v>14</v>
      </c>
      <c r="F433" t="s" s="10">
        <v>14</v>
      </c>
      <c r="G433" t="s" s="11">
        <v>14</v>
      </c>
      <c r="H433" t="s" s="10">
        <v>14</v>
      </c>
      <c r="I433" t="s" s="11">
        <v>14</v>
      </c>
      <c r="J433" t="s" s="11">
        <v>14</v>
      </c>
      <c r="K433" t="s" s="12">
        <v>14</v>
      </c>
      <c r="L433" t="s" s="12">
        <v>14</v>
      </c>
      <c r="M433" t="s" s="10">
        <v>14</v>
      </c>
      <c r="N433" t="s" s="11">
        <v>14</v>
      </c>
      <c r="O433" t="s" s="8">
        <v>14</v>
      </c>
      <c r="P433" t="s" s="8">
        <v>14</v>
      </c>
      <c r="Q433" t="s" s="12">
        <v>14</v>
      </c>
      <c r="R433" t="s" s="12">
        <v>14</v>
      </c>
    </row>
    <row r="434" s="2" customFormat="1" ht="13.5" customHeight="1">
      <c r="B434" s="13"/>
      <c r="C434" t="s" s="9">
        <v>16</v>
      </c>
      <c r="D434" t="s" s="8">
        <v>219</v>
      </c>
      <c r="E434" t="s" s="9">
        <v>219</v>
      </c>
      <c r="F434" t="s" s="10">
        <v>220</v>
      </c>
      <c r="G434" t="s" s="11">
        <v>220</v>
      </c>
      <c r="H434" t="s" s="10">
        <v>220</v>
      </c>
      <c r="I434" t="s" s="11">
        <v>220</v>
      </c>
      <c r="J434" t="s" s="11">
        <v>20</v>
      </c>
      <c r="K434" s="15"/>
      <c r="L434" t="s" s="16">
        <f>HYPERLINK("http://csr.bu.edu/ftp/asl/asllvd/demos/verify_start_end_handshape_annotations//test_auto_move//signs_mov_separ_signers/Liz_5642.mov","MOV")</f>
        <v>21</v>
      </c>
      <c r="M434" t="s" s="10">
        <v>88</v>
      </c>
      <c r="N434" s="17">
        <v>36</v>
      </c>
      <c r="O434" s="18">
        <v>752</v>
      </c>
      <c r="P434" s="18">
        <v>785</v>
      </c>
      <c r="Q434" s="15"/>
      <c r="R434" t="s" s="16">
        <f>HYPERLINK("http://secrets.rutgers.edu:8080/data/asl-ftp/asllvd/demos/verify_start_end_handshape_annotations//test_auto_move//signs_mov_separ_signers/Liz_5642.mov","MOV")</f>
        <v>21</v>
      </c>
    </row>
    <row r="435" s="2" customFormat="1" ht="13.5" customHeight="1">
      <c r="B435" s="13"/>
      <c r="C435" t="s" s="9">
        <v>16</v>
      </c>
      <c r="D435" t="s" s="8">
        <v>219</v>
      </c>
      <c r="E435" t="s" s="9">
        <v>221</v>
      </c>
      <c r="F435" t="s" s="10">
        <v>220</v>
      </c>
      <c r="G435" t="s" s="11">
        <v>220</v>
      </c>
      <c r="H435" t="s" s="10">
        <v>220</v>
      </c>
      <c r="I435" t="s" s="11">
        <v>220</v>
      </c>
      <c r="J435" t="s" s="11">
        <v>20</v>
      </c>
      <c r="K435" s="15"/>
      <c r="L435" t="s" s="16">
        <f>HYPERLINK("http://csr.bu.edu/ftp/asl/asllvd/demos/verify_start_end_handshape_annotations//test_auto_move//signs_mov_separ_signers/Liz_5648.mov","MOV")</f>
        <v>21</v>
      </c>
      <c r="M435" t="s" s="10">
        <v>88</v>
      </c>
      <c r="N435" s="17">
        <v>49</v>
      </c>
      <c r="O435" s="18">
        <v>855</v>
      </c>
      <c r="P435" s="18">
        <v>897</v>
      </c>
      <c r="Q435" s="15"/>
      <c r="R435" t="s" s="16">
        <f>HYPERLINK("http://secrets.rutgers.edu:8080/data/asl-ftp/asllvd/demos/verify_start_end_handshape_annotations//test_auto_move//signs_mov_separ_signers/Liz_5648.mov","MOV")</f>
        <v>21</v>
      </c>
    </row>
    <row r="436" s="2" customFormat="1" ht="13.5" customHeight="1">
      <c r="B436" s="13"/>
      <c r="C436" t="s" s="9">
        <v>30</v>
      </c>
      <c r="D436" t="s" s="8">
        <v>219</v>
      </c>
      <c r="E436" t="s" s="9">
        <v>219</v>
      </c>
      <c r="F436" t="s" s="10">
        <v>220</v>
      </c>
      <c r="G436" t="s" s="11">
        <v>220</v>
      </c>
      <c r="H436" t="s" s="10">
        <v>220</v>
      </c>
      <c r="I436" t="s" s="11">
        <v>220</v>
      </c>
      <c r="J436" t="s" s="11">
        <v>20</v>
      </c>
      <c r="K436" t="s" s="16">
        <f>HYPERLINK("http://csr.bu.edu/ftp/asl/asllvd/demos/verify_start_end_handshape_annotations//test_auto_move//signs_mov/5642_5648_merged.mov","MOV")</f>
        <v>21</v>
      </c>
      <c r="L436" t="s" s="16">
        <f>HYPERLINK("http://csr.bu.edu/ftp/asl/asllvd/demos/verify_start_end_handshape_annotations//test_auto_move//signs_mov_separ_signers/Brady_5642.mov","MOV")</f>
        <v>21</v>
      </c>
      <c r="M436" t="s" s="10">
        <v>40</v>
      </c>
      <c r="N436" s="17">
        <v>30</v>
      </c>
      <c r="O436" s="18">
        <v>2981</v>
      </c>
      <c r="P436" s="18">
        <v>2992</v>
      </c>
      <c r="Q436" t="s" s="16">
        <f>HYPERLINK("http://secrets.rutgers.edu:8080/data/asl-ftp/asllvd/demos/verify_start_end_handshape_annotations//test_auto_move//signs_mov/5642_5648_merged.mov","MOV")</f>
        <v>21</v>
      </c>
      <c r="R436" t="s" s="16">
        <f>HYPERLINK("http://secrets.rutgers.edu:8080/data/asl-ftp/asllvd/demos/verify_start_end_handshape_annotations//test_auto_move//signs_mov_separ_signers/Brady_5642.mov","MOV")</f>
        <v>21</v>
      </c>
    </row>
    <row r="437" s="2" customFormat="1" ht="13.5" customHeight="1">
      <c r="B437" s="13"/>
      <c r="C437" t="s" s="9">
        <v>30</v>
      </c>
      <c r="D437" t="s" s="8">
        <v>219</v>
      </c>
      <c r="E437" t="s" s="9">
        <v>219</v>
      </c>
      <c r="F437" t="s" s="10">
        <v>220</v>
      </c>
      <c r="G437" t="s" s="11">
        <v>220</v>
      </c>
      <c r="H437" t="s" s="10">
        <v>220</v>
      </c>
      <c r="I437" t="s" s="11">
        <v>220</v>
      </c>
      <c r="J437" t="s" s="11">
        <v>20</v>
      </c>
      <c r="K437" s="15"/>
      <c r="L437" t="s" s="16">
        <f>HYPERLINK("http://csr.bu.edu/ftp/asl/asllvd/demos/verify_start_end_handshape_annotations//test_auto_move//signs_mov_separ_signers/Brady_5648.mov","MOV")</f>
        <v>21</v>
      </c>
      <c r="M437" t="s" s="10">
        <v>40</v>
      </c>
      <c r="N437" s="17">
        <v>43</v>
      </c>
      <c r="O437" s="18">
        <v>1407</v>
      </c>
      <c r="P437" s="18">
        <v>1416</v>
      </c>
      <c r="Q437" s="15"/>
      <c r="R437" t="s" s="16">
        <f>HYPERLINK("http://secrets.rutgers.edu:8080/data/asl-ftp/asllvd/demos/verify_start_end_handshape_annotations//test_auto_move//signs_mov_separ_signers/Brady_5648.mov","MOV")</f>
        <v>21</v>
      </c>
    </row>
    <row r="438" s="2" customFormat="1" ht="13.5" customHeight="1">
      <c r="B438" s="13"/>
      <c r="C438" t="s" s="9">
        <v>41</v>
      </c>
      <c r="D438" t="s" s="8">
        <v>219</v>
      </c>
      <c r="E438" t="s" s="9">
        <v>219</v>
      </c>
      <c r="F438" t="s" s="10">
        <v>220</v>
      </c>
      <c r="G438" t="s" s="11">
        <v>220</v>
      </c>
      <c r="H438" t="s" s="10">
        <v>220</v>
      </c>
      <c r="I438" t="s" s="11">
        <v>220</v>
      </c>
      <c r="J438" t="s" s="11">
        <v>20</v>
      </c>
      <c r="K438" s="15"/>
      <c r="L438" t="s" s="16">
        <f>HYPERLINK("http://csr.bu.edu/ftp/asl/asllvd/demos/verify_start_end_handshape_annotations//test_auto_move//signs_mov_separ_signers/Lana_5642.mov","MOV")</f>
        <v>21</v>
      </c>
      <c r="M438" t="s" s="10">
        <v>42</v>
      </c>
      <c r="N438" s="17">
        <v>20</v>
      </c>
      <c r="O438" s="18">
        <v>2752</v>
      </c>
      <c r="P438" s="18">
        <v>2759</v>
      </c>
      <c r="Q438" s="15"/>
      <c r="R438" t="s" s="16">
        <f>HYPERLINK("http://secrets.rutgers.edu:8080/data/asl-ftp/asllvd/demos/verify_start_end_handshape_annotations//test_auto_move//signs_mov_separ_signers/Lana_5642.mov","MOV")</f>
        <v>21</v>
      </c>
    </row>
    <row r="439" s="2" customFormat="1" ht="13.5" customHeight="1">
      <c r="B439" s="13"/>
      <c r="C439" t="s" s="9">
        <v>43</v>
      </c>
      <c r="D439" t="s" s="8">
        <v>219</v>
      </c>
      <c r="E439" t="s" s="9">
        <v>219</v>
      </c>
      <c r="F439" t="s" s="10">
        <v>220</v>
      </c>
      <c r="G439" t="s" s="11">
        <v>220</v>
      </c>
      <c r="H439" t="s" s="10">
        <v>220</v>
      </c>
      <c r="I439" t="s" s="11">
        <v>220</v>
      </c>
      <c r="J439" t="s" s="11">
        <v>20</v>
      </c>
      <c r="K439" s="15"/>
      <c r="L439" t="s" s="16">
        <f>HYPERLINK("http://csr.bu.edu/ftp/asl/asllvd/demos/verify_start_end_handshape_annotations//test_auto_move//signs_mov_separ_signers/Dana_5642.mov","MOV")</f>
        <v>21</v>
      </c>
      <c r="M439" t="s" s="10">
        <v>44</v>
      </c>
      <c r="N439" s="17">
        <v>22</v>
      </c>
      <c r="O439" s="18">
        <v>2791</v>
      </c>
      <c r="P439" s="18">
        <v>2806</v>
      </c>
      <c r="Q439" s="15"/>
      <c r="R439" t="s" s="16">
        <f>HYPERLINK("http://secrets.rutgers.edu:8080/data/asl-ftp/asllvd/demos/verify_start_end_handshape_annotations//test_auto_move//signs_mov_separ_signers/Dana_5642.mov","MOV")</f>
        <v>21</v>
      </c>
    </row>
    <row r="440" s="2" customFormat="1" ht="13.5" customHeight="1">
      <c r="B440" t="s" s="8">
        <v>222</v>
      </c>
      <c r="C440" t="s" s="9">
        <v>14</v>
      </c>
      <c r="D440" t="s" s="8">
        <v>14</v>
      </c>
      <c r="E440" t="s" s="9">
        <v>14</v>
      </c>
      <c r="F440" t="s" s="10">
        <v>14</v>
      </c>
      <c r="G440" t="s" s="11">
        <v>14</v>
      </c>
      <c r="H440" t="s" s="10">
        <v>14</v>
      </c>
      <c r="I440" t="s" s="11">
        <v>14</v>
      </c>
      <c r="J440" t="s" s="11">
        <v>14</v>
      </c>
      <c r="K440" t="s" s="12">
        <v>14</v>
      </c>
      <c r="L440" t="s" s="12">
        <v>14</v>
      </c>
      <c r="M440" t="s" s="10">
        <v>14</v>
      </c>
      <c r="N440" t="s" s="11">
        <v>14</v>
      </c>
      <c r="O440" t="s" s="8">
        <v>14</v>
      </c>
      <c r="P440" t="s" s="8">
        <v>14</v>
      </c>
      <c r="Q440" t="s" s="12">
        <v>14</v>
      </c>
      <c r="R440" t="s" s="12">
        <v>14</v>
      </c>
    </row>
    <row r="441" s="2" customFormat="1" ht="13.5" customHeight="1">
      <c r="B441" s="13"/>
      <c r="C441" t="s" s="9">
        <v>16</v>
      </c>
      <c r="D441" t="s" s="8">
        <v>222</v>
      </c>
      <c r="E441" t="s" s="9">
        <v>222</v>
      </c>
      <c r="F441" s="19">
        <v>5</v>
      </c>
      <c r="G441" s="17">
        <v>5</v>
      </c>
      <c r="H441" s="19">
        <v>5</v>
      </c>
      <c r="I441" s="17">
        <v>5</v>
      </c>
      <c r="J441" t="s" s="11">
        <v>20</v>
      </c>
      <c r="K441" s="15"/>
      <c r="L441" t="s" s="16">
        <f>HYPERLINK("http://csr.bu.edu/ftp/asl/asllvd/demos/verify_start_end_handshape_annotations//test_auto_move//signs_mov_separ_signers/Liz_83.mov","MOV")</f>
        <v>21</v>
      </c>
      <c r="M441" t="s" s="10">
        <v>22</v>
      </c>
      <c r="N441" s="17">
        <v>12</v>
      </c>
      <c r="O441" s="18">
        <v>1060</v>
      </c>
      <c r="P441" s="18">
        <v>1091</v>
      </c>
      <c r="Q441" s="15"/>
      <c r="R441" t="s" s="16">
        <f>HYPERLINK("http://secrets.rutgers.edu:8080/data/asl-ftp/asllvd/demos/verify_start_end_handshape_annotations//test_auto_move//signs_mov_separ_signers/Liz_83.mov","MOV")</f>
        <v>21</v>
      </c>
    </row>
    <row r="442" s="2" customFormat="1" ht="13.5" customHeight="1">
      <c r="B442" s="13"/>
      <c r="C442" t="s" s="9">
        <v>16</v>
      </c>
      <c r="D442" t="s" s="8">
        <v>222</v>
      </c>
      <c r="E442" t="s" s="9">
        <v>222</v>
      </c>
      <c r="F442" t="s" s="10">
        <v>72</v>
      </c>
      <c r="G442" t="s" s="11">
        <v>72</v>
      </c>
      <c r="H442" t="s" s="10">
        <v>72</v>
      </c>
      <c r="I442" t="s" s="11">
        <v>72</v>
      </c>
      <c r="J442" t="s" s="11">
        <v>20</v>
      </c>
      <c r="K442" s="15"/>
      <c r="L442" t="s" s="16">
        <f>HYPERLINK("http://csr.bu.edu/ftp/asl/asllvd/demos/verify_start_end_handshape_annotations//test_auto_move//signs_mov_separ_signers/Liz_3656.mov","MOV")</f>
        <v>21</v>
      </c>
      <c r="M442" t="s" s="10">
        <v>34</v>
      </c>
      <c r="N442" s="17">
        <v>25</v>
      </c>
      <c r="O442" s="18">
        <v>2125</v>
      </c>
      <c r="P442" s="18">
        <v>2150</v>
      </c>
      <c r="Q442" s="15"/>
      <c r="R442" t="s" s="16">
        <f>HYPERLINK("http://secrets.rutgers.edu:8080/data/asl-ftp/asllvd/demos/verify_start_end_handshape_annotations//test_auto_move//signs_mov_separ_signers/Liz_3656.mov","MOV")</f>
        <v>21</v>
      </c>
    </row>
    <row r="443" s="2" customFormat="1" ht="13.5" customHeight="1">
      <c r="B443" s="13"/>
      <c r="C443" t="s" s="9">
        <v>23</v>
      </c>
      <c r="D443" t="s" s="8">
        <v>222</v>
      </c>
      <c r="E443" t="s" s="9">
        <v>222</v>
      </c>
      <c r="F443" s="19">
        <v>5</v>
      </c>
      <c r="G443" s="17">
        <v>5</v>
      </c>
      <c r="H443" s="19">
        <v>5</v>
      </c>
      <c r="I443" s="17">
        <v>5</v>
      </c>
      <c r="J443" t="s" s="11">
        <v>20</v>
      </c>
      <c r="K443" s="15"/>
      <c r="L443" t="s" s="16">
        <f>HYPERLINK("http://csr.bu.edu/ftp/asl/asllvd/demos/verify_start_end_handshape_annotations//test_auto_move//signs_mov_separ_signers/Tyler_83.mov","MOV")</f>
        <v>21</v>
      </c>
      <c r="M443" t="s" s="10">
        <v>26</v>
      </c>
      <c r="N443" s="17">
        <v>10</v>
      </c>
      <c r="O443" s="18">
        <v>1350</v>
      </c>
      <c r="P443" s="18">
        <v>1371</v>
      </c>
      <c r="Q443" s="15"/>
      <c r="R443" t="s" s="16">
        <f>HYPERLINK("http://secrets.rutgers.edu:8080/data/asl-ftp/asllvd/demos/verify_start_end_handshape_annotations//test_auto_move//signs_mov_separ_signers/Tyler_83.mov","MOV")</f>
        <v>21</v>
      </c>
    </row>
    <row r="444" s="2" customFormat="1" ht="13.5" customHeight="1">
      <c r="B444" s="13"/>
      <c r="C444" t="s" s="9">
        <v>23</v>
      </c>
      <c r="D444" t="s" s="8">
        <v>222</v>
      </c>
      <c r="E444" t="s" s="9">
        <v>222</v>
      </c>
      <c r="F444" t="s" s="10">
        <v>72</v>
      </c>
      <c r="G444" t="s" s="11">
        <v>72</v>
      </c>
      <c r="H444" t="s" s="10">
        <v>72</v>
      </c>
      <c r="I444" t="s" s="11">
        <v>72</v>
      </c>
      <c r="J444" t="s" s="11">
        <v>20</v>
      </c>
      <c r="K444" s="15"/>
      <c r="L444" t="s" s="16">
        <f>HYPERLINK("http://csr.bu.edu/ftp/asl/asllvd/demos/verify_start_end_handshape_annotations//test_auto_move//signs_mov_separ_signers/Tyler_3656.mov","MOV")</f>
        <v>21</v>
      </c>
      <c r="M444" t="s" s="10">
        <v>92</v>
      </c>
      <c r="N444" s="17">
        <v>15</v>
      </c>
      <c r="O444" s="18">
        <v>1680</v>
      </c>
      <c r="P444" s="18">
        <v>1711</v>
      </c>
      <c r="Q444" s="15"/>
      <c r="R444" t="s" s="16">
        <f>HYPERLINK("http://secrets.rutgers.edu:8080/data/asl-ftp/asllvd/demos/verify_start_end_handshape_annotations//test_auto_move//signs_mov_separ_signers/Tyler_3656.mov","MOV")</f>
        <v>21</v>
      </c>
    </row>
    <row r="445" s="2" customFormat="1" ht="13.5" customHeight="1">
      <c r="B445" s="13"/>
      <c r="C445" t="s" s="9">
        <v>27</v>
      </c>
      <c r="D445" t="s" s="8">
        <v>222</v>
      </c>
      <c r="E445" t="s" s="9">
        <v>222</v>
      </c>
      <c r="F445" s="19">
        <v>5</v>
      </c>
      <c r="G445" s="17">
        <v>5</v>
      </c>
      <c r="H445" t="s" s="10">
        <v>72</v>
      </c>
      <c r="I445" t="s" s="11">
        <v>72</v>
      </c>
      <c r="J445" t="s" s="11">
        <v>20</v>
      </c>
      <c r="K445" t="s" s="16">
        <f>HYPERLINK("http://csr.bu.edu/ftp/asl/asllvd/demos/verify_start_end_handshape_annotations//test_auto_move//signs_mov/83_3656_15757_merged.mov","MOV")</f>
        <v>21</v>
      </c>
      <c r="L445" t="s" s="16">
        <f>HYPERLINK("http://csr.bu.edu/ftp/asl/asllvd/demos/verify_start_end_handshape_annotations//test_auto_move//signs_mov_separ_signers/Naomi_83.mov","MOV")</f>
        <v>21</v>
      </c>
      <c r="M445" t="s" s="10">
        <v>29</v>
      </c>
      <c r="N445" s="17">
        <v>9</v>
      </c>
      <c r="O445" s="18">
        <v>815</v>
      </c>
      <c r="P445" s="18">
        <v>838</v>
      </c>
      <c r="Q445" t="s" s="16">
        <f>HYPERLINK("http://secrets.rutgers.edu:8080/data/asl-ftp/asllvd/demos/verify_start_end_handshape_annotations//test_auto_move//signs_mov/83_3656_15757_merged.mov","MOV")</f>
        <v>21</v>
      </c>
      <c r="R445" t="s" s="16">
        <f>HYPERLINK("http://secrets.rutgers.edu:8080/data/asl-ftp/asllvd/demos/verify_start_end_handshape_annotations//test_auto_move//signs_mov_separ_signers/Naomi_83.mov","MOV")</f>
        <v>21</v>
      </c>
    </row>
    <row r="446" s="2" customFormat="1" ht="13.5" customHeight="1">
      <c r="B446" s="13"/>
      <c r="C446" t="s" s="9">
        <v>27</v>
      </c>
      <c r="D446" t="s" s="8">
        <v>222</v>
      </c>
      <c r="E446" t="s" s="9">
        <v>222</v>
      </c>
      <c r="F446" t="s" s="10">
        <v>72</v>
      </c>
      <c r="G446" t="s" s="11">
        <v>72</v>
      </c>
      <c r="H446" t="s" s="10">
        <v>72</v>
      </c>
      <c r="I446" t="s" s="11">
        <v>72</v>
      </c>
      <c r="J446" t="s" s="11">
        <v>20</v>
      </c>
      <c r="K446" s="15"/>
      <c r="L446" t="s" s="16">
        <f>HYPERLINK("http://csr.bu.edu/ftp/asl/asllvd/demos/verify_start_end_handshape_annotations//test_auto_move//signs_mov_separ_signers/Naomi_3656.mov","MOV")</f>
        <v>21</v>
      </c>
      <c r="M446" t="s" s="10">
        <v>38</v>
      </c>
      <c r="N446" s="17">
        <v>21</v>
      </c>
      <c r="O446" s="18">
        <v>4503</v>
      </c>
      <c r="P446" s="18">
        <v>4527</v>
      </c>
      <c r="Q446" s="15"/>
      <c r="R446" t="s" s="16">
        <f>HYPERLINK("http://secrets.rutgers.edu:8080/data/asl-ftp/asllvd/demos/verify_start_end_handshape_annotations//test_auto_move//signs_mov_separ_signers/Naomi_3656.mov","MOV")</f>
        <v>21</v>
      </c>
    </row>
    <row r="447" s="2" customFormat="1" ht="13.5" customHeight="1">
      <c r="B447" s="13"/>
      <c r="C447" t="s" s="9">
        <v>30</v>
      </c>
      <c r="D447" t="s" s="8">
        <v>222</v>
      </c>
      <c r="E447" t="s" s="9">
        <v>222</v>
      </c>
      <c r="F447" t="s" s="10">
        <v>72</v>
      </c>
      <c r="G447" t="s" s="11">
        <v>72</v>
      </c>
      <c r="H447" t="s" s="10">
        <v>72</v>
      </c>
      <c r="I447" t="s" s="11">
        <v>72</v>
      </c>
      <c r="J447" t="s" s="11">
        <v>20</v>
      </c>
      <c r="K447" s="15"/>
      <c r="L447" t="s" s="16">
        <f>HYPERLINK("http://csr.bu.edu/ftp/asl/asllvd/demos/verify_start_end_handshape_annotations//test_auto_move//signs_mov_separ_signers/Brady_83.mov","MOV")</f>
        <v>21</v>
      </c>
      <c r="M447" t="s" s="10">
        <v>31</v>
      </c>
      <c r="N447" s="17">
        <v>11</v>
      </c>
      <c r="O447" s="18">
        <v>1212</v>
      </c>
      <c r="P447" s="18">
        <v>1237</v>
      </c>
      <c r="Q447" s="15"/>
      <c r="R447" t="s" s="16">
        <f>HYPERLINK("http://secrets.rutgers.edu:8080/data/asl-ftp/asllvd/demos/verify_start_end_handshape_annotations//test_auto_move//signs_mov_separ_signers/Brady_83.mov","MOV")</f>
        <v>21</v>
      </c>
    </row>
    <row r="448" s="2" customFormat="1" ht="13.5" customHeight="1">
      <c r="B448" s="13"/>
      <c r="C448" t="s" s="9">
        <v>30</v>
      </c>
      <c r="D448" t="s" s="8">
        <v>222</v>
      </c>
      <c r="E448" t="s" s="9">
        <v>222</v>
      </c>
      <c r="F448" t="s" s="10">
        <v>72</v>
      </c>
      <c r="G448" t="s" s="11">
        <v>72</v>
      </c>
      <c r="H448" t="s" s="10">
        <v>72</v>
      </c>
      <c r="I448" t="s" s="11">
        <v>72</v>
      </c>
      <c r="J448" t="s" s="11">
        <v>20</v>
      </c>
      <c r="K448" s="15"/>
      <c r="L448" t="s" s="16">
        <f>HYPERLINK("http://csr.bu.edu/ftp/asl/asllvd/demos/verify_start_end_handshape_annotations//test_auto_move//signs_mov_separ_signers/Brady_3656.mov","MOV")</f>
        <v>21</v>
      </c>
      <c r="M448" t="s" s="10">
        <v>39</v>
      </c>
      <c r="N448" s="17">
        <v>14</v>
      </c>
      <c r="O448" s="18">
        <v>3394</v>
      </c>
      <c r="P448" s="18">
        <v>3420</v>
      </c>
      <c r="Q448" s="15"/>
      <c r="R448" t="s" s="16">
        <f>HYPERLINK("http://secrets.rutgers.edu:8080/data/asl-ftp/asllvd/demos/verify_start_end_handshape_annotations//test_auto_move//signs_mov_separ_signers/Brady_3656.mov","MOV")</f>
        <v>21</v>
      </c>
    </row>
    <row r="449" s="2" customFormat="1" ht="13.5" customHeight="1">
      <c r="B449" s="13"/>
      <c r="C449" t="s" s="9">
        <v>30</v>
      </c>
      <c r="D449" t="s" s="8">
        <v>222</v>
      </c>
      <c r="E449" t="s" s="9">
        <v>222</v>
      </c>
      <c r="F449" t="s" s="10">
        <v>72</v>
      </c>
      <c r="G449" t="s" s="11">
        <v>72</v>
      </c>
      <c r="H449" t="s" s="10">
        <v>72</v>
      </c>
      <c r="I449" t="s" s="11">
        <v>72</v>
      </c>
      <c r="J449" t="s" s="11">
        <v>20</v>
      </c>
      <c r="K449" s="15"/>
      <c r="L449" t="s" s="16">
        <f>HYPERLINK("http://csr.bu.edu/ftp/asl/asllvd/demos/verify_start_end_handshape_annotations//test_auto_move//signs_mov_separ_signers/Brady_15757.mov","MOV")</f>
        <v>21</v>
      </c>
      <c r="M449" t="s" s="10">
        <v>39</v>
      </c>
      <c r="N449" s="17">
        <v>37</v>
      </c>
      <c r="O449" s="18">
        <v>5364</v>
      </c>
      <c r="P449" s="18">
        <v>5384</v>
      </c>
      <c r="Q449" s="15"/>
      <c r="R449" t="s" s="16">
        <f>HYPERLINK("http://secrets.rutgers.edu:8080/data/asl-ftp/asllvd/demos/verify_start_end_handshape_annotations//test_auto_move//signs_mov_separ_signers/Brady_15757.mov","MOV")</f>
        <v>21</v>
      </c>
    </row>
    <row r="450" s="2" customFormat="1" ht="13.5" customHeight="1">
      <c r="B450" t="s" s="8">
        <v>223</v>
      </c>
      <c r="C450" t="s" s="9">
        <v>14</v>
      </c>
      <c r="D450" t="s" s="8">
        <v>14</v>
      </c>
      <c r="E450" t="s" s="9">
        <v>14</v>
      </c>
      <c r="F450" t="s" s="10">
        <v>14</v>
      </c>
      <c r="G450" t="s" s="11">
        <v>14</v>
      </c>
      <c r="H450" t="s" s="10">
        <v>14</v>
      </c>
      <c r="I450" t="s" s="11">
        <v>14</v>
      </c>
      <c r="J450" t="s" s="11">
        <v>14</v>
      </c>
      <c r="K450" t="s" s="12">
        <v>14</v>
      </c>
      <c r="L450" t="s" s="12">
        <v>14</v>
      </c>
      <c r="M450" t="s" s="10">
        <v>14</v>
      </c>
      <c r="N450" t="s" s="11">
        <v>14</v>
      </c>
      <c r="O450" t="s" s="8">
        <v>14</v>
      </c>
      <c r="P450" t="s" s="8">
        <v>14</v>
      </c>
      <c r="Q450" t="s" s="12">
        <v>14</v>
      </c>
      <c r="R450" t="s" s="12">
        <v>14</v>
      </c>
    </row>
    <row r="451" s="2" customFormat="1" ht="13.5" customHeight="1">
      <c r="B451" s="13"/>
      <c r="C451" t="s" s="9">
        <v>16</v>
      </c>
      <c r="D451" t="s" s="8">
        <v>223</v>
      </c>
      <c r="E451" t="s" s="9">
        <v>224</v>
      </c>
      <c r="F451" s="19">
        <v>5</v>
      </c>
      <c r="G451" s="17">
        <v>5</v>
      </c>
      <c r="H451" s="19">
        <v>5</v>
      </c>
      <c r="I451" s="17">
        <v>5</v>
      </c>
      <c r="J451" t="s" s="11">
        <v>20</v>
      </c>
      <c r="K451" s="15"/>
      <c r="L451" t="s" s="16">
        <f>HYPERLINK("http://csr.bu.edu/ftp/asl/asllvd/demos/verify_start_end_handshape_annotations//test_auto_move//signs_mov_separ_signers/Liz_87.mov","MOV")</f>
        <v>21</v>
      </c>
      <c r="M451" t="s" s="10">
        <v>22</v>
      </c>
      <c r="N451" s="17">
        <v>13</v>
      </c>
      <c r="O451" s="18">
        <v>770</v>
      </c>
      <c r="P451" s="18">
        <v>830</v>
      </c>
      <c r="Q451" s="15"/>
      <c r="R451" t="s" s="16">
        <f>HYPERLINK("http://secrets.rutgers.edu:8080/data/asl-ftp/asllvd/demos/verify_start_end_handshape_annotations//test_auto_move//signs_mov_separ_signers/Liz_87.mov","MOV")</f>
        <v>21</v>
      </c>
    </row>
    <row r="452" s="2" customFormat="1" ht="13.5" customHeight="1">
      <c r="B452" s="13"/>
      <c r="C452" t="s" s="9">
        <v>23</v>
      </c>
      <c r="D452" t="s" s="8">
        <v>223</v>
      </c>
      <c r="E452" t="s" s="9">
        <v>224</v>
      </c>
      <c r="F452" s="19">
        <v>5</v>
      </c>
      <c r="G452" s="17">
        <v>5</v>
      </c>
      <c r="H452" s="19">
        <v>5</v>
      </c>
      <c r="I452" s="17">
        <v>5</v>
      </c>
      <c r="J452" t="s" s="11">
        <v>20</v>
      </c>
      <c r="K452" t="s" s="16">
        <f>HYPERLINK("http://csr.bu.edu/ftp/asl/asllvd/demos/verify_start_end_handshape_annotations//test_auto_move//signs_mov/87.mov","MOV")</f>
        <v>21</v>
      </c>
      <c r="L452" t="s" s="16">
        <f>HYPERLINK("http://csr.bu.edu/ftp/asl/asllvd/demos/verify_start_end_handshape_annotations//test_auto_move//signs_mov_separ_signers/Tyler_87.mov","MOV")</f>
        <v>21</v>
      </c>
      <c r="M452" t="s" s="10">
        <v>26</v>
      </c>
      <c r="N452" s="17">
        <v>10</v>
      </c>
      <c r="O452" s="18">
        <v>2655</v>
      </c>
      <c r="P452" s="18">
        <v>2705</v>
      </c>
      <c r="Q452" t="s" s="16">
        <f>HYPERLINK("http://secrets.rutgers.edu:8080/data/asl-ftp/asllvd/demos/verify_start_end_handshape_annotations//test_auto_move//signs_mov/87.mov","MOV")</f>
        <v>21</v>
      </c>
      <c r="R452" t="s" s="16">
        <f>HYPERLINK("http://secrets.rutgers.edu:8080/data/asl-ftp/asllvd/demos/verify_start_end_handshape_annotations//test_auto_move//signs_mov_separ_signers/Tyler_87.mov","MOV")</f>
        <v>21</v>
      </c>
    </row>
    <row r="453" s="2" customFormat="1" ht="13.5" customHeight="1">
      <c r="B453" s="13"/>
      <c r="C453" t="s" s="9">
        <v>27</v>
      </c>
      <c r="D453" t="s" s="8">
        <v>223</v>
      </c>
      <c r="E453" t="s" s="9">
        <v>224</v>
      </c>
      <c r="F453" s="19">
        <v>5</v>
      </c>
      <c r="G453" s="17">
        <v>5</v>
      </c>
      <c r="H453" s="19">
        <v>5</v>
      </c>
      <c r="I453" s="17">
        <v>5</v>
      </c>
      <c r="J453" t="s" s="11">
        <v>20</v>
      </c>
      <c r="K453" s="15"/>
      <c r="L453" t="s" s="16">
        <f>HYPERLINK("http://csr.bu.edu/ftp/asl/asllvd/demos/verify_start_end_handshape_annotations//test_auto_move//signs_mov_separ_signers/Naomi_87.mov","MOV")</f>
        <v>21</v>
      </c>
      <c r="M453" t="s" s="10">
        <v>29</v>
      </c>
      <c r="N453" s="17">
        <v>9</v>
      </c>
      <c r="O453" s="18">
        <v>2350</v>
      </c>
      <c r="P453" s="18">
        <v>2402</v>
      </c>
      <c r="Q453" s="15"/>
      <c r="R453" t="s" s="16">
        <f>HYPERLINK("http://secrets.rutgers.edu:8080/data/asl-ftp/asllvd/demos/verify_start_end_handshape_annotations//test_auto_move//signs_mov_separ_signers/Naomi_87.mov","MOV")</f>
        <v>21</v>
      </c>
    </row>
    <row r="454" s="2" customFormat="1" ht="13.5" customHeight="1">
      <c r="B454" s="13"/>
      <c r="C454" t="s" s="9">
        <v>30</v>
      </c>
      <c r="D454" t="s" s="8">
        <v>223</v>
      </c>
      <c r="E454" t="s" s="9">
        <v>224</v>
      </c>
      <c r="F454" s="19">
        <v>5</v>
      </c>
      <c r="G454" s="17">
        <v>5</v>
      </c>
      <c r="H454" s="19">
        <v>5</v>
      </c>
      <c r="I454" s="17">
        <v>5</v>
      </c>
      <c r="J454" t="s" s="11">
        <v>20</v>
      </c>
      <c r="K454" s="15"/>
      <c r="L454" t="s" s="16">
        <f>HYPERLINK("http://csr.bu.edu/ftp/asl/asllvd/demos/verify_start_end_handshape_annotations//test_auto_move//signs_mov_separ_signers/Brady_87.mov","MOV")</f>
        <v>21</v>
      </c>
      <c r="M454" t="s" s="10">
        <v>31</v>
      </c>
      <c r="N454" s="17">
        <v>11</v>
      </c>
      <c r="O454" s="18">
        <v>4236</v>
      </c>
      <c r="P454" s="18">
        <v>4264</v>
      </c>
      <c r="Q454" s="15"/>
      <c r="R454" t="s" s="16">
        <f>HYPERLINK("http://secrets.rutgers.edu:8080/data/asl-ftp/asllvd/demos/verify_start_end_handshape_annotations//test_auto_move//signs_mov_separ_signers/Brady_87.mov","MOV")</f>
        <v>21</v>
      </c>
    </row>
    <row r="455" s="2" customFormat="1" ht="13.5" customHeight="1">
      <c r="B455" t="s" s="8">
        <v>225</v>
      </c>
      <c r="C455" t="s" s="9">
        <v>14</v>
      </c>
      <c r="D455" t="s" s="8">
        <v>14</v>
      </c>
      <c r="E455" t="s" s="9">
        <v>14</v>
      </c>
      <c r="F455" t="s" s="10">
        <v>14</v>
      </c>
      <c r="G455" t="s" s="11">
        <v>14</v>
      </c>
      <c r="H455" t="s" s="10">
        <v>14</v>
      </c>
      <c r="I455" t="s" s="11">
        <v>14</v>
      </c>
      <c r="J455" t="s" s="11">
        <v>14</v>
      </c>
      <c r="K455" t="s" s="12">
        <v>14</v>
      </c>
      <c r="L455" t="s" s="12">
        <v>14</v>
      </c>
      <c r="M455" t="s" s="10">
        <v>14</v>
      </c>
      <c r="N455" t="s" s="11">
        <v>14</v>
      </c>
      <c r="O455" t="s" s="8">
        <v>14</v>
      </c>
      <c r="P455" t="s" s="8">
        <v>14</v>
      </c>
      <c r="Q455" t="s" s="12">
        <v>14</v>
      </c>
      <c r="R455" t="s" s="12">
        <v>14</v>
      </c>
    </row>
    <row r="456" s="2" customFormat="1" ht="13.5" customHeight="1">
      <c r="B456" s="13"/>
      <c r="C456" t="s" s="9">
        <v>16</v>
      </c>
      <c r="D456" t="s" s="8">
        <v>225</v>
      </c>
      <c r="E456" t="s" s="9">
        <v>225</v>
      </c>
      <c r="F456" s="19">
        <v>1</v>
      </c>
      <c r="G456" s="17">
        <v>5</v>
      </c>
      <c r="H456" s="19">
        <v>1</v>
      </c>
      <c r="I456" s="17">
        <v>5</v>
      </c>
      <c r="J456" t="s" s="11">
        <v>20</v>
      </c>
      <c r="K456" t="s" s="16">
        <f>HYPERLINK("http://csr.bu.edu/ftp/asl/asllvd/demos/verify_start_end_handshape_annotations//test_auto_move//signs_mov/89.mov","MOV")</f>
        <v>21</v>
      </c>
      <c r="L456" t="s" s="16">
        <f>HYPERLINK("http://csr.bu.edu/ftp/asl/asllvd/demos/verify_start_end_handshape_annotations//test_auto_move//signs_mov_separ_signers/Liz_89.mov","MOV")</f>
        <v>21</v>
      </c>
      <c r="M456" t="s" s="10">
        <v>22</v>
      </c>
      <c r="N456" s="17">
        <v>13</v>
      </c>
      <c r="O456" s="18">
        <v>1395</v>
      </c>
      <c r="P456" s="18">
        <v>1460</v>
      </c>
      <c r="Q456" t="s" s="16">
        <f>HYPERLINK("http://secrets.rutgers.edu:8080/data/asl-ftp/asllvd/demos/verify_start_end_handshape_annotations//test_auto_move//signs_mov/89.mov","MOV")</f>
        <v>21</v>
      </c>
      <c r="R456" t="s" s="16">
        <f>HYPERLINK("http://secrets.rutgers.edu:8080/data/asl-ftp/asllvd/demos/verify_start_end_handshape_annotations//test_auto_move//signs_mov_separ_signers/Liz_89.mov","MOV")</f>
        <v>21</v>
      </c>
    </row>
    <row r="457" s="2" customFormat="1" ht="13.5" customHeight="1">
      <c r="B457" t="s" s="8">
        <v>52</v>
      </c>
      <c r="C457" t="s" s="9">
        <v>53</v>
      </c>
      <c r="D457" t="s" s="8">
        <v>53</v>
      </c>
      <c r="E457" t="s" s="9">
        <v>53</v>
      </c>
      <c r="F457" t="s" s="10">
        <v>53</v>
      </c>
      <c r="G457" t="s" s="11">
        <v>53</v>
      </c>
      <c r="H457" t="s" s="10">
        <v>53</v>
      </c>
      <c r="I457" t="s" s="11">
        <v>53</v>
      </c>
      <c r="J457" t="s" s="11">
        <v>53</v>
      </c>
      <c r="K457" t="s" s="12">
        <v>53</v>
      </c>
      <c r="L457" t="s" s="12">
        <v>53</v>
      </c>
      <c r="M457" t="s" s="10">
        <v>53</v>
      </c>
      <c r="N457" t="s" s="11">
        <v>53</v>
      </c>
      <c r="O457" t="s" s="8">
        <v>53</v>
      </c>
      <c r="P457" t="s" s="8">
        <v>53</v>
      </c>
      <c r="Q457" t="s" s="12">
        <v>53</v>
      </c>
      <c r="R457" t="s" s="12">
        <v>53</v>
      </c>
    </row>
    <row r="458" s="2" customFormat="1" ht="13.5" customHeight="1">
      <c r="B458" s="13"/>
      <c r="C458" t="s" s="9">
        <v>30</v>
      </c>
      <c r="D458" t="s" s="8">
        <v>225</v>
      </c>
      <c r="E458" t="s" s="9">
        <v>226</v>
      </c>
      <c r="F458" s="19">
        <v>1</v>
      </c>
      <c r="G458" s="17">
        <v>5</v>
      </c>
      <c r="H458" s="19">
        <v>1</v>
      </c>
      <c r="I458" s="17">
        <v>5</v>
      </c>
      <c r="J458" t="s" s="11">
        <v>20</v>
      </c>
      <c r="K458" t="s" s="16">
        <f>HYPERLINK("http://csr.bu.edu/ftp/asl/asllvd/demos/verify_start_end_handshape_annotations//test_auto_move//signs_mov/5531.mov","MOV")</f>
        <v>21</v>
      </c>
      <c r="L458" t="s" s="16">
        <f>HYPERLINK("http://csr.bu.edu/ftp/asl/asllvd/demos/verify_start_end_handshape_annotations//test_auto_move//signs_mov_separ_signers/Brady_5531.mov","MOV")</f>
        <v>21</v>
      </c>
      <c r="M458" t="s" s="10">
        <v>31</v>
      </c>
      <c r="N458" s="17">
        <v>11</v>
      </c>
      <c r="O458" s="18">
        <v>7576</v>
      </c>
      <c r="P458" s="18">
        <v>7605</v>
      </c>
      <c r="Q458" t="s" s="16">
        <f>HYPERLINK("http://secrets.rutgers.edu:8080/data/asl-ftp/asllvd/demos/verify_start_end_handshape_annotations//test_auto_move//signs_mov/5531.mov","MOV")</f>
        <v>21</v>
      </c>
      <c r="R458" t="s" s="16">
        <f>HYPERLINK("http://secrets.rutgers.edu:8080/data/asl-ftp/asllvd/demos/verify_start_end_handshape_annotations//test_auto_move//signs_mov_separ_signers/Brady_5531.mov","MOV")</f>
        <v>21</v>
      </c>
    </row>
    <row r="459" s="2" customFormat="1" ht="13.5" customHeight="1">
      <c r="B459" t="s" s="8">
        <v>227</v>
      </c>
      <c r="C459" t="s" s="9">
        <v>14</v>
      </c>
      <c r="D459" t="s" s="8">
        <v>14</v>
      </c>
      <c r="E459" t="s" s="9">
        <v>14</v>
      </c>
      <c r="F459" t="s" s="10">
        <v>14</v>
      </c>
      <c r="G459" t="s" s="11">
        <v>14</v>
      </c>
      <c r="H459" t="s" s="10">
        <v>14</v>
      </c>
      <c r="I459" t="s" s="11">
        <v>14</v>
      </c>
      <c r="J459" t="s" s="11">
        <v>14</v>
      </c>
      <c r="K459" t="s" s="12">
        <v>14</v>
      </c>
      <c r="L459" t="s" s="12">
        <v>14</v>
      </c>
      <c r="M459" t="s" s="10">
        <v>14</v>
      </c>
      <c r="N459" t="s" s="11">
        <v>14</v>
      </c>
      <c r="O459" t="s" s="8">
        <v>14</v>
      </c>
      <c r="P459" t="s" s="8">
        <v>14</v>
      </c>
      <c r="Q459" t="s" s="12">
        <v>14</v>
      </c>
      <c r="R459" t="s" s="12">
        <v>14</v>
      </c>
    </row>
    <row r="460" s="2" customFormat="1" ht="13.5" customHeight="1">
      <c r="B460" s="13"/>
      <c r="C460" t="s" s="9">
        <v>16</v>
      </c>
      <c r="D460" t="s" s="8">
        <v>227</v>
      </c>
      <c r="E460" t="s" s="9">
        <v>227</v>
      </c>
      <c r="F460" s="19">
        <v>1</v>
      </c>
      <c r="G460" s="17">
        <v>1</v>
      </c>
      <c r="H460" s="19">
        <v>1</v>
      </c>
      <c r="I460" s="17">
        <v>1</v>
      </c>
      <c r="J460" t="s" s="11">
        <v>20</v>
      </c>
      <c r="K460" s="15"/>
      <c r="L460" t="s" s="16">
        <f>HYPERLINK("http://csr.bu.edu/ftp/asl/asllvd/demos/verify_start_end_handshape_annotations//test_auto_move//signs_mov_separ_signers/Liz_91.mov","MOV")</f>
        <v>21</v>
      </c>
      <c r="M460" t="s" s="10">
        <v>22</v>
      </c>
      <c r="N460" s="17">
        <v>14</v>
      </c>
      <c r="O460" s="18">
        <v>325</v>
      </c>
      <c r="P460" s="18">
        <v>371</v>
      </c>
      <c r="Q460" s="15"/>
      <c r="R460" t="s" s="16">
        <f>HYPERLINK("http://secrets.rutgers.edu:8080/data/asl-ftp/asllvd/demos/verify_start_end_handshape_annotations//test_auto_move//signs_mov_separ_signers/Liz_91.mov","MOV")</f>
        <v>21</v>
      </c>
    </row>
    <row r="461" s="2" customFormat="1" ht="13.5" customHeight="1">
      <c r="B461" s="13"/>
      <c r="C461" t="s" s="9">
        <v>27</v>
      </c>
      <c r="D461" t="s" s="8">
        <v>227</v>
      </c>
      <c r="E461" t="s" s="9">
        <v>227</v>
      </c>
      <c r="F461" s="19">
        <v>1</v>
      </c>
      <c r="G461" s="17">
        <v>1</v>
      </c>
      <c r="H461" s="19">
        <v>1</v>
      </c>
      <c r="I461" s="17">
        <v>1</v>
      </c>
      <c r="J461" t="s" s="11">
        <v>20</v>
      </c>
      <c r="K461" t="s" s="16">
        <f>HYPERLINK("http://csr.bu.edu/ftp/asl/asllvd/demos/verify_start_end_handshape_annotations//test_auto_move//signs_mov/91.mov","MOV")</f>
        <v>21</v>
      </c>
      <c r="L461" t="s" s="16">
        <f>HYPERLINK("http://csr.bu.edu/ftp/asl/asllvd/demos/verify_start_end_handshape_annotations//test_auto_move//signs_mov_separ_signers/Naomi_91.mov","MOV")</f>
        <v>21</v>
      </c>
      <c r="M461" t="s" s="10">
        <v>29</v>
      </c>
      <c r="N461" s="17">
        <v>10</v>
      </c>
      <c r="O461" s="18">
        <v>420</v>
      </c>
      <c r="P461" s="18">
        <v>450</v>
      </c>
      <c r="Q461" t="s" s="16">
        <f>HYPERLINK("http://secrets.rutgers.edu:8080/data/asl-ftp/asllvd/demos/verify_start_end_handshape_annotations//test_auto_move//signs_mov/91.mov","MOV")</f>
        <v>21</v>
      </c>
      <c r="R461" t="s" s="16">
        <f>HYPERLINK("http://secrets.rutgers.edu:8080/data/asl-ftp/asllvd/demos/verify_start_end_handshape_annotations//test_auto_move//signs_mov_separ_signers/Naomi_91.mov","MOV")</f>
        <v>21</v>
      </c>
    </row>
    <row r="462" s="2" customFormat="1" ht="13.5" customHeight="1">
      <c r="B462" s="13"/>
      <c r="C462" t="s" s="9">
        <v>30</v>
      </c>
      <c r="D462" t="s" s="8">
        <v>227</v>
      </c>
      <c r="E462" t="s" s="9">
        <v>227</v>
      </c>
      <c r="F462" s="19">
        <v>1</v>
      </c>
      <c r="G462" s="17">
        <v>1</v>
      </c>
      <c r="H462" s="19">
        <v>1</v>
      </c>
      <c r="I462" s="17">
        <v>1</v>
      </c>
      <c r="J462" t="s" s="11">
        <v>20</v>
      </c>
      <c r="K462" s="15"/>
      <c r="L462" t="s" s="16">
        <f>HYPERLINK("http://csr.bu.edu/ftp/asl/asllvd/demos/verify_start_end_handshape_annotations//test_auto_move//signs_mov_separ_signers/Brady_91.mov","MOV")</f>
        <v>21</v>
      </c>
      <c r="M462" t="s" s="10">
        <v>31</v>
      </c>
      <c r="N462" s="17">
        <v>11</v>
      </c>
      <c r="O462" s="18">
        <v>8297</v>
      </c>
      <c r="P462" s="18">
        <v>8331</v>
      </c>
      <c r="Q462" s="15"/>
      <c r="R462" t="s" s="16">
        <f>HYPERLINK("http://secrets.rutgers.edu:8080/data/asl-ftp/asllvd/demos/verify_start_end_handshape_annotations//test_auto_move//signs_mov_separ_signers/Brady_91.mov","MOV")</f>
        <v>21</v>
      </c>
    </row>
    <row r="463" s="2" customFormat="1" ht="13.5" customHeight="1">
      <c r="B463" t="s" s="8">
        <v>228</v>
      </c>
      <c r="C463" t="s" s="9">
        <v>14</v>
      </c>
      <c r="D463" t="s" s="8">
        <v>14</v>
      </c>
      <c r="E463" t="s" s="9">
        <v>14</v>
      </c>
      <c r="F463" t="s" s="10">
        <v>14</v>
      </c>
      <c r="G463" t="s" s="11">
        <v>14</v>
      </c>
      <c r="H463" t="s" s="10">
        <v>14</v>
      </c>
      <c r="I463" t="s" s="11">
        <v>14</v>
      </c>
      <c r="J463" t="s" s="11">
        <v>14</v>
      </c>
      <c r="K463" t="s" s="12">
        <v>14</v>
      </c>
      <c r="L463" t="s" s="12">
        <v>14</v>
      </c>
      <c r="M463" t="s" s="10">
        <v>14</v>
      </c>
      <c r="N463" t="s" s="11">
        <v>14</v>
      </c>
      <c r="O463" t="s" s="8">
        <v>14</v>
      </c>
      <c r="P463" t="s" s="8">
        <v>14</v>
      </c>
      <c r="Q463" t="s" s="12">
        <v>14</v>
      </c>
      <c r="R463" t="s" s="12">
        <v>14</v>
      </c>
    </row>
    <row r="464" s="2" customFormat="1" ht="13.5" customHeight="1">
      <c r="B464" s="13"/>
      <c r="C464" t="s" s="9">
        <v>16</v>
      </c>
      <c r="D464" t="s" s="8">
        <v>228</v>
      </c>
      <c r="E464" t="s" s="9">
        <v>228</v>
      </c>
      <c r="F464" t="s" s="10">
        <v>229</v>
      </c>
      <c r="G464" t="s" s="11">
        <v>229</v>
      </c>
      <c r="H464" t="s" s="10">
        <v>230</v>
      </c>
      <c r="I464" t="s" s="11">
        <v>230</v>
      </c>
      <c r="J464" t="s" s="11">
        <v>20</v>
      </c>
      <c r="K464" t="s" s="16">
        <f>HYPERLINK("http://csr.bu.edu/ftp/asl/asllvd/demos/verify_start_end_handshape_annotations//test_auto_move//signs_mov/92.mov","MOV")</f>
        <v>21</v>
      </c>
      <c r="L464" t="s" s="16">
        <f>HYPERLINK("http://csr.bu.edu/ftp/asl/asllvd/demos/verify_start_end_handshape_annotations//test_auto_move//signs_mov_separ_signers/Liz_92.mov","MOV")</f>
        <v>21</v>
      </c>
      <c r="M464" t="s" s="10">
        <v>22</v>
      </c>
      <c r="N464" s="17">
        <v>14</v>
      </c>
      <c r="O464" s="18">
        <v>560</v>
      </c>
      <c r="P464" s="18">
        <v>595</v>
      </c>
      <c r="Q464" t="s" s="16">
        <f>HYPERLINK("http://secrets.rutgers.edu:8080/data/asl-ftp/asllvd/demos/verify_start_end_handshape_annotations//test_auto_move//signs_mov/92.mov","MOV")</f>
        <v>21</v>
      </c>
      <c r="R464" t="s" s="16">
        <f>HYPERLINK("http://secrets.rutgers.edu:8080/data/asl-ftp/asllvd/demos/verify_start_end_handshape_annotations//test_auto_move//signs_mov_separ_signers/Liz_92.mov","MOV")</f>
        <v>21</v>
      </c>
    </row>
    <row r="465" s="2" customFormat="1" ht="13.5" customHeight="1">
      <c r="B465" s="13"/>
      <c r="C465" t="s" s="9">
        <v>23</v>
      </c>
      <c r="D465" t="s" s="8">
        <v>228</v>
      </c>
      <c r="E465" t="s" s="9">
        <v>231</v>
      </c>
      <c r="F465" t="s" s="10">
        <v>229</v>
      </c>
      <c r="G465" t="s" s="11">
        <v>229</v>
      </c>
      <c r="H465" t="s" s="10">
        <v>230</v>
      </c>
      <c r="I465" t="s" s="11">
        <v>230</v>
      </c>
      <c r="J465" t="s" s="11">
        <v>20</v>
      </c>
      <c r="K465" s="15"/>
      <c r="L465" t="s" s="16">
        <f>HYPERLINK("http://csr.bu.edu/ftp/asl/asllvd/demos/verify_start_end_handshape_annotations//test_auto_move//signs_mov_separ_signers/Tyler_92.mov","MOV")</f>
        <v>21</v>
      </c>
      <c r="M465" t="s" s="10">
        <v>26</v>
      </c>
      <c r="N465" s="17">
        <v>11</v>
      </c>
      <c r="O465" s="18">
        <v>987</v>
      </c>
      <c r="P465" s="18">
        <v>1032</v>
      </c>
      <c r="Q465" s="15"/>
      <c r="R465" t="s" s="16">
        <f>HYPERLINK("http://secrets.rutgers.edu:8080/data/asl-ftp/asllvd/demos/verify_start_end_handshape_annotations//test_auto_move//signs_mov_separ_signers/Tyler_92.mov","MOV")</f>
        <v>21</v>
      </c>
    </row>
    <row r="466" s="2" customFormat="1" ht="13.5" customHeight="1">
      <c r="B466" t="s" s="8">
        <v>52</v>
      </c>
      <c r="C466" t="s" s="9">
        <v>53</v>
      </c>
      <c r="D466" t="s" s="8">
        <v>53</v>
      </c>
      <c r="E466" t="s" s="9">
        <v>53</v>
      </c>
      <c r="F466" t="s" s="10">
        <v>53</v>
      </c>
      <c r="G466" t="s" s="11">
        <v>53</v>
      </c>
      <c r="H466" t="s" s="10">
        <v>53</v>
      </c>
      <c r="I466" t="s" s="11">
        <v>53</v>
      </c>
      <c r="J466" t="s" s="11">
        <v>53</v>
      </c>
      <c r="K466" t="s" s="12">
        <v>53</v>
      </c>
      <c r="L466" t="s" s="12">
        <v>53</v>
      </c>
      <c r="M466" t="s" s="10">
        <v>53</v>
      </c>
      <c r="N466" t="s" s="11">
        <v>53</v>
      </c>
      <c r="O466" t="s" s="8">
        <v>53</v>
      </c>
      <c r="P466" t="s" s="8">
        <v>53</v>
      </c>
      <c r="Q466" t="s" s="12">
        <v>53</v>
      </c>
      <c r="R466" t="s" s="12">
        <v>53</v>
      </c>
    </row>
    <row r="467" s="2" customFormat="1" ht="13.5" customHeight="1">
      <c r="B467" s="13"/>
      <c r="C467" t="s" s="9">
        <v>27</v>
      </c>
      <c r="D467" t="s" s="8">
        <v>228</v>
      </c>
      <c r="E467" t="s" s="9">
        <v>232</v>
      </c>
      <c r="F467" t="s" s="10">
        <v>229</v>
      </c>
      <c r="G467" t="s" s="11">
        <v>229</v>
      </c>
      <c r="H467" t="s" s="10">
        <v>230</v>
      </c>
      <c r="I467" t="s" s="11">
        <v>230</v>
      </c>
      <c r="J467" t="s" s="11">
        <v>20</v>
      </c>
      <c r="K467" t="s" s="16">
        <f>HYPERLINK("http://csr.bu.edu/ftp/asl/asllvd/demos/verify_start_end_handshape_annotations//test_auto_move//signs_mov/3987.mov","MOV")</f>
        <v>21</v>
      </c>
      <c r="L467" t="s" s="16">
        <f>HYPERLINK("http://csr.bu.edu/ftp/asl/asllvd/demos/verify_start_end_handshape_annotations//test_auto_move//signs_mov_separ_signers/Naomi_3987.mov","MOV")</f>
        <v>21</v>
      </c>
      <c r="M467" t="s" s="10">
        <v>29</v>
      </c>
      <c r="N467" s="17">
        <v>10</v>
      </c>
      <c r="O467" s="18">
        <v>831</v>
      </c>
      <c r="P467" s="18">
        <v>876</v>
      </c>
      <c r="Q467" t="s" s="16">
        <f>HYPERLINK("http://secrets.rutgers.edu:8080/data/asl-ftp/asllvd/demos/verify_start_end_handshape_annotations//test_auto_move//signs_mov/3987.mov","MOV")</f>
        <v>21</v>
      </c>
      <c r="R467" t="s" s="16">
        <f>HYPERLINK("http://secrets.rutgers.edu:8080/data/asl-ftp/asllvd/demos/verify_start_end_handshape_annotations//test_auto_move//signs_mov_separ_signers/Naomi_3987.mov","MOV")</f>
        <v>21</v>
      </c>
    </row>
    <row r="468" s="2" customFormat="1" ht="13.5" customHeight="1">
      <c r="B468" t="s" s="8">
        <v>52</v>
      </c>
      <c r="C468" t="s" s="9">
        <v>53</v>
      </c>
      <c r="D468" t="s" s="8">
        <v>53</v>
      </c>
      <c r="E468" t="s" s="9">
        <v>53</v>
      </c>
      <c r="F468" t="s" s="10">
        <v>53</v>
      </c>
      <c r="G468" t="s" s="11">
        <v>53</v>
      </c>
      <c r="H468" t="s" s="10">
        <v>53</v>
      </c>
      <c r="I468" t="s" s="11">
        <v>53</v>
      </c>
      <c r="J468" t="s" s="11">
        <v>53</v>
      </c>
      <c r="K468" t="s" s="12">
        <v>53</v>
      </c>
      <c r="L468" t="s" s="12">
        <v>53</v>
      </c>
      <c r="M468" t="s" s="10">
        <v>53</v>
      </c>
      <c r="N468" t="s" s="11">
        <v>53</v>
      </c>
      <c r="O468" t="s" s="8">
        <v>53</v>
      </c>
      <c r="P468" t="s" s="8">
        <v>53</v>
      </c>
      <c r="Q468" t="s" s="12">
        <v>53</v>
      </c>
      <c r="R468" t="s" s="12">
        <v>53</v>
      </c>
    </row>
    <row r="469" s="2" customFormat="1" ht="13.5" customHeight="1">
      <c r="B469" s="13"/>
      <c r="C469" t="s" s="9">
        <v>30</v>
      </c>
      <c r="D469" t="s" s="8">
        <v>228</v>
      </c>
      <c r="E469" t="s" s="9">
        <v>233</v>
      </c>
      <c r="F469" t="s" s="10">
        <v>229</v>
      </c>
      <c r="G469" t="s" s="11">
        <v>229</v>
      </c>
      <c r="H469" t="s" s="10">
        <v>230</v>
      </c>
      <c r="I469" t="s" s="11">
        <v>230</v>
      </c>
      <c r="J469" t="s" s="11">
        <v>20</v>
      </c>
      <c r="K469" t="s" s="16">
        <f>HYPERLINK("http://csr.bu.edu/ftp/asl/asllvd/demos/verify_start_end_handshape_annotations//test_auto_move//signs_mov/16543.mov","MOV")</f>
        <v>21</v>
      </c>
      <c r="L469" t="s" s="16">
        <f>HYPERLINK("http://csr.bu.edu/ftp/asl/asllvd/demos/verify_start_end_handshape_annotations//test_auto_move//signs_mov_separ_signers/Brady_16543.mov","MOV")</f>
        <v>21</v>
      </c>
      <c r="M469" t="s" s="10">
        <v>31</v>
      </c>
      <c r="N469" s="17">
        <v>11</v>
      </c>
      <c r="O469" s="18">
        <v>9597</v>
      </c>
      <c r="P469" s="18">
        <v>9631</v>
      </c>
      <c r="Q469" t="s" s="16">
        <f>HYPERLINK("http://secrets.rutgers.edu:8080/data/asl-ftp/asllvd/demos/verify_start_end_handshape_annotations//test_auto_move//signs_mov/16543.mov","MOV")</f>
        <v>21</v>
      </c>
      <c r="R469" t="s" s="16">
        <f>HYPERLINK("http://secrets.rutgers.edu:8080/data/asl-ftp/asllvd/demos/verify_start_end_handshape_annotations//test_auto_move//signs_mov_separ_signers/Brady_16543.mov","MOV")</f>
        <v>21</v>
      </c>
    </row>
    <row r="470" s="2" customFormat="1" ht="13.5" customHeight="1">
      <c r="B470" t="s" s="8">
        <v>234</v>
      </c>
      <c r="C470" t="s" s="9">
        <v>14</v>
      </c>
      <c r="D470" t="s" s="8">
        <v>14</v>
      </c>
      <c r="E470" t="s" s="9">
        <v>14</v>
      </c>
      <c r="F470" t="s" s="10">
        <v>14</v>
      </c>
      <c r="G470" t="s" s="11">
        <v>14</v>
      </c>
      <c r="H470" t="s" s="10">
        <v>14</v>
      </c>
      <c r="I470" t="s" s="11">
        <v>14</v>
      </c>
      <c r="J470" t="s" s="11">
        <v>14</v>
      </c>
      <c r="K470" t="s" s="12">
        <v>14</v>
      </c>
      <c r="L470" t="s" s="12">
        <v>14</v>
      </c>
      <c r="M470" t="s" s="10">
        <v>14</v>
      </c>
      <c r="N470" t="s" s="11">
        <v>14</v>
      </c>
      <c r="O470" t="s" s="8">
        <v>14</v>
      </c>
      <c r="P470" t="s" s="8">
        <v>14</v>
      </c>
      <c r="Q470" t="s" s="12">
        <v>14</v>
      </c>
      <c r="R470" t="s" s="12">
        <v>14</v>
      </c>
    </row>
    <row r="471" s="2" customFormat="1" ht="13.5" customHeight="1">
      <c r="B471" s="13"/>
      <c r="C471" t="s" s="9">
        <v>16</v>
      </c>
      <c r="D471" t="s" s="8">
        <v>234</v>
      </c>
      <c r="E471" t="s" s="9">
        <v>235</v>
      </c>
      <c r="F471" t="s" s="10">
        <v>73</v>
      </c>
      <c r="G471" t="s" s="11">
        <v>73</v>
      </c>
      <c r="H471" t="s" s="10">
        <v>73</v>
      </c>
      <c r="I471" t="s" s="11">
        <v>73</v>
      </c>
      <c r="J471" t="s" s="11">
        <v>20</v>
      </c>
      <c r="K471" s="15"/>
      <c r="L471" t="s" s="16">
        <f>HYPERLINK("http://csr.bu.edu/ftp/asl/asllvd/demos/verify_start_end_handshape_annotations//test_auto_move//signs_mov_separ_signers/Liz_93.mov","MOV")</f>
        <v>21</v>
      </c>
      <c r="M471" t="s" s="10">
        <v>34</v>
      </c>
      <c r="N471" s="17">
        <v>3</v>
      </c>
      <c r="O471" s="18">
        <v>750</v>
      </c>
      <c r="P471" s="18">
        <v>830</v>
      </c>
      <c r="Q471" s="15"/>
      <c r="R471" t="s" s="16">
        <f>HYPERLINK("http://secrets.rutgers.edu:8080/data/asl-ftp/asllvd/demos/verify_start_end_handshape_annotations//test_auto_move//signs_mov_separ_signers/Liz_93.mov","MOV")</f>
        <v>21</v>
      </c>
    </row>
    <row r="472" s="2" customFormat="1" ht="13.5" customHeight="1">
      <c r="B472" s="13"/>
      <c r="C472" t="s" s="9">
        <v>16</v>
      </c>
      <c r="D472" t="s" s="8">
        <v>234</v>
      </c>
      <c r="E472" t="s" s="9">
        <v>235</v>
      </c>
      <c r="F472" t="s" s="10">
        <v>73</v>
      </c>
      <c r="G472" t="s" s="11">
        <v>73</v>
      </c>
      <c r="H472" t="s" s="10">
        <v>73</v>
      </c>
      <c r="I472" t="s" s="11">
        <v>73</v>
      </c>
      <c r="J472" t="s" s="11">
        <v>20</v>
      </c>
      <c r="K472" s="15"/>
      <c r="L472" t="s" s="16">
        <f>HYPERLINK("http://csr.bu.edu/ftp/asl/asllvd/demos/verify_start_end_handshape_annotations//test_auto_move//signs_mov_separ_signers/Liz_15118.mov","MOV")</f>
        <v>21</v>
      </c>
      <c r="M472" t="s" s="10">
        <v>34</v>
      </c>
      <c r="N472" s="17">
        <v>41</v>
      </c>
      <c r="O472" s="18">
        <v>835</v>
      </c>
      <c r="P472" s="18">
        <v>921</v>
      </c>
      <c r="Q472" s="15"/>
      <c r="R472" t="s" s="16">
        <f>HYPERLINK("http://secrets.rutgers.edu:8080/data/asl-ftp/asllvd/demos/verify_start_end_handshape_annotations//test_auto_move//signs_mov_separ_signers/Liz_15118.mov","MOV")</f>
        <v>21</v>
      </c>
    </row>
    <row r="473" s="2" customFormat="1" ht="13.5" customHeight="1">
      <c r="B473" s="13"/>
      <c r="C473" t="s" s="9">
        <v>27</v>
      </c>
      <c r="D473" t="s" s="8">
        <v>234</v>
      </c>
      <c r="E473" t="s" s="9">
        <v>235</v>
      </c>
      <c r="F473" t="s" s="10">
        <v>73</v>
      </c>
      <c r="G473" t="s" s="11">
        <v>73</v>
      </c>
      <c r="H473" t="s" s="10">
        <v>73</v>
      </c>
      <c r="I473" t="s" s="11">
        <v>73</v>
      </c>
      <c r="J473" t="s" s="11">
        <v>20</v>
      </c>
      <c r="K473" t="s" s="16">
        <f>HYPERLINK("http://csr.bu.edu/ftp/asl/asllvd/demos/verify_start_end_handshape_annotations//test_auto_move//signs_mov/93_15118_merged.mov","MOV")</f>
        <v>21</v>
      </c>
      <c r="L473" t="s" s="16">
        <f>HYPERLINK("http://csr.bu.edu/ftp/asl/asllvd/demos/verify_start_end_handshape_annotations//test_auto_move//signs_mov_separ_signers/Naomi_93.mov","MOV")</f>
        <v>21</v>
      </c>
      <c r="M473" t="s" s="10">
        <v>38</v>
      </c>
      <c r="N473" s="17">
        <v>3</v>
      </c>
      <c r="O473" s="18">
        <v>1423</v>
      </c>
      <c r="P473" s="18">
        <v>1470</v>
      </c>
      <c r="Q473" t="s" s="16">
        <f>HYPERLINK("http://secrets.rutgers.edu:8080/data/asl-ftp/asllvd/demos/verify_start_end_handshape_annotations//test_auto_move//signs_mov/93_15118_merged.mov","MOV")</f>
        <v>21</v>
      </c>
      <c r="R473" t="s" s="16">
        <f>HYPERLINK("http://secrets.rutgers.edu:8080/data/asl-ftp/asllvd/demos/verify_start_end_handshape_annotations//test_auto_move//signs_mov_separ_signers/Naomi_93.mov","MOV")</f>
        <v>21</v>
      </c>
    </row>
    <row r="474" s="2" customFormat="1" ht="13.5" customHeight="1">
      <c r="B474" s="13"/>
      <c r="C474" t="s" s="9">
        <v>27</v>
      </c>
      <c r="D474" t="s" s="8">
        <v>234</v>
      </c>
      <c r="E474" t="s" s="9">
        <v>235</v>
      </c>
      <c r="F474" t="s" s="10">
        <v>73</v>
      </c>
      <c r="G474" t="s" s="11">
        <v>73</v>
      </c>
      <c r="H474" t="s" s="10">
        <v>73</v>
      </c>
      <c r="I474" t="s" s="11">
        <v>73</v>
      </c>
      <c r="J474" t="s" s="11">
        <v>20</v>
      </c>
      <c r="K474" s="15"/>
      <c r="L474" t="s" s="16">
        <f>HYPERLINK("http://csr.bu.edu/ftp/asl/asllvd/demos/verify_start_end_handshape_annotations//test_auto_move//signs_mov_separ_signers/Naomi_15118.mov","MOV")</f>
        <v>21</v>
      </c>
      <c r="M474" t="s" s="10">
        <v>38</v>
      </c>
      <c r="N474" s="17">
        <v>34</v>
      </c>
      <c r="O474" s="18">
        <v>1527</v>
      </c>
      <c r="P474" s="18">
        <v>1576</v>
      </c>
      <c r="Q474" s="15"/>
      <c r="R474" t="s" s="16">
        <f>HYPERLINK("http://secrets.rutgers.edu:8080/data/asl-ftp/asllvd/demos/verify_start_end_handshape_annotations//test_auto_move//signs_mov_separ_signers/Naomi_15118.mov","MOV")</f>
        <v>21</v>
      </c>
    </row>
    <row r="475" s="2" customFormat="1" ht="13.5" customHeight="1">
      <c r="B475" s="13"/>
      <c r="C475" t="s" s="9">
        <v>30</v>
      </c>
      <c r="D475" t="s" s="8">
        <v>234</v>
      </c>
      <c r="E475" t="s" s="9">
        <v>235</v>
      </c>
      <c r="F475" t="s" s="10">
        <v>85</v>
      </c>
      <c r="G475" t="s" s="11">
        <v>85</v>
      </c>
      <c r="H475" t="s" s="10">
        <v>85</v>
      </c>
      <c r="I475" t="s" s="11">
        <v>85</v>
      </c>
      <c r="J475" t="s" s="11">
        <v>20</v>
      </c>
      <c r="K475" s="15"/>
      <c r="L475" t="s" s="16">
        <f>HYPERLINK("http://csr.bu.edu/ftp/asl/asllvd/demos/verify_start_end_handshape_annotations//test_auto_move//signs_mov_separ_signers/Brady_93.mov","MOV")</f>
        <v>21</v>
      </c>
      <c r="M475" t="s" s="10">
        <v>39</v>
      </c>
      <c r="N475" s="17">
        <v>25</v>
      </c>
      <c r="O475" s="18">
        <v>154</v>
      </c>
      <c r="P475" s="18">
        <v>201</v>
      </c>
      <c r="Q475" s="15"/>
      <c r="R475" t="s" s="16">
        <f>HYPERLINK("http://secrets.rutgers.edu:8080/data/asl-ftp/asllvd/demos/verify_start_end_handshape_annotations//test_auto_move//signs_mov_separ_signers/Brady_93.mov","MOV")</f>
        <v>21</v>
      </c>
    </row>
    <row r="476" s="2" customFormat="1" ht="13.5" customHeight="1">
      <c r="B476" s="13"/>
      <c r="C476" t="s" s="9">
        <v>30</v>
      </c>
      <c r="D476" t="s" s="8">
        <v>234</v>
      </c>
      <c r="E476" t="s" s="9">
        <v>235</v>
      </c>
      <c r="F476" t="s" s="10">
        <v>73</v>
      </c>
      <c r="G476" t="s" s="11">
        <v>73</v>
      </c>
      <c r="H476" t="s" s="10">
        <v>73</v>
      </c>
      <c r="I476" t="s" s="11">
        <v>73</v>
      </c>
      <c r="J476" t="s" s="11">
        <v>20</v>
      </c>
      <c r="K476" s="15"/>
      <c r="L476" t="s" s="16">
        <f>HYPERLINK("http://csr.bu.edu/ftp/asl/asllvd/demos/verify_start_end_handshape_annotations//test_auto_move//signs_mov_separ_signers/Brady_15118.mov","MOV")</f>
        <v>21</v>
      </c>
      <c r="M476" t="s" s="10">
        <v>39</v>
      </c>
      <c r="N476" s="17">
        <v>44</v>
      </c>
      <c r="O476" s="18">
        <v>6965</v>
      </c>
      <c r="P476" s="18">
        <v>7008</v>
      </c>
      <c r="Q476" s="15"/>
      <c r="R476" t="s" s="16">
        <f>HYPERLINK("http://secrets.rutgers.edu:8080/data/asl-ftp/asllvd/demos/verify_start_end_handshape_annotations//test_auto_move//signs_mov_separ_signers/Brady_15118.mov","MOV")</f>
        <v>21</v>
      </c>
    </row>
    <row r="477" s="2" customFormat="1" ht="13.5" customHeight="1">
      <c r="B477" t="s" s="8">
        <v>236</v>
      </c>
      <c r="C477" t="s" s="9">
        <v>14</v>
      </c>
      <c r="D477" t="s" s="8">
        <v>14</v>
      </c>
      <c r="E477" t="s" s="9">
        <v>14</v>
      </c>
      <c r="F477" t="s" s="10">
        <v>14</v>
      </c>
      <c r="G477" t="s" s="11">
        <v>14</v>
      </c>
      <c r="H477" t="s" s="10">
        <v>14</v>
      </c>
      <c r="I477" t="s" s="11">
        <v>14</v>
      </c>
      <c r="J477" t="s" s="11">
        <v>14</v>
      </c>
      <c r="K477" t="s" s="12">
        <v>14</v>
      </c>
      <c r="L477" t="s" s="12">
        <v>14</v>
      </c>
      <c r="M477" t="s" s="10">
        <v>14</v>
      </c>
      <c r="N477" t="s" s="11">
        <v>14</v>
      </c>
      <c r="O477" t="s" s="8">
        <v>14</v>
      </c>
      <c r="P477" t="s" s="8">
        <v>14</v>
      </c>
      <c r="Q477" t="s" s="12">
        <v>14</v>
      </c>
      <c r="R477" t="s" s="12">
        <v>14</v>
      </c>
    </row>
    <row r="478" s="2" customFormat="1" ht="13.5" customHeight="1">
      <c r="B478" s="13"/>
      <c r="C478" t="s" s="9">
        <v>16</v>
      </c>
      <c r="D478" t="s" s="8">
        <v>236</v>
      </c>
      <c r="E478" t="s" s="9">
        <v>237</v>
      </c>
      <c r="F478" t="s" s="10">
        <v>73</v>
      </c>
      <c r="G478" t="s" s="11">
        <v>73</v>
      </c>
      <c r="H478" t="s" s="10">
        <v>73</v>
      </c>
      <c r="I478" t="s" s="11">
        <v>73</v>
      </c>
      <c r="J478" t="s" s="11">
        <v>20</v>
      </c>
      <c r="K478" s="15"/>
      <c r="L478" t="s" s="16">
        <f>HYPERLINK("http://csr.bu.edu/ftp/asl/asllvd/demos/verify_start_end_handshape_annotations//test_auto_move//signs_mov_separ_signers/Liz_15580.mov","MOV")</f>
        <v>21</v>
      </c>
      <c r="M478" t="s" s="10">
        <v>22</v>
      </c>
      <c r="N478" s="17">
        <v>14</v>
      </c>
      <c r="O478" s="18">
        <v>765</v>
      </c>
      <c r="P478" s="18">
        <v>825</v>
      </c>
      <c r="Q478" s="15"/>
      <c r="R478" t="s" s="16">
        <f>HYPERLINK("http://secrets.rutgers.edu:8080/data/asl-ftp/asllvd/demos/verify_start_end_handshape_annotations//test_auto_move//signs_mov_separ_signers/Liz_15580.mov","MOV")</f>
        <v>21</v>
      </c>
    </row>
    <row r="479" s="2" customFormat="1" ht="13.5" customHeight="1">
      <c r="B479" s="13"/>
      <c r="C479" t="s" s="9">
        <v>27</v>
      </c>
      <c r="D479" t="s" s="8">
        <v>236</v>
      </c>
      <c r="E479" t="s" s="9">
        <v>237</v>
      </c>
      <c r="F479" t="s" s="10">
        <v>73</v>
      </c>
      <c r="G479" t="s" s="11">
        <v>73</v>
      </c>
      <c r="H479" t="s" s="10">
        <v>73</v>
      </c>
      <c r="I479" t="s" s="11">
        <v>73</v>
      </c>
      <c r="J479" t="s" s="11">
        <v>20</v>
      </c>
      <c r="K479" t="s" s="16">
        <f>HYPERLINK("http://csr.bu.edu/ftp/asl/asllvd/demos/verify_start_end_handshape_annotations//test_auto_move//signs_mov/15580.mov","MOV")</f>
        <v>21</v>
      </c>
      <c r="L479" t="s" s="16">
        <f>HYPERLINK("http://csr.bu.edu/ftp/asl/asllvd/demos/verify_start_end_handshape_annotations//test_auto_move//signs_mov_separ_signers/Naomi_15580.mov","MOV")</f>
        <v>21</v>
      </c>
      <c r="M479" t="s" s="10">
        <v>29</v>
      </c>
      <c r="N479" s="17">
        <v>10</v>
      </c>
      <c r="O479" s="18">
        <v>1463</v>
      </c>
      <c r="P479" s="18">
        <v>1498</v>
      </c>
      <c r="Q479" t="s" s="16">
        <f>HYPERLINK("http://secrets.rutgers.edu:8080/data/asl-ftp/asllvd/demos/verify_start_end_handshape_annotations//test_auto_move//signs_mov/15580.mov","MOV")</f>
        <v>21</v>
      </c>
      <c r="R479" t="s" s="16">
        <f>HYPERLINK("http://secrets.rutgers.edu:8080/data/asl-ftp/asllvd/demos/verify_start_end_handshape_annotations//test_auto_move//signs_mov_separ_signers/Naomi_15580.mov","MOV")</f>
        <v>21</v>
      </c>
    </row>
    <row r="480" s="2" customFormat="1" ht="13.5" customHeight="1">
      <c r="B480" s="13"/>
      <c r="C480" t="s" s="9">
        <v>30</v>
      </c>
      <c r="D480" t="s" s="8">
        <v>236</v>
      </c>
      <c r="E480" t="s" s="9">
        <v>237</v>
      </c>
      <c r="F480" t="s" s="10">
        <v>73</v>
      </c>
      <c r="G480" t="s" s="11">
        <v>73</v>
      </c>
      <c r="H480" t="s" s="10">
        <v>80</v>
      </c>
      <c r="I480" t="s" s="11">
        <v>80</v>
      </c>
      <c r="J480" t="s" s="11">
        <v>20</v>
      </c>
      <c r="K480" s="15"/>
      <c r="L480" t="s" s="16">
        <f>HYPERLINK("http://csr.bu.edu/ftp/asl/asllvd/demos/verify_start_end_handshape_annotations//test_auto_move//signs_mov_separ_signers/Brady_15580.mov","MOV")</f>
        <v>21</v>
      </c>
      <c r="M480" t="s" s="10">
        <v>31</v>
      </c>
      <c r="N480" s="17">
        <v>11</v>
      </c>
      <c r="O480" s="18">
        <v>9127</v>
      </c>
      <c r="P480" s="18">
        <v>9164</v>
      </c>
      <c r="Q480" s="15"/>
      <c r="R480" t="s" s="16">
        <f>HYPERLINK("http://secrets.rutgers.edu:8080/data/asl-ftp/asllvd/demos/verify_start_end_handshape_annotations//test_auto_move//signs_mov_separ_signers/Brady_15580.mov","MOV")</f>
        <v>21</v>
      </c>
    </row>
    <row r="481" s="2" customFormat="1" ht="13.5" customHeight="1">
      <c r="B481" t="s" s="8">
        <v>238</v>
      </c>
      <c r="C481" t="s" s="9">
        <v>14</v>
      </c>
      <c r="D481" t="s" s="8">
        <v>14</v>
      </c>
      <c r="E481" t="s" s="9">
        <v>14</v>
      </c>
      <c r="F481" t="s" s="10">
        <v>14</v>
      </c>
      <c r="G481" t="s" s="11">
        <v>14</v>
      </c>
      <c r="H481" t="s" s="10">
        <v>14</v>
      </c>
      <c r="I481" t="s" s="11">
        <v>14</v>
      </c>
      <c r="J481" t="s" s="11">
        <v>14</v>
      </c>
      <c r="K481" t="s" s="12">
        <v>14</v>
      </c>
      <c r="L481" t="s" s="12">
        <v>14</v>
      </c>
      <c r="M481" t="s" s="10">
        <v>14</v>
      </c>
      <c r="N481" t="s" s="11">
        <v>14</v>
      </c>
      <c r="O481" t="s" s="8">
        <v>14</v>
      </c>
      <c r="P481" t="s" s="8">
        <v>14</v>
      </c>
      <c r="Q481" t="s" s="12">
        <v>14</v>
      </c>
      <c r="R481" t="s" s="12">
        <v>14</v>
      </c>
    </row>
    <row r="482" s="2" customFormat="1" ht="13.5" customHeight="1">
      <c r="B482" s="13"/>
      <c r="C482" t="s" s="9">
        <v>16</v>
      </c>
      <c r="D482" t="s" s="8">
        <v>238</v>
      </c>
      <c r="E482" t="s" s="9">
        <v>239</v>
      </c>
      <c r="F482" t="s" s="10">
        <v>240</v>
      </c>
      <c r="G482" t="s" s="11">
        <v>240</v>
      </c>
      <c r="H482" t="s" s="10">
        <v>240</v>
      </c>
      <c r="I482" t="s" s="11">
        <v>240</v>
      </c>
      <c r="J482" t="s" s="11">
        <v>20</v>
      </c>
      <c r="K482" t="s" s="16">
        <f>HYPERLINK("http://csr.bu.edu/ftp/asl/asllvd/demos/verify_start_end_handshape_annotations//test_auto_move//signs_mov/15582.mov","MOV")</f>
        <v>21</v>
      </c>
      <c r="L482" t="s" s="16">
        <f>HYPERLINK("http://csr.bu.edu/ftp/asl/asllvd/demos/verify_start_end_handshape_annotations//test_auto_move//signs_mov_separ_signers/Liz_15582.mov","MOV")</f>
        <v>21</v>
      </c>
      <c r="M482" t="s" s="10">
        <v>77</v>
      </c>
      <c r="N482" s="17">
        <v>29</v>
      </c>
      <c r="O482" s="18">
        <v>2785</v>
      </c>
      <c r="P482" s="18">
        <v>2851</v>
      </c>
      <c r="Q482" t="s" s="16">
        <f>HYPERLINK("http://secrets.rutgers.edu:8080/data/asl-ftp/asllvd/demos/verify_start_end_handshape_annotations//test_auto_move//signs_mov/15582.mov","MOV")</f>
        <v>21</v>
      </c>
      <c r="R482" t="s" s="16">
        <f>HYPERLINK("http://secrets.rutgers.edu:8080/data/asl-ftp/asllvd/demos/verify_start_end_handshape_annotations//test_auto_move//signs_mov_separ_signers/Liz_15582.mov","MOV")</f>
        <v>21</v>
      </c>
    </row>
    <row r="483" s="2" customFormat="1" ht="13.5" customHeight="1">
      <c r="B483" s="13"/>
      <c r="C483" t="s" s="9">
        <v>30</v>
      </c>
      <c r="D483" t="s" s="8">
        <v>238</v>
      </c>
      <c r="E483" t="s" s="9">
        <v>239</v>
      </c>
      <c r="F483" t="s" s="10">
        <v>240</v>
      </c>
      <c r="G483" t="s" s="11">
        <v>240</v>
      </c>
      <c r="H483" t="s" s="10">
        <v>240</v>
      </c>
      <c r="I483" t="s" s="11">
        <v>240</v>
      </c>
      <c r="J483" t="s" s="11">
        <v>20</v>
      </c>
      <c r="K483" s="15"/>
      <c r="L483" t="s" s="16">
        <f>HYPERLINK("http://csr.bu.edu/ftp/asl/asllvd/demos/verify_start_end_handshape_annotations//test_auto_move//signs_mov_separ_signers/Brady_15582.mov","MOV")</f>
        <v>21</v>
      </c>
      <c r="M483" t="s" s="10">
        <v>39</v>
      </c>
      <c r="N483" s="17">
        <v>33</v>
      </c>
      <c r="O483" s="18">
        <v>6357</v>
      </c>
      <c r="P483" s="18">
        <v>6392</v>
      </c>
      <c r="Q483" s="15"/>
      <c r="R483" t="s" s="16">
        <f>HYPERLINK("http://secrets.rutgers.edu:8080/data/asl-ftp/asllvd/demos/verify_start_end_handshape_annotations//test_auto_move//signs_mov_separ_signers/Brady_15582.mov","MOV")</f>
        <v>21</v>
      </c>
    </row>
    <row r="484" s="2" customFormat="1" ht="13.5" customHeight="1">
      <c r="B484" t="s" s="8">
        <v>241</v>
      </c>
      <c r="C484" t="s" s="9">
        <v>14</v>
      </c>
      <c r="D484" t="s" s="8">
        <v>14</v>
      </c>
      <c r="E484" t="s" s="9">
        <v>14</v>
      </c>
      <c r="F484" t="s" s="10">
        <v>14</v>
      </c>
      <c r="G484" t="s" s="11">
        <v>14</v>
      </c>
      <c r="H484" t="s" s="10">
        <v>14</v>
      </c>
      <c r="I484" t="s" s="11">
        <v>14</v>
      </c>
      <c r="J484" t="s" s="11">
        <v>14</v>
      </c>
      <c r="K484" t="s" s="12">
        <v>14</v>
      </c>
      <c r="L484" t="s" s="12">
        <v>14</v>
      </c>
      <c r="M484" t="s" s="10">
        <v>14</v>
      </c>
      <c r="N484" t="s" s="11">
        <v>14</v>
      </c>
      <c r="O484" t="s" s="8">
        <v>14</v>
      </c>
      <c r="P484" t="s" s="8">
        <v>14</v>
      </c>
      <c r="Q484" t="s" s="12">
        <v>14</v>
      </c>
      <c r="R484" t="s" s="12">
        <v>14</v>
      </c>
    </row>
    <row r="485" s="2" customFormat="1" ht="13.5" customHeight="1">
      <c r="B485" s="13"/>
      <c r="C485" t="s" s="9">
        <v>16</v>
      </c>
      <c r="D485" t="s" s="8">
        <v>241</v>
      </c>
      <c r="E485" t="s" s="9">
        <v>242</v>
      </c>
      <c r="F485" t="s" s="10">
        <v>119</v>
      </c>
      <c r="G485" t="s" s="11">
        <v>119</v>
      </c>
      <c r="H485" t="s" s="10">
        <v>119</v>
      </c>
      <c r="I485" t="s" s="11">
        <v>119</v>
      </c>
      <c r="J485" t="s" s="11">
        <v>20</v>
      </c>
      <c r="K485" t="s" s="16">
        <f>HYPERLINK("http://csr.bu.edu/ftp/asl/asllvd/demos/verify_start_end_handshape_annotations//test_auto_move//signs_mov/16401.mov","MOV")</f>
        <v>21</v>
      </c>
      <c r="L485" t="s" s="16">
        <f>HYPERLINK("http://csr.bu.edu/ftp/asl/asllvd/demos/verify_start_end_handshape_annotations//test_auto_move//signs_mov_separ_signers/Liz_16401.mov","MOV")</f>
        <v>21</v>
      </c>
      <c r="M485" t="s" s="10">
        <v>77</v>
      </c>
      <c r="N485" s="17">
        <v>20</v>
      </c>
      <c r="O485" s="18">
        <v>1390</v>
      </c>
      <c r="P485" s="18">
        <v>1440</v>
      </c>
      <c r="Q485" t="s" s="16">
        <f>HYPERLINK("http://secrets.rutgers.edu:8080/data/asl-ftp/asllvd/demos/verify_start_end_handshape_annotations//test_auto_move//signs_mov/16401.mov","MOV")</f>
        <v>21</v>
      </c>
      <c r="R485" t="s" s="16">
        <f>HYPERLINK("http://secrets.rutgers.edu:8080/data/asl-ftp/asllvd/demos/verify_start_end_handshape_annotations//test_auto_move//signs_mov_separ_signers/Liz_16401.mov","MOV")</f>
        <v>21</v>
      </c>
    </row>
    <row r="486" s="2" customFormat="1" ht="13.5" customHeight="1">
      <c r="B486" s="13"/>
      <c r="C486" t="s" s="9">
        <v>30</v>
      </c>
      <c r="D486" t="s" s="8">
        <v>241</v>
      </c>
      <c r="E486" t="s" s="9">
        <v>242</v>
      </c>
      <c r="F486" t="s" s="10">
        <v>119</v>
      </c>
      <c r="G486" t="s" s="11">
        <v>119</v>
      </c>
      <c r="H486" t="s" s="10">
        <v>119</v>
      </c>
      <c r="I486" t="s" s="11">
        <v>119</v>
      </c>
      <c r="J486" t="s" s="11">
        <v>20</v>
      </c>
      <c r="K486" s="15"/>
      <c r="L486" t="s" s="16">
        <f>HYPERLINK("http://csr.bu.edu/ftp/asl/asllvd/demos/verify_start_end_handshape_annotations//test_auto_move//signs_mov_separ_signers/Brady_16401.mov","MOV")</f>
        <v>21</v>
      </c>
      <c r="M486" t="s" s="10">
        <v>39</v>
      </c>
      <c r="N486" s="17">
        <v>40</v>
      </c>
      <c r="O486" s="18">
        <v>3427</v>
      </c>
      <c r="P486" s="18">
        <v>3466</v>
      </c>
      <c r="Q486" s="15"/>
      <c r="R486" t="s" s="16">
        <f>HYPERLINK("http://secrets.rutgers.edu:8080/data/asl-ftp/asllvd/demos/verify_start_end_handshape_annotations//test_auto_move//signs_mov_separ_signers/Brady_16401.mov","MOV")</f>
        <v>21</v>
      </c>
    </row>
    <row r="487" s="2" customFormat="1" ht="13.5" customHeight="1">
      <c r="B487" t="s" s="8">
        <v>243</v>
      </c>
      <c r="C487" t="s" s="9">
        <v>14</v>
      </c>
      <c r="D487" t="s" s="8">
        <v>14</v>
      </c>
      <c r="E487" t="s" s="9">
        <v>14</v>
      </c>
      <c r="F487" t="s" s="10">
        <v>14</v>
      </c>
      <c r="G487" t="s" s="11">
        <v>14</v>
      </c>
      <c r="H487" t="s" s="10">
        <v>14</v>
      </c>
      <c r="I487" t="s" s="11">
        <v>14</v>
      </c>
      <c r="J487" t="s" s="11">
        <v>14</v>
      </c>
      <c r="K487" t="s" s="12">
        <v>14</v>
      </c>
      <c r="L487" t="s" s="12">
        <v>14</v>
      </c>
      <c r="M487" t="s" s="10">
        <v>14</v>
      </c>
      <c r="N487" t="s" s="11">
        <v>14</v>
      </c>
      <c r="O487" t="s" s="8">
        <v>14</v>
      </c>
      <c r="P487" t="s" s="8">
        <v>14</v>
      </c>
      <c r="Q487" t="s" s="12">
        <v>14</v>
      </c>
      <c r="R487" t="s" s="12">
        <v>14</v>
      </c>
    </row>
    <row r="488" s="2" customFormat="1" ht="13.5" customHeight="1">
      <c r="B488" s="13"/>
      <c r="C488" t="s" s="9">
        <v>16</v>
      </c>
      <c r="D488" t="s" s="8">
        <v>243</v>
      </c>
      <c r="E488" t="s" s="9">
        <v>243</v>
      </c>
      <c r="F488" t="s" s="10">
        <v>148</v>
      </c>
      <c r="G488" s="14"/>
      <c r="H488" t="s" s="10">
        <v>119</v>
      </c>
      <c r="I488" s="14"/>
      <c r="J488" t="s" s="11">
        <v>20</v>
      </c>
      <c r="K488" s="15"/>
      <c r="L488" t="s" s="16">
        <f>HYPERLINK("http://csr.bu.edu/ftp/asl/asllvd/demos/verify_start_end_handshape_annotations//test_auto_move//signs_mov_separ_signers/Liz_94.mov","MOV")</f>
        <v>21</v>
      </c>
      <c r="M488" t="s" s="10">
        <v>22</v>
      </c>
      <c r="N488" s="17">
        <v>14</v>
      </c>
      <c r="O488" s="18">
        <v>970</v>
      </c>
      <c r="P488" s="18">
        <v>1005</v>
      </c>
      <c r="Q488" s="15"/>
      <c r="R488" t="s" s="16">
        <f>HYPERLINK("http://secrets.rutgers.edu:8080/data/asl-ftp/asllvd/demos/verify_start_end_handshape_annotations//test_auto_move//signs_mov_separ_signers/Liz_94.mov","MOV")</f>
        <v>21</v>
      </c>
    </row>
    <row r="489" s="2" customFormat="1" ht="13.5" customHeight="1">
      <c r="B489" s="13"/>
      <c r="C489" t="s" s="9">
        <v>23</v>
      </c>
      <c r="D489" t="s" s="8">
        <v>243</v>
      </c>
      <c r="E489" t="s" s="9">
        <v>243</v>
      </c>
      <c r="F489" t="s" s="10">
        <v>148</v>
      </c>
      <c r="G489" s="14"/>
      <c r="H489" t="s" s="10">
        <v>119</v>
      </c>
      <c r="I489" s="14"/>
      <c r="J489" t="s" s="11">
        <v>20</v>
      </c>
      <c r="K489" s="15"/>
      <c r="L489" t="s" s="16">
        <f>HYPERLINK("http://csr.bu.edu/ftp/asl/asllvd/demos/verify_start_end_handshape_annotations//test_auto_move//signs_mov_separ_signers/Tyler_94.mov","MOV")</f>
        <v>21</v>
      </c>
      <c r="M489" t="s" s="10">
        <v>26</v>
      </c>
      <c r="N489" s="17">
        <v>11</v>
      </c>
      <c r="O489" s="18">
        <v>1520</v>
      </c>
      <c r="P489" s="18">
        <v>1535</v>
      </c>
      <c r="Q489" s="15"/>
      <c r="R489" t="s" s="16">
        <f>HYPERLINK("http://secrets.rutgers.edu:8080/data/asl-ftp/asllvd/demos/verify_start_end_handshape_annotations//test_auto_move//signs_mov_separ_signers/Tyler_94.mov","MOV")</f>
        <v>21</v>
      </c>
    </row>
    <row r="490" s="2" customFormat="1" ht="13.5" customHeight="1">
      <c r="B490" s="13"/>
      <c r="C490" t="s" s="9">
        <v>27</v>
      </c>
      <c r="D490" t="s" s="8">
        <v>243</v>
      </c>
      <c r="E490" t="s" s="9">
        <v>243</v>
      </c>
      <c r="F490" t="s" s="10">
        <v>148</v>
      </c>
      <c r="G490" s="14"/>
      <c r="H490" t="s" s="10">
        <v>119</v>
      </c>
      <c r="I490" s="14"/>
      <c r="J490" t="s" s="11">
        <v>20</v>
      </c>
      <c r="K490" t="s" s="16">
        <f>HYPERLINK("http://csr.bu.edu/ftp/asl/asllvd/demos/verify_start_end_handshape_annotations//test_auto_move//signs_mov/94.mov","MOV")</f>
        <v>21</v>
      </c>
      <c r="L490" t="s" s="16">
        <f>HYPERLINK("http://csr.bu.edu/ftp/asl/asllvd/demos/verify_start_end_handshape_annotations//test_auto_move//signs_mov_separ_signers/Naomi_94.mov","MOV")</f>
        <v>21</v>
      </c>
      <c r="M490" t="s" s="10">
        <v>29</v>
      </c>
      <c r="N490" s="17">
        <v>10</v>
      </c>
      <c r="O490" s="18">
        <v>1817</v>
      </c>
      <c r="P490" s="18">
        <v>1837</v>
      </c>
      <c r="Q490" t="s" s="16">
        <f>HYPERLINK("http://secrets.rutgers.edu:8080/data/asl-ftp/asllvd/demos/verify_start_end_handshape_annotations//test_auto_move//signs_mov/94.mov","MOV")</f>
        <v>21</v>
      </c>
      <c r="R490" t="s" s="16">
        <f>HYPERLINK("http://secrets.rutgers.edu:8080/data/asl-ftp/asllvd/demos/verify_start_end_handshape_annotations//test_auto_move//signs_mov_separ_signers/Naomi_94.mov","MOV")</f>
        <v>21</v>
      </c>
    </row>
    <row r="491" s="2" customFormat="1" ht="13.5" customHeight="1">
      <c r="B491" s="13"/>
      <c r="C491" t="s" s="9">
        <v>30</v>
      </c>
      <c r="D491" t="s" s="8">
        <v>243</v>
      </c>
      <c r="E491" t="s" s="9">
        <v>243</v>
      </c>
      <c r="F491" t="s" s="10">
        <v>244</v>
      </c>
      <c r="G491" s="14"/>
      <c r="H491" t="s" s="10">
        <v>119</v>
      </c>
      <c r="I491" s="14"/>
      <c r="J491" t="s" s="11">
        <v>20</v>
      </c>
      <c r="K491" s="15"/>
      <c r="L491" t="s" s="16">
        <f>HYPERLINK("http://csr.bu.edu/ftp/asl/asllvd/demos/verify_start_end_handshape_annotations//test_auto_move//signs_mov_separ_signers/Brady_94.mov","MOV")</f>
        <v>21</v>
      </c>
      <c r="M491" t="s" s="10">
        <v>31</v>
      </c>
      <c r="N491" s="17">
        <v>11</v>
      </c>
      <c r="O491" s="18">
        <v>10803</v>
      </c>
      <c r="P491" s="18">
        <v>10824</v>
      </c>
      <c r="Q491" s="15"/>
      <c r="R491" t="s" s="16">
        <f>HYPERLINK("http://secrets.rutgers.edu:8080/data/asl-ftp/asllvd/demos/verify_start_end_handshape_annotations//test_auto_move//signs_mov_separ_signers/Brady_94.mov","MOV")</f>
        <v>21</v>
      </c>
    </row>
    <row r="492" s="2" customFormat="1" ht="13.5" customHeight="1">
      <c r="B492" s="13"/>
      <c r="C492" t="s" s="9">
        <v>41</v>
      </c>
      <c r="D492" t="s" s="8">
        <v>243</v>
      </c>
      <c r="E492" t="s" s="9">
        <v>243</v>
      </c>
      <c r="F492" t="s" s="10">
        <v>148</v>
      </c>
      <c r="G492" s="14"/>
      <c r="H492" t="s" s="10">
        <v>119</v>
      </c>
      <c r="I492" s="14"/>
      <c r="J492" t="s" s="11">
        <v>20</v>
      </c>
      <c r="K492" s="15"/>
      <c r="L492" t="s" s="16">
        <f>HYPERLINK("http://csr.bu.edu/ftp/asl/asllvd/demos/verify_start_end_handshape_annotations//test_auto_move//signs_mov_separ_signers/Lana_94.mov","MOV")</f>
        <v>21</v>
      </c>
      <c r="M492" t="s" s="10">
        <v>245</v>
      </c>
      <c r="N492" s="17">
        <v>22</v>
      </c>
      <c r="O492" s="18">
        <v>265</v>
      </c>
      <c r="P492" s="18">
        <v>300</v>
      </c>
      <c r="Q492" s="15"/>
      <c r="R492" t="s" s="16">
        <f>HYPERLINK("http://secrets.rutgers.edu:8080/data/asl-ftp/asllvd/demos/verify_start_end_handshape_annotations//test_auto_move//signs_mov_separ_signers/Lana_94.mov","MOV")</f>
        <v>21</v>
      </c>
    </row>
    <row r="493" s="2" customFormat="1" ht="13.5" customHeight="1">
      <c r="B493" t="s" s="8">
        <v>246</v>
      </c>
      <c r="C493" t="s" s="9">
        <v>14</v>
      </c>
      <c r="D493" t="s" s="8">
        <v>14</v>
      </c>
      <c r="E493" t="s" s="9">
        <v>14</v>
      </c>
      <c r="F493" t="s" s="10">
        <v>14</v>
      </c>
      <c r="G493" t="s" s="11">
        <v>14</v>
      </c>
      <c r="H493" t="s" s="10">
        <v>14</v>
      </c>
      <c r="I493" t="s" s="11">
        <v>14</v>
      </c>
      <c r="J493" t="s" s="11">
        <v>14</v>
      </c>
      <c r="K493" t="s" s="12">
        <v>14</v>
      </c>
      <c r="L493" t="s" s="12">
        <v>14</v>
      </c>
      <c r="M493" t="s" s="10">
        <v>14</v>
      </c>
      <c r="N493" t="s" s="11">
        <v>14</v>
      </c>
      <c r="O493" t="s" s="8">
        <v>14</v>
      </c>
      <c r="P493" t="s" s="8">
        <v>14</v>
      </c>
      <c r="Q493" t="s" s="12">
        <v>14</v>
      </c>
      <c r="R493" t="s" s="12">
        <v>14</v>
      </c>
    </row>
    <row r="494" s="2" customFormat="1" ht="13.5" customHeight="1">
      <c r="B494" s="13"/>
      <c r="C494" t="s" s="9">
        <v>16</v>
      </c>
      <c r="D494" t="s" s="8">
        <v>246</v>
      </c>
      <c r="E494" t="s" s="9">
        <v>246</v>
      </c>
      <c r="F494" s="19">
        <v>10</v>
      </c>
      <c r="G494" s="14"/>
      <c r="H494" s="19">
        <v>10</v>
      </c>
      <c r="I494" s="14"/>
      <c r="J494" t="s" s="11">
        <v>20</v>
      </c>
      <c r="K494" s="15"/>
      <c r="L494" t="s" s="16">
        <f>HYPERLINK("http://csr.bu.edu/ftp/asl/asllvd/demos/verify_start_end_handshape_annotations//test_auto_move//signs_mov_separ_signers/Liz_98.mov","MOV")</f>
        <v>21</v>
      </c>
      <c r="M494" t="s" s="10">
        <v>22</v>
      </c>
      <c r="N494" s="17">
        <v>15</v>
      </c>
      <c r="O494" s="18">
        <v>640</v>
      </c>
      <c r="P494" s="18">
        <v>666</v>
      </c>
      <c r="Q494" s="15"/>
      <c r="R494" t="s" s="16">
        <f>HYPERLINK("http://secrets.rutgers.edu:8080/data/asl-ftp/asllvd/demos/verify_start_end_handshape_annotations//test_auto_move//signs_mov_separ_signers/Liz_98.mov","MOV")</f>
        <v>21</v>
      </c>
    </row>
    <row r="495" s="2" customFormat="1" ht="13.5" customHeight="1">
      <c r="B495" s="13"/>
      <c r="C495" t="s" s="9">
        <v>23</v>
      </c>
      <c r="D495" t="s" s="8">
        <v>246</v>
      </c>
      <c r="E495" t="s" s="9">
        <v>246</v>
      </c>
      <c r="F495" s="19">
        <v>10</v>
      </c>
      <c r="G495" s="14"/>
      <c r="H495" s="19">
        <v>10</v>
      </c>
      <c r="I495" s="14"/>
      <c r="J495" t="s" s="11">
        <v>20</v>
      </c>
      <c r="K495" t="s" s="16">
        <f>HYPERLINK("http://csr.bu.edu/ftp/asl/asllvd/demos/verify_start_end_handshape_annotations//test_auto_move//signs_mov/98.mov","MOV")</f>
        <v>21</v>
      </c>
      <c r="L495" t="s" s="16">
        <f>HYPERLINK("http://csr.bu.edu/ftp/asl/asllvd/demos/verify_start_end_handshape_annotations//test_auto_move//signs_mov_separ_signers/Tyler_98.mov","MOV")</f>
        <v>21</v>
      </c>
      <c r="M495" t="s" s="10">
        <v>26</v>
      </c>
      <c r="N495" s="17">
        <v>11</v>
      </c>
      <c r="O495" s="18">
        <v>2415</v>
      </c>
      <c r="P495" s="18">
        <v>2432</v>
      </c>
      <c r="Q495" t="s" s="16">
        <f>HYPERLINK("http://secrets.rutgers.edu:8080/data/asl-ftp/asllvd/demos/verify_start_end_handshape_annotations//test_auto_move//signs_mov/98.mov","MOV")</f>
        <v>21</v>
      </c>
      <c r="R495" t="s" s="16">
        <f>HYPERLINK("http://secrets.rutgers.edu:8080/data/asl-ftp/asllvd/demos/verify_start_end_handshape_annotations//test_auto_move//signs_mov_separ_signers/Tyler_98.mov","MOV")</f>
        <v>21</v>
      </c>
    </row>
    <row r="496" s="2" customFormat="1" ht="13.5" customHeight="1">
      <c r="B496" s="13"/>
      <c r="C496" t="s" s="9">
        <v>27</v>
      </c>
      <c r="D496" t="s" s="8">
        <v>246</v>
      </c>
      <c r="E496" t="s" s="9">
        <v>246</v>
      </c>
      <c r="F496" t="s" s="10">
        <v>63</v>
      </c>
      <c r="G496" s="14"/>
      <c r="H496" s="19">
        <v>10</v>
      </c>
      <c r="I496" s="14"/>
      <c r="J496" t="s" s="11">
        <v>20</v>
      </c>
      <c r="K496" s="15"/>
      <c r="L496" t="s" s="16">
        <f>HYPERLINK("http://csr.bu.edu/ftp/asl/asllvd/demos/verify_start_end_handshape_annotations//test_auto_move//signs_mov_separ_signers/Naomi_98.mov","MOV")</f>
        <v>21</v>
      </c>
      <c r="M496" t="s" s="10">
        <v>29</v>
      </c>
      <c r="N496" s="17">
        <v>10</v>
      </c>
      <c r="O496" s="18">
        <v>2827</v>
      </c>
      <c r="P496" s="18">
        <v>2850</v>
      </c>
      <c r="Q496" s="15"/>
      <c r="R496" t="s" s="16">
        <f>HYPERLINK("http://secrets.rutgers.edu:8080/data/asl-ftp/asllvd/demos/verify_start_end_handshape_annotations//test_auto_move//signs_mov_separ_signers/Naomi_98.mov","MOV")</f>
        <v>21</v>
      </c>
    </row>
    <row r="497" s="2" customFormat="1" ht="13.5" customHeight="1">
      <c r="B497" s="13"/>
      <c r="C497" t="s" s="9">
        <v>30</v>
      </c>
      <c r="D497" t="s" s="8">
        <v>246</v>
      </c>
      <c r="E497" t="s" s="9">
        <v>246</v>
      </c>
      <c r="F497" s="19">
        <v>10</v>
      </c>
      <c r="G497" s="14"/>
      <c r="H497" s="19">
        <v>10</v>
      </c>
      <c r="I497" s="14"/>
      <c r="J497" t="s" s="11">
        <v>20</v>
      </c>
      <c r="K497" s="15"/>
      <c r="L497" t="s" s="16">
        <f>HYPERLINK("http://csr.bu.edu/ftp/asl/asllvd/demos/verify_start_end_handshape_annotations//test_auto_move//signs_mov_separ_signers/Brady_98.mov","MOV")</f>
        <v>21</v>
      </c>
      <c r="M497" t="s" s="10">
        <v>31</v>
      </c>
      <c r="N497" s="17">
        <v>12</v>
      </c>
      <c r="O497" s="18">
        <v>1457</v>
      </c>
      <c r="P497" s="18">
        <v>1473</v>
      </c>
      <c r="Q497" s="15"/>
      <c r="R497" t="s" s="16">
        <f>HYPERLINK("http://secrets.rutgers.edu:8080/data/asl-ftp/asllvd/demos/verify_start_end_handshape_annotations//test_auto_move//signs_mov_separ_signers/Brady_98.mov","MOV")</f>
        <v>21</v>
      </c>
    </row>
    <row r="498" s="2" customFormat="1" ht="13.5" customHeight="1">
      <c r="B498" t="s" s="8">
        <v>247</v>
      </c>
      <c r="C498" t="s" s="9">
        <v>14</v>
      </c>
      <c r="D498" t="s" s="8">
        <v>14</v>
      </c>
      <c r="E498" t="s" s="9">
        <v>14</v>
      </c>
      <c r="F498" t="s" s="10">
        <v>14</v>
      </c>
      <c r="G498" t="s" s="11">
        <v>14</v>
      </c>
      <c r="H498" t="s" s="10">
        <v>14</v>
      </c>
      <c r="I498" t="s" s="11">
        <v>14</v>
      </c>
      <c r="J498" t="s" s="11">
        <v>14</v>
      </c>
      <c r="K498" t="s" s="12">
        <v>14</v>
      </c>
      <c r="L498" t="s" s="12">
        <v>14</v>
      </c>
      <c r="M498" t="s" s="10">
        <v>14</v>
      </c>
      <c r="N498" t="s" s="11">
        <v>14</v>
      </c>
      <c r="O498" t="s" s="8">
        <v>14</v>
      </c>
      <c r="P498" t="s" s="8">
        <v>14</v>
      </c>
      <c r="Q498" t="s" s="12">
        <v>14</v>
      </c>
      <c r="R498" t="s" s="12">
        <v>14</v>
      </c>
    </row>
    <row r="499" s="2" customFormat="1" ht="13.5" customHeight="1">
      <c r="B499" s="13"/>
      <c r="C499" t="s" s="9">
        <v>16</v>
      </c>
      <c r="D499" t="s" s="8">
        <v>247</v>
      </c>
      <c r="E499" t="s" s="9">
        <v>247</v>
      </c>
      <c r="F499" s="19">
        <v>1</v>
      </c>
      <c r="G499" s="17">
        <v>1</v>
      </c>
      <c r="H499" s="19">
        <v>1</v>
      </c>
      <c r="I499" s="17">
        <v>1</v>
      </c>
      <c r="J499" t="s" s="11">
        <v>20</v>
      </c>
      <c r="K499" s="15"/>
      <c r="L499" t="s" s="16">
        <f>HYPERLINK("http://csr.bu.edu/ftp/asl/asllvd/demos/verify_start_end_handshape_annotations//test_auto_move//signs_mov_separ_signers/Liz_99.mov","MOV")</f>
        <v>21</v>
      </c>
      <c r="M499" t="s" s="10">
        <v>22</v>
      </c>
      <c r="N499" s="17">
        <v>15</v>
      </c>
      <c r="O499" s="18">
        <v>855</v>
      </c>
      <c r="P499" s="18">
        <v>879</v>
      </c>
      <c r="Q499" s="15"/>
      <c r="R499" t="s" s="16">
        <f>HYPERLINK("http://secrets.rutgers.edu:8080/data/asl-ftp/asllvd/demos/verify_start_end_handshape_annotations//test_auto_move//signs_mov_separ_signers/Liz_99.mov","MOV")</f>
        <v>21</v>
      </c>
    </row>
    <row r="500" s="2" customFormat="1" ht="13.5" customHeight="1">
      <c r="B500" s="13"/>
      <c r="C500" t="s" s="9">
        <v>16</v>
      </c>
      <c r="D500" t="s" s="8">
        <v>247</v>
      </c>
      <c r="E500" t="s" s="9">
        <v>247</v>
      </c>
      <c r="F500" s="19">
        <v>1</v>
      </c>
      <c r="G500" s="17">
        <v>1</v>
      </c>
      <c r="H500" s="19">
        <v>1</v>
      </c>
      <c r="I500" s="17">
        <v>1</v>
      </c>
      <c r="J500" t="s" s="11">
        <v>20</v>
      </c>
      <c r="K500" s="15"/>
      <c r="L500" t="s" s="16">
        <f>HYPERLINK("http://csr.bu.edu/ftp/asl/asllvd/demos/verify_start_end_handshape_annotations//test_auto_move//signs_mov_separ_signers/Liz_3986.mov","MOV")</f>
        <v>21</v>
      </c>
      <c r="M500" t="s" s="10">
        <v>36</v>
      </c>
      <c r="N500" s="17">
        <v>11</v>
      </c>
      <c r="O500" s="18">
        <v>640</v>
      </c>
      <c r="P500" s="18">
        <v>679</v>
      </c>
      <c r="Q500" s="15"/>
      <c r="R500" t="s" s="16">
        <f>HYPERLINK("http://secrets.rutgers.edu:8080/data/asl-ftp/asllvd/demos/verify_start_end_handshape_annotations//test_auto_move//signs_mov_separ_signers/Liz_3986.mov","MOV")</f>
        <v>21</v>
      </c>
    </row>
    <row r="501" s="2" customFormat="1" ht="13.5" customHeight="1">
      <c r="B501" s="13"/>
      <c r="C501" t="s" s="9">
        <v>23</v>
      </c>
      <c r="D501" t="s" s="8">
        <v>247</v>
      </c>
      <c r="E501" t="s" s="9">
        <v>247</v>
      </c>
      <c r="F501" s="19">
        <v>1</v>
      </c>
      <c r="G501" s="17">
        <v>1</v>
      </c>
      <c r="H501" s="19">
        <v>1</v>
      </c>
      <c r="I501" s="17">
        <v>1</v>
      </c>
      <c r="J501" t="s" s="11">
        <v>20</v>
      </c>
      <c r="K501" s="15"/>
      <c r="L501" t="s" s="16">
        <f>HYPERLINK("http://csr.bu.edu/ftp/asl/asllvd/demos/verify_start_end_handshape_annotations//test_auto_move//signs_mov_separ_signers/Tyler_99.mov","MOV")</f>
        <v>21</v>
      </c>
      <c r="M501" t="s" s="10">
        <v>26</v>
      </c>
      <c r="N501" s="17">
        <v>11</v>
      </c>
      <c r="O501" s="18">
        <v>2645</v>
      </c>
      <c r="P501" s="18">
        <v>2658</v>
      </c>
      <c r="Q501" s="15"/>
      <c r="R501" t="s" s="16">
        <f>HYPERLINK("http://secrets.rutgers.edu:8080/data/asl-ftp/asllvd/demos/verify_start_end_handshape_annotations//test_auto_move//signs_mov_separ_signers/Tyler_99.mov","MOV")</f>
        <v>21</v>
      </c>
    </row>
    <row r="502" s="2" customFormat="1" ht="13.5" customHeight="1">
      <c r="B502" s="13"/>
      <c r="C502" t="s" s="9">
        <v>27</v>
      </c>
      <c r="D502" t="s" s="8">
        <v>247</v>
      </c>
      <c r="E502" t="s" s="9">
        <v>247</v>
      </c>
      <c r="F502" s="19">
        <v>1</v>
      </c>
      <c r="G502" s="17">
        <v>1</v>
      </c>
      <c r="H502" s="19">
        <v>1</v>
      </c>
      <c r="I502" s="17">
        <v>1</v>
      </c>
      <c r="J502" t="s" s="11">
        <v>20</v>
      </c>
      <c r="K502" s="15"/>
      <c r="L502" t="s" s="16">
        <f>HYPERLINK("http://csr.bu.edu/ftp/asl/asllvd/demos/verify_start_end_handshape_annotations//test_auto_move//signs_mov_separ_signers/Naomi_99.mov","MOV")</f>
        <v>21</v>
      </c>
      <c r="M502" t="s" s="10">
        <v>29</v>
      </c>
      <c r="N502" s="17">
        <v>10</v>
      </c>
      <c r="O502" s="18">
        <v>3042</v>
      </c>
      <c r="P502" s="18">
        <v>3060</v>
      </c>
      <c r="Q502" s="15"/>
      <c r="R502" t="s" s="16">
        <f>HYPERLINK("http://secrets.rutgers.edu:8080/data/asl-ftp/asllvd/demos/verify_start_end_handshape_annotations//test_auto_move//signs_mov_separ_signers/Naomi_99.mov","MOV")</f>
        <v>21</v>
      </c>
    </row>
    <row r="503" s="2" customFormat="1" ht="13.5" customHeight="1">
      <c r="B503" s="13"/>
      <c r="C503" t="s" s="9">
        <v>30</v>
      </c>
      <c r="D503" t="s" s="8">
        <v>247</v>
      </c>
      <c r="E503" t="s" s="9">
        <v>247</v>
      </c>
      <c r="F503" s="19">
        <v>1</v>
      </c>
      <c r="G503" s="17">
        <v>1</v>
      </c>
      <c r="H503" s="19">
        <v>1</v>
      </c>
      <c r="I503" s="17">
        <v>1</v>
      </c>
      <c r="J503" t="s" s="11">
        <v>20</v>
      </c>
      <c r="K503" s="15"/>
      <c r="L503" t="s" s="16">
        <f>HYPERLINK("http://csr.bu.edu/ftp/asl/asllvd/demos/verify_start_end_handshape_annotations//test_auto_move//signs_mov_separ_signers/Brady_99.mov","MOV")</f>
        <v>21</v>
      </c>
      <c r="M503" t="s" s="10">
        <v>31</v>
      </c>
      <c r="N503" s="17">
        <v>12</v>
      </c>
      <c r="O503" s="18">
        <v>1710</v>
      </c>
      <c r="P503" s="18">
        <v>1722</v>
      </c>
      <c r="Q503" s="15"/>
      <c r="R503" t="s" s="16">
        <f>HYPERLINK("http://secrets.rutgers.edu:8080/data/asl-ftp/asllvd/demos/verify_start_end_handshape_annotations//test_auto_move//signs_mov_separ_signers/Brady_99.mov","MOV")</f>
        <v>21</v>
      </c>
    </row>
    <row r="504" s="2" customFormat="1" ht="13.5" customHeight="1">
      <c r="B504" s="13"/>
      <c r="C504" t="s" s="9">
        <v>30</v>
      </c>
      <c r="D504" t="s" s="8">
        <v>247</v>
      </c>
      <c r="E504" t="s" s="9">
        <v>247</v>
      </c>
      <c r="F504" s="19">
        <v>1</v>
      </c>
      <c r="G504" s="17">
        <v>1</v>
      </c>
      <c r="H504" s="19">
        <v>1</v>
      </c>
      <c r="I504" s="17">
        <v>1</v>
      </c>
      <c r="J504" t="s" s="11">
        <v>20</v>
      </c>
      <c r="K504" t="s" s="16">
        <f>HYPERLINK("http://csr.bu.edu/ftp/asl/asllvd/demos/verify_start_end_handshape_annotations//test_auto_move//signs_mov/99_3986_15733_15931_15962_merged.mov","MOV")</f>
        <v>21</v>
      </c>
      <c r="L504" t="s" s="16">
        <f>HYPERLINK("http://csr.bu.edu/ftp/asl/asllvd/demos/verify_start_end_handshape_annotations//test_auto_move//signs_mov_separ_signers/Brady_3986.mov","MOV")</f>
        <v>21</v>
      </c>
      <c r="M504" t="s" s="10">
        <v>31</v>
      </c>
      <c r="N504" s="17">
        <v>13</v>
      </c>
      <c r="O504" s="18">
        <v>18895</v>
      </c>
      <c r="P504" s="18">
        <v>18911</v>
      </c>
      <c r="Q504" t="s" s="16">
        <f>HYPERLINK("http://secrets.rutgers.edu:8080/data/asl-ftp/asllvd/demos/verify_start_end_handshape_annotations//test_auto_move//signs_mov/99_3986_15733_15931_15962_merged.mov","MOV")</f>
        <v>21</v>
      </c>
      <c r="R504" t="s" s="16">
        <f>HYPERLINK("http://secrets.rutgers.edu:8080/data/asl-ftp/asllvd/demos/verify_start_end_handshape_annotations//test_auto_move//signs_mov_separ_signers/Brady_3986.mov","MOV")</f>
        <v>21</v>
      </c>
    </row>
    <row r="505" s="2" customFormat="1" ht="13.5" customHeight="1">
      <c r="B505" s="13"/>
      <c r="C505" t="s" s="9">
        <v>30</v>
      </c>
      <c r="D505" t="s" s="8">
        <v>247</v>
      </c>
      <c r="E505" t="s" s="9">
        <v>248</v>
      </c>
      <c r="F505" s="19">
        <v>1</v>
      </c>
      <c r="G505" s="17">
        <v>1</v>
      </c>
      <c r="H505" s="19">
        <v>1</v>
      </c>
      <c r="I505" s="17">
        <v>1</v>
      </c>
      <c r="J505" t="s" s="11">
        <v>20</v>
      </c>
      <c r="K505" s="15"/>
      <c r="L505" t="s" s="16">
        <f>HYPERLINK("http://csr.bu.edu/ftp/asl/asllvd/demos/verify_start_end_handshape_annotations//test_auto_move//signs_mov_separ_signers/Brady_15733.mov","MOV")</f>
        <v>21</v>
      </c>
      <c r="M505" t="s" s="10">
        <v>31</v>
      </c>
      <c r="N505" s="17">
        <v>13</v>
      </c>
      <c r="O505" s="18">
        <v>19163</v>
      </c>
      <c r="P505" s="18">
        <v>19185</v>
      </c>
      <c r="Q505" s="15"/>
      <c r="R505" t="s" s="16">
        <f>HYPERLINK("http://secrets.rutgers.edu:8080/data/asl-ftp/asllvd/demos/verify_start_end_handshape_annotations//test_auto_move//signs_mov_separ_signers/Brady_15733.mov","MOV")</f>
        <v>21</v>
      </c>
    </row>
    <row r="506" s="2" customFormat="1" ht="13.5" customHeight="1">
      <c r="B506" s="13"/>
      <c r="C506" t="s" s="9">
        <v>30</v>
      </c>
      <c r="D506" t="s" s="8">
        <v>247</v>
      </c>
      <c r="E506" t="s" s="9">
        <v>247</v>
      </c>
      <c r="F506" s="19">
        <v>1</v>
      </c>
      <c r="G506" s="17">
        <v>1</v>
      </c>
      <c r="H506" s="19">
        <v>1</v>
      </c>
      <c r="I506" s="17">
        <v>1</v>
      </c>
      <c r="J506" t="s" s="11">
        <v>20</v>
      </c>
      <c r="K506" s="15"/>
      <c r="L506" t="s" s="16">
        <f>HYPERLINK("http://csr.bu.edu/ftp/asl/asllvd/demos/verify_start_end_handshape_annotations//test_auto_move//signs_mov_separ_signers/Brady_15931.mov","MOV")</f>
        <v>21</v>
      </c>
      <c r="M506" t="s" s="10">
        <v>40</v>
      </c>
      <c r="N506" s="17">
        <v>56</v>
      </c>
      <c r="O506" s="18">
        <v>128</v>
      </c>
      <c r="P506" s="18">
        <v>146</v>
      </c>
      <c r="Q506" s="15"/>
      <c r="R506" t="s" s="16">
        <f>HYPERLINK("http://secrets.rutgers.edu:8080/data/asl-ftp/asllvd/demos/verify_start_end_handshape_annotations//test_auto_move//signs_mov_separ_signers/Brady_15931.mov","MOV")</f>
        <v>21</v>
      </c>
    </row>
    <row r="507" s="2" customFormat="1" ht="13.5" customHeight="1">
      <c r="B507" s="13"/>
      <c r="C507" t="s" s="9">
        <v>30</v>
      </c>
      <c r="D507" t="s" s="8">
        <v>247</v>
      </c>
      <c r="E507" t="s" s="9">
        <v>247</v>
      </c>
      <c r="F507" s="19">
        <v>1</v>
      </c>
      <c r="G507" s="17">
        <v>1</v>
      </c>
      <c r="H507" s="19">
        <v>1</v>
      </c>
      <c r="I507" s="17">
        <v>1</v>
      </c>
      <c r="J507" t="s" s="11">
        <v>20</v>
      </c>
      <c r="K507" s="15"/>
      <c r="L507" t="s" s="16">
        <f>HYPERLINK("http://csr.bu.edu/ftp/asl/asllvd/demos/verify_start_end_handshape_annotations//test_auto_move//signs_mov_separ_signers/Brady_15962.mov","MOV")</f>
        <v>21</v>
      </c>
      <c r="M507" t="s" s="10">
        <v>40</v>
      </c>
      <c r="N507" s="17">
        <v>56</v>
      </c>
      <c r="O507" s="18">
        <v>436</v>
      </c>
      <c r="P507" s="18">
        <v>450</v>
      </c>
      <c r="Q507" s="15"/>
      <c r="R507" t="s" s="16">
        <f>HYPERLINK("http://secrets.rutgers.edu:8080/data/asl-ftp/asllvd/demos/verify_start_end_handshape_annotations//test_auto_move//signs_mov_separ_signers/Brady_15962.mov","MOV")</f>
        <v>21</v>
      </c>
    </row>
    <row r="508" s="2" customFormat="1" ht="13.5" customHeight="1">
      <c r="B508" s="13"/>
      <c r="C508" t="s" s="9">
        <v>41</v>
      </c>
      <c r="D508" t="s" s="8">
        <v>247</v>
      </c>
      <c r="E508" t="s" s="9">
        <v>247</v>
      </c>
      <c r="F508" s="19">
        <v>1</v>
      </c>
      <c r="G508" s="17">
        <v>1</v>
      </c>
      <c r="H508" s="19">
        <v>1</v>
      </c>
      <c r="I508" s="17">
        <v>1</v>
      </c>
      <c r="J508" t="s" s="11">
        <v>20</v>
      </c>
      <c r="K508" s="15"/>
      <c r="L508" t="s" s="16">
        <f>HYPERLINK("http://csr.bu.edu/ftp/asl/asllvd/demos/verify_start_end_handshape_annotations//test_auto_move//signs_mov_separ_signers/Lana_99.mov","MOV")</f>
        <v>21</v>
      </c>
      <c r="M508" t="s" s="10">
        <v>42</v>
      </c>
      <c r="N508" s="17">
        <v>2</v>
      </c>
      <c r="O508" s="18">
        <v>2630</v>
      </c>
      <c r="P508" s="18">
        <v>2647</v>
      </c>
      <c r="Q508" s="15"/>
      <c r="R508" t="s" s="16">
        <f>HYPERLINK("http://secrets.rutgers.edu:8080/data/asl-ftp/asllvd/demos/verify_start_end_handshape_annotations//test_auto_move//signs_mov_separ_signers/Lana_99.mov","MOV")</f>
        <v>21</v>
      </c>
    </row>
    <row r="509" s="2" customFormat="1" ht="13.5" customHeight="1">
      <c r="B509" s="13"/>
      <c r="C509" t="s" s="9">
        <v>43</v>
      </c>
      <c r="D509" t="s" s="8">
        <v>247</v>
      </c>
      <c r="E509" t="s" s="9">
        <v>247</v>
      </c>
      <c r="F509" s="19">
        <v>1</v>
      </c>
      <c r="G509" s="17">
        <v>1</v>
      </c>
      <c r="H509" s="19">
        <v>1</v>
      </c>
      <c r="I509" s="17">
        <v>1</v>
      </c>
      <c r="J509" t="s" s="11">
        <v>20</v>
      </c>
      <c r="K509" s="15"/>
      <c r="L509" t="s" s="16">
        <f>HYPERLINK("http://csr.bu.edu/ftp/asl/asllvd/demos/verify_start_end_handshape_annotations//test_auto_move//signs_mov_separ_signers/Dana_99.mov","MOV")</f>
        <v>21</v>
      </c>
      <c r="M509" t="s" s="10">
        <v>44</v>
      </c>
      <c r="N509" s="17">
        <v>5</v>
      </c>
      <c r="O509" s="18">
        <v>3062</v>
      </c>
      <c r="P509" s="18">
        <v>3086</v>
      </c>
      <c r="Q509" s="15"/>
      <c r="R509" t="s" s="16">
        <f>HYPERLINK("http://secrets.rutgers.edu:8080/data/asl-ftp/asllvd/demos/verify_start_end_handshape_annotations//test_auto_move//signs_mov_separ_signers/Dana_99.mov","MOV")</f>
        <v>21</v>
      </c>
    </row>
    <row r="510" s="2" customFormat="1" ht="13.5" customHeight="1">
      <c r="B510" t="s" s="8">
        <v>249</v>
      </c>
      <c r="C510" t="s" s="9">
        <v>14</v>
      </c>
      <c r="D510" t="s" s="8">
        <v>14</v>
      </c>
      <c r="E510" t="s" s="9">
        <v>14</v>
      </c>
      <c r="F510" t="s" s="10">
        <v>14</v>
      </c>
      <c r="G510" t="s" s="11">
        <v>14</v>
      </c>
      <c r="H510" t="s" s="10">
        <v>14</v>
      </c>
      <c r="I510" t="s" s="11">
        <v>14</v>
      </c>
      <c r="J510" t="s" s="11">
        <v>14</v>
      </c>
      <c r="K510" t="s" s="12">
        <v>14</v>
      </c>
      <c r="L510" t="s" s="12">
        <v>14</v>
      </c>
      <c r="M510" t="s" s="10">
        <v>14</v>
      </c>
      <c r="N510" t="s" s="11">
        <v>14</v>
      </c>
      <c r="O510" t="s" s="8">
        <v>14</v>
      </c>
      <c r="P510" t="s" s="8">
        <v>14</v>
      </c>
      <c r="Q510" t="s" s="12">
        <v>14</v>
      </c>
      <c r="R510" t="s" s="12">
        <v>14</v>
      </c>
    </row>
    <row r="511" s="2" customFormat="1" ht="13.5" customHeight="1">
      <c r="B511" s="13"/>
      <c r="C511" t="s" s="9">
        <v>16</v>
      </c>
      <c r="D511" t="s" s="8">
        <v>249</v>
      </c>
      <c r="E511" t="s" s="9">
        <v>249</v>
      </c>
      <c r="F511" s="19">
        <v>1</v>
      </c>
      <c r="G511" s="14"/>
      <c r="H511" s="19">
        <v>1</v>
      </c>
      <c r="I511" s="14"/>
      <c r="J511" t="s" s="11">
        <v>20</v>
      </c>
      <c r="K511" t="s" s="16">
        <f>HYPERLINK("http://csr.bu.edu/ftp/asl/asllvd/demos/verify_start_end_handshape_annotations//test_auto_move//signs_mov/15994.mov","MOV")</f>
        <v>21</v>
      </c>
      <c r="L511" t="s" s="16">
        <f>HYPERLINK("http://csr.bu.edu/ftp/asl/asllvd/demos/verify_start_end_handshape_annotations//test_auto_move//signs_mov_separ_signers/Liz_15994.mov","MOV")</f>
        <v>21</v>
      </c>
      <c r="M511" t="s" s="10">
        <v>88</v>
      </c>
      <c r="N511" s="17">
        <v>27</v>
      </c>
      <c r="O511" s="18">
        <v>3085</v>
      </c>
      <c r="P511" s="18">
        <v>3125</v>
      </c>
      <c r="Q511" t="s" s="16">
        <f>HYPERLINK("http://secrets.rutgers.edu:8080/data/asl-ftp/asllvd/demos/verify_start_end_handshape_annotations//test_auto_move//signs_mov/15994.mov","MOV")</f>
        <v>21</v>
      </c>
      <c r="R511" t="s" s="16">
        <f>HYPERLINK("http://secrets.rutgers.edu:8080/data/asl-ftp/asllvd/demos/verify_start_end_handshape_annotations//test_auto_move//signs_mov_separ_signers/Liz_15994.mov","MOV")</f>
        <v>21</v>
      </c>
    </row>
    <row r="512" s="2" customFormat="1" ht="13.5" customHeight="1">
      <c r="B512" s="13"/>
      <c r="C512" t="s" s="9">
        <v>30</v>
      </c>
      <c r="D512" t="s" s="8">
        <v>249</v>
      </c>
      <c r="E512" t="s" s="9">
        <v>249</v>
      </c>
      <c r="F512" s="19">
        <v>1</v>
      </c>
      <c r="G512" s="14"/>
      <c r="H512" s="19">
        <v>1</v>
      </c>
      <c r="I512" s="14"/>
      <c r="J512" t="s" s="11">
        <v>20</v>
      </c>
      <c r="K512" s="15"/>
      <c r="L512" t="s" s="16">
        <f>HYPERLINK("http://csr.bu.edu/ftp/asl/asllvd/demos/verify_start_end_handshape_annotations//test_auto_move//signs_mov_separ_signers/Brady_15994.mov","MOV")</f>
        <v>21</v>
      </c>
      <c r="M512" t="s" s="10">
        <v>40</v>
      </c>
      <c r="N512" s="17">
        <v>22</v>
      </c>
      <c r="O512" s="18">
        <v>2212</v>
      </c>
      <c r="P512" s="18">
        <v>2244</v>
      </c>
      <c r="Q512" s="15"/>
      <c r="R512" t="s" s="16">
        <f>HYPERLINK("http://secrets.rutgers.edu:8080/data/asl-ftp/asllvd/demos/verify_start_end_handshape_annotations//test_auto_move//signs_mov_separ_signers/Brady_15994.mov","MOV")</f>
        <v>21</v>
      </c>
    </row>
    <row r="513" s="2" customFormat="1" ht="13.5" customHeight="1">
      <c r="B513" t="s" s="8">
        <v>250</v>
      </c>
      <c r="C513" t="s" s="9">
        <v>14</v>
      </c>
      <c r="D513" t="s" s="8">
        <v>14</v>
      </c>
      <c r="E513" t="s" s="9">
        <v>14</v>
      </c>
      <c r="F513" t="s" s="10">
        <v>14</v>
      </c>
      <c r="G513" t="s" s="11">
        <v>14</v>
      </c>
      <c r="H513" t="s" s="10">
        <v>14</v>
      </c>
      <c r="I513" t="s" s="11">
        <v>14</v>
      </c>
      <c r="J513" t="s" s="11">
        <v>14</v>
      </c>
      <c r="K513" t="s" s="12">
        <v>14</v>
      </c>
      <c r="L513" t="s" s="12">
        <v>14</v>
      </c>
      <c r="M513" t="s" s="10">
        <v>14</v>
      </c>
      <c r="N513" t="s" s="11">
        <v>14</v>
      </c>
      <c r="O513" t="s" s="8">
        <v>14</v>
      </c>
      <c r="P513" t="s" s="8">
        <v>14</v>
      </c>
      <c r="Q513" t="s" s="12">
        <v>14</v>
      </c>
      <c r="R513" t="s" s="12">
        <v>14</v>
      </c>
    </row>
    <row r="514" s="2" customFormat="1" ht="13.5" customHeight="1">
      <c r="B514" s="13"/>
      <c r="C514" t="s" s="9">
        <v>16</v>
      </c>
      <c r="D514" t="s" s="8">
        <v>250</v>
      </c>
      <c r="E514" t="s" s="9">
        <v>250</v>
      </c>
      <c r="F514" t="s" s="10">
        <v>251</v>
      </c>
      <c r="G514" t="s" s="11">
        <v>251</v>
      </c>
      <c r="H514" t="s" s="10">
        <v>251</v>
      </c>
      <c r="I514" t="s" s="11">
        <v>251</v>
      </c>
      <c r="J514" t="s" s="11">
        <v>20</v>
      </c>
      <c r="K514" t="s" s="16">
        <f>HYPERLINK("http://csr.bu.edu/ftp/asl/asllvd/demos/verify_start_end_handshape_annotations//test_auto_move//signs_mov/16375.mov","MOV")</f>
        <v>21</v>
      </c>
      <c r="L514" t="s" s="16">
        <f>HYPERLINK("http://csr.bu.edu/ftp/asl/asllvd/demos/verify_start_end_handshape_annotations//test_auto_move//signs_mov_separ_signers/Liz_16375.mov","MOV")</f>
        <v>21</v>
      </c>
      <c r="M514" t="s" s="10">
        <v>36</v>
      </c>
      <c r="N514" s="17">
        <v>11</v>
      </c>
      <c r="O514" s="18">
        <v>834</v>
      </c>
      <c r="P514" s="18">
        <v>876</v>
      </c>
      <c r="Q514" t="s" s="16">
        <f>HYPERLINK("http://secrets.rutgers.edu:8080/data/asl-ftp/asllvd/demos/verify_start_end_handshape_annotations//test_auto_move//signs_mov/16375.mov","MOV")</f>
        <v>21</v>
      </c>
      <c r="R514" t="s" s="16">
        <f>HYPERLINK("http://secrets.rutgers.edu:8080/data/asl-ftp/asllvd/demos/verify_start_end_handshape_annotations//test_auto_move//signs_mov_separ_signers/Liz_16375.mov","MOV")</f>
        <v>21</v>
      </c>
    </row>
    <row r="515" s="2" customFormat="1" ht="13.5" customHeight="1">
      <c r="B515" t="s" s="8">
        <v>252</v>
      </c>
      <c r="C515" t="s" s="9">
        <v>14</v>
      </c>
      <c r="D515" t="s" s="8">
        <v>14</v>
      </c>
      <c r="E515" t="s" s="9">
        <v>14</v>
      </c>
      <c r="F515" t="s" s="10">
        <v>14</v>
      </c>
      <c r="G515" t="s" s="11">
        <v>14</v>
      </c>
      <c r="H515" t="s" s="10">
        <v>14</v>
      </c>
      <c r="I515" t="s" s="11">
        <v>14</v>
      </c>
      <c r="J515" t="s" s="11">
        <v>14</v>
      </c>
      <c r="K515" t="s" s="12">
        <v>14</v>
      </c>
      <c r="L515" t="s" s="12">
        <v>14</v>
      </c>
      <c r="M515" t="s" s="10">
        <v>14</v>
      </c>
      <c r="N515" t="s" s="11">
        <v>14</v>
      </c>
      <c r="O515" t="s" s="8">
        <v>14</v>
      </c>
      <c r="P515" t="s" s="8">
        <v>14</v>
      </c>
      <c r="Q515" t="s" s="12">
        <v>14</v>
      </c>
      <c r="R515" t="s" s="12">
        <v>14</v>
      </c>
    </row>
    <row r="516" s="2" customFormat="1" ht="13.5" customHeight="1">
      <c r="B516" s="13"/>
      <c r="C516" t="s" s="9">
        <v>16</v>
      </c>
      <c r="D516" t="s" s="8">
        <v>252</v>
      </c>
      <c r="E516" t="s" s="9">
        <v>252</v>
      </c>
      <c r="F516" t="s" s="10">
        <v>63</v>
      </c>
      <c r="G516" s="14"/>
      <c r="H516" t="s" s="10">
        <v>63</v>
      </c>
      <c r="I516" s="14"/>
      <c r="J516" t="s" s="11">
        <v>20</v>
      </c>
      <c r="K516" s="15"/>
      <c r="L516" t="s" s="16">
        <f>HYPERLINK("http://csr.bu.edu/ftp/asl/asllvd/demos/verify_start_end_handshape_annotations//test_auto_move//signs_mov_separ_signers/Liz_100.mov","MOV")</f>
        <v>21</v>
      </c>
      <c r="M516" t="s" s="10">
        <v>22</v>
      </c>
      <c r="N516" s="17">
        <v>15</v>
      </c>
      <c r="O516" s="18">
        <v>1085</v>
      </c>
      <c r="P516" s="18">
        <v>1106</v>
      </c>
      <c r="Q516" s="15"/>
      <c r="R516" t="s" s="16">
        <f>HYPERLINK("http://secrets.rutgers.edu:8080/data/asl-ftp/asllvd/demos/verify_start_end_handshape_annotations//test_auto_move//signs_mov_separ_signers/Liz_100.mov","MOV")</f>
        <v>21</v>
      </c>
    </row>
    <row r="517" s="2" customFormat="1" ht="13.5" customHeight="1">
      <c r="B517" s="13"/>
      <c r="C517" t="s" s="9">
        <v>23</v>
      </c>
      <c r="D517" t="s" s="8">
        <v>252</v>
      </c>
      <c r="E517" t="s" s="9">
        <v>252</v>
      </c>
      <c r="F517" s="19">
        <v>10</v>
      </c>
      <c r="G517" s="14"/>
      <c r="H517" t="s" s="10">
        <v>63</v>
      </c>
      <c r="I517" s="14"/>
      <c r="J517" t="s" s="11">
        <v>20</v>
      </c>
      <c r="K517" s="15"/>
      <c r="L517" t="s" s="16">
        <f>HYPERLINK("http://csr.bu.edu/ftp/asl/asllvd/demos/verify_start_end_handshape_annotations//test_auto_move//signs_mov_separ_signers/Tyler_100.mov","MOV")</f>
        <v>21</v>
      </c>
      <c r="M517" t="s" s="10">
        <v>26</v>
      </c>
      <c r="N517" s="17">
        <v>11</v>
      </c>
      <c r="O517" s="18">
        <v>2831</v>
      </c>
      <c r="P517" s="18">
        <v>2855</v>
      </c>
      <c r="Q517" s="15"/>
      <c r="R517" t="s" s="16">
        <f>HYPERLINK("http://secrets.rutgers.edu:8080/data/asl-ftp/asllvd/demos/verify_start_end_handshape_annotations//test_auto_move//signs_mov_separ_signers/Tyler_100.mov","MOV")</f>
        <v>21</v>
      </c>
    </row>
    <row r="518" s="2" customFormat="1" ht="13.5" customHeight="1">
      <c r="B518" s="13"/>
      <c r="C518" t="s" s="9">
        <v>27</v>
      </c>
      <c r="D518" t="s" s="8">
        <v>252</v>
      </c>
      <c r="E518" t="s" s="9">
        <v>252</v>
      </c>
      <c r="F518" t="s" s="10">
        <v>63</v>
      </c>
      <c r="G518" s="14"/>
      <c r="H518" t="s" s="10">
        <v>63</v>
      </c>
      <c r="I518" s="14"/>
      <c r="J518" t="s" s="11">
        <v>20</v>
      </c>
      <c r="K518" t="s" s="16">
        <f>HYPERLINK("http://csr.bu.edu/ftp/asl/asllvd/demos/verify_start_end_handshape_annotations//test_auto_move//signs_mov/100.mov","MOV")</f>
        <v>21</v>
      </c>
      <c r="L518" t="s" s="16">
        <f>HYPERLINK("http://csr.bu.edu/ftp/asl/asllvd/demos/verify_start_end_handshape_annotations//test_auto_move//signs_mov_separ_signers/Naomi_100.mov","MOV")</f>
        <v>21</v>
      </c>
      <c r="M518" t="s" s="10">
        <v>29</v>
      </c>
      <c r="N518" s="17">
        <v>10</v>
      </c>
      <c r="O518" s="18">
        <v>3240</v>
      </c>
      <c r="P518" s="18">
        <v>3258</v>
      </c>
      <c r="Q518" t="s" s="16">
        <f>HYPERLINK("http://secrets.rutgers.edu:8080/data/asl-ftp/asllvd/demos/verify_start_end_handshape_annotations//test_auto_move//signs_mov/100.mov","MOV")</f>
        <v>21</v>
      </c>
      <c r="R518" t="s" s="16">
        <f>HYPERLINK("http://secrets.rutgers.edu:8080/data/asl-ftp/asllvd/demos/verify_start_end_handshape_annotations//test_auto_move//signs_mov_separ_signers/Naomi_100.mov","MOV")</f>
        <v>21</v>
      </c>
    </row>
    <row r="519" s="2" customFormat="1" ht="13.5" customHeight="1">
      <c r="B519" s="13"/>
      <c r="C519" t="s" s="9">
        <v>30</v>
      </c>
      <c r="D519" t="s" s="8">
        <v>252</v>
      </c>
      <c r="E519" t="s" s="9">
        <v>252</v>
      </c>
      <c r="F519" s="19">
        <v>10</v>
      </c>
      <c r="G519" s="14"/>
      <c r="H519" s="19">
        <v>10</v>
      </c>
      <c r="I519" s="14"/>
      <c r="J519" t="s" s="11">
        <v>20</v>
      </c>
      <c r="K519" s="15"/>
      <c r="L519" t="s" s="16">
        <f>HYPERLINK("http://csr.bu.edu/ftp/asl/asllvd/demos/verify_start_end_handshape_annotations//test_auto_move//signs_mov_separ_signers/Brady_100.mov","MOV")</f>
        <v>21</v>
      </c>
      <c r="M519" t="s" s="10">
        <v>31</v>
      </c>
      <c r="N519" s="17">
        <v>12</v>
      </c>
      <c r="O519" s="18">
        <v>2405</v>
      </c>
      <c r="P519" s="18">
        <v>2435</v>
      </c>
      <c r="Q519" s="15"/>
      <c r="R519" t="s" s="16">
        <f>HYPERLINK("http://secrets.rutgers.edu:8080/data/asl-ftp/asllvd/demos/verify_start_end_handshape_annotations//test_auto_move//signs_mov_separ_signers/Brady_100.mov","MOV")</f>
        <v>21</v>
      </c>
    </row>
    <row r="520" s="2" customFormat="1" ht="13.5" customHeight="1">
      <c r="B520" s="13"/>
      <c r="C520" t="s" s="9">
        <v>41</v>
      </c>
      <c r="D520" t="s" s="8">
        <v>252</v>
      </c>
      <c r="E520" t="s" s="9">
        <v>252</v>
      </c>
      <c r="F520" t="s" s="10">
        <v>63</v>
      </c>
      <c r="G520" s="14"/>
      <c r="H520" t="s" s="10">
        <v>63</v>
      </c>
      <c r="I520" s="14"/>
      <c r="J520" t="s" s="11">
        <v>20</v>
      </c>
      <c r="K520" s="15"/>
      <c r="L520" t="s" s="16">
        <f>HYPERLINK("http://csr.bu.edu/ftp/asl/asllvd/demos/verify_start_end_handshape_annotations//test_auto_move//signs_mov_separ_signers/Lana_100.mov","MOV")</f>
        <v>21</v>
      </c>
      <c r="M520" t="s" s="10">
        <v>42</v>
      </c>
      <c r="N520" s="17">
        <v>2</v>
      </c>
      <c r="O520" s="18">
        <v>2507</v>
      </c>
      <c r="P520" s="18">
        <v>2522</v>
      </c>
      <c r="Q520" s="15"/>
      <c r="R520" t="s" s="16">
        <f>HYPERLINK("http://secrets.rutgers.edu:8080/data/asl-ftp/asllvd/demos/verify_start_end_handshape_annotations//test_auto_move//signs_mov_separ_signers/Lana_100.mov","MOV")</f>
        <v>21</v>
      </c>
    </row>
    <row r="521" s="2" customFormat="1" ht="13.5" customHeight="1">
      <c r="B521" s="13"/>
      <c r="C521" t="s" s="9">
        <v>43</v>
      </c>
      <c r="D521" t="s" s="8">
        <v>252</v>
      </c>
      <c r="E521" t="s" s="9">
        <v>252</v>
      </c>
      <c r="F521" s="19">
        <v>10</v>
      </c>
      <c r="G521" s="14"/>
      <c r="H521" s="19">
        <v>10</v>
      </c>
      <c r="I521" s="14"/>
      <c r="J521" t="s" s="11">
        <v>20</v>
      </c>
      <c r="K521" s="15"/>
      <c r="L521" t="s" s="16">
        <f>HYPERLINK("http://csr.bu.edu/ftp/asl/asllvd/demos/verify_start_end_handshape_annotations//test_auto_move//signs_mov_separ_signers/Dana_100.mov","MOV")</f>
        <v>21</v>
      </c>
      <c r="M521" t="s" s="10">
        <v>44</v>
      </c>
      <c r="N521" s="17">
        <v>5</v>
      </c>
      <c r="O521" s="18">
        <v>2910</v>
      </c>
      <c r="P521" s="18">
        <v>2939</v>
      </c>
      <c r="Q521" s="15"/>
      <c r="R521" t="s" s="16">
        <f>HYPERLINK("http://secrets.rutgers.edu:8080/data/asl-ftp/asllvd/demos/verify_start_end_handshape_annotations//test_auto_move//signs_mov_separ_signers/Dana_100.mov","MOV")</f>
        <v>21</v>
      </c>
    </row>
    <row r="522" s="2" customFormat="1" ht="13.5" customHeight="1">
      <c r="B522" t="s" s="8">
        <v>253</v>
      </c>
      <c r="C522" t="s" s="9">
        <v>14</v>
      </c>
      <c r="D522" t="s" s="8">
        <v>14</v>
      </c>
      <c r="E522" t="s" s="9">
        <v>14</v>
      </c>
      <c r="F522" t="s" s="10">
        <v>14</v>
      </c>
      <c r="G522" t="s" s="11">
        <v>14</v>
      </c>
      <c r="H522" t="s" s="10">
        <v>14</v>
      </c>
      <c r="I522" t="s" s="11">
        <v>14</v>
      </c>
      <c r="J522" t="s" s="11">
        <v>14</v>
      </c>
      <c r="K522" t="s" s="12">
        <v>14</v>
      </c>
      <c r="L522" t="s" s="12">
        <v>14</v>
      </c>
      <c r="M522" t="s" s="10">
        <v>14</v>
      </c>
      <c r="N522" t="s" s="11">
        <v>14</v>
      </c>
      <c r="O522" t="s" s="8">
        <v>14</v>
      </c>
      <c r="P522" t="s" s="8">
        <v>14</v>
      </c>
      <c r="Q522" t="s" s="12">
        <v>14</v>
      </c>
      <c r="R522" t="s" s="12">
        <v>14</v>
      </c>
    </row>
    <row r="523" s="2" customFormat="1" ht="13.5" customHeight="1">
      <c r="B523" s="13"/>
      <c r="C523" t="s" s="9">
        <v>16</v>
      </c>
      <c r="D523" t="s" s="8">
        <v>253</v>
      </c>
      <c r="E523" t="s" s="9">
        <v>253</v>
      </c>
      <c r="F523" s="19">
        <v>5</v>
      </c>
      <c r="G523" s="17">
        <v>5</v>
      </c>
      <c r="H523" s="19">
        <v>5</v>
      </c>
      <c r="I523" s="17">
        <v>5</v>
      </c>
      <c r="J523" t="s" s="11">
        <v>20</v>
      </c>
      <c r="K523" s="15"/>
      <c r="L523" t="s" s="16">
        <f>HYPERLINK("http://csr.bu.edu/ftp/asl/asllvd/demos/verify_start_end_handshape_annotations//test_auto_move//signs_mov_separ_signers/Liz_105.mov","MOV")</f>
        <v>21</v>
      </c>
      <c r="M523" t="s" s="10">
        <v>22</v>
      </c>
      <c r="N523" s="17">
        <v>16</v>
      </c>
      <c r="O523" s="18">
        <v>820</v>
      </c>
      <c r="P523" s="18">
        <v>851</v>
      </c>
      <c r="Q523" s="15"/>
      <c r="R523" t="s" s="16">
        <f>HYPERLINK("http://secrets.rutgers.edu:8080/data/asl-ftp/asllvd/demos/verify_start_end_handshape_annotations//test_auto_move//signs_mov_separ_signers/Liz_105.mov","MOV")</f>
        <v>21</v>
      </c>
    </row>
    <row r="524" s="2" customFormat="1" ht="13.5" customHeight="1">
      <c r="B524" s="13"/>
      <c r="C524" t="s" s="9">
        <v>23</v>
      </c>
      <c r="D524" t="s" s="8">
        <v>253</v>
      </c>
      <c r="E524" t="s" s="9">
        <v>253</v>
      </c>
      <c r="F524" s="19">
        <v>5</v>
      </c>
      <c r="G524" s="17">
        <v>5</v>
      </c>
      <c r="H524" s="19">
        <v>5</v>
      </c>
      <c r="I524" s="17">
        <v>5</v>
      </c>
      <c r="J524" t="s" s="11">
        <v>20</v>
      </c>
      <c r="K524" t="s" s="16">
        <f>HYPERLINK("http://csr.bu.edu/ftp/asl/asllvd/demos/verify_start_end_handshape_annotations//test_auto_move//signs_mov/105.mov","MOV")</f>
        <v>21</v>
      </c>
      <c r="L524" t="s" s="16">
        <f>HYPERLINK("http://csr.bu.edu/ftp/asl/asllvd/demos/verify_start_end_handshape_annotations//test_auto_move//signs_mov_separ_signers/Tyler_105.mov","MOV")</f>
        <v>21</v>
      </c>
      <c r="M524" t="s" s="10">
        <v>26</v>
      </c>
      <c r="N524" s="17">
        <v>12</v>
      </c>
      <c r="O524" s="18">
        <v>2140</v>
      </c>
      <c r="P524" s="18">
        <v>2167</v>
      </c>
      <c r="Q524" t="s" s="16">
        <f>HYPERLINK("http://secrets.rutgers.edu:8080/data/asl-ftp/asllvd/demos/verify_start_end_handshape_annotations//test_auto_move//signs_mov/105.mov","MOV")</f>
        <v>21</v>
      </c>
      <c r="R524" t="s" s="16">
        <f>HYPERLINK("http://secrets.rutgers.edu:8080/data/asl-ftp/asllvd/demos/verify_start_end_handshape_annotations//test_auto_move//signs_mov_separ_signers/Tyler_105.mov","MOV")</f>
        <v>21</v>
      </c>
    </row>
    <row r="525" s="2" customFormat="1" ht="13.5" customHeight="1">
      <c r="B525" s="13"/>
      <c r="C525" t="s" s="9">
        <v>27</v>
      </c>
      <c r="D525" t="s" s="8">
        <v>253</v>
      </c>
      <c r="E525" t="s" s="9">
        <v>253</v>
      </c>
      <c r="F525" s="19">
        <v>5</v>
      </c>
      <c r="G525" s="17">
        <v>5</v>
      </c>
      <c r="H525" s="19">
        <v>5</v>
      </c>
      <c r="I525" s="17">
        <v>5</v>
      </c>
      <c r="J525" t="s" s="11">
        <v>20</v>
      </c>
      <c r="K525" s="15"/>
      <c r="L525" t="s" s="16">
        <f>HYPERLINK("http://csr.bu.edu/ftp/asl/asllvd/demos/verify_start_end_handshape_annotations//test_auto_move//signs_mov_separ_signers/Naomi_105.mov","MOV")</f>
        <v>21</v>
      </c>
      <c r="M525" t="s" s="10">
        <v>29</v>
      </c>
      <c r="N525" s="17">
        <v>12</v>
      </c>
      <c r="O525" s="18">
        <v>1320</v>
      </c>
      <c r="P525" s="18">
        <v>1342</v>
      </c>
      <c r="Q525" s="15"/>
      <c r="R525" t="s" s="16">
        <f>HYPERLINK("http://secrets.rutgers.edu:8080/data/asl-ftp/asllvd/demos/verify_start_end_handshape_annotations//test_auto_move//signs_mov_separ_signers/Naomi_105.mov","MOV")</f>
        <v>21</v>
      </c>
    </row>
    <row r="526" s="2" customFormat="1" ht="13.5" customHeight="1">
      <c r="B526" s="13"/>
      <c r="C526" t="s" s="9">
        <v>30</v>
      </c>
      <c r="D526" t="s" s="8">
        <v>253</v>
      </c>
      <c r="E526" t="s" s="9">
        <v>253</v>
      </c>
      <c r="F526" s="19">
        <v>5</v>
      </c>
      <c r="G526" s="17">
        <v>5</v>
      </c>
      <c r="H526" s="19">
        <v>5</v>
      </c>
      <c r="I526" s="17">
        <v>5</v>
      </c>
      <c r="J526" t="s" s="11">
        <v>20</v>
      </c>
      <c r="K526" s="15"/>
      <c r="L526" t="s" s="16">
        <f>HYPERLINK("http://csr.bu.edu/ftp/asl/asllvd/demos/verify_start_end_handshape_annotations//test_auto_move//signs_mov_separ_signers/Brady_105.mov","MOV")</f>
        <v>21</v>
      </c>
      <c r="M526" t="s" s="10">
        <v>31</v>
      </c>
      <c r="N526" s="17">
        <v>12</v>
      </c>
      <c r="O526" s="18">
        <v>6122</v>
      </c>
      <c r="P526" s="18">
        <v>6153</v>
      </c>
      <c r="Q526" s="15"/>
      <c r="R526" t="s" s="16">
        <f>HYPERLINK("http://secrets.rutgers.edu:8080/data/asl-ftp/asllvd/demos/verify_start_end_handshape_annotations//test_auto_move//signs_mov_separ_signers/Brady_105.mov","MOV")</f>
        <v>21</v>
      </c>
    </row>
    <row r="527" s="2" customFormat="1" ht="13.5" customHeight="1">
      <c r="B527" t="s" s="8">
        <v>254</v>
      </c>
      <c r="C527" t="s" s="9">
        <v>14</v>
      </c>
      <c r="D527" t="s" s="8">
        <v>14</v>
      </c>
      <c r="E527" t="s" s="9">
        <v>14</v>
      </c>
      <c r="F527" t="s" s="10">
        <v>14</v>
      </c>
      <c r="G527" t="s" s="11">
        <v>14</v>
      </c>
      <c r="H527" t="s" s="10">
        <v>14</v>
      </c>
      <c r="I527" t="s" s="11">
        <v>14</v>
      </c>
      <c r="J527" t="s" s="11">
        <v>14</v>
      </c>
      <c r="K527" t="s" s="12">
        <v>14</v>
      </c>
      <c r="L527" t="s" s="12">
        <v>14</v>
      </c>
      <c r="M527" t="s" s="10">
        <v>14</v>
      </c>
      <c r="N527" t="s" s="11">
        <v>14</v>
      </c>
      <c r="O527" t="s" s="8">
        <v>14</v>
      </c>
      <c r="P527" t="s" s="8">
        <v>14</v>
      </c>
      <c r="Q527" t="s" s="12">
        <v>14</v>
      </c>
      <c r="R527" t="s" s="12">
        <v>14</v>
      </c>
    </row>
    <row r="528" s="2" customFormat="1" ht="13.5" customHeight="1">
      <c r="B528" s="13"/>
      <c r="C528" t="s" s="9">
        <v>16</v>
      </c>
      <c r="D528" t="s" s="8">
        <v>254</v>
      </c>
      <c r="E528" t="s" s="9">
        <v>254</v>
      </c>
      <c r="F528" t="s" s="10">
        <v>255</v>
      </c>
      <c r="G528" s="14"/>
      <c r="H528" t="s" s="10">
        <v>255</v>
      </c>
      <c r="I528" s="14"/>
      <c r="J528" t="s" s="11">
        <v>20</v>
      </c>
      <c r="K528" s="15"/>
      <c r="L528" t="s" s="16">
        <f>HYPERLINK("http://csr.bu.edu/ftp/asl/asllvd/demos/verify_start_end_handshape_annotations//test_auto_move//signs_mov_separ_signers/Liz_106.mov","MOV")</f>
        <v>21</v>
      </c>
      <c r="M528" t="s" s="10">
        <v>22</v>
      </c>
      <c r="N528" s="17">
        <v>18</v>
      </c>
      <c r="O528" s="18">
        <v>826</v>
      </c>
      <c r="P528" s="18">
        <v>865</v>
      </c>
      <c r="Q528" s="15"/>
      <c r="R528" t="s" s="16">
        <f>HYPERLINK("http://secrets.rutgers.edu:8080/data/asl-ftp/asllvd/demos/verify_start_end_handshape_annotations//test_auto_move//signs_mov_separ_signers/Liz_106.mov","MOV")</f>
        <v>21</v>
      </c>
    </row>
    <row r="529" s="2" customFormat="1" ht="13.5" customHeight="1">
      <c r="B529" s="13"/>
      <c r="C529" t="s" s="9">
        <v>23</v>
      </c>
      <c r="D529" t="s" s="8">
        <v>254</v>
      </c>
      <c r="E529" t="s" s="9">
        <v>254</v>
      </c>
      <c r="F529" t="s" s="10">
        <v>255</v>
      </c>
      <c r="G529" s="14"/>
      <c r="H529" t="s" s="10">
        <v>255</v>
      </c>
      <c r="I529" s="14"/>
      <c r="J529" t="s" s="11">
        <v>20</v>
      </c>
      <c r="K529" s="15"/>
      <c r="L529" t="s" s="16">
        <f>HYPERLINK("http://csr.bu.edu/ftp/asl/asllvd/demos/verify_start_end_handshape_annotations//test_auto_move//signs_mov_separ_signers/Tyler_106.mov","MOV")</f>
        <v>21</v>
      </c>
      <c r="M529" t="s" s="10">
        <v>26</v>
      </c>
      <c r="N529" s="17">
        <v>12</v>
      </c>
      <c r="O529" s="18">
        <v>2340</v>
      </c>
      <c r="P529" s="18">
        <v>2360</v>
      </c>
      <c r="Q529" s="15"/>
      <c r="R529" t="s" s="16">
        <f>HYPERLINK("http://secrets.rutgers.edu:8080/data/asl-ftp/asllvd/demos/verify_start_end_handshape_annotations//test_auto_move//signs_mov_separ_signers/Tyler_106.mov","MOV")</f>
        <v>21</v>
      </c>
    </row>
    <row r="530" s="2" customFormat="1" ht="13.5" customHeight="1">
      <c r="B530" s="13"/>
      <c r="C530" t="s" s="9">
        <v>27</v>
      </c>
      <c r="D530" t="s" s="8">
        <v>254</v>
      </c>
      <c r="E530" t="s" s="9">
        <v>254</v>
      </c>
      <c r="F530" t="s" s="10">
        <v>255</v>
      </c>
      <c r="G530" s="14"/>
      <c r="H530" t="s" s="10">
        <v>255</v>
      </c>
      <c r="I530" s="14"/>
      <c r="J530" t="s" s="11">
        <v>20</v>
      </c>
      <c r="K530" t="s" s="16">
        <f>HYPERLINK("http://csr.bu.edu/ftp/asl/asllvd/demos/verify_start_end_handshape_annotations//test_auto_move//signs_mov/106.mov","MOV")</f>
        <v>21</v>
      </c>
      <c r="L530" t="s" s="16">
        <f>HYPERLINK("http://csr.bu.edu/ftp/asl/asllvd/demos/verify_start_end_handshape_annotations//test_auto_move//signs_mov_separ_signers/Naomi_106.mov","MOV")</f>
        <v>21</v>
      </c>
      <c r="M530" t="s" s="10">
        <v>29</v>
      </c>
      <c r="N530" s="17">
        <v>12</v>
      </c>
      <c r="O530" s="18">
        <v>1525</v>
      </c>
      <c r="P530" s="18">
        <v>1546</v>
      </c>
      <c r="Q530" t="s" s="16">
        <f>HYPERLINK("http://secrets.rutgers.edu:8080/data/asl-ftp/asllvd/demos/verify_start_end_handshape_annotations//test_auto_move//signs_mov/106.mov","MOV")</f>
        <v>21</v>
      </c>
      <c r="R530" t="s" s="16">
        <f>HYPERLINK("http://secrets.rutgers.edu:8080/data/asl-ftp/asllvd/demos/verify_start_end_handshape_annotations//test_auto_move//signs_mov_separ_signers/Naomi_106.mov","MOV")</f>
        <v>21</v>
      </c>
    </row>
    <row r="531" s="2" customFormat="1" ht="13.5" customHeight="1">
      <c r="B531" s="13"/>
      <c r="C531" t="s" s="9">
        <v>30</v>
      </c>
      <c r="D531" t="s" s="8">
        <v>254</v>
      </c>
      <c r="E531" t="s" s="9">
        <v>254</v>
      </c>
      <c r="F531" t="s" s="10">
        <v>255</v>
      </c>
      <c r="G531" s="14"/>
      <c r="H531" t="s" s="10">
        <v>255</v>
      </c>
      <c r="I531" s="14"/>
      <c r="J531" t="s" s="11">
        <v>20</v>
      </c>
      <c r="K531" s="15"/>
      <c r="L531" t="s" s="16">
        <f>HYPERLINK("http://csr.bu.edu/ftp/asl/asllvd/demos/verify_start_end_handshape_annotations//test_auto_move//signs_mov_separ_signers/Brady_106.mov","MOV")</f>
        <v>21</v>
      </c>
      <c r="M531" t="s" s="10">
        <v>31</v>
      </c>
      <c r="N531" s="17">
        <v>12</v>
      </c>
      <c r="O531" s="18">
        <v>6398</v>
      </c>
      <c r="P531" s="18">
        <v>6409</v>
      </c>
      <c r="Q531" s="15"/>
      <c r="R531" t="s" s="16">
        <f>HYPERLINK("http://secrets.rutgers.edu:8080/data/asl-ftp/asllvd/demos/verify_start_end_handshape_annotations//test_auto_move//signs_mov_separ_signers/Brady_106.mov","MOV")</f>
        <v>21</v>
      </c>
    </row>
    <row r="532" s="2" customFormat="1" ht="13.5" customHeight="1">
      <c r="B532" s="13"/>
      <c r="C532" t="s" s="9">
        <v>43</v>
      </c>
      <c r="D532" t="s" s="8">
        <v>254</v>
      </c>
      <c r="E532" t="s" s="9">
        <v>254</v>
      </c>
      <c r="F532" t="s" s="10">
        <v>255</v>
      </c>
      <c r="G532" s="14"/>
      <c r="H532" t="s" s="10">
        <v>255</v>
      </c>
      <c r="I532" s="14"/>
      <c r="J532" t="s" s="11">
        <v>20</v>
      </c>
      <c r="K532" s="15"/>
      <c r="L532" t="s" s="16">
        <f>HYPERLINK("http://csr.bu.edu/ftp/asl/asllvd/demos/verify_start_end_handshape_annotations//test_auto_move//signs_mov_separ_signers/Dana_106.mov","MOV")</f>
        <v>21</v>
      </c>
      <c r="M532" t="s" s="10">
        <v>44</v>
      </c>
      <c r="N532" s="17">
        <v>5</v>
      </c>
      <c r="O532" s="18">
        <v>3231</v>
      </c>
      <c r="P532" s="18">
        <v>3275</v>
      </c>
      <c r="Q532" s="15"/>
      <c r="R532" t="s" s="16">
        <f>HYPERLINK("http://secrets.rutgers.edu:8080/data/asl-ftp/asllvd/demos/verify_start_end_handshape_annotations//test_auto_move//signs_mov_separ_signers/Dana_106.mov","MOV")</f>
        <v>21</v>
      </c>
    </row>
    <row r="533" s="2" customFormat="1" ht="13.5" customHeight="1">
      <c r="B533" t="s" s="8">
        <v>52</v>
      </c>
      <c r="C533" t="s" s="9">
        <v>53</v>
      </c>
      <c r="D533" t="s" s="8">
        <v>53</v>
      </c>
      <c r="E533" t="s" s="9">
        <v>53</v>
      </c>
      <c r="F533" t="s" s="10">
        <v>53</v>
      </c>
      <c r="G533" t="s" s="11">
        <v>53</v>
      </c>
      <c r="H533" t="s" s="10">
        <v>53</v>
      </c>
      <c r="I533" t="s" s="11">
        <v>53</v>
      </c>
      <c r="J533" t="s" s="11">
        <v>53</v>
      </c>
      <c r="K533" t="s" s="12">
        <v>53</v>
      </c>
      <c r="L533" t="s" s="12">
        <v>53</v>
      </c>
      <c r="M533" t="s" s="10">
        <v>53</v>
      </c>
      <c r="N533" t="s" s="11">
        <v>53</v>
      </c>
      <c r="O533" t="s" s="8">
        <v>53</v>
      </c>
      <c r="P533" t="s" s="8">
        <v>53</v>
      </c>
      <c r="Q533" t="s" s="12">
        <v>53</v>
      </c>
      <c r="R533" t="s" s="12">
        <v>53</v>
      </c>
    </row>
    <row r="534" s="2" customFormat="1" ht="13.5" customHeight="1">
      <c r="B534" s="13"/>
      <c r="C534" t="s" s="9">
        <v>41</v>
      </c>
      <c r="D534" t="s" s="8">
        <v>254</v>
      </c>
      <c r="E534" t="s" s="9">
        <v>256</v>
      </c>
      <c r="F534" t="s" s="10">
        <v>68</v>
      </c>
      <c r="G534" s="14"/>
      <c r="H534" t="s" s="10">
        <v>68</v>
      </c>
      <c r="I534" s="14"/>
      <c r="J534" t="s" s="11">
        <v>20</v>
      </c>
      <c r="K534" t="s" s="16">
        <f>HYPERLINK("http://csr.bu.edu/ftp/asl/asllvd/demos/verify_start_end_handshape_annotations//test_auto_move//signs_mov/5532.mov","MOV")</f>
        <v>21</v>
      </c>
      <c r="L534" t="s" s="16">
        <f>HYPERLINK("http://csr.bu.edu/ftp/asl/asllvd/demos/verify_start_end_handshape_annotations//test_auto_move//signs_mov_separ_signers/Lana_5532.mov","MOV")</f>
        <v>21</v>
      </c>
      <c r="M534" t="s" s="10">
        <v>42</v>
      </c>
      <c r="N534" s="17">
        <v>2</v>
      </c>
      <c r="O534" s="18">
        <v>2754</v>
      </c>
      <c r="P534" s="18">
        <v>2775</v>
      </c>
      <c r="Q534" t="s" s="16">
        <f>HYPERLINK("http://secrets.rutgers.edu:8080/data/asl-ftp/asllvd/demos/verify_start_end_handshape_annotations//test_auto_move//signs_mov/5532.mov","MOV")</f>
        <v>21</v>
      </c>
      <c r="R534" t="s" s="16">
        <f>HYPERLINK("http://secrets.rutgers.edu:8080/data/asl-ftp/asllvd/demos/verify_start_end_handshape_annotations//test_auto_move//signs_mov_separ_signers/Lana_5532.mov","MOV")</f>
        <v>21</v>
      </c>
    </row>
    <row r="535" s="2" customFormat="1" ht="13.5" customHeight="1">
      <c r="B535" t="s" s="8">
        <v>257</v>
      </c>
      <c r="C535" t="s" s="9">
        <v>14</v>
      </c>
      <c r="D535" t="s" s="8">
        <v>14</v>
      </c>
      <c r="E535" t="s" s="9">
        <v>14</v>
      </c>
      <c r="F535" t="s" s="10">
        <v>14</v>
      </c>
      <c r="G535" t="s" s="11">
        <v>14</v>
      </c>
      <c r="H535" t="s" s="10">
        <v>14</v>
      </c>
      <c r="I535" t="s" s="11">
        <v>14</v>
      </c>
      <c r="J535" t="s" s="11">
        <v>14</v>
      </c>
      <c r="K535" t="s" s="12">
        <v>14</v>
      </c>
      <c r="L535" t="s" s="12">
        <v>14</v>
      </c>
      <c r="M535" t="s" s="10">
        <v>14</v>
      </c>
      <c r="N535" t="s" s="11">
        <v>14</v>
      </c>
      <c r="O535" t="s" s="8">
        <v>14</v>
      </c>
      <c r="P535" t="s" s="8">
        <v>14</v>
      </c>
      <c r="Q535" t="s" s="12">
        <v>14</v>
      </c>
      <c r="R535" t="s" s="12">
        <v>14</v>
      </c>
    </row>
    <row r="536" s="2" customFormat="1" ht="13.5" customHeight="1">
      <c r="B536" s="13"/>
      <c r="C536" t="s" s="9">
        <v>16</v>
      </c>
      <c r="D536" t="s" s="8">
        <v>257</v>
      </c>
      <c r="E536" t="s" s="9">
        <v>257</v>
      </c>
      <c r="F536" t="s" s="10">
        <v>229</v>
      </c>
      <c r="G536" s="17">
        <v>1</v>
      </c>
      <c r="H536" t="s" s="10">
        <v>229</v>
      </c>
      <c r="I536" s="17">
        <v>1</v>
      </c>
      <c r="J536" t="s" s="11">
        <v>20</v>
      </c>
      <c r="K536" s="15"/>
      <c r="L536" t="s" s="16">
        <f>HYPERLINK("http://csr.bu.edu/ftp/asl/asllvd/demos/verify_start_end_handshape_annotations//test_auto_move//signs_mov_separ_signers/Liz_107.mov","MOV")</f>
        <v>21</v>
      </c>
      <c r="M536" t="s" s="10">
        <v>22</v>
      </c>
      <c r="N536" s="17">
        <v>18</v>
      </c>
      <c r="O536" s="18">
        <v>1225</v>
      </c>
      <c r="P536" s="18">
        <v>1255</v>
      </c>
      <c r="Q536" s="15"/>
      <c r="R536" t="s" s="16">
        <f>HYPERLINK("http://secrets.rutgers.edu:8080/data/asl-ftp/asllvd/demos/verify_start_end_handshape_annotations//test_auto_move//signs_mov_separ_signers/Liz_107.mov","MOV")</f>
        <v>21</v>
      </c>
    </row>
    <row r="537" s="2" customFormat="1" ht="13.5" customHeight="1">
      <c r="B537" s="13"/>
      <c r="C537" t="s" s="9">
        <v>16</v>
      </c>
      <c r="D537" t="s" s="8">
        <v>257</v>
      </c>
      <c r="E537" t="s" s="9">
        <v>257</v>
      </c>
      <c r="F537" t="s" s="10">
        <v>229</v>
      </c>
      <c r="G537" s="17">
        <v>1</v>
      </c>
      <c r="H537" t="s" s="10">
        <v>229</v>
      </c>
      <c r="I537" s="17">
        <v>1</v>
      </c>
      <c r="J537" t="s" s="11">
        <v>20</v>
      </c>
      <c r="K537" s="15"/>
      <c r="L537" t="s" s="16">
        <f>HYPERLINK("http://csr.bu.edu/ftp/asl/asllvd/demos/verify_start_end_handshape_annotations//test_auto_move//signs_mov_separ_signers/Liz_3324.mov","MOV")</f>
        <v>21</v>
      </c>
      <c r="M537" t="s" s="10">
        <v>22</v>
      </c>
      <c r="N537" s="17">
        <v>18</v>
      </c>
      <c r="O537" s="18">
        <v>1865</v>
      </c>
      <c r="P537" s="18">
        <v>1905</v>
      </c>
      <c r="Q537" s="15"/>
      <c r="R537" t="s" s="16">
        <f>HYPERLINK("http://secrets.rutgers.edu:8080/data/asl-ftp/asllvd/demos/verify_start_end_handshape_annotations//test_auto_move//signs_mov_separ_signers/Liz_3324.mov","MOV")</f>
        <v>21</v>
      </c>
    </row>
    <row r="538" s="2" customFormat="1" ht="13.5" customHeight="1">
      <c r="B538" s="13"/>
      <c r="C538" t="s" s="9">
        <v>27</v>
      </c>
      <c r="D538" t="s" s="8">
        <v>257</v>
      </c>
      <c r="E538" t="s" s="9">
        <v>257</v>
      </c>
      <c r="F538" t="s" s="10">
        <v>229</v>
      </c>
      <c r="G538" s="17">
        <v>1</v>
      </c>
      <c r="H538" t="s" s="10">
        <v>229</v>
      </c>
      <c r="I538" s="17">
        <v>1</v>
      </c>
      <c r="J538" t="s" s="11">
        <v>20</v>
      </c>
      <c r="K538" t="s" s="16">
        <f>HYPERLINK("http://csr.bu.edu/ftp/asl/asllvd/demos/verify_start_end_handshape_annotations//test_auto_move//signs_mov/107_3324_merged.mov","MOV")</f>
        <v>21</v>
      </c>
      <c r="L538" t="s" s="16">
        <f>HYPERLINK("http://csr.bu.edu/ftp/asl/asllvd/demos/verify_start_end_handshape_annotations//test_auto_move//signs_mov_separ_signers/Naomi_107.mov","MOV")</f>
        <v>21</v>
      </c>
      <c r="M538" t="s" s="10">
        <v>29</v>
      </c>
      <c r="N538" s="17">
        <v>12</v>
      </c>
      <c r="O538" s="18">
        <v>1777</v>
      </c>
      <c r="P538" s="18">
        <v>1803</v>
      </c>
      <c r="Q538" t="s" s="16">
        <f>HYPERLINK("http://secrets.rutgers.edu:8080/data/asl-ftp/asllvd/demos/verify_start_end_handshape_annotations//test_auto_move//signs_mov/107_3324_merged.mov","MOV")</f>
        <v>21</v>
      </c>
      <c r="R538" t="s" s="16">
        <f>HYPERLINK("http://secrets.rutgers.edu:8080/data/asl-ftp/asllvd/demos/verify_start_end_handshape_annotations//test_auto_move//signs_mov_separ_signers/Naomi_107.mov","MOV")</f>
        <v>21</v>
      </c>
    </row>
    <row r="539" s="2" customFormat="1" ht="13.5" customHeight="1">
      <c r="B539" s="13"/>
      <c r="C539" t="s" s="9">
        <v>27</v>
      </c>
      <c r="D539" t="s" s="8">
        <v>257</v>
      </c>
      <c r="E539" t="s" s="9">
        <v>257</v>
      </c>
      <c r="F539" t="s" s="10">
        <v>229</v>
      </c>
      <c r="G539" s="17">
        <v>1</v>
      </c>
      <c r="H539" t="s" s="10">
        <v>229</v>
      </c>
      <c r="I539" s="17">
        <v>1</v>
      </c>
      <c r="J539" t="s" s="11">
        <v>20</v>
      </c>
      <c r="K539" s="15"/>
      <c r="L539" t="s" s="16">
        <f>HYPERLINK("http://csr.bu.edu/ftp/asl/asllvd/demos/verify_start_end_handshape_annotations//test_auto_move//signs_mov_separ_signers/Naomi_3324.mov","MOV")</f>
        <v>21</v>
      </c>
      <c r="M539" t="s" s="10">
        <v>29</v>
      </c>
      <c r="N539" s="17">
        <v>12</v>
      </c>
      <c r="O539" s="18">
        <v>2302</v>
      </c>
      <c r="P539" s="18">
        <v>2335</v>
      </c>
      <c r="Q539" s="15"/>
      <c r="R539" t="s" s="16">
        <f>HYPERLINK("http://secrets.rutgers.edu:8080/data/asl-ftp/asllvd/demos/verify_start_end_handshape_annotations//test_auto_move//signs_mov_separ_signers/Naomi_3324.mov","MOV")</f>
        <v>21</v>
      </c>
    </row>
    <row r="540" s="2" customFormat="1" ht="13.5" customHeight="1">
      <c r="B540" s="13"/>
      <c r="C540" t="s" s="9">
        <v>30</v>
      </c>
      <c r="D540" t="s" s="8">
        <v>257</v>
      </c>
      <c r="E540" t="s" s="9">
        <v>257</v>
      </c>
      <c r="F540" t="s" s="10">
        <v>229</v>
      </c>
      <c r="G540" s="17">
        <v>1</v>
      </c>
      <c r="H540" t="s" s="10">
        <v>229</v>
      </c>
      <c r="I540" s="17">
        <v>1</v>
      </c>
      <c r="J540" t="s" s="11">
        <v>20</v>
      </c>
      <c r="K540" s="15"/>
      <c r="L540" t="s" s="16">
        <f>HYPERLINK("http://csr.bu.edu/ftp/asl/asllvd/demos/verify_start_end_handshape_annotations//test_auto_move//signs_mov_separ_signers/Brady_107.mov","MOV")</f>
        <v>21</v>
      </c>
      <c r="M540" t="s" s="10">
        <v>31</v>
      </c>
      <c r="N540" s="17">
        <v>12</v>
      </c>
      <c r="O540" s="18">
        <v>6628</v>
      </c>
      <c r="P540" s="18">
        <v>6637</v>
      </c>
      <c r="Q540" s="15"/>
      <c r="R540" t="s" s="16">
        <f>HYPERLINK("http://secrets.rutgers.edu:8080/data/asl-ftp/asllvd/demos/verify_start_end_handshape_annotations//test_auto_move//signs_mov_separ_signers/Brady_107.mov","MOV")</f>
        <v>21</v>
      </c>
    </row>
    <row r="541" s="2" customFormat="1" ht="13.5" customHeight="1">
      <c r="B541" s="13"/>
      <c r="C541" t="s" s="9">
        <v>30</v>
      </c>
      <c r="D541" t="s" s="8">
        <v>257</v>
      </c>
      <c r="E541" t="s" s="9">
        <v>257</v>
      </c>
      <c r="F541" t="s" s="10">
        <v>229</v>
      </c>
      <c r="G541" s="17">
        <v>1</v>
      </c>
      <c r="H541" t="s" s="10">
        <v>229</v>
      </c>
      <c r="I541" s="17">
        <v>1</v>
      </c>
      <c r="J541" t="s" s="11">
        <v>20</v>
      </c>
      <c r="K541" s="15"/>
      <c r="L541" t="s" s="16">
        <f>HYPERLINK("http://csr.bu.edu/ftp/asl/asllvd/demos/verify_start_end_handshape_annotations//test_auto_move//signs_mov_separ_signers/Brady_3324.mov","MOV")</f>
        <v>21</v>
      </c>
      <c r="M541" t="s" s="10">
        <v>60</v>
      </c>
      <c r="N541" s="17">
        <v>37</v>
      </c>
      <c r="O541" s="18">
        <v>1538</v>
      </c>
      <c r="P541" s="18">
        <v>1556</v>
      </c>
      <c r="Q541" s="15"/>
      <c r="R541" t="s" s="16">
        <f>HYPERLINK("http://secrets.rutgers.edu:8080/data/asl-ftp/asllvd/demos/verify_start_end_handshape_annotations//test_auto_move//signs_mov_separ_signers/Brady_3324.mov","MOV")</f>
        <v>21</v>
      </c>
    </row>
    <row r="542" s="2" customFormat="1" ht="13.5" customHeight="1">
      <c r="B542" t="s" s="8">
        <v>258</v>
      </c>
      <c r="C542" t="s" s="9">
        <v>14</v>
      </c>
      <c r="D542" t="s" s="8">
        <v>14</v>
      </c>
      <c r="E542" t="s" s="9">
        <v>14</v>
      </c>
      <c r="F542" t="s" s="10">
        <v>14</v>
      </c>
      <c r="G542" t="s" s="11">
        <v>14</v>
      </c>
      <c r="H542" t="s" s="10">
        <v>14</v>
      </c>
      <c r="I542" t="s" s="11">
        <v>14</v>
      </c>
      <c r="J542" t="s" s="11">
        <v>14</v>
      </c>
      <c r="K542" t="s" s="12">
        <v>14</v>
      </c>
      <c r="L542" t="s" s="12">
        <v>14</v>
      </c>
      <c r="M542" t="s" s="10">
        <v>14</v>
      </c>
      <c r="N542" t="s" s="11">
        <v>14</v>
      </c>
      <c r="O542" t="s" s="8">
        <v>14</v>
      </c>
      <c r="P542" t="s" s="8">
        <v>14</v>
      </c>
      <c r="Q542" t="s" s="12">
        <v>14</v>
      </c>
      <c r="R542" t="s" s="12">
        <v>14</v>
      </c>
    </row>
    <row r="543" s="2" customFormat="1" ht="13.5" customHeight="1">
      <c r="B543" s="13"/>
      <c r="C543" t="s" s="9">
        <v>16</v>
      </c>
      <c r="D543" t="s" s="8">
        <v>258</v>
      </c>
      <c r="E543" t="s" s="9">
        <v>258</v>
      </c>
      <c r="F543" t="s" s="10">
        <v>68</v>
      </c>
      <c r="G543" s="14"/>
      <c r="H543" t="s" s="10">
        <v>68</v>
      </c>
      <c r="I543" s="14"/>
      <c r="J543" t="s" s="11">
        <v>20</v>
      </c>
      <c r="K543" s="15"/>
      <c r="L543" t="s" s="16">
        <f>HYPERLINK("http://csr.bu.edu/ftp/asl/asllvd/demos/verify_start_end_handshape_annotations//test_auto_move//signs_mov_separ_signers/Liz_110.mov","MOV")</f>
        <v>21</v>
      </c>
      <c r="M543" t="s" s="10">
        <v>22</v>
      </c>
      <c r="N543" s="17">
        <v>19</v>
      </c>
      <c r="O543" s="18">
        <v>625</v>
      </c>
      <c r="P543" s="18">
        <v>665</v>
      </c>
      <c r="Q543" s="15"/>
      <c r="R543" t="s" s="16">
        <f>HYPERLINK("http://secrets.rutgers.edu:8080/data/asl-ftp/asllvd/demos/verify_start_end_handshape_annotations//test_auto_move//signs_mov_separ_signers/Liz_110.mov","MOV")</f>
        <v>21</v>
      </c>
    </row>
    <row r="544" s="2" customFormat="1" ht="13.5" customHeight="1">
      <c r="B544" s="13"/>
      <c r="C544" t="s" s="9">
        <v>23</v>
      </c>
      <c r="D544" t="s" s="8">
        <v>258</v>
      </c>
      <c r="E544" t="s" s="9">
        <v>258</v>
      </c>
      <c r="F544" t="s" s="10">
        <v>68</v>
      </c>
      <c r="G544" s="14"/>
      <c r="H544" t="s" s="10">
        <v>68</v>
      </c>
      <c r="I544" s="14"/>
      <c r="J544" t="s" s="11">
        <v>20</v>
      </c>
      <c r="K544" t="s" s="16">
        <f>HYPERLINK("http://csr.bu.edu/ftp/asl/asllvd/demos/verify_start_end_handshape_annotations//test_auto_move//signs_mov/110.mov","MOV")</f>
        <v>21</v>
      </c>
      <c r="L544" t="s" s="16">
        <f>HYPERLINK("http://csr.bu.edu/ftp/asl/asllvd/demos/verify_start_end_handshape_annotations//test_auto_move//signs_mov_separ_signers/Tyler_110.mov","MOV")</f>
        <v>21</v>
      </c>
      <c r="M544" t="s" s="10">
        <v>26</v>
      </c>
      <c r="N544" s="17">
        <v>12</v>
      </c>
      <c r="O544" s="18">
        <v>5082</v>
      </c>
      <c r="P544" s="18">
        <v>5115</v>
      </c>
      <c r="Q544" t="s" s="16">
        <f>HYPERLINK("http://secrets.rutgers.edu:8080/data/asl-ftp/asllvd/demos/verify_start_end_handshape_annotations//test_auto_move//signs_mov/110.mov","MOV")</f>
        <v>21</v>
      </c>
      <c r="R544" t="s" s="16">
        <f>HYPERLINK("http://secrets.rutgers.edu:8080/data/asl-ftp/asllvd/demos/verify_start_end_handshape_annotations//test_auto_move//signs_mov_separ_signers/Tyler_110.mov","MOV")</f>
        <v>21</v>
      </c>
    </row>
    <row r="545" s="2" customFormat="1" ht="13.5" customHeight="1">
      <c r="B545" s="13"/>
      <c r="C545" t="s" s="9">
        <v>27</v>
      </c>
      <c r="D545" t="s" s="8">
        <v>258</v>
      </c>
      <c r="E545" t="s" s="9">
        <v>258</v>
      </c>
      <c r="F545" t="s" s="10">
        <v>68</v>
      </c>
      <c r="G545" s="14"/>
      <c r="H545" t="s" s="10">
        <v>68</v>
      </c>
      <c r="I545" s="14"/>
      <c r="J545" t="s" s="11">
        <v>20</v>
      </c>
      <c r="K545" s="15"/>
      <c r="L545" t="s" s="16">
        <f>HYPERLINK("http://csr.bu.edu/ftp/asl/asllvd/demos/verify_start_end_handshape_annotations//test_auto_move//signs_mov_separ_signers/Naomi_110.mov","MOV")</f>
        <v>21</v>
      </c>
      <c r="M545" t="s" s="10">
        <v>29</v>
      </c>
      <c r="N545" s="17">
        <v>12</v>
      </c>
      <c r="O545" s="18">
        <v>2715</v>
      </c>
      <c r="P545" s="18">
        <v>2735</v>
      </c>
      <c r="Q545" s="15"/>
      <c r="R545" t="s" s="16">
        <f>HYPERLINK("http://secrets.rutgers.edu:8080/data/asl-ftp/asllvd/demos/verify_start_end_handshape_annotations//test_auto_move//signs_mov_separ_signers/Naomi_110.mov","MOV")</f>
        <v>21</v>
      </c>
    </row>
    <row r="546" s="2" customFormat="1" ht="13.5" customHeight="1">
      <c r="B546" s="13"/>
      <c r="C546" t="s" s="9">
        <v>30</v>
      </c>
      <c r="D546" t="s" s="8">
        <v>258</v>
      </c>
      <c r="E546" t="s" s="9">
        <v>258</v>
      </c>
      <c r="F546" t="s" s="10">
        <v>68</v>
      </c>
      <c r="G546" s="14"/>
      <c r="H546" t="s" s="10">
        <v>68</v>
      </c>
      <c r="I546" s="14"/>
      <c r="J546" t="s" s="11">
        <v>20</v>
      </c>
      <c r="K546" s="15"/>
      <c r="L546" t="s" s="16">
        <f>HYPERLINK("http://csr.bu.edu/ftp/asl/asllvd/demos/verify_start_end_handshape_annotations//test_auto_move//signs_mov_separ_signers/Brady_110.mov","MOV")</f>
        <v>21</v>
      </c>
      <c r="M546" t="s" s="10">
        <v>31</v>
      </c>
      <c r="N546" s="17">
        <v>12</v>
      </c>
      <c r="O546" s="18">
        <v>7112</v>
      </c>
      <c r="P546" s="18">
        <v>7132</v>
      </c>
      <c r="Q546" s="15"/>
      <c r="R546" t="s" s="16">
        <f>HYPERLINK("http://secrets.rutgers.edu:8080/data/asl-ftp/asllvd/demos/verify_start_end_handshape_annotations//test_auto_move//signs_mov_separ_signers/Brady_110.mov","MOV")</f>
        <v>21</v>
      </c>
    </row>
    <row r="547" s="2" customFormat="1" ht="13.5" customHeight="1">
      <c r="B547" t="s" s="8">
        <v>259</v>
      </c>
      <c r="C547" t="s" s="9">
        <v>14</v>
      </c>
      <c r="D547" t="s" s="8">
        <v>14</v>
      </c>
      <c r="E547" t="s" s="9">
        <v>14</v>
      </c>
      <c r="F547" t="s" s="10">
        <v>14</v>
      </c>
      <c r="G547" t="s" s="11">
        <v>14</v>
      </c>
      <c r="H547" t="s" s="10">
        <v>14</v>
      </c>
      <c r="I547" t="s" s="11">
        <v>14</v>
      </c>
      <c r="J547" t="s" s="11">
        <v>14</v>
      </c>
      <c r="K547" t="s" s="12">
        <v>14</v>
      </c>
      <c r="L547" t="s" s="12">
        <v>14</v>
      </c>
      <c r="M547" t="s" s="10">
        <v>14</v>
      </c>
      <c r="N547" t="s" s="11">
        <v>14</v>
      </c>
      <c r="O547" t="s" s="8">
        <v>14</v>
      </c>
      <c r="P547" t="s" s="8">
        <v>14</v>
      </c>
      <c r="Q547" t="s" s="12">
        <v>14</v>
      </c>
      <c r="R547" t="s" s="12">
        <v>14</v>
      </c>
    </row>
    <row r="548" s="2" customFormat="1" ht="13.5" customHeight="1">
      <c r="B548" s="13"/>
      <c r="C548" t="s" s="9">
        <v>16</v>
      </c>
      <c r="D548" t="s" s="8">
        <v>259</v>
      </c>
      <c r="E548" t="s" s="9">
        <v>259</v>
      </c>
      <c r="F548" s="19">
        <v>5</v>
      </c>
      <c r="G548" s="17">
        <v>5</v>
      </c>
      <c r="H548" t="s" s="10">
        <v>63</v>
      </c>
      <c r="I548" t="s" s="11">
        <v>63</v>
      </c>
      <c r="J548" t="s" s="11">
        <v>20</v>
      </c>
      <c r="K548" s="15"/>
      <c r="L548" t="s" s="16">
        <f>HYPERLINK("http://csr.bu.edu/ftp/asl/asllvd/demos/verify_start_end_handshape_annotations//test_auto_move//signs_mov_separ_signers/Liz_112.mov","MOV")</f>
        <v>21</v>
      </c>
      <c r="M548" t="s" s="10">
        <v>22</v>
      </c>
      <c r="N548" s="17">
        <v>19</v>
      </c>
      <c r="O548" s="18">
        <v>1306</v>
      </c>
      <c r="P548" s="18">
        <v>1345</v>
      </c>
      <c r="Q548" s="15"/>
      <c r="R548" t="s" s="16">
        <f>HYPERLINK("http://secrets.rutgers.edu:8080/data/asl-ftp/asllvd/demos/verify_start_end_handshape_annotations//test_auto_move//signs_mov_separ_signers/Liz_112.mov","MOV")</f>
        <v>21</v>
      </c>
    </row>
    <row r="549" s="2" customFormat="1" ht="13.5" customHeight="1">
      <c r="B549" s="13"/>
      <c r="C549" t="s" s="9">
        <v>23</v>
      </c>
      <c r="D549" t="s" s="8">
        <v>259</v>
      </c>
      <c r="E549" t="s" s="9">
        <v>259</v>
      </c>
      <c r="F549" s="19">
        <v>5</v>
      </c>
      <c r="G549" t="s" s="11">
        <v>260</v>
      </c>
      <c r="H549" t="s" s="10">
        <v>68</v>
      </c>
      <c r="I549" t="s" s="11">
        <v>68</v>
      </c>
      <c r="J549" t="s" s="11">
        <v>20</v>
      </c>
      <c r="K549" s="15"/>
      <c r="L549" t="s" s="16">
        <f>HYPERLINK("http://csr.bu.edu/ftp/asl/asllvd/demos/verify_start_end_handshape_annotations//test_auto_move//signs_mov_separ_signers/Tyler_112.mov","MOV")</f>
        <v>21</v>
      </c>
      <c r="M549" t="s" s="10">
        <v>26</v>
      </c>
      <c r="N549" s="17">
        <v>13</v>
      </c>
      <c r="O549" s="18">
        <v>685</v>
      </c>
      <c r="P549" s="18">
        <v>732</v>
      </c>
      <c r="Q549" s="15"/>
      <c r="R549" t="s" s="16">
        <f>HYPERLINK("http://secrets.rutgers.edu:8080/data/asl-ftp/asllvd/demos/verify_start_end_handshape_annotations//test_auto_move//signs_mov_separ_signers/Tyler_112.mov","MOV")</f>
        <v>21</v>
      </c>
    </row>
    <row r="550" s="2" customFormat="1" ht="13.5" customHeight="1">
      <c r="B550" s="13"/>
      <c r="C550" t="s" s="9">
        <v>23</v>
      </c>
      <c r="D550" t="s" s="8">
        <v>259</v>
      </c>
      <c r="E550" t="s" s="9">
        <v>259</v>
      </c>
      <c r="F550" s="19">
        <v>5</v>
      </c>
      <c r="G550" t="s" s="11">
        <v>72</v>
      </c>
      <c r="H550" t="s" s="10">
        <v>68</v>
      </c>
      <c r="I550" t="s" s="11">
        <v>68</v>
      </c>
      <c r="J550" t="s" s="11">
        <v>20</v>
      </c>
      <c r="K550" s="15"/>
      <c r="L550" t="s" s="16">
        <f>HYPERLINK("http://csr.bu.edu/ftp/asl/asllvd/demos/verify_start_end_handshape_annotations//test_auto_move//signs_mov_separ_signers/Tyler_3435.mov","MOV")</f>
        <v>21</v>
      </c>
      <c r="M550" t="s" s="10">
        <v>26</v>
      </c>
      <c r="N550" s="17">
        <v>13</v>
      </c>
      <c r="O550" s="18">
        <v>1000</v>
      </c>
      <c r="P550" s="18">
        <v>1027</v>
      </c>
      <c r="Q550" s="15"/>
      <c r="R550" t="s" s="16">
        <f>HYPERLINK("http://secrets.rutgers.edu:8080/data/asl-ftp/asllvd/demos/verify_start_end_handshape_annotations//test_auto_move//signs_mov_separ_signers/Tyler_3435.mov","MOV")</f>
        <v>21</v>
      </c>
    </row>
    <row r="551" s="2" customFormat="1" ht="13.5" customHeight="1">
      <c r="B551" s="13"/>
      <c r="C551" t="s" s="9">
        <v>27</v>
      </c>
      <c r="D551" t="s" s="8">
        <v>259</v>
      </c>
      <c r="E551" t="s" s="9">
        <v>259</v>
      </c>
      <c r="F551" s="19">
        <v>5</v>
      </c>
      <c r="G551" t="s" s="11">
        <v>72</v>
      </c>
      <c r="H551" t="s" s="10">
        <v>68</v>
      </c>
      <c r="I551" t="s" s="11">
        <v>68</v>
      </c>
      <c r="J551" t="s" s="11">
        <v>20</v>
      </c>
      <c r="K551" t="s" s="16">
        <f>HYPERLINK("http://csr.bu.edu/ftp/asl/asllvd/demos/verify_start_end_handshape_annotations//test_auto_move//signs_mov/112_3435_merged.mov","MOV")</f>
        <v>21</v>
      </c>
      <c r="L551" t="s" s="16">
        <f>HYPERLINK("http://csr.bu.edu/ftp/asl/asllvd/demos/verify_start_end_handshape_annotations//test_auto_move//signs_mov_separ_signers/Naomi_112.mov","MOV")</f>
        <v>21</v>
      </c>
      <c r="M551" t="s" s="10">
        <v>29</v>
      </c>
      <c r="N551" s="17">
        <v>13</v>
      </c>
      <c r="O551" s="18">
        <v>823</v>
      </c>
      <c r="P551" s="18">
        <v>850</v>
      </c>
      <c r="Q551" t="s" s="16">
        <f>HYPERLINK("http://secrets.rutgers.edu:8080/data/asl-ftp/asllvd/demos/verify_start_end_handshape_annotations//test_auto_move//signs_mov/112_3435_merged.mov","MOV")</f>
        <v>21</v>
      </c>
      <c r="R551" t="s" s="16">
        <f>HYPERLINK("http://secrets.rutgers.edu:8080/data/asl-ftp/asllvd/demos/verify_start_end_handshape_annotations//test_auto_move//signs_mov_separ_signers/Naomi_112.mov","MOV")</f>
        <v>21</v>
      </c>
    </row>
    <row r="552" s="2" customFormat="1" ht="13.5" customHeight="1">
      <c r="B552" s="13"/>
      <c r="C552" t="s" s="9">
        <v>27</v>
      </c>
      <c r="D552" t="s" s="8">
        <v>259</v>
      </c>
      <c r="E552" t="s" s="9">
        <v>259</v>
      </c>
      <c r="F552" t="s" s="10">
        <v>72</v>
      </c>
      <c r="G552" t="s" s="11">
        <v>72</v>
      </c>
      <c r="H552" t="s" s="10">
        <v>68</v>
      </c>
      <c r="I552" t="s" s="11">
        <v>68</v>
      </c>
      <c r="J552" t="s" s="11">
        <v>20</v>
      </c>
      <c r="K552" s="15"/>
      <c r="L552" t="s" s="16">
        <f>HYPERLINK("http://csr.bu.edu/ftp/asl/asllvd/demos/verify_start_end_handshape_annotations//test_auto_move//signs_mov_separ_signers/Naomi_3435.mov","MOV")</f>
        <v>21</v>
      </c>
      <c r="M552" t="s" s="10">
        <v>29</v>
      </c>
      <c r="N552" s="17">
        <v>13</v>
      </c>
      <c r="O552" s="18">
        <v>1418</v>
      </c>
      <c r="P552" s="18">
        <v>1442</v>
      </c>
      <c r="Q552" s="15"/>
      <c r="R552" t="s" s="16">
        <f>HYPERLINK("http://secrets.rutgers.edu:8080/data/asl-ftp/asllvd/demos/verify_start_end_handshape_annotations//test_auto_move//signs_mov_separ_signers/Naomi_3435.mov","MOV")</f>
        <v>21</v>
      </c>
    </row>
    <row r="553" s="2" customFormat="1" ht="13.5" customHeight="1">
      <c r="B553" s="13"/>
      <c r="C553" t="s" s="9">
        <v>30</v>
      </c>
      <c r="D553" t="s" s="8">
        <v>259</v>
      </c>
      <c r="E553" t="s" s="9">
        <v>259</v>
      </c>
      <c r="F553" s="19">
        <v>5</v>
      </c>
      <c r="G553" s="17">
        <v>5</v>
      </c>
      <c r="H553" t="s" s="10">
        <v>63</v>
      </c>
      <c r="I553" t="s" s="11">
        <v>63</v>
      </c>
      <c r="J553" t="s" s="11">
        <v>20</v>
      </c>
      <c r="K553" s="15"/>
      <c r="L553" t="s" s="16">
        <f>HYPERLINK("http://csr.bu.edu/ftp/asl/asllvd/demos/verify_start_end_handshape_annotations//test_auto_move//signs_mov_separ_signers/Brady_112.mov","MOV")</f>
        <v>21</v>
      </c>
      <c r="M553" t="s" s="10">
        <v>60</v>
      </c>
      <c r="N553" s="17">
        <v>37</v>
      </c>
      <c r="O553" s="18">
        <v>1735</v>
      </c>
      <c r="P553" s="18">
        <v>1766</v>
      </c>
      <c r="Q553" s="15"/>
      <c r="R553" t="s" s="16">
        <f>HYPERLINK("http://secrets.rutgers.edu:8080/data/asl-ftp/asllvd/demos/verify_start_end_handshape_annotations//test_auto_move//signs_mov_separ_signers/Brady_112.mov","MOV")</f>
        <v>21</v>
      </c>
    </row>
    <row r="554" s="2" customFormat="1" ht="13.5" customHeight="1">
      <c r="B554" s="13"/>
      <c r="C554" t="s" s="9">
        <v>41</v>
      </c>
      <c r="D554" t="s" s="8">
        <v>259</v>
      </c>
      <c r="E554" t="s" s="9">
        <v>259</v>
      </c>
      <c r="F554" s="19">
        <v>5</v>
      </c>
      <c r="G554" t="s" s="11">
        <v>72</v>
      </c>
      <c r="H554" t="s" s="10">
        <v>68</v>
      </c>
      <c r="I554" t="s" s="11">
        <v>68</v>
      </c>
      <c r="J554" t="s" s="11">
        <v>20</v>
      </c>
      <c r="K554" s="15"/>
      <c r="L554" t="s" s="16">
        <f>HYPERLINK("http://csr.bu.edu/ftp/asl/asllvd/demos/verify_start_end_handshape_annotations//test_auto_move//signs_mov_separ_signers/Lana_112.mov","MOV")</f>
        <v>21</v>
      </c>
      <c r="M554" t="s" s="10">
        <v>42</v>
      </c>
      <c r="N554" s="17">
        <v>2</v>
      </c>
      <c r="O554" s="18">
        <v>2878</v>
      </c>
      <c r="P554" s="18">
        <v>2906</v>
      </c>
      <c r="Q554" s="15"/>
      <c r="R554" t="s" s="16">
        <f>HYPERLINK("http://secrets.rutgers.edu:8080/data/asl-ftp/asllvd/demos/verify_start_end_handshape_annotations//test_auto_move//signs_mov_separ_signers/Lana_112.mov","MOV")</f>
        <v>21</v>
      </c>
    </row>
    <row r="555" s="2" customFormat="1" ht="13.5" customHeight="1">
      <c r="B555" s="13"/>
      <c r="C555" t="s" s="9">
        <v>43</v>
      </c>
      <c r="D555" t="s" s="8">
        <v>259</v>
      </c>
      <c r="E555" t="s" s="9">
        <v>259</v>
      </c>
      <c r="F555" s="19">
        <v>5</v>
      </c>
      <c r="G555" s="17">
        <v>5</v>
      </c>
      <c r="H555" t="s" s="10">
        <v>68</v>
      </c>
      <c r="I555" t="s" s="11">
        <v>68</v>
      </c>
      <c r="J555" t="s" s="11">
        <v>20</v>
      </c>
      <c r="K555" s="15"/>
      <c r="L555" t="s" s="16">
        <f>HYPERLINK("http://csr.bu.edu/ftp/asl/asllvd/demos/verify_start_end_handshape_annotations//test_auto_move//signs_mov_separ_signers/Dana_112.mov","MOV")</f>
        <v>21</v>
      </c>
      <c r="M555" t="s" s="10">
        <v>44</v>
      </c>
      <c r="N555" s="17">
        <v>5</v>
      </c>
      <c r="O555" s="18">
        <v>3362</v>
      </c>
      <c r="P555" s="18">
        <v>3437</v>
      </c>
      <c r="Q555" s="15"/>
      <c r="R555" t="s" s="16">
        <f>HYPERLINK("http://secrets.rutgers.edu:8080/data/asl-ftp/asllvd/demos/verify_start_end_handshape_annotations//test_auto_move//signs_mov_separ_signers/Dana_112.mov","MOV")</f>
        <v>21</v>
      </c>
    </row>
    <row r="556" s="2" customFormat="1" ht="13.5" customHeight="1">
      <c r="B556" t="s" s="8">
        <v>52</v>
      </c>
      <c r="C556" t="s" s="9">
        <v>53</v>
      </c>
      <c r="D556" t="s" s="8">
        <v>53</v>
      </c>
      <c r="E556" t="s" s="9">
        <v>53</v>
      </c>
      <c r="F556" t="s" s="10">
        <v>53</v>
      </c>
      <c r="G556" t="s" s="11">
        <v>53</v>
      </c>
      <c r="H556" t="s" s="10">
        <v>53</v>
      </c>
      <c r="I556" t="s" s="11">
        <v>53</v>
      </c>
      <c r="J556" t="s" s="11">
        <v>53</v>
      </c>
      <c r="K556" t="s" s="12">
        <v>53</v>
      </c>
      <c r="L556" t="s" s="12">
        <v>53</v>
      </c>
      <c r="M556" t="s" s="10">
        <v>53</v>
      </c>
      <c r="N556" t="s" s="11">
        <v>53</v>
      </c>
      <c r="O556" t="s" s="8">
        <v>53</v>
      </c>
      <c r="P556" t="s" s="8">
        <v>53</v>
      </c>
      <c r="Q556" t="s" s="12">
        <v>53</v>
      </c>
      <c r="R556" t="s" s="12">
        <v>53</v>
      </c>
    </row>
    <row r="557" s="2" customFormat="1" ht="13.5" customHeight="1">
      <c r="B557" s="13"/>
      <c r="C557" t="s" s="9">
        <v>16</v>
      </c>
      <c r="D557" t="s" s="8">
        <v>259</v>
      </c>
      <c r="E557" t="s" s="9">
        <v>261</v>
      </c>
      <c r="F557" t="s" s="10">
        <v>63</v>
      </c>
      <c r="G557" t="s" s="11">
        <v>63</v>
      </c>
      <c r="H557" t="s" s="10">
        <v>63</v>
      </c>
      <c r="I557" t="s" s="11">
        <v>63</v>
      </c>
      <c r="J557" t="s" s="11">
        <v>20</v>
      </c>
      <c r="K557" t="s" s="16">
        <f>HYPERLINK("http://csr.bu.edu/ftp/asl/asllvd/demos/verify_start_end_handshape_annotations//test_auto_move//signs_mov/3442.mov","MOV")</f>
        <v>21</v>
      </c>
      <c r="L557" t="s" s="16">
        <f>HYPERLINK("http://csr.bu.edu/ftp/asl/asllvd/demos/verify_start_end_handshape_annotations//test_auto_move//signs_mov_separ_signers/Liz_3442.mov","MOV")</f>
        <v>21</v>
      </c>
      <c r="M557" t="s" s="10">
        <v>22</v>
      </c>
      <c r="N557" s="17">
        <v>19</v>
      </c>
      <c r="O557" s="18">
        <v>1090</v>
      </c>
      <c r="P557" s="18">
        <v>1131</v>
      </c>
      <c r="Q557" t="s" s="16">
        <f>HYPERLINK("http://secrets.rutgers.edu:8080/data/asl-ftp/asllvd/demos/verify_start_end_handshape_annotations//test_auto_move//signs_mov/3442.mov","MOV")</f>
        <v>21</v>
      </c>
      <c r="R557" t="s" s="16">
        <f>HYPERLINK("http://secrets.rutgers.edu:8080/data/asl-ftp/asllvd/demos/verify_start_end_handshape_annotations//test_auto_move//signs_mov_separ_signers/Liz_3442.mov","MOV")</f>
        <v>21</v>
      </c>
    </row>
    <row r="558" s="2" customFormat="1" ht="13.5" customHeight="1">
      <c r="B558" t="s" s="8">
        <v>52</v>
      </c>
      <c r="C558" t="s" s="9">
        <v>53</v>
      </c>
      <c r="D558" t="s" s="8">
        <v>53</v>
      </c>
      <c r="E558" t="s" s="9">
        <v>53</v>
      </c>
      <c r="F558" t="s" s="10">
        <v>53</v>
      </c>
      <c r="G558" t="s" s="11">
        <v>53</v>
      </c>
      <c r="H558" t="s" s="10">
        <v>53</v>
      </c>
      <c r="I558" t="s" s="11">
        <v>53</v>
      </c>
      <c r="J558" t="s" s="11">
        <v>53</v>
      </c>
      <c r="K558" t="s" s="12">
        <v>53</v>
      </c>
      <c r="L558" t="s" s="12">
        <v>53</v>
      </c>
      <c r="M558" t="s" s="10">
        <v>53</v>
      </c>
      <c r="N558" t="s" s="11">
        <v>53</v>
      </c>
      <c r="O558" t="s" s="8">
        <v>53</v>
      </c>
      <c r="P558" t="s" s="8">
        <v>53</v>
      </c>
      <c r="Q558" t="s" s="12">
        <v>53</v>
      </c>
      <c r="R558" t="s" s="12">
        <v>53</v>
      </c>
    </row>
    <row r="559" s="2" customFormat="1" ht="13.5" customHeight="1">
      <c r="B559" s="13"/>
      <c r="C559" t="s" s="9">
        <v>16</v>
      </c>
      <c r="D559" t="s" s="8">
        <v>259</v>
      </c>
      <c r="E559" t="s" s="9">
        <v>262</v>
      </c>
      <c r="F559" t="s" s="10">
        <v>148</v>
      </c>
      <c r="G559" t="s" s="11">
        <v>68</v>
      </c>
      <c r="H559" t="s" s="10">
        <v>68</v>
      </c>
      <c r="I559" t="s" s="11">
        <v>68</v>
      </c>
      <c r="J559" t="s" s="11">
        <v>20</v>
      </c>
      <c r="K559" t="s" s="16">
        <f>HYPERLINK("http://csr.bu.edu/ftp/asl/asllvd/demos/verify_start_end_handshape_annotations//test_auto_move//signs_mov/5091.mov","MOV")</f>
        <v>21</v>
      </c>
      <c r="L559" t="s" s="16">
        <f>HYPERLINK("http://csr.bu.edu/ftp/asl/asllvd/demos/verify_start_end_handshape_annotations//test_auto_move//signs_mov_separ_signers/Liz_5091.mov","MOV")</f>
        <v>21</v>
      </c>
      <c r="M559" t="s" s="10">
        <v>36</v>
      </c>
      <c r="N559" s="17">
        <v>12</v>
      </c>
      <c r="O559" s="18">
        <v>866</v>
      </c>
      <c r="P559" s="18">
        <v>930</v>
      </c>
      <c r="Q559" t="s" s="16">
        <f>HYPERLINK("http://secrets.rutgers.edu:8080/data/asl-ftp/asllvd/demos/verify_start_end_handshape_annotations//test_auto_move//signs_mov/5091.mov","MOV")</f>
        <v>21</v>
      </c>
      <c r="R559" t="s" s="16">
        <f>HYPERLINK("http://secrets.rutgers.edu:8080/data/asl-ftp/asllvd/demos/verify_start_end_handshape_annotations//test_auto_move//signs_mov_separ_signers/Liz_5091.mov","MOV")</f>
        <v>21</v>
      </c>
    </row>
    <row r="560" s="2" customFormat="1" ht="13.5" customHeight="1">
      <c r="B560" s="13"/>
      <c r="C560" t="s" s="9">
        <v>30</v>
      </c>
      <c r="D560" t="s" s="8">
        <v>259</v>
      </c>
      <c r="E560" t="s" s="9">
        <v>262</v>
      </c>
      <c r="F560" t="s" s="10">
        <v>72</v>
      </c>
      <c r="G560" t="s" s="11">
        <v>68</v>
      </c>
      <c r="H560" t="s" s="10">
        <v>63</v>
      </c>
      <c r="I560" t="s" s="11">
        <v>68</v>
      </c>
      <c r="J560" t="s" s="11">
        <v>20</v>
      </c>
      <c r="K560" s="15"/>
      <c r="L560" t="s" s="16">
        <f>HYPERLINK("http://csr.bu.edu/ftp/asl/asllvd/demos/verify_start_end_handshape_annotations//test_auto_move//signs_mov_separ_signers/Brady_5091.mov","MOV")</f>
        <v>21</v>
      </c>
      <c r="M560" t="s" s="10">
        <v>31</v>
      </c>
      <c r="N560" s="17">
        <v>12</v>
      </c>
      <c r="O560" s="18">
        <v>8701</v>
      </c>
      <c r="P560" s="18">
        <v>8731</v>
      </c>
      <c r="Q560" s="15"/>
      <c r="R560" t="s" s="16">
        <f>HYPERLINK("http://secrets.rutgers.edu:8080/data/asl-ftp/asllvd/demos/verify_start_end_handshape_annotations//test_auto_move//signs_mov_separ_signers/Brady_5091.mov","MOV")</f>
        <v>21</v>
      </c>
    </row>
    <row r="561" s="2" customFormat="1" ht="13.5" customHeight="1">
      <c r="B561" t="s" s="8">
        <v>263</v>
      </c>
      <c r="C561" t="s" s="9">
        <v>14</v>
      </c>
      <c r="D561" t="s" s="8">
        <v>14</v>
      </c>
      <c r="E561" t="s" s="9">
        <v>14</v>
      </c>
      <c r="F561" t="s" s="10">
        <v>14</v>
      </c>
      <c r="G561" t="s" s="11">
        <v>14</v>
      </c>
      <c r="H561" t="s" s="10">
        <v>14</v>
      </c>
      <c r="I561" t="s" s="11">
        <v>14</v>
      </c>
      <c r="J561" t="s" s="11">
        <v>14</v>
      </c>
      <c r="K561" t="s" s="12">
        <v>14</v>
      </c>
      <c r="L561" t="s" s="12">
        <v>14</v>
      </c>
      <c r="M561" t="s" s="10">
        <v>14</v>
      </c>
      <c r="N561" t="s" s="11">
        <v>14</v>
      </c>
      <c r="O561" t="s" s="8">
        <v>14</v>
      </c>
      <c r="P561" t="s" s="8">
        <v>14</v>
      </c>
      <c r="Q561" t="s" s="12">
        <v>14</v>
      </c>
      <c r="R561" t="s" s="12">
        <v>14</v>
      </c>
    </row>
    <row r="562" s="2" customFormat="1" ht="13.5" customHeight="1">
      <c r="B562" s="13"/>
      <c r="C562" t="s" s="9">
        <v>23</v>
      </c>
      <c r="D562" t="s" s="8">
        <v>263</v>
      </c>
      <c r="E562" t="s" s="9">
        <v>263</v>
      </c>
      <c r="F562" s="19">
        <v>5</v>
      </c>
      <c r="G562" t="s" s="11">
        <v>68</v>
      </c>
      <c r="H562" t="s" s="10">
        <v>68</v>
      </c>
      <c r="I562" t="s" s="11">
        <v>68</v>
      </c>
      <c r="J562" t="s" s="11">
        <v>20</v>
      </c>
      <c r="K562" t="s" s="16">
        <f>HYPERLINK("http://csr.bu.edu/ftp/asl/asllvd/demos/verify_start_end_handshape_annotations//test_auto_move//signs_mov/15683.mov","MOV")</f>
        <v>21</v>
      </c>
      <c r="L562" t="s" s="16">
        <f>HYPERLINK("http://csr.bu.edu/ftp/asl/asllvd/demos/verify_start_end_handshape_annotations//test_auto_move//signs_mov_separ_signers/Tyler_15683.mov","MOV")</f>
        <v>21</v>
      </c>
      <c r="M562" t="s" s="10">
        <v>47</v>
      </c>
      <c r="N562" s="17">
        <v>3</v>
      </c>
      <c r="O562" s="18">
        <v>4022</v>
      </c>
      <c r="P562" s="18">
        <v>4051</v>
      </c>
      <c r="Q562" t="s" s="16">
        <f>HYPERLINK("http://secrets.rutgers.edu:8080/data/asl-ftp/asllvd/demos/verify_start_end_handshape_annotations//test_auto_move//signs_mov/15683.mov","MOV")</f>
        <v>21</v>
      </c>
      <c r="R562" t="s" s="16">
        <f>HYPERLINK("http://secrets.rutgers.edu:8080/data/asl-ftp/asllvd/demos/verify_start_end_handshape_annotations//test_auto_move//signs_mov_separ_signers/Tyler_15683.mov","MOV")</f>
        <v>21</v>
      </c>
    </row>
    <row r="563" s="2" customFormat="1" ht="13.5" customHeight="1">
      <c r="B563" s="13"/>
      <c r="C563" t="s" s="9">
        <v>30</v>
      </c>
      <c r="D563" t="s" s="8">
        <v>263</v>
      </c>
      <c r="E563" t="s" s="9">
        <v>263</v>
      </c>
      <c r="F563" s="19">
        <v>5</v>
      </c>
      <c r="G563" t="s" s="11">
        <v>68</v>
      </c>
      <c r="H563" t="s" s="10">
        <v>68</v>
      </c>
      <c r="I563" t="s" s="11">
        <v>68</v>
      </c>
      <c r="J563" t="s" s="11">
        <v>20</v>
      </c>
      <c r="K563" s="15"/>
      <c r="L563" t="s" s="16">
        <f>HYPERLINK("http://csr.bu.edu/ftp/asl/asllvd/demos/verify_start_end_handshape_annotations//test_auto_move//signs_mov_separ_signers/Brady_15683.mov","MOV")</f>
        <v>21</v>
      </c>
      <c r="M563" t="s" s="10">
        <v>39</v>
      </c>
      <c r="N563" s="17">
        <v>50</v>
      </c>
      <c r="O563" s="18">
        <v>4552</v>
      </c>
      <c r="P563" s="18">
        <v>4579</v>
      </c>
      <c r="Q563" s="15"/>
      <c r="R563" t="s" s="16">
        <f>HYPERLINK("http://secrets.rutgers.edu:8080/data/asl-ftp/asllvd/demos/verify_start_end_handshape_annotations//test_auto_move//signs_mov_separ_signers/Brady_15683.mov","MOV")</f>
        <v>21</v>
      </c>
    </row>
    <row r="564" s="2" customFormat="1" ht="13.5" customHeight="1">
      <c r="B564" t="s" s="8">
        <v>264</v>
      </c>
      <c r="C564" t="s" s="9">
        <v>14</v>
      </c>
      <c r="D564" t="s" s="8">
        <v>14</v>
      </c>
      <c r="E564" t="s" s="9">
        <v>14</v>
      </c>
      <c r="F564" t="s" s="10">
        <v>14</v>
      </c>
      <c r="G564" t="s" s="11">
        <v>14</v>
      </c>
      <c r="H564" t="s" s="10">
        <v>14</v>
      </c>
      <c r="I564" t="s" s="11">
        <v>14</v>
      </c>
      <c r="J564" t="s" s="11">
        <v>14</v>
      </c>
      <c r="K564" t="s" s="12">
        <v>14</v>
      </c>
      <c r="L564" t="s" s="12">
        <v>14</v>
      </c>
      <c r="M564" t="s" s="10">
        <v>14</v>
      </c>
      <c r="N564" t="s" s="11">
        <v>14</v>
      </c>
      <c r="O564" t="s" s="8">
        <v>14</v>
      </c>
      <c r="P564" t="s" s="8">
        <v>14</v>
      </c>
      <c r="Q564" t="s" s="12">
        <v>14</v>
      </c>
      <c r="R564" t="s" s="12">
        <v>14</v>
      </c>
    </row>
    <row r="565" s="2" customFormat="1" ht="13.5" customHeight="1">
      <c r="B565" s="13"/>
      <c r="C565" t="s" s="9">
        <v>16</v>
      </c>
      <c r="D565" t="s" s="8">
        <v>264</v>
      </c>
      <c r="E565" t="s" s="9">
        <v>264</v>
      </c>
      <c r="F565" t="s" s="10">
        <v>68</v>
      </c>
      <c r="G565" t="s" s="11">
        <v>68</v>
      </c>
      <c r="H565" t="s" s="10">
        <v>68</v>
      </c>
      <c r="I565" t="s" s="11">
        <v>68</v>
      </c>
      <c r="J565" t="s" s="11">
        <v>20</v>
      </c>
      <c r="K565" s="15"/>
      <c r="L565" t="s" s="16">
        <f>HYPERLINK("http://csr.bu.edu/ftp/asl/asllvd/demos/verify_start_end_handshape_annotations//test_auto_move//signs_mov_separ_signers/Liz_15684.mov","MOV")</f>
        <v>21</v>
      </c>
      <c r="M565" t="s" s="10">
        <v>34</v>
      </c>
      <c r="N565" s="17">
        <v>52</v>
      </c>
      <c r="O565" s="18">
        <v>307</v>
      </c>
      <c r="P565" s="18">
        <v>347</v>
      </c>
      <c r="Q565" s="15"/>
      <c r="R565" t="s" s="16">
        <f>HYPERLINK("http://secrets.rutgers.edu:8080/data/asl-ftp/asllvd/demos/verify_start_end_handshape_annotations//test_auto_move//signs_mov_separ_signers/Liz_15684.mov","MOV")</f>
        <v>21</v>
      </c>
    </row>
    <row r="566" s="2" customFormat="1" ht="13.5" customHeight="1">
      <c r="B566" s="13"/>
      <c r="C566" t="s" s="9">
        <v>27</v>
      </c>
      <c r="D566" t="s" s="8">
        <v>264</v>
      </c>
      <c r="E566" t="s" s="9">
        <v>264</v>
      </c>
      <c r="F566" t="s" s="10">
        <v>68</v>
      </c>
      <c r="G566" t="s" s="11">
        <v>68</v>
      </c>
      <c r="H566" t="s" s="10">
        <v>68</v>
      </c>
      <c r="I566" t="s" s="11">
        <v>68</v>
      </c>
      <c r="J566" t="s" s="11">
        <v>20</v>
      </c>
      <c r="K566" t="s" s="16">
        <f>HYPERLINK("http://csr.bu.edu/ftp/asl/asllvd/demos/verify_start_end_handshape_annotations//test_auto_move//signs_mov/15684.mov","MOV")</f>
        <v>21</v>
      </c>
      <c r="L566" t="s" s="16">
        <f>HYPERLINK("http://csr.bu.edu/ftp/asl/asllvd/demos/verify_start_end_handshape_annotations//test_auto_move//signs_mov_separ_signers/Naomi_15684.mov","MOV")</f>
        <v>21</v>
      </c>
      <c r="M566" t="s" s="10">
        <v>29</v>
      </c>
      <c r="N566" s="17">
        <v>28</v>
      </c>
      <c r="O566" s="18">
        <v>1522</v>
      </c>
      <c r="P566" s="18">
        <v>1545</v>
      </c>
      <c r="Q566" t="s" s="16">
        <f>HYPERLINK("http://secrets.rutgers.edu:8080/data/asl-ftp/asllvd/demos/verify_start_end_handshape_annotations//test_auto_move//signs_mov/15684.mov","MOV")</f>
        <v>21</v>
      </c>
      <c r="R566" t="s" s="16">
        <f>HYPERLINK("http://secrets.rutgers.edu:8080/data/asl-ftp/asllvd/demos/verify_start_end_handshape_annotations//test_auto_move//signs_mov_separ_signers/Naomi_15684.mov","MOV")</f>
        <v>21</v>
      </c>
    </row>
    <row r="567" s="2" customFormat="1" ht="13.5" customHeight="1">
      <c r="B567" s="13"/>
      <c r="C567" t="s" s="9">
        <v>30</v>
      </c>
      <c r="D567" t="s" s="8">
        <v>264</v>
      </c>
      <c r="E567" t="s" s="9">
        <v>264</v>
      </c>
      <c r="F567" t="s" s="10">
        <v>68</v>
      </c>
      <c r="G567" t="s" s="11">
        <v>68</v>
      </c>
      <c r="H567" t="s" s="10">
        <v>68</v>
      </c>
      <c r="I567" t="s" s="11">
        <v>68</v>
      </c>
      <c r="J567" t="s" s="11">
        <v>20</v>
      </c>
      <c r="K567" s="15"/>
      <c r="L567" t="s" s="16">
        <f>HYPERLINK("http://csr.bu.edu/ftp/asl/asllvd/demos/verify_start_end_handshape_annotations//test_auto_move//signs_mov_separ_signers/Brady_15684.mov","MOV")</f>
        <v>21</v>
      </c>
      <c r="M567" t="s" s="10">
        <v>39</v>
      </c>
      <c r="N567" s="17">
        <v>50</v>
      </c>
      <c r="O567" s="18">
        <v>5429</v>
      </c>
      <c r="P567" s="18">
        <v>5459</v>
      </c>
      <c r="Q567" s="15"/>
      <c r="R567" t="s" s="16">
        <f>HYPERLINK("http://secrets.rutgers.edu:8080/data/asl-ftp/asllvd/demos/verify_start_end_handshape_annotations//test_auto_move//signs_mov_separ_signers/Brady_15684.mov","MOV")</f>
        <v>21</v>
      </c>
    </row>
    <row r="568" s="2" customFormat="1" ht="13.5" customHeight="1">
      <c r="B568" t="s" s="8">
        <v>52</v>
      </c>
      <c r="C568" t="s" s="9">
        <v>53</v>
      </c>
      <c r="D568" t="s" s="8">
        <v>53</v>
      </c>
      <c r="E568" t="s" s="9">
        <v>53</v>
      </c>
      <c r="F568" t="s" s="10">
        <v>53</v>
      </c>
      <c r="G568" t="s" s="11">
        <v>53</v>
      </c>
      <c r="H568" t="s" s="10">
        <v>53</v>
      </c>
      <c r="I568" t="s" s="11">
        <v>53</v>
      </c>
      <c r="J568" t="s" s="11">
        <v>53</v>
      </c>
      <c r="K568" t="s" s="12">
        <v>53</v>
      </c>
      <c r="L568" t="s" s="12">
        <v>53</v>
      </c>
      <c r="M568" t="s" s="10">
        <v>53</v>
      </c>
      <c r="N568" t="s" s="11">
        <v>53</v>
      </c>
      <c r="O568" t="s" s="8">
        <v>53</v>
      </c>
      <c r="P568" t="s" s="8">
        <v>53</v>
      </c>
      <c r="Q568" t="s" s="12">
        <v>53</v>
      </c>
      <c r="R568" t="s" s="12">
        <v>53</v>
      </c>
    </row>
    <row r="569" s="2" customFormat="1" ht="13.5" customHeight="1">
      <c r="B569" s="13"/>
      <c r="C569" t="s" s="9">
        <v>27</v>
      </c>
      <c r="D569" t="s" s="8">
        <v>264</v>
      </c>
      <c r="E569" t="s" s="9">
        <v>265</v>
      </c>
      <c r="F569" t="s" s="10">
        <v>72</v>
      </c>
      <c r="G569" t="s" s="11">
        <v>72</v>
      </c>
      <c r="H569" t="s" s="10">
        <v>68</v>
      </c>
      <c r="I569" t="s" s="11">
        <v>68</v>
      </c>
      <c r="J569" t="s" s="11">
        <v>20</v>
      </c>
      <c r="K569" t="s" s="16">
        <f>HYPERLINK("http://csr.bu.edu/ftp/asl/asllvd/demos/verify_start_end_handshape_annotations//test_auto_move//signs_mov/15685.mov","MOV")</f>
        <v>21</v>
      </c>
      <c r="L569" t="s" s="16">
        <f>HYPERLINK("http://csr.bu.edu/ftp/asl/asllvd/demos/verify_start_end_handshape_annotations//test_auto_move//signs_mov_separ_signers/Naomi_15685.mov","MOV")</f>
        <v>21</v>
      </c>
      <c r="M569" t="s" s="10">
        <v>48</v>
      </c>
      <c r="N569" s="17">
        <v>6</v>
      </c>
      <c r="O569" s="18">
        <v>3746</v>
      </c>
      <c r="P569" s="18">
        <v>3768</v>
      </c>
      <c r="Q569" t="s" s="16">
        <f>HYPERLINK("http://secrets.rutgers.edu:8080/data/asl-ftp/asllvd/demos/verify_start_end_handshape_annotations//test_auto_move//signs_mov/15685.mov","MOV")</f>
        <v>21</v>
      </c>
      <c r="R569" t="s" s="16">
        <f>HYPERLINK("http://secrets.rutgers.edu:8080/data/asl-ftp/asllvd/demos/verify_start_end_handshape_annotations//test_auto_move//signs_mov_separ_signers/Naomi_15685.mov","MOV")</f>
        <v>21</v>
      </c>
    </row>
    <row r="570" s="2" customFormat="1" ht="13.5" customHeight="1">
      <c r="B570" t="s" s="8">
        <v>266</v>
      </c>
      <c r="C570" t="s" s="9">
        <v>14</v>
      </c>
      <c r="D570" t="s" s="8">
        <v>14</v>
      </c>
      <c r="E570" t="s" s="9">
        <v>14</v>
      </c>
      <c r="F570" t="s" s="10">
        <v>14</v>
      </c>
      <c r="G570" t="s" s="11">
        <v>14</v>
      </c>
      <c r="H570" t="s" s="10">
        <v>14</v>
      </c>
      <c r="I570" t="s" s="11">
        <v>14</v>
      </c>
      <c r="J570" t="s" s="11">
        <v>14</v>
      </c>
      <c r="K570" t="s" s="12">
        <v>14</v>
      </c>
      <c r="L570" t="s" s="12">
        <v>14</v>
      </c>
      <c r="M570" t="s" s="10">
        <v>14</v>
      </c>
      <c r="N570" t="s" s="11">
        <v>14</v>
      </c>
      <c r="O570" t="s" s="8">
        <v>14</v>
      </c>
      <c r="P570" t="s" s="8">
        <v>14</v>
      </c>
      <c r="Q570" t="s" s="12">
        <v>14</v>
      </c>
      <c r="R570" t="s" s="12">
        <v>14</v>
      </c>
    </row>
    <row r="571" s="2" customFormat="1" ht="13.5" customHeight="1">
      <c r="B571" s="13"/>
      <c r="C571" t="s" s="9">
        <v>16</v>
      </c>
      <c r="D571" t="s" s="8">
        <v>266</v>
      </c>
      <c r="E571" t="s" s="9">
        <v>267</v>
      </c>
      <c r="F571" s="19">
        <v>1</v>
      </c>
      <c r="G571" s="17">
        <v>1</v>
      </c>
      <c r="H571" s="19">
        <v>1</v>
      </c>
      <c r="I571" s="17">
        <v>1</v>
      </c>
      <c r="J571" t="s" s="11">
        <v>20</v>
      </c>
      <c r="K571" s="15"/>
      <c r="L571" t="s" s="16">
        <f>HYPERLINK("http://csr.bu.edu/ftp/asl/asllvd/demos/verify_start_end_handshape_annotations//test_auto_move//signs_mov_separ_signers/Liz_116.mov","MOV")</f>
        <v>21</v>
      </c>
      <c r="M571" t="s" s="10">
        <v>36</v>
      </c>
      <c r="N571" s="17">
        <v>8</v>
      </c>
      <c r="O571" s="18">
        <v>3331</v>
      </c>
      <c r="P571" s="18">
        <v>3400</v>
      </c>
      <c r="Q571" s="15"/>
      <c r="R571" t="s" s="16">
        <f>HYPERLINK("http://secrets.rutgers.edu:8080/data/asl-ftp/asllvd/demos/verify_start_end_handshape_annotations//test_auto_move//signs_mov_separ_signers/Liz_116.mov","MOV")</f>
        <v>21</v>
      </c>
    </row>
    <row r="572" s="2" customFormat="1" ht="13.5" customHeight="1">
      <c r="B572" s="13"/>
      <c r="C572" t="s" s="9">
        <v>23</v>
      </c>
      <c r="D572" t="s" s="8">
        <v>266</v>
      </c>
      <c r="E572" t="s" s="9">
        <v>267</v>
      </c>
      <c r="F572" s="19">
        <v>1</v>
      </c>
      <c r="G572" s="17">
        <v>1</v>
      </c>
      <c r="H572" s="19">
        <v>1</v>
      </c>
      <c r="I572" s="17">
        <v>1</v>
      </c>
      <c r="J572" t="s" s="11">
        <v>20</v>
      </c>
      <c r="K572" s="15"/>
      <c r="L572" t="s" s="16">
        <f>HYPERLINK("http://csr.bu.edu/ftp/asl/asllvd/demos/verify_start_end_handshape_annotations//test_auto_move//signs_mov_separ_signers/Tyler_116.mov","MOV")</f>
        <v>21</v>
      </c>
      <c r="M572" t="s" s="10">
        <v>26</v>
      </c>
      <c r="N572" s="17">
        <v>13</v>
      </c>
      <c r="O572" s="18">
        <v>1920</v>
      </c>
      <c r="P572" s="18">
        <v>1962</v>
      </c>
      <c r="Q572" s="15"/>
      <c r="R572" t="s" s="16">
        <f>HYPERLINK("http://secrets.rutgers.edu:8080/data/asl-ftp/asllvd/demos/verify_start_end_handshape_annotations//test_auto_move//signs_mov_separ_signers/Tyler_116.mov","MOV")</f>
        <v>21</v>
      </c>
    </row>
    <row r="573" s="2" customFormat="1" ht="13.5" customHeight="1">
      <c r="B573" s="13"/>
      <c r="C573" t="s" s="9">
        <v>27</v>
      </c>
      <c r="D573" t="s" s="8">
        <v>266</v>
      </c>
      <c r="E573" t="s" s="9">
        <v>267</v>
      </c>
      <c r="F573" t="s" s="10">
        <v>268</v>
      </c>
      <c r="G573" s="17">
        <v>1</v>
      </c>
      <c r="H573" t="s" s="10">
        <v>268</v>
      </c>
      <c r="I573" s="17">
        <v>1</v>
      </c>
      <c r="J573" t="s" s="11">
        <v>20</v>
      </c>
      <c r="K573" s="15"/>
      <c r="L573" t="s" s="16">
        <f>HYPERLINK("http://csr.bu.edu/ftp/asl/asllvd/demos/verify_start_end_handshape_annotations//test_auto_move//signs_mov_separ_signers/Naomi_116.mov","MOV")</f>
        <v>21</v>
      </c>
      <c r="M573" t="s" s="10">
        <v>29</v>
      </c>
      <c r="N573" s="17">
        <v>13</v>
      </c>
      <c r="O573" s="18">
        <v>2201</v>
      </c>
      <c r="P573" s="18">
        <v>2246</v>
      </c>
      <c r="Q573" s="15"/>
      <c r="R573" t="s" s="16">
        <f>HYPERLINK("http://secrets.rutgers.edu:8080/data/asl-ftp/asllvd/demos/verify_start_end_handshape_annotations//test_auto_move//signs_mov_separ_signers/Naomi_116.mov","MOV")</f>
        <v>21</v>
      </c>
    </row>
    <row r="574" s="2" customFormat="1" ht="13.5" customHeight="1">
      <c r="B574" s="13"/>
      <c r="C574" t="s" s="9">
        <v>30</v>
      </c>
      <c r="D574" t="s" s="8">
        <v>266</v>
      </c>
      <c r="E574" t="s" s="9">
        <v>269</v>
      </c>
      <c r="F574" s="19">
        <v>1</v>
      </c>
      <c r="G574" s="17">
        <v>1</v>
      </c>
      <c r="H574" s="19">
        <v>1</v>
      </c>
      <c r="I574" s="17">
        <v>1</v>
      </c>
      <c r="J574" t="s" s="11">
        <v>20</v>
      </c>
      <c r="K574" t="s" s="16">
        <f>HYPERLINK("http://csr.bu.edu/ftp/asl/asllvd/demos/verify_start_end_handshape_annotations//test_auto_move//signs_mov/116_5899_merged.mov","MOV")</f>
        <v>21</v>
      </c>
      <c r="L574" t="s" s="16">
        <f>HYPERLINK("http://csr.bu.edu/ftp/asl/asllvd/demos/verify_start_end_handshape_annotations//test_auto_move//signs_mov_separ_signers/Brady_116.mov","MOV")</f>
        <v>21</v>
      </c>
      <c r="M574" t="s" s="10">
        <v>31</v>
      </c>
      <c r="N574" s="17">
        <v>12</v>
      </c>
      <c r="O574" s="18">
        <v>9999</v>
      </c>
      <c r="P574" s="18">
        <v>10033</v>
      </c>
      <c r="Q574" t="s" s="16">
        <f>HYPERLINK("http://secrets.rutgers.edu:8080/data/asl-ftp/asllvd/demos/verify_start_end_handshape_annotations//test_auto_move//signs_mov/116_5899_merged.mov","MOV")</f>
        <v>21</v>
      </c>
      <c r="R574" t="s" s="16">
        <f>HYPERLINK("http://secrets.rutgers.edu:8080/data/asl-ftp/asllvd/demos/verify_start_end_handshape_annotations//test_auto_move//signs_mov_separ_signers/Brady_116.mov","MOV")</f>
        <v>21</v>
      </c>
    </row>
    <row r="575" s="2" customFormat="1" ht="13.5" customHeight="1">
      <c r="B575" s="13"/>
      <c r="C575" t="s" s="9">
        <v>30</v>
      </c>
      <c r="D575" t="s" s="8">
        <v>266</v>
      </c>
      <c r="E575" t="s" s="9">
        <v>269</v>
      </c>
      <c r="F575" s="19">
        <v>1</v>
      </c>
      <c r="G575" s="17">
        <v>1</v>
      </c>
      <c r="H575" s="19">
        <v>1</v>
      </c>
      <c r="I575" s="17">
        <v>1</v>
      </c>
      <c r="J575" t="s" s="11">
        <v>20</v>
      </c>
      <c r="K575" s="15"/>
      <c r="L575" t="s" s="16">
        <f>HYPERLINK("http://csr.bu.edu/ftp/asl/asllvd/demos/verify_start_end_handshape_annotations//test_auto_move//signs_mov_separ_signers/Brady_5899.mov","MOV")</f>
        <v>21</v>
      </c>
      <c r="M575" t="s" s="10">
        <v>40</v>
      </c>
      <c r="N575" s="17">
        <v>53</v>
      </c>
      <c r="O575" s="18">
        <v>2355</v>
      </c>
      <c r="P575" s="18">
        <v>2383</v>
      </c>
      <c r="Q575" s="15"/>
      <c r="R575" t="s" s="16">
        <f>HYPERLINK("http://secrets.rutgers.edu:8080/data/asl-ftp/asllvd/demos/verify_start_end_handshape_annotations//test_auto_move//signs_mov_separ_signers/Brady_5899.mov","MOV")</f>
        <v>21</v>
      </c>
    </row>
    <row r="576" s="2" customFormat="1" ht="13.5" customHeight="1">
      <c r="B576" s="13"/>
      <c r="C576" t="s" s="9">
        <v>41</v>
      </c>
      <c r="D576" t="s" s="8">
        <v>266</v>
      </c>
      <c r="E576" t="s" s="9">
        <v>267</v>
      </c>
      <c r="F576" s="19">
        <v>1</v>
      </c>
      <c r="G576" s="17">
        <v>1</v>
      </c>
      <c r="H576" s="19">
        <v>1</v>
      </c>
      <c r="I576" s="17">
        <v>1</v>
      </c>
      <c r="J576" t="s" s="11">
        <v>20</v>
      </c>
      <c r="K576" s="15"/>
      <c r="L576" t="s" s="16">
        <f>HYPERLINK("http://csr.bu.edu/ftp/asl/asllvd/demos/verify_start_end_handshape_annotations//test_auto_move//signs_mov_separ_signers/Lana_116.mov","MOV")</f>
        <v>21</v>
      </c>
      <c r="M576" t="s" s="10">
        <v>42</v>
      </c>
      <c r="N576" s="17">
        <v>20</v>
      </c>
      <c r="O576" s="18">
        <v>562</v>
      </c>
      <c r="P576" s="18">
        <v>619</v>
      </c>
      <c r="Q576" s="15"/>
      <c r="R576" t="s" s="16">
        <f>HYPERLINK("http://secrets.rutgers.edu:8080/data/asl-ftp/asllvd/demos/verify_start_end_handshape_annotations//test_auto_move//signs_mov_separ_signers/Lana_116.mov","MOV")</f>
        <v>21</v>
      </c>
    </row>
    <row r="577" s="2" customFormat="1" ht="13.5" customHeight="1">
      <c r="B577" s="13"/>
      <c r="C577" t="s" s="9">
        <v>43</v>
      </c>
      <c r="D577" t="s" s="8">
        <v>266</v>
      </c>
      <c r="E577" t="s" s="9">
        <v>267</v>
      </c>
      <c r="F577" s="19">
        <v>1</v>
      </c>
      <c r="G577" s="17">
        <v>1</v>
      </c>
      <c r="H577" s="19">
        <v>1</v>
      </c>
      <c r="I577" s="17">
        <v>1</v>
      </c>
      <c r="J577" t="s" s="11">
        <v>20</v>
      </c>
      <c r="K577" s="15"/>
      <c r="L577" t="s" s="16">
        <f>HYPERLINK("http://csr.bu.edu/ftp/asl/asllvd/demos/verify_start_end_handshape_annotations//test_auto_move//signs_mov_separ_signers/Dana_116.mov","MOV")</f>
        <v>21</v>
      </c>
      <c r="M577" t="s" s="10">
        <v>44</v>
      </c>
      <c r="N577" s="17">
        <v>22</v>
      </c>
      <c r="O577" s="18">
        <v>426</v>
      </c>
      <c r="P577" s="18">
        <v>491</v>
      </c>
      <c r="Q577" s="15"/>
      <c r="R577" t="s" s="16">
        <f>HYPERLINK("http://secrets.rutgers.edu:8080/data/asl-ftp/asllvd/demos/verify_start_end_handshape_annotations//test_auto_move//signs_mov_separ_signers/Dana_116.mov","MOV")</f>
        <v>21</v>
      </c>
    </row>
    <row r="578" s="2" customFormat="1" ht="13.5" customHeight="1">
      <c r="B578" t="s" s="8">
        <v>270</v>
      </c>
      <c r="C578" t="s" s="9">
        <v>14</v>
      </c>
      <c r="D578" t="s" s="8">
        <v>14</v>
      </c>
      <c r="E578" t="s" s="9">
        <v>14</v>
      </c>
      <c r="F578" t="s" s="10">
        <v>14</v>
      </c>
      <c r="G578" t="s" s="11">
        <v>14</v>
      </c>
      <c r="H578" t="s" s="10">
        <v>14</v>
      </c>
      <c r="I578" t="s" s="11">
        <v>14</v>
      </c>
      <c r="J578" t="s" s="11">
        <v>14</v>
      </c>
      <c r="K578" t="s" s="12">
        <v>14</v>
      </c>
      <c r="L578" t="s" s="12">
        <v>14</v>
      </c>
      <c r="M578" t="s" s="10">
        <v>14</v>
      </c>
      <c r="N578" t="s" s="11">
        <v>14</v>
      </c>
      <c r="O578" t="s" s="8">
        <v>14</v>
      </c>
      <c r="P578" t="s" s="8">
        <v>14</v>
      </c>
      <c r="Q578" t="s" s="12">
        <v>14</v>
      </c>
      <c r="R578" t="s" s="12">
        <v>14</v>
      </c>
    </row>
    <row r="579" s="2" customFormat="1" ht="13.5" customHeight="1">
      <c r="B579" s="13"/>
      <c r="C579" t="s" s="9">
        <v>23</v>
      </c>
      <c r="D579" t="s" s="8">
        <v>270</v>
      </c>
      <c r="E579" t="s" s="9">
        <v>270</v>
      </c>
      <c r="F579" t="s" s="10">
        <v>68</v>
      </c>
      <c r="G579" t="s" s="11">
        <v>73</v>
      </c>
      <c r="H579" t="s" s="10">
        <v>220</v>
      </c>
      <c r="I579" t="s" s="11">
        <v>73</v>
      </c>
      <c r="J579" t="s" s="11">
        <v>20</v>
      </c>
      <c r="K579" t="s" s="16">
        <f>HYPERLINK("http://csr.bu.edu/ftp/asl/asllvd/demos/verify_start_end_handshape_annotations//test_auto_move//signs_mov/117.mov","MOV")</f>
        <v>21</v>
      </c>
      <c r="L579" t="s" s="16">
        <f>HYPERLINK("http://csr.bu.edu/ftp/asl/asllvd/demos/verify_start_end_handshape_annotations//test_auto_move//signs_mov_separ_signers/Tyler_117.mov","MOV")</f>
        <v>21</v>
      </c>
      <c r="M579" t="s" s="10">
        <v>26</v>
      </c>
      <c r="N579" s="17">
        <v>13</v>
      </c>
      <c r="O579" s="18">
        <v>2152</v>
      </c>
      <c r="P579" s="18">
        <v>2185</v>
      </c>
      <c r="Q579" t="s" s="16">
        <f>HYPERLINK("http://secrets.rutgers.edu:8080/data/asl-ftp/asllvd/demos/verify_start_end_handshape_annotations//test_auto_move//signs_mov/117.mov","MOV")</f>
        <v>21</v>
      </c>
      <c r="R579" t="s" s="16">
        <f>HYPERLINK("http://secrets.rutgers.edu:8080/data/asl-ftp/asllvd/demos/verify_start_end_handshape_annotations//test_auto_move//signs_mov_separ_signers/Tyler_117.mov","MOV")</f>
        <v>21</v>
      </c>
    </row>
    <row r="580" s="2" customFormat="1" ht="13.5" customHeight="1">
      <c r="B580" s="13"/>
      <c r="C580" t="s" s="9">
        <v>27</v>
      </c>
      <c r="D580" t="s" s="8">
        <v>270</v>
      </c>
      <c r="E580" t="s" s="9">
        <v>270</v>
      </c>
      <c r="F580" t="s" s="10">
        <v>68</v>
      </c>
      <c r="G580" t="s" s="11">
        <v>150</v>
      </c>
      <c r="H580" t="s" s="10">
        <v>220</v>
      </c>
      <c r="I580" t="s" s="11">
        <v>150</v>
      </c>
      <c r="J580" t="s" s="11">
        <v>20</v>
      </c>
      <c r="K580" s="15"/>
      <c r="L580" t="s" s="16">
        <f>HYPERLINK("http://csr.bu.edu/ftp/asl/asllvd/demos/verify_start_end_handshape_annotations//test_auto_move//signs_mov_separ_signers/Naomi_117.mov","MOV")</f>
        <v>21</v>
      </c>
      <c r="M580" t="s" s="10">
        <v>29</v>
      </c>
      <c r="N580" s="17">
        <v>13</v>
      </c>
      <c r="O580" s="18">
        <v>2566</v>
      </c>
      <c r="P580" s="18">
        <v>2592</v>
      </c>
      <c r="Q580" s="15"/>
      <c r="R580" t="s" s="16">
        <f>HYPERLINK("http://secrets.rutgers.edu:8080/data/asl-ftp/asllvd/demos/verify_start_end_handshape_annotations//test_auto_move//signs_mov_separ_signers/Naomi_117.mov","MOV")</f>
        <v>21</v>
      </c>
    </row>
    <row r="581" s="2" customFormat="1" ht="13.5" customHeight="1">
      <c r="B581" t="s" s="8">
        <v>271</v>
      </c>
      <c r="C581" t="s" s="9">
        <v>14</v>
      </c>
      <c r="D581" t="s" s="8">
        <v>14</v>
      </c>
      <c r="E581" t="s" s="9">
        <v>14</v>
      </c>
      <c r="F581" t="s" s="10">
        <v>14</v>
      </c>
      <c r="G581" t="s" s="11">
        <v>14</v>
      </c>
      <c r="H581" t="s" s="10">
        <v>14</v>
      </c>
      <c r="I581" t="s" s="11">
        <v>14</v>
      </c>
      <c r="J581" t="s" s="11">
        <v>14</v>
      </c>
      <c r="K581" t="s" s="12">
        <v>14</v>
      </c>
      <c r="L581" t="s" s="12">
        <v>14</v>
      </c>
      <c r="M581" t="s" s="10">
        <v>14</v>
      </c>
      <c r="N581" t="s" s="11">
        <v>14</v>
      </c>
      <c r="O581" t="s" s="8">
        <v>14</v>
      </c>
      <c r="P581" t="s" s="8">
        <v>14</v>
      </c>
      <c r="Q581" t="s" s="12">
        <v>14</v>
      </c>
      <c r="R581" t="s" s="12">
        <v>14</v>
      </c>
    </row>
    <row r="582" s="2" customFormat="1" ht="13.5" customHeight="1">
      <c r="B582" s="13"/>
      <c r="C582" t="s" s="9">
        <v>16</v>
      </c>
      <c r="D582" t="s" s="8">
        <v>271</v>
      </c>
      <c r="E582" t="s" s="9">
        <v>271</v>
      </c>
      <c r="F582" s="19">
        <v>10</v>
      </c>
      <c r="G582" t="s" s="11">
        <v>73</v>
      </c>
      <c r="H582" s="19">
        <v>10</v>
      </c>
      <c r="I582" t="s" s="11">
        <v>73</v>
      </c>
      <c r="J582" t="s" s="11">
        <v>20</v>
      </c>
      <c r="K582" t="s" s="16">
        <f>HYPERLINK("http://csr.bu.edu/ftp/asl/asllvd/demos/verify_start_end_handshape_annotations//test_auto_move//signs_mov/5092.mov","MOV")</f>
        <v>21</v>
      </c>
      <c r="L582" t="s" s="16">
        <f>HYPERLINK("http://csr.bu.edu/ftp/asl/asllvd/demos/verify_start_end_handshape_annotations//test_auto_move//signs_mov_separ_signers/Liz_5092.mov","MOV")</f>
        <v>21</v>
      </c>
      <c r="M582" t="s" s="10">
        <v>36</v>
      </c>
      <c r="N582" s="17">
        <v>25</v>
      </c>
      <c r="O582" s="18">
        <v>45</v>
      </c>
      <c r="P582" s="18">
        <v>80</v>
      </c>
      <c r="Q582" t="s" s="16">
        <f>HYPERLINK("http://secrets.rutgers.edu:8080/data/asl-ftp/asllvd/demos/verify_start_end_handshape_annotations//test_auto_move//signs_mov/5092.mov","MOV")</f>
        <v>21</v>
      </c>
      <c r="R582" t="s" s="16">
        <f>HYPERLINK("http://secrets.rutgers.edu:8080/data/asl-ftp/asllvd/demos/verify_start_end_handshape_annotations//test_auto_move//signs_mov_separ_signers/Liz_5092.mov","MOV")</f>
        <v>21</v>
      </c>
    </row>
    <row r="583" s="2" customFormat="1" ht="13.5" customHeight="1">
      <c r="B583" s="13"/>
      <c r="C583" t="s" s="9">
        <v>30</v>
      </c>
      <c r="D583" t="s" s="8">
        <v>271</v>
      </c>
      <c r="E583" t="s" s="9">
        <v>271</v>
      </c>
      <c r="F583" s="19">
        <v>10</v>
      </c>
      <c r="G583" t="s" s="11">
        <v>73</v>
      </c>
      <c r="H583" s="19">
        <v>10</v>
      </c>
      <c r="I583" t="s" s="11">
        <v>73</v>
      </c>
      <c r="J583" t="s" s="11">
        <v>20</v>
      </c>
      <c r="K583" s="15"/>
      <c r="L583" t="s" s="16">
        <f>HYPERLINK("http://csr.bu.edu/ftp/asl/asllvd/demos/verify_start_end_handshape_annotations//test_auto_move//signs_mov_separ_signers/Brady_5092.mov","MOV")</f>
        <v>21</v>
      </c>
      <c r="M583" t="s" s="10">
        <v>40</v>
      </c>
      <c r="N583" s="17">
        <v>75</v>
      </c>
      <c r="O583" s="18">
        <v>1179</v>
      </c>
      <c r="P583" s="18">
        <v>1197</v>
      </c>
      <c r="Q583" s="15"/>
      <c r="R583" t="s" s="16">
        <f>HYPERLINK("http://secrets.rutgers.edu:8080/data/asl-ftp/asllvd/demos/verify_start_end_handshape_annotations//test_auto_move//signs_mov_separ_signers/Brady_5092.mov","MOV")</f>
        <v>21</v>
      </c>
    </row>
    <row r="584" s="2" customFormat="1" ht="13.5" customHeight="1">
      <c r="B584" t="s" s="8">
        <v>272</v>
      </c>
      <c r="C584" t="s" s="9">
        <v>14</v>
      </c>
      <c r="D584" t="s" s="8">
        <v>14</v>
      </c>
      <c r="E584" t="s" s="9">
        <v>14</v>
      </c>
      <c r="F584" t="s" s="10">
        <v>14</v>
      </c>
      <c r="G584" t="s" s="11">
        <v>14</v>
      </c>
      <c r="H584" t="s" s="10">
        <v>14</v>
      </c>
      <c r="I584" t="s" s="11">
        <v>14</v>
      </c>
      <c r="J584" t="s" s="11">
        <v>14</v>
      </c>
      <c r="K584" t="s" s="12">
        <v>14</v>
      </c>
      <c r="L584" t="s" s="12">
        <v>14</v>
      </c>
      <c r="M584" t="s" s="10">
        <v>14</v>
      </c>
      <c r="N584" t="s" s="11">
        <v>14</v>
      </c>
      <c r="O584" t="s" s="8">
        <v>14</v>
      </c>
      <c r="P584" t="s" s="8">
        <v>14</v>
      </c>
      <c r="Q584" t="s" s="12">
        <v>14</v>
      </c>
      <c r="R584" t="s" s="12">
        <v>14</v>
      </c>
    </row>
    <row r="585" s="2" customFormat="1" ht="13.5" customHeight="1">
      <c r="B585" s="13"/>
      <c r="C585" t="s" s="9">
        <v>16</v>
      </c>
      <c r="D585" t="s" s="8">
        <v>272</v>
      </c>
      <c r="E585" t="s" s="9">
        <v>272</v>
      </c>
      <c r="F585" t="s" s="10">
        <v>68</v>
      </c>
      <c r="G585" t="s" s="11">
        <v>150</v>
      </c>
      <c r="H585" t="s" s="10">
        <v>68</v>
      </c>
      <c r="I585" t="s" s="11">
        <v>150</v>
      </c>
      <c r="J585" t="s" s="11">
        <v>20</v>
      </c>
      <c r="K585" t="s" s="16">
        <f>HYPERLINK("http://csr.bu.edu/ftp/asl/asllvd/demos/verify_start_end_handshape_annotations//test_auto_move//signs_mov/16149.mov","MOV")</f>
        <v>21</v>
      </c>
      <c r="L585" t="s" s="16">
        <f>HYPERLINK("http://csr.bu.edu/ftp/asl/asllvd/demos/verify_start_end_handshape_annotations//test_auto_move//signs_mov_separ_signers/Liz_16149.mov","MOV")</f>
        <v>21</v>
      </c>
      <c r="M585" t="s" s="10">
        <v>22</v>
      </c>
      <c r="N585" s="17">
        <v>20</v>
      </c>
      <c r="O585" s="18">
        <v>595</v>
      </c>
      <c r="P585" s="18">
        <v>636</v>
      </c>
      <c r="Q585" t="s" s="16">
        <f>HYPERLINK("http://secrets.rutgers.edu:8080/data/asl-ftp/asllvd/demos/verify_start_end_handshape_annotations//test_auto_move//signs_mov/16149.mov","MOV")</f>
        <v>21</v>
      </c>
      <c r="R585" t="s" s="16">
        <f>HYPERLINK("http://secrets.rutgers.edu:8080/data/asl-ftp/asllvd/demos/verify_start_end_handshape_annotations//test_auto_move//signs_mov_separ_signers/Liz_16149.mov","MOV")</f>
        <v>21</v>
      </c>
    </row>
    <row r="586" s="2" customFormat="1" ht="13.5" customHeight="1">
      <c r="B586" t="s" s="8">
        <v>273</v>
      </c>
      <c r="C586" t="s" s="9">
        <v>14</v>
      </c>
      <c r="D586" t="s" s="8">
        <v>14</v>
      </c>
      <c r="E586" t="s" s="9">
        <v>14</v>
      </c>
      <c r="F586" t="s" s="10">
        <v>14</v>
      </c>
      <c r="G586" t="s" s="11">
        <v>14</v>
      </c>
      <c r="H586" t="s" s="10">
        <v>14</v>
      </c>
      <c r="I586" t="s" s="11">
        <v>14</v>
      </c>
      <c r="J586" t="s" s="11">
        <v>14</v>
      </c>
      <c r="K586" t="s" s="12">
        <v>14</v>
      </c>
      <c r="L586" t="s" s="12">
        <v>14</v>
      </c>
      <c r="M586" t="s" s="10">
        <v>14</v>
      </c>
      <c r="N586" t="s" s="11">
        <v>14</v>
      </c>
      <c r="O586" t="s" s="8">
        <v>14</v>
      </c>
      <c r="P586" t="s" s="8">
        <v>14</v>
      </c>
      <c r="Q586" t="s" s="12">
        <v>14</v>
      </c>
      <c r="R586" t="s" s="12">
        <v>14</v>
      </c>
    </row>
    <row r="587" s="2" customFormat="1" ht="13.5" customHeight="1">
      <c r="B587" s="13"/>
      <c r="C587" t="s" s="9">
        <v>30</v>
      </c>
      <c r="D587" t="s" s="8">
        <v>273</v>
      </c>
      <c r="E587" t="s" s="9">
        <v>273</v>
      </c>
      <c r="F587" t="s" s="10">
        <v>68</v>
      </c>
      <c r="G587" t="s" s="11">
        <v>73</v>
      </c>
      <c r="H587" t="s" s="10">
        <v>68</v>
      </c>
      <c r="I587" t="s" s="11">
        <v>73</v>
      </c>
      <c r="J587" t="s" s="11">
        <v>20</v>
      </c>
      <c r="K587" t="s" s="16">
        <f>HYPERLINK("http://csr.bu.edu/ftp/asl/asllvd/demos/verify_start_end_handshape_annotations//test_auto_move//signs_mov/16237.mov","MOV")</f>
        <v>21</v>
      </c>
      <c r="L587" t="s" s="16">
        <f>HYPERLINK("http://csr.bu.edu/ftp/asl/asllvd/demos/verify_start_end_handshape_annotations//test_auto_move//signs_mov_separ_signers/Brady_16237.mov","MOV")</f>
        <v>21</v>
      </c>
      <c r="M587" t="s" s="10">
        <v>31</v>
      </c>
      <c r="N587" s="17">
        <v>12</v>
      </c>
      <c r="O587" s="18">
        <v>10278</v>
      </c>
      <c r="P587" s="18">
        <v>10300</v>
      </c>
      <c r="Q587" t="s" s="16">
        <f>HYPERLINK("http://secrets.rutgers.edu:8080/data/asl-ftp/asllvd/demos/verify_start_end_handshape_annotations//test_auto_move//signs_mov/16237.mov","MOV")</f>
        <v>21</v>
      </c>
      <c r="R587" t="s" s="16">
        <f>HYPERLINK("http://secrets.rutgers.edu:8080/data/asl-ftp/asllvd/demos/verify_start_end_handshape_annotations//test_auto_move//signs_mov_separ_signers/Brady_16237.mov","MOV")</f>
        <v>21</v>
      </c>
    </row>
    <row r="588" s="2" customFormat="1" ht="13.5" customHeight="1">
      <c r="B588" t="s" s="8">
        <v>274</v>
      </c>
      <c r="C588" t="s" s="9">
        <v>14</v>
      </c>
      <c r="D588" t="s" s="8">
        <v>14</v>
      </c>
      <c r="E588" t="s" s="9">
        <v>14</v>
      </c>
      <c r="F588" t="s" s="10">
        <v>14</v>
      </c>
      <c r="G588" t="s" s="11">
        <v>14</v>
      </c>
      <c r="H588" t="s" s="10">
        <v>14</v>
      </c>
      <c r="I588" t="s" s="11">
        <v>14</v>
      </c>
      <c r="J588" t="s" s="11">
        <v>14</v>
      </c>
      <c r="K588" t="s" s="12">
        <v>14</v>
      </c>
      <c r="L588" t="s" s="12">
        <v>14</v>
      </c>
      <c r="M588" t="s" s="10">
        <v>14</v>
      </c>
      <c r="N588" t="s" s="11">
        <v>14</v>
      </c>
      <c r="O588" t="s" s="8">
        <v>14</v>
      </c>
      <c r="P588" t="s" s="8">
        <v>14</v>
      </c>
      <c r="Q588" t="s" s="12">
        <v>14</v>
      </c>
      <c r="R588" t="s" s="12">
        <v>14</v>
      </c>
    </row>
    <row r="589" s="2" customFormat="1" ht="13.5" customHeight="1">
      <c r="B589" s="13"/>
      <c r="C589" t="s" s="9">
        <v>27</v>
      </c>
      <c r="D589" t="s" s="8">
        <v>274</v>
      </c>
      <c r="E589" t="s" s="9">
        <v>274</v>
      </c>
      <c r="F589" t="s" s="10">
        <v>63</v>
      </c>
      <c r="G589" t="s" s="11">
        <v>68</v>
      </c>
      <c r="H589" t="s" s="10">
        <v>73</v>
      </c>
      <c r="I589" t="s" s="11">
        <v>68</v>
      </c>
      <c r="J589" t="s" s="11">
        <v>20</v>
      </c>
      <c r="K589" t="s" s="16">
        <f>HYPERLINK("http://csr.bu.edu/ftp/asl/asllvd/demos/verify_start_end_handshape_annotations//test_auto_move//signs_mov/120.mov","MOV")</f>
        <v>21</v>
      </c>
      <c r="L589" t="s" s="16">
        <f>HYPERLINK("http://csr.bu.edu/ftp/asl/asllvd/demos/verify_start_end_handshape_annotations//test_auto_move//signs_mov_separ_signers/Naomi_120.mov","MOV")</f>
        <v>21</v>
      </c>
      <c r="M589" t="s" s="10">
        <v>29</v>
      </c>
      <c r="N589" s="17">
        <v>13</v>
      </c>
      <c r="O589" s="18">
        <v>3895</v>
      </c>
      <c r="P589" s="18">
        <v>3940</v>
      </c>
      <c r="Q589" t="s" s="16">
        <f>HYPERLINK("http://secrets.rutgers.edu:8080/data/asl-ftp/asllvd/demos/verify_start_end_handshape_annotations//test_auto_move//signs_mov/120.mov","MOV")</f>
        <v>21</v>
      </c>
      <c r="R589" t="s" s="16">
        <f>HYPERLINK("http://secrets.rutgers.edu:8080/data/asl-ftp/asllvd/demos/verify_start_end_handshape_annotations//test_auto_move//signs_mov_separ_signers/Naomi_120.mov","MOV")</f>
        <v>21</v>
      </c>
    </row>
    <row r="590" s="2" customFormat="1" ht="13.5" customHeight="1">
      <c r="B590" t="s" s="8">
        <v>52</v>
      </c>
      <c r="C590" t="s" s="9">
        <v>53</v>
      </c>
      <c r="D590" t="s" s="8">
        <v>53</v>
      </c>
      <c r="E590" t="s" s="9">
        <v>53</v>
      </c>
      <c r="F590" t="s" s="10">
        <v>53</v>
      </c>
      <c r="G590" t="s" s="11">
        <v>53</v>
      </c>
      <c r="H590" t="s" s="10">
        <v>53</v>
      </c>
      <c r="I590" t="s" s="11">
        <v>53</v>
      </c>
      <c r="J590" t="s" s="11">
        <v>53</v>
      </c>
      <c r="K590" t="s" s="12">
        <v>53</v>
      </c>
      <c r="L590" t="s" s="12">
        <v>53</v>
      </c>
      <c r="M590" t="s" s="10">
        <v>53</v>
      </c>
      <c r="N590" t="s" s="11">
        <v>53</v>
      </c>
      <c r="O590" t="s" s="8">
        <v>53</v>
      </c>
      <c r="P590" t="s" s="8">
        <v>53</v>
      </c>
      <c r="Q590" t="s" s="12">
        <v>53</v>
      </c>
      <c r="R590" t="s" s="12">
        <v>53</v>
      </c>
    </row>
    <row r="591" s="2" customFormat="1" ht="13.5" customHeight="1">
      <c r="B591" s="13"/>
      <c r="C591" t="s" s="9">
        <v>16</v>
      </c>
      <c r="D591" t="s" s="8">
        <v>274</v>
      </c>
      <c r="E591" t="s" s="9">
        <v>275</v>
      </c>
      <c r="F591" t="s" s="10">
        <v>63</v>
      </c>
      <c r="G591" t="s" s="11">
        <v>68</v>
      </c>
      <c r="H591" t="s" s="10">
        <v>240</v>
      </c>
      <c r="I591" t="s" s="11">
        <v>68</v>
      </c>
      <c r="J591" t="s" s="11">
        <v>20</v>
      </c>
      <c r="K591" t="s" s="16">
        <f>HYPERLINK("http://csr.bu.edu/ftp/asl/asllvd/demos/verify_start_end_handshape_annotations//test_auto_move//signs_mov/5387.mov","MOV")</f>
        <v>21</v>
      </c>
      <c r="L591" t="s" s="16">
        <f>HYPERLINK("http://csr.bu.edu/ftp/asl/asllvd/demos/verify_start_end_handshape_annotations//test_auto_move//signs_mov_separ_signers/Liz_5387.mov","MOV")</f>
        <v>21</v>
      </c>
      <c r="M591" t="s" s="10">
        <v>22</v>
      </c>
      <c r="N591" s="17">
        <v>20</v>
      </c>
      <c r="O591" s="18">
        <v>1590</v>
      </c>
      <c r="P591" s="18">
        <v>1635</v>
      </c>
      <c r="Q591" t="s" s="16">
        <f>HYPERLINK("http://secrets.rutgers.edu:8080/data/asl-ftp/asllvd/demos/verify_start_end_handshape_annotations//test_auto_move//signs_mov/5387.mov","MOV")</f>
        <v>21</v>
      </c>
      <c r="R591" t="s" s="16">
        <f>HYPERLINK("http://secrets.rutgers.edu:8080/data/asl-ftp/asllvd/demos/verify_start_end_handshape_annotations//test_auto_move//signs_mov_separ_signers/Liz_5387.mov","MOV")</f>
        <v>21</v>
      </c>
    </row>
    <row r="592" s="2" customFormat="1" ht="13.5" customHeight="1">
      <c r="B592" t="s" s="8">
        <v>274</v>
      </c>
      <c r="C592" t="s" s="9">
        <v>14</v>
      </c>
      <c r="D592" t="s" s="8">
        <v>14</v>
      </c>
      <c r="E592" t="s" s="9">
        <v>14</v>
      </c>
      <c r="F592" t="s" s="10">
        <v>14</v>
      </c>
      <c r="G592" t="s" s="11">
        <v>14</v>
      </c>
      <c r="H592" t="s" s="10">
        <v>14</v>
      </c>
      <c r="I592" t="s" s="11">
        <v>14</v>
      </c>
      <c r="J592" t="s" s="11">
        <v>14</v>
      </c>
      <c r="K592" t="s" s="12">
        <v>14</v>
      </c>
      <c r="L592" t="s" s="12">
        <v>14</v>
      </c>
      <c r="M592" t="s" s="10">
        <v>14</v>
      </c>
      <c r="N592" t="s" s="11">
        <v>14</v>
      </c>
      <c r="O592" t="s" s="8">
        <v>14</v>
      </c>
      <c r="P592" t="s" s="8">
        <v>14</v>
      </c>
      <c r="Q592" t="s" s="12">
        <v>14</v>
      </c>
      <c r="R592" t="s" s="12">
        <v>14</v>
      </c>
    </row>
    <row r="593" s="2" customFormat="1" ht="27.75" customHeight="1">
      <c r="B593" s="13"/>
      <c r="C593" t="s" s="9">
        <v>30</v>
      </c>
      <c r="D593" t="s" s="8">
        <v>276</v>
      </c>
      <c r="E593" t="s" s="9">
        <v>276</v>
      </c>
      <c r="F593" t="s" s="10">
        <v>277</v>
      </c>
      <c r="G593" t="s" s="11">
        <v>277</v>
      </c>
      <c r="H593" s="19">
        <v>4</v>
      </c>
      <c r="I593" s="17">
        <v>4</v>
      </c>
      <c r="J593" t="s" s="11">
        <v>20</v>
      </c>
      <c r="K593" t="s" s="16">
        <f>HYPERLINK("http://csr.bu.edu/ftp/asl/asllvd/demos/verify_start_end_handshape_annotations//test_auto_move//signs_mov/5388.mov","MOV")</f>
        <v>21</v>
      </c>
      <c r="L593" t="s" s="16">
        <f>HYPERLINK("http://csr.bu.edu/ftp/asl/asllvd/demos/verify_start_end_handshape_annotations//test_auto_move//signs_mov_separ_signers/Brady_5388.mov","MOV")</f>
        <v>21</v>
      </c>
      <c r="M593" t="s" s="10">
        <v>31</v>
      </c>
      <c r="N593" s="17">
        <v>12</v>
      </c>
      <c r="O593" s="18">
        <v>11186</v>
      </c>
      <c r="P593" s="18">
        <v>11210</v>
      </c>
      <c r="Q593" t="s" s="16">
        <f>HYPERLINK("http://secrets.rutgers.edu:8080/data/asl-ftp/asllvd/demos/verify_start_end_handshape_annotations//test_auto_move//signs_mov/5388.mov","MOV")</f>
        <v>21</v>
      </c>
      <c r="R593" t="s" s="16">
        <f>HYPERLINK("http://secrets.rutgers.edu:8080/data/asl-ftp/asllvd/demos/verify_start_end_handshape_annotations//test_auto_move//signs_mov_separ_signers/Brady_5388.mov","MOV")</f>
        <v>21</v>
      </c>
    </row>
    <row r="594" s="2" customFormat="1" ht="13.5" customHeight="1">
      <c r="B594" t="s" s="8">
        <v>274</v>
      </c>
      <c r="C594" t="s" s="9">
        <v>14</v>
      </c>
      <c r="D594" t="s" s="8">
        <v>14</v>
      </c>
      <c r="E594" t="s" s="9">
        <v>14</v>
      </c>
      <c r="F594" t="s" s="10">
        <v>14</v>
      </c>
      <c r="G594" t="s" s="11">
        <v>14</v>
      </c>
      <c r="H594" t="s" s="10">
        <v>14</v>
      </c>
      <c r="I594" t="s" s="11">
        <v>14</v>
      </c>
      <c r="J594" t="s" s="11">
        <v>14</v>
      </c>
      <c r="K594" t="s" s="12">
        <v>14</v>
      </c>
      <c r="L594" t="s" s="12">
        <v>14</v>
      </c>
      <c r="M594" t="s" s="10">
        <v>14</v>
      </c>
      <c r="N594" t="s" s="11">
        <v>14</v>
      </c>
      <c r="O594" t="s" s="8">
        <v>14</v>
      </c>
      <c r="P594" t="s" s="8">
        <v>14</v>
      </c>
      <c r="Q594" t="s" s="12">
        <v>14</v>
      </c>
      <c r="R594" t="s" s="12">
        <v>14</v>
      </c>
    </row>
    <row r="595" s="2" customFormat="1" ht="13.5" customHeight="1">
      <c r="B595" s="13"/>
      <c r="C595" t="s" s="9">
        <v>23</v>
      </c>
      <c r="D595" t="s" s="8">
        <v>278</v>
      </c>
      <c r="E595" t="s" s="9">
        <v>278</v>
      </c>
      <c r="F595" t="s" s="10">
        <v>205</v>
      </c>
      <c r="G595" t="s" s="11">
        <v>68</v>
      </c>
      <c r="H595" s="19">
        <v>4</v>
      </c>
      <c r="I595" t="s" s="11">
        <v>68</v>
      </c>
      <c r="J595" t="s" s="11">
        <v>20</v>
      </c>
      <c r="K595" t="s" s="16">
        <f>HYPERLINK("http://csr.bu.edu/ftp/asl/asllvd/demos/verify_start_end_handshape_annotations//test_auto_move//signs_mov/5389.mov","MOV")</f>
        <v>21</v>
      </c>
      <c r="L595" t="s" s="16">
        <f>HYPERLINK("http://csr.bu.edu/ftp/asl/asllvd/demos/verify_start_end_handshape_annotations//test_auto_move//signs_mov_separ_signers/Tyler_5389.mov","MOV")</f>
        <v>21</v>
      </c>
      <c r="M595" t="s" s="10">
        <v>26</v>
      </c>
      <c r="N595" s="17">
        <v>13</v>
      </c>
      <c r="O595" s="18">
        <v>3036</v>
      </c>
      <c r="P595" s="18">
        <v>3067</v>
      </c>
      <c r="Q595" t="s" s="16">
        <f>HYPERLINK("http://secrets.rutgers.edu:8080/data/asl-ftp/asllvd/demos/verify_start_end_handshape_annotations//test_auto_move//signs_mov/5389.mov","MOV")</f>
        <v>21</v>
      </c>
      <c r="R595" t="s" s="16">
        <f>HYPERLINK("http://secrets.rutgers.edu:8080/data/asl-ftp/asllvd/demos/verify_start_end_handshape_annotations//test_auto_move//signs_mov_separ_signers/Tyler_5389.mov","MOV")</f>
        <v>21</v>
      </c>
    </row>
    <row r="596" s="2" customFormat="1" ht="13.5" customHeight="1">
      <c r="B596" t="s" s="8">
        <v>279</v>
      </c>
      <c r="C596" t="s" s="9">
        <v>14</v>
      </c>
      <c r="D596" t="s" s="8">
        <v>14</v>
      </c>
      <c r="E596" t="s" s="9">
        <v>14</v>
      </c>
      <c r="F596" t="s" s="10">
        <v>14</v>
      </c>
      <c r="G596" t="s" s="11">
        <v>14</v>
      </c>
      <c r="H596" t="s" s="10">
        <v>14</v>
      </c>
      <c r="I596" t="s" s="11">
        <v>14</v>
      </c>
      <c r="J596" t="s" s="11">
        <v>14</v>
      </c>
      <c r="K596" t="s" s="12">
        <v>14</v>
      </c>
      <c r="L596" t="s" s="12">
        <v>14</v>
      </c>
      <c r="M596" t="s" s="10">
        <v>14</v>
      </c>
      <c r="N596" t="s" s="11">
        <v>14</v>
      </c>
      <c r="O596" t="s" s="8">
        <v>14</v>
      </c>
      <c r="P596" t="s" s="8">
        <v>14</v>
      </c>
      <c r="Q596" t="s" s="12">
        <v>14</v>
      </c>
      <c r="R596" t="s" s="12">
        <v>14</v>
      </c>
    </row>
    <row r="597" s="2" customFormat="1" ht="13.5" customHeight="1">
      <c r="B597" s="13"/>
      <c r="C597" t="s" s="9">
        <v>16</v>
      </c>
      <c r="D597" t="s" s="8">
        <v>279</v>
      </c>
      <c r="E597" t="s" s="9">
        <v>280</v>
      </c>
      <c r="F597" t="s" s="10">
        <v>117</v>
      </c>
      <c r="G597" t="s" s="11">
        <v>117</v>
      </c>
      <c r="H597" t="s" s="10">
        <v>117</v>
      </c>
      <c r="I597" t="s" s="11">
        <v>117</v>
      </c>
      <c r="J597" t="s" s="11">
        <v>20</v>
      </c>
      <c r="K597" s="15"/>
      <c r="L597" t="s" s="16">
        <f>HYPERLINK("http://csr.bu.edu/ftp/asl/asllvd/demos/verify_start_end_handshape_annotations//test_auto_move//signs_mov_separ_signers/Liz_122.mov","MOV")</f>
        <v>21</v>
      </c>
      <c r="M597" t="s" s="10">
        <v>22</v>
      </c>
      <c r="N597" s="17">
        <v>21</v>
      </c>
      <c r="O597" s="18">
        <v>246</v>
      </c>
      <c r="P597" s="18">
        <v>290</v>
      </c>
      <c r="Q597" s="15"/>
      <c r="R597" t="s" s="16">
        <f>HYPERLINK("http://secrets.rutgers.edu:8080/data/asl-ftp/asllvd/demos/verify_start_end_handshape_annotations//test_auto_move//signs_mov_separ_signers/Liz_122.mov","MOV")</f>
        <v>21</v>
      </c>
    </row>
    <row r="598" s="2" customFormat="1" ht="13.5" customHeight="1">
      <c r="B598" s="13"/>
      <c r="C598" t="s" s="9">
        <v>16</v>
      </c>
      <c r="D598" t="s" s="8">
        <v>279</v>
      </c>
      <c r="E598" t="s" s="9">
        <v>281</v>
      </c>
      <c r="F598" t="s" s="10">
        <v>63</v>
      </c>
      <c r="G598" s="17">
        <v>10</v>
      </c>
      <c r="H598" t="s" s="10">
        <v>63</v>
      </c>
      <c r="I598" s="17">
        <v>10</v>
      </c>
      <c r="J598" t="s" s="11">
        <v>20</v>
      </c>
      <c r="K598" s="15"/>
      <c r="L598" t="s" s="16">
        <f>HYPERLINK("http://csr.bu.edu/ftp/asl/asllvd/demos/verify_start_end_handshape_annotations//test_auto_move//signs_mov_separ_signers/Liz_3650.mov","MOV")</f>
        <v>21</v>
      </c>
      <c r="M598" t="s" s="10">
        <v>34</v>
      </c>
      <c r="N598" s="17">
        <v>13</v>
      </c>
      <c r="O598" s="18">
        <v>2030</v>
      </c>
      <c r="P598" s="18">
        <v>2095</v>
      </c>
      <c r="Q598" s="15"/>
      <c r="R598" t="s" s="16">
        <f>HYPERLINK("http://secrets.rutgers.edu:8080/data/asl-ftp/asllvd/demos/verify_start_end_handshape_annotations//test_auto_move//signs_mov_separ_signers/Liz_3650.mov","MOV")</f>
        <v>21</v>
      </c>
    </row>
    <row r="599" s="2" customFormat="1" ht="13.5" customHeight="1">
      <c r="B599" s="13"/>
      <c r="C599" t="s" s="9">
        <v>16</v>
      </c>
      <c r="D599" t="s" s="8">
        <v>279</v>
      </c>
      <c r="E599" t="s" s="9">
        <v>280</v>
      </c>
      <c r="F599" t="s" s="10">
        <v>72</v>
      </c>
      <c r="G599" t="s" s="11">
        <v>75</v>
      </c>
      <c r="H599" t="s" s="10">
        <v>72</v>
      </c>
      <c r="I599" t="s" s="11">
        <v>75</v>
      </c>
      <c r="J599" t="s" s="11">
        <v>20</v>
      </c>
      <c r="K599" s="15"/>
      <c r="L599" t="s" s="16">
        <f>HYPERLINK("http://csr.bu.edu/ftp/asl/asllvd/demos/verify_start_end_handshape_annotations//test_auto_move//signs_mov_separ_signers/Liz_3651.mov","MOV")</f>
        <v>21</v>
      </c>
      <c r="M599" t="s" s="10">
        <v>34</v>
      </c>
      <c r="N599" s="17">
        <v>13</v>
      </c>
      <c r="O599" s="18">
        <v>2440</v>
      </c>
      <c r="P599" s="18">
        <v>2521</v>
      </c>
      <c r="Q599" s="15"/>
      <c r="R599" t="s" s="16">
        <f>HYPERLINK("http://secrets.rutgers.edu:8080/data/asl-ftp/asllvd/demos/verify_start_end_handshape_annotations//test_auto_move//signs_mov_separ_signers/Liz_3651.mov","MOV")</f>
        <v>21</v>
      </c>
    </row>
    <row r="600" s="2" customFormat="1" ht="13.5" customHeight="1">
      <c r="B600" s="13"/>
      <c r="C600" t="s" s="9">
        <v>23</v>
      </c>
      <c r="D600" t="s" s="8">
        <v>279</v>
      </c>
      <c r="E600" t="s" s="9">
        <v>280</v>
      </c>
      <c r="F600" t="s" s="10">
        <v>75</v>
      </c>
      <c r="G600" t="s" s="11">
        <v>63</v>
      </c>
      <c r="H600" t="s" s="10">
        <v>75</v>
      </c>
      <c r="I600" t="s" s="11">
        <v>63</v>
      </c>
      <c r="J600" t="s" s="11">
        <v>20</v>
      </c>
      <c r="K600" s="15"/>
      <c r="L600" t="s" s="16">
        <f>HYPERLINK("http://csr.bu.edu/ftp/asl/asllvd/demos/verify_start_end_handshape_annotations//test_auto_move//signs_mov_separ_signers/Tyler_122.mov","MOV")</f>
        <v>21</v>
      </c>
      <c r="M600" t="s" s="10">
        <v>26</v>
      </c>
      <c r="N600" s="17">
        <v>14</v>
      </c>
      <c r="O600" s="18">
        <v>526</v>
      </c>
      <c r="P600" s="18">
        <v>565</v>
      </c>
      <c r="Q600" s="15"/>
      <c r="R600" t="s" s="16">
        <f>HYPERLINK("http://secrets.rutgers.edu:8080/data/asl-ftp/asllvd/demos/verify_start_end_handshape_annotations//test_auto_move//signs_mov_separ_signers/Tyler_122.mov","MOV")</f>
        <v>21</v>
      </c>
    </row>
    <row r="601" s="2" customFormat="1" ht="13.5" customHeight="1">
      <c r="B601" s="13"/>
      <c r="C601" t="s" s="9">
        <v>23</v>
      </c>
      <c r="D601" t="s" s="8">
        <v>279</v>
      </c>
      <c r="E601" t="s" s="9">
        <v>280</v>
      </c>
      <c r="F601" t="s" s="10">
        <v>72</v>
      </c>
      <c r="G601" s="17">
        <v>10</v>
      </c>
      <c r="H601" t="s" s="10">
        <v>72</v>
      </c>
      <c r="I601" s="17">
        <v>10</v>
      </c>
      <c r="J601" t="s" s="11">
        <v>20</v>
      </c>
      <c r="K601" s="15"/>
      <c r="L601" t="s" s="16">
        <f>HYPERLINK("http://csr.bu.edu/ftp/asl/asllvd/demos/verify_start_end_handshape_annotations//test_auto_move//signs_mov_separ_signers/Tyler_3650.mov","MOV")</f>
        <v>21</v>
      </c>
      <c r="M601" t="s" s="10">
        <v>92</v>
      </c>
      <c r="N601" s="17">
        <v>43</v>
      </c>
      <c r="O601" s="18">
        <v>1980</v>
      </c>
      <c r="P601" s="18">
        <v>2030</v>
      </c>
      <c r="Q601" s="15"/>
      <c r="R601" t="s" s="16">
        <f>HYPERLINK("http://secrets.rutgers.edu:8080/data/asl-ftp/asllvd/demos/verify_start_end_handshape_annotations//test_auto_move//signs_mov_separ_signers/Tyler_3650.mov","MOV")</f>
        <v>21</v>
      </c>
    </row>
    <row r="602" s="2" customFormat="1" ht="13.5" customHeight="1">
      <c r="B602" s="13"/>
      <c r="C602" t="s" s="9">
        <v>23</v>
      </c>
      <c r="D602" t="s" s="8">
        <v>279</v>
      </c>
      <c r="E602" t="s" s="9">
        <v>280</v>
      </c>
      <c r="F602" t="s" s="10">
        <v>148</v>
      </c>
      <c r="G602" s="17">
        <v>10</v>
      </c>
      <c r="H602" t="s" s="10">
        <v>148</v>
      </c>
      <c r="I602" s="17">
        <v>10</v>
      </c>
      <c r="J602" t="s" s="11">
        <v>20</v>
      </c>
      <c r="K602" t="s" s="16">
        <f>HYPERLINK("http://csr.bu.edu/ftp/asl/asllvd/demos/verify_start_end_handshape_annotations//test_auto_move//signs_mov/122_3650_3651_merged.mov","MOV")</f>
        <v>21</v>
      </c>
      <c r="L602" t="s" s="16">
        <f>HYPERLINK("http://csr.bu.edu/ftp/asl/asllvd/demos/verify_start_end_handshape_annotations//test_auto_move//signs_mov_separ_signers/Tyler_3651.mov","MOV")</f>
        <v>21</v>
      </c>
      <c r="M602" t="s" s="10">
        <v>92</v>
      </c>
      <c r="N602" s="17">
        <v>43</v>
      </c>
      <c r="O602" s="18">
        <v>2206</v>
      </c>
      <c r="P602" s="18">
        <v>2246</v>
      </c>
      <c r="Q602" t="s" s="16">
        <f>HYPERLINK("http://secrets.rutgers.edu:8080/data/asl-ftp/asllvd/demos/verify_start_end_handshape_annotations//test_auto_move//signs_mov/122_3650_3651_merged.mov","MOV")</f>
        <v>21</v>
      </c>
      <c r="R602" t="s" s="16">
        <f>HYPERLINK("http://secrets.rutgers.edu:8080/data/asl-ftp/asllvd/demos/verify_start_end_handshape_annotations//test_auto_move//signs_mov_separ_signers/Tyler_3651.mov","MOV")</f>
        <v>21</v>
      </c>
    </row>
    <row r="603" s="2" customFormat="1" ht="13.5" customHeight="1">
      <c r="B603" s="13"/>
      <c r="C603" t="s" s="9">
        <v>27</v>
      </c>
      <c r="D603" t="s" s="8">
        <v>279</v>
      </c>
      <c r="E603" t="s" s="9">
        <v>280</v>
      </c>
      <c r="F603" t="s" s="10">
        <v>282</v>
      </c>
      <c r="G603" t="s" s="11">
        <v>115</v>
      </c>
      <c r="H603" t="s" s="10">
        <v>282</v>
      </c>
      <c r="I603" t="s" s="11">
        <v>115</v>
      </c>
      <c r="J603" t="s" s="11">
        <v>20</v>
      </c>
      <c r="K603" s="15"/>
      <c r="L603" t="s" s="16">
        <f>HYPERLINK("http://csr.bu.edu/ftp/asl/asllvd/demos/verify_start_end_handshape_annotations//test_auto_move//signs_mov_separ_signers/Naomi_122.mov","MOV")</f>
        <v>21</v>
      </c>
      <c r="M603" t="s" s="10">
        <v>29</v>
      </c>
      <c r="N603" s="17">
        <v>14</v>
      </c>
      <c r="O603" s="18">
        <v>603</v>
      </c>
      <c r="P603" s="18">
        <v>650</v>
      </c>
      <c r="Q603" s="15"/>
      <c r="R603" t="s" s="16">
        <f>HYPERLINK("http://secrets.rutgers.edu:8080/data/asl-ftp/asllvd/demos/verify_start_end_handshape_annotations//test_auto_move//signs_mov_separ_signers/Naomi_122.mov","MOV")</f>
        <v>21</v>
      </c>
    </row>
    <row r="604" s="2" customFormat="1" ht="13.5" customHeight="1">
      <c r="B604" s="13"/>
      <c r="C604" t="s" s="9">
        <v>27</v>
      </c>
      <c r="D604" t="s" s="8">
        <v>279</v>
      </c>
      <c r="E604" t="s" s="9">
        <v>280</v>
      </c>
      <c r="F604" t="s" s="10">
        <v>119</v>
      </c>
      <c r="G604" t="s" s="11">
        <v>283</v>
      </c>
      <c r="H604" t="s" s="10">
        <v>119</v>
      </c>
      <c r="I604" t="s" s="11">
        <v>283</v>
      </c>
      <c r="J604" t="s" s="11">
        <v>20</v>
      </c>
      <c r="K604" s="15"/>
      <c r="L604" t="s" s="16">
        <f>HYPERLINK("http://csr.bu.edu/ftp/asl/asllvd/demos/verify_start_end_handshape_annotations//test_auto_move//signs_mov_separ_signers/Naomi_3650.mov","MOV")</f>
        <v>21</v>
      </c>
      <c r="M604" t="s" s="10">
        <v>38</v>
      </c>
      <c r="N604" s="17">
        <v>11</v>
      </c>
      <c r="O604" s="18">
        <v>2307</v>
      </c>
      <c r="P604" s="18">
        <v>2380</v>
      </c>
      <c r="Q604" s="15"/>
      <c r="R604" t="s" s="16">
        <f>HYPERLINK("http://secrets.rutgers.edu:8080/data/asl-ftp/asllvd/demos/verify_start_end_handshape_annotations//test_auto_move//signs_mov_separ_signers/Naomi_3650.mov","MOV")</f>
        <v>21</v>
      </c>
    </row>
    <row r="605" s="2" customFormat="1" ht="13.5" customHeight="1">
      <c r="B605" s="13"/>
      <c r="C605" t="s" s="9">
        <v>27</v>
      </c>
      <c r="D605" t="s" s="8">
        <v>279</v>
      </c>
      <c r="E605" t="s" s="9">
        <v>280</v>
      </c>
      <c r="F605" s="19">
        <v>5</v>
      </c>
      <c r="G605" s="17">
        <v>10</v>
      </c>
      <c r="H605" s="19">
        <v>5</v>
      </c>
      <c r="I605" s="17">
        <v>10</v>
      </c>
      <c r="J605" t="s" s="11">
        <v>20</v>
      </c>
      <c r="K605" s="15"/>
      <c r="L605" t="s" s="16">
        <f>HYPERLINK("http://csr.bu.edu/ftp/asl/asllvd/demos/verify_start_end_handshape_annotations//test_auto_move//signs_mov_separ_signers/Naomi_3651.mov","MOV")</f>
        <v>21</v>
      </c>
      <c r="M605" t="s" s="10">
        <v>38</v>
      </c>
      <c r="N605" s="17">
        <v>11</v>
      </c>
      <c r="O605" s="18">
        <v>2622</v>
      </c>
      <c r="P605" s="18">
        <v>2695</v>
      </c>
      <c r="Q605" s="15"/>
      <c r="R605" t="s" s="16">
        <f>HYPERLINK("http://secrets.rutgers.edu:8080/data/asl-ftp/asllvd/demos/verify_start_end_handshape_annotations//test_auto_move//signs_mov_separ_signers/Naomi_3651.mov","MOV")</f>
        <v>21</v>
      </c>
    </row>
    <row r="606" s="2" customFormat="1" ht="13.5" customHeight="1">
      <c r="B606" s="13"/>
      <c r="C606" t="s" s="9">
        <v>30</v>
      </c>
      <c r="D606" t="s" s="8">
        <v>279</v>
      </c>
      <c r="E606" t="s" s="9">
        <v>280</v>
      </c>
      <c r="F606" t="s" s="10">
        <v>72</v>
      </c>
      <c r="G606" s="17">
        <v>10</v>
      </c>
      <c r="H606" t="s" s="10">
        <v>72</v>
      </c>
      <c r="I606" s="17">
        <v>10</v>
      </c>
      <c r="J606" t="s" s="11">
        <v>20</v>
      </c>
      <c r="K606" s="15"/>
      <c r="L606" t="s" s="16">
        <f>HYPERLINK("http://csr.bu.edu/ftp/asl/asllvd/demos/verify_start_end_handshape_annotations//test_auto_move//signs_mov_separ_signers/Brady_122.mov","MOV")</f>
        <v>21</v>
      </c>
      <c r="M606" t="s" s="10">
        <v>31</v>
      </c>
      <c r="N606" s="17">
        <v>12</v>
      </c>
      <c r="O606" s="18">
        <v>11733</v>
      </c>
      <c r="P606" s="18">
        <v>11772</v>
      </c>
      <c r="Q606" s="15"/>
      <c r="R606" t="s" s="16">
        <f>HYPERLINK("http://secrets.rutgers.edu:8080/data/asl-ftp/asllvd/demos/verify_start_end_handshape_annotations//test_auto_move//signs_mov_separ_signers/Brady_122.mov","MOV")</f>
        <v>21</v>
      </c>
    </row>
    <row r="607" s="2" customFormat="1" ht="13.5" customHeight="1">
      <c r="B607" s="13"/>
      <c r="C607" t="s" s="9">
        <v>30</v>
      </c>
      <c r="D607" t="s" s="8">
        <v>279</v>
      </c>
      <c r="E607" t="s" s="9">
        <v>280</v>
      </c>
      <c r="F607" t="s" s="10">
        <v>72</v>
      </c>
      <c r="G607" t="s" s="11">
        <v>75</v>
      </c>
      <c r="H607" t="s" s="10">
        <v>72</v>
      </c>
      <c r="I607" t="s" s="11">
        <v>75</v>
      </c>
      <c r="J607" t="s" s="11">
        <v>20</v>
      </c>
      <c r="K607" s="15"/>
      <c r="L607" t="s" s="16">
        <f>HYPERLINK("http://csr.bu.edu/ftp/asl/asllvd/demos/verify_start_end_handshape_annotations//test_auto_move//signs_mov_separ_signers/Brady_3650.mov","MOV")</f>
        <v>21</v>
      </c>
      <c r="M607" t="s" s="10">
        <v>39</v>
      </c>
      <c r="N607" s="17">
        <v>30</v>
      </c>
      <c r="O607" s="18">
        <v>251</v>
      </c>
      <c r="P607" s="18">
        <v>286</v>
      </c>
      <c r="Q607" s="15"/>
      <c r="R607" t="s" s="16">
        <f>HYPERLINK("http://secrets.rutgers.edu:8080/data/asl-ftp/asllvd/demos/verify_start_end_handshape_annotations//test_auto_move//signs_mov_separ_signers/Brady_3650.mov","MOV")</f>
        <v>21</v>
      </c>
    </row>
    <row r="608" s="2" customFormat="1" ht="13.5" customHeight="1">
      <c r="B608" s="13"/>
      <c r="C608" t="s" s="9">
        <v>30</v>
      </c>
      <c r="D608" t="s" s="8">
        <v>279</v>
      </c>
      <c r="E608" t="s" s="9">
        <v>280</v>
      </c>
      <c r="F608" t="s" s="10">
        <v>72</v>
      </c>
      <c r="G608" t="s" s="11">
        <v>75</v>
      </c>
      <c r="H608" t="s" s="10">
        <v>72</v>
      </c>
      <c r="I608" t="s" s="11">
        <v>75</v>
      </c>
      <c r="J608" t="s" s="11">
        <v>20</v>
      </c>
      <c r="K608" s="15"/>
      <c r="L608" t="s" s="16">
        <f>HYPERLINK("http://csr.bu.edu/ftp/asl/asllvd/demos/verify_start_end_handshape_annotations//test_auto_move//signs_mov_separ_signers/Brady_3651.mov","MOV")</f>
        <v>21</v>
      </c>
      <c r="M608" t="s" s="10">
        <v>39</v>
      </c>
      <c r="N608" s="17">
        <v>30</v>
      </c>
      <c r="O608" s="18">
        <v>542</v>
      </c>
      <c r="P608" s="18">
        <v>574</v>
      </c>
      <c r="Q608" s="15"/>
      <c r="R608" t="s" s="16">
        <f>HYPERLINK("http://secrets.rutgers.edu:8080/data/asl-ftp/asllvd/demos/verify_start_end_handshape_annotations//test_auto_move//signs_mov_separ_signers/Brady_3651.mov","MOV")</f>
        <v>21</v>
      </c>
    </row>
    <row r="609" s="2" customFormat="1" ht="13.5" customHeight="1">
      <c r="B609" t="s" s="8">
        <v>284</v>
      </c>
      <c r="C609" t="s" s="9">
        <v>14</v>
      </c>
      <c r="D609" t="s" s="8">
        <v>14</v>
      </c>
      <c r="E609" t="s" s="9">
        <v>14</v>
      </c>
      <c r="F609" t="s" s="10">
        <v>14</v>
      </c>
      <c r="G609" t="s" s="11">
        <v>14</v>
      </c>
      <c r="H609" t="s" s="10">
        <v>14</v>
      </c>
      <c r="I609" t="s" s="11">
        <v>14</v>
      </c>
      <c r="J609" t="s" s="11">
        <v>14</v>
      </c>
      <c r="K609" t="s" s="12">
        <v>14</v>
      </c>
      <c r="L609" t="s" s="12">
        <v>14</v>
      </c>
      <c r="M609" t="s" s="10">
        <v>14</v>
      </c>
      <c r="N609" t="s" s="11">
        <v>14</v>
      </c>
      <c r="O609" t="s" s="8">
        <v>14</v>
      </c>
      <c r="P609" t="s" s="8">
        <v>14</v>
      </c>
      <c r="Q609" t="s" s="12">
        <v>14</v>
      </c>
      <c r="R609" t="s" s="12">
        <v>14</v>
      </c>
    </row>
    <row r="610" s="2" customFormat="1" ht="13.5" customHeight="1">
      <c r="B610" s="13"/>
      <c r="C610" t="s" s="9">
        <v>16</v>
      </c>
      <c r="D610" t="s" s="8">
        <v>284</v>
      </c>
      <c r="E610" t="s" s="9">
        <v>284</v>
      </c>
      <c r="F610" t="s" s="10">
        <v>63</v>
      </c>
      <c r="G610" s="14"/>
      <c r="H610" t="s" s="10">
        <v>63</v>
      </c>
      <c r="I610" s="14"/>
      <c r="J610" t="s" s="11">
        <v>20</v>
      </c>
      <c r="K610" s="15"/>
      <c r="L610" t="s" s="16">
        <f>HYPERLINK("http://csr.bu.edu/ftp/asl/asllvd/demos/verify_start_end_handshape_annotations//test_auto_move//signs_mov_separ_signers/Liz_124.mov","MOV")</f>
        <v>21</v>
      </c>
      <c r="M610" t="s" s="10">
        <v>22</v>
      </c>
      <c r="N610" s="17">
        <v>21</v>
      </c>
      <c r="O610" s="18">
        <v>695</v>
      </c>
      <c r="P610" s="18">
        <v>730</v>
      </c>
      <c r="Q610" s="15"/>
      <c r="R610" t="s" s="16">
        <f>HYPERLINK("http://secrets.rutgers.edu:8080/data/asl-ftp/asllvd/demos/verify_start_end_handshape_annotations//test_auto_move//signs_mov_separ_signers/Liz_124.mov","MOV")</f>
        <v>21</v>
      </c>
    </row>
    <row r="611" s="2" customFormat="1" ht="13.5" customHeight="1">
      <c r="B611" s="13"/>
      <c r="C611" t="s" s="9">
        <v>27</v>
      </c>
      <c r="D611" t="s" s="8">
        <v>284</v>
      </c>
      <c r="E611" t="s" s="9">
        <v>284</v>
      </c>
      <c r="F611" t="s" s="10">
        <v>63</v>
      </c>
      <c r="G611" s="14"/>
      <c r="H611" t="s" s="10">
        <v>63</v>
      </c>
      <c r="I611" s="14"/>
      <c r="J611" t="s" s="11">
        <v>20</v>
      </c>
      <c r="K611" t="s" s="16">
        <f>HYPERLINK("http://csr.bu.edu/ftp/asl/asllvd/demos/verify_start_end_handshape_annotations//test_auto_move//signs_mov/124.mov","MOV")</f>
        <v>21</v>
      </c>
      <c r="L611" t="s" s="16">
        <f>HYPERLINK("http://csr.bu.edu/ftp/asl/asllvd/demos/verify_start_end_handshape_annotations//test_auto_move//signs_mov_separ_signers/Naomi_124.mov","MOV")</f>
        <v>21</v>
      </c>
      <c r="M611" t="s" s="10">
        <v>29</v>
      </c>
      <c r="N611" s="17">
        <v>14</v>
      </c>
      <c r="O611" s="18">
        <v>1047</v>
      </c>
      <c r="P611" s="18">
        <v>1075</v>
      </c>
      <c r="Q611" t="s" s="16">
        <f>HYPERLINK("http://secrets.rutgers.edu:8080/data/asl-ftp/asllvd/demos/verify_start_end_handshape_annotations//test_auto_move//signs_mov/124.mov","MOV")</f>
        <v>21</v>
      </c>
      <c r="R611" t="s" s="16">
        <f>HYPERLINK("http://secrets.rutgers.edu:8080/data/asl-ftp/asllvd/demos/verify_start_end_handshape_annotations//test_auto_move//signs_mov_separ_signers/Naomi_124.mov","MOV")</f>
        <v>21</v>
      </c>
    </row>
    <row r="612" s="2" customFormat="1" ht="13.5" customHeight="1">
      <c r="B612" s="13"/>
      <c r="C612" t="s" s="9">
        <v>30</v>
      </c>
      <c r="D612" t="s" s="8">
        <v>284</v>
      </c>
      <c r="E612" t="s" s="9">
        <v>284</v>
      </c>
      <c r="F612" t="s" s="10">
        <v>63</v>
      </c>
      <c r="G612" s="14"/>
      <c r="H612" t="s" s="10">
        <v>63</v>
      </c>
      <c r="I612" s="14"/>
      <c r="J612" t="s" s="11">
        <v>20</v>
      </c>
      <c r="K612" s="15"/>
      <c r="L612" t="s" s="16">
        <f>HYPERLINK("http://csr.bu.edu/ftp/asl/asllvd/demos/verify_start_end_handshape_annotations//test_auto_move//signs_mov_separ_signers/Brady_124.mov","MOV")</f>
        <v>21</v>
      </c>
      <c r="M612" t="s" s="10">
        <v>31</v>
      </c>
      <c r="N612" s="17">
        <v>13</v>
      </c>
      <c r="O612" s="18">
        <v>250</v>
      </c>
      <c r="P612" s="18">
        <v>272</v>
      </c>
      <c r="Q612" s="15"/>
      <c r="R612" t="s" s="16">
        <f>HYPERLINK("http://secrets.rutgers.edu:8080/data/asl-ftp/asllvd/demos/verify_start_end_handshape_annotations//test_auto_move//signs_mov_separ_signers/Brady_124.mov","MOV")</f>
        <v>21</v>
      </c>
    </row>
    <row r="613" s="2" customFormat="1" ht="13.5" customHeight="1">
      <c r="B613" t="s" s="8">
        <v>285</v>
      </c>
      <c r="C613" t="s" s="9">
        <v>14</v>
      </c>
      <c r="D613" t="s" s="8">
        <v>14</v>
      </c>
      <c r="E613" t="s" s="9">
        <v>14</v>
      </c>
      <c r="F613" t="s" s="10">
        <v>14</v>
      </c>
      <c r="G613" t="s" s="11">
        <v>14</v>
      </c>
      <c r="H613" t="s" s="10">
        <v>14</v>
      </c>
      <c r="I613" t="s" s="11">
        <v>14</v>
      </c>
      <c r="J613" t="s" s="11">
        <v>14</v>
      </c>
      <c r="K613" t="s" s="12">
        <v>14</v>
      </c>
      <c r="L613" t="s" s="12">
        <v>14</v>
      </c>
      <c r="M613" t="s" s="10">
        <v>14</v>
      </c>
      <c r="N613" t="s" s="11">
        <v>14</v>
      </c>
      <c r="O613" t="s" s="8">
        <v>14</v>
      </c>
      <c r="P613" t="s" s="8">
        <v>14</v>
      </c>
      <c r="Q613" t="s" s="12">
        <v>14</v>
      </c>
      <c r="R613" t="s" s="12">
        <v>14</v>
      </c>
    </row>
    <row r="614" s="2" customFormat="1" ht="13.5" customHeight="1">
      <c r="B614" s="13"/>
      <c r="C614" t="s" s="9">
        <v>16</v>
      </c>
      <c r="D614" t="s" s="8">
        <v>285</v>
      </c>
      <c r="E614" t="s" s="9">
        <v>285</v>
      </c>
      <c r="F614" t="s" s="10">
        <v>80</v>
      </c>
      <c r="G614" t="s" s="11">
        <v>150</v>
      </c>
      <c r="H614" t="s" s="10">
        <v>150</v>
      </c>
      <c r="I614" t="s" s="11">
        <v>150</v>
      </c>
      <c r="J614" t="s" s="11">
        <v>20</v>
      </c>
      <c r="K614" s="15"/>
      <c r="L614" t="s" s="16">
        <f>HYPERLINK("http://csr.bu.edu/ftp/asl/asllvd/demos/verify_start_end_handshape_annotations//test_auto_move//signs_mov_separ_signers/Liz_127.mov","MOV")</f>
        <v>21</v>
      </c>
      <c r="M614" t="s" s="10">
        <v>22</v>
      </c>
      <c r="N614" s="17">
        <v>21</v>
      </c>
      <c r="O614" s="18">
        <v>1485</v>
      </c>
      <c r="P614" s="18">
        <v>1515</v>
      </c>
      <c r="Q614" s="15"/>
      <c r="R614" t="s" s="16">
        <f>HYPERLINK("http://secrets.rutgers.edu:8080/data/asl-ftp/asllvd/demos/verify_start_end_handshape_annotations//test_auto_move//signs_mov_separ_signers/Liz_127.mov","MOV")</f>
        <v>21</v>
      </c>
    </row>
    <row r="615" s="2" customFormat="1" ht="13.5" customHeight="1">
      <c r="B615" s="13"/>
      <c r="C615" t="s" s="9">
        <v>16</v>
      </c>
      <c r="D615" t="s" s="8">
        <v>285</v>
      </c>
      <c r="E615" t="s" s="9">
        <v>285</v>
      </c>
      <c r="F615" t="s" s="10">
        <v>73</v>
      </c>
      <c r="G615" t="s" s="11">
        <v>73</v>
      </c>
      <c r="H615" t="s" s="10">
        <v>73</v>
      </c>
      <c r="I615" t="s" s="11">
        <v>73</v>
      </c>
      <c r="J615" t="s" s="11">
        <v>20</v>
      </c>
      <c r="K615" s="15"/>
      <c r="L615" t="s" s="16">
        <f>HYPERLINK("http://csr.bu.edu/ftp/asl/asllvd/demos/verify_start_end_handshape_annotations//test_auto_move//signs_mov_separ_signers/Liz_3577.mov","MOV")</f>
        <v>21</v>
      </c>
      <c r="M615" t="s" s="10">
        <v>22</v>
      </c>
      <c r="N615" s="17">
        <v>43</v>
      </c>
      <c r="O615" s="18">
        <v>460</v>
      </c>
      <c r="P615" s="18">
        <v>500</v>
      </c>
      <c r="Q615" s="15"/>
      <c r="R615" t="s" s="16">
        <f>HYPERLINK("http://secrets.rutgers.edu:8080/data/asl-ftp/asllvd/demos/verify_start_end_handshape_annotations//test_auto_move//signs_mov_separ_signers/Liz_3577.mov","MOV")</f>
        <v>21</v>
      </c>
    </row>
    <row r="616" s="2" customFormat="1" ht="13.5" customHeight="1">
      <c r="B616" s="13"/>
      <c r="C616" t="s" s="9">
        <v>16</v>
      </c>
      <c r="D616" t="s" s="8">
        <v>285</v>
      </c>
      <c r="E616" t="s" s="9">
        <v>285</v>
      </c>
      <c r="F616" t="s" s="10">
        <v>73</v>
      </c>
      <c r="G616" t="s" s="11">
        <v>73</v>
      </c>
      <c r="H616" t="s" s="10">
        <v>73</v>
      </c>
      <c r="I616" t="s" s="11">
        <v>73</v>
      </c>
      <c r="J616" t="s" s="11">
        <v>20</v>
      </c>
      <c r="K616" s="15"/>
      <c r="L616" t="s" s="16">
        <f>HYPERLINK("http://csr.bu.edu/ftp/asl/asllvd/demos/verify_start_end_handshape_annotations//test_auto_move//signs_mov_separ_signers/Liz_3582.mov","MOV")</f>
        <v>21</v>
      </c>
      <c r="M616" t="s" s="10">
        <v>22</v>
      </c>
      <c r="N616" s="17">
        <v>50</v>
      </c>
      <c r="O616" s="18">
        <v>1915</v>
      </c>
      <c r="P616" s="18">
        <v>1950</v>
      </c>
      <c r="Q616" s="15"/>
      <c r="R616" t="s" s="16">
        <f>HYPERLINK("http://secrets.rutgers.edu:8080/data/asl-ftp/asllvd/demos/verify_start_end_handshape_annotations//test_auto_move//signs_mov_separ_signers/Liz_3582.mov","MOV")</f>
        <v>21</v>
      </c>
    </row>
    <row r="617" s="2" customFormat="1" ht="13.5" customHeight="1">
      <c r="B617" s="13"/>
      <c r="C617" t="s" s="9">
        <v>23</v>
      </c>
      <c r="D617" t="s" s="8">
        <v>285</v>
      </c>
      <c r="E617" t="s" s="9">
        <v>285</v>
      </c>
      <c r="F617" t="s" s="10">
        <v>80</v>
      </c>
      <c r="G617" t="s" s="11">
        <v>150</v>
      </c>
      <c r="H617" t="s" s="10">
        <v>150</v>
      </c>
      <c r="I617" t="s" s="11">
        <v>150</v>
      </c>
      <c r="J617" t="s" s="11">
        <v>20</v>
      </c>
      <c r="K617" t="s" s="16">
        <f>HYPERLINK("http://csr.bu.edu/ftp/asl/asllvd/demos/verify_start_end_handshape_annotations//test_auto_move//signs_mov/127_3577_3582_merged.mov","MOV")</f>
        <v>21</v>
      </c>
      <c r="L617" t="s" s="16">
        <f>HYPERLINK("http://csr.bu.edu/ftp/asl/asllvd/demos/verify_start_end_handshape_annotations//test_auto_move//signs_mov_separ_signers/Tyler_127.mov","MOV")</f>
        <v>21</v>
      </c>
      <c r="M617" t="s" s="10">
        <v>26</v>
      </c>
      <c r="N617" s="17">
        <v>14</v>
      </c>
      <c r="O617" s="18">
        <v>2090</v>
      </c>
      <c r="P617" s="18">
        <v>2120</v>
      </c>
      <c r="Q617" t="s" s="16">
        <f>HYPERLINK("http://secrets.rutgers.edu:8080/data/asl-ftp/asllvd/demos/verify_start_end_handshape_annotations//test_auto_move//signs_mov/127_3577_3582_merged.mov","MOV")</f>
        <v>21</v>
      </c>
      <c r="R617" t="s" s="16">
        <f>HYPERLINK("http://secrets.rutgers.edu:8080/data/asl-ftp/asllvd/demos/verify_start_end_handshape_annotations//test_auto_move//signs_mov_separ_signers/Tyler_127.mov","MOV")</f>
        <v>21</v>
      </c>
    </row>
    <row r="618" s="2" customFormat="1" ht="13.5" customHeight="1">
      <c r="B618" s="13"/>
      <c r="C618" t="s" s="9">
        <v>27</v>
      </c>
      <c r="D618" t="s" s="8">
        <v>285</v>
      </c>
      <c r="E618" t="s" s="9">
        <v>285</v>
      </c>
      <c r="F618" t="s" s="10">
        <v>150</v>
      </c>
      <c r="G618" t="s" s="11">
        <v>150</v>
      </c>
      <c r="H618" t="s" s="10">
        <v>150</v>
      </c>
      <c r="I618" t="s" s="11">
        <v>150</v>
      </c>
      <c r="J618" t="s" s="11">
        <v>20</v>
      </c>
      <c r="K618" s="15"/>
      <c r="L618" t="s" s="16">
        <f>HYPERLINK("http://csr.bu.edu/ftp/asl/asllvd/demos/verify_start_end_handshape_annotations//test_auto_move//signs_mov_separ_signers/Naomi_127.mov","MOV")</f>
        <v>21</v>
      </c>
      <c r="M618" t="s" s="10">
        <v>29</v>
      </c>
      <c r="N618" s="17">
        <v>14</v>
      </c>
      <c r="O618" s="18">
        <v>1838</v>
      </c>
      <c r="P618" s="18">
        <v>1862</v>
      </c>
      <c r="Q618" s="15"/>
      <c r="R618" t="s" s="16">
        <f>HYPERLINK("http://secrets.rutgers.edu:8080/data/asl-ftp/asllvd/demos/verify_start_end_handshape_annotations//test_auto_move//signs_mov_separ_signers/Naomi_127.mov","MOV")</f>
        <v>21</v>
      </c>
    </row>
    <row r="619" s="2" customFormat="1" ht="13.5" customHeight="1">
      <c r="B619" s="13"/>
      <c r="C619" t="s" s="9">
        <v>30</v>
      </c>
      <c r="D619" t="s" s="8">
        <v>285</v>
      </c>
      <c r="E619" t="s" s="9">
        <v>285</v>
      </c>
      <c r="F619" t="s" s="10">
        <v>73</v>
      </c>
      <c r="G619" t="s" s="11">
        <v>73</v>
      </c>
      <c r="H619" t="s" s="10">
        <v>73</v>
      </c>
      <c r="I619" t="s" s="11">
        <v>73</v>
      </c>
      <c r="J619" t="s" s="11">
        <v>20</v>
      </c>
      <c r="K619" s="15"/>
      <c r="L619" t="s" s="16">
        <f>HYPERLINK("http://csr.bu.edu/ftp/asl/asllvd/demos/verify_start_end_handshape_annotations//test_auto_move//signs_mov_separ_signers/Brady_127.mov","MOV")</f>
        <v>21</v>
      </c>
      <c r="M619" t="s" s="10">
        <v>31</v>
      </c>
      <c r="N619" s="17">
        <v>13</v>
      </c>
      <c r="O619" s="18">
        <v>2629</v>
      </c>
      <c r="P619" s="18">
        <v>2649</v>
      </c>
      <c r="Q619" s="15"/>
      <c r="R619" t="s" s="16">
        <f>HYPERLINK("http://secrets.rutgers.edu:8080/data/asl-ftp/asllvd/demos/verify_start_end_handshape_annotations//test_auto_move//signs_mov_separ_signers/Brady_127.mov","MOV")</f>
        <v>21</v>
      </c>
    </row>
    <row r="620" s="2" customFormat="1" ht="13.5" customHeight="1">
      <c r="B620" s="13"/>
      <c r="C620" t="s" s="9">
        <v>30</v>
      </c>
      <c r="D620" t="s" s="8">
        <v>285</v>
      </c>
      <c r="E620" t="s" s="9">
        <v>285</v>
      </c>
      <c r="F620" t="s" s="10">
        <v>73</v>
      </c>
      <c r="G620" t="s" s="11">
        <v>73</v>
      </c>
      <c r="H620" t="s" s="10">
        <v>73</v>
      </c>
      <c r="I620" t="s" s="11">
        <v>73</v>
      </c>
      <c r="J620" t="s" s="11">
        <v>20</v>
      </c>
      <c r="K620" s="15"/>
      <c r="L620" t="s" s="16">
        <f>HYPERLINK("http://csr.bu.edu/ftp/asl/asllvd/demos/verify_start_end_handshape_annotations//test_auto_move//signs_mov_separ_signers/Brady_3577.mov","MOV")</f>
        <v>21</v>
      </c>
      <c r="M620" t="s" s="10">
        <v>31</v>
      </c>
      <c r="N620" s="17">
        <v>21</v>
      </c>
      <c r="O620" s="18">
        <v>7068</v>
      </c>
      <c r="P620" s="18">
        <v>7089</v>
      </c>
      <c r="Q620" s="15"/>
      <c r="R620" t="s" s="16">
        <f>HYPERLINK("http://secrets.rutgers.edu:8080/data/asl-ftp/asllvd/demos/verify_start_end_handshape_annotations//test_auto_move//signs_mov_separ_signers/Brady_3577.mov","MOV")</f>
        <v>21</v>
      </c>
    </row>
    <row r="621" s="2" customFormat="1" ht="13.5" customHeight="1">
      <c r="B621" s="13"/>
      <c r="C621" t="s" s="9">
        <v>41</v>
      </c>
      <c r="D621" t="s" s="8">
        <v>285</v>
      </c>
      <c r="E621" t="s" s="9">
        <v>285</v>
      </c>
      <c r="F621" t="s" s="10">
        <v>80</v>
      </c>
      <c r="G621" t="s" s="11">
        <v>73</v>
      </c>
      <c r="H621" t="s" s="10">
        <v>73</v>
      </c>
      <c r="I621" t="s" s="11">
        <v>73</v>
      </c>
      <c r="J621" t="s" s="11">
        <v>20</v>
      </c>
      <c r="K621" s="15"/>
      <c r="L621" t="s" s="16">
        <f>HYPERLINK("http://csr.bu.edu/ftp/asl/asllvd/demos/verify_start_end_handshape_annotations//test_auto_move//signs_mov_separ_signers/Lana_127.mov","MOV")</f>
        <v>21</v>
      </c>
      <c r="M621" t="s" s="10">
        <v>245</v>
      </c>
      <c r="N621" s="17">
        <v>22</v>
      </c>
      <c r="O621" s="18">
        <v>402</v>
      </c>
      <c r="P621" s="18">
        <v>451</v>
      </c>
      <c r="Q621" s="15"/>
      <c r="R621" t="s" s="16">
        <f>HYPERLINK("http://secrets.rutgers.edu:8080/data/asl-ftp/asllvd/demos/verify_start_end_handshape_annotations//test_auto_move//signs_mov_separ_signers/Lana_127.mov","MOV")</f>
        <v>21</v>
      </c>
    </row>
    <row r="622" s="2" customFormat="1" ht="13.5" customHeight="1">
      <c r="B622" t="s" s="8">
        <v>286</v>
      </c>
      <c r="C622" t="s" s="9">
        <v>14</v>
      </c>
      <c r="D622" t="s" s="8">
        <v>14</v>
      </c>
      <c r="E622" t="s" s="9">
        <v>14</v>
      </c>
      <c r="F622" t="s" s="10">
        <v>14</v>
      </c>
      <c r="G622" t="s" s="11">
        <v>14</v>
      </c>
      <c r="H622" t="s" s="10">
        <v>14</v>
      </c>
      <c r="I622" t="s" s="11">
        <v>14</v>
      </c>
      <c r="J622" t="s" s="11">
        <v>14</v>
      </c>
      <c r="K622" t="s" s="12">
        <v>14</v>
      </c>
      <c r="L622" t="s" s="12">
        <v>14</v>
      </c>
      <c r="M622" t="s" s="10">
        <v>14</v>
      </c>
      <c r="N622" t="s" s="11">
        <v>14</v>
      </c>
      <c r="O622" t="s" s="8">
        <v>14</v>
      </c>
      <c r="P622" t="s" s="8">
        <v>14</v>
      </c>
      <c r="Q622" t="s" s="12">
        <v>14</v>
      </c>
      <c r="R622" t="s" s="12">
        <v>14</v>
      </c>
    </row>
    <row r="623" s="2" customFormat="1" ht="13.5" customHeight="1">
      <c r="B623" s="13"/>
      <c r="C623" t="s" s="9">
        <v>16</v>
      </c>
      <c r="D623" t="s" s="8">
        <v>286</v>
      </c>
      <c r="E623" t="s" s="9">
        <v>286</v>
      </c>
      <c r="F623" t="s" s="10">
        <v>287</v>
      </c>
      <c r="G623" t="s" s="11">
        <v>73</v>
      </c>
      <c r="H623" t="s" s="10">
        <v>287</v>
      </c>
      <c r="I623" t="s" s="11">
        <v>73</v>
      </c>
      <c r="J623" t="s" s="11">
        <v>20</v>
      </c>
      <c r="K623" s="15"/>
      <c r="L623" t="s" s="16">
        <f>HYPERLINK("http://csr.bu.edu/ftp/asl/asllvd/demos/verify_start_end_handshape_annotations//test_auto_move//signs_mov_separ_signers/Liz_128.mov","MOV")</f>
        <v>21</v>
      </c>
      <c r="M623" t="s" s="10">
        <v>22</v>
      </c>
      <c r="N623" s="17">
        <v>22</v>
      </c>
      <c r="O623" s="18">
        <v>355</v>
      </c>
      <c r="P623" s="18">
        <v>400</v>
      </c>
      <c r="Q623" s="15"/>
      <c r="R623" t="s" s="16">
        <f>HYPERLINK("http://secrets.rutgers.edu:8080/data/asl-ftp/asllvd/demos/verify_start_end_handshape_annotations//test_auto_move//signs_mov_separ_signers/Liz_128.mov","MOV")</f>
        <v>21</v>
      </c>
    </row>
    <row r="624" s="2" customFormat="1" ht="13.5" customHeight="1">
      <c r="B624" s="13"/>
      <c r="C624" t="s" s="9">
        <v>16</v>
      </c>
      <c r="D624" t="s" s="8">
        <v>286</v>
      </c>
      <c r="E624" t="s" s="9">
        <v>286</v>
      </c>
      <c r="F624" t="s" s="10">
        <v>287</v>
      </c>
      <c r="G624" t="s" s="11">
        <v>73</v>
      </c>
      <c r="H624" t="s" s="10">
        <v>287</v>
      </c>
      <c r="I624" t="s" s="11">
        <v>73</v>
      </c>
      <c r="J624" t="s" s="11">
        <v>20</v>
      </c>
      <c r="K624" s="15"/>
      <c r="L624" t="s" s="16">
        <f>HYPERLINK("http://csr.bu.edu/ftp/asl/asllvd/demos/verify_start_end_handshape_annotations//test_auto_move//signs_mov_separ_signers/Liz_3843.mov","MOV")</f>
        <v>21</v>
      </c>
      <c r="M624" t="s" s="10">
        <v>84</v>
      </c>
      <c r="N624" s="17">
        <v>23</v>
      </c>
      <c r="O624" s="18">
        <v>1610</v>
      </c>
      <c r="P624" s="18">
        <v>1667</v>
      </c>
      <c r="Q624" s="15"/>
      <c r="R624" t="s" s="16">
        <f>HYPERLINK("http://secrets.rutgers.edu:8080/data/asl-ftp/asllvd/demos/verify_start_end_handshape_annotations//test_auto_move//signs_mov_separ_signers/Liz_3843.mov","MOV")</f>
        <v>21</v>
      </c>
    </row>
    <row r="625" s="2" customFormat="1" ht="13.5" customHeight="1">
      <c r="B625" s="13"/>
      <c r="C625" t="s" s="9">
        <v>23</v>
      </c>
      <c r="D625" t="s" s="8">
        <v>286</v>
      </c>
      <c r="E625" t="s" s="9">
        <v>286</v>
      </c>
      <c r="F625" t="s" s="10">
        <v>287</v>
      </c>
      <c r="G625" t="s" s="11">
        <v>73</v>
      </c>
      <c r="H625" t="s" s="10">
        <v>287</v>
      </c>
      <c r="I625" t="s" s="11">
        <v>73</v>
      </c>
      <c r="J625" t="s" s="11">
        <v>20</v>
      </c>
      <c r="K625" s="15"/>
      <c r="L625" t="s" s="16">
        <f>HYPERLINK("http://csr.bu.edu/ftp/asl/asllvd/demos/verify_start_end_handshape_annotations//test_auto_move//signs_mov_separ_signers/Tyler_128.mov","MOV")</f>
        <v>21</v>
      </c>
      <c r="M625" t="s" s="10">
        <v>26</v>
      </c>
      <c r="N625" s="17">
        <v>14</v>
      </c>
      <c r="O625" s="18">
        <v>2320</v>
      </c>
      <c r="P625" s="18">
        <v>2365</v>
      </c>
      <c r="Q625" s="15"/>
      <c r="R625" t="s" s="16">
        <f>HYPERLINK("http://secrets.rutgers.edu:8080/data/asl-ftp/asllvd/demos/verify_start_end_handshape_annotations//test_auto_move//signs_mov_separ_signers/Tyler_128.mov","MOV")</f>
        <v>21</v>
      </c>
    </row>
    <row r="626" s="2" customFormat="1" ht="13.5" customHeight="1">
      <c r="B626" s="13"/>
      <c r="C626" t="s" s="9">
        <v>23</v>
      </c>
      <c r="D626" t="s" s="8">
        <v>286</v>
      </c>
      <c r="E626" t="s" s="9">
        <v>286</v>
      </c>
      <c r="F626" t="s" s="10">
        <v>287</v>
      </c>
      <c r="G626" t="s" s="11">
        <v>73</v>
      </c>
      <c r="H626" t="s" s="10">
        <v>287</v>
      </c>
      <c r="I626" t="s" s="11">
        <v>73</v>
      </c>
      <c r="J626" t="s" s="11">
        <v>20</v>
      </c>
      <c r="K626" t="s" s="16">
        <f>HYPERLINK("http://csr.bu.edu/ftp/asl/asllvd/demos/verify_start_end_handshape_annotations//test_auto_move//signs_mov/128_3843_3855_merged.mov","MOV")</f>
        <v>21</v>
      </c>
      <c r="L626" t="s" s="16">
        <f>HYPERLINK("http://csr.bu.edu/ftp/asl/asllvd/demos/verify_start_end_handshape_annotations//test_auto_move//signs_mov_separ_signers/Tyler_3843.mov","MOV")</f>
        <v>21</v>
      </c>
      <c r="M626" t="s" s="10">
        <v>92</v>
      </c>
      <c r="N626" s="17">
        <v>3</v>
      </c>
      <c r="O626" s="18">
        <v>1832</v>
      </c>
      <c r="P626" s="18">
        <v>1880</v>
      </c>
      <c r="Q626" t="s" s="16">
        <f>HYPERLINK("http://secrets.rutgers.edu:8080/data/asl-ftp/asllvd/demos/verify_start_end_handshape_annotations//test_auto_move//signs_mov/128_3843_3855_merged.mov","MOV")</f>
        <v>21</v>
      </c>
      <c r="R626" t="s" s="16">
        <f>HYPERLINK("http://secrets.rutgers.edu:8080/data/asl-ftp/asllvd/demos/verify_start_end_handshape_annotations//test_auto_move//signs_mov_separ_signers/Tyler_3843.mov","MOV")</f>
        <v>21</v>
      </c>
    </row>
    <row r="627" s="2" customFormat="1" ht="13.5" customHeight="1">
      <c r="B627" s="13"/>
      <c r="C627" t="s" s="9">
        <v>23</v>
      </c>
      <c r="D627" t="s" s="8">
        <v>286</v>
      </c>
      <c r="E627" t="s" s="9">
        <v>286</v>
      </c>
      <c r="F627" t="s" s="10">
        <v>287</v>
      </c>
      <c r="G627" t="s" s="11">
        <v>73</v>
      </c>
      <c r="H627" t="s" s="10">
        <v>287</v>
      </c>
      <c r="I627" t="s" s="11">
        <v>73</v>
      </c>
      <c r="J627" t="s" s="11">
        <v>20</v>
      </c>
      <c r="K627" s="15"/>
      <c r="L627" t="s" s="16">
        <f>HYPERLINK("http://csr.bu.edu/ftp/asl/asllvd/demos/verify_start_end_handshape_annotations//test_auto_move//signs_mov_separ_signers/Tyler_3855.mov","MOV")</f>
        <v>21</v>
      </c>
      <c r="M627" t="s" s="10">
        <v>92</v>
      </c>
      <c r="N627" s="17">
        <v>3</v>
      </c>
      <c r="O627" s="18">
        <v>2095</v>
      </c>
      <c r="P627" s="18">
        <v>2141</v>
      </c>
      <c r="Q627" s="15"/>
      <c r="R627" t="s" s="16">
        <f>HYPERLINK("http://secrets.rutgers.edu:8080/data/asl-ftp/asllvd/demos/verify_start_end_handshape_annotations//test_auto_move//signs_mov_separ_signers/Tyler_3855.mov","MOV")</f>
        <v>21</v>
      </c>
    </row>
    <row r="628" s="2" customFormat="1" ht="13.5" customHeight="1">
      <c r="B628" s="13"/>
      <c r="C628" t="s" s="9">
        <v>27</v>
      </c>
      <c r="D628" t="s" s="8">
        <v>286</v>
      </c>
      <c r="E628" t="s" s="9">
        <v>286</v>
      </c>
      <c r="F628" t="s" s="10">
        <v>287</v>
      </c>
      <c r="G628" t="s" s="11">
        <v>73</v>
      </c>
      <c r="H628" t="s" s="10">
        <v>287</v>
      </c>
      <c r="I628" t="s" s="11">
        <v>73</v>
      </c>
      <c r="J628" t="s" s="11">
        <v>20</v>
      </c>
      <c r="K628" s="15"/>
      <c r="L628" t="s" s="16">
        <f>HYPERLINK("http://csr.bu.edu/ftp/asl/asllvd/demos/verify_start_end_handshape_annotations//test_auto_move//signs_mov_separ_signers/Naomi_128.mov","MOV")</f>
        <v>21</v>
      </c>
      <c r="M628" t="s" s="10">
        <v>29</v>
      </c>
      <c r="N628" s="17">
        <v>14</v>
      </c>
      <c r="O628" s="18">
        <v>2127</v>
      </c>
      <c r="P628" s="18">
        <v>2153</v>
      </c>
      <c r="Q628" s="15"/>
      <c r="R628" t="s" s="16">
        <f>HYPERLINK("http://secrets.rutgers.edu:8080/data/asl-ftp/asllvd/demos/verify_start_end_handshape_annotations//test_auto_move//signs_mov_separ_signers/Naomi_128.mov","MOV")</f>
        <v>21</v>
      </c>
    </row>
    <row r="629" s="2" customFormat="1" ht="13.5" customHeight="1">
      <c r="B629" s="13"/>
      <c r="C629" t="s" s="9">
        <v>27</v>
      </c>
      <c r="D629" t="s" s="8">
        <v>286</v>
      </c>
      <c r="E629" t="s" s="9">
        <v>286</v>
      </c>
      <c r="F629" t="s" s="10">
        <v>287</v>
      </c>
      <c r="G629" t="s" s="11">
        <v>73</v>
      </c>
      <c r="H629" t="s" s="10">
        <v>287</v>
      </c>
      <c r="I629" t="s" s="11">
        <v>73</v>
      </c>
      <c r="J629" t="s" s="11">
        <v>20</v>
      </c>
      <c r="K629" s="15"/>
      <c r="L629" t="s" s="16">
        <f>HYPERLINK("http://csr.bu.edu/ftp/asl/asllvd/demos/verify_start_end_handshape_annotations//test_auto_move//signs_mov_separ_signers/Naomi_3843.mov","MOV")</f>
        <v>21</v>
      </c>
      <c r="M629" t="s" s="10">
        <v>86</v>
      </c>
      <c r="N629" s="17">
        <v>23</v>
      </c>
      <c r="O629" s="18">
        <v>1500</v>
      </c>
      <c r="P629" s="18">
        <v>1525</v>
      </c>
      <c r="Q629" s="15"/>
      <c r="R629" t="s" s="16">
        <f>HYPERLINK("http://secrets.rutgers.edu:8080/data/asl-ftp/asllvd/demos/verify_start_end_handshape_annotations//test_auto_move//signs_mov_separ_signers/Naomi_3843.mov","MOV")</f>
        <v>21</v>
      </c>
    </row>
    <row r="630" s="2" customFormat="1" ht="13.5" customHeight="1">
      <c r="B630" s="13"/>
      <c r="C630" t="s" s="9">
        <v>30</v>
      </c>
      <c r="D630" t="s" s="8">
        <v>286</v>
      </c>
      <c r="E630" t="s" s="9">
        <v>286</v>
      </c>
      <c r="F630" t="s" s="10">
        <v>287</v>
      </c>
      <c r="G630" t="s" s="11">
        <v>73</v>
      </c>
      <c r="H630" t="s" s="10">
        <v>287</v>
      </c>
      <c r="I630" t="s" s="11">
        <v>73</v>
      </c>
      <c r="J630" t="s" s="11">
        <v>20</v>
      </c>
      <c r="K630" s="15"/>
      <c r="L630" t="s" s="16">
        <f>HYPERLINK("http://csr.bu.edu/ftp/asl/asllvd/demos/verify_start_end_handshape_annotations//test_auto_move//signs_mov_separ_signers/Brady_128.mov","MOV")</f>
        <v>21</v>
      </c>
      <c r="M630" t="s" s="10">
        <v>39</v>
      </c>
      <c r="N630" s="17">
        <v>7</v>
      </c>
      <c r="O630" s="18">
        <v>250</v>
      </c>
      <c r="P630" s="18">
        <v>294</v>
      </c>
      <c r="Q630" s="15"/>
      <c r="R630" t="s" s="16">
        <f>HYPERLINK("http://secrets.rutgers.edu:8080/data/asl-ftp/asllvd/demos/verify_start_end_handshape_annotations//test_auto_move//signs_mov_separ_signers/Brady_128.mov","MOV")</f>
        <v>21</v>
      </c>
    </row>
    <row r="631" s="2" customFormat="1" ht="13.5" customHeight="1">
      <c r="B631" t="s" s="8">
        <v>52</v>
      </c>
      <c r="C631" t="s" s="9">
        <v>53</v>
      </c>
      <c r="D631" t="s" s="8">
        <v>53</v>
      </c>
      <c r="E631" t="s" s="9">
        <v>53</v>
      </c>
      <c r="F631" t="s" s="10">
        <v>53</v>
      </c>
      <c r="G631" t="s" s="11">
        <v>53</v>
      </c>
      <c r="H631" t="s" s="10">
        <v>53</v>
      </c>
      <c r="I631" t="s" s="11">
        <v>53</v>
      </c>
      <c r="J631" t="s" s="11">
        <v>53</v>
      </c>
      <c r="K631" t="s" s="12">
        <v>53</v>
      </c>
      <c r="L631" t="s" s="12">
        <v>53</v>
      </c>
      <c r="M631" t="s" s="10">
        <v>53</v>
      </c>
      <c r="N631" t="s" s="11">
        <v>53</v>
      </c>
      <c r="O631" t="s" s="8">
        <v>53</v>
      </c>
      <c r="P631" t="s" s="8">
        <v>53</v>
      </c>
      <c r="Q631" t="s" s="12">
        <v>53</v>
      </c>
      <c r="R631" t="s" s="12">
        <v>53</v>
      </c>
    </row>
    <row r="632" s="2" customFormat="1" ht="13.5" customHeight="1">
      <c r="B632" s="13"/>
      <c r="C632" t="s" s="9">
        <v>16</v>
      </c>
      <c r="D632" t="s" s="8">
        <v>286</v>
      </c>
      <c r="E632" t="s" s="9">
        <v>288</v>
      </c>
      <c r="F632" t="s" s="10">
        <v>287</v>
      </c>
      <c r="G632" t="s" s="11">
        <v>73</v>
      </c>
      <c r="H632" t="s" s="10">
        <v>287</v>
      </c>
      <c r="I632" t="s" s="11">
        <v>73</v>
      </c>
      <c r="J632" t="s" s="11">
        <v>20</v>
      </c>
      <c r="K632" s="15"/>
      <c r="L632" t="s" s="16">
        <f>HYPERLINK("http://csr.bu.edu/ftp/asl/asllvd/demos/verify_start_end_handshape_annotations//test_auto_move//signs_mov_separ_signers/Liz_5897.mov","MOV")</f>
        <v>21</v>
      </c>
      <c r="M632" t="s" s="10">
        <v>84</v>
      </c>
      <c r="N632" s="17">
        <v>23</v>
      </c>
      <c r="O632" s="18">
        <v>1825</v>
      </c>
      <c r="P632" s="18">
        <v>1866</v>
      </c>
      <c r="Q632" s="15"/>
      <c r="R632" t="s" s="16">
        <f>HYPERLINK("http://secrets.rutgers.edu:8080/data/asl-ftp/asllvd/demos/verify_start_end_handshape_annotations//test_auto_move//signs_mov_separ_signers/Liz_5897.mov","MOV")</f>
        <v>21</v>
      </c>
    </row>
    <row r="633" s="2" customFormat="1" ht="13.5" customHeight="1">
      <c r="B633" s="13"/>
      <c r="C633" t="s" s="9">
        <v>27</v>
      </c>
      <c r="D633" t="s" s="8">
        <v>286</v>
      </c>
      <c r="E633" t="s" s="9">
        <v>288</v>
      </c>
      <c r="F633" t="s" s="10">
        <v>287</v>
      </c>
      <c r="G633" t="s" s="11">
        <v>73</v>
      </c>
      <c r="H633" t="s" s="10">
        <v>287</v>
      </c>
      <c r="I633" t="s" s="11">
        <v>73</v>
      </c>
      <c r="J633" t="s" s="11">
        <v>20</v>
      </c>
      <c r="K633" s="15"/>
      <c r="L633" t="s" s="16">
        <f>HYPERLINK("http://csr.bu.edu/ftp/asl/asllvd/demos/verify_start_end_handshape_annotations//test_auto_move//signs_mov_separ_signers/Naomi_5897.mov","MOV")</f>
        <v>21</v>
      </c>
      <c r="M633" t="s" s="10">
        <v>86</v>
      </c>
      <c r="N633" s="17">
        <v>23</v>
      </c>
      <c r="O633" s="18">
        <v>1720</v>
      </c>
      <c r="P633" s="18">
        <v>1760</v>
      </c>
      <c r="Q633" s="15"/>
      <c r="R633" t="s" s="16">
        <f>HYPERLINK("http://secrets.rutgers.edu:8080/data/asl-ftp/asllvd/demos/verify_start_end_handshape_annotations//test_auto_move//signs_mov_separ_signers/Naomi_5897.mov","MOV")</f>
        <v>21</v>
      </c>
    </row>
    <row r="634" s="2" customFormat="1" ht="13.5" customHeight="1">
      <c r="B634" s="13"/>
      <c r="C634" t="s" s="9">
        <v>30</v>
      </c>
      <c r="D634" t="s" s="8">
        <v>286</v>
      </c>
      <c r="E634" t="s" s="9">
        <v>288</v>
      </c>
      <c r="F634" t="s" s="10">
        <v>287</v>
      </c>
      <c r="G634" t="s" s="11">
        <v>73</v>
      </c>
      <c r="H634" t="s" s="10">
        <v>287</v>
      </c>
      <c r="I634" t="s" s="11">
        <v>73</v>
      </c>
      <c r="J634" t="s" s="11">
        <v>20</v>
      </c>
      <c r="K634" t="s" s="16">
        <f>HYPERLINK("http://csr.bu.edu/ftp/asl/asllvd/demos/verify_start_end_handshape_annotations//test_auto_move//signs_mov/5897_5989_16219_merged.mov","MOV")</f>
        <v>21</v>
      </c>
      <c r="L634" t="s" s="16">
        <f>HYPERLINK("http://csr.bu.edu/ftp/asl/asllvd/demos/verify_start_end_handshape_annotations//test_auto_move//signs_mov_separ_signers/Brady_5897.mov","MOV")</f>
        <v>21</v>
      </c>
      <c r="M634" t="s" s="10">
        <v>31</v>
      </c>
      <c r="N634" s="17">
        <v>13</v>
      </c>
      <c r="O634" s="18">
        <v>2878</v>
      </c>
      <c r="P634" s="18">
        <v>2907</v>
      </c>
      <c r="Q634" t="s" s="16">
        <f>HYPERLINK("http://secrets.rutgers.edu:8080/data/asl-ftp/asllvd/demos/verify_start_end_handshape_annotations//test_auto_move//signs_mov/5897_5989_16219_merged.mov","MOV")</f>
        <v>21</v>
      </c>
      <c r="R634" t="s" s="16">
        <f>HYPERLINK("http://secrets.rutgers.edu:8080/data/asl-ftp/asllvd/demos/verify_start_end_handshape_annotations//test_auto_move//signs_mov_separ_signers/Brady_5897.mov","MOV")</f>
        <v>21</v>
      </c>
    </row>
    <row r="635" s="2" customFormat="1" ht="13.5" customHeight="1">
      <c r="B635" s="13"/>
      <c r="C635" t="s" s="9">
        <v>30</v>
      </c>
      <c r="D635" t="s" s="8">
        <v>286</v>
      </c>
      <c r="E635" t="s" s="9">
        <v>288</v>
      </c>
      <c r="F635" t="s" s="10">
        <v>287</v>
      </c>
      <c r="G635" t="s" s="11">
        <v>73</v>
      </c>
      <c r="H635" t="s" s="10">
        <v>287</v>
      </c>
      <c r="I635" t="s" s="11">
        <v>73</v>
      </c>
      <c r="J635" t="s" s="11">
        <v>20</v>
      </c>
      <c r="K635" s="15"/>
      <c r="L635" t="s" s="16">
        <f>HYPERLINK("http://csr.bu.edu/ftp/asl/asllvd/demos/verify_start_end_handshape_annotations//test_auto_move//signs_mov_separ_signers/Brady_5989.mov","MOV")</f>
        <v>21</v>
      </c>
      <c r="M635" t="s" s="10">
        <v>39</v>
      </c>
      <c r="N635" s="17">
        <v>7</v>
      </c>
      <c r="O635" s="18">
        <v>514</v>
      </c>
      <c r="P635" s="18">
        <v>545</v>
      </c>
      <c r="Q635" s="15"/>
      <c r="R635" t="s" s="16">
        <f>HYPERLINK("http://secrets.rutgers.edu:8080/data/asl-ftp/asllvd/demos/verify_start_end_handshape_annotations//test_auto_move//signs_mov_separ_signers/Brady_5989.mov","MOV")</f>
        <v>21</v>
      </c>
    </row>
    <row r="636" s="2" customFormat="1" ht="13.5" customHeight="1">
      <c r="B636" s="13"/>
      <c r="C636" t="s" s="9">
        <v>30</v>
      </c>
      <c r="D636" t="s" s="8">
        <v>286</v>
      </c>
      <c r="E636" t="s" s="9">
        <v>288</v>
      </c>
      <c r="F636" t="s" s="10">
        <v>287</v>
      </c>
      <c r="G636" t="s" s="11">
        <v>73</v>
      </c>
      <c r="H636" t="s" s="10">
        <v>287</v>
      </c>
      <c r="I636" t="s" s="11">
        <v>73</v>
      </c>
      <c r="J636" t="s" s="11">
        <v>20</v>
      </c>
      <c r="K636" s="15"/>
      <c r="L636" t="s" s="16">
        <f>HYPERLINK("http://csr.bu.edu/ftp/asl/asllvd/demos/verify_start_end_handshape_annotations//test_auto_move//signs_mov_separ_signers/Brady_16219.mov","MOV")</f>
        <v>21</v>
      </c>
      <c r="M636" t="s" s="10">
        <v>60</v>
      </c>
      <c r="N636" s="17">
        <v>42</v>
      </c>
      <c r="O636" s="18">
        <v>844</v>
      </c>
      <c r="P636" s="18">
        <v>879</v>
      </c>
      <c r="Q636" s="15"/>
      <c r="R636" t="s" s="16">
        <f>HYPERLINK("http://secrets.rutgers.edu:8080/data/asl-ftp/asllvd/demos/verify_start_end_handshape_annotations//test_auto_move//signs_mov_separ_signers/Brady_16219.mov","MOV")</f>
        <v>21</v>
      </c>
    </row>
    <row r="637" s="2" customFormat="1" ht="13.5" customHeight="1">
      <c r="B637" t="s" s="8">
        <v>52</v>
      </c>
      <c r="C637" t="s" s="9">
        <v>53</v>
      </c>
      <c r="D637" t="s" s="8">
        <v>53</v>
      </c>
      <c r="E637" t="s" s="9">
        <v>53</v>
      </c>
      <c r="F637" t="s" s="10">
        <v>53</v>
      </c>
      <c r="G637" t="s" s="11">
        <v>53</v>
      </c>
      <c r="H637" t="s" s="10">
        <v>53</v>
      </c>
      <c r="I637" t="s" s="11">
        <v>53</v>
      </c>
      <c r="J637" t="s" s="11">
        <v>53</v>
      </c>
      <c r="K637" t="s" s="12">
        <v>53</v>
      </c>
      <c r="L637" t="s" s="12">
        <v>53</v>
      </c>
      <c r="M637" t="s" s="10">
        <v>53</v>
      </c>
      <c r="N637" t="s" s="11">
        <v>53</v>
      </c>
      <c r="O637" t="s" s="8">
        <v>53</v>
      </c>
      <c r="P637" t="s" s="8">
        <v>53</v>
      </c>
      <c r="Q637" t="s" s="12">
        <v>53</v>
      </c>
      <c r="R637" t="s" s="12">
        <v>53</v>
      </c>
    </row>
    <row r="638" s="2" customFormat="1" ht="13.5" customHeight="1">
      <c r="B638" s="13"/>
      <c r="C638" t="s" s="9">
        <v>16</v>
      </c>
      <c r="D638" t="s" s="8">
        <v>286</v>
      </c>
      <c r="E638" t="s" s="9">
        <v>289</v>
      </c>
      <c r="F638" t="s" s="10">
        <v>51</v>
      </c>
      <c r="G638" t="s" s="11">
        <v>73</v>
      </c>
      <c r="H638" t="s" s="10">
        <v>51</v>
      </c>
      <c r="I638" t="s" s="11">
        <v>73</v>
      </c>
      <c r="J638" t="s" s="11">
        <v>20</v>
      </c>
      <c r="K638" s="15"/>
      <c r="L638" t="s" s="16">
        <f>HYPERLINK("http://csr.bu.edu/ftp/asl/asllvd/demos/verify_start_end_handshape_annotations//test_auto_move//signs_mov_separ_signers/Liz_16220.mov","MOV")</f>
        <v>21</v>
      </c>
      <c r="M638" t="s" s="10">
        <v>84</v>
      </c>
      <c r="N638" s="17">
        <v>15</v>
      </c>
      <c r="O638" s="18">
        <v>1302</v>
      </c>
      <c r="P638" s="18">
        <v>1336</v>
      </c>
      <c r="Q638" s="15"/>
      <c r="R638" t="s" s="16">
        <f>HYPERLINK("http://secrets.rutgers.edu:8080/data/asl-ftp/asllvd/demos/verify_start_end_handshape_annotations//test_auto_move//signs_mov_separ_signers/Liz_16220.mov","MOV")</f>
        <v>21</v>
      </c>
    </row>
    <row r="639" s="2" customFormat="1" ht="13.5" customHeight="1">
      <c r="B639" s="13"/>
      <c r="C639" t="s" s="9">
        <v>23</v>
      </c>
      <c r="D639" t="s" s="8">
        <v>286</v>
      </c>
      <c r="E639" t="s" s="9">
        <v>289</v>
      </c>
      <c r="F639" t="s" s="10">
        <v>51</v>
      </c>
      <c r="G639" t="s" s="11">
        <v>73</v>
      </c>
      <c r="H639" t="s" s="10">
        <v>51</v>
      </c>
      <c r="I639" t="s" s="11">
        <v>73</v>
      </c>
      <c r="J639" t="s" s="11">
        <v>20</v>
      </c>
      <c r="K639" t="s" s="16">
        <f>HYPERLINK("http://csr.bu.edu/ftp/asl/asllvd/demos/verify_start_end_handshape_annotations//test_auto_move//signs_mov/16220.mov","MOV")</f>
        <v>21</v>
      </c>
      <c r="L639" t="s" s="16">
        <f>HYPERLINK("http://csr.bu.edu/ftp/asl/asllvd/demos/verify_start_end_handshape_annotations//test_auto_move//signs_mov_separ_signers/Tyler_16220.mov","MOV")</f>
        <v>21</v>
      </c>
      <c r="M639" t="s" s="10">
        <v>125</v>
      </c>
      <c r="N639" s="17">
        <v>15</v>
      </c>
      <c r="O639" s="18">
        <v>1110</v>
      </c>
      <c r="P639" s="18">
        <v>1146</v>
      </c>
      <c r="Q639" t="s" s="16">
        <f>HYPERLINK("http://secrets.rutgers.edu:8080/data/asl-ftp/asllvd/demos/verify_start_end_handshape_annotations//test_auto_move//signs_mov/16220.mov","MOV")</f>
        <v>21</v>
      </c>
      <c r="R639" t="s" s="16">
        <f>HYPERLINK("http://secrets.rutgers.edu:8080/data/asl-ftp/asllvd/demos/verify_start_end_handshape_annotations//test_auto_move//signs_mov_separ_signers/Tyler_16220.mov","MOV")</f>
        <v>21</v>
      </c>
    </row>
    <row r="640" s="2" customFormat="1" ht="13.5" customHeight="1">
      <c r="B640" s="13"/>
      <c r="C640" t="s" s="9">
        <v>27</v>
      </c>
      <c r="D640" t="s" s="8">
        <v>286</v>
      </c>
      <c r="E640" t="s" s="9">
        <v>289</v>
      </c>
      <c r="F640" t="s" s="10">
        <v>51</v>
      </c>
      <c r="G640" t="s" s="11">
        <v>73</v>
      </c>
      <c r="H640" t="s" s="10">
        <v>51</v>
      </c>
      <c r="I640" t="s" s="11">
        <v>73</v>
      </c>
      <c r="J640" t="s" s="11">
        <v>20</v>
      </c>
      <c r="K640" s="15"/>
      <c r="L640" t="s" s="16">
        <f>HYPERLINK("http://csr.bu.edu/ftp/asl/asllvd/demos/verify_start_end_handshape_annotations//test_auto_move//signs_mov_separ_signers/Naomi_16220.mov","MOV")</f>
        <v>21</v>
      </c>
      <c r="M640" t="s" s="10">
        <v>86</v>
      </c>
      <c r="N640" s="17">
        <v>15</v>
      </c>
      <c r="O640" s="18">
        <v>1381</v>
      </c>
      <c r="P640" s="18">
        <v>1411</v>
      </c>
      <c r="Q640" s="15"/>
      <c r="R640" t="s" s="16">
        <f>HYPERLINK("http://secrets.rutgers.edu:8080/data/asl-ftp/asllvd/demos/verify_start_end_handshape_annotations//test_auto_move//signs_mov_separ_signers/Naomi_16220.mov","MOV")</f>
        <v>21</v>
      </c>
    </row>
    <row r="641" s="2" customFormat="1" ht="13.5" customHeight="1">
      <c r="B641" t="s" s="8">
        <v>290</v>
      </c>
      <c r="C641" t="s" s="9">
        <v>14</v>
      </c>
      <c r="D641" t="s" s="8">
        <v>14</v>
      </c>
      <c r="E641" t="s" s="9">
        <v>14</v>
      </c>
      <c r="F641" t="s" s="10">
        <v>14</v>
      </c>
      <c r="G641" t="s" s="11">
        <v>14</v>
      </c>
      <c r="H641" t="s" s="10">
        <v>14</v>
      </c>
      <c r="I641" t="s" s="11">
        <v>14</v>
      </c>
      <c r="J641" t="s" s="11">
        <v>14</v>
      </c>
      <c r="K641" t="s" s="12">
        <v>14</v>
      </c>
      <c r="L641" t="s" s="12">
        <v>14</v>
      </c>
      <c r="M641" t="s" s="10">
        <v>14</v>
      </c>
      <c r="N641" t="s" s="11">
        <v>14</v>
      </c>
      <c r="O641" t="s" s="8">
        <v>14</v>
      </c>
      <c r="P641" t="s" s="8">
        <v>14</v>
      </c>
      <c r="Q641" t="s" s="12">
        <v>14</v>
      </c>
      <c r="R641" t="s" s="12">
        <v>14</v>
      </c>
    </row>
    <row r="642" s="2" customFormat="1" ht="13.5" customHeight="1">
      <c r="B642" s="13"/>
      <c r="C642" t="s" s="9">
        <v>23</v>
      </c>
      <c r="D642" t="s" s="8">
        <v>290</v>
      </c>
      <c r="E642" t="s" s="9">
        <v>291</v>
      </c>
      <c r="F642" t="s" s="10">
        <v>18</v>
      </c>
      <c r="G642" t="s" s="11">
        <v>73</v>
      </c>
      <c r="H642" t="s" s="10">
        <v>18</v>
      </c>
      <c r="I642" t="s" s="11">
        <v>73</v>
      </c>
      <c r="J642" t="s" s="11">
        <v>20</v>
      </c>
      <c r="K642" s="15"/>
      <c r="L642" t="s" s="16">
        <f>HYPERLINK("http://csr.bu.edu/ftp/asl/asllvd/demos/verify_start_end_handshape_annotations//test_auto_move//signs_mov_separ_signers/Tyler_129.mov","MOV")</f>
        <v>21</v>
      </c>
      <c r="M642" t="s" s="10">
        <v>26</v>
      </c>
      <c r="N642" s="17">
        <v>14</v>
      </c>
      <c r="O642" s="18">
        <v>2596</v>
      </c>
      <c r="P642" s="18">
        <v>2645</v>
      </c>
      <c r="Q642" s="15"/>
      <c r="R642" t="s" s="16">
        <f>HYPERLINK("http://secrets.rutgers.edu:8080/data/asl-ftp/asllvd/demos/verify_start_end_handshape_annotations//test_auto_move//signs_mov_separ_signers/Tyler_129.mov","MOV")</f>
        <v>21</v>
      </c>
    </row>
    <row r="643" s="2" customFormat="1" ht="13.5" customHeight="1">
      <c r="B643" s="13"/>
      <c r="C643" t="s" s="9">
        <v>27</v>
      </c>
      <c r="D643" t="s" s="8">
        <v>290</v>
      </c>
      <c r="E643" t="s" s="9">
        <v>290</v>
      </c>
      <c r="F643" t="s" s="10">
        <v>292</v>
      </c>
      <c r="G643" t="s" s="11">
        <v>73</v>
      </c>
      <c r="H643" t="s" s="10">
        <v>292</v>
      </c>
      <c r="I643" t="s" s="11">
        <v>73</v>
      </c>
      <c r="J643" t="s" s="11">
        <v>20</v>
      </c>
      <c r="K643" s="15"/>
      <c r="L643" t="s" s="16">
        <f>HYPERLINK("http://csr.bu.edu/ftp/asl/asllvd/demos/verify_start_end_handshape_annotations//test_auto_move//signs_mov_separ_signers/Naomi_129.mov","MOV")</f>
        <v>21</v>
      </c>
      <c r="M643" t="s" s="10">
        <v>29</v>
      </c>
      <c r="N643" s="17">
        <v>14</v>
      </c>
      <c r="O643" s="18">
        <v>2540</v>
      </c>
      <c r="P643" s="18">
        <v>2565</v>
      </c>
      <c r="Q643" s="15"/>
      <c r="R643" t="s" s="16">
        <f>HYPERLINK("http://secrets.rutgers.edu:8080/data/asl-ftp/asllvd/demos/verify_start_end_handshape_annotations//test_auto_move//signs_mov_separ_signers/Naomi_129.mov","MOV")</f>
        <v>21</v>
      </c>
    </row>
    <row r="644" s="2" customFormat="1" ht="13.5" customHeight="1">
      <c r="B644" s="13"/>
      <c r="C644" t="s" s="9">
        <v>30</v>
      </c>
      <c r="D644" t="s" s="8">
        <v>290</v>
      </c>
      <c r="E644" t="s" s="9">
        <v>290</v>
      </c>
      <c r="F644" t="s" s="10">
        <v>292</v>
      </c>
      <c r="G644" t="s" s="11">
        <v>73</v>
      </c>
      <c r="H644" t="s" s="10">
        <v>292</v>
      </c>
      <c r="I644" t="s" s="11">
        <v>73</v>
      </c>
      <c r="J644" t="s" s="11">
        <v>20</v>
      </c>
      <c r="K644" t="s" s="16">
        <f>HYPERLINK("http://csr.bu.edu/ftp/asl/asllvd/demos/verify_start_end_handshape_annotations//test_auto_move//signs_mov/129.mov","MOV")</f>
        <v>21</v>
      </c>
      <c r="L644" t="s" s="16">
        <f>HYPERLINK("http://csr.bu.edu/ftp/asl/asllvd/demos/verify_start_end_handshape_annotations//test_auto_move//signs_mov_separ_signers/Brady_129.mov","MOV")</f>
        <v>21</v>
      </c>
      <c r="M644" t="s" s="10">
        <v>31</v>
      </c>
      <c r="N644" s="17">
        <v>13</v>
      </c>
      <c r="O644" s="18">
        <v>3660</v>
      </c>
      <c r="P644" s="18">
        <v>3683</v>
      </c>
      <c r="Q644" t="s" s="16">
        <f>HYPERLINK("http://secrets.rutgers.edu:8080/data/asl-ftp/asllvd/demos/verify_start_end_handshape_annotations//test_auto_move//signs_mov/129.mov","MOV")</f>
        <v>21</v>
      </c>
      <c r="R644" t="s" s="16">
        <f>HYPERLINK("http://secrets.rutgers.edu:8080/data/asl-ftp/asllvd/demos/verify_start_end_handshape_annotations//test_auto_move//signs_mov_separ_signers/Brady_129.mov","MOV")</f>
        <v>21</v>
      </c>
    </row>
    <row r="645" s="2" customFormat="1" ht="13.5" customHeight="1">
      <c r="B645" s="13"/>
      <c r="C645" t="s" s="9">
        <v>41</v>
      </c>
      <c r="D645" t="s" s="8">
        <v>290</v>
      </c>
      <c r="E645" t="s" s="9">
        <v>290</v>
      </c>
      <c r="F645" t="s" s="10">
        <v>18</v>
      </c>
      <c r="G645" t="s" s="11">
        <v>73</v>
      </c>
      <c r="H645" t="s" s="10">
        <v>18</v>
      </c>
      <c r="I645" t="s" s="11">
        <v>73</v>
      </c>
      <c r="J645" t="s" s="11">
        <v>20</v>
      </c>
      <c r="K645" s="15"/>
      <c r="L645" t="s" s="16">
        <f>HYPERLINK("http://csr.bu.edu/ftp/asl/asllvd/demos/verify_start_end_handshape_annotations//test_auto_move//signs_mov_separ_signers/Lana_129.mov","MOV")</f>
        <v>21</v>
      </c>
      <c r="M645" t="s" s="10">
        <v>42</v>
      </c>
      <c r="N645" s="17">
        <v>3</v>
      </c>
      <c r="O645" s="18">
        <v>649</v>
      </c>
      <c r="P645" s="18">
        <v>669</v>
      </c>
      <c r="Q645" s="15"/>
      <c r="R645" t="s" s="16">
        <f>HYPERLINK("http://secrets.rutgers.edu:8080/data/asl-ftp/asllvd/demos/verify_start_end_handshape_annotations//test_auto_move//signs_mov_separ_signers/Lana_129.mov","MOV")</f>
        <v>21</v>
      </c>
    </row>
    <row r="646" s="2" customFormat="1" ht="13.5" customHeight="1">
      <c r="B646" s="13"/>
      <c r="C646" t="s" s="9">
        <v>43</v>
      </c>
      <c r="D646" t="s" s="8">
        <v>290</v>
      </c>
      <c r="E646" t="s" s="9">
        <v>290</v>
      </c>
      <c r="F646" t="s" s="10">
        <v>18</v>
      </c>
      <c r="G646" t="s" s="11">
        <v>73</v>
      </c>
      <c r="H646" t="s" s="10">
        <v>18</v>
      </c>
      <c r="I646" t="s" s="11">
        <v>73</v>
      </c>
      <c r="J646" t="s" s="11">
        <v>20</v>
      </c>
      <c r="K646" s="15"/>
      <c r="L646" t="s" s="16">
        <f>HYPERLINK("http://csr.bu.edu/ftp/asl/asllvd/demos/verify_start_end_handshape_annotations//test_auto_move//signs_mov_separ_signers/Dana_129.mov","MOV")</f>
        <v>21</v>
      </c>
      <c r="M646" t="s" s="10">
        <v>44</v>
      </c>
      <c r="N646" s="17">
        <v>7</v>
      </c>
      <c r="O646" s="18">
        <v>580</v>
      </c>
      <c r="P646" s="18">
        <v>640</v>
      </c>
      <c r="Q646" s="15"/>
      <c r="R646" t="s" s="16">
        <f>HYPERLINK("http://secrets.rutgers.edu:8080/data/asl-ftp/asllvd/demos/verify_start_end_handshape_annotations//test_auto_move//signs_mov_separ_signers/Dana_129.mov","MOV")</f>
        <v>21</v>
      </c>
    </row>
    <row r="647" s="2" customFormat="1" ht="13.5" customHeight="1">
      <c r="B647" t="s" s="8">
        <v>293</v>
      </c>
      <c r="C647" t="s" s="9">
        <v>14</v>
      </c>
      <c r="D647" t="s" s="8">
        <v>14</v>
      </c>
      <c r="E647" t="s" s="9">
        <v>14</v>
      </c>
      <c r="F647" t="s" s="10">
        <v>14</v>
      </c>
      <c r="G647" t="s" s="11">
        <v>14</v>
      </c>
      <c r="H647" t="s" s="10">
        <v>14</v>
      </c>
      <c r="I647" t="s" s="11">
        <v>14</v>
      </c>
      <c r="J647" t="s" s="11">
        <v>14</v>
      </c>
      <c r="K647" t="s" s="12">
        <v>14</v>
      </c>
      <c r="L647" t="s" s="12">
        <v>14</v>
      </c>
      <c r="M647" t="s" s="10">
        <v>14</v>
      </c>
      <c r="N647" t="s" s="11">
        <v>14</v>
      </c>
      <c r="O647" t="s" s="8">
        <v>14</v>
      </c>
      <c r="P647" t="s" s="8">
        <v>14</v>
      </c>
      <c r="Q647" t="s" s="12">
        <v>14</v>
      </c>
      <c r="R647" t="s" s="12">
        <v>14</v>
      </c>
    </row>
    <row r="648" s="2" customFormat="1" ht="13.5" customHeight="1">
      <c r="B648" s="13"/>
      <c r="C648" t="s" s="9">
        <v>16</v>
      </c>
      <c r="D648" t="s" s="8">
        <v>293</v>
      </c>
      <c r="E648" t="s" s="9">
        <v>293</v>
      </c>
      <c r="F648" t="s" s="10">
        <v>185</v>
      </c>
      <c r="G648" t="s" s="11">
        <v>73</v>
      </c>
      <c r="H648" t="s" s="10">
        <v>185</v>
      </c>
      <c r="I648" t="s" s="11">
        <v>73</v>
      </c>
      <c r="J648" t="s" s="11">
        <v>20</v>
      </c>
      <c r="K648" t="s" s="16">
        <f>HYPERLINK("http://csr.bu.edu/ftp/asl/asllvd/demos/verify_start_end_handshape_annotations//test_auto_move//signs_mov/5038.mov","MOV")</f>
        <v>21</v>
      </c>
      <c r="L648" t="s" s="16">
        <f>HYPERLINK("http://csr.bu.edu/ftp/asl/asllvd/demos/verify_start_end_handshape_annotations//test_auto_move//signs_mov_separ_signers/Liz_5038.mov","MOV")</f>
        <v>21</v>
      </c>
      <c r="M648" t="s" s="10">
        <v>22</v>
      </c>
      <c r="N648" s="17">
        <v>70</v>
      </c>
      <c r="O648" s="18">
        <v>1145</v>
      </c>
      <c r="P648" s="18">
        <v>1170</v>
      </c>
      <c r="Q648" t="s" s="16">
        <f>HYPERLINK("http://secrets.rutgers.edu:8080/data/asl-ftp/asllvd/demos/verify_start_end_handshape_annotations//test_auto_move//signs_mov/5038.mov","MOV")</f>
        <v>21</v>
      </c>
      <c r="R648" t="s" s="16">
        <f>HYPERLINK("http://secrets.rutgers.edu:8080/data/asl-ftp/asllvd/demos/verify_start_end_handshape_annotations//test_auto_move//signs_mov_separ_signers/Liz_5038.mov","MOV")</f>
        <v>21</v>
      </c>
    </row>
    <row r="649" s="2" customFormat="1" ht="13.5" customHeight="1">
      <c r="B649" s="13"/>
      <c r="C649" t="s" s="9">
        <v>27</v>
      </c>
      <c r="D649" t="s" s="8">
        <v>293</v>
      </c>
      <c r="E649" t="s" s="9">
        <v>293</v>
      </c>
      <c r="F649" t="s" s="10">
        <v>150</v>
      </c>
      <c r="G649" t="s" s="11">
        <v>73</v>
      </c>
      <c r="H649" t="s" s="10">
        <v>150</v>
      </c>
      <c r="I649" t="s" s="11">
        <v>73</v>
      </c>
      <c r="J649" t="s" s="11">
        <v>20</v>
      </c>
      <c r="K649" s="15"/>
      <c r="L649" t="s" s="16">
        <f>HYPERLINK("http://csr.bu.edu/ftp/asl/asllvd/demos/verify_start_end_handshape_annotations//test_auto_move//signs_mov_separ_signers/Naomi_5038.mov","MOV")</f>
        <v>21</v>
      </c>
      <c r="M649" t="s" s="10">
        <v>29</v>
      </c>
      <c r="N649" s="17">
        <v>44</v>
      </c>
      <c r="O649" s="18">
        <v>3007</v>
      </c>
      <c r="P649" s="18">
        <v>3042</v>
      </c>
      <c r="Q649" s="15"/>
      <c r="R649" t="s" s="16">
        <f>HYPERLINK("http://secrets.rutgers.edu:8080/data/asl-ftp/asllvd/demos/verify_start_end_handshape_annotations//test_auto_move//signs_mov_separ_signers/Naomi_5038.mov","MOV")</f>
        <v>21</v>
      </c>
    </row>
    <row r="650" s="2" customFormat="1" ht="13.5" customHeight="1">
      <c r="B650" t="s" s="8">
        <v>294</v>
      </c>
      <c r="C650" t="s" s="9">
        <v>14</v>
      </c>
      <c r="D650" t="s" s="8">
        <v>14</v>
      </c>
      <c r="E650" t="s" s="9">
        <v>14</v>
      </c>
      <c r="F650" t="s" s="10">
        <v>14</v>
      </c>
      <c r="G650" t="s" s="11">
        <v>14</v>
      </c>
      <c r="H650" t="s" s="10">
        <v>14</v>
      </c>
      <c r="I650" t="s" s="11">
        <v>14</v>
      </c>
      <c r="J650" t="s" s="11">
        <v>14</v>
      </c>
      <c r="K650" t="s" s="12">
        <v>14</v>
      </c>
      <c r="L650" t="s" s="12">
        <v>14</v>
      </c>
      <c r="M650" t="s" s="10">
        <v>14</v>
      </c>
      <c r="N650" t="s" s="11">
        <v>14</v>
      </c>
      <c r="O650" t="s" s="8">
        <v>14</v>
      </c>
      <c r="P650" t="s" s="8">
        <v>14</v>
      </c>
      <c r="Q650" t="s" s="12">
        <v>14</v>
      </c>
      <c r="R650" t="s" s="12">
        <v>14</v>
      </c>
    </row>
    <row r="651" s="2" customFormat="1" ht="13.5" customHeight="1">
      <c r="B651" s="13"/>
      <c r="C651" t="s" s="9">
        <v>27</v>
      </c>
      <c r="D651" t="s" s="8">
        <v>294</v>
      </c>
      <c r="E651" t="s" s="9">
        <v>294</v>
      </c>
      <c r="F651" t="s" s="10">
        <v>63</v>
      </c>
      <c r="G651" s="14"/>
      <c r="H651" s="19">
        <v>5</v>
      </c>
      <c r="I651" s="14"/>
      <c r="J651" t="s" s="11">
        <v>20</v>
      </c>
      <c r="K651" s="15"/>
      <c r="L651" t="s" s="16">
        <f>HYPERLINK("http://csr.bu.edu/ftp/asl/asllvd/demos/verify_start_end_handshape_annotations//test_auto_move//signs_mov_separ_signers/Naomi_133.mov","MOV")</f>
        <v>21</v>
      </c>
      <c r="M651" t="s" s="10">
        <v>29</v>
      </c>
      <c r="N651" s="17">
        <v>15</v>
      </c>
      <c r="O651" s="18">
        <v>1955</v>
      </c>
      <c r="P651" s="18">
        <v>1998</v>
      </c>
      <c r="Q651" s="15"/>
      <c r="R651" t="s" s="16">
        <f>HYPERLINK("http://secrets.rutgers.edu:8080/data/asl-ftp/asllvd/demos/verify_start_end_handshape_annotations//test_auto_move//signs_mov_separ_signers/Naomi_133.mov","MOV")</f>
        <v>21</v>
      </c>
    </row>
    <row r="652" s="2" customFormat="1" ht="13.5" customHeight="1">
      <c r="B652" s="13"/>
      <c r="C652" t="s" s="9">
        <v>30</v>
      </c>
      <c r="D652" t="s" s="8">
        <v>294</v>
      </c>
      <c r="E652" t="s" s="9">
        <v>294</v>
      </c>
      <c r="F652" t="s" s="10">
        <v>63</v>
      </c>
      <c r="G652" s="14"/>
      <c r="H652" s="19">
        <v>5</v>
      </c>
      <c r="I652" s="14"/>
      <c r="J652" t="s" s="11">
        <v>20</v>
      </c>
      <c r="K652" t="s" s="16">
        <f>HYPERLINK("http://csr.bu.edu/ftp/asl/asllvd/demos/verify_start_end_handshape_annotations//test_auto_move//signs_mov/133_3573_merged.mov","MOV")</f>
        <v>21</v>
      </c>
      <c r="L652" t="s" s="16">
        <f>HYPERLINK("http://csr.bu.edu/ftp/asl/asllvd/demos/verify_start_end_handshape_annotations//test_auto_move//signs_mov_separ_signers/Brady_133.mov","MOV")</f>
        <v>21</v>
      </c>
      <c r="M652" t="s" s="10">
        <v>31</v>
      </c>
      <c r="N652" s="17">
        <v>13</v>
      </c>
      <c r="O652" s="18">
        <v>6313</v>
      </c>
      <c r="P652" s="18">
        <v>6346</v>
      </c>
      <c r="Q652" t="s" s="16">
        <f>HYPERLINK("http://secrets.rutgers.edu:8080/data/asl-ftp/asllvd/demos/verify_start_end_handshape_annotations//test_auto_move//signs_mov/133_3573_merged.mov","MOV")</f>
        <v>21</v>
      </c>
      <c r="R652" t="s" s="16">
        <f>HYPERLINK("http://secrets.rutgers.edu:8080/data/asl-ftp/asllvd/demos/verify_start_end_handshape_annotations//test_auto_move//signs_mov_separ_signers/Brady_133.mov","MOV")</f>
        <v>21</v>
      </c>
    </row>
    <row r="653" s="2" customFormat="1" ht="13.5" customHeight="1">
      <c r="B653" s="13"/>
      <c r="C653" t="s" s="9">
        <v>30</v>
      </c>
      <c r="D653" t="s" s="8">
        <v>294</v>
      </c>
      <c r="E653" t="s" s="9">
        <v>294</v>
      </c>
      <c r="F653" t="s" s="10">
        <v>63</v>
      </c>
      <c r="G653" s="14"/>
      <c r="H653" s="19">
        <v>5</v>
      </c>
      <c r="I653" s="14"/>
      <c r="J653" t="s" s="11">
        <v>20</v>
      </c>
      <c r="K653" s="15"/>
      <c r="L653" t="s" s="16">
        <f>HYPERLINK("http://csr.bu.edu/ftp/asl/asllvd/demos/verify_start_end_handshape_annotations//test_auto_move//signs_mov_separ_signers/Brady_3573.mov","MOV")</f>
        <v>21</v>
      </c>
      <c r="M653" t="s" s="10">
        <v>39</v>
      </c>
      <c r="N653" s="17">
        <v>12</v>
      </c>
      <c r="O653" s="18">
        <v>7486</v>
      </c>
      <c r="P653" s="18">
        <v>7519</v>
      </c>
      <c r="Q653" s="15"/>
      <c r="R653" t="s" s="16">
        <f>HYPERLINK("http://secrets.rutgers.edu:8080/data/asl-ftp/asllvd/demos/verify_start_end_handshape_annotations//test_auto_move//signs_mov_separ_signers/Brady_3573.mov","MOV")</f>
        <v>21</v>
      </c>
    </row>
    <row r="654" s="2" customFormat="1" ht="13.5" customHeight="1">
      <c r="B654" t="s" s="8">
        <v>52</v>
      </c>
      <c r="C654" t="s" s="9">
        <v>53</v>
      </c>
      <c r="D654" t="s" s="8">
        <v>53</v>
      </c>
      <c r="E654" t="s" s="9">
        <v>53</v>
      </c>
      <c r="F654" t="s" s="10">
        <v>53</v>
      </c>
      <c r="G654" t="s" s="11">
        <v>53</v>
      </c>
      <c r="H654" t="s" s="10">
        <v>53</v>
      </c>
      <c r="I654" t="s" s="11">
        <v>53</v>
      </c>
      <c r="J654" t="s" s="11">
        <v>53</v>
      </c>
      <c r="K654" t="s" s="12">
        <v>53</v>
      </c>
      <c r="L654" t="s" s="12">
        <v>53</v>
      </c>
      <c r="M654" t="s" s="10">
        <v>53</v>
      </c>
      <c r="N654" t="s" s="11">
        <v>53</v>
      </c>
      <c r="O654" t="s" s="8">
        <v>53</v>
      </c>
      <c r="P654" t="s" s="8">
        <v>53</v>
      </c>
      <c r="Q654" t="s" s="12">
        <v>53</v>
      </c>
      <c r="R654" t="s" s="12">
        <v>53</v>
      </c>
    </row>
    <row r="655" s="2" customFormat="1" ht="13.5" customHeight="1">
      <c r="B655" s="13"/>
      <c r="C655" t="s" s="9">
        <v>16</v>
      </c>
      <c r="D655" t="s" s="8">
        <v>294</v>
      </c>
      <c r="E655" t="s" s="9">
        <v>295</v>
      </c>
      <c r="F655" t="s" s="10">
        <v>63</v>
      </c>
      <c r="G655" s="14"/>
      <c r="H655" s="19">
        <v>5</v>
      </c>
      <c r="I655" s="14"/>
      <c r="J655" t="s" s="11">
        <v>20</v>
      </c>
      <c r="K655" t="s" s="16">
        <f>HYPERLINK("http://csr.bu.edu/ftp/asl/asllvd/demos/verify_start_end_handshape_annotations//test_auto_move//signs_mov/16265.mov","MOV")</f>
        <v>21</v>
      </c>
      <c r="L655" t="s" s="16">
        <f>HYPERLINK("http://csr.bu.edu/ftp/asl/asllvd/demos/verify_start_end_handshape_annotations//test_auto_move//signs_mov_separ_signers/Liz_16265.mov","MOV")</f>
        <v>21</v>
      </c>
      <c r="M655" t="s" s="10">
        <v>22</v>
      </c>
      <c r="N655" s="17">
        <v>23</v>
      </c>
      <c r="O655" s="18">
        <v>225</v>
      </c>
      <c r="P655" s="18">
        <v>295</v>
      </c>
      <c r="Q655" t="s" s="16">
        <f>HYPERLINK("http://secrets.rutgers.edu:8080/data/asl-ftp/asllvd/demos/verify_start_end_handshape_annotations//test_auto_move//signs_mov/16265.mov","MOV")</f>
        <v>21</v>
      </c>
      <c r="R655" t="s" s="16">
        <f>HYPERLINK("http://secrets.rutgers.edu:8080/data/asl-ftp/asllvd/demos/verify_start_end_handshape_annotations//test_auto_move//signs_mov_separ_signers/Liz_16265.mov","MOV")</f>
        <v>21</v>
      </c>
    </row>
    <row r="656" s="2" customFormat="1" ht="13.5" customHeight="1">
      <c r="B656" t="s" s="8">
        <v>294</v>
      </c>
      <c r="C656" t="s" s="9">
        <v>14</v>
      </c>
      <c r="D656" t="s" s="8">
        <v>14</v>
      </c>
      <c r="E656" t="s" s="9">
        <v>14</v>
      </c>
      <c r="F656" t="s" s="10">
        <v>14</v>
      </c>
      <c r="G656" t="s" s="11">
        <v>14</v>
      </c>
      <c r="H656" t="s" s="10">
        <v>14</v>
      </c>
      <c r="I656" t="s" s="11">
        <v>14</v>
      </c>
      <c r="J656" t="s" s="11">
        <v>14</v>
      </c>
      <c r="K656" t="s" s="12">
        <v>14</v>
      </c>
      <c r="L656" t="s" s="12">
        <v>14</v>
      </c>
      <c r="M656" t="s" s="10">
        <v>14</v>
      </c>
      <c r="N656" t="s" s="11">
        <v>14</v>
      </c>
      <c r="O656" t="s" s="8">
        <v>14</v>
      </c>
      <c r="P656" t="s" s="8">
        <v>14</v>
      </c>
      <c r="Q656" t="s" s="12">
        <v>14</v>
      </c>
      <c r="R656" t="s" s="12">
        <v>14</v>
      </c>
    </row>
    <row r="657" s="2" customFormat="1" ht="13.5" customHeight="1">
      <c r="B657" s="13"/>
      <c r="C657" t="s" s="9">
        <v>16</v>
      </c>
      <c r="D657" t="s" s="8">
        <v>296</v>
      </c>
      <c r="E657" t="s" s="9">
        <v>296</v>
      </c>
      <c r="F657" t="s" s="10">
        <v>63</v>
      </c>
      <c r="G657" s="14"/>
      <c r="H657" t="s" s="10">
        <v>63</v>
      </c>
      <c r="I657" s="14"/>
      <c r="J657" t="s" s="11">
        <v>20</v>
      </c>
      <c r="K657" t="s" s="16">
        <f>HYPERLINK("http://csr.bu.edu/ftp/asl/asllvd/demos/verify_start_end_handshape_annotations//test_auto_move//signs_mov/16276.mov","MOV")</f>
        <v>21</v>
      </c>
      <c r="L657" t="s" s="16">
        <f>HYPERLINK("http://csr.bu.edu/ftp/asl/asllvd/demos/verify_start_end_handshape_annotations//test_auto_move//signs_mov_separ_signers/Liz_16276.mov","MOV")</f>
        <v>21</v>
      </c>
      <c r="M657" t="s" s="10">
        <v>22</v>
      </c>
      <c r="N657" s="17">
        <v>22</v>
      </c>
      <c r="O657" s="18">
        <v>1590</v>
      </c>
      <c r="P657" s="18">
        <v>1650</v>
      </c>
      <c r="Q657" t="s" s="16">
        <f>HYPERLINK("http://secrets.rutgers.edu:8080/data/asl-ftp/asllvd/demos/verify_start_end_handshape_annotations//test_auto_move//signs_mov/16276.mov","MOV")</f>
        <v>21</v>
      </c>
      <c r="R657" t="s" s="16">
        <f>HYPERLINK("http://secrets.rutgers.edu:8080/data/asl-ftp/asllvd/demos/verify_start_end_handshape_annotations//test_auto_move//signs_mov_separ_signers/Liz_16276.mov","MOV")</f>
        <v>21</v>
      </c>
    </row>
    <row r="658" s="2" customFormat="1" ht="13.5" customHeight="1">
      <c r="B658" t="s" s="8">
        <v>297</v>
      </c>
      <c r="C658" t="s" s="9">
        <v>14</v>
      </c>
      <c r="D658" t="s" s="8">
        <v>14</v>
      </c>
      <c r="E658" t="s" s="9">
        <v>14</v>
      </c>
      <c r="F658" t="s" s="10">
        <v>14</v>
      </c>
      <c r="G658" t="s" s="11">
        <v>14</v>
      </c>
      <c r="H658" t="s" s="10">
        <v>14</v>
      </c>
      <c r="I658" t="s" s="11">
        <v>14</v>
      </c>
      <c r="J658" t="s" s="11">
        <v>14</v>
      </c>
      <c r="K658" t="s" s="12">
        <v>14</v>
      </c>
      <c r="L658" t="s" s="12">
        <v>14</v>
      </c>
      <c r="M658" t="s" s="10">
        <v>14</v>
      </c>
      <c r="N658" t="s" s="11">
        <v>14</v>
      </c>
      <c r="O658" t="s" s="8">
        <v>14</v>
      </c>
      <c r="P658" t="s" s="8">
        <v>14</v>
      </c>
      <c r="Q658" t="s" s="12">
        <v>14</v>
      </c>
      <c r="R658" t="s" s="12">
        <v>14</v>
      </c>
    </row>
    <row r="659" s="2" customFormat="1" ht="13.5" customHeight="1">
      <c r="B659" s="13"/>
      <c r="C659" t="s" s="9">
        <v>16</v>
      </c>
      <c r="D659" t="s" s="8">
        <v>297</v>
      </c>
      <c r="E659" t="s" s="9">
        <v>298</v>
      </c>
      <c r="F659" s="19">
        <v>10</v>
      </c>
      <c r="G659" s="17">
        <v>10</v>
      </c>
      <c r="H659" s="19">
        <v>10</v>
      </c>
      <c r="I659" s="17">
        <v>10</v>
      </c>
      <c r="J659" t="s" s="11">
        <v>20</v>
      </c>
      <c r="K659" s="15"/>
      <c r="L659" t="s" s="16">
        <f>HYPERLINK("http://csr.bu.edu/ftp/asl/asllvd/demos/verify_start_end_handshape_annotations//test_auto_move//signs_mov_separ_signers/Liz_138.mov","MOV")</f>
        <v>21</v>
      </c>
      <c r="M659" t="s" s="10">
        <v>22</v>
      </c>
      <c r="N659" s="17">
        <v>23</v>
      </c>
      <c r="O659" s="18">
        <v>1075</v>
      </c>
      <c r="P659" s="18">
        <v>1125</v>
      </c>
      <c r="Q659" s="15"/>
      <c r="R659" t="s" s="16">
        <f>HYPERLINK("http://secrets.rutgers.edu:8080/data/asl-ftp/asllvd/demos/verify_start_end_handshape_annotations//test_auto_move//signs_mov_separ_signers/Liz_138.mov","MOV")</f>
        <v>21</v>
      </c>
    </row>
    <row r="660" s="2" customFormat="1" ht="13.5" customHeight="1">
      <c r="B660" s="13"/>
      <c r="C660" t="s" s="9">
        <v>27</v>
      </c>
      <c r="D660" t="s" s="8">
        <v>297</v>
      </c>
      <c r="E660" t="s" s="9">
        <v>298</v>
      </c>
      <c r="F660" s="19">
        <v>10</v>
      </c>
      <c r="G660" s="17">
        <v>10</v>
      </c>
      <c r="H660" s="19">
        <v>10</v>
      </c>
      <c r="I660" s="17">
        <v>10</v>
      </c>
      <c r="J660" t="s" s="11">
        <v>20</v>
      </c>
      <c r="K660" t="s" s="16">
        <f>HYPERLINK("http://csr.bu.edu/ftp/asl/asllvd/demos/verify_start_end_handshape_annotations//test_auto_move//signs_mov/138.mov","MOV")</f>
        <v>21</v>
      </c>
      <c r="L660" t="s" s="16">
        <f>HYPERLINK("http://csr.bu.edu/ftp/asl/asllvd/demos/verify_start_end_handshape_annotations//test_auto_move//signs_mov_separ_signers/Naomi_138.mov","MOV")</f>
        <v>21</v>
      </c>
      <c r="M660" t="s" s="10">
        <v>29</v>
      </c>
      <c r="N660" s="17">
        <v>15</v>
      </c>
      <c r="O660" s="18">
        <v>2845</v>
      </c>
      <c r="P660" s="18">
        <v>2905</v>
      </c>
      <c r="Q660" t="s" s="16">
        <f>HYPERLINK("http://secrets.rutgers.edu:8080/data/asl-ftp/asllvd/demos/verify_start_end_handshape_annotations//test_auto_move//signs_mov/138.mov","MOV")</f>
        <v>21</v>
      </c>
      <c r="R660" t="s" s="16">
        <f>HYPERLINK("http://secrets.rutgers.edu:8080/data/asl-ftp/asllvd/demos/verify_start_end_handshape_annotations//test_auto_move//signs_mov_separ_signers/Naomi_138.mov","MOV")</f>
        <v>21</v>
      </c>
    </row>
    <row r="661" s="2" customFormat="1" ht="13.5" customHeight="1">
      <c r="B661" s="13"/>
      <c r="C661" t="s" s="9">
        <v>30</v>
      </c>
      <c r="D661" t="s" s="8">
        <v>297</v>
      </c>
      <c r="E661" t="s" s="9">
        <v>298</v>
      </c>
      <c r="F661" s="19">
        <v>10</v>
      </c>
      <c r="G661" s="17">
        <v>10</v>
      </c>
      <c r="H661" s="19">
        <v>10</v>
      </c>
      <c r="I661" s="17">
        <v>10</v>
      </c>
      <c r="J661" t="s" s="11">
        <v>20</v>
      </c>
      <c r="K661" s="15"/>
      <c r="L661" t="s" s="16">
        <f>HYPERLINK("http://csr.bu.edu/ftp/asl/asllvd/demos/verify_start_end_handshape_annotations//test_auto_move//signs_mov_separ_signers/Brady_138.mov","MOV")</f>
        <v>21</v>
      </c>
      <c r="M661" t="s" s="10">
        <v>31</v>
      </c>
      <c r="N661" s="17">
        <v>13</v>
      </c>
      <c r="O661" s="18">
        <v>8245</v>
      </c>
      <c r="P661" s="18">
        <v>8282</v>
      </c>
      <c r="Q661" s="15"/>
      <c r="R661" t="s" s="16">
        <f>HYPERLINK("http://secrets.rutgers.edu:8080/data/asl-ftp/asllvd/demos/verify_start_end_handshape_annotations//test_auto_move//signs_mov_separ_signers/Brady_138.mov","MOV")</f>
        <v>21</v>
      </c>
    </row>
    <row r="662" s="2" customFormat="1" ht="13.5" customHeight="1">
      <c r="B662" t="s" s="8">
        <v>299</v>
      </c>
      <c r="C662" t="s" s="9">
        <v>14</v>
      </c>
      <c r="D662" t="s" s="8">
        <v>14</v>
      </c>
      <c r="E662" t="s" s="9">
        <v>14</v>
      </c>
      <c r="F662" t="s" s="10">
        <v>14</v>
      </c>
      <c r="G662" t="s" s="11">
        <v>14</v>
      </c>
      <c r="H662" t="s" s="10">
        <v>14</v>
      </c>
      <c r="I662" t="s" s="11">
        <v>14</v>
      </c>
      <c r="J662" t="s" s="11">
        <v>14</v>
      </c>
      <c r="K662" t="s" s="12">
        <v>14</v>
      </c>
      <c r="L662" t="s" s="12">
        <v>14</v>
      </c>
      <c r="M662" t="s" s="10">
        <v>14</v>
      </c>
      <c r="N662" t="s" s="11">
        <v>14</v>
      </c>
      <c r="O662" t="s" s="8">
        <v>14</v>
      </c>
      <c r="P662" t="s" s="8">
        <v>14</v>
      </c>
      <c r="Q662" t="s" s="12">
        <v>14</v>
      </c>
      <c r="R662" t="s" s="12">
        <v>14</v>
      </c>
    </row>
    <row r="663" s="2" customFormat="1" ht="13.5" customHeight="1">
      <c r="B663" s="13"/>
      <c r="C663" t="s" s="9">
        <v>16</v>
      </c>
      <c r="D663" t="s" s="8">
        <v>299</v>
      </c>
      <c r="E663" t="s" s="9">
        <v>299</v>
      </c>
      <c r="F663" s="19">
        <v>10</v>
      </c>
      <c r="G663" t="s" s="11">
        <v>73</v>
      </c>
      <c r="H663" s="19">
        <v>10</v>
      </c>
      <c r="I663" t="s" s="11">
        <v>73</v>
      </c>
      <c r="J663" t="s" s="11">
        <v>20</v>
      </c>
      <c r="K663" t="s" s="16">
        <f>HYPERLINK("http://csr.bu.edu/ftp/asl/asllvd/demos/verify_start_end_handshape_annotations//test_auto_move//signs_mov/140.mov","MOV")</f>
        <v>21</v>
      </c>
      <c r="L663" t="s" s="16">
        <f>HYPERLINK("http://csr.bu.edu/ftp/asl/asllvd/demos/verify_start_end_handshape_annotations//test_auto_move//signs_mov_separ_signers/Liz_140.mov","MOV")</f>
        <v>21</v>
      </c>
      <c r="M663" t="s" s="10">
        <v>22</v>
      </c>
      <c r="N663" s="17">
        <v>24</v>
      </c>
      <c r="O663" s="18">
        <v>335</v>
      </c>
      <c r="P663" s="18">
        <v>370</v>
      </c>
      <c r="Q663" t="s" s="16">
        <f>HYPERLINK("http://secrets.rutgers.edu:8080/data/asl-ftp/asllvd/demos/verify_start_end_handshape_annotations//test_auto_move//signs_mov/140.mov","MOV")</f>
        <v>21</v>
      </c>
      <c r="R663" t="s" s="16">
        <f>HYPERLINK("http://secrets.rutgers.edu:8080/data/asl-ftp/asllvd/demos/verify_start_end_handshape_annotations//test_auto_move//signs_mov_separ_signers/Liz_140.mov","MOV")</f>
        <v>21</v>
      </c>
    </row>
    <row r="664" s="2" customFormat="1" ht="13.5" customHeight="1">
      <c r="B664" s="13"/>
      <c r="C664" t="s" s="9">
        <v>30</v>
      </c>
      <c r="D664" t="s" s="8">
        <v>299</v>
      </c>
      <c r="E664" t="s" s="9">
        <v>299</v>
      </c>
      <c r="F664" s="19">
        <v>10</v>
      </c>
      <c r="G664" t="s" s="11">
        <v>73</v>
      </c>
      <c r="H664" s="19">
        <v>10</v>
      </c>
      <c r="I664" t="s" s="11">
        <v>73</v>
      </c>
      <c r="J664" t="s" s="11">
        <v>20</v>
      </c>
      <c r="K664" s="15"/>
      <c r="L664" t="s" s="16">
        <f>HYPERLINK("http://csr.bu.edu/ftp/asl/asllvd/demos/verify_start_end_handshape_annotations//test_auto_move//signs_mov_separ_signers/Brady_140.mov","MOV")</f>
        <v>21</v>
      </c>
      <c r="M664" t="s" s="10">
        <v>31</v>
      </c>
      <c r="N664" s="17">
        <v>13</v>
      </c>
      <c r="O664" s="18">
        <v>15974</v>
      </c>
      <c r="P664" s="18">
        <v>16004</v>
      </c>
      <c r="Q664" s="15"/>
      <c r="R664" t="s" s="16">
        <f>HYPERLINK("http://secrets.rutgers.edu:8080/data/asl-ftp/asllvd/demos/verify_start_end_handshape_annotations//test_auto_move//signs_mov_separ_signers/Brady_140.mov","MOV")</f>
        <v>21</v>
      </c>
    </row>
    <row r="665" s="2" customFormat="1" ht="13.5" customHeight="1">
      <c r="B665" t="s" s="8">
        <v>300</v>
      </c>
      <c r="C665" t="s" s="9">
        <v>14</v>
      </c>
      <c r="D665" t="s" s="8">
        <v>14</v>
      </c>
      <c r="E665" t="s" s="9">
        <v>14</v>
      </c>
      <c r="F665" t="s" s="10">
        <v>14</v>
      </c>
      <c r="G665" t="s" s="11">
        <v>14</v>
      </c>
      <c r="H665" t="s" s="10">
        <v>14</v>
      </c>
      <c r="I665" t="s" s="11">
        <v>14</v>
      </c>
      <c r="J665" t="s" s="11">
        <v>14</v>
      </c>
      <c r="K665" t="s" s="12">
        <v>14</v>
      </c>
      <c r="L665" t="s" s="12">
        <v>14</v>
      </c>
      <c r="M665" t="s" s="10">
        <v>14</v>
      </c>
      <c r="N665" t="s" s="11">
        <v>14</v>
      </c>
      <c r="O665" t="s" s="8">
        <v>14</v>
      </c>
      <c r="P665" t="s" s="8">
        <v>14</v>
      </c>
      <c r="Q665" t="s" s="12">
        <v>14</v>
      </c>
      <c r="R665" t="s" s="12">
        <v>14</v>
      </c>
    </row>
    <row r="666" s="2" customFormat="1" ht="13.5" customHeight="1">
      <c r="B666" s="13"/>
      <c r="C666" t="s" s="9">
        <v>16</v>
      </c>
      <c r="D666" t="s" s="8">
        <v>300</v>
      </c>
      <c r="E666" t="s" s="9">
        <v>300</v>
      </c>
      <c r="F666" t="s" s="10">
        <v>63</v>
      </c>
      <c r="G666" s="14"/>
      <c r="H666" t="s" s="10">
        <v>63</v>
      </c>
      <c r="I666" s="14"/>
      <c r="J666" t="s" s="11">
        <v>20</v>
      </c>
      <c r="K666" s="15"/>
      <c r="L666" t="s" s="16">
        <f>HYPERLINK("http://csr.bu.edu/ftp/asl/asllvd/demos/verify_start_end_handshape_annotations//test_auto_move//signs_mov_separ_signers/Liz_141.mov","MOV")</f>
        <v>21</v>
      </c>
      <c r="M666" t="s" s="10">
        <v>22</v>
      </c>
      <c r="N666" s="17">
        <v>24</v>
      </c>
      <c r="O666" s="18">
        <v>555</v>
      </c>
      <c r="P666" s="18">
        <v>595</v>
      </c>
      <c r="Q666" s="15"/>
      <c r="R666" t="s" s="16">
        <f>HYPERLINK("http://secrets.rutgers.edu:8080/data/asl-ftp/asllvd/demos/verify_start_end_handshape_annotations//test_auto_move//signs_mov_separ_signers/Liz_141.mov","MOV")</f>
        <v>21</v>
      </c>
    </row>
    <row r="667" s="2" customFormat="1" ht="13.5" customHeight="1">
      <c r="B667" s="13"/>
      <c r="C667" t="s" s="9">
        <v>23</v>
      </c>
      <c r="D667" t="s" s="8">
        <v>300</v>
      </c>
      <c r="E667" t="s" s="9">
        <v>300</v>
      </c>
      <c r="F667" t="s" s="10">
        <v>63</v>
      </c>
      <c r="G667" s="14"/>
      <c r="H667" t="s" s="10">
        <v>63</v>
      </c>
      <c r="I667" s="14"/>
      <c r="J667" t="s" s="11">
        <v>20</v>
      </c>
      <c r="K667" s="15"/>
      <c r="L667" t="s" s="16">
        <f>HYPERLINK("http://csr.bu.edu/ftp/asl/asllvd/demos/verify_start_end_handshape_annotations//test_auto_move//signs_mov_separ_signers/Tyler_141.mov","MOV")</f>
        <v>21</v>
      </c>
      <c r="M667" t="s" s="10">
        <v>26</v>
      </c>
      <c r="N667" s="17">
        <v>16</v>
      </c>
      <c r="O667" s="18">
        <v>560</v>
      </c>
      <c r="P667" s="18">
        <v>592</v>
      </c>
      <c r="Q667" s="15"/>
      <c r="R667" t="s" s="16">
        <f>HYPERLINK("http://secrets.rutgers.edu:8080/data/asl-ftp/asllvd/demos/verify_start_end_handshape_annotations//test_auto_move//signs_mov_separ_signers/Tyler_141.mov","MOV")</f>
        <v>21</v>
      </c>
    </row>
    <row r="668" s="2" customFormat="1" ht="13.5" customHeight="1">
      <c r="B668" s="13"/>
      <c r="C668" t="s" s="9">
        <v>27</v>
      </c>
      <c r="D668" t="s" s="8">
        <v>300</v>
      </c>
      <c r="E668" t="s" s="9">
        <v>300</v>
      </c>
      <c r="F668" t="s" s="10">
        <v>63</v>
      </c>
      <c r="G668" s="14"/>
      <c r="H668" t="s" s="10">
        <v>63</v>
      </c>
      <c r="I668" s="14"/>
      <c r="J668" t="s" s="11">
        <v>20</v>
      </c>
      <c r="K668" t="s" s="16">
        <f>HYPERLINK("http://csr.bu.edu/ftp/asl/asllvd/demos/verify_start_end_handshape_annotations//test_auto_move//signs_mov/141.mov","MOV")</f>
        <v>21</v>
      </c>
      <c r="L668" t="s" s="16">
        <f>HYPERLINK("http://csr.bu.edu/ftp/asl/asllvd/demos/verify_start_end_handshape_annotations//test_auto_move//signs_mov_separ_signers/Naomi_141.mov","MOV")</f>
        <v>21</v>
      </c>
      <c r="M668" t="s" s="10">
        <v>29</v>
      </c>
      <c r="N668" s="17">
        <v>16</v>
      </c>
      <c r="O668" s="18">
        <v>285</v>
      </c>
      <c r="P668" s="18">
        <v>320</v>
      </c>
      <c r="Q668" t="s" s="16">
        <f>HYPERLINK("http://secrets.rutgers.edu:8080/data/asl-ftp/asllvd/demos/verify_start_end_handshape_annotations//test_auto_move//signs_mov/141.mov","MOV")</f>
        <v>21</v>
      </c>
      <c r="R668" t="s" s="16">
        <f>HYPERLINK("http://secrets.rutgers.edu:8080/data/asl-ftp/asllvd/demos/verify_start_end_handshape_annotations//test_auto_move//signs_mov_separ_signers/Naomi_141.mov","MOV")</f>
        <v>21</v>
      </c>
    </row>
    <row r="669" s="2" customFormat="1" ht="13.5" customHeight="1">
      <c r="B669" s="13"/>
      <c r="C669" t="s" s="9">
        <v>30</v>
      </c>
      <c r="D669" t="s" s="8">
        <v>300</v>
      </c>
      <c r="E669" t="s" s="9">
        <v>300</v>
      </c>
      <c r="F669" t="s" s="10">
        <v>63</v>
      </c>
      <c r="G669" s="14"/>
      <c r="H669" t="s" s="10">
        <v>63</v>
      </c>
      <c r="I669" s="14"/>
      <c r="J669" t="s" s="11">
        <v>20</v>
      </c>
      <c r="K669" s="15"/>
      <c r="L669" t="s" s="16">
        <f>HYPERLINK("http://csr.bu.edu/ftp/asl/asllvd/demos/verify_start_end_handshape_annotations//test_auto_move//signs_mov_separ_signers/Brady_141.mov","MOV")</f>
        <v>21</v>
      </c>
      <c r="M669" t="s" s="10">
        <v>31</v>
      </c>
      <c r="N669" s="17">
        <v>13</v>
      </c>
      <c r="O669" s="18">
        <v>17516</v>
      </c>
      <c r="P669" s="18">
        <v>17540</v>
      </c>
      <c r="Q669" s="15"/>
      <c r="R669" t="s" s="16">
        <f>HYPERLINK("http://secrets.rutgers.edu:8080/data/asl-ftp/asllvd/demos/verify_start_end_handshape_annotations//test_auto_move//signs_mov_separ_signers/Brady_141.mov","MOV")</f>
        <v>21</v>
      </c>
    </row>
    <row r="670" s="2" customFormat="1" ht="13.5" customHeight="1">
      <c r="B670" s="13"/>
      <c r="C670" t="s" s="9">
        <v>41</v>
      </c>
      <c r="D670" t="s" s="8">
        <v>300</v>
      </c>
      <c r="E670" t="s" s="9">
        <v>300</v>
      </c>
      <c r="F670" t="s" s="10">
        <v>63</v>
      </c>
      <c r="G670" s="14"/>
      <c r="H670" t="s" s="10">
        <v>63</v>
      </c>
      <c r="I670" s="14"/>
      <c r="J670" t="s" s="11">
        <v>20</v>
      </c>
      <c r="K670" s="15"/>
      <c r="L670" t="s" s="16">
        <f>HYPERLINK("http://csr.bu.edu/ftp/asl/asllvd/demos/verify_start_end_handshape_annotations//test_auto_move//signs_mov_separ_signers/Lana_141.mov","MOV")</f>
        <v>21</v>
      </c>
      <c r="M670" t="s" s="10">
        <v>42</v>
      </c>
      <c r="N670" s="17">
        <v>3</v>
      </c>
      <c r="O670" s="18">
        <v>1173</v>
      </c>
      <c r="P670" s="18">
        <v>1201</v>
      </c>
      <c r="Q670" s="15"/>
      <c r="R670" t="s" s="16">
        <f>HYPERLINK("http://secrets.rutgers.edu:8080/data/asl-ftp/asllvd/demos/verify_start_end_handshape_annotations//test_auto_move//signs_mov_separ_signers/Lana_141.mov","MOV")</f>
        <v>21</v>
      </c>
    </row>
    <row r="671" s="2" customFormat="1" ht="13.5" customHeight="1">
      <c r="B671" s="13"/>
      <c r="C671" t="s" s="9">
        <v>43</v>
      </c>
      <c r="D671" t="s" s="8">
        <v>300</v>
      </c>
      <c r="E671" t="s" s="9">
        <v>300</v>
      </c>
      <c r="F671" s="19">
        <v>10</v>
      </c>
      <c r="G671" s="14"/>
      <c r="H671" s="19">
        <v>10</v>
      </c>
      <c r="I671" s="14"/>
      <c r="J671" t="s" s="11">
        <v>20</v>
      </c>
      <c r="K671" s="15"/>
      <c r="L671" t="s" s="16">
        <f>HYPERLINK("http://csr.bu.edu/ftp/asl/asllvd/demos/verify_start_end_handshape_annotations//test_auto_move//signs_mov_separ_signers/Dana_141.mov","MOV")</f>
        <v>21</v>
      </c>
      <c r="M671" t="s" s="10">
        <v>44</v>
      </c>
      <c r="N671" s="17">
        <v>7</v>
      </c>
      <c r="O671" s="18">
        <v>1153</v>
      </c>
      <c r="P671" s="18">
        <v>1203</v>
      </c>
      <c r="Q671" s="15"/>
      <c r="R671" t="s" s="16">
        <f>HYPERLINK("http://secrets.rutgers.edu:8080/data/asl-ftp/asllvd/demos/verify_start_end_handshape_annotations//test_auto_move//signs_mov_separ_signers/Dana_141.mov","MOV")</f>
        <v>21</v>
      </c>
    </row>
    <row r="672" s="2" customFormat="1" ht="13.5" customHeight="1">
      <c r="B672" t="s" s="8">
        <v>301</v>
      </c>
      <c r="C672" t="s" s="9">
        <v>14</v>
      </c>
      <c r="D672" t="s" s="8">
        <v>14</v>
      </c>
      <c r="E672" t="s" s="9">
        <v>14</v>
      </c>
      <c r="F672" t="s" s="10">
        <v>14</v>
      </c>
      <c r="G672" t="s" s="11">
        <v>14</v>
      </c>
      <c r="H672" t="s" s="10">
        <v>14</v>
      </c>
      <c r="I672" t="s" s="11">
        <v>14</v>
      </c>
      <c r="J672" t="s" s="11">
        <v>14</v>
      </c>
      <c r="K672" t="s" s="12">
        <v>14</v>
      </c>
      <c r="L672" t="s" s="12">
        <v>14</v>
      </c>
      <c r="M672" t="s" s="10">
        <v>14</v>
      </c>
      <c r="N672" t="s" s="11">
        <v>14</v>
      </c>
      <c r="O672" t="s" s="8">
        <v>14</v>
      </c>
      <c r="P672" t="s" s="8">
        <v>14</v>
      </c>
      <c r="Q672" t="s" s="12">
        <v>14</v>
      </c>
      <c r="R672" t="s" s="12">
        <v>14</v>
      </c>
    </row>
    <row r="673" s="2" customFormat="1" ht="13.5" customHeight="1">
      <c r="B673" s="13"/>
      <c r="C673" t="s" s="9">
        <v>16</v>
      </c>
      <c r="D673" t="s" s="8">
        <v>301</v>
      </c>
      <c r="E673" t="s" s="9">
        <v>301</v>
      </c>
      <c r="F673" s="19">
        <v>1</v>
      </c>
      <c r="G673" s="17">
        <v>1</v>
      </c>
      <c r="H673" s="19">
        <v>1</v>
      </c>
      <c r="I673" s="17">
        <v>1</v>
      </c>
      <c r="J673" t="s" s="11">
        <v>20</v>
      </c>
      <c r="K673" s="15"/>
      <c r="L673" t="s" s="16">
        <f>HYPERLINK("http://csr.bu.edu/ftp/asl/asllvd/demos/verify_start_end_handshape_annotations//test_auto_move//signs_mov_separ_signers/Liz_143.mov","MOV")</f>
        <v>21</v>
      </c>
      <c r="M673" t="s" s="10">
        <v>22</v>
      </c>
      <c r="N673" s="17">
        <v>24</v>
      </c>
      <c r="O673" s="18">
        <v>990</v>
      </c>
      <c r="P673" s="18">
        <v>1020</v>
      </c>
      <c r="Q673" s="15"/>
      <c r="R673" t="s" s="16">
        <f>HYPERLINK("http://secrets.rutgers.edu:8080/data/asl-ftp/asllvd/demos/verify_start_end_handshape_annotations//test_auto_move//signs_mov_separ_signers/Liz_143.mov","MOV")</f>
        <v>21</v>
      </c>
    </row>
    <row r="674" s="2" customFormat="1" ht="13.5" customHeight="1">
      <c r="B674" s="13"/>
      <c r="C674" t="s" s="9">
        <v>16</v>
      </c>
      <c r="D674" t="s" s="8">
        <v>301</v>
      </c>
      <c r="E674" t="s" s="9">
        <v>302</v>
      </c>
      <c r="F674" s="19">
        <v>1</v>
      </c>
      <c r="G674" s="17">
        <v>1</v>
      </c>
      <c r="H674" s="19">
        <v>1</v>
      </c>
      <c r="I674" t="s" s="11">
        <v>268</v>
      </c>
      <c r="J674" t="s" s="11">
        <v>20</v>
      </c>
      <c r="K674" s="15"/>
      <c r="L674" t="s" s="16">
        <f>HYPERLINK("http://csr.bu.edu/ftp/asl/asllvd/demos/verify_start_end_handshape_annotations//test_auto_move//signs_mov_separ_signers/Liz_3643.mov","MOV")</f>
        <v>21</v>
      </c>
      <c r="M674" t="s" s="10">
        <v>22</v>
      </c>
      <c r="N674" s="17">
        <v>24</v>
      </c>
      <c r="O674" s="18">
        <v>1195</v>
      </c>
      <c r="P674" s="18">
        <v>1221</v>
      </c>
      <c r="Q674" s="15"/>
      <c r="R674" t="s" s="16">
        <f>HYPERLINK("http://secrets.rutgers.edu:8080/data/asl-ftp/asllvd/demos/verify_start_end_handshape_annotations//test_auto_move//signs_mov_separ_signers/Liz_3643.mov","MOV")</f>
        <v>21</v>
      </c>
    </row>
    <row r="675" s="2" customFormat="1" ht="13.5" customHeight="1">
      <c r="B675" s="13"/>
      <c r="C675" t="s" s="9">
        <v>23</v>
      </c>
      <c r="D675" t="s" s="8">
        <v>301</v>
      </c>
      <c r="E675" t="s" s="9">
        <v>302</v>
      </c>
      <c r="F675" s="19">
        <v>1</v>
      </c>
      <c r="G675" s="17">
        <v>1</v>
      </c>
      <c r="H675" s="19">
        <v>1</v>
      </c>
      <c r="I675" s="17">
        <v>1</v>
      </c>
      <c r="J675" t="s" s="11">
        <v>20</v>
      </c>
      <c r="K675" s="15"/>
      <c r="L675" t="s" s="16">
        <f>HYPERLINK("http://csr.bu.edu/ftp/asl/asllvd/demos/verify_start_end_handshape_annotations//test_auto_move//signs_mov_separ_signers/Tyler_143.mov","MOV")</f>
        <v>21</v>
      </c>
      <c r="M675" t="s" s="10">
        <v>26</v>
      </c>
      <c r="N675" s="17">
        <v>16</v>
      </c>
      <c r="O675" s="18">
        <v>1020</v>
      </c>
      <c r="P675" s="18">
        <v>1051</v>
      </c>
      <c r="Q675" s="15"/>
      <c r="R675" t="s" s="16">
        <f>HYPERLINK("http://secrets.rutgers.edu:8080/data/asl-ftp/asllvd/demos/verify_start_end_handshape_annotations//test_auto_move//signs_mov_separ_signers/Tyler_143.mov","MOV")</f>
        <v>21</v>
      </c>
    </row>
    <row r="676" s="2" customFormat="1" ht="13.5" customHeight="1">
      <c r="B676" s="13"/>
      <c r="C676" t="s" s="9">
        <v>23</v>
      </c>
      <c r="D676" t="s" s="8">
        <v>301</v>
      </c>
      <c r="E676" t="s" s="9">
        <v>303</v>
      </c>
      <c r="F676" s="19">
        <v>1</v>
      </c>
      <c r="G676" s="17">
        <v>1</v>
      </c>
      <c r="H676" s="19">
        <v>1</v>
      </c>
      <c r="I676" s="17">
        <v>1</v>
      </c>
      <c r="J676" t="s" s="11">
        <v>20</v>
      </c>
      <c r="K676" t="s" s="16">
        <f>HYPERLINK("http://csr.bu.edu/ftp/asl/asllvd/demos/verify_start_end_handshape_annotations//test_auto_move//signs_mov/143_3643_5095_merged.mov","MOV")</f>
        <v>21</v>
      </c>
      <c r="L676" t="s" s="16">
        <f>HYPERLINK("http://csr.bu.edu/ftp/asl/asllvd/demos/verify_start_end_handshape_annotations//test_auto_move//signs_mov_separ_signers/Tyler_3643.mov","MOV")</f>
        <v>21</v>
      </c>
      <c r="M676" t="s" s="10">
        <v>26</v>
      </c>
      <c r="N676" s="17">
        <v>16</v>
      </c>
      <c r="O676" s="18">
        <v>2340</v>
      </c>
      <c r="P676" s="18">
        <v>2380</v>
      </c>
      <c r="Q676" t="s" s="16">
        <f>HYPERLINK("http://secrets.rutgers.edu:8080/data/asl-ftp/asllvd/demos/verify_start_end_handshape_annotations//test_auto_move//signs_mov/143_3643_5095_merged.mov","MOV")</f>
        <v>21</v>
      </c>
      <c r="R676" t="s" s="16">
        <f>HYPERLINK("http://secrets.rutgers.edu:8080/data/asl-ftp/asllvd/demos/verify_start_end_handshape_annotations//test_auto_move//signs_mov_separ_signers/Tyler_3643.mov","MOV")</f>
        <v>21</v>
      </c>
    </row>
    <row r="677" s="2" customFormat="1" ht="13.5" customHeight="1">
      <c r="B677" s="13"/>
      <c r="C677" t="s" s="9">
        <v>27</v>
      </c>
      <c r="D677" t="s" s="8">
        <v>301</v>
      </c>
      <c r="E677" t="s" s="9">
        <v>301</v>
      </c>
      <c r="F677" s="19">
        <v>1</v>
      </c>
      <c r="G677" s="17">
        <v>1</v>
      </c>
      <c r="H677" s="19">
        <v>1</v>
      </c>
      <c r="I677" s="17">
        <v>1</v>
      </c>
      <c r="J677" t="s" s="11">
        <v>20</v>
      </c>
      <c r="K677" s="15"/>
      <c r="L677" t="s" s="16">
        <f>HYPERLINK("http://csr.bu.edu/ftp/asl/asllvd/demos/verify_start_end_handshape_annotations//test_auto_move//signs_mov_separ_signers/Naomi_143.mov","MOV")</f>
        <v>21</v>
      </c>
      <c r="M677" t="s" s="10">
        <v>29</v>
      </c>
      <c r="N677" s="17">
        <v>16</v>
      </c>
      <c r="O677" s="18">
        <v>1402</v>
      </c>
      <c r="P677" s="18">
        <v>1425</v>
      </c>
      <c r="Q677" s="15"/>
      <c r="R677" t="s" s="16">
        <f>HYPERLINK("http://secrets.rutgers.edu:8080/data/asl-ftp/asllvd/demos/verify_start_end_handshape_annotations//test_auto_move//signs_mov_separ_signers/Naomi_143.mov","MOV")</f>
        <v>21</v>
      </c>
    </row>
    <row r="678" s="2" customFormat="1" ht="13.5" customHeight="1">
      <c r="B678" s="13"/>
      <c r="C678" t="s" s="9">
        <v>27</v>
      </c>
      <c r="D678" t="s" s="8">
        <v>301</v>
      </c>
      <c r="E678" t="s" s="9">
        <v>302</v>
      </c>
      <c r="F678" s="19">
        <v>1</v>
      </c>
      <c r="G678" s="17">
        <v>1</v>
      </c>
      <c r="H678" t="s" s="10">
        <v>268</v>
      </c>
      <c r="I678" t="s" s="11">
        <v>268</v>
      </c>
      <c r="J678" t="s" s="11">
        <v>20</v>
      </c>
      <c r="K678" s="15"/>
      <c r="L678" t="s" s="16">
        <f>HYPERLINK("http://csr.bu.edu/ftp/asl/asllvd/demos/verify_start_end_handshape_annotations//test_auto_move//signs_mov_separ_signers/Naomi_3643.mov","MOV")</f>
        <v>21</v>
      </c>
      <c r="M678" t="s" s="10">
        <v>29</v>
      </c>
      <c r="N678" s="17">
        <v>16</v>
      </c>
      <c r="O678" s="18">
        <v>3165</v>
      </c>
      <c r="P678" s="18">
        <v>3191</v>
      </c>
      <c r="Q678" s="15"/>
      <c r="R678" t="s" s="16">
        <f>HYPERLINK("http://secrets.rutgers.edu:8080/data/asl-ftp/asllvd/demos/verify_start_end_handshape_annotations//test_auto_move//signs_mov_separ_signers/Naomi_3643.mov","MOV")</f>
        <v>21</v>
      </c>
    </row>
    <row r="679" s="2" customFormat="1" ht="13.5" customHeight="1">
      <c r="B679" s="13"/>
      <c r="C679" t="s" s="9">
        <v>27</v>
      </c>
      <c r="D679" t="s" s="8">
        <v>301</v>
      </c>
      <c r="E679" t="s" s="9">
        <v>301</v>
      </c>
      <c r="F679" s="19">
        <v>1</v>
      </c>
      <c r="G679" s="17">
        <v>1</v>
      </c>
      <c r="H679" s="19">
        <v>1</v>
      </c>
      <c r="I679" s="17">
        <v>1</v>
      </c>
      <c r="J679" t="s" s="11">
        <v>20</v>
      </c>
      <c r="K679" s="15"/>
      <c r="L679" t="s" s="16">
        <f>HYPERLINK("http://csr.bu.edu/ftp/asl/asllvd/demos/verify_start_end_handshape_annotations//test_auto_move//signs_mov_separ_signers/Naomi_5095.mov","MOV")</f>
        <v>21</v>
      </c>
      <c r="M679" t="s" s="10">
        <v>38</v>
      </c>
      <c r="N679" s="17">
        <v>6</v>
      </c>
      <c r="O679" s="18">
        <v>1418</v>
      </c>
      <c r="P679" s="18">
        <v>1427</v>
      </c>
      <c r="Q679" s="15"/>
      <c r="R679" t="s" s="16">
        <f>HYPERLINK("http://secrets.rutgers.edu:8080/data/asl-ftp/asllvd/demos/verify_start_end_handshape_annotations//test_auto_move//signs_mov_separ_signers/Naomi_5095.mov","MOV")</f>
        <v>21</v>
      </c>
    </row>
    <row r="680" s="2" customFormat="1" ht="13.5" customHeight="1">
      <c r="B680" t="s" s="8">
        <v>52</v>
      </c>
      <c r="C680" t="s" s="9">
        <v>53</v>
      </c>
      <c r="D680" t="s" s="8">
        <v>53</v>
      </c>
      <c r="E680" t="s" s="9">
        <v>53</v>
      </c>
      <c r="F680" t="s" s="10">
        <v>53</v>
      </c>
      <c r="G680" t="s" s="11">
        <v>53</v>
      </c>
      <c r="H680" t="s" s="10">
        <v>53</v>
      </c>
      <c r="I680" t="s" s="11">
        <v>53</v>
      </c>
      <c r="J680" t="s" s="11">
        <v>53</v>
      </c>
      <c r="K680" t="s" s="12">
        <v>53</v>
      </c>
      <c r="L680" t="s" s="12">
        <v>53</v>
      </c>
      <c r="M680" t="s" s="10">
        <v>53</v>
      </c>
      <c r="N680" t="s" s="11">
        <v>53</v>
      </c>
      <c r="O680" t="s" s="8">
        <v>53</v>
      </c>
      <c r="P680" t="s" s="8">
        <v>53</v>
      </c>
      <c r="Q680" t="s" s="12">
        <v>53</v>
      </c>
      <c r="R680" t="s" s="12">
        <v>53</v>
      </c>
    </row>
    <row r="681" s="2" customFormat="1" ht="13.5" customHeight="1">
      <c r="B681" s="13"/>
      <c r="C681" t="s" s="9">
        <v>16</v>
      </c>
      <c r="D681" t="s" s="8">
        <v>301</v>
      </c>
      <c r="E681" t="s" s="9">
        <v>304</v>
      </c>
      <c r="F681" s="19">
        <v>1</v>
      </c>
      <c r="G681" s="14"/>
      <c r="H681" s="19">
        <v>1</v>
      </c>
      <c r="I681" s="14"/>
      <c r="J681" t="s" s="11">
        <v>20</v>
      </c>
      <c r="K681" t="s" s="16">
        <f>HYPERLINK("http://csr.bu.edu/ftp/asl/asllvd/demos/verify_start_end_handshape_annotations//test_auto_move//signs_mov/5096.mov","MOV")</f>
        <v>21</v>
      </c>
      <c r="L681" t="s" s="16">
        <f>HYPERLINK("http://csr.bu.edu/ftp/asl/asllvd/demos/verify_start_end_handshape_annotations//test_auto_move//signs_mov_separ_signers/Liz_5096.mov","MOV")</f>
        <v>21</v>
      </c>
      <c r="M681" t="s" s="10">
        <v>34</v>
      </c>
      <c r="N681" s="17">
        <v>7</v>
      </c>
      <c r="O681" s="18">
        <v>1445</v>
      </c>
      <c r="P681" s="18">
        <v>1495</v>
      </c>
      <c r="Q681" t="s" s="16">
        <f>HYPERLINK("http://secrets.rutgers.edu:8080/data/asl-ftp/asllvd/demos/verify_start_end_handshape_annotations//test_auto_move//signs_mov/5096.mov","MOV")</f>
        <v>21</v>
      </c>
      <c r="R681" t="s" s="16">
        <f>HYPERLINK("http://secrets.rutgers.edu:8080/data/asl-ftp/asllvd/demos/verify_start_end_handshape_annotations//test_auto_move//signs_mov_separ_signers/Liz_5096.mov","MOV")</f>
        <v>21</v>
      </c>
    </row>
    <row r="682" s="2" customFormat="1" ht="13.5" customHeight="1">
      <c r="B682" s="13"/>
      <c r="C682" t="s" s="9">
        <v>30</v>
      </c>
      <c r="D682" t="s" s="8">
        <v>301</v>
      </c>
      <c r="E682" t="s" s="9">
        <v>304</v>
      </c>
      <c r="F682" s="19">
        <v>1</v>
      </c>
      <c r="G682" s="14"/>
      <c r="H682" s="19">
        <v>1</v>
      </c>
      <c r="I682" s="14"/>
      <c r="J682" t="s" s="11">
        <v>20</v>
      </c>
      <c r="K682" s="15"/>
      <c r="L682" t="s" s="16">
        <f>HYPERLINK("http://csr.bu.edu/ftp/asl/asllvd/demos/verify_start_end_handshape_annotations//test_auto_move//signs_mov_separ_signers/Brady_5096.mov","MOV")</f>
        <v>21</v>
      </c>
      <c r="M682" t="s" s="10">
        <v>39</v>
      </c>
      <c r="N682" s="17">
        <v>26</v>
      </c>
      <c r="O682" s="18">
        <v>8773</v>
      </c>
      <c r="P682" s="18">
        <v>8800</v>
      </c>
      <c r="Q682" s="15"/>
      <c r="R682" t="s" s="16">
        <f>HYPERLINK("http://secrets.rutgers.edu:8080/data/asl-ftp/asllvd/demos/verify_start_end_handshape_annotations//test_auto_move//signs_mov_separ_signers/Brady_5096.mov","MOV")</f>
        <v>21</v>
      </c>
    </row>
    <row r="683" s="2" customFormat="1" ht="13.5" customHeight="1">
      <c r="B683" t="s" s="8">
        <v>52</v>
      </c>
      <c r="C683" t="s" s="9">
        <v>53</v>
      </c>
      <c r="D683" t="s" s="8">
        <v>53</v>
      </c>
      <c r="E683" t="s" s="9">
        <v>53</v>
      </c>
      <c r="F683" t="s" s="10">
        <v>53</v>
      </c>
      <c r="G683" t="s" s="11">
        <v>53</v>
      </c>
      <c r="H683" t="s" s="10">
        <v>53</v>
      </c>
      <c r="I683" t="s" s="11">
        <v>53</v>
      </c>
      <c r="J683" t="s" s="11">
        <v>53</v>
      </c>
      <c r="K683" t="s" s="12">
        <v>53</v>
      </c>
      <c r="L683" t="s" s="12">
        <v>53</v>
      </c>
      <c r="M683" t="s" s="10">
        <v>53</v>
      </c>
      <c r="N683" t="s" s="11">
        <v>53</v>
      </c>
      <c r="O683" t="s" s="8">
        <v>53</v>
      </c>
      <c r="P683" t="s" s="8">
        <v>53</v>
      </c>
      <c r="Q683" t="s" s="12">
        <v>53</v>
      </c>
      <c r="R683" t="s" s="12">
        <v>53</v>
      </c>
    </row>
    <row r="684" s="2" customFormat="1" ht="13.5" customHeight="1">
      <c r="B684" s="13"/>
      <c r="C684" t="s" s="9">
        <v>23</v>
      </c>
      <c r="D684" t="s" s="8">
        <v>301</v>
      </c>
      <c r="E684" t="s" s="9">
        <v>305</v>
      </c>
      <c r="F684" s="19">
        <v>5</v>
      </c>
      <c r="G684" s="14"/>
      <c r="H684" s="19">
        <v>5</v>
      </c>
      <c r="I684" s="14"/>
      <c r="J684" t="s" s="11">
        <v>20</v>
      </c>
      <c r="K684" t="s" s="16">
        <f>HYPERLINK("http://csr.bu.edu/ftp/asl/asllvd/demos/verify_start_end_handshape_annotations//test_auto_move//signs_mov/5661.mov","MOV")</f>
        <v>21</v>
      </c>
      <c r="L684" t="s" s="16">
        <f>HYPERLINK("http://csr.bu.edu/ftp/asl/asllvd/demos/verify_start_end_handshape_annotations//test_auto_move//signs_mov_separ_signers/Tyler_5661.mov","MOV")</f>
        <v>21</v>
      </c>
      <c r="M684" t="s" s="10">
        <v>92</v>
      </c>
      <c r="N684" s="17">
        <v>38</v>
      </c>
      <c r="O684" s="18">
        <v>1125</v>
      </c>
      <c r="P684" s="18">
        <v>1155</v>
      </c>
      <c r="Q684" t="s" s="16">
        <f>HYPERLINK("http://secrets.rutgers.edu:8080/data/asl-ftp/asllvd/demos/verify_start_end_handshape_annotations//test_auto_move//signs_mov/5661.mov","MOV")</f>
        <v>21</v>
      </c>
      <c r="R684" t="s" s="16">
        <f>HYPERLINK("http://secrets.rutgers.edu:8080/data/asl-ftp/asllvd/demos/verify_start_end_handshape_annotations//test_auto_move//signs_mov_separ_signers/Tyler_5661.mov","MOV")</f>
        <v>21</v>
      </c>
    </row>
    <row r="685" s="2" customFormat="1" ht="13.5" customHeight="1">
      <c r="B685" t="s" s="8">
        <v>306</v>
      </c>
      <c r="C685" t="s" s="9">
        <v>14</v>
      </c>
      <c r="D685" t="s" s="8">
        <v>14</v>
      </c>
      <c r="E685" t="s" s="9">
        <v>14</v>
      </c>
      <c r="F685" t="s" s="10">
        <v>14</v>
      </c>
      <c r="G685" t="s" s="11">
        <v>14</v>
      </c>
      <c r="H685" t="s" s="10">
        <v>14</v>
      </c>
      <c r="I685" t="s" s="11">
        <v>14</v>
      </c>
      <c r="J685" t="s" s="11">
        <v>14</v>
      </c>
      <c r="K685" t="s" s="12">
        <v>14</v>
      </c>
      <c r="L685" t="s" s="12">
        <v>14</v>
      </c>
      <c r="M685" t="s" s="10">
        <v>14</v>
      </c>
      <c r="N685" t="s" s="11">
        <v>14</v>
      </c>
      <c r="O685" t="s" s="8">
        <v>14</v>
      </c>
      <c r="P685" t="s" s="8">
        <v>14</v>
      </c>
      <c r="Q685" t="s" s="12">
        <v>14</v>
      </c>
      <c r="R685" t="s" s="12">
        <v>14</v>
      </c>
    </row>
    <row r="686" s="2" customFormat="1" ht="13.5" customHeight="1">
      <c r="B686" s="13"/>
      <c r="C686" t="s" s="9">
        <v>16</v>
      </c>
      <c r="D686" t="s" s="8">
        <v>306</v>
      </c>
      <c r="E686" t="s" s="9">
        <v>307</v>
      </c>
      <c r="F686" t="s" s="10">
        <v>73</v>
      </c>
      <c r="G686" t="s" s="11">
        <v>73</v>
      </c>
      <c r="H686" t="s" s="10">
        <v>73</v>
      </c>
      <c r="I686" t="s" s="11">
        <v>73</v>
      </c>
      <c r="J686" t="s" s="11">
        <v>20</v>
      </c>
      <c r="K686" s="15"/>
      <c r="L686" t="s" s="16">
        <f>HYPERLINK("http://csr.bu.edu/ftp/asl/asllvd/demos/verify_start_end_handshape_annotations//test_auto_move//signs_mov_separ_signers/Liz_145.mov","MOV")</f>
        <v>21</v>
      </c>
      <c r="M686" t="s" s="10">
        <v>22</v>
      </c>
      <c r="N686" s="17">
        <v>24</v>
      </c>
      <c r="O686" s="18">
        <v>1451</v>
      </c>
      <c r="P686" s="18">
        <v>1481</v>
      </c>
      <c r="Q686" s="15"/>
      <c r="R686" t="s" s="16">
        <f>HYPERLINK("http://secrets.rutgers.edu:8080/data/asl-ftp/asllvd/demos/verify_start_end_handshape_annotations//test_auto_move//signs_mov_separ_signers/Liz_145.mov","MOV")</f>
        <v>21</v>
      </c>
    </row>
    <row r="687" s="2" customFormat="1" ht="13.5" customHeight="1">
      <c r="B687" s="13"/>
      <c r="C687" t="s" s="9">
        <v>23</v>
      </c>
      <c r="D687" t="s" s="8">
        <v>306</v>
      </c>
      <c r="E687" t="s" s="9">
        <v>307</v>
      </c>
      <c r="F687" t="s" s="10">
        <v>109</v>
      </c>
      <c r="G687" t="s" s="11">
        <v>109</v>
      </c>
      <c r="H687" t="s" s="10">
        <v>109</v>
      </c>
      <c r="I687" t="s" s="11">
        <v>109</v>
      </c>
      <c r="J687" t="s" s="11">
        <v>20</v>
      </c>
      <c r="K687" t="s" s="16">
        <f>HYPERLINK("http://csr.bu.edu/ftp/asl/asllvd/demos/verify_start_end_handshape_annotations//test_auto_move//signs_mov/145.mov","MOV")</f>
        <v>21</v>
      </c>
      <c r="L687" t="s" s="16">
        <f>HYPERLINK("http://csr.bu.edu/ftp/asl/asllvd/demos/verify_start_end_handshape_annotations//test_auto_move//signs_mov_separ_signers/Tyler_145.mov","MOV")</f>
        <v>21</v>
      </c>
      <c r="M687" t="s" s="10">
        <v>26</v>
      </c>
      <c r="N687" s="17">
        <v>16</v>
      </c>
      <c r="O687" s="18">
        <v>2870</v>
      </c>
      <c r="P687" s="18">
        <v>2895</v>
      </c>
      <c r="Q687" t="s" s="16">
        <f>HYPERLINK("http://secrets.rutgers.edu:8080/data/asl-ftp/asllvd/demos/verify_start_end_handshape_annotations//test_auto_move//signs_mov/145.mov","MOV")</f>
        <v>21</v>
      </c>
      <c r="R687" t="s" s="16">
        <f>HYPERLINK("http://secrets.rutgers.edu:8080/data/asl-ftp/asllvd/demos/verify_start_end_handshape_annotations//test_auto_move//signs_mov_separ_signers/Tyler_145.mov","MOV")</f>
        <v>21</v>
      </c>
    </row>
    <row r="688" s="2" customFormat="1" ht="13.5" customHeight="1">
      <c r="B688" s="13"/>
      <c r="C688" t="s" s="9">
        <v>27</v>
      </c>
      <c r="D688" t="s" s="8">
        <v>306</v>
      </c>
      <c r="E688" t="s" s="9">
        <v>307</v>
      </c>
      <c r="F688" t="s" s="10">
        <v>55</v>
      </c>
      <c r="G688" t="s" s="11">
        <v>55</v>
      </c>
      <c r="H688" t="s" s="10">
        <v>55</v>
      </c>
      <c r="I688" t="s" s="11">
        <v>55</v>
      </c>
      <c r="J688" t="s" s="11">
        <v>20</v>
      </c>
      <c r="K688" s="15"/>
      <c r="L688" t="s" s="16">
        <f>HYPERLINK("http://csr.bu.edu/ftp/asl/asllvd/demos/verify_start_end_handshape_annotations//test_auto_move//signs_mov_separ_signers/Naomi_145.mov","MOV")</f>
        <v>21</v>
      </c>
      <c r="M688" t="s" s="10">
        <v>29</v>
      </c>
      <c r="N688" s="17">
        <v>16</v>
      </c>
      <c r="O688" s="18">
        <v>3545</v>
      </c>
      <c r="P688" s="18">
        <v>3568</v>
      </c>
      <c r="Q688" s="15"/>
      <c r="R688" t="s" s="16">
        <f>HYPERLINK("http://secrets.rutgers.edu:8080/data/asl-ftp/asllvd/demos/verify_start_end_handshape_annotations//test_auto_move//signs_mov_separ_signers/Naomi_145.mov","MOV")</f>
        <v>21</v>
      </c>
    </row>
    <row r="689" s="2" customFormat="1" ht="13.5" customHeight="1">
      <c r="B689" s="13"/>
      <c r="C689" t="s" s="9">
        <v>30</v>
      </c>
      <c r="D689" t="s" s="8">
        <v>306</v>
      </c>
      <c r="E689" t="s" s="9">
        <v>307</v>
      </c>
      <c r="F689" t="s" s="10">
        <v>73</v>
      </c>
      <c r="G689" t="s" s="11">
        <v>73</v>
      </c>
      <c r="H689" t="s" s="10">
        <v>73</v>
      </c>
      <c r="I689" t="s" s="11">
        <v>73</v>
      </c>
      <c r="J689" t="s" s="11">
        <v>20</v>
      </c>
      <c r="K689" s="15"/>
      <c r="L689" t="s" s="16">
        <f>HYPERLINK("http://csr.bu.edu/ftp/asl/asllvd/demos/verify_start_end_handshape_annotations//test_auto_move//signs_mov_separ_signers/Brady_145.mov","MOV")</f>
        <v>21</v>
      </c>
      <c r="M689" t="s" s="10">
        <v>31</v>
      </c>
      <c r="N689" s="17">
        <v>13</v>
      </c>
      <c r="O689" s="18">
        <v>19455</v>
      </c>
      <c r="P689" s="18">
        <v>19475</v>
      </c>
      <c r="Q689" s="15"/>
      <c r="R689" t="s" s="16">
        <f>HYPERLINK("http://secrets.rutgers.edu:8080/data/asl-ftp/asllvd/demos/verify_start_end_handshape_annotations//test_auto_move//signs_mov_separ_signers/Brady_145.mov","MOV")</f>
        <v>21</v>
      </c>
    </row>
    <row r="690" s="2" customFormat="1" ht="13.5" customHeight="1">
      <c r="B690" t="s" s="8">
        <v>308</v>
      </c>
      <c r="C690" t="s" s="9">
        <v>14</v>
      </c>
      <c r="D690" t="s" s="8">
        <v>14</v>
      </c>
      <c r="E690" t="s" s="9">
        <v>14</v>
      </c>
      <c r="F690" t="s" s="10">
        <v>14</v>
      </c>
      <c r="G690" t="s" s="11">
        <v>14</v>
      </c>
      <c r="H690" t="s" s="10">
        <v>14</v>
      </c>
      <c r="I690" t="s" s="11">
        <v>14</v>
      </c>
      <c r="J690" t="s" s="11">
        <v>14</v>
      </c>
      <c r="K690" t="s" s="12">
        <v>14</v>
      </c>
      <c r="L690" t="s" s="12">
        <v>14</v>
      </c>
      <c r="M690" t="s" s="10">
        <v>14</v>
      </c>
      <c r="N690" t="s" s="11">
        <v>14</v>
      </c>
      <c r="O690" t="s" s="8">
        <v>14</v>
      </c>
      <c r="P690" t="s" s="8">
        <v>14</v>
      </c>
      <c r="Q690" t="s" s="12">
        <v>14</v>
      </c>
      <c r="R690" t="s" s="12">
        <v>14</v>
      </c>
    </row>
    <row r="691" s="2" customFormat="1" ht="13.5" customHeight="1">
      <c r="B691" s="13"/>
      <c r="C691" t="s" s="9">
        <v>16</v>
      </c>
      <c r="D691" t="s" s="8">
        <v>308</v>
      </c>
      <c r="E691" t="s" s="9">
        <v>308</v>
      </c>
      <c r="F691" t="s" s="10">
        <v>63</v>
      </c>
      <c r="G691" s="14"/>
      <c r="H691" t="s" s="10">
        <v>63</v>
      </c>
      <c r="I691" s="14"/>
      <c r="J691" t="s" s="11">
        <v>20</v>
      </c>
      <c r="K691" s="15"/>
      <c r="L691" t="s" s="16">
        <f>HYPERLINK("http://csr.bu.edu/ftp/asl/asllvd/demos/verify_start_end_handshape_annotations//test_auto_move//signs_mov_separ_signers/Liz_146.mov","MOV")</f>
        <v>21</v>
      </c>
      <c r="M691" t="s" s="10">
        <v>22</v>
      </c>
      <c r="N691" s="17">
        <v>25</v>
      </c>
      <c r="O691" s="18">
        <v>466</v>
      </c>
      <c r="P691" s="18">
        <v>502</v>
      </c>
      <c r="Q691" s="15"/>
      <c r="R691" t="s" s="16">
        <f>HYPERLINK("http://secrets.rutgers.edu:8080/data/asl-ftp/asllvd/demos/verify_start_end_handshape_annotations//test_auto_move//signs_mov_separ_signers/Liz_146.mov","MOV")</f>
        <v>21</v>
      </c>
    </row>
    <row r="692" s="2" customFormat="1" ht="13.5" customHeight="1">
      <c r="B692" s="13"/>
      <c r="C692" t="s" s="9">
        <v>16</v>
      </c>
      <c r="D692" t="s" s="8">
        <v>308</v>
      </c>
      <c r="E692" t="s" s="9">
        <v>308</v>
      </c>
      <c r="F692" t="s" s="10">
        <v>63</v>
      </c>
      <c r="G692" s="14"/>
      <c r="H692" t="s" s="10">
        <v>63</v>
      </c>
      <c r="I692" s="14"/>
      <c r="J692" t="s" s="11">
        <v>20</v>
      </c>
      <c r="K692" t="s" s="16">
        <f>HYPERLINK("http://csr.bu.edu/ftp/asl/asllvd/demos/verify_start_end_handshape_annotations//test_auto_move//signs_mov/146_3914_merged.mov","MOV")</f>
        <v>21</v>
      </c>
      <c r="L692" t="s" s="16">
        <f>HYPERLINK("http://csr.bu.edu/ftp/asl/asllvd/demos/verify_start_end_handshape_annotations//test_auto_move//signs_mov_separ_signers/Liz_3914.mov","MOV")</f>
        <v>21</v>
      </c>
      <c r="M692" t="s" s="10">
        <v>77</v>
      </c>
      <c r="N692" s="17">
        <v>8</v>
      </c>
      <c r="O692" s="18">
        <v>2690</v>
      </c>
      <c r="P692" s="18">
        <v>2761</v>
      </c>
      <c r="Q692" t="s" s="16">
        <f>HYPERLINK("http://secrets.rutgers.edu:8080/data/asl-ftp/asllvd/demos/verify_start_end_handshape_annotations//test_auto_move//signs_mov/146_3914_merged.mov","MOV")</f>
        <v>21</v>
      </c>
      <c r="R692" t="s" s="16">
        <f>HYPERLINK("http://secrets.rutgers.edu:8080/data/asl-ftp/asllvd/demos/verify_start_end_handshape_annotations//test_auto_move//signs_mov_separ_signers/Liz_3914.mov","MOV")</f>
        <v>21</v>
      </c>
    </row>
    <row r="693" s="2" customFormat="1" ht="13.5" customHeight="1">
      <c r="B693" s="13"/>
      <c r="C693" t="s" s="9">
        <v>27</v>
      </c>
      <c r="D693" t="s" s="8">
        <v>308</v>
      </c>
      <c r="E693" t="s" s="9">
        <v>308</v>
      </c>
      <c r="F693" t="s" s="10">
        <v>63</v>
      </c>
      <c r="G693" s="14"/>
      <c r="H693" t="s" s="10">
        <v>63</v>
      </c>
      <c r="I693" s="14"/>
      <c r="J693" t="s" s="11">
        <v>20</v>
      </c>
      <c r="K693" s="15"/>
      <c r="L693" t="s" s="16">
        <f>HYPERLINK("http://csr.bu.edu/ftp/asl/asllvd/demos/verify_start_end_handshape_annotations//test_auto_move//signs_mov_separ_signers/Naomi_146.mov","MOV")</f>
        <v>21</v>
      </c>
      <c r="M693" t="s" s="10">
        <v>29</v>
      </c>
      <c r="N693" s="17">
        <v>16</v>
      </c>
      <c r="O693" s="18">
        <v>3888</v>
      </c>
      <c r="P693" s="18">
        <v>3925</v>
      </c>
      <c r="Q693" s="15"/>
      <c r="R693" t="s" s="16">
        <f>HYPERLINK("http://secrets.rutgers.edu:8080/data/asl-ftp/asllvd/demos/verify_start_end_handshape_annotations//test_auto_move//signs_mov_separ_signers/Naomi_146.mov","MOV")</f>
        <v>21</v>
      </c>
    </row>
    <row r="694" s="2" customFormat="1" ht="13.5" customHeight="1">
      <c r="B694" s="13"/>
      <c r="C694" t="s" s="9">
        <v>30</v>
      </c>
      <c r="D694" t="s" s="8">
        <v>308</v>
      </c>
      <c r="E694" t="s" s="9">
        <v>308</v>
      </c>
      <c r="F694" t="s" s="10">
        <v>63</v>
      </c>
      <c r="G694" s="14"/>
      <c r="H694" t="s" s="10">
        <v>63</v>
      </c>
      <c r="I694" s="14"/>
      <c r="J694" t="s" s="11">
        <v>20</v>
      </c>
      <c r="K694" s="15"/>
      <c r="L694" t="s" s="16">
        <f>HYPERLINK("http://csr.bu.edu/ftp/asl/asllvd/demos/verify_start_end_handshape_annotations//test_auto_move//signs_mov_separ_signers/Brady_146.mov","MOV")</f>
        <v>21</v>
      </c>
      <c r="M694" t="s" s="10">
        <v>31</v>
      </c>
      <c r="N694" s="17">
        <v>13</v>
      </c>
      <c r="O694" s="18">
        <v>19812</v>
      </c>
      <c r="P694" s="18">
        <v>19835</v>
      </c>
      <c r="Q694" s="15"/>
      <c r="R694" t="s" s="16">
        <f>HYPERLINK("http://secrets.rutgers.edu:8080/data/asl-ftp/asllvd/demos/verify_start_end_handshape_annotations//test_auto_move//signs_mov_separ_signers/Brady_146.mov","MOV")</f>
        <v>21</v>
      </c>
    </row>
    <row r="695" s="2" customFormat="1" ht="13.5" customHeight="1">
      <c r="B695" t="s" s="8">
        <v>52</v>
      </c>
      <c r="C695" t="s" s="9">
        <v>53</v>
      </c>
      <c r="D695" t="s" s="8">
        <v>53</v>
      </c>
      <c r="E695" t="s" s="9">
        <v>53</v>
      </c>
      <c r="F695" t="s" s="10">
        <v>53</v>
      </c>
      <c r="G695" t="s" s="11">
        <v>53</v>
      </c>
      <c r="H695" t="s" s="10">
        <v>53</v>
      </c>
      <c r="I695" t="s" s="11">
        <v>53</v>
      </c>
      <c r="J695" t="s" s="11">
        <v>53</v>
      </c>
      <c r="K695" t="s" s="12">
        <v>53</v>
      </c>
      <c r="L695" t="s" s="12">
        <v>53</v>
      </c>
      <c r="M695" t="s" s="10">
        <v>53</v>
      </c>
      <c r="N695" t="s" s="11">
        <v>53</v>
      </c>
      <c r="O695" t="s" s="8">
        <v>53</v>
      </c>
      <c r="P695" t="s" s="8">
        <v>53</v>
      </c>
      <c r="Q695" t="s" s="12">
        <v>53</v>
      </c>
      <c r="R695" t="s" s="12">
        <v>53</v>
      </c>
    </row>
    <row r="696" s="2" customFormat="1" ht="13.5" customHeight="1">
      <c r="B696" s="13"/>
      <c r="C696" t="s" s="9">
        <v>23</v>
      </c>
      <c r="D696" t="s" s="8">
        <v>308</v>
      </c>
      <c r="E696" t="s" s="9">
        <v>309</v>
      </c>
      <c r="F696" t="s" s="10">
        <v>63</v>
      </c>
      <c r="G696" s="14"/>
      <c r="H696" t="s" s="10">
        <v>63</v>
      </c>
      <c r="I696" s="14"/>
      <c r="J696" t="s" s="11">
        <v>20</v>
      </c>
      <c r="K696" t="s" s="16">
        <f>HYPERLINK("http://csr.bu.edu/ftp/asl/asllvd/demos/verify_start_end_handshape_annotations//test_auto_move//signs_mov/15951.mov","MOV")</f>
        <v>21</v>
      </c>
      <c r="L696" t="s" s="16">
        <f>HYPERLINK("http://csr.bu.edu/ftp/asl/asllvd/demos/verify_start_end_handshape_annotations//test_auto_move//signs_mov_separ_signers/Tyler_15951.mov","MOV")</f>
        <v>21</v>
      </c>
      <c r="M696" t="s" s="10">
        <v>26</v>
      </c>
      <c r="N696" s="17">
        <v>16</v>
      </c>
      <c r="O696" s="18">
        <v>3225</v>
      </c>
      <c r="P696" s="18">
        <v>3254</v>
      </c>
      <c r="Q696" t="s" s="16">
        <f>HYPERLINK("http://secrets.rutgers.edu:8080/data/asl-ftp/asllvd/demos/verify_start_end_handshape_annotations//test_auto_move//signs_mov/15951.mov","MOV")</f>
        <v>21</v>
      </c>
      <c r="R696" t="s" s="16">
        <f>HYPERLINK("http://secrets.rutgers.edu:8080/data/asl-ftp/asllvd/demos/verify_start_end_handshape_annotations//test_auto_move//signs_mov_separ_signers/Tyler_15951.mov","MOV")</f>
        <v>21</v>
      </c>
    </row>
    <row r="697" s="2" customFormat="1" ht="13.5" customHeight="1">
      <c r="B697" t="s" s="8">
        <v>310</v>
      </c>
      <c r="C697" t="s" s="9">
        <v>14</v>
      </c>
      <c r="D697" t="s" s="8">
        <v>14</v>
      </c>
      <c r="E697" t="s" s="9">
        <v>14</v>
      </c>
      <c r="F697" t="s" s="10">
        <v>14</v>
      </c>
      <c r="G697" t="s" s="11">
        <v>14</v>
      </c>
      <c r="H697" t="s" s="10">
        <v>14</v>
      </c>
      <c r="I697" t="s" s="11">
        <v>14</v>
      </c>
      <c r="J697" t="s" s="11">
        <v>14</v>
      </c>
      <c r="K697" t="s" s="12">
        <v>14</v>
      </c>
      <c r="L697" t="s" s="12">
        <v>14</v>
      </c>
      <c r="M697" t="s" s="10">
        <v>14</v>
      </c>
      <c r="N697" t="s" s="11">
        <v>14</v>
      </c>
      <c r="O697" t="s" s="8">
        <v>14</v>
      </c>
      <c r="P697" t="s" s="8">
        <v>14</v>
      </c>
      <c r="Q697" t="s" s="12">
        <v>14</v>
      </c>
      <c r="R697" t="s" s="12">
        <v>14</v>
      </c>
    </row>
    <row r="698" s="2" customFormat="1" ht="13.5" customHeight="1">
      <c r="B698" s="13"/>
      <c r="C698" t="s" s="9">
        <v>16</v>
      </c>
      <c r="D698" t="s" s="8">
        <v>310</v>
      </c>
      <c r="E698" t="s" s="9">
        <v>310</v>
      </c>
      <c r="F698" s="19">
        <v>10</v>
      </c>
      <c r="G698" s="14"/>
      <c r="H698" s="19">
        <v>10</v>
      </c>
      <c r="I698" s="14"/>
      <c r="J698" t="s" s="11">
        <v>20</v>
      </c>
      <c r="K698" t="s" s="16">
        <f>HYPERLINK("http://csr.bu.edu/ftp/asl/asllvd/demos/verify_start_end_handshape_annotations//test_auto_move//signs_mov/16221.mov","MOV")</f>
        <v>21</v>
      </c>
      <c r="L698" t="s" s="16">
        <f>HYPERLINK("http://csr.bu.edu/ftp/asl/asllvd/demos/verify_start_end_handshape_annotations//test_auto_move//signs_mov_separ_signers/Liz_16221.mov","MOV")</f>
        <v>21</v>
      </c>
      <c r="M698" t="s" s="10">
        <v>59</v>
      </c>
      <c r="N698" s="17">
        <v>47</v>
      </c>
      <c r="O698" s="18">
        <v>3892</v>
      </c>
      <c r="P698" s="18">
        <v>3960</v>
      </c>
      <c r="Q698" t="s" s="16">
        <f>HYPERLINK("http://secrets.rutgers.edu:8080/data/asl-ftp/asllvd/demos/verify_start_end_handshape_annotations//test_auto_move//signs_mov/16221.mov","MOV")</f>
        <v>21</v>
      </c>
      <c r="R698" t="s" s="16">
        <f>HYPERLINK("http://secrets.rutgers.edu:8080/data/asl-ftp/asllvd/demos/verify_start_end_handshape_annotations//test_auto_move//signs_mov_separ_signers/Liz_16221.mov","MOV")</f>
        <v>21</v>
      </c>
    </row>
    <row r="699" s="2" customFormat="1" ht="13.5" customHeight="1">
      <c r="B699" s="13"/>
      <c r="C699" t="s" s="9">
        <v>30</v>
      </c>
      <c r="D699" t="s" s="8">
        <v>310</v>
      </c>
      <c r="E699" t="s" s="9">
        <v>310</v>
      </c>
      <c r="F699" s="19">
        <v>10</v>
      </c>
      <c r="G699" s="14"/>
      <c r="H699" s="19">
        <v>10</v>
      </c>
      <c r="I699" s="14"/>
      <c r="J699" t="s" s="11">
        <v>20</v>
      </c>
      <c r="K699" s="15"/>
      <c r="L699" t="s" s="16">
        <f>HYPERLINK("http://csr.bu.edu/ftp/asl/asllvd/demos/verify_start_end_handshape_annotations//test_auto_move//signs_mov_separ_signers/Brady_16221.mov","MOV")</f>
        <v>21</v>
      </c>
      <c r="M699" t="s" s="10">
        <v>60</v>
      </c>
      <c r="N699" s="17">
        <v>36</v>
      </c>
      <c r="O699" s="18">
        <v>641</v>
      </c>
      <c r="P699" s="18">
        <v>672</v>
      </c>
      <c r="Q699" s="15"/>
      <c r="R699" t="s" s="16">
        <f>HYPERLINK("http://secrets.rutgers.edu:8080/data/asl-ftp/asllvd/demos/verify_start_end_handshape_annotations//test_auto_move//signs_mov_separ_signers/Brady_16221.mov","MOV")</f>
        <v>21</v>
      </c>
    </row>
    <row r="700" s="2" customFormat="1" ht="13.5" customHeight="1">
      <c r="B700" t="s" s="8">
        <v>311</v>
      </c>
      <c r="C700" t="s" s="9">
        <v>14</v>
      </c>
      <c r="D700" t="s" s="8">
        <v>14</v>
      </c>
      <c r="E700" t="s" s="9">
        <v>14</v>
      </c>
      <c r="F700" t="s" s="10">
        <v>14</v>
      </c>
      <c r="G700" t="s" s="11">
        <v>14</v>
      </c>
      <c r="H700" t="s" s="10">
        <v>14</v>
      </c>
      <c r="I700" t="s" s="11">
        <v>14</v>
      </c>
      <c r="J700" t="s" s="11">
        <v>14</v>
      </c>
      <c r="K700" t="s" s="12">
        <v>14</v>
      </c>
      <c r="L700" t="s" s="12">
        <v>14</v>
      </c>
      <c r="M700" t="s" s="10">
        <v>14</v>
      </c>
      <c r="N700" t="s" s="11">
        <v>14</v>
      </c>
      <c r="O700" t="s" s="8">
        <v>14</v>
      </c>
      <c r="P700" t="s" s="8">
        <v>14</v>
      </c>
      <c r="Q700" t="s" s="12">
        <v>14</v>
      </c>
      <c r="R700" t="s" s="12">
        <v>14</v>
      </c>
    </row>
    <row r="701" s="2" customFormat="1" ht="13.5" customHeight="1">
      <c r="B701" s="13"/>
      <c r="C701" t="s" s="9">
        <v>23</v>
      </c>
      <c r="D701" t="s" s="8">
        <v>311</v>
      </c>
      <c r="E701" t="s" s="9">
        <v>311</v>
      </c>
      <c r="F701" t="s" s="10">
        <v>72</v>
      </c>
      <c r="G701" t="s" s="11">
        <v>72</v>
      </c>
      <c r="H701" t="s" s="10">
        <v>72</v>
      </c>
      <c r="I701" t="s" s="11">
        <v>72</v>
      </c>
      <c r="J701" t="s" s="11">
        <v>20</v>
      </c>
      <c r="K701" t="s" s="16">
        <f>HYPERLINK("http://csr.bu.edu/ftp/asl/asllvd/demos/verify_start_end_handshape_annotations//test_auto_move//signs_mov/147.mov","MOV")</f>
        <v>21</v>
      </c>
      <c r="L701" t="s" s="16">
        <f>HYPERLINK("http://csr.bu.edu/ftp/asl/asllvd/demos/verify_start_end_handshape_annotations//test_auto_move//signs_mov_separ_signers/Tyler_147.mov","MOV")</f>
        <v>21</v>
      </c>
      <c r="M701" t="s" s="10">
        <v>26</v>
      </c>
      <c r="N701" s="17">
        <v>16</v>
      </c>
      <c r="O701" s="18">
        <v>3617</v>
      </c>
      <c r="P701" s="18">
        <v>3656</v>
      </c>
      <c r="Q701" t="s" s="16">
        <f>HYPERLINK("http://secrets.rutgers.edu:8080/data/asl-ftp/asllvd/demos/verify_start_end_handshape_annotations//test_auto_move//signs_mov/147.mov","MOV")</f>
        <v>21</v>
      </c>
      <c r="R701" t="s" s="16">
        <f>HYPERLINK("http://secrets.rutgers.edu:8080/data/asl-ftp/asllvd/demos/verify_start_end_handshape_annotations//test_auto_move//signs_mov_separ_signers/Tyler_147.mov","MOV")</f>
        <v>21</v>
      </c>
    </row>
    <row r="702" s="2" customFormat="1" ht="13.5" customHeight="1">
      <c r="B702" s="13"/>
      <c r="C702" t="s" s="9">
        <v>30</v>
      </c>
      <c r="D702" t="s" s="8">
        <v>311</v>
      </c>
      <c r="E702" t="s" s="9">
        <v>311</v>
      </c>
      <c r="F702" t="s" s="10">
        <v>72</v>
      </c>
      <c r="G702" t="s" s="11">
        <v>72</v>
      </c>
      <c r="H702" t="s" s="10">
        <v>72</v>
      </c>
      <c r="I702" t="s" s="11">
        <v>72</v>
      </c>
      <c r="J702" t="s" s="11">
        <v>20</v>
      </c>
      <c r="K702" s="15"/>
      <c r="L702" t="s" s="16">
        <f>HYPERLINK("http://csr.bu.edu/ftp/asl/asllvd/demos/verify_start_end_handshape_annotations//test_auto_move//signs_mov_separ_signers/Brady_147.mov","MOV")</f>
        <v>21</v>
      </c>
      <c r="M702" t="s" s="10">
        <v>31</v>
      </c>
      <c r="N702" s="17">
        <v>14</v>
      </c>
      <c r="O702" s="18">
        <v>17</v>
      </c>
      <c r="P702" s="18">
        <v>47</v>
      </c>
      <c r="Q702" s="15"/>
      <c r="R702" t="s" s="16">
        <f>HYPERLINK("http://secrets.rutgers.edu:8080/data/asl-ftp/asllvd/demos/verify_start_end_handshape_annotations//test_auto_move//signs_mov_separ_signers/Brady_147.mov","MOV")</f>
        <v>21</v>
      </c>
    </row>
    <row r="703" s="2" customFormat="1" ht="13.5" customHeight="1">
      <c r="B703" t="s" s="8">
        <v>312</v>
      </c>
      <c r="C703" t="s" s="9">
        <v>14</v>
      </c>
      <c r="D703" t="s" s="8">
        <v>14</v>
      </c>
      <c r="E703" t="s" s="9">
        <v>14</v>
      </c>
      <c r="F703" t="s" s="10">
        <v>14</v>
      </c>
      <c r="G703" t="s" s="11">
        <v>14</v>
      </c>
      <c r="H703" t="s" s="10">
        <v>14</v>
      </c>
      <c r="I703" t="s" s="11">
        <v>14</v>
      </c>
      <c r="J703" t="s" s="11">
        <v>14</v>
      </c>
      <c r="K703" t="s" s="12">
        <v>14</v>
      </c>
      <c r="L703" t="s" s="12">
        <v>14</v>
      </c>
      <c r="M703" t="s" s="10">
        <v>14</v>
      </c>
      <c r="N703" t="s" s="11">
        <v>14</v>
      </c>
      <c r="O703" t="s" s="8">
        <v>14</v>
      </c>
      <c r="P703" t="s" s="8">
        <v>14</v>
      </c>
      <c r="Q703" t="s" s="12">
        <v>14</v>
      </c>
      <c r="R703" t="s" s="12">
        <v>14</v>
      </c>
    </row>
    <row r="704" s="2" customFormat="1" ht="13.5" customHeight="1">
      <c r="B704" s="13"/>
      <c r="C704" t="s" s="9">
        <v>16</v>
      </c>
      <c r="D704" t="s" s="8">
        <v>312</v>
      </c>
      <c r="E704" t="s" s="9">
        <v>312</v>
      </c>
      <c r="F704" t="s" s="10">
        <v>63</v>
      </c>
      <c r="G704" s="14"/>
      <c r="H704" t="s" s="10">
        <v>63</v>
      </c>
      <c r="I704" s="14"/>
      <c r="J704" t="s" s="11">
        <v>20</v>
      </c>
      <c r="K704" s="15"/>
      <c r="L704" t="s" s="16">
        <f>HYPERLINK("http://csr.bu.edu/ftp/asl/asllvd/demos/verify_start_end_handshape_annotations//test_auto_move//signs_mov_separ_signers/Liz_149.mov","MOV")</f>
        <v>21</v>
      </c>
      <c r="M704" t="s" s="10">
        <v>22</v>
      </c>
      <c r="N704" s="17">
        <v>25</v>
      </c>
      <c r="O704" s="18">
        <v>1230</v>
      </c>
      <c r="P704" s="18">
        <v>1285</v>
      </c>
      <c r="Q704" s="15"/>
      <c r="R704" t="s" s="16">
        <f>HYPERLINK("http://secrets.rutgers.edu:8080/data/asl-ftp/asllvd/demos/verify_start_end_handshape_annotations//test_auto_move//signs_mov_separ_signers/Liz_149.mov","MOV")</f>
        <v>21</v>
      </c>
    </row>
    <row r="705" s="2" customFormat="1" ht="13.5" customHeight="1">
      <c r="B705" s="13"/>
      <c r="C705" t="s" s="9">
        <v>27</v>
      </c>
      <c r="D705" t="s" s="8">
        <v>312</v>
      </c>
      <c r="E705" t="s" s="9">
        <v>312</v>
      </c>
      <c r="F705" t="s" s="10">
        <v>63</v>
      </c>
      <c r="G705" s="14"/>
      <c r="H705" t="s" s="10">
        <v>63</v>
      </c>
      <c r="I705" s="14"/>
      <c r="J705" t="s" s="11">
        <v>20</v>
      </c>
      <c r="K705" t="s" s="16">
        <f>HYPERLINK("http://csr.bu.edu/ftp/asl/asllvd/demos/verify_start_end_handshape_annotations//test_auto_move//signs_mov/149.mov","MOV")</f>
        <v>21</v>
      </c>
      <c r="L705" t="s" s="16">
        <f>HYPERLINK("http://csr.bu.edu/ftp/asl/asllvd/demos/verify_start_end_handshape_annotations//test_auto_move//signs_mov_separ_signers/Naomi_149.mov","MOV")</f>
        <v>21</v>
      </c>
      <c r="M705" t="s" s="10">
        <v>29</v>
      </c>
      <c r="N705" s="17">
        <v>16</v>
      </c>
      <c r="O705" s="18">
        <v>5012</v>
      </c>
      <c r="P705" s="18">
        <v>5045</v>
      </c>
      <c r="Q705" t="s" s="16">
        <f>HYPERLINK("http://secrets.rutgers.edu:8080/data/asl-ftp/asllvd/demos/verify_start_end_handshape_annotations//test_auto_move//signs_mov/149.mov","MOV")</f>
        <v>21</v>
      </c>
      <c r="R705" t="s" s="16">
        <f>HYPERLINK("http://secrets.rutgers.edu:8080/data/asl-ftp/asllvd/demos/verify_start_end_handshape_annotations//test_auto_move//signs_mov_separ_signers/Naomi_149.mov","MOV")</f>
        <v>21</v>
      </c>
    </row>
    <row r="706" s="2" customFormat="1" ht="13.5" customHeight="1">
      <c r="B706" s="13"/>
      <c r="C706" t="s" s="9">
        <v>30</v>
      </c>
      <c r="D706" t="s" s="8">
        <v>312</v>
      </c>
      <c r="E706" t="s" s="9">
        <v>312</v>
      </c>
      <c r="F706" t="s" s="10">
        <v>63</v>
      </c>
      <c r="G706" s="14"/>
      <c r="H706" t="s" s="10">
        <v>63</v>
      </c>
      <c r="I706" s="14"/>
      <c r="J706" t="s" s="11">
        <v>20</v>
      </c>
      <c r="K706" s="15"/>
      <c r="L706" t="s" s="16">
        <f>HYPERLINK("http://csr.bu.edu/ftp/asl/asllvd/demos/verify_start_end_handshape_annotations//test_auto_move//signs_mov_separ_signers/Brady_149.mov","MOV")</f>
        <v>21</v>
      </c>
      <c r="M706" t="s" s="10">
        <v>31</v>
      </c>
      <c r="N706" s="17">
        <v>14</v>
      </c>
      <c r="O706" s="18">
        <v>1156</v>
      </c>
      <c r="P706" s="18">
        <v>1192</v>
      </c>
      <c r="Q706" s="15"/>
      <c r="R706" t="s" s="16">
        <f>HYPERLINK("http://secrets.rutgers.edu:8080/data/asl-ftp/asllvd/demos/verify_start_end_handshape_annotations//test_auto_move//signs_mov_separ_signers/Brady_149.mov","MOV")</f>
        <v>21</v>
      </c>
    </row>
    <row r="707" s="2" customFormat="1" ht="13.5" customHeight="1">
      <c r="B707" t="s" s="8">
        <v>313</v>
      </c>
      <c r="C707" t="s" s="9">
        <v>14</v>
      </c>
      <c r="D707" t="s" s="8">
        <v>14</v>
      </c>
      <c r="E707" t="s" s="9">
        <v>14</v>
      </c>
      <c r="F707" t="s" s="10">
        <v>14</v>
      </c>
      <c r="G707" t="s" s="11">
        <v>14</v>
      </c>
      <c r="H707" t="s" s="10">
        <v>14</v>
      </c>
      <c r="I707" t="s" s="11">
        <v>14</v>
      </c>
      <c r="J707" t="s" s="11">
        <v>14</v>
      </c>
      <c r="K707" t="s" s="12">
        <v>14</v>
      </c>
      <c r="L707" t="s" s="12">
        <v>14</v>
      </c>
      <c r="M707" t="s" s="10">
        <v>14</v>
      </c>
      <c r="N707" t="s" s="11">
        <v>14</v>
      </c>
      <c r="O707" t="s" s="8">
        <v>14</v>
      </c>
      <c r="P707" t="s" s="8">
        <v>14</v>
      </c>
      <c r="Q707" t="s" s="12">
        <v>14</v>
      </c>
      <c r="R707" t="s" s="12">
        <v>14</v>
      </c>
    </row>
    <row r="708" s="2" customFormat="1" ht="13.5" customHeight="1">
      <c r="B708" s="13"/>
      <c r="C708" t="s" s="9">
        <v>16</v>
      </c>
      <c r="D708" t="s" s="8">
        <v>313</v>
      </c>
      <c r="E708" t="s" s="9">
        <v>313</v>
      </c>
      <c r="F708" t="s" s="10">
        <v>63</v>
      </c>
      <c r="G708" s="14"/>
      <c r="H708" t="s" s="10">
        <v>63</v>
      </c>
      <c r="I708" s="14"/>
      <c r="J708" t="s" s="11">
        <v>20</v>
      </c>
      <c r="K708" s="15"/>
      <c r="L708" t="s" s="16">
        <f>HYPERLINK("http://csr.bu.edu/ftp/asl/asllvd/demos/verify_start_end_handshape_annotations//test_auto_move//signs_mov_separ_signers/Liz_150.mov","MOV")</f>
        <v>21</v>
      </c>
      <c r="M708" t="s" s="10">
        <v>22</v>
      </c>
      <c r="N708" s="17">
        <v>25</v>
      </c>
      <c r="O708" s="18">
        <v>1481</v>
      </c>
      <c r="P708" s="18">
        <v>1531</v>
      </c>
      <c r="Q708" s="15"/>
      <c r="R708" t="s" s="16">
        <f>HYPERLINK("http://secrets.rutgers.edu:8080/data/asl-ftp/asllvd/demos/verify_start_end_handshape_annotations//test_auto_move//signs_mov_separ_signers/Liz_150.mov","MOV")</f>
        <v>21</v>
      </c>
    </row>
    <row r="709" s="2" customFormat="1" ht="13.5" customHeight="1">
      <c r="B709" s="13"/>
      <c r="C709" t="s" s="9">
        <v>27</v>
      </c>
      <c r="D709" t="s" s="8">
        <v>313</v>
      </c>
      <c r="E709" t="s" s="9">
        <v>313</v>
      </c>
      <c r="F709" t="s" s="10">
        <v>63</v>
      </c>
      <c r="G709" s="14"/>
      <c r="H709" t="s" s="10">
        <v>63</v>
      </c>
      <c r="I709" s="14"/>
      <c r="J709" t="s" s="11">
        <v>20</v>
      </c>
      <c r="K709" t="s" s="16">
        <f>HYPERLINK("http://csr.bu.edu/ftp/asl/asllvd/demos/verify_start_end_handshape_annotations//test_auto_move//signs_mov/150.mov","MOV")</f>
        <v>21</v>
      </c>
      <c r="L709" t="s" s="16">
        <f>HYPERLINK("http://csr.bu.edu/ftp/asl/asllvd/demos/verify_start_end_handshape_annotations//test_auto_move//signs_mov_separ_signers/Naomi_150.mov","MOV")</f>
        <v>21</v>
      </c>
      <c r="M709" t="s" s="10">
        <v>29</v>
      </c>
      <c r="N709" s="17">
        <v>16</v>
      </c>
      <c r="O709" s="18">
        <v>5410</v>
      </c>
      <c r="P709" s="18">
        <v>5428</v>
      </c>
      <c r="Q709" t="s" s="16">
        <f>HYPERLINK("http://secrets.rutgers.edu:8080/data/asl-ftp/asllvd/demos/verify_start_end_handshape_annotations//test_auto_move//signs_mov/150.mov","MOV")</f>
        <v>21</v>
      </c>
      <c r="R709" t="s" s="16">
        <f>HYPERLINK("http://secrets.rutgers.edu:8080/data/asl-ftp/asllvd/demos/verify_start_end_handshape_annotations//test_auto_move//signs_mov_separ_signers/Naomi_150.mov","MOV")</f>
        <v>21</v>
      </c>
    </row>
    <row r="710" s="2" customFormat="1" ht="13.5" customHeight="1">
      <c r="B710" s="13"/>
      <c r="C710" t="s" s="9">
        <v>30</v>
      </c>
      <c r="D710" t="s" s="8">
        <v>313</v>
      </c>
      <c r="E710" t="s" s="9">
        <v>313</v>
      </c>
      <c r="F710" t="s" s="10">
        <v>63</v>
      </c>
      <c r="G710" s="14"/>
      <c r="H710" t="s" s="10">
        <v>63</v>
      </c>
      <c r="I710" s="14"/>
      <c r="J710" t="s" s="11">
        <v>20</v>
      </c>
      <c r="K710" s="15"/>
      <c r="L710" t="s" s="16">
        <f>HYPERLINK("http://csr.bu.edu/ftp/asl/asllvd/demos/verify_start_end_handshape_annotations//test_auto_move//signs_mov_separ_signers/Brady_150.mov","MOV")</f>
        <v>21</v>
      </c>
      <c r="M710" t="s" s="10">
        <v>31</v>
      </c>
      <c r="N710" s="17">
        <v>14</v>
      </c>
      <c r="O710" s="18">
        <v>1378</v>
      </c>
      <c r="P710" s="18">
        <v>1401</v>
      </c>
      <c r="Q710" s="15"/>
      <c r="R710" t="s" s="16">
        <f>HYPERLINK("http://secrets.rutgers.edu:8080/data/asl-ftp/asllvd/demos/verify_start_end_handshape_annotations//test_auto_move//signs_mov_separ_signers/Brady_150.mov","MOV")</f>
        <v>21</v>
      </c>
    </row>
    <row r="711" s="2" customFormat="1" ht="13.5" customHeight="1">
      <c r="B711" s="13"/>
      <c r="C711" t="s" s="9">
        <v>43</v>
      </c>
      <c r="D711" t="s" s="8">
        <v>313</v>
      </c>
      <c r="E711" t="s" s="9">
        <v>313</v>
      </c>
      <c r="F711" t="s" s="10">
        <v>63</v>
      </c>
      <c r="G711" s="14"/>
      <c r="H711" t="s" s="10">
        <v>63</v>
      </c>
      <c r="I711" s="14"/>
      <c r="J711" t="s" s="11">
        <v>20</v>
      </c>
      <c r="K711" s="15"/>
      <c r="L711" t="s" s="16">
        <f>HYPERLINK("http://csr.bu.edu/ftp/asl/asllvd/demos/verify_start_end_handshape_annotations//test_auto_move//signs_mov_separ_signers/Dana_150.mov","MOV")</f>
        <v>21</v>
      </c>
      <c r="M711" t="s" s="10">
        <v>44</v>
      </c>
      <c r="N711" s="17">
        <v>7</v>
      </c>
      <c r="O711" s="18">
        <v>1432</v>
      </c>
      <c r="P711" s="18">
        <v>1482</v>
      </c>
      <c r="Q711" s="15"/>
      <c r="R711" t="s" s="16">
        <f>HYPERLINK("http://secrets.rutgers.edu:8080/data/asl-ftp/asllvd/demos/verify_start_end_handshape_annotations//test_auto_move//signs_mov_separ_signers/Dana_150.mov","MOV")</f>
        <v>21</v>
      </c>
    </row>
    <row r="712" s="2" customFormat="1" ht="13.5" customHeight="1">
      <c r="B712" t="s" s="8">
        <v>52</v>
      </c>
      <c r="C712" t="s" s="9">
        <v>53</v>
      </c>
      <c r="D712" t="s" s="8">
        <v>53</v>
      </c>
      <c r="E712" t="s" s="9">
        <v>53</v>
      </c>
      <c r="F712" t="s" s="10">
        <v>53</v>
      </c>
      <c r="G712" t="s" s="11">
        <v>53</v>
      </c>
      <c r="H712" t="s" s="10">
        <v>53</v>
      </c>
      <c r="I712" t="s" s="11">
        <v>53</v>
      </c>
      <c r="J712" t="s" s="11">
        <v>53</v>
      </c>
      <c r="K712" t="s" s="12">
        <v>53</v>
      </c>
      <c r="L712" t="s" s="12">
        <v>53</v>
      </c>
      <c r="M712" t="s" s="10">
        <v>53</v>
      </c>
      <c r="N712" t="s" s="11">
        <v>53</v>
      </c>
      <c r="O712" t="s" s="8">
        <v>53</v>
      </c>
      <c r="P712" t="s" s="8">
        <v>53</v>
      </c>
      <c r="Q712" t="s" s="12">
        <v>53</v>
      </c>
      <c r="R712" t="s" s="12">
        <v>53</v>
      </c>
    </row>
    <row r="713" s="2" customFormat="1" ht="13.5" customHeight="1">
      <c r="B713" s="13"/>
      <c r="C713" t="s" s="9">
        <v>41</v>
      </c>
      <c r="D713" t="s" s="8">
        <v>313</v>
      </c>
      <c r="E713" t="s" s="9">
        <v>314</v>
      </c>
      <c r="F713" t="s" s="10">
        <v>63</v>
      </c>
      <c r="G713" s="14"/>
      <c r="H713" t="s" s="10">
        <v>63</v>
      </c>
      <c r="I713" s="14"/>
      <c r="J713" t="s" s="11">
        <v>20</v>
      </c>
      <c r="K713" t="s" s="16">
        <f>HYPERLINK("http://csr.bu.edu/ftp/asl/asllvd/demos/verify_start_end_handshape_annotations//test_auto_move//signs_mov/5533.mov","MOV")</f>
        <v>21</v>
      </c>
      <c r="L713" t="s" s="16">
        <f>HYPERLINK("http://csr.bu.edu/ftp/asl/asllvd/demos/verify_start_end_handshape_annotations//test_auto_move//signs_mov_separ_signers/Lana_5533.mov","MOV")</f>
        <v>21</v>
      </c>
      <c r="M713" t="s" s="10">
        <v>42</v>
      </c>
      <c r="N713" s="17">
        <v>3</v>
      </c>
      <c r="O713" s="18">
        <v>1445</v>
      </c>
      <c r="P713" s="18">
        <v>1465</v>
      </c>
      <c r="Q713" t="s" s="16">
        <f>HYPERLINK("http://secrets.rutgers.edu:8080/data/asl-ftp/asllvd/demos/verify_start_end_handshape_annotations//test_auto_move//signs_mov/5533.mov","MOV")</f>
        <v>21</v>
      </c>
      <c r="R713" t="s" s="16">
        <f>HYPERLINK("http://secrets.rutgers.edu:8080/data/asl-ftp/asllvd/demos/verify_start_end_handshape_annotations//test_auto_move//signs_mov_separ_signers/Lana_5533.mov","MOV")</f>
        <v>21</v>
      </c>
    </row>
    <row r="714" s="2" customFormat="1" ht="13.5" customHeight="1">
      <c r="B714" t="s" s="8">
        <v>315</v>
      </c>
      <c r="C714" t="s" s="9">
        <v>14</v>
      </c>
      <c r="D714" t="s" s="8">
        <v>14</v>
      </c>
      <c r="E714" t="s" s="9">
        <v>14</v>
      </c>
      <c r="F714" t="s" s="10">
        <v>14</v>
      </c>
      <c r="G714" t="s" s="11">
        <v>14</v>
      </c>
      <c r="H714" t="s" s="10">
        <v>14</v>
      </c>
      <c r="I714" t="s" s="11">
        <v>14</v>
      </c>
      <c r="J714" t="s" s="11">
        <v>14</v>
      </c>
      <c r="K714" t="s" s="12">
        <v>14</v>
      </c>
      <c r="L714" t="s" s="12">
        <v>14</v>
      </c>
      <c r="M714" t="s" s="10">
        <v>14</v>
      </c>
      <c r="N714" t="s" s="11">
        <v>14</v>
      </c>
      <c r="O714" t="s" s="8">
        <v>14</v>
      </c>
      <c r="P714" t="s" s="8">
        <v>14</v>
      </c>
      <c r="Q714" t="s" s="12">
        <v>14</v>
      </c>
      <c r="R714" t="s" s="12">
        <v>14</v>
      </c>
    </row>
    <row r="715" s="2" customFormat="1" ht="13.5" customHeight="1">
      <c r="B715" s="13"/>
      <c r="C715" t="s" s="9">
        <v>16</v>
      </c>
      <c r="D715" t="s" s="8">
        <v>315</v>
      </c>
      <c r="E715" t="s" s="9">
        <v>315</v>
      </c>
      <c r="F715" t="s" s="10">
        <v>240</v>
      </c>
      <c r="G715" s="14"/>
      <c r="H715" t="s" s="10">
        <v>240</v>
      </c>
      <c r="I715" s="14"/>
      <c r="J715" t="s" s="11">
        <v>20</v>
      </c>
      <c r="K715" s="15"/>
      <c r="L715" t="s" s="16">
        <f>HYPERLINK("http://csr.bu.edu/ftp/asl/asllvd/demos/verify_start_end_handshape_annotations//test_auto_move//signs_mov_separ_signers/Liz_15605.mov","MOV")</f>
        <v>21</v>
      </c>
      <c r="M715" t="s" s="10">
        <v>59</v>
      </c>
      <c r="N715" s="17">
        <v>27</v>
      </c>
      <c r="O715" s="18">
        <v>1130</v>
      </c>
      <c r="P715" s="18">
        <v>1170</v>
      </c>
      <c r="Q715" s="15"/>
      <c r="R715" t="s" s="16">
        <f>HYPERLINK("http://secrets.rutgers.edu:8080/data/asl-ftp/asllvd/demos/verify_start_end_handshape_annotations//test_auto_move//signs_mov_separ_signers/Liz_15605.mov","MOV")</f>
        <v>21</v>
      </c>
    </row>
    <row r="716" s="2" customFormat="1" ht="13.5" customHeight="1">
      <c r="B716" s="13"/>
      <c r="C716" t="s" s="9">
        <v>30</v>
      </c>
      <c r="D716" t="s" s="8">
        <v>315</v>
      </c>
      <c r="E716" t="s" s="9">
        <v>315</v>
      </c>
      <c r="F716" t="s" s="10">
        <v>240</v>
      </c>
      <c r="G716" s="14"/>
      <c r="H716" t="s" s="10">
        <v>240</v>
      </c>
      <c r="I716" s="14"/>
      <c r="J716" t="s" s="11">
        <v>20</v>
      </c>
      <c r="K716" t="s" s="16">
        <f>HYPERLINK("http://csr.bu.edu/ftp/asl/asllvd/demos/verify_start_end_handshape_annotations//test_auto_move//signs_mov/15605.mov","MOV")</f>
        <v>21</v>
      </c>
      <c r="L716" t="s" s="16">
        <f>HYPERLINK("http://csr.bu.edu/ftp/asl/asllvd/demos/verify_start_end_handshape_annotations//test_auto_move//signs_mov_separ_signers/Brady_15605.mov","MOV")</f>
        <v>21</v>
      </c>
      <c r="M716" t="s" s="10">
        <v>60</v>
      </c>
      <c r="N716" s="17">
        <v>15</v>
      </c>
      <c r="O716" s="18">
        <v>2169</v>
      </c>
      <c r="P716" s="18">
        <v>2206</v>
      </c>
      <c r="Q716" t="s" s="16">
        <f>HYPERLINK("http://secrets.rutgers.edu:8080/data/asl-ftp/asllvd/demos/verify_start_end_handshape_annotations//test_auto_move//signs_mov/15605.mov","MOV")</f>
        <v>21</v>
      </c>
      <c r="R716" t="s" s="16">
        <f>HYPERLINK("http://secrets.rutgers.edu:8080/data/asl-ftp/asllvd/demos/verify_start_end_handshape_annotations//test_auto_move//signs_mov_separ_signers/Brady_15605.mov","MOV")</f>
        <v>21</v>
      </c>
    </row>
    <row r="717" s="2" customFormat="1" ht="13.5" customHeight="1">
      <c r="B717" s="13"/>
      <c r="C717" t="s" s="9">
        <v>43</v>
      </c>
      <c r="D717" t="s" s="8">
        <v>315</v>
      </c>
      <c r="E717" t="s" s="9">
        <v>315</v>
      </c>
      <c r="F717" t="s" s="10">
        <v>240</v>
      </c>
      <c r="G717" s="14"/>
      <c r="H717" t="s" s="10">
        <v>240</v>
      </c>
      <c r="I717" s="14"/>
      <c r="J717" t="s" s="11">
        <v>20</v>
      </c>
      <c r="K717" s="15"/>
      <c r="L717" t="s" s="16">
        <f>HYPERLINK("http://csr.bu.edu/ftp/asl/asllvd/demos/verify_start_end_handshape_annotations//test_auto_move//signs_mov_separ_signers/Dana_15605.mov","MOV")</f>
        <v>21</v>
      </c>
      <c r="M717" t="s" s="10">
        <v>44</v>
      </c>
      <c r="N717" s="17">
        <v>27</v>
      </c>
      <c r="O717" s="18">
        <v>559</v>
      </c>
      <c r="P717" s="18">
        <v>629</v>
      </c>
      <c r="Q717" s="15"/>
      <c r="R717" t="s" s="16">
        <f>HYPERLINK("http://secrets.rutgers.edu:8080/data/asl-ftp/asllvd/demos/verify_start_end_handshape_annotations//test_auto_move//signs_mov_separ_signers/Dana_15605.mov","MOV")</f>
        <v>21</v>
      </c>
    </row>
    <row r="718" s="2" customFormat="1" ht="13.5" customHeight="1">
      <c r="B718" t="s" s="8">
        <v>52</v>
      </c>
      <c r="C718" t="s" s="9">
        <v>53</v>
      </c>
      <c r="D718" t="s" s="8">
        <v>53</v>
      </c>
      <c r="E718" t="s" s="9">
        <v>53</v>
      </c>
      <c r="F718" t="s" s="10">
        <v>53</v>
      </c>
      <c r="G718" t="s" s="11">
        <v>53</v>
      </c>
      <c r="H718" t="s" s="10">
        <v>53</v>
      </c>
      <c r="I718" t="s" s="11">
        <v>53</v>
      </c>
      <c r="J718" t="s" s="11">
        <v>53</v>
      </c>
      <c r="K718" t="s" s="12">
        <v>53</v>
      </c>
      <c r="L718" t="s" s="12">
        <v>53</v>
      </c>
      <c r="M718" t="s" s="10">
        <v>53</v>
      </c>
      <c r="N718" t="s" s="11">
        <v>53</v>
      </c>
      <c r="O718" t="s" s="8">
        <v>53</v>
      </c>
      <c r="P718" t="s" s="8">
        <v>53</v>
      </c>
      <c r="Q718" t="s" s="12">
        <v>53</v>
      </c>
      <c r="R718" t="s" s="12">
        <v>53</v>
      </c>
    </row>
    <row r="719" s="2" customFormat="1" ht="13.5" customHeight="1">
      <c r="B719" s="13"/>
      <c r="C719" t="s" s="9">
        <v>41</v>
      </c>
      <c r="D719" t="s" s="8">
        <v>315</v>
      </c>
      <c r="E719" t="s" s="9">
        <v>316</v>
      </c>
      <c r="F719" t="s" s="10">
        <v>240</v>
      </c>
      <c r="G719" s="14"/>
      <c r="H719" t="s" s="10">
        <v>240</v>
      </c>
      <c r="I719" s="14"/>
      <c r="J719" t="s" s="11">
        <v>20</v>
      </c>
      <c r="K719" t="s" s="16">
        <f>HYPERLINK("http://csr.bu.edu/ftp/asl/asllvd/demos/verify_start_end_handshape_annotations//test_auto_move//signs_mov/16222.mov","MOV")</f>
        <v>21</v>
      </c>
      <c r="L719" t="s" s="16">
        <f>HYPERLINK("http://csr.bu.edu/ftp/asl/asllvd/demos/verify_start_end_handshape_annotations//test_auto_move//signs_mov_separ_signers/Lana_16222.mov","MOV")</f>
        <v>21</v>
      </c>
      <c r="M719" t="s" s="10">
        <v>42</v>
      </c>
      <c r="N719" s="17">
        <v>25</v>
      </c>
      <c r="O719" s="18">
        <v>633</v>
      </c>
      <c r="P719" s="18">
        <v>658</v>
      </c>
      <c r="Q719" t="s" s="16">
        <f>HYPERLINK("http://secrets.rutgers.edu:8080/data/asl-ftp/asllvd/demos/verify_start_end_handshape_annotations//test_auto_move//signs_mov/16222.mov","MOV")</f>
        <v>21</v>
      </c>
      <c r="R719" t="s" s="16">
        <f>HYPERLINK("http://secrets.rutgers.edu:8080/data/asl-ftp/asllvd/demos/verify_start_end_handshape_annotations//test_auto_move//signs_mov_separ_signers/Lana_16222.mov","MOV")</f>
        <v>21</v>
      </c>
    </row>
    <row r="720" s="2" customFormat="1" ht="13.5" customHeight="1">
      <c r="B720" t="s" s="8">
        <v>317</v>
      </c>
      <c r="C720" t="s" s="9">
        <v>14</v>
      </c>
      <c r="D720" t="s" s="8">
        <v>14</v>
      </c>
      <c r="E720" t="s" s="9">
        <v>14</v>
      </c>
      <c r="F720" t="s" s="10">
        <v>14</v>
      </c>
      <c r="G720" t="s" s="11">
        <v>14</v>
      </c>
      <c r="H720" t="s" s="10">
        <v>14</v>
      </c>
      <c r="I720" t="s" s="11">
        <v>14</v>
      </c>
      <c r="J720" t="s" s="11">
        <v>14</v>
      </c>
      <c r="K720" t="s" s="12">
        <v>14</v>
      </c>
      <c r="L720" t="s" s="12">
        <v>14</v>
      </c>
      <c r="M720" t="s" s="10">
        <v>14</v>
      </c>
      <c r="N720" t="s" s="11">
        <v>14</v>
      </c>
      <c r="O720" t="s" s="8">
        <v>14</v>
      </c>
      <c r="P720" t="s" s="8">
        <v>14</v>
      </c>
      <c r="Q720" t="s" s="12">
        <v>14</v>
      </c>
      <c r="R720" t="s" s="12">
        <v>14</v>
      </c>
    </row>
    <row r="721" s="2" customFormat="1" ht="13.5" customHeight="1">
      <c r="B721" s="13"/>
      <c r="C721" t="s" s="9">
        <v>16</v>
      </c>
      <c r="D721" t="s" s="8">
        <v>317</v>
      </c>
      <c r="E721" t="s" s="9">
        <v>317</v>
      </c>
      <c r="F721" t="s" s="10">
        <v>152</v>
      </c>
      <c r="G721" s="14"/>
      <c r="H721" t="s" s="10">
        <v>152</v>
      </c>
      <c r="I721" s="14"/>
      <c r="J721" t="s" s="11">
        <v>20</v>
      </c>
      <c r="K721" s="15"/>
      <c r="L721" t="s" s="16">
        <f>HYPERLINK("http://csr.bu.edu/ftp/asl/asllvd/demos/verify_start_end_handshape_annotations//test_auto_move//signs_mov_separ_signers/Liz_151.mov","MOV")</f>
        <v>21</v>
      </c>
      <c r="M721" t="s" s="10">
        <v>22</v>
      </c>
      <c r="N721" s="17">
        <v>25</v>
      </c>
      <c r="O721" s="18">
        <v>1810</v>
      </c>
      <c r="P721" s="18">
        <v>1835</v>
      </c>
      <c r="Q721" s="15"/>
      <c r="R721" t="s" s="16">
        <f>HYPERLINK("http://secrets.rutgers.edu:8080/data/asl-ftp/asllvd/demos/verify_start_end_handshape_annotations//test_auto_move//signs_mov_separ_signers/Liz_151.mov","MOV")</f>
        <v>21</v>
      </c>
    </row>
    <row r="722" s="2" customFormat="1" ht="13.5" customHeight="1">
      <c r="B722" s="13"/>
      <c r="C722" t="s" s="9">
        <v>27</v>
      </c>
      <c r="D722" t="s" s="8">
        <v>317</v>
      </c>
      <c r="E722" t="s" s="9">
        <v>317</v>
      </c>
      <c r="F722" t="s" s="10">
        <v>152</v>
      </c>
      <c r="G722" s="14"/>
      <c r="H722" t="s" s="10">
        <v>152</v>
      </c>
      <c r="I722" s="14"/>
      <c r="J722" t="s" s="11">
        <v>20</v>
      </c>
      <c r="K722" t="s" s="16">
        <f>HYPERLINK("http://csr.bu.edu/ftp/asl/asllvd/demos/verify_start_end_handshape_annotations//test_auto_move//signs_mov/151.mov","MOV")</f>
        <v>21</v>
      </c>
      <c r="L722" t="s" s="16">
        <f>HYPERLINK("http://csr.bu.edu/ftp/asl/asllvd/demos/verify_start_end_handshape_annotations//test_auto_move//signs_mov_separ_signers/Naomi_151.mov","MOV")</f>
        <v>21</v>
      </c>
      <c r="M722" t="s" s="10">
        <v>29</v>
      </c>
      <c r="N722" s="17">
        <v>17</v>
      </c>
      <c r="O722" s="18">
        <v>312</v>
      </c>
      <c r="P722" s="18">
        <v>343</v>
      </c>
      <c r="Q722" t="s" s="16">
        <f>HYPERLINK("http://secrets.rutgers.edu:8080/data/asl-ftp/asllvd/demos/verify_start_end_handshape_annotations//test_auto_move//signs_mov/151.mov","MOV")</f>
        <v>21</v>
      </c>
      <c r="R722" t="s" s="16">
        <f>HYPERLINK("http://secrets.rutgers.edu:8080/data/asl-ftp/asllvd/demos/verify_start_end_handshape_annotations//test_auto_move//signs_mov_separ_signers/Naomi_151.mov","MOV")</f>
        <v>21</v>
      </c>
    </row>
    <row r="723" s="2" customFormat="1" ht="13.5" customHeight="1">
      <c r="B723" s="13"/>
      <c r="C723" t="s" s="9">
        <v>30</v>
      </c>
      <c r="D723" t="s" s="8">
        <v>317</v>
      </c>
      <c r="E723" t="s" s="9">
        <v>317</v>
      </c>
      <c r="F723" t="s" s="10">
        <v>152</v>
      </c>
      <c r="G723" s="14"/>
      <c r="H723" t="s" s="10">
        <v>152</v>
      </c>
      <c r="I723" s="14"/>
      <c r="J723" t="s" s="11">
        <v>20</v>
      </c>
      <c r="K723" s="15"/>
      <c r="L723" t="s" s="16">
        <f>HYPERLINK("http://csr.bu.edu/ftp/asl/asllvd/demos/verify_start_end_handshape_annotations//test_auto_move//signs_mov_separ_signers/Brady_151.mov","MOV")</f>
        <v>21</v>
      </c>
      <c r="M723" t="s" s="10">
        <v>31</v>
      </c>
      <c r="N723" s="17">
        <v>14</v>
      </c>
      <c r="O723" s="18">
        <v>1598</v>
      </c>
      <c r="P723" s="18">
        <v>1624</v>
      </c>
      <c r="Q723" s="15"/>
      <c r="R723" t="s" s="16">
        <f>HYPERLINK("http://secrets.rutgers.edu:8080/data/asl-ftp/asllvd/demos/verify_start_end_handshape_annotations//test_auto_move//signs_mov_separ_signers/Brady_151.mov","MOV")</f>
        <v>21</v>
      </c>
    </row>
    <row r="724" s="2" customFormat="1" ht="13.5" customHeight="1">
      <c r="B724" t="s" s="8">
        <v>318</v>
      </c>
      <c r="C724" t="s" s="9">
        <v>14</v>
      </c>
      <c r="D724" t="s" s="8">
        <v>14</v>
      </c>
      <c r="E724" t="s" s="9">
        <v>14</v>
      </c>
      <c r="F724" t="s" s="10">
        <v>14</v>
      </c>
      <c r="G724" t="s" s="11">
        <v>14</v>
      </c>
      <c r="H724" t="s" s="10">
        <v>14</v>
      </c>
      <c r="I724" t="s" s="11">
        <v>14</v>
      </c>
      <c r="J724" t="s" s="11">
        <v>14</v>
      </c>
      <c r="K724" t="s" s="12">
        <v>14</v>
      </c>
      <c r="L724" t="s" s="12">
        <v>14</v>
      </c>
      <c r="M724" t="s" s="10">
        <v>14</v>
      </c>
      <c r="N724" t="s" s="11">
        <v>14</v>
      </c>
      <c r="O724" t="s" s="8">
        <v>14</v>
      </c>
      <c r="P724" t="s" s="8">
        <v>14</v>
      </c>
      <c r="Q724" t="s" s="12">
        <v>14</v>
      </c>
      <c r="R724" t="s" s="12">
        <v>14</v>
      </c>
    </row>
    <row r="725" s="2" customFormat="1" ht="13.5" customHeight="1">
      <c r="B725" s="13"/>
      <c r="C725" t="s" s="9">
        <v>16</v>
      </c>
      <c r="D725" t="s" s="8">
        <v>318</v>
      </c>
      <c r="E725" t="s" s="9">
        <v>318</v>
      </c>
      <c r="F725" t="s" s="10">
        <v>277</v>
      </c>
      <c r="G725" t="s" s="11">
        <v>277</v>
      </c>
      <c r="H725" s="19">
        <v>5</v>
      </c>
      <c r="I725" s="17">
        <v>5</v>
      </c>
      <c r="J725" t="s" s="11">
        <v>20</v>
      </c>
      <c r="K725" s="15"/>
      <c r="L725" t="s" s="16">
        <f>HYPERLINK("http://csr.bu.edu/ftp/asl/asllvd/demos/verify_start_end_handshape_annotations//test_auto_move//signs_mov_separ_signers/Liz_5739.mov","MOV")</f>
        <v>21</v>
      </c>
      <c r="M725" t="s" s="10">
        <v>22</v>
      </c>
      <c r="N725" s="17">
        <v>26</v>
      </c>
      <c r="O725" s="18">
        <v>611</v>
      </c>
      <c r="P725" s="18">
        <v>645</v>
      </c>
      <c r="Q725" s="15"/>
      <c r="R725" t="s" s="16">
        <f>HYPERLINK("http://secrets.rutgers.edu:8080/data/asl-ftp/asllvd/demos/verify_start_end_handshape_annotations//test_auto_move//signs_mov_separ_signers/Liz_5739.mov","MOV")</f>
        <v>21</v>
      </c>
    </row>
    <row r="726" s="2" customFormat="1" ht="13.5" customHeight="1">
      <c r="B726" s="13"/>
      <c r="C726" t="s" s="9">
        <v>23</v>
      </c>
      <c r="D726" t="s" s="8">
        <v>318</v>
      </c>
      <c r="E726" t="s" s="9">
        <v>318</v>
      </c>
      <c r="F726" s="19">
        <v>8</v>
      </c>
      <c r="G726" s="17">
        <v>8</v>
      </c>
      <c r="H726" s="19">
        <v>5</v>
      </c>
      <c r="I726" s="17">
        <v>5</v>
      </c>
      <c r="J726" t="s" s="11">
        <v>20</v>
      </c>
      <c r="K726" t="s" s="16">
        <f>HYPERLINK("http://csr.bu.edu/ftp/asl/asllvd/demos/verify_start_end_handshape_annotations//test_auto_move//signs_mov/5739.mov","MOV")</f>
        <v>21</v>
      </c>
      <c r="L726" t="s" s="16">
        <f>HYPERLINK("http://csr.bu.edu/ftp/asl/asllvd/demos/verify_start_end_handshape_annotations//test_auto_move//signs_mov_separ_signers/Tyler_5739.mov","MOV")</f>
        <v>21</v>
      </c>
      <c r="M726" t="s" s="10">
        <v>26</v>
      </c>
      <c r="N726" s="17">
        <v>17</v>
      </c>
      <c r="O726" s="18">
        <v>787</v>
      </c>
      <c r="P726" s="18">
        <v>820</v>
      </c>
      <c r="Q726" t="s" s="16">
        <f>HYPERLINK("http://secrets.rutgers.edu:8080/data/asl-ftp/asllvd/demos/verify_start_end_handshape_annotations//test_auto_move//signs_mov/5739.mov","MOV")</f>
        <v>21</v>
      </c>
      <c r="R726" t="s" s="16">
        <f>HYPERLINK("http://secrets.rutgers.edu:8080/data/asl-ftp/asllvd/demos/verify_start_end_handshape_annotations//test_auto_move//signs_mov_separ_signers/Tyler_5739.mov","MOV")</f>
        <v>21</v>
      </c>
    </row>
    <row r="727" s="2" customFormat="1" ht="13.5" customHeight="1">
      <c r="B727" s="13"/>
      <c r="C727" t="s" s="9">
        <v>27</v>
      </c>
      <c r="D727" t="s" s="8">
        <v>318</v>
      </c>
      <c r="E727" t="s" s="9">
        <v>318</v>
      </c>
      <c r="F727" t="s" s="10">
        <v>277</v>
      </c>
      <c r="G727" t="s" s="11">
        <v>277</v>
      </c>
      <c r="H727" s="19">
        <v>5</v>
      </c>
      <c r="I727" s="17">
        <v>5</v>
      </c>
      <c r="J727" t="s" s="11">
        <v>20</v>
      </c>
      <c r="K727" s="15"/>
      <c r="L727" t="s" s="16">
        <f>HYPERLINK("http://csr.bu.edu/ftp/asl/asllvd/demos/verify_start_end_handshape_annotations//test_auto_move//signs_mov_separ_signers/Naomi_5739.mov","MOV")</f>
        <v>21</v>
      </c>
      <c r="M727" t="s" s="10">
        <v>29</v>
      </c>
      <c r="N727" s="17">
        <v>17</v>
      </c>
      <c r="O727" s="18">
        <v>560</v>
      </c>
      <c r="P727" s="18">
        <v>587</v>
      </c>
      <c r="Q727" s="15"/>
      <c r="R727" t="s" s="16">
        <f>HYPERLINK("http://secrets.rutgers.edu:8080/data/asl-ftp/asllvd/demos/verify_start_end_handshape_annotations//test_auto_move//signs_mov_separ_signers/Naomi_5739.mov","MOV")</f>
        <v>21</v>
      </c>
    </row>
    <row r="728" s="2" customFormat="1" ht="13.5" customHeight="1">
      <c r="B728" s="13"/>
      <c r="C728" t="s" s="9">
        <v>30</v>
      </c>
      <c r="D728" t="s" s="8">
        <v>318</v>
      </c>
      <c r="E728" t="s" s="9">
        <v>318</v>
      </c>
      <c r="F728" t="s" s="10">
        <v>277</v>
      </c>
      <c r="G728" t="s" s="11">
        <v>277</v>
      </c>
      <c r="H728" s="19">
        <v>5</v>
      </c>
      <c r="I728" s="17">
        <v>5</v>
      </c>
      <c r="J728" t="s" s="11">
        <v>20</v>
      </c>
      <c r="K728" s="15"/>
      <c r="L728" t="s" s="16">
        <f>HYPERLINK("http://csr.bu.edu/ftp/asl/asllvd/demos/verify_start_end_handshape_annotations//test_auto_move//signs_mov_separ_signers/Brady_5739.mov","MOV")</f>
        <v>21</v>
      </c>
      <c r="M728" t="s" s="10">
        <v>31</v>
      </c>
      <c r="N728" s="17">
        <v>14</v>
      </c>
      <c r="O728" s="18">
        <v>1887</v>
      </c>
      <c r="P728" s="18">
        <v>1914</v>
      </c>
      <c r="Q728" s="15"/>
      <c r="R728" t="s" s="16">
        <f>HYPERLINK("http://secrets.rutgers.edu:8080/data/asl-ftp/asllvd/demos/verify_start_end_handshape_annotations//test_auto_move//signs_mov_separ_signers/Brady_5739.mov","MOV")</f>
        <v>21</v>
      </c>
    </row>
    <row r="729" s="2" customFormat="1" ht="13.5" customHeight="1">
      <c r="B729" t="s" s="8">
        <v>319</v>
      </c>
      <c r="C729" t="s" s="9">
        <v>14</v>
      </c>
      <c r="D729" t="s" s="8">
        <v>14</v>
      </c>
      <c r="E729" t="s" s="9">
        <v>14</v>
      </c>
      <c r="F729" t="s" s="10">
        <v>14</v>
      </c>
      <c r="G729" t="s" s="11">
        <v>14</v>
      </c>
      <c r="H729" t="s" s="10">
        <v>14</v>
      </c>
      <c r="I729" t="s" s="11">
        <v>14</v>
      </c>
      <c r="J729" t="s" s="11">
        <v>14</v>
      </c>
      <c r="K729" t="s" s="12">
        <v>14</v>
      </c>
      <c r="L729" t="s" s="12">
        <v>14</v>
      </c>
      <c r="M729" t="s" s="10">
        <v>14</v>
      </c>
      <c r="N729" t="s" s="11">
        <v>14</v>
      </c>
      <c r="O729" t="s" s="8">
        <v>14</v>
      </c>
      <c r="P729" t="s" s="8">
        <v>14</v>
      </c>
      <c r="Q729" t="s" s="12">
        <v>14</v>
      </c>
      <c r="R729" t="s" s="12">
        <v>14</v>
      </c>
    </row>
    <row r="730" s="2" customFormat="1" ht="13.5" customHeight="1">
      <c r="B730" s="13"/>
      <c r="C730" t="s" s="9">
        <v>16</v>
      </c>
      <c r="D730" t="s" s="8">
        <v>319</v>
      </c>
      <c r="E730" t="s" s="9">
        <v>319</v>
      </c>
      <c r="F730" s="19">
        <v>1</v>
      </c>
      <c r="G730" s="17">
        <v>1</v>
      </c>
      <c r="H730" t="s" s="10">
        <v>255</v>
      </c>
      <c r="I730" t="s" s="11">
        <v>255</v>
      </c>
      <c r="J730" t="s" s="11">
        <v>20</v>
      </c>
      <c r="K730" t="s" s="16">
        <f>HYPERLINK("http://csr.bu.edu/ftp/asl/asllvd/demos/verify_start_end_handshape_annotations//test_auto_move//signs_mov/153.mov","MOV")</f>
        <v>21</v>
      </c>
      <c r="L730" t="s" s="16">
        <f>HYPERLINK("http://csr.bu.edu/ftp/asl/asllvd/demos/verify_start_end_handshape_annotations//test_auto_move//signs_mov_separ_signers/Liz_153.mov","MOV")</f>
        <v>21</v>
      </c>
      <c r="M730" t="s" s="10">
        <v>22</v>
      </c>
      <c r="N730" s="17">
        <v>26</v>
      </c>
      <c r="O730" s="18">
        <v>916</v>
      </c>
      <c r="P730" s="18">
        <v>955</v>
      </c>
      <c r="Q730" t="s" s="16">
        <f>HYPERLINK("http://secrets.rutgers.edu:8080/data/asl-ftp/asllvd/demos/verify_start_end_handshape_annotations//test_auto_move//signs_mov/153.mov","MOV")</f>
        <v>21</v>
      </c>
      <c r="R730" t="s" s="16">
        <f>HYPERLINK("http://secrets.rutgers.edu:8080/data/asl-ftp/asllvd/demos/verify_start_end_handshape_annotations//test_auto_move//signs_mov_separ_signers/Liz_153.mov","MOV")</f>
        <v>21</v>
      </c>
    </row>
    <row r="731" s="2" customFormat="1" ht="13.5" customHeight="1">
      <c r="B731" s="13"/>
      <c r="C731" t="s" s="9">
        <v>30</v>
      </c>
      <c r="D731" t="s" s="8">
        <v>319</v>
      </c>
      <c r="E731" t="s" s="9">
        <v>319</v>
      </c>
      <c r="F731" s="19">
        <v>1</v>
      </c>
      <c r="G731" s="17">
        <v>1</v>
      </c>
      <c r="H731" t="s" s="10">
        <v>255</v>
      </c>
      <c r="I731" t="s" s="11">
        <v>255</v>
      </c>
      <c r="J731" t="s" s="11">
        <v>20</v>
      </c>
      <c r="K731" s="15"/>
      <c r="L731" t="s" s="16">
        <f>HYPERLINK("http://csr.bu.edu/ftp/asl/asllvd/demos/verify_start_end_handshape_annotations//test_auto_move//signs_mov_separ_signers/Brady_153.mov","MOV")</f>
        <v>21</v>
      </c>
      <c r="M731" t="s" s="10">
        <v>31</v>
      </c>
      <c r="N731" s="17">
        <v>14</v>
      </c>
      <c r="O731" s="18">
        <v>2163</v>
      </c>
      <c r="P731" s="18">
        <v>2191</v>
      </c>
      <c r="Q731" s="15"/>
      <c r="R731" t="s" s="16">
        <f>HYPERLINK("http://secrets.rutgers.edu:8080/data/asl-ftp/asllvd/demos/verify_start_end_handshape_annotations//test_auto_move//signs_mov_separ_signers/Brady_153.mov","MOV")</f>
        <v>21</v>
      </c>
    </row>
    <row r="732" s="2" customFormat="1" ht="13.5" customHeight="1">
      <c r="B732" t="s" s="8">
        <v>320</v>
      </c>
      <c r="C732" t="s" s="9">
        <v>14</v>
      </c>
      <c r="D732" t="s" s="8">
        <v>14</v>
      </c>
      <c r="E732" t="s" s="9">
        <v>14</v>
      </c>
      <c r="F732" t="s" s="10">
        <v>14</v>
      </c>
      <c r="G732" t="s" s="11">
        <v>14</v>
      </c>
      <c r="H732" t="s" s="10">
        <v>14</v>
      </c>
      <c r="I732" t="s" s="11">
        <v>14</v>
      </c>
      <c r="J732" t="s" s="11">
        <v>14</v>
      </c>
      <c r="K732" t="s" s="12">
        <v>14</v>
      </c>
      <c r="L732" t="s" s="12">
        <v>14</v>
      </c>
      <c r="M732" t="s" s="10">
        <v>14</v>
      </c>
      <c r="N732" t="s" s="11">
        <v>14</v>
      </c>
      <c r="O732" t="s" s="8">
        <v>14</v>
      </c>
      <c r="P732" t="s" s="8">
        <v>14</v>
      </c>
      <c r="Q732" t="s" s="12">
        <v>14</v>
      </c>
      <c r="R732" t="s" s="12">
        <v>14</v>
      </c>
    </row>
    <row r="733" s="2" customFormat="1" ht="13.5" customHeight="1">
      <c r="B733" s="13"/>
      <c r="C733" t="s" s="9">
        <v>16</v>
      </c>
      <c r="D733" t="s" s="8">
        <v>320</v>
      </c>
      <c r="E733" t="s" s="9">
        <v>320</v>
      </c>
      <c r="F733" t="s" s="10">
        <v>19</v>
      </c>
      <c r="G733" t="s" s="11">
        <v>19</v>
      </c>
      <c r="H733" t="s" s="10">
        <v>25</v>
      </c>
      <c r="I733" t="s" s="11">
        <v>25</v>
      </c>
      <c r="J733" t="s" s="11">
        <v>20</v>
      </c>
      <c r="K733" s="15"/>
      <c r="L733" t="s" s="16">
        <f>HYPERLINK("http://csr.bu.edu/ftp/asl/asllvd/demos/verify_start_end_handshape_annotations//test_auto_move//signs_mov_separ_signers/Liz_158.mov","MOV")</f>
        <v>21</v>
      </c>
      <c r="M733" t="s" s="10">
        <v>22</v>
      </c>
      <c r="N733" s="17">
        <v>27</v>
      </c>
      <c r="O733" s="18">
        <v>395</v>
      </c>
      <c r="P733" s="18">
        <v>420</v>
      </c>
      <c r="Q733" s="15"/>
      <c r="R733" t="s" s="16">
        <f>HYPERLINK("http://secrets.rutgers.edu:8080/data/asl-ftp/asllvd/demos/verify_start_end_handshape_annotations//test_auto_move//signs_mov_separ_signers/Liz_158.mov","MOV")</f>
        <v>21</v>
      </c>
    </row>
    <row r="734" s="2" customFormat="1" ht="13.5" customHeight="1">
      <c r="B734" s="13"/>
      <c r="C734" t="s" s="9">
        <v>23</v>
      </c>
      <c r="D734" t="s" s="8">
        <v>320</v>
      </c>
      <c r="E734" t="s" s="9">
        <v>320</v>
      </c>
      <c r="F734" t="s" s="10">
        <v>19</v>
      </c>
      <c r="G734" t="s" s="11">
        <v>19</v>
      </c>
      <c r="H734" t="s" s="10">
        <v>25</v>
      </c>
      <c r="I734" t="s" s="11">
        <v>25</v>
      </c>
      <c r="J734" t="s" s="11">
        <v>20</v>
      </c>
      <c r="K734" t="s" s="16">
        <f>HYPERLINK("http://csr.bu.edu/ftp/asl/asllvd/demos/verify_start_end_handshape_annotations//test_auto_move//signs_mov/158.mov","MOV")</f>
        <v>21</v>
      </c>
      <c r="L734" t="s" s="16">
        <f>HYPERLINK("http://csr.bu.edu/ftp/asl/asllvd/demos/verify_start_end_handshape_annotations//test_auto_move//signs_mov_separ_signers/Tyler_158.mov","MOV")</f>
        <v>21</v>
      </c>
      <c r="M734" t="s" s="10">
        <v>26</v>
      </c>
      <c r="N734" s="17">
        <v>17</v>
      </c>
      <c r="O734" s="18">
        <v>3457</v>
      </c>
      <c r="P734" s="18">
        <v>3480</v>
      </c>
      <c r="Q734" t="s" s="16">
        <f>HYPERLINK("http://secrets.rutgers.edu:8080/data/asl-ftp/asllvd/demos/verify_start_end_handshape_annotations//test_auto_move//signs_mov/158.mov","MOV")</f>
        <v>21</v>
      </c>
      <c r="R734" t="s" s="16">
        <f>HYPERLINK("http://secrets.rutgers.edu:8080/data/asl-ftp/asllvd/demos/verify_start_end_handshape_annotations//test_auto_move//signs_mov_separ_signers/Tyler_158.mov","MOV")</f>
        <v>21</v>
      </c>
    </row>
    <row r="735" s="2" customFormat="1" ht="13.5" customHeight="1">
      <c r="B735" s="13"/>
      <c r="C735" t="s" s="9">
        <v>27</v>
      </c>
      <c r="D735" t="s" s="8">
        <v>320</v>
      </c>
      <c r="E735" t="s" s="9">
        <v>320</v>
      </c>
      <c r="F735" t="s" s="10">
        <v>28</v>
      </c>
      <c r="G735" t="s" s="11">
        <v>28</v>
      </c>
      <c r="H735" t="s" s="10">
        <v>25</v>
      </c>
      <c r="I735" t="s" s="11">
        <v>25</v>
      </c>
      <c r="J735" t="s" s="11">
        <v>20</v>
      </c>
      <c r="K735" s="15"/>
      <c r="L735" t="s" s="16">
        <f>HYPERLINK("http://csr.bu.edu/ftp/asl/asllvd/demos/verify_start_end_handshape_annotations//test_auto_move//signs_mov_separ_signers/Naomi_158.mov","MOV")</f>
        <v>21</v>
      </c>
      <c r="M735" t="s" s="10">
        <v>29</v>
      </c>
      <c r="N735" s="17">
        <v>17</v>
      </c>
      <c r="O735" s="18">
        <v>2937</v>
      </c>
      <c r="P735" s="18">
        <v>2962</v>
      </c>
      <c r="Q735" s="15"/>
      <c r="R735" t="s" s="16">
        <f>HYPERLINK("http://secrets.rutgers.edu:8080/data/asl-ftp/asllvd/demos/verify_start_end_handshape_annotations//test_auto_move//signs_mov_separ_signers/Naomi_158.mov","MOV")</f>
        <v>21</v>
      </c>
    </row>
    <row r="736" s="2" customFormat="1" ht="13.5" customHeight="1">
      <c r="B736" s="13"/>
      <c r="C736" t="s" s="9">
        <v>30</v>
      </c>
      <c r="D736" t="s" s="8">
        <v>320</v>
      </c>
      <c r="E736" t="s" s="9">
        <v>320</v>
      </c>
      <c r="F736" t="s" s="10">
        <v>28</v>
      </c>
      <c r="G736" t="s" s="11">
        <v>28</v>
      </c>
      <c r="H736" t="s" s="10">
        <v>25</v>
      </c>
      <c r="I736" t="s" s="11">
        <v>25</v>
      </c>
      <c r="J736" t="s" s="11">
        <v>20</v>
      </c>
      <c r="K736" s="15"/>
      <c r="L736" t="s" s="16">
        <f>HYPERLINK("http://csr.bu.edu/ftp/asl/asllvd/demos/verify_start_end_handshape_annotations//test_auto_move//signs_mov_separ_signers/Brady_158.mov","MOV")</f>
        <v>21</v>
      </c>
      <c r="M736" t="s" s="10">
        <v>31</v>
      </c>
      <c r="N736" s="17">
        <v>14</v>
      </c>
      <c r="O736" s="18">
        <v>3651</v>
      </c>
      <c r="P736" s="18">
        <v>3674</v>
      </c>
      <c r="Q736" s="15"/>
      <c r="R736" t="s" s="16">
        <f>HYPERLINK("http://secrets.rutgers.edu:8080/data/asl-ftp/asllvd/demos/verify_start_end_handshape_annotations//test_auto_move//signs_mov_separ_signers/Brady_158.mov","MOV")</f>
        <v>21</v>
      </c>
    </row>
    <row r="737" s="2" customFormat="1" ht="13.5" customHeight="1">
      <c r="B737" t="s" s="8">
        <v>321</v>
      </c>
      <c r="C737" t="s" s="9">
        <v>14</v>
      </c>
      <c r="D737" t="s" s="8">
        <v>14</v>
      </c>
      <c r="E737" t="s" s="9">
        <v>14</v>
      </c>
      <c r="F737" t="s" s="10">
        <v>14</v>
      </c>
      <c r="G737" t="s" s="11">
        <v>14</v>
      </c>
      <c r="H737" t="s" s="10">
        <v>14</v>
      </c>
      <c r="I737" t="s" s="11">
        <v>14</v>
      </c>
      <c r="J737" t="s" s="11">
        <v>14</v>
      </c>
      <c r="K737" t="s" s="12">
        <v>14</v>
      </c>
      <c r="L737" t="s" s="12">
        <v>14</v>
      </c>
      <c r="M737" t="s" s="10">
        <v>14</v>
      </c>
      <c r="N737" t="s" s="11">
        <v>14</v>
      </c>
      <c r="O737" t="s" s="8">
        <v>14</v>
      </c>
      <c r="P737" t="s" s="8">
        <v>14</v>
      </c>
      <c r="Q737" t="s" s="12">
        <v>14</v>
      </c>
      <c r="R737" t="s" s="12">
        <v>14</v>
      </c>
    </row>
    <row r="738" s="2" customFormat="1" ht="13.5" customHeight="1">
      <c r="B738" s="13"/>
      <c r="C738" t="s" s="9">
        <v>16</v>
      </c>
      <c r="D738" t="s" s="8">
        <v>321</v>
      </c>
      <c r="E738" t="s" s="9">
        <v>321</v>
      </c>
      <c r="F738" t="s" s="10">
        <v>28</v>
      </c>
      <c r="G738" t="s" s="11">
        <v>28</v>
      </c>
      <c r="H738" t="s" s="10">
        <v>25</v>
      </c>
      <c r="I738" t="s" s="11">
        <v>25</v>
      </c>
      <c r="J738" t="s" s="11">
        <v>20</v>
      </c>
      <c r="K738" t="s" s="16">
        <f>HYPERLINK("http://csr.bu.edu/ftp/asl/asllvd/demos/verify_start_end_handshape_annotations//test_auto_move//signs_mov/15559.mov","MOV")</f>
        <v>21</v>
      </c>
      <c r="L738" t="s" s="16">
        <f>HYPERLINK("http://csr.bu.edu/ftp/asl/asllvd/demos/verify_start_end_handshape_annotations//test_auto_move//signs_mov_separ_signers/Liz_15559.mov","MOV")</f>
        <v>21</v>
      </c>
      <c r="M738" t="s" s="10">
        <v>36</v>
      </c>
      <c r="N738" s="17">
        <v>54</v>
      </c>
      <c r="O738" s="18">
        <v>805</v>
      </c>
      <c r="P738" s="18">
        <v>855</v>
      </c>
      <c r="Q738" t="s" s="16">
        <f>HYPERLINK("http://secrets.rutgers.edu:8080/data/asl-ftp/asllvd/demos/verify_start_end_handshape_annotations//test_auto_move//signs_mov/15559.mov","MOV")</f>
        <v>21</v>
      </c>
      <c r="R738" t="s" s="16">
        <f>HYPERLINK("http://secrets.rutgers.edu:8080/data/asl-ftp/asllvd/demos/verify_start_end_handshape_annotations//test_auto_move//signs_mov_separ_signers/Liz_15559.mov","MOV")</f>
        <v>21</v>
      </c>
    </row>
    <row r="739" s="2" customFormat="1" ht="13.5" customHeight="1">
      <c r="B739" s="13"/>
      <c r="C739" t="s" s="9">
        <v>30</v>
      </c>
      <c r="D739" t="s" s="8">
        <v>321</v>
      </c>
      <c r="E739" t="s" s="9">
        <v>321</v>
      </c>
      <c r="F739" t="s" s="10">
        <v>28</v>
      </c>
      <c r="G739" t="s" s="11">
        <v>28</v>
      </c>
      <c r="H739" t="s" s="10">
        <v>25</v>
      </c>
      <c r="I739" t="s" s="11">
        <v>25</v>
      </c>
      <c r="J739" t="s" s="11">
        <v>20</v>
      </c>
      <c r="K739" s="15"/>
      <c r="L739" t="s" s="16">
        <f>HYPERLINK("http://csr.bu.edu/ftp/asl/asllvd/demos/verify_start_end_handshape_annotations//test_auto_move//signs_mov_separ_signers/Brady_15559.mov","MOV")</f>
        <v>21</v>
      </c>
      <c r="M739" t="s" s="10">
        <v>40</v>
      </c>
      <c r="N739" s="17">
        <v>106</v>
      </c>
      <c r="O739" s="18">
        <v>163</v>
      </c>
      <c r="P739" s="18">
        <v>183</v>
      </c>
      <c r="Q739" s="15"/>
      <c r="R739" t="s" s="16">
        <f>HYPERLINK("http://secrets.rutgers.edu:8080/data/asl-ftp/asllvd/demos/verify_start_end_handshape_annotations//test_auto_move//signs_mov_separ_signers/Brady_15559.mov","MOV")</f>
        <v>21</v>
      </c>
    </row>
    <row r="740" s="2" customFormat="1" ht="13.5" customHeight="1">
      <c r="B740" t="s" s="8">
        <v>52</v>
      </c>
      <c r="C740" t="s" s="9">
        <v>53</v>
      </c>
      <c r="D740" t="s" s="8">
        <v>53</v>
      </c>
      <c r="E740" t="s" s="9">
        <v>53</v>
      </c>
      <c r="F740" t="s" s="10">
        <v>53</v>
      </c>
      <c r="G740" t="s" s="11">
        <v>53</v>
      </c>
      <c r="H740" t="s" s="10">
        <v>53</v>
      </c>
      <c r="I740" t="s" s="11">
        <v>53</v>
      </c>
      <c r="J740" t="s" s="11">
        <v>53</v>
      </c>
      <c r="K740" t="s" s="12">
        <v>53</v>
      </c>
      <c r="L740" t="s" s="12">
        <v>53</v>
      </c>
      <c r="M740" t="s" s="10">
        <v>53</v>
      </c>
      <c r="N740" t="s" s="11">
        <v>53</v>
      </c>
      <c r="O740" t="s" s="8">
        <v>53</v>
      </c>
      <c r="P740" t="s" s="8">
        <v>53</v>
      </c>
      <c r="Q740" t="s" s="12">
        <v>53</v>
      </c>
      <c r="R740" t="s" s="12">
        <v>53</v>
      </c>
    </row>
    <row r="741" s="2" customFormat="1" ht="13.5" customHeight="1">
      <c r="B741" s="13"/>
      <c r="C741" t="s" s="9">
        <v>30</v>
      </c>
      <c r="D741" t="s" s="8">
        <v>321</v>
      </c>
      <c r="E741" t="s" s="9">
        <v>322</v>
      </c>
      <c r="F741" t="s" s="10">
        <v>28</v>
      </c>
      <c r="G741" t="s" s="11">
        <v>28</v>
      </c>
      <c r="H741" t="s" s="10">
        <v>25</v>
      </c>
      <c r="I741" t="s" s="11">
        <v>25</v>
      </c>
      <c r="J741" t="s" s="11">
        <v>20</v>
      </c>
      <c r="K741" t="s" s="16">
        <f>HYPERLINK("http://csr.bu.edu/ftp/asl/asllvd/demos/verify_start_end_handshape_annotations//test_auto_move//signs_mov/15595.mov","MOV")</f>
        <v>21</v>
      </c>
      <c r="L741" t="s" s="16">
        <f>HYPERLINK("http://csr.bu.edu/ftp/asl/asllvd/demos/verify_start_end_handshape_annotations//test_auto_move//signs_mov_separ_signers/Brady_15595.mov","MOV")</f>
        <v>21</v>
      </c>
      <c r="M741" t="s" s="10">
        <v>60</v>
      </c>
      <c r="N741" s="17">
        <v>41</v>
      </c>
      <c r="O741" s="18">
        <v>935</v>
      </c>
      <c r="P741" s="18">
        <v>965</v>
      </c>
      <c r="Q741" t="s" s="16">
        <f>HYPERLINK("http://secrets.rutgers.edu:8080/data/asl-ftp/asllvd/demos/verify_start_end_handshape_annotations//test_auto_move//signs_mov/15595.mov","MOV")</f>
        <v>21</v>
      </c>
      <c r="R741" t="s" s="16">
        <f>HYPERLINK("http://secrets.rutgers.edu:8080/data/asl-ftp/asllvd/demos/verify_start_end_handshape_annotations//test_auto_move//signs_mov_separ_signers/Brady_15595.mov","MOV")</f>
        <v>21</v>
      </c>
    </row>
    <row r="742" s="2" customFormat="1" ht="13.5" customHeight="1">
      <c r="B742" t="s" s="8">
        <v>323</v>
      </c>
      <c r="C742" t="s" s="9">
        <v>14</v>
      </c>
      <c r="D742" t="s" s="8">
        <v>14</v>
      </c>
      <c r="E742" t="s" s="9">
        <v>14</v>
      </c>
      <c r="F742" t="s" s="10">
        <v>14</v>
      </c>
      <c r="G742" t="s" s="11">
        <v>14</v>
      </c>
      <c r="H742" t="s" s="10">
        <v>14</v>
      </c>
      <c r="I742" t="s" s="11">
        <v>14</v>
      </c>
      <c r="J742" t="s" s="11">
        <v>14</v>
      </c>
      <c r="K742" t="s" s="12">
        <v>14</v>
      </c>
      <c r="L742" t="s" s="12">
        <v>14</v>
      </c>
      <c r="M742" t="s" s="10">
        <v>14</v>
      </c>
      <c r="N742" t="s" s="11">
        <v>14</v>
      </c>
      <c r="O742" t="s" s="8">
        <v>14</v>
      </c>
      <c r="P742" t="s" s="8">
        <v>14</v>
      </c>
      <c r="Q742" t="s" s="12">
        <v>14</v>
      </c>
      <c r="R742" t="s" s="12">
        <v>14</v>
      </c>
    </row>
    <row r="743" s="2" customFormat="1" ht="13.5" customHeight="1">
      <c r="B743" s="13"/>
      <c r="C743" t="s" s="9">
        <v>16</v>
      </c>
      <c r="D743" t="s" s="8">
        <v>323</v>
      </c>
      <c r="E743" t="s" s="9">
        <v>323</v>
      </c>
      <c r="F743" t="s" s="10">
        <v>68</v>
      </c>
      <c r="G743" t="s" s="11">
        <v>68</v>
      </c>
      <c r="H743" t="s" s="10">
        <v>185</v>
      </c>
      <c r="I743" t="s" s="11">
        <v>185</v>
      </c>
      <c r="J743" t="s" s="11">
        <v>20</v>
      </c>
      <c r="K743" t="s" s="16">
        <f>HYPERLINK("http://csr.bu.edu/ftp/asl/asllvd/demos/verify_start_end_handshape_annotations//test_auto_move//signs_mov/15602.mov","MOV")</f>
        <v>21</v>
      </c>
      <c r="L743" t="s" s="16">
        <f>HYPERLINK("http://csr.bu.edu/ftp/asl/asllvd/demos/verify_start_end_handshape_annotations//test_auto_move//signs_mov_separ_signers/Liz_15602.mov","MOV")</f>
        <v>21</v>
      </c>
      <c r="M743" t="s" s="10">
        <v>36</v>
      </c>
      <c r="N743" s="17">
        <v>29</v>
      </c>
      <c r="O743" s="18">
        <v>2490</v>
      </c>
      <c r="P743" s="18">
        <v>2538</v>
      </c>
      <c r="Q743" t="s" s="16">
        <f>HYPERLINK("http://secrets.rutgers.edu:8080/data/asl-ftp/asllvd/demos/verify_start_end_handshape_annotations//test_auto_move//signs_mov/15602.mov","MOV")</f>
        <v>21</v>
      </c>
      <c r="R743" t="s" s="16">
        <f>HYPERLINK("http://secrets.rutgers.edu:8080/data/asl-ftp/asllvd/demos/verify_start_end_handshape_annotations//test_auto_move//signs_mov_separ_signers/Liz_15602.mov","MOV")</f>
        <v>21</v>
      </c>
    </row>
    <row r="744" s="2" customFormat="1" ht="13.5" customHeight="1">
      <c r="B744" t="s" s="8">
        <v>324</v>
      </c>
      <c r="C744" t="s" s="9">
        <v>14</v>
      </c>
      <c r="D744" t="s" s="8">
        <v>14</v>
      </c>
      <c r="E744" t="s" s="9">
        <v>14</v>
      </c>
      <c r="F744" t="s" s="10">
        <v>14</v>
      </c>
      <c r="G744" t="s" s="11">
        <v>14</v>
      </c>
      <c r="H744" t="s" s="10">
        <v>14</v>
      </c>
      <c r="I744" t="s" s="11">
        <v>14</v>
      </c>
      <c r="J744" t="s" s="11">
        <v>14</v>
      </c>
      <c r="K744" t="s" s="12">
        <v>14</v>
      </c>
      <c r="L744" t="s" s="12">
        <v>14</v>
      </c>
      <c r="M744" t="s" s="10">
        <v>14</v>
      </c>
      <c r="N744" t="s" s="11">
        <v>14</v>
      </c>
      <c r="O744" t="s" s="8">
        <v>14</v>
      </c>
      <c r="P744" t="s" s="8">
        <v>14</v>
      </c>
      <c r="Q744" t="s" s="12">
        <v>14</v>
      </c>
      <c r="R744" t="s" s="12">
        <v>14</v>
      </c>
    </row>
    <row r="745" s="2" customFormat="1" ht="13.5" customHeight="1">
      <c r="B745" s="13"/>
      <c r="C745" t="s" s="9">
        <v>30</v>
      </c>
      <c r="D745" t="s" s="8">
        <v>324</v>
      </c>
      <c r="E745" t="s" s="9">
        <v>324</v>
      </c>
      <c r="F745" t="s" s="10">
        <v>68</v>
      </c>
      <c r="G745" t="s" s="11">
        <v>68</v>
      </c>
      <c r="H745" t="s" s="10">
        <v>148</v>
      </c>
      <c r="I745" t="s" s="11">
        <v>148</v>
      </c>
      <c r="J745" t="s" s="11">
        <v>20</v>
      </c>
      <c r="K745" t="s" s="16">
        <f>HYPERLINK("http://csr.bu.edu/ftp/asl/asllvd/demos/verify_start_end_handshape_annotations//test_auto_move//signs_mov/16497.mov","MOV")</f>
        <v>21</v>
      </c>
      <c r="L745" t="s" s="16">
        <f>HYPERLINK("http://csr.bu.edu/ftp/asl/asllvd/demos/verify_start_end_handshape_annotations//test_auto_move//signs_mov_separ_signers/Brady_16497.mov","MOV")</f>
        <v>21</v>
      </c>
      <c r="M745" t="s" s="10">
        <v>40</v>
      </c>
      <c r="N745" s="17">
        <v>80</v>
      </c>
      <c r="O745" s="18">
        <v>4490</v>
      </c>
      <c r="P745" s="18">
        <v>4510</v>
      </c>
      <c r="Q745" t="s" s="16">
        <f>HYPERLINK("http://secrets.rutgers.edu:8080/data/asl-ftp/asllvd/demos/verify_start_end_handshape_annotations//test_auto_move//signs_mov/16497.mov","MOV")</f>
        <v>21</v>
      </c>
      <c r="R745" t="s" s="16">
        <f>HYPERLINK("http://secrets.rutgers.edu:8080/data/asl-ftp/asllvd/demos/verify_start_end_handshape_annotations//test_auto_move//signs_mov_separ_signers/Brady_16497.mov","MOV")</f>
        <v>21</v>
      </c>
    </row>
    <row r="746" s="2" customFormat="1" ht="13.5" customHeight="1">
      <c r="B746" t="s" s="8">
        <v>325</v>
      </c>
      <c r="C746" t="s" s="9">
        <v>14</v>
      </c>
      <c r="D746" t="s" s="8">
        <v>14</v>
      </c>
      <c r="E746" t="s" s="9">
        <v>14</v>
      </c>
      <c r="F746" t="s" s="10">
        <v>14</v>
      </c>
      <c r="G746" t="s" s="11">
        <v>14</v>
      </c>
      <c r="H746" t="s" s="10">
        <v>14</v>
      </c>
      <c r="I746" t="s" s="11">
        <v>14</v>
      </c>
      <c r="J746" t="s" s="11">
        <v>14</v>
      </c>
      <c r="K746" t="s" s="12">
        <v>14</v>
      </c>
      <c r="L746" t="s" s="12">
        <v>14</v>
      </c>
      <c r="M746" t="s" s="10">
        <v>14</v>
      </c>
      <c r="N746" t="s" s="11">
        <v>14</v>
      </c>
      <c r="O746" t="s" s="8">
        <v>14</v>
      </c>
      <c r="P746" t="s" s="8">
        <v>14</v>
      </c>
      <c r="Q746" t="s" s="12">
        <v>14</v>
      </c>
      <c r="R746" t="s" s="12">
        <v>14</v>
      </c>
    </row>
    <row r="747" s="2" customFormat="1" ht="13.5" customHeight="1">
      <c r="B747" s="13"/>
      <c r="C747" t="s" s="9">
        <v>16</v>
      </c>
      <c r="D747" t="s" s="8">
        <v>325</v>
      </c>
      <c r="E747" t="s" s="9">
        <v>325</v>
      </c>
      <c r="F747" t="s" s="10">
        <v>80</v>
      </c>
      <c r="G747" s="14"/>
      <c r="H747" s="19">
        <v>5</v>
      </c>
      <c r="I747" s="14"/>
      <c r="J747" t="s" s="11">
        <v>20</v>
      </c>
      <c r="K747" s="15"/>
      <c r="L747" t="s" s="16">
        <f>HYPERLINK("http://csr.bu.edu/ftp/asl/asllvd/demos/verify_start_end_handshape_annotations//test_auto_move//signs_mov_separ_signers/Liz_159.mov","MOV")</f>
        <v>21</v>
      </c>
      <c r="M747" t="s" s="10">
        <v>22</v>
      </c>
      <c r="N747" s="17">
        <v>27</v>
      </c>
      <c r="O747" s="18">
        <v>755</v>
      </c>
      <c r="P747" s="18">
        <v>780</v>
      </c>
      <c r="Q747" s="15"/>
      <c r="R747" t="s" s="16">
        <f>HYPERLINK("http://secrets.rutgers.edu:8080/data/asl-ftp/asllvd/demos/verify_start_end_handshape_annotations//test_auto_move//signs_mov_separ_signers/Liz_159.mov","MOV")</f>
        <v>21</v>
      </c>
    </row>
    <row r="748" s="2" customFormat="1" ht="13.5" customHeight="1">
      <c r="B748" s="13"/>
      <c r="C748" t="s" s="9">
        <v>23</v>
      </c>
      <c r="D748" t="s" s="8">
        <v>325</v>
      </c>
      <c r="E748" t="s" s="9">
        <v>325</v>
      </c>
      <c r="F748" t="s" s="10">
        <v>80</v>
      </c>
      <c r="G748" s="14"/>
      <c r="H748" s="19">
        <v>5</v>
      </c>
      <c r="I748" s="14"/>
      <c r="J748" t="s" s="11">
        <v>20</v>
      </c>
      <c r="K748" s="15"/>
      <c r="L748" t="s" s="16">
        <f>HYPERLINK("http://csr.bu.edu/ftp/asl/asllvd/demos/verify_start_end_handshape_annotations//test_auto_move//signs_mov_separ_signers/Tyler_159.mov","MOV")</f>
        <v>21</v>
      </c>
      <c r="M748" t="s" s="10">
        <v>26</v>
      </c>
      <c r="N748" s="17">
        <v>17</v>
      </c>
      <c r="O748" s="18">
        <v>3686</v>
      </c>
      <c r="P748" s="18">
        <v>3710</v>
      </c>
      <c r="Q748" s="15"/>
      <c r="R748" t="s" s="16">
        <f>HYPERLINK("http://secrets.rutgers.edu:8080/data/asl-ftp/asllvd/demos/verify_start_end_handshape_annotations//test_auto_move//signs_mov_separ_signers/Tyler_159.mov","MOV")</f>
        <v>21</v>
      </c>
    </row>
    <row r="749" s="2" customFormat="1" ht="13.5" customHeight="1">
      <c r="B749" s="13"/>
      <c r="C749" t="s" s="9">
        <v>23</v>
      </c>
      <c r="D749" t="s" s="8">
        <v>325</v>
      </c>
      <c r="E749" t="s" s="9">
        <v>325</v>
      </c>
      <c r="F749" t="s" s="10">
        <v>80</v>
      </c>
      <c r="G749" s="14"/>
      <c r="H749" s="19">
        <v>5</v>
      </c>
      <c r="I749" s="14"/>
      <c r="J749" t="s" s="11">
        <v>20</v>
      </c>
      <c r="K749" t="s" s="16">
        <f>HYPERLINK("http://csr.bu.edu/ftp/asl/asllvd/demos/verify_start_end_handshape_annotations//test_auto_move//signs_mov/159_3645_merged.mov","MOV")</f>
        <v>21</v>
      </c>
      <c r="L749" t="s" s="16">
        <f>HYPERLINK("http://csr.bu.edu/ftp/asl/asllvd/demos/verify_start_end_handshape_annotations//test_auto_move//signs_mov_separ_signers/Tyler_3645.mov","MOV")</f>
        <v>21</v>
      </c>
      <c r="M749" t="s" s="10">
        <v>92</v>
      </c>
      <c r="N749" s="17">
        <v>38</v>
      </c>
      <c r="O749" s="18">
        <v>1515</v>
      </c>
      <c r="P749" s="18">
        <v>1541</v>
      </c>
      <c r="Q749" t="s" s="16">
        <f>HYPERLINK("http://secrets.rutgers.edu:8080/data/asl-ftp/asllvd/demos/verify_start_end_handshape_annotations//test_auto_move//signs_mov/159_3645_merged.mov","MOV")</f>
        <v>21</v>
      </c>
      <c r="R749" t="s" s="16">
        <f>HYPERLINK("http://secrets.rutgers.edu:8080/data/asl-ftp/asllvd/demos/verify_start_end_handshape_annotations//test_auto_move//signs_mov_separ_signers/Tyler_3645.mov","MOV")</f>
        <v>21</v>
      </c>
    </row>
    <row r="750" s="2" customFormat="1" ht="13.5" customHeight="1">
      <c r="B750" s="13"/>
      <c r="C750" t="s" s="9">
        <v>27</v>
      </c>
      <c r="D750" t="s" s="8">
        <v>325</v>
      </c>
      <c r="E750" t="s" s="9">
        <v>325</v>
      </c>
      <c r="F750" t="s" s="10">
        <v>150</v>
      </c>
      <c r="G750" s="14"/>
      <c r="H750" s="19">
        <v>5</v>
      </c>
      <c r="I750" s="14"/>
      <c r="J750" t="s" s="11">
        <v>20</v>
      </c>
      <c r="K750" s="15"/>
      <c r="L750" t="s" s="16">
        <f>HYPERLINK("http://csr.bu.edu/ftp/asl/asllvd/demos/verify_start_end_handshape_annotations//test_auto_move//signs_mov_separ_signers/Naomi_159.mov","MOV")</f>
        <v>21</v>
      </c>
      <c r="M750" t="s" s="10">
        <v>29</v>
      </c>
      <c r="N750" s="17">
        <v>17</v>
      </c>
      <c r="O750" s="18">
        <v>3153</v>
      </c>
      <c r="P750" s="18">
        <v>3175</v>
      </c>
      <c r="Q750" s="15"/>
      <c r="R750" t="s" s="16">
        <f>HYPERLINK("http://secrets.rutgers.edu:8080/data/asl-ftp/asllvd/demos/verify_start_end_handshape_annotations//test_auto_move//signs_mov_separ_signers/Naomi_159.mov","MOV")</f>
        <v>21</v>
      </c>
    </row>
    <row r="751" s="2" customFormat="1" ht="13.5" customHeight="1">
      <c r="B751" s="13"/>
      <c r="C751" t="s" s="9">
        <v>27</v>
      </c>
      <c r="D751" t="s" s="8">
        <v>325</v>
      </c>
      <c r="E751" t="s" s="9">
        <v>325</v>
      </c>
      <c r="F751" t="s" s="10">
        <v>150</v>
      </c>
      <c r="G751" s="14"/>
      <c r="H751" t="s" s="10">
        <v>73</v>
      </c>
      <c r="I751" s="14"/>
      <c r="J751" t="s" s="11">
        <v>20</v>
      </c>
      <c r="K751" s="15"/>
      <c r="L751" t="s" s="16">
        <f>HYPERLINK("http://csr.bu.edu/ftp/asl/asllvd/demos/verify_start_end_handshape_annotations//test_auto_move//signs_mov_separ_signers/Naomi_3645.mov","MOV")</f>
        <v>21</v>
      </c>
      <c r="M751" t="s" s="10">
        <v>38</v>
      </c>
      <c r="N751" s="17">
        <v>6</v>
      </c>
      <c r="O751" s="18">
        <v>2580</v>
      </c>
      <c r="P751" s="18">
        <v>2608</v>
      </c>
      <c r="Q751" s="15"/>
      <c r="R751" t="s" s="16">
        <f>HYPERLINK("http://secrets.rutgers.edu:8080/data/asl-ftp/asllvd/demos/verify_start_end_handshape_annotations//test_auto_move//signs_mov_separ_signers/Naomi_3645.mov","MOV")</f>
        <v>21</v>
      </c>
    </row>
    <row r="752" s="2" customFormat="1" ht="13.5" customHeight="1">
      <c r="B752" s="13"/>
      <c r="C752" t="s" s="9">
        <v>30</v>
      </c>
      <c r="D752" t="s" s="8">
        <v>325</v>
      </c>
      <c r="E752" t="s" s="9">
        <v>325</v>
      </c>
      <c r="F752" t="s" s="10">
        <v>80</v>
      </c>
      <c r="G752" s="14"/>
      <c r="H752" t="s" s="10">
        <v>73</v>
      </c>
      <c r="I752" s="14"/>
      <c r="J752" t="s" s="11">
        <v>20</v>
      </c>
      <c r="K752" s="15"/>
      <c r="L752" t="s" s="16">
        <f>HYPERLINK("http://csr.bu.edu/ftp/asl/asllvd/demos/verify_start_end_handshape_annotations//test_auto_move//signs_mov_separ_signers/Brady_159.mov","MOV")</f>
        <v>21</v>
      </c>
      <c r="M752" t="s" s="10">
        <v>31</v>
      </c>
      <c r="N752" s="17">
        <v>14</v>
      </c>
      <c r="O752" s="18">
        <v>3878</v>
      </c>
      <c r="P752" s="18">
        <v>3901</v>
      </c>
      <c r="Q752" s="15"/>
      <c r="R752" t="s" s="16">
        <f>HYPERLINK("http://secrets.rutgers.edu:8080/data/asl-ftp/asllvd/demos/verify_start_end_handshape_annotations//test_auto_move//signs_mov_separ_signers/Brady_159.mov","MOV")</f>
        <v>21</v>
      </c>
    </row>
    <row r="753" s="2" customFormat="1" ht="13.5" customHeight="1">
      <c r="B753" t="s" s="8">
        <v>52</v>
      </c>
      <c r="C753" t="s" s="9">
        <v>53</v>
      </c>
      <c r="D753" t="s" s="8">
        <v>53</v>
      </c>
      <c r="E753" t="s" s="9">
        <v>53</v>
      </c>
      <c r="F753" t="s" s="10">
        <v>53</v>
      </c>
      <c r="G753" t="s" s="11">
        <v>53</v>
      </c>
      <c r="H753" t="s" s="10">
        <v>53</v>
      </c>
      <c r="I753" t="s" s="11">
        <v>53</v>
      </c>
      <c r="J753" t="s" s="11">
        <v>53</v>
      </c>
      <c r="K753" t="s" s="12">
        <v>53</v>
      </c>
      <c r="L753" t="s" s="12">
        <v>53</v>
      </c>
      <c r="M753" t="s" s="10">
        <v>53</v>
      </c>
      <c r="N753" t="s" s="11">
        <v>53</v>
      </c>
      <c r="O753" t="s" s="8">
        <v>53</v>
      </c>
      <c r="P753" t="s" s="8">
        <v>53</v>
      </c>
      <c r="Q753" t="s" s="12">
        <v>53</v>
      </c>
      <c r="R753" t="s" s="12">
        <v>53</v>
      </c>
    </row>
    <row r="754" s="2" customFormat="1" ht="13.5" customHeight="1">
      <c r="B754" s="13"/>
      <c r="C754" t="s" s="9">
        <v>16</v>
      </c>
      <c r="D754" t="s" s="8">
        <v>325</v>
      </c>
      <c r="E754" t="s" s="9">
        <v>326</v>
      </c>
      <c r="F754" t="s" s="10">
        <v>80</v>
      </c>
      <c r="G754" s="14"/>
      <c r="H754" t="s" s="10">
        <v>73</v>
      </c>
      <c r="I754" s="14"/>
      <c r="J754" t="s" s="11">
        <v>20</v>
      </c>
      <c r="K754" t="s" s="16">
        <f>HYPERLINK("http://csr.bu.edu/ftp/asl/asllvd/demos/verify_start_end_handshape_annotations//test_auto_move//signs_mov/16376.mov","MOV")</f>
        <v>21</v>
      </c>
      <c r="L754" t="s" s="16">
        <f>HYPERLINK("http://csr.bu.edu/ftp/asl/asllvd/demos/verify_start_end_handshape_annotations//test_auto_move//signs_mov_separ_signers/Liz_16376.mov","MOV")</f>
        <v>21</v>
      </c>
      <c r="M754" t="s" s="10">
        <v>34</v>
      </c>
      <c r="N754" s="17">
        <v>7</v>
      </c>
      <c r="O754" s="18">
        <v>1840</v>
      </c>
      <c r="P754" s="18">
        <v>1865</v>
      </c>
      <c r="Q754" t="s" s="16">
        <f>HYPERLINK("http://secrets.rutgers.edu:8080/data/asl-ftp/asllvd/demos/verify_start_end_handshape_annotations//test_auto_move//signs_mov/16376.mov","MOV")</f>
        <v>21</v>
      </c>
      <c r="R754" t="s" s="16">
        <f>HYPERLINK("http://secrets.rutgers.edu:8080/data/asl-ftp/asllvd/demos/verify_start_end_handshape_annotations//test_auto_move//signs_mov_separ_signers/Liz_16376.mov","MOV")</f>
        <v>21</v>
      </c>
    </row>
    <row r="755" s="2" customFormat="1" ht="13.5" customHeight="1">
      <c r="B755" s="13"/>
      <c r="C755" t="s" s="9">
        <v>30</v>
      </c>
      <c r="D755" t="s" s="8">
        <v>325</v>
      </c>
      <c r="E755" t="s" s="9">
        <v>326</v>
      </c>
      <c r="F755" t="s" s="10">
        <v>73</v>
      </c>
      <c r="G755" s="14"/>
      <c r="H755" t="s" s="10">
        <v>73</v>
      </c>
      <c r="I755" s="14"/>
      <c r="J755" t="s" s="11">
        <v>20</v>
      </c>
      <c r="K755" s="15"/>
      <c r="L755" t="s" s="16">
        <f>HYPERLINK("http://csr.bu.edu/ftp/asl/asllvd/demos/verify_start_end_handshape_annotations//test_auto_move//signs_mov_separ_signers/Brady_16376.mov","MOV")</f>
        <v>21</v>
      </c>
      <c r="M755" t="s" s="10">
        <v>39</v>
      </c>
      <c r="N755" s="17">
        <v>27</v>
      </c>
      <c r="O755" s="18">
        <v>259</v>
      </c>
      <c r="P755" s="18">
        <v>287</v>
      </c>
      <c r="Q755" s="15"/>
      <c r="R755" t="s" s="16">
        <f>HYPERLINK("http://secrets.rutgers.edu:8080/data/asl-ftp/asllvd/demos/verify_start_end_handshape_annotations//test_auto_move//signs_mov_separ_signers/Brady_16376.mov","MOV")</f>
        <v>21</v>
      </c>
    </row>
    <row r="756" s="2" customFormat="1" ht="13.5" customHeight="1">
      <c r="B756" t="s" s="8">
        <v>327</v>
      </c>
      <c r="C756" t="s" s="9">
        <v>14</v>
      </c>
      <c r="D756" t="s" s="8">
        <v>14</v>
      </c>
      <c r="E756" t="s" s="9">
        <v>14</v>
      </c>
      <c r="F756" t="s" s="10">
        <v>14</v>
      </c>
      <c r="G756" t="s" s="11">
        <v>14</v>
      </c>
      <c r="H756" t="s" s="10">
        <v>14</v>
      </c>
      <c r="I756" t="s" s="11">
        <v>14</v>
      </c>
      <c r="J756" t="s" s="11">
        <v>14</v>
      </c>
      <c r="K756" t="s" s="12">
        <v>14</v>
      </c>
      <c r="L756" t="s" s="12">
        <v>14</v>
      </c>
      <c r="M756" t="s" s="10">
        <v>14</v>
      </c>
      <c r="N756" t="s" s="11">
        <v>14</v>
      </c>
      <c r="O756" t="s" s="8">
        <v>14</v>
      </c>
      <c r="P756" t="s" s="8">
        <v>14</v>
      </c>
      <c r="Q756" t="s" s="12">
        <v>14</v>
      </c>
      <c r="R756" t="s" s="12">
        <v>14</v>
      </c>
    </row>
    <row r="757" s="2" customFormat="1" ht="13.5" customHeight="1">
      <c r="B757" s="13"/>
      <c r="C757" t="s" s="9">
        <v>16</v>
      </c>
      <c r="D757" t="s" s="8">
        <v>327</v>
      </c>
      <c r="E757" t="s" s="9">
        <v>327</v>
      </c>
      <c r="F757" s="19">
        <v>3</v>
      </c>
      <c r="G757" s="17">
        <v>3</v>
      </c>
      <c r="H757" s="19">
        <v>3</v>
      </c>
      <c r="I757" s="17">
        <v>3</v>
      </c>
      <c r="J757" t="s" s="11">
        <v>20</v>
      </c>
      <c r="K757" s="15"/>
      <c r="L757" t="s" s="16">
        <f>HYPERLINK("http://csr.bu.edu/ftp/asl/asllvd/demos/verify_start_end_handshape_annotations//test_auto_move//signs_mov_separ_signers/Liz_161.mov","MOV")</f>
        <v>21</v>
      </c>
      <c r="M757" t="s" s="10">
        <v>22</v>
      </c>
      <c r="N757" s="17">
        <v>27</v>
      </c>
      <c r="O757" s="18">
        <v>1115</v>
      </c>
      <c r="P757" s="18">
        <v>1180</v>
      </c>
      <c r="Q757" s="15"/>
      <c r="R757" t="s" s="16">
        <f>HYPERLINK("http://secrets.rutgers.edu:8080/data/asl-ftp/asllvd/demos/verify_start_end_handshape_annotations//test_auto_move//signs_mov_separ_signers/Liz_161.mov","MOV")</f>
        <v>21</v>
      </c>
    </row>
    <row r="758" s="2" customFormat="1" ht="13.5" customHeight="1">
      <c r="B758" s="13"/>
      <c r="C758" t="s" s="9">
        <v>23</v>
      </c>
      <c r="D758" t="s" s="8">
        <v>327</v>
      </c>
      <c r="E758" t="s" s="9">
        <v>327</v>
      </c>
      <c r="F758" s="19">
        <v>3</v>
      </c>
      <c r="G758" s="17">
        <v>3</v>
      </c>
      <c r="H758" s="19">
        <v>3</v>
      </c>
      <c r="I758" s="17">
        <v>3</v>
      </c>
      <c r="J758" t="s" s="11">
        <v>20</v>
      </c>
      <c r="K758" s="15"/>
      <c r="L758" t="s" s="16">
        <f>HYPERLINK("http://csr.bu.edu/ftp/asl/asllvd/demos/verify_start_end_handshape_annotations//test_auto_move//signs_mov_separ_signers/Tyler_161.mov","MOV")</f>
        <v>21</v>
      </c>
      <c r="M758" t="s" s="10">
        <v>26</v>
      </c>
      <c r="N758" s="17">
        <v>18</v>
      </c>
      <c r="O758" s="18">
        <v>310</v>
      </c>
      <c r="P758" s="18">
        <v>352</v>
      </c>
      <c r="Q758" s="15"/>
      <c r="R758" t="s" s="16">
        <f>HYPERLINK("http://secrets.rutgers.edu:8080/data/asl-ftp/asllvd/demos/verify_start_end_handshape_annotations//test_auto_move//signs_mov_separ_signers/Tyler_161.mov","MOV")</f>
        <v>21</v>
      </c>
    </row>
    <row r="759" s="2" customFormat="1" ht="13.5" customHeight="1">
      <c r="B759" s="13"/>
      <c r="C759" t="s" s="9">
        <v>27</v>
      </c>
      <c r="D759" t="s" s="8">
        <v>327</v>
      </c>
      <c r="E759" t="s" s="9">
        <v>327</v>
      </c>
      <c r="F759" s="19">
        <v>3</v>
      </c>
      <c r="G759" s="17">
        <v>3</v>
      </c>
      <c r="H759" s="19">
        <v>3</v>
      </c>
      <c r="I759" s="17">
        <v>3</v>
      </c>
      <c r="J759" t="s" s="11">
        <v>20</v>
      </c>
      <c r="K759" t="s" s="16">
        <f>HYPERLINK("http://csr.bu.edu/ftp/asl/asllvd/demos/verify_start_end_handshape_annotations//test_auto_move//signs_mov/161.mov","MOV")</f>
        <v>21</v>
      </c>
      <c r="L759" t="s" s="16">
        <f>HYPERLINK("http://csr.bu.edu/ftp/asl/asllvd/demos/verify_start_end_handshape_annotations//test_auto_move//signs_mov_separ_signers/Naomi_161.mov","MOV")</f>
        <v>21</v>
      </c>
      <c r="M759" t="s" s="10">
        <v>29</v>
      </c>
      <c r="N759" s="17">
        <v>18</v>
      </c>
      <c r="O759" s="18">
        <v>243</v>
      </c>
      <c r="P759" s="18">
        <v>283</v>
      </c>
      <c r="Q759" t="s" s="16">
        <f>HYPERLINK("http://secrets.rutgers.edu:8080/data/asl-ftp/asllvd/demos/verify_start_end_handshape_annotations//test_auto_move//signs_mov/161.mov","MOV")</f>
        <v>21</v>
      </c>
      <c r="R759" t="s" s="16">
        <f>HYPERLINK("http://secrets.rutgers.edu:8080/data/asl-ftp/asllvd/demos/verify_start_end_handshape_annotations//test_auto_move//signs_mov_separ_signers/Naomi_161.mov","MOV")</f>
        <v>21</v>
      </c>
    </row>
    <row r="760" s="2" customFormat="1" ht="13.5" customHeight="1">
      <c r="B760" s="13"/>
      <c r="C760" t="s" s="9">
        <v>30</v>
      </c>
      <c r="D760" t="s" s="8">
        <v>327</v>
      </c>
      <c r="E760" t="s" s="9">
        <v>327</v>
      </c>
      <c r="F760" s="19">
        <v>3</v>
      </c>
      <c r="G760" s="17">
        <v>3</v>
      </c>
      <c r="H760" s="19">
        <v>3</v>
      </c>
      <c r="I760" s="17">
        <v>3</v>
      </c>
      <c r="J760" t="s" s="11">
        <v>20</v>
      </c>
      <c r="K760" s="15"/>
      <c r="L760" t="s" s="16">
        <f>HYPERLINK("http://csr.bu.edu/ftp/asl/asllvd/demos/verify_start_end_handshape_annotations//test_auto_move//signs_mov_separ_signers/Brady_161.mov","MOV")</f>
        <v>21</v>
      </c>
      <c r="M760" t="s" s="10">
        <v>31</v>
      </c>
      <c r="N760" s="17">
        <v>14</v>
      </c>
      <c r="O760" s="18">
        <v>4316</v>
      </c>
      <c r="P760" s="18">
        <v>4356</v>
      </c>
      <c r="Q760" s="15"/>
      <c r="R760" t="s" s="16">
        <f>HYPERLINK("http://secrets.rutgers.edu:8080/data/asl-ftp/asllvd/demos/verify_start_end_handshape_annotations//test_auto_move//signs_mov_separ_signers/Brady_161.mov","MOV")</f>
        <v>21</v>
      </c>
    </row>
    <row r="761" s="2" customFormat="1" ht="13.5" customHeight="1">
      <c r="B761" s="13"/>
      <c r="C761" t="s" s="9">
        <v>41</v>
      </c>
      <c r="D761" t="s" s="8">
        <v>327</v>
      </c>
      <c r="E761" t="s" s="9">
        <v>327</v>
      </c>
      <c r="F761" s="19">
        <v>3</v>
      </c>
      <c r="G761" s="17">
        <v>3</v>
      </c>
      <c r="H761" s="19">
        <v>3</v>
      </c>
      <c r="I761" s="17">
        <v>3</v>
      </c>
      <c r="J761" t="s" s="11">
        <v>20</v>
      </c>
      <c r="K761" s="15"/>
      <c r="L761" t="s" s="16">
        <f>HYPERLINK("http://csr.bu.edu/ftp/asl/asllvd/demos/verify_start_end_handshape_annotations//test_auto_move//signs_mov_separ_signers/Lana_161.mov","MOV")</f>
        <v>21</v>
      </c>
      <c r="M761" t="s" s="10">
        <v>42</v>
      </c>
      <c r="N761" s="17">
        <v>3</v>
      </c>
      <c r="O761" s="18">
        <v>1026</v>
      </c>
      <c r="P761" s="18">
        <v>1089</v>
      </c>
      <c r="Q761" s="15"/>
      <c r="R761" t="s" s="16">
        <f>HYPERLINK("http://secrets.rutgers.edu:8080/data/asl-ftp/asllvd/demos/verify_start_end_handshape_annotations//test_auto_move//signs_mov_separ_signers/Lana_161.mov","MOV")</f>
        <v>21</v>
      </c>
    </row>
    <row r="762" s="2" customFormat="1" ht="13.5" customHeight="1">
      <c r="B762" s="13"/>
      <c r="C762" t="s" s="9">
        <v>43</v>
      </c>
      <c r="D762" t="s" s="8">
        <v>327</v>
      </c>
      <c r="E762" t="s" s="9">
        <v>327</v>
      </c>
      <c r="F762" s="19">
        <v>3</v>
      </c>
      <c r="G762" s="17">
        <v>3</v>
      </c>
      <c r="H762" s="19">
        <v>3</v>
      </c>
      <c r="I762" s="17">
        <v>3</v>
      </c>
      <c r="J762" t="s" s="11">
        <v>20</v>
      </c>
      <c r="K762" s="15"/>
      <c r="L762" t="s" s="16">
        <f>HYPERLINK("http://csr.bu.edu/ftp/asl/asllvd/demos/verify_start_end_handshape_annotations//test_auto_move//signs_mov_separ_signers/Dana_161.mov","MOV")</f>
        <v>21</v>
      </c>
      <c r="M762" t="s" s="10">
        <v>44</v>
      </c>
      <c r="N762" s="17">
        <v>7</v>
      </c>
      <c r="O762" s="18">
        <v>1006</v>
      </c>
      <c r="P762" s="18">
        <v>1069</v>
      </c>
      <c r="Q762" s="15"/>
      <c r="R762" t="s" s="16">
        <f>HYPERLINK("http://secrets.rutgers.edu:8080/data/asl-ftp/asllvd/demos/verify_start_end_handshape_annotations//test_auto_move//signs_mov_separ_signers/Dana_161.mov","MOV")</f>
        <v>21</v>
      </c>
    </row>
    <row r="763" s="2" customFormat="1" ht="13.5" customHeight="1">
      <c r="B763" t="s" s="8">
        <v>55</v>
      </c>
      <c r="C763" t="s" s="9">
        <v>14</v>
      </c>
      <c r="D763" t="s" s="8">
        <v>14</v>
      </c>
      <c r="E763" t="s" s="9">
        <v>14</v>
      </c>
      <c r="F763" t="s" s="10">
        <v>14</v>
      </c>
      <c r="G763" t="s" s="11">
        <v>14</v>
      </c>
      <c r="H763" t="s" s="10">
        <v>14</v>
      </c>
      <c r="I763" t="s" s="11">
        <v>14</v>
      </c>
      <c r="J763" t="s" s="11">
        <v>14</v>
      </c>
      <c r="K763" t="s" s="12">
        <v>14</v>
      </c>
      <c r="L763" t="s" s="12">
        <v>14</v>
      </c>
      <c r="M763" t="s" s="10">
        <v>14</v>
      </c>
      <c r="N763" t="s" s="11">
        <v>14</v>
      </c>
      <c r="O763" t="s" s="8">
        <v>14</v>
      </c>
      <c r="P763" t="s" s="8">
        <v>14</v>
      </c>
      <c r="Q763" t="s" s="12">
        <v>14</v>
      </c>
      <c r="R763" t="s" s="12">
        <v>14</v>
      </c>
    </row>
    <row r="764" s="2" customFormat="1" ht="13.5" customHeight="1">
      <c r="B764" s="13"/>
      <c r="C764" t="s" s="9">
        <v>16</v>
      </c>
      <c r="D764" t="s" s="8">
        <v>55</v>
      </c>
      <c r="E764" t="s" s="9">
        <v>55</v>
      </c>
      <c r="F764" t="s" s="10">
        <v>152</v>
      </c>
      <c r="G764" s="14"/>
      <c r="H764" t="s" s="10">
        <v>152</v>
      </c>
      <c r="I764" s="14"/>
      <c r="J764" t="s" s="11">
        <v>20</v>
      </c>
      <c r="K764" s="15"/>
      <c r="L764" t="s" s="16">
        <f>HYPERLINK("http://csr.bu.edu/ftp/asl/asllvd/demos/verify_start_end_handshape_annotations//test_auto_move//signs_mov_separ_signers/Liz_162.mov","MOV")</f>
        <v>21</v>
      </c>
      <c r="M764" t="s" s="10">
        <v>22</v>
      </c>
      <c r="N764" s="17">
        <v>27</v>
      </c>
      <c r="O764" s="18">
        <v>1415</v>
      </c>
      <c r="P764" s="18">
        <v>1435</v>
      </c>
      <c r="Q764" s="15"/>
      <c r="R764" t="s" s="16">
        <f>HYPERLINK("http://secrets.rutgers.edu:8080/data/asl-ftp/asllvd/demos/verify_start_end_handshape_annotations//test_auto_move//signs_mov_separ_signers/Liz_162.mov","MOV")</f>
        <v>21</v>
      </c>
    </row>
    <row r="765" s="2" customFormat="1" ht="13.5" customHeight="1">
      <c r="B765" s="13"/>
      <c r="C765" t="s" s="9">
        <v>23</v>
      </c>
      <c r="D765" t="s" s="8">
        <v>55</v>
      </c>
      <c r="E765" t="s" s="9">
        <v>55</v>
      </c>
      <c r="F765" t="s" s="10">
        <v>152</v>
      </c>
      <c r="G765" s="14"/>
      <c r="H765" t="s" s="10">
        <v>152</v>
      </c>
      <c r="I765" s="14"/>
      <c r="J765" t="s" s="11">
        <v>20</v>
      </c>
      <c r="K765" t="s" s="16">
        <f>HYPERLINK("http://csr.bu.edu/ftp/asl/asllvd/demos/verify_start_end_handshape_annotations//test_auto_move//signs_mov/162.mov","MOV")</f>
        <v>21</v>
      </c>
      <c r="L765" t="s" s="16">
        <f>HYPERLINK("http://csr.bu.edu/ftp/asl/asllvd/demos/verify_start_end_handshape_annotations//test_auto_move//signs_mov_separ_signers/Tyler_162.mov","MOV")</f>
        <v>21</v>
      </c>
      <c r="M765" t="s" s="10">
        <v>26</v>
      </c>
      <c r="N765" s="17">
        <v>18</v>
      </c>
      <c r="O765" s="18">
        <v>562</v>
      </c>
      <c r="P765" s="18">
        <v>595</v>
      </c>
      <c r="Q765" t="s" s="16">
        <f>HYPERLINK("http://secrets.rutgers.edu:8080/data/asl-ftp/asllvd/demos/verify_start_end_handshape_annotations//test_auto_move//signs_mov/162.mov","MOV")</f>
        <v>21</v>
      </c>
      <c r="R765" t="s" s="16">
        <f>HYPERLINK("http://secrets.rutgers.edu:8080/data/asl-ftp/asllvd/demos/verify_start_end_handshape_annotations//test_auto_move//signs_mov_separ_signers/Tyler_162.mov","MOV")</f>
        <v>21</v>
      </c>
    </row>
    <row r="766" s="2" customFormat="1" ht="13.5" customHeight="1">
      <c r="B766" s="13"/>
      <c r="C766" t="s" s="9">
        <v>27</v>
      </c>
      <c r="D766" t="s" s="8">
        <v>55</v>
      </c>
      <c r="E766" t="s" s="9">
        <v>55</v>
      </c>
      <c r="F766" t="s" s="10">
        <v>152</v>
      </c>
      <c r="G766" s="14"/>
      <c r="H766" t="s" s="10">
        <v>152</v>
      </c>
      <c r="I766" s="14"/>
      <c r="J766" t="s" s="11">
        <v>20</v>
      </c>
      <c r="K766" s="15"/>
      <c r="L766" t="s" s="16">
        <f>HYPERLINK("http://csr.bu.edu/ftp/asl/asllvd/demos/verify_start_end_handshape_annotations//test_auto_move//signs_mov_separ_signers/Naomi_162.mov","MOV")</f>
        <v>21</v>
      </c>
      <c r="M766" t="s" s="10">
        <v>29</v>
      </c>
      <c r="N766" s="17">
        <v>18</v>
      </c>
      <c r="O766" s="18">
        <v>521</v>
      </c>
      <c r="P766" s="18">
        <v>557</v>
      </c>
      <c r="Q766" s="15"/>
      <c r="R766" t="s" s="16">
        <f>HYPERLINK("http://secrets.rutgers.edu:8080/data/asl-ftp/asllvd/demos/verify_start_end_handshape_annotations//test_auto_move//signs_mov_separ_signers/Naomi_162.mov","MOV")</f>
        <v>21</v>
      </c>
    </row>
    <row r="767" s="2" customFormat="1" ht="13.5" customHeight="1">
      <c r="B767" s="13"/>
      <c r="C767" t="s" s="9">
        <v>30</v>
      </c>
      <c r="D767" t="s" s="8">
        <v>55</v>
      </c>
      <c r="E767" t="s" s="9">
        <v>55</v>
      </c>
      <c r="F767" t="s" s="10">
        <v>152</v>
      </c>
      <c r="G767" s="14"/>
      <c r="H767" t="s" s="10">
        <v>152</v>
      </c>
      <c r="I767" s="14"/>
      <c r="J767" t="s" s="11">
        <v>20</v>
      </c>
      <c r="K767" s="15"/>
      <c r="L767" t="s" s="16">
        <f>HYPERLINK("http://csr.bu.edu/ftp/asl/asllvd/demos/verify_start_end_handshape_annotations//test_auto_move//signs_mov_separ_signers/Brady_162.mov","MOV")</f>
        <v>21</v>
      </c>
      <c r="M767" t="s" s="10">
        <v>31</v>
      </c>
      <c r="N767" s="17">
        <v>14</v>
      </c>
      <c r="O767" s="18">
        <v>4622</v>
      </c>
      <c r="P767" s="18">
        <v>4638</v>
      </c>
      <c r="Q767" s="15"/>
      <c r="R767" t="s" s="16">
        <f>HYPERLINK("http://secrets.rutgers.edu:8080/data/asl-ftp/asllvd/demos/verify_start_end_handshape_annotations//test_auto_move//signs_mov_separ_signers/Brady_162.mov","MOV")</f>
        <v>21</v>
      </c>
    </row>
    <row r="768" s="2" customFormat="1" ht="13.5" customHeight="1">
      <c r="B768" t="s" s="8">
        <v>328</v>
      </c>
      <c r="C768" t="s" s="9">
        <v>14</v>
      </c>
      <c r="D768" t="s" s="8">
        <v>14</v>
      </c>
      <c r="E768" t="s" s="9">
        <v>14</v>
      </c>
      <c r="F768" t="s" s="10">
        <v>14</v>
      </c>
      <c r="G768" t="s" s="11">
        <v>14</v>
      </c>
      <c r="H768" t="s" s="10">
        <v>14</v>
      </c>
      <c r="I768" t="s" s="11">
        <v>14</v>
      </c>
      <c r="J768" t="s" s="11">
        <v>14</v>
      </c>
      <c r="K768" t="s" s="12">
        <v>14</v>
      </c>
      <c r="L768" t="s" s="12">
        <v>14</v>
      </c>
      <c r="M768" t="s" s="10">
        <v>14</v>
      </c>
      <c r="N768" t="s" s="11">
        <v>14</v>
      </c>
      <c r="O768" t="s" s="8">
        <v>14</v>
      </c>
      <c r="P768" t="s" s="8">
        <v>14</v>
      </c>
      <c r="Q768" t="s" s="12">
        <v>14</v>
      </c>
      <c r="R768" t="s" s="12">
        <v>14</v>
      </c>
    </row>
    <row r="769" s="2" customFormat="1" ht="13.5" customHeight="1">
      <c r="B769" s="13"/>
      <c r="C769" t="s" s="9">
        <v>16</v>
      </c>
      <c r="D769" t="s" s="8">
        <v>328</v>
      </c>
      <c r="E769" t="s" s="9">
        <v>328</v>
      </c>
      <c r="F769" t="s" s="10">
        <v>73</v>
      </c>
      <c r="G769" t="s" s="11">
        <v>109</v>
      </c>
      <c r="H769" t="s" s="10">
        <v>73</v>
      </c>
      <c r="I769" t="s" s="11">
        <v>109</v>
      </c>
      <c r="J769" t="s" s="11">
        <v>20</v>
      </c>
      <c r="K769" s="15"/>
      <c r="L769" t="s" s="16">
        <f>HYPERLINK("http://csr.bu.edu/ftp/asl/asllvd/demos/verify_start_end_handshape_annotations//test_auto_move//signs_mov_separ_signers/Liz_163.mov","MOV")</f>
        <v>21</v>
      </c>
      <c r="M769" t="s" s="10">
        <v>22</v>
      </c>
      <c r="N769" s="17">
        <v>27</v>
      </c>
      <c r="O769" s="18">
        <v>1605</v>
      </c>
      <c r="P769" s="18">
        <v>1670</v>
      </c>
      <c r="Q769" s="15"/>
      <c r="R769" t="s" s="16">
        <f>HYPERLINK("http://secrets.rutgers.edu:8080/data/asl-ftp/asllvd/demos/verify_start_end_handshape_annotations//test_auto_move//signs_mov_separ_signers/Liz_163.mov","MOV")</f>
        <v>21</v>
      </c>
    </row>
    <row r="770" s="2" customFormat="1" ht="13.5" customHeight="1">
      <c r="B770" s="13"/>
      <c r="C770" t="s" s="9">
        <v>23</v>
      </c>
      <c r="D770" t="s" s="8">
        <v>328</v>
      </c>
      <c r="E770" t="s" s="9">
        <v>328</v>
      </c>
      <c r="F770" t="s" s="10">
        <v>73</v>
      </c>
      <c r="G770" t="s" s="11">
        <v>73</v>
      </c>
      <c r="H770" t="s" s="10">
        <v>73</v>
      </c>
      <c r="I770" t="s" s="11">
        <v>73</v>
      </c>
      <c r="J770" t="s" s="11">
        <v>20</v>
      </c>
      <c r="K770" t="s" s="16">
        <f>HYPERLINK("http://csr.bu.edu/ftp/asl/asllvd/demos/verify_start_end_handshape_annotations//test_auto_move//signs_mov/163.mov","MOV")</f>
        <v>21</v>
      </c>
      <c r="L770" t="s" s="16">
        <f>HYPERLINK("http://csr.bu.edu/ftp/asl/asllvd/demos/verify_start_end_handshape_annotations//test_auto_move//signs_mov_separ_signers/Tyler_163.mov","MOV")</f>
        <v>21</v>
      </c>
      <c r="M770" t="s" s="10">
        <v>26</v>
      </c>
      <c r="N770" s="17">
        <v>18</v>
      </c>
      <c r="O770" s="18">
        <v>806</v>
      </c>
      <c r="P770" s="18">
        <v>850</v>
      </c>
      <c r="Q770" t="s" s="16">
        <f>HYPERLINK("http://secrets.rutgers.edu:8080/data/asl-ftp/asllvd/demos/verify_start_end_handshape_annotations//test_auto_move//signs_mov/163.mov","MOV")</f>
        <v>21</v>
      </c>
      <c r="R770" t="s" s="16">
        <f>HYPERLINK("http://secrets.rutgers.edu:8080/data/asl-ftp/asllvd/demos/verify_start_end_handshape_annotations//test_auto_move//signs_mov_separ_signers/Tyler_163.mov","MOV")</f>
        <v>21</v>
      </c>
    </row>
    <row r="771" s="2" customFormat="1" ht="13.5" customHeight="1">
      <c r="B771" s="13"/>
      <c r="C771" t="s" s="9">
        <v>27</v>
      </c>
      <c r="D771" t="s" s="8">
        <v>328</v>
      </c>
      <c r="E771" t="s" s="9">
        <v>328</v>
      </c>
      <c r="F771" t="s" s="10">
        <v>73</v>
      </c>
      <c r="G771" t="s" s="11">
        <v>73</v>
      </c>
      <c r="H771" t="s" s="10">
        <v>73</v>
      </c>
      <c r="I771" t="s" s="11">
        <v>73</v>
      </c>
      <c r="J771" t="s" s="11">
        <v>20</v>
      </c>
      <c r="K771" s="15"/>
      <c r="L771" t="s" s="16">
        <f>HYPERLINK("http://csr.bu.edu/ftp/asl/asllvd/demos/verify_start_end_handshape_annotations//test_auto_move//signs_mov_separ_signers/Naomi_163.mov","MOV")</f>
        <v>21</v>
      </c>
      <c r="M771" t="s" s="10">
        <v>29</v>
      </c>
      <c r="N771" s="17">
        <v>18</v>
      </c>
      <c r="O771" s="18">
        <v>697</v>
      </c>
      <c r="P771" s="18">
        <v>751</v>
      </c>
      <c r="Q771" s="15"/>
      <c r="R771" t="s" s="16">
        <f>HYPERLINK("http://secrets.rutgers.edu:8080/data/asl-ftp/asllvd/demos/verify_start_end_handshape_annotations//test_auto_move//signs_mov_separ_signers/Naomi_163.mov","MOV")</f>
        <v>21</v>
      </c>
    </row>
    <row r="772" s="2" customFormat="1" ht="13.5" customHeight="1">
      <c r="B772" s="13"/>
      <c r="C772" t="s" s="9">
        <v>30</v>
      </c>
      <c r="D772" t="s" s="8">
        <v>328</v>
      </c>
      <c r="E772" t="s" s="9">
        <v>328</v>
      </c>
      <c r="F772" t="s" s="10">
        <v>73</v>
      </c>
      <c r="G772" t="s" s="11">
        <v>73</v>
      </c>
      <c r="H772" t="s" s="10">
        <v>73</v>
      </c>
      <c r="I772" t="s" s="11">
        <v>73</v>
      </c>
      <c r="J772" t="s" s="11">
        <v>20</v>
      </c>
      <c r="K772" s="15"/>
      <c r="L772" t="s" s="16">
        <f>HYPERLINK("http://csr.bu.edu/ftp/asl/asllvd/demos/verify_start_end_handshape_annotations//test_auto_move//signs_mov_separ_signers/Brady_163.mov","MOV")</f>
        <v>21</v>
      </c>
      <c r="M772" t="s" s="10">
        <v>31</v>
      </c>
      <c r="N772" s="17">
        <v>14</v>
      </c>
      <c r="O772" s="18">
        <v>5120</v>
      </c>
      <c r="P772" s="18">
        <v>5165</v>
      </c>
      <c r="Q772" s="15"/>
      <c r="R772" t="s" s="16">
        <f>HYPERLINK("http://secrets.rutgers.edu:8080/data/asl-ftp/asllvd/demos/verify_start_end_handshape_annotations//test_auto_move//signs_mov_separ_signers/Brady_163.mov","MOV")</f>
        <v>21</v>
      </c>
    </row>
    <row r="773" s="2" customFormat="1" ht="13.5" customHeight="1">
      <c r="B773" t="s" s="8">
        <v>329</v>
      </c>
      <c r="C773" t="s" s="9">
        <v>14</v>
      </c>
      <c r="D773" t="s" s="8">
        <v>14</v>
      </c>
      <c r="E773" t="s" s="9">
        <v>14</v>
      </c>
      <c r="F773" t="s" s="10">
        <v>14</v>
      </c>
      <c r="G773" t="s" s="11">
        <v>14</v>
      </c>
      <c r="H773" t="s" s="10">
        <v>14</v>
      </c>
      <c r="I773" t="s" s="11">
        <v>14</v>
      </c>
      <c r="J773" t="s" s="11">
        <v>14</v>
      </c>
      <c r="K773" t="s" s="12">
        <v>14</v>
      </c>
      <c r="L773" t="s" s="12">
        <v>14</v>
      </c>
      <c r="M773" t="s" s="10">
        <v>14</v>
      </c>
      <c r="N773" t="s" s="11">
        <v>14</v>
      </c>
      <c r="O773" t="s" s="8">
        <v>14</v>
      </c>
      <c r="P773" t="s" s="8">
        <v>14</v>
      </c>
      <c r="Q773" t="s" s="12">
        <v>14</v>
      </c>
      <c r="R773" t="s" s="12">
        <v>14</v>
      </c>
    </row>
    <row r="774" s="2" customFormat="1" ht="13.5" customHeight="1">
      <c r="B774" s="13"/>
      <c r="C774" t="s" s="9">
        <v>16</v>
      </c>
      <c r="D774" t="s" s="8">
        <v>329</v>
      </c>
      <c r="E774" t="s" s="9">
        <v>330</v>
      </c>
      <c r="F774" t="s" s="10">
        <v>255</v>
      </c>
      <c r="G774" s="14"/>
      <c r="H774" t="s" s="10">
        <v>255</v>
      </c>
      <c r="I774" s="14"/>
      <c r="J774" t="s" s="11">
        <v>20</v>
      </c>
      <c r="K774" s="15"/>
      <c r="L774" t="s" s="16">
        <f>HYPERLINK("http://csr.bu.edu/ftp/asl/asllvd/demos/verify_start_end_handshape_annotations//test_auto_move//signs_mov_separ_signers/Liz_165.mov","MOV")</f>
        <v>21</v>
      </c>
      <c r="M774" t="s" s="10">
        <v>22</v>
      </c>
      <c r="N774" s="17">
        <v>28</v>
      </c>
      <c r="O774" s="18">
        <v>550</v>
      </c>
      <c r="P774" s="18">
        <v>580</v>
      </c>
      <c r="Q774" s="15"/>
      <c r="R774" t="s" s="16">
        <f>HYPERLINK("http://secrets.rutgers.edu:8080/data/asl-ftp/asllvd/demos/verify_start_end_handshape_annotations//test_auto_move//signs_mov_separ_signers/Liz_165.mov","MOV")</f>
        <v>21</v>
      </c>
    </row>
    <row r="775" s="2" customFormat="1" ht="13.5" customHeight="1">
      <c r="B775" s="13"/>
      <c r="C775" t="s" s="9">
        <v>23</v>
      </c>
      <c r="D775" t="s" s="8">
        <v>329</v>
      </c>
      <c r="E775" t="s" s="9">
        <v>330</v>
      </c>
      <c r="F775" t="s" s="10">
        <v>255</v>
      </c>
      <c r="G775" s="14"/>
      <c r="H775" t="s" s="10">
        <v>255</v>
      </c>
      <c r="I775" s="14"/>
      <c r="J775" t="s" s="11">
        <v>20</v>
      </c>
      <c r="K775" t="s" s="16">
        <f>HYPERLINK("http://csr.bu.edu/ftp/asl/asllvd/demos/verify_start_end_handshape_annotations//test_auto_move//signs_mov/165.mov","MOV")</f>
        <v>21</v>
      </c>
      <c r="L775" t="s" s="16">
        <f>HYPERLINK("http://csr.bu.edu/ftp/asl/asllvd/demos/verify_start_end_handshape_annotations//test_auto_move//signs_mov_separ_signers/Tyler_165.mov","MOV")</f>
        <v>21</v>
      </c>
      <c r="M775" t="s" s="10">
        <v>26</v>
      </c>
      <c r="N775" s="17">
        <v>18</v>
      </c>
      <c r="O775" s="18">
        <v>1225</v>
      </c>
      <c r="P775" s="18">
        <v>1265</v>
      </c>
      <c r="Q775" t="s" s="16">
        <f>HYPERLINK("http://secrets.rutgers.edu:8080/data/asl-ftp/asllvd/demos/verify_start_end_handshape_annotations//test_auto_move//signs_mov/165.mov","MOV")</f>
        <v>21</v>
      </c>
      <c r="R775" t="s" s="16">
        <f>HYPERLINK("http://secrets.rutgers.edu:8080/data/asl-ftp/asllvd/demos/verify_start_end_handshape_annotations//test_auto_move//signs_mov_separ_signers/Tyler_165.mov","MOV")</f>
        <v>21</v>
      </c>
    </row>
    <row r="776" s="2" customFormat="1" ht="13.5" customHeight="1">
      <c r="B776" s="13"/>
      <c r="C776" t="s" s="9">
        <v>27</v>
      </c>
      <c r="D776" t="s" s="8">
        <v>329</v>
      </c>
      <c r="E776" t="s" s="9">
        <v>331</v>
      </c>
      <c r="F776" t="s" s="10">
        <v>255</v>
      </c>
      <c r="G776" s="14"/>
      <c r="H776" t="s" s="10">
        <v>255</v>
      </c>
      <c r="I776" s="14"/>
      <c r="J776" t="s" s="11">
        <v>20</v>
      </c>
      <c r="K776" s="15"/>
      <c r="L776" t="s" s="16">
        <f>HYPERLINK("http://csr.bu.edu/ftp/asl/asllvd/demos/verify_start_end_handshape_annotations//test_auto_move//signs_mov_separ_signers/Naomi_165.mov","MOV")</f>
        <v>21</v>
      </c>
      <c r="M776" t="s" s="10">
        <v>29</v>
      </c>
      <c r="N776" s="17">
        <v>18</v>
      </c>
      <c r="O776" s="18">
        <v>1365</v>
      </c>
      <c r="P776" s="18">
        <v>1417</v>
      </c>
      <c r="Q776" s="15"/>
      <c r="R776" t="s" s="16">
        <f>HYPERLINK("http://secrets.rutgers.edu:8080/data/asl-ftp/asllvd/demos/verify_start_end_handshape_annotations//test_auto_move//signs_mov_separ_signers/Naomi_165.mov","MOV")</f>
        <v>21</v>
      </c>
    </row>
    <row r="777" s="2" customFormat="1" ht="13.5" customHeight="1">
      <c r="B777" s="13"/>
      <c r="C777" t="s" s="9">
        <v>30</v>
      </c>
      <c r="D777" t="s" s="8">
        <v>329</v>
      </c>
      <c r="E777" t="s" s="9">
        <v>329</v>
      </c>
      <c r="F777" t="s" s="10">
        <v>255</v>
      </c>
      <c r="G777" s="14"/>
      <c r="H777" t="s" s="10">
        <v>255</v>
      </c>
      <c r="I777" s="14"/>
      <c r="J777" t="s" s="11">
        <v>20</v>
      </c>
      <c r="K777" s="15"/>
      <c r="L777" t="s" s="16">
        <f>HYPERLINK("http://csr.bu.edu/ftp/asl/asllvd/demos/verify_start_end_handshape_annotations//test_auto_move//signs_mov_separ_signers/Brady_165.mov","MOV")</f>
        <v>21</v>
      </c>
      <c r="M777" t="s" s="10">
        <v>31</v>
      </c>
      <c r="N777" s="17">
        <v>15</v>
      </c>
      <c r="O777" s="18">
        <v>2019</v>
      </c>
      <c r="P777" s="18">
        <v>2044</v>
      </c>
      <c r="Q777" s="15"/>
      <c r="R777" t="s" s="16">
        <f>HYPERLINK("http://secrets.rutgers.edu:8080/data/asl-ftp/asllvd/demos/verify_start_end_handshape_annotations//test_auto_move//signs_mov_separ_signers/Brady_165.mov","MOV")</f>
        <v>21</v>
      </c>
    </row>
    <row r="778" s="2" customFormat="1" ht="13.5" customHeight="1">
      <c r="B778" t="s" s="8">
        <v>332</v>
      </c>
      <c r="C778" t="s" s="9">
        <v>14</v>
      </c>
      <c r="D778" t="s" s="8">
        <v>14</v>
      </c>
      <c r="E778" t="s" s="9">
        <v>14</v>
      </c>
      <c r="F778" t="s" s="10">
        <v>14</v>
      </c>
      <c r="G778" t="s" s="11">
        <v>14</v>
      </c>
      <c r="H778" t="s" s="10">
        <v>14</v>
      </c>
      <c r="I778" t="s" s="11">
        <v>14</v>
      </c>
      <c r="J778" t="s" s="11">
        <v>14</v>
      </c>
      <c r="K778" t="s" s="12">
        <v>14</v>
      </c>
      <c r="L778" t="s" s="12">
        <v>14</v>
      </c>
      <c r="M778" t="s" s="10">
        <v>14</v>
      </c>
      <c r="N778" t="s" s="11">
        <v>14</v>
      </c>
      <c r="O778" t="s" s="8">
        <v>14</v>
      </c>
      <c r="P778" t="s" s="8">
        <v>14</v>
      </c>
      <c r="Q778" t="s" s="12">
        <v>14</v>
      </c>
      <c r="R778" t="s" s="12">
        <v>14</v>
      </c>
    </row>
    <row r="779" s="2" customFormat="1" ht="13.5" customHeight="1">
      <c r="B779" s="13"/>
      <c r="C779" t="s" s="9">
        <v>16</v>
      </c>
      <c r="D779" t="s" s="8">
        <v>332</v>
      </c>
      <c r="E779" t="s" s="9">
        <v>333</v>
      </c>
      <c r="F779" t="s" s="10">
        <v>73</v>
      </c>
      <c r="G779" s="14"/>
      <c r="H779" t="s" s="10">
        <v>80</v>
      </c>
      <c r="I779" s="14"/>
      <c r="J779" t="s" s="11">
        <v>20</v>
      </c>
      <c r="K779" s="15"/>
      <c r="L779" t="s" s="16">
        <f>HYPERLINK("http://csr.bu.edu/ftp/asl/asllvd/demos/verify_start_end_handshape_annotations//test_auto_move//signs_mov_separ_signers/Liz_169.mov","MOV")</f>
        <v>21</v>
      </c>
      <c r="M779" t="s" s="10">
        <v>22</v>
      </c>
      <c r="N779" s="17">
        <v>28</v>
      </c>
      <c r="O779" s="18">
        <v>1320</v>
      </c>
      <c r="P779" s="18">
        <v>1350</v>
      </c>
      <c r="Q779" s="15"/>
      <c r="R779" t="s" s="16">
        <f>HYPERLINK("http://secrets.rutgers.edu:8080/data/asl-ftp/asllvd/demos/verify_start_end_handshape_annotations//test_auto_move//signs_mov_separ_signers/Liz_169.mov","MOV")</f>
        <v>21</v>
      </c>
    </row>
    <row r="780" s="2" customFormat="1" ht="13.5" customHeight="1">
      <c r="B780" s="13"/>
      <c r="C780" t="s" s="9">
        <v>23</v>
      </c>
      <c r="D780" t="s" s="8">
        <v>332</v>
      </c>
      <c r="E780" t="s" s="9">
        <v>334</v>
      </c>
      <c r="F780" t="s" s="10">
        <v>73</v>
      </c>
      <c r="G780" s="14"/>
      <c r="H780" t="s" s="10">
        <v>80</v>
      </c>
      <c r="I780" s="14"/>
      <c r="J780" t="s" s="11">
        <v>20</v>
      </c>
      <c r="K780" s="15"/>
      <c r="L780" t="s" s="16">
        <f>HYPERLINK("http://csr.bu.edu/ftp/asl/asllvd/demos/verify_start_end_handshape_annotations//test_auto_move//signs_mov_separ_signers/Tyler_169.mov","MOV")</f>
        <v>21</v>
      </c>
      <c r="M780" t="s" s="10">
        <v>26</v>
      </c>
      <c r="N780" s="17">
        <v>18</v>
      </c>
      <c r="O780" s="18">
        <v>4165</v>
      </c>
      <c r="P780" s="18">
        <v>4211</v>
      </c>
      <c r="Q780" s="15"/>
      <c r="R780" t="s" s="16">
        <f>HYPERLINK("http://secrets.rutgers.edu:8080/data/asl-ftp/asllvd/demos/verify_start_end_handshape_annotations//test_auto_move//signs_mov_separ_signers/Tyler_169.mov","MOV")</f>
        <v>21</v>
      </c>
    </row>
    <row r="781" s="2" customFormat="1" ht="13.5" customHeight="1">
      <c r="B781" s="13"/>
      <c r="C781" t="s" s="9">
        <v>23</v>
      </c>
      <c r="D781" t="s" s="8">
        <v>332</v>
      </c>
      <c r="E781" t="s" s="9">
        <v>333</v>
      </c>
      <c r="F781" t="s" s="10">
        <v>73</v>
      </c>
      <c r="G781" s="14"/>
      <c r="H781" t="s" s="10">
        <v>80</v>
      </c>
      <c r="I781" s="14"/>
      <c r="J781" t="s" s="11">
        <v>20</v>
      </c>
      <c r="K781" t="s" s="16">
        <f>HYPERLINK("http://csr.bu.edu/ftp/asl/asllvd/demos/verify_start_end_handshape_annotations//test_auto_move//signs_mov/169_3308_5042_merged.mov","MOV")</f>
        <v>21</v>
      </c>
      <c r="L781" t="s" s="16">
        <f>HYPERLINK("http://csr.bu.edu/ftp/asl/asllvd/demos/verify_start_end_handshape_annotations//test_auto_move//signs_mov_separ_signers/Tyler_3308.mov","MOV")</f>
        <v>21</v>
      </c>
      <c r="M781" t="s" s="10">
        <v>26</v>
      </c>
      <c r="N781" s="17">
        <v>24</v>
      </c>
      <c r="O781" s="18">
        <v>466</v>
      </c>
      <c r="P781" s="18">
        <v>485</v>
      </c>
      <c r="Q781" t="s" s="16">
        <f>HYPERLINK("http://secrets.rutgers.edu:8080/data/asl-ftp/asllvd/demos/verify_start_end_handshape_annotations//test_auto_move//signs_mov/169_3308_5042_merged.mov","MOV")</f>
        <v>21</v>
      </c>
      <c r="R781" t="s" s="16">
        <f>HYPERLINK("http://secrets.rutgers.edu:8080/data/asl-ftp/asllvd/demos/verify_start_end_handshape_annotations//test_auto_move//signs_mov_separ_signers/Tyler_3308.mov","MOV")</f>
        <v>21</v>
      </c>
    </row>
    <row r="782" s="2" customFormat="1" ht="13.5" customHeight="1">
      <c r="B782" s="13"/>
      <c r="C782" t="s" s="9">
        <v>23</v>
      </c>
      <c r="D782" t="s" s="8">
        <v>332</v>
      </c>
      <c r="E782" t="s" s="9">
        <v>334</v>
      </c>
      <c r="F782" t="s" s="10">
        <v>73</v>
      </c>
      <c r="G782" s="14"/>
      <c r="H782" t="s" s="10">
        <v>80</v>
      </c>
      <c r="I782" s="14"/>
      <c r="J782" t="s" s="11">
        <v>20</v>
      </c>
      <c r="K782" s="15"/>
      <c r="L782" t="s" s="16">
        <f>HYPERLINK("http://csr.bu.edu/ftp/asl/asllvd/demos/verify_start_end_handshape_annotations//test_auto_move//signs_mov_separ_signers/Tyler_5042.mov","MOV")</f>
        <v>21</v>
      </c>
      <c r="M782" t="s" s="10">
        <v>26</v>
      </c>
      <c r="N782" s="17">
        <v>24</v>
      </c>
      <c r="O782" s="18">
        <v>710</v>
      </c>
      <c r="P782" s="18">
        <v>742</v>
      </c>
      <c r="Q782" s="15"/>
      <c r="R782" t="s" s="16">
        <f>HYPERLINK("http://secrets.rutgers.edu:8080/data/asl-ftp/asllvd/demos/verify_start_end_handshape_annotations//test_auto_move//signs_mov_separ_signers/Tyler_5042.mov","MOV")</f>
        <v>21</v>
      </c>
    </row>
    <row r="783" s="2" customFormat="1" ht="13.5" customHeight="1">
      <c r="B783" s="13"/>
      <c r="C783" t="s" s="9">
        <v>27</v>
      </c>
      <c r="D783" t="s" s="8">
        <v>332</v>
      </c>
      <c r="E783" t="s" s="9">
        <v>333</v>
      </c>
      <c r="F783" t="s" s="10">
        <v>73</v>
      </c>
      <c r="G783" s="14"/>
      <c r="H783" t="s" s="10">
        <v>80</v>
      </c>
      <c r="I783" s="14"/>
      <c r="J783" t="s" s="11">
        <v>20</v>
      </c>
      <c r="K783" s="15"/>
      <c r="L783" t="s" s="16">
        <f>HYPERLINK("http://csr.bu.edu/ftp/asl/asllvd/demos/verify_start_end_handshape_annotations//test_auto_move//signs_mov_separ_signers/Naomi_169.mov","MOV")</f>
        <v>21</v>
      </c>
      <c r="M783" t="s" s="10">
        <v>29</v>
      </c>
      <c r="N783" s="17">
        <v>18</v>
      </c>
      <c r="O783" s="18">
        <v>3418</v>
      </c>
      <c r="P783" s="18">
        <v>3447</v>
      </c>
      <c r="Q783" s="15"/>
      <c r="R783" t="s" s="16">
        <f>HYPERLINK("http://secrets.rutgers.edu:8080/data/asl-ftp/asllvd/demos/verify_start_end_handshape_annotations//test_auto_move//signs_mov_separ_signers/Naomi_169.mov","MOV")</f>
        <v>21</v>
      </c>
    </row>
    <row r="784" s="2" customFormat="1" ht="13.5" customHeight="1">
      <c r="B784" s="13"/>
      <c r="C784" t="s" s="9">
        <v>30</v>
      </c>
      <c r="D784" t="s" s="8">
        <v>332</v>
      </c>
      <c r="E784" t="s" s="9">
        <v>333</v>
      </c>
      <c r="F784" t="s" s="10">
        <v>73</v>
      </c>
      <c r="G784" s="14"/>
      <c r="H784" t="s" s="10">
        <v>73</v>
      </c>
      <c r="I784" s="14"/>
      <c r="J784" t="s" s="11">
        <v>20</v>
      </c>
      <c r="K784" s="15"/>
      <c r="L784" t="s" s="16">
        <f>HYPERLINK("http://csr.bu.edu/ftp/asl/asllvd/demos/verify_start_end_handshape_annotations//test_auto_move//signs_mov_separ_signers/Brady_169.mov","MOV")</f>
        <v>21</v>
      </c>
      <c r="M784" t="s" s="10">
        <v>31</v>
      </c>
      <c r="N784" s="17">
        <v>15</v>
      </c>
      <c r="O784" s="18">
        <v>485</v>
      </c>
      <c r="P784" s="18">
        <v>510</v>
      </c>
      <c r="Q784" s="15"/>
      <c r="R784" t="s" s="16">
        <f>HYPERLINK("http://secrets.rutgers.edu:8080/data/asl-ftp/asllvd/demos/verify_start_end_handshape_annotations//test_auto_move//signs_mov_separ_signers/Brady_169.mov","MOV")</f>
        <v>21</v>
      </c>
    </row>
    <row r="785" s="2" customFormat="1" ht="13.5" customHeight="1">
      <c r="B785" t="s" s="8">
        <v>52</v>
      </c>
      <c r="C785" t="s" s="9">
        <v>53</v>
      </c>
      <c r="D785" t="s" s="8">
        <v>53</v>
      </c>
      <c r="E785" t="s" s="9">
        <v>53</v>
      </c>
      <c r="F785" t="s" s="10">
        <v>53</v>
      </c>
      <c r="G785" t="s" s="11">
        <v>53</v>
      </c>
      <c r="H785" t="s" s="10">
        <v>53</v>
      </c>
      <c r="I785" t="s" s="11">
        <v>53</v>
      </c>
      <c r="J785" t="s" s="11">
        <v>53</v>
      </c>
      <c r="K785" t="s" s="12">
        <v>53</v>
      </c>
      <c r="L785" t="s" s="12">
        <v>53</v>
      </c>
      <c r="M785" t="s" s="10">
        <v>53</v>
      </c>
      <c r="N785" t="s" s="11">
        <v>53</v>
      </c>
      <c r="O785" t="s" s="8">
        <v>53</v>
      </c>
      <c r="P785" t="s" s="8">
        <v>53</v>
      </c>
      <c r="Q785" t="s" s="12">
        <v>53</v>
      </c>
      <c r="R785" t="s" s="12">
        <v>53</v>
      </c>
    </row>
    <row r="786" s="2" customFormat="1" ht="13.5" customHeight="1">
      <c r="B786" s="13"/>
      <c r="C786" t="s" s="9">
        <v>16</v>
      </c>
      <c r="D786" t="s" s="8">
        <v>332</v>
      </c>
      <c r="E786" t="s" s="9">
        <v>335</v>
      </c>
      <c r="F786" t="s" s="10">
        <v>73</v>
      </c>
      <c r="G786" s="14"/>
      <c r="H786" t="s" s="10">
        <v>80</v>
      </c>
      <c r="I786" s="14"/>
      <c r="J786" t="s" s="11">
        <v>20</v>
      </c>
      <c r="K786" s="15"/>
      <c r="L786" t="s" s="16">
        <f>HYPERLINK("http://csr.bu.edu/ftp/asl/asllvd/demos/verify_start_end_handshape_annotations//test_auto_move//signs_mov_separ_signers/Liz_16420.mov","MOV")</f>
        <v>21</v>
      </c>
      <c r="M786" t="s" s="10">
        <v>22</v>
      </c>
      <c r="N786" s="17">
        <v>37</v>
      </c>
      <c r="O786" s="18">
        <v>1075</v>
      </c>
      <c r="P786" s="18">
        <v>1096</v>
      </c>
      <c r="Q786" s="15"/>
      <c r="R786" t="s" s="16">
        <f>HYPERLINK("http://secrets.rutgers.edu:8080/data/asl-ftp/asllvd/demos/verify_start_end_handshape_annotations//test_auto_move//signs_mov_separ_signers/Liz_16420.mov","MOV")</f>
        <v>21</v>
      </c>
    </row>
    <row r="787" s="2" customFormat="1" ht="13.5" customHeight="1">
      <c r="B787" s="13"/>
      <c r="C787" t="s" s="9">
        <v>16</v>
      </c>
      <c r="D787" t="s" s="8">
        <v>332</v>
      </c>
      <c r="E787" t="s" s="9">
        <v>335</v>
      </c>
      <c r="F787" t="s" s="10">
        <v>73</v>
      </c>
      <c r="G787" s="14"/>
      <c r="H787" t="s" s="10">
        <v>80</v>
      </c>
      <c r="I787" s="14"/>
      <c r="J787" t="s" s="11">
        <v>20</v>
      </c>
      <c r="K787" s="15"/>
      <c r="L787" t="s" s="16">
        <f>HYPERLINK("http://csr.bu.edu/ftp/asl/asllvd/demos/verify_start_end_handshape_annotations//test_auto_move//signs_mov_separ_signers/Liz_16421.mov","MOV")</f>
        <v>21</v>
      </c>
      <c r="M787" t="s" s="10">
        <v>88</v>
      </c>
      <c r="N787" s="17">
        <v>32</v>
      </c>
      <c r="O787" s="18">
        <v>1185</v>
      </c>
      <c r="P787" s="18">
        <v>1230</v>
      </c>
      <c r="Q787" s="15"/>
      <c r="R787" t="s" s="16">
        <f>HYPERLINK("http://secrets.rutgers.edu:8080/data/asl-ftp/asllvd/demos/verify_start_end_handshape_annotations//test_auto_move//signs_mov_separ_signers/Liz_16421.mov","MOV")</f>
        <v>21</v>
      </c>
    </row>
    <row r="788" s="2" customFormat="1" ht="13.5" customHeight="1">
      <c r="B788" s="13"/>
      <c r="C788" t="s" s="9">
        <v>27</v>
      </c>
      <c r="D788" t="s" s="8">
        <v>332</v>
      </c>
      <c r="E788" t="s" s="9">
        <v>335</v>
      </c>
      <c r="F788" t="s" s="10">
        <v>73</v>
      </c>
      <c r="G788" s="14"/>
      <c r="H788" t="s" s="10">
        <v>80</v>
      </c>
      <c r="I788" s="14"/>
      <c r="J788" t="s" s="11">
        <v>20</v>
      </c>
      <c r="K788" t="s" s="16">
        <f>HYPERLINK("http://csr.bu.edu/ftp/asl/asllvd/demos/verify_start_end_handshape_annotations//test_auto_move//signs_mov/16420_16421_merged.mov","MOV")</f>
        <v>21</v>
      </c>
      <c r="L788" t="s" s="16">
        <f>HYPERLINK("http://csr.bu.edu/ftp/asl/asllvd/demos/verify_start_end_handshape_annotations//test_auto_move//signs_mov_separ_signers/Naomi_16420.mov","MOV")</f>
        <v>21</v>
      </c>
      <c r="M788" t="s" s="10">
        <v>29</v>
      </c>
      <c r="N788" s="17">
        <v>25</v>
      </c>
      <c r="O788" s="18">
        <v>435</v>
      </c>
      <c r="P788" s="18">
        <v>452</v>
      </c>
      <c r="Q788" t="s" s="16">
        <f>HYPERLINK("http://secrets.rutgers.edu:8080/data/asl-ftp/asllvd/demos/verify_start_end_handshape_annotations//test_auto_move//signs_mov/16420_16421_merged.mov","MOV")</f>
        <v>21</v>
      </c>
      <c r="R788" t="s" s="16">
        <f>HYPERLINK("http://secrets.rutgers.edu:8080/data/asl-ftp/asllvd/demos/verify_start_end_handshape_annotations//test_auto_move//signs_mov_separ_signers/Naomi_16420.mov","MOV")</f>
        <v>21</v>
      </c>
    </row>
    <row r="789" s="2" customFormat="1" ht="13.5" customHeight="1">
      <c r="B789" s="13"/>
      <c r="C789" t="s" s="9">
        <v>30</v>
      </c>
      <c r="D789" t="s" s="8">
        <v>332</v>
      </c>
      <c r="E789" t="s" s="9">
        <v>335</v>
      </c>
      <c r="F789" t="s" s="10">
        <v>73</v>
      </c>
      <c r="G789" s="14"/>
      <c r="H789" t="s" s="10">
        <v>73</v>
      </c>
      <c r="I789" s="14"/>
      <c r="J789" t="s" s="11">
        <v>20</v>
      </c>
      <c r="K789" s="15"/>
      <c r="L789" t="s" s="16">
        <f>HYPERLINK("http://csr.bu.edu/ftp/asl/asllvd/demos/verify_start_end_handshape_annotations//test_auto_move//signs_mov_separ_signers/Brady_16420.mov","MOV")</f>
        <v>21</v>
      </c>
      <c r="M789" t="s" s="10">
        <v>31</v>
      </c>
      <c r="N789" s="17">
        <v>18</v>
      </c>
      <c r="O789" s="18">
        <v>5538</v>
      </c>
      <c r="P789" s="18">
        <v>5556</v>
      </c>
      <c r="Q789" s="15"/>
      <c r="R789" t="s" s="16">
        <f>HYPERLINK("http://secrets.rutgers.edu:8080/data/asl-ftp/asllvd/demos/verify_start_end_handshape_annotations//test_auto_move//signs_mov_separ_signers/Brady_16420.mov","MOV")</f>
        <v>21</v>
      </c>
    </row>
    <row r="790" s="2" customFormat="1" ht="13.5" customHeight="1">
      <c r="B790" s="13"/>
      <c r="C790" t="s" s="9">
        <v>30</v>
      </c>
      <c r="D790" t="s" s="8">
        <v>332</v>
      </c>
      <c r="E790" t="s" s="9">
        <v>335</v>
      </c>
      <c r="F790" t="s" s="10">
        <v>73</v>
      </c>
      <c r="G790" s="14"/>
      <c r="H790" t="s" s="10">
        <v>73</v>
      </c>
      <c r="I790" s="14"/>
      <c r="J790" t="s" s="11">
        <v>20</v>
      </c>
      <c r="K790" s="15"/>
      <c r="L790" t="s" s="16">
        <f>HYPERLINK("http://csr.bu.edu/ftp/asl/asllvd/demos/verify_start_end_handshape_annotations//test_auto_move//signs_mov_separ_signers/Brady_16421.mov","MOV")</f>
        <v>21</v>
      </c>
      <c r="M790" t="s" s="10">
        <v>40</v>
      </c>
      <c r="N790" s="17">
        <v>27</v>
      </c>
      <c r="O790" s="18">
        <v>721</v>
      </c>
      <c r="P790" s="18">
        <v>741</v>
      </c>
      <c r="Q790" s="15"/>
      <c r="R790" t="s" s="16">
        <f>HYPERLINK("http://secrets.rutgers.edu:8080/data/asl-ftp/asllvd/demos/verify_start_end_handshape_annotations//test_auto_move//signs_mov_separ_signers/Brady_16421.mov","MOV")</f>
        <v>21</v>
      </c>
    </row>
    <row r="791" s="2" customFormat="1" ht="13.5" customHeight="1">
      <c r="B791" s="13"/>
      <c r="C791" t="s" s="9">
        <v>41</v>
      </c>
      <c r="D791" t="s" s="8">
        <v>332</v>
      </c>
      <c r="E791" t="s" s="9">
        <v>335</v>
      </c>
      <c r="F791" t="s" s="10">
        <v>73</v>
      </c>
      <c r="G791" s="14"/>
      <c r="H791" t="s" s="10">
        <v>80</v>
      </c>
      <c r="I791" s="14"/>
      <c r="J791" t="s" s="11">
        <v>20</v>
      </c>
      <c r="K791" s="15"/>
      <c r="L791" t="s" s="16">
        <f>HYPERLINK("http://csr.bu.edu/ftp/asl/asllvd/demos/verify_start_end_handshape_annotations//test_auto_move//signs_mov_separ_signers/Lana_16420.mov","MOV")</f>
        <v>21</v>
      </c>
      <c r="M791" t="s" s="10">
        <v>245</v>
      </c>
      <c r="N791" s="17">
        <v>22</v>
      </c>
      <c r="O791" s="18">
        <v>2428</v>
      </c>
      <c r="P791" s="18">
        <v>2449</v>
      </c>
      <c r="Q791" s="15"/>
      <c r="R791" t="s" s="16">
        <f>HYPERLINK("http://secrets.rutgers.edu:8080/data/asl-ftp/asllvd/demos/verify_start_end_handshape_annotations//test_auto_move//signs_mov_separ_signers/Lana_16420.mov","MOV")</f>
        <v>21</v>
      </c>
    </row>
    <row r="792" s="2" customFormat="1" ht="13.5" customHeight="1">
      <c r="B792" t="s" s="8">
        <v>336</v>
      </c>
      <c r="C792" t="s" s="9">
        <v>14</v>
      </c>
      <c r="D792" t="s" s="8">
        <v>14</v>
      </c>
      <c r="E792" t="s" s="9">
        <v>14</v>
      </c>
      <c r="F792" t="s" s="10">
        <v>14</v>
      </c>
      <c r="G792" t="s" s="11">
        <v>14</v>
      </c>
      <c r="H792" t="s" s="10">
        <v>14</v>
      </c>
      <c r="I792" t="s" s="11">
        <v>14</v>
      </c>
      <c r="J792" t="s" s="11">
        <v>14</v>
      </c>
      <c r="K792" t="s" s="12">
        <v>14</v>
      </c>
      <c r="L792" t="s" s="12">
        <v>14</v>
      </c>
      <c r="M792" t="s" s="10">
        <v>14</v>
      </c>
      <c r="N792" t="s" s="11">
        <v>14</v>
      </c>
      <c r="O792" t="s" s="8">
        <v>14</v>
      </c>
      <c r="P792" t="s" s="8">
        <v>14</v>
      </c>
      <c r="Q792" t="s" s="12">
        <v>14</v>
      </c>
      <c r="R792" t="s" s="12">
        <v>14</v>
      </c>
    </row>
    <row r="793" s="2" customFormat="1" ht="13.5" customHeight="1">
      <c r="B793" s="13"/>
      <c r="C793" t="s" s="9">
        <v>16</v>
      </c>
      <c r="D793" t="s" s="8">
        <v>336</v>
      </c>
      <c r="E793" t="s" s="9">
        <v>336</v>
      </c>
      <c r="F793" t="s" s="10">
        <v>55</v>
      </c>
      <c r="G793" t="s" s="11">
        <v>73</v>
      </c>
      <c r="H793" t="s" s="10">
        <v>337</v>
      </c>
      <c r="I793" t="s" s="11">
        <v>73</v>
      </c>
      <c r="J793" t="s" s="11">
        <v>20</v>
      </c>
      <c r="K793" s="15"/>
      <c r="L793" t="s" s="16">
        <f>HYPERLINK("http://csr.bu.edu/ftp/asl/asllvd/demos/verify_start_end_handshape_annotations//test_auto_move//signs_mov_separ_signers/Liz_170.mov","MOV")</f>
        <v>21</v>
      </c>
      <c r="M793" t="s" s="10">
        <v>22</v>
      </c>
      <c r="N793" s="17">
        <v>28</v>
      </c>
      <c r="O793" s="18">
        <v>1755</v>
      </c>
      <c r="P793" s="18">
        <v>1800</v>
      </c>
      <c r="Q793" s="15"/>
      <c r="R793" t="s" s="16">
        <f>HYPERLINK("http://secrets.rutgers.edu:8080/data/asl-ftp/asllvd/demos/verify_start_end_handshape_annotations//test_auto_move//signs_mov_separ_signers/Liz_170.mov","MOV")</f>
        <v>21</v>
      </c>
    </row>
    <row r="794" s="2" customFormat="1" ht="13.5" customHeight="1">
      <c r="B794" s="13"/>
      <c r="C794" t="s" s="9">
        <v>23</v>
      </c>
      <c r="D794" t="s" s="8">
        <v>336</v>
      </c>
      <c r="E794" t="s" s="9">
        <v>336</v>
      </c>
      <c r="F794" t="s" s="10">
        <v>55</v>
      </c>
      <c r="G794" t="s" s="11">
        <v>73</v>
      </c>
      <c r="H794" t="s" s="10">
        <v>337</v>
      </c>
      <c r="I794" t="s" s="11">
        <v>73</v>
      </c>
      <c r="J794" t="s" s="11">
        <v>20</v>
      </c>
      <c r="K794" t="s" s="16">
        <f>HYPERLINK("http://csr.bu.edu/ftp/asl/asllvd/demos/verify_start_end_handshape_annotations//test_auto_move//signs_mov/170.mov","MOV")</f>
        <v>21</v>
      </c>
      <c r="L794" t="s" s="16">
        <f>HYPERLINK("http://csr.bu.edu/ftp/asl/asllvd/demos/verify_start_end_handshape_annotations//test_auto_move//signs_mov_separ_signers/Tyler_170.mov","MOV")</f>
        <v>21</v>
      </c>
      <c r="M794" t="s" s="10">
        <v>26</v>
      </c>
      <c r="N794" s="17">
        <v>18</v>
      </c>
      <c r="O794" s="18">
        <v>4420</v>
      </c>
      <c r="P794" s="18">
        <v>4455</v>
      </c>
      <c r="Q794" t="s" s="16">
        <f>HYPERLINK("http://secrets.rutgers.edu:8080/data/asl-ftp/asllvd/demos/verify_start_end_handshape_annotations//test_auto_move//signs_mov/170.mov","MOV")</f>
        <v>21</v>
      </c>
      <c r="R794" t="s" s="16">
        <f>HYPERLINK("http://secrets.rutgers.edu:8080/data/asl-ftp/asllvd/demos/verify_start_end_handshape_annotations//test_auto_move//signs_mov_separ_signers/Tyler_170.mov","MOV")</f>
        <v>21</v>
      </c>
    </row>
    <row r="795" s="2" customFormat="1" ht="13.5" customHeight="1">
      <c r="B795" s="13"/>
      <c r="C795" t="s" s="9">
        <v>27</v>
      </c>
      <c r="D795" t="s" s="8">
        <v>336</v>
      </c>
      <c r="E795" t="s" s="9">
        <v>336</v>
      </c>
      <c r="F795" t="s" s="10">
        <v>55</v>
      </c>
      <c r="G795" t="s" s="11">
        <v>73</v>
      </c>
      <c r="H795" t="s" s="10">
        <v>337</v>
      </c>
      <c r="I795" t="s" s="11">
        <v>73</v>
      </c>
      <c r="J795" t="s" s="11">
        <v>20</v>
      </c>
      <c r="K795" s="15"/>
      <c r="L795" t="s" s="16">
        <f>HYPERLINK("http://csr.bu.edu/ftp/asl/asllvd/demos/verify_start_end_handshape_annotations//test_auto_move//signs_mov_separ_signers/Naomi_170.mov","MOV")</f>
        <v>21</v>
      </c>
      <c r="M795" t="s" s="10">
        <v>29</v>
      </c>
      <c r="N795" s="17">
        <v>18</v>
      </c>
      <c r="O795" s="18">
        <v>3667</v>
      </c>
      <c r="P795" s="18">
        <v>3685</v>
      </c>
      <c r="Q795" s="15"/>
      <c r="R795" t="s" s="16">
        <f>HYPERLINK("http://secrets.rutgers.edu:8080/data/asl-ftp/asllvd/demos/verify_start_end_handshape_annotations//test_auto_move//signs_mov_separ_signers/Naomi_170.mov","MOV")</f>
        <v>21</v>
      </c>
    </row>
    <row r="796" s="2" customFormat="1" ht="13.5" customHeight="1">
      <c r="B796" s="13"/>
      <c r="C796" t="s" s="9">
        <v>30</v>
      </c>
      <c r="D796" t="s" s="8">
        <v>336</v>
      </c>
      <c r="E796" t="s" s="9">
        <v>336</v>
      </c>
      <c r="F796" t="s" s="10">
        <v>55</v>
      </c>
      <c r="G796" t="s" s="11">
        <v>73</v>
      </c>
      <c r="H796" t="s" s="10">
        <v>337</v>
      </c>
      <c r="I796" t="s" s="11">
        <v>73</v>
      </c>
      <c r="J796" t="s" s="11">
        <v>20</v>
      </c>
      <c r="K796" s="15"/>
      <c r="L796" t="s" s="16">
        <f>HYPERLINK("http://csr.bu.edu/ftp/asl/asllvd/demos/verify_start_end_handshape_annotations//test_auto_move//signs_mov_separ_signers/Brady_170.mov","MOV")</f>
        <v>21</v>
      </c>
      <c r="M796" t="s" s="10">
        <v>31</v>
      </c>
      <c r="N796" s="17">
        <v>15</v>
      </c>
      <c r="O796" s="18">
        <v>2796</v>
      </c>
      <c r="P796" s="18">
        <v>2815</v>
      </c>
      <c r="Q796" s="15"/>
      <c r="R796" t="s" s="16">
        <f>HYPERLINK("http://secrets.rutgers.edu:8080/data/asl-ftp/asllvd/demos/verify_start_end_handshape_annotations//test_auto_move//signs_mov_separ_signers/Brady_170.mov","MOV")</f>
        <v>21</v>
      </c>
    </row>
    <row r="797" s="2" customFormat="1" ht="13.5" customHeight="1">
      <c r="B797" t="s" s="8">
        <v>338</v>
      </c>
      <c r="C797" t="s" s="9">
        <v>14</v>
      </c>
      <c r="D797" t="s" s="8">
        <v>14</v>
      </c>
      <c r="E797" t="s" s="9">
        <v>14</v>
      </c>
      <c r="F797" t="s" s="10">
        <v>14</v>
      </c>
      <c r="G797" t="s" s="11">
        <v>14</v>
      </c>
      <c r="H797" t="s" s="10">
        <v>14</v>
      </c>
      <c r="I797" t="s" s="11">
        <v>14</v>
      </c>
      <c r="J797" t="s" s="11">
        <v>14</v>
      </c>
      <c r="K797" t="s" s="12">
        <v>14</v>
      </c>
      <c r="L797" t="s" s="12">
        <v>14</v>
      </c>
      <c r="M797" t="s" s="10">
        <v>14</v>
      </c>
      <c r="N797" t="s" s="11">
        <v>14</v>
      </c>
      <c r="O797" t="s" s="8">
        <v>14</v>
      </c>
      <c r="P797" t="s" s="8">
        <v>14</v>
      </c>
      <c r="Q797" t="s" s="12">
        <v>14</v>
      </c>
      <c r="R797" t="s" s="12">
        <v>14</v>
      </c>
    </row>
    <row r="798" s="2" customFormat="1" ht="13.5" customHeight="1">
      <c r="B798" s="13"/>
      <c r="C798" t="s" s="9">
        <v>16</v>
      </c>
      <c r="D798" t="s" s="8">
        <v>338</v>
      </c>
      <c r="E798" t="s" s="9">
        <v>338</v>
      </c>
      <c r="F798" t="s" s="10">
        <v>63</v>
      </c>
      <c r="G798" t="s" s="11">
        <v>63</v>
      </c>
      <c r="H798" t="s" s="10">
        <v>63</v>
      </c>
      <c r="I798" t="s" s="11">
        <v>63</v>
      </c>
      <c r="J798" t="s" s="11">
        <v>20</v>
      </c>
      <c r="K798" t="s" s="16">
        <f>HYPERLINK("http://csr.bu.edu/ftp/asl/asllvd/demos/verify_start_end_handshape_annotations//test_auto_move//signs_mov/171.mov","MOV")</f>
        <v>21</v>
      </c>
      <c r="L798" t="s" s="16">
        <f>HYPERLINK("http://csr.bu.edu/ftp/asl/asllvd/demos/verify_start_end_handshape_annotations//test_auto_move//signs_mov_separ_signers/Liz_171.mov","MOV")</f>
        <v>21</v>
      </c>
      <c r="M798" t="s" s="10">
        <v>77</v>
      </c>
      <c r="N798" s="17">
        <v>8</v>
      </c>
      <c r="O798" s="18">
        <v>2880</v>
      </c>
      <c r="P798" s="18">
        <v>2935</v>
      </c>
      <c r="Q798" t="s" s="16">
        <f>HYPERLINK("http://secrets.rutgers.edu:8080/data/asl-ftp/asllvd/demos/verify_start_end_handshape_annotations//test_auto_move//signs_mov/171.mov","MOV")</f>
        <v>21</v>
      </c>
      <c r="R798" t="s" s="16">
        <f>HYPERLINK("http://secrets.rutgers.edu:8080/data/asl-ftp/asllvd/demos/verify_start_end_handshape_annotations//test_auto_move//signs_mov_separ_signers/Liz_171.mov","MOV")</f>
        <v>21</v>
      </c>
    </row>
    <row r="799" s="2" customFormat="1" ht="13.5" customHeight="1">
      <c r="B799" s="13"/>
      <c r="C799" t="s" s="9">
        <v>23</v>
      </c>
      <c r="D799" t="s" s="8">
        <v>338</v>
      </c>
      <c r="E799" t="s" s="9">
        <v>338</v>
      </c>
      <c r="F799" s="19">
        <v>10</v>
      </c>
      <c r="G799" s="17">
        <v>10</v>
      </c>
      <c r="H799" s="19">
        <v>10</v>
      </c>
      <c r="I799" s="17">
        <v>10</v>
      </c>
      <c r="J799" t="s" s="11">
        <v>20</v>
      </c>
      <c r="K799" s="15"/>
      <c r="L799" t="s" s="16">
        <f>HYPERLINK("http://csr.bu.edu/ftp/asl/asllvd/demos/verify_start_end_handshape_annotations//test_auto_move//signs_mov_separ_signers/Tyler_171.mov","MOV")</f>
        <v>21</v>
      </c>
      <c r="M799" t="s" s="10">
        <v>26</v>
      </c>
      <c r="N799" s="17">
        <v>19</v>
      </c>
      <c r="O799" s="18">
        <v>455</v>
      </c>
      <c r="P799" s="18">
        <v>510</v>
      </c>
      <c r="Q799" s="15"/>
      <c r="R799" t="s" s="16">
        <f>HYPERLINK("http://secrets.rutgers.edu:8080/data/asl-ftp/asllvd/demos/verify_start_end_handshape_annotations//test_auto_move//signs_mov_separ_signers/Tyler_171.mov","MOV")</f>
        <v>21</v>
      </c>
    </row>
    <row r="800" s="2" customFormat="1" ht="13.5" customHeight="1">
      <c r="B800" t="s" s="8">
        <v>52</v>
      </c>
      <c r="C800" t="s" s="9">
        <v>53</v>
      </c>
      <c r="D800" t="s" s="8">
        <v>53</v>
      </c>
      <c r="E800" t="s" s="9">
        <v>53</v>
      </c>
      <c r="F800" t="s" s="10">
        <v>53</v>
      </c>
      <c r="G800" t="s" s="11">
        <v>53</v>
      </c>
      <c r="H800" t="s" s="10">
        <v>53</v>
      </c>
      <c r="I800" t="s" s="11">
        <v>53</v>
      </c>
      <c r="J800" t="s" s="11">
        <v>53</v>
      </c>
      <c r="K800" t="s" s="12">
        <v>53</v>
      </c>
      <c r="L800" t="s" s="12">
        <v>53</v>
      </c>
      <c r="M800" t="s" s="10">
        <v>53</v>
      </c>
      <c r="N800" t="s" s="11">
        <v>53</v>
      </c>
      <c r="O800" t="s" s="8">
        <v>53</v>
      </c>
      <c r="P800" t="s" s="8">
        <v>53</v>
      </c>
      <c r="Q800" t="s" s="12">
        <v>53</v>
      </c>
      <c r="R800" t="s" s="12">
        <v>53</v>
      </c>
    </row>
    <row r="801" s="2" customFormat="1" ht="13.5" customHeight="1">
      <c r="B801" s="13"/>
      <c r="C801" t="s" s="9">
        <v>27</v>
      </c>
      <c r="D801" t="s" s="8">
        <v>338</v>
      </c>
      <c r="E801" t="s" s="9">
        <v>339</v>
      </c>
      <c r="F801" t="s" s="10">
        <v>150</v>
      </c>
      <c r="G801" t="s" s="11">
        <v>150</v>
      </c>
      <c r="H801" t="s" s="10">
        <v>150</v>
      </c>
      <c r="I801" t="s" s="11">
        <v>150</v>
      </c>
      <c r="J801" t="s" s="11">
        <v>20</v>
      </c>
      <c r="K801" t="s" s="16">
        <f>HYPERLINK("http://csr.bu.edu/ftp/asl/asllvd/demos/verify_start_end_handshape_annotations//test_auto_move//signs_mov/5098.mov","MOV")</f>
        <v>21</v>
      </c>
      <c r="L801" t="s" s="16">
        <f>HYPERLINK("http://csr.bu.edu/ftp/asl/asllvd/demos/verify_start_end_handshape_annotations//test_auto_move//signs_mov_separ_signers/Naomi_5098.mov","MOV")</f>
        <v>21</v>
      </c>
      <c r="M801" t="s" s="10">
        <v>29</v>
      </c>
      <c r="N801" s="17">
        <v>19</v>
      </c>
      <c r="O801" s="18">
        <v>265</v>
      </c>
      <c r="P801" s="18">
        <v>287</v>
      </c>
      <c r="Q801" t="s" s="16">
        <f>HYPERLINK("http://secrets.rutgers.edu:8080/data/asl-ftp/asllvd/demos/verify_start_end_handshape_annotations//test_auto_move//signs_mov/5098.mov","MOV")</f>
        <v>21</v>
      </c>
      <c r="R801" t="s" s="16">
        <f>HYPERLINK("http://secrets.rutgers.edu:8080/data/asl-ftp/asllvd/demos/verify_start_end_handshape_annotations//test_auto_move//signs_mov_separ_signers/Naomi_5098.mov","MOV")</f>
        <v>21</v>
      </c>
    </row>
    <row r="802" s="2" customFormat="1" ht="13.5" customHeight="1">
      <c r="B802" t="s" s="8">
        <v>340</v>
      </c>
      <c r="C802" t="s" s="9">
        <v>14</v>
      </c>
      <c r="D802" t="s" s="8">
        <v>14</v>
      </c>
      <c r="E802" t="s" s="9">
        <v>14</v>
      </c>
      <c r="F802" t="s" s="10">
        <v>14</v>
      </c>
      <c r="G802" t="s" s="11">
        <v>14</v>
      </c>
      <c r="H802" t="s" s="10">
        <v>14</v>
      </c>
      <c r="I802" t="s" s="11">
        <v>14</v>
      </c>
      <c r="J802" t="s" s="11">
        <v>14</v>
      </c>
      <c r="K802" t="s" s="12">
        <v>14</v>
      </c>
      <c r="L802" t="s" s="12">
        <v>14</v>
      </c>
      <c r="M802" t="s" s="10">
        <v>14</v>
      </c>
      <c r="N802" t="s" s="11">
        <v>14</v>
      </c>
      <c r="O802" t="s" s="8">
        <v>14</v>
      </c>
      <c r="P802" t="s" s="8">
        <v>14</v>
      </c>
      <c r="Q802" t="s" s="12">
        <v>14</v>
      </c>
      <c r="R802" t="s" s="12">
        <v>14</v>
      </c>
    </row>
    <row r="803" s="2" customFormat="1" ht="13.5" customHeight="1">
      <c r="B803" s="13"/>
      <c r="C803" t="s" s="9">
        <v>23</v>
      </c>
      <c r="D803" t="s" s="8">
        <v>340</v>
      </c>
      <c r="E803" t="s" s="9">
        <v>340</v>
      </c>
      <c r="F803" t="s" s="10">
        <v>341</v>
      </c>
      <c r="G803" t="s" s="11">
        <v>341</v>
      </c>
      <c r="H803" t="s" s="10">
        <v>342</v>
      </c>
      <c r="I803" t="s" s="11">
        <v>342</v>
      </c>
      <c r="J803" t="s" s="11">
        <v>20</v>
      </c>
      <c r="K803" t="s" s="16">
        <f>HYPERLINK("http://csr.bu.edu/ftp/asl/asllvd/demos/verify_start_end_handshape_annotations//test_auto_move//signs_mov/172.mov","MOV")</f>
        <v>21</v>
      </c>
      <c r="L803" t="s" s="16">
        <f>HYPERLINK("http://csr.bu.edu/ftp/asl/asllvd/demos/verify_start_end_handshape_annotations//test_auto_move//signs_mov_separ_signers/Tyler_172.mov","MOV")</f>
        <v>21</v>
      </c>
      <c r="M803" t="s" s="10">
        <v>26</v>
      </c>
      <c r="N803" s="17">
        <v>19</v>
      </c>
      <c r="O803" s="18">
        <v>705</v>
      </c>
      <c r="P803" s="18">
        <v>750</v>
      </c>
      <c r="Q803" t="s" s="16">
        <f>HYPERLINK("http://secrets.rutgers.edu:8080/data/asl-ftp/asllvd/demos/verify_start_end_handshape_annotations//test_auto_move//signs_mov/172.mov","MOV")</f>
        <v>21</v>
      </c>
      <c r="R803" t="s" s="16">
        <f>HYPERLINK("http://secrets.rutgers.edu:8080/data/asl-ftp/asllvd/demos/verify_start_end_handshape_annotations//test_auto_move//signs_mov_separ_signers/Tyler_172.mov","MOV")</f>
        <v>21</v>
      </c>
    </row>
    <row r="804" s="2" customFormat="1" ht="13.5" customHeight="1">
      <c r="B804" s="13"/>
      <c r="C804" t="s" s="9">
        <v>27</v>
      </c>
      <c r="D804" t="s" s="8">
        <v>340</v>
      </c>
      <c r="E804" t="s" s="9">
        <v>340</v>
      </c>
      <c r="F804" t="s" s="10">
        <v>342</v>
      </c>
      <c r="G804" t="s" s="11">
        <v>342</v>
      </c>
      <c r="H804" t="s" s="10">
        <v>342</v>
      </c>
      <c r="I804" t="s" s="11">
        <v>342</v>
      </c>
      <c r="J804" t="s" s="11">
        <v>20</v>
      </c>
      <c r="K804" s="15"/>
      <c r="L804" t="s" s="16">
        <f>HYPERLINK("http://csr.bu.edu/ftp/asl/asllvd/demos/verify_start_end_handshape_annotations//test_auto_move//signs_mov_separ_signers/Naomi_172.mov","MOV")</f>
        <v>21</v>
      </c>
      <c r="M804" t="s" s="10">
        <v>29</v>
      </c>
      <c r="N804" s="17">
        <v>19</v>
      </c>
      <c r="O804" s="18">
        <v>561</v>
      </c>
      <c r="P804" s="18">
        <v>577</v>
      </c>
      <c r="Q804" s="15"/>
      <c r="R804" t="s" s="16">
        <f>HYPERLINK("http://secrets.rutgers.edu:8080/data/asl-ftp/asllvd/demos/verify_start_end_handshape_annotations//test_auto_move//signs_mov_separ_signers/Naomi_172.mov","MOV")</f>
        <v>21</v>
      </c>
    </row>
    <row r="805" s="2" customFormat="1" ht="13.5" customHeight="1">
      <c r="B805" t="s" s="8">
        <v>52</v>
      </c>
      <c r="C805" t="s" s="9">
        <v>53</v>
      </c>
      <c r="D805" t="s" s="8">
        <v>53</v>
      </c>
      <c r="E805" t="s" s="9">
        <v>53</v>
      </c>
      <c r="F805" t="s" s="10">
        <v>53</v>
      </c>
      <c r="G805" t="s" s="11">
        <v>53</v>
      </c>
      <c r="H805" t="s" s="10">
        <v>53</v>
      </c>
      <c r="I805" t="s" s="11">
        <v>53</v>
      </c>
      <c r="J805" t="s" s="11">
        <v>53</v>
      </c>
      <c r="K805" t="s" s="12">
        <v>53</v>
      </c>
      <c r="L805" t="s" s="12">
        <v>53</v>
      </c>
      <c r="M805" t="s" s="10">
        <v>53</v>
      </c>
      <c r="N805" t="s" s="11">
        <v>53</v>
      </c>
      <c r="O805" t="s" s="8">
        <v>53</v>
      </c>
      <c r="P805" t="s" s="8">
        <v>53</v>
      </c>
      <c r="Q805" t="s" s="12">
        <v>53</v>
      </c>
      <c r="R805" t="s" s="12">
        <v>53</v>
      </c>
    </row>
    <row r="806" s="2" customFormat="1" ht="13.5" customHeight="1">
      <c r="B806" s="13"/>
      <c r="C806" t="s" s="9">
        <v>16</v>
      </c>
      <c r="D806" t="s" s="8">
        <v>340</v>
      </c>
      <c r="E806" t="s" s="9">
        <v>343</v>
      </c>
      <c r="F806" t="s" s="10">
        <v>240</v>
      </c>
      <c r="G806" t="s" s="11">
        <v>240</v>
      </c>
      <c r="H806" t="s" s="10">
        <v>344</v>
      </c>
      <c r="I806" t="s" s="11">
        <v>344</v>
      </c>
      <c r="J806" t="s" s="11">
        <v>20</v>
      </c>
      <c r="K806" t="s" s="16">
        <f>HYPERLINK("http://csr.bu.edu/ftp/asl/asllvd/demos/verify_start_end_handshape_annotations//test_auto_move//signs_mov/16223.mov","MOV")</f>
        <v>21</v>
      </c>
      <c r="L806" t="s" s="16">
        <f>HYPERLINK("http://csr.bu.edu/ftp/asl/asllvd/demos/verify_start_end_handshape_annotations//test_auto_move//signs_mov_separ_signers/Liz_16223.mov","MOV")</f>
        <v>21</v>
      </c>
      <c r="M806" t="s" s="10">
        <v>22</v>
      </c>
      <c r="N806" s="17">
        <v>29</v>
      </c>
      <c r="O806" s="18">
        <v>1065</v>
      </c>
      <c r="P806" s="18">
        <v>1105</v>
      </c>
      <c r="Q806" t="s" s="16">
        <f>HYPERLINK("http://secrets.rutgers.edu:8080/data/asl-ftp/asllvd/demos/verify_start_end_handshape_annotations//test_auto_move//signs_mov/16223.mov","MOV")</f>
        <v>21</v>
      </c>
      <c r="R806" t="s" s="16">
        <f>HYPERLINK("http://secrets.rutgers.edu:8080/data/asl-ftp/asllvd/demos/verify_start_end_handshape_annotations//test_auto_move//signs_mov_separ_signers/Liz_16223.mov","MOV")</f>
        <v>21</v>
      </c>
    </row>
    <row r="807" s="2" customFormat="1" ht="13.5" customHeight="1">
      <c r="B807" t="s" s="8">
        <v>345</v>
      </c>
      <c r="C807" t="s" s="9">
        <v>14</v>
      </c>
      <c r="D807" t="s" s="8">
        <v>14</v>
      </c>
      <c r="E807" t="s" s="9">
        <v>14</v>
      </c>
      <c r="F807" t="s" s="10">
        <v>14</v>
      </c>
      <c r="G807" t="s" s="11">
        <v>14</v>
      </c>
      <c r="H807" t="s" s="10">
        <v>14</v>
      </c>
      <c r="I807" t="s" s="11">
        <v>14</v>
      </c>
      <c r="J807" t="s" s="11">
        <v>14</v>
      </c>
      <c r="K807" t="s" s="12">
        <v>14</v>
      </c>
      <c r="L807" t="s" s="12">
        <v>14</v>
      </c>
      <c r="M807" t="s" s="10">
        <v>14</v>
      </c>
      <c r="N807" t="s" s="11">
        <v>14</v>
      </c>
      <c r="O807" t="s" s="8">
        <v>14</v>
      </c>
      <c r="P807" t="s" s="8">
        <v>14</v>
      </c>
      <c r="Q807" t="s" s="12">
        <v>14</v>
      </c>
      <c r="R807" t="s" s="12">
        <v>14</v>
      </c>
    </row>
    <row r="808" s="2" customFormat="1" ht="13.5" customHeight="1">
      <c r="B808" s="13"/>
      <c r="C808" t="s" s="9">
        <v>23</v>
      </c>
      <c r="D808" t="s" s="8">
        <v>345</v>
      </c>
      <c r="E808" t="s" s="9">
        <v>345</v>
      </c>
      <c r="F808" t="s" s="10">
        <v>18</v>
      </c>
      <c r="G808" s="14"/>
      <c r="H808" t="s" s="10">
        <v>18</v>
      </c>
      <c r="I808" s="14"/>
      <c r="J808" t="s" s="11">
        <v>20</v>
      </c>
      <c r="K808" t="s" s="16">
        <f>HYPERLINK("http://csr.bu.edu/ftp/asl/asllvd/demos/verify_start_end_handshape_annotations//test_auto_move//signs_mov/175.mov","MOV")</f>
        <v>21</v>
      </c>
      <c r="L808" t="s" s="16">
        <f>HYPERLINK("http://csr.bu.edu/ftp/asl/asllvd/demos/verify_start_end_handshape_annotations//test_auto_move//signs_mov_separ_signers/Tyler_175.mov","MOV")</f>
        <v>21</v>
      </c>
      <c r="M808" t="s" s="10">
        <v>26</v>
      </c>
      <c r="N808" s="17">
        <v>19</v>
      </c>
      <c r="O808" s="18">
        <v>1165</v>
      </c>
      <c r="P808" s="18">
        <v>1230</v>
      </c>
      <c r="Q808" t="s" s="16">
        <f>HYPERLINK("http://secrets.rutgers.edu:8080/data/asl-ftp/asllvd/demos/verify_start_end_handshape_annotations//test_auto_move//signs_mov/175.mov","MOV")</f>
        <v>21</v>
      </c>
      <c r="R808" t="s" s="16">
        <f>HYPERLINK("http://secrets.rutgers.edu:8080/data/asl-ftp/asllvd/demos/verify_start_end_handshape_annotations//test_auto_move//signs_mov_separ_signers/Tyler_175.mov","MOV")</f>
        <v>21</v>
      </c>
    </row>
    <row r="809" s="2" customFormat="1" ht="13.5" customHeight="1">
      <c r="B809" t="s" s="8">
        <v>52</v>
      </c>
      <c r="C809" t="s" s="9">
        <v>53</v>
      </c>
      <c r="D809" t="s" s="8">
        <v>53</v>
      </c>
      <c r="E809" t="s" s="9">
        <v>53</v>
      </c>
      <c r="F809" t="s" s="10">
        <v>53</v>
      </c>
      <c r="G809" t="s" s="11">
        <v>53</v>
      </c>
      <c r="H809" t="s" s="10">
        <v>53</v>
      </c>
      <c r="I809" t="s" s="11">
        <v>53</v>
      </c>
      <c r="J809" t="s" s="11">
        <v>53</v>
      </c>
      <c r="K809" t="s" s="12">
        <v>53</v>
      </c>
      <c r="L809" t="s" s="12">
        <v>53</v>
      </c>
      <c r="M809" t="s" s="10">
        <v>53</v>
      </c>
      <c r="N809" t="s" s="11">
        <v>53</v>
      </c>
      <c r="O809" t="s" s="8">
        <v>53</v>
      </c>
      <c r="P809" t="s" s="8">
        <v>53</v>
      </c>
      <c r="Q809" t="s" s="12">
        <v>53</v>
      </c>
      <c r="R809" t="s" s="12">
        <v>53</v>
      </c>
    </row>
    <row r="810" s="2" customFormat="1" ht="13.5" customHeight="1">
      <c r="B810" s="13"/>
      <c r="C810" t="s" s="9">
        <v>16</v>
      </c>
      <c r="D810" t="s" s="8">
        <v>345</v>
      </c>
      <c r="E810" t="s" s="9">
        <v>346</v>
      </c>
      <c r="F810" t="s" s="10">
        <v>292</v>
      </c>
      <c r="G810" s="14"/>
      <c r="H810" t="s" s="10">
        <v>292</v>
      </c>
      <c r="I810" s="14"/>
      <c r="J810" t="s" s="11">
        <v>20</v>
      </c>
      <c r="K810" t="s" s="16">
        <f>HYPERLINK("http://csr.bu.edu/ftp/asl/asllvd/demos/verify_start_end_handshape_annotations//test_auto_move//signs_mov/3307.mov","MOV")</f>
        <v>21</v>
      </c>
      <c r="L810" t="s" s="16">
        <f>HYPERLINK("http://csr.bu.edu/ftp/asl/asllvd/demos/verify_start_end_handshape_annotations//test_auto_move//signs_mov_separ_signers/Liz_3307.mov","MOV")</f>
        <v>21</v>
      </c>
      <c r="M810" t="s" s="10">
        <v>22</v>
      </c>
      <c r="N810" s="17">
        <v>29</v>
      </c>
      <c r="O810" s="18">
        <v>1575</v>
      </c>
      <c r="P810" s="18">
        <v>1615</v>
      </c>
      <c r="Q810" t="s" s="16">
        <f>HYPERLINK("http://secrets.rutgers.edu:8080/data/asl-ftp/asllvd/demos/verify_start_end_handshape_annotations//test_auto_move//signs_mov/3307.mov","MOV")</f>
        <v>21</v>
      </c>
      <c r="R810" t="s" s="16">
        <f>HYPERLINK("http://secrets.rutgers.edu:8080/data/asl-ftp/asllvd/demos/verify_start_end_handshape_annotations//test_auto_move//signs_mov_separ_signers/Liz_3307.mov","MOV")</f>
        <v>21</v>
      </c>
    </row>
    <row r="811" s="2" customFormat="1" ht="13.5" customHeight="1">
      <c r="B811" t="s" s="8">
        <v>52</v>
      </c>
      <c r="C811" t="s" s="9">
        <v>53</v>
      </c>
      <c r="D811" t="s" s="8">
        <v>53</v>
      </c>
      <c r="E811" t="s" s="9">
        <v>53</v>
      </c>
      <c r="F811" t="s" s="10">
        <v>53</v>
      </c>
      <c r="G811" t="s" s="11">
        <v>53</v>
      </c>
      <c r="H811" t="s" s="10">
        <v>53</v>
      </c>
      <c r="I811" t="s" s="11">
        <v>53</v>
      </c>
      <c r="J811" t="s" s="11">
        <v>53</v>
      </c>
      <c r="K811" t="s" s="12">
        <v>53</v>
      </c>
      <c r="L811" t="s" s="12">
        <v>53</v>
      </c>
      <c r="M811" t="s" s="10">
        <v>53</v>
      </c>
      <c r="N811" t="s" s="11">
        <v>53</v>
      </c>
      <c r="O811" t="s" s="8">
        <v>53</v>
      </c>
      <c r="P811" t="s" s="8">
        <v>53</v>
      </c>
      <c r="Q811" t="s" s="12">
        <v>53</v>
      </c>
      <c r="R811" t="s" s="12">
        <v>53</v>
      </c>
    </row>
    <row r="812" s="2" customFormat="1" ht="13.5" customHeight="1">
      <c r="B812" s="13"/>
      <c r="C812" t="s" s="9">
        <v>16</v>
      </c>
      <c r="D812" t="s" s="8">
        <v>345</v>
      </c>
      <c r="E812" t="s" s="9">
        <v>347</v>
      </c>
      <c r="F812" t="s" s="10">
        <v>282</v>
      </c>
      <c r="G812" s="14"/>
      <c r="H812" t="s" s="10">
        <v>282</v>
      </c>
      <c r="I812" s="14"/>
      <c r="J812" t="s" s="11">
        <v>20</v>
      </c>
      <c r="K812" t="s" s="16">
        <f>HYPERLINK("http://csr.bu.edu/ftp/asl/asllvd/demos/verify_start_end_handshape_annotations//test_auto_move//signs_mov/5662.mov","MOV")</f>
        <v>21</v>
      </c>
      <c r="L812" t="s" s="16">
        <f>HYPERLINK("http://csr.bu.edu/ftp/asl/asllvd/demos/verify_start_end_handshape_annotations//test_auto_move//signs_mov_separ_signers/Liz_5662.mov","MOV")</f>
        <v>21</v>
      </c>
      <c r="M812" t="s" s="10">
        <v>22</v>
      </c>
      <c r="N812" s="17">
        <v>29</v>
      </c>
      <c r="O812" s="18">
        <v>2080</v>
      </c>
      <c r="P812" s="18">
        <v>2126</v>
      </c>
      <c r="Q812" t="s" s="16">
        <f>HYPERLINK("http://secrets.rutgers.edu:8080/data/asl-ftp/asllvd/demos/verify_start_end_handshape_annotations//test_auto_move//signs_mov/5662.mov","MOV")</f>
        <v>21</v>
      </c>
      <c r="R812" t="s" s="16">
        <f>HYPERLINK("http://secrets.rutgers.edu:8080/data/asl-ftp/asllvd/demos/verify_start_end_handshape_annotations//test_auto_move//signs_mov_separ_signers/Liz_5662.mov","MOV")</f>
        <v>21</v>
      </c>
    </row>
    <row r="813" s="2" customFormat="1" ht="13.5" customHeight="1">
      <c r="B813" s="13"/>
      <c r="C813" t="s" s="9">
        <v>27</v>
      </c>
      <c r="D813" t="s" s="8">
        <v>345</v>
      </c>
      <c r="E813" t="s" s="9">
        <v>347</v>
      </c>
      <c r="F813" t="s" s="10">
        <v>282</v>
      </c>
      <c r="G813" s="14"/>
      <c r="H813" t="s" s="10">
        <v>282</v>
      </c>
      <c r="I813" s="14"/>
      <c r="J813" t="s" s="11">
        <v>20</v>
      </c>
      <c r="K813" s="15"/>
      <c r="L813" t="s" s="16">
        <f>HYPERLINK("http://csr.bu.edu/ftp/asl/asllvd/demos/verify_start_end_handshape_annotations//test_auto_move//signs_mov_separ_signers/Naomi_5662.mov","MOV")</f>
        <v>21</v>
      </c>
      <c r="M813" t="s" s="10">
        <v>29</v>
      </c>
      <c r="N813" s="17">
        <v>19</v>
      </c>
      <c r="O813" s="18">
        <v>1782</v>
      </c>
      <c r="P813" s="18">
        <v>1820</v>
      </c>
      <c r="Q813" s="15"/>
      <c r="R813" t="s" s="16">
        <f>HYPERLINK("http://secrets.rutgers.edu:8080/data/asl-ftp/asllvd/demos/verify_start_end_handshape_annotations//test_auto_move//signs_mov_separ_signers/Naomi_5662.mov","MOV")</f>
        <v>21</v>
      </c>
    </row>
    <row r="814" s="2" customFormat="1" ht="13.5" customHeight="1">
      <c r="B814" t="s" s="8">
        <v>348</v>
      </c>
      <c r="C814" t="s" s="9">
        <v>14</v>
      </c>
      <c r="D814" t="s" s="8">
        <v>14</v>
      </c>
      <c r="E814" t="s" s="9">
        <v>14</v>
      </c>
      <c r="F814" t="s" s="10">
        <v>14</v>
      </c>
      <c r="G814" t="s" s="11">
        <v>14</v>
      </c>
      <c r="H814" t="s" s="10">
        <v>14</v>
      </c>
      <c r="I814" t="s" s="11">
        <v>14</v>
      </c>
      <c r="J814" t="s" s="11">
        <v>14</v>
      </c>
      <c r="K814" t="s" s="12">
        <v>14</v>
      </c>
      <c r="L814" t="s" s="12">
        <v>14</v>
      </c>
      <c r="M814" t="s" s="10">
        <v>14</v>
      </c>
      <c r="N814" t="s" s="11">
        <v>14</v>
      </c>
      <c r="O814" t="s" s="8">
        <v>14</v>
      </c>
      <c r="P814" t="s" s="8">
        <v>14</v>
      </c>
      <c r="Q814" t="s" s="12">
        <v>14</v>
      </c>
      <c r="R814" t="s" s="12">
        <v>14</v>
      </c>
    </row>
    <row r="815" s="2" customFormat="1" ht="13.5" customHeight="1">
      <c r="B815" s="13"/>
      <c r="C815" t="s" s="9">
        <v>16</v>
      </c>
      <c r="D815" t="s" s="8">
        <v>348</v>
      </c>
      <c r="E815" t="s" s="9">
        <v>348</v>
      </c>
      <c r="F815" t="s" s="10">
        <v>349</v>
      </c>
      <c r="G815" s="14"/>
      <c r="H815" t="s" s="10">
        <v>28</v>
      </c>
      <c r="I815" s="14"/>
      <c r="J815" t="s" s="11">
        <v>20</v>
      </c>
      <c r="K815" t="s" s="16">
        <f>HYPERLINK("http://csr.bu.edu/ftp/asl/asllvd/demos/verify_start_end_handshape_annotations//test_auto_move//signs_mov/15995.mov","MOV")</f>
        <v>21</v>
      </c>
      <c r="L815" t="s" s="16">
        <f>HYPERLINK("http://csr.bu.edu/ftp/asl/asllvd/demos/verify_start_end_handshape_annotations//test_auto_move//signs_mov_separ_signers/Liz_15995.mov","MOV")</f>
        <v>21</v>
      </c>
      <c r="M815" t="s" s="10">
        <v>88</v>
      </c>
      <c r="N815" s="17">
        <v>39</v>
      </c>
      <c r="O815" s="18">
        <v>1510</v>
      </c>
      <c r="P815" s="18">
        <v>1550</v>
      </c>
      <c r="Q815" t="s" s="16">
        <f>HYPERLINK("http://secrets.rutgers.edu:8080/data/asl-ftp/asllvd/demos/verify_start_end_handshape_annotations//test_auto_move//signs_mov/15995.mov","MOV")</f>
        <v>21</v>
      </c>
      <c r="R815" t="s" s="16">
        <f>HYPERLINK("http://secrets.rutgers.edu:8080/data/asl-ftp/asllvd/demos/verify_start_end_handshape_annotations//test_auto_move//signs_mov_separ_signers/Liz_15995.mov","MOV")</f>
        <v>21</v>
      </c>
    </row>
    <row r="816" s="2" customFormat="1" ht="13.5" customHeight="1">
      <c r="B816" t="s" s="8">
        <v>52</v>
      </c>
      <c r="C816" t="s" s="9">
        <v>53</v>
      </c>
      <c r="D816" t="s" s="8">
        <v>53</v>
      </c>
      <c r="E816" t="s" s="9">
        <v>53</v>
      </c>
      <c r="F816" t="s" s="10">
        <v>53</v>
      </c>
      <c r="G816" t="s" s="11">
        <v>53</v>
      </c>
      <c r="H816" t="s" s="10">
        <v>53</v>
      </c>
      <c r="I816" t="s" s="11">
        <v>53</v>
      </c>
      <c r="J816" t="s" s="11">
        <v>53</v>
      </c>
      <c r="K816" t="s" s="12">
        <v>53</v>
      </c>
      <c r="L816" t="s" s="12">
        <v>53</v>
      </c>
      <c r="M816" t="s" s="10">
        <v>53</v>
      </c>
      <c r="N816" t="s" s="11">
        <v>53</v>
      </c>
      <c r="O816" t="s" s="8">
        <v>53</v>
      </c>
      <c r="P816" t="s" s="8">
        <v>53</v>
      </c>
      <c r="Q816" t="s" s="12">
        <v>53</v>
      </c>
      <c r="R816" t="s" s="12">
        <v>53</v>
      </c>
    </row>
    <row r="817" s="2" customFormat="1" ht="13.5" customHeight="1">
      <c r="B817" s="13"/>
      <c r="C817" t="s" s="9">
        <v>30</v>
      </c>
      <c r="D817" t="s" s="8">
        <v>348</v>
      </c>
      <c r="E817" t="s" s="9">
        <v>350</v>
      </c>
      <c r="F817" t="s" s="10">
        <v>337</v>
      </c>
      <c r="G817" s="14"/>
      <c r="H817" t="s" s="10">
        <v>19</v>
      </c>
      <c r="I817" s="14"/>
      <c r="J817" t="s" s="11">
        <v>20</v>
      </c>
      <c r="K817" t="s" s="16">
        <f>HYPERLINK("http://csr.bu.edu/ftp/asl/asllvd/demos/verify_start_end_handshape_annotations//test_auto_move//signs_mov/15996.mov","MOV")</f>
        <v>21</v>
      </c>
      <c r="L817" t="s" s="16">
        <f>HYPERLINK("http://csr.bu.edu/ftp/asl/asllvd/demos/verify_start_end_handshape_annotations//test_auto_move//signs_mov_separ_signers/Brady_15996.mov","MOV")</f>
        <v>21</v>
      </c>
      <c r="M817" t="s" s="10">
        <v>40</v>
      </c>
      <c r="N817" s="17">
        <v>33</v>
      </c>
      <c r="O817" s="18">
        <v>1576</v>
      </c>
      <c r="P817" s="18">
        <v>1593</v>
      </c>
      <c r="Q817" t="s" s="16">
        <f>HYPERLINK("http://secrets.rutgers.edu:8080/data/asl-ftp/asllvd/demos/verify_start_end_handshape_annotations//test_auto_move//signs_mov/15996.mov","MOV")</f>
        <v>21</v>
      </c>
      <c r="R817" t="s" s="16">
        <f>HYPERLINK("http://secrets.rutgers.edu:8080/data/asl-ftp/asllvd/demos/verify_start_end_handshape_annotations//test_auto_move//signs_mov_separ_signers/Brady_15996.mov","MOV")</f>
        <v>21</v>
      </c>
    </row>
    <row r="818" s="2" customFormat="1" ht="13.5" customHeight="1">
      <c r="B818" t="s" s="8">
        <v>351</v>
      </c>
      <c r="C818" t="s" s="9">
        <v>14</v>
      </c>
      <c r="D818" t="s" s="8">
        <v>14</v>
      </c>
      <c r="E818" t="s" s="9">
        <v>14</v>
      </c>
      <c r="F818" t="s" s="10">
        <v>14</v>
      </c>
      <c r="G818" t="s" s="11">
        <v>14</v>
      </c>
      <c r="H818" t="s" s="10">
        <v>14</v>
      </c>
      <c r="I818" t="s" s="11">
        <v>14</v>
      </c>
      <c r="J818" t="s" s="11">
        <v>14</v>
      </c>
      <c r="K818" t="s" s="12">
        <v>14</v>
      </c>
      <c r="L818" t="s" s="12">
        <v>14</v>
      </c>
      <c r="M818" t="s" s="10">
        <v>14</v>
      </c>
      <c r="N818" t="s" s="11">
        <v>14</v>
      </c>
      <c r="O818" t="s" s="8">
        <v>14</v>
      </c>
      <c r="P818" t="s" s="8">
        <v>14</v>
      </c>
      <c r="Q818" t="s" s="12">
        <v>14</v>
      </c>
      <c r="R818" t="s" s="12">
        <v>14</v>
      </c>
    </row>
    <row r="819" s="2" customFormat="1" ht="13.5" customHeight="1">
      <c r="B819" s="13"/>
      <c r="C819" t="s" s="9">
        <v>16</v>
      </c>
      <c r="D819" t="s" s="8">
        <v>351</v>
      </c>
      <c r="E819" t="s" s="9">
        <v>351</v>
      </c>
      <c r="F819" s="19">
        <v>25</v>
      </c>
      <c r="G819" s="14"/>
      <c r="H819" s="19">
        <v>25</v>
      </c>
      <c r="I819" s="14"/>
      <c r="J819" t="s" s="11">
        <v>20</v>
      </c>
      <c r="K819" s="15"/>
      <c r="L819" t="s" s="16">
        <f>HYPERLINK("http://csr.bu.edu/ftp/asl/asllvd/demos/verify_start_end_handshape_annotations//test_auto_move//signs_mov_separ_signers/Liz_180.mov","MOV")</f>
        <v>21</v>
      </c>
      <c r="M819" t="s" s="10">
        <v>22</v>
      </c>
      <c r="N819" s="17">
        <v>30</v>
      </c>
      <c r="O819" s="18">
        <v>1080</v>
      </c>
      <c r="P819" s="18">
        <v>1125</v>
      </c>
      <c r="Q819" s="15"/>
      <c r="R819" t="s" s="16">
        <f>HYPERLINK("http://secrets.rutgers.edu:8080/data/asl-ftp/asllvd/demos/verify_start_end_handshape_annotations//test_auto_move//signs_mov_separ_signers/Liz_180.mov","MOV")</f>
        <v>21</v>
      </c>
    </row>
    <row r="820" s="2" customFormat="1" ht="13.5" customHeight="1">
      <c r="B820" s="13"/>
      <c r="C820" t="s" s="9">
        <v>27</v>
      </c>
      <c r="D820" t="s" s="8">
        <v>351</v>
      </c>
      <c r="E820" t="s" s="9">
        <v>351</v>
      </c>
      <c r="F820" s="19">
        <v>25</v>
      </c>
      <c r="G820" s="14"/>
      <c r="H820" s="19">
        <v>25</v>
      </c>
      <c r="I820" s="14"/>
      <c r="J820" t="s" s="11">
        <v>20</v>
      </c>
      <c r="K820" t="s" s="16">
        <f>HYPERLINK("http://csr.bu.edu/ftp/asl/asllvd/demos/verify_start_end_handshape_annotations//test_auto_move//signs_mov/180.mov","MOV")</f>
        <v>21</v>
      </c>
      <c r="L820" t="s" s="16">
        <f>HYPERLINK("http://csr.bu.edu/ftp/asl/asllvd/demos/verify_start_end_handshape_annotations//test_auto_move//signs_mov_separ_signers/Naomi_180.mov","MOV")</f>
        <v>21</v>
      </c>
      <c r="M820" t="s" s="10">
        <v>29</v>
      </c>
      <c r="N820" s="17">
        <v>19</v>
      </c>
      <c r="O820" s="18">
        <v>2925</v>
      </c>
      <c r="P820" s="18">
        <v>2957</v>
      </c>
      <c r="Q820" t="s" s="16">
        <f>HYPERLINK("http://secrets.rutgers.edu:8080/data/asl-ftp/asllvd/demos/verify_start_end_handshape_annotations//test_auto_move//signs_mov/180.mov","MOV")</f>
        <v>21</v>
      </c>
      <c r="R820" t="s" s="16">
        <f>HYPERLINK("http://secrets.rutgers.edu:8080/data/asl-ftp/asllvd/demos/verify_start_end_handshape_annotations//test_auto_move//signs_mov_separ_signers/Naomi_180.mov","MOV")</f>
        <v>21</v>
      </c>
    </row>
    <row r="821" s="2" customFormat="1" ht="13.5" customHeight="1">
      <c r="B821" s="13"/>
      <c r="C821" t="s" s="9">
        <v>30</v>
      </c>
      <c r="D821" t="s" s="8">
        <v>351</v>
      </c>
      <c r="E821" t="s" s="9">
        <v>351</v>
      </c>
      <c r="F821" s="19">
        <v>25</v>
      </c>
      <c r="G821" s="14"/>
      <c r="H821" s="19">
        <v>25</v>
      </c>
      <c r="I821" s="14"/>
      <c r="J821" t="s" s="11">
        <v>20</v>
      </c>
      <c r="K821" s="15"/>
      <c r="L821" t="s" s="16">
        <f>HYPERLINK("http://csr.bu.edu/ftp/asl/asllvd/demos/verify_start_end_handshape_annotations//test_auto_move//signs_mov_separ_signers/Brady_180.mov","MOV")</f>
        <v>21</v>
      </c>
      <c r="M821" t="s" s="10">
        <v>31</v>
      </c>
      <c r="N821" s="17">
        <v>15</v>
      </c>
      <c r="O821" s="18">
        <v>6974</v>
      </c>
      <c r="P821" s="18">
        <v>7007</v>
      </c>
      <c r="Q821" s="15"/>
      <c r="R821" t="s" s="16">
        <f>HYPERLINK("http://secrets.rutgers.edu:8080/data/asl-ftp/asllvd/demos/verify_start_end_handshape_annotations//test_auto_move//signs_mov_separ_signers/Brady_180.mov","MOV")</f>
        <v>21</v>
      </c>
    </row>
    <row r="822" s="2" customFormat="1" ht="13.5" customHeight="1">
      <c r="B822" t="s" s="8">
        <v>352</v>
      </c>
      <c r="C822" t="s" s="9">
        <v>14</v>
      </c>
      <c r="D822" t="s" s="8">
        <v>14</v>
      </c>
      <c r="E822" t="s" s="9">
        <v>14</v>
      </c>
      <c r="F822" t="s" s="10">
        <v>14</v>
      </c>
      <c r="G822" t="s" s="11">
        <v>14</v>
      </c>
      <c r="H822" t="s" s="10">
        <v>14</v>
      </c>
      <c r="I822" t="s" s="11">
        <v>14</v>
      </c>
      <c r="J822" t="s" s="11">
        <v>14</v>
      </c>
      <c r="K822" t="s" s="12">
        <v>14</v>
      </c>
      <c r="L822" t="s" s="12">
        <v>14</v>
      </c>
      <c r="M822" t="s" s="10">
        <v>14</v>
      </c>
      <c r="N822" t="s" s="11">
        <v>14</v>
      </c>
      <c r="O822" t="s" s="8">
        <v>14</v>
      </c>
      <c r="P822" t="s" s="8">
        <v>14</v>
      </c>
      <c r="Q822" t="s" s="12">
        <v>14</v>
      </c>
      <c r="R822" t="s" s="12">
        <v>14</v>
      </c>
    </row>
    <row r="823" s="2" customFormat="1" ht="13.5" customHeight="1">
      <c r="B823" s="13"/>
      <c r="C823" t="s" s="9">
        <v>23</v>
      </c>
      <c r="D823" t="s" s="8">
        <v>352</v>
      </c>
      <c r="E823" t="s" s="9">
        <v>352</v>
      </c>
      <c r="F823" s="19">
        <v>25</v>
      </c>
      <c r="G823" s="14"/>
      <c r="H823" t="s" s="10">
        <v>63</v>
      </c>
      <c r="I823" s="14"/>
      <c r="J823" t="s" s="11">
        <v>20</v>
      </c>
      <c r="K823" t="s" s="16">
        <f>HYPERLINK("http://csr.bu.edu/ftp/asl/asllvd/demos/verify_start_end_handshape_annotations//test_auto_move//signs_mov/15398.mov","MOV")</f>
        <v>21</v>
      </c>
      <c r="L823" t="s" s="16">
        <f>HYPERLINK("http://csr.bu.edu/ftp/asl/asllvd/demos/verify_start_end_handshape_annotations//test_auto_move//signs_mov_separ_signers/Tyler_15398.mov","MOV")</f>
        <v>21</v>
      </c>
      <c r="M823" t="s" s="10">
        <v>26</v>
      </c>
      <c r="N823" s="17">
        <v>19</v>
      </c>
      <c r="O823" s="18">
        <v>4583</v>
      </c>
      <c r="P823" s="18">
        <v>4615</v>
      </c>
      <c r="Q823" t="s" s="16">
        <f>HYPERLINK("http://secrets.rutgers.edu:8080/data/asl-ftp/asllvd/demos/verify_start_end_handshape_annotations//test_auto_move//signs_mov/15398.mov","MOV")</f>
        <v>21</v>
      </c>
      <c r="R823" t="s" s="16">
        <f>HYPERLINK("http://secrets.rutgers.edu:8080/data/asl-ftp/asllvd/demos/verify_start_end_handshape_annotations//test_auto_move//signs_mov_separ_signers/Tyler_15398.mov","MOV")</f>
        <v>21</v>
      </c>
    </row>
    <row r="824" s="2" customFormat="1" ht="13.5" customHeight="1">
      <c r="B824" t="s" s="8">
        <v>353</v>
      </c>
      <c r="C824" t="s" s="9">
        <v>14</v>
      </c>
      <c r="D824" t="s" s="8">
        <v>14</v>
      </c>
      <c r="E824" t="s" s="9">
        <v>14</v>
      </c>
      <c r="F824" t="s" s="10">
        <v>14</v>
      </c>
      <c r="G824" t="s" s="11">
        <v>14</v>
      </c>
      <c r="H824" t="s" s="10">
        <v>14</v>
      </c>
      <c r="I824" t="s" s="11">
        <v>14</v>
      </c>
      <c r="J824" t="s" s="11">
        <v>14</v>
      </c>
      <c r="K824" t="s" s="12">
        <v>14</v>
      </c>
      <c r="L824" t="s" s="12">
        <v>14</v>
      </c>
      <c r="M824" t="s" s="10">
        <v>14</v>
      </c>
      <c r="N824" t="s" s="11">
        <v>14</v>
      </c>
      <c r="O824" t="s" s="8">
        <v>14</v>
      </c>
      <c r="P824" t="s" s="8">
        <v>14</v>
      </c>
      <c r="Q824" t="s" s="12">
        <v>14</v>
      </c>
      <c r="R824" t="s" s="12">
        <v>14</v>
      </c>
    </row>
    <row r="825" s="2" customFormat="1" ht="13.5" customHeight="1">
      <c r="B825" s="13"/>
      <c r="C825" t="s" s="9">
        <v>16</v>
      </c>
      <c r="D825" t="s" s="8">
        <v>353</v>
      </c>
      <c r="E825" t="s" s="9">
        <v>353</v>
      </c>
      <c r="F825" t="s" s="10">
        <v>185</v>
      </c>
      <c r="G825" t="s" s="11">
        <v>185</v>
      </c>
      <c r="H825" t="s" s="10">
        <v>185</v>
      </c>
      <c r="I825" t="s" s="11">
        <v>185</v>
      </c>
      <c r="J825" t="s" s="11">
        <v>20</v>
      </c>
      <c r="K825" s="15"/>
      <c r="L825" t="s" s="16">
        <f>HYPERLINK("http://csr.bu.edu/ftp/asl/asllvd/demos/verify_start_end_handshape_annotations//test_auto_move//signs_mov_separ_signers/Liz_181.mov","MOV")</f>
        <v>21</v>
      </c>
      <c r="M825" t="s" s="10">
        <v>22</v>
      </c>
      <c r="N825" s="17">
        <v>30</v>
      </c>
      <c r="O825" s="18">
        <v>1756</v>
      </c>
      <c r="P825" s="18">
        <v>1786</v>
      </c>
      <c r="Q825" s="15"/>
      <c r="R825" t="s" s="16">
        <f>HYPERLINK("http://secrets.rutgers.edu:8080/data/asl-ftp/asllvd/demos/verify_start_end_handshape_annotations//test_auto_move//signs_mov_separ_signers/Liz_181.mov","MOV")</f>
        <v>21</v>
      </c>
    </row>
    <row r="826" s="2" customFormat="1" ht="13.5" customHeight="1">
      <c r="B826" s="13"/>
      <c r="C826" t="s" s="9">
        <v>23</v>
      </c>
      <c r="D826" t="s" s="8">
        <v>353</v>
      </c>
      <c r="E826" t="s" s="9">
        <v>353</v>
      </c>
      <c r="F826" t="s" s="10">
        <v>148</v>
      </c>
      <c r="G826" t="s" s="11">
        <v>148</v>
      </c>
      <c r="H826" t="s" s="10">
        <v>148</v>
      </c>
      <c r="I826" t="s" s="11">
        <v>148</v>
      </c>
      <c r="J826" t="s" s="11">
        <v>20</v>
      </c>
      <c r="K826" t="s" s="16">
        <f>HYPERLINK("http://csr.bu.edu/ftp/asl/asllvd/demos/verify_start_end_handshape_annotations//test_auto_move//signs_mov/181.mov","MOV")</f>
        <v>21</v>
      </c>
      <c r="L826" t="s" s="16">
        <f>HYPERLINK("http://csr.bu.edu/ftp/asl/asllvd/demos/verify_start_end_handshape_annotations//test_auto_move//signs_mov_separ_signers/Tyler_181.mov","MOV")</f>
        <v>21</v>
      </c>
      <c r="M826" t="s" s="10">
        <v>26</v>
      </c>
      <c r="N826" s="17">
        <v>20</v>
      </c>
      <c r="O826" s="18">
        <v>722</v>
      </c>
      <c r="P826" s="18">
        <v>762</v>
      </c>
      <c r="Q826" t="s" s="16">
        <f>HYPERLINK("http://secrets.rutgers.edu:8080/data/asl-ftp/asllvd/demos/verify_start_end_handshape_annotations//test_auto_move//signs_mov/181.mov","MOV")</f>
        <v>21</v>
      </c>
      <c r="R826" t="s" s="16">
        <f>HYPERLINK("http://secrets.rutgers.edu:8080/data/asl-ftp/asllvd/demos/verify_start_end_handshape_annotations//test_auto_move//signs_mov_separ_signers/Tyler_181.mov","MOV")</f>
        <v>21</v>
      </c>
    </row>
    <row r="827" s="2" customFormat="1" ht="13.5" customHeight="1">
      <c r="B827" s="13"/>
      <c r="C827" t="s" s="9">
        <v>27</v>
      </c>
      <c r="D827" t="s" s="8">
        <v>353</v>
      </c>
      <c r="E827" t="s" s="9">
        <v>353</v>
      </c>
      <c r="F827" t="s" s="10">
        <v>148</v>
      </c>
      <c r="G827" t="s" s="11">
        <v>148</v>
      </c>
      <c r="H827" t="s" s="10">
        <v>148</v>
      </c>
      <c r="I827" t="s" s="11">
        <v>148</v>
      </c>
      <c r="J827" t="s" s="11">
        <v>20</v>
      </c>
      <c r="K827" s="15"/>
      <c r="L827" t="s" s="16">
        <f>HYPERLINK("http://csr.bu.edu/ftp/asl/asllvd/demos/verify_start_end_handshape_annotations//test_auto_move//signs_mov_separ_signers/Naomi_181.mov","MOV")</f>
        <v>21</v>
      </c>
      <c r="M827" t="s" s="10">
        <v>29</v>
      </c>
      <c r="N827" s="17">
        <v>20</v>
      </c>
      <c r="O827" s="18">
        <v>297</v>
      </c>
      <c r="P827" s="18">
        <v>323</v>
      </c>
      <c r="Q827" s="15"/>
      <c r="R827" t="s" s="16">
        <f>HYPERLINK("http://secrets.rutgers.edu:8080/data/asl-ftp/asllvd/demos/verify_start_end_handshape_annotations//test_auto_move//signs_mov_separ_signers/Naomi_181.mov","MOV")</f>
        <v>21</v>
      </c>
    </row>
    <row r="828" s="2" customFormat="1" ht="13.5" customHeight="1">
      <c r="B828" s="13"/>
      <c r="C828" t="s" s="9">
        <v>30</v>
      </c>
      <c r="D828" t="s" s="8">
        <v>353</v>
      </c>
      <c r="E828" t="s" s="9">
        <v>353</v>
      </c>
      <c r="F828" t="s" s="10">
        <v>72</v>
      </c>
      <c r="G828" t="s" s="11">
        <v>72</v>
      </c>
      <c r="H828" t="s" s="10">
        <v>148</v>
      </c>
      <c r="I828" t="s" s="11">
        <v>148</v>
      </c>
      <c r="J828" t="s" s="11">
        <v>20</v>
      </c>
      <c r="K828" s="15"/>
      <c r="L828" t="s" s="16">
        <f>HYPERLINK("http://csr.bu.edu/ftp/asl/asllvd/demos/verify_start_end_handshape_annotations//test_auto_move//signs_mov_separ_signers/Brady_181.mov","MOV")</f>
        <v>21</v>
      </c>
      <c r="M828" t="s" s="10">
        <v>31</v>
      </c>
      <c r="N828" s="17">
        <v>15</v>
      </c>
      <c r="O828" s="18">
        <v>7378</v>
      </c>
      <c r="P828" s="18">
        <v>7400</v>
      </c>
      <c r="Q828" s="15"/>
      <c r="R828" t="s" s="16">
        <f>HYPERLINK("http://secrets.rutgers.edu:8080/data/asl-ftp/asllvd/demos/verify_start_end_handshape_annotations//test_auto_move//signs_mov_separ_signers/Brady_181.mov","MOV")</f>
        <v>21</v>
      </c>
    </row>
    <row r="829" s="2" customFormat="1" ht="13.5" customHeight="1">
      <c r="B829" t="s" s="8">
        <v>354</v>
      </c>
      <c r="C829" t="s" s="9">
        <v>14</v>
      </c>
      <c r="D829" t="s" s="8">
        <v>14</v>
      </c>
      <c r="E829" t="s" s="9">
        <v>14</v>
      </c>
      <c r="F829" t="s" s="10">
        <v>14</v>
      </c>
      <c r="G829" t="s" s="11">
        <v>14</v>
      </c>
      <c r="H829" t="s" s="10">
        <v>14</v>
      </c>
      <c r="I829" t="s" s="11">
        <v>14</v>
      </c>
      <c r="J829" t="s" s="11">
        <v>14</v>
      </c>
      <c r="K829" t="s" s="12">
        <v>14</v>
      </c>
      <c r="L829" t="s" s="12">
        <v>14</v>
      </c>
      <c r="M829" t="s" s="10">
        <v>14</v>
      </c>
      <c r="N829" t="s" s="11">
        <v>14</v>
      </c>
      <c r="O829" t="s" s="8">
        <v>14</v>
      </c>
      <c r="P829" t="s" s="8">
        <v>14</v>
      </c>
      <c r="Q829" t="s" s="12">
        <v>14</v>
      </c>
      <c r="R829" t="s" s="12">
        <v>14</v>
      </c>
    </row>
    <row r="830" s="2" customFormat="1" ht="13.5" customHeight="1">
      <c r="B830" s="13"/>
      <c r="C830" t="s" s="9">
        <v>16</v>
      </c>
      <c r="D830" t="s" s="8">
        <v>354</v>
      </c>
      <c r="E830" t="s" s="9">
        <v>354</v>
      </c>
      <c r="F830" t="s" s="10">
        <v>63</v>
      </c>
      <c r="G830" t="s" s="11">
        <v>150</v>
      </c>
      <c r="H830" t="s" s="10">
        <v>72</v>
      </c>
      <c r="I830" t="s" s="11">
        <v>72</v>
      </c>
      <c r="J830" t="s" s="11">
        <v>20</v>
      </c>
      <c r="K830" s="15"/>
      <c r="L830" t="s" s="16">
        <f>HYPERLINK("http://csr.bu.edu/ftp/asl/asllvd/demos/verify_start_end_handshape_annotations//test_auto_move//signs_mov_separ_signers/Liz_182.mov","MOV")</f>
        <v>21</v>
      </c>
      <c r="M830" t="s" s="10">
        <v>22</v>
      </c>
      <c r="N830" s="17">
        <v>30</v>
      </c>
      <c r="O830" s="18">
        <v>2070</v>
      </c>
      <c r="P830" s="18">
        <v>2125</v>
      </c>
      <c r="Q830" s="15"/>
      <c r="R830" t="s" s="16">
        <f>HYPERLINK("http://secrets.rutgers.edu:8080/data/asl-ftp/asllvd/demos/verify_start_end_handshape_annotations//test_auto_move//signs_mov_separ_signers/Liz_182.mov","MOV")</f>
        <v>21</v>
      </c>
    </row>
    <row r="831" s="2" customFormat="1" ht="13.5" customHeight="1">
      <c r="B831" s="13"/>
      <c r="C831" t="s" s="9">
        <v>23</v>
      </c>
      <c r="D831" t="s" s="8">
        <v>354</v>
      </c>
      <c r="E831" t="s" s="9">
        <v>354</v>
      </c>
      <c r="F831" t="s" s="10">
        <v>68</v>
      </c>
      <c r="G831" t="s" s="11">
        <v>68</v>
      </c>
      <c r="H831" t="s" s="10">
        <v>72</v>
      </c>
      <c r="I831" t="s" s="11">
        <v>72</v>
      </c>
      <c r="J831" t="s" s="11">
        <v>20</v>
      </c>
      <c r="K831" t="s" s="16">
        <f>HYPERLINK("http://csr.bu.edu/ftp/asl/asllvd/demos/verify_start_end_handshape_annotations//test_auto_move//signs_mov/182.mov","MOV")</f>
        <v>21</v>
      </c>
      <c r="L831" t="s" s="16">
        <f>HYPERLINK("http://csr.bu.edu/ftp/asl/asllvd/demos/verify_start_end_handshape_annotations//test_auto_move//signs_mov_separ_signers/Tyler_182.mov","MOV")</f>
        <v>21</v>
      </c>
      <c r="M831" t="s" s="10">
        <v>26</v>
      </c>
      <c r="N831" s="17">
        <v>20</v>
      </c>
      <c r="O831" s="18">
        <v>960</v>
      </c>
      <c r="P831" s="18">
        <v>995</v>
      </c>
      <c r="Q831" t="s" s="16">
        <f>HYPERLINK("http://secrets.rutgers.edu:8080/data/asl-ftp/asllvd/demos/verify_start_end_handshape_annotations//test_auto_move//signs_mov/182.mov","MOV")</f>
        <v>21</v>
      </c>
      <c r="R831" t="s" s="16">
        <f>HYPERLINK("http://secrets.rutgers.edu:8080/data/asl-ftp/asllvd/demos/verify_start_end_handshape_annotations//test_auto_move//signs_mov_separ_signers/Tyler_182.mov","MOV")</f>
        <v>21</v>
      </c>
    </row>
    <row r="832" s="2" customFormat="1" ht="13.5" customHeight="1">
      <c r="B832" s="13"/>
      <c r="C832" t="s" s="9">
        <v>27</v>
      </c>
      <c r="D832" t="s" s="8">
        <v>354</v>
      </c>
      <c r="E832" t="s" s="9">
        <v>354</v>
      </c>
      <c r="F832" t="s" s="10">
        <v>68</v>
      </c>
      <c r="G832" t="s" s="11">
        <v>68</v>
      </c>
      <c r="H832" t="s" s="10">
        <v>72</v>
      </c>
      <c r="I832" t="s" s="11">
        <v>72</v>
      </c>
      <c r="J832" t="s" s="11">
        <v>20</v>
      </c>
      <c r="K832" s="15"/>
      <c r="L832" t="s" s="16">
        <f>HYPERLINK("http://csr.bu.edu/ftp/asl/asllvd/demos/verify_start_end_handshape_annotations//test_auto_move//signs_mov_separ_signers/Naomi_182.mov","MOV")</f>
        <v>21</v>
      </c>
      <c r="M832" t="s" s="10">
        <v>29</v>
      </c>
      <c r="N832" s="17">
        <v>20</v>
      </c>
      <c r="O832" s="18">
        <v>533</v>
      </c>
      <c r="P832" s="18">
        <v>570</v>
      </c>
      <c r="Q832" s="15"/>
      <c r="R832" t="s" s="16">
        <f>HYPERLINK("http://secrets.rutgers.edu:8080/data/asl-ftp/asllvd/demos/verify_start_end_handshape_annotations//test_auto_move//signs_mov_separ_signers/Naomi_182.mov","MOV")</f>
        <v>21</v>
      </c>
    </row>
    <row r="833" s="2" customFormat="1" ht="13.5" customHeight="1">
      <c r="B833" s="13"/>
      <c r="C833" t="s" s="9">
        <v>30</v>
      </c>
      <c r="D833" t="s" s="8">
        <v>354</v>
      </c>
      <c r="E833" t="s" s="9">
        <v>354</v>
      </c>
      <c r="F833" t="s" s="10">
        <v>68</v>
      </c>
      <c r="G833" t="s" s="11">
        <v>68</v>
      </c>
      <c r="H833" t="s" s="10">
        <v>72</v>
      </c>
      <c r="I833" t="s" s="11">
        <v>72</v>
      </c>
      <c r="J833" t="s" s="11">
        <v>20</v>
      </c>
      <c r="K833" s="15"/>
      <c r="L833" t="s" s="16">
        <f>HYPERLINK("http://csr.bu.edu/ftp/asl/asllvd/demos/verify_start_end_handshape_annotations//test_auto_move//signs_mov_separ_signers/Brady_182.mov","MOV")</f>
        <v>21</v>
      </c>
      <c r="M833" t="s" s="10">
        <v>31</v>
      </c>
      <c r="N833" s="17">
        <v>15</v>
      </c>
      <c r="O833" s="18">
        <v>7740</v>
      </c>
      <c r="P833" s="18">
        <v>7774</v>
      </c>
      <c r="Q833" s="15"/>
      <c r="R833" t="s" s="16">
        <f>HYPERLINK("http://secrets.rutgers.edu:8080/data/asl-ftp/asllvd/demos/verify_start_end_handshape_annotations//test_auto_move//signs_mov_separ_signers/Brady_182.mov","MOV")</f>
        <v>21</v>
      </c>
    </row>
    <row r="834" s="2" customFormat="1" ht="13.5" customHeight="1">
      <c r="B834" t="s" s="8">
        <v>355</v>
      </c>
      <c r="C834" t="s" s="9">
        <v>14</v>
      </c>
      <c r="D834" t="s" s="8">
        <v>14</v>
      </c>
      <c r="E834" t="s" s="9">
        <v>14</v>
      </c>
      <c r="F834" t="s" s="10">
        <v>14</v>
      </c>
      <c r="G834" t="s" s="11">
        <v>14</v>
      </c>
      <c r="H834" t="s" s="10">
        <v>14</v>
      </c>
      <c r="I834" t="s" s="11">
        <v>14</v>
      </c>
      <c r="J834" t="s" s="11">
        <v>14</v>
      </c>
      <c r="K834" t="s" s="12">
        <v>14</v>
      </c>
      <c r="L834" t="s" s="12">
        <v>14</v>
      </c>
      <c r="M834" t="s" s="10">
        <v>14</v>
      </c>
      <c r="N834" t="s" s="11">
        <v>14</v>
      </c>
      <c r="O834" t="s" s="8">
        <v>14</v>
      </c>
      <c r="P834" t="s" s="8">
        <v>14</v>
      </c>
      <c r="Q834" t="s" s="12">
        <v>14</v>
      </c>
      <c r="R834" t="s" s="12">
        <v>14</v>
      </c>
    </row>
    <row r="835" s="2" customFormat="1" ht="13.5" customHeight="1">
      <c r="B835" s="13"/>
      <c r="C835" t="s" s="9">
        <v>16</v>
      </c>
      <c r="D835" t="s" s="8">
        <v>355</v>
      </c>
      <c r="E835" t="s" s="9">
        <v>355</v>
      </c>
      <c r="F835" t="s" s="10">
        <v>260</v>
      </c>
      <c r="G835" s="14"/>
      <c r="H835" t="s" s="10">
        <v>260</v>
      </c>
      <c r="I835" s="14"/>
      <c r="J835" t="s" s="11">
        <v>20</v>
      </c>
      <c r="K835" s="15"/>
      <c r="L835" t="s" s="16">
        <f>HYPERLINK("http://csr.bu.edu/ftp/asl/asllvd/demos/verify_start_end_handshape_annotations//test_auto_move//signs_mov_separ_signers/Liz_184.mov","MOV")</f>
        <v>21</v>
      </c>
      <c r="M835" t="s" s="10">
        <v>22</v>
      </c>
      <c r="N835" s="17">
        <v>31</v>
      </c>
      <c r="O835" s="18">
        <v>550</v>
      </c>
      <c r="P835" s="18">
        <v>585</v>
      </c>
      <c r="Q835" s="15"/>
      <c r="R835" t="s" s="16">
        <f>HYPERLINK("http://secrets.rutgers.edu:8080/data/asl-ftp/asllvd/demos/verify_start_end_handshape_annotations//test_auto_move//signs_mov_separ_signers/Liz_184.mov","MOV")</f>
        <v>21</v>
      </c>
    </row>
    <row r="836" s="2" customFormat="1" ht="13.5" customHeight="1">
      <c r="B836" s="13"/>
      <c r="C836" t="s" s="9">
        <v>27</v>
      </c>
      <c r="D836" t="s" s="8">
        <v>355</v>
      </c>
      <c r="E836" t="s" s="9">
        <v>355</v>
      </c>
      <c r="F836" t="s" s="10">
        <v>260</v>
      </c>
      <c r="G836" s="14"/>
      <c r="H836" t="s" s="10">
        <v>260</v>
      </c>
      <c r="I836" s="14"/>
      <c r="J836" t="s" s="11">
        <v>20</v>
      </c>
      <c r="K836" s="15"/>
      <c r="L836" t="s" s="16">
        <f>HYPERLINK("http://csr.bu.edu/ftp/asl/asllvd/demos/verify_start_end_handshape_annotations//test_auto_move//signs_mov_separ_signers/Naomi_184.mov","MOV")</f>
        <v>21</v>
      </c>
      <c r="M836" t="s" s="10">
        <v>29</v>
      </c>
      <c r="N836" s="17">
        <v>20</v>
      </c>
      <c r="O836" s="18">
        <v>1107</v>
      </c>
      <c r="P836" s="18">
        <v>1126</v>
      </c>
      <c r="Q836" s="15"/>
      <c r="R836" t="s" s="16">
        <f>HYPERLINK("http://secrets.rutgers.edu:8080/data/asl-ftp/asllvd/demos/verify_start_end_handshape_annotations//test_auto_move//signs_mov_separ_signers/Naomi_184.mov","MOV")</f>
        <v>21</v>
      </c>
    </row>
    <row r="837" s="2" customFormat="1" ht="13.5" customHeight="1">
      <c r="B837" s="13"/>
      <c r="C837" t="s" s="9">
        <v>30</v>
      </c>
      <c r="D837" t="s" s="8">
        <v>355</v>
      </c>
      <c r="E837" t="s" s="9">
        <v>355</v>
      </c>
      <c r="F837" t="s" s="10">
        <v>152</v>
      </c>
      <c r="G837" s="14"/>
      <c r="H837" t="s" s="10">
        <v>152</v>
      </c>
      <c r="I837" s="14"/>
      <c r="J837" t="s" s="11">
        <v>20</v>
      </c>
      <c r="K837" t="s" s="16">
        <f>HYPERLINK("http://csr.bu.edu/ftp/asl/asllvd/demos/verify_start_end_handshape_annotations//test_auto_move//signs_mov/184.mov","MOV")</f>
        <v>21</v>
      </c>
      <c r="L837" t="s" s="16">
        <f>HYPERLINK("http://csr.bu.edu/ftp/asl/asllvd/demos/verify_start_end_handshape_annotations//test_auto_move//signs_mov_separ_signers/Brady_184.mov","MOV")</f>
        <v>21</v>
      </c>
      <c r="M837" t="s" s="10">
        <v>31</v>
      </c>
      <c r="N837" s="17">
        <v>16</v>
      </c>
      <c r="O837" s="18">
        <v>1080</v>
      </c>
      <c r="P837" s="18">
        <v>1105</v>
      </c>
      <c r="Q837" t="s" s="16">
        <f>HYPERLINK("http://secrets.rutgers.edu:8080/data/asl-ftp/asllvd/demos/verify_start_end_handshape_annotations//test_auto_move//signs_mov/184.mov","MOV")</f>
        <v>21</v>
      </c>
      <c r="R837" t="s" s="16">
        <f>HYPERLINK("http://secrets.rutgers.edu:8080/data/asl-ftp/asllvd/demos/verify_start_end_handshape_annotations//test_auto_move//signs_mov_separ_signers/Brady_184.mov","MOV")</f>
        <v>21</v>
      </c>
    </row>
    <row r="838" s="2" customFormat="1" ht="13.5" customHeight="1">
      <c r="B838" s="13"/>
      <c r="C838" t="s" s="9">
        <v>41</v>
      </c>
      <c r="D838" t="s" s="8">
        <v>355</v>
      </c>
      <c r="E838" t="s" s="9">
        <v>355</v>
      </c>
      <c r="F838" t="s" s="10">
        <v>55</v>
      </c>
      <c r="G838" s="14"/>
      <c r="H838" t="s" s="10">
        <v>55</v>
      </c>
      <c r="I838" s="14"/>
      <c r="J838" t="s" s="11">
        <v>20</v>
      </c>
      <c r="K838" s="15"/>
      <c r="L838" t="s" s="16">
        <f>HYPERLINK("http://csr.bu.edu/ftp/asl/asllvd/demos/verify_start_end_handshape_annotations//test_auto_move//signs_mov_separ_signers/Lana_184.mov","MOV")</f>
        <v>21</v>
      </c>
      <c r="M838" t="s" s="10">
        <v>42</v>
      </c>
      <c r="N838" s="17">
        <v>3</v>
      </c>
      <c r="O838" s="18">
        <v>2476</v>
      </c>
      <c r="P838" s="18">
        <v>2505</v>
      </c>
      <c r="Q838" s="15"/>
      <c r="R838" t="s" s="16">
        <f>HYPERLINK("http://secrets.rutgers.edu:8080/data/asl-ftp/asllvd/demos/verify_start_end_handshape_annotations//test_auto_move//signs_mov_separ_signers/Lana_184.mov","MOV")</f>
        <v>21</v>
      </c>
    </row>
    <row r="839" s="2" customFormat="1" ht="13.5" customHeight="1">
      <c r="B839" s="13"/>
      <c r="C839" t="s" s="9">
        <v>43</v>
      </c>
      <c r="D839" t="s" s="8">
        <v>355</v>
      </c>
      <c r="E839" t="s" s="9">
        <v>355</v>
      </c>
      <c r="F839" t="s" s="10">
        <v>152</v>
      </c>
      <c r="G839" s="14"/>
      <c r="H839" t="s" s="10">
        <v>152</v>
      </c>
      <c r="I839" s="14"/>
      <c r="J839" t="s" s="11">
        <v>20</v>
      </c>
      <c r="K839" s="15"/>
      <c r="L839" t="s" s="16">
        <f>HYPERLINK("http://csr.bu.edu/ftp/asl/asllvd/demos/verify_start_end_handshape_annotations//test_auto_move//signs_mov_separ_signers/Dana_184.mov","MOV")</f>
        <v>21</v>
      </c>
      <c r="M839" t="s" s="10">
        <v>44</v>
      </c>
      <c r="N839" s="17">
        <v>7</v>
      </c>
      <c r="O839" s="18">
        <v>2581</v>
      </c>
      <c r="P839" s="18">
        <v>2631</v>
      </c>
      <c r="Q839" s="15"/>
      <c r="R839" t="s" s="16">
        <f>HYPERLINK("http://secrets.rutgers.edu:8080/data/asl-ftp/asllvd/demos/verify_start_end_handshape_annotations//test_auto_move//signs_mov_separ_signers/Dana_184.mov","MOV")</f>
        <v>21</v>
      </c>
    </row>
    <row r="840" s="2" customFormat="1" ht="13.5" customHeight="1">
      <c r="B840" t="s" s="8">
        <v>356</v>
      </c>
      <c r="C840" t="s" s="9">
        <v>14</v>
      </c>
      <c r="D840" t="s" s="8">
        <v>14</v>
      </c>
      <c r="E840" t="s" s="9">
        <v>14</v>
      </c>
      <c r="F840" t="s" s="10">
        <v>14</v>
      </c>
      <c r="G840" t="s" s="11">
        <v>14</v>
      </c>
      <c r="H840" t="s" s="10">
        <v>14</v>
      </c>
      <c r="I840" t="s" s="11">
        <v>14</v>
      </c>
      <c r="J840" t="s" s="11">
        <v>14</v>
      </c>
      <c r="K840" t="s" s="12">
        <v>14</v>
      </c>
      <c r="L840" t="s" s="12">
        <v>14</v>
      </c>
      <c r="M840" t="s" s="10">
        <v>14</v>
      </c>
      <c r="N840" t="s" s="11">
        <v>14</v>
      </c>
      <c r="O840" t="s" s="8">
        <v>14</v>
      </c>
      <c r="P840" t="s" s="8">
        <v>14</v>
      </c>
      <c r="Q840" t="s" s="12">
        <v>14</v>
      </c>
      <c r="R840" t="s" s="12">
        <v>14</v>
      </c>
    </row>
    <row r="841" s="2" customFormat="1" ht="13.5" customHeight="1">
      <c r="B841" s="13"/>
      <c r="C841" t="s" s="9">
        <v>16</v>
      </c>
      <c r="D841" t="s" s="8">
        <v>356</v>
      </c>
      <c r="E841" t="s" s="9">
        <v>356</v>
      </c>
      <c r="F841" t="s" s="10">
        <v>63</v>
      </c>
      <c r="G841" s="17">
        <v>1</v>
      </c>
      <c r="H841" t="s" s="10">
        <v>63</v>
      </c>
      <c r="I841" s="17">
        <v>1</v>
      </c>
      <c r="J841" t="s" s="11">
        <v>20</v>
      </c>
      <c r="K841" s="15"/>
      <c r="L841" t="s" s="16">
        <f>HYPERLINK("http://csr.bu.edu/ftp/asl/asllvd/demos/verify_start_end_handshape_annotations//test_auto_move//signs_mov_separ_signers/Liz_185.mov","MOV")</f>
        <v>21</v>
      </c>
      <c r="M841" t="s" s="10">
        <v>22</v>
      </c>
      <c r="N841" s="17">
        <v>31</v>
      </c>
      <c r="O841" s="18">
        <v>795</v>
      </c>
      <c r="P841" s="18">
        <v>851</v>
      </c>
      <c r="Q841" s="15"/>
      <c r="R841" t="s" s="16">
        <f>HYPERLINK("http://secrets.rutgers.edu:8080/data/asl-ftp/asllvd/demos/verify_start_end_handshape_annotations//test_auto_move//signs_mov_separ_signers/Liz_185.mov","MOV")</f>
        <v>21</v>
      </c>
    </row>
    <row r="842" s="2" customFormat="1" ht="13.5" customHeight="1">
      <c r="B842" s="13"/>
      <c r="C842" t="s" s="9">
        <v>16</v>
      </c>
      <c r="D842" t="s" s="8">
        <v>356</v>
      </c>
      <c r="E842" t="s" s="9">
        <v>356</v>
      </c>
      <c r="F842" t="s" s="10">
        <v>28</v>
      </c>
      <c r="G842" s="17">
        <v>1</v>
      </c>
      <c r="H842" t="s" s="10">
        <v>28</v>
      </c>
      <c r="I842" s="17">
        <v>1</v>
      </c>
      <c r="J842" t="s" s="11">
        <v>20</v>
      </c>
      <c r="K842" s="15"/>
      <c r="L842" t="s" s="16">
        <f>HYPERLINK("http://csr.bu.edu/ftp/asl/asllvd/demos/verify_start_end_handshape_annotations//test_auto_move//signs_mov_separ_signers/Liz_3710.mov","MOV")</f>
        <v>21</v>
      </c>
      <c r="M842" t="s" s="10">
        <v>88</v>
      </c>
      <c r="N842" s="17">
        <v>33</v>
      </c>
      <c r="O842" s="18">
        <v>3945</v>
      </c>
      <c r="P842" s="18">
        <v>4000</v>
      </c>
      <c r="Q842" s="15"/>
      <c r="R842" t="s" s="16">
        <f>HYPERLINK("http://secrets.rutgers.edu:8080/data/asl-ftp/asllvd/demos/verify_start_end_handshape_annotations//test_auto_move//signs_mov_separ_signers/Liz_3710.mov","MOV")</f>
        <v>21</v>
      </c>
    </row>
    <row r="843" s="2" customFormat="1" ht="13.5" customHeight="1">
      <c r="B843" s="13"/>
      <c r="C843" t="s" s="9">
        <v>23</v>
      </c>
      <c r="D843" t="s" s="8">
        <v>356</v>
      </c>
      <c r="E843" t="s" s="9">
        <v>356</v>
      </c>
      <c r="F843" t="s" s="10">
        <v>28</v>
      </c>
      <c r="G843" s="17">
        <v>1</v>
      </c>
      <c r="H843" t="s" s="10">
        <v>28</v>
      </c>
      <c r="I843" s="17">
        <v>1</v>
      </c>
      <c r="J843" t="s" s="11">
        <v>20</v>
      </c>
      <c r="K843" t="s" s="16">
        <f>HYPERLINK("http://csr.bu.edu/ftp/asl/asllvd/demos/verify_start_end_handshape_annotations//test_auto_move//signs_mov/185_3710_merged.mov","MOV")</f>
        <v>21</v>
      </c>
      <c r="L843" t="s" s="16">
        <f>HYPERLINK("http://csr.bu.edu/ftp/asl/asllvd/demos/verify_start_end_handshape_annotations//test_auto_move//signs_mov_separ_signers/Tyler_185.mov","MOV")</f>
        <v>21</v>
      </c>
      <c r="M843" t="s" s="10">
        <v>26</v>
      </c>
      <c r="N843" s="17">
        <v>20</v>
      </c>
      <c r="O843" s="18">
        <v>2005</v>
      </c>
      <c r="P843" s="18">
        <v>2075</v>
      </c>
      <c r="Q843" t="s" s="16">
        <f>HYPERLINK("http://secrets.rutgers.edu:8080/data/asl-ftp/asllvd/demos/verify_start_end_handshape_annotations//test_auto_move//signs_mov/185_3710_merged.mov","MOV")</f>
        <v>21</v>
      </c>
      <c r="R843" t="s" s="16">
        <f>HYPERLINK("http://secrets.rutgers.edu:8080/data/asl-ftp/asllvd/demos/verify_start_end_handshape_annotations//test_auto_move//signs_mov_separ_signers/Tyler_185.mov","MOV")</f>
        <v>21</v>
      </c>
    </row>
    <row r="844" s="2" customFormat="1" ht="13.5" customHeight="1">
      <c r="B844" s="13"/>
      <c r="C844" t="s" s="9">
        <v>27</v>
      </c>
      <c r="D844" t="s" s="8">
        <v>356</v>
      </c>
      <c r="E844" t="s" s="9">
        <v>356</v>
      </c>
      <c r="F844" t="s" s="10">
        <v>65</v>
      </c>
      <c r="G844" t="s" s="11">
        <v>51</v>
      </c>
      <c r="H844" t="s" s="10">
        <v>65</v>
      </c>
      <c r="I844" t="s" s="11">
        <v>51</v>
      </c>
      <c r="J844" t="s" s="11">
        <v>20</v>
      </c>
      <c r="K844" s="15"/>
      <c r="L844" t="s" s="16">
        <f>HYPERLINK("http://csr.bu.edu/ftp/asl/asllvd/demos/verify_start_end_handshape_annotations//test_auto_move//signs_mov_separ_signers/Naomi_185.mov","MOV")</f>
        <v>21</v>
      </c>
      <c r="M844" t="s" s="10">
        <v>29</v>
      </c>
      <c r="N844" s="17">
        <v>20</v>
      </c>
      <c r="O844" s="18">
        <v>1350</v>
      </c>
      <c r="P844" s="18">
        <v>1410</v>
      </c>
      <c r="Q844" s="15"/>
      <c r="R844" t="s" s="16">
        <f>HYPERLINK("http://secrets.rutgers.edu:8080/data/asl-ftp/asllvd/demos/verify_start_end_handshape_annotations//test_auto_move//signs_mov_separ_signers/Naomi_185.mov","MOV")</f>
        <v>21</v>
      </c>
    </row>
    <row r="845" s="2" customFormat="1" ht="13.5" customHeight="1">
      <c r="B845" s="13"/>
      <c r="C845" t="s" s="9">
        <v>30</v>
      </c>
      <c r="D845" t="s" s="8">
        <v>356</v>
      </c>
      <c r="E845" t="s" s="9">
        <v>356</v>
      </c>
      <c r="F845" t="s" s="10">
        <v>28</v>
      </c>
      <c r="G845" s="17">
        <v>1</v>
      </c>
      <c r="H845" t="s" s="10">
        <v>28</v>
      </c>
      <c r="I845" s="17">
        <v>1</v>
      </c>
      <c r="J845" t="s" s="11">
        <v>20</v>
      </c>
      <c r="K845" s="15"/>
      <c r="L845" t="s" s="16">
        <f>HYPERLINK("http://csr.bu.edu/ftp/asl/asllvd/demos/verify_start_end_handshape_annotations//test_auto_move//signs_mov_separ_signers/Brady_185.mov","MOV")</f>
        <v>21</v>
      </c>
      <c r="M845" t="s" s="10">
        <v>31</v>
      </c>
      <c r="N845" s="17">
        <v>16</v>
      </c>
      <c r="O845" s="18">
        <v>2103</v>
      </c>
      <c r="P845" s="18">
        <v>2136</v>
      </c>
      <c r="Q845" s="15"/>
      <c r="R845" t="s" s="16">
        <f>HYPERLINK("http://secrets.rutgers.edu:8080/data/asl-ftp/asllvd/demos/verify_start_end_handshape_annotations//test_auto_move//signs_mov_separ_signers/Brady_185.mov","MOV")</f>
        <v>21</v>
      </c>
    </row>
    <row r="846" s="2" customFormat="1" ht="13.5" customHeight="1">
      <c r="B846" s="13"/>
      <c r="C846" t="s" s="9">
        <v>30</v>
      </c>
      <c r="D846" t="s" s="8">
        <v>356</v>
      </c>
      <c r="E846" t="s" s="9">
        <v>356</v>
      </c>
      <c r="F846" t="s" s="10">
        <v>28</v>
      </c>
      <c r="G846" s="17">
        <v>1</v>
      </c>
      <c r="H846" t="s" s="10">
        <v>28</v>
      </c>
      <c r="I846" s="17">
        <v>1</v>
      </c>
      <c r="J846" t="s" s="11">
        <v>20</v>
      </c>
      <c r="K846" s="15"/>
      <c r="L846" t="s" s="16">
        <f>HYPERLINK("http://csr.bu.edu/ftp/asl/asllvd/demos/verify_start_end_handshape_annotations//test_auto_move//signs_mov_separ_signers/Brady_3710.mov","MOV")</f>
        <v>21</v>
      </c>
      <c r="M846" t="s" s="10">
        <v>40</v>
      </c>
      <c r="N846" s="17">
        <v>28</v>
      </c>
      <c r="O846" s="18">
        <v>2803</v>
      </c>
      <c r="P846" s="18">
        <v>2861</v>
      </c>
      <c r="Q846" s="15"/>
      <c r="R846" t="s" s="16">
        <f>HYPERLINK("http://secrets.rutgers.edu:8080/data/asl-ftp/asllvd/demos/verify_start_end_handshape_annotations//test_auto_move//signs_mov_separ_signers/Brady_3710.mov","MOV")</f>
        <v>21</v>
      </c>
    </row>
    <row r="847" s="2" customFormat="1" ht="13.5" customHeight="1">
      <c r="B847" t="s" s="8">
        <v>357</v>
      </c>
      <c r="C847" t="s" s="9">
        <v>14</v>
      </c>
      <c r="D847" t="s" s="8">
        <v>14</v>
      </c>
      <c r="E847" t="s" s="9">
        <v>14</v>
      </c>
      <c r="F847" t="s" s="10">
        <v>14</v>
      </c>
      <c r="G847" t="s" s="11">
        <v>14</v>
      </c>
      <c r="H847" t="s" s="10">
        <v>14</v>
      </c>
      <c r="I847" t="s" s="11">
        <v>14</v>
      </c>
      <c r="J847" t="s" s="11">
        <v>14</v>
      </c>
      <c r="K847" t="s" s="12">
        <v>14</v>
      </c>
      <c r="L847" t="s" s="12">
        <v>14</v>
      </c>
      <c r="M847" t="s" s="10">
        <v>14</v>
      </c>
      <c r="N847" t="s" s="11">
        <v>14</v>
      </c>
      <c r="O847" t="s" s="8">
        <v>14</v>
      </c>
      <c r="P847" t="s" s="8">
        <v>14</v>
      </c>
      <c r="Q847" t="s" s="12">
        <v>14</v>
      </c>
      <c r="R847" t="s" s="12">
        <v>14</v>
      </c>
    </row>
    <row r="848" s="2" customFormat="1" ht="13.5" customHeight="1">
      <c r="B848" s="13"/>
      <c r="C848" t="s" s="9">
        <v>16</v>
      </c>
      <c r="D848" t="s" s="8">
        <v>357</v>
      </c>
      <c r="E848" t="s" s="9">
        <v>357</v>
      </c>
      <c r="F848" t="s" s="10">
        <v>240</v>
      </c>
      <c r="G848" t="s" s="11">
        <v>55</v>
      </c>
      <c r="H848" t="s" s="10">
        <v>240</v>
      </c>
      <c r="I848" t="s" s="11">
        <v>55</v>
      </c>
      <c r="J848" t="s" s="11">
        <v>20</v>
      </c>
      <c r="K848" s="15"/>
      <c r="L848" t="s" s="16">
        <f>HYPERLINK("http://csr.bu.edu/ftp/asl/asllvd/demos/verify_start_end_handshape_annotations//test_auto_move//signs_mov_separ_signers/Liz_186.mov","MOV")</f>
        <v>21</v>
      </c>
      <c r="M848" t="s" s="10">
        <v>22</v>
      </c>
      <c r="N848" s="17">
        <v>31</v>
      </c>
      <c r="O848" s="18">
        <v>1015</v>
      </c>
      <c r="P848" s="18">
        <v>1055</v>
      </c>
      <c r="Q848" s="15"/>
      <c r="R848" t="s" s="16">
        <f>HYPERLINK("http://secrets.rutgers.edu:8080/data/asl-ftp/asllvd/demos/verify_start_end_handshape_annotations//test_auto_move//signs_mov_separ_signers/Liz_186.mov","MOV")</f>
        <v>21</v>
      </c>
    </row>
    <row r="849" s="2" customFormat="1" ht="13.5" customHeight="1">
      <c r="B849" s="13"/>
      <c r="C849" t="s" s="9">
        <v>23</v>
      </c>
      <c r="D849" t="s" s="8">
        <v>357</v>
      </c>
      <c r="E849" t="s" s="9">
        <v>357</v>
      </c>
      <c r="F849" t="s" s="10">
        <v>240</v>
      </c>
      <c r="G849" t="s" s="11">
        <v>105</v>
      </c>
      <c r="H849" t="s" s="10">
        <v>240</v>
      </c>
      <c r="I849" t="s" s="11">
        <v>105</v>
      </c>
      <c r="J849" t="s" s="11">
        <v>20</v>
      </c>
      <c r="K849" t="s" s="16">
        <f>HYPERLINK("http://csr.bu.edu/ftp/asl/asllvd/demos/verify_start_end_handshape_annotations//test_auto_move//signs_mov/186.mov","MOV")</f>
        <v>21</v>
      </c>
      <c r="L849" t="s" s="16">
        <f>HYPERLINK("http://csr.bu.edu/ftp/asl/asllvd/demos/verify_start_end_handshape_annotations//test_auto_move//signs_mov_separ_signers/Tyler_186.mov","MOV")</f>
        <v>21</v>
      </c>
      <c r="M849" t="s" s="10">
        <v>26</v>
      </c>
      <c r="N849" s="17">
        <v>20</v>
      </c>
      <c r="O849" s="18">
        <v>2230</v>
      </c>
      <c r="P849" s="18">
        <v>2260</v>
      </c>
      <c r="Q849" t="s" s="16">
        <f>HYPERLINK("http://secrets.rutgers.edu:8080/data/asl-ftp/asllvd/demos/verify_start_end_handshape_annotations//test_auto_move//signs_mov/186.mov","MOV")</f>
        <v>21</v>
      </c>
      <c r="R849" t="s" s="16">
        <f>HYPERLINK("http://secrets.rutgers.edu:8080/data/asl-ftp/asllvd/demos/verify_start_end_handshape_annotations//test_auto_move//signs_mov_separ_signers/Tyler_186.mov","MOV")</f>
        <v>21</v>
      </c>
    </row>
    <row r="850" s="2" customFormat="1" ht="13.5" customHeight="1">
      <c r="B850" s="13"/>
      <c r="C850" t="s" s="9">
        <v>27</v>
      </c>
      <c r="D850" t="s" s="8">
        <v>357</v>
      </c>
      <c r="E850" t="s" s="9">
        <v>357</v>
      </c>
      <c r="F850" t="s" s="10">
        <v>240</v>
      </c>
      <c r="G850" t="s" s="11">
        <v>55</v>
      </c>
      <c r="H850" t="s" s="10">
        <v>240</v>
      </c>
      <c r="I850" t="s" s="11">
        <v>55</v>
      </c>
      <c r="J850" t="s" s="11">
        <v>20</v>
      </c>
      <c r="K850" s="15"/>
      <c r="L850" t="s" s="16">
        <f>HYPERLINK("http://csr.bu.edu/ftp/asl/asllvd/demos/verify_start_end_handshape_annotations//test_auto_move//signs_mov_separ_signers/Naomi_186.mov","MOV")</f>
        <v>21</v>
      </c>
      <c r="M850" t="s" s="10">
        <v>29</v>
      </c>
      <c r="N850" s="17">
        <v>20</v>
      </c>
      <c r="O850" s="18">
        <v>1597</v>
      </c>
      <c r="P850" s="18">
        <v>1630</v>
      </c>
      <c r="Q850" s="15"/>
      <c r="R850" t="s" s="16">
        <f>HYPERLINK("http://secrets.rutgers.edu:8080/data/asl-ftp/asllvd/demos/verify_start_end_handshape_annotations//test_auto_move//signs_mov_separ_signers/Naomi_186.mov","MOV")</f>
        <v>21</v>
      </c>
    </row>
    <row r="851" s="2" customFormat="1" ht="13.5" customHeight="1">
      <c r="B851" s="13"/>
      <c r="C851" t="s" s="9">
        <v>30</v>
      </c>
      <c r="D851" t="s" s="8">
        <v>357</v>
      </c>
      <c r="E851" t="s" s="9">
        <v>357</v>
      </c>
      <c r="F851" t="s" s="10">
        <v>240</v>
      </c>
      <c r="G851" t="s" s="11">
        <v>68</v>
      </c>
      <c r="H851" t="s" s="10">
        <v>240</v>
      </c>
      <c r="I851" t="s" s="11">
        <v>68</v>
      </c>
      <c r="J851" t="s" s="11">
        <v>20</v>
      </c>
      <c r="K851" s="15"/>
      <c r="L851" t="s" s="16">
        <f>HYPERLINK("http://csr.bu.edu/ftp/asl/asllvd/demos/verify_start_end_handshape_annotations//test_auto_move//signs_mov_separ_signers/Brady_186.mov","MOV")</f>
        <v>21</v>
      </c>
      <c r="M851" t="s" s="10">
        <v>31</v>
      </c>
      <c r="N851" s="17">
        <v>16</v>
      </c>
      <c r="O851" s="18">
        <v>2469</v>
      </c>
      <c r="P851" s="18">
        <v>2484</v>
      </c>
      <c r="Q851" s="15"/>
      <c r="R851" t="s" s="16">
        <f>HYPERLINK("http://secrets.rutgers.edu:8080/data/asl-ftp/asllvd/demos/verify_start_end_handshape_annotations//test_auto_move//signs_mov_separ_signers/Brady_186.mov","MOV")</f>
        <v>21</v>
      </c>
    </row>
    <row r="852" s="2" customFormat="1" ht="13.5" customHeight="1">
      <c r="B852" t="s" s="8">
        <v>358</v>
      </c>
      <c r="C852" t="s" s="9">
        <v>14</v>
      </c>
      <c r="D852" t="s" s="8">
        <v>14</v>
      </c>
      <c r="E852" t="s" s="9">
        <v>14</v>
      </c>
      <c r="F852" t="s" s="10">
        <v>14</v>
      </c>
      <c r="G852" t="s" s="11">
        <v>14</v>
      </c>
      <c r="H852" t="s" s="10">
        <v>14</v>
      </c>
      <c r="I852" t="s" s="11">
        <v>14</v>
      </c>
      <c r="J852" t="s" s="11">
        <v>14</v>
      </c>
      <c r="K852" t="s" s="12">
        <v>14</v>
      </c>
      <c r="L852" t="s" s="12">
        <v>14</v>
      </c>
      <c r="M852" t="s" s="10">
        <v>14</v>
      </c>
      <c r="N852" t="s" s="11">
        <v>14</v>
      </c>
      <c r="O852" t="s" s="8">
        <v>14</v>
      </c>
      <c r="P852" t="s" s="8">
        <v>14</v>
      </c>
      <c r="Q852" t="s" s="12">
        <v>14</v>
      </c>
      <c r="R852" t="s" s="12">
        <v>14</v>
      </c>
    </row>
    <row r="853" s="2" customFormat="1" ht="13.5" customHeight="1">
      <c r="B853" s="13"/>
      <c r="C853" t="s" s="9">
        <v>30</v>
      </c>
      <c r="D853" t="s" s="8">
        <v>358</v>
      </c>
      <c r="E853" t="s" s="9">
        <v>358</v>
      </c>
      <c r="F853" t="s" s="10">
        <v>73</v>
      </c>
      <c r="G853" s="14"/>
      <c r="H853" t="s" s="10">
        <v>150</v>
      </c>
      <c r="I853" s="14"/>
      <c r="J853" t="s" s="11">
        <v>20</v>
      </c>
      <c r="K853" t="s" s="16">
        <f>HYPERLINK("http://csr.bu.edu/ftp/asl/asllvd/demos/verify_start_end_handshape_annotations//test_auto_move//signs_mov/187.mov","MOV")</f>
        <v>21</v>
      </c>
      <c r="L853" t="s" s="16">
        <f>HYPERLINK("http://csr.bu.edu/ftp/asl/asllvd/demos/verify_start_end_handshape_annotations//test_auto_move//signs_mov_separ_signers/Brady_187.mov","MOV")</f>
        <v>21</v>
      </c>
      <c r="M853" t="s" s="10">
        <v>31</v>
      </c>
      <c r="N853" s="17">
        <v>16</v>
      </c>
      <c r="O853" s="18">
        <v>4558</v>
      </c>
      <c r="P853" s="18">
        <v>4588</v>
      </c>
      <c r="Q853" t="s" s="16">
        <f>HYPERLINK("http://secrets.rutgers.edu:8080/data/asl-ftp/asllvd/demos/verify_start_end_handshape_annotations//test_auto_move//signs_mov/187.mov","MOV")</f>
        <v>21</v>
      </c>
      <c r="R853" t="s" s="16">
        <f>HYPERLINK("http://secrets.rutgers.edu:8080/data/asl-ftp/asllvd/demos/verify_start_end_handshape_annotations//test_auto_move//signs_mov_separ_signers/Brady_187.mov","MOV")</f>
        <v>21</v>
      </c>
    </row>
    <row r="854" s="2" customFormat="1" ht="13.5" customHeight="1">
      <c r="B854" t="s" s="8">
        <v>359</v>
      </c>
      <c r="C854" t="s" s="9">
        <v>14</v>
      </c>
      <c r="D854" t="s" s="8">
        <v>14</v>
      </c>
      <c r="E854" t="s" s="9">
        <v>14</v>
      </c>
      <c r="F854" t="s" s="10">
        <v>14</v>
      </c>
      <c r="G854" t="s" s="11">
        <v>14</v>
      </c>
      <c r="H854" t="s" s="10">
        <v>14</v>
      </c>
      <c r="I854" t="s" s="11">
        <v>14</v>
      </c>
      <c r="J854" t="s" s="11">
        <v>14</v>
      </c>
      <c r="K854" t="s" s="12">
        <v>14</v>
      </c>
      <c r="L854" t="s" s="12">
        <v>14</v>
      </c>
      <c r="M854" t="s" s="10">
        <v>14</v>
      </c>
      <c r="N854" t="s" s="11">
        <v>14</v>
      </c>
      <c r="O854" t="s" s="8">
        <v>14</v>
      </c>
      <c r="P854" t="s" s="8">
        <v>14</v>
      </c>
      <c r="Q854" t="s" s="12">
        <v>14</v>
      </c>
      <c r="R854" t="s" s="12">
        <v>14</v>
      </c>
    </row>
    <row r="855" s="2" customFormat="1" ht="13.5" customHeight="1">
      <c r="B855" s="13"/>
      <c r="C855" t="s" s="9">
        <v>16</v>
      </c>
      <c r="D855" t="s" s="8">
        <v>359</v>
      </c>
      <c r="E855" t="s" s="9">
        <v>359</v>
      </c>
      <c r="F855" s="19">
        <v>10</v>
      </c>
      <c r="G855" s="17">
        <v>10</v>
      </c>
      <c r="H855" s="19">
        <v>10</v>
      </c>
      <c r="I855" s="17">
        <v>10</v>
      </c>
      <c r="J855" t="s" s="11">
        <v>20</v>
      </c>
      <c r="K855" s="15"/>
      <c r="L855" t="s" s="16">
        <f>HYPERLINK("http://csr.bu.edu/ftp/asl/asllvd/demos/verify_start_end_handshape_annotations//test_auto_move//signs_mov_separ_signers/Liz_188.mov","MOV")</f>
        <v>21</v>
      </c>
      <c r="M855" t="s" s="10">
        <v>22</v>
      </c>
      <c r="N855" s="17">
        <v>31</v>
      </c>
      <c r="O855" s="18">
        <v>1446</v>
      </c>
      <c r="P855" s="18">
        <v>1505</v>
      </c>
      <c r="Q855" s="15"/>
      <c r="R855" t="s" s="16">
        <f>HYPERLINK("http://secrets.rutgers.edu:8080/data/asl-ftp/asllvd/demos/verify_start_end_handshape_annotations//test_auto_move//signs_mov_separ_signers/Liz_188.mov","MOV")</f>
        <v>21</v>
      </c>
    </row>
    <row r="856" s="2" customFormat="1" ht="13.5" customHeight="1">
      <c r="B856" s="13"/>
      <c r="C856" t="s" s="9">
        <v>23</v>
      </c>
      <c r="D856" t="s" s="8">
        <v>359</v>
      </c>
      <c r="E856" t="s" s="9">
        <v>359</v>
      </c>
      <c r="F856" s="19">
        <v>10</v>
      </c>
      <c r="G856" s="17">
        <v>10</v>
      </c>
      <c r="H856" s="19">
        <v>10</v>
      </c>
      <c r="I856" s="17">
        <v>10</v>
      </c>
      <c r="J856" t="s" s="11">
        <v>20</v>
      </c>
      <c r="K856" t="s" s="16">
        <f>HYPERLINK("http://csr.bu.edu/ftp/asl/asllvd/demos/verify_start_end_handshape_annotations//test_auto_move//signs_mov/188.mov","MOV")</f>
        <v>21</v>
      </c>
      <c r="L856" t="s" s="16">
        <f>HYPERLINK("http://csr.bu.edu/ftp/asl/asllvd/demos/verify_start_end_handshape_annotations//test_auto_move//signs_mov_separ_signers/Tyler_188.mov","MOV")</f>
        <v>21</v>
      </c>
      <c r="M856" t="s" s="10">
        <v>26</v>
      </c>
      <c r="N856" s="17">
        <v>20</v>
      </c>
      <c r="O856" s="18">
        <v>3142</v>
      </c>
      <c r="P856" s="18">
        <v>3190</v>
      </c>
      <c r="Q856" t="s" s="16">
        <f>HYPERLINK("http://secrets.rutgers.edu:8080/data/asl-ftp/asllvd/demos/verify_start_end_handshape_annotations//test_auto_move//signs_mov/188.mov","MOV")</f>
        <v>21</v>
      </c>
      <c r="R856" t="s" s="16">
        <f>HYPERLINK("http://secrets.rutgers.edu:8080/data/asl-ftp/asllvd/demos/verify_start_end_handshape_annotations//test_auto_move//signs_mov_separ_signers/Tyler_188.mov","MOV")</f>
        <v>21</v>
      </c>
    </row>
    <row r="857" s="2" customFormat="1" ht="13.5" customHeight="1">
      <c r="B857" s="13"/>
      <c r="C857" t="s" s="9">
        <v>27</v>
      </c>
      <c r="D857" t="s" s="8">
        <v>359</v>
      </c>
      <c r="E857" t="s" s="9">
        <v>359</v>
      </c>
      <c r="F857" s="19">
        <v>10</v>
      </c>
      <c r="G857" s="17">
        <v>10</v>
      </c>
      <c r="H857" s="19">
        <v>10</v>
      </c>
      <c r="I857" s="17">
        <v>10</v>
      </c>
      <c r="J857" t="s" s="11">
        <v>20</v>
      </c>
      <c r="K857" s="15"/>
      <c r="L857" t="s" s="16">
        <f>HYPERLINK("http://csr.bu.edu/ftp/asl/asllvd/demos/verify_start_end_handshape_annotations//test_auto_move//signs_mov_separ_signers/Naomi_188.mov","MOV")</f>
        <v>21</v>
      </c>
      <c r="M857" t="s" s="10">
        <v>29</v>
      </c>
      <c r="N857" s="17">
        <v>20</v>
      </c>
      <c r="O857" s="18">
        <v>2602</v>
      </c>
      <c r="P857" s="18">
        <v>2647</v>
      </c>
      <c r="Q857" s="15"/>
      <c r="R857" t="s" s="16">
        <f>HYPERLINK("http://secrets.rutgers.edu:8080/data/asl-ftp/asllvd/demos/verify_start_end_handshape_annotations//test_auto_move//signs_mov_separ_signers/Naomi_188.mov","MOV")</f>
        <v>21</v>
      </c>
    </row>
    <row r="858" s="2" customFormat="1" ht="13.5" customHeight="1">
      <c r="B858" s="13"/>
      <c r="C858" t="s" s="9">
        <v>30</v>
      </c>
      <c r="D858" t="s" s="8">
        <v>359</v>
      </c>
      <c r="E858" t="s" s="9">
        <v>359</v>
      </c>
      <c r="F858" s="19">
        <v>10</v>
      </c>
      <c r="G858" s="17">
        <v>10</v>
      </c>
      <c r="H858" s="19">
        <v>10</v>
      </c>
      <c r="I858" s="17">
        <v>10</v>
      </c>
      <c r="J858" t="s" s="11">
        <v>20</v>
      </c>
      <c r="K858" s="15"/>
      <c r="L858" t="s" s="16">
        <f>HYPERLINK("http://csr.bu.edu/ftp/asl/asllvd/demos/verify_start_end_handshape_annotations//test_auto_move//signs_mov_separ_signers/Brady_188.mov","MOV")</f>
        <v>21</v>
      </c>
      <c r="M858" t="s" s="10">
        <v>31</v>
      </c>
      <c r="N858" s="17">
        <v>16</v>
      </c>
      <c r="O858" s="18">
        <v>5730</v>
      </c>
      <c r="P858" s="18">
        <v>5761</v>
      </c>
      <c r="Q858" s="15"/>
      <c r="R858" t="s" s="16">
        <f>HYPERLINK("http://secrets.rutgers.edu:8080/data/asl-ftp/asllvd/demos/verify_start_end_handshape_annotations//test_auto_move//signs_mov_separ_signers/Brady_188.mov","MOV")</f>
        <v>21</v>
      </c>
    </row>
    <row r="859" s="2" customFormat="1" ht="13.5" customHeight="1">
      <c r="B859" t="s" s="8">
        <v>360</v>
      </c>
      <c r="C859" t="s" s="9">
        <v>14</v>
      </c>
      <c r="D859" t="s" s="8">
        <v>14</v>
      </c>
      <c r="E859" t="s" s="9">
        <v>14</v>
      </c>
      <c r="F859" t="s" s="10">
        <v>14</v>
      </c>
      <c r="G859" t="s" s="11">
        <v>14</v>
      </c>
      <c r="H859" t="s" s="10">
        <v>14</v>
      </c>
      <c r="I859" t="s" s="11">
        <v>14</v>
      </c>
      <c r="J859" t="s" s="11">
        <v>14</v>
      </c>
      <c r="K859" t="s" s="12">
        <v>14</v>
      </c>
      <c r="L859" t="s" s="12">
        <v>14</v>
      </c>
      <c r="M859" t="s" s="10">
        <v>14</v>
      </c>
      <c r="N859" t="s" s="11">
        <v>14</v>
      </c>
      <c r="O859" t="s" s="8">
        <v>14</v>
      </c>
      <c r="P859" t="s" s="8">
        <v>14</v>
      </c>
      <c r="Q859" t="s" s="12">
        <v>14</v>
      </c>
      <c r="R859" t="s" s="12">
        <v>14</v>
      </c>
    </row>
    <row r="860" s="2" customFormat="1" ht="13.5" customHeight="1">
      <c r="B860" s="13"/>
      <c r="C860" t="s" s="9">
        <v>16</v>
      </c>
      <c r="D860" t="s" s="8">
        <v>360</v>
      </c>
      <c r="E860" t="s" s="9">
        <v>360</v>
      </c>
      <c r="F860" t="s" s="10">
        <v>63</v>
      </c>
      <c r="G860" s="14"/>
      <c r="H860" t="s" s="10">
        <v>63</v>
      </c>
      <c r="I860" s="14"/>
      <c r="J860" t="s" s="11">
        <v>20</v>
      </c>
      <c r="K860" s="15"/>
      <c r="L860" t="s" s="16">
        <f>HYPERLINK("http://csr.bu.edu/ftp/asl/asllvd/demos/verify_start_end_handshape_annotations//test_auto_move//signs_mov_separ_signers/Liz_189.mov","MOV")</f>
        <v>21</v>
      </c>
      <c r="M860" t="s" s="10">
        <v>22</v>
      </c>
      <c r="N860" s="17">
        <v>11</v>
      </c>
      <c r="O860" s="18">
        <v>235</v>
      </c>
      <c r="P860" s="18">
        <v>285</v>
      </c>
      <c r="Q860" s="15"/>
      <c r="R860" t="s" s="16">
        <f>HYPERLINK("http://secrets.rutgers.edu:8080/data/asl-ftp/asllvd/demos/verify_start_end_handshape_annotations//test_auto_move//signs_mov_separ_signers/Liz_189.mov","MOV")</f>
        <v>21</v>
      </c>
    </row>
    <row r="861" s="2" customFormat="1" ht="13.5" customHeight="1">
      <c r="B861" s="13"/>
      <c r="C861" t="s" s="9">
        <v>16</v>
      </c>
      <c r="D861" t="s" s="8">
        <v>360</v>
      </c>
      <c r="E861" t="s" s="9">
        <v>360</v>
      </c>
      <c r="F861" s="19">
        <v>10</v>
      </c>
      <c r="G861" s="14"/>
      <c r="H861" s="19">
        <v>10</v>
      </c>
      <c r="I861" s="14"/>
      <c r="J861" t="s" s="11">
        <v>20</v>
      </c>
      <c r="K861" s="15"/>
      <c r="L861" t="s" s="16">
        <f>HYPERLINK("http://csr.bu.edu/ftp/asl/asllvd/demos/verify_start_end_handshape_annotations//test_auto_move//signs_mov_separ_signers/Liz_5598.mov","MOV")</f>
        <v>21</v>
      </c>
      <c r="M861" t="s" s="10">
        <v>22</v>
      </c>
      <c r="N861" s="17">
        <v>32</v>
      </c>
      <c r="O861" s="18">
        <v>300</v>
      </c>
      <c r="P861" s="18">
        <v>335</v>
      </c>
      <c r="Q861" s="15"/>
      <c r="R861" t="s" s="16">
        <f>HYPERLINK("http://secrets.rutgers.edu:8080/data/asl-ftp/asllvd/demos/verify_start_end_handshape_annotations//test_auto_move//signs_mov_separ_signers/Liz_5598.mov","MOV")</f>
        <v>21</v>
      </c>
    </row>
    <row r="862" s="2" customFormat="1" ht="13.5" customHeight="1">
      <c r="B862" s="13"/>
      <c r="C862" t="s" s="9">
        <v>23</v>
      </c>
      <c r="D862" t="s" s="8">
        <v>360</v>
      </c>
      <c r="E862" t="s" s="9">
        <v>360</v>
      </c>
      <c r="F862" s="19">
        <v>10</v>
      </c>
      <c r="G862" s="14"/>
      <c r="H862" s="19">
        <v>10</v>
      </c>
      <c r="I862" s="14"/>
      <c r="J862" t="s" s="11">
        <v>20</v>
      </c>
      <c r="K862" s="15"/>
      <c r="L862" t="s" s="16">
        <f>HYPERLINK("http://csr.bu.edu/ftp/asl/asllvd/demos/verify_start_end_handshape_annotations//test_auto_move//signs_mov_separ_signers/Tyler_189.mov","MOV")</f>
        <v>21</v>
      </c>
      <c r="M862" t="s" s="10">
        <v>26</v>
      </c>
      <c r="N862" s="17">
        <v>20</v>
      </c>
      <c r="O862" s="18">
        <v>3475</v>
      </c>
      <c r="P862" s="18">
        <v>3525</v>
      </c>
      <c r="Q862" s="15"/>
      <c r="R862" t="s" s="16">
        <f>HYPERLINK("http://secrets.rutgers.edu:8080/data/asl-ftp/asllvd/demos/verify_start_end_handshape_annotations//test_auto_move//signs_mov_separ_signers/Tyler_189.mov","MOV")</f>
        <v>21</v>
      </c>
    </row>
    <row r="863" s="2" customFormat="1" ht="13.5" customHeight="1">
      <c r="B863" s="13"/>
      <c r="C863" t="s" s="9">
        <v>27</v>
      </c>
      <c r="D863" t="s" s="8">
        <v>360</v>
      </c>
      <c r="E863" t="s" s="9">
        <v>360</v>
      </c>
      <c r="F863" t="s" s="10">
        <v>63</v>
      </c>
      <c r="G863" s="14"/>
      <c r="H863" t="s" s="10">
        <v>63</v>
      </c>
      <c r="I863" s="14"/>
      <c r="J863" t="s" s="11">
        <v>20</v>
      </c>
      <c r="K863" t="s" s="16">
        <f>HYPERLINK("http://csr.bu.edu/ftp/asl/asllvd/demos/verify_start_end_handshape_annotations//test_auto_move//signs_mov/189_5598_15545_merged.mov","MOV")</f>
        <v>21</v>
      </c>
      <c r="L863" t="s" s="16">
        <f>HYPERLINK("http://csr.bu.edu/ftp/asl/asllvd/demos/verify_start_end_handshape_annotations//test_auto_move//signs_mov_separ_signers/Naomi_189.mov","MOV")</f>
        <v>21</v>
      </c>
      <c r="M863" t="s" s="10">
        <v>29</v>
      </c>
      <c r="N863" s="17">
        <v>20</v>
      </c>
      <c r="O863" s="18">
        <v>3047</v>
      </c>
      <c r="P863" s="18">
        <v>3068</v>
      </c>
      <c r="Q863" t="s" s="16">
        <f>HYPERLINK("http://secrets.rutgers.edu:8080/data/asl-ftp/asllvd/demos/verify_start_end_handshape_annotations//test_auto_move//signs_mov/189_5598_15545_merged.mov","MOV")</f>
        <v>21</v>
      </c>
      <c r="R863" t="s" s="16">
        <f>HYPERLINK("http://secrets.rutgers.edu:8080/data/asl-ftp/asllvd/demos/verify_start_end_handshape_annotations//test_auto_move//signs_mov_separ_signers/Naomi_189.mov","MOV")</f>
        <v>21</v>
      </c>
    </row>
    <row r="864" s="2" customFormat="1" ht="13.5" customHeight="1">
      <c r="B864" s="13"/>
      <c r="C864" t="s" s="9">
        <v>30</v>
      </c>
      <c r="D864" t="s" s="8">
        <v>360</v>
      </c>
      <c r="E864" t="s" s="9">
        <v>360</v>
      </c>
      <c r="F864" s="19">
        <v>10</v>
      </c>
      <c r="G864" s="14"/>
      <c r="H864" s="19">
        <v>10</v>
      </c>
      <c r="I864" s="14"/>
      <c r="J864" t="s" s="11">
        <v>20</v>
      </c>
      <c r="K864" s="15"/>
      <c r="L864" t="s" s="16">
        <f>HYPERLINK("http://csr.bu.edu/ftp/asl/asllvd/demos/verify_start_end_handshape_annotations//test_auto_move//signs_mov_separ_signers/Brady_189.mov","MOV")</f>
        <v>21</v>
      </c>
      <c r="M864" t="s" s="10">
        <v>31</v>
      </c>
      <c r="N864" s="17">
        <v>10</v>
      </c>
      <c r="O864" s="18">
        <v>2411</v>
      </c>
      <c r="P864" s="18">
        <v>2438</v>
      </c>
      <c r="Q864" s="15"/>
      <c r="R864" t="s" s="16">
        <f>HYPERLINK("http://secrets.rutgers.edu:8080/data/asl-ftp/asllvd/demos/verify_start_end_handshape_annotations//test_auto_move//signs_mov_separ_signers/Brady_189.mov","MOV")</f>
        <v>21</v>
      </c>
    </row>
    <row r="865" s="2" customFormat="1" ht="13.5" customHeight="1">
      <c r="B865" s="13"/>
      <c r="C865" t="s" s="9">
        <v>30</v>
      </c>
      <c r="D865" t="s" s="8">
        <v>360</v>
      </c>
      <c r="E865" t="s" s="9">
        <v>360</v>
      </c>
      <c r="F865" s="19">
        <v>10</v>
      </c>
      <c r="G865" s="14"/>
      <c r="H865" s="19">
        <v>10</v>
      </c>
      <c r="I865" s="14"/>
      <c r="J865" t="s" s="11">
        <v>20</v>
      </c>
      <c r="K865" s="15"/>
      <c r="L865" t="s" s="16">
        <f>HYPERLINK("http://csr.bu.edu/ftp/asl/asllvd/demos/verify_start_end_handshape_annotations//test_auto_move//signs_mov_separ_signers/Brady_5598.mov","MOV")</f>
        <v>21</v>
      </c>
      <c r="M865" t="s" s="10">
        <v>31</v>
      </c>
      <c r="N865" s="17">
        <v>16</v>
      </c>
      <c r="O865" s="18">
        <v>5226</v>
      </c>
      <c r="P865" s="18">
        <v>5255</v>
      </c>
      <c r="Q865" s="15"/>
      <c r="R865" t="s" s="16">
        <f>HYPERLINK("http://secrets.rutgers.edu:8080/data/asl-ftp/asllvd/demos/verify_start_end_handshape_annotations//test_auto_move//signs_mov_separ_signers/Brady_5598.mov","MOV")</f>
        <v>21</v>
      </c>
    </row>
    <row r="866" s="2" customFormat="1" ht="13.5" customHeight="1">
      <c r="B866" s="13"/>
      <c r="C866" t="s" s="9">
        <v>30</v>
      </c>
      <c r="D866" t="s" s="8">
        <v>360</v>
      </c>
      <c r="E866" t="s" s="9">
        <v>360</v>
      </c>
      <c r="F866" s="19">
        <v>10</v>
      </c>
      <c r="G866" s="14"/>
      <c r="H866" s="19">
        <v>10</v>
      </c>
      <c r="I866" s="14"/>
      <c r="J866" t="s" s="11">
        <v>20</v>
      </c>
      <c r="K866" s="15"/>
      <c r="L866" t="s" s="16">
        <f>HYPERLINK("http://csr.bu.edu/ftp/asl/asllvd/demos/verify_start_end_handshape_annotations//test_auto_move//signs_mov_separ_signers/Brady_15545.mov","MOV")</f>
        <v>21</v>
      </c>
      <c r="M866" t="s" s="10">
        <v>40</v>
      </c>
      <c r="N866" s="17">
        <v>34</v>
      </c>
      <c r="O866" s="18">
        <v>382</v>
      </c>
      <c r="P866" s="18">
        <v>412</v>
      </c>
      <c r="Q866" s="15"/>
      <c r="R866" t="s" s="16">
        <f>HYPERLINK("http://secrets.rutgers.edu:8080/data/asl-ftp/asllvd/demos/verify_start_end_handshape_annotations//test_auto_move//signs_mov_separ_signers/Brady_15545.mov","MOV")</f>
        <v>21</v>
      </c>
    </row>
    <row r="867" s="2" customFormat="1" ht="13.5" customHeight="1">
      <c r="B867" t="s" s="8">
        <v>361</v>
      </c>
      <c r="C867" t="s" s="9">
        <v>14</v>
      </c>
      <c r="D867" t="s" s="8">
        <v>14</v>
      </c>
      <c r="E867" t="s" s="9">
        <v>14</v>
      </c>
      <c r="F867" t="s" s="10">
        <v>14</v>
      </c>
      <c r="G867" t="s" s="11">
        <v>14</v>
      </c>
      <c r="H867" t="s" s="10">
        <v>14</v>
      </c>
      <c r="I867" t="s" s="11">
        <v>14</v>
      </c>
      <c r="J867" t="s" s="11">
        <v>14</v>
      </c>
      <c r="K867" t="s" s="12">
        <v>14</v>
      </c>
      <c r="L867" t="s" s="12">
        <v>14</v>
      </c>
      <c r="M867" t="s" s="10">
        <v>14</v>
      </c>
      <c r="N867" t="s" s="11">
        <v>14</v>
      </c>
      <c r="O867" t="s" s="8">
        <v>14</v>
      </c>
      <c r="P867" t="s" s="8">
        <v>14</v>
      </c>
      <c r="Q867" t="s" s="12">
        <v>14</v>
      </c>
      <c r="R867" t="s" s="12">
        <v>14</v>
      </c>
    </row>
    <row r="868" s="2" customFormat="1" ht="13.5" customHeight="1">
      <c r="B868" s="13"/>
      <c r="C868" t="s" s="9">
        <v>23</v>
      </c>
      <c r="D868" t="s" s="8">
        <v>361</v>
      </c>
      <c r="E868" t="s" s="9">
        <v>361</v>
      </c>
      <c r="F868" t="s" s="10">
        <v>72</v>
      </c>
      <c r="G868" t="s" s="11">
        <v>72</v>
      </c>
      <c r="H868" s="19">
        <v>5</v>
      </c>
      <c r="I868" s="17">
        <v>5</v>
      </c>
      <c r="J868" t="s" s="11">
        <v>20</v>
      </c>
      <c r="K868" t="s" s="16">
        <f>HYPERLINK("http://csr.bu.edu/ftp/asl/asllvd/demos/verify_start_end_handshape_annotations//test_auto_move//signs_mov/191.mov","MOV")</f>
        <v>21</v>
      </c>
      <c r="L868" t="s" s="16">
        <f>HYPERLINK("http://csr.bu.edu/ftp/asl/asllvd/demos/verify_start_end_handshape_annotations//test_auto_move//signs_mov_separ_signers/Tyler_191.mov","MOV")</f>
        <v>21</v>
      </c>
      <c r="M868" t="s" s="10">
        <v>26</v>
      </c>
      <c r="N868" s="17">
        <v>21</v>
      </c>
      <c r="O868" s="18">
        <v>275</v>
      </c>
      <c r="P868" s="18">
        <v>305</v>
      </c>
      <c r="Q868" t="s" s="16">
        <f>HYPERLINK("http://secrets.rutgers.edu:8080/data/asl-ftp/asllvd/demos/verify_start_end_handshape_annotations//test_auto_move//signs_mov/191.mov","MOV")</f>
        <v>21</v>
      </c>
      <c r="R868" t="s" s="16">
        <f>HYPERLINK("http://secrets.rutgers.edu:8080/data/asl-ftp/asllvd/demos/verify_start_end_handshape_annotations//test_auto_move//signs_mov_separ_signers/Tyler_191.mov","MOV")</f>
        <v>21</v>
      </c>
    </row>
    <row r="869" s="2" customFormat="1" ht="13.5" customHeight="1">
      <c r="B869" s="13"/>
      <c r="C869" t="s" s="9">
        <v>27</v>
      </c>
      <c r="D869" t="s" s="8">
        <v>361</v>
      </c>
      <c r="E869" t="s" s="9">
        <v>361</v>
      </c>
      <c r="F869" t="s" s="10">
        <v>75</v>
      </c>
      <c r="G869" t="s" s="11">
        <v>187</v>
      </c>
      <c r="H869" t="s" s="10">
        <v>75</v>
      </c>
      <c r="I869" t="s" s="11">
        <v>187</v>
      </c>
      <c r="J869" t="s" s="11">
        <v>20</v>
      </c>
      <c r="K869" s="15"/>
      <c r="L869" t="s" s="16">
        <f>HYPERLINK("http://csr.bu.edu/ftp/asl/asllvd/demos/verify_start_end_handshape_annotations//test_auto_move//signs_mov_separ_signers/Naomi_191.mov","MOV")</f>
        <v>21</v>
      </c>
      <c r="M869" t="s" s="10">
        <v>29</v>
      </c>
      <c r="N869" s="17">
        <v>21</v>
      </c>
      <c r="O869" s="18">
        <v>990</v>
      </c>
      <c r="P869" s="18">
        <v>1017</v>
      </c>
      <c r="Q869" s="15"/>
      <c r="R869" t="s" s="16">
        <f>HYPERLINK("http://secrets.rutgers.edu:8080/data/asl-ftp/asllvd/demos/verify_start_end_handshape_annotations//test_auto_move//signs_mov_separ_signers/Naomi_191.mov","MOV")</f>
        <v>21</v>
      </c>
    </row>
    <row r="870" s="2" customFormat="1" ht="13.5" customHeight="1">
      <c r="B870" t="s" s="8">
        <v>52</v>
      </c>
      <c r="C870" t="s" s="9">
        <v>53</v>
      </c>
      <c r="D870" t="s" s="8">
        <v>53</v>
      </c>
      <c r="E870" t="s" s="9">
        <v>53</v>
      </c>
      <c r="F870" t="s" s="10">
        <v>53</v>
      </c>
      <c r="G870" t="s" s="11">
        <v>53</v>
      </c>
      <c r="H870" t="s" s="10">
        <v>53</v>
      </c>
      <c r="I870" t="s" s="11">
        <v>53</v>
      </c>
      <c r="J870" t="s" s="11">
        <v>53</v>
      </c>
      <c r="K870" t="s" s="12">
        <v>53</v>
      </c>
      <c r="L870" t="s" s="12">
        <v>53</v>
      </c>
      <c r="M870" t="s" s="10">
        <v>53</v>
      </c>
      <c r="N870" t="s" s="11">
        <v>53</v>
      </c>
      <c r="O870" t="s" s="8">
        <v>53</v>
      </c>
      <c r="P870" t="s" s="8">
        <v>53</v>
      </c>
      <c r="Q870" t="s" s="12">
        <v>53</v>
      </c>
      <c r="R870" t="s" s="12">
        <v>53</v>
      </c>
    </row>
    <row r="871" s="2" customFormat="1" ht="13.5" customHeight="1">
      <c r="B871" s="13"/>
      <c r="C871" t="s" s="9">
        <v>30</v>
      </c>
      <c r="D871" t="s" s="8">
        <v>361</v>
      </c>
      <c r="E871" t="s" s="9">
        <v>362</v>
      </c>
      <c r="F871" s="19">
        <v>5</v>
      </c>
      <c r="G871" s="17">
        <v>5</v>
      </c>
      <c r="H871" t="s" s="10">
        <v>73</v>
      </c>
      <c r="I871" t="s" s="11">
        <v>73</v>
      </c>
      <c r="J871" t="s" s="11">
        <v>20</v>
      </c>
      <c r="K871" t="s" s="16">
        <f>HYPERLINK("http://csr.bu.edu/ftp/asl/asllvd/demos/verify_start_end_handshape_annotations//test_auto_move//signs_mov/16224.mov","MOV")</f>
        <v>21</v>
      </c>
      <c r="L871" t="s" s="16">
        <f>HYPERLINK("http://csr.bu.edu/ftp/asl/asllvd/demos/verify_start_end_handshape_annotations//test_auto_move//signs_mov_separ_signers/Brady_16224.mov","MOV")</f>
        <v>21</v>
      </c>
      <c r="M871" t="s" s="10">
        <v>31</v>
      </c>
      <c r="N871" s="17">
        <v>16</v>
      </c>
      <c r="O871" s="18">
        <v>7467</v>
      </c>
      <c r="P871" s="18">
        <v>7483</v>
      </c>
      <c r="Q871" t="s" s="16">
        <f>HYPERLINK("http://secrets.rutgers.edu:8080/data/asl-ftp/asllvd/demos/verify_start_end_handshape_annotations//test_auto_move//signs_mov/16224.mov","MOV")</f>
        <v>21</v>
      </c>
      <c r="R871" t="s" s="16">
        <f>HYPERLINK("http://secrets.rutgers.edu:8080/data/asl-ftp/asllvd/demos/verify_start_end_handshape_annotations//test_auto_move//signs_mov_separ_signers/Brady_16224.mov","MOV")</f>
        <v>21</v>
      </c>
    </row>
    <row r="872" s="2" customFormat="1" ht="13.5" customHeight="1">
      <c r="B872" t="s" s="8">
        <v>363</v>
      </c>
      <c r="C872" t="s" s="9">
        <v>14</v>
      </c>
      <c r="D872" t="s" s="8">
        <v>14</v>
      </c>
      <c r="E872" t="s" s="9">
        <v>14</v>
      </c>
      <c r="F872" t="s" s="10">
        <v>14</v>
      </c>
      <c r="G872" t="s" s="11">
        <v>14</v>
      </c>
      <c r="H872" t="s" s="10">
        <v>14</v>
      </c>
      <c r="I872" t="s" s="11">
        <v>14</v>
      </c>
      <c r="J872" t="s" s="11">
        <v>14</v>
      </c>
      <c r="K872" t="s" s="12">
        <v>14</v>
      </c>
      <c r="L872" t="s" s="12">
        <v>14</v>
      </c>
      <c r="M872" t="s" s="10">
        <v>14</v>
      </c>
      <c r="N872" t="s" s="11">
        <v>14</v>
      </c>
      <c r="O872" t="s" s="8">
        <v>14</v>
      </c>
      <c r="P872" t="s" s="8">
        <v>14</v>
      </c>
      <c r="Q872" t="s" s="12">
        <v>14</v>
      </c>
      <c r="R872" t="s" s="12">
        <v>14</v>
      </c>
    </row>
    <row r="873" s="2" customFormat="1" ht="13.5" customHeight="1">
      <c r="B873" s="13"/>
      <c r="C873" t="s" s="9">
        <v>27</v>
      </c>
      <c r="D873" t="s" s="8">
        <v>363</v>
      </c>
      <c r="E873" t="s" s="9">
        <v>363</v>
      </c>
      <c r="F873" t="s" s="10">
        <v>65</v>
      </c>
      <c r="G873" t="s" s="11">
        <v>65</v>
      </c>
      <c r="H873" t="s" s="10">
        <v>65</v>
      </c>
      <c r="I873" t="s" s="11">
        <v>65</v>
      </c>
      <c r="J873" t="s" s="11">
        <v>20</v>
      </c>
      <c r="K873" t="s" s="16">
        <f>HYPERLINK("http://csr.bu.edu/ftp/asl/asllvd/demos/verify_start_end_handshape_annotations//test_auto_move//signs_mov/192.mov","MOV")</f>
        <v>21</v>
      </c>
      <c r="L873" t="s" s="16">
        <f>HYPERLINK("http://csr.bu.edu/ftp/asl/asllvd/demos/verify_start_end_handshape_annotations//test_auto_move//signs_mov_separ_signers/Naomi_192.mov","MOV")</f>
        <v>21</v>
      </c>
      <c r="M873" t="s" s="10">
        <v>29</v>
      </c>
      <c r="N873" s="17">
        <v>21</v>
      </c>
      <c r="O873" s="18">
        <v>1205</v>
      </c>
      <c r="P873" s="18">
        <v>1235</v>
      </c>
      <c r="Q873" t="s" s="16">
        <f>HYPERLINK("http://secrets.rutgers.edu:8080/data/asl-ftp/asllvd/demos/verify_start_end_handshape_annotations//test_auto_move//signs_mov/192.mov","MOV")</f>
        <v>21</v>
      </c>
      <c r="R873" t="s" s="16">
        <f>HYPERLINK("http://secrets.rutgers.edu:8080/data/asl-ftp/asllvd/demos/verify_start_end_handshape_annotations//test_auto_move//signs_mov_separ_signers/Naomi_192.mov","MOV")</f>
        <v>21</v>
      </c>
    </row>
    <row r="874" s="2" customFormat="1" ht="13.5" customHeight="1">
      <c r="B874" s="13"/>
      <c r="C874" t="s" s="9">
        <v>41</v>
      </c>
      <c r="D874" t="s" s="8">
        <v>363</v>
      </c>
      <c r="E874" t="s" s="9">
        <v>364</v>
      </c>
      <c r="F874" t="s" s="10">
        <v>65</v>
      </c>
      <c r="G874" t="s" s="11">
        <v>65</v>
      </c>
      <c r="H874" t="s" s="10">
        <v>65</v>
      </c>
      <c r="I874" t="s" s="11">
        <v>65</v>
      </c>
      <c r="J874" t="s" s="11">
        <v>20</v>
      </c>
      <c r="K874" s="15"/>
      <c r="L874" t="s" s="16">
        <f>HYPERLINK("http://csr.bu.edu/ftp/asl/asllvd/demos/verify_start_end_handshape_annotations//test_auto_move//signs_mov_separ_signers/Lana_192.mov","MOV")</f>
        <v>21</v>
      </c>
      <c r="M874" t="s" s="10">
        <v>42</v>
      </c>
      <c r="N874" s="17">
        <v>3</v>
      </c>
      <c r="O874" s="18">
        <v>1314</v>
      </c>
      <c r="P874" s="18">
        <v>1337</v>
      </c>
      <c r="Q874" s="15"/>
      <c r="R874" t="s" s="16">
        <f>HYPERLINK("http://secrets.rutgers.edu:8080/data/asl-ftp/asllvd/demos/verify_start_end_handshape_annotations//test_auto_move//signs_mov_separ_signers/Lana_192.mov","MOV")</f>
        <v>21</v>
      </c>
    </row>
    <row r="875" s="2" customFormat="1" ht="13.5" customHeight="1">
      <c r="B875" t="s" s="8">
        <v>52</v>
      </c>
      <c r="C875" t="s" s="9">
        <v>53</v>
      </c>
      <c r="D875" t="s" s="8">
        <v>53</v>
      </c>
      <c r="E875" t="s" s="9">
        <v>53</v>
      </c>
      <c r="F875" t="s" s="10">
        <v>53</v>
      </c>
      <c r="G875" t="s" s="11">
        <v>53</v>
      </c>
      <c r="H875" t="s" s="10">
        <v>53</v>
      </c>
      <c r="I875" t="s" s="11">
        <v>53</v>
      </c>
      <c r="J875" t="s" s="11">
        <v>53</v>
      </c>
      <c r="K875" t="s" s="12">
        <v>53</v>
      </c>
      <c r="L875" t="s" s="12">
        <v>53</v>
      </c>
      <c r="M875" t="s" s="10">
        <v>53</v>
      </c>
      <c r="N875" t="s" s="11">
        <v>53</v>
      </c>
      <c r="O875" t="s" s="8">
        <v>53</v>
      </c>
      <c r="P875" t="s" s="8">
        <v>53</v>
      </c>
      <c r="Q875" t="s" s="12">
        <v>53</v>
      </c>
      <c r="R875" t="s" s="12">
        <v>53</v>
      </c>
    </row>
    <row r="876" s="2" customFormat="1" ht="13.5" customHeight="1">
      <c r="B876" s="13"/>
      <c r="C876" t="s" s="9">
        <v>30</v>
      </c>
      <c r="D876" t="s" s="8">
        <v>363</v>
      </c>
      <c r="E876" t="s" s="9">
        <v>365</v>
      </c>
      <c r="F876" t="s" s="10">
        <v>68</v>
      </c>
      <c r="G876" t="s" s="11">
        <v>68</v>
      </c>
      <c r="H876" t="s" s="10">
        <v>68</v>
      </c>
      <c r="I876" t="s" s="11">
        <v>68</v>
      </c>
      <c r="J876" t="s" s="11">
        <v>20</v>
      </c>
      <c r="K876" t="s" s="16">
        <f>HYPERLINK("http://csr.bu.edu/ftp/asl/asllvd/demos/verify_start_end_handshape_annotations//test_auto_move//signs_mov/16225.mov","MOV")</f>
        <v>21</v>
      </c>
      <c r="L876" t="s" s="16">
        <f>HYPERLINK("http://csr.bu.edu/ftp/asl/asllvd/demos/verify_start_end_handshape_annotations//test_auto_move//signs_mov_separ_signers/Brady_16225.mov","MOV")</f>
        <v>21</v>
      </c>
      <c r="M876" t="s" s="10">
        <v>31</v>
      </c>
      <c r="N876" s="17">
        <v>16</v>
      </c>
      <c r="O876" s="18">
        <v>7956</v>
      </c>
      <c r="P876" s="18">
        <v>7982</v>
      </c>
      <c r="Q876" t="s" s="16">
        <f>HYPERLINK("http://secrets.rutgers.edu:8080/data/asl-ftp/asllvd/demos/verify_start_end_handshape_annotations//test_auto_move//signs_mov/16225.mov","MOV")</f>
        <v>21</v>
      </c>
      <c r="R876" t="s" s="16">
        <f>HYPERLINK("http://secrets.rutgers.edu:8080/data/asl-ftp/asllvd/demos/verify_start_end_handshape_annotations//test_auto_move//signs_mov_separ_signers/Brady_16225.mov","MOV")</f>
        <v>21</v>
      </c>
    </row>
    <row r="877" s="2" customFormat="1" ht="13.5" customHeight="1">
      <c r="B877" s="13"/>
      <c r="C877" t="s" s="9">
        <v>43</v>
      </c>
      <c r="D877" t="s" s="8">
        <v>363</v>
      </c>
      <c r="E877" t="s" s="9">
        <v>365</v>
      </c>
      <c r="F877" t="s" s="10">
        <v>68</v>
      </c>
      <c r="G877" t="s" s="11">
        <v>68</v>
      </c>
      <c r="H877" t="s" s="10">
        <v>68</v>
      </c>
      <c r="I877" t="s" s="11">
        <v>68</v>
      </c>
      <c r="J877" t="s" s="11">
        <v>20</v>
      </c>
      <c r="K877" s="15"/>
      <c r="L877" t="s" s="16">
        <f>HYPERLINK("http://csr.bu.edu/ftp/asl/asllvd/demos/verify_start_end_handshape_annotations//test_auto_move//signs_mov_separ_signers/Dana_16225.mov","MOV")</f>
        <v>21</v>
      </c>
      <c r="M877" t="s" s="10">
        <v>44</v>
      </c>
      <c r="N877" s="17">
        <v>7</v>
      </c>
      <c r="O877" s="18">
        <v>1292</v>
      </c>
      <c r="P877" s="18">
        <v>1352</v>
      </c>
      <c r="Q877" s="15"/>
      <c r="R877" t="s" s="16">
        <f>HYPERLINK("http://secrets.rutgers.edu:8080/data/asl-ftp/asllvd/demos/verify_start_end_handshape_annotations//test_auto_move//signs_mov_separ_signers/Dana_16225.mov","MOV")</f>
        <v>21</v>
      </c>
    </row>
    <row r="878" s="2" customFormat="1" ht="13.5" customHeight="1">
      <c r="B878" t="s" s="8">
        <v>52</v>
      </c>
      <c r="C878" t="s" s="9">
        <v>53</v>
      </c>
      <c r="D878" t="s" s="8">
        <v>53</v>
      </c>
      <c r="E878" t="s" s="9">
        <v>53</v>
      </c>
      <c r="F878" t="s" s="10">
        <v>53</v>
      </c>
      <c r="G878" t="s" s="11">
        <v>53</v>
      </c>
      <c r="H878" t="s" s="10">
        <v>53</v>
      </c>
      <c r="I878" t="s" s="11">
        <v>53</v>
      </c>
      <c r="J878" t="s" s="11">
        <v>53</v>
      </c>
      <c r="K878" t="s" s="12">
        <v>53</v>
      </c>
      <c r="L878" t="s" s="12">
        <v>53</v>
      </c>
      <c r="M878" t="s" s="10">
        <v>53</v>
      </c>
      <c r="N878" t="s" s="11">
        <v>53</v>
      </c>
      <c r="O878" t="s" s="8">
        <v>53</v>
      </c>
      <c r="P878" t="s" s="8">
        <v>53</v>
      </c>
      <c r="Q878" t="s" s="12">
        <v>53</v>
      </c>
      <c r="R878" t="s" s="12">
        <v>53</v>
      </c>
    </row>
    <row r="879" s="2" customFormat="1" ht="13.5" customHeight="1">
      <c r="B879" s="13"/>
      <c r="C879" t="s" s="9">
        <v>23</v>
      </c>
      <c r="D879" t="s" s="8">
        <v>363</v>
      </c>
      <c r="E879" t="s" s="9">
        <v>366</v>
      </c>
      <c r="F879" t="s" s="10">
        <v>68</v>
      </c>
      <c r="G879" t="s" s="11">
        <v>68</v>
      </c>
      <c r="H879" t="s" s="10">
        <v>68</v>
      </c>
      <c r="I879" t="s" s="11">
        <v>68</v>
      </c>
      <c r="J879" t="s" s="11">
        <v>20</v>
      </c>
      <c r="K879" t="s" s="16">
        <f>HYPERLINK("http://csr.bu.edu/ftp/asl/asllvd/demos/verify_start_end_handshape_annotations//test_auto_move//signs_mov/16532.mov","MOV")</f>
        <v>21</v>
      </c>
      <c r="L879" t="s" s="16">
        <f>HYPERLINK("http://csr.bu.edu/ftp/asl/asllvd/demos/verify_start_end_handshape_annotations//test_auto_move//signs_mov_separ_signers/Tyler_16532.mov","MOV")</f>
        <v>21</v>
      </c>
      <c r="M879" t="s" s="10">
        <v>26</v>
      </c>
      <c r="N879" s="17">
        <v>21</v>
      </c>
      <c r="O879" s="18">
        <v>492</v>
      </c>
      <c r="P879" s="18">
        <v>530</v>
      </c>
      <c r="Q879" t="s" s="16">
        <f>HYPERLINK("http://secrets.rutgers.edu:8080/data/asl-ftp/asllvd/demos/verify_start_end_handshape_annotations//test_auto_move//signs_mov/16532.mov","MOV")</f>
        <v>21</v>
      </c>
      <c r="R879" t="s" s="16">
        <f>HYPERLINK("http://secrets.rutgers.edu:8080/data/asl-ftp/asllvd/demos/verify_start_end_handshape_annotations//test_auto_move//signs_mov_separ_signers/Tyler_16532.mov","MOV")</f>
        <v>21</v>
      </c>
    </row>
    <row r="880" s="2" customFormat="1" ht="13.5" customHeight="1">
      <c r="B880" t="s" s="8">
        <v>367</v>
      </c>
      <c r="C880" t="s" s="9">
        <v>14</v>
      </c>
      <c r="D880" t="s" s="8">
        <v>14</v>
      </c>
      <c r="E880" t="s" s="9">
        <v>14</v>
      </c>
      <c r="F880" t="s" s="10">
        <v>14</v>
      </c>
      <c r="G880" t="s" s="11">
        <v>14</v>
      </c>
      <c r="H880" t="s" s="10">
        <v>14</v>
      </c>
      <c r="I880" t="s" s="11">
        <v>14</v>
      </c>
      <c r="J880" t="s" s="11">
        <v>14</v>
      </c>
      <c r="K880" t="s" s="12">
        <v>14</v>
      </c>
      <c r="L880" t="s" s="12">
        <v>14</v>
      </c>
      <c r="M880" t="s" s="10">
        <v>14</v>
      </c>
      <c r="N880" t="s" s="11">
        <v>14</v>
      </c>
      <c r="O880" t="s" s="8">
        <v>14</v>
      </c>
      <c r="P880" t="s" s="8">
        <v>14</v>
      </c>
      <c r="Q880" t="s" s="12">
        <v>14</v>
      </c>
      <c r="R880" t="s" s="12">
        <v>14</v>
      </c>
    </row>
    <row r="881" s="2" customFormat="1" ht="13.5" customHeight="1">
      <c r="B881" s="13"/>
      <c r="C881" t="s" s="9">
        <v>16</v>
      </c>
      <c r="D881" t="s" s="8">
        <v>367</v>
      </c>
      <c r="E881" t="s" s="9">
        <v>367</v>
      </c>
      <c r="F881" t="s" s="10">
        <v>72</v>
      </c>
      <c r="G881" t="s" s="11">
        <v>72</v>
      </c>
      <c r="H881" t="s" s="10">
        <v>72</v>
      </c>
      <c r="I881" t="s" s="11">
        <v>72</v>
      </c>
      <c r="J881" t="s" s="11">
        <v>20</v>
      </c>
      <c r="K881" s="15"/>
      <c r="L881" t="s" s="16">
        <f>HYPERLINK("http://csr.bu.edu/ftp/asl/asllvd/demos/verify_start_end_handshape_annotations//test_auto_move//signs_mov_separ_signers/Liz_196.mov","MOV")</f>
        <v>21</v>
      </c>
      <c r="M881" t="s" s="10">
        <v>22</v>
      </c>
      <c r="N881" s="17">
        <v>33</v>
      </c>
      <c r="O881" s="18">
        <v>555</v>
      </c>
      <c r="P881" s="18">
        <v>590</v>
      </c>
      <c r="Q881" s="15"/>
      <c r="R881" t="s" s="16">
        <f>HYPERLINK("http://secrets.rutgers.edu:8080/data/asl-ftp/asllvd/demos/verify_start_end_handshape_annotations//test_auto_move//signs_mov_separ_signers/Liz_196.mov","MOV")</f>
        <v>21</v>
      </c>
    </row>
    <row r="882" s="2" customFormat="1" ht="13.5" customHeight="1">
      <c r="B882" s="13"/>
      <c r="C882" t="s" s="9">
        <v>23</v>
      </c>
      <c r="D882" t="s" s="8">
        <v>367</v>
      </c>
      <c r="E882" t="s" s="9">
        <v>367</v>
      </c>
      <c r="F882" t="s" s="10">
        <v>72</v>
      </c>
      <c r="G882" t="s" s="11">
        <v>72</v>
      </c>
      <c r="H882" t="s" s="10">
        <v>72</v>
      </c>
      <c r="I882" t="s" s="11">
        <v>72</v>
      </c>
      <c r="J882" t="s" s="11">
        <v>20</v>
      </c>
      <c r="K882" t="s" s="16">
        <f>HYPERLINK("http://csr.bu.edu/ftp/asl/asllvd/demos/verify_start_end_handshape_annotations//test_auto_move//signs_mov/196.mov","MOV")</f>
        <v>21</v>
      </c>
      <c r="L882" t="s" s="16">
        <f>HYPERLINK("http://csr.bu.edu/ftp/asl/asllvd/demos/verify_start_end_handshape_annotations//test_auto_move//signs_mov_separ_signers/Tyler_196.mov","MOV")</f>
        <v>21</v>
      </c>
      <c r="M882" t="s" s="10">
        <v>26</v>
      </c>
      <c r="N882" s="17">
        <v>21</v>
      </c>
      <c r="O882" s="18">
        <v>1780</v>
      </c>
      <c r="P882" s="18">
        <v>1810</v>
      </c>
      <c r="Q882" t="s" s="16">
        <f>HYPERLINK("http://secrets.rutgers.edu:8080/data/asl-ftp/asllvd/demos/verify_start_end_handshape_annotations//test_auto_move//signs_mov/196.mov","MOV")</f>
        <v>21</v>
      </c>
      <c r="R882" t="s" s="16">
        <f>HYPERLINK("http://secrets.rutgers.edu:8080/data/asl-ftp/asllvd/demos/verify_start_end_handshape_annotations//test_auto_move//signs_mov_separ_signers/Tyler_196.mov","MOV")</f>
        <v>21</v>
      </c>
    </row>
    <row r="883" s="2" customFormat="1" ht="13.5" customHeight="1">
      <c r="B883" s="13"/>
      <c r="C883" t="s" s="9">
        <v>27</v>
      </c>
      <c r="D883" t="s" s="8">
        <v>367</v>
      </c>
      <c r="E883" t="s" s="9">
        <v>367</v>
      </c>
      <c r="F883" t="s" s="10">
        <v>72</v>
      </c>
      <c r="G883" t="s" s="11">
        <v>72</v>
      </c>
      <c r="H883" t="s" s="10">
        <v>72</v>
      </c>
      <c r="I883" t="s" s="11">
        <v>72</v>
      </c>
      <c r="J883" t="s" s="11">
        <v>20</v>
      </c>
      <c r="K883" s="15"/>
      <c r="L883" t="s" s="16">
        <f>HYPERLINK("http://csr.bu.edu/ftp/asl/asllvd/demos/verify_start_end_handshape_annotations//test_auto_move//signs_mov_separ_signers/Naomi_196.mov","MOV")</f>
        <v>21</v>
      </c>
      <c r="M883" t="s" s="10">
        <v>29</v>
      </c>
      <c r="N883" s="17">
        <v>22</v>
      </c>
      <c r="O883" s="18">
        <v>1398</v>
      </c>
      <c r="P883" s="18">
        <v>1421</v>
      </c>
      <c r="Q883" s="15"/>
      <c r="R883" t="s" s="16">
        <f>HYPERLINK("http://secrets.rutgers.edu:8080/data/asl-ftp/asllvd/demos/verify_start_end_handshape_annotations//test_auto_move//signs_mov_separ_signers/Naomi_196.mov","MOV")</f>
        <v>21</v>
      </c>
    </row>
    <row r="884" s="2" customFormat="1" ht="13.5" customHeight="1">
      <c r="B884" t="s" s="8">
        <v>368</v>
      </c>
      <c r="C884" t="s" s="9">
        <v>14</v>
      </c>
      <c r="D884" t="s" s="8">
        <v>14</v>
      </c>
      <c r="E884" t="s" s="9">
        <v>14</v>
      </c>
      <c r="F884" t="s" s="10">
        <v>14</v>
      </c>
      <c r="G884" t="s" s="11">
        <v>14</v>
      </c>
      <c r="H884" t="s" s="10">
        <v>14</v>
      </c>
      <c r="I884" t="s" s="11">
        <v>14</v>
      </c>
      <c r="J884" t="s" s="11">
        <v>14</v>
      </c>
      <c r="K884" t="s" s="12">
        <v>14</v>
      </c>
      <c r="L884" t="s" s="12">
        <v>14</v>
      </c>
      <c r="M884" t="s" s="10">
        <v>14</v>
      </c>
      <c r="N884" t="s" s="11">
        <v>14</v>
      </c>
      <c r="O884" t="s" s="8">
        <v>14</v>
      </c>
      <c r="P884" t="s" s="8">
        <v>14</v>
      </c>
      <c r="Q884" t="s" s="12">
        <v>14</v>
      </c>
      <c r="R884" t="s" s="12">
        <v>14</v>
      </c>
    </row>
    <row r="885" s="2" customFormat="1" ht="13.5" customHeight="1">
      <c r="B885" s="13"/>
      <c r="C885" t="s" s="9">
        <v>16</v>
      </c>
      <c r="D885" t="s" s="8">
        <v>368</v>
      </c>
      <c r="E885" t="s" s="9">
        <v>368</v>
      </c>
      <c r="F885" t="s" s="10">
        <v>152</v>
      </c>
      <c r="G885" t="s" s="11">
        <v>105</v>
      </c>
      <c r="H885" t="s" s="10">
        <v>152</v>
      </c>
      <c r="I885" t="s" s="11">
        <v>105</v>
      </c>
      <c r="J885" t="s" s="11">
        <v>136</v>
      </c>
      <c r="K885" t="s" s="16">
        <f>HYPERLINK("http://csr.bu.edu/ftp/asl/asllvd/demos/verify_start_end_handshape_annotations//test_auto_move//signs_mov/197.mov","MOV")</f>
        <v>21</v>
      </c>
      <c r="L885" t="s" s="16">
        <f>HYPERLINK("http://csr.bu.edu/ftp/asl/asllvd/demos/verify_start_end_handshape_annotations//test_auto_move//signs_mov_separ_signers/Liz_197.mov","MOV")</f>
        <v>21</v>
      </c>
      <c r="M885" t="s" s="10">
        <v>22</v>
      </c>
      <c r="N885" s="17">
        <v>33</v>
      </c>
      <c r="O885" s="18">
        <v>825</v>
      </c>
      <c r="P885" s="18">
        <v>866</v>
      </c>
      <c r="Q885" t="s" s="16">
        <f>HYPERLINK("http://secrets.rutgers.edu:8080/data/asl-ftp/asllvd/demos/verify_start_end_handshape_annotations//test_auto_move//signs_mov/197.mov","MOV")</f>
        <v>21</v>
      </c>
      <c r="R885" t="s" s="16">
        <f>HYPERLINK("http://secrets.rutgers.edu:8080/data/asl-ftp/asllvd/demos/verify_start_end_handshape_annotations//test_auto_move//signs_mov_separ_signers/Liz_197.mov","MOV")</f>
        <v>21</v>
      </c>
    </row>
    <row r="886" s="2" customFormat="1" ht="13.5" customHeight="1">
      <c r="B886" t="s" s="8">
        <v>369</v>
      </c>
      <c r="C886" t="s" s="9">
        <v>14</v>
      </c>
      <c r="D886" t="s" s="8">
        <v>14</v>
      </c>
      <c r="E886" t="s" s="9">
        <v>14</v>
      </c>
      <c r="F886" t="s" s="10">
        <v>14</v>
      </c>
      <c r="G886" t="s" s="11">
        <v>14</v>
      </c>
      <c r="H886" t="s" s="10">
        <v>14</v>
      </c>
      <c r="I886" t="s" s="11">
        <v>14</v>
      </c>
      <c r="J886" t="s" s="11">
        <v>14</v>
      </c>
      <c r="K886" t="s" s="12">
        <v>14</v>
      </c>
      <c r="L886" t="s" s="12">
        <v>14</v>
      </c>
      <c r="M886" t="s" s="10">
        <v>14</v>
      </c>
      <c r="N886" t="s" s="11">
        <v>14</v>
      </c>
      <c r="O886" t="s" s="8">
        <v>14</v>
      </c>
      <c r="P886" t="s" s="8">
        <v>14</v>
      </c>
      <c r="Q886" t="s" s="12">
        <v>14</v>
      </c>
      <c r="R886" t="s" s="12">
        <v>14</v>
      </c>
    </row>
    <row r="887" s="2" customFormat="1" ht="13.5" customHeight="1">
      <c r="B887" s="13"/>
      <c r="C887" t="s" s="9">
        <v>16</v>
      </c>
      <c r="D887" t="s" s="8">
        <v>369</v>
      </c>
      <c r="E887" t="s" s="9">
        <v>369</v>
      </c>
      <c r="F887" s="19">
        <v>1</v>
      </c>
      <c r="G887" t="s" s="11">
        <v>68</v>
      </c>
      <c r="H887" s="19">
        <v>1</v>
      </c>
      <c r="I887" t="s" s="11">
        <v>68</v>
      </c>
      <c r="J887" t="s" s="11">
        <v>136</v>
      </c>
      <c r="K887" s="15"/>
      <c r="L887" t="s" s="16">
        <f>HYPERLINK("http://csr.bu.edu/ftp/asl/asllvd/demos/verify_start_end_handshape_annotations//test_auto_move//signs_mov_separ_signers/Liz_15357.mov","MOV")</f>
        <v>21</v>
      </c>
      <c r="M887" t="s" s="10">
        <v>22</v>
      </c>
      <c r="N887" s="17">
        <v>33</v>
      </c>
      <c r="O887" s="18">
        <v>340</v>
      </c>
      <c r="P887" s="18">
        <v>370</v>
      </c>
      <c r="Q887" s="15"/>
      <c r="R887" t="s" s="16">
        <f>HYPERLINK("http://secrets.rutgers.edu:8080/data/asl-ftp/asllvd/demos/verify_start_end_handshape_annotations//test_auto_move//signs_mov_separ_signers/Liz_15357.mov","MOV")</f>
        <v>21</v>
      </c>
    </row>
    <row r="888" s="2" customFormat="1" ht="13.5" customHeight="1">
      <c r="B888" s="13"/>
      <c r="C888" t="s" s="9">
        <v>16</v>
      </c>
      <c r="D888" t="s" s="8">
        <v>369</v>
      </c>
      <c r="E888" t="s" s="9">
        <v>369</v>
      </c>
      <c r="F888" s="19">
        <v>1</v>
      </c>
      <c r="G888" t="s" s="11">
        <v>68</v>
      </c>
      <c r="H888" s="19">
        <v>1</v>
      </c>
      <c r="I888" t="s" s="11">
        <v>68</v>
      </c>
      <c r="J888" t="s" s="11">
        <v>136</v>
      </c>
      <c r="K888" s="15"/>
      <c r="L888" t="s" s="16">
        <f>HYPERLINK("http://csr.bu.edu/ftp/asl/asllvd/demos/verify_start_end_handshape_annotations//test_auto_move//signs_mov_separ_signers/Liz_15375.mov","MOV")</f>
        <v>21</v>
      </c>
      <c r="M888" t="s" s="10">
        <v>59</v>
      </c>
      <c r="N888" s="17">
        <v>36</v>
      </c>
      <c r="O888" s="18">
        <v>1485</v>
      </c>
      <c r="P888" s="18">
        <v>1525</v>
      </c>
      <c r="Q888" s="15"/>
      <c r="R888" t="s" s="16">
        <f>HYPERLINK("http://secrets.rutgers.edu:8080/data/asl-ftp/asllvd/demos/verify_start_end_handshape_annotations//test_auto_move//signs_mov_separ_signers/Liz_15375.mov","MOV")</f>
        <v>21</v>
      </c>
    </row>
    <row r="889" s="2" customFormat="1" ht="13.5" customHeight="1">
      <c r="B889" s="13"/>
      <c r="C889" t="s" s="9">
        <v>23</v>
      </c>
      <c r="D889" t="s" s="8">
        <v>369</v>
      </c>
      <c r="E889" t="s" s="9">
        <v>369</v>
      </c>
      <c r="F889" s="19">
        <v>1</v>
      </c>
      <c r="G889" t="s" s="11">
        <v>68</v>
      </c>
      <c r="H889" s="19">
        <v>1</v>
      </c>
      <c r="I889" t="s" s="11">
        <v>68</v>
      </c>
      <c r="J889" t="s" s="11">
        <v>136</v>
      </c>
      <c r="K889" t="s" s="16">
        <f>HYPERLINK("http://csr.bu.edu/ftp/asl/asllvd/demos/verify_start_end_handshape_annotations//test_auto_move//signs_mov/15357_15375_merged.mov","MOV")</f>
        <v>21</v>
      </c>
      <c r="L889" t="s" s="16">
        <f>HYPERLINK("http://csr.bu.edu/ftp/asl/asllvd/demos/verify_start_end_handshape_annotations//test_auto_move//signs_mov_separ_signers/Tyler_15357.mov","MOV")</f>
        <v>21</v>
      </c>
      <c r="M889" t="s" s="10">
        <v>26</v>
      </c>
      <c r="N889" s="17">
        <v>21</v>
      </c>
      <c r="O889" s="18">
        <v>1337</v>
      </c>
      <c r="P889" s="18">
        <v>1372</v>
      </c>
      <c r="Q889" t="s" s="16">
        <f>HYPERLINK("http://secrets.rutgers.edu:8080/data/asl-ftp/asllvd/demos/verify_start_end_handshape_annotations//test_auto_move//signs_mov/15357_15375_merged.mov","MOV")</f>
        <v>21</v>
      </c>
      <c r="R889" t="s" s="16">
        <f>HYPERLINK("http://secrets.rutgers.edu:8080/data/asl-ftp/asllvd/demos/verify_start_end_handshape_annotations//test_auto_move//signs_mov_separ_signers/Tyler_15357.mov","MOV")</f>
        <v>21</v>
      </c>
    </row>
    <row r="890" s="2" customFormat="1" ht="13.5" customHeight="1">
      <c r="B890" s="13"/>
      <c r="C890" t="s" s="9">
        <v>27</v>
      </c>
      <c r="D890" t="s" s="8">
        <v>369</v>
      </c>
      <c r="E890" t="s" s="9">
        <v>369</v>
      </c>
      <c r="F890" s="19">
        <v>1</v>
      </c>
      <c r="G890" t="s" s="11">
        <v>68</v>
      </c>
      <c r="H890" s="19">
        <v>1</v>
      </c>
      <c r="I890" t="s" s="11">
        <v>68</v>
      </c>
      <c r="J890" t="s" s="11">
        <v>136</v>
      </c>
      <c r="K890" s="15"/>
      <c r="L890" t="s" s="16">
        <f>HYPERLINK("http://csr.bu.edu/ftp/asl/asllvd/demos/verify_start_end_handshape_annotations//test_auto_move//signs_mov_separ_signers/Naomi_15357.mov","MOV")</f>
        <v>21</v>
      </c>
      <c r="M890" t="s" s="10">
        <v>29</v>
      </c>
      <c r="N890" s="17">
        <v>22</v>
      </c>
      <c r="O890" s="18">
        <v>1105</v>
      </c>
      <c r="P890" s="18">
        <v>1137</v>
      </c>
      <c r="Q890" s="15"/>
      <c r="R890" t="s" s="16">
        <f>HYPERLINK("http://secrets.rutgers.edu:8080/data/asl-ftp/asllvd/demos/verify_start_end_handshape_annotations//test_auto_move//signs_mov_separ_signers/Naomi_15357.mov","MOV")</f>
        <v>21</v>
      </c>
    </row>
    <row r="891" s="2" customFormat="1" ht="13.5" customHeight="1">
      <c r="B891" s="13"/>
      <c r="C891" t="s" s="9">
        <v>30</v>
      </c>
      <c r="D891" t="s" s="8">
        <v>369</v>
      </c>
      <c r="E891" t="s" s="9">
        <v>369</v>
      </c>
      <c r="F891" s="19">
        <v>1</v>
      </c>
      <c r="G891" t="s" s="11">
        <v>68</v>
      </c>
      <c r="H891" s="19">
        <v>1</v>
      </c>
      <c r="I891" t="s" s="11">
        <v>68</v>
      </c>
      <c r="J891" t="s" s="11">
        <v>136</v>
      </c>
      <c r="K891" s="15"/>
      <c r="L891" t="s" s="16">
        <f>HYPERLINK("http://csr.bu.edu/ftp/asl/asllvd/demos/verify_start_end_handshape_annotations//test_auto_move//signs_mov_separ_signers/Brady_15357.mov","MOV")</f>
        <v>21</v>
      </c>
      <c r="M891" t="s" s="10">
        <v>31</v>
      </c>
      <c r="N891" s="17">
        <v>16</v>
      </c>
      <c r="O891" s="18">
        <v>9400</v>
      </c>
      <c r="P891" s="18">
        <v>9425</v>
      </c>
      <c r="Q891" s="15"/>
      <c r="R891" t="s" s="16">
        <f>HYPERLINK("http://secrets.rutgers.edu:8080/data/asl-ftp/asllvd/demos/verify_start_end_handshape_annotations//test_auto_move//signs_mov_separ_signers/Brady_15357.mov","MOV")</f>
        <v>21</v>
      </c>
    </row>
    <row r="892" s="2" customFormat="1" ht="13.5" customHeight="1">
      <c r="B892" t="s" s="8">
        <v>52</v>
      </c>
      <c r="C892" t="s" s="9">
        <v>53</v>
      </c>
      <c r="D892" t="s" s="8">
        <v>53</v>
      </c>
      <c r="E892" t="s" s="9">
        <v>53</v>
      </c>
      <c r="F892" t="s" s="10">
        <v>53</v>
      </c>
      <c r="G892" t="s" s="11">
        <v>53</v>
      </c>
      <c r="H892" t="s" s="10">
        <v>53</v>
      </c>
      <c r="I892" t="s" s="11">
        <v>53</v>
      </c>
      <c r="J892" t="s" s="11">
        <v>53</v>
      </c>
      <c r="K892" t="s" s="12">
        <v>53</v>
      </c>
      <c r="L892" t="s" s="12">
        <v>53</v>
      </c>
      <c r="M892" t="s" s="10">
        <v>53</v>
      </c>
      <c r="N892" t="s" s="11">
        <v>53</v>
      </c>
      <c r="O892" t="s" s="8">
        <v>53</v>
      </c>
      <c r="P892" t="s" s="8">
        <v>53</v>
      </c>
      <c r="Q892" t="s" s="12">
        <v>53</v>
      </c>
      <c r="R892" t="s" s="12">
        <v>53</v>
      </c>
    </row>
    <row r="893" s="2" customFormat="1" ht="13.5" customHeight="1">
      <c r="B893" s="13"/>
      <c r="C893" t="s" s="9">
        <v>16</v>
      </c>
      <c r="D893" t="s" s="8">
        <v>369</v>
      </c>
      <c r="E893" t="s" s="9">
        <v>370</v>
      </c>
      <c r="F893" t="s" s="10">
        <v>337</v>
      </c>
      <c r="G893" t="s" s="11">
        <v>68</v>
      </c>
      <c r="H893" t="s" s="10">
        <v>337</v>
      </c>
      <c r="I893" t="s" s="11">
        <v>68</v>
      </c>
      <c r="J893" t="s" s="11">
        <v>136</v>
      </c>
      <c r="K893" t="s" s="16">
        <f>HYPERLINK("http://csr.bu.edu/ftp/asl/asllvd/demos/verify_start_end_handshape_annotations//test_auto_move//signs_mov/15381.mov","MOV")</f>
        <v>21</v>
      </c>
      <c r="L893" t="s" s="16">
        <f>HYPERLINK("http://csr.bu.edu/ftp/asl/asllvd/demos/verify_start_end_handshape_annotations//test_auto_move//signs_mov_separ_signers/Liz_15381.mov","MOV")</f>
        <v>21</v>
      </c>
      <c r="M893" t="s" s="10">
        <v>77</v>
      </c>
      <c r="N893" s="17">
        <v>28</v>
      </c>
      <c r="O893" s="18">
        <v>3185</v>
      </c>
      <c r="P893" s="18">
        <v>3255</v>
      </c>
      <c r="Q893" t="s" s="16">
        <f>HYPERLINK("http://secrets.rutgers.edu:8080/data/asl-ftp/asllvd/demos/verify_start_end_handshape_annotations//test_auto_move//signs_mov/15381.mov","MOV")</f>
        <v>21</v>
      </c>
      <c r="R893" t="s" s="16">
        <f>HYPERLINK("http://secrets.rutgers.edu:8080/data/asl-ftp/asllvd/demos/verify_start_end_handshape_annotations//test_auto_move//signs_mov_separ_signers/Liz_15381.mov","MOV")</f>
        <v>21</v>
      </c>
    </row>
    <row r="894" s="2" customFormat="1" ht="13.5" customHeight="1">
      <c r="B894" t="s" s="8">
        <v>371</v>
      </c>
      <c r="C894" t="s" s="9">
        <v>14</v>
      </c>
      <c r="D894" t="s" s="8">
        <v>14</v>
      </c>
      <c r="E894" t="s" s="9">
        <v>14</v>
      </c>
      <c r="F894" t="s" s="10">
        <v>14</v>
      </c>
      <c r="G894" t="s" s="11">
        <v>14</v>
      </c>
      <c r="H894" t="s" s="10">
        <v>14</v>
      </c>
      <c r="I894" t="s" s="11">
        <v>14</v>
      </c>
      <c r="J894" t="s" s="11">
        <v>14</v>
      </c>
      <c r="K894" t="s" s="12">
        <v>14</v>
      </c>
      <c r="L894" t="s" s="12">
        <v>14</v>
      </c>
      <c r="M894" t="s" s="10">
        <v>14</v>
      </c>
      <c r="N894" t="s" s="11">
        <v>14</v>
      </c>
      <c r="O894" t="s" s="8">
        <v>14</v>
      </c>
      <c r="P894" t="s" s="8">
        <v>14</v>
      </c>
      <c r="Q894" t="s" s="12">
        <v>14</v>
      </c>
      <c r="R894" t="s" s="12">
        <v>14</v>
      </c>
    </row>
    <row r="895" s="2" customFormat="1" ht="13.5" customHeight="1">
      <c r="B895" s="13"/>
      <c r="C895" t="s" s="9">
        <v>16</v>
      </c>
      <c r="D895" t="s" s="8">
        <v>371</v>
      </c>
      <c r="E895" t="s" s="9">
        <v>371</v>
      </c>
      <c r="F895" s="19">
        <v>1</v>
      </c>
      <c r="G895" t="s" s="11">
        <v>68</v>
      </c>
      <c r="H895" s="19">
        <v>1</v>
      </c>
      <c r="I895" t="s" s="11">
        <v>68</v>
      </c>
      <c r="J895" t="s" s="11">
        <v>136</v>
      </c>
      <c r="K895" t="s" s="16">
        <f>HYPERLINK("http://csr.bu.edu/ftp/asl/asllvd/demos/verify_start_end_handshape_annotations//test_auto_move//signs_mov/15420.mov","MOV")</f>
        <v>21</v>
      </c>
      <c r="L895" t="s" s="16">
        <f>HYPERLINK("http://csr.bu.edu/ftp/asl/asllvd/demos/verify_start_end_handshape_annotations//test_auto_move//signs_mov_separ_signers/Liz_15420.mov","MOV")</f>
        <v>21</v>
      </c>
      <c r="M895" t="s" s="10">
        <v>84</v>
      </c>
      <c r="N895" s="17">
        <v>32</v>
      </c>
      <c r="O895" s="18">
        <v>1977</v>
      </c>
      <c r="P895" s="18">
        <v>2010</v>
      </c>
      <c r="Q895" t="s" s="16">
        <f>HYPERLINK("http://secrets.rutgers.edu:8080/data/asl-ftp/asllvd/demos/verify_start_end_handshape_annotations//test_auto_move//signs_mov/15420.mov","MOV")</f>
        <v>21</v>
      </c>
      <c r="R895" t="s" s="16">
        <f>HYPERLINK("http://secrets.rutgers.edu:8080/data/asl-ftp/asllvd/demos/verify_start_end_handshape_annotations//test_auto_move//signs_mov_separ_signers/Liz_15420.mov","MOV")</f>
        <v>21</v>
      </c>
    </row>
    <row r="896" s="2" customFormat="1" ht="13.5" customHeight="1">
      <c r="B896" s="13"/>
      <c r="C896" t="s" s="9">
        <v>30</v>
      </c>
      <c r="D896" t="s" s="8">
        <v>371</v>
      </c>
      <c r="E896" t="s" s="9">
        <v>371</v>
      </c>
      <c r="F896" s="19">
        <v>1</v>
      </c>
      <c r="G896" t="s" s="11">
        <v>63</v>
      </c>
      <c r="H896" s="19">
        <v>1</v>
      </c>
      <c r="I896" t="s" s="11">
        <v>63</v>
      </c>
      <c r="J896" t="s" s="11">
        <v>136</v>
      </c>
      <c r="K896" s="15"/>
      <c r="L896" t="s" s="16">
        <f>HYPERLINK("http://csr.bu.edu/ftp/asl/asllvd/demos/verify_start_end_handshape_annotations//test_auto_move//signs_mov_separ_signers/Brady_15420.mov","MOV")</f>
        <v>21</v>
      </c>
      <c r="M896" t="s" s="10">
        <v>39</v>
      </c>
      <c r="N896" s="17">
        <v>12</v>
      </c>
      <c r="O896" s="18">
        <v>6252</v>
      </c>
      <c r="P896" s="18">
        <v>6270</v>
      </c>
      <c r="Q896" s="15"/>
      <c r="R896" t="s" s="16">
        <f>HYPERLINK("http://secrets.rutgers.edu:8080/data/asl-ftp/asllvd/demos/verify_start_end_handshape_annotations//test_auto_move//signs_mov_separ_signers/Brady_15420.mov","MOV")</f>
        <v>21</v>
      </c>
    </row>
    <row r="897" s="2" customFormat="1" ht="13.5" customHeight="1">
      <c r="B897" t="s" s="8">
        <v>372</v>
      </c>
      <c r="C897" t="s" s="9">
        <v>14</v>
      </c>
      <c r="D897" t="s" s="8">
        <v>14</v>
      </c>
      <c r="E897" t="s" s="9">
        <v>14</v>
      </c>
      <c r="F897" t="s" s="10">
        <v>14</v>
      </c>
      <c r="G897" t="s" s="11">
        <v>14</v>
      </c>
      <c r="H897" t="s" s="10">
        <v>14</v>
      </c>
      <c r="I897" t="s" s="11">
        <v>14</v>
      </c>
      <c r="J897" t="s" s="11">
        <v>14</v>
      </c>
      <c r="K897" t="s" s="12">
        <v>14</v>
      </c>
      <c r="L897" t="s" s="12">
        <v>14</v>
      </c>
      <c r="M897" t="s" s="10">
        <v>14</v>
      </c>
      <c r="N897" t="s" s="11">
        <v>14</v>
      </c>
      <c r="O897" t="s" s="8">
        <v>14</v>
      </c>
      <c r="P897" t="s" s="8">
        <v>14</v>
      </c>
      <c r="Q897" t="s" s="12">
        <v>14</v>
      </c>
      <c r="R897" t="s" s="12">
        <v>14</v>
      </c>
    </row>
    <row r="898" s="2" customFormat="1" ht="13.5" customHeight="1">
      <c r="B898" s="13"/>
      <c r="C898" t="s" s="9">
        <v>16</v>
      </c>
      <c r="D898" t="s" s="8">
        <v>372</v>
      </c>
      <c r="E898" t="s" s="9">
        <v>372</v>
      </c>
      <c r="F898" t="s" s="10">
        <v>373</v>
      </c>
      <c r="G898" t="s" s="11">
        <v>373</v>
      </c>
      <c r="H898" t="s" s="10">
        <v>373</v>
      </c>
      <c r="I898" t="s" s="11">
        <v>373</v>
      </c>
      <c r="J898" t="s" s="11">
        <v>20</v>
      </c>
      <c r="K898" s="15"/>
      <c r="L898" t="s" s="16">
        <f>HYPERLINK("http://csr.bu.edu/ftp/asl/asllvd/demos/verify_start_end_handshape_annotations//test_auto_move//signs_mov_separ_signers/Liz_198.mov","MOV")</f>
        <v>21</v>
      </c>
      <c r="M898" t="s" s="10">
        <v>22</v>
      </c>
      <c r="N898" s="17">
        <v>33</v>
      </c>
      <c r="O898" s="18">
        <v>1040</v>
      </c>
      <c r="P898" s="18">
        <v>1065</v>
      </c>
      <c r="Q898" s="15"/>
      <c r="R898" t="s" s="16">
        <f>HYPERLINK("http://secrets.rutgers.edu:8080/data/asl-ftp/asllvd/demos/verify_start_end_handshape_annotations//test_auto_move//signs_mov_separ_signers/Liz_198.mov","MOV")</f>
        <v>21</v>
      </c>
    </row>
    <row r="899" s="2" customFormat="1" ht="13.5" customHeight="1">
      <c r="B899" s="13"/>
      <c r="C899" t="s" s="9">
        <v>23</v>
      </c>
      <c r="D899" t="s" s="8">
        <v>372</v>
      </c>
      <c r="E899" t="s" s="9">
        <v>372</v>
      </c>
      <c r="F899" t="s" s="10">
        <v>373</v>
      </c>
      <c r="G899" t="s" s="11">
        <v>373</v>
      </c>
      <c r="H899" t="s" s="10">
        <v>373</v>
      </c>
      <c r="I899" t="s" s="11">
        <v>373</v>
      </c>
      <c r="J899" t="s" s="11">
        <v>20</v>
      </c>
      <c r="K899" t="s" s="16">
        <f>HYPERLINK("http://csr.bu.edu/ftp/asl/asllvd/demos/verify_start_end_handshape_annotations//test_auto_move//signs_mov/198.mov","MOV")</f>
        <v>21</v>
      </c>
      <c r="L899" t="s" s="16">
        <f>HYPERLINK("http://csr.bu.edu/ftp/asl/asllvd/demos/verify_start_end_handshape_annotations//test_auto_move//signs_mov_separ_signers/Tyler_198.mov","MOV")</f>
        <v>21</v>
      </c>
      <c r="M899" t="s" s="10">
        <v>26</v>
      </c>
      <c r="N899" s="17">
        <v>21</v>
      </c>
      <c r="O899" s="18">
        <v>2420</v>
      </c>
      <c r="P899" s="18">
        <v>2455</v>
      </c>
      <c r="Q899" t="s" s="16">
        <f>HYPERLINK("http://secrets.rutgers.edu:8080/data/asl-ftp/asllvd/demos/verify_start_end_handshape_annotations//test_auto_move//signs_mov/198.mov","MOV")</f>
        <v>21</v>
      </c>
      <c r="R899" t="s" s="16">
        <f>HYPERLINK("http://secrets.rutgers.edu:8080/data/asl-ftp/asllvd/demos/verify_start_end_handshape_annotations//test_auto_move//signs_mov_separ_signers/Tyler_198.mov","MOV")</f>
        <v>21</v>
      </c>
    </row>
    <row r="900" s="2" customFormat="1" ht="13.5" customHeight="1">
      <c r="B900" s="13"/>
      <c r="C900" t="s" s="9">
        <v>27</v>
      </c>
      <c r="D900" t="s" s="8">
        <v>372</v>
      </c>
      <c r="E900" t="s" s="9">
        <v>372</v>
      </c>
      <c r="F900" t="s" s="10">
        <v>373</v>
      </c>
      <c r="G900" t="s" s="11">
        <v>373</v>
      </c>
      <c r="H900" t="s" s="10">
        <v>373</v>
      </c>
      <c r="I900" t="s" s="11">
        <v>373</v>
      </c>
      <c r="J900" t="s" s="11">
        <v>20</v>
      </c>
      <c r="K900" s="15"/>
      <c r="L900" t="s" s="16">
        <f>HYPERLINK("http://csr.bu.edu/ftp/asl/asllvd/demos/verify_start_end_handshape_annotations//test_auto_move//signs_mov_separ_signers/Naomi_198.mov","MOV")</f>
        <v>21</v>
      </c>
      <c r="M900" t="s" s="10">
        <v>29</v>
      </c>
      <c r="N900" s="17">
        <v>22</v>
      </c>
      <c r="O900" s="18">
        <v>2650</v>
      </c>
      <c r="P900" s="18">
        <v>2667</v>
      </c>
      <c r="Q900" s="15"/>
      <c r="R900" t="s" s="16">
        <f>HYPERLINK("http://secrets.rutgers.edu:8080/data/asl-ftp/asllvd/demos/verify_start_end_handshape_annotations//test_auto_move//signs_mov_separ_signers/Naomi_198.mov","MOV")</f>
        <v>21</v>
      </c>
    </row>
    <row r="901" s="2" customFormat="1" ht="13.5" customHeight="1">
      <c r="B901" t="s" s="8">
        <v>52</v>
      </c>
      <c r="C901" t="s" s="9">
        <v>53</v>
      </c>
      <c r="D901" t="s" s="8">
        <v>53</v>
      </c>
      <c r="E901" t="s" s="9">
        <v>53</v>
      </c>
      <c r="F901" t="s" s="10">
        <v>53</v>
      </c>
      <c r="G901" t="s" s="11">
        <v>53</v>
      </c>
      <c r="H901" t="s" s="10">
        <v>53</v>
      </c>
      <c r="I901" t="s" s="11">
        <v>53</v>
      </c>
      <c r="J901" t="s" s="11">
        <v>53</v>
      </c>
      <c r="K901" t="s" s="12">
        <v>53</v>
      </c>
      <c r="L901" t="s" s="12">
        <v>53</v>
      </c>
      <c r="M901" t="s" s="10">
        <v>53</v>
      </c>
      <c r="N901" t="s" s="11">
        <v>53</v>
      </c>
      <c r="O901" t="s" s="8">
        <v>53</v>
      </c>
      <c r="P901" t="s" s="8">
        <v>53</v>
      </c>
      <c r="Q901" t="s" s="12">
        <v>53</v>
      </c>
      <c r="R901" t="s" s="12">
        <v>53</v>
      </c>
    </row>
    <row r="902" s="2" customFormat="1" ht="13.5" customHeight="1">
      <c r="B902" s="13"/>
      <c r="C902" t="s" s="9">
        <v>30</v>
      </c>
      <c r="D902" t="s" s="8">
        <v>372</v>
      </c>
      <c r="E902" t="s" s="9">
        <v>374</v>
      </c>
      <c r="F902" t="s" s="10">
        <v>72</v>
      </c>
      <c r="G902" t="s" s="11">
        <v>72</v>
      </c>
      <c r="H902" t="s" s="10">
        <v>72</v>
      </c>
      <c r="I902" t="s" s="11">
        <v>72</v>
      </c>
      <c r="J902" t="s" s="11">
        <v>20</v>
      </c>
      <c r="K902" s="15"/>
      <c r="L902" t="s" s="16">
        <f>HYPERLINK("http://csr.bu.edu/ftp/asl/asllvd/demos/verify_start_end_handshape_annotations//test_auto_move//signs_mov_separ_signers/Brady_5100.mov","MOV")</f>
        <v>21</v>
      </c>
      <c r="M902" t="s" s="10">
        <v>31</v>
      </c>
      <c r="N902" s="17">
        <v>16</v>
      </c>
      <c r="O902" s="18">
        <v>10199</v>
      </c>
      <c r="P902" s="18">
        <v>10220</v>
      </c>
      <c r="Q902" s="15"/>
      <c r="R902" t="s" s="16">
        <f>HYPERLINK("http://secrets.rutgers.edu:8080/data/asl-ftp/asllvd/demos/verify_start_end_handshape_annotations//test_auto_move//signs_mov_separ_signers/Brady_5100.mov","MOV")</f>
        <v>21</v>
      </c>
    </row>
    <row r="903" s="2" customFormat="1" ht="13.5" customHeight="1">
      <c r="B903" s="13"/>
      <c r="C903" t="s" s="9">
        <v>30</v>
      </c>
      <c r="D903" t="s" s="8">
        <v>372</v>
      </c>
      <c r="E903" t="s" s="9">
        <v>374</v>
      </c>
      <c r="F903" t="s" s="10">
        <v>72</v>
      </c>
      <c r="G903" t="s" s="11">
        <v>72</v>
      </c>
      <c r="H903" t="s" s="10">
        <v>72</v>
      </c>
      <c r="I903" t="s" s="11">
        <v>72</v>
      </c>
      <c r="J903" t="s" s="11">
        <v>20</v>
      </c>
      <c r="K903" t="s" s="16">
        <f>HYPERLINK("http://csr.bu.edu/ftp/asl/asllvd/demos/verify_start_end_handshape_annotations//test_auto_move//signs_mov/5100_5948_merged.mov","MOV")</f>
        <v>21</v>
      </c>
      <c r="L903" t="s" s="16">
        <f>HYPERLINK("http://csr.bu.edu/ftp/asl/asllvd/demos/verify_start_end_handshape_annotations//test_auto_move//signs_mov_separ_signers/Brady_5948.mov","MOV")</f>
        <v>21</v>
      </c>
      <c r="M903" t="s" s="10">
        <v>40</v>
      </c>
      <c r="N903" s="17">
        <v>117</v>
      </c>
      <c r="O903" s="18">
        <v>3662</v>
      </c>
      <c r="P903" s="18">
        <v>3685</v>
      </c>
      <c r="Q903" t="s" s="16">
        <f>HYPERLINK("http://secrets.rutgers.edu:8080/data/asl-ftp/asllvd/demos/verify_start_end_handshape_annotations//test_auto_move//signs_mov/5100_5948_merged.mov","MOV")</f>
        <v>21</v>
      </c>
      <c r="R903" t="s" s="16">
        <f>HYPERLINK("http://secrets.rutgers.edu:8080/data/asl-ftp/asllvd/demos/verify_start_end_handshape_annotations//test_auto_move//signs_mov_separ_signers/Brady_5948.mov","MOV")</f>
        <v>21</v>
      </c>
    </row>
    <row r="904" s="2" customFormat="1" ht="13.5" customHeight="1">
      <c r="B904" s="13"/>
      <c r="C904" t="s" s="9">
        <v>41</v>
      </c>
      <c r="D904" t="s" s="8">
        <v>372</v>
      </c>
      <c r="E904" t="s" s="9">
        <v>374</v>
      </c>
      <c r="F904" t="s" s="10">
        <v>72</v>
      </c>
      <c r="G904" t="s" s="11">
        <v>72</v>
      </c>
      <c r="H904" t="s" s="10">
        <v>72</v>
      </c>
      <c r="I904" t="s" s="11">
        <v>72</v>
      </c>
      <c r="J904" t="s" s="11">
        <v>20</v>
      </c>
      <c r="K904" s="15"/>
      <c r="L904" t="s" s="16">
        <f>HYPERLINK("http://csr.bu.edu/ftp/asl/asllvd/demos/verify_start_end_handshape_annotations//test_auto_move//signs_mov_separ_signers/Lana_5100.mov","MOV")</f>
        <v>21</v>
      </c>
      <c r="M904" t="s" s="10">
        <v>42</v>
      </c>
      <c r="N904" s="17">
        <v>3</v>
      </c>
      <c r="O904" s="18">
        <v>1568</v>
      </c>
      <c r="P904" s="18">
        <v>1593</v>
      </c>
      <c r="Q904" s="15"/>
      <c r="R904" t="s" s="16">
        <f>HYPERLINK("http://secrets.rutgers.edu:8080/data/asl-ftp/asllvd/demos/verify_start_end_handshape_annotations//test_auto_move//signs_mov_separ_signers/Lana_5100.mov","MOV")</f>
        <v>21</v>
      </c>
    </row>
    <row r="905" s="2" customFormat="1" ht="13.5" customHeight="1">
      <c r="B905" s="13"/>
      <c r="C905" t="s" s="9">
        <v>43</v>
      </c>
      <c r="D905" t="s" s="8">
        <v>372</v>
      </c>
      <c r="E905" t="s" s="9">
        <v>374</v>
      </c>
      <c r="F905" t="s" s="10">
        <v>72</v>
      </c>
      <c r="G905" t="s" s="11">
        <v>72</v>
      </c>
      <c r="H905" t="s" s="10">
        <v>72</v>
      </c>
      <c r="I905" t="s" s="11">
        <v>72</v>
      </c>
      <c r="J905" t="s" s="11">
        <v>20</v>
      </c>
      <c r="K905" s="15"/>
      <c r="L905" t="s" s="16">
        <f>HYPERLINK("http://csr.bu.edu/ftp/asl/asllvd/demos/verify_start_end_handshape_annotations//test_auto_move//signs_mov_separ_signers/Dana_5100.mov","MOV")</f>
        <v>21</v>
      </c>
      <c r="M905" t="s" s="10">
        <v>44</v>
      </c>
      <c r="N905" s="17">
        <v>7</v>
      </c>
      <c r="O905" s="18">
        <v>1568</v>
      </c>
      <c r="P905" s="18">
        <v>1613</v>
      </c>
      <c r="Q905" s="15"/>
      <c r="R905" t="s" s="16">
        <f>HYPERLINK("http://secrets.rutgers.edu:8080/data/asl-ftp/asllvd/demos/verify_start_end_handshape_annotations//test_auto_move//signs_mov_separ_signers/Dana_5100.mov","MOV")</f>
        <v>21</v>
      </c>
    </row>
    <row r="906" s="2" customFormat="1" ht="13.5" customHeight="1">
      <c r="B906" t="s" s="8">
        <v>375</v>
      </c>
      <c r="C906" t="s" s="9">
        <v>14</v>
      </c>
      <c r="D906" t="s" s="8">
        <v>14</v>
      </c>
      <c r="E906" t="s" s="9">
        <v>14</v>
      </c>
      <c r="F906" t="s" s="10">
        <v>14</v>
      </c>
      <c r="G906" t="s" s="11">
        <v>14</v>
      </c>
      <c r="H906" t="s" s="10">
        <v>14</v>
      </c>
      <c r="I906" t="s" s="11">
        <v>14</v>
      </c>
      <c r="J906" t="s" s="11">
        <v>14</v>
      </c>
      <c r="K906" t="s" s="12">
        <v>14</v>
      </c>
      <c r="L906" t="s" s="12">
        <v>14</v>
      </c>
      <c r="M906" t="s" s="10">
        <v>14</v>
      </c>
      <c r="N906" t="s" s="11">
        <v>14</v>
      </c>
      <c r="O906" t="s" s="8">
        <v>14</v>
      </c>
      <c r="P906" t="s" s="8">
        <v>14</v>
      </c>
      <c r="Q906" t="s" s="12">
        <v>14</v>
      </c>
      <c r="R906" t="s" s="12">
        <v>14</v>
      </c>
    </row>
    <row r="907" s="2" customFormat="1" ht="13.5" customHeight="1">
      <c r="B907" s="13"/>
      <c r="C907" t="s" s="9">
        <v>23</v>
      </c>
      <c r="D907" t="s" s="8">
        <v>375</v>
      </c>
      <c r="E907" t="s" s="9">
        <v>375</v>
      </c>
      <c r="F907" t="s" s="10">
        <v>70</v>
      </c>
      <c r="G907" t="s" s="11">
        <v>70</v>
      </c>
      <c r="H907" s="19">
        <v>1</v>
      </c>
      <c r="I907" s="17">
        <v>1</v>
      </c>
      <c r="J907" t="s" s="11">
        <v>20</v>
      </c>
      <c r="K907" t="s" s="16">
        <f>HYPERLINK("http://csr.bu.edu/ftp/asl/asllvd/demos/verify_start_end_handshape_annotations//test_auto_move//signs_mov/199.mov","MOV")</f>
        <v>21</v>
      </c>
      <c r="L907" t="s" s="16">
        <f>HYPERLINK("http://csr.bu.edu/ftp/asl/asllvd/demos/verify_start_end_handshape_annotations//test_auto_move//signs_mov_separ_signers/Tyler_199.mov","MOV")</f>
        <v>21</v>
      </c>
      <c r="M907" t="s" s="10">
        <v>26</v>
      </c>
      <c r="N907" s="17">
        <v>21</v>
      </c>
      <c r="O907" s="18">
        <v>3115</v>
      </c>
      <c r="P907" s="18">
        <v>3140</v>
      </c>
      <c r="Q907" t="s" s="16">
        <f>HYPERLINK("http://secrets.rutgers.edu:8080/data/asl-ftp/asllvd/demos/verify_start_end_handshape_annotations//test_auto_move//signs_mov/199.mov","MOV")</f>
        <v>21</v>
      </c>
      <c r="R907" t="s" s="16">
        <f>HYPERLINK("http://secrets.rutgers.edu:8080/data/asl-ftp/asllvd/demos/verify_start_end_handshape_annotations//test_auto_move//signs_mov_separ_signers/Tyler_199.mov","MOV")</f>
        <v>21</v>
      </c>
    </row>
    <row r="908" s="2" customFormat="1" ht="13.5" customHeight="1">
      <c r="B908" s="13"/>
      <c r="C908" t="s" s="9">
        <v>30</v>
      </c>
      <c r="D908" t="s" s="8">
        <v>375</v>
      </c>
      <c r="E908" t="s" s="9">
        <v>376</v>
      </c>
      <c r="F908" t="s" s="10">
        <v>70</v>
      </c>
      <c r="G908" t="s" s="11">
        <v>70</v>
      </c>
      <c r="H908" s="19">
        <v>1</v>
      </c>
      <c r="I908" s="17">
        <v>1</v>
      </c>
      <c r="J908" t="s" s="11">
        <v>20</v>
      </c>
      <c r="K908" s="15"/>
      <c r="L908" t="s" s="16">
        <f>HYPERLINK("http://csr.bu.edu/ftp/asl/asllvd/demos/verify_start_end_handshape_annotations//test_auto_move//signs_mov_separ_signers/Brady_199.mov","MOV")</f>
        <v>21</v>
      </c>
      <c r="M908" t="s" s="10">
        <v>31</v>
      </c>
      <c r="N908" s="17">
        <v>16</v>
      </c>
      <c r="O908" s="18">
        <v>10414</v>
      </c>
      <c r="P908" s="18">
        <v>10446</v>
      </c>
      <c r="Q908" s="15"/>
      <c r="R908" t="s" s="16">
        <f>HYPERLINK("http://secrets.rutgers.edu:8080/data/asl-ftp/asllvd/demos/verify_start_end_handshape_annotations//test_auto_move//signs_mov_separ_signers/Brady_199.mov","MOV")</f>
        <v>21</v>
      </c>
    </row>
    <row r="909" s="2" customFormat="1" ht="13.5" customHeight="1">
      <c r="B909" t="s" s="8">
        <v>52</v>
      </c>
      <c r="C909" t="s" s="9">
        <v>53</v>
      </c>
      <c r="D909" t="s" s="8">
        <v>53</v>
      </c>
      <c r="E909" t="s" s="9">
        <v>53</v>
      </c>
      <c r="F909" t="s" s="10">
        <v>53</v>
      </c>
      <c r="G909" t="s" s="11">
        <v>53</v>
      </c>
      <c r="H909" t="s" s="10">
        <v>53</v>
      </c>
      <c r="I909" t="s" s="11">
        <v>53</v>
      </c>
      <c r="J909" t="s" s="11">
        <v>53</v>
      </c>
      <c r="K909" t="s" s="12">
        <v>53</v>
      </c>
      <c r="L909" t="s" s="12">
        <v>53</v>
      </c>
      <c r="M909" t="s" s="10">
        <v>53</v>
      </c>
      <c r="N909" t="s" s="11">
        <v>53</v>
      </c>
      <c r="O909" t="s" s="8">
        <v>53</v>
      </c>
      <c r="P909" t="s" s="8">
        <v>53</v>
      </c>
      <c r="Q909" t="s" s="12">
        <v>53</v>
      </c>
      <c r="R909" t="s" s="12">
        <v>53</v>
      </c>
    </row>
    <row r="910" s="2" customFormat="1" ht="13.5" customHeight="1">
      <c r="B910" s="13"/>
      <c r="C910" t="s" s="9">
        <v>27</v>
      </c>
      <c r="D910" t="s" s="8">
        <v>375</v>
      </c>
      <c r="E910" t="s" s="9">
        <v>377</v>
      </c>
      <c r="F910" t="s" s="10">
        <v>255</v>
      </c>
      <c r="G910" t="s" s="11">
        <v>255</v>
      </c>
      <c r="H910" t="s" s="10">
        <v>255</v>
      </c>
      <c r="I910" t="s" s="11">
        <v>255</v>
      </c>
      <c r="J910" t="s" s="11">
        <v>20</v>
      </c>
      <c r="K910" t="s" s="16">
        <f>HYPERLINK("http://csr.bu.edu/ftp/asl/asllvd/demos/verify_start_end_handshape_annotations//test_auto_move//signs_mov/5101.mov","MOV")</f>
        <v>21</v>
      </c>
      <c r="L910" t="s" s="16">
        <f>HYPERLINK("http://csr.bu.edu/ftp/asl/asllvd/demos/verify_start_end_handshape_annotations//test_auto_move//signs_mov_separ_signers/Naomi_5101.mov","MOV")</f>
        <v>21</v>
      </c>
      <c r="M910" t="s" s="10">
        <v>29</v>
      </c>
      <c r="N910" s="17">
        <v>22</v>
      </c>
      <c r="O910" s="18">
        <v>2997</v>
      </c>
      <c r="P910" s="18">
        <v>3027</v>
      </c>
      <c r="Q910" t="s" s="16">
        <f>HYPERLINK("http://secrets.rutgers.edu:8080/data/asl-ftp/asllvd/demos/verify_start_end_handshape_annotations//test_auto_move//signs_mov/5101.mov","MOV")</f>
        <v>21</v>
      </c>
      <c r="R910" t="s" s="16">
        <f>HYPERLINK("http://secrets.rutgers.edu:8080/data/asl-ftp/asllvd/demos/verify_start_end_handshape_annotations//test_auto_move//signs_mov_separ_signers/Naomi_5101.mov","MOV")</f>
        <v>21</v>
      </c>
    </row>
    <row r="911" s="2" customFormat="1" ht="13.5" customHeight="1">
      <c r="B911" t="s" s="8">
        <v>52</v>
      </c>
      <c r="C911" t="s" s="9">
        <v>53</v>
      </c>
      <c r="D911" t="s" s="8">
        <v>53</v>
      </c>
      <c r="E911" t="s" s="9">
        <v>53</v>
      </c>
      <c r="F911" t="s" s="10">
        <v>53</v>
      </c>
      <c r="G911" t="s" s="11">
        <v>53</v>
      </c>
      <c r="H911" t="s" s="10">
        <v>53</v>
      </c>
      <c r="I911" t="s" s="11">
        <v>53</v>
      </c>
      <c r="J911" t="s" s="11">
        <v>53</v>
      </c>
      <c r="K911" t="s" s="12">
        <v>53</v>
      </c>
      <c r="L911" t="s" s="12">
        <v>53</v>
      </c>
      <c r="M911" t="s" s="10">
        <v>53</v>
      </c>
      <c r="N911" t="s" s="11">
        <v>53</v>
      </c>
      <c r="O911" t="s" s="8">
        <v>53</v>
      </c>
      <c r="P911" t="s" s="8">
        <v>53</v>
      </c>
      <c r="Q911" t="s" s="12">
        <v>53</v>
      </c>
      <c r="R911" t="s" s="12">
        <v>53</v>
      </c>
    </row>
    <row r="912" s="2" customFormat="1" ht="13.5" customHeight="1">
      <c r="B912" s="13"/>
      <c r="C912" t="s" s="9">
        <v>16</v>
      </c>
      <c r="D912" t="s" s="8">
        <v>375</v>
      </c>
      <c r="E912" t="s" s="9">
        <v>378</v>
      </c>
      <c r="F912" s="19">
        <v>1</v>
      </c>
      <c r="G912" s="17">
        <v>1</v>
      </c>
      <c r="H912" t="s" s="10">
        <v>255</v>
      </c>
      <c r="I912" t="s" s="11">
        <v>255</v>
      </c>
      <c r="J912" t="s" s="11">
        <v>20</v>
      </c>
      <c r="K912" t="s" s="16">
        <f>HYPERLINK("http://csr.bu.edu/ftp/asl/asllvd/demos/verify_start_end_handshape_annotations//test_auto_move//signs_mov/16226.mov","MOV")</f>
        <v>21</v>
      </c>
      <c r="L912" t="s" s="16">
        <f>HYPERLINK("http://csr.bu.edu/ftp/asl/asllvd/demos/verify_start_end_handshape_annotations//test_auto_move//signs_mov_separ_signers/Liz_16226.mov","MOV")</f>
        <v>21</v>
      </c>
      <c r="M912" t="s" s="10">
        <v>22</v>
      </c>
      <c r="N912" s="17">
        <v>33</v>
      </c>
      <c r="O912" s="18">
        <v>1296</v>
      </c>
      <c r="P912" s="18">
        <v>1335</v>
      </c>
      <c r="Q912" t="s" s="16">
        <f>HYPERLINK("http://secrets.rutgers.edu:8080/data/asl-ftp/asllvd/demos/verify_start_end_handshape_annotations//test_auto_move//signs_mov/16226.mov","MOV")</f>
        <v>21</v>
      </c>
      <c r="R912" t="s" s="16">
        <f>HYPERLINK("http://secrets.rutgers.edu:8080/data/asl-ftp/asllvd/demos/verify_start_end_handshape_annotations//test_auto_move//signs_mov_separ_signers/Liz_16226.mov","MOV")</f>
        <v>21</v>
      </c>
    </row>
    <row r="913" s="2" customFormat="1" ht="13.5" customHeight="1">
      <c r="B913" t="s" s="8">
        <v>379</v>
      </c>
      <c r="C913" t="s" s="9">
        <v>14</v>
      </c>
      <c r="D913" t="s" s="8">
        <v>14</v>
      </c>
      <c r="E913" t="s" s="9">
        <v>14</v>
      </c>
      <c r="F913" t="s" s="10">
        <v>14</v>
      </c>
      <c r="G913" t="s" s="11">
        <v>14</v>
      </c>
      <c r="H913" t="s" s="10">
        <v>14</v>
      </c>
      <c r="I913" t="s" s="11">
        <v>14</v>
      </c>
      <c r="J913" t="s" s="11">
        <v>14</v>
      </c>
      <c r="K913" t="s" s="12">
        <v>14</v>
      </c>
      <c r="L913" t="s" s="12">
        <v>14</v>
      </c>
      <c r="M913" t="s" s="10">
        <v>14</v>
      </c>
      <c r="N913" t="s" s="11">
        <v>14</v>
      </c>
      <c r="O913" t="s" s="8">
        <v>14</v>
      </c>
      <c r="P913" t="s" s="8">
        <v>14</v>
      </c>
      <c r="Q913" t="s" s="12">
        <v>14</v>
      </c>
      <c r="R913" t="s" s="12">
        <v>14</v>
      </c>
    </row>
    <row r="914" s="2" customFormat="1" ht="13.5" customHeight="1">
      <c r="B914" s="13"/>
      <c r="C914" t="s" s="9">
        <v>16</v>
      </c>
      <c r="D914" t="s" s="8">
        <v>379</v>
      </c>
      <c r="E914" t="s" s="9">
        <v>379</v>
      </c>
      <c r="F914" s="19">
        <v>10</v>
      </c>
      <c r="G914" s="17">
        <v>10</v>
      </c>
      <c r="H914" s="19">
        <v>10</v>
      </c>
      <c r="I914" s="17">
        <v>10</v>
      </c>
      <c r="J914" t="s" s="11">
        <v>20</v>
      </c>
      <c r="K914" s="15"/>
      <c r="L914" t="s" s="16">
        <f>HYPERLINK("http://csr.bu.edu/ftp/asl/asllvd/demos/verify_start_end_handshape_annotations//test_auto_move//signs_mov_separ_signers/Liz_200.mov","MOV")</f>
        <v>21</v>
      </c>
      <c r="M914" t="s" s="10">
        <v>22</v>
      </c>
      <c r="N914" s="17">
        <v>33</v>
      </c>
      <c r="O914" s="18">
        <v>1580</v>
      </c>
      <c r="P914" s="18">
        <v>1620</v>
      </c>
      <c r="Q914" s="15"/>
      <c r="R914" t="s" s="16">
        <f>HYPERLINK("http://secrets.rutgers.edu:8080/data/asl-ftp/asllvd/demos/verify_start_end_handshape_annotations//test_auto_move//signs_mov_separ_signers/Liz_200.mov","MOV")</f>
        <v>21</v>
      </c>
    </row>
    <row r="915" s="2" customFormat="1" ht="13.5" customHeight="1">
      <c r="B915" s="13"/>
      <c r="C915" t="s" s="9">
        <v>23</v>
      </c>
      <c r="D915" t="s" s="8">
        <v>379</v>
      </c>
      <c r="E915" t="s" s="9">
        <v>379</v>
      </c>
      <c r="F915" s="19">
        <v>10</v>
      </c>
      <c r="G915" s="17">
        <v>10</v>
      </c>
      <c r="H915" s="19">
        <v>10</v>
      </c>
      <c r="I915" s="17">
        <v>10</v>
      </c>
      <c r="J915" t="s" s="11">
        <v>20</v>
      </c>
      <c r="K915" t="s" s="16">
        <f>HYPERLINK("http://csr.bu.edu/ftp/asl/asllvd/demos/verify_start_end_handshape_annotations//test_auto_move//signs_mov/200.mov","MOV")</f>
        <v>21</v>
      </c>
      <c r="L915" t="s" s="16">
        <f>HYPERLINK("http://csr.bu.edu/ftp/asl/asllvd/demos/verify_start_end_handshape_annotations//test_auto_move//signs_mov_separ_signers/Tyler_200.mov","MOV")</f>
        <v>21</v>
      </c>
      <c r="M915" t="s" s="10">
        <v>26</v>
      </c>
      <c r="N915" s="17">
        <v>21</v>
      </c>
      <c r="O915" s="18">
        <v>3475</v>
      </c>
      <c r="P915" s="18">
        <v>3527</v>
      </c>
      <c r="Q915" t="s" s="16">
        <f>HYPERLINK("http://secrets.rutgers.edu:8080/data/asl-ftp/asllvd/demos/verify_start_end_handshape_annotations//test_auto_move//signs_mov/200.mov","MOV")</f>
        <v>21</v>
      </c>
      <c r="R915" t="s" s="16">
        <f>HYPERLINK("http://secrets.rutgers.edu:8080/data/asl-ftp/asllvd/demos/verify_start_end_handshape_annotations//test_auto_move//signs_mov_separ_signers/Tyler_200.mov","MOV")</f>
        <v>21</v>
      </c>
    </row>
    <row r="916" s="2" customFormat="1" ht="13.5" customHeight="1">
      <c r="B916" s="13"/>
      <c r="C916" t="s" s="9">
        <v>27</v>
      </c>
      <c r="D916" t="s" s="8">
        <v>379</v>
      </c>
      <c r="E916" t="s" s="9">
        <v>379</v>
      </c>
      <c r="F916" s="19">
        <v>10</v>
      </c>
      <c r="G916" s="17">
        <v>10</v>
      </c>
      <c r="H916" s="19">
        <v>10</v>
      </c>
      <c r="I916" s="17">
        <v>10</v>
      </c>
      <c r="J916" t="s" s="11">
        <v>20</v>
      </c>
      <c r="K916" s="15"/>
      <c r="L916" t="s" s="16">
        <f>HYPERLINK("http://csr.bu.edu/ftp/asl/asllvd/demos/verify_start_end_handshape_annotations//test_auto_move//signs_mov_separ_signers/Naomi_200.mov","MOV")</f>
        <v>21</v>
      </c>
      <c r="M916" t="s" s="10">
        <v>29</v>
      </c>
      <c r="N916" s="17">
        <v>22</v>
      </c>
      <c r="O916" s="18">
        <v>3407</v>
      </c>
      <c r="P916" s="18">
        <v>3465</v>
      </c>
      <c r="Q916" s="15"/>
      <c r="R916" t="s" s="16">
        <f>HYPERLINK("http://secrets.rutgers.edu:8080/data/asl-ftp/asllvd/demos/verify_start_end_handshape_annotations//test_auto_move//signs_mov_separ_signers/Naomi_200.mov","MOV")</f>
        <v>21</v>
      </c>
    </row>
    <row r="917" s="2" customFormat="1" ht="13.5" customHeight="1">
      <c r="B917" s="13"/>
      <c r="C917" t="s" s="9">
        <v>30</v>
      </c>
      <c r="D917" t="s" s="8">
        <v>379</v>
      </c>
      <c r="E917" t="s" s="9">
        <v>379</v>
      </c>
      <c r="F917" s="19">
        <v>10</v>
      </c>
      <c r="G917" s="17">
        <v>10</v>
      </c>
      <c r="H917" s="19">
        <v>10</v>
      </c>
      <c r="I917" s="17">
        <v>10</v>
      </c>
      <c r="J917" t="s" s="11">
        <v>20</v>
      </c>
      <c r="K917" s="15"/>
      <c r="L917" t="s" s="16">
        <f>HYPERLINK("http://csr.bu.edu/ftp/asl/asllvd/demos/verify_start_end_handshape_annotations//test_auto_move//signs_mov_separ_signers/Brady_200.mov","MOV")</f>
        <v>21</v>
      </c>
      <c r="M917" t="s" s="10">
        <v>31</v>
      </c>
      <c r="N917" s="17">
        <v>17</v>
      </c>
      <c r="O917" s="18">
        <v>317</v>
      </c>
      <c r="P917" s="18">
        <v>359</v>
      </c>
      <c r="Q917" s="15"/>
      <c r="R917" t="s" s="16">
        <f>HYPERLINK("http://secrets.rutgers.edu:8080/data/asl-ftp/asllvd/demos/verify_start_end_handshape_annotations//test_auto_move//signs_mov_separ_signers/Brady_200.mov","MOV")</f>
        <v>21</v>
      </c>
    </row>
    <row r="918" s="2" customFormat="1" ht="13.5" customHeight="1">
      <c r="B918" t="s" s="8">
        <v>380</v>
      </c>
      <c r="C918" t="s" s="9">
        <v>14</v>
      </c>
      <c r="D918" t="s" s="8">
        <v>14</v>
      </c>
      <c r="E918" t="s" s="9">
        <v>14</v>
      </c>
      <c r="F918" t="s" s="10">
        <v>14</v>
      </c>
      <c r="G918" t="s" s="11">
        <v>14</v>
      </c>
      <c r="H918" t="s" s="10">
        <v>14</v>
      </c>
      <c r="I918" t="s" s="11">
        <v>14</v>
      </c>
      <c r="J918" t="s" s="11">
        <v>14</v>
      </c>
      <c r="K918" t="s" s="12">
        <v>14</v>
      </c>
      <c r="L918" t="s" s="12">
        <v>14</v>
      </c>
      <c r="M918" t="s" s="10">
        <v>14</v>
      </c>
      <c r="N918" t="s" s="11">
        <v>14</v>
      </c>
      <c r="O918" t="s" s="8">
        <v>14</v>
      </c>
      <c r="P918" t="s" s="8">
        <v>14</v>
      </c>
      <c r="Q918" t="s" s="12">
        <v>14</v>
      </c>
      <c r="R918" t="s" s="12">
        <v>14</v>
      </c>
    </row>
    <row r="919" s="2" customFormat="1" ht="13.5" customHeight="1">
      <c r="B919" s="13"/>
      <c r="C919" t="s" s="9">
        <v>16</v>
      </c>
      <c r="D919" t="s" s="8">
        <v>380</v>
      </c>
      <c r="E919" t="s" s="9">
        <v>380</v>
      </c>
      <c r="F919" t="s" s="10">
        <v>55</v>
      </c>
      <c r="G919" t="s" s="11">
        <v>55</v>
      </c>
      <c r="H919" t="s" s="10">
        <v>55</v>
      </c>
      <c r="I919" t="s" s="11">
        <v>55</v>
      </c>
      <c r="J919" t="s" s="11">
        <v>20</v>
      </c>
      <c r="K919" t="s" s="16">
        <f>HYPERLINK("http://csr.bu.edu/ftp/asl/asllvd/demos/verify_start_end_handshape_annotations//test_auto_move//signs_mov/201.mov","MOV")</f>
        <v>21</v>
      </c>
      <c r="L919" t="s" s="16">
        <f>HYPERLINK("http://csr.bu.edu/ftp/asl/asllvd/demos/verify_start_end_handshape_annotations//test_auto_move//signs_mov_separ_signers/Liz_201.mov","MOV")</f>
        <v>21</v>
      </c>
      <c r="M919" t="s" s="10">
        <v>22</v>
      </c>
      <c r="N919" s="17">
        <v>34</v>
      </c>
      <c r="O919" s="18">
        <v>286</v>
      </c>
      <c r="P919" s="18">
        <v>340</v>
      </c>
      <c r="Q919" t="s" s="16">
        <f>HYPERLINK("http://secrets.rutgers.edu:8080/data/asl-ftp/asllvd/demos/verify_start_end_handshape_annotations//test_auto_move//signs_mov/201.mov","MOV")</f>
        <v>21</v>
      </c>
      <c r="R919" t="s" s="16">
        <f>HYPERLINK("http://secrets.rutgers.edu:8080/data/asl-ftp/asllvd/demos/verify_start_end_handshape_annotations//test_auto_move//signs_mov_separ_signers/Liz_201.mov","MOV")</f>
        <v>21</v>
      </c>
    </row>
    <row r="920" s="2" customFormat="1" ht="13.5" customHeight="1">
      <c r="B920" s="13"/>
      <c r="C920" t="s" s="9">
        <v>30</v>
      </c>
      <c r="D920" t="s" s="8">
        <v>380</v>
      </c>
      <c r="E920" t="s" s="9">
        <v>380</v>
      </c>
      <c r="F920" t="s" s="10">
        <v>73</v>
      </c>
      <c r="G920" t="s" s="11">
        <v>73</v>
      </c>
      <c r="H920" t="s" s="10">
        <v>73</v>
      </c>
      <c r="I920" t="s" s="11">
        <v>73</v>
      </c>
      <c r="J920" t="s" s="11">
        <v>20</v>
      </c>
      <c r="K920" s="15"/>
      <c r="L920" t="s" s="16">
        <f>HYPERLINK("http://csr.bu.edu/ftp/asl/asllvd/demos/verify_start_end_handshape_annotations//test_auto_move//signs_mov_separ_signers/Brady_201.mov","MOV")</f>
        <v>21</v>
      </c>
      <c r="M920" t="s" s="10">
        <v>31</v>
      </c>
      <c r="N920" s="17">
        <v>17</v>
      </c>
      <c r="O920" s="18">
        <v>579</v>
      </c>
      <c r="P920" s="18">
        <v>615</v>
      </c>
      <c r="Q920" s="15"/>
      <c r="R920" t="s" s="16">
        <f>HYPERLINK("http://secrets.rutgers.edu:8080/data/asl-ftp/asllvd/demos/verify_start_end_handshape_annotations//test_auto_move//signs_mov_separ_signers/Brady_201.mov","MOV")</f>
        <v>21</v>
      </c>
    </row>
    <row r="921" s="2" customFormat="1" ht="13.5" customHeight="1">
      <c r="B921" t="s" s="8">
        <v>380</v>
      </c>
      <c r="C921" t="s" s="9">
        <v>14</v>
      </c>
      <c r="D921" t="s" s="8">
        <v>14</v>
      </c>
      <c r="E921" t="s" s="9">
        <v>14</v>
      </c>
      <c r="F921" t="s" s="10">
        <v>14</v>
      </c>
      <c r="G921" t="s" s="11">
        <v>14</v>
      </c>
      <c r="H921" t="s" s="10">
        <v>14</v>
      </c>
      <c r="I921" t="s" s="11">
        <v>14</v>
      </c>
      <c r="J921" t="s" s="11">
        <v>14</v>
      </c>
      <c r="K921" t="s" s="12">
        <v>14</v>
      </c>
      <c r="L921" t="s" s="12">
        <v>14</v>
      </c>
      <c r="M921" t="s" s="10">
        <v>14</v>
      </c>
      <c r="N921" t="s" s="11">
        <v>14</v>
      </c>
      <c r="O921" t="s" s="8">
        <v>14</v>
      </c>
      <c r="P921" t="s" s="8">
        <v>14</v>
      </c>
      <c r="Q921" t="s" s="12">
        <v>14</v>
      </c>
      <c r="R921" t="s" s="12">
        <v>14</v>
      </c>
    </row>
    <row r="922" s="2" customFormat="1" ht="13.5" customHeight="1">
      <c r="B922" s="13"/>
      <c r="C922" t="s" s="9">
        <v>16</v>
      </c>
      <c r="D922" t="s" s="8">
        <v>381</v>
      </c>
      <c r="E922" t="s" s="9">
        <v>381</v>
      </c>
      <c r="F922" t="s" s="10">
        <v>136</v>
      </c>
      <c r="G922" t="s" s="11">
        <v>136</v>
      </c>
      <c r="H922" t="s" s="10">
        <v>136</v>
      </c>
      <c r="I922" t="s" s="11">
        <v>136</v>
      </c>
      <c r="J922" t="s" s="11">
        <v>20</v>
      </c>
      <c r="K922" t="s" s="16">
        <f>HYPERLINK("http://csr.bu.edu/ftp/asl/asllvd/demos/verify_start_end_handshape_annotations//test_auto_move//signs_mov/3782_3915_merged.mov","MOV")</f>
        <v>21</v>
      </c>
      <c r="L922" t="s" s="16">
        <f>HYPERLINK("http://csr.bu.edu/ftp/asl/asllvd/demos/verify_start_end_handshape_annotations//test_auto_move//signs_mov_separ_signers/Liz_3782.mov","MOV")</f>
        <v>21</v>
      </c>
      <c r="M922" t="s" s="10">
        <v>59</v>
      </c>
      <c r="N922" s="17">
        <v>2</v>
      </c>
      <c r="O922" s="18">
        <v>3725</v>
      </c>
      <c r="P922" s="18">
        <v>3785</v>
      </c>
      <c r="Q922" t="s" s="16">
        <f>HYPERLINK("http://secrets.rutgers.edu:8080/data/asl-ftp/asllvd/demos/verify_start_end_handshape_annotations//test_auto_move//signs_mov/3782_3915_merged.mov","MOV")</f>
        <v>21</v>
      </c>
      <c r="R922" t="s" s="16">
        <f>HYPERLINK("http://secrets.rutgers.edu:8080/data/asl-ftp/asllvd/demos/verify_start_end_handshape_annotations//test_auto_move//signs_mov_separ_signers/Liz_3782.mov","MOV")</f>
        <v>21</v>
      </c>
    </row>
    <row r="923" s="2" customFormat="1" ht="13.5" customHeight="1">
      <c r="B923" s="13"/>
      <c r="C923" t="s" s="9">
        <v>16</v>
      </c>
      <c r="D923" t="s" s="8">
        <v>381</v>
      </c>
      <c r="E923" t="s" s="9">
        <v>381</v>
      </c>
      <c r="F923" t="s" s="10">
        <v>136</v>
      </c>
      <c r="G923" t="s" s="11">
        <v>136</v>
      </c>
      <c r="H923" t="s" s="10">
        <v>136</v>
      </c>
      <c r="I923" t="s" s="11">
        <v>136</v>
      </c>
      <c r="J923" t="s" s="11">
        <v>20</v>
      </c>
      <c r="K923" s="15"/>
      <c r="L923" t="s" s="16">
        <f>HYPERLINK("http://csr.bu.edu/ftp/asl/asllvd/demos/verify_start_end_handshape_annotations//test_auto_move//signs_mov_separ_signers/Liz_3915.mov","MOV")</f>
        <v>21</v>
      </c>
      <c r="M923" t="s" s="10">
        <v>77</v>
      </c>
      <c r="N923" s="17">
        <v>9</v>
      </c>
      <c r="O923" s="18">
        <v>146</v>
      </c>
      <c r="P923" s="18">
        <v>210</v>
      </c>
      <c r="Q923" s="15"/>
      <c r="R923" t="s" s="16">
        <f>HYPERLINK("http://secrets.rutgers.edu:8080/data/asl-ftp/asllvd/demos/verify_start_end_handshape_annotations//test_auto_move//signs_mov_separ_signers/Liz_3915.mov","MOV")</f>
        <v>21</v>
      </c>
    </row>
    <row r="924" s="2" customFormat="1" ht="13.5" customHeight="1">
      <c r="B924" t="s" s="8">
        <v>382</v>
      </c>
      <c r="C924" t="s" s="9">
        <v>14</v>
      </c>
      <c r="D924" t="s" s="8">
        <v>14</v>
      </c>
      <c r="E924" t="s" s="9">
        <v>14</v>
      </c>
      <c r="F924" t="s" s="10">
        <v>14</v>
      </c>
      <c r="G924" t="s" s="11">
        <v>14</v>
      </c>
      <c r="H924" t="s" s="10">
        <v>14</v>
      </c>
      <c r="I924" t="s" s="11">
        <v>14</v>
      </c>
      <c r="J924" t="s" s="11">
        <v>14</v>
      </c>
      <c r="K924" t="s" s="12">
        <v>14</v>
      </c>
      <c r="L924" t="s" s="12">
        <v>14</v>
      </c>
      <c r="M924" t="s" s="10">
        <v>14</v>
      </c>
      <c r="N924" t="s" s="11">
        <v>14</v>
      </c>
      <c r="O924" t="s" s="8">
        <v>14</v>
      </c>
      <c r="P924" t="s" s="8">
        <v>14</v>
      </c>
      <c r="Q924" t="s" s="12">
        <v>14</v>
      </c>
      <c r="R924" t="s" s="12">
        <v>14</v>
      </c>
    </row>
    <row r="925" s="2" customFormat="1" ht="13.5" customHeight="1">
      <c r="B925" s="13"/>
      <c r="C925" t="s" s="9">
        <v>23</v>
      </c>
      <c r="D925" t="s" s="8">
        <v>382</v>
      </c>
      <c r="E925" t="s" s="9">
        <v>382</v>
      </c>
      <c r="F925" t="s" s="10">
        <v>25</v>
      </c>
      <c r="G925" t="s" s="11">
        <v>25</v>
      </c>
      <c r="H925" t="s" s="10">
        <v>25</v>
      </c>
      <c r="I925" t="s" s="11">
        <v>25</v>
      </c>
      <c r="J925" t="s" s="11">
        <v>20</v>
      </c>
      <c r="K925" s="15"/>
      <c r="L925" t="s" s="16">
        <f>HYPERLINK("http://csr.bu.edu/ftp/asl/asllvd/demos/verify_start_end_handshape_annotations//test_auto_move//signs_mov_separ_signers/Tyler_15331.mov","MOV")</f>
        <v>21</v>
      </c>
      <c r="M925" t="s" s="10">
        <v>26</v>
      </c>
      <c r="N925" s="17">
        <v>27</v>
      </c>
      <c r="O925" s="18">
        <v>342</v>
      </c>
      <c r="P925" s="18">
        <v>399</v>
      </c>
      <c r="Q925" s="15"/>
      <c r="R925" t="s" s="16">
        <f>HYPERLINK("http://secrets.rutgers.edu:8080/data/asl-ftp/asllvd/demos/verify_start_end_handshape_annotations//test_auto_move//signs_mov_separ_signers/Tyler_15331.mov","MOV")</f>
        <v>21</v>
      </c>
    </row>
    <row r="926" s="2" customFormat="1" ht="13.5" customHeight="1">
      <c r="B926" s="13"/>
      <c r="C926" t="s" s="9">
        <v>27</v>
      </c>
      <c r="D926" t="s" s="8">
        <v>382</v>
      </c>
      <c r="E926" t="s" s="9">
        <v>382</v>
      </c>
      <c r="F926" t="s" s="10">
        <v>292</v>
      </c>
      <c r="G926" t="s" s="11">
        <v>292</v>
      </c>
      <c r="H926" t="s" s="10">
        <v>292</v>
      </c>
      <c r="I926" t="s" s="11">
        <v>292</v>
      </c>
      <c r="J926" t="s" s="11">
        <v>20</v>
      </c>
      <c r="K926" t="s" s="16">
        <f>HYPERLINK("http://csr.bu.edu/ftp/asl/asllvd/demos/verify_start_end_handshape_annotations//test_auto_move//signs_mov/15331.mov","MOV")</f>
        <v>21</v>
      </c>
      <c r="L926" t="s" s="16">
        <f>HYPERLINK("http://csr.bu.edu/ftp/asl/asllvd/demos/verify_start_end_handshape_annotations//test_auto_move//signs_mov_separ_signers/Naomi_15331.mov","MOV")</f>
        <v>21</v>
      </c>
      <c r="M926" t="s" s="10">
        <v>29</v>
      </c>
      <c r="N926" s="17">
        <v>28</v>
      </c>
      <c r="O926" s="18">
        <v>805</v>
      </c>
      <c r="P926" s="18">
        <v>852</v>
      </c>
      <c r="Q926" t="s" s="16">
        <f>HYPERLINK("http://secrets.rutgers.edu:8080/data/asl-ftp/asllvd/demos/verify_start_end_handshape_annotations//test_auto_move//signs_mov/15331.mov","MOV")</f>
        <v>21</v>
      </c>
      <c r="R926" t="s" s="16">
        <f>HYPERLINK("http://secrets.rutgers.edu:8080/data/asl-ftp/asllvd/demos/verify_start_end_handshape_annotations//test_auto_move//signs_mov_separ_signers/Naomi_15331.mov","MOV")</f>
        <v>21</v>
      </c>
    </row>
    <row r="927" s="2" customFormat="1" ht="13.5" customHeight="1">
      <c r="B927" s="13"/>
      <c r="C927" t="s" s="9">
        <v>30</v>
      </c>
      <c r="D927" t="s" s="8">
        <v>382</v>
      </c>
      <c r="E927" t="s" s="9">
        <v>382</v>
      </c>
      <c r="F927" t="s" s="10">
        <v>75</v>
      </c>
      <c r="G927" t="s" s="11">
        <v>75</v>
      </c>
      <c r="H927" t="s" s="10">
        <v>19</v>
      </c>
      <c r="I927" t="s" s="11">
        <v>19</v>
      </c>
      <c r="J927" t="s" s="11">
        <v>20</v>
      </c>
      <c r="K927" s="15"/>
      <c r="L927" t="s" s="16">
        <f>HYPERLINK("http://csr.bu.edu/ftp/asl/asllvd/demos/verify_start_end_handshape_annotations//test_auto_move//signs_mov_separ_signers/Brady_15331.mov","MOV")</f>
        <v>21</v>
      </c>
      <c r="M927" t="s" s="10">
        <v>31</v>
      </c>
      <c r="N927" s="17">
        <v>21</v>
      </c>
      <c r="O927" s="18">
        <v>4100</v>
      </c>
      <c r="P927" s="18">
        <v>4147</v>
      </c>
      <c r="Q927" s="15"/>
      <c r="R927" t="s" s="16">
        <f>HYPERLINK("http://secrets.rutgers.edu:8080/data/asl-ftp/asllvd/demos/verify_start_end_handshape_annotations//test_auto_move//signs_mov_separ_signers/Brady_15331.mov","MOV")</f>
        <v>21</v>
      </c>
    </row>
    <row r="928" s="2" customFormat="1" ht="13.5" customHeight="1">
      <c r="B928" t="s" s="8">
        <v>52</v>
      </c>
      <c r="C928" t="s" s="9">
        <v>53</v>
      </c>
      <c r="D928" t="s" s="8">
        <v>53</v>
      </c>
      <c r="E928" t="s" s="9">
        <v>53</v>
      </c>
      <c r="F928" t="s" s="10">
        <v>53</v>
      </c>
      <c r="G928" t="s" s="11">
        <v>53</v>
      </c>
      <c r="H928" t="s" s="10">
        <v>53</v>
      </c>
      <c r="I928" t="s" s="11">
        <v>53</v>
      </c>
      <c r="J928" t="s" s="11">
        <v>53</v>
      </c>
      <c r="K928" t="s" s="12">
        <v>53</v>
      </c>
      <c r="L928" t="s" s="12">
        <v>53</v>
      </c>
      <c r="M928" t="s" s="10">
        <v>53</v>
      </c>
      <c r="N928" t="s" s="11">
        <v>53</v>
      </c>
      <c r="O928" t="s" s="8">
        <v>53</v>
      </c>
      <c r="P928" t="s" s="8">
        <v>53</v>
      </c>
      <c r="Q928" t="s" s="12">
        <v>53</v>
      </c>
      <c r="R928" t="s" s="12">
        <v>53</v>
      </c>
    </row>
    <row r="929" s="2" customFormat="1" ht="13.5" customHeight="1">
      <c r="B929" s="13"/>
      <c r="C929" t="s" s="9">
        <v>23</v>
      </c>
      <c r="D929" t="s" s="8">
        <v>382</v>
      </c>
      <c r="E929" t="s" s="9">
        <v>383</v>
      </c>
      <c r="F929" t="s" s="10">
        <v>73</v>
      </c>
      <c r="G929" t="s" s="11">
        <v>73</v>
      </c>
      <c r="H929" t="s" s="10">
        <v>73</v>
      </c>
      <c r="I929" t="s" s="11">
        <v>73</v>
      </c>
      <c r="J929" t="s" s="11">
        <v>20</v>
      </c>
      <c r="K929" t="s" s="16">
        <f>HYPERLINK("http://csr.bu.edu/ftp/asl/asllvd/demos/verify_start_end_handshape_annotations//test_auto_move//signs_mov/15332.mov","MOV")</f>
        <v>21</v>
      </c>
      <c r="L929" t="s" s="16">
        <f>HYPERLINK("http://csr.bu.edu/ftp/asl/asllvd/demos/verify_start_end_handshape_annotations//test_auto_move//signs_mov_separ_signers/Tyler_15332.mov","MOV")</f>
        <v>21</v>
      </c>
      <c r="M929" t="s" s="10">
        <v>26</v>
      </c>
      <c r="N929" s="17">
        <v>22</v>
      </c>
      <c r="O929" s="18">
        <v>322</v>
      </c>
      <c r="P929" s="18">
        <v>375</v>
      </c>
      <c r="Q929" t="s" s="16">
        <f>HYPERLINK("http://secrets.rutgers.edu:8080/data/asl-ftp/asllvd/demos/verify_start_end_handshape_annotations//test_auto_move//signs_mov/15332.mov","MOV")</f>
        <v>21</v>
      </c>
      <c r="R929" t="s" s="16">
        <f>HYPERLINK("http://secrets.rutgers.edu:8080/data/asl-ftp/asllvd/demos/verify_start_end_handshape_annotations//test_auto_move//signs_mov_separ_signers/Tyler_15332.mov","MOV")</f>
        <v>21</v>
      </c>
    </row>
    <row r="930" s="2" customFormat="1" ht="13.5" customHeight="1">
      <c r="B930" s="13"/>
      <c r="C930" t="s" s="9">
        <v>30</v>
      </c>
      <c r="D930" t="s" s="8">
        <v>382</v>
      </c>
      <c r="E930" t="s" s="9">
        <v>383</v>
      </c>
      <c r="F930" t="s" s="10">
        <v>73</v>
      </c>
      <c r="G930" t="s" s="11">
        <v>73</v>
      </c>
      <c r="H930" t="s" s="10">
        <v>80</v>
      </c>
      <c r="I930" t="s" s="11">
        <v>80</v>
      </c>
      <c r="J930" t="s" s="11">
        <v>20</v>
      </c>
      <c r="K930" s="15"/>
      <c r="L930" t="s" s="16">
        <f>HYPERLINK("http://csr.bu.edu/ftp/asl/asllvd/demos/verify_start_end_handshape_annotations//test_auto_move//signs_mov_separ_signers/Brady_15332.mov","MOV")</f>
        <v>21</v>
      </c>
      <c r="M930" t="s" s="10">
        <v>31</v>
      </c>
      <c r="N930" s="17">
        <v>17</v>
      </c>
      <c r="O930" s="18">
        <v>859</v>
      </c>
      <c r="P930" s="18">
        <v>905</v>
      </c>
      <c r="Q930" s="15"/>
      <c r="R930" t="s" s="16">
        <f>HYPERLINK("http://secrets.rutgers.edu:8080/data/asl-ftp/asllvd/demos/verify_start_end_handshape_annotations//test_auto_move//signs_mov_separ_signers/Brady_15332.mov","MOV")</f>
        <v>21</v>
      </c>
    </row>
    <row r="931" s="2" customFormat="1" ht="13.5" customHeight="1">
      <c r="B931" t="s" s="8">
        <v>384</v>
      </c>
      <c r="C931" t="s" s="9">
        <v>14</v>
      </c>
      <c r="D931" t="s" s="8">
        <v>14</v>
      </c>
      <c r="E931" t="s" s="9">
        <v>14</v>
      </c>
      <c r="F931" t="s" s="10">
        <v>14</v>
      </c>
      <c r="G931" t="s" s="11">
        <v>14</v>
      </c>
      <c r="H931" t="s" s="10">
        <v>14</v>
      </c>
      <c r="I931" t="s" s="11">
        <v>14</v>
      </c>
      <c r="J931" t="s" s="11">
        <v>14</v>
      </c>
      <c r="K931" t="s" s="12">
        <v>14</v>
      </c>
      <c r="L931" t="s" s="12">
        <v>14</v>
      </c>
      <c r="M931" t="s" s="10">
        <v>14</v>
      </c>
      <c r="N931" t="s" s="11">
        <v>14</v>
      </c>
      <c r="O931" t="s" s="8">
        <v>14</v>
      </c>
      <c r="P931" t="s" s="8">
        <v>14</v>
      </c>
      <c r="Q931" t="s" s="12">
        <v>14</v>
      </c>
      <c r="R931" t="s" s="12">
        <v>14</v>
      </c>
    </row>
    <row r="932" s="2" customFormat="1" ht="13.5" customHeight="1">
      <c r="B932" s="13"/>
      <c r="C932" t="s" s="9">
        <v>16</v>
      </c>
      <c r="D932" t="s" s="8">
        <v>384</v>
      </c>
      <c r="E932" t="s" s="9">
        <v>385</v>
      </c>
      <c r="F932" t="s" s="10">
        <v>386</v>
      </c>
      <c r="G932" s="14"/>
      <c r="H932" t="s" s="10">
        <v>386</v>
      </c>
      <c r="I932" s="14"/>
      <c r="J932" t="s" s="11">
        <v>20</v>
      </c>
      <c r="K932" s="15"/>
      <c r="L932" t="s" s="16">
        <f>HYPERLINK("http://csr.bu.edu/ftp/asl/asllvd/demos/verify_start_end_handshape_annotations//test_auto_move//signs_mov_separ_signers/Liz_204.mov","MOV")</f>
        <v>21</v>
      </c>
      <c r="M932" t="s" s="10">
        <v>22</v>
      </c>
      <c r="N932" s="17">
        <v>34</v>
      </c>
      <c r="O932" s="18">
        <v>1050</v>
      </c>
      <c r="P932" s="18">
        <v>1075</v>
      </c>
      <c r="Q932" s="15"/>
      <c r="R932" t="s" s="16">
        <f>HYPERLINK("http://secrets.rutgers.edu:8080/data/asl-ftp/asllvd/demos/verify_start_end_handshape_annotations//test_auto_move//signs_mov_separ_signers/Liz_204.mov","MOV")</f>
        <v>21</v>
      </c>
    </row>
    <row r="933" s="2" customFormat="1" ht="13.5" customHeight="1">
      <c r="B933" s="13"/>
      <c r="C933" t="s" s="9">
        <v>23</v>
      </c>
      <c r="D933" t="s" s="8">
        <v>384</v>
      </c>
      <c r="E933" t="s" s="9">
        <v>385</v>
      </c>
      <c r="F933" t="s" s="10">
        <v>386</v>
      </c>
      <c r="G933" s="14"/>
      <c r="H933" t="s" s="10">
        <v>386</v>
      </c>
      <c r="I933" s="14"/>
      <c r="J933" t="s" s="11">
        <v>20</v>
      </c>
      <c r="K933" s="15"/>
      <c r="L933" t="s" s="16">
        <f>HYPERLINK("http://csr.bu.edu/ftp/asl/asllvd/demos/verify_start_end_handshape_annotations//test_auto_move//signs_mov_separ_signers/Tyler_204.mov","MOV")</f>
        <v>21</v>
      </c>
      <c r="M933" t="s" s="10">
        <v>26</v>
      </c>
      <c r="N933" s="17">
        <v>22</v>
      </c>
      <c r="O933" s="18">
        <v>1615</v>
      </c>
      <c r="P933" s="18">
        <v>1665</v>
      </c>
      <c r="Q933" s="15"/>
      <c r="R933" t="s" s="16">
        <f>HYPERLINK("http://secrets.rutgers.edu:8080/data/asl-ftp/asllvd/demos/verify_start_end_handshape_annotations//test_auto_move//signs_mov_separ_signers/Tyler_204.mov","MOV")</f>
        <v>21</v>
      </c>
    </row>
    <row r="934" s="2" customFormat="1" ht="13.5" customHeight="1">
      <c r="B934" s="13"/>
      <c r="C934" t="s" s="9">
        <v>27</v>
      </c>
      <c r="D934" t="s" s="8">
        <v>384</v>
      </c>
      <c r="E934" t="s" s="9">
        <v>385</v>
      </c>
      <c r="F934" t="s" s="10">
        <v>386</v>
      </c>
      <c r="G934" s="14"/>
      <c r="H934" t="s" s="10">
        <v>386</v>
      </c>
      <c r="I934" s="14"/>
      <c r="J934" t="s" s="11">
        <v>20</v>
      </c>
      <c r="K934" t="s" s="16">
        <f>HYPERLINK("http://csr.bu.edu/ftp/asl/asllvd/demos/verify_start_end_handshape_annotations//test_auto_move//signs_mov/204_16066_merged.mov","MOV")</f>
        <v>21</v>
      </c>
      <c r="L934" t="s" s="16">
        <f>HYPERLINK("http://csr.bu.edu/ftp/asl/asllvd/demos/verify_start_end_handshape_annotations//test_auto_move//signs_mov_separ_signers/Naomi_204.mov","MOV")</f>
        <v>21</v>
      </c>
      <c r="M934" t="s" s="10">
        <v>29</v>
      </c>
      <c r="N934" s="17">
        <v>23</v>
      </c>
      <c r="O934" s="18">
        <v>2163</v>
      </c>
      <c r="P934" s="18">
        <v>2185</v>
      </c>
      <c r="Q934" t="s" s="16">
        <f>HYPERLINK("http://secrets.rutgers.edu:8080/data/asl-ftp/asllvd/demos/verify_start_end_handshape_annotations//test_auto_move//signs_mov/204_16066_merged.mov","MOV")</f>
        <v>21</v>
      </c>
      <c r="R934" t="s" s="16">
        <f>HYPERLINK("http://secrets.rutgers.edu:8080/data/asl-ftp/asllvd/demos/verify_start_end_handshape_annotations//test_auto_move//signs_mov_separ_signers/Naomi_204.mov","MOV")</f>
        <v>21</v>
      </c>
    </row>
    <row r="935" s="2" customFormat="1" ht="13.5" customHeight="1">
      <c r="B935" s="13"/>
      <c r="C935" t="s" s="9">
        <v>30</v>
      </c>
      <c r="D935" t="s" s="8">
        <v>384</v>
      </c>
      <c r="E935" t="s" s="9">
        <v>387</v>
      </c>
      <c r="F935" t="s" s="10">
        <v>386</v>
      </c>
      <c r="G935" s="14"/>
      <c r="H935" t="s" s="10">
        <v>386</v>
      </c>
      <c r="I935" s="14"/>
      <c r="J935" t="s" s="11">
        <v>20</v>
      </c>
      <c r="K935" s="15"/>
      <c r="L935" t="s" s="16">
        <f>HYPERLINK("http://csr.bu.edu/ftp/asl/asllvd/demos/verify_start_end_handshape_annotations//test_auto_move//signs_mov_separ_signers/Brady_204.mov","MOV")</f>
        <v>21</v>
      </c>
      <c r="M935" t="s" s="10">
        <v>31</v>
      </c>
      <c r="N935" s="17">
        <v>17</v>
      </c>
      <c r="O935" s="18">
        <v>4016</v>
      </c>
      <c r="P935" s="18">
        <v>4069</v>
      </c>
      <c r="Q935" s="15"/>
      <c r="R935" t="s" s="16">
        <f>HYPERLINK("http://secrets.rutgers.edu:8080/data/asl-ftp/asllvd/demos/verify_start_end_handshape_annotations//test_auto_move//signs_mov_separ_signers/Brady_204.mov","MOV")</f>
        <v>21</v>
      </c>
    </row>
    <row r="936" s="2" customFormat="1" ht="13.5" customHeight="1">
      <c r="B936" s="13"/>
      <c r="C936" t="s" s="9">
        <v>30</v>
      </c>
      <c r="D936" t="s" s="8">
        <v>384</v>
      </c>
      <c r="E936" t="s" s="9">
        <v>384</v>
      </c>
      <c r="F936" t="s" s="10">
        <v>386</v>
      </c>
      <c r="G936" s="14"/>
      <c r="H936" t="s" s="10">
        <v>386</v>
      </c>
      <c r="I936" s="14"/>
      <c r="J936" t="s" s="11">
        <v>20</v>
      </c>
      <c r="K936" s="15"/>
      <c r="L936" t="s" s="16">
        <f>HYPERLINK("http://csr.bu.edu/ftp/asl/asllvd/demos/verify_start_end_handshape_annotations//test_auto_move//signs_mov_separ_signers/Brady_16066.mov","MOV")</f>
        <v>21</v>
      </c>
      <c r="M936" t="s" s="10">
        <v>40</v>
      </c>
      <c r="N936" s="17">
        <v>51</v>
      </c>
      <c r="O936" s="18">
        <v>1341</v>
      </c>
      <c r="P936" s="18">
        <v>1378</v>
      </c>
      <c r="Q936" s="15"/>
      <c r="R936" t="s" s="16">
        <f>HYPERLINK("http://secrets.rutgers.edu:8080/data/asl-ftp/asllvd/demos/verify_start_end_handshape_annotations//test_auto_move//signs_mov_separ_signers/Brady_16066.mov","MOV")</f>
        <v>21</v>
      </c>
    </row>
    <row r="937" s="2" customFormat="1" ht="13.5" customHeight="1">
      <c r="B937" s="13"/>
      <c r="C937" t="s" s="9">
        <v>41</v>
      </c>
      <c r="D937" t="s" s="8">
        <v>384</v>
      </c>
      <c r="E937" t="s" s="9">
        <v>385</v>
      </c>
      <c r="F937" t="s" s="10">
        <v>386</v>
      </c>
      <c r="G937" s="14"/>
      <c r="H937" t="s" s="10">
        <v>386</v>
      </c>
      <c r="I937" s="14"/>
      <c r="J937" t="s" s="11">
        <v>20</v>
      </c>
      <c r="K937" s="15"/>
      <c r="L937" t="s" s="16">
        <f>HYPERLINK("http://csr.bu.edu/ftp/asl/asllvd/demos/verify_start_end_handshape_annotations//test_auto_move//signs_mov_separ_signers/Lana_204.mov","MOV")</f>
        <v>21</v>
      </c>
      <c r="M937" t="s" s="10">
        <v>42</v>
      </c>
      <c r="N937" s="17">
        <v>22</v>
      </c>
      <c r="O937" s="18">
        <v>1234</v>
      </c>
      <c r="P937" s="18">
        <v>1272</v>
      </c>
      <c r="Q937" s="15"/>
      <c r="R937" t="s" s="16">
        <f>HYPERLINK("http://secrets.rutgers.edu:8080/data/asl-ftp/asllvd/demos/verify_start_end_handshape_annotations//test_auto_move//signs_mov_separ_signers/Lana_204.mov","MOV")</f>
        <v>21</v>
      </c>
    </row>
    <row r="938" s="2" customFormat="1" ht="13.5" customHeight="1">
      <c r="B938" t="s" s="8">
        <v>388</v>
      </c>
      <c r="C938" t="s" s="9">
        <v>14</v>
      </c>
      <c r="D938" t="s" s="8">
        <v>14</v>
      </c>
      <c r="E938" t="s" s="9">
        <v>14</v>
      </c>
      <c r="F938" t="s" s="10">
        <v>14</v>
      </c>
      <c r="G938" t="s" s="11">
        <v>14</v>
      </c>
      <c r="H938" t="s" s="10">
        <v>14</v>
      </c>
      <c r="I938" t="s" s="11">
        <v>14</v>
      </c>
      <c r="J938" t="s" s="11">
        <v>14</v>
      </c>
      <c r="K938" t="s" s="12">
        <v>14</v>
      </c>
      <c r="L938" t="s" s="12">
        <v>14</v>
      </c>
      <c r="M938" t="s" s="10">
        <v>14</v>
      </c>
      <c r="N938" t="s" s="11">
        <v>14</v>
      </c>
      <c r="O938" t="s" s="8">
        <v>14</v>
      </c>
      <c r="P938" t="s" s="8">
        <v>14</v>
      </c>
      <c r="Q938" t="s" s="12">
        <v>14</v>
      </c>
      <c r="R938" t="s" s="12">
        <v>14</v>
      </c>
    </row>
    <row r="939" s="2" customFormat="1" ht="13.5" customHeight="1">
      <c r="B939" s="13"/>
      <c r="C939" t="s" s="9">
        <v>16</v>
      </c>
      <c r="D939" t="s" s="8">
        <v>388</v>
      </c>
      <c r="E939" t="s" s="9">
        <v>388</v>
      </c>
      <c r="F939" t="s" s="10">
        <v>65</v>
      </c>
      <c r="G939" s="14"/>
      <c r="H939" t="s" s="10">
        <v>65</v>
      </c>
      <c r="I939" s="14"/>
      <c r="J939" t="s" s="11">
        <v>20</v>
      </c>
      <c r="K939" t="s" s="16">
        <f>HYPERLINK("http://csr.bu.edu/ftp/asl/asllvd/demos/verify_start_end_handshape_annotations//test_auto_move//signs_mov/16070.mov","MOV")</f>
        <v>21</v>
      </c>
      <c r="L939" t="s" s="16">
        <f>HYPERLINK("http://csr.bu.edu/ftp/asl/asllvd/demos/verify_start_end_handshape_annotations//test_auto_move//signs_mov_separ_signers/Liz_16070.mov","MOV")</f>
        <v>21</v>
      </c>
      <c r="M939" t="s" s="10">
        <v>36</v>
      </c>
      <c r="N939" s="17">
        <v>6</v>
      </c>
      <c r="O939" s="18">
        <v>3082</v>
      </c>
      <c r="P939" s="18">
        <v>3145</v>
      </c>
      <c r="Q939" t="s" s="16">
        <f>HYPERLINK("http://secrets.rutgers.edu:8080/data/asl-ftp/asllvd/demos/verify_start_end_handshape_annotations//test_auto_move//signs_mov/16070.mov","MOV")</f>
        <v>21</v>
      </c>
      <c r="R939" t="s" s="16">
        <f>HYPERLINK("http://secrets.rutgers.edu:8080/data/asl-ftp/asllvd/demos/verify_start_end_handshape_annotations//test_auto_move//signs_mov_separ_signers/Liz_16070.mov","MOV")</f>
        <v>21</v>
      </c>
    </row>
    <row r="940" s="2" customFormat="1" ht="13.5" customHeight="1">
      <c r="B940" t="s" s="8">
        <v>389</v>
      </c>
      <c r="C940" t="s" s="9">
        <v>14</v>
      </c>
      <c r="D940" t="s" s="8">
        <v>14</v>
      </c>
      <c r="E940" t="s" s="9">
        <v>14</v>
      </c>
      <c r="F940" t="s" s="10">
        <v>14</v>
      </c>
      <c r="G940" t="s" s="11">
        <v>14</v>
      </c>
      <c r="H940" t="s" s="10">
        <v>14</v>
      </c>
      <c r="I940" t="s" s="11">
        <v>14</v>
      </c>
      <c r="J940" t="s" s="11">
        <v>14</v>
      </c>
      <c r="K940" t="s" s="12">
        <v>14</v>
      </c>
      <c r="L940" t="s" s="12">
        <v>14</v>
      </c>
      <c r="M940" t="s" s="10">
        <v>14</v>
      </c>
      <c r="N940" t="s" s="11">
        <v>14</v>
      </c>
      <c r="O940" t="s" s="8">
        <v>14</v>
      </c>
      <c r="P940" t="s" s="8">
        <v>14</v>
      </c>
      <c r="Q940" t="s" s="12">
        <v>14</v>
      </c>
      <c r="R940" t="s" s="12">
        <v>14</v>
      </c>
    </row>
    <row r="941" s="2" customFormat="1" ht="13.5" customHeight="1">
      <c r="B941" s="13"/>
      <c r="C941" t="s" s="9">
        <v>16</v>
      </c>
      <c r="D941" t="s" s="8">
        <v>389</v>
      </c>
      <c r="E941" t="s" s="9">
        <v>390</v>
      </c>
      <c r="F941" t="s" s="10">
        <v>391</v>
      </c>
      <c r="G941" s="14"/>
      <c r="H941" t="s" s="10">
        <v>391</v>
      </c>
      <c r="I941" s="14"/>
      <c r="J941" t="s" s="11">
        <v>20</v>
      </c>
      <c r="K941" t="s" s="16">
        <f>HYPERLINK("http://csr.bu.edu/ftp/asl/asllvd/demos/verify_start_end_handshape_annotations//test_auto_move//signs_mov/16432.mov","MOV")</f>
        <v>21</v>
      </c>
      <c r="L941" t="s" s="16">
        <f>HYPERLINK("http://csr.bu.edu/ftp/asl/asllvd/demos/verify_start_end_handshape_annotations//test_auto_move//signs_mov_separ_signers/Liz_16432.mov","MOV")</f>
        <v>21</v>
      </c>
      <c r="M941" t="s" s="10">
        <v>88</v>
      </c>
      <c r="N941" s="17">
        <v>17</v>
      </c>
      <c r="O941" s="18">
        <v>3995</v>
      </c>
      <c r="P941" s="18">
        <v>4037</v>
      </c>
      <c r="Q941" t="s" s="16">
        <f>HYPERLINK("http://secrets.rutgers.edu:8080/data/asl-ftp/asllvd/demos/verify_start_end_handshape_annotations//test_auto_move//signs_mov/16432.mov","MOV")</f>
        <v>21</v>
      </c>
      <c r="R941" t="s" s="16">
        <f>HYPERLINK("http://secrets.rutgers.edu:8080/data/asl-ftp/asllvd/demos/verify_start_end_handshape_annotations//test_auto_move//signs_mov_separ_signers/Liz_16432.mov","MOV")</f>
        <v>21</v>
      </c>
    </row>
    <row r="942" s="2" customFormat="1" ht="13.5" customHeight="1">
      <c r="B942" t="s" s="8">
        <v>392</v>
      </c>
      <c r="C942" t="s" s="9">
        <v>14</v>
      </c>
      <c r="D942" t="s" s="8">
        <v>14</v>
      </c>
      <c r="E942" t="s" s="9">
        <v>14</v>
      </c>
      <c r="F942" t="s" s="10">
        <v>14</v>
      </c>
      <c r="G942" t="s" s="11">
        <v>14</v>
      </c>
      <c r="H942" t="s" s="10">
        <v>14</v>
      </c>
      <c r="I942" t="s" s="11">
        <v>14</v>
      </c>
      <c r="J942" t="s" s="11">
        <v>14</v>
      </c>
      <c r="K942" t="s" s="12">
        <v>14</v>
      </c>
      <c r="L942" t="s" s="12">
        <v>14</v>
      </c>
      <c r="M942" t="s" s="10">
        <v>14</v>
      </c>
      <c r="N942" t="s" s="11">
        <v>14</v>
      </c>
      <c r="O942" t="s" s="8">
        <v>14</v>
      </c>
      <c r="P942" t="s" s="8">
        <v>14</v>
      </c>
      <c r="Q942" t="s" s="12">
        <v>14</v>
      </c>
      <c r="R942" t="s" s="12">
        <v>14</v>
      </c>
    </row>
    <row r="943" s="2" customFormat="1" ht="13.5" customHeight="1">
      <c r="B943" s="13"/>
      <c r="C943" t="s" s="9">
        <v>16</v>
      </c>
      <c r="D943" t="s" s="8">
        <v>392</v>
      </c>
      <c r="E943" t="s" s="9">
        <v>392</v>
      </c>
      <c r="F943" t="s" s="10">
        <v>68</v>
      </c>
      <c r="G943" t="s" s="11">
        <v>68</v>
      </c>
      <c r="H943" s="19">
        <v>4</v>
      </c>
      <c r="I943" s="17">
        <v>4</v>
      </c>
      <c r="J943" t="s" s="11">
        <v>20</v>
      </c>
      <c r="K943" s="15"/>
      <c r="L943" t="s" s="16">
        <f>HYPERLINK("http://csr.bu.edu/ftp/asl/asllvd/demos/verify_start_end_handshape_annotations//test_auto_move//signs_mov_separ_signers/Liz_206.mov","MOV")</f>
        <v>21</v>
      </c>
      <c r="M943" t="s" s="10">
        <v>22</v>
      </c>
      <c r="N943" s="17">
        <v>34</v>
      </c>
      <c r="O943" s="18">
        <v>1565</v>
      </c>
      <c r="P943" s="18">
        <v>1590</v>
      </c>
      <c r="Q943" s="15"/>
      <c r="R943" t="s" s="16">
        <f>HYPERLINK("http://secrets.rutgers.edu:8080/data/asl-ftp/asllvd/demos/verify_start_end_handshape_annotations//test_auto_move//signs_mov_separ_signers/Liz_206.mov","MOV")</f>
        <v>21</v>
      </c>
    </row>
    <row r="944" s="2" customFormat="1" ht="13.5" customHeight="1">
      <c r="B944" s="13"/>
      <c r="C944" t="s" s="9">
        <v>16</v>
      </c>
      <c r="D944" t="s" s="8">
        <v>392</v>
      </c>
      <c r="E944" t="s" s="9">
        <v>392</v>
      </c>
      <c r="F944" t="s" s="10">
        <v>68</v>
      </c>
      <c r="G944" t="s" s="11">
        <v>68</v>
      </c>
      <c r="H944" s="19">
        <v>4</v>
      </c>
      <c r="I944" s="17">
        <v>4</v>
      </c>
      <c r="J944" t="s" s="11">
        <v>20</v>
      </c>
      <c r="K944" s="15"/>
      <c r="L944" t="s" s="16">
        <f>HYPERLINK("http://csr.bu.edu/ftp/asl/asllvd/demos/verify_start_end_handshape_annotations//test_auto_move//signs_mov_separ_signers/Liz_3451.mov","MOV")</f>
        <v>21</v>
      </c>
      <c r="M944" t="s" s="10">
        <v>77</v>
      </c>
      <c r="N944" s="17">
        <v>24</v>
      </c>
      <c r="O944" s="18">
        <v>1350</v>
      </c>
      <c r="P944" s="18">
        <v>1404</v>
      </c>
      <c r="Q944" s="15"/>
      <c r="R944" t="s" s="16">
        <f>HYPERLINK("http://secrets.rutgers.edu:8080/data/asl-ftp/asllvd/demos/verify_start_end_handshape_annotations//test_auto_move//signs_mov_separ_signers/Liz_3451.mov","MOV")</f>
        <v>21</v>
      </c>
    </row>
    <row r="945" s="2" customFormat="1" ht="13.5" customHeight="1">
      <c r="B945" s="13"/>
      <c r="C945" t="s" s="9">
        <v>23</v>
      </c>
      <c r="D945" t="s" s="8">
        <v>392</v>
      </c>
      <c r="E945" t="s" s="9">
        <v>392</v>
      </c>
      <c r="F945" t="s" s="10">
        <v>68</v>
      </c>
      <c r="G945" t="s" s="11">
        <v>68</v>
      </c>
      <c r="H945" s="19">
        <v>5</v>
      </c>
      <c r="I945" s="17">
        <v>4</v>
      </c>
      <c r="J945" t="s" s="11">
        <v>20</v>
      </c>
      <c r="K945" t="s" s="16">
        <f>HYPERLINK("http://csr.bu.edu/ftp/asl/asllvd/demos/verify_start_end_handshape_annotations//test_auto_move//signs_mov/206_3451_merged.mov","MOV")</f>
        <v>21</v>
      </c>
      <c r="L945" t="s" s="16">
        <f>HYPERLINK("http://csr.bu.edu/ftp/asl/asllvd/demos/verify_start_end_handshape_annotations//test_auto_move//signs_mov_separ_signers/Tyler_206.mov","MOV")</f>
        <v>21</v>
      </c>
      <c r="M945" t="s" s="10">
        <v>26</v>
      </c>
      <c r="N945" s="17">
        <v>22</v>
      </c>
      <c r="O945" s="18">
        <v>2265</v>
      </c>
      <c r="P945" s="18">
        <v>2291</v>
      </c>
      <c r="Q945" t="s" s="16">
        <f>HYPERLINK("http://secrets.rutgers.edu:8080/data/asl-ftp/asllvd/demos/verify_start_end_handshape_annotations//test_auto_move//signs_mov/206_3451_merged.mov","MOV")</f>
        <v>21</v>
      </c>
      <c r="R945" t="s" s="16">
        <f>HYPERLINK("http://secrets.rutgers.edu:8080/data/asl-ftp/asllvd/demos/verify_start_end_handshape_annotations//test_auto_move//signs_mov_separ_signers/Tyler_206.mov","MOV")</f>
        <v>21</v>
      </c>
    </row>
    <row r="946" s="2" customFormat="1" ht="13.5" customHeight="1">
      <c r="B946" s="13"/>
      <c r="C946" t="s" s="9">
        <v>27</v>
      </c>
      <c r="D946" t="s" s="8">
        <v>392</v>
      </c>
      <c r="E946" t="s" s="9">
        <v>392</v>
      </c>
      <c r="F946" t="s" s="10">
        <v>68</v>
      </c>
      <c r="G946" t="s" s="11">
        <v>68</v>
      </c>
      <c r="H946" s="19">
        <v>5</v>
      </c>
      <c r="I946" s="17">
        <v>4</v>
      </c>
      <c r="J946" t="s" s="11">
        <v>20</v>
      </c>
      <c r="K946" s="15"/>
      <c r="L946" t="s" s="16">
        <f>HYPERLINK("http://csr.bu.edu/ftp/asl/asllvd/demos/verify_start_end_handshape_annotations//test_auto_move//signs_mov_separ_signers/Naomi_206.mov","MOV")</f>
        <v>21</v>
      </c>
      <c r="M946" t="s" s="10">
        <v>29</v>
      </c>
      <c r="N946" s="17">
        <v>23</v>
      </c>
      <c r="O946" s="18">
        <v>2722</v>
      </c>
      <c r="P946" s="18">
        <v>2746</v>
      </c>
      <c r="Q946" s="15"/>
      <c r="R946" t="s" s="16">
        <f>HYPERLINK("http://secrets.rutgers.edu:8080/data/asl-ftp/asllvd/demos/verify_start_end_handshape_annotations//test_auto_move//signs_mov_separ_signers/Naomi_206.mov","MOV")</f>
        <v>21</v>
      </c>
    </row>
    <row r="947" s="2" customFormat="1" ht="13.5" customHeight="1">
      <c r="B947" s="13"/>
      <c r="C947" t="s" s="9">
        <v>30</v>
      </c>
      <c r="D947" t="s" s="8">
        <v>392</v>
      </c>
      <c r="E947" t="s" s="9">
        <v>392</v>
      </c>
      <c r="F947" t="s" s="10">
        <v>68</v>
      </c>
      <c r="G947" t="s" s="11">
        <v>68</v>
      </c>
      <c r="H947" s="19">
        <v>5</v>
      </c>
      <c r="I947" s="17">
        <v>4</v>
      </c>
      <c r="J947" t="s" s="11">
        <v>20</v>
      </c>
      <c r="K947" s="15"/>
      <c r="L947" t="s" s="16">
        <f>HYPERLINK("http://csr.bu.edu/ftp/asl/asllvd/demos/verify_start_end_handshape_annotations//test_auto_move//signs_mov_separ_signers/Brady_206.mov","MOV")</f>
        <v>21</v>
      </c>
      <c r="M947" t="s" s="10">
        <v>31</v>
      </c>
      <c r="N947" s="17">
        <v>17</v>
      </c>
      <c r="O947" s="18">
        <v>5244</v>
      </c>
      <c r="P947" s="18">
        <v>5259</v>
      </c>
      <c r="Q947" s="15"/>
      <c r="R947" t="s" s="16">
        <f>HYPERLINK("http://secrets.rutgers.edu:8080/data/asl-ftp/asllvd/demos/verify_start_end_handshape_annotations//test_auto_move//signs_mov_separ_signers/Brady_206.mov","MOV")</f>
        <v>21</v>
      </c>
    </row>
    <row r="948" s="2" customFormat="1" ht="13.5" customHeight="1">
      <c r="B948" t="s" s="8">
        <v>52</v>
      </c>
      <c r="C948" t="s" s="9">
        <v>53</v>
      </c>
      <c r="D948" t="s" s="8">
        <v>53</v>
      </c>
      <c r="E948" t="s" s="9">
        <v>53</v>
      </c>
      <c r="F948" t="s" s="10">
        <v>53</v>
      </c>
      <c r="G948" t="s" s="11">
        <v>53</v>
      </c>
      <c r="H948" t="s" s="10">
        <v>53</v>
      </c>
      <c r="I948" t="s" s="11">
        <v>53</v>
      </c>
      <c r="J948" t="s" s="11">
        <v>53</v>
      </c>
      <c r="K948" t="s" s="12">
        <v>53</v>
      </c>
      <c r="L948" t="s" s="12">
        <v>53</v>
      </c>
      <c r="M948" t="s" s="10">
        <v>53</v>
      </c>
      <c r="N948" t="s" s="11">
        <v>53</v>
      </c>
      <c r="O948" t="s" s="8">
        <v>53</v>
      </c>
      <c r="P948" t="s" s="8">
        <v>53</v>
      </c>
      <c r="Q948" t="s" s="12">
        <v>53</v>
      </c>
      <c r="R948" t="s" s="12">
        <v>53</v>
      </c>
    </row>
    <row r="949" s="2" customFormat="1" ht="13.5" customHeight="1">
      <c r="B949" s="13"/>
      <c r="C949" t="s" s="9">
        <v>30</v>
      </c>
      <c r="D949" t="s" s="8">
        <v>392</v>
      </c>
      <c r="E949" t="s" s="9">
        <v>393</v>
      </c>
      <c r="F949" t="s" s="10">
        <v>68</v>
      </c>
      <c r="G949" s="17">
        <v>1</v>
      </c>
      <c r="H949" s="19">
        <v>5</v>
      </c>
      <c r="I949" s="17">
        <v>1</v>
      </c>
      <c r="J949" t="s" s="11">
        <v>20</v>
      </c>
      <c r="K949" t="s" s="16">
        <f>HYPERLINK("http://csr.bu.edu/ftp/asl/asllvd/demos/verify_start_end_handshape_annotations//test_auto_move//signs_mov/5102.mov","MOV")</f>
        <v>21</v>
      </c>
      <c r="L949" t="s" s="16">
        <f>HYPERLINK("http://csr.bu.edu/ftp/asl/asllvd/demos/verify_start_end_handshape_annotations//test_auto_move//signs_mov_separ_signers/Brady_5102.mov","MOV")</f>
        <v>21</v>
      </c>
      <c r="M949" t="s" s="10">
        <v>31</v>
      </c>
      <c r="N949" s="17">
        <v>17</v>
      </c>
      <c r="O949" s="18">
        <v>6933</v>
      </c>
      <c r="P949" s="18">
        <v>6937</v>
      </c>
      <c r="Q949" t="s" s="16">
        <f>HYPERLINK("http://secrets.rutgers.edu:8080/data/asl-ftp/asllvd/demos/verify_start_end_handshape_annotations//test_auto_move//signs_mov/5102.mov","MOV")</f>
        <v>21</v>
      </c>
      <c r="R949" t="s" s="16">
        <f>HYPERLINK("http://secrets.rutgers.edu:8080/data/asl-ftp/asllvd/demos/verify_start_end_handshape_annotations//test_auto_move//signs_mov_separ_signers/Brady_5102.mov","MOV")</f>
        <v>21</v>
      </c>
    </row>
    <row r="950" s="2" customFormat="1" ht="13.5" customHeight="1">
      <c r="B950" t="s" s="8">
        <v>394</v>
      </c>
      <c r="C950" t="s" s="9">
        <v>14</v>
      </c>
      <c r="D950" t="s" s="8">
        <v>14</v>
      </c>
      <c r="E950" t="s" s="9">
        <v>14</v>
      </c>
      <c r="F950" t="s" s="10">
        <v>14</v>
      </c>
      <c r="G950" t="s" s="11">
        <v>14</v>
      </c>
      <c r="H950" t="s" s="10">
        <v>14</v>
      </c>
      <c r="I950" t="s" s="11">
        <v>14</v>
      </c>
      <c r="J950" t="s" s="11">
        <v>14</v>
      </c>
      <c r="K950" t="s" s="12">
        <v>14</v>
      </c>
      <c r="L950" t="s" s="12">
        <v>14</v>
      </c>
      <c r="M950" t="s" s="10">
        <v>14</v>
      </c>
      <c r="N950" t="s" s="11">
        <v>14</v>
      </c>
      <c r="O950" t="s" s="8">
        <v>14</v>
      </c>
      <c r="P950" t="s" s="8">
        <v>14</v>
      </c>
      <c r="Q950" t="s" s="12">
        <v>14</v>
      </c>
      <c r="R950" t="s" s="12">
        <v>14</v>
      </c>
    </row>
    <row r="951" s="2" customFormat="1" ht="13.5" customHeight="1">
      <c r="B951" s="13"/>
      <c r="C951" t="s" s="9">
        <v>16</v>
      </c>
      <c r="D951" t="s" s="8">
        <v>394</v>
      </c>
      <c r="E951" t="s" s="9">
        <v>395</v>
      </c>
      <c r="F951" t="s" s="10">
        <v>220</v>
      </c>
      <c r="G951" t="s" s="11">
        <v>220</v>
      </c>
      <c r="H951" t="s" s="10">
        <v>220</v>
      </c>
      <c r="I951" t="s" s="11">
        <v>220</v>
      </c>
      <c r="J951" t="s" s="11">
        <v>20</v>
      </c>
      <c r="K951" s="15"/>
      <c r="L951" t="s" s="16">
        <f>HYPERLINK("http://csr.bu.edu/ftp/asl/asllvd/demos/verify_start_end_handshape_annotations//test_auto_move//signs_mov_separ_signers/Liz_207.mov","MOV")</f>
        <v>21</v>
      </c>
      <c r="M951" t="s" s="10">
        <v>22</v>
      </c>
      <c r="N951" s="17">
        <v>35</v>
      </c>
      <c r="O951" s="18">
        <v>505</v>
      </c>
      <c r="P951" s="18">
        <v>535</v>
      </c>
      <c r="Q951" s="15"/>
      <c r="R951" t="s" s="16">
        <f>HYPERLINK("http://secrets.rutgers.edu:8080/data/asl-ftp/asllvd/demos/verify_start_end_handshape_annotations//test_auto_move//signs_mov_separ_signers/Liz_207.mov","MOV")</f>
        <v>21</v>
      </c>
    </row>
    <row r="952" s="2" customFormat="1" ht="13.5" customHeight="1">
      <c r="B952" s="13"/>
      <c r="C952" t="s" s="9">
        <v>16</v>
      </c>
      <c r="D952" t="s" s="8">
        <v>394</v>
      </c>
      <c r="E952" t="s" s="9">
        <v>396</v>
      </c>
      <c r="F952" t="s" s="10">
        <v>220</v>
      </c>
      <c r="G952" t="s" s="11">
        <v>220</v>
      </c>
      <c r="H952" t="s" s="10">
        <v>220</v>
      </c>
      <c r="I952" t="s" s="11">
        <v>220</v>
      </c>
      <c r="J952" t="s" s="11">
        <v>20</v>
      </c>
      <c r="K952" s="15"/>
      <c r="L952" t="s" s="16">
        <f>HYPERLINK("http://csr.bu.edu/ftp/asl/asllvd/demos/verify_start_end_handshape_annotations//test_auto_move//signs_mov_separ_signers/Liz_3437.mov","MOV")</f>
        <v>21</v>
      </c>
      <c r="M952" t="s" s="10">
        <v>77</v>
      </c>
      <c r="N952" s="17">
        <v>25</v>
      </c>
      <c r="O952" s="18">
        <v>2126</v>
      </c>
      <c r="P952" s="18">
        <v>2170</v>
      </c>
      <c r="Q952" s="15"/>
      <c r="R952" t="s" s="16">
        <f>HYPERLINK("http://secrets.rutgers.edu:8080/data/asl-ftp/asllvd/demos/verify_start_end_handshape_annotations//test_auto_move//signs_mov_separ_signers/Liz_3437.mov","MOV")</f>
        <v>21</v>
      </c>
    </row>
    <row r="953" s="2" customFormat="1" ht="13.5" customHeight="1">
      <c r="B953" s="13"/>
      <c r="C953" t="s" s="9">
        <v>23</v>
      </c>
      <c r="D953" t="s" s="8">
        <v>394</v>
      </c>
      <c r="E953" t="s" s="9">
        <v>396</v>
      </c>
      <c r="F953" t="s" s="10">
        <v>220</v>
      </c>
      <c r="G953" t="s" s="11">
        <v>220</v>
      </c>
      <c r="H953" t="s" s="10">
        <v>220</v>
      </c>
      <c r="I953" t="s" s="11">
        <v>220</v>
      </c>
      <c r="J953" t="s" s="11">
        <v>20</v>
      </c>
      <c r="K953" t="s" s="16">
        <f>HYPERLINK("http://csr.bu.edu/ftp/asl/asllvd/demos/verify_start_end_handshape_annotations//test_auto_move//signs_mov/207_3437_merged.mov","MOV")</f>
        <v>21</v>
      </c>
      <c r="L953" t="s" s="16">
        <f>HYPERLINK("http://csr.bu.edu/ftp/asl/asllvd/demos/verify_start_end_handshape_annotations//test_auto_move//signs_mov_separ_signers/Tyler_207.mov","MOV")</f>
        <v>21</v>
      </c>
      <c r="M953" t="s" s="10">
        <v>26</v>
      </c>
      <c r="N953" s="17">
        <v>22</v>
      </c>
      <c r="O953" s="18">
        <v>2535</v>
      </c>
      <c r="P953" s="18">
        <v>2567</v>
      </c>
      <c r="Q953" t="s" s="16">
        <f>HYPERLINK("http://secrets.rutgers.edu:8080/data/asl-ftp/asllvd/demos/verify_start_end_handshape_annotations//test_auto_move//signs_mov/207_3437_merged.mov","MOV")</f>
        <v>21</v>
      </c>
      <c r="R953" t="s" s="16">
        <f>HYPERLINK("http://secrets.rutgers.edu:8080/data/asl-ftp/asllvd/demos/verify_start_end_handshape_annotations//test_auto_move//signs_mov_separ_signers/Tyler_207.mov","MOV")</f>
        <v>21</v>
      </c>
    </row>
    <row r="954" s="2" customFormat="1" ht="13.5" customHeight="1">
      <c r="B954" s="13"/>
      <c r="C954" t="s" s="9">
        <v>27</v>
      </c>
      <c r="D954" t="s" s="8">
        <v>394</v>
      </c>
      <c r="E954" t="s" s="9">
        <v>395</v>
      </c>
      <c r="F954" t="s" s="10">
        <v>220</v>
      </c>
      <c r="G954" t="s" s="11">
        <v>220</v>
      </c>
      <c r="H954" t="s" s="10">
        <v>220</v>
      </c>
      <c r="I954" t="s" s="11">
        <v>220</v>
      </c>
      <c r="J954" t="s" s="11">
        <v>20</v>
      </c>
      <c r="K954" s="15"/>
      <c r="L954" t="s" s="16">
        <f>HYPERLINK("http://csr.bu.edu/ftp/asl/asllvd/demos/verify_start_end_handshape_annotations//test_auto_move//signs_mov_separ_signers/Naomi_207.mov","MOV")</f>
        <v>21</v>
      </c>
      <c r="M954" t="s" s="10">
        <v>29</v>
      </c>
      <c r="N954" s="17">
        <v>23</v>
      </c>
      <c r="O954" s="18">
        <v>2948</v>
      </c>
      <c r="P954" s="18">
        <v>2975</v>
      </c>
      <c r="Q954" s="15"/>
      <c r="R954" t="s" s="16">
        <f>HYPERLINK("http://secrets.rutgers.edu:8080/data/asl-ftp/asllvd/demos/verify_start_end_handshape_annotations//test_auto_move//signs_mov_separ_signers/Naomi_207.mov","MOV")</f>
        <v>21</v>
      </c>
    </row>
    <row r="955" s="2" customFormat="1" ht="13.5" customHeight="1">
      <c r="B955" s="13"/>
      <c r="C955" t="s" s="9">
        <v>30</v>
      </c>
      <c r="D955" t="s" s="8">
        <v>394</v>
      </c>
      <c r="E955" t="s" s="9">
        <v>395</v>
      </c>
      <c r="F955" t="s" s="10">
        <v>220</v>
      </c>
      <c r="G955" t="s" s="11">
        <v>220</v>
      </c>
      <c r="H955" t="s" s="10">
        <v>220</v>
      </c>
      <c r="I955" t="s" s="11">
        <v>220</v>
      </c>
      <c r="J955" t="s" s="11">
        <v>20</v>
      </c>
      <c r="K955" s="15"/>
      <c r="L955" t="s" s="16">
        <f>HYPERLINK("http://csr.bu.edu/ftp/asl/asllvd/demos/verify_start_end_handshape_annotations//test_auto_move//signs_mov_separ_signers/Brady_207.mov","MOV")</f>
        <v>21</v>
      </c>
      <c r="M955" t="s" s="10">
        <v>31</v>
      </c>
      <c r="N955" s="17">
        <v>17</v>
      </c>
      <c r="O955" s="18">
        <v>7388</v>
      </c>
      <c r="P955" s="18">
        <v>7413</v>
      </c>
      <c r="Q955" s="15"/>
      <c r="R955" t="s" s="16">
        <f>HYPERLINK("http://secrets.rutgers.edu:8080/data/asl-ftp/asllvd/demos/verify_start_end_handshape_annotations//test_auto_move//signs_mov_separ_signers/Brady_207.mov","MOV")</f>
        <v>21</v>
      </c>
    </row>
    <row r="956" s="2" customFormat="1" ht="13.5" customHeight="1">
      <c r="B956" s="13"/>
      <c r="C956" t="s" s="9">
        <v>30</v>
      </c>
      <c r="D956" t="s" s="8">
        <v>394</v>
      </c>
      <c r="E956" t="s" s="9">
        <v>395</v>
      </c>
      <c r="F956" t="s" s="10">
        <v>220</v>
      </c>
      <c r="G956" t="s" s="11">
        <v>220</v>
      </c>
      <c r="H956" t="s" s="10">
        <v>220</v>
      </c>
      <c r="I956" t="s" s="11">
        <v>220</v>
      </c>
      <c r="J956" t="s" s="11">
        <v>20</v>
      </c>
      <c r="K956" s="15"/>
      <c r="L956" t="s" s="16">
        <f>HYPERLINK("http://csr.bu.edu/ftp/asl/asllvd/demos/verify_start_end_handshape_annotations//test_auto_move//signs_mov_separ_signers/Brady_3437.mov","MOV")</f>
        <v>21</v>
      </c>
      <c r="M956" t="s" s="10">
        <v>31</v>
      </c>
      <c r="N956" s="17">
        <v>25</v>
      </c>
      <c r="O956" s="18">
        <v>14017</v>
      </c>
      <c r="P956" s="18">
        <v>14043</v>
      </c>
      <c r="Q956" s="15"/>
      <c r="R956" t="s" s="16">
        <f>HYPERLINK("http://secrets.rutgers.edu:8080/data/asl-ftp/asllvd/demos/verify_start_end_handshape_annotations//test_auto_move//signs_mov_separ_signers/Brady_3437.mov","MOV")</f>
        <v>21</v>
      </c>
    </row>
    <row r="957" s="2" customFormat="1" ht="13.5" customHeight="1">
      <c r="B957" t="s" s="8">
        <v>52</v>
      </c>
      <c r="C957" t="s" s="9">
        <v>53</v>
      </c>
      <c r="D957" t="s" s="8">
        <v>53</v>
      </c>
      <c r="E957" t="s" s="9">
        <v>53</v>
      </c>
      <c r="F957" t="s" s="10">
        <v>53</v>
      </c>
      <c r="G957" t="s" s="11">
        <v>53</v>
      </c>
      <c r="H957" t="s" s="10">
        <v>53</v>
      </c>
      <c r="I957" t="s" s="11">
        <v>53</v>
      </c>
      <c r="J957" t="s" s="11">
        <v>53</v>
      </c>
      <c r="K957" t="s" s="12">
        <v>53</v>
      </c>
      <c r="L957" t="s" s="12">
        <v>53</v>
      </c>
      <c r="M957" t="s" s="10">
        <v>53</v>
      </c>
      <c r="N957" t="s" s="11">
        <v>53</v>
      </c>
      <c r="O957" t="s" s="8">
        <v>53</v>
      </c>
      <c r="P957" t="s" s="8">
        <v>53</v>
      </c>
      <c r="Q957" t="s" s="12">
        <v>53</v>
      </c>
      <c r="R957" t="s" s="12">
        <v>53</v>
      </c>
    </row>
    <row r="958" s="2" customFormat="1" ht="13.5" customHeight="1">
      <c r="B958" s="13"/>
      <c r="C958" t="s" s="9">
        <v>41</v>
      </c>
      <c r="D958" t="s" s="8">
        <v>394</v>
      </c>
      <c r="E958" t="s" s="9">
        <v>397</v>
      </c>
      <c r="F958" t="s" s="10">
        <v>220</v>
      </c>
      <c r="G958" t="s" s="11">
        <v>220</v>
      </c>
      <c r="H958" t="s" s="10">
        <v>220</v>
      </c>
      <c r="I958" t="s" s="11">
        <v>220</v>
      </c>
      <c r="J958" t="s" s="11">
        <v>20</v>
      </c>
      <c r="K958" t="s" s="16">
        <f>HYPERLINK("http://csr.bu.edu/ftp/asl/asllvd/demos/verify_start_end_handshape_annotations//test_auto_move//signs_mov/5985.mov","MOV")</f>
        <v>21</v>
      </c>
      <c r="L958" t="s" s="16">
        <f>HYPERLINK("http://csr.bu.edu/ftp/asl/asllvd/demos/verify_start_end_handshape_annotations//test_auto_move//signs_mov_separ_signers/Lana_5985.mov","MOV")</f>
        <v>21</v>
      </c>
      <c r="M958" t="s" s="10">
        <v>42</v>
      </c>
      <c r="N958" s="17">
        <v>4</v>
      </c>
      <c r="O958" s="18">
        <v>2282</v>
      </c>
      <c r="P958" s="18">
        <v>2327</v>
      </c>
      <c r="Q958" t="s" s="16">
        <f>HYPERLINK("http://secrets.rutgers.edu:8080/data/asl-ftp/asllvd/demos/verify_start_end_handshape_annotations//test_auto_move//signs_mov/5985.mov","MOV")</f>
        <v>21</v>
      </c>
      <c r="R958" t="s" s="16">
        <f>HYPERLINK("http://secrets.rutgers.edu:8080/data/asl-ftp/asllvd/demos/verify_start_end_handshape_annotations//test_auto_move//signs_mov_separ_signers/Lana_5985.mov","MOV")</f>
        <v>21</v>
      </c>
    </row>
    <row r="959" s="2" customFormat="1" ht="13.5" customHeight="1">
      <c r="B959" s="13"/>
      <c r="C959" t="s" s="9">
        <v>43</v>
      </c>
      <c r="D959" t="s" s="8">
        <v>394</v>
      </c>
      <c r="E959" t="s" s="9">
        <v>398</v>
      </c>
      <c r="F959" t="s" s="10">
        <v>220</v>
      </c>
      <c r="G959" t="s" s="11">
        <v>220</v>
      </c>
      <c r="H959" t="s" s="10">
        <v>220</v>
      </c>
      <c r="I959" t="s" s="11">
        <v>220</v>
      </c>
      <c r="J959" t="s" s="11">
        <v>20</v>
      </c>
      <c r="K959" s="15"/>
      <c r="L959" t="s" s="16">
        <f>HYPERLINK("http://csr.bu.edu/ftp/asl/asllvd/demos/verify_start_end_handshape_annotations//test_auto_move//signs_mov_separ_signers/Dana_5985.mov","MOV")</f>
        <v>21</v>
      </c>
      <c r="M959" t="s" s="10">
        <v>44</v>
      </c>
      <c r="N959" s="17">
        <v>8</v>
      </c>
      <c r="O959" s="18">
        <v>2307</v>
      </c>
      <c r="P959" s="18">
        <v>2385</v>
      </c>
      <c r="Q959" s="15"/>
      <c r="R959" t="s" s="16">
        <f>HYPERLINK("http://secrets.rutgers.edu:8080/data/asl-ftp/asllvd/demos/verify_start_end_handshape_annotations//test_auto_move//signs_mov_separ_signers/Dana_5985.mov","MOV")</f>
        <v>21</v>
      </c>
    </row>
    <row r="960" s="2" customFormat="1" ht="13.5" customHeight="1">
      <c r="B960" t="s" s="8">
        <v>399</v>
      </c>
      <c r="C960" t="s" s="9">
        <v>14</v>
      </c>
      <c r="D960" t="s" s="8">
        <v>14</v>
      </c>
      <c r="E960" t="s" s="9">
        <v>14</v>
      </c>
      <c r="F960" t="s" s="10">
        <v>14</v>
      </c>
      <c r="G960" t="s" s="11">
        <v>14</v>
      </c>
      <c r="H960" t="s" s="10">
        <v>14</v>
      </c>
      <c r="I960" t="s" s="11">
        <v>14</v>
      </c>
      <c r="J960" t="s" s="11">
        <v>14</v>
      </c>
      <c r="K960" t="s" s="12">
        <v>14</v>
      </c>
      <c r="L960" t="s" s="12">
        <v>14</v>
      </c>
      <c r="M960" t="s" s="10">
        <v>14</v>
      </c>
      <c r="N960" t="s" s="11">
        <v>14</v>
      </c>
      <c r="O960" t="s" s="8">
        <v>14</v>
      </c>
      <c r="P960" t="s" s="8">
        <v>14</v>
      </c>
      <c r="Q960" t="s" s="12">
        <v>14</v>
      </c>
      <c r="R960" t="s" s="12">
        <v>14</v>
      </c>
    </row>
    <row r="961" s="2" customFormat="1" ht="13.5" customHeight="1">
      <c r="B961" s="13"/>
      <c r="C961" t="s" s="9">
        <v>16</v>
      </c>
      <c r="D961" t="s" s="8">
        <v>399</v>
      </c>
      <c r="E961" t="s" s="9">
        <v>399</v>
      </c>
      <c r="F961" t="s" s="10">
        <v>220</v>
      </c>
      <c r="G961" t="s" s="11">
        <v>220</v>
      </c>
      <c r="H961" t="s" s="10">
        <v>220</v>
      </c>
      <c r="I961" t="s" s="11">
        <v>220</v>
      </c>
      <c r="J961" t="s" s="11">
        <v>20</v>
      </c>
      <c r="K961" s="15"/>
      <c r="L961" t="s" s="16">
        <f>HYPERLINK("http://csr.bu.edu/ftp/asl/asllvd/demos/verify_start_end_handshape_annotations//test_auto_move//signs_mov_separ_signers/Liz_15328.mov","MOV")</f>
        <v>21</v>
      </c>
      <c r="M961" t="s" s="10">
        <v>34</v>
      </c>
      <c r="N961" s="17">
        <v>39</v>
      </c>
      <c r="O961" s="18">
        <v>810</v>
      </c>
      <c r="P961" s="18">
        <v>855</v>
      </c>
      <c r="Q961" s="15"/>
      <c r="R961" t="s" s="16">
        <f>HYPERLINK("http://secrets.rutgers.edu:8080/data/asl-ftp/asllvd/demos/verify_start_end_handshape_annotations//test_auto_move//signs_mov_separ_signers/Liz_15328.mov","MOV")</f>
        <v>21</v>
      </c>
    </row>
    <row r="962" s="2" customFormat="1" ht="13.5" customHeight="1">
      <c r="B962" s="13"/>
      <c r="C962" t="s" s="9">
        <v>23</v>
      </c>
      <c r="D962" t="s" s="8">
        <v>399</v>
      </c>
      <c r="E962" t="s" s="9">
        <v>399</v>
      </c>
      <c r="F962" t="s" s="10">
        <v>220</v>
      </c>
      <c r="G962" t="s" s="11">
        <v>220</v>
      </c>
      <c r="H962" t="s" s="10">
        <v>220</v>
      </c>
      <c r="I962" t="s" s="11">
        <v>220</v>
      </c>
      <c r="J962" t="s" s="11">
        <v>20</v>
      </c>
      <c r="K962" s="15"/>
      <c r="L962" t="s" s="16">
        <f>HYPERLINK("http://csr.bu.edu/ftp/asl/asllvd/demos/verify_start_end_handshape_annotations//test_auto_move//signs_mov_separ_signers/Tyler_15328.mov","MOV")</f>
        <v>21</v>
      </c>
      <c r="M962" t="s" s="10">
        <v>37</v>
      </c>
      <c r="N962" s="17">
        <v>13</v>
      </c>
      <c r="O962" s="18">
        <v>296</v>
      </c>
      <c r="P962" s="18">
        <v>322</v>
      </c>
      <c r="Q962" s="15"/>
      <c r="R962" t="s" s="16">
        <f>HYPERLINK("http://secrets.rutgers.edu:8080/data/asl-ftp/asllvd/demos/verify_start_end_handshape_annotations//test_auto_move//signs_mov_separ_signers/Tyler_15328.mov","MOV")</f>
        <v>21</v>
      </c>
    </row>
    <row r="963" s="2" customFormat="1" ht="13.5" customHeight="1">
      <c r="B963" s="13"/>
      <c r="C963" t="s" s="9">
        <v>27</v>
      </c>
      <c r="D963" t="s" s="8">
        <v>399</v>
      </c>
      <c r="E963" t="s" s="9">
        <v>399</v>
      </c>
      <c r="F963" t="s" s="10">
        <v>220</v>
      </c>
      <c r="G963" t="s" s="11">
        <v>220</v>
      </c>
      <c r="H963" t="s" s="10">
        <v>220</v>
      </c>
      <c r="I963" t="s" s="11">
        <v>220</v>
      </c>
      <c r="J963" t="s" s="11">
        <v>20</v>
      </c>
      <c r="K963" s="15"/>
      <c r="L963" t="s" s="16">
        <f>HYPERLINK("http://csr.bu.edu/ftp/asl/asllvd/demos/verify_start_end_handshape_annotations//test_auto_move//signs_mov_separ_signers/Naomi_15328.mov","MOV")</f>
        <v>21</v>
      </c>
      <c r="M963" t="s" s="10">
        <v>38</v>
      </c>
      <c r="N963" s="17">
        <v>33</v>
      </c>
      <c r="O963" s="18">
        <v>297</v>
      </c>
      <c r="P963" s="18">
        <v>316</v>
      </c>
      <c r="Q963" s="15"/>
      <c r="R963" t="s" s="16">
        <f>HYPERLINK("http://secrets.rutgers.edu:8080/data/asl-ftp/asllvd/demos/verify_start_end_handshape_annotations//test_auto_move//signs_mov_separ_signers/Naomi_15328.mov","MOV")</f>
        <v>21</v>
      </c>
    </row>
    <row r="964" s="2" customFormat="1" ht="13.5" customHeight="1">
      <c r="B964" s="13"/>
      <c r="C964" t="s" s="9">
        <v>30</v>
      </c>
      <c r="D964" t="s" s="8">
        <v>399</v>
      </c>
      <c r="E964" t="s" s="9">
        <v>399</v>
      </c>
      <c r="F964" t="s" s="10">
        <v>220</v>
      </c>
      <c r="G964" t="s" s="11">
        <v>220</v>
      </c>
      <c r="H964" t="s" s="10">
        <v>220</v>
      </c>
      <c r="I964" t="s" s="11">
        <v>220</v>
      </c>
      <c r="J964" t="s" s="11">
        <v>20</v>
      </c>
      <c r="K964" t="s" s="16">
        <f>HYPERLINK("http://csr.bu.edu/ftp/asl/asllvd/demos/verify_start_end_handshape_annotations//test_auto_move//signs_mov/15328_15557_merged.mov","MOV")</f>
        <v>21</v>
      </c>
      <c r="L964" t="s" s="16">
        <f>HYPERLINK("http://csr.bu.edu/ftp/asl/asllvd/demos/verify_start_end_handshape_annotations//test_auto_move//signs_mov_separ_signers/Brady_15328.mov","MOV")</f>
        <v>21</v>
      </c>
      <c r="M964" t="s" s="10">
        <v>39</v>
      </c>
      <c r="N964" s="17">
        <v>44</v>
      </c>
      <c r="O964" s="18">
        <v>3006</v>
      </c>
      <c r="P964" s="18">
        <v>3020</v>
      </c>
      <c r="Q964" t="s" s="16">
        <f>HYPERLINK("http://secrets.rutgers.edu:8080/data/asl-ftp/asllvd/demos/verify_start_end_handshape_annotations//test_auto_move//signs_mov/15328_15557_merged.mov","MOV")</f>
        <v>21</v>
      </c>
      <c r="R964" t="s" s="16">
        <f>HYPERLINK("http://secrets.rutgers.edu:8080/data/asl-ftp/asllvd/demos/verify_start_end_handshape_annotations//test_auto_move//signs_mov_separ_signers/Brady_15328.mov","MOV")</f>
        <v>21</v>
      </c>
    </row>
    <row r="965" s="2" customFormat="1" ht="13.5" customHeight="1">
      <c r="B965" s="13"/>
      <c r="C965" t="s" s="9">
        <v>30</v>
      </c>
      <c r="D965" t="s" s="8">
        <v>399</v>
      </c>
      <c r="E965" t="s" s="9">
        <v>399</v>
      </c>
      <c r="F965" t="s" s="10">
        <v>220</v>
      </c>
      <c r="G965" t="s" s="11">
        <v>220</v>
      </c>
      <c r="H965" t="s" s="10">
        <v>220</v>
      </c>
      <c r="I965" t="s" s="11">
        <v>220</v>
      </c>
      <c r="J965" t="s" s="11">
        <v>20</v>
      </c>
      <c r="K965" s="15"/>
      <c r="L965" t="s" s="16">
        <f>HYPERLINK("http://csr.bu.edu/ftp/asl/asllvd/demos/verify_start_end_handshape_annotations//test_auto_move//signs_mov_separ_signers/Brady_15557.mov","MOV")</f>
        <v>21</v>
      </c>
      <c r="M965" t="s" s="10">
        <v>60</v>
      </c>
      <c r="N965" s="17">
        <v>46</v>
      </c>
      <c r="O965" s="18">
        <v>137</v>
      </c>
      <c r="P965" s="18">
        <v>157</v>
      </c>
      <c r="Q965" s="15"/>
      <c r="R965" t="s" s="16">
        <f>HYPERLINK("http://secrets.rutgers.edu:8080/data/asl-ftp/asllvd/demos/verify_start_end_handshape_annotations//test_auto_move//signs_mov_separ_signers/Brady_15557.mov","MOV")</f>
        <v>21</v>
      </c>
    </row>
    <row r="966" s="2" customFormat="1" ht="13.5" customHeight="1">
      <c r="B966" s="13"/>
      <c r="C966" t="s" s="9">
        <v>41</v>
      </c>
      <c r="D966" t="s" s="8">
        <v>399</v>
      </c>
      <c r="E966" t="s" s="9">
        <v>399</v>
      </c>
      <c r="F966" t="s" s="10">
        <v>220</v>
      </c>
      <c r="G966" t="s" s="11">
        <v>220</v>
      </c>
      <c r="H966" t="s" s="10">
        <v>220</v>
      </c>
      <c r="I966" t="s" s="11">
        <v>220</v>
      </c>
      <c r="J966" t="s" s="11">
        <v>20</v>
      </c>
      <c r="K966" s="15"/>
      <c r="L966" t="s" s="16">
        <f>HYPERLINK("http://csr.bu.edu/ftp/asl/asllvd/demos/verify_start_end_handshape_annotations//test_auto_move//signs_mov_separ_signers/Lana_15328.mov","MOV")</f>
        <v>21</v>
      </c>
      <c r="M966" t="s" s="10">
        <v>42</v>
      </c>
      <c r="N966" s="17">
        <v>15</v>
      </c>
      <c r="O966" s="18">
        <v>1585</v>
      </c>
      <c r="P966" s="18">
        <v>1597</v>
      </c>
      <c r="Q966" s="15"/>
      <c r="R966" t="s" s="16">
        <f>HYPERLINK("http://secrets.rutgers.edu:8080/data/asl-ftp/asllvd/demos/verify_start_end_handshape_annotations//test_auto_move//signs_mov_separ_signers/Lana_15328.mov","MOV")</f>
        <v>21</v>
      </c>
    </row>
    <row r="967" s="2" customFormat="1" ht="13.5" customHeight="1">
      <c r="B967" s="13"/>
      <c r="C967" t="s" s="9">
        <v>43</v>
      </c>
      <c r="D967" t="s" s="8">
        <v>399</v>
      </c>
      <c r="E967" t="s" s="9">
        <v>399</v>
      </c>
      <c r="F967" t="s" s="10">
        <v>220</v>
      </c>
      <c r="G967" t="s" s="11">
        <v>220</v>
      </c>
      <c r="H967" t="s" s="10">
        <v>220</v>
      </c>
      <c r="I967" t="s" s="11">
        <v>220</v>
      </c>
      <c r="J967" t="s" s="11">
        <v>20</v>
      </c>
      <c r="K967" s="15"/>
      <c r="L967" t="s" s="16">
        <f>HYPERLINK("http://csr.bu.edu/ftp/asl/asllvd/demos/verify_start_end_handshape_annotations//test_auto_move//signs_mov_separ_signers/Dana_15328.mov","MOV")</f>
        <v>21</v>
      </c>
      <c r="M967" t="s" s="10">
        <v>44</v>
      </c>
      <c r="N967" s="17">
        <v>18</v>
      </c>
      <c r="O967" s="18">
        <v>1534</v>
      </c>
      <c r="P967" s="18">
        <v>1577</v>
      </c>
      <c r="Q967" s="15"/>
      <c r="R967" t="s" s="16">
        <f>HYPERLINK("http://secrets.rutgers.edu:8080/data/asl-ftp/asllvd/demos/verify_start_end_handshape_annotations//test_auto_move//signs_mov_separ_signers/Dana_15328.mov","MOV")</f>
        <v>21</v>
      </c>
    </row>
    <row r="968" s="2" customFormat="1" ht="13.5" customHeight="1">
      <c r="B968" t="s" s="8">
        <v>400</v>
      </c>
      <c r="C968" t="s" s="9">
        <v>14</v>
      </c>
      <c r="D968" t="s" s="8">
        <v>14</v>
      </c>
      <c r="E968" t="s" s="9">
        <v>14</v>
      </c>
      <c r="F968" t="s" s="10">
        <v>14</v>
      </c>
      <c r="G968" t="s" s="11">
        <v>14</v>
      </c>
      <c r="H968" t="s" s="10">
        <v>14</v>
      </c>
      <c r="I968" t="s" s="11">
        <v>14</v>
      </c>
      <c r="J968" t="s" s="11">
        <v>14</v>
      </c>
      <c r="K968" t="s" s="12">
        <v>14</v>
      </c>
      <c r="L968" t="s" s="12">
        <v>14</v>
      </c>
      <c r="M968" t="s" s="10">
        <v>14</v>
      </c>
      <c r="N968" t="s" s="11">
        <v>14</v>
      </c>
      <c r="O968" t="s" s="8">
        <v>14</v>
      </c>
      <c r="P968" t="s" s="8">
        <v>14</v>
      </c>
      <c r="Q968" t="s" s="12">
        <v>14</v>
      </c>
      <c r="R968" t="s" s="12">
        <v>14</v>
      </c>
    </row>
    <row r="969" s="2" customFormat="1" ht="13.5" customHeight="1">
      <c r="B969" s="13"/>
      <c r="C969" t="s" s="9">
        <v>16</v>
      </c>
      <c r="D969" t="s" s="8">
        <v>400</v>
      </c>
      <c r="E969" t="s" s="9">
        <v>400</v>
      </c>
      <c r="F969" t="s" s="10">
        <v>229</v>
      </c>
      <c r="G969" t="s" s="11">
        <v>229</v>
      </c>
      <c r="H969" t="s" s="10">
        <v>229</v>
      </c>
      <c r="I969" t="s" s="11">
        <v>229</v>
      </c>
      <c r="J969" t="s" s="11">
        <v>20</v>
      </c>
      <c r="K969" s="15"/>
      <c r="L969" t="s" s="16">
        <f>HYPERLINK("http://csr.bu.edu/ftp/asl/asllvd/demos/verify_start_end_handshape_annotations//test_auto_move//signs_mov_separ_signers/Liz_15587.mov","MOV")</f>
        <v>21</v>
      </c>
      <c r="M969" t="s" s="10">
        <v>36</v>
      </c>
      <c r="N969" s="17">
        <v>53</v>
      </c>
      <c r="O969" s="18">
        <v>1701</v>
      </c>
      <c r="P969" s="18">
        <v>1781</v>
      </c>
      <c r="Q969" s="15"/>
      <c r="R969" t="s" s="16">
        <f>HYPERLINK("http://secrets.rutgers.edu:8080/data/asl-ftp/asllvd/demos/verify_start_end_handshape_annotations//test_auto_move//signs_mov_separ_signers/Liz_15587.mov","MOV")</f>
        <v>21</v>
      </c>
    </row>
    <row r="970" s="2" customFormat="1" ht="13.5" customHeight="1">
      <c r="B970" s="13"/>
      <c r="C970" t="s" s="9">
        <v>30</v>
      </c>
      <c r="D970" t="s" s="8">
        <v>400</v>
      </c>
      <c r="E970" t="s" s="9">
        <v>401</v>
      </c>
      <c r="F970" t="s" s="10">
        <v>220</v>
      </c>
      <c r="G970" t="s" s="11">
        <v>220</v>
      </c>
      <c r="H970" t="s" s="10">
        <v>220</v>
      </c>
      <c r="I970" t="s" s="11">
        <v>220</v>
      </c>
      <c r="J970" t="s" s="11">
        <v>20</v>
      </c>
      <c r="K970" t="s" s="16">
        <f>HYPERLINK("http://csr.bu.edu/ftp/asl/asllvd/demos/verify_start_end_handshape_annotations//test_auto_move//signs_mov/15587_16266_merged.mov","MOV")</f>
        <v>21</v>
      </c>
      <c r="L970" t="s" s="16">
        <f>HYPERLINK("http://csr.bu.edu/ftp/asl/asllvd/demos/verify_start_end_handshape_annotations//test_auto_move//signs_mov_separ_signers/Brady_15587.mov","MOV")</f>
        <v>21</v>
      </c>
      <c r="M970" t="s" s="10">
        <v>40</v>
      </c>
      <c r="N970" s="17">
        <v>105</v>
      </c>
      <c r="O970" s="18">
        <v>1720</v>
      </c>
      <c r="P970" s="18">
        <v>1779</v>
      </c>
      <c r="Q970" t="s" s="16">
        <f>HYPERLINK("http://secrets.rutgers.edu:8080/data/asl-ftp/asllvd/demos/verify_start_end_handshape_annotations//test_auto_move//signs_mov/15587_16266_merged.mov","MOV")</f>
        <v>21</v>
      </c>
      <c r="R970" t="s" s="16">
        <f>HYPERLINK("http://secrets.rutgers.edu:8080/data/asl-ftp/asllvd/demos/verify_start_end_handshape_annotations//test_auto_move//signs_mov_separ_signers/Brady_15587.mov","MOV")</f>
        <v>21</v>
      </c>
    </row>
    <row r="971" s="2" customFormat="1" ht="13.5" customHeight="1">
      <c r="B971" s="13"/>
      <c r="C971" t="s" s="9">
        <v>30</v>
      </c>
      <c r="D971" t="s" s="8">
        <v>400</v>
      </c>
      <c r="E971" t="s" s="9">
        <v>401</v>
      </c>
      <c r="F971" t="s" s="10">
        <v>220</v>
      </c>
      <c r="G971" t="s" s="11">
        <v>220</v>
      </c>
      <c r="H971" t="s" s="10">
        <v>220</v>
      </c>
      <c r="I971" t="s" s="11">
        <v>220</v>
      </c>
      <c r="J971" t="s" s="11">
        <v>20</v>
      </c>
      <c r="K971" s="15"/>
      <c r="L971" t="s" s="16">
        <f>HYPERLINK("http://csr.bu.edu/ftp/asl/asllvd/demos/verify_start_end_handshape_annotations//test_auto_move//signs_mov_separ_signers/Brady_16266.mov","MOV")</f>
        <v>21</v>
      </c>
      <c r="M971" t="s" s="10">
        <v>60</v>
      </c>
      <c r="N971" s="17">
        <v>54</v>
      </c>
      <c r="O971" s="18">
        <v>2603</v>
      </c>
      <c r="P971" s="18">
        <v>2672</v>
      </c>
      <c r="Q971" s="15"/>
      <c r="R971" t="s" s="16">
        <f>HYPERLINK("http://secrets.rutgers.edu:8080/data/asl-ftp/asllvd/demos/verify_start_end_handshape_annotations//test_auto_move//signs_mov_separ_signers/Brady_16266.mov","MOV")</f>
        <v>21</v>
      </c>
    </row>
    <row r="972" s="2" customFormat="1" ht="13.5" customHeight="1">
      <c r="B972" t="s" s="8">
        <v>402</v>
      </c>
      <c r="C972" t="s" s="9">
        <v>14</v>
      </c>
      <c r="D972" t="s" s="8">
        <v>14</v>
      </c>
      <c r="E972" t="s" s="9">
        <v>14</v>
      </c>
      <c r="F972" t="s" s="10">
        <v>14</v>
      </c>
      <c r="G972" t="s" s="11">
        <v>14</v>
      </c>
      <c r="H972" t="s" s="10">
        <v>14</v>
      </c>
      <c r="I972" t="s" s="11">
        <v>14</v>
      </c>
      <c r="J972" t="s" s="11">
        <v>14</v>
      </c>
      <c r="K972" t="s" s="12">
        <v>14</v>
      </c>
      <c r="L972" t="s" s="12">
        <v>14</v>
      </c>
      <c r="M972" t="s" s="10">
        <v>14</v>
      </c>
      <c r="N972" t="s" s="11">
        <v>14</v>
      </c>
      <c r="O972" t="s" s="8">
        <v>14</v>
      </c>
      <c r="P972" t="s" s="8">
        <v>14</v>
      </c>
      <c r="Q972" t="s" s="12">
        <v>14</v>
      </c>
      <c r="R972" t="s" s="12">
        <v>14</v>
      </c>
    </row>
    <row r="973" s="2" customFormat="1" ht="13.5" customHeight="1">
      <c r="B973" s="13"/>
      <c r="C973" t="s" s="9">
        <v>16</v>
      </c>
      <c r="D973" t="s" s="8">
        <v>402</v>
      </c>
      <c r="E973" t="s" s="9">
        <v>402</v>
      </c>
      <c r="F973" t="s" s="10">
        <v>73</v>
      </c>
      <c r="G973" t="s" s="11">
        <v>150</v>
      </c>
      <c r="H973" s="19">
        <v>5</v>
      </c>
      <c r="I973" s="17">
        <v>5</v>
      </c>
      <c r="J973" t="s" s="11">
        <v>20</v>
      </c>
      <c r="K973" t="s" s="16">
        <f>HYPERLINK("http://csr.bu.edu/ftp/asl/asllvd/demos/verify_start_end_handshape_annotations//test_auto_move//signs_mov/208.mov","MOV")</f>
        <v>21</v>
      </c>
      <c r="L973" t="s" s="16">
        <f>HYPERLINK("http://csr.bu.edu/ftp/asl/asllvd/demos/verify_start_end_handshape_annotations//test_auto_move//signs_mov_separ_signers/Liz_208.mov","MOV")</f>
        <v>21</v>
      </c>
      <c r="M973" t="s" s="10">
        <v>22</v>
      </c>
      <c r="N973" s="17">
        <v>35</v>
      </c>
      <c r="O973" s="18">
        <v>760</v>
      </c>
      <c r="P973" s="18">
        <v>815</v>
      </c>
      <c r="Q973" t="s" s="16">
        <f>HYPERLINK("http://secrets.rutgers.edu:8080/data/asl-ftp/asllvd/demos/verify_start_end_handshape_annotations//test_auto_move//signs_mov/208.mov","MOV")</f>
        <v>21</v>
      </c>
      <c r="R973" t="s" s="16">
        <f>HYPERLINK("http://secrets.rutgers.edu:8080/data/asl-ftp/asllvd/demos/verify_start_end_handshape_annotations//test_auto_move//signs_mov_separ_signers/Liz_208.mov","MOV")</f>
        <v>21</v>
      </c>
    </row>
    <row r="974" s="2" customFormat="1" ht="13.5" customHeight="1">
      <c r="B974" s="13"/>
      <c r="C974" t="s" s="9">
        <v>30</v>
      </c>
      <c r="D974" t="s" s="8">
        <v>402</v>
      </c>
      <c r="E974" t="s" s="9">
        <v>402</v>
      </c>
      <c r="F974" t="s" s="10">
        <v>73</v>
      </c>
      <c r="G974" t="s" s="11">
        <v>73</v>
      </c>
      <c r="H974" t="s" s="10">
        <v>73</v>
      </c>
      <c r="I974" t="s" s="11">
        <v>73</v>
      </c>
      <c r="J974" t="s" s="11">
        <v>20</v>
      </c>
      <c r="K974" s="15"/>
      <c r="L974" t="s" s="16">
        <f>HYPERLINK("http://csr.bu.edu/ftp/asl/asllvd/demos/verify_start_end_handshape_annotations//test_auto_move//signs_mov_separ_signers/Brady_208.mov","MOV")</f>
        <v>21</v>
      </c>
      <c r="M974" t="s" s="10">
        <v>31</v>
      </c>
      <c r="N974" s="17">
        <v>17</v>
      </c>
      <c r="O974" s="18">
        <v>7649</v>
      </c>
      <c r="P974" s="18">
        <v>7674</v>
      </c>
      <c r="Q974" s="15"/>
      <c r="R974" t="s" s="16">
        <f>HYPERLINK("http://secrets.rutgers.edu:8080/data/asl-ftp/asllvd/demos/verify_start_end_handshape_annotations//test_auto_move//signs_mov_separ_signers/Brady_208.mov","MOV")</f>
        <v>21</v>
      </c>
    </row>
    <row r="975" s="2" customFormat="1" ht="13.5" customHeight="1">
      <c r="B975" t="s" s="8">
        <v>52</v>
      </c>
      <c r="C975" t="s" s="9">
        <v>53</v>
      </c>
      <c r="D975" t="s" s="8">
        <v>53</v>
      </c>
      <c r="E975" t="s" s="9">
        <v>53</v>
      </c>
      <c r="F975" t="s" s="10">
        <v>53</v>
      </c>
      <c r="G975" t="s" s="11">
        <v>53</v>
      </c>
      <c r="H975" t="s" s="10">
        <v>53</v>
      </c>
      <c r="I975" t="s" s="11">
        <v>53</v>
      </c>
      <c r="J975" t="s" s="11">
        <v>53</v>
      </c>
      <c r="K975" t="s" s="12">
        <v>53</v>
      </c>
      <c r="L975" t="s" s="12">
        <v>53</v>
      </c>
      <c r="M975" t="s" s="10">
        <v>53</v>
      </c>
      <c r="N975" t="s" s="11">
        <v>53</v>
      </c>
      <c r="O975" t="s" s="8">
        <v>53</v>
      </c>
      <c r="P975" t="s" s="8">
        <v>53</v>
      </c>
      <c r="Q975" t="s" s="12">
        <v>53</v>
      </c>
      <c r="R975" t="s" s="12">
        <v>53</v>
      </c>
    </row>
    <row r="976" s="2" customFormat="1" ht="13.5" customHeight="1">
      <c r="B976" s="13"/>
      <c r="C976" t="s" s="9">
        <v>27</v>
      </c>
      <c r="D976" t="s" s="8">
        <v>402</v>
      </c>
      <c r="E976" t="s" s="9">
        <v>403</v>
      </c>
      <c r="F976" t="s" s="10">
        <v>63</v>
      </c>
      <c r="G976" t="s" s="11">
        <v>63</v>
      </c>
      <c r="H976" s="19">
        <v>5</v>
      </c>
      <c r="I976" s="17">
        <v>5</v>
      </c>
      <c r="J976" t="s" s="11">
        <v>20</v>
      </c>
      <c r="K976" t="s" s="16">
        <f>HYPERLINK("http://csr.bu.edu/ftp/asl/asllvd/demos/verify_start_end_handshape_annotations//test_auto_move//signs_mov/5103.mov","MOV")</f>
        <v>21</v>
      </c>
      <c r="L976" t="s" s="16">
        <f>HYPERLINK("http://csr.bu.edu/ftp/asl/asllvd/demos/verify_start_end_handshape_annotations//test_auto_move//signs_mov_separ_signers/Naomi_5103.mov","MOV")</f>
        <v>21</v>
      </c>
      <c r="M976" t="s" s="10">
        <v>29</v>
      </c>
      <c r="N976" s="17">
        <v>23</v>
      </c>
      <c r="O976" s="18">
        <v>3230</v>
      </c>
      <c r="P976" s="18">
        <v>3282</v>
      </c>
      <c r="Q976" t="s" s="16">
        <f>HYPERLINK("http://secrets.rutgers.edu:8080/data/asl-ftp/asllvd/demos/verify_start_end_handshape_annotations//test_auto_move//signs_mov/5103.mov","MOV")</f>
        <v>21</v>
      </c>
      <c r="R976" t="s" s="16">
        <f>HYPERLINK("http://secrets.rutgers.edu:8080/data/asl-ftp/asllvd/demos/verify_start_end_handshape_annotations//test_auto_move//signs_mov_separ_signers/Naomi_5103.mov","MOV")</f>
        <v>21</v>
      </c>
    </row>
    <row r="977" s="2" customFormat="1" ht="13.5" customHeight="1">
      <c r="B977" t="s" s="8">
        <v>404</v>
      </c>
      <c r="C977" t="s" s="9">
        <v>14</v>
      </c>
      <c r="D977" t="s" s="8">
        <v>14</v>
      </c>
      <c r="E977" t="s" s="9">
        <v>14</v>
      </c>
      <c r="F977" t="s" s="10">
        <v>14</v>
      </c>
      <c r="G977" t="s" s="11">
        <v>14</v>
      </c>
      <c r="H977" t="s" s="10">
        <v>14</v>
      </c>
      <c r="I977" t="s" s="11">
        <v>14</v>
      </c>
      <c r="J977" t="s" s="11">
        <v>14</v>
      </c>
      <c r="K977" t="s" s="12">
        <v>14</v>
      </c>
      <c r="L977" t="s" s="12">
        <v>14</v>
      </c>
      <c r="M977" t="s" s="10">
        <v>14</v>
      </c>
      <c r="N977" t="s" s="11">
        <v>14</v>
      </c>
      <c r="O977" t="s" s="8">
        <v>14</v>
      </c>
      <c r="P977" t="s" s="8">
        <v>14</v>
      </c>
      <c r="Q977" t="s" s="12">
        <v>14</v>
      </c>
      <c r="R977" t="s" s="12">
        <v>14</v>
      </c>
    </row>
    <row r="978" s="2" customFormat="1" ht="13.5" customHeight="1">
      <c r="B978" s="13"/>
      <c r="C978" t="s" s="9">
        <v>16</v>
      </c>
      <c r="D978" t="s" s="8">
        <v>404</v>
      </c>
      <c r="E978" t="s" s="9">
        <v>404</v>
      </c>
      <c r="F978" s="19">
        <v>5</v>
      </c>
      <c r="G978" s="17">
        <v>5</v>
      </c>
      <c r="H978" s="19">
        <v>5</v>
      </c>
      <c r="I978" s="17">
        <v>5</v>
      </c>
      <c r="J978" t="s" s="11">
        <v>20</v>
      </c>
      <c r="K978" t="s" s="16">
        <f>HYPERLINK("http://csr.bu.edu/ftp/asl/asllvd/demos/verify_start_end_handshape_annotations//test_auto_move//signs_mov/16045.mov","MOV")</f>
        <v>21</v>
      </c>
      <c r="L978" t="s" s="16">
        <f>HYPERLINK("http://csr.bu.edu/ftp/asl/asllvd/demos/verify_start_end_handshape_annotations//test_auto_move//signs_mov_separ_signers/Liz_16045.mov","MOV")</f>
        <v>21</v>
      </c>
      <c r="M978" t="s" s="10">
        <v>88</v>
      </c>
      <c r="N978" s="17">
        <v>22</v>
      </c>
      <c r="O978" s="18">
        <v>1716</v>
      </c>
      <c r="P978" s="18">
        <v>1786</v>
      </c>
      <c r="Q978" t="s" s="16">
        <f>HYPERLINK("http://secrets.rutgers.edu:8080/data/asl-ftp/asllvd/demos/verify_start_end_handshape_annotations//test_auto_move//signs_mov/16045.mov","MOV")</f>
        <v>21</v>
      </c>
      <c r="R978" t="s" s="16">
        <f>HYPERLINK("http://secrets.rutgers.edu:8080/data/asl-ftp/asllvd/demos/verify_start_end_handshape_annotations//test_auto_move//signs_mov_separ_signers/Liz_16045.mov","MOV")</f>
        <v>21</v>
      </c>
    </row>
    <row r="979" s="2" customFormat="1" ht="13.5" customHeight="1">
      <c r="B979" s="13"/>
      <c r="C979" t="s" s="9">
        <v>30</v>
      </c>
      <c r="D979" t="s" s="8">
        <v>404</v>
      </c>
      <c r="E979" t="s" s="9">
        <v>404</v>
      </c>
      <c r="F979" t="s" s="10">
        <v>73</v>
      </c>
      <c r="G979" t="s" s="11">
        <v>73</v>
      </c>
      <c r="H979" t="s" s="10">
        <v>73</v>
      </c>
      <c r="I979" t="s" s="11">
        <v>73</v>
      </c>
      <c r="J979" t="s" s="11">
        <v>20</v>
      </c>
      <c r="K979" s="15"/>
      <c r="L979" t="s" s="16">
        <f>HYPERLINK("http://csr.bu.edu/ftp/asl/asllvd/demos/verify_start_end_handshape_annotations//test_auto_move//signs_mov_separ_signers/Brady_16045.mov","MOV")</f>
        <v>21</v>
      </c>
      <c r="M979" t="s" s="10">
        <v>40</v>
      </c>
      <c r="N979" s="17">
        <v>17</v>
      </c>
      <c r="O979" s="18">
        <v>3266</v>
      </c>
      <c r="P979" s="18">
        <v>3320</v>
      </c>
      <c r="Q979" s="15"/>
      <c r="R979" t="s" s="16">
        <f>HYPERLINK("http://secrets.rutgers.edu:8080/data/asl-ftp/asllvd/demos/verify_start_end_handshape_annotations//test_auto_move//signs_mov_separ_signers/Brady_16045.mov","MOV")</f>
        <v>21</v>
      </c>
    </row>
    <row r="980" s="2" customFormat="1" ht="13.5" customHeight="1">
      <c r="B980" t="s" s="8">
        <v>405</v>
      </c>
      <c r="C980" t="s" s="9">
        <v>14</v>
      </c>
      <c r="D980" t="s" s="8">
        <v>14</v>
      </c>
      <c r="E980" t="s" s="9">
        <v>14</v>
      </c>
      <c r="F980" t="s" s="10">
        <v>14</v>
      </c>
      <c r="G980" t="s" s="11">
        <v>14</v>
      </c>
      <c r="H980" t="s" s="10">
        <v>14</v>
      </c>
      <c r="I980" t="s" s="11">
        <v>14</v>
      </c>
      <c r="J980" t="s" s="11">
        <v>14</v>
      </c>
      <c r="K980" t="s" s="12">
        <v>14</v>
      </c>
      <c r="L980" t="s" s="12">
        <v>14</v>
      </c>
      <c r="M980" t="s" s="10">
        <v>14</v>
      </c>
      <c r="N980" t="s" s="11">
        <v>14</v>
      </c>
      <c r="O980" t="s" s="8">
        <v>14</v>
      </c>
      <c r="P980" t="s" s="8">
        <v>14</v>
      </c>
      <c r="Q980" t="s" s="12">
        <v>14</v>
      </c>
      <c r="R980" t="s" s="12">
        <v>14</v>
      </c>
    </row>
    <row r="981" s="2" customFormat="1" ht="13.5" customHeight="1">
      <c r="B981" s="13"/>
      <c r="C981" t="s" s="9">
        <v>41</v>
      </c>
      <c r="D981" t="s" s="8">
        <v>405</v>
      </c>
      <c r="E981" t="s" s="9">
        <v>405</v>
      </c>
      <c r="F981" t="s" s="10">
        <v>406</v>
      </c>
      <c r="G981" s="17">
        <v>5</v>
      </c>
      <c r="H981" s="19">
        <v>5</v>
      </c>
      <c r="I981" s="17">
        <v>5</v>
      </c>
      <c r="J981" t="s" s="11">
        <v>20</v>
      </c>
      <c r="K981" t="s" s="16">
        <f>HYPERLINK("http://csr.bu.edu/ftp/asl/asllvd/demos/verify_start_end_handshape_annotations//test_auto_move//signs_mov/16200.mov","MOV")</f>
        <v>21</v>
      </c>
      <c r="L981" t="s" s="16">
        <f>HYPERLINK("http://csr.bu.edu/ftp/asl/asllvd/demos/verify_start_end_handshape_annotations//test_auto_move//signs_mov_separ_signers/Lana_16200.mov","MOV")</f>
        <v>21</v>
      </c>
      <c r="M981" t="s" s="10">
        <v>42</v>
      </c>
      <c r="N981" s="17">
        <v>19</v>
      </c>
      <c r="O981" s="18">
        <v>2438</v>
      </c>
      <c r="P981" s="18">
        <v>2494</v>
      </c>
      <c r="Q981" t="s" s="16">
        <f>HYPERLINK("http://secrets.rutgers.edu:8080/data/asl-ftp/asllvd/demos/verify_start_end_handshape_annotations//test_auto_move//signs_mov/16200.mov","MOV")</f>
        <v>21</v>
      </c>
      <c r="R981" t="s" s="16">
        <f>HYPERLINK("http://secrets.rutgers.edu:8080/data/asl-ftp/asllvd/demos/verify_start_end_handshape_annotations//test_auto_move//signs_mov_separ_signers/Lana_16200.mov","MOV")</f>
        <v>21</v>
      </c>
    </row>
    <row r="982" s="2" customFormat="1" ht="13.5" customHeight="1">
      <c r="B982" s="13"/>
      <c r="C982" t="s" s="9">
        <v>43</v>
      </c>
      <c r="D982" t="s" s="8">
        <v>405</v>
      </c>
      <c r="E982" t="s" s="9">
        <v>407</v>
      </c>
      <c r="F982" t="s" s="10">
        <v>51</v>
      </c>
      <c r="G982" s="14"/>
      <c r="H982" s="19">
        <v>5</v>
      </c>
      <c r="I982" s="17">
        <v>5</v>
      </c>
      <c r="J982" t="s" s="11">
        <v>20</v>
      </c>
      <c r="K982" s="15"/>
      <c r="L982" t="s" s="16">
        <f>HYPERLINK("http://csr.bu.edu/ftp/asl/asllvd/demos/verify_start_end_handshape_annotations//test_auto_move//signs_mov_separ_signers/Dana_16200.mov","MOV")</f>
        <v>21</v>
      </c>
      <c r="M982" t="s" s="10">
        <v>44</v>
      </c>
      <c r="N982" s="17">
        <v>21</v>
      </c>
      <c r="O982" s="18">
        <v>2351</v>
      </c>
      <c r="P982" s="18">
        <v>2443</v>
      </c>
      <c r="Q982" s="15"/>
      <c r="R982" t="s" s="16">
        <f>HYPERLINK("http://secrets.rutgers.edu:8080/data/asl-ftp/asllvd/demos/verify_start_end_handshape_annotations//test_auto_move//signs_mov_separ_signers/Dana_16200.mov","MOV")</f>
        <v>21</v>
      </c>
    </row>
    <row r="983" s="2" customFormat="1" ht="13.5" customHeight="1">
      <c r="B983" t="s" s="8">
        <v>408</v>
      </c>
      <c r="C983" t="s" s="9">
        <v>14</v>
      </c>
      <c r="D983" t="s" s="8">
        <v>14</v>
      </c>
      <c r="E983" t="s" s="9">
        <v>14</v>
      </c>
      <c r="F983" t="s" s="10">
        <v>14</v>
      </c>
      <c r="G983" t="s" s="11">
        <v>14</v>
      </c>
      <c r="H983" t="s" s="10">
        <v>14</v>
      </c>
      <c r="I983" t="s" s="11">
        <v>14</v>
      </c>
      <c r="J983" t="s" s="11">
        <v>14</v>
      </c>
      <c r="K983" t="s" s="12">
        <v>14</v>
      </c>
      <c r="L983" t="s" s="12">
        <v>14</v>
      </c>
      <c r="M983" t="s" s="10">
        <v>14</v>
      </c>
      <c r="N983" t="s" s="11">
        <v>14</v>
      </c>
      <c r="O983" t="s" s="8">
        <v>14</v>
      </c>
      <c r="P983" t="s" s="8">
        <v>14</v>
      </c>
      <c r="Q983" t="s" s="12">
        <v>14</v>
      </c>
      <c r="R983" t="s" s="12">
        <v>14</v>
      </c>
    </row>
    <row r="984" s="2" customFormat="1" ht="13.5" customHeight="1">
      <c r="B984" s="13"/>
      <c r="C984" t="s" s="9">
        <v>16</v>
      </c>
      <c r="D984" t="s" s="8">
        <v>408</v>
      </c>
      <c r="E984" t="s" s="9">
        <v>408</v>
      </c>
      <c r="F984" s="19">
        <v>5</v>
      </c>
      <c r="G984" s="17">
        <v>5</v>
      </c>
      <c r="H984" t="s" s="10">
        <v>187</v>
      </c>
      <c r="I984" t="s" s="11">
        <v>187</v>
      </c>
      <c r="J984" t="s" s="11">
        <v>20</v>
      </c>
      <c r="K984" s="15"/>
      <c r="L984" t="s" s="16">
        <f>HYPERLINK("http://csr.bu.edu/ftp/asl/asllvd/demos/verify_start_end_handshape_annotations//test_auto_move//signs_mov_separ_signers/Liz_210.mov","MOV")</f>
        <v>21</v>
      </c>
      <c r="M984" t="s" s="10">
        <v>22</v>
      </c>
      <c r="N984" s="17">
        <v>35</v>
      </c>
      <c r="O984" s="18">
        <v>1250</v>
      </c>
      <c r="P984" s="18">
        <v>1290</v>
      </c>
      <c r="Q984" s="15"/>
      <c r="R984" t="s" s="16">
        <f>HYPERLINK("http://secrets.rutgers.edu:8080/data/asl-ftp/asllvd/demos/verify_start_end_handshape_annotations//test_auto_move//signs_mov_separ_signers/Liz_210.mov","MOV")</f>
        <v>21</v>
      </c>
    </row>
    <row r="985" s="2" customFormat="1" ht="13.5" customHeight="1">
      <c r="B985" s="13"/>
      <c r="C985" t="s" s="9">
        <v>23</v>
      </c>
      <c r="D985" t="s" s="8">
        <v>408</v>
      </c>
      <c r="E985" t="s" s="9">
        <v>408</v>
      </c>
      <c r="F985" s="19">
        <v>5</v>
      </c>
      <c r="G985" s="17">
        <v>5</v>
      </c>
      <c r="H985" t="s" s="10">
        <v>187</v>
      </c>
      <c r="I985" t="s" s="11">
        <v>187</v>
      </c>
      <c r="J985" t="s" s="11">
        <v>20</v>
      </c>
      <c r="K985" t="s" s="16">
        <f>HYPERLINK("http://csr.bu.edu/ftp/asl/asllvd/demos/verify_start_end_handshape_annotations//test_auto_move//signs_mov/210.mov","MOV")</f>
        <v>21</v>
      </c>
      <c r="L985" t="s" s="16">
        <f>HYPERLINK("http://csr.bu.edu/ftp/asl/asllvd/demos/verify_start_end_handshape_annotations//test_auto_move//signs_mov_separ_signers/Tyler_210.mov","MOV")</f>
        <v>21</v>
      </c>
      <c r="M985" t="s" s="10">
        <v>26</v>
      </c>
      <c r="N985" s="17">
        <v>22</v>
      </c>
      <c r="O985" s="18">
        <v>3360</v>
      </c>
      <c r="P985" s="18">
        <v>3411</v>
      </c>
      <c r="Q985" t="s" s="16">
        <f>HYPERLINK("http://secrets.rutgers.edu:8080/data/asl-ftp/asllvd/demos/verify_start_end_handshape_annotations//test_auto_move//signs_mov/210.mov","MOV")</f>
        <v>21</v>
      </c>
      <c r="R985" t="s" s="16">
        <f>HYPERLINK("http://secrets.rutgers.edu:8080/data/asl-ftp/asllvd/demos/verify_start_end_handshape_annotations//test_auto_move//signs_mov_separ_signers/Tyler_210.mov","MOV")</f>
        <v>21</v>
      </c>
    </row>
    <row r="986" s="2" customFormat="1" ht="13.5" customHeight="1">
      <c r="B986" s="13"/>
      <c r="C986" t="s" s="9">
        <v>27</v>
      </c>
      <c r="D986" t="s" s="8">
        <v>408</v>
      </c>
      <c r="E986" t="s" s="9">
        <v>408</v>
      </c>
      <c r="F986" t="s" s="10">
        <v>72</v>
      </c>
      <c r="G986" t="s" s="11">
        <v>72</v>
      </c>
      <c r="H986" t="s" s="10">
        <v>75</v>
      </c>
      <c r="I986" t="s" s="11">
        <v>75</v>
      </c>
      <c r="J986" t="s" s="11">
        <v>20</v>
      </c>
      <c r="K986" s="15"/>
      <c r="L986" t="s" s="16">
        <f>HYPERLINK("http://csr.bu.edu/ftp/asl/asllvd/demos/verify_start_end_handshape_annotations//test_auto_move//signs_mov_separ_signers/Naomi_210.mov","MOV")</f>
        <v>21</v>
      </c>
      <c r="M986" t="s" s="10">
        <v>29</v>
      </c>
      <c r="N986" s="17">
        <v>23</v>
      </c>
      <c r="O986" s="18">
        <v>4065</v>
      </c>
      <c r="P986" s="18">
        <v>4105</v>
      </c>
      <c r="Q986" s="15"/>
      <c r="R986" t="s" s="16">
        <f>HYPERLINK("http://secrets.rutgers.edu:8080/data/asl-ftp/asllvd/demos/verify_start_end_handshape_annotations//test_auto_move//signs_mov_separ_signers/Naomi_210.mov","MOV")</f>
        <v>21</v>
      </c>
    </row>
    <row r="987" s="2" customFormat="1" ht="13.5" customHeight="1">
      <c r="B987" s="13"/>
      <c r="C987" t="s" s="9">
        <v>30</v>
      </c>
      <c r="D987" t="s" s="8">
        <v>408</v>
      </c>
      <c r="E987" t="s" s="9">
        <v>408</v>
      </c>
      <c r="F987" t="s" s="10">
        <v>72</v>
      </c>
      <c r="G987" t="s" s="11">
        <v>72</v>
      </c>
      <c r="H987" t="s" s="10">
        <v>75</v>
      </c>
      <c r="I987" t="s" s="11">
        <v>75</v>
      </c>
      <c r="J987" t="s" s="11">
        <v>20</v>
      </c>
      <c r="K987" s="15"/>
      <c r="L987" t="s" s="16">
        <f>HYPERLINK("http://csr.bu.edu/ftp/asl/asllvd/demos/verify_start_end_handshape_annotations//test_auto_move//signs_mov_separ_signers/Brady_210.mov","MOV")</f>
        <v>21</v>
      </c>
      <c r="M987" t="s" s="10">
        <v>31</v>
      </c>
      <c r="N987" s="17">
        <v>17</v>
      </c>
      <c r="O987" s="18">
        <v>8274</v>
      </c>
      <c r="P987" s="18">
        <v>8300</v>
      </c>
      <c r="Q987" s="15"/>
      <c r="R987" t="s" s="16">
        <f>HYPERLINK("http://secrets.rutgers.edu:8080/data/asl-ftp/asllvd/demos/verify_start_end_handshape_annotations//test_auto_move//signs_mov_separ_signers/Brady_210.mov","MOV")</f>
        <v>21</v>
      </c>
    </row>
    <row r="988" s="2" customFormat="1" ht="13.5" customHeight="1">
      <c r="B988" t="s" s="8">
        <v>409</v>
      </c>
      <c r="C988" t="s" s="9">
        <v>14</v>
      </c>
      <c r="D988" t="s" s="8">
        <v>14</v>
      </c>
      <c r="E988" t="s" s="9">
        <v>14</v>
      </c>
      <c r="F988" t="s" s="10">
        <v>14</v>
      </c>
      <c r="G988" t="s" s="11">
        <v>14</v>
      </c>
      <c r="H988" t="s" s="10">
        <v>14</v>
      </c>
      <c r="I988" t="s" s="11">
        <v>14</v>
      </c>
      <c r="J988" t="s" s="11">
        <v>14</v>
      </c>
      <c r="K988" t="s" s="12">
        <v>14</v>
      </c>
      <c r="L988" t="s" s="12">
        <v>14</v>
      </c>
      <c r="M988" t="s" s="10">
        <v>14</v>
      </c>
      <c r="N988" t="s" s="11">
        <v>14</v>
      </c>
      <c r="O988" t="s" s="8">
        <v>14</v>
      </c>
      <c r="P988" t="s" s="8">
        <v>14</v>
      </c>
      <c r="Q988" t="s" s="12">
        <v>14</v>
      </c>
      <c r="R988" t="s" s="12">
        <v>14</v>
      </c>
    </row>
    <row r="989" s="2" customFormat="1" ht="13.5" customHeight="1">
      <c r="B989" s="13"/>
      <c r="C989" t="s" s="9">
        <v>16</v>
      </c>
      <c r="D989" t="s" s="8">
        <v>409</v>
      </c>
      <c r="E989" t="s" s="9">
        <v>409</v>
      </c>
      <c r="F989" t="s" s="10">
        <v>68</v>
      </c>
      <c r="G989" s="17">
        <v>1</v>
      </c>
      <c r="H989" t="s" s="10">
        <v>68</v>
      </c>
      <c r="I989" s="17">
        <v>1</v>
      </c>
      <c r="J989" t="s" s="11">
        <v>20</v>
      </c>
      <c r="K989" s="15"/>
      <c r="L989" t="s" s="16">
        <f>HYPERLINK("http://csr.bu.edu/ftp/asl/asllvd/demos/verify_start_end_handshape_annotations//test_auto_move//signs_mov_separ_signers/Liz_213.mov","MOV")</f>
        <v>21</v>
      </c>
      <c r="M989" t="s" s="10">
        <v>22</v>
      </c>
      <c r="N989" s="17">
        <v>36</v>
      </c>
      <c r="O989" s="18">
        <v>260</v>
      </c>
      <c r="P989" s="18">
        <v>286</v>
      </c>
      <c r="Q989" s="15"/>
      <c r="R989" t="s" s="16">
        <f>HYPERLINK("http://secrets.rutgers.edu:8080/data/asl-ftp/asllvd/demos/verify_start_end_handshape_annotations//test_auto_move//signs_mov_separ_signers/Liz_213.mov","MOV")</f>
        <v>21</v>
      </c>
    </row>
    <row r="990" s="2" customFormat="1" ht="13.5" customHeight="1">
      <c r="B990" s="13"/>
      <c r="C990" t="s" s="9">
        <v>27</v>
      </c>
      <c r="D990" t="s" s="8">
        <v>409</v>
      </c>
      <c r="E990" t="s" s="9">
        <v>409</v>
      </c>
      <c r="F990" t="s" s="10">
        <v>68</v>
      </c>
      <c r="G990" t="s" s="11">
        <v>51</v>
      </c>
      <c r="H990" t="s" s="10">
        <v>68</v>
      </c>
      <c r="I990" t="s" s="11">
        <v>51</v>
      </c>
      <c r="J990" t="s" s="11">
        <v>20</v>
      </c>
      <c r="K990" s="15"/>
      <c r="L990" t="s" s="16">
        <f>HYPERLINK("http://csr.bu.edu/ftp/asl/asllvd/demos/verify_start_end_handshape_annotations//test_auto_move//signs_mov_separ_signers/Naomi_213.mov","MOV")</f>
        <v>21</v>
      </c>
      <c r="M990" t="s" s="10">
        <v>29</v>
      </c>
      <c r="N990" s="17">
        <v>24</v>
      </c>
      <c r="O990" s="18">
        <v>875</v>
      </c>
      <c r="P990" s="18">
        <v>897</v>
      </c>
      <c r="Q990" s="15"/>
      <c r="R990" t="s" s="16">
        <f>HYPERLINK("http://secrets.rutgers.edu:8080/data/asl-ftp/asllvd/demos/verify_start_end_handshape_annotations//test_auto_move//signs_mov_separ_signers/Naomi_213.mov","MOV")</f>
        <v>21</v>
      </c>
    </row>
    <row r="991" s="2" customFormat="1" ht="13.5" customHeight="1">
      <c r="B991" s="13"/>
      <c r="C991" t="s" s="9">
        <v>30</v>
      </c>
      <c r="D991" t="s" s="8">
        <v>409</v>
      </c>
      <c r="E991" t="s" s="9">
        <v>409</v>
      </c>
      <c r="F991" t="s" s="10">
        <v>68</v>
      </c>
      <c r="G991" s="17">
        <v>1</v>
      </c>
      <c r="H991" t="s" s="10">
        <v>68</v>
      </c>
      <c r="I991" s="17">
        <v>1</v>
      </c>
      <c r="J991" t="s" s="11">
        <v>20</v>
      </c>
      <c r="K991" t="s" s="16">
        <f>HYPERLINK("http://csr.bu.edu/ftp/asl/asllvd/demos/verify_start_end_handshape_annotations//test_auto_move//signs_mov/213.mov","MOV")</f>
        <v>21</v>
      </c>
      <c r="L991" t="s" s="16">
        <f>HYPERLINK("http://csr.bu.edu/ftp/asl/asllvd/demos/verify_start_end_handshape_annotations//test_auto_move//signs_mov_separ_signers/Brady_213.mov","MOV")</f>
        <v>21</v>
      </c>
      <c r="M991" t="s" s="10">
        <v>31</v>
      </c>
      <c r="N991" s="17">
        <v>18</v>
      </c>
      <c r="O991" s="18">
        <v>243</v>
      </c>
      <c r="P991" s="18">
        <v>261</v>
      </c>
      <c r="Q991" t="s" s="16">
        <f>HYPERLINK("http://secrets.rutgers.edu:8080/data/asl-ftp/asllvd/demos/verify_start_end_handshape_annotations//test_auto_move//signs_mov/213.mov","MOV")</f>
        <v>21</v>
      </c>
      <c r="R991" t="s" s="16">
        <f>HYPERLINK("http://secrets.rutgers.edu:8080/data/asl-ftp/asllvd/demos/verify_start_end_handshape_annotations//test_auto_move//signs_mov_separ_signers/Brady_213.mov","MOV")</f>
        <v>21</v>
      </c>
    </row>
    <row r="992" s="2" customFormat="1" ht="13.5" customHeight="1">
      <c r="B992" s="13"/>
      <c r="C992" t="s" s="9">
        <v>41</v>
      </c>
      <c r="D992" t="s" s="8">
        <v>409</v>
      </c>
      <c r="E992" t="s" s="9">
        <v>409</v>
      </c>
      <c r="F992" t="s" s="10">
        <v>68</v>
      </c>
      <c r="G992" s="17">
        <v>1</v>
      </c>
      <c r="H992" t="s" s="10">
        <v>68</v>
      </c>
      <c r="I992" s="17">
        <v>1</v>
      </c>
      <c r="J992" t="s" s="11">
        <v>20</v>
      </c>
      <c r="K992" s="15"/>
      <c r="L992" t="s" s="16">
        <f>HYPERLINK("http://csr.bu.edu/ftp/asl/asllvd/demos/verify_start_end_handshape_annotations//test_auto_move//signs_mov_separ_signers/Lana_213.mov","MOV")</f>
        <v>21</v>
      </c>
      <c r="M992" t="s" s="10">
        <v>42</v>
      </c>
      <c r="N992" s="17">
        <v>14</v>
      </c>
      <c r="O992" s="18">
        <v>252</v>
      </c>
      <c r="P992" s="18">
        <v>268</v>
      </c>
      <c r="Q992" s="15"/>
      <c r="R992" t="s" s="16">
        <f>HYPERLINK("http://secrets.rutgers.edu:8080/data/asl-ftp/asllvd/demos/verify_start_end_handshape_annotations//test_auto_move//signs_mov_separ_signers/Lana_213.mov","MOV")</f>
        <v>21</v>
      </c>
    </row>
    <row r="993" s="2" customFormat="1" ht="13.5" customHeight="1">
      <c r="B993" s="13"/>
      <c r="C993" t="s" s="9">
        <v>43</v>
      </c>
      <c r="D993" t="s" s="8">
        <v>409</v>
      </c>
      <c r="E993" t="s" s="9">
        <v>409</v>
      </c>
      <c r="F993" t="s" s="10">
        <v>68</v>
      </c>
      <c r="G993" s="17">
        <v>1</v>
      </c>
      <c r="H993" t="s" s="10">
        <v>68</v>
      </c>
      <c r="I993" s="17">
        <v>1</v>
      </c>
      <c r="J993" t="s" s="11">
        <v>20</v>
      </c>
      <c r="K993" s="15"/>
      <c r="L993" t="s" s="16">
        <f>HYPERLINK("http://csr.bu.edu/ftp/asl/asllvd/demos/verify_start_end_handshape_annotations//test_auto_move//signs_mov_separ_signers/Dana_213.mov","MOV")</f>
        <v>21</v>
      </c>
      <c r="M993" t="s" s="10">
        <v>44</v>
      </c>
      <c r="N993" s="17">
        <v>17</v>
      </c>
      <c r="O993" s="18">
        <v>653</v>
      </c>
      <c r="P993" s="18">
        <v>682</v>
      </c>
      <c r="Q993" s="15"/>
      <c r="R993" t="s" s="16">
        <f>HYPERLINK("http://secrets.rutgers.edu:8080/data/asl-ftp/asllvd/demos/verify_start_end_handshape_annotations//test_auto_move//signs_mov_separ_signers/Dana_213.mov","MOV")</f>
        <v>21</v>
      </c>
    </row>
    <row r="994" s="2" customFormat="1" ht="13.5" customHeight="1">
      <c r="B994" t="s" s="8">
        <v>52</v>
      </c>
      <c r="C994" t="s" s="9">
        <v>53</v>
      </c>
      <c r="D994" t="s" s="8">
        <v>53</v>
      </c>
      <c r="E994" t="s" s="9">
        <v>53</v>
      </c>
      <c r="F994" t="s" s="10">
        <v>53</v>
      </c>
      <c r="G994" t="s" s="11">
        <v>53</v>
      </c>
      <c r="H994" t="s" s="10">
        <v>53</v>
      </c>
      <c r="I994" t="s" s="11">
        <v>53</v>
      </c>
      <c r="J994" t="s" s="11">
        <v>53</v>
      </c>
      <c r="K994" t="s" s="12">
        <v>53</v>
      </c>
      <c r="L994" t="s" s="12">
        <v>53</v>
      </c>
      <c r="M994" t="s" s="10">
        <v>53</v>
      </c>
      <c r="N994" t="s" s="11">
        <v>53</v>
      </c>
      <c r="O994" t="s" s="8">
        <v>53</v>
      </c>
      <c r="P994" t="s" s="8">
        <v>53</v>
      </c>
      <c r="Q994" t="s" s="12">
        <v>53</v>
      </c>
      <c r="R994" t="s" s="12">
        <v>53</v>
      </c>
    </row>
    <row r="995" s="2" customFormat="1" ht="13.5" customHeight="1">
      <c r="B995" s="13"/>
      <c r="C995" t="s" s="9">
        <v>16</v>
      </c>
      <c r="D995" t="s" s="8">
        <v>409</v>
      </c>
      <c r="E995" t="s" s="9">
        <v>410</v>
      </c>
      <c r="F995" t="s" s="10">
        <v>68</v>
      </c>
      <c r="G995" t="s" s="11">
        <v>51</v>
      </c>
      <c r="H995" t="s" s="10">
        <v>68</v>
      </c>
      <c r="I995" t="s" s="11">
        <v>51</v>
      </c>
      <c r="J995" t="s" s="11">
        <v>20</v>
      </c>
      <c r="K995" t="s" s="16">
        <f>HYPERLINK("http://csr.bu.edu/ftp/asl/asllvd/demos/verify_start_end_handshape_annotations//test_auto_move//signs_mov/3411.mov","MOV")</f>
        <v>21</v>
      </c>
      <c r="L995" t="s" s="16">
        <f>HYPERLINK("http://csr.bu.edu/ftp/asl/asllvd/demos/verify_start_end_handshape_annotations//test_auto_move//signs_mov_separ_signers/Liz_3411.mov","MOV")</f>
        <v>21</v>
      </c>
      <c r="M995" t="s" s="10">
        <v>77</v>
      </c>
      <c r="N995" s="17">
        <v>30</v>
      </c>
      <c r="O995" s="18">
        <v>2265</v>
      </c>
      <c r="P995" s="18">
        <v>2315</v>
      </c>
      <c r="Q995" t="s" s="16">
        <f>HYPERLINK("http://secrets.rutgers.edu:8080/data/asl-ftp/asllvd/demos/verify_start_end_handshape_annotations//test_auto_move//signs_mov/3411.mov","MOV")</f>
        <v>21</v>
      </c>
      <c r="R995" t="s" s="16">
        <f>HYPERLINK("http://secrets.rutgers.edu:8080/data/asl-ftp/asllvd/demos/verify_start_end_handshape_annotations//test_auto_move//signs_mov_separ_signers/Liz_3411.mov","MOV")</f>
        <v>21</v>
      </c>
    </row>
    <row r="996" s="2" customFormat="1" ht="13.5" customHeight="1">
      <c r="B996" s="13"/>
      <c r="C996" t="s" s="9">
        <v>30</v>
      </c>
      <c r="D996" t="s" s="8">
        <v>409</v>
      </c>
      <c r="E996" t="s" s="9">
        <v>410</v>
      </c>
      <c r="F996" t="s" s="10">
        <v>68</v>
      </c>
      <c r="G996" s="17">
        <v>1</v>
      </c>
      <c r="H996" t="s" s="10">
        <v>68</v>
      </c>
      <c r="I996" s="17">
        <v>1</v>
      </c>
      <c r="J996" t="s" s="11">
        <v>20</v>
      </c>
      <c r="K996" s="15"/>
      <c r="L996" t="s" s="16">
        <f>HYPERLINK("http://csr.bu.edu/ftp/asl/asllvd/demos/verify_start_end_handshape_annotations//test_auto_move//signs_mov_separ_signers/Brady_3411.mov","MOV")</f>
        <v>21</v>
      </c>
      <c r="M996" t="s" s="10">
        <v>39</v>
      </c>
      <c r="N996" s="17">
        <v>39</v>
      </c>
      <c r="O996" s="18">
        <v>1266</v>
      </c>
      <c r="P996" s="18">
        <v>1279</v>
      </c>
      <c r="Q996" s="15"/>
      <c r="R996" t="s" s="16">
        <f>HYPERLINK("http://secrets.rutgers.edu:8080/data/asl-ftp/asllvd/demos/verify_start_end_handshape_annotations//test_auto_move//signs_mov_separ_signers/Brady_3411.mov","MOV")</f>
        <v>21</v>
      </c>
    </row>
    <row r="997" s="2" customFormat="1" ht="13.5" customHeight="1">
      <c r="B997" t="s" s="8">
        <v>52</v>
      </c>
      <c r="C997" t="s" s="9">
        <v>53</v>
      </c>
      <c r="D997" t="s" s="8">
        <v>53</v>
      </c>
      <c r="E997" t="s" s="9">
        <v>53</v>
      </c>
      <c r="F997" t="s" s="10">
        <v>53</v>
      </c>
      <c r="G997" t="s" s="11">
        <v>53</v>
      </c>
      <c r="H997" t="s" s="10">
        <v>53</v>
      </c>
      <c r="I997" t="s" s="11">
        <v>53</v>
      </c>
      <c r="J997" t="s" s="11">
        <v>53</v>
      </c>
      <c r="K997" t="s" s="12">
        <v>53</v>
      </c>
      <c r="L997" t="s" s="12">
        <v>53</v>
      </c>
      <c r="M997" t="s" s="10">
        <v>53</v>
      </c>
      <c r="N997" t="s" s="11">
        <v>53</v>
      </c>
      <c r="O997" t="s" s="8">
        <v>53</v>
      </c>
      <c r="P997" t="s" s="8">
        <v>53</v>
      </c>
      <c r="Q997" t="s" s="12">
        <v>53</v>
      </c>
      <c r="R997" t="s" s="12">
        <v>53</v>
      </c>
    </row>
    <row r="998" s="2" customFormat="1" ht="13.5" customHeight="1">
      <c r="B998" s="13"/>
      <c r="C998" t="s" s="9">
        <v>16</v>
      </c>
      <c r="D998" t="s" s="8">
        <v>409</v>
      </c>
      <c r="E998" t="s" s="9">
        <v>411</v>
      </c>
      <c r="F998" s="19">
        <v>5</v>
      </c>
      <c r="G998" s="17">
        <v>1</v>
      </c>
      <c r="H998" t="s" s="10">
        <v>68</v>
      </c>
      <c r="I998" s="17">
        <v>1</v>
      </c>
      <c r="J998" t="s" s="11">
        <v>20</v>
      </c>
      <c r="K998" t="s" s="16">
        <f>HYPERLINK("http://csr.bu.edu/ftp/asl/asllvd/demos/verify_start_end_handshape_annotations//test_auto_move//signs_mov/5903.mov","MOV")</f>
        <v>21</v>
      </c>
      <c r="L998" t="s" s="16">
        <f>HYPERLINK("http://csr.bu.edu/ftp/asl/asllvd/demos/verify_start_end_handshape_annotations//test_auto_move//signs_mov_separ_signers/Liz_5903.mov","MOV")</f>
        <v>21</v>
      </c>
      <c r="M998" t="s" s="10">
        <v>77</v>
      </c>
      <c r="N998" s="17">
        <v>24</v>
      </c>
      <c r="O998" s="18">
        <v>319</v>
      </c>
      <c r="P998" s="18">
        <v>361</v>
      </c>
      <c r="Q998" t="s" s="16">
        <f>HYPERLINK("http://secrets.rutgers.edu:8080/data/asl-ftp/asllvd/demos/verify_start_end_handshape_annotations//test_auto_move//signs_mov/5903.mov","MOV")</f>
        <v>21</v>
      </c>
      <c r="R998" t="s" s="16">
        <f>HYPERLINK("http://secrets.rutgers.edu:8080/data/asl-ftp/asllvd/demos/verify_start_end_handshape_annotations//test_auto_move//signs_mov_separ_signers/Liz_5903.mov","MOV")</f>
        <v>21</v>
      </c>
    </row>
    <row r="999" s="2" customFormat="1" ht="13.5" customHeight="1">
      <c r="B999" s="13"/>
      <c r="C999" t="s" s="9">
        <v>30</v>
      </c>
      <c r="D999" t="s" s="8">
        <v>409</v>
      </c>
      <c r="E999" t="s" s="9">
        <v>411</v>
      </c>
      <c r="F999" s="19">
        <v>5</v>
      </c>
      <c r="G999" s="17">
        <v>1</v>
      </c>
      <c r="H999" t="s" s="10">
        <v>68</v>
      </c>
      <c r="I999" s="17">
        <v>1</v>
      </c>
      <c r="J999" t="s" s="11">
        <v>20</v>
      </c>
      <c r="K999" s="15"/>
      <c r="L999" t="s" s="16">
        <f>HYPERLINK("http://csr.bu.edu/ftp/asl/asllvd/demos/verify_start_end_handshape_annotations//test_auto_move//signs_mov_separ_signers/Brady_5903.mov","MOV")</f>
        <v>21</v>
      </c>
      <c r="M999" t="s" s="10">
        <v>31</v>
      </c>
      <c r="N999" s="17">
        <v>13</v>
      </c>
      <c r="O999" s="18">
        <v>18323</v>
      </c>
      <c r="P999" s="18">
        <v>18347</v>
      </c>
      <c r="Q999" s="15"/>
      <c r="R999" t="s" s="16">
        <f>HYPERLINK("http://secrets.rutgers.edu:8080/data/asl-ftp/asllvd/demos/verify_start_end_handshape_annotations//test_auto_move//signs_mov_separ_signers/Brady_5903.mov","MOV")</f>
        <v>21</v>
      </c>
    </row>
    <row r="1000" s="2" customFormat="1" ht="13.5" customHeight="1">
      <c r="B1000" t="s" s="8">
        <v>412</v>
      </c>
      <c r="C1000" t="s" s="9">
        <v>14</v>
      </c>
      <c r="D1000" t="s" s="8">
        <v>14</v>
      </c>
      <c r="E1000" t="s" s="9">
        <v>14</v>
      </c>
      <c r="F1000" t="s" s="10">
        <v>14</v>
      </c>
      <c r="G1000" t="s" s="11">
        <v>14</v>
      </c>
      <c r="H1000" t="s" s="10">
        <v>14</v>
      </c>
      <c r="I1000" t="s" s="11">
        <v>14</v>
      </c>
      <c r="J1000" t="s" s="11">
        <v>14</v>
      </c>
      <c r="K1000" t="s" s="12">
        <v>14</v>
      </c>
      <c r="L1000" t="s" s="12">
        <v>14</v>
      </c>
      <c r="M1000" t="s" s="10">
        <v>14</v>
      </c>
      <c r="N1000" t="s" s="11">
        <v>14</v>
      </c>
      <c r="O1000" t="s" s="8">
        <v>14</v>
      </c>
      <c r="P1000" t="s" s="8">
        <v>14</v>
      </c>
      <c r="Q1000" t="s" s="12">
        <v>14</v>
      </c>
      <c r="R1000" t="s" s="12">
        <v>14</v>
      </c>
    </row>
    <row r="1001" s="2" customFormat="1" ht="13.5" customHeight="1">
      <c r="B1001" s="13"/>
      <c r="C1001" t="s" s="9">
        <v>16</v>
      </c>
      <c r="D1001" t="s" s="8">
        <v>412</v>
      </c>
      <c r="E1001" t="s" s="9">
        <v>412</v>
      </c>
      <c r="F1001" t="s" s="10">
        <v>68</v>
      </c>
      <c r="G1001" s="17">
        <v>1</v>
      </c>
      <c r="H1001" t="s" s="10">
        <v>68</v>
      </c>
      <c r="I1001" s="17">
        <v>1</v>
      </c>
      <c r="J1001" t="s" s="11">
        <v>20</v>
      </c>
      <c r="K1001" t="s" s="16">
        <f>HYPERLINK("http://csr.bu.edu/ftp/asl/asllvd/demos/verify_start_end_handshape_annotations//test_auto_move//signs_mov/15126.mov","MOV")</f>
        <v>21</v>
      </c>
      <c r="L1001" t="s" s="16">
        <f>HYPERLINK("http://csr.bu.edu/ftp/asl/asllvd/demos/verify_start_end_handshape_annotations//test_auto_move//signs_mov_separ_signers/Liz_15126.mov","MOV")</f>
        <v>21</v>
      </c>
      <c r="M1001" t="s" s="10">
        <v>88</v>
      </c>
      <c r="N1001" s="17">
        <v>52</v>
      </c>
      <c r="O1001" s="18">
        <v>1670</v>
      </c>
      <c r="P1001" s="18">
        <v>1689</v>
      </c>
      <c r="Q1001" t="s" s="16">
        <f>HYPERLINK("http://secrets.rutgers.edu:8080/data/asl-ftp/asllvd/demos/verify_start_end_handshape_annotations//test_auto_move//signs_mov/15126.mov","MOV")</f>
        <v>21</v>
      </c>
      <c r="R1001" t="s" s="16">
        <f>HYPERLINK("http://secrets.rutgers.edu:8080/data/asl-ftp/asllvd/demos/verify_start_end_handshape_annotations//test_auto_move//signs_mov_separ_signers/Liz_15126.mov","MOV")</f>
        <v>21</v>
      </c>
    </row>
    <row r="1002" s="2" customFormat="1" ht="13.5" customHeight="1">
      <c r="B1002" s="13"/>
      <c r="C1002" t="s" s="9">
        <v>30</v>
      </c>
      <c r="D1002" t="s" s="8">
        <v>412</v>
      </c>
      <c r="E1002" t="s" s="9">
        <v>412</v>
      </c>
      <c r="F1002" t="s" s="10">
        <v>68</v>
      </c>
      <c r="G1002" s="17">
        <v>1</v>
      </c>
      <c r="H1002" t="s" s="10">
        <v>68</v>
      </c>
      <c r="I1002" s="17">
        <v>1</v>
      </c>
      <c r="J1002" t="s" s="11">
        <v>20</v>
      </c>
      <c r="K1002" s="15"/>
      <c r="L1002" t="s" s="16">
        <f>HYPERLINK("http://csr.bu.edu/ftp/asl/asllvd/demos/verify_start_end_handshape_annotations//test_auto_move//signs_mov_separ_signers/Brady_15126.mov","MOV")</f>
        <v>21</v>
      </c>
      <c r="M1002" t="s" s="10">
        <v>40</v>
      </c>
      <c r="N1002" s="17">
        <v>47</v>
      </c>
      <c r="O1002" s="18">
        <v>1554</v>
      </c>
      <c r="P1002" s="18">
        <v>1568</v>
      </c>
      <c r="Q1002" s="15"/>
      <c r="R1002" t="s" s="16">
        <f>HYPERLINK("http://secrets.rutgers.edu:8080/data/asl-ftp/asllvd/demos/verify_start_end_handshape_annotations//test_auto_move//signs_mov_separ_signers/Brady_15126.mov","MOV")</f>
        <v>21</v>
      </c>
    </row>
    <row r="1003" s="2" customFormat="1" ht="13.5" customHeight="1">
      <c r="B1003" t="s" s="8">
        <v>413</v>
      </c>
      <c r="C1003" t="s" s="9">
        <v>14</v>
      </c>
      <c r="D1003" t="s" s="8">
        <v>14</v>
      </c>
      <c r="E1003" t="s" s="9">
        <v>14</v>
      </c>
      <c r="F1003" t="s" s="10">
        <v>14</v>
      </c>
      <c r="G1003" t="s" s="11">
        <v>14</v>
      </c>
      <c r="H1003" t="s" s="10">
        <v>14</v>
      </c>
      <c r="I1003" t="s" s="11">
        <v>14</v>
      </c>
      <c r="J1003" t="s" s="11">
        <v>14</v>
      </c>
      <c r="K1003" t="s" s="12">
        <v>14</v>
      </c>
      <c r="L1003" t="s" s="12">
        <v>14</v>
      </c>
      <c r="M1003" t="s" s="10">
        <v>14</v>
      </c>
      <c r="N1003" t="s" s="11">
        <v>14</v>
      </c>
      <c r="O1003" t="s" s="8">
        <v>14</v>
      </c>
      <c r="P1003" t="s" s="8">
        <v>14</v>
      </c>
      <c r="Q1003" t="s" s="12">
        <v>14</v>
      </c>
      <c r="R1003" t="s" s="12">
        <v>14</v>
      </c>
    </row>
    <row r="1004" s="2" customFormat="1" ht="13.5" customHeight="1">
      <c r="B1004" s="13"/>
      <c r="C1004" t="s" s="9">
        <v>16</v>
      </c>
      <c r="D1004" t="s" s="8">
        <v>413</v>
      </c>
      <c r="E1004" t="s" s="9">
        <v>414</v>
      </c>
      <c r="F1004" t="s" s="10">
        <v>63</v>
      </c>
      <c r="G1004" s="17">
        <v>1</v>
      </c>
      <c r="H1004" t="s" s="10">
        <v>63</v>
      </c>
      <c r="I1004" s="17">
        <v>1</v>
      </c>
      <c r="J1004" t="s" s="11">
        <v>20</v>
      </c>
      <c r="K1004" s="15"/>
      <c r="L1004" t="s" s="16">
        <f>HYPERLINK("http://csr.bu.edu/ftp/asl/asllvd/demos/verify_start_end_handshape_annotations//test_auto_move//signs_mov_separ_signers/Liz_15567.mov","MOV")</f>
        <v>21</v>
      </c>
      <c r="M1004" t="s" s="10">
        <v>22</v>
      </c>
      <c r="N1004" s="17">
        <v>35</v>
      </c>
      <c r="O1004" s="18">
        <v>1745</v>
      </c>
      <c r="P1004" s="18">
        <v>1795</v>
      </c>
      <c r="Q1004" s="15"/>
      <c r="R1004" t="s" s="16">
        <f>HYPERLINK("http://secrets.rutgers.edu:8080/data/asl-ftp/asllvd/demos/verify_start_end_handshape_annotations//test_auto_move//signs_mov_separ_signers/Liz_15567.mov","MOV")</f>
        <v>21</v>
      </c>
    </row>
    <row r="1005" s="2" customFormat="1" ht="13.5" customHeight="1">
      <c r="B1005" s="13"/>
      <c r="C1005" t="s" s="9">
        <v>16</v>
      </c>
      <c r="D1005" t="s" s="8">
        <v>413</v>
      </c>
      <c r="E1005" t="s" s="9">
        <v>414</v>
      </c>
      <c r="F1005" t="s" s="10">
        <v>63</v>
      </c>
      <c r="G1005" s="17">
        <v>1</v>
      </c>
      <c r="H1005" t="s" s="10">
        <v>63</v>
      </c>
      <c r="I1005" s="17">
        <v>1</v>
      </c>
      <c r="J1005" t="s" s="11">
        <v>20</v>
      </c>
      <c r="K1005" s="15"/>
      <c r="L1005" t="s" s="16">
        <f>HYPERLINK("http://csr.bu.edu/ftp/asl/asllvd/demos/verify_start_end_handshape_annotations//test_auto_move//signs_mov_separ_signers/Liz_15603.mov","MOV")</f>
        <v>21</v>
      </c>
      <c r="M1005" t="s" s="10">
        <v>77</v>
      </c>
      <c r="N1005" s="17">
        <v>23</v>
      </c>
      <c r="O1005" s="18">
        <v>288</v>
      </c>
      <c r="P1005" s="18">
        <v>370</v>
      </c>
      <c r="Q1005" s="15"/>
      <c r="R1005" t="s" s="16">
        <f>HYPERLINK("http://secrets.rutgers.edu:8080/data/asl-ftp/asllvd/demos/verify_start_end_handshape_annotations//test_auto_move//signs_mov_separ_signers/Liz_15603.mov","MOV")</f>
        <v>21</v>
      </c>
    </row>
    <row r="1006" s="2" customFormat="1" ht="13.5" customHeight="1">
      <c r="B1006" s="13"/>
      <c r="C1006" t="s" s="9">
        <v>23</v>
      </c>
      <c r="D1006" t="s" s="8">
        <v>413</v>
      </c>
      <c r="E1006" t="s" s="9">
        <v>415</v>
      </c>
      <c r="F1006" t="s" s="10">
        <v>68</v>
      </c>
      <c r="G1006" s="17">
        <v>1</v>
      </c>
      <c r="H1006" t="s" s="10">
        <v>68</v>
      </c>
      <c r="I1006" s="17">
        <v>1</v>
      </c>
      <c r="J1006" t="s" s="11">
        <v>20</v>
      </c>
      <c r="K1006" s="15"/>
      <c r="L1006" t="s" s="16">
        <f>HYPERLINK("http://csr.bu.edu/ftp/asl/asllvd/demos/verify_start_end_handshape_annotations//test_auto_move//signs_mov_separ_signers/Tyler_15567.mov","MOV")</f>
        <v>21</v>
      </c>
      <c r="M1006" t="s" s="10">
        <v>26</v>
      </c>
      <c r="N1006" s="17">
        <v>23</v>
      </c>
      <c r="O1006" s="18">
        <v>661</v>
      </c>
      <c r="P1006" s="18">
        <v>706</v>
      </c>
      <c r="Q1006" s="15"/>
      <c r="R1006" t="s" s="16">
        <f>HYPERLINK("http://secrets.rutgers.edu:8080/data/asl-ftp/asllvd/demos/verify_start_end_handshape_annotations//test_auto_move//signs_mov_separ_signers/Tyler_15567.mov","MOV")</f>
        <v>21</v>
      </c>
    </row>
    <row r="1007" s="2" customFormat="1" ht="13.5" customHeight="1">
      <c r="B1007" s="13"/>
      <c r="C1007" t="s" s="9">
        <v>23</v>
      </c>
      <c r="D1007" t="s" s="8">
        <v>413</v>
      </c>
      <c r="E1007" t="s" s="9">
        <v>416</v>
      </c>
      <c r="F1007" t="s" s="10">
        <v>68</v>
      </c>
      <c r="G1007" s="17">
        <v>1</v>
      </c>
      <c r="H1007" t="s" s="10">
        <v>68</v>
      </c>
      <c r="I1007" s="17">
        <v>1</v>
      </c>
      <c r="J1007" t="s" s="11">
        <v>20</v>
      </c>
      <c r="K1007" t="s" s="16">
        <f>HYPERLINK("http://csr.bu.edu/ftp/asl/asllvd/demos/verify_start_end_handshape_annotations//test_auto_move//signs_mov/15567_15603_merged.mov","MOV")</f>
        <v>21</v>
      </c>
      <c r="L1007" t="s" s="16">
        <f>HYPERLINK("http://csr.bu.edu/ftp/asl/asllvd/demos/verify_start_end_handshape_annotations//test_auto_move//signs_mov_separ_signers/Tyler_15603.mov","MOV")</f>
        <v>21</v>
      </c>
      <c r="M1007" t="s" s="10">
        <v>26</v>
      </c>
      <c r="N1007" s="17">
        <v>23</v>
      </c>
      <c r="O1007" s="18">
        <v>975</v>
      </c>
      <c r="P1007" s="18">
        <v>1010</v>
      </c>
      <c r="Q1007" t="s" s="16">
        <f>HYPERLINK("http://secrets.rutgers.edu:8080/data/asl-ftp/asllvd/demos/verify_start_end_handshape_annotations//test_auto_move//signs_mov/15567_15603_merged.mov","MOV")</f>
        <v>21</v>
      </c>
      <c r="R1007" t="s" s="16">
        <f>HYPERLINK("http://secrets.rutgers.edu:8080/data/asl-ftp/asllvd/demos/verify_start_end_handshape_annotations//test_auto_move//signs_mov_separ_signers/Tyler_15603.mov","MOV")</f>
        <v>21</v>
      </c>
    </row>
    <row r="1008" s="2" customFormat="1" ht="13.5" customHeight="1">
      <c r="B1008" s="13"/>
      <c r="C1008" t="s" s="9">
        <v>27</v>
      </c>
      <c r="D1008" t="s" s="8">
        <v>413</v>
      </c>
      <c r="E1008" t="s" s="9">
        <v>416</v>
      </c>
      <c r="F1008" t="s" s="10">
        <v>68</v>
      </c>
      <c r="G1008" s="17">
        <v>1</v>
      </c>
      <c r="H1008" t="s" s="10">
        <v>68</v>
      </c>
      <c r="I1008" s="17">
        <v>1</v>
      </c>
      <c r="J1008" t="s" s="11">
        <v>20</v>
      </c>
      <c r="K1008" s="15"/>
      <c r="L1008" t="s" s="16">
        <f>HYPERLINK("http://csr.bu.edu/ftp/asl/asllvd/demos/verify_start_end_handshape_annotations//test_auto_move//signs_mov_separ_signers/Naomi_15567.mov","MOV")</f>
        <v>21</v>
      </c>
      <c r="M1008" t="s" s="10">
        <v>29</v>
      </c>
      <c r="N1008" s="17">
        <v>24</v>
      </c>
      <c r="O1008" s="18">
        <v>635</v>
      </c>
      <c r="P1008" s="18">
        <v>682</v>
      </c>
      <c r="Q1008" s="15"/>
      <c r="R1008" t="s" s="16">
        <f>HYPERLINK("http://secrets.rutgers.edu:8080/data/asl-ftp/asllvd/demos/verify_start_end_handshape_annotations//test_auto_move//signs_mov_separ_signers/Naomi_15567.mov","MOV")</f>
        <v>21</v>
      </c>
    </row>
    <row r="1009" s="2" customFormat="1" ht="13.5" customHeight="1">
      <c r="B1009" s="13"/>
      <c r="C1009" t="s" s="9">
        <v>30</v>
      </c>
      <c r="D1009" t="s" s="8">
        <v>413</v>
      </c>
      <c r="E1009" t="s" s="9">
        <v>414</v>
      </c>
      <c r="F1009" t="s" s="10">
        <v>68</v>
      </c>
      <c r="G1009" s="17">
        <v>1</v>
      </c>
      <c r="H1009" t="s" s="10">
        <v>68</v>
      </c>
      <c r="I1009" s="17">
        <v>1</v>
      </c>
      <c r="J1009" t="s" s="11">
        <v>20</v>
      </c>
      <c r="K1009" s="15"/>
      <c r="L1009" t="s" s="16">
        <f>HYPERLINK("http://csr.bu.edu/ftp/asl/asllvd/demos/verify_start_end_handshape_annotations//test_auto_move//signs_mov_separ_signers/Brady_15567.mov","MOV")</f>
        <v>21</v>
      </c>
      <c r="M1009" t="s" s="10">
        <v>31</v>
      </c>
      <c r="N1009" s="17">
        <v>8</v>
      </c>
      <c r="O1009" s="18">
        <v>702</v>
      </c>
      <c r="P1009" s="18">
        <v>723</v>
      </c>
      <c r="Q1009" s="15"/>
      <c r="R1009" t="s" s="16">
        <f>HYPERLINK("http://secrets.rutgers.edu:8080/data/asl-ftp/asllvd/demos/verify_start_end_handshape_annotations//test_auto_move//signs_mov_separ_signers/Brady_15567.mov","MOV")</f>
        <v>21</v>
      </c>
    </row>
    <row r="1010" s="2" customFormat="1" ht="13.5" customHeight="1">
      <c r="B1010" s="13"/>
      <c r="C1010" t="s" s="9">
        <v>30</v>
      </c>
      <c r="D1010" t="s" s="8">
        <v>413</v>
      </c>
      <c r="E1010" t="s" s="9">
        <v>414</v>
      </c>
      <c r="F1010" t="s" s="10">
        <v>68</v>
      </c>
      <c r="G1010" s="17">
        <v>1</v>
      </c>
      <c r="H1010" t="s" s="10">
        <v>68</v>
      </c>
      <c r="I1010" s="17">
        <v>1</v>
      </c>
      <c r="J1010" t="s" s="11">
        <v>20</v>
      </c>
      <c r="K1010" s="15"/>
      <c r="L1010" t="s" s="16">
        <f>HYPERLINK("http://csr.bu.edu/ftp/asl/asllvd/demos/verify_start_end_handshape_annotations//test_auto_move//signs_mov_separ_signers/Brady_15603.mov","MOV")</f>
        <v>21</v>
      </c>
      <c r="M1010" t="s" s="10">
        <v>31</v>
      </c>
      <c r="N1010" s="17">
        <v>17</v>
      </c>
      <c r="O1010" s="18">
        <v>10960</v>
      </c>
      <c r="P1010" s="18">
        <v>10992</v>
      </c>
      <c r="Q1010" s="15"/>
      <c r="R1010" t="s" s="16">
        <f>HYPERLINK("http://secrets.rutgers.edu:8080/data/asl-ftp/asllvd/demos/verify_start_end_handshape_annotations//test_auto_move//signs_mov_separ_signers/Brady_15603.mov","MOV")</f>
        <v>21</v>
      </c>
    </row>
    <row r="1011" s="2" customFormat="1" ht="13.5" customHeight="1">
      <c r="B1011" t="s" s="8">
        <v>417</v>
      </c>
      <c r="C1011" t="s" s="9">
        <v>14</v>
      </c>
      <c r="D1011" t="s" s="8">
        <v>14</v>
      </c>
      <c r="E1011" t="s" s="9">
        <v>14</v>
      </c>
      <c r="F1011" t="s" s="10">
        <v>14</v>
      </c>
      <c r="G1011" t="s" s="11">
        <v>14</v>
      </c>
      <c r="H1011" t="s" s="10">
        <v>14</v>
      </c>
      <c r="I1011" t="s" s="11">
        <v>14</v>
      </c>
      <c r="J1011" t="s" s="11">
        <v>14</v>
      </c>
      <c r="K1011" t="s" s="12">
        <v>14</v>
      </c>
      <c r="L1011" t="s" s="12">
        <v>14</v>
      </c>
      <c r="M1011" t="s" s="10">
        <v>14</v>
      </c>
      <c r="N1011" t="s" s="11">
        <v>14</v>
      </c>
      <c r="O1011" t="s" s="8">
        <v>14</v>
      </c>
      <c r="P1011" t="s" s="8">
        <v>14</v>
      </c>
      <c r="Q1011" t="s" s="12">
        <v>14</v>
      </c>
      <c r="R1011" t="s" s="12">
        <v>14</v>
      </c>
    </row>
    <row r="1012" s="2" customFormat="1" ht="13.5" customHeight="1">
      <c r="B1012" s="13"/>
      <c r="C1012" t="s" s="9">
        <v>16</v>
      </c>
      <c r="D1012" t="s" s="8">
        <v>417</v>
      </c>
      <c r="E1012" t="s" s="9">
        <v>417</v>
      </c>
      <c r="F1012" t="s" s="10">
        <v>25</v>
      </c>
      <c r="G1012" s="14"/>
      <c r="H1012" s="19">
        <v>10</v>
      </c>
      <c r="I1012" s="14"/>
      <c r="J1012" t="s" s="11">
        <v>20</v>
      </c>
      <c r="K1012" s="15"/>
      <c r="L1012" t="s" s="16">
        <f>HYPERLINK("http://csr.bu.edu/ftp/asl/asllvd/demos/verify_start_end_handshape_annotations//test_auto_move//signs_mov_separ_signers/Liz_215.mov","MOV")</f>
        <v>21</v>
      </c>
      <c r="M1012" t="s" s="10">
        <v>22</v>
      </c>
      <c r="N1012" s="17">
        <v>36</v>
      </c>
      <c r="O1012" s="18">
        <v>685</v>
      </c>
      <c r="P1012" s="18">
        <v>701</v>
      </c>
      <c r="Q1012" s="15"/>
      <c r="R1012" t="s" s="16">
        <f>HYPERLINK("http://secrets.rutgers.edu:8080/data/asl-ftp/asllvd/demos/verify_start_end_handshape_annotations//test_auto_move//signs_mov_separ_signers/Liz_215.mov","MOV")</f>
        <v>21</v>
      </c>
    </row>
    <row r="1013" s="2" customFormat="1" ht="13.5" customHeight="1">
      <c r="B1013" s="13"/>
      <c r="C1013" t="s" s="9">
        <v>23</v>
      </c>
      <c r="D1013" t="s" s="8">
        <v>417</v>
      </c>
      <c r="E1013" t="s" s="9">
        <v>417</v>
      </c>
      <c r="F1013" t="s" s="10">
        <v>25</v>
      </c>
      <c r="G1013" s="14"/>
      <c r="H1013" t="s" s="10">
        <v>292</v>
      </c>
      <c r="I1013" s="14"/>
      <c r="J1013" t="s" s="11">
        <v>20</v>
      </c>
      <c r="K1013" t="s" s="16">
        <f>HYPERLINK("http://csr.bu.edu/ftp/asl/asllvd/demos/verify_start_end_handshape_annotations//test_auto_move//signs_mov/215.mov","MOV")</f>
        <v>21</v>
      </c>
      <c r="L1013" t="s" s="16">
        <f>HYPERLINK("http://csr.bu.edu/ftp/asl/asllvd/demos/verify_start_end_handshape_annotations//test_auto_move//signs_mov_separ_signers/Tyler_215.mov","MOV")</f>
        <v>21</v>
      </c>
      <c r="M1013" t="s" s="10">
        <v>26</v>
      </c>
      <c r="N1013" s="17">
        <v>23</v>
      </c>
      <c r="O1013" s="18">
        <v>1500</v>
      </c>
      <c r="P1013" s="18">
        <v>1520</v>
      </c>
      <c r="Q1013" t="s" s="16">
        <f>HYPERLINK("http://secrets.rutgers.edu:8080/data/asl-ftp/asllvd/demos/verify_start_end_handshape_annotations//test_auto_move//signs_mov/215.mov","MOV")</f>
        <v>21</v>
      </c>
      <c r="R1013" t="s" s="16">
        <f>HYPERLINK("http://secrets.rutgers.edu:8080/data/asl-ftp/asllvd/demos/verify_start_end_handshape_annotations//test_auto_move//signs_mov_separ_signers/Tyler_215.mov","MOV")</f>
        <v>21</v>
      </c>
    </row>
    <row r="1014" s="2" customFormat="1" ht="13.5" customHeight="1">
      <c r="B1014" s="13"/>
      <c r="C1014" t="s" s="9">
        <v>27</v>
      </c>
      <c r="D1014" t="s" s="8">
        <v>417</v>
      </c>
      <c r="E1014" t="s" s="9">
        <v>417</v>
      </c>
      <c r="F1014" t="s" s="10">
        <v>25</v>
      </c>
      <c r="G1014" s="14"/>
      <c r="H1014" t="s" s="10">
        <v>292</v>
      </c>
      <c r="I1014" s="14"/>
      <c r="J1014" t="s" s="11">
        <v>20</v>
      </c>
      <c r="K1014" s="15"/>
      <c r="L1014" t="s" s="16">
        <f>HYPERLINK("http://csr.bu.edu/ftp/asl/asllvd/demos/verify_start_end_handshape_annotations//test_auto_move//signs_mov_separ_signers/Naomi_215.mov","MOV")</f>
        <v>21</v>
      </c>
      <c r="M1014" t="s" s="10">
        <v>29</v>
      </c>
      <c r="N1014" s="17">
        <v>24</v>
      </c>
      <c r="O1014" s="18">
        <v>1357</v>
      </c>
      <c r="P1014" s="18">
        <v>1373</v>
      </c>
      <c r="Q1014" s="15"/>
      <c r="R1014" t="s" s="16">
        <f>HYPERLINK("http://secrets.rutgers.edu:8080/data/asl-ftp/asllvd/demos/verify_start_end_handshape_annotations//test_auto_move//signs_mov_separ_signers/Naomi_215.mov","MOV")</f>
        <v>21</v>
      </c>
    </row>
    <row r="1015" s="2" customFormat="1" ht="13.5" customHeight="1">
      <c r="B1015" s="13"/>
      <c r="C1015" t="s" s="9">
        <v>30</v>
      </c>
      <c r="D1015" t="s" s="8">
        <v>417</v>
      </c>
      <c r="E1015" t="s" s="9">
        <v>417</v>
      </c>
      <c r="F1015" t="s" s="10">
        <v>25</v>
      </c>
      <c r="G1015" s="14"/>
      <c r="H1015" s="19">
        <v>10</v>
      </c>
      <c r="I1015" s="14"/>
      <c r="J1015" t="s" s="11">
        <v>20</v>
      </c>
      <c r="K1015" s="15"/>
      <c r="L1015" t="s" s="16">
        <f>HYPERLINK("http://csr.bu.edu/ftp/asl/asllvd/demos/verify_start_end_handshape_annotations//test_auto_move//signs_mov_separ_signers/Brady_215.mov","MOV")</f>
        <v>21</v>
      </c>
      <c r="M1015" t="s" s="10">
        <v>31</v>
      </c>
      <c r="N1015" s="17">
        <v>18</v>
      </c>
      <c r="O1015" s="18">
        <v>2080</v>
      </c>
      <c r="P1015" s="18">
        <v>2093</v>
      </c>
      <c r="Q1015" s="15"/>
      <c r="R1015" t="s" s="16">
        <f>HYPERLINK("http://secrets.rutgers.edu:8080/data/asl-ftp/asllvd/demos/verify_start_end_handshape_annotations//test_auto_move//signs_mov_separ_signers/Brady_215.mov","MOV")</f>
        <v>21</v>
      </c>
    </row>
    <row r="1016" s="2" customFormat="1" ht="13.5" customHeight="1">
      <c r="B1016" t="s" s="8">
        <v>418</v>
      </c>
      <c r="C1016" t="s" s="9">
        <v>14</v>
      </c>
      <c r="D1016" t="s" s="8">
        <v>14</v>
      </c>
      <c r="E1016" t="s" s="9">
        <v>14</v>
      </c>
      <c r="F1016" t="s" s="10">
        <v>14</v>
      </c>
      <c r="G1016" t="s" s="11">
        <v>14</v>
      </c>
      <c r="H1016" t="s" s="10">
        <v>14</v>
      </c>
      <c r="I1016" t="s" s="11">
        <v>14</v>
      </c>
      <c r="J1016" t="s" s="11">
        <v>14</v>
      </c>
      <c r="K1016" t="s" s="12">
        <v>14</v>
      </c>
      <c r="L1016" t="s" s="12">
        <v>14</v>
      </c>
      <c r="M1016" t="s" s="10">
        <v>14</v>
      </c>
      <c r="N1016" t="s" s="11">
        <v>14</v>
      </c>
      <c r="O1016" t="s" s="8">
        <v>14</v>
      </c>
      <c r="P1016" t="s" s="8">
        <v>14</v>
      </c>
      <c r="Q1016" t="s" s="12">
        <v>14</v>
      </c>
      <c r="R1016" t="s" s="12">
        <v>14</v>
      </c>
    </row>
    <row r="1017" s="2" customFormat="1" ht="13.5" customHeight="1">
      <c r="B1017" s="13"/>
      <c r="C1017" t="s" s="9">
        <v>16</v>
      </c>
      <c r="D1017" t="s" s="8">
        <v>418</v>
      </c>
      <c r="E1017" t="s" s="9">
        <v>418</v>
      </c>
      <c r="F1017" t="s" s="10">
        <v>73</v>
      </c>
      <c r="G1017" t="s" s="11">
        <v>73</v>
      </c>
      <c r="H1017" t="s" s="10">
        <v>73</v>
      </c>
      <c r="I1017" t="s" s="11">
        <v>73</v>
      </c>
      <c r="J1017" t="s" s="11">
        <v>20</v>
      </c>
      <c r="K1017" s="15"/>
      <c r="L1017" t="s" s="16">
        <f>HYPERLINK("http://csr.bu.edu/ftp/asl/asllvd/demos/verify_start_end_handshape_annotations//test_auto_move//signs_mov_separ_signers/Liz_216.mov","MOV")</f>
        <v>21</v>
      </c>
      <c r="M1017" t="s" s="10">
        <v>22</v>
      </c>
      <c r="N1017" s="17">
        <v>36</v>
      </c>
      <c r="O1017" s="18">
        <v>845</v>
      </c>
      <c r="P1017" s="18">
        <v>880</v>
      </c>
      <c r="Q1017" s="15"/>
      <c r="R1017" t="s" s="16">
        <f>HYPERLINK("http://secrets.rutgers.edu:8080/data/asl-ftp/asllvd/demos/verify_start_end_handshape_annotations//test_auto_move//signs_mov_separ_signers/Liz_216.mov","MOV")</f>
        <v>21</v>
      </c>
    </row>
    <row r="1018" s="2" customFormat="1" ht="13.5" customHeight="1">
      <c r="B1018" s="13"/>
      <c r="C1018" t="s" s="9">
        <v>23</v>
      </c>
      <c r="D1018" t="s" s="8">
        <v>418</v>
      </c>
      <c r="E1018" t="s" s="9">
        <v>418</v>
      </c>
      <c r="F1018" t="s" s="10">
        <v>73</v>
      </c>
      <c r="G1018" t="s" s="11">
        <v>73</v>
      </c>
      <c r="H1018" t="s" s="10">
        <v>73</v>
      </c>
      <c r="I1018" t="s" s="11">
        <v>73</v>
      </c>
      <c r="J1018" t="s" s="11">
        <v>20</v>
      </c>
      <c r="K1018" t="s" s="16">
        <f>HYPERLINK("http://csr.bu.edu/ftp/asl/asllvd/demos/verify_start_end_handshape_annotations//test_auto_move//signs_mov/216.mov","MOV")</f>
        <v>21</v>
      </c>
      <c r="L1018" t="s" s="16">
        <f>HYPERLINK("http://csr.bu.edu/ftp/asl/asllvd/demos/verify_start_end_handshape_annotations//test_auto_move//signs_mov_separ_signers/Tyler_216.mov","MOV")</f>
        <v>21</v>
      </c>
      <c r="M1018" t="s" s="10">
        <v>26</v>
      </c>
      <c r="N1018" s="17">
        <v>23</v>
      </c>
      <c r="O1018" s="18">
        <v>1715</v>
      </c>
      <c r="P1018" s="18">
        <v>1750</v>
      </c>
      <c r="Q1018" t="s" s="16">
        <f>HYPERLINK("http://secrets.rutgers.edu:8080/data/asl-ftp/asllvd/demos/verify_start_end_handshape_annotations//test_auto_move//signs_mov/216.mov","MOV")</f>
        <v>21</v>
      </c>
      <c r="R1018" t="s" s="16">
        <f>HYPERLINK("http://secrets.rutgers.edu:8080/data/asl-ftp/asllvd/demos/verify_start_end_handshape_annotations//test_auto_move//signs_mov_separ_signers/Tyler_216.mov","MOV")</f>
        <v>21</v>
      </c>
    </row>
    <row r="1019" s="2" customFormat="1" ht="13.5" customHeight="1">
      <c r="B1019" s="13"/>
      <c r="C1019" t="s" s="9">
        <v>27</v>
      </c>
      <c r="D1019" t="s" s="8">
        <v>418</v>
      </c>
      <c r="E1019" t="s" s="9">
        <v>418</v>
      </c>
      <c r="F1019" t="s" s="10">
        <v>73</v>
      </c>
      <c r="G1019" t="s" s="11">
        <v>73</v>
      </c>
      <c r="H1019" t="s" s="10">
        <v>73</v>
      </c>
      <c r="I1019" t="s" s="11">
        <v>73</v>
      </c>
      <c r="J1019" t="s" s="11">
        <v>20</v>
      </c>
      <c r="K1019" s="15"/>
      <c r="L1019" t="s" s="16">
        <f>HYPERLINK("http://csr.bu.edu/ftp/asl/asllvd/demos/verify_start_end_handshape_annotations//test_auto_move//signs_mov_separ_signers/Naomi_216.mov","MOV")</f>
        <v>21</v>
      </c>
      <c r="M1019" t="s" s="10">
        <v>29</v>
      </c>
      <c r="N1019" s="17">
        <v>24</v>
      </c>
      <c r="O1019" s="18">
        <v>1641</v>
      </c>
      <c r="P1019" s="18">
        <v>1673</v>
      </c>
      <c r="Q1019" s="15"/>
      <c r="R1019" t="s" s="16">
        <f>HYPERLINK("http://secrets.rutgers.edu:8080/data/asl-ftp/asllvd/demos/verify_start_end_handshape_annotations//test_auto_move//signs_mov_separ_signers/Naomi_216.mov","MOV")</f>
        <v>21</v>
      </c>
    </row>
    <row r="1020" s="2" customFormat="1" ht="13.5" customHeight="1">
      <c r="B1020" s="13"/>
      <c r="C1020" t="s" s="9">
        <v>30</v>
      </c>
      <c r="D1020" t="s" s="8">
        <v>418</v>
      </c>
      <c r="E1020" t="s" s="9">
        <v>418</v>
      </c>
      <c r="F1020" t="s" s="10">
        <v>73</v>
      </c>
      <c r="G1020" t="s" s="11">
        <v>73</v>
      </c>
      <c r="H1020" t="s" s="10">
        <v>73</v>
      </c>
      <c r="I1020" t="s" s="11">
        <v>73</v>
      </c>
      <c r="J1020" t="s" s="11">
        <v>20</v>
      </c>
      <c r="K1020" s="15"/>
      <c r="L1020" t="s" s="16">
        <f>HYPERLINK("http://csr.bu.edu/ftp/asl/asllvd/demos/verify_start_end_handshape_annotations//test_auto_move//signs_mov_separ_signers/Brady_216.mov","MOV")</f>
        <v>21</v>
      </c>
      <c r="M1020" t="s" s="10">
        <v>31</v>
      </c>
      <c r="N1020" s="17">
        <v>18</v>
      </c>
      <c r="O1020" s="18">
        <v>3191</v>
      </c>
      <c r="P1020" s="18">
        <v>3210</v>
      </c>
      <c r="Q1020" s="15"/>
      <c r="R1020" t="s" s="16">
        <f>HYPERLINK("http://secrets.rutgers.edu:8080/data/asl-ftp/asllvd/demos/verify_start_end_handshape_annotations//test_auto_move//signs_mov_separ_signers/Brady_216.mov","MOV")</f>
        <v>21</v>
      </c>
    </row>
    <row r="1021" s="2" customFormat="1" ht="13.5" customHeight="1">
      <c r="B1021" t="s" s="8">
        <v>52</v>
      </c>
      <c r="C1021" t="s" s="9">
        <v>53</v>
      </c>
      <c r="D1021" t="s" s="8">
        <v>53</v>
      </c>
      <c r="E1021" t="s" s="9">
        <v>53</v>
      </c>
      <c r="F1021" t="s" s="10">
        <v>53</v>
      </c>
      <c r="G1021" t="s" s="11">
        <v>53</v>
      </c>
      <c r="H1021" t="s" s="10">
        <v>53</v>
      </c>
      <c r="I1021" t="s" s="11">
        <v>53</v>
      </c>
      <c r="J1021" t="s" s="11">
        <v>53</v>
      </c>
      <c r="K1021" t="s" s="12">
        <v>53</v>
      </c>
      <c r="L1021" t="s" s="12">
        <v>53</v>
      </c>
      <c r="M1021" t="s" s="10">
        <v>53</v>
      </c>
      <c r="N1021" t="s" s="11">
        <v>53</v>
      </c>
      <c r="O1021" t="s" s="8">
        <v>53</v>
      </c>
      <c r="P1021" t="s" s="8">
        <v>53</v>
      </c>
      <c r="Q1021" t="s" s="12">
        <v>53</v>
      </c>
      <c r="R1021" t="s" s="12">
        <v>53</v>
      </c>
    </row>
    <row r="1022" s="2" customFormat="1" ht="13.5" customHeight="1">
      <c r="B1022" s="13"/>
      <c r="C1022" t="s" s="9">
        <v>41</v>
      </c>
      <c r="D1022" t="s" s="8">
        <v>418</v>
      </c>
      <c r="E1022" t="s" s="9">
        <v>419</v>
      </c>
      <c r="F1022" t="s" s="10">
        <v>73</v>
      </c>
      <c r="G1022" t="s" s="11">
        <v>73</v>
      </c>
      <c r="H1022" t="s" s="10">
        <v>73</v>
      </c>
      <c r="I1022" t="s" s="11">
        <v>73</v>
      </c>
      <c r="J1022" t="s" s="11">
        <v>20</v>
      </c>
      <c r="K1022" t="s" s="16">
        <f>HYPERLINK("http://csr.bu.edu/ftp/asl/asllvd/demos/verify_start_end_handshape_annotations//test_auto_move//signs_mov/16238.mov","MOV")</f>
        <v>21</v>
      </c>
      <c r="L1022" t="s" s="16">
        <f>HYPERLINK("http://csr.bu.edu/ftp/asl/asllvd/demos/verify_start_end_handshape_annotations//test_auto_move//signs_mov_separ_signers/Lana_16238.mov","MOV")</f>
        <v>21</v>
      </c>
      <c r="M1022" t="s" s="10">
        <v>42</v>
      </c>
      <c r="N1022" s="17">
        <v>3</v>
      </c>
      <c r="O1022" s="18">
        <v>1979</v>
      </c>
      <c r="P1022" s="18">
        <v>2002</v>
      </c>
      <c r="Q1022" t="s" s="16">
        <f>HYPERLINK("http://secrets.rutgers.edu:8080/data/asl-ftp/asllvd/demos/verify_start_end_handshape_annotations//test_auto_move//signs_mov/16238.mov","MOV")</f>
        <v>21</v>
      </c>
      <c r="R1022" t="s" s="16">
        <f>HYPERLINK("http://secrets.rutgers.edu:8080/data/asl-ftp/asllvd/demos/verify_start_end_handshape_annotations//test_auto_move//signs_mov_separ_signers/Lana_16238.mov","MOV")</f>
        <v>21</v>
      </c>
    </row>
    <row r="1023" s="2" customFormat="1" ht="13.5" customHeight="1">
      <c r="B1023" s="13"/>
      <c r="C1023" t="s" s="9">
        <v>43</v>
      </c>
      <c r="D1023" t="s" s="8">
        <v>418</v>
      </c>
      <c r="E1023" t="s" s="9">
        <v>419</v>
      </c>
      <c r="F1023" t="s" s="10">
        <v>73</v>
      </c>
      <c r="G1023" t="s" s="11">
        <v>73</v>
      </c>
      <c r="H1023" t="s" s="10">
        <v>73</v>
      </c>
      <c r="I1023" t="s" s="11">
        <v>73</v>
      </c>
      <c r="J1023" t="s" s="11">
        <v>20</v>
      </c>
      <c r="K1023" s="15"/>
      <c r="L1023" t="s" s="16">
        <f>HYPERLINK("http://csr.bu.edu/ftp/asl/asllvd/demos/verify_start_end_handshape_annotations//test_auto_move//signs_mov_separ_signers/Dana_16238.mov","MOV")</f>
        <v>21</v>
      </c>
      <c r="M1023" t="s" s="10">
        <v>44</v>
      </c>
      <c r="N1023" s="17">
        <v>7</v>
      </c>
      <c r="O1023" s="18">
        <v>2017</v>
      </c>
      <c r="P1023" s="18">
        <v>2061</v>
      </c>
      <c r="Q1023" s="15"/>
      <c r="R1023" t="s" s="16">
        <f>HYPERLINK("http://secrets.rutgers.edu:8080/data/asl-ftp/asllvd/demos/verify_start_end_handshape_annotations//test_auto_move//signs_mov_separ_signers/Dana_16238.mov","MOV")</f>
        <v>21</v>
      </c>
    </row>
    <row r="1024" s="2" customFormat="1" ht="13.5" customHeight="1">
      <c r="B1024" t="s" s="8">
        <v>420</v>
      </c>
      <c r="C1024" t="s" s="9">
        <v>14</v>
      </c>
      <c r="D1024" t="s" s="8">
        <v>14</v>
      </c>
      <c r="E1024" t="s" s="9">
        <v>14</v>
      </c>
      <c r="F1024" t="s" s="10">
        <v>14</v>
      </c>
      <c r="G1024" t="s" s="11">
        <v>14</v>
      </c>
      <c r="H1024" t="s" s="10">
        <v>14</v>
      </c>
      <c r="I1024" t="s" s="11">
        <v>14</v>
      </c>
      <c r="J1024" t="s" s="11">
        <v>14</v>
      </c>
      <c r="K1024" t="s" s="12">
        <v>14</v>
      </c>
      <c r="L1024" t="s" s="12">
        <v>14</v>
      </c>
      <c r="M1024" t="s" s="10">
        <v>14</v>
      </c>
      <c r="N1024" t="s" s="11">
        <v>14</v>
      </c>
      <c r="O1024" t="s" s="8">
        <v>14</v>
      </c>
      <c r="P1024" t="s" s="8">
        <v>14</v>
      </c>
      <c r="Q1024" t="s" s="12">
        <v>14</v>
      </c>
      <c r="R1024" t="s" s="12">
        <v>14</v>
      </c>
    </row>
    <row r="1025" s="2" customFormat="1" ht="13.5" customHeight="1">
      <c r="B1025" s="13"/>
      <c r="C1025" t="s" s="9">
        <v>16</v>
      </c>
      <c r="D1025" t="s" s="8">
        <v>420</v>
      </c>
      <c r="E1025" t="s" s="9">
        <v>420</v>
      </c>
      <c r="F1025" t="s" s="10">
        <v>73</v>
      </c>
      <c r="G1025" s="14"/>
      <c r="H1025" t="s" s="10">
        <v>73</v>
      </c>
      <c r="I1025" s="14"/>
      <c r="J1025" t="s" s="11">
        <v>20</v>
      </c>
      <c r="K1025" s="15"/>
      <c r="L1025" t="s" s="16">
        <f>HYPERLINK("http://csr.bu.edu/ftp/asl/asllvd/demos/verify_start_end_handshape_annotations//test_auto_move//signs_mov_separ_signers/Liz_218.mov","MOV")</f>
        <v>21</v>
      </c>
      <c r="M1025" t="s" s="10">
        <v>22</v>
      </c>
      <c r="N1025" s="17">
        <v>36</v>
      </c>
      <c r="O1025" s="18">
        <v>1320</v>
      </c>
      <c r="P1025" s="18">
        <v>1350</v>
      </c>
      <c r="Q1025" s="15"/>
      <c r="R1025" t="s" s="16">
        <f>HYPERLINK("http://secrets.rutgers.edu:8080/data/asl-ftp/asllvd/demos/verify_start_end_handshape_annotations//test_auto_move//signs_mov_separ_signers/Liz_218.mov","MOV")</f>
        <v>21</v>
      </c>
    </row>
    <row r="1026" s="2" customFormat="1" ht="13.5" customHeight="1">
      <c r="B1026" s="13"/>
      <c r="C1026" t="s" s="9">
        <v>27</v>
      </c>
      <c r="D1026" t="s" s="8">
        <v>420</v>
      </c>
      <c r="E1026" t="s" s="9">
        <v>420</v>
      </c>
      <c r="F1026" t="s" s="10">
        <v>73</v>
      </c>
      <c r="G1026" s="14"/>
      <c r="H1026" t="s" s="10">
        <v>73</v>
      </c>
      <c r="I1026" s="14"/>
      <c r="J1026" t="s" s="11">
        <v>20</v>
      </c>
      <c r="K1026" t="s" s="16">
        <f>HYPERLINK("http://csr.bu.edu/ftp/asl/asllvd/demos/verify_start_end_handshape_annotations//test_auto_move//signs_mov/218_3763_merged.mov","MOV")</f>
        <v>21</v>
      </c>
      <c r="L1026" t="s" s="16">
        <f>HYPERLINK("http://csr.bu.edu/ftp/asl/asllvd/demos/verify_start_end_handshape_annotations//test_auto_move//signs_mov_separ_signers/Naomi_218.mov","MOV")</f>
        <v>21</v>
      </c>
      <c r="M1026" t="s" s="10">
        <v>29</v>
      </c>
      <c r="N1026" s="17">
        <v>24</v>
      </c>
      <c r="O1026" s="18">
        <v>2173</v>
      </c>
      <c r="P1026" s="18">
        <v>2191</v>
      </c>
      <c r="Q1026" t="s" s="16">
        <f>HYPERLINK("http://secrets.rutgers.edu:8080/data/asl-ftp/asllvd/demos/verify_start_end_handshape_annotations//test_auto_move//signs_mov/218_3763_merged.mov","MOV")</f>
        <v>21</v>
      </c>
      <c r="R1026" t="s" s="16">
        <f>HYPERLINK("http://secrets.rutgers.edu:8080/data/asl-ftp/asllvd/demos/verify_start_end_handshape_annotations//test_auto_move//signs_mov_separ_signers/Naomi_218.mov","MOV")</f>
        <v>21</v>
      </c>
    </row>
    <row r="1027" s="2" customFormat="1" ht="13.5" customHeight="1">
      <c r="B1027" s="13"/>
      <c r="C1027" t="s" s="9">
        <v>30</v>
      </c>
      <c r="D1027" t="s" s="8">
        <v>420</v>
      </c>
      <c r="E1027" t="s" s="9">
        <v>420</v>
      </c>
      <c r="F1027" t="s" s="10">
        <v>73</v>
      </c>
      <c r="G1027" s="14"/>
      <c r="H1027" t="s" s="10">
        <v>73</v>
      </c>
      <c r="I1027" s="14"/>
      <c r="J1027" t="s" s="11">
        <v>20</v>
      </c>
      <c r="K1027" s="15"/>
      <c r="L1027" t="s" s="16">
        <f>HYPERLINK("http://csr.bu.edu/ftp/asl/asllvd/demos/verify_start_end_handshape_annotations//test_auto_move//signs_mov_separ_signers/Brady_218.mov","MOV")</f>
        <v>21</v>
      </c>
      <c r="M1027" t="s" s="10">
        <v>31</v>
      </c>
      <c r="N1027" s="17">
        <v>18</v>
      </c>
      <c r="O1027" s="18">
        <v>3767</v>
      </c>
      <c r="P1027" s="18">
        <v>3787</v>
      </c>
      <c r="Q1027" s="15"/>
      <c r="R1027" t="s" s="16">
        <f>HYPERLINK("http://secrets.rutgers.edu:8080/data/asl-ftp/asllvd/demos/verify_start_end_handshape_annotations//test_auto_move//signs_mov_separ_signers/Brady_218.mov","MOV")</f>
        <v>21</v>
      </c>
    </row>
    <row r="1028" s="2" customFormat="1" ht="13.5" customHeight="1">
      <c r="B1028" s="13"/>
      <c r="C1028" t="s" s="9">
        <v>30</v>
      </c>
      <c r="D1028" t="s" s="8">
        <v>420</v>
      </c>
      <c r="E1028" t="s" s="9">
        <v>420</v>
      </c>
      <c r="F1028" t="s" s="10">
        <v>73</v>
      </c>
      <c r="G1028" s="14"/>
      <c r="H1028" t="s" s="10">
        <v>73</v>
      </c>
      <c r="I1028" s="14"/>
      <c r="J1028" t="s" s="11">
        <v>20</v>
      </c>
      <c r="K1028" s="15"/>
      <c r="L1028" t="s" s="16">
        <f>HYPERLINK("http://csr.bu.edu/ftp/asl/asllvd/demos/verify_start_end_handshape_annotations//test_auto_move//signs_mov_separ_signers/Brady_3763.mov","MOV")</f>
        <v>21</v>
      </c>
      <c r="M1028" t="s" s="10">
        <v>40</v>
      </c>
      <c r="N1028" s="17">
        <v>86</v>
      </c>
      <c r="O1028" s="18">
        <v>4046</v>
      </c>
      <c r="P1028" s="18">
        <v>4064</v>
      </c>
      <c r="Q1028" s="15"/>
      <c r="R1028" t="s" s="16">
        <f>HYPERLINK("http://secrets.rutgers.edu:8080/data/asl-ftp/asllvd/demos/verify_start_end_handshape_annotations//test_auto_move//signs_mov_separ_signers/Brady_3763.mov","MOV")</f>
        <v>21</v>
      </c>
    </row>
    <row r="1029" s="2" customFormat="1" ht="13.5" customHeight="1">
      <c r="B1029" t="s" s="8">
        <v>52</v>
      </c>
      <c r="C1029" t="s" s="9">
        <v>53</v>
      </c>
      <c r="D1029" t="s" s="8">
        <v>53</v>
      </c>
      <c r="E1029" t="s" s="9">
        <v>53</v>
      </c>
      <c r="F1029" t="s" s="10">
        <v>53</v>
      </c>
      <c r="G1029" t="s" s="11">
        <v>53</v>
      </c>
      <c r="H1029" t="s" s="10">
        <v>53</v>
      </c>
      <c r="I1029" t="s" s="11">
        <v>53</v>
      </c>
      <c r="J1029" t="s" s="11">
        <v>53</v>
      </c>
      <c r="K1029" t="s" s="12">
        <v>53</v>
      </c>
      <c r="L1029" t="s" s="12">
        <v>53</v>
      </c>
      <c r="M1029" t="s" s="10">
        <v>53</v>
      </c>
      <c r="N1029" t="s" s="11">
        <v>53</v>
      </c>
      <c r="O1029" t="s" s="8">
        <v>53</v>
      </c>
      <c r="P1029" t="s" s="8">
        <v>53</v>
      </c>
      <c r="Q1029" t="s" s="12">
        <v>53</v>
      </c>
      <c r="R1029" t="s" s="12">
        <v>53</v>
      </c>
    </row>
    <row r="1030" s="2" customFormat="1" ht="13.5" customHeight="1">
      <c r="B1030" s="13"/>
      <c r="C1030" t="s" s="9">
        <v>16</v>
      </c>
      <c r="D1030" t="s" s="8">
        <v>420</v>
      </c>
      <c r="E1030" t="s" s="9">
        <v>421</v>
      </c>
      <c r="F1030" t="s" s="10">
        <v>73</v>
      </c>
      <c r="G1030" t="s" s="11">
        <v>73</v>
      </c>
      <c r="H1030" t="s" s="10">
        <v>73</v>
      </c>
      <c r="I1030" t="s" s="11">
        <v>73</v>
      </c>
      <c r="J1030" t="s" s="11">
        <v>20</v>
      </c>
      <c r="K1030" t="s" s="16">
        <f>HYPERLINK("http://csr.bu.edu/ftp/asl/asllvd/demos/verify_start_end_handshape_annotations//test_auto_move//signs_mov/5358.mov","MOV")</f>
        <v>21</v>
      </c>
      <c r="L1030" t="s" s="16">
        <f>HYPERLINK("http://csr.bu.edu/ftp/asl/asllvd/demos/verify_start_end_handshape_annotations//test_auto_move//signs_mov_separ_signers/Liz_5358.mov","MOV")</f>
        <v>21</v>
      </c>
      <c r="M1030" t="s" s="10">
        <v>36</v>
      </c>
      <c r="N1030" s="17">
        <v>34</v>
      </c>
      <c r="O1030" s="18">
        <v>3605</v>
      </c>
      <c r="P1030" s="18">
        <v>3645</v>
      </c>
      <c r="Q1030" t="s" s="16">
        <f>HYPERLINK("http://secrets.rutgers.edu:8080/data/asl-ftp/asllvd/demos/verify_start_end_handshape_annotations//test_auto_move//signs_mov/5358.mov","MOV")</f>
        <v>21</v>
      </c>
      <c r="R1030" t="s" s="16">
        <f>HYPERLINK("http://secrets.rutgers.edu:8080/data/asl-ftp/asllvd/demos/verify_start_end_handshape_annotations//test_auto_move//signs_mov_separ_signers/Liz_5358.mov","MOV")</f>
        <v>21</v>
      </c>
    </row>
    <row r="1031" s="2" customFormat="1" ht="13.5" customHeight="1">
      <c r="B1031" s="13"/>
      <c r="C1031" t="s" s="9">
        <v>23</v>
      </c>
      <c r="D1031" t="s" s="8">
        <v>420</v>
      </c>
      <c r="E1031" t="s" s="9">
        <v>421</v>
      </c>
      <c r="F1031" t="s" s="10">
        <v>73</v>
      </c>
      <c r="G1031" t="s" s="11">
        <v>73</v>
      </c>
      <c r="H1031" t="s" s="10">
        <v>73</v>
      </c>
      <c r="I1031" t="s" s="11">
        <v>73</v>
      </c>
      <c r="J1031" t="s" s="11">
        <v>20</v>
      </c>
      <c r="K1031" s="15"/>
      <c r="L1031" t="s" s="16">
        <f>HYPERLINK("http://csr.bu.edu/ftp/asl/asllvd/demos/verify_start_end_handshape_annotations//test_auto_move//signs_mov_separ_signers/Tyler_5358.mov","MOV")</f>
        <v>21</v>
      </c>
      <c r="M1031" t="s" s="10">
        <v>26</v>
      </c>
      <c r="N1031" s="17">
        <v>23</v>
      </c>
      <c r="O1031" s="18">
        <v>2325</v>
      </c>
      <c r="P1031" s="18">
        <v>2342</v>
      </c>
      <c r="Q1031" s="15"/>
      <c r="R1031" t="s" s="16">
        <f>HYPERLINK("http://secrets.rutgers.edu:8080/data/asl-ftp/asllvd/demos/verify_start_end_handshape_annotations//test_auto_move//signs_mov_separ_signers/Tyler_5358.mov","MOV")</f>
        <v>21</v>
      </c>
    </row>
    <row r="1032" s="2" customFormat="1" ht="13.5" customHeight="1">
      <c r="B1032" t="s" s="8">
        <v>422</v>
      </c>
      <c r="C1032" t="s" s="9">
        <v>14</v>
      </c>
      <c r="D1032" t="s" s="8">
        <v>14</v>
      </c>
      <c r="E1032" t="s" s="9">
        <v>14</v>
      </c>
      <c r="F1032" t="s" s="10">
        <v>14</v>
      </c>
      <c r="G1032" t="s" s="11">
        <v>14</v>
      </c>
      <c r="H1032" t="s" s="10">
        <v>14</v>
      </c>
      <c r="I1032" t="s" s="11">
        <v>14</v>
      </c>
      <c r="J1032" t="s" s="11">
        <v>14</v>
      </c>
      <c r="K1032" t="s" s="12">
        <v>14</v>
      </c>
      <c r="L1032" t="s" s="12">
        <v>14</v>
      </c>
      <c r="M1032" t="s" s="10">
        <v>14</v>
      </c>
      <c r="N1032" t="s" s="11">
        <v>14</v>
      </c>
      <c r="O1032" t="s" s="8">
        <v>14</v>
      </c>
      <c r="P1032" t="s" s="8">
        <v>14</v>
      </c>
      <c r="Q1032" t="s" s="12">
        <v>14</v>
      </c>
      <c r="R1032" t="s" s="12">
        <v>14</v>
      </c>
    </row>
    <row r="1033" s="2" customFormat="1" ht="13.5" customHeight="1">
      <c r="B1033" s="13"/>
      <c r="C1033" t="s" s="9">
        <v>23</v>
      </c>
      <c r="D1033" t="s" s="8">
        <v>422</v>
      </c>
      <c r="E1033" t="s" s="9">
        <v>422</v>
      </c>
      <c r="F1033" t="s" s="10">
        <v>72</v>
      </c>
      <c r="G1033" t="s" s="11">
        <v>55</v>
      </c>
      <c r="H1033" t="s" s="10">
        <v>187</v>
      </c>
      <c r="I1033" t="s" s="11">
        <v>55</v>
      </c>
      <c r="J1033" t="s" s="11">
        <v>20</v>
      </c>
      <c r="K1033" t="s" s="16">
        <f>HYPERLINK("http://csr.bu.edu/ftp/asl/asllvd/demos/verify_start_end_handshape_annotations//test_auto_move//signs_mov/224.mov","MOV")</f>
        <v>21</v>
      </c>
      <c r="L1033" t="s" s="16">
        <f>HYPERLINK("http://csr.bu.edu/ftp/asl/asllvd/demos/verify_start_end_handshape_annotations//test_auto_move//signs_mov_separ_signers/Tyler_224.mov","MOV")</f>
        <v>21</v>
      </c>
      <c r="M1033" t="s" s="10">
        <v>26</v>
      </c>
      <c r="N1033" s="17">
        <v>24</v>
      </c>
      <c r="O1033" s="18">
        <v>965</v>
      </c>
      <c r="P1033" s="18">
        <v>1010</v>
      </c>
      <c r="Q1033" t="s" s="16">
        <f>HYPERLINK("http://secrets.rutgers.edu:8080/data/asl-ftp/asllvd/demos/verify_start_end_handshape_annotations//test_auto_move//signs_mov/224.mov","MOV")</f>
        <v>21</v>
      </c>
      <c r="R1033" t="s" s="16">
        <f>HYPERLINK("http://secrets.rutgers.edu:8080/data/asl-ftp/asllvd/demos/verify_start_end_handshape_annotations//test_auto_move//signs_mov_separ_signers/Tyler_224.mov","MOV")</f>
        <v>21</v>
      </c>
    </row>
    <row r="1034" s="2" customFormat="1" ht="13.5" customHeight="1">
      <c r="B1034" s="13"/>
      <c r="C1034" t="s" s="9">
        <v>27</v>
      </c>
      <c r="D1034" t="s" s="8">
        <v>422</v>
      </c>
      <c r="E1034" t="s" s="9">
        <v>422</v>
      </c>
      <c r="F1034" t="s" s="10">
        <v>72</v>
      </c>
      <c r="G1034" t="s" s="11">
        <v>55</v>
      </c>
      <c r="H1034" t="s" s="10">
        <v>187</v>
      </c>
      <c r="I1034" t="s" s="11">
        <v>55</v>
      </c>
      <c r="J1034" t="s" s="11">
        <v>20</v>
      </c>
      <c r="K1034" s="15"/>
      <c r="L1034" t="s" s="16">
        <f>HYPERLINK("http://csr.bu.edu/ftp/asl/asllvd/demos/verify_start_end_handshape_annotations//test_auto_move//signs_mov_separ_signers/Naomi_224.mov","MOV")</f>
        <v>21</v>
      </c>
      <c r="M1034" t="s" s="10">
        <v>29</v>
      </c>
      <c r="N1034" s="17">
        <v>25</v>
      </c>
      <c r="O1034" s="18">
        <v>910</v>
      </c>
      <c r="P1034" s="18">
        <v>942</v>
      </c>
      <c r="Q1034" s="15"/>
      <c r="R1034" t="s" s="16">
        <f>HYPERLINK("http://secrets.rutgers.edu:8080/data/asl-ftp/asllvd/demos/verify_start_end_handshape_annotations//test_auto_move//signs_mov_separ_signers/Naomi_224.mov","MOV")</f>
        <v>21</v>
      </c>
    </row>
    <row r="1035" s="2" customFormat="1" ht="13.5" customHeight="1">
      <c r="B1035" t="s" s="8">
        <v>52</v>
      </c>
      <c r="C1035" t="s" s="9">
        <v>53</v>
      </c>
      <c r="D1035" t="s" s="8">
        <v>53</v>
      </c>
      <c r="E1035" t="s" s="9">
        <v>53</v>
      </c>
      <c r="F1035" t="s" s="10">
        <v>53</v>
      </c>
      <c r="G1035" t="s" s="11">
        <v>53</v>
      </c>
      <c r="H1035" t="s" s="10">
        <v>53</v>
      </c>
      <c r="I1035" t="s" s="11">
        <v>53</v>
      </c>
      <c r="J1035" t="s" s="11">
        <v>53</v>
      </c>
      <c r="K1035" t="s" s="12">
        <v>53</v>
      </c>
      <c r="L1035" t="s" s="12">
        <v>53</v>
      </c>
      <c r="M1035" t="s" s="10">
        <v>53</v>
      </c>
      <c r="N1035" t="s" s="11">
        <v>53</v>
      </c>
      <c r="O1035" t="s" s="8">
        <v>53</v>
      </c>
      <c r="P1035" t="s" s="8">
        <v>53</v>
      </c>
      <c r="Q1035" t="s" s="12">
        <v>53</v>
      </c>
      <c r="R1035" t="s" s="12">
        <v>53</v>
      </c>
    </row>
    <row r="1036" s="2" customFormat="1" ht="13.5" customHeight="1">
      <c r="B1036" s="13"/>
      <c r="C1036" t="s" s="9">
        <v>16</v>
      </c>
      <c r="D1036" t="s" s="8">
        <v>422</v>
      </c>
      <c r="E1036" t="s" s="9">
        <v>423</v>
      </c>
      <c r="F1036" s="19">
        <v>5</v>
      </c>
      <c r="G1036" t="s" s="11">
        <v>150</v>
      </c>
      <c r="H1036" t="s" s="10">
        <v>187</v>
      </c>
      <c r="I1036" t="s" s="11">
        <v>150</v>
      </c>
      <c r="J1036" t="s" s="11">
        <v>20</v>
      </c>
      <c r="K1036" t="s" s="16">
        <f>HYPERLINK("http://csr.bu.edu/ftp/asl/asllvd/demos/verify_start_end_handshape_annotations//test_auto_move//signs_mov/5535.mov","MOV")</f>
        <v>21</v>
      </c>
      <c r="L1036" t="s" s="16">
        <f>HYPERLINK("http://csr.bu.edu/ftp/asl/asllvd/demos/verify_start_end_handshape_annotations//test_auto_move//signs_mov_separ_signers/Liz_5535.mov","MOV")</f>
        <v>21</v>
      </c>
      <c r="M1036" t="s" s="10">
        <v>22</v>
      </c>
      <c r="N1036" s="17">
        <v>37</v>
      </c>
      <c r="O1036" s="18">
        <v>1495</v>
      </c>
      <c r="P1036" s="18">
        <v>1536</v>
      </c>
      <c r="Q1036" t="s" s="16">
        <f>HYPERLINK("http://secrets.rutgers.edu:8080/data/asl-ftp/asllvd/demos/verify_start_end_handshape_annotations//test_auto_move//signs_mov/5535.mov","MOV")</f>
        <v>21</v>
      </c>
      <c r="R1036" t="s" s="16">
        <f>HYPERLINK("http://secrets.rutgers.edu:8080/data/asl-ftp/asllvd/demos/verify_start_end_handshape_annotations//test_auto_move//signs_mov_separ_signers/Liz_5535.mov","MOV")</f>
        <v>21</v>
      </c>
    </row>
    <row r="1037" s="2" customFormat="1" ht="13.5" customHeight="1">
      <c r="B1037" s="13"/>
      <c r="C1037" t="s" s="9">
        <v>30</v>
      </c>
      <c r="D1037" t="s" s="8">
        <v>422</v>
      </c>
      <c r="E1037" t="s" s="9">
        <v>423</v>
      </c>
      <c r="F1037" s="19">
        <v>5</v>
      </c>
      <c r="G1037" t="s" s="11">
        <v>150</v>
      </c>
      <c r="H1037" t="s" s="10">
        <v>187</v>
      </c>
      <c r="I1037" t="s" s="11">
        <v>150</v>
      </c>
      <c r="J1037" t="s" s="11">
        <v>20</v>
      </c>
      <c r="K1037" s="15"/>
      <c r="L1037" t="s" s="16">
        <f>HYPERLINK("http://csr.bu.edu/ftp/asl/asllvd/demos/verify_start_end_handshape_annotations//test_auto_move//signs_mov_separ_signers/Brady_5535.mov","MOV")</f>
        <v>21</v>
      </c>
      <c r="M1037" t="s" s="10">
        <v>31</v>
      </c>
      <c r="N1037" s="17">
        <v>18</v>
      </c>
      <c r="O1037" s="18">
        <v>6043</v>
      </c>
      <c r="P1037" s="18">
        <v>6078</v>
      </c>
      <c r="Q1037" s="15"/>
      <c r="R1037" t="s" s="16">
        <f>HYPERLINK("http://secrets.rutgers.edu:8080/data/asl-ftp/asllvd/demos/verify_start_end_handshape_annotations//test_auto_move//signs_mov_separ_signers/Brady_5535.mov","MOV")</f>
        <v>21</v>
      </c>
    </row>
    <row r="1038" s="2" customFormat="1" ht="13.5" customHeight="1">
      <c r="B1038" t="s" s="8">
        <v>424</v>
      </c>
      <c r="C1038" t="s" s="9">
        <v>14</v>
      </c>
      <c r="D1038" t="s" s="8">
        <v>14</v>
      </c>
      <c r="E1038" t="s" s="9">
        <v>14</v>
      </c>
      <c r="F1038" t="s" s="10">
        <v>14</v>
      </c>
      <c r="G1038" t="s" s="11">
        <v>14</v>
      </c>
      <c r="H1038" t="s" s="10">
        <v>14</v>
      </c>
      <c r="I1038" t="s" s="11">
        <v>14</v>
      </c>
      <c r="J1038" t="s" s="11">
        <v>14</v>
      </c>
      <c r="K1038" t="s" s="12">
        <v>14</v>
      </c>
      <c r="L1038" t="s" s="12">
        <v>14</v>
      </c>
      <c r="M1038" t="s" s="10">
        <v>14</v>
      </c>
      <c r="N1038" t="s" s="11">
        <v>14</v>
      </c>
      <c r="O1038" t="s" s="8">
        <v>14</v>
      </c>
      <c r="P1038" t="s" s="8">
        <v>14</v>
      </c>
      <c r="Q1038" t="s" s="12">
        <v>14</v>
      </c>
      <c r="R1038" t="s" s="12">
        <v>14</v>
      </c>
    </row>
    <row r="1039" s="2" customFormat="1" ht="13.5" customHeight="1">
      <c r="B1039" s="13"/>
      <c r="C1039" t="s" s="9">
        <v>16</v>
      </c>
      <c r="D1039" t="s" s="8">
        <v>424</v>
      </c>
      <c r="E1039" t="s" s="9">
        <v>424</v>
      </c>
      <c r="F1039" t="s" s="10">
        <v>342</v>
      </c>
      <c r="G1039" s="14"/>
      <c r="H1039" t="s" s="10">
        <v>342</v>
      </c>
      <c r="I1039" s="14"/>
      <c r="J1039" t="s" s="11">
        <v>20</v>
      </c>
      <c r="K1039" t="s" s="16">
        <f>HYPERLINK("http://csr.bu.edu/ftp/asl/asllvd/demos/verify_start_end_handshape_annotations//test_auto_move//signs_mov/229.mov","MOV")</f>
        <v>21</v>
      </c>
      <c r="L1039" t="s" s="16">
        <f>HYPERLINK("http://csr.bu.edu/ftp/asl/asllvd/demos/verify_start_end_handshape_annotations//test_auto_move//signs_mov_separ_signers/Liz_229.mov","MOV")</f>
        <v>21</v>
      </c>
      <c r="M1039" t="s" s="10">
        <v>22</v>
      </c>
      <c r="N1039" s="17">
        <v>38</v>
      </c>
      <c r="O1039" s="18">
        <v>1395</v>
      </c>
      <c r="P1039" s="18">
        <v>1426</v>
      </c>
      <c r="Q1039" t="s" s="16">
        <f>HYPERLINK("http://secrets.rutgers.edu:8080/data/asl-ftp/asllvd/demos/verify_start_end_handshape_annotations//test_auto_move//signs_mov/229.mov","MOV")</f>
        <v>21</v>
      </c>
      <c r="R1039" t="s" s="16">
        <f>HYPERLINK("http://secrets.rutgers.edu:8080/data/asl-ftp/asllvd/demos/verify_start_end_handshape_annotations//test_auto_move//signs_mov_separ_signers/Liz_229.mov","MOV")</f>
        <v>21</v>
      </c>
    </row>
    <row r="1040" s="2" customFormat="1" ht="13.5" customHeight="1">
      <c r="B1040" s="13"/>
      <c r="C1040" t="s" s="9">
        <v>27</v>
      </c>
      <c r="D1040" t="s" s="8">
        <v>424</v>
      </c>
      <c r="E1040" t="s" s="9">
        <v>424</v>
      </c>
      <c r="F1040" t="s" s="10">
        <v>425</v>
      </c>
      <c r="G1040" s="14"/>
      <c r="H1040" t="s" s="10">
        <v>425</v>
      </c>
      <c r="I1040" s="14"/>
      <c r="J1040" t="s" s="11">
        <v>20</v>
      </c>
      <c r="K1040" s="15"/>
      <c r="L1040" t="s" s="16">
        <f>HYPERLINK("http://csr.bu.edu/ftp/asl/asllvd/demos/verify_start_end_handshape_annotations//test_auto_move//signs_mov_separ_signers/Naomi_229.mov","MOV")</f>
        <v>21</v>
      </c>
      <c r="M1040" t="s" s="10">
        <v>29</v>
      </c>
      <c r="N1040" s="17">
        <v>25</v>
      </c>
      <c r="O1040" s="18">
        <v>2915</v>
      </c>
      <c r="P1040" s="18">
        <v>2937</v>
      </c>
      <c r="Q1040" s="15"/>
      <c r="R1040" t="s" s="16">
        <f>HYPERLINK("http://secrets.rutgers.edu:8080/data/asl-ftp/asllvd/demos/verify_start_end_handshape_annotations//test_auto_move//signs_mov_separ_signers/Naomi_229.mov","MOV")</f>
        <v>21</v>
      </c>
    </row>
    <row r="1041" s="2" customFormat="1" ht="13.5" customHeight="1">
      <c r="B1041" t="s" s="8">
        <v>426</v>
      </c>
      <c r="C1041" t="s" s="9">
        <v>14</v>
      </c>
      <c r="D1041" t="s" s="8">
        <v>14</v>
      </c>
      <c r="E1041" t="s" s="9">
        <v>14</v>
      </c>
      <c r="F1041" t="s" s="10">
        <v>14</v>
      </c>
      <c r="G1041" t="s" s="11">
        <v>14</v>
      </c>
      <c r="H1041" t="s" s="10">
        <v>14</v>
      </c>
      <c r="I1041" t="s" s="11">
        <v>14</v>
      </c>
      <c r="J1041" t="s" s="11">
        <v>14</v>
      </c>
      <c r="K1041" t="s" s="12">
        <v>14</v>
      </c>
      <c r="L1041" t="s" s="12">
        <v>14</v>
      </c>
      <c r="M1041" t="s" s="10">
        <v>14</v>
      </c>
      <c r="N1041" t="s" s="11">
        <v>14</v>
      </c>
      <c r="O1041" t="s" s="8">
        <v>14</v>
      </c>
      <c r="P1041" t="s" s="8">
        <v>14</v>
      </c>
      <c r="Q1041" t="s" s="12">
        <v>14</v>
      </c>
      <c r="R1041" t="s" s="12">
        <v>14</v>
      </c>
    </row>
    <row r="1042" s="2" customFormat="1" ht="13.5" customHeight="1">
      <c r="B1042" s="13"/>
      <c r="C1042" t="s" s="9">
        <v>30</v>
      </c>
      <c r="D1042" t="s" s="8">
        <v>426</v>
      </c>
      <c r="E1042" t="s" s="9">
        <v>426</v>
      </c>
      <c r="F1042" t="s" s="10">
        <v>55</v>
      </c>
      <c r="G1042" s="14"/>
      <c r="H1042" t="s" s="10">
        <v>337</v>
      </c>
      <c r="I1042" s="14"/>
      <c r="J1042" t="s" s="11">
        <v>20</v>
      </c>
      <c r="K1042" t="s" s="16">
        <f>HYPERLINK("http://csr.bu.edu/ftp/asl/asllvd/demos/verify_start_end_handshape_annotations//test_auto_move//signs_mov/15039.mov","MOV")</f>
        <v>21</v>
      </c>
      <c r="L1042" t="s" s="16">
        <f>HYPERLINK("http://csr.bu.edu/ftp/asl/asllvd/demos/verify_start_end_handshape_annotations//test_auto_move//signs_mov_separ_signers/Brady_15039.mov","MOV")</f>
        <v>21</v>
      </c>
      <c r="M1042" t="s" s="10">
        <v>31</v>
      </c>
      <c r="N1042" s="17">
        <v>18</v>
      </c>
      <c r="O1042" s="18">
        <v>8333</v>
      </c>
      <c r="P1042" s="18">
        <v>8376</v>
      </c>
      <c r="Q1042" t="s" s="16">
        <f>HYPERLINK("http://secrets.rutgers.edu:8080/data/asl-ftp/asllvd/demos/verify_start_end_handshape_annotations//test_auto_move//signs_mov/15039.mov","MOV")</f>
        <v>21</v>
      </c>
      <c r="R1042" t="s" s="16">
        <f>HYPERLINK("http://secrets.rutgers.edu:8080/data/asl-ftp/asllvd/demos/verify_start_end_handshape_annotations//test_auto_move//signs_mov_separ_signers/Brady_15039.mov","MOV")</f>
        <v>21</v>
      </c>
    </row>
    <row r="1043" s="2" customFormat="1" ht="13.5" customHeight="1">
      <c r="B1043" t="s" s="8">
        <v>427</v>
      </c>
      <c r="C1043" t="s" s="9">
        <v>14</v>
      </c>
      <c r="D1043" t="s" s="8">
        <v>14</v>
      </c>
      <c r="E1043" t="s" s="9">
        <v>14</v>
      </c>
      <c r="F1043" t="s" s="10">
        <v>14</v>
      </c>
      <c r="G1043" t="s" s="11">
        <v>14</v>
      </c>
      <c r="H1043" t="s" s="10">
        <v>14</v>
      </c>
      <c r="I1043" t="s" s="11">
        <v>14</v>
      </c>
      <c r="J1043" t="s" s="11">
        <v>14</v>
      </c>
      <c r="K1043" t="s" s="12">
        <v>14</v>
      </c>
      <c r="L1043" t="s" s="12">
        <v>14</v>
      </c>
      <c r="M1043" t="s" s="10">
        <v>14</v>
      </c>
      <c r="N1043" t="s" s="11">
        <v>14</v>
      </c>
      <c r="O1043" t="s" s="8">
        <v>14</v>
      </c>
      <c r="P1043" t="s" s="8">
        <v>14</v>
      </c>
      <c r="Q1043" t="s" s="12">
        <v>14</v>
      </c>
      <c r="R1043" t="s" s="12">
        <v>14</v>
      </c>
    </row>
    <row r="1044" s="2" customFormat="1" ht="13.5" customHeight="1">
      <c r="B1044" s="13"/>
      <c r="C1044" t="s" s="9">
        <v>16</v>
      </c>
      <c r="D1044" t="s" s="8">
        <v>427</v>
      </c>
      <c r="E1044" t="s" s="9">
        <v>427</v>
      </c>
      <c r="F1044" t="s" s="10">
        <v>55</v>
      </c>
      <c r="G1044" s="14"/>
      <c r="H1044" t="s" s="10">
        <v>55</v>
      </c>
      <c r="I1044" s="14"/>
      <c r="J1044" t="s" s="11">
        <v>20</v>
      </c>
      <c r="K1044" t="s" s="16">
        <f>HYPERLINK("http://csr.bu.edu/ftp/asl/asllvd/demos/verify_start_end_handshape_annotations//test_auto_move//signs_mov/231.mov","MOV")</f>
        <v>21</v>
      </c>
      <c r="L1044" t="s" s="16">
        <f>HYPERLINK("http://csr.bu.edu/ftp/asl/asllvd/demos/verify_start_end_handshape_annotations//test_auto_move//signs_mov_separ_signers/Liz_231.mov","MOV")</f>
        <v>21</v>
      </c>
      <c r="M1044" t="s" s="10">
        <v>22</v>
      </c>
      <c r="N1044" s="17">
        <v>39</v>
      </c>
      <c r="O1044" s="18">
        <v>310</v>
      </c>
      <c r="P1044" s="18">
        <v>345</v>
      </c>
      <c r="Q1044" t="s" s="16">
        <f>HYPERLINK("http://secrets.rutgers.edu:8080/data/asl-ftp/asllvd/demos/verify_start_end_handshape_annotations//test_auto_move//signs_mov/231.mov","MOV")</f>
        <v>21</v>
      </c>
      <c r="R1044" t="s" s="16">
        <f>HYPERLINK("http://secrets.rutgers.edu:8080/data/asl-ftp/asllvd/demos/verify_start_end_handshape_annotations//test_auto_move//signs_mov_separ_signers/Liz_231.mov","MOV")</f>
        <v>21</v>
      </c>
    </row>
    <row r="1045" s="2" customFormat="1" ht="13.5" customHeight="1">
      <c r="B1045" s="13"/>
      <c r="C1045" t="s" s="9">
        <v>30</v>
      </c>
      <c r="D1045" t="s" s="8">
        <v>427</v>
      </c>
      <c r="E1045" t="s" s="9">
        <v>427</v>
      </c>
      <c r="F1045" t="s" s="10">
        <v>55</v>
      </c>
      <c r="G1045" s="14"/>
      <c r="H1045" t="s" s="10">
        <v>55</v>
      </c>
      <c r="I1045" s="14"/>
      <c r="J1045" t="s" s="11">
        <v>20</v>
      </c>
      <c r="K1045" s="15"/>
      <c r="L1045" t="s" s="16">
        <f>HYPERLINK("http://csr.bu.edu/ftp/asl/asllvd/demos/verify_start_end_handshape_annotations//test_auto_move//signs_mov_separ_signers/Brady_231.mov","MOV")</f>
        <v>21</v>
      </c>
      <c r="M1045" t="s" s="10">
        <v>31</v>
      </c>
      <c r="N1045" s="17">
        <v>18</v>
      </c>
      <c r="O1045" s="18">
        <v>14120</v>
      </c>
      <c r="P1045" s="18">
        <v>14141</v>
      </c>
      <c r="Q1045" s="15"/>
      <c r="R1045" t="s" s="16">
        <f>HYPERLINK("http://secrets.rutgers.edu:8080/data/asl-ftp/asllvd/demos/verify_start_end_handshape_annotations//test_auto_move//signs_mov_separ_signers/Brady_231.mov","MOV")</f>
        <v>21</v>
      </c>
    </row>
    <row r="1046" s="2" customFormat="1" ht="13.5" customHeight="1">
      <c r="B1046" t="s" s="8">
        <v>428</v>
      </c>
      <c r="C1046" t="s" s="9">
        <v>14</v>
      </c>
      <c r="D1046" t="s" s="8">
        <v>14</v>
      </c>
      <c r="E1046" t="s" s="9">
        <v>14</v>
      </c>
      <c r="F1046" t="s" s="10">
        <v>14</v>
      </c>
      <c r="G1046" t="s" s="11">
        <v>14</v>
      </c>
      <c r="H1046" t="s" s="10">
        <v>14</v>
      </c>
      <c r="I1046" t="s" s="11">
        <v>14</v>
      </c>
      <c r="J1046" t="s" s="11">
        <v>14</v>
      </c>
      <c r="K1046" t="s" s="12">
        <v>14</v>
      </c>
      <c r="L1046" t="s" s="12">
        <v>14</v>
      </c>
      <c r="M1046" t="s" s="10">
        <v>14</v>
      </c>
      <c r="N1046" t="s" s="11">
        <v>14</v>
      </c>
      <c r="O1046" t="s" s="8">
        <v>14</v>
      </c>
      <c r="P1046" t="s" s="8">
        <v>14</v>
      </c>
      <c r="Q1046" t="s" s="12">
        <v>14</v>
      </c>
      <c r="R1046" t="s" s="12">
        <v>14</v>
      </c>
    </row>
    <row r="1047" s="2" customFormat="1" ht="13.5" customHeight="1">
      <c r="B1047" s="13"/>
      <c r="C1047" t="s" s="9">
        <v>16</v>
      </c>
      <c r="D1047" t="s" s="8">
        <v>428</v>
      </c>
      <c r="E1047" t="s" s="9">
        <v>428</v>
      </c>
      <c r="F1047" t="s" s="10">
        <v>68</v>
      </c>
      <c r="G1047" t="s" s="11">
        <v>73</v>
      </c>
      <c r="H1047" t="s" s="10">
        <v>68</v>
      </c>
      <c r="I1047" t="s" s="11">
        <v>73</v>
      </c>
      <c r="J1047" t="s" s="11">
        <v>20</v>
      </c>
      <c r="K1047" t="s" s="16">
        <f>HYPERLINK("http://csr.bu.edu/ftp/asl/asllvd/demos/verify_start_end_handshape_annotations//test_auto_move//signs_mov/234.mov","MOV")</f>
        <v>21</v>
      </c>
      <c r="L1047" t="s" s="16">
        <f>HYPERLINK("http://csr.bu.edu/ftp/asl/asllvd/demos/verify_start_end_handshape_annotations//test_auto_move//signs_mov_separ_signers/Liz_234.mov","MOV")</f>
        <v>21</v>
      </c>
      <c r="M1047" t="s" s="10">
        <v>22</v>
      </c>
      <c r="N1047" s="17">
        <v>39</v>
      </c>
      <c r="O1047" s="18">
        <v>950</v>
      </c>
      <c r="P1047" s="18">
        <v>991</v>
      </c>
      <c r="Q1047" t="s" s="16">
        <f>HYPERLINK("http://secrets.rutgers.edu:8080/data/asl-ftp/asllvd/demos/verify_start_end_handshape_annotations//test_auto_move//signs_mov/234.mov","MOV")</f>
        <v>21</v>
      </c>
      <c r="R1047" t="s" s="16">
        <f>HYPERLINK("http://secrets.rutgers.edu:8080/data/asl-ftp/asllvd/demos/verify_start_end_handshape_annotations//test_auto_move//signs_mov_separ_signers/Liz_234.mov","MOV")</f>
        <v>21</v>
      </c>
    </row>
    <row r="1048" s="2" customFormat="1" ht="13.5" customHeight="1">
      <c r="B1048" s="13"/>
      <c r="C1048" t="s" s="9">
        <v>30</v>
      </c>
      <c r="D1048" t="s" s="8">
        <v>428</v>
      </c>
      <c r="E1048" t="s" s="9">
        <v>428</v>
      </c>
      <c r="F1048" t="s" s="10">
        <v>68</v>
      </c>
      <c r="G1048" t="s" s="11">
        <v>73</v>
      </c>
      <c r="H1048" t="s" s="10">
        <v>68</v>
      </c>
      <c r="I1048" t="s" s="11">
        <v>73</v>
      </c>
      <c r="J1048" t="s" s="11">
        <v>20</v>
      </c>
      <c r="K1048" s="15"/>
      <c r="L1048" t="s" s="16">
        <f>HYPERLINK("http://csr.bu.edu/ftp/asl/asllvd/demos/verify_start_end_handshape_annotations//test_auto_move//signs_mov_separ_signers/Brady_234.mov","MOV")</f>
        <v>21</v>
      </c>
      <c r="M1048" t="s" s="10">
        <v>31</v>
      </c>
      <c r="N1048" s="17">
        <v>19</v>
      </c>
      <c r="O1048" s="18">
        <v>2293</v>
      </c>
      <c r="P1048" s="18">
        <v>2338</v>
      </c>
      <c r="Q1048" s="15"/>
      <c r="R1048" t="s" s="16">
        <f>HYPERLINK("http://secrets.rutgers.edu:8080/data/asl-ftp/asllvd/demos/verify_start_end_handshape_annotations//test_auto_move//signs_mov_separ_signers/Brady_234.mov","MOV")</f>
        <v>21</v>
      </c>
    </row>
    <row r="1049" s="2" customFormat="1" ht="13.5" customHeight="1">
      <c r="B1049" t="s" s="8">
        <v>429</v>
      </c>
      <c r="C1049" t="s" s="9">
        <v>14</v>
      </c>
      <c r="D1049" t="s" s="8">
        <v>14</v>
      </c>
      <c r="E1049" t="s" s="9">
        <v>14</v>
      </c>
      <c r="F1049" t="s" s="10">
        <v>14</v>
      </c>
      <c r="G1049" t="s" s="11">
        <v>14</v>
      </c>
      <c r="H1049" t="s" s="10">
        <v>14</v>
      </c>
      <c r="I1049" t="s" s="11">
        <v>14</v>
      </c>
      <c r="J1049" t="s" s="11">
        <v>14</v>
      </c>
      <c r="K1049" t="s" s="12">
        <v>14</v>
      </c>
      <c r="L1049" t="s" s="12">
        <v>14</v>
      </c>
      <c r="M1049" t="s" s="10">
        <v>14</v>
      </c>
      <c r="N1049" t="s" s="11">
        <v>14</v>
      </c>
      <c r="O1049" t="s" s="8">
        <v>14</v>
      </c>
      <c r="P1049" t="s" s="8">
        <v>14</v>
      </c>
      <c r="Q1049" t="s" s="12">
        <v>14</v>
      </c>
      <c r="R1049" t="s" s="12">
        <v>14</v>
      </c>
    </row>
    <row r="1050" s="2" customFormat="1" ht="13.5" customHeight="1">
      <c r="B1050" s="13"/>
      <c r="C1050" t="s" s="9">
        <v>16</v>
      </c>
      <c r="D1050" t="s" s="8">
        <v>429</v>
      </c>
      <c r="E1050" t="s" s="9">
        <v>429</v>
      </c>
      <c r="F1050" t="s" s="10">
        <v>430</v>
      </c>
      <c r="G1050" t="s" s="11">
        <v>430</v>
      </c>
      <c r="H1050" s="19">
        <v>8</v>
      </c>
      <c r="I1050" s="17">
        <v>8</v>
      </c>
      <c r="J1050" t="s" s="11">
        <v>20</v>
      </c>
      <c r="K1050" s="15"/>
      <c r="L1050" t="s" s="16">
        <f>HYPERLINK("http://csr.bu.edu/ftp/asl/asllvd/demos/verify_start_end_handshape_annotations//test_auto_move//signs_mov_separ_signers/Liz_236.mov","MOV")</f>
        <v>21</v>
      </c>
      <c r="M1050" t="s" s="10">
        <v>22</v>
      </c>
      <c r="N1050" s="17">
        <v>39</v>
      </c>
      <c r="O1050" s="18">
        <v>1525</v>
      </c>
      <c r="P1050" s="18">
        <v>1560</v>
      </c>
      <c r="Q1050" s="15"/>
      <c r="R1050" t="s" s="16">
        <f>HYPERLINK("http://secrets.rutgers.edu:8080/data/asl-ftp/asllvd/demos/verify_start_end_handshape_annotations//test_auto_move//signs_mov_separ_signers/Liz_236.mov","MOV")</f>
        <v>21</v>
      </c>
    </row>
    <row r="1051" s="2" customFormat="1" ht="13.5" customHeight="1">
      <c r="B1051" s="13"/>
      <c r="C1051" t="s" s="9">
        <v>16</v>
      </c>
      <c r="D1051" t="s" s="8">
        <v>429</v>
      </c>
      <c r="E1051" t="s" s="9">
        <v>429</v>
      </c>
      <c r="F1051" s="19">
        <v>25</v>
      </c>
      <c r="G1051" s="17">
        <v>25</v>
      </c>
      <c r="H1051" s="19">
        <v>8</v>
      </c>
      <c r="I1051" s="17">
        <v>8</v>
      </c>
      <c r="J1051" t="s" s="11">
        <v>20</v>
      </c>
      <c r="K1051" s="15"/>
      <c r="L1051" t="s" s="16">
        <f>HYPERLINK("http://csr.bu.edu/ftp/asl/asllvd/demos/verify_start_end_handshape_annotations//test_auto_move//signs_mov_separ_signers/Liz_3596.mov","MOV")</f>
        <v>21</v>
      </c>
      <c r="M1051" t="s" s="10">
        <v>84</v>
      </c>
      <c r="N1051" s="17">
        <v>3</v>
      </c>
      <c r="O1051" s="18">
        <v>1792</v>
      </c>
      <c r="P1051" s="18">
        <v>1825</v>
      </c>
      <c r="Q1051" s="15"/>
      <c r="R1051" t="s" s="16">
        <f>HYPERLINK("http://secrets.rutgers.edu:8080/data/asl-ftp/asllvd/demos/verify_start_end_handshape_annotations//test_auto_move//signs_mov_separ_signers/Liz_3596.mov","MOV")</f>
        <v>21</v>
      </c>
    </row>
    <row r="1052" s="2" customFormat="1" ht="13.5" customHeight="1">
      <c r="B1052" s="13"/>
      <c r="C1052" t="s" s="9">
        <v>23</v>
      </c>
      <c r="D1052" t="s" s="8">
        <v>429</v>
      </c>
      <c r="E1052" t="s" s="9">
        <v>429</v>
      </c>
      <c r="F1052" s="19">
        <v>5</v>
      </c>
      <c r="G1052" s="17">
        <v>5</v>
      </c>
      <c r="H1052" s="19">
        <v>8</v>
      </c>
      <c r="I1052" s="17">
        <v>8</v>
      </c>
      <c r="J1052" t="s" s="11">
        <v>20</v>
      </c>
      <c r="K1052" s="15"/>
      <c r="L1052" t="s" s="16">
        <f>HYPERLINK("http://csr.bu.edu/ftp/asl/asllvd/demos/verify_start_end_handshape_annotations//test_auto_move//signs_mov_separ_signers/Tyler_236.mov","MOV")</f>
        <v>21</v>
      </c>
      <c r="M1052" t="s" s="10">
        <v>125</v>
      </c>
      <c r="N1052" s="17">
        <v>3</v>
      </c>
      <c r="O1052" s="18">
        <v>1307</v>
      </c>
      <c r="P1052" s="18">
        <v>1335</v>
      </c>
      <c r="Q1052" s="15"/>
      <c r="R1052" t="s" s="16">
        <f>HYPERLINK("http://secrets.rutgers.edu:8080/data/asl-ftp/asllvd/demos/verify_start_end_handshape_annotations//test_auto_move//signs_mov_separ_signers/Tyler_236.mov","MOV")</f>
        <v>21</v>
      </c>
    </row>
    <row r="1053" s="2" customFormat="1" ht="13.5" customHeight="1">
      <c r="B1053" s="13"/>
      <c r="C1053" t="s" s="9">
        <v>27</v>
      </c>
      <c r="D1053" t="s" s="8">
        <v>429</v>
      </c>
      <c r="E1053" t="s" s="9">
        <v>429</v>
      </c>
      <c r="F1053" t="s" s="10">
        <v>430</v>
      </c>
      <c r="G1053" t="s" s="11">
        <v>430</v>
      </c>
      <c r="H1053" s="19">
        <v>8</v>
      </c>
      <c r="I1053" s="17">
        <v>8</v>
      </c>
      <c r="J1053" t="s" s="11">
        <v>20</v>
      </c>
      <c r="K1053" t="s" s="16">
        <f>HYPERLINK("http://csr.bu.edu/ftp/asl/asllvd/demos/verify_start_end_handshape_annotations//test_auto_move//signs_mov/236_3596_merged.mov","MOV")</f>
        <v>21</v>
      </c>
      <c r="L1053" t="s" s="16">
        <f>HYPERLINK("http://csr.bu.edu/ftp/asl/asllvd/demos/verify_start_end_handshape_annotations//test_auto_move//signs_mov_separ_signers/Naomi_236.mov","MOV")</f>
        <v>21</v>
      </c>
      <c r="M1053" t="s" s="10">
        <v>29</v>
      </c>
      <c r="N1053" s="17">
        <v>26</v>
      </c>
      <c r="O1053" s="18">
        <v>1781</v>
      </c>
      <c r="P1053" s="18">
        <v>1822</v>
      </c>
      <c r="Q1053" t="s" s="16">
        <f>HYPERLINK("http://secrets.rutgers.edu:8080/data/asl-ftp/asllvd/demos/verify_start_end_handshape_annotations//test_auto_move//signs_mov/236_3596_merged.mov","MOV")</f>
        <v>21</v>
      </c>
      <c r="R1053" t="s" s="16">
        <f>HYPERLINK("http://secrets.rutgers.edu:8080/data/asl-ftp/asllvd/demos/verify_start_end_handshape_annotations//test_auto_move//signs_mov_separ_signers/Naomi_236.mov","MOV")</f>
        <v>21</v>
      </c>
    </row>
    <row r="1054" s="2" customFormat="1" ht="13.5" customHeight="1">
      <c r="B1054" s="13"/>
      <c r="C1054" t="s" s="9">
        <v>27</v>
      </c>
      <c r="D1054" t="s" s="8">
        <v>429</v>
      </c>
      <c r="E1054" t="s" s="9">
        <v>429</v>
      </c>
      <c r="F1054" t="s" s="10">
        <v>430</v>
      </c>
      <c r="G1054" t="s" s="11">
        <v>430</v>
      </c>
      <c r="H1054" s="19">
        <v>8</v>
      </c>
      <c r="I1054" s="17">
        <v>8</v>
      </c>
      <c r="J1054" t="s" s="11">
        <v>20</v>
      </c>
      <c r="K1054" s="15"/>
      <c r="L1054" t="s" s="16">
        <f>HYPERLINK("http://csr.bu.edu/ftp/asl/asllvd/demos/verify_start_end_handshape_annotations//test_auto_move//signs_mov_separ_signers/Naomi_3596.mov","MOV")</f>
        <v>21</v>
      </c>
      <c r="M1054" t="s" s="10">
        <v>86</v>
      </c>
      <c r="N1054" s="17">
        <v>3</v>
      </c>
      <c r="O1054" s="18">
        <v>1310</v>
      </c>
      <c r="P1054" s="18">
        <v>1335</v>
      </c>
      <c r="Q1054" s="15"/>
      <c r="R1054" t="s" s="16">
        <f>HYPERLINK("http://secrets.rutgers.edu:8080/data/asl-ftp/asllvd/demos/verify_start_end_handshape_annotations//test_auto_move//signs_mov_separ_signers/Naomi_3596.mov","MOV")</f>
        <v>21</v>
      </c>
    </row>
    <row r="1055" s="2" customFormat="1" ht="13.5" customHeight="1">
      <c r="B1055" s="13"/>
      <c r="C1055" t="s" s="9">
        <v>30</v>
      </c>
      <c r="D1055" t="s" s="8">
        <v>429</v>
      </c>
      <c r="E1055" t="s" s="9">
        <v>429</v>
      </c>
      <c r="F1055" t="s" s="10">
        <v>72</v>
      </c>
      <c r="G1055" t="s" s="11">
        <v>72</v>
      </c>
      <c r="H1055" s="19">
        <v>8</v>
      </c>
      <c r="I1055" s="17">
        <v>8</v>
      </c>
      <c r="J1055" t="s" s="11">
        <v>20</v>
      </c>
      <c r="K1055" s="15"/>
      <c r="L1055" t="s" s="16">
        <f>HYPERLINK("http://csr.bu.edu/ftp/asl/asllvd/demos/verify_start_end_handshape_annotations//test_auto_move//signs_mov_separ_signers/Brady_236.mov","MOV")</f>
        <v>21</v>
      </c>
      <c r="M1055" t="s" s="10">
        <v>31</v>
      </c>
      <c r="N1055" s="17">
        <v>19</v>
      </c>
      <c r="O1055" s="18">
        <v>4345</v>
      </c>
      <c r="P1055" s="18">
        <v>4364</v>
      </c>
      <c r="Q1055" s="15"/>
      <c r="R1055" t="s" s="16">
        <f>HYPERLINK("http://secrets.rutgers.edu:8080/data/asl-ftp/asllvd/demos/verify_start_end_handshape_annotations//test_auto_move//signs_mov_separ_signers/Brady_236.mov","MOV")</f>
        <v>21</v>
      </c>
    </row>
    <row r="1056" s="2" customFormat="1" ht="13.5" customHeight="1">
      <c r="B1056" s="13"/>
      <c r="C1056" t="s" s="9">
        <v>30</v>
      </c>
      <c r="D1056" t="s" s="8">
        <v>429</v>
      </c>
      <c r="E1056" t="s" s="9">
        <v>429</v>
      </c>
      <c r="F1056" s="19">
        <v>25</v>
      </c>
      <c r="G1056" s="17">
        <v>25</v>
      </c>
      <c r="H1056" s="19">
        <v>8</v>
      </c>
      <c r="I1056" s="17">
        <v>8</v>
      </c>
      <c r="J1056" t="s" s="11">
        <v>20</v>
      </c>
      <c r="K1056" s="15"/>
      <c r="L1056" t="s" s="16">
        <f>HYPERLINK("http://csr.bu.edu/ftp/asl/asllvd/demos/verify_start_end_handshape_annotations//test_auto_move//signs_mov_separ_signers/Brady_3596.mov","MOV")</f>
        <v>21</v>
      </c>
      <c r="M1056" t="s" s="10">
        <v>31</v>
      </c>
      <c r="N1056" s="17">
        <v>29</v>
      </c>
      <c r="O1056" s="18">
        <v>15878</v>
      </c>
      <c r="P1056" s="18">
        <v>15897</v>
      </c>
      <c r="Q1056" s="15"/>
      <c r="R1056" t="s" s="16">
        <f>HYPERLINK("http://secrets.rutgers.edu:8080/data/asl-ftp/asllvd/demos/verify_start_end_handshape_annotations//test_auto_move//signs_mov_separ_signers/Brady_3596.mov","MOV")</f>
        <v>21</v>
      </c>
    </row>
    <row r="1057" s="2" customFormat="1" ht="13.5" customHeight="1">
      <c r="B1057" t="s" s="8">
        <v>52</v>
      </c>
      <c r="C1057" t="s" s="9">
        <v>53</v>
      </c>
      <c r="D1057" t="s" s="8">
        <v>53</v>
      </c>
      <c r="E1057" t="s" s="9">
        <v>53</v>
      </c>
      <c r="F1057" t="s" s="10">
        <v>53</v>
      </c>
      <c r="G1057" t="s" s="11">
        <v>53</v>
      </c>
      <c r="H1057" t="s" s="10">
        <v>53</v>
      </c>
      <c r="I1057" t="s" s="11">
        <v>53</v>
      </c>
      <c r="J1057" t="s" s="11">
        <v>53</v>
      </c>
      <c r="K1057" t="s" s="12">
        <v>53</v>
      </c>
      <c r="L1057" t="s" s="12">
        <v>53</v>
      </c>
      <c r="M1057" t="s" s="10">
        <v>53</v>
      </c>
      <c r="N1057" t="s" s="11">
        <v>53</v>
      </c>
      <c r="O1057" t="s" s="8">
        <v>53</v>
      </c>
      <c r="P1057" t="s" s="8">
        <v>53</v>
      </c>
      <c r="Q1057" t="s" s="12">
        <v>53</v>
      </c>
      <c r="R1057" t="s" s="12">
        <v>53</v>
      </c>
    </row>
    <row r="1058" s="2" customFormat="1" ht="13.5" customHeight="1">
      <c r="B1058" s="13"/>
      <c r="C1058" t="s" s="9">
        <v>16</v>
      </c>
      <c r="D1058" t="s" s="8">
        <v>429</v>
      </c>
      <c r="E1058" t="s" s="9">
        <v>431</v>
      </c>
      <c r="F1058" t="s" s="10">
        <v>185</v>
      </c>
      <c r="G1058" t="s" s="11">
        <v>185</v>
      </c>
      <c r="H1058" t="s" s="10">
        <v>158</v>
      </c>
      <c r="I1058" t="s" s="11">
        <v>158</v>
      </c>
      <c r="J1058" t="s" s="11">
        <v>20</v>
      </c>
      <c r="K1058" t="s" s="16">
        <f>HYPERLINK("http://csr.bu.edu/ftp/asl/asllvd/demos/verify_start_end_handshape_annotations//test_auto_move//signs_mov/15154.mov","MOV")</f>
        <v>21</v>
      </c>
      <c r="L1058" t="s" s="16">
        <f>HYPERLINK("http://csr.bu.edu/ftp/asl/asllvd/demos/verify_start_end_handshape_annotations//test_auto_move//signs_mov_separ_signers/Liz_15154.mov","MOV")</f>
        <v>21</v>
      </c>
      <c r="M1058" t="s" s="10">
        <v>22</v>
      </c>
      <c r="N1058" s="17">
        <v>39</v>
      </c>
      <c r="O1058" s="18">
        <v>1315</v>
      </c>
      <c r="P1058" s="18">
        <v>1350</v>
      </c>
      <c r="Q1058" t="s" s="16">
        <f>HYPERLINK("http://secrets.rutgers.edu:8080/data/asl-ftp/asllvd/demos/verify_start_end_handshape_annotations//test_auto_move//signs_mov/15154.mov","MOV")</f>
        <v>21</v>
      </c>
      <c r="R1058" t="s" s="16">
        <f>HYPERLINK("http://secrets.rutgers.edu:8080/data/asl-ftp/asllvd/demos/verify_start_end_handshape_annotations//test_auto_move//signs_mov_separ_signers/Liz_15154.mov","MOV")</f>
        <v>21</v>
      </c>
    </row>
    <row r="1059" s="2" customFormat="1" ht="13.5" customHeight="1">
      <c r="B1059" t="s" s="8">
        <v>432</v>
      </c>
      <c r="C1059" t="s" s="9">
        <v>14</v>
      </c>
      <c r="D1059" t="s" s="8">
        <v>14</v>
      </c>
      <c r="E1059" t="s" s="9">
        <v>14</v>
      </c>
      <c r="F1059" t="s" s="10">
        <v>14</v>
      </c>
      <c r="G1059" t="s" s="11">
        <v>14</v>
      </c>
      <c r="H1059" t="s" s="10">
        <v>14</v>
      </c>
      <c r="I1059" t="s" s="11">
        <v>14</v>
      </c>
      <c r="J1059" t="s" s="11">
        <v>14</v>
      </c>
      <c r="K1059" t="s" s="12">
        <v>14</v>
      </c>
      <c r="L1059" t="s" s="12">
        <v>14</v>
      </c>
      <c r="M1059" t="s" s="10">
        <v>14</v>
      </c>
      <c r="N1059" t="s" s="11">
        <v>14</v>
      </c>
      <c r="O1059" t="s" s="8">
        <v>14</v>
      </c>
      <c r="P1059" t="s" s="8">
        <v>14</v>
      </c>
      <c r="Q1059" t="s" s="12">
        <v>14</v>
      </c>
      <c r="R1059" t="s" s="12">
        <v>14</v>
      </c>
    </row>
    <row r="1060" s="2" customFormat="1" ht="13.5" customHeight="1">
      <c r="B1060" s="13"/>
      <c r="C1060" t="s" s="9">
        <v>16</v>
      </c>
      <c r="D1060" t="s" s="8">
        <v>432</v>
      </c>
      <c r="E1060" t="s" s="9">
        <v>432</v>
      </c>
      <c r="F1060" t="s" s="10">
        <v>282</v>
      </c>
      <c r="G1060" t="s" s="11">
        <v>282</v>
      </c>
      <c r="H1060" s="19">
        <v>5</v>
      </c>
      <c r="I1060" s="17">
        <v>5</v>
      </c>
      <c r="J1060" t="s" s="11">
        <v>20</v>
      </c>
      <c r="K1060" s="15"/>
      <c r="L1060" t="s" s="16">
        <f>HYPERLINK("http://csr.bu.edu/ftp/asl/asllvd/demos/verify_start_end_handshape_annotations//test_auto_move//signs_mov_separ_signers/Liz_15189.mov","MOV")</f>
        <v>21</v>
      </c>
      <c r="M1060" t="s" s="10">
        <v>84</v>
      </c>
      <c r="N1060" s="17">
        <v>19</v>
      </c>
      <c r="O1060" s="18">
        <v>1115</v>
      </c>
      <c r="P1060" s="18">
        <v>1146</v>
      </c>
      <c r="Q1060" s="15"/>
      <c r="R1060" t="s" s="16">
        <f>HYPERLINK("http://secrets.rutgers.edu:8080/data/asl-ftp/asllvd/demos/verify_start_end_handshape_annotations//test_auto_move//signs_mov_separ_signers/Liz_15189.mov","MOV")</f>
        <v>21</v>
      </c>
    </row>
    <row r="1061" s="2" customFormat="1" ht="13.5" customHeight="1">
      <c r="B1061" s="13"/>
      <c r="C1061" t="s" s="9">
        <v>16</v>
      </c>
      <c r="D1061" t="s" s="8">
        <v>432</v>
      </c>
      <c r="E1061" t="s" s="9">
        <v>432</v>
      </c>
      <c r="F1061" s="19">
        <v>8</v>
      </c>
      <c r="G1061" s="17">
        <v>8</v>
      </c>
      <c r="H1061" s="19">
        <v>5</v>
      </c>
      <c r="I1061" s="17">
        <v>5</v>
      </c>
      <c r="J1061" t="s" s="11">
        <v>20</v>
      </c>
      <c r="K1061" s="15"/>
      <c r="L1061" t="s" s="16">
        <f>HYPERLINK("http://csr.bu.edu/ftp/asl/asllvd/demos/verify_start_end_handshape_annotations//test_auto_move//signs_mov_separ_signers/Liz_15193.mov","MOV")</f>
        <v>21</v>
      </c>
      <c r="M1061" t="s" s="10">
        <v>36</v>
      </c>
      <c r="N1061" s="17">
        <v>9</v>
      </c>
      <c r="O1061" s="18">
        <v>3070</v>
      </c>
      <c r="P1061" s="18">
        <v>3100</v>
      </c>
      <c r="Q1061" s="15"/>
      <c r="R1061" t="s" s="16">
        <f>HYPERLINK("http://secrets.rutgers.edu:8080/data/asl-ftp/asllvd/demos/verify_start_end_handshape_annotations//test_auto_move//signs_mov_separ_signers/Liz_15193.mov","MOV")</f>
        <v>21</v>
      </c>
    </row>
    <row r="1062" s="2" customFormat="1" ht="13.5" customHeight="1">
      <c r="B1062" s="13"/>
      <c r="C1062" t="s" s="9">
        <v>16</v>
      </c>
      <c r="D1062" t="s" s="8">
        <v>432</v>
      </c>
      <c r="E1062" t="s" s="9">
        <v>432</v>
      </c>
      <c r="F1062" t="s" s="10">
        <v>282</v>
      </c>
      <c r="G1062" t="s" s="11">
        <v>282</v>
      </c>
      <c r="H1062" s="19">
        <v>5</v>
      </c>
      <c r="I1062" s="17">
        <v>5</v>
      </c>
      <c r="J1062" t="s" s="11">
        <v>20</v>
      </c>
      <c r="K1062" s="15"/>
      <c r="L1062" t="s" s="16">
        <f>HYPERLINK("http://csr.bu.edu/ftp/asl/asllvd/demos/verify_start_end_handshape_annotations//test_auto_move//signs_mov_separ_signers/Liz_15203.mov","MOV")</f>
        <v>21</v>
      </c>
      <c r="M1062" t="s" s="10">
        <v>36</v>
      </c>
      <c r="N1062" s="17">
        <v>10</v>
      </c>
      <c r="O1062" s="18">
        <v>1310</v>
      </c>
      <c r="P1062" s="18">
        <v>1350</v>
      </c>
      <c r="Q1062" s="15"/>
      <c r="R1062" t="s" s="16">
        <f>HYPERLINK("http://secrets.rutgers.edu:8080/data/asl-ftp/asllvd/demos/verify_start_end_handshape_annotations//test_auto_move//signs_mov_separ_signers/Liz_15203.mov","MOV")</f>
        <v>21</v>
      </c>
    </row>
    <row r="1063" s="2" customFormat="1" ht="13.5" customHeight="1">
      <c r="B1063" s="13"/>
      <c r="C1063" t="s" s="9">
        <v>23</v>
      </c>
      <c r="D1063" t="s" s="8">
        <v>432</v>
      </c>
      <c r="E1063" t="s" s="9">
        <v>432</v>
      </c>
      <c r="F1063" s="19">
        <v>8</v>
      </c>
      <c r="G1063" s="17">
        <v>8</v>
      </c>
      <c r="H1063" s="19">
        <v>5</v>
      </c>
      <c r="I1063" s="17">
        <v>5</v>
      </c>
      <c r="J1063" t="s" s="11">
        <v>20</v>
      </c>
      <c r="K1063" s="15"/>
      <c r="L1063" t="s" s="16">
        <f>HYPERLINK("http://csr.bu.edu/ftp/asl/asllvd/demos/verify_start_end_handshape_annotations//test_auto_move//signs_mov_separ_signers/Tyler_15189.mov","MOV")</f>
        <v>21</v>
      </c>
      <c r="M1063" t="s" s="10">
        <v>125</v>
      </c>
      <c r="N1063" s="17">
        <v>18</v>
      </c>
      <c r="O1063" s="18">
        <v>948</v>
      </c>
      <c r="P1063" s="18">
        <v>975</v>
      </c>
      <c r="Q1063" s="15"/>
      <c r="R1063" t="s" s="16">
        <f>HYPERLINK("http://secrets.rutgers.edu:8080/data/asl-ftp/asllvd/demos/verify_start_end_handshape_annotations//test_auto_move//signs_mov_separ_signers/Tyler_15189.mov","MOV")</f>
        <v>21</v>
      </c>
    </row>
    <row r="1064" s="2" customFormat="1" ht="13.5" customHeight="1">
      <c r="B1064" s="13"/>
      <c r="C1064" t="s" s="9">
        <v>27</v>
      </c>
      <c r="D1064" t="s" s="8">
        <v>432</v>
      </c>
      <c r="E1064" t="s" s="9">
        <v>432</v>
      </c>
      <c r="F1064" s="19">
        <v>8</v>
      </c>
      <c r="G1064" s="17">
        <v>8</v>
      </c>
      <c r="H1064" s="19">
        <v>25</v>
      </c>
      <c r="I1064" s="17">
        <v>25</v>
      </c>
      <c r="J1064" t="s" s="11">
        <v>20</v>
      </c>
      <c r="K1064" t="s" s="16">
        <f>HYPERLINK("http://csr.bu.edu/ftp/asl/asllvd/demos/verify_start_end_handshape_annotations//test_auto_move//signs_mov/15189_15193_15203_15333_merged.mov","MOV")</f>
        <v>21</v>
      </c>
      <c r="L1064" t="s" s="16">
        <f>HYPERLINK("http://csr.bu.edu/ftp/asl/asllvd/demos/verify_start_end_handshape_annotations//test_auto_move//signs_mov_separ_signers/Naomi_15189.mov","MOV")</f>
        <v>21</v>
      </c>
      <c r="M1064" t="s" s="10">
        <v>86</v>
      </c>
      <c r="N1064" s="17">
        <v>19</v>
      </c>
      <c r="O1064" s="18">
        <v>1371</v>
      </c>
      <c r="P1064" s="18">
        <v>1395</v>
      </c>
      <c r="Q1064" t="s" s="16">
        <f>HYPERLINK("http://secrets.rutgers.edu:8080/data/asl-ftp/asllvd/demos/verify_start_end_handshape_annotations//test_auto_move//signs_mov/15189_15193_15203_15333_merged.mov","MOV")</f>
        <v>21</v>
      </c>
      <c r="R1064" t="s" s="16">
        <f>HYPERLINK("http://secrets.rutgers.edu:8080/data/asl-ftp/asllvd/demos/verify_start_end_handshape_annotations//test_auto_move//signs_mov_separ_signers/Naomi_15189.mov","MOV")</f>
        <v>21</v>
      </c>
    </row>
    <row r="1065" s="2" customFormat="1" ht="13.5" customHeight="1">
      <c r="B1065" s="13"/>
      <c r="C1065" t="s" s="9">
        <v>30</v>
      </c>
      <c r="D1065" t="s" s="8">
        <v>432</v>
      </c>
      <c r="E1065" t="s" s="9">
        <v>432</v>
      </c>
      <c r="F1065" s="19">
        <v>8</v>
      </c>
      <c r="G1065" s="17">
        <v>8</v>
      </c>
      <c r="H1065" s="19">
        <v>5</v>
      </c>
      <c r="I1065" s="17">
        <v>5</v>
      </c>
      <c r="J1065" t="s" s="11">
        <v>20</v>
      </c>
      <c r="K1065" s="15"/>
      <c r="L1065" t="s" s="16">
        <f>HYPERLINK("http://csr.bu.edu/ftp/asl/asllvd/demos/verify_start_end_handshape_annotations//test_auto_move//signs_mov_separ_signers/Brady_15189.mov","MOV")</f>
        <v>21</v>
      </c>
      <c r="M1065" t="s" s="10">
        <v>31</v>
      </c>
      <c r="N1065" s="17">
        <v>35</v>
      </c>
      <c r="O1065" s="18">
        <v>4154</v>
      </c>
      <c r="P1065" s="18">
        <v>4172</v>
      </c>
      <c r="Q1065" s="15"/>
      <c r="R1065" t="s" s="16">
        <f>HYPERLINK("http://secrets.rutgers.edu:8080/data/asl-ftp/asllvd/demos/verify_start_end_handshape_annotations//test_auto_move//signs_mov_separ_signers/Brady_15189.mov","MOV")</f>
        <v>21</v>
      </c>
    </row>
    <row r="1066" s="2" customFormat="1" ht="13.5" customHeight="1">
      <c r="B1066" s="13"/>
      <c r="C1066" t="s" s="9">
        <v>30</v>
      </c>
      <c r="D1066" t="s" s="8">
        <v>432</v>
      </c>
      <c r="E1066" t="s" s="9">
        <v>432</v>
      </c>
      <c r="F1066" s="19">
        <v>8</v>
      </c>
      <c r="G1066" s="17">
        <v>8</v>
      </c>
      <c r="H1066" s="19">
        <v>5</v>
      </c>
      <c r="I1066" s="17">
        <v>5</v>
      </c>
      <c r="J1066" t="s" s="11">
        <v>20</v>
      </c>
      <c r="K1066" s="15"/>
      <c r="L1066" t="s" s="16">
        <f>HYPERLINK("http://csr.bu.edu/ftp/asl/asllvd/demos/verify_start_end_handshape_annotations//test_auto_move//signs_mov_separ_signers/Brady_15193.mov","MOV")</f>
        <v>21</v>
      </c>
      <c r="M1066" t="s" s="10">
        <v>40</v>
      </c>
      <c r="N1066" s="17">
        <v>54</v>
      </c>
      <c r="O1066" s="18">
        <v>2967</v>
      </c>
      <c r="P1066" s="18">
        <v>2986</v>
      </c>
      <c r="Q1066" s="15"/>
      <c r="R1066" t="s" s="16">
        <f>HYPERLINK("http://secrets.rutgers.edu:8080/data/asl-ftp/asllvd/demos/verify_start_end_handshape_annotations//test_auto_move//signs_mov_separ_signers/Brady_15193.mov","MOV")</f>
        <v>21</v>
      </c>
    </row>
    <row r="1067" s="2" customFormat="1" ht="13.5" customHeight="1">
      <c r="B1067" s="13"/>
      <c r="C1067" t="s" s="9">
        <v>30</v>
      </c>
      <c r="D1067" t="s" s="8">
        <v>432</v>
      </c>
      <c r="E1067" t="s" s="9">
        <v>432</v>
      </c>
      <c r="F1067" t="s" s="10">
        <v>282</v>
      </c>
      <c r="G1067" t="s" s="11">
        <v>282</v>
      </c>
      <c r="H1067" s="19">
        <v>5</v>
      </c>
      <c r="I1067" s="17">
        <v>5</v>
      </c>
      <c r="J1067" t="s" s="11">
        <v>20</v>
      </c>
      <c r="K1067" s="15"/>
      <c r="L1067" t="s" s="16">
        <f>HYPERLINK("http://csr.bu.edu/ftp/asl/asllvd/demos/verify_start_end_handshape_annotations//test_auto_move//signs_mov_separ_signers/Brady_15203.mov","MOV")</f>
        <v>21</v>
      </c>
      <c r="M1067" t="s" s="10">
        <v>40</v>
      </c>
      <c r="N1067" s="17">
        <v>54</v>
      </c>
      <c r="O1067" s="18">
        <v>3213</v>
      </c>
      <c r="P1067" s="18">
        <v>3227</v>
      </c>
      <c r="Q1067" s="15"/>
      <c r="R1067" t="s" s="16">
        <f>HYPERLINK("http://secrets.rutgers.edu:8080/data/asl-ftp/asllvd/demos/verify_start_end_handshape_annotations//test_auto_move//signs_mov_separ_signers/Brady_15203.mov","MOV")</f>
        <v>21</v>
      </c>
    </row>
    <row r="1068" s="2" customFormat="1" ht="13.5" customHeight="1">
      <c r="B1068" s="13"/>
      <c r="C1068" t="s" s="9">
        <v>30</v>
      </c>
      <c r="D1068" t="s" s="8">
        <v>432</v>
      </c>
      <c r="E1068" t="s" s="9">
        <v>432</v>
      </c>
      <c r="F1068" s="19">
        <v>8</v>
      </c>
      <c r="G1068" s="17">
        <v>8</v>
      </c>
      <c r="H1068" s="19">
        <v>5</v>
      </c>
      <c r="I1068" s="17">
        <v>5</v>
      </c>
      <c r="J1068" t="s" s="11">
        <v>20</v>
      </c>
      <c r="K1068" s="15"/>
      <c r="L1068" t="s" s="16">
        <f>HYPERLINK("http://csr.bu.edu/ftp/asl/asllvd/demos/verify_start_end_handshape_annotations//test_auto_move//signs_mov_separ_signers/Brady_15333.mov","MOV")</f>
        <v>21</v>
      </c>
      <c r="M1068" t="s" s="10">
        <v>60</v>
      </c>
      <c r="N1068" s="17">
        <v>50</v>
      </c>
      <c r="O1068" s="18">
        <v>2832</v>
      </c>
      <c r="P1068" s="18">
        <v>2854</v>
      </c>
      <c r="Q1068" s="15"/>
      <c r="R1068" t="s" s="16">
        <f>HYPERLINK("http://secrets.rutgers.edu:8080/data/asl-ftp/asllvd/demos/verify_start_end_handshape_annotations//test_auto_move//signs_mov_separ_signers/Brady_15333.mov","MOV")</f>
        <v>21</v>
      </c>
    </row>
    <row r="1069" s="2" customFormat="1" ht="13.5" customHeight="1">
      <c r="B1069" t="s" s="8">
        <v>433</v>
      </c>
      <c r="C1069" t="s" s="9">
        <v>14</v>
      </c>
      <c r="D1069" t="s" s="8">
        <v>14</v>
      </c>
      <c r="E1069" t="s" s="9">
        <v>14</v>
      </c>
      <c r="F1069" t="s" s="10">
        <v>14</v>
      </c>
      <c r="G1069" t="s" s="11">
        <v>14</v>
      </c>
      <c r="H1069" t="s" s="10">
        <v>14</v>
      </c>
      <c r="I1069" t="s" s="11">
        <v>14</v>
      </c>
      <c r="J1069" t="s" s="11">
        <v>14</v>
      </c>
      <c r="K1069" t="s" s="12">
        <v>14</v>
      </c>
      <c r="L1069" t="s" s="12">
        <v>14</v>
      </c>
      <c r="M1069" t="s" s="10">
        <v>14</v>
      </c>
      <c r="N1069" t="s" s="11">
        <v>14</v>
      </c>
      <c r="O1069" t="s" s="8">
        <v>14</v>
      </c>
      <c r="P1069" t="s" s="8">
        <v>14</v>
      </c>
      <c r="Q1069" t="s" s="12">
        <v>14</v>
      </c>
      <c r="R1069" t="s" s="12">
        <v>14</v>
      </c>
    </row>
    <row r="1070" s="2" customFormat="1" ht="13.5" customHeight="1">
      <c r="B1070" s="13"/>
      <c r="C1070" t="s" s="9">
        <v>16</v>
      </c>
      <c r="D1070" t="s" s="8">
        <v>433</v>
      </c>
      <c r="E1070" t="s" s="9">
        <v>433</v>
      </c>
      <c r="F1070" t="s" s="10">
        <v>282</v>
      </c>
      <c r="G1070" t="s" s="11">
        <v>282</v>
      </c>
      <c r="H1070" t="s" s="10">
        <v>282</v>
      </c>
      <c r="I1070" t="s" s="11">
        <v>282</v>
      </c>
      <c r="J1070" t="s" s="11">
        <v>20</v>
      </c>
      <c r="K1070" s="15"/>
      <c r="L1070" t="s" s="16">
        <f>HYPERLINK("http://csr.bu.edu/ftp/asl/asllvd/demos/verify_start_end_handshape_annotations//test_auto_move//signs_mov_separ_signers/Liz_15399.mov","MOV")</f>
        <v>21</v>
      </c>
      <c r="M1070" t="s" s="10">
        <v>84</v>
      </c>
      <c r="N1070" s="17">
        <v>5</v>
      </c>
      <c r="O1070" s="18">
        <v>565</v>
      </c>
      <c r="P1070" s="18">
        <v>650</v>
      </c>
      <c r="Q1070" s="15"/>
      <c r="R1070" t="s" s="16">
        <f>HYPERLINK("http://secrets.rutgers.edu:8080/data/asl-ftp/asllvd/demos/verify_start_end_handshape_annotations//test_auto_move//signs_mov_separ_signers/Liz_15399.mov","MOV")</f>
        <v>21</v>
      </c>
    </row>
    <row r="1071" s="2" customFormat="1" ht="13.5" customHeight="1">
      <c r="B1071" s="13"/>
      <c r="C1071" t="s" s="9">
        <v>16</v>
      </c>
      <c r="D1071" t="s" s="8">
        <v>433</v>
      </c>
      <c r="E1071" t="s" s="9">
        <v>433</v>
      </c>
      <c r="F1071" t="s" s="10">
        <v>282</v>
      </c>
      <c r="G1071" t="s" s="11">
        <v>282</v>
      </c>
      <c r="H1071" t="s" s="10">
        <v>282</v>
      </c>
      <c r="I1071" t="s" s="11">
        <v>282</v>
      </c>
      <c r="J1071" t="s" s="11">
        <v>20</v>
      </c>
      <c r="K1071" s="15"/>
      <c r="L1071" t="s" s="16">
        <f>HYPERLINK("http://csr.bu.edu/ftp/asl/asllvd/demos/verify_start_end_handshape_annotations//test_auto_move//signs_mov_separ_signers/Liz_15416.mov","MOV")</f>
        <v>21</v>
      </c>
      <c r="M1071" t="s" s="10">
        <v>59</v>
      </c>
      <c r="N1071" s="17">
        <v>28</v>
      </c>
      <c r="O1071" s="18">
        <v>646</v>
      </c>
      <c r="P1071" s="18">
        <v>725</v>
      </c>
      <c r="Q1071" s="15"/>
      <c r="R1071" t="s" s="16">
        <f>HYPERLINK("http://secrets.rutgers.edu:8080/data/asl-ftp/asllvd/demos/verify_start_end_handshape_annotations//test_auto_move//signs_mov_separ_signers/Liz_15416.mov","MOV")</f>
        <v>21</v>
      </c>
    </row>
    <row r="1072" s="2" customFormat="1" ht="13.5" customHeight="1">
      <c r="B1072" s="13"/>
      <c r="C1072" t="s" s="9">
        <v>23</v>
      </c>
      <c r="D1072" t="s" s="8">
        <v>433</v>
      </c>
      <c r="E1072" t="s" s="9">
        <v>433</v>
      </c>
      <c r="F1072" t="s" s="10">
        <v>282</v>
      </c>
      <c r="G1072" t="s" s="11">
        <v>282</v>
      </c>
      <c r="H1072" t="s" s="10">
        <v>282</v>
      </c>
      <c r="I1072" t="s" s="11">
        <v>282</v>
      </c>
      <c r="J1072" t="s" s="11">
        <v>20</v>
      </c>
      <c r="K1072" t="s" s="16">
        <f>HYPERLINK("http://csr.bu.edu/ftp/asl/asllvd/demos/verify_start_end_handshape_annotations//test_auto_move//signs_mov/15399_15416_merged.mov","MOV")</f>
        <v>21</v>
      </c>
      <c r="L1072" t="s" s="16">
        <f>HYPERLINK("http://csr.bu.edu/ftp/asl/asllvd/demos/verify_start_end_handshape_annotations//test_auto_move//signs_mov_separ_signers/Tyler_15399.mov","MOV")</f>
        <v>21</v>
      </c>
      <c r="M1072" t="s" s="10">
        <v>125</v>
      </c>
      <c r="N1072" s="17">
        <v>5</v>
      </c>
      <c r="O1072" s="18">
        <v>215</v>
      </c>
      <c r="P1072" s="18">
        <v>270</v>
      </c>
      <c r="Q1072" t="s" s="16">
        <f>HYPERLINK("http://secrets.rutgers.edu:8080/data/asl-ftp/asllvd/demos/verify_start_end_handshape_annotations//test_auto_move//signs_mov/15399_15416_merged.mov","MOV")</f>
        <v>21</v>
      </c>
      <c r="R1072" t="s" s="16">
        <f>HYPERLINK("http://secrets.rutgers.edu:8080/data/asl-ftp/asllvd/demos/verify_start_end_handshape_annotations//test_auto_move//signs_mov_separ_signers/Tyler_15399.mov","MOV")</f>
        <v>21</v>
      </c>
    </row>
    <row r="1073" s="2" customFormat="1" ht="13.5" customHeight="1">
      <c r="B1073" s="13"/>
      <c r="C1073" t="s" s="9">
        <v>27</v>
      </c>
      <c r="D1073" t="s" s="8">
        <v>433</v>
      </c>
      <c r="E1073" t="s" s="9">
        <v>433</v>
      </c>
      <c r="F1073" s="19">
        <v>8</v>
      </c>
      <c r="G1073" s="17">
        <v>8</v>
      </c>
      <c r="H1073" s="19">
        <v>8</v>
      </c>
      <c r="I1073" s="17">
        <v>8</v>
      </c>
      <c r="J1073" t="s" s="11">
        <v>20</v>
      </c>
      <c r="K1073" s="15"/>
      <c r="L1073" t="s" s="16">
        <f>HYPERLINK("http://csr.bu.edu/ftp/asl/asllvd/demos/verify_start_end_handshape_annotations//test_auto_move//signs_mov_separ_signers/Naomi_15399.mov","MOV")</f>
        <v>21</v>
      </c>
      <c r="M1073" t="s" s="10">
        <v>86</v>
      </c>
      <c r="N1073" s="17">
        <v>5</v>
      </c>
      <c r="O1073" s="18">
        <v>1250</v>
      </c>
      <c r="P1073" s="18">
        <v>1306</v>
      </c>
      <c r="Q1073" s="15"/>
      <c r="R1073" t="s" s="16">
        <f>HYPERLINK("http://secrets.rutgers.edu:8080/data/asl-ftp/asllvd/demos/verify_start_end_handshape_annotations//test_auto_move//signs_mov_separ_signers/Naomi_15399.mov","MOV")</f>
        <v>21</v>
      </c>
    </row>
    <row r="1074" s="2" customFormat="1" ht="13.5" customHeight="1">
      <c r="B1074" s="13"/>
      <c r="C1074" t="s" s="9">
        <v>30</v>
      </c>
      <c r="D1074" t="s" s="8">
        <v>433</v>
      </c>
      <c r="E1074" t="s" s="9">
        <v>433</v>
      </c>
      <c r="F1074" s="19">
        <v>8</v>
      </c>
      <c r="G1074" s="17">
        <v>8</v>
      </c>
      <c r="H1074" s="19">
        <v>8</v>
      </c>
      <c r="I1074" s="17">
        <v>8</v>
      </c>
      <c r="J1074" t="s" s="11">
        <v>20</v>
      </c>
      <c r="K1074" s="15"/>
      <c r="L1074" t="s" s="16">
        <f>HYPERLINK("http://csr.bu.edu/ftp/asl/asllvd/demos/verify_start_end_handshape_annotations//test_auto_move//signs_mov_separ_signers/Brady_15399.mov","MOV")</f>
        <v>21</v>
      </c>
      <c r="M1074" t="s" s="10">
        <v>31</v>
      </c>
      <c r="N1074" s="17">
        <v>30</v>
      </c>
      <c r="O1074" s="18">
        <v>5463</v>
      </c>
      <c r="P1074" s="18">
        <v>5503</v>
      </c>
      <c r="Q1074" s="15"/>
      <c r="R1074" t="s" s="16">
        <f>HYPERLINK("http://secrets.rutgers.edu:8080/data/asl-ftp/asllvd/demos/verify_start_end_handshape_annotations//test_auto_move//signs_mov_separ_signers/Brady_15399.mov","MOV")</f>
        <v>21</v>
      </c>
    </row>
    <row r="1075" s="2" customFormat="1" ht="13.5" customHeight="1">
      <c r="B1075" s="13"/>
      <c r="C1075" t="s" s="9">
        <v>30</v>
      </c>
      <c r="D1075" t="s" s="8">
        <v>433</v>
      </c>
      <c r="E1075" t="s" s="9">
        <v>433</v>
      </c>
      <c r="F1075" t="s" s="10">
        <v>282</v>
      </c>
      <c r="G1075" t="s" s="11">
        <v>282</v>
      </c>
      <c r="H1075" t="s" s="10">
        <v>282</v>
      </c>
      <c r="I1075" t="s" s="11">
        <v>282</v>
      </c>
      <c r="J1075" t="s" s="11">
        <v>20</v>
      </c>
      <c r="K1075" s="15"/>
      <c r="L1075" t="s" s="16">
        <f>HYPERLINK("http://csr.bu.edu/ftp/asl/asllvd/demos/verify_start_end_handshape_annotations//test_auto_move//signs_mov_separ_signers/Brady_15416.mov","MOV")</f>
        <v>21</v>
      </c>
      <c r="M1075" t="s" s="10">
        <v>60</v>
      </c>
      <c r="N1075" s="17">
        <v>16</v>
      </c>
      <c r="O1075" s="18">
        <v>3212</v>
      </c>
      <c r="P1075" s="18">
        <v>3280</v>
      </c>
      <c r="Q1075" s="15"/>
      <c r="R1075" t="s" s="16">
        <f>HYPERLINK("http://secrets.rutgers.edu:8080/data/asl-ftp/asllvd/demos/verify_start_end_handshape_annotations//test_auto_move//signs_mov_separ_signers/Brady_15416.mov","MOV")</f>
        <v>21</v>
      </c>
    </row>
    <row r="1076" s="2" customFormat="1" ht="13.5" customHeight="1">
      <c r="B1076" t="s" s="8">
        <v>434</v>
      </c>
      <c r="C1076" t="s" s="9">
        <v>14</v>
      </c>
      <c r="D1076" t="s" s="8">
        <v>14</v>
      </c>
      <c r="E1076" t="s" s="9">
        <v>14</v>
      </c>
      <c r="F1076" t="s" s="10">
        <v>14</v>
      </c>
      <c r="G1076" t="s" s="11">
        <v>14</v>
      </c>
      <c r="H1076" t="s" s="10">
        <v>14</v>
      </c>
      <c r="I1076" t="s" s="11">
        <v>14</v>
      </c>
      <c r="J1076" t="s" s="11">
        <v>14</v>
      </c>
      <c r="K1076" t="s" s="12">
        <v>14</v>
      </c>
      <c r="L1076" t="s" s="12">
        <v>14</v>
      </c>
      <c r="M1076" t="s" s="10">
        <v>14</v>
      </c>
      <c r="N1076" t="s" s="11">
        <v>14</v>
      </c>
      <c r="O1076" t="s" s="8">
        <v>14</v>
      </c>
      <c r="P1076" t="s" s="8">
        <v>14</v>
      </c>
      <c r="Q1076" t="s" s="12">
        <v>14</v>
      </c>
      <c r="R1076" t="s" s="12">
        <v>14</v>
      </c>
    </row>
    <row r="1077" s="2" customFormat="1" ht="13.5" customHeight="1">
      <c r="B1077" s="13"/>
      <c r="C1077" t="s" s="9">
        <v>30</v>
      </c>
      <c r="D1077" t="s" s="8">
        <v>434</v>
      </c>
      <c r="E1077" t="s" s="9">
        <v>434</v>
      </c>
      <c r="F1077" s="19">
        <v>8</v>
      </c>
      <c r="G1077" s="17">
        <v>8</v>
      </c>
      <c r="H1077" s="19">
        <v>8</v>
      </c>
      <c r="I1077" s="17">
        <v>8</v>
      </c>
      <c r="J1077" t="s" s="11">
        <v>20</v>
      </c>
      <c r="K1077" t="s" s="16">
        <f>HYPERLINK("http://csr.bu.edu/ftp/asl/asllvd/demos/verify_start_end_handshape_annotations//test_auto_move//signs_mov/15435.mov","MOV")</f>
        <v>21</v>
      </c>
      <c r="L1077" t="s" s="16">
        <f>HYPERLINK("http://csr.bu.edu/ftp/asl/asllvd/demos/verify_start_end_handshape_annotations//test_auto_move//signs_mov_separ_signers/Brady_15435.mov","MOV")</f>
        <v>21</v>
      </c>
      <c r="M1077" t="s" s="10">
        <v>40</v>
      </c>
      <c r="N1077" s="17">
        <v>54</v>
      </c>
      <c r="O1077" s="18">
        <v>2026</v>
      </c>
      <c r="P1077" s="18">
        <v>2060</v>
      </c>
      <c r="Q1077" t="s" s="16">
        <f>HYPERLINK("http://secrets.rutgers.edu:8080/data/asl-ftp/asllvd/demos/verify_start_end_handshape_annotations//test_auto_move//signs_mov/15435.mov","MOV")</f>
        <v>21</v>
      </c>
      <c r="R1077" t="s" s="16">
        <f>HYPERLINK("http://secrets.rutgers.edu:8080/data/asl-ftp/asllvd/demos/verify_start_end_handshape_annotations//test_auto_move//signs_mov_separ_signers/Brady_15435.mov","MOV")</f>
        <v>21</v>
      </c>
    </row>
    <row r="1078" s="2" customFormat="1" ht="13.5" customHeight="1">
      <c r="B1078" t="s" s="8">
        <v>52</v>
      </c>
      <c r="C1078" t="s" s="9">
        <v>53</v>
      </c>
      <c r="D1078" t="s" s="8">
        <v>53</v>
      </c>
      <c r="E1078" t="s" s="9">
        <v>53</v>
      </c>
      <c r="F1078" t="s" s="10">
        <v>53</v>
      </c>
      <c r="G1078" t="s" s="11">
        <v>53</v>
      </c>
      <c r="H1078" t="s" s="10">
        <v>53</v>
      </c>
      <c r="I1078" t="s" s="11">
        <v>53</v>
      </c>
      <c r="J1078" t="s" s="11">
        <v>53</v>
      </c>
      <c r="K1078" t="s" s="12">
        <v>53</v>
      </c>
      <c r="L1078" t="s" s="12">
        <v>53</v>
      </c>
      <c r="M1078" t="s" s="10">
        <v>53</v>
      </c>
      <c r="N1078" t="s" s="11">
        <v>53</v>
      </c>
      <c r="O1078" t="s" s="8">
        <v>53</v>
      </c>
      <c r="P1078" t="s" s="8">
        <v>53</v>
      </c>
      <c r="Q1078" t="s" s="12">
        <v>53</v>
      </c>
      <c r="R1078" t="s" s="12">
        <v>53</v>
      </c>
    </row>
    <row r="1079" s="2" customFormat="1" ht="13.5" customHeight="1">
      <c r="B1079" s="13"/>
      <c r="C1079" t="s" s="9">
        <v>16</v>
      </c>
      <c r="D1079" t="s" s="8">
        <v>434</v>
      </c>
      <c r="E1079" t="s" s="9">
        <v>435</v>
      </c>
      <c r="F1079" s="19">
        <v>8</v>
      </c>
      <c r="G1079" s="17">
        <v>8</v>
      </c>
      <c r="H1079" s="19">
        <v>8</v>
      </c>
      <c r="I1079" s="17">
        <v>8</v>
      </c>
      <c r="J1079" t="s" s="11">
        <v>20</v>
      </c>
      <c r="K1079" t="s" s="16">
        <f>HYPERLINK("http://csr.bu.edu/ftp/asl/asllvd/demos/verify_start_end_handshape_annotations//test_auto_move//signs_mov/15465.mov","MOV")</f>
        <v>21</v>
      </c>
      <c r="L1079" t="s" s="16">
        <f>HYPERLINK("http://csr.bu.edu/ftp/asl/asllvd/demos/verify_start_end_handshape_annotations//test_auto_move//signs_mov_separ_signers/Liz_15465.mov","MOV")</f>
        <v>21</v>
      </c>
      <c r="M1079" t="s" s="10">
        <v>36</v>
      </c>
      <c r="N1079" s="17">
        <v>9</v>
      </c>
      <c r="O1079" s="18">
        <v>1570</v>
      </c>
      <c r="P1079" s="18">
        <v>1617</v>
      </c>
      <c r="Q1079" t="s" s="16">
        <f>HYPERLINK("http://secrets.rutgers.edu:8080/data/asl-ftp/asllvd/demos/verify_start_end_handshape_annotations//test_auto_move//signs_mov/15465.mov","MOV")</f>
        <v>21</v>
      </c>
      <c r="R1079" t="s" s="16">
        <f>HYPERLINK("http://secrets.rutgers.edu:8080/data/asl-ftp/asllvd/demos/verify_start_end_handshape_annotations//test_auto_move//signs_mov_separ_signers/Liz_15465.mov","MOV")</f>
        <v>21</v>
      </c>
    </row>
    <row r="1080" s="2" customFormat="1" ht="13.5" customHeight="1">
      <c r="B1080" t="s" s="8">
        <v>436</v>
      </c>
      <c r="C1080" t="s" s="9">
        <v>14</v>
      </c>
      <c r="D1080" t="s" s="8">
        <v>14</v>
      </c>
      <c r="E1080" t="s" s="9">
        <v>14</v>
      </c>
      <c r="F1080" t="s" s="10">
        <v>14</v>
      </c>
      <c r="G1080" t="s" s="11">
        <v>14</v>
      </c>
      <c r="H1080" t="s" s="10">
        <v>14</v>
      </c>
      <c r="I1080" t="s" s="11">
        <v>14</v>
      </c>
      <c r="J1080" t="s" s="11">
        <v>14</v>
      </c>
      <c r="K1080" t="s" s="12">
        <v>14</v>
      </c>
      <c r="L1080" t="s" s="12">
        <v>14</v>
      </c>
      <c r="M1080" t="s" s="10">
        <v>14</v>
      </c>
      <c r="N1080" t="s" s="11">
        <v>14</v>
      </c>
      <c r="O1080" t="s" s="8">
        <v>14</v>
      </c>
      <c r="P1080" t="s" s="8">
        <v>14</v>
      </c>
      <c r="Q1080" t="s" s="12">
        <v>14</v>
      </c>
      <c r="R1080" t="s" s="12">
        <v>14</v>
      </c>
    </row>
    <row r="1081" s="2" customFormat="1" ht="13.5" customHeight="1">
      <c r="B1081" s="13"/>
      <c r="C1081" t="s" s="9">
        <v>16</v>
      </c>
      <c r="D1081" t="s" s="8">
        <v>436</v>
      </c>
      <c r="E1081" t="s" s="9">
        <v>436</v>
      </c>
      <c r="F1081" t="s" s="10">
        <v>282</v>
      </c>
      <c r="G1081" t="s" s="11">
        <v>282</v>
      </c>
      <c r="H1081" t="s" s="10">
        <v>282</v>
      </c>
      <c r="I1081" t="s" s="11">
        <v>282</v>
      </c>
      <c r="J1081" t="s" s="11">
        <v>20</v>
      </c>
      <c r="K1081" s="15"/>
      <c r="L1081" t="s" s="16">
        <f>HYPERLINK("http://csr.bu.edu/ftp/asl/asllvd/demos/verify_start_end_handshape_annotations//test_auto_move//signs_mov_separ_signers/Liz_16103.mov","MOV")</f>
        <v>21</v>
      </c>
      <c r="M1081" t="s" s="10">
        <v>22</v>
      </c>
      <c r="N1081" s="17">
        <v>68</v>
      </c>
      <c r="O1081" s="18">
        <v>1300</v>
      </c>
      <c r="P1081" s="18">
        <v>1350</v>
      </c>
      <c r="Q1081" s="15"/>
      <c r="R1081" t="s" s="16">
        <f>HYPERLINK("http://secrets.rutgers.edu:8080/data/asl-ftp/asllvd/demos/verify_start_end_handshape_annotations//test_auto_move//signs_mov_separ_signers/Liz_16103.mov","MOV")</f>
        <v>21</v>
      </c>
    </row>
    <row r="1082" s="2" customFormat="1" ht="13.5" customHeight="1">
      <c r="B1082" s="13"/>
      <c r="C1082" t="s" s="9">
        <v>16</v>
      </c>
      <c r="D1082" t="s" s="8">
        <v>436</v>
      </c>
      <c r="E1082" t="s" s="9">
        <v>436</v>
      </c>
      <c r="F1082" t="s" s="10">
        <v>437</v>
      </c>
      <c r="G1082" t="s" s="11">
        <v>437</v>
      </c>
      <c r="H1082" t="s" s="10">
        <v>282</v>
      </c>
      <c r="I1082" t="s" s="11">
        <v>282</v>
      </c>
      <c r="J1082" t="s" s="11">
        <v>20</v>
      </c>
      <c r="K1082" s="15"/>
      <c r="L1082" t="s" s="16">
        <f>HYPERLINK("http://csr.bu.edu/ftp/asl/asllvd/demos/verify_start_end_handshape_annotations//test_auto_move//signs_mov_separ_signers/Liz_16239.mov","MOV")</f>
        <v>21</v>
      </c>
      <c r="M1082" t="s" s="10">
        <v>88</v>
      </c>
      <c r="N1082" s="17">
        <v>24</v>
      </c>
      <c r="O1082" s="18">
        <v>1190</v>
      </c>
      <c r="P1082" s="18">
        <v>1252</v>
      </c>
      <c r="Q1082" s="15"/>
      <c r="R1082" t="s" s="16">
        <f>HYPERLINK("http://secrets.rutgers.edu:8080/data/asl-ftp/asllvd/demos/verify_start_end_handshape_annotations//test_auto_move//signs_mov_separ_signers/Liz_16239.mov","MOV")</f>
        <v>21</v>
      </c>
    </row>
    <row r="1083" s="2" customFormat="1" ht="13.5" customHeight="1">
      <c r="B1083" s="13"/>
      <c r="C1083" t="s" s="9">
        <v>23</v>
      </c>
      <c r="D1083" t="s" s="8">
        <v>436</v>
      </c>
      <c r="E1083" t="s" s="9">
        <v>436</v>
      </c>
      <c r="F1083" t="s" s="10">
        <v>437</v>
      </c>
      <c r="G1083" t="s" s="11">
        <v>437</v>
      </c>
      <c r="H1083" t="s" s="10">
        <v>282</v>
      </c>
      <c r="I1083" t="s" s="11">
        <v>282</v>
      </c>
      <c r="J1083" t="s" s="11">
        <v>20</v>
      </c>
      <c r="K1083" t="s" s="16">
        <f>HYPERLINK("http://csr.bu.edu/ftp/asl/asllvd/demos/verify_start_end_handshape_annotations//test_auto_move//signs_mov/16103_16239_merged.mov","MOV")</f>
        <v>21</v>
      </c>
      <c r="L1083" t="s" s="16">
        <f>HYPERLINK("http://csr.bu.edu/ftp/asl/asllvd/demos/verify_start_end_handshape_annotations//test_auto_move//signs_mov_separ_signers/Tyler_16103.mov","MOV")</f>
        <v>21</v>
      </c>
      <c r="M1083" t="s" s="10">
        <v>26</v>
      </c>
      <c r="N1083" s="17">
        <v>42</v>
      </c>
      <c r="O1083" s="18">
        <v>2425</v>
      </c>
      <c r="P1083" s="18">
        <v>2505</v>
      </c>
      <c r="Q1083" t="s" s="16">
        <f>HYPERLINK("http://secrets.rutgers.edu:8080/data/asl-ftp/asllvd/demos/verify_start_end_handshape_annotations//test_auto_move//signs_mov/16103_16239_merged.mov","MOV")</f>
        <v>21</v>
      </c>
      <c r="R1083" t="s" s="16">
        <f>HYPERLINK("http://secrets.rutgers.edu:8080/data/asl-ftp/asllvd/demos/verify_start_end_handshape_annotations//test_auto_move//signs_mov_separ_signers/Tyler_16103.mov","MOV")</f>
        <v>21</v>
      </c>
    </row>
    <row r="1084" s="2" customFormat="1" ht="13.5" customHeight="1">
      <c r="B1084" s="13"/>
      <c r="C1084" t="s" s="9">
        <v>27</v>
      </c>
      <c r="D1084" t="s" s="8">
        <v>436</v>
      </c>
      <c r="E1084" t="s" s="9">
        <v>436</v>
      </c>
      <c r="F1084" t="s" s="10">
        <v>437</v>
      </c>
      <c r="G1084" t="s" s="11">
        <v>437</v>
      </c>
      <c r="H1084" t="s" s="10">
        <v>282</v>
      </c>
      <c r="I1084" t="s" s="11">
        <v>282</v>
      </c>
      <c r="J1084" t="s" s="11">
        <v>20</v>
      </c>
      <c r="K1084" s="15"/>
      <c r="L1084" t="s" s="16">
        <f>HYPERLINK("http://csr.bu.edu/ftp/asl/asllvd/demos/verify_start_end_handshape_annotations//test_auto_move//signs_mov_separ_signers/Naomi_16103.mov","MOV")</f>
        <v>21</v>
      </c>
      <c r="M1084" t="s" s="10">
        <v>29</v>
      </c>
      <c r="N1084" s="17">
        <v>43</v>
      </c>
      <c r="O1084" s="18">
        <v>4550</v>
      </c>
      <c r="P1084" s="18">
        <v>4605</v>
      </c>
      <c r="Q1084" s="15"/>
      <c r="R1084" t="s" s="16">
        <f>HYPERLINK("http://secrets.rutgers.edu:8080/data/asl-ftp/asllvd/demos/verify_start_end_handshape_annotations//test_auto_move//signs_mov_separ_signers/Naomi_16103.mov","MOV")</f>
        <v>21</v>
      </c>
    </row>
    <row r="1085" s="2" customFormat="1" ht="13.5" customHeight="1">
      <c r="B1085" s="13"/>
      <c r="C1085" t="s" s="9">
        <v>30</v>
      </c>
      <c r="D1085" t="s" s="8">
        <v>436</v>
      </c>
      <c r="E1085" t="s" s="9">
        <v>436</v>
      </c>
      <c r="F1085" t="s" s="10">
        <v>437</v>
      </c>
      <c r="G1085" t="s" s="11">
        <v>437</v>
      </c>
      <c r="H1085" s="19">
        <v>8</v>
      </c>
      <c r="I1085" s="17">
        <v>8</v>
      </c>
      <c r="J1085" t="s" s="11">
        <v>20</v>
      </c>
      <c r="K1085" s="15"/>
      <c r="L1085" t="s" s="16">
        <f>HYPERLINK("http://csr.bu.edu/ftp/asl/asllvd/demos/verify_start_end_handshape_annotations//test_auto_move//signs_mov_separ_signers/Brady_16103.mov","MOV")</f>
        <v>21</v>
      </c>
      <c r="M1085" t="s" s="10">
        <v>31</v>
      </c>
      <c r="N1085" s="17">
        <v>26</v>
      </c>
      <c r="O1085" s="18">
        <v>6496</v>
      </c>
      <c r="P1085" s="18">
        <v>6579</v>
      </c>
      <c r="Q1085" s="15"/>
      <c r="R1085" t="s" s="16">
        <f>HYPERLINK("http://secrets.rutgers.edu:8080/data/asl-ftp/asllvd/demos/verify_start_end_handshape_annotations//test_auto_move//signs_mov_separ_signers/Brady_16103.mov","MOV")</f>
        <v>21</v>
      </c>
    </row>
    <row r="1086" s="2" customFormat="1" ht="13.5" customHeight="1">
      <c r="B1086" s="13"/>
      <c r="C1086" t="s" s="9">
        <v>30</v>
      </c>
      <c r="D1086" t="s" s="8">
        <v>436</v>
      </c>
      <c r="E1086" t="s" s="9">
        <v>436</v>
      </c>
      <c r="F1086" s="19">
        <v>8</v>
      </c>
      <c r="G1086" s="17">
        <v>8</v>
      </c>
      <c r="H1086" s="19">
        <v>8</v>
      </c>
      <c r="I1086" s="17">
        <v>8</v>
      </c>
      <c r="J1086" t="s" s="11">
        <v>20</v>
      </c>
      <c r="K1086" s="15"/>
      <c r="L1086" t="s" s="16">
        <f>HYPERLINK("http://csr.bu.edu/ftp/asl/asllvd/demos/verify_start_end_handshape_annotations//test_auto_move//signs_mov_separ_signers/Brady_16239.mov","MOV")</f>
        <v>21</v>
      </c>
      <c r="M1086" t="s" s="10">
        <v>40</v>
      </c>
      <c r="N1086" s="17">
        <v>19</v>
      </c>
      <c r="O1086" s="18">
        <v>1276</v>
      </c>
      <c r="P1086" s="18">
        <v>1334</v>
      </c>
      <c r="Q1086" s="15"/>
      <c r="R1086" t="s" s="16">
        <f>HYPERLINK("http://secrets.rutgers.edu:8080/data/asl-ftp/asllvd/demos/verify_start_end_handshape_annotations//test_auto_move//signs_mov_separ_signers/Brady_16239.mov","MOV")</f>
        <v>21</v>
      </c>
    </row>
    <row r="1087" s="2" customFormat="1" ht="13.5" customHeight="1">
      <c r="B1087" t="s" s="8">
        <v>438</v>
      </c>
      <c r="C1087" t="s" s="9">
        <v>14</v>
      </c>
      <c r="D1087" t="s" s="8">
        <v>14</v>
      </c>
      <c r="E1087" t="s" s="9">
        <v>14</v>
      </c>
      <c r="F1087" t="s" s="10">
        <v>14</v>
      </c>
      <c r="G1087" t="s" s="11">
        <v>14</v>
      </c>
      <c r="H1087" t="s" s="10">
        <v>14</v>
      </c>
      <c r="I1087" t="s" s="11">
        <v>14</v>
      </c>
      <c r="J1087" t="s" s="11">
        <v>14</v>
      </c>
      <c r="K1087" t="s" s="12">
        <v>14</v>
      </c>
      <c r="L1087" t="s" s="12">
        <v>14</v>
      </c>
      <c r="M1087" t="s" s="10">
        <v>14</v>
      </c>
      <c r="N1087" t="s" s="11">
        <v>14</v>
      </c>
      <c r="O1087" t="s" s="8">
        <v>14</v>
      </c>
      <c r="P1087" t="s" s="8">
        <v>14</v>
      </c>
      <c r="Q1087" t="s" s="12">
        <v>14</v>
      </c>
      <c r="R1087" t="s" s="12">
        <v>14</v>
      </c>
    </row>
    <row r="1088" s="2" customFormat="1" ht="13.5" customHeight="1">
      <c r="B1088" s="13"/>
      <c r="C1088" t="s" s="9">
        <v>16</v>
      </c>
      <c r="D1088" t="s" s="8">
        <v>438</v>
      </c>
      <c r="E1088" t="s" s="9">
        <v>438</v>
      </c>
      <c r="F1088" t="s" s="10">
        <v>282</v>
      </c>
      <c r="G1088" s="14"/>
      <c r="H1088" t="s" s="10">
        <v>282</v>
      </c>
      <c r="I1088" s="14"/>
      <c r="J1088" t="s" s="11">
        <v>20</v>
      </c>
      <c r="K1088" s="15"/>
      <c r="L1088" t="s" s="16">
        <f>HYPERLINK("http://csr.bu.edu/ftp/asl/asllvd/demos/verify_start_end_handshape_annotations//test_auto_move//signs_mov_separ_signers/Liz_241.mov","MOV")</f>
        <v>21</v>
      </c>
      <c r="M1088" t="s" s="10">
        <v>22</v>
      </c>
      <c r="N1088" s="17">
        <v>40</v>
      </c>
      <c r="O1088" s="18">
        <v>1105</v>
      </c>
      <c r="P1088" s="18">
        <v>1155</v>
      </c>
      <c r="Q1088" s="15"/>
      <c r="R1088" t="s" s="16">
        <f>HYPERLINK("http://secrets.rutgers.edu:8080/data/asl-ftp/asllvd/demos/verify_start_end_handshape_annotations//test_auto_move//signs_mov_separ_signers/Liz_241.mov","MOV")</f>
        <v>21</v>
      </c>
    </row>
    <row r="1089" s="2" customFormat="1" ht="13.5" customHeight="1">
      <c r="B1089" s="13"/>
      <c r="C1089" t="s" s="9">
        <v>23</v>
      </c>
      <c r="D1089" t="s" s="8">
        <v>438</v>
      </c>
      <c r="E1089" t="s" s="9">
        <v>438</v>
      </c>
      <c r="F1089" t="s" s="10">
        <v>282</v>
      </c>
      <c r="G1089" s="14"/>
      <c r="H1089" t="s" s="10">
        <v>282</v>
      </c>
      <c r="I1089" s="14"/>
      <c r="J1089" t="s" s="11">
        <v>20</v>
      </c>
      <c r="K1089" t="s" s="16">
        <f>HYPERLINK("http://csr.bu.edu/ftp/asl/asllvd/demos/verify_start_end_handshape_annotations//test_auto_move//signs_mov/241.mov","MOV")</f>
        <v>21</v>
      </c>
      <c r="L1089" t="s" s="16">
        <f>HYPERLINK("http://csr.bu.edu/ftp/asl/asllvd/demos/verify_start_end_handshape_annotations//test_auto_move//signs_mov_separ_signers/Tyler_241.mov","MOV")</f>
        <v>21</v>
      </c>
      <c r="M1089" t="s" s="10">
        <v>26</v>
      </c>
      <c r="N1089" s="17">
        <v>26</v>
      </c>
      <c r="O1089" s="18">
        <v>216</v>
      </c>
      <c r="P1089" s="18">
        <v>235</v>
      </c>
      <c r="Q1089" t="s" s="16">
        <f>HYPERLINK("http://secrets.rutgers.edu:8080/data/asl-ftp/asllvd/demos/verify_start_end_handshape_annotations//test_auto_move//signs_mov/241.mov","MOV")</f>
        <v>21</v>
      </c>
      <c r="R1089" t="s" s="16">
        <f>HYPERLINK("http://secrets.rutgers.edu:8080/data/asl-ftp/asllvd/demos/verify_start_end_handshape_annotations//test_auto_move//signs_mov_separ_signers/Tyler_241.mov","MOV")</f>
        <v>21</v>
      </c>
    </row>
    <row r="1090" s="2" customFormat="1" ht="13.5" customHeight="1">
      <c r="B1090" s="13"/>
      <c r="C1090" t="s" s="9">
        <v>27</v>
      </c>
      <c r="D1090" t="s" s="8">
        <v>438</v>
      </c>
      <c r="E1090" t="s" s="9">
        <v>438</v>
      </c>
      <c r="F1090" t="s" s="10">
        <v>282</v>
      </c>
      <c r="G1090" s="14"/>
      <c r="H1090" t="s" s="10">
        <v>282</v>
      </c>
      <c r="I1090" s="14"/>
      <c r="J1090" t="s" s="11">
        <v>20</v>
      </c>
      <c r="K1090" s="15"/>
      <c r="L1090" t="s" s="16">
        <f>HYPERLINK("http://csr.bu.edu/ftp/asl/asllvd/demos/verify_start_end_handshape_annotations//test_auto_move//signs_mov_separ_signers/Naomi_241.mov","MOV")</f>
        <v>21</v>
      </c>
      <c r="M1090" t="s" s="10">
        <v>29</v>
      </c>
      <c r="N1090" s="17">
        <v>27</v>
      </c>
      <c r="O1090" s="18">
        <v>460</v>
      </c>
      <c r="P1090" s="18">
        <v>485</v>
      </c>
      <c r="Q1090" s="15"/>
      <c r="R1090" t="s" s="16">
        <f>HYPERLINK("http://secrets.rutgers.edu:8080/data/asl-ftp/asllvd/demos/verify_start_end_handshape_annotations//test_auto_move//signs_mov_separ_signers/Naomi_241.mov","MOV")</f>
        <v>21</v>
      </c>
    </row>
    <row r="1091" s="2" customFormat="1" ht="13.5" customHeight="1">
      <c r="B1091" t="s" s="8">
        <v>439</v>
      </c>
      <c r="C1091" t="s" s="9">
        <v>14</v>
      </c>
      <c r="D1091" t="s" s="8">
        <v>14</v>
      </c>
      <c r="E1091" t="s" s="9">
        <v>14</v>
      </c>
      <c r="F1091" t="s" s="10">
        <v>14</v>
      </c>
      <c r="G1091" t="s" s="11">
        <v>14</v>
      </c>
      <c r="H1091" t="s" s="10">
        <v>14</v>
      </c>
      <c r="I1091" t="s" s="11">
        <v>14</v>
      </c>
      <c r="J1091" t="s" s="11">
        <v>14</v>
      </c>
      <c r="K1091" t="s" s="12">
        <v>14</v>
      </c>
      <c r="L1091" t="s" s="12">
        <v>14</v>
      </c>
      <c r="M1091" t="s" s="10">
        <v>14</v>
      </c>
      <c r="N1091" t="s" s="11">
        <v>14</v>
      </c>
      <c r="O1091" t="s" s="8">
        <v>14</v>
      </c>
      <c r="P1091" t="s" s="8">
        <v>14</v>
      </c>
      <c r="Q1091" t="s" s="12">
        <v>14</v>
      </c>
      <c r="R1091" t="s" s="12">
        <v>14</v>
      </c>
    </row>
    <row r="1092" s="2" customFormat="1" ht="13.5" customHeight="1">
      <c r="B1092" s="13"/>
      <c r="C1092" t="s" s="9">
        <v>16</v>
      </c>
      <c r="D1092" t="s" s="8">
        <v>439</v>
      </c>
      <c r="E1092" t="s" s="9">
        <v>439</v>
      </c>
      <c r="F1092" t="s" s="10">
        <v>73</v>
      </c>
      <c r="G1092" s="14"/>
      <c r="H1092" s="19">
        <v>10</v>
      </c>
      <c r="I1092" s="14"/>
      <c r="J1092" t="s" s="11">
        <v>20</v>
      </c>
      <c r="K1092" s="15"/>
      <c r="L1092" t="s" s="16">
        <f>HYPERLINK("http://csr.bu.edu/ftp/asl/asllvd/demos/verify_start_end_handshape_annotations//test_auto_move//signs_mov_separ_signers/Liz_245.mov","MOV")</f>
        <v>21</v>
      </c>
      <c r="M1092" t="s" s="10">
        <v>22</v>
      </c>
      <c r="N1092" s="17">
        <v>41</v>
      </c>
      <c r="O1092" s="18">
        <v>641</v>
      </c>
      <c r="P1092" s="18">
        <v>680</v>
      </c>
      <c r="Q1092" s="15"/>
      <c r="R1092" t="s" s="16">
        <f>HYPERLINK("http://secrets.rutgers.edu:8080/data/asl-ftp/asllvd/demos/verify_start_end_handshape_annotations//test_auto_move//signs_mov_separ_signers/Liz_245.mov","MOV")</f>
        <v>21</v>
      </c>
    </row>
    <row r="1093" s="2" customFormat="1" ht="13.5" customHeight="1">
      <c r="B1093" s="13"/>
      <c r="C1093" t="s" s="9">
        <v>23</v>
      </c>
      <c r="D1093" t="s" s="8">
        <v>439</v>
      </c>
      <c r="E1093" t="s" s="9">
        <v>439</v>
      </c>
      <c r="F1093" t="s" s="10">
        <v>73</v>
      </c>
      <c r="G1093" s="14"/>
      <c r="H1093" s="19">
        <v>10</v>
      </c>
      <c r="I1093" s="14"/>
      <c r="J1093" t="s" s="11">
        <v>20</v>
      </c>
      <c r="K1093" t="s" s="16">
        <f>HYPERLINK("http://csr.bu.edu/ftp/asl/asllvd/demos/verify_start_end_handshape_annotations//test_auto_move//signs_mov/245.mov","MOV")</f>
        <v>21</v>
      </c>
      <c r="L1093" t="s" s="16">
        <f>HYPERLINK("http://csr.bu.edu/ftp/asl/asllvd/demos/verify_start_end_handshape_annotations//test_auto_move//signs_mov_separ_signers/Tyler_245.mov","MOV")</f>
        <v>21</v>
      </c>
      <c r="M1093" t="s" s="10">
        <v>26</v>
      </c>
      <c r="N1093" s="17">
        <v>26</v>
      </c>
      <c r="O1093" s="18">
        <v>1590</v>
      </c>
      <c r="P1093" s="18">
        <v>1610</v>
      </c>
      <c r="Q1093" t="s" s="16">
        <f>HYPERLINK("http://secrets.rutgers.edu:8080/data/asl-ftp/asllvd/demos/verify_start_end_handshape_annotations//test_auto_move//signs_mov/245.mov","MOV")</f>
        <v>21</v>
      </c>
      <c r="R1093" t="s" s="16">
        <f>HYPERLINK("http://secrets.rutgers.edu:8080/data/asl-ftp/asllvd/demos/verify_start_end_handshape_annotations//test_auto_move//signs_mov_separ_signers/Tyler_245.mov","MOV")</f>
        <v>21</v>
      </c>
    </row>
    <row r="1094" s="2" customFormat="1" ht="13.5" customHeight="1">
      <c r="B1094" s="13"/>
      <c r="C1094" t="s" s="9">
        <v>27</v>
      </c>
      <c r="D1094" t="s" s="8">
        <v>439</v>
      </c>
      <c r="E1094" t="s" s="9">
        <v>439</v>
      </c>
      <c r="F1094" t="s" s="10">
        <v>73</v>
      </c>
      <c r="G1094" s="14"/>
      <c r="H1094" s="19">
        <v>10</v>
      </c>
      <c r="I1094" s="14"/>
      <c r="J1094" t="s" s="11">
        <v>20</v>
      </c>
      <c r="K1094" s="15"/>
      <c r="L1094" t="s" s="16">
        <f>HYPERLINK("http://csr.bu.edu/ftp/asl/asllvd/demos/verify_start_end_handshape_annotations//test_auto_move//signs_mov_separ_signers/Naomi_245.mov","MOV")</f>
        <v>21</v>
      </c>
      <c r="M1094" t="s" s="10">
        <v>29</v>
      </c>
      <c r="N1094" s="17">
        <v>27</v>
      </c>
      <c r="O1094" s="18">
        <v>1623</v>
      </c>
      <c r="P1094" s="18">
        <v>1640</v>
      </c>
      <c r="Q1094" s="15"/>
      <c r="R1094" t="s" s="16">
        <f>HYPERLINK("http://secrets.rutgers.edu:8080/data/asl-ftp/asllvd/demos/verify_start_end_handshape_annotations//test_auto_move//signs_mov_separ_signers/Naomi_245.mov","MOV")</f>
        <v>21</v>
      </c>
    </row>
    <row r="1095" s="2" customFormat="1" ht="13.5" customHeight="1">
      <c r="B1095" s="13"/>
      <c r="C1095" t="s" s="9">
        <v>30</v>
      </c>
      <c r="D1095" t="s" s="8">
        <v>439</v>
      </c>
      <c r="E1095" t="s" s="9">
        <v>439</v>
      </c>
      <c r="F1095" t="s" s="10">
        <v>73</v>
      </c>
      <c r="G1095" s="14"/>
      <c r="H1095" s="19">
        <v>10</v>
      </c>
      <c r="I1095" s="14"/>
      <c r="J1095" t="s" s="11">
        <v>20</v>
      </c>
      <c r="K1095" s="15"/>
      <c r="L1095" t="s" s="16">
        <f>HYPERLINK("http://csr.bu.edu/ftp/asl/asllvd/demos/verify_start_end_handshape_annotations//test_auto_move//signs_mov_separ_signers/Brady_245.mov","MOV")</f>
        <v>21</v>
      </c>
      <c r="M1095" t="s" s="10">
        <v>31</v>
      </c>
      <c r="N1095" s="17">
        <v>19</v>
      </c>
      <c r="O1095" s="18">
        <v>9037</v>
      </c>
      <c r="P1095" s="18">
        <v>9055</v>
      </c>
      <c r="Q1095" s="15"/>
      <c r="R1095" t="s" s="16">
        <f>HYPERLINK("http://secrets.rutgers.edu:8080/data/asl-ftp/asllvd/demos/verify_start_end_handshape_annotations//test_auto_move//signs_mov_separ_signers/Brady_245.mov","MOV")</f>
        <v>21</v>
      </c>
    </row>
    <row r="1096" s="2" customFormat="1" ht="13.5" customHeight="1">
      <c r="B1096" t="s" s="8">
        <v>440</v>
      </c>
      <c r="C1096" t="s" s="9">
        <v>14</v>
      </c>
      <c r="D1096" t="s" s="8">
        <v>14</v>
      </c>
      <c r="E1096" t="s" s="9">
        <v>14</v>
      </c>
      <c r="F1096" t="s" s="10">
        <v>14</v>
      </c>
      <c r="G1096" t="s" s="11">
        <v>14</v>
      </c>
      <c r="H1096" t="s" s="10">
        <v>14</v>
      </c>
      <c r="I1096" t="s" s="11">
        <v>14</v>
      </c>
      <c r="J1096" t="s" s="11">
        <v>14</v>
      </c>
      <c r="K1096" t="s" s="12">
        <v>14</v>
      </c>
      <c r="L1096" t="s" s="12">
        <v>14</v>
      </c>
      <c r="M1096" t="s" s="10">
        <v>14</v>
      </c>
      <c r="N1096" t="s" s="11">
        <v>14</v>
      </c>
      <c r="O1096" t="s" s="8">
        <v>14</v>
      </c>
      <c r="P1096" t="s" s="8">
        <v>14</v>
      </c>
      <c r="Q1096" t="s" s="12">
        <v>14</v>
      </c>
      <c r="R1096" t="s" s="12">
        <v>14</v>
      </c>
    </row>
    <row r="1097" s="2" customFormat="1" ht="13.5" customHeight="1">
      <c r="B1097" s="13"/>
      <c r="C1097" t="s" s="9">
        <v>16</v>
      </c>
      <c r="D1097" t="s" s="8">
        <v>440</v>
      </c>
      <c r="E1097" t="s" s="9">
        <v>440</v>
      </c>
      <c r="F1097" t="s" s="10">
        <v>73</v>
      </c>
      <c r="G1097" s="14"/>
      <c r="H1097" s="19">
        <v>10</v>
      </c>
      <c r="I1097" s="14"/>
      <c r="J1097" t="s" s="11">
        <v>20</v>
      </c>
      <c r="K1097" s="15"/>
      <c r="L1097" t="s" s="16">
        <f>HYPERLINK("http://csr.bu.edu/ftp/asl/asllvd/demos/verify_start_end_handshape_annotations//test_auto_move//signs_mov_separ_signers/Liz_15529.mov","MOV")</f>
        <v>21</v>
      </c>
      <c r="M1097" t="s" s="10">
        <v>22</v>
      </c>
      <c r="N1097" s="17">
        <v>41</v>
      </c>
      <c r="O1097" s="18">
        <v>260</v>
      </c>
      <c r="P1097" s="18">
        <v>285</v>
      </c>
      <c r="Q1097" s="15"/>
      <c r="R1097" t="s" s="16">
        <f>HYPERLINK("http://secrets.rutgers.edu:8080/data/asl-ftp/asllvd/demos/verify_start_end_handshape_annotations//test_auto_move//signs_mov_separ_signers/Liz_15529.mov","MOV")</f>
        <v>21</v>
      </c>
    </row>
    <row r="1098" s="2" customFormat="1" ht="13.5" customHeight="1">
      <c r="B1098" s="13"/>
      <c r="C1098" t="s" s="9">
        <v>23</v>
      </c>
      <c r="D1098" t="s" s="8">
        <v>440</v>
      </c>
      <c r="E1098" t="s" s="9">
        <v>440</v>
      </c>
      <c r="F1098" t="s" s="10">
        <v>73</v>
      </c>
      <c r="G1098" s="14"/>
      <c r="H1098" s="19">
        <v>10</v>
      </c>
      <c r="I1098" s="14"/>
      <c r="J1098" t="s" s="11">
        <v>20</v>
      </c>
      <c r="K1098" t="s" s="16">
        <f>HYPERLINK("http://csr.bu.edu/ftp/asl/asllvd/demos/verify_start_end_handshape_annotations//test_auto_move//signs_mov/15529.mov","MOV")</f>
        <v>21</v>
      </c>
      <c r="L1098" t="s" s="16">
        <f>HYPERLINK("http://csr.bu.edu/ftp/asl/asllvd/demos/verify_start_end_handshape_annotations//test_auto_move//signs_mov_separ_signers/Tyler_15529.mov","MOV")</f>
        <v>21</v>
      </c>
      <c r="M1098" t="s" s="10">
        <v>26</v>
      </c>
      <c r="N1098" s="17">
        <v>26</v>
      </c>
      <c r="O1098" s="18">
        <v>1130</v>
      </c>
      <c r="P1098" s="18">
        <v>1155</v>
      </c>
      <c r="Q1098" t="s" s="16">
        <f>HYPERLINK("http://secrets.rutgers.edu:8080/data/asl-ftp/asllvd/demos/verify_start_end_handshape_annotations//test_auto_move//signs_mov/15529.mov","MOV")</f>
        <v>21</v>
      </c>
      <c r="R1098" t="s" s="16">
        <f>HYPERLINK("http://secrets.rutgers.edu:8080/data/asl-ftp/asllvd/demos/verify_start_end_handshape_annotations//test_auto_move//signs_mov_separ_signers/Tyler_15529.mov","MOV")</f>
        <v>21</v>
      </c>
    </row>
    <row r="1099" s="2" customFormat="1" ht="13.5" customHeight="1">
      <c r="B1099" s="13"/>
      <c r="C1099" t="s" s="9">
        <v>27</v>
      </c>
      <c r="D1099" t="s" s="8">
        <v>440</v>
      </c>
      <c r="E1099" t="s" s="9">
        <v>440</v>
      </c>
      <c r="F1099" t="s" s="10">
        <v>73</v>
      </c>
      <c r="G1099" s="14"/>
      <c r="H1099" s="19">
        <v>10</v>
      </c>
      <c r="I1099" s="14"/>
      <c r="J1099" t="s" s="11">
        <v>20</v>
      </c>
      <c r="K1099" s="15"/>
      <c r="L1099" t="s" s="16">
        <f>HYPERLINK("http://csr.bu.edu/ftp/asl/asllvd/demos/verify_start_end_handshape_annotations//test_auto_move//signs_mov_separ_signers/Naomi_15529.mov","MOV")</f>
        <v>21</v>
      </c>
      <c r="M1099" t="s" s="10">
        <v>29</v>
      </c>
      <c r="N1099" s="17">
        <v>27</v>
      </c>
      <c r="O1099" s="18">
        <v>1161</v>
      </c>
      <c r="P1099" s="18">
        <v>1185</v>
      </c>
      <c r="Q1099" s="15"/>
      <c r="R1099" t="s" s="16">
        <f>HYPERLINK("http://secrets.rutgers.edu:8080/data/asl-ftp/asllvd/demos/verify_start_end_handshape_annotations//test_auto_move//signs_mov_separ_signers/Naomi_15529.mov","MOV")</f>
        <v>21</v>
      </c>
    </row>
    <row r="1100" s="2" customFormat="1" ht="13.5" customHeight="1">
      <c r="B1100" s="13"/>
      <c r="C1100" t="s" s="9">
        <v>30</v>
      </c>
      <c r="D1100" t="s" s="8">
        <v>440</v>
      </c>
      <c r="E1100" t="s" s="9">
        <v>440</v>
      </c>
      <c r="F1100" t="s" s="10">
        <v>73</v>
      </c>
      <c r="G1100" s="14"/>
      <c r="H1100" s="19">
        <v>10</v>
      </c>
      <c r="I1100" s="14"/>
      <c r="J1100" t="s" s="11">
        <v>20</v>
      </c>
      <c r="K1100" s="15"/>
      <c r="L1100" t="s" s="16">
        <f>HYPERLINK("http://csr.bu.edu/ftp/asl/asllvd/demos/verify_start_end_handshape_annotations//test_auto_move//signs_mov_separ_signers/Brady_15529.mov","MOV")</f>
        <v>21</v>
      </c>
      <c r="M1100" t="s" s="10">
        <v>31</v>
      </c>
      <c r="N1100" s="17">
        <v>19</v>
      </c>
      <c r="O1100" s="18">
        <v>8290</v>
      </c>
      <c r="P1100" s="18">
        <v>8310</v>
      </c>
      <c r="Q1100" s="15"/>
      <c r="R1100" t="s" s="16">
        <f>HYPERLINK("http://secrets.rutgers.edu:8080/data/asl-ftp/asllvd/demos/verify_start_end_handshape_annotations//test_auto_move//signs_mov_separ_signers/Brady_15529.mov","MOV")</f>
        <v>21</v>
      </c>
    </row>
    <row r="1101" s="2" customFormat="1" ht="13.5" customHeight="1">
      <c r="B1101" t="s" s="8">
        <v>441</v>
      </c>
      <c r="C1101" t="s" s="9">
        <v>14</v>
      </c>
      <c r="D1101" t="s" s="8">
        <v>14</v>
      </c>
      <c r="E1101" t="s" s="9">
        <v>14</v>
      </c>
      <c r="F1101" t="s" s="10">
        <v>14</v>
      </c>
      <c r="G1101" t="s" s="11">
        <v>14</v>
      </c>
      <c r="H1101" t="s" s="10">
        <v>14</v>
      </c>
      <c r="I1101" t="s" s="11">
        <v>14</v>
      </c>
      <c r="J1101" t="s" s="11">
        <v>14</v>
      </c>
      <c r="K1101" t="s" s="12">
        <v>14</v>
      </c>
      <c r="L1101" t="s" s="12">
        <v>14</v>
      </c>
      <c r="M1101" t="s" s="10">
        <v>14</v>
      </c>
      <c r="N1101" t="s" s="11">
        <v>14</v>
      </c>
      <c r="O1101" t="s" s="8">
        <v>14</v>
      </c>
      <c r="P1101" t="s" s="8">
        <v>14</v>
      </c>
      <c r="Q1101" t="s" s="12">
        <v>14</v>
      </c>
      <c r="R1101" t="s" s="12">
        <v>14</v>
      </c>
    </row>
    <row r="1102" s="2" customFormat="1" ht="13.5" customHeight="1">
      <c r="B1102" s="13"/>
      <c r="C1102" t="s" s="9">
        <v>16</v>
      </c>
      <c r="D1102" t="s" s="8">
        <v>441</v>
      </c>
      <c r="E1102" t="s" s="9">
        <v>441</v>
      </c>
      <c r="F1102" t="s" s="10">
        <v>68</v>
      </c>
      <c r="G1102" t="s" s="11">
        <v>68</v>
      </c>
      <c r="H1102" t="s" s="10">
        <v>68</v>
      </c>
      <c r="I1102" t="s" s="11">
        <v>68</v>
      </c>
      <c r="J1102" t="s" s="11">
        <v>20</v>
      </c>
      <c r="K1102" s="15"/>
      <c r="L1102" t="s" s="16">
        <f>HYPERLINK("http://csr.bu.edu/ftp/asl/asllvd/demos/verify_start_end_handshape_annotations//test_auto_move//signs_mov_separ_signers/Liz_249.mov","MOV")</f>
        <v>21</v>
      </c>
      <c r="M1102" t="s" s="10">
        <v>22</v>
      </c>
      <c r="N1102" s="17">
        <v>42</v>
      </c>
      <c r="O1102" s="18">
        <v>235</v>
      </c>
      <c r="P1102" s="18">
        <v>280</v>
      </c>
      <c r="Q1102" s="15"/>
      <c r="R1102" t="s" s="16">
        <f>HYPERLINK("http://secrets.rutgers.edu:8080/data/asl-ftp/asllvd/demos/verify_start_end_handshape_annotations//test_auto_move//signs_mov_separ_signers/Liz_249.mov","MOV")</f>
        <v>21</v>
      </c>
    </row>
    <row r="1103" s="2" customFormat="1" ht="13.5" customHeight="1">
      <c r="B1103" s="13"/>
      <c r="C1103" t="s" s="9">
        <v>23</v>
      </c>
      <c r="D1103" t="s" s="8">
        <v>441</v>
      </c>
      <c r="E1103" t="s" s="9">
        <v>441</v>
      </c>
      <c r="F1103" t="s" s="10">
        <v>68</v>
      </c>
      <c r="G1103" t="s" s="11">
        <v>68</v>
      </c>
      <c r="H1103" t="s" s="10">
        <v>68</v>
      </c>
      <c r="I1103" t="s" s="11">
        <v>68</v>
      </c>
      <c r="J1103" t="s" s="11">
        <v>20</v>
      </c>
      <c r="K1103" s="15"/>
      <c r="L1103" t="s" s="16">
        <f>HYPERLINK("http://csr.bu.edu/ftp/asl/asllvd/demos/verify_start_end_handshape_annotations//test_auto_move//signs_mov_separ_signers/Tyler_249.mov","MOV")</f>
        <v>21</v>
      </c>
      <c r="M1103" t="s" s="10">
        <v>26</v>
      </c>
      <c r="N1103" s="17">
        <v>26</v>
      </c>
      <c r="O1103" s="18">
        <v>2732</v>
      </c>
      <c r="P1103" s="18">
        <v>2792</v>
      </c>
      <c r="Q1103" s="15"/>
      <c r="R1103" t="s" s="16">
        <f>HYPERLINK("http://secrets.rutgers.edu:8080/data/asl-ftp/asllvd/demos/verify_start_end_handshape_annotations//test_auto_move//signs_mov_separ_signers/Tyler_249.mov","MOV")</f>
        <v>21</v>
      </c>
    </row>
    <row r="1104" s="2" customFormat="1" ht="13.5" customHeight="1">
      <c r="B1104" s="13"/>
      <c r="C1104" t="s" s="9">
        <v>27</v>
      </c>
      <c r="D1104" t="s" s="8">
        <v>441</v>
      </c>
      <c r="E1104" t="s" s="9">
        <v>441</v>
      </c>
      <c r="F1104" t="s" s="10">
        <v>68</v>
      </c>
      <c r="G1104" t="s" s="11">
        <v>68</v>
      </c>
      <c r="H1104" t="s" s="10">
        <v>68</v>
      </c>
      <c r="I1104" t="s" s="11">
        <v>68</v>
      </c>
      <c r="J1104" t="s" s="11">
        <v>20</v>
      </c>
      <c r="K1104" t="s" s="16">
        <f>HYPERLINK("http://csr.bu.edu/ftp/asl/asllvd/demos/verify_start_end_handshape_annotations//test_auto_move//signs_mov/249.mov","MOV")</f>
        <v>21</v>
      </c>
      <c r="L1104" t="s" s="16">
        <f>HYPERLINK("http://csr.bu.edu/ftp/asl/asllvd/demos/verify_start_end_handshape_annotations//test_auto_move//signs_mov_separ_signers/Naomi_249.mov","MOV")</f>
        <v>21</v>
      </c>
      <c r="M1104" t="s" s="10">
        <v>29</v>
      </c>
      <c r="N1104" s="17">
        <v>27</v>
      </c>
      <c r="O1104" s="18">
        <v>2557</v>
      </c>
      <c r="P1104" s="18">
        <v>2618</v>
      </c>
      <c r="Q1104" t="s" s="16">
        <f>HYPERLINK("http://secrets.rutgers.edu:8080/data/asl-ftp/asllvd/demos/verify_start_end_handshape_annotations//test_auto_move//signs_mov/249.mov","MOV")</f>
        <v>21</v>
      </c>
      <c r="R1104" t="s" s="16">
        <f>HYPERLINK("http://secrets.rutgers.edu:8080/data/asl-ftp/asllvd/demos/verify_start_end_handshape_annotations//test_auto_move//signs_mov_separ_signers/Naomi_249.mov","MOV")</f>
        <v>21</v>
      </c>
    </row>
    <row r="1105" s="2" customFormat="1" ht="13.5" customHeight="1">
      <c r="B1105" s="13"/>
      <c r="C1105" t="s" s="9">
        <v>30</v>
      </c>
      <c r="D1105" t="s" s="8">
        <v>441</v>
      </c>
      <c r="E1105" t="s" s="9">
        <v>441</v>
      </c>
      <c r="F1105" t="s" s="10">
        <v>68</v>
      </c>
      <c r="G1105" t="s" s="11">
        <v>68</v>
      </c>
      <c r="H1105" t="s" s="10">
        <v>68</v>
      </c>
      <c r="I1105" t="s" s="11">
        <v>68</v>
      </c>
      <c r="J1105" t="s" s="11">
        <v>20</v>
      </c>
      <c r="K1105" s="15"/>
      <c r="L1105" t="s" s="16">
        <f>HYPERLINK("http://csr.bu.edu/ftp/asl/asllvd/demos/verify_start_end_handshape_annotations//test_auto_move//signs_mov_separ_signers/Brady_249.mov","MOV")</f>
        <v>21</v>
      </c>
      <c r="M1105" t="s" s="10">
        <v>31</v>
      </c>
      <c r="N1105" s="17">
        <v>21</v>
      </c>
      <c r="O1105" s="18">
        <v>2763</v>
      </c>
      <c r="P1105" s="18">
        <v>2810</v>
      </c>
      <c r="Q1105" s="15"/>
      <c r="R1105" t="s" s="16">
        <f>HYPERLINK("http://secrets.rutgers.edu:8080/data/asl-ftp/asllvd/demos/verify_start_end_handshape_annotations//test_auto_move//signs_mov_separ_signers/Brady_249.mov","MOV")</f>
        <v>21</v>
      </c>
    </row>
    <row r="1106" s="2" customFormat="1" ht="13.5" customHeight="1">
      <c r="B1106" s="13"/>
      <c r="C1106" t="s" s="9">
        <v>41</v>
      </c>
      <c r="D1106" t="s" s="8">
        <v>441</v>
      </c>
      <c r="E1106" t="s" s="9">
        <v>441</v>
      </c>
      <c r="F1106" t="s" s="10">
        <v>68</v>
      </c>
      <c r="G1106" t="s" s="11">
        <v>68</v>
      </c>
      <c r="H1106" t="s" s="10">
        <v>68</v>
      </c>
      <c r="I1106" t="s" s="11">
        <v>68</v>
      </c>
      <c r="J1106" t="s" s="11">
        <v>20</v>
      </c>
      <c r="K1106" s="15"/>
      <c r="L1106" t="s" s="16">
        <f>HYPERLINK("http://csr.bu.edu/ftp/asl/asllvd/demos/verify_start_end_handshape_annotations//test_auto_move//signs_mov_separ_signers/Lana_249.mov","MOV")</f>
        <v>21</v>
      </c>
      <c r="M1106" t="s" s="10">
        <v>442</v>
      </c>
      <c r="N1106" s="17">
        <v>61</v>
      </c>
      <c r="O1106" s="18">
        <v>530</v>
      </c>
      <c r="P1106" s="18">
        <v>587</v>
      </c>
      <c r="Q1106" s="15"/>
      <c r="R1106" t="s" s="16">
        <f>HYPERLINK("http://secrets.rutgers.edu:8080/data/asl-ftp/asllvd/demos/verify_start_end_handshape_annotations//test_auto_move//signs_mov_separ_signers/Lana_249.mov","MOV")</f>
        <v>21</v>
      </c>
    </row>
    <row r="1107" s="2" customFormat="1" ht="13.5" customHeight="1">
      <c r="B1107" t="s" s="8">
        <v>443</v>
      </c>
      <c r="C1107" t="s" s="9">
        <v>14</v>
      </c>
      <c r="D1107" t="s" s="8">
        <v>14</v>
      </c>
      <c r="E1107" t="s" s="9">
        <v>14</v>
      </c>
      <c r="F1107" t="s" s="10">
        <v>14</v>
      </c>
      <c r="G1107" t="s" s="11">
        <v>14</v>
      </c>
      <c r="H1107" t="s" s="10">
        <v>14</v>
      </c>
      <c r="I1107" t="s" s="11">
        <v>14</v>
      </c>
      <c r="J1107" t="s" s="11">
        <v>14</v>
      </c>
      <c r="K1107" t="s" s="12">
        <v>14</v>
      </c>
      <c r="L1107" t="s" s="12">
        <v>14</v>
      </c>
      <c r="M1107" t="s" s="10">
        <v>14</v>
      </c>
      <c r="N1107" t="s" s="11">
        <v>14</v>
      </c>
      <c r="O1107" t="s" s="8">
        <v>14</v>
      </c>
      <c r="P1107" t="s" s="8">
        <v>14</v>
      </c>
      <c r="Q1107" t="s" s="12">
        <v>14</v>
      </c>
      <c r="R1107" t="s" s="12">
        <v>14</v>
      </c>
    </row>
    <row r="1108" s="2" customFormat="1" ht="13.5" customHeight="1">
      <c r="B1108" s="13"/>
      <c r="C1108" t="s" s="9">
        <v>16</v>
      </c>
      <c r="D1108" t="s" s="8">
        <v>443</v>
      </c>
      <c r="E1108" t="s" s="9">
        <v>443</v>
      </c>
      <c r="F1108" t="s" s="10">
        <v>292</v>
      </c>
      <c r="G1108" t="s" s="11">
        <v>292</v>
      </c>
      <c r="H1108" t="s" s="10">
        <v>292</v>
      </c>
      <c r="I1108" t="s" s="11">
        <v>292</v>
      </c>
      <c r="J1108" t="s" s="11">
        <v>20</v>
      </c>
      <c r="K1108" s="15"/>
      <c r="L1108" t="s" s="16">
        <f>HYPERLINK("http://csr.bu.edu/ftp/asl/asllvd/demos/verify_start_end_handshape_annotations//test_auto_move//signs_mov_separ_signers/Liz_250.mov","MOV")</f>
        <v>21</v>
      </c>
      <c r="M1108" t="s" s="10">
        <v>22</v>
      </c>
      <c r="N1108" s="17">
        <v>42</v>
      </c>
      <c r="O1108" s="18">
        <v>425</v>
      </c>
      <c r="P1108" s="18">
        <v>450</v>
      </c>
      <c r="Q1108" s="15"/>
      <c r="R1108" t="s" s="16">
        <f>HYPERLINK("http://secrets.rutgers.edu:8080/data/asl-ftp/asllvd/demos/verify_start_end_handshape_annotations//test_auto_move//signs_mov_separ_signers/Liz_250.mov","MOV")</f>
        <v>21</v>
      </c>
    </row>
    <row r="1109" s="2" customFormat="1" ht="13.5" customHeight="1">
      <c r="B1109" s="13"/>
      <c r="C1109" t="s" s="9">
        <v>30</v>
      </c>
      <c r="D1109" t="s" s="8">
        <v>443</v>
      </c>
      <c r="E1109" t="s" s="9">
        <v>443</v>
      </c>
      <c r="F1109" t="s" s="10">
        <v>292</v>
      </c>
      <c r="G1109" t="s" s="11">
        <v>292</v>
      </c>
      <c r="H1109" t="s" s="10">
        <v>292</v>
      </c>
      <c r="I1109" t="s" s="11">
        <v>292</v>
      </c>
      <c r="J1109" t="s" s="11">
        <v>20</v>
      </c>
      <c r="K1109" t="s" s="16">
        <f>HYPERLINK("http://csr.bu.edu/ftp/asl/asllvd/demos/verify_start_end_handshape_annotations//test_auto_move//signs_mov/250.mov","MOV")</f>
        <v>21</v>
      </c>
      <c r="L1109" t="s" s="16">
        <f>HYPERLINK("http://csr.bu.edu/ftp/asl/asllvd/demos/verify_start_end_handshape_annotations//test_auto_move//signs_mov_separ_signers/Brady_250.mov","MOV")</f>
        <v>21</v>
      </c>
      <c r="M1109" t="s" s="10">
        <v>31</v>
      </c>
      <c r="N1109" s="17">
        <v>21</v>
      </c>
      <c r="O1109" s="18">
        <v>3602</v>
      </c>
      <c r="P1109" s="18">
        <v>3615</v>
      </c>
      <c r="Q1109" t="s" s="16">
        <f>HYPERLINK("http://secrets.rutgers.edu:8080/data/asl-ftp/asllvd/demos/verify_start_end_handshape_annotations//test_auto_move//signs_mov/250.mov","MOV")</f>
        <v>21</v>
      </c>
      <c r="R1109" t="s" s="16">
        <f>HYPERLINK("http://secrets.rutgers.edu:8080/data/asl-ftp/asllvd/demos/verify_start_end_handshape_annotations//test_auto_move//signs_mov_separ_signers/Brady_250.mov","MOV")</f>
        <v>21</v>
      </c>
    </row>
    <row r="1110" s="2" customFormat="1" ht="13.5" customHeight="1">
      <c r="B1110" s="13"/>
      <c r="C1110" t="s" s="9">
        <v>41</v>
      </c>
      <c r="D1110" t="s" s="8">
        <v>443</v>
      </c>
      <c r="E1110" t="s" s="9">
        <v>443</v>
      </c>
      <c r="F1110" t="s" s="10">
        <v>292</v>
      </c>
      <c r="G1110" t="s" s="11">
        <v>292</v>
      </c>
      <c r="H1110" t="s" s="10">
        <v>292</v>
      </c>
      <c r="I1110" t="s" s="11">
        <v>292</v>
      </c>
      <c r="J1110" t="s" s="11">
        <v>20</v>
      </c>
      <c r="K1110" s="15"/>
      <c r="L1110" t="s" s="16">
        <f>HYPERLINK("http://csr.bu.edu/ftp/asl/asllvd/demos/verify_start_end_handshape_annotations//test_auto_move//signs_mov_separ_signers/Lana_250.mov","MOV")</f>
        <v>21</v>
      </c>
      <c r="M1110" t="s" s="10">
        <v>245</v>
      </c>
      <c r="N1110" s="17">
        <v>22</v>
      </c>
      <c r="O1110" s="18">
        <v>553</v>
      </c>
      <c r="P1110" s="18">
        <v>598</v>
      </c>
      <c r="Q1110" s="15"/>
      <c r="R1110" t="s" s="16">
        <f>HYPERLINK("http://secrets.rutgers.edu:8080/data/asl-ftp/asllvd/demos/verify_start_end_handshape_annotations//test_auto_move//signs_mov_separ_signers/Lana_250.mov","MOV")</f>
        <v>21</v>
      </c>
    </row>
    <row r="1111" s="2" customFormat="1" ht="13.5" customHeight="1">
      <c r="B1111" t="s" s="8">
        <v>52</v>
      </c>
      <c r="C1111" t="s" s="9">
        <v>53</v>
      </c>
      <c r="D1111" t="s" s="8">
        <v>53</v>
      </c>
      <c r="E1111" t="s" s="9">
        <v>53</v>
      </c>
      <c r="F1111" t="s" s="10">
        <v>53</v>
      </c>
      <c r="G1111" t="s" s="11">
        <v>53</v>
      </c>
      <c r="H1111" t="s" s="10">
        <v>53</v>
      </c>
      <c r="I1111" t="s" s="11">
        <v>53</v>
      </c>
      <c r="J1111" t="s" s="11">
        <v>53</v>
      </c>
      <c r="K1111" t="s" s="12">
        <v>53</v>
      </c>
      <c r="L1111" t="s" s="12">
        <v>53</v>
      </c>
      <c r="M1111" t="s" s="10">
        <v>53</v>
      </c>
      <c r="N1111" t="s" s="11">
        <v>53</v>
      </c>
      <c r="O1111" t="s" s="8">
        <v>53</v>
      </c>
      <c r="P1111" t="s" s="8">
        <v>53</v>
      </c>
      <c r="Q1111" t="s" s="12">
        <v>53</v>
      </c>
      <c r="R1111" t="s" s="12">
        <v>53</v>
      </c>
    </row>
    <row r="1112" s="2" customFormat="1" ht="13.5" customHeight="1">
      <c r="B1112" s="13"/>
      <c r="C1112" t="s" s="9">
        <v>16</v>
      </c>
      <c r="D1112" t="s" s="8">
        <v>443</v>
      </c>
      <c r="E1112" t="s" s="9">
        <v>444</v>
      </c>
      <c r="F1112" t="s" s="10">
        <v>292</v>
      </c>
      <c r="G1112" t="s" s="11">
        <v>292</v>
      </c>
      <c r="H1112" t="s" s="10">
        <v>292</v>
      </c>
      <c r="I1112" t="s" s="11">
        <v>292</v>
      </c>
      <c r="J1112" t="s" s="11">
        <v>20</v>
      </c>
      <c r="K1112" s="15"/>
      <c r="L1112" t="s" s="16">
        <f>HYPERLINK("http://csr.bu.edu/ftp/asl/asllvd/demos/verify_start_end_handshape_annotations//test_auto_move//signs_mov_separ_signers/Liz_3642.mov","MOV")</f>
        <v>21</v>
      </c>
      <c r="M1112" t="s" s="10">
        <v>34</v>
      </c>
      <c r="N1112" s="17">
        <v>4</v>
      </c>
      <c r="O1112" s="18">
        <v>1570</v>
      </c>
      <c r="P1112" s="18">
        <v>1615</v>
      </c>
      <c r="Q1112" s="15"/>
      <c r="R1112" t="s" s="16">
        <f>HYPERLINK("http://secrets.rutgers.edu:8080/data/asl-ftp/asllvd/demos/verify_start_end_handshape_annotations//test_auto_move//signs_mov_separ_signers/Liz_3642.mov","MOV")</f>
        <v>21</v>
      </c>
    </row>
    <row r="1113" s="2" customFormat="1" ht="13.5" customHeight="1">
      <c r="B1113" s="13"/>
      <c r="C1113" t="s" s="9">
        <v>16</v>
      </c>
      <c r="D1113" t="s" s="8">
        <v>443</v>
      </c>
      <c r="E1113" t="s" s="9">
        <v>444</v>
      </c>
      <c r="F1113" t="s" s="10">
        <v>292</v>
      </c>
      <c r="G1113" t="s" s="11">
        <v>292</v>
      </c>
      <c r="H1113" t="s" s="10">
        <v>292</v>
      </c>
      <c r="I1113" t="s" s="11">
        <v>292</v>
      </c>
      <c r="J1113" t="s" s="11">
        <v>20</v>
      </c>
      <c r="K1113" s="15"/>
      <c r="L1113" t="s" s="16">
        <f>HYPERLINK("http://csr.bu.edu/ftp/asl/asllvd/demos/verify_start_end_handshape_annotations//test_auto_move//signs_mov_separ_signers/Liz_3668.mov","MOV")</f>
        <v>21</v>
      </c>
      <c r="M1113" t="s" s="10">
        <v>34</v>
      </c>
      <c r="N1113" s="17">
        <v>43</v>
      </c>
      <c r="O1113" s="18">
        <v>3522</v>
      </c>
      <c r="P1113" s="18">
        <v>3555</v>
      </c>
      <c r="Q1113" s="15"/>
      <c r="R1113" t="s" s="16">
        <f>HYPERLINK("http://secrets.rutgers.edu:8080/data/asl-ftp/asllvd/demos/verify_start_end_handshape_annotations//test_auto_move//signs_mov_separ_signers/Liz_3668.mov","MOV")</f>
        <v>21</v>
      </c>
    </row>
    <row r="1114" s="2" customFormat="1" ht="13.5" customHeight="1">
      <c r="B1114" s="13"/>
      <c r="C1114" t="s" s="9">
        <v>23</v>
      </c>
      <c r="D1114" t="s" s="8">
        <v>443</v>
      </c>
      <c r="E1114" t="s" s="9">
        <v>444</v>
      </c>
      <c r="F1114" t="s" s="10">
        <v>292</v>
      </c>
      <c r="G1114" t="s" s="11">
        <v>292</v>
      </c>
      <c r="H1114" t="s" s="10">
        <v>292</v>
      </c>
      <c r="I1114" t="s" s="11">
        <v>292</v>
      </c>
      <c r="J1114" t="s" s="11">
        <v>20</v>
      </c>
      <c r="K1114" t="s" s="16">
        <f>HYPERLINK("http://csr.bu.edu/ftp/asl/asllvd/demos/verify_start_end_handshape_annotations//test_auto_move//signs_mov/3642_3668_merged.mov","MOV")</f>
        <v>21</v>
      </c>
      <c r="L1114" t="s" s="16">
        <f>HYPERLINK("http://csr.bu.edu/ftp/asl/asllvd/demos/verify_start_end_handshape_annotations//test_auto_move//signs_mov_separ_signers/Tyler_3642.mov","MOV")</f>
        <v>21</v>
      </c>
      <c r="M1114" t="s" s="10">
        <v>26</v>
      </c>
      <c r="N1114" s="17">
        <v>26</v>
      </c>
      <c r="O1114" s="18">
        <v>2976</v>
      </c>
      <c r="P1114" s="18">
        <v>2995</v>
      </c>
      <c r="Q1114" t="s" s="16">
        <f>HYPERLINK("http://secrets.rutgers.edu:8080/data/asl-ftp/asllvd/demos/verify_start_end_handshape_annotations//test_auto_move//signs_mov/3642_3668_merged.mov","MOV")</f>
        <v>21</v>
      </c>
      <c r="R1114" t="s" s="16">
        <f>HYPERLINK("http://secrets.rutgers.edu:8080/data/asl-ftp/asllvd/demos/verify_start_end_handshape_annotations//test_auto_move//signs_mov_separ_signers/Tyler_3642.mov","MOV")</f>
        <v>21</v>
      </c>
    </row>
    <row r="1115" s="2" customFormat="1" ht="13.5" customHeight="1">
      <c r="B1115" s="13"/>
      <c r="C1115" t="s" s="9">
        <v>23</v>
      </c>
      <c r="D1115" t="s" s="8">
        <v>443</v>
      </c>
      <c r="E1115" t="s" s="9">
        <v>444</v>
      </c>
      <c r="F1115" t="s" s="10">
        <v>292</v>
      </c>
      <c r="G1115" t="s" s="11">
        <v>292</v>
      </c>
      <c r="H1115" t="s" s="10">
        <v>292</v>
      </c>
      <c r="I1115" t="s" s="11">
        <v>292</v>
      </c>
      <c r="J1115" t="s" s="11">
        <v>20</v>
      </c>
      <c r="K1115" s="15"/>
      <c r="L1115" t="s" s="16">
        <f>HYPERLINK("http://csr.bu.edu/ftp/asl/asllvd/demos/verify_start_end_handshape_annotations//test_auto_move//signs_mov_separ_signers/Tyler_3668.mov","MOV")</f>
        <v>21</v>
      </c>
      <c r="M1115" t="s" s="10">
        <v>37</v>
      </c>
      <c r="N1115" s="17">
        <v>16</v>
      </c>
      <c r="O1115" s="18">
        <v>2432</v>
      </c>
      <c r="P1115" s="18">
        <v>2446</v>
      </c>
      <c r="Q1115" s="15"/>
      <c r="R1115" t="s" s="16">
        <f>HYPERLINK("http://secrets.rutgers.edu:8080/data/asl-ftp/asllvd/demos/verify_start_end_handshape_annotations//test_auto_move//signs_mov_separ_signers/Tyler_3668.mov","MOV")</f>
        <v>21</v>
      </c>
    </row>
    <row r="1116" s="2" customFormat="1" ht="13.5" customHeight="1">
      <c r="B1116" s="13"/>
      <c r="C1116" t="s" s="9">
        <v>27</v>
      </c>
      <c r="D1116" t="s" s="8">
        <v>443</v>
      </c>
      <c r="E1116" t="s" s="9">
        <v>444</v>
      </c>
      <c r="F1116" t="s" s="10">
        <v>292</v>
      </c>
      <c r="G1116" t="s" s="11">
        <v>292</v>
      </c>
      <c r="H1116" t="s" s="10">
        <v>292</v>
      </c>
      <c r="I1116" t="s" s="11">
        <v>292</v>
      </c>
      <c r="J1116" t="s" s="11">
        <v>20</v>
      </c>
      <c r="K1116" s="15"/>
      <c r="L1116" t="s" s="16">
        <f>HYPERLINK("http://csr.bu.edu/ftp/asl/asllvd/demos/verify_start_end_handshape_annotations//test_auto_move//signs_mov_separ_signers/Naomi_3642.mov","MOV")</f>
        <v>21</v>
      </c>
      <c r="M1116" t="s" s="10">
        <v>38</v>
      </c>
      <c r="N1116" s="17">
        <v>4</v>
      </c>
      <c r="O1116" s="18">
        <v>2337</v>
      </c>
      <c r="P1116" s="18">
        <v>2365</v>
      </c>
      <c r="Q1116" s="15"/>
      <c r="R1116" t="s" s="16">
        <f>HYPERLINK("http://secrets.rutgers.edu:8080/data/asl-ftp/asllvd/demos/verify_start_end_handshape_annotations//test_auto_move//signs_mov_separ_signers/Naomi_3642.mov","MOV")</f>
        <v>21</v>
      </c>
    </row>
    <row r="1117" s="2" customFormat="1" ht="13.5" customHeight="1">
      <c r="B1117" s="13"/>
      <c r="C1117" t="s" s="9">
        <v>27</v>
      </c>
      <c r="D1117" t="s" s="8">
        <v>443</v>
      </c>
      <c r="E1117" t="s" s="9">
        <v>444</v>
      </c>
      <c r="F1117" t="s" s="10">
        <v>292</v>
      </c>
      <c r="G1117" t="s" s="11">
        <v>292</v>
      </c>
      <c r="H1117" t="s" s="10">
        <v>292</v>
      </c>
      <c r="I1117" t="s" s="11">
        <v>292</v>
      </c>
      <c r="J1117" t="s" s="11">
        <v>20</v>
      </c>
      <c r="K1117" s="15"/>
      <c r="L1117" t="s" s="16">
        <f>HYPERLINK("http://csr.bu.edu/ftp/asl/asllvd/demos/verify_start_end_handshape_annotations//test_auto_move//signs_mov_separ_signers/Naomi_3668.mov","MOV")</f>
        <v>21</v>
      </c>
      <c r="M1117" t="s" s="10">
        <v>38</v>
      </c>
      <c r="N1117" s="17">
        <v>36</v>
      </c>
      <c r="O1117" s="18">
        <v>3432</v>
      </c>
      <c r="P1117" s="18">
        <v>3453</v>
      </c>
      <c r="Q1117" s="15"/>
      <c r="R1117" t="s" s="16">
        <f>HYPERLINK("http://secrets.rutgers.edu:8080/data/asl-ftp/asllvd/demos/verify_start_end_handshape_annotations//test_auto_move//signs_mov_separ_signers/Naomi_3668.mov","MOV")</f>
        <v>21</v>
      </c>
    </row>
    <row r="1118" s="2" customFormat="1" ht="13.5" customHeight="1">
      <c r="B1118" t="s" s="8">
        <v>52</v>
      </c>
      <c r="C1118" t="s" s="9">
        <v>53</v>
      </c>
      <c r="D1118" t="s" s="8">
        <v>53</v>
      </c>
      <c r="E1118" t="s" s="9">
        <v>53</v>
      </c>
      <c r="F1118" t="s" s="10">
        <v>53</v>
      </c>
      <c r="G1118" t="s" s="11">
        <v>53</v>
      </c>
      <c r="H1118" t="s" s="10">
        <v>53</v>
      </c>
      <c r="I1118" t="s" s="11">
        <v>53</v>
      </c>
      <c r="J1118" t="s" s="11">
        <v>53</v>
      </c>
      <c r="K1118" t="s" s="12">
        <v>53</v>
      </c>
      <c r="L1118" t="s" s="12">
        <v>53</v>
      </c>
      <c r="M1118" t="s" s="10">
        <v>53</v>
      </c>
      <c r="N1118" t="s" s="11">
        <v>53</v>
      </c>
      <c r="O1118" t="s" s="8">
        <v>53</v>
      </c>
      <c r="P1118" t="s" s="8">
        <v>53</v>
      </c>
      <c r="Q1118" t="s" s="12">
        <v>53</v>
      </c>
      <c r="R1118" t="s" s="12">
        <v>53</v>
      </c>
    </row>
    <row r="1119" s="2" customFormat="1" ht="13.5" customHeight="1">
      <c r="B1119" s="13"/>
      <c r="C1119" t="s" s="9">
        <v>27</v>
      </c>
      <c r="D1119" t="s" s="8">
        <v>443</v>
      </c>
      <c r="E1119" t="s" s="9">
        <v>445</v>
      </c>
      <c r="F1119" t="s" s="10">
        <v>292</v>
      </c>
      <c r="G1119" t="s" s="11">
        <v>292</v>
      </c>
      <c r="H1119" t="s" s="10">
        <v>292</v>
      </c>
      <c r="I1119" t="s" s="11">
        <v>292</v>
      </c>
      <c r="J1119" t="s" s="11">
        <v>20</v>
      </c>
      <c r="K1119" t="s" s="16">
        <f>HYPERLINK("http://csr.bu.edu/ftp/asl/asllvd/demos/verify_start_end_handshape_annotations//test_auto_move//signs_mov/15686.mov","MOV")</f>
        <v>21</v>
      </c>
      <c r="L1119" t="s" s="16">
        <f>HYPERLINK("http://csr.bu.edu/ftp/asl/asllvd/demos/verify_start_end_handshape_annotations//test_auto_move//signs_mov_separ_signers/Naomi_15686.mov","MOV")</f>
        <v>21</v>
      </c>
      <c r="M1119" t="s" s="10">
        <v>29</v>
      </c>
      <c r="N1119" s="17">
        <v>27</v>
      </c>
      <c r="O1119" s="18">
        <v>2785</v>
      </c>
      <c r="P1119" s="18">
        <v>2810</v>
      </c>
      <c r="Q1119" t="s" s="16">
        <f>HYPERLINK("http://secrets.rutgers.edu:8080/data/asl-ftp/asllvd/demos/verify_start_end_handshape_annotations//test_auto_move//signs_mov/15686.mov","MOV")</f>
        <v>21</v>
      </c>
      <c r="R1119" t="s" s="16">
        <f>HYPERLINK("http://secrets.rutgers.edu:8080/data/asl-ftp/asllvd/demos/verify_start_end_handshape_annotations//test_auto_move//signs_mov_separ_signers/Naomi_15686.mov","MOV")</f>
        <v>21</v>
      </c>
    </row>
    <row r="1120" s="2" customFormat="1" ht="13.5" customHeight="1">
      <c r="B1120" t="s" s="8">
        <v>52</v>
      </c>
      <c r="C1120" t="s" s="9">
        <v>53</v>
      </c>
      <c r="D1120" t="s" s="8">
        <v>53</v>
      </c>
      <c r="E1120" t="s" s="9">
        <v>53</v>
      </c>
      <c r="F1120" t="s" s="10">
        <v>53</v>
      </c>
      <c r="G1120" t="s" s="11">
        <v>53</v>
      </c>
      <c r="H1120" t="s" s="10">
        <v>53</v>
      </c>
      <c r="I1120" t="s" s="11">
        <v>53</v>
      </c>
      <c r="J1120" t="s" s="11">
        <v>53</v>
      </c>
      <c r="K1120" t="s" s="12">
        <v>53</v>
      </c>
      <c r="L1120" t="s" s="12">
        <v>53</v>
      </c>
      <c r="M1120" t="s" s="10">
        <v>53</v>
      </c>
      <c r="N1120" t="s" s="11">
        <v>53</v>
      </c>
      <c r="O1120" t="s" s="8">
        <v>53</v>
      </c>
      <c r="P1120" t="s" s="8">
        <v>53</v>
      </c>
      <c r="Q1120" t="s" s="12">
        <v>53</v>
      </c>
      <c r="R1120" t="s" s="12">
        <v>53</v>
      </c>
    </row>
    <row r="1121" s="2" customFormat="1" ht="13.5" customHeight="1">
      <c r="B1121" s="13"/>
      <c r="C1121" t="s" s="9">
        <v>30</v>
      </c>
      <c r="D1121" t="s" s="8">
        <v>443</v>
      </c>
      <c r="E1121" t="s" s="9">
        <v>446</v>
      </c>
      <c r="F1121" t="s" s="10">
        <v>292</v>
      </c>
      <c r="G1121" t="s" s="11">
        <v>292</v>
      </c>
      <c r="H1121" t="s" s="10">
        <v>292</v>
      </c>
      <c r="I1121" t="s" s="11">
        <v>292</v>
      </c>
      <c r="J1121" t="s" s="11">
        <v>20</v>
      </c>
      <c r="K1121" t="s" s="16">
        <f>HYPERLINK("http://csr.bu.edu/ftp/asl/asllvd/demos/verify_start_end_handshape_annotations//test_auto_move//signs_mov/15848_15861_merged.mov","MOV")</f>
        <v>21</v>
      </c>
      <c r="L1121" t="s" s="16">
        <f>HYPERLINK("http://csr.bu.edu/ftp/asl/asllvd/demos/verify_start_end_handshape_annotations//test_auto_move//signs_mov_separ_signers/Brady_15848.mov","MOV")</f>
        <v>21</v>
      </c>
      <c r="M1121" t="s" s="10">
        <v>39</v>
      </c>
      <c r="N1121" s="17">
        <v>25</v>
      </c>
      <c r="O1121" s="18">
        <v>4894</v>
      </c>
      <c r="P1121" s="18">
        <v>4925</v>
      </c>
      <c r="Q1121" t="s" s="16">
        <f>HYPERLINK("http://secrets.rutgers.edu:8080/data/asl-ftp/asllvd/demos/verify_start_end_handshape_annotations//test_auto_move//signs_mov/15848_15861_merged.mov","MOV")</f>
        <v>21</v>
      </c>
      <c r="R1121" t="s" s="16">
        <f>HYPERLINK("http://secrets.rutgers.edu:8080/data/asl-ftp/asllvd/demos/verify_start_end_handshape_annotations//test_auto_move//signs_mov_separ_signers/Brady_15848.mov","MOV")</f>
        <v>21</v>
      </c>
    </row>
    <row r="1122" s="2" customFormat="1" ht="13.5" customHeight="1">
      <c r="B1122" s="13"/>
      <c r="C1122" t="s" s="9">
        <v>30</v>
      </c>
      <c r="D1122" t="s" s="8">
        <v>443</v>
      </c>
      <c r="E1122" t="s" s="9">
        <v>446</v>
      </c>
      <c r="F1122" t="s" s="10">
        <v>292</v>
      </c>
      <c r="G1122" t="s" s="11">
        <v>292</v>
      </c>
      <c r="H1122" t="s" s="10">
        <v>292</v>
      </c>
      <c r="I1122" t="s" s="11">
        <v>292</v>
      </c>
      <c r="J1122" t="s" s="11">
        <v>20</v>
      </c>
      <c r="K1122" s="15"/>
      <c r="L1122" t="s" s="16">
        <f>HYPERLINK("http://csr.bu.edu/ftp/asl/asllvd/demos/verify_start_end_handshape_annotations//test_auto_move//signs_mov_separ_signers/Brady_15861.mov","MOV")</f>
        <v>21</v>
      </c>
      <c r="M1122" t="s" s="10">
        <v>39</v>
      </c>
      <c r="N1122" s="17">
        <v>46</v>
      </c>
      <c r="O1122" s="18">
        <v>4741</v>
      </c>
      <c r="P1122" s="18">
        <v>4768</v>
      </c>
      <c r="Q1122" s="15"/>
      <c r="R1122" t="s" s="16">
        <f>HYPERLINK("http://secrets.rutgers.edu:8080/data/asl-ftp/asllvd/demos/verify_start_end_handshape_annotations//test_auto_move//signs_mov_separ_signers/Brady_15861.mov","MOV")</f>
        <v>21</v>
      </c>
    </row>
    <row r="1123" s="2" customFormat="1" ht="13.5" customHeight="1">
      <c r="B1123" t="s" s="8">
        <v>447</v>
      </c>
      <c r="C1123" t="s" s="9">
        <v>14</v>
      </c>
      <c r="D1123" t="s" s="8">
        <v>14</v>
      </c>
      <c r="E1123" t="s" s="9">
        <v>14</v>
      </c>
      <c r="F1123" t="s" s="10">
        <v>14</v>
      </c>
      <c r="G1123" t="s" s="11">
        <v>14</v>
      </c>
      <c r="H1123" t="s" s="10">
        <v>14</v>
      </c>
      <c r="I1123" t="s" s="11">
        <v>14</v>
      </c>
      <c r="J1123" t="s" s="11">
        <v>14</v>
      </c>
      <c r="K1123" t="s" s="12">
        <v>14</v>
      </c>
      <c r="L1123" t="s" s="12">
        <v>14</v>
      </c>
      <c r="M1123" t="s" s="10">
        <v>14</v>
      </c>
      <c r="N1123" t="s" s="11">
        <v>14</v>
      </c>
      <c r="O1123" t="s" s="8">
        <v>14</v>
      </c>
      <c r="P1123" t="s" s="8">
        <v>14</v>
      </c>
      <c r="Q1123" t="s" s="12">
        <v>14</v>
      </c>
      <c r="R1123" t="s" s="12">
        <v>14</v>
      </c>
    </row>
    <row r="1124" s="2" customFormat="1" ht="13.5" customHeight="1">
      <c r="B1124" s="13"/>
      <c r="C1124" t="s" s="9">
        <v>16</v>
      </c>
      <c r="D1124" t="s" s="8">
        <v>447</v>
      </c>
      <c r="E1124" t="s" s="9">
        <v>447</v>
      </c>
      <c r="F1124" t="s" s="10">
        <v>25</v>
      </c>
      <c r="G1124" t="s" s="11">
        <v>25</v>
      </c>
      <c r="H1124" t="s" s="10">
        <v>292</v>
      </c>
      <c r="I1124" t="s" s="11">
        <v>292</v>
      </c>
      <c r="J1124" t="s" s="11">
        <v>20</v>
      </c>
      <c r="K1124" s="15"/>
      <c r="L1124" t="s" s="16">
        <f>HYPERLINK("http://csr.bu.edu/ftp/asl/asllvd/demos/verify_start_end_handshape_annotations//test_auto_move//signs_mov_separ_signers/Liz_15874.mov","MOV")</f>
        <v>21</v>
      </c>
      <c r="M1124" t="s" s="10">
        <v>77</v>
      </c>
      <c r="N1124" s="17">
        <v>6</v>
      </c>
      <c r="O1124" s="18">
        <v>2943</v>
      </c>
      <c r="P1124" s="18">
        <v>3003</v>
      </c>
      <c r="Q1124" s="15"/>
      <c r="R1124" t="s" s="16">
        <f>HYPERLINK("http://secrets.rutgers.edu:8080/data/asl-ftp/asllvd/demos/verify_start_end_handshape_annotations//test_auto_move//signs_mov_separ_signers/Liz_15874.mov","MOV")</f>
        <v>21</v>
      </c>
    </row>
    <row r="1125" s="2" customFormat="1" ht="13.5" customHeight="1">
      <c r="B1125" s="13"/>
      <c r="C1125" t="s" s="9">
        <v>23</v>
      </c>
      <c r="D1125" t="s" s="8">
        <v>447</v>
      </c>
      <c r="E1125" t="s" s="9">
        <v>447</v>
      </c>
      <c r="F1125" t="s" s="10">
        <v>292</v>
      </c>
      <c r="G1125" t="s" s="11">
        <v>292</v>
      </c>
      <c r="H1125" t="s" s="10">
        <v>292</v>
      </c>
      <c r="I1125" t="s" s="11">
        <v>292</v>
      </c>
      <c r="J1125" t="s" s="11">
        <v>20</v>
      </c>
      <c r="K1125" s="15"/>
      <c r="L1125" t="s" s="16">
        <f>HYPERLINK("http://csr.bu.edu/ftp/asl/asllvd/demos/verify_start_end_handshape_annotations//test_auto_move//signs_mov_separ_signers/Tyler_15874.mov","MOV")</f>
        <v>21</v>
      </c>
      <c r="M1125" t="s" s="10">
        <v>92</v>
      </c>
      <c r="N1125" s="17">
        <v>8</v>
      </c>
      <c r="O1125" s="18">
        <v>3681</v>
      </c>
      <c r="P1125" s="18">
        <v>3710</v>
      </c>
      <c r="Q1125" s="15"/>
      <c r="R1125" t="s" s="16">
        <f>HYPERLINK("http://secrets.rutgers.edu:8080/data/asl-ftp/asllvd/demos/verify_start_end_handshape_annotations//test_auto_move//signs_mov_separ_signers/Tyler_15874.mov","MOV")</f>
        <v>21</v>
      </c>
    </row>
    <row r="1126" s="2" customFormat="1" ht="13.5" customHeight="1">
      <c r="B1126" s="13"/>
      <c r="C1126" t="s" s="9">
        <v>23</v>
      </c>
      <c r="D1126" t="s" s="8">
        <v>447</v>
      </c>
      <c r="E1126" t="s" s="9">
        <v>447</v>
      </c>
      <c r="F1126" t="s" s="10">
        <v>292</v>
      </c>
      <c r="G1126" t="s" s="11">
        <v>292</v>
      </c>
      <c r="H1126" t="s" s="10">
        <v>292</v>
      </c>
      <c r="I1126" t="s" s="11">
        <v>292</v>
      </c>
      <c r="J1126" t="s" s="11">
        <v>20</v>
      </c>
      <c r="K1126" s="15"/>
      <c r="L1126" t="s" s="16">
        <f>HYPERLINK("http://csr.bu.edu/ftp/asl/asllvd/demos/verify_start_end_handshape_annotations//test_auto_move//signs_mov_separ_signers/Tyler_16104.mov","MOV")</f>
        <v>21</v>
      </c>
      <c r="M1126" t="s" s="10">
        <v>92</v>
      </c>
      <c r="N1126" s="17">
        <v>9</v>
      </c>
      <c r="O1126" s="18">
        <v>315</v>
      </c>
      <c r="P1126" s="18">
        <v>335</v>
      </c>
      <c r="Q1126" s="15"/>
      <c r="R1126" t="s" s="16">
        <f>HYPERLINK("http://secrets.rutgers.edu:8080/data/asl-ftp/asllvd/demos/verify_start_end_handshape_annotations//test_auto_move//signs_mov_separ_signers/Tyler_16104.mov","MOV")</f>
        <v>21</v>
      </c>
    </row>
    <row r="1127" s="2" customFormat="1" ht="13.5" customHeight="1">
      <c r="B1127" s="13"/>
      <c r="C1127" t="s" s="9">
        <v>30</v>
      </c>
      <c r="D1127" t="s" s="8">
        <v>447</v>
      </c>
      <c r="E1127" t="s" s="9">
        <v>447</v>
      </c>
      <c r="F1127" t="s" s="10">
        <v>292</v>
      </c>
      <c r="G1127" t="s" s="11">
        <v>292</v>
      </c>
      <c r="H1127" t="s" s="10">
        <v>292</v>
      </c>
      <c r="I1127" t="s" s="11">
        <v>292</v>
      </c>
      <c r="J1127" t="s" s="11">
        <v>20</v>
      </c>
      <c r="K1127" t="s" s="16">
        <f>HYPERLINK("http://csr.bu.edu/ftp/asl/asllvd/demos/verify_start_end_handshape_annotations//test_auto_move//signs_mov/15874_16104_16240_merged.mov","MOV")</f>
        <v>21</v>
      </c>
      <c r="L1127" t="s" s="16">
        <f>HYPERLINK("http://csr.bu.edu/ftp/asl/asllvd/demos/verify_start_end_handshape_annotations//test_auto_move//signs_mov_separ_signers/Brady_15874.mov","MOV")</f>
        <v>21</v>
      </c>
      <c r="M1127" t="s" s="10">
        <v>31</v>
      </c>
      <c r="N1127" s="17">
        <v>21</v>
      </c>
      <c r="O1127" s="18">
        <v>3813</v>
      </c>
      <c r="P1127" s="18">
        <v>3844</v>
      </c>
      <c r="Q1127" t="s" s="16">
        <f>HYPERLINK("http://secrets.rutgers.edu:8080/data/asl-ftp/asllvd/demos/verify_start_end_handshape_annotations//test_auto_move//signs_mov/15874_16104_16240_merged.mov","MOV")</f>
        <v>21</v>
      </c>
      <c r="R1127" t="s" s="16">
        <f>HYPERLINK("http://secrets.rutgers.edu:8080/data/asl-ftp/asllvd/demos/verify_start_end_handshape_annotations//test_auto_move//signs_mov_separ_signers/Brady_15874.mov","MOV")</f>
        <v>21</v>
      </c>
    </row>
    <row r="1128" s="2" customFormat="1" ht="13.5" customHeight="1">
      <c r="B1128" s="13"/>
      <c r="C1128" t="s" s="9">
        <v>30</v>
      </c>
      <c r="D1128" t="s" s="8">
        <v>447</v>
      </c>
      <c r="E1128" t="s" s="9">
        <v>447</v>
      </c>
      <c r="F1128" t="s" s="10">
        <v>292</v>
      </c>
      <c r="G1128" t="s" s="11">
        <v>292</v>
      </c>
      <c r="H1128" t="s" s="10">
        <v>292</v>
      </c>
      <c r="I1128" t="s" s="11">
        <v>292</v>
      </c>
      <c r="J1128" t="s" s="11">
        <v>20</v>
      </c>
      <c r="K1128" s="15"/>
      <c r="L1128" t="s" s="16">
        <f>HYPERLINK("http://csr.bu.edu/ftp/asl/asllvd/demos/verify_start_end_handshape_annotations//test_auto_move//signs_mov_separ_signers/Brady_16104.mov","MOV")</f>
        <v>21</v>
      </c>
      <c r="M1128" t="s" s="10">
        <v>39</v>
      </c>
      <c r="N1128" s="17">
        <v>10</v>
      </c>
      <c r="O1128" s="18">
        <v>5321</v>
      </c>
      <c r="P1128" s="18">
        <v>5343</v>
      </c>
      <c r="Q1128" s="15"/>
      <c r="R1128" t="s" s="16">
        <f>HYPERLINK("http://secrets.rutgers.edu:8080/data/asl-ftp/asllvd/demos/verify_start_end_handshape_annotations//test_auto_move//signs_mov_separ_signers/Brady_16104.mov","MOV")</f>
        <v>21</v>
      </c>
    </row>
    <row r="1129" s="2" customFormat="1" ht="13.5" customHeight="1">
      <c r="B1129" s="13"/>
      <c r="C1129" t="s" s="9">
        <v>30</v>
      </c>
      <c r="D1129" t="s" s="8">
        <v>447</v>
      </c>
      <c r="E1129" t="s" s="9">
        <v>447</v>
      </c>
      <c r="F1129" t="s" s="10">
        <v>292</v>
      </c>
      <c r="G1129" t="s" s="11">
        <v>292</v>
      </c>
      <c r="H1129" t="s" s="10">
        <v>292</v>
      </c>
      <c r="I1129" t="s" s="11">
        <v>292</v>
      </c>
      <c r="J1129" t="s" s="11">
        <v>20</v>
      </c>
      <c r="K1129" s="15"/>
      <c r="L1129" t="s" s="16">
        <f>HYPERLINK("http://csr.bu.edu/ftp/asl/asllvd/demos/verify_start_end_handshape_annotations//test_auto_move//signs_mov_separ_signers/Brady_16240.mov","MOV")</f>
        <v>21</v>
      </c>
      <c r="M1129" t="s" s="10">
        <v>39</v>
      </c>
      <c r="N1129" s="17">
        <v>10</v>
      </c>
      <c r="O1129" s="18">
        <v>5858</v>
      </c>
      <c r="P1129" s="18">
        <v>5890</v>
      </c>
      <c r="Q1129" s="15"/>
      <c r="R1129" t="s" s="16">
        <f>HYPERLINK("http://secrets.rutgers.edu:8080/data/asl-ftp/asllvd/demos/verify_start_end_handshape_annotations//test_auto_move//signs_mov_separ_signers/Brady_16240.mov","MOV")</f>
        <v>21</v>
      </c>
    </row>
    <row r="1130" s="2" customFormat="1" ht="13.5" customHeight="1">
      <c r="B1130" s="13"/>
      <c r="C1130" t="s" s="9">
        <v>41</v>
      </c>
      <c r="D1130" t="s" s="8">
        <v>447</v>
      </c>
      <c r="E1130" t="s" s="9">
        <v>447</v>
      </c>
      <c r="F1130" t="s" s="10">
        <v>292</v>
      </c>
      <c r="G1130" t="s" s="11">
        <v>292</v>
      </c>
      <c r="H1130" t="s" s="10">
        <v>292</v>
      </c>
      <c r="I1130" t="s" s="11">
        <v>292</v>
      </c>
      <c r="J1130" t="s" s="11">
        <v>20</v>
      </c>
      <c r="K1130" s="15"/>
      <c r="L1130" t="s" s="16">
        <f>HYPERLINK("http://csr.bu.edu/ftp/asl/asllvd/demos/verify_start_end_handshape_annotations//test_auto_move//signs_mov_separ_signers/Lana_15874.mov","MOV")</f>
        <v>21</v>
      </c>
      <c r="M1130" t="s" s="10">
        <v>42</v>
      </c>
      <c r="N1130" s="17">
        <v>8</v>
      </c>
      <c r="O1130" s="18">
        <v>1467</v>
      </c>
      <c r="P1130" s="18">
        <v>1481</v>
      </c>
      <c r="Q1130" s="15"/>
      <c r="R1130" t="s" s="16">
        <f>HYPERLINK("http://secrets.rutgers.edu:8080/data/asl-ftp/asllvd/demos/verify_start_end_handshape_annotations//test_auto_move//signs_mov_separ_signers/Lana_15874.mov","MOV")</f>
        <v>21</v>
      </c>
    </row>
    <row r="1131" s="2" customFormat="1" ht="13.5" customHeight="1">
      <c r="B1131" s="13"/>
      <c r="C1131" t="s" s="9">
        <v>43</v>
      </c>
      <c r="D1131" t="s" s="8">
        <v>447</v>
      </c>
      <c r="E1131" t="s" s="9">
        <v>447</v>
      </c>
      <c r="F1131" t="s" s="10">
        <v>292</v>
      </c>
      <c r="G1131" t="s" s="11">
        <v>292</v>
      </c>
      <c r="H1131" t="s" s="10">
        <v>292</v>
      </c>
      <c r="I1131" t="s" s="11">
        <v>292</v>
      </c>
      <c r="J1131" t="s" s="11">
        <v>20</v>
      </c>
      <c r="K1131" s="15"/>
      <c r="L1131" t="s" s="16">
        <f>HYPERLINK("http://csr.bu.edu/ftp/asl/asllvd/demos/verify_start_end_handshape_annotations//test_auto_move//signs_mov_separ_signers/Dana_15874.mov","MOV")</f>
        <v>21</v>
      </c>
      <c r="M1131" t="s" s="10">
        <v>44</v>
      </c>
      <c r="N1131" s="17">
        <v>12</v>
      </c>
      <c r="O1131" s="18">
        <v>1391</v>
      </c>
      <c r="P1131" s="18">
        <v>1433</v>
      </c>
      <c r="Q1131" s="15"/>
      <c r="R1131" t="s" s="16">
        <f>HYPERLINK("http://secrets.rutgers.edu:8080/data/asl-ftp/asllvd/demos/verify_start_end_handshape_annotations//test_auto_move//signs_mov_separ_signers/Dana_15874.mov","MOV")</f>
        <v>21</v>
      </c>
    </row>
    <row r="1132" s="2" customFormat="1" ht="13.5" customHeight="1">
      <c r="B1132" t="s" s="8">
        <v>448</v>
      </c>
      <c r="C1132" t="s" s="9">
        <v>14</v>
      </c>
      <c r="D1132" t="s" s="8">
        <v>14</v>
      </c>
      <c r="E1132" t="s" s="9">
        <v>14</v>
      </c>
      <c r="F1132" t="s" s="10">
        <v>14</v>
      </c>
      <c r="G1132" t="s" s="11">
        <v>14</v>
      </c>
      <c r="H1132" t="s" s="10">
        <v>14</v>
      </c>
      <c r="I1132" t="s" s="11">
        <v>14</v>
      </c>
      <c r="J1132" t="s" s="11">
        <v>14</v>
      </c>
      <c r="K1132" t="s" s="12">
        <v>14</v>
      </c>
      <c r="L1132" t="s" s="12">
        <v>14</v>
      </c>
      <c r="M1132" t="s" s="10">
        <v>14</v>
      </c>
      <c r="N1132" t="s" s="11">
        <v>14</v>
      </c>
      <c r="O1132" t="s" s="8">
        <v>14</v>
      </c>
      <c r="P1132" t="s" s="8">
        <v>14</v>
      </c>
      <c r="Q1132" t="s" s="12">
        <v>14</v>
      </c>
      <c r="R1132" t="s" s="12">
        <v>14</v>
      </c>
    </row>
    <row r="1133" s="2" customFormat="1" ht="13.5" customHeight="1">
      <c r="B1133" s="13"/>
      <c r="C1133" t="s" s="9">
        <v>23</v>
      </c>
      <c r="D1133" t="s" s="8">
        <v>448</v>
      </c>
      <c r="E1133" t="s" s="9">
        <v>448</v>
      </c>
      <c r="F1133" t="s" s="10">
        <v>292</v>
      </c>
      <c r="G1133" t="s" s="11">
        <v>292</v>
      </c>
      <c r="H1133" t="s" s="10">
        <v>292</v>
      </c>
      <c r="I1133" t="s" s="11">
        <v>292</v>
      </c>
      <c r="J1133" t="s" s="11">
        <v>20</v>
      </c>
      <c r="K1133" t="s" s="16">
        <f>HYPERLINK("http://csr.bu.edu/ftp/asl/asllvd/demos/verify_start_end_handshape_annotations//test_auto_move//signs_mov/16241.mov","MOV")</f>
        <v>21</v>
      </c>
      <c r="L1133" t="s" s="16">
        <f>HYPERLINK("http://csr.bu.edu/ftp/asl/asllvd/demos/verify_start_end_handshape_annotations//test_auto_move//signs_mov_separ_signers/Tyler_16241.mov","MOV")</f>
        <v>21</v>
      </c>
      <c r="M1133" t="s" s="10">
        <v>47</v>
      </c>
      <c r="N1133" s="17">
        <v>3</v>
      </c>
      <c r="O1133" s="18">
        <v>1355</v>
      </c>
      <c r="P1133" s="18">
        <v>1385</v>
      </c>
      <c r="Q1133" t="s" s="16">
        <f>HYPERLINK("http://secrets.rutgers.edu:8080/data/asl-ftp/asllvd/demos/verify_start_end_handshape_annotations//test_auto_move//signs_mov/16241.mov","MOV")</f>
        <v>21</v>
      </c>
      <c r="R1133" t="s" s="16">
        <f>HYPERLINK("http://secrets.rutgers.edu:8080/data/asl-ftp/asllvd/demos/verify_start_end_handshape_annotations//test_auto_move//signs_mov_separ_signers/Tyler_16241.mov","MOV")</f>
        <v>21</v>
      </c>
    </row>
    <row r="1134" s="2" customFormat="1" ht="13.5" customHeight="1">
      <c r="B1134" t="s" s="8">
        <v>449</v>
      </c>
      <c r="C1134" t="s" s="9">
        <v>14</v>
      </c>
      <c r="D1134" t="s" s="8">
        <v>14</v>
      </c>
      <c r="E1134" t="s" s="9">
        <v>14</v>
      </c>
      <c r="F1134" t="s" s="10">
        <v>14</v>
      </c>
      <c r="G1134" t="s" s="11">
        <v>14</v>
      </c>
      <c r="H1134" t="s" s="10">
        <v>14</v>
      </c>
      <c r="I1134" t="s" s="11">
        <v>14</v>
      </c>
      <c r="J1134" t="s" s="11">
        <v>14</v>
      </c>
      <c r="K1134" t="s" s="12">
        <v>14</v>
      </c>
      <c r="L1134" t="s" s="12">
        <v>14</v>
      </c>
      <c r="M1134" t="s" s="10">
        <v>14</v>
      </c>
      <c r="N1134" t="s" s="11">
        <v>14</v>
      </c>
      <c r="O1134" t="s" s="8">
        <v>14</v>
      </c>
      <c r="P1134" t="s" s="8">
        <v>14</v>
      </c>
      <c r="Q1134" t="s" s="12">
        <v>14</v>
      </c>
      <c r="R1134" t="s" s="12">
        <v>14</v>
      </c>
    </row>
    <row r="1135" s="2" customFormat="1" ht="13.5" customHeight="1">
      <c r="B1135" s="13"/>
      <c r="C1135" t="s" s="9">
        <v>16</v>
      </c>
      <c r="D1135" t="s" s="8">
        <v>449</v>
      </c>
      <c r="E1135" t="s" s="9">
        <v>449</v>
      </c>
      <c r="F1135" t="s" s="10">
        <v>292</v>
      </c>
      <c r="G1135" t="s" s="11">
        <v>292</v>
      </c>
      <c r="H1135" t="s" s="10">
        <v>292</v>
      </c>
      <c r="I1135" t="s" s="11">
        <v>292</v>
      </c>
      <c r="J1135" t="s" s="11">
        <v>20</v>
      </c>
      <c r="K1135" t="s" s="16">
        <f>HYPERLINK("http://csr.bu.edu/ftp/asl/asllvd/demos/verify_start_end_handshape_annotations//test_auto_move//signs_mov/16242.mov","MOV")</f>
        <v>21</v>
      </c>
      <c r="L1135" t="s" s="16">
        <f>HYPERLINK("http://csr.bu.edu/ftp/asl/asllvd/demos/verify_start_end_handshape_annotations//test_auto_move//signs_mov_separ_signers/Liz_16242.mov","MOV")</f>
        <v>21</v>
      </c>
      <c r="M1135" t="s" s="10">
        <v>84</v>
      </c>
      <c r="N1135" s="17">
        <v>17</v>
      </c>
      <c r="O1135" s="18">
        <v>925</v>
      </c>
      <c r="P1135" s="18">
        <v>955</v>
      </c>
      <c r="Q1135" t="s" s="16">
        <f>HYPERLINK("http://secrets.rutgers.edu:8080/data/asl-ftp/asllvd/demos/verify_start_end_handshape_annotations//test_auto_move//signs_mov/16242.mov","MOV")</f>
        <v>21</v>
      </c>
      <c r="R1135" t="s" s="16">
        <f>HYPERLINK("http://secrets.rutgers.edu:8080/data/asl-ftp/asllvd/demos/verify_start_end_handshape_annotations//test_auto_move//signs_mov_separ_signers/Liz_16242.mov","MOV")</f>
        <v>21</v>
      </c>
    </row>
    <row r="1136" s="2" customFormat="1" ht="13.5" customHeight="1">
      <c r="B1136" s="13"/>
      <c r="C1136" t="s" s="9">
        <v>30</v>
      </c>
      <c r="D1136" t="s" s="8">
        <v>449</v>
      </c>
      <c r="E1136" t="s" s="9">
        <v>449</v>
      </c>
      <c r="F1136" t="s" s="10">
        <v>18</v>
      </c>
      <c r="G1136" t="s" s="11">
        <v>18</v>
      </c>
      <c r="H1136" t="s" s="10">
        <v>18</v>
      </c>
      <c r="I1136" t="s" s="11">
        <v>18</v>
      </c>
      <c r="J1136" t="s" s="11">
        <v>20</v>
      </c>
      <c r="K1136" s="15"/>
      <c r="L1136" t="s" s="16">
        <f>HYPERLINK("http://csr.bu.edu/ftp/asl/asllvd/demos/verify_start_end_handshape_annotations//test_auto_move//signs_mov_separ_signers/Brady_16242.mov","MOV")</f>
        <v>21</v>
      </c>
      <c r="M1136" t="s" s="10">
        <v>31</v>
      </c>
      <c r="N1136" s="17">
        <v>34</v>
      </c>
      <c r="O1136" s="18">
        <v>2933</v>
      </c>
      <c r="P1136" s="18">
        <v>2972</v>
      </c>
      <c r="Q1136" s="15"/>
      <c r="R1136" t="s" s="16">
        <f>HYPERLINK("http://secrets.rutgers.edu:8080/data/asl-ftp/asllvd/demos/verify_start_end_handshape_annotations//test_auto_move//signs_mov_separ_signers/Brady_16242.mov","MOV")</f>
        <v>21</v>
      </c>
    </row>
    <row r="1137" s="2" customFormat="1" ht="13.5" customHeight="1">
      <c r="B1137" t="s" s="8">
        <v>450</v>
      </c>
      <c r="C1137" t="s" s="9">
        <v>14</v>
      </c>
      <c r="D1137" t="s" s="8">
        <v>14</v>
      </c>
      <c r="E1137" t="s" s="9">
        <v>14</v>
      </c>
      <c r="F1137" t="s" s="10">
        <v>14</v>
      </c>
      <c r="G1137" t="s" s="11">
        <v>14</v>
      </c>
      <c r="H1137" t="s" s="10">
        <v>14</v>
      </c>
      <c r="I1137" t="s" s="11">
        <v>14</v>
      </c>
      <c r="J1137" t="s" s="11">
        <v>14</v>
      </c>
      <c r="K1137" t="s" s="12">
        <v>14</v>
      </c>
      <c r="L1137" t="s" s="12">
        <v>14</v>
      </c>
      <c r="M1137" t="s" s="10">
        <v>14</v>
      </c>
      <c r="N1137" t="s" s="11">
        <v>14</v>
      </c>
      <c r="O1137" t="s" s="8">
        <v>14</v>
      </c>
      <c r="P1137" t="s" s="8">
        <v>14</v>
      </c>
      <c r="Q1137" t="s" s="12">
        <v>14</v>
      </c>
      <c r="R1137" t="s" s="12">
        <v>14</v>
      </c>
    </row>
    <row r="1138" s="2" customFormat="1" ht="13.5" customHeight="1">
      <c r="B1138" s="13"/>
      <c r="C1138" t="s" s="9">
        <v>16</v>
      </c>
      <c r="D1138" t="s" s="8">
        <v>450</v>
      </c>
      <c r="E1138" t="s" s="9">
        <v>450</v>
      </c>
      <c r="F1138" t="s" s="10">
        <v>25</v>
      </c>
      <c r="G1138" s="14"/>
      <c r="H1138" t="s" s="10">
        <v>19</v>
      </c>
      <c r="I1138" s="14"/>
      <c r="J1138" t="s" s="11">
        <v>20</v>
      </c>
      <c r="K1138" s="15"/>
      <c r="L1138" t="s" s="16">
        <f>HYPERLINK("http://csr.bu.edu/ftp/asl/asllvd/demos/verify_start_end_handshape_annotations//test_auto_move//signs_mov_separ_signers/Liz_255.mov","MOV")</f>
        <v>21</v>
      </c>
      <c r="M1138" t="s" s="10">
        <v>22</v>
      </c>
      <c r="N1138" s="17">
        <v>43</v>
      </c>
      <c r="O1138" s="18">
        <v>258</v>
      </c>
      <c r="P1138" s="18">
        <v>293</v>
      </c>
      <c r="Q1138" s="15"/>
      <c r="R1138" t="s" s="16">
        <f>HYPERLINK("http://secrets.rutgers.edu:8080/data/asl-ftp/asllvd/demos/verify_start_end_handshape_annotations//test_auto_move//signs_mov_separ_signers/Liz_255.mov","MOV")</f>
        <v>21</v>
      </c>
    </row>
    <row r="1139" s="2" customFormat="1" ht="13.5" customHeight="1">
      <c r="B1139" s="13"/>
      <c r="C1139" t="s" s="9">
        <v>16</v>
      </c>
      <c r="D1139" t="s" s="8">
        <v>450</v>
      </c>
      <c r="E1139" t="s" s="9">
        <v>451</v>
      </c>
      <c r="F1139" t="s" s="10">
        <v>337</v>
      </c>
      <c r="G1139" s="14"/>
      <c r="H1139" t="s" s="10">
        <v>28</v>
      </c>
      <c r="I1139" s="14"/>
      <c r="J1139" t="s" s="11">
        <v>20</v>
      </c>
      <c r="K1139" s="15"/>
      <c r="L1139" t="s" s="16">
        <f>HYPERLINK("http://csr.bu.edu/ftp/asl/asllvd/demos/verify_start_end_handshape_annotations//test_auto_move//signs_mov_separ_signers/Liz_3379.mov","MOV")</f>
        <v>21</v>
      </c>
      <c r="M1139" t="s" s="10">
        <v>77</v>
      </c>
      <c r="N1139" s="17">
        <v>26</v>
      </c>
      <c r="O1139" s="18">
        <v>360</v>
      </c>
      <c r="P1139" s="18">
        <v>405</v>
      </c>
      <c r="Q1139" s="15"/>
      <c r="R1139" t="s" s="16">
        <f>HYPERLINK("http://secrets.rutgers.edu:8080/data/asl-ftp/asllvd/demos/verify_start_end_handshape_annotations//test_auto_move//signs_mov_separ_signers/Liz_3379.mov","MOV")</f>
        <v>21</v>
      </c>
    </row>
    <row r="1140" s="2" customFormat="1" ht="13.5" customHeight="1">
      <c r="B1140" s="13"/>
      <c r="C1140" t="s" s="9">
        <v>23</v>
      </c>
      <c r="D1140" t="s" s="8">
        <v>450</v>
      </c>
      <c r="E1140" t="s" s="9">
        <v>451</v>
      </c>
      <c r="F1140" t="s" s="10">
        <v>25</v>
      </c>
      <c r="G1140" s="14"/>
      <c r="H1140" t="s" s="10">
        <v>19</v>
      </c>
      <c r="I1140" s="14"/>
      <c r="J1140" t="s" s="11">
        <v>20</v>
      </c>
      <c r="K1140" s="15"/>
      <c r="L1140" t="s" s="16">
        <f>HYPERLINK("http://csr.bu.edu/ftp/asl/asllvd/demos/verify_start_end_handshape_annotations//test_auto_move//signs_mov_separ_signers/Tyler_255.mov","MOV")</f>
        <v>21</v>
      </c>
      <c r="M1140" t="s" s="10">
        <v>26</v>
      </c>
      <c r="N1140" s="17">
        <v>27</v>
      </c>
      <c r="O1140" s="18">
        <v>2411</v>
      </c>
      <c r="P1140" s="18">
        <v>2450</v>
      </c>
      <c r="Q1140" s="15"/>
      <c r="R1140" t="s" s="16">
        <f>HYPERLINK("http://secrets.rutgers.edu:8080/data/asl-ftp/asllvd/demos/verify_start_end_handshape_annotations//test_auto_move//signs_mov_separ_signers/Tyler_255.mov","MOV")</f>
        <v>21</v>
      </c>
    </row>
    <row r="1141" s="2" customFormat="1" ht="13.5" customHeight="1">
      <c r="B1141" s="13"/>
      <c r="C1141" t="s" s="9">
        <v>27</v>
      </c>
      <c r="D1141" t="s" s="8">
        <v>450</v>
      </c>
      <c r="E1141" t="s" s="9">
        <v>450</v>
      </c>
      <c r="F1141" t="s" s="10">
        <v>25</v>
      </c>
      <c r="G1141" s="14"/>
      <c r="H1141" t="s" s="10">
        <v>19</v>
      </c>
      <c r="I1141" s="14"/>
      <c r="J1141" t="s" s="11">
        <v>20</v>
      </c>
      <c r="K1141" t="s" s="16">
        <f>HYPERLINK("http://csr.bu.edu/ftp/asl/asllvd/demos/verify_start_end_handshape_annotations//test_auto_move//signs_mov/255_3379_merged.mov","MOV")</f>
        <v>21</v>
      </c>
      <c r="L1141" t="s" s="16">
        <f>HYPERLINK("http://csr.bu.edu/ftp/asl/asllvd/demos/verify_start_end_handshape_annotations//test_auto_move//signs_mov_separ_signers/Naomi_255.mov","MOV")</f>
        <v>21</v>
      </c>
      <c r="M1141" t="s" s="10">
        <v>29</v>
      </c>
      <c r="N1141" s="17">
        <v>28</v>
      </c>
      <c r="O1141" s="18">
        <v>2206</v>
      </c>
      <c r="P1141" s="18">
        <v>2234</v>
      </c>
      <c r="Q1141" t="s" s="16">
        <f>HYPERLINK("http://secrets.rutgers.edu:8080/data/asl-ftp/asllvd/demos/verify_start_end_handshape_annotations//test_auto_move//signs_mov/255_3379_merged.mov","MOV")</f>
        <v>21</v>
      </c>
      <c r="R1141" t="s" s="16">
        <f>HYPERLINK("http://secrets.rutgers.edu:8080/data/asl-ftp/asllvd/demos/verify_start_end_handshape_annotations//test_auto_move//signs_mov_separ_signers/Naomi_255.mov","MOV")</f>
        <v>21</v>
      </c>
    </row>
    <row r="1142" s="2" customFormat="1" ht="13.5" customHeight="1">
      <c r="B1142" s="13"/>
      <c r="C1142" t="s" s="9">
        <v>30</v>
      </c>
      <c r="D1142" t="s" s="8">
        <v>450</v>
      </c>
      <c r="E1142" t="s" s="9">
        <v>451</v>
      </c>
      <c r="F1142" t="s" s="10">
        <v>25</v>
      </c>
      <c r="G1142" s="14"/>
      <c r="H1142" t="s" s="10">
        <v>19</v>
      </c>
      <c r="I1142" s="14"/>
      <c r="J1142" t="s" s="11">
        <v>20</v>
      </c>
      <c r="K1142" s="15"/>
      <c r="L1142" t="s" s="16">
        <f>HYPERLINK("http://csr.bu.edu/ftp/asl/asllvd/demos/verify_start_end_handshape_annotations//test_auto_move//signs_mov_separ_signers/Brady_255.mov","MOV")</f>
        <v>21</v>
      </c>
      <c r="M1142" t="s" s="10">
        <v>31</v>
      </c>
      <c r="N1142" s="17">
        <v>21</v>
      </c>
      <c r="O1142" s="18">
        <v>6851</v>
      </c>
      <c r="P1142" s="18">
        <v>6875</v>
      </c>
      <c r="Q1142" s="15"/>
      <c r="R1142" t="s" s="16">
        <f>HYPERLINK("http://secrets.rutgers.edu:8080/data/asl-ftp/asllvd/demos/verify_start_end_handshape_annotations//test_auto_move//signs_mov_separ_signers/Brady_255.mov","MOV")</f>
        <v>21</v>
      </c>
    </row>
    <row r="1143" s="2" customFormat="1" ht="13.5" customHeight="1">
      <c r="B1143" s="13"/>
      <c r="C1143" t="s" s="9">
        <v>30</v>
      </c>
      <c r="D1143" t="s" s="8">
        <v>450</v>
      </c>
      <c r="E1143" t="s" s="9">
        <v>451</v>
      </c>
      <c r="F1143" t="s" s="10">
        <v>25</v>
      </c>
      <c r="G1143" s="14"/>
      <c r="H1143" t="s" s="10">
        <v>28</v>
      </c>
      <c r="I1143" s="14"/>
      <c r="J1143" t="s" s="11">
        <v>20</v>
      </c>
      <c r="K1143" s="15"/>
      <c r="L1143" t="s" s="16">
        <f>HYPERLINK("http://csr.bu.edu/ftp/asl/asllvd/demos/verify_start_end_handshape_annotations//test_auto_move//signs_mov_separ_signers/Brady_3379.mov","MOV")</f>
        <v>21</v>
      </c>
      <c r="M1143" t="s" s="10">
        <v>31</v>
      </c>
      <c r="N1143" s="17">
        <v>27</v>
      </c>
      <c r="O1143" s="18">
        <v>6370</v>
      </c>
      <c r="P1143" s="18">
        <v>6395</v>
      </c>
      <c r="Q1143" s="15"/>
      <c r="R1143" t="s" s="16">
        <f>HYPERLINK("http://secrets.rutgers.edu:8080/data/asl-ftp/asllvd/demos/verify_start_end_handshape_annotations//test_auto_move//signs_mov_separ_signers/Brady_3379.mov","MOV")</f>
        <v>21</v>
      </c>
    </row>
    <row r="1144" s="2" customFormat="1" ht="13.5" customHeight="1">
      <c r="B1144" s="13"/>
      <c r="C1144" t="s" s="9">
        <v>41</v>
      </c>
      <c r="D1144" t="s" s="8">
        <v>450</v>
      </c>
      <c r="E1144" t="s" s="9">
        <v>450</v>
      </c>
      <c r="F1144" t="s" s="10">
        <v>25</v>
      </c>
      <c r="G1144" s="14"/>
      <c r="H1144" t="s" s="10">
        <v>19</v>
      </c>
      <c r="I1144" s="14"/>
      <c r="J1144" t="s" s="11">
        <v>20</v>
      </c>
      <c r="K1144" s="15"/>
      <c r="L1144" t="s" s="16">
        <f>HYPERLINK("http://csr.bu.edu/ftp/asl/asllvd/demos/verify_start_end_handshape_annotations//test_auto_move//signs_mov_separ_signers/Lana_255.mov","MOV")</f>
        <v>21</v>
      </c>
      <c r="M1144" t="s" s="10">
        <v>42</v>
      </c>
      <c r="N1144" s="17">
        <v>4</v>
      </c>
      <c r="O1144" s="18">
        <v>761</v>
      </c>
      <c r="P1144" s="18">
        <v>795</v>
      </c>
      <c r="Q1144" s="15"/>
      <c r="R1144" t="s" s="16">
        <f>HYPERLINK("http://secrets.rutgers.edu:8080/data/asl-ftp/asllvd/demos/verify_start_end_handshape_annotations//test_auto_move//signs_mov_separ_signers/Lana_255.mov","MOV")</f>
        <v>21</v>
      </c>
    </row>
    <row r="1145" s="2" customFormat="1" ht="13.5" customHeight="1">
      <c r="B1145" s="13"/>
      <c r="C1145" t="s" s="9">
        <v>43</v>
      </c>
      <c r="D1145" t="s" s="8">
        <v>450</v>
      </c>
      <c r="E1145" t="s" s="9">
        <v>451</v>
      </c>
      <c r="F1145" t="s" s="10">
        <v>25</v>
      </c>
      <c r="G1145" s="14"/>
      <c r="H1145" t="s" s="10">
        <v>19</v>
      </c>
      <c r="I1145" s="14"/>
      <c r="J1145" t="s" s="11">
        <v>20</v>
      </c>
      <c r="K1145" s="15"/>
      <c r="L1145" t="s" s="16">
        <f>HYPERLINK("http://csr.bu.edu/ftp/asl/asllvd/demos/verify_start_end_handshape_annotations//test_auto_move//signs_mov_separ_signers/Dana_255.mov","MOV")</f>
        <v>21</v>
      </c>
      <c r="M1145" t="s" s="10">
        <v>44</v>
      </c>
      <c r="N1145" s="17">
        <v>8</v>
      </c>
      <c r="O1145" s="18">
        <v>630</v>
      </c>
      <c r="P1145" s="18">
        <v>691</v>
      </c>
      <c r="Q1145" s="15"/>
      <c r="R1145" t="s" s="16">
        <f>HYPERLINK("http://secrets.rutgers.edu:8080/data/asl-ftp/asllvd/demos/verify_start_end_handshape_annotations//test_auto_move//signs_mov_separ_signers/Dana_255.mov","MOV")</f>
        <v>21</v>
      </c>
    </row>
    <row r="1146" s="2" customFormat="1" ht="13.5" customHeight="1">
      <c r="B1146" t="s" s="8">
        <v>452</v>
      </c>
      <c r="C1146" t="s" s="9">
        <v>14</v>
      </c>
      <c r="D1146" t="s" s="8">
        <v>14</v>
      </c>
      <c r="E1146" t="s" s="9">
        <v>14</v>
      </c>
      <c r="F1146" t="s" s="10">
        <v>14</v>
      </c>
      <c r="G1146" t="s" s="11">
        <v>14</v>
      </c>
      <c r="H1146" t="s" s="10">
        <v>14</v>
      </c>
      <c r="I1146" t="s" s="11">
        <v>14</v>
      </c>
      <c r="J1146" t="s" s="11">
        <v>14</v>
      </c>
      <c r="K1146" t="s" s="12">
        <v>14</v>
      </c>
      <c r="L1146" t="s" s="12">
        <v>14</v>
      </c>
      <c r="M1146" t="s" s="10">
        <v>14</v>
      </c>
      <c r="N1146" t="s" s="11">
        <v>14</v>
      </c>
      <c r="O1146" t="s" s="8">
        <v>14</v>
      </c>
      <c r="P1146" t="s" s="8">
        <v>14</v>
      </c>
      <c r="Q1146" t="s" s="12">
        <v>14</v>
      </c>
      <c r="R1146" t="s" s="12">
        <v>14</v>
      </c>
    </row>
    <row r="1147" s="2" customFormat="1" ht="13.5" customHeight="1">
      <c r="B1147" s="13"/>
      <c r="C1147" t="s" s="9">
        <v>16</v>
      </c>
      <c r="D1147" t="s" s="8">
        <v>452</v>
      </c>
      <c r="E1147" t="s" s="9">
        <v>452</v>
      </c>
      <c r="F1147" t="s" s="10">
        <v>341</v>
      </c>
      <c r="G1147" s="14"/>
      <c r="H1147" t="s" s="10">
        <v>453</v>
      </c>
      <c r="I1147" s="14"/>
      <c r="J1147" t="s" s="11">
        <v>20</v>
      </c>
      <c r="K1147" t="s" s="16">
        <f>HYPERLINK("http://csr.bu.edu/ftp/asl/asllvd/demos/verify_start_end_handshape_annotations//test_auto_move//signs_mov/15158.mov","MOV")</f>
        <v>21</v>
      </c>
      <c r="L1147" t="s" s="16">
        <f>HYPERLINK("http://csr.bu.edu/ftp/asl/asllvd/demos/verify_start_end_handshape_annotations//test_auto_move//signs_mov_separ_signers/Liz_15158.mov","MOV")</f>
        <v>21</v>
      </c>
      <c r="M1147" t="s" s="10">
        <v>84</v>
      </c>
      <c r="N1147" s="17">
        <v>26</v>
      </c>
      <c r="O1147" s="18">
        <v>912</v>
      </c>
      <c r="P1147" s="18">
        <v>945</v>
      </c>
      <c r="Q1147" t="s" s="16">
        <f>HYPERLINK("http://secrets.rutgers.edu:8080/data/asl-ftp/asllvd/demos/verify_start_end_handshape_annotations//test_auto_move//signs_mov/15158.mov","MOV")</f>
        <v>21</v>
      </c>
      <c r="R1147" t="s" s="16">
        <f>HYPERLINK("http://secrets.rutgers.edu:8080/data/asl-ftp/asllvd/demos/verify_start_end_handshape_annotations//test_auto_move//signs_mov_separ_signers/Liz_15158.mov","MOV")</f>
        <v>21</v>
      </c>
    </row>
    <row r="1148" s="2" customFormat="1" ht="13.5" customHeight="1">
      <c r="B1148" s="13"/>
      <c r="C1148" t="s" s="9">
        <v>30</v>
      </c>
      <c r="D1148" t="s" s="8">
        <v>452</v>
      </c>
      <c r="E1148" t="s" s="9">
        <v>452</v>
      </c>
      <c r="F1148" t="s" s="10">
        <v>341</v>
      </c>
      <c r="G1148" s="14"/>
      <c r="H1148" t="s" s="10">
        <v>453</v>
      </c>
      <c r="I1148" s="14"/>
      <c r="J1148" t="s" s="11">
        <v>20</v>
      </c>
      <c r="K1148" s="15"/>
      <c r="L1148" t="s" s="16">
        <f>HYPERLINK("http://csr.bu.edu/ftp/asl/asllvd/demos/verify_start_end_handshape_annotations//test_auto_move//signs_mov_separ_signers/Brady_15158.mov","MOV")</f>
        <v>21</v>
      </c>
      <c r="M1148" t="s" s="10">
        <v>39</v>
      </c>
      <c r="N1148" s="17">
        <v>9</v>
      </c>
      <c r="O1148" s="18">
        <v>360</v>
      </c>
      <c r="P1148" s="18">
        <v>388</v>
      </c>
      <c r="Q1148" s="15"/>
      <c r="R1148" t="s" s="16">
        <f>HYPERLINK("http://secrets.rutgers.edu:8080/data/asl-ftp/asllvd/demos/verify_start_end_handshape_annotations//test_auto_move//signs_mov_separ_signers/Brady_15158.mov","MOV")</f>
        <v>21</v>
      </c>
    </row>
    <row r="1149" s="2" customFormat="1" ht="13.5" customHeight="1">
      <c r="B1149" t="s" s="8">
        <v>454</v>
      </c>
      <c r="C1149" t="s" s="9">
        <v>14</v>
      </c>
      <c r="D1149" t="s" s="8">
        <v>14</v>
      </c>
      <c r="E1149" t="s" s="9">
        <v>14</v>
      </c>
      <c r="F1149" t="s" s="10">
        <v>14</v>
      </c>
      <c r="G1149" t="s" s="11">
        <v>14</v>
      </c>
      <c r="H1149" t="s" s="10">
        <v>14</v>
      </c>
      <c r="I1149" t="s" s="11">
        <v>14</v>
      </c>
      <c r="J1149" t="s" s="11">
        <v>14</v>
      </c>
      <c r="K1149" t="s" s="12">
        <v>14</v>
      </c>
      <c r="L1149" t="s" s="12">
        <v>14</v>
      </c>
      <c r="M1149" t="s" s="10">
        <v>14</v>
      </c>
      <c r="N1149" t="s" s="11">
        <v>14</v>
      </c>
      <c r="O1149" t="s" s="8">
        <v>14</v>
      </c>
      <c r="P1149" t="s" s="8">
        <v>14</v>
      </c>
      <c r="Q1149" t="s" s="12">
        <v>14</v>
      </c>
      <c r="R1149" t="s" s="12">
        <v>14</v>
      </c>
    </row>
    <row r="1150" s="2" customFormat="1" ht="13.5" customHeight="1">
      <c r="B1150" s="13"/>
      <c r="C1150" t="s" s="9">
        <v>16</v>
      </c>
      <c r="D1150" t="s" s="8">
        <v>454</v>
      </c>
      <c r="E1150" t="s" s="9">
        <v>454</v>
      </c>
      <c r="F1150" t="s" s="10">
        <v>255</v>
      </c>
      <c r="G1150" s="14"/>
      <c r="H1150" t="s" s="10">
        <v>255</v>
      </c>
      <c r="I1150" s="14"/>
      <c r="J1150" t="s" s="11">
        <v>20</v>
      </c>
      <c r="K1150" s="15"/>
      <c r="L1150" t="s" s="16">
        <f>HYPERLINK("http://csr.bu.edu/ftp/asl/asllvd/demos/verify_start_end_handshape_annotations//test_auto_move//signs_mov_separ_signers/Liz_15649.mov","MOV")</f>
        <v>21</v>
      </c>
      <c r="M1150" t="s" s="10">
        <v>84</v>
      </c>
      <c r="N1150" s="17">
        <v>27</v>
      </c>
      <c r="O1150" s="18">
        <v>455</v>
      </c>
      <c r="P1150" s="18">
        <v>490</v>
      </c>
      <c r="Q1150" s="15"/>
      <c r="R1150" t="s" s="16">
        <f>HYPERLINK("http://secrets.rutgers.edu:8080/data/asl-ftp/asllvd/demos/verify_start_end_handshape_annotations//test_auto_move//signs_mov_separ_signers/Liz_15649.mov","MOV")</f>
        <v>21</v>
      </c>
    </row>
    <row r="1151" s="2" customFormat="1" ht="13.5" customHeight="1">
      <c r="B1151" s="13"/>
      <c r="C1151" t="s" s="9">
        <v>23</v>
      </c>
      <c r="D1151" t="s" s="8">
        <v>454</v>
      </c>
      <c r="E1151" t="s" s="9">
        <v>454</v>
      </c>
      <c r="F1151" t="s" s="10">
        <v>255</v>
      </c>
      <c r="G1151" s="14"/>
      <c r="H1151" t="s" s="10">
        <v>255</v>
      </c>
      <c r="I1151" s="14"/>
      <c r="J1151" t="s" s="11">
        <v>20</v>
      </c>
      <c r="K1151" t="s" s="16">
        <f>HYPERLINK("http://csr.bu.edu/ftp/asl/asllvd/demos/verify_start_end_handshape_annotations//test_auto_move//signs_mov/15649.mov","MOV")</f>
        <v>21</v>
      </c>
      <c r="L1151" t="s" s="16">
        <f>HYPERLINK("http://csr.bu.edu/ftp/asl/asllvd/demos/verify_start_end_handshape_annotations//test_auto_move//signs_mov_separ_signers/Tyler_15649.mov","MOV")</f>
        <v>21</v>
      </c>
      <c r="M1151" t="s" s="10">
        <v>92</v>
      </c>
      <c r="N1151" s="17">
        <v>7</v>
      </c>
      <c r="O1151" s="18">
        <v>241</v>
      </c>
      <c r="P1151" s="18">
        <v>275</v>
      </c>
      <c r="Q1151" t="s" s="16">
        <f>HYPERLINK("http://secrets.rutgers.edu:8080/data/asl-ftp/asllvd/demos/verify_start_end_handshape_annotations//test_auto_move//signs_mov/15649.mov","MOV")</f>
        <v>21</v>
      </c>
      <c r="R1151" t="s" s="16">
        <f>HYPERLINK("http://secrets.rutgers.edu:8080/data/asl-ftp/asllvd/demos/verify_start_end_handshape_annotations//test_auto_move//signs_mov_separ_signers/Tyler_15649.mov","MOV")</f>
        <v>21</v>
      </c>
    </row>
    <row r="1152" s="2" customFormat="1" ht="13.5" customHeight="1">
      <c r="B1152" s="13"/>
      <c r="C1152" t="s" s="9">
        <v>27</v>
      </c>
      <c r="D1152" t="s" s="8">
        <v>454</v>
      </c>
      <c r="E1152" t="s" s="9">
        <v>454</v>
      </c>
      <c r="F1152" t="s" s="10">
        <v>292</v>
      </c>
      <c r="G1152" s="14"/>
      <c r="H1152" t="s" s="10">
        <v>292</v>
      </c>
      <c r="I1152" s="14"/>
      <c r="J1152" t="s" s="11">
        <v>20</v>
      </c>
      <c r="K1152" s="15"/>
      <c r="L1152" t="s" s="16">
        <f>HYPERLINK("http://csr.bu.edu/ftp/asl/asllvd/demos/verify_start_end_handshape_annotations//test_auto_move//signs_mov_separ_signers/Naomi_15649.mov","MOV")</f>
        <v>21</v>
      </c>
      <c r="M1152" t="s" s="10">
        <v>86</v>
      </c>
      <c r="N1152" s="17">
        <v>27</v>
      </c>
      <c r="O1152" s="18">
        <v>170</v>
      </c>
      <c r="P1152" s="18">
        <v>206</v>
      </c>
      <c r="Q1152" s="15"/>
      <c r="R1152" t="s" s="16">
        <f>HYPERLINK("http://secrets.rutgers.edu:8080/data/asl-ftp/asllvd/demos/verify_start_end_handshape_annotations//test_auto_move//signs_mov_separ_signers/Naomi_15649.mov","MOV")</f>
        <v>21</v>
      </c>
    </row>
    <row r="1153" s="2" customFormat="1" ht="13.5" customHeight="1">
      <c r="B1153" s="13"/>
      <c r="C1153" t="s" s="9">
        <v>30</v>
      </c>
      <c r="D1153" t="s" s="8">
        <v>454</v>
      </c>
      <c r="E1153" t="s" s="9">
        <v>454</v>
      </c>
      <c r="F1153" t="s" s="10">
        <v>255</v>
      </c>
      <c r="G1153" s="14"/>
      <c r="H1153" t="s" s="10">
        <v>255</v>
      </c>
      <c r="I1153" s="14"/>
      <c r="J1153" t="s" s="11">
        <v>20</v>
      </c>
      <c r="K1153" s="15"/>
      <c r="L1153" t="s" s="16">
        <f>HYPERLINK("http://csr.bu.edu/ftp/asl/asllvd/demos/verify_start_end_handshape_annotations//test_auto_move//signs_mov_separ_signers/Brady_15649.mov","MOV")</f>
        <v>21</v>
      </c>
      <c r="M1153" t="s" s="10">
        <v>39</v>
      </c>
      <c r="N1153" s="17">
        <v>9</v>
      </c>
      <c r="O1153" s="18">
        <v>3994</v>
      </c>
      <c r="P1153" s="18">
        <v>4025</v>
      </c>
      <c r="Q1153" s="15"/>
      <c r="R1153" t="s" s="16">
        <f>HYPERLINK("http://secrets.rutgers.edu:8080/data/asl-ftp/asllvd/demos/verify_start_end_handshape_annotations//test_auto_move//signs_mov_separ_signers/Brady_15649.mov","MOV")</f>
        <v>21</v>
      </c>
    </row>
    <row r="1154" s="2" customFormat="1" ht="13.5" customHeight="1">
      <c r="B1154" t="s" s="8">
        <v>455</v>
      </c>
      <c r="C1154" t="s" s="9">
        <v>14</v>
      </c>
      <c r="D1154" t="s" s="8">
        <v>14</v>
      </c>
      <c r="E1154" t="s" s="9">
        <v>14</v>
      </c>
      <c r="F1154" t="s" s="10">
        <v>14</v>
      </c>
      <c r="G1154" t="s" s="11">
        <v>14</v>
      </c>
      <c r="H1154" t="s" s="10">
        <v>14</v>
      </c>
      <c r="I1154" t="s" s="11">
        <v>14</v>
      </c>
      <c r="J1154" t="s" s="11">
        <v>14</v>
      </c>
      <c r="K1154" t="s" s="12">
        <v>14</v>
      </c>
      <c r="L1154" t="s" s="12">
        <v>14</v>
      </c>
      <c r="M1154" t="s" s="10">
        <v>14</v>
      </c>
      <c r="N1154" t="s" s="11">
        <v>14</v>
      </c>
      <c r="O1154" t="s" s="8">
        <v>14</v>
      </c>
      <c r="P1154" t="s" s="8">
        <v>14</v>
      </c>
      <c r="Q1154" t="s" s="12">
        <v>14</v>
      </c>
      <c r="R1154" t="s" s="12">
        <v>14</v>
      </c>
    </row>
    <row r="1155" s="2" customFormat="1" ht="13.5" customHeight="1">
      <c r="B1155" s="13"/>
      <c r="C1155" t="s" s="9">
        <v>16</v>
      </c>
      <c r="D1155" t="s" s="8">
        <v>455</v>
      </c>
      <c r="E1155" t="s" s="9">
        <v>455</v>
      </c>
      <c r="F1155" s="19">
        <v>25</v>
      </c>
      <c r="G1155" s="14"/>
      <c r="H1155" s="19">
        <v>25</v>
      </c>
      <c r="I1155" s="14"/>
      <c r="J1155" t="s" s="11">
        <v>20</v>
      </c>
      <c r="K1155" s="15"/>
      <c r="L1155" t="s" s="16">
        <f>HYPERLINK("http://csr.bu.edu/ftp/asl/asllvd/demos/verify_start_end_handshape_annotations//test_auto_move//signs_mov_separ_signers/Liz_257.mov","MOV")</f>
        <v>21</v>
      </c>
      <c r="M1155" t="s" s="10">
        <v>22</v>
      </c>
      <c r="N1155" s="17">
        <v>43</v>
      </c>
      <c r="O1155" s="18">
        <v>1355</v>
      </c>
      <c r="P1155" s="18">
        <v>1390</v>
      </c>
      <c r="Q1155" s="15"/>
      <c r="R1155" t="s" s="16">
        <f>HYPERLINK("http://secrets.rutgers.edu:8080/data/asl-ftp/asllvd/demos/verify_start_end_handshape_annotations//test_auto_move//signs_mov_separ_signers/Liz_257.mov","MOV")</f>
        <v>21</v>
      </c>
    </row>
    <row r="1156" s="2" customFormat="1" ht="13.5" customHeight="1">
      <c r="B1156" s="13"/>
      <c r="C1156" t="s" s="9">
        <v>23</v>
      </c>
      <c r="D1156" t="s" s="8">
        <v>455</v>
      </c>
      <c r="E1156" t="s" s="9">
        <v>455</v>
      </c>
      <c r="F1156" s="19">
        <v>25</v>
      </c>
      <c r="G1156" s="14"/>
      <c r="H1156" s="19">
        <v>25</v>
      </c>
      <c r="I1156" s="14"/>
      <c r="J1156" t="s" s="11">
        <v>20</v>
      </c>
      <c r="K1156" s="15"/>
      <c r="L1156" t="s" s="16">
        <f>HYPERLINK("http://csr.bu.edu/ftp/asl/asllvd/demos/verify_start_end_handshape_annotations//test_auto_move//signs_mov_separ_signers/Tyler_257.mov","MOV")</f>
        <v>21</v>
      </c>
      <c r="M1156" t="s" s="10">
        <v>26</v>
      </c>
      <c r="N1156" s="17">
        <v>27</v>
      </c>
      <c r="O1156" s="18">
        <v>2650</v>
      </c>
      <c r="P1156" s="18">
        <v>2690</v>
      </c>
      <c r="Q1156" s="15"/>
      <c r="R1156" t="s" s="16">
        <f>HYPERLINK("http://secrets.rutgers.edu:8080/data/asl-ftp/asllvd/demos/verify_start_end_handshape_annotations//test_auto_move//signs_mov_separ_signers/Tyler_257.mov","MOV")</f>
        <v>21</v>
      </c>
    </row>
    <row r="1157" s="2" customFormat="1" ht="13.5" customHeight="1">
      <c r="B1157" s="13"/>
      <c r="C1157" t="s" s="9">
        <v>27</v>
      </c>
      <c r="D1157" t="s" s="8">
        <v>455</v>
      </c>
      <c r="E1157" t="s" s="9">
        <v>455</v>
      </c>
      <c r="F1157" s="19">
        <v>25</v>
      </c>
      <c r="G1157" s="14"/>
      <c r="H1157" s="19">
        <v>25</v>
      </c>
      <c r="I1157" s="14"/>
      <c r="J1157" t="s" s="11">
        <v>20</v>
      </c>
      <c r="K1157" t="s" s="16">
        <f>HYPERLINK("http://csr.bu.edu/ftp/asl/asllvd/demos/verify_start_end_handshape_annotations//test_auto_move//signs_mov/257_3951_3976_merged.mov","MOV")</f>
        <v>21</v>
      </c>
      <c r="L1157" t="s" s="16">
        <f>HYPERLINK("http://csr.bu.edu/ftp/asl/asllvd/demos/verify_start_end_handshape_annotations//test_auto_move//signs_mov_separ_signers/Naomi_257.mov","MOV")</f>
        <v>21</v>
      </c>
      <c r="M1157" t="s" s="10">
        <v>29</v>
      </c>
      <c r="N1157" s="17">
        <v>28</v>
      </c>
      <c r="O1157" s="18">
        <v>3065</v>
      </c>
      <c r="P1157" s="18">
        <v>3091</v>
      </c>
      <c r="Q1157" t="s" s="16">
        <f>HYPERLINK("http://secrets.rutgers.edu:8080/data/asl-ftp/asllvd/demos/verify_start_end_handshape_annotations//test_auto_move//signs_mov/257_3951_3976_merged.mov","MOV")</f>
        <v>21</v>
      </c>
      <c r="R1157" t="s" s="16">
        <f>HYPERLINK("http://secrets.rutgers.edu:8080/data/asl-ftp/asllvd/demos/verify_start_end_handshape_annotations//test_auto_move//signs_mov_separ_signers/Naomi_257.mov","MOV")</f>
        <v>21</v>
      </c>
    </row>
    <row r="1158" s="2" customFormat="1" ht="13.5" customHeight="1">
      <c r="B1158" s="13"/>
      <c r="C1158" t="s" s="9">
        <v>30</v>
      </c>
      <c r="D1158" t="s" s="8">
        <v>455</v>
      </c>
      <c r="E1158" t="s" s="9">
        <v>455</v>
      </c>
      <c r="F1158" s="19">
        <v>25</v>
      </c>
      <c r="G1158" s="14"/>
      <c r="H1158" s="19">
        <v>25</v>
      </c>
      <c r="I1158" s="14"/>
      <c r="J1158" t="s" s="11">
        <v>20</v>
      </c>
      <c r="K1158" s="15"/>
      <c r="L1158" t="s" s="16">
        <f>HYPERLINK("http://csr.bu.edu/ftp/asl/asllvd/demos/verify_start_end_handshape_annotations//test_auto_move//signs_mov_separ_signers/Brady_257.mov","MOV")</f>
        <v>21</v>
      </c>
      <c r="M1158" t="s" s="10">
        <v>31</v>
      </c>
      <c r="N1158" s="17">
        <v>21</v>
      </c>
      <c r="O1158" s="18">
        <v>7194</v>
      </c>
      <c r="P1158" s="18">
        <v>7220</v>
      </c>
      <c r="Q1158" s="15"/>
      <c r="R1158" t="s" s="16">
        <f>HYPERLINK("http://secrets.rutgers.edu:8080/data/asl-ftp/asllvd/demos/verify_start_end_handshape_annotations//test_auto_move//signs_mov_separ_signers/Brady_257.mov","MOV")</f>
        <v>21</v>
      </c>
    </row>
    <row r="1159" s="2" customFormat="1" ht="13.5" customHeight="1">
      <c r="B1159" s="13"/>
      <c r="C1159" t="s" s="9">
        <v>30</v>
      </c>
      <c r="D1159" t="s" s="8">
        <v>455</v>
      </c>
      <c r="E1159" t="s" s="9">
        <v>455</v>
      </c>
      <c r="F1159" s="19">
        <v>25</v>
      </c>
      <c r="G1159" s="14"/>
      <c r="H1159" s="19">
        <v>25</v>
      </c>
      <c r="I1159" s="14"/>
      <c r="J1159" t="s" s="11">
        <v>20</v>
      </c>
      <c r="K1159" s="15"/>
      <c r="L1159" t="s" s="16">
        <f>HYPERLINK("http://csr.bu.edu/ftp/asl/asllvd/demos/verify_start_end_handshape_annotations//test_auto_move//signs_mov_separ_signers/Brady_3951.mov","MOV")</f>
        <v>21</v>
      </c>
      <c r="M1159" t="s" s="10">
        <v>31</v>
      </c>
      <c r="N1159" s="17">
        <v>21</v>
      </c>
      <c r="O1159" s="18">
        <v>7389</v>
      </c>
      <c r="P1159" s="18">
        <v>7408</v>
      </c>
      <c r="Q1159" s="15"/>
      <c r="R1159" t="s" s="16">
        <f>HYPERLINK("http://secrets.rutgers.edu:8080/data/asl-ftp/asllvd/demos/verify_start_end_handshape_annotations//test_auto_move//signs_mov_separ_signers/Brady_3951.mov","MOV")</f>
        <v>21</v>
      </c>
    </row>
    <row r="1160" s="2" customFormat="1" ht="13.5" customHeight="1">
      <c r="B1160" s="13"/>
      <c r="C1160" t="s" s="9">
        <v>30</v>
      </c>
      <c r="D1160" t="s" s="8">
        <v>455</v>
      </c>
      <c r="E1160" t="s" s="9">
        <v>455</v>
      </c>
      <c r="F1160" s="19">
        <v>25</v>
      </c>
      <c r="G1160" s="14"/>
      <c r="H1160" s="19">
        <v>25</v>
      </c>
      <c r="I1160" s="14"/>
      <c r="J1160" t="s" s="11">
        <v>20</v>
      </c>
      <c r="K1160" s="15"/>
      <c r="L1160" t="s" s="16">
        <f>HYPERLINK("http://csr.bu.edu/ftp/asl/asllvd/demos/verify_start_end_handshape_annotations//test_auto_move//signs_mov_separ_signers/Brady_3976.mov","MOV")</f>
        <v>21</v>
      </c>
      <c r="M1160" t="s" s="10">
        <v>31</v>
      </c>
      <c r="N1160" s="17">
        <v>21</v>
      </c>
      <c r="O1160" s="18">
        <v>7856</v>
      </c>
      <c r="P1160" s="18">
        <v>7871</v>
      </c>
      <c r="Q1160" s="15"/>
      <c r="R1160" t="s" s="16">
        <f>HYPERLINK("http://secrets.rutgers.edu:8080/data/asl-ftp/asllvd/demos/verify_start_end_handshape_annotations//test_auto_move//signs_mov_separ_signers/Brady_3976.mov","MOV")</f>
        <v>21</v>
      </c>
    </row>
    <row r="1161" s="2" customFormat="1" ht="13.5" customHeight="1">
      <c r="B1161" t="s" s="8">
        <v>456</v>
      </c>
      <c r="C1161" t="s" s="9">
        <v>14</v>
      </c>
      <c r="D1161" t="s" s="8">
        <v>14</v>
      </c>
      <c r="E1161" t="s" s="9">
        <v>14</v>
      </c>
      <c r="F1161" t="s" s="10">
        <v>14</v>
      </c>
      <c r="G1161" t="s" s="11">
        <v>14</v>
      </c>
      <c r="H1161" t="s" s="10">
        <v>14</v>
      </c>
      <c r="I1161" t="s" s="11">
        <v>14</v>
      </c>
      <c r="J1161" t="s" s="11">
        <v>14</v>
      </c>
      <c r="K1161" t="s" s="12">
        <v>14</v>
      </c>
      <c r="L1161" t="s" s="12">
        <v>14</v>
      </c>
      <c r="M1161" t="s" s="10">
        <v>14</v>
      </c>
      <c r="N1161" t="s" s="11">
        <v>14</v>
      </c>
      <c r="O1161" t="s" s="8">
        <v>14</v>
      </c>
      <c r="P1161" t="s" s="8">
        <v>14</v>
      </c>
      <c r="Q1161" t="s" s="12">
        <v>14</v>
      </c>
      <c r="R1161" t="s" s="12">
        <v>14</v>
      </c>
    </row>
    <row r="1162" s="2" customFormat="1" ht="13.5" customHeight="1">
      <c r="B1162" s="13"/>
      <c r="C1162" t="s" s="9">
        <v>16</v>
      </c>
      <c r="D1162" t="s" s="8">
        <v>456</v>
      </c>
      <c r="E1162" t="s" s="9">
        <v>456</v>
      </c>
      <c r="F1162" t="s" s="10">
        <v>185</v>
      </c>
      <c r="G1162" t="s" s="11">
        <v>55</v>
      </c>
      <c r="H1162" t="s" s="10">
        <v>187</v>
      </c>
      <c r="I1162" t="s" s="11">
        <v>55</v>
      </c>
      <c r="J1162" t="s" s="11">
        <v>20</v>
      </c>
      <c r="K1162" s="15"/>
      <c r="L1162" t="s" s="16">
        <f>HYPERLINK("http://csr.bu.edu/ftp/asl/asllvd/demos/verify_start_end_handshape_annotations//test_auto_move//signs_mov_separ_signers/Liz_260.mov","MOV")</f>
        <v>21</v>
      </c>
      <c r="M1162" t="s" s="10">
        <v>22</v>
      </c>
      <c r="N1162" s="17">
        <v>43</v>
      </c>
      <c r="O1162" s="18">
        <v>1885</v>
      </c>
      <c r="P1162" s="18">
        <v>1915</v>
      </c>
      <c r="Q1162" s="15"/>
      <c r="R1162" t="s" s="16">
        <f>HYPERLINK("http://secrets.rutgers.edu:8080/data/asl-ftp/asllvd/demos/verify_start_end_handshape_annotations//test_auto_move//signs_mov_separ_signers/Liz_260.mov","MOV")</f>
        <v>21</v>
      </c>
    </row>
    <row r="1163" s="2" customFormat="1" ht="13.5" customHeight="1">
      <c r="B1163" s="13"/>
      <c r="C1163" t="s" s="9">
        <v>23</v>
      </c>
      <c r="D1163" t="s" s="8">
        <v>456</v>
      </c>
      <c r="E1163" t="s" s="9">
        <v>456</v>
      </c>
      <c r="F1163" t="s" s="10">
        <v>72</v>
      </c>
      <c r="G1163" t="s" s="11">
        <v>73</v>
      </c>
      <c r="H1163" t="s" s="10">
        <v>187</v>
      </c>
      <c r="I1163" t="s" s="11">
        <v>73</v>
      </c>
      <c r="J1163" t="s" s="11">
        <v>20</v>
      </c>
      <c r="K1163" t="s" s="16">
        <f>HYPERLINK("http://csr.bu.edu/ftp/asl/asllvd/demos/verify_start_end_handshape_annotations//test_auto_move//signs_mov/260.mov","MOV")</f>
        <v>21</v>
      </c>
      <c r="L1163" t="s" s="16">
        <f>HYPERLINK("http://csr.bu.edu/ftp/asl/asllvd/demos/verify_start_end_handshape_annotations//test_auto_move//signs_mov_separ_signers/Tyler_260.mov","MOV")</f>
        <v>21</v>
      </c>
      <c r="M1163" t="s" s="10">
        <v>26</v>
      </c>
      <c r="N1163" s="17">
        <v>27</v>
      </c>
      <c r="O1163" s="18">
        <v>3991</v>
      </c>
      <c r="P1163" s="18">
        <v>4015</v>
      </c>
      <c r="Q1163" t="s" s="16">
        <f>HYPERLINK("http://secrets.rutgers.edu:8080/data/asl-ftp/asllvd/demos/verify_start_end_handshape_annotations//test_auto_move//signs_mov/260.mov","MOV")</f>
        <v>21</v>
      </c>
      <c r="R1163" t="s" s="16">
        <f>HYPERLINK("http://secrets.rutgers.edu:8080/data/asl-ftp/asllvd/demos/verify_start_end_handshape_annotations//test_auto_move//signs_mov_separ_signers/Tyler_260.mov","MOV")</f>
        <v>21</v>
      </c>
    </row>
    <row r="1164" s="2" customFormat="1" ht="13.5" customHeight="1">
      <c r="B1164" s="13"/>
      <c r="C1164" t="s" s="9">
        <v>27</v>
      </c>
      <c r="D1164" t="s" s="8">
        <v>456</v>
      </c>
      <c r="E1164" t="s" s="9">
        <v>456</v>
      </c>
      <c r="F1164" t="s" s="10">
        <v>185</v>
      </c>
      <c r="G1164" t="s" s="11">
        <v>55</v>
      </c>
      <c r="H1164" t="s" s="10">
        <v>187</v>
      </c>
      <c r="I1164" t="s" s="11">
        <v>55</v>
      </c>
      <c r="J1164" t="s" s="11">
        <v>20</v>
      </c>
      <c r="K1164" s="15"/>
      <c r="L1164" t="s" s="16">
        <f>HYPERLINK("http://csr.bu.edu/ftp/asl/asllvd/demos/verify_start_end_handshape_annotations//test_auto_move//signs_mov_separ_signers/Naomi_260.mov","MOV")</f>
        <v>21</v>
      </c>
      <c r="M1164" t="s" s="10">
        <v>29</v>
      </c>
      <c r="N1164" s="17">
        <v>28</v>
      </c>
      <c r="O1164" s="18">
        <v>4297</v>
      </c>
      <c r="P1164" s="18">
        <v>4325</v>
      </c>
      <c r="Q1164" s="15"/>
      <c r="R1164" t="s" s="16">
        <f>HYPERLINK("http://secrets.rutgers.edu:8080/data/asl-ftp/asllvd/demos/verify_start_end_handshape_annotations//test_auto_move//signs_mov_separ_signers/Naomi_260.mov","MOV")</f>
        <v>21</v>
      </c>
    </row>
    <row r="1165" s="2" customFormat="1" ht="13.5" customHeight="1">
      <c r="B1165" s="13"/>
      <c r="C1165" t="s" s="9">
        <v>30</v>
      </c>
      <c r="D1165" t="s" s="8">
        <v>456</v>
      </c>
      <c r="E1165" t="s" s="9">
        <v>456</v>
      </c>
      <c r="F1165" t="s" s="10">
        <v>185</v>
      </c>
      <c r="G1165" t="s" s="11">
        <v>73</v>
      </c>
      <c r="H1165" t="s" s="10">
        <v>244</v>
      </c>
      <c r="I1165" t="s" s="11">
        <v>73</v>
      </c>
      <c r="J1165" t="s" s="11">
        <v>20</v>
      </c>
      <c r="K1165" s="15"/>
      <c r="L1165" t="s" s="16">
        <f>HYPERLINK("http://csr.bu.edu/ftp/asl/asllvd/demos/verify_start_end_handshape_annotations//test_auto_move//signs_mov_separ_signers/Brady_260.mov","MOV")</f>
        <v>21</v>
      </c>
      <c r="M1165" t="s" s="10">
        <v>31</v>
      </c>
      <c r="N1165" s="17">
        <v>21</v>
      </c>
      <c r="O1165" s="18">
        <v>8619</v>
      </c>
      <c r="P1165" s="18">
        <v>8633</v>
      </c>
      <c r="Q1165" s="15"/>
      <c r="R1165" t="s" s="16">
        <f>HYPERLINK("http://secrets.rutgers.edu:8080/data/asl-ftp/asllvd/demos/verify_start_end_handshape_annotations//test_auto_move//signs_mov_separ_signers/Brady_260.mov","MOV")</f>
        <v>21</v>
      </c>
    </row>
    <row r="1166" s="2" customFormat="1" ht="13.5" customHeight="1">
      <c r="B1166" t="s" s="8">
        <v>52</v>
      </c>
      <c r="C1166" t="s" s="9">
        <v>53</v>
      </c>
      <c r="D1166" t="s" s="8">
        <v>53</v>
      </c>
      <c r="E1166" t="s" s="9">
        <v>53</v>
      </c>
      <c r="F1166" t="s" s="10">
        <v>53</v>
      </c>
      <c r="G1166" t="s" s="11">
        <v>53</v>
      </c>
      <c r="H1166" t="s" s="10">
        <v>53</v>
      </c>
      <c r="I1166" t="s" s="11">
        <v>53</v>
      </c>
      <c r="J1166" t="s" s="11">
        <v>53</v>
      </c>
      <c r="K1166" t="s" s="12">
        <v>53</v>
      </c>
      <c r="L1166" t="s" s="12">
        <v>53</v>
      </c>
      <c r="M1166" t="s" s="10">
        <v>53</v>
      </c>
      <c r="N1166" t="s" s="11">
        <v>53</v>
      </c>
      <c r="O1166" t="s" s="8">
        <v>53</v>
      </c>
      <c r="P1166" t="s" s="8">
        <v>53</v>
      </c>
      <c r="Q1166" t="s" s="12">
        <v>53</v>
      </c>
      <c r="R1166" t="s" s="12">
        <v>53</v>
      </c>
    </row>
    <row r="1167" s="2" customFormat="1" ht="13.5" customHeight="1">
      <c r="B1167" s="13"/>
      <c r="C1167" t="s" s="9">
        <v>30</v>
      </c>
      <c r="D1167" t="s" s="8">
        <v>456</v>
      </c>
      <c r="E1167" t="s" s="9">
        <v>457</v>
      </c>
      <c r="F1167" t="s" s="10">
        <v>185</v>
      </c>
      <c r="G1167" t="s" s="11">
        <v>80</v>
      </c>
      <c r="H1167" t="s" s="10">
        <v>244</v>
      </c>
      <c r="I1167" t="s" s="11">
        <v>80</v>
      </c>
      <c r="J1167" t="s" s="11">
        <v>20</v>
      </c>
      <c r="K1167" t="s" s="16">
        <f>HYPERLINK("http://csr.bu.edu/ftp/asl/asllvd/demos/verify_start_end_handshape_annotations//test_auto_move//signs_mov/3988.mov","MOV")</f>
        <v>21</v>
      </c>
      <c r="L1167" t="s" s="16">
        <f>HYPERLINK("http://csr.bu.edu/ftp/asl/asllvd/demos/verify_start_end_handshape_annotations//test_auto_move//signs_mov_separ_signers/Brady_3988.mov","MOV")</f>
        <v>21</v>
      </c>
      <c r="M1167" t="s" s="10">
        <v>31</v>
      </c>
      <c r="N1167" s="17">
        <v>19</v>
      </c>
      <c r="O1167" s="18">
        <v>2690</v>
      </c>
      <c r="P1167" s="18">
        <v>2716</v>
      </c>
      <c r="Q1167" t="s" s="16">
        <f>HYPERLINK("http://secrets.rutgers.edu:8080/data/asl-ftp/asllvd/demos/verify_start_end_handshape_annotations//test_auto_move//signs_mov/3988.mov","MOV")</f>
        <v>21</v>
      </c>
      <c r="R1167" t="s" s="16">
        <f>HYPERLINK("http://secrets.rutgers.edu:8080/data/asl-ftp/asllvd/demos/verify_start_end_handshape_annotations//test_auto_move//signs_mov_separ_signers/Brady_3988.mov","MOV")</f>
        <v>21</v>
      </c>
    </row>
    <row r="1168" s="2" customFormat="1" ht="13.5" customHeight="1">
      <c r="B1168" t="s" s="8">
        <v>458</v>
      </c>
      <c r="C1168" t="s" s="9">
        <v>14</v>
      </c>
      <c r="D1168" t="s" s="8">
        <v>14</v>
      </c>
      <c r="E1168" t="s" s="9">
        <v>14</v>
      </c>
      <c r="F1168" t="s" s="10">
        <v>14</v>
      </c>
      <c r="G1168" t="s" s="11">
        <v>14</v>
      </c>
      <c r="H1168" t="s" s="10">
        <v>14</v>
      </c>
      <c r="I1168" t="s" s="11">
        <v>14</v>
      </c>
      <c r="J1168" t="s" s="11">
        <v>14</v>
      </c>
      <c r="K1168" t="s" s="12">
        <v>14</v>
      </c>
      <c r="L1168" t="s" s="12">
        <v>14</v>
      </c>
      <c r="M1168" t="s" s="10">
        <v>14</v>
      </c>
      <c r="N1168" t="s" s="11">
        <v>14</v>
      </c>
      <c r="O1168" t="s" s="8">
        <v>14</v>
      </c>
      <c r="P1168" t="s" s="8">
        <v>14</v>
      </c>
      <c r="Q1168" t="s" s="12">
        <v>14</v>
      </c>
      <c r="R1168" t="s" s="12">
        <v>14</v>
      </c>
    </row>
    <row r="1169" s="2" customFormat="1" ht="13.5" customHeight="1">
      <c r="B1169" s="13"/>
      <c r="C1169" t="s" s="9">
        <v>16</v>
      </c>
      <c r="D1169" t="s" s="8">
        <v>458</v>
      </c>
      <c r="E1169" t="s" s="9">
        <v>458</v>
      </c>
      <c r="F1169" t="s" s="10">
        <v>268</v>
      </c>
      <c r="G1169" s="14"/>
      <c r="H1169" t="s" s="10">
        <v>268</v>
      </c>
      <c r="I1169" s="14"/>
      <c r="J1169" t="s" s="11">
        <v>20</v>
      </c>
      <c r="K1169" s="15"/>
      <c r="L1169" t="s" s="16">
        <f>HYPERLINK("http://csr.bu.edu/ftp/asl/asllvd/demos/verify_start_end_handshape_annotations//test_auto_move//signs_mov_separ_signers/Liz_261.mov","MOV")</f>
        <v>21</v>
      </c>
      <c r="M1169" t="s" s="10">
        <v>22</v>
      </c>
      <c r="N1169" s="17">
        <v>44</v>
      </c>
      <c r="O1169" s="18">
        <v>485</v>
      </c>
      <c r="P1169" s="18">
        <v>500</v>
      </c>
      <c r="Q1169" s="15"/>
      <c r="R1169" t="s" s="16">
        <f>HYPERLINK("http://secrets.rutgers.edu:8080/data/asl-ftp/asllvd/demos/verify_start_end_handshape_annotations//test_auto_move//signs_mov_separ_signers/Liz_261.mov","MOV")</f>
        <v>21</v>
      </c>
    </row>
    <row r="1170" s="2" customFormat="1" ht="13.5" customHeight="1">
      <c r="B1170" s="13"/>
      <c r="C1170" t="s" s="9">
        <v>23</v>
      </c>
      <c r="D1170" t="s" s="8">
        <v>458</v>
      </c>
      <c r="E1170" t="s" s="9">
        <v>458</v>
      </c>
      <c r="F1170" t="s" s="10">
        <v>268</v>
      </c>
      <c r="G1170" s="14"/>
      <c r="H1170" t="s" s="10">
        <v>268</v>
      </c>
      <c r="I1170" s="14"/>
      <c r="J1170" t="s" s="11">
        <v>20</v>
      </c>
      <c r="K1170" s="15"/>
      <c r="L1170" t="s" s="16">
        <f>HYPERLINK("http://csr.bu.edu/ftp/asl/asllvd/demos/verify_start_end_handshape_annotations//test_auto_move//signs_mov_separ_signers/Tyler_261.mov","MOV")</f>
        <v>21</v>
      </c>
      <c r="M1170" t="s" s="10">
        <v>26</v>
      </c>
      <c r="N1170" s="17">
        <v>28</v>
      </c>
      <c r="O1170" s="18">
        <v>206</v>
      </c>
      <c r="P1170" s="18">
        <v>235</v>
      </c>
      <c r="Q1170" s="15"/>
      <c r="R1170" t="s" s="16">
        <f>HYPERLINK("http://secrets.rutgers.edu:8080/data/asl-ftp/asllvd/demos/verify_start_end_handshape_annotations//test_auto_move//signs_mov_separ_signers/Tyler_261.mov","MOV")</f>
        <v>21</v>
      </c>
    </row>
    <row r="1171" s="2" customFormat="1" ht="13.5" customHeight="1">
      <c r="B1171" s="13"/>
      <c r="C1171" t="s" s="9">
        <v>27</v>
      </c>
      <c r="D1171" t="s" s="8">
        <v>458</v>
      </c>
      <c r="E1171" t="s" s="9">
        <v>458</v>
      </c>
      <c r="F1171" t="s" s="10">
        <v>268</v>
      </c>
      <c r="G1171" s="14"/>
      <c r="H1171" t="s" s="10">
        <v>268</v>
      </c>
      <c r="I1171" s="14"/>
      <c r="J1171" t="s" s="11">
        <v>20</v>
      </c>
      <c r="K1171" t="s" s="16">
        <f>HYPERLINK("http://csr.bu.edu/ftp/asl/asllvd/demos/verify_start_end_handshape_annotations//test_auto_move//signs_mov/261.mov","MOV")</f>
        <v>21</v>
      </c>
      <c r="L1171" t="s" s="16">
        <f>HYPERLINK("http://csr.bu.edu/ftp/asl/asllvd/demos/verify_start_end_handshape_annotations//test_auto_move//signs_mov_separ_signers/Naomi_261.mov","MOV")</f>
        <v>21</v>
      </c>
      <c r="M1171" t="s" s="10">
        <v>29</v>
      </c>
      <c r="N1171" s="17">
        <v>29</v>
      </c>
      <c r="O1171" s="18">
        <v>320</v>
      </c>
      <c r="P1171" s="18">
        <v>342</v>
      </c>
      <c r="Q1171" t="s" s="16">
        <f>HYPERLINK("http://secrets.rutgers.edu:8080/data/asl-ftp/asllvd/demos/verify_start_end_handshape_annotations//test_auto_move//signs_mov/261.mov","MOV")</f>
        <v>21</v>
      </c>
      <c r="R1171" t="s" s="16">
        <f>HYPERLINK("http://secrets.rutgers.edu:8080/data/asl-ftp/asllvd/demos/verify_start_end_handshape_annotations//test_auto_move//signs_mov_separ_signers/Naomi_261.mov","MOV")</f>
        <v>21</v>
      </c>
    </row>
    <row r="1172" s="2" customFormat="1" ht="13.5" customHeight="1">
      <c r="B1172" s="13"/>
      <c r="C1172" t="s" s="9">
        <v>30</v>
      </c>
      <c r="D1172" t="s" s="8">
        <v>458</v>
      </c>
      <c r="E1172" t="s" s="9">
        <v>458</v>
      </c>
      <c r="F1172" t="s" s="10">
        <v>268</v>
      </c>
      <c r="G1172" s="14"/>
      <c r="H1172" t="s" s="10">
        <v>268</v>
      </c>
      <c r="I1172" s="14"/>
      <c r="J1172" t="s" s="11">
        <v>20</v>
      </c>
      <c r="K1172" s="15"/>
      <c r="L1172" t="s" s="16">
        <f>HYPERLINK("http://csr.bu.edu/ftp/asl/asllvd/demos/verify_start_end_handshape_annotations//test_auto_move//signs_mov_separ_signers/Brady_261.mov","MOV")</f>
        <v>21</v>
      </c>
      <c r="M1172" t="s" s="10">
        <v>31</v>
      </c>
      <c r="N1172" s="17">
        <v>21</v>
      </c>
      <c r="O1172" s="18">
        <v>9377</v>
      </c>
      <c r="P1172" s="18">
        <v>9387</v>
      </c>
      <c r="Q1172" s="15"/>
      <c r="R1172" t="s" s="16">
        <f>HYPERLINK("http://secrets.rutgers.edu:8080/data/asl-ftp/asllvd/demos/verify_start_end_handshape_annotations//test_auto_move//signs_mov_separ_signers/Brady_261.mov","MOV")</f>
        <v>21</v>
      </c>
    </row>
    <row r="1173" s="2" customFormat="1" ht="13.5" customHeight="1">
      <c r="B1173" s="13"/>
      <c r="C1173" t="s" s="9">
        <v>41</v>
      </c>
      <c r="D1173" t="s" s="8">
        <v>458</v>
      </c>
      <c r="E1173" t="s" s="9">
        <v>458</v>
      </c>
      <c r="F1173" s="19">
        <v>1</v>
      </c>
      <c r="G1173" s="14"/>
      <c r="H1173" s="19">
        <v>1</v>
      </c>
      <c r="I1173" s="14"/>
      <c r="J1173" t="s" s="11">
        <v>20</v>
      </c>
      <c r="K1173" s="15"/>
      <c r="L1173" t="s" s="16">
        <f>HYPERLINK("http://csr.bu.edu/ftp/asl/asllvd/demos/verify_start_end_handshape_annotations//test_auto_move//signs_mov_separ_signers/Lana_261.mov","MOV")</f>
        <v>21</v>
      </c>
      <c r="M1173" t="s" s="10">
        <v>442</v>
      </c>
      <c r="N1173" s="17">
        <v>61</v>
      </c>
      <c r="O1173" s="18">
        <v>650</v>
      </c>
      <c r="P1173" s="18">
        <v>673</v>
      </c>
      <c r="Q1173" s="15"/>
      <c r="R1173" t="s" s="16">
        <f>HYPERLINK("http://secrets.rutgers.edu:8080/data/asl-ftp/asllvd/demos/verify_start_end_handshape_annotations//test_auto_move//signs_mov_separ_signers/Lana_261.mov","MOV")</f>
        <v>21</v>
      </c>
    </row>
    <row r="1174" s="2" customFormat="1" ht="13.5" customHeight="1">
      <c r="B1174" t="s" s="8">
        <v>459</v>
      </c>
      <c r="C1174" t="s" s="9">
        <v>14</v>
      </c>
      <c r="D1174" t="s" s="8">
        <v>14</v>
      </c>
      <c r="E1174" t="s" s="9">
        <v>14</v>
      </c>
      <c r="F1174" t="s" s="10">
        <v>14</v>
      </c>
      <c r="G1174" t="s" s="11">
        <v>14</v>
      </c>
      <c r="H1174" t="s" s="10">
        <v>14</v>
      </c>
      <c r="I1174" t="s" s="11">
        <v>14</v>
      </c>
      <c r="J1174" t="s" s="11">
        <v>14</v>
      </c>
      <c r="K1174" t="s" s="12">
        <v>14</v>
      </c>
      <c r="L1174" t="s" s="12">
        <v>14</v>
      </c>
      <c r="M1174" t="s" s="10">
        <v>14</v>
      </c>
      <c r="N1174" t="s" s="11">
        <v>14</v>
      </c>
      <c r="O1174" t="s" s="8">
        <v>14</v>
      </c>
      <c r="P1174" t="s" s="8">
        <v>14</v>
      </c>
      <c r="Q1174" t="s" s="12">
        <v>14</v>
      </c>
      <c r="R1174" t="s" s="12">
        <v>14</v>
      </c>
    </row>
    <row r="1175" s="2" customFormat="1" ht="13.5" customHeight="1">
      <c r="B1175" s="13"/>
      <c r="C1175" t="s" s="9">
        <v>16</v>
      </c>
      <c r="D1175" t="s" s="8">
        <v>459</v>
      </c>
      <c r="E1175" t="s" s="9">
        <v>459</v>
      </c>
      <c r="F1175" t="s" s="10">
        <v>80</v>
      </c>
      <c r="G1175" t="s" s="11">
        <v>80</v>
      </c>
      <c r="H1175" t="s" s="10">
        <v>80</v>
      </c>
      <c r="I1175" t="s" s="11">
        <v>80</v>
      </c>
      <c r="J1175" t="s" s="11">
        <v>20</v>
      </c>
      <c r="K1175" s="15"/>
      <c r="L1175" t="s" s="16">
        <f>HYPERLINK("http://csr.bu.edu/ftp/asl/asllvd/demos/verify_start_end_handshape_annotations//test_auto_move//signs_mov_separ_signers/Liz_264.mov","MOV")</f>
        <v>21</v>
      </c>
      <c r="M1175" t="s" s="10">
        <v>22</v>
      </c>
      <c r="N1175" s="17">
        <v>45</v>
      </c>
      <c r="O1175" s="18">
        <v>755</v>
      </c>
      <c r="P1175" s="18">
        <v>790</v>
      </c>
      <c r="Q1175" s="15"/>
      <c r="R1175" t="s" s="16">
        <f>HYPERLINK("http://secrets.rutgers.edu:8080/data/asl-ftp/asllvd/demos/verify_start_end_handshape_annotations//test_auto_move//signs_mov_separ_signers/Liz_264.mov","MOV")</f>
        <v>21</v>
      </c>
    </row>
    <row r="1176" s="2" customFormat="1" ht="13.5" customHeight="1">
      <c r="B1176" s="13"/>
      <c r="C1176" t="s" s="9">
        <v>16</v>
      </c>
      <c r="D1176" t="s" s="8">
        <v>459</v>
      </c>
      <c r="E1176" t="s" s="9">
        <v>459</v>
      </c>
      <c r="F1176" t="s" s="10">
        <v>85</v>
      </c>
      <c r="G1176" t="s" s="11">
        <v>85</v>
      </c>
      <c r="H1176" t="s" s="10">
        <v>85</v>
      </c>
      <c r="I1176" t="s" s="11">
        <v>85</v>
      </c>
      <c r="J1176" t="s" s="11">
        <v>20</v>
      </c>
      <c r="K1176" t="s" s="16">
        <f>HYPERLINK("http://csr.bu.edu/ftp/asl/asllvd/demos/verify_start_end_handshape_annotations//test_auto_move//signs_mov/264_3444_merged.mov","MOV")</f>
        <v>21</v>
      </c>
      <c r="L1176" t="s" s="16">
        <f>HYPERLINK("http://csr.bu.edu/ftp/asl/asllvd/demos/verify_start_end_handshape_annotations//test_auto_move//signs_mov_separ_signers/Liz_3444.mov","MOV")</f>
        <v>21</v>
      </c>
      <c r="M1176" t="s" s="10">
        <v>22</v>
      </c>
      <c r="N1176" s="17">
        <v>45</v>
      </c>
      <c r="O1176" s="18">
        <v>1000</v>
      </c>
      <c r="P1176" s="18">
        <v>1050</v>
      </c>
      <c r="Q1176" t="s" s="16">
        <f>HYPERLINK("http://secrets.rutgers.edu:8080/data/asl-ftp/asllvd/demos/verify_start_end_handshape_annotations//test_auto_move//signs_mov/264_3444_merged.mov","MOV")</f>
        <v>21</v>
      </c>
      <c r="R1176" t="s" s="16">
        <f>HYPERLINK("http://secrets.rutgers.edu:8080/data/asl-ftp/asllvd/demos/verify_start_end_handshape_annotations//test_auto_move//signs_mov_separ_signers/Liz_3444.mov","MOV")</f>
        <v>21</v>
      </c>
    </row>
    <row r="1177" s="2" customFormat="1" ht="13.5" customHeight="1">
      <c r="B1177" s="13"/>
      <c r="C1177" t="s" s="9">
        <v>27</v>
      </c>
      <c r="D1177" t="s" s="8">
        <v>459</v>
      </c>
      <c r="E1177" t="s" s="9">
        <v>459</v>
      </c>
      <c r="F1177" t="s" s="10">
        <v>460</v>
      </c>
      <c r="G1177" t="s" s="11">
        <v>460</v>
      </c>
      <c r="H1177" t="s" s="10">
        <v>460</v>
      </c>
      <c r="I1177" t="s" s="11">
        <v>460</v>
      </c>
      <c r="J1177" t="s" s="11">
        <v>20</v>
      </c>
      <c r="K1177" s="15"/>
      <c r="L1177" t="s" s="16">
        <f>HYPERLINK("http://csr.bu.edu/ftp/asl/asllvd/demos/verify_start_end_handshape_annotations//test_auto_move//signs_mov_separ_signers/Naomi_264.mov","MOV")</f>
        <v>21</v>
      </c>
      <c r="M1177" t="s" s="10">
        <v>29</v>
      </c>
      <c r="N1177" s="17">
        <v>29</v>
      </c>
      <c r="O1177" s="18">
        <v>1318</v>
      </c>
      <c r="P1177" s="18">
        <v>1345</v>
      </c>
      <c r="Q1177" s="15"/>
      <c r="R1177" t="s" s="16">
        <f>HYPERLINK("http://secrets.rutgers.edu:8080/data/asl-ftp/asllvd/demos/verify_start_end_handshape_annotations//test_auto_move//signs_mov_separ_signers/Naomi_264.mov","MOV")</f>
        <v>21</v>
      </c>
    </row>
    <row r="1178" s="2" customFormat="1" ht="13.5" customHeight="1">
      <c r="B1178" t="s" s="8">
        <v>52</v>
      </c>
      <c r="C1178" t="s" s="9">
        <v>53</v>
      </c>
      <c r="D1178" t="s" s="8">
        <v>53</v>
      </c>
      <c r="E1178" t="s" s="9">
        <v>53</v>
      </c>
      <c r="F1178" t="s" s="10">
        <v>53</v>
      </c>
      <c r="G1178" t="s" s="11">
        <v>53</v>
      </c>
      <c r="H1178" t="s" s="10">
        <v>53</v>
      </c>
      <c r="I1178" t="s" s="11">
        <v>53</v>
      </c>
      <c r="J1178" t="s" s="11">
        <v>53</v>
      </c>
      <c r="K1178" t="s" s="12">
        <v>53</v>
      </c>
      <c r="L1178" t="s" s="12">
        <v>53</v>
      </c>
      <c r="M1178" t="s" s="10">
        <v>53</v>
      </c>
      <c r="N1178" t="s" s="11">
        <v>53</v>
      </c>
      <c r="O1178" t="s" s="8">
        <v>53</v>
      </c>
      <c r="P1178" t="s" s="8">
        <v>53</v>
      </c>
      <c r="Q1178" t="s" s="12">
        <v>53</v>
      </c>
      <c r="R1178" t="s" s="12">
        <v>53</v>
      </c>
    </row>
    <row r="1179" s="2" customFormat="1" ht="13.5" customHeight="1">
      <c r="B1179" s="13"/>
      <c r="C1179" t="s" s="9">
        <v>23</v>
      </c>
      <c r="D1179" t="s" s="8">
        <v>459</v>
      </c>
      <c r="E1179" t="s" s="9">
        <v>461</v>
      </c>
      <c r="F1179" t="s" s="10">
        <v>55</v>
      </c>
      <c r="G1179" t="s" s="11">
        <v>55</v>
      </c>
      <c r="H1179" t="s" s="10">
        <v>55</v>
      </c>
      <c r="I1179" t="s" s="11">
        <v>55</v>
      </c>
      <c r="J1179" t="s" s="11">
        <v>20</v>
      </c>
      <c r="K1179" s="15"/>
      <c r="L1179" t="s" s="16">
        <f>HYPERLINK("http://csr.bu.edu/ftp/asl/asllvd/demos/verify_start_end_handshape_annotations//test_auto_move//signs_mov_separ_signers/Tyler_3922.mov","MOV")</f>
        <v>21</v>
      </c>
      <c r="M1179" t="s" s="10">
        <v>26</v>
      </c>
      <c r="N1179" s="17">
        <v>28</v>
      </c>
      <c r="O1179" s="18">
        <v>965</v>
      </c>
      <c r="P1179" s="18">
        <v>1005</v>
      </c>
      <c r="Q1179" s="15"/>
      <c r="R1179" t="s" s="16">
        <f>HYPERLINK("http://secrets.rutgers.edu:8080/data/asl-ftp/asllvd/demos/verify_start_end_handshape_annotations//test_auto_move//signs_mov_separ_signers/Tyler_3922.mov","MOV")</f>
        <v>21</v>
      </c>
    </row>
    <row r="1180" s="2" customFormat="1" ht="13.5" customHeight="1">
      <c r="B1180" s="13"/>
      <c r="C1180" t="s" s="9">
        <v>23</v>
      </c>
      <c r="D1180" t="s" s="8">
        <v>459</v>
      </c>
      <c r="E1180" t="s" s="9">
        <v>461</v>
      </c>
      <c r="F1180" t="s" s="10">
        <v>55</v>
      </c>
      <c r="G1180" t="s" s="11">
        <v>55</v>
      </c>
      <c r="H1180" t="s" s="10">
        <v>55</v>
      </c>
      <c r="I1180" t="s" s="11">
        <v>55</v>
      </c>
      <c r="J1180" t="s" s="11">
        <v>20</v>
      </c>
      <c r="K1180" t="s" s="16">
        <f>HYPERLINK("http://csr.bu.edu/ftp/asl/asllvd/demos/verify_start_end_handshape_annotations//test_auto_move//signs_mov/3922_5698_merged.mov","MOV")</f>
        <v>21</v>
      </c>
      <c r="L1180" t="s" s="16">
        <f>HYPERLINK("http://csr.bu.edu/ftp/asl/asllvd/demos/verify_start_end_handshape_annotations//test_auto_move//signs_mov_separ_signers/Tyler_5698.mov","MOV")</f>
        <v>21</v>
      </c>
      <c r="M1180" t="s" s="10">
        <v>26</v>
      </c>
      <c r="N1180" s="17">
        <v>28</v>
      </c>
      <c r="O1180" s="18">
        <v>1270</v>
      </c>
      <c r="P1180" s="18">
        <v>1305</v>
      </c>
      <c r="Q1180" t="s" s="16">
        <f>HYPERLINK("http://secrets.rutgers.edu:8080/data/asl-ftp/asllvd/demos/verify_start_end_handshape_annotations//test_auto_move//signs_mov/3922_5698_merged.mov","MOV")</f>
        <v>21</v>
      </c>
      <c r="R1180" t="s" s="16">
        <f>HYPERLINK("http://secrets.rutgers.edu:8080/data/asl-ftp/asllvd/demos/verify_start_end_handshape_annotations//test_auto_move//signs_mov_separ_signers/Tyler_5698.mov","MOV")</f>
        <v>21</v>
      </c>
    </row>
    <row r="1181" s="2" customFormat="1" ht="13.5" customHeight="1">
      <c r="B1181" s="13"/>
      <c r="C1181" t="s" s="9">
        <v>30</v>
      </c>
      <c r="D1181" t="s" s="8">
        <v>459</v>
      </c>
      <c r="E1181" t="s" s="9">
        <v>461</v>
      </c>
      <c r="F1181" t="s" s="10">
        <v>55</v>
      </c>
      <c r="G1181" t="s" s="11">
        <v>55</v>
      </c>
      <c r="H1181" t="s" s="10">
        <v>55</v>
      </c>
      <c r="I1181" t="s" s="11">
        <v>55</v>
      </c>
      <c r="J1181" t="s" s="11">
        <v>20</v>
      </c>
      <c r="K1181" s="15"/>
      <c r="L1181" t="s" s="16">
        <f>HYPERLINK("http://csr.bu.edu/ftp/asl/asllvd/demos/verify_start_end_handshape_annotations//test_auto_move//signs_mov_separ_signers/Brady_3922.mov","MOV")</f>
        <v>21</v>
      </c>
      <c r="M1181" t="s" s="10">
        <v>31</v>
      </c>
      <c r="N1181" s="17">
        <v>21</v>
      </c>
      <c r="O1181" s="18">
        <v>10927</v>
      </c>
      <c r="P1181" s="18">
        <v>10950</v>
      </c>
      <c r="Q1181" s="15"/>
      <c r="R1181" t="s" s="16">
        <f>HYPERLINK("http://secrets.rutgers.edu:8080/data/asl-ftp/asllvd/demos/verify_start_end_handshape_annotations//test_auto_move//signs_mov_separ_signers/Brady_3922.mov","MOV")</f>
        <v>21</v>
      </c>
    </row>
    <row r="1182" s="2" customFormat="1" ht="13.5" customHeight="1">
      <c r="B1182" t="s" s="8">
        <v>52</v>
      </c>
      <c r="C1182" t="s" s="9">
        <v>53</v>
      </c>
      <c r="D1182" t="s" s="8">
        <v>53</v>
      </c>
      <c r="E1182" t="s" s="9">
        <v>53</v>
      </c>
      <c r="F1182" t="s" s="10">
        <v>53</v>
      </c>
      <c r="G1182" t="s" s="11">
        <v>53</v>
      </c>
      <c r="H1182" t="s" s="10">
        <v>53</v>
      </c>
      <c r="I1182" t="s" s="11">
        <v>53</v>
      </c>
      <c r="J1182" t="s" s="11">
        <v>53</v>
      </c>
      <c r="K1182" t="s" s="12">
        <v>53</v>
      </c>
      <c r="L1182" t="s" s="12">
        <v>53</v>
      </c>
      <c r="M1182" t="s" s="10">
        <v>53</v>
      </c>
      <c r="N1182" t="s" s="11">
        <v>53</v>
      </c>
      <c r="O1182" t="s" s="8">
        <v>53</v>
      </c>
      <c r="P1182" t="s" s="8">
        <v>53</v>
      </c>
      <c r="Q1182" t="s" s="12">
        <v>53</v>
      </c>
      <c r="R1182" t="s" s="12">
        <v>53</v>
      </c>
    </row>
    <row r="1183" s="2" customFormat="1" ht="13.5" customHeight="1">
      <c r="B1183" s="13"/>
      <c r="C1183" t="s" s="9">
        <v>27</v>
      </c>
      <c r="D1183" t="s" s="8">
        <v>459</v>
      </c>
      <c r="E1183" t="s" s="9">
        <v>462</v>
      </c>
      <c r="F1183" t="s" s="10">
        <v>119</v>
      </c>
      <c r="G1183" t="s" s="11">
        <v>119</v>
      </c>
      <c r="H1183" t="s" s="10">
        <v>119</v>
      </c>
      <c r="I1183" t="s" s="11">
        <v>119</v>
      </c>
      <c r="J1183" t="s" s="11">
        <v>20</v>
      </c>
      <c r="K1183" t="s" s="16">
        <f>HYPERLINK("http://csr.bu.edu/ftp/asl/asllvd/demos/verify_start_end_handshape_annotations//test_auto_move//signs_mov/5699.mov","MOV")</f>
        <v>21</v>
      </c>
      <c r="L1183" t="s" s="16">
        <f>HYPERLINK("http://csr.bu.edu/ftp/asl/asllvd/demos/verify_start_end_handshape_annotations//test_auto_move//signs_mov_separ_signers/Naomi_5699.mov","MOV")</f>
        <v>21</v>
      </c>
      <c r="M1183" t="s" s="10">
        <v>29</v>
      </c>
      <c r="N1183" s="17">
        <v>29</v>
      </c>
      <c r="O1183" s="18">
        <v>1775</v>
      </c>
      <c r="P1183" s="18">
        <v>1812</v>
      </c>
      <c r="Q1183" t="s" s="16">
        <f>HYPERLINK("http://secrets.rutgers.edu:8080/data/asl-ftp/asllvd/demos/verify_start_end_handshape_annotations//test_auto_move//signs_mov/5699.mov","MOV")</f>
        <v>21</v>
      </c>
      <c r="R1183" t="s" s="16">
        <f>HYPERLINK("http://secrets.rutgers.edu:8080/data/asl-ftp/asllvd/demos/verify_start_end_handshape_annotations//test_auto_move//signs_mov_separ_signers/Naomi_5699.mov","MOV")</f>
        <v>21</v>
      </c>
    </row>
    <row r="1184" s="2" customFormat="1" ht="13.5" customHeight="1">
      <c r="B1184" t="s" s="8">
        <v>52</v>
      </c>
      <c r="C1184" t="s" s="9">
        <v>53</v>
      </c>
      <c r="D1184" t="s" s="8">
        <v>53</v>
      </c>
      <c r="E1184" t="s" s="9">
        <v>53</v>
      </c>
      <c r="F1184" t="s" s="10">
        <v>53</v>
      </c>
      <c r="G1184" t="s" s="11">
        <v>53</v>
      </c>
      <c r="H1184" t="s" s="10">
        <v>53</v>
      </c>
      <c r="I1184" t="s" s="11">
        <v>53</v>
      </c>
      <c r="J1184" t="s" s="11">
        <v>53</v>
      </c>
      <c r="K1184" t="s" s="12">
        <v>53</v>
      </c>
      <c r="L1184" t="s" s="12">
        <v>53</v>
      </c>
      <c r="M1184" t="s" s="10">
        <v>53</v>
      </c>
      <c r="N1184" t="s" s="11">
        <v>53</v>
      </c>
      <c r="O1184" t="s" s="8">
        <v>53</v>
      </c>
      <c r="P1184" t="s" s="8">
        <v>53</v>
      </c>
      <c r="Q1184" t="s" s="12">
        <v>53</v>
      </c>
      <c r="R1184" t="s" s="12">
        <v>53</v>
      </c>
    </row>
    <row r="1185" s="2" customFormat="1" ht="13.5" customHeight="1">
      <c r="B1185" s="13"/>
      <c r="C1185" t="s" s="9">
        <v>30</v>
      </c>
      <c r="D1185" t="s" s="8">
        <v>459</v>
      </c>
      <c r="E1185" t="s" s="9">
        <v>463</v>
      </c>
      <c r="F1185" t="s" s="10">
        <v>63</v>
      </c>
      <c r="G1185" t="s" s="11">
        <v>63</v>
      </c>
      <c r="H1185" t="s" s="10">
        <v>63</v>
      </c>
      <c r="I1185" t="s" s="11">
        <v>63</v>
      </c>
      <c r="J1185" t="s" s="11">
        <v>20</v>
      </c>
      <c r="K1185" t="s" s="16">
        <f>HYPERLINK("http://csr.bu.edu/ftp/asl/asllvd/demos/verify_start_end_handshape_annotations//test_auto_move//signs_mov/5949_5950_merged.mov","MOV")</f>
        <v>21</v>
      </c>
      <c r="L1185" t="s" s="16">
        <f>HYPERLINK("http://csr.bu.edu/ftp/asl/asllvd/demos/verify_start_end_handshape_annotations//test_auto_move//signs_mov_separ_signers/Brady_5949.mov","MOV")</f>
        <v>21</v>
      </c>
      <c r="M1185" t="s" s="10">
        <v>31</v>
      </c>
      <c r="N1185" s="17">
        <v>21</v>
      </c>
      <c r="O1185" s="18">
        <v>11809</v>
      </c>
      <c r="P1185" s="18">
        <v>11847</v>
      </c>
      <c r="Q1185" t="s" s="16">
        <f>HYPERLINK("http://secrets.rutgers.edu:8080/data/asl-ftp/asllvd/demos/verify_start_end_handshape_annotations//test_auto_move//signs_mov/5949_5950_merged.mov","MOV")</f>
        <v>21</v>
      </c>
      <c r="R1185" t="s" s="16">
        <f>HYPERLINK("http://secrets.rutgers.edu:8080/data/asl-ftp/asllvd/demos/verify_start_end_handshape_annotations//test_auto_move//signs_mov_separ_signers/Brady_5949.mov","MOV")</f>
        <v>21</v>
      </c>
    </row>
    <row r="1186" s="2" customFormat="1" ht="13.5" customHeight="1">
      <c r="B1186" s="13"/>
      <c r="C1186" t="s" s="9">
        <v>30</v>
      </c>
      <c r="D1186" t="s" s="8">
        <v>459</v>
      </c>
      <c r="E1186" t="s" s="9">
        <v>463</v>
      </c>
      <c r="F1186" t="s" s="10">
        <v>150</v>
      </c>
      <c r="G1186" t="s" s="11">
        <v>150</v>
      </c>
      <c r="H1186" t="s" s="10">
        <v>63</v>
      </c>
      <c r="I1186" t="s" s="11">
        <v>63</v>
      </c>
      <c r="J1186" t="s" s="11">
        <v>20</v>
      </c>
      <c r="K1186" s="15"/>
      <c r="L1186" t="s" s="16">
        <f>HYPERLINK("http://csr.bu.edu/ftp/asl/asllvd/demos/verify_start_end_handshape_annotations//test_auto_move//signs_mov_separ_signers/Brady_5950.mov","MOV")</f>
        <v>21</v>
      </c>
      <c r="M1186" t="s" s="10">
        <v>31</v>
      </c>
      <c r="N1186" s="17">
        <v>21</v>
      </c>
      <c r="O1186" s="18">
        <v>12513</v>
      </c>
      <c r="P1186" s="18">
        <v>12535</v>
      </c>
      <c r="Q1186" s="15"/>
      <c r="R1186" t="s" s="16">
        <f>HYPERLINK("http://secrets.rutgers.edu:8080/data/asl-ftp/asllvd/demos/verify_start_end_handshape_annotations//test_auto_move//signs_mov_separ_signers/Brady_5950.mov","MOV")</f>
        <v>21</v>
      </c>
    </row>
    <row r="1187" s="2" customFormat="1" ht="13.5" customHeight="1">
      <c r="B1187" t="s" s="8">
        <v>464</v>
      </c>
      <c r="C1187" t="s" s="9">
        <v>14</v>
      </c>
      <c r="D1187" t="s" s="8">
        <v>14</v>
      </c>
      <c r="E1187" t="s" s="9">
        <v>14</v>
      </c>
      <c r="F1187" t="s" s="10">
        <v>14</v>
      </c>
      <c r="G1187" t="s" s="11">
        <v>14</v>
      </c>
      <c r="H1187" t="s" s="10">
        <v>14</v>
      </c>
      <c r="I1187" t="s" s="11">
        <v>14</v>
      </c>
      <c r="J1187" t="s" s="11">
        <v>14</v>
      </c>
      <c r="K1187" t="s" s="12">
        <v>14</v>
      </c>
      <c r="L1187" t="s" s="12">
        <v>14</v>
      </c>
      <c r="M1187" t="s" s="10">
        <v>14</v>
      </c>
      <c r="N1187" t="s" s="11">
        <v>14</v>
      </c>
      <c r="O1187" t="s" s="8">
        <v>14</v>
      </c>
      <c r="P1187" t="s" s="8">
        <v>14</v>
      </c>
      <c r="Q1187" t="s" s="12">
        <v>14</v>
      </c>
      <c r="R1187" t="s" s="12">
        <v>14</v>
      </c>
    </row>
    <row r="1188" s="2" customFormat="1" ht="13.5" customHeight="1">
      <c r="B1188" s="13"/>
      <c r="C1188" t="s" s="9">
        <v>16</v>
      </c>
      <c r="D1188" t="s" s="8">
        <v>464</v>
      </c>
      <c r="E1188" t="s" s="9">
        <v>464</v>
      </c>
      <c r="F1188" t="s" s="10">
        <v>63</v>
      </c>
      <c r="G1188" t="s" s="11">
        <v>63</v>
      </c>
      <c r="H1188" s="19">
        <v>5</v>
      </c>
      <c r="I1188" s="17">
        <v>5</v>
      </c>
      <c r="J1188" t="s" s="11">
        <v>20</v>
      </c>
      <c r="K1188" s="15"/>
      <c r="L1188" t="s" s="16">
        <f>HYPERLINK("http://csr.bu.edu/ftp/asl/asllvd/demos/verify_start_end_handshape_annotations//test_auto_move//signs_mov_separ_signers/Liz_267.mov","MOV")</f>
        <v>21</v>
      </c>
      <c r="M1188" t="s" s="10">
        <v>22</v>
      </c>
      <c r="N1188" s="17">
        <v>45</v>
      </c>
      <c r="O1188" s="18">
        <v>1455</v>
      </c>
      <c r="P1188" s="18">
        <v>1485</v>
      </c>
      <c r="Q1188" s="15"/>
      <c r="R1188" t="s" s="16">
        <f>HYPERLINK("http://secrets.rutgers.edu:8080/data/asl-ftp/asllvd/demos/verify_start_end_handshape_annotations//test_auto_move//signs_mov_separ_signers/Liz_267.mov","MOV")</f>
        <v>21</v>
      </c>
    </row>
    <row r="1189" s="2" customFormat="1" ht="13.5" customHeight="1">
      <c r="B1189" s="13"/>
      <c r="C1189" t="s" s="9">
        <v>23</v>
      </c>
      <c r="D1189" t="s" s="8">
        <v>464</v>
      </c>
      <c r="E1189" t="s" s="9">
        <v>464</v>
      </c>
      <c r="F1189" t="s" s="10">
        <v>63</v>
      </c>
      <c r="G1189" t="s" s="11">
        <v>63</v>
      </c>
      <c r="H1189" s="19">
        <v>5</v>
      </c>
      <c r="I1189" s="17">
        <v>5</v>
      </c>
      <c r="J1189" t="s" s="11">
        <v>20</v>
      </c>
      <c r="K1189" t="s" s="16">
        <f>HYPERLINK("http://csr.bu.edu/ftp/asl/asllvd/demos/verify_start_end_handshape_annotations//test_auto_move//signs_mov/267.mov","MOV")</f>
        <v>21</v>
      </c>
      <c r="L1189" t="s" s="16">
        <f>HYPERLINK("http://csr.bu.edu/ftp/asl/asllvd/demos/verify_start_end_handshape_annotations//test_auto_move//signs_mov_separ_signers/Tyler_267.mov","MOV")</f>
        <v>21</v>
      </c>
      <c r="M1189" t="s" s="10">
        <v>26</v>
      </c>
      <c r="N1189" s="17">
        <v>28</v>
      </c>
      <c r="O1189" s="18">
        <v>1820</v>
      </c>
      <c r="P1189" s="18">
        <v>1842</v>
      </c>
      <c r="Q1189" t="s" s="16">
        <f>HYPERLINK("http://secrets.rutgers.edu:8080/data/asl-ftp/asllvd/demos/verify_start_end_handshape_annotations//test_auto_move//signs_mov/267.mov","MOV")</f>
        <v>21</v>
      </c>
      <c r="R1189" t="s" s="16">
        <f>HYPERLINK("http://secrets.rutgers.edu:8080/data/asl-ftp/asllvd/demos/verify_start_end_handshape_annotations//test_auto_move//signs_mov_separ_signers/Tyler_267.mov","MOV")</f>
        <v>21</v>
      </c>
    </row>
    <row r="1190" s="2" customFormat="1" ht="13.5" customHeight="1">
      <c r="B1190" s="13"/>
      <c r="C1190" t="s" s="9">
        <v>27</v>
      </c>
      <c r="D1190" t="s" s="8">
        <v>464</v>
      </c>
      <c r="E1190" t="s" s="9">
        <v>464</v>
      </c>
      <c r="F1190" t="s" s="10">
        <v>63</v>
      </c>
      <c r="G1190" t="s" s="11">
        <v>63</v>
      </c>
      <c r="H1190" s="19">
        <v>5</v>
      </c>
      <c r="I1190" s="17">
        <v>5</v>
      </c>
      <c r="J1190" t="s" s="11">
        <v>20</v>
      </c>
      <c r="K1190" s="15"/>
      <c r="L1190" t="s" s="16">
        <f>HYPERLINK("http://csr.bu.edu/ftp/asl/asllvd/demos/verify_start_end_handshape_annotations//test_auto_move//signs_mov_separ_signers/Naomi_267.mov","MOV")</f>
        <v>21</v>
      </c>
      <c r="M1190" t="s" s="10">
        <v>29</v>
      </c>
      <c r="N1190" s="17">
        <v>29</v>
      </c>
      <c r="O1190" s="18">
        <v>2305</v>
      </c>
      <c r="P1190" s="18">
        <v>2330</v>
      </c>
      <c r="Q1190" s="15"/>
      <c r="R1190" t="s" s="16">
        <f>HYPERLINK("http://secrets.rutgers.edu:8080/data/asl-ftp/asllvd/demos/verify_start_end_handshape_annotations//test_auto_move//signs_mov_separ_signers/Naomi_267.mov","MOV")</f>
        <v>21</v>
      </c>
    </row>
    <row r="1191" s="2" customFormat="1" ht="13.5" customHeight="1">
      <c r="B1191" s="13"/>
      <c r="C1191" t="s" s="9">
        <v>30</v>
      </c>
      <c r="D1191" t="s" s="8">
        <v>464</v>
      </c>
      <c r="E1191" t="s" s="9">
        <v>464</v>
      </c>
      <c r="F1191" t="s" s="10">
        <v>63</v>
      </c>
      <c r="G1191" t="s" s="11">
        <v>63</v>
      </c>
      <c r="H1191" s="19">
        <v>5</v>
      </c>
      <c r="I1191" s="17">
        <v>5</v>
      </c>
      <c r="J1191" t="s" s="11">
        <v>20</v>
      </c>
      <c r="K1191" s="15"/>
      <c r="L1191" t="s" s="16">
        <f>HYPERLINK("http://csr.bu.edu/ftp/asl/asllvd/demos/verify_start_end_handshape_annotations//test_auto_move//signs_mov_separ_signers/Brady_267.mov","MOV")</f>
        <v>21</v>
      </c>
      <c r="M1191" t="s" s="10">
        <v>31</v>
      </c>
      <c r="N1191" s="17">
        <v>21</v>
      </c>
      <c r="O1191" s="18">
        <v>13969</v>
      </c>
      <c r="P1191" s="18">
        <v>13987</v>
      </c>
      <c r="Q1191" s="15"/>
      <c r="R1191" t="s" s="16">
        <f>HYPERLINK("http://secrets.rutgers.edu:8080/data/asl-ftp/asllvd/demos/verify_start_end_handshape_annotations//test_auto_move//signs_mov_separ_signers/Brady_267.mov","MOV")</f>
        <v>21</v>
      </c>
    </row>
    <row r="1192" s="2" customFormat="1" ht="13.5" customHeight="1">
      <c r="B1192" t="s" s="8">
        <v>465</v>
      </c>
      <c r="C1192" t="s" s="9">
        <v>14</v>
      </c>
      <c r="D1192" t="s" s="8">
        <v>14</v>
      </c>
      <c r="E1192" t="s" s="9">
        <v>14</v>
      </c>
      <c r="F1192" t="s" s="10">
        <v>14</v>
      </c>
      <c r="G1192" t="s" s="11">
        <v>14</v>
      </c>
      <c r="H1192" t="s" s="10">
        <v>14</v>
      </c>
      <c r="I1192" t="s" s="11">
        <v>14</v>
      </c>
      <c r="J1192" t="s" s="11">
        <v>14</v>
      </c>
      <c r="K1192" t="s" s="12">
        <v>14</v>
      </c>
      <c r="L1192" t="s" s="12">
        <v>14</v>
      </c>
      <c r="M1192" t="s" s="10">
        <v>14</v>
      </c>
      <c r="N1192" t="s" s="11">
        <v>14</v>
      </c>
      <c r="O1192" t="s" s="8">
        <v>14</v>
      </c>
      <c r="P1192" t="s" s="8">
        <v>14</v>
      </c>
      <c r="Q1192" t="s" s="12">
        <v>14</v>
      </c>
      <c r="R1192" t="s" s="12">
        <v>14</v>
      </c>
    </row>
    <row r="1193" s="2" customFormat="1" ht="13.5" customHeight="1">
      <c r="B1193" s="13"/>
      <c r="C1193" t="s" s="9">
        <v>16</v>
      </c>
      <c r="D1193" t="s" s="8">
        <v>465</v>
      </c>
      <c r="E1193" t="s" s="9">
        <v>465</v>
      </c>
      <c r="F1193" t="s" s="10">
        <v>230</v>
      </c>
      <c r="G1193" s="14"/>
      <c r="H1193" t="s" s="10">
        <v>230</v>
      </c>
      <c r="I1193" s="14"/>
      <c r="J1193" t="s" s="11">
        <v>20</v>
      </c>
      <c r="K1193" s="15"/>
      <c r="L1193" t="s" s="16">
        <f>HYPERLINK("http://csr.bu.edu/ftp/asl/asllvd/demos/verify_start_end_handshape_annotations//test_auto_move//signs_mov_separ_signers/Liz_268.mov","MOV")</f>
        <v>21</v>
      </c>
      <c r="M1193" t="s" s="10">
        <v>22</v>
      </c>
      <c r="N1193" s="17">
        <v>46</v>
      </c>
      <c r="O1193" s="18">
        <v>243</v>
      </c>
      <c r="P1193" s="18">
        <v>280</v>
      </c>
      <c r="Q1193" s="15"/>
      <c r="R1193" t="s" s="16">
        <f>HYPERLINK("http://secrets.rutgers.edu:8080/data/asl-ftp/asllvd/demos/verify_start_end_handshape_annotations//test_auto_move//signs_mov_separ_signers/Liz_268.mov","MOV")</f>
        <v>21</v>
      </c>
    </row>
    <row r="1194" s="2" customFormat="1" ht="13.5" customHeight="1">
      <c r="B1194" s="13"/>
      <c r="C1194" t="s" s="9">
        <v>23</v>
      </c>
      <c r="D1194" t="s" s="8">
        <v>465</v>
      </c>
      <c r="E1194" t="s" s="9">
        <v>465</v>
      </c>
      <c r="F1194" t="s" s="10">
        <v>230</v>
      </c>
      <c r="G1194" s="14"/>
      <c r="H1194" t="s" s="10">
        <v>230</v>
      </c>
      <c r="I1194" s="14"/>
      <c r="J1194" t="s" s="11">
        <v>20</v>
      </c>
      <c r="K1194" s="15"/>
      <c r="L1194" t="s" s="16">
        <f>HYPERLINK("http://csr.bu.edu/ftp/asl/asllvd/demos/verify_start_end_handshape_annotations//test_auto_move//signs_mov_separ_signers/Tyler_268.mov","MOV")</f>
        <v>21</v>
      </c>
      <c r="M1194" t="s" s="10">
        <v>26</v>
      </c>
      <c r="N1194" s="17">
        <v>28</v>
      </c>
      <c r="O1194" s="18">
        <v>2090</v>
      </c>
      <c r="P1194" s="18">
        <v>2117</v>
      </c>
      <c r="Q1194" s="15"/>
      <c r="R1194" t="s" s="16">
        <f>HYPERLINK("http://secrets.rutgers.edu:8080/data/asl-ftp/asllvd/demos/verify_start_end_handshape_annotations//test_auto_move//signs_mov_separ_signers/Tyler_268.mov","MOV")</f>
        <v>21</v>
      </c>
    </row>
    <row r="1195" s="2" customFormat="1" ht="13.5" customHeight="1">
      <c r="B1195" s="13"/>
      <c r="C1195" t="s" s="9">
        <v>27</v>
      </c>
      <c r="D1195" t="s" s="8">
        <v>465</v>
      </c>
      <c r="E1195" t="s" s="9">
        <v>465</v>
      </c>
      <c r="F1195" t="s" s="10">
        <v>230</v>
      </c>
      <c r="G1195" s="14"/>
      <c r="H1195" t="s" s="10">
        <v>230</v>
      </c>
      <c r="I1195" s="14"/>
      <c r="J1195" t="s" s="11">
        <v>20</v>
      </c>
      <c r="K1195" t="s" s="16">
        <f>HYPERLINK("http://csr.bu.edu/ftp/asl/asllvd/demos/verify_start_end_handshape_annotations//test_auto_move//signs_mov/268_3578_merged.mov","MOV")</f>
        <v>21</v>
      </c>
      <c r="L1195" t="s" s="16">
        <f>HYPERLINK("http://csr.bu.edu/ftp/asl/asllvd/demos/verify_start_end_handshape_annotations//test_auto_move//signs_mov_separ_signers/Naomi_268.mov","MOV")</f>
        <v>21</v>
      </c>
      <c r="M1195" t="s" s="10">
        <v>29</v>
      </c>
      <c r="N1195" s="17">
        <v>29</v>
      </c>
      <c r="O1195" s="18">
        <v>2624</v>
      </c>
      <c r="P1195" s="18">
        <v>2645</v>
      </c>
      <c r="Q1195" t="s" s="16">
        <f>HYPERLINK("http://secrets.rutgers.edu:8080/data/asl-ftp/asllvd/demos/verify_start_end_handshape_annotations//test_auto_move//signs_mov/268_3578_merged.mov","MOV")</f>
        <v>21</v>
      </c>
      <c r="R1195" t="s" s="16">
        <f>HYPERLINK("http://secrets.rutgers.edu:8080/data/asl-ftp/asllvd/demos/verify_start_end_handshape_annotations//test_auto_move//signs_mov_separ_signers/Naomi_268.mov","MOV")</f>
        <v>21</v>
      </c>
    </row>
    <row r="1196" s="2" customFormat="1" ht="13.5" customHeight="1">
      <c r="B1196" s="13"/>
      <c r="C1196" t="s" s="9">
        <v>30</v>
      </c>
      <c r="D1196" t="s" s="8">
        <v>465</v>
      </c>
      <c r="E1196" t="s" s="9">
        <v>465</v>
      </c>
      <c r="F1196" t="s" s="10">
        <v>230</v>
      </c>
      <c r="G1196" s="14"/>
      <c r="H1196" t="s" s="10">
        <v>230</v>
      </c>
      <c r="I1196" s="14"/>
      <c r="J1196" t="s" s="11">
        <v>20</v>
      </c>
      <c r="K1196" s="15"/>
      <c r="L1196" t="s" s="16">
        <f>HYPERLINK("http://csr.bu.edu/ftp/asl/asllvd/demos/verify_start_end_handshape_annotations//test_auto_move//signs_mov_separ_signers/Brady_268.mov","MOV")</f>
        <v>21</v>
      </c>
      <c r="M1196" t="s" s="10">
        <v>31</v>
      </c>
      <c r="N1196" s="17">
        <v>21</v>
      </c>
      <c r="O1196" s="18">
        <v>14191</v>
      </c>
      <c r="P1196" s="18">
        <v>14211</v>
      </c>
      <c r="Q1196" s="15"/>
      <c r="R1196" t="s" s="16">
        <f>HYPERLINK("http://secrets.rutgers.edu:8080/data/asl-ftp/asllvd/demos/verify_start_end_handshape_annotations//test_auto_move//signs_mov_separ_signers/Brady_268.mov","MOV")</f>
        <v>21</v>
      </c>
    </row>
    <row r="1197" s="2" customFormat="1" ht="13.5" customHeight="1">
      <c r="B1197" s="13"/>
      <c r="C1197" t="s" s="9">
        <v>30</v>
      </c>
      <c r="D1197" t="s" s="8">
        <v>465</v>
      </c>
      <c r="E1197" t="s" s="9">
        <v>465</v>
      </c>
      <c r="F1197" t="s" s="10">
        <v>230</v>
      </c>
      <c r="G1197" s="14"/>
      <c r="H1197" t="s" s="10">
        <v>230</v>
      </c>
      <c r="I1197" s="14"/>
      <c r="J1197" t="s" s="11">
        <v>20</v>
      </c>
      <c r="K1197" s="15"/>
      <c r="L1197" t="s" s="16">
        <f>HYPERLINK("http://csr.bu.edu/ftp/asl/asllvd/demos/verify_start_end_handshape_annotations//test_auto_move//signs_mov_separ_signers/Brady_3578.mov","MOV")</f>
        <v>21</v>
      </c>
      <c r="M1197" t="s" s="10">
        <v>31</v>
      </c>
      <c r="N1197" s="17">
        <v>21</v>
      </c>
      <c r="O1197" s="18">
        <v>14619</v>
      </c>
      <c r="P1197" s="18">
        <v>14625</v>
      </c>
      <c r="Q1197" s="15"/>
      <c r="R1197" t="s" s="16">
        <f>HYPERLINK("http://secrets.rutgers.edu:8080/data/asl-ftp/asllvd/demos/verify_start_end_handshape_annotations//test_auto_move//signs_mov_separ_signers/Brady_3578.mov","MOV")</f>
        <v>21</v>
      </c>
    </row>
    <row r="1198" s="2" customFormat="1" ht="13.5" customHeight="1">
      <c r="B1198" t="s" s="8">
        <v>465</v>
      </c>
      <c r="C1198" t="s" s="9">
        <v>14</v>
      </c>
      <c r="D1198" t="s" s="8">
        <v>14</v>
      </c>
      <c r="E1198" t="s" s="9">
        <v>14</v>
      </c>
      <c r="F1198" t="s" s="10">
        <v>14</v>
      </c>
      <c r="G1198" t="s" s="11">
        <v>14</v>
      </c>
      <c r="H1198" t="s" s="10">
        <v>14</v>
      </c>
      <c r="I1198" t="s" s="11">
        <v>14</v>
      </c>
      <c r="J1198" t="s" s="11">
        <v>14</v>
      </c>
      <c r="K1198" t="s" s="12">
        <v>14</v>
      </c>
      <c r="L1198" t="s" s="12">
        <v>14</v>
      </c>
      <c r="M1198" t="s" s="10">
        <v>14</v>
      </c>
      <c r="N1198" t="s" s="11">
        <v>14</v>
      </c>
      <c r="O1198" t="s" s="8">
        <v>14</v>
      </c>
      <c r="P1198" t="s" s="8">
        <v>14</v>
      </c>
      <c r="Q1198" t="s" s="12">
        <v>14</v>
      </c>
      <c r="R1198" t="s" s="12">
        <v>14</v>
      </c>
    </row>
    <row r="1199" s="2" customFormat="1" ht="13.5" customHeight="1">
      <c r="B1199" s="13"/>
      <c r="C1199" t="s" s="9">
        <v>16</v>
      </c>
      <c r="D1199" t="s" s="8">
        <v>466</v>
      </c>
      <c r="E1199" t="s" s="9">
        <v>466</v>
      </c>
      <c r="F1199" t="s" s="10">
        <v>230</v>
      </c>
      <c r="G1199" s="14"/>
      <c r="H1199" t="s" s="10">
        <v>230</v>
      </c>
      <c r="I1199" s="14"/>
      <c r="J1199" t="s" s="11">
        <v>20</v>
      </c>
      <c r="K1199" t="s" s="16">
        <f>HYPERLINK("http://csr.bu.edu/ftp/asl/asllvd/demos/verify_start_end_handshape_annotations//test_auto_move//signs_mov/5108.mov","MOV")</f>
        <v>21</v>
      </c>
      <c r="L1199" t="s" s="16">
        <f>HYPERLINK("http://csr.bu.edu/ftp/asl/asllvd/demos/verify_start_end_handshape_annotations//test_auto_move//signs_mov_separ_signers/Liz_5108.mov","MOV")</f>
        <v>21</v>
      </c>
      <c r="M1199" t="s" s="10">
        <v>22</v>
      </c>
      <c r="N1199" s="17">
        <v>46</v>
      </c>
      <c r="O1199" s="18">
        <v>456</v>
      </c>
      <c r="P1199" s="18">
        <v>495</v>
      </c>
      <c r="Q1199" t="s" s="16">
        <f>HYPERLINK("http://secrets.rutgers.edu:8080/data/asl-ftp/asllvd/demos/verify_start_end_handshape_annotations//test_auto_move//signs_mov/5108.mov","MOV")</f>
        <v>21</v>
      </c>
      <c r="R1199" t="s" s="16">
        <f>HYPERLINK("http://secrets.rutgers.edu:8080/data/asl-ftp/asllvd/demos/verify_start_end_handshape_annotations//test_auto_move//signs_mov_separ_signers/Liz_5108.mov","MOV")</f>
        <v>21</v>
      </c>
    </row>
    <row r="1200" s="2" customFormat="1" ht="13.5" customHeight="1">
      <c r="B1200" s="13"/>
      <c r="C1200" t="s" s="9">
        <v>27</v>
      </c>
      <c r="D1200" t="s" s="8">
        <v>466</v>
      </c>
      <c r="E1200" t="s" s="9">
        <v>466</v>
      </c>
      <c r="F1200" t="s" s="10">
        <v>230</v>
      </c>
      <c r="G1200" s="14"/>
      <c r="H1200" t="s" s="10">
        <v>230</v>
      </c>
      <c r="I1200" s="14"/>
      <c r="J1200" t="s" s="11">
        <v>20</v>
      </c>
      <c r="K1200" s="15"/>
      <c r="L1200" t="s" s="16">
        <f>HYPERLINK("http://csr.bu.edu/ftp/asl/asllvd/demos/verify_start_end_handshape_annotations//test_auto_move//signs_mov_separ_signers/Naomi_5108.mov","MOV")</f>
        <v>21</v>
      </c>
      <c r="M1200" t="s" s="10">
        <v>29</v>
      </c>
      <c r="N1200" s="17">
        <v>29</v>
      </c>
      <c r="O1200" s="18">
        <v>2895</v>
      </c>
      <c r="P1200" s="18">
        <v>2917</v>
      </c>
      <c r="Q1200" s="15"/>
      <c r="R1200" t="s" s="16">
        <f>HYPERLINK("http://secrets.rutgers.edu:8080/data/asl-ftp/asllvd/demos/verify_start_end_handshape_annotations//test_auto_move//signs_mov_separ_signers/Naomi_5108.mov","MOV")</f>
        <v>21</v>
      </c>
    </row>
    <row r="1201" s="2" customFormat="1" ht="13.5" customHeight="1">
      <c r="B1201" t="s" s="8">
        <v>467</v>
      </c>
      <c r="C1201" t="s" s="9">
        <v>14</v>
      </c>
      <c r="D1201" t="s" s="8">
        <v>14</v>
      </c>
      <c r="E1201" t="s" s="9">
        <v>14</v>
      </c>
      <c r="F1201" t="s" s="10">
        <v>14</v>
      </c>
      <c r="G1201" t="s" s="11">
        <v>14</v>
      </c>
      <c r="H1201" t="s" s="10">
        <v>14</v>
      </c>
      <c r="I1201" t="s" s="11">
        <v>14</v>
      </c>
      <c r="J1201" t="s" s="11">
        <v>14</v>
      </c>
      <c r="K1201" t="s" s="12">
        <v>14</v>
      </c>
      <c r="L1201" t="s" s="12">
        <v>14</v>
      </c>
      <c r="M1201" t="s" s="10">
        <v>14</v>
      </c>
      <c r="N1201" t="s" s="11">
        <v>14</v>
      </c>
      <c r="O1201" t="s" s="8">
        <v>14</v>
      </c>
      <c r="P1201" t="s" s="8">
        <v>14</v>
      </c>
      <c r="Q1201" t="s" s="12">
        <v>14</v>
      </c>
      <c r="R1201" t="s" s="12">
        <v>14</v>
      </c>
    </row>
    <row r="1202" s="2" customFormat="1" ht="13.5" customHeight="1">
      <c r="B1202" s="13"/>
      <c r="C1202" t="s" s="9">
        <v>16</v>
      </c>
      <c r="D1202" t="s" s="8">
        <v>467</v>
      </c>
      <c r="E1202" t="s" s="9">
        <v>467</v>
      </c>
      <c r="F1202" t="s" s="10">
        <v>119</v>
      </c>
      <c r="G1202" t="s" s="11">
        <v>119</v>
      </c>
      <c r="H1202" s="19">
        <v>5</v>
      </c>
      <c r="I1202" s="17">
        <v>5</v>
      </c>
      <c r="J1202" t="s" s="11">
        <v>20</v>
      </c>
      <c r="K1202" s="15"/>
      <c r="L1202" t="s" s="16">
        <f>HYPERLINK("http://csr.bu.edu/ftp/asl/asllvd/demos/verify_start_end_handshape_annotations//test_auto_move//signs_mov_separ_signers/Liz_270.mov","MOV")</f>
        <v>21</v>
      </c>
      <c r="M1202" t="s" s="10">
        <v>22</v>
      </c>
      <c r="N1202" s="17">
        <v>46</v>
      </c>
      <c r="O1202" s="18">
        <v>880</v>
      </c>
      <c r="P1202" s="18">
        <v>915</v>
      </c>
      <c r="Q1202" s="15"/>
      <c r="R1202" t="s" s="16">
        <f>HYPERLINK("http://secrets.rutgers.edu:8080/data/asl-ftp/asllvd/demos/verify_start_end_handshape_annotations//test_auto_move//signs_mov_separ_signers/Liz_270.mov","MOV")</f>
        <v>21</v>
      </c>
    </row>
    <row r="1203" s="2" customFormat="1" ht="13.5" customHeight="1">
      <c r="B1203" s="13"/>
      <c r="C1203" t="s" s="9">
        <v>23</v>
      </c>
      <c r="D1203" t="s" s="8">
        <v>467</v>
      </c>
      <c r="E1203" t="s" s="9">
        <v>467</v>
      </c>
      <c r="F1203" t="s" s="10">
        <v>55</v>
      </c>
      <c r="G1203" t="s" s="11">
        <v>55</v>
      </c>
      <c r="H1203" s="19">
        <v>4</v>
      </c>
      <c r="I1203" s="17">
        <v>4</v>
      </c>
      <c r="J1203" t="s" s="11">
        <v>20</v>
      </c>
      <c r="K1203" t="s" s="16">
        <f>HYPERLINK("http://csr.bu.edu/ftp/asl/asllvd/demos/verify_start_end_handshape_annotations//test_auto_move//signs_mov/270.mov","MOV")</f>
        <v>21</v>
      </c>
      <c r="L1203" t="s" s="16">
        <f>HYPERLINK("http://csr.bu.edu/ftp/asl/asllvd/demos/verify_start_end_handshape_annotations//test_auto_move//signs_mov_separ_signers/Tyler_270.mov","MOV")</f>
        <v>21</v>
      </c>
      <c r="M1203" t="s" s="10">
        <v>26</v>
      </c>
      <c r="N1203" s="17">
        <v>28</v>
      </c>
      <c r="O1203" s="18">
        <v>2800</v>
      </c>
      <c r="P1203" s="18">
        <v>2832</v>
      </c>
      <c r="Q1203" t="s" s="16">
        <f>HYPERLINK("http://secrets.rutgers.edu:8080/data/asl-ftp/asllvd/demos/verify_start_end_handshape_annotations//test_auto_move//signs_mov/270.mov","MOV")</f>
        <v>21</v>
      </c>
      <c r="R1203" t="s" s="16">
        <f>HYPERLINK("http://secrets.rutgers.edu:8080/data/asl-ftp/asllvd/demos/verify_start_end_handshape_annotations//test_auto_move//signs_mov_separ_signers/Tyler_270.mov","MOV")</f>
        <v>21</v>
      </c>
    </row>
    <row r="1204" s="2" customFormat="1" ht="13.5" customHeight="1">
      <c r="B1204" s="13"/>
      <c r="C1204" t="s" s="9">
        <v>27</v>
      </c>
      <c r="D1204" t="s" s="8">
        <v>467</v>
      </c>
      <c r="E1204" t="s" s="9">
        <v>467</v>
      </c>
      <c r="F1204" t="s" s="10">
        <v>119</v>
      </c>
      <c r="G1204" t="s" s="11">
        <v>119</v>
      </c>
      <c r="H1204" s="19">
        <v>4</v>
      </c>
      <c r="I1204" s="17">
        <v>4</v>
      </c>
      <c r="J1204" t="s" s="11">
        <v>20</v>
      </c>
      <c r="K1204" s="15"/>
      <c r="L1204" t="s" s="16">
        <f>HYPERLINK("http://csr.bu.edu/ftp/asl/asllvd/demos/verify_start_end_handshape_annotations//test_auto_move//signs_mov_separ_signers/Naomi_270.mov","MOV")</f>
        <v>21</v>
      </c>
      <c r="M1204" t="s" s="10">
        <v>29</v>
      </c>
      <c r="N1204" s="17">
        <v>30</v>
      </c>
      <c r="O1204" s="18">
        <v>280</v>
      </c>
      <c r="P1204" s="18">
        <v>303</v>
      </c>
      <c r="Q1204" s="15"/>
      <c r="R1204" t="s" s="16">
        <f>HYPERLINK("http://secrets.rutgers.edu:8080/data/asl-ftp/asllvd/demos/verify_start_end_handshape_annotations//test_auto_move//signs_mov_separ_signers/Naomi_270.mov","MOV")</f>
        <v>21</v>
      </c>
    </row>
    <row r="1205" s="2" customFormat="1" ht="13.5" customHeight="1">
      <c r="B1205" s="13"/>
      <c r="C1205" t="s" s="9">
        <v>30</v>
      </c>
      <c r="D1205" t="s" s="8">
        <v>467</v>
      </c>
      <c r="E1205" t="s" s="9">
        <v>467</v>
      </c>
      <c r="F1205" t="s" s="10">
        <v>119</v>
      </c>
      <c r="G1205" t="s" s="11">
        <v>119</v>
      </c>
      <c r="H1205" s="19">
        <v>4</v>
      </c>
      <c r="I1205" s="17">
        <v>4</v>
      </c>
      <c r="J1205" t="s" s="11">
        <v>20</v>
      </c>
      <c r="K1205" s="15"/>
      <c r="L1205" t="s" s="16">
        <f>HYPERLINK("http://csr.bu.edu/ftp/asl/asllvd/demos/verify_start_end_handshape_annotations//test_auto_move//signs_mov_separ_signers/Brady_270.mov","MOV")</f>
        <v>21</v>
      </c>
      <c r="M1205" t="s" s="10">
        <v>31</v>
      </c>
      <c r="N1205" s="17">
        <v>21</v>
      </c>
      <c r="O1205" s="18">
        <v>15945</v>
      </c>
      <c r="P1205" s="18">
        <v>15978</v>
      </c>
      <c r="Q1205" s="15"/>
      <c r="R1205" t="s" s="16">
        <f>HYPERLINK("http://secrets.rutgers.edu:8080/data/asl-ftp/asllvd/demos/verify_start_end_handshape_annotations//test_auto_move//signs_mov_separ_signers/Brady_270.mov","MOV")</f>
        <v>21</v>
      </c>
    </row>
    <row r="1206" s="2" customFormat="1" ht="13.5" customHeight="1">
      <c r="B1206" t="s" s="8">
        <v>467</v>
      </c>
      <c r="C1206" t="s" s="9">
        <v>14</v>
      </c>
      <c r="D1206" t="s" s="8">
        <v>14</v>
      </c>
      <c r="E1206" t="s" s="9">
        <v>14</v>
      </c>
      <c r="F1206" t="s" s="10">
        <v>14</v>
      </c>
      <c r="G1206" t="s" s="11">
        <v>14</v>
      </c>
      <c r="H1206" t="s" s="10">
        <v>14</v>
      </c>
      <c r="I1206" t="s" s="11">
        <v>14</v>
      </c>
      <c r="J1206" t="s" s="11">
        <v>14</v>
      </c>
      <c r="K1206" t="s" s="12">
        <v>14</v>
      </c>
      <c r="L1206" t="s" s="12">
        <v>14</v>
      </c>
      <c r="M1206" t="s" s="10">
        <v>14</v>
      </c>
      <c r="N1206" t="s" s="11">
        <v>14</v>
      </c>
      <c r="O1206" t="s" s="8">
        <v>14</v>
      </c>
      <c r="P1206" t="s" s="8">
        <v>14</v>
      </c>
      <c r="Q1206" t="s" s="12">
        <v>14</v>
      </c>
      <c r="R1206" t="s" s="12">
        <v>14</v>
      </c>
    </row>
    <row r="1207" s="2" customFormat="1" ht="13.5" customHeight="1">
      <c r="B1207" s="13"/>
      <c r="C1207" t="s" s="9">
        <v>16</v>
      </c>
      <c r="D1207" t="s" s="8">
        <v>468</v>
      </c>
      <c r="E1207" t="s" s="9">
        <v>468</v>
      </c>
      <c r="F1207" t="s" s="10">
        <v>260</v>
      </c>
      <c r="G1207" t="s" s="11">
        <v>260</v>
      </c>
      <c r="H1207" t="s" s="10">
        <v>260</v>
      </c>
      <c r="I1207" t="s" s="11">
        <v>260</v>
      </c>
      <c r="J1207" t="s" s="11">
        <v>20</v>
      </c>
      <c r="K1207" t="s" s="16">
        <f>HYPERLINK("http://csr.bu.edu/ftp/asl/asllvd/demos/verify_start_end_handshape_annotations//test_auto_move//signs_mov/3579.mov","MOV")</f>
        <v>21</v>
      </c>
      <c r="L1207" t="s" s="16">
        <f>HYPERLINK("http://csr.bu.edu/ftp/asl/asllvd/demos/verify_start_end_handshape_annotations//test_auto_move//signs_mov_separ_signers/Liz_3579.mov","MOV")</f>
        <v>21</v>
      </c>
      <c r="M1207" t="s" s="10">
        <v>22</v>
      </c>
      <c r="N1207" s="17">
        <v>46</v>
      </c>
      <c r="O1207" s="18">
        <v>675</v>
      </c>
      <c r="P1207" s="18">
        <v>725</v>
      </c>
      <c r="Q1207" t="s" s="16">
        <f>HYPERLINK("http://secrets.rutgers.edu:8080/data/asl-ftp/asllvd/demos/verify_start_end_handshape_annotations//test_auto_move//signs_mov/3579.mov","MOV")</f>
        <v>21</v>
      </c>
      <c r="R1207" t="s" s="16">
        <f>HYPERLINK("http://secrets.rutgers.edu:8080/data/asl-ftp/asllvd/demos/verify_start_end_handshape_annotations//test_auto_move//signs_mov_separ_signers/Liz_3579.mov","MOV")</f>
        <v>21</v>
      </c>
    </row>
    <row r="1208" s="2" customFormat="1" ht="13.5" customHeight="1">
      <c r="B1208" t="s" s="8">
        <v>469</v>
      </c>
      <c r="C1208" t="s" s="9">
        <v>14</v>
      </c>
      <c r="D1208" t="s" s="8">
        <v>14</v>
      </c>
      <c r="E1208" t="s" s="9">
        <v>14</v>
      </c>
      <c r="F1208" t="s" s="10">
        <v>14</v>
      </c>
      <c r="G1208" t="s" s="11">
        <v>14</v>
      </c>
      <c r="H1208" t="s" s="10">
        <v>14</v>
      </c>
      <c r="I1208" t="s" s="11">
        <v>14</v>
      </c>
      <c r="J1208" t="s" s="11">
        <v>14</v>
      </c>
      <c r="K1208" t="s" s="12">
        <v>14</v>
      </c>
      <c r="L1208" t="s" s="12">
        <v>14</v>
      </c>
      <c r="M1208" t="s" s="10">
        <v>14</v>
      </c>
      <c r="N1208" t="s" s="11">
        <v>14</v>
      </c>
      <c r="O1208" t="s" s="8">
        <v>14</v>
      </c>
      <c r="P1208" t="s" s="8">
        <v>14</v>
      </c>
      <c r="Q1208" t="s" s="12">
        <v>14</v>
      </c>
      <c r="R1208" t="s" s="12">
        <v>14</v>
      </c>
    </row>
    <row r="1209" s="2" customFormat="1" ht="13.5" customHeight="1">
      <c r="B1209" s="13"/>
      <c r="C1209" t="s" s="9">
        <v>16</v>
      </c>
      <c r="D1209" t="s" s="8">
        <v>469</v>
      </c>
      <c r="E1209" t="s" s="9">
        <v>469</v>
      </c>
      <c r="F1209" t="s" s="10">
        <v>25</v>
      </c>
      <c r="G1209" s="14"/>
      <c r="H1209" t="s" s="10">
        <v>25</v>
      </c>
      <c r="I1209" s="14"/>
      <c r="J1209" t="s" s="11">
        <v>20</v>
      </c>
      <c r="K1209" s="15"/>
      <c r="L1209" t="s" s="16">
        <f>HYPERLINK("http://csr.bu.edu/ftp/asl/asllvd/demos/verify_start_end_handshape_annotations//test_auto_move//signs_mov_separ_signers/Liz_272.mov","MOV")</f>
        <v>21</v>
      </c>
      <c r="M1209" t="s" s="10">
        <v>22</v>
      </c>
      <c r="N1209" s="17">
        <v>46</v>
      </c>
      <c r="O1209" s="18">
        <v>1085</v>
      </c>
      <c r="P1209" s="18">
        <v>1120</v>
      </c>
      <c r="Q1209" s="15"/>
      <c r="R1209" t="s" s="16">
        <f>HYPERLINK("http://secrets.rutgers.edu:8080/data/asl-ftp/asllvd/demos/verify_start_end_handshape_annotations//test_auto_move//signs_mov_separ_signers/Liz_272.mov","MOV")</f>
        <v>21</v>
      </c>
    </row>
    <row r="1210" s="2" customFormat="1" ht="13.5" customHeight="1">
      <c r="B1210" s="13"/>
      <c r="C1210" t="s" s="9">
        <v>16</v>
      </c>
      <c r="D1210" t="s" s="8">
        <v>469</v>
      </c>
      <c r="E1210" t="s" s="9">
        <v>469</v>
      </c>
      <c r="F1210" t="s" s="10">
        <v>25</v>
      </c>
      <c r="G1210" s="14"/>
      <c r="H1210" t="s" s="10">
        <v>25</v>
      </c>
      <c r="I1210" s="14"/>
      <c r="J1210" t="s" s="11">
        <v>20</v>
      </c>
      <c r="K1210" s="15"/>
      <c r="L1210" t="s" s="16">
        <f>HYPERLINK("http://csr.bu.edu/ftp/asl/asllvd/demos/verify_start_end_handshape_annotations//test_auto_move//signs_mov_separ_signers/Liz_15830.mov","MOV")</f>
        <v>21</v>
      </c>
      <c r="M1210" t="s" s="10">
        <v>59</v>
      </c>
      <c r="N1210" s="17">
        <v>42</v>
      </c>
      <c r="O1210" s="18">
        <v>5368</v>
      </c>
      <c r="P1210" s="18">
        <v>5397</v>
      </c>
      <c r="Q1210" s="15"/>
      <c r="R1210" t="s" s="16">
        <f>HYPERLINK("http://secrets.rutgers.edu:8080/data/asl-ftp/asllvd/demos/verify_start_end_handshape_annotations//test_auto_move//signs_mov_separ_signers/Liz_15830.mov","MOV")</f>
        <v>21</v>
      </c>
    </row>
    <row r="1211" s="2" customFormat="1" ht="13.5" customHeight="1">
      <c r="B1211" s="13"/>
      <c r="C1211" t="s" s="9">
        <v>23</v>
      </c>
      <c r="D1211" t="s" s="8">
        <v>469</v>
      </c>
      <c r="E1211" t="s" s="9">
        <v>469</v>
      </c>
      <c r="F1211" t="s" s="10">
        <v>25</v>
      </c>
      <c r="G1211" s="14"/>
      <c r="H1211" t="s" s="10">
        <v>25</v>
      </c>
      <c r="I1211" s="14"/>
      <c r="J1211" t="s" s="11">
        <v>20</v>
      </c>
      <c r="K1211" t="s" s="16">
        <f>HYPERLINK("http://csr.bu.edu/ftp/asl/asllvd/demos/verify_start_end_handshape_annotations//test_auto_move//signs_mov/272_15830_merged.mov","MOV")</f>
        <v>21</v>
      </c>
      <c r="L1211" t="s" s="16">
        <f>HYPERLINK("http://csr.bu.edu/ftp/asl/asllvd/demos/verify_start_end_handshape_annotations//test_auto_move//signs_mov_separ_signers/Tyler_272.mov","MOV")</f>
        <v>21</v>
      </c>
      <c r="M1211" t="s" s="10">
        <v>26</v>
      </c>
      <c r="N1211" s="17">
        <v>29</v>
      </c>
      <c r="O1211" s="18">
        <v>576</v>
      </c>
      <c r="P1211" s="18">
        <v>595</v>
      </c>
      <c r="Q1211" t="s" s="16">
        <f>HYPERLINK("http://secrets.rutgers.edu:8080/data/asl-ftp/asllvd/demos/verify_start_end_handshape_annotations//test_auto_move//signs_mov/272_15830_merged.mov","MOV")</f>
        <v>21</v>
      </c>
      <c r="R1211" t="s" s="16">
        <f>HYPERLINK("http://secrets.rutgers.edu:8080/data/asl-ftp/asllvd/demos/verify_start_end_handshape_annotations//test_auto_move//signs_mov_separ_signers/Tyler_272.mov","MOV")</f>
        <v>21</v>
      </c>
    </row>
    <row r="1212" s="2" customFormat="1" ht="13.5" customHeight="1">
      <c r="B1212" s="13"/>
      <c r="C1212" t="s" s="9">
        <v>27</v>
      </c>
      <c r="D1212" t="s" s="8">
        <v>469</v>
      </c>
      <c r="E1212" t="s" s="9">
        <v>469</v>
      </c>
      <c r="F1212" t="s" s="10">
        <v>25</v>
      </c>
      <c r="G1212" s="14"/>
      <c r="H1212" t="s" s="10">
        <v>25</v>
      </c>
      <c r="I1212" s="14"/>
      <c r="J1212" t="s" s="11">
        <v>20</v>
      </c>
      <c r="K1212" s="15"/>
      <c r="L1212" t="s" s="16">
        <f>HYPERLINK("http://csr.bu.edu/ftp/asl/asllvd/demos/verify_start_end_handshape_annotations//test_auto_move//signs_mov_separ_signers/Naomi_272.mov","MOV")</f>
        <v>21</v>
      </c>
      <c r="M1212" t="s" s="10">
        <v>29</v>
      </c>
      <c r="N1212" s="17">
        <v>30</v>
      </c>
      <c r="O1212" s="18">
        <v>660</v>
      </c>
      <c r="P1212" s="18">
        <v>690</v>
      </c>
      <c r="Q1212" s="15"/>
      <c r="R1212" t="s" s="16">
        <f>HYPERLINK("http://secrets.rutgers.edu:8080/data/asl-ftp/asllvd/demos/verify_start_end_handshape_annotations//test_auto_move//signs_mov_separ_signers/Naomi_272.mov","MOV")</f>
        <v>21</v>
      </c>
    </row>
    <row r="1213" s="2" customFormat="1" ht="13.5" customHeight="1">
      <c r="B1213" s="13"/>
      <c r="C1213" t="s" s="9">
        <v>30</v>
      </c>
      <c r="D1213" t="s" s="8">
        <v>469</v>
      </c>
      <c r="E1213" t="s" s="9">
        <v>469</v>
      </c>
      <c r="F1213" t="s" s="10">
        <v>25</v>
      </c>
      <c r="G1213" s="14"/>
      <c r="H1213" t="s" s="10">
        <v>25</v>
      </c>
      <c r="I1213" s="14"/>
      <c r="J1213" t="s" s="11">
        <v>20</v>
      </c>
      <c r="K1213" s="15"/>
      <c r="L1213" t="s" s="16">
        <f>HYPERLINK("http://csr.bu.edu/ftp/asl/asllvd/demos/verify_start_end_handshape_annotations//test_auto_move//signs_mov_separ_signers/Brady_272.mov","MOV")</f>
        <v>21</v>
      </c>
      <c r="M1213" t="s" s="10">
        <v>31</v>
      </c>
      <c r="N1213" s="17">
        <v>21</v>
      </c>
      <c r="O1213" s="18">
        <v>16290</v>
      </c>
      <c r="P1213" s="18">
        <v>16313</v>
      </c>
      <c r="Q1213" s="15"/>
      <c r="R1213" t="s" s="16">
        <f>HYPERLINK("http://secrets.rutgers.edu:8080/data/asl-ftp/asllvd/demos/verify_start_end_handshape_annotations//test_auto_move//signs_mov_separ_signers/Brady_272.mov","MOV")</f>
        <v>21</v>
      </c>
    </row>
    <row r="1214" s="2" customFormat="1" ht="13.5" customHeight="1">
      <c r="B1214" s="13"/>
      <c r="C1214" t="s" s="9">
        <v>30</v>
      </c>
      <c r="D1214" t="s" s="8">
        <v>469</v>
      </c>
      <c r="E1214" t="s" s="9">
        <v>469</v>
      </c>
      <c r="F1214" t="s" s="10">
        <v>25</v>
      </c>
      <c r="G1214" s="14"/>
      <c r="H1214" t="s" s="10">
        <v>25</v>
      </c>
      <c r="I1214" s="14"/>
      <c r="J1214" t="s" s="11">
        <v>20</v>
      </c>
      <c r="K1214" s="15"/>
      <c r="L1214" t="s" s="16">
        <f>HYPERLINK("http://csr.bu.edu/ftp/asl/asllvd/demos/verify_start_end_handshape_annotations//test_auto_move//signs_mov_separ_signers/Brady_15830.mov","MOV")</f>
        <v>21</v>
      </c>
      <c r="M1214" t="s" s="10">
        <v>60</v>
      </c>
      <c r="N1214" s="17">
        <v>31</v>
      </c>
      <c r="O1214" s="18">
        <v>756</v>
      </c>
      <c r="P1214" s="18">
        <v>778</v>
      </c>
      <c r="Q1214" s="15"/>
      <c r="R1214" t="s" s="16">
        <f>HYPERLINK("http://secrets.rutgers.edu:8080/data/asl-ftp/asllvd/demos/verify_start_end_handshape_annotations//test_auto_move//signs_mov_separ_signers/Brady_15830.mov","MOV")</f>
        <v>21</v>
      </c>
    </row>
    <row r="1215" s="2" customFormat="1" ht="13.5" customHeight="1">
      <c r="B1215" t="s" s="8">
        <v>470</v>
      </c>
      <c r="C1215" t="s" s="9">
        <v>14</v>
      </c>
      <c r="D1215" t="s" s="8">
        <v>14</v>
      </c>
      <c r="E1215" t="s" s="9">
        <v>14</v>
      </c>
      <c r="F1215" t="s" s="10">
        <v>14</v>
      </c>
      <c r="G1215" t="s" s="11">
        <v>14</v>
      </c>
      <c r="H1215" t="s" s="10">
        <v>14</v>
      </c>
      <c r="I1215" t="s" s="11">
        <v>14</v>
      </c>
      <c r="J1215" t="s" s="11">
        <v>14</v>
      </c>
      <c r="K1215" t="s" s="12">
        <v>14</v>
      </c>
      <c r="L1215" t="s" s="12">
        <v>14</v>
      </c>
      <c r="M1215" t="s" s="10">
        <v>14</v>
      </c>
      <c r="N1215" t="s" s="11">
        <v>14</v>
      </c>
      <c r="O1215" t="s" s="8">
        <v>14</v>
      </c>
      <c r="P1215" t="s" s="8">
        <v>14</v>
      </c>
      <c r="Q1215" t="s" s="12">
        <v>14</v>
      </c>
      <c r="R1215" t="s" s="12">
        <v>14</v>
      </c>
    </row>
    <row r="1216" s="2" customFormat="1" ht="13.5" customHeight="1">
      <c r="B1216" s="13"/>
      <c r="C1216" t="s" s="9">
        <v>16</v>
      </c>
      <c r="D1216" t="s" s="8">
        <v>470</v>
      </c>
      <c r="E1216" t="s" s="9">
        <v>470</v>
      </c>
      <c r="F1216" t="s" s="10">
        <v>136</v>
      </c>
      <c r="G1216" s="14"/>
      <c r="H1216" t="s" s="10">
        <v>136</v>
      </c>
      <c r="I1216" s="14"/>
      <c r="J1216" t="s" s="11">
        <v>20</v>
      </c>
      <c r="K1216" s="15"/>
      <c r="L1216" t="s" s="16">
        <f>HYPERLINK("http://csr.bu.edu/ftp/asl/asllvd/demos/verify_start_end_handshape_annotations//test_auto_move//signs_mov_separ_signers/Liz_275.mov","MOV")</f>
        <v>21</v>
      </c>
      <c r="M1216" t="s" s="10">
        <v>22</v>
      </c>
      <c r="N1216" s="17">
        <v>47</v>
      </c>
      <c r="O1216" s="18">
        <v>630</v>
      </c>
      <c r="P1216" s="18">
        <v>655</v>
      </c>
      <c r="Q1216" s="15"/>
      <c r="R1216" t="s" s="16">
        <f>HYPERLINK("http://secrets.rutgers.edu:8080/data/asl-ftp/asllvd/demos/verify_start_end_handshape_annotations//test_auto_move//signs_mov_separ_signers/Liz_275.mov","MOV")</f>
        <v>21</v>
      </c>
    </row>
    <row r="1217" s="2" customFormat="1" ht="13.5" customHeight="1">
      <c r="B1217" s="13"/>
      <c r="C1217" t="s" s="9">
        <v>23</v>
      </c>
      <c r="D1217" t="s" s="8">
        <v>470</v>
      </c>
      <c r="E1217" t="s" s="9">
        <v>470</v>
      </c>
      <c r="F1217" t="s" s="10">
        <v>136</v>
      </c>
      <c r="G1217" s="14"/>
      <c r="H1217" t="s" s="10">
        <v>136</v>
      </c>
      <c r="I1217" s="14"/>
      <c r="J1217" t="s" s="11">
        <v>20</v>
      </c>
      <c r="K1217" t="s" s="16">
        <f>HYPERLINK("http://csr.bu.edu/ftp/asl/asllvd/demos/verify_start_end_handshape_annotations//test_auto_move//signs_mov/275.mov","MOV")</f>
        <v>21</v>
      </c>
      <c r="L1217" t="s" s="16">
        <f>HYPERLINK("http://csr.bu.edu/ftp/asl/asllvd/demos/verify_start_end_handshape_annotations//test_auto_move//signs_mov_separ_signers/Tyler_275.mov","MOV")</f>
        <v>21</v>
      </c>
      <c r="M1217" t="s" s="10">
        <v>26</v>
      </c>
      <c r="N1217" s="17">
        <v>29</v>
      </c>
      <c r="O1217" s="18">
        <v>1442</v>
      </c>
      <c r="P1217" s="18">
        <v>1472</v>
      </c>
      <c r="Q1217" t="s" s="16">
        <f>HYPERLINK("http://secrets.rutgers.edu:8080/data/asl-ftp/asllvd/demos/verify_start_end_handshape_annotations//test_auto_move//signs_mov/275.mov","MOV")</f>
        <v>21</v>
      </c>
      <c r="R1217" t="s" s="16">
        <f>HYPERLINK("http://secrets.rutgers.edu:8080/data/asl-ftp/asllvd/demos/verify_start_end_handshape_annotations//test_auto_move//signs_mov_separ_signers/Tyler_275.mov","MOV")</f>
        <v>21</v>
      </c>
    </row>
    <row r="1218" s="2" customFormat="1" ht="13.5" customHeight="1">
      <c r="B1218" s="13"/>
      <c r="C1218" t="s" s="9">
        <v>27</v>
      </c>
      <c r="D1218" t="s" s="8">
        <v>470</v>
      </c>
      <c r="E1218" t="s" s="9">
        <v>470</v>
      </c>
      <c r="F1218" t="s" s="10">
        <v>136</v>
      </c>
      <c r="G1218" s="14"/>
      <c r="H1218" t="s" s="10">
        <v>136</v>
      </c>
      <c r="I1218" s="14"/>
      <c r="J1218" t="s" s="11">
        <v>20</v>
      </c>
      <c r="K1218" s="15"/>
      <c r="L1218" t="s" s="16">
        <f>HYPERLINK("http://csr.bu.edu/ftp/asl/asllvd/demos/verify_start_end_handshape_annotations//test_auto_move//signs_mov_separ_signers/Naomi_275.mov","MOV")</f>
        <v>21</v>
      </c>
      <c r="M1218" t="s" s="10">
        <v>29</v>
      </c>
      <c r="N1218" s="17">
        <v>30</v>
      </c>
      <c r="O1218" s="18">
        <v>1910</v>
      </c>
      <c r="P1218" s="18">
        <v>1930</v>
      </c>
      <c r="Q1218" s="15"/>
      <c r="R1218" t="s" s="16">
        <f>HYPERLINK("http://secrets.rutgers.edu:8080/data/asl-ftp/asllvd/demos/verify_start_end_handshape_annotations//test_auto_move//signs_mov_separ_signers/Naomi_275.mov","MOV")</f>
        <v>21</v>
      </c>
    </row>
    <row r="1219" s="2" customFormat="1" ht="13.5" customHeight="1">
      <c r="B1219" s="13"/>
      <c r="C1219" t="s" s="9">
        <v>30</v>
      </c>
      <c r="D1219" t="s" s="8">
        <v>470</v>
      </c>
      <c r="E1219" t="s" s="9">
        <v>470</v>
      </c>
      <c r="F1219" t="s" s="10">
        <v>136</v>
      </c>
      <c r="G1219" s="14"/>
      <c r="H1219" t="s" s="10">
        <v>136</v>
      </c>
      <c r="I1219" s="14"/>
      <c r="J1219" t="s" s="11">
        <v>20</v>
      </c>
      <c r="K1219" s="15"/>
      <c r="L1219" t="s" s="16">
        <f>HYPERLINK("http://csr.bu.edu/ftp/asl/asllvd/demos/verify_start_end_handshape_annotations//test_auto_move//signs_mov_separ_signers/Brady_275.mov","MOV")</f>
        <v>21</v>
      </c>
      <c r="M1219" t="s" s="10">
        <v>31</v>
      </c>
      <c r="N1219" s="17">
        <v>21</v>
      </c>
      <c r="O1219" s="18">
        <v>17487</v>
      </c>
      <c r="P1219" s="18">
        <v>17497</v>
      </c>
      <c r="Q1219" s="15"/>
      <c r="R1219" t="s" s="16">
        <f>HYPERLINK("http://secrets.rutgers.edu:8080/data/asl-ftp/asllvd/demos/verify_start_end_handshape_annotations//test_auto_move//signs_mov_separ_signers/Brady_275.mov","MOV")</f>
        <v>21</v>
      </c>
    </row>
    <row r="1220" s="2" customFormat="1" ht="13.5" customHeight="1">
      <c r="B1220" t="s" s="8">
        <v>471</v>
      </c>
      <c r="C1220" t="s" s="9">
        <v>14</v>
      </c>
      <c r="D1220" t="s" s="8">
        <v>14</v>
      </c>
      <c r="E1220" t="s" s="9">
        <v>14</v>
      </c>
      <c r="F1220" t="s" s="10">
        <v>14</v>
      </c>
      <c r="G1220" t="s" s="11">
        <v>14</v>
      </c>
      <c r="H1220" t="s" s="10">
        <v>14</v>
      </c>
      <c r="I1220" t="s" s="11">
        <v>14</v>
      </c>
      <c r="J1220" t="s" s="11">
        <v>14</v>
      </c>
      <c r="K1220" t="s" s="12">
        <v>14</v>
      </c>
      <c r="L1220" t="s" s="12">
        <v>14</v>
      </c>
      <c r="M1220" t="s" s="10">
        <v>14</v>
      </c>
      <c r="N1220" t="s" s="11">
        <v>14</v>
      </c>
      <c r="O1220" t="s" s="8">
        <v>14</v>
      </c>
      <c r="P1220" t="s" s="8">
        <v>14</v>
      </c>
      <c r="Q1220" t="s" s="12">
        <v>14</v>
      </c>
      <c r="R1220" t="s" s="12">
        <v>14</v>
      </c>
    </row>
    <row r="1221" s="2" customFormat="1" ht="13.5" customHeight="1">
      <c r="B1221" s="13"/>
      <c r="C1221" t="s" s="9">
        <v>16</v>
      </c>
      <c r="D1221" t="s" s="8">
        <v>471</v>
      </c>
      <c r="E1221" t="s" s="9">
        <v>471</v>
      </c>
      <c r="F1221" t="s" s="10">
        <v>196</v>
      </c>
      <c r="G1221" s="14"/>
      <c r="H1221" t="s" s="10">
        <v>136</v>
      </c>
      <c r="I1221" s="14"/>
      <c r="J1221" t="s" s="11">
        <v>20</v>
      </c>
      <c r="K1221" s="15"/>
      <c r="L1221" t="s" s="16">
        <f>HYPERLINK("http://csr.bu.edu/ftp/asl/asllvd/demos/verify_start_end_handshape_annotations//test_auto_move//signs_mov_separ_signers/Liz_3455.mov","MOV")</f>
        <v>21</v>
      </c>
      <c r="M1221" t="s" s="10">
        <v>22</v>
      </c>
      <c r="N1221" s="17">
        <v>47</v>
      </c>
      <c r="O1221" s="18">
        <v>805</v>
      </c>
      <c r="P1221" s="18">
        <v>832</v>
      </c>
      <c r="Q1221" s="15"/>
      <c r="R1221" t="s" s="16">
        <f>HYPERLINK("http://secrets.rutgers.edu:8080/data/asl-ftp/asllvd/demos/verify_start_end_handshape_annotations//test_auto_move//signs_mov_separ_signers/Liz_3455.mov","MOV")</f>
        <v>21</v>
      </c>
    </row>
    <row r="1222" s="2" customFormat="1" ht="13.5" customHeight="1">
      <c r="B1222" s="13"/>
      <c r="C1222" t="s" s="9">
        <v>30</v>
      </c>
      <c r="D1222" t="s" s="8">
        <v>471</v>
      </c>
      <c r="E1222" t="s" s="9">
        <v>471</v>
      </c>
      <c r="F1222" t="s" s="10">
        <v>25</v>
      </c>
      <c r="G1222" s="14"/>
      <c r="H1222" t="s" s="10">
        <v>136</v>
      </c>
      <c r="I1222" s="14"/>
      <c r="J1222" t="s" s="11">
        <v>20</v>
      </c>
      <c r="K1222" t="s" s="16">
        <f>HYPERLINK("http://csr.bu.edu/ftp/asl/asllvd/demos/verify_start_end_handshape_annotations//test_auto_move//signs_mov/3455_3470_5929_merged.mov","MOV")</f>
        <v>21</v>
      </c>
      <c r="L1222" t="s" s="16">
        <f>HYPERLINK("http://csr.bu.edu/ftp/asl/asllvd/demos/verify_start_end_handshape_annotations//test_auto_move//signs_mov_separ_signers/Brady_3455.mov","MOV")</f>
        <v>21</v>
      </c>
      <c r="M1222" t="s" s="10">
        <v>31</v>
      </c>
      <c r="N1222" s="17">
        <v>21</v>
      </c>
      <c r="O1222" s="18">
        <v>18004</v>
      </c>
      <c r="P1222" s="18">
        <v>18020</v>
      </c>
      <c r="Q1222" t="s" s="16">
        <f>HYPERLINK("http://secrets.rutgers.edu:8080/data/asl-ftp/asllvd/demos/verify_start_end_handshape_annotations//test_auto_move//signs_mov/3455_3470_5929_merged.mov","MOV")</f>
        <v>21</v>
      </c>
      <c r="R1222" t="s" s="16">
        <f>HYPERLINK("http://secrets.rutgers.edu:8080/data/asl-ftp/asllvd/demos/verify_start_end_handshape_annotations//test_auto_move//signs_mov_separ_signers/Brady_3455.mov","MOV")</f>
        <v>21</v>
      </c>
    </row>
    <row r="1223" s="2" customFormat="1" ht="13.5" customHeight="1">
      <c r="B1223" s="13"/>
      <c r="C1223" t="s" s="9">
        <v>30</v>
      </c>
      <c r="D1223" t="s" s="8">
        <v>471</v>
      </c>
      <c r="E1223" t="s" s="9">
        <v>471</v>
      </c>
      <c r="F1223" t="s" s="10">
        <v>25</v>
      </c>
      <c r="G1223" s="14"/>
      <c r="H1223" t="s" s="10">
        <v>136</v>
      </c>
      <c r="I1223" s="14"/>
      <c r="J1223" t="s" s="11">
        <v>20</v>
      </c>
      <c r="K1223" s="15"/>
      <c r="L1223" t="s" s="16">
        <f>HYPERLINK("http://csr.bu.edu/ftp/asl/asllvd/demos/verify_start_end_handshape_annotations//test_auto_move//signs_mov_separ_signers/Brady_3470.mov","MOV")</f>
        <v>21</v>
      </c>
      <c r="M1223" t="s" s="10">
        <v>60</v>
      </c>
      <c r="N1223" s="17">
        <v>38</v>
      </c>
      <c r="O1223" s="18">
        <v>4462</v>
      </c>
      <c r="P1223" s="18">
        <v>4481</v>
      </c>
      <c r="Q1223" s="15"/>
      <c r="R1223" t="s" s="16">
        <f>HYPERLINK("http://secrets.rutgers.edu:8080/data/asl-ftp/asllvd/demos/verify_start_end_handshape_annotations//test_auto_move//signs_mov_separ_signers/Brady_3470.mov","MOV")</f>
        <v>21</v>
      </c>
    </row>
    <row r="1224" s="2" customFormat="1" ht="13.5" customHeight="1">
      <c r="B1224" s="13"/>
      <c r="C1224" t="s" s="9">
        <v>30</v>
      </c>
      <c r="D1224" t="s" s="8">
        <v>471</v>
      </c>
      <c r="E1224" t="s" s="9">
        <v>471</v>
      </c>
      <c r="F1224" t="s" s="10">
        <v>25</v>
      </c>
      <c r="G1224" s="14"/>
      <c r="H1224" t="s" s="10">
        <v>136</v>
      </c>
      <c r="I1224" s="14"/>
      <c r="J1224" t="s" s="11">
        <v>20</v>
      </c>
      <c r="K1224" s="15"/>
      <c r="L1224" t="s" s="16">
        <f>HYPERLINK("http://csr.bu.edu/ftp/asl/asllvd/demos/verify_start_end_handshape_annotations//test_auto_move//signs_mov_separ_signers/Brady_5929.mov","MOV")</f>
        <v>21</v>
      </c>
      <c r="M1224" t="s" s="10">
        <v>60</v>
      </c>
      <c r="N1224" s="17">
        <v>39</v>
      </c>
      <c r="O1224" s="18">
        <v>18</v>
      </c>
      <c r="P1224" s="18">
        <v>36</v>
      </c>
      <c r="Q1224" s="15"/>
      <c r="R1224" t="s" s="16">
        <f>HYPERLINK("http://secrets.rutgers.edu:8080/data/asl-ftp/asllvd/demos/verify_start_end_handshape_annotations//test_auto_move//signs_mov_separ_signers/Brady_5929.mov","MOV")</f>
        <v>21</v>
      </c>
    </row>
    <row r="1225" s="2" customFormat="1" ht="13.5" customHeight="1">
      <c r="B1225" t="s" s="8">
        <v>472</v>
      </c>
      <c r="C1225" t="s" s="9">
        <v>14</v>
      </c>
      <c r="D1225" t="s" s="8">
        <v>14</v>
      </c>
      <c r="E1225" t="s" s="9">
        <v>14</v>
      </c>
      <c r="F1225" t="s" s="10">
        <v>14</v>
      </c>
      <c r="G1225" t="s" s="11">
        <v>14</v>
      </c>
      <c r="H1225" t="s" s="10">
        <v>14</v>
      </c>
      <c r="I1225" t="s" s="11">
        <v>14</v>
      </c>
      <c r="J1225" t="s" s="11">
        <v>14</v>
      </c>
      <c r="K1225" t="s" s="12">
        <v>14</v>
      </c>
      <c r="L1225" t="s" s="12">
        <v>14</v>
      </c>
      <c r="M1225" t="s" s="10">
        <v>14</v>
      </c>
      <c r="N1225" t="s" s="11">
        <v>14</v>
      </c>
      <c r="O1225" t="s" s="8">
        <v>14</v>
      </c>
      <c r="P1225" t="s" s="8">
        <v>14</v>
      </c>
      <c r="Q1225" t="s" s="12">
        <v>14</v>
      </c>
      <c r="R1225" t="s" s="12">
        <v>14</v>
      </c>
    </row>
    <row r="1226" s="2" customFormat="1" ht="13.5" customHeight="1">
      <c r="B1226" s="13"/>
      <c r="C1226" t="s" s="9">
        <v>23</v>
      </c>
      <c r="D1226" t="s" s="8">
        <v>472</v>
      </c>
      <c r="E1226" t="s" s="9">
        <v>472</v>
      </c>
      <c r="F1226" s="19">
        <v>5</v>
      </c>
      <c r="G1226" t="s" s="11">
        <v>73</v>
      </c>
      <c r="H1226" s="19">
        <v>5</v>
      </c>
      <c r="I1226" t="s" s="11">
        <v>73</v>
      </c>
      <c r="J1226" t="s" s="11">
        <v>20</v>
      </c>
      <c r="K1226" s="15"/>
      <c r="L1226" t="s" s="16">
        <f>HYPERLINK("http://csr.bu.edu/ftp/asl/asllvd/demos/verify_start_end_handshape_annotations//test_auto_move//signs_mov_separ_signers/Tyler_277.mov","MOV")</f>
        <v>21</v>
      </c>
      <c r="M1226" t="s" s="10">
        <v>26</v>
      </c>
      <c r="N1226" s="17">
        <v>29</v>
      </c>
      <c r="O1226" s="18">
        <v>2005</v>
      </c>
      <c r="P1226" s="18">
        <v>2036</v>
      </c>
      <c r="Q1226" s="15"/>
      <c r="R1226" t="s" s="16">
        <f>HYPERLINK("http://secrets.rutgers.edu:8080/data/asl-ftp/asllvd/demos/verify_start_end_handshape_annotations//test_auto_move//signs_mov_separ_signers/Tyler_277.mov","MOV")</f>
        <v>21</v>
      </c>
    </row>
    <row r="1227" s="2" customFormat="1" ht="13.5" customHeight="1">
      <c r="B1227" s="13"/>
      <c r="C1227" t="s" s="9">
        <v>30</v>
      </c>
      <c r="D1227" t="s" s="8">
        <v>472</v>
      </c>
      <c r="E1227" t="s" s="9">
        <v>472</v>
      </c>
      <c r="F1227" s="19">
        <v>4</v>
      </c>
      <c r="G1227" s="17">
        <v>4</v>
      </c>
      <c r="H1227" s="19">
        <v>5</v>
      </c>
      <c r="I1227" s="17">
        <v>4</v>
      </c>
      <c r="J1227" t="s" s="11">
        <v>20</v>
      </c>
      <c r="K1227" t="s" s="16">
        <f>HYPERLINK("http://csr.bu.edu/ftp/asl/asllvd/demos/verify_start_end_handshape_annotations//test_auto_move//signs_mov/277_3950_3992_merged.mov","MOV")</f>
        <v>21</v>
      </c>
      <c r="L1227" t="s" s="16">
        <f>HYPERLINK("http://csr.bu.edu/ftp/asl/asllvd/demos/verify_start_end_handshape_annotations//test_auto_move//signs_mov_separ_signers/Brady_277.mov","MOV")</f>
        <v>21</v>
      </c>
      <c r="M1227" t="s" s="10">
        <v>31</v>
      </c>
      <c r="N1227" s="17">
        <v>21</v>
      </c>
      <c r="O1227" s="18">
        <v>18539</v>
      </c>
      <c r="P1227" s="18">
        <v>18556</v>
      </c>
      <c r="Q1227" t="s" s="16">
        <f>HYPERLINK("http://secrets.rutgers.edu:8080/data/asl-ftp/asllvd/demos/verify_start_end_handshape_annotations//test_auto_move//signs_mov/277_3950_3992_merged.mov","MOV")</f>
        <v>21</v>
      </c>
      <c r="R1227" t="s" s="16">
        <f>HYPERLINK("http://secrets.rutgers.edu:8080/data/asl-ftp/asllvd/demos/verify_start_end_handshape_annotations//test_auto_move//signs_mov_separ_signers/Brady_277.mov","MOV")</f>
        <v>21</v>
      </c>
    </row>
    <row r="1228" s="2" customFormat="1" ht="13.5" customHeight="1">
      <c r="B1228" s="13"/>
      <c r="C1228" t="s" s="9">
        <v>30</v>
      </c>
      <c r="D1228" t="s" s="8">
        <v>472</v>
      </c>
      <c r="E1228" t="s" s="9">
        <v>472</v>
      </c>
      <c r="F1228" s="19">
        <v>5</v>
      </c>
      <c r="G1228" s="17">
        <v>5</v>
      </c>
      <c r="H1228" s="19">
        <v>5</v>
      </c>
      <c r="I1228" s="17">
        <v>5</v>
      </c>
      <c r="J1228" t="s" s="11">
        <v>20</v>
      </c>
      <c r="K1228" s="15"/>
      <c r="L1228" t="s" s="16">
        <f>HYPERLINK("http://csr.bu.edu/ftp/asl/asllvd/demos/verify_start_end_handshape_annotations//test_auto_move//signs_mov_separ_signers/Brady_3950.mov","MOV")</f>
        <v>21</v>
      </c>
      <c r="M1228" t="s" s="10">
        <v>31</v>
      </c>
      <c r="N1228" s="17">
        <v>21</v>
      </c>
      <c r="O1228" s="18">
        <v>18646</v>
      </c>
      <c r="P1228" s="18">
        <v>18666</v>
      </c>
      <c r="Q1228" s="15"/>
      <c r="R1228" t="s" s="16">
        <f>HYPERLINK("http://secrets.rutgers.edu:8080/data/asl-ftp/asllvd/demos/verify_start_end_handshape_annotations//test_auto_move//signs_mov_separ_signers/Brady_3950.mov","MOV")</f>
        <v>21</v>
      </c>
    </row>
    <row r="1229" s="2" customFormat="1" ht="13.5" customHeight="1">
      <c r="B1229" s="13"/>
      <c r="C1229" t="s" s="9">
        <v>30</v>
      </c>
      <c r="D1229" t="s" s="8">
        <v>472</v>
      </c>
      <c r="E1229" t="s" s="9">
        <v>472</v>
      </c>
      <c r="F1229" s="19">
        <v>5</v>
      </c>
      <c r="G1229" s="17">
        <v>5</v>
      </c>
      <c r="H1229" s="19">
        <v>5</v>
      </c>
      <c r="I1229" s="17">
        <v>5</v>
      </c>
      <c r="J1229" t="s" s="11">
        <v>20</v>
      </c>
      <c r="K1229" s="15"/>
      <c r="L1229" t="s" s="16">
        <f>HYPERLINK("http://csr.bu.edu/ftp/asl/asllvd/demos/verify_start_end_handshape_annotations//test_auto_move//signs_mov_separ_signers/Brady_3992.mov","MOV")</f>
        <v>21</v>
      </c>
      <c r="M1229" t="s" s="10">
        <v>39</v>
      </c>
      <c r="N1229" s="17">
        <v>3</v>
      </c>
      <c r="O1229" s="18">
        <v>1021</v>
      </c>
      <c r="P1229" s="18">
        <v>1033</v>
      </c>
      <c r="Q1229" s="15"/>
      <c r="R1229" t="s" s="16">
        <f>HYPERLINK("http://secrets.rutgers.edu:8080/data/asl-ftp/asllvd/demos/verify_start_end_handshape_annotations//test_auto_move//signs_mov_separ_signers/Brady_3992.mov","MOV")</f>
        <v>21</v>
      </c>
    </row>
    <row r="1230" s="2" customFormat="1" ht="13.5" customHeight="1">
      <c r="B1230" t="s" s="8">
        <v>473</v>
      </c>
      <c r="C1230" t="s" s="9">
        <v>14</v>
      </c>
      <c r="D1230" t="s" s="8">
        <v>14</v>
      </c>
      <c r="E1230" t="s" s="9">
        <v>14</v>
      </c>
      <c r="F1230" t="s" s="10">
        <v>14</v>
      </c>
      <c r="G1230" t="s" s="11">
        <v>14</v>
      </c>
      <c r="H1230" t="s" s="10">
        <v>14</v>
      </c>
      <c r="I1230" t="s" s="11">
        <v>14</v>
      </c>
      <c r="J1230" t="s" s="11">
        <v>14</v>
      </c>
      <c r="K1230" t="s" s="12">
        <v>14</v>
      </c>
      <c r="L1230" t="s" s="12">
        <v>14</v>
      </c>
      <c r="M1230" t="s" s="10">
        <v>14</v>
      </c>
      <c r="N1230" t="s" s="11">
        <v>14</v>
      </c>
      <c r="O1230" t="s" s="8">
        <v>14</v>
      </c>
      <c r="P1230" t="s" s="8">
        <v>14</v>
      </c>
      <c r="Q1230" t="s" s="12">
        <v>14</v>
      </c>
      <c r="R1230" t="s" s="12">
        <v>14</v>
      </c>
    </row>
    <row r="1231" s="2" customFormat="1" ht="13.5" customHeight="1">
      <c r="B1231" s="13"/>
      <c r="C1231" t="s" s="9">
        <v>16</v>
      </c>
      <c r="D1231" t="s" s="8">
        <v>473</v>
      </c>
      <c r="E1231" t="s" s="9">
        <v>473</v>
      </c>
      <c r="F1231" t="s" s="10">
        <v>119</v>
      </c>
      <c r="G1231" t="s" s="11">
        <v>119</v>
      </c>
      <c r="H1231" s="19">
        <v>5</v>
      </c>
      <c r="I1231" s="17">
        <v>5</v>
      </c>
      <c r="J1231" t="s" s="11">
        <v>20</v>
      </c>
      <c r="K1231" s="15"/>
      <c r="L1231" t="s" s="16">
        <f>HYPERLINK("http://csr.bu.edu/ftp/asl/asllvd/demos/verify_start_end_handshape_annotations//test_auto_move//signs_mov_separ_signers/Liz_278.mov","MOV")</f>
        <v>21</v>
      </c>
      <c r="M1231" t="s" s="10">
        <v>22</v>
      </c>
      <c r="N1231" s="17">
        <v>47</v>
      </c>
      <c r="O1231" s="18">
        <v>1250</v>
      </c>
      <c r="P1231" s="18">
        <v>1275</v>
      </c>
      <c r="Q1231" s="15"/>
      <c r="R1231" t="s" s="16">
        <f>HYPERLINK("http://secrets.rutgers.edu:8080/data/asl-ftp/asllvd/demos/verify_start_end_handshape_annotations//test_auto_move//signs_mov_separ_signers/Liz_278.mov","MOV")</f>
        <v>21</v>
      </c>
    </row>
    <row r="1232" s="2" customFormat="1" ht="13.5" customHeight="1">
      <c r="B1232" s="13"/>
      <c r="C1232" t="s" s="9">
        <v>23</v>
      </c>
      <c r="D1232" t="s" s="8">
        <v>473</v>
      </c>
      <c r="E1232" t="s" s="9">
        <v>473</v>
      </c>
      <c r="F1232" t="s" s="10">
        <v>119</v>
      </c>
      <c r="G1232" t="s" s="11">
        <v>119</v>
      </c>
      <c r="H1232" t="s" s="10">
        <v>72</v>
      </c>
      <c r="I1232" t="s" s="11">
        <v>72</v>
      </c>
      <c r="J1232" t="s" s="11">
        <v>20</v>
      </c>
      <c r="K1232" t="s" s="16">
        <f>HYPERLINK("http://csr.bu.edu/ftp/asl/asllvd/demos/verify_start_end_handshape_annotations//test_auto_move//signs_mov/278.mov","MOV")</f>
        <v>21</v>
      </c>
      <c r="L1232" t="s" s="16">
        <f>HYPERLINK("http://csr.bu.edu/ftp/asl/asllvd/demos/verify_start_end_handshape_annotations//test_auto_move//signs_mov_separ_signers/Tyler_278.mov","MOV")</f>
        <v>21</v>
      </c>
      <c r="M1232" t="s" s="10">
        <v>26</v>
      </c>
      <c r="N1232" s="17">
        <v>29</v>
      </c>
      <c r="O1232" s="18">
        <v>2240</v>
      </c>
      <c r="P1232" s="18">
        <v>2275</v>
      </c>
      <c r="Q1232" t="s" s="16">
        <f>HYPERLINK("http://secrets.rutgers.edu:8080/data/asl-ftp/asllvd/demos/verify_start_end_handshape_annotations//test_auto_move//signs_mov/278.mov","MOV")</f>
        <v>21</v>
      </c>
      <c r="R1232" t="s" s="16">
        <f>HYPERLINK("http://secrets.rutgers.edu:8080/data/asl-ftp/asllvd/demos/verify_start_end_handshape_annotations//test_auto_move//signs_mov_separ_signers/Tyler_278.mov","MOV")</f>
        <v>21</v>
      </c>
    </row>
    <row r="1233" s="2" customFormat="1" ht="13.5" customHeight="1">
      <c r="B1233" s="13"/>
      <c r="C1233" t="s" s="9">
        <v>27</v>
      </c>
      <c r="D1233" t="s" s="8">
        <v>473</v>
      </c>
      <c r="E1233" t="s" s="9">
        <v>473</v>
      </c>
      <c r="F1233" t="s" s="10">
        <v>158</v>
      </c>
      <c r="G1233" t="s" s="11">
        <v>158</v>
      </c>
      <c r="H1233" t="s" s="10">
        <v>148</v>
      </c>
      <c r="I1233" t="s" s="11">
        <v>148</v>
      </c>
      <c r="J1233" t="s" s="11">
        <v>20</v>
      </c>
      <c r="K1233" s="15"/>
      <c r="L1233" t="s" s="16">
        <f>HYPERLINK("http://csr.bu.edu/ftp/asl/asllvd/demos/verify_start_end_handshape_annotations//test_auto_move//signs_mov_separ_signers/Naomi_278.mov","MOV")</f>
        <v>21</v>
      </c>
      <c r="M1233" t="s" s="10">
        <v>29</v>
      </c>
      <c r="N1233" s="17">
        <v>30</v>
      </c>
      <c r="O1233" s="18">
        <v>2850</v>
      </c>
      <c r="P1233" s="18">
        <v>2878</v>
      </c>
      <c r="Q1233" s="15"/>
      <c r="R1233" t="s" s="16">
        <f>HYPERLINK("http://secrets.rutgers.edu:8080/data/asl-ftp/asllvd/demos/verify_start_end_handshape_annotations//test_auto_move//signs_mov_separ_signers/Naomi_278.mov","MOV")</f>
        <v>21</v>
      </c>
    </row>
    <row r="1234" s="2" customFormat="1" ht="13.5" customHeight="1">
      <c r="B1234" s="13"/>
      <c r="C1234" t="s" s="9">
        <v>30</v>
      </c>
      <c r="D1234" t="s" s="8">
        <v>473</v>
      </c>
      <c r="E1234" t="s" s="9">
        <v>473</v>
      </c>
      <c r="F1234" t="s" s="10">
        <v>119</v>
      </c>
      <c r="G1234" t="s" s="11">
        <v>119</v>
      </c>
      <c r="H1234" s="19">
        <v>5</v>
      </c>
      <c r="I1234" s="17">
        <v>5</v>
      </c>
      <c r="J1234" t="s" s="11">
        <v>20</v>
      </c>
      <c r="K1234" s="15"/>
      <c r="L1234" t="s" s="16">
        <f>HYPERLINK("http://csr.bu.edu/ftp/asl/asllvd/demos/verify_start_end_handshape_annotations//test_auto_move//signs_mov_separ_signers/Brady_278.mov","MOV")</f>
        <v>21</v>
      </c>
      <c r="M1234" t="s" s="10">
        <v>31</v>
      </c>
      <c r="N1234" s="17">
        <v>22</v>
      </c>
      <c r="O1234" s="18">
        <v>114</v>
      </c>
      <c r="P1234" s="18">
        <v>137</v>
      </c>
      <c r="Q1234" s="15"/>
      <c r="R1234" t="s" s="16">
        <f>HYPERLINK("http://secrets.rutgers.edu:8080/data/asl-ftp/asllvd/demos/verify_start_end_handshape_annotations//test_auto_move//signs_mov_separ_signers/Brady_278.mov","MOV")</f>
        <v>21</v>
      </c>
    </row>
    <row r="1235" s="2" customFormat="1" ht="13.5" customHeight="1">
      <c r="B1235" t="s" s="8">
        <v>474</v>
      </c>
      <c r="C1235" t="s" s="9">
        <v>14</v>
      </c>
      <c r="D1235" t="s" s="8">
        <v>14</v>
      </c>
      <c r="E1235" t="s" s="9">
        <v>14</v>
      </c>
      <c r="F1235" t="s" s="10">
        <v>14</v>
      </c>
      <c r="G1235" t="s" s="11">
        <v>14</v>
      </c>
      <c r="H1235" t="s" s="10">
        <v>14</v>
      </c>
      <c r="I1235" t="s" s="11">
        <v>14</v>
      </c>
      <c r="J1235" t="s" s="11">
        <v>14</v>
      </c>
      <c r="K1235" t="s" s="12">
        <v>14</v>
      </c>
      <c r="L1235" t="s" s="12">
        <v>14</v>
      </c>
      <c r="M1235" t="s" s="10">
        <v>14</v>
      </c>
      <c r="N1235" t="s" s="11">
        <v>14</v>
      </c>
      <c r="O1235" t="s" s="8">
        <v>14</v>
      </c>
      <c r="P1235" t="s" s="8">
        <v>14</v>
      </c>
      <c r="Q1235" t="s" s="12">
        <v>14</v>
      </c>
      <c r="R1235" t="s" s="12">
        <v>14</v>
      </c>
    </row>
    <row r="1236" s="2" customFormat="1" ht="13.5" customHeight="1">
      <c r="B1236" s="13"/>
      <c r="C1236" t="s" s="9">
        <v>16</v>
      </c>
      <c r="D1236" t="s" s="8">
        <v>474</v>
      </c>
      <c r="E1236" t="s" s="9">
        <v>474</v>
      </c>
      <c r="F1236" t="s" s="10">
        <v>292</v>
      </c>
      <c r="G1236" s="14"/>
      <c r="H1236" t="s" s="10">
        <v>292</v>
      </c>
      <c r="I1236" s="14"/>
      <c r="J1236" t="s" s="11">
        <v>20</v>
      </c>
      <c r="K1236" s="15"/>
      <c r="L1236" t="s" s="16">
        <f>HYPERLINK("http://csr.bu.edu/ftp/asl/asllvd/demos/verify_start_end_handshape_annotations//test_auto_move//signs_mov_separ_signers/Liz_280.mov","MOV")</f>
        <v>21</v>
      </c>
      <c r="M1236" t="s" s="10">
        <v>22</v>
      </c>
      <c r="N1236" s="17">
        <v>48</v>
      </c>
      <c r="O1236" s="18">
        <v>295</v>
      </c>
      <c r="P1236" s="18">
        <v>325</v>
      </c>
      <c r="Q1236" s="15"/>
      <c r="R1236" t="s" s="16">
        <f>HYPERLINK("http://secrets.rutgers.edu:8080/data/asl-ftp/asllvd/demos/verify_start_end_handshape_annotations//test_auto_move//signs_mov_separ_signers/Liz_280.mov","MOV")</f>
        <v>21</v>
      </c>
    </row>
    <row r="1237" s="2" customFormat="1" ht="13.5" customHeight="1">
      <c r="B1237" s="13"/>
      <c r="C1237" t="s" s="9">
        <v>23</v>
      </c>
      <c r="D1237" t="s" s="8">
        <v>474</v>
      </c>
      <c r="E1237" t="s" s="9">
        <v>474</v>
      </c>
      <c r="F1237" t="s" s="10">
        <v>292</v>
      </c>
      <c r="G1237" s="14"/>
      <c r="H1237" t="s" s="10">
        <v>292</v>
      </c>
      <c r="I1237" s="14"/>
      <c r="J1237" t="s" s="11">
        <v>20</v>
      </c>
      <c r="K1237" t="s" s="16">
        <f>HYPERLINK("http://csr.bu.edu/ftp/asl/asllvd/demos/verify_start_end_handshape_annotations//test_auto_move//signs_mov/280.mov","MOV")</f>
        <v>21</v>
      </c>
      <c r="L1237" t="s" s="16">
        <f>HYPERLINK("http://csr.bu.edu/ftp/asl/asllvd/demos/verify_start_end_handshape_annotations//test_auto_move//signs_mov_separ_signers/Tyler_280.mov","MOV")</f>
        <v>21</v>
      </c>
      <c r="M1237" t="s" s="10">
        <v>26</v>
      </c>
      <c r="N1237" s="17">
        <v>29</v>
      </c>
      <c r="O1237" s="18">
        <v>2793</v>
      </c>
      <c r="P1237" s="18">
        <v>2820</v>
      </c>
      <c r="Q1237" t="s" s="16">
        <f>HYPERLINK("http://secrets.rutgers.edu:8080/data/asl-ftp/asllvd/demos/verify_start_end_handshape_annotations//test_auto_move//signs_mov/280.mov","MOV")</f>
        <v>21</v>
      </c>
      <c r="R1237" t="s" s="16">
        <f>HYPERLINK("http://secrets.rutgers.edu:8080/data/asl-ftp/asllvd/demos/verify_start_end_handshape_annotations//test_auto_move//signs_mov_separ_signers/Tyler_280.mov","MOV")</f>
        <v>21</v>
      </c>
    </row>
    <row r="1238" s="2" customFormat="1" ht="13.5" customHeight="1">
      <c r="B1238" s="13"/>
      <c r="C1238" t="s" s="9">
        <v>27</v>
      </c>
      <c r="D1238" t="s" s="8">
        <v>474</v>
      </c>
      <c r="E1238" t="s" s="9">
        <v>474</v>
      </c>
      <c r="F1238" t="s" s="10">
        <v>292</v>
      </c>
      <c r="G1238" s="14"/>
      <c r="H1238" t="s" s="10">
        <v>292</v>
      </c>
      <c r="I1238" s="14"/>
      <c r="J1238" t="s" s="11">
        <v>20</v>
      </c>
      <c r="K1238" s="15"/>
      <c r="L1238" t="s" s="16">
        <f>HYPERLINK("http://csr.bu.edu/ftp/asl/asllvd/demos/verify_start_end_handshape_annotations//test_auto_move//signs_mov_separ_signers/Naomi_280.mov","MOV")</f>
        <v>21</v>
      </c>
      <c r="M1238" t="s" s="10">
        <v>29</v>
      </c>
      <c r="N1238" s="17">
        <v>30</v>
      </c>
      <c r="O1238" s="18">
        <v>4603</v>
      </c>
      <c r="P1238" s="18">
        <v>4622</v>
      </c>
      <c r="Q1238" s="15"/>
      <c r="R1238" t="s" s="16">
        <f>HYPERLINK("http://secrets.rutgers.edu:8080/data/asl-ftp/asllvd/demos/verify_start_end_handshape_annotations//test_auto_move//signs_mov_separ_signers/Naomi_280.mov","MOV")</f>
        <v>21</v>
      </c>
    </row>
    <row r="1239" s="2" customFormat="1" ht="13.5" customHeight="1">
      <c r="B1239" t="s" s="8">
        <v>52</v>
      </c>
      <c r="C1239" t="s" s="9">
        <v>53</v>
      </c>
      <c r="D1239" t="s" s="8">
        <v>53</v>
      </c>
      <c r="E1239" t="s" s="9">
        <v>53</v>
      </c>
      <c r="F1239" t="s" s="10">
        <v>53</v>
      </c>
      <c r="G1239" t="s" s="11">
        <v>53</v>
      </c>
      <c r="H1239" t="s" s="10">
        <v>53</v>
      </c>
      <c r="I1239" t="s" s="11">
        <v>53</v>
      </c>
      <c r="J1239" t="s" s="11">
        <v>53</v>
      </c>
      <c r="K1239" t="s" s="12">
        <v>53</v>
      </c>
      <c r="L1239" t="s" s="12">
        <v>53</v>
      </c>
      <c r="M1239" t="s" s="10">
        <v>53</v>
      </c>
      <c r="N1239" t="s" s="11">
        <v>53</v>
      </c>
      <c r="O1239" t="s" s="8">
        <v>53</v>
      </c>
      <c r="P1239" t="s" s="8">
        <v>53</v>
      </c>
      <c r="Q1239" t="s" s="12">
        <v>53</v>
      </c>
      <c r="R1239" t="s" s="12">
        <v>53</v>
      </c>
    </row>
    <row r="1240" s="2" customFormat="1" ht="13.5" customHeight="1">
      <c r="B1240" s="13"/>
      <c r="C1240" t="s" s="9">
        <v>16</v>
      </c>
      <c r="D1240" t="s" s="8">
        <v>474</v>
      </c>
      <c r="E1240" t="s" s="9">
        <v>475</v>
      </c>
      <c r="F1240" t="s" s="10">
        <v>73</v>
      </c>
      <c r="G1240" t="s" s="11">
        <v>73</v>
      </c>
      <c r="H1240" t="s" s="10">
        <v>73</v>
      </c>
      <c r="I1240" t="s" s="11">
        <v>73</v>
      </c>
      <c r="J1240" t="s" s="11">
        <v>20</v>
      </c>
      <c r="K1240" t="s" s="16">
        <f>HYPERLINK("http://csr.bu.edu/ftp/asl/asllvd/demos/verify_start_end_handshape_annotations//test_auto_move//signs_mov/3580.mov","MOV")</f>
        <v>21</v>
      </c>
      <c r="L1240" t="s" s="16">
        <f>HYPERLINK("http://csr.bu.edu/ftp/asl/asllvd/demos/verify_start_end_handshape_annotations//test_auto_move//signs_mov_separ_signers/Liz_3580.mov","MOV")</f>
        <v>21</v>
      </c>
      <c r="M1240" t="s" s="10">
        <v>22</v>
      </c>
      <c r="N1240" s="17">
        <v>48</v>
      </c>
      <c r="O1240" s="18">
        <v>470</v>
      </c>
      <c r="P1240" s="18">
        <v>486</v>
      </c>
      <c r="Q1240" t="s" s="16">
        <f>HYPERLINK("http://secrets.rutgers.edu:8080/data/asl-ftp/asllvd/demos/verify_start_end_handshape_annotations//test_auto_move//signs_mov/3580.mov","MOV")</f>
        <v>21</v>
      </c>
      <c r="R1240" t="s" s="16">
        <f>HYPERLINK("http://secrets.rutgers.edu:8080/data/asl-ftp/asllvd/demos/verify_start_end_handshape_annotations//test_auto_move//signs_mov_separ_signers/Liz_3580.mov","MOV")</f>
        <v>21</v>
      </c>
    </row>
    <row r="1241" s="2" customFormat="1" ht="13.5" customHeight="1">
      <c r="B1241" t="s" s="8">
        <v>476</v>
      </c>
      <c r="C1241" t="s" s="9">
        <v>14</v>
      </c>
      <c r="D1241" t="s" s="8">
        <v>14</v>
      </c>
      <c r="E1241" t="s" s="9">
        <v>14</v>
      </c>
      <c r="F1241" t="s" s="10">
        <v>14</v>
      </c>
      <c r="G1241" t="s" s="11">
        <v>14</v>
      </c>
      <c r="H1241" t="s" s="10">
        <v>14</v>
      </c>
      <c r="I1241" t="s" s="11">
        <v>14</v>
      </c>
      <c r="J1241" t="s" s="11">
        <v>14</v>
      </c>
      <c r="K1241" t="s" s="12">
        <v>14</v>
      </c>
      <c r="L1241" t="s" s="12">
        <v>14</v>
      </c>
      <c r="M1241" t="s" s="10">
        <v>14</v>
      </c>
      <c r="N1241" t="s" s="11">
        <v>14</v>
      </c>
      <c r="O1241" t="s" s="8">
        <v>14</v>
      </c>
      <c r="P1241" t="s" s="8">
        <v>14</v>
      </c>
      <c r="Q1241" t="s" s="12">
        <v>14</v>
      </c>
      <c r="R1241" t="s" s="12">
        <v>14</v>
      </c>
    </row>
    <row r="1242" s="2" customFormat="1" ht="13.5" customHeight="1">
      <c r="B1242" s="13"/>
      <c r="C1242" t="s" s="9">
        <v>16</v>
      </c>
      <c r="D1242" t="s" s="8">
        <v>476</v>
      </c>
      <c r="E1242" t="s" s="9">
        <v>476</v>
      </c>
      <c r="F1242" t="s" s="10">
        <v>292</v>
      </c>
      <c r="G1242" s="14"/>
      <c r="H1242" t="s" s="10">
        <v>63</v>
      </c>
      <c r="I1242" s="14"/>
      <c r="J1242" t="s" s="11">
        <v>20</v>
      </c>
      <c r="K1242" s="15"/>
      <c r="L1242" t="s" s="16">
        <f>HYPERLINK("http://csr.bu.edu/ftp/asl/asllvd/demos/verify_start_end_handshape_annotations//test_auto_move//signs_mov_separ_signers/Liz_15320.mov","MOV")</f>
        <v>21</v>
      </c>
      <c r="M1242" t="s" s="10">
        <v>22</v>
      </c>
      <c r="N1242" s="17">
        <v>82</v>
      </c>
      <c r="O1242" s="18">
        <v>1815</v>
      </c>
      <c r="P1242" s="18">
        <v>1850</v>
      </c>
      <c r="Q1242" s="15"/>
      <c r="R1242" t="s" s="16">
        <f>HYPERLINK("http://secrets.rutgers.edu:8080/data/asl-ftp/asllvd/demos/verify_start_end_handshape_annotations//test_auto_move//signs_mov_separ_signers/Liz_15320.mov","MOV")</f>
        <v>21</v>
      </c>
    </row>
    <row r="1243" s="2" customFormat="1" ht="13.5" customHeight="1">
      <c r="B1243" s="13"/>
      <c r="C1243" t="s" s="9">
        <v>16</v>
      </c>
      <c r="D1243" t="s" s="8">
        <v>476</v>
      </c>
      <c r="E1243" t="s" s="9">
        <v>476</v>
      </c>
      <c r="F1243" t="s" s="10">
        <v>292</v>
      </c>
      <c r="G1243" s="14"/>
      <c r="H1243" t="s" s="10">
        <v>63</v>
      </c>
      <c r="I1243" s="14"/>
      <c r="J1243" t="s" s="11">
        <v>20</v>
      </c>
      <c r="K1243" s="15"/>
      <c r="L1243" t="s" s="16">
        <f>HYPERLINK("http://csr.bu.edu/ftp/asl/asllvd/demos/verify_start_end_handshape_annotations//test_auto_move//signs_mov_separ_signers/Liz_15330.mov","MOV")</f>
        <v>21</v>
      </c>
      <c r="M1243" t="s" s="10">
        <v>34</v>
      </c>
      <c r="N1243" s="17">
        <v>16</v>
      </c>
      <c r="O1243" s="18">
        <v>2077</v>
      </c>
      <c r="P1243" s="18">
        <v>2115</v>
      </c>
      <c r="Q1243" s="15"/>
      <c r="R1243" t="s" s="16">
        <f>HYPERLINK("http://secrets.rutgers.edu:8080/data/asl-ftp/asllvd/demos/verify_start_end_handshape_annotations//test_auto_move//signs_mov_separ_signers/Liz_15330.mov","MOV")</f>
        <v>21</v>
      </c>
    </row>
    <row r="1244" s="2" customFormat="1" ht="13.5" customHeight="1">
      <c r="B1244" s="13"/>
      <c r="C1244" t="s" s="9">
        <v>27</v>
      </c>
      <c r="D1244" t="s" s="8">
        <v>476</v>
      </c>
      <c r="E1244" t="s" s="9">
        <v>476</v>
      </c>
      <c r="F1244" t="s" s="10">
        <v>292</v>
      </c>
      <c r="G1244" s="14"/>
      <c r="H1244" t="s" s="10">
        <v>65</v>
      </c>
      <c r="I1244" s="14"/>
      <c r="J1244" t="s" s="11">
        <v>20</v>
      </c>
      <c r="K1244" s="15"/>
      <c r="L1244" t="s" s="16">
        <f>HYPERLINK("http://csr.bu.edu/ftp/asl/asllvd/demos/verify_start_end_handshape_annotations//test_auto_move//signs_mov_separ_signers/Naomi_15320.mov","MOV")</f>
        <v>21</v>
      </c>
      <c r="M1244" t="s" s="10">
        <v>29</v>
      </c>
      <c r="N1244" s="17">
        <v>51</v>
      </c>
      <c r="O1244" s="18">
        <v>2445</v>
      </c>
      <c r="P1244" s="18">
        <v>2480</v>
      </c>
      <c r="Q1244" s="15"/>
      <c r="R1244" t="s" s="16">
        <f>HYPERLINK("http://secrets.rutgers.edu:8080/data/asl-ftp/asllvd/demos/verify_start_end_handshape_annotations//test_auto_move//signs_mov_separ_signers/Naomi_15320.mov","MOV")</f>
        <v>21</v>
      </c>
    </row>
    <row r="1245" s="2" customFormat="1" ht="13.5" customHeight="1">
      <c r="B1245" s="13"/>
      <c r="C1245" t="s" s="9">
        <v>27</v>
      </c>
      <c r="D1245" t="s" s="8">
        <v>476</v>
      </c>
      <c r="E1245" t="s" s="9">
        <v>476</v>
      </c>
      <c r="F1245" t="s" s="10">
        <v>292</v>
      </c>
      <c r="G1245" s="14"/>
      <c r="H1245" t="s" s="10">
        <v>65</v>
      </c>
      <c r="I1245" s="14"/>
      <c r="J1245" t="s" s="11">
        <v>20</v>
      </c>
      <c r="K1245" t="s" s="16">
        <f>HYPERLINK("http://csr.bu.edu/ftp/asl/asllvd/demos/verify_start_end_handshape_annotations//test_auto_move//signs_mov/15320_15330_15334_merged.mov","MOV")</f>
        <v>21</v>
      </c>
      <c r="L1245" t="s" s="16">
        <f>HYPERLINK("http://csr.bu.edu/ftp/asl/asllvd/demos/verify_start_end_handshape_annotations//test_auto_move//signs_mov_separ_signers/Naomi_15330.mov","MOV")</f>
        <v>21</v>
      </c>
      <c r="M1245" t="s" s="10">
        <v>38</v>
      </c>
      <c r="N1245" s="17">
        <v>13</v>
      </c>
      <c r="O1245" s="18">
        <v>6407</v>
      </c>
      <c r="P1245" s="18">
        <v>6436</v>
      </c>
      <c r="Q1245" t="s" s="16">
        <f>HYPERLINK("http://secrets.rutgers.edu:8080/data/asl-ftp/asllvd/demos/verify_start_end_handshape_annotations//test_auto_move//signs_mov/15320_15330_15334_merged.mov","MOV")</f>
        <v>21</v>
      </c>
      <c r="R1245" t="s" s="16">
        <f>HYPERLINK("http://secrets.rutgers.edu:8080/data/asl-ftp/asllvd/demos/verify_start_end_handshape_annotations//test_auto_move//signs_mov_separ_signers/Naomi_15330.mov","MOV")</f>
        <v>21</v>
      </c>
    </row>
    <row r="1246" s="2" customFormat="1" ht="13.5" customHeight="1">
      <c r="B1246" s="13"/>
      <c r="C1246" t="s" s="9">
        <v>30</v>
      </c>
      <c r="D1246" t="s" s="8">
        <v>476</v>
      </c>
      <c r="E1246" t="s" s="9">
        <v>476</v>
      </c>
      <c r="F1246" t="s" s="10">
        <v>292</v>
      </c>
      <c r="G1246" s="14"/>
      <c r="H1246" t="s" s="10">
        <v>63</v>
      </c>
      <c r="I1246" s="14"/>
      <c r="J1246" t="s" s="11">
        <v>20</v>
      </c>
      <c r="K1246" s="15"/>
      <c r="L1246" t="s" s="16">
        <f>HYPERLINK("http://csr.bu.edu/ftp/asl/asllvd/demos/verify_start_end_handshape_annotations//test_auto_move//signs_mov_separ_signers/Brady_15320.mov","MOV")</f>
        <v>21</v>
      </c>
      <c r="M1246" t="s" s="10">
        <v>39</v>
      </c>
      <c r="N1246" s="17">
        <v>31</v>
      </c>
      <c r="O1246" s="18">
        <v>4584</v>
      </c>
      <c r="P1246" s="18">
        <v>4611</v>
      </c>
      <c r="Q1246" s="15"/>
      <c r="R1246" t="s" s="16">
        <f>HYPERLINK("http://secrets.rutgers.edu:8080/data/asl-ftp/asllvd/demos/verify_start_end_handshape_annotations//test_auto_move//signs_mov_separ_signers/Brady_15320.mov","MOV")</f>
        <v>21</v>
      </c>
    </row>
    <row r="1247" s="2" customFormat="1" ht="13.5" customHeight="1">
      <c r="B1247" s="13"/>
      <c r="C1247" t="s" s="9">
        <v>30</v>
      </c>
      <c r="D1247" t="s" s="8">
        <v>476</v>
      </c>
      <c r="E1247" t="s" s="9">
        <v>476</v>
      </c>
      <c r="F1247" t="s" s="10">
        <v>292</v>
      </c>
      <c r="G1247" s="14"/>
      <c r="H1247" t="s" s="10">
        <v>70</v>
      </c>
      <c r="I1247" s="14"/>
      <c r="J1247" t="s" s="11">
        <v>20</v>
      </c>
      <c r="K1247" s="15"/>
      <c r="L1247" t="s" s="16">
        <f>HYPERLINK("http://csr.bu.edu/ftp/asl/asllvd/demos/verify_start_end_handshape_annotations//test_auto_move//signs_mov_separ_signers/Brady_15330.mov","MOV")</f>
        <v>21</v>
      </c>
      <c r="M1247" t="s" s="10">
        <v>39</v>
      </c>
      <c r="N1247" s="17">
        <v>31</v>
      </c>
      <c r="O1247" s="18">
        <v>4849</v>
      </c>
      <c r="P1247" s="18">
        <v>4875</v>
      </c>
      <c r="Q1247" s="15"/>
      <c r="R1247" t="s" s="16">
        <f>HYPERLINK("http://secrets.rutgers.edu:8080/data/asl-ftp/asllvd/demos/verify_start_end_handshape_annotations//test_auto_move//signs_mov_separ_signers/Brady_15330.mov","MOV")</f>
        <v>21</v>
      </c>
    </row>
    <row r="1248" s="2" customFormat="1" ht="13.5" customHeight="1">
      <c r="B1248" s="13"/>
      <c r="C1248" t="s" s="9">
        <v>30</v>
      </c>
      <c r="D1248" t="s" s="8">
        <v>476</v>
      </c>
      <c r="E1248" t="s" s="9">
        <v>476</v>
      </c>
      <c r="F1248" t="s" s="10">
        <v>70</v>
      </c>
      <c r="G1248" s="14"/>
      <c r="H1248" t="s" s="10">
        <v>63</v>
      </c>
      <c r="I1248" s="14"/>
      <c r="J1248" t="s" s="11">
        <v>20</v>
      </c>
      <c r="K1248" s="15"/>
      <c r="L1248" t="s" s="16">
        <f>HYPERLINK("http://csr.bu.edu/ftp/asl/asllvd/demos/verify_start_end_handshape_annotations//test_auto_move//signs_mov_separ_signers/Brady_15334.mov","MOV")</f>
        <v>21</v>
      </c>
      <c r="M1248" t="s" s="10">
        <v>60</v>
      </c>
      <c r="N1248" s="17">
        <v>44</v>
      </c>
      <c r="O1248" s="18">
        <v>1093</v>
      </c>
      <c r="P1248" s="18">
        <v>1148</v>
      </c>
      <c r="Q1248" s="15"/>
      <c r="R1248" t="s" s="16">
        <f>HYPERLINK("http://secrets.rutgers.edu:8080/data/asl-ftp/asllvd/demos/verify_start_end_handshape_annotations//test_auto_move//signs_mov_separ_signers/Brady_15334.mov","MOV")</f>
        <v>21</v>
      </c>
    </row>
    <row r="1249" s="2" customFormat="1" ht="13.5" customHeight="1">
      <c r="B1249" t="s" s="8">
        <v>52</v>
      </c>
      <c r="C1249" t="s" s="9">
        <v>53</v>
      </c>
      <c r="D1249" t="s" s="8">
        <v>53</v>
      </c>
      <c r="E1249" t="s" s="9">
        <v>53</v>
      </c>
      <c r="F1249" t="s" s="10">
        <v>53</v>
      </c>
      <c r="G1249" t="s" s="11">
        <v>53</v>
      </c>
      <c r="H1249" t="s" s="10">
        <v>53</v>
      </c>
      <c r="I1249" t="s" s="11">
        <v>53</v>
      </c>
      <c r="J1249" t="s" s="11">
        <v>53</v>
      </c>
      <c r="K1249" t="s" s="12">
        <v>53</v>
      </c>
      <c r="L1249" t="s" s="12">
        <v>53</v>
      </c>
      <c r="M1249" t="s" s="10">
        <v>53</v>
      </c>
      <c r="N1249" t="s" s="11">
        <v>53</v>
      </c>
      <c r="O1249" t="s" s="8">
        <v>53</v>
      </c>
      <c r="P1249" t="s" s="8">
        <v>53</v>
      </c>
      <c r="Q1249" t="s" s="12">
        <v>53</v>
      </c>
      <c r="R1249" t="s" s="12">
        <v>53</v>
      </c>
    </row>
    <row r="1250" s="2" customFormat="1" ht="13.5" customHeight="1">
      <c r="B1250" s="13"/>
      <c r="C1250" t="s" s="9">
        <v>30</v>
      </c>
      <c r="D1250" t="s" s="8">
        <v>476</v>
      </c>
      <c r="E1250" t="s" s="9">
        <v>477</v>
      </c>
      <c r="F1250" t="s" s="10">
        <v>337</v>
      </c>
      <c r="G1250" s="14"/>
      <c r="H1250" t="s" s="10">
        <v>28</v>
      </c>
      <c r="I1250" s="14"/>
      <c r="J1250" t="s" s="11">
        <v>20</v>
      </c>
      <c r="K1250" t="s" s="16">
        <f>HYPERLINK("http://csr.bu.edu/ftp/asl/asllvd/demos/verify_start_end_handshape_annotations//test_auto_move//signs_mov/15335.mov","MOV")</f>
        <v>21</v>
      </c>
      <c r="L1250" t="s" s="16">
        <f>HYPERLINK("http://csr.bu.edu/ftp/asl/asllvd/demos/verify_start_end_handshape_annotations//test_auto_move//signs_mov_separ_signers/Brady_15335.mov","MOV")</f>
        <v>21</v>
      </c>
      <c r="M1250" t="s" s="10">
        <v>31</v>
      </c>
      <c r="N1250" s="17">
        <v>28</v>
      </c>
      <c r="O1250" s="18">
        <v>13306</v>
      </c>
      <c r="P1250" s="18">
        <v>13332</v>
      </c>
      <c r="Q1250" t="s" s="16">
        <f>HYPERLINK("http://secrets.rutgers.edu:8080/data/asl-ftp/asllvd/demos/verify_start_end_handshape_annotations//test_auto_move//signs_mov/15335.mov","MOV")</f>
        <v>21</v>
      </c>
      <c r="R1250" t="s" s="16">
        <f>HYPERLINK("http://secrets.rutgers.edu:8080/data/asl-ftp/asllvd/demos/verify_start_end_handshape_annotations//test_auto_move//signs_mov_separ_signers/Brady_15335.mov","MOV")</f>
        <v>21</v>
      </c>
    </row>
    <row r="1251" s="2" customFormat="1" ht="13.5" customHeight="1">
      <c r="B1251" t="s" s="8">
        <v>478</v>
      </c>
      <c r="C1251" t="s" s="9">
        <v>14</v>
      </c>
      <c r="D1251" t="s" s="8">
        <v>14</v>
      </c>
      <c r="E1251" t="s" s="9">
        <v>14</v>
      </c>
      <c r="F1251" t="s" s="10">
        <v>14</v>
      </c>
      <c r="G1251" t="s" s="11">
        <v>14</v>
      </c>
      <c r="H1251" t="s" s="10">
        <v>14</v>
      </c>
      <c r="I1251" t="s" s="11">
        <v>14</v>
      </c>
      <c r="J1251" t="s" s="11">
        <v>14</v>
      </c>
      <c r="K1251" t="s" s="12">
        <v>14</v>
      </c>
      <c r="L1251" t="s" s="12">
        <v>14</v>
      </c>
      <c r="M1251" t="s" s="10">
        <v>14</v>
      </c>
      <c r="N1251" t="s" s="11">
        <v>14</v>
      </c>
      <c r="O1251" t="s" s="8">
        <v>14</v>
      </c>
      <c r="P1251" t="s" s="8">
        <v>14</v>
      </c>
      <c r="Q1251" t="s" s="12">
        <v>14</v>
      </c>
      <c r="R1251" t="s" s="12">
        <v>14</v>
      </c>
    </row>
    <row r="1252" s="2" customFormat="1" ht="13.5" customHeight="1">
      <c r="B1252" s="13"/>
      <c r="C1252" t="s" s="9">
        <v>16</v>
      </c>
      <c r="D1252" t="s" s="8">
        <v>478</v>
      </c>
      <c r="E1252" t="s" s="9">
        <v>478</v>
      </c>
      <c r="F1252" t="s" s="10">
        <v>73</v>
      </c>
      <c r="G1252" t="s" s="11">
        <v>68</v>
      </c>
      <c r="H1252" t="s" s="10">
        <v>73</v>
      </c>
      <c r="I1252" t="s" s="11">
        <v>68</v>
      </c>
      <c r="J1252" t="s" s="11">
        <v>20</v>
      </c>
      <c r="K1252" s="15"/>
      <c r="L1252" t="s" s="16">
        <f>HYPERLINK("http://csr.bu.edu/ftp/asl/asllvd/demos/verify_start_end_handshape_annotations//test_auto_move//signs_mov_separ_signers/Liz_282.mov","MOV")</f>
        <v>21</v>
      </c>
      <c r="M1252" t="s" s="10">
        <v>22</v>
      </c>
      <c r="N1252" s="17">
        <v>48</v>
      </c>
      <c r="O1252" s="18">
        <v>665</v>
      </c>
      <c r="P1252" s="18">
        <v>715</v>
      </c>
      <c r="Q1252" s="15"/>
      <c r="R1252" t="s" s="16">
        <f>HYPERLINK("http://secrets.rutgers.edu:8080/data/asl-ftp/asllvd/demos/verify_start_end_handshape_annotations//test_auto_move//signs_mov_separ_signers/Liz_282.mov","MOV")</f>
        <v>21</v>
      </c>
    </row>
    <row r="1253" s="2" customFormat="1" ht="13.5" customHeight="1">
      <c r="B1253" s="13"/>
      <c r="C1253" t="s" s="9">
        <v>23</v>
      </c>
      <c r="D1253" t="s" s="8">
        <v>478</v>
      </c>
      <c r="E1253" t="s" s="9">
        <v>478</v>
      </c>
      <c r="F1253" s="19">
        <v>5</v>
      </c>
      <c r="G1253" t="s" s="11">
        <v>68</v>
      </c>
      <c r="H1253" s="19">
        <v>5</v>
      </c>
      <c r="I1253" t="s" s="11">
        <v>68</v>
      </c>
      <c r="J1253" t="s" s="11">
        <v>20</v>
      </c>
      <c r="K1253" t="s" s="16">
        <f>HYPERLINK("http://csr.bu.edu/ftp/asl/asllvd/demos/verify_start_end_handshape_annotations//test_auto_move//signs_mov/282.mov","MOV")</f>
        <v>21</v>
      </c>
      <c r="L1253" t="s" s="16">
        <f>HYPERLINK("http://csr.bu.edu/ftp/asl/asllvd/demos/verify_start_end_handshape_annotations//test_auto_move//signs_mov_separ_signers/Tyler_282.mov","MOV")</f>
        <v>21</v>
      </c>
      <c r="M1253" t="s" s="10">
        <v>26</v>
      </c>
      <c r="N1253" s="17">
        <v>30</v>
      </c>
      <c r="O1253" s="18">
        <v>695</v>
      </c>
      <c r="P1253" s="18">
        <v>746</v>
      </c>
      <c r="Q1253" t="s" s="16">
        <f>HYPERLINK("http://secrets.rutgers.edu:8080/data/asl-ftp/asllvd/demos/verify_start_end_handshape_annotations//test_auto_move//signs_mov/282.mov","MOV")</f>
        <v>21</v>
      </c>
      <c r="R1253" t="s" s="16">
        <f>HYPERLINK("http://secrets.rutgers.edu:8080/data/asl-ftp/asllvd/demos/verify_start_end_handshape_annotations//test_auto_move//signs_mov_separ_signers/Tyler_282.mov","MOV")</f>
        <v>21</v>
      </c>
    </row>
    <row r="1254" s="2" customFormat="1" ht="13.5" customHeight="1">
      <c r="B1254" s="13"/>
      <c r="C1254" t="s" s="9">
        <v>27</v>
      </c>
      <c r="D1254" t="s" s="8">
        <v>478</v>
      </c>
      <c r="E1254" t="s" s="9">
        <v>478</v>
      </c>
      <c r="F1254" s="19">
        <v>5</v>
      </c>
      <c r="G1254" t="s" s="11">
        <v>68</v>
      </c>
      <c r="H1254" s="19">
        <v>5</v>
      </c>
      <c r="I1254" t="s" s="11">
        <v>68</v>
      </c>
      <c r="J1254" t="s" s="11">
        <v>20</v>
      </c>
      <c r="K1254" s="15"/>
      <c r="L1254" t="s" s="16">
        <f>HYPERLINK("http://csr.bu.edu/ftp/asl/asllvd/demos/verify_start_end_handshape_annotations//test_auto_move//signs_mov_separ_signers/Naomi_282.mov","MOV")</f>
        <v>21</v>
      </c>
      <c r="M1254" t="s" s="10">
        <v>29</v>
      </c>
      <c r="N1254" s="17">
        <v>31</v>
      </c>
      <c r="O1254" s="18">
        <v>870</v>
      </c>
      <c r="P1254" s="18">
        <v>905</v>
      </c>
      <c r="Q1254" s="15"/>
      <c r="R1254" t="s" s="16">
        <f>HYPERLINK("http://secrets.rutgers.edu:8080/data/asl-ftp/asllvd/demos/verify_start_end_handshape_annotations//test_auto_move//signs_mov_separ_signers/Naomi_282.mov","MOV")</f>
        <v>21</v>
      </c>
    </row>
    <row r="1255" s="2" customFormat="1" ht="13.5" customHeight="1">
      <c r="B1255" t="s" s="8">
        <v>479</v>
      </c>
      <c r="C1255" t="s" s="9">
        <v>14</v>
      </c>
      <c r="D1255" t="s" s="8">
        <v>14</v>
      </c>
      <c r="E1255" t="s" s="9">
        <v>14</v>
      </c>
      <c r="F1255" t="s" s="10">
        <v>14</v>
      </c>
      <c r="G1255" t="s" s="11">
        <v>14</v>
      </c>
      <c r="H1255" t="s" s="10">
        <v>14</v>
      </c>
      <c r="I1255" t="s" s="11">
        <v>14</v>
      </c>
      <c r="J1255" t="s" s="11">
        <v>14</v>
      </c>
      <c r="K1255" t="s" s="12">
        <v>14</v>
      </c>
      <c r="L1255" t="s" s="12">
        <v>14</v>
      </c>
      <c r="M1255" t="s" s="10">
        <v>14</v>
      </c>
      <c r="N1255" t="s" s="11">
        <v>14</v>
      </c>
      <c r="O1255" t="s" s="8">
        <v>14</v>
      </c>
      <c r="P1255" t="s" s="8">
        <v>14</v>
      </c>
      <c r="Q1255" t="s" s="12">
        <v>14</v>
      </c>
      <c r="R1255" t="s" s="12">
        <v>14</v>
      </c>
    </row>
    <row r="1256" s="2" customFormat="1" ht="13.5" customHeight="1">
      <c r="B1256" s="13"/>
      <c r="C1256" t="s" s="9">
        <v>16</v>
      </c>
      <c r="D1256" t="s" s="8">
        <v>479</v>
      </c>
      <c r="E1256" t="s" s="9">
        <v>479</v>
      </c>
      <c r="F1256" t="s" s="10">
        <v>152</v>
      </c>
      <c r="G1256" s="14"/>
      <c r="H1256" t="s" s="10">
        <v>152</v>
      </c>
      <c r="I1256" s="14"/>
      <c r="J1256" t="s" s="11">
        <v>20</v>
      </c>
      <c r="K1256" s="15"/>
      <c r="L1256" t="s" s="16">
        <f>HYPERLINK("http://csr.bu.edu/ftp/asl/asllvd/demos/verify_start_end_handshape_annotations//test_auto_move//signs_mov_separ_signers/Liz_283.mov","MOV")</f>
        <v>21</v>
      </c>
      <c r="M1256" t="s" s="10">
        <v>22</v>
      </c>
      <c r="N1256" s="17">
        <v>48</v>
      </c>
      <c r="O1256" s="18">
        <v>850</v>
      </c>
      <c r="P1256" s="18">
        <v>875</v>
      </c>
      <c r="Q1256" s="15"/>
      <c r="R1256" t="s" s="16">
        <f>HYPERLINK("http://secrets.rutgers.edu:8080/data/asl-ftp/asllvd/demos/verify_start_end_handshape_annotations//test_auto_move//signs_mov_separ_signers/Liz_283.mov","MOV")</f>
        <v>21</v>
      </c>
    </row>
    <row r="1257" s="2" customFormat="1" ht="13.5" customHeight="1">
      <c r="B1257" s="13"/>
      <c r="C1257" t="s" s="9">
        <v>23</v>
      </c>
      <c r="D1257" t="s" s="8">
        <v>479</v>
      </c>
      <c r="E1257" t="s" s="9">
        <v>479</v>
      </c>
      <c r="F1257" t="s" s="10">
        <v>152</v>
      </c>
      <c r="G1257" s="14"/>
      <c r="H1257" t="s" s="10">
        <v>152</v>
      </c>
      <c r="I1257" s="14"/>
      <c r="J1257" t="s" s="11">
        <v>20</v>
      </c>
      <c r="K1257" s="15"/>
      <c r="L1257" t="s" s="16">
        <f>HYPERLINK("http://csr.bu.edu/ftp/asl/asllvd/demos/verify_start_end_handshape_annotations//test_auto_move//signs_mov_separ_signers/Tyler_283.mov","MOV")</f>
        <v>21</v>
      </c>
      <c r="M1257" t="s" s="10">
        <v>26</v>
      </c>
      <c r="N1257" s="17">
        <v>30</v>
      </c>
      <c r="O1257" s="18">
        <v>1207</v>
      </c>
      <c r="P1257" s="18">
        <v>1240</v>
      </c>
      <c r="Q1257" s="15"/>
      <c r="R1257" t="s" s="16">
        <f>HYPERLINK("http://secrets.rutgers.edu:8080/data/asl-ftp/asllvd/demos/verify_start_end_handshape_annotations//test_auto_move//signs_mov_separ_signers/Tyler_283.mov","MOV")</f>
        <v>21</v>
      </c>
    </row>
    <row r="1258" s="2" customFormat="1" ht="13.5" customHeight="1">
      <c r="B1258" s="13"/>
      <c r="C1258" t="s" s="9">
        <v>27</v>
      </c>
      <c r="D1258" t="s" s="8">
        <v>479</v>
      </c>
      <c r="E1258" t="s" s="9">
        <v>479</v>
      </c>
      <c r="F1258" t="s" s="10">
        <v>152</v>
      </c>
      <c r="G1258" s="14"/>
      <c r="H1258" t="s" s="10">
        <v>152</v>
      </c>
      <c r="I1258" s="14"/>
      <c r="J1258" t="s" s="11">
        <v>20</v>
      </c>
      <c r="K1258" s="15"/>
      <c r="L1258" t="s" s="16">
        <f>HYPERLINK("http://csr.bu.edu/ftp/asl/asllvd/demos/verify_start_end_handshape_annotations//test_auto_move//signs_mov_separ_signers/Naomi_283.mov","MOV")</f>
        <v>21</v>
      </c>
      <c r="M1258" t="s" s="10">
        <v>29</v>
      </c>
      <c r="N1258" s="17">
        <v>31</v>
      </c>
      <c r="O1258" s="18">
        <v>1332</v>
      </c>
      <c r="P1258" s="18">
        <v>1347</v>
      </c>
      <c r="Q1258" s="15"/>
      <c r="R1258" t="s" s="16">
        <f>HYPERLINK("http://secrets.rutgers.edu:8080/data/asl-ftp/asllvd/demos/verify_start_end_handshape_annotations//test_auto_move//signs_mov_separ_signers/Naomi_283.mov","MOV")</f>
        <v>21</v>
      </c>
    </row>
    <row r="1259" s="2" customFormat="1" ht="13.5" customHeight="1">
      <c r="B1259" s="13"/>
      <c r="C1259" t="s" s="9">
        <v>30</v>
      </c>
      <c r="D1259" t="s" s="8">
        <v>479</v>
      </c>
      <c r="E1259" t="s" s="9">
        <v>479</v>
      </c>
      <c r="F1259" t="s" s="10">
        <v>55</v>
      </c>
      <c r="G1259" s="14"/>
      <c r="H1259" t="s" s="10">
        <v>55</v>
      </c>
      <c r="I1259" s="14"/>
      <c r="J1259" t="s" s="11">
        <v>20</v>
      </c>
      <c r="K1259" t="s" s="16">
        <f>HYPERLINK("http://csr.bu.edu/ftp/asl/asllvd/demos/verify_start_end_handshape_annotations//test_auto_move//signs_mov/283_3998_16398_merged.mov","MOV")</f>
        <v>21</v>
      </c>
      <c r="L1259" t="s" s="16">
        <f>HYPERLINK("http://csr.bu.edu/ftp/asl/asllvd/demos/verify_start_end_handshape_annotations//test_auto_move//signs_mov_separ_signers/Brady_283.mov","MOV")</f>
        <v>21</v>
      </c>
      <c r="M1259" t="s" s="10">
        <v>31</v>
      </c>
      <c r="N1259" s="17">
        <v>22</v>
      </c>
      <c r="O1259" s="18">
        <v>2610</v>
      </c>
      <c r="P1259" s="18">
        <v>2639</v>
      </c>
      <c r="Q1259" t="s" s="16">
        <f>HYPERLINK("http://secrets.rutgers.edu:8080/data/asl-ftp/asllvd/demos/verify_start_end_handshape_annotations//test_auto_move//signs_mov/283_3998_16398_merged.mov","MOV")</f>
        <v>21</v>
      </c>
      <c r="R1259" t="s" s="16">
        <f>HYPERLINK("http://secrets.rutgers.edu:8080/data/asl-ftp/asllvd/demos/verify_start_end_handshape_annotations//test_auto_move//signs_mov_separ_signers/Brady_283.mov","MOV")</f>
        <v>21</v>
      </c>
    </row>
    <row r="1260" s="2" customFormat="1" ht="13.5" customHeight="1">
      <c r="B1260" s="13"/>
      <c r="C1260" t="s" s="9">
        <v>30</v>
      </c>
      <c r="D1260" t="s" s="8">
        <v>479</v>
      </c>
      <c r="E1260" t="s" s="9">
        <v>479</v>
      </c>
      <c r="F1260" t="s" s="10">
        <v>55</v>
      </c>
      <c r="G1260" s="14"/>
      <c r="H1260" t="s" s="10">
        <v>55</v>
      </c>
      <c r="I1260" s="14"/>
      <c r="J1260" t="s" s="11">
        <v>20</v>
      </c>
      <c r="K1260" s="15"/>
      <c r="L1260" t="s" s="16">
        <f>HYPERLINK("http://csr.bu.edu/ftp/asl/asllvd/demos/verify_start_end_handshape_annotations//test_auto_move//signs_mov_separ_signers/Brady_3998.mov","MOV")</f>
        <v>21</v>
      </c>
      <c r="M1260" t="s" s="10">
        <v>31</v>
      </c>
      <c r="N1260" s="17">
        <v>22</v>
      </c>
      <c r="O1260" s="18">
        <v>3420</v>
      </c>
      <c r="P1260" s="18">
        <v>3451</v>
      </c>
      <c r="Q1260" s="15"/>
      <c r="R1260" t="s" s="16">
        <f>HYPERLINK("http://secrets.rutgers.edu:8080/data/asl-ftp/asllvd/demos/verify_start_end_handshape_annotations//test_auto_move//signs_mov_separ_signers/Brady_3998.mov","MOV")</f>
        <v>21</v>
      </c>
    </row>
    <row r="1261" s="2" customFormat="1" ht="13.5" customHeight="1">
      <c r="B1261" s="13"/>
      <c r="C1261" t="s" s="9">
        <v>30</v>
      </c>
      <c r="D1261" t="s" s="8">
        <v>479</v>
      </c>
      <c r="E1261" t="s" s="9">
        <v>479</v>
      </c>
      <c r="F1261" t="s" s="10">
        <v>55</v>
      </c>
      <c r="G1261" s="14"/>
      <c r="H1261" t="s" s="10">
        <v>55</v>
      </c>
      <c r="I1261" s="14"/>
      <c r="J1261" t="s" s="11">
        <v>20</v>
      </c>
      <c r="K1261" s="15"/>
      <c r="L1261" t="s" s="16">
        <f>HYPERLINK("http://csr.bu.edu/ftp/asl/asllvd/demos/verify_start_end_handshape_annotations//test_auto_move//signs_mov_separ_signers/Brady_16398.mov","MOV")</f>
        <v>21</v>
      </c>
      <c r="M1261" t="s" s="10">
        <v>40</v>
      </c>
      <c r="N1261" s="17">
        <v>3</v>
      </c>
      <c r="O1261" s="18">
        <v>1560</v>
      </c>
      <c r="P1261" s="18">
        <v>1586</v>
      </c>
      <c r="Q1261" s="15"/>
      <c r="R1261" t="s" s="16">
        <f>HYPERLINK("http://secrets.rutgers.edu:8080/data/asl-ftp/asllvd/demos/verify_start_end_handshape_annotations//test_auto_move//signs_mov_separ_signers/Brady_16398.mov","MOV")</f>
        <v>21</v>
      </c>
    </row>
    <row r="1262" s="2" customFormat="1" ht="13.5" customHeight="1">
      <c r="B1262" s="13"/>
      <c r="C1262" t="s" s="9">
        <v>41</v>
      </c>
      <c r="D1262" t="s" s="8">
        <v>479</v>
      </c>
      <c r="E1262" t="s" s="9">
        <v>479</v>
      </c>
      <c r="F1262" t="s" s="10">
        <v>55</v>
      </c>
      <c r="G1262" s="14"/>
      <c r="H1262" t="s" s="10">
        <v>55</v>
      </c>
      <c r="I1262" s="14"/>
      <c r="J1262" t="s" s="11">
        <v>20</v>
      </c>
      <c r="K1262" s="15"/>
      <c r="L1262" t="s" s="16">
        <f>HYPERLINK("http://csr.bu.edu/ftp/asl/asllvd/demos/verify_start_end_handshape_annotations//test_auto_move//signs_mov_separ_signers/Lana_283.mov","MOV")</f>
        <v>21</v>
      </c>
      <c r="M1262" t="s" s="10">
        <v>42</v>
      </c>
      <c r="N1262" s="17">
        <v>4</v>
      </c>
      <c r="O1262" s="18">
        <v>1154</v>
      </c>
      <c r="P1262" s="18">
        <v>1185</v>
      </c>
      <c r="Q1262" s="15"/>
      <c r="R1262" t="s" s="16">
        <f>HYPERLINK("http://secrets.rutgers.edu:8080/data/asl-ftp/asllvd/demos/verify_start_end_handshape_annotations//test_auto_move//signs_mov_separ_signers/Lana_283.mov","MOV")</f>
        <v>21</v>
      </c>
    </row>
    <row r="1263" s="2" customFormat="1" ht="13.5" customHeight="1">
      <c r="B1263" s="13"/>
      <c r="C1263" t="s" s="9">
        <v>43</v>
      </c>
      <c r="D1263" t="s" s="8">
        <v>479</v>
      </c>
      <c r="E1263" t="s" s="9">
        <v>479</v>
      </c>
      <c r="F1263" t="s" s="10">
        <v>152</v>
      </c>
      <c r="G1263" s="14"/>
      <c r="H1263" t="s" s="10">
        <v>152</v>
      </c>
      <c r="I1263" s="14"/>
      <c r="J1263" t="s" s="11">
        <v>20</v>
      </c>
      <c r="K1263" s="15"/>
      <c r="L1263" t="s" s="16">
        <f>HYPERLINK("http://csr.bu.edu/ftp/asl/asllvd/demos/verify_start_end_handshape_annotations//test_auto_move//signs_mov_separ_signers/Dana_283.mov","MOV")</f>
        <v>21</v>
      </c>
      <c r="M1263" t="s" s="10">
        <v>44</v>
      </c>
      <c r="N1263" s="17">
        <v>8</v>
      </c>
      <c r="O1263" s="18">
        <v>1066</v>
      </c>
      <c r="P1263" s="18">
        <v>1120</v>
      </c>
      <c r="Q1263" s="15"/>
      <c r="R1263" t="s" s="16">
        <f>HYPERLINK("http://secrets.rutgers.edu:8080/data/asl-ftp/asllvd/demos/verify_start_end_handshape_annotations//test_auto_move//signs_mov_separ_signers/Dana_283.mov","MOV")</f>
        <v>21</v>
      </c>
    </row>
    <row r="1264" s="2" customFormat="1" ht="13.5" customHeight="1">
      <c r="B1264" t="s" s="8">
        <v>480</v>
      </c>
      <c r="C1264" t="s" s="9">
        <v>14</v>
      </c>
      <c r="D1264" t="s" s="8">
        <v>14</v>
      </c>
      <c r="E1264" t="s" s="9">
        <v>14</v>
      </c>
      <c r="F1264" t="s" s="10">
        <v>14</v>
      </c>
      <c r="G1264" t="s" s="11">
        <v>14</v>
      </c>
      <c r="H1264" t="s" s="10">
        <v>14</v>
      </c>
      <c r="I1264" t="s" s="11">
        <v>14</v>
      </c>
      <c r="J1264" t="s" s="11">
        <v>14</v>
      </c>
      <c r="K1264" t="s" s="12">
        <v>14</v>
      </c>
      <c r="L1264" t="s" s="12">
        <v>14</v>
      </c>
      <c r="M1264" t="s" s="10">
        <v>14</v>
      </c>
      <c r="N1264" t="s" s="11">
        <v>14</v>
      </c>
      <c r="O1264" t="s" s="8">
        <v>14</v>
      </c>
      <c r="P1264" t="s" s="8">
        <v>14</v>
      </c>
      <c r="Q1264" t="s" s="12">
        <v>14</v>
      </c>
      <c r="R1264" t="s" s="12">
        <v>14</v>
      </c>
    </row>
    <row r="1265" s="2" customFormat="1" ht="13.5" customHeight="1">
      <c r="B1265" s="13"/>
      <c r="C1265" t="s" s="9">
        <v>16</v>
      </c>
      <c r="D1265" t="s" s="8">
        <v>480</v>
      </c>
      <c r="E1265" t="s" s="9">
        <v>480</v>
      </c>
      <c r="F1265" t="s" s="10">
        <v>150</v>
      </c>
      <c r="G1265" t="s" s="11">
        <v>150</v>
      </c>
      <c r="H1265" t="s" s="10">
        <v>150</v>
      </c>
      <c r="I1265" t="s" s="11">
        <v>150</v>
      </c>
      <c r="J1265" t="s" s="11">
        <v>20</v>
      </c>
      <c r="K1265" s="15"/>
      <c r="L1265" t="s" s="16">
        <f>HYPERLINK("http://csr.bu.edu/ftp/asl/asllvd/demos/verify_start_end_handshape_annotations//test_auto_move//signs_mov_separ_signers/Liz_286.mov","MOV")</f>
        <v>21</v>
      </c>
      <c r="M1265" t="s" s="10">
        <v>22</v>
      </c>
      <c r="N1265" s="17">
        <v>49</v>
      </c>
      <c r="O1265" s="18">
        <v>255</v>
      </c>
      <c r="P1265" s="18">
        <v>300</v>
      </c>
      <c r="Q1265" s="15"/>
      <c r="R1265" t="s" s="16">
        <f>HYPERLINK("http://secrets.rutgers.edu:8080/data/asl-ftp/asllvd/demos/verify_start_end_handshape_annotations//test_auto_move//signs_mov_separ_signers/Liz_286.mov","MOV")</f>
        <v>21</v>
      </c>
    </row>
    <row r="1266" s="2" customFormat="1" ht="13.5" customHeight="1">
      <c r="B1266" s="13"/>
      <c r="C1266" t="s" s="9">
        <v>23</v>
      </c>
      <c r="D1266" t="s" s="8">
        <v>480</v>
      </c>
      <c r="E1266" t="s" s="9">
        <v>480</v>
      </c>
      <c r="F1266" t="s" s="10">
        <v>150</v>
      </c>
      <c r="G1266" t="s" s="11">
        <v>150</v>
      </c>
      <c r="H1266" t="s" s="10">
        <v>150</v>
      </c>
      <c r="I1266" t="s" s="11">
        <v>150</v>
      </c>
      <c r="J1266" t="s" s="11">
        <v>20</v>
      </c>
      <c r="K1266" t="s" s="16">
        <f>HYPERLINK("http://csr.bu.edu/ftp/asl/asllvd/demos/verify_start_end_handshape_annotations//test_auto_move//signs_mov/286.mov","MOV")</f>
        <v>21</v>
      </c>
      <c r="L1266" t="s" s="16">
        <f>HYPERLINK("http://csr.bu.edu/ftp/asl/asllvd/demos/verify_start_end_handshape_annotations//test_auto_move//signs_mov_separ_signers/Tyler_286.mov","MOV")</f>
        <v>21</v>
      </c>
      <c r="M1266" t="s" s="10">
        <v>26</v>
      </c>
      <c r="N1266" s="17">
        <v>30</v>
      </c>
      <c r="O1266" s="18">
        <v>1950</v>
      </c>
      <c r="P1266" s="18">
        <v>1995</v>
      </c>
      <c r="Q1266" t="s" s="16">
        <f>HYPERLINK("http://secrets.rutgers.edu:8080/data/asl-ftp/asllvd/demos/verify_start_end_handshape_annotations//test_auto_move//signs_mov/286.mov","MOV")</f>
        <v>21</v>
      </c>
      <c r="R1266" t="s" s="16">
        <f>HYPERLINK("http://secrets.rutgers.edu:8080/data/asl-ftp/asllvd/demos/verify_start_end_handshape_annotations//test_auto_move//signs_mov_separ_signers/Tyler_286.mov","MOV")</f>
        <v>21</v>
      </c>
    </row>
    <row r="1267" s="2" customFormat="1" ht="13.5" customHeight="1">
      <c r="B1267" s="13"/>
      <c r="C1267" t="s" s="9">
        <v>30</v>
      </c>
      <c r="D1267" t="s" s="8">
        <v>480</v>
      </c>
      <c r="E1267" t="s" s="9">
        <v>480</v>
      </c>
      <c r="F1267" t="s" s="10">
        <v>150</v>
      </c>
      <c r="G1267" t="s" s="11">
        <v>150</v>
      </c>
      <c r="H1267" t="s" s="10">
        <v>150</v>
      </c>
      <c r="I1267" t="s" s="11">
        <v>150</v>
      </c>
      <c r="J1267" t="s" s="11">
        <v>20</v>
      </c>
      <c r="K1267" s="15"/>
      <c r="L1267" t="s" s="16">
        <f>HYPERLINK("http://csr.bu.edu/ftp/asl/asllvd/demos/verify_start_end_handshape_annotations//test_auto_move//signs_mov_separ_signers/Brady_286.mov","MOV")</f>
        <v>21</v>
      </c>
      <c r="M1267" t="s" s="10">
        <v>31</v>
      </c>
      <c r="N1267" s="17">
        <v>22</v>
      </c>
      <c r="O1267" s="18">
        <v>6274</v>
      </c>
      <c r="P1267" s="18">
        <v>6300</v>
      </c>
      <c r="Q1267" s="15"/>
      <c r="R1267" t="s" s="16">
        <f>HYPERLINK("http://secrets.rutgers.edu:8080/data/asl-ftp/asllvd/demos/verify_start_end_handshape_annotations//test_auto_move//signs_mov_separ_signers/Brady_286.mov","MOV")</f>
        <v>21</v>
      </c>
    </row>
    <row r="1268" s="2" customFormat="1" ht="13.5" customHeight="1">
      <c r="B1268" t="s" s="8">
        <v>52</v>
      </c>
      <c r="C1268" t="s" s="9">
        <v>53</v>
      </c>
      <c r="D1268" t="s" s="8">
        <v>53</v>
      </c>
      <c r="E1268" t="s" s="9">
        <v>53</v>
      </c>
      <c r="F1268" t="s" s="10">
        <v>53</v>
      </c>
      <c r="G1268" t="s" s="11">
        <v>53</v>
      </c>
      <c r="H1268" t="s" s="10">
        <v>53</v>
      </c>
      <c r="I1268" t="s" s="11">
        <v>53</v>
      </c>
      <c r="J1268" t="s" s="11">
        <v>53</v>
      </c>
      <c r="K1268" t="s" s="12">
        <v>53</v>
      </c>
      <c r="L1268" t="s" s="12">
        <v>53</v>
      </c>
      <c r="M1268" t="s" s="10">
        <v>53</v>
      </c>
      <c r="N1268" t="s" s="11">
        <v>53</v>
      </c>
      <c r="O1268" t="s" s="8">
        <v>53</v>
      </c>
      <c r="P1268" t="s" s="8">
        <v>53</v>
      </c>
      <c r="Q1268" t="s" s="12">
        <v>53</v>
      </c>
      <c r="R1268" t="s" s="12">
        <v>53</v>
      </c>
    </row>
    <row r="1269" s="2" customFormat="1" ht="13.5" customHeight="1">
      <c r="B1269" s="13"/>
      <c r="C1269" t="s" s="9">
        <v>27</v>
      </c>
      <c r="D1269" t="s" s="8">
        <v>480</v>
      </c>
      <c r="E1269" t="s" s="9">
        <v>481</v>
      </c>
      <c r="F1269" t="s" s="10">
        <v>73</v>
      </c>
      <c r="G1269" t="s" s="11">
        <v>73</v>
      </c>
      <c r="H1269" t="s" s="10">
        <v>73</v>
      </c>
      <c r="I1269" t="s" s="11">
        <v>73</v>
      </c>
      <c r="J1269" t="s" s="11">
        <v>20</v>
      </c>
      <c r="K1269" t="s" s="16">
        <f>HYPERLINK("http://csr.bu.edu/ftp/asl/asllvd/demos/verify_start_end_handshape_annotations//test_auto_move//signs_mov/15386.mov","MOV")</f>
        <v>21</v>
      </c>
      <c r="L1269" t="s" s="16">
        <f>HYPERLINK("http://csr.bu.edu/ftp/asl/asllvd/demos/verify_start_end_handshape_annotations//test_auto_move//signs_mov_separ_signers/Naomi_15386.mov","MOV")</f>
        <v>21</v>
      </c>
      <c r="M1269" t="s" s="10">
        <v>29</v>
      </c>
      <c r="N1269" s="17">
        <v>31</v>
      </c>
      <c r="O1269" s="18">
        <v>2312</v>
      </c>
      <c r="P1269" s="18">
        <v>2337</v>
      </c>
      <c r="Q1269" t="s" s="16">
        <f>HYPERLINK("http://secrets.rutgers.edu:8080/data/asl-ftp/asllvd/demos/verify_start_end_handshape_annotations//test_auto_move//signs_mov/15386.mov","MOV")</f>
        <v>21</v>
      </c>
      <c r="R1269" t="s" s="16">
        <f>HYPERLINK("http://secrets.rutgers.edu:8080/data/asl-ftp/asllvd/demos/verify_start_end_handshape_annotations//test_auto_move//signs_mov_separ_signers/Naomi_15386.mov","MOV")</f>
        <v>21</v>
      </c>
    </row>
    <row r="1270" s="2" customFormat="1" ht="13.5" customHeight="1">
      <c r="B1270" t="s" s="8">
        <v>482</v>
      </c>
      <c r="C1270" t="s" s="9">
        <v>14</v>
      </c>
      <c r="D1270" t="s" s="8">
        <v>14</v>
      </c>
      <c r="E1270" t="s" s="9">
        <v>14</v>
      </c>
      <c r="F1270" t="s" s="10">
        <v>14</v>
      </c>
      <c r="G1270" t="s" s="11">
        <v>14</v>
      </c>
      <c r="H1270" t="s" s="10">
        <v>14</v>
      </c>
      <c r="I1270" t="s" s="11">
        <v>14</v>
      </c>
      <c r="J1270" t="s" s="11">
        <v>14</v>
      </c>
      <c r="K1270" t="s" s="12">
        <v>14</v>
      </c>
      <c r="L1270" t="s" s="12">
        <v>14</v>
      </c>
      <c r="M1270" t="s" s="10">
        <v>14</v>
      </c>
      <c r="N1270" t="s" s="11">
        <v>14</v>
      </c>
      <c r="O1270" t="s" s="8">
        <v>14</v>
      </c>
      <c r="P1270" t="s" s="8">
        <v>14</v>
      </c>
      <c r="Q1270" t="s" s="12">
        <v>14</v>
      </c>
      <c r="R1270" t="s" s="12">
        <v>14</v>
      </c>
    </row>
    <row r="1271" s="2" customFormat="1" ht="13.5" customHeight="1">
      <c r="B1271" s="13"/>
      <c r="C1271" t="s" s="9">
        <v>16</v>
      </c>
      <c r="D1271" t="s" s="8">
        <v>482</v>
      </c>
      <c r="E1271" t="s" s="9">
        <v>482</v>
      </c>
      <c r="F1271" t="s" s="10">
        <v>150</v>
      </c>
      <c r="G1271" t="s" s="11">
        <v>150</v>
      </c>
      <c r="H1271" t="s" s="10">
        <v>150</v>
      </c>
      <c r="I1271" t="s" s="11">
        <v>150</v>
      </c>
      <c r="J1271" t="s" s="11">
        <v>20</v>
      </c>
      <c r="K1271" s="15"/>
      <c r="L1271" t="s" s="16">
        <f>HYPERLINK("http://csr.bu.edu/ftp/asl/asllvd/demos/verify_start_end_handshape_annotations//test_auto_move//signs_mov_separ_signers/Liz_15388.mov","MOV")</f>
        <v>21</v>
      </c>
      <c r="M1271" t="s" s="10">
        <v>34</v>
      </c>
      <c r="N1271" s="17">
        <v>7</v>
      </c>
      <c r="O1271" s="18">
        <v>2071</v>
      </c>
      <c r="P1271" s="18">
        <v>2140</v>
      </c>
      <c r="Q1271" s="15"/>
      <c r="R1271" t="s" s="16">
        <f>HYPERLINK("http://secrets.rutgers.edu:8080/data/asl-ftp/asllvd/demos/verify_start_end_handshape_annotations//test_auto_move//signs_mov_separ_signers/Liz_15388.mov","MOV")</f>
        <v>21</v>
      </c>
    </row>
    <row r="1272" s="2" customFormat="1" ht="13.5" customHeight="1">
      <c r="B1272" s="13"/>
      <c r="C1272" t="s" s="9">
        <v>23</v>
      </c>
      <c r="D1272" t="s" s="8">
        <v>482</v>
      </c>
      <c r="E1272" t="s" s="9">
        <v>482</v>
      </c>
      <c r="F1272" t="s" s="10">
        <v>150</v>
      </c>
      <c r="G1272" t="s" s="11">
        <v>150</v>
      </c>
      <c r="H1272" t="s" s="10">
        <v>150</v>
      </c>
      <c r="I1272" t="s" s="11">
        <v>150</v>
      </c>
      <c r="J1272" t="s" s="11">
        <v>20</v>
      </c>
      <c r="K1272" t="s" s="16">
        <f>HYPERLINK("http://csr.bu.edu/ftp/asl/asllvd/demos/verify_start_end_handshape_annotations//test_auto_move//signs_mov/15388_16243_merged.mov","MOV")</f>
        <v>21</v>
      </c>
      <c r="L1272" t="s" s="16">
        <f>HYPERLINK("http://csr.bu.edu/ftp/asl/asllvd/demos/verify_start_end_handshape_annotations//test_auto_move//signs_mov_separ_signers/Tyler_15388.mov","MOV")</f>
        <v>21</v>
      </c>
      <c r="M1272" t="s" s="10">
        <v>92</v>
      </c>
      <c r="N1272" s="17">
        <v>38</v>
      </c>
      <c r="O1272" s="18">
        <v>1775</v>
      </c>
      <c r="P1272" s="18">
        <v>1816</v>
      </c>
      <c r="Q1272" t="s" s="16">
        <f>HYPERLINK("http://secrets.rutgers.edu:8080/data/asl-ftp/asllvd/demos/verify_start_end_handshape_annotations//test_auto_move//signs_mov/15388_16243_merged.mov","MOV")</f>
        <v>21</v>
      </c>
      <c r="R1272" t="s" s="16">
        <f>HYPERLINK("http://secrets.rutgers.edu:8080/data/asl-ftp/asllvd/demos/verify_start_end_handshape_annotations//test_auto_move//signs_mov_separ_signers/Tyler_15388.mov","MOV")</f>
        <v>21</v>
      </c>
    </row>
    <row r="1273" s="2" customFormat="1" ht="13.5" customHeight="1">
      <c r="B1273" s="13"/>
      <c r="C1273" t="s" s="9">
        <v>30</v>
      </c>
      <c r="D1273" t="s" s="8">
        <v>482</v>
      </c>
      <c r="E1273" t="s" s="9">
        <v>482</v>
      </c>
      <c r="F1273" t="s" s="10">
        <v>150</v>
      </c>
      <c r="G1273" t="s" s="11">
        <v>150</v>
      </c>
      <c r="H1273" t="s" s="10">
        <v>150</v>
      </c>
      <c r="I1273" t="s" s="11">
        <v>150</v>
      </c>
      <c r="J1273" t="s" s="11">
        <v>20</v>
      </c>
      <c r="K1273" s="15"/>
      <c r="L1273" t="s" s="16">
        <f>HYPERLINK("http://csr.bu.edu/ftp/asl/asllvd/demos/verify_start_end_handshape_annotations//test_auto_move//signs_mov_separ_signers/Brady_15388.mov","MOV")</f>
        <v>21</v>
      </c>
      <c r="M1273" t="s" s="10">
        <v>39</v>
      </c>
      <c r="N1273" s="17">
        <v>27</v>
      </c>
      <c r="O1273" s="18">
        <v>475</v>
      </c>
      <c r="P1273" s="18">
        <v>504</v>
      </c>
      <c r="Q1273" s="15"/>
      <c r="R1273" t="s" s="16">
        <f>HYPERLINK("http://secrets.rutgers.edu:8080/data/asl-ftp/asllvd/demos/verify_start_end_handshape_annotations//test_auto_move//signs_mov_separ_signers/Brady_15388.mov","MOV")</f>
        <v>21</v>
      </c>
    </row>
    <row r="1274" s="2" customFormat="1" ht="13.5" customHeight="1">
      <c r="B1274" s="13"/>
      <c r="C1274" t="s" s="9">
        <v>30</v>
      </c>
      <c r="D1274" t="s" s="8">
        <v>482</v>
      </c>
      <c r="E1274" t="s" s="9">
        <v>482</v>
      </c>
      <c r="F1274" t="s" s="10">
        <v>150</v>
      </c>
      <c r="G1274" t="s" s="11">
        <v>150</v>
      </c>
      <c r="H1274" t="s" s="10">
        <v>150</v>
      </c>
      <c r="I1274" t="s" s="11">
        <v>150</v>
      </c>
      <c r="J1274" t="s" s="11">
        <v>20</v>
      </c>
      <c r="K1274" s="15"/>
      <c r="L1274" t="s" s="16">
        <f>HYPERLINK("http://csr.bu.edu/ftp/asl/asllvd/demos/verify_start_end_handshape_annotations//test_auto_move//signs_mov_separ_signers/Brady_16243.mov","MOV")</f>
        <v>21</v>
      </c>
      <c r="M1274" t="s" s="10">
        <v>60</v>
      </c>
      <c r="N1274" s="17">
        <v>44</v>
      </c>
      <c r="O1274" s="18">
        <v>504</v>
      </c>
      <c r="P1274" s="18">
        <v>534</v>
      </c>
      <c r="Q1274" s="15"/>
      <c r="R1274" t="s" s="16">
        <f>HYPERLINK("http://secrets.rutgers.edu:8080/data/asl-ftp/asllvd/demos/verify_start_end_handshape_annotations//test_auto_move//signs_mov_separ_signers/Brady_16243.mov","MOV")</f>
        <v>21</v>
      </c>
    </row>
    <row r="1275" s="2" customFormat="1" ht="13.5" customHeight="1">
      <c r="B1275" t="s" s="8">
        <v>52</v>
      </c>
      <c r="C1275" t="s" s="9">
        <v>53</v>
      </c>
      <c r="D1275" t="s" s="8">
        <v>53</v>
      </c>
      <c r="E1275" t="s" s="9">
        <v>53</v>
      </c>
      <c r="F1275" t="s" s="10">
        <v>53</v>
      </c>
      <c r="G1275" t="s" s="11">
        <v>53</v>
      </c>
      <c r="H1275" t="s" s="10">
        <v>53</v>
      </c>
      <c r="I1275" t="s" s="11">
        <v>53</v>
      </c>
      <c r="J1275" t="s" s="11">
        <v>53</v>
      </c>
      <c r="K1275" t="s" s="12">
        <v>53</v>
      </c>
      <c r="L1275" t="s" s="12">
        <v>53</v>
      </c>
      <c r="M1275" t="s" s="10">
        <v>53</v>
      </c>
      <c r="N1275" t="s" s="11">
        <v>53</v>
      </c>
      <c r="O1275" t="s" s="8">
        <v>53</v>
      </c>
      <c r="P1275" t="s" s="8">
        <v>53</v>
      </c>
      <c r="Q1275" t="s" s="12">
        <v>53</v>
      </c>
      <c r="R1275" t="s" s="12">
        <v>53</v>
      </c>
    </row>
    <row r="1276" s="2" customFormat="1" ht="13.5" customHeight="1">
      <c r="B1276" s="13"/>
      <c r="C1276" t="s" s="9">
        <v>27</v>
      </c>
      <c r="D1276" t="s" s="8">
        <v>482</v>
      </c>
      <c r="E1276" t="s" s="9">
        <v>483</v>
      </c>
      <c r="F1276" t="s" s="10">
        <v>73</v>
      </c>
      <c r="G1276" t="s" s="11">
        <v>73</v>
      </c>
      <c r="H1276" t="s" s="10">
        <v>73</v>
      </c>
      <c r="I1276" t="s" s="11">
        <v>73</v>
      </c>
      <c r="J1276" t="s" s="11">
        <v>20</v>
      </c>
      <c r="K1276" t="s" s="16">
        <f>HYPERLINK("http://csr.bu.edu/ftp/asl/asllvd/demos/verify_start_end_handshape_annotations//test_auto_move//signs_mov/16244.mov","MOV")</f>
        <v>21</v>
      </c>
      <c r="L1276" t="s" s="16">
        <f>HYPERLINK("http://csr.bu.edu/ftp/asl/asllvd/demos/verify_start_end_handshape_annotations//test_auto_move//signs_mov_separ_signers/Naomi_16244.mov","MOV")</f>
        <v>21</v>
      </c>
      <c r="M1276" t="s" s="10">
        <v>38</v>
      </c>
      <c r="N1276" s="17">
        <v>6</v>
      </c>
      <c r="O1276" s="18">
        <v>2890</v>
      </c>
      <c r="P1276" s="18">
        <v>2915</v>
      </c>
      <c r="Q1276" t="s" s="16">
        <f>HYPERLINK("http://secrets.rutgers.edu:8080/data/asl-ftp/asllvd/demos/verify_start_end_handshape_annotations//test_auto_move//signs_mov/16244.mov","MOV")</f>
        <v>21</v>
      </c>
      <c r="R1276" t="s" s="16">
        <f>HYPERLINK("http://secrets.rutgers.edu:8080/data/asl-ftp/asllvd/demos/verify_start_end_handshape_annotations//test_auto_move//signs_mov_separ_signers/Naomi_16244.mov","MOV")</f>
        <v>21</v>
      </c>
    </row>
    <row r="1277" s="2" customFormat="1" ht="13.5" customHeight="1">
      <c r="B1277" t="s" s="8">
        <v>484</v>
      </c>
      <c r="C1277" t="s" s="9">
        <v>14</v>
      </c>
      <c r="D1277" t="s" s="8">
        <v>14</v>
      </c>
      <c r="E1277" t="s" s="9">
        <v>14</v>
      </c>
      <c r="F1277" t="s" s="10">
        <v>14</v>
      </c>
      <c r="G1277" t="s" s="11">
        <v>14</v>
      </c>
      <c r="H1277" t="s" s="10">
        <v>14</v>
      </c>
      <c r="I1277" t="s" s="11">
        <v>14</v>
      </c>
      <c r="J1277" t="s" s="11">
        <v>14</v>
      </c>
      <c r="K1277" t="s" s="12">
        <v>14</v>
      </c>
      <c r="L1277" t="s" s="12">
        <v>14</v>
      </c>
      <c r="M1277" t="s" s="10">
        <v>14</v>
      </c>
      <c r="N1277" t="s" s="11">
        <v>14</v>
      </c>
      <c r="O1277" t="s" s="8">
        <v>14</v>
      </c>
      <c r="P1277" t="s" s="8">
        <v>14</v>
      </c>
      <c r="Q1277" t="s" s="12">
        <v>14</v>
      </c>
      <c r="R1277" t="s" s="12">
        <v>14</v>
      </c>
    </row>
    <row r="1278" s="2" customFormat="1" ht="13.5" customHeight="1">
      <c r="B1278" s="13"/>
      <c r="C1278" t="s" s="9">
        <v>16</v>
      </c>
      <c r="D1278" t="s" s="8">
        <v>484</v>
      </c>
      <c r="E1278" t="s" s="9">
        <v>484</v>
      </c>
      <c r="F1278" t="s" s="10">
        <v>73</v>
      </c>
      <c r="G1278" t="s" s="11">
        <v>73</v>
      </c>
      <c r="H1278" t="s" s="10">
        <v>73</v>
      </c>
      <c r="I1278" t="s" s="11">
        <v>73</v>
      </c>
      <c r="J1278" t="s" s="11">
        <v>20</v>
      </c>
      <c r="K1278" s="15"/>
      <c r="L1278" t="s" s="16">
        <f>HYPERLINK("http://csr.bu.edu/ftp/asl/asllvd/demos/verify_start_end_handshape_annotations//test_auto_move//signs_mov_separ_signers/Liz_287.mov","MOV")</f>
        <v>21</v>
      </c>
      <c r="M1278" t="s" s="10">
        <v>22</v>
      </c>
      <c r="N1278" s="17">
        <v>49</v>
      </c>
      <c r="O1278" s="18">
        <v>460</v>
      </c>
      <c r="P1278" s="18">
        <v>505</v>
      </c>
      <c r="Q1278" s="15"/>
      <c r="R1278" t="s" s="16">
        <f>HYPERLINK("http://secrets.rutgers.edu:8080/data/asl-ftp/asllvd/demos/verify_start_end_handshape_annotations//test_auto_move//signs_mov_separ_signers/Liz_287.mov","MOV")</f>
        <v>21</v>
      </c>
    </row>
    <row r="1279" s="2" customFormat="1" ht="13.5" customHeight="1">
      <c r="B1279" s="13"/>
      <c r="C1279" t="s" s="9">
        <v>23</v>
      </c>
      <c r="D1279" t="s" s="8">
        <v>484</v>
      </c>
      <c r="E1279" t="s" s="9">
        <v>484</v>
      </c>
      <c r="F1279" t="s" s="10">
        <v>73</v>
      </c>
      <c r="G1279" t="s" s="11">
        <v>73</v>
      </c>
      <c r="H1279" t="s" s="10">
        <v>73</v>
      </c>
      <c r="I1279" t="s" s="11">
        <v>73</v>
      </c>
      <c r="J1279" t="s" s="11">
        <v>20</v>
      </c>
      <c r="K1279" t="s" s="16">
        <f>HYPERLINK("http://csr.bu.edu/ftp/asl/asllvd/demos/verify_start_end_handshape_annotations//test_auto_move//signs_mov/287.mov","MOV")</f>
        <v>21</v>
      </c>
      <c r="L1279" t="s" s="16">
        <f>HYPERLINK("http://csr.bu.edu/ftp/asl/asllvd/demos/verify_start_end_handshape_annotations//test_auto_move//signs_mov_separ_signers/Tyler_287.mov","MOV")</f>
        <v>21</v>
      </c>
      <c r="M1279" t="s" s="10">
        <v>26</v>
      </c>
      <c r="N1279" s="17">
        <v>30</v>
      </c>
      <c r="O1279" s="18">
        <v>2170</v>
      </c>
      <c r="P1279" s="18">
        <v>2195</v>
      </c>
      <c r="Q1279" t="s" s="16">
        <f>HYPERLINK("http://secrets.rutgers.edu:8080/data/asl-ftp/asllvd/demos/verify_start_end_handshape_annotations//test_auto_move//signs_mov/287.mov","MOV")</f>
        <v>21</v>
      </c>
      <c r="R1279" t="s" s="16">
        <f>HYPERLINK("http://secrets.rutgers.edu:8080/data/asl-ftp/asllvd/demos/verify_start_end_handshape_annotations//test_auto_move//signs_mov_separ_signers/Tyler_287.mov","MOV")</f>
        <v>21</v>
      </c>
    </row>
    <row r="1280" s="2" customFormat="1" ht="13.5" customHeight="1">
      <c r="B1280" s="13"/>
      <c r="C1280" t="s" s="9">
        <v>27</v>
      </c>
      <c r="D1280" t="s" s="8">
        <v>484</v>
      </c>
      <c r="E1280" t="s" s="9">
        <v>484</v>
      </c>
      <c r="F1280" t="s" s="10">
        <v>73</v>
      </c>
      <c r="G1280" t="s" s="11">
        <v>73</v>
      </c>
      <c r="H1280" t="s" s="10">
        <v>73</v>
      </c>
      <c r="I1280" t="s" s="11">
        <v>73</v>
      </c>
      <c r="J1280" t="s" s="11">
        <v>20</v>
      </c>
      <c r="K1280" s="15"/>
      <c r="L1280" t="s" s="16">
        <f>HYPERLINK("http://csr.bu.edu/ftp/asl/asllvd/demos/verify_start_end_handshape_annotations//test_auto_move//signs_mov_separ_signers/Naomi_287.mov","MOV")</f>
        <v>21</v>
      </c>
      <c r="M1280" t="s" s="10">
        <v>29</v>
      </c>
      <c r="N1280" s="17">
        <v>31</v>
      </c>
      <c r="O1280" s="18">
        <v>2850</v>
      </c>
      <c r="P1280" s="18">
        <v>2875</v>
      </c>
      <c r="Q1280" s="15"/>
      <c r="R1280" t="s" s="16">
        <f>HYPERLINK("http://secrets.rutgers.edu:8080/data/asl-ftp/asllvd/demos/verify_start_end_handshape_annotations//test_auto_move//signs_mov_separ_signers/Naomi_287.mov","MOV")</f>
        <v>21</v>
      </c>
    </row>
    <row r="1281" s="2" customFormat="1" ht="13.5" customHeight="1">
      <c r="B1281" s="13"/>
      <c r="C1281" t="s" s="9">
        <v>30</v>
      </c>
      <c r="D1281" t="s" s="8">
        <v>484</v>
      </c>
      <c r="E1281" t="s" s="9">
        <v>484</v>
      </c>
      <c r="F1281" t="s" s="10">
        <v>80</v>
      </c>
      <c r="G1281" t="s" s="11">
        <v>80</v>
      </c>
      <c r="H1281" t="s" s="10">
        <v>80</v>
      </c>
      <c r="I1281" t="s" s="11">
        <v>80</v>
      </c>
      <c r="J1281" t="s" s="11">
        <v>20</v>
      </c>
      <c r="K1281" s="15"/>
      <c r="L1281" t="s" s="16">
        <f>HYPERLINK("http://csr.bu.edu/ftp/asl/asllvd/demos/verify_start_end_handshape_annotations//test_auto_move//signs_mov_separ_signers/Brady_287.mov","MOV")</f>
        <v>21</v>
      </c>
      <c r="M1281" t="s" s="10">
        <v>31</v>
      </c>
      <c r="N1281" s="17">
        <v>22</v>
      </c>
      <c r="O1281" s="18">
        <v>6455</v>
      </c>
      <c r="P1281" s="18">
        <v>6478</v>
      </c>
      <c r="Q1281" s="15"/>
      <c r="R1281" t="s" s="16">
        <f>HYPERLINK("http://secrets.rutgers.edu:8080/data/asl-ftp/asllvd/demos/verify_start_end_handshape_annotations//test_auto_move//signs_mov_separ_signers/Brady_287.mov","MOV")</f>
        <v>21</v>
      </c>
    </row>
    <row r="1282" s="2" customFormat="1" ht="13.5" customHeight="1">
      <c r="B1282" t="s" s="8">
        <v>485</v>
      </c>
      <c r="C1282" t="s" s="9">
        <v>14</v>
      </c>
      <c r="D1282" t="s" s="8">
        <v>14</v>
      </c>
      <c r="E1282" t="s" s="9">
        <v>14</v>
      </c>
      <c r="F1282" t="s" s="10">
        <v>14</v>
      </c>
      <c r="G1282" t="s" s="11">
        <v>14</v>
      </c>
      <c r="H1282" t="s" s="10">
        <v>14</v>
      </c>
      <c r="I1282" t="s" s="11">
        <v>14</v>
      </c>
      <c r="J1282" t="s" s="11">
        <v>14</v>
      </c>
      <c r="K1282" t="s" s="12">
        <v>14</v>
      </c>
      <c r="L1282" t="s" s="12">
        <v>14</v>
      </c>
      <c r="M1282" t="s" s="10">
        <v>14</v>
      </c>
      <c r="N1282" t="s" s="11">
        <v>14</v>
      </c>
      <c r="O1282" t="s" s="8">
        <v>14</v>
      </c>
      <c r="P1282" t="s" s="8">
        <v>14</v>
      </c>
      <c r="Q1282" t="s" s="12">
        <v>14</v>
      </c>
      <c r="R1282" t="s" s="12">
        <v>14</v>
      </c>
    </row>
    <row r="1283" s="2" customFormat="1" ht="13.5" customHeight="1">
      <c r="B1283" s="13"/>
      <c r="C1283" t="s" s="9">
        <v>16</v>
      </c>
      <c r="D1283" t="s" s="8">
        <v>485</v>
      </c>
      <c r="E1283" t="s" s="9">
        <v>485</v>
      </c>
      <c r="F1283" t="s" s="10">
        <v>220</v>
      </c>
      <c r="G1283" t="s" s="11">
        <v>220</v>
      </c>
      <c r="H1283" t="s" s="10">
        <v>220</v>
      </c>
      <c r="I1283" t="s" s="11">
        <v>220</v>
      </c>
      <c r="J1283" t="s" s="11">
        <v>20</v>
      </c>
      <c r="K1283" t="s" s="16">
        <f>HYPERLINK("http://csr.bu.edu/ftp/asl/asllvd/demos/verify_start_end_handshape_annotations//test_auto_move//signs_mov/15492.mov","MOV")</f>
        <v>21</v>
      </c>
      <c r="L1283" t="s" s="16">
        <f>HYPERLINK("http://csr.bu.edu/ftp/asl/asllvd/demos/verify_start_end_handshape_annotations//test_auto_move//signs_mov_separ_signers/Liz_15492.mov","MOV")</f>
        <v>21</v>
      </c>
      <c r="M1283" t="s" s="10">
        <v>88</v>
      </c>
      <c r="N1283" s="17">
        <v>37</v>
      </c>
      <c r="O1283" s="18">
        <v>3320</v>
      </c>
      <c r="P1283" s="18">
        <v>3360</v>
      </c>
      <c r="Q1283" t="s" s="16">
        <f>HYPERLINK("http://secrets.rutgers.edu:8080/data/asl-ftp/asllvd/demos/verify_start_end_handshape_annotations//test_auto_move//signs_mov/15492.mov","MOV")</f>
        <v>21</v>
      </c>
      <c r="R1283" t="s" s="16">
        <f>HYPERLINK("http://secrets.rutgers.edu:8080/data/asl-ftp/asllvd/demos/verify_start_end_handshape_annotations//test_auto_move//signs_mov_separ_signers/Liz_15492.mov","MOV")</f>
        <v>21</v>
      </c>
    </row>
    <row r="1284" s="2" customFormat="1" ht="13.5" customHeight="1">
      <c r="B1284" s="13"/>
      <c r="C1284" t="s" s="9">
        <v>30</v>
      </c>
      <c r="D1284" t="s" s="8">
        <v>485</v>
      </c>
      <c r="E1284" t="s" s="9">
        <v>485</v>
      </c>
      <c r="F1284" t="s" s="10">
        <v>220</v>
      </c>
      <c r="G1284" t="s" s="11">
        <v>220</v>
      </c>
      <c r="H1284" t="s" s="10">
        <v>220</v>
      </c>
      <c r="I1284" t="s" s="11">
        <v>220</v>
      </c>
      <c r="J1284" t="s" s="11">
        <v>20</v>
      </c>
      <c r="K1284" s="15"/>
      <c r="L1284" t="s" s="16">
        <f>HYPERLINK("http://csr.bu.edu/ftp/asl/asllvd/demos/verify_start_end_handshape_annotations//test_auto_move//signs_mov_separ_signers/Brady_15492.mov","MOV")</f>
        <v>21</v>
      </c>
      <c r="M1284" t="s" s="10">
        <v>40</v>
      </c>
      <c r="N1284" s="17">
        <v>31</v>
      </c>
      <c r="O1284" s="18">
        <v>3181</v>
      </c>
      <c r="P1284" s="18">
        <v>3198</v>
      </c>
      <c r="Q1284" s="15"/>
      <c r="R1284" t="s" s="16">
        <f>HYPERLINK("http://secrets.rutgers.edu:8080/data/asl-ftp/asllvd/demos/verify_start_end_handshape_annotations//test_auto_move//signs_mov_separ_signers/Brady_15492.mov","MOV")</f>
        <v>21</v>
      </c>
    </row>
    <row r="1285" s="2" customFormat="1" ht="13.5" customHeight="1">
      <c r="B1285" t="s" s="8">
        <v>486</v>
      </c>
      <c r="C1285" t="s" s="9">
        <v>14</v>
      </c>
      <c r="D1285" t="s" s="8">
        <v>14</v>
      </c>
      <c r="E1285" t="s" s="9">
        <v>14</v>
      </c>
      <c r="F1285" t="s" s="10">
        <v>14</v>
      </c>
      <c r="G1285" t="s" s="11">
        <v>14</v>
      </c>
      <c r="H1285" t="s" s="10">
        <v>14</v>
      </c>
      <c r="I1285" t="s" s="11">
        <v>14</v>
      </c>
      <c r="J1285" t="s" s="11">
        <v>14</v>
      </c>
      <c r="K1285" t="s" s="12">
        <v>14</v>
      </c>
      <c r="L1285" t="s" s="12">
        <v>14</v>
      </c>
      <c r="M1285" t="s" s="10">
        <v>14</v>
      </c>
      <c r="N1285" t="s" s="11">
        <v>14</v>
      </c>
      <c r="O1285" t="s" s="8">
        <v>14</v>
      </c>
      <c r="P1285" t="s" s="8">
        <v>14</v>
      </c>
      <c r="Q1285" t="s" s="12">
        <v>14</v>
      </c>
      <c r="R1285" t="s" s="12">
        <v>14</v>
      </c>
    </row>
    <row r="1286" s="2" customFormat="1" ht="13.5" customHeight="1">
      <c r="B1286" s="13"/>
      <c r="C1286" t="s" s="9">
        <v>16</v>
      </c>
      <c r="D1286" t="s" s="8">
        <v>486</v>
      </c>
      <c r="E1286" t="s" s="9">
        <v>486</v>
      </c>
      <c r="F1286" t="s" s="10">
        <v>72</v>
      </c>
      <c r="G1286" t="s" s="11">
        <v>72</v>
      </c>
      <c r="H1286" t="s" s="10">
        <v>72</v>
      </c>
      <c r="I1286" t="s" s="11">
        <v>72</v>
      </c>
      <c r="J1286" t="s" s="11">
        <v>20</v>
      </c>
      <c r="K1286" s="15"/>
      <c r="L1286" t="s" s="16">
        <f>HYPERLINK("http://csr.bu.edu/ftp/asl/asllvd/demos/verify_start_end_handshape_annotations//test_auto_move//signs_mov_separ_signers/Liz_288.mov","MOV")</f>
        <v>21</v>
      </c>
      <c r="M1286" t="s" s="10">
        <v>22</v>
      </c>
      <c r="N1286" s="17">
        <v>49</v>
      </c>
      <c r="O1286" s="18">
        <v>645</v>
      </c>
      <c r="P1286" s="18">
        <v>710</v>
      </c>
      <c r="Q1286" s="15"/>
      <c r="R1286" t="s" s="16">
        <f>HYPERLINK("http://secrets.rutgers.edu:8080/data/asl-ftp/asllvd/demos/verify_start_end_handshape_annotations//test_auto_move//signs_mov_separ_signers/Liz_288.mov","MOV")</f>
        <v>21</v>
      </c>
    </row>
    <row r="1287" s="2" customFormat="1" ht="13.5" customHeight="1">
      <c r="B1287" s="13"/>
      <c r="C1287" t="s" s="9">
        <v>23</v>
      </c>
      <c r="D1287" t="s" s="8">
        <v>486</v>
      </c>
      <c r="E1287" t="s" s="9">
        <v>486</v>
      </c>
      <c r="F1287" s="19">
        <v>5</v>
      </c>
      <c r="G1287" s="17">
        <v>5</v>
      </c>
      <c r="H1287" s="19">
        <v>5</v>
      </c>
      <c r="I1287" s="17">
        <v>5</v>
      </c>
      <c r="J1287" t="s" s="11">
        <v>20</v>
      </c>
      <c r="K1287" t="s" s="16">
        <f>HYPERLINK("http://csr.bu.edu/ftp/asl/asllvd/demos/verify_start_end_handshape_annotations//test_auto_move//signs_mov/288.mov","MOV")</f>
        <v>21</v>
      </c>
      <c r="L1287" t="s" s="16">
        <f>HYPERLINK("http://csr.bu.edu/ftp/asl/asllvd/demos/verify_start_end_handshape_annotations//test_auto_move//signs_mov_separ_signers/Tyler_288.mov","MOV")</f>
        <v>21</v>
      </c>
      <c r="M1287" t="s" s="10">
        <v>26</v>
      </c>
      <c r="N1287" s="17">
        <v>30</v>
      </c>
      <c r="O1287" s="18">
        <v>2375</v>
      </c>
      <c r="P1287" s="18">
        <v>2415</v>
      </c>
      <c r="Q1287" t="s" s="16">
        <f>HYPERLINK("http://secrets.rutgers.edu:8080/data/asl-ftp/asllvd/demos/verify_start_end_handshape_annotations//test_auto_move//signs_mov/288.mov","MOV")</f>
        <v>21</v>
      </c>
      <c r="R1287" t="s" s="16">
        <f>HYPERLINK("http://secrets.rutgers.edu:8080/data/asl-ftp/asllvd/demos/verify_start_end_handshape_annotations//test_auto_move//signs_mov_separ_signers/Tyler_288.mov","MOV")</f>
        <v>21</v>
      </c>
    </row>
    <row r="1288" s="2" customFormat="1" ht="13.5" customHeight="1">
      <c r="B1288" s="13"/>
      <c r="C1288" t="s" s="9">
        <v>27</v>
      </c>
      <c r="D1288" t="s" s="8">
        <v>486</v>
      </c>
      <c r="E1288" t="s" s="9">
        <v>486</v>
      </c>
      <c r="F1288" t="s" s="10">
        <v>72</v>
      </c>
      <c r="G1288" t="s" s="11">
        <v>72</v>
      </c>
      <c r="H1288" t="s" s="10">
        <v>72</v>
      </c>
      <c r="I1288" t="s" s="11">
        <v>72</v>
      </c>
      <c r="J1288" t="s" s="11">
        <v>20</v>
      </c>
      <c r="K1288" s="15"/>
      <c r="L1288" t="s" s="16">
        <f>HYPERLINK("http://csr.bu.edu/ftp/asl/asllvd/demos/verify_start_end_handshape_annotations//test_auto_move//signs_mov_separ_signers/Naomi_288.mov","MOV")</f>
        <v>21</v>
      </c>
      <c r="M1288" t="s" s="10">
        <v>29</v>
      </c>
      <c r="N1288" s="17">
        <v>31</v>
      </c>
      <c r="O1288" s="18">
        <v>3150</v>
      </c>
      <c r="P1288" s="18">
        <v>3197</v>
      </c>
      <c r="Q1288" s="15"/>
      <c r="R1288" t="s" s="16">
        <f>HYPERLINK("http://secrets.rutgers.edu:8080/data/asl-ftp/asllvd/demos/verify_start_end_handshape_annotations//test_auto_move//signs_mov_separ_signers/Naomi_288.mov","MOV")</f>
        <v>21</v>
      </c>
    </row>
    <row r="1289" s="2" customFormat="1" ht="13.5" customHeight="1">
      <c r="B1289" s="13"/>
      <c r="C1289" t="s" s="9">
        <v>30</v>
      </c>
      <c r="D1289" t="s" s="8">
        <v>486</v>
      </c>
      <c r="E1289" t="s" s="9">
        <v>486</v>
      </c>
      <c r="F1289" s="19">
        <v>5</v>
      </c>
      <c r="G1289" s="17">
        <v>5</v>
      </c>
      <c r="H1289" s="19">
        <v>5</v>
      </c>
      <c r="I1289" s="17">
        <v>5</v>
      </c>
      <c r="J1289" t="s" s="11">
        <v>20</v>
      </c>
      <c r="K1289" s="15"/>
      <c r="L1289" t="s" s="16">
        <f>HYPERLINK("http://csr.bu.edu/ftp/asl/asllvd/demos/verify_start_end_handshape_annotations//test_auto_move//signs_mov_separ_signers/Brady_288.mov","MOV")</f>
        <v>21</v>
      </c>
      <c r="M1289" t="s" s="10">
        <v>31</v>
      </c>
      <c r="N1289" s="17">
        <v>22</v>
      </c>
      <c r="O1289" s="18">
        <v>6671</v>
      </c>
      <c r="P1289" s="18">
        <v>6718</v>
      </c>
      <c r="Q1289" s="15"/>
      <c r="R1289" t="s" s="16">
        <f>HYPERLINK("http://secrets.rutgers.edu:8080/data/asl-ftp/asllvd/demos/verify_start_end_handshape_annotations//test_auto_move//signs_mov_separ_signers/Brady_288.mov","MOV")</f>
        <v>21</v>
      </c>
    </row>
    <row r="1290" s="2" customFormat="1" ht="13.5" customHeight="1">
      <c r="B1290" t="s" s="8">
        <v>487</v>
      </c>
      <c r="C1290" t="s" s="9">
        <v>14</v>
      </c>
      <c r="D1290" t="s" s="8">
        <v>14</v>
      </c>
      <c r="E1290" t="s" s="9">
        <v>14</v>
      </c>
      <c r="F1290" t="s" s="10">
        <v>14</v>
      </c>
      <c r="G1290" t="s" s="11">
        <v>14</v>
      </c>
      <c r="H1290" t="s" s="10">
        <v>14</v>
      </c>
      <c r="I1290" t="s" s="11">
        <v>14</v>
      </c>
      <c r="J1290" t="s" s="11">
        <v>14</v>
      </c>
      <c r="K1290" t="s" s="12">
        <v>14</v>
      </c>
      <c r="L1290" t="s" s="12">
        <v>14</v>
      </c>
      <c r="M1290" t="s" s="10">
        <v>14</v>
      </c>
      <c r="N1290" t="s" s="11">
        <v>14</v>
      </c>
      <c r="O1290" t="s" s="8">
        <v>14</v>
      </c>
      <c r="P1290" t="s" s="8">
        <v>14</v>
      </c>
      <c r="Q1290" t="s" s="12">
        <v>14</v>
      </c>
      <c r="R1290" t="s" s="12">
        <v>14</v>
      </c>
    </row>
    <row r="1291" s="2" customFormat="1" ht="13.5" customHeight="1">
      <c r="B1291" s="13"/>
      <c r="C1291" t="s" s="9">
        <v>16</v>
      </c>
      <c r="D1291" t="s" s="8">
        <v>487</v>
      </c>
      <c r="E1291" t="s" s="9">
        <v>487</v>
      </c>
      <c r="F1291" t="s" s="10">
        <v>72</v>
      </c>
      <c r="G1291" t="s" s="11">
        <v>105</v>
      </c>
      <c r="H1291" t="s" s="10">
        <v>72</v>
      </c>
      <c r="I1291" t="s" s="11">
        <v>105</v>
      </c>
      <c r="J1291" t="s" s="11">
        <v>20</v>
      </c>
      <c r="K1291" s="15"/>
      <c r="L1291" t="s" s="16">
        <f>HYPERLINK("http://csr.bu.edu/ftp/asl/asllvd/demos/verify_start_end_handshape_annotations//test_auto_move//signs_mov_separ_signers/Liz_5675.mov","MOV")</f>
        <v>21</v>
      </c>
      <c r="M1291" t="s" s="10">
        <v>22</v>
      </c>
      <c r="N1291" s="17">
        <v>49</v>
      </c>
      <c r="O1291" s="18">
        <v>885</v>
      </c>
      <c r="P1291" s="18">
        <v>951</v>
      </c>
      <c r="Q1291" s="15"/>
      <c r="R1291" t="s" s="16">
        <f>HYPERLINK("http://secrets.rutgers.edu:8080/data/asl-ftp/asllvd/demos/verify_start_end_handshape_annotations//test_auto_move//signs_mov_separ_signers/Liz_5675.mov","MOV")</f>
        <v>21</v>
      </c>
    </row>
    <row r="1292" s="2" customFormat="1" ht="13.5" customHeight="1">
      <c r="B1292" s="13"/>
      <c r="C1292" t="s" s="9">
        <v>23</v>
      </c>
      <c r="D1292" t="s" s="8">
        <v>487</v>
      </c>
      <c r="E1292" t="s" s="9">
        <v>487</v>
      </c>
      <c r="F1292" t="s" s="10">
        <v>72</v>
      </c>
      <c r="G1292" t="s" s="11">
        <v>105</v>
      </c>
      <c r="H1292" t="s" s="10">
        <v>72</v>
      </c>
      <c r="I1292" t="s" s="11">
        <v>105</v>
      </c>
      <c r="J1292" t="s" s="11">
        <v>20</v>
      </c>
      <c r="K1292" t="s" s="16">
        <f>HYPERLINK("http://csr.bu.edu/ftp/asl/asllvd/demos/verify_start_end_handshape_annotations//test_auto_move//signs_mov/5675.mov","MOV")</f>
        <v>21</v>
      </c>
      <c r="L1292" t="s" s="16">
        <f>HYPERLINK("http://csr.bu.edu/ftp/asl/asllvd/demos/verify_start_end_handshape_annotations//test_auto_move//signs_mov_separ_signers/Tyler_5675.mov","MOV")</f>
        <v>21</v>
      </c>
      <c r="M1292" t="s" s="10">
        <v>26</v>
      </c>
      <c r="N1292" s="17">
        <v>30</v>
      </c>
      <c r="O1292" s="18">
        <v>2637</v>
      </c>
      <c r="P1292" s="18">
        <v>2700</v>
      </c>
      <c r="Q1292" t="s" s="16">
        <f>HYPERLINK("http://secrets.rutgers.edu:8080/data/asl-ftp/asllvd/demos/verify_start_end_handshape_annotations//test_auto_move//signs_mov/5675.mov","MOV")</f>
        <v>21</v>
      </c>
      <c r="R1292" t="s" s="16">
        <f>HYPERLINK("http://secrets.rutgers.edu:8080/data/asl-ftp/asllvd/demos/verify_start_end_handshape_annotations//test_auto_move//signs_mov_separ_signers/Tyler_5675.mov","MOV")</f>
        <v>21</v>
      </c>
    </row>
    <row r="1293" s="2" customFormat="1" ht="13.5" customHeight="1">
      <c r="B1293" s="13"/>
      <c r="C1293" t="s" s="9">
        <v>27</v>
      </c>
      <c r="D1293" t="s" s="8">
        <v>487</v>
      </c>
      <c r="E1293" t="s" s="9">
        <v>487</v>
      </c>
      <c r="F1293" t="s" s="10">
        <v>72</v>
      </c>
      <c r="G1293" t="s" s="11">
        <v>105</v>
      </c>
      <c r="H1293" t="s" s="10">
        <v>72</v>
      </c>
      <c r="I1293" t="s" s="11">
        <v>105</v>
      </c>
      <c r="J1293" t="s" s="11">
        <v>20</v>
      </c>
      <c r="K1293" s="15"/>
      <c r="L1293" t="s" s="16">
        <f>HYPERLINK("http://csr.bu.edu/ftp/asl/asllvd/demos/verify_start_end_handshape_annotations//test_auto_move//signs_mov_separ_signers/Naomi_5675.mov","MOV")</f>
        <v>21</v>
      </c>
      <c r="M1293" t="s" s="10">
        <v>29</v>
      </c>
      <c r="N1293" s="17">
        <v>31</v>
      </c>
      <c r="O1293" s="18">
        <v>3415</v>
      </c>
      <c r="P1293" s="18">
        <v>3482</v>
      </c>
      <c r="Q1293" s="15"/>
      <c r="R1293" t="s" s="16">
        <f>HYPERLINK("http://secrets.rutgers.edu:8080/data/asl-ftp/asllvd/demos/verify_start_end_handshape_annotations//test_auto_move//signs_mov_separ_signers/Naomi_5675.mov","MOV")</f>
        <v>21</v>
      </c>
    </row>
    <row r="1294" s="2" customFormat="1" ht="13.5" customHeight="1">
      <c r="B1294" s="13"/>
      <c r="C1294" t="s" s="9">
        <v>30</v>
      </c>
      <c r="D1294" t="s" s="8">
        <v>487</v>
      </c>
      <c r="E1294" t="s" s="9">
        <v>487</v>
      </c>
      <c r="F1294" t="s" s="10">
        <v>72</v>
      </c>
      <c r="G1294" t="s" s="11">
        <v>105</v>
      </c>
      <c r="H1294" t="s" s="10">
        <v>72</v>
      </c>
      <c r="I1294" t="s" s="11">
        <v>105</v>
      </c>
      <c r="J1294" t="s" s="11">
        <v>20</v>
      </c>
      <c r="K1294" s="15"/>
      <c r="L1294" t="s" s="16">
        <f>HYPERLINK("http://csr.bu.edu/ftp/asl/asllvd/demos/verify_start_end_handshape_annotations//test_auto_move//signs_mov_separ_signers/Brady_5675.mov","MOV")</f>
        <v>21</v>
      </c>
      <c r="M1294" t="s" s="10">
        <v>31</v>
      </c>
      <c r="N1294" s="17">
        <v>22</v>
      </c>
      <c r="O1294" s="18">
        <v>7813</v>
      </c>
      <c r="P1294" s="18">
        <v>7875</v>
      </c>
      <c r="Q1294" s="15"/>
      <c r="R1294" t="s" s="16">
        <f>HYPERLINK("http://secrets.rutgers.edu:8080/data/asl-ftp/asllvd/demos/verify_start_end_handshape_annotations//test_auto_move//signs_mov_separ_signers/Brady_5675.mov","MOV")</f>
        <v>21</v>
      </c>
    </row>
    <row r="1295" s="2" customFormat="1" ht="13.5" customHeight="1">
      <c r="B1295" t="s" s="8">
        <v>488</v>
      </c>
      <c r="C1295" t="s" s="9">
        <v>14</v>
      </c>
      <c r="D1295" t="s" s="8">
        <v>14</v>
      </c>
      <c r="E1295" t="s" s="9">
        <v>14</v>
      </c>
      <c r="F1295" t="s" s="10">
        <v>14</v>
      </c>
      <c r="G1295" t="s" s="11">
        <v>14</v>
      </c>
      <c r="H1295" t="s" s="10">
        <v>14</v>
      </c>
      <c r="I1295" t="s" s="11">
        <v>14</v>
      </c>
      <c r="J1295" t="s" s="11">
        <v>14</v>
      </c>
      <c r="K1295" t="s" s="12">
        <v>14</v>
      </c>
      <c r="L1295" t="s" s="12">
        <v>14</v>
      </c>
      <c r="M1295" t="s" s="10">
        <v>14</v>
      </c>
      <c r="N1295" t="s" s="11">
        <v>14</v>
      </c>
      <c r="O1295" t="s" s="8">
        <v>14</v>
      </c>
      <c r="P1295" t="s" s="8">
        <v>14</v>
      </c>
      <c r="Q1295" t="s" s="12">
        <v>14</v>
      </c>
      <c r="R1295" t="s" s="12">
        <v>14</v>
      </c>
    </row>
    <row r="1296" s="2" customFormat="1" ht="13.5" customHeight="1">
      <c r="B1296" s="13"/>
      <c r="C1296" t="s" s="9">
        <v>16</v>
      </c>
      <c r="D1296" t="s" s="8">
        <v>488</v>
      </c>
      <c r="E1296" t="s" s="9">
        <v>488</v>
      </c>
      <c r="F1296" t="s" s="10">
        <v>489</v>
      </c>
      <c r="G1296" s="14"/>
      <c r="H1296" t="s" s="10">
        <v>489</v>
      </c>
      <c r="I1296" s="14"/>
      <c r="J1296" t="s" s="11">
        <v>20</v>
      </c>
      <c r="K1296" t="s" s="16">
        <f>HYPERLINK("http://csr.bu.edu/ftp/asl/asllvd/demos/verify_start_end_handshape_annotations//test_auto_move//signs_mov/290.mov","MOV")</f>
        <v>21</v>
      </c>
      <c r="L1296" t="s" s="16">
        <f>HYPERLINK("http://csr.bu.edu/ftp/asl/asllvd/demos/verify_start_end_handshape_annotations//test_auto_move//signs_mov_separ_signers/Liz_290.mov","MOV")</f>
        <v>21</v>
      </c>
      <c r="M1296" t="s" s="10">
        <v>22</v>
      </c>
      <c r="N1296" s="17">
        <v>49</v>
      </c>
      <c r="O1296" s="18">
        <v>1136</v>
      </c>
      <c r="P1296" s="18">
        <v>1180</v>
      </c>
      <c r="Q1296" t="s" s="16">
        <f>HYPERLINK("http://secrets.rutgers.edu:8080/data/asl-ftp/asllvd/demos/verify_start_end_handshape_annotations//test_auto_move//signs_mov/290.mov","MOV")</f>
        <v>21</v>
      </c>
      <c r="R1296" t="s" s="16">
        <f>HYPERLINK("http://secrets.rutgers.edu:8080/data/asl-ftp/asllvd/demos/verify_start_end_handshape_annotations//test_auto_move//signs_mov_separ_signers/Liz_290.mov","MOV")</f>
        <v>21</v>
      </c>
    </row>
    <row r="1297" s="2" customFormat="1" ht="13.5" customHeight="1">
      <c r="B1297" s="13"/>
      <c r="C1297" t="s" s="9">
        <v>30</v>
      </c>
      <c r="D1297" t="s" s="8">
        <v>488</v>
      </c>
      <c r="E1297" t="s" s="9">
        <v>488</v>
      </c>
      <c r="F1297" t="s" s="10">
        <v>489</v>
      </c>
      <c r="G1297" s="14"/>
      <c r="H1297" t="s" s="10">
        <v>489</v>
      </c>
      <c r="I1297" s="14"/>
      <c r="J1297" t="s" s="11">
        <v>20</v>
      </c>
      <c r="K1297" s="15"/>
      <c r="L1297" t="s" s="16">
        <f>HYPERLINK("http://csr.bu.edu/ftp/asl/asllvd/demos/verify_start_end_handshape_annotations//test_auto_move//signs_mov_separ_signers/Brady_290.mov","MOV")</f>
        <v>21</v>
      </c>
      <c r="M1297" t="s" s="10">
        <v>31</v>
      </c>
      <c r="N1297" s="17">
        <v>22</v>
      </c>
      <c r="O1297" s="18">
        <v>11493</v>
      </c>
      <c r="P1297" s="18">
        <v>11513</v>
      </c>
      <c r="Q1297" s="15"/>
      <c r="R1297" t="s" s="16">
        <f>HYPERLINK("http://secrets.rutgers.edu:8080/data/asl-ftp/asllvd/demos/verify_start_end_handshape_annotations//test_auto_move//signs_mov_separ_signers/Brady_290.mov","MOV")</f>
        <v>21</v>
      </c>
    </row>
    <row r="1298" s="2" customFormat="1" ht="13.5" customHeight="1">
      <c r="B1298" t="s" s="8">
        <v>490</v>
      </c>
      <c r="C1298" t="s" s="9">
        <v>14</v>
      </c>
      <c r="D1298" t="s" s="8">
        <v>14</v>
      </c>
      <c r="E1298" t="s" s="9">
        <v>14</v>
      </c>
      <c r="F1298" t="s" s="10">
        <v>14</v>
      </c>
      <c r="G1298" t="s" s="11">
        <v>14</v>
      </c>
      <c r="H1298" t="s" s="10">
        <v>14</v>
      </c>
      <c r="I1298" t="s" s="11">
        <v>14</v>
      </c>
      <c r="J1298" t="s" s="11">
        <v>14</v>
      </c>
      <c r="K1298" t="s" s="12">
        <v>14</v>
      </c>
      <c r="L1298" t="s" s="12">
        <v>14</v>
      </c>
      <c r="M1298" t="s" s="10">
        <v>14</v>
      </c>
      <c r="N1298" t="s" s="11">
        <v>14</v>
      </c>
      <c r="O1298" t="s" s="8">
        <v>14</v>
      </c>
      <c r="P1298" t="s" s="8">
        <v>14</v>
      </c>
      <c r="Q1298" t="s" s="12">
        <v>14</v>
      </c>
      <c r="R1298" t="s" s="12">
        <v>14</v>
      </c>
    </row>
    <row r="1299" s="2" customFormat="1" ht="13.5" customHeight="1">
      <c r="B1299" s="13"/>
      <c r="C1299" t="s" s="9">
        <v>16</v>
      </c>
      <c r="D1299" t="s" s="8">
        <v>490</v>
      </c>
      <c r="E1299" t="s" s="9">
        <v>490</v>
      </c>
      <c r="F1299" t="s" s="10">
        <v>68</v>
      </c>
      <c r="G1299" t="s" s="11">
        <v>68</v>
      </c>
      <c r="H1299" s="19">
        <v>5</v>
      </c>
      <c r="I1299" s="17">
        <v>5</v>
      </c>
      <c r="J1299" t="s" s="11">
        <v>20</v>
      </c>
      <c r="K1299" s="15"/>
      <c r="L1299" t="s" s="16">
        <f>HYPERLINK("http://csr.bu.edu/ftp/asl/asllvd/demos/verify_start_end_handshape_annotations//test_auto_move//signs_mov_separ_signers/Liz_291.mov","MOV")</f>
        <v>21</v>
      </c>
      <c r="M1299" t="s" s="10">
        <v>22</v>
      </c>
      <c r="N1299" s="17">
        <v>49</v>
      </c>
      <c r="O1299" s="18">
        <v>1356</v>
      </c>
      <c r="P1299" s="18">
        <v>1391</v>
      </c>
      <c r="Q1299" s="15"/>
      <c r="R1299" t="s" s="16">
        <f>HYPERLINK("http://secrets.rutgers.edu:8080/data/asl-ftp/asllvd/demos/verify_start_end_handshape_annotations//test_auto_move//signs_mov_separ_signers/Liz_291.mov","MOV")</f>
        <v>21</v>
      </c>
    </row>
    <row r="1300" s="2" customFormat="1" ht="13.5" customHeight="1">
      <c r="B1300" s="13"/>
      <c r="C1300" t="s" s="9">
        <v>23</v>
      </c>
      <c r="D1300" t="s" s="8">
        <v>490</v>
      </c>
      <c r="E1300" t="s" s="9">
        <v>490</v>
      </c>
      <c r="F1300" t="s" s="10">
        <v>68</v>
      </c>
      <c r="G1300" t="s" s="11">
        <v>68</v>
      </c>
      <c r="H1300" s="19">
        <v>5</v>
      </c>
      <c r="I1300" s="17">
        <v>5</v>
      </c>
      <c r="J1300" t="s" s="11">
        <v>20</v>
      </c>
      <c r="K1300" t="s" s="16">
        <f>HYPERLINK("http://csr.bu.edu/ftp/asl/asllvd/demos/verify_start_end_handshape_annotations//test_auto_move//signs_mov/291.mov","MOV")</f>
        <v>21</v>
      </c>
      <c r="L1300" t="s" s="16">
        <f>HYPERLINK("http://csr.bu.edu/ftp/asl/asllvd/demos/verify_start_end_handshape_annotations//test_auto_move//signs_mov_separ_signers/Tyler_291.mov","MOV")</f>
        <v>21</v>
      </c>
      <c r="M1300" t="s" s="10">
        <v>26</v>
      </c>
      <c r="N1300" s="17">
        <v>31</v>
      </c>
      <c r="O1300" s="18">
        <v>290</v>
      </c>
      <c r="P1300" s="18">
        <v>307</v>
      </c>
      <c r="Q1300" t="s" s="16">
        <f>HYPERLINK("http://secrets.rutgers.edu:8080/data/asl-ftp/asllvd/demos/verify_start_end_handshape_annotations//test_auto_move//signs_mov/291.mov","MOV")</f>
        <v>21</v>
      </c>
      <c r="R1300" t="s" s="16">
        <f>HYPERLINK("http://secrets.rutgers.edu:8080/data/asl-ftp/asllvd/demos/verify_start_end_handshape_annotations//test_auto_move//signs_mov_separ_signers/Tyler_291.mov","MOV")</f>
        <v>21</v>
      </c>
    </row>
    <row r="1301" s="2" customFormat="1" ht="13.5" customHeight="1">
      <c r="B1301" s="13"/>
      <c r="C1301" t="s" s="9">
        <v>27</v>
      </c>
      <c r="D1301" t="s" s="8">
        <v>490</v>
      </c>
      <c r="E1301" t="s" s="9">
        <v>490</v>
      </c>
      <c r="F1301" t="s" s="10">
        <v>68</v>
      </c>
      <c r="G1301" t="s" s="11">
        <v>68</v>
      </c>
      <c r="H1301" t="s" s="10">
        <v>72</v>
      </c>
      <c r="I1301" t="s" s="11">
        <v>72</v>
      </c>
      <c r="J1301" t="s" s="11">
        <v>20</v>
      </c>
      <c r="K1301" s="15"/>
      <c r="L1301" t="s" s="16">
        <f>HYPERLINK("http://csr.bu.edu/ftp/asl/asllvd/demos/verify_start_end_handshape_annotations//test_auto_move//signs_mov_separ_signers/Naomi_291.mov","MOV")</f>
        <v>21</v>
      </c>
      <c r="M1301" t="s" s="10">
        <v>29</v>
      </c>
      <c r="N1301" s="17">
        <v>32</v>
      </c>
      <c r="O1301" s="18">
        <v>837</v>
      </c>
      <c r="P1301" s="18">
        <v>855</v>
      </c>
      <c r="Q1301" s="15"/>
      <c r="R1301" t="s" s="16">
        <f>HYPERLINK("http://secrets.rutgers.edu:8080/data/asl-ftp/asllvd/demos/verify_start_end_handshape_annotations//test_auto_move//signs_mov_separ_signers/Naomi_291.mov","MOV")</f>
        <v>21</v>
      </c>
    </row>
    <row r="1302" s="2" customFormat="1" ht="13.5" customHeight="1">
      <c r="B1302" s="13"/>
      <c r="C1302" t="s" s="9">
        <v>30</v>
      </c>
      <c r="D1302" t="s" s="8">
        <v>490</v>
      </c>
      <c r="E1302" t="s" s="9">
        <v>490</v>
      </c>
      <c r="F1302" t="s" s="10">
        <v>68</v>
      </c>
      <c r="G1302" t="s" s="11">
        <v>68</v>
      </c>
      <c r="H1302" s="19">
        <v>5</v>
      </c>
      <c r="I1302" s="17">
        <v>5</v>
      </c>
      <c r="J1302" t="s" s="11">
        <v>20</v>
      </c>
      <c r="K1302" s="15"/>
      <c r="L1302" t="s" s="16">
        <f>HYPERLINK("http://csr.bu.edu/ftp/asl/asllvd/demos/verify_start_end_handshape_annotations//test_auto_move//signs_mov_separ_signers/Brady_291.mov","MOV")</f>
        <v>21</v>
      </c>
      <c r="M1302" t="s" s="10">
        <v>31</v>
      </c>
      <c r="N1302" s="17">
        <v>22</v>
      </c>
      <c r="O1302" s="18">
        <v>11991</v>
      </c>
      <c r="P1302" s="18">
        <v>12007</v>
      </c>
      <c r="Q1302" s="15"/>
      <c r="R1302" t="s" s="16">
        <f>HYPERLINK("http://secrets.rutgers.edu:8080/data/asl-ftp/asllvd/demos/verify_start_end_handshape_annotations//test_auto_move//signs_mov_separ_signers/Brady_291.mov","MOV")</f>
        <v>21</v>
      </c>
    </row>
    <row r="1303" s="2" customFormat="1" ht="13.5" customHeight="1">
      <c r="B1303" t="s" s="8">
        <v>490</v>
      </c>
      <c r="C1303" t="s" s="9">
        <v>14</v>
      </c>
      <c r="D1303" t="s" s="8">
        <v>14</v>
      </c>
      <c r="E1303" t="s" s="9">
        <v>14</v>
      </c>
      <c r="F1303" t="s" s="10">
        <v>14</v>
      </c>
      <c r="G1303" t="s" s="11">
        <v>14</v>
      </c>
      <c r="H1303" t="s" s="10">
        <v>14</v>
      </c>
      <c r="I1303" t="s" s="11">
        <v>14</v>
      </c>
      <c r="J1303" t="s" s="11">
        <v>14</v>
      </c>
      <c r="K1303" t="s" s="12">
        <v>14</v>
      </c>
      <c r="L1303" t="s" s="12">
        <v>14</v>
      </c>
      <c r="M1303" t="s" s="10">
        <v>14</v>
      </c>
      <c r="N1303" t="s" s="11">
        <v>14</v>
      </c>
      <c r="O1303" t="s" s="8">
        <v>14</v>
      </c>
      <c r="P1303" t="s" s="8">
        <v>14</v>
      </c>
      <c r="Q1303" t="s" s="12">
        <v>14</v>
      </c>
      <c r="R1303" t="s" s="12">
        <v>14</v>
      </c>
    </row>
    <row r="1304" s="2" customFormat="1" ht="13.5" customHeight="1">
      <c r="B1304" s="13"/>
      <c r="C1304" t="s" s="9">
        <v>16</v>
      </c>
      <c r="D1304" t="s" s="8">
        <v>491</v>
      </c>
      <c r="E1304" t="s" s="9">
        <v>491</v>
      </c>
      <c r="F1304" t="s" s="10">
        <v>68</v>
      </c>
      <c r="G1304" t="s" s="11">
        <v>68</v>
      </c>
      <c r="H1304" t="s" s="10">
        <v>68</v>
      </c>
      <c r="I1304" t="s" s="11">
        <v>68</v>
      </c>
      <c r="J1304" t="s" s="11">
        <v>20</v>
      </c>
      <c r="K1304" t="s" s="16">
        <f>HYPERLINK("http://csr.bu.edu/ftp/asl/asllvd/demos/verify_start_end_handshape_annotations//test_auto_move//signs_mov/3581.mov","MOV")</f>
        <v>21</v>
      </c>
      <c r="L1304" t="s" s="16">
        <f>HYPERLINK("http://csr.bu.edu/ftp/asl/asllvd/demos/verify_start_end_handshape_annotations//test_auto_move//signs_mov_separ_signers/Liz_3581.mov","MOV")</f>
        <v>21</v>
      </c>
      <c r="M1304" t="s" s="10">
        <v>22</v>
      </c>
      <c r="N1304" s="17">
        <v>50</v>
      </c>
      <c r="O1304" s="18">
        <v>261</v>
      </c>
      <c r="P1304" s="18">
        <v>290</v>
      </c>
      <c r="Q1304" t="s" s="16">
        <f>HYPERLINK("http://secrets.rutgers.edu:8080/data/asl-ftp/asllvd/demos/verify_start_end_handshape_annotations//test_auto_move//signs_mov/3581.mov","MOV")</f>
        <v>21</v>
      </c>
      <c r="R1304" t="s" s="16">
        <f>HYPERLINK("http://secrets.rutgers.edu:8080/data/asl-ftp/asllvd/demos/verify_start_end_handshape_annotations//test_auto_move//signs_mov_separ_signers/Liz_3581.mov","MOV")</f>
        <v>21</v>
      </c>
    </row>
    <row r="1305" s="2" customFormat="1" ht="13.5" customHeight="1">
      <c r="B1305" s="13"/>
      <c r="C1305" t="s" s="9">
        <v>27</v>
      </c>
      <c r="D1305" t="s" s="8">
        <v>491</v>
      </c>
      <c r="E1305" t="s" s="9">
        <v>491</v>
      </c>
      <c r="F1305" t="s" s="10">
        <v>68</v>
      </c>
      <c r="G1305" t="s" s="11">
        <v>68</v>
      </c>
      <c r="H1305" t="s" s="10">
        <v>68</v>
      </c>
      <c r="I1305" t="s" s="11">
        <v>68</v>
      </c>
      <c r="J1305" t="s" s="11">
        <v>20</v>
      </c>
      <c r="K1305" s="15"/>
      <c r="L1305" t="s" s="16">
        <f>HYPERLINK("http://csr.bu.edu/ftp/asl/asllvd/demos/verify_start_end_handshape_annotations//test_auto_move//signs_mov_separ_signers/Naomi_3581.mov","MOV")</f>
        <v>21</v>
      </c>
      <c r="M1305" t="s" s="10">
        <v>29</v>
      </c>
      <c r="N1305" s="17">
        <v>32</v>
      </c>
      <c r="O1305" s="18">
        <v>1148</v>
      </c>
      <c r="P1305" s="18">
        <v>1177</v>
      </c>
      <c r="Q1305" s="15"/>
      <c r="R1305" t="s" s="16">
        <f>HYPERLINK("http://secrets.rutgers.edu:8080/data/asl-ftp/asllvd/demos/verify_start_end_handshape_annotations//test_auto_move//signs_mov_separ_signers/Naomi_3581.mov","MOV")</f>
        <v>21</v>
      </c>
    </row>
    <row r="1306" s="2" customFormat="1" ht="13.5" customHeight="1">
      <c r="B1306" t="s" s="8">
        <v>52</v>
      </c>
      <c r="C1306" t="s" s="9">
        <v>53</v>
      </c>
      <c r="D1306" t="s" s="8">
        <v>53</v>
      </c>
      <c r="E1306" t="s" s="9">
        <v>53</v>
      </c>
      <c r="F1306" t="s" s="10">
        <v>53</v>
      </c>
      <c r="G1306" t="s" s="11">
        <v>53</v>
      </c>
      <c r="H1306" t="s" s="10">
        <v>53</v>
      </c>
      <c r="I1306" t="s" s="11">
        <v>53</v>
      </c>
      <c r="J1306" t="s" s="11">
        <v>53</v>
      </c>
      <c r="K1306" t="s" s="12">
        <v>53</v>
      </c>
      <c r="L1306" t="s" s="12">
        <v>53</v>
      </c>
      <c r="M1306" t="s" s="10">
        <v>53</v>
      </c>
      <c r="N1306" t="s" s="11">
        <v>53</v>
      </c>
      <c r="O1306" t="s" s="8">
        <v>53</v>
      </c>
      <c r="P1306" t="s" s="8">
        <v>53</v>
      </c>
      <c r="Q1306" t="s" s="12">
        <v>53</v>
      </c>
      <c r="R1306" t="s" s="12">
        <v>53</v>
      </c>
    </row>
    <row r="1307" s="2" customFormat="1" ht="13.5" customHeight="1">
      <c r="B1307" s="13"/>
      <c r="C1307" t="s" s="9">
        <v>30</v>
      </c>
      <c r="D1307" t="s" s="8">
        <v>491</v>
      </c>
      <c r="E1307" t="s" s="9">
        <v>492</v>
      </c>
      <c r="F1307" t="s" s="10">
        <v>68</v>
      </c>
      <c r="G1307" t="s" s="11">
        <v>68</v>
      </c>
      <c r="H1307" t="s" s="10">
        <v>68</v>
      </c>
      <c r="I1307" t="s" s="11">
        <v>68</v>
      </c>
      <c r="J1307" t="s" s="11">
        <v>20</v>
      </c>
      <c r="K1307" t="s" s="16">
        <f>HYPERLINK("http://csr.bu.edu/ftp/asl/asllvd/demos/verify_start_end_handshape_annotations//test_auto_move//signs_mov/16245.mov","MOV")</f>
        <v>21</v>
      </c>
      <c r="L1307" t="s" s="16">
        <f>HYPERLINK("http://csr.bu.edu/ftp/asl/asllvd/demos/verify_start_end_handshape_annotations//test_auto_move//signs_mov_separ_signers/Brady_16245.mov","MOV")</f>
        <v>21</v>
      </c>
      <c r="M1307" t="s" s="10">
        <v>31</v>
      </c>
      <c r="N1307" s="17">
        <v>22</v>
      </c>
      <c r="O1307" s="18">
        <v>12576</v>
      </c>
      <c r="P1307" s="18">
        <v>12607</v>
      </c>
      <c r="Q1307" t="s" s="16">
        <f>HYPERLINK("http://secrets.rutgers.edu:8080/data/asl-ftp/asllvd/demos/verify_start_end_handshape_annotations//test_auto_move//signs_mov/16245.mov","MOV")</f>
        <v>21</v>
      </c>
      <c r="R1307" t="s" s="16">
        <f>HYPERLINK("http://secrets.rutgers.edu:8080/data/asl-ftp/asllvd/demos/verify_start_end_handshape_annotations//test_auto_move//signs_mov_separ_signers/Brady_16245.mov","MOV")</f>
        <v>21</v>
      </c>
    </row>
    <row r="1308" s="2" customFormat="1" ht="13.5" customHeight="1">
      <c r="B1308" t="s" s="8">
        <v>493</v>
      </c>
      <c r="C1308" t="s" s="9">
        <v>14</v>
      </c>
      <c r="D1308" t="s" s="8">
        <v>14</v>
      </c>
      <c r="E1308" t="s" s="9">
        <v>14</v>
      </c>
      <c r="F1308" t="s" s="10">
        <v>14</v>
      </c>
      <c r="G1308" t="s" s="11">
        <v>14</v>
      </c>
      <c r="H1308" t="s" s="10">
        <v>14</v>
      </c>
      <c r="I1308" t="s" s="11">
        <v>14</v>
      </c>
      <c r="J1308" t="s" s="11">
        <v>14</v>
      </c>
      <c r="K1308" t="s" s="12">
        <v>14</v>
      </c>
      <c r="L1308" t="s" s="12">
        <v>14</v>
      </c>
      <c r="M1308" t="s" s="10">
        <v>14</v>
      </c>
      <c r="N1308" t="s" s="11">
        <v>14</v>
      </c>
      <c r="O1308" t="s" s="8">
        <v>14</v>
      </c>
      <c r="P1308" t="s" s="8">
        <v>14</v>
      </c>
      <c r="Q1308" t="s" s="12">
        <v>14</v>
      </c>
      <c r="R1308" t="s" s="12">
        <v>14</v>
      </c>
    </row>
    <row r="1309" s="2" customFormat="1" ht="13.5" customHeight="1">
      <c r="B1309" s="13"/>
      <c r="C1309" t="s" s="9">
        <v>16</v>
      </c>
      <c r="D1309" t="s" s="8">
        <v>493</v>
      </c>
      <c r="E1309" t="s" s="9">
        <v>493</v>
      </c>
      <c r="F1309" t="s" s="10">
        <v>282</v>
      </c>
      <c r="G1309" t="s" s="11">
        <v>282</v>
      </c>
      <c r="H1309" t="s" s="10">
        <v>282</v>
      </c>
      <c r="I1309" t="s" s="11">
        <v>282</v>
      </c>
      <c r="J1309" t="s" s="11">
        <v>20</v>
      </c>
      <c r="K1309" t="s" s="16">
        <f>HYPERLINK("http://csr.bu.edu/ftp/asl/asllvd/demos/verify_start_end_handshape_annotations//test_auto_move//signs_mov/293.mov","MOV")</f>
        <v>21</v>
      </c>
      <c r="L1309" t="s" s="16">
        <f>HYPERLINK("http://csr.bu.edu/ftp/asl/asllvd/demos/verify_start_end_handshape_annotations//test_auto_move//signs_mov_separ_signers/Liz_293.mov","MOV")</f>
        <v>21</v>
      </c>
      <c r="M1309" t="s" s="10">
        <v>22</v>
      </c>
      <c r="N1309" s="17">
        <v>50</v>
      </c>
      <c r="O1309" s="18">
        <v>461</v>
      </c>
      <c r="P1309" s="18">
        <v>510</v>
      </c>
      <c r="Q1309" t="s" s="16">
        <f>HYPERLINK("http://secrets.rutgers.edu:8080/data/asl-ftp/asllvd/demos/verify_start_end_handshape_annotations//test_auto_move//signs_mov/293.mov","MOV")</f>
        <v>21</v>
      </c>
      <c r="R1309" t="s" s="16">
        <f>HYPERLINK("http://secrets.rutgers.edu:8080/data/asl-ftp/asllvd/demos/verify_start_end_handshape_annotations//test_auto_move//signs_mov_separ_signers/Liz_293.mov","MOV")</f>
        <v>21</v>
      </c>
    </row>
    <row r="1310" s="2" customFormat="1" ht="13.5" customHeight="1">
      <c r="B1310" s="13"/>
      <c r="C1310" t="s" s="9">
        <v>30</v>
      </c>
      <c r="D1310" t="s" s="8">
        <v>493</v>
      </c>
      <c r="E1310" t="s" s="9">
        <v>493</v>
      </c>
      <c r="F1310" t="s" s="10">
        <v>282</v>
      </c>
      <c r="G1310" t="s" s="11">
        <v>282</v>
      </c>
      <c r="H1310" t="s" s="10">
        <v>282</v>
      </c>
      <c r="I1310" t="s" s="11">
        <v>282</v>
      </c>
      <c r="J1310" t="s" s="11">
        <v>20</v>
      </c>
      <c r="K1310" s="15"/>
      <c r="L1310" t="s" s="16">
        <f>HYPERLINK("http://csr.bu.edu/ftp/asl/asllvd/demos/verify_start_end_handshape_annotations//test_auto_move//signs_mov_separ_signers/Brady_293.mov","MOV")</f>
        <v>21</v>
      </c>
      <c r="M1310" t="s" s="10">
        <v>31</v>
      </c>
      <c r="N1310" s="17">
        <v>22</v>
      </c>
      <c r="O1310" s="18">
        <v>12814</v>
      </c>
      <c r="P1310" s="18">
        <v>12842</v>
      </c>
      <c r="Q1310" s="15"/>
      <c r="R1310" t="s" s="16">
        <f>HYPERLINK("http://secrets.rutgers.edu:8080/data/asl-ftp/asllvd/demos/verify_start_end_handshape_annotations//test_auto_move//signs_mov_separ_signers/Brady_293.mov","MOV")</f>
        <v>21</v>
      </c>
    </row>
    <row r="1311" s="2" customFormat="1" ht="13.5" customHeight="1">
      <c r="B1311" t="s" s="8">
        <v>494</v>
      </c>
      <c r="C1311" t="s" s="9">
        <v>14</v>
      </c>
      <c r="D1311" t="s" s="8">
        <v>14</v>
      </c>
      <c r="E1311" t="s" s="9">
        <v>14</v>
      </c>
      <c r="F1311" t="s" s="10">
        <v>14</v>
      </c>
      <c r="G1311" t="s" s="11">
        <v>14</v>
      </c>
      <c r="H1311" t="s" s="10">
        <v>14</v>
      </c>
      <c r="I1311" t="s" s="11">
        <v>14</v>
      </c>
      <c r="J1311" t="s" s="11">
        <v>14</v>
      </c>
      <c r="K1311" t="s" s="12">
        <v>14</v>
      </c>
      <c r="L1311" t="s" s="12">
        <v>14</v>
      </c>
      <c r="M1311" t="s" s="10">
        <v>14</v>
      </c>
      <c r="N1311" t="s" s="11">
        <v>14</v>
      </c>
      <c r="O1311" t="s" s="8">
        <v>14</v>
      </c>
      <c r="P1311" t="s" s="8">
        <v>14</v>
      </c>
      <c r="Q1311" t="s" s="12">
        <v>14</v>
      </c>
      <c r="R1311" t="s" s="12">
        <v>14</v>
      </c>
    </row>
    <row r="1312" s="2" customFormat="1" ht="13.5" customHeight="1">
      <c r="B1312" s="13"/>
      <c r="C1312" t="s" s="9">
        <v>16</v>
      </c>
      <c r="D1312" t="s" s="8">
        <v>494</v>
      </c>
      <c r="E1312" t="s" s="9">
        <v>494</v>
      </c>
      <c r="F1312" s="19">
        <v>1</v>
      </c>
      <c r="G1312" s="14"/>
      <c r="H1312" s="19">
        <v>1</v>
      </c>
      <c r="I1312" s="14"/>
      <c r="J1312" t="s" s="11">
        <v>20</v>
      </c>
      <c r="K1312" s="15"/>
      <c r="L1312" t="s" s="16">
        <f>HYPERLINK("http://csr.bu.edu/ftp/asl/asllvd/demos/verify_start_end_handshape_annotations//test_auto_move//signs_mov_separ_signers/Liz_295.mov","MOV")</f>
        <v>21</v>
      </c>
      <c r="M1312" t="s" s="10">
        <v>22</v>
      </c>
      <c r="N1312" s="17">
        <v>50</v>
      </c>
      <c r="O1312" s="18">
        <v>1435</v>
      </c>
      <c r="P1312" s="18">
        <v>1445</v>
      </c>
      <c r="Q1312" s="15"/>
      <c r="R1312" t="s" s="16">
        <f>HYPERLINK("http://secrets.rutgers.edu:8080/data/asl-ftp/asllvd/demos/verify_start_end_handshape_annotations//test_auto_move//signs_mov_separ_signers/Liz_295.mov","MOV")</f>
        <v>21</v>
      </c>
    </row>
    <row r="1313" s="2" customFormat="1" ht="13.5" customHeight="1">
      <c r="B1313" s="13"/>
      <c r="C1313" t="s" s="9">
        <v>23</v>
      </c>
      <c r="D1313" t="s" s="8">
        <v>494</v>
      </c>
      <c r="E1313" t="s" s="9">
        <v>494</v>
      </c>
      <c r="F1313" s="19">
        <v>1</v>
      </c>
      <c r="G1313" s="14"/>
      <c r="H1313" s="19">
        <v>1</v>
      </c>
      <c r="I1313" s="14"/>
      <c r="J1313" t="s" s="11">
        <v>20</v>
      </c>
      <c r="K1313" s="15"/>
      <c r="L1313" t="s" s="16">
        <f>HYPERLINK("http://csr.bu.edu/ftp/asl/asllvd/demos/verify_start_end_handshape_annotations//test_auto_move//signs_mov_separ_signers/Tyler_295.mov","MOV")</f>
        <v>21</v>
      </c>
      <c r="M1313" t="s" s="10">
        <v>26</v>
      </c>
      <c r="N1313" s="17">
        <v>31</v>
      </c>
      <c r="O1313" s="18">
        <v>1977</v>
      </c>
      <c r="P1313" s="18">
        <v>2005</v>
      </c>
      <c r="Q1313" s="15"/>
      <c r="R1313" t="s" s="16">
        <f>HYPERLINK("http://secrets.rutgers.edu:8080/data/asl-ftp/asllvd/demos/verify_start_end_handshape_annotations//test_auto_move//signs_mov_separ_signers/Tyler_295.mov","MOV")</f>
        <v>21</v>
      </c>
    </row>
    <row r="1314" s="2" customFormat="1" ht="13.5" customHeight="1">
      <c r="B1314" s="13"/>
      <c r="C1314" t="s" s="9">
        <v>27</v>
      </c>
      <c r="D1314" t="s" s="8">
        <v>494</v>
      </c>
      <c r="E1314" t="s" s="9">
        <v>494</v>
      </c>
      <c r="F1314" s="19">
        <v>1</v>
      </c>
      <c r="G1314" s="14"/>
      <c r="H1314" s="19">
        <v>1</v>
      </c>
      <c r="I1314" s="14"/>
      <c r="J1314" t="s" s="11">
        <v>20</v>
      </c>
      <c r="K1314" t="s" s="16">
        <f>HYPERLINK("http://csr.bu.edu/ftp/asl/asllvd/demos/verify_start_end_handshape_annotations//test_auto_move//signs_mov/295.mov","MOV")</f>
        <v>21</v>
      </c>
      <c r="L1314" t="s" s="16">
        <f>HYPERLINK("http://csr.bu.edu/ftp/asl/asllvd/demos/verify_start_end_handshape_annotations//test_auto_move//signs_mov_separ_signers/Naomi_295.mov","MOV")</f>
        <v>21</v>
      </c>
      <c r="M1314" t="s" s="10">
        <v>29</v>
      </c>
      <c r="N1314" s="17">
        <v>32</v>
      </c>
      <c r="O1314" s="18">
        <v>2695</v>
      </c>
      <c r="P1314" s="18">
        <v>2725</v>
      </c>
      <c r="Q1314" t="s" s="16">
        <f>HYPERLINK("http://secrets.rutgers.edu:8080/data/asl-ftp/asllvd/demos/verify_start_end_handshape_annotations//test_auto_move//signs_mov/295.mov","MOV")</f>
        <v>21</v>
      </c>
      <c r="R1314" t="s" s="16">
        <f>HYPERLINK("http://secrets.rutgers.edu:8080/data/asl-ftp/asllvd/demos/verify_start_end_handshape_annotations//test_auto_move//signs_mov_separ_signers/Naomi_295.mov","MOV")</f>
        <v>21</v>
      </c>
    </row>
    <row r="1315" s="2" customFormat="1" ht="13.5" customHeight="1">
      <c r="B1315" s="13"/>
      <c r="C1315" t="s" s="9">
        <v>30</v>
      </c>
      <c r="D1315" t="s" s="8">
        <v>494</v>
      </c>
      <c r="E1315" t="s" s="9">
        <v>494</v>
      </c>
      <c r="F1315" s="19">
        <v>1</v>
      </c>
      <c r="G1315" s="14"/>
      <c r="H1315" s="19">
        <v>1</v>
      </c>
      <c r="I1315" s="14"/>
      <c r="J1315" t="s" s="11">
        <v>20</v>
      </c>
      <c r="K1315" s="15"/>
      <c r="L1315" t="s" s="16">
        <f>HYPERLINK("http://csr.bu.edu/ftp/asl/asllvd/demos/verify_start_end_handshape_annotations//test_auto_move//signs_mov_separ_signers/Brady_295.mov","MOV")</f>
        <v>21</v>
      </c>
      <c r="M1315" t="s" s="10">
        <v>31</v>
      </c>
      <c r="N1315" s="17">
        <v>22</v>
      </c>
      <c r="O1315" s="18">
        <v>18830</v>
      </c>
      <c r="P1315" s="18">
        <v>18847</v>
      </c>
      <c r="Q1315" s="15"/>
      <c r="R1315" t="s" s="16">
        <f>HYPERLINK("http://secrets.rutgers.edu:8080/data/asl-ftp/asllvd/demos/verify_start_end_handshape_annotations//test_auto_move//signs_mov_separ_signers/Brady_295.mov","MOV")</f>
        <v>21</v>
      </c>
    </row>
    <row r="1316" s="2" customFormat="1" ht="13.5" customHeight="1">
      <c r="B1316" s="13"/>
      <c r="C1316" t="s" s="9">
        <v>41</v>
      </c>
      <c r="D1316" t="s" s="8">
        <v>494</v>
      </c>
      <c r="E1316" t="s" s="9">
        <v>494</v>
      </c>
      <c r="F1316" s="19">
        <v>1</v>
      </c>
      <c r="G1316" s="14"/>
      <c r="H1316" s="19">
        <v>1</v>
      </c>
      <c r="I1316" s="14"/>
      <c r="J1316" t="s" s="11">
        <v>20</v>
      </c>
      <c r="K1316" s="15"/>
      <c r="L1316" t="s" s="16">
        <f>HYPERLINK("http://csr.bu.edu/ftp/asl/asllvd/demos/verify_start_end_handshape_annotations//test_auto_move//signs_mov_separ_signers/Lana_295.mov","MOV")</f>
        <v>21</v>
      </c>
      <c r="M1316" t="s" s="10">
        <v>42</v>
      </c>
      <c r="N1316" s="17">
        <v>4</v>
      </c>
      <c r="O1316" s="18">
        <v>1411</v>
      </c>
      <c r="P1316" s="18">
        <v>1425</v>
      </c>
      <c r="Q1316" s="15"/>
      <c r="R1316" t="s" s="16">
        <f>HYPERLINK("http://secrets.rutgers.edu:8080/data/asl-ftp/asllvd/demos/verify_start_end_handshape_annotations//test_auto_move//signs_mov_separ_signers/Lana_295.mov","MOV")</f>
        <v>21</v>
      </c>
    </row>
    <row r="1317" s="2" customFormat="1" ht="13.5" customHeight="1">
      <c r="B1317" s="13"/>
      <c r="C1317" t="s" s="9">
        <v>43</v>
      </c>
      <c r="D1317" t="s" s="8">
        <v>494</v>
      </c>
      <c r="E1317" t="s" s="9">
        <v>494</v>
      </c>
      <c r="F1317" s="19">
        <v>1</v>
      </c>
      <c r="G1317" s="14"/>
      <c r="H1317" s="19">
        <v>1</v>
      </c>
      <c r="I1317" s="14"/>
      <c r="J1317" t="s" s="11">
        <v>20</v>
      </c>
      <c r="K1317" s="15"/>
      <c r="L1317" t="s" s="16">
        <f>HYPERLINK("http://csr.bu.edu/ftp/asl/asllvd/demos/verify_start_end_handshape_annotations//test_auto_move//signs_mov_separ_signers/Dana_295.mov","MOV")</f>
        <v>21</v>
      </c>
      <c r="M1317" t="s" s="10">
        <v>44</v>
      </c>
      <c r="N1317" s="17">
        <v>8</v>
      </c>
      <c r="O1317" s="18">
        <v>1342</v>
      </c>
      <c r="P1317" s="18">
        <v>1376</v>
      </c>
      <c r="Q1317" s="15"/>
      <c r="R1317" t="s" s="16">
        <f>HYPERLINK("http://secrets.rutgers.edu:8080/data/asl-ftp/asllvd/demos/verify_start_end_handshape_annotations//test_auto_move//signs_mov_separ_signers/Dana_295.mov","MOV")</f>
        <v>21</v>
      </c>
    </row>
    <row r="1318" s="2" customFormat="1" ht="13.5" customHeight="1">
      <c r="B1318" t="s" s="8">
        <v>495</v>
      </c>
      <c r="C1318" t="s" s="9">
        <v>14</v>
      </c>
      <c r="D1318" t="s" s="8">
        <v>14</v>
      </c>
      <c r="E1318" t="s" s="9">
        <v>14</v>
      </c>
      <c r="F1318" t="s" s="10">
        <v>14</v>
      </c>
      <c r="G1318" t="s" s="11">
        <v>14</v>
      </c>
      <c r="H1318" t="s" s="10">
        <v>14</v>
      </c>
      <c r="I1318" t="s" s="11">
        <v>14</v>
      </c>
      <c r="J1318" t="s" s="11">
        <v>14</v>
      </c>
      <c r="K1318" t="s" s="12">
        <v>14</v>
      </c>
      <c r="L1318" t="s" s="12">
        <v>14</v>
      </c>
      <c r="M1318" t="s" s="10">
        <v>14</v>
      </c>
      <c r="N1318" t="s" s="11">
        <v>14</v>
      </c>
      <c r="O1318" t="s" s="8">
        <v>14</v>
      </c>
      <c r="P1318" t="s" s="8">
        <v>14</v>
      </c>
      <c r="Q1318" t="s" s="12">
        <v>14</v>
      </c>
      <c r="R1318" t="s" s="12">
        <v>14</v>
      </c>
    </row>
    <row r="1319" s="2" customFormat="1" ht="13.5" customHeight="1">
      <c r="B1319" s="13"/>
      <c r="C1319" t="s" s="9">
        <v>16</v>
      </c>
      <c r="D1319" t="s" s="8">
        <v>495</v>
      </c>
      <c r="E1319" t="s" s="9">
        <v>495</v>
      </c>
      <c r="F1319" t="s" s="10">
        <v>55</v>
      </c>
      <c r="G1319" t="s" s="11">
        <v>73</v>
      </c>
      <c r="H1319" t="s" s="10">
        <v>55</v>
      </c>
      <c r="I1319" t="s" s="11">
        <v>73</v>
      </c>
      <c r="J1319" t="s" s="11">
        <v>20</v>
      </c>
      <c r="K1319" s="15"/>
      <c r="L1319" t="s" s="16">
        <f>HYPERLINK("http://csr.bu.edu/ftp/asl/asllvd/demos/verify_start_end_handshape_annotations//test_auto_move//signs_mov_separ_signers/Liz_296.mov","MOV")</f>
        <v>21</v>
      </c>
      <c r="M1319" t="s" s="10">
        <v>22</v>
      </c>
      <c r="N1319" s="17">
        <v>50</v>
      </c>
      <c r="O1319" s="18">
        <v>1666</v>
      </c>
      <c r="P1319" s="18">
        <v>1690</v>
      </c>
      <c r="Q1319" s="15"/>
      <c r="R1319" t="s" s="16">
        <f>HYPERLINK("http://secrets.rutgers.edu:8080/data/asl-ftp/asllvd/demos/verify_start_end_handshape_annotations//test_auto_move//signs_mov_separ_signers/Liz_296.mov","MOV")</f>
        <v>21</v>
      </c>
    </row>
    <row r="1320" s="2" customFormat="1" ht="13.5" customHeight="1">
      <c r="B1320" s="13"/>
      <c r="C1320" t="s" s="9">
        <v>30</v>
      </c>
      <c r="D1320" t="s" s="8">
        <v>495</v>
      </c>
      <c r="E1320" t="s" s="9">
        <v>495</v>
      </c>
      <c r="F1320" t="s" s="10">
        <v>55</v>
      </c>
      <c r="G1320" t="s" s="11">
        <v>73</v>
      </c>
      <c r="H1320" t="s" s="10">
        <v>55</v>
      </c>
      <c r="I1320" t="s" s="11">
        <v>73</v>
      </c>
      <c r="J1320" t="s" s="11">
        <v>20</v>
      </c>
      <c r="K1320" t="s" s="16">
        <f>HYPERLINK("http://csr.bu.edu/ftp/asl/asllvd/demos/verify_start_end_handshape_annotations//test_auto_move//signs_mov/296_5110_merged.mov","MOV")</f>
        <v>21</v>
      </c>
      <c r="L1320" t="s" s="16">
        <f>HYPERLINK("http://csr.bu.edu/ftp/asl/asllvd/demos/verify_start_end_handshape_annotations//test_auto_move//signs_mov_separ_signers/Brady_296.mov","MOV")</f>
        <v>21</v>
      </c>
      <c r="M1320" t="s" s="10">
        <v>31</v>
      </c>
      <c r="N1320" s="17">
        <v>22</v>
      </c>
      <c r="O1320" s="18">
        <v>19012</v>
      </c>
      <c r="P1320" s="18">
        <v>19029</v>
      </c>
      <c r="Q1320" t="s" s="16">
        <f>HYPERLINK("http://secrets.rutgers.edu:8080/data/asl-ftp/asllvd/demos/verify_start_end_handshape_annotations//test_auto_move//signs_mov/296_5110_merged.mov","MOV")</f>
        <v>21</v>
      </c>
      <c r="R1320" t="s" s="16">
        <f>HYPERLINK("http://secrets.rutgers.edu:8080/data/asl-ftp/asllvd/demos/verify_start_end_handshape_annotations//test_auto_move//signs_mov_separ_signers/Brady_296.mov","MOV")</f>
        <v>21</v>
      </c>
    </row>
    <row r="1321" s="2" customFormat="1" ht="13.5" customHeight="1">
      <c r="B1321" s="13"/>
      <c r="C1321" t="s" s="9">
        <v>30</v>
      </c>
      <c r="D1321" t="s" s="8">
        <v>495</v>
      </c>
      <c r="E1321" t="s" s="9">
        <v>495</v>
      </c>
      <c r="F1321" t="s" s="10">
        <v>55</v>
      </c>
      <c r="G1321" t="s" s="11">
        <v>109</v>
      </c>
      <c r="H1321" t="s" s="10">
        <v>55</v>
      </c>
      <c r="I1321" t="s" s="11">
        <v>109</v>
      </c>
      <c r="J1321" t="s" s="11">
        <v>20</v>
      </c>
      <c r="K1321" s="15"/>
      <c r="L1321" t="s" s="16">
        <f>HYPERLINK("http://csr.bu.edu/ftp/asl/asllvd/demos/verify_start_end_handshape_annotations//test_auto_move//signs_mov_separ_signers/Brady_5110.mov","MOV")</f>
        <v>21</v>
      </c>
      <c r="M1321" t="s" s="10">
        <v>39</v>
      </c>
      <c r="N1321" s="17">
        <v>12</v>
      </c>
      <c r="O1321" s="18">
        <v>5800</v>
      </c>
      <c r="P1321" s="18">
        <v>5813</v>
      </c>
      <c r="Q1321" s="15"/>
      <c r="R1321" t="s" s="16">
        <f>HYPERLINK("http://secrets.rutgers.edu:8080/data/asl-ftp/asllvd/demos/verify_start_end_handshape_annotations//test_auto_move//signs_mov_separ_signers/Brady_5110.mov","MOV")</f>
        <v>21</v>
      </c>
    </row>
    <row r="1322" s="2" customFormat="1" ht="13.5" customHeight="1">
      <c r="B1322" s="13"/>
      <c r="C1322" t="s" s="9">
        <v>41</v>
      </c>
      <c r="D1322" t="s" s="8">
        <v>495</v>
      </c>
      <c r="E1322" t="s" s="9">
        <v>495</v>
      </c>
      <c r="F1322" t="s" s="10">
        <v>152</v>
      </c>
      <c r="G1322" t="s" s="11">
        <v>109</v>
      </c>
      <c r="H1322" t="s" s="10">
        <v>152</v>
      </c>
      <c r="I1322" t="s" s="11">
        <v>109</v>
      </c>
      <c r="J1322" t="s" s="11">
        <v>20</v>
      </c>
      <c r="K1322" s="15"/>
      <c r="L1322" t="s" s="16">
        <f>HYPERLINK("http://csr.bu.edu/ftp/asl/asllvd/demos/verify_start_end_handshape_annotations//test_auto_move//signs_mov_separ_signers/Lana_296.mov","MOV")</f>
        <v>21</v>
      </c>
      <c r="M1322" t="s" s="10">
        <v>245</v>
      </c>
      <c r="N1322" s="17">
        <v>22</v>
      </c>
      <c r="O1322" s="18">
        <v>692</v>
      </c>
      <c r="P1322" s="18">
        <v>731</v>
      </c>
      <c r="Q1322" s="15"/>
      <c r="R1322" t="s" s="16">
        <f>HYPERLINK("http://secrets.rutgers.edu:8080/data/asl-ftp/asllvd/demos/verify_start_end_handshape_annotations//test_auto_move//signs_mov_separ_signers/Lana_296.mov","MOV")</f>
        <v>21</v>
      </c>
    </row>
    <row r="1323" s="2" customFormat="1" ht="13.5" customHeight="1">
      <c r="B1323" t="s" s="8">
        <v>52</v>
      </c>
      <c r="C1323" t="s" s="9">
        <v>53</v>
      </c>
      <c r="D1323" t="s" s="8">
        <v>53</v>
      </c>
      <c r="E1323" t="s" s="9">
        <v>53</v>
      </c>
      <c r="F1323" t="s" s="10">
        <v>53</v>
      </c>
      <c r="G1323" t="s" s="11">
        <v>53</v>
      </c>
      <c r="H1323" t="s" s="10">
        <v>53</v>
      </c>
      <c r="I1323" t="s" s="11">
        <v>53</v>
      </c>
      <c r="J1323" t="s" s="11">
        <v>53</v>
      </c>
      <c r="K1323" t="s" s="12">
        <v>53</v>
      </c>
      <c r="L1323" t="s" s="12">
        <v>53</v>
      </c>
      <c r="M1323" t="s" s="10">
        <v>53</v>
      </c>
      <c r="N1323" t="s" s="11">
        <v>53</v>
      </c>
      <c r="O1323" t="s" s="8">
        <v>53</v>
      </c>
      <c r="P1323" t="s" s="8">
        <v>53</v>
      </c>
      <c r="Q1323" t="s" s="12">
        <v>53</v>
      </c>
      <c r="R1323" t="s" s="12">
        <v>53</v>
      </c>
    </row>
    <row r="1324" s="2" customFormat="1" ht="13.5" customHeight="1">
      <c r="B1324" s="13"/>
      <c r="C1324" t="s" s="9">
        <v>27</v>
      </c>
      <c r="D1324" t="s" s="8">
        <v>495</v>
      </c>
      <c r="E1324" t="s" s="9">
        <v>496</v>
      </c>
      <c r="F1324" t="s" s="10">
        <v>68</v>
      </c>
      <c r="G1324" t="s" s="11">
        <v>73</v>
      </c>
      <c r="H1324" t="s" s="10">
        <v>68</v>
      </c>
      <c r="I1324" t="s" s="11">
        <v>73</v>
      </c>
      <c r="J1324" t="s" s="11">
        <v>20</v>
      </c>
      <c r="K1324" t="s" s="16">
        <f>HYPERLINK("http://csr.bu.edu/ftp/asl/asllvd/demos/verify_start_end_handshape_annotations//test_auto_move//signs_mov/16246.mov","MOV")</f>
        <v>21</v>
      </c>
      <c r="L1324" t="s" s="16">
        <f>HYPERLINK("http://csr.bu.edu/ftp/asl/asllvd/demos/verify_start_end_handshape_annotations//test_auto_move//signs_mov_separ_signers/Naomi_16246.mov","MOV")</f>
        <v>21</v>
      </c>
      <c r="M1324" t="s" s="10">
        <v>29</v>
      </c>
      <c r="N1324" s="17">
        <v>32</v>
      </c>
      <c r="O1324" s="18">
        <v>2911</v>
      </c>
      <c r="P1324" s="18">
        <v>2935</v>
      </c>
      <c r="Q1324" t="s" s="16">
        <f>HYPERLINK("http://secrets.rutgers.edu:8080/data/asl-ftp/asllvd/demos/verify_start_end_handshape_annotations//test_auto_move//signs_mov/16246.mov","MOV")</f>
        <v>21</v>
      </c>
      <c r="R1324" t="s" s="16">
        <f>HYPERLINK("http://secrets.rutgers.edu:8080/data/asl-ftp/asllvd/demos/verify_start_end_handshape_annotations//test_auto_move//signs_mov_separ_signers/Naomi_16246.mov","MOV")</f>
        <v>21</v>
      </c>
    </row>
    <row r="1325" s="2" customFormat="1" ht="13.5" customHeight="1">
      <c r="B1325" t="s" s="8">
        <v>497</v>
      </c>
      <c r="C1325" t="s" s="9">
        <v>14</v>
      </c>
      <c r="D1325" t="s" s="8">
        <v>14</v>
      </c>
      <c r="E1325" t="s" s="9">
        <v>14</v>
      </c>
      <c r="F1325" t="s" s="10">
        <v>14</v>
      </c>
      <c r="G1325" t="s" s="11">
        <v>14</v>
      </c>
      <c r="H1325" t="s" s="10">
        <v>14</v>
      </c>
      <c r="I1325" t="s" s="11">
        <v>14</v>
      </c>
      <c r="J1325" t="s" s="11">
        <v>14</v>
      </c>
      <c r="K1325" t="s" s="12">
        <v>14</v>
      </c>
      <c r="L1325" t="s" s="12">
        <v>14</v>
      </c>
      <c r="M1325" t="s" s="10">
        <v>14</v>
      </c>
      <c r="N1325" t="s" s="11">
        <v>14</v>
      </c>
      <c r="O1325" t="s" s="8">
        <v>14</v>
      </c>
      <c r="P1325" t="s" s="8">
        <v>14</v>
      </c>
      <c r="Q1325" t="s" s="12">
        <v>14</v>
      </c>
      <c r="R1325" t="s" s="12">
        <v>14</v>
      </c>
    </row>
    <row r="1326" s="2" customFormat="1" ht="13.5" customHeight="1">
      <c r="B1326" s="13"/>
      <c r="C1326" t="s" s="9">
        <v>23</v>
      </c>
      <c r="D1326" t="s" s="8">
        <v>497</v>
      </c>
      <c r="E1326" t="s" s="9">
        <v>497</v>
      </c>
      <c r="F1326" t="s" s="10">
        <v>55</v>
      </c>
      <c r="G1326" t="s" s="11">
        <v>73</v>
      </c>
      <c r="H1326" t="s" s="10">
        <v>55</v>
      </c>
      <c r="I1326" t="s" s="11">
        <v>73</v>
      </c>
      <c r="J1326" t="s" s="11">
        <v>20</v>
      </c>
      <c r="K1326" t="s" s="16">
        <f>HYPERLINK("http://csr.bu.edu/ftp/asl/asllvd/demos/verify_start_end_handshape_annotations//test_auto_move//signs_mov/16555.mov","MOV")</f>
        <v>21</v>
      </c>
      <c r="L1326" t="s" s="16">
        <f>HYPERLINK("http://csr.bu.edu/ftp/asl/asllvd/demos/verify_start_end_handshape_annotations//test_auto_move//signs_mov_separ_signers/Tyler_16555.mov","MOV")</f>
        <v>21</v>
      </c>
      <c r="M1326" t="s" s="10">
        <v>26</v>
      </c>
      <c r="N1326" s="17">
        <v>31</v>
      </c>
      <c r="O1326" s="18">
        <v>2205</v>
      </c>
      <c r="P1326" s="18">
        <v>2222</v>
      </c>
      <c r="Q1326" t="s" s="16">
        <f>HYPERLINK("http://secrets.rutgers.edu:8080/data/asl-ftp/asllvd/demos/verify_start_end_handshape_annotations//test_auto_move//signs_mov/16555.mov","MOV")</f>
        <v>21</v>
      </c>
      <c r="R1326" t="s" s="16">
        <f>HYPERLINK("http://secrets.rutgers.edu:8080/data/asl-ftp/asllvd/demos/verify_start_end_handshape_annotations//test_auto_move//signs_mov_separ_signers/Tyler_16555.mov","MOV")</f>
        <v>21</v>
      </c>
    </row>
    <row r="1327" s="2" customFormat="1" ht="13.5" customHeight="1">
      <c r="B1327" t="s" s="8">
        <v>498</v>
      </c>
      <c r="C1327" t="s" s="9">
        <v>14</v>
      </c>
      <c r="D1327" t="s" s="8">
        <v>14</v>
      </c>
      <c r="E1327" t="s" s="9">
        <v>14</v>
      </c>
      <c r="F1327" t="s" s="10">
        <v>14</v>
      </c>
      <c r="G1327" t="s" s="11">
        <v>14</v>
      </c>
      <c r="H1327" t="s" s="10">
        <v>14</v>
      </c>
      <c r="I1327" t="s" s="11">
        <v>14</v>
      </c>
      <c r="J1327" t="s" s="11">
        <v>14</v>
      </c>
      <c r="K1327" t="s" s="12">
        <v>14</v>
      </c>
      <c r="L1327" t="s" s="12">
        <v>14</v>
      </c>
      <c r="M1327" t="s" s="10">
        <v>14</v>
      </c>
      <c r="N1327" t="s" s="11">
        <v>14</v>
      </c>
      <c r="O1327" t="s" s="8">
        <v>14</v>
      </c>
      <c r="P1327" t="s" s="8">
        <v>14</v>
      </c>
      <c r="Q1327" t="s" s="12">
        <v>14</v>
      </c>
      <c r="R1327" t="s" s="12">
        <v>14</v>
      </c>
    </row>
    <row r="1328" s="2" customFormat="1" ht="13.5" customHeight="1">
      <c r="B1328" s="13"/>
      <c r="C1328" t="s" s="9">
        <v>16</v>
      </c>
      <c r="D1328" t="s" s="8">
        <v>498</v>
      </c>
      <c r="E1328" t="s" s="9">
        <v>498</v>
      </c>
      <c r="F1328" t="s" s="10">
        <v>220</v>
      </c>
      <c r="G1328" t="s" s="11">
        <v>220</v>
      </c>
      <c r="H1328" t="s" s="10">
        <v>220</v>
      </c>
      <c r="I1328" t="s" s="11">
        <v>220</v>
      </c>
      <c r="J1328" t="s" s="11">
        <v>20</v>
      </c>
      <c r="K1328" s="15"/>
      <c r="L1328" t="s" s="16">
        <f>HYPERLINK("http://csr.bu.edu/ftp/asl/asllvd/demos/verify_start_end_handshape_annotations//test_auto_move//signs_mov_separ_signers/Liz_298.mov","MOV")</f>
        <v>21</v>
      </c>
      <c r="M1328" t="s" s="10">
        <v>22</v>
      </c>
      <c r="N1328" s="17">
        <v>50</v>
      </c>
      <c r="O1328" s="18">
        <v>2170</v>
      </c>
      <c r="P1328" s="18">
        <v>2205</v>
      </c>
      <c r="Q1328" s="15"/>
      <c r="R1328" t="s" s="16">
        <f>HYPERLINK("http://secrets.rutgers.edu:8080/data/asl-ftp/asllvd/demos/verify_start_end_handshape_annotations//test_auto_move//signs_mov_separ_signers/Liz_298.mov","MOV")</f>
        <v>21</v>
      </c>
    </row>
    <row r="1329" s="2" customFormat="1" ht="13.5" customHeight="1">
      <c r="B1329" s="13"/>
      <c r="C1329" t="s" s="9">
        <v>23</v>
      </c>
      <c r="D1329" t="s" s="8">
        <v>498</v>
      </c>
      <c r="E1329" t="s" s="9">
        <v>498</v>
      </c>
      <c r="F1329" t="s" s="10">
        <v>220</v>
      </c>
      <c r="G1329" t="s" s="11">
        <v>220</v>
      </c>
      <c r="H1329" t="s" s="10">
        <v>220</v>
      </c>
      <c r="I1329" t="s" s="11">
        <v>220</v>
      </c>
      <c r="J1329" t="s" s="11">
        <v>20</v>
      </c>
      <c r="K1329" s="15"/>
      <c r="L1329" t="s" s="16">
        <f>HYPERLINK("http://csr.bu.edu/ftp/asl/asllvd/demos/verify_start_end_handshape_annotations//test_auto_move//signs_mov_separ_signers/Tyler_298.mov","MOV")</f>
        <v>21</v>
      </c>
      <c r="M1329" t="s" s="10">
        <v>26</v>
      </c>
      <c r="N1329" s="17">
        <v>31</v>
      </c>
      <c r="O1329" s="18">
        <v>3232</v>
      </c>
      <c r="P1329" s="18">
        <v>3265</v>
      </c>
      <c r="Q1329" s="15"/>
      <c r="R1329" t="s" s="16">
        <f>HYPERLINK("http://secrets.rutgers.edu:8080/data/asl-ftp/asllvd/demos/verify_start_end_handshape_annotations//test_auto_move//signs_mov_separ_signers/Tyler_298.mov","MOV")</f>
        <v>21</v>
      </c>
    </row>
    <row r="1330" s="2" customFormat="1" ht="13.5" customHeight="1">
      <c r="B1330" s="13"/>
      <c r="C1330" t="s" s="9">
        <v>27</v>
      </c>
      <c r="D1330" t="s" s="8">
        <v>498</v>
      </c>
      <c r="E1330" t="s" s="9">
        <v>498</v>
      </c>
      <c r="F1330" t="s" s="10">
        <v>220</v>
      </c>
      <c r="G1330" t="s" s="11">
        <v>220</v>
      </c>
      <c r="H1330" t="s" s="10">
        <v>220</v>
      </c>
      <c r="I1330" t="s" s="11">
        <v>220</v>
      </c>
      <c r="J1330" t="s" s="11">
        <v>20</v>
      </c>
      <c r="K1330" t="s" s="16">
        <f>HYPERLINK("http://csr.bu.edu/ftp/asl/asllvd/demos/verify_start_end_handshape_annotations//test_auto_move//signs_mov/298.mov","MOV")</f>
        <v>21</v>
      </c>
      <c r="L1330" t="s" s="16">
        <f>HYPERLINK("http://csr.bu.edu/ftp/asl/asllvd/demos/verify_start_end_handshape_annotations//test_auto_move//signs_mov_separ_signers/Naomi_298.mov","MOV")</f>
        <v>21</v>
      </c>
      <c r="M1330" t="s" s="10">
        <v>29</v>
      </c>
      <c r="N1330" s="17">
        <v>32</v>
      </c>
      <c r="O1330" s="18">
        <v>3865</v>
      </c>
      <c r="P1330" s="18">
        <v>3885</v>
      </c>
      <c r="Q1330" t="s" s="16">
        <f>HYPERLINK("http://secrets.rutgers.edu:8080/data/asl-ftp/asllvd/demos/verify_start_end_handshape_annotations//test_auto_move//signs_mov/298.mov","MOV")</f>
        <v>21</v>
      </c>
      <c r="R1330" t="s" s="16">
        <f>HYPERLINK("http://secrets.rutgers.edu:8080/data/asl-ftp/asllvd/demos/verify_start_end_handshape_annotations//test_auto_move//signs_mov_separ_signers/Naomi_298.mov","MOV")</f>
        <v>21</v>
      </c>
    </row>
    <row r="1331" s="2" customFormat="1" ht="13.5" customHeight="1">
      <c r="B1331" s="13"/>
      <c r="C1331" t="s" s="9">
        <v>30</v>
      </c>
      <c r="D1331" t="s" s="8">
        <v>498</v>
      </c>
      <c r="E1331" t="s" s="9">
        <v>498</v>
      </c>
      <c r="F1331" t="s" s="10">
        <v>220</v>
      </c>
      <c r="G1331" t="s" s="11">
        <v>220</v>
      </c>
      <c r="H1331" t="s" s="10">
        <v>220</v>
      </c>
      <c r="I1331" t="s" s="11">
        <v>220</v>
      </c>
      <c r="J1331" t="s" s="11">
        <v>20</v>
      </c>
      <c r="K1331" s="15"/>
      <c r="L1331" t="s" s="16">
        <f>HYPERLINK("http://csr.bu.edu/ftp/asl/asllvd/demos/verify_start_end_handshape_annotations//test_auto_move//signs_mov_separ_signers/Brady_298.mov","MOV")</f>
        <v>21</v>
      </c>
      <c r="M1331" t="s" s="10">
        <v>31</v>
      </c>
      <c r="N1331" s="17">
        <v>22</v>
      </c>
      <c r="O1331" s="18">
        <v>20152</v>
      </c>
      <c r="P1331" s="18">
        <v>20166</v>
      </c>
      <c r="Q1331" s="15"/>
      <c r="R1331" t="s" s="16">
        <f>HYPERLINK("http://secrets.rutgers.edu:8080/data/asl-ftp/asllvd/demos/verify_start_end_handshape_annotations//test_auto_move//signs_mov_separ_signers/Brady_298.mov","MOV")</f>
        <v>21</v>
      </c>
    </row>
    <row r="1332" s="2" customFormat="1" ht="13.5" customHeight="1">
      <c r="B1332" s="13"/>
      <c r="C1332" t="s" s="9">
        <v>41</v>
      </c>
      <c r="D1332" t="s" s="8">
        <v>498</v>
      </c>
      <c r="E1332" t="s" s="9">
        <v>498</v>
      </c>
      <c r="F1332" t="s" s="10">
        <v>220</v>
      </c>
      <c r="G1332" t="s" s="11">
        <v>220</v>
      </c>
      <c r="H1332" t="s" s="10">
        <v>220</v>
      </c>
      <c r="I1332" t="s" s="11">
        <v>220</v>
      </c>
      <c r="J1332" t="s" s="11">
        <v>20</v>
      </c>
      <c r="K1332" s="15"/>
      <c r="L1332" t="s" s="16">
        <f>HYPERLINK("http://csr.bu.edu/ftp/asl/asllvd/demos/verify_start_end_handshape_annotations//test_auto_move//signs_mov_separ_signers/Lana_298.mov","MOV")</f>
        <v>21</v>
      </c>
      <c r="M1332" t="s" s="10">
        <v>42</v>
      </c>
      <c r="N1332" s="17">
        <v>16</v>
      </c>
      <c r="O1332" s="18">
        <v>900</v>
      </c>
      <c r="P1332" s="18">
        <v>916</v>
      </c>
      <c r="Q1332" s="15"/>
      <c r="R1332" t="s" s="16">
        <f>HYPERLINK("http://secrets.rutgers.edu:8080/data/asl-ftp/asllvd/demos/verify_start_end_handshape_annotations//test_auto_move//signs_mov_separ_signers/Lana_298.mov","MOV")</f>
        <v>21</v>
      </c>
    </row>
    <row r="1333" s="2" customFormat="1" ht="13.5" customHeight="1">
      <c r="B1333" t="s" s="8">
        <v>499</v>
      </c>
      <c r="C1333" t="s" s="9">
        <v>14</v>
      </c>
      <c r="D1333" t="s" s="8">
        <v>14</v>
      </c>
      <c r="E1333" t="s" s="9">
        <v>14</v>
      </c>
      <c r="F1333" t="s" s="10">
        <v>14</v>
      </c>
      <c r="G1333" t="s" s="11">
        <v>14</v>
      </c>
      <c r="H1333" t="s" s="10">
        <v>14</v>
      </c>
      <c r="I1333" t="s" s="11">
        <v>14</v>
      </c>
      <c r="J1333" t="s" s="11">
        <v>14</v>
      </c>
      <c r="K1333" t="s" s="12">
        <v>14</v>
      </c>
      <c r="L1333" t="s" s="12">
        <v>14</v>
      </c>
      <c r="M1333" t="s" s="10">
        <v>14</v>
      </c>
      <c r="N1333" t="s" s="11">
        <v>14</v>
      </c>
      <c r="O1333" t="s" s="8">
        <v>14</v>
      </c>
      <c r="P1333" t="s" s="8">
        <v>14</v>
      </c>
      <c r="Q1333" t="s" s="12">
        <v>14</v>
      </c>
      <c r="R1333" t="s" s="12">
        <v>14</v>
      </c>
    </row>
    <row r="1334" s="2" customFormat="1" ht="13.5" customHeight="1">
      <c r="B1334" s="13"/>
      <c r="C1334" t="s" s="9">
        <v>16</v>
      </c>
      <c r="D1334" t="s" s="8">
        <v>499</v>
      </c>
      <c r="E1334" t="s" s="9">
        <v>499</v>
      </c>
      <c r="F1334" t="s" s="10">
        <v>220</v>
      </c>
      <c r="G1334" t="s" s="11">
        <v>220</v>
      </c>
      <c r="H1334" t="s" s="10">
        <v>220</v>
      </c>
      <c r="I1334" t="s" s="11">
        <v>220</v>
      </c>
      <c r="J1334" t="s" s="11">
        <v>20</v>
      </c>
      <c r="K1334" s="15"/>
      <c r="L1334" t="s" s="16">
        <f>HYPERLINK("http://csr.bu.edu/ftp/asl/asllvd/demos/verify_start_end_handshape_annotations//test_auto_move//signs_mov_separ_signers/Liz_15173.mov","MOV")</f>
        <v>21</v>
      </c>
      <c r="M1334" t="s" s="10">
        <v>34</v>
      </c>
      <c r="N1334" s="17">
        <v>46</v>
      </c>
      <c r="O1334" s="18">
        <v>1171</v>
      </c>
      <c r="P1334" s="18">
        <v>1207</v>
      </c>
      <c r="Q1334" s="15"/>
      <c r="R1334" t="s" s="16">
        <f>HYPERLINK("http://secrets.rutgers.edu:8080/data/asl-ftp/asllvd/demos/verify_start_end_handshape_annotations//test_auto_move//signs_mov_separ_signers/Liz_15173.mov","MOV")</f>
        <v>21</v>
      </c>
    </row>
    <row r="1335" s="2" customFormat="1" ht="13.5" customHeight="1">
      <c r="B1335" s="13"/>
      <c r="C1335" t="s" s="9">
        <v>16</v>
      </c>
      <c r="D1335" t="s" s="8">
        <v>499</v>
      </c>
      <c r="E1335" t="s" s="9">
        <v>499</v>
      </c>
      <c r="F1335" t="s" s="10">
        <v>220</v>
      </c>
      <c r="G1335" t="s" s="11">
        <v>220</v>
      </c>
      <c r="H1335" t="s" s="10">
        <v>220</v>
      </c>
      <c r="I1335" t="s" s="11">
        <v>220</v>
      </c>
      <c r="J1335" t="s" s="11">
        <v>20</v>
      </c>
      <c r="K1335" s="15"/>
      <c r="L1335" t="s" s="16">
        <f>HYPERLINK("http://csr.bu.edu/ftp/asl/asllvd/demos/verify_start_end_handshape_annotations//test_auto_move//signs_mov_separ_signers/Liz_15194.mov","MOV")</f>
        <v>21</v>
      </c>
      <c r="M1335" t="s" s="10">
        <v>77</v>
      </c>
      <c r="N1335" s="17">
        <v>5</v>
      </c>
      <c r="O1335" s="18">
        <v>2470</v>
      </c>
      <c r="P1335" s="18">
        <v>2528</v>
      </c>
      <c r="Q1335" s="15"/>
      <c r="R1335" t="s" s="16">
        <f>HYPERLINK("http://secrets.rutgers.edu:8080/data/asl-ftp/asllvd/demos/verify_start_end_handshape_annotations//test_auto_move//signs_mov_separ_signers/Liz_15194.mov","MOV")</f>
        <v>21</v>
      </c>
    </row>
    <row r="1336" s="2" customFormat="1" ht="13.5" customHeight="1">
      <c r="B1336" s="13"/>
      <c r="C1336" t="s" s="9">
        <v>23</v>
      </c>
      <c r="D1336" t="s" s="8">
        <v>499</v>
      </c>
      <c r="E1336" t="s" s="9">
        <v>499</v>
      </c>
      <c r="F1336" t="s" s="10">
        <v>220</v>
      </c>
      <c r="G1336" t="s" s="11">
        <v>220</v>
      </c>
      <c r="H1336" t="s" s="10">
        <v>220</v>
      </c>
      <c r="I1336" t="s" s="11">
        <v>220</v>
      </c>
      <c r="J1336" t="s" s="11">
        <v>20</v>
      </c>
      <c r="K1336" t="s" s="16">
        <f>HYPERLINK("http://csr.bu.edu/ftp/asl/asllvd/demos/verify_start_end_handshape_annotations//test_auto_move//signs_mov/15173_15194_merged.mov","MOV")</f>
        <v>21</v>
      </c>
      <c r="L1336" t="s" s="16">
        <f>HYPERLINK("http://csr.bu.edu/ftp/asl/asllvd/demos/verify_start_end_handshape_annotations//test_auto_move//signs_mov_separ_signers/Tyler_15173.mov","MOV")</f>
        <v>21</v>
      </c>
      <c r="M1336" t="s" s="10">
        <v>37</v>
      </c>
      <c r="N1336" s="17">
        <v>19</v>
      </c>
      <c r="O1336" s="18">
        <v>1380</v>
      </c>
      <c r="P1336" s="18">
        <v>1405</v>
      </c>
      <c r="Q1336" t="s" s="16">
        <f>HYPERLINK("http://secrets.rutgers.edu:8080/data/asl-ftp/asllvd/demos/verify_start_end_handshape_annotations//test_auto_move//signs_mov/15173_15194_merged.mov","MOV")</f>
        <v>21</v>
      </c>
      <c r="R1336" t="s" s="16">
        <f>HYPERLINK("http://secrets.rutgers.edu:8080/data/asl-ftp/asllvd/demos/verify_start_end_handshape_annotations//test_auto_move//signs_mov_separ_signers/Tyler_15173.mov","MOV")</f>
        <v>21</v>
      </c>
    </row>
    <row r="1337" s="2" customFormat="1" ht="13.5" customHeight="1">
      <c r="B1337" s="13"/>
      <c r="C1337" t="s" s="9">
        <v>27</v>
      </c>
      <c r="D1337" t="s" s="8">
        <v>499</v>
      </c>
      <c r="E1337" t="s" s="9">
        <v>499</v>
      </c>
      <c r="F1337" t="s" s="10">
        <v>220</v>
      </c>
      <c r="G1337" t="s" s="11">
        <v>220</v>
      </c>
      <c r="H1337" t="s" s="10">
        <v>220</v>
      </c>
      <c r="I1337" t="s" s="11">
        <v>220</v>
      </c>
      <c r="J1337" t="s" s="11">
        <v>20</v>
      </c>
      <c r="K1337" s="15"/>
      <c r="L1337" t="s" s="16">
        <f>HYPERLINK("http://csr.bu.edu/ftp/asl/asllvd/demos/verify_start_end_handshape_annotations//test_auto_move//signs_mov_separ_signers/Naomi_15173.mov","MOV")</f>
        <v>21</v>
      </c>
      <c r="M1337" t="s" s="10">
        <v>48</v>
      </c>
      <c r="N1337" s="17">
        <v>2</v>
      </c>
      <c r="O1337" s="18">
        <v>910</v>
      </c>
      <c r="P1337" s="18">
        <v>940</v>
      </c>
      <c r="Q1337" s="15"/>
      <c r="R1337" t="s" s="16">
        <f>HYPERLINK("http://secrets.rutgers.edu:8080/data/asl-ftp/asllvd/demos/verify_start_end_handshape_annotations//test_auto_move//signs_mov_separ_signers/Naomi_15173.mov","MOV")</f>
        <v>21</v>
      </c>
    </row>
    <row r="1338" s="2" customFormat="1" ht="13.5" customHeight="1">
      <c r="B1338" s="13"/>
      <c r="C1338" t="s" s="9">
        <v>30</v>
      </c>
      <c r="D1338" t="s" s="8">
        <v>499</v>
      </c>
      <c r="E1338" t="s" s="9">
        <v>499</v>
      </c>
      <c r="F1338" t="s" s="10">
        <v>220</v>
      </c>
      <c r="G1338" t="s" s="11">
        <v>220</v>
      </c>
      <c r="H1338" t="s" s="10">
        <v>220</v>
      </c>
      <c r="I1338" t="s" s="11">
        <v>220</v>
      </c>
      <c r="J1338" t="s" s="11">
        <v>20</v>
      </c>
      <c r="K1338" s="15"/>
      <c r="L1338" t="s" s="16">
        <f>HYPERLINK("http://csr.bu.edu/ftp/asl/asllvd/demos/verify_start_end_handshape_annotations//test_auto_move//signs_mov_separ_signers/Brady_15173.mov","MOV")</f>
        <v>21</v>
      </c>
      <c r="M1338" t="s" s="10">
        <v>39</v>
      </c>
      <c r="N1338" s="17">
        <v>48</v>
      </c>
      <c r="O1338" s="18">
        <v>2295</v>
      </c>
      <c r="P1338" s="18">
        <v>2325</v>
      </c>
      <c r="Q1338" s="15"/>
      <c r="R1338" t="s" s="16">
        <f>HYPERLINK("http://secrets.rutgers.edu:8080/data/asl-ftp/asllvd/demos/verify_start_end_handshape_annotations//test_auto_move//signs_mov_separ_signers/Brady_15173.mov","MOV")</f>
        <v>21</v>
      </c>
    </row>
    <row r="1339" s="2" customFormat="1" ht="13.5" customHeight="1">
      <c r="B1339" s="13"/>
      <c r="C1339" t="s" s="9">
        <v>30</v>
      </c>
      <c r="D1339" t="s" s="8">
        <v>499</v>
      </c>
      <c r="E1339" t="s" s="9">
        <v>499</v>
      </c>
      <c r="F1339" t="s" s="10">
        <v>220</v>
      </c>
      <c r="G1339" t="s" s="11">
        <v>220</v>
      </c>
      <c r="H1339" t="s" s="10">
        <v>220</v>
      </c>
      <c r="I1339" t="s" s="11">
        <v>220</v>
      </c>
      <c r="J1339" t="s" s="11">
        <v>20</v>
      </c>
      <c r="K1339" s="15"/>
      <c r="L1339" t="s" s="16">
        <f>HYPERLINK("http://csr.bu.edu/ftp/asl/asllvd/demos/verify_start_end_handshape_annotations//test_auto_move//signs_mov_separ_signers/Brady_15194.mov","MOV")</f>
        <v>21</v>
      </c>
      <c r="M1339" t="s" s="10">
        <v>39</v>
      </c>
      <c r="N1339" s="17">
        <v>48</v>
      </c>
      <c r="O1339" s="18">
        <v>2596</v>
      </c>
      <c r="P1339" s="18">
        <v>2620</v>
      </c>
      <c r="Q1339" s="15"/>
      <c r="R1339" t="s" s="16">
        <f>HYPERLINK("http://secrets.rutgers.edu:8080/data/asl-ftp/asllvd/demos/verify_start_end_handshape_annotations//test_auto_move//signs_mov_separ_signers/Brady_15194.mov","MOV")</f>
        <v>21</v>
      </c>
    </row>
    <row r="1340" s="2" customFormat="1" ht="13.5" customHeight="1">
      <c r="B1340" t="s" s="8">
        <v>500</v>
      </c>
      <c r="C1340" t="s" s="9">
        <v>14</v>
      </c>
      <c r="D1340" t="s" s="8">
        <v>14</v>
      </c>
      <c r="E1340" t="s" s="9">
        <v>14</v>
      </c>
      <c r="F1340" t="s" s="10">
        <v>14</v>
      </c>
      <c r="G1340" t="s" s="11">
        <v>14</v>
      </c>
      <c r="H1340" t="s" s="10">
        <v>14</v>
      </c>
      <c r="I1340" t="s" s="11">
        <v>14</v>
      </c>
      <c r="J1340" t="s" s="11">
        <v>14</v>
      </c>
      <c r="K1340" t="s" s="12">
        <v>14</v>
      </c>
      <c r="L1340" t="s" s="12">
        <v>14</v>
      </c>
      <c r="M1340" t="s" s="10">
        <v>14</v>
      </c>
      <c r="N1340" t="s" s="11">
        <v>14</v>
      </c>
      <c r="O1340" t="s" s="8">
        <v>14</v>
      </c>
      <c r="P1340" t="s" s="8">
        <v>14</v>
      </c>
      <c r="Q1340" t="s" s="12">
        <v>14</v>
      </c>
      <c r="R1340" t="s" s="12">
        <v>14</v>
      </c>
    </row>
    <row r="1341" s="2" customFormat="1" ht="13.5" customHeight="1">
      <c r="B1341" s="13"/>
      <c r="C1341" t="s" s="9">
        <v>43</v>
      </c>
      <c r="D1341" t="s" s="8">
        <v>500</v>
      </c>
      <c r="E1341" t="s" s="9">
        <v>500</v>
      </c>
      <c r="F1341" t="s" s="10">
        <v>501</v>
      </c>
      <c r="G1341" t="s" s="11">
        <v>501</v>
      </c>
      <c r="H1341" t="s" s="10">
        <v>453</v>
      </c>
      <c r="I1341" t="s" s="11">
        <v>453</v>
      </c>
      <c r="J1341" t="s" s="11">
        <v>20</v>
      </c>
      <c r="K1341" t="s" s="16">
        <f>HYPERLINK("http://csr.bu.edu/ftp/asl/asllvd/demos/verify_start_end_handshape_annotations//test_auto_move//signs_mov/4562.mov","MOV")</f>
        <v>21</v>
      </c>
      <c r="L1341" t="s" s="16">
        <f>HYPERLINK("http://csr.bu.edu/ftp/asl/asllvd/demos/verify_start_end_handshape_annotations//test_auto_move//signs_mov_separ_signers/Dana_4562.mov","MOV")</f>
        <v>21</v>
      </c>
      <c r="M1341" t="s" s="10">
        <v>44</v>
      </c>
      <c r="N1341" s="17">
        <v>19</v>
      </c>
      <c r="O1341" s="18">
        <v>834</v>
      </c>
      <c r="P1341" s="18">
        <v>859</v>
      </c>
      <c r="Q1341" t="s" s="16">
        <f>HYPERLINK("http://secrets.rutgers.edu:8080/data/asl-ftp/asllvd/demos/verify_start_end_handshape_annotations//test_auto_move//signs_mov/4562.mov","MOV")</f>
        <v>21</v>
      </c>
      <c r="R1341" t="s" s="16">
        <f>HYPERLINK("http://secrets.rutgers.edu:8080/data/asl-ftp/asllvd/demos/verify_start_end_handshape_annotations//test_auto_move//signs_mov_separ_signers/Dana_4562.mov","MOV")</f>
        <v>21</v>
      </c>
    </row>
    <row r="1342" s="2" customFormat="1" ht="13.5" customHeight="1">
      <c r="B1342" t="s" s="8">
        <v>502</v>
      </c>
      <c r="C1342" t="s" s="9">
        <v>14</v>
      </c>
      <c r="D1342" t="s" s="8">
        <v>14</v>
      </c>
      <c r="E1342" t="s" s="9">
        <v>14</v>
      </c>
      <c r="F1342" t="s" s="10">
        <v>14</v>
      </c>
      <c r="G1342" t="s" s="11">
        <v>14</v>
      </c>
      <c r="H1342" t="s" s="10">
        <v>14</v>
      </c>
      <c r="I1342" t="s" s="11">
        <v>14</v>
      </c>
      <c r="J1342" t="s" s="11">
        <v>14</v>
      </c>
      <c r="K1342" t="s" s="12">
        <v>14</v>
      </c>
      <c r="L1342" t="s" s="12">
        <v>14</v>
      </c>
      <c r="M1342" t="s" s="10">
        <v>14</v>
      </c>
      <c r="N1342" t="s" s="11">
        <v>14</v>
      </c>
      <c r="O1342" t="s" s="8">
        <v>14</v>
      </c>
      <c r="P1342" t="s" s="8">
        <v>14</v>
      </c>
      <c r="Q1342" t="s" s="12">
        <v>14</v>
      </c>
      <c r="R1342" t="s" s="12">
        <v>14</v>
      </c>
    </row>
    <row r="1343" s="2" customFormat="1" ht="13.5" customHeight="1">
      <c r="B1343" s="13"/>
      <c r="C1343" t="s" s="9">
        <v>16</v>
      </c>
      <c r="D1343" t="s" s="8">
        <v>502</v>
      </c>
      <c r="E1343" t="s" s="9">
        <v>502</v>
      </c>
      <c r="F1343" t="s" s="10">
        <v>187</v>
      </c>
      <c r="G1343" s="14"/>
      <c r="H1343" t="s" s="10">
        <v>187</v>
      </c>
      <c r="I1343" s="14"/>
      <c r="J1343" t="s" s="11">
        <v>20</v>
      </c>
      <c r="K1343" s="15"/>
      <c r="L1343" t="s" s="16">
        <f>HYPERLINK("http://csr.bu.edu/ftp/asl/asllvd/demos/verify_start_end_handshape_annotations//test_auto_move//signs_mov_separ_signers/Liz_300.mov","MOV")</f>
        <v>21</v>
      </c>
      <c r="M1343" t="s" s="10">
        <v>22</v>
      </c>
      <c r="N1343" s="17">
        <v>51</v>
      </c>
      <c r="O1343" s="18">
        <v>640</v>
      </c>
      <c r="P1343" s="18">
        <v>680</v>
      </c>
      <c r="Q1343" s="15"/>
      <c r="R1343" t="s" s="16">
        <f>HYPERLINK("http://secrets.rutgers.edu:8080/data/asl-ftp/asllvd/demos/verify_start_end_handshape_annotations//test_auto_move//signs_mov_separ_signers/Liz_300.mov","MOV")</f>
        <v>21</v>
      </c>
    </row>
    <row r="1344" s="2" customFormat="1" ht="13.5" customHeight="1">
      <c r="B1344" s="13"/>
      <c r="C1344" t="s" s="9">
        <v>16</v>
      </c>
      <c r="D1344" t="s" s="8">
        <v>502</v>
      </c>
      <c r="E1344" t="s" s="9">
        <v>502</v>
      </c>
      <c r="F1344" t="s" s="10">
        <v>187</v>
      </c>
      <c r="G1344" s="14"/>
      <c r="H1344" t="s" s="10">
        <v>187</v>
      </c>
      <c r="I1344" s="14"/>
      <c r="J1344" t="s" s="11">
        <v>20</v>
      </c>
      <c r="K1344" s="15"/>
      <c r="L1344" t="s" s="16">
        <f>HYPERLINK("http://csr.bu.edu/ftp/asl/asllvd/demos/verify_start_end_handshape_annotations//test_auto_move//signs_mov_separ_signers/Liz_3589.mov","MOV")</f>
        <v>21</v>
      </c>
      <c r="M1344" t="s" s="10">
        <v>22</v>
      </c>
      <c r="N1344" s="17">
        <v>64</v>
      </c>
      <c r="O1344" s="18">
        <v>1460</v>
      </c>
      <c r="P1344" s="18">
        <v>1490</v>
      </c>
      <c r="Q1344" s="15"/>
      <c r="R1344" t="s" s="16">
        <f>HYPERLINK("http://secrets.rutgers.edu:8080/data/asl-ftp/asllvd/demos/verify_start_end_handshape_annotations//test_auto_move//signs_mov_separ_signers/Liz_3589.mov","MOV")</f>
        <v>21</v>
      </c>
    </row>
    <row r="1345" s="2" customFormat="1" ht="13.5" customHeight="1">
      <c r="B1345" s="13"/>
      <c r="C1345" t="s" s="9">
        <v>23</v>
      </c>
      <c r="D1345" t="s" s="8">
        <v>502</v>
      </c>
      <c r="E1345" t="s" s="9">
        <v>502</v>
      </c>
      <c r="F1345" t="s" s="10">
        <v>187</v>
      </c>
      <c r="G1345" s="14"/>
      <c r="H1345" t="s" s="10">
        <v>187</v>
      </c>
      <c r="I1345" s="14"/>
      <c r="J1345" t="s" s="11">
        <v>20</v>
      </c>
      <c r="K1345" s="15"/>
      <c r="L1345" t="s" s="16">
        <f>HYPERLINK("http://csr.bu.edu/ftp/asl/asllvd/demos/verify_start_end_handshape_annotations//test_auto_move//signs_mov_separ_signers/Tyler_300.mov","MOV")</f>
        <v>21</v>
      </c>
      <c r="M1345" t="s" s="10">
        <v>26</v>
      </c>
      <c r="N1345" s="17">
        <v>31</v>
      </c>
      <c r="O1345" s="18">
        <v>3646</v>
      </c>
      <c r="P1345" s="18">
        <v>3705</v>
      </c>
      <c r="Q1345" s="15"/>
      <c r="R1345" t="s" s="16">
        <f>HYPERLINK("http://secrets.rutgers.edu:8080/data/asl-ftp/asllvd/demos/verify_start_end_handshape_annotations//test_auto_move//signs_mov_separ_signers/Tyler_300.mov","MOV")</f>
        <v>21</v>
      </c>
    </row>
    <row r="1346" s="2" customFormat="1" ht="13.5" customHeight="1">
      <c r="B1346" s="13"/>
      <c r="C1346" t="s" s="9">
        <v>23</v>
      </c>
      <c r="D1346" t="s" s="8">
        <v>502</v>
      </c>
      <c r="E1346" t="s" s="9">
        <v>502</v>
      </c>
      <c r="F1346" t="s" s="10">
        <v>187</v>
      </c>
      <c r="G1346" s="14"/>
      <c r="H1346" t="s" s="10">
        <v>187</v>
      </c>
      <c r="I1346" s="14"/>
      <c r="J1346" t="s" s="11">
        <v>20</v>
      </c>
      <c r="K1346" s="15"/>
      <c r="L1346" t="s" s="16">
        <f>HYPERLINK("http://csr.bu.edu/ftp/asl/asllvd/demos/verify_start_end_handshape_annotations//test_auto_move//signs_mov_separ_signers/Tyler_3589.mov","MOV")</f>
        <v>21</v>
      </c>
      <c r="M1346" t="s" s="10">
        <v>26</v>
      </c>
      <c r="N1346" s="17">
        <v>40</v>
      </c>
      <c r="O1346" s="18">
        <v>1390</v>
      </c>
      <c r="P1346" s="18">
        <v>1425</v>
      </c>
      <c r="Q1346" s="15"/>
      <c r="R1346" t="s" s="16">
        <f>HYPERLINK("http://secrets.rutgers.edu:8080/data/asl-ftp/asllvd/demos/verify_start_end_handshape_annotations//test_auto_move//signs_mov_separ_signers/Tyler_3589.mov","MOV")</f>
        <v>21</v>
      </c>
    </row>
    <row r="1347" s="2" customFormat="1" ht="13.5" customHeight="1">
      <c r="B1347" s="13"/>
      <c r="C1347" t="s" s="9">
        <v>27</v>
      </c>
      <c r="D1347" t="s" s="8">
        <v>502</v>
      </c>
      <c r="E1347" t="s" s="9">
        <v>502</v>
      </c>
      <c r="F1347" t="s" s="10">
        <v>187</v>
      </c>
      <c r="G1347" s="14"/>
      <c r="H1347" t="s" s="10">
        <v>187</v>
      </c>
      <c r="I1347" s="14"/>
      <c r="J1347" t="s" s="11">
        <v>20</v>
      </c>
      <c r="K1347" t="s" s="16">
        <f>HYPERLINK("http://csr.bu.edu/ftp/asl/asllvd/demos/verify_start_end_handshape_annotations//test_auto_move//signs_mov/300_3589_merged.mov","MOV")</f>
        <v>21</v>
      </c>
      <c r="L1347" t="s" s="16">
        <f>HYPERLINK("http://csr.bu.edu/ftp/asl/asllvd/demos/verify_start_end_handshape_annotations//test_auto_move//signs_mov_separ_signers/Naomi_300.mov","MOV")</f>
        <v>21</v>
      </c>
      <c r="M1347" t="s" s="10">
        <v>29</v>
      </c>
      <c r="N1347" s="17">
        <v>32</v>
      </c>
      <c r="O1347" s="18">
        <v>4422</v>
      </c>
      <c r="P1347" s="18">
        <v>4442</v>
      </c>
      <c r="Q1347" t="s" s="16">
        <f>HYPERLINK("http://secrets.rutgers.edu:8080/data/asl-ftp/asllvd/demos/verify_start_end_handshape_annotations//test_auto_move//signs_mov/300_3589_merged.mov","MOV")</f>
        <v>21</v>
      </c>
      <c r="R1347" t="s" s="16">
        <f>HYPERLINK("http://secrets.rutgers.edu:8080/data/asl-ftp/asllvd/demos/verify_start_end_handshape_annotations//test_auto_move//signs_mov_separ_signers/Naomi_300.mov","MOV")</f>
        <v>21</v>
      </c>
    </row>
    <row r="1348" s="2" customFormat="1" ht="13.5" customHeight="1">
      <c r="B1348" s="13"/>
      <c r="C1348" t="s" s="9">
        <v>27</v>
      </c>
      <c r="D1348" t="s" s="8">
        <v>502</v>
      </c>
      <c r="E1348" t="s" s="9">
        <v>502</v>
      </c>
      <c r="F1348" t="s" s="10">
        <v>187</v>
      </c>
      <c r="G1348" s="14"/>
      <c r="H1348" t="s" s="10">
        <v>187</v>
      </c>
      <c r="I1348" s="14"/>
      <c r="J1348" t="s" s="11">
        <v>20</v>
      </c>
      <c r="K1348" s="15"/>
      <c r="L1348" t="s" s="16">
        <f>HYPERLINK("http://csr.bu.edu/ftp/asl/asllvd/demos/verify_start_end_handshape_annotations//test_auto_move//signs_mov_separ_signers/Naomi_3589.mov","MOV")</f>
        <v>21</v>
      </c>
      <c r="M1348" t="s" s="10">
        <v>29</v>
      </c>
      <c r="N1348" s="17">
        <v>41</v>
      </c>
      <c r="O1348" s="18">
        <v>2800</v>
      </c>
      <c r="P1348" s="18">
        <v>2831</v>
      </c>
      <c r="Q1348" s="15"/>
      <c r="R1348" t="s" s="16">
        <f>HYPERLINK("http://secrets.rutgers.edu:8080/data/asl-ftp/asllvd/demos/verify_start_end_handshape_annotations//test_auto_move//signs_mov_separ_signers/Naomi_3589.mov","MOV")</f>
        <v>21</v>
      </c>
    </row>
    <row r="1349" s="2" customFormat="1" ht="13.5" customHeight="1">
      <c r="B1349" s="13"/>
      <c r="C1349" t="s" s="9">
        <v>30</v>
      </c>
      <c r="D1349" t="s" s="8">
        <v>502</v>
      </c>
      <c r="E1349" t="s" s="9">
        <v>502</v>
      </c>
      <c r="F1349" t="s" s="10">
        <v>187</v>
      </c>
      <c r="G1349" s="14"/>
      <c r="H1349" t="s" s="10">
        <v>187</v>
      </c>
      <c r="I1349" s="14"/>
      <c r="J1349" t="s" s="11">
        <v>20</v>
      </c>
      <c r="K1349" s="15"/>
      <c r="L1349" t="s" s="16">
        <f>HYPERLINK("http://csr.bu.edu/ftp/asl/asllvd/demos/verify_start_end_handshape_annotations//test_auto_move//signs_mov_separ_signers/Brady_300.mov","MOV")</f>
        <v>21</v>
      </c>
      <c r="M1349" t="s" s="10">
        <v>31</v>
      </c>
      <c r="N1349" s="17">
        <v>22</v>
      </c>
      <c r="O1349" s="18">
        <v>22153</v>
      </c>
      <c r="P1349" s="18">
        <v>22177</v>
      </c>
      <c r="Q1349" s="15"/>
      <c r="R1349" t="s" s="16">
        <f>HYPERLINK("http://secrets.rutgers.edu:8080/data/asl-ftp/asllvd/demos/verify_start_end_handshape_annotations//test_auto_move//signs_mov_separ_signers/Brady_300.mov","MOV")</f>
        <v>21</v>
      </c>
    </row>
    <row r="1350" s="2" customFormat="1" ht="13.5" customHeight="1">
      <c r="B1350" s="13"/>
      <c r="C1350" t="s" s="9">
        <v>30</v>
      </c>
      <c r="D1350" t="s" s="8">
        <v>502</v>
      </c>
      <c r="E1350" t="s" s="9">
        <v>502</v>
      </c>
      <c r="F1350" t="s" s="10">
        <v>187</v>
      </c>
      <c r="G1350" s="14"/>
      <c r="H1350" t="s" s="10">
        <v>187</v>
      </c>
      <c r="I1350" s="14"/>
      <c r="J1350" t="s" s="11">
        <v>20</v>
      </c>
      <c r="K1350" s="15"/>
      <c r="L1350" t="s" s="16">
        <f>HYPERLINK("http://csr.bu.edu/ftp/asl/asllvd/demos/verify_start_end_handshape_annotations//test_auto_move//signs_mov_separ_signers/Brady_3589.mov","MOV")</f>
        <v>21</v>
      </c>
      <c r="M1350" t="s" s="10">
        <v>31</v>
      </c>
      <c r="N1350" s="17">
        <v>25</v>
      </c>
      <c r="O1350" s="18">
        <v>11816</v>
      </c>
      <c r="P1350" s="18">
        <v>11842</v>
      </c>
      <c r="Q1350" s="15"/>
      <c r="R1350" t="s" s="16">
        <f>HYPERLINK("http://secrets.rutgers.edu:8080/data/asl-ftp/asllvd/demos/verify_start_end_handshape_annotations//test_auto_move//signs_mov_separ_signers/Brady_3589.mov","MOV")</f>
        <v>21</v>
      </c>
    </row>
    <row r="1351" s="2" customFormat="1" ht="13.5" customHeight="1">
      <c r="B1351" s="13"/>
      <c r="C1351" t="s" s="9">
        <v>41</v>
      </c>
      <c r="D1351" t="s" s="8">
        <v>502</v>
      </c>
      <c r="E1351" t="s" s="9">
        <v>502</v>
      </c>
      <c r="F1351" t="s" s="10">
        <v>187</v>
      </c>
      <c r="G1351" s="14"/>
      <c r="H1351" t="s" s="10">
        <v>187</v>
      </c>
      <c r="I1351" s="14"/>
      <c r="J1351" t="s" s="11">
        <v>20</v>
      </c>
      <c r="K1351" s="15"/>
      <c r="L1351" t="s" s="16">
        <f>HYPERLINK("http://csr.bu.edu/ftp/asl/asllvd/demos/verify_start_end_handshape_annotations//test_auto_move//signs_mov_separ_signers/Lana_300.mov","MOV")</f>
        <v>21</v>
      </c>
      <c r="M1351" t="s" s="10">
        <v>42</v>
      </c>
      <c r="N1351" s="17">
        <v>4</v>
      </c>
      <c r="O1351" s="18">
        <v>1790</v>
      </c>
      <c r="P1351" s="18">
        <v>1809</v>
      </c>
      <c r="Q1351" s="15"/>
      <c r="R1351" t="s" s="16">
        <f>HYPERLINK("http://secrets.rutgers.edu:8080/data/asl-ftp/asllvd/demos/verify_start_end_handshape_annotations//test_auto_move//signs_mov_separ_signers/Lana_300.mov","MOV")</f>
        <v>21</v>
      </c>
    </row>
    <row r="1352" s="2" customFormat="1" ht="13.5" customHeight="1">
      <c r="B1352" s="13"/>
      <c r="C1352" t="s" s="9">
        <v>43</v>
      </c>
      <c r="D1352" t="s" s="8">
        <v>502</v>
      </c>
      <c r="E1352" t="s" s="9">
        <v>502</v>
      </c>
      <c r="F1352" t="s" s="10">
        <v>187</v>
      </c>
      <c r="G1352" s="14"/>
      <c r="H1352" t="s" s="10">
        <v>187</v>
      </c>
      <c r="I1352" s="14"/>
      <c r="J1352" t="s" s="11">
        <v>20</v>
      </c>
      <c r="K1352" s="15"/>
      <c r="L1352" t="s" s="16">
        <f>HYPERLINK("http://csr.bu.edu/ftp/asl/asllvd/demos/verify_start_end_handshape_annotations//test_auto_move//signs_mov_separ_signers/Dana_300.mov","MOV")</f>
        <v>21</v>
      </c>
      <c r="M1352" t="s" s="10">
        <v>44</v>
      </c>
      <c r="N1352" s="17">
        <v>8</v>
      </c>
      <c r="O1352" s="18">
        <v>1755</v>
      </c>
      <c r="P1352" s="18">
        <v>1806</v>
      </c>
      <c r="Q1352" s="15"/>
      <c r="R1352" t="s" s="16">
        <f>HYPERLINK("http://secrets.rutgers.edu:8080/data/asl-ftp/asllvd/demos/verify_start_end_handshape_annotations//test_auto_move//signs_mov_separ_signers/Dana_300.mov","MOV")</f>
        <v>21</v>
      </c>
    </row>
    <row r="1353" s="2" customFormat="1" ht="13.5" customHeight="1">
      <c r="B1353" t="s" s="8">
        <v>503</v>
      </c>
      <c r="C1353" t="s" s="9">
        <v>14</v>
      </c>
      <c r="D1353" t="s" s="8">
        <v>14</v>
      </c>
      <c r="E1353" t="s" s="9">
        <v>14</v>
      </c>
      <c r="F1353" t="s" s="10">
        <v>14</v>
      </c>
      <c r="G1353" t="s" s="11">
        <v>14</v>
      </c>
      <c r="H1353" t="s" s="10">
        <v>14</v>
      </c>
      <c r="I1353" t="s" s="11">
        <v>14</v>
      </c>
      <c r="J1353" t="s" s="11">
        <v>14</v>
      </c>
      <c r="K1353" t="s" s="12">
        <v>14</v>
      </c>
      <c r="L1353" t="s" s="12">
        <v>14</v>
      </c>
      <c r="M1353" t="s" s="10">
        <v>14</v>
      </c>
      <c r="N1353" t="s" s="11">
        <v>14</v>
      </c>
      <c r="O1353" t="s" s="8">
        <v>14</v>
      </c>
      <c r="P1353" t="s" s="8">
        <v>14</v>
      </c>
      <c r="Q1353" t="s" s="12">
        <v>14</v>
      </c>
      <c r="R1353" t="s" s="12">
        <v>14</v>
      </c>
    </row>
    <row r="1354" s="2" customFormat="1" ht="13.5" customHeight="1">
      <c r="B1354" s="13"/>
      <c r="C1354" t="s" s="9">
        <v>16</v>
      </c>
      <c r="D1354" t="s" s="8">
        <v>503</v>
      </c>
      <c r="E1354" t="s" s="9">
        <v>503</v>
      </c>
      <c r="F1354" t="s" s="10">
        <v>185</v>
      </c>
      <c r="G1354" s="14"/>
      <c r="H1354" t="s" s="10">
        <v>185</v>
      </c>
      <c r="I1354" s="14"/>
      <c r="J1354" t="s" s="11">
        <v>20</v>
      </c>
      <c r="K1354" s="15"/>
      <c r="L1354" t="s" s="16">
        <f>HYPERLINK("http://csr.bu.edu/ftp/asl/asllvd/demos/verify_start_end_handshape_annotations//test_auto_move//signs_mov_separ_signers/Liz_15303.mov","MOV")</f>
        <v>21</v>
      </c>
      <c r="M1354" t="s" s="10">
        <v>22</v>
      </c>
      <c r="N1354" s="17">
        <v>81</v>
      </c>
      <c r="O1354" s="18">
        <v>1606</v>
      </c>
      <c r="P1354" s="18">
        <v>1645</v>
      </c>
      <c r="Q1354" s="15"/>
      <c r="R1354" t="s" s="16">
        <f>HYPERLINK("http://secrets.rutgers.edu:8080/data/asl-ftp/asllvd/demos/verify_start_end_handshape_annotations//test_auto_move//signs_mov_separ_signers/Liz_15303.mov","MOV")</f>
        <v>21</v>
      </c>
    </row>
    <row r="1355" s="2" customFormat="1" ht="13.5" customHeight="1">
      <c r="B1355" s="13"/>
      <c r="C1355" t="s" s="9">
        <v>23</v>
      </c>
      <c r="D1355" t="s" s="8">
        <v>503</v>
      </c>
      <c r="E1355" t="s" s="9">
        <v>503</v>
      </c>
      <c r="F1355" t="s" s="10">
        <v>185</v>
      </c>
      <c r="G1355" s="14"/>
      <c r="H1355" t="s" s="10">
        <v>185</v>
      </c>
      <c r="I1355" s="14"/>
      <c r="J1355" t="s" s="11">
        <v>20</v>
      </c>
      <c r="K1355" t="s" s="16">
        <f>HYPERLINK("http://csr.bu.edu/ftp/asl/asllvd/demos/verify_start_end_handshape_annotations//test_auto_move//signs_mov/15303.mov","MOV")</f>
        <v>21</v>
      </c>
      <c r="L1355" t="s" s="16">
        <f>HYPERLINK("http://csr.bu.edu/ftp/asl/asllvd/demos/verify_start_end_handshape_annotations//test_auto_move//signs_mov_separ_signers/Tyler_15303.mov","MOV")</f>
        <v>21</v>
      </c>
      <c r="M1355" t="s" s="10">
        <v>26</v>
      </c>
      <c r="N1355" s="17">
        <v>48</v>
      </c>
      <c r="O1355" s="18">
        <v>1985</v>
      </c>
      <c r="P1355" s="18">
        <v>2030</v>
      </c>
      <c r="Q1355" t="s" s="16">
        <f>HYPERLINK("http://secrets.rutgers.edu:8080/data/asl-ftp/asllvd/demos/verify_start_end_handshape_annotations//test_auto_move//signs_mov/15303.mov","MOV")</f>
        <v>21</v>
      </c>
      <c r="R1355" t="s" s="16">
        <f>HYPERLINK("http://secrets.rutgers.edu:8080/data/asl-ftp/asllvd/demos/verify_start_end_handshape_annotations//test_auto_move//signs_mov_separ_signers/Tyler_15303.mov","MOV")</f>
        <v>21</v>
      </c>
    </row>
    <row r="1356" s="2" customFormat="1" ht="13.5" customHeight="1">
      <c r="B1356" s="13"/>
      <c r="C1356" t="s" s="9">
        <v>27</v>
      </c>
      <c r="D1356" t="s" s="8">
        <v>503</v>
      </c>
      <c r="E1356" t="s" s="9">
        <v>503</v>
      </c>
      <c r="F1356" t="s" s="10">
        <v>185</v>
      </c>
      <c r="G1356" s="14"/>
      <c r="H1356" t="s" s="10">
        <v>185</v>
      </c>
      <c r="I1356" s="14"/>
      <c r="J1356" t="s" s="11">
        <v>20</v>
      </c>
      <c r="K1356" s="15"/>
      <c r="L1356" t="s" s="16">
        <f>HYPERLINK("http://csr.bu.edu/ftp/asl/asllvd/demos/verify_start_end_handshape_annotations//test_auto_move//signs_mov_separ_signers/Naomi_15303.mov","MOV")</f>
        <v>21</v>
      </c>
      <c r="M1356" t="s" s="10">
        <v>29</v>
      </c>
      <c r="N1356" s="17">
        <v>50</v>
      </c>
      <c r="O1356" s="18">
        <v>2177</v>
      </c>
      <c r="P1356" s="18">
        <v>2200</v>
      </c>
      <c r="Q1356" s="15"/>
      <c r="R1356" t="s" s="16">
        <f>HYPERLINK("http://secrets.rutgers.edu:8080/data/asl-ftp/asllvd/demos/verify_start_end_handshape_annotations//test_auto_move//signs_mov_separ_signers/Naomi_15303.mov","MOV")</f>
        <v>21</v>
      </c>
    </row>
    <row r="1357" s="2" customFormat="1" ht="13.5" customHeight="1">
      <c r="B1357" s="13"/>
      <c r="C1357" t="s" s="9">
        <v>30</v>
      </c>
      <c r="D1357" t="s" s="8">
        <v>503</v>
      </c>
      <c r="E1357" t="s" s="9">
        <v>503</v>
      </c>
      <c r="F1357" t="s" s="10">
        <v>185</v>
      </c>
      <c r="G1357" s="14"/>
      <c r="H1357" t="s" s="10">
        <v>185</v>
      </c>
      <c r="I1357" s="14"/>
      <c r="J1357" t="s" s="11">
        <v>20</v>
      </c>
      <c r="K1357" s="15"/>
      <c r="L1357" t="s" s="16">
        <f>HYPERLINK("http://csr.bu.edu/ftp/asl/asllvd/demos/verify_start_end_handshape_annotations//test_auto_move//signs_mov_separ_signers/Brady_15303.mov","MOV")</f>
        <v>21</v>
      </c>
      <c r="M1357" t="s" s="10">
        <v>31</v>
      </c>
      <c r="N1357" s="17">
        <v>28</v>
      </c>
      <c r="O1357" s="18">
        <v>9501</v>
      </c>
      <c r="P1357" s="18">
        <v>9527</v>
      </c>
      <c r="Q1357" s="15"/>
      <c r="R1357" t="s" s="16">
        <f>HYPERLINK("http://secrets.rutgers.edu:8080/data/asl-ftp/asllvd/demos/verify_start_end_handshape_annotations//test_auto_move//signs_mov_separ_signers/Brady_15303.mov","MOV")</f>
        <v>21</v>
      </c>
    </row>
    <row r="1358" s="2" customFormat="1" ht="13.5" customHeight="1">
      <c r="B1358" t="s" s="8">
        <v>504</v>
      </c>
      <c r="C1358" t="s" s="9">
        <v>14</v>
      </c>
      <c r="D1358" t="s" s="8">
        <v>14</v>
      </c>
      <c r="E1358" t="s" s="9">
        <v>14</v>
      </c>
      <c r="F1358" t="s" s="10">
        <v>14</v>
      </c>
      <c r="G1358" t="s" s="11">
        <v>14</v>
      </c>
      <c r="H1358" t="s" s="10">
        <v>14</v>
      </c>
      <c r="I1358" t="s" s="11">
        <v>14</v>
      </c>
      <c r="J1358" t="s" s="11">
        <v>14</v>
      </c>
      <c r="K1358" t="s" s="12">
        <v>14</v>
      </c>
      <c r="L1358" t="s" s="12">
        <v>14</v>
      </c>
      <c r="M1358" t="s" s="10">
        <v>14</v>
      </c>
      <c r="N1358" t="s" s="11">
        <v>14</v>
      </c>
      <c r="O1358" t="s" s="8">
        <v>14</v>
      </c>
      <c r="P1358" t="s" s="8">
        <v>14</v>
      </c>
      <c r="Q1358" t="s" s="12">
        <v>14</v>
      </c>
      <c r="R1358" t="s" s="12">
        <v>14</v>
      </c>
    </row>
    <row r="1359" s="2" customFormat="1" ht="13.5" customHeight="1">
      <c r="B1359" s="13"/>
      <c r="C1359" t="s" s="9">
        <v>16</v>
      </c>
      <c r="D1359" t="s" s="8">
        <v>504</v>
      </c>
      <c r="E1359" t="s" s="9">
        <v>504</v>
      </c>
      <c r="F1359" t="s" s="10">
        <v>152</v>
      </c>
      <c r="G1359" s="14"/>
      <c r="H1359" t="s" s="10">
        <v>152</v>
      </c>
      <c r="I1359" s="14"/>
      <c r="J1359" t="s" s="11">
        <v>20</v>
      </c>
      <c r="K1359" s="15"/>
      <c r="L1359" t="s" s="16">
        <f>HYPERLINK("http://csr.bu.edu/ftp/asl/asllvd/demos/verify_start_end_handshape_annotations//test_auto_move//signs_mov_separ_signers/Liz_301.mov","MOV")</f>
        <v>21</v>
      </c>
      <c r="M1359" t="s" s="10">
        <v>22</v>
      </c>
      <c r="N1359" s="17">
        <v>51</v>
      </c>
      <c r="O1359" s="18">
        <v>845</v>
      </c>
      <c r="P1359" s="18">
        <v>891</v>
      </c>
      <c r="Q1359" s="15"/>
      <c r="R1359" t="s" s="16">
        <f>HYPERLINK("http://secrets.rutgers.edu:8080/data/asl-ftp/asllvd/demos/verify_start_end_handshape_annotations//test_auto_move//signs_mov_separ_signers/Liz_301.mov","MOV")</f>
        <v>21</v>
      </c>
    </row>
    <row r="1360" s="2" customFormat="1" ht="13.5" customHeight="1">
      <c r="B1360" s="13"/>
      <c r="C1360" t="s" s="9">
        <v>16</v>
      </c>
      <c r="D1360" t="s" s="8">
        <v>504</v>
      </c>
      <c r="E1360" t="s" s="9">
        <v>504</v>
      </c>
      <c r="F1360" t="s" s="10">
        <v>152</v>
      </c>
      <c r="G1360" s="14"/>
      <c r="H1360" t="s" s="10">
        <v>152</v>
      </c>
      <c r="I1360" s="14"/>
      <c r="J1360" t="s" s="11">
        <v>20</v>
      </c>
      <c r="K1360" s="15"/>
      <c r="L1360" t="s" s="16">
        <f>HYPERLINK("http://csr.bu.edu/ftp/asl/asllvd/demos/verify_start_end_handshape_annotations//test_auto_move//signs_mov_separ_signers/Liz_3495.mov","MOV")</f>
        <v>21</v>
      </c>
      <c r="M1360" t="s" s="10">
        <v>22</v>
      </c>
      <c r="N1360" s="17">
        <v>51</v>
      </c>
      <c r="O1360" s="18">
        <v>1250</v>
      </c>
      <c r="P1360" s="18">
        <v>1285</v>
      </c>
      <c r="Q1360" s="15"/>
      <c r="R1360" t="s" s="16">
        <f>HYPERLINK("http://secrets.rutgers.edu:8080/data/asl-ftp/asllvd/demos/verify_start_end_handshape_annotations//test_auto_move//signs_mov_separ_signers/Liz_3495.mov","MOV")</f>
        <v>21</v>
      </c>
    </row>
    <row r="1361" s="2" customFormat="1" ht="13.5" customHeight="1">
      <c r="B1361" s="13"/>
      <c r="C1361" t="s" s="9">
        <v>23</v>
      </c>
      <c r="D1361" t="s" s="8">
        <v>504</v>
      </c>
      <c r="E1361" t="s" s="9">
        <v>504</v>
      </c>
      <c r="F1361" t="s" s="10">
        <v>152</v>
      </c>
      <c r="G1361" s="14"/>
      <c r="H1361" t="s" s="10">
        <v>152</v>
      </c>
      <c r="I1361" s="14"/>
      <c r="J1361" t="s" s="11">
        <v>20</v>
      </c>
      <c r="K1361" s="15"/>
      <c r="L1361" t="s" s="16">
        <f>HYPERLINK("http://csr.bu.edu/ftp/asl/asllvd/demos/verify_start_end_handshape_annotations//test_auto_move//signs_mov_separ_signers/Tyler_301.mov","MOV")</f>
        <v>21</v>
      </c>
      <c r="M1361" t="s" s="10">
        <v>26</v>
      </c>
      <c r="N1361" s="17">
        <v>32</v>
      </c>
      <c r="O1361" s="18">
        <v>222</v>
      </c>
      <c r="P1361" s="18">
        <v>276</v>
      </c>
      <c r="Q1361" s="15"/>
      <c r="R1361" t="s" s="16">
        <f>HYPERLINK("http://secrets.rutgers.edu:8080/data/asl-ftp/asllvd/demos/verify_start_end_handshape_annotations//test_auto_move//signs_mov_separ_signers/Tyler_301.mov","MOV")</f>
        <v>21</v>
      </c>
    </row>
    <row r="1362" s="2" customFormat="1" ht="13.5" customHeight="1">
      <c r="B1362" s="13"/>
      <c r="C1362" t="s" s="9">
        <v>27</v>
      </c>
      <c r="D1362" t="s" s="8">
        <v>504</v>
      </c>
      <c r="E1362" t="s" s="9">
        <v>504</v>
      </c>
      <c r="F1362" t="s" s="10">
        <v>152</v>
      </c>
      <c r="G1362" s="14"/>
      <c r="H1362" t="s" s="10">
        <v>152</v>
      </c>
      <c r="I1362" s="14"/>
      <c r="J1362" t="s" s="11">
        <v>20</v>
      </c>
      <c r="K1362" s="15"/>
      <c r="L1362" t="s" s="16">
        <f>HYPERLINK("http://csr.bu.edu/ftp/asl/asllvd/demos/verify_start_end_handshape_annotations//test_auto_move//signs_mov_separ_signers/Naomi_301.mov","MOV")</f>
        <v>21</v>
      </c>
      <c r="M1362" t="s" s="10">
        <v>29</v>
      </c>
      <c r="N1362" s="17">
        <v>33</v>
      </c>
      <c r="O1362" s="18">
        <v>443</v>
      </c>
      <c r="P1362" s="18">
        <v>468</v>
      </c>
      <c r="Q1362" s="15"/>
      <c r="R1362" t="s" s="16">
        <f>HYPERLINK("http://secrets.rutgers.edu:8080/data/asl-ftp/asllvd/demos/verify_start_end_handshape_annotations//test_auto_move//signs_mov_separ_signers/Naomi_301.mov","MOV")</f>
        <v>21</v>
      </c>
    </row>
    <row r="1363" s="2" customFormat="1" ht="13.5" customHeight="1">
      <c r="B1363" s="13"/>
      <c r="C1363" t="s" s="9">
        <v>30</v>
      </c>
      <c r="D1363" t="s" s="8">
        <v>504</v>
      </c>
      <c r="E1363" t="s" s="9">
        <v>504</v>
      </c>
      <c r="F1363" t="s" s="10">
        <v>152</v>
      </c>
      <c r="G1363" s="14"/>
      <c r="H1363" t="s" s="10">
        <v>152</v>
      </c>
      <c r="I1363" s="14"/>
      <c r="J1363" t="s" s="11">
        <v>20</v>
      </c>
      <c r="K1363" t="s" s="16">
        <f>HYPERLINK("http://csr.bu.edu/ftp/asl/asllvd/demos/verify_start_end_handshape_annotations//test_auto_move//signs_mov/301_3495_5927_merged.mov","MOV")</f>
        <v>21</v>
      </c>
      <c r="L1363" t="s" s="16">
        <f>HYPERLINK("http://csr.bu.edu/ftp/asl/asllvd/demos/verify_start_end_handshape_annotations//test_auto_move//signs_mov_separ_signers/Brady_301.mov","MOV")</f>
        <v>21</v>
      </c>
      <c r="M1363" t="s" s="10">
        <v>31</v>
      </c>
      <c r="N1363" s="17">
        <v>22</v>
      </c>
      <c r="O1363" s="18">
        <v>21220</v>
      </c>
      <c r="P1363" s="18">
        <v>21250</v>
      </c>
      <c r="Q1363" t="s" s="16">
        <f>HYPERLINK("http://secrets.rutgers.edu:8080/data/asl-ftp/asllvd/demos/verify_start_end_handshape_annotations//test_auto_move//signs_mov/301_3495_5927_merged.mov","MOV")</f>
        <v>21</v>
      </c>
      <c r="R1363" t="s" s="16">
        <f>HYPERLINK("http://secrets.rutgers.edu:8080/data/asl-ftp/asllvd/demos/verify_start_end_handshape_annotations//test_auto_move//signs_mov_separ_signers/Brady_301.mov","MOV")</f>
        <v>21</v>
      </c>
    </row>
    <row r="1364" s="2" customFormat="1" ht="13.5" customHeight="1">
      <c r="B1364" s="13"/>
      <c r="C1364" t="s" s="9">
        <v>30</v>
      </c>
      <c r="D1364" t="s" s="8">
        <v>504</v>
      </c>
      <c r="E1364" t="s" s="9">
        <v>504</v>
      </c>
      <c r="F1364" t="s" s="10">
        <v>152</v>
      </c>
      <c r="G1364" s="14"/>
      <c r="H1364" t="s" s="10">
        <v>152</v>
      </c>
      <c r="I1364" s="14"/>
      <c r="J1364" t="s" s="11">
        <v>20</v>
      </c>
      <c r="K1364" s="15"/>
      <c r="L1364" t="s" s="16">
        <f>HYPERLINK("http://csr.bu.edu/ftp/asl/asllvd/demos/verify_start_end_handshape_annotations//test_auto_move//signs_mov_separ_signers/Brady_3495.mov","MOV")</f>
        <v>21</v>
      </c>
      <c r="M1364" t="s" s="10">
        <v>31</v>
      </c>
      <c r="N1364" s="17">
        <v>22</v>
      </c>
      <c r="O1364" s="18">
        <v>23800</v>
      </c>
      <c r="P1364" s="18">
        <v>23829</v>
      </c>
      <c r="Q1364" s="15"/>
      <c r="R1364" t="s" s="16">
        <f>HYPERLINK("http://secrets.rutgers.edu:8080/data/asl-ftp/asllvd/demos/verify_start_end_handshape_annotations//test_auto_move//signs_mov_separ_signers/Brady_3495.mov","MOV")</f>
        <v>21</v>
      </c>
    </row>
    <row r="1365" s="2" customFormat="1" ht="13.5" customHeight="1">
      <c r="B1365" s="13"/>
      <c r="C1365" t="s" s="9">
        <v>30</v>
      </c>
      <c r="D1365" t="s" s="8">
        <v>504</v>
      </c>
      <c r="E1365" t="s" s="9">
        <v>504</v>
      </c>
      <c r="F1365" t="s" s="10">
        <v>55</v>
      </c>
      <c r="G1365" s="14"/>
      <c r="H1365" t="s" s="10">
        <v>55</v>
      </c>
      <c r="I1365" s="14"/>
      <c r="J1365" t="s" s="11">
        <v>20</v>
      </c>
      <c r="K1365" s="15"/>
      <c r="L1365" t="s" s="16">
        <f>HYPERLINK("http://csr.bu.edu/ftp/asl/asllvd/demos/verify_start_end_handshape_annotations//test_auto_move//signs_mov_separ_signers/Brady_5927.mov","MOV")</f>
        <v>21</v>
      </c>
      <c r="M1365" t="s" s="10">
        <v>60</v>
      </c>
      <c r="N1365" s="17">
        <v>39</v>
      </c>
      <c r="O1365" s="18">
        <v>539</v>
      </c>
      <c r="P1365" s="18">
        <v>592</v>
      </c>
      <c r="Q1365" s="15"/>
      <c r="R1365" t="s" s="16">
        <f>HYPERLINK("http://secrets.rutgers.edu:8080/data/asl-ftp/asllvd/demos/verify_start_end_handshape_annotations//test_auto_move//signs_mov_separ_signers/Brady_5927.mov","MOV")</f>
        <v>21</v>
      </c>
    </row>
    <row r="1366" s="2" customFormat="1" ht="13.5" customHeight="1">
      <c r="B1366" s="13"/>
      <c r="C1366" t="s" s="9">
        <v>41</v>
      </c>
      <c r="D1366" t="s" s="8">
        <v>504</v>
      </c>
      <c r="E1366" t="s" s="9">
        <v>504</v>
      </c>
      <c r="F1366" t="s" s="10">
        <v>55</v>
      </c>
      <c r="G1366" s="14"/>
      <c r="H1366" t="s" s="10">
        <v>55</v>
      </c>
      <c r="I1366" s="14"/>
      <c r="J1366" t="s" s="11">
        <v>20</v>
      </c>
      <c r="K1366" s="15"/>
      <c r="L1366" t="s" s="16">
        <f>HYPERLINK("http://csr.bu.edu/ftp/asl/asllvd/demos/verify_start_end_handshape_annotations//test_auto_move//signs_mov_separ_signers/Lana_301.mov","MOV")</f>
        <v>21</v>
      </c>
      <c r="M1366" t="s" s="10">
        <v>42</v>
      </c>
      <c r="N1366" s="17">
        <v>4</v>
      </c>
      <c r="O1366" s="18">
        <v>2036</v>
      </c>
      <c r="P1366" s="18">
        <v>2082</v>
      </c>
      <c r="Q1366" s="15"/>
      <c r="R1366" t="s" s="16">
        <f>HYPERLINK("http://secrets.rutgers.edu:8080/data/asl-ftp/asllvd/demos/verify_start_end_handshape_annotations//test_auto_move//signs_mov_separ_signers/Lana_301.mov","MOV")</f>
        <v>21</v>
      </c>
    </row>
    <row r="1367" s="2" customFormat="1" ht="13.5" customHeight="1">
      <c r="B1367" s="13"/>
      <c r="C1367" t="s" s="9">
        <v>43</v>
      </c>
      <c r="D1367" t="s" s="8">
        <v>504</v>
      </c>
      <c r="E1367" t="s" s="9">
        <v>504</v>
      </c>
      <c r="F1367" t="s" s="10">
        <v>152</v>
      </c>
      <c r="G1367" s="14"/>
      <c r="H1367" t="s" s="10">
        <v>152</v>
      </c>
      <c r="I1367" s="14"/>
      <c r="J1367" t="s" s="11">
        <v>20</v>
      </c>
      <c r="K1367" s="15"/>
      <c r="L1367" t="s" s="16">
        <f>HYPERLINK("http://csr.bu.edu/ftp/asl/asllvd/demos/verify_start_end_handshape_annotations//test_auto_move//signs_mov_separ_signers/Dana_301.mov","MOV")</f>
        <v>21</v>
      </c>
      <c r="M1367" t="s" s="10">
        <v>44</v>
      </c>
      <c r="N1367" s="17">
        <v>8</v>
      </c>
      <c r="O1367" s="18">
        <v>2015</v>
      </c>
      <c r="P1367" s="18">
        <v>2068</v>
      </c>
      <c r="Q1367" s="15"/>
      <c r="R1367" t="s" s="16">
        <f>HYPERLINK("http://secrets.rutgers.edu:8080/data/asl-ftp/asllvd/demos/verify_start_end_handshape_annotations//test_auto_move//signs_mov_separ_signers/Dana_301.mov","MOV")</f>
        <v>21</v>
      </c>
    </row>
    <row r="1368" s="2" customFormat="1" ht="13.5" customHeight="1">
      <c r="B1368" t="s" s="8">
        <v>505</v>
      </c>
      <c r="C1368" t="s" s="9">
        <v>14</v>
      </c>
      <c r="D1368" t="s" s="8">
        <v>14</v>
      </c>
      <c r="E1368" t="s" s="9">
        <v>14</v>
      </c>
      <c r="F1368" t="s" s="10">
        <v>14</v>
      </c>
      <c r="G1368" t="s" s="11">
        <v>14</v>
      </c>
      <c r="H1368" t="s" s="10">
        <v>14</v>
      </c>
      <c r="I1368" t="s" s="11">
        <v>14</v>
      </c>
      <c r="J1368" t="s" s="11">
        <v>14</v>
      </c>
      <c r="K1368" t="s" s="12">
        <v>14</v>
      </c>
      <c r="L1368" t="s" s="12">
        <v>14</v>
      </c>
      <c r="M1368" t="s" s="10">
        <v>14</v>
      </c>
      <c r="N1368" t="s" s="11">
        <v>14</v>
      </c>
      <c r="O1368" t="s" s="8">
        <v>14</v>
      </c>
      <c r="P1368" t="s" s="8">
        <v>14</v>
      </c>
      <c r="Q1368" t="s" s="12">
        <v>14</v>
      </c>
      <c r="R1368" t="s" s="12">
        <v>14</v>
      </c>
    </row>
    <row r="1369" s="2" customFormat="1" ht="13.5" customHeight="1">
      <c r="B1369" s="13"/>
      <c r="C1369" t="s" s="9">
        <v>16</v>
      </c>
      <c r="D1369" t="s" s="8">
        <v>505</v>
      </c>
      <c r="E1369" t="s" s="9">
        <v>505</v>
      </c>
      <c r="F1369" t="s" s="10">
        <v>229</v>
      </c>
      <c r="G1369" t="s" s="11">
        <v>150</v>
      </c>
      <c r="H1369" t="s" s="10">
        <v>425</v>
      </c>
      <c r="I1369" t="s" s="11">
        <v>119</v>
      </c>
      <c r="J1369" t="s" s="11">
        <v>20</v>
      </c>
      <c r="K1369" s="15"/>
      <c r="L1369" t="s" s="16">
        <f>HYPERLINK("http://csr.bu.edu/ftp/asl/asllvd/demos/verify_start_end_handshape_annotations//test_auto_move//signs_mov_separ_signers/Liz_302.mov","MOV")</f>
        <v>21</v>
      </c>
      <c r="M1369" t="s" s="10">
        <v>22</v>
      </c>
      <c r="N1369" s="17">
        <v>51</v>
      </c>
      <c r="O1369" s="18">
        <v>1045</v>
      </c>
      <c r="P1369" s="18">
        <v>1075</v>
      </c>
      <c r="Q1369" s="15"/>
      <c r="R1369" t="s" s="16">
        <f>HYPERLINK("http://secrets.rutgers.edu:8080/data/asl-ftp/asllvd/demos/verify_start_end_handshape_annotations//test_auto_move//signs_mov_separ_signers/Liz_302.mov","MOV")</f>
        <v>21</v>
      </c>
    </row>
    <row r="1370" s="2" customFormat="1" ht="13.5" customHeight="1">
      <c r="B1370" s="13"/>
      <c r="C1370" t="s" s="9">
        <v>23</v>
      </c>
      <c r="D1370" t="s" s="8">
        <v>505</v>
      </c>
      <c r="E1370" t="s" s="9">
        <v>505</v>
      </c>
      <c r="F1370" t="s" s="10">
        <v>229</v>
      </c>
      <c r="G1370" t="s" s="11">
        <v>150</v>
      </c>
      <c r="H1370" t="s" s="10">
        <v>425</v>
      </c>
      <c r="I1370" t="s" s="11">
        <v>68</v>
      </c>
      <c r="J1370" t="s" s="11">
        <v>20</v>
      </c>
      <c r="K1370" t="s" s="16">
        <f>HYPERLINK("http://csr.bu.edu/ftp/asl/asllvd/demos/verify_start_end_handshape_annotations//test_auto_move//signs_mov/302.mov","MOV")</f>
        <v>21</v>
      </c>
      <c r="L1370" t="s" s="16">
        <f>HYPERLINK("http://csr.bu.edu/ftp/asl/asllvd/demos/verify_start_end_handshape_annotations//test_auto_move//signs_mov_separ_signers/Tyler_302.mov","MOV")</f>
        <v>21</v>
      </c>
      <c r="M1370" t="s" s="10">
        <v>26</v>
      </c>
      <c r="N1370" s="17">
        <v>32</v>
      </c>
      <c r="O1370" s="18">
        <v>495</v>
      </c>
      <c r="P1370" s="18">
        <v>512</v>
      </c>
      <c r="Q1370" t="s" s="16">
        <f>HYPERLINK("http://secrets.rutgers.edu:8080/data/asl-ftp/asllvd/demos/verify_start_end_handshape_annotations//test_auto_move//signs_mov/302.mov","MOV")</f>
        <v>21</v>
      </c>
      <c r="R1370" t="s" s="16">
        <f>HYPERLINK("http://secrets.rutgers.edu:8080/data/asl-ftp/asllvd/demos/verify_start_end_handshape_annotations//test_auto_move//signs_mov_separ_signers/Tyler_302.mov","MOV")</f>
        <v>21</v>
      </c>
    </row>
    <row r="1371" s="2" customFormat="1" ht="13.5" customHeight="1">
      <c r="B1371" s="13"/>
      <c r="C1371" t="s" s="9">
        <v>27</v>
      </c>
      <c r="D1371" t="s" s="8">
        <v>505</v>
      </c>
      <c r="E1371" t="s" s="9">
        <v>505</v>
      </c>
      <c r="F1371" t="s" s="10">
        <v>229</v>
      </c>
      <c r="G1371" t="s" s="11">
        <v>150</v>
      </c>
      <c r="H1371" t="s" s="10">
        <v>425</v>
      </c>
      <c r="I1371" t="s" s="11">
        <v>119</v>
      </c>
      <c r="J1371" t="s" s="11">
        <v>20</v>
      </c>
      <c r="K1371" s="15"/>
      <c r="L1371" t="s" s="16">
        <f>HYPERLINK("http://csr.bu.edu/ftp/asl/asllvd/demos/verify_start_end_handshape_annotations//test_auto_move//signs_mov_separ_signers/Naomi_302.mov","MOV")</f>
        <v>21</v>
      </c>
      <c r="M1371" t="s" s="10">
        <v>29</v>
      </c>
      <c r="N1371" s="17">
        <v>33</v>
      </c>
      <c r="O1371" s="18">
        <v>658</v>
      </c>
      <c r="P1371" s="18">
        <v>675</v>
      </c>
      <c r="Q1371" s="15"/>
      <c r="R1371" t="s" s="16">
        <f>HYPERLINK("http://secrets.rutgers.edu:8080/data/asl-ftp/asllvd/demos/verify_start_end_handshape_annotations//test_auto_move//signs_mov_separ_signers/Naomi_302.mov","MOV")</f>
        <v>21</v>
      </c>
    </row>
    <row r="1372" s="2" customFormat="1" ht="13.5" customHeight="1">
      <c r="B1372" s="13"/>
      <c r="C1372" t="s" s="9">
        <v>30</v>
      </c>
      <c r="D1372" t="s" s="8">
        <v>505</v>
      </c>
      <c r="E1372" t="s" s="9">
        <v>505</v>
      </c>
      <c r="F1372" t="s" s="10">
        <v>229</v>
      </c>
      <c r="G1372" t="s" s="11">
        <v>150</v>
      </c>
      <c r="H1372" t="s" s="10">
        <v>506</v>
      </c>
      <c r="I1372" t="s" s="11">
        <v>63</v>
      </c>
      <c r="J1372" t="s" s="11">
        <v>20</v>
      </c>
      <c r="K1372" s="15"/>
      <c r="L1372" t="s" s="16">
        <f>HYPERLINK("http://csr.bu.edu/ftp/asl/asllvd/demos/verify_start_end_handshape_annotations//test_auto_move//signs_mov_separ_signers/Brady_302.mov","MOV")</f>
        <v>21</v>
      </c>
      <c r="M1372" t="s" s="10">
        <v>31</v>
      </c>
      <c r="N1372" s="17">
        <v>22</v>
      </c>
      <c r="O1372" s="18">
        <v>22912</v>
      </c>
      <c r="P1372" s="18">
        <v>22924</v>
      </c>
      <c r="Q1372" s="15"/>
      <c r="R1372" t="s" s="16">
        <f>HYPERLINK("http://secrets.rutgers.edu:8080/data/asl-ftp/asllvd/demos/verify_start_end_handshape_annotations//test_auto_move//signs_mov_separ_signers/Brady_302.mov","MOV")</f>
        <v>21</v>
      </c>
    </row>
    <row r="1373" s="2" customFormat="1" ht="13.5" customHeight="1">
      <c r="B1373" t="s" s="8">
        <v>507</v>
      </c>
      <c r="C1373" t="s" s="9">
        <v>14</v>
      </c>
      <c r="D1373" t="s" s="8">
        <v>14</v>
      </c>
      <c r="E1373" t="s" s="9">
        <v>14</v>
      </c>
      <c r="F1373" t="s" s="10">
        <v>14</v>
      </c>
      <c r="G1373" t="s" s="11">
        <v>14</v>
      </c>
      <c r="H1373" t="s" s="10">
        <v>14</v>
      </c>
      <c r="I1373" t="s" s="11">
        <v>14</v>
      </c>
      <c r="J1373" t="s" s="11">
        <v>14</v>
      </c>
      <c r="K1373" t="s" s="12">
        <v>14</v>
      </c>
      <c r="L1373" t="s" s="12">
        <v>14</v>
      </c>
      <c r="M1373" t="s" s="10">
        <v>14</v>
      </c>
      <c r="N1373" t="s" s="11">
        <v>14</v>
      </c>
      <c r="O1373" t="s" s="8">
        <v>14</v>
      </c>
      <c r="P1373" t="s" s="8">
        <v>14</v>
      </c>
      <c r="Q1373" t="s" s="12">
        <v>14</v>
      </c>
      <c r="R1373" t="s" s="12">
        <v>14</v>
      </c>
    </row>
    <row r="1374" s="2" customFormat="1" ht="13.5" customHeight="1">
      <c r="B1374" s="13"/>
      <c r="C1374" t="s" s="9">
        <v>16</v>
      </c>
      <c r="D1374" t="s" s="8">
        <v>507</v>
      </c>
      <c r="E1374" t="s" s="9">
        <v>507</v>
      </c>
      <c r="F1374" t="s" s="10">
        <v>150</v>
      </c>
      <c r="G1374" t="s" s="11">
        <v>73</v>
      </c>
      <c r="H1374" t="s" s="10">
        <v>150</v>
      </c>
      <c r="I1374" t="s" s="11">
        <v>73</v>
      </c>
      <c r="J1374" t="s" s="11">
        <v>20</v>
      </c>
      <c r="K1374" s="15"/>
      <c r="L1374" t="s" s="16">
        <f>HYPERLINK("http://csr.bu.edu/ftp/asl/asllvd/demos/verify_start_end_handshape_annotations//test_auto_move//signs_mov_separ_signers/Liz_304.mov","MOV")</f>
        <v>21</v>
      </c>
      <c r="M1374" t="s" s="10">
        <v>22</v>
      </c>
      <c r="N1374" s="17">
        <v>51</v>
      </c>
      <c r="O1374" s="18">
        <v>1480</v>
      </c>
      <c r="P1374" s="18">
        <v>1505</v>
      </c>
      <c r="Q1374" s="15"/>
      <c r="R1374" t="s" s="16">
        <f>HYPERLINK("http://secrets.rutgers.edu:8080/data/asl-ftp/asllvd/demos/verify_start_end_handshape_annotations//test_auto_move//signs_mov_separ_signers/Liz_304.mov","MOV")</f>
        <v>21</v>
      </c>
    </row>
    <row r="1375" s="2" customFormat="1" ht="13.5" customHeight="1">
      <c r="B1375" s="13"/>
      <c r="C1375" t="s" s="9">
        <v>16</v>
      </c>
      <c r="D1375" t="s" s="8">
        <v>507</v>
      </c>
      <c r="E1375" t="s" s="9">
        <v>507</v>
      </c>
      <c r="F1375" t="s" s="10">
        <v>185</v>
      </c>
      <c r="G1375" t="s" s="11">
        <v>73</v>
      </c>
      <c r="H1375" t="s" s="10">
        <v>185</v>
      </c>
      <c r="I1375" t="s" s="11">
        <v>73</v>
      </c>
      <c r="J1375" t="s" s="11">
        <v>20</v>
      </c>
      <c r="K1375" t="s" s="16">
        <f>HYPERLINK("http://csr.bu.edu/ftp/asl/asllvd/demos/verify_start_end_handshape_annotations//test_auto_move//signs_mov/304_5608_merged.mov","MOV")</f>
        <v>21</v>
      </c>
      <c r="L1375" t="s" s="16">
        <f>HYPERLINK("http://csr.bu.edu/ftp/asl/asllvd/demos/verify_start_end_handshape_annotations//test_auto_move//signs_mov_separ_signers/Liz_5608.mov","MOV")</f>
        <v>21</v>
      </c>
      <c r="M1375" t="s" s="10">
        <v>77</v>
      </c>
      <c r="N1375" s="17">
        <v>1</v>
      </c>
      <c r="O1375" s="18">
        <v>5085</v>
      </c>
      <c r="P1375" s="18">
        <v>5117</v>
      </c>
      <c r="Q1375" t="s" s="16">
        <f>HYPERLINK("http://secrets.rutgers.edu:8080/data/asl-ftp/asllvd/demos/verify_start_end_handshape_annotations//test_auto_move//signs_mov/304_5608_merged.mov","MOV")</f>
        <v>21</v>
      </c>
      <c r="R1375" t="s" s="16">
        <f>HYPERLINK("http://secrets.rutgers.edu:8080/data/asl-ftp/asllvd/demos/verify_start_end_handshape_annotations//test_auto_move//signs_mov_separ_signers/Liz_5608.mov","MOV")</f>
        <v>21</v>
      </c>
    </row>
    <row r="1376" s="2" customFormat="1" ht="13.5" customHeight="1">
      <c r="B1376" s="13"/>
      <c r="C1376" t="s" s="9">
        <v>23</v>
      </c>
      <c r="D1376" t="s" s="8">
        <v>507</v>
      </c>
      <c r="E1376" t="s" s="9">
        <v>507</v>
      </c>
      <c r="F1376" t="s" s="10">
        <v>185</v>
      </c>
      <c r="G1376" t="s" s="11">
        <v>73</v>
      </c>
      <c r="H1376" t="s" s="10">
        <v>185</v>
      </c>
      <c r="I1376" t="s" s="11">
        <v>73</v>
      </c>
      <c r="J1376" t="s" s="11">
        <v>20</v>
      </c>
      <c r="K1376" s="15"/>
      <c r="L1376" t="s" s="16">
        <f>HYPERLINK("http://csr.bu.edu/ftp/asl/asllvd/demos/verify_start_end_handshape_annotations//test_auto_move//signs_mov_separ_signers/Tyler_304.mov","MOV")</f>
        <v>21</v>
      </c>
      <c r="M1376" t="s" s="10">
        <v>26</v>
      </c>
      <c r="N1376" s="17">
        <v>32</v>
      </c>
      <c r="O1376" s="18">
        <v>1022</v>
      </c>
      <c r="P1376" s="18">
        <v>1075</v>
      </c>
      <c r="Q1376" s="15"/>
      <c r="R1376" t="s" s="16">
        <f>HYPERLINK("http://secrets.rutgers.edu:8080/data/asl-ftp/asllvd/demos/verify_start_end_handshape_annotations//test_auto_move//signs_mov_separ_signers/Tyler_304.mov","MOV")</f>
        <v>21</v>
      </c>
    </row>
    <row r="1377" s="2" customFormat="1" ht="13.5" customHeight="1">
      <c r="B1377" s="13"/>
      <c r="C1377" t="s" s="9">
        <v>27</v>
      </c>
      <c r="D1377" t="s" s="8">
        <v>507</v>
      </c>
      <c r="E1377" t="s" s="9">
        <v>507</v>
      </c>
      <c r="F1377" t="s" s="10">
        <v>185</v>
      </c>
      <c r="G1377" t="s" s="11">
        <v>73</v>
      </c>
      <c r="H1377" t="s" s="10">
        <v>185</v>
      </c>
      <c r="I1377" t="s" s="11">
        <v>73</v>
      </c>
      <c r="J1377" t="s" s="11">
        <v>20</v>
      </c>
      <c r="K1377" s="15"/>
      <c r="L1377" t="s" s="16">
        <f>HYPERLINK("http://csr.bu.edu/ftp/asl/asllvd/demos/verify_start_end_handshape_annotations//test_auto_move//signs_mov_separ_signers/Naomi_304.mov","MOV")</f>
        <v>21</v>
      </c>
      <c r="M1377" t="s" s="10">
        <v>29</v>
      </c>
      <c r="N1377" s="17">
        <v>33</v>
      </c>
      <c r="O1377" s="18">
        <v>1722</v>
      </c>
      <c r="P1377" s="18">
        <v>1742</v>
      </c>
      <c r="Q1377" s="15"/>
      <c r="R1377" t="s" s="16">
        <f>HYPERLINK("http://secrets.rutgers.edu:8080/data/asl-ftp/asllvd/demos/verify_start_end_handshape_annotations//test_auto_move//signs_mov_separ_signers/Naomi_304.mov","MOV")</f>
        <v>21</v>
      </c>
    </row>
    <row r="1378" s="2" customFormat="1" ht="13.5" customHeight="1">
      <c r="B1378" t="s" s="8">
        <v>52</v>
      </c>
      <c r="C1378" t="s" s="9">
        <v>53</v>
      </c>
      <c r="D1378" t="s" s="8">
        <v>53</v>
      </c>
      <c r="E1378" t="s" s="9">
        <v>53</v>
      </c>
      <c r="F1378" t="s" s="10">
        <v>53</v>
      </c>
      <c r="G1378" t="s" s="11">
        <v>53</v>
      </c>
      <c r="H1378" t="s" s="10">
        <v>53</v>
      </c>
      <c r="I1378" t="s" s="11">
        <v>53</v>
      </c>
      <c r="J1378" t="s" s="11">
        <v>53</v>
      </c>
      <c r="K1378" t="s" s="12">
        <v>53</v>
      </c>
      <c r="L1378" t="s" s="12">
        <v>53</v>
      </c>
      <c r="M1378" t="s" s="10">
        <v>53</v>
      </c>
      <c r="N1378" t="s" s="11">
        <v>53</v>
      </c>
      <c r="O1378" t="s" s="8">
        <v>53</v>
      </c>
      <c r="P1378" t="s" s="8">
        <v>53</v>
      </c>
      <c r="Q1378" t="s" s="12">
        <v>53</v>
      </c>
      <c r="R1378" t="s" s="12">
        <v>53</v>
      </c>
    </row>
    <row r="1379" s="2" customFormat="1" ht="13.5" customHeight="1">
      <c r="B1379" s="13"/>
      <c r="C1379" t="s" s="9">
        <v>16</v>
      </c>
      <c r="D1379" t="s" s="8">
        <v>507</v>
      </c>
      <c r="E1379" t="s" s="9">
        <v>508</v>
      </c>
      <c r="F1379" t="s" s="10">
        <v>185</v>
      </c>
      <c r="G1379" t="s" s="11">
        <v>73</v>
      </c>
      <c r="H1379" t="s" s="10">
        <v>185</v>
      </c>
      <c r="I1379" t="s" s="11">
        <v>73</v>
      </c>
      <c r="J1379" t="s" s="11">
        <v>20</v>
      </c>
      <c r="K1379" t="s" s="16">
        <f>HYPERLINK("http://csr.bu.edu/ftp/asl/asllvd/demos/verify_start_end_handshape_annotations//test_auto_move//signs_mov/16301.mov","MOV")</f>
        <v>21</v>
      </c>
      <c r="L1379" t="s" s="16">
        <f>HYPERLINK("http://csr.bu.edu/ftp/asl/asllvd/demos/verify_start_end_handshape_annotations//test_auto_move//signs_mov_separ_signers/Liz_16301.mov","MOV")</f>
        <v>21</v>
      </c>
      <c r="M1379" t="s" s="10">
        <v>77</v>
      </c>
      <c r="N1379" s="17">
        <v>1</v>
      </c>
      <c r="O1379" s="18">
        <v>5245</v>
      </c>
      <c r="P1379" s="18">
        <v>5300</v>
      </c>
      <c r="Q1379" t="s" s="16">
        <f>HYPERLINK("http://secrets.rutgers.edu:8080/data/asl-ftp/asllvd/demos/verify_start_end_handshape_annotations//test_auto_move//signs_mov/16301.mov","MOV")</f>
        <v>21</v>
      </c>
      <c r="R1379" t="s" s="16">
        <f>HYPERLINK("http://secrets.rutgers.edu:8080/data/asl-ftp/asllvd/demos/verify_start_end_handshape_annotations//test_auto_move//signs_mov_separ_signers/Liz_16301.mov","MOV")</f>
        <v>21</v>
      </c>
    </row>
    <row r="1380" s="2" customFormat="1" ht="13.5" customHeight="1">
      <c r="B1380" s="13"/>
      <c r="C1380" t="s" s="9">
        <v>30</v>
      </c>
      <c r="D1380" t="s" s="8">
        <v>507</v>
      </c>
      <c r="E1380" t="s" s="9">
        <v>508</v>
      </c>
      <c r="F1380" t="s" s="10">
        <v>185</v>
      </c>
      <c r="G1380" t="s" s="11">
        <v>73</v>
      </c>
      <c r="H1380" t="s" s="10">
        <v>185</v>
      </c>
      <c r="I1380" t="s" s="11">
        <v>73</v>
      </c>
      <c r="J1380" t="s" s="11">
        <v>20</v>
      </c>
      <c r="K1380" s="15"/>
      <c r="L1380" t="s" s="16">
        <f>HYPERLINK("http://csr.bu.edu/ftp/asl/asllvd/demos/verify_start_end_handshape_annotations//test_auto_move//signs_mov_separ_signers/Brady_16301.mov","MOV")</f>
        <v>21</v>
      </c>
      <c r="M1380" t="s" s="10">
        <v>31</v>
      </c>
      <c r="N1380" s="17">
        <v>25</v>
      </c>
      <c r="O1380" s="18">
        <v>11073</v>
      </c>
      <c r="P1380" s="18">
        <v>11112</v>
      </c>
      <c r="Q1380" s="15"/>
      <c r="R1380" t="s" s="16">
        <f>HYPERLINK("http://secrets.rutgers.edu:8080/data/asl-ftp/asllvd/demos/verify_start_end_handshape_annotations//test_auto_move//signs_mov_separ_signers/Brady_16301.mov","MOV")</f>
        <v>21</v>
      </c>
    </row>
    <row r="1381" s="2" customFormat="1" ht="13.5" customHeight="1">
      <c r="B1381" t="s" s="8">
        <v>509</v>
      </c>
      <c r="C1381" t="s" s="9">
        <v>14</v>
      </c>
      <c r="D1381" t="s" s="8">
        <v>14</v>
      </c>
      <c r="E1381" t="s" s="9">
        <v>14</v>
      </c>
      <c r="F1381" t="s" s="10">
        <v>14</v>
      </c>
      <c r="G1381" t="s" s="11">
        <v>14</v>
      </c>
      <c r="H1381" t="s" s="10">
        <v>14</v>
      </c>
      <c r="I1381" t="s" s="11">
        <v>14</v>
      </c>
      <c r="J1381" t="s" s="11">
        <v>14</v>
      </c>
      <c r="K1381" t="s" s="12">
        <v>14</v>
      </c>
      <c r="L1381" t="s" s="12">
        <v>14</v>
      </c>
      <c r="M1381" t="s" s="10">
        <v>14</v>
      </c>
      <c r="N1381" t="s" s="11">
        <v>14</v>
      </c>
      <c r="O1381" t="s" s="8">
        <v>14</v>
      </c>
      <c r="P1381" t="s" s="8">
        <v>14</v>
      </c>
      <c r="Q1381" t="s" s="12">
        <v>14</v>
      </c>
      <c r="R1381" t="s" s="12">
        <v>14</v>
      </c>
    </row>
    <row r="1382" s="2" customFormat="1" ht="13.5" customHeight="1">
      <c r="B1382" s="13"/>
      <c r="C1382" t="s" s="9">
        <v>30</v>
      </c>
      <c r="D1382" t="s" s="8">
        <v>509</v>
      </c>
      <c r="E1382" t="s" s="9">
        <v>509</v>
      </c>
      <c r="F1382" s="19">
        <v>5</v>
      </c>
      <c r="G1382" t="s" s="11">
        <v>73</v>
      </c>
      <c r="H1382" t="s" s="10">
        <v>68</v>
      </c>
      <c r="I1382" t="s" s="11">
        <v>73</v>
      </c>
      <c r="J1382" t="s" s="11">
        <v>20</v>
      </c>
      <c r="K1382" t="s" s="16">
        <f>HYPERLINK("http://csr.bu.edu/ftp/asl/asllvd/demos/verify_start_end_handshape_annotations//test_auto_move//signs_mov/3294_5056_merged.mov","MOV")</f>
        <v>21</v>
      </c>
      <c r="L1382" t="s" s="16">
        <f>HYPERLINK("http://csr.bu.edu/ftp/asl/asllvd/demos/verify_start_end_handshape_annotations//test_auto_move//signs_mov_separ_signers/Brady_3294.mov","MOV")</f>
        <v>21</v>
      </c>
      <c r="M1382" t="s" s="10">
        <v>31</v>
      </c>
      <c r="N1382" s="17">
        <v>22</v>
      </c>
      <c r="O1382" s="18">
        <v>24183</v>
      </c>
      <c r="P1382" s="18">
        <v>24201</v>
      </c>
      <c r="Q1382" t="s" s="16">
        <f>HYPERLINK("http://secrets.rutgers.edu:8080/data/asl-ftp/asllvd/demos/verify_start_end_handshape_annotations//test_auto_move//signs_mov/3294_5056_merged.mov","MOV")</f>
        <v>21</v>
      </c>
      <c r="R1382" t="s" s="16">
        <f>HYPERLINK("http://secrets.rutgers.edu:8080/data/asl-ftp/asllvd/demos/verify_start_end_handshape_annotations//test_auto_move//signs_mov_separ_signers/Brady_3294.mov","MOV")</f>
        <v>21</v>
      </c>
    </row>
    <row r="1383" s="2" customFormat="1" ht="13.5" customHeight="1">
      <c r="B1383" s="13"/>
      <c r="C1383" t="s" s="9">
        <v>30</v>
      </c>
      <c r="D1383" t="s" s="8">
        <v>509</v>
      </c>
      <c r="E1383" t="s" s="9">
        <v>509</v>
      </c>
      <c r="F1383" t="s" s="10">
        <v>150</v>
      </c>
      <c r="G1383" t="s" s="11">
        <v>73</v>
      </c>
      <c r="H1383" t="s" s="10">
        <v>68</v>
      </c>
      <c r="I1383" t="s" s="11">
        <v>73</v>
      </c>
      <c r="J1383" t="s" s="11">
        <v>20</v>
      </c>
      <c r="K1383" s="15"/>
      <c r="L1383" t="s" s="16">
        <f>HYPERLINK("http://csr.bu.edu/ftp/asl/asllvd/demos/verify_start_end_handshape_annotations//test_auto_move//signs_mov_separ_signers/Brady_5056.mov","MOV")</f>
        <v>21</v>
      </c>
      <c r="M1383" t="s" s="10">
        <v>31</v>
      </c>
      <c r="N1383" s="17">
        <v>25</v>
      </c>
      <c r="O1383" s="18">
        <v>2573</v>
      </c>
      <c r="P1383" s="18">
        <v>2583</v>
      </c>
      <c r="Q1383" s="15"/>
      <c r="R1383" t="s" s="16">
        <f>HYPERLINK("http://secrets.rutgers.edu:8080/data/asl-ftp/asllvd/demos/verify_start_end_handshape_annotations//test_auto_move//signs_mov_separ_signers/Brady_5056.mov","MOV")</f>
        <v>21</v>
      </c>
    </row>
    <row r="1384" s="2" customFormat="1" ht="13.5" customHeight="1">
      <c r="B1384" t="s" s="8">
        <v>510</v>
      </c>
      <c r="C1384" t="s" s="9">
        <v>14</v>
      </c>
      <c r="D1384" t="s" s="8">
        <v>14</v>
      </c>
      <c r="E1384" t="s" s="9">
        <v>14</v>
      </c>
      <c r="F1384" t="s" s="10">
        <v>14</v>
      </c>
      <c r="G1384" t="s" s="11">
        <v>14</v>
      </c>
      <c r="H1384" t="s" s="10">
        <v>14</v>
      </c>
      <c r="I1384" t="s" s="11">
        <v>14</v>
      </c>
      <c r="J1384" t="s" s="11">
        <v>14</v>
      </c>
      <c r="K1384" t="s" s="12">
        <v>14</v>
      </c>
      <c r="L1384" t="s" s="12">
        <v>14</v>
      </c>
      <c r="M1384" t="s" s="10">
        <v>14</v>
      </c>
      <c r="N1384" t="s" s="11">
        <v>14</v>
      </c>
      <c r="O1384" t="s" s="8">
        <v>14</v>
      </c>
      <c r="P1384" t="s" s="8">
        <v>14</v>
      </c>
      <c r="Q1384" t="s" s="12">
        <v>14</v>
      </c>
      <c r="R1384" t="s" s="12">
        <v>14</v>
      </c>
    </row>
    <row r="1385" s="2" customFormat="1" ht="13.5" customHeight="1">
      <c r="B1385" s="13"/>
      <c r="C1385" t="s" s="9">
        <v>16</v>
      </c>
      <c r="D1385" t="s" s="8">
        <v>510</v>
      </c>
      <c r="E1385" t="s" s="9">
        <v>511</v>
      </c>
      <c r="F1385" t="s" s="10">
        <v>73</v>
      </c>
      <c r="G1385" s="14"/>
      <c r="H1385" t="s" s="10">
        <v>73</v>
      </c>
      <c r="I1385" s="14"/>
      <c r="J1385" t="s" s="11">
        <v>20</v>
      </c>
      <c r="K1385" s="15"/>
      <c r="L1385" t="s" s="16">
        <f>HYPERLINK("http://csr.bu.edu/ftp/asl/asllvd/demos/verify_start_end_handshape_annotations//test_auto_move//signs_mov_separ_signers/Liz_305.mov","MOV")</f>
        <v>21</v>
      </c>
      <c r="M1385" t="s" s="10">
        <v>22</v>
      </c>
      <c r="N1385" s="17">
        <v>52</v>
      </c>
      <c r="O1385" s="18">
        <v>275</v>
      </c>
      <c r="P1385" s="18">
        <v>320</v>
      </c>
      <c r="Q1385" s="15"/>
      <c r="R1385" t="s" s="16">
        <f>HYPERLINK("http://secrets.rutgers.edu:8080/data/asl-ftp/asllvd/demos/verify_start_end_handshape_annotations//test_auto_move//signs_mov_separ_signers/Liz_305.mov","MOV")</f>
        <v>21</v>
      </c>
    </row>
    <row r="1386" s="2" customFormat="1" ht="13.5" customHeight="1">
      <c r="B1386" s="13"/>
      <c r="C1386" t="s" s="9">
        <v>23</v>
      </c>
      <c r="D1386" t="s" s="8">
        <v>510</v>
      </c>
      <c r="E1386" t="s" s="9">
        <v>511</v>
      </c>
      <c r="F1386" s="19">
        <v>5</v>
      </c>
      <c r="G1386" s="14"/>
      <c r="H1386" s="19">
        <v>5</v>
      </c>
      <c r="I1386" s="14"/>
      <c r="J1386" t="s" s="11">
        <v>20</v>
      </c>
      <c r="K1386" t="s" s="16">
        <f>HYPERLINK("http://csr.bu.edu/ftp/asl/asllvd/demos/verify_start_end_handshape_annotations//test_auto_move//signs_mov/305.mov","MOV")</f>
        <v>21</v>
      </c>
      <c r="L1386" t="s" s="16">
        <f>HYPERLINK("http://csr.bu.edu/ftp/asl/asllvd/demos/verify_start_end_handshape_annotations//test_auto_move//signs_mov_separ_signers/Tyler_305.mov","MOV")</f>
        <v>21</v>
      </c>
      <c r="M1386" t="s" s="10">
        <v>26</v>
      </c>
      <c r="N1386" s="17">
        <v>32</v>
      </c>
      <c r="O1386" s="18">
        <v>1270</v>
      </c>
      <c r="P1386" s="18">
        <v>1310</v>
      </c>
      <c r="Q1386" t="s" s="16">
        <f>HYPERLINK("http://secrets.rutgers.edu:8080/data/asl-ftp/asllvd/demos/verify_start_end_handshape_annotations//test_auto_move//signs_mov/305.mov","MOV")</f>
        <v>21</v>
      </c>
      <c r="R1386" t="s" s="16">
        <f>HYPERLINK("http://secrets.rutgers.edu:8080/data/asl-ftp/asllvd/demos/verify_start_end_handshape_annotations//test_auto_move//signs_mov_separ_signers/Tyler_305.mov","MOV")</f>
        <v>21</v>
      </c>
    </row>
    <row r="1387" s="2" customFormat="1" ht="13.5" customHeight="1">
      <c r="B1387" s="13"/>
      <c r="C1387" t="s" s="9">
        <v>27</v>
      </c>
      <c r="D1387" t="s" s="8">
        <v>510</v>
      </c>
      <c r="E1387" t="s" s="9">
        <v>511</v>
      </c>
      <c r="F1387" t="s" s="10">
        <v>73</v>
      </c>
      <c r="G1387" s="14"/>
      <c r="H1387" t="s" s="10">
        <v>73</v>
      </c>
      <c r="I1387" s="14"/>
      <c r="J1387" t="s" s="11">
        <v>20</v>
      </c>
      <c r="K1387" s="15"/>
      <c r="L1387" t="s" s="16">
        <f>HYPERLINK("http://csr.bu.edu/ftp/asl/asllvd/demos/verify_start_end_handshape_annotations//test_auto_move//signs_mov_separ_signers/Naomi_305.mov","MOV")</f>
        <v>21</v>
      </c>
      <c r="M1387" t="s" s="10">
        <v>29</v>
      </c>
      <c r="N1387" s="17">
        <v>33</v>
      </c>
      <c r="O1387" s="18">
        <v>2080</v>
      </c>
      <c r="P1387" s="18">
        <v>2145</v>
      </c>
      <c r="Q1387" s="15"/>
      <c r="R1387" t="s" s="16">
        <f>HYPERLINK("http://secrets.rutgers.edu:8080/data/asl-ftp/asllvd/demos/verify_start_end_handshape_annotations//test_auto_move//signs_mov_separ_signers/Naomi_305.mov","MOV")</f>
        <v>21</v>
      </c>
    </row>
    <row r="1388" s="2" customFormat="1" ht="13.5" customHeight="1">
      <c r="B1388" t="s" s="8">
        <v>512</v>
      </c>
      <c r="C1388" t="s" s="9">
        <v>14</v>
      </c>
      <c r="D1388" t="s" s="8">
        <v>14</v>
      </c>
      <c r="E1388" t="s" s="9">
        <v>14</v>
      </c>
      <c r="F1388" t="s" s="10">
        <v>14</v>
      </c>
      <c r="G1388" t="s" s="11">
        <v>14</v>
      </c>
      <c r="H1388" t="s" s="10">
        <v>14</v>
      </c>
      <c r="I1388" t="s" s="11">
        <v>14</v>
      </c>
      <c r="J1388" t="s" s="11">
        <v>14</v>
      </c>
      <c r="K1388" t="s" s="12">
        <v>14</v>
      </c>
      <c r="L1388" t="s" s="12">
        <v>14</v>
      </c>
      <c r="M1388" t="s" s="10">
        <v>14</v>
      </c>
      <c r="N1388" t="s" s="11">
        <v>14</v>
      </c>
      <c r="O1388" t="s" s="8">
        <v>14</v>
      </c>
      <c r="P1388" t="s" s="8">
        <v>14</v>
      </c>
      <c r="Q1388" t="s" s="12">
        <v>14</v>
      </c>
      <c r="R1388" t="s" s="12">
        <v>14</v>
      </c>
    </row>
    <row r="1389" s="2" customFormat="1" ht="13.5" customHeight="1">
      <c r="B1389" s="13"/>
      <c r="C1389" t="s" s="9">
        <v>23</v>
      </c>
      <c r="D1389" t="s" s="8">
        <v>512</v>
      </c>
      <c r="E1389" t="s" s="9">
        <v>512</v>
      </c>
      <c r="F1389" t="s" s="10">
        <v>72</v>
      </c>
      <c r="G1389" s="14"/>
      <c r="H1389" t="s" s="10">
        <v>72</v>
      </c>
      <c r="I1389" s="14"/>
      <c r="J1389" t="s" s="11">
        <v>20</v>
      </c>
      <c r="K1389" s="15"/>
      <c r="L1389" t="s" s="16">
        <f>HYPERLINK("http://csr.bu.edu/ftp/asl/asllvd/demos/verify_start_end_handshape_annotations//test_auto_move//signs_mov_separ_signers/Tyler_306.mov","MOV")</f>
        <v>21</v>
      </c>
      <c r="M1389" t="s" s="10">
        <v>26</v>
      </c>
      <c r="N1389" s="17">
        <v>32</v>
      </c>
      <c r="O1389" s="18">
        <v>1457</v>
      </c>
      <c r="P1389" s="18">
        <v>1490</v>
      </c>
      <c r="Q1389" s="15"/>
      <c r="R1389" t="s" s="16">
        <f>HYPERLINK("http://secrets.rutgers.edu:8080/data/asl-ftp/asllvd/demos/verify_start_end_handshape_annotations//test_auto_move//signs_mov_separ_signers/Tyler_306.mov","MOV")</f>
        <v>21</v>
      </c>
    </row>
    <row r="1390" s="2" customFormat="1" ht="13.5" customHeight="1">
      <c r="B1390" s="13"/>
      <c r="C1390" t="s" s="9">
        <v>27</v>
      </c>
      <c r="D1390" t="s" s="8">
        <v>512</v>
      </c>
      <c r="E1390" t="s" s="9">
        <v>512</v>
      </c>
      <c r="F1390" t="s" s="10">
        <v>72</v>
      </c>
      <c r="G1390" s="14"/>
      <c r="H1390" t="s" s="10">
        <v>72</v>
      </c>
      <c r="I1390" s="14"/>
      <c r="J1390" t="s" s="11">
        <v>20</v>
      </c>
      <c r="K1390" t="s" s="16">
        <f>HYPERLINK("http://csr.bu.edu/ftp/asl/asllvd/demos/verify_start_end_handshape_annotations//test_auto_move//signs_mov/306.mov","MOV")</f>
        <v>21</v>
      </c>
      <c r="L1390" t="s" s="16">
        <f>HYPERLINK("http://csr.bu.edu/ftp/asl/asllvd/demos/verify_start_end_handshape_annotations//test_auto_move//signs_mov_separ_signers/Naomi_306.mov","MOV")</f>
        <v>21</v>
      </c>
      <c r="M1390" t="s" s="10">
        <v>29</v>
      </c>
      <c r="N1390" s="17">
        <v>33</v>
      </c>
      <c r="O1390" s="18">
        <v>2355</v>
      </c>
      <c r="P1390" s="18">
        <v>2375</v>
      </c>
      <c r="Q1390" t="s" s="16">
        <f>HYPERLINK("http://secrets.rutgers.edu:8080/data/asl-ftp/asllvd/demos/verify_start_end_handshape_annotations//test_auto_move//signs_mov/306.mov","MOV")</f>
        <v>21</v>
      </c>
      <c r="R1390" t="s" s="16">
        <f>HYPERLINK("http://secrets.rutgers.edu:8080/data/asl-ftp/asllvd/demos/verify_start_end_handshape_annotations//test_auto_move//signs_mov_separ_signers/Naomi_306.mov","MOV")</f>
        <v>21</v>
      </c>
    </row>
    <row r="1391" s="2" customFormat="1" ht="13.5" customHeight="1">
      <c r="B1391" s="13"/>
      <c r="C1391" t="s" s="9">
        <v>30</v>
      </c>
      <c r="D1391" t="s" s="8">
        <v>512</v>
      </c>
      <c r="E1391" t="s" s="9">
        <v>512</v>
      </c>
      <c r="F1391" t="s" s="10">
        <v>72</v>
      </c>
      <c r="G1391" s="14"/>
      <c r="H1391" t="s" s="10">
        <v>72</v>
      </c>
      <c r="I1391" s="14"/>
      <c r="J1391" t="s" s="11">
        <v>20</v>
      </c>
      <c r="K1391" s="15"/>
      <c r="L1391" t="s" s="16">
        <f>HYPERLINK("http://csr.bu.edu/ftp/asl/asllvd/demos/verify_start_end_handshape_annotations//test_auto_move//signs_mov_separ_signers/Brady_306.mov","MOV")</f>
        <v>21</v>
      </c>
      <c r="M1391" t="s" s="10">
        <v>31</v>
      </c>
      <c r="N1391" s="17">
        <v>22</v>
      </c>
      <c r="O1391" s="18">
        <v>25186</v>
      </c>
      <c r="P1391" s="18">
        <v>25208</v>
      </c>
      <c r="Q1391" s="15"/>
      <c r="R1391" t="s" s="16">
        <f>HYPERLINK("http://secrets.rutgers.edu:8080/data/asl-ftp/asllvd/demos/verify_start_end_handshape_annotations//test_auto_move//signs_mov_separ_signers/Brady_306.mov","MOV")</f>
        <v>21</v>
      </c>
    </row>
    <row r="1392" s="2" customFormat="1" ht="13.5" customHeight="1">
      <c r="B1392" t="s" s="8">
        <v>52</v>
      </c>
      <c r="C1392" t="s" s="9">
        <v>53</v>
      </c>
      <c r="D1392" t="s" s="8">
        <v>53</v>
      </c>
      <c r="E1392" t="s" s="9">
        <v>53</v>
      </c>
      <c r="F1392" t="s" s="10">
        <v>53</v>
      </c>
      <c r="G1392" t="s" s="11">
        <v>53</v>
      </c>
      <c r="H1392" t="s" s="10">
        <v>53</v>
      </c>
      <c r="I1392" t="s" s="11">
        <v>53</v>
      </c>
      <c r="J1392" t="s" s="11">
        <v>53</v>
      </c>
      <c r="K1392" t="s" s="12">
        <v>53</v>
      </c>
      <c r="L1392" t="s" s="12">
        <v>53</v>
      </c>
      <c r="M1392" t="s" s="10">
        <v>53</v>
      </c>
      <c r="N1392" t="s" s="11">
        <v>53</v>
      </c>
      <c r="O1392" t="s" s="8">
        <v>53</v>
      </c>
      <c r="P1392" t="s" s="8">
        <v>53</v>
      </c>
      <c r="Q1392" t="s" s="12">
        <v>53</v>
      </c>
      <c r="R1392" t="s" s="12">
        <v>53</v>
      </c>
    </row>
    <row r="1393" s="2" customFormat="1" ht="13.5" customHeight="1">
      <c r="B1393" s="13"/>
      <c r="C1393" t="s" s="9">
        <v>41</v>
      </c>
      <c r="D1393" t="s" s="8">
        <v>512</v>
      </c>
      <c r="E1393" t="s" s="9">
        <v>513</v>
      </c>
      <c r="F1393" t="s" s="10">
        <v>72</v>
      </c>
      <c r="G1393" s="14"/>
      <c r="H1393" t="s" s="10">
        <v>72</v>
      </c>
      <c r="I1393" s="14"/>
      <c r="J1393" t="s" s="11">
        <v>20</v>
      </c>
      <c r="K1393" t="s" s="16">
        <f>HYPERLINK("http://csr.bu.edu/ftp/asl/asllvd/demos/verify_start_end_handshape_annotations//test_auto_move//signs_mov/5112.mov","MOV")</f>
        <v>21</v>
      </c>
      <c r="L1393" t="s" s="16">
        <f>HYPERLINK("http://csr.bu.edu/ftp/asl/asllvd/demos/verify_start_end_handshape_annotations//test_auto_move//signs_mov_separ_signers/Lana_5112.mov","MOV")</f>
        <v>21</v>
      </c>
      <c r="M1393" t="s" s="10">
        <v>42</v>
      </c>
      <c r="N1393" s="17">
        <v>4</v>
      </c>
      <c r="O1393" s="18">
        <v>2434</v>
      </c>
      <c r="P1393" s="18">
        <v>2466</v>
      </c>
      <c r="Q1393" t="s" s="16">
        <f>HYPERLINK("http://secrets.rutgers.edu:8080/data/asl-ftp/asllvd/demos/verify_start_end_handshape_annotations//test_auto_move//signs_mov/5112.mov","MOV")</f>
        <v>21</v>
      </c>
      <c r="R1393" t="s" s="16">
        <f>HYPERLINK("http://secrets.rutgers.edu:8080/data/asl-ftp/asllvd/demos/verify_start_end_handshape_annotations//test_auto_move//signs_mov_separ_signers/Lana_5112.mov","MOV")</f>
        <v>21</v>
      </c>
    </row>
    <row r="1394" s="2" customFormat="1" ht="13.5" customHeight="1">
      <c r="B1394" t="s" s="8">
        <v>52</v>
      </c>
      <c r="C1394" t="s" s="9">
        <v>53</v>
      </c>
      <c r="D1394" t="s" s="8">
        <v>53</v>
      </c>
      <c r="E1394" t="s" s="9">
        <v>53</v>
      </c>
      <c r="F1394" t="s" s="10">
        <v>53</v>
      </c>
      <c r="G1394" t="s" s="11">
        <v>53</v>
      </c>
      <c r="H1394" t="s" s="10">
        <v>53</v>
      </c>
      <c r="I1394" t="s" s="11">
        <v>53</v>
      </c>
      <c r="J1394" t="s" s="11">
        <v>53</v>
      </c>
      <c r="K1394" t="s" s="12">
        <v>53</v>
      </c>
      <c r="L1394" t="s" s="12">
        <v>53</v>
      </c>
      <c r="M1394" t="s" s="10">
        <v>53</v>
      </c>
      <c r="N1394" t="s" s="11">
        <v>53</v>
      </c>
      <c r="O1394" t="s" s="8">
        <v>53</v>
      </c>
      <c r="P1394" t="s" s="8">
        <v>53</v>
      </c>
      <c r="Q1394" t="s" s="12">
        <v>53</v>
      </c>
      <c r="R1394" t="s" s="12">
        <v>53</v>
      </c>
    </row>
    <row r="1395" s="2" customFormat="1" ht="13.5" customHeight="1">
      <c r="B1395" s="13"/>
      <c r="C1395" t="s" s="9">
        <v>16</v>
      </c>
      <c r="D1395" t="s" s="8">
        <v>512</v>
      </c>
      <c r="E1395" t="s" s="9">
        <v>514</v>
      </c>
      <c r="F1395" t="s" s="10">
        <v>373</v>
      </c>
      <c r="G1395" s="14"/>
      <c r="H1395" t="s" s="10">
        <v>373</v>
      </c>
      <c r="I1395" s="14"/>
      <c r="J1395" t="s" s="11">
        <v>20</v>
      </c>
      <c r="K1395" t="s" s="16">
        <f>HYPERLINK("http://csr.bu.edu/ftp/asl/asllvd/demos/verify_start_end_handshape_annotations//test_auto_move//signs_mov/16247.mov","MOV")</f>
        <v>21</v>
      </c>
      <c r="L1395" t="s" s="16">
        <f>HYPERLINK("http://csr.bu.edu/ftp/asl/asllvd/demos/verify_start_end_handshape_annotations//test_auto_move//signs_mov_separ_signers/Liz_16247.mov","MOV")</f>
        <v>21</v>
      </c>
      <c r="M1395" t="s" s="10">
        <v>22</v>
      </c>
      <c r="N1395" s="17">
        <v>52</v>
      </c>
      <c r="O1395" s="18">
        <v>530</v>
      </c>
      <c r="P1395" s="18">
        <v>560</v>
      </c>
      <c r="Q1395" t="s" s="16">
        <f>HYPERLINK("http://secrets.rutgers.edu:8080/data/asl-ftp/asllvd/demos/verify_start_end_handshape_annotations//test_auto_move//signs_mov/16247.mov","MOV")</f>
        <v>21</v>
      </c>
      <c r="R1395" t="s" s="16">
        <f>HYPERLINK("http://secrets.rutgers.edu:8080/data/asl-ftp/asllvd/demos/verify_start_end_handshape_annotations//test_auto_move//signs_mov_separ_signers/Liz_16247.mov","MOV")</f>
        <v>21</v>
      </c>
    </row>
    <row r="1396" s="2" customFormat="1" ht="13.5" customHeight="1">
      <c r="B1396" s="13"/>
      <c r="C1396" t="s" s="9">
        <v>43</v>
      </c>
      <c r="D1396" t="s" s="8">
        <v>512</v>
      </c>
      <c r="E1396" t="s" s="9">
        <v>514</v>
      </c>
      <c r="F1396" t="s" s="10">
        <v>68</v>
      </c>
      <c r="G1396" s="14"/>
      <c r="H1396" s="19">
        <v>3</v>
      </c>
      <c r="I1396" s="14"/>
      <c r="J1396" t="s" s="11">
        <v>20</v>
      </c>
      <c r="K1396" s="15"/>
      <c r="L1396" t="s" s="16">
        <f>HYPERLINK("http://csr.bu.edu/ftp/asl/asllvd/demos/verify_start_end_handshape_annotations//test_auto_move//signs_mov_separ_signers/Dana_16247.mov","MOV")</f>
        <v>21</v>
      </c>
      <c r="M1396" t="s" s="10">
        <v>44</v>
      </c>
      <c r="N1396" s="17">
        <v>8</v>
      </c>
      <c r="O1396" s="18">
        <v>2442</v>
      </c>
      <c r="P1396" s="18">
        <v>2513</v>
      </c>
      <c r="Q1396" s="15"/>
      <c r="R1396" t="s" s="16">
        <f>HYPERLINK("http://secrets.rutgers.edu:8080/data/asl-ftp/asllvd/demos/verify_start_end_handshape_annotations//test_auto_move//signs_mov_separ_signers/Dana_16247.mov","MOV")</f>
        <v>21</v>
      </c>
    </row>
    <row r="1397" s="2" customFormat="1" ht="13.5" customHeight="1">
      <c r="B1397" t="s" s="8">
        <v>515</v>
      </c>
      <c r="C1397" t="s" s="9">
        <v>14</v>
      </c>
      <c r="D1397" t="s" s="8">
        <v>14</v>
      </c>
      <c r="E1397" t="s" s="9">
        <v>14</v>
      </c>
      <c r="F1397" t="s" s="10">
        <v>14</v>
      </c>
      <c r="G1397" t="s" s="11">
        <v>14</v>
      </c>
      <c r="H1397" t="s" s="10">
        <v>14</v>
      </c>
      <c r="I1397" t="s" s="11">
        <v>14</v>
      </c>
      <c r="J1397" t="s" s="11">
        <v>14</v>
      </c>
      <c r="K1397" t="s" s="12">
        <v>14</v>
      </c>
      <c r="L1397" t="s" s="12">
        <v>14</v>
      </c>
      <c r="M1397" t="s" s="10">
        <v>14</v>
      </c>
      <c r="N1397" t="s" s="11">
        <v>14</v>
      </c>
      <c r="O1397" t="s" s="8">
        <v>14</v>
      </c>
      <c r="P1397" t="s" s="8">
        <v>14</v>
      </c>
      <c r="Q1397" t="s" s="12">
        <v>14</v>
      </c>
      <c r="R1397" t="s" s="12">
        <v>14</v>
      </c>
    </row>
    <row r="1398" s="2" customFormat="1" ht="13.5" customHeight="1">
      <c r="B1398" s="13"/>
      <c r="C1398" t="s" s="9">
        <v>16</v>
      </c>
      <c r="D1398" t="s" s="8">
        <v>515</v>
      </c>
      <c r="E1398" t="s" s="9">
        <v>515</v>
      </c>
      <c r="F1398" t="s" s="10">
        <v>19</v>
      </c>
      <c r="G1398" t="s" s="11">
        <v>19</v>
      </c>
      <c r="H1398" t="s" s="10">
        <v>19</v>
      </c>
      <c r="I1398" t="s" s="11">
        <v>19</v>
      </c>
      <c r="J1398" t="s" s="11">
        <v>20</v>
      </c>
      <c r="K1398" t="s" s="16">
        <f>HYPERLINK("http://csr.bu.edu/ftp/asl/asllvd/demos/verify_start_end_handshape_annotations//test_auto_move//signs_mov/307.mov","MOV")</f>
        <v>21</v>
      </c>
      <c r="L1398" t="s" s="16">
        <f>HYPERLINK("http://csr.bu.edu/ftp/asl/asllvd/demos/verify_start_end_handshape_annotations//test_auto_move//signs_mov_separ_signers/Liz_307.mov","MOV")</f>
        <v>21</v>
      </c>
      <c r="M1398" t="s" s="10">
        <v>22</v>
      </c>
      <c r="N1398" s="17">
        <v>52</v>
      </c>
      <c r="O1398" s="18">
        <v>825</v>
      </c>
      <c r="P1398" s="18">
        <v>865</v>
      </c>
      <c r="Q1398" t="s" s="16">
        <f>HYPERLINK("http://secrets.rutgers.edu:8080/data/asl-ftp/asllvd/demos/verify_start_end_handshape_annotations//test_auto_move//signs_mov/307.mov","MOV")</f>
        <v>21</v>
      </c>
      <c r="R1398" t="s" s="16">
        <f>HYPERLINK("http://secrets.rutgers.edu:8080/data/asl-ftp/asllvd/demos/verify_start_end_handshape_annotations//test_auto_move//signs_mov_separ_signers/Liz_307.mov","MOV")</f>
        <v>21</v>
      </c>
    </row>
    <row r="1399" s="2" customFormat="1" ht="13.5" customHeight="1">
      <c r="B1399" t="s" s="8">
        <v>515</v>
      </c>
      <c r="C1399" t="s" s="9">
        <v>14</v>
      </c>
      <c r="D1399" t="s" s="8">
        <v>14</v>
      </c>
      <c r="E1399" t="s" s="9">
        <v>14</v>
      </c>
      <c r="F1399" t="s" s="10">
        <v>14</v>
      </c>
      <c r="G1399" t="s" s="11">
        <v>14</v>
      </c>
      <c r="H1399" t="s" s="10">
        <v>14</v>
      </c>
      <c r="I1399" t="s" s="11">
        <v>14</v>
      </c>
      <c r="J1399" t="s" s="11">
        <v>14</v>
      </c>
      <c r="K1399" t="s" s="12">
        <v>14</v>
      </c>
      <c r="L1399" t="s" s="12">
        <v>14</v>
      </c>
      <c r="M1399" t="s" s="10">
        <v>14</v>
      </c>
      <c r="N1399" t="s" s="11">
        <v>14</v>
      </c>
      <c r="O1399" t="s" s="8">
        <v>14</v>
      </c>
      <c r="P1399" t="s" s="8">
        <v>14</v>
      </c>
      <c r="Q1399" t="s" s="12">
        <v>14</v>
      </c>
      <c r="R1399" t="s" s="12">
        <v>14</v>
      </c>
    </row>
    <row r="1400" s="2" customFormat="1" ht="13.5" customHeight="1">
      <c r="B1400" s="13"/>
      <c r="C1400" t="s" s="9">
        <v>16</v>
      </c>
      <c r="D1400" t="s" s="8">
        <v>516</v>
      </c>
      <c r="E1400" t="s" s="9">
        <v>516</v>
      </c>
      <c r="F1400" t="s" s="10">
        <v>517</v>
      </c>
      <c r="G1400" t="s" s="11">
        <v>517</v>
      </c>
      <c r="H1400" t="s" s="10">
        <v>240</v>
      </c>
      <c r="I1400" t="s" s="11">
        <v>240</v>
      </c>
      <c r="J1400" t="s" s="11">
        <v>20</v>
      </c>
      <c r="K1400" s="15"/>
      <c r="L1400" t="s" s="16">
        <f>HYPERLINK("http://csr.bu.edu/ftp/asl/asllvd/demos/verify_start_end_handshape_annotations//test_auto_move//signs_mov_separ_signers/Liz_3583.mov","MOV")</f>
        <v>21</v>
      </c>
      <c r="M1400" t="s" s="10">
        <v>22</v>
      </c>
      <c r="N1400" s="17">
        <v>52</v>
      </c>
      <c r="O1400" s="18">
        <v>1010</v>
      </c>
      <c r="P1400" s="18">
        <v>1045</v>
      </c>
      <c r="Q1400" s="15"/>
      <c r="R1400" t="s" s="16">
        <f>HYPERLINK("http://secrets.rutgers.edu:8080/data/asl-ftp/asllvd/demos/verify_start_end_handshape_annotations//test_auto_move//signs_mov_separ_signers/Liz_3583.mov","MOV")</f>
        <v>21</v>
      </c>
    </row>
    <row r="1401" s="2" customFormat="1" ht="13.5" customHeight="1">
      <c r="B1401" s="13"/>
      <c r="C1401" t="s" s="9">
        <v>16</v>
      </c>
      <c r="D1401" t="s" s="8">
        <v>516</v>
      </c>
      <c r="E1401" t="s" s="9">
        <v>516</v>
      </c>
      <c r="F1401" t="s" s="10">
        <v>517</v>
      </c>
      <c r="G1401" t="s" s="11">
        <v>517</v>
      </c>
      <c r="H1401" t="s" s="10">
        <v>240</v>
      </c>
      <c r="I1401" t="s" s="11">
        <v>240</v>
      </c>
      <c r="J1401" t="s" s="11">
        <v>20</v>
      </c>
      <c r="K1401" s="15"/>
      <c r="L1401" t="s" s="16">
        <f>HYPERLINK("http://csr.bu.edu/ftp/asl/asllvd/demos/verify_start_end_handshape_annotations//test_auto_move//signs_mov_separ_signers/Liz_3849.mov","MOV")</f>
        <v>21</v>
      </c>
      <c r="M1401" t="s" s="10">
        <v>36</v>
      </c>
      <c r="N1401" s="17">
        <v>14</v>
      </c>
      <c r="O1401" s="18">
        <v>2055</v>
      </c>
      <c r="P1401" s="18">
        <v>2090</v>
      </c>
      <c r="Q1401" s="15"/>
      <c r="R1401" t="s" s="16">
        <f>HYPERLINK("http://secrets.rutgers.edu:8080/data/asl-ftp/asllvd/demos/verify_start_end_handshape_annotations//test_auto_move//signs_mov_separ_signers/Liz_3849.mov","MOV")</f>
        <v>21</v>
      </c>
    </row>
    <row r="1402" s="2" customFormat="1" ht="13.5" customHeight="1">
      <c r="B1402" s="13"/>
      <c r="C1402" t="s" s="9">
        <v>16</v>
      </c>
      <c r="D1402" t="s" s="8">
        <v>516</v>
      </c>
      <c r="E1402" t="s" s="9">
        <v>516</v>
      </c>
      <c r="F1402" t="s" s="10">
        <v>517</v>
      </c>
      <c r="G1402" t="s" s="11">
        <v>517</v>
      </c>
      <c r="H1402" t="s" s="10">
        <v>240</v>
      </c>
      <c r="I1402" t="s" s="11">
        <v>240</v>
      </c>
      <c r="J1402" t="s" s="11">
        <v>20</v>
      </c>
      <c r="K1402" s="15"/>
      <c r="L1402" t="s" s="16">
        <f>HYPERLINK("http://csr.bu.edu/ftp/asl/asllvd/demos/verify_start_end_handshape_annotations//test_auto_move//signs_mov_separ_signers/Liz_5633.mov","MOV")</f>
        <v>21</v>
      </c>
      <c r="M1402" t="s" s="10">
        <v>59</v>
      </c>
      <c r="N1402" s="17">
        <v>25</v>
      </c>
      <c r="O1402" s="18">
        <v>2005</v>
      </c>
      <c r="P1402" s="18">
        <v>2041</v>
      </c>
      <c r="Q1402" s="15"/>
      <c r="R1402" t="s" s="16">
        <f>HYPERLINK("http://secrets.rutgers.edu:8080/data/asl-ftp/asllvd/demos/verify_start_end_handshape_annotations//test_auto_move//signs_mov_separ_signers/Liz_5633.mov","MOV")</f>
        <v>21</v>
      </c>
    </row>
    <row r="1403" s="2" customFormat="1" ht="13.5" customHeight="1">
      <c r="B1403" s="13"/>
      <c r="C1403" t="s" s="9">
        <v>23</v>
      </c>
      <c r="D1403" t="s" s="8">
        <v>516</v>
      </c>
      <c r="E1403" t="s" s="9">
        <v>516</v>
      </c>
      <c r="F1403" t="s" s="10">
        <v>517</v>
      </c>
      <c r="G1403" t="s" s="11">
        <v>517</v>
      </c>
      <c r="H1403" t="s" s="10">
        <v>240</v>
      </c>
      <c r="I1403" t="s" s="11">
        <v>240</v>
      </c>
      <c r="J1403" t="s" s="11">
        <v>20</v>
      </c>
      <c r="K1403" s="15"/>
      <c r="L1403" t="s" s="16">
        <f>HYPERLINK("http://csr.bu.edu/ftp/asl/asllvd/demos/verify_start_end_handshape_annotations//test_auto_move//signs_mov_separ_signers/Tyler_3583.mov","MOV")</f>
        <v>21</v>
      </c>
      <c r="M1403" t="s" s="10">
        <v>26</v>
      </c>
      <c r="N1403" s="17">
        <v>32</v>
      </c>
      <c r="O1403" s="18">
        <v>1780</v>
      </c>
      <c r="P1403" s="18">
        <v>1821</v>
      </c>
      <c r="Q1403" s="15"/>
      <c r="R1403" t="s" s="16">
        <f>HYPERLINK("http://secrets.rutgers.edu:8080/data/asl-ftp/asllvd/demos/verify_start_end_handshape_annotations//test_auto_move//signs_mov_separ_signers/Tyler_3583.mov","MOV")</f>
        <v>21</v>
      </c>
    </row>
    <row r="1404" s="2" customFormat="1" ht="13.5" customHeight="1">
      <c r="B1404" s="13"/>
      <c r="C1404" t="s" s="9">
        <v>27</v>
      </c>
      <c r="D1404" t="s" s="8">
        <v>516</v>
      </c>
      <c r="E1404" t="s" s="9">
        <v>516</v>
      </c>
      <c r="F1404" t="s" s="10">
        <v>517</v>
      </c>
      <c r="G1404" t="s" s="11">
        <v>517</v>
      </c>
      <c r="H1404" t="s" s="10">
        <v>240</v>
      </c>
      <c r="I1404" t="s" s="11">
        <v>240</v>
      </c>
      <c r="J1404" t="s" s="11">
        <v>20</v>
      </c>
      <c r="K1404" t="s" s="16">
        <f>HYPERLINK("http://csr.bu.edu/ftp/asl/asllvd/demos/verify_start_end_handshape_annotations//test_auto_move//signs_mov/3583_3849_5633_5635_5951_merged.mov","MOV")</f>
        <v>21</v>
      </c>
      <c r="L1404" t="s" s="16">
        <f>HYPERLINK("http://csr.bu.edu/ftp/asl/asllvd/demos/verify_start_end_handshape_annotations//test_auto_move//signs_mov_separ_signers/Naomi_3583.mov","MOV")</f>
        <v>21</v>
      </c>
      <c r="M1404" t="s" s="10">
        <v>29</v>
      </c>
      <c r="N1404" s="17">
        <v>33</v>
      </c>
      <c r="O1404" s="18">
        <v>2737</v>
      </c>
      <c r="P1404" s="18">
        <v>2760</v>
      </c>
      <c r="Q1404" t="s" s="16">
        <f>HYPERLINK("http://secrets.rutgers.edu:8080/data/asl-ftp/asllvd/demos/verify_start_end_handshape_annotations//test_auto_move//signs_mov/3583_3849_5633_5635_5951_merged.mov","MOV")</f>
        <v>21</v>
      </c>
      <c r="R1404" t="s" s="16">
        <f>HYPERLINK("http://secrets.rutgers.edu:8080/data/asl-ftp/asllvd/demos/verify_start_end_handshape_annotations//test_auto_move//signs_mov_separ_signers/Naomi_3583.mov","MOV")</f>
        <v>21</v>
      </c>
    </row>
    <row r="1405" s="2" customFormat="1" ht="13.5" customHeight="1">
      <c r="B1405" s="13"/>
      <c r="C1405" t="s" s="9">
        <v>30</v>
      </c>
      <c r="D1405" t="s" s="8">
        <v>516</v>
      </c>
      <c r="E1405" t="s" s="9">
        <v>516</v>
      </c>
      <c r="F1405" t="s" s="10">
        <v>68</v>
      </c>
      <c r="G1405" t="s" s="11">
        <v>68</v>
      </c>
      <c r="H1405" t="s" s="10">
        <v>240</v>
      </c>
      <c r="I1405" t="s" s="11">
        <v>240</v>
      </c>
      <c r="J1405" t="s" s="11">
        <v>20</v>
      </c>
      <c r="K1405" s="15"/>
      <c r="L1405" t="s" s="16">
        <f>HYPERLINK("http://csr.bu.edu/ftp/asl/asllvd/demos/verify_start_end_handshape_annotations//test_auto_move//signs_mov_separ_signers/Brady_3583.mov","MOV")</f>
        <v>21</v>
      </c>
      <c r="M1405" t="s" s="10">
        <v>31</v>
      </c>
      <c r="N1405" s="17">
        <v>22</v>
      </c>
      <c r="O1405" s="18">
        <v>26548</v>
      </c>
      <c r="P1405" s="18">
        <v>26564</v>
      </c>
      <c r="Q1405" s="15"/>
      <c r="R1405" t="s" s="16">
        <f>HYPERLINK("http://secrets.rutgers.edu:8080/data/asl-ftp/asllvd/demos/verify_start_end_handshape_annotations//test_auto_move//signs_mov_separ_signers/Brady_3583.mov","MOV")</f>
        <v>21</v>
      </c>
    </row>
    <row r="1406" s="2" customFormat="1" ht="13.5" customHeight="1">
      <c r="B1406" s="13"/>
      <c r="C1406" t="s" s="9">
        <v>30</v>
      </c>
      <c r="D1406" t="s" s="8">
        <v>516</v>
      </c>
      <c r="E1406" t="s" s="9">
        <v>516</v>
      </c>
      <c r="F1406" t="s" s="10">
        <v>68</v>
      </c>
      <c r="G1406" t="s" s="11">
        <v>68</v>
      </c>
      <c r="H1406" t="s" s="10">
        <v>240</v>
      </c>
      <c r="I1406" t="s" s="11">
        <v>240</v>
      </c>
      <c r="J1406" t="s" s="11">
        <v>20</v>
      </c>
      <c r="K1406" s="15"/>
      <c r="L1406" t="s" s="16">
        <f>HYPERLINK("http://csr.bu.edu/ftp/asl/asllvd/demos/verify_start_end_handshape_annotations//test_auto_move//signs_mov_separ_signers/Brady_3849.mov","MOV")</f>
        <v>21</v>
      </c>
      <c r="M1406" t="s" s="10">
        <v>40</v>
      </c>
      <c r="N1406" s="17">
        <v>59</v>
      </c>
      <c r="O1406" s="18">
        <v>2995</v>
      </c>
      <c r="P1406" s="18">
        <v>3011</v>
      </c>
      <c r="Q1406" s="15"/>
      <c r="R1406" t="s" s="16">
        <f>HYPERLINK("http://secrets.rutgers.edu:8080/data/asl-ftp/asllvd/demos/verify_start_end_handshape_annotations//test_auto_move//signs_mov_separ_signers/Brady_3849.mov","MOV")</f>
        <v>21</v>
      </c>
    </row>
    <row r="1407" s="2" customFormat="1" ht="13.5" customHeight="1">
      <c r="B1407" s="13"/>
      <c r="C1407" t="s" s="9">
        <v>30</v>
      </c>
      <c r="D1407" t="s" s="8">
        <v>516</v>
      </c>
      <c r="E1407" t="s" s="9">
        <v>516</v>
      </c>
      <c r="F1407" t="s" s="10">
        <v>68</v>
      </c>
      <c r="G1407" t="s" s="11">
        <v>68</v>
      </c>
      <c r="H1407" t="s" s="10">
        <v>240</v>
      </c>
      <c r="I1407" t="s" s="11">
        <v>240</v>
      </c>
      <c r="J1407" t="s" s="11">
        <v>20</v>
      </c>
      <c r="K1407" s="15"/>
      <c r="L1407" t="s" s="16">
        <f>HYPERLINK("http://csr.bu.edu/ftp/asl/asllvd/demos/verify_start_end_handshape_annotations//test_auto_move//signs_mov_separ_signers/Brady_5633.mov","MOV")</f>
        <v>21</v>
      </c>
      <c r="M1407" t="s" s="10">
        <v>40</v>
      </c>
      <c r="N1407" s="17">
        <v>59</v>
      </c>
      <c r="O1407" s="18">
        <v>3571</v>
      </c>
      <c r="P1407" s="18">
        <v>3584</v>
      </c>
      <c r="Q1407" s="15"/>
      <c r="R1407" t="s" s="16">
        <f>HYPERLINK("http://secrets.rutgers.edu:8080/data/asl-ftp/asllvd/demos/verify_start_end_handshape_annotations//test_auto_move//signs_mov_separ_signers/Brady_5633.mov","MOV")</f>
        <v>21</v>
      </c>
    </row>
    <row r="1408" s="2" customFormat="1" ht="13.5" customHeight="1">
      <c r="B1408" s="13"/>
      <c r="C1408" t="s" s="9">
        <v>30</v>
      </c>
      <c r="D1408" t="s" s="8">
        <v>516</v>
      </c>
      <c r="E1408" t="s" s="9">
        <v>516</v>
      </c>
      <c r="F1408" t="s" s="10">
        <v>517</v>
      </c>
      <c r="G1408" t="s" s="11">
        <v>517</v>
      </c>
      <c r="H1408" t="s" s="10">
        <v>240</v>
      </c>
      <c r="I1408" t="s" s="11">
        <v>240</v>
      </c>
      <c r="J1408" t="s" s="11">
        <v>20</v>
      </c>
      <c r="K1408" s="15"/>
      <c r="L1408" t="s" s="16">
        <f>HYPERLINK("http://csr.bu.edu/ftp/asl/asllvd/demos/verify_start_end_handshape_annotations//test_auto_move//signs_mov_separ_signers/Brady_5635.mov","MOV")</f>
        <v>21</v>
      </c>
      <c r="M1408" t="s" s="10">
        <v>60</v>
      </c>
      <c r="N1408" s="17">
        <v>13</v>
      </c>
      <c r="O1408" s="18">
        <v>2966</v>
      </c>
      <c r="P1408" s="18">
        <v>2993</v>
      </c>
      <c r="Q1408" s="15"/>
      <c r="R1408" t="s" s="16">
        <f>HYPERLINK("http://secrets.rutgers.edu:8080/data/asl-ftp/asllvd/demos/verify_start_end_handshape_annotations//test_auto_move//signs_mov_separ_signers/Brady_5635.mov","MOV")</f>
        <v>21</v>
      </c>
    </row>
    <row r="1409" s="2" customFormat="1" ht="13.5" customHeight="1">
      <c r="B1409" s="13"/>
      <c r="C1409" t="s" s="9">
        <v>30</v>
      </c>
      <c r="D1409" t="s" s="8">
        <v>516</v>
      </c>
      <c r="E1409" t="s" s="9">
        <v>516</v>
      </c>
      <c r="F1409" t="s" s="10">
        <v>517</v>
      </c>
      <c r="G1409" t="s" s="11">
        <v>517</v>
      </c>
      <c r="H1409" t="s" s="10">
        <v>240</v>
      </c>
      <c r="I1409" t="s" s="11">
        <v>240</v>
      </c>
      <c r="J1409" t="s" s="11">
        <v>20</v>
      </c>
      <c r="K1409" s="15"/>
      <c r="L1409" t="s" s="16">
        <f>HYPERLINK("http://csr.bu.edu/ftp/asl/asllvd/demos/verify_start_end_handshape_annotations//test_auto_move//signs_mov_separ_signers/Brady_5951.mov","MOV")</f>
        <v>21</v>
      </c>
      <c r="M1409" t="s" s="10">
        <v>60</v>
      </c>
      <c r="N1409" s="17">
        <v>56</v>
      </c>
      <c r="O1409" s="18">
        <v>1210</v>
      </c>
      <c r="P1409" s="18">
        <v>1234</v>
      </c>
      <c r="Q1409" s="15"/>
      <c r="R1409" t="s" s="16">
        <f>HYPERLINK("http://secrets.rutgers.edu:8080/data/asl-ftp/asllvd/demos/verify_start_end_handshape_annotations//test_auto_move//signs_mov_separ_signers/Brady_5951.mov","MOV")</f>
        <v>21</v>
      </c>
    </row>
    <row r="1410" s="2" customFormat="1" ht="13.5" customHeight="1">
      <c r="B1410" t="s" s="8">
        <v>518</v>
      </c>
      <c r="C1410" t="s" s="9">
        <v>14</v>
      </c>
      <c r="D1410" t="s" s="8">
        <v>14</v>
      </c>
      <c r="E1410" t="s" s="9">
        <v>14</v>
      </c>
      <c r="F1410" t="s" s="10">
        <v>14</v>
      </c>
      <c r="G1410" t="s" s="11">
        <v>14</v>
      </c>
      <c r="H1410" t="s" s="10">
        <v>14</v>
      </c>
      <c r="I1410" t="s" s="11">
        <v>14</v>
      </c>
      <c r="J1410" t="s" s="11">
        <v>14</v>
      </c>
      <c r="K1410" t="s" s="12">
        <v>14</v>
      </c>
      <c r="L1410" t="s" s="12">
        <v>14</v>
      </c>
      <c r="M1410" t="s" s="10">
        <v>14</v>
      </c>
      <c r="N1410" t="s" s="11">
        <v>14</v>
      </c>
      <c r="O1410" t="s" s="8">
        <v>14</v>
      </c>
      <c r="P1410" t="s" s="8">
        <v>14</v>
      </c>
      <c r="Q1410" t="s" s="12">
        <v>14</v>
      </c>
      <c r="R1410" t="s" s="12">
        <v>14</v>
      </c>
    </row>
    <row r="1411" s="2" customFormat="1" ht="13.5" customHeight="1">
      <c r="B1411" s="13"/>
      <c r="C1411" t="s" s="9">
        <v>16</v>
      </c>
      <c r="D1411" t="s" s="8">
        <v>518</v>
      </c>
      <c r="E1411" t="s" s="9">
        <v>518</v>
      </c>
      <c r="F1411" t="s" s="10">
        <v>244</v>
      </c>
      <c r="G1411" s="14"/>
      <c r="H1411" t="s" s="10">
        <v>119</v>
      </c>
      <c r="I1411" s="14"/>
      <c r="J1411" t="s" s="11">
        <v>20</v>
      </c>
      <c r="K1411" s="15"/>
      <c r="L1411" t="s" s="16">
        <f>HYPERLINK("http://csr.bu.edu/ftp/asl/asllvd/demos/verify_start_end_handshape_annotations//test_auto_move//signs_mov_separ_signers/Liz_311.mov","MOV")</f>
        <v>21</v>
      </c>
      <c r="M1411" t="s" s="10">
        <v>22</v>
      </c>
      <c r="N1411" s="17">
        <v>53</v>
      </c>
      <c r="O1411" s="18">
        <v>325</v>
      </c>
      <c r="P1411" s="18">
        <v>350</v>
      </c>
      <c r="Q1411" s="15"/>
      <c r="R1411" t="s" s="16">
        <f>HYPERLINK("http://secrets.rutgers.edu:8080/data/asl-ftp/asllvd/demos/verify_start_end_handshape_annotations//test_auto_move//signs_mov_separ_signers/Liz_311.mov","MOV")</f>
        <v>21</v>
      </c>
    </row>
    <row r="1412" s="2" customFormat="1" ht="13.5" customHeight="1">
      <c r="B1412" s="13"/>
      <c r="C1412" t="s" s="9">
        <v>16</v>
      </c>
      <c r="D1412" t="s" s="8">
        <v>518</v>
      </c>
      <c r="E1412" t="s" s="9">
        <v>518</v>
      </c>
      <c r="F1412" t="s" s="10">
        <v>148</v>
      </c>
      <c r="G1412" s="14"/>
      <c r="H1412" t="s" s="10">
        <v>119</v>
      </c>
      <c r="I1412" s="14"/>
      <c r="J1412" t="s" s="11">
        <v>20</v>
      </c>
      <c r="K1412" s="15"/>
      <c r="L1412" t="s" s="16">
        <f>HYPERLINK("http://csr.bu.edu/ftp/asl/asllvd/demos/verify_start_end_handshape_annotations//test_auto_move//signs_mov_separ_signers/Liz_3678.mov","MOV")</f>
        <v>21</v>
      </c>
      <c r="M1412" t="s" s="10">
        <v>34</v>
      </c>
      <c r="N1412" s="17">
        <v>57</v>
      </c>
      <c r="O1412" s="18">
        <v>1012</v>
      </c>
      <c r="P1412" s="18">
        <v>1050</v>
      </c>
      <c r="Q1412" s="15"/>
      <c r="R1412" t="s" s="16">
        <f>HYPERLINK("http://secrets.rutgers.edu:8080/data/asl-ftp/asllvd/demos/verify_start_end_handshape_annotations//test_auto_move//signs_mov_separ_signers/Liz_3678.mov","MOV")</f>
        <v>21</v>
      </c>
    </row>
    <row r="1413" s="2" customFormat="1" ht="13.5" customHeight="1">
      <c r="B1413" s="13"/>
      <c r="C1413" t="s" s="9">
        <v>23</v>
      </c>
      <c r="D1413" t="s" s="8">
        <v>518</v>
      </c>
      <c r="E1413" t="s" s="9">
        <v>518</v>
      </c>
      <c r="F1413" t="s" s="10">
        <v>73</v>
      </c>
      <c r="G1413" s="14"/>
      <c r="H1413" t="s" s="10">
        <v>119</v>
      </c>
      <c r="I1413" s="14"/>
      <c r="J1413" t="s" s="11">
        <v>20</v>
      </c>
      <c r="K1413" s="15"/>
      <c r="L1413" t="s" s="16">
        <f>HYPERLINK("http://csr.bu.edu/ftp/asl/asllvd/demos/verify_start_end_handshape_annotations//test_auto_move//signs_mov_separ_signers/Tyler_311.mov","MOV")</f>
        <v>21</v>
      </c>
      <c r="M1413" t="s" s="10">
        <v>26</v>
      </c>
      <c r="N1413" s="17">
        <v>33</v>
      </c>
      <c r="O1413" s="18">
        <v>272</v>
      </c>
      <c r="P1413" s="18">
        <v>315</v>
      </c>
      <c r="Q1413" s="15"/>
      <c r="R1413" t="s" s="16">
        <f>HYPERLINK("http://secrets.rutgers.edu:8080/data/asl-ftp/asllvd/demos/verify_start_end_handshape_annotations//test_auto_move//signs_mov_separ_signers/Tyler_311.mov","MOV")</f>
        <v>21</v>
      </c>
    </row>
    <row r="1414" s="2" customFormat="1" ht="13.5" customHeight="1">
      <c r="B1414" s="13"/>
      <c r="C1414" t="s" s="9">
        <v>27</v>
      </c>
      <c r="D1414" t="s" s="8">
        <v>518</v>
      </c>
      <c r="E1414" t="s" s="9">
        <v>518</v>
      </c>
      <c r="F1414" t="s" s="10">
        <v>73</v>
      </c>
      <c r="G1414" s="14"/>
      <c r="H1414" t="s" s="10">
        <v>119</v>
      </c>
      <c r="I1414" s="14"/>
      <c r="J1414" t="s" s="11">
        <v>20</v>
      </c>
      <c r="K1414" t="s" s="16">
        <f>HYPERLINK("http://csr.bu.edu/ftp/asl/asllvd/demos/verify_start_end_handshape_annotations//test_auto_move//signs_mov/311_3678_merged.mov","MOV")</f>
        <v>21</v>
      </c>
      <c r="L1414" t="s" s="16">
        <f>HYPERLINK("http://csr.bu.edu/ftp/asl/asllvd/demos/verify_start_end_handshape_annotations//test_auto_move//signs_mov_separ_signers/Naomi_311.mov","MOV")</f>
        <v>21</v>
      </c>
      <c r="M1414" t="s" s="10">
        <v>29</v>
      </c>
      <c r="N1414" s="17">
        <v>34</v>
      </c>
      <c r="O1414" s="18">
        <v>240</v>
      </c>
      <c r="P1414" s="18">
        <v>267</v>
      </c>
      <c r="Q1414" t="s" s="16">
        <f>HYPERLINK("http://secrets.rutgers.edu:8080/data/asl-ftp/asllvd/demos/verify_start_end_handshape_annotations//test_auto_move//signs_mov/311_3678_merged.mov","MOV")</f>
        <v>21</v>
      </c>
      <c r="R1414" t="s" s="16">
        <f>HYPERLINK("http://secrets.rutgers.edu:8080/data/asl-ftp/asllvd/demos/verify_start_end_handshape_annotations//test_auto_move//signs_mov_separ_signers/Naomi_311.mov","MOV")</f>
        <v>21</v>
      </c>
    </row>
    <row r="1415" s="2" customFormat="1" ht="13.5" customHeight="1">
      <c r="B1415" s="13"/>
      <c r="C1415" t="s" s="9">
        <v>27</v>
      </c>
      <c r="D1415" t="s" s="8">
        <v>518</v>
      </c>
      <c r="E1415" t="s" s="9">
        <v>518</v>
      </c>
      <c r="F1415" t="s" s="10">
        <v>73</v>
      </c>
      <c r="G1415" s="14"/>
      <c r="H1415" t="s" s="10">
        <v>119</v>
      </c>
      <c r="I1415" s="14"/>
      <c r="J1415" t="s" s="11">
        <v>20</v>
      </c>
      <c r="K1415" s="15"/>
      <c r="L1415" t="s" s="16">
        <f>HYPERLINK("http://csr.bu.edu/ftp/asl/asllvd/demos/verify_start_end_handshape_annotations//test_auto_move//signs_mov_separ_signers/Naomi_3678.mov","MOV")</f>
        <v>21</v>
      </c>
      <c r="M1415" t="s" s="10">
        <v>48</v>
      </c>
      <c r="N1415" s="17">
        <v>12</v>
      </c>
      <c r="O1415" s="18">
        <v>790</v>
      </c>
      <c r="P1415" s="18">
        <v>806</v>
      </c>
      <c r="Q1415" s="15"/>
      <c r="R1415" t="s" s="16">
        <f>HYPERLINK("http://secrets.rutgers.edu:8080/data/asl-ftp/asllvd/demos/verify_start_end_handshape_annotations//test_auto_move//signs_mov_separ_signers/Naomi_3678.mov","MOV")</f>
        <v>21</v>
      </c>
    </row>
    <row r="1416" s="2" customFormat="1" ht="13.5" customHeight="1">
      <c r="B1416" s="13"/>
      <c r="C1416" t="s" s="9">
        <v>30</v>
      </c>
      <c r="D1416" t="s" s="8">
        <v>518</v>
      </c>
      <c r="E1416" t="s" s="9">
        <v>518</v>
      </c>
      <c r="F1416" t="s" s="10">
        <v>244</v>
      </c>
      <c r="G1416" s="14"/>
      <c r="H1416" t="s" s="10">
        <v>119</v>
      </c>
      <c r="I1416" s="14"/>
      <c r="J1416" t="s" s="11">
        <v>20</v>
      </c>
      <c r="K1416" s="15"/>
      <c r="L1416" t="s" s="16">
        <f>HYPERLINK("http://csr.bu.edu/ftp/asl/asllvd/demos/verify_start_end_handshape_annotations//test_auto_move//signs_mov_separ_signers/Brady_311.mov","MOV")</f>
        <v>21</v>
      </c>
      <c r="M1416" t="s" s="10">
        <v>31</v>
      </c>
      <c r="N1416" s="17">
        <v>22</v>
      </c>
      <c r="O1416" s="18">
        <v>28392</v>
      </c>
      <c r="P1416" s="18">
        <v>28408</v>
      </c>
      <c r="Q1416" s="15"/>
      <c r="R1416" t="s" s="16">
        <f>HYPERLINK("http://secrets.rutgers.edu:8080/data/asl-ftp/asllvd/demos/verify_start_end_handshape_annotations//test_auto_move//signs_mov_separ_signers/Brady_311.mov","MOV")</f>
        <v>21</v>
      </c>
    </row>
    <row r="1417" s="2" customFormat="1" ht="13.5" customHeight="1">
      <c r="B1417" s="13"/>
      <c r="C1417" t="s" s="9">
        <v>41</v>
      </c>
      <c r="D1417" t="s" s="8">
        <v>518</v>
      </c>
      <c r="E1417" t="s" s="9">
        <v>518</v>
      </c>
      <c r="F1417" t="s" s="10">
        <v>244</v>
      </c>
      <c r="G1417" s="14"/>
      <c r="H1417" t="s" s="10">
        <v>119</v>
      </c>
      <c r="I1417" s="14"/>
      <c r="J1417" t="s" s="11">
        <v>20</v>
      </c>
      <c r="K1417" s="15"/>
      <c r="L1417" t="s" s="16">
        <f>HYPERLINK("http://csr.bu.edu/ftp/asl/asllvd/demos/verify_start_end_handshape_annotations//test_auto_move//signs_mov_separ_signers/Lana_311.mov","MOV")</f>
        <v>21</v>
      </c>
      <c r="M1417" t="s" s="10">
        <v>442</v>
      </c>
      <c r="N1417" s="17">
        <v>61</v>
      </c>
      <c r="O1417" s="18">
        <v>757</v>
      </c>
      <c r="P1417" s="18">
        <v>786</v>
      </c>
      <c r="Q1417" s="15"/>
      <c r="R1417" t="s" s="16">
        <f>HYPERLINK("http://secrets.rutgers.edu:8080/data/asl-ftp/asllvd/demos/verify_start_end_handshape_annotations//test_auto_move//signs_mov_separ_signers/Lana_311.mov","MOV")</f>
        <v>21</v>
      </c>
    </row>
    <row r="1418" s="2" customFormat="1" ht="13.5" customHeight="1">
      <c r="B1418" t="s" s="8">
        <v>519</v>
      </c>
      <c r="C1418" t="s" s="9">
        <v>14</v>
      </c>
      <c r="D1418" t="s" s="8">
        <v>14</v>
      </c>
      <c r="E1418" t="s" s="9">
        <v>14</v>
      </c>
      <c r="F1418" t="s" s="10">
        <v>14</v>
      </c>
      <c r="G1418" t="s" s="11">
        <v>14</v>
      </c>
      <c r="H1418" t="s" s="10">
        <v>14</v>
      </c>
      <c r="I1418" t="s" s="11">
        <v>14</v>
      </c>
      <c r="J1418" t="s" s="11">
        <v>14</v>
      </c>
      <c r="K1418" t="s" s="12">
        <v>14</v>
      </c>
      <c r="L1418" t="s" s="12">
        <v>14</v>
      </c>
      <c r="M1418" t="s" s="10">
        <v>14</v>
      </c>
      <c r="N1418" t="s" s="11">
        <v>14</v>
      </c>
      <c r="O1418" t="s" s="8">
        <v>14</v>
      </c>
      <c r="P1418" t="s" s="8">
        <v>14</v>
      </c>
      <c r="Q1418" t="s" s="12">
        <v>14</v>
      </c>
      <c r="R1418" t="s" s="12">
        <v>14</v>
      </c>
    </row>
    <row r="1419" s="2" customFormat="1" ht="13.5" customHeight="1">
      <c r="B1419" s="13"/>
      <c r="C1419" t="s" s="9">
        <v>16</v>
      </c>
      <c r="D1419" t="s" s="8">
        <v>519</v>
      </c>
      <c r="E1419" t="s" s="9">
        <v>519</v>
      </c>
      <c r="F1419" t="s" s="10">
        <v>18</v>
      </c>
      <c r="G1419" t="s" s="11">
        <v>18</v>
      </c>
      <c r="H1419" t="s" s="10">
        <v>18</v>
      </c>
      <c r="I1419" t="s" s="11">
        <v>18</v>
      </c>
      <c r="J1419" t="s" s="11">
        <v>20</v>
      </c>
      <c r="K1419" t="s" s="16">
        <f>HYPERLINK("http://csr.bu.edu/ftp/asl/asllvd/demos/verify_start_end_handshape_annotations//test_auto_move//signs_mov/313.mov","MOV")</f>
        <v>21</v>
      </c>
      <c r="L1419" t="s" s="16">
        <f>HYPERLINK("http://csr.bu.edu/ftp/asl/asllvd/demos/verify_start_end_handshape_annotations//test_auto_move//signs_mov_separ_signers/Liz_313.mov","MOV")</f>
        <v>21</v>
      </c>
      <c r="M1419" t="s" s="10">
        <v>22</v>
      </c>
      <c r="N1419" s="17">
        <v>53</v>
      </c>
      <c r="O1419" s="18">
        <v>760</v>
      </c>
      <c r="P1419" s="18">
        <v>810</v>
      </c>
      <c r="Q1419" t="s" s="16">
        <f>HYPERLINK("http://secrets.rutgers.edu:8080/data/asl-ftp/asllvd/demos/verify_start_end_handshape_annotations//test_auto_move//signs_mov/313.mov","MOV")</f>
        <v>21</v>
      </c>
      <c r="R1419" t="s" s="16">
        <f>HYPERLINK("http://secrets.rutgers.edu:8080/data/asl-ftp/asllvd/demos/verify_start_end_handshape_annotations//test_auto_move//signs_mov_separ_signers/Liz_313.mov","MOV")</f>
        <v>21</v>
      </c>
    </row>
    <row r="1420" s="2" customFormat="1" ht="13.5" customHeight="1">
      <c r="B1420" s="13"/>
      <c r="C1420" t="s" s="9">
        <v>23</v>
      </c>
      <c r="D1420" t="s" s="8">
        <v>519</v>
      </c>
      <c r="E1420" t="s" s="9">
        <v>519</v>
      </c>
      <c r="F1420" t="s" s="10">
        <v>25</v>
      </c>
      <c r="G1420" t="s" s="11">
        <v>25</v>
      </c>
      <c r="H1420" t="s" s="10">
        <v>25</v>
      </c>
      <c r="I1420" t="s" s="11">
        <v>25</v>
      </c>
      <c r="J1420" t="s" s="11">
        <v>20</v>
      </c>
      <c r="K1420" s="15"/>
      <c r="L1420" t="s" s="16">
        <f>HYPERLINK("http://csr.bu.edu/ftp/asl/asllvd/demos/verify_start_end_handshape_annotations//test_auto_move//signs_mov_separ_signers/Tyler_313.mov","MOV")</f>
        <v>21</v>
      </c>
      <c r="M1420" t="s" s="10">
        <v>26</v>
      </c>
      <c r="N1420" s="17">
        <v>33</v>
      </c>
      <c r="O1420" s="18">
        <v>700</v>
      </c>
      <c r="P1420" s="18">
        <v>725</v>
      </c>
      <c r="Q1420" s="15"/>
      <c r="R1420" t="s" s="16">
        <f>HYPERLINK("http://secrets.rutgers.edu:8080/data/asl-ftp/asllvd/demos/verify_start_end_handshape_annotations//test_auto_move//signs_mov_separ_signers/Tyler_313.mov","MOV")</f>
        <v>21</v>
      </c>
    </row>
    <row r="1421" s="2" customFormat="1" ht="13.5" customHeight="1">
      <c r="B1421" t="s" s="8">
        <v>52</v>
      </c>
      <c r="C1421" t="s" s="9">
        <v>53</v>
      </c>
      <c r="D1421" t="s" s="8">
        <v>53</v>
      </c>
      <c r="E1421" t="s" s="9">
        <v>53</v>
      </c>
      <c r="F1421" t="s" s="10">
        <v>53</v>
      </c>
      <c r="G1421" t="s" s="11">
        <v>53</v>
      </c>
      <c r="H1421" t="s" s="10">
        <v>53</v>
      </c>
      <c r="I1421" t="s" s="11">
        <v>53</v>
      </c>
      <c r="J1421" t="s" s="11">
        <v>53</v>
      </c>
      <c r="K1421" t="s" s="12">
        <v>53</v>
      </c>
      <c r="L1421" t="s" s="12">
        <v>53</v>
      </c>
      <c r="M1421" t="s" s="10">
        <v>53</v>
      </c>
      <c r="N1421" t="s" s="11">
        <v>53</v>
      </c>
      <c r="O1421" t="s" s="8">
        <v>53</v>
      </c>
      <c r="P1421" t="s" s="8">
        <v>53</v>
      </c>
      <c r="Q1421" t="s" s="12">
        <v>53</v>
      </c>
      <c r="R1421" t="s" s="12">
        <v>53</v>
      </c>
    </row>
    <row r="1422" s="2" customFormat="1" ht="13.5" customHeight="1">
      <c r="B1422" s="13"/>
      <c r="C1422" t="s" s="9">
        <v>27</v>
      </c>
      <c r="D1422" t="s" s="8">
        <v>519</v>
      </c>
      <c r="E1422" t="s" s="9">
        <v>520</v>
      </c>
      <c r="F1422" t="s" s="10">
        <v>292</v>
      </c>
      <c r="G1422" t="s" s="11">
        <v>292</v>
      </c>
      <c r="H1422" t="s" s="10">
        <v>292</v>
      </c>
      <c r="I1422" t="s" s="11">
        <v>292</v>
      </c>
      <c r="J1422" t="s" s="11">
        <v>20</v>
      </c>
      <c r="K1422" t="s" s="16">
        <f>HYPERLINK("http://csr.bu.edu/ftp/asl/asllvd/demos/verify_start_end_handshape_annotations//test_auto_move//signs_mov/16248.mov","MOV")</f>
        <v>21</v>
      </c>
      <c r="L1422" t="s" s="16">
        <f>HYPERLINK("http://csr.bu.edu/ftp/asl/asllvd/demos/verify_start_end_handshape_annotations//test_auto_move//signs_mov_separ_signers/Naomi_16248.mov","MOV")</f>
        <v>21</v>
      </c>
      <c r="M1422" t="s" s="10">
        <v>29</v>
      </c>
      <c r="N1422" s="17">
        <v>34</v>
      </c>
      <c r="O1422" s="18">
        <v>735</v>
      </c>
      <c r="P1422" s="18">
        <v>757</v>
      </c>
      <c r="Q1422" t="s" s="16">
        <f>HYPERLINK("http://secrets.rutgers.edu:8080/data/asl-ftp/asllvd/demos/verify_start_end_handshape_annotations//test_auto_move//signs_mov/16248.mov","MOV")</f>
        <v>21</v>
      </c>
      <c r="R1422" t="s" s="16">
        <f>HYPERLINK("http://secrets.rutgers.edu:8080/data/asl-ftp/asllvd/demos/verify_start_end_handshape_annotations//test_auto_move//signs_mov_separ_signers/Naomi_16248.mov","MOV")</f>
        <v>21</v>
      </c>
    </row>
    <row r="1423" s="2" customFormat="1" ht="13.5" customHeight="1">
      <c r="B1423" s="13"/>
      <c r="C1423" t="s" s="9">
        <v>30</v>
      </c>
      <c r="D1423" t="s" s="8">
        <v>519</v>
      </c>
      <c r="E1423" t="s" s="9">
        <v>520</v>
      </c>
      <c r="F1423" t="s" s="10">
        <v>25</v>
      </c>
      <c r="G1423" t="s" s="11">
        <v>25</v>
      </c>
      <c r="H1423" t="s" s="10">
        <v>19</v>
      </c>
      <c r="I1423" t="s" s="11">
        <v>19</v>
      </c>
      <c r="J1423" t="s" s="11">
        <v>20</v>
      </c>
      <c r="K1423" s="15"/>
      <c r="L1423" t="s" s="16">
        <f>HYPERLINK("http://csr.bu.edu/ftp/asl/asllvd/demos/verify_start_end_handshape_annotations//test_auto_move//signs_mov_separ_signers/Brady_16248.mov","MOV")</f>
        <v>21</v>
      </c>
      <c r="M1423" t="s" s="10">
        <v>31</v>
      </c>
      <c r="N1423" s="17">
        <v>22</v>
      </c>
      <c r="O1423" s="18">
        <v>29052</v>
      </c>
      <c r="P1423" s="18">
        <v>29072</v>
      </c>
      <c r="Q1423" s="15"/>
      <c r="R1423" t="s" s="16">
        <f>HYPERLINK("http://secrets.rutgers.edu:8080/data/asl-ftp/asllvd/demos/verify_start_end_handshape_annotations//test_auto_move//signs_mov_separ_signers/Brady_16248.mov","MOV")</f>
        <v>21</v>
      </c>
    </row>
    <row r="1424" s="2" customFormat="1" ht="13.5" customHeight="1">
      <c r="B1424" t="s" s="8">
        <v>521</v>
      </c>
      <c r="C1424" t="s" s="9">
        <v>14</v>
      </c>
      <c r="D1424" t="s" s="8">
        <v>14</v>
      </c>
      <c r="E1424" t="s" s="9">
        <v>14</v>
      </c>
      <c r="F1424" t="s" s="10">
        <v>14</v>
      </c>
      <c r="G1424" t="s" s="11">
        <v>14</v>
      </c>
      <c r="H1424" t="s" s="10">
        <v>14</v>
      </c>
      <c r="I1424" t="s" s="11">
        <v>14</v>
      </c>
      <c r="J1424" t="s" s="11">
        <v>14</v>
      </c>
      <c r="K1424" t="s" s="12">
        <v>14</v>
      </c>
      <c r="L1424" t="s" s="12">
        <v>14</v>
      </c>
      <c r="M1424" t="s" s="10">
        <v>14</v>
      </c>
      <c r="N1424" t="s" s="11">
        <v>14</v>
      </c>
      <c r="O1424" t="s" s="8">
        <v>14</v>
      </c>
      <c r="P1424" t="s" s="8">
        <v>14</v>
      </c>
      <c r="Q1424" t="s" s="12">
        <v>14</v>
      </c>
      <c r="R1424" t="s" s="12">
        <v>14</v>
      </c>
    </row>
    <row r="1425" s="2" customFormat="1" ht="13.5" customHeight="1">
      <c r="B1425" s="13"/>
      <c r="C1425" t="s" s="9">
        <v>16</v>
      </c>
      <c r="D1425" t="s" s="8">
        <v>521</v>
      </c>
      <c r="E1425" t="s" s="9">
        <v>521</v>
      </c>
      <c r="F1425" t="s" s="10">
        <v>430</v>
      </c>
      <c r="G1425" t="s" s="11">
        <v>68</v>
      </c>
      <c r="H1425" t="s" s="10">
        <v>430</v>
      </c>
      <c r="I1425" t="s" s="11">
        <v>68</v>
      </c>
      <c r="J1425" t="s" s="11">
        <v>20</v>
      </c>
      <c r="K1425" t="s" s="16">
        <f>HYPERLINK("http://csr.bu.edu/ftp/asl/asllvd/demos/verify_start_end_handshape_annotations//test_auto_move//signs_mov/314.mov","MOV")</f>
        <v>21</v>
      </c>
      <c r="L1425" t="s" s="16">
        <f>HYPERLINK("http://csr.bu.edu/ftp/asl/asllvd/demos/verify_start_end_handshape_annotations//test_auto_move//signs_mov_separ_signers/Liz_314.mov","MOV")</f>
        <v>21</v>
      </c>
      <c r="M1425" t="s" s="10">
        <v>22</v>
      </c>
      <c r="N1425" s="17">
        <v>53</v>
      </c>
      <c r="O1425" s="18">
        <v>985</v>
      </c>
      <c r="P1425" s="18">
        <v>1020</v>
      </c>
      <c r="Q1425" t="s" s="16">
        <f>HYPERLINK("http://secrets.rutgers.edu:8080/data/asl-ftp/asllvd/demos/verify_start_end_handshape_annotations//test_auto_move//signs_mov/314.mov","MOV")</f>
        <v>21</v>
      </c>
      <c r="R1425" t="s" s="16">
        <f>HYPERLINK("http://secrets.rutgers.edu:8080/data/asl-ftp/asllvd/demos/verify_start_end_handshape_annotations//test_auto_move//signs_mov_separ_signers/Liz_314.mov","MOV")</f>
        <v>21</v>
      </c>
    </row>
    <row r="1426" s="2" customFormat="1" ht="13.5" customHeight="1">
      <c r="B1426" s="13"/>
      <c r="C1426" t="s" s="9">
        <v>27</v>
      </c>
      <c r="D1426" t="s" s="8">
        <v>521</v>
      </c>
      <c r="E1426" t="s" s="9">
        <v>521</v>
      </c>
      <c r="F1426" t="s" s="10">
        <v>430</v>
      </c>
      <c r="G1426" t="s" s="11">
        <v>105</v>
      </c>
      <c r="H1426" t="s" s="10">
        <v>430</v>
      </c>
      <c r="I1426" t="s" s="11">
        <v>105</v>
      </c>
      <c r="J1426" t="s" s="11">
        <v>20</v>
      </c>
      <c r="K1426" s="15"/>
      <c r="L1426" t="s" s="16">
        <f>HYPERLINK("http://csr.bu.edu/ftp/asl/asllvd/demos/verify_start_end_handshape_annotations//test_auto_move//signs_mov_separ_signers/Naomi_314.mov","MOV")</f>
        <v>21</v>
      </c>
      <c r="M1426" t="s" s="10">
        <v>29</v>
      </c>
      <c r="N1426" s="17">
        <v>34</v>
      </c>
      <c r="O1426" s="18">
        <v>1015</v>
      </c>
      <c r="P1426" s="18">
        <v>1043</v>
      </c>
      <c r="Q1426" s="15"/>
      <c r="R1426" t="s" s="16">
        <f>HYPERLINK("http://secrets.rutgers.edu:8080/data/asl-ftp/asllvd/demos/verify_start_end_handshape_annotations//test_auto_move//signs_mov_separ_signers/Naomi_314.mov","MOV")</f>
        <v>21</v>
      </c>
    </row>
    <row r="1427" s="2" customFormat="1" ht="13.5" customHeight="1">
      <c r="B1427" t="s" s="8">
        <v>52</v>
      </c>
      <c r="C1427" t="s" s="9">
        <v>53</v>
      </c>
      <c r="D1427" t="s" s="8">
        <v>53</v>
      </c>
      <c r="E1427" t="s" s="9">
        <v>53</v>
      </c>
      <c r="F1427" t="s" s="10">
        <v>53</v>
      </c>
      <c r="G1427" t="s" s="11">
        <v>53</v>
      </c>
      <c r="H1427" t="s" s="10">
        <v>53</v>
      </c>
      <c r="I1427" t="s" s="11">
        <v>53</v>
      </c>
      <c r="J1427" t="s" s="11">
        <v>53</v>
      </c>
      <c r="K1427" t="s" s="12">
        <v>53</v>
      </c>
      <c r="L1427" t="s" s="12">
        <v>53</v>
      </c>
      <c r="M1427" t="s" s="10">
        <v>53</v>
      </c>
      <c r="N1427" t="s" s="11">
        <v>53</v>
      </c>
      <c r="O1427" t="s" s="8">
        <v>53</v>
      </c>
      <c r="P1427" t="s" s="8">
        <v>53</v>
      </c>
      <c r="Q1427" t="s" s="12">
        <v>53</v>
      </c>
      <c r="R1427" t="s" s="12">
        <v>53</v>
      </c>
    </row>
    <row r="1428" s="2" customFormat="1" ht="13.5" customHeight="1">
      <c r="B1428" s="13"/>
      <c r="C1428" t="s" s="9">
        <v>23</v>
      </c>
      <c r="D1428" t="s" s="8">
        <v>521</v>
      </c>
      <c r="E1428" t="s" s="9">
        <v>522</v>
      </c>
      <c r="F1428" t="s" s="10">
        <v>437</v>
      </c>
      <c r="G1428" t="s" s="11">
        <v>105</v>
      </c>
      <c r="H1428" t="s" s="10">
        <v>437</v>
      </c>
      <c r="I1428" t="s" s="11">
        <v>105</v>
      </c>
      <c r="J1428" t="s" s="11">
        <v>136</v>
      </c>
      <c r="K1428" t="s" s="16">
        <f>HYPERLINK("http://csr.bu.edu/ftp/asl/asllvd/demos/verify_start_end_handshape_annotations//test_auto_move//signs_mov/15953.mov","MOV")</f>
        <v>21</v>
      </c>
      <c r="L1428" t="s" s="16">
        <f>HYPERLINK("http://csr.bu.edu/ftp/asl/asllvd/demos/verify_start_end_handshape_annotations//test_auto_move//signs_mov_separ_signers/Tyler_15953.mov","MOV")</f>
        <v>21</v>
      </c>
      <c r="M1428" t="s" s="10">
        <v>26</v>
      </c>
      <c r="N1428" s="17">
        <v>33</v>
      </c>
      <c r="O1428" s="18">
        <v>895</v>
      </c>
      <c r="P1428" s="18">
        <v>950</v>
      </c>
      <c r="Q1428" t="s" s="16">
        <f>HYPERLINK("http://secrets.rutgers.edu:8080/data/asl-ftp/asllvd/demos/verify_start_end_handshape_annotations//test_auto_move//signs_mov/15953.mov","MOV")</f>
        <v>21</v>
      </c>
      <c r="R1428" t="s" s="16">
        <f>HYPERLINK("http://secrets.rutgers.edu:8080/data/asl-ftp/asllvd/demos/verify_start_end_handshape_annotations//test_auto_move//signs_mov_separ_signers/Tyler_15953.mov","MOV")</f>
        <v>21</v>
      </c>
    </row>
    <row r="1429" s="2" customFormat="1" ht="13.5" customHeight="1">
      <c r="B1429" t="s" s="8">
        <v>523</v>
      </c>
      <c r="C1429" t="s" s="9">
        <v>14</v>
      </c>
      <c r="D1429" t="s" s="8">
        <v>14</v>
      </c>
      <c r="E1429" t="s" s="9">
        <v>14</v>
      </c>
      <c r="F1429" t="s" s="10">
        <v>14</v>
      </c>
      <c r="G1429" t="s" s="11">
        <v>14</v>
      </c>
      <c r="H1429" t="s" s="10">
        <v>14</v>
      </c>
      <c r="I1429" t="s" s="11">
        <v>14</v>
      </c>
      <c r="J1429" t="s" s="11">
        <v>14</v>
      </c>
      <c r="K1429" t="s" s="12">
        <v>14</v>
      </c>
      <c r="L1429" t="s" s="12">
        <v>14</v>
      </c>
      <c r="M1429" t="s" s="10">
        <v>14</v>
      </c>
      <c r="N1429" t="s" s="11">
        <v>14</v>
      </c>
      <c r="O1429" t="s" s="8">
        <v>14</v>
      </c>
      <c r="P1429" t="s" s="8">
        <v>14</v>
      </c>
      <c r="Q1429" t="s" s="12">
        <v>14</v>
      </c>
      <c r="R1429" t="s" s="12">
        <v>14</v>
      </c>
    </row>
    <row r="1430" s="2" customFormat="1" ht="13.5" customHeight="1">
      <c r="B1430" s="13"/>
      <c r="C1430" t="s" s="9">
        <v>16</v>
      </c>
      <c r="D1430" t="s" s="8">
        <v>523</v>
      </c>
      <c r="E1430" t="s" s="9">
        <v>523</v>
      </c>
      <c r="F1430" t="s" s="10">
        <v>282</v>
      </c>
      <c r="G1430" t="s" s="11">
        <v>68</v>
      </c>
      <c r="H1430" t="s" s="10">
        <v>282</v>
      </c>
      <c r="I1430" t="s" s="11">
        <v>68</v>
      </c>
      <c r="J1430" t="s" s="11">
        <v>20</v>
      </c>
      <c r="K1430" s="15"/>
      <c r="L1430" t="s" s="16">
        <f>HYPERLINK("http://csr.bu.edu/ftp/asl/asllvd/demos/verify_start_end_handshape_annotations//test_auto_move//signs_mov_separ_signers/Liz_15997.mov","MOV")</f>
        <v>21</v>
      </c>
      <c r="M1430" t="s" s="10">
        <v>59</v>
      </c>
      <c r="N1430" s="17">
        <v>36</v>
      </c>
      <c r="O1430" s="18">
        <v>3271</v>
      </c>
      <c r="P1430" s="18">
        <v>3340</v>
      </c>
      <c r="Q1430" s="15"/>
      <c r="R1430" t="s" s="16">
        <f>HYPERLINK("http://secrets.rutgers.edu:8080/data/asl-ftp/asllvd/demos/verify_start_end_handshape_annotations//test_auto_move//signs_mov_separ_signers/Liz_15997.mov","MOV")</f>
        <v>21</v>
      </c>
    </row>
    <row r="1431" s="2" customFormat="1" ht="13.5" customHeight="1">
      <c r="B1431" s="13"/>
      <c r="C1431" t="s" s="9">
        <v>30</v>
      </c>
      <c r="D1431" t="s" s="8">
        <v>523</v>
      </c>
      <c r="E1431" t="s" s="9">
        <v>523</v>
      </c>
      <c r="F1431" t="s" s="10">
        <v>282</v>
      </c>
      <c r="G1431" t="s" s="11">
        <v>105</v>
      </c>
      <c r="H1431" t="s" s="10">
        <v>282</v>
      </c>
      <c r="I1431" t="s" s="11">
        <v>105</v>
      </c>
      <c r="J1431" t="s" s="11">
        <v>20</v>
      </c>
      <c r="K1431" t="s" s="16">
        <f>HYPERLINK("http://csr.bu.edu/ftp/asl/asllvd/demos/verify_start_end_handshape_annotations//test_auto_move//signs_mov/15997_16249_merged.mov","MOV")</f>
        <v>21</v>
      </c>
      <c r="L1431" t="s" s="16">
        <f>HYPERLINK("http://csr.bu.edu/ftp/asl/asllvd/demos/verify_start_end_handshape_annotations//test_auto_move//signs_mov_separ_signers/Brady_15997.mov","MOV")</f>
        <v>21</v>
      </c>
      <c r="M1431" t="s" s="10">
        <v>60</v>
      </c>
      <c r="N1431" s="17">
        <v>25</v>
      </c>
      <c r="O1431" s="18">
        <v>141</v>
      </c>
      <c r="P1431" s="18">
        <v>180</v>
      </c>
      <c r="Q1431" t="s" s="16">
        <f>HYPERLINK("http://secrets.rutgers.edu:8080/data/asl-ftp/asllvd/demos/verify_start_end_handshape_annotations//test_auto_move//signs_mov/15997_16249_merged.mov","MOV")</f>
        <v>21</v>
      </c>
      <c r="R1431" t="s" s="16">
        <f>HYPERLINK("http://secrets.rutgers.edu:8080/data/asl-ftp/asllvd/demos/verify_start_end_handshape_annotations//test_auto_move//signs_mov_separ_signers/Brady_15997.mov","MOV")</f>
        <v>21</v>
      </c>
    </row>
    <row r="1432" s="2" customFormat="1" ht="13.5" customHeight="1">
      <c r="B1432" s="13"/>
      <c r="C1432" t="s" s="9">
        <v>30</v>
      </c>
      <c r="D1432" t="s" s="8">
        <v>523</v>
      </c>
      <c r="E1432" t="s" s="9">
        <v>523</v>
      </c>
      <c r="F1432" t="s" s="10">
        <v>282</v>
      </c>
      <c r="G1432" t="s" s="11">
        <v>68</v>
      </c>
      <c r="H1432" t="s" s="10">
        <v>282</v>
      </c>
      <c r="I1432" t="s" s="11">
        <v>68</v>
      </c>
      <c r="J1432" t="s" s="11">
        <v>20</v>
      </c>
      <c r="K1432" s="15"/>
      <c r="L1432" t="s" s="16">
        <f>HYPERLINK("http://csr.bu.edu/ftp/asl/asllvd/demos/verify_start_end_handshape_annotations//test_auto_move//signs_mov_separ_signers/Brady_16249.mov","MOV")</f>
        <v>21</v>
      </c>
      <c r="M1432" t="s" s="10">
        <v>60</v>
      </c>
      <c r="N1432" s="17">
        <v>57</v>
      </c>
      <c r="O1432" s="18">
        <v>2217</v>
      </c>
      <c r="P1432" s="18">
        <v>2259</v>
      </c>
      <c r="Q1432" s="15"/>
      <c r="R1432" t="s" s="16">
        <f>HYPERLINK("http://secrets.rutgers.edu:8080/data/asl-ftp/asllvd/demos/verify_start_end_handshape_annotations//test_auto_move//signs_mov_separ_signers/Brady_16249.mov","MOV")</f>
        <v>21</v>
      </c>
    </row>
    <row r="1433" s="2" customFormat="1" ht="13.5" customHeight="1">
      <c r="B1433" t="s" s="8">
        <v>524</v>
      </c>
      <c r="C1433" t="s" s="9">
        <v>14</v>
      </c>
      <c r="D1433" t="s" s="8">
        <v>14</v>
      </c>
      <c r="E1433" t="s" s="9">
        <v>14</v>
      </c>
      <c r="F1433" t="s" s="10">
        <v>14</v>
      </c>
      <c r="G1433" t="s" s="11">
        <v>14</v>
      </c>
      <c r="H1433" t="s" s="10">
        <v>14</v>
      </c>
      <c r="I1433" t="s" s="11">
        <v>14</v>
      </c>
      <c r="J1433" t="s" s="11">
        <v>14</v>
      </c>
      <c r="K1433" t="s" s="12">
        <v>14</v>
      </c>
      <c r="L1433" t="s" s="12">
        <v>14</v>
      </c>
      <c r="M1433" t="s" s="10">
        <v>14</v>
      </c>
      <c r="N1433" t="s" s="11">
        <v>14</v>
      </c>
      <c r="O1433" t="s" s="8">
        <v>14</v>
      </c>
      <c r="P1433" t="s" s="8">
        <v>14</v>
      </c>
      <c r="Q1433" t="s" s="12">
        <v>14</v>
      </c>
      <c r="R1433" t="s" s="12">
        <v>14</v>
      </c>
    </row>
    <row r="1434" s="2" customFormat="1" ht="13.5" customHeight="1">
      <c r="B1434" s="13"/>
      <c r="C1434" t="s" s="9">
        <v>16</v>
      </c>
      <c r="D1434" t="s" s="8">
        <v>524</v>
      </c>
      <c r="E1434" t="s" s="9">
        <v>524</v>
      </c>
      <c r="F1434" s="19">
        <v>10</v>
      </c>
      <c r="G1434" s="17">
        <v>10</v>
      </c>
      <c r="H1434" s="19">
        <v>10</v>
      </c>
      <c r="I1434" s="17">
        <v>10</v>
      </c>
      <c r="J1434" t="s" s="11">
        <v>20</v>
      </c>
      <c r="K1434" s="15"/>
      <c r="L1434" t="s" s="16">
        <f>HYPERLINK("http://csr.bu.edu/ftp/asl/asllvd/demos/verify_start_end_handshape_annotations//test_auto_move//signs_mov_separ_signers/Liz_315.mov","MOV")</f>
        <v>21</v>
      </c>
      <c r="M1434" t="s" s="10">
        <v>22</v>
      </c>
      <c r="N1434" s="17">
        <v>53</v>
      </c>
      <c r="O1434" s="18">
        <v>1241</v>
      </c>
      <c r="P1434" s="18">
        <v>1305</v>
      </c>
      <c r="Q1434" s="15"/>
      <c r="R1434" t="s" s="16">
        <f>HYPERLINK("http://secrets.rutgers.edu:8080/data/asl-ftp/asllvd/demos/verify_start_end_handshape_annotations//test_auto_move//signs_mov_separ_signers/Liz_315.mov","MOV")</f>
        <v>21</v>
      </c>
    </row>
    <row r="1435" s="2" customFormat="1" ht="13.5" customHeight="1">
      <c r="B1435" s="13"/>
      <c r="C1435" t="s" s="9">
        <v>23</v>
      </c>
      <c r="D1435" t="s" s="8">
        <v>524</v>
      </c>
      <c r="E1435" t="s" s="9">
        <v>524</v>
      </c>
      <c r="F1435" s="19">
        <v>10</v>
      </c>
      <c r="G1435" s="17">
        <v>10</v>
      </c>
      <c r="H1435" s="19">
        <v>10</v>
      </c>
      <c r="I1435" s="17">
        <v>10</v>
      </c>
      <c r="J1435" t="s" s="11">
        <v>20</v>
      </c>
      <c r="K1435" t="s" s="16">
        <f>HYPERLINK("http://csr.bu.edu/ftp/asl/asllvd/demos/verify_start_end_handshape_annotations//test_auto_move//signs_mov/315.mov","MOV")</f>
        <v>21</v>
      </c>
      <c r="L1435" t="s" s="16">
        <f>HYPERLINK("http://csr.bu.edu/ftp/asl/asllvd/demos/verify_start_end_handshape_annotations//test_auto_move//signs_mov_separ_signers/Tyler_315.mov","MOV")</f>
        <v>21</v>
      </c>
      <c r="M1435" t="s" s="10">
        <v>26</v>
      </c>
      <c r="N1435" s="17">
        <v>33</v>
      </c>
      <c r="O1435" s="18">
        <v>1106</v>
      </c>
      <c r="P1435" s="18">
        <v>1165</v>
      </c>
      <c r="Q1435" t="s" s="16">
        <f>HYPERLINK("http://secrets.rutgers.edu:8080/data/asl-ftp/asllvd/demos/verify_start_end_handshape_annotations//test_auto_move//signs_mov/315.mov","MOV")</f>
        <v>21</v>
      </c>
      <c r="R1435" t="s" s="16">
        <f>HYPERLINK("http://secrets.rutgers.edu:8080/data/asl-ftp/asllvd/demos/verify_start_end_handshape_annotations//test_auto_move//signs_mov_separ_signers/Tyler_315.mov","MOV")</f>
        <v>21</v>
      </c>
    </row>
    <row r="1436" s="2" customFormat="1" ht="13.5" customHeight="1">
      <c r="B1436" s="13"/>
      <c r="C1436" t="s" s="9">
        <v>27</v>
      </c>
      <c r="D1436" t="s" s="8">
        <v>524</v>
      </c>
      <c r="E1436" t="s" s="9">
        <v>524</v>
      </c>
      <c r="F1436" s="19">
        <v>10</v>
      </c>
      <c r="G1436" s="17">
        <v>10</v>
      </c>
      <c r="H1436" s="19">
        <v>10</v>
      </c>
      <c r="I1436" s="17">
        <v>10</v>
      </c>
      <c r="J1436" t="s" s="11">
        <v>20</v>
      </c>
      <c r="K1436" s="15"/>
      <c r="L1436" t="s" s="16">
        <f>HYPERLINK("http://csr.bu.edu/ftp/asl/asllvd/demos/verify_start_end_handshape_annotations//test_auto_move//signs_mov_separ_signers/Naomi_315.mov","MOV")</f>
        <v>21</v>
      </c>
      <c r="M1436" t="s" s="10">
        <v>29</v>
      </c>
      <c r="N1436" s="17">
        <v>34</v>
      </c>
      <c r="O1436" s="18">
        <v>1275</v>
      </c>
      <c r="P1436" s="18">
        <v>1327</v>
      </c>
      <c r="Q1436" s="15"/>
      <c r="R1436" t="s" s="16">
        <f>HYPERLINK("http://secrets.rutgers.edu:8080/data/asl-ftp/asllvd/demos/verify_start_end_handshape_annotations//test_auto_move//signs_mov_separ_signers/Naomi_315.mov","MOV")</f>
        <v>21</v>
      </c>
    </row>
    <row r="1437" s="2" customFormat="1" ht="13.5" customHeight="1">
      <c r="B1437" s="13"/>
      <c r="C1437" t="s" s="9">
        <v>30</v>
      </c>
      <c r="D1437" t="s" s="8">
        <v>524</v>
      </c>
      <c r="E1437" t="s" s="9">
        <v>524</v>
      </c>
      <c r="F1437" s="19">
        <v>10</v>
      </c>
      <c r="G1437" s="17">
        <v>10</v>
      </c>
      <c r="H1437" s="19">
        <v>10</v>
      </c>
      <c r="I1437" s="17">
        <v>10</v>
      </c>
      <c r="J1437" t="s" s="11">
        <v>20</v>
      </c>
      <c r="K1437" s="15"/>
      <c r="L1437" t="s" s="16">
        <f>HYPERLINK("http://csr.bu.edu/ftp/asl/asllvd/demos/verify_start_end_handshape_annotations//test_auto_move//signs_mov_separ_signers/Brady_315.mov","MOV")</f>
        <v>21</v>
      </c>
      <c r="M1437" t="s" s="10">
        <v>31</v>
      </c>
      <c r="N1437" s="17">
        <v>22</v>
      </c>
      <c r="O1437" s="18">
        <v>29763</v>
      </c>
      <c r="P1437" s="18">
        <v>29807</v>
      </c>
      <c r="Q1437" s="15"/>
      <c r="R1437" t="s" s="16">
        <f>HYPERLINK("http://secrets.rutgers.edu:8080/data/asl-ftp/asllvd/demos/verify_start_end_handshape_annotations//test_auto_move//signs_mov_separ_signers/Brady_315.mov","MOV")</f>
        <v>21</v>
      </c>
    </row>
    <row r="1438" s="2" customFormat="1" ht="13.5" customHeight="1">
      <c r="B1438" t="s" s="8">
        <v>525</v>
      </c>
      <c r="C1438" t="s" s="9">
        <v>14</v>
      </c>
      <c r="D1438" t="s" s="8">
        <v>14</v>
      </c>
      <c r="E1438" t="s" s="9">
        <v>14</v>
      </c>
      <c r="F1438" t="s" s="10">
        <v>14</v>
      </c>
      <c r="G1438" t="s" s="11">
        <v>14</v>
      </c>
      <c r="H1438" t="s" s="10">
        <v>14</v>
      </c>
      <c r="I1438" t="s" s="11">
        <v>14</v>
      </c>
      <c r="J1438" t="s" s="11">
        <v>14</v>
      </c>
      <c r="K1438" t="s" s="12">
        <v>14</v>
      </c>
      <c r="L1438" t="s" s="12">
        <v>14</v>
      </c>
      <c r="M1438" t="s" s="10">
        <v>14</v>
      </c>
      <c r="N1438" t="s" s="11">
        <v>14</v>
      </c>
      <c r="O1438" t="s" s="8">
        <v>14</v>
      </c>
      <c r="P1438" t="s" s="8">
        <v>14</v>
      </c>
      <c r="Q1438" t="s" s="12">
        <v>14</v>
      </c>
      <c r="R1438" t="s" s="12">
        <v>14</v>
      </c>
    </row>
    <row r="1439" s="2" customFormat="1" ht="13.5" customHeight="1">
      <c r="B1439" s="13"/>
      <c r="C1439" t="s" s="9">
        <v>23</v>
      </c>
      <c r="D1439" t="s" s="8">
        <v>525</v>
      </c>
      <c r="E1439" t="s" s="9">
        <v>525</v>
      </c>
      <c r="F1439" t="s" s="10">
        <v>68</v>
      </c>
      <c r="G1439" s="14"/>
      <c r="H1439" t="s" s="10">
        <v>68</v>
      </c>
      <c r="I1439" s="14"/>
      <c r="J1439" t="s" s="11">
        <v>20</v>
      </c>
      <c r="K1439" t="s" s="16">
        <f>HYPERLINK("http://csr.bu.edu/ftp/asl/asllvd/demos/verify_start_end_handshape_annotations//test_auto_move//signs_mov/317.mov","MOV")</f>
        <v>21</v>
      </c>
      <c r="L1439" t="s" s="16">
        <f>HYPERLINK("http://csr.bu.edu/ftp/asl/asllvd/demos/verify_start_end_handshape_annotations//test_auto_move//signs_mov_separ_signers/Tyler_317.mov","MOV")</f>
        <v>21</v>
      </c>
      <c r="M1439" t="s" s="10">
        <v>26</v>
      </c>
      <c r="N1439" s="17">
        <v>33</v>
      </c>
      <c r="O1439" s="18">
        <v>1545</v>
      </c>
      <c r="P1439" s="18">
        <v>1580</v>
      </c>
      <c r="Q1439" t="s" s="16">
        <f>HYPERLINK("http://secrets.rutgers.edu:8080/data/asl-ftp/asllvd/demos/verify_start_end_handshape_annotations//test_auto_move//signs_mov/317.mov","MOV")</f>
        <v>21</v>
      </c>
      <c r="R1439" t="s" s="16">
        <f>HYPERLINK("http://secrets.rutgers.edu:8080/data/asl-ftp/asllvd/demos/verify_start_end_handshape_annotations//test_auto_move//signs_mov_separ_signers/Tyler_317.mov","MOV")</f>
        <v>21</v>
      </c>
    </row>
    <row r="1440" s="2" customFormat="1" ht="13.5" customHeight="1">
      <c r="B1440" s="13"/>
      <c r="C1440" t="s" s="9">
        <v>30</v>
      </c>
      <c r="D1440" t="s" s="8">
        <v>525</v>
      </c>
      <c r="E1440" t="s" s="9">
        <v>525</v>
      </c>
      <c r="F1440" t="s" s="10">
        <v>63</v>
      </c>
      <c r="G1440" s="14"/>
      <c r="H1440" t="s" s="10">
        <v>63</v>
      </c>
      <c r="I1440" s="14"/>
      <c r="J1440" t="s" s="11">
        <v>20</v>
      </c>
      <c r="K1440" s="15"/>
      <c r="L1440" t="s" s="16">
        <f>HYPERLINK("http://csr.bu.edu/ftp/asl/asllvd/demos/verify_start_end_handshape_annotations//test_auto_move//signs_mov_separ_signers/Brady_317.mov","MOV")</f>
        <v>21</v>
      </c>
      <c r="M1440" t="s" s="10">
        <v>31</v>
      </c>
      <c r="N1440" s="17">
        <v>23</v>
      </c>
      <c r="O1440" s="18">
        <v>1688</v>
      </c>
      <c r="P1440" s="18">
        <v>1711</v>
      </c>
      <c r="Q1440" s="15"/>
      <c r="R1440" t="s" s="16">
        <f>HYPERLINK("http://secrets.rutgers.edu:8080/data/asl-ftp/asllvd/demos/verify_start_end_handshape_annotations//test_auto_move//signs_mov_separ_signers/Brady_317.mov","MOV")</f>
        <v>21</v>
      </c>
    </row>
    <row r="1441" s="2" customFormat="1" ht="13.5" customHeight="1">
      <c r="B1441" t="s" s="8">
        <v>52</v>
      </c>
      <c r="C1441" t="s" s="9">
        <v>53</v>
      </c>
      <c r="D1441" t="s" s="8">
        <v>53</v>
      </c>
      <c r="E1441" t="s" s="9">
        <v>53</v>
      </c>
      <c r="F1441" t="s" s="10">
        <v>53</v>
      </c>
      <c r="G1441" t="s" s="11">
        <v>53</v>
      </c>
      <c r="H1441" t="s" s="10">
        <v>53</v>
      </c>
      <c r="I1441" t="s" s="11">
        <v>53</v>
      </c>
      <c r="J1441" t="s" s="11">
        <v>53</v>
      </c>
      <c r="K1441" t="s" s="12">
        <v>53</v>
      </c>
      <c r="L1441" t="s" s="12">
        <v>53</v>
      </c>
      <c r="M1441" t="s" s="10">
        <v>53</v>
      </c>
      <c r="N1441" t="s" s="11">
        <v>53</v>
      </c>
      <c r="O1441" t="s" s="8">
        <v>53</v>
      </c>
      <c r="P1441" t="s" s="8">
        <v>53</v>
      </c>
      <c r="Q1441" t="s" s="12">
        <v>53</v>
      </c>
      <c r="R1441" t="s" s="12">
        <v>53</v>
      </c>
    </row>
    <row r="1442" s="2" customFormat="1" ht="13.5" customHeight="1">
      <c r="B1442" s="13"/>
      <c r="C1442" t="s" s="9">
        <v>16</v>
      </c>
      <c r="D1442" t="s" s="8">
        <v>525</v>
      </c>
      <c r="E1442" t="s" s="9">
        <v>526</v>
      </c>
      <c r="F1442" t="s" s="10">
        <v>75</v>
      </c>
      <c r="G1442" s="14"/>
      <c r="H1442" t="s" s="10">
        <v>75</v>
      </c>
      <c r="I1442" s="14"/>
      <c r="J1442" t="s" s="11">
        <v>20</v>
      </c>
      <c r="K1442" s="15"/>
      <c r="L1442" t="s" s="16">
        <f>HYPERLINK("http://csr.bu.edu/ftp/asl/asllvd/demos/verify_start_end_handshape_annotations//test_auto_move//signs_mov_separ_signers/Liz_3956.mov","MOV")</f>
        <v>21</v>
      </c>
      <c r="M1442" t="s" s="10">
        <v>22</v>
      </c>
      <c r="N1442" s="17">
        <v>54</v>
      </c>
      <c r="O1442" s="18">
        <v>250</v>
      </c>
      <c r="P1442" s="18">
        <v>280</v>
      </c>
      <c r="Q1442" s="15"/>
      <c r="R1442" t="s" s="16">
        <f>HYPERLINK("http://secrets.rutgers.edu:8080/data/asl-ftp/asllvd/demos/verify_start_end_handshape_annotations//test_auto_move//signs_mov_separ_signers/Liz_3956.mov","MOV")</f>
        <v>21</v>
      </c>
    </row>
    <row r="1443" s="2" customFormat="1" ht="13.5" customHeight="1">
      <c r="B1443" s="13"/>
      <c r="C1443" t="s" s="9">
        <v>27</v>
      </c>
      <c r="D1443" t="s" s="8">
        <v>525</v>
      </c>
      <c r="E1443" t="s" s="9">
        <v>526</v>
      </c>
      <c r="F1443" t="s" s="10">
        <v>75</v>
      </c>
      <c r="G1443" s="14"/>
      <c r="H1443" t="s" s="10">
        <v>75</v>
      </c>
      <c r="I1443" s="14"/>
      <c r="J1443" t="s" s="11">
        <v>20</v>
      </c>
      <c r="K1443" t="s" s="16">
        <f>HYPERLINK("http://csr.bu.edu/ftp/asl/asllvd/demos/verify_start_end_handshape_annotations//test_auto_move//signs_mov/3956.mov","MOV")</f>
        <v>21</v>
      </c>
      <c r="L1443" t="s" s="16">
        <f>HYPERLINK("http://csr.bu.edu/ftp/asl/asllvd/demos/verify_start_end_handshape_annotations//test_auto_move//signs_mov_separ_signers/Naomi_3956.mov","MOV")</f>
        <v>21</v>
      </c>
      <c r="M1443" t="s" s="10">
        <v>29</v>
      </c>
      <c r="N1443" s="17">
        <v>34</v>
      </c>
      <c r="O1443" s="18">
        <v>2255</v>
      </c>
      <c r="P1443" s="18">
        <v>2273</v>
      </c>
      <c r="Q1443" t="s" s="16">
        <f>HYPERLINK("http://secrets.rutgers.edu:8080/data/asl-ftp/asllvd/demos/verify_start_end_handshape_annotations//test_auto_move//signs_mov/3956.mov","MOV")</f>
        <v>21</v>
      </c>
      <c r="R1443" t="s" s="16">
        <f>HYPERLINK("http://secrets.rutgers.edu:8080/data/asl-ftp/asllvd/demos/verify_start_end_handshape_annotations//test_auto_move//signs_mov_separ_signers/Naomi_3956.mov","MOV")</f>
        <v>21</v>
      </c>
    </row>
    <row r="1444" s="2" customFormat="1" ht="13.5" customHeight="1">
      <c r="B1444" s="13"/>
      <c r="C1444" t="s" s="9">
        <v>30</v>
      </c>
      <c r="D1444" t="s" s="8">
        <v>525</v>
      </c>
      <c r="E1444" t="s" s="9">
        <v>526</v>
      </c>
      <c r="F1444" t="s" s="10">
        <v>75</v>
      </c>
      <c r="G1444" s="14"/>
      <c r="H1444" t="s" s="10">
        <v>75</v>
      </c>
      <c r="I1444" s="14"/>
      <c r="J1444" t="s" s="11">
        <v>20</v>
      </c>
      <c r="K1444" s="15"/>
      <c r="L1444" t="s" s="16">
        <f>HYPERLINK("http://csr.bu.edu/ftp/asl/asllvd/demos/verify_start_end_handshape_annotations//test_auto_move//signs_mov_separ_signers/Brady_3956.mov","MOV")</f>
        <v>21</v>
      </c>
      <c r="M1444" t="s" s="10">
        <v>31</v>
      </c>
      <c r="N1444" s="17">
        <v>23</v>
      </c>
      <c r="O1444" s="18">
        <v>605</v>
      </c>
      <c r="P1444" s="18">
        <v>626</v>
      </c>
      <c r="Q1444" s="15"/>
      <c r="R1444" t="s" s="16">
        <f>HYPERLINK("http://secrets.rutgers.edu:8080/data/asl-ftp/asllvd/demos/verify_start_end_handshape_annotations//test_auto_move//signs_mov_separ_signers/Brady_3956.mov","MOV")</f>
        <v>21</v>
      </c>
    </row>
    <row r="1445" s="2" customFormat="1" ht="13.5" customHeight="1">
      <c r="B1445" t="s" s="8">
        <v>527</v>
      </c>
      <c r="C1445" t="s" s="9">
        <v>14</v>
      </c>
      <c r="D1445" t="s" s="8">
        <v>14</v>
      </c>
      <c r="E1445" t="s" s="9">
        <v>14</v>
      </c>
      <c r="F1445" t="s" s="10">
        <v>14</v>
      </c>
      <c r="G1445" t="s" s="11">
        <v>14</v>
      </c>
      <c r="H1445" t="s" s="10">
        <v>14</v>
      </c>
      <c r="I1445" t="s" s="11">
        <v>14</v>
      </c>
      <c r="J1445" t="s" s="11">
        <v>14</v>
      </c>
      <c r="K1445" t="s" s="12">
        <v>14</v>
      </c>
      <c r="L1445" t="s" s="12">
        <v>14</v>
      </c>
      <c r="M1445" t="s" s="10">
        <v>14</v>
      </c>
      <c r="N1445" t="s" s="11">
        <v>14</v>
      </c>
      <c r="O1445" t="s" s="8">
        <v>14</v>
      </c>
      <c r="P1445" t="s" s="8">
        <v>14</v>
      </c>
      <c r="Q1445" t="s" s="12">
        <v>14</v>
      </c>
      <c r="R1445" t="s" s="12">
        <v>14</v>
      </c>
    </row>
    <row r="1446" s="2" customFormat="1" ht="13.5" customHeight="1">
      <c r="B1446" s="13"/>
      <c r="C1446" t="s" s="9">
        <v>16</v>
      </c>
      <c r="D1446" t="s" s="8">
        <v>527</v>
      </c>
      <c r="E1446" t="s" s="9">
        <v>527</v>
      </c>
      <c r="F1446" t="s" s="10">
        <v>119</v>
      </c>
      <c r="G1446" t="s" s="11">
        <v>119</v>
      </c>
      <c r="H1446" t="s" s="10">
        <v>73</v>
      </c>
      <c r="I1446" t="s" s="11">
        <v>73</v>
      </c>
      <c r="J1446" t="s" s="11">
        <v>20</v>
      </c>
      <c r="K1446" s="15"/>
      <c r="L1446" t="s" s="16">
        <f>HYPERLINK("http://csr.bu.edu/ftp/asl/asllvd/demos/verify_start_end_handshape_annotations//test_auto_move//signs_mov_separ_signers/Liz_320.mov","MOV")</f>
        <v>21</v>
      </c>
      <c r="M1446" t="s" s="10">
        <v>22</v>
      </c>
      <c r="N1446" s="17">
        <v>54</v>
      </c>
      <c r="O1446" s="18">
        <v>935</v>
      </c>
      <c r="P1446" s="18">
        <v>980</v>
      </c>
      <c r="Q1446" s="15"/>
      <c r="R1446" t="s" s="16">
        <f>HYPERLINK("http://secrets.rutgers.edu:8080/data/asl-ftp/asllvd/demos/verify_start_end_handshape_annotations//test_auto_move//signs_mov_separ_signers/Liz_320.mov","MOV")</f>
        <v>21</v>
      </c>
    </row>
    <row r="1447" s="2" customFormat="1" ht="13.5" customHeight="1">
      <c r="B1447" s="13"/>
      <c r="C1447" t="s" s="9">
        <v>23</v>
      </c>
      <c r="D1447" t="s" s="8">
        <v>527</v>
      </c>
      <c r="E1447" t="s" s="9">
        <v>527</v>
      </c>
      <c r="F1447" t="s" s="10">
        <v>119</v>
      </c>
      <c r="G1447" t="s" s="11">
        <v>119</v>
      </c>
      <c r="H1447" s="19">
        <v>5</v>
      </c>
      <c r="I1447" s="17">
        <v>5</v>
      </c>
      <c r="J1447" t="s" s="11">
        <v>20</v>
      </c>
      <c r="K1447" t="s" s="16">
        <f>HYPERLINK("http://csr.bu.edu/ftp/asl/asllvd/demos/verify_start_end_handshape_annotations//test_auto_move//signs_mov/320.mov","MOV")</f>
        <v>21</v>
      </c>
      <c r="L1447" t="s" s="16">
        <f>HYPERLINK("http://csr.bu.edu/ftp/asl/asllvd/demos/verify_start_end_handshape_annotations//test_auto_move//signs_mov_separ_signers/Tyler_320.mov","MOV")</f>
        <v>21</v>
      </c>
      <c r="M1447" t="s" s="10">
        <v>26</v>
      </c>
      <c r="N1447" s="17">
        <v>33</v>
      </c>
      <c r="O1447" s="18">
        <v>2905</v>
      </c>
      <c r="P1447" s="18">
        <v>2941</v>
      </c>
      <c r="Q1447" t="s" s="16">
        <f>HYPERLINK("http://secrets.rutgers.edu:8080/data/asl-ftp/asllvd/demos/verify_start_end_handshape_annotations//test_auto_move//signs_mov/320.mov","MOV")</f>
        <v>21</v>
      </c>
      <c r="R1447" t="s" s="16">
        <f>HYPERLINK("http://secrets.rutgers.edu:8080/data/asl-ftp/asllvd/demos/verify_start_end_handshape_annotations//test_auto_move//signs_mov_separ_signers/Tyler_320.mov","MOV")</f>
        <v>21</v>
      </c>
    </row>
    <row r="1448" s="2" customFormat="1" ht="13.5" customHeight="1">
      <c r="B1448" s="13"/>
      <c r="C1448" t="s" s="9">
        <v>27</v>
      </c>
      <c r="D1448" t="s" s="8">
        <v>527</v>
      </c>
      <c r="E1448" t="s" s="9">
        <v>527</v>
      </c>
      <c r="F1448" t="s" s="10">
        <v>158</v>
      </c>
      <c r="G1448" t="s" s="11">
        <v>158</v>
      </c>
      <c r="H1448" s="19">
        <v>5</v>
      </c>
      <c r="I1448" s="17">
        <v>5</v>
      </c>
      <c r="J1448" t="s" s="11">
        <v>20</v>
      </c>
      <c r="K1448" s="15"/>
      <c r="L1448" t="s" s="16">
        <f>HYPERLINK("http://csr.bu.edu/ftp/asl/asllvd/demos/verify_start_end_handshape_annotations//test_auto_move//signs_mov_separ_signers/Naomi_320.mov","MOV")</f>
        <v>21</v>
      </c>
      <c r="M1448" t="s" s="10">
        <v>29</v>
      </c>
      <c r="N1448" s="17">
        <v>34</v>
      </c>
      <c r="O1448" s="18">
        <v>3222</v>
      </c>
      <c r="P1448" s="18">
        <v>3257</v>
      </c>
      <c r="Q1448" s="15"/>
      <c r="R1448" t="s" s="16">
        <f>HYPERLINK("http://secrets.rutgers.edu:8080/data/asl-ftp/asllvd/demos/verify_start_end_handshape_annotations//test_auto_move//signs_mov_separ_signers/Naomi_320.mov","MOV")</f>
        <v>21</v>
      </c>
    </row>
    <row r="1449" s="2" customFormat="1" ht="13.5" customHeight="1">
      <c r="B1449" s="13"/>
      <c r="C1449" t="s" s="9">
        <v>30</v>
      </c>
      <c r="D1449" t="s" s="8">
        <v>527</v>
      </c>
      <c r="E1449" t="s" s="9">
        <v>527</v>
      </c>
      <c r="F1449" t="s" s="10">
        <v>119</v>
      </c>
      <c r="G1449" t="s" s="11">
        <v>119</v>
      </c>
      <c r="H1449" s="19">
        <v>5</v>
      </c>
      <c r="I1449" s="17">
        <v>5</v>
      </c>
      <c r="J1449" t="s" s="11">
        <v>20</v>
      </c>
      <c r="K1449" s="15"/>
      <c r="L1449" t="s" s="16">
        <f>HYPERLINK("http://csr.bu.edu/ftp/asl/asllvd/demos/verify_start_end_handshape_annotations//test_auto_move//signs_mov_separ_signers/Brady_320.mov","MOV")</f>
        <v>21</v>
      </c>
      <c r="M1449" t="s" s="10">
        <v>31</v>
      </c>
      <c r="N1449" s="17">
        <v>23</v>
      </c>
      <c r="O1449" s="18">
        <v>5452</v>
      </c>
      <c r="P1449" s="18">
        <v>5479</v>
      </c>
      <c r="Q1449" s="15"/>
      <c r="R1449" t="s" s="16">
        <f>HYPERLINK("http://secrets.rutgers.edu:8080/data/asl-ftp/asllvd/demos/verify_start_end_handshape_annotations//test_auto_move//signs_mov_separ_signers/Brady_320.mov","MOV")</f>
        <v>21</v>
      </c>
    </row>
    <row r="1450" s="2" customFormat="1" ht="13.5" customHeight="1">
      <c r="B1450" t="s" s="8">
        <v>528</v>
      </c>
      <c r="C1450" t="s" s="9">
        <v>14</v>
      </c>
      <c r="D1450" t="s" s="8">
        <v>14</v>
      </c>
      <c r="E1450" t="s" s="9">
        <v>14</v>
      </c>
      <c r="F1450" t="s" s="10">
        <v>14</v>
      </c>
      <c r="G1450" t="s" s="11">
        <v>14</v>
      </c>
      <c r="H1450" t="s" s="10">
        <v>14</v>
      </c>
      <c r="I1450" t="s" s="11">
        <v>14</v>
      </c>
      <c r="J1450" t="s" s="11">
        <v>14</v>
      </c>
      <c r="K1450" t="s" s="12">
        <v>14</v>
      </c>
      <c r="L1450" t="s" s="12">
        <v>14</v>
      </c>
      <c r="M1450" t="s" s="10">
        <v>14</v>
      </c>
      <c r="N1450" t="s" s="11">
        <v>14</v>
      </c>
      <c r="O1450" t="s" s="8">
        <v>14</v>
      </c>
      <c r="P1450" t="s" s="8">
        <v>14</v>
      </c>
      <c r="Q1450" t="s" s="12">
        <v>14</v>
      </c>
      <c r="R1450" t="s" s="12">
        <v>14</v>
      </c>
    </row>
    <row r="1451" s="2" customFormat="1" ht="13.5" customHeight="1">
      <c r="B1451" s="13"/>
      <c r="C1451" t="s" s="9">
        <v>16</v>
      </c>
      <c r="D1451" t="s" s="8">
        <v>528</v>
      </c>
      <c r="E1451" t="s" s="9">
        <v>528</v>
      </c>
      <c r="F1451" t="s" s="10">
        <v>55</v>
      </c>
      <c r="G1451" s="14"/>
      <c r="H1451" t="s" s="10">
        <v>55</v>
      </c>
      <c r="I1451" s="14"/>
      <c r="J1451" t="s" s="11">
        <v>20</v>
      </c>
      <c r="K1451" s="15"/>
      <c r="L1451" t="s" s="16">
        <f>HYPERLINK("http://csr.bu.edu/ftp/asl/asllvd/demos/verify_start_end_handshape_annotations//test_auto_move//signs_mov_separ_signers/Liz_321.mov","MOV")</f>
        <v>21</v>
      </c>
      <c r="M1451" t="s" s="10">
        <v>22</v>
      </c>
      <c r="N1451" s="17">
        <v>39</v>
      </c>
      <c r="O1451" s="18">
        <v>695</v>
      </c>
      <c r="P1451" s="18">
        <v>720</v>
      </c>
      <c r="Q1451" s="15"/>
      <c r="R1451" t="s" s="16">
        <f>HYPERLINK("http://secrets.rutgers.edu:8080/data/asl-ftp/asllvd/demos/verify_start_end_handshape_annotations//test_auto_move//signs_mov_separ_signers/Liz_321.mov","MOV")</f>
        <v>21</v>
      </c>
    </row>
    <row r="1452" s="2" customFormat="1" ht="13.5" customHeight="1">
      <c r="B1452" s="13"/>
      <c r="C1452" t="s" s="9">
        <v>16</v>
      </c>
      <c r="D1452" t="s" s="8">
        <v>528</v>
      </c>
      <c r="E1452" t="s" s="9">
        <v>528</v>
      </c>
      <c r="F1452" t="s" s="10">
        <v>152</v>
      </c>
      <c r="G1452" s="14"/>
      <c r="H1452" t="s" s="10">
        <v>152</v>
      </c>
      <c r="I1452" s="14"/>
      <c r="J1452" t="s" s="11">
        <v>20</v>
      </c>
      <c r="K1452" s="15"/>
      <c r="L1452" t="s" s="16">
        <f>HYPERLINK("http://csr.bu.edu/ftp/asl/asllvd/demos/verify_start_end_handshape_annotations//test_auto_move//signs_mov_separ_signers/Liz_16411.mov","MOV")</f>
        <v>21</v>
      </c>
      <c r="M1452" t="s" s="10">
        <v>22</v>
      </c>
      <c r="N1452" s="17">
        <v>54</v>
      </c>
      <c r="O1452" s="18">
        <v>1150</v>
      </c>
      <c r="P1452" s="18">
        <v>1175</v>
      </c>
      <c r="Q1452" s="15"/>
      <c r="R1452" t="s" s="16">
        <f>HYPERLINK("http://secrets.rutgers.edu:8080/data/asl-ftp/asllvd/demos/verify_start_end_handshape_annotations//test_auto_move//signs_mov_separ_signers/Liz_16411.mov","MOV")</f>
        <v>21</v>
      </c>
    </row>
    <row r="1453" s="2" customFormat="1" ht="13.5" customHeight="1">
      <c r="B1453" s="13"/>
      <c r="C1453" t="s" s="9">
        <v>23</v>
      </c>
      <c r="D1453" t="s" s="8">
        <v>528</v>
      </c>
      <c r="E1453" t="s" s="9">
        <v>528</v>
      </c>
      <c r="F1453" t="s" s="10">
        <v>152</v>
      </c>
      <c r="G1453" s="14"/>
      <c r="H1453" t="s" s="10">
        <v>152</v>
      </c>
      <c r="I1453" s="14"/>
      <c r="J1453" t="s" s="11">
        <v>20</v>
      </c>
      <c r="K1453" t="s" s="16">
        <f>HYPERLINK("http://csr.bu.edu/ftp/asl/asllvd/demos/verify_start_end_handshape_annotations//test_auto_move//signs_mov/321_16411_merged.mov","MOV")</f>
        <v>21</v>
      </c>
      <c r="L1453" t="s" s="16">
        <f>HYPERLINK("http://csr.bu.edu/ftp/asl/asllvd/demos/verify_start_end_handshape_annotations//test_auto_move//signs_mov_separ_signers/Tyler_321.mov","MOV")</f>
        <v>21</v>
      </c>
      <c r="M1453" t="s" s="10">
        <v>26</v>
      </c>
      <c r="N1453" s="17">
        <v>34</v>
      </c>
      <c r="O1453" s="18">
        <v>255</v>
      </c>
      <c r="P1453" s="18">
        <v>295</v>
      </c>
      <c r="Q1453" t="s" s="16">
        <f>HYPERLINK("http://secrets.rutgers.edu:8080/data/asl-ftp/asllvd/demos/verify_start_end_handshape_annotations//test_auto_move//signs_mov/321_16411_merged.mov","MOV")</f>
        <v>21</v>
      </c>
      <c r="R1453" t="s" s="16">
        <f>HYPERLINK("http://secrets.rutgers.edu:8080/data/asl-ftp/asllvd/demos/verify_start_end_handshape_annotations//test_auto_move//signs_mov_separ_signers/Tyler_321.mov","MOV")</f>
        <v>21</v>
      </c>
    </row>
    <row r="1454" s="2" customFormat="1" ht="13.5" customHeight="1">
      <c r="B1454" s="13"/>
      <c r="C1454" t="s" s="9">
        <v>27</v>
      </c>
      <c r="D1454" t="s" s="8">
        <v>528</v>
      </c>
      <c r="E1454" t="s" s="9">
        <v>528</v>
      </c>
      <c r="F1454" t="s" s="10">
        <v>152</v>
      </c>
      <c r="G1454" s="14"/>
      <c r="H1454" t="s" s="10">
        <v>152</v>
      </c>
      <c r="I1454" s="14"/>
      <c r="J1454" t="s" s="11">
        <v>20</v>
      </c>
      <c r="K1454" s="15"/>
      <c r="L1454" t="s" s="16">
        <f>HYPERLINK("http://csr.bu.edu/ftp/asl/asllvd/demos/verify_start_end_handshape_annotations//test_auto_move//signs_mov_separ_signers/Naomi_321.mov","MOV")</f>
        <v>21</v>
      </c>
      <c r="M1454" t="s" s="10">
        <v>29</v>
      </c>
      <c r="N1454" s="17">
        <v>35</v>
      </c>
      <c r="O1454" s="18">
        <v>305</v>
      </c>
      <c r="P1454" s="18">
        <v>332</v>
      </c>
      <c r="Q1454" s="15"/>
      <c r="R1454" t="s" s="16">
        <f>HYPERLINK("http://secrets.rutgers.edu:8080/data/asl-ftp/asllvd/demos/verify_start_end_handshape_annotations//test_auto_move//signs_mov_separ_signers/Naomi_321.mov","MOV")</f>
        <v>21</v>
      </c>
    </row>
    <row r="1455" s="2" customFormat="1" ht="13.5" customHeight="1">
      <c r="B1455" s="13"/>
      <c r="C1455" t="s" s="9">
        <v>30</v>
      </c>
      <c r="D1455" t="s" s="8">
        <v>528</v>
      </c>
      <c r="E1455" t="s" s="9">
        <v>528</v>
      </c>
      <c r="F1455" t="s" s="10">
        <v>55</v>
      </c>
      <c r="G1455" s="14"/>
      <c r="H1455" t="s" s="10">
        <v>55</v>
      </c>
      <c r="I1455" s="14"/>
      <c r="J1455" t="s" s="11">
        <v>20</v>
      </c>
      <c r="K1455" s="15"/>
      <c r="L1455" t="s" s="16">
        <f>HYPERLINK("http://csr.bu.edu/ftp/asl/asllvd/demos/verify_start_end_handshape_annotations//test_auto_move//signs_mov_separ_signers/Brady_321.mov","MOV")</f>
        <v>21</v>
      </c>
      <c r="M1455" t="s" s="10">
        <v>31</v>
      </c>
      <c r="N1455" s="17">
        <v>19</v>
      </c>
      <c r="O1455" s="18">
        <v>434</v>
      </c>
      <c r="P1455" s="18">
        <v>460</v>
      </c>
      <c r="Q1455" s="15"/>
      <c r="R1455" t="s" s="16">
        <f>HYPERLINK("http://secrets.rutgers.edu:8080/data/asl-ftp/asllvd/demos/verify_start_end_handshape_annotations//test_auto_move//signs_mov_separ_signers/Brady_321.mov","MOV")</f>
        <v>21</v>
      </c>
    </row>
    <row r="1456" s="2" customFormat="1" ht="13.5" customHeight="1">
      <c r="B1456" s="13"/>
      <c r="C1456" t="s" s="9">
        <v>30</v>
      </c>
      <c r="D1456" t="s" s="8">
        <v>528</v>
      </c>
      <c r="E1456" t="s" s="9">
        <v>528</v>
      </c>
      <c r="F1456" t="s" s="10">
        <v>152</v>
      </c>
      <c r="G1456" s="14"/>
      <c r="H1456" t="s" s="10">
        <v>152</v>
      </c>
      <c r="I1456" s="14"/>
      <c r="J1456" t="s" s="11">
        <v>20</v>
      </c>
      <c r="K1456" s="15"/>
      <c r="L1456" t="s" s="16">
        <f>HYPERLINK("http://csr.bu.edu/ftp/asl/asllvd/demos/verify_start_end_handshape_annotations//test_auto_move//signs_mov_separ_signers/Brady_16411.mov","MOV")</f>
        <v>21</v>
      </c>
      <c r="M1456" t="s" s="10">
        <v>31</v>
      </c>
      <c r="N1456" s="17">
        <v>23</v>
      </c>
      <c r="O1456" s="18">
        <v>6151</v>
      </c>
      <c r="P1456" s="18">
        <v>6179</v>
      </c>
      <c r="Q1456" s="15"/>
      <c r="R1456" t="s" s="16">
        <f>HYPERLINK("http://secrets.rutgers.edu:8080/data/asl-ftp/asllvd/demos/verify_start_end_handshape_annotations//test_auto_move//signs_mov_separ_signers/Brady_16411.mov","MOV")</f>
        <v>21</v>
      </c>
    </row>
    <row r="1457" s="2" customFormat="1" ht="13.5" customHeight="1">
      <c r="B1457" t="s" s="8">
        <v>529</v>
      </c>
      <c r="C1457" t="s" s="9">
        <v>14</v>
      </c>
      <c r="D1457" t="s" s="8">
        <v>14</v>
      </c>
      <c r="E1457" t="s" s="9">
        <v>14</v>
      </c>
      <c r="F1457" t="s" s="10">
        <v>14</v>
      </c>
      <c r="G1457" t="s" s="11">
        <v>14</v>
      </c>
      <c r="H1457" t="s" s="10">
        <v>14</v>
      </c>
      <c r="I1457" t="s" s="11">
        <v>14</v>
      </c>
      <c r="J1457" t="s" s="11">
        <v>14</v>
      </c>
      <c r="K1457" t="s" s="12">
        <v>14</v>
      </c>
      <c r="L1457" t="s" s="12">
        <v>14</v>
      </c>
      <c r="M1457" t="s" s="10">
        <v>14</v>
      </c>
      <c r="N1457" t="s" s="11">
        <v>14</v>
      </c>
      <c r="O1457" t="s" s="8">
        <v>14</v>
      </c>
      <c r="P1457" t="s" s="8">
        <v>14</v>
      </c>
      <c r="Q1457" t="s" s="12">
        <v>14</v>
      </c>
      <c r="R1457" t="s" s="12">
        <v>14</v>
      </c>
    </row>
    <row r="1458" s="2" customFormat="1" ht="13.5" customHeight="1">
      <c r="B1458" s="13"/>
      <c r="C1458" t="s" s="9">
        <v>16</v>
      </c>
      <c r="D1458" t="s" s="8">
        <v>529</v>
      </c>
      <c r="E1458" t="s" s="9">
        <v>529</v>
      </c>
      <c r="F1458" t="s" s="10">
        <v>80</v>
      </c>
      <c r="G1458" t="s" s="11">
        <v>73</v>
      </c>
      <c r="H1458" t="s" s="10">
        <v>80</v>
      </c>
      <c r="I1458" t="s" s="11">
        <v>73</v>
      </c>
      <c r="J1458" t="s" s="11">
        <v>20</v>
      </c>
      <c r="K1458" s="15"/>
      <c r="L1458" t="s" s="16">
        <f>HYPERLINK("http://csr.bu.edu/ftp/asl/asllvd/demos/verify_start_end_handshape_annotations//test_auto_move//signs_mov_separ_signers/Liz_322.mov","MOV")</f>
        <v>21</v>
      </c>
      <c r="M1458" t="s" s="10">
        <v>22</v>
      </c>
      <c r="N1458" s="17">
        <v>54</v>
      </c>
      <c r="O1458" s="18">
        <v>1370</v>
      </c>
      <c r="P1458" s="18">
        <v>1406</v>
      </c>
      <c r="Q1458" s="15"/>
      <c r="R1458" t="s" s="16">
        <f>HYPERLINK("http://secrets.rutgers.edu:8080/data/asl-ftp/asllvd/demos/verify_start_end_handshape_annotations//test_auto_move//signs_mov_separ_signers/Liz_322.mov","MOV")</f>
        <v>21</v>
      </c>
    </row>
    <row r="1459" s="2" customFormat="1" ht="13.5" customHeight="1">
      <c r="B1459" s="13"/>
      <c r="C1459" t="s" s="9">
        <v>23</v>
      </c>
      <c r="D1459" t="s" s="8">
        <v>529</v>
      </c>
      <c r="E1459" t="s" s="9">
        <v>530</v>
      </c>
      <c r="F1459" t="s" s="10">
        <v>80</v>
      </c>
      <c r="G1459" t="s" s="11">
        <v>55</v>
      </c>
      <c r="H1459" t="s" s="10">
        <v>80</v>
      </c>
      <c r="I1459" t="s" s="11">
        <v>55</v>
      </c>
      <c r="J1459" t="s" s="11">
        <v>20</v>
      </c>
      <c r="K1459" s="15"/>
      <c r="L1459" t="s" s="16">
        <f>HYPERLINK("http://csr.bu.edu/ftp/asl/asllvd/demos/verify_start_end_handshape_annotations//test_auto_move//signs_mov_separ_signers/Tyler_322.mov","MOV")</f>
        <v>21</v>
      </c>
      <c r="M1459" t="s" s="10">
        <v>26</v>
      </c>
      <c r="N1459" s="17">
        <v>34</v>
      </c>
      <c r="O1459" s="18">
        <v>445</v>
      </c>
      <c r="P1459" s="18">
        <v>490</v>
      </c>
      <c r="Q1459" s="15"/>
      <c r="R1459" t="s" s="16">
        <f>HYPERLINK("http://secrets.rutgers.edu:8080/data/asl-ftp/asllvd/demos/verify_start_end_handshape_annotations//test_auto_move//signs_mov_separ_signers/Tyler_322.mov","MOV")</f>
        <v>21</v>
      </c>
    </row>
    <row r="1460" s="2" customFormat="1" ht="13.5" customHeight="1">
      <c r="B1460" s="13"/>
      <c r="C1460" t="s" s="9">
        <v>27</v>
      </c>
      <c r="D1460" t="s" s="8">
        <v>529</v>
      </c>
      <c r="E1460" t="s" s="9">
        <v>529</v>
      </c>
      <c r="F1460" t="s" s="10">
        <v>80</v>
      </c>
      <c r="G1460" t="s" s="11">
        <v>73</v>
      </c>
      <c r="H1460" t="s" s="10">
        <v>80</v>
      </c>
      <c r="I1460" t="s" s="11">
        <v>73</v>
      </c>
      <c r="J1460" t="s" s="11">
        <v>20</v>
      </c>
      <c r="K1460" t="s" s="16">
        <f>HYPERLINK("http://csr.bu.edu/ftp/asl/asllvd/demos/verify_start_end_handshape_annotations//test_auto_move//signs_mov/322.mov","MOV")</f>
        <v>21</v>
      </c>
      <c r="L1460" t="s" s="16">
        <f>HYPERLINK("http://csr.bu.edu/ftp/asl/asllvd/demos/verify_start_end_handshape_annotations//test_auto_move//signs_mov_separ_signers/Naomi_322.mov","MOV")</f>
        <v>21</v>
      </c>
      <c r="M1460" t="s" s="10">
        <v>29</v>
      </c>
      <c r="N1460" s="17">
        <v>35</v>
      </c>
      <c r="O1460" s="18">
        <v>527</v>
      </c>
      <c r="P1460" s="18">
        <v>563</v>
      </c>
      <c r="Q1460" t="s" s="16">
        <f>HYPERLINK("http://secrets.rutgers.edu:8080/data/asl-ftp/asllvd/demos/verify_start_end_handshape_annotations//test_auto_move//signs_mov/322.mov","MOV")</f>
        <v>21</v>
      </c>
      <c r="R1460" t="s" s="16">
        <f>HYPERLINK("http://secrets.rutgers.edu:8080/data/asl-ftp/asllvd/demos/verify_start_end_handshape_annotations//test_auto_move//signs_mov_separ_signers/Naomi_322.mov","MOV")</f>
        <v>21</v>
      </c>
    </row>
    <row r="1461" s="2" customFormat="1" ht="13.5" customHeight="1">
      <c r="B1461" s="13"/>
      <c r="C1461" t="s" s="9">
        <v>30</v>
      </c>
      <c r="D1461" t="s" s="8">
        <v>529</v>
      </c>
      <c r="E1461" t="s" s="9">
        <v>529</v>
      </c>
      <c r="F1461" t="s" s="10">
        <v>80</v>
      </c>
      <c r="G1461" t="s" s="11">
        <v>150</v>
      </c>
      <c r="H1461" t="s" s="10">
        <v>80</v>
      </c>
      <c r="I1461" t="s" s="11">
        <v>150</v>
      </c>
      <c r="J1461" t="s" s="11">
        <v>20</v>
      </c>
      <c r="K1461" s="15"/>
      <c r="L1461" t="s" s="16">
        <f>HYPERLINK("http://csr.bu.edu/ftp/asl/asllvd/demos/verify_start_end_handshape_annotations//test_auto_move//signs_mov_separ_signers/Brady_322.mov","MOV")</f>
        <v>21</v>
      </c>
      <c r="M1461" t="s" s="10">
        <v>31</v>
      </c>
      <c r="N1461" s="17">
        <v>23</v>
      </c>
      <c r="O1461" s="18">
        <v>7373</v>
      </c>
      <c r="P1461" s="18">
        <v>7404</v>
      </c>
      <c r="Q1461" s="15"/>
      <c r="R1461" t="s" s="16">
        <f>HYPERLINK("http://secrets.rutgers.edu:8080/data/asl-ftp/asllvd/demos/verify_start_end_handshape_annotations//test_auto_move//signs_mov_separ_signers/Brady_322.mov","MOV")</f>
        <v>21</v>
      </c>
    </row>
    <row r="1462" s="2" customFormat="1" ht="13.5" customHeight="1">
      <c r="B1462" s="13"/>
      <c r="C1462" t="s" s="9">
        <v>41</v>
      </c>
      <c r="D1462" t="s" s="8">
        <v>529</v>
      </c>
      <c r="E1462" t="s" s="9">
        <v>529</v>
      </c>
      <c r="F1462" t="s" s="10">
        <v>80</v>
      </c>
      <c r="G1462" t="s" s="11">
        <v>80</v>
      </c>
      <c r="H1462" t="s" s="10">
        <v>80</v>
      </c>
      <c r="I1462" t="s" s="11">
        <v>80</v>
      </c>
      <c r="J1462" t="s" s="11">
        <v>20</v>
      </c>
      <c r="K1462" s="15"/>
      <c r="L1462" t="s" s="16">
        <f>HYPERLINK("http://csr.bu.edu/ftp/asl/asllvd/demos/verify_start_end_handshape_annotations//test_auto_move//signs_mov_separ_signers/Lana_322.mov","MOV")</f>
        <v>21</v>
      </c>
      <c r="M1462" t="s" s="10">
        <v>42</v>
      </c>
      <c r="N1462" s="17">
        <v>3</v>
      </c>
      <c r="O1462" s="18">
        <v>2603</v>
      </c>
      <c r="P1462" s="18">
        <v>2636</v>
      </c>
      <c r="Q1462" s="15"/>
      <c r="R1462" t="s" s="16">
        <f>HYPERLINK("http://secrets.rutgers.edu:8080/data/asl-ftp/asllvd/demos/verify_start_end_handshape_annotations//test_auto_move//signs_mov_separ_signers/Lana_322.mov","MOV")</f>
        <v>21</v>
      </c>
    </row>
    <row r="1463" s="2" customFormat="1" ht="13.5" customHeight="1">
      <c r="B1463" s="13"/>
      <c r="C1463" t="s" s="9">
        <v>43</v>
      </c>
      <c r="D1463" t="s" s="8">
        <v>529</v>
      </c>
      <c r="E1463" t="s" s="9">
        <v>529</v>
      </c>
      <c r="F1463" t="s" s="10">
        <v>80</v>
      </c>
      <c r="G1463" t="s" s="11">
        <v>150</v>
      </c>
      <c r="H1463" t="s" s="10">
        <v>80</v>
      </c>
      <c r="I1463" t="s" s="11">
        <v>150</v>
      </c>
      <c r="J1463" t="s" s="11">
        <v>20</v>
      </c>
      <c r="K1463" s="15"/>
      <c r="L1463" t="s" s="16">
        <f>HYPERLINK("http://csr.bu.edu/ftp/asl/asllvd/demos/verify_start_end_handshape_annotations//test_auto_move//signs_mov_separ_signers/Dana_322.mov","MOV")</f>
        <v>21</v>
      </c>
      <c r="M1463" t="s" s="10">
        <v>44</v>
      </c>
      <c r="N1463" s="17">
        <v>7</v>
      </c>
      <c r="O1463" s="18">
        <v>2724</v>
      </c>
      <c r="P1463" s="18">
        <v>2792</v>
      </c>
      <c r="Q1463" s="15"/>
      <c r="R1463" t="s" s="16">
        <f>HYPERLINK("http://secrets.rutgers.edu:8080/data/asl-ftp/asllvd/demos/verify_start_end_handshape_annotations//test_auto_move//signs_mov_separ_signers/Dana_322.mov","MOV")</f>
        <v>21</v>
      </c>
    </row>
    <row r="1464" s="2" customFormat="1" ht="13.5" customHeight="1">
      <c r="B1464" t="s" s="8">
        <v>531</v>
      </c>
      <c r="C1464" t="s" s="9">
        <v>14</v>
      </c>
      <c r="D1464" t="s" s="8">
        <v>14</v>
      </c>
      <c r="E1464" t="s" s="9">
        <v>14</v>
      </c>
      <c r="F1464" t="s" s="10">
        <v>14</v>
      </c>
      <c r="G1464" t="s" s="11">
        <v>14</v>
      </c>
      <c r="H1464" t="s" s="10">
        <v>14</v>
      </c>
      <c r="I1464" t="s" s="11">
        <v>14</v>
      </c>
      <c r="J1464" t="s" s="11">
        <v>14</v>
      </c>
      <c r="K1464" t="s" s="12">
        <v>14</v>
      </c>
      <c r="L1464" t="s" s="12">
        <v>14</v>
      </c>
      <c r="M1464" t="s" s="10">
        <v>14</v>
      </c>
      <c r="N1464" t="s" s="11">
        <v>14</v>
      </c>
      <c r="O1464" t="s" s="8">
        <v>14</v>
      </c>
      <c r="P1464" t="s" s="8">
        <v>14</v>
      </c>
      <c r="Q1464" t="s" s="12">
        <v>14</v>
      </c>
      <c r="R1464" t="s" s="12">
        <v>14</v>
      </c>
    </row>
    <row r="1465" s="2" customFormat="1" ht="13.5" customHeight="1">
      <c r="B1465" s="13"/>
      <c r="C1465" t="s" s="9">
        <v>16</v>
      </c>
      <c r="D1465" t="s" s="8">
        <v>531</v>
      </c>
      <c r="E1465" t="s" s="9">
        <v>531</v>
      </c>
      <c r="F1465" s="19">
        <v>5</v>
      </c>
      <c r="G1465" t="s" s="11">
        <v>105</v>
      </c>
      <c r="H1465" t="s" s="10">
        <v>68</v>
      </c>
      <c r="I1465" t="s" s="11">
        <v>105</v>
      </c>
      <c r="J1465" t="s" s="11">
        <v>136</v>
      </c>
      <c r="K1465" s="15"/>
      <c r="L1465" t="s" s="16">
        <f>HYPERLINK("http://csr.bu.edu/ftp/asl/asllvd/demos/verify_start_end_handshape_annotations//test_auto_move//signs_mov_separ_signers/Liz_323.mov","MOV")</f>
        <v>21</v>
      </c>
      <c r="M1465" t="s" s="10">
        <v>22</v>
      </c>
      <c r="N1465" s="17">
        <v>55</v>
      </c>
      <c r="O1465" s="18">
        <v>275</v>
      </c>
      <c r="P1465" s="18">
        <v>305</v>
      </c>
      <c r="Q1465" s="15"/>
      <c r="R1465" t="s" s="16">
        <f>HYPERLINK("http://secrets.rutgers.edu:8080/data/asl-ftp/asllvd/demos/verify_start_end_handshape_annotations//test_auto_move//signs_mov_separ_signers/Liz_323.mov","MOV")</f>
        <v>21</v>
      </c>
    </row>
    <row r="1466" s="2" customFormat="1" ht="13.5" customHeight="1">
      <c r="B1466" s="13"/>
      <c r="C1466" t="s" s="9">
        <v>23</v>
      </c>
      <c r="D1466" t="s" s="8">
        <v>531</v>
      </c>
      <c r="E1466" t="s" s="9">
        <v>531</v>
      </c>
      <c r="F1466" s="19">
        <v>5</v>
      </c>
      <c r="G1466" t="s" s="11">
        <v>105</v>
      </c>
      <c r="H1466" t="s" s="10">
        <v>68</v>
      </c>
      <c r="I1466" t="s" s="11">
        <v>105</v>
      </c>
      <c r="J1466" t="s" s="11">
        <v>136</v>
      </c>
      <c r="K1466" t="s" s="16">
        <f>HYPERLINK("http://csr.bu.edu/ftp/asl/asllvd/demos/verify_start_end_handshape_annotations//test_auto_move//signs_mov/323.mov","MOV")</f>
        <v>21</v>
      </c>
      <c r="L1466" t="s" s="16">
        <f>HYPERLINK("http://csr.bu.edu/ftp/asl/asllvd/demos/verify_start_end_handshape_annotations//test_auto_move//signs_mov_separ_signers/Tyler_323.mov","MOV")</f>
        <v>21</v>
      </c>
      <c r="M1466" t="s" s="10">
        <v>26</v>
      </c>
      <c r="N1466" s="17">
        <v>34</v>
      </c>
      <c r="O1466" s="18">
        <v>650</v>
      </c>
      <c r="P1466" s="18">
        <v>677</v>
      </c>
      <c r="Q1466" t="s" s="16">
        <f>HYPERLINK("http://secrets.rutgers.edu:8080/data/asl-ftp/asllvd/demos/verify_start_end_handshape_annotations//test_auto_move//signs_mov/323.mov","MOV")</f>
        <v>21</v>
      </c>
      <c r="R1466" t="s" s="16">
        <f>HYPERLINK("http://secrets.rutgers.edu:8080/data/asl-ftp/asllvd/demos/verify_start_end_handshape_annotations//test_auto_move//signs_mov_separ_signers/Tyler_323.mov","MOV")</f>
        <v>21</v>
      </c>
    </row>
    <row r="1467" s="2" customFormat="1" ht="13.5" customHeight="1">
      <c r="B1467" s="13"/>
      <c r="C1467" t="s" s="9">
        <v>27</v>
      </c>
      <c r="D1467" t="s" s="8">
        <v>531</v>
      </c>
      <c r="E1467" t="s" s="9">
        <v>531</v>
      </c>
      <c r="F1467" t="s" s="10">
        <v>72</v>
      </c>
      <c r="G1467" t="s" s="11">
        <v>105</v>
      </c>
      <c r="H1467" t="s" s="10">
        <v>68</v>
      </c>
      <c r="I1467" t="s" s="11">
        <v>105</v>
      </c>
      <c r="J1467" t="s" s="11">
        <v>136</v>
      </c>
      <c r="K1467" s="15"/>
      <c r="L1467" t="s" s="16">
        <f>HYPERLINK("http://csr.bu.edu/ftp/asl/asllvd/demos/verify_start_end_handshape_annotations//test_auto_move//signs_mov_separ_signers/Naomi_323.mov","MOV")</f>
        <v>21</v>
      </c>
      <c r="M1467" t="s" s="10">
        <v>29</v>
      </c>
      <c r="N1467" s="17">
        <v>35</v>
      </c>
      <c r="O1467" s="18">
        <v>948</v>
      </c>
      <c r="P1467" s="18">
        <v>973</v>
      </c>
      <c r="Q1467" s="15"/>
      <c r="R1467" t="s" s="16">
        <f>HYPERLINK("http://secrets.rutgers.edu:8080/data/asl-ftp/asllvd/demos/verify_start_end_handshape_annotations//test_auto_move//signs_mov_separ_signers/Naomi_323.mov","MOV")</f>
        <v>21</v>
      </c>
    </row>
    <row r="1468" s="2" customFormat="1" ht="13.5" customHeight="1">
      <c r="B1468" s="13"/>
      <c r="C1468" t="s" s="9">
        <v>30</v>
      </c>
      <c r="D1468" t="s" s="8">
        <v>531</v>
      </c>
      <c r="E1468" t="s" s="9">
        <v>531</v>
      </c>
      <c r="F1468" s="19">
        <v>5</v>
      </c>
      <c r="G1468" t="s" s="11">
        <v>105</v>
      </c>
      <c r="H1468" t="s" s="10">
        <v>68</v>
      </c>
      <c r="I1468" t="s" s="11">
        <v>105</v>
      </c>
      <c r="J1468" t="s" s="11">
        <v>136</v>
      </c>
      <c r="K1468" s="15"/>
      <c r="L1468" t="s" s="16">
        <f>HYPERLINK("http://csr.bu.edu/ftp/asl/asllvd/demos/verify_start_end_handshape_annotations//test_auto_move//signs_mov_separ_signers/Brady_323.mov","MOV")</f>
        <v>21</v>
      </c>
      <c r="M1468" t="s" s="10">
        <v>31</v>
      </c>
      <c r="N1468" s="17">
        <v>23</v>
      </c>
      <c r="O1468" s="18">
        <v>8625</v>
      </c>
      <c r="P1468" s="18">
        <v>8654</v>
      </c>
      <c r="Q1468" s="15"/>
      <c r="R1468" t="s" s="16">
        <f>HYPERLINK("http://secrets.rutgers.edu:8080/data/asl-ftp/asllvd/demos/verify_start_end_handshape_annotations//test_auto_move//signs_mov_separ_signers/Brady_323.mov","MOV")</f>
        <v>21</v>
      </c>
    </row>
    <row r="1469" s="2" customFormat="1" ht="13.5" customHeight="1">
      <c r="B1469" t="s" s="8">
        <v>532</v>
      </c>
      <c r="C1469" t="s" s="9">
        <v>14</v>
      </c>
      <c r="D1469" t="s" s="8">
        <v>14</v>
      </c>
      <c r="E1469" t="s" s="9">
        <v>14</v>
      </c>
      <c r="F1469" t="s" s="10">
        <v>14</v>
      </c>
      <c r="G1469" t="s" s="11">
        <v>14</v>
      </c>
      <c r="H1469" t="s" s="10">
        <v>14</v>
      </c>
      <c r="I1469" t="s" s="11">
        <v>14</v>
      </c>
      <c r="J1469" t="s" s="11">
        <v>14</v>
      </c>
      <c r="K1469" t="s" s="12">
        <v>14</v>
      </c>
      <c r="L1469" t="s" s="12">
        <v>14</v>
      </c>
      <c r="M1469" t="s" s="10">
        <v>14</v>
      </c>
      <c r="N1469" t="s" s="11">
        <v>14</v>
      </c>
      <c r="O1469" t="s" s="8">
        <v>14</v>
      </c>
      <c r="P1469" t="s" s="8">
        <v>14</v>
      </c>
      <c r="Q1469" t="s" s="12">
        <v>14</v>
      </c>
      <c r="R1469" t="s" s="12">
        <v>14</v>
      </c>
    </row>
    <row r="1470" s="2" customFormat="1" ht="13.5" customHeight="1">
      <c r="B1470" s="13"/>
      <c r="C1470" t="s" s="9">
        <v>16</v>
      </c>
      <c r="D1470" t="s" s="8">
        <v>532</v>
      </c>
      <c r="E1470" t="s" s="9">
        <v>532</v>
      </c>
      <c r="F1470" t="s" s="10">
        <v>68</v>
      </c>
      <c r="G1470" t="s" s="11">
        <v>68</v>
      </c>
      <c r="H1470" t="s" s="10">
        <v>68</v>
      </c>
      <c r="I1470" t="s" s="11">
        <v>68</v>
      </c>
      <c r="J1470" t="s" s="11">
        <v>20</v>
      </c>
      <c r="K1470" s="15"/>
      <c r="L1470" t="s" s="16">
        <f>HYPERLINK("http://csr.bu.edu/ftp/asl/asllvd/demos/verify_start_end_handshape_annotations//test_auto_move//signs_mov_separ_signers/Liz_324.mov","MOV")</f>
        <v>21</v>
      </c>
      <c r="M1470" t="s" s="10">
        <v>22</v>
      </c>
      <c r="N1470" s="17">
        <v>55</v>
      </c>
      <c r="O1470" s="18">
        <v>455</v>
      </c>
      <c r="P1470" s="18">
        <v>485</v>
      </c>
      <c r="Q1470" s="15"/>
      <c r="R1470" t="s" s="16">
        <f>HYPERLINK("http://secrets.rutgers.edu:8080/data/asl-ftp/asllvd/demos/verify_start_end_handshape_annotations//test_auto_move//signs_mov_separ_signers/Liz_324.mov","MOV")</f>
        <v>21</v>
      </c>
    </row>
    <row r="1471" s="2" customFormat="1" ht="13.5" customHeight="1">
      <c r="B1471" s="13"/>
      <c r="C1471" t="s" s="9">
        <v>23</v>
      </c>
      <c r="D1471" t="s" s="8">
        <v>532</v>
      </c>
      <c r="E1471" t="s" s="9">
        <v>532</v>
      </c>
      <c r="F1471" t="s" s="10">
        <v>68</v>
      </c>
      <c r="G1471" t="s" s="11">
        <v>68</v>
      </c>
      <c r="H1471" t="s" s="10">
        <v>68</v>
      </c>
      <c r="I1471" t="s" s="11">
        <v>68</v>
      </c>
      <c r="J1471" t="s" s="11">
        <v>20</v>
      </c>
      <c r="K1471" t="s" s="16">
        <f>HYPERLINK("http://csr.bu.edu/ftp/asl/asllvd/demos/verify_start_end_handshape_annotations//test_auto_move//signs_mov/324.mov","MOV")</f>
        <v>21</v>
      </c>
      <c r="L1471" t="s" s="16">
        <f>HYPERLINK("http://csr.bu.edu/ftp/asl/asllvd/demos/verify_start_end_handshape_annotations//test_auto_move//signs_mov_separ_signers/Tyler_324.mov","MOV")</f>
        <v>21</v>
      </c>
      <c r="M1471" t="s" s="10">
        <v>26</v>
      </c>
      <c r="N1471" s="17">
        <v>34</v>
      </c>
      <c r="O1471" s="18">
        <v>825</v>
      </c>
      <c r="P1471" s="18">
        <v>842</v>
      </c>
      <c r="Q1471" t="s" s="16">
        <f>HYPERLINK("http://secrets.rutgers.edu:8080/data/asl-ftp/asllvd/demos/verify_start_end_handshape_annotations//test_auto_move//signs_mov/324.mov","MOV")</f>
        <v>21</v>
      </c>
      <c r="R1471" t="s" s="16">
        <f>HYPERLINK("http://secrets.rutgers.edu:8080/data/asl-ftp/asllvd/demos/verify_start_end_handshape_annotations//test_auto_move//signs_mov_separ_signers/Tyler_324.mov","MOV")</f>
        <v>21</v>
      </c>
    </row>
    <row r="1472" s="2" customFormat="1" ht="13.5" customHeight="1">
      <c r="B1472" s="13"/>
      <c r="C1472" t="s" s="9">
        <v>27</v>
      </c>
      <c r="D1472" t="s" s="8">
        <v>532</v>
      </c>
      <c r="E1472" t="s" s="9">
        <v>532</v>
      </c>
      <c r="F1472" t="s" s="10">
        <v>68</v>
      </c>
      <c r="G1472" t="s" s="11">
        <v>68</v>
      </c>
      <c r="H1472" t="s" s="10">
        <v>68</v>
      </c>
      <c r="I1472" t="s" s="11">
        <v>68</v>
      </c>
      <c r="J1472" t="s" s="11">
        <v>20</v>
      </c>
      <c r="K1472" s="15"/>
      <c r="L1472" t="s" s="16">
        <f>HYPERLINK("http://csr.bu.edu/ftp/asl/asllvd/demos/verify_start_end_handshape_annotations//test_auto_move//signs_mov_separ_signers/Naomi_324.mov","MOV")</f>
        <v>21</v>
      </c>
      <c r="M1472" t="s" s="10">
        <v>29</v>
      </c>
      <c r="N1472" s="17">
        <v>35</v>
      </c>
      <c r="O1472" s="18">
        <v>1207</v>
      </c>
      <c r="P1472" s="18">
        <v>1228</v>
      </c>
      <c r="Q1472" s="15"/>
      <c r="R1472" t="s" s="16">
        <f>HYPERLINK("http://secrets.rutgers.edu:8080/data/asl-ftp/asllvd/demos/verify_start_end_handshape_annotations//test_auto_move//signs_mov_separ_signers/Naomi_324.mov","MOV")</f>
        <v>21</v>
      </c>
    </row>
    <row r="1473" s="2" customFormat="1" ht="13.5" customHeight="1">
      <c r="B1473" s="13"/>
      <c r="C1473" t="s" s="9">
        <v>30</v>
      </c>
      <c r="D1473" t="s" s="8">
        <v>532</v>
      </c>
      <c r="E1473" t="s" s="9">
        <v>532</v>
      </c>
      <c r="F1473" t="s" s="10">
        <v>68</v>
      </c>
      <c r="G1473" t="s" s="11">
        <v>68</v>
      </c>
      <c r="H1473" t="s" s="10">
        <v>68</v>
      </c>
      <c r="I1473" t="s" s="11">
        <v>68</v>
      </c>
      <c r="J1473" t="s" s="11">
        <v>20</v>
      </c>
      <c r="K1473" s="15"/>
      <c r="L1473" t="s" s="16">
        <f>HYPERLINK("http://csr.bu.edu/ftp/asl/asllvd/demos/verify_start_end_handshape_annotations//test_auto_move//signs_mov_separ_signers/Brady_324.mov","MOV")</f>
        <v>21</v>
      </c>
      <c r="M1473" t="s" s="10">
        <v>31</v>
      </c>
      <c r="N1473" s="17">
        <v>23</v>
      </c>
      <c r="O1473" s="18">
        <v>7558</v>
      </c>
      <c r="P1473" s="18">
        <v>7574</v>
      </c>
      <c r="Q1473" s="15"/>
      <c r="R1473" t="s" s="16">
        <f>HYPERLINK("http://secrets.rutgers.edu:8080/data/asl-ftp/asllvd/demos/verify_start_end_handshape_annotations//test_auto_move//signs_mov_separ_signers/Brady_324.mov","MOV")</f>
        <v>21</v>
      </c>
    </row>
    <row r="1474" s="2" customFormat="1" ht="13.5" customHeight="1">
      <c r="B1474" t="s" s="8">
        <v>533</v>
      </c>
      <c r="C1474" t="s" s="9">
        <v>14</v>
      </c>
      <c r="D1474" t="s" s="8">
        <v>14</v>
      </c>
      <c r="E1474" t="s" s="9">
        <v>14</v>
      </c>
      <c r="F1474" t="s" s="10">
        <v>14</v>
      </c>
      <c r="G1474" t="s" s="11">
        <v>14</v>
      </c>
      <c r="H1474" t="s" s="10">
        <v>14</v>
      </c>
      <c r="I1474" t="s" s="11">
        <v>14</v>
      </c>
      <c r="J1474" t="s" s="11">
        <v>14</v>
      </c>
      <c r="K1474" t="s" s="12">
        <v>14</v>
      </c>
      <c r="L1474" t="s" s="12">
        <v>14</v>
      </c>
      <c r="M1474" t="s" s="10">
        <v>14</v>
      </c>
      <c r="N1474" t="s" s="11">
        <v>14</v>
      </c>
      <c r="O1474" t="s" s="8">
        <v>14</v>
      </c>
      <c r="P1474" t="s" s="8">
        <v>14</v>
      </c>
      <c r="Q1474" t="s" s="12">
        <v>14</v>
      </c>
      <c r="R1474" t="s" s="12">
        <v>14</v>
      </c>
    </row>
    <row r="1475" s="2" customFormat="1" ht="13.5" customHeight="1">
      <c r="B1475" s="13"/>
      <c r="C1475" t="s" s="9">
        <v>16</v>
      </c>
      <c r="D1475" t="s" s="8">
        <v>533</v>
      </c>
      <c r="E1475" t="s" s="9">
        <v>533</v>
      </c>
      <c r="F1475" t="s" s="10">
        <v>72</v>
      </c>
      <c r="G1475" t="s" s="11">
        <v>72</v>
      </c>
      <c r="H1475" t="s" s="10">
        <v>72</v>
      </c>
      <c r="I1475" t="s" s="11">
        <v>72</v>
      </c>
      <c r="J1475" t="s" s="11">
        <v>20</v>
      </c>
      <c r="K1475" s="15"/>
      <c r="L1475" t="s" s="16">
        <f>HYPERLINK("http://csr.bu.edu/ftp/asl/asllvd/demos/verify_start_end_handshape_annotations//test_auto_move//signs_mov_separ_signers/Liz_326.mov","MOV")</f>
        <v>21</v>
      </c>
      <c r="M1475" t="s" s="10">
        <v>22</v>
      </c>
      <c r="N1475" s="17">
        <v>55</v>
      </c>
      <c r="O1475" s="18">
        <v>941</v>
      </c>
      <c r="P1475" s="18">
        <v>976</v>
      </c>
      <c r="Q1475" s="15"/>
      <c r="R1475" t="s" s="16">
        <f>HYPERLINK("http://secrets.rutgers.edu:8080/data/asl-ftp/asllvd/demos/verify_start_end_handshape_annotations//test_auto_move//signs_mov_separ_signers/Liz_326.mov","MOV")</f>
        <v>21</v>
      </c>
    </row>
    <row r="1476" s="2" customFormat="1" ht="13.5" customHeight="1">
      <c r="B1476" s="13"/>
      <c r="C1476" t="s" s="9">
        <v>16</v>
      </c>
      <c r="D1476" t="s" s="8">
        <v>533</v>
      </c>
      <c r="E1476" t="s" s="9">
        <v>533</v>
      </c>
      <c r="F1476" t="s" s="10">
        <v>75</v>
      </c>
      <c r="G1476" t="s" s="11">
        <v>75</v>
      </c>
      <c r="H1476" t="s" s="10">
        <v>72</v>
      </c>
      <c r="I1476" t="s" s="11">
        <v>72</v>
      </c>
      <c r="J1476" t="s" s="11">
        <v>20</v>
      </c>
      <c r="K1476" s="15"/>
      <c r="L1476" t="s" s="16">
        <f>HYPERLINK("http://csr.bu.edu/ftp/asl/asllvd/demos/verify_start_end_handshape_annotations//test_auto_move//signs_mov_separ_signers/Liz_3593.mov","MOV")</f>
        <v>21</v>
      </c>
      <c r="M1476" t="s" s="10">
        <v>22</v>
      </c>
      <c r="N1476" s="17">
        <v>83</v>
      </c>
      <c r="O1476" s="18">
        <v>320</v>
      </c>
      <c r="P1476" s="18">
        <v>355</v>
      </c>
      <c r="Q1476" s="15"/>
      <c r="R1476" t="s" s="16">
        <f>HYPERLINK("http://secrets.rutgers.edu:8080/data/asl-ftp/asllvd/demos/verify_start_end_handshape_annotations//test_auto_move//signs_mov_separ_signers/Liz_3593.mov","MOV")</f>
        <v>21</v>
      </c>
    </row>
    <row r="1477" s="2" customFormat="1" ht="13.5" customHeight="1">
      <c r="B1477" s="13"/>
      <c r="C1477" t="s" s="9">
        <v>27</v>
      </c>
      <c r="D1477" t="s" s="8">
        <v>533</v>
      </c>
      <c r="E1477" t="s" s="9">
        <v>533</v>
      </c>
      <c r="F1477" t="s" s="10">
        <v>72</v>
      </c>
      <c r="G1477" t="s" s="11">
        <v>72</v>
      </c>
      <c r="H1477" t="s" s="10">
        <v>80</v>
      </c>
      <c r="I1477" t="s" s="11">
        <v>80</v>
      </c>
      <c r="J1477" t="s" s="11">
        <v>20</v>
      </c>
      <c r="K1477" t="s" s="16">
        <f>HYPERLINK("http://csr.bu.edu/ftp/asl/asllvd/demos/verify_start_end_handshape_annotations//test_auto_move//signs_mov/326_3593_merged.mov","MOV")</f>
        <v>21</v>
      </c>
      <c r="L1477" t="s" s="16">
        <f>HYPERLINK("http://csr.bu.edu/ftp/asl/asllvd/demos/verify_start_end_handshape_annotations//test_auto_move//signs_mov_separ_signers/Naomi_326.mov","MOV")</f>
        <v>21</v>
      </c>
      <c r="M1477" t="s" s="10">
        <v>29</v>
      </c>
      <c r="N1477" s="17">
        <v>35</v>
      </c>
      <c r="O1477" s="18">
        <v>1695</v>
      </c>
      <c r="P1477" s="18">
        <v>1715</v>
      </c>
      <c r="Q1477" t="s" s="16">
        <f>HYPERLINK("http://secrets.rutgers.edu:8080/data/asl-ftp/asllvd/demos/verify_start_end_handshape_annotations//test_auto_move//signs_mov/326_3593_merged.mov","MOV")</f>
        <v>21</v>
      </c>
      <c r="R1477" t="s" s="16">
        <f>HYPERLINK("http://secrets.rutgers.edu:8080/data/asl-ftp/asllvd/demos/verify_start_end_handshape_annotations//test_auto_move//signs_mov_separ_signers/Naomi_326.mov","MOV")</f>
        <v>21</v>
      </c>
    </row>
    <row r="1478" s="2" customFormat="1" ht="13.5" customHeight="1">
      <c r="B1478" s="13"/>
      <c r="C1478" t="s" s="9">
        <v>27</v>
      </c>
      <c r="D1478" t="s" s="8">
        <v>533</v>
      </c>
      <c r="E1478" t="s" s="9">
        <v>533</v>
      </c>
      <c r="F1478" t="s" s="10">
        <v>72</v>
      </c>
      <c r="G1478" t="s" s="11">
        <v>72</v>
      </c>
      <c r="H1478" t="s" s="10">
        <v>80</v>
      </c>
      <c r="I1478" t="s" s="11">
        <v>80</v>
      </c>
      <c r="J1478" t="s" s="11">
        <v>20</v>
      </c>
      <c r="K1478" s="15"/>
      <c r="L1478" t="s" s="16">
        <f>HYPERLINK("http://csr.bu.edu/ftp/asl/asllvd/demos/verify_start_end_handshape_annotations//test_auto_move//signs_mov_separ_signers/Naomi_3593.mov","MOV")</f>
        <v>21</v>
      </c>
      <c r="M1478" t="s" s="10">
        <v>29</v>
      </c>
      <c r="N1478" s="17">
        <v>51</v>
      </c>
      <c r="O1478" s="18">
        <v>2925</v>
      </c>
      <c r="P1478" s="18">
        <v>2947</v>
      </c>
      <c r="Q1478" s="15"/>
      <c r="R1478" t="s" s="16">
        <f>HYPERLINK("http://secrets.rutgers.edu:8080/data/asl-ftp/asllvd/demos/verify_start_end_handshape_annotations//test_auto_move//signs_mov_separ_signers/Naomi_3593.mov","MOV")</f>
        <v>21</v>
      </c>
    </row>
    <row r="1479" s="2" customFormat="1" ht="13.5" customHeight="1">
      <c r="B1479" s="13"/>
      <c r="C1479" t="s" s="9">
        <v>30</v>
      </c>
      <c r="D1479" t="s" s="8">
        <v>533</v>
      </c>
      <c r="E1479" t="s" s="9">
        <v>533</v>
      </c>
      <c r="F1479" t="s" s="10">
        <v>72</v>
      </c>
      <c r="G1479" t="s" s="11">
        <v>72</v>
      </c>
      <c r="H1479" t="s" s="10">
        <v>72</v>
      </c>
      <c r="I1479" t="s" s="11">
        <v>72</v>
      </c>
      <c r="J1479" t="s" s="11">
        <v>20</v>
      </c>
      <c r="K1479" s="15"/>
      <c r="L1479" t="s" s="16">
        <f>HYPERLINK("http://csr.bu.edu/ftp/asl/asllvd/demos/verify_start_end_handshape_annotations//test_auto_move//signs_mov_separ_signers/Brady_326.mov","MOV")</f>
        <v>21</v>
      </c>
      <c r="M1479" t="s" s="10">
        <v>31</v>
      </c>
      <c r="N1479" s="17">
        <v>23</v>
      </c>
      <c r="O1479" s="18">
        <v>8866</v>
      </c>
      <c r="P1479" s="18">
        <v>8877</v>
      </c>
      <c r="Q1479" s="15"/>
      <c r="R1479" t="s" s="16">
        <f>HYPERLINK("http://secrets.rutgers.edu:8080/data/asl-ftp/asllvd/demos/verify_start_end_handshape_annotations//test_auto_move//signs_mov_separ_signers/Brady_326.mov","MOV")</f>
        <v>21</v>
      </c>
    </row>
    <row r="1480" s="2" customFormat="1" ht="13.5" customHeight="1">
      <c r="B1480" s="13"/>
      <c r="C1480" t="s" s="9">
        <v>30</v>
      </c>
      <c r="D1480" t="s" s="8">
        <v>533</v>
      </c>
      <c r="E1480" t="s" s="9">
        <v>533</v>
      </c>
      <c r="F1480" t="s" s="10">
        <v>72</v>
      </c>
      <c r="G1480" t="s" s="11">
        <v>72</v>
      </c>
      <c r="H1480" t="s" s="10">
        <v>80</v>
      </c>
      <c r="I1480" t="s" s="11">
        <v>80</v>
      </c>
      <c r="J1480" t="s" s="11">
        <v>20</v>
      </c>
      <c r="K1480" s="15"/>
      <c r="L1480" t="s" s="16">
        <f>HYPERLINK("http://csr.bu.edu/ftp/asl/asllvd/demos/verify_start_end_handshape_annotations//test_auto_move//signs_mov_separ_signers/Brady_3593.mov","MOV")</f>
        <v>21</v>
      </c>
      <c r="M1480" t="s" s="10">
        <v>31</v>
      </c>
      <c r="N1480" s="17">
        <v>28</v>
      </c>
      <c r="O1480" s="18">
        <v>13800</v>
      </c>
      <c r="P1480" s="18">
        <v>13830</v>
      </c>
      <c r="Q1480" s="15"/>
      <c r="R1480" t="s" s="16">
        <f>HYPERLINK("http://secrets.rutgers.edu:8080/data/asl-ftp/asllvd/demos/verify_start_end_handshape_annotations//test_auto_move//signs_mov_separ_signers/Brady_3593.mov","MOV")</f>
        <v>21</v>
      </c>
    </row>
    <row r="1481" s="2" customFormat="1" ht="13.5" customHeight="1">
      <c r="B1481" t="s" s="8">
        <v>534</v>
      </c>
      <c r="C1481" t="s" s="9">
        <v>14</v>
      </c>
      <c r="D1481" t="s" s="8">
        <v>14</v>
      </c>
      <c r="E1481" t="s" s="9">
        <v>14</v>
      </c>
      <c r="F1481" t="s" s="10">
        <v>14</v>
      </c>
      <c r="G1481" t="s" s="11">
        <v>14</v>
      </c>
      <c r="H1481" t="s" s="10">
        <v>14</v>
      </c>
      <c r="I1481" t="s" s="11">
        <v>14</v>
      </c>
      <c r="J1481" t="s" s="11">
        <v>14</v>
      </c>
      <c r="K1481" t="s" s="12">
        <v>14</v>
      </c>
      <c r="L1481" t="s" s="12">
        <v>14</v>
      </c>
      <c r="M1481" t="s" s="10">
        <v>14</v>
      </c>
      <c r="N1481" t="s" s="11">
        <v>14</v>
      </c>
      <c r="O1481" t="s" s="8">
        <v>14</v>
      </c>
      <c r="P1481" t="s" s="8">
        <v>14</v>
      </c>
      <c r="Q1481" t="s" s="12">
        <v>14</v>
      </c>
      <c r="R1481" t="s" s="12">
        <v>14</v>
      </c>
    </row>
    <row r="1482" s="2" customFormat="1" ht="13.5" customHeight="1">
      <c r="B1482" s="13"/>
      <c r="C1482" t="s" s="9">
        <v>23</v>
      </c>
      <c r="D1482" t="s" s="8">
        <v>534</v>
      </c>
      <c r="E1482" t="s" s="9">
        <v>534</v>
      </c>
      <c r="F1482" s="19">
        <v>5</v>
      </c>
      <c r="G1482" s="17">
        <v>5</v>
      </c>
      <c r="H1482" s="19">
        <v>5</v>
      </c>
      <c r="I1482" s="17">
        <v>5</v>
      </c>
      <c r="J1482" t="s" s="11">
        <v>20</v>
      </c>
      <c r="K1482" t="s" s="16">
        <f>HYPERLINK("http://csr.bu.edu/ftp/asl/asllvd/demos/verify_start_end_handshape_annotations//test_auto_move//signs_mov/16250.mov","MOV")</f>
        <v>21</v>
      </c>
      <c r="L1482" t="s" s="16">
        <f>HYPERLINK("http://csr.bu.edu/ftp/asl/asllvd/demos/verify_start_end_handshape_annotations//test_auto_move//signs_mov_separ_signers/Tyler_16250.mov","MOV")</f>
        <v>21</v>
      </c>
      <c r="M1482" t="s" s="10">
        <v>26</v>
      </c>
      <c r="N1482" s="17">
        <v>34</v>
      </c>
      <c r="O1482" s="18">
        <v>1237</v>
      </c>
      <c r="P1482" s="18">
        <v>1277</v>
      </c>
      <c r="Q1482" t="s" s="16">
        <f>HYPERLINK("http://secrets.rutgers.edu:8080/data/asl-ftp/asllvd/demos/verify_start_end_handshape_annotations//test_auto_move//signs_mov/16250.mov","MOV")</f>
        <v>21</v>
      </c>
      <c r="R1482" t="s" s="16">
        <f>HYPERLINK("http://secrets.rutgers.edu:8080/data/asl-ftp/asllvd/demos/verify_start_end_handshape_annotations//test_auto_move//signs_mov_separ_signers/Tyler_16250.mov","MOV")</f>
        <v>21</v>
      </c>
    </row>
    <row r="1483" s="2" customFormat="1" ht="13.5" customHeight="1">
      <c r="B1483" t="s" s="8">
        <v>535</v>
      </c>
      <c r="C1483" t="s" s="9">
        <v>14</v>
      </c>
      <c r="D1483" t="s" s="8">
        <v>14</v>
      </c>
      <c r="E1483" t="s" s="9">
        <v>14</v>
      </c>
      <c r="F1483" t="s" s="10">
        <v>14</v>
      </c>
      <c r="G1483" t="s" s="11">
        <v>14</v>
      </c>
      <c r="H1483" t="s" s="10">
        <v>14</v>
      </c>
      <c r="I1483" t="s" s="11">
        <v>14</v>
      </c>
      <c r="J1483" t="s" s="11">
        <v>14</v>
      </c>
      <c r="K1483" t="s" s="12">
        <v>14</v>
      </c>
      <c r="L1483" t="s" s="12">
        <v>14</v>
      </c>
      <c r="M1483" t="s" s="10">
        <v>14</v>
      </c>
      <c r="N1483" t="s" s="11">
        <v>14</v>
      </c>
      <c r="O1483" t="s" s="8">
        <v>14</v>
      </c>
      <c r="P1483" t="s" s="8">
        <v>14</v>
      </c>
      <c r="Q1483" t="s" s="12">
        <v>14</v>
      </c>
      <c r="R1483" t="s" s="12">
        <v>14</v>
      </c>
    </row>
    <row r="1484" s="2" customFormat="1" ht="13.5" customHeight="1">
      <c r="B1484" s="13"/>
      <c r="C1484" t="s" s="9">
        <v>16</v>
      </c>
      <c r="D1484" t="s" s="8">
        <v>535</v>
      </c>
      <c r="E1484" t="s" s="9">
        <v>535</v>
      </c>
      <c r="F1484" t="s" s="10">
        <v>68</v>
      </c>
      <c r="G1484" t="s" s="11">
        <v>68</v>
      </c>
      <c r="H1484" t="s" s="10">
        <v>68</v>
      </c>
      <c r="I1484" t="s" s="11">
        <v>68</v>
      </c>
      <c r="J1484" t="s" s="11">
        <v>20</v>
      </c>
      <c r="K1484" t="s" s="16">
        <f>HYPERLINK("http://csr.bu.edu/ftp/asl/asllvd/demos/verify_start_end_handshape_annotations//test_auto_move//signs_mov/327.mov","MOV")</f>
        <v>21</v>
      </c>
      <c r="L1484" t="s" s="16">
        <f>HYPERLINK("http://csr.bu.edu/ftp/asl/asllvd/demos/verify_start_end_handshape_annotations//test_auto_move//signs_mov_separ_signers/Liz_327.mov","MOV")</f>
        <v>21</v>
      </c>
      <c r="M1484" t="s" s="10">
        <v>22</v>
      </c>
      <c r="N1484" s="17">
        <v>55</v>
      </c>
      <c r="O1484" s="18">
        <v>1150</v>
      </c>
      <c r="P1484" s="18">
        <v>1200</v>
      </c>
      <c r="Q1484" t="s" s="16">
        <f>HYPERLINK("http://secrets.rutgers.edu:8080/data/asl-ftp/asllvd/demos/verify_start_end_handshape_annotations//test_auto_move//signs_mov/327.mov","MOV")</f>
        <v>21</v>
      </c>
      <c r="R1484" t="s" s="16">
        <f>HYPERLINK("http://secrets.rutgers.edu:8080/data/asl-ftp/asllvd/demos/verify_start_end_handshape_annotations//test_auto_move//signs_mov_separ_signers/Liz_327.mov","MOV")</f>
        <v>21</v>
      </c>
    </row>
    <row r="1485" s="2" customFormat="1" ht="13.5" customHeight="1">
      <c r="B1485" s="13"/>
      <c r="C1485" t="s" s="9">
        <v>30</v>
      </c>
      <c r="D1485" t="s" s="8">
        <v>535</v>
      </c>
      <c r="E1485" t="s" s="9">
        <v>535</v>
      </c>
      <c r="F1485" t="s" s="10">
        <v>68</v>
      </c>
      <c r="G1485" t="s" s="11">
        <v>68</v>
      </c>
      <c r="H1485" t="s" s="10">
        <v>68</v>
      </c>
      <c r="I1485" t="s" s="11">
        <v>68</v>
      </c>
      <c r="J1485" t="s" s="11">
        <v>20</v>
      </c>
      <c r="K1485" s="15"/>
      <c r="L1485" t="s" s="16">
        <f>HYPERLINK("http://csr.bu.edu/ftp/asl/asllvd/demos/verify_start_end_handshape_annotations//test_auto_move//signs_mov_separ_signers/Brady_327.mov","MOV")</f>
        <v>21</v>
      </c>
      <c r="M1485" t="s" s="10">
        <v>31</v>
      </c>
      <c r="N1485" s="17">
        <v>23</v>
      </c>
      <c r="O1485" s="18">
        <v>9147</v>
      </c>
      <c r="P1485" s="18">
        <v>9191</v>
      </c>
      <c r="Q1485" s="15"/>
      <c r="R1485" t="s" s="16">
        <f>HYPERLINK("http://secrets.rutgers.edu:8080/data/asl-ftp/asllvd/demos/verify_start_end_handshape_annotations//test_auto_move//signs_mov_separ_signers/Brady_327.mov","MOV")</f>
        <v>21</v>
      </c>
    </row>
    <row r="1486" s="2" customFormat="1" ht="13.5" customHeight="1">
      <c r="B1486" t="s" s="8">
        <v>536</v>
      </c>
      <c r="C1486" t="s" s="9">
        <v>14</v>
      </c>
      <c r="D1486" t="s" s="8">
        <v>14</v>
      </c>
      <c r="E1486" t="s" s="9">
        <v>14</v>
      </c>
      <c r="F1486" t="s" s="10">
        <v>14</v>
      </c>
      <c r="G1486" t="s" s="11">
        <v>14</v>
      </c>
      <c r="H1486" t="s" s="10">
        <v>14</v>
      </c>
      <c r="I1486" t="s" s="11">
        <v>14</v>
      </c>
      <c r="J1486" t="s" s="11">
        <v>14</v>
      </c>
      <c r="K1486" t="s" s="12">
        <v>14</v>
      </c>
      <c r="L1486" t="s" s="12">
        <v>14</v>
      </c>
      <c r="M1486" t="s" s="10">
        <v>14</v>
      </c>
      <c r="N1486" t="s" s="11">
        <v>14</v>
      </c>
      <c r="O1486" t="s" s="8">
        <v>14</v>
      </c>
      <c r="P1486" t="s" s="8">
        <v>14</v>
      </c>
      <c r="Q1486" t="s" s="12">
        <v>14</v>
      </c>
      <c r="R1486" t="s" s="12">
        <v>14</v>
      </c>
    </row>
    <row r="1487" s="2" customFormat="1" ht="13.5" customHeight="1">
      <c r="B1487" s="13"/>
      <c r="C1487" t="s" s="9">
        <v>27</v>
      </c>
      <c r="D1487" t="s" s="8">
        <v>536</v>
      </c>
      <c r="E1487" t="s" s="9">
        <v>536</v>
      </c>
      <c r="F1487" t="s" s="10">
        <v>80</v>
      </c>
      <c r="G1487" s="14"/>
      <c r="H1487" t="s" s="10">
        <v>80</v>
      </c>
      <c r="I1487" s="14"/>
      <c r="J1487" t="s" s="11">
        <v>20</v>
      </c>
      <c r="K1487" t="s" s="16">
        <f>HYPERLINK("http://csr.bu.edu/ftp/asl/asllvd/demos/verify_start_end_handshape_annotations//test_auto_move//signs_mov/329.mov","MOV")</f>
        <v>21</v>
      </c>
      <c r="L1487" t="s" s="16">
        <f>HYPERLINK("http://csr.bu.edu/ftp/asl/asllvd/demos/verify_start_end_handshape_annotations//test_auto_move//signs_mov_separ_signers/Naomi_329.mov","MOV")</f>
        <v>21</v>
      </c>
      <c r="M1487" t="s" s="10">
        <v>29</v>
      </c>
      <c r="N1487" s="17">
        <v>35</v>
      </c>
      <c r="O1487" s="18">
        <v>3090</v>
      </c>
      <c r="P1487" s="18">
        <v>3118</v>
      </c>
      <c r="Q1487" t="s" s="16">
        <f>HYPERLINK("http://secrets.rutgers.edu:8080/data/asl-ftp/asllvd/demos/verify_start_end_handshape_annotations//test_auto_move//signs_mov/329.mov","MOV")</f>
        <v>21</v>
      </c>
      <c r="R1487" t="s" s="16">
        <f>HYPERLINK("http://secrets.rutgers.edu:8080/data/asl-ftp/asllvd/demos/verify_start_end_handshape_annotations//test_auto_move//signs_mov_separ_signers/Naomi_329.mov","MOV")</f>
        <v>21</v>
      </c>
    </row>
    <row r="1488" s="2" customFormat="1" ht="13.5" customHeight="1">
      <c r="B1488" s="13"/>
      <c r="C1488" t="s" s="9">
        <v>30</v>
      </c>
      <c r="D1488" t="s" s="8">
        <v>536</v>
      </c>
      <c r="E1488" t="s" s="9">
        <v>536</v>
      </c>
      <c r="F1488" t="s" s="10">
        <v>80</v>
      </c>
      <c r="G1488" s="14"/>
      <c r="H1488" t="s" s="10">
        <v>80</v>
      </c>
      <c r="I1488" s="14"/>
      <c r="J1488" t="s" s="11">
        <v>20</v>
      </c>
      <c r="K1488" s="15"/>
      <c r="L1488" t="s" s="16">
        <f>HYPERLINK("http://csr.bu.edu/ftp/asl/asllvd/demos/verify_start_end_handshape_annotations//test_auto_move//signs_mov_separ_signers/Brady_329.mov","MOV")</f>
        <v>21</v>
      </c>
      <c r="M1488" t="s" s="10">
        <v>31</v>
      </c>
      <c r="N1488" s="17">
        <v>23</v>
      </c>
      <c r="O1488" s="18">
        <v>9654</v>
      </c>
      <c r="P1488" s="18">
        <v>9682</v>
      </c>
      <c r="Q1488" s="15"/>
      <c r="R1488" t="s" s="16">
        <f>HYPERLINK("http://secrets.rutgers.edu:8080/data/asl-ftp/asllvd/demos/verify_start_end_handshape_annotations//test_auto_move//signs_mov_separ_signers/Brady_329.mov","MOV")</f>
        <v>21</v>
      </c>
    </row>
    <row r="1489" s="2" customFormat="1" ht="13.5" customHeight="1">
      <c r="B1489" t="s" s="8">
        <v>537</v>
      </c>
      <c r="C1489" t="s" s="9">
        <v>14</v>
      </c>
      <c r="D1489" t="s" s="8">
        <v>14</v>
      </c>
      <c r="E1489" t="s" s="9">
        <v>14</v>
      </c>
      <c r="F1489" t="s" s="10">
        <v>14</v>
      </c>
      <c r="G1489" t="s" s="11">
        <v>14</v>
      </c>
      <c r="H1489" t="s" s="10">
        <v>14</v>
      </c>
      <c r="I1489" t="s" s="11">
        <v>14</v>
      </c>
      <c r="J1489" t="s" s="11">
        <v>14</v>
      </c>
      <c r="K1489" t="s" s="12">
        <v>14</v>
      </c>
      <c r="L1489" t="s" s="12">
        <v>14</v>
      </c>
      <c r="M1489" t="s" s="10">
        <v>14</v>
      </c>
      <c r="N1489" t="s" s="11">
        <v>14</v>
      </c>
      <c r="O1489" t="s" s="8">
        <v>14</v>
      </c>
      <c r="P1489" t="s" s="8">
        <v>14</v>
      </c>
      <c r="Q1489" t="s" s="12">
        <v>14</v>
      </c>
      <c r="R1489" t="s" s="12">
        <v>14</v>
      </c>
    </row>
    <row r="1490" s="2" customFormat="1" ht="13.5" customHeight="1">
      <c r="B1490" s="13"/>
      <c r="C1490" t="s" s="9">
        <v>16</v>
      </c>
      <c r="D1490" t="s" s="8">
        <v>537</v>
      </c>
      <c r="E1490" t="s" s="9">
        <v>537</v>
      </c>
      <c r="F1490" s="19">
        <v>5</v>
      </c>
      <c r="G1490" s="17">
        <v>5</v>
      </c>
      <c r="H1490" s="19">
        <v>5</v>
      </c>
      <c r="I1490" s="17">
        <v>5</v>
      </c>
      <c r="J1490" t="s" s="11">
        <v>20</v>
      </c>
      <c r="K1490" s="15"/>
      <c r="L1490" t="s" s="16">
        <f>HYPERLINK("http://csr.bu.edu/ftp/asl/asllvd/demos/verify_start_end_handshape_annotations//test_auto_move//signs_mov_separ_signers/Liz_330.mov","MOV")</f>
        <v>21</v>
      </c>
      <c r="M1490" t="s" s="10">
        <v>22</v>
      </c>
      <c r="N1490" s="17">
        <v>56</v>
      </c>
      <c r="O1490" s="18">
        <v>505</v>
      </c>
      <c r="P1490" s="18">
        <v>550</v>
      </c>
      <c r="Q1490" s="15"/>
      <c r="R1490" t="s" s="16">
        <f>HYPERLINK("http://secrets.rutgers.edu:8080/data/asl-ftp/asllvd/demos/verify_start_end_handshape_annotations//test_auto_move//signs_mov_separ_signers/Liz_330.mov","MOV")</f>
        <v>21</v>
      </c>
    </row>
    <row r="1491" s="2" customFormat="1" ht="13.5" customHeight="1">
      <c r="B1491" s="13"/>
      <c r="C1491" t="s" s="9">
        <v>23</v>
      </c>
      <c r="D1491" t="s" s="8">
        <v>537</v>
      </c>
      <c r="E1491" t="s" s="9">
        <v>537</v>
      </c>
      <c r="F1491" s="19">
        <v>5</v>
      </c>
      <c r="G1491" s="17">
        <v>5</v>
      </c>
      <c r="H1491" s="19">
        <v>5</v>
      </c>
      <c r="I1491" s="17">
        <v>5</v>
      </c>
      <c r="J1491" t="s" s="11">
        <v>20</v>
      </c>
      <c r="K1491" t="s" s="16">
        <f>HYPERLINK("http://csr.bu.edu/ftp/asl/asllvd/demos/verify_start_end_handshape_annotations//test_auto_move//signs_mov/330.mov","MOV")</f>
        <v>21</v>
      </c>
      <c r="L1491" t="s" s="16">
        <f>HYPERLINK("http://csr.bu.edu/ftp/asl/asllvd/demos/verify_start_end_handshape_annotations//test_auto_move//signs_mov_separ_signers/Tyler_330.mov","MOV")</f>
        <v>21</v>
      </c>
      <c r="M1491" t="s" s="10">
        <v>26</v>
      </c>
      <c r="N1491" s="17">
        <v>34</v>
      </c>
      <c r="O1491" s="18">
        <v>2566</v>
      </c>
      <c r="P1491" s="18">
        <v>2602</v>
      </c>
      <c r="Q1491" t="s" s="16">
        <f>HYPERLINK("http://secrets.rutgers.edu:8080/data/asl-ftp/asllvd/demos/verify_start_end_handshape_annotations//test_auto_move//signs_mov/330.mov","MOV")</f>
        <v>21</v>
      </c>
      <c r="R1491" t="s" s="16">
        <f>HYPERLINK("http://secrets.rutgers.edu:8080/data/asl-ftp/asllvd/demos/verify_start_end_handshape_annotations//test_auto_move//signs_mov_separ_signers/Tyler_330.mov","MOV")</f>
        <v>21</v>
      </c>
    </row>
    <row r="1492" s="2" customFormat="1" ht="13.5" customHeight="1">
      <c r="B1492" s="13"/>
      <c r="C1492" t="s" s="9">
        <v>27</v>
      </c>
      <c r="D1492" t="s" s="8">
        <v>537</v>
      </c>
      <c r="E1492" t="s" s="9">
        <v>537</v>
      </c>
      <c r="F1492" s="19">
        <v>5</v>
      </c>
      <c r="G1492" s="17">
        <v>5</v>
      </c>
      <c r="H1492" s="19">
        <v>5</v>
      </c>
      <c r="I1492" s="17">
        <v>5</v>
      </c>
      <c r="J1492" t="s" s="11">
        <v>20</v>
      </c>
      <c r="K1492" s="15"/>
      <c r="L1492" t="s" s="16">
        <f>HYPERLINK("http://csr.bu.edu/ftp/asl/asllvd/demos/verify_start_end_handshape_annotations//test_auto_move//signs_mov_separ_signers/Naomi_330.mov","MOV")</f>
        <v>21</v>
      </c>
      <c r="M1492" t="s" s="10">
        <v>29</v>
      </c>
      <c r="N1492" s="17">
        <v>35</v>
      </c>
      <c r="O1492" s="18">
        <v>3335</v>
      </c>
      <c r="P1492" s="18">
        <v>3395</v>
      </c>
      <c r="Q1492" s="15"/>
      <c r="R1492" t="s" s="16">
        <f>HYPERLINK("http://secrets.rutgers.edu:8080/data/asl-ftp/asllvd/demos/verify_start_end_handshape_annotations//test_auto_move//signs_mov_separ_signers/Naomi_330.mov","MOV")</f>
        <v>21</v>
      </c>
    </row>
    <row r="1493" s="2" customFormat="1" ht="13.5" customHeight="1">
      <c r="B1493" s="13"/>
      <c r="C1493" t="s" s="9">
        <v>30</v>
      </c>
      <c r="D1493" t="s" s="8">
        <v>537</v>
      </c>
      <c r="E1493" t="s" s="9">
        <v>537</v>
      </c>
      <c r="F1493" s="19">
        <v>5</v>
      </c>
      <c r="G1493" s="17">
        <v>5</v>
      </c>
      <c r="H1493" s="19">
        <v>5</v>
      </c>
      <c r="I1493" s="17">
        <v>5</v>
      </c>
      <c r="J1493" t="s" s="11">
        <v>20</v>
      </c>
      <c r="K1493" s="15"/>
      <c r="L1493" t="s" s="16">
        <f>HYPERLINK("http://csr.bu.edu/ftp/asl/asllvd/demos/verify_start_end_handshape_annotations//test_auto_move//signs_mov_separ_signers/Brady_330.mov","MOV")</f>
        <v>21</v>
      </c>
      <c r="M1493" t="s" s="10">
        <v>31</v>
      </c>
      <c r="N1493" s="17">
        <v>23</v>
      </c>
      <c r="O1493" s="18">
        <v>9980</v>
      </c>
      <c r="P1493" s="18">
        <v>10018</v>
      </c>
      <c r="Q1493" s="15"/>
      <c r="R1493" t="s" s="16">
        <f>HYPERLINK("http://secrets.rutgers.edu:8080/data/asl-ftp/asllvd/demos/verify_start_end_handshape_annotations//test_auto_move//signs_mov_separ_signers/Brady_330.mov","MOV")</f>
        <v>21</v>
      </c>
    </row>
    <row r="1494" s="2" customFormat="1" ht="13.5" customHeight="1">
      <c r="B1494" t="s" s="8">
        <v>538</v>
      </c>
      <c r="C1494" t="s" s="9">
        <v>14</v>
      </c>
      <c r="D1494" t="s" s="8">
        <v>14</v>
      </c>
      <c r="E1494" t="s" s="9">
        <v>14</v>
      </c>
      <c r="F1494" t="s" s="10">
        <v>14</v>
      </c>
      <c r="G1494" t="s" s="11">
        <v>14</v>
      </c>
      <c r="H1494" t="s" s="10">
        <v>14</v>
      </c>
      <c r="I1494" t="s" s="11">
        <v>14</v>
      </c>
      <c r="J1494" t="s" s="11">
        <v>14</v>
      </c>
      <c r="K1494" t="s" s="12">
        <v>14</v>
      </c>
      <c r="L1494" t="s" s="12">
        <v>14</v>
      </c>
      <c r="M1494" t="s" s="10">
        <v>14</v>
      </c>
      <c r="N1494" t="s" s="11">
        <v>14</v>
      </c>
      <c r="O1494" t="s" s="8">
        <v>14</v>
      </c>
      <c r="P1494" t="s" s="8">
        <v>14</v>
      </c>
      <c r="Q1494" t="s" s="12">
        <v>14</v>
      </c>
      <c r="R1494" t="s" s="12">
        <v>14</v>
      </c>
    </row>
    <row r="1495" s="2" customFormat="1" ht="13.5" customHeight="1">
      <c r="B1495" s="13"/>
      <c r="C1495" t="s" s="9">
        <v>16</v>
      </c>
      <c r="D1495" t="s" s="8">
        <v>538</v>
      </c>
      <c r="E1495" t="s" s="9">
        <v>538</v>
      </c>
      <c r="F1495" t="s" s="10">
        <v>229</v>
      </c>
      <c r="G1495" t="s" s="11">
        <v>73</v>
      </c>
      <c r="H1495" t="s" s="10">
        <v>229</v>
      </c>
      <c r="I1495" t="s" s="11">
        <v>73</v>
      </c>
      <c r="J1495" t="s" s="11">
        <v>136</v>
      </c>
      <c r="K1495" s="15"/>
      <c r="L1495" t="s" s="16">
        <f>HYPERLINK("http://csr.bu.edu/ftp/asl/asllvd/demos/verify_start_end_handshape_annotations//test_auto_move//signs_mov_separ_signers/Liz_331.mov","MOV")</f>
        <v>21</v>
      </c>
      <c r="M1495" t="s" s="10">
        <v>22</v>
      </c>
      <c r="N1495" s="17">
        <v>56</v>
      </c>
      <c r="O1495" s="18">
        <v>765</v>
      </c>
      <c r="P1495" s="18">
        <v>816</v>
      </c>
      <c r="Q1495" s="15"/>
      <c r="R1495" t="s" s="16">
        <f>HYPERLINK("http://secrets.rutgers.edu:8080/data/asl-ftp/asllvd/demos/verify_start_end_handshape_annotations//test_auto_move//signs_mov_separ_signers/Liz_331.mov","MOV")</f>
        <v>21</v>
      </c>
    </row>
    <row r="1496" s="2" customFormat="1" ht="13.5" customHeight="1">
      <c r="B1496" s="13"/>
      <c r="C1496" t="s" s="9">
        <v>23</v>
      </c>
      <c r="D1496" t="s" s="8">
        <v>538</v>
      </c>
      <c r="E1496" t="s" s="9">
        <v>538</v>
      </c>
      <c r="F1496" t="s" s="10">
        <v>229</v>
      </c>
      <c r="G1496" t="s" s="11">
        <v>73</v>
      </c>
      <c r="H1496" t="s" s="10">
        <v>229</v>
      </c>
      <c r="I1496" t="s" s="11">
        <v>73</v>
      </c>
      <c r="J1496" t="s" s="11">
        <v>136</v>
      </c>
      <c r="K1496" s="15"/>
      <c r="L1496" t="s" s="16">
        <f>HYPERLINK("http://csr.bu.edu/ftp/asl/asllvd/demos/verify_start_end_handshape_annotations//test_auto_move//signs_mov_separ_signers/Tyler_331.mov","MOV")</f>
        <v>21</v>
      </c>
      <c r="M1496" t="s" s="10">
        <v>26</v>
      </c>
      <c r="N1496" s="17">
        <v>35</v>
      </c>
      <c r="O1496" s="18">
        <v>320</v>
      </c>
      <c r="P1496" s="18">
        <v>365</v>
      </c>
      <c r="Q1496" s="15"/>
      <c r="R1496" t="s" s="16">
        <f>HYPERLINK("http://secrets.rutgers.edu:8080/data/asl-ftp/asllvd/demos/verify_start_end_handshape_annotations//test_auto_move//signs_mov_separ_signers/Tyler_331.mov","MOV")</f>
        <v>21</v>
      </c>
    </row>
    <row r="1497" s="2" customFormat="1" ht="13.5" customHeight="1">
      <c r="B1497" s="13"/>
      <c r="C1497" t="s" s="9">
        <v>27</v>
      </c>
      <c r="D1497" t="s" s="8">
        <v>538</v>
      </c>
      <c r="E1497" t="s" s="9">
        <v>538</v>
      </c>
      <c r="F1497" t="s" s="10">
        <v>229</v>
      </c>
      <c r="G1497" t="s" s="11">
        <v>73</v>
      </c>
      <c r="H1497" t="s" s="10">
        <v>229</v>
      </c>
      <c r="I1497" t="s" s="11">
        <v>73</v>
      </c>
      <c r="J1497" t="s" s="11">
        <v>136</v>
      </c>
      <c r="K1497" t="s" s="16">
        <f>HYPERLINK("http://csr.bu.edu/ftp/asl/asllvd/demos/verify_start_end_handshape_annotations//test_auto_move//signs_mov/331.mov","MOV")</f>
        <v>21</v>
      </c>
      <c r="L1497" t="s" s="16">
        <f>HYPERLINK("http://csr.bu.edu/ftp/asl/asllvd/demos/verify_start_end_handshape_annotations//test_auto_move//signs_mov_separ_signers/Naomi_331.mov","MOV")</f>
        <v>21</v>
      </c>
      <c r="M1497" t="s" s="10">
        <v>29</v>
      </c>
      <c r="N1497" s="17">
        <v>36</v>
      </c>
      <c r="O1497" s="18">
        <v>330</v>
      </c>
      <c r="P1497" s="18">
        <v>365</v>
      </c>
      <c r="Q1497" t="s" s="16">
        <f>HYPERLINK("http://secrets.rutgers.edu:8080/data/asl-ftp/asllvd/demos/verify_start_end_handshape_annotations//test_auto_move//signs_mov/331.mov","MOV")</f>
        <v>21</v>
      </c>
      <c r="R1497" t="s" s="16">
        <f>HYPERLINK("http://secrets.rutgers.edu:8080/data/asl-ftp/asllvd/demos/verify_start_end_handshape_annotations//test_auto_move//signs_mov_separ_signers/Naomi_331.mov","MOV")</f>
        <v>21</v>
      </c>
    </row>
    <row r="1498" s="2" customFormat="1" ht="13.5" customHeight="1">
      <c r="B1498" s="13"/>
      <c r="C1498" t="s" s="9">
        <v>30</v>
      </c>
      <c r="D1498" t="s" s="8">
        <v>538</v>
      </c>
      <c r="E1498" t="s" s="9">
        <v>538</v>
      </c>
      <c r="F1498" t="s" s="10">
        <v>229</v>
      </c>
      <c r="G1498" t="s" s="11">
        <v>63</v>
      </c>
      <c r="H1498" t="s" s="10">
        <v>229</v>
      </c>
      <c r="I1498" t="s" s="11">
        <v>63</v>
      </c>
      <c r="J1498" t="s" s="11">
        <v>136</v>
      </c>
      <c r="K1498" s="15"/>
      <c r="L1498" t="s" s="16">
        <f>HYPERLINK("http://csr.bu.edu/ftp/asl/asllvd/demos/verify_start_end_handshape_annotations//test_auto_move//signs_mov_separ_signers/Brady_331.mov","MOV")</f>
        <v>21</v>
      </c>
      <c r="M1498" t="s" s="10">
        <v>31</v>
      </c>
      <c r="N1498" s="17">
        <v>23</v>
      </c>
      <c r="O1498" s="18">
        <v>10234</v>
      </c>
      <c r="P1498" s="18">
        <v>10267</v>
      </c>
      <c r="Q1498" s="15"/>
      <c r="R1498" t="s" s="16">
        <f>HYPERLINK("http://secrets.rutgers.edu:8080/data/asl-ftp/asllvd/demos/verify_start_end_handshape_annotations//test_auto_move//signs_mov_separ_signers/Brady_331.mov","MOV")</f>
        <v>21</v>
      </c>
    </row>
    <row r="1499" s="2" customFormat="1" ht="13.5" customHeight="1">
      <c r="B1499" s="13"/>
      <c r="C1499" t="s" s="9">
        <v>43</v>
      </c>
      <c r="D1499" t="s" s="8">
        <v>538</v>
      </c>
      <c r="E1499" t="s" s="9">
        <v>538</v>
      </c>
      <c r="F1499" t="s" s="10">
        <v>229</v>
      </c>
      <c r="G1499" t="s" s="11">
        <v>73</v>
      </c>
      <c r="H1499" t="s" s="10">
        <v>229</v>
      </c>
      <c r="I1499" t="s" s="11">
        <v>73</v>
      </c>
      <c r="J1499" t="s" s="11">
        <v>136</v>
      </c>
      <c r="K1499" s="15"/>
      <c r="L1499" t="s" s="16">
        <f>HYPERLINK("http://csr.bu.edu/ftp/asl/asllvd/demos/verify_start_end_handshape_annotations//test_auto_move//signs_mov_separ_signers/Dana_331.mov","MOV")</f>
        <v>21</v>
      </c>
      <c r="M1499" t="s" s="10">
        <v>44</v>
      </c>
      <c r="N1499" s="17">
        <v>8</v>
      </c>
      <c r="O1499" s="18">
        <v>201.91</v>
      </c>
      <c r="P1499" s="18">
        <v>258.49</v>
      </c>
      <c r="Q1499" s="15"/>
      <c r="R1499" t="s" s="16">
        <f>HYPERLINK("http://secrets.rutgers.edu:8080/data/asl-ftp/asllvd/demos/verify_start_end_handshape_annotations//test_auto_move//signs_mov_separ_signers/Dana_331.mov","MOV")</f>
        <v>21</v>
      </c>
    </row>
    <row r="1500" s="2" customFormat="1" ht="13.5" customHeight="1">
      <c r="B1500" t="s" s="8">
        <v>52</v>
      </c>
      <c r="C1500" t="s" s="9">
        <v>53</v>
      </c>
      <c r="D1500" t="s" s="8">
        <v>53</v>
      </c>
      <c r="E1500" t="s" s="9">
        <v>53</v>
      </c>
      <c r="F1500" t="s" s="10">
        <v>53</v>
      </c>
      <c r="G1500" t="s" s="11">
        <v>53</v>
      </c>
      <c r="H1500" t="s" s="10">
        <v>53</v>
      </c>
      <c r="I1500" t="s" s="11">
        <v>53</v>
      </c>
      <c r="J1500" t="s" s="11">
        <v>53</v>
      </c>
      <c r="K1500" t="s" s="12">
        <v>53</v>
      </c>
      <c r="L1500" t="s" s="12">
        <v>53</v>
      </c>
      <c r="M1500" t="s" s="10">
        <v>53</v>
      </c>
      <c r="N1500" t="s" s="11">
        <v>53</v>
      </c>
      <c r="O1500" t="s" s="8">
        <v>53</v>
      </c>
      <c r="P1500" t="s" s="8">
        <v>53</v>
      </c>
      <c r="Q1500" t="s" s="12">
        <v>53</v>
      </c>
      <c r="R1500" t="s" s="12">
        <v>53</v>
      </c>
    </row>
    <row r="1501" s="2" customFormat="1" ht="13.5" customHeight="1">
      <c r="B1501" s="13"/>
      <c r="C1501" t="s" s="9">
        <v>41</v>
      </c>
      <c r="D1501" t="s" s="8">
        <v>538</v>
      </c>
      <c r="E1501" t="s" s="9">
        <v>539</v>
      </c>
      <c r="F1501" t="s" s="10">
        <v>230</v>
      </c>
      <c r="G1501" t="s" s="11">
        <v>68</v>
      </c>
      <c r="H1501" t="s" s="10">
        <v>230</v>
      </c>
      <c r="I1501" t="s" s="11">
        <v>68</v>
      </c>
      <c r="J1501" t="s" s="11">
        <v>136</v>
      </c>
      <c r="K1501" t="s" s="16">
        <f>HYPERLINK("http://csr.bu.edu/ftp/asl/asllvd/demos/verify_start_end_handshape_annotations//test_auto_move//signs_mov/5115.mov","MOV")</f>
        <v>21</v>
      </c>
      <c r="L1501" t="s" s="16">
        <f>HYPERLINK("http://csr.bu.edu/ftp/asl/asllvd/demos/verify_start_end_handshape_annotations//test_auto_move//signs_mov_separ_signers/Lana_5115.mov","MOV")</f>
        <v>21</v>
      </c>
      <c r="M1501" t="s" s="10">
        <v>42</v>
      </c>
      <c r="N1501" s="17">
        <v>4</v>
      </c>
      <c r="O1501" s="18">
        <v>346</v>
      </c>
      <c r="P1501" s="18">
        <v>369</v>
      </c>
      <c r="Q1501" t="s" s="16">
        <f>HYPERLINK("http://secrets.rutgers.edu:8080/data/asl-ftp/asllvd/demos/verify_start_end_handshape_annotations//test_auto_move//signs_mov/5115.mov","MOV")</f>
        <v>21</v>
      </c>
      <c r="R1501" t="s" s="16">
        <f>HYPERLINK("http://secrets.rutgers.edu:8080/data/asl-ftp/asllvd/demos/verify_start_end_handshape_annotations//test_auto_move//signs_mov_separ_signers/Lana_5115.mov","MOV")</f>
        <v>21</v>
      </c>
    </row>
    <row r="1502" s="2" customFormat="1" ht="13.5" customHeight="1">
      <c r="B1502" t="s" s="8">
        <v>540</v>
      </c>
      <c r="C1502" t="s" s="9">
        <v>14</v>
      </c>
      <c r="D1502" t="s" s="8">
        <v>14</v>
      </c>
      <c r="E1502" t="s" s="9">
        <v>14</v>
      </c>
      <c r="F1502" t="s" s="10">
        <v>14</v>
      </c>
      <c r="G1502" t="s" s="11">
        <v>14</v>
      </c>
      <c r="H1502" t="s" s="10">
        <v>14</v>
      </c>
      <c r="I1502" t="s" s="11">
        <v>14</v>
      </c>
      <c r="J1502" t="s" s="11">
        <v>14</v>
      </c>
      <c r="K1502" t="s" s="12">
        <v>14</v>
      </c>
      <c r="L1502" t="s" s="12">
        <v>14</v>
      </c>
      <c r="M1502" t="s" s="10">
        <v>14</v>
      </c>
      <c r="N1502" t="s" s="11">
        <v>14</v>
      </c>
      <c r="O1502" t="s" s="8">
        <v>14</v>
      </c>
      <c r="P1502" t="s" s="8">
        <v>14</v>
      </c>
      <c r="Q1502" t="s" s="12">
        <v>14</v>
      </c>
      <c r="R1502" t="s" s="12">
        <v>14</v>
      </c>
    </row>
    <row r="1503" s="2" customFormat="1" ht="13.5" customHeight="1">
      <c r="B1503" s="13"/>
      <c r="C1503" t="s" s="9">
        <v>23</v>
      </c>
      <c r="D1503" t="s" s="8">
        <v>541</v>
      </c>
      <c r="E1503" t="s" s="9">
        <v>540</v>
      </c>
      <c r="F1503" t="s" s="10">
        <v>73</v>
      </c>
      <c r="G1503" t="s" s="11">
        <v>73</v>
      </c>
      <c r="H1503" t="s" s="10">
        <v>73</v>
      </c>
      <c r="I1503" t="s" s="11">
        <v>73</v>
      </c>
      <c r="J1503" t="s" s="11">
        <v>20</v>
      </c>
      <c r="K1503" t="s" s="16">
        <f>HYPERLINK("http://csr.bu.edu/ftp/asl/asllvd/demos/verify_start_end_handshape_annotations//test_auto_move//signs_mov/332.mov","MOV")</f>
        <v>21</v>
      </c>
      <c r="L1503" t="s" s="16">
        <f>HYPERLINK("http://csr.bu.edu/ftp/asl/asllvd/demos/verify_start_end_handshape_annotations//test_auto_move//signs_mov_separ_signers/Tyler_332.mov","MOV")</f>
        <v>21</v>
      </c>
      <c r="M1503" t="s" s="10">
        <v>26</v>
      </c>
      <c r="N1503" s="17">
        <v>41</v>
      </c>
      <c r="O1503" s="18">
        <v>515</v>
      </c>
      <c r="P1503" s="18">
        <v>555</v>
      </c>
      <c r="Q1503" t="s" s="16">
        <f>HYPERLINK("http://secrets.rutgers.edu:8080/data/asl-ftp/asllvd/demos/verify_start_end_handshape_annotations//test_auto_move//signs_mov/332.mov","MOV")</f>
        <v>21</v>
      </c>
      <c r="R1503" t="s" s="16">
        <f>HYPERLINK("http://secrets.rutgers.edu:8080/data/asl-ftp/asllvd/demos/verify_start_end_handshape_annotations//test_auto_move//signs_mov_separ_signers/Tyler_332.mov","MOV")</f>
        <v>21</v>
      </c>
    </row>
    <row r="1504" s="2" customFormat="1" ht="13.5" customHeight="1">
      <c r="B1504" t="s" s="8">
        <v>52</v>
      </c>
      <c r="C1504" t="s" s="9">
        <v>53</v>
      </c>
      <c r="D1504" t="s" s="8">
        <v>53</v>
      </c>
      <c r="E1504" t="s" s="9">
        <v>53</v>
      </c>
      <c r="F1504" t="s" s="10">
        <v>53</v>
      </c>
      <c r="G1504" t="s" s="11">
        <v>53</v>
      </c>
      <c r="H1504" t="s" s="10">
        <v>53</v>
      </c>
      <c r="I1504" t="s" s="11">
        <v>53</v>
      </c>
      <c r="J1504" t="s" s="11">
        <v>53</v>
      </c>
      <c r="K1504" t="s" s="12">
        <v>53</v>
      </c>
      <c r="L1504" t="s" s="12">
        <v>53</v>
      </c>
      <c r="M1504" t="s" s="10">
        <v>53</v>
      </c>
      <c r="N1504" t="s" s="11">
        <v>53</v>
      </c>
      <c r="O1504" t="s" s="8">
        <v>53</v>
      </c>
      <c r="P1504" t="s" s="8">
        <v>53</v>
      </c>
      <c r="Q1504" t="s" s="12">
        <v>53</v>
      </c>
      <c r="R1504" t="s" s="12">
        <v>53</v>
      </c>
    </row>
    <row r="1505" s="2" customFormat="1" ht="13.5" customHeight="1">
      <c r="B1505" s="13"/>
      <c r="C1505" t="s" s="9">
        <v>16</v>
      </c>
      <c r="D1505" t="s" s="8">
        <v>541</v>
      </c>
      <c r="E1505" t="s" s="9">
        <v>541</v>
      </c>
      <c r="F1505" t="s" s="10">
        <v>73</v>
      </c>
      <c r="G1505" t="s" s="11">
        <v>73</v>
      </c>
      <c r="H1505" t="s" s="10">
        <v>73</v>
      </c>
      <c r="I1505" t="s" s="11">
        <v>73</v>
      </c>
      <c r="J1505" t="s" s="11">
        <v>20</v>
      </c>
      <c r="K1505" s="15"/>
      <c r="L1505" t="s" s="16">
        <f>HYPERLINK("http://csr.bu.edu/ftp/asl/asllvd/demos/verify_start_end_handshape_annotations//test_auto_move//signs_mov_separ_signers/Liz_5116.mov","MOV")</f>
        <v>21</v>
      </c>
      <c r="M1505" t="s" s="10">
        <v>22</v>
      </c>
      <c r="N1505" s="17">
        <v>56</v>
      </c>
      <c r="O1505" s="18">
        <v>955</v>
      </c>
      <c r="P1505" s="18">
        <v>990</v>
      </c>
      <c r="Q1505" s="15"/>
      <c r="R1505" t="s" s="16">
        <f>HYPERLINK("http://secrets.rutgers.edu:8080/data/asl-ftp/asllvd/demos/verify_start_end_handshape_annotations//test_auto_move//signs_mov_separ_signers/Liz_5116.mov","MOV")</f>
        <v>21</v>
      </c>
    </row>
    <row r="1506" s="2" customFormat="1" ht="13.5" customHeight="1">
      <c r="B1506" s="13"/>
      <c r="C1506" t="s" s="9">
        <v>27</v>
      </c>
      <c r="D1506" t="s" s="8">
        <v>541</v>
      </c>
      <c r="E1506" t="s" s="9">
        <v>541</v>
      </c>
      <c r="F1506" t="s" s="10">
        <v>73</v>
      </c>
      <c r="G1506" t="s" s="11">
        <v>73</v>
      </c>
      <c r="H1506" t="s" s="10">
        <v>73</v>
      </c>
      <c r="I1506" t="s" s="11">
        <v>73</v>
      </c>
      <c r="J1506" t="s" s="11">
        <v>20</v>
      </c>
      <c r="K1506" t="s" s="16">
        <f>HYPERLINK("http://csr.bu.edu/ftp/asl/asllvd/demos/verify_start_end_handshape_annotations//test_auto_move//signs_mov/5116.mov","MOV")</f>
        <v>21</v>
      </c>
      <c r="L1506" t="s" s="16">
        <f>HYPERLINK("http://csr.bu.edu/ftp/asl/asllvd/demos/verify_start_end_handshape_annotations//test_auto_move//signs_mov_separ_signers/Naomi_5116.mov","MOV")</f>
        <v>21</v>
      </c>
      <c r="M1506" t="s" s="10">
        <v>29</v>
      </c>
      <c r="N1506" s="17">
        <v>36</v>
      </c>
      <c r="O1506" s="18">
        <v>515</v>
      </c>
      <c r="P1506" s="18">
        <v>541</v>
      </c>
      <c r="Q1506" t="s" s="16">
        <f>HYPERLINK("http://secrets.rutgers.edu:8080/data/asl-ftp/asllvd/demos/verify_start_end_handshape_annotations//test_auto_move//signs_mov/5116.mov","MOV")</f>
        <v>21</v>
      </c>
      <c r="R1506" t="s" s="16">
        <f>HYPERLINK("http://secrets.rutgers.edu:8080/data/asl-ftp/asllvd/demos/verify_start_end_handshape_annotations//test_auto_move//signs_mov_separ_signers/Naomi_5116.mov","MOV")</f>
        <v>21</v>
      </c>
    </row>
    <row r="1507" s="2" customFormat="1" ht="13.5" customHeight="1">
      <c r="B1507" s="13"/>
      <c r="C1507" t="s" s="9">
        <v>30</v>
      </c>
      <c r="D1507" t="s" s="8">
        <v>541</v>
      </c>
      <c r="E1507" t="s" s="9">
        <v>541</v>
      </c>
      <c r="F1507" t="s" s="10">
        <v>72</v>
      </c>
      <c r="G1507" t="s" s="11">
        <v>72</v>
      </c>
      <c r="H1507" t="s" s="10">
        <v>72</v>
      </c>
      <c r="I1507" t="s" s="11">
        <v>72</v>
      </c>
      <c r="J1507" t="s" s="11">
        <v>20</v>
      </c>
      <c r="K1507" s="15"/>
      <c r="L1507" t="s" s="16">
        <f>HYPERLINK("http://csr.bu.edu/ftp/asl/asllvd/demos/verify_start_end_handshape_annotations//test_auto_move//signs_mov_separ_signers/Brady_5116.mov","MOV")</f>
        <v>21</v>
      </c>
      <c r="M1507" t="s" s="10">
        <v>31</v>
      </c>
      <c r="N1507" s="17">
        <v>23</v>
      </c>
      <c r="O1507" s="18">
        <v>10490</v>
      </c>
      <c r="P1507" s="18">
        <v>10507</v>
      </c>
      <c r="Q1507" s="15"/>
      <c r="R1507" t="s" s="16">
        <f>HYPERLINK("http://secrets.rutgers.edu:8080/data/asl-ftp/asllvd/demos/verify_start_end_handshape_annotations//test_auto_move//signs_mov_separ_signers/Brady_5116.mov","MOV")</f>
        <v>21</v>
      </c>
    </row>
    <row r="1508" s="2" customFormat="1" ht="13.5" customHeight="1">
      <c r="B1508" t="s" s="8">
        <v>542</v>
      </c>
      <c r="C1508" t="s" s="9">
        <v>14</v>
      </c>
      <c r="D1508" t="s" s="8">
        <v>14</v>
      </c>
      <c r="E1508" t="s" s="9">
        <v>14</v>
      </c>
      <c r="F1508" t="s" s="10">
        <v>14</v>
      </c>
      <c r="G1508" t="s" s="11">
        <v>14</v>
      </c>
      <c r="H1508" t="s" s="10">
        <v>14</v>
      </c>
      <c r="I1508" t="s" s="11">
        <v>14</v>
      </c>
      <c r="J1508" t="s" s="11">
        <v>14</v>
      </c>
      <c r="K1508" t="s" s="12">
        <v>14</v>
      </c>
      <c r="L1508" t="s" s="12">
        <v>14</v>
      </c>
      <c r="M1508" t="s" s="10">
        <v>14</v>
      </c>
      <c r="N1508" t="s" s="11">
        <v>14</v>
      </c>
      <c r="O1508" t="s" s="8">
        <v>14</v>
      </c>
      <c r="P1508" t="s" s="8">
        <v>14</v>
      </c>
      <c r="Q1508" t="s" s="12">
        <v>14</v>
      </c>
      <c r="R1508" t="s" s="12">
        <v>14</v>
      </c>
    </row>
    <row r="1509" s="2" customFormat="1" ht="13.5" customHeight="1">
      <c r="B1509" s="13"/>
      <c r="C1509" t="s" s="9">
        <v>16</v>
      </c>
      <c r="D1509" t="s" s="8">
        <v>542</v>
      </c>
      <c r="E1509" t="s" s="9">
        <v>542</v>
      </c>
      <c r="F1509" t="s" s="10">
        <v>150</v>
      </c>
      <c r="G1509" t="s" s="11">
        <v>150</v>
      </c>
      <c r="H1509" t="s" s="10">
        <v>150</v>
      </c>
      <c r="I1509" t="s" s="11">
        <v>150</v>
      </c>
      <c r="J1509" t="s" s="11">
        <v>20</v>
      </c>
      <c r="K1509" s="15"/>
      <c r="L1509" t="s" s="16">
        <f>HYPERLINK("http://csr.bu.edu/ftp/asl/asllvd/demos/verify_start_end_handshape_annotations//test_auto_move//signs_mov_separ_signers/Liz_15207.mov","MOV")</f>
        <v>21</v>
      </c>
      <c r="M1509" t="s" s="10">
        <v>22</v>
      </c>
      <c r="N1509" s="17">
        <v>66</v>
      </c>
      <c r="O1509" s="18">
        <v>285</v>
      </c>
      <c r="P1509" s="18">
        <v>340</v>
      </c>
      <c r="Q1509" s="15"/>
      <c r="R1509" t="s" s="16">
        <f>HYPERLINK("http://secrets.rutgers.edu:8080/data/asl-ftp/asllvd/demos/verify_start_end_handshape_annotations//test_auto_move//signs_mov_separ_signers/Liz_15207.mov","MOV")</f>
        <v>21</v>
      </c>
    </row>
    <row r="1510" s="2" customFormat="1" ht="13.5" customHeight="1">
      <c r="B1510" s="13"/>
      <c r="C1510" t="s" s="9">
        <v>23</v>
      </c>
      <c r="D1510" t="s" s="8">
        <v>542</v>
      </c>
      <c r="E1510" t="s" s="9">
        <v>542</v>
      </c>
      <c r="F1510" t="s" s="10">
        <v>73</v>
      </c>
      <c r="G1510" t="s" s="11">
        <v>73</v>
      </c>
      <c r="H1510" t="s" s="10">
        <v>73</v>
      </c>
      <c r="I1510" t="s" s="11">
        <v>73</v>
      </c>
      <c r="J1510" t="s" s="11">
        <v>20</v>
      </c>
      <c r="K1510" s="15"/>
      <c r="L1510" t="s" s="16">
        <f>HYPERLINK("http://csr.bu.edu/ftp/asl/asllvd/demos/verify_start_end_handshape_annotations//test_auto_move//signs_mov_separ_signers/Tyler_15207.mov","MOV")</f>
        <v>21</v>
      </c>
      <c r="M1510" t="s" s="10">
        <v>26</v>
      </c>
      <c r="N1510" s="17">
        <v>35</v>
      </c>
      <c r="O1510" s="18">
        <v>565</v>
      </c>
      <c r="P1510" s="18">
        <v>600</v>
      </c>
      <c r="Q1510" s="15"/>
      <c r="R1510" t="s" s="16">
        <f>HYPERLINK("http://secrets.rutgers.edu:8080/data/asl-ftp/asllvd/demos/verify_start_end_handshape_annotations//test_auto_move//signs_mov_separ_signers/Tyler_15207.mov","MOV")</f>
        <v>21</v>
      </c>
    </row>
    <row r="1511" s="2" customFormat="1" ht="13.5" customHeight="1">
      <c r="B1511" s="13"/>
      <c r="C1511" t="s" s="9">
        <v>27</v>
      </c>
      <c r="D1511" t="s" s="8">
        <v>542</v>
      </c>
      <c r="E1511" t="s" s="9">
        <v>542</v>
      </c>
      <c r="F1511" t="s" s="10">
        <v>150</v>
      </c>
      <c r="G1511" t="s" s="11">
        <v>150</v>
      </c>
      <c r="H1511" t="s" s="10">
        <v>150</v>
      </c>
      <c r="I1511" t="s" s="11">
        <v>150</v>
      </c>
      <c r="J1511" t="s" s="11">
        <v>20</v>
      </c>
      <c r="K1511" t="s" s="16">
        <f>HYPERLINK("http://csr.bu.edu/ftp/asl/asllvd/demos/verify_start_end_handshape_annotations//test_auto_move//signs_mov/15207_15214_merged.mov","MOV")</f>
        <v>21</v>
      </c>
      <c r="L1511" t="s" s="16">
        <f>HYPERLINK("http://csr.bu.edu/ftp/asl/asllvd/demos/verify_start_end_handshape_annotations//test_auto_move//signs_mov_separ_signers/Naomi_15207.mov","MOV")</f>
        <v>21</v>
      </c>
      <c r="M1511" t="s" s="10">
        <v>29</v>
      </c>
      <c r="N1511" s="17">
        <v>42</v>
      </c>
      <c r="O1511" s="18">
        <v>696</v>
      </c>
      <c r="P1511" s="18">
        <v>725</v>
      </c>
      <c r="Q1511" t="s" s="16">
        <f>HYPERLINK("http://secrets.rutgers.edu:8080/data/asl-ftp/asllvd/demos/verify_start_end_handshape_annotations//test_auto_move//signs_mov/15207_15214_merged.mov","MOV")</f>
        <v>21</v>
      </c>
      <c r="R1511" t="s" s="16">
        <f>HYPERLINK("http://secrets.rutgers.edu:8080/data/asl-ftp/asllvd/demos/verify_start_end_handshape_annotations//test_auto_move//signs_mov_separ_signers/Naomi_15207.mov","MOV")</f>
        <v>21</v>
      </c>
    </row>
    <row r="1512" s="2" customFormat="1" ht="13.5" customHeight="1">
      <c r="B1512" s="13"/>
      <c r="C1512" t="s" s="9">
        <v>30</v>
      </c>
      <c r="D1512" t="s" s="8">
        <v>542</v>
      </c>
      <c r="E1512" t="s" s="9">
        <v>542</v>
      </c>
      <c r="F1512" t="s" s="10">
        <v>150</v>
      </c>
      <c r="G1512" t="s" s="11">
        <v>150</v>
      </c>
      <c r="H1512" t="s" s="10">
        <v>150</v>
      </c>
      <c r="I1512" t="s" s="11">
        <v>150</v>
      </c>
      <c r="J1512" t="s" s="11">
        <v>20</v>
      </c>
      <c r="K1512" s="15"/>
      <c r="L1512" t="s" s="16">
        <f>HYPERLINK("http://csr.bu.edu/ftp/asl/asllvd/demos/verify_start_end_handshape_annotations//test_auto_move//signs_mov_separ_signers/Brady_15207.mov","MOV")</f>
        <v>21</v>
      </c>
      <c r="M1512" t="s" s="10">
        <v>31</v>
      </c>
      <c r="N1512" s="17">
        <v>25</v>
      </c>
      <c r="O1512" s="18">
        <v>19820</v>
      </c>
      <c r="P1512" s="18">
        <v>19855</v>
      </c>
      <c r="Q1512" s="15"/>
      <c r="R1512" t="s" s="16">
        <f>HYPERLINK("http://secrets.rutgers.edu:8080/data/asl-ftp/asllvd/demos/verify_start_end_handshape_annotations//test_auto_move//signs_mov_separ_signers/Brady_15207.mov","MOV")</f>
        <v>21</v>
      </c>
    </row>
    <row r="1513" s="2" customFormat="1" ht="13.5" customHeight="1">
      <c r="B1513" s="13"/>
      <c r="C1513" t="s" s="9">
        <v>30</v>
      </c>
      <c r="D1513" t="s" s="8">
        <v>542</v>
      </c>
      <c r="E1513" t="s" s="9">
        <v>542</v>
      </c>
      <c r="F1513" t="s" s="10">
        <v>73</v>
      </c>
      <c r="G1513" t="s" s="11">
        <v>73</v>
      </c>
      <c r="H1513" t="s" s="10">
        <v>73</v>
      </c>
      <c r="I1513" t="s" s="11">
        <v>73</v>
      </c>
      <c r="J1513" t="s" s="11">
        <v>20</v>
      </c>
      <c r="K1513" s="15"/>
      <c r="L1513" t="s" s="16">
        <f>HYPERLINK("http://csr.bu.edu/ftp/asl/asllvd/demos/verify_start_end_handshape_annotations//test_auto_move//signs_mov_separ_signers/Brady_15214.mov","MOV")</f>
        <v>21</v>
      </c>
      <c r="M1513" t="s" s="10">
        <v>60</v>
      </c>
      <c r="N1513" s="17">
        <v>39</v>
      </c>
      <c r="O1513" s="18">
        <v>2097</v>
      </c>
      <c r="P1513" s="18">
        <v>2144</v>
      </c>
      <c r="Q1513" s="15"/>
      <c r="R1513" t="s" s="16">
        <f>HYPERLINK("http://secrets.rutgers.edu:8080/data/asl-ftp/asllvd/demos/verify_start_end_handshape_annotations//test_auto_move//signs_mov_separ_signers/Brady_15214.mov","MOV")</f>
        <v>21</v>
      </c>
    </row>
    <row r="1514" s="2" customFormat="1" ht="13.5" customHeight="1">
      <c r="B1514" t="s" s="8">
        <v>543</v>
      </c>
      <c r="C1514" t="s" s="9">
        <v>14</v>
      </c>
      <c r="D1514" t="s" s="8">
        <v>14</v>
      </c>
      <c r="E1514" t="s" s="9">
        <v>14</v>
      </c>
      <c r="F1514" t="s" s="10">
        <v>14</v>
      </c>
      <c r="G1514" t="s" s="11">
        <v>14</v>
      </c>
      <c r="H1514" t="s" s="10">
        <v>14</v>
      </c>
      <c r="I1514" t="s" s="11">
        <v>14</v>
      </c>
      <c r="J1514" t="s" s="11">
        <v>14</v>
      </c>
      <c r="K1514" t="s" s="12">
        <v>14</v>
      </c>
      <c r="L1514" t="s" s="12">
        <v>14</v>
      </c>
      <c r="M1514" t="s" s="10">
        <v>14</v>
      </c>
      <c r="N1514" t="s" s="11">
        <v>14</v>
      </c>
      <c r="O1514" t="s" s="8">
        <v>14</v>
      </c>
      <c r="P1514" t="s" s="8">
        <v>14</v>
      </c>
      <c r="Q1514" t="s" s="12">
        <v>14</v>
      </c>
      <c r="R1514" t="s" s="12">
        <v>14</v>
      </c>
    </row>
    <row r="1515" s="2" customFormat="1" ht="13.5" customHeight="1">
      <c r="B1515" s="13"/>
      <c r="C1515" t="s" s="9">
        <v>16</v>
      </c>
      <c r="D1515" t="s" s="8">
        <v>543</v>
      </c>
      <c r="E1515" t="s" s="9">
        <v>543</v>
      </c>
      <c r="F1515" t="s" s="10">
        <v>80</v>
      </c>
      <c r="G1515" s="14"/>
      <c r="H1515" t="s" s="10">
        <v>80</v>
      </c>
      <c r="I1515" s="14"/>
      <c r="J1515" t="s" s="11">
        <v>20</v>
      </c>
      <c r="K1515" s="15"/>
      <c r="L1515" t="s" s="16">
        <f>HYPERLINK("http://csr.bu.edu/ftp/asl/asllvd/demos/verify_start_end_handshape_annotations//test_auto_move//signs_mov_separ_signers/Liz_333.mov","MOV")</f>
        <v>21</v>
      </c>
      <c r="M1515" t="s" s="10">
        <v>22</v>
      </c>
      <c r="N1515" s="17">
        <v>56</v>
      </c>
      <c r="O1515" s="18">
        <v>1185</v>
      </c>
      <c r="P1515" s="18">
        <v>1215</v>
      </c>
      <c r="Q1515" s="15"/>
      <c r="R1515" t="s" s="16">
        <f>HYPERLINK("http://secrets.rutgers.edu:8080/data/asl-ftp/asllvd/demos/verify_start_end_handshape_annotations//test_auto_move//signs_mov_separ_signers/Liz_333.mov","MOV")</f>
        <v>21</v>
      </c>
    </row>
    <row r="1516" s="2" customFormat="1" ht="13.5" customHeight="1">
      <c r="B1516" s="13"/>
      <c r="C1516" t="s" s="9">
        <v>23</v>
      </c>
      <c r="D1516" t="s" s="8">
        <v>543</v>
      </c>
      <c r="E1516" t="s" s="9">
        <v>543</v>
      </c>
      <c r="F1516" t="s" s="10">
        <v>80</v>
      </c>
      <c r="G1516" s="14"/>
      <c r="H1516" t="s" s="10">
        <v>80</v>
      </c>
      <c r="I1516" s="14"/>
      <c r="J1516" t="s" s="11">
        <v>20</v>
      </c>
      <c r="K1516" t="s" s="16">
        <f>HYPERLINK("http://csr.bu.edu/ftp/asl/asllvd/demos/verify_start_end_handshape_annotations//test_auto_move//signs_mov/333.mov","MOV")</f>
        <v>21</v>
      </c>
      <c r="L1516" t="s" s="16">
        <f>HYPERLINK("http://csr.bu.edu/ftp/asl/asllvd/demos/verify_start_end_handshape_annotations//test_auto_move//signs_mov_separ_signers/Tyler_333.mov","MOV")</f>
        <v>21</v>
      </c>
      <c r="M1516" t="s" s="10">
        <v>26</v>
      </c>
      <c r="N1516" s="17">
        <v>35</v>
      </c>
      <c r="O1516" s="18">
        <v>755</v>
      </c>
      <c r="P1516" s="18">
        <v>780</v>
      </c>
      <c r="Q1516" t="s" s="16">
        <f>HYPERLINK("http://secrets.rutgers.edu:8080/data/asl-ftp/asllvd/demos/verify_start_end_handshape_annotations//test_auto_move//signs_mov/333.mov","MOV")</f>
        <v>21</v>
      </c>
      <c r="R1516" t="s" s="16">
        <f>HYPERLINK("http://secrets.rutgers.edu:8080/data/asl-ftp/asllvd/demos/verify_start_end_handshape_annotations//test_auto_move//signs_mov_separ_signers/Tyler_333.mov","MOV")</f>
        <v>21</v>
      </c>
    </row>
    <row r="1517" s="2" customFormat="1" ht="13.5" customHeight="1">
      <c r="B1517" s="13"/>
      <c r="C1517" t="s" s="9">
        <v>27</v>
      </c>
      <c r="D1517" t="s" s="8">
        <v>543</v>
      </c>
      <c r="E1517" t="s" s="9">
        <v>543</v>
      </c>
      <c r="F1517" t="s" s="10">
        <v>80</v>
      </c>
      <c r="G1517" s="14"/>
      <c r="H1517" t="s" s="10">
        <v>80</v>
      </c>
      <c r="I1517" s="14"/>
      <c r="J1517" t="s" s="11">
        <v>20</v>
      </c>
      <c r="K1517" s="15"/>
      <c r="L1517" t="s" s="16">
        <f>HYPERLINK("http://csr.bu.edu/ftp/asl/asllvd/demos/verify_start_end_handshape_annotations//test_auto_move//signs_mov_separ_signers/Naomi_333.mov","MOV")</f>
        <v>21</v>
      </c>
      <c r="M1517" t="s" s="10">
        <v>29</v>
      </c>
      <c r="N1517" s="17">
        <v>36</v>
      </c>
      <c r="O1517" s="18">
        <v>727</v>
      </c>
      <c r="P1517" s="18">
        <v>755</v>
      </c>
      <c r="Q1517" s="15"/>
      <c r="R1517" t="s" s="16">
        <f>HYPERLINK("http://secrets.rutgers.edu:8080/data/asl-ftp/asllvd/demos/verify_start_end_handshape_annotations//test_auto_move//signs_mov_separ_signers/Naomi_333.mov","MOV")</f>
        <v>21</v>
      </c>
    </row>
    <row r="1518" s="2" customFormat="1" ht="13.5" customHeight="1">
      <c r="B1518" s="13"/>
      <c r="C1518" t="s" s="9">
        <v>30</v>
      </c>
      <c r="D1518" t="s" s="8">
        <v>543</v>
      </c>
      <c r="E1518" t="s" s="9">
        <v>543</v>
      </c>
      <c r="F1518" t="s" s="10">
        <v>80</v>
      </c>
      <c r="G1518" s="14"/>
      <c r="H1518" t="s" s="10">
        <v>80</v>
      </c>
      <c r="I1518" s="14"/>
      <c r="J1518" t="s" s="11">
        <v>20</v>
      </c>
      <c r="K1518" s="15"/>
      <c r="L1518" t="s" s="16">
        <f>HYPERLINK("http://csr.bu.edu/ftp/asl/asllvd/demos/verify_start_end_handshape_annotations//test_auto_move//signs_mov_separ_signers/Brady_333.mov","MOV")</f>
        <v>21</v>
      </c>
      <c r="M1518" t="s" s="10">
        <v>31</v>
      </c>
      <c r="N1518" s="17">
        <v>23</v>
      </c>
      <c r="O1518" s="18">
        <v>10703</v>
      </c>
      <c r="P1518" s="18">
        <v>10728</v>
      </c>
      <c r="Q1518" s="15"/>
      <c r="R1518" t="s" s="16">
        <f>HYPERLINK("http://secrets.rutgers.edu:8080/data/asl-ftp/asllvd/demos/verify_start_end_handshape_annotations//test_auto_move//signs_mov_separ_signers/Brady_333.mov","MOV")</f>
        <v>21</v>
      </c>
    </row>
    <row r="1519" s="2" customFormat="1" ht="13.5" customHeight="1">
      <c r="B1519" t="s" s="8">
        <v>544</v>
      </c>
      <c r="C1519" t="s" s="9">
        <v>14</v>
      </c>
      <c r="D1519" t="s" s="8">
        <v>14</v>
      </c>
      <c r="E1519" t="s" s="9">
        <v>14</v>
      </c>
      <c r="F1519" t="s" s="10">
        <v>14</v>
      </c>
      <c r="G1519" t="s" s="11">
        <v>14</v>
      </c>
      <c r="H1519" t="s" s="10">
        <v>14</v>
      </c>
      <c r="I1519" t="s" s="11">
        <v>14</v>
      </c>
      <c r="J1519" t="s" s="11">
        <v>14</v>
      </c>
      <c r="K1519" t="s" s="12">
        <v>14</v>
      </c>
      <c r="L1519" t="s" s="12">
        <v>14</v>
      </c>
      <c r="M1519" t="s" s="10">
        <v>14</v>
      </c>
      <c r="N1519" t="s" s="11">
        <v>14</v>
      </c>
      <c r="O1519" t="s" s="8">
        <v>14</v>
      </c>
      <c r="P1519" t="s" s="8">
        <v>14</v>
      </c>
      <c r="Q1519" t="s" s="12">
        <v>14</v>
      </c>
      <c r="R1519" t="s" s="12">
        <v>14</v>
      </c>
    </row>
    <row r="1520" s="2" customFormat="1" ht="13.5" customHeight="1">
      <c r="B1520" s="13"/>
      <c r="C1520" t="s" s="9">
        <v>16</v>
      </c>
      <c r="D1520" t="s" s="8">
        <v>544</v>
      </c>
      <c r="E1520" t="s" s="9">
        <v>544</v>
      </c>
      <c r="F1520" t="s" s="10">
        <v>73</v>
      </c>
      <c r="G1520" t="s" s="11">
        <v>73</v>
      </c>
      <c r="H1520" t="s" s="10">
        <v>73</v>
      </c>
      <c r="I1520" t="s" s="11">
        <v>73</v>
      </c>
      <c r="J1520" t="s" s="11">
        <v>20</v>
      </c>
      <c r="K1520" t="s" s="16">
        <f>HYPERLINK("http://csr.bu.edu/ftp/asl/asllvd/demos/verify_start_end_handshape_annotations//test_auto_move//signs_mov/334.mov","MOV")</f>
        <v>21</v>
      </c>
      <c r="L1520" t="s" s="16">
        <f>HYPERLINK("http://csr.bu.edu/ftp/asl/asllvd/demos/verify_start_end_handshape_annotations//test_auto_move//signs_mov_separ_signers/Liz_334.mov","MOV")</f>
        <v>21</v>
      </c>
      <c r="M1520" t="s" s="10">
        <v>22</v>
      </c>
      <c r="N1520" s="17">
        <v>57</v>
      </c>
      <c r="O1520" s="18">
        <v>261</v>
      </c>
      <c r="P1520" s="18">
        <v>317</v>
      </c>
      <c r="Q1520" t="s" s="16">
        <f>HYPERLINK("http://secrets.rutgers.edu:8080/data/asl-ftp/asllvd/demos/verify_start_end_handshape_annotations//test_auto_move//signs_mov/334.mov","MOV")</f>
        <v>21</v>
      </c>
      <c r="R1520" t="s" s="16">
        <f>HYPERLINK("http://secrets.rutgers.edu:8080/data/asl-ftp/asllvd/demos/verify_start_end_handshape_annotations//test_auto_move//signs_mov_separ_signers/Liz_334.mov","MOV")</f>
        <v>21</v>
      </c>
    </row>
    <row r="1521" s="2" customFormat="1" ht="13.5" customHeight="1">
      <c r="B1521" s="13"/>
      <c r="C1521" t="s" s="9">
        <v>23</v>
      </c>
      <c r="D1521" t="s" s="8">
        <v>544</v>
      </c>
      <c r="E1521" t="s" s="9">
        <v>544</v>
      </c>
      <c r="F1521" t="s" s="10">
        <v>73</v>
      </c>
      <c r="G1521" t="s" s="11">
        <v>73</v>
      </c>
      <c r="H1521" t="s" s="10">
        <v>80</v>
      </c>
      <c r="I1521" t="s" s="11">
        <v>73</v>
      </c>
      <c r="J1521" t="s" s="11">
        <v>20</v>
      </c>
      <c r="K1521" s="15"/>
      <c r="L1521" t="s" s="16">
        <f>HYPERLINK("http://csr.bu.edu/ftp/asl/asllvd/demos/verify_start_end_handshape_annotations//test_auto_move//signs_mov_separ_signers/Tyler_334.mov","MOV")</f>
        <v>21</v>
      </c>
      <c r="M1521" t="s" s="10">
        <v>26</v>
      </c>
      <c r="N1521" s="17">
        <v>35</v>
      </c>
      <c r="O1521" s="18">
        <v>1251</v>
      </c>
      <c r="P1521" s="18">
        <v>1295</v>
      </c>
      <c r="Q1521" s="15"/>
      <c r="R1521" t="s" s="16">
        <f>HYPERLINK("http://secrets.rutgers.edu:8080/data/asl-ftp/asllvd/demos/verify_start_end_handshape_annotations//test_auto_move//signs_mov_separ_signers/Tyler_334.mov","MOV")</f>
        <v>21</v>
      </c>
    </row>
    <row r="1522" s="2" customFormat="1" ht="13.5" customHeight="1">
      <c r="B1522" t="s" s="8">
        <v>52</v>
      </c>
      <c r="C1522" t="s" s="9">
        <v>53</v>
      </c>
      <c r="D1522" t="s" s="8">
        <v>53</v>
      </c>
      <c r="E1522" t="s" s="9">
        <v>53</v>
      </c>
      <c r="F1522" t="s" s="10">
        <v>53</v>
      </c>
      <c r="G1522" t="s" s="11">
        <v>53</v>
      </c>
      <c r="H1522" t="s" s="10">
        <v>53</v>
      </c>
      <c r="I1522" t="s" s="11">
        <v>53</v>
      </c>
      <c r="J1522" t="s" s="11">
        <v>53</v>
      </c>
      <c r="K1522" t="s" s="12">
        <v>53</v>
      </c>
      <c r="L1522" t="s" s="12">
        <v>53</v>
      </c>
      <c r="M1522" t="s" s="10">
        <v>53</v>
      </c>
      <c r="N1522" t="s" s="11">
        <v>53</v>
      </c>
      <c r="O1522" t="s" s="8">
        <v>53</v>
      </c>
      <c r="P1522" t="s" s="8">
        <v>53</v>
      </c>
      <c r="Q1522" t="s" s="12">
        <v>53</v>
      </c>
      <c r="R1522" t="s" s="12">
        <v>53</v>
      </c>
    </row>
    <row r="1523" s="2" customFormat="1" ht="13.5" customHeight="1">
      <c r="B1523" s="13"/>
      <c r="C1523" t="s" s="9">
        <v>16</v>
      </c>
      <c r="D1523" t="s" s="8">
        <v>544</v>
      </c>
      <c r="E1523" t="s" s="9">
        <v>545</v>
      </c>
      <c r="F1523" t="s" s="10">
        <v>73</v>
      </c>
      <c r="G1523" t="s" s="11">
        <v>73</v>
      </c>
      <c r="H1523" t="s" s="10">
        <v>73</v>
      </c>
      <c r="I1523" t="s" s="11">
        <v>73</v>
      </c>
      <c r="J1523" t="s" s="11">
        <v>20</v>
      </c>
      <c r="K1523" s="15"/>
      <c r="L1523" t="s" s="16">
        <f>HYPERLINK("http://csr.bu.edu/ftp/asl/asllvd/demos/verify_start_end_handshape_annotations//test_auto_move//signs_mov_separ_signers/Liz_3585.mov","MOV")</f>
        <v>21</v>
      </c>
      <c r="M1523" t="s" s="10">
        <v>59</v>
      </c>
      <c r="N1523" s="17">
        <v>2</v>
      </c>
      <c r="O1523" s="18">
        <v>616</v>
      </c>
      <c r="P1523" s="18">
        <v>670</v>
      </c>
      <c r="Q1523" s="15"/>
      <c r="R1523" t="s" s="16">
        <f>HYPERLINK("http://secrets.rutgers.edu:8080/data/asl-ftp/asllvd/demos/verify_start_end_handshape_annotations//test_auto_move//signs_mov_separ_signers/Liz_3585.mov","MOV")</f>
        <v>21</v>
      </c>
    </row>
    <row r="1524" s="2" customFormat="1" ht="13.5" customHeight="1">
      <c r="B1524" s="13"/>
      <c r="C1524" t="s" s="9">
        <v>27</v>
      </c>
      <c r="D1524" t="s" s="8">
        <v>544</v>
      </c>
      <c r="E1524" t="s" s="9">
        <v>545</v>
      </c>
      <c r="F1524" t="s" s="10">
        <v>80</v>
      </c>
      <c r="G1524" t="s" s="11">
        <v>73</v>
      </c>
      <c r="H1524" t="s" s="10">
        <v>80</v>
      </c>
      <c r="I1524" t="s" s="11">
        <v>73</v>
      </c>
      <c r="J1524" t="s" s="11">
        <v>20</v>
      </c>
      <c r="K1524" s="15"/>
      <c r="L1524" t="s" s="16">
        <f>HYPERLINK("http://csr.bu.edu/ftp/asl/asllvd/demos/verify_start_end_handshape_annotations//test_auto_move//signs_mov_separ_signers/Naomi_3585.mov","MOV")</f>
        <v>21</v>
      </c>
      <c r="M1524" t="s" s="10">
        <v>29</v>
      </c>
      <c r="N1524" s="17">
        <v>36</v>
      </c>
      <c r="O1524" s="18">
        <v>1255</v>
      </c>
      <c r="P1524" s="18">
        <v>1296</v>
      </c>
      <c r="Q1524" s="15"/>
      <c r="R1524" t="s" s="16">
        <f>HYPERLINK("http://secrets.rutgers.edu:8080/data/asl-ftp/asllvd/demos/verify_start_end_handshape_annotations//test_auto_move//signs_mov_separ_signers/Naomi_3585.mov","MOV")</f>
        <v>21</v>
      </c>
    </row>
    <row r="1525" s="2" customFormat="1" ht="13.5" customHeight="1">
      <c r="B1525" s="13"/>
      <c r="C1525" t="s" s="9">
        <v>30</v>
      </c>
      <c r="D1525" t="s" s="8">
        <v>544</v>
      </c>
      <c r="E1525" t="s" s="9">
        <v>545</v>
      </c>
      <c r="F1525" t="s" s="10">
        <v>73</v>
      </c>
      <c r="G1525" t="s" s="11">
        <v>109</v>
      </c>
      <c r="H1525" t="s" s="10">
        <v>73</v>
      </c>
      <c r="I1525" t="s" s="11">
        <v>109</v>
      </c>
      <c r="J1525" t="s" s="11">
        <v>20</v>
      </c>
      <c r="K1525" t="s" s="16">
        <f>HYPERLINK("http://csr.bu.edu/ftp/asl/asllvd/demos/verify_start_end_handshape_annotations//test_auto_move//signs_mov/3585_3865_5390_merged.mov","MOV")</f>
        <v>21</v>
      </c>
      <c r="L1525" t="s" s="16">
        <f>HYPERLINK("http://csr.bu.edu/ftp/asl/asllvd/demos/verify_start_end_handshape_annotations//test_auto_move//signs_mov_separ_signers/Brady_3585.mov","MOV")</f>
        <v>21</v>
      </c>
      <c r="M1525" t="s" s="10">
        <v>31</v>
      </c>
      <c r="N1525" s="17">
        <v>23</v>
      </c>
      <c r="O1525" s="18">
        <v>11170</v>
      </c>
      <c r="P1525" s="18">
        <v>11207</v>
      </c>
      <c r="Q1525" t="s" s="16">
        <f>HYPERLINK("http://secrets.rutgers.edu:8080/data/asl-ftp/asllvd/demos/verify_start_end_handshape_annotations//test_auto_move//signs_mov/3585_3865_5390_merged.mov","MOV")</f>
        <v>21</v>
      </c>
      <c r="R1525" t="s" s="16">
        <f>HYPERLINK("http://secrets.rutgers.edu:8080/data/asl-ftp/asllvd/demos/verify_start_end_handshape_annotations//test_auto_move//signs_mov_separ_signers/Brady_3585.mov","MOV")</f>
        <v>21</v>
      </c>
    </row>
    <row r="1526" s="2" customFormat="1" ht="13.5" customHeight="1">
      <c r="B1526" s="13"/>
      <c r="C1526" t="s" s="9">
        <v>30</v>
      </c>
      <c r="D1526" t="s" s="8">
        <v>544</v>
      </c>
      <c r="E1526" t="s" s="9">
        <v>545</v>
      </c>
      <c r="F1526" t="s" s="10">
        <v>73</v>
      </c>
      <c r="G1526" t="s" s="11">
        <v>73</v>
      </c>
      <c r="H1526" t="s" s="10">
        <v>73</v>
      </c>
      <c r="I1526" t="s" s="11">
        <v>73</v>
      </c>
      <c r="J1526" t="s" s="11">
        <v>20</v>
      </c>
      <c r="K1526" s="15"/>
      <c r="L1526" t="s" s="16">
        <f>HYPERLINK("http://csr.bu.edu/ftp/asl/asllvd/demos/verify_start_end_handshape_annotations//test_auto_move//signs_mov_separ_signers/Brady_3865.mov","MOV")</f>
        <v>21</v>
      </c>
      <c r="M1526" t="s" s="10">
        <v>31</v>
      </c>
      <c r="N1526" s="17">
        <v>23</v>
      </c>
      <c r="O1526" s="18">
        <v>11412</v>
      </c>
      <c r="P1526" s="18">
        <v>11444</v>
      </c>
      <c r="Q1526" s="15"/>
      <c r="R1526" t="s" s="16">
        <f>HYPERLINK("http://secrets.rutgers.edu:8080/data/asl-ftp/asllvd/demos/verify_start_end_handshape_annotations//test_auto_move//signs_mov_separ_signers/Brady_3865.mov","MOV")</f>
        <v>21</v>
      </c>
    </row>
    <row r="1527" s="2" customFormat="1" ht="13.5" customHeight="1">
      <c r="B1527" s="13"/>
      <c r="C1527" t="s" s="9">
        <v>30</v>
      </c>
      <c r="D1527" t="s" s="8">
        <v>544</v>
      </c>
      <c r="E1527" t="s" s="9">
        <v>545</v>
      </c>
      <c r="F1527" t="s" s="10">
        <v>73</v>
      </c>
      <c r="G1527" t="s" s="11">
        <v>73</v>
      </c>
      <c r="H1527" t="s" s="10">
        <v>73</v>
      </c>
      <c r="I1527" t="s" s="11">
        <v>73</v>
      </c>
      <c r="J1527" t="s" s="11">
        <v>20</v>
      </c>
      <c r="K1527" s="15"/>
      <c r="L1527" t="s" s="16">
        <f>HYPERLINK("http://csr.bu.edu/ftp/asl/asllvd/demos/verify_start_end_handshape_annotations//test_auto_move//signs_mov_separ_signers/Brady_5390.mov","MOV")</f>
        <v>21</v>
      </c>
      <c r="M1527" t="s" s="10">
        <v>40</v>
      </c>
      <c r="N1527" s="17">
        <v>106</v>
      </c>
      <c r="O1527" s="18">
        <v>4510</v>
      </c>
      <c r="P1527" s="18">
        <v>4554</v>
      </c>
      <c r="Q1527" s="15"/>
      <c r="R1527" t="s" s="16">
        <f>HYPERLINK("http://secrets.rutgers.edu:8080/data/asl-ftp/asllvd/demos/verify_start_end_handshape_annotations//test_auto_move//signs_mov_separ_signers/Brady_5390.mov","MOV")</f>
        <v>21</v>
      </c>
    </row>
    <row r="1528" s="2" customFormat="1" ht="13.5" customHeight="1">
      <c r="B1528" t="s" s="8">
        <v>544</v>
      </c>
      <c r="C1528" t="s" s="9">
        <v>14</v>
      </c>
      <c r="D1528" t="s" s="8">
        <v>14</v>
      </c>
      <c r="E1528" t="s" s="9">
        <v>14</v>
      </c>
      <c r="F1528" t="s" s="10">
        <v>14</v>
      </c>
      <c r="G1528" t="s" s="11">
        <v>14</v>
      </c>
      <c r="H1528" t="s" s="10">
        <v>14</v>
      </c>
      <c r="I1528" t="s" s="11">
        <v>14</v>
      </c>
      <c r="J1528" t="s" s="11">
        <v>14</v>
      </c>
      <c r="K1528" t="s" s="12">
        <v>14</v>
      </c>
      <c r="L1528" t="s" s="12">
        <v>14</v>
      </c>
      <c r="M1528" t="s" s="10">
        <v>14</v>
      </c>
      <c r="N1528" t="s" s="11">
        <v>14</v>
      </c>
      <c r="O1528" t="s" s="8">
        <v>14</v>
      </c>
      <c r="P1528" t="s" s="8">
        <v>14</v>
      </c>
      <c r="Q1528" t="s" s="12">
        <v>14</v>
      </c>
      <c r="R1528" t="s" s="12">
        <v>14</v>
      </c>
    </row>
    <row r="1529" s="2" customFormat="1" ht="13.5" customHeight="1">
      <c r="B1529" s="13"/>
      <c r="C1529" t="s" s="9">
        <v>16</v>
      </c>
      <c r="D1529" t="s" s="8">
        <v>546</v>
      </c>
      <c r="E1529" t="s" s="9">
        <v>546</v>
      </c>
      <c r="F1529" t="s" s="10">
        <v>68</v>
      </c>
      <c r="G1529" t="s" s="11">
        <v>68</v>
      </c>
      <c r="H1529" t="s" s="10">
        <v>68</v>
      </c>
      <c r="I1529" t="s" s="11">
        <v>68</v>
      </c>
      <c r="J1529" t="s" s="11">
        <v>20</v>
      </c>
      <c r="K1529" s="15"/>
      <c r="L1529" t="s" s="16">
        <f>HYPERLINK("http://csr.bu.edu/ftp/asl/asllvd/demos/verify_start_end_handshape_annotations//test_auto_move//signs_mov_separ_signers/Liz_5952.mov","MOV")</f>
        <v>21</v>
      </c>
      <c r="M1529" t="s" s="10">
        <v>22</v>
      </c>
      <c r="N1529" s="17">
        <v>56</v>
      </c>
      <c r="O1529" s="18">
        <v>1470</v>
      </c>
      <c r="P1529" s="18">
        <v>1530</v>
      </c>
      <c r="Q1529" s="15"/>
      <c r="R1529" t="s" s="16">
        <f>HYPERLINK("http://secrets.rutgers.edu:8080/data/asl-ftp/asllvd/demos/verify_start_end_handshape_annotations//test_auto_move//signs_mov_separ_signers/Liz_5952.mov","MOV")</f>
        <v>21</v>
      </c>
    </row>
    <row r="1530" s="2" customFormat="1" ht="13.5" customHeight="1">
      <c r="B1530" s="13"/>
      <c r="C1530" t="s" s="9">
        <v>23</v>
      </c>
      <c r="D1530" t="s" s="8">
        <v>546</v>
      </c>
      <c r="E1530" t="s" s="9">
        <v>547</v>
      </c>
      <c r="F1530" t="s" s="10">
        <v>68</v>
      </c>
      <c r="G1530" t="s" s="11">
        <v>68</v>
      </c>
      <c r="H1530" t="s" s="10">
        <v>68</v>
      </c>
      <c r="I1530" t="s" s="11">
        <v>68</v>
      </c>
      <c r="J1530" t="s" s="11">
        <v>20</v>
      </c>
      <c r="K1530" t="s" s="16">
        <f>HYPERLINK("http://csr.bu.edu/ftp/asl/asllvd/demos/verify_start_end_handshape_annotations//test_auto_move//signs_mov/5952.mov","MOV")</f>
        <v>21</v>
      </c>
      <c r="L1530" t="s" s="16">
        <f>HYPERLINK("http://csr.bu.edu/ftp/asl/asllvd/demos/verify_start_end_handshape_annotations//test_auto_move//signs_mov_separ_signers/Tyler_5952.mov","MOV")</f>
        <v>21</v>
      </c>
      <c r="M1530" t="s" s="10">
        <v>26</v>
      </c>
      <c r="N1530" s="17">
        <v>35</v>
      </c>
      <c r="O1530" s="18">
        <v>1020</v>
      </c>
      <c r="P1530" s="18">
        <v>1075</v>
      </c>
      <c r="Q1530" t="s" s="16">
        <f>HYPERLINK("http://secrets.rutgers.edu:8080/data/asl-ftp/asllvd/demos/verify_start_end_handshape_annotations//test_auto_move//signs_mov/5952.mov","MOV")</f>
        <v>21</v>
      </c>
      <c r="R1530" t="s" s="16">
        <f>HYPERLINK("http://secrets.rutgers.edu:8080/data/asl-ftp/asllvd/demos/verify_start_end_handshape_annotations//test_auto_move//signs_mov_separ_signers/Tyler_5952.mov","MOV")</f>
        <v>21</v>
      </c>
    </row>
    <row r="1531" s="2" customFormat="1" ht="13.5" customHeight="1">
      <c r="B1531" s="13"/>
      <c r="C1531" t="s" s="9">
        <v>27</v>
      </c>
      <c r="D1531" t="s" s="8">
        <v>546</v>
      </c>
      <c r="E1531" t="s" s="9">
        <v>546</v>
      </c>
      <c r="F1531" t="s" s="10">
        <v>68</v>
      </c>
      <c r="G1531" t="s" s="11">
        <v>68</v>
      </c>
      <c r="H1531" t="s" s="10">
        <v>68</v>
      </c>
      <c r="I1531" t="s" s="11">
        <v>68</v>
      </c>
      <c r="J1531" t="s" s="11">
        <v>20</v>
      </c>
      <c r="K1531" s="15"/>
      <c r="L1531" t="s" s="16">
        <f>HYPERLINK("http://csr.bu.edu/ftp/asl/asllvd/demos/verify_start_end_handshape_annotations//test_auto_move//signs_mov_separ_signers/Naomi_5952.mov","MOV")</f>
        <v>21</v>
      </c>
      <c r="M1531" t="s" s="10">
        <v>29</v>
      </c>
      <c r="N1531" s="17">
        <v>36</v>
      </c>
      <c r="O1531" s="18">
        <v>1042</v>
      </c>
      <c r="P1531" s="18">
        <v>1093</v>
      </c>
      <c r="Q1531" s="15"/>
      <c r="R1531" t="s" s="16">
        <f>HYPERLINK("http://secrets.rutgers.edu:8080/data/asl-ftp/asllvd/demos/verify_start_end_handshape_annotations//test_auto_move//signs_mov_separ_signers/Naomi_5952.mov","MOV")</f>
        <v>21</v>
      </c>
    </row>
    <row r="1532" s="2" customFormat="1" ht="13.5" customHeight="1">
      <c r="B1532" s="13"/>
      <c r="C1532" t="s" s="9">
        <v>30</v>
      </c>
      <c r="D1532" t="s" s="8">
        <v>546</v>
      </c>
      <c r="E1532" t="s" s="9">
        <v>546</v>
      </c>
      <c r="F1532" t="s" s="10">
        <v>68</v>
      </c>
      <c r="G1532" t="s" s="11">
        <v>68</v>
      </c>
      <c r="H1532" t="s" s="10">
        <v>68</v>
      </c>
      <c r="I1532" t="s" s="11">
        <v>68</v>
      </c>
      <c r="J1532" t="s" s="11">
        <v>20</v>
      </c>
      <c r="K1532" s="15"/>
      <c r="L1532" t="s" s="16">
        <f>HYPERLINK("http://csr.bu.edu/ftp/asl/asllvd/demos/verify_start_end_handshape_annotations//test_auto_move//signs_mov_separ_signers/Brady_5952.mov","MOV")</f>
        <v>21</v>
      </c>
      <c r="M1532" t="s" s="10">
        <v>31</v>
      </c>
      <c r="N1532" s="17">
        <v>23</v>
      </c>
      <c r="O1532" s="18">
        <v>11014</v>
      </c>
      <c r="P1532" s="18">
        <v>11076</v>
      </c>
      <c r="Q1532" s="15"/>
      <c r="R1532" t="s" s="16">
        <f>HYPERLINK("http://secrets.rutgers.edu:8080/data/asl-ftp/asllvd/demos/verify_start_end_handshape_annotations//test_auto_move//signs_mov_separ_signers/Brady_5952.mov","MOV")</f>
        <v>21</v>
      </c>
    </row>
    <row r="1533" s="2" customFormat="1" ht="13.5" customHeight="1">
      <c r="B1533" t="s" s="8">
        <v>548</v>
      </c>
      <c r="C1533" t="s" s="9">
        <v>14</v>
      </c>
      <c r="D1533" t="s" s="8">
        <v>14</v>
      </c>
      <c r="E1533" t="s" s="9">
        <v>14</v>
      </c>
      <c r="F1533" t="s" s="10">
        <v>14</v>
      </c>
      <c r="G1533" t="s" s="11">
        <v>14</v>
      </c>
      <c r="H1533" t="s" s="10">
        <v>14</v>
      </c>
      <c r="I1533" t="s" s="11">
        <v>14</v>
      </c>
      <c r="J1533" t="s" s="11">
        <v>14</v>
      </c>
      <c r="K1533" t="s" s="12">
        <v>14</v>
      </c>
      <c r="L1533" t="s" s="12">
        <v>14</v>
      </c>
      <c r="M1533" t="s" s="10">
        <v>14</v>
      </c>
      <c r="N1533" t="s" s="11">
        <v>14</v>
      </c>
      <c r="O1533" t="s" s="8">
        <v>14</v>
      </c>
      <c r="P1533" t="s" s="8">
        <v>14</v>
      </c>
      <c r="Q1533" t="s" s="12">
        <v>14</v>
      </c>
      <c r="R1533" t="s" s="12">
        <v>14</v>
      </c>
    </row>
    <row r="1534" s="2" customFormat="1" ht="13.5" customHeight="1">
      <c r="B1534" s="13"/>
      <c r="C1534" t="s" s="9">
        <v>16</v>
      </c>
      <c r="D1534" t="s" s="8">
        <v>548</v>
      </c>
      <c r="E1534" t="s" s="9">
        <v>548</v>
      </c>
      <c r="F1534" t="s" s="10">
        <v>63</v>
      </c>
      <c r="G1534" t="s" s="11">
        <v>63</v>
      </c>
      <c r="H1534" t="s" s="10">
        <v>63</v>
      </c>
      <c r="I1534" t="s" s="11">
        <v>63</v>
      </c>
      <c r="J1534" t="s" s="11">
        <v>20</v>
      </c>
      <c r="K1534" t="s" s="16">
        <f>HYPERLINK("http://csr.bu.edu/ftp/asl/asllvd/demos/verify_start_end_handshape_annotations//test_auto_move//signs_mov/5991.mov","MOV")</f>
        <v>21</v>
      </c>
      <c r="L1534" t="s" s="16">
        <f>HYPERLINK("http://csr.bu.edu/ftp/asl/asllvd/demos/verify_start_end_handshape_annotations//test_auto_move//signs_mov_separ_signers/Liz_5991.mov","MOV")</f>
        <v>21</v>
      </c>
      <c r="M1534" t="s" s="10">
        <v>84</v>
      </c>
      <c r="N1534" s="17">
        <v>11</v>
      </c>
      <c r="O1534" s="18">
        <v>570</v>
      </c>
      <c r="P1534" s="18">
        <v>610</v>
      </c>
      <c r="Q1534" t="s" s="16">
        <f>HYPERLINK("http://secrets.rutgers.edu:8080/data/asl-ftp/asllvd/demos/verify_start_end_handshape_annotations//test_auto_move//signs_mov/5991.mov","MOV")</f>
        <v>21</v>
      </c>
      <c r="R1534" t="s" s="16">
        <f>HYPERLINK("http://secrets.rutgers.edu:8080/data/asl-ftp/asllvd/demos/verify_start_end_handshape_annotations//test_auto_move//signs_mov_separ_signers/Liz_5991.mov","MOV")</f>
        <v>21</v>
      </c>
    </row>
    <row r="1535" s="2" customFormat="1" ht="13.5" customHeight="1">
      <c r="B1535" s="13"/>
      <c r="C1535" t="s" s="9">
        <v>23</v>
      </c>
      <c r="D1535" t="s" s="8">
        <v>548</v>
      </c>
      <c r="E1535" t="s" s="9">
        <v>549</v>
      </c>
      <c r="F1535" t="s" s="10">
        <v>68</v>
      </c>
      <c r="G1535" t="s" s="11">
        <v>68</v>
      </c>
      <c r="H1535" t="s" s="10">
        <v>68</v>
      </c>
      <c r="I1535" t="s" s="11">
        <v>68</v>
      </c>
      <c r="J1535" t="s" s="11">
        <v>20</v>
      </c>
      <c r="K1535" s="15"/>
      <c r="L1535" t="s" s="16">
        <f>HYPERLINK("http://csr.bu.edu/ftp/asl/asllvd/demos/verify_start_end_handshape_annotations//test_auto_move//signs_mov_separ_signers/Tyler_5991.mov","MOV")</f>
        <v>21</v>
      </c>
      <c r="M1535" t="s" s="10">
        <v>125</v>
      </c>
      <c r="N1535" s="17">
        <v>11</v>
      </c>
      <c r="O1535" s="18">
        <v>390</v>
      </c>
      <c r="P1535" s="18">
        <v>450</v>
      </c>
      <c r="Q1535" s="15"/>
      <c r="R1535" t="s" s="16">
        <f>HYPERLINK("http://secrets.rutgers.edu:8080/data/asl-ftp/asllvd/demos/verify_start_end_handshape_annotations//test_auto_move//signs_mov_separ_signers/Tyler_5991.mov","MOV")</f>
        <v>21</v>
      </c>
    </row>
    <row r="1536" s="2" customFormat="1" ht="13.5" customHeight="1">
      <c r="B1536" t="s" s="8">
        <v>52</v>
      </c>
      <c r="C1536" t="s" s="9">
        <v>53</v>
      </c>
      <c r="D1536" t="s" s="8">
        <v>53</v>
      </c>
      <c r="E1536" t="s" s="9">
        <v>53</v>
      </c>
      <c r="F1536" t="s" s="10">
        <v>53</v>
      </c>
      <c r="G1536" t="s" s="11">
        <v>53</v>
      </c>
      <c r="H1536" t="s" s="10">
        <v>53</v>
      </c>
      <c r="I1536" t="s" s="11">
        <v>53</v>
      </c>
      <c r="J1536" t="s" s="11">
        <v>53</v>
      </c>
      <c r="K1536" t="s" s="12">
        <v>53</v>
      </c>
      <c r="L1536" t="s" s="12">
        <v>53</v>
      </c>
      <c r="M1536" t="s" s="10">
        <v>53</v>
      </c>
      <c r="N1536" t="s" s="11">
        <v>53</v>
      </c>
      <c r="O1536" t="s" s="8">
        <v>53</v>
      </c>
      <c r="P1536" t="s" s="8">
        <v>53</v>
      </c>
      <c r="Q1536" t="s" s="12">
        <v>53</v>
      </c>
      <c r="R1536" t="s" s="12">
        <v>53</v>
      </c>
    </row>
    <row r="1537" s="2" customFormat="1" ht="13.5" customHeight="1">
      <c r="B1537" s="13"/>
      <c r="C1537" t="s" s="9">
        <v>16</v>
      </c>
      <c r="D1537" t="s" s="8">
        <v>548</v>
      </c>
      <c r="E1537" t="s" s="9">
        <v>550</v>
      </c>
      <c r="F1537" t="s" s="10">
        <v>65</v>
      </c>
      <c r="G1537" t="s" s="11">
        <v>65</v>
      </c>
      <c r="H1537" t="s" s="10">
        <v>65</v>
      </c>
      <c r="I1537" t="s" s="11">
        <v>65</v>
      </c>
      <c r="J1537" t="s" s="11">
        <v>20</v>
      </c>
      <c r="K1537" s="15"/>
      <c r="L1537" t="s" s="16">
        <f>HYPERLINK("http://csr.bu.edu/ftp/asl/asllvd/demos/verify_start_end_handshape_annotations//test_auto_move//signs_mov_separ_signers/Liz_15100.mov","MOV")</f>
        <v>21</v>
      </c>
      <c r="M1537" t="s" s="10">
        <v>88</v>
      </c>
      <c r="N1537" s="17">
        <v>9</v>
      </c>
      <c r="O1537" s="18">
        <v>2092</v>
      </c>
      <c r="P1537" s="18">
        <v>2190</v>
      </c>
      <c r="Q1537" s="15"/>
      <c r="R1537" t="s" s="16">
        <f>HYPERLINK("http://secrets.rutgers.edu:8080/data/asl-ftp/asllvd/demos/verify_start_end_handshape_annotations//test_auto_move//signs_mov_separ_signers/Liz_15100.mov","MOV")</f>
        <v>21</v>
      </c>
    </row>
    <row r="1538" s="2" customFormat="1" ht="13.5" customHeight="1">
      <c r="B1538" s="13"/>
      <c r="C1538" t="s" s="9">
        <v>23</v>
      </c>
      <c r="D1538" t="s" s="8">
        <v>548</v>
      </c>
      <c r="E1538" t="s" s="9">
        <v>551</v>
      </c>
      <c r="F1538" t="s" s="10">
        <v>65</v>
      </c>
      <c r="G1538" t="s" s="11">
        <v>65</v>
      </c>
      <c r="H1538" t="s" s="10">
        <v>65</v>
      </c>
      <c r="I1538" t="s" s="11">
        <v>65</v>
      </c>
      <c r="J1538" t="s" s="11">
        <v>20</v>
      </c>
      <c r="K1538" s="15"/>
      <c r="L1538" t="s" s="16">
        <f>HYPERLINK("http://csr.bu.edu/ftp/asl/asllvd/demos/verify_start_end_handshape_annotations//test_auto_move//signs_mov_separ_signers/Tyler_15100.mov","MOV")</f>
        <v>21</v>
      </c>
      <c r="M1538" t="s" s="10">
        <v>47</v>
      </c>
      <c r="N1538" s="17">
        <v>18</v>
      </c>
      <c r="O1538" s="18">
        <v>1470</v>
      </c>
      <c r="P1538" s="18">
        <v>1521</v>
      </c>
      <c r="Q1538" s="15"/>
      <c r="R1538" t="s" s="16">
        <f>HYPERLINK("http://secrets.rutgers.edu:8080/data/asl-ftp/asllvd/demos/verify_start_end_handshape_annotations//test_auto_move//signs_mov_separ_signers/Tyler_15100.mov","MOV")</f>
        <v>21</v>
      </c>
    </row>
    <row r="1539" s="2" customFormat="1" ht="13.5" customHeight="1">
      <c r="B1539" s="13"/>
      <c r="C1539" t="s" s="9">
        <v>27</v>
      </c>
      <c r="D1539" t="s" s="8">
        <v>548</v>
      </c>
      <c r="E1539" t="s" s="9">
        <v>550</v>
      </c>
      <c r="F1539" t="s" s="10">
        <v>65</v>
      </c>
      <c r="G1539" t="s" s="11">
        <v>65</v>
      </c>
      <c r="H1539" t="s" s="10">
        <v>65</v>
      </c>
      <c r="I1539" t="s" s="11">
        <v>65</v>
      </c>
      <c r="J1539" t="s" s="11">
        <v>20</v>
      </c>
      <c r="K1539" t="s" s="16">
        <f>HYPERLINK("http://csr.bu.edu/ftp/asl/asllvd/demos/verify_start_end_handshape_annotations//test_auto_move//signs_mov/15100_16515_merged.mov","MOV")</f>
        <v>21</v>
      </c>
      <c r="L1539" t="s" s="16">
        <f>HYPERLINK("http://csr.bu.edu/ftp/asl/asllvd/demos/verify_start_end_handshape_annotations//test_auto_move//signs_mov_separ_signers/Naomi_15100.mov","MOV")</f>
        <v>21</v>
      </c>
      <c r="M1539" t="s" s="10">
        <v>86</v>
      </c>
      <c r="N1539" s="17">
        <v>11</v>
      </c>
      <c r="O1539" s="18">
        <v>650</v>
      </c>
      <c r="P1539" s="18">
        <v>690</v>
      </c>
      <c r="Q1539" t="s" s="16">
        <f>HYPERLINK("http://secrets.rutgers.edu:8080/data/asl-ftp/asllvd/demos/verify_start_end_handshape_annotations//test_auto_move//signs_mov/15100_16515_merged.mov","MOV")</f>
        <v>21</v>
      </c>
      <c r="R1539" t="s" s="16">
        <f>HYPERLINK("http://secrets.rutgers.edu:8080/data/asl-ftp/asllvd/demos/verify_start_end_handshape_annotations//test_auto_move//signs_mov_separ_signers/Naomi_15100.mov","MOV")</f>
        <v>21</v>
      </c>
    </row>
    <row r="1540" s="2" customFormat="1" ht="13.5" customHeight="1">
      <c r="B1540" s="13"/>
      <c r="C1540" t="s" s="9">
        <v>30</v>
      </c>
      <c r="D1540" t="s" s="8">
        <v>548</v>
      </c>
      <c r="E1540" t="s" s="9">
        <v>551</v>
      </c>
      <c r="F1540" t="s" s="10">
        <v>65</v>
      </c>
      <c r="G1540" t="s" s="11">
        <v>65</v>
      </c>
      <c r="H1540" t="s" s="10">
        <v>65</v>
      </c>
      <c r="I1540" t="s" s="11">
        <v>65</v>
      </c>
      <c r="J1540" t="s" s="11">
        <v>20</v>
      </c>
      <c r="K1540" s="15"/>
      <c r="L1540" t="s" s="16">
        <f>HYPERLINK("http://csr.bu.edu/ftp/asl/asllvd/demos/verify_start_end_handshape_annotations//test_auto_move//signs_mov_separ_signers/Brady_15100.mov","MOV")</f>
        <v>21</v>
      </c>
      <c r="M1540" t="s" s="10">
        <v>31</v>
      </c>
      <c r="N1540" s="17">
        <v>32</v>
      </c>
      <c r="O1540" s="18">
        <v>1306</v>
      </c>
      <c r="P1540" s="18">
        <v>1341</v>
      </c>
      <c r="Q1540" s="15"/>
      <c r="R1540" t="s" s="16">
        <f>HYPERLINK("http://secrets.rutgers.edu:8080/data/asl-ftp/asllvd/demos/verify_start_end_handshape_annotations//test_auto_move//signs_mov_separ_signers/Brady_15100.mov","MOV")</f>
        <v>21</v>
      </c>
    </row>
    <row r="1541" s="2" customFormat="1" ht="13.5" customHeight="1">
      <c r="B1541" s="13"/>
      <c r="C1541" t="s" s="9">
        <v>30</v>
      </c>
      <c r="D1541" t="s" s="8">
        <v>548</v>
      </c>
      <c r="E1541" t="s" s="9">
        <v>551</v>
      </c>
      <c r="F1541" t="s" s="10">
        <v>65</v>
      </c>
      <c r="G1541" t="s" s="11">
        <v>65</v>
      </c>
      <c r="H1541" t="s" s="10">
        <v>65</v>
      </c>
      <c r="I1541" t="s" s="11">
        <v>65</v>
      </c>
      <c r="J1541" t="s" s="11">
        <v>20</v>
      </c>
      <c r="K1541" s="15"/>
      <c r="L1541" t="s" s="16">
        <f>HYPERLINK("http://csr.bu.edu/ftp/asl/asllvd/demos/verify_start_end_handshape_annotations//test_auto_move//signs_mov_separ_signers/Brady_16515.mov","MOV")</f>
        <v>21</v>
      </c>
      <c r="M1541" t="s" s="10">
        <v>40</v>
      </c>
      <c r="N1541" s="17">
        <v>5</v>
      </c>
      <c r="O1541" s="18">
        <v>1448</v>
      </c>
      <c r="P1541" s="18">
        <v>1496</v>
      </c>
      <c r="Q1541" s="15"/>
      <c r="R1541" t="s" s="16">
        <f>HYPERLINK("http://secrets.rutgers.edu:8080/data/asl-ftp/asllvd/demos/verify_start_end_handshape_annotations//test_auto_move//signs_mov_separ_signers/Brady_16515.mov","MOV")</f>
        <v>21</v>
      </c>
    </row>
    <row r="1542" s="2" customFormat="1" ht="13.5" customHeight="1">
      <c r="B1542" t="s" s="8">
        <v>552</v>
      </c>
      <c r="C1542" t="s" s="9">
        <v>14</v>
      </c>
      <c r="D1542" t="s" s="8">
        <v>14</v>
      </c>
      <c r="E1542" t="s" s="9">
        <v>14</v>
      </c>
      <c r="F1542" t="s" s="10">
        <v>14</v>
      </c>
      <c r="G1542" t="s" s="11">
        <v>14</v>
      </c>
      <c r="H1542" t="s" s="10">
        <v>14</v>
      </c>
      <c r="I1542" t="s" s="11">
        <v>14</v>
      </c>
      <c r="J1542" t="s" s="11">
        <v>14</v>
      </c>
      <c r="K1542" t="s" s="12">
        <v>14</v>
      </c>
      <c r="L1542" t="s" s="12">
        <v>14</v>
      </c>
      <c r="M1542" t="s" s="10">
        <v>14</v>
      </c>
      <c r="N1542" t="s" s="11">
        <v>14</v>
      </c>
      <c r="O1542" t="s" s="8">
        <v>14</v>
      </c>
      <c r="P1542" t="s" s="8">
        <v>14</v>
      </c>
      <c r="Q1542" t="s" s="12">
        <v>14</v>
      </c>
      <c r="R1542" t="s" s="12">
        <v>14</v>
      </c>
    </row>
    <row r="1543" s="2" customFormat="1" ht="13.5" customHeight="1">
      <c r="B1543" s="13"/>
      <c r="C1543" t="s" s="9">
        <v>16</v>
      </c>
      <c r="D1543" t="s" s="8">
        <v>552</v>
      </c>
      <c r="E1543" t="s" s="9">
        <v>552</v>
      </c>
      <c r="F1543" t="s" s="10">
        <v>152</v>
      </c>
      <c r="G1543" s="14"/>
      <c r="H1543" t="s" s="10">
        <v>152</v>
      </c>
      <c r="I1543" s="14"/>
      <c r="J1543" t="s" s="11">
        <v>20</v>
      </c>
      <c r="K1543" s="15"/>
      <c r="L1543" t="s" s="16">
        <f>HYPERLINK("http://csr.bu.edu/ftp/asl/asllvd/demos/verify_start_end_handshape_annotations//test_auto_move//signs_mov_separ_signers/Liz_338.mov","MOV")</f>
        <v>21</v>
      </c>
      <c r="M1543" t="s" s="10">
        <v>22</v>
      </c>
      <c r="N1543" s="17">
        <v>57</v>
      </c>
      <c r="O1543" s="18">
        <v>1210</v>
      </c>
      <c r="P1543" s="18">
        <v>1240</v>
      </c>
      <c r="Q1543" s="15"/>
      <c r="R1543" t="s" s="16">
        <f>HYPERLINK("http://secrets.rutgers.edu:8080/data/asl-ftp/asllvd/demos/verify_start_end_handshape_annotations//test_auto_move//signs_mov_separ_signers/Liz_338.mov","MOV")</f>
        <v>21</v>
      </c>
    </row>
    <row r="1544" s="2" customFormat="1" ht="13.5" customHeight="1">
      <c r="B1544" s="13"/>
      <c r="C1544" t="s" s="9">
        <v>23</v>
      </c>
      <c r="D1544" t="s" s="8">
        <v>552</v>
      </c>
      <c r="E1544" t="s" s="9">
        <v>552</v>
      </c>
      <c r="F1544" t="s" s="10">
        <v>152</v>
      </c>
      <c r="G1544" s="14"/>
      <c r="H1544" t="s" s="10">
        <v>152</v>
      </c>
      <c r="I1544" s="14"/>
      <c r="J1544" t="s" s="11">
        <v>20</v>
      </c>
      <c r="K1544" s="15"/>
      <c r="L1544" t="s" s="16">
        <f>HYPERLINK("http://csr.bu.edu/ftp/asl/asllvd/demos/verify_start_end_handshape_annotations//test_auto_move//signs_mov_separ_signers/Tyler_338.mov","MOV")</f>
        <v>21</v>
      </c>
      <c r="M1544" t="s" s="10">
        <v>26</v>
      </c>
      <c r="N1544" s="17">
        <v>35</v>
      </c>
      <c r="O1544" s="18">
        <v>2085</v>
      </c>
      <c r="P1544" s="18">
        <v>2115</v>
      </c>
      <c r="Q1544" s="15"/>
      <c r="R1544" t="s" s="16">
        <f>HYPERLINK("http://secrets.rutgers.edu:8080/data/asl-ftp/asllvd/demos/verify_start_end_handshape_annotations//test_auto_move//signs_mov_separ_signers/Tyler_338.mov","MOV")</f>
        <v>21</v>
      </c>
    </row>
    <row r="1545" s="2" customFormat="1" ht="13.5" customHeight="1">
      <c r="B1545" s="13"/>
      <c r="C1545" t="s" s="9">
        <v>27</v>
      </c>
      <c r="D1545" t="s" s="8">
        <v>552</v>
      </c>
      <c r="E1545" t="s" s="9">
        <v>552</v>
      </c>
      <c r="F1545" t="s" s="10">
        <v>55</v>
      </c>
      <c r="G1545" s="14"/>
      <c r="H1545" t="s" s="10">
        <v>55</v>
      </c>
      <c r="I1545" s="14"/>
      <c r="J1545" t="s" s="11">
        <v>20</v>
      </c>
      <c r="K1545" t="s" s="16">
        <f>HYPERLINK("http://csr.bu.edu/ftp/asl/asllvd/demos/verify_start_end_handshape_annotations//test_auto_move//signs_mov/338.mov","MOV")</f>
        <v>21</v>
      </c>
      <c r="L1545" t="s" s="16">
        <f>HYPERLINK("http://csr.bu.edu/ftp/asl/asllvd/demos/verify_start_end_handshape_annotations//test_auto_move//signs_mov_separ_signers/Naomi_338.mov","MOV")</f>
        <v>21</v>
      </c>
      <c r="M1545" t="s" s="10">
        <v>29</v>
      </c>
      <c r="N1545" s="17">
        <v>36</v>
      </c>
      <c r="O1545" s="18">
        <v>2258</v>
      </c>
      <c r="P1545" s="18">
        <v>2280</v>
      </c>
      <c r="Q1545" t="s" s="16">
        <f>HYPERLINK("http://secrets.rutgers.edu:8080/data/asl-ftp/asllvd/demos/verify_start_end_handshape_annotations//test_auto_move//signs_mov/338.mov","MOV")</f>
        <v>21</v>
      </c>
      <c r="R1545" t="s" s="16">
        <f>HYPERLINK("http://secrets.rutgers.edu:8080/data/asl-ftp/asllvd/demos/verify_start_end_handshape_annotations//test_auto_move//signs_mov_separ_signers/Naomi_338.mov","MOV")</f>
        <v>21</v>
      </c>
    </row>
    <row r="1546" s="2" customFormat="1" ht="13.5" customHeight="1">
      <c r="B1546" s="13"/>
      <c r="C1546" t="s" s="9">
        <v>30</v>
      </c>
      <c r="D1546" t="s" s="8">
        <v>552</v>
      </c>
      <c r="E1546" t="s" s="9">
        <v>552</v>
      </c>
      <c r="F1546" t="s" s="10">
        <v>55</v>
      </c>
      <c r="G1546" s="14"/>
      <c r="H1546" t="s" s="10">
        <v>55</v>
      </c>
      <c r="I1546" s="14"/>
      <c r="J1546" t="s" s="11">
        <v>20</v>
      </c>
      <c r="K1546" s="15"/>
      <c r="L1546" t="s" s="16">
        <f>HYPERLINK("http://csr.bu.edu/ftp/asl/asllvd/demos/verify_start_end_handshape_annotations//test_auto_move//signs_mov_separ_signers/Brady_338.mov","MOV")</f>
        <v>21</v>
      </c>
      <c r="M1546" t="s" s="10">
        <v>31</v>
      </c>
      <c r="N1546" s="17">
        <v>23</v>
      </c>
      <c r="O1546" s="18">
        <v>16898</v>
      </c>
      <c r="P1546" s="18">
        <v>16918</v>
      </c>
      <c r="Q1546" s="15"/>
      <c r="R1546" t="s" s="16">
        <f>HYPERLINK("http://secrets.rutgers.edu:8080/data/asl-ftp/asllvd/demos/verify_start_end_handshape_annotations//test_auto_move//signs_mov_separ_signers/Brady_338.mov","MOV")</f>
        <v>21</v>
      </c>
    </row>
    <row r="1547" s="2" customFormat="1" ht="13.5" customHeight="1">
      <c r="B1547" s="13"/>
      <c r="C1547" t="s" s="9">
        <v>41</v>
      </c>
      <c r="D1547" t="s" s="8">
        <v>552</v>
      </c>
      <c r="E1547" t="s" s="9">
        <v>552</v>
      </c>
      <c r="F1547" t="s" s="10">
        <v>152</v>
      </c>
      <c r="G1547" s="14"/>
      <c r="H1547" t="s" s="10">
        <v>152</v>
      </c>
      <c r="I1547" s="14"/>
      <c r="J1547" t="s" s="11">
        <v>20</v>
      </c>
      <c r="K1547" s="15"/>
      <c r="L1547" t="s" s="16">
        <f>HYPERLINK("http://csr.bu.edu/ftp/asl/asllvd/demos/verify_start_end_handshape_annotations//test_auto_move//signs_mov_separ_signers/Lana_338.mov","MOV")</f>
        <v>21</v>
      </c>
      <c r="M1547" t="s" s="10">
        <v>42</v>
      </c>
      <c r="N1547" s="17">
        <v>4</v>
      </c>
      <c r="O1547" s="18">
        <v>2707</v>
      </c>
      <c r="P1547" s="18">
        <v>2727</v>
      </c>
      <c r="Q1547" s="15"/>
      <c r="R1547" t="s" s="16">
        <f>HYPERLINK("http://secrets.rutgers.edu:8080/data/asl-ftp/asllvd/demos/verify_start_end_handshape_annotations//test_auto_move//signs_mov_separ_signers/Lana_338.mov","MOV")</f>
        <v>21</v>
      </c>
    </row>
    <row r="1548" s="2" customFormat="1" ht="13.5" customHeight="1">
      <c r="B1548" s="13"/>
      <c r="C1548" t="s" s="9">
        <v>43</v>
      </c>
      <c r="D1548" t="s" s="8">
        <v>552</v>
      </c>
      <c r="E1548" t="s" s="9">
        <v>552</v>
      </c>
      <c r="F1548" t="s" s="10">
        <v>152</v>
      </c>
      <c r="G1548" s="14"/>
      <c r="H1548" t="s" s="10">
        <v>152</v>
      </c>
      <c r="I1548" s="14"/>
      <c r="J1548" t="s" s="11">
        <v>20</v>
      </c>
      <c r="K1548" s="15"/>
      <c r="L1548" t="s" s="16">
        <f>HYPERLINK("http://csr.bu.edu/ftp/asl/asllvd/demos/verify_start_end_handshape_annotations//test_auto_move//signs_mov_separ_signers/Dana_338.mov","MOV")</f>
        <v>21</v>
      </c>
      <c r="M1548" t="s" s="10">
        <v>44</v>
      </c>
      <c r="N1548" s="17">
        <v>8</v>
      </c>
      <c r="O1548" s="18">
        <v>2752</v>
      </c>
      <c r="P1548" s="18">
        <v>2784</v>
      </c>
      <c r="Q1548" s="15"/>
      <c r="R1548" t="s" s="16">
        <f>HYPERLINK("http://secrets.rutgers.edu:8080/data/asl-ftp/asllvd/demos/verify_start_end_handshape_annotations//test_auto_move//signs_mov_separ_signers/Dana_338.mov","MOV")</f>
        <v>21</v>
      </c>
    </row>
    <row r="1549" s="2" customFormat="1" ht="13.5" customHeight="1">
      <c r="B1549" t="s" s="8">
        <v>553</v>
      </c>
      <c r="C1549" t="s" s="9">
        <v>14</v>
      </c>
      <c r="D1549" t="s" s="8">
        <v>14</v>
      </c>
      <c r="E1549" t="s" s="9">
        <v>14</v>
      </c>
      <c r="F1549" t="s" s="10">
        <v>14</v>
      </c>
      <c r="G1549" t="s" s="11">
        <v>14</v>
      </c>
      <c r="H1549" t="s" s="10">
        <v>14</v>
      </c>
      <c r="I1549" t="s" s="11">
        <v>14</v>
      </c>
      <c r="J1549" t="s" s="11">
        <v>14</v>
      </c>
      <c r="K1549" t="s" s="12">
        <v>14</v>
      </c>
      <c r="L1549" t="s" s="12">
        <v>14</v>
      </c>
      <c r="M1549" t="s" s="10">
        <v>14</v>
      </c>
      <c r="N1549" t="s" s="11">
        <v>14</v>
      </c>
      <c r="O1549" t="s" s="8">
        <v>14</v>
      </c>
      <c r="P1549" t="s" s="8">
        <v>14</v>
      </c>
      <c r="Q1549" t="s" s="12">
        <v>14</v>
      </c>
      <c r="R1549" t="s" s="12">
        <v>14</v>
      </c>
    </row>
    <row r="1550" s="2" customFormat="1" ht="13.5" customHeight="1">
      <c r="B1550" s="13"/>
      <c r="C1550" t="s" s="9">
        <v>16</v>
      </c>
      <c r="D1550" t="s" s="8">
        <v>553</v>
      </c>
      <c r="E1550" t="s" s="9">
        <v>553</v>
      </c>
      <c r="F1550" t="s" s="10">
        <v>55</v>
      </c>
      <c r="G1550" s="14"/>
      <c r="H1550" t="s" s="10">
        <v>55</v>
      </c>
      <c r="I1550" s="14"/>
      <c r="J1550" t="s" s="11">
        <v>20</v>
      </c>
      <c r="K1550" s="15"/>
      <c r="L1550" t="s" s="16">
        <f>HYPERLINK("http://csr.bu.edu/ftp/asl/asllvd/demos/verify_start_end_handshape_annotations//test_auto_move//signs_mov_separ_signers/Liz_15716.mov","MOV")</f>
        <v>21</v>
      </c>
      <c r="M1550" t="s" s="10">
        <v>22</v>
      </c>
      <c r="N1550" s="17">
        <v>37</v>
      </c>
      <c r="O1550" s="18">
        <v>875</v>
      </c>
      <c r="P1550" s="18">
        <v>910</v>
      </c>
      <c r="Q1550" s="15"/>
      <c r="R1550" t="s" s="16">
        <f>HYPERLINK("http://secrets.rutgers.edu:8080/data/asl-ftp/asllvd/demos/verify_start_end_handshape_annotations//test_auto_move//signs_mov_separ_signers/Liz_15716.mov","MOV")</f>
        <v>21</v>
      </c>
    </row>
    <row r="1551" s="2" customFormat="1" ht="13.5" customHeight="1">
      <c r="B1551" s="13"/>
      <c r="C1551" t="s" s="9">
        <v>23</v>
      </c>
      <c r="D1551" t="s" s="8">
        <v>553</v>
      </c>
      <c r="E1551" t="s" s="9">
        <v>553</v>
      </c>
      <c r="F1551" t="s" s="10">
        <v>55</v>
      </c>
      <c r="G1551" s="14"/>
      <c r="H1551" t="s" s="10">
        <v>55</v>
      </c>
      <c r="I1551" s="14"/>
      <c r="J1551" t="s" s="11">
        <v>20</v>
      </c>
      <c r="K1551" s="15"/>
      <c r="L1551" t="s" s="16">
        <f>HYPERLINK("http://csr.bu.edu/ftp/asl/asllvd/demos/verify_start_end_handshape_annotations//test_auto_move//signs_mov_separ_signers/Tyler_15716.mov","MOV")</f>
        <v>21</v>
      </c>
      <c r="M1551" t="s" s="10">
        <v>26</v>
      </c>
      <c r="N1551" s="17">
        <v>24</v>
      </c>
      <c r="O1551" s="18">
        <v>266</v>
      </c>
      <c r="P1551" s="18">
        <v>320</v>
      </c>
      <c r="Q1551" s="15"/>
      <c r="R1551" t="s" s="16">
        <f>HYPERLINK("http://secrets.rutgers.edu:8080/data/asl-ftp/asllvd/demos/verify_start_end_handshape_annotations//test_auto_move//signs_mov_separ_signers/Tyler_15716.mov","MOV")</f>
        <v>21</v>
      </c>
    </row>
    <row r="1552" s="2" customFormat="1" ht="13.5" customHeight="1">
      <c r="B1552" s="13"/>
      <c r="C1552" t="s" s="9">
        <v>27</v>
      </c>
      <c r="D1552" t="s" s="8">
        <v>553</v>
      </c>
      <c r="E1552" t="s" s="9">
        <v>553</v>
      </c>
      <c r="F1552" t="s" s="10">
        <v>55</v>
      </c>
      <c r="G1552" s="14"/>
      <c r="H1552" t="s" s="10">
        <v>55</v>
      </c>
      <c r="I1552" s="14"/>
      <c r="J1552" t="s" s="11">
        <v>20</v>
      </c>
      <c r="K1552" t="s" s="16">
        <f>HYPERLINK("http://csr.bu.edu/ftp/asl/asllvd/demos/verify_start_end_handshape_annotations//test_auto_move//signs_mov/15716.mov","MOV")</f>
        <v>21</v>
      </c>
      <c r="L1552" t="s" s="16">
        <f>HYPERLINK("http://csr.bu.edu/ftp/asl/asllvd/demos/verify_start_end_handshape_annotations//test_auto_move//signs_mov_separ_signers/Naomi_15716.mov","MOV")</f>
        <v>21</v>
      </c>
      <c r="M1552" t="s" s="10">
        <v>29</v>
      </c>
      <c r="N1552" s="17">
        <v>25</v>
      </c>
      <c r="O1552" s="18">
        <v>232</v>
      </c>
      <c r="P1552" s="18">
        <v>265</v>
      </c>
      <c r="Q1552" t="s" s="16">
        <f>HYPERLINK("http://secrets.rutgers.edu:8080/data/asl-ftp/asllvd/demos/verify_start_end_handshape_annotations//test_auto_move//signs_mov/15716.mov","MOV")</f>
        <v>21</v>
      </c>
      <c r="R1552" t="s" s="16">
        <f>HYPERLINK("http://secrets.rutgers.edu:8080/data/asl-ftp/asllvd/demos/verify_start_end_handshape_annotations//test_auto_move//signs_mov_separ_signers/Naomi_15716.mov","MOV")</f>
        <v>21</v>
      </c>
    </row>
    <row r="1553" s="2" customFormat="1" ht="13.5" customHeight="1">
      <c r="B1553" s="13"/>
      <c r="C1553" t="s" s="9">
        <v>30</v>
      </c>
      <c r="D1553" t="s" s="8">
        <v>553</v>
      </c>
      <c r="E1553" t="s" s="9">
        <v>553</v>
      </c>
      <c r="F1553" t="s" s="10">
        <v>55</v>
      </c>
      <c r="G1553" s="14"/>
      <c r="H1553" t="s" s="10">
        <v>55</v>
      </c>
      <c r="I1553" s="14"/>
      <c r="J1553" t="s" s="11">
        <v>20</v>
      </c>
      <c r="K1553" s="15"/>
      <c r="L1553" t="s" s="16">
        <f>HYPERLINK("http://csr.bu.edu/ftp/asl/asllvd/demos/verify_start_end_handshape_annotations//test_auto_move//signs_mov_separ_signers/Brady_15716.mov","MOV")</f>
        <v>21</v>
      </c>
      <c r="M1553" t="s" s="10">
        <v>31</v>
      </c>
      <c r="N1553" s="17">
        <v>18</v>
      </c>
      <c r="O1553" s="18">
        <v>5340</v>
      </c>
      <c r="P1553" s="18">
        <v>5365</v>
      </c>
      <c r="Q1553" s="15"/>
      <c r="R1553" t="s" s="16">
        <f>HYPERLINK("http://secrets.rutgers.edu:8080/data/asl-ftp/asllvd/demos/verify_start_end_handshape_annotations//test_auto_move//signs_mov_separ_signers/Brady_15716.mov","MOV")</f>
        <v>21</v>
      </c>
    </row>
    <row r="1554" s="2" customFormat="1" ht="13.5" customHeight="1">
      <c r="B1554" s="13"/>
      <c r="C1554" t="s" s="9">
        <v>41</v>
      </c>
      <c r="D1554" t="s" s="8">
        <v>553</v>
      </c>
      <c r="E1554" t="s" s="9">
        <v>553</v>
      </c>
      <c r="F1554" t="s" s="10">
        <v>55</v>
      </c>
      <c r="G1554" s="14"/>
      <c r="H1554" t="s" s="10">
        <v>55</v>
      </c>
      <c r="I1554" s="14"/>
      <c r="J1554" t="s" s="11">
        <v>20</v>
      </c>
      <c r="K1554" s="15"/>
      <c r="L1554" t="s" s="16">
        <f>HYPERLINK("http://csr.bu.edu/ftp/asl/asllvd/demos/verify_start_end_handshape_annotations//test_auto_move//signs_mov_separ_signers/Lana_15716.mov","MOV")</f>
        <v>21</v>
      </c>
      <c r="M1554" t="s" s="10">
        <v>42</v>
      </c>
      <c r="N1554" s="17">
        <v>3</v>
      </c>
      <c r="O1554" s="18">
        <v>2740</v>
      </c>
      <c r="P1554" s="18">
        <v>2774</v>
      </c>
      <c r="Q1554" s="15"/>
      <c r="R1554" t="s" s="16">
        <f>HYPERLINK("http://secrets.rutgers.edu:8080/data/asl-ftp/asllvd/demos/verify_start_end_handshape_annotations//test_auto_move//signs_mov_separ_signers/Lana_15716.mov","MOV")</f>
        <v>21</v>
      </c>
    </row>
    <row r="1555" s="2" customFormat="1" ht="13.5" customHeight="1">
      <c r="B1555" s="13"/>
      <c r="C1555" t="s" s="9">
        <v>43</v>
      </c>
      <c r="D1555" t="s" s="8">
        <v>553</v>
      </c>
      <c r="E1555" t="s" s="9">
        <v>553</v>
      </c>
      <c r="F1555" t="s" s="10">
        <v>152</v>
      </c>
      <c r="G1555" s="14"/>
      <c r="H1555" t="s" s="10">
        <v>152</v>
      </c>
      <c r="I1555" s="14"/>
      <c r="J1555" t="s" s="11">
        <v>20</v>
      </c>
      <c r="K1555" s="15"/>
      <c r="L1555" t="s" s="16">
        <f>HYPERLINK("http://csr.bu.edu/ftp/asl/asllvd/demos/verify_start_end_handshape_annotations//test_auto_move//signs_mov_separ_signers/Dana_15716.mov","MOV")</f>
        <v>21</v>
      </c>
      <c r="M1555" t="s" s="10">
        <v>44</v>
      </c>
      <c r="N1555" s="17">
        <v>7</v>
      </c>
      <c r="O1555" s="18">
        <v>2875</v>
      </c>
      <c r="P1555" s="18">
        <v>2935</v>
      </c>
      <c r="Q1555" s="15"/>
      <c r="R1555" t="s" s="16">
        <f>HYPERLINK("http://secrets.rutgers.edu:8080/data/asl-ftp/asllvd/demos/verify_start_end_handshape_annotations//test_auto_move//signs_mov_separ_signers/Dana_15716.mov","MOV")</f>
        <v>21</v>
      </c>
    </row>
    <row r="1556" s="2" customFormat="1" ht="13.5" customHeight="1">
      <c r="B1556" t="s" s="8">
        <v>554</v>
      </c>
      <c r="C1556" t="s" s="9">
        <v>14</v>
      </c>
      <c r="D1556" t="s" s="8">
        <v>14</v>
      </c>
      <c r="E1556" t="s" s="9">
        <v>14</v>
      </c>
      <c r="F1556" t="s" s="10">
        <v>14</v>
      </c>
      <c r="G1556" t="s" s="11">
        <v>14</v>
      </c>
      <c r="H1556" t="s" s="10">
        <v>14</v>
      </c>
      <c r="I1556" t="s" s="11">
        <v>14</v>
      </c>
      <c r="J1556" t="s" s="11">
        <v>14</v>
      </c>
      <c r="K1556" t="s" s="12">
        <v>14</v>
      </c>
      <c r="L1556" t="s" s="12">
        <v>14</v>
      </c>
      <c r="M1556" t="s" s="10">
        <v>14</v>
      </c>
      <c r="N1556" t="s" s="11">
        <v>14</v>
      </c>
      <c r="O1556" t="s" s="8">
        <v>14</v>
      </c>
      <c r="P1556" t="s" s="8">
        <v>14</v>
      </c>
      <c r="Q1556" t="s" s="12">
        <v>14</v>
      </c>
      <c r="R1556" t="s" s="12">
        <v>14</v>
      </c>
    </row>
    <row r="1557" s="2" customFormat="1" ht="13.5" customHeight="1">
      <c r="B1557" s="13"/>
      <c r="C1557" t="s" s="9">
        <v>27</v>
      </c>
      <c r="D1557" t="s" s="8">
        <v>554</v>
      </c>
      <c r="E1557" t="s" s="9">
        <v>554</v>
      </c>
      <c r="F1557" t="s" s="10">
        <v>65</v>
      </c>
      <c r="G1557" s="14"/>
      <c r="H1557" t="s" s="10">
        <v>65</v>
      </c>
      <c r="I1557" s="14"/>
      <c r="J1557" t="s" s="11">
        <v>20</v>
      </c>
      <c r="K1557" t="s" s="16">
        <f>HYPERLINK("http://csr.bu.edu/ftp/asl/asllvd/demos/verify_start_end_handshape_annotations//test_auto_move//signs_mov/339.mov","MOV")</f>
        <v>21</v>
      </c>
      <c r="L1557" t="s" s="16">
        <f>HYPERLINK("http://csr.bu.edu/ftp/asl/asllvd/demos/verify_start_end_handshape_annotations//test_auto_move//signs_mov_separ_signers/Naomi_339.mov","MOV")</f>
        <v>21</v>
      </c>
      <c r="M1557" t="s" s="10">
        <v>29</v>
      </c>
      <c r="N1557" s="17">
        <v>36</v>
      </c>
      <c r="O1557" s="18">
        <v>2617</v>
      </c>
      <c r="P1557" s="18">
        <v>2690</v>
      </c>
      <c r="Q1557" t="s" s="16">
        <f>HYPERLINK("http://secrets.rutgers.edu:8080/data/asl-ftp/asllvd/demos/verify_start_end_handshape_annotations//test_auto_move//signs_mov/339.mov","MOV")</f>
        <v>21</v>
      </c>
      <c r="R1557" t="s" s="16">
        <f>HYPERLINK("http://secrets.rutgers.edu:8080/data/asl-ftp/asllvd/demos/verify_start_end_handshape_annotations//test_auto_move//signs_mov_separ_signers/Naomi_339.mov","MOV")</f>
        <v>21</v>
      </c>
    </row>
    <row r="1558" s="2" customFormat="1" ht="13.5" customHeight="1">
      <c r="B1558" s="13"/>
      <c r="C1558" t="s" s="9">
        <v>30</v>
      </c>
      <c r="D1558" t="s" s="8">
        <v>554</v>
      </c>
      <c r="E1558" t="s" s="9">
        <v>554</v>
      </c>
      <c r="F1558" t="s" s="10">
        <v>65</v>
      </c>
      <c r="G1558" s="14"/>
      <c r="H1558" t="s" s="10">
        <v>65</v>
      </c>
      <c r="I1558" s="14"/>
      <c r="J1558" t="s" s="11">
        <v>20</v>
      </c>
      <c r="K1558" s="15"/>
      <c r="L1558" t="s" s="16">
        <f>HYPERLINK("http://csr.bu.edu/ftp/asl/asllvd/demos/verify_start_end_handshape_annotations//test_auto_move//signs_mov_separ_signers/Brady_339.mov","MOV")</f>
        <v>21</v>
      </c>
      <c r="M1558" t="s" s="10">
        <v>31</v>
      </c>
      <c r="N1558" s="17">
        <v>24</v>
      </c>
      <c r="O1558" s="18">
        <v>179</v>
      </c>
      <c r="P1558" s="18">
        <v>237</v>
      </c>
      <c r="Q1558" s="15"/>
      <c r="R1558" t="s" s="16">
        <f>HYPERLINK("http://secrets.rutgers.edu:8080/data/asl-ftp/asllvd/demos/verify_start_end_handshape_annotations//test_auto_move//signs_mov_separ_signers/Brady_339.mov","MOV")</f>
        <v>21</v>
      </c>
    </row>
    <row r="1559" s="2" customFormat="1" ht="13.5" customHeight="1">
      <c r="B1559" t="s" s="8">
        <v>52</v>
      </c>
      <c r="C1559" t="s" s="9">
        <v>53</v>
      </c>
      <c r="D1559" t="s" s="8">
        <v>53</v>
      </c>
      <c r="E1559" t="s" s="9">
        <v>53</v>
      </c>
      <c r="F1559" t="s" s="10">
        <v>53</v>
      </c>
      <c r="G1559" t="s" s="11">
        <v>53</v>
      </c>
      <c r="H1559" t="s" s="10">
        <v>53</v>
      </c>
      <c r="I1559" t="s" s="11">
        <v>53</v>
      </c>
      <c r="J1559" t="s" s="11">
        <v>53</v>
      </c>
      <c r="K1559" t="s" s="12">
        <v>53</v>
      </c>
      <c r="L1559" t="s" s="12">
        <v>53</v>
      </c>
      <c r="M1559" t="s" s="10">
        <v>53</v>
      </c>
      <c r="N1559" t="s" s="11">
        <v>53</v>
      </c>
      <c r="O1559" t="s" s="8">
        <v>53</v>
      </c>
      <c r="P1559" t="s" s="8">
        <v>53</v>
      </c>
      <c r="Q1559" t="s" s="12">
        <v>53</v>
      </c>
      <c r="R1559" t="s" s="12">
        <v>53</v>
      </c>
    </row>
    <row r="1560" s="2" customFormat="1" ht="13.5" customHeight="1">
      <c r="B1560" s="13"/>
      <c r="C1560" t="s" s="9">
        <v>16</v>
      </c>
      <c r="D1560" t="s" s="8">
        <v>554</v>
      </c>
      <c r="E1560" t="s" s="9">
        <v>555</v>
      </c>
      <c r="F1560" t="s" s="10">
        <v>63</v>
      </c>
      <c r="G1560" s="14"/>
      <c r="H1560" t="s" s="10">
        <v>63</v>
      </c>
      <c r="I1560" s="14"/>
      <c r="J1560" t="s" s="11">
        <v>20</v>
      </c>
      <c r="K1560" t="s" s="16">
        <f>HYPERLINK("http://csr.bu.edu/ftp/asl/asllvd/demos/verify_start_end_handshape_annotations//test_auto_move//signs_mov/5117.mov","MOV")</f>
        <v>21</v>
      </c>
      <c r="L1560" t="s" s="16">
        <f>HYPERLINK("http://csr.bu.edu/ftp/asl/asllvd/demos/verify_start_end_handshape_annotations//test_auto_move//signs_mov_separ_signers/Liz_5117.mov","MOV")</f>
        <v>21</v>
      </c>
      <c r="M1560" t="s" s="10">
        <v>22</v>
      </c>
      <c r="N1560" s="17">
        <v>57</v>
      </c>
      <c r="O1560" s="18">
        <v>1455</v>
      </c>
      <c r="P1560" s="18">
        <v>1540</v>
      </c>
      <c r="Q1560" t="s" s="16">
        <f>HYPERLINK("http://secrets.rutgers.edu:8080/data/asl-ftp/asllvd/demos/verify_start_end_handshape_annotations//test_auto_move//signs_mov/5117.mov","MOV")</f>
        <v>21</v>
      </c>
      <c r="R1560" t="s" s="16">
        <f>HYPERLINK("http://secrets.rutgers.edu:8080/data/asl-ftp/asllvd/demos/verify_start_end_handshape_annotations//test_auto_move//signs_mov_separ_signers/Liz_5117.mov","MOV")</f>
        <v>21</v>
      </c>
    </row>
    <row r="1561" s="2" customFormat="1" ht="13.5" customHeight="1">
      <c r="B1561" t="s" s="8">
        <v>52</v>
      </c>
      <c r="C1561" t="s" s="9">
        <v>53</v>
      </c>
      <c r="D1561" t="s" s="8">
        <v>53</v>
      </c>
      <c r="E1561" t="s" s="9">
        <v>53</v>
      </c>
      <c r="F1561" t="s" s="10">
        <v>53</v>
      </c>
      <c r="G1561" t="s" s="11">
        <v>53</v>
      </c>
      <c r="H1561" t="s" s="10">
        <v>53</v>
      </c>
      <c r="I1561" t="s" s="11">
        <v>53</v>
      </c>
      <c r="J1561" t="s" s="11">
        <v>53</v>
      </c>
      <c r="K1561" t="s" s="12">
        <v>53</v>
      </c>
      <c r="L1561" t="s" s="12">
        <v>53</v>
      </c>
      <c r="M1561" t="s" s="10">
        <v>53</v>
      </c>
      <c r="N1561" t="s" s="11">
        <v>53</v>
      </c>
      <c r="O1561" t="s" s="8">
        <v>53</v>
      </c>
      <c r="P1561" t="s" s="8">
        <v>53</v>
      </c>
      <c r="Q1561" t="s" s="12">
        <v>53</v>
      </c>
      <c r="R1561" t="s" s="12">
        <v>53</v>
      </c>
    </row>
    <row r="1562" s="2" customFormat="1" ht="13.5" customHeight="1">
      <c r="B1562" s="13"/>
      <c r="C1562" t="s" s="9">
        <v>23</v>
      </c>
      <c r="D1562" t="s" s="8">
        <v>554</v>
      </c>
      <c r="E1562" t="s" s="9">
        <v>556</v>
      </c>
      <c r="F1562" t="s" s="10">
        <v>119</v>
      </c>
      <c r="G1562" s="14"/>
      <c r="H1562" t="s" s="10">
        <v>119</v>
      </c>
      <c r="I1562" s="14"/>
      <c r="J1562" t="s" s="11">
        <v>20</v>
      </c>
      <c r="K1562" t="s" s="16">
        <f>HYPERLINK("http://csr.bu.edu/ftp/asl/asllvd/demos/verify_start_end_handshape_annotations//test_auto_move//signs_mov/16533.mov","MOV")</f>
        <v>21</v>
      </c>
      <c r="L1562" t="s" s="16">
        <f>HYPERLINK("http://csr.bu.edu/ftp/asl/asllvd/demos/verify_start_end_handshape_annotations//test_auto_move//signs_mov_separ_signers/Tyler_16533.mov","MOV")</f>
        <v>21</v>
      </c>
      <c r="M1562" t="s" s="10">
        <v>26</v>
      </c>
      <c r="N1562" s="17">
        <v>35</v>
      </c>
      <c r="O1562" s="18">
        <v>2865</v>
      </c>
      <c r="P1562" s="18">
        <v>2941</v>
      </c>
      <c r="Q1562" t="s" s="16">
        <f>HYPERLINK("http://secrets.rutgers.edu:8080/data/asl-ftp/asllvd/demos/verify_start_end_handshape_annotations//test_auto_move//signs_mov/16533.mov","MOV")</f>
        <v>21</v>
      </c>
      <c r="R1562" t="s" s="16">
        <f>HYPERLINK("http://secrets.rutgers.edu:8080/data/asl-ftp/asllvd/demos/verify_start_end_handshape_annotations//test_auto_move//signs_mov_separ_signers/Tyler_16533.mov","MOV")</f>
        <v>21</v>
      </c>
    </row>
    <row r="1563" s="2" customFormat="1" ht="13.5" customHeight="1">
      <c r="B1563" t="s" s="8">
        <v>557</v>
      </c>
      <c r="C1563" t="s" s="9">
        <v>14</v>
      </c>
      <c r="D1563" t="s" s="8">
        <v>14</v>
      </c>
      <c r="E1563" t="s" s="9">
        <v>14</v>
      </c>
      <c r="F1563" t="s" s="10">
        <v>14</v>
      </c>
      <c r="G1563" t="s" s="11">
        <v>14</v>
      </c>
      <c r="H1563" t="s" s="10">
        <v>14</v>
      </c>
      <c r="I1563" t="s" s="11">
        <v>14</v>
      </c>
      <c r="J1563" t="s" s="11">
        <v>14</v>
      </c>
      <c r="K1563" t="s" s="12">
        <v>14</v>
      </c>
      <c r="L1563" t="s" s="12">
        <v>14</v>
      </c>
      <c r="M1563" t="s" s="10">
        <v>14</v>
      </c>
      <c r="N1563" t="s" s="11">
        <v>14</v>
      </c>
      <c r="O1563" t="s" s="8">
        <v>14</v>
      </c>
      <c r="P1563" t="s" s="8">
        <v>14</v>
      </c>
      <c r="Q1563" t="s" s="12">
        <v>14</v>
      </c>
      <c r="R1563" t="s" s="12">
        <v>14</v>
      </c>
    </row>
    <row r="1564" s="2" customFormat="1" ht="13.5" customHeight="1">
      <c r="B1564" s="13"/>
      <c r="C1564" t="s" s="9">
        <v>16</v>
      </c>
      <c r="D1564" t="s" s="8">
        <v>557</v>
      </c>
      <c r="E1564" t="s" s="9">
        <v>557</v>
      </c>
      <c r="F1564" s="19">
        <v>3</v>
      </c>
      <c r="G1564" s="14"/>
      <c r="H1564" t="s" s="10">
        <v>373</v>
      </c>
      <c r="I1564" s="14"/>
      <c r="J1564" t="s" s="11">
        <v>20</v>
      </c>
      <c r="K1564" s="15"/>
      <c r="L1564" t="s" s="16">
        <f>HYPERLINK("http://csr.bu.edu/ftp/asl/asllvd/demos/verify_start_end_handshape_annotations//test_auto_move//signs_mov_separ_signers/Liz_342.mov","MOV")</f>
        <v>21</v>
      </c>
      <c r="M1564" t="s" s="10">
        <v>22</v>
      </c>
      <c r="N1564" s="17">
        <v>58</v>
      </c>
      <c r="O1564" s="18">
        <v>1556</v>
      </c>
      <c r="P1564" s="18">
        <v>1590</v>
      </c>
      <c r="Q1564" s="15"/>
      <c r="R1564" t="s" s="16">
        <f>HYPERLINK("http://secrets.rutgers.edu:8080/data/asl-ftp/asllvd/demos/verify_start_end_handshape_annotations//test_auto_move//signs_mov_separ_signers/Liz_342.mov","MOV")</f>
        <v>21</v>
      </c>
    </row>
    <row r="1565" s="2" customFormat="1" ht="13.5" customHeight="1">
      <c r="B1565" s="13"/>
      <c r="C1565" t="s" s="9">
        <v>23</v>
      </c>
      <c r="D1565" t="s" s="8">
        <v>557</v>
      </c>
      <c r="E1565" t="s" s="9">
        <v>558</v>
      </c>
      <c r="F1565" t="s" s="10">
        <v>373</v>
      </c>
      <c r="G1565" s="14"/>
      <c r="H1565" t="s" s="10">
        <v>373</v>
      </c>
      <c r="I1565" s="14"/>
      <c r="J1565" t="s" s="11">
        <v>20</v>
      </c>
      <c r="K1565" t="s" s="16">
        <f>HYPERLINK("http://csr.bu.edu/ftp/asl/asllvd/demos/verify_start_end_handshape_annotations//test_auto_move//signs_mov/342.mov","MOV")</f>
        <v>21</v>
      </c>
      <c r="L1565" t="s" s="16">
        <f>HYPERLINK("http://csr.bu.edu/ftp/asl/asllvd/demos/verify_start_end_handshape_annotations//test_auto_move//signs_mov_separ_signers/Tyler_342.mov","MOV")</f>
        <v>21</v>
      </c>
      <c r="M1565" t="s" s="10">
        <v>26</v>
      </c>
      <c r="N1565" s="17">
        <v>36</v>
      </c>
      <c r="O1565" s="18">
        <v>591</v>
      </c>
      <c r="P1565" s="18">
        <v>621</v>
      </c>
      <c r="Q1565" t="s" s="16">
        <f>HYPERLINK("http://secrets.rutgers.edu:8080/data/asl-ftp/asllvd/demos/verify_start_end_handshape_annotations//test_auto_move//signs_mov/342.mov","MOV")</f>
        <v>21</v>
      </c>
      <c r="R1565" t="s" s="16">
        <f>HYPERLINK("http://secrets.rutgers.edu:8080/data/asl-ftp/asllvd/demos/verify_start_end_handshape_annotations//test_auto_move//signs_mov_separ_signers/Tyler_342.mov","MOV")</f>
        <v>21</v>
      </c>
    </row>
    <row r="1566" s="2" customFormat="1" ht="13.5" customHeight="1">
      <c r="B1566" s="13"/>
      <c r="C1566" t="s" s="9">
        <v>27</v>
      </c>
      <c r="D1566" t="s" s="8">
        <v>557</v>
      </c>
      <c r="E1566" t="s" s="9">
        <v>557</v>
      </c>
      <c r="F1566" s="19">
        <v>3</v>
      </c>
      <c r="G1566" s="14"/>
      <c r="H1566" t="s" s="10">
        <v>373</v>
      </c>
      <c r="I1566" s="14"/>
      <c r="J1566" t="s" s="11">
        <v>20</v>
      </c>
      <c r="K1566" s="15"/>
      <c r="L1566" t="s" s="16">
        <f>HYPERLINK("http://csr.bu.edu/ftp/asl/asllvd/demos/verify_start_end_handshape_annotations//test_auto_move//signs_mov_separ_signers/Naomi_342.mov","MOV")</f>
        <v>21</v>
      </c>
      <c r="M1566" t="s" s="10">
        <v>29</v>
      </c>
      <c r="N1566" s="17">
        <v>37</v>
      </c>
      <c r="O1566" s="18">
        <v>702</v>
      </c>
      <c r="P1566" s="18">
        <v>720</v>
      </c>
      <c r="Q1566" s="15"/>
      <c r="R1566" t="s" s="16">
        <f>HYPERLINK("http://secrets.rutgers.edu:8080/data/asl-ftp/asllvd/demos/verify_start_end_handshape_annotations//test_auto_move//signs_mov_separ_signers/Naomi_342.mov","MOV")</f>
        <v>21</v>
      </c>
    </row>
    <row r="1567" s="2" customFormat="1" ht="13.5" customHeight="1">
      <c r="B1567" s="13"/>
      <c r="C1567" t="s" s="9">
        <v>30</v>
      </c>
      <c r="D1567" t="s" s="8">
        <v>557</v>
      </c>
      <c r="E1567" t="s" s="9">
        <v>557</v>
      </c>
      <c r="F1567" s="19">
        <v>3</v>
      </c>
      <c r="G1567" s="14"/>
      <c r="H1567" t="s" s="10">
        <v>373</v>
      </c>
      <c r="I1567" s="14"/>
      <c r="J1567" t="s" s="11">
        <v>20</v>
      </c>
      <c r="K1567" s="15"/>
      <c r="L1567" t="s" s="16">
        <f>HYPERLINK("http://csr.bu.edu/ftp/asl/asllvd/demos/verify_start_end_handshape_annotations//test_auto_move//signs_mov_separ_signers/Brady_342.mov","MOV")</f>
        <v>21</v>
      </c>
      <c r="M1567" t="s" s="10">
        <v>31</v>
      </c>
      <c r="N1567" s="17">
        <v>24</v>
      </c>
      <c r="O1567" s="18">
        <v>2013</v>
      </c>
      <c r="P1567" s="18">
        <v>2039</v>
      </c>
      <c r="Q1567" s="15"/>
      <c r="R1567" t="s" s="16">
        <f>HYPERLINK("http://secrets.rutgers.edu:8080/data/asl-ftp/asllvd/demos/verify_start_end_handshape_annotations//test_auto_move//signs_mov_separ_signers/Brady_342.mov","MOV")</f>
        <v>21</v>
      </c>
    </row>
    <row r="1568" s="2" customFormat="1" ht="13.5" customHeight="1">
      <c r="B1568" t="s" s="8">
        <v>559</v>
      </c>
      <c r="C1568" t="s" s="9">
        <v>14</v>
      </c>
      <c r="D1568" t="s" s="8">
        <v>14</v>
      </c>
      <c r="E1568" t="s" s="9">
        <v>14</v>
      </c>
      <c r="F1568" t="s" s="10">
        <v>14</v>
      </c>
      <c r="G1568" t="s" s="11">
        <v>14</v>
      </c>
      <c r="H1568" t="s" s="10">
        <v>14</v>
      </c>
      <c r="I1568" t="s" s="11">
        <v>14</v>
      </c>
      <c r="J1568" t="s" s="11">
        <v>14</v>
      </c>
      <c r="K1568" t="s" s="12">
        <v>14</v>
      </c>
      <c r="L1568" t="s" s="12">
        <v>14</v>
      </c>
      <c r="M1568" t="s" s="10">
        <v>14</v>
      </c>
      <c r="N1568" t="s" s="11">
        <v>14</v>
      </c>
      <c r="O1568" t="s" s="8">
        <v>14</v>
      </c>
      <c r="P1568" t="s" s="8">
        <v>14</v>
      </c>
      <c r="Q1568" t="s" s="12">
        <v>14</v>
      </c>
      <c r="R1568" t="s" s="12">
        <v>14</v>
      </c>
    </row>
    <row r="1569" s="2" customFormat="1" ht="13.5" customHeight="1">
      <c r="B1569" s="13"/>
      <c r="C1569" t="s" s="9">
        <v>16</v>
      </c>
      <c r="D1569" t="s" s="8">
        <v>559</v>
      </c>
      <c r="E1569" t="s" s="9">
        <v>559</v>
      </c>
      <c r="F1569" s="19">
        <v>3</v>
      </c>
      <c r="G1569" s="14"/>
      <c r="H1569" s="19">
        <v>3</v>
      </c>
      <c r="I1569" s="14"/>
      <c r="J1569" t="s" s="11">
        <v>20</v>
      </c>
      <c r="K1569" s="15"/>
      <c r="L1569" t="s" s="16">
        <f>HYPERLINK("http://csr.bu.edu/ftp/asl/asllvd/demos/verify_start_end_handshape_annotations//test_auto_move//signs_mov_separ_signers/Liz_15537.mov","MOV")</f>
        <v>21</v>
      </c>
      <c r="M1569" t="s" s="10">
        <v>34</v>
      </c>
      <c r="N1569" s="17">
        <v>54</v>
      </c>
      <c r="O1569" s="18">
        <v>5454</v>
      </c>
      <c r="P1569" s="18">
        <v>5505</v>
      </c>
      <c r="Q1569" s="15"/>
      <c r="R1569" t="s" s="16">
        <f>HYPERLINK("http://secrets.rutgers.edu:8080/data/asl-ftp/asllvd/demos/verify_start_end_handshape_annotations//test_auto_move//signs_mov_separ_signers/Liz_15537.mov","MOV")</f>
        <v>21</v>
      </c>
    </row>
    <row r="1570" s="2" customFormat="1" ht="13.5" customHeight="1">
      <c r="B1570" s="13"/>
      <c r="C1570" t="s" s="9">
        <v>23</v>
      </c>
      <c r="D1570" t="s" s="8">
        <v>559</v>
      </c>
      <c r="E1570" t="s" s="9">
        <v>559</v>
      </c>
      <c r="F1570" s="19">
        <v>3</v>
      </c>
      <c r="G1570" s="14"/>
      <c r="H1570" s="19">
        <v>3</v>
      </c>
      <c r="I1570" s="14"/>
      <c r="J1570" t="s" s="11">
        <v>20</v>
      </c>
      <c r="K1570" s="15"/>
      <c r="L1570" t="s" s="16">
        <f>HYPERLINK("http://csr.bu.edu/ftp/asl/asllvd/demos/verify_start_end_handshape_annotations//test_auto_move//signs_mov_separ_signers/Tyler_15537.mov","MOV")</f>
        <v>21</v>
      </c>
      <c r="M1570" t="s" s="10">
        <v>47</v>
      </c>
      <c r="N1570" s="17">
        <v>6</v>
      </c>
      <c r="O1570" s="18">
        <v>3827</v>
      </c>
      <c r="P1570" s="18">
        <v>3852</v>
      </c>
      <c r="Q1570" s="15"/>
      <c r="R1570" t="s" s="16">
        <f>HYPERLINK("http://secrets.rutgers.edu:8080/data/asl-ftp/asllvd/demos/verify_start_end_handshape_annotations//test_auto_move//signs_mov_separ_signers/Tyler_15537.mov","MOV")</f>
        <v>21</v>
      </c>
    </row>
    <row r="1571" s="2" customFormat="1" ht="13.5" customHeight="1">
      <c r="B1571" s="13"/>
      <c r="C1571" t="s" s="9">
        <v>27</v>
      </c>
      <c r="D1571" t="s" s="8">
        <v>559</v>
      </c>
      <c r="E1571" t="s" s="9">
        <v>559</v>
      </c>
      <c r="F1571" s="19">
        <v>3</v>
      </c>
      <c r="G1571" s="14"/>
      <c r="H1571" s="19">
        <v>3</v>
      </c>
      <c r="I1571" s="14"/>
      <c r="J1571" t="s" s="11">
        <v>20</v>
      </c>
      <c r="K1571" t="s" s="16">
        <f>HYPERLINK("http://csr.bu.edu/ftp/asl/asllvd/demos/verify_start_end_handshape_annotations//test_auto_move//signs_mov/15537.mov","MOV")</f>
        <v>21</v>
      </c>
      <c r="L1571" t="s" s="16">
        <f>HYPERLINK("http://csr.bu.edu/ftp/asl/asllvd/demos/verify_start_end_handshape_annotations//test_auto_move//signs_mov_separ_signers/Naomi_15537.mov","MOV")</f>
        <v>21</v>
      </c>
      <c r="M1571" t="s" s="10">
        <v>48</v>
      </c>
      <c r="N1571" s="17">
        <v>9</v>
      </c>
      <c r="O1571" s="18">
        <v>3385</v>
      </c>
      <c r="P1571" s="18">
        <v>3420</v>
      </c>
      <c r="Q1571" t="s" s="16">
        <f>HYPERLINK("http://secrets.rutgers.edu:8080/data/asl-ftp/asllvd/demos/verify_start_end_handshape_annotations//test_auto_move//signs_mov/15537.mov","MOV")</f>
        <v>21</v>
      </c>
      <c r="R1571" t="s" s="16">
        <f>HYPERLINK("http://secrets.rutgers.edu:8080/data/asl-ftp/asllvd/demos/verify_start_end_handshape_annotations//test_auto_move//signs_mov_separ_signers/Naomi_15537.mov","MOV")</f>
        <v>21</v>
      </c>
    </row>
    <row r="1572" s="2" customFormat="1" ht="13.5" customHeight="1">
      <c r="B1572" s="13"/>
      <c r="C1572" t="s" s="9">
        <v>30</v>
      </c>
      <c r="D1572" t="s" s="8">
        <v>559</v>
      </c>
      <c r="E1572" t="s" s="9">
        <v>559</v>
      </c>
      <c r="F1572" s="19">
        <v>3</v>
      </c>
      <c r="G1572" s="14"/>
      <c r="H1572" s="19">
        <v>3</v>
      </c>
      <c r="I1572" s="14"/>
      <c r="J1572" t="s" s="11">
        <v>20</v>
      </c>
      <c r="K1572" s="15"/>
      <c r="L1572" t="s" s="16">
        <f>HYPERLINK("http://csr.bu.edu/ftp/asl/asllvd/demos/verify_start_end_handshape_annotations//test_auto_move//signs_mov_separ_signers/Brady_15537.mov","MOV")</f>
        <v>21</v>
      </c>
      <c r="M1572" t="s" s="10">
        <v>39</v>
      </c>
      <c r="N1572" s="17">
        <v>52</v>
      </c>
      <c r="O1572" s="18">
        <v>6854</v>
      </c>
      <c r="P1572" s="18">
        <v>6875</v>
      </c>
      <c r="Q1572" s="15"/>
      <c r="R1572" t="s" s="16">
        <f>HYPERLINK("http://secrets.rutgers.edu:8080/data/asl-ftp/asllvd/demos/verify_start_end_handshape_annotations//test_auto_move//signs_mov_separ_signers/Brady_15537.mov","MOV")</f>
        <v>21</v>
      </c>
    </row>
    <row r="1573" s="2" customFormat="1" ht="13.5" customHeight="1">
      <c r="B1573" s="13"/>
      <c r="C1573" t="s" s="9">
        <v>41</v>
      </c>
      <c r="D1573" t="s" s="8">
        <v>559</v>
      </c>
      <c r="E1573" t="s" s="9">
        <v>559</v>
      </c>
      <c r="F1573" s="19">
        <v>3</v>
      </c>
      <c r="G1573" s="14"/>
      <c r="H1573" s="19">
        <v>3</v>
      </c>
      <c r="I1573" s="14"/>
      <c r="J1573" t="s" s="11">
        <v>20</v>
      </c>
      <c r="K1573" s="15"/>
      <c r="L1573" t="s" s="16">
        <f>HYPERLINK("http://csr.bu.edu/ftp/asl/asllvd/demos/verify_start_end_handshape_annotations//test_auto_move//signs_mov_separ_signers/Lana_15537.mov","MOV")</f>
        <v>21</v>
      </c>
      <c r="M1573" t="s" s="10">
        <v>42</v>
      </c>
      <c r="N1573" s="17">
        <v>18</v>
      </c>
      <c r="O1573" s="18">
        <v>686</v>
      </c>
      <c r="P1573" s="18">
        <v>700</v>
      </c>
      <c r="Q1573" s="15"/>
      <c r="R1573" t="s" s="16">
        <f>HYPERLINK("http://secrets.rutgers.edu:8080/data/asl-ftp/asllvd/demos/verify_start_end_handshape_annotations//test_auto_move//signs_mov_separ_signers/Lana_15537.mov","MOV")</f>
        <v>21</v>
      </c>
    </row>
    <row r="1574" s="2" customFormat="1" ht="13.5" customHeight="1">
      <c r="B1574" s="13"/>
      <c r="C1574" t="s" s="9">
        <v>43</v>
      </c>
      <c r="D1574" t="s" s="8">
        <v>559</v>
      </c>
      <c r="E1574" t="s" s="9">
        <v>559</v>
      </c>
      <c r="F1574" s="19">
        <v>3</v>
      </c>
      <c r="G1574" s="14"/>
      <c r="H1574" s="19">
        <v>3</v>
      </c>
      <c r="I1574" s="14"/>
      <c r="J1574" t="s" s="11">
        <v>20</v>
      </c>
      <c r="K1574" s="15"/>
      <c r="L1574" t="s" s="16">
        <f>HYPERLINK("http://csr.bu.edu/ftp/asl/asllvd/demos/verify_start_end_handshape_annotations//test_auto_move//signs_mov_separ_signers/Dana_15537.mov","MOV")</f>
        <v>21</v>
      </c>
      <c r="M1574" t="s" s="10">
        <v>44</v>
      </c>
      <c r="N1574" s="17">
        <v>20</v>
      </c>
      <c r="O1574" s="18">
        <v>653</v>
      </c>
      <c r="P1574" s="18">
        <v>692</v>
      </c>
      <c r="Q1574" s="15"/>
      <c r="R1574" t="s" s="16">
        <f>HYPERLINK("http://secrets.rutgers.edu:8080/data/asl-ftp/asllvd/demos/verify_start_end_handshape_annotations//test_auto_move//signs_mov_separ_signers/Dana_15537.mov","MOV")</f>
        <v>21</v>
      </c>
    </row>
    <row r="1575" s="2" customFormat="1" ht="13.5" customHeight="1">
      <c r="B1575" t="s" s="8">
        <v>560</v>
      </c>
      <c r="C1575" t="s" s="9">
        <v>14</v>
      </c>
      <c r="D1575" t="s" s="8">
        <v>14</v>
      </c>
      <c r="E1575" t="s" s="9">
        <v>14</v>
      </c>
      <c r="F1575" t="s" s="10">
        <v>14</v>
      </c>
      <c r="G1575" t="s" s="11">
        <v>14</v>
      </c>
      <c r="H1575" t="s" s="10">
        <v>14</v>
      </c>
      <c r="I1575" t="s" s="11">
        <v>14</v>
      </c>
      <c r="J1575" t="s" s="11">
        <v>14</v>
      </c>
      <c r="K1575" t="s" s="12">
        <v>14</v>
      </c>
      <c r="L1575" t="s" s="12">
        <v>14</v>
      </c>
      <c r="M1575" t="s" s="10">
        <v>14</v>
      </c>
      <c r="N1575" t="s" s="11">
        <v>14</v>
      </c>
      <c r="O1575" t="s" s="8">
        <v>14</v>
      </c>
      <c r="P1575" t="s" s="8">
        <v>14</v>
      </c>
      <c r="Q1575" t="s" s="12">
        <v>14</v>
      </c>
      <c r="R1575" t="s" s="12">
        <v>14</v>
      </c>
    </row>
    <row r="1576" s="2" customFormat="1" ht="13.5" customHeight="1">
      <c r="B1576" s="13"/>
      <c r="C1576" t="s" s="9">
        <v>16</v>
      </c>
      <c r="D1576" t="s" s="8">
        <v>560</v>
      </c>
      <c r="E1576" t="s" s="9">
        <v>561</v>
      </c>
      <c r="F1576" t="s" s="10">
        <v>73</v>
      </c>
      <c r="G1576" t="s" s="11">
        <v>260</v>
      </c>
      <c r="H1576" t="s" s="10">
        <v>80</v>
      </c>
      <c r="I1576" t="s" s="11">
        <v>260</v>
      </c>
      <c r="J1576" t="s" s="11">
        <v>20</v>
      </c>
      <c r="K1576" s="15"/>
      <c r="L1576" t="s" s="16">
        <f>HYPERLINK("http://csr.bu.edu/ftp/asl/asllvd/demos/verify_start_end_handshape_annotations//test_auto_move//signs_mov_separ_signers/Liz_343.mov","MOV")</f>
        <v>21</v>
      </c>
      <c r="M1576" t="s" s="10">
        <v>22</v>
      </c>
      <c r="N1576" s="17">
        <v>58</v>
      </c>
      <c r="O1576" s="18">
        <v>1771</v>
      </c>
      <c r="P1576" s="18">
        <v>1825</v>
      </c>
      <c r="Q1576" s="15"/>
      <c r="R1576" t="s" s="16">
        <f>HYPERLINK("http://secrets.rutgers.edu:8080/data/asl-ftp/asllvd/demos/verify_start_end_handshape_annotations//test_auto_move//signs_mov_separ_signers/Liz_343.mov","MOV")</f>
        <v>21</v>
      </c>
    </row>
    <row r="1577" s="2" customFormat="1" ht="13.5" customHeight="1">
      <c r="B1577" s="13"/>
      <c r="C1577" t="s" s="9">
        <v>23</v>
      </c>
      <c r="D1577" t="s" s="8">
        <v>560</v>
      </c>
      <c r="E1577" t="s" s="9">
        <v>561</v>
      </c>
      <c r="F1577" t="s" s="10">
        <v>73</v>
      </c>
      <c r="G1577" t="s" s="11">
        <v>80</v>
      </c>
      <c r="H1577" t="s" s="10">
        <v>80</v>
      </c>
      <c r="I1577" t="s" s="11">
        <v>73</v>
      </c>
      <c r="J1577" t="s" s="11">
        <v>20</v>
      </c>
      <c r="K1577" s="15"/>
      <c r="L1577" t="s" s="16">
        <f>HYPERLINK("http://csr.bu.edu/ftp/asl/asllvd/demos/verify_start_end_handshape_annotations//test_auto_move//signs_mov_separ_signers/Tyler_343.mov","MOV")</f>
        <v>21</v>
      </c>
      <c r="M1577" t="s" s="10">
        <v>26</v>
      </c>
      <c r="N1577" s="17">
        <v>36</v>
      </c>
      <c r="O1577" s="18">
        <v>830</v>
      </c>
      <c r="P1577" s="18">
        <v>872</v>
      </c>
      <c r="Q1577" s="15"/>
      <c r="R1577" t="s" s="16">
        <f>HYPERLINK("http://secrets.rutgers.edu:8080/data/asl-ftp/asllvd/demos/verify_start_end_handshape_annotations//test_auto_move//signs_mov_separ_signers/Tyler_343.mov","MOV")</f>
        <v>21</v>
      </c>
    </row>
    <row r="1578" s="2" customFormat="1" ht="13.5" customHeight="1">
      <c r="B1578" s="13"/>
      <c r="C1578" t="s" s="9">
        <v>23</v>
      </c>
      <c r="D1578" t="s" s="8">
        <v>560</v>
      </c>
      <c r="E1578" t="s" s="9">
        <v>561</v>
      </c>
      <c r="F1578" t="s" s="10">
        <v>73</v>
      </c>
      <c r="G1578" t="s" s="11">
        <v>80</v>
      </c>
      <c r="H1578" t="s" s="10">
        <v>73</v>
      </c>
      <c r="I1578" t="s" s="11">
        <v>80</v>
      </c>
      <c r="J1578" t="s" s="11">
        <v>20</v>
      </c>
      <c r="K1578" s="15"/>
      <c r="L1578" t="s" s="16">
        <f>HYPERLINK("http://csr.bu.edu/ftp/asl/asllvd/demos/verify_start_end_handshape_annotations//test_auto_move//signs_mov_separ_signers/Tyler_3445.mov","MOV")</f>
        <v>21</v>
      </c>
      <c r="M1578" t="s" s="10">
        <v>26</v>
      </c>
      <c r="N1578" s="17">
        <v>36</v>
      </c>
      <c r="O1578" s="18">
        <v>1580</v>
      </c>
      <c r="P1578" s="18">
        <v>1626</v>
      </c>
      <c r="Q1578" s="15"/>
      <c r="R1578" t="s" s="16">
        <f>HYPERLINK("http://secrets.rutgers.edu:8080/data/asl-ftp/asllvd/demos/verify_start_end_handshape_annotations//test_auto_move//signs_mov_separ_signers/Tyler_3445.mov","MOV")</f>
        <v>21</v>
      </c>
    </row>
    <row r="1579" s="2" customFormat="1" ht="13.5" customHeight="1">
      <c r="B1579" s="13"/>
      <c r="C1579" t="s" s="9">
        <v>27</v>
      </c>
      <c r="D1579" t="s" s="8">
        <v>560</v>
      </c>
      <c r="E1579" t="s" s="9">
        <v>562</v>
      </c>
      <c r="F1579" t="s" s="10">
        <v>73</v>
      </c>
      <c r="G1579" t="s" s="11">
        <v>80</v>
      </c>
      <c r="H1579" t="s" s="10">
        <v>73</v>
      </c>
      <c r="I1579" t="s" s="11">
        <v>80</v>
      </c>
      <c r="J1579" t="s" s="11">
        <v>20</v>
      </c>
      <c r="K1579" t="s" s="16">
        <f>HYPERLINK("http://csr.bu.edu/ftp/asl/asllvd/demos/verify_start_end_handshape_annotations//test_auto_move//signs_mov/343_3445_merged.mov","MOV")</f>
        <v>21</v>
      </c>
      <c r="L1579" t="s" s="16">
        <f>HYPERLINK("http://csr.bu.edu/ftp/asl/asllvd/demos/verify_start_end_handshape_annotations//test_auto_move//signs_mov_separ_signers/Naomi_343.mov","MOV")</f>
        <v>21</v>
      </c>
      <c r="M1579" t="s" s="10">
        <v>29</v>
      </c>
      <c r="N1579" s="17">
        <v>37</v>
      </c>
      <c r="O1579" s="18">
        <v>1605</v>
      </c>
      <c r="P1579" s="18">
        <v>1656</v>
      </c>
      <c r="Q1579" t="s" s="16">
        <f>HYPERLINK("http://secrets.rutgers.edu:8080/data/asl-ftp/asllvd/demos/verify_start_end_handshape_annotations//test_auto_move//signs_mov/343_3445_merged.mov","MOV")</f>
        <v>21</v>
      </c>
      <c r="R1579" t="s" s="16">
        <f>HYPERLINK("http://secrets.rutgers.edu:8080/data/asl-ftp/asllvd/demos/verify_start_end_handshape_annotations//test_auto_move//signs_mov_separ_signers/Naomi_343.mov","MOV")</f>
        <v>21</v>
      </c>
    </row>
    <row r="1580" s="2" customFormat="1" ht="13.5" customHeight="1">
      <c r="B1580" s="13"/>
      <c r="C1580" t="s" s="9">
        <v>30</v>
      </c>
      <c r="D1580" t="s" s="8">
        <v>560</v>
      </c>
      <c r="E1580" t="s" s="9">
        <v>561</v>
      </c>
      <c r="F1580" t="s" s="10">
        <v>73</v>
      </c>
      <c r="G1580" t="s" s="11">
        <v>73</v>
      </c>
      <c r="H1580" t="s" s="10">
        <v>80</v>
      </c>
      <c r="I1580" t="s" s="11">
        <v>80</v>
      </c>
      <c r="J1580" t="s" s="11">
        <v>20</v>
      </c>
      <c r="K1580" s="15"/>
      <c r="L1580" t="s" s="16">
        <f>HYPERLINK("http://csr.bu.edu/ftp/asl/asllvd/demos/verify_start_end_handshape_annotations//test_auto_move//signs_mov_separ_signers/Brady_343.mov","MOV")</f>
        <v>21</v>
      </c>
      <c r="M1580" t="s" s="10">
        <v>31</v>
      </c>
      <c r="N1580" s="17">
        <v>24</v>
      </c>
      <c r="O1580" s="18">
        <v>2843</v>
      </c>
      <c r="P1580" s="18">
        <v>2892</v>
      </c>
      <c r="Q1580" s="15"/>
      <c r="R1580" t="s" s="16">
        <f>HYPERLINK("http://secrets.rutgers.edu:8080/data/asl-ftp/asllvd/demos/verify_start_end_handshape_annotations//test_auto_move//signs_mov_separ_signers/Brady_343.mov","MOV")</f>
        <v>21</v>
      </c>
    </row>
    <row r="1581" s="2" customFormat="1" ht="13.5" customHeight="1">
      <c r="B1581" s="13"/>
      <c r="C1581" t="s" s="9">
        <v>30</v>
      </c>
      <c r="D1581" t="s" s="8">
        <v>560</v>
      </c>
      <c r="E1581" t="s" s="9">
        <v>560</v>
      </c>
      <c r="F1581" t="s" s="10">
        <v>73</v>
      </c>
      <c r="G1581" t="s" s="11">
        <v>80</v>
      </c>
      <c r="H1581" t="s" s="10">
        <v>150</v>
      </c>
      <c r="I1581" t="s" s="11">
        <v>80</v>
      </c>
      <c r="J1581" t="s" s="11">
        <v>20</v>
      </c>
      <c r="K1581" s="15"/>
      <c r="L1581" t="s" s="16">
        <f>HYPERLINK("http://csr.bu.edu/ftp/asl/asllvd/demos/verify_start_end_handshape_annotations//test_auto_move//signs_mov_separ_signers/Brady_3445.mov","MOV")</f>
        <v>21</v>
      </c>
      <c r="M1581" t="s" s="10">
        <v>60</v>
      </c>
      <c r="N1581" s="17">
        <v>39</v>
      </c>
      <c r="O1581" s="18">
        <v>1125</v>
      </c>
      <c r="P1581" s="18">
        <v>1176</v>
      </c>
      <c r="Q1581" s="15"/>
      <c r="R1581" t="s" s="16">
        <f>HYPERLINK("http://secrets.rutgers.edu:8080/data/asl-ftp/asllvd/demos/verify_start_end_handshape_annotations//test_auto_move//signs_mov_separ_signers/Brady_3445.mov","MOV")</f>
        <v>21</v>
      </c>
    </row>
    <row r="1582" s="2" customFormat="1" ht="13.5" customHeight="1">
      <c r="B1582" s="13"/>
      <c r="C1582" t="s" s="9">
        <v>41</v>
      </c>
      <c r="D1582" t="s" s="8">
        <v>560</v>
      </c>
      <c r="E1582" t="s" s="9">
        <v>561</v>
      </c>
      <c r="F1582" t="s" s="10">
        <v>73</v>
      </c>
      <c r="G1582" t="s" s="11">
        <v>73</v>
      </c>
      <c r="H1582" t="s" s="10">
        <v>80</v>
      </c>
      <c r="I1582" t="s" s="11">
        <v>80</v>
      </c>
      <c r="J1582" t="s" s="11">
        <v>20</v>
      </c>
      <c r="K1582" s="15"/>
      <c r="L1582" t="s" s="16">
        <f>HYPERLINK("http://csr.bu.edu/ftp/asl/asllvd/demos/verify_start_end_handshape_annotations//test_auto_move//signs_mov_separ_signers/Lana_343.mov","MOV")</f>
        <v>21</v>
      </c>
      <c r="M1582" t="s" s="10">
        <v>42</v>
      </c>
      <c r="N1582" s="17">
        <v>4</v>
      </c>
      <c r="O1582" s="18">
        <v>873</v>
      </c>
      <c r="P1582" s="18">
        <v>924</v>
      </c>
      <c r="Q1582" s="15"/>
      <c r="R1582" t="s" s="16">
        <f>HYPERLINK("http://secrets.rutgers.edu:8080/data/asl-ftp/asllvd/demos/verify_start_end_handshape_annotations//test_auto_move//signs_mov_separ_signers/Lana_343.mov","MOV")</f>
        <v>21</v>
      </c>
    </row>
    <row r="1583" s="2" customFormat="1" ht="13.5" customHeight="1">
      <c r="B1583" t="s" s="8">
        <v>563</v>
      </c>
      <c r="C1583" t="s" s="9">
        <v>14</v>
      </c>
      <c r="D1583" t="s" s="8">
        <v>14</v>
      </c>
      <c r="E1583" t="s" s="9">
        <v>14</v>
      </c>
      <c r="F1583" t="s" s="10">
        <v>14</v>
      </c>
      <c r="G1583" t="s" s="11">
        <v>14</v>
      </c>
      <c r="H1583" t="s" s="10">
        <v>14</v>
      </c>
      <c r="I1583" t="s" s="11">
        <v>14</v>
      </c>
      <c r="J1583" t="s" s="11">
        <v>14</v>
      </c>
      <c r="K1583" t="s" s="12">
        <v>14</v>
      </c>
      <c r="L1583" t="s" s="12">
        <v>14</v>
      </c>
      <c r="M1583" t="s" s="10">
        <v>14</v>
      </c>
      <c r="N1583" t="s" s="11">
        <v>14</v>
      </c>
      <c r="O1583" t="s" s="8">
        <v>14</v>
      </c>
      <c r="P1583" t="s" s="8">
        <v>14</v>
      </c>
      <c r="Q1583" t="s" s="12">
        <v>14</v>
      </c>
      <c r="R1583" t="s" s="12">
        <v>14</v>
      </c>
    </row>
    <row r="1584" s="2" customFormat="1" ht="13.5" customHeight="1">
      <c r="B1584" s="13"/>
      <c r="C1584" t="s" s="9">
        <v>16</v>
      </c>
      <c r="D1584" t="s" s="8">
        <v>563</v>
      </c>
      <c r="E1584" t="s" s="9">
        <v>563</v>
      </c>
      <c r="F1584" t="s" s="10">
        <v>240</v>
      </c>
      <c r="G1584" t="s" s="11">
        <v>425</v>
      </c>
      <c r="H1584" t="s" s="10">
        <v>425</v>
      </c>
      <c r="I1584" t="s" s="11">
        <v>344</v>
      </c>
      <c r="J1584" t="s" s="11">
        <v>20</v>
      </c>
      <c r="K1584" t="s" s="16">
        <f>HYPERLINK("http://csr.bu.edu/ftp/asl/asllvd/demos/verify_start_end_handshape_annotations//test_auto_move//signs_mov/15414.mov","MOV")</f>
        <v>21</v>
      </c>
      <c r="L1584" t="s" s="16">
        <f>HYPERLINK("http://csr.bu.edu/ftp/asl/asllvd/demos/verify_start_end_handshape_annotations//test_auto_move//signs_mov_separ_signers/Liz_15414.mov","MOV")</f>
        <v>21</v>
      </c>
      <c r="M1584" t="s" s="10">
        <v>22</v>
      </c>
      <c r="N1584" s="17">
        <v>58</v>
      </c>
      <c r="O1584" s="18">
        <v>1975</v>
      </c>
      <c r="P1584" s="18">
        <v>2020</v>
      </c>
      <c r="Q1584" t="s" s="16">
        <f>HYPERLINK("http://secrets.rutgers.edu:8080/data/asl-ftp/asllvd/demos/verify_start_end_handshape_annotations//test_auto_move//signs_mov/15414.mov","MOV")</f>
        <v>21</v>
      </c>
      <c r="R1584" t="s" s="16">
        <f>HYPERLINK("http://secrets.rutgers.edu:8080/data/asl-ftp/asllvd/demos/verify_start_end_handshape_annotations//test_auto_move//signs_mov_separ_signers/Liz_15414.mov","MOV")</f>
        <v>21</v>
      </c>
    </row>
    <row r="1585" s="2" customFormat="1" ht="13.5" customHeight="1">
      <c r="B1585" s="13"/>
      <c r="C1585" t="s" s="9">
        <v>23</v>
      </c>
      <c r="D1585" t="s" s="8">
        <v>563</v>
      </c>
      <c r="E1585" t="s" s="9">
        <v>563</v>
      </c>
      <c r="F1585" t="s" s="10">
        <v>240</v>
      </c>
      <c r="G1585" t="s" s="11">
        <v>425</v>
      </c>
      <c r="H1585" t="s" s="10">
        <v>425</v>
      </c>
      <c r="I1585" t="s" s="11">
        <v>240</v>
      </c>
      <c r="J1585" t="s" s="11">
        <v>20</v>
      </c>
      <c r="K1585" s="15"/>
      <c r="L1585" t="s" s="16">
        <f>HYPERLINK("http://csr.bu.edu/ftp/asl/asllvd/demos/verify_start_end_handshape_annotations//test_auto_move//signs_mov_separ_signers/Tyler_15414.mov","MOV")</f>
        <v>21</v>
      </c>
      <c r="M1585" t="s" s="10">
        <v>26</v>
      </c>
      <c r="N1585" s="17">
        <v>36</v>
      </c>
      <c r="O1585" s="18">
        <v>1106</v>
      </c>
      <c r="P1585" s="18">
        <v>1146</v>
      </c>
      <c r="Q1585" s="15"/>
      <c r="R1585" t="s" s="16">
        <f>HYPERLINK("http://secrets.rutgers.edu:8080/data/asl-ftp/asllvd/demos/verify_start_end_handshape_annotations//test_auto_move//signs_mov_separ_signers/Tyler_15414.mov","MOV")</f>
        <v>21</v>
      </c>
    </row>
    <row r="1586" s="2" customFormat="1" ht="13.5" customHeight="1">
      <c r="B1586" t="s" s="8">
        <v>52</v>
      </c>
      <c r="C1586" t="s" s="9">
        <v>53</v>
      </c>
      <c r="D1586" t="s" s="8">
        <v>53</v>
      </c>
      <c r="E1586" t="s" s="9">
        <v>53</v>
      </c>
      <c r="F1586" t="s" s="10">
        <v>53</v>
      </c>
      <c r="G1586" t="s" s="11">
        <v>53</v>
      </c>
      <c r="H1586" t="s" s="10">
        <v>53</v>
      </c>
      <c r="I1586" t="s" s="11">
        <v>53</v>
      </c>
      <c r="J1586" t="s" s="11">
        <v>53</v>
      </c>
      <c r="K1586" t="s" s="12">
        <v>53</v>
      </c>
      <c r="L1586" t="s" s="12">
        <v>53</v>
      </c>
      <c r="M1586" t="s" s="10">
        <v>53</v>
      </c>
      <c r="N1586" t="s" s="11">
        <v>53</v>
      </c>
      <c r="O1586" t="s" s="8">
        <v>53</v>
      </c>
      <c r="P1586" t="s" s="8">
        <v>53</v>
      </c>
      <c r="Q1586" t="s" s="12">
        <v>53</v>
      </c>
      <c r="R1586" t="s" s="12">
        <v>53</v>
      </c>
    </row>
    <row r="1587" s="2" customFormat="1" ht="13.5" customHeight="1">
      <c r="B1587" s="13"/>
      <c r="C1587" t="s" s="9">
        <v>27</v>
      </c>
      <c r="D1587" t="s" s="8">
        <v>563</v>
      </c>
      <c r="E1587" t="s" s="9">
        <v>564</v>
      </c>
      <c r="F1587" t="s" s="10">
        <v>342</v>
      </c>
      <c r="G1587" t="s" s="11">
        <v>342</v>
      </c>
      <c r="H1587" t="s" s="10">
        <v>342</v>
      </c>
      <c r="I1587" t="s" s="11">
        <v>342</v>
      </c>
      <c r="J1587" t="s" s="11">
        <v>20</v>
      </c>
      <c r="K1587" s="15"/>
      <c r="L1587" t="s" s="16">
        <f>HYPERLINK("http://csr.bu.edu/ftp/asl/asllvd/demos/verify_start_end_handshape_annotations//test_auto_move//signs_mov_separ_signers/Naomi_15455.mov","MOV")</f>
        <v>21</v>
      </c>
      <c r="M1587" t="s" s="10">
        <v>29</v>
      </c>
      <c r="N1587" s="17">
        <v>37</v>
      </c>
      <c r="O1587" s="18">
        <v>945</v>
      </c>
      <c r="P1587" s="18">
        <v>971</v>
      </c>
      <c r="Q1587" s="15"/>
      <c r="R1587" t="s" s="16">
        <f>HYPERLINK("http://secrets.rutgers.edu:8080/data/asl-ftp/asllvd/demos/verify_start_end_handshape_annotations//test_auto_move//signs_mov_separ_signers/Naomi_15455.mov","MOV")</f>
        <v>21</v>
      </c>
    </row>
    <row r="1588" s="2" customFormat="1" ht="13.5" customHeight="1">
      <c r="B1588" s="13"/>
      <c r="C1588" t="s" s="9">
        <v>27</v>
      </c>
      <c r="D1588" t="s" s="8">
        <v>563</v>
      </c>
      <c r="E1588" t="s" s="9">
        <v>564</v>
      </c>
      <c r="F1588" t="s" s="10">
        <v>341</v>
      </c>
      <c r="G1588" t="s" s="11">
        <v>342</v>
      </c>
      <c r="H1588" t="s" s="10">
        <v>342</v>
      </c>
      <c r="I1588" t="s" s="11">
        <v>342</v>
      </c>
      <c r="J1588" t="s" s="11">
        <v>20</v>
      </c>
      <c r="K1588" s="15"/>
      <c r="L1588" t="s" s="16">
        <f>HYPERLINK("http://csr.bu.edu/ftp/asl/asllvd/demos/verify_start_end_handshape_annotations//test_auto_move//signs_mov_separ_signers/Naomi_15466.mov","MOV")</f>
        <v>21</v>
      </c>
      <c r="M1588" t="s" s="10">
        <v>29</v>
      </c>
      <c r="N1588" s="17">
        <v>37</v>
      </c>
      <c r="O1588" s="18">
        <v>1223</v>
      </c>
      <c r="P1588" s="18">
        <v>1265</v>
      </c>
      <c r="Q1588" s="15"/>
      <c r="R1588" t="s" s="16">
        <f>HYPERLINK("http://secrets.rutgers.edu:8080/data/asl-ftp/asllvd/demos/verify_start_end_handshape_annotations//test_auto_move//signs_mov_separ_signers/Naomi_15466.mov","MOV")</f>
        <v>21</v>
      </c>
    </row>
    <row r="1589" s="2" customFormat="1" ht="13.5" customHeight="1">
      <c r="B1589" s="13"/>
      <c r="C1589" t="s" s="9">
        <v>30</v>
      </c>
      <c r="D1589" t="s" s="8">
        <v>563</v>
      </c>
      <c r="E1589" t="s" s="9">
        <v>565</v>
      </c>
      <c r="F1589" t="s" s="10">
        <v>341</v>
      </c>
      <c r="G1589" t="s" s="11">
        <v>342</v>
      </c>
      <c r="H1589" t="s" s="10">
        <v>341</v>
      </c>
      <c r="I1589" t="s" s="11">
        <v>391</v>
      </c>
      <c r="J1589" t="s" s="11">
        <v>20</v>
      </c>
      <c r="K1589" t="s" s="16">
        <f>HYPERLINK("http://csr.bu.edu/ftp/asl/asllvd/demos/verify_start_end_handshape_annotations//test_auto_move//signs_mov/15455_15466_merged.mov","MOV")</f>
        <v>21</v>
      </c>
      <c r="L1589" t="s" s="16">
        <f>HYPERLINK("http://csr.bu.edu/ftp/asl/asllvd/demos/verify_start_end_handshape_annotations//test_auto_move//signs_mov_separ_signers/Brady_15455.mov","MOV")</f>
        <v>21</v>
      </c>
      <c r="M1589" t="s" s="10">
        <v>31</v>
      </c>
      <c r="N1589" s="17">
        <v>24</v>
      </c>
      <c r="O1589" s="18">
        <v>2519</v>
      </c>
      <c r="P1589" s="18">
        <v>2558</v>
      </c>
      <c r="Q1589" t="s" s="16">
        <f>HYPERLINK("http://secrets.rutgers.edu:8080/data/asl-ftp/asllvd/demos/verify_start_end_handshape_annotations//test_auto_move//signs_mov/15455_15466_merged.mov","MOV")</f>
        <v>21</v>
      </c>
      <c r="R1589" t="s" s="16">
        <f>HYPERLINK("http://secrets.rutgers.edu:8080/data/asl-ftp/asllvd/demos/verify_start_end_handshape_annotations//test_auto_move//signs_mov_separ_signers/Brady_15455.mov","MOV")</f>
        <v>21</v>
      </c>
    </row>
    <row r="1590" s="2" customFormat="1" ht="13.5" customHeight="1">
      <c r="B1590" s="13"/>
      <c r="C1590" t="s" s="9">
        <v>30</v>
      </c>
      <c r="D1590" t="s" s="8">
        <v>563</v>
      </c>
      <c r="E1590" t="s" s="9">
        <v>565</v>
      </c>
      <c r="F1590" t="s" s="10">
        <v>341</v>
      </c>
      <c r="G1590" t="s" s="11">
        <v>425</v>
      </c>
      <c r="H1590" t="s" s="10">
        <v>341</v>
      </c>
      <c r="I1590" t="s" s="11">
        <v>391</v>
      </c>
      <c r="J1590" t="s" s="11">
        <v>20</v>
      </c>
      <c r="K1590" s="15"/>
      <c r="L1590" t="s" s="16">
        <f>HYPERLINK("http://csr.bu.edu/ftp/asl/asllvd/demos/verify_start_end_handshape_annotations//test_auto_move//signs_mov_separ_signers/Brady_15466.mov","MOV")</f>
        <v>21</v>
      </c>
      <c r="M1590" t="s" s="10">
        <v>31</v>
      </c>
      <c r="N1590" s="17">
        <v>24</v>
      </c>
      <c r="O1590" s="18">
        <v>3468</v>
      </c>
      <c r="P1590" s="18">
        <v>3509</v>
      </c>
      <c r="Q1590" s="15"/>
      <c r="R1590" t="s" s="16">
        <f>HYPERLINK("http://secrets.rutgers.edu:8080/data/asl-ftp/asllvd/demos/verify_start_end_handshape_annotations//test_auto_move//signs_mov_separ_signers/Brady_15466.mov","MOV")</f>
        <v>21</v>
      </c>
    </row>
    <row r="1591" s="2" customFormat="1" ht="13.5" customHeight="1">
      <c r="B1591" s="13"/>
      <c r="C1591" t="s" s="9">
        <v>43</v>
      </c>
      <c r="D1591" t="s" s="8">
        <v>563</v>
      </c>
      <c r="E1591" t="s" s="9">
        <v>565</v>
      </c>
      <c r="F1591" t="s" s="10">
        <v>341</v>
      </c>
      <c r="G1591" t="s" s="11">
        <v>342</v>
      </c>
      <c r="H1591" t="s" s="10">
        <v>342</v>
      </c>
      <c r="I1591" t="s" s="11">
        <v>342</v>
      </c>
      <c r="J1591" t="s" s="11">
        <v>20</v>
      </c>
      <c r="K1591" s="15"/>
      <c r="L1591" t="s" s="16">
        <f>HYPERLINK("http://csr.bu.edu/ftp/asl/asllvd/demos/verify_start_end_handshape_annotations//test_auto_move//signs_mov_separ_signers/Dana_15455.mov","MOV")</f>
        <v>21</v>
      </c>
      <c r="M1591" t="s" s="10">
        <v>44</v>
      </c>
      <c r="N1591" s="17">
        <v>8</v>
      </c>
      <c r="O1591" s="18">
        <v>778</v>
      </c>
      <c r="P1591" s="18">
        <v>830</v>
      </c>
      <c r="Q1591" s="15"/>
      <c r="R1591" t="s" s="16">
        <f>HYPERLINK("http://secrets.rutgers.edu:8080/data/asl-ftp/asllvd/demos/verify_start_end_handshape_annotations//test_auto_move//signs_mov_separ_signers/Dana_15455.mov","MOV")</f>
        <v>21</v>
      </c>
    </row>
    <row r="1592" s="2" customFormat="1" ht="13.5" customHeight="1">
      <c r="B1592" t="s" s="8">
        <v>566</v>
      </c>
      <c r="C1592" t="s" s="9">
        <v>14</v>
      </c>
      <c r="D1592" t="s" s="8">
        <v>14</v>
      </c>
      <c r="E1592" t="s" s="9">
        <v>14</v>
      </c>
      <c r="F1592" t="s" s="10">
        <v>14</v>
      </c>
      <c r="G1592" t="s" s="11">
        <v>14</v>
      </c>
      <c r="H1592" t="s" s="10">
        <v>14</v>
      </c>
      <c r="I1592" t="s" s="11">
        <v>14</v>
      </c>
      <c r="J1592" t="s" s="11">
        <v>14</v>
      </c>
      <c r="K1592" t="s" s="12">
        <v>14</v>
      </c>
      <c r="L1592" t="s" s="12">
        <v>14</v>
      </c>
      <c r="M1592" t="s" s="10">
        <v>14</v>
      </c>
      <c r="N1592" t="s" s="11">
        <v>14</v>
      </c>
      <c r="O1592" t="s" s="8">
        <v>14</v>
      </c>
      <c r="P1592" t="s" s="8">
        <v>14</v>
      </c>
      <c r="Q1592" t="s" s="12">
        <v>14</v>
      </c>
      <c r="R1592" t="s" s="12">
        <v>14</v>
      </c>
    </row>
    <row r="1593" s="2" customFormat="1" ht="13.5" customHeight="1">
      <c r="B1593" s="13"/>
      <c r="C1593" t="s" s="9">
        <v>16</v>
      </c>
      <c r="D1593" t="s" s="8">
        <v>566</v>
      </c>
      <c r="E1593" t="s" s="9">
        <v>566</v>
      </c>
      <c r="F1593" t="s" s="10">
        <v>150</v>
      </c>
      <c r="G1593" t="s" s="11">
        <v>260</v>
      </c>
      <c r="H1593" t="s" s="10">
        <v>260</v>
      </c>
      <c r="I1593" t="s" s="11">
        <v>150</v>
      </c>
      <c r="J1593" t="s" s="11">
        <v>20</v>
      </c>
      <c r="K1593" t="s" s="16">
        <f>HYPERLINK("http://csr.bu.edu/ftp/asl/asllvd/demos/verify_start_end_handshape_annotations//test_auto_move//signs_mov/15998.mov","MOV")</f>
        <v>21</v>
      </c>
      <c r="L1593" t="s" s="16">
        <f>HYPERLINK("http://csr.bu.edu/ftp/asl/asllvd/demos/verify_start_end_handshape_annotations//test_auto_move//signs_mov_separ_signers/Liz_15998.mov","MOV")</f>
        <v>21</v>
      </c>
      <c r="M1593" t="s" s="10">
        <v>84</v>
      </c>
      <c r="N1593" s="17">
        <v>1</v>
      </c>
      <c r="O1593" s="18">
        <v>481</v>
      </c>
      <c r="P1593" s="18">
        <v>560</v>
      </c>
      <c r="Q1593" t="s" s="16">
        <f>HYPERLINK("http://secrets.rutgers.edu:8080/data/asl-ftp/asllvd/demos/verify_start_end_handshape_annotations//test_auto_move//signs_mov/15998.mov","MOV")</f>
        <v>21</v>
      </c>
      <c r="R1593" t="s" s="16">
        <f>HYPERLINK("http://secrets.rutgers.edu:8080/data/asl-ftp/asllvd/demos/verify_start_end_handshape_annotations//test_auto_move//signs_mov_separ_signers/Liz_15998.mov","MOV")</f>
        <v>21</v>
      </c>
    </row>
    <row r="1594" s="2" customFormat="1" ht="13.5" customHeight="1">
      <c r="B1594" s="13"/>
      <c r="C1594" t="s" s="9">
        <v>27</v>
      </c>
      <c r="D1594" t="s" s="8">
        <v>566</v>
      </c>
      <c r="E1594" t="s" s="9">
        <v>566</v>
      </c>
      <c r="F1594" t="s" s="10">
        <v>150</v>
      </c>
      <c r="G1594" t="s" s="11">
        <v>150</v>
      </c>
      <c r="H1594" t="s" s="10">
        <v>150</v>
      </c>
      <c r="I1594" t="s" s="11">
        <v>150</v>
      </c>
      <c r="J1594" t="s" s="11">
        <v>20</v>
      </c>
      <c r="K1594" s="15"/>
      <c r="L1594" t="s" s="16">
        <f>HYPERLINK("http://csr.bu.edu/ftp/asl/asllvd/demos/verify_start_end_handshape_annotations//test_auto_move//signs_mov_separ_signers/Naomi_15998.mov","MOV")</f>
        <v>21</v>
      </c>
      <c r="M1594" t="s" s="10">
        <v>86</v>
      </c>
      <c r="N1594" s="17">
        <v>1</v>
      </c>
      <c r="O1594" s="18">
        <v>890</v>
      </c>
      <c r="P1594" s="18">
        <v>950</v>
      </c>
      <c r="Q1594" s="15"/>
      <c r="R1594" t="s" s="16">
        <f>HYPERLINK("http://secrets.rutgers.edu:8080/data/asl-ftp/asllvd/demos/verify_start_end_handshape_annotations//test_auto_move//signs_mov_separ_signers/Naomi_15998.mov","MOV")</f>
        <v>21</v>
      </c>
    </row>
    <row r="1595" s="2" customFormat="1" ht="13.5" customHeight="1">
      <c r="B1595" t="s" s="8">
        <v>52</v>
      </c>
      <c r="C1595" t="s" s="9">
        <v>53</v>
      </c>
      <c r="D1595" t="s" s="8">
        <v>53</v>
      </c>
      <c r="E1595" t="s" s="9">
        <v>53</v>
      </c>
      <c r="F1595" t="s" s="10">
        <v>53</v>
      </c>
      <c r="G1595" t="s" s="11">
        <v>53</v>
      </c>
      <c r="H1595" t="s" s="10">
        <v>53</v>
      </c>
      <c r="I1595" t="s" s="11">
        <v>53</v>
      </c>
      <c r="J1595" t="s" s="11">
        <v>53</v>
      </c>
      <c r="K1595" t="s" s="12">
        <v>53</v>
      </c>
      <c r="L1595" t="s" s="12">
        <v>53</v>
      </c>
      <c r="M1595" t="s" s="10">
        <v>53</v>
      </c>
      <c r="N1595" t="s" s="11">
        <v>53</v>
      </c>
      <c r="O1595" t="s" s="8">
        <v>53</v>
      </c>
      <c r="P1595" t="s" s="8">
        <v>53</v>
      </c>
      <c r="Q1595" t="s" s="12">
        <v>53</v>
      </c>
      <c r="R1595" t="s" s="12">
        <v>53</v>
      </c>
    </row>
    <row r="1596" s="2" customFormat="1" ht="13.5" customHeight="1">
      <c r="B1596" s="13"/>
      <c r="C1596" t="s" s="9">
        <v>23</v>
      </c>
      <c r="D1596" t="s" s="8">
        <v>566</v>
      </c>
      <c r="E1596" t="s" s="9">
        <v>567</v>
      </c>
      <c r="F1596" t="s" s="10">
        <v>73</v>
      </c>
      <c r="G1596" t="s" s="11">
        <v>80</v>
      </c>
      <c r="H1596" t="s" s="10">
        <v>73</v>
      </c>
      <c r="I1596" t="s" s="11">
        <v>80</v>
      </c>
      <c r="J1596" t="s" s="11">
        <v>20</v>
      </c>
      <c r="K1596" t="s" s="16">
        <f>HYPERLINK("http://csr.bu.edu/ftp/asl/asllvd/demos/verify_start_end_handshape_annotations//test_auto_move//signs_mov/16267.mov","MOV")</f>
        <v>21</v>
      </c>
      <c r="L1596" t="s" s="16">
        <f>HYPERLINK("http://csr.bu.edu/ftp/asl/asllvd/demos/verify_start_end_handshape_annotations//test_auto_move//signs_mov_separ_signers/Tyler_16267.mov","MOV")</f>
        <v>21</v>
      </c>
      <c r="M1596" t="s" s="10">
        <v>125</v>
      </c>
      <c r="N1596" s="17">
        <v>1</v>
      </c>
      <c r="O1596" s="18">
        <v>531</v>
      </c>
      <c r="P1596" s="18">
        <v>586</v>
      </c>
      <c r="Q1596" t="s" s="16">
        <f>HYPERLINK("http://secrets.rutgers.edu:8080/data/asl-ftp/asllvd/demos/verify_start_end_handshape_annotations//test_auto_move//signs_mov/16267.mov","MOV")</f>
        <v>21</v>
      </c>
      <c r="R1596" t="s" s="16">
        <f>HYPERLINK("http://secrets.rutgers.edu:8080/data/asl-ftp/asllvd/demos/verify_start_end_handshape_annotations//test_auto_move//signs_mov_separ_signers/Tyler_16267.mov","MOV")</f>
        <v>21</v>
      </c>
    </row>
    <row r="1597" s="2" customFormat="1" ht="13.5" customHeight="1">
      <c r="B1597" s="13"/>
      <c r="C1597" t="s" s="9">
        <v>30</v>
      </c>
      <c r="D1597" t="s" s="8">
        <v>566</v>
      </c>
      <c r="E1597" t="s" s="9">
        <v>567</v>
      </c>
      <c r="F1597" t="s" s="10">
        <v>73</v>
      </c>
      <c r="G1597" t="s" s="11">
        <v>150</v>
      </c>
      <c r="H1597" t="s" s="10">
        <v>80</v>
      </c>
      <c r="I1597" t="s" s="11">
        <v>80</v>
      </c>
      <c r="J1597" t="s" s="11">
        <v>20</v>
      </c>
      <c r="K1597" s="15"/>
      <c r="L1597" t="s" s="16">
        <f>HYPERLINK("http://csr.bu.edu/ftp/asl/asllvd/demos/verify_start_end_handshape_annotations//test_auto_move//signs_mov_separ_signers/Brady_16267.mov","MOV")</f>
        <v>21</v>
      </c>
      <c r="M1597" t="s" s="10">
        <v>31</v>
      </c>
      <c r="N1597" s="17">
        <v>29</v>
      </c>
      <c r="O1597" s="18">
        <v>2226</v>
      </c>
      <c r="P1597" s="18">
        <v>2264</v>
      </c>
      <c r="Q1597" s="15"/>
      <c r="R1597" t="s" s="16">
        <f>HYPERLINK("http://secrets.rutgers.edu:8080/data/asl-ftp/asllvd/demos/verify_start_end_handshape_annotations//test_auto_move//signs_mov_separ_signers/Brady_16267.mov","MOV")</f>
        <v>21</v>
      </c>
    </row>
    <row r="1598" s="2" customFormat="1" ht="13.5" customHeight="1">
      <c r="B1598" t="s" s="8">
        <v>568</v>
      </c>
      <c r="C1598" t="s" s="9">
        <v>14</v>
      </c>
      <c r="D1598" t="s" s="8">
        <v>14</v>
      </c>
      <c r="E1598" t="s" s="9">
        <v>14</v>
      </c>
      <c r="F1598" t="s" s="10">
        <v>14</v>
      </c>
      <c r="G1598" t="s" s="11">
        <v>14</v>
      </c>
      <c r="H1598" t="s" s="10">
        <v>14</v>
      </c>
      <c r="I1598" t="s" s="11">
        <v>14</v>
      </c>
      <c r="J1598" t="s" s="11">
        <v>14</v>
      </c>
      <c r="K1598" t="s" s="12">
        <v>14</v>
      </c>
      <c r="L1598" t="s" s="12">
        <v>14</v>
      </c>
      <c r="M1598" t="s" s="10">
        <v>14</v>
      </c>
      <c r="N1598" t="s" s="11">
        <v>14</v>
      </c>
      <c r="O1598" t="s" s="8">
        <v>14</v>
      </c>
      <c r="P1598" t="s" s="8">
        <v>14</v>
      </c>
      <c r="Q1598" t="s" s="12">
        <v>14</v>
      </c>
      <c r="R1598" t="s" s="12">
        <v>14</v>
      </c>
    </row>
    <row r="1599" s="2" customFormat="1" ht="13.5" customHeight="1">
      <c r="B1599" s="13"/>
      <c r="C1599" t="s" s="9">
        <v>27</v>
      </c>
      <c r="D1599" t="s" s="8">
        <v>568</v>
      </c>
      <c r="E1599" t="s" s="9">
        <v>568</v>
      </c>
      <c r="F1599" t="s" s="10">
        <v>73</v>
      </c>
      <c r="G1599" s="14"/>
      <c r="H1599" t="s" s="10">
        <v>119</v>
      </c>
      <c r="I1599" s="14"/>
      <c r="J1599" t="s" s="11">
        <v>20</v>
      </c>
      <c r="K1599" s="15"/>
      <c r="L1599" t="s" s="16">
        <f>HYPERLINK("http://csr.bu.edu/ftp/asl/asllvd/demos/verify_start_end_handshape_annotations//test_auto_move//signs_mov_separ_signers/Naomi_346.mov","MOV")</f>
        <v>21</v>
      </c>
      <c r="M1599" t="s" s="10">
        <v>29</v>
      </c>
      <c r="N1599" s="17">
        <v>37</v>
      </c>
      <c r="O1599" s="18">
        <v>1987</v>
      </c>
      <c r="P1599" s="18">
        <v>2010</v>
      </c>
      <c r="Q1599" s="15"/>
      <c r="R1599" t="s" s="16">
        <f>HYPERLINK("http://secrets.rutgers.edu:8080/data/asl-ftp/asllvd/demos/verify_start_end_handshape_annotations//test_auto_move//signs_mov_separ_signers/Naomi_346.mov","MOV")</f>
        <v>21</v>
      </c>
    </row>
    <row r="1600" s="2" customFormat="1" ht="13.5" customHeight="1">
      <c r="B1600" s="13"/>
      <c r="C1600" t="s" s="9">
        <v>30</v>
      </c>
      <c r="D1600" t="s" s="8">
        <v>568</v>
      </c>
      <c r="E1600" t="s" s="9">
        <v>568</v>
      </c>
      <c r="F1600" t="s" s="10">
        <v>73</v>
      </c>
      <c r="G1600" s="14"/>
      <c r="H1600" t="s" s="10">
        <v>119</v>
      </c>
      <c r="I1600" s="14"/>
      <c r="J1600" t="s" s="11">
        <v>20</v>
      </c>
      <c r="K1600" t="s" s="16">
        <f>HYPERLINK("http://csr.bu.edu/ftp/asl/asllvd/demos/verify_start_end_handshape_annotations//test_auto_move//signs_mov/346_5822_merged.mov","MOV")</f>
        <v>21</v>
      </c>
      <c r="L1600" t="s" s="16">
        <f>HYPERLINK("http://csr.bu.edu/ftp/asl/asllvd/demos/verify_start_end_handshape_annotations//test_auto_move//signs_mov_separ_signers/Brady_346.mov","MOV")</f>
        <v>21</v>
      </c>
      <c r="M1600" t="s" s="10">
        <v>31</v>
      </c>
      <c r="N1600" s="17">
        <v>24</v>
      </c>
      <c r="O1600" s="18">
        <v>4300</v>
      </c>
      <c r="P1600" s="18">
        <v>4335</v>
      </c>
      <c r="Q1600" t="s" s="16">
        <f>HYPERLINK("http://secrets.rutgers.edu:8080/data/asl-ftp/asllvd/demos/verify_start_end_handshape_annotations//test_auto_move//signs_mov/346_5822_merged.mov","MOV")</f>
        <v>21</v>
      </c>
      <c r="R1600" t="s" s="16">
        <f>HYPERLINK("http://secrets.rutgers.edu:8080/data/asl-ftp/asllvd/demos/verify_start_end_handshape_annotations//test_auto_move//signs_mov_separ_signers/Brady_346.mov","MOV")</f>
        <v>21</v>
      </c>
    </row>
    <row r="1601" s="2" customFormat="1" ht="13.5" customHeight="1">
      <c r="B1601" s="13"/>
      <c r="C1601" t="s" s="9">
        <v>30</v>
      </c>
      <c r="D1601" t="s" s="8">
        <v>568</v>
      </c>
      <c r="E1601" t="s" s="9">
        <v>568</v>
      </c>
      <c r="F1601" t="s" s="10">
        <v>73</v>
      </c>
      <c r="G1601" s="14"/>
      <c r="H1601" t="s" s="10">
        <v>119</v>
      </c>
      <c r="I1601" s="14"/>
      <c r="J1601" t="s" s="11">
        <v>20</v>
      </c>
      <c r="K1601" s="15"/>
      <c r="L1601" t="s" s="16">
        <f>HYPERLINK("http://csr.bu.edu/ftp/asl/asllvd/demos/verify_start_end_handshape_annotations//test_auto_move//signs_mov_separ_signers/Brady_5822.mov","MOV")</f>
        <v>21</v>
      </c>
      <c r="M1601" t="s" s="10">
        <v>60</v>
      </c>
      <c r="N1601" s="17">
        <v>38</v>
      </c>
      <c r="O1601" s="18">
        <v>1041</v>
      </c>
      <c r="P1601" s="18">
        <v>1063</v>
      </c>
      <c r="Q1601" s="15"/>
      <c r="R1601" t="s" s="16">
        <f>HYPERLINK("http://secrets.rutgers.edu:8080/data/asl-ftp/asllvd/demos/verify_start_end_handshape_annotations//test_auto_move//signs_mov_separ_signers/Brady_5822.mov","MOV")</f>
        <v>21</v>
      </c>
    </row>
    <row r="1602" s="2" customFormat="1" ht="13.5" customHeight="1">
      <c r="B1602" t="s" s="8">
        <v>52</v>
      </c>
      <c r="C1602" t="s" s="9">
        <v>53</v>
      </c>
      <c r="D1602" t="s" s="8">
        <v>53</v>
      </c>
      <c r="E1602" t="s" s="9">
        <v>53</v>
      </c>
      <c r="F1602" t="s" s="10">
        <v>53</v>
      </c>
      <c r="G1602" t="s" s="11">
        <v>53</v>
      </c>
      <c r="H1602" t="s" s="10">
        <v>53</v>
      </c>
      <c r="I1602" t="s" s="11">
        <v>53</v>
      </c>
      <c r="J1602" t="s" s="11">
        <v>53</v>
      </c>
      <c r="K1602" t="s" s="12">
        <v>53</v>
      </c>
      <c r="L1602" t="s" s="12">
        <v>53</v>
      </c>
      <c r="M1602" t="s" s="10">
        <v>53</v>
      </c>
      <c r="N1602" t="s" s="11">
        <v>53</v>
      </c>
      <c r="O1602" t="s" s="8">
        <v>53</v>
      </c>
      <c r="P1602" t="s" s="8">
        <v>53</v>
      </c>
      <c r="Q1602" t="s" s="12">
        <v>53</v>
      </c>
      <c r="R1602" t="s" s="12">
        <v>53</v>
      </c>
    </row>
    <row r="1603" s="2" customFormat="1" ht="13.5" customHeight="1">
      <c r="B1603" s="13"/>
      <c r="C1603" t="s" s="9">
        <v>16</v>
      </c>
      <c r="D1603" t="s" s="8">
        <v>568</v>
      </c>
      <c r="E1603" t="s" s="9">
        <v>569</v>
      </c>
      <c r="F1603" t="s" s="10">
        <v>73</v>
      </c>
      <c r="G1603" s="14"/>
      <c r="H1603" s="19">
        <v>10</v>
      </c>
      <c r="I1603" s="14"/>
      <c r="J1603" t="s" s="11">
        <v>20</v>
      </c>
      <c r="K1603" t="s" s="16">
        <f>HYPERLINK("http://csr.bu.edu/ftp/asl/asllvd/demos/verify_start_end_handshape_annotations//test_auto_move//signs_mov/5844.mov","MOV")</f>
        <v>21</v>
      </c>
      <c r="L1603" t="s" s="16">
        <f>HYPERLINK("http://csr.bu.edu/ftp/asl/asllvd/demos/verify_start_end_handshape_annotations//test_auto_move//signs_mov_separ_signers/Liz_5844.mov","MOV")</f>
        <v>21</v>
      </c>
      <c r="M1603" t="s" s="10">
        <v>22</v>
      </c>
      <c r="N1603" s="17">
        <v>58</v>
      </c>
      <c r="O1603" s="18">
        <v>3266</v>
      </c>
      <c r="P1603" s="18">
        <v>3305</v>
      </c>
      <c r="Q1603" t="s" s="16">
        <f>HYPERLINK("http://secrets.rutgers.edu:8080/data/asl-ftp/asllvd/demos/verify_start_end_handshape_annotations//test_auto_move//signs_mov/5844.mov","MOV")</f>
        <v>21</v>
      </c>
      <c r="R1603" t="s" s="16">
        <f>HYPERLINK("http://secrets.rutgers.edu:8080/data/asl-ftp/asllvd/demos/verify_start_end_handshape_annotations//test_auto_move//signs_mov_separ_signers/Liz_5844.mov","MOV")</f>
        <v>21</v>
      </c>
    </row>
    <row r="1604" s="2" customFormat="1" ht="13.5" customHeight="1">
      <c r="B1604" t="s" s="8">
        <v>570</v>
      </c>
      <c r="C1604" t="s" s="9">
        <v>14</v>
      </c>
      <c r="D1604" t="s" s="8">
        <v>14</v>
      </c>
      <c r="E1604" t="s" s="9">
        <v>14</v>
      </c>
      <c r="F1604" t="s" s="10">
        <v>14</v>
      </c>
      <c r="G1604" t="s" s="11">
        <v>14</v>
      </c>
      <c r="H1604" t="s" s="10">
        <v>14</v>
      </c>
      <c r="I1604" t="s" s="11">
        <v>14</v>
      </c>
      <c r="J1604" t="s" s="11">
        <v>14</v>
      </c>
      <c r="K1604" t="s" s="12">
        <v>14</v>
      </c>
      <c r="L1604" t="s" s="12">
        <v>14</v>
      </c>
      <c r="M1604" t="s" s="10">
        <v>14</v>
      </c>
      <c r="N1604" t="s" s="11">
        <v>14</v>
      </c>
      <c r="O1604" t="s" s="8">
        <v>14</v>
      </c>
      <c r="P1604" t="s" s="8">
        <v>14</v>
      </c>
      <c r="Q1604" t="s" s="12">
        <v>14</v>
      </c>
      <c r="R1604" t="s" s="12">
        <v>14</v>
      </c>
    </row>
    <row r="1605" s="2" customFormat="1" ht="13.5" customHeight="1">
      <c r="B1605" s="13"/>
      <c r="C1605" t="s" s="9">
        <v>16</v>
      </c>
      <c r="D1605" t="s" s="8">
        <v>570</v>
      </c>
      <c r="E1605" t="s" s="9">
        <v>570</v>
      </c>
      <c r="F1605" t="s" s="10">
        <v>437</v>
      </c>
      <c r="G1605" s="14"/>
      <c r="H1605" t="s" s="10">
        <v>437</v>
      </c>
      <c r="I1605" s="14"/>
      <c r="J1605" t="s" s="11">
        <v>20</v>
      </c>
      <c r="K1605" s="15"/>
      <c r="L1605" t="s" s="16">
        <f>HYPERLINK("http://csr.bu.edu/ftp/asl/asllvd/demos/verify_start_end_handshape_annotations//test_auto_move//signs_mov_separ_signers/Liz_347.mov","MOV")</f>
        <v>21</v>
      </c>
      <c r="M1605" t="s" s="10">
        <v>22</v>
      </c>
      <c r="N1605" s="17">
        <v>59</v>
      </c>
      <c r="O1605" s="18">
        <v>515</v>
      </c>
      <c r="P1605" s="18">
        <v>531</v>
      </c>
      <c r="Q1605" s="15"/>
      <c r="R1605" t="s" s="16">
        <f>HYPERLINK("http://secrets.rutgers.edu:8080/data/asl-ftp/asllvd/demos/verify_start_end_handshape_annotations//test_auto_move//signs_mov_separ_signers/Liz_347.mov","MOV")</f>
        <v>21</v>
      </c>
    </row>
    <row r="1606" s="2" customFormat="1" ht="13.5" customHeight="1">
      <c r="B1606" s="13"/>
      <c r="C1606" t="s" s="9">
        <v>27</v>
      </c>
      <c r="D1606" t="s" s="8">
        <v>570</v>
      </c>
      <c r="E1606" t="s" s="9">
        <v>570</v>
      </c>
      <c r="F1606" t="s" s="10">
        <v>437</v>
      </c>
      <c r="G1606" s="14"/>
      <c r="H1606" t="s" s="10">
        <v>437</v>
      </c>
      <c r="I1606" s="14"/>
      <c r="J1606" t="s" s="11">
        <v>20</v>
      </c>
      <c r="K1606" t="s" s="16">
        <f>HYPERLINK("http://csr.bu.edu/ftp/asl/asllvd/demos/verify_start_end_handshape_annotations//test_auto_move//signs_mov/347.mov","MOV")</f>
        <v>21</v>
      </c>
      <c r="L1606" t="s" s="16">
        <f>HYPERLINK("http://csr.bu.edu/ftp/asl/asllvd/demos/verify_start_end_handshape_annotations//test_auto_move//signs_mov_separ_signers/Naomi_347.mov","MOV")</f>
        <v>21</v>
      </c>
      <c r="M1606" t="s" s="10">
        <v>29</v>
      </c>
      <c r="N1606" s="17">
        <v>37</v>
      </c>
      <c r="O1606" s="18">
        <v>2632</v>
      </c>
      <c r="P1606" s="18">
        <v>2662</v>
      </c>
      <c r="Q1606" t="s" s="16">
        <f>HYPERLINK("http://secrets.rutgers.edu:8080/data/asl-ftp/asllvd/demos/verify_start_end_handshape_annotations//test_auto_move//signs_mov/347.mov","MOV")</f>
        <v>21</v>
      </c>
      <c r="R1606" t="s" s="16">
        <f>HYPERLINK("http://secrets.rutgers.edu:8080/data/asl-ftp/asllvd/demos/verify_start_end_handshape_annotations//test_auto_move//signs_mov_separ_signers/Naomi_347.mov","MOV")</f>
        <v>21</v>
      </c>
    </row>
    <row r="1607" s="2" customFormat="1" ht="13.5" customHeight="1">
      <c r="B1607" s="13"/>
      <c r="C1607" t="s" s="9">
        <v>30</v>
      </c>
      <c r="D1607" t="s" s="8">
        <v>570</v>
      </c>
      <c r="E1607" t="s" s="9">
        <v>570</v>
      </c>
      <c r="F1607" t="s" s="10">
        <v>437</v>
      </c>
      <c r="G1607" s="14"/>
      <c r="H1607" t="s" s="10">
        <v>437</v>
      </c>
      <c r="I1607" s="14"/>
      <c r="J1607" t="s" s="11">
        <v>20</v>
      </c>
      <c r="K1607" s="15"/>
      <c r="L1607" t="s" s="16">
        <f>HYPERLINK("http://csr.bu.edu/ftp/asl/asllvd/demos/verify_start_end_handshape_annotations//test_auto_move//signs_mov_separ_signers/Brady_347.mov","MOV")</f>
        <v>21</v>
      </c>
      <c r="M1607" t="s" s="10">
        <v>31</v>
      </c>
      <c r="N1607" s="17">
        <v>24</v>
      </c>
      <c r="O1607" s="18">
        <v>5433</v>
      </c>
      <c r="P1607" s="18">
        <v>5460</v>
      </c>
      <c r="Q1607" s="15"/>
      <c r="R1607" t="s" s="16">
        <f>HYPERLINK("http://secrets.rutgers.edu:8080/data/asl-ftp/asllvd/demos/verify_start_end_handshape_annotations//test_auto_move//signs_mov_separ_signers/Brady_347.mov","MOV")</f>
        <v>21</v>
      </c>
    </row>
    <row r="1608" s="2" customFormat="1" ht="13.5" customHeight="1">
      <c r="B1608" t="s" s="8">
        <v>570</v>
      </c>
      <c r="C1608" t="s" s="9">
        <v>14</v>
      </c>
      <c r="D1608" t="s" s="8">
        <v>14</v>
      </c>
      <c r="E1608" t="s" s="9">
        <v>14</v>
      </c>
      <c r="F1608" t="s" s="10">
        <v>14</v>
      </c>
      <c r="G1608" t="s" s="11">
        <v>14</v>
      </c>
      <c r="H1608" t="s" s="10">
        <v>14</v>
      </c>
      <c r="I1608" t="s" s="11">
        <v>14</v>
      </c>
      <c r="J1608" t="s" s="11">
        <v>14</v>
      </c>
      <c r="K1608" t="s" s="12">
        <v>14</v>
      </c>
      <c r="L1608" t="s" s="12">
        <v>14</v>
      </c>
      <c r="M1608" t="s" s="10">
        <v>14</v>
      </c>
      <c r="N1608" t="s" s="11">
        <v>14</v>
      </c>
      <c r="O1608" t="s" s="8">
        <v>14</v>
      </c>
      <c r="P1608" t="s" s="8">
        <v>14</v>
      </c>
      <c r="Q1608" t="s" s="12">
        <v>14</v>
      </c>
      <c r="R1608" t="s" s="12">
        <v>14</v>
      </c>
    </row>
    <row r="1609" s="2" customFormat="1" ht="13.5" customHeight="1">
      <c r="B1609" s="13"/>
      <c r="C1609" t="s" s="9">
        <v>16</v>
      </c>
      <c r="D1609" t="s" s="8">
        <v>571</v>
      </c>
      <c r="E1609" t="s" s="9">
        <v>571</v>
      </c>
      <c r="F1609" t="s" s="10">
        <v>136</v>
      </c>
      <c r="G1609" s="14"/>
      <c r="H1609" t="s" s="10">
        <v>136</v>
      </c>
      <c r="I1609" s="14"/>
      <c r="J1609" t="s" s="11">
        <v>20</v>
      </c>
      <c r="K1609" s="15"/>
      <c r="L1609" t="s" s="16">
        <f>HYPERLINK("http://csr.bu.edu/ftp/asl/asllvd/demos/verify_start_end_handshape_annotations//test_auto_move//signs_mov_separ_signers/Liz_3586.mov","MOV")</f>
        <v>21</v>
      </c>
      <c r="M1609" t="s" s="10">
        <v>22</v>
      </c>
      <c r="N1609" s="17">
        <v>59</v>
      </c>
      <c r="O1609" s="18">
        <v>300</v>
      </c>
      <c r="P1609" s="18">
        <v>315</v>
      </c>
      <c r="Q1609" s="15"/>
      <c r="R1609" t="s" s="16">
        <f>HYPERLINK("http://secrets.rutgers.edu:8080/data/asl-ftp/asllvd/demos/verify_start_end_handshape_annotations//test_auto_move//signs_mov_separ_signers/Liz_3586.mov","MOV")</f>
        <v>21</v>
      </c>
    </row>
    <row r="1610" s="2" customFormat="1" ht="13.5" customHeight="1">
      <c r="B1610" s="13"/>
      <c r="C1610" t="s" s="9">
        <v>23</v>
      </c>
      <c r="D1610" t="s" s="8">
        <v>571</v>
      </c>
      <c r="E1610" t="s" s="9">
        <v>571</v>
      </c>
      <c r="F1610" t="s" s="10">
        <v>136</v>
      </c>
      <c r="G1610" s="14"/>
      <c r="H1610" t="s" s="10">
        <v>136</v>
      </c>
      <c r="I1610" s="14"/>
      <c r="J1610" t="s" s="11">
        <v>20</v>
      </c>
      <c r="K1610" t="s" s="16">
        <f>HYPERLINK("http://csr.bu.edu/ftp/asl/asllvd/demos/verify_start_end_handshape_annotations//test_auto_move//signs_mov/3586.mov","MOV")</f>
        <v>21</v>
      </c>
      <c r="L1610" t="s" s="16">
        <f>HYPERLINK("http://csr.bu.edu/ftp/asl/asllvd/demos/verify_start_end_handshape_annotations//test_auto_move//signs_mov_separ_signers/Tyler_3586.mov","MOV")</f>
        <v>21</v>
      </c>
      <c r="M1610" t="s" s="10">
        <v>26</v>
      </c>
      <c r="N1610" s="17">
        <v>36</v>
      </c>
      <c r="O1610" s="18">
        <v>2387</v>
      </c>
      <c r="P1610" s="18">
        <v>2410</v>
      </c>
      <c r="Q1610" t="s" s="16">
        <f>HYPERLINK("http://secrets.rutgers.edu:8080/data/asl-ftp/asllvd/demos/verify_start_end_handshape_annotations//test_auto_move//signs_mov/3586.mov","MOV")</f>
        <v>21</v>
      </c>
      <c r="R1610" t="s" s="16">
        <f>HYPERLINK("http://secrets.rutgers.edu:8080/data/asl-ftp/asllvd/demos/verify_start_end_handshape_annotations//test_auto_move//signs_mov_separ_signers/Tyler_3586.mov","MOV")</f>
        <v>21</v>
      </c>
    </row>
    <row r="1611" s="2" customFormat="1" ht="13.5" customHeight="1">
      <c r="B1611" s="13"/>
      <c r="C1611" t="s" s="9">
        <v>27</v>
      </c>
      <c r="D1611" t="s" s="8">
        <v>571</v>
      </c>
      <c r="E1611" t="s" s="9">
        <v>571</v>
      </c>
      <c r="F1611" t="s" s="10">
        <v>136</v>
      </c>
      <c r="G1611" s="14"/>
      <c r="H1611" t="s" s="10">
        <v>136</v>
      </c>
      <c r="I1611" s="14"/>
      <c r="J1611" t="s" s="11">
        <v>20</v>
      </c>
      <c r="K1611" s="15"/>
      <c r="L1611" t="s" s="16">
        <f>HYPERLINK("http://csr.bu.edu/ftp/asl/asllvd/demos/verify_start_end_handshape_annotations//test_auto_move//signs_mov_separ_signers/Naomi_3586.mov","MOV")</f>
        <v>21</v>
      </c>
      <c r="M1611" t="s" s="10">
        <v>29</v>
      </c>
      <c r="N1611" s="17">
        <v>37</v>
      </c>
      <c r="O1611" s="18">
        <v>2380</v>
      </c>
      <c r="P1611" s="18">
        <v>2398</v>
      </c>
      <c r="Q1611" s="15"/>
      <c r="R1611" t="s" s="16">
        <f>HYPERLINK("http://secrets.rutgers.edu:8080/data/asl-ftp/asllvd/demos/verify_start_end_handshape_annotations//test_auto_move//signs_mov_separ_signers/Naomi_3586.mov","MOV")</f>
        <v>21</v>
      </c>
    </row>
    <row r="1612" s="2" customFormat="1" ht="13.5" customHeight="1">
      <c r="B1612" s="13"/>
      <c r="C1612" t="s" s="9">
        <v>30</v>
      </c>
      <c r="D1612" t="s" s="8">
        <v>571</v>
      </c>
      <c r="E1612" t="s" s="9">
        <v>571</v>
      </c>
      <c r="F1612" t="s" s="10">
        <v>136</v>
      </c>
      <c r="G1612" s="14"/>
      <c r="H1612" t="s" s="10">
        <v>136</v>
      </c>
      <c r="I1612" s="14"/>
      <c r="J1612" t="s" s="11">
        <v>20</v>
      </c>
      <c r="K1612" s="15"/>
      <c r="L1612" t="s" s="16">
        <f>HYPERLINK("http://csr.bu.edu/ftp/asl/asllvd/demos/verify_start_end_handshape_annotations//test_auto_move//signs_mov_separ_signers/Brady_3586.mov","MOV")</f>
        <v>21</v>
      </c>
      <c r="M1612" t="s" s="10">
        <v>31</v>
      </c>
      <c r="N1612" s="17">
        <v>24</v>
      </c>
      <c r="O1612" s="18">
        <v>5147</v>
      </c>
      <c r="P1612" s="18">
        <v>5175</v>
      </c>
      <c r="Q1612" s="15"/>
      <c r="R1612" t="s" s="16">
        <f>HYPERLINK("http://secrets.rutgers.edu:8080/data/asl-ftp/asllvd/demos/verify_start_end_handshape_annotations//test_auto_move//signs_mov_separ_signers/Brady_3586.mov","MOV")</f>
        <v>21</v>
      </c>
    </row>
    <row r="1613" s="2" customFormat="1" ht="13.5" customHeight="1">
      <c r="B1613" t="s" s="8">
        <v>572</v>
      </c>
      <c r="C1613" t="s" s="9">
        <v>14</v>
      </c>
      <c r="D1613" t="s" s="8">
        <v>14</v>
      </c>
      <c r="E1613" t="s" s="9">
        <v>14</v>
      </c>
      <c r="F1613" t="s" s="10">
        <v>14</v>
      </c>
      <c r="G1613" t="s" s="11">
        <v>14</v>
      </c>
      <c r="H1613" t="s" s="10">
        <v>14</v>
      </c>
      <c r="I1613" t="s" s="11">
        <v>14</v>
      </c>
      <c r="J1613" t="s" s="11">
        <v>14</v>
      </c>
      <c r="K1613" t="s" s="12">
        <v>14</v>
      </c>
      <c r="L1613" t="s" s="12">
        <v>14</v>
      </c>
      <c r="M1613" t="s" s="10">
        <v>14</v>
      </c>
      <c r="N1613" t="s" s="11">
        <v>14</v>
      </c>
      <c r="O1613" t="s" s="8">
        <v>14</v>
      </c>
      <c r="P1613" t="s" s="8">
        <v>14</v>
      </c>
      <c r="Q1613" t="s" s="12">
        <v>14</v>
      </c>
      <c r="R1613" t="s" s="12">
        <v>14</v>
      </c>
    </row>
    <row r="1614" s="2" customFormat="1" ht="13.5" customHeight="1">
      <c r="B1614" s="13"/>
      <c r="C1614" t="s" s="9">
        <v>16</v>
      </c>
      <c r="D1614" t="s" s="8">
        <v>572</v>
      </c>
      <c r="E1614" t="s" s="9">
        <v>572</v>
      </c>
      <c r="F1614" t="s" s="10">
        <v>150</v>
      </c>
      <c r="G1614" t="s" s="11">
        <v>150</v>
      </c>
      <c r="H1614" t="s" s="10">
        <v>150</v>
      </c>
      <c r="I1614" t="s" s="11">
        <v>150</v>
      </c>
      <c r="J1614" t="s" s="11">
        <v>20</v>
      </c>
      <c r="K1614" s="15"/>
      <c r="L1614" t="s" s="16">
        <f>HYPERLINK("http://csr.bu.edu/ftp/asl/asllvd/demos/verify_start_end_handshape_annotations//test_auto_move//signs_mov_separ_signers/Liz_350.mov","MOV")</f>
        <v>21</v>
      </c>
      <c r="M1614" t="s" s="10">
        <v>22</v>
      </c>
      <c r="N1614" s="17">
        <v>59</v>
      </c>
      <c r="O1614" s="18">
        <v>910</v>
      </c>
      <c r="P1614" s="18">
        <v>955</v>
      </c>
      <c r="Q1614" s="15"/>
      <c r="R1614" t="s" s="16">
        <f>HYPERLINK("http://secrets.rutgers.edu:8080/data/asl-ftp/asllvd/demos/verify_start_end_handshape_annotations//test_auto_move//signs_mov_separ_signers/Liz_350.mov","MOV")</f>
        <v>21</v>
      </c>
    </row>
    <row r="1615" s="2" customFormat="1" ht="13.5" customHeight="1">
      <c r="B1615" s="13"/>
      <c r="C1615" t="s" s="9">
        <v>23</v>
      </c>
      <c r="D1615" t="s" s="8">
        <v>572</v>
      </c>
      <c r="E1615" t="s" s="9">
        <v>572</v>
      </c>
      <c r="F1615" t="s" s="10">
        <v>150</v>
      </c>
      <c r="G1615" t="s" s="11">
        <v>150</v>
      </c>
      <c r="H1615" t="s" s="10">
        <v>150</v>
      </c>
      <c r="I1615" t="s" s="11">
        <v>150</v>
      </c>
      <c r="J1615" t="s" s="11">
        <v>20</v>
      </c>
      <c r="K1615" t="s" s="16">
        <f>HYPERLINK("http://csr.bu.edu/ftp/asl/asllvd/demos/verify_start_end_handshape_annotations//test_auto_move//signs_mov/350.mov","MOV")</f>
        <v>21</v>
      </c>
      <c r="L1615" t="s" s="16">
        <f>HYPERLINK("http://csr.bu.edu/ftp/asl/asllvd/demos/verify_start_end_handshape_annotations//test_auto_move//signs_mov_separ_signers/Tyler_350.mov","MOV")</f>
        <v>21</v>
      </c>
      <c r="M1615" t="s" s="10">
        <v>26</v>
      </c>
      <c r="N1615" s="17">
        <v>36</v>
      </c>
      <c r="O1615" s="18">
        <v>3480</v>
      </c>
      <c r="P1615" s="18">
        <v>3505</v>
      </c>
      <c r="Q1615" t="s" s="16">
        <f>HYPERLINK("http://secrets.rutgers.edu:8080/data/asl-ftp/asllvd/demos/verify_start_end_handshape_annotations//test_auto_move//signs_mov/350.mov","MOV")</f>
        <v>21</v>
      </c>
      <c r="R1615" t="s" s="16">
        <f>HYPERLINK("http://secrets.rutgers.edu:8080/data/asl-ftp/asllvd/demos/verify_start_end_handshape_annotations//test_auto_move//signs_mov_separ_signers/Tyler_350.mov","MOV")</f>
        <v>21</v>
      </c>
    </row>
    <row r="1616" s="2" customFormat="1" ht="13.5" customHeight="1">
      <c r="B1616" s="13"/>
      <c r="C1616" t="s" s="9">
        <v>27</v>
      </c>
      <c r="D1616" t="s" s="8">
        <v>572</v>
      </c>
      <c r="E1616" t="s" s="9">
        <v>572</v>
      </c>
      <c r="F1616" t="s" s="10">
        <v>150</v>
      </c>
      <c r="G1616" t="s" s="11">
        <v>150</v>
      </c>
      <c r="H1616" t="s" s="10">
        <v>150</v>
      </c>
      <c r="I1616" t="s" s="11">
        <v>150</v>
      </c>
      <c r="J1616" t="s" s="11">
        <v>20</v>
      </c>
      <c r="K1616" s="15"/>
      <c r="L1616" t="s" s="16">
        <f>HYPERLINK("http://csr.bu.edu/ftp/asl/asllvd/demos/verify_start_end_handshape_annotations//test_auto_move//signs_mov_separ_signers/Naomi_350.mov","MOV")</f>
        <v>21</v>
      </c>
      <c r="M1616" t="s" s="10">
        <v>29</v>
      </c>
      <c r="N1616" s="17">
        <v>37</v>
      </c>
      <c r="O1616" s="18">
        <v>3240</v>
      </c>
      <c r="P1616" s="18">
        <v>3272</v>
      </c>
      <c r="Q1616" s="15"/>
      <c r="R1616" t="s" s="16">
        <f>HYPERLINK("http://secrets.rutgers.edu:8080/data/asl-ftp/asllvd/demos/verify_start_end_handshape_annotations//test_auto_move//signs_mov_separ_signers/Naomi_350.mov","MOV")</f>
        <v>21</v>
      </c>
    </row>
    <row r="1617" s="2" customFormat="1" ht="13.5" customHeight="1">
      <c r="B1617" s="13"/>
      <c r="C1617" t="s" s="9">
        <v>30</v>
      </c>
      <c r="D1617" t="s" s="8">
        <v>572</v>
      </c>
      <c r="E1617" t="s" s="9">
        <v>572</v>
      </c>
      <c r="F1617" t="s" s="10">
        <v>150</v>
      </c>
      <c r="G1617" t="s" s="11">
        <v>150</v>
      </c>
      <c r="H1617" t="s" s="10">
        <v>150</v>
      </c>
      <c r="I1617" t="s" s="11">
        <v>150</v>
      </c>
      <c r="J1617" t="s" s="11">
        <v>20</v>
      </c>
      <c r="K1617" s="15"/>
      <c r="L1617" t="s" s="16">
        <f>HYPERLINK("http://csr.bu.edu/ftp/asl/asllvd/demos/verify_start_end_handshape_annotations//test_auto_move//signs_mov_separ_signers/Brady_350.mov","MOV")</f>
        <v>21</v>
      </c>
      <c r="M1617" t="s" s="10">
        <v>31</v>
      </c>
      <c r="N1617" s="17">
        <v>24</v>
      </c>
      <c r="O1617" s="18">
        <v>7462</v>
      </c>
      <c r="P1617" s="18">
        <v>7492</v>
      </c>
      <c r="Q1617" s="15"/>
      <c r="R1617" t="s" s="16">
        <f>HYPERLINK("http://secrets.rutgers.edu:8080/data/asl-ftp/asllvd/demos/verify_start_end_handshape_annotations//test_auto_move//signs_mov_separ_signers/Brady_350.mov","MOV")</f>
        <v>21</v>
      </c>
    </row>
    <row r="1618" s="2" customFormat="1" ht="13.5" customHeight="1">
      <c r="B1618" t="s" s="8">
        <v>573</v>
      </c>
      <c r="C1618" t="s" s="9">
        <v>14</v>
      </c>
      <c r="D1618" t="s" s="8">
        <v>14</v>
      </c>
      <c r="E1618" t="s" s="9">
        <v>14</v>
      </c>
      <c r="F1618" t="s" s="10">
        <v>14</v>
      </c>
      <c r="G1618" t="s" s="11">
        <v>14</v>
      </c>
      <c r="H1618" t="s" s="10">
        <v>14</v>
      </c>
      <c r="I1618" t="s" s="11">
        <v>14</v>
      </c>
      <c r="J1618" t="s" s="11">
        <v>14</v>
      </c>
      <c r="K1618" t="s" s="12">
        <v>14</v>
      </c>
      <c r="L1618" t="s" s="12">
        <v>14</v>
      </c>
      <c r="M1618" t="s" s="10">
        <v>14</v>
      </c>
      <c r="N1618" t="s" s="11">
        <v>14</v>
      </c>
      <c r="O1618" t="s" s="8">
        <v>14</v>
      </c>
      <c r="P1618" t="s" s="8">
        <v>14</v>
      </c>
      <c r="Q1618" t="s" s="12">
        <v>14</v>
      </c>
      <c r="R1618" t="s" s="12">
        <v>14</v>
      </c>
    </row>
    <row r="1619" s="2" customFormat="1" ht="13.5" customHeight="1">
      <c r="B1619" s="13"/>
      <c r="C1619" t="s" s="9">
        <v>27</v>
      </c>
      <c r="D1619" t="s" s="8">
        <v>573</v>
      </c>
      <c r="E1619" t="s" s="9">
        <v>573</v>
      </c>
      <c r="F1619" t="s" s="10">
        <v>55</v>
      </c>
      <c r="G1619" t="s" s="11">
        <v>68</v>
      </c>
      <c r="H1619" t="s" s="10">
        <v>55</v>
      </c>
      <c r="I1619" t="s" s="11">
        <v>68</v>
      </c>
      <c r="J1619" t="s" s="11">
        <v>20</v>
      </c>
      <c r="K1619" t="s" s="16">
        <f>HYPERLINK("http://csr.bu.edu/ftp/asl/asllvd/demos/verify_start_end_handshape_annotations//test_auto_move//signs_mov/352.mov","MOV")</f>
        <v>21</v>
      </c>
      <c r="L1619" t="s" s="16">
        <f>HYPERLINK("http://csr.bu.edu/ftp/asl/asllvd/demos/verify_start_end_handshape_annotations//test_auto_move//signs_mov_separ_signers/Naomi_352.mov","MOV")</f>
        <v>21</v>
      </c>
      <c r="M1619" t="s" s="10">
        <v>29</v>
      </c>
      <c r="N1619" s="17">
        <v>38</v>
      </c>
      <c r="O1619" s="18">
        <v>515</v>
      </c>
      <c r="P1619" s="18">
        <v>545</v>
      </c>
      <c r="Q1619" t="s" s="16">
        <f>HYPERLINK("http://secrets.rutgers.edu:8080/data/asl-ftp/asllvd/demos/verify_start_end_handshape_annotations//test_auto_move//signs_mov/352.mov","MOV")</f>
        <v>21</v>
      </c>
      <c r="R1619" t="s" s="16">
        <f>HYPERLINK("http://secrets.rutgers.edu:8080/data/asl-ftp/asllvd/demos/verify_start_end_handshape_annotations//test_auto_move//signs_mov_separ_signers/Naomi_352.mov","MOV")</f>
        <v>21</v>
      </c>
    </row>
    <row r="1620" s="2" customFormat="1" ht="13.5" customHeight="1">
      <c r="B1620" s="13"/>
      <c r="C1620" t="s" s="9">
        <v>30</v>
      </c>
      <c r="D1620" t="s" s="8">
        <v>573</v>
      </c>
      <c r="E1620" t="s" s="9">
        <v>574</v>
      </c>
      <c r="F1620" t="s" s="10">
        <v>152</v>
      </c>
      <c r="G1620" t="s" s="11">
        <v>68</v>
      </c>
      <c r="H1620" t="s" s="10">
        <v>152</v>
      </c>
      <c r="I1620" t="s" s="11">
        <v>68</v>
      </c>
      <c r="J1620" t="s" s="11">
        <v>20</v>
      </c>
      <c r="K1620" s="15"/>
      <c r="L1620" t="s" s="16">
        <f>HYPERLINK("http://csr.bu.edu/ftp/asl/asllvd/demos/verify_start_end_handshape_annotations//test_auto_move//signs_mov_separ_signers/Brady_352.mov","MOV")</f>
        <v>21</v>
      </c>
      <c r="M1620" t="s" s="10">
        <v>31</v>
      </c>
      <c r="N1620" s="17">
        <v>24</v>
      </c>
      <c r="O1620" s="18">
        <v>8016</v>
      </c>
      <c r="P1620" s="18">
        <v>8049</v>
      </c>
      <c r="Q1620" s="15"/>
      <c r="R1620" t="s" s="16">
        <f>HYPERLINK("http://secrets.rutgers.edu:8080/data/asl-ftp/asllvd/demos/verify_start_end_handshape_annotations//test_auto_move//signs_mov_separ_signers/Brady_352.mov","MOV")</f>
        <v>21</v>
      </c>
    </row>
    <row r="1621" s="2" customFormat="1" ht="13.5" customHeight="1">
      <c r="B1621" t="s" s="8">
        <v>52</v>
      </c>
      <c r="C1621" t="s" s="9">
        <v>53</v>
      </c>
      <c r="D1621" t="s" s="8">
        <v>53</v>
      </c>
      <c r="E1621" t="s" s="9">
        <v>53</v>
      </c>
      <c r="F1621" t="s" s="10">
        <v>53</v>
      </c>
      <c r="G1621" t="s" s="11">
        <v>53</v>
      </c>
      <c r="H1621" t="s" s="10">
        <v>53</v>
      </c>
      <c r="I1621" t="s" s="11">
        <v>53</v>
      </c>
      <c r="J1621" t="s" s="11">
        <v>53</v>
      </c>
      <c r="K1621" t="s" s="12">
        <v>53</v>
      </c>
      <c r="L1621" t="s" s="12">
        <v>53</v>
      </c>
      <c r="M1621" t="s" s="10">
        <v>53</v>
      </c>
      <c r="N1621" t="s" s="11">
        <v>53</v>
      </c>
      <c r="O1621" t="s" s="8">
        <v>53</v>
      </c>
      <c r="P1621" t="s" s="8">
        <v>53</v>
      </c>
      <c r="Q1621" t="s" s="12">
        <v>53</v>
      </c>
      <c r="R1621" t="s" s="12">
        <v>53</v>
      </c>
    </row>
    <row r="1622" s="2" customFormat="1" ht="13.5" customHeight="1">
      <c r="B1622" s="13"/>
      <c r="C1622" t="s" s="9">
        <v>16</v>
      </c>
      <c r="D1622" t="s" s="8">
        <v>573</v>
      </c>
      <c r="E1622" t="s" s="9">
        <v>575</v>
      </c>
      <c r="F1622" t="s" s="10">
        <v>55</v>
      </c>
      <c r="G1622" t="s" s="11">
        <v>55</v>
      </c>
      <c r="H1622" t="s" s="10">
        <v>55</v>
      </c>
      <c r="I1622" t="s" s="11">
        <v>55</v>
      </c>
      <c r="J1622" t="s" s="11">
        <v>20</v>
      </c>
      <c r="K1622" t="s" s="16">
        <f>HYPERLINK("http://csr.bu.edu/ftp/asl/asllvd/demos/verify_start_end_handshape_annotations//test_auto_move//signs_mov/15301.mov","MOV")</f>
        <v>21</v>
      </c>
      <c r="L1622" t="s" s="16">
        <f>HYPERLINK("http://csr.bu.edu/ftp/asl/asllvd/demos/verify_start_end_handshape_annotations//test_auto_move//signs_mov_separ_signers/Liz_15301.mov","MOV")</f>
        <v>21</v>
      </c>
      <c r="M1622" t="s" s="10">
        <v>22</v>
      </c>
      <c r="N1622" s="17">
        <v>60</v>
      </c>
      <c r="O1622" s="18">
        <v>490</v>
      </c>
      <c r="P1622" s="18">
        <v>525</v>
      </c>
      <c r="Q1622" t="s" s="16">
        <f>HYPERLINK("http://secrets.rutgers.edu:8080/data/asl-ftp/asllvd/demos/verify_start_end_handshape_annotations//test_auto_move//signs_mov/15301.mov","MOV")</f>
        <v>21</v>
      </c>
      <c r="R1622" t="s" s="16">
        <f>HYPERLINK("http://secrets.rutgers.edu:8080/data/asl-ftp/asllvd/demos/verify_start_end_handshape_annotations//test_auto_move//signs_mov_separ_signers/Liz_15301.mov","MOV")</f>
        <v>21</v>
      </c>
    </row>
    <row r="1623" s="2" customFormat="1" ht="13.5" customHeight="1">
      <c r="B1623" s="13"/>
      <c r="C1623" t="s" s="9">
        <v>23</v>
      </c>
      <c r="D1623" t="s" s="8">
        <v>573</v>
      </c>
      <c r="E1623" t="s" s="9">
        <v>575</v>
      </c>
      <c r="F1623" t="s" s="10">
        <v>55</v>
      </c>
      <c r="G1623" t="s" s="11">
        <v>55</v>
      </c>
      <c r="H1623" t="s" s="10">
        <v>55</v>
      </c>
      <c r="I1623" t="s" s="11">
        <v>55</v>
      </c>
      <c r="J1623" t="s" s="11">
        <v>20</v>
      </c>
      <c r="K1623" s="15"/>
      <c r="L1623" t="s" s="16">
        <f>HYPERLINK("http://csr.bu.edu/ftp/asl/asllvd/demos/verify_start_end_handshape_annotations//test_auto_move//signs_mov_separ_signers/Tyler_15301.mov","MOV")</f>
        <v>21</v>
      </c>
      <c r="M1623" t="s" s="10">
        <v>26</v>
      </c>
      <c r="N1623" s="17">
        <v>37</v>
      </c>
      <c r="O1623" s="18">
        <v>555</v>
      </c>
      <c r="P1623" s="18">
        <v>620</v>
      </c>
      <c r="Q1623" s="15"/>
      <c r="R1623" t="s" s="16">
        <f>HYPERLINK("http://secrets.rutgers.edu:8080/data/asl-ftp/asllvd/demos/verify_start_end_handshape_annotations//test_auto_move//signs_mov_separ_signers/Tyler_15301.mov","MOV")</f>
        <v>21</v>
      </c>
    </row>
    <row r="1624" s="2" customFormat="1" ht="13.5" customHeight="1">
      <c r="B1624" t="s" s="8">
        <v>52</v>
      </c>
      <c r="C1624" t="s" s="9">
        <v>53</v>
      </c>
      <c r="D1624" t="s" s="8">
        <v>53</v>
      </c>
      <c r="E1624" t="s" s="9">
        <v>53</v>
      </c>
      <c r="F1624" t="s" s="10">
        <v>53</v>
      </c>
      <c r="G1624" t="s" s="11">
        <v>53</v>
      </c>
      <c r="H1624" t="s" s="10">
        <v>53</v>
      </c>
      <c r="I1624" t="s" s="11">
        <v>53</v>
      </c>
      <c r="J1624" t="s" s="11">
        <v>53</v>
      </c>
      <c r="K1624" t="s" s="12">
        <v>53</v>
      </c>
      <c r="L1624" t="s" s="12">
        <v>53</v>
      </c>
      <c r="M1624" t="s" s="10">
        <v>53</v>
      </c>
      <c r="N1624" t="s" s="11">
        <v>53</v>
      </c>
      <c r="O1624" t="s" s="8">
        <v>53</v>
      </c>
      <c r="P1624" t="s" s="8">
        <v>53</v>
      </c>
      <c r="Q1624" t="s" s="12">
        <v>53</v>
      </c>
      <c r="R1624" t="s" s="12">
        <v>53</v>
      </c>
    </row>
    <row r="1625" s="2" customFormat="1" ht="13.5" customHeight="1">
      <c r="B1625" s="13"/>
      <c r="C1625" t="s" s="9">
        <v>16</v>
      </c>
      <c r="D1625" t="s" s="8">
        <v>573</v>
      </c>
      <c r="E1625" t="s" s="9">
        <v>576</v>
      </c>
      <c r="F1625" t="s" s="10">
        <v>55</v>
      </c>
      <c r="G1625" t="s" s="11">
        <v>68</v>
      </c>
      <c r="H1625" t="s" s="10">
        <v>55</v>
      </c>
      <c r="I1625" t="s" s="11">
        <v>68</v>
      </c>
      <c r="J1625" t="s" s="11">
        <v>20</v>
      </c>
      <c r="K1625" t="s" s="16">
        <f>HYPERLINK("http://csr.bu.edu/ftp/asl/asllvd/demos/verify_start_end_handshape_annotations//test_auto_move//signs_mov/15336.mov","MOV")</f>
        <v>21</v>
      </c>
      <c r="L1625" t="s" s="16">
        <f>HYPERLINK("http://csr.bu.edu/ftp/asl/asllvd/demos/verify_start_end_handshape_annotations//test_auto_move//signs_mov_separ_signers/Liz_15336.mov","MOV")</f>
        <v>21</v>
      </c>
      <c r="M1625" t="s" s="10">
        <v>22</v>
      </c>
      <c r="N1625" s="17">
        <v>59</v>
      </c>
      <c r="O1625" s="18">
        <v>1680</v>
      </c>
      <c r="P1625" s="18">
        <v>1710</v>
      </c>
      <c r="Q1625" t="s" s="16">
        <f>HYPERLINK("http://secrets.rutgers.edu:8080/data/asl-ftp/asllvd/demos/verify_start_end_handshape_annotations//test_auto_move//signs_mov/15336.mov","MOV")</f>
        <v>21</v>
      </c>
      <c r="R1625" t="s" s="16">
        <f>HYPERLINK("http://secrets.rutgers.edu:8080/data/asl-ftp/asllvd/demos/verify_start_end_handshape_annotations//test_auto_move//signs_mov_separ_signers/Liz_15336.mov","MOV")</f>
        <v>21</v>
      </c>
    </row>
    <row r="1626" s="2" customFormat="1" ht="13.5" customHeight="1">
      <c r="B1626" t="s" s="8">
        <v>577</v>
      </c>
      <c r="C1626" t="s" s="9">
        <v>14</v>
      </c>
      <c r="D1626" t="s" s="8">
        <v>14</v>
      </c>
      <c r="E1626" t="s" s="9">
        <v>14</v>
      </c>
      <c r="F1626" t="s" s="10">
        <v>14</v>
      </c>
      <c r="G1626" t="s" s="11">
        <v>14</v>
      </c>
      <c r="H1626" t="s" s="10">
        <v>14</v>
      </c>
      <c r="I1626" t="s" s="11">
        <v>14</v>
      </c>
      <c r="J1626" t="s" s="11">
        <v>14</v>
      </c>
      <c r="K1626" t="s" s="12">
        <v>14</v>
      </c>
      <c r="L1626" t="s" s="12">
        <v>14</v>
      </c>
      <c r="M1626" t="s" s="10">
        <v>14</v>
      </c>
      <c r="N1626" t="s" s="11">
        <v>14</v>
      </c>
      <c r="O1626" t="s" s="8">
        <v>14</v>
      </c>
      <c r="P1626" t="s" s="8">
        <v>14</v>
      </c>
      <c r="Q1626" t="s" s="12">
        <v>14</v>
      </c>
      <c r="R1626" t="s" s="12">
        <v>14</v>
      </c>
    </row>
    <row r="1627" s="2" customFormat="1" ht="13.5" customHeight="1">
      <c r="B1627" s="13"/>
      <c r="C1627" t="s" s="9">
        <v>30</v>
      </c>
      <c r="D1627" t="s" s="8">
        <v>577</v>
      </c>
      <c r="E1627" t="s" s="9">
        <v>578</v>
      </c>
      <c r="F1627" t="s" s="10">
        <v>55</v>
      </c>
      <c r="G1627" t="s" s="11">
        <v>105</v>
      </c>
      <c r="H1627" t="s" s="10">
        <v>55</v>
      </c>
      <c r="I1627" t="s" s="11">
        <v>105</v>
      </c>
      <c r="J1627" t="s" s="11">
        <v>20</v>
      </c>
      <c r="K1627" t="s" s="16">
        <f>HYPERLINK("http://csr.bu.edu/ftp/asl/asllvd/demos/verify_start_end_handshape_annotations//test_auto_move//signs_mov/15337.mov","MOV")</f>
        <v>21</v>
      </c>
      <c r="L1627" t="s" s="16">
        <f>HYPERLINK("http://csr.bu.edu/ftp/asl/asllvd/demos/verify_start_end_handshape_annotations//test_auto_move//signs_mov_separ_signers/Brady_15337.mov","MOV")</f>
        <v>21</v>
      </c>
      <c r="M1627" t="s" s="10">
        <v>31</v>
      </c>
      <c r="N1627" s="17">
        <v>24</v>
      </c>
      <c r="O1627" s="18">
        <v>8783</v>
      </c>
      <c r="P1627" s="18">
        <v>8810</v>
      </c>
      <c r="Q1627" t="s" s="16">
        <f>HYPERLINK("http://secrets.rutgers.edu:8080/data/asl-ftp/asllvd/demos/verify_start_end_handshape_annotations//test_auto_move//signs_mov/15337.mov","MOV")</f>
        <v>21</v>
      </c>
      <c r="R1627" t="s" s="16">
        <f>HYPERLINK("http://secrets.rutgers.edu:8080/data/asl-ftp/asllvd/demos/verify_start_end_handshape_annotations//test_auto_move//signs_mov_separ_signers/Brady_15337.mov","MOV")</f>
        <v>21</v>
      </c>
    </row>
    <row r="1628" s="2" customFormat="1" ht="13.5" customHeight="1">
      <c r="B1628" t="s" s="8">
        <v>52</v>
      </c>
      <c r="C1628" t="s" s="9">
        <v>53</v>
      </c>
      <c r="D1628" t="s" s="8">
        <v>53</v>
      </c>
      <c r="E1628" t="s" s="9">
        <v>53</v>
      </c>
      <c r="F1628" t="s" s="10">
        <v>53</v>
      </c>
      <c r="G1628" t="s" s="11">
        <v>53</v>
      </c>
      <c r="H1628" t="s" s="10">
        <v>53</v>
      </c>
      <c r="I1628" t="s" s="11">
        <v>53</v>
      </c>
      <c r="J1628" t="s" s="11">
        <v>53</v>
      </c>
      <c r="K1628" t="s" s="12">
        <v>53</v>
      </c>
      <c r="L1628" t="s" s="12">
        <v>53</v>
      </c>
      <c r="M1628" t="s" s="10">
        <v>53</v>
      </c>
      <c r="N1628" t="s" s="11">
        <v>53</v>
      </c>
      <c r="O1628" t="s" s="8">
        <v>53</v>
      </c>
      <c r="P1628" t="s" s="8">
        <v>53</v>
      </c>
      <c r="Q1628" t="s" s="12">
        <v>53</v>
      </c>
      <c r="R1628" t="s" s="12">
        <v>53</v>
      </c>
    </row>
    <row r="1629" s="2" customFormat="1" ht="13.5" customHeight="1">
      <c r="B1629" s="13"/>
      <c r="C1629" t="s" s="9">
        <v>27</v>
      </c>
      <c r="D1629" t="s" s="8">
        <v>577</v>
      </c>
      <c r="E1629" t="s" s="9">
        <v>579</v>
      </c>
      <c r="F1629" t="s" s="10">
        <v>55</v>
      </c>
      <c r="G1629" t="s" s="11">
        <v>105</v>
      </c>
      <c r="H1629" t="s" s="10">
        <v>55</v>
      </c>
      <c r="I1629" t="s" s="11">
        <v>105</v>
      </c>
      <c r="J1629" t="s" s="11">
        <v>20</v>
      </c>
      <c r="K1629" s="15"/>
      <c r="L1629" t="s" s="16">
        <f>HYPERLINK("http://csr.bu.edu/ftp/asl/asllvd/demos/verify_start_end_handshape_annotations//test_auto_move//signs_mov_separ_signers/Naomi_16538.mov","MOV")</f>
        <v>21</v>
      </c>
      <c r="M1629" t="s" s="10">
        <v>29</v>
      </c>
      <c r="N1629" s="17">
        <v>38</v>
      </c>
      <c r="O1629" s="18">
        <v>746</v>
      </c>
      <c r="P1629" s="18">
        <v>775</v>
      </c>
      <c r="Q1629" s="15"/>
      <c r="R1629" t="s" s="16">
        <f>HYPERLINK("http://secrets.rutgers.edu:8080/data/asl-ftp/asllvd/demos/verify_start_end_handshape_annotations//test_auto_move//signs_mov_separ_signers/Naomi_16538.mov","MOV")</f>
        <v>21</v>
      </c>
    </row>
    <row r="1630" s="2" customFormat="1" ht="13.5" customHeight="1">
      <c r="B1630" s="13"/>
      <c r="C1630" t="s" s="9">
        <v>41</v>
      </c>
      <c r="D1630" t="s" s="8">
        <v>577</v>
      </c>
      <c r="E1630" t="s" s="9">
        <v>580</v>
      </c>
      <c r="F1630" t="s" s="10">
        <v>152</v>
      </c>
      <c r="G1630" t="s" s="11">
        <v>55</v>
      </c>
      <c r="H1630" t="s" s="10">
        <v>152</v>
      </c>
      <c r="I1630" t="s" s="11">
        <v>55</v>
      </c>
      <c r="J1630" t="s" s="11">
        <v>20</v>
      </c>
      <c r="K1630" t="s" s="16">
        <f>HYPERLINK("http://csr.bu.edu/ftp/asl/asllvd/demos/verify_start_end_handshape_annotations//test_auto_move//signs_mov/16538.mov","MOV")</f>
        <v>21</v>
      </c>
      <c r="L1630" t="s" s="16">
        <f>HYPERLINK("http://csr.bu.edu/ftp/asl/asllvd/demos/verify_start_end_handshape_annotations//test_auto_move//signs_mov_separ_signers/Lana_16538.mov","MOV")</f>
        <v>21</v>
      </c>
      <c r="M1630" t="s" s="10">
        <v>42</v>
      </c>
      <c r="N1630" s="17">
        <v>4</v>
      </c>
      <c r="O1630" s="18">
        <v>1021</v>
      </c>
      <c r="P1630" s="18">
        <v>1075</v>
      </c>
      <c r="Q1630" t="s" s="16">
        <f>HYPERLINK("http://secrets.rutgers.edu:8080/data/asl-ftp/asllvd/demos/verify_start_end_handshape_annotations//test_auto_move//signs_mov/16538.mov","MOV")</f>
        <v>21</v>
      </c>
      <c r="R1630" t="s" s="16">
        <f>HYPERLINK("http://secrets.rutgers.edu:8080/data/asl-ftp/asllvd/demos/verify_start_end_handshape_annotations//test_auto_move//signs_mov_separ_signers/Lana_16538.mov","MOV")</f>
        <v>21</v>
      </c>
    </row>
    <row r="1631" s="2" customFormat="1" ht="13.5" customHeight="1">
      <c r="B1631" s="13"/>
      <c r="C1631" t="s" s="9">
        <v>43</v>
      </c>
      <c r="D1631" t="s" s="8">
        <v>577</v>
      </c>
      <c r="E1631" t="s" s="9">
        <v>579</v>
      </c>
      <c r="F1631" t="s" s="10">
        <v>152</v>
      </c>
      <c r="G1631" t="s" s="11">
        <v>105</v>
      </c>
      <c r="H1631" t="s" s="10">
        <v>152</v>
      </c>
      <c r="I1631" t="s" s="11">
        <v>105</v>
      </c>
      <c r="J1631" t="s" s="11">
        <v>20</v>
      </c>
      <c r="K1631" s="15"/>
      <c r="L1631" t="s" s="16">
        <f>HYPERLINK("http://csr.bu.edu/ftp/asl/asllvd/demos/verify_start_end_handshape_annotations//test_auto_move//signs_mov_separ_signers/Dana_16538.mov","MOV")</f>
        <v>21</v>
      </c>
      <c r="M1631" t="s" s="10">
        <v>44</v>
      </c>
      <c r="N1631" s="17">
        <v>8</v>
      </c>
      <c r="O1631" s="18">
        <v>924</v>
      </c>
      <c r="P1631" s="18">
        <v>981</v>
      </c>
      <c r="Q1631" s="15"/>
      <c r="R1631" t="s" s="16">
        <f>HYPERLINK("http://secrets.rutgers.edu:8080/data/asl-ftp/asllvd/demos/verify_start_end_handshape_annotations//test_auto_move//signs_mov_separ_signers/Dana_16538.mov","MOV")</f>
        <v>21</v>
      </c>
    </row>
    <row r="1632" s="2" customFormat="1" ht="13.5" customHeight="1">
      <c r="B1632" t="s" s="8">
        <v>52</v>
      </c>
      <c r="C1632" t="s" s="9">
        <v>53</v>
      </c>
      <c r="D1632" t="s" s="8">
        <v>53</v>
      </c>
      <c r="E1632" t="s" s="9">
        <v>53</v>
      </c>
      <c r="F1632" t="s" s="10">
        <v>53</v>
      </c>
      <c r="G1632" t="s" s="11">
        <v>53</v>
      </c>
      <c r="H1632" t="s" s="10">
        <v>53</v>
      </c>
      <c r="I1632" t="s" s="11">
        <v>53</v>
      </c>
      <c r="J1632" t="s" s="11">
        <v>53</v>
      </c>
      <c r="K1632" t="s" s="12">
        <v>53</v>
      </c>
      <c r="L1632" t="s" s="12">
        <v>53</v>
      </c>
      <c r="M1632" t="s" s="10">
        <v>53</v>
      </c>
      <c r="N1632" t="s" s="11">
        <v>53</v>
      </c>
      <c r="O1632" t="s" s="8">
        <v>53</v>
      </c>
      <c r="P1632" t="s" s="8">
        <v>53</v>
      </c>
      <c r="Q1632" t="s" s="12">
        <v>53</v>
      </c>
      <c r="R1632" t="s" s="12">
        <v>53</v>
      </c>
    </row>
    <row r="1633" s="2" customFormat="1" ht="13.5" customHeight="1">
      <c r="B1633" s="13"/>
      <c r="C1633" t="s" s="9">
        <v>23</v>
      </c>
      <c r="D1633" t="s" s="8">
        <v>577</v>
      </c>
      <c r="E1633" t="s" s="9">
        <v>581</v>
      </c>
      <c r="F1633" t="s" s="10">
        <v>55</v>
      </c>
      <c r="G1633" t="s" s="11">
        <v>109</v>
      </c>
      <c r="H1633" t="s" s="10">
        <v>55</v>
      </c>
      <c r="I1633" t="s" s="11">
        <v>109</v>
      </c>
      <c r="J1633" t="s" s="11">
        <v>20</v>
      </c>
      <c r="K1633" t="s" s="16">
        <f>HYPERLINK("http://csr.bu.edu/ftp/asl/asllvd/demos/verify_start_end_handshape_annotations//test_auto_move//signs_mov/16539.mov","MOV")</f>
        <v>21</v>
      </c>
      <c r="L1633" t="s" s="16">
        <f>HYPERLINK("http://csr.bu.edu/ftp/asl/asllvd/demos/verify_start_end_handshape_annotations//test_auto_move//signs_mov_separ_signers/Tyler_16539.mov","MOV")</f>
        <v>21</v>
      </c>
      <c r="M1633" t="s" s="10">
        <v>26</v>
      </c>
      <c r="N1633" s="17">
        <v>37</v>
      </c>
      <c r="O1633" s="18">
        <v>815</v>
      </c>
      <c r="P1633" s="18">
        <v>885</v>
      </c>
      <c r="Q1633" t="s" s="16">
        <f>HYPERLINK("http://secrets.rutgers.edu:8080/data/asl-ftp/asllvd/demos/verify_start_end_handshape_annotations//test_auto_move//signs_mov/16539.mov","MOV")</f>
        <v>21</v>
      </c>
      <c r="R1633" t="s" s="16">
        <f>HYPERLINK("http://secrets.rutgers.edu:8080/data/asl-ftp/asllvd/demos/verify_start_end_handshape_annotations//test_auto_move//signs_mov_separ_signers/Tyler_16539.mov","MOV")</f>
        <v>21</v>
      </c>
    </row>
    <row r="1634" s="2" customFormat="1" ht="13.5" customHeight="1">
      <c r="B1634" t="s" s="8">
        <v>582</v>
      </c>
      <c r="C1634" t="s" s="9">
        <v>14</v>
      </c>
      <c r="D1634" t="s" s="8">
        <v>14</v>
      </c>
      <c r="E1634" t="s" s="9">
        <v>14</v>
      </c>
      <c r="F1634" t="s" s="10">
        <v>14</v>
      </c>
      <c r="G1634" t="s" s="11">
        <v>14</v>
      </c>
      <c r="H1634" t="s" s="10">
        <v>14</v>
      </c>
      <c r="I1634" t="s" s="11">
        <v>14</v>
      </c>
      <c r="J1634" t="s" s="11">
        <v>14</v>
      </c>
      <c r="K1634" t="s" s="12">
        <v>14</v>
      </c>
      <c r="L1634" t="s" s="12">
        <v>14</v>
      </c>
      <c r="M1634" t="s" s="10">
        <v>14</v>
      </c>
      <c r="N1634" t="s" s="11">
        <v>14</v>
      </c>
      <c r="O1634" t="s" s="8">
        <v>14</v>
      </c>
      <c r="P1634" t="s" s="8">
        <v>14</v>
      </c>
      <c r="Q1634" t="s" s="12">
        <v>14</v>
      </c>
      <c r="R1634" t="s" s="12">
        <v>14</v>
      </c>
    </row>
    <row r="1635" s="2" customFormat="1" ht="13.5" customHeight="1">
      <c r="B1635" s="13"/>
      <c r="C1635" t="s" s="9">
        <v>16</v>
      </c>
      <c r="D1635" t="s" s="8">
        <v>582</v>
      </c>
      <c r="E1635" t="s" s="9">
        <v>582</v>
      </c>
      <c r="F1635" s="19">
        <v>1</v>
      </c>
      <c r="G1635" s="17">
        <v>1</v>
      </c>
      <c r="H1635" s="19">
        <v>1</v>
      </c>
      <c r="I1635" s="17">
        <v>1</v>
      </c>
      <c r="J1635" t="s" s="11">
        <v>20</v>
      </c>
      <c r="K1635" s="15"/>
      <c r="L1635" t="s" s="16">
        <f>HYPERLINK("http://csr.bu.edu/ftp/asl/asllvd/demos/verify_start_end_handshape_annotations//test_auto_move//signs_mov_separ_signers/Liz_354.mov","MOV")</f>
        <v>21</v>
      </c>
      <c r="M1635" t="s" s="10">
        <v>22</v>
      </c>
      <c r="N1635" s="17">
        <v>60</v>
      </c>
      <c r="O1635" s="18">
        <v>665</v>
      </c>
      <c r="P1635" s="18">
        <v>695</v>
      </c>
      <c r="Q1635" s="15"/>
      <c r="R1635" t="s" s="16">
        <f>HYPERLINK("http://secrets.rutgers.edu:8080/data/asl-ftp/asllvd/demos/verify_start_end_handshape_annotations//test_auto_move//signs_mov_separ_signers/Liz_354.mov","MOV")</f>
        <v>21</v>
      </c>
    </row>
    <row r="1636" s="2" customFormat="1" ht="13.5" customHeight="1">
      <c r="B1636" s="13"/>
      <c r="C1636" t="s" s="9">
        <v>23</v>
      </c>
      <c r="D1636" t="s" s="8">
        <v>582</v>
      </c>
      <c r="E1636" t="s" s="9">
        <v>582</v>
      </c>
      <c r="F1636" s="19">
        <v>1</v>
      </c>
      <c r="G1636" s="17">
        <v>1</v>
      </c>
      <c r="H1636" s="19">
        <v>1</v>
      </c>
      <c r="I1636" s="17">
        <v>1</v>
      </c>
      <c r="J1636" t="s" s="11">
        <v>20</v>
      </c>
      <c r="K1636" s="15"/>
      <c r="L1636" t="s" s="16">
        <f>HYPERLINK("http://csr.bu.edu/ftp/asl/asllvd/demos/verify_start_end_handshape_annotations//test_auto_move//signs_mov_separ_signers/Tyler_354.mov","MOV")</f>
        <v>21</v>
      </c>
      <c r="M1636" t="s" s="10">
        <v>26</v>
      </c>
      <c r="N1636" s="17">
        <v>37</v>
      </c>
      <c r="O1636" s="18">
        <v>1025</v>
      </c>
      <c r="P1636" s="18">
        <v>1047</v>
      </c>
      <c r="Q1636" s="15"/>
      <c r="R1636" t="s" s="16">
        <f>HYPERLINK("http://secrets.rutgers.edu:8080/data/asl-ftp/asllvd/demos/verify_start_end_handshape_annotations//test_auto_move//signs_mov_separ_signers/Tyler_354.mov","MOV")</f>
        <v>21</v>
      </c>
    </row>
    <row r="1637" s="2" customFormat="1" ht="13.5" customHeight="1">
      <c r="B1637" s="13"/>
      <c r="C1637" t="s" s="9">
        <v>27</v>
      </c>
      <c r="D1637" t="s" s="8">
        <v>582</v>
      </c>
      <c r="E1637" t="s" s="9">
        <v>582</v>
      </c>
      <c r="F1637" s="19">
        <v>1</v>
      </c>
      <c r="G1637" s="17">
        <v>1</v>
      </c>
      <c r="H1637" s="19">
        <v>1</v>
      </c>
      <c r="I1637" s="17">
        <v>1</v>
      </c>
      <c r="J1637" t="s" s="11">
        <v>20</v>
      </c>
      <c r="K1637" t="s" s="16">
        <f>HYPERLINK("http://csr.bu.edu/ftp/asl/asllvd/demos/verify_start_end_handshape_annotations//test_auto_move//signs_mov/354.mov","MOV")</f>
        <v>21</v>
      </c>
      <c r="L1637" t="s" s="16">
        <f>HYPERLINK("http://csr.bu.edu/ftp/asl/asllvd/demos/verify_start_end_handshape_annotations//test_auto_move//signs_mov_separ_signers/Naomi_354.mov","MOV")</f>
        <v>21</v>
      </c>
      <c r="M1637" t="s" s="10">
        <v>29</v>
      </c>
      <c r="N1637" s="17">
        <v>38</v>
      </c>
      <c r="O1637" s="18">
        <v>977</v>
      </c>
      <c r="P1637" s="18">
        <v>1000</v>
      </c>
      <c r="Q1637" t="s" s="16">
        <f>HYPERLINK("http://secrets.rutgers.edu:8080/data/asl-ftp/asllvd/demos/verify_start_end_handshape_annotations//test_auto_move//signs_mov/354.mov","MOV")</f>
        <v>21</v>
      </c>
      <c r="R1637" t="s" s="16">
        <f>HYPERLINK("http://secrets.rutgers.edu:8080/data/asl-ftp/asllvd/demos/verify_start_end_handshape_annotations//test_auto_move//signs_mov_separ_signers/Naomi_354.mov","MOV")</f>
        <v>21</v>
      </c>
    </row>
    <row r="1638" s="2" customFormat="1" ht="13.5" customHeight="1">
      <c r="B1638" s="13"/>
      <c r="C1638" t="s" s="9">
        <v>30</v>
      </c>
      <c r="D1638" t="s" s="8">
        <v>582</v>
      </c>
      <c r="E1638" t="s" s="9">
        <v>582</v>
      </c>
      <c r="F1638" s="19">
        <v>1</v>
      </c>
      <c r="G1638" s="17">
        <v>1</v>
      </c>
      <c r="H1638" s="19">
        <v>1</v>
      </c>
      <c r="I1638" s="17">
        <v>1</v>
      </c>
      <c r="J1638" t="s" s="11">
        <v>20</v>
      </c>
      <c r="K1638" s="15"/>
      <c r="L1638" t="s" s="16">
        <f>HYPERLINK("http://csr.bu.edu/ftp/asl/asllvd/demos/verify_start_end_handshape_annotations//test_auto_move//signs_mov_separ_signers/Brady_354.mov","MOV")</f>
        <v>21</v>
      </c>
      <c r="M1638" t="s" s="10">
        <v>31</v>
      </c>
      <c r="N1638" s="17">
        <v>24</v>
      </c>
      <c r="O1638" s="18">
        <v>9091</v>
      </c>
      <c r="P1638" s="18">
        <v>9103</v>
      </c>
      <c r="Q1638" s="15"/>
      <c r="R1638" t="s" s="16">
        <f>HYPERLINK("http://secrets.rutgers.edu:8080/data/asl-ftp/asllvd/demos/verify_start_end_handshape_annotations//test_auto_move//signs_mov_separ_signers/Brady_354.mov","MOV")</f>
        <v>21</v>
      </c>
    </row>
    <row r="1639" s="2" customFormat="1" ht="13.5" customHeight="1">
      <c r="B1639" s="13"/>
      <c r="C1639" t="s" s="9">
        <v>41</v>
      </c>
      <c r="D1639" t="s" s="8">
        <v>582</v>
      </c>
      <c r="E1639" t="s" s="9">
        <v>582</v>
      </c>
      <c r="F1639" s="19">
        <v>1</v>
      </c>
      <c r="G1639" s="17">
        <v>1</v>
      </c>
      <c r="H1639" s="19">
        <v>1</v>
      </c>
      <c r="I1639" s="17">
        <v>1</v>
      </c>
      <c r="J1639" t="s" s="11">
        <v>20</v>
      </c>
      <c r="K1639" s="15"/>
      <c r="L1639" t="s" s="16">
        <f>HYPERLINK("http://csr.bu.edu/ftp/asl/asllvd/demos/verify_start_end_handshape_annotations//test_auto_move//signs_mov_separ_signers/Lana_354.mov","MOV")</f>
        <v>21</v>
      </c>
      <c r="M1639" t="s" s="10">
        <v>245</v>
      </c>
      <c r="N1639" s="17">
        <v>22</v>
      </c>
      <c r="O1639" s="18">
        <v>1177</v>
      </c>
      <c r="P1639" s="18">
        <v>1218</v>
      </c>
      <c r="Q1639" s="15"/>
      <c r="R1639" t="s" s="16">
        <f>HYPERLINK("http://secrets.rutgers.edu:8080/data/asl-ftp/asllvd/demos/verify_start_end_handshape_annotations//test_auto_move//signs_mov_separ_signers/Lana_354.mov","MOV")</f>
        <v>21</v>
      </c>
    </row>
    <row r="1640" s="2" customFormat="1" ht="13.5" customHeight="1">
      <c r="B1640" t="s" s="8">
        <v>583</v>
      </c>
      <c r="C1640" t="s" s="9">
        <v>14</v>
      </c>
      <c r="D1640" t="s" s="8">
        <v>14</v>
      </c>
      <c r="E1640" t="s" s="9">
        <v>14</v>
      </c>
      <c r="F1640" t="s" s="10">
        <v>14</v>
      </c>
      <c r="G1640" t="s" s="11">
        <v>14</v>
      </c>
      <c r="H1640" t="s" s="10">
        <v>14</v>
      </c>
      <c r="I1640" t="s" s="11">
        <v>14</v>
      </c>
      <c r="J1640" t="s" s="11">
        <v>14</v>
      </c>
      <c r="K1640" t="s" s="12">
        <v>14</v>
      </c>
      <c r="L1640" t="s" s="12">
        <v>14</v>
      </c>
      <c r="M1640" t="s" s="10">
        <v>14</v>
      </c>
      <c r="N1640" t="s" s="11">
        <v>14</v>
      </c>
      <c r="O1640" t="s" s="8">
        <v>14</v>
      </c>
      <c r="P1640" t="s" s="8">
        <v>14</v>
      </c>
      <c r="Q1640" t="s" s="12">
        <v>14</v>
      </c>
      <c r="R1640" t="s" s="12">
        <v>14</v>
      </c>
    </row>
    <row r="1641" s="2" customFormat="1" ht="13.5" customHeight="1">
      <c r="B1641" s="13"/>
      <c r="C1641" t="s" s="9">
        <v>16</v>
      </c>
      <c r="D1641" t="s" s="8">
        <v>583</v>
      </c>
      <c r="E1641" t="s" s="9">
        <v>584</v>
      </c>
      <c r="F1641" t="s" s="10">
        <v>341</v>
      </c>
      <c r="G1641" t="s" s="11">
        <v>109</v>
      </c>
      <c r="H1641" t="s" s="10">
        <v>342</v>
      </c>
      <c r="I1641" t="s" s="11">
        <v>109</v>
      </c>
      <c r="J1641" t="s" s="11">
        <v>20</v>
      </c>
      <c r="K1641" s="15"/>
      <c r="L1641" t="s" s="16">
        <f>HYPERLINK("http://csr.bu.edu/ftp/asl/asllvd/demos/verify_start_end_handshape_annotations//test_auto_move//signs_mov_separ_signers/Liz_355.mov","MOV")</f>
        <v>21</v>
      </c>
      <c r="M1641" t="s" s="10">
        <v>22</v>
      </c>
      <c r="N1641" s="17">
        <v>60</v>
      </c>
      <c r="O1641" s="18">
        <v>900</v>
      </c>
      <c r="P1641" s="18">
        <v>935</v>
      </c>
      <c r="Q1641" s="15"/>
      <c r="R1641" t="s" s="16">
        <f>HYPERLINK("http://secrets.rutgers.edu:8080/data/asl-ftp/asllvd/demos/verify_start_end_handshape_annotations//test_auto_move//signs_mov_separ_signers/Liz_355.mov","MOV")</f>
        <v>21</v>
      </c>
    </row>
    <row r="1642" s="2" customFormat="1" ht="13.5" customHeight="1">
      <c r="B1642" s="13"/>
      <c r="C1642" t="s" s="9">
        <v>23</v>
      </c>
      <c r="D1642" t="s" s="8">
        <v>583</v>
      </c>
      <c r="E1642" t="s" s="9">
        <v>585</v>
      </c>
      <c r="F1642" t="s" s="10">
        <v>341</v>
      </c>
      <c r="G1642" t="s" s="11">
        <v>73</v>
      </c>
      <c r="H1642" t="s" s="10">
        <v>342</v>
      </c>
      <c r="I1642" t="s" s="11">
        <v>73</v>
      </c>
      <c r="J1642" t="s" s="11">
        <v>20</v>
      </c>
      <c r="K1642" t="s" s="16">
        <f>HYPERLINK("http://csr.bu.edu/ftp/asl/asllvd/demos/verify_start_end_handshape_annotations//test_auto_move//signs_mov/355.mov","MOV")</f>
        <v>21</v>
      </c>
      <c r="L1642" t="s" s="16">
        <f>HYPERLINK("http://csr.bu.edu/ftp/asl/asllvd/demos/verify_start_end_handshape_annotations//test_auto_move//signs_mov_separ_signers/Tyler_355.mov","MOV")</f>
        <v>21</v>
      </c>
      <c r="M1642" t="s" s="10">
        <v>26</v>
      </c>
      <c r="N1642" s="17">
        <v>37</v>
      </c>
      <c r="O1642" s="18">
        <v>1237</v>
      </c>
      <c r="P1642" s="18">
        <v>1283</v>
      </c>
      <c r="Q1642" t="s" s="16">
        <f>HYPERLINK("http://secrets.rutgers.edu:8080/data/asl-ftp/asllvd/demos/verify_start_end_handshape_annotations//test_auto_move//signs_mov/355.mov","MOV")</f>
        <v>21</v>
      </c>
      <c r="R1642" t="s" s="16">
        <f>HYPERLINK("http://secrets.rutgers.edu:8080/data/asl-ftp/asllvd/demos/verify_start_end_handshape_annotations//test_auto_move//signs_mov_separ_signers/Tyler_355.mov","MOV")</f>
        <v>21</v>
      </c>
    </row>
    <row r="1643" s="2" customFormat="1" ht="13.5" customHeight="1">
      <c r="B1643" s="13"/>
      <c r="C1643" t="s" s="9">
        <v>27</v>
      </c>
      <c r="D1643" t="s" s="8">
        <v>583</v>
      </c>
      <c r="E1643" t="s" s="9">
        <v>586</v>
      </c>
      <c r="F1643" t="s" s="10">
        <v>341</v>
      </c>
      <c r="G1643" t="s" s="11">
        <v>73</v>
      </c>
      <c r="H1643" t="s" s="10">
        <v>342</v>
      </c>
      <c r="I1643" t="s" s="11">
        <v>73</v>
      </c>
      <c r="J1643" t="s" s="11">
        <v>20</v>
      </c>
      <c r="K1643" s="15"/>
      <c r="L1643" t="s" s="16">
        <f>HYPERLINK("http://csr.bu.edu/ftp/asl/asllvd/demos/verify_start_end_handshape_annotations//test_auto_move//signs_mov_separ_signers/Naomi_355.mov","MOV")</f>
        <v>21</v>
      </c>
      <c r="M1643" t="s" s="10">
        <v>29</v>
      </c>
      <c r="N1643" s="17">
        <v>38</v>
      </c>
      <c r="O1643" s="18">
        <v>1185</v>
      </c>
      <c r="P1643" s="18">
        <v>1241</v>
      </c>
      <c r="Q1643" s="15"/>
      <c r="R1643" t="s" s="16">
        <f>HYPERLINK("http://secrets.rutgers.edu:8080/data/asl-ftp/asllvd/demos/verify_start_end_handshape_annotations//test_auto_move//signs_mov_separ_signers/Naomi_355.mov","MOV")</f>
        <v>21</v>
      </c>
    </row>
    <row r="1644" s="2" customFormat="1" ht="13.5" customHeight="1">
      <c r="B1644" s="13"/>
      <c r="C1644" t="s" s="9">
        <v>30</v>
      </c>
      <c r="D1644" t="s" s="8">
        <v>583</v>
      </c>
      <c r="E1644" t="s" s="9">
        <v>584</v>
      </c>
      <c r="F1644" t="s" s="10">
        <v>341</v>
      </c>
      <c r="G1644" t="s" s="11">
        <v>73</v>
      </c>
      <c r="H1644" t="s" s="10">
        <v>342</v>
      </c>
      <c r="I1644" t="s" s="11">
        <v>73</v>
      </c>
      <c r="J1644" t="s" s="11">
        <v>20</v>
      </c>
      <c r="K1644" s="15"/>
      <c r="L1644" t="s" s="16">
        <f>HYPERLINK("http://csr.bu.edu/ftp/asl/asllvd/demos/verify_start_end_handshape_annotations//test_auto_move//signs_mov_separ_signers/Brady_355.mov","MOV")</f>
        <v>21</v>
      </c>
      <c r="M1644" t="s" s="10">
        <v>31</v>
      </c>
      <c r="N1644" s="17">
        <v>24</v>
      </c>
      <c r="O1644" s="18">
        <v>9291</v>
      </c>
      <c r="P1644" s="18">
        <v>9317</v>
      </c>
      <c r="Q1644" s="15"/>
      <c r="R1644" t="s" s="16">
        <f>HYPERLINK("http://secrets.rutgers.edu:8080/data/asl-ftp/asllvd/demos/verify_start_end_handshape_annotations//test_auto_move//signs_mov_separ_signers/Brady_355.mov","MOV")</f>
        <v>21</v>
      </c>
    </row>
    <row r="1645" s="2" customFormat="1" ht="13.5" customHeight="1">
      <c r="B1645" t="s" s="8">
        <v>52</v>
      </c>
      <c r="C1645" t="s" s="9">
        <v>53</v>
      </c>
      <c r="D1645" t="s" s="8">
        <v>53</v>
      </c>
      <c r="E1645" t="s" s="9">
        <v>53</v>
      </c>
      <c r="F1645" t="s" s="10">
        <v>53</v>
      </c>
      <c r="G1645" t="s" s="11">
        <v>53</v>
      </c>
      <c r="H1645" t="s" s="10">
        <v>53</v>
      </c>
      <c r="I1645" t="s" s="11">
        <v>53</v>
      </c>
      <c r="J1645" t="s" s="11">
        <v>53</v>
      </c>
      <c r="K1645" t="s" s="12">
        <v>53</v>
      </c>
      <c r="L1645" t="s" s="12">
        <v>53</v>
      </c>
      <c r="M1645" t="s" s="10">
        <v>53</v>
      </c>
      <c r="N1645" t="s" s="11">
        <v>53</v>
      </c>
      <c r="O1645" t="s" s="8">
        <v>53</v>
      </c>
      <c r="P1645" t="s" s="8">
        <v>53</v>
      </c>
      <c r="Q1645" t="s" s="12">
        <v>53</v>
      </c>
      <c r="R1645" t="s" s="12">
        <v>53</v>
      </c>
    </row>
    <row r="1646" s="2" customFormat="1" ht="13.5" customHeight="1">
      <c r="B1646" s="13"/>
      <c r="C1646" t="s" s="9">
        <v>41</v>
      </c>
      <c r="D1646" t="s" s="8">
        <v>583</v>
      </c>
      <c r="E1646" t="s" s="9">
        <v>587</v>
      </c>
      <c r="F1646" t="s" s="10">
        <v>341</v>
      </c>
      <c r="G1646" t="s" s="11">
        <v>73</v>
      </c>
      <c r="H1646" t="s" s="10">
        <v>341</v>
      </c>
      <c r="I1646" t="s" s="11">
        <v>73</v>
      </c>
      <c r="J1646" t="s" s="11">
        <v>20</v>
      </c>
      <c r="K1646" t="s" s="16">
        <f>HYPERLINK("http://csr.bu.edu/ftp/asl/asllvd/demos/verify_start_end_handshape_annotations//test_auto_move//signs_mov/16422.mov","MOV")</f>
        <v>21</v>
      </c>
      <c r="L1646" t="s" s="16">
        <f>HYPERLINK("http://csr.bu.edu/ftp/asl/asllvd/demos/verify_start_end_handshape_annotations//test_auto_move//signs_mov_separ_signers/Lana_16422.mov","MOV")</f>
        <v>21</v>
      </c>
      <c r="M1646" t="s" s="10">
        <v>442</v>
      </c>
      <c r="N1646" s="17">
        <v>61</v>
      </c>
      <c r="O1646" s="18">
        <v>871</v>
      </c>
      <c r="P1646" s="18">
        <v>898</v>
      </c>
      <c r="Q1646" t="s" s="16">
        <f>HYPERLINK("http://secrets.rutgers.edu:8080/data/asl-ftp/asllvd/demos/verify_start_end_handshape_annotations//test_auto_move//signs_mov/16422.mov","MOV")</f>
        <v>21</v>
      </c>
      <c r="R1646" t="s" s="16">
        <f>HYPERLINK("http://secrets.rutgers.edu:8080/data/asl-ftp/asllvd/demos/verify_start_end_handshape_annotations//test_auto_move//signs_mov_separ_signers/Lana_16422.mov","MOV")</f>
        <v>21</v>
      </c>
    </row>
    <row r="1647" s="2" customFormat="1" ht="13.5" customHeight="1">
      <c r="B1647" t="s" s="8">
        <v>588</v>
      </c>
      <c r="C1647" t="s" s="9">
        <v>14</v>
      </c>
      <c r="D1647" t="s" s="8">
        <v>14</v>
      </c>
      <c r="E1647" t="s" s="9">
        <v>14</v>
      </c>
      <c r="F1647" t="s" s="10">
        <v>14</v>
      </c>
      <c r="G1647" t="s" s="11">
        <v>14</v>
      </c>
      <c r="H1647" t="s" s="10">
        <v>14</v>
      </c>
      <c r="I1647" t="s" s="11">
        <v>14</v>
      </c>
      <c r="J1647" t="s" s="11">
        <v>14</v>
      </c>
      <c r="K1647" t="s" s="12">
        <v>14</v>
      </c>
      <c r="L1647" t="s" s="12">
        <v>14</v>
      </c>
      <c r="M1647" t="s" s="10">
        <v>14</v>
      </c>
      <c r="N1647" t="s" s="11">
        <v>14</v>
      </c>
      <c r="O1647" t="s" s="8">
        <v>14</v>
      </c>
      <c r="P1647" t="s" s="8">
        <v>14</v>
      </c>
      <c r="Q1647" t="s" s="12">
        <v>14</v>
      </c>
      <c r="R1647" t="s" s="12">
        <v>14</v>
      </c>
    </row>
    <row r="1648" s="2" customFormat="1" ht="13.5" customHeight="1">
      <c r="B1648" s="13"/>
      <c r="C1648" t="s" s="9">
        <v>16</v>
      </c>
      <c r="D1648" t="s" s="8">
        <v>588</v>
      </c>
      <c r="E1648" t="s" s="9">
        <v>589</v>
      </c>
      <c r="F1648" t="s" s="10">
        <v>73</v>
      </c>
      <c r="G1648" t="s" s="11">
        <v>73</v>
      </c>
      <c r="H1648" t="s" s="10">
        <v>80</v>
      </c>
      <c r="I1648" t="s" s="11">
        <v>80</v>
      </c>
      <c r="J1648" t="s" s="11">
        <v>20</v>
      </c>
      <c r="K1648" s="15"/>
      <c r="L1648" t="s" s="16">
        <f>HYPERLINK("http://csr.bu.edu/ftp/asl/asllvd/demos/verify_start_end_handshape_annotations//test_auto_move//signs_mov_separ_signers/Liz_356.mov","MOV")</f>
        <v>21</v>
      </c>
      <c r="M1648" t="s" s="10">
        <v>22</v>
      </c>
      <c r="N1648" s="17">
        <v>60</v>
      </c>
      <c r="O1648" s="18">
        <v>1090</v>
      </c>
      <c r="P1648" s="18">
        <v>1124</v>
      </c>
      <c r="Q1648" s="15"/>
      <c r="R1648" t="s" s="16">
        <f>HYPERLINK("http://secrets.rutgers.edu:8080/data/asl-ftp/asllvd/demos/verify_start_end_handshape_annotations//test_auto_move//signs_mov_separ_signers/Liz_356.mov","MOV")</f>
        <v>21</v>
      </c>
    </row>
    <row r="1649" s="2" customFormat="1" ht="13.5" customHeight="1">
      <c r="B1649" s="13"/>
      <c r="C1649" t="s" s="9">
        <v>23</v>
      </c>
      <c r="D1649" t="s" s="8">
        <v>588</v>
      </c>
      <c r="E1649" t="s" s="9">
        <v>590</v>
      </c>
      <c r="F1649" t="s" s="10">
        <v>73</v>
      </c>
      <c r="G1649" t="s" s="11">
        <v>73</v>
      </c>
      <c r="H1649" t="s" s="10">
        <v>80</v>
      </c>
      <c r="I1649" t="s" s="11">
        <v>80</v>
      </c>
      <c r="J1649" t="s" s="11">
        <v>20</v>
      </c>
      <c r="K1649" t="s" s="16">
        <f>HYPERLINK("http://csr.bu.edu/ftp/asl/asllvd/demos/verify_start_end_handshape_annotations//test_auto_move//signs_mov/356.mov","MOV")</f>
        <v>21</v>
      </c>
      <c r="L1649" t="s" s="16">
        <f>HYPERLINK("http://csr.bu.edu/ftp/asl/asllvd/demos/verify_start_end_handshape_annotations//test_auto_move//signs_mov_separ_signers/Tyler_356.mov","MOV")</f>
        <v>21</v>
      </c>
      <c r="M1649" t="s" s="10">
        <v>26</v>
      </c>
      <c r="N1649" s="17">
        <v>37</v>
      </c>
      <c r="O1649" s="18">
        <v>1445</v>
      </c>
      <c r="P1649" s="18">
        <v>1495</v>
      </c>
      <c r="Q1649" t="s" s="16">
        <f>HYPERLINK("http://secrets.rutgers.edu:8080/data/asl-ftp/asllvd/demos/verify_start_end_handshape_annotations//test_auto_move//signs_mov/356.mov","MOV")</f>
        <v>21</v>
      </c>
      <c r="R1649" t="s" s="16">
        <f>HYPERLINK("http://secrets.rutgers.edu:8080/data/asl-ftp/asllvd/demos/verify_start_end_handshape_annotations//test_auto_move//signs_mov_separ_signers/Tyler_356.mov","MOV")</f>
        <v>21</v>
      </c>
    </row>
    <row r="1650" s="2" customFormat="1" ht="13.5" customHeight="1">
      <c r="B1650" s="13"/>
      <c r="C1650" t="s" s="9">
        <v>27</v>
      </c>
      <c r="D1650" t="s" s="8">
        <v>588</v>
      </c>
      <c r="E1650" t="s" s="9">
        <v>589</v>
      </c>
      <c r="F1650" t="s" s="10">
        <v>73</v>
      </c>
      <c r="G1650" t="s" s="11">
        <v>73</v>
      </c>
      <c r="H1650" t="s" s="10">
        <v>80</v>
      </c>
      <c r="I1650" t="s" s="11">
        <v>80</v>
      </c>
      <c r="J1650" t="s" s="11">
        <v>20</v>
      </c>
      <c r="K1650" s="15"/>
      <c r="L1650" t="s" s="16">
        <f>HYPERLINK("http://csr.bu.edu/ftp/asl/asllvd/demos/verify_start_end_handshape_annotations//test_auto_move//signs_mov_separ_signers/Naomi_356.mov","MOV")</f>
        <v>21</v>
      </c>
      <c r="M1650" t="s" s="10">
        <v>29</v>
      </c>
      <c r="N1650" s="17">
        <v>38</v>
      </c>
      <c r="O1650" s="18">
        <v>1398</v>
      </c>
      <c r="P1650" s="18">
        <v>1428</v>
      </c>
      <c r="Q1650" s="15"/>
      <c r="R1650" t="s" s="16">
        <f>HYPERLINK("http://secrets.rutgers.edu:8080/data/asl-ftp/asllvd/demos/verify_start_end_handshape_annotations//test_auto_move//signs_mov_separ_signers/Naomi_356.mov","MOV")</f>
        <v>21</v>
      </c>
    </row>
    <row r="1651" s="2" customFormat="1" ht="13.5" customHeight="1">
      <c r="B1651" s="13"/>
      <c r="C1651" t="s" s="9">
        <v>30</v>
      </c>
      <c r="D1651" t="s" s="8">
        <v>588</v>
      </c>
      <c r="E1651" t="s" s="9">
        <v>589</v>
      </c>
      <c r="F1651" t="s" s="10">
        <v>73</v>
      </c>
      <c r="G1651" t="s" s="11">
        <v>73</v>
      </c>
      <c r="H1651" t="s" s="10">
        <v>80</v>
      </c>
      <c r="I1651" t="s" s="11">
        <v>80</v>
      </c>
      <c r="J1651" t="s" s="11">
        <v>20</v>
      </c>
      <c r="K1651" s="15"/>
      <c r="L1651" t="s" s="16">
        <f>HYPERLINK("http://csr.bu.edu/ftp/asl/asllvd/demos/verify_start_end_handshape_annotations//test_auto_move//signs_mov_separ_signers/Brady_356.mov","MOV")</f>
        <v>21</v>
      </c>
      <c r="M1651" t="s" s="10">
        <v>31</v>
      </c>
      <c r="N1651" s="17">
        <v>24</v>
      </c>
      <c r="O1651" s="18">
        <v>9525</v>
      </c>
      <c r="P1651" s="18">
        <v>9545</v>
      </c>
      <c r="Q1651" s="15"/>
      <c r="R1651" t="s" s="16">
        <f>HYPERLINK("http://secrets.rutgers.edu:8080/data/asl-ftp/asllvd/demos/verify_start_end_handshape_annotations//test_auto_move//signs_mov_separ_signers/Brady_356.mov","MOV")</f>
        <v>21</v>
      </c>
    </row>
    <row r="1652" s="2" customFormat="1" ht="13.5" customHeight="1">
      <c r="B1652" t="s" s="8">
        <v>591</v>
      </c>
      <c r="C1652" t="s" s="9">
        <v>14</v>
      </c>
      <c r="D1652" t="s" s="8">
        <v>14</v>
      </c>
      <c r="E1652" t="s" s="9">
        <v>14</v>
      </c>
      <c r="F1652" t="s" s="10">
        <v>14</v>
      </c>
      <c r="G1652" t="s" s="11">
        <v>14</v>
      </c>
      <c r="H1652" t="s" s="10">
        <v>14</v>
      </c>
      <c r="I1652" t="s" s="11">
        <v>14</v>
      </c>
      <c r="J1652" t="s" s="11">
        <v>14</v>
      </c>
      <c r="K1652" t="s" s="12">
        <v>14</v>
      </c>
      <c r="L1652" t="s" s="12">
        <v>14</v>
      </c>
      <c r="M1652" t="s" s="10">
        <v>14</v>
      </c>
      <c r="N1652" t="s" s="11">
        <v>14</v>
      </c>
      <c r="O1652" t="s" s="8">
        <v>14</v>
      </c>
      <c r="P1652" t="s" s="8">
        <v>14</v>
      </c>
      <c r="Q1652" t="s" s="12">
        <v>14</v>
      </c>
      <c r="R1652" t="s" s="12">
        <v>14</v>
      </c>
    </row>
    <row r="1653" s="2" customFormat="1" ht="13.5" customHeight="1">
      <c r="B1653" s="13"/>
      <c r="C1653" t="s" s="9">
        <v>16</v>
      </c>
      <c r="D1653" t="s" s="8">
        <v>591</v>
      </c>
      <c r="E1653" t="s" s="9">
        <v>592</v>
      </c>
      <c r="F1653" t="s" s="10">
        <v>282</v>
      </c>
      <c r="G1653" s="14"/>
      <c r="H1653" t="s" s="10">
        <v>282</v>
      </c>
      <c r="I1653" s="14"/>
      <c r="J1653" t="s" s="11">
        <v>20</v>
      </c>
      <c r="K1653" s="15"/>
      <c r="L1653" t="s" s="16">
        <f>HYPERLINK("http://csr.bu.edu/ftp/asl/asllvd/demos/verify_start_end_handshape_annotations//test_auto_move//signs_mov_separ_signers/Liz_357.mov","MOV")</f>
        <v>21</v>
      </c>
      <c r="M1653" t="s" s="10">
        <v>22</v>
      </c>
      <c r="N1653" s="17">
        <v>60</v>
      </c>
      <c r="O1653" s="18">
        <v>1360</v>
      </c>
      <c r="P1653" s="18">
        <v>1410</v>
      </c>
      <c r="Q1653" s="15"/>
      <c r="R1653" t="s" s="16">
        <f>HYPERLINK("http://secrets.rutgers.edu:8080/data/asl-ftp/asllvd/demos/verify_start_end_handshape_annotations//test_auto_move//signs_mov_separ_signers/Liz_357.mov","MOV")</f>
        <v>21</v>
      </c>
    </row>
    <row r="1654" s="2" customFormat="1" ht="13.5" customHeight="1">
      <c r="B1654" s="13"/>
      <c r="C1654" t="s" s="9">
        <v>23</v>
      </c>
      <c r="D1654" t="s" s="8">
        <v>591</v>
      </c>
      <c r="E1654" t="s" s="9">
        <v>592</v>
      </c>
      <c r="F1654" t="s" s="10">
        <v>282</v>
      </c>
      <c r="G1654" s="14"/>
      <c r="H1654" t="s" s="10">
        <v>282</v>
      </c>
      <c r="I1654" s="14"/>
      <c r="J1654" t="s" s="11">
        <v>20</v>
      </c>
      <c r="K1654" t="s" s="16">
        <f>HYPERLINK("http://csr.bu.edu/ftp/asl/asllvd/demos/verify_start_end_handshape_annotations//test_auto_move//signs_mov/357.mov","MOV")</f>
        <v>21</v>
      </c>
      <c r="L1654" t="s" s="16">
        <f>HYPERLINK("http://csr.bu.edu/ftp/asl/asllvd/demos/verify_start_end_handshape_annotations//test_auto_move//signs_mov_separ_signers/Tyler_357.mov","MOV")</f>
        <v>21</v>
      </c>
      <c r="M1654" t="s" s="10">
        <v>26</v>
      </c>
      <c r="N1654" s="17">
        <v>37</v>
      </c>
      <c r="O1654" s="18">
        <v>1657</v>
      </c>
      <c r="P1654" s="18">
        <v>1696</v>
      </c>
      <c r="Q1654" t="s" s="16">
        <f>HYPERLINK("http://secrets.rutgers.edu:8080/data/asl-ftp/asllvd/demos/verify_start_end_handshape_annotations//test_auto_move//signs_mov/357.mov","MOV")</f>
        <v>21</v>
      </c>
      <c r="R1654" t="s" s="16">
        <f>HYPERLINK("http://secrets.rutgers.edu:8080/data/asl-ftp/asllvd/demos/verify_start_end_handshape_annotations//test_auto_move//signs_mov_separ_signers/Tyler_357.mov","MOV")</f>
        <v>21</v>
      </c>
    </row>
    <row r="1655" s="2" customFormat="1" ht="13.5" customHeight="1">
      <c r="B1655" s="13"/>
      <c r="C1655" t="s" s="9">
        <v>27</v>
      </c>
      <c r="D1655" t="s" s="8">
        <v>591</v>
      </c>
      <c r="E1655" t="s" s="9">
        <v>592</v>
      </c>
      <c r="F1655" t="s" s="10">
        <v>593</v>
      </c>
      <c r="G1655" s="14"/>
      <c r="H1655" t="s" s="10">
        <v>593</v>
      </c>
      <c r="I1655" s="14"/>
      <c r="J1655" t="s" s="11">
        <v>20</v>
      </c>
      <c r="K1655" s="15"/>
      <c r="L1655" t="s" s="16">
        <f>HYPERLINK("http://csr.bu.edu/ftp/asl/asllvd/demos/verify_start_end_handshape_annotations//test_auto_move//signs_mov_separ_signers/Naomi_357.mov","MOV")</f>
        <v>21</v>
      </c>
      <c r="M1655" t="s" s="10">
        <v>29</v>
      </c>
      <c r="N1655" s="17">
        <v>38</v>
      </c>
      <c r="O1655" s="18">
        <v>1650</v>
      </c>
      <c r="P1655" s="18">
        <v>1702</v>
      </c>
      <c r="Q1655" s="15"/>
      <c r="R1655" t="s" s="16">
        <f>HYPERLINK("http://secrets.rutgers.edu:8080/data/asl-ftp/asllvd/demos/verify_start_end_handshape_annotations//test_auto_move//signs_mov_separ_signers/Naomi_357.mov","MOV")</f>
        <v>21</v>
      </c>
    </row>
    <row r="1656" s="2" customFormat="1" ht="13.5" customHeight="1">
      <c r="B1656" s="13"/>
      <c r="C1656" t="s" s="9">
        <v>30</v>
      </c>
      <c r="D1656" t="s" s="8">
        <v>591</v>
      </c>
      <c r="E1656" t="s" s="9">
        <v>592</v>
      </c>
      <c r="F1656" t="s" s="10">
        <v>282</v>
      </c>
      <c r="G1656" s="14"/>
      <c r="H1656" t="s" s="10">
        <v>282</v>
      </c>
      <c r="I1656" s="14"/>
      <c r="J1656" t="s" s="11">
        <v>20</v>
      </c>
      <c r="K1656" s="15"/>
      <c r="L1656" t="s" s="16">
        <f>HYPERLINK("http://csr.bu.edu/ftp/asl/asllvd/demos/verify_start_end_handshape_annotations//test_auto_move//signs_mov_separ_signers/Brady_357.mov","MOV")</f>
        <v>21</v>
      </c>
      <c r="M1656" t="s" s="10">
        <v>31</v>
      </c>
      <c r="N1656" s="17">
        <v>24</v>
      </c>
      <c r="O1656" s="18">
        <v>10113</v>
      </c>
      <c r="P1656" s="18">
        <v>10157</v>
      </c>
      <c r="Q1656" s="15"/>
      <c r="R1656" t="s" s="16">
        <f>HYPERLINK("http://secrets.rutgers.edu:8080/data/asl-ftp/asllvd/demos/verify_start_end_handshape_annotations//test_auto_move//signs_mov_separ_signers/Brady_357.mov","MOV")</f>
        <v>21</v>
      </c>
    </row>
    <row r="1657" s="2" customFormat="1" ht="13.5" customHeight="1">
      <c r="B1657" t="s" s="8">
        <v>185</v>
      </c>
      <c r="C1657" t="s" s="9">
        <v>14</v>
      </c>
      <c r="D1657" t="s" s="8">
        <v>14</v>
      </c>
      <c r="E1657" t="s" s="9">
        <v>14</v>
      </c>
      <c r="F1657" t="s" s="10">
        <v>14</v>
      </c>
      <c r="G1657" t="s" s="11">
        <v>14</v>
      </c>
      <c r="H1657" t="s" s="10">
        <v>14</v>
      </c>
      <c r="I1657" t="s" s="11">
        <v>14</v>
      </c>
      <c r="J1657" t="s" s="11">
        <v>14</v>
      </c>
      <c r="K1657" t="s" s="12">
        <v>14</v>
      </c>
      <c r="L1657" t="s" s="12">
        <v>14</v>
      </c>
      <c r="M1657" t="s" s="10">
        <v>14</v>
      </c>
      <c r="N1657" t="s" s="11">
        <v>14</v>
      </c>
      <c r="O1657" t="s" s="8">
        <v>14</v>
      </c>
      <c r="P1657" t="s" s="8">
        <v>14</v>
      </c>
      <c r="Q1657" t="s" s="12">
        <v>14</v>
      </c>
      <c r="R1657" t="s" s="12">
        <v>14</v>
      </c>
    </row>
    <row r="1658" s="2" customFormat="1" ht="13.5" customHeight="1">
      <c r="B1658" s="13"/>
      <c r="C1658" t="s" s="9">
        <v>16</v>
      </c>
      <c r="D1658" t="s" s="8">
        <v>185</v>
      </c>
      <c r="E1658" t="s" s="9">
        <v>185</v>
      </c>
      <c r="F1658" t="s" s="10">
        <v>185</v>
      </c>
      <c r="G1658" s="14"/>
      <c r="H1658" t="s" s="10">
        <v>185</v>
      </c>
      <c r="I1658" s="14"/>
      <c r="J1658" t="s" s="11">
        <v>20</v>
      </c>
      <c r="K1658" s="15"/>
      <c r="L1658" t="s" s="16">
        <f>HYPERLINK("http://csr.bu.edu/ftp/asl/asllvd/demos/verify_start_end_handshape_annotations//test_auto_move//signs_mov_separ_signers/Liz_359.mov","MOV")</f>
        <v>21</v>
      </c>
      <c r="M1658" t="s" s="10">
        <v>22</v>
      </c>
      <c r="N1658" s="17">
        <v>61</v>
      </c>
      <c r="O1658" s="18">
        <v>290</v>
      </c>
      <c r="P1658" s="18">
        <v>300</v>
      </c>
      <c r="Q1658" s="15"/>
      <c r="R1658" t="s" s="16">
        <f>HYPERLINK("http://secrets.rutgers.edu:8080/data/asl-ftp/asllvd/demos/verify_start_end_handshape_annotations//test_auto_move//signs_mov_separ_signers/Liz_359.mov","MOV")</f>
        <v>21</v>
      </c>
    </row>
    <row r="1659" s="2" customFormat="1" ht="13.5" customHeight="1">
      <c r="B1659" s="13"/>
      <c r="C1659" t="s" s="9">
        <v>23</v>
      </c>
      <c r="D1659" t="s" s="8">
        <v>185</v>
      </c>
      <c r="E1659" t="s" s="9">
        <v>185</v>
      </c>
      <c r="F1659" t="s" s="10">
        <v>185</v>
      </c>
      <c r="G1659" s="14"/>
      <c r="H1659" t="s" s="10">
        <v>185</v>
      </c>
      <c r="I1659" s="14"/>
      <c r="J1659" t="s" s="11">
        <v>20</v>
      </c>
      <c r="K1659" t="s" s="16">
        <f>HYPERLINK("http://csr.bu.edu/ftp/asl/asllvd/demos/verify_start_end_handshape_annotations//test_auto_move//signs_mov/359.mov","MOV")</f>
        <v>21</v>
      </c>
      <c r="L1659" t="s" s="16">
        <f>HYPERLINK("http://csr.bu.edu/ftp/asl/asllvd/demos/verify_start_end_handshape_annotations//test_auto_move//signs_mov_separ_signers/Tyler_359.mov","MOV")</f>
        <v>21</v>
      </c>
      <c r="M1659" t="s" s="10">
        <v>26</v>
      </c>
      <c r="N1659" s="17">
        <v>37</v>
      </c>
      <c r="O1659" s="18">
        <v>2090</v>
      </c>
      <c r="P1659" s="18">
        <v>2145</v>
      </c>
      <c r="Q1659" t="s" s="16">
        <f>HYPERLINK("http://secrets.rutgers.edu:8080/data/asl-ftp/asllvd/demos/verify_start_end_handshape_annotations//test_auto_move//signs_mov/359.mov","MOV")</f>
        <v>21</v>
      </c>
      <c r="R1659" t="s" s="16">
        <f>HYPERLINK("http://secrets.rutgers.edu:8080/data/asl-ftp/asllvd/demos/verify_start_end_handshape_annotations//test_auto_move//signs_mov_separ_signers/Tyler_359.mov","MOV")</f>
        <v>21</v>
      </c>
    </row>
    <row r="1660" s="2" customFormat="1" ht="13.5" customHeight="1">
      <c r="B1660" s="13"/>
      <c r="C1660" t="s" s="9">
        <v>27</v>
      </c>
      <c r="D1660" t="s" s="8">
        <v>185</v>
      </c>
      <c r="E1660" t="s" s="9">
        <v>185</v>
      </c>
      <c r="F1660" t="s" s="10">
        <v>185</v>
      </c>
      <c r="G1660" s="14"/>
      <c r="H1660" t="s" s="10">
        <v>185</v>
      </c>
      <c r="I1660" s="14"/>
      <c r="J1660" t="s" s="11">
        <v>20</v>
      </c>
      <c r="K1660" s="15"/>
      <c r="L1660" t="s" s="16">
        <f>HYPERLINK("http://csr.bu.edu/ftp/asl/asllvd/demos/verify_start_end_handshape_annotations//test_auto_move//signs_mov_separ_signers/Naomi_359.mov","MOV")</f>
        <v>21</v>
      </c>
      <c r="M1660" t="s" s="10">
        <v>29</v>
      </c>
      <c r="N1660" s="17">
        <v>38</v>
      </c>
      <c r="O1660" s="18">
        <v>2130</v>
      </c>
      <c r="P1660" s="18">
        <v>2177</v>
      </c>
      <c r="Q1660" s="15"/>
      <c r="R1660" t="s" s="16">
        <f>HYPERLINK("http://secrets.rutgers.edu:8080/data/asl-ftp/asllvd/demos/verify_start_end_handshape_annotations//test_auto_move//signs_mov_separ_signers/Naomi_359.mov","MOV")</f>
        <v>21</v>
      </c>
    </row>
    <row r="1661" s="2" customFormat="1" ht="13.5" customHeight="1">
      <c r="B1661" s="13"/>
      <c r="C1661" t="s" s="9">
        <v>30</v>
      </c>
      <c r="D1661" t="s" s="8">
        <v>185</v>
      </c>
      <c r="E1661" t="s" s="9">
        <v>185</v>
      </c>
      <c r="F1661" t="s" s="10">
        <v>185</v>
      </c>
      <c r="G1661" s="14"/>
      <c r="H1661" t="s" s="10">
        <v>185</v>
      </c>
      <c r="I1661" s="14"/>
      <c r="J1661" t="s" s="11">
        <v>20</v>
      </c>
      <c r="K1661" s="15"/>
      <c r="L1661" t="s" s="16">
        <f>HYPERLINK("http://csr.bu.edu/ftp/asl/asllvd/demos/verify_start_end_handshape_annotations//test_auto_move//signs_mov_separ_signers/Brady_359.mov","MOV")</f>
        <v>21</v>
      </c>
      <c r="M1661" t="s" s="10">
        <v>31</v>
      </c>
      <c r="N1661" s="17">
        <v>24</v>
      </c>
      <c r="O1661" s="18">
        <v>10753</v>
      </c>
      <c r="P1661" s="18">
        <v>10766</v>
      </c>
      <c r="Q1661" s="15"/>
      <c r="R1661" t="s" s="16">
        <f>HYPERLINK("http://secrets.rutgers.edu:8080/data/asl-ftp/asllvd/demos/verify_start_end_handshape_annotations//test_auto_move//signs_mov_separ_signers/Brady_359.mov","MOV")</f>
        <v>21</v>
      </c>
    </row>
    <row r="1662" s="2" customFormat="1" ht="13.5" customHeight="1">
      <c r="B1662" t="s" s="8">
        <v>594</v>
      </c>
      <c r="C1662" t="s" s="9">
        <v>14</v>
      </c>
      <c r="D1662" t="s" s="8">
        <v>14</v>
      </c>
      <c r="E1662" t="s" s="9">
        <v>14</v>
      </c>
      <c r="F1662" t="s" s="10">
        <v>14</v>
      </c>
      <c r="G1662" t="s" s="11">
        <v>14</v>
      </c>
      <c r="H1662" t="s" s="10">
        <v>14</v>
      </c>
      <c r="I1662" t="s" s="11">
        <v>14</v>
      </c>
      <c r="J1662" t="s" s="11">
        <v>14</v>
      </c>
      <c r="K1662" t="s" s="12">
        <v>14</v>
      </c>
      <c r="L1662" t="s" s="12">
        <v>14</v>
      </c>
      <c r="M1662" t="s" s="10">
        <v>14</v>
      </c>
      <c r="N1662" t="s" s="11">
        <v>14</v>
      </c>
      <c r="O1662" t="s" s="8">
        <v>14</v>
      </c>
      <c r="P1662" t="s" s="8">
        <v>14</v>
      </c>
      <c r="Q1662" t="s" s="12">
        <v>14</v>
      </c>
      <c r="R1662" t="s" s="12">
        <v>14</v>
      </c>
    </row>
    <row r="1663" s="2" customFormat="1" ht="13.5" customHeight="1">
      <c r="B1663" s="13"/>
      <c r="C1663" t="s" s="9">
        <v>16</v>
      </c>
      <c r="D1663" t="s" s="8">
        <v>594</v>
      </c>
      <c r="E1663" t="s" s="9">
        <v>595</v>
      </c>
      <c r="F1663" t="s" s="10">
        <v>55</v>
      </c>
      <c r="G1663" t="s" s="11">
        <v>55</v>
      </c>
      <c r="H1663" t="s" s="10">
        <v>55</v>
      </c>
      <c r="I1663" t="s" s="11">
        <v>55</v>
      </c>
      <c r="J1663" t="s" s="11">
        <v>20</v>
      </c>
      <c r="K1663" s="15"/>
      <c r="L1663" t="s" s="16">
        <f>HYPERLINK("http://csr.bu.edu/ftp/asl/asllvd/demos/verify_start_end_handshape_annotations//test_auto_move//signs_mov_separ_signers/Liz_363.mov","MOV")</f>
        <v>21</v>
      </c>
      <c r="M1663" t="s" s="10">
        <v>22</v>
      </c>
      <c r="N1663" s="17">
        <v>61</v>
      </c>
      <c r="O1663" s="18">
        <v>1115</v>
      </c>
      <c r="P1663" s="18">
        <v>1190</v>
      </c>
      <c r="Q1663" s="15"/>
      <c r="R1663" t="s" s="16">
        <f>HYPERLINK("http://secrets.rutgers.edu:8080/data/asl-ftp/asllvd/demos/verify_start_end_handshape_annotations//test_auto_move//signs_mov_separ_signers/Liz_363.mov","MOV")</f>
        <v>21</v>
      </c>
    </row>
    <row r="1664" s="2" customFormat="1" ht="13.5" customHeight="1">
      <c r="B1664" s="13"/>
      <c r="C1664" t="s" s="9">
        <v>23</v>
      </c>
      <c r="D1664" t="s" s="8">
        <v>594</v>
      </c>
      <c r="E1664" t="s" s="9">
        <v>596</v>
      </c>
      <c r="F1664" t="s" s="10">
        <v>55</v>
      </c>
      <c r="G1664" t="s" s="11">
        <v>55</v>
      </c>
      <c r="H1664" t="s" s="10">
        <v>55</v>
      </c>
      <c r="I1664" t="s" s="11">
        <v>55</v>
      </c>
      <c r="J1664" t="s" s="11">
        <v>20</v>
      </c>
      <c r="K1664" t="s" s="16">
        <f>HYPERLINK("http://csr.bu.edu/ftp/asl/asllvd/demos/verify_start_end_handshape_annotations//test_auto_move//signs_mov/363.mov","MOV")</f>
        <v>21</v>
      </c>
      <c r="L1664" t="s" s="16">
        <f>HYPERLINK("http://csr.bu.edu/ftp/asl/asllvd/demos/verify_start_end_handshape_annotations//test_auto_move//signs_mov_separ_signers/Tyler_363.mov","MOV")</f>
        <v>21</v>
      </c>
      <c r="M1664" t="s" s="10">
        <v>26</v>
      </c>
      <c r="N1664" s="17">
        <v>38</v>
      </c>
      <c r="O1664" s="18">
        <v>595</v>
      </c>
      <c r="P1664" s="18">
        <v>650</v>
      </c>
      <c r="Q1664" t="s" s="16">
        <f>HYPERLINK("http://secrets.rutgers.edu:8080/data/asl-ftp/asllvd/demos/verify_start_end_handshape_annotations//test_auto_move//signs_mov/363.mov","MOV")</f>
        <v>21</v>
      </c>
      <c r="R1664" t="s" s="16">
        <f>HYPERLINK("http://secrets.rutgers.edu:8080/data/asl-ftp/asllvd/demos/verify_start_end_handshape_annotations//test_auto_move//signs_mov_separ_signers/Tyler_363.mov","MOV")</f>
        <v>21</v>
      </c>
    </row>
    <row r="1665" s="2" customFormat="1" ht="13.5" customHeight="1">
      <c r="B1665" s="13"/>
      <c r="C1665" t="s" s="9">
        <v>30</v>
      </c>
      <c r="D1665" t="s" s="8">
        <v>594</v>
      </c>
      <c r="E1665" t="s" s="9">
        <v>596</v>
      </c>
      <c r="F1665" t="s" s="10">
        <v>152</v>
      </c>
      <c r="G1665" t="s" s="11">
        <v>152</v>
      </c>
      <c r="H1665" t="s" s="10">
        <v>152</v>
      </c>
      <c r="I1665" t="s" s="11">
        <v>152</v>
      </c>
      <c r="J1665" t="s" s="11">
        <v>20</v>
      </c>
      <c r="K1665" s="15"/>
      <c r="L1665" t="s" s="16">
        <f>HYPERLINK("http://csr.bu.edu/ftp/asl/asllvd/demos/verify_start_end_handshape_annotations//test_auto_move//signs_mov_separ_signers/Brady_363.mov","MOV")</f>
        <v>21</v>
      </c>
      <c r="M1665" t="s" s="10">
        <v>31</v>
      </c>
      <c r="N1665" s="17">
        <v>24</v>
      </c>
      <c r="O1665" s="18">
        <v>11656</v>
      </c>
      <c r="P1665" s="18">
        <v>11701</v>
      </c>
      <c r="Q1665" s="15"/>
      <c r="R1665" t="s" s="16">
        <f>HYPERLINK("http://secrets.rutgers.edu:8080/data/asl-ftp/asllvd/demos/verify_start_end_handshape_annotations//test_auto_move//signs_mov_separ_signers/Brady_363.mov","MOV")</f>
        <v>21</v>
      </c>
    </row>
    <row r="1666" s="2" customFormat="1" ht="13.5" customHeight="1">
      <c r="B1666" t="s" s="8">
        <v>52</v>
      </c>
      <c r="C1666" t="s" s="9">
        <v>53</v>
      </c>
      <c r="D1666" t="s" s="8">
        <v>53</v>
      </c>
      <c r="E1666" t="s" s="9">
        <v>53</v>
      </c>
      <c r="F1666" t="s" s="10">
        <v>53</v>
      </c>
      <c r="G1666" t="s" s="11">
        <v>53</v>
      </c>
      <c r="H1666" t="s" s="10">
        <v>53</v>
      </c>
      <c r="I1666" t="s" s="11">
        <v>53</v>
      </c>
      <c r="J1666" t="s" s="11">
        <v>53</v>
      </c>
      <c r="K1666" t="s" s="12">
        <v>53</v>
      </c>
      <c r="L1666" t="s" s="12">
        <v>53</v>
      </c>
      <c r="M1666" t="s" s="10">
        <v>53</v>
      </c>
      <c r="N1666" t="s" s="11">
        <v>53</v>
      </c>
      <c r="O1666" t="s" s="8">
        <v>53</v>
      </c>
      <c r="P1666" t="s" s="8">
        <v>53</v>
      </c>
      <c r="Q1666" t="s" s="12">
        <v>53</v>
      </c>
      <c r="R1666" t="s" s="12">
        <v>53</v>
      </c>
    </row>
    <row r="1667" s="2" customFormat="1" ht="13.5" customHeight="1">
      <c r="B1667" s="13"/>
      <c r="C1667" t="s" s="9">
        <v>16</v>
      </c>
      <c r="D1667" t="s" s="8">
        <v>594</v>
      </c>
      <c r="E1667" t="s" s="9">
        <v>597</v>
      </c>
      <c r="F1667" t="s" s="10">
        <v>55</v>
      </c>
      <c r="G1667" t="s" s="11">
        <v>55</v>
      </c>
      <c r="H1667" t="s" s="10">
        <v>55</v>
      </c>
      <c r="I1667" t="s" s="11">
        <v>55</v>
      </c>
      <c r="J1667" t="s" s="11">
        <v>20</v>
      </c>
      <c r="K1667" s="15"/>
      <c r="L1667" t="s" s="16">
        <f>HYPERLINK("http://csr.bu.edu/ftp/asl/asllvd/demos/verify_start_end_handshape_annotations//test_auto_move//signs_mov_separ_signers/Liz_15418.mov","MOV")</f>
        <v>21</v>
      </c>
      <c r="M1667" t="s" s="10">
        <v>84</v>
      </c>
      <c r="N1667" s="17">
        <v>10</v>
      </c>
      <c r="O1667" s="18">
        <v>880</v>
      </c>
      <c r="P1667" s="18">
        <v>930</v>
      </c>
      <c r="Q1667" s="15"/>
      <c r="R1667" t="s" s="16">
        <f>HYPERLINK("http://secrets.rutgers.edu:8080/data/asl-ftp/asllvd/demos/verify_start_end_handshape_annotations//test_auto_move//signs_mov_separ_signers/Liz_15418.mov","MOV")</f>
        <v>21</v>
      </c>
    </row>
    <row r="1668" s="2" customFormat="1" ht="13.5" customHeight="1">
      <c r="B1668" s="13"/>
      <c r="C1668" t="s" s="9">
        <v>27</v>
      </c>
      <c r="D1668" t="s" s="8">
        <v>594</v>
      </c>
      <c r="E1668" t="s" s="9">
        <v>598</v>
      </c>
      <c r="F1668" t="s" s="10">
        <v>55</v>
      </c>
      <c r="G1668" t="s" s="11">
        <v>55</v>
      </c>
      <c r="H1668" t="s" s="10">
        <v>55</v>
      </c>
      <c r="I1668" t="s" s="11">
        <v>55</v>
      </c>
      <c r="J1668" t="s" s="11">
        <v>20</v>
      </c>
      <c r="K1668" t="s" s="16">
        <f>HYPERLINK("http://csr.bu.edu/ftp/asl/asllvd/demos/verify_start_end_handshape_annotations//test_auto_move//signs_mov/15418.mov","MOV")</f>
        <v>21</v>
      </c>
      <c r="L1668" t="s" s="16">
        <f>HYPERLINK("http://csr.bu.edu/ftp/asl/asllvd/demos/verify_start_end_handshape_annotations//test_auto_move//signs_mov_separ_signers/Naomi_15418.mov","MOV")</f>
        <v>21</v>
      </c>
      <c r="M1668" t="s" s="10">
        <v>86</v>
      </c>
      <c r="N1668" s="17">
        <v>10</v>
      </c>
      <c r="O1668" s="18">
        <v>830</v>
      </c>
      <c r="P1668" s="18">
        <v>860</v>
      </c>
      <c r="Q1668" t="s" s="16">
        <f>HYPERLINK("http://secrets.rutgers.edu:8080/data/asl-ftp/asllvd/demos/verify_start_end_handshape_annotations//test_auto_move//signs_mov/15418.mov","MOV")</f>
        <v>21</v>
      </c>
      <c r="R1668" t="s" s="16">
        <f>HYPERLINK("http://secrets.rutgers.edu:8080/data/asl-ftp/asllvd/demos/verify_start_end_handshape_annotations//test_auto_move//signs_mov_separ_signers/Naomi_15418.mov","MOV")</f>
        <v>21</v>
      </c>
    </row>
    <row r="1669" s="2" customFormat="1" ht="13.5" customHeight="1">
      <c r="B1669" s="13"/>
      <c r="C1669" t="s" s="9">
        <v>30</v>
      </c>
      <c r="D1669" t="s" s="8">
        <v>594</v>
      </c>
      <c r="E1669" t="s" s="9">
        <v>599</v>
      </c>
      <c r="F1669" t="s" s="10">
        <v>152</v>
      </c>
      <c r="G1669" t="s" s="11">
        <v>152</v>
      </c>
      <c r="H1669" t="s" s="10">
        <v>152</v>
      </c>
      <c r="I1669" t="s" s="11">
        <v>152</v>
      </c>
      <c r="J1669" t="s" s="11">
        <v>20</v>
      </c>
      <c r="K1669" s="15"/>
      <c r="L1669" t="s" s="16">
        <f>HYPERLINK("http://csr.bu.edu/ftp/asl/asllvd/demos/verify_start_end_handshape_annotations//test_auto_move//signs_mov_separ_signers/Brady_15418.mov","MOV")</f>
        <v>21</v>
      </c>
      <c r="M1669" t="s" s="10">
        <v>31</v>
      </c>
      <c r="N1669" s="17">
        <v>31</v>
      </c>
      <c r="O1669" s="18">
        <v>12352</v>
      </c>
      <c r="P1669" s="18">
        <v>12408</v>
      </c>
      <c r="Q1669" s="15"/>
      <c r="R1669" t="s" s="16">
        <f>HYPERLINK("http://secrets.rutgers.edu:8080/data/asl-ftp/asllvd/demos/verify_start_end_handshape_annotations//test_auto_move//signs_mov_separ_signers/Brady_15418.mov","MOV")</f>
        <v>21</v>
      </c>
    </row>
    <row r="1670" s="2" customFormat="1" ht="13.5" customHeight="1">
      <c r="B1670" t="s" s="8">
        <v>600</v>
      </c>
      <c r="C1670" t="s" s="9">
        <v>14</v>
      </c>
      <c r="D1670" t="s" s="8">
        <v>14</v>
      </c>
      <c r="E1670" t="s" s="9">
        <v>14</v>
      </c>
      <c r="F1670" t="s" s="10">
        <v>14</v>
      </c>
      <c r="G1670" t="s" s="11">
        <v>14</v>
      </c>
      <c r="H1670" t="s" s="10">
        <v>14</v>
      </c>
      <c r="I1670" t="s" s="11">
        <v>14</v>
      </c>
      <c r="J1670" t="s" s="11">
        <v>14</v>
      </c>
      <c r="K1670" t="s" s="12">
        <v>14</v>
      </c>
      <c r="L1670" t="s" s="12">
        <v>14</v>
      </c>
      <c r="M1670" t="s" s="10">
        <v>14</v>
      </c>
      <c r="N1670" t="s" s="11">
        <v>14</v>
      </c>
      <c r="O1670" t="s" s="8">
        <v>14</v>
      </c>
      <c r="P1670" t="s" s="8">
        <v>14</v>
      </c>
      <c r="Q1670" t="s" s="12">
        <v>14</v>
      </c>
      <c r="R1670" t="s" s="12">
        <v>14</v>
      </c>
    </row>
    <row r="1671" s="2" customFormat="1" ht="13.5" customHeight="1">
      <c r="B1671" s="13"/>
      <c r="C1671" t="s" s="9">
        <v>16</v>
      </c>
      <c r="D1671" t="s" s="8">
        <v>600</v>
      </c>
      <c r="E1671" t="s" s="9">
        <v>600</v>
      </c>
      <c r="F1671" t="s" s="10">
        <v>148</v>
      </c>
      <c r="G1671" t="s" s="11">
        <v>73</v>
      </c>
      <c r="H1671" t="s" s="10">
        <v>148</v>
      </c>
      <c r="I1671" t="s" s="11">
        <v>73</v>
      </c>
      <c r="J1671" t="s" s="11">
        <v>20</v>
      </c>
      <c r="K1671" s="15"/>
      <c r="L1671" t="s" s="16">
        <f>HYPERLINK("http://csr.bu.edu/ftp/asl/asllvd/demos/verify_start_end_handshape_annotations//test_auto_move//signs_mov_separ_signers/Liz_365.mov","MOV")</f>
        <v>21</v>
      </c>
      <c r="M1671" t="s" s="10">
        <v>36</v>
      </c>
      <c r="N1671" s="17">
        <v>17</v>
      </c>
      <c r="O1671" s="18">
        <v>802</v>
      </c>
      <c r="P1671" s="18">
        <v>842</v>
      </c>
      <c r="Q1671" s="15"/>
      <c r="R1671" t="s" s="16">
        <f>HYPERLINK("http://secrets.rutgers.edu:8080/data/asl-ftp/asllvd/demos/verify_start_end_handshape_annotations//test_auto_move//signs_mov_separ_signers/Liz_365.mov","MOV")</f>
        <v>21</v>
      </c>
    </row>
    <row r="1672" s="2" customFormat="1" ht="13.5" customHeight="1">
      <c r="B1672" s="13"/>
      <c r="C1672" t="s" s="9">
        <v>23</v>
      </c>
      <c r="D1672" t="s" s="8">
        <v>600</v>
      </c>
      <c r="E1672" t="s" s="9">
        <v>601</v>
      </c>
      <c r="F1672" t="s" s="10">
        <v>148</v>
      </c>
      <c r="G1672" t="s" s="11">
        <v>73</v>
      </c>
      <c r="H1672" t="s" s="10">
        <v>148</v>
      </c>
      <c r="I1672" t="s" s="11">
        <v>73</v>
      </c>
      <c r="J1672" t="s" s="11">
        <v>20</v>
      </c>
      <c r="K1672" t="s" s="16">
        <f>HYPERLINK("http://csr.bu.edu/ftp/asl/asllvd/demos/verify_start_end_handshape_annotations//test_auto_move//signs_mov/365.mov","MOV")</f>
        <v>21</v>
      </c>
      <c r="L1672" t="s" s="16">
        <f>HYPERLINK("http://csr.bu.edu/ftp/asl/asllvd/demos/verify_start_end_handshape_annotations//test_auto_move//signs_mov_separ_signers/Tyler_365.mov","MOV")</f>
        <v>21</v>
      </c>
      <c r="M1672" t="s" s="10">
        <v>26</v>
      </c>
      <c r="N1672" s="17">
        <v>38</v>
      </c>
      <c r="O1672" s="18">
        <v>1020</v>
      </c>
      <c r="P1672" s="18">
        <v>1085</v>
      </c>
      <c r="Q1672" t="s" s="16">
        <f>HYPERLINK("http://secrets.rutgers.edu:8080/data/asl-ftp/asllvd/demos/verify_start_end_handshape_annotations//test_auto_move//signs_mov/365.mov","MOV")</f>
        <v>21</v>
      </c>
      <c r="R1672" t="s" s="16">
        <f>HYPERLINK("http://secrets.rutgers.edu:8080/data/asl-ftp/asllvd/demos/verify_start_end_handshape_annotations//test_auto_move//signs_mov_separ_signers/Tyler_365.mov","MOV")</f>
        <v>21</v>
      </c>
    </row>
    <row r="1673" s="2" customFormat="1" ht="13.5" customHeight="1">
      <c r="B1673" s="13"/>
      <c r="C1673" t="s" s="9">
        <v>30</v>
      </c>
      <c r="D1673" t="s" s="8">
        <v>600</v>
      </c>
      <c r="E1673" t="s" s="9">
        <v>602</v>
      </c>
      <c r="F1673" t="s" s="10">
        <v>72</v>
      </c>
      <c r="G1673" s="17">
        <v>5</v>
      </c>
      <c r="H1673" t="s" s="10">
        <v>72</v>
      </c>
      <c r="I1673" s="17">
        <v>5</v>
      </c>
      <c r="J1673" t="s" s="11">
        <v>20</v>
      </c>
      <c r="K1673" s="15"/>
      <c r="L1673" t="s" s="16">
        <f>HYPERLINK("http://csr.bu.edu/ftp/asl/asllvd/demos/verify_start_end_handshape_annotations//test_auto_move//signs_mov_separ_signers/Brady_365.mov","MOV")</f>
        <v>21</v>
      </c>
      <c r="M1673" t="s" s="10">
        <v>31</v>
      </c>
      <c r="N1673" s="17">
        <v>24</v>
      </c>
      <c r="O1673" s="18">
        <v>12440</v>
      </c>
      <c r="P1673" s="18">
        <v>12461</v>
      </c>
      <c r="Q1673" s="15"/>
      <c r="R1673" t="s" s="16">
        <f>HYPERLINK("http://secrets.rutgers.edu:8080/data/asl-ftp/asllvd/demos/verify_start_end_handshape_annotations//test_auto_move//signs_mov_separ_signers/Brady_365.mov","MOV")</f>
        <v>21</v>
      </c>
    </row>
    <row r="1674" s="2" customFormat="1" ht="13.5" customHeight="1">
      <c r="B1674" t="s" s="8">
        <v>603</v>
      </c>
      <c r="C1674" t="s" s="9">
        <v>14</v>
      </c>
      <c r="D1674" t="s" s="8">
        <v>14</v>
      </c>
      <c r="E1674" t="s" s="9">
        <v>14</v>
      </c>
      <c r="F1674" t="s" s="10">
        <v>14</v>
      </c>
      <c r="G1674" t="s" s="11">
        <v>14</v>
      </c>
      <c r="H1674" t="s" s="10">
        <v>14</v>
      </c>
      <c r="I1674" t="s" s="11">
        <v>14</v>
      </c>
      <c r="J1674" t="s" s="11">
        <v>14</v>
      </c>
      <c r="K1674" t="s" s="12">
        <v>14</v>
      </c>
      <c r="L1674" t="s" s="12">
        <v>14</v>
      </c>
      <c r="M1674" t="s" s="10">
        <v>14</v>
      </c>
      <c r="N1674" t="s" s="11">
        <v>14</v>
      </c>
      <c r="O1674" t="s" s="8">
        <v>14</v>
      </c>
      <c r="P1674" t="s" s="8">
        <v>14</v>
      </c>
      <c r="Q1674" t="s" s="12">
        <v>14</v>
      </c>
      <c r="R1674" t="s" s="12">
        <v>14</v>
      </c>
    </row>
    <row r="1675" s="2" customFormat="1" ht="13.5" customHeight="1">
      <c r="B1675" s="13"/>
      <c r="C1675" t="s" s="9">
        <v>16</v>
      </c>
      <c r="D1675" t="s" s="8">
        <v>603</v>
      </c>
      <c r="E1675" t="s" s="9">
        <v>603</v>
      </c>
      <c r="F1675" t="s" s="10">
        <v>185</v>
      </c>
      <c r="G1675" t="s" s="11">
        <v>73</v>
      </c>
      <c r="H1675" t="s" s="10">
        <v>185</v>
      </c>
      <c r="I1675" t="s" s="11">
        <v>73</v>
      </c>
      <c r="J1675" t="s" s="11">
        <v>20</v>
      </c>
      <c r="K1675" s="15"/>
      <c r="L1675" t="s" s="16">
        <f>HYPERLINK("http://csr.bu.edu/ftp/asl/asllvd/demos/verify_start_end_handshape_annotations//test_auto_move//signs_mov_separ_signers/Liz_5004.mov","MOV")</f>
        <v>21</v>
      </c>
      <c r="M1675" t="s" s="10">
        <v>22</v>
      </c>
      <c r="N1675" s="17">
        <v>61</v>
      </c>
      <c r="O1675" s="18">
        <v>1615</v>
      </c>
      <c r="P1675" s="18">
        <v>1645</v>
      </c>
      <c r="Q1675" s="15"/>
      <c r="R1675" t="s" s="16">
        <f>HYPERLINK("http://secrets.rutgers.edu:8080/data/asl-ftp/asllvd/demos/verify_start_end_handshape_annotations//test_auto_move//signs_mov_separ_signers/Liz_5004.mov","MOV")</f>
        <v>21</v>
      </c>
    </row>
    <row r="1676" s="2" customFormat="1" ht="13.5" customHeight="1">
      <c r="B1676" s="13"/>
      <c r="C1676" t="s" s="9">
        <v>27</v>
      </c>
      <c r="D1676" t="s" s="8">
        <v>603</v>
      </c>
      <c r="E1676" t="s" s="9">
        <v>603</v>
      </c>
      <c r="F1676" t="s" s="10">
        <v>150</v>
      </c>
      <c r="G1676" t="s" s="11">
        <v>73</v>
      </c>
      <c r="H1676" t="s" s="10">
        <v>150</v>
      </c>
      <c r="I1676" t="s" s="11">
        <v>73</v>
      </c>
      <c r="J1676" t="s" s="11">
        <v>20</v>
      </c>
      <c r="K1676" t="s" s="16">
        <f>HYPERLINK("http://csr.bu.edu/ftp/asl/asllvd/demos/verify_start_end_handshape_annotations//test_auto_move//signs_mov/5004.mov","MOV")</f>
        <v>21</v>
      </c>
      <c r="L1676" t="s" s="16">
        <f>HYPERLINK("http://csr.bu.edu/ftp/asl/asllvd/demos/verify_start_end_handshape_annotations//test_auto_move//signs_mov_separ_signers/Naomi_5004.mov","MOV")</f>
        <v>21</v>
      </c>
      <c r="M1676" t="s" s="10">
        <v>29</v>
      </c>
      <c r="N1676" s="17">
        <v>39</v>
      </c>
      <c r="O1676" s="18">
        <v>2273</v>
      </c>
      <c r="P1676" s="18">
        <v>2300</v>
      </c>
      <c r="Q1676" t="s" s="16">
        <f>HYPERLINK("http://secrets.rutgers.edu:8080/data/asl-ftp/asllvd/demos/verify_start_end_handshape_annotations//test_auto_move//signs_mov/5004.mov","MOV")</f>
        <v>21</v>
      </c>
      <c r="R1676" t="s" s="16">
        <f>HYPERLINK("http://secrets.rutgers.edu:8080/data/asl-ftp/asllvd/demos/verify_start_end_handshape_annotations//test_auto_move//signs_mov_separ_signers/Naomi_5004.mov","MOV")</f>
        <v>21</v>
      </c>
    </row>
    <row r="1677" s="2" customFormat="1" ht="13.5" customHeight="1">
      <c r="B1677" s="13"/>
      <c r="C1677" t="s" s="9">
        <v>30</v>
      </c>
      <c r="D1677" t="s" s="8">
        <v>603</v>
      </c>
      <c r="E1677" t="s" s="9">
        <v>603</v>
      </c>
      <c r="F1677" t="s" s="10">
        <v>185</v>
      </c>
      <c r="G1677" t="s" s="11">
        <v>73</v>
      </c>
      <c r="H1677" t="s" s="10">
        <v>185</v>
      </c>
      <c r="I1677" t="s" s="11">
        <v>73</v>
      </c>
      <c r="J1677" t="s" s="11">
        <v>20</v>
      </c>
      <c r="K1677" s="15"/>
      <c r="L1677" t="s" s="16">
        <f>HYPERLINK("http://csr.bu.edu/ftp/asl/asllvd/demos/verify_start_end_handshape_annotations//test_auto_move//signs_mov_separ_signers/Brady_5004.mov","MOV")</f>
        <v>21</v>
      </c>
      <c r="M1677" t="s" s="10">
        <v>31</v>
      </c>
      <c r="N1677" s="17">
        <v>24</v>
      </c>
      <c r="O1677" s="18">
        <v>12978</v>
      </c>
      <c r="P1677" s="18">
        <v>12995</v>
      </c>
      <c r="Q1677" s="15"/>
      <c r="R1677" t="s" s="16">
        <f>HYPERLINK("http://secrets.rutgers.edu:8080/data/asl-ftp/asllvd/demos/verify_start_end_handshape_annotations//test_auto_move//signs_mov_separ_signers/Brady_5004.mov","MOV")</f>
        <v>21</v>
      </c>
    </row>
    <row r="1678" s="2" customFormat="1" ht="13.5" customHeight="1">
      <c r="B1678" t="s" s="8">
        <v>604</v>
      </c>
      <c r="C1678" t="s" s="9">
        <v>14</v>
      </c>
      <c r="D1678" t="s" s="8">
        <v>14</v>
      </c>
      <c r="E1678" t="s" s="9">
        <v>14</v>
      </c>
      <c r="F1678" t="s" s="10">
        <v>14</v>
      </c>
      <c r="G1678" t="s" s="11">
        <v>14</v>
      </c>
      <c r="H1678" t="s" s="10">
        <v>14</v>
      </c>
      <c r="I1678" t="s" s="11">
        <v>14</v>
      </c>
      <c r="J1678" t="s" s="11">
        <v>14</v>
      </c>
      <c r="K1678" t="s" s="12">
        <v>14</v>
      </c>
      <c r="L1678" t="s" s="12">
        <v>14</v>
      </c>
      <c r="M1678" t="s" s="10">
        <v>14</v>
      </c>
      <c r="N1678" t="s" s="11">
        <v>14</v>
      </c>
      <c r="O1678" t="s" s="8">
        <v>14</v>
      </c>
      <c r="P1678" t="s" s="8">
        <v>14</v>
      </c>
      <c r="Q1678" t="s" s="12">
        <v>14</v>
      </c>
      <c r="R1678" t="s" s="12">
        <v>14</v>
      </c>
    </row>
    <row r="1679" s="2" customFormat="1" ht="13.5" customHeight="1">
      <c r="B1679" s="13"/>
      <c r="C1679" t="s" s="9">
        <v>16</v>
      </c>
      <c r="D1679" t="s" s="8">
        <v>604</v>
      </c>
      <c r="E1679" t="s" s="9">
        <v>605</v>
      </c>
      <c r="F1679" t="s" s="10">
        <v>25</v>
      </c>
      <c r="G1679" t="s" s="11">
        <v>18</v>
      </c>
      <c r="H1679" t="s" s="10">
        <v>18</v>
      </c>
      <c r="I1679" t="s" s="11">
        <v>18</v>
      </c>
      <c r="J1679" t="s" s="11">
        <v>20</v>
      </c>
      <c r="K1679" s="15"/>
      <c r="L1679" t="s" s="16">
        <f>HYPERLINK("http://csr.bu.edu/ftp/asl/asllvd/demos/verify_start_end_handshape_annotations//test_auto_move//signs_mov_separ_signers/Liz_370.mov","MOV")</f>
        <v>21</v>
      </c>
      <c r="M1679" t="s" s="10">
        <v>22</v>
      </c>
      <c r="N1679" s="17">
        <v>62</v>
      </c>
      <c r="O1679" s="18">
        <v>830</v>
      </c>
      <c r="P1679" s="18">
        <v>860</v>
      </c>
      <c r="Q1679" s="15"/>
      <c r="R1679" t="s" s="16">
        <f>HYPERLINK("http://secrets.rutgers.edu:8080/data/asl-ftp/asllvd/demos/verify_start_end_handshape_annotations//test_auto_move//signs_mov_separ_signers/Liz_370.mov","MOV")</f>
        <v>21</v>
      </c>
    </row>
    <row r="1680" s="2" customFormat="1" ht="13.5" customHeight="1">
      <c r="B1680" s="13"/>
      <c r="C1680" t="s" s="9">
        <v>16</v>
      </c>
      <c r="D1680" t="s" s="8">
        <v>604</v>
      </c>
      <c r="E1680" t="s" s="9">
        <v>606</v>
      </c>
      <c r="F1680" t="s" s="10">
        <v>25</v>
      </c>
      <c r="G1680" t="s" s="11">
        <v>18</v>
      </c>
      <c r="H1680" t="s" s="10">
        <v>18</v>
      </c>
      <c r="I1680" t="s" s="11">
        <v>18</v>
      </c>
      <c r="J1680" t="s" s="11">
        <v>20</v>
      </c>
      <c r="K1680" t="s" s="16">
        <f>HYPERLINK("http://csr.bu.edu/ftp/asl/asllvd/demos/verify_start_end_handshape_annotations//test_auto_move//signs_mov/370_3558_merged.mov","MOV")</f>
        <v>21</v>
      </c>
      <c r="L1680" t="s" s="16">
        <f>HYPERLINK("http://csr.bu.edu/ftp/asl/asllvd/demos/verify_start_end_handshape_annotations//test_auto_move//signs_mov_separ_signers/Liz_3558.mov","MOV")</f>
        <v>21</v>
      </c>
      <c r="M1680" t="s" s="10">
        <v>59</v>
      </c>
      <c r="N1680" s="17">
        <v>3</v>
      </c>
      <c r="O1680" s="18">
        <v>3711</v>
      </c>
      <c r="P1680" s="18">
        <v>3745</v>
      </c>
      <c r="Q1680" t="s" s="16">
        <f>HYPERLINK("http://secrets.rutgers.edu:8080/data/asl-ftp/asllvd/demos/verify_start_end_handshape_annotations//test_auto_move//signs_mov/370_3558_merged.mov","MOV")</f>
        <v>21</v>
      </c>
      <c r="R1680" t="s" s="16">
        <f>HYPERLINK("http://secrets.rutgers.edu:8080/data/asl-ftp/asllvd/demos/verify_start_end_handshape_annotations//test_auto_move//signs_mov_separ_signers/Liz_3558.mov","MOV")</f>
        <v>21</v>
      </c>
    </row>
    <row r="1681" s="2" customFormat="1" ht="13.5" customHeight="1">
      <c r="B1681" s="13"/>
      <c r="C1681" t="s" s="9">
        <v>23</v>
      </c>
      <c r="D1681" t="s" s="8">
        <v>604</v>
      </c>
      <c r="E1681" t="s" s="9">
        <v>606</v>
      </c>
      <c r="F1681" t="s" s="10">
        <v>25</v>
      </c>
      <c r="G1681" t="s" s="11">
        <v>18</v>
      </c>
      <c r="H1681" t="s" s="10">
        <v>18</v>
      </c>
      <c r="I1681" t="s" s="11">
        <v>18</v>
      </c>
      <c r="J1681" t="s" s="11">
        <v>20</v>
      </c>
      <c r="K1681" s="15"/>
      <c r="L1681" t="s" s="16">
        <f>HYPERLINK("http://csr.bu.edu/ftp/asl/asllvd/demos/verify_start_end_handshape_annotations//test_auto_move//signs_mov_separ_signers/Tyler_370.mov","MOV")</f>
        <v>21</v>
      </c>
      <c r="M1681" t="s" s="10">
        <v>26</v>
      </c>
      <c r="N1681" s="17">
        <v>38</v>
      </c>
      <c r="O1681" s="18">
        <v>2745</v>
      </c>
      <c r="P1681" s="18">
        <v>2780</v>
      </c>
      <c r="Q1681" s="15"/>
      <c r="R1681" t="s" s="16">
        <f>HYPERLINK("http://secrets.rutgers.edu:8080/data/asl-ftp/asllvd/demos/verify_start_end_handshape_annotations//test_auto_move//signs_mov_separ_signers/Tyler_370.mov","MOV")</f>
        <v>21</v>
      </c>
    </row>
    <row r="1682" s="2" customFormat="1" ht="13.5" customHeight="1">
      <c r="B1682" s="13"/>
      <c r="C1682" t="s" s="9">
        <v>27</v>
      </c>
      <c r="D1682" t="s" s="8">
        <v>604</v>
      </c>
      <c r="E1682" t="s" s="9">
        <v>605</v>
      </c>
      <c r="F1682" t="s" s="10">
        <v>25</v>
      </c>
      <c r="G1682" t="s" s="11">
        <v>18</v>
      </c>
      <c r="H1682" t="s" s="10">
        <v>18</v>
      </c>
      <c r="I1682" t="s" s="11">
        <v>18</v>
      </c>
      <c r="J1682" t="s" s="11">
        <v>20</v>
      </c>
      <c r="K1682" s="15"/>
      <c r="L1682" t="s" s="16">
        <f>HYPERLINK("http://csr.bu.edu/ftp/asl/asllvd/demos/verify_start_end_handshape_annotations//test_auto_move//signs_mov_separ_signers/Naomi_370.mov","MOV")</f>
        <v>21</v>
      </c>
      <c r="M1682" t="s" s="10">
        <v>29</v>
      </c>
      <c r="N1682" s="17">
        <v>39</v>
      </c>
      <c r="O1682" s="18">
        <v>3702</v>
      </c>
      <c r="P1682" s="18">
        <v>3725</v>
      </c>
      <c r="Q1682" s="15"/>
      <c r="R1682" t="s" s="16">
        <f>HYPERLINK("http://secrets.rutgers.edu:8080/data/asl-ftp/asllvd/demos/verify_start_end_handshape_annotations//test_auto_move//signs_mov_separ_signers/Naomi_370.mov","MOV")</f>
        <v>21</v>
      </c>
    </row>
    <row r="1683" s="2" customFormat="1" ht="13.5" customHeight="1">
      <c r="B1683" t="s" s="8">
        <v>607</v>
      </c>
      <c r="C1683" t="s" s="9">
        <v>14</v>
      </c>
      <c r="D1683" t="s" s="8">
        <v>14</v>
      </c>
      <c r="E1683" t="s" s="9">
        <v>14</v>
      </c>
      <c r="F1683" t="s" s="10">
        <v>14</v>
      </c>
      <c r="G1683" t="s" s="11">
        <v>14</v>
      </c>
      <c r="H1683" t="s" s="10">
        <v>14</v>
      </c>
      <c r="I1683" t="s" s="11">
        <v>14</v>
      </c>
      <c r="J1683" t="s" s="11">
        <v>14</v>
      </c>
      <c r="K1683" t="s" s="12">
        <v>14</v>
      </c>
      <c r="L1683" t="s" s="12">
        <v>14</v>
      </c>
      <c r="M1683" t="s" s="10">
        <v>14</v>
      </c>
      <c r="N1683" t="s" s="11">
        <v>14</v>
      </c>
      <c r="O1683" t="s" s="8">
        <v>14</v>
      </c>
      <c r="P1683" t="s" s="8">
        <v>14</v>
      </c>
      <c r="Q1683" t="s" s="12">
        <v>14</v>
      </c>
      <c r="R1683" t="s" s="12">
        <v>14</v>
      </c>
    </row>
    <row r="1684" s="2" customFormat="1" ht="13.5" customHeight="1">
      <c r="B1684" s="13"/>
      <c r="C1684" t="s" s="9">
        <v>30</v>
      </c>
      <c r="D1684" t="s" s="8">
        <v>607</v>
      </c>
      <c r="E1684" t="s" s="9">
        <v>607</v>
      </c>
      <c r="F1684" s="19">
        <v>1</v>
      </c>
      <c r="G1684" s="17">
        <v>1</v>
      </c>
      <c r="H1684" t="s" s="10">
        <v>255</v>
      </c>
      <c r="I1684" s="17">
        <v>1</v>
      </c>
      <c r="J1684" t="s" s="11">
        <v>20</v>
      </c>
      <c r="K1684" t="s" s="16">
        <f>HYPERLINK("http://csr.bu.edu/ftp/asl/asllvd/demos/verify_start_end_handshape_annotations//test_auto_move//signs_mov/5120.mov","MOV")</f>
        <v>21</v>
      </c>
      <c r="L1684" t="s" s="16">
        <f>HYPERLINK("http://csr.bu.edu/ftp/asl/asllvd/demos/verify_start_end_handshape_annotations//test_auto_move//signs_mov_separ_signers/Brady_5120.mov","MOV")</f>
        <v>21</v>
      </c>
      <c r="M1684" t="s" s="10">
        <v>31</v>
      </c>
      <c r="N1684" s="17">
        <v>25</v>
      </c>
      <c r="O1684" s="18">
        <v>1522</v>
      </c>
      <c r="P1684" s="18">
        <v>1539</v>
      </c>
      <c r="Q1684" t="s" s="16">
        <f>HYPERLINK("http://secrets.rutgers.edu:8080/data/asl-ftp/asllvd/demos/verify_start_end_handshape_annotations//test_auto_move//signs_mov/5120.mov","MOV")</f>
        <v>21</v>
      </c>
      <c r="R1684" t="s" s="16">
        <f>HYPERLINK("http://secrets.rutgers.edu:8080/data/asl-ftp/asllvd/demos/verify_start_end_handshape_annotations//test_auto_move//signs_mov_separ_signers/Brady_5120.mov","MOV")</f>
        <v>21</v>
      </c>
    </row>
    <row r="1685" s="2" customFormat="1" ht="13.5" customHeight="1">
      <c r="B1685" t="s" s="8">
        <v>608</v>
      </c>
      <c r="C1685" t="s" s="9">
        <v>14</v>
      </c>
      <c r="D1685" t="s" s="8">
        <v>14</v>
      </c>
      <c r="E1685" t="s" s="9">
        <v>14</v>
      </c>
      <c r="F1685" t="s" s="10">
        <v>14</v>
      </c>
      <c r="G1685" t="s" s="11">
        <v>14</v>
      </c>
      <c r="H1685" t="s" s="10">
        <v>14</v>
      </c>
      <c r="I1685" t="s" s="11">
        <v>14</v>
      </c>
      <c r="J1685" t="s" s="11">
        <v>14</v>
      </c>
      <c r="K1685" t="s" s="12">
        <v>14</v>
      </c>
      <c r="L1685" t="s" s="12">
        <v>14</v>
      </c>
      <c r="M1685" t="s" s="10">
        <v>14</v>
      </c>
      <c r="N1685" t="s" s="11">
        <v>14</v>
      </c>
      <c r="O1685" t="s" s="8">
        <v>14</v>
      </c>
      <c r="P1685" t="s" s="8">
        <v>14</v>
      </c>
      <c r="Q1685" t="s" s="12">
        <v>14</v>
      </c>
      <c r="R1685" t="s" s="12">
        <v>14</v>
      </c>
    </row>
    <row r="1686" s="2" customFormat="1" ht="13.5" customHeight="1">
      <c r="B1686" s="13"/>
      <c r="C1686" t="s" s="9">
        <v>16</v>
      </c>
      <c r="D1686" t="s" s="8">
        <v>608</v>
      </c>
      <c r="E1686" t="s" s="9">
        <v>608</v>
      </c>
      <c r="F1686" t="s" s="10">
        <v>63</v>
      </c>
      <c r="G1686" t="s" s="11">
        <v>63</v>
      </c>
      <c r="H1686" t="s" s="10">
        <v>63</v>
      </c>
      <c r="I1686" t="s" s="11">
        <v>63</v>
      </c>
      <c r="J1686" t="s" s="11">
        <v>20</v>
      </c>
      <c r="K1686" s="15"/>
      <c r="L1686" t="s" s="16">
        <f>HYPERLINK("http://csr.bu.edu/ftp/asl/asllvd/demos/verify_start_end_handshape_annotations//test_auto_move//signs_mov_separ_signers/Liz_373.mov","MOV")</f>
        <v>21</v>
      </c>
      <c r="M1686" t="s" s="10">
        <v>22</v>
      </c>
      <c r="N1686" s="17">
        <v>62</v>
      </c>
      <c r="O1686" s="18">
        <v>1535</v>
      </c>
      <c r="P1686" s="18">
        <v>1560</v>
      </c>
      <c r="Q1686" s="15"/>
      <c r="R1686" t="s" s="16">
        <f>HYPERLINK("http://secrets.rutgers.edu:8080/data/asl-ftp/asllvd/demos/verify_start_end_handshape_annotations//test_auto_move//signs_mov_separ_signers/Liz_373.mov","MOV")</f>
        <v>21</v>
      </c>
    </row>
    <row r="1687" s="2" customFormat="1" ht="13.5" customHeight="1">
      <c r="B1687" s="13"/>
      <c r="C1687" t="s" s="9">
        <v>16</v>
      </c>
      <c r="D1687" t="s" s="8">
        <v>608</v>
      </c>
      <c r="E1687" t="s" s="9">
        <v>609</v>
      </c>
      <c r="F1687" t="s" s="10">
        <v>63</v>
      </c>
      <c r="G1687" t="s" s="11">
        <v>63</v>
      </c>
      <c r="H1687" t="s" s="10">
        <v>63</v>
      </c>
      <c r="I1687" t="s" s="11">
        <v>63</v>
      </c>
      <c r="J1687" t="s" s="11">
        <v>20</v>
      </c>
      <c r="K1687" s="15"/>
      <c r="L1687" t="s" s="16">
        <f>HYPERLINK("http://csr.bu.edu/ftp/asl/asllvd/demos/verify_start_end_handshape_annotations//test_auto_move//signs_mov_separ_signers/Liz_5009.mov","MOV")</f>
        <v>21</v>
      </c>
      <c r="M1687" t="s" s="10">
        <v>88</v>
      </c>
      <c r="N1687" s="17">
        <v>45</v>
      </c>
      <c r="O1687" s="18">
        <v>436</v>
      </c>
      <c r="P1687" s="18">
        <v>480</v>
      </c>
      <c r="Q1687" s="15"/>
      <c r="R1687" t="s" s="16">
        <f>HYPERLINK("http://secrets.rutgers.edu:8080/data/asl-ftp/asllvd/demos/verify_start_end_handshape_annotations//test_auto_move//signs_mov_separ_signers/Liz_5009.mov","MOV")</f>
        <v>21</v>
      </c>
    </row>
    <row r="1688" s="2" customFormat="1" ht="13.5" customHeight="1">
      <c r="B1688" s="13"/>
      <c r="C1688" t="s" s="9">
        <v>23</v>
      </c>
      <c r="D1688" t="s" s="8">
        <v>608</v>
      </c>
      <c r="E1688" t="s" s="9">
        <v>608</v>
      </c>
      <c r="F1688" t="s" s="10">
        <v>68</v>
      </c>
      <c r="G1688" t="s" s="11">
        <v>68</v>
      </c>
      <c r="H1688" t="s" s="10">
        <v>68</v>
      </c>
      <c r="I1688" t="s" s="11">
        <v>68</v>
      </c>
      <c r="J1688" t="s" s="11">
        <v>20</v>
      </c>
      <c r="K1688" s="15"/>
      <c r="L1688" t="s" s="16">
        <f>HYPERLINK("http://csr.bu.edu/ftp/asl/asllvd/demos/verify_start_end_handshape_annotations//test_auto_move//signs_mov_separ_signers/Tyler_373.mov","MOV")</f>
        <v>21</v>
      </c>
      <c r="M1688" t="s" s="10">
        <v>26</v>
      </c>
      <c r="N1688" s="17">
        <v>39</v>
      </c>
      <c r="O1688" s="18">
        <v>815</v>
      </c>
      <c r="P1688" s="18">
        <v>850</v>
      </c>
      <c r="Q1688" s="15"/>
      <c r="R1688" t="s" s="16">
        <f>HYPERLINK("http://secrets.rutgers.edu:8080/data/asl-ftp/asllvd/demos/verify_start_end_handshape_annotations//test_auto_move//signs_mov_separ_signers/Tyler_373.mov","MOV")</f>
        <v>21</v>
      </c>
    </row>
    <row r="1689" s="2" customFormat="1" ht="13.5" customHeight="1">
      <c r="B1689" s="13"/>
      <c r="C1689" t="s" s="9">
        <v>27</v>
      </c>
      <c r="D1689" t="s" s="8">
        <v>608</v>
      </c>
      <c r="E1689" t="s" s="9">
        <v>608</v>
      </c>
      <c r="F1689" t="s" s="10">
        <v>68</v>
      </c>
      <c r="G1689" t="s" s="11">
        <v>68</v>
      </c>
      <c r="H1689" t="s" s="10">
        <v>68</v>
      </c>
      <c r="I1689" t="s" s="11">
        <v>68</v>
      </c>
      <c r="J1689" t="s" s="11">
        <v>20</v>
      </c>
      <c r="K1689" t="s" s="16">
        <f>HYPERLINK("http://csr.bu.edu/ftp/asl/asllvd/demos/verify_start_end_handshape_annotations//test_auto_move//signs_mov/373_5009_merged.mov","MOV")</f>
        <v>21</v>
      </c>
      <c r="L1689" t="s" s="16">
        <f>HYPERLINK("http://csr.bu.edu/ftp/asl/asllvd/demos/verify_start_end_handshape_annotations//test_auto_move//signs_mov_separ_signers/Naomi_373.mov","MOV")</f>
        <v>21</v>
      </c>
      <c r="M1689" t="s" s="10">
        <v>29</v>
      </c>
      <c r="N1689" s="17">
        <v>40</v>
      </c>
      <c r="O1689" s="18">
        <v>1130</v>
      </c>
      <c r="P1689" s="18">
        <v>1145</v>
      </c>
      <c r="Q1689" t="s" s="16">
        <f>HYPERLINK("http://secrets.rutgers.edu:8080/data/asl-ftp/asllvd/demos/verify_start_end_handshape_annotations//test_auto_move//signs_mov/373_5009_merged.mov","MOV")</f>
        <v>21</v>
      </c>
      <c r="R1689" t="s" s="16">
        <f>HYPERLINK("http://secrets.rutgers.edu:8080/data/asl-ftp/asllvd/demos/verify_start_end_handshape_annotations//test_auto_move//signs_mov_separ_signers/Naomi_373.mov","MOV")</f>
        <v>21</v>
      </c>
    </row>
    <row r="1690" s="2" customFormat="1" ht="13.5" customHeight="1">
      <c r="B1690" s="13"/>
      <c r="C1690" t="s" s="9">
        <v>30</v>
      </c>
      <c r="D1690" t="s" s="8">
        <v>608</v>
      </c>
      <c r="E1690" t="s" s="9">
        <v>608</v>
      </c>
      <c r="F1690" t="s" s="10">
        <v>68</v>
      </c>
      <c r="G1690" t="s" s="11">
        <v>68</v>
      </c>
      <c r="H1690" t="s" s="10">
        <v>68</v>
      </c>
      <c r="I1690" t="s" s="11">
        <v>68</v>
      </c>
      <c r="J1690" t="s" s="11">
        <v>20</v>
      </c>
      <c r="K1690" s="15"/>
      <c r="L1690" t="s" s="16">
        <f>HYPERLINK("http://csr.bu.edu/ftp/asl/asllvd/demos/verify_start_end_handshape_annotations//test_auto_move//signs_mov_separ_signers/Brady_373.mov","MOV")</f>
        <v>21</v>
      </c>
      <c r="M1690" t="s" s="10">
        <v>31</v>
      </c>
      <c r="N1690" s="17">
        <v>25</v>
      </c>
      <c r="O1690" s="18">
        <v>2886</v>
      </c>
      <c r="P1690" s="18">
        <v>2906</v>
      </c>
      <c r="Q1690" s="15"/>
      <c r="R1690" t="s" s="16">
        <f>HYPERLINK("http://secrets.rutgers.edu:8080/data/asl-ftp/asllvd/demos/verify_start_end_handshape_annotations//test_auto_move//signs_mov_separ_signers/Brady_373.mov","MOV")</f>
        <v>21</v>
      </c>
    </row>
    <row r="1691" s="2" customFormat="1" ht="13.5" customHeight="1">
      <c r="B1691" s="13"/>
      <c r="C1691" t="s" s="9">
        <v>30</v>
      </c>
      <c r="D1691" t="s" s="8">
        <v>608</v>
      </c>
      <c r="E1691" t="s" s="9">
        <v>610</v>
      </c>
      <c r="F1691" t="s" s="10">
        <v>63</v>
      </c>
      <c r="G1691" t="s" s="11">
        <v>63</v>
      </c>
      <c r="H1691" t="s" s="10">
        <v>63</v>
      </c>
      <c r="I1691" t="s" s="11">
        <v>63</v>
      </c>
      <c r="J1691" t="s" s="11">
        <v>20</v>
      </c>
      <c r="K1691" s="15"/>
      <c r="L1691" t="s" s="16">
        <f>HYPERLINK("http://csr.bu.edu/ftp/asl/asllvd/demos/verify_start_end_handshape_annotations//test_auto_move//signs_mov_separ_signers/Brady_5009.mov","MOV")</f>
        <v>21</v>
      </c>
      <c r="M1691" t="s" s="10">
        <v>40</v>
      </c>
      <c r="N1691" s="17">
        <v>39</v>
      </c>
      <c r="O1691" s="18">
        <v>217</v>
      </c>
      <c r="P1691" s="18">
        <v>253</v>
      </c>
      <c r="Q1691" s="15"/>
      <c r="R1691" t="s" s="16">
        <f>HYPERLINK("http://secrets.rutgers.edu:8080/data/asl-ftp/asllvd/demos/verify_start_end_handshape_annotations//test_auto_move//signs_mov_separ_signers/Brady_5009.mov","MOV")</f>
        <v>21</v>
      </c>
    </row>
    <row r="1692" s="2" customFormat="1" ht="13.5" customHeight="1">
      <c r="B1692" s="13"/>
      <c r="C1692" t="s" s="9">
        <v>41</v>
      </c>
      <c r="D1692" t="s" s="8">
        <v>608</v>
      </c>
      <c r="E1692" t="s" s="9">
        <v>608</v>
      </c>
      <c r="F1692" t="s" s="10">
        <v>68</v>
      </c>
      <c r="G1692" t="s" s="11">
        <v>68</v>
      </c>
      <c r="H1692" t="s" s="10">
        <v>68</v>
      </c>
      <c r="I1692" t="s" s="11">
        <v>68</v>
      </c>
      <c r="J1692" t="s" s="11">
        <v>20</v>
      </c>
      <c r="K1692" s="15"/>
      <c r="L1692" t="s" s="16">
        <f>HYPERLINK("http://csr.bu.edu/ftp/asl/asllvd/demos/verify_start_end_handshape_annotations//test_auto_move//signs_mov_separ_signers/Lana_373.mov","MOV")</f>
        <v>21</v>
      </c>
      <c r="M1692" t="s" s="10">
        <v>42</v>
      </c>
      <c r="N1692" s="17">
        <v>4</v>
      </c>
      <c r="O1692" s="18">
        <v>1669</v>
      </c>
      <c r="P1692" s="18">
        <v>1682</v>
      </c>
      <c r="Q1692" s="15"/>
      <c r="R1692" t="s" s="16">
        <f>HYPERLINK("http://secrets.rutgers.edu:8080/data/asl-ftp/asllvd/demos/verify_start_end_handshape_annotations//test_auto_move//signs_mov_separ_signers/Lana_373.mov","MOV")</f>
        <v>21</v>
      </c>
    </row>
    <row r="1693" s="2" customFormat="1" ht="13.5" customHeight="1">
      <c r="B1693" s="13"/>
      <c r="C1693" t="s" s="9">
        <v>43</v>
      </c>
      <c r="D1693" t="s" s="8">
        <v>608</v>
      </c>
      <c r="E1693" t="s" s="9">
        <v>608</v>
      </c>
      <c r="F1693" t="s" s="10">
        <v>68</v>
      </c>
      <c r="G1693" t="s" s="11">
        <v>68</v>
      </c>
      <c r="H1693" t="s" s="10">
        <v>68</v>
      </c>
      <c r="I1693" t="s" s="11">
        <v>68</v>
      </c>
      <c r="J1693" t="s" s="11">
        <v>20</v>
      </c>
      <c r="K1693" s="15"/>
      <c r="L1693" t="s" s="16">
        <f>HYPERLINK("http://csr.bu.edu/ftp/asl/asllvd/demos/verify_start_end_handshape_annotations//test_auto_move//signs_mov_separ_signers/Dana_373.mov","MOV")</f>
        <v>21</v>
      </c>
      <c r="M1693" t="s" s="10">
        <v>44</v>
      </c>
      <c r="N1693" s="17">
        <v>8</v>
      </c>
      <c r="O1693" s="18">
        <v>1612</v>
      </c>
      <c r="P1693" s="18">
        <v>1662</v>
      </c>
      <c r="Q1693" s="15"/>
      <c r="R1693" t="s" s="16">
        <f>HYPERLINK("http://secrets.rutgers.edu:8080/data/asl-ftp/asllvd/demos/verify_start_end_handshape_annotations//test_auto_move//signs_mov_separ_signers/Dana_373.mov","MOV")</f>
        <v>21</v>
      </c>
    </row>
    <row r="1694" s="2" customFormat="1" ht="13.5" customHeight="1">
      <c r="B1694" t="s" s="8">
        <v>611</v>
      </c>
      <c r="C1694" t="s" s="9">
        <v>14</v>
      </c>
      <c r="D1694" t="s" s="8">
        <v>14</v>
      </c>
      <c r="E1694" t="s" s="9">
        <v>14</v>
      </c>
      <c r="F1694" t="s" s="10">
        <v>14</v>
      </c>
      <c r="G1694" t="s" s="11">
        <v>14</v>
      </c>
      <c r="H1694" t="s" s="10">
        <v>14</v>
      </c>
      <c r="I1694" t="s" s="11">
        <v>14</v>
      </c>
      <c r="J1694" t="s" s="11">
        <v>14</v>
      </c>
      <c r="K1694" t="s" s="12">
        <v>14</v>
      </c>
      <c r="L1694" t="s" s="12">
        <v>14</v>
      </c>
      <c r="M1694" t="s" s="10">
        <v>14</v>
      </c>
      <c r="N1694" t="s" s="11">
        <v>14</v>
      </c>
      <c r="O1694" t="s" s="8">
        <v>14</v>
      </c>
      <c r="P1694" t="s" s="8">
        <v>14</v>
      </c>
      <c r="Q1694" t="s" s="12">
        <v>14</v>
      </c>
      <c r="R1694" t="s" s="12">
        <v>14</v>
      </c>
    </row>
    <row r="1695" s="2" customFormat="1" ht="13.5" customHeight="1">
      <c r="B1695" s="13"/>
      <c r="C1695" t="s" s="9">
        <v>16</v>
      </c>
      <c r="D1695" t="s" s="8">
        <v>611</v>
      </c>
      <c r="E1695" t="s" s="9">
        <v>611</v>
      </c>
      <c r="F1695" s="19">
        <v>10</v>
      </c>
      <c r="G1695" s="14"/>
      <c r="H1695" s="19">
        <v>10</v>
      </c>
      <c r="I1695" s="14"/>
      <c r="J1695" t="s" s="11">
        <v>20</v>
      </c>
      <c r="K1695" s="15"/>
      <c r="L1695" t="s" s="16">
        <f>HYPERLINK("http://csr.bu.edu/ftp/asl/asllvd/demos/verify_start_end_handshape_annotations//test_auto_move//signs_mov_separ_signers/Liz_374.mov","MOV")</f>
        <v>21</v>
      </c>
      <c r="M1695" t="s" s="10">
        <v>22</v>
      </c>
      <c r="N1695" s="17">
        <v>63</v>
      </c>
      <c r="O1695" s="18">
        <v>290</v>
      </c>
      <c r="P1695" s="18">
        <v>320</v>
      </c>
      <c r="Q1695" s="15"/>
      <c r="R1695" t="s" s="16">
        <f>HYPERLINK("http://secrets.rutgers.edu:8080/data/asl-ftp/asllvd/demos/verify_start_end_handshape_annotations//test_auto_move//signs_mov_separ_signers/Liz_374.mov","MOV")</f>
        <v>21</v>
      </c>
    </row>
    <row r="1696" s="2" customFormat="1" ht="13.5" customHeight="1">
      <c r="B1696" s="13"/>
      <c r="C1696" t="s" s="9">
        <v>23</v>
      </c>
      <c r="D1696" t="s" s="8">
        <v>611</v>
      </c>
      <c r="E1696" t="s" s="9">
        <v>611</v>
      </c>
      <c r="F1696" t="s" s="10">
        <v>63</v>
      </c>
      <c r="G1696" s="14"/>
      <c r="H1696" t="s" s="10">
        <v>63</v>
      </c>
      <c r="I1696" s="14"/>
      <c r="J1696" t="s" s="11">
        <v>20</v>
      </c>
      <c r="K1696" t="s" s="16">
        <f>HYPERLINK("http://csr.bu.edu/ftp/asl/asllvd/demos/verify_start_end_handshape_annotations//test_auto_move//signs_mov/374.mov","MOV")</f>
        <v>21</v>
      </c>
      <c r="L1696" t="s" s="16">
        <f>HYPERLINK("http://csr.bu.edu/ftp/asl/asllvd/demos/verify_start_end_handshape_annotations//test_auto_move//signs_mov_separ_signers/Tyler_374.mov","MOV")</f>
        <v>21</v>
      </c>
      <c r="M1696" t="s" s="10">
        <v>26</v>
      </c>
      <c r="N1696" s="17">
        <v>39</v>
      </c>
      <c r="O1696" s="18">
        <v>1000</v>
      </c>
      <c r="P1696" s="18">
        <v>1051</v>
      </c>
      <c r="Q1696" t="s" s="16">
        <f>HYPERLINK("http://secrets.rutgers.edu:8080/data/asl-ftp/asllvd/demos/verify_start_end_handshape_annotations//test_auto_move//signs_mov/374.mov","MOV")</f>
        <v>21</v>
      </c>
      <c r="R1696" t="s" s="16">
        <f>HYPERLINK("http://secrets.rutgers.edu:8080/data/asl-ftp/asllvd/demos/verify_start_end_handshape_annotations//test_auto_move//signs_mov_separ_signers/Tyler_374.mov","MOV")</f>
        <v>21</v>
      </c>
    </row>
    <row r="1697" s="2" customFormat="1" ht="13.5" customHeight="1">
      <c r="B1697" s="13"/>
      <c r="C1697" t="s" s="9">
        <v>27</v>
      </c>
      <c r="D1697" t="s" s="8">
        <v>611</v>
      </c>
      <c r="E1697" t="s" s="9">
        <v>611</v>
      </c>
      <c r="F1697" s="19">
        <v>10</v>
      </c>
      <c r="G1697" s="14"/>
      <c r="H1697" s="19">
        <v>10</v>
      </c>
      <c r="I1697" s="14"/>
      <c r="J1697" t="s" s="11">
        <v>20</v>
      </c>
      <c r="K1697" s="15"/>
      <c r="L1697" t="s" s="16">
        <f>HYPERLINK("http://csr.bu.edu/ftp/asl/asllvd/demos/verify_start_end_handshape_annotations//test_auto_move//signs_mov_separ_signers/Naomi_374.mov","MOV")</f>
        <v>21</v>
      </c>
      <c r="M1697" t="s" s="10">
        <v>29</v>
      </c>
      <c r="N1697" s="17">
        <v>40</v>
      </c>
      <c r="O1697" s="18">
        <v>1370</v>
      </c>
      <c r="P1697" s="18">
        <v>1402</v>
      </c>
      <c r="Q1697" s="15"/>
      <c r="R1697" t="s" s="16">
        <f>HYPERLINK("http://secrets.rutgers.edu:8080/data/asl-ftp/asllvd/demos/verify_start_end_handshape_annotations//test_auto_move//signs_mov_separ_signers/Naomi_374.mov","MOV")</f>
        <v>21</v>
      </c>
    </row>
    <row r="1698" s="2" customFormat="1" ht="13.5" customHeight="1">
      <c r="B1698" s="13"/>
      <c r="C1698" t="s" s="9">
        <v>30</v>
      </c>
      <c r="D1698" t="s" s="8">
        <v>611</v>
      </c>
      <c r="E1698" t="s" s="9">
        <v>611</v>
      </c>
      <c r="F1698" s="19">
        <v>10</v>
      </c>
      <c r="G1698" s="14"/>
      <c r="H1698" s="19">
        <v>10</v>
      </c>
      <c r="I1698" s="14"/>
      <c r="J1698" t="s" s="11">
        <v>20</v>
      </c>
      <c r="K1698" s="15"/>
      <c r="L1698" t="s" s="16">
        <f>HYPERLINK("http://csr.bu.edu/ftp/asl/asllvd/demos/verify_start_end_handshape_annotations//test_auto_move//signs_mov_separ_signers/Brady_374.mov","MOV")</f>
        <v>21</v>
      </c>
      <c r="M1698" t="s" s="10">
        <v>31</v>
      </c>
      <c r="N1698" s="17">
        <v>25</v>
      </c>
      <c r="O1698" s="18">
        <v>3119</v>
      </c>
      <c r="P1698" s="18">
        <v>3153</v>
      </c>
      <c r="Q1698" s="15"/>
      <c r="R1698" t="s" s="16">
        <f>HYPERLINK("http://secrets.rutgers.edu:8080/data/asl-ftp/asllvd/demos/verify_start_end_handshape_annotations//test_auto_move//signs_mov_separ_signers/Brady_374.mov","MOV")</f>
        <v>21</v>
      </c>
    </row>
    <row r="1699" s="2" customFormat="1" ht="13.5" customHeight="1">
      <c r="B1699" t="s" s="8">
        <v>612</v>
      </c>
      <c r="C1699" t="s" s="9">
        <v>14</v>
      </c>
      <c r="D1699" t="s" s="8">
        <v>14</v>
      </c>
      <c r="E1699" t="s" s="9">
        <v>14</v>
      </c>
      <c r="F1699" t="s" s="10">
        <v>14</v>
      </c>
      <c r="G1699" t="s" s="11">
        <v>14</v>
      </c>
      <c r="H1699" t="s" s="10">
        <v>14</v>
      </c>
      <c r="I1699" t="s" s="11">
        <v>14</v>
      </c>
      <c r="J1699" t="s" s="11">
        <v>14</v>
      </c>
      <c r="K1699" t="s" s="12">
        <v>14</v>
      </c>
      <c r="L1699" t="s" s="12">
        <v>14</v>
      </c>
      <c r="M1699" t="s" s="10">
        <v>14</v>
      </c>
      <c r="N1699" t="s" s="11">
        <v>14</v>
      </c>
      <c r="O1699" t="s" s="8">
        <v>14</v>
      </c>
      <c r="P1699" t="s" s="8">
        <v>14</v>
      </c>
      <c r="Q1699" t="s" s="12">
        <v>14</v>
      </c>
      <c r="R1699" t="s" s="12">
        <v>14</v>
      </c>
    </row>
    <row r="1700" s="2" customFormat="1" ht="13.5" customHeight="1">
      <c r="B1700" s="13"/>
      <c r="C1700" t="s" s="9">
        <v>16</v>
      </c>
      <c r="D1700" t="s" s="8">
        <v>612</v>
      </c>
      <c r="E1700" t="s" s="9">
        <v>612</v>
      </c>
      <c r="F1700" s="19">
        <v>5</v>
      </c>
      <c r="G1700" s="17">
        <v>1</v>
      </c>
      <c r="H1700" s="19">
        <v>5</v>
      </c>
      <c r="I1700" s="17">
        <v>1</v>
      </c>
      <c r="J1700" t="s" s="11">
        <v>20</v>
      </c>
      <c r="K1700" s="15"/>
      <c r="L1700" t="s" s="16">
        <f>HYPERLINK("http://csr.bu.edu/ftp/asl/asllvd/demos/verify_start_end_handshape_annotations//test_auto_move//signs_mov_separ_signers/Liz_375.mov","MOV")</f>
        <v>21</v>
      </c>
      <c r="M1700" t="s" s="10">
        <v>22</v>
      </c>
      <c r="N1700" s="17">
        <v>63</v>
      </c>
      <c r="O1700" s="18">
        <v>455</v>
      </c>
      <c r="P1700" s="18">
        <v>490</v>
      </c>
      <c r="Q1700" s="15"/>
      <c r="R1700" t="s" s="16">
        <f>HYPERLINK("http://secrets.rutgers.edu:8080/data/asl-ftp/asllvd/demos/verify_start_end_handshape_annotations//test_auto_move//signs_mov_separ_signers/Liz_375.mov","MOV")</f>
        <v>21</v>
      </c>
    </row>
    <row r="1701" s="2" customFormat="1" ht="13.5" customHeight="1">
      <c r="B1701" s="13"/>
      <c r="C1701" t="s" s="9">
        <v>23</v>
      </c>
      <c r="D1701" t="s" s="8">
        <v>612</v>
      </c>
      <c r="E1701" t="s" s="9">
        <v>612</v>
      </c>
      <c r="F1701" s="19">
        <v>5</v>
      </c>
      <c r="G1701" s="17">
        <v>1</v>
      </c>
      <c r="H1701" s="19">
        <v>5</v>
      </c>
      <c r="I1701" s="17">
        <v>1</v>
      </c>
      <c r="J1701" t="s" s="11">
        <v>20</v>
      </c>
      <c r="K1701" t="s" s="16">
        <f>HYPERLINK("http://csr.bu.edu/ftp/asl/asllvd/demos/verify_start_end_handshape_annotations//test_auto_move//signs_mov/375.mov","MOV")</f>
        <v>21</v>
      </c>
      <c r="L1701" t="s" s="16">
        <f>HYPERLINK("http://csr.bu.edu/ftp/asl/asllvd/demos/verify_start_end_handshape_annotations//test_auto_move//signs_mov_separ_signers/Tyler_375.mov","MOV")</f>
        <v>21</v>
      </c>
      <c r="M1701" t="s" s="10">
        <v>26</v>
      </c>
      <c r="N1701" s="17">
        <v>39</v>
      </c>
      <c r="O1701" s="18">
        <v>1190</v>
      </c>
      <c r="P1701" s="18">
        <v>1231</v>
      </c>
      <c r="Q1701" t="s" s="16">
        <f>HYPERLINK("http://secrets.rutgers.edu:8080/data/asl-ftp/asllvd/demos/verify_start_end_handshape_annotations//test_auto_move//signs_mov/375.mov","MOV")</f>
        <v>21</v>
      </c>
      <c r="R1701" t="s" s="16">
        <f>HYPERLINK("http://secrets.rutgers.edu:8080/data/asl-ftp/asllvd/demos/verify_start_end_handshape_annotations//test_auto_move//signs_mov_separ_signers/Tyler_375.mov","MOV")</f>
        <v>21</v>
      </c>
    </row>
    <row r="1702" s="2" customFormat="1" ht="13.5" customHeight="1">
      <c r="B1702" s="13"/>
      <c r="C1702" t="s" s="9">
        <v>27</v>
      </c>
      <c r="D1702" t="s" s="8">
        <v>612</v>
      </c>
      <c r="E1702" t="s" s="9">
        <v>612</v>
      </c>
      <c r="F1702" s="19">
        <v>5</v>
      </c>
      <c r="G1702" s="17">
        <v>1</v>
      </c>
      <c r="H1702" s="19">
        <v>5</v>
      </c>
      <c r="I1702" s="17">
        <v>1</v>
      </c>
      <c r="J1702" t="s" s="11">
        <v>20</v>
      </c>
      <c r="K1702" s="15"/>
      <c r="L1702" t="s" s="16">
        <f>HYPERLINK("http://csr.bu.edu/ftp/asl/asllvd/demos/verify_start_end_handshape_annotations//test_auto_move//signs_mov_separ_signers/Naomi_375.mov","MOV")</f>
        <v>21</v>
      </c>
      <c r="M1702" t="s" s="10">
        <v>29</v>
      </c>
      <c r="N1702" s="17">
        <v>40</v>
      </c>
      <c r="O1702" s="18">
        <v>2515</v>
      </c>
      <c r="P1702" s="18">
        <v>2537</v>
      </c>
      <c r="Q1702" s="15"/>
      <c r="R1702" t="s" s="16">
        <f>HYPERLINK("http://secrets.rutgers.edu:8080/data/asl-ftp/asllvd/demos/verify_start_end_handshape_annotations//test_auto_move//signs_mov_separ_signers/Naomi_375.mov","MOV")</f>
        <v>21</v>
      </c>
    </row>
    <row r="1703" s="2" customFormat="1" ht="13.5" customHeight="1">
      <c r="B1703" s="13"/>
      <c r="C1703" t="s" s="9">
        <v>30</v>
      </c>
      <c r="D1703" t="s" s="8">
        <v>612</v>
      </c>
      <c r="E1703" t="s" s="9">
        <v>612</v>
      </c>
      <c r="F1703" s="19">
        <v>5</v>
      </c>
      <c r="G1703" s="17">
        <v>1</v>
      </c>
      <c r="H1703" s="19">
        <v>5</v>
      </c>
      <c r="I1703" s="17">
        <v>1</v>
      </c>
      <c r="J1703" t="s" s="11">
        <v>20</v>
      </c>
      <c r="K1703" s="15"/>
      <c r="L1703" t="s" s="16">
        <f>HYPERLINK("http://csr.bu.edu/ftp/asl/asllvd/demos/verify_start_end_handshape_annotations//test_auto_move//signs_mov_separ_signers/Brady_375.mov","MOV")</f>
        <v>21</v>
      </c>
      <c r="M1703" t="s" s="10">
        <v>31</v>
      </c>
      <c r="N1703" s="17">
        <v>25</v>
      </c>
      <c r="O1703" s="18">
        <v>6404</v>
      </c>
      <c r="P1703" s="18">
        <v>6438</v>
      </c>
      <c r="Q1703" s="15"/>
      <c r="R1703" t="s" s="16">
        <f>HYPERLINK("http://secrets.rutgers.edu:8080/data/asl-ftp/asllvd/demos/verify_start_end_handshape_annotations//test_auto_move//signs_mov_separ_signers/Brady_375.mov","MOV")</f>
        <v>21</v>
      </c>
    </row>
    <row r="1704" s="2" customFormat="1" ht="13.5" customHeight="1">
      <c r="B1704" t="s" s="8">
        <v>613</v>
      </c>
      <c r="C1704" t="s" s="9">
        <v>14</v>
      </c>
      <c r="D1704" t="s" s="8">
        <v>14</v>
      </c>
      <c r="E1704" t="s" s="9">
        <v>14</v>
      </c>
      <c r="F1704" t="s" s="10">
        <v>14</v>
      </c>
      <c r="G1704" t="s" s="11">
        <v>14</v>
      </c>
      <c r="H1704" t="s" s="10">
        <v>14</v>
      </c>
      <c r="I1704" t="s" s="11">
        <v>14</v>
      </c>
      <c r="J1704" t="s" s="11">
        <v>14</v>
      </c>
      <c r="K1704" t="s" s="12">
        <v>14</v>
      </c>
      <c r="L1704" t="s" s="12">
        <v>14</v>
      </c>
      <c r="M1704" t="s" s="10">
        <v>14</v>
      </c>
      <c r="N1704" t="s" s="11">
        <v>14</v>
      </c>
      <c r="O1704" t="s" s="8">
        <v>14</v>
      </c>
      <c r="P1704" t="s" s="8">
        <v>14</v>
      </c>
      <c r="Q1704" t="s" s="12">
        <v>14</v>
      </c>
      <c r="R1704" t="s" s="12">
        <v>14</v>
      </c>
    </row>
    <row r="1705" s="2" customFormat="1" ht="13.5" customHeight="1">
      <c r="B1705" s="13"/>
      <c r="C1705" t="s" s="9">
        <v>16</v>
      </c>
      <c r="D1705" t="s" s="8">
        <v>613</v>
      </c>
      <c r="E1705" t="s" s="9">
        <v>614</v>
      </c>
      <c r="F1705" t="s" s="10">
        <v>341</v>
      </c>
      <c r="G1705" s="14"/>
      <c r="H1705" t="s" s="10">
        <v>342</v>
      </c>
      <c r="I1705" s="14"/>
      <c r="J1705" t="s" s="11">
        <v>20</v>
      </c>
      <c r="K1705" s="15"/>
      <c r="L1705" t="s" s="16">
        <f>HYPERLINK("http://csr.bu.edu/ftp/asl/asllvd/demos/verify_start_end_handshape_annotations//test_auto_move//signs_mov_separ_signers/Liz_377.mov","MOV")</f>
        <v>21</v>
      </c>
      <c r="M1705" t="s" s="10">
        <v>22</v>
      </c>
      <c r="N1705" s="17">
        <v>63</v>
      </c>
      <c r="O1705" s="18">
        <v>965</v>
      </c>
      <c r="P1705" s="18">
        <v>991</v>
      </c>
      <c r="Q1705" s="15"/>
      <c r="R1705" t="s" s="16">
        <f>HYPERLINK("http://secrets.rutgers.edu:8080/data/asl-ftp/asllvd/demos/verify_start_end_handshape_annotations//test_auto_move//signs_mov_separ_signers/Liz_377.mov","MOV")</f>
        <v>21</v>
      </c>
    </row>
    <row r="1706" s="2" customFormat="1" ht="13.5" customHeight="1">
      <c r="B1706" s="13"/>
      <c r="C1706" t="s" s="9">
        <v>16</v>
      </c>
      <c r="D1706" t="s" s="8">
        <v>613</v>
      </c>
      <c r="E1706" t="s" s="9">
        <v>614</v>
      </c>
      <c r="F1706" t="s" s="10">
        <v>341</v>
      </c>
      <c r="G1706" s="14"/>
      <c r="H1706" s="19">
        <v>10</v>
      </c>
      <c r="I1706" s="14"/>
      <c r="J1706" t="s" s="11">
        <v>20</v>
      </c>
      <c r="K1706" s="15"/>
      <c r="L1706" t="s" s="16">
        <f>HYPERLINK("http://csr.bu.edu/ftp/asl/asllvd/demos/verify_start_end_handshape_annotations//test_auto_move//signs_mov_separ_signers/Liz_3333.mov","MOV")</f>
        <v>21</v>
      </c>
      <c r="M1706" t="s" s="10">
        <v>84</v>
      </c>
      <c r="N1706" s="17">
        <v>11</v>
      </c>
      <c r="O1706" s="18">
        <v>1032</v>
      </c>
      <c r="P1706" s="18">
        <v>1065</v>
      </c>
      <c r="Q1706" s="15"/>
      <c r="R1706" t="s" s="16">
        <f>HYPERLINK("http://secrets.rutgers.edu:8080/data/asl-ftp/asllvd/demos/verify_start_end_handshape_annotations//test_auto_move//signs_mov_separ_signers/Liz_3333.mov","MOV")</f>
        <v>21</v>
      </c>
    </row>
    <row r="1707" s="2" customFormat="1" ht="13.5" customHeight="1">
      <c r="B1707" s="13"/>
      <c r="C1707" t="s" s="9">
        <v>16</v>
      </c>
      <c r="D1707" t="s" s="8">
        <v>613</v>
      </c>
      <c r="E1707" t="s" s="9">
        <v>614</v>
      </c>
      <c r="F1707" t="s" s="10">
        <v>341</v>
      </c>
      <c r="G1707" s="14"/>
      <c r="H1707" s="19">
        <v>10</v>
      </c>
      <c r="I1707" s="14"/>
      <c r="J1707" t="s" s="11">
        <v>20</v>
      </c>
      <c r="K1707" s="15"/>
      <c r="L1707" t="s" s="16">
        <f>HYPERLINK("http://csr.bu.edu/ftp/asl/asllvd/demos/verify_start_end_handshape_annotations//test_auto_move//signs_mov_separ_signers/Liz_5046.mov","MOV")</f>
        <v>21</v>
      </c>
      <c r="M1707" t="s" s="10">
        <v>34</v>
      </c>
      <c r="N1707" s="17">
        <v>24</v>
      </c>
      <c r="O1707" s="18">
        <v>231</v>
      </c>
      <c r="P1707" s="18">
        <v>256</v>
      </c>
      <c r="Q1707" s="15"/>
      <c r="R1707" t="s" s="16">
        <f>HYPERLINK("http://secrets.rutgers.edu:8080/data/asl-ftp/asllvd/demos/verify_start_end_handshape_annotations//test_auto_move//signs_mov_separ_signers/Liz_5046.mov","MOV")</f>
        <v>21</v>
      </c>
    </row>
    <row r="1708" s="2" customFormat="1" ht="13.5" customHeight="1">
      <c r="B1708" s="13"/>
      <c r="C1708" t="s" s="9">
        <v>16</v>
      </c>
      <c r="D1708" t="s" s="8">
        <v>613</v>
      </c>
      <c r="E1708" t="s" s="9">
        <v>614</v>
      </c>
      <c r="F1708" t="s" s="10">
        <v>341</v>
      </c>
      <c r="G1708" s="14"/>
      <c r="H1708" t="s" s="10">
        <v>342</v>
      </c>
      <c r="I1708" s="14"/>
      <c r="J1708" t="s" s="11">
        <v>20</v>
      </c>
      <c r="K1708" s="15"/>
      <c r="L1708" t="s" s="16">
        <f>HYPERLINK("http://csr.bu.edu/ftp/asl/asllvd/demos/verify_start_end_handshape_annotations//test_auto_move//signs_mov_separ_signers/Liz_5047.mov","MOV")</f>
        <v>21</v>
      </c>
      <c r="M1708" t="s" s="10">
        <v>36</v>
      </c>
      <c r="N1708" s="17">
        <v>52</v>
      </c>
      <c r="O1708" s="18">
        <v>1031</v>
      </c>
      <c r="P1708" s="18">
        <v>1062</v>
      </c>
      <c r="Q1708" s="15"/>
      <c r="R1708" t="s" s="16">
        <f>HYPERLINK("http://secrets.rutgers.edu:8080/data/asl-ftp/asllvd/demos/verify_start_end_handshape_annotations//test_auto_move//signs_mov_separ_signers/Liz_5047.mov","MOV")</f>
        <v>21</v>
      </c>
    </row>
    <row r="1709" s="2" customFormat="1" ht="13.5" customHeight="1">
      <c r="B1709" s="13"/>
      <c r="C1709" t="s" s="9">
        <v>23</v>
      </c>
      <c r="D1709" t="s" s="8">
        <v>613</v>
      </c>
      <c r="E1709" t="s" s="9">
        <v>613</v>
      </c>
      <c r="F1709" t="s" s="10">
        <v>341</v>
      </c>
      <c r="G1709" s="14"/>
      <c r="H1709" s="19">
        <v>10</v>
      </c>
      <c r="I1709" s="14"/>
      <c r="J1709" t="s" s="11">
        <v>20</v>
      </c>
      <c r="K1709" s="15"/>
      <c r="L1709" t="s" s="16">
        <f>HYPERLINK("http://csr.bu.edu/ftp/asl/asllvd/demos/verify_start_end_handshape_annotations//test_auto_move//signs_mov_separ_signers/Tyler_377.mov","MOV")</f>
        <v>21</v>
      </c>
      <c r="M1709" t="s" s="10">
        <v>125</v>
      </c>
      <c r="N1709" s="17">
        <v>11</v>
      </c>
      <c r="O1709" s="18">
        <v>1060</v>
      </c>
      <c r="P1709" s="18">
        <v>1070</v>
      </c>
      <c r="Q1709" s="15"/>
      <c r="R1709" t="s" s="16">
        <f>HYPERLINK("http://secrets.rutgers.edu:8080/data/asl-ftp/asllvd/demos/verify_start_end_handshape_annotations//test_auto_move//signs_mov_separ_signers/Tyler_377.mov","MOV")</f>
        <v>21</v>
      </c>
    </row>
    <row r="1710" s="2" customFormat="1" ht="13.5" customHeight="1">
      <c r="B1710" s="13"/>
      <c r="C1710" t="s" s="9">
        <v>27</v>
      </c>
      <c r="D1710" t="s" s="8">
        <v>613</v>
      </c>
      <c r="E1710" t="s" s="9">
        <v>614</v>
      </c>
      <c r="F1710" t="s" s="10">
        <v>341</v>
      </c>
      <c r="G1710" s="14"/>
      <c r="H1710" t="s" s="10">
        <v>342</v>
      </c>
      <c r="I1710" s="14"/>
      <c r="J1710" t="s" s="11">
        <v>20</v>
      </c>
      <c r="K1710" s="15"/>
      <c r="L1710" t="s" s="16">
        <f>HYPERLINK("http://csr.bu.edu/ftp/asl/asllvd/demos/verify_start_end_handshape_annotations//test_auto_move//signs_mov_separ_signers/Naomi_377.mov","MOV")</f>
        <v>21</v>
      </c>
      <c r="M1710" t="s" s="10">
        <v>29</v>
      </c>
      <c r="N1710" s="17">
        <v>40</v>
      </c>
      <c r="O1710" s="18">
        <v>3290</v>
      </c>
      <c r="P1710" s="18">
        <v>3309</v>
      </c>
      <c r="Q1710" s="15"/>
      <c r="R1710" t="s" s="16">
        <f>HYPERLINK("http://secrets.rutgers.edu:8080/data/asl-ftp/asllvd/demos/verify_start_end_handshape_annotations//test_auto_move//signs_mov_separ_signers/Naomi_377.mov","MOV")</f>
        <v>21</v>
      </c>
    </row>
    <row r="1711" s="2" customFormat="1" ht="13.5" customHeight="1">
      <c r="B1711" s="13"/>
      <c r="C1711" t="s" s="9">
        <v>27</v>
      </c>
      <c r="D1711" t="s" s="8">
        <v>613</v>
      </c>
      <c r="E1711" t="s" s="9">
        <v>614</v>
      </c>
      <c r="F1711" t="s" s="10">
        <v>341</v>
      </c>
      <c r="G1711" s="14"/>
      <c r="H1711" t="s" s="10">
        <v>342</v>
      </c>
      <c r="I1711" s="14"/>
      <c r="J1711" t="s" s="11">
        <v>20</v>
      </c>
      <c r="K1711" s="15"/>
      <c r="L1711" t="s" s="16">
        <f>HYPERLINK("http://csr.bu.edu/ftp/asl/asllvd/demos/verify_start_end_handshape_annotations//test_auto_move//signs_mov_separ_signers/Naomi_3333.mov","MOV")</f>
        <v>21</v>
      </c>
      <c r="M1711" t="s" s="10">
        <v>86</v>
      </c>
      <c r="N1711" s="17">
        <v>11</v>
      </c>
      <c r="O1711" s="18">
        <v>1240</v>
      </c>
      <c r="P1711" s="18">
        <v>1260</v>
      </c>
      <c r="Q1711" s="15"/>
      <c r="R1711" t="s" s="16">
        <f>HYPERLINK("http://secrets.rutgers.edu:8080/data/asl-ftp/asllvd/demos/verify_start_end_handshape_annotations//test_auto_move//signs_mov_separ_signers/Naomi_3333.mov","MOV")</f>
        <v>21</v>
      </c>
    </row>
    <row r="1712" s="2" customFormat="1" ht="13.5" customHeight="1">
      <c r="B1712" s="13"/>
      <c r="C1712" t="s" s="9">
        <v>27</v>
      </c>
      <c r="D1712" t="s" s="8">
        <v>613</v>
      </c>
      <c r="E1712" t="s" s="9">
        <v>614</v>
      </c>
      <c r="F1712" t="s" s="10">
        <v>240</v>
      </c>
      <c r="G1712" s="14"/>
      <c r="H1712" t="s" s="10">
        <v>425</v>
      </c>
      <c r="I1712" s="14"/>
      <c r="J1712" t="s" s="11">
        <v>20</v>
      </c>
      <c r="K1712" t="s" s="16">
        <f>HYPERLINK("http://csr.bu.edu/ftp/asl/asllvd/demos/verify_start_end_handshape_annotations//test_auto_move//signs_mov/377_3333_5046_5047_merged.mov","MOV")</f>
        <v>21</v>
      </c>
      <c r="L1712" t="s" s="16">
        <f>HYPERLINK("http://csr.bu.edu/ftp/asl/asllvd/demos/verify_start_end_handshape_annotations//test_auto_move//signs_mov_separ_signers/Naomi_5046.mov","MOV")</f>
        <v>21</v>
      </c>
      <c r="M1712" t="s" s="10">
        <v>38</v>
      </c>
      <c r="N1712" s="17">
        <v>19</v>
      </c>
      <c r="O1712" s="18">
        <v>5270</v>
      </c>
      <c r="P1712" s="18">
        <v>5292</v>
      </c>
      <c r="Q1712" t="s" s="16">
        <f>HYPERLINK("http://secrets.rutgers.edu:8080/data/asl-ftp/asllvd/demos/verify_start_end_handshape_annotations//test_auto_move//signs_mov/377_3333_5046_5047_merged.mov","MOV")</f>
        <v>21</v>
      </c>
      <c r="R1712" t="s" s="16">
        <f>HYPERLINK("http://secrets.rutgers.edu:8080/data/asl-ftp/asllvd/demos/verify_start_end_handshape_annotations//test_auto_move//signs_mov_separ_signers/Naomi_5046.mov","MOV")</f>
        <v>21</v>
      </c>
    </row>
    <row r="1713" s="2" customFormat="1" ht="13.5" customHeight="1">
      <c r="B1713" s="13"/>
      <c r="C1713" t="s" s="9">
        <v>30</v>
      </c>
      <c r="D1713" t="s" s="8">
        <v>613</v>
      </c>
      <c r="E1713" t="s" s="9">
        <v>614</v>
      </c>
      <c r="F1713" t="s" s="10">
        <v>341</v>
      </c>
      <c r="G1713" s="14"/>
      <c r="H1713" s="19">
        <v>10</v>
      </c>
      <c r="I1713" s="14"/>
      <c r="J1713" t="s" s="11">
        <v>20</v>
      </c>
      <c r="K1713" s="15"/>
      <c r="L1713" t="s" s="16">
        <f>HYPERLINK("http://csr.bu.edu/ftp/asl/asllvd/demos/verify_start_end_handshape_annotations//test_auto_move//signs_mov_separ_signers/Brady_377.mov","MOV")</f>
        <v>21</v>
      </c>
      <c r="M1713" t="s" s="10">
        <v>31</v>
      </c>
      <c r="N1713" s="17">
        <v>25</v>
      </c>
      <c r="O1713" s="18">
        <v>6631</v>
      </c>
      <c r="P1713" s="18">
        <v>6653</v>
      </c>
      <c r="Q1713" s="15"/>
      <c r="R1713" t="s" s="16">
        <f>HYPERLINK("http://secrets.rutgers.edu:8080/data/asl-ftp/asllvd/demos/verify_start_end_handshape_annotations//test_auto_move//signs_mov_separ_signers/Brady_377.mov","MOV")</f>
        <v>21</v>
      </c>
    </row>
    <row r="1714" s="2" customFormat="1" ht="13.5" customHeight="1">
      <c r="B1714" s="13"/>
      <c r="C1714" t="s" s="9">
        <v>30</v>
      </c>
      <c r="D1714" t="s" s="8">
        <v>613</v>
      </c>
      <c r="E1714" t="s" s="9">
        <v>615</v>
      </c>
      <c r="F1714" t="s" s="10">
        <v>341</v>
      </c>
      <c r="G1714" s="14"/>
      <c r="H1714" t="s" s="10">
        <v>342</v>
      </c>
      <c r="I1714" s="14"/>
      <c r="J1714" t="s" s="11">
        <v>20</v>
      </c>
      <c r="K1714" s="15"/>
      <c r="L1714" t="s" s="16">
        <f>HYPERLINK("http://csr.bu.edu/ftp/asl/asllvd/demos/verify_start_end_handshape_annotations//test_auto_move//signs_mov_separ_signers/Brady_3333.mov","MOV")</f>
        <v>21</v>
      </c>
      <c r="M1714" t="s" s="10">
        <v>31</v>
      </c>
      <c r="N1714" s="17">
        <v>32</v>
      </c>
      <c r="O1714" s="18">
        <v>2041</v>
      </c>
      <c r="P1714" s="18">
        <v>2070</v>
      </c>
      <c r="Q1714" s="15"/>
      <c r="R1714" t="s" s="16">
        <f>HYPERLINK("http://secrets.rutgers.edu:8080/data/asl-ftp/asllvd/demos/verify_start_end_handshape_annotations//test_auto_move//signs_mov_separ_signers/Brady_3333.mov","MOV")</f>
        <v>21</v>
      </c>
    </row>
    <row r="1715" s="2" customFormat="1" ht="13.5" customHeight="1">
      <c r="B1715" s="13"/>
      <c r="C1715" t="s" s="9">
        <v>30</v>
      </c>
      <c r="D1715" t="s" s="8">
        <v>613</v>
      </c>
      <c r="E1715" t="s" s="9">
        <v>615</v>
      </c>
      <c r="F1715" t="s" s="10">
        <v>342</v>
      </c>
      <c r="G1715" s="14"/>
      <c r="H1715" t="s" s="10">
        <v>63</v>
      </c>
      <c r="I1715" s="14"/>
      <c r="J1715" t="s" s="11">
        <v>20</v>
      </c>
      <c r="K1715" s="15"/>
      <c r="L1715" t="s" s="16">
        <f>HYPERLINK("http://csr.bu.edu/ftp/asl/asllvd/demos/verify_start_end_handshape_annotations//test_auto_move//signs_mov_separ_signers/Brady_5046.mov","MOV")</f>
        <v>21</v>
      </c>
      <c r="M1715" t="s" s="10">
        <v>40</v>
      </c>
      <c r="N1715" s="17">
        <v>103</v>
      </c>
      <c r="O1715" s="18">
        <v>2941</v>
      </c>
      <c r="P1715" s="18">
        <v>2989</v>
      </c>
      <c r="Q1715" s="15"/>
      <c r="R1715" t="s" s="16">
        <f>HYPERLINK("http://secrets.rutgers.edu:8080/data/asl-ftp/asllvd/demos/verify_start_end_handshape_annotations//test_auto_move//signs_mov_separ_signers/Brady_5046.mov","MOV")</f>
        <v>21</v>
      </c>
    </row>
    <row r="1716" s="2" customFormat="1" ht="13.5" customHeight="1">
      <c r="B1716" s="13"/>
      <c r="C1716" t="s" s="9">
        <v>30</v>
      </c>
      <c r="D1716" t="s" s="8">
        <v>613</v>
      </c>
      <c r="E1716" t="s" s="9">
        <v>615</v>
      </c>
      <c r="F1716" t="s" s="10">
        <v>341</v>
      </c>
      <c r="G1716" s="14"/>
      <c r="H1716" t="s" s="10">
        <v>63</v>
      </c>
      <c r="I1716" s="14"/>
      <c r="J1716" t="s" s="11">
        <v>20</v>
      </c>
      <c r="K1716" s="15"/>
      <c r="L1716" t="s" s="16">
        <f>HYPERLINK("http://csr.bu.edu/ftp/asl/asllvd/demos/verify_start_end_handshape_annotations//test_auto_move//signs_mov_separ_signers/Brady_5047.mov","MOV")</f>
        <v>21</v>
      </c>
      <c r="M1716" t="s" s="10">
        <v>60</v>
      </c>
      <c r="N1716" s="17">
        <v>45</v>
      </c>
      <c r="O1716" s="18">
        <v>885</v>
      </c>
      <c r="P1716" s="18">
        <v>924</v>
      </c>
      <c r="Q1716" s="15"/>
      <c r="R1716" t="s" s="16">
        <f>HYPERLINK("http://secrets.rutgers.edu:8080/data/asl-ftp/asllvd/demos/verify_start_end_handshape_annotations//test_auto_move//signs_mov_separ_signers/Brady_5047.mov","MOV")</f>
        <v>21</v>
      </c>
    </row>
    <row r="1717" s="2" customFormat="1" ht="13.5" customHeight="1">
      <c r="B1717" s="13"/>
      <c r="C1717" t="s" s="9">
        <v>41</v>
      </c>
      <c r="D1717" t="s" s="8">
        <v>613</v>
      </c>
      <c r="E1717" t="s" s="9">
        <v>614</v>
      </c>
      <c r="F1717" t="s" s="10">
        <v>342</v>
      </c>
      <c r="G1717" s="14"/>
      <c r="H1717" s="19">
        <v>10</v>
      </c>
      <c r="I1717" s="14"/>
      <c r="J1717" t="s" s="11">
        <v>20</v>
      </c>
      <c r="K1717" s="15"/>
      <c r="L1717" t="s" s="16">
        <f>HYPERLINK("http://csr.bu.edu/ftp/asl/asllvd/demos/verify_start_end_handshape_annotations//test_auto_move//signs_mov_separ_signers/Lana_377.mov","MOV")</f>
        <v>21</v>
      </c>
      <c r="M1717" t="s" s="10">
        <v>42</v>
      </c>
      <c r="N1717" s="17">
        <v>6</v>
      </c>
      <c r="O1717" s="18">
        <v>1696</v>
      </c>
      <c r="P1717" s="18">
        <v>1716</v>
      </c>
      <c r="Q1717" s="15"/>
      <c r="R1717" t="s" s="16">
        <f>HYPERLINK("http://secrets.rutgers.edu:8080/data/asl-ftp/asllvd/demos/verify_start_end_handshape_annotations//test_auto_move//signs_mov_separ_signers/Lana_377.mov","MOV")</f>
        <v>21</v>
      </c>
    </row>
    <row r="1718" s="2" customFormat="1" ht="13.5" customHeight="1">
      <c r="B1718" s="13"/>
      <c r="C1718" t="s" s="9">
        <v>43</v>
      </c>
      <c r="D1718" t="s" s="8">
        <v>613</v>
      </c>
      <c r="E1718" t="s" s="9">
        <v>615</v>
      </c>
      <c r="F1718" t="s" s="10">
        <v>341</v>
      </c>
      <c r="G1718" s="14"/>
      <c r="H1718" s="19">
        <v>10</v>
      </c>
      <c r="I1718" s="14"/>
      <c r="J1718" t="s" s="11">
        <v>20</v>
      </c>
      <c r="K1718" s="15"/>
      <c r="L1718" t="s" s="16">
        <f>HYPERLINK("http://csr.bu.edu/ftp/asl/asllvd/demos/verify_start_end_handshape_annotations//test_auto_move//signs_mov_separ_signers/Dana_377.mov","MOV")</f>
        <v>21</v>
      </c>
      <c r="M1718" t="s" s="10">
        <v>44</v>
      </c>
      <c r="N1718" s="17">
        <v>9</v>
      </c>
      <c r="O1718" s="18">
        <v>1116</v>
      </c>
      <c r="P1718" s="18">
        <v>1170</v>
      </c>
      <c r="Q1718" s="15"/>
      <c r="R1718" t="s" s="16">
        <f>HYPERLINK("http://secrets.rutgers.edu:8080/data/asl-ftp/asllvd/demos/verify_start_end_handshape_annotations//test_auto_move//signs_mov_separ_signers/Dana_377.mov","MOV")</f>
        <v>21</v>
      </c>
    </row>
    <row r="1719" s="2" customFormat="1" ht="13.5" customHeight="1">
      <c r="B1719" s="13"/>
      <c r="C1719" t="s" s="9">
        <v>43</v>
      </c>
      <c r="D1719" t="s" s="8">
        <v>613</v>
      </c>
      <c r="E1719" t="s" s="9">
        <v>615</v>
      </c>
      <c r="F1719" t="s" s="10">
        <v>341</v>
      </c>
      <c r="G1719" s="14"/>
      <c r="H1719" t="s" s="10">
        <v>68</v>
      </c>
      <c r="I1719" s="14"/>
      <c r="J1719" t="s" s="11">
        <v>20</v>
      </c>
      <c r="K1719" s="15"/>
      <c r="L1719" t="s" s="16">
        <f>HYPERLINK("http://csr.bu.edu/ftp/asl/asllvd/demos/verify_start_end_handshape_annotations//test_auto_move//signs_mov_separ_signers/Dana_3333.mov","MOV")</f>
        <v>21</v>
      </c>
      <c r="M1719" t="s" s="10">
        <v>44</v>
      </c>
      <c r="N1719" s="17">
        <v>10</v>
      </c>
      <c r="O1719" s="18">
        <v>1977</v>
      </c>
      <c r="P1719" s="18">
        <v>2032</v>
      </c>
      <c r="Q1719" s="15"/>
      <c r="R1719" t="s" s="16">
        <f>HYPERLINK("http://secrets.rutgers.edu:8080/data/asl-ftp/asllvd/demos/verify_start_end_handshape_annotations//test_auto_move//signs_mov_separ_signers/Dana_3333.mov","MOV")</f>
        <v>21</v>
      </c>
    </row>
    <row r="1720" s="2" customFormat="1" ht="13.5" customHeight="1">
      <c r="B1720" t="s" s="8">
        <v>616</v>
      </c>
      <c r="C1720" t="s" s="9">
        <v>14</v>
      </c>
      <c r="D1720" t="s" s="8">
        <v>14</v>
      </c>
      <c r="E1720" t="s" s="9">
        <v>14</v>
      </c>
      <c r="F1720" t="s" s="10">
        <v>14</v>
      </c>
      <c r="G1720" t="s" s="11">
        <v>14</v>
      </c>
      <c r="H1720" t="s" s="10">
        <v>14</v>
      </c>
      <c r="I1720" t="s" s="11">
        <v>14</v>
      </c>
      <c r="J1720" t="s" s="11">
        <v>14</v>
      </c>
      <c r="K1720" t="s" s="12">
        <v>14</v>
      </c>
      <c r="L1720" t="s" s="12">
        <v>14</v>
      </c>
      <c r="M1720" t="s" s="10">
        <v>14</v>
      </c>
      <c r="N1720" t="s" s="11">
        <v>14</v>
      </c>
      <c r="O1720" t="s" s="8">
        <v>14</v>
      </c>
      <c r="P1720" t="s" s="8">
        <v>14</v>
      </c>
      <c r="Q1720" t="s" s="12">
        <v>14</v>
      </c>
      <c r="R1720" t="s" s="12">
        <v>14</v>
      </c>
    </row>
    <row r="1721" s="2" customFormat="1" ht="13.5" customHeight="1">
      <c r="B1721" s="13"/>
      <c r="C1721" t="s" s="9">
        <v>16</v>
      </c>
      <c r="D1721" t="s" s="8">
        <v>616</v>
      </c>
      <c r="E1721" t="s" s="9">
        <v>617</v>
      </c>
      <c r="F1721" t="s" s="10">
        <v>73</v>
      </c>
      <c r="G1721" s="14"/>
      <c r="H1721" s="19">
        <v>10</v>
      </c>
      <c r="I1721" s="14"/>
      <c r="J1721" t="s" s="11">
        <v>20</v>
      </c>
      <c r="K1721" t="s" s="16">
        <f>HYPERLINK("http://csr.bu.edu/ftp/asl/asllvd/demos/verify_start_end_handshape_annotations//test_auto_move//signs_mov/15555.mov","MOV")</f>
        <v>21</v>
      </c>
      <c r="L1721" t="s" s="16">
        <f>HYPERLINK("http://csr.bu.edu/ftp/asl/asllvd/demos/verify_start_end_handshape_annotations//test_auto_move//signs_mov_separ_signers/Liz_15555.mov","MOV")</f>
        <v>21</v>
      </c>
      <c r="M1721" t="s" s="10">
        <v>36</v>
      </c>
      <c r="N1721" s="17">
        <v>52</v>
      </c>
      <c r="O1721" s="18">
        <v>1260</v>
      </c>
      <c r="P1721" s="18">
        <v>1295</v>
      </c>
      <c r="Q1721" t="s" s="16">
        <f>HYPERLINK("http://secrets.rutgers.edu:8080/data/asl-ftp/asllvd/demos/verify_start_end_handshape_annotations//test_auto_move//signs_mov/15555.mov","MOV")</f>
        <v>21</v>
      </c>
      <c r="R1721" t="s" s="16">
        <f>HYPERLINK("http://secrets.rutgers.edu:8080/data/asl-ftp/asllvd/demos/verify_start_end_handshape_annotations//test_auto_move//signs_mov_separ_signers/Liz_15555.mov","MOV")</f>
        <v>21</v>
      </c>
    </row>
    <row r="1722" s="2" customFormat="1" ht="13.5" customHeight="1">
      <c r="B1722" s="13"/>
      <c r="C1722" t="s" s="9">
        <v>30</v>
      </c>
      <c r="D1722" t="s" s="8">
        <v>616</v>
      </c>
      <c r="E1722" t="s" s="9">
        <v>617</v>
      </c>
      <c r="F1722" t="s" s="10">
        <v>73</v>
      </c>
      <c r="G1722" s="14"/>
      <c r="H1722" s="19">
        <v>10</v>
      </c>
      <c r="I1722" s="14"/>
      <c r="J1722" t="s" s="11">
        <v>20</v>
      </c>
      <c r="K1722" s="15"/>
      <c r="L1722" t="s" s="16">
        <f>HYPERLINK("http://csr.bu.edu/ftp/asl/asllvd/demos/verify_start_end_handshape_annotations//test_auto_move//signs_mov_separ_signers/Brady_15555.mov","MOV")</f>
        <v>21</v>
      </c>
      <c r="M1722" t="s" s="10">
        <v>40</v>
      </c>
      <c r="N1722" s="17">
        <v>103</v>
      </c>
      <c r="O1722" s="18">
        <v>3198</v>
      </c>
      <c r="P1722" s="18">
        <v>3233</v>
      </c>
      <c r="Q1722" s="15"/>
      <c r="R1722" t="s" s="16">
        <f>HYPERLINK("http://secrets.rutgers.edu:8080/data/asl-ftp/asllvd/demos/verify_start_end_handshape_annotations//test_auto_move//signs_mov_separ_signers/Brady_15555.mov","MOV")</f>
        <v>21</v>
      </c>
    </row>
    <row r="1723" s="2" customFormat="1" ht="13.5" customHeight="1">
      <c r="B1723" t="s" s="8">
        <v>618</v>
      </c>
      <c r="C1723" t="s" s="9">
        <v>14</v>
      </c>
      <c r="D1723" t="s" s="8">
        <v>14</v>
      </c>
      <c r="E1723" t="s" s="9">
        <v>14</v>
      </c>
      <c r="F1723" t="s" s="10">
        <v>14</v>
      </c>
      <c r="G1723" t="s" s="11">
        <v>14</v>
      </c>
      <c r="H1723" t="s" s="10">
        <v>14</v>
      </c>
      <c r="I1723" t="s" s="11">
        <v>14</v>
      </c>
      <c r="J1723" t="s" s="11">
        <v>14</v>
      </c>
      <c r="K1723" t="s" s="12">
        <v>14</v>
      </c>
      <c r="L1723" t="s" s="12">
        <v>14</v>
      </c>
      <c r="M1723" t="s" s="10">
        <v>14</v>
      </c>
      <c r="N1723" t="s" s="11">
        <v>14</v>
      </c>
      <c r="O1723" t="s" s="8">
        <v>14</v>
      </c>
      <c r="P1723" t="s" s="8">
        <v>14</v>
      </c>
      <c r="Q1723" t="s" s="12">
        <v>14</v>
      </c>
      <c r="R1723" t="s" s="12">
        <v>14</v>
      </c>
    </row>
    <row r="1724" s="2" customFormat="1" ht="13.5" customHeight="1">
      <c r="B1724" s="13"/>
      <c r="C1724" t="s" s="9">
        <v>16</v>
      </c>
      <c r="D1724" t="s" s="8">
        <v>618</v>
      </c>
      <c r="E1724" t="s" s="9">
        <v>619</v>
      </c>
      <c r="F1724" t="s" s="10">
        <v>68</v>
      </c>
      <c r="G1724" s="14"/>
      <c r="H1724" t="s" s="10">
        <v>68</v>
      </c>
      <c r="I1724" s="14"/>
      <c r="J1724" t="s" s="11">
        <v>20</v>
      </c>
      <c r="K1724" s="15"/>
      <c r="L1724" t="s" s="16">
        <f>HYPERLINK("http://csr.bu.edu/ftp/asl/asllvd/demos/verify_start_end_handshape_annotations//test_auto_move//signs_mov_separ_signers/Liz_379.mov","MOV")</f>
        <v>21</v>
      </c>
      <c r="M1724" t="s" s="10">
        <v>22</v>
      </c>
      <c r="N1724" s="17">
        <v>63</v>
      </c>
      <c r="O1724" s="18">
        <v>1630</v>
      </c>
      <c r="P1724" s="18">
        <v>1690</v>
      </c>
      <c r="Q1724" s="15"/>
      <c r="R1724" t="s" s="16">
        <f>HYPERLINK("http://secrets.rutgers.edu:8080/data/asl-ftp/asllvd/demos/verify_start_end_handshape_annotations//test_auto_move//signs_mov_separ_signers/Liz_379.mov","MOV")</f>
        <v>21</v>
      </c>
    </row>
    <row r="1725" s="2" customFormat="1" ht="13.5" customHeight="1">
      <c r="B1725" s="13"/>
      <c r="C1725" t="s" s="9">
        <v>23</v>
      </c>
      <c r="D1725" t="s" s="8">
        <v>618</v>
      </c>
      <c r="E1725" t="s" s="9">
        <v>620</v>
      </c>
      <c r="F1725" t="s" s="10">
        <v>68</v>
      </c>
      <c r="G1725" s="14"/>
      <c r="H1725" t="s" s="10">
        <v>68</v>
      </c>
      <c r="I1725" s="14"/>
      <c r="J1725" t="s" s="11">
        <v>20</v>
      </c>
      <c r="K1725" t="s" s="16">
        <f>HYPERLINK("http://csr.bu.edu/ftp/asl/asllvd/demos/verify_start_end_handshape_annotations//test_auto_move//signs_mov/379.mov","MOV")</f>
        <v>21</v>
      </c>
      <c r="L1725" t="s" s="16">
        <f>HYPERLINK("http://csr.bu.edu/ftp/asl/asllvd/demos/verify_start_end_handshape_annotations//test_auto_move//signs_mov_separ_signers/Tyler_379.mov","MOV")</f>
        <v>21</v>
      </c>
      <c r="M1725" t="s" s="10">
        <v>26</v>
      </c>
      <c r="N1725" s="17">
        <v>39</v>
      </c>
      <c r="O1725" s="18">
        <v>2530</v>
      </c>
      <c r="P1725" s="18">
        <v>2586</v>
      </c>
      <c r="Q1725" t="s" s="16">
        <f>HYPERLINK("http://secrets.rutgers.edu:8080/data/asl-ftp/asllvd/demos/verify_start_end_handshape_annotations//test_auto_move//signs_mov/379.mov","MOV")</f>
        <v>21</v>
      </c>
      <c r="R1725" t="s" s="16">
        <f>HYPERLINK("http://secrets.rutgers.edu:8080/data/asl-ftp/asllvd/demos/verify_start_end_handshape_annotations//test_auto_move//signs_mov_separ_signers/Tyler_379.mov","MOV")</f>
        <v>21</v>
      </c>
    </row>
    <row r="1726" s="2" customFormat="1" ht="13.5" customHeight="1">
      <c r="B1726" s="13"/>
      <c r="C1726" t="s" s="9">
        <v>27</v>
      </c>
      <c r="D1726" t="s" s="8">
        <v>618</v>
      </c>
      <c r="E1726" t="s" s="9">
        <v>619</v>
      </c>
      <c r="F1726" t="s" s="10">
        <v>63</v>
      </c>
      <c r="G1726" s="14"/>
      <c r="H1726" t="s" s="10">
        <v>63</v>
      </c>
      <c r="I1726" s="14"/>
      <c r="J1726" t="s" s="11">
        <v>20</v>
      </c>
      <c r="K1726" s="15"/>
      <c r="L1726" t="s" s="16">
        <f>HYPERLINK("http://csr.bu.edu/ftp/asl/asllvd/demos/verify_start_end_handshape_annotations//test_auto_move//signs_mov_separ_signers/Naomi_379.mov","MOV")</f>
        <v>21</v>
      </c>
      <c r="M1726" t="s" s="10">
        <v>29</v>
      </c>
      <c r="N1726" s="17">
        <v>40</v>
      </c>
      <c r="O1726" s="18">
        <v>3816</v>
      </c>
      <c r="P1726" s="18">
        <v>3882</v>
      </c>
      <c r="Q1726" s="15"/>
      <c r="R1726" t="s" s="16">
        <f>HYPERLINK("http://secrets.rutgers.edu:8080/data/asl-ftp/asllvd/demos/verify_start_end_handshape_annotations//test_auto_move//signs_mov_separ_signers/Naomi_379.mov","MOV")</f>
        <v>21</v>
      </c>
    </row>
    <row r="1727" s="2" customFormat="1" ht="13.5" customHeight="1">
      <c r="B1727" s="13"/>
      <c r="C1727" t="s" s="9">
        <v>30</v>
      </c>
      <c r="D1727" t="s" s="8">
        <v>618</v>
      </c>
      <c r="E1727" t="s" s="9">
        <v>619</v>
      </c>
      <c r="F1727" t="s" s="10">
        <v>68</v>
      </c>
      <c r="G1727" s="14"/>
      <c r="H1727" t="s" s="10">
        <v>68</v>
      </c>
      <c r="I1727" s="14"/>
      <c r="J1727" t="s" s="11">
        <v>20</v>
      </c>
      <c r="K1727" s="15"/>
      <c r="L1727" t="s" s="16">
        <f>HYPERLINK("http://csr.bu.edu/ftp/asl/asllvd/demos/verify_start_end_handshape_annotations//test_auto_move//signs_mov_separ_signers/Brady_379.mov","MOV")</f>
        <v>21</v>
      </c>
      <c r="M1727" t="s" s="10">
        <v>31</v>
      </c>
      <c r="N1727" s="17">
        <v>25</v>
      </c>
      <c r="O1727" s="18">
        <v>10042</v>
      </c>
      <c r="P1727" s="18">
        <v>10082</v>
      </c>
      <c r="Q1727" s="15"/>
      <c r="R1727" t="s" s="16">
        <f>HYPERLINK("http://secrets.rutgers.edu:8080/data/asl-ftp/asllvd/demos/verify_start_end_handshape_annotations//test_auto_move//signs_mov_separ_signers/Brady_379.mov","MOV")</f>
        <v>21</v>
      </c>
    </row>
    <row r="1728" s="2" customFormat="1" ht="13.5" customHeight="1">
      <c r="B1728" t="s" s="8">
        <v>52</v>
      </c>
      <c r="C1728" t="s" s="9">
        <v>53</v>
      </c>
      <c r="D1728" t="s" s="8">
        <v>53</v>
      </c>
      <c r="E1728" t="s" s="9">
        <v>53</v>
      </c>
      <c r="F1728" t="s" s="10">
        <v>53</v>
      </c>
      <c r="G1728" t="s" s="11">
        <v>53</v>
      </c>
      <c r="H1728" t="s" s="10">
        <v>53</v>
      </c>
      <c r="I1728" t="s" s="11">
        <v>53</v>
      </c>
      <c r="J1728" t="s" s="11">
        <v>53</v>
      </c>
      <c r="K1728" t="s" s="12">
        <v>53</v>
      </c>
      <c r="L1728" t="s" s="12">
        <v>53</v>
      </c>
      <c r="M1728" t="s" s="10">
        <v>53</v>
      </c>
      <c r="N1728" t="s" s="11">
        <v>53</v>
      </c>
      <c r="O1728" t="s" s="8">
        <v>53</v>
      </c>
      <c r="P1728" t="s" s="8">
        <v>53</v>
      </c>
      <c r="Q1728" t="s" s="12">
        <v>53</v>
      </c>
      <c r="R1728" t="s" s="12">
        <v>53</v>
      </c>
    </row>
    <row r="1729" s="2" customFormat="1" ht="13.5" customHeight="1">
      <c r="B1729" s="13"/>
      <c r="C1729" t="s" s="9">
        <v>16</v>
      </c>
      <c r="D1729" t="s" s="8">
        <v>618</v>
      </c>
      <c r="E1729" t="s" s="9">
        <v>621</v>
      </c>
      <c r="F1729" t="s" s="10">
        <v>68</v>
      </c>
      <c r="G1729" t="s" s="11">
        <v>68</v>
      </c>
      <c r="H1729" t="s" s="10">
        <v>68</v>
      </c>
      <c r="I1729" t="s" s="11">
        <v>68</v>
      </c>
      <c r="J1729" t="s" s="11">
        <v>20</v>
      </c>
      <c r="K1729" s="15"/>
      <c r="L1729" t="s" s="16">
        <f>HYPERLINK("http://csr.bu.edu/ftp/asl/asllvd/demos/verify_start_end_handshape_annotations//test_auto_move//signs_mov_separ_signers/Liz_15010.mov","MOV")</f>
        <v>21</v>
      </c>
      <c r="M1729" t="s" s="10">
        <v>84</v>
      </c>
      <c r="N1729" s="17">
        <v>9</v>
      </c>
      <c r="O1729" s="18">
        <v>2225</v>
      </c>
      <c r="P1729" s="18">
        <v>2305</v>
      </c>
      <c r="Q1729" s="15"/>
      <c r="R1729" t="s" s="16">
        <f>HYPERLINK("http://secrets.rutgers.edu:8080/data/asl-ftp/asllvd/demos/verify_start_end_handshape_annotations//test_auto_move//signs_mov_separ_signers/Liz_15010.mov","MOV")</f>
        <v>21</v>
      </c>
    </row>
    <row r="1730" s="2" customFormat="1" ht="13.5" customHeight="1">
      <c r="B1730" s="13"/>
      <c r="C1730" t="s" s="9">
        <v>23</v>
      </c>
      <c r="D1730" t="s" s="8">
        <v>618</v>
      </c>
      <c r="E1730" t="s" s="9">
        <v>621</v>
      </c>
      <c r="F1730" t="s" s="10">
        <v>68</v>
      </c>
      <c r="G1730" t="s" s="11">
        <v>68</v>
      </c>
      <c r="H1730" t="s" s="10">
        <v>68</v>
      </c>
      <c r="I1730" t="s" s="11">
        <v>68</v>
      </c>
      <c r="J1730" t="s" s="11">
        <v>20</v>
      </c>
      <c r="K1730" t="s" s="16">
        <f>HYPERLINK("http://csr.bu.edu/ftp/asl/asllvd/demos/verify_start_end_handshape_annotations//test_auto_move//signs_mov/15010.mov","MOV")</f>
        <v>21</v>
      </c>
      <c r="L1730" t="s" s="16">
        <f>HYPERLINK("http://csr.bu.edu/ftp/asl/asllvd/demos/verify_start_end_handshape_annotations//test_auto_move//signs_mov_separ_signers/Tyler_15010.mov","MOV")</f>
        <v>21</v>
      </c>
      <c r="M1730" t="s" s="10">
        <v>125</v>
      </c>
      <c r="N1730" s="17">
        <v>9</v>
      </c>
      <c r="O1730" s="18">
        <v>2805</v>
      </c>
      <c r="P1730" s="18">
        <v>2870</v>
      </c>
      <c r="Q1730" t="s" s="16">
        <f>HYPERLINK("http://secrets.rutgers.edu:8080/data/asl-ftp/asllvd/demos/verify_start_end_handshape_annotations//test_auto_move//signs_mov/15010.mov","MOV")</f>
        <v>21</v>
      </c>
      <c r="R1730" t="s" s="16">
        <f>HYPERLINK("http://secrets.rutgers.edu:8080/data/asl-ftp/asllvd/demos/verify_start_end_handshape_annotations//test_auto_move//signs_mov_separ_signers/Tyler_15010.mov","MOV")</f>
        <v>21</v>
      </c>
    </row>
    <row r="1731" s="2" customFormat="1" ht="13.5" customHeight="1">
      <c r="B1731" s="13"/>
      <c r="C1731" t="s" s="9">
        <v>27</v>
      </c>
      <c r="D1731" t="s" s="8">
        <v>618</v>
      </c>
      <c r="E1731" t="s" s="9">
        <v>621</v>
      </c>
      <c r="F1731" t="s" s="10">
        <v>63</v>
      </c>
      <c r="G1731" t="s" s="11">
        <v>63</v>
      </c>
      <c r="H1731" t="s" s="10">
        <v>63</v>
      </c>
      <c r="I1731" t="s" s="11">
        <v>63</v>
      </c>
      <c r="J1731" t="s" s="11">
        <v>20</v>
      </c>
      <c r="K1731" s="15"/>
      <c r="L1731" t="s" s="16">
        <f>HYPERLINK("http://csr.bu.edu/ftp/asl/asllvd/demos/verify_start_end_handshape_annotations//test_auto_move//signs_mov_separ_signers/Naomi_15010.mov","MOV")</f>
        <v>21</v>
      </c>
      <c r="M1731" t="s" s="10">
        <v>86</v>
      </c>
      <c r="N1731" s="17">
        <v>9</v>
      </c>
      <c r="O1731" s="18">
        <v>3471</v>
      </c>
      <c r="P1731" s="18">
        <v>3532</v>
      </c>
      <c r="Q1731" s="15"/>
      <c r="R1731" t="s" s="16">
        <f>HYPERLINK("http://secrets.rutgers.edu:8080/data/asl-ftp/asllvd/demos/verify_start_end_handshape_annotations//test_auto_move//signs_mov_separ_signers/Naomi_15010.mov","MOV")</f>
        <v>21</v>
      </c>
    </row>
    <row r="1732" s="2" customFormat="1" ht="13.5" customHeight="1">
      <c r="B1732" s="13"/>
      <c r="C1732" t="s" s="9">
        <v>30</v>
      </c>
      <c r="D1732" t="s" s="8">
        <v>618</v>
      </c>
      <c r="E1732" t="s" s="9">
        <v>621</v>
      </c>
      <c r="F1732" t="s" s="10">
        <v>68</v>
      </c>
      <c r="G1732" t="s" s="11">
        <v>68</v>
      </c>
      <c r="H1732" t="s" s="10">
        <v>68</v>
      </c>
      <c r="I1732" t="s" s="11">
        <v>68</v>
      </c>
      <c r="J1732" t="s" s="11">
        <v>20</v>
      </c>
      <c r="K1732" s="15"/>
      <c r="L1732" t="s" s="16">
        <f>HYPERLINK("http://csr.bu.edu/ftp/asl/asllvd/demos/verify_start_end_handshape_annotations//test_auto_move//signs_mov_separ_signers/Brady_15010.mov","MOV")</f>
        <v>21</v>
      </c>
      <c r="M1732" t="s" s="10">
        <v>31</v>
      </c>
      <c r="N1732" s="17">
        <v>31</v>
      </c>
      <c r="O1732" s="18">
        <v>10176</v>
      </c>
      <c r="P1732" s="18">
        <v>10229</v>
      </c>
      <c r="Q1732" s="15"/>
      <c r="R1732" t="s" s="16">
        <f>HYPERLINK("http://secrets.rutgers.edu:8080/data/asl-ftp/asllvd/demos/verify_start_end_handshape_annotations//test_auto_move//signs_mov_separ_signers/Brady_15010.mov","MOV")</f>
        <v>21</v>
      </c>
    </row>
    <row r="1733" s="2" customFormat="1" ht="13.5" customHeight="1">
      <c r="B1733" t="s" s="8">
        <v>622</v>
      </c>
      <c r="C1733" t="s" s="9">
        <v>14</v>
      </c>
      <c r="D1733" t="s" s="8">
        <v>14</v>
      </c>
      <c r="E1733" t="s" s="9">
        <v>14</v>
      </c>
      <c r="F1733" t="s" s="10">
        <v>14</v>
      </c>
      <c r="G1733" t="s" s="11">
        <v>14</v>
      </c>
      <c r="H1733" t="s" s="10">
        <v>14</v>
      </c>
      <c r="I1733" t="s" s="11">
        <v>14</v>
      </c>
      <c r="J1733" t="s" s="11">
        <v>14</v>
      </c>
      <c r="K1733" t="s" s="12">
        <v>14</v>
      </c>
      <c r="L1733" t="s" s="12">
        <v>14</v>
      </c>
      <c r="M1733" t="s" s="10">
        <v>14</v>
      </c>
      <c r="N1733" t="s" s="11">
        <v>14</v>
      </c>
      <c r="O1733" t="s" s="8">
        <v>14</v>
      </c>
      <c r="P1733" t="s" s="8">
        <v>14</v>
      </c>
      <c r="Q1733" t="s" s="12">
        <v>14</v>
      </c>
      <c r="R1733" t="s" s="12">
        <v>14</v>
      </c>
    </row>
    <row r="1734" s="2" customFormat="1" ht="13.5" customHeight="1">
      <c r="B1734" s="13"/>
      <c r="C1734" t="s" s="9">
        <v>16</v>
      </c>
      <c r="D1734" t="s" s="8">
        <v>622</v>
      </c>
      <c r="E1734" t="s" s="9">
        <v>622</v>
      </c>
      <c r="F1734" t="s" s="10">
        <v>63</v>
      </c>
      <c r="G1734" t="s" s="11">
        <v>63</v>
      </c>
      <c r="H1734" t="s" s="10">
        <v>63</v>
      </c>
      <c r="I1734" t="s" s="11">
        <v>63</v>
      </c>
      <c r="J1734" t="s" s="11">
        <v>20</v>
      </c>
      <c r="K1734" s="15"/>
      <c r="L1734" t="s" s="16">
        <f>HYPERLINK("http://csr.bu.edu/ftp/asl/asllvd/demos/verify_start_end_handshape_annotations//test_auto_move//signs_mov_separ_signers/Liz_380.mov","MOV")</f>
        <v>21</v>
      </c>
      <c r="M1734" t="s" s="10">
        <v>22</v>
      </c>
      <c r="N1734" s="17">
        <v>64</v>
      </c>
      <c r="O1734" s="18">
        <v>255</v>
      </c>
      <c r="P1734" s="18">
        <v>325</v>
      </c>
      <c r="Q1734" s="15"/>
      <c r="R1734" t="s" s="16">
        <f>HYPERLINK("http://secrets.rutgers.edu:8080/data/asl-ftp/asllvd/demos/verify_start_end_handshape_annotations//test_auto_move//signs_mov_separ_signers/Liz_380.mov","MOV")</f>
        <v>21</v>
      </c>
    </row>
    <row r="1735" s="2" customFormat="1" ht="13.5" customHeight="1">
      <c r="B1735" s="13"/>
      <c r="C1735" t="s" s="9">
        <v>16</v>
      </c>
      <c r="D1735" t="s" s="8">
        <v>622</v>
      </c>
      <c r="E1735" t="s" s="9">
        <v>622</v>
      </c>
      <c r="F1735" t="s" s="10">
        <v>63</v>
      </c>
      <c r="G1735" t="s" s="11">
        <v>63</v>
      </c>
      <c r="H1735" t="s" s="10">
        <v>63</v>
      </c>
      <c r="I1735" t="s" s="11">
        <v>63</v>
      </c>
      <c r="J1735" t="s" s="11">
        <v>20</v>
      </c>
      <c r="K1735" s="15"/>
      <c r="L1735" t="s" s="16">
        <f>HYPERLINK("http://csr.bu.edu/ftp/asl/asllvd/demos/verify_start_end_handshape_annotations//test_auto_move//signs_mov_separ_signers/Liz_3588.mov","MOV")</f>
        <v>21</v>
      </c>
      <c r="M1735" t="s" s="10">
        <v>22</v>
      </c>
      <c r="N1735" s="17">
        <v>64</v>
      </c>
      <c r="O1735" s="18">
        <v>545</v>
      </c>
      <c r="P1735" s="18">
        <v>644</v>
      </c>
      <c r="Q1735" s="15"/>
      <c r="R1735" t="s" s="16">
        <f>HYPERLINK("http://secrets.rutgers.edu:8080/data/asl-ftp/asllvd/demos/verify_start_end_handshape_annotations//test_auto_move//signs_mov_separ_signers/Liz_3588.mov","MOV")</f>
        <v>21</v>
      </c>
    </row>
    <row r="1736" s="2" customFormat="1" ht="13.5" customHeight="1">
      <c r="B1736" s="13"/>
      <c r="C1736" t="s" s="9">
        <v>23</v>
      </c>
      <c r="D1736" t="s" s="8">
        <v>622</v>
      </c>
      <c r="E1736" t="s" s="9">
        <v>622</v>
      </c>
      <c r="F1736" t="s" s="10">
        <v>68</v>
      </c>
      <c r="G1736" t="s" s="11">
        <v>68</v>
      </c>
      <c r="H1736" t="s" s="10">
        <v>68</v>
      </c>
      <c r="I1736" t="s" s="11">
        <v>68</v>
      </c>
      <c r="J1736" t="s" s="11">
        <v>20</v>
      </c>
      <c r="K1736" s="15"/>
      <c r="L1736" t="s" s="16">
        <f>HYPERLINK("http://csr.bu.edu/ftp/asl/asllvd/demos/verify_start_end_handshape_annotations//test_auto_move//signs_mov_separ_signers/Tyler_380.mov","MOV")</f>
        <v>21</v>
      </c>
      <c r="M1736" t="s" s="10">
        <v>26</v>
      </c>
      <c r="N1736" s="17">
        <v>39</v>
      </c>
      <c r="O1736" s="18">
        <v>2745</v>
      </c>
      <c r="P1736" s="18">
        <v>2790</v>
      </c>
      <c r="Q1736" s="15"/>
      <c r="R1736" t="s" s="16">
        <f>HYPERLINK("http://secrets.rutgers.edu:8080/data/asl-ftp/asllvd/demos/verify_start_end_handshape_annotations//test_auto_move//signs_mov_separ_signers/Tyler_380.mov","MOV")</f>
        <v>21</v>
      </c>
    </row>
    <row r="1737" s="2" customFormat="1" ht="13.5" customHeight="1">
      <c r="B1737" s="13"/>
      <c r="C1737" t="s" s="9">
        <v>23</v>
      </c>
      <c r="D1737" t="s" s="8">
        <v>622</v>
      </c>
      <c r="E1737" t="s" s="9">
        <v>622</v>
      </c>
      <c r="F1737" t="s" s="10">
        <v>68</v>
      </c>
      <c r="G1737" t="s" s="11">
        <v>68</v>
      </c>
      <c r="H1737" t="s" s="10">
        <v>68</v>
      </c>
      <c r="I1737" t="s" s="11">
        <v>68</v>
      </c>
      <c r="J1737" t="s" s="11">
        <v>20</v>
      </c>
      <c r="K1737" t="s" s="16">
        <f>HYPERLINK("http://csr.bu.edu/ftp/asl/asllvd/demos/verify_start_end_handshape_annotations//test_auto_move//signs_mov/380_3588_merged.mov","MOV")</f>
        <v>21</v>
      </c>
      <c r="L1737" t="s" s="16">
        <f>HYPERLINK("http://csr.bu.edu/ftp/asl/asllvd/demos/verify_start_end_handshape_annotations//test_auto_move//signs_mov_separ_signers/Tyler_3588.mov","MOV")</f>
        <v>21</v>
      </c>
      <c r="M1737" t="s" s="10">
        <v>26</v>
      </c>
      <c r="N1737" s="17">
        <v>40</v>
      </c>
      <c r="O1737" s="18">
        <v>560</v>
      </c>
      <c r="P1737" s="18">
        <v>617</v>
      </c>
      <c r="Q1737" t="s" s="16">
        <f>HYPERLINK("http://secrets.rutgers.edu:8080/data/asl-ftp/asllvd/demos/verify_start_end_handshape_annotations//test_auto_move//signs_mov/380_3588_merged.mov","MOV")</f>
        <v>21</v>
      </c>
      <c r="R1737" t="s" s="16">
        <f>HYPERLINK("http://secrets.rutgers.edu:8080/data/asl-ftp/asllvd/demos/verify_start_end_handshape_annotations//test_auto_move//signs_mov_separ_signers/Tyler_3588.mov","MOV")</f>
        <v>21</v>
      </c>
    </row>
    <row r="1738" s="2" customFormat="1" ht="13.5" customHeight="1">
      <c r="B1738" s="13"/>
      <c r="C1738" t="s" s="9">
        <v>27</v>
      </c>
      <c r="D1738" t="s" s="8">
        <v>622</v>
      </c>
      <c r="E1738" t="s" s="9">
        <v>622</v>
      </c>
      <c r="F1738" t="s" s="10">
        <v>68</v>
      </c>
      <c r="G1738" t="s" s="11">
        <v>68</v>
      </c>
      <c r="H1738" t="s" s="10">
        <v>68</v>
      </c>
      <c r="I1738" t="s" s="11">
        <v>68</v>
      </c>
      <c r="J1738" t="s" s="11">
        <v>20</v>
      </c>
      <c r="K1738" s="15"/>
      <c r="L1738" t="s" s="16">
        <f>HYPERLINK("http://csr.bu.edu/ftp/asl/asllvd/demos/verify_start_end_handshape_annotations//test_auto_move//signs_mov_separ_signers/Naomi_380.mov","MOV")</f>
        <v>21</v>
      </c>
      <c r="M1738" t="s" s="10">
        <v>29</v>
      </c>
      <c r="N1738" s="17">
        <v>40</v>
      </c>
      <c r="O1738" s="18">
        <v>4135</v>
      </c>
      <c r="P1738" s="18">
        <v>4192</v>
      </c>
      <c r="Q1738" s="15"/>
      <c r="R1738" t="s" s="16">
        <f>HYPERLINK("http://secrets.rutgers.edu:8080/data/asl-ftp/asllvd/demos/verify_start_end_handshape_annotations//test_auto_move//signs_mov_separ_signers/Naomi_380.mov","MOV")</f>
        <v>21</v>
      </c>
    </row>
    <row r="1739" s="2" customFormat="1" ht="13.5" customHeight="1">
      <c r="B1739" s="13"/>
      <c r="C1739" t="s" s="9">
        <v>27</v>
      </c>
      <c r="D1739" t="s" s="8">
        <v>622</v>
      </c>
      <c r="E1739" t="s" s="9">
        <v>622</v>
      </c>
      <c r="F1739" t="s" s="10">
        <v>68</v>
      </c>
      <c r="G1739" t="s" s="11">
        <v>68</v>
      </c>
      <c r="H1739" t="s" s="10">
        <v>68</v>
      </c>
      <c r="I1739" t="s" s="11">
        <v>68</v>
      </c>
      <c r="J1739" t="s" s="11">
        <v>20</v>
      </c>
      <c r="K1739" s="15"/>
      <c r="L1739" t="s" s="16">
        <f>HYPERLINK("http://csr.bu.edu/ftp/asl/asllvd/demos/verify_start_end_handshape_annotations//test_auto_move//signs_mov_separ_signers/Naomi_3588.mov","MOV")</f>
        <v>21</v>
      </c>
      <c r="M1739" t="s" s="10">
        <v>29</v>
      </c>
      <c r="N1739" s="17">
        <v>41</v>
      </c>
      <c r="O1739" s="18">
        <v>392</v>
      </c>
      <c r="P1739" s="18">
        <v>474</v>
      </c>
      <c r="Q1739" s="15"/>
      <c r="R1739" t="s" s="16">
        <f>HYPERLINK("http://secrets.rutgers.edu:8080/data/asl-ftp/asllvd/demos/verify_start_end_handshape_annotations//test_auto_move//signs_mov_separ_signers/Naomi_3588.mov","MOV")</f>
        <v>21</v>
      </c>
    </row>
    <row r="1740" s="2" customFormat="1" ht="13.5" customHeight="1">
      <c r="B1740" s="13"/>
      <c r="C1740" t="s" s="9">
        <v>30</v>
      </c>
      <c r="D1740" t="s" s="8">
        <v>622</v>
      </c>
      <c r="E1740" t="s" s="9">
        <v>622</v>
      </c>
      <c r="F1740" t="s" s="10">
        <v>68</v>
      </c>
      <c r="G1740" t="s" s="11">
        <v>68</v>
      </c>
      <c r="H1740" t="s" s="10">
        <v>68</v>
      </c>
      <c r="I1740" t="s" s="11">
        <v>68</v>
      </c>
      <c r="J1740" t="s" s="11">
        <v>20</v>
      </c>
      <c r="K1740" s="15"/>
      <c r="L1740" t="s" s="16">
        <f>HYPERLINK("http://csr.bu.edu/ftp/asl/asllvd/demos/verify_start_end_handshape_annotations//test_auto_move//signs_mov_separ_signers/Brady_380.mov","MOV")</f>
        <v>21</v>
      </c>
      <c r="M1740" t="s" s="10">
        <v>31</v>
      </c>
      <c r="N1740" s="17">
        <v>25</v>
      </c>
      <c r="O1740" s="18">
        <v>10368</v>
      </c>
      <c r="P1740" s="18">
        <v>10426</v>
      </c>
      <c r="Q1740" s="15"/>
      <c r="R1740" t="s" s="16">
        <f>HYPERLINK("http://secrets.rutgers.edu:8080/data/asl-ftp/asllvd/demos/verify_start_end_handshape_annotations//test_auto_move//signs_mov_separ_signers/Brady_380.mov","MOV")</f>
        <v>21</v>
      </c>
    </row>
    <row r="1741" s="2" customFormat="1" ht="13.5" customHeight="1">
      <c r="B1741" s="13"/>
      <c r="C1741" t="s" s="9">
        <v>30</v>
      </c>
      <c r="D1741" t="s" s="8">
        <v>622</v>
      </c>
      <c r="E1741" t="s" s="9">
        <v>622</v>
      </c>
      <c r="F1741" t="s" s="10">
        <v>63</v>
      </c>
      <c r="G1741" t="s" s="11">
        <v>63</v>
      </c>
      <c r="H1741" t="s" s="10">
        <v>63</v>
      </c>
      <c r="I1741" t="s" s="11">
        <v>63</v>
      </c>
      <c r="J1741" t="s" s="11">
        <v>20</v>
      </c>
      <c r="K1741" s="15"/>
      <c r="L1741" t="s" s="16">
        <f>HYPERLINK("http://csr.bu.edu/ftp/asl/asllvd/demos/verify_start_end_handshape_annotations//test_auto_move//signs_mov_separ_signers/Brady_3588.mov","MOV")</f>
        <v>21</v>
      </c>
      <c r="M1741" t="s" s="10">
        <v>31</v>
      </c>
      <c r="N1741" s="17">
        <v>25</v>
      </c>
      <c r="O1741" s="18">
        <v>10834</v>
      </c>
      <c r="P1741" s="18">
        <v>10912</v>
      </c>
      <c r="Q1741" s="15"/>
      <c r="R1741" t="s" s="16">
        <f>HYPERLINK("http://secrets.rutgers.edu:8080/data/asl-ftp/asllvd/demos/verify_start_end_handshape_annotations//test_auto_move//signs_mov_separ_signers/Brady_3588.mov","MOV")</f>
        <v>21</v>
      </c>
    </row>
    <row r="1742" s="2" customFormat="1" ht="13.5" customHeight="1">
      <c r="B1742" t="s" s="8">
        <v>623</v>
      </c>
      <c r="C1742" t="s" s="9">
        <v>14</v>
      </c>
      <c r="D1742" t="s" s="8">
        <v>14</v>
      </c>
      <c r="E1742" t="s" s="9">
        <v>14</v>
      </c>
      <c r="F1742" t="s" s="10">
        <v>14</v>
      </c>
      <c r="G1742" t="s" s="11">
        <v>14</v>
      </c>
      <c r="H1742" t="s" s="10">
        <v>14</v>
      </c>
      <c r="I1742" t="s" s="11">
        <v>14</v>
      </c>
      <c r="J1742" t="s" s="11">
        <v>14</v>
      </c>
      <c r="K1742" t="s" s="12">
        <v>14</v>
      </c>
      <c r="L1742" t="s" s="12">
        <v>14</v>
      </c>
      <c r="M1742" t="s" s="10">
        <v>14</v>
      </c>
      <c r="N1742" t="s" s="11">
        <v>14</v>
      </c>
      <c r="O1742" t="s" s="8">
        <v>14</v>
      </c>
      <c r="P1742" t="s" s="8">
        <v>14</v>
      </c>
      <c r="Q1742" t="s" s="12">
        <v>14</v>
      </c>
      <c r="R1742" t="s" s="12">
        <v>14</v>
      </c>
    </row>
    <row r="1743" s="2" customFormat="1" ht="13.5" customHeight="1">
      <c r="B1743" s="13"/>
      <c r="C1743" t="s" s="9">
        <v>16</v>
      </c>
      <c r="D1743" t="s" s="8">
        <v>623</v>
      </c>
      <c r="E1743" t="s" s="9">
        <v>623</v>
      </c>
      <c r="F1743" s="19">
        <v>1</v>
      </c>
      <c r="G1743" s="17">
        <v>1</v>
      </c>
      <c r="H1743" s="19">
        <v>1</v>
      </c>
      <c r="I1743" s="17">
        <v>1</v>
      </c>
      <c r="J1743" t="s" s="11">
        <v>20</v>
      </c>
      <c r="K1743" s="15"/>
      <c r="L1743" t="s" s="16">
        <f>HYPERLINK("http://csr.bu.edu/ftp/asl/asllvd/demos/verify_start_end_handshape_annotations//test_auto_move//signs_mov_separ_signers/Liz_382.mov","MOV")</f>
        <v>21</v>
      </c>
      <c r="M1743" t="s" s="10">
        <v>22</v>
      </c>
      <c r="N1743" s="17">
        <v>64</v>
      </c>
      <c r="O1743" s="18">
        <v>770</v>
      </c>
      <c r="P1743" s="18">
        <v>790</v>
      </c>
      <c r="Q1743" s="15"/>
      <c r="R1743" t="s" s="16">
        <f>HYPERLINK("http://secrets.rutgers.edu:8080/data/asl-ftp/asllvd/demos/verify_start_end_handshape_annotations//test_auto_move//signs_mov_separ_signers/Liz_382.mov","MOV")</f>
        <v>21</v>
      </c>
    </row>
    <row r="1744" s="2" customFormat="1" ht="13.5" customHeight="1">
      <c r="B1744" s="13"/>
      <c r="C1744" t="s" s="9">
        <v>23</v>
      </c>
      <c r="D1744" t="s" s="8">
        <v>623</v>
      </c>
      <c r="E1744" t="s" s="9">
        <v>623</v>
      </c>
      <c r="F1744" s="19">
        <v>1</v>
      </c>
      <c r="G1744" s="17">
        <v>1</v>
      </c>
      <c r="H1744" s="19">
        <v>1</v>
      </c>
      <c r="I1744" s="17">
        <v>1</v>
      </c>
      <c r="J1744" t="s" s="11">
        <v>20</v>
      </c>
      <c r="K1744" s="15"/>
      <c r="L1744" t="s" s="16">
        <f>HYPERLINK("http://csr.bu.edu/ftp/asl/asllvd/demos/verify_start_end_handshape_annotations//test_auto_move//signs_mov_separ_signers/Tyler_382.mov","MOV")</f>
        <v>21</v>
      </c>
      <c r="M1744" t="s" s="10">
        <v>26</v>
      </c>
      <c r="N1744" s="17">
        <v>40</v>
      </c>
      <c r="O1744" s="18">
        <v>781</v>
      </c>
      <c r="P1744" s="18">
        <v>805</v>
      </c>
      <c r="Q1744" s="15"/>
      <c r="R1744" t="s" s="16">
        <f>HYPERLINK("http://secrets.rutgers.edu:8080/data/asl-ftp/asllvd/demos/verify_start_end_handshape_annotations//test_auto_move//signs_mov_separ_signers/Tyler_382.mov","MOV")</f>
        <v>21</v>
      </c>
    </row>
    <row r="1745" s="2" customFormat="1" ht="13.5" customHeight="1">
      <c r="B1745" s="13"/>
      <c r="C1745" t="s" s="9">
        <v>27</v>
      </c>
      <c r="D1745" t="s" s="8">
        <v>623</v>
      </c>
      <c r="E1745" t="s" s="9">
        <v>623</v>
      </c>
      <c r="F1745" s="19">
        <v>1</v>
      </c>
      <c r="G1745" s="17">
        <v>1</v>
      </c>
      <c r="H1745" s="19">
        <v>1</v>
      </c>
      <c r="I1745" s="17">
        <v>1</v>
      </c>
      <c r="J1745" t="s" s="11">
        <v>20</v>
      </c>
      <c r="K1745" t="s" s="16">
        <f>HYPERLINK("http://csr.bu.edu/ftp/asl/asllvd/demos/verify_start_end_handshape_annotations//test_auto_move//signs_mov/382.mov","MOV")</f>
        <v>21</v>
      </c>
      <c r="L1745" t="s" s="16">
        <f>HYPERLINK("http://csr.bu.edu/ftp/asl/asllvd/demos/verify_start_end_handshape_annotations//test_auto_move//signs_mov_separ_signers/Naomi_382.mov","MOV")</f>
        <v>21</v>
      </c>
      <c r="M1745" t="s" s="10">
        <v>29</v>
      </c>
      <c r="N1745" s="17">
        <v>41</v>
      </c>
      <c r="O1745" s="18">
        <v>1785</v>
      </c>
      <c r="P1745" s="18">
        <v>1802</v>
      </c>
      <c r="Q1745" t="s" s="16">
        <f>HYPERLINK("http://secrets.rutgers.edu:8080/data/asl-ftp/asllvd/demos/verify_start_end_handshape_annotations//test_auto_move//signs_mov/382.mov","MOV")</f>
        <v>21</v>
      </c>
      <c r="R1745" t="s" s="16">
        <f>HYPERLINK("http://secrets.rutgers.edu:8080/data/asl-ftp/asllvd/demos/verify_start_end_handshape_annotations//test_auto_move//signs_mov_separ_signers/Naomi_382.mov","MOV")</f>
        <v>21</v>
      </c>
    </row>
    <row r="1746" s="2" customFormat="1" ht="13.5" customHeight="1">
      <c r="B1746" s="13"/>
      <c r="C1746" t="s" s="9">
        <v>30</v>
      </c>
      <c r="D1746" t="s" s="8">
        <v>623</v>
      </c>
      <c r="E1746" t="s" s="9">
        <v>623</v>
      </c>
      <c r="F1746" s="19">
        <v>1</v>
      </c>
      <c r="G1746" s="17">
        <v>1</v>
      </c>
      <c r="H1746" s="19">
        <v>1</v>
      </c>
      <c r="I1746" s="17">
        <v>1</v>
      </c>
      <c r="J1746" t="s" s="11">
        <v>20</v>
      </c>
      <c r="K1746" s="15"/>
      <c r="L1746" t="s" s="16">
        <f>HYPERLINK("http://csr.bu.edu/ftp/asl/asllvd/demos/verify_start_end_handshape_annotations//test_auto_move//signs_mov_separ_signers/Brady_382.mov","MOV")</f>
        <v>21</v>
      </c>
      <c r="M1746" t="s" s="10">
        <v>31</v>
      </c>
      <c r="N1746" s="17">
        <v>25</v>
      </c>
      <c r="O1746" s="18">
        <v>11302</v>
      </c>
      <c r="P1746" s="18">
        <v>11317</v>
      </c>
      <c r="Q1746" s="15"/>
      <c r="R1746" t="s" s="16">
        <f>HYPERLINK("http://secrets.rutgers.edu:8080/data/asl-ftp/asllvd/demos/verify_start_end_handshape_annotations//test_auto_move//signs_mov_separ_signers/Brady_382.mov","MOV")</f>
        <v>21</v>
      </c>
    </row>
    <row r="1747" s="2" customFormat="1" ht="13.5" customHeight="1">
      <c r="B1747" s="13"/>
      <c r="C1747" t="s" s="9">
        <v>41</v>
      </c>
      <c r="D1747" t="s" s="8">
        <v>623</v>
      </c>
      <c r="E1747" t="s" s="9">
        <v>623</v>
      </c>
      <c r="F1747" s="19">
        <v>1</v>
      </c>
      <c r="G1747" s="17">
        <v>1</v>
      </c>
      <c r="H1747" s="19">
        <v>1</v>
      </c>
      <c r="I1747" s="17">
        <v>1</v>
      </c>
      <c r="J1747" t="s" s="11">
        <v>20</v>
      </c>
      <c r="K1747" s="15"/>
      <c r="L1747" t="s" s="16">
        <f>HYPERLINK("http://csr.bu.edu/ftp/asl/asllvd/demos/verify_start_end_handshape_annotations//test_auto_move//signs_mov_separ_signers/Lana_382.mov","MOV")</f>
        <v>21</v>
      </c>
      <c r="M1747" t="s" s="10">
        <v>42</v>
      </c>
      <c r="N1747" s="17">
        <v>4</v>
      </c>
      <c r="O1747" s="18">
        <v>1906</v>
      </c>
      <c r="P1747" s="18">
        <v>1921</v>
      </c>
      <c r="Q1747" s="15"/>
      <c r="R1747" t="s" s="16">
        <f>HYPERLINK("http://secrets.rutgers.edu:8080/data/asl-ftp/asllvd/demos/verify_start_end_handshape_annotations//test_auto_move//signs_mov_separ_signers/Lana_382.mov","MOV")</f>
        <v>21</v>
      </c>
    </row>
    <row r="1748" s="2" customFormat="1" ht="13.5" customHeight="1">
      <c r="B1748" s="13"/>
      <c r="C1748" t="s" s="9">
        <v>43</v>
      </c>
      <c r="D1748" t="s" s="8">
        <v>623</v>
      </c>
      <c r="E1748" t="s" s="9">
        <v>623</v>
      </c>
      <c r="F1748" s="19">
        <v>1</v>
      </c>
      <c r="G1748" s="17">
        <v>1</v>
      </c>
      <c r="H1748" s="19">
        <v>1</v>
      </c>
      <c r="I1748" s="17">
        <v>1</v>
      </c>
      <c r="J1748" t="s" s="11">
        <v>20</v>
      </c>
      <c r="K1748" s="15"/>
      <c r="L1748" t="s" s="16">
        <f>HYPERLINK("http://csr.bu.edu/ftp/asl/asllvd/demos/verify_start_end_handshape_annotations//test_auto_move//signs_mov_separ_signers/Dana_382.mov","MOV")</f>
        <v>21</v>
      </c>
      <c r="M1748" t="s" s="10">
        <v>44</v>
      </c>
      <c r="N1748" s="17">
        <v>8</v>
      </c>
      <c r="O1748" s="18">
        <v>1886</v>
      </c>
      <c r="P1748" s="18">
        <v>1924</v>
      </c>
      <c r="Q1748" s="15"/>
      <c r="R1748" t="s" s="16">
        <f>HYPERLINK("http://secrets.rutgers.edu:8080/data/asl-ftp/asllvd/demos/verify_start_end_handshape_annotations//test_auto_move//signs_mov_separ_signers/Dana_382.mov","MOV")</f>
        <v>21</v>
      </c>
    </row>
    <row r="1749" s="2" customFormat="1" ht="13.5" customHeight="1">
      <c r="B1749" t="s" s="8">
        <v>624</v>
      </c>
      <c r="C1749" t="s" s="9">
        <v>14</v>
      </c>
      <c r="D1749" t="s" s="8">
        <v>14</v>
      </c>
      <c r="E1749" t="s" s="9">
        <v>14</v>
      </c>
      <c r="F1749" t="s" s="10">
        <v>14</v>
      </c>
      <c r="G1749" t="s" s="11">
        <v>14</v>
      </c>
      <c r="H1749" t="s" s="10">
        <v>14</v>
      </c>
      <c r="I1749" t="s" s="11">
        <v>14</v>
      </c>
      <c r="J1749" t="s" s="11">
        <v>14</v>
      </c>
      <c r="K1749" t="s" s="12">
        <v>14</v>
      </c>
      <c r="L1749" t="s" s="12">
        <v>14</v>
      </c>
      <c r="M1749" t="s" s="10">
        <v>14</v>
      </c>
      <c r="N1749" t="s" s="11">
        <v>14</v>
      </c>
      <c r="O1749" t="s" s="8">
        <v>14</v>
      </c>
      <c r="P1749" t="s" s="8">
        <v>14</v>
      </c>
      <c r="Q1749" t="s" s="12">
        <v>14</v>
      </c>
      <c r="R1749" t="s" s="12">
        <v>14</v>
      </c>
    </row>
    <row r="1750" s="2" customFormat="1" ht="13.5" customHeight="1">
      <c r="B1750" s="13"/>
      <c r="C1750" t="s" s="9">
        <v>16</v>
      </c>
      <c r="D1750" t="s" s="8">
        <v>624</v>
      </c>
      <c r="E1750" t="s" s="9">
        <v>624</v>
      </c>
      <c r="F1750" s="19">
        <v>1</v>
      </c>
      <c r="G1750" s="14"/>
      <c r="H1750" s="19">
        <v>1</v>
      </c>
      <c r="I1750" s="14"/>
      <c r="J1750" t="s" s="11">
        <v>20</v>
      </c>
      <c r="K1750" s="15"/>
      <c r="L1750" t="s" s="16">
        <f>HYPERLINK("http://csr.bu.edu/ftp/asl/asllvd/demos/verify_start_end_handshape_annotations//test_auto_move//signs_mov_separ_signers/Liz_384.mov","MOV")</f>
        <v>21</v>
      </c>
      <c r="M1750" t="s" s="10">
        <v>22</v>
      </c>
      <c r="N1750" s="17">
        <v>64</v>
      </c>
      <c r="O1750" s="18">
        <v>1175</v>
      </c>
      <c r="P1750" s="18">
        <v>1210</v>
      </c>
      <c r="Q1750" s="15"/>
      <c r="R1750" t="s" s="16">
        <f>HYPERLINK("http://secrets.rutgers.edu:8080/data/asl-ftp/asllvd/demos/verify_start_end_handshape_annotations//test_auto_move//signs_mov_separ_signers/Liz_384.mov","MOV")</f>
        <v>21</v>
      </c>
    </row>
    <row r="1751" s="2" customFormat="1" ht="13.5" customHeight="1">
      <c r="B1751" s="13"/>
      <c r="C1751" t="s" s="9">
        <v>16</v>
      </c>
      <c r="D1751" t="s" s="8">
        <v>624</v>
      </c>
      <c r="E1751" t="s" s="9">
        <v>624</v>
      </c>
      <c r="F1751" s="19">
        <v>1</v>
      </c>
      <c r="G1751" s="14"/>
      <c r="H1751" s="19">
        <v>1</v>
      </c>
      <c r="I1751" s="14"/>
      <c r="J1751" t="s" s="11">
        <v>20</v>
      </c>
      <c r="K1751" s="15"/>
      <c r="L1751" t="s" s="16">
        <f>HYPERLINK("http://csr.bu.edu/ftp/asl/asllvd/demos/verify_start_end_handshape_annotations//test_auto_move//signs_mov_separ_signers/Liz_3647.mov","MOV")</f>
        <v>21</v>
      </c>
      <c r="M1751" t="s" s="10">
        <v>34</v>
      </c>
      <c r="N1751" s="17">
        <v>9</v>
      </c>
      <c r="O1751" s="18">
        <v>1570</v>
      </c>
      <c r="P1751" s="18">
        <v>1626</v>
      </c>
      <c r="Q1751" s="15"/>
      <c r="R1751" t="s" s="16">
        <f>HYPERLINK("http://secrets.rutgers.edu:8080/data/asl-ftp/asllvd/demos/verify_start_end_handshape_annotations//test_auto_move//signs_mov_separ_signers/Liz_3647.mov","MOV")</f>
        <v>21</v>
      </c>
    </row>
    <row r="1752" s="2" customFormat="1" ht="13.5" customHeight="1">
      <c r="B1752" s="13"/>
      <c r="C1752" t="s" s="9">
        <v>23</v>
      </c>
      <c r="D1752" t="s" s="8">
        <v>624</v>
      </c>
      <c r="E1752" t="s" s="9">
        <v>624</v>
      </c>
      <c r="F1752" t="s" s="10">
        <v>70</v>
      </c>
      <c r="G1752" s="14"/>
      <c r="H1752" s="19">
        <v>1</v>
      </c>
      <c r="I1752" s="14"/>
      <c r="J1752" t="s" s="11">
        <v>20</v>
      </c>
      <c r="K1752" s="15"/>
      <c r="L1752" t="s" s="16">
        <f>HYPERLINK("http://csr.bu.edu/ftp/asl/asllvd/demos/verify_start_end_handshape_annotations//test_auto_move//signs_mov_separ_signers/Tyler_384.mov","MOV")</f>
        <v>21</v>
      </c>
      <c r="M1752" t="s" s="10">
        <v>92</v>
      </c>
      <c r="N1752" s="17">
        <v>40</v>
      </c>
      <c r="O1752" s="18">
        <v>1895</v>
      </c>
      <c r="P1752" s="18">
        <v>1915</v>
      </c>
      <c r="Q1752" s="15"/>
      <c r="R1752" t="s" s="16">
        <f>HYPERLINK("http://secrets.rutgers.edu:8080/data/asl-ftp/asllvd/demos/verify_start_end_handshape_annotations//test_auto_move//signs_mov_separ_signers/Tyler_384.mov","MOV")</f>
        <v>21</v>
      </c>
    </row>
    <row r="1753" s="2" customFormat="1" ht="13.5" customHeight="1">
      <c r="B1753" s="13"/>
      <c r="C1753" t="s" s="9">
        <v>27</v>
      </c>
      <c r="D1753" t="s" s="8">
        <v>624</v>
      </c>
      <c r="E1753" t="s" s="9">
        <v>624</v>
      </c>
      <c r="F1753" s="19">
        <v>1</v>
      </c>
      <c r="G1753" s="14"/>
      <c r="H1753" s="19">
        <v>1</v>
      </c>
      <c r="I1753" s="14"/>
      <c r="J1753" t="s" s="11">
        <v>20</v>
      </c>
      <c r="K1753" s="15"/>
      <c r="L1753" t="s" s="16">
        <f>HYPERLINK("http://csr.bu.edu/ftp/asl/asllvd/demos/verify_start_end_handshape_annotations//test_auto_move//signs_mov_separ_signers/Naomi_384.mov","MOV")</f>
        <v>21</v>
      </c>
      <c r="M1753" t="s" s="10">
        <v>29</v>
      </c>
      <c r="N1753" s="17">
        <v>41</v>
      </c>
      <c r="O1753" s="18">
        <v>2380</v>
      </c>
      <c r="P1753" s="18">
        <v>2410</v>
      </c>
      <c r="Q1753" s="15"/>
      <c r="R1753" t="s" s="16">
        <f>HYPERLINK("http://secrets.rutgers.edu:8080/data/asl-ftp/asllvd/demos/verify_start_end_handshape_annotations//test_auto_move//signs_mov_separ_signers/Naomi_384.mov","MOV")</f>
        <v>21</v>
      </c>
    </row>
    <row r="1754" s="2" customFormat="1" ht="13.5" customHeight="1">
      <c r="B1754" s="13"/>
      <c r="C1754" t="s" s="9">
        <v>27</v>
      </c>
      <c r="D1754" t="s" s="8">
        <v>624</v>
      </c>
      <c r="E1754" t="s" s="9">
        <v>624</v>
      </c>
      <c r="F1754" s="19">
        <v>1</v>
      </c>
      <c r="G1754" s="14"/>
      <c r="H1754" s="19">
        <v>1</v>
      </c>
      <c r="I1754" s="14"/>
      <c r="J1754" t="s" s="11">
        <v>20</v>
      </c>
      <c r="K1754" t="s" s="16">
        <f>HYPERLINK("http://csr.bu.edu/ftp/asl/asllvd/demos/verify_start_end_handshape_annotations//test_auto_move//signs_mov/384_3647_3648_merged.mov","MOV")</f>
        <v>21</v>
      </c>
      <c r="L1754" t="s" s="16">
        <f>HYPERLINK("http://csr.bu.edu/ftp/asl/asllvd/demos/verify_start_end_handshape_annotations//test_auto_move//signs_mov_separ_signers/Naomi_3647.mov","MOV")</f>
        <v>21</v>
      </c>
      <c r="M1754" t="s" s="10">
        <v>38</v>
      </c>
      <c r="N1754" s="17">
        <v>8</v>
      </c>
      <c r="O1754" s="18">
        <v>1698</v>
      </c>
      <c r="P1754" s="18">
        <v>1727</v>
      </c>
      <c r="Q1754" t="s" s="16">
        <f>HYPERLINK("http://secrets.rutgers.edu:8080/data/asl-ftp/asllvd/demos/verify_start_end_handshape_annotations//test_auto_move//signs_mov/384_3647_3648_merged.mov","MOV")</f>
        <v>21</v>
      </c>
      <c r="R1754" t="s" s="16">
        <f>HYPERLINK("http://secrets.rutgers.edu:8080/data/asl-ftp/asllvd/demos/verify_start_end_handshape_annotations//test_auto_move//signs_mov_separ_signers/Naomi_3647.mov","MOV")</f>
        <v>21</v>
      </c>
    </row>
    <row r="1755" s="2" customFormat="1" ht="13.5" customHeight="1">
      <c r="B1755" s="13"/>
      <c r="C1755" t="s" s="9">
        <v>27</v>
      </c>
      <c r="D1755" t="s" s="8">
        <v>624</v>
      </c>
      <c r="E1755" t="s" s="9">
        <v>624</v>
      </c>
      <c r="F1755" s="19">
        <v>1</v>
      </c>
      <c r="G1755" s="14"/>
      <c r="H1755" s="19">
        <v>1</v>
      </c>
      <c r="I1755" s="14"/>
      <c r="J1755" t="s" s="11">
        <v>20</v>
      </c>
      <c r="K1755" s="15"/>
      <c r="L1755" t="s" s="16">
        <f>HYPERLINK("http://csr.bu.edu/ftp/asl/asllvd/demos/verify_start_end_handshape_annotations//test_auto_move//signs_mov_separ_signers/Naomi_3648.mov","MOV")</f>
        <v>21</v>
      </c>
      <c r="M1755" t="s" s="10">
        <v>38</v>
      </c>
      <c r="N1755" s="17">
        <v>8</v>
      </c>
      <c r="O1755" s="18">
        <v>2528</v>
      </c>
      <c r="P1755" s="18">
        <v>2558</v>
      </c>
      <c r="Q1755" s="15"/>
      <c r="R1755" t="s" s="16">
        <f>HYPERLINK("http://secrets.rutgers.edu:8080/data/asl-ftp/asllvd/demos/verify_start_end_handshape_annotations//test_auto_move//signs_mov_separ_signers/Naomi_3648.mov","MOV")</f>
        <v>21</v>
      </c>
    </row>
    <row r="1756" s="2" customFormat="1" ht="13.5" customHeight="1">
      <c r="B1756" s="13"/>
      <c r="C1756" t="s" s="9">
        <v>30</v>
      </c>
      <c r="D1756" t="s" s="8">
        <v>624</v>
      </c>
      <c r="E1756" t="s" s="9">
        <v>624</v>
      </c>
      <c r="F1756" s="19">
        <v>1</v>
      </c>
      <c r="G1756" s="14"/>
      <c r="H1756" s="19">
        <v>1</v>
      </c>
      <c r="I1756" s="14"/>
      <c r="J1756" t="s" s="11">
        <v>20</v>
      </c>
      <c r="K1756" s="15"/>
      <c r="L1756" t="s" s="16">
        <f>HYPERLINK("http://csr.bu.edu/ftp/asl/asllvd/demos/verify_start_end_handshape_annotations//test_auto_move//signs_mov_separ_signers/Brady_384.mov","MOV")</f>
        <v>21</v>
      </c>
      <c r="M1756" t="s" s="10">
        <v>31</v>
      </c>
      <c r="N1756" s="17">
        <v>25</v>
      </c>
      <c r="O1756" s="18">
        <v>11567</v>
      </c>
      <c r="P1756" s="18">
        <v>11600</v>
      </c>
      <c r="Q1756" s="15"/>
      <c r="R1756" t="s" s="16">
        <f>HYPERLINK("http://secrets.rutgers.edu:8080/data/asl-ftp/asllvd/demos/verify_start_end_handshape_annotations//test_auto_move//signs_mov_separ_signers/Brady_384.mov","MOV")</f>
        <v>21</v>
      </c>
    </row>
    <row r="1757" s="2" customFormat="1" ht="13.5" customHeight="1">
      <c r="B1757" s="13"/>
      <c r="C1757" t="s" s="9">
        <v>30</v>
      </c>
      <c r="D1757" t="s" s="8">
        <v>624</v>
      </c>
      <c r="E1757" t="s" s="9">
        <v>624</v>
      </c>
      <c r="F1757" s="19">
        <v>1</v>
      </c>
      <c r="G1757" s="14"/>
      <c r="H1757" s="19">
        <v>1</v>
      </c>
      <c r="I1757" s="14"/>
      <c r="J1757" t="s" s="11">
        <v>20</v>
      </c>
      <c r="K1757" s="15"/>
      <c r="L1757" t="s" s="16">
        <f>HYPERLINK("http://csr.bu.edu/ftp/asl/asllvd/demos/verify_start_end_handshape_annotations//test_auto_move//signs_mov_separ_signers/Brady_3647.mov","MOV")</f>
        <v>21</v>
      </c>
      <c r="M1757" t="s" s="10">
        <v>39</v>
      </c>
      <c r="N1757" s="17">
        <v>28</v>
      </c>
      <c r="O1757" s="18">
        <v>1523</v>
      </c>
      <c r="P1757" s="18">
        <v>1544</v>
      </c>
      <c r="Q1757" s="15"/>
      <c r="R1757" t="s" s="16">
        <f>HYPERLINK("http://secrets.rutgers.edu:8080/data/asl-ftp/asllvd/demos/verify_start_end_handshape_annotations//test_auto_move//signs_mov_separ_signers/Brady_3647.mov","MOV")</f>
        <v>21</v>
      </c>
    </row>
    <row r="1758" s="2" customFormat="1" ht="13.5" customHeight="1">
      <c r="B1758" s="13"/>
      <c r="C1758" t="s" s="9">
        <v>30</v>
      </c>
      <c r="D1758" t="s" s="8">
        <v>624</v>
      </c>
      <c r="E1758" t="s" s="9">
        <v>624</v>
      </c>
      <c r="F1758" s="19">
        <v>1</v>
      </c>
      <c r="G1758" s="14"/>
      <c r="H1758" s="19">
        <v>1</v>
      </c>
      <c r="I1758" s="14"/>
      <c r="J1758" t="s" s="11">
        <v>20</v>
      </c>
      <c r="K1758" s="15"/>
      <c r="L1758" t="s" s="16">
        <f>HYPERLINK("http://csr.bu.edu/ftp/asl/asllvd/demos/verify_start_end_handshape_annotations//test_auto_move//signs_mov_separ_signers/Brady_3648.mov","MOV")</f>
        <v>21</v>
      </c>
      <c r="M1758" t="s" s="10">
        <v>39</v>
      </c>
      <c r="N1758" s="17">
        <v>28</v>
      </c>
      <c r="O1758" s="18">
        <v>1969</v>
      </c>
      <c r="P1758" s="18">
        <v>1985</v>
      </c>
      <c r="Q1758" s="15"/>
      <c r="R1758" t="s" s="16">
        <f>HYPERLINK("http://secrets.rutgers.edu:8080/data/asl-ftp/asllvd/demos/verify_start_end_handshape_annotations//test_auto_move//signs_mov_separ_signers/Brady_3648.mov","MOV")</f>
        <v>21</v>
      </c>
    </row>
    <row r="1759" s="2" customFormat="1" ht="13.5" customHeight="1">
      <c r="B1759" s="13"/>
      <c r="C1759" t="s" s="9">
        <v>41</v>
      </c>
      <c r="D1759" t="s" s="8">
        <v>624</v>
      </c>
      <c r="E1759" t="s" s="9">
        <v>624</v>
      </c>
      <c r="F1759" s="19">
        <v>1</v>
      </c>
      <c r="G1759" s="14"/>
      <c r="H1759" s="19">
        <v>1</v>
      </c>
      <c r="I1759" s="14"/>
      <c r="J1759" t="s" s="11">
        <v>20</v>
      </c>
      <c r="K1759" s="15"/>
      <c r="L1759" t="s" s="16">
        <f>HYPERLINK("http://csr.bu.edu/ftp/asl/asllvd/demos/verify_start_end_handshape_annotations//test_auto_move//signs_mov_separ_signers/Lana_384.mov","MOV")</f>
        <v>21</v>
      </c>
      <c r="M1759" t="s" s="10">
        <v>42</v>
      </c>
      <c r="N1759" s="17">
        <v>12</v>
      </c>
      <c r="O1759" s="18">
        <v>1147</v>
      </c>
      <c r="P1759" s="18">
        <v>1173</v>
      </c>
      <c r="Q1759" s="15"/>
      <c r="R1759" t="s" s="16">
        <f>HYPERLINK("http://secrets.rutgers.edu:8080/data/asl-ftp/asllvd/demos/verify_start_end_handshape_annotations//test_auto_move//signs_mov_separ_signers/Lana_384.mov","MOV")</f>
        <v>21</v>
      </c>
    </row>
    <row r="1760" s="2" customFormat="1" ht="13.5" customHeight="1">
      <c r="B1760" t="s" s="8">
        <v>52</v>
      </c>
      <c r="C1760" t="s" s="9">
        <v>53</v>
      </c>
      <c r="D1760" t="s" s="8">
        <v>53</v>
      </c>
      <c r="E1760" t="s" s="9">
        <v>53</v>
      </c>
      <c r="F1760" t="s" s="10">
        <v>53</v>
      </c>
      <c r="G1760" t="s" s="11">
        <v>53</v>
      </c>
      <c r="H1760" t="s" s="10">
        <v>53</v>
      </c>
      <c r="I1760" t="s" s="11">
        <v>53</v>
      </c>
      <c r="J1760" t="s" s="11">
        <v>53</v>
      </c>
      <c r="K1760" t="s" s="12">
        <v>53</v>
      </c>
      <c r="L1760" t="s" s="12">
        <v>53</v>
      </c>
      <c r="M1760" t="s" s="10">
        <v>53</v>
      </c>
      <c r="N1760" t="s" s="11">
        <v>53</v>
      </c>
      <c r="O1760" t="s" s="8">
        <v>53</v>
      </c>
      <c r="P1760" t="s" s="8">
        <v>53</v>
      </c>
      <c r="Q1760" t="s" s="12">
        <v>53</v>
      </c>
      <c r="R1760" t="s" s="12">
        <v>53</v>
      </c>
    </row>
    <row r="1761" s="2" customFormat="1" ht="13.5" customHeight="1">
      <c r="B1761" s="13"/>
      <c r="C1761" t="s" s="9">
        <v>23</v>
      </c>
      <c r="D1761" t="s" s="8">
        <v>624</v>
      </c>
      <c r="E1761" t="s" s="9">
        <v>625</v>
      </c>
      <c r="F1761" t="s" s="10">
        <v>337</v>
      </c>
      <c r="G1761" s="14"/>
      <c r="H1761" t="s" s="10">
        <v>337</v>
      </c>
      <c r="I1761" s="14"/>
      <c r="J1761" t="s" s="11">
        <v>20</v>
      </c>
      <c r="K1761" t="s" s="16">
        <f>HYPERLINK("http://csr.bu.edu/ftp/asl/asllvd/demos/verify_start_end_handshape_annotations//test_auto_move//signs_mov/5124.mov","MOV")</f>
        <v>21</v>
      </c>
      <c r="L1761" t="s" s="16">
        <f>HYPERLINK("http://csr.bu.edu/ftp/asl/asllvd/demos/verify_start_end_handshape_annotations//test_auto_move//signs_mov_separ_signers/Tyler_5124.mov","MOV")</f>
        <v>21</v>
      </c>
      <c r="M1761" t="s" s="10">
        <v>92</v>
      </c>
      <c r="N1761" s="17">
        <v>40</v>
      </c>
      <c r="O1761" s="18">
        <v>1597</v>
      </c>
      <c r="P1761" s="18">
        <v>1625</v>
      </c>
      <c r="Q1761" t="s" s="16">
        <f>HYPERLINK("http://secrets.rutgers.edu:8080/data/asl-ftp/asllvd/demos/verify_start_end_handshape_annotations//test_auto_move//signs_mov/5124.mov","MOV")</f>
        <v>21</v>
      </c>
      <c r="R1761" t="s" s="16">
        <f>HYPERLINK("http://secrets.rutgers.edu:8080/data/asl-ftp/asllvd/demos/verify_start_end_handshape_annotations//test_auto_move//signs_mov_separ_signers/Tyler_5124.mov","MOV")</f>
        <v>21</v>
      </c>
    </row>
    <row r="1762" s="2" customFormat="1" ht="13.5" customHeight="1">
      <c r="B1762" s="13"/>
      <c r="C1762" t="s" s="9">
        <v>43</v>
      </c>
      <c r="D1762" t="s" s="8">
        <v>624</v>
      </c>
      <c r="E1762" t="s" s="9">
        <v>625</v>
      </c>
      <c r="F1762" t="s" s="10">
        <v>626</v>
      </c>
      <c r="G1762" s="14"/>
      <c r="H1762" t="s" s="10">
        <v>626</v>
      </c>
      <c r="I1762" s="14"/>
      <c r="J1762" t="s" s="11">
        <v>20</v>
      </c>
      <c r="K1762" s="15"/>
      <c r="L1762" t="s" s="16">
        <f>HYPERLINK("http://csr.bu.edu/ftp/asl/asllvd/demos/verify_start_end_handshape_annotations//test_auto_move//signs_mov_separ_signers/Dana_5124.mov","MOV")</f>
        <v>21</v>
      </c>
      <c r="M1762" t="s" s="10">
        <v>44</v>
      </c>
      <c r="N1762" s="17">
        <v>16</v>
      </c>
      <c r="O1762" s="18">
        <v>988</v>
      </c>
      <c r="P1762" s="18">
        <v>1042</v>
      </c>
      <c r="Q1762" s="15"/>
      <c r="R1762" t="s" s="16">
        <f>HYPERLINK("http://secrets.rutgers.edu:8080/data/asl-ftp/asllvd/demos/verify_start_end_handshape_annotations//test_auto_move//signs_mov_separ_signers/Dana_5124.mov","MOV")</f>
        <v>21</v>
      </c>
    </row>
    <row r="1763" s="2" customFormat="1" ht="13.5" customHeight="1">
      <c r="B1763" t="s" s="8">
        <v>627</v>
      </c>
      <c r="C1763" t="s" s="9">
        <v>14</v>
      </c>
      <c r="D1763" t="s" s="8">
        <v>14</v>
      </c>
      <c r="E1763" t="s" s="9">
        <v>14</v>
      </c>
      <c r="F1763" t="s" s="10">
        <v>14</v>
      </c>
      <c r="G1763" t="s" s="11">
        <v>14</v>
      </c>
      <c r="H1763" t="s" s="10">
        <v>14</v>
      </c>
      <c r="I1763" t="s" s="11">
        <v>14</v>
      </c>
      <c r="J1763" t="s" s="11">
        <v>14</v>
      </c>
      <c r="K1763" t="s" s="12">
        <v>14</v>
      </c>
      <c r="L1763" t="s" s="12">
        <v>14</v>
      </c>
      <c r="M1763" t="s" s="10">
        <v>14</v>
      </c>
      <c r="N1763" t="s" s="11">
        <v>14</v>
      </c>
      <c r="O1763" t="s" s="8">
        <v>14</v>
      </c>
      <c r="P1763" t="s" s="8">
        <v>14</v>
      </c>
      <c r="Q1763" t="s" s="12">
        <v>14</v>
      </c>
      <c r="R1763" t="s" s="12">
        <v>14</v>
      </c>
    </row>
    <row r="1764" s="2" customFormat="1" ht="13.5" customHeight="1">
      <c r="B1764" s="13"/>
      <c r="C1764" t="s" s="9">
        <v>16</v>
      </c>
      <c r="D1764" t="s" s="8">
        <v>627</v>
      </c>
      <c r="E1764" t="s" s="9">
        <v>627</v>
      </c>
      <c r="F1764" t="s" s="10">
        <v>282</v>
      </c>
      <c r="G1764" s="14"/>
      <c r="H1764" t="s" s="10">
        <v>282</v>
      </c>
      <c r="I1764" s="14"/>
      <c r="J1764" t="s" s="11">
        <v>20</v>
      </c>
      <c r="K1764" s="15"/>
      <c r="L1764" t="s" s="16">
        <f>HYPERLINK("http://csr.bu.edu/ftp/asl/asllvd/demos/verify_start_end_handshape_annotations//test_auto_move//signs_mov_separ_signers/Liz_15687.mov","MOV")</f>
        <v>21</v>
      </c>
      <c r="M1764" t="s" s="10">
        <v>84</v>
      </c>
      <c r="N1764" s="17">
        <v>40</v>
      </c>
      <c r="O1764" s="18">
        <v>410</v>
      </c>
      <c r="P1764" s="18">
        <v>432</v>
      </c>
      <c r="Q1764" s="15"/>
      <c r="R1764" t="s" s="16">
        <f>HYPERLINK("http://secrets.rutgers.edu:8080/data/asl-ftp/asllvd/demos/verify_start_end_handshape_annotations//test_auto_move//signs_mov_separ_signers/Liz_15687.mov","MOV")</f>
        <v>21</v>
      </c>
    </row>
    <row r="1765" s="2" customFormat="1" ht="13.5" customHeight="1">
      <c r="B1765" s="13"/>
      <c r="C1765" t="s" s="9">
        <v>23</v>
      </c>
      <c r="D1765" t="s" s="8">
        <v>627</v>
      </c>
      <c r="E1765" t="s" s="9">
        <v>627</v>
      </c>
      <c r="F1765" t="s" s="10">
        <v>282</v>
      </c>
      <c r="G1765" s="14"/>
      <c r="H1765" t="s" s="10">
        <v>282</v>
      </c>
      <c r="I1765" s="14"/>
      <c r="J1765" t="s" s="11">
        <v>20</v>
      </c>
      <c r="K1765" t="s" s="16">
        <f>HYPERLINK("http://csr.bu.edu/ftp/asl/asllvd/demos/verify_start_end_handshape_annotations//test_auto_move//signs_mov/15687.mov","MOV")</f>
        <v>21</v>
      </c>
      <c r="L1765" t="s" s="16">
        <f>HYPERLINK("http://csr.bu.edu/ftp/asl/asllvd/demos/verify_start_end_handshape_annotations//test_auto_move//signs_mov_separ_signers/Tyler_15687.mov","MOV")</f>
        <v>21</v>
      </c>
      <c r="M1765" t="s" s="10">
        <v>92</v>
      </c>
      <c r="N1765" s="17">
        <v>20</v>
      </c>
      <c r="O1765" s="18">
        <v>265</v>
      </c>
      <c r="P1765" s="18">
        <v>297</v>
      </c>
      <c r="Q1765" t="s" s="16">
        <f>HYPERLINK("http://secrets.rutgers.edu:8080/data/asl-ftp/asllvd/demos/verify_start_end_handshape_annotations//test_auto_move//signs_mov/15687.mov","MOV")</f>
        <v>21</v>
      </c>
      <c r="R1765" t="s" s="16">
        <f>HYPERLINK("http://secrets.rutgers.edu:8080/data/asl-ftp/asllvd/demos/verify_start_end_handshape_annotations//test_auto_move//signs_mov_separ_signers/Tyler_15687.mov","MOV")</f>
        <v>21</v>
      </c>
    </row>
    <row r="1766" s="2" customFormat="1" ht="13.5" customHeight="1">
      <c r="B1766" s="13"/>
      <c r="C1766" t="s" s="9">
        <v>27</v>
      </c>
      <c r="D1766" t="s" s="8">
        <v>627</v>
      </c>
      <c r="E1766" t="s" s="9">
        <v>627</v>
      </c>
      <c r="F1766" t="s" s="10">
        <v>282</v>
      </c>
      <c r="G1766" s="14"/>
      <c r="H1766" t="s" s="10">
        <v>282</v>
      </c>
      <c r="I1766" s="14"/>
      <c r="J1766" t="s" s="11">
        <v>20</v>
      </c>
      <c r="K1766" s="15"/>
      <c r="L1766" t="s" s="16">
        <f>HYPERLINK("http://csr.bu.edu/ftp/asl/asllvd/demos/verify_start_end_handshape_annotations//test_auto_move//signs_mov_separ_signers/Naomi_15687.mov","MOV")</f>
        <v>21</v>
      </c>
      <c r="M1766" t="s" s="10">
        <v>86</v>
      </c>
      <c r="N1766" s="17">
        <v>40</v>
      </c>
      <c r="O1766" s="18">
        <v>180</v>
      </c>
      <c r="P1766" s="18">
        <v>202</v>
      </c>
      <c r="Q1766" s="15"/>
      <c r="R1766" t="s" s="16">
        <f>HYPERLINK("http://secrets.rutgers.edu:8080/data/asl-ftp/asllvd/demos/verify_start_end_handshape_annotations//test_auto_move//signs_mov_separ_signers/Naomi_15687.mov","MOV")</f>
        <v>21</v>
      </c>
    </row>
    <row r="1767" s="2" customFormat="1" ht="13.5" customHeight="1">
      <c r="B1767" s="13"/>
      <c r="C1767" t="s" s="9">
        <v>30</v>
      </c>
      <c r="D1767" t="s" s="8">
        <v>627</v>
      </c>
      <c r="E1767" t="s" s="9">
        <v>627</v>
      </c>
      <c r="F1767" t="s" s="10">
        <v>282</v>
      </c>
      <c r="G1767" s="14"/>
      <c r="H1767" t="s" s="10">
        <v>282</v>
      </c>
      <c r="I1767" s="14"/>
      <c r="J1767" t="s" s="11">
        <v>20</v>
      </c>
      <c r="K1767" s="15"/>
      <c r="L1767" t="s" s="16">
        <f>HYPERLINK("http://csr.bu.edu/ftp/asl/asllvd/demos/verify_start_end_handshape_annotations//test_auto_move//signs_mov_separ_signers/Brady_15687.mov","MOV")</f>
        <v>21</v>
      </c>
      <c r="M1767" t="s" s="10">
        <v>39</v>
      </c>
      <c r="N1767" s="17">
        <v>17</v>
      </c>
      <c r="O1767" s="18">
        <v>2097</v>
      </c>
      <c r="P1767" s="18">
        <v>2121</v>
      </c>
      <c r="Q1767" s="15"/>
      <c r="R1767" t="s" s="16">
        <f>HYPERLINK("http://secrets.rutgers.edu:8080/data/asl-ftp/asllvd/demos/verify_start_end_handshape_annotations//test_auto_move//signs_mov_separ_signers/Brady_15687.mov","MOV")</f>
        <v>21</v>
      </c>
    </row>
    <row r="1768" s="2" customFormat="1" ht="13.5" customHeight="1">
      <c r="B1768" t="s" s="8">
        <v>628</v>
      </c>
      <c r="C1768" t="s" s="9">
        <v>14</v>
      </c>
      <c r="D1768" t="s" s="8">
        <v>14</v>
      </c>
      <c r="E1768" t="s" s="9">
        <v>14</v>
      </c>
      <c r="F1768" t="s" s="10">
        <v>14</v>
      </c>
      <c r="G1768" t="s" s="11">
        <v>14</v>
      </c>
      <c r="H1768" t="s" s="10">
        <v>14</v>
      </c>
      <c r="I1768" t="s" s="11">
        <v>14</v>
      </c>
      <c r="J1768" t="s" s="11">
        <v>14</v>
      </c>
      <c r="K1768" t="s" s="12">
        <v>14</v>
      </c>
      <c r="L1768" t="s" s="12">
        <v>14</v>
      </c>
      <c r="M1768" t="s" s="10">
        <v>14</v>
      </c>
      <c r="N1768" t="s" s="11">
        <v>14</v>
      </c>
      <c r="O1768" t="s" s="8">
        <v>14</v>
      </c>
      <c r="P1768" t="s" s="8">
        <v>14</v>
      </c>
      <c r="Q1768" t="s" s="12">
        <v>14</v>
      </c>
      <c r="R1768" t="s" s="12">
        <v>14</v>
      </c>
    </row>
    <row r="1769" s="2" customFormat="1" ht="13.5" customHeight="1">
      <c r="B1769" s="13"/>
      <c r="C1769" t="s" s="9">
        <v>16</v>
      </c>
      <c r="D1769" t="s" s="8">
        <v>628</v>
      </c>
      <c r="E1769" t="s" s="9">
        <v>628</v>
      </c>
      <c r="F1769" t="s" s="10">
        <v>220</v>
      </c>
      <c r="G1769" s="14"/>
      <c r="H1769" t="s" s="10">
        <v>220</v>
      </c>
      <c r="I1769" s="14"/>
      <c r="J1769" t="s" s="11">
        <v>20</v>
      </c>
      <c r="K1769" t="s" s="16">
        <f>HYPERLINK("http://csr.bu.edu/ftp/asl/asllvd/demos/verify_start_end_handshape_annotations//test_auto_move//signs_mov/15773.mov","MOV")</f>
        <v>21</v>
      </c>
      <c r="L1769" t="s" s="16">
        <f>HYPERLINK("http://csr.bu.edu/ftp/asl/asllvd/demos/verify_start_end_handshape_annotations//test_auto_move//signs_mov_separ_signers/Liz_15773.mov","MOV")</f>
        <v>21</v>
      </c>
      <c r="M1769" t="s" s="10">
        <v>88</v>
      </c>
      <c r="N1769" s="17">
        <v>44</v>
      </c>
      <c r="O1769" s="18">
        <v>850</v>
      </c>
      <c r="P1769" s="18">
        <v>905</v>
      </c>
      <c r="Q1769" t="s" s="16">
        <f>HYPERLINK("http://secrets.rutgers.edu:8080/data/asl-ftp/asllvd/demos/verify_start_end_handshape_annotations//test_auto_move//signs_mov/15773.mov","MOV")</f>
        <v>21</v>
      </c>
      <c r="R1769" t="s" s="16">
        <f>HYPERLINK("http://secrets.rutgers.edu:8080/data/asl-ftp/asllvd/demos/verify_start_end_handshape_annotations//test_auto_move//signs_mov_separ_signers/Liz_15773.mov","MOV")</f>
        <v>21</v>
      </c>
    </row>
    <row r="1770" s="2" customFormat="1" ht="13.5" customHeight="1">
      <c r="B1770" s="13"/>
      <c r="C1770" t="s" s="9">
        <v>30</v>
      </c>
      <c r="D1770" t="s" s="8">
        <v>628</v>
      </c>
      <c r="E1770" t="s" s="9">
        <v>628</v>
      </c>
      <c r="F1770" t="s" s="10">
        <v>220</v>
      </c>
      <c r="G1770" s="14"/>
      <c r="H1770" t="s" s="10">
        <v>220</v>
      </c>
      <c r="I1770" s="14"/>
      <c r="J1770" t="s" s="11">
        <v>20</v>
      </c>
      <c r="K1770" s="15"/>
      <c r="L1770" t="s" s="16">
        <f>HYPERLINK("http://csr.bu.edu/ftp/asl/asllvd/demos/verify_start_end_handshape_annotations//test_auto_move//signs_mov_separ_signers/Brady_15773.mov","MOV")</f>
        <v>21</v>
      </c>
      <c r="M1770" t="s" s="10">
        <v>40</v>
      </c>
      <c r="N1770" s="17">
        <v>38</v>
      </c>
      <c r="O1770" s="18">
        <v>759</v>
      </c>
      <c r="P1770" s="18">
        <v>782</v>
      </c>
      <c r="Q1770" s="15"/>
      <c r="R1770" t="s" s="16">
        <f>HYPERLINK("http://secrets.rutgers.edu:8080/data/asl-ftp/asllvd/demos/verify_start_end_handshape_annotations//test_auto_move//signs_mov_separ_signers/Brady_15773.mov","MOV")</f>
        <v>21</v>
      </c>
    </row>
    <row r="1771" s="2" customFormat="1" ht="13.5" customHeight="1">
      <c r="B1771" t="s" s="8">
        <v>629</v>
      </c>
      <c r="C1771" t="s" s="9">
        <v>14</v>
      </c>
      <c r="D1771" t="s" s="8">
        <v>14</v>
      </c>
      <c r="E1771" t="s" s="9">
        <v>14</v>
      </c>
      <c r="F1771" t="s" s="10">
        <v>14</v>
      </c>
      <c r="G1771" t="s" s="11">
        <v>14</v>
      </c>
      <c r="H1771" t="s" s="10">
        <v>14</v>
      </c>
      <c r="I1771" t="s" s="11">
        <v>14</v>
      </c>
      <c r="J1771" t="s" s="11">
        <v>14</v>
      </c>
      <c r="K1771" t="s" s="12">
        <v>14</v>
      </c>
      <c r="L1771" t="s" s="12">
        <v>14</v>
      </c>
      <c r="M1771" t="s" s="10">
        <v>14</v>
      </c>
      <c r="N1771" t="s" s="11">
        <v>14</v>
      </c>
      <c r="O1771" t="s" s="8">
        <v>14</v>
      </c>
      <c r="P1771" t="s" s="8">
        <v>14</v>
      </c>
      <c r="Q1771" t="s" s="12">
        <v>14</v>
      </c>
      <c r="R1771" t="s" s="12">
        <v>14</v>
      </c>
    </row>
    <row r="1772" s="2" customFormat="1" ht="13.5" customHeight="1">
      <c r="B1772" s="13"/>
      <c r="C1772" t="s" s="9">
        <v>16</v>
      </c>
      <c r="D1772" t="s" s="8">
        <v>629</v>
      </c>
      <c r="E1772" t="s" s="9">
        <v>629</v>
      </c>
      <c r="F1772" t="s" s="10">
        <v>337</v>
      </c>
      <c r="G1772" s="14"/>
      <c r="H1772" t="s" s="10">
        <v>337</v>
      </c>
      <c r="I1772" s="14"/>
      <c r="J1772" t="s" s="11">
        <v>20</v>
      </c>
      <c r="K1772" s="15"/>
      <c r="L1772" t="s" s="16">
        <f>HYPERLINK("http://csr.bu.edu/ftp/asl/asllvd/demos/verify_start_end_handshape_annotations//test_auto_move//signs_mov_separ_signers/Liz_16105.mov","MOV")</f>
        <v>21</v>
      </c>
      <c r="M1772" t="s" s="10">
        <v>22</v>
      </c>
      <c r="N1772" s="17">
        <v>47</v>
      </c>
      <c r="O1772" s="18">
        <v>436</v>
      </c>
      <c r="P1772" s="18">
        <v>470</v>
      </c>
      <c r="Q1772" s="15"/>
      <c r="R1772" t="s" s="16">
        <f>HYPERLINK("http://secrets.rutgers.edu:8080/data/asl-ftp/asllvd/demos/verify_start_end_handshape_annotations//test_auto_move//signs_mov_separ_signers/Liz_16105.mov","MOV")</f>
        <v>21</v>
      </c>
    </row>
    <row r="1773" s="2" customFormat="1" ht="13.5" customHeight="1">
      <c r="B1773" s="13"/>
      <c r="C1773" t="s" s="9">
        <v>23</v>
      </c>
      <c r="D1773" t="s" s="8">
        <v>629</v>
      </c>
      <c r="E1773" t="s" s="9">
        <v>629</v>
      </c>
      <c r="F1773" t="s" s="10">
        <v>337</v>
      </c>
      <c r="G1773" s="14"/>
      <c r="H1773" t="s" s="10">
        <v>337</v>
      </c>
      <c r="I1773" s="14"/>
      <c r="J1773" t="s" s="11">
        <v>20</v>
      </c>
      <c r="K1773" t="s" s="16">
        <f>HYPERLINK("http://csr.bu.edu/ftp/asl/asllvd/demos/verify_start_end_handshape_annotations//test_auto_move//signs_mov/16105.mov","MOV")</f>
        <v>21</v>
      </c>
      <c r="L1773" t="s" s="16">
        <f>HYPERLINK("http://csr.bu.edu/ftp/asl/asllvd/demos/verify_start_end_handshape_annotations//test_auto_move//signs_mov_separ_signers/Tyler_16105.mov","MOV")</f>
        <v>21</v>
      </c>
      <c r="M1773" t="s" s="10">
        <v>26</v>
      </c>
      <c r="N1773" s="17">
        <v>29</v>
      </c>
      <c r="O1773" s="18">
        <v>1217</v>
      </c>
      <c r="P1773" s="18">
        <v>1237</v>
      </c>
      <c r="Q1773" t="s" s="16">
        <f>HYPERLINK("http://secrets.rutgers.edu:8080/data/asl-ftp/asllvd/demos/verify_start_end_handshape_annotations//test_auto_move//signs_mov/16105.mov","MOV")</f>
        <v>21</v>
      </c>
      <c r="R1773" t="s" s="16">
        <f>HYPERLINK("http://secrets.rutgers.edu:8080/data/asl-ftp/asllvd/demos/verify_start_end_handshape_annotations//test_auto_move//signs_mov_separ_signers/Tyler_16105.mov","MOV")</f>
        <v>21</v>
      </c>
    </row>
    <row r="1774" s="2" customFormat="1" ht="13.5" customHeight="1">
      <c r="B1774" s="13"/>
      <c r="C1774" t="s" s="9">
        <v>27</v>
      </c>
      <c r="D1774" t="s" s="8">
        <v>629</v>
      </c>
      <c r="E1774" t="s" s="9">
        <v>629</v>
      </c>
      <c r="F1774" t="s" s="10">
        <v>337</v>
      </c>
      <c r="G1774" s="14"/>
      <c r="H1774" t="s" s="10">
        <v>337</v>
      </c>
      <c r="I1774" s="14"/>
      <c r="J1774" t="s" s="11">
        <v>20</v>
      </c>
      <c r="K1774" s="15"/>
      <c r="L1774" t="s" s="16">
        <f>HYPERLINK("http://csr.bu.edu/ftp/asl/asllvd/demos/verify_start_end_handshape_annotations//test_auto_move//signs_mov_separ_signers/Naomi_16105.mov","MOV")</f>
        <v>21</v>
      </c>
      <c r="M1774" t="s" s="10">
        <v>29</v>
      </c>
      <c r="N1774" s="17">
        <v>30</v>
      </c>
      <c r="O1774" s="18">
        <v>1645</v>
      </c>
      <c r="P1774" s="18">
        <v>1661</v>
      </c>
      <c r="Q1774" s="15"/>
      <c r="R1774" t="s" s="16">
        <f>HYPERLINK("http://secrets.rutgers.edu:8080/data/asl-ftp/asllvd/demos/verify_start_end_handshape_annotations//test_auto_move//signs_mov_separ_signers/Naomi_16105.mov","MOV")</f>
        <v>21</v>
      </c>
    </row>
    <row r="1775" s="2" customFormat="1" ht="13.5" customHeight="1">
      <c r="B1775" s="13"/>
      <c r="C1775" t="s" s="9">
        <v>30</v>
      </c>
      <c r="D1775" t="s" s="8">
        <v>629</v>
      </c>
      <c r="E1775" t="s" s="9">
        <v>629</v>
      </c>
      <c r="F1775" t="s" s="10">
        <v>337</v>
      </c>
      <c r="G1775" s="14"/>
      <c r="H1775" t="s" s="10">
        <v>337</v>
      </c>
      <c r="I1775" s="14"/>
      <c r="J1775" t="s" s="11">
        <v>20</v>
      </c>
      <c r="K1775" s="15"/>
      <c r="L1775" t="s" s="16">
        <f>HYPERLINK("http://csr.bu.edu/ftp/asl/asllvd/demos/verify_start_end_handshape_annotations//test_auto_move//signs_mov_separ_signers/Brady_16105.mov","MOV")</f>
        <v>21</v>
      </c>
      <c r="M1775" t="s" s="10">
        <v>31</v>
      </c>
      <c r="N1775" s="17">
        <v>21</v>
      </c>
      <c r="O1775" s="18">
        <v>17268</v>
      </c>
      <c r="P1775" s="18">
        <v>17281</v>
      </c>
      <c r="Q1775" s="15"/>
      <c r="R1775" t="s" s="16">
        <f>HYPERLINK("http://secrets.rutgers.edu:8080/data/asl-ftp/asllvd/demos/verify_start_end_handshape_annotations//test_auto_move//signs_mov_separ_signers/Brady_16105.mov","MOV")</f>
        <v>21</v>
      </c>
    </row>
    <row r="1776" s="2" customFormat="1" ht="13.5" customHeight="1">
      <c r="B1776" t="s" s="8">
        <v>630</v>
      </c>
      <c r="C1776" t="s" s="9">
        <v>14</v>
      </c>
      <c r="D1776" t="s" s="8">
        <v>14</v>
      </c>
      <c r="E1776" t="s" s="9">
        <v>14</v>
      </c>
      <c r="F1776" t="s" s="10">
        <v>14</v>
      </c>
      <c r="G1776" t="s" s="11">
        <v>14</v>
      </c>
      <c r="H1776" t="s" s="10">
        <v>14</v>
      </c>
      <c r="I1776" t="s" s="11">
        <v>14</v>
      </c>
      <c r="J1776" t="s" s="11">
        <v>14</v>
      </c>
      <c r="K1776" t="s" s="12">
        <v>14</v>
      </c>
      <c r="L1776" t="s" s="12">
        <v>14</v>
      </c>
      <c r="M1776" t="s" s="10">
        <v>14</v>
      </c>
      <c r="N1776" t="s" s="11">
        <v>14</v>
      </c>
      <c r="O1776" t="s" s="8">
        <v>14</v>
      </c>
      <c r="P1776" t="s" s="8">
        <v>14</v>
      </c>
      <c r="Q1776" t="s" s="12">
        <v>14</v>
      </c>
      <c r="R1776" t="s" s="12">
        <v>14</v>
      </c>
    </row>
    <row r="1777" s="2" customFormat="1" ht="13.5" customHeight="1">
      <c r="B1777" s="13"/>
      <c r="C1777" t="s" s="9">
        <v>16</v>
      </c>
      <c r="D1777" t="s" s="8">
        <v>630</v>
      </c>
      <c r="E1777" t="s" s="9">
        <v>630</v>
      </c>
      <c r="F1777" s="19">
        <v>5</v>
      </c>
      <c r="G1777" s="17">
        <v>1</v>
      </c>
      <c r="H1777" t="s" s="10">
        <v>68</v>
      </c>
      <c r="I1777" s="17">
        <v>1</v>
      </c>
      <c r="J1777" t="s" s="11">
        <v>20</v>
      </c>
      <c r="K1777" s="15"/>
      <c r="L1777" t="s" s="16">
        <f>HYPERLINK("http://csr.bu.edu/ftp/asl/asllvd/demos/verify_start_end_handshape_annotations//test_auto_move//signs_mov_separ_signers/Liz_386.mov","MOV")</f>
        <v>21</v>
      </c>
      <c r="M1777" t="s" s="10">
        <v>22</v>
      </c>
      <c r="N1777" s="17">
        <v>65</v>
      </c>
      <c r="O1777" s="18">
        <v>255</v>
      </c>
      <c r="P1777" s="18">
        <v>280</v>
      </c>
      <c r="Q1777" s="15"/>
      <c r="R1777" t="s" s="16">
        <f>HYPERLINK("http://secrets.rutgers.edu:8080/data/asl-ftp/asllvd/demos/verify_start_end_handshape_annotations//test_auto_move//signs_mov_separ_signers/Liz_386.mov","MOV")</f>
        <v>21</v>
      </c>
    </row>
    <row r="1778" s="2" customFormat="1" ht="13.5" customHeight="1">
      <c r="B1778" s="13"/>
      <c r="C1778" t="s" s="9">
        <v>16</v>
      </c>
      <c r="D1778" t="s" s="8">
        <v>630</v>
      </c>
      <c r="E1778" t="s" s="9">
        <v>630</v>
      </c>
      <c r="F1778" s="19">
        <v>5</v>
      </c>
      <c r="G1778" s="17">
        <v>1</v>
      </c>
      <c r="H1778" t="s" s="10">
        <v>68</v>
      </c>
      <c r="I1778" s="17">
        <v>1</v>
      </c>
      <c r="J1778" t="s" s="11">
        <v>20</v>
      </c>
      <c r="K1778" s="15"/>
      <c r="L1778" t="s" s="16">
        <f>HYPERLINK("http://csr.bu.edu/ftp/asl/asllvd/demos/verify_start_end_handshape_annotations//test_auto_move//signs_mov_separ_signers/Liz_3694.mov","MOV")</f>
        <v>21</v>
      </c>
      <c r="M1778" t="s" s="10">
        <v>88</v>
      </c>
      <c r="N1778" s="17">
        <v>14</v>
      </c>
      <c r="O1778" s="18">
        <v>1850</v>
      </c>
      <c r="P1778" s="18">
        <v>1912</v>
      </c>
      <c r="Q1778" s="15"/>
      <c r="R1778" t="s" s="16">
        <f>HYPERLINK("http://secrets.rutgers.edu:8080/data/asl-ftp/asllvd/demos/verify_start_end_handshape_annotations//test_auto_move//signs_mov_separ_signers/Liz_3694.mov","MOV")</f>
        <v>21</v>
      </c>
    </row>
    <row r="1779" s="2" customFormat="1" ht="13.5" customHeight="1">
      <c r="B1779" s="13"/>
      <c r="C1779" t="s" s="9">
        <v>23</v>
      </c>
      <c r="D1779" t="s" s="8">
        <v>630</v>
      </c>
      <c r="E1779" t="s" s="9">
        <v>630</v>
      </c>
      <c r="F1779" s="19">
        <v>5</v>
      </c>
      <c r="G1779" s="17">
        <v>1</v>
      </c>
      <c r="H1779" t="s" s="10">
        <v>68</v>
      </c>
      <c r="I1779" s="17">
        <v>1</v>
      </c>
      <c r="J1779" t="s" s="11">
        <v>20</v>
      </c>
      <c r="K1779" t="s" s="16">
        <f>HYPERLINK("http://csr.bu.edu/ftp/asl/asllvd/demos/verify_start_end_handshape_annotations//test_auto_move//signs_mov/386_3694_merged.mov","MOV")</f>
        <v>21</v>
      </c>
      <c r="L1779" t="s" s="16">
        <f>HYPERLINK("http://csr.bu.edu/ftp/asl/asllvd/demos/verify_start_end_handshape_annotations//test_auto_move//signs_mov_separ_signers/Tyler_386.mov","MOV")</f>
        <v>21</v>
      </c>
      <c r="M1779" t="s" s="10">
        <v>26</v>
      </c>
      <c r="N1779" s="17">
        <v>40</v>
      </c>
      <c r="O1779" s="18">
        <v>2470</v>
      </c>
      <c r="P1779" s="18">
        <v>2510</v>
      </c>
      <c r="Q1779" t="s" s="16">
        <f>HYPERLINK("http://secrets.rutgers.edu:8080/data/asl-ftp/asllvd/demos/verify_start_end_handshape_annotations//test_auto_move//signs_mov/386_3694_merged.mov","MOV")</f>
        <v>21</v>
      </c>
      <c r="R1779" t="s" s="16">
        <f>HYPERLINK("http://secrets.rutgers.edu:8080/data/asl-ftp/asllvd/demos/verify_start_end_handshape_annotations//test_auto_move//signs_mov_separ_signers/Tyler_386.mov","MOV")</f>
        <v>21</v>
      </c>
    </row>
    <row r="1780" s="2" customFormat="1" ht="13.5" customHeight="1">
      <c r="B1780" s="13"/>
      <c r="C1780" t="s" s="9">
        <v>23</v>
      </c>
      <c r="D1780" t="s" s="8">
        <v>630</v>
      </c>
      <c r="E1780" t="s" s="9">
        <v>630</v>
      </c>
      <c r="F1780" s="19">
        <v>5</v>
      </c>
      <c r="G1780" s="17">
        <v>1</v>
      </c>
      <c r="H1780" t="s" s="10">
        <v>68</v>
      </c>
      <c r="I1780" s="17">
        <v>1</v>
      </c>
      <c r="J1780" t="s" s="11">
        <v>20</v>
      </c>
      <c r="K1780" s="15"/>
      <c r="L1780" t="s" s="16">
        <f>HYPERLINK("http://csr.bu.edu/ftp/asl/asllvd/demos/verify_start_end_handshape_annotations//test_auto_move//signs_mov_separ_signers/Tyler_3694.mov","MOV")</f>
        <v>21</v>
      </c>
      <c r="M1780" t="s" s="10">
        <v>47</v>
      </c>
      <c r="N1780" s="17">
        <v>22</v>
      </c>
      <c r="O1780" s="18">
        <v>1332</v>
      </c>
      <c r="P1780" s="18">
        <v>1371</v>
      </c>
      <c r="Q1780" s="15"/>
      <c r="R1780" t="s" s="16">
        <f>HYPERLINK("http://secrets.rutgers.edu:8080/data/asl-ftp/asllvd/demos/verify_start_end_handshape_annotations//test_auto_move//signs_mov_separ_signers/Tyler_3694.mov","MOV")</f>
        <v>21</v>
      </c>
    </row>
    <row r="1781" s="2" customFormat="1" ht="13.5" customHeight="1">
      <c r="B1781" s="13"/>
      <c r="C1781" t="s" s="9">
        <v>27</v>
      </c>
      <c r="D1781" t="s" s="8">
        <v>630</v>
      </c>
      <c r="E1781" t="s" s="9">
        <v>630</v>
      </c>
      <c r="F1781" t="s" s="10">
        <v>72</v>
      </c>
      <c r="G1781" s="17">
        <v>1</v>
      </c>
      <c r="H1781" t="s" s="10">
        <v>68</v>
      </c>
      <c r="I1781" s="17">
        <v>1</v>
      </c>
      <c r="J1781" t="s" s="11">
        <v>20</v>
      </c>
      <c r="K1781" s="15"/>
      <c r="L1781" t="s" s="16">
        <f>HYPERLINK("http://csr.bu.edu/ftp/asl/asllvd/demos/verify_start_end_handshape_annotations//test_auto_move//signs_mov_separ_signers/Naomi_386.mov","MOV")</f>
        <v>21</v>
      </c>
      <c r="M1781" t="s" s="10">
        <v>29</v>
      </c>
      <c r="N1781" s="17">
        <v>41</v>
      </c>
      <c r="O1781" s="18">
        <v>3015</v>
      </c>
      <c r="P1781" s="18">
        <v>3042</v>
      </c>
      <c r="Q1781" s="15"/>
      <c r="R1781" t="s" s="16">
        <f>HYPERLINK("http://secrets.rutgers.edu:8080/data/asl-ftp/asllvd/demos/verify_start_end_handshape_annotations//test_auto_move//signs_mov_separ_signers/Naomi_386.mov","MOV")</f>
        <v>21</v>
      </c>
    </row>
    <row r="1782" s="2" customFormat="1" ht="13.5" customHeight="1">
      <c r="B1782" s="13"/>
      <c r="C1782" t="s" s="9">
        <v>30</v>
      </c>
      <c r="D1782" t="s" s="8">
        <v>630</v>
      </c>
      <c r="E1782" t="s" s="9">
        <v>630</v>
      </c>
      <c r="F1782" t="s" s="10">
        <v>72</v>
      </c>
      <c r="G1782" s="17">
        <v>1</v>
      </c>
      <c r="H1782" t="s" s="10">
        <v>68</v>
      </c>
      <c r="I1782" s="17">
        <v>1</v>
      </c>
      <c r="J1782" t="s" s="11">
        <v>20</v>
      </c>
      <c r="K1782" s="15"/>
      <c r="L1782" t="s" s="16">
        <f>HYPERLINK("http://csr.bu.edu/ftp/asl/asllvd/demos/verify_start_end_handshape_annotations//test_auto_move//signs_mov_separ_signers/Brady_386.mov","MOV")</f>
        <v>21</v>
      </c>
      <c r="M1782" t="s" s="10">
        <v>31</v>
      </c>
      <c r="N1782" s="17">
        <v>25</v>
      </c>
      <c r="O1782" s="18">
        <v>13124</v>
      </c>
      <c r="P1782" s="18">
        <v>13151</v>
      </c>
      <c r="Q1782" s="15"/>
      <c r="R1782" t="s" s="16">
        <f>HYPERLINK("http://secrets.rutgers.edu:8080/data/asl-ftp/asllvd/demos/verify_start_end_handshape_annotations//test_auto_move//signs_mov_separ_signers/Brady_386.mov","MOV")</f>
        <v>21</v>
      </c>
    </row>
    <row r="1783" s="2" customFormat="1" ht="13.5" customHeight="1">
      <c r="B1783" t="s" s="8">
        <v>52</v>
      </c>
      <c r="C1783" t="s" s="9">
        <v>53</v>
      </c>
      <c r="D1783" t="s" s="8">
        <v>53</v>
      </c>
      <c r="E1783" t="s" s="9">
        <v>53</v>
      </c>
      <c r="F1783" t="s" s="10">
        <v>53</v>
      </c>
      <c r="G1783" t="s" s="11">
        <v>53</v>
      </c>
      <c r="H1783" t="s" s="10">
        <v>53</v>
      </c>
      <c r="I1783" t="s" s="11">
        <v>53</v>
      </c>
      <c r="J1783" t="s" s="11">
        <v>53</v>
      </c>
      <c r="K1783" t="s" s="12">
        <v>53</v>
      </c>
      <c r="L1783" t="s" s="12">
        <v>53</v>
      </c>
      <c r="M1783" t="s" s="10">
        <v>53</v>
      </c>
      <c r="N1783" t="s" s="11">
        <v>53</v>
      </c>
      <c r="O1783" t="s" s="8">
        <v>53</v>
      </c>
      <c r="P1783" t="s" s="8">
        <v>53</v>
      </c>
      <c r="Q1783" t="s" s="12">
        <v>53</v>
      </c>
      <c r="R1783" t="s" s="12">
        <v>53</v>
      </c>
    </row>
    <row r="1784" s="2" customFormat="1" ht="13.5" customHeight="1">
      <c r="B1784" s="13"/>
      <c r="C1784" t="s" s="9">
        <v>16</v>
      </c>
      <c r="D1784" t="s" s="8">
        <v>630</v>
      </c>
      <c r="E1784" t="s" s="9">
        <v>631</v>
      </c>
      <c r="F1784" t="s" s="10">
        <v>229</v>
      </c>
      <c r="G1784" s="17">
        <v>1</v>
      </c>
      <c r="H1784" t="s" s="10">
        <v>230</v>
      </c>
      <c r="I1784" s="17">
        <v>1</v>
      </c>
      <c r="J1784" t="s" s="11">
        <v>20</v>
      </c>
      <c r="K1784" t="s" s="16">
        <f>HYPERLINK("http://csr.bu.edu/ftp/asl/asllvd/demos/verify_start_end_handshape_annotations//test_auto_move//signs_mov/5906.mov","MOV")</f>
        <v>21</v>
      </c>
      <c r="L1784" t="s" s="16">
        <f>HYPERLINK("http://csr.bu.edu/ftp/asl/asllvd/demos/verify_start_end_handshape_annotations//test_auto_move//signs_mov_separ_signers/Liz_5906.mov","MOV")</f>
        <v>21</v>
      </c>
      <c r="M1784" t="s" s="10">
        <v>77</v>
      </c>
      <c r="N1784" s="17">
        <v>5</v>
      </c>
      <c r="O1784" s="18">
        <v>709</v>
      </c>
      <c r="P1784" s="18">
        <v>742</v>
      </c>
      <c r="Q1784" t="s" s="16">
        <f>HYPERLINK("http://secrets.rutgers.edu:8080/data/asl-ftp/asllvd/demos/verify_start_end_handshape_annotations//test_auto_move//signs_mov/5906.mov","MOV")</f>
        <v>21</v>
      </c>
      <c r="R1784" t="s" s="16">
        <f>HYPERLINK("http://secrets.rutgers.edu:8080/data/asl-ftp/asllvd/demos/verify_start_end_handshape_annotations//test_auto_move//signs_mov_separ_signers/Liz_5906.mov","MOV")</f>
        <v>21</v>
      </c>
    </row>
    <row r="1785" s="2" customFormat="1" ht="13.5" customHeight="1">
      <c r="B1785" t="s" s="8">
        <v>632</v>
      </c>
      <c r="C1785" t="s" s="9">
        <v>14</v>
      </c>
      <c r="D1785" t="s" s="8">
        <v>14</v>
      </c>
      <c r="E1785" t="s" s="9">
        <v>14</v>
      </c>
      <c r="F1785" t="s" s="10">
        <v>14</v>
      </c>
      <c r="G1785" t="s" s="11">
        <v>14</v>
      </c>
      <c r="H1785" t="s" s="10">
        <v>14</v>
      </c>
      <c r="I1785" t="s" s="11">
        <v>14</v>
      </c>
      <c r="J1785" t="s" s="11">
        <v>14</v>
      </c>
      <c r="K1785" t="s" s="12">
        <v>14</v>
      </c>
      <c r="L1785" t="s" s="12">
        <v>14</v>
      </c>
      <c r="M1785" t="s" s="10">
        <v>14</v>
      </c>
      <c r="N1785" t="s" s="11">
        <v>14</v>
      </c>
      <c r="O1785" t="s" s="8">
        <v>14</v>
      </c>
      <c r="P1785" t="s" s="8">
        <v>14</v>
      </c>
      <c r="Q1785" t="s" s="12">
        <v>14</v>
      </c>
      <c r="R1785" t="s" s="12">
        <v>14</v>
      </c>
    </row>
    <row r="1786" s="2" customFormat="1" ht="13.5" customHeight="1">
      <c r="B1786" s="13"/>
      <c r="C1786" t="s" s="9">
        <v>16</v>
      </c>
      <c r="D1786" t="s" s="8">
        <v>632</v>
      </c>
      <c r="E1786" t="s" s="9">
        <v>633</v>
      </c>
      <c r="F1786" t="s" s="10">
        <v>68</v>
      </c>
      <c r="G1786" t="s" s="11">
        <v>68</v>
      </c>
      <c r="H1786" t="s" s="10">
        <v>68</v>
      </c>
      <c r="I1786" t="s" s="11">
        <v>68</v>
      </c>
      <c r="J1786" t="s" s="11">
        <v>20</v>
      </c>
      <c r="K1786" s="15"/>
      <c r="L1786" t="s" s="16">
        <f>HYPERLINK("http://csr.bu.edu/ftp/asl/asllvd/demos/verify_start_end_handshape_annotations//test_auto_move//signs_mov_separ_signers/Liz_388.mov","MOV")</f>
        <v>21</v>
      </c>
      <c r="M1786" t="s" s="10">
        <v>22</v>
      </c>
      <c r="N1786" s="17">
        <v>65</v>
      </c>
      <c r="O1786" s="18">
        <v>815</v>
      </c>
      <c r="P1786" s="18">
        <v>876</v>
      </c>
      <c r="Q1786" s="15"/>
      <c r="R1786" t="s" s="16">
        <f>HYPERLINK("http://secrets.rutgers.edu:8080/data/asl-ftp/asllvd/demos/verify_start_end_handshape_annotations//test_auto_move//signs_mov_separ_signers/Liz_388.mov","MOV")</f>
        <v>21</v>
      </c>
    </row>
    <row r="1787" s="2" customFormat="1" ht="13.5" customHeight="1">
      <c r="B1787" s="13"/>
      <c r="C1787" t="s" s="9">
        <v>16</v>
      </c>
      <c r="D1787" t="s" s="8">
        <v>632</v>
      </c>
      <c r="E1787" t="s" s="9">
        <v>633</v>
      </c>
      <c r="F1787" t="s" s="10">
        <v>68</v>
      </c>
      <c r="G1787" t="s" s="11">
        <v>68</v>
      </c>
      <c r="H1787" t="s" s="10">
        <v>68</v>
      </c>
      <c r="I1787" t="s" s="11">
        <v>68</v>
      </c>
      <c r="J1787" t="s" s="11">
        <v>20</v>
      </c>
      <c r="K1787" s="15"/>
      <c r="L1787" t="s" s="16">
        <f>HYPERLINK("http://csr.bu.edu/ftp/asl/asllvd/demos/verify_start_end_handshape_annotations//test_auto_move//signs_mov_separ_signers/Liz_3472.mov","MOV")</f>
        <v>21</v>
      </c>
      <c r="M1787" t="s" s="10">
        <v>84</v>
      </c>
      <c r="N1787" s="17">
        <v>24</v>
      </c>
      <c r="O1787" s="18">
        <v>3355</v>
      </c>
      <c r="P1787" s="18">
        <v>3420</v>
      </c>
      <c r="Q1787" s="15"/>
      <c r="R1787" t="s" s="16">
        <f>HYPERLINK("http://secrets.rutgers.edu:8080/data/asl-ftp/asllvd/demos/verify_start_end_handshape_annotations//test_auto_move//signs_mov_separ_signers/Liz_3472.mov","MOV")</f>
        <v>21</v>
      </c>
    </row>
    <row r="1788" s="2" customFormat="1" ht="13.5" customHeight="1">
      <c r="B1788" s="13"/>
      <c r="C1788" t="s" s="9">
        <v>23</v>
      </c>
      <c r="D1788" t="s" s="8">
        <v>632</v>
      </c>
      <c r="E1788" t="s" s="9">
        <v>633</v>
      </c>
      <c r="F1788" t="s" s="10">
        <v>68</v>
      </c>
      <c r="G1788" t="s" s="11">
        <v>68</v>
      </c>
      <c r="H1788" t="s" s="10">
        <v>68</v>
      </c>
      <c r="I1788" t="s" s="11">
        <v>68</v>
      </c>
      <c r="J1788" t="s" s="11">
        <v>20</v>
      </c>
      <c r="K1788" s="15"/>
      <c r="L1788" t="s" s="16">
        <f>HYPERLINK("http://csr.bu.edu/ftp/asl/asllvd/demos/verify_start_end_handshape_annotations//test_auto_move//signs_mov_separ_signers/Tyler_388.mov","MOV")</f>
        <v>21</v>
      </c>
      <c r="M1788" t="s" s="10">
        <v>26</v>
      </c>
      <c r="N1788" s="17">
        <v>40</v>
      </c>
      <c r="O1788" s="18">
        <v>3136</v>
      </c>
      <c r="P1788" s="18">
        <v>3172</v>
      </c>
      <c r="Q1788" s="15"/>
      <c r="R1788" t="s" s="16">
        <f>HYPERLINK("http://secrets.rutgers.edu:8080/data/asl-ftp/asllvd/demos/verify_start_end_handshape_annotations//test_auto_move//signs_mov_separ_signers/Tyler_388.mov","MOV")</f>
        <v>21</v>
      </c>
    </row>
    <row r="1789" s="2" customFormat="1" ht="13.5" customHeight="1">
      <c r="B1789" s="13"/>
      <c r="C1789" t="s" s="9">
        <v>27</v>
      </c>
      <c r="D1789" t="s" s="8">
        <v>632</v>
      </c>
      <c r="E1789" t="s" s="9">
        <v>633</v>
      </c>
      <c r="F1789" t="s" s="10">
        <v>68</v>
      </c>
      <c r="G1789" t="s" s="11">
        <v>68</v>
      </c>
      <c r="H1789" t="s" s="10">
        <v>68</v>
      </c>
      <c r="I1789" t="s" s="11">
        <v>68</v>
      </c>
      <c r="J1789" t="s" s="11">
        <v>20</v>
      </c>
      <c r="K1789" t="s" s="16">
        <f>HYPERLINK("http://csr.bu.edu/ftp/asl/asllvd/demos/verify_start_end_handshape_annotations//test_auto_move//signs_mov/388_3472_merged.mov","MOV")</f>
        <v>21</v>
      </c>
      <c r="L1789" t="s" s="16">
        <f>HYPERLINK("http://csr.bu.edu/ftp/asl/asllvd/demos/verify_start_end_handshape_annotations//test_auto_move//signs_mov_separ_signers/Naomi_388.mov","MOV")</f>
        <v>21</v>
      </c>
      <c r="M1789" t="s" s="10">
        <v>29</v>
      </c>
      <c r="N1789" s="17">
        <v>41</v>
      </c>
      <c r="O1789" s="18">
        <v>3872</v>
      </c>
      <c r="P1789" s="18">
        <v>3937</v>
      </c>
      <c r="Q1789" t="s" s="16">
        <f>HYPERLINK("http://secrets.rutgers.edu:8080/data/asl-ftp/asllvd/demos/verify_start_end_handshape_annotations//test_auto_move//signs_mov/388_3472_merged.mov","MOV")</f>
        <v>21</v>
      </c>
      <c r="R1789" t="s" s="16">
        <f>HYPERLINK("http://secrets.rutgers.edu:8080/data/asl-ftp/asllvd/demos/verify_start_end_handshape_annotations//test_auto_move//signs_mov_separ_signers/Naomi_388.mov","MOV")</f>
        <v>21</v>
      </c>
    </row>
    <row r="1790" s="2" customFormat="1" ht="13.5" customHeight="1">
      <c r="B1790" s="13"/>
      <c r="C1790" t="s" s="9">
        <v>27</v>
      </c>
      <c r="D1790" t="s" s="8">
        <v>632</v>
      </c>
      <c r="E1790" t="s" s="9">
        <v>633</v>
      </c>
      <c r="F1790" t="s" s="10">
        <v>68</v>
      </c>
      <c r="G1790" t="s" s="11">
        <v>68</v>
      </c>
      <c r="H1790" t="s" s="10">
        <v>68</v>
      </c>
      <c r="I1790" t="s" s="11">
        <v>68</v>
      </c>
      <c r="J1790" t="s" s="11">
        <v>20</v>
      </c>
      <c r="K1790" s="15"/>
      <c r="L1790" t="s" s="16">
        <f>HYPERLINK("http://csr.bu.edu/ftp/asl/asllvd/demos/verify_start_end_handshape_annotations//test_auto_move//signs_mov_separ_signers/Naomi_3472.mov","MOV")</f>
        <v>21</v>
      </c>
      <c r="M1790" t="s" s="10">
        <v>86</v>
      </c>
      <c r="N1790" s="17">
        <v>24</v>
      </c>
      <c r="O1790" s="18">
        <v>2066</v>
      </c>
      <c r="P1790" s="18">
        <v>2130</v>
      </c>
      <c r="Q1790" s="15"/>
      <c r="R1790" t="s" s="16">
        <f>HYPERLINK("http://secrets.rutgers.edu:8080/data/asl-ftp/asllvd/demos/verify_start_end_handshape_annotations//test_auto_move//signs_mov_separ_signers/Naomi_3472.mov","MOV")</f>
        <v>21</v>
      </c>
    </row>
    <row r="1791" s="2" customFormat="1" ht="13.5" customHeight="1">
      <c r="B1791" s="13"/>
      <c r="C1791" t="s" s="9">
        <v>30</v>
      </c>
      <c r="D1791" t="s" s="8">
        <v>632</v>
      </c>
      <c r="E1791" t="s" s="9">
        <v>633</v>
      </c>
      <c r="F1791" t="s" s="10">
        <v>68</v>
      </c>
      <c r="G1791" t="s" s="11">
        <v>68</v>
      </c>
      <c r="H1791" t="s" s="10">
        <v>68</v>
      </c>
      <c r="I1791" t="s" s="11">
        <v>68</v>
      </c>
      <c r="J1791" t="s" s="11">
        <v>20</v>
      </c>
      <c r="K1791" s="15"/>
      <c r="L1791" t="s" s="16">
        <f>HYPERLINK("http://csr.bu.edu/ftp/asl/asllvd/demos/verify_start_end_handshape_annotations//test_auto_move//signs_mov_separ_signers/Brady_388.mov","MOV")</f>
        <v>21</v>
      </c>
      <c r="M1791" t="s" s="10">
        <v>31</v>
      </c>
      <c r="N1791" s="17">
        <v>25</v>
      </c>
      <c r="O1791" s="18">
        <v>13380</v>
      </c>
      <c r="P1791" s="18">
        <v>13415</v>
      </c>
      <c r="Q1791" s="15"/>
      <c r="R1791" t="s" s="16">
        <f>HYPERLINK("http://secrets.rutgers.edu:8080/data/asl-ftp/asllvd/demos/verify_start_end_handshape_annotations//test_auto_move//signs_mov_separ_signers/Brady_388.mov","MOV")</f>
        <v>21</v>
      </c>
    </row>
    <row r="1792" s="2" customFormat="1" ht="13.5" customHeight="1">
      <c r="B1792" s="13"/>
      <c r="C1792" t="s" s="9">
        <v>30</v>
      </c>
      <c r="D1792" t="s" s="8">
        <v>632</v>
      </c>
      <c r="E1792" t="s" s="9">
        <v>633</v>
      </c>
      <c r="F1792" t="s" s="10">
        <v>68</v>
      </c>
      <c r="G1792" t="s" s="11">
        <v>68</v>
      </c>
      <c r="H1792" t="s" s="10">
        <v>68</v>
      </c>
      <c r="I1792" t="s" s="11">
        <v>68</v>
      </c>
      <c r="J1792" t="s" s="11">
        <v>20</v>
      </c>
      <c r="K1792" s="15"/>
      <c r="L1792" t="s" s="16">
        <f>HYPERLINK("http://csr.bu.edu/ftp/asl/asllvd/demos/verify_start_end_handshape_annotations//test_auto_move//signs_mov_separ_signers/Brady_3472.mov","MOV")</f>
        <v>21</v>
      </c>
      <c r="M1792" t="s" s="10">
        <v>60</v>
      </c>
      <c r="N1792" s="17">
        <v>42</v>
      </c>
      <c r="O1792" s="18">
        <v>1038</v>
      </c>
      <c r="P1792" s="18">
        <v>1080</v>
      </c>
      <c r="Q1792" s="15"/>
      <c r="R1792" t="s" s="16">
        <f>HYPERLINK("http://secrets.rutgers.edu:8080/data/asl-ftp/asllvd/demos/verify_start_end_handshape_annotations//test_auto_move//signs_mov_separ_signers/Brady_3472.mov","MOV")</f>
        <v>21</v>
      </c>
    </row>
    <row r="1793" s="2" customFormat="1" ht="13.5" customHeight="1">
      <c r="B1793" s="13"/>
      <c r="C1793" t="s" s="9">
        <v>41</v>
      </c>
      <c r="D1793" t="s" s="8">
        <v>632</v>
      </c>
      <c r="E1793" t="s" s="9">
        <v>634</v>
      </c>
      <c r="F1793" t="s" s="10">
        <v>68</v>
      </c>
      <c r="G1793" t="s" s="11">
        <v>68</v>
      </c>
      <c r="H1793" t="s" s="10">
        <v>68</v>
      </c>
      <c r="I1793" t="s" s="11">
        <v>68</v>
      </c>
      <c r="J1793" t="s" s="11">
        <v>20</v>
      </c>
      <c r="K1793" s="15"/>
      <c r="L1793" t="s" s="16">
        <f>HYPERLINK("http://csr.bu.edu/ftp/asl/asllvd/demos/verify_start_end_handshape_annotations//test_auto_move//signs_mov_separ_signers/Lana_388.mov","MOV")</f>
        <v>21</v>
      </c>
      <c r="M1793" t="s" s="10">
        <v>245</v>
      </c>
      <c r="N1793" s="17">
        <v>22</v>
      </c>
      <c r="O1793" s="18">
        <v>839</v>
      </c>
      <c r="P1793" s="18">
        <v>912</v>
      </c>
      <c r="Q1793" s="15"/>
      <c r="R1793" t="s" s="16">
        <f>HYPERLINK("http://secrets.rutgers.edu:8080/data/asl-ftp/asllvd/demos/verify_start_end_handshape_annotations//test_auto_move//signs_mov_separ_signers/Lana_388.mov","MOV")</f>
        <v>21</v>
      </c>
    </row>
    <row r="1794" s="2" customFormat="1" ht="13.5" customHeight="1">
      <c r="B1794" t="s" s="8">
        <v>635</v>
      </c>
      <c r="C1794" t="s" s="9">
        <v>14</v>
      </c>
      <c r="D1794" t="s" s="8">
        <v>14</v>
      </c>
      <c r="E1794" t="s" s="9">
        <v>14</v>
      </c>
      <c r="F1794" t="s" s="10">
        <v>14</v>
      </c>
      <c r="G1794" t="s" s="11">
        <v>14</v>
      </c>
      <c r="H1794" t="s" s="10">
        <v>14</v>
      </c>
      <c r="I1794" t="s" s="11">
        <v>14</v>
      </c>
      <c r="J1794" t="s" s="11">
        <v>14</v>
      </c>
      <c r="K1794" t="s" s="12">
        <v>14</v>
      </c>
      <c r="L1794" t="s" s="12">
        <v>14</v>
      </c>
      <c r="M1794" t="s" s="10">
        <v>14</v>
      </c>
      <c r="N1794" t="s" s="11">
        <v>14</v>
      </c>
      <c r="O1794" t="s" s="8">
        <v>14</v>
      </c>
      <c r="P1794" t="s" s="8">
        <v>14</v>
      </c>
      <c r="Q1794" t="s" s="12">
        <v>14</v>
      </c>
      <c r="R1794" t="s" s="12">
        <v>14</v>
      </c>
    </row>
    <row r="1795" s="2" customFormat="1" ht="13.5" customHeight="1">
      <c r="B1795" s="13"/>
      <c r="C1795" t="s" s="9">
        <v>16</v>
      </c>
      <c r="D1795" t="s" s="8">
        <v>635</v>
      </c>
      <c r="E1795" t="s" s="9">
        <v>635</v>
      </c>
      <c r="F1795" t="s" s="10">
        <v>68</v>
      </c>
      <c r="G1795" t="s" s="11">
        <v>68</v>
      </c>
      <c r="H1795" t="s" s="10">
        <v>68</v>
      </c>
      <c r="I1795" t="s" s="11">
        <v>68</v>
      </c>
      <c r="J1795" t="s" s="11">
        <v>20</v>
      </c>
      <c r="K1795" s="15"/>
      <c r="L1795" t="s" s="16">
        <f>HYPERLINK("http://csr.bu.edu/ftp/asl/asllvd/demos/verify_start_end_handshape_annotations//test_auto_move//signs_mov_separ_signers/Liz_15316.mov","MOV")</f>
        <v>21</v>
      </c>
      <c r="M1795" t="s" s="10">
        <v>84</v>
      </c>
      <c r="N1795" s="17">
        <v>24</v>
      </c>
      <c r="O1795" s="18">
        <v>3610</v>
      </c>
      <c r="P1795" s="18">
        <v>3650</v>
      </c>
      <c r="Q1795" s="15"/>
      <c r="R1795" t="s" s="16">
        <f>HYPERLINK("http://secrets.rutgers.edu:8080/data/asl-ftp/asllvd/demos/verify_start_end_handshape_annotations//test_auto_move//signs_mov_separ_signers/Liz_15316.mov","MOV")</f>
        <v>21</v>
      </c>
    </row>
    <row r="1796" s="2" customFormat="1" ht="13.5" customHeight="1">
      <c r="B1796" s="13"/>
      <c r="C1796" t="s" s="9">
        <v>23</v>
      </c>
      <c r="D1796" t="s" s="8">
        <v>635</v>
      </c>
      <c r="E1796" t="s" s="9">
        <v>635</v>
      </c>
      <c r="F1796" t="s" s="10">
        <v>68</v>
      </c>
      <c r="G1796" t="s" s="11">
        <v>68</v>
      </c>
      <c r="H1796" t="s" s="10">
        <v>68</v>
      </c>
      <c r="I1796" t="s" s="11">
        <v>68</v>
      </c>
      <c r="J1796" t="s" s="11">
        <v>20</v>
      </c>
      <c r="K1796" t="s" s="16">
        <f>HYPERLINK("http://csr.bu.edu/ftp/asl/asllvd/demos/verify_start_end_handshape_annotations//test_auto_move//signs_mov/15316.mov","MOV")</f>
        <v>21</v>
      </c>
      <c r="L1796" t="s" s="16">
        <f>HYPERLINK("http://csr.bu.edu/ftp/asl/asllvd/demos/verify_start_end_handshape_annotations//test_auto_move//signs_mov_separ_signers/Tyler_15316.mov","MOV")</f>
        <v>21</v>
      </c>
      <c r="M1796" t="s" s="10">
        <v>92</v>
      </c>
      <c r="N1796" s="17">
        <v>4</v>
      </c>
      <c r="O1796" s="18">
        <v>3467</v>
      </c>
      <c r="P1796" s="18">
        <v>3495</v>
      </c>
      <c r="Q1796" t="s" s="16">
        <f>HYPERLINK("http://secrets.rutgers.edu:8080/data/asl-ftp/asllvd/demos/verify_start_end_handshape_annotations//test_auto_move//signs_mov/15316.mov","MOV")</f>
        <v>21</v>
      </c>
      <c r="R1796" t="s" s="16">
        <f>HYPERLINK("http://secrets.rutgers.edu:8080/data/asl-ftp/asllvd/demos/verify_start_end_handshape_annotations//test_auto_move//signs_mov_separ_signers/Tyler_15316.mov","MOV")</f>
        <v>21</v>
      </c>
    </row>
    <row r="1797" s="2" customFormat="1" ht="13.5" customHeight="1">
      <c r="B1797" s="13"/>
      <c r="C1797" t="s" s="9">
        <v>27</v>
      </c>
      <c r="D1797" t="s" s="8">
        <v>635</v>
      </c>
      <c r="E1797" t="s" s="9">
        <v>635</v>
      </c>
      <c r="F1797" t="s" s="10">
        <v>68</v>
      </c>
      <c r="G1797" t="s" s="11">
        <v>68</v>
      </c>
      <c r="H1797" t="s" s="10">
        <v>68</v>
      </c>
      <c r="I1797" t="s" s="11">
        <v>68</v>
      </c>
      <c r="J1797" t="s" s="11">
        <v>20</v>
      </c>
      <c r="K1797" s="15"/>
      <c r="L1797" t="s" s="16">
        <f>HYPERLINK("http://csr.bu.edu/ftp/asl/asllvd/demos/verify_start_end_handshape_annotations//test_auto_move//signs_mov_separ_signers/Naomi_15316.mov","MOV")</f>
        <v>21</v>
      </c>
      <c r="M1797" t="s" s="10">
        <v>86</v>
      </c>
      <c r="N1797" s="17">
        <v>24</v>
      </c>
      <c r="O1797" s="18">
        <v>2465</v>
      </c>
      <c r="P1797" s="18">
        <v>2500</v>
      </c>
      <c r="Q1797" s="15"/>
      <c r="R1797" t="s" s="16">
        <f>HYPERLINK("http://secrets.rutgers.edu:8080/data/asl-ftp/asllvd/demos/verify_start_end_handshape_annotations//test_auto_move//signs_mov_separ_signers/Naomi_15316.mov","MOV")</f>
        <v>21</v>
      </c>
    </row>
    <row r="1798" s="2" customFormat="1" ht="13.5" customHeight="1">
      <c r="B1798" s="13"/>
      <c r="C1798" t="s" s="9">
        <v>30</v>
      </c>
      <c r="D1798" t="s" s="8">
        <v>635</v>
      </c>
      <c r="E1798" t="s" s="9">
        <v>635</v>
      </c>
      <c r="F1798" t="s" s="10">
        <v>68</v>
      </c>
      <c r="G1798" t="s" s="11">
        <v>68</v>
      </c>
      <c r="H1798" t="s" s="10">
        <v>68</v>
      </c>
      <c r="I1798" t="s" s="11">
        <v>68</v>
      </c>
      <c r="J1798" t="s" s="11">
        <v>20</v>
      </c>
      <c r="K1798" s="15"/>
      <c r="L1798" t="s" s="16">
        <f>HYPERLINK("http://csr.bu.edu/ftp/asl/asllvd/demos/verify_start_end_handshape_annotations//test_auto_move//signs_mov_separ_signers/Brady_15316.mov","MOV")</f>
        <v>21</v>
      </c>
      <c r="M1798" t="s" s="10">
        <v>39</v>
      </c>
      <c r="N1798" s="17">
        <v>7</v>
      </c>
      <c r="O1798" s="18">
        <v>4487</v>
      </c>
      <c r="P1798" s="18">
        <v>4504</v>
      </c>
      <c r="Q1798" s="15"/>
      <c r="R1798" t="s" s="16">
        <f>HYPERLINK("http://secrets.rutgers.edu:8080/data/asl-ftp/asllvd/demos/verify_start_end_handshape_annotations//test_auto_move//signs_mov_separ_signers/Brady_15316.mov","MOV")</f>
        <v>21</v>
      </c>
    </row>
    <row r="1799" s="2" customFormat="1" ht="13.5" customHeight="1">
      <c r="B1799" t="s" s="8">
        <v>52</v>
      </c>
      <c r="C1799" t="s" s="9">
        <v>53</v>
      </c>
      <c r="D1799" t="s" s="8">
        <v>53</v>
      </c>
      <c r="E1799" t="s" s="9">
        <v>53</v>
      </c>
      <c r="F1799" t="s" s="10">
        <v>53</v>
      </c>
      <c r="G1799" t="s" s="11">
        <v>53</v>
      </c>
      <c r="H1799" t="s" s="10">
        <v>53</v>
      </c>
      <c r="I1799" t="s" s="11">
        <v>53</v>
      </c>
      <c r="J1799" t="s" s="11">
        <v>53</v>
      </c>
      <c r="K1799" t="s" s="12">
        <v>53</v>
      </c>
      <c r="L1799" t="s" s="12">
        <v>53</v>
      </c>
      <c r="M1799" t="s" s="10">
        <v>53</v>
      </c>
      <c r="N1799" t="s" s="11">
        <v>53</v>
      </c>
      <c r="O1799" t="s" s="8">
        <v>53</v>
      </c>
      <c r="P1799" t="s" s="8">
        <v>53</v>
      </c>
      <c r="Q1799" t="s" s="12">
        <v>53</v>
      </c>
      <c r="R1799" t="s" s="12">
        <v>53</v>
      </c>
    </row>
    <row r="1800" s="2" customFormat="1" ht="13.5" customHeight="1">
      <c r="B1800" s="13"/>
      <c r="C1800" t="s" s="9">
        <v>23</v>
      </c>
      <c r="D1800" t="s" s="8">
        <v>635</v>
      </c>
      <c r="E1800" t="s" s="9">
        <v>636</v>
      </c>
      <c r="F1800" t="s" s="10">
        <v>68</v>
      </c>
      <c r="G1800" t="s" s="11">
        <v>68</v>
      </c>
      <c r="H1800" t="s" s="10">
        <v>68</v>
      </c>
      <c r="I1800" t="s" s="11">
        <v>68</v>
      </c>
      <c r="J1800" t="s" s="11">
        <v>20</v>
      </c>
      <c r="K1800" t="s" s="16">
        <f>HYPERLINK("http://csr.bu.edu/ftp/asl/asllvd/demos/verify_start_end_handshape_annotations//test_auto_move//signs_mov/15338.mov","MOV")</f>
        <v>21</v>
      </c>
      <c r="L1800" t="s" s="16">
        <f>HYPERLINK("http://csr.bu.edu/ftp/asl/asllvd/demos/verify_start_end_handshape_annotations//test_auto_move//signs_mov_separ_signers/Tyler_15338.mov","MOV")</f>
        <v>21</v>
      </c>
      <c r="M1800" t="s" s="10">
        <v>92</v>
      </c>
      <c r="N1800" s="17">
        <v>4</v>
      </c>
      <c r="O1800" s="18">
        <v>2762</v>
      </c>
      <c r="P1800" s="18">
        <v>2807</v>
      </c>
      <c r="Q1800" t="s" s="16">
        <f>HYPERLINK("http://secrets.rutgers.edu:8080/data/asl-ftp/asllvd/demos/verify_start_end_handshape_annotations//test_auto_move//signs_mov/15338.mov","MOV")</f>
        <v>21</v>
      </c>
      <c r="R1800" t="s" s="16">
        <f>HYPERLINK("http://secrets.rutgers.edu:8080/data/asl-ftp/asllvd/demos/verify_start_end_handshape_annotations//test_auto_move//signs_mov_separ_signers/Tyler_15338.mov","MOV")</f>
        <v>21</v>
      </c>
    </row>
    <row r="1801" s="2" customFormat="1" ht="13.5" customHeight="1">
      <c r="B1801" t="s" s="8">
        <v>637</v>
      </c>
      <c r="C1801" t="s" s="9">
        <v>14</v>
      </c>
      <c r="D1801" t="s" s="8">
        <v>14</v>
      </c>
      <c r="E1801" t="s" s="9">
        <v>14</v>
      </c>
      <c r="F1801" t="s" s="10">
        <v>14</v>
      </c>
      <c r="G1801" t="s" s="11">
        <v>14</v>
      </c>
      <c r="H1801" t="s" s="10">
        <v>14</v>
      </c>
      <c r="I1801" t="s" s="11">
        <v>14</v>
      </c>
      <c r="J1801" t="s" s="11">
        <v>14</v>
      </c>
      <c r="K1801" t="s" s="12">
        <v>14</v>
      </c>
      <c r="L1801" t="s" s="12">
        <v>14</v>
      </c>
      <c r="M1801" t="s" s="10">
        <v>14</v>
      </c>
      <c r="N1801" t="s" s="11">
        <v>14</v>
      </c>
      <c r="O1801" t="s" s="8">
        <v>14</v>
      </c>
      <c r="P1801" t="s" s="8">
        <v>14</v>
      </c>
      <c r="Q1801" t="s" s="12">
        <v>14</v>
      </c>
      <c r="R1801" t="s" s="12">
        <v>14</v>
      </c>
    </row>
    <row r="1802" s="2" customFormat="1" ht="13.5" customHeight="1">
      <c r="B1802" s="13"/>
      <c r="C1802" t="s" s="9">
        <v>27</v>
      </c>
      <c r="D1802" t="s" s="8">
        <v>637</v>
      </c>
      <c r="E1802" t="s" s="9">
        <v>638</v>
      </c>
      <c r="F1802" t="s" s="10">
        <v>240</v>
      </c>
      <c r="G1802" t="s" s="11">
        <v>240</v>
      </c>
      <c r="H1802" t="s" s="10">
        <v>240</v>
      </c>
      <c r="I1802" t="s" s="11">
        <v>240</v>
      </c>
      <c r="J1802" t="s" s="11">
        <v>20</v>
      </c>
      <c r="K1802" t="s" s="16">
        <f>HYPERLINK("http://csr.bu.edu/ftp/asl/asllvd/demos/verify_start_end_handshape_annotations//test_auto_move//signs_mov/389.mov","MOV")</f>
        <v>21</v>
      </c>
      <c r="L1802" t="s" s="16">
        <f>HYPERLINK("http://csr.bu.edu/ftp/asl/asllvd/demos/verify_start_end_handshape_annotations//test_auto_move//signs_mov_separ_signers/Naomi_389.mov","MOV")</f>
        <v>21</v>
      </c>
      <c r="M1802" t="s" s="10">
        <v>29</v>
      </c>
      <c r="N1802" s="17">
        <v>41</v>
      </c>
      <c r="O1802" s="18">
        <v>4208</v>
      </c>
      <c r="P1802" s="18">
        <v>4245</v>
      </c>
      <c r="Q1802" t="s" s="16">
        <f>HYPERLINK("http://secrets.rutgers.edu:8080/data/asl-ftp/asllvd/demos/verify_start_end_handshape_annotations//test_auto_move//signs_mov/389.mov","MOV")</f>
        <v>21</v>
      </c>
      <c r="R1802" t="s" s="16">
        <f>HYPERLINK("http://secrets.rutgers.edu:8080/data/asl-ftp/asllvd/demos/verify_start_end_handshape_annotations//test_auto_move//signs_mov_separ_signers/Naomi_389.mov","MOV")</f>
        <v>21</v>
      </c>
    </row>
    <row r="1803" s="2" customFormat="1" ht="13.5" customHeight="1">
      <c r="B1803" t="s" s="8">
        <v>52</v>
      </c>
      <c r="C1803" t="s" s="9">
        <v>53</v>
      </c>
      <c r="D1803" t="s" s="8">
        <v>53</v>
      </c>
      <c r="E1803" t="s" s="9">
        <v>53</v>
      </c>
      <c r="F1803" t="s" s="10">
        <v>53</v>
      </c>
      <c r="G1803" t="s" s="11">
        <v>53</v>
      </c>
      <c r="H1803" t="s" s="10">
        <v>53</v>
      </c>
      <c r="I1803" t="s" s="11">
        <v>53</v>
      </c>
      <c r="J1803" t="s" s="11">
        <v>53</v>
      </c>
      <c r="K1803" t="s" s="12">
        <v>53</v>
      </c>
      <c r="L1803" t="s" s="12">
        <v>53</v>
      </c>
      <c r="M1803" t="s" s="10">
        <v>53</v>
      </c>
      <c r="N1803" t="s" s="11">
        <v>53</v>
      </c>
      <c r="O1803" t="s" s="8">
        <v>53</v>
      </c>
      <c r="P1803" t="s" s="8">
        <v>53</v>
      </c>
      <c r="Q1803" t="s" s="12">
        <v>53</v>
      </c>
      <c r="R1803" t="s" s="12">
        <v>53</v>
      </c>
    </row>
    <row r="1804" s="2" customFormat="1" ht="13.5" customHeight="1">
      <c r="B1804" s="13"/>
      <c r="C1804" t="s" s="9">
        <v>16</v>
      </c>
      <c r="D1804" t="s" s="8">
        <v>637</v>
      </c>
      <c r="E1804" t="s" s="9">
        <v>639</v>
      </c>
      <c r="F1804" t="s" s="10">
        <v>240</v>
      </c>
      <c r="G1804" s="14"/>
      <c r="H1804" t="s" s="10">
        <v>240</v>
      </c>
      <c r="I1804" s="14"/>
      <c r="J1804" t="s" s="11">
        <v>20</v>
      </c>
      <c r="K1804" t="s" s="16">
        <f>HYPERLINK("http://csr.bu.edu/ftp/asl/asllvd/demos/verify_start_end_handshape_annotations//test_auto_move//signs_mov/5125.mov","MOV")</f>
        <v>21</v>
      </c>
      <c r="L1804" t="s" s="16">
        <f>HYPERLINK("http://csr.bu.edu/ftp/asl/asllvd/demos/verify_start_end_handshape_annotations//test_auto_move//signs_mov_separ_signers/Liz_5125.mov","MOV")</f>
        <v>21</v>
      </c>
      <c r="M1804" t="s" s="10">
        <v>22</v>
      </c>
      <c r="N1804" s="17">
        <v>65</v>
      </c>
      <c r="O1804" s="18">
        <v>1050</v>
      </c>
      <c r="P1804" s="18">
        <v>1090</v>
      </c>
      <c r="Q1804" t="s" s="16">
        <f>HYPERLINK("http://secrets.rutgers.edu:8080/data/asl-ftp/asllvd/demos/verify_start_end_handshape_annotations//test_auto_move//signs_mov/5125.mov","MOV")</f>
        <v>21</v>
      </c>
      <c r="R1804" t="s" s="16">
        <f>HYPERLINK("http://secrets.rutgers.edu:8080/data/asl-ftp/asllvd/demos/verify_start_end_handshape_annotations//test_auto_move//signs_mov_separ_signers/Liz_5125.mov","MOV")</f>
        <v>21</v>
      </c>
    </row>
    <row r="1805" s="2" customFormat="1" ht="13.5" customHeight="1">
      <c r="B1805" t="s" s="8">
        <v>640</v>
      </c>
      <c r="C1805" t="s" s="9">
        <v>14</v>
      </c>
      <c r="D1805" t="s" s="8">
        <v>14</v>
      </c>
      <c r="E1805" t="s" s="9">
        <v>14</v>
      </c>
      <c r="F1805" t="s" s="10">
        <v>14</v>
      </c>
      <c r="G1805" t="s" s="11">
        <v>14</v>
      </c>
      <c r="H1805" t="s" s="10">
        <v>14</v>
      </c>
      <c r="I1805" t="s" s="11">
        <v>14</v>
      </c>
      <c r="J1805" t="s" s="11">
        <v>14</v>
      </c>
      <c r="K1805" t="s" s="12">
        <v>14</v>
      </c>
      <c r="L1805" t="s" s="12">
        <v>14</v>
      </c>
      <c r="M1805" t="s" s="10">
        <v>14</v>
      </c>
      <c r="N1805" t="s" s="11">
        <v>14</v>
      </c>
      <c r="O1805" t="s" s="8">
        <v>14</v>
      </c>
      <c r="P1805" t="s" s="8">
        <v>14</v>
      </c>
      <c r="Q1805" t="s" s="12">
        <v>14</v>
      </c>
      <c r="R1805" t="s" s="12">
        <v>14</v>
      </c>
    </row>
    <row r="1806" s="2" customFormat="1" ht="13.5" customHeight="1">
      <c r="B1806" s="13"/>
      <c r="C1806" t="s" s="9">
        <v>16</v>
      </c>
      <c r="D1806" t="s" s="8">
        <v>640</v>
      </c>
      <c r="E1806" t="s" s="9">
        <v>641</v>
      </c>
      <c r="F1806" t="s" s="10">
        <v>63</v>
      </c>
      <c r="G1806" t="s" s="11">
        <v>260</v>
      </c>
      <c r="H1806" t="s" s="10">
        <v>63</v>
      </c>
      <c r="I1806" t="s" s="11">
        <v>260</v>
      </c>
      <c r="J1806" t="s" s="11">
        <v>20</v>
      </c>
      <c r="K1806" t="s" s="16">
        <f>HYPERLINK("http://csr.bu.edu/ftp/asl/asllvd/demos/verify_start_end_handshape_annotations//test_auto_move//signs_mov/390.mov","MOV")</f>
        <v>21</v>
      </c>
      <c r="L1806" t="s" s="16">
        <f>HYPERLINK("http://csr.bu.edu/ftp/asl/asllvd/demos/verify_start_end_handshape_annotations//test_auto_move//signs_mov_separ_signers/Liz_390.mov","MOV")</f>
        <v>21</v>
      </c>
      <c r="M1806" t="s" s="10">
        <v>22</v>
      </c>
      <c r="N1806" s="17">
        <v>65</v>
      </c>
      <c r="O1806" s="18">
        <v>1265</v>
      </c>
      <c r="P1806" s="18">
        <v>1305</v>
      </c>
      <c r="Q1806" t="s" s="16">
        <f>HYPERLINK("http://secrets.rutgers.edu:8080/data/asl-ftp/asllvd/demos/verify_start_end_handshape_annotations//test_auto_move//signs_mov/390.mov","MOV")</f>
        <v>21</v>
      </c>
      <c r="R1806" t="s" s="16">
        <f>HYPERLINK("http://secrets.rutgers.edu:8080/data/asl-ftp/asllvd/demos/verify_start_end_handshape_annotations//test_auto_move//signs_mov_separ_signers/Liz_390.mov","MOV")</f>
        <v>21</v>
      </c>
    </row>
    <row r="1807" s="2" customFormat="1" ht="13.5" customHeight="1">
      <c r="B1807" s="13"/>
      <c r="C1807" t="s" s="9">
        <v>30</v>
      </c>
      <c r="D1807" t="s" s="8">
        <v>640</v>
      </c>
      <c r="E1807" t="s" s="9">
        <v>641</v>
      </c>
      <c r="F1807" t="s" s="10">
        <v>68</v>
      </c>
      <c r="G1807" t="s" s="11">
        <v>73</v>
      </c>
      <c r="H1807" t="s" s="10">
        <v>68</v>
      </c>
      <c r="I1807" t="s" s="11">
        <v>73</v>
      </c>
      <c r="J1807" t="s" s="11">
        <v>20</v>
      </c>
      <c r="K1807" s="15"/>
      <c r="L1807" t="s" s="16">
        <f>HYPERLINK("http://csr.bu.edu/ftp/asl/asllvd/demos/verify_start_end_handshape_annotations//test_auto_move//signs_mov_separ_signers/Brady_390.mov","MOV")</f>
        <v>21</v>
      </c>
      <c r="M1807" t="s" s="10">
        <v>31</v>
      </c>
      <c r="N1807" s="17">
        <v>25</v>
      </c>
      <c r="O1807" s="18">
        <v>14514</v>
      </c>
      <c r="P1807" s="18">
        <v>14543</v>
      </c>
      <c r="Q1807" s="15"/>
      <c r="R1807" t="s" s="16">
        <f>HYPERLINK("http://secrets.rutgers.edu:8080/data/asl-ftp/asllvd/demos/verify_start_end_handshape_annotations//test_auto_move//signs_mov_separ_signers/Brady_390.mov","MOV")</f>
        <v>21</v>
      </c>
    </row>
    <row r="1808" s="2" customFormat="1" ht="13.5" customHeight="1">
      <c r="B1808" t="s" s="8">
        <v>642</v>
      </c>
      <c r="C1808" t="s" s="9">
        <v>14</v>
      </c>
      <c r="D1808" t="s" s="8">
        <v>14</v>
      </c>
      <c r="E1808" t="s" s="9">
        <v>14</v>
      </c>
      <c r="F1808" t="s" s="10">
        <v>14</v>
      </c>
      <c r="G1808" t="s" s="11">
        <v>14</v>
      </c>
      <c r="H1808" t="s" s="10">
        <v>14</v>
      </c>
      <c r="I1808" t="s" s="11">
        <v>14</v>
      </c>
      <c r="J1808" t="s" s="11">
        <v>14</v>
      </c>
      <c r="K1808" t="s" s="12">
        <v>14</v>
      </c>
      <c r="L1808" t="s" s="12">
        <v>14</v>
      </c>
      <c r="M1808" t="s" s="10">
        <v>14</v>
      </c>
      <c r="N1808" t="s" s="11">
        <v>14</v>
      </c>
      <c r="O1808" t="s" s="8">
        <v>14</v>
      </c>
      <c r="P1808" t="s" s="8">
        <v>14</v>
      </c>
      <c r="Q1808" t="s" s="12">
        <v>14</v>
      </c>
      <c r="R1808" t="s" s="12">
        <v>14</v>
      </c>
    </row>
    <row r="1809" s="2" customFormat="1" ht="13.5" customHeight="1">
      <c r="B1809" s="13"/>
      <c r="C1809" t="s" s="9">
        <v>30</v>
      </c>
      <c r="D1809" t="s" s="8">
        <v>643</v>
      </c>
      <c r="E1809" t="s" s="9">
        <v>643</v>
      </c>
      <c r="F1809" t="s" s="10">
        <v>65</v>
      </c>
      <c r="G1809" t="s" s="11">
        <v>73</v>
      </c>
      <c r="H1809" t="s" s="10">
        <v>73</v>
      </c>
      <c r="I1809" t="s" s="11">
        <v>73</v>
      </c>
      <c r="J1809" t="s" s="11">
        <v>20</v>
      </c>
      <c r="K1809" t="s" s="16">
        <f>HYPERLINK("http://csr.bu.edu/ftp/asl/asllvd/demos/verify_start_end_handshape_annotations//test_auto_move//signs_mov/15319.mov","MOV")</f>
        <v>21</v>
      </c>
      <c r="L1809" t="s" s="16">
        <f>HYPERLINK("http://csr.bu.edu/ftp/asl/asllvd/demos/verify_start_end_handshape_annotations//test_auto_move//signs_mov_separ_signers/Brady_15319.mov","MOV")</f>
        <v>21</v>
      </c>
      <c r="M1809" t="s" s="10">
        <v>39</v>
      </c>
      <c r="N1809" s="17">
        <v>43</v>
      </c>
      <c r="O1809" s="18">
        <v>7360</v>
      </c>
      <c r="P1809" s="18">
        <v>7397</v>
      </c>
      <c r="Q1809" t="s" s="16">
        <f>HYPERLINK("http://secrets.rutgers.edu:8080/data/asl-ftp/asllvd/demos/verify_start_end_handshape_annotations//test_auto_move//signs_mov/15319.mov","MOV")</f>
        <v>21</v>
      </c>
      <c r="R1809" t="s" s="16">
        <f>HYPERLINK("http://secrets.rutgers.edu:8080/data/asl-ftp/asllvd/demos/verify_start_end_handshape_annotations//test_auto_move//signs_mov_separ_signers/Brady_15319.mov","MOV")</f>
        <v>21</v>
      </c>
    </row>
    <row r="1810" s="2" customFormat="1" ht="13.5" customHeight="1">
      <c r="B1810" t="s" s="8">
        <v>644</v>
      </c>
      <c r="C1810" t="s" s="9">
        <v>14</v>
      </c>
      <c r="D1810" t="s" s="8">
        <v>14</v>
      </c>
      <c r="E1810" t="s" s="9">
        <v>14</v>
      </c>
      <c r="F1810" t="s" s="10">
        <v>14</v>
      </c>
      <c r="G1810" t="s" s="11">
        <v>14</v>
      </c>
      <c r="H1810" t="s" s="10">
        <v>14</v>
      </c>
      <c r="I1810" t="s" s="11">
        <v>14</v>
      </c>
      <c r="J1810" t="s" s="11">
        <v>14</v>
      </c>
      <c r="K1810" t="s" s="12">
        <v>14</v>
      </c>
      <c r="L1810" t="s" s="12">
        <v>14</v>
      </c>
      <c r="M1810" t="s" s="10">
        <v>14</v>
      </c>
      <c r="N1810" t="s" s="11">
        <v>14</v>
      </c>
      <c r="O1810" t="s" s="8">
        <v>14</v>
      </c>
      <c r="P1810" t="s" s="8">
        <v>14</v>
      </c>
      <c r="Q1810" t="s" s="12">
        <v>14</v>
      </c>
      <c r="R1810" t="s" s="12">
        <v>14</v>
      </c>
    </row>
    <row r="1811" s="2" customFormat="1" ht="13.5" customHeight="1">
      <c r="B1811" s="13"/>
      <c r="C1811" t="s" s="9">
        <v>27</v>
      </c>
      <c r="D1811" t="s" s="8">
        <v>644</v>
      </c>
      <c r="E1811" t="s" s="9">
        <v>644</v>
      </c>
      <c r="F1811" t="s" s="10">
        <v>68</v>
      </c>
      <c r="G1811" s="14"/>
      <c r="H1811" t="s" s="10">
        <v>68</v>
      </c>
      <c r="I1811" s="14"/>
      <c r="J1811" t="s" s="11">
        <v>20</v>
      </c>
      <c r="K1811" t="s" s="16">
        <f>HYPERLINK("http://csr.bu.edu/ftp/asl/asllvd/demos/verify_start_end_handshape_annotations//test_auto_move//signs_mov/391.mov","MOV")</f>
        <v>21</v>
      </c>
      <c r="L1811" t="s" s="16">
        <f>HYPERLINK("http://csr.bu.edu/ftp/asl/asllvd/demos/verify_start_end_handshape_annotations//test_auto_move//signs_mov_separ_signers/Naomi_391.mov","MOV")</f>
        <v>21</v>
      </c>
      <c r="M1811" t="s" s="10">
        <v>29</v>
      </c>
      <c r="N1811" s="17">
        <v>42</v>
      </c>
      <c r="O1811" s="18">
        <v>341</v>
      </c>
      <c r="P1811" s="18">
        <v>360</v>
      </c>
      <c r="Q1811" t="s" s="16">
        <f>HYPERLINK("http://secrets.rutgers.edu:8080/data/asl-ftp/asllvd/demos/verify_start_end_handshape_annotations//test_auto_move//signs_mov/391.mov","MOV")</f>
        <v>21</v>
      </c>
      <c r="R1811" t="s" s="16">
        <f>HYPERLINK("http://secrets.rutgers.edu:8080/data/asl-ftp/asllvd/demos/verify_start_end_handshape_annotations//test_auto_move//signs_mov_separ_signers/Naomi_391.mov","MOV")</f>
        <v>21</v>
      </c>
    </row>
    <row r="1812" s="2" customFormat="1" ht="13.5" customHeight="1">
      <c r="B1812" s="13"/>
      <c r="C1812" t="s" s="9">
        <v>30</v>
      </c>
      <c r="D1812" t="s" s="8">
        <v>644</v>
      </c>
      <c r="E1812" t="s" s="9">
        <v>644</v>
      </c>
      <c r="F1812" t="s" s="10">
        <v>68</v>
      </c>
      <c r="G1812" s="14"/>
      <c r="H1812" t="s" s="10">
        <v>68</v>
      </c>
      <c r="I1812" s="14"/>
      <c r="J1812" t="s" s="11">
        <v>20</v>
      </c>
      <c r="K1812" s="15"/>
      <c r="L1812" t="s" s="16">
        <f>HYPERLINK("http://csr.bu.edu/ftp/asl/asllvd/demos/verify_start_end_handshape_annotations//test_auto_move//signs_mov_separ_signers/Brady_391.mov","MOV")</f>
        <v>21</v>
      </c>
      <c r="M1812" t="s" s="10">
        <v>31</v>
      </c>
      <c r="N1812" s="17">
        <v>25</v>
      </c>
      <c r="O1812" s="18">
        <v>19455</v>
      </c>
      <c r="P1812" s="18">
        <v>19472</v>
      </c>
      <c r="Q1812" s="15"/>
      <c r="R1812" t="s" s="16">
        <f>HYPERLINK("http://secrets.rutgers.edu:8080/data/asl-ftp/asllvd/demos/verify_start_end_handshape_annotations//test_auto_move//signs_mov_separ_signers/Brady_391.mov","MOV")</f>
        <v>21</v>
      </c>
    </row>
    <row r="1813" s="2" customFormat="1" ht="13.5" customHeight="1">
      <c r="B1813" t="s" s="8">
        <v>52</v>
      </c>
      <c r="C1813" t="s" s="9">
        <v>53</v>
      </c>
      <c r="D1813" t="s" s="8">
        <v>53</v>
      </c>
      <c r="E1813" t="s" s="9">
        <v>53</v>
      </c>
      <c r="F1813" t="s" s="10">
        <v>53</v>
      </c>
      <c r="G1813" t="s" s="11">
        <v>53</v>
      </c>
      <c r="H1813" t="s" s="10">
        <v>53</v>
      </c>
      <c r="I1813" t="s" s="11">
        <v>53</v>
      </c>
      <c r="J1813" t="s" s="11">
        <v>53</v>
      </c>
      <c r="K1813" t="s" s="12">
        <v>53</v>
      </c>
      <c r="L1813" t="s" s="12">
        <v>53</v>
      </c>
      <c r="M1813" t="s" s="10">
        <v>53</v>
      </c>
      <c r="N1813" t="s" s="11">
        <v>53</v>
      </c>
      <c r="O1813" t="s" s="8">
        <v>53</v>
      </c>
      <c r="P1813" t="s" s="8">
        <v>53</v>
      </c>
      <c r="Q1813" t="s" s="12">
        <v>53</v>
      </c>
      <c r="R1813" t="s" s="12">
        <v>53</v>
      </c>
    </row>
    <row r="1814" s="2" customFormat="1" ht="13.5" customHeight="1">
      <c r="B1814" s="13"/>
      <c r="C1814" t="s" s="9">
        <v>23</v>
      </c>
      <c r="D1814" t="s" s="8">
        <v>644</v>
      </c>
      <c r="E1814" t="s" s="9">
        <v>645</v>
      </c>
      <c r="F1814" s="19">
        <v>1</v>
      </c>
      <c r="G1814" s="14"/>
      <c r="H1814" s="19">
        <v>1</v>
      </c>
      <c r="I1814" s="14"/>
      <c r="J1814" t="s" s="11">
        <v>20</v>
      </c>
      <c r="K1814" t="s" s="16">
        <f>HYPERLINK("http://csr.bu.edu/ftp/asl/asllvd/demos/verify_start_end_handshape_annotations//test_auto_move//signs_mov/5126.mov","MOV")</f>
        <v>21</v>
      </c>
      <c r="L1814" t="s" s="16">
        <f>HYPERLINK("http://csr.bu.edu/ftp/asl/asllvd/demos/verify_start_end_handshape_annotations//test_auto_move//signs_mov_separ_signers/Tyler_5126.mov","MOV")</f>
        <v>21</v>
      </c>
      <c r="M1814" t="s" s="10">
        <v>26</v>
      </c>
      <c r="N1814" s="17">
        <v>41</v>
      </c>
      <c r="O1814" s="18">
        <v>292</v>
      </c>
      <c r="P1814" s="18">
        <v>331</v>
      </c>
      <c r="Q1814" t="s" s="16">
        <f>HYPERLINK("http://secrets.rutgers.edu:8080/data/asl-ftp/asllvd/demos/verify_start_end_handshape_annotations//test_auto_move//signs_mov/5126.mov","MOV")</f>
        <v>21</v>
      </c>
      <c r="R1814" t="s" s="16">
        <f>HYPERLINK("http://secrets.rutgers.edu:8080/data/asl-ftp/asllvd/demos/verify_start_end_handshape_annotations//test_auto_move//signs_mov_separ_signers/Tyler_5126.mov","MOV")</f>
        <v>21</v>
      </c>
    </row>
    <row r="1815" s="2" customFormat="1" ht="13.5" customHeight="1">
      <c r="B1815" t="s" s="8">
        <v>644</v>
      </c>
      <c r="C1815" t="s" s="9">
        <v>14</v>
      </c>
      <c r="D1815" t="s" s="8">
        <v>14</v>
      </c>
      <c r="E1815" t="s" s="9">
        <v>14</v>
      </c>
      <c r="F1815" t="s" s="10">
        <v>14</v>
      </c>
      <c r="G1815" t="s" s="11">
        <v>14</v>
      </c>
      <c r="H1815" t="s" s="10">
        <v>14</v>
      </c>
      <c r="I1815" t="s" s="11">
        <v>14</v>
      </c>
      <c r="J1815" t="s" s="11">
        <v>14</v>
      </c>
      <c r="K1815" t="s" s="12">
        <v>14</v>
      </c>
      <c r="L1815" t="s" s="12">
        <v>14</v>
      </c>
      <c r="M1815" t="s" s="10">
        <v>14</v>
      </c>
      <c r="N1815" t="s" s="11">
        <v>14</v>
      </c>
      <c r="O1815" t="s" s="8">
        <v>14</v>
      </c>
      <c r="P1815" t="s" s="8">
        <v>14</v>
      </c>
      <c r="Q1815" t="s" s="12">
        <v>14</v>
      </c>
      <c r="R1815" t="s" s="12">
        <v>14</v>
      </c>
    </row>
    <row r="1816" s="2" customFormat="1" ht="13.5" customHeight="1">
      <c r="B1816" s="13"/>
      <c r="C1816" t="s" s="9">
        <v>16</v>
      </c>
      <c r="D1816" t="s" s="8">
        <v>646</v>
      </c>
      <c r="E1816" t="s" s="9">
        <v>647</v>
      </c>
      <c r="F1816" t="s" s="10">
        <v>68</v>
      </c>
      <c r="G1816" s="14"/>
      <c r="H1816" t="s" s="10">
        <v>68</v>
      </c>
      <c r="I1816" s="14"/>
      <c r="J1816" t="s" s="11">
        <v>20</v>
      </c>
      <c r="K1816" t="s" s="16">
        <f>HYPERLINK("http://csr.bu.edu/ftp/asl/asllvd/demos/verify_start_end_handshape_annotations//test_auto_move//signs_mov/16268.mov","MOV")</f>
        <v>21</v>
      </c>
      <c r="L1816" t="s" s="16">
        <f>HYPERLINK("http://csr.bu.edu/ftp/asl/asllvd/demos/verify_start_end_handshape_annotations//test_auto_move//signs_mov_separ_signers/Liz_16268.mov","MOV")</f>
        <v>21</v>
      </c>
      <c r="M1816" t="s" s="10">
        <v>22</v>
      </c>
      <c r="N1816" s="17">
        <v>65</v>
      </c>
      <c r="O1816" s="18">
        <v>1590</v>
      </c>
      <c r="P1816" s="18">
        <v>1626</v>
      </c>
      <c r="Q1816" t="s" s="16">
        <f>HYPERLINK("http://secrets.rutgers.edu:8080/data/asl-ftp/asllvd/demos/verify_start_end_handshape_annotations//test_auto_move//signs_mov/16268.mov","MOV")</f>
        <v>21</v>
      </c>
      <c r="R1816" t="s" s="16">
        <f>HYPERLINK("http://secrets.rutgers.edu:8080/data/asl-ftp/asllvd/demos/verify_start_end_handshape_annotations//test_auto_move//signs_mov_separ_signers/Liz_16268.mov","MOV")</f>
        <v>21</v>
      </c>
    </row>
    <row r="1817" s="2" customFormat="1" ht="13.5" customHeight="1">
      <c r="B1817" t="s" s="8">
        <v>648</v>
      </c>
      <c r="C1817" t="s" s="9">
        <v>14</v>
      </c>
      <c r="D1817" t="s" s="8">
        <v>14</v>
      </c>
      <c r="E1817" t="s" s="9">
        <v>14</v>
      </c>
      <c r="F1817" t="s" s="10">
        <v>14</v>
      </c>
      <c r="G1817" t="s" s="11">
        <v>14</v>
      </c>
      <c r="H1817" t="s" s="10">
        <v>14</v>
      </c>
      <c r="I1817" t="s" s="11">
        <v>14</v>
      </c>
      <c r="J1817" t="s" s="11">
        <v>14</v>
      </c>
      <c r="K1817" t="s" s="12">
        <v>14</v>
      </c>
      <c r="L1817" t="s" s="12">
        <v>14</v>
      </c>
      <c r="M1817" t="s" s="10">
        <v>14</v>
      </c>
      <c r="N1817" t="s" s="11">
        <v>14</v>
      </c>
      <c r="O1817" t="s" s="8">
        <v>14</v>
      </c>
      <c r="P1817" t="s" s="8">
        <v>14</v>
      </c>
      <c r="Q1817" t="s" s="12">
        <v>14</v>
      </c>
      <c r="R1817" t="s" s="12">
        <v>14</v>
      </c>
    </row>
    <row r="1818" s="2" customFormat="1" ht="13.5" customHeight="1">
      <c r="B1818" s="13"/>
      <c r="C1818" t="s" s="9">
        <v>16</v>
      </c>
      <c r="D1818" t="s" s="8">
        <v>648</v>
      </c>
      <c r="E1818" t="s" s="9">
        <v>649</v>
      </c>
      <c r="F1818" t="s" s="10">
        <v>437</v>
      </c>
      <c r="G1818" s="14"/>
      <c r="H1818" t="s" s="10">
        <v>282</v>
      </c>
      <c r="I1818" s="14"/>
      <c r="J1818" t="s" s="11">
        <v>20</v>
      </c>
      <c r="K1818" s="15"/>
      <c r="L1818" t="s" s="16">
        <f>HYPERLINK("http://csr.bu.edu/ftp/asl/asllvd/demos/verify_start_end_handshape_annotations//test_auto_move//signs_mov_separ_signers/Liz_394.mov","MOV")</f>
        <v>21</v>
      </c>
      <c r="M1818" t="s" s="10">
        <v>22</v>
      </c>
      <c r="N1818" s="17">
        <v>66</v>
      </c>
      <c r="O1818" s="18">
        <v>736</v>
      </c>
      <c r="P1818" s="18">
        <v>775</v>
      </c>
      <c r="Q1818" s="15"/>
      <c r="R1818" t="s" s="16">
        <f>HYPERLINK("http://secrets.rutgers.edu:8080/data/asl-ftp/asllvd/demos/verify_start_end_handshape_annotations//test_auto_move//signs_mov_separ_signers/Liz_394.mov","MOV")</f>
        <v>21</v>
      </c>
    </row>
    <row r="1819" s="2" customFormat="1" ht="13.5" customHeight="1">
      <c r="B1819" s="13"/>
      <c r="C1819" t="s" s="9">
        <v>27</v>
      </c>
      <c r="D1819" t="s" s="8">
        <v>648</v>
      </c>
      <c r="E1819" t="s" s="9">
        <v>649</v>
      </c>
      <c r="F1819" t="s" s="10">
        <v>437</v>
      </c>
      <c r="G1819" s="14"/>
      <c r="H1819" t="s" s="10">
        <v>282</v>
      </c>
      <c r="I1819" s="14"/>
      <c r="J1819" t="s" s="11">
        <v>20</v>
      </c>
      <c r="K1819" t="s" s="16">
        <f>HYPERLINK("http://csr.bu.edu/ftp/asl/asllvd/demos/verify_start_end_handshape_annotations//test_auto_move//signs_mov/394.mov","MOV")</f>
        <v>21</v>
      </c>
      <c r="L1819" t="s" s="16">
        <f>HYPERLINK("http://csr.bu.edu/ftp/asl/asllvd/demos/verify_start_end_handshape_annotations//test_auto_move//signs_mov_separ_signers/Naomi_394.mov","MOV")</f>
        <v>21</v>
      </c>
      <c r="M1819" t="s" s="10">
        <v>29</v>
      </c>
      <c r="N1819" s="17">
        <v>42</v>
      </c>
      <c r="O1819" s="18">
        <v>1312</v>
      </c>
      <c r="P1819" s="18">
        <v>1345</v>
      </c>
      <c r="Q1819" t="s" s="16">
        <f>HYPERLINK("http://secrets.rutgers.edu:8080/data/asl-ftp/asllvd/demos/verify_start_end_handshape_annotations//test_auto_move//signs_mov/394.mov","MOV")</f>
        <v>21</v>
      </c>
      <c r="R1819" t="s" s="16">
        <f>HYPERLINK("http://secrets.rutgers.edu:8080/data/asl-ftp/asllvd/demos/verify_start_end_handshape_annotations//test_auto_move//signs_mov_separ_signers/Naomi_394.mov","MOV")</f>
        <v>21</v>
      </c>
    </row>
    <row r="1820" s="2" customFormat="1" ht="13.5" customHeight="1">
      <c r="B1820" s="13"/>
      <c r="C1820" t="s" s="9">
        <v>41</v>
      </c>
      <c r="D1820" t="s" s="8">
        <v>648</v>
      </c>
      <c r="E1820" t="s" s="9">
        <v>649</v>
      </c>
      <c r="F1820" t="s" s="10">
        <v>437</v>
      </c>
      <c r="G1820" s="14"/>
      <c r="H1820" t="s" s="10">
        <v>282</v>
      </c>
      <c r="I1820" s="14"/>
      <c r="J1820" t="s" s="11">
        <v>20</v>
      </c>
      <c r="K1820" s="15"/>
      <c r="L1820" t="s" s="16">
        <f>HYPERLINK("http://csr.bu.edu/ftp/asl/asllvd/demos/verify_start_end_handshape_annotations//test_auto_move//signs_mov_separ_signers/Lana_394.mov","MOV")</f>
        <v>21</v>
      </c>
      <c r="M1820" t="s" s="10">
        <v>42</v>
      </c>
      <c r="N1820" s="17">
        <v>5</v>
      </c>
      <c r="O1820" s="18">
        <v>1315</v>
      </c>
      <c r="P1820" s="18">
        <v>1344</v>
      </c>
      <c r="Q1820" s="15"/>
      <c r="R1820" t="s" s="16">
        <f>HYPERLINK("http://secrets.rutgers.edu:8080/data/asl-ftp/asllvd/demos/verify_start_end_handshape_annotations//test_auto_move//signs_mov_separ_signers/Lana_394.mov","MOV")</f>
        <v>21</v>
      </c>
    </row>
    <row r="1821" s="2" customFormat="1" ht="13.5" customHeight="1">
      <c r="B1821" s="13"/>
      <c r="C1821" t="s" s="9">
        <v>43</v>
      </c>
      <c r="D1821" t="s" s="8">
        <v>648</v>
      </c>
      <c r="E1821" t="s" s="9">
        <v>650</v>
      </c>
      <c r="F1821" t="s" s="10">
        <v>437</v>
      </c>
      <c r="G1821" s="14"/>
      <c r="H1821" t="s" s="10">
        <v>282</v>
      </c>
      <c r="I1821" s="14"/>
      <c r="J1821" t="s" s="11">
        <v>20</v>
      </c>
      <c r="K1821" s="15"/>
      <c r="L1821" t="s" s="16">
        <f>HYPERLINK("http://csr.bu.edu/ftp/asl/asllvd/demos/verify_start_end_handshape_annotations//test_auto_move//signs_mov_separ_signers/Dana_394.mov","MOV")</f>
        <v>21</v>
      </c>
      <c r="M1821" t="s" s="10">
        <v>44</v>
      </c>
      <c r="N1821" s="17">
        <v>9</v>
      </c>
      <c r="O1821" s="18">
        <v>1397</v>
      </c>
      <c r="P1821" s="18">
        <v>1459</v>
      </c>
      <c r="Q1821" s="15"/>
      <c r="R1821" t="s" s="16">
        <f>HYPERLINK("http://secrets.rutgers.edu:8080/data/asl-ftp/asllvd/demos/verify_start_end_handshape_annotations//test_auto_move//signs_mov_separ_signers/Dana_394.mov","MOV")</f>
        <v>21</v>
      </c>
    </row>
    <row r="1822" s="2" customFormat="1" ht="13.5" customHeight="1">
      <c r="B1822" t="s" s="8">
        <v>52</v>
      </c>
      <c r="C1822" t="s" s="9">
        <v>53</v>
      </c>
      <c r="D1822" t="s" s="8">
        <v>53</v>
      </c>
      <c r="E1822" t="s" s="9">
        <v>53</v>
      </c>
      <c r="F1822" t="s" s="10">
        <v>53</v>
      </c>
      <c r="G1822" t="s" s="11">
        <v>53</v>
      </c>
      <c r="H1822" t="s" s="10">
        <v>53</v>
      </c>
      <c r="I1822" t="s" s="11">
        <v>53</v>
      </c>
      <c r="J1822" t="s" s="11">
        <v>53</v>
      </c>
      <c r="K1822" t="s" s="12">
        <v>53</v>
      </c>
      <c r="L1822" t="s" s="12">
        <v>53</v>
      </c>
      <c r="M1822" t="s" s="10">
        <v>53</v>
      </c>
      <c r="N1822" t="s" s="11">
        <v>53</v>
      </c>
      <c r="O1822" t="s" s="8">
        <v>53</v>
      </c>
      <c r="P1822" t="s" s="8">
        <v>53</v>
      </c>
      <c r="Q1822" t="s" s="12">
        <v>53</v>
      </c>
      <c r="R1822" t="s" s="12">
        <v>53</v>
      </c>
    </row>
    <row r="1823" s="2" customFormat="1" ht="13.5" customHeight="1">
      <c r="B1823" s="13"/>
      <c r="C1823" t="s" s="9">
        <v>16</v>
      </c>
      <c r="D1823" t="s" s="8">
        <v>648</v>
      </c>
      <c r="E1823" t="s" s="9">
        <v>651</v>
      </c>
      <c r="F1823" t="s" s="10">
        <v>437</v>
      </c>
      <c r="G1823" t="s" s="11">
        <v>437</v>
      </c>
      <c r="H1823" t="s" s="10">
        <v>282</v>
      </c>
      <c r="I1823" t="s" s="11">
        <v>282</v>
      </c>
      <c r="J1823" t="s" s="11">
        <v>20</v>
      </c>
      <c r="K1823" s="15"/>
      <c r="L1823" t="s" s="16">
        <f>HYPERLINK("http://csr.bu.edu/ftp/asl/asllvd/demos/verify_start_end_handshape_annotations//test_auto_move//signs_mov_separ_signers/Liz_3370.mov","MOV")</f>
        <v>21</v>
      </c>
      <c r="M1823" t="s" s="10">
        <v>59</v>
      </c>
      <c r="N1823" s="17">
        <v>40</v>
      </c>
      <c r="O1823" s="18">
        <v>3758</v>
      </c>
      <c r="P1823" s="18">
        <v>3811</v>
      </c>
      <c r="Q1823" s="15"/>
      <c r="R1823" t="s" s="16">
        <f>HYPERLINK("http://secrets.rutgers.edu:8080/data/asl-ftp/asllvd/demos/verify_start_end_handshape_annotations//test_auto_move//signs_mov_separ_signers/Liz_3370.mov","MOV")</f>
        <v>21</v>
      </c>
    </row>
    <row r="1824" s="2" customFormat="1" ht="13.5" customHeight="1">
      <c r="B1824" s="13"/>
      <c r="C1824" t="s" s="9">
        <v>30</v>
      </c>
      <c r="D1824" t="s" s="8">
        <v>648</v>
      </c>
      <c r="E1824" t="s" s="9">
        <v>651</v>
      </c>
      <c r="F1824" t="s" s="10">
        <v>430</v>
      </c>
      <c r="G1824" t="s" s="11">
        <v>430</v>
      </c>
      <c r="H1824" s="19">
        <v>8</v>
      </c>
      <c r="I1824" s="17">
        <v>8</v>
      </c>
      <c r="J1824" t="s" s="11">
        <v>20</v>
      </c>
      <c r="K1824" t="s" s="16">
        <f>HYPERLINK("http://csr.bu.edu/ftp/asl/asllvd/demos/verify_start_end_handshape_annotations//test_auto_move//signs_mov/3370_5609_merged.mov","MOV")</f>
        <v>21</v>
      </c>
      <c r="L1824" t="s" s="16">
        <f>HYPERLINK("http://csr.bu.edu/ftp/asl/asllvd/demos/verify_start_end_handshape_annotations//test_auto_move//signs_mov_separ_signers/Brady_3370.mov","MOV")</f>
        <v>21</v>
      </c>
      <c r="M1824" t="s" s="10">
        <v>31</v>
      </c>
      <c r="N1824" s="17">
        <v>25</v>
      </c>
      <c r="O1824" s="18">
        <v>21425</v>
      </c>
      <c r="P1824" s="18">
        <v>21454</v>
      </c>
      <c r="Q1824" t="s" s="16">
        <f>HYPERLINK("http://secrets.rutgers.edu:8080/data/asl-ftp/asllvd/demos/verify_start_end_handshape_annotations//test_auto_move//signs_mov/3370_5609_merged.mov","MOV")</f>
        <v>21</v>
      </c>
      <c r="R1824" t="s" s="16">
        <f>HYPERLINK("http://secrets.rutgers.edu:8080/data/asl-ftp/asllvd/demos/verify_start_end_handshape_annotations//test_auto_move//signs_mov_separ_signers/Brady_3370.mov","MOV")</f>
        <v>21</v>
      </c>
    </row>
    <row r="1825" s="2" customFormat="1" ht="13.5" customHeight="1">
      <c r="B1825" s="13"/>
      <c r="C1825" t="s" s="9">
        <v>30</v>
      </c>
      <c r="D1825" t="s" s="8">
        <v>648</v>
      </c>
      <c r="E1825" t="s" s="9">
        <v>651</v>
      </c>
      <c r="F1825" t="s" s="10">
        <v>430</v>
      </c>
      <c r="G1825" t="s" s="11">
        <v>430</v>
      </c>
      <c r="H1825" s="19">
        <v>8</v>
      </c>
      <c r="I1825" s="17">
        <v>8</v>
      </c>
      <c r="J1825" t="s" s="11">
        <v>20</v>
      </c>
      <c r="K1825" s="15"/>
      <c r="L1825" t="s" s="16">
        <f>HYPERLINK("http://csr.bu.edu/ftp/asl/asllvd/demos/verify_start_end_handshape_annotations//test_auto_move//signs_mov_separ_signers/Brady_5609.mov","MOV")</f>
        <v>21</v>
      </c>
      <c r="M1825" t="s" s="10">
        <v>31</v>
      </c>
      <c r="N1825" s="17">
        <v>25</v>
      </c>
      <c r="O1825" s="18">
        <v>21684</v>
      </c>
      <c r="P1825" s="18">
        <v>21713</v>
      </c>
      <c r="Q1825" s="15"/>
      <c r="R1825" t="s" s="16">
        <f>HYPERLINK("http://secrets.rutgers.edu:8080/data/asl-ftp/asllvd/demos/verify_start_end_handshape_annotations//test_auto_move//signs_mov_separ_signers/Brady_5609.mov","MOV")</f>
        <v>21</v>
      </c>
    </row>
    <row r="1826" s="2" customFormat="1" ht="13.5" customHeight="1">
      <c r="B1826" t="s" s="8">
        <v>52</v>
      </c>
      <c r="C1826" t="s" s="9">
        <v>53</v>
      </c>
      <c r="D1826" t="s" s="8">
        <v>53</v>
      </c>
      <c r="E1826" t="s" s="9">
        <v>53</v>
      </c>
      <c r="F1826" t="s" s="10">
        <v>53</v>
      </c>
      <c r="G1826" t="s" s="11">
        <v>53</v>
      </c>
      <c r="H1826" t="s" s="10">
        <v>53</v>
      </c>
      <c r="I1826" t="s" s="11">
        <v>53</v>
      </c>
      <c r="J1826" t="s" s="11">
        <v>53</v>
      </c>
      <c r="K1826" t="s" s="12">
        <v>53</v>
      </c>
      <c r="L1826" t="s" s="12">
        <v>53</v>
      </c>
      <c r="M1826" t="s" s="10">
        <v>53</v>
      </c>
      <c r="N1826" t="s" s="11">
        <v>53</v>
      </c>
      <c r="O1826" t="s" s="8">
        <v>53</v>
      </c>
      <c r="P1826" t="s" s="8">
        <v>53</v>
      </c>
      <c r="Q1826" t="s" s="12">
        <v>53</v>
      </c>
      <c r="R1826" t="s" s="12">
        <v>53</v>
      </c>
    </row>
    <row r="1827" s="2" customFormat="1" ht="13.5" customHeight="1">
      <c r="B1827" s="13"/>
      <c r="C1827" t="s" s="9">
        <v>23</v>
      </c>
      <c r="D1827" t="s" s="8">
        <v>648</v>
      </c>
      <c r="E1827" t="s" s="9">
        <v>652</v>
      </c>
      <c r="F1827" t="s" s="10">
        <v>25</v>
      </c>
      <c r="G1827" t="s" s="11">
        <v>25</v>
      </c>
      <c r="H1827" t="s" s="10">
        <v>19</v>
      </c>
      <c r="I1827" t="s" s="11">
        <v>19</v>
      </c>
      <c r="J1827" t="s" s="11">
        <v>20</v>
      </c>
      <c r="K1827" t="s" s="16">
        <f>HYPERLINK("http://csr.bu.edu/ftp/asl/asllvd/demos/verify_start_end_handshape_annotations//test_auto_move//signs_mov/16534.mov","MOV")</f>
        <v>21</v>
      </c>
      <c r="L1827" t="s" s="16">
        <f>HYPERLINK("http://csr.bu.edu/ftp/asl/asllvd/demos/verify_start_end_handshape_annotations//test_auto_move//signs_mov_separ_signers/Tyler_16534.mov","MOV")</f>
        <v>21</v>
      </c>
      <c r="M1827" t="s" s="10">
        <v>26</v>
      </c>
      <c r="N1827" s="17">
        <v>41</v>
      </c>
      <c r="O1827" s="18">
        <v>1090</v>
      </c>
      <c r="P1827" s="18">
        <v>1135</v>
      </c>
      <c r="Q1827" t="s" s="16">
        <f>HYPERLINK("http://secrets.rutgers.edu:8080/data/asl-ftp/asllvd/demos/verify_start_end_handshape_annotations//test_auto_move//signs_mov/16534.mov","MOV")</f>
        <v>21</v>
      </c>
      <c r="R1827" t="s" s="16">
        <f>HYPERLINK("http://secrets.rutgers.edu:8080/data/asl-ftp/asllvd/demos/verify_start_end_handshape_annotations//test_auto_move//signs_mov_separ_signers/Tyler_16534.mov","MOV")</f>
        <v>21</v>
      </c>
    </row>
    <row r="1828" s="2" customFormat="1" ht="13.5" customHeight="1">
      <c r="B1828" t="s" s="8">
        <v>653</v>
      </c>
      <c r="C1828" t="s" s="9">
        <v>14</v>
      </c>
      <c r="D1828" t="s" s="8">
        <v>14</v>
      </c>
      <c r="E1828" t="s" s="9">
        <v>14</v>
      </c>
      <c r="F1828" t="s" s="10">
        <v>14</v>
      </c>
      <c r="G1828" t="s" s="11">
        <v>14</v>
      </c>
      <c r="H1828" t="s" s="10">
        <v>14</v>
      </c>
      <c r="I1828" t="s" s="11">
        <v>14</v>
      </c>
      <c r="J1828" t="s" s="11">
        <v>14</v>
      </c>
      <c r="K1828" t="s" s="12">
        <v>14</v>
      </c>
      <c r="L1828" t="s" s="12">
        <v>14</v>
      </c>
      <c r="M1828" t="s" s="10">
        <v>14</v>
      </c>
      <c r="N1828" t="s" s="11">
        <v>14</v>
      </c>
      <c r="O1828" t="s" s="8">
        <v>14</v>
      </c>
      <c r="P1828" t="s" s="8">
        <v>14</v>
      </c>
      <c r="Q1828" t="s" s="12">
        <v>14</v>
      </c>
      <c r="R1828" t="s" s="12">
        <v>14</v>
      </c>
    </row>
    <row r="1829" s="2" customFormat="1" ht="13.5" customHeight="1">
      <c r="B1829" s="13"/>
      <c r="C1829" t="s" s="9">
        <v>23</v>
      </c>
      <c r="D1829" t="s" s="8">
        <v>653</v>
      </c>
      <c r="E1829" t="s" s="9">
        <v>653</v>
      </c>
      <c r="F1829" t="s" s="10">
        <v>72</v>
      </c>
      <c r="G1829" t="s" s="11">
        <v>72</v>
      </c>
      <c r="H1829" t="s" s="10">
        <v>68</v>
      </c>
      <c r="I1829" t="s" s="11">
        <v>148</v>
      </c>
      <c r="J1829" t="s" s="11">
        <v>20</v>
      </c>
      <c r="K1829" t="s" s="16">
        <f>HYPERLINK("http://csr.bu.edu/ftp/asl/asllvd/demos/verify_start_end_handshape_annotations//test_auto_move//signs_mov/395.mov","MOV")</f>
        <v>21</v>
      </c>
      <c r="L1829" t="s" s="16">
        <f>HYPERLINK("http://csr.bu.edu/ftp/asl/asllvd/demos/verify_start_end_handshape_annotations//test_auto_move//signs_mov_separ_signers/Tyler_395.mov","MOV")</f>
        <v>21</v>
      </c>
      <c r="M1829" t="s" s="10">
        <v>26</v>
      </c>
      <c r="N1829" s="17">
        <v>41</v>
      </c>
      <c r="O1829" s="18">
        <v>1335</v>
      </c>
      <c r="P1829" s="18">
        <v>1361</v>
      </c>
      <c r="Q1829" t="s" s="16">
        <f>HYPERLINK("http://secrets.rutgers.edu:8080/data/asl-ftp/asllvd/demos/verify_start_end_handshape_annotations//test_auto_move//signs_mov/395.mov","MOV")</f>
        <v>21</v>
      </c>
      <c r="R1829" t="s" s="16">
        <f>HYPERLINK("http://secrets.rutgers.edu:8080/data/asl-ftp/asllvd/demos/verify_start_end_handshape_annotations//test_auto_move//signs_mov_separ_signers/Tyler_395.mov","MOV")</f>
        <v>21</v>
      </c>
    </row>
    <row r="1830" s="2" customFormat="1" ht="13.5" customHeight="1">
      <c r="B1830" t="s" s="8">
        <v>52</v>
      </c>
      <c r="C1830" t="s" s="9">
        <v>53</v>
      </c>
      <c r="D1830" t="s" s="8">
        <v>53</v>
      </c>
      <c r="E1830" t="s" s="9">
        <v>53</v>
      </c>
      <c r="F1830" t="s" s="10">
        <v>53</v>
      </c>
      <c r="G1830" t="s" s="11">
        <v>53</v>
      </c>
      <c r="H1830" t="s" s="10">
        <v>53</v>
      </c>
      <c r="I1830" t="s" s="11">
        <v>53</v>
      </c>
      <c r="J1830" t="s" s="11">
        <v>53</v>
      </c>
      <c r="K1830" t="s" s="12">
        <v>53</v>
      </c>
      <c r="L1830" t="s" s="12">
        <v>53</v>
      </c>
      <c r="M1830" t="s" s="10">
        <v>53</v>
      </c>
      <c r="N1830" t="s" s="11">
        <v>53</v>
      </c>
      <c r="O1830" t="s" s="8">
        <v>53</v>
      </c>
      <c r="P1830" t="s" s="8">
        <v>53</v>
      </c>
      <c r="Q1830" t="s" s="12">
        <v>53</v>
      </c>
      <c r="R1830" t="s" s="12">
        <v>53</v>
      </c>
    </row>
    <row r="1831" s="2" customFormat="1" ht="13.5" customHeight="1">
      <c r="B1831" s="13"/>
      <c r="C1831" t="s" s="9">
        <v>16</v>
      </c>
      <c r="D1831" t="s" s="8">
        <v>653</v>
      </c>
      <c r="E1831" t="s" s="9">
        <v>654</v>
      </c>
      <c r="F1831" s="19">
        <v>5</v>
      </c>
      <c r="G1831" s="17">
        <v>5</v>
      </c>
      <c r="H1831" t="s" s="10">
        <v>68</v>
      </c>
      <c r="I1831" s="17">
        <v>5</v>
      </c>
      <c r="J1831" t="s" s="11">
        <v>20</v>
      </c>
      <c r="K1831" t="s" s="16">
        <f>HYPERLINK("http://csr.bu.edu/ftp/asl/asllvd/demos/verify_start_end_handshape_annotations//test_auto_move//signs_mov/5610.mov","MOV")</f>
        <v>21</v>
      </c>
      <c r="L1831" t="s" s="16">
        <f>HYPERLINK("http://csr.bu.edu/ftp/asl/asllvd/demos/verify_start_end_handshape_annotations//test_auto_move//signs_mov_separ_signers/Liz_5610.mov","MOV")</f>
        <v>21</v>
      </c>
      <c r="M1831" t="s" s="10">
        <v>22</v>
      </c>
      <c r="N1831" s="17">
        <v>66</v>
      </c>
      <c r="O1831" s="18">
        <v>927</v>
      </c>
      <c r="P1831" s="18">
        <v>950</v>
      </c>
      <c r="Q1831" t="s" s="16">
        <f>HYPERLINK("http://secrets.rutgers.edu:8080/data/asl-ftp/asllvd/demos/verify_start_end_handshape_annotations//test_auto_move//signs_mov/5610.mov","MOV")</f>
        <v>21</v>
      </c>
      <c r="R1831" t="s" s="16">
        <f>HYPERLINK("http://secrets.rutgers.edu:8080/data/asl-ftp/asllvd/demos/verify_start_end_handshape_annotations//test_auto_move//signs_mov_separ_signers/Liz_5610.mov","MOV")</f>
        <v>21</v>
      </c>
    </row>
    <row r="1832" s="2" customFormat="1" ht="13.5" customHeight="1">
      <c r="B1832" t="s" s="8">
        <v>52</v>
      </c>
      <c r="C1832" t="s" s="9">
        <v>53</v>
      </c>
      <c r="D1832" t="s" s="8">
        <v>53</v>
      </c>
      <c r="E1832" t="s" s="9">
        <v>53</v>
      </c>
      <c r="F1832" t="s" s="10">
        <v>53</v>
      </c>
      <c r="G1832" t="s" s="11">
        <v>53</v>
      </c>
      <c r="H1832" t="s" s="10">
        <v>53</v>
      </c>
      <c r="I1832" t="s" s="11">
        <v>53</v>
      </c>
      <c r="J1832" t="s" s="11">
        <v>53</v>
      </c>
      <c r="K1832" t="s" s="12">
        <v>53</v>
      </c>
      <c r="L1832" t="s" s="12">
        <v>53</v>
      </c>
      <c r="M1832" t="s" s="10">
        <v>53</v>
      </c>
      <c r="N1832" t="s" s="11">
        <v>53</v>
      </c>
      <c r="O1832" t="s" s="8">
        <v>53</v>
      </c>
      <c r="P1832" t="s" s="8">
        <v>53</v>
      </c>
      <c r="Q1832" t="s" s="12">
        <v>53</v>
      </c>
      <c r="R1832" t="s" s="12">
        <v>53</v>
      </c>
    </row>
    <row r="1833" s="2" customFormat="1" ht="13.5" customHeight="1">
      <c r="B1833" s="13"/>
      <c r="C1833" t="s" s="9">
        <v>30</v>
      </c>
      <c r="D1833" t="s" s="8">
        <v>653</v>
      </c>
      <c r="E1833" t="s" s="9">
        <v>655</v>
      </c>
      <c r="F1833" s="19">
        <v>5</v>
      </c>
      <c r="G1833" s="17">
        <v>5</v>
      </c>
      <c r="H1833" t="s" s="10">
        <v>68</v>
      </c>
      <c r="I1833" s="17">
        <v>5</v>
      </c>
      <c r="J1833" t="s" s="11">
        <v>20</v>
      </c>
      <c r="K1833" t="s" s="16">
        <f>HYPERLINK("http://csr.bu.edu/ftp/asl/asllvd/demos/verify_start_end_handshape_annotations//test_auto_move//signs_mov/5611.mov","MOV")</f>
        <v>21</v>
      </c>
      <c r="L1833" t="s" s="16">
        <f>HYPERLINK("http://csr.bu.edu/ftp/asl/asllvd/demos/verify_start_end_handshape_annotations//test_auto_move//signs_mov_separ_signers/Brady_5611.mov","MOV")</f>
        <v>21</v>
      </c>
      <c r="M1833" t="s" s="10">
        <v>31</v>
      </c>
      <c r="N1833" s="17">
        <v>25</v>
      </c>
      <c r="O1833" s="18">
        <v>22266</v>
      </c>
      <c r="P1833" s="18">
        <v>22281</v>
      </c>
      <c r="Q1833" t="s" s="16">
        <f>HYPERLINK("http://secrets.rutgers.edu:8080/data/asl-ftp/asllvd/demos/verify_start_end_handshape_annotations//test_auto_move//signs_mov/5611.mov","MOV")</f>
        <v>21</v>
      </c>
      <c r="R1833" t="s" s="16">
        <f>HYPERLINK("http://secrets.rutgers.edu:8080/data/asl-ftp/asllvd/demos/verify_start_end_handshape_annotations//test_auto_move//signs_mov_separ_signers/Brady_5611.mov","MOV")</f>
        <v>21</v>
      </c>
    </row>
    <row r="1834" s="2" customFormat="1" ht="13.5" customHeight="1">
      <c r="B1834" t="s" s="8">
        <v>656</v>
      </c>
      <c r="C1834" t="s" s="9">
        <v>14</v>
      </c>
      <c r="D1834" t="s" s="8">
        <v>14</v>
      </c>
      <c r="E1834" t="s" s="9">
        <v>14</v>
      </c>
      <c r="F1834" t="s" s="10">
        <v>14</v>
      </c>
      <c r="G1834" t="s" s="11">
        <v>14</v>
      </c>
      <c r="H1834" t="s" s="10">
        <v>14</v>
      </c>
      <c r="I1834" t="s" s="11">
        <v>14</v>
      </c>
      <c r="J1834" t="s" s="11">
        <v>14</v>
      </c>
      <c r="K1834" t="s" s="12">
        <v>14</v>
      </c>
      <c r="L1834" t="s" s="12">
        <v>14</v>
      </c>
      <c r="M1834" t="s" s="10">
        <v>14</v>
      </c>
      <c r="N1834" t="s" s="11">
        <v>14</v>
      </c>
      <c r="O1834" t="s" s="8">
        <v>14</v>
      </c>
      <c r="P1834" t="s" s="8">
        <v>14</v>
      </c>
      <c r="Q1834" t="s" s="12">
        <v>14</v>
      </c>
      <c r="R1834" t="s" s="12">
        <v>14</v>
      </c>
    </row>
    <row r="1835" s="2" customFormat="1" ht="13.5" customHeight="1">
      <c r="B1835" s="13"/>
      <c r="C1835" t="s" s="9">
        <v>16</v>
      </c>
      <c r="D1835" t="s" s="8">
        <v>656</v>
      </c>
      <c r="E1835" t="s" s="9">
        <v>656</v>
      </c>
      <c r="F1835" t="s" s="10">
        <v>72</v>
      </c>
      <c r="G1835" s="17">
        <v>1</v>
      </c>
      <c r="H1835" t="s" s="10">
        <v>68</v>
      </c>
      <c r="I1835" s="17">
        <v>1</v>
      </c>
      <c r="J1835" t="s" s="11">
        <v>20</v>
      </c>
      <c r="K1835" t="s" s="16">
        <f>HYPERLINK("http://csr.bu.edu/ftp/asl/asllvd/demos/verify_start_end_handshape_annotations//test_auto_move//signs_mov/396.mov","MOV")</f>
        <v>21</v>
      </c>
      <c r="L1835" t="s" s="16">
        <f>HYPERLINK("http://csr.bu.edu/ftp/asl/asllvd/demos/verify_start_end_handshape_annotations//test_auto_move//signs_mov_separ_signers/Liz_396.mov","MOV")</f>
        <v>21</v>
      </c>
      <c r="M1835" t="s" s="10">
        <v>22</v>
      </c>
      <c r="N1835" s="17">
        <v>66</v>
      </c>
      <c r="O1835" s="18">
        <v>1055</v>
      </c>
      <c r="P1835" s="18">
        <v>1085</v>
      </c>
      <c r="Q1835" t="s" s="16">
        <f>HYPERLINK("http://secrets.rutgers.edu:8080/data/asl-ftp/asllvd/demos/verify_start_end_handshape_annotations//test_auto_move//signs_mov/396.mov","MOV")</f>
        <v>21</v>
      </c>
      <c r="R1835" t="s" s="16">
        <f>HYPERLINK("http://secrets.rutgers.edu:8080/data/asl-ftp/asllvd/demos/verify_start_end_handshape_annotations//test_auto_move//signs_mov_separ_signers/Liz_396.mov","MOV")</f>
        <v>21</v>
      </c>
    </row>
    <row r="1836" s="2" customFormat="1" ht="13.5" customHeight="1">
      <c r="B1836" s="13"/>
      <c r="C1836" t="s" s="9">
        <v>30</v>
      </c>
      <c r="D1836" t="s" s="8">
        <v>656</v>
      </c>
      <c r="E1836" t="s" s="9">
        <v>656</v>
      </c>
      <c r="F1836" s="19">
        <v>5</v>
      </c>
      <c r="G1836" s="17">
        <v>1</v>
      </c>
      <c r="H1836" t="s" s="10">
        <v>68</v>
      </c>
      <c r="I1836" s="17">
        <v>1</v>
      </c>
      <c r="J1836" t="s" s="11">
        <v>20</v>
      </c>
      <c r="K1836" s="15"/>
      <c r="L1836" t="s" s="16">
        <f>HYPERLINK("http://csr.bu.edu/ftp/asl/asllvd/demos/verify_start_end_handshape_annotations//test_auto_move//signs_mov_separ_signers/Brady_396.mov","MOV")</f>
        <v>21</v>
      </c>
      <c r="M1836" t="s" s="10">
        <v>31</v>
      </c>
      <c r="N1836" s="17">
        <v>25</v>
      </c>
      <c r="O1836" s="18">
        <v>21991</v>
      </c>
      <c r="P1836" s="18">
        <v>22002</v>
      </c>
      <c r="Q1836" s="15"/>
      <c r="R1836" t="s" s="16">
        <f>HYPERLINK("http://secrets.rutgers.edu:8080/data/asl-ftp/asllvd/demos/verify_start_end_handshape_annotations//test_auto_move//signs_mov_separ_signers/Brady_396.mov","MOV")</f>
        <v>21</v>
      </c>
    </row>
    <row r="1837" s="2" customFormat="1" ht="13.5" customHeight="1">
      <c r="B1837" t="s" s="8">
        <v>52</v>
      </c>
      <c r="C1837" t="s" s="9">
        <v>53</v>
      </c>
      <c r="D1837" t="s" s="8">
        <v>53</v>
      </c>
      <c r="E1837" t="s" s="9">
        <v>53</v>
      </c>
      <c r="F1837" t="s" s="10">
        <v>53</v>
      </c>
      <c r="G1837" t="s" s="11">
        <v>53</v>
      </c>
      <c r="H1837" t="s" s="10">
        <v>53</v>
      </c>
      <c r="I1837" t="s" s="11">
        <v>53</v>
      </c>
      <c r="J1837" t="s" s="11">
        <v>53</v>
      </c>
      <c r="K1837" t="s" s="12">
        <v>53</v>
      </c>
      <c r="L1837" t="s" s="12">
        <v>53</v>
      </c>
      <c r="M1837" t="s" s="10">
        <v>53</v>
      </c>
      <c r="N1837" t="s" s="11">
        <v>53</v>
      </c>
      <c r="O1837" t="s" s="8">
        <v>53</v>
      </c>
      <c r="P1837" t="s" s="8">
        <v>53</v>
      </c>
      <c r="Q1837" t="s" s="12">
        <v>53</v>
      </c>
      <c r="R1837" t="s" s="12">
        <v>53</v>
      </c>
    </row>
    <row r="1838" s="2" customFormat="1" ht="13.5" customHeight="1">
      <c r="B1838" s="13"/>
      <c r="C1838" t="s" s="9">
        <v>23</v>
      </c>
      <c r="D1838" t="s" s="8">
        <v>656</v>
      </c>
      <c r="E1838" t="s" s="9">
        <v>657</v>
      </c>
      <c r="F1838" t="s" s="10">
        <v>72</v>
      </c>
      <c r="G1838" s="17">
        <v>1</v>
      </c>
      <c r="H1838" t="s" s="10">
        <v>68</v>
      </c>
      <c r="I1838" s="17">
        <v>1</v>
      </c>
      <c r="J1838" t="s" s="11">
        <v>20</v>
      </c>
      <c r="K1838" t="s" s="16">
        <f>HYPERLINK("http://csr.bu.edu/ftp/asl/asllvd/demos/verify_start_end_handshape_annotations//test_auto_move//signs_mov/15467.mov","MOV")</f>
        <v>21</v>
      </c>
      <c r="L1838" t="s" s="16">
        <f>HYPERLINK("http://csr.bu.edu/ftp/asl/asllvd/demos/verify_start_end_handshape_annotations//test_auto_move//signs_mov_separ_signers/Tyler_15467.mov","MOV")</f>
        <v>21</v>
      </c>
      <c r="M1838" t="s" s="10">
        <v>26</v>
      </c>
      <c r="N1838" s="17">
        <v>41</v>
      </c>
      <c r="O1838" s="18">
        <v>1608</v>
      </c>
      <c r="P1838" s="18">
        <v>1620</v>
      </c>
      <c r="Q1838" t="s" s="16">
        <f>HYPERLINK("http://secrets.rutgers.edu:8080/data/asl-ftp/asllvd/demos/verify_start_end_handshape_annotations//test_auto_move//signs_mov/15467.mov","MOV")</f>
        <v>21</v>
      </c>
      <c r="R1838" t="s" s="16">
        <f>HYPERLINK("http://secrets.rutgers.edu:8080/data/asl-ftp/asllvd/demos/verify_start_end_handshape_annotations//test_auto_move//signs_mov_separ_signers/Tyler_15467.mov","MOV")</f>
        <v>21</v>
      </c>
    </row>
    <row r="1839" s="2" customFormat="1" ht="13.5" customHeight="1">
      <c r="B1839" s="13"/>
      <c r="C1839" t="s" s="9">
        <v>27</v>
      </c>
      <c r="D1839" t="s" s="8">
        <v>656</v>
      </c>
      <c r="E1839" t="s" s="9">
        <v>657</v>
      </c>
      <c r="F1839" t="s" s="10">
        <v>75</v>
      </c>
      <c r="G1839" s="17">
        <v>1</v>
      </c>
      <c r="H1839" t="s" s="10">
        <v>68</v>
      </c>
      <c r="I1839" s="17">
        <v>1</v>
      </c>
      <c r="J1839" t="s" s="11">
        <v>20</v>
      </c>
      <c r="K1839" s="15"/>
      <c r="L1839" t="s" s="16">
        <f>HYPERLINK("http://csr.bu.edu/ftp/asl/asllvd/demos/verify_start_end_handshape_annotations//test_auto_move//signs_mov_separ_signers/Naomi_15467.mov","MOV")</f>
        <v>21</v>
      </c>
      <c r="M1839" t="s" s="10">
        <v>29</v>
      </c>
      <c r="N1839" s="17">
        <v>42</v>
      </c>
      <c r="O1839" s="18">
        <v>2525</v>
      </c>
      <c r="P1839" s="18">
        <v>2538</v>
      </c>
      <c r="Q1839" s="15"/>
      <c r="R1839" t="s" s="16">
        <f>HYPERLINK("http://secrets.rutgers.edu:8080/data/asl-ftp/asllvd/demos/verify_start_end_handshape_annotations//test_auto_move//signs_mov_separ_signers/Naomi_15467.mov","MOV")</f>
        <v>21</v>
      </c>
    </row>
    <row r="1840" s="2" customFormat="1" ht="13.5" customHeight="1">
      <c r="B1840" t="s" s="8">
        <v>658</v>
      </c>
      <c r="C1840" t="s" s="9">
        <v>14</v>
      </c>
      <c r="D1840" t="s" s="8">
        <v>14</v>
      </c>
      <c r="E1840" t="s" s="9">
        <v>14</v>
      </c>
      <c r="F1840" t="s" s="10">
        <v>14</v>
      </c>
      <c r="G1840" t="s" s="11">
        <v>14</v>
      </c>
      <c r="H1840" t="s" s="10">
        <v>14</v>
      </c>
      <c r="I1840" t="s" s="11">
        <v>14</v>
      </c>
      <c r="J1840" t="s" s="11">
        <v>14</v>
      </c>
      <c r="K1840" t="s" s="12">
        <v>14</v>
      </c>
      <c r="L1840" t="s" s="12">
        <v>14</v>
      </c>
      <c r="M1840" t="s" s="10">
        <v>14</v>
      </c>
      <c r="N1840" t="s" s="11">
        <v>14</v>
      </c>
      <c r="O1840" t="s" s="8">
        <v>14</v>
      </c>
      <c r="P1840" t="s" s="8">
        <v>14</v>
      </c>
      <c r="Q1840" t="s" s="12">
        <v>14</v>
      </c>
      <c r="R1840" t="s" s="12">
        <v>14</v>
      </c>
    </row>
    <row r="1841" s="2" customFormat="1" ht="13.5" customHeight="1">
      <c r="B1841" s="13"/>
      <c r="C1841" t="s" s="9">
        <v>16</v>
      </c>
      <c r="D1841" t="s" s="8">
        <v>658</v>
      </c>
      <c r="E1841" t="s" s="9">
        <v>658</v>
      </c>
      <c r="F1841" t="s" s="10">
        <v>68</v>
      </c>
      <c r="G1841" s="17">
        <v>1</v>
      </c>
      <c r="H1841" t="s" s="10">
        <v>68</v>
      </c>
      <c r="I1841" s="17">
        <v>1</v>
      </c>
      <c r="J1841" t="s" s="11">
        <v>20</v>
      </c>
      <c r="K1841" s="15"/>
      <c r="L1841" t="s" s="16">
        <f>HYPERLINK("http://csr.bu.edu/ftp/asl/asllvd/demos/verify_start_end_handshape_annotations//test_auto_move//signs_mov_separ_signers/Liz_15572.mov","MOV")</f>
        <v>21</v>
      </c>
      <c r="M1841" t="s" s="10">
        <v>84</v>
      </c>
      <c r="N1841" s="17">
        <v>46</v>
      </c>
      <c r="O1841" s="18">
        <v>1385</v>
      </c>
      <c r="P1841" s="18">
        <v>1405</v>
      </c>
      <c r="Q1841" s="15"/>
      <c r="R1841" t="s" s="16">
        <f>HYPERLINK("http://secrets.rutgers.edu:8080/data/asl-ftp/asllvd/demos/verify_start_end_handshape_annotations//test_auto_move//signs_mov_separ_signers/Liz_15572.mov","MOV")</f>
        <v>21</v>
      </c>
    </row>
    <row r="1842" s="2" customFormat="1" ht="13.5" customHeight="1">
      <c r="B1842" s="13"/>
      <c r="C1842" t="s" s="9">
        <v>16</v>
      </c>
      <c r="D1842" t="s" s="8">
        <v>658</v>
      </c>
      <c r="E1842" t="s" s="9">
        <v>658</v>
      </c>
      <c r="F1842" t="s" s="10">
        <v>63</v>
      </c>
      <c r="G1842" s="17">
        <v>1</v>
      </c>
      <c r="H1842" t="s" s="10">
        <v>63</v>
      </c>
      <c r="I1842" s="17">
        <v>1</v>
      </c>
      <c r="J1842" t="s" s="11">
        <v>20</v>
      </c>
      <c r="K1842" s="15"/>
      <c r="L1842" t="s" s="16">
        <f>HYPERLINK("http://csr.bu.edu/ftp/asl/asllvd/demos/verify_start_end_handshape_annotations//test_auto_move//signs_mov_separ_signers/Liz_15606.mov","MOV")</f>
        <v>21</v>
      </c>
      <c r="M1842" t="s" s="10">
        <v>77</v>
      </c>
      <c r="N1842" s="17">
        <v>6</v>
      </c>
      <c r="O1842" s="18">
        <v>2769</v>
      </c>
      <c r="P1842" s="18">
        <v>2811</v>
      </c>
      <c r="Q1842" s="15"/>
      <c r="R1842" t="s" s="16">
        <f>HYPERLINK("http://secrets.rutgers.edu:8080/data/asl-ftp/asllvd/demos/verify_start_end_handshape_annotations//test_auto_move//signs_mov_separ_signers/Liz_15606.mov","MOV")</f>
        <v>21</v>
      </c>
    </row>
    <row r="1843" s="2" customFormat="1" ht="13.5" customHeight="1">
      <c r="B1843" s="13"/>
      <c r="C1843" t="s" s="9">
        <v>23</v>
      </c>
      <c r="D1843" t="s" s="8">
        <v>658</v>
      </c>
      <c r="E1843" t="s" s="9">
        <v>658</v>
      </c>
      <c r="F1843" t="s" s="10">
        <v>68</v>
      </c>
      <c r="G1843" s="17">
        <v>1</v>
      </c>
      <c r="H1843" t="s" s="10">
        <v>68</v>
      </c>
      <c r="I1843" s="17">
        <v>1</v>
      </c>
      <c r="J1843" t="s" s="11">
        <v>20</v>
      </c>
      <c r="K1843" t="s" s="16">
        <f>HYPERLINK("http://csr.bu.edu/ftp/asl/asllvd/demos/verify_start_end_handshape_annotations//test_auto_move//signs_mov/15572_15606_merged.mov","MOV")</f>
        <v>21</v>
      </c>
      <c r="L1843" t="s" s="16">
        <f>HYPERLINK("http://csr.bu.edu/ftp/asl/asllvd/demos/verify_start_end_handshape_annotations//test_auto_move//signs_mov_separ_signers/Tyler_15572.mov","MOV")</f>
        <v>21</v>
      </c>
      <c r="M1843" t="s" s="10">
        <v>92</v>
      </c>
      <c r="N1843" s="17">
        <v>25</v>
      </c>
      <c r="O1843" s="18">
        <v>6242</v>
      </c>
      <c r="P1843" s="18">
        <v>6266</v>
      </c>
      <c r="Q1843" t="s" s="16">
        <f>HYPERLINK("http://secrets.rutgers.edu:8080/data/asl-ftp/asllvd/demos/verify_start_end_handshape_annotations//test_auto_move//signs_mov/15572_15606_merged.mov","MOV")</f>
        <v>21</v>
      </c>
      <c r="R1843" t="s" s="16">
        <f>HYPERLINK("http://secrets.rutgers.edu:8080/data/asl-ftp/asllvd/demos/verify_start_end_handshape_annotations//test_auto_move//signs_mov_separ_signers/Tyler_15572.mov","MOV")</f>
        <v>21</v>
      </c>
    </row>
    <row r="1844" s="2" customFormat="1" ht="13.5" customHeight="1">
      <c r="B1844" s="13"/>
      <c r="C1844" t="s" s="9">
        <v>27</v>
      </c>
      <c r="D1844" t="s" s="8">
        <v>658</v>
      </c>
      <c r="E1844" t="s" s="9">
        <v>658</v>
      </c>
      <c r="F1844" t="s" s="10">
        <v>63</v>
      </c>
      <c r="G1844" s="17">
        <v>1</v>
      </c>
      <c r="H1844" t="s" s="10">
        <v>63</v>
      </c>
      <c r="I1844" s="17">
        <v>1</v>
      </c>
      <c r="J1844" t="s" s="11">
        <v>20</v>
      </c>
      <c r="K1844" s="15"/>
      <c r="L1844" t="s" s="16">
        <f>HYPERLINK("http://csr.bu.edu/ftp/asl/asllvd/demos/verify_start_end_handshape_annotations//test_auto_move//signs_mov_separ_signers/Naomi_15572.mov","MOV")</f>
        <v>21</v>
      </c>
      <c r="M1844" t="s" s="10">
        <v>86</v>
      </c>
      <c r="N1844" s="17">
        <v>46</v>
      </c>
      <c r="O1844" s="18">
        <v>1160</v>
      </c>
      <c r="P1844" s="18">
        <v>1185</v>
      </c>
      <c r="Q1844" s="15"/>
      <c r="R1844" t="s" s="16">
        <f>HYPERLINK("http://secrets.rutgers.edu:8080/data/asl-ftp/asllvd/demos/verify_start_end_handshape_annotations//test_auto_move//signs_mov_separ_signers/Naomi_15572.mov","MOV")</f>
        <v>21</v>
      </c>
    </row>
    <row r="1845" s="2" customFormat="1" ht="13.5" customHeight="1">
      <c r="B1845" s="13"/>
      <c r="C1845" t="s" s="9">
        <v>30</v>
      </c>
      <c r="D1845" t="s" s="8">
        <v>658</v>
      </c>
      <c r="E1845" t="s" s="9">
        <v>658</v>
      </c>
      <c r="F1845" t="s" s="10">
        <v>63</v>
      </c>
      <c r="G1845" s="17">
        <v>1</v>
      </c>
      <c r="H1845" t="s" s="10">
        <v>63</v>
      </c>
      <c r="I1845" s="17">
        <v>1</v>
      </c>
      <c r="J1845" t="s" s="11">
        <v>20</v>
      </c>
      <c r="K1845" s="15"/>
      <c r="L1845" t="s" s="16">
        <f>HYPERLINK("http://csr.bu.edu/ftp/asl/asllvd/demos/verify_start_end_handshape_annotations//test_auto_move//signs_mov_separ_signers/Brady_15572.mov","MOV")</f>
        <v>21</v>
      </c>
      <c r="M1845" t="s" s="10">
        <v>31</v>
      </c>
      <c r="N1845" s="17">
        <v>19</v>
      </c>
      <c r="O1845" s="18">
        <v>8763</v>
      </c>
      <c r="P1845" s="18">
        <v>8778</v>
      </c>
      <c r="Q1845" s="15"/>
      <c r="R1845" t="s" s="16">
        <f>HYPERLINK("http://secrets.rutgers.edu:8080/data/asl-ftp/asllvd/demos/verify_start_end_handshape_annotations//test_auto_move//signs_mov_separ_signers/Brady_15572.mov","MOV")</f>
        <v>21</v>
      </c>
    </row>
    <row r="1846" s="2" customFormat="1" ht="13.5" customHeight="1">
      <c r="B1846" s="13"/>
      <c r="C1846" t="s" s="9">
        <v>30</v>
      </c>
      <c r="D1846" t="s" s="8">
        <v>658</v>
      </c>
      <c r="E1846" t="s" s="9">
        <v>658</v>
      </c>
      <c r="F1846" t="s" s="10">
        <v>68</v>
      </c>
      <c r="G1846" s="17">
        <v>1</v>
      </c>
      <c r="H1846" t="s" s="10">
        <v>68</v>
      </c>
      <c r="I1846" s="17">
        <v>1</v>
      </c>
      <c r="J1846" t="s" s="11">
        <v>20</v>
      </c>
      <c r="K1846" s="15"/>
      <c r="L1846" t="s" s="16">
        <f>HYPERLINK("http://csr.bu.edu/ftp/asl/asllvd/demos/verify_start_end_handshape_annotations//test_auto_move//signs_mov_separ_signers/Brady_15606.mov","MOV")</f>
        <v>21</v>
      </c>
      <c r="M1846" t="s" s="10">
        <v>39</v>
      </c>
      <c r="N1846" s="17">
        <v>21</v>
      </c>
      <c r="O1846" s="18">
        <v>538</v>
      </c>
      <c r="P1846" s="18">
        <v>551</v>
      </c>
      <c r="Q1846" s="15"/>
      <c r="R1846" t="s" s="16">
        <f>HYPERLINK("http://secrets.rutgers.edu:8080/data/asl-ftp/asllvd/demos/verify_start_end_handshape_annotations//test_auto_move//signs_mov_separ_signers/Brady_15606.mov","MOV")</f>
        <v>21</v>
      </c>
    </row>
    <row r="1847" s="2" customFormat="1" ht="13.5" customHeight="1">
      <c r="B1847" t="s" s="8">
        <v>659</v>
      </c>
      <c r="C1847" t="s" s="9">
        <v>14</v>
      </c>
      <c r="D1847" t="s" s="8">
        <v>14</v>
      </c>
      <c r="E1847" t="s" s="9">
        <v>14</v>
      </c>
      <c r="F1847" t="s" s="10">
        <v>14</v>
      </c>
      <c r="G1847" t="s" s="11">
        <v>14</v>
      </c>
      <c r="H1847" t="s" s="10">
        <v>14</v>
      </c>
      <c r="I1847" t="s" s="11">
        <v>14</v>
      </c>
      <c r="J1847" t="s" s="11">
        <v>14</v>
      </c>
      <c r="K1847" t="s" s="12">
        <v>14</v>
      </c>
      <c r="L1847" t="s" s="12">
        <v>14</v>
      </c>
      <c r="M1847" t="s" s="10">
        <v>14</v>
      </c>
      <c r="N1847" t="s" s="11">
        <v>14</v>
      </c>
      <c r="O1847" t="s" s="8">
        <v>14</v>
      </c>
      <c r="P1847" t="s" s="8">
        <v>14</v>
      </c>
      <c r="Q1847" t="s" s="12">
        <v>14</v>
      </c>
      <c r="R1847" t="s" s="12">
        <v>14</v>
      </c>
    </row>
    <row r="1848" s="2" customFormat="1" ht="13.5" customHeight="1">
      <c r="B1848" s="13"/>
      <c r="C1848" t="s" s="9">
        <v>16</v>
      </c>
      <c r="D1848" t="s" s="8">
        <v>659</v>
      </c>
      <c r="E1848" t="s" s="9">
        <v>660</v>
      </c>
      <c r="F1848" t="s" s="10">
        <v>255</v>
      </c>
      <c r="G1848" t="s" s="11">
        <v>73</v>
      </c>
      <c r="H1848" t="s" s="10">
        <v>255</v>
      </c>
      <c r="I1848" t="s" s="11">
        <v>73</v>
      </c>
      <c r="J1848" t="s" s="11">
        <v>20</v>
      </c>
      <c r="K1848" s="15"/>
      <c r="L1848" t="s" s="16">
        <f>HYPERLINK("http://csr.bu.edu/ftp/asl/asllvd/demos/verify_start_end_handshape_annotations//test_auto_move//signs_mov_separ_signers/Liz_397.mov","MOV")</f>
        <v>21</v>
      </c>
      <c r="M1848" t="s" s="10">
        <v>22</v>
      </c>
      <c r="N1848" s="17">
        <v>66</v>
      </c>
      <c r="O1848" s="18">
        <v>1316</v>
      </c>
      <c r="P1848" s="18">
        <v>1375</v>
      </c>
      <c r="Q1848" s="15"/>
      <c r="R1848" t="s" s="16">
        <f>HYPERLINK("http://secrets.rutgers.edu:8080/data/asl-ftp/asllvd/demos/verify_start_end_handshape_annotations//test_auto_move//signs_mov_separ_signers/Liz_397.mov","MOV")</f>
        <v>21</v>
      </c>
    </row>
    <row r="1849" s="2" customFormat="1" ht="13.5" customHeight="1">
      <c r="B1849" s="13"/>
      <c r="C1849" t="s" s="9">
        <v>27</v>
      </c>
      <c r="D1849" t="s" s="8">
        <v>659</v>
      </c>
      <c r="E1849" t="s" s="9">
        <v>661</v>
      </c>
      <c r="F1849" s="19">
        <v>1</v>
      </c>
      <c r="G1849" t="s" s="11">
        <v>73</v>
      </c>
      <c r="H1849" t="s" s="10">
        <v>255</v>
      </c>
      <c r="I1849" t="s" s="11">
        <v>73</v>
      </c>
      <c r="J1849" t="s" s="11">
        <v>20</v>
      </c>
      <c r="K1849" t="s" s="16">
        <f>HYPERLINK("http://csr.bu.edu/ftp/asl/asllvd/demos/verify_start_end_handshape_annotations//test_auto_move//signs_mov/397.mov","MOV")</f>
        <v>21</v>
      </c>
      <c r="L1849" t="s" s="16">
        <f>HYPERLINK("http://csr.bu.edu/ftp/asl/asllvd/demos/verify_start_end_handshape_annotations//test_auto_move//signs_mov_separ_signers/Naomi_397.mov","MOV")</f>
        <v>21</v>
      </c>
      <c r="M1849" t="s" s="10">
        <v>29</v>
      </c>
      <c r="N1849" s="17">
        <v>42</v>
      </c>
      <c r="O1849" s="18">
        <v>2897</v>
      </c>
      <c r="P1849" s="18">
        <v>2935</v>
      </c>
      <c r="Q1849" t="s" s="16">
        <f>HYPERLINK("http://secrets.rutgers.edu:8080/data/asl-ftp/asllvd/demos/verify_start_end_handshape_annotations//test_auto_move//signs_mov/397.mov","MOV")</f>
        <v>21</v>
      </c>
      <c r="R1849" t="s" s="16">
        <f>HYPERLINK("http://secrets.rutgers.edu:8080/data/asl-ftp/asllvd/demos/verify_start_end_handshape_annotations//test_auto_move//signs_mov_separ_signers/Naomi_397.mov","MOV")</f>
        <v>21</v>
      </c>
    </row>
    <row r="1850" s="2" customFormat="1" ht="13.5" customHeight="1">
      <c r="B1850" s="13"/>
      <c r="C1850" t="s" s="9">
        <v>30</v>
      </c>
      <c r="D1850" t="s" s="8">
        <v>659</v>
      </c>
      <c r="E1850" t="s" s="9">
        <v>662</v>
      </c>
      <c r="F1850" s="19">
        <v>1</v>
      </c>
      <c r="G1850" t="s" s="11">
        <v>73</v>
      </c>
      <c r="H1850" t="s" s="10">
        <v>255</v>
      </c>
      <c r="I1850" t="s" s="11">
        <v>73</v>
      </c>
      <c r="J1850" t="s" s="11">
        <v>20</v>
      </c>
      <c r="K1850" s="15"/>
      <c r="L1850" t="s" s="16">
        <f>HYPERLINK("http://csr.bu.edu/ftp/asl/asllvd/demos/verify_start_end_handshape_annotations//test_auto_move//signs_mov_separ_signers/Brady_397.mov","MOV")</f>
        <v>21</v>
      </c>
      <c r="M1850" t="s" s="10">
        <v>31</v>
      </c>
      <c r="N1850" s="17">
        <v>26</v>
      </c>
      <c r="O1850" s="18">
        <v>1211</v>
      </c>
      <c r="P1850" s="18">
        <v>1257</v>
      </c>
      <c r="Q1850" s="15"/>
      <c r="R1850" t="s" s="16">
        <f>HYPERLINK("http://secrets.rutgers.edu:8080/data/asl-ftp/asllvd/demos/verify_start_end_handshape_annotations//test_auto_move//signs_mov_separ_signers/Brady_397.mov","MOV")</f>
        <v>21</v>
      </c>
    </row>
    <row r="1851" s="2" customFormat="1" ht="13.5" customHeight="1">
      <c r="B1851" t="s" s="8">
        <v>52</v>
      </c>
      <c r="C1851" t="s" s="9">
        <v>53</v>
      </c>
      <c r="D1851" t="s" s="8">
        <v>53</v>
      </c>
      <c r="E1851" t="s" s="9">
        <v>53</v>
      </c>
      <c r="F1851" t="s" s="10">
        <v>53</v>
      </c>
      <c r="G1851" t="s" s="11">
        <v>53</v>
      </c>
      <c r="H1851" t="s" s="10">
        <v>53</v>
      </c>
      <c r="I1851" t="s" s="11">
        <v>53</v>
      </c>
      <c r="J1851" t="s" s="11">
        <v>53</v>
      </c>
      <c r="K1851" t="s" s="12">
        <v>53</v>
      </c>
      <c r="L1851" t="s" s="12">
        <v>53</v>
      </c>
      <c r="M1851" t="s" s="10">
        <v>53</v>
      </c>
      <c r="N1851" t="s" s="11">
        <v>53</v>
      </c>
      <c r="O1851" t="s" s="8">
        <v>53</v>
      </c>
      <c r="P1851" t="s" s="8">
        <v>53</v>
      </c>
      <c r="Q1851" t="s" s="12">
        <v>53</v>
      </c>
      <c r="R1851" t="s" s="12">
        <v>53</v>
      </c>
    </row>
    <row r="1852" s="2" customFormat="1" ht="13.5" customHeight="1">
      <c r="B1852" s="13"/>
      <c r="C1852" t="s" s="9">
        <v>16</v>
      </c>
      <c r="D1852" t="s" s="8">
        <v>659</v>
      </c>
      <c r="E1852" t="s" s="9">
        <v>663</v>
      </c>
      <c r="F1852" t="s" s="10">
        <v>70</v>
      </c>
      <c r="G1852" t="s" s="11">
        <v>68</v>
      </c>
      <c r="H1852" t="s" s="10">
        <v>255</v>
      </c>
      <c r="I1852" t="s" s="11">
        <v>68</v>
      </c>
      <c r="J1852" t="s" s="11">
        <v>136</v>
      </c>
      <c r="K1852" s="15"/>
      <c r="L1852" t="s" s="16">
        <f>HYPERLINK("http://csr.bu.edu/ftp/asl/asllvd/demos/verify_start_end_handshape_annotations//test_auto_move//signs_mov_separ_signers/Liz_3874.mov","MOV")</f>
        <v>21</v>
      </c>
      <c r="M1852" t="s" s="10">
        <v>77</v>
      </c>
      <c r="N1852" s="17">
        <v>9</v>
      </c>
      <c r="O1852" s="18">
        <v>1242</v>
      </c>
      <c r="P1852" s="18">
        <v>1335</v>
      </c>
      <c r="Q1852" s="15"/>
      <c r="R1852" t="s" s="16">
        <f>HYPERLINK("http://secrets.rutgers.edu:8080/data/asl-ftp/asllvd/demos/verify_start_end_handshape_annotations//test_auto_move//signs_mov_separ_signers/Liz_3874.mov","MOV")</f>
        <v>21</v>
      </c>
    </row>
    <row r="1853" s="2" customFormat="1" ht="13.5" customHeight="1">
      <c r="B1853" s="13"/>
      <c r="C1853" t="s" s="9">
        <v>23</v>
      </c>
      <c r="D1853" t="s" s="8">
        <v>659</v>
      </c>
      <c r="E1853" t="s" s="9">
        <v>664</v>
      </c>
      <c r="F1853" t="s" s="10">
        <v>268</v>
      </c>
      <c r="G1853" t="s" s="11">
        <v>105</v>
      </c>
      <c r="H1853" t="s" s="10">
        <v>255</v>
      </c>
      <c r="I1853" t="s" s="11">
        <v>105</v>
      </c>
      <c r="J1853" t="s" s="11">
        <v>136</v>
      </c>
      <c r="K1853" t="s" s="16">
        <f>HYPERLINK("http://csr.bu.edu/ftp/asl/asllvd/demos/verify_start_end_handshape_annotations//test_auto_move//signs_mov/3874.mov","MOV")</f>
        <v>21</v>
      </c>
      <c r="L1853" t="s" s="16">
        <f>HYPERLINK("http://csr.bu.edu/ftp/asl/asllvd/demos/verify_start_end_handshape_annotations//test_auto_move//signs_mov_separ_signers/Tyler_3874.mov","MOV")</f>
        <v>21</v>
      </c>
      <c r="M1853" t="s" s="10">
        <v>26</v>
      </c>
      <c r="N1853" s="17">
        <v>41</v>
      </c>
      <c r="O1853" s="18">
        <v>1828</v>
      </c>
      <c r="P1853" s="18">
        <v>1890</v>
      </c>
      <c r="Q1853" t="s" s="16">
        <f>HYPERLINK("http://secrets.rutgers.edu:8080/data/asl-ftp/asllvd/demos/verify_start_end_handshape_annotations//test_auto_move//signs_mov/3874.mov","MOV")</f>
        <v>21</v>
      </c>
      <c r="R1853" t="s" s="16">
        <f>HYPERLINK("http://secrets.rutgers.edu:8080/data/asl-ftp/asllvd/demos/verify_start_end_handshape_annotations//test_auto_move//signs_mov_separ_signers/Tyler_3874.mov","MOV")</f>
        <v>21</v>
      </c>
    </row>
    <row r="1854" s="2" customFormat="1" ht="13.5" customHeight="1">
      <c r="B1854" s="13"/>
      <c r="C1854" t="s" s="9">
        <v>30</v>
      </c>
      <c r="D1854" t="s" s="8">
        <v>659</v>
      </c>
      <c r="E1854" t="s" s="9">
        <v>663</v>
      </c>
      <c r="F1854" s="19">
        <v>1</v>
      </c>
      <c r="G1854" t="s" s="11">
        <v>105</v>
      </c>
      <c r="H1854" t="s" s="10">
        <v>255</v>
      </c>
      <c r="I1854" t="s" s="11">
        <v>105</v>
      </c>
      <c r="J1854" t="s" s="11">
        <v>136</v>
      </c>
      <c r="K1854" s="15"/>
      <c r="L1854" t="s" s="16">
        <f>HYPERLINK("http://csr.bu.edu/ftp/asl/asllvd/demos/verify_start_end_handshape_annotations//test_auto_move//signs_mov_separ_signers/Brady_3874.mov","MOV")</f>
        <v>21</v>
      </c>
      <c r="M1854" t="s" s="10">
        <v>31</v>
      </c>
      <c r="N1854" s="17">
        <v>26</v>
      </c>
      <c r="O1854" s="18">
        <v>725</v>
      </c>
      <c r="P1854" s="18">
        <v>775</v>
      </c>
      <c r="Q1854" s="15"/>
      <c r="R1854" t="s" s="16">
        <f>HYPERLINK("http://secrets.rutgers.edu:8080/data/asl-ftp/asllvd/demos/verify_start_end_handshape_annotations//test_auto_move//signs_mov_separ_signers/Brady_3874.mov","MOV")</f>
        <v>21</v>
      </c>
    </row>
    <row r="1855" s="2" customFormat="1" ht="13.5" customHeight="1">
      <c r="B1855" t="s" s="8">
        <v>665</v>
      </c>
      <c r="C1855" t="s" s="9">
        <v>14</v>
      </c>
      <c r="D1855" t="s" s="8">
        <v>14</v>
      </c>
      <c r="E1855" t="s" s="9">
        <v>14</v>
      </c>
      <c r="F1855" t="s" s="10">
        <v>14</v>
      </c>
      <c r="G1855" t="s" s="11">
        <v>14</v>
      </c>
      <c r="H1855" t="s" s="10">
        <v>14</v>
      </c>
      <c r="I1855" t="s" s="11">
        <v>14</v>
      </c>
      <c r="J1855" t="s" s="11">
        <v>14</v>
      </c>
      <c r="K1855" t="s" s="12">
        <v>14</v>
      </c>
      <c r="L1855" t="s" s="12">
        <v>14</v>
      </c>
      <c r="M1855" t="s" s="10">
        <v>14</v>
      </c>
      <c r="N1855" t="s" s="11">
        <v>14</v>
      </c>
      <c r="O1855" t="s" s="8">
        <v>14</v>
      </c>
      <c r="P1855" t="s" s="8">
        <v>14</v>
      </c>
      <c r="Q1855" t="s" s="12">
        <v>14</v>
      </c>
      <c r="R1855" t="s" s="12">
        <v>14</v>
      </c>
    </row>
    <row r="1856" s="2" customFormat="1" ht="13.5" customHeight="1">
      <c r="B1856" s="13"/>
      <c r="C1856" t="s" s="9">
        <v>16</v>
      </c>
      <c r="D1856" t="s" s="8">
        <v>665</v>
      </c>
      <c r="E1856" t="s" s="9">
        <v>665</v>
      </c>
      <c r="F1856" t="s" s="10">
        <v>240</v>
      </c>
      <c r="G1856" s="14"/>
      <c r="H1856" t="s" s="10">
        <v>240</v>
      </c>
      <c r="I1856" s="14"/>
      <c r="J1856" t="s" s="11">
        <v>20</v>
      </c>
      <c r="K1856" s="15"/>
      <c r="L1856" t="s" s="16">
        <f>HYPERLINK("http://csr.bu.edu/ftp/asl/asllvd/demos/verify_start_end_handshape_annotations//test_auto_move//signs_mov_separ_signers/Liz_398.mov","MOV")</f>
        <v>21</v>
      </c>
      <c r="M1856" t="s" s="10">
        <v>22</v>
      </c>
      <c r="N1856" s="17">
        <v>67</v>
      </c>
      <c r="O1856" s="18">
        <v>270</v>
      </c>
      <c r="P1856" s="18">
        <v>328</v>
      </c>
      <c r="Q1856" s="15"/>
      <c r="R1856" t="s" s="16">
        <f>HYPERLINK("http://secrets.rutgers.edu:8080/data/asl-ftp/asllvd/demos/verify_start_end_handshape_annotations//test_auto_move//signs_mov_separ_signers/Liz_398.mov","MOV")</f>
        <v>21</v>
      </c>
    </row>
    <row r="1857" s="2" customFormat="1" ht="13.5" customHeight="1">
      <c r="B1857" s="13"/>
      <c r="C1857" t="s" s="9">
        <v>23</v>
      </c>
      <c r="D1857" t="s" s="8">
        <v>665</v>
      </c>
      <c r="E1857" t="s" s="9">
        <v>665</v>
      </c>
      <c r="F1857" t="s" s="10">
        <v>240</v>
      </c>
      <c r="G1857" s="14"/>
      <c r="H1857" t="s" s="10">
        <v>391</v>
      </c>
      <c r="I1857" s="14"/>
      <c r="J1857" t="s" s="11">
        <v>20</v>
      </c>
      <c r="K1857" t="s" s="16">
        <f>HYPERLINK("http://csr.bu.edu/ftp/asl/asllvd/demos/verify_start_end_handshape_annotations//test_auto_move//signs_mov/398.mov","MOV")</f>
        <v>21</v>
      </c>
      <c r="L1857" t="s" s="16">
        <f>HYPERLINK("http://csr.bu.edu/ftp/asl/asllvd/demos/verify_start_end_handshape_annotations//test_auto_move//signs_mov_separ_signers/Tyler_398.mov","MOV")</f>
        <v>21</v>
      </c>
      <c r="M1857" t="s" s="10">
        <v>26</v>
      </c>
      <c r="N1857" s="17">
        <v>41</v>
      </c>
      <c r="O1857" s="18">
        <v>2075</v>
      </c>
      <c r="P1857" s="18">
        <v>2110</v>
      </c>
      <c r="Q1857" t="s" s="16">
        <f>HYPERLINK("http://secrets.rutgers.edu:8080/data/asl-ftp/asllvd/demos/verify_start_end_handshape_annotations//test_auto_move//signs_mov/398.mov","MOV")</f>
        <v>21</v>
      </c>
      <c r="R1857" t="s" s="16">
        <f>HYPERLINK("http://secrets.rutgers.edu:8080/data/asl-ftp/asllvd/demos/verify_start_end_handshape_annotations//test_auto_move//signs_mov_separ_signers/Tyler_398.mov","MOV")</f>
        <v>21</v>
      </c>
    </row>
    <row r="1858" s="2" customFormat="1" ht="13.5" customHeight="1">
      <c r="B1858" s="13"/>
      <c r="C1858" t="s" s="9">
        <v>27</v>
      </c>
      <c r="D1858" t="s" s="8">
        <v>665</v>
      </c>
      <c r="E1858" t="s" s="9">
        <v>665</v>
      </c>
      <c r="F1858" t="s" s="10">
        <v>240</v>
      </c>
      <c r="G1858" s="14"/>
      <c r="H1858" t="s" s="10">
        <v>240</v>
      </c>
      <c r="I1858" s="14"/>
      <c r="J1858" t="s" s="11">
        <v>20</v>
      </c>
      <c r="K1858" s="15"/>
      <c r="L1858" t="s" s="16">
        <f>HYPERLINK("http://csr.bu.edu/ftp/asl/asllvd/demos/verify_start_end_handshape_annotations//test_auto_move//signs_mov_separ_signers/Naomi_398.mov","MOV")</f>
        <v>21</v>
      </c>
      <c r="M1858" t="s" s="10">
        <v>29</v>
      </c>
      <c r="N1858" s="17">
        <v>42</v>
      </c>
      <c r="O1858" s="18">
        <v>3477</v>
      </c>
      <c r="P1858" s="18">
        <v>3509</v>
      </c>
      <c r="Q1858" s="15"/>
      <c r="R1858" t="s" s="16">
        <f>HYPERLINK("http://secrets.rutgers.edu:8080/data/asl-ftp/asllvd/demos/verify_start_end_handshape_annotations//test_auto_move//signs_mov_separ_signers/Naomi_398.mov","MOV")</f>
        <v>21</v>
      </c>
    </row>
    <row r="1859" s="2" customFormat="1" ht="13.5" customHeight="1">
      <c r="B1859" t="s" s="8">
        <v>666</v>
      </c>
      <c r="C1859" t="s" s="9">
        <v>14</v>
      </c>
      <c r="D1859" t="s" s="8">
        <v>14</v>
      </c>
      <c r="E1859" t="s" s="9">
        <v>14</v>
      </c>
      <c r="F1859" t="s" s="10">
        <v>14</v>
      </c>
      <c r="G1859" t="s" s="11">
        <v>14</v>
      </c>
      <c r="H1859" t="s" s="10">
        <v>14</v>
      </c>
      <c r="I1859" t="s" s="11">
        <v>14</v>
      </c>
      <c r="J1859" t="s" s="11">
        <v>14</v>
      </c>
      <c r="K1859" t="s" s="12">
        <v>14</v>
      </c>
      <c r="L1859" t="s" s="12">
        <v>14</v>
      </c>
      <c r="M1859" t="s" s="10">
        <v>14</v>
      </c>
      <c r="N1859" t="s" s="11">
        <v>14</v>
      </c>
      <c r="O1859" t="s" s="8">
        <v>14</v>
      </c>
      <c r="P1859" t="s" s="8">
        <v>14</v>
      </c>
      <c r="Q1859" t="s" s="12">
        <v>14</v>
      </c>
      <c r="R1859" t="s" s="12">
        <v>14</v>
      </c>
    </row>
    <row r="1860" s="2" customFormat="1" ht="13.5" customHeight="1">
      <c r="B1860" s="13"/>
      <c r="C1860" t="s" s="9">
        <v>16</v>
      </c>
      <c r="D1860" t="s" s="8">
        <v>666</v>
      </c>
      <c r="E1860" t="s" s="9">
        <v>666</v>
      </c>
      <c r="F1860" t="s" s="10">
        <v>63</v>
      </c>
      <c r="G1860" t="s" s="11">
        <v>63</v>
      </c>
      <c r="H1860" s="19">
        <v>5</v>
      </c>
      <c r="I1860" s="17">
        <v>5</v>
      </c>
      <c r="J1860" t="s" s="11">
        <v>20</v>
      </c>
      <c r="K1860" s="15"/>
      <c r="L1860" t="s" s="16">
        <f>HYPERLINK("http://csr.bu.edu/ftp/asl/asllvd/demos/verify_start_end_handshape_annotations//test_auto_move//signs_mov_separ_signers/Liz_399.mov","MOV")</f>
        <v>21</v>
      </c>
      <c r="M1860" t="s" s="10">
        <v>22</v>
      </c>
      <c r="N1860" s="17">
        <v>67</v>
      </c>
      <c r="O1860" s="18">
        <v>460</v>
      </c>
      <c r="P1860" s="18">
        <v>490</v>
      </c>
      <c r="Q1860" s="15"/>
      <c r="R1860" t="s" s="16">
        <f>HYPERLINK("http://secrets.rutgers.edu:8080/data/asl-ftp/asllvd/demos/verify_start_end_handshape_annotations//test_auto_move//signs_mov_separ_signers/Liz_399.mov","MOV")</f>
        <v>21</v>
      </c>
    </row>
    <row r="1861" s="2" customFormat="1" ht="13.5" customHeight="1">
      <c r="B1861" s="13"/>
      <c r="C1861" t="s" s="9">
        <v>23</v>
      </c>
      <c r="D1861" t="s" s="8">
        <v>666</v>
      </c>
      <c r="E1861" t="s" s="9">
        <v>666</v>
      </c>
      <c r="F1861" t="s" s="10">
        <v>68</v>
      </c>
      <c r="G1861" t="s" s="11">
        <v>68</v>
      </c>
      <c r="H1861" t="s" s="10">
        <v>72</v>
      </c>
      <c r="I1861" t="s" s="11">
        <v>72</v>
      </c>
      <c r="J1861" t="s" s="11">
        <v>20</v>
      </c>
      <c r="K1861" t="s" s="16">
        <f>HYPERLINK("http://csr.bu.edu/ftp/asl/asllvd/demos/verify_start_end_handshape_annotations//test_auto_move//signs_mov/399.mov","MOV")</f>
        <v>21</v>
      </c>
      <c r="L1861" t="s" s="16">
        <f>HYPERLINK("http://csr.bu.edu/ftp/asl/asllvd/demos/verify_start_end_handshape_annotations//test_auto_move//signs_mov_separ_signers/Tyler_399.mov","MOV")</f>
        <v>21</v>
      </c>
      <c r="M1861" t="s" s="10">
        <v>26</v>
      </c>
      <c r="N1861" s="17">
        <v>41</v>
      </c>
      <c r="O1861" s="18">
        <v>2427</v>
      </c>
      <c r="P1861" s="18">
        <v>2457</v>
      </c>
      <c r="Q1861" t="s" s="16">
        <f>HYPERLINK("http://secrets.rutgers.edu:8080/data/asl-ftp/asllvd/demos/verify_start_end_handshape_annotations//test_auto_move//signs_mov/399.mov","MOV")</f>
        <v>21</v>
      </c>
      <c r="R1861" t="s" s="16">
        <f>HYPERLINK("http://secrets.rutgers.edu:8080/data/asl-ftp/asllvd/demos/verify_start_end_handshape_annotations//test_auto_move//signs_mov_separ_signers/Tyler_399.mov","MOV")</f>
        <v>21</v>
      </c>
    </row>
    <row r="1862" s="2" customFormat="1" ht="13.5" customHeight="1">
      <c r="B1862" s="13"/>
      <c r="C1862" t="s" s="9">
        <v>27</v>
      </c>
      <c r="D1862" t="s" s="8">
        <v>666</v>
      </c>
      <c r="E1862" t="s" s="9">
        <v>666</v>
      </c>
      <c r="F1862" t="s" s="10">
        <v>68</v>
      </c>
      <c r="G1862" t="s" s="11">
        <v>68</v>
      </c>
      <c r="H1862" t="s" s="10">
        <v>73</v>
      </c>
      <c r="I1862" t="s" s="11">
        <v>73</v>
      </c>
      <c r="J1862" t="s" s="11">
        <v>20</v>
      </c>
      <c r="K1862" s="15"/>
      <c r="L1862" t="s" s="16">
        <f>HYPERLINK("http://csr.bu.edu/ftp/asl/asllvd/demos/verify_start_end_handshape_annotations//test_auto_move//signs_mov_separ_signers/Naomi_399.mov","MOV")</f>
        <v>21</v>
      </c>
      <c r="M1862" t="s" s="10">
        <v>29</v>
      </c>
      <c r="N1862" s="17">
        <v>42</v>
      </c>
      <c r="O1862" s="18">
        <v>3840</v>
      </c>
      <c r="P1862" s="18">
        <v>3864</v>
      </c>
      <c r="Q1862" s="15"/>
      <c r="R1862" t="s" s="16">
        <f>HYPERLINK("http://secrets.rutgers.edu:8080/data/asl-ftp/asllvd/demos/verify_start_end_handshape_annotations//test_auto_move//signs_mov_separ_signers/Naomi_399.mov","MOV")</f>
        <v>21</v>
      </c>
    </row>
    <row r="1863" s="2" customFormat="1" ht="13.5" customHeight="1">
      <c r="B1863" s="13"/>
      <c r="C1863" t="s" s="9">
        <v>30</v>
      </c>
      <c r="D1863" t="s" s="8">
        <v>666</v>
      </c>
      <c r="E1863" t="s" s="9">
        <v>666</v>
      </c>
      <c r="F1863" t="s" s="10">
        <v>63</v>
      </c>
      <c r="G1863" t="s" s="11">
        <v>63</v>
      </c>
      <c r="H1863" t="s" s="10">
        <v>72</v>
      </c>
      <c r="I1863" t="s" s="11">
        <v>72</v>
      </c>
      <c r="J1863" t="s" s="11">
        <v>20</v>
      </c>
      <c r="K1863" s="15"/>
      <c r="L1863" t="s" s="16">
        <f>HYPERLINK("http://csr.bu.edu/ftp/asl/asllvd/demos/verify_start_end_handshape_annotations//test_auto_move//signs_mov_separ_signers/Brady_399.mov","MOV")</f>
        <v>21</v>
      </c>
      <c r="M1863" t="s" s="10">
        <v>31</v>
      </c>
      <c r="N1863" s="17">
        <v>26</v>
      </c>
      <c r="O1863" s="18">
        <v>2340</v>
      </c>
      <c r="P1863" s="18">
        <v>2360</v>
      </c>
      <c r="Q1863" s="15"/>
      <c r="R1863" t="s" s="16">
        <f>HYPERLINK("http://secrets.rutgers.edu:8080/data/asl-ftp/asllvd/demos/verify_start_end_handshape_annotations//test_auto_move//signs_mov_separ_signers/Brady_399.mov","MOV")</f>
        <v>21</v>
      </c>
    </row>
    <row r="1864" s="2" customFormat="1" ht="13.5" customHeight="1">
      <c r="B1864" t="s" s="8">
        <v>667</v>
      </c>
      <c r="C1864" t="s" s="9">
        <v>14</v>
      </c>
      <c r="D1864" t="s" s="8">
        <v>14</v>
      </c>
      <c r="E1864" t="s" s="9">
        <v>14</v>
      </c>
      <c r="F1864" t="s" s="10">
        <v>14</v>
      </c>
      <c r="G1864" t="s" s="11">
        <v>14</v>
      </c>
      <c r="H1864" t="s" s="10">
        <v>14</v>
      </c>
      <c r="I1864" t="s" s="11">
        <v>14</v>
      </c>
      <c r="J1864" t="s" s="11">
        <v>14</v>
      </c>
      <c r="K1864" t="s" s="12">
        <v>14</v>
      </c>
      <c r="L1864" t="s" s="12">
        <v>14</v>
      </c>
      <c r="M1864" t="s" s="10">
        <v>14</v>
      </c>
      <c r="N1864" t="s" s="11">
        <v>14</v>
      </c>
      <c r="O1864" t="s" s="8">
        <v>14</v>
      </c>
      <c r="P1864" t="s" s="8">
        <v>14</v>
      </c>
      <c r="Q1864" t="s" s="12">
        <v>14</v>
      </c>
      <c r="R1864" t="s" s="12">
        <v>14</v>
      </c>
    </row>
    <row r="1865" s="2" customFormat="1" ht="13.5" customHeight="1">
      <c r="B1865" s="13"/>
      <c r="C1865" t="s" s="9">
        <v>16</v>
      </c>
      <c r="D1865" t="s" s="8">
        <v>667</v>
      </c>
      <c r="E1865" t="s" s="9">
        <v>667</v>
      </c>
      <c r="F1865" t="s" s="10">
        <v>255</v>
      </c>
      <c r="G1865" t="s" s="11">
        <v>255</v>
      </c>
      <c r="H1865" t="s" s="10">
        <v>255</v>
      </c>
      <c r="I1865" t="s" s="11">
        <v>255</v>
      </c>
      <c r="J1865" t="s" s="11">
        <v>20</v>
      </c>
      <c r="K1865" s="15"/>
      <c r="L1865" t="s" s="16">
        <f>HYPERLINK("http://csr.bu.edu/ftp/asl/asllvd/demos/verify_start_end_handshape_annotations//test_auto_move//signs_mov_separ_signers/Liz_401.mov","MOV")</f>
        <v>21</v>
      </c>
      <c r="M1865" t="s" s="10">
        <v>22</v>
      </c>
      <c r="N1865" s="17">
        <v>67</v>
      </c>
      <c r="O1865" s="18">
        <v>925</v>
      </c>
      <c r="P1865" s="18">
        <v>990</v>
      </c>
      <c r="Q1865" s="15"/>
      <c r="R1865" t="s" s="16">
        <f>HYPERLINK("http://secrets.rutgers.edu:8080/data/asl-ftp/asllvd/demos/verify_start_end_handshape_annotations//test_auto_move//signs_mov_separ_signers/Liz_401.mov","MOV")</f>
        <v>21</v>
      </c>
    </row>
    <row r="1866" s="2" customFormat="1" ht="13.5" customHeight="1">
      <c r="B1866" s="13"/>
      <c r="C1866" t="s" s="9">
        <v>16</v>
      </c>
      <c r="D1866" t="s" s="8">
        <v>667</v>
      </c>
      <c r="E1866" t="s" s="9">
        <v>667</v>
      </c>
      <c r="F1866" t="s" s="10">
        <v>255</v>
      </c>
      <c r="G1866" t="s" s="11">
        <v>255</v>
      </c>
      <c r="H1866" t="s" s="10">
        <v>255</v>
      </c>
      <c r="I1866" t="s" s="11">
        <v>255</v>
      </c>
      <c r="J1866" t="s" s="11">
        <v>20</v>
      </c>
      <c r="K1866" s="15"/>
      <c r="L1866" t="s" s="16">
        <f>HYPERLINK("http://csr.bu.edu/ftp/asl/asllvd/demos/verify_start_end_handshape_annotations//test_auto_move//signs_mov_separ_signers/Liz_5651.mov","MOV")</f>
        <v>21</v>
      </c>
      <c r="M1866" t="s" s="10">
        <v>77</v>
      </c>
      <c r="N1866" s="17">
        <v>23</v>
      </c>
      <c r="O1866" s="18">
        <v>1230</v>
      </c>
      <c r="P1866" s="18">
        <v>1290</v>
      </c>
      <c r="Q1866" s="15"/>
      <c r="R1866" t="s" s="16">
        <f>HYPERLINK("http://secrets.rutgers.edu:8080/data/asl-ftp/asllvd/demos/verify_start_end_handshape_annotations//test_auto_move//signs_mov_separ_signers/Liz_5651.mov","MOV")</f>
        <v>21</v>
      </c>
    </row>
    <row r="1867" s="2" customFormat="1" ht="13.5" customHeight="1">
      <c r="B1867" s="13"/>
      <c r="C1867" t="s" s="9">
        <v>23</v>
      </c>
      <c r="D1867" t="s" s="8">
        <v>667</v>
      </c>
      <c r="E1867" t="s" s="9">
        <v>667</v>
      </c>
      <c r="F1867" t="s" s="10">
        <v>255</v>
      </c>
      <c r="G1867" t="s" s="11">
        <v>255</v>
      </c>
      <c r="H1867" t="s" s="10">
        <v>255</v>
      </c>
      <c r="I1867" t="s" s="11">
        <v>255</v>
      </c>
      <c r="J1867" t="s" s="11">
        <v>20</v>
      </c>
      <c r="K1867" t="s" s="16">
        <f>HYPERLINK("http://csr.bu.edu/ftp/asl/asllvd/demos/verify_start_end_handshape_annotations//test_auto_move//signs_mov/401_5651_merged.mov","MOV")</f>
        <v>21</v>
      </c>
      <c r="L1867" t="s" s="16">
        <f>HYPERLINK("http://csr.bu.edu/ftp/asl/asllvd/demos/verify_start_end_handshape_annotations//test_auto_move//signs_mov_separ_signers/Tyler_401.mov","MOV")</f>
        <v>21</v>
      </c>
      <c r="M1867" t="s" s="10">
        <v>26</v>
      </c>
      <c r="N1867" s="17">
        <v>42</v>
      </c>
      <c r="O1867" s="18">
        <v>295</v>
      </c>
      <c r="P1867" s="18">
        <v>360</v>
      </c>
      <c r="Q1867" t="s" s="16">
        <f>HYPERLINK("http://secrets.rutgers.edu:8080/data/asl-ftp/asllvd/demos/verify_start_end_handshape_annotations//test_auto_move//signs_mov/401_5651_merged.mov","MOV")</f>
        <v>21</v>
      </c>
      <c r="R1867" t="s" s="16">
        <f>HYPERLINK("http://secrets.rutgers.edu:8080/data/asl-ftp/asllvd/demos/verify_start_end_handshape_annotations//test_auto_move//signs_mov_separ_signers/Tyler_401.mov","MOV")</f>
        <v>21</v>
      </c>
    </row>
    <row r="1868" s="2" customFormat="1" ht="13.5" customHeight="1">
      <c r="B1868" s="13"/>
      <c r="C1868" t="s" s="9">
        <v>30</v>
      </c>
      <c r="D1868" t="s" s="8">
        <v>667</v>
      </c>
      <c r="E1868" t="s" s="9">
        <v>667</v>
      </c>
      <c r="F1868" t="s" s="10">
        <v>255</v>
      </c>
      <c r="G1868" t="s" s="11">
        <v>255</v>
      </c>
      <c r="H1868" t="s" s="10">
        <v>255</v>
      </c>
      <c r="I1868" t="s" s="11">
        <v>255</v>
      </c>
      <c r="J1868" t="s" s="11">
        <v>20</v>
      </c>
      <c r="K1868" s="15"/>
      <c r="L1868" t="s" s="16">
        <f>HYPERLINK("http://csr.bu.edu/ftp/asl/asllvd/demos/verify_start_end_handshape_annotations//test_auto_move//signs_mov_separ_signers/Brady_401.mov","MOV")</f>
        <v>21</v>
      </c>
      <c r="M1868" t="s" s="10">
        <v>31</v>
      </c>
      <c r="N1868" s="17">
        <v>11</v>
      </c>
      <c r="O1868" s="18">
        <v>11813</v>
      </c>
      <c r="P1868" s="18">
        <v>11847</v>
      </c>
      <c r="Q1868" s="15"/>
      <c r="R1868" t="s" s="16">
        <f>HYPERLINK("http://secrets.rutgers.edu:8080/data/asl-ftp/asllvd/demos/verify_start_end_handshape_annotations//test_auto_move//signs_mov_separ_signers/Brady_401.mov","MOV")</f>
        <v>21</v>
      </c>
    </row>
    <row r="1869" s="2" customFormat="1" ht="13.5" customHeight="1">
      <c r="B1869" s="13"/>
      <c r="C1869" t="s" s="9">
        <v>30</v>
      </c>
      <c r="D1869" t="s" s="8">
        <v>667</v>
      </c>
      <c r="E1869" t="s" s="9">
        <v>667</v>
      </c>
      <c r="F1869" t="s" s="10">
        <v>255</v>
      </c>
      <c r="G1869" t="s" s="11">
        <v>255</v>
      </c>
      <c r="H1869" t="s" s="10">
        <v>255</v>
      </c>
      <c r="I1869" t="s" s="11">
        <v>255</v>
      </c>
      <c r="J1869" t="s" s="11">
        <v>20</v>
      </c>
      <c r="K1869" s="15"/>
      <c r="L1869" t="s" s="16">
        <f>HYPERLINK("http://csr.bu.edu/ftp/asl/asllvd/demos/verify_start_end_handshape_annotations//test_auto_move//signs_mov_separ_signers/Brady_5651.mov","MOV")</f>
        <v>21</v>
      </c>
      <c r="M1869" t="s" s="10">
        <v>31</v>
      </c>
      <c r="N1869" s="17">
        <v>26</v>
      </c>
      <c r="O1869" s="18">
        <v>3425</v>
      </c>
      <c r="P1869" s="18">
        <v>3457</v>
      </c>
      <c r="Q1869" s="15"/>
      <c r="R1869" t="s" s="16">
        <f>HYPERLINK("http://secrets.rutgers.edu:8080/data/asl-ftp/asllvd/demos/verify_start_end_handshape_annotations//test_auto_move//signs_mov_separ_signers/Brady_5651.mov","MOV")</f>
        <v>21</v>
      </c>
    </row>
    <row r="1870" s="2" customFormat="1" ht="13.5" customHeight="1">
      <c r="B1870" t="s" s="8">
        <v>52</v>
      </c>
      <c r="C1870" t="s" s="9">
        <v>53</v>
      </c>
      <c r="D1870" t="s" s="8">
        <v>53</v>
      </c>
      <c r="E1870" t="s" s="9">
        <v>53</v>
      </c>
      <c r="F1870" t="s" s="10">
        <v>53</v>
      </c>
      <c r="G1870" t="s" s="11">
        <v>53</v>
      </c>
      <c r="H1870" t="s" s="10">
        <v>53</v>
      </c>
      <c r="I1870" t="s" s="11">
        <v>53</v>
      </c>
      <c r="J1870" t="s" s="11">
        <v>53</v>
      </c>
      <c r="K1870" t="s" s="12">
        <v>53</v>
      </c>
      <c r="L1870" t="s" s="12">
        <v>53</v>
      </c>
      <c r="M1870" t="s" s="10">
        <v>53</v>
      </c>
      <c r="N1870" t="s" s="11">
        <v>53</v>
      </c>
      <c r="O1870" t="s" s="8">
        <v>53</v>
      </c>
      <c r="P1870" t="s" s="8">
        <v>53</v>
      </c>
      <c r="Q1870" t="s" s="12">
        <v>53</v>
      </c>
      <c r="R1870" t="s" s="12">
        <v>53</v>
      </c>
    </row>
    <row r="1871" s="2" customFormat="1" ht="27.75" customHeight="1">
      <c r="B1871" s="13"/>
      <c r="C1871" t="s" s="9">
        <v>27</v>
      </c>
      <c r="D1871" t="s" s="8">
        <v>667</v>
      </c>
      <c r="E1871" t="s" s="9">
        <v>668</v>
      </c>
      <c r="F1871" t="s" s="10">
        <v>65</v>
      </c>
      <c r="G1871" t="s" s="11">
        <v>65</v>
      </c>
      <c r="H1871" t="s" s="10">
        <v>65</v>
      </c>
      <c r="I1871" t="s" s="11">
        <v>65</v>
      </c>
      <c r="J1871" t="s" s="11">
        <v>20</v>
      </c>
      <c r="K1871" t="s" s="16">
        <f>HYPERLINK("http://csr.bu.edu/ftp/asl/asllvd/demos/verify_start_end_handshape_annotations//test_auto_move//signs_mov/16192.mov","MOV")</f>
        <v>21</v>
      </c>
      <c r="L1871" t="s" s="16">
        <f>HYPERLINK("http://csr.bu.edu/ftp/asl/asllvd/demos/verify_start_end_handshape_annotations//test_auto_move//signs_mov_separ_signers/Naomi_16192.mov","MOV")</f>
        <v>21</v>
      </c>
      <c r="M1871" t="s" s="10">
        <v>29</v>
      </c>
      <c r="N1871" s="17">
        <v>43</v>
      </c>
      <c r="O1871" s="18">
        <v>932</v>
      </c>
      <c r="P1871" s="18">
        <v>992</v>
      </c>
      <c r="Q1871" t="s" s="16">
        <f>HYPERLINK("http://secrets.rutgers.edu:8080/data/asl-ftp/asllvd/demos/verify_start_end_handshape_annotations//test_auto_move//signs_mov/16192.mov","MOV")</f>
        <v>21</v>
      </c>
      <c r="R1871" t="s" s="16">
        <f>HYPERLINK("http://secrets.rutgers.edu:8080/data/asl-ftp/asllvd/demos/verify_start_end_handshape_annotations//test_auto_move//signs_mov_separ_signers/Naomi_16192.mov","MOV")</f>
        <v>21</v>
      </c>
    </row>
    <row r="1872" s="2" customFormat="1" ht="27.75" customHeight="1">
      <c r="B1872" t="s" s="8">
        <v>669</v>
      </c>
      <c r="C1872" t="s" s="9">
        <v>14</v>
      </c>
      <c r="D1872" t="s" s="8">
        <v>14</v>
      </c>
      <c r="E1872" t="s" s="9">
        <v>14</v>
      </c>
      <c r="F1872" t="s" s="10">
        <v>14</v>
      </c>
      <c r="G1872" t="s" s="11">
        <v>14</v>
      </c>
      <c r="H1872" t="s" s="10">
        <v>14</v>
      </c>
      <c r="I1872" t="s" s="11">
        <v>14</v>
      </c>
      <c r="J1872" t="s" s="11">
        <v>14</v>
      </c>
      <c r="K1872" t="s" s="12">
        <v>14</v>
      </c>
      <c r="L1872" t="s" s="12">
        <v>14</v>
      </c>
      <c r="M1872" t="s" s="10">
        <v>14</v>
      </c>
      <c r="N1872" t="s" s="11">
        <v>14</v>
      </c>
      <c r="O1872" t="s" s="8">
        <v>14</v>
      </c>
      <c r="P1872" t="s" s="8">
        <v>14</v>
      </c>
      <c r="Q1872" t="s" s="12">
        <v>14</v>
      </c>
      <c r="R1872" t="s" s="12">
        <v>14</v>
      </c>
    </row>
    <row r="1873" s="2" customFormat="1" ht="27.75" customHeight="1">
      <c r="B1873" s="13"/>
      <c r="C1873" t="s" s="9">
        <v>16</v>
      </c>
      <c r="D1873" t="s" s="8">
        <v>670</v>
      </c>
      <c r="E1873" t="s" s="9">
        <v>670</v>
      </c>
      <c r="F1873" t="s" s="10">
        <v>255</v>
      </c>
      <c r="G1873" t="s" s="11">
        <v>255</v>
      </c>
      <c r="H1873" t="s" s="10">
        <v>73</v>
      </c>
      <c r="I1873" t="s" s="11">
        <v>73</v>
      </c>
      <c r="J1873" t="s" s="11">
        <v>20</v>
      </c>
      <c r="K1873" t="s" s="16">
        <f>HYPERLINK("http://csr.bu.edu/ftp/asl/asllvd/demos/verify_start_end_handshape_annotations//test_auto_move//signs_mov/16535.mov","MOV")</f>
        <v>21</v>
      </c>
      <c r="L1873" t="s" s="16">
        <f>HYPERLINK("http://csr.bu.edu/ftp/asl/asllvd/demos/verify_start_end_handshape_annotations//test_auto_move//signs_mov_separ_signers/Liz_16535.mov","MOV")</f>
        <v>21</v>
      </c>
      <c r="M1873" t="s" s="10">
        <v>77</v>
      </c>
      <c r="N1873" s="17">
        <v>29</v>
      </c>
      <c r="O1873" s="18">
        <v>2605</v>
      </c>
      <c r="P1873" s="18">
        <v>2658</v>
      </c>
      <c r="Q1873" t="s" s="16">
        <f>HYPERLINK("http://secrets.rutgers.edu:8080/data/asl-ftp/asllvd/demos/verify_start_end_handshape_annotations//test_auto_move//signs_mov/16535.mov","MOV")</f>
        <v>21</v>
      </c>
      <c r="R1873" t="s" s="16">
        <f>HYPERLINK("http://secrets.rutgers.edu:8080/data/asl-ftp/asllvd/demos/verify_start_end_handshape_annotations//test_auto_move//signs_mov_separ_signers/Liz_16535.mov","MOV")</f>
        <v>21</v>
      </c>
    </row>
    <row r="1874" s="2" customFormat="1" ht="27.75" customHeight="1">
      <c r="B1874" s="13"/>
      <c r="C1874" t="s" s="9">
        <v>30</v>
      </c>
      <c r="D1874" t="s" s="8">
        <v>670</v>
      </c>
      <c r="E1874" t="s" s="9">
        <v>670</v>
      </c>
      <c r="F1874" t="s" s="10">
        <v>255</v>
      </c>
      <c r="G1874" t="s" s="11">
        <v>255</v>
      </c>
      <c r="H1874" s="19">
        <v>5</v>
      </c>
      <c r="I1874" s="17">
        <v>5</v>
      </c>
      <c r="J1874" t="s" s="11">
        <v>20</v>
      </c>
      <c r="K1874" s="15"/>
      <c r="L1874" t="s" s="16">
        <f>HYPERLINK("http://csr.bu.edu/ftp/asl/asllvd/demos/verify_start_end_handshape_annotations//test_auto_move//signs_mov_separ_signers/Brady_16535.mov","MOV")</f>
        <v>21</v>
      </c>
      <c r="M1874" t="s" s="10">
        <v>39</v>
      </c>
      <c r="N1874" s="17">
        <v>31</v>
      </c>
      <c r="O1874" s="18">
        <v>161</v>
      </c>
      <c r="P1874" s="18">
        <v>198</v>
      </c>
      <c r="Q1874" s="15"/>
      <c r="R1874" t="s" s="16">
        <f>HYPERLINK("http://secrets.rutgers.edu:8080/data/asl-ftp/asllvd/demos/verify_start_end_handshape_annotations//test_auto_move//signs_mov_separ_signers/Brady_16535.mov","MOV")</f>
        <v>21</v>
      </c>
    </row>
    <row r="1875" s="2" customFormat="1" ht="13.5" customHeight="1">
      <c r="B1875" t="s" s="8">
        <v>671</v>
      </c>
      <c r="C1875" t="s" s="9">
        <v>14</v>
      </c>
      <c r="D1875" t="s" s="8">
        <v>14</v>
      </c>
      <c r="E1875" t="s" s="9">
        <v>14</v>
      </c>
      <c r="F1875" t="s" s="10">
        <v>14</v>
      </c>
      <c r="G1875" t="s" s="11">
        <v>14</v>
      </c>
      <c r="H1875" t="s" s="10">
        <v>14</v>
      </c>
      <c r="I1875" t="s" s="11">
        <v>14</v>
      </c>
      <c r="J1875" t="s" s="11">
        <v>14</v>
      </c>
      <c r="K1875" t="s" s="12">
        <v>14</v>
      </c>
      <c r="L1875" t="s" s="12">
        <v>14</v>
      </c>
      <c r="M1875" t="s" s="10">
        <v>14</v>
      </c>
      <c r="N1875" t="s" s="11">
        <v>14</v>
      </c>
      <c r="O1875" t="s" s="8">
        <v>14</v>
      </c>
      <c r="P1875" t="s" s="8">
        <v>14</v>
      </c>
      <c r="Q1875" t="s" s="12">
        <v>14</v>
      </c>
      <c r="R1875" t="s" s="12">
        <v>14</v>
      </c>
    </row>
    <row r="1876" s="2" customFormat="1" ht="13.5" customHeight="1">
      <c r="B1876" s="13"/>
      <c r="C1876" t="s" s="9">
        <v>16</v>
      </c>
      <c r="D1876" t="s" s="8">
        <v>671</v>
      </c>
      <c r="E1876" t="s" s="9">
        <v>671</v>
      </c>
      <c r="F1876" t="s" s="10">
        <v>73</v>
      </c>
      <c r="G1876" t="s" s="11">
        <v>73</v>
      </c>
      <c r="H1876" t="s" s="10">
        <v>80</v>
      </c>
      <c r="I1876" t="s" s="11">
        <v>73</v>
      </c>
      <c r="J1876" t="s" s="11">
        <v>20</v>
      </c>
      <c r="K1876" s="15"/>
      <c r="L1876" t="s" s="16">
        <f>HYPERLINK("http://csr.bu.edu/ftp/asl/asllvd/demos/verify_start_end_handshape_annotations//test_auto_move//signs_mov_separ_signers/Liz_402.mov","MOV")</f>
        <v>21</v>
      </c>
      <c r="M1876" t="s" s="10">
        <v>22</v>
      </c>
      <c r="N1876" s="17">
        <v>67</v>
      </c>
      <c r="O1876" s="18">
        <v>1130</v>
      </c>
      <c r="P1876" s="18">
        <v>1166</v>
      </c>
      <c r="Q1876" s="15"/>
      <c r="R1876" t="s" s="16">
        <f>HYPERLINK("http://secrets.rutgers.edu:8080/data/asl-ftp/asllvd/demos/verify_start_end_handshape_annotations//test_auto_move//signs_mov_separ_signers/Liz_402.mov","MOV")</f>
        <v>21</v>
      </c>
    </row>
    <row r="1877" s="2" customFormat="1" ht="13.5" customHeight="1">
      <c r="B1877" s="13"/>
      <c r="C1877" t="s" s="9">
        <v>23</v>
      </c>
      <c r="D1877" t="s" s="8">
        <v>671</v>
      </c>
      <c r="E1877" t="s" s="9">
        <v>671</v>
      </c>
      <c r="F1877" t="s" s="10">
        <v>73</v>
      </c>
      <c r="G1877" t="s" s="11">
        <v>73</v>
      </c>
      <c r="H1877" t="s" s="10">
        <v>80</v>
      </c>
      <c r="I1877" t="s" s="11">
        <v>73</v>
      </c>
      <c r="J1877" t="s" s="11">
        <v>20</v>
      </c>
      <c r="K1877" s="15"/>
      <c r="L1877" t="s" s="16">
        <f>HYPERLINK("http://csr.bu.edu/ftp/asl/asllvd/demos/verify_start_end_handshape_annotations//test_auto_move//signs_mov_separ_signers/Tyler_402.mov","MOV")</f>
        <v>21</v>
      </c>
      <c r="M1877" t="s" s="10">
        <v>26</v>
      </c>
      <c r="N1877" s="17">
        <v>42</v>
      </c>
      <c r="O1877" s="18">
        <v>500</v>
      </c>
      <c r="P1877" s="18">
        <v>535</v>
      </c>
      <c r="Q1877" s="15"/>
      <c r="R1877" t="s" s="16">
        <f>HYPERLINK("http://secrets.rutgers.edu:8080/data/asl-ftp/asllvd/demos/verify_start_end_handshape_annotations//test_auto_move//signs_mov_separ_signers/Tyler_402.mov","MOV")</f>
        <v>21</v>
      </c>
    </row>
    <row r="1878" s="2" customFormat="1" ht="13.5" customHeight="1">
      <c r="B1878" s="13"/>
      <c r="C1878" t="s" s="9">
        <v>27</v>
      </c>
      <c r="D1878" t="s" s="8">
        <v>671</v>
      </c>
      <c r="E1878" t="s" s="9">
        <v>671</v>
      </c>
      <c r="F1878" t="s" s="10">
        <v>73</v>
      </c>
      <c r="G1878" t="s" s="11">
        <v>73</v>
      </c>
      <c r="H1878" t="s" s="10">
        <v>80</v>
      </c>
      <c r="I1878" t="s" s="11">
        <v>73</v>
      </c>
      <c r="J1878" t="s" s="11">
        <v>20</v>
      </c>
      <c r="K1878" t="s" s="16">
        <f>HYPERLINK("http://csr.bu.edu/ftp/asl/asllvd/demos/verify_start_end_handshape_annotations//test_auto_move//signs_mov/402.mov","MOV")</f>
        <v>21</v>
      </c>
      <c r="L1878" t="s" s="16">
        <f>HYPERLINK("http://csr.bu.edu/ftp/asl/asllvd/demos/verify_start_end_handshape_annotations//test_auto_move//signs_mov_separ_signers/Naomi_402.mov","MOV")</f>
        <v>21</v>
      </c>
      <c r="M1878" t="s" s="10">
        <v>29</v>
      </c>
      <c r="N1878" s="17">
        <v>43</v>
      </c>
      <c r="O1878" s="18">
        <v>1146</v>
      </c>
      <c r="P1878" s="18">
        <v>1175</v>
      </c>
      <c r="Q1878" t="s" s="16">
        <f>HYPERLINK("http://secrets.rutgers.edu:8080/data/asl-ftp/asllvd/demos/verify_start_end_handshape_annotations//test_auto_move//signs_mov/402.mov","MOV")</f>
        <v>21</v>
      </c>
      <c r="R1878" t="s" s="16">
        <f>HYPERLINK("http://secrets.rutgers.edu:8080/data/asl-ftp/asllvd/demos/verify_start_end_handshape_annotations//test_auto_move//signs_mov_separ_signers/Naomi_402.mov","MOV")</f>
        <v>21</v>
      </c>
    </row>
    <row r="1879" s="2" customFormat="1" ht="13.5" customHeight="1">
      <c r="B1879" s="13"/>
      <c r="C1879" t="s" s="9">
        <v>30</v>
      </c>
      <c r="D1879" t="s" s="8">
        <v>671</v>
      </c>
      <c r="E1879" t="s" s="9">
        <v>671</v>
      </c>
      <c r="F1879" t="s" s="10">
        <v>73</v>
      </c>
      <c r="G1879" t="s" s="11">
        <v>73</v>
      </c>
      <c r="H1879" t="s" s="10">
        <v>80</v>
      </c>
      <c r="I1879" t="s" s="11">
        <v>73</v>
      </c>
      <c r="J1879" t="s" s="11">
        <v>20</v>
      </c>
      <c r="K1879" s="15"/>
      <c r="L1879" t="s" s="16">
        <f>HYPERLINK("http://csr.bu.edu/ftp/asl/asllvd/demos/verify_start_end_handshape_annotations//test_auto_move//signs_mov_separ_signers/Brady_402.mov","MOV")</f>
        <v>21</v>
      </c>
      <c r="M1879" t="s" s="10">
        <v>31</v>
      </c>
      <c r="N1879" s="17">
        <v>26</v>
      </c>
      <c r="O1879" s="18">
        <v>3945</v>
      </c>
      <c r="P1879" s="18">
        <v>3970</v>
      </c>
      <c r="Q1879" s="15"/>
      <c r="R1879" t="s" s="16">
        <f>HYPERLINK("http://secrets.rutgers.edu:8080/data/asl-ftp/asllvd/demos/verify_start_end_handshape_annotations//test_auto_move//signs_mov_separ_signers/Brady_402.mov","MOV")</f>
        <v>21</v>
      </c>
    </row>
    <row r="1880" s="2" customFormat="1" ht="13.5" customHeight="1">
      <c r="B1880" s="13"/>
      <c r="C1880" t="s" s="9">
        <v>41</v>
      </c>
      <c r="D1880" t="s" s="8">
        <v>671</v>
      </c>
      <c r="E1880" t="s" s="9">
        <v>671</v>
      </c>
      <c r="F1880" t="s" s="10">
        <v>73</v>
      </c>
      <c r="G1880" t="s" s="11">
        <v>73</v>
      </c>
      <c r="H1880" t="s" s="10">
        <v>80</v>
      </c>
      <c r="I1880" t="s" s="11">
        <v>73</v>
      </c>
      <c r="J1880" t="s" s="11">
        <v>20</v>
      </c>
      <c r="K1880" s="15"/>
      <c r="L1880" t="s" s="16">
        <f>HYPERLINK("http://csr.bu.edu/ftp/asl/asllvd/demos/verify_start_end_handshape_annotations//test_auto_move//signs_mov_separ_signers/Lana_402.mov","MOV")</f>
        <v>21</v>
      </c>
      <c r="M1880" t="s" s="10">
        <v>42</v>
      </c>
      <c r="N1880" s="17">
        <v>4</v>
      </c>
      <c r="O1880" s="18">
        <v>2566</v>
      </c>
      <c r="P1880" s="18">
        <v>2586</v>
      </c>
      <c r="Q1880" s="15"/>
      <c r="R1880" t="s" s="16">
        <f>HYPERLINK("http://secrets.rutgers.edu:8080/data/asl-ftp/asllvd/demos/verify_start_end_handshape_annotations//test_auto_move//signs_mov_separ_signers/Lana_402.mov","MOV")</f>
        <v>21</v>
      </c>
    </row>
    <row r="1881" s="2" customFormat="1" ht="13.5" customHeight="1">
      <c r="B1881" s="13"/>
      <c r="C1881" t="s" s="9">
        <v>43</v>
      </c>
      <c r="D1881" t="s" s="8">
        <v>671</v>
      </c>
      <c r="E1881" t="s" s="9">
        <v>671</v>
      </c>
      <c r="F1881" t="s" s="10">
        <v>73</v>
      </c>
      <c r="G1881" t="s" s="11">
        <v>73</v>
      </c>
      <c r="H1881" t="s" s="10">
        <v>80</v>
      </c>
      <c r="I1881" t="s" s="11">
        <v>73</v>
      </c>
      <c r="J1881" t="s" s="11">
        <v>20</v>
      </c>
      <c r="K1881" s="15"/>
      <c r="L1881" t="s" s="16">
        <f>HYPERLINK("http://csr.bu.edu/ftp/asl/asllvd/demos/verify_start_end_handshape_annotations//test_auto_move//signs_mov_separ_signers/Dana_402.mov","MOV")</f>
        <v>21</v>
      </c>
      <c r="M1881" t="s" s="10">
        <v>44</v>
      </c>
      <c r="N1881" s="17">
        <v>8</v>
      </c>
      <c r="O1881" s="18">
        <v>2590</v>
      </c>
      <c r="P1881" s="18">
        <v>2650</v>
      </c>
      <c r="Q1881" s="15"/>
      <c r="R1881" t="s" s="16">
        <f>HYPERLINK("http://secrets.rutgers.edu:8080/data/asl-ftp/asllvd/demos/verify_start_end_handshape_annotations//test_auto_move//signs_mov_separ_signers/Dana_402.mov","MOV")</f>
        <v>21</v>
      </c>
    </row>
    <row r="1882" s="2" customFormat="1" ht="13.5" customHeight="1">
      <c r="B1882" t="s" s="8">
        <v>672</v>
      </c>
      <c r="C1882" t="s" s="9">
        <v>14</v>
      </c>
      <c r="D1882" t="s" s="8">
        <v>14</v>
      </c>
      <c r="E1882" t="s" s="9">
        <v>14</v>
      </c>
      <c r="F1882" t="s" s="10">
        <v>14</v>
      </c>
      <c r="G1882" t="s" s="11">
        <v>14</v>
      </c>
      <c r="H1882" t="s" s="10">
        <v>14</v>
      </c>
      <c r="I1882" t="s" s="11">
        <v>14</v>
      </c>
      <c r="J1882" t="s" s="11">
        <v>14</v>
      </c>
      <c r="K1882" t="s" s="12">
        <v>14</v>
      </c>
      <c r="L1882" t="s" s="12">
        <v>14</v>
      </c>
      <c r="M1882" t="s" s="10">
        <v>14</v>
      </c>
      <c r="N1882" t="s" s="11">
        <v>14</v>
      </c>
      <c r="O1882" t="s" s="8">
        <v>14</v>
      </c>
      <c r="P1882" t="s" s="8">
        <v>14</v>
      </c>
      <c r="Q1882" t="s" s="12">
        <v>14</v>
      </c>
      <c r="R1882" t="s" s="12">
        <v>14</v>
      </c>
    </row>
    <row r="1883" s="2" customFormat="1" ht="13.5" customHeight="1">
      <c r="B1883" s="13"/>
      <c r="C1883" t="s" s="9">
        <v>16</v>
      </c>
      <c r="D1883" t="s" s="8">
        <v>672</v>
      </c>
      <c r="E1883" t="s" s="9">
        <v>672</v>
      </c>
      <c r="F1883" s="19">
        <v>25</v>
      </c>
      <c r="G1883" t="s" s="11">
        <v>73</v>
      </c>
      <c r="H1883" s="19">
        <v>25</v>
      </c>
      <c r="I1883" t="s" s="11">
        <v>73</v>
      </c>
      <c r="J1883" t="s" s="11">
        <v>20</v>
      </c>
      <c r="K1883" s="15"/>
      <c r="L1883" t="s" s="16">
        <f>HYPERLINK("http://csr.bu.edu/ftp/asl/asllvd/demos/verify_start_end_handshape_annotations//test_auto_move//signs_mov_separ_signers/Liz_15148.mov","MOV")</f>
        <v>21</v>
      </c>
      <c r="M1883" t="s" s="10">
        <v>22</v>
      </c>
      <c r="N1883" s="17">
        <v>67</v>
      </c>
      <c r="O1883" s="18">
        <v>1320</v>
      </c>
      <c r="P1883" s="18">
        <v>1360</v>
      </c>
      <c r="Q1883" s="15"/>
      <c r="R1883" t="s" s="16">
        <f>HYPERLINK("http://secrets.rutgers.edu:8080/data/asl-ftp/asllvd/demos/verify_start_end_handshape_annotations//test_auto_move//signs_mov_separ_signers/Liz_15148.mov","MOV")</f>
        <v>21</v>
      </c>
    </row>
    <row r="1884" s="2" customFormat="1" ht="13.5" customHeight="1">
      <c r="B1884" s="13"/>
      <c r="C1884" t="s" s="9">
        <v>23</v>
      </c>
      <c r="D1884" t="s" s="8">
        <v>672</v>
      </c>
      <c r="E1884" t="s" s="9">
        <v>672</v>
      </c>
      <c r="F1884" s="19">
        <v>25</v>
      </c>
      <c r="G1884" t="s" s="11">
        <v>73</v>
      </c>
      <c r="H1884" s="19">
        <v>25</v>
      </c>
      <c r="I1884" t="s" s="11">
        <v>73</v>
      </c>
      <c r="J1884" t="s" s="11">
        <v>20</v>
      </c>
      <c r="K1884" t="s" s="16">
        <f>HYPERLINK("http://csr.bu.edu/ftp/asl/asllvd/demos/verify_start_end_handshape_annotations//test_auto_move//signs_mov/15148.mov","MOV")</f>
        <v>21</v>
      </c>
      <c r="L1884" t="s" s="16">
        <f>HYPERLINK("http://csr.bu.edu/ftp/asl/asllvd/demos/verify_start_end_handshape_annotations//test_auto_move//signs_mov_separ_signers/Tyler_15148.mov","MOV")</f>
        <v>21</v>
      </c>
      <c r="M1884" t="s" s="10">
        <v>47</v>
      </c>
      <c r="N1884" s="17">
        <v>12</v>
      </c>
      <c r="O1884" s="18">
        <v>518</v>
      </c>
      <c r="P1884" s="18">
        <v>563</v>
      </c>
      <c r="Q1884" t="s" s="16">
        <f>HYPERLINK("http://secrets.rutgers.edu:8080/data/asl-ftp/asllvd/demos/verify_start_end_handshape_annotations//test_auto_move//signs_mov/15148.mov","MOV")</f>
        <v>21</v>
      </c>
      <c r="R1884" t="s" s="16">
        <f>HYPERLINK("http://secrets.rutgers.edu:8080/data/asl-ftp/asllvd/demos/verify_start_end_handshape_annotations//test_auto_move//signs_mov_separ_signers/Tyler_15148.mov","MOV")</f>
        <v>21</v>
      </c>
    </row>
    <row r="1885" s="2" customFormat="1" ht="13.5" customHeight="1">
      <c r="B1885" s="13"/>
      <c r="C1885" t="s" s="9">
        <v>27</v>
      </c>
      <c r="D1885" t="s" s="8">
        <v>672</v>
      </c>
      <c r="E1885" t="s" s="9">
        <v>672</v>
      </c>
      <c r="F1885" s="19">
        <v>25</v>
      </c>
      <c r="G1885" t="s" s="11">
        <v>73</v>
      </c>
      <c r="H1885" s="19">
        <v>25</v>
      </c>
      <c r="I1885" t="s" s="11">
        <v>73</v>
      </c>
      <c r="J1885" t="s" s="11">
        <v>20</v>
      </c>
      <c r="K1885" s="15"/>
      <c r="L1885" t="s" s="16">
        <f>HYPERLINK("http://csr.bu.edu/ftp/asl/asllvd/demos/verify_start_end_handshape_annotations//test_auto_move//signs_mov_separ_signers/Naomi_15148.mov","MOV")</f>
        <v>21</v>
      </c>
      <c r="M1885" t="s" s="10">
        <v>29</v>
      </c>
      <c r="N1885" s="17">
        <v>43</v>
      </c>
      <c r="O1885" s="18">
        <v>1362</v>
      </c>
      <c r="P1885" s="18">
        <v>1396</v>
      </c>
      <c r="Q1885" s="15"/>
      <c r="R1885" t="s" s="16">
        <f>HYPERLINK("http://secrets.rutgers.edu:8080/data/asl-ftp/asllvd/demos/verify_start_end_handshape_annotations//test_auto_move//signs_mov_separ_signers/Naomi_15148.mov","MOV")</f>
        <v>21</v>
      </c>
    </row>
    <row r="1886" s="2" customFormat="1" ht="13.5" customHeight="1">
      <c r="B1886" s="13"/>
      <c r="C1886" t="s" s="9">
        <v>30</v>
      </c>
      <c r="D1886" t="s" s="8">
        <v>672</v>
      </c>
      <c r="E1886" t="s" s="9">
        <v>672</v>
      </c>
      <c r="F1886" s="19">
        <v>25</v>
      </c>
      <c r="G1886" t="s" s="11">
        <v>73</v>
      </c>
      <c r="H1886" s="19">
        <v>25</v>
      </c>
      <c r="I1886" t="s" s="11">
        <v>73</v>
      </c>
      <c r="J1886" t="s" s="11">
        <v>20</v>
      </c>
      <c r="K1886" s="15"/>
      <c r="L1886" t="s" s="16">
        <f>HYPERLINK("http://csr.bu.edu/ftp/asl/asllvd/demos/verify_start_end_handshape_annotations//test_auto_move//signs_mov_separ_signers/Brady_15148.mov","MOV")</f>
        <v>21</v>
      </c>
      <c r="M1886" t="s" s="10">
        <v>31</v>
      </c>
      <c r="N1886" s="17">
        <v>26</v>
      </c>
      <c r="O1886" s="18">
        <v>4193</v>
      </c>
      <c r="P1886" s="18">
        <v>4220</v>
      </c>
      <c r="Q1886" s="15"/>
      <c r="R1886" t="s" s="16">
        <f>HYPERLINK("http://secrets.rutgers.edu:8080/data/asl-ftp/asllvd/demos/verify_start_end_handshape_annotations//test_auto_move//signs_mov_separ_signers/Brady_15148.mov","MOV")</f>
        <v>21</v>
      </c>
    </row>
    <row r="1887" s="2" customFormat="1" ht="13.5" customHeight="1">
      <c r="B1887" t="s" s="8">
        <v>673</v>
      </c>
      <c r="C1887" t="s" s="9">
        <v>14</v>
      </c>
      <c r="D1887" t="s" s="8">
        <v>14</v>
      </c>
      <c r="E1887" t="s" s="9">
        <v>14</v>
      </c>
      <c r="F1887" t="s" s="10">
        <v>14</v>
      </c>
      <c r="G1887" t="s" s="11">
        <v>14</v>
      </c>
      <c r="H1887" t="s" s="10">
        <v>14</v>
      </c>
      <c r="I1887" t="s" s="11">
        <v>14</v>
      </c>
      <c r="J1887" t="s" s="11">
        <v>14</v>
      </c>
      <c r="K1887" t="s" s="12">
        <v>14</v>
      </c>
      <c r="L1887" t="s" s="12">
        <v>14</v>
      </c>
      <c r="M1887" t="s" s="10">
        <v>14</v>
      </c>
      <c r="N1887" t="s" s="11">
        <v>14</v>
      </c>
      <c r="O1887" t="s" s="8">
        <v>14</v>
      </c>
      <c r="P1887" t="s" s="8">
        <v>14</v>
      </c>
      <c r="Q1887" t="s" s="12">
        <v>14</v>
      </c>
      <c r="R1887" t="s" s="12">
        <v>14</v>
      </c>
    </row>
    <row r="1888" s="2" customFormat="1" ht="13.5" customHeight="1">
      <c r="B1888" s="13"/>
      <c r="C1888" t="s" s="9">
        <v>16</v>
      </c>
      <c r="D1888" t="s" s="8">
        <v>673</v>
      </c>
      <c r="E1888" t="s" s="9">
        <v>673</v>
      </c>
      <c r="F1888" s="19">
        <v>10</v>
      </c>
      <c r="G1888" s="17">
        <v>10</v>
      </c>
      <c r="H1888" s="19">
        <v>10</v>
      </c>
      <c r="I1888" s="17">
        <v>10</v>
      </c>
      <c r="J1888" t="s" s="11">
        <v>20</v>
      </c>
      <c r="K1888" t="s" s="16">
        <f>HYPERLINK("http://csr.bu.edu/ftp/asl/asllvd/demos/verify_start_end_handshape_annotations//test_auto_move//signs_mov/404.mov","MOV")</f>
        <v>21</v>
      </c>
      <c r="L1888" t="s" s="16">
        <f>HYPERLINK("http://csr.bu.edu/ftp/asl/asllvd/demos/verify_start_end_handshape_annotations//test_auto_move//signs_mov_separ_signers/Liz_404.mov","MOV")</f>
        <v>21</v>
      </c>
      <c r="M1888" t="s" s="10">
        <v>22</v>
      </c>
      <c r="N1888" s="17">
        <v>68</v>
      </c>
      <c r="O1888" s="18">
        <v>335</v>
      </c>
      <c r="P1888" s="18">
        <v>395</v>
      </c>
      <c r="Q1888" t="s" s="16">
        <f>HYPERLINK("http://secrets.rutgers.edu:8080/data/asl-ftp/asllvd/demos/verify_start_end_handshape_annotations//test_auto_move//signs_mov/404.mov","MOV")</f>
        <v>21</v>
      </c>
      <c r="R1888" t="s" s="16">
        <f>HYPERLINK("http://secrets.rutgers.edu:8080/data/asl-ftp/asllvd/demos/verify_start_end_handshape_annotations//test_auto_move//signs_mov_separ_signers/Liz_404.mov","MOV")</f>
        <v>21</v>
      </c>
    </row>
    <row r="1889" s="2" customFormat="1" ht="13.5" customHeight="1">
      <c r="B1889" t="s" s="8">
        <v>674</v>
      </c>
      <c r="C1889" t="s" s="9">
        <v>14</v>
      </c>
      <c r="D1889" t="s" s="8">
        <v>14</v>
      </c>
      <c r="E1889" t="s" s="9">
        <v>14</v>
      </c>
      <c r="F1889" t="s" s="10">
        <v>14</v>
      </c>
      <c r="G1889" t="s" s="11">
        <v>14</v>
      </c>
      <c r="H1889" t="s" s="10">
        <v>14</v>
      </c>
      <c r="I1889" t="s" s="11">
        <v>14</v>
      </c>
      <c r="J1889" t="s" s="11">
        <v>14</v>
      </c>
      <c r="K1889" t="s" s="12">
        <v>14</v>
      </c>
      <c r="L1889" t="s" s="12">
        <v>14</v>
      </c>
      <c r="M1889" t="s" s="10">
        <v>14</v>
      </c>
      <c r="N1889" t="s" s="11">
        <v>14</v>
      </c>
      <c r="O1889" t="s" s="8">
        <v>14</v>
      </c>
      <c r="P1889" t="s" s="8">
        <v>14</v>
      </c>
      <c r="Q1889" t="s" s="12">
        <v>14</v>
      </c>
      <c r="R1889" t="s" s="12">
        <v>14</v>
      </c>
    </row>
    <row r="1890" s="2" customFormat="1" ht="13.5" customHeight="1">
      <c r="B1890" s="13"/>
      <c r="C1890" t="s" s="9">
        <v>23</v>
      </c>
      <c r="D1890" t="s" s="8">
        <v>674</v>
      </c>
      <c r="E1890" t="s" s="9">
        <v>674</v>
      </c>
      <c r="F1890" t="s" s="10">
        <v>73</v>
      </c>
      <c r="G1890" t="s" s="11">
        <v>73</v>
      </c>
      <c r="H1890" s="19">
        <v>5</v>
      </c>
      <c r="I1890" s="17">
        <v>5</v>
      </c>
      <c r="J1890" t="s" s="11">
        <v>20</v>
      </c>
      <c r="K1890" t="s" s="16">
        <f>HYPERLINK("http://csr.bu.edu/ftp/asl/asllvd/demos/verify_start_end_handshape_annotations//test_auto_move//signs_mov/5128.mov","MOV")</f>
        <v>21</v>
      </c>
      <c r="L1890" t="s" s="16">
        <f>HYPERLINK("http://csr.bu.edu/ftp/asl/asllvd/demos/verify_start_end_handshape_annotations//test_auto_move//signs_mov_separ_signers/Tyler_5128.mov","MOV")</f>
        <v>21</v>
      </c>
      <c r="M1890" t="s" s="10">
        <v>26</v>
      </c>
      <c r="N1890" s="17">
        <v>42</v>
      </c>
      <c r="O1890" s="18">
        <v>1255</v>
      </c>
      <c r="P1890" s="18">
        <v>1340</v>
      </c>
      <c r="Q1890" t="s" s="16">
        <f>HYPERLINK("http://secrets.rutgers.edu:8080/data/asl-ftp/asllvd/demos/verify_start_end_handshape_annotations//test_auto_move//signs_mov/5128.mov","MOV")</f>
        <v>21</v>
      </c>
      <c r="R1890" t="s" s="16">
        <f>HYPERLINK("http://secrets.rutgers.edu:8080/data/asl-ftp/asllvd/demos/verify_start_end_handshape_annotations//test_auto_move//signs_mov_separ_signers/Tyler_5128.mov","MOV")</f>
        <v>21</v>
      </c>
    </row>
    <row r="1891" s="2" customFormat="1" ht="13.5" customHeight="1">
      <c r="B1891" s="13"/>
      <c r="C1891" t="s" s="9">
        <v>30</v>
      </c>
      <c r="D1891" t="s" s="8">
        <v>674</v>
      </c>
      <c r="E1891" t="s" s="9">
        <v>674</v>
      </c>
      <c r="F1891" t="s" s="10">
        <v>73</v>
      </c>
      <c r="G1891" t="s" s="11">
        <v>73</v>
      </c>
      <c r="H1891" s="19">
        <v>5</v>
      </c>
      <c r="I1891" s="17">
        <v>5</v>
      </c>
      <c r="J1891" t="s" s="11">
        <v>20</v>
      </c>
      <c r="K1891" s="15"/>
      <c r="L1891" t="s" s="16">
        <f>HYPERLINK("http://csr.bu.edu/ftp/asl/asllvd/demos/verify_start_end_handshape_annotations//test_auto_move//signs_mov_separ_signers/Brady_5128.mov","MOV")</f>
        <v>21</v>
      </c>
      <c r="M1891" t="s" s="10">
        <v>39</v>
      </c>
      <c r="N1891" s="17">
        <v>3</v>
      </c>
      <c r="O1891" s="18">
        <v>4847</v>
      </c>
      <c r="P1891" s="18">
        <v>4882</v>
      </c>
      <c r="Q1891" s="15"/>
      <c r="R1891" t="s" s="16">
        <f>HYPERLINK("http://secrets.rutgers.edu:8080/data/asl-ftp/asllvd/demos/verify_start_end_handshape_annotations//test_auto_move//signs_mov_separ_signers/Brady_5128.mov","MOV")</f>
        <v>21</v>
      </c>
    </row>
    <row r="1892" s="2" customFormat="1" ht="13.5" customHeight="1">
      <c r="B1892" t="s" s="8">
        <v>675</v>
      </c>
      <c r="C1892" t="s" s="9">
        <v>14</v>
      </c>
      <c r="D1892" t="s" s="8">
        <v>14</v>
      </c>
      <c r="E1892" t="s" s="9">
        <v>14</v>
      </c>
      <c r="F1892" t="s" s="10">
        <v>14</v>
      </c>
      <c r="G1892" t="s" s="11">
        <v>14</v>
      </c>
      <c r="H1892" t="s" s="10">
        <v>14</v>
      </c>
      <c r="I1892" t="s" s="11">
        <v>14</v>
      </c>
      <c r="J1892" t="s" s="11">
        <v>14</v>
      </c>
      <c r="K1892" t="s" s="12">
        <v>14</v>
      </c>
      <c r="L1892" t="s" s="12">
        <v>14</v>
      </c>
      <c r="M1892" t="s" s="10">
        <v>14</v>
      </c>
      <c r="N1892" t="s" s="11">
        <v>14</v>
      </c>
      <c r="O1892" t="s" s="8">
        <v>14</v>
      </c>
      <c r="P1892" t="s" s="8">
        <v>14</v>
      </c>
      <c r="Q1892" t="s" s="12">
        <v>14</v>
      </c>
      <c r="R1892" t="s" s="12">
        <v>14</v>
      </c>
    </row>
    <row r="1893" s="2" customFormat="1" ht="13.5" customHeight="1">
      <c r="B1893" s="13"/>
      <c r="C1893" t="s" s="9">
        <v>16</v>
      </c>
      <c r="D1893" t="s" s="8">
        <v>675</v>
      </c>
      <c r="E1893" t="s" s="9">
        <v>676</v>
      </c>
      <c r="F1893" t="s" s="10">
        <v>185</v>
      </c>
      <c r="G1893" t="s" s="11">
        <v>185</v>
      </c>
      <c r="H1893" t="s" s="10">
        <v>185</v>
      </c>
      <c r="I1893" t="s" s="11">
        <v>185</v>
      </c>
      <c r="J1893" t="s" s="11">
        <v>20</v>
      </c>
      <c r="K1893" s="15"/>
      <c r="L1893" t="s" s="16">
        <f>HYPERLINK("http://csr.bu.edu/ftp/asl/asllvd/demos/verify_start_end_handshape_annotations//test_auto_move//signs_mov_separ_signers/Liz_407.mov","MOV")</f>
        <v>21</v>
      </c>
      <c r="M1893" t="s" s="10">
        <v>22</v>
      </c>
      <c r="N1893" s="17">
        <v>68</v>
      </c>
      <c r="O1893" s="18">
        <v>830</v>
      </c>
      <c r="P1893" s="18">
        <v>875</v>
      </c>
      <c r="Q1893" s="15"/>
      <c r="R1893" t="s" s="16">
        <f>HYPERLINK("http://secrets.rutgers.edu:8080/data/asl-ftp/asllvd/demos/verify_start_end_handshape_annotations//test_auto_move//signs_mov_separ_signers/Liz_407.mov","MOV")</f>
        <v>21</v>
      </c>
    </row>
    <row r="1894" s="2" customFormat="1" ht="13.5" customHeight="1">
      <c r="B1894" s="13"/>
      <c r="C1894" t="s" s="9">
        <v>16</v>
      </c>
      <c r="D1894" t="s" s="8">
        <v>675</v>
      </c>
      <c r="E1894" t="s" s="9">
        <v>675</v>
      </c>
      <c r="F1894" t="s" s="10">
        <v>185</v>
      </c>
      <c r="G1894" t="s" s="11">
        <v>185</v>
      </c>
      <c r="H1894" t="s" s="10">
        <v>185</v>
      </c>
      <c r="I1894" t="s" s="11">
        <v>185</v>
      </c>
      <c r="J1894" t="s" s="11">
        <v>20</v>
      </c>
      <c r="K1894" s="15"/>
      <c r="L1894" t="s" s="16">
        <f>HYPERLINK("http://csr.bu.edu/ftp/asl/asllvd/demos/verify_start_end_handshape_annotations//test_auto_move//signs_mov_separ_signers/Liz_3385.mov","MOV")</f>
        <v>21</v>
      </c>
      <c r="M1894" t="s" s="10">
        <v>22</v>
      </c>
      <c r="N1894" s="17">
        <v>68</v>
      </c>
      <c r="O1894" s="18">
        <v>1080</v>
      </c>
      <c r="P1894" s="18">
        <v>1110</v>
      </c>
      <c r="Q1894" s="15"/>
      <c r="R1894" t="s" s="16">
        <f>HYPERLINK("http://secrets.rutgers.edu:8080/data/asl-ftp/asllvd/demos/verify_start_end_handshape_annotations//test_auto_move//signs_mov_separ_signers/Liz_3385.mov","MOV")</f>
        <v>21</v>
      </c>
    </row>
    <row r="1895" s="2" customFormat="1" ht="13.5" customHeight="1">
      <c r="B1895" s="13"/>
      <c r="C1895" t="s" s="9">
        <v>23</v>
      </c>
      <c r="D1895" t="s" s="8">
        <v>675</v>
      </c>
      <c r="E1895" t="s" s="9">
        <v>675</v>
      </c>
      <c r="F1895" t="s" s="10">
        <v>185</v>
      </c>
      <c r="G1895" t="s" s="11">
        <v>185</v>
      </c>
      <c r="H1895" t="s" s="10">
        <v>185</v>
      </c>
      <c r="I1895" t="s" s="11">
        <v>185</v>
      </c>
      <c r="J1895" t="s" s="11">
        <v>20</v>
      </c>
      <c r="K1895" s="15"/>
      <c r="L1895" t="s" s="16">
        <f>HYPERLINK("http://csr.bu.edu/ftp/asl/asllvd/demos/verify_start_end_handshape_annotations//test_auto_move//signs_mov_separ_signers/Tyler_407.mov","MOV")</f>
        <v>21</v>
      </c>
      <c r="M1895" t="s" s="10">
        <v>26</v>
      </c>
      <c r="N1895" s="17">
        <v>42</v>
      </c>
      <c r="O1895" s="18">
        <v>1775</v>
      </c>
      <c r="P1895" s="18">
        <v>1792</v>
      </c>
      <c r="Q1895" s="15"/>
      <c r="R1895" t="s" s="16">
        <f>HYPERLINK("http://secrets.rutgers.edu:8080/data/asl-ftp/asllvd/demos/verify_start_end_handshape_annotations//test_auto_move//signs_mov_separ_signers/Tyler_407.mov","MOV")</f>
        <v>21</v>
      </c>
    </row>
    <row r="1896" s="2" customFormat="1" ht="13.5" customHeight="1">
      <c r="B1896" s="13"/>
      <c r="C1896" t="s" s="9">
        <v>23</v>
      </c>
      <c r="D1896" t="s" s="8">
        <v>675</v>
      </c>
      <c r="E1896" t="s" s="9">
        <v>677</v>
      </c>
      <c r="F1896" t="s" s="10">
        <v>185</v>
      </c>
      <c r="G1896" t="s" s="11">
        <v>185</v>
      </c>
      <c r="H1896" t="s" s="10">
        <v>185</v>
      </c>
      <c r="I1896" t="s" s="11">
        <v>185</v>
      </c>
      <c r="J1896" t="s" s="11">
        <v>20</v>
      </c>
      <c r="K1896" t="s" s="16">
        <f>HYPERLINK("http://csr.bu.edu/ftp/asl/asllvd/demos/verify_start_end_handshape_annotations//test_auto_move//signs_mov/407_3385_merged.mov","MOV")</f>
        <v>21</v>
      </c>
      <c r="L1896" t="s" s="16">
        <f>HYPERLINK("http://csr.bu.edu/ftp/asl/asllvd/demos/verify_start_end_handshape_annotations//test_auto_move//signs_mov_separ_signers/Tyler_3385.mov","MOV")</f>
        <v>21</v>
      </c>
      <c r="M1896" t="s" s="10">
        <v>26</v>
      </c>
      <c r="N1896" s="17">
        <v>42</v>
      </c>
      <c r="O1896" s="18">
        <v>1986</v>
      </c>
      <c r="P1896" s="18">
        <v>2016</v>
      </c>
      <c r="Q1896" t="s" s="16">
        <f>HYPERLINK("http://secrets.rutgers.edu:8080/data/asl-ftp/asllvd/demos/verify_start_end_handshape_annotations//test_auto_move//signs_mov/407_3385_merged.mov","MOV")</f>
        <v>21</v>
      </c>
      <c r="R1896" t="s" s="16">
        <f>HYPERLINK("http://secrets.rutgers.edu:8080/data/asl-ftp/asllvd/demos/verify_start_end_handshape_annotations//test_auto_move//signs_mov_separ_signers/Tyler_3385.mov","MOV")</f>
        <v>21</v>
      </c>
    </row>
    <row r="1897" s="2" customFormat="1" ht="13.5" customHeight="1">
      <c r="B1897" s="13"/>
      <c r="C1897" t="s" s="9">
        <v>27</v>
      </c>
      <c r="D1897" t="s" s="8">
        <v>675</v>
      </c>
      <c r="E1897" t="s" s="9">
        <v>677</v>
      </c>
      <c r="F1897" t="s" s="10">
        <v>185</v>
      </c>
      <c r="G1897" t="s" s="11">
        <v>185</v>
      </c>
      <c r="H1897" t="s" s="10">
        <v>185</v>
      </c>
      <c r="I1897" t="s" s="11">
        <v>185</v>
      </c>
      <c r="J1897" t="s" s="11">
        <v>20</v>
      </c>
      <c r="K1897" s="15"/>
      <c r="L1897" t="s" s="16">
        <f>HYPERLINK("http://csr.bu.edu/ftp/asl/asllvd/demos/verify_start_end_handshape_annotations//test_auto_move//signs_mov_separ_signers/Naomi_407.mov","MOV")</f>
        <v>21</v>
      </c>
      <c r="M1897" t="s" s="10">
        <v>29</v>
      </c>
      <c r="N1897" s="17">
        <v>43</v>
      </c>
      <c r="O1897" s="18">
        <v>3187</v>
      </c>
      <c r="P1897" s="18">
        <v>3225</v>
      </c>
      <c r="Q1897" s="15"/>
      <c r="R1897" t="s" s="16">
        <f>HYPERLINK("http://secrets.rutgers.edu:8080/data/asl-ftp/asllvd/demos/verify_start_end_handshape_annotations//test_auto_move//signs_mov_separ_signers/Naomi_407.mov","MOV")</f>
        <v>21</v>
      </c>
    </row>
    <row r="1898" s="2" customFormat="1" ht="13.5" customHeight="1">
      <c r="B1898" s="13"/>
      <c r="C1898" t="s" s="9">
        <v>27</v>
      </c>
      <c r="D1898" t="s" s="8">
        <v>675</v>
      </c>
      <c r="E1898" t="s" s="9">
        <v>675</v>
      </c>
      <c r="F1898" t="s" s="10">
        <v>185</v>
      </c>
      <c r="G1898" t="s" s="11">
        <v>185</v>
      </c>
      <c r="H1898" t="s" s="10">
        <v>185</v>
      </c>
      <c r="I1898" t="s" s="11">
        <v>185</v>
      </c>
      <c r="J1898" t="s" s="11">
        <v>20</v>
      </c>
      <c r="K1898" s="15"/>
      <c r="L1898" t="s" s="16">
        <f>HYPERLINK("http://csr.bu.edu/ftp/asl/asllvd/demos/verify_start_end_handshape_annotations//test_auto_move//signs_mov_separ_signers/Naomi_3385.mov","MOV")</f>
        <v>21</v>
      </c>
      <c r="M1898" t="s" s="10">
        <v>29</v>
      </c>
      <c r="N1898" s="17">
        <v>43</v>
      </c>
      <c r="O1898" s="18">
        <v>4295</v>
      </c>
      <c r="P1898" s="18">
        <v>4320</v>
      </c>
      <c r="Q1898" s="15"/>
      <c r="R1898" t="s" s="16">
        <f>HYPERLINK("http://secrets.rutgers.edu:8080/data/asl-ftp/asllvd/demos/verify_start_end_handshape_annotations//test_auto_move//signs_mov_separ_signers/Naomi_3385.mov","MOV")</f>
        <v>21</v>
      </c>
    </row>
    <row r="1899" s="2" customFormat="1" ht="13.5" customHeight="1">
      <c r="B1899" s="13"/>
      <c r="C1899" t="s" s="9">
        <v>30</v>
      </c>
      <c r="D1899" t="s" s="8">
        <v>675</v>
      </c>
      <c r="E1899" t="s" s="9">
        <v>675</v>
      </c>
      <c r="F1899" t="s" s="10">
        <v>185</v>
      </c>
      <c r="G1899" t="s" s="11">
        <v>185</v>
      </c>
      <c r="H1899" t="s" s="10">
        <v>185</v>
      </c>
      <c r="I1899" t="s" s="11">
        <v>185</v>
      </c>
      <c r="J1899" t="s" s="11">
        <v>20</v>
      </c>
      <c r="K1899" s="15"/>
      <c r="L1899" t="s" s="16">
        <f>HYPERLINK("http://csr.bu.edu/ftp/asl/asllvd/demos/verify_start_end_handshape_annotations//test_auto_move//signs_mov_separ_signers/Brady_407.mov","MOV")</f>
        <v>21</v>
      </c>
      <c r="M1899" t="s" s="10">
        <v>31</v>
      </c>
      <c r="N1899" s="17">
        <v>26</v>
      </c>
      <c r="O1899" s="18">
        <v>5839</v>
      </c>
      <c r="P1899" s="18">
        <v>5854</v>
      </c>
      <c r="Q1899" s="15"/>
      <c r="R1899" t="s" s="16">
        <f>HYPERLINK("http://secrets.rutgers.edu:8080/data/asl-ftp/asllvd/demos/verify_start_end_handshape_annotations//test_auto_move//signs_mov_separ_signers/Brady_407.mov","MOV")</f>
        <v>21</v>
      </c>
    </row>
    <row r="1900" s="2" customFormat="1" ht="13.5" customHeight="1">
      <c r="B1900" s="13"/>
      <c r="C1900" t="s" s="9">
        <v>30</v>
      </c>
      <c r="D1900" t="s" s="8">
        <v>675</v>
      </c>
      <c r="E1900" t="s" s="9">
        <v>675</v>
      </c>
      <c r="F1900" t="s" s="10">
        <v>185</v>
      </c>
      <c r="G1900" t="s" s="11">
        <v>185</v>
      </c>
      <c r="H1900" t="s" s="10">
        <v>185</v>
      </c>
      <c r="I1900" t="s" s="11">
        <v>185</v>
      </c>
      <c r="J1900" t="s" s="11">
        <v>20</v>
      </c>
      <c r="K1900" s="15"/>
      <c r="L1900" t="s" s="16">
        <f>HYPERLINK("http://csr.bu.edu/ftp/asl/asllvd/demos/verify_start_end_handshape_annotations//test_auto_move//signs_mov_separ_signers/Brady_3385.mov","MOV")</f>
        <v>21</v>
      </c>
      <c r="M1900" t="s" s="10">
        <v>31</v>
      </c>
      <c r="N1900" s="17">
        <v>26</v>
      </c>
      <c r="O1900" s="18">
        <v>6250</v>
      </c>
      <c r="P1900" s="18">
        <v>6267</v>
      </c>
      <c r="Q1900" s="15"/>
      <c r="R1900" t="s" s="16">
        <f>HYPERLINK("http://secrets.rutgers.edu:8080/data/asl-ftp/asllvd/demos/verify_start_end_handshape_annotations//test_auto_move//signs_mov_separ_signers/Brady_3385.mov","MOV")</f>
        <v>21</v>
      </c>
    </row>
    <row r="1901" s="2" customFormat="1" ht="13.5" customHeight="1">
      <c r="B1901" t="s" s="8">
        <v>678</v>
      </c>
      <c r="C1901" t="s" s="9">
        <v>14</v>
      </c>
      <c r="D1901" t="s" s="8">
        <v>14</v>
      </c>
      <c r="E1901" t="s" s="9">
        <v>14</v>
      </c>
      <c r="F1901" t="s" s="10">
        <v>14</v>
      </c>
      <c r="G1901" t="s" s="11">
        <v>14</v>
      </c>
      <c r="H1901" t="s" s="10">
        <v>14</v>
      </c>
      <c r="I1901" t="s" s="11">
        <v>14</v>
      </c>
      <c r="J1901" t="s" s="11">
        <v>14</v>
      </c>
      <c r="K1901" t="s" s="12">
        <v>14</v>
      </c>
      <c r="L1901" t="s" s="12">
        <v>14</v>
      </c>
      <c r="M1901" t="s" s="10">
        <v>14</v>
      </c>
      <c r="N1901" t="s" s="11">
        <v>14</v>
      </c>
      <c r="O1901" t="s" s="8">
        <v>14</v>
      </c>
      <c r="P1901" t="s" s="8">
        <v>14</v>
      </c>
      <c r="Q1901" t="s" s="12">
        <v>14</v>
      </c>
      <c r="R1901" t="s" s="12">
        <v>14</v>
      </c>
    </row>
    <row r="1902" s="2" customFormat="1" ht="13.5" customHeight="1">
      <c r="B1902" s="13"/>
      <c r="C1902" t="s" s="9">
        <v>16</v>
      </c>
      <c r="D1902" t="s" s="8">
        <v>678</v>
      </c>
      <c r="E1902" t="s" s="9">
        <v>678</v>
      </c>
      <c r="F1902" t="s" s="10">
        <v>65</v>
      </c>
      <c r="G1902" s="14"/>
      <c r="H1902" t="s" s="10">
        <v>65</v>
      </c>
      <c r="I1902" s="14"/>
      <c r="J1902" t="s" s="11">
        <v>20</v>
      </c>
      <c r="K1902" s="15"/>
      <c r="L1902" t="s" s="16">
        <f>HYPERLINK("http://csr.bu.edu/ftp/asl/asllvd/demos/verify_start_end_handshape_annotations//test_auto_move//signs_mov_separ_signers/Liz_410.mov","MOV")</f>
        <v>21</v>
      </c>
      <c r="M1902" t="s" s="10">
        <v>22</v>
      </c>
      <c r="N1902" s="17">
        <v>69</v>
      </c>
      <c r="O1902" s="18">
        <v>270</v>
      </c>
      <c r="P1902" s="18">
        <v>320</v>
      </c>
      <c r="Q1902" s="15"/>
      <c r="R1902" t="s" s="16">
        <f>HYPERLINK("http://secrets.rutgers.edu:8080/data/asl-ftp/asllvd/demos/verify_start_end_handshape_annotations//test_auto_move//signs_mov_separ_signers/Liz_410.mov","MOV")</f>
        <v>21</v>
      </c>
    </row>
    <row r="1903" s="2" customFormat="1" ht="13.5" customHeight="1">
      <c r="B1903" s="13"/>
      <c r="C1903" t="s" s="9">
        <v>27</v>
      </c>
      <c r="D1903" t="s" s="8">
        <v>678</v>
      </c>
      <c r="E1903" t="s" s="9">
        <v>678</v>
      </c>
      <c r="F1903" t="s" s="10">
        <v>65</v>
      </c>
      <c r="G1903" s="14"/>
      <c r="H1903" t="s" s="10">
        <v>65</v>
      </c>
      <c r="I1903" s="14"/>
      <c r="J1903" t="s" s="11">
        <v>20</v>
      </c>
      <c r="K1903" t="s" s="16">
        <f>HYPERLINK("http://csr.bu.edu/ftp/asl/asllvd/demos/verify_start_end_handshape_annotations//test_auto_move//signs_mov/410.mov","MOV")</f>
        <v>21</v>
      </c>
      <c r="L1903" t="s" s="16">
        <f>HYPERLINK("http://csr.bu.edu/ftp/asl/asllvd/demos/verify_start_end_handshape_annotations//test_auto_move//signs_mov_separ_signers/Naomi_410.mov","MOV")</f>
        <v>21</v>
      </c>
      <c r="M1903" t="s" s="10">
        <v>29</v>
      </c>
      <c r="N1903" s="17">
        <v>43</v>
      </c>
      <c r="O1903" s="18">
        <v>5120</v>
      </c>
      <c r="P1903" s="18">
        <v>5145</v>
      </c>
      <c r="Q1903" t="s" s="16">
        <f>HYPERLINK("http://secrets.rutgers.edu:8080/data/asl-ftp/asllvd/demos/verify_start_end_handshape_annotations//test_auto_move//signs_mov/410.mov","MOV")</f>
        <v>21</v>
      </c>
      <c r="R1903" t="s" s="16">
        <f>HYPERLINK("http://secrets.rutgers.edu:8080/data/asl-ftp/asllvd/demos/verify_start_end_handshape_annotations//test_auto_move//signs_mov_separ_signers/Naomi_410.mov","MOV")</f>
        <v>21</v>
      </c>
    </row>
    <row r="1904" s="2" customFormat="1" ht="13.5" customHeight="1">
      <c r="B1904" s="13"/>
      <c r="C1904" t="s" s="9">
        <v>30</v>
      </c>
      <c r="D1904" t="s" s="8">
        <v>678</v>
      </c>
      <c r="E1904" t="s" s="9">
        <v>678</v>
      </c>
      <c r="F1904" t="s" s="10">
        <v>28</v>
      </c>
      <c r="G1904" s="14"/>
      <c r="H1904" t="s" s="10">
        <v>28</v>
      </c>
      <c r="I1904" s="14"/>
      <c r="J1904" t="s" s="11">
        <v>20</v>
      </c>
      <c r="K1904" s="15"/>
      <c r="L1904" t="s" s="16">
        <f>HYPERLINK("http://csr.bu.edu/ftp/asl/asllvd/demos/verify_start_end_handshape_annotations//test_auto_move//signs_mov_separ_signers/Brady_410.mov","MOV")</f>
        <v>21</v>
      </c>
      <c r="M1904" t="s" s="10">
        <v>31</v>
      </c>
      <c r="N1904" s="17">
        <v>26</v>
      </c>
      <c r="O1904" s="18">
        <v>7140</v>
      </c>
      <c r="P1904" s="18">
        <v>7178</v>
      </c>
      <c r="Q1904" s="15"/>
      <c r="R1904" t="s" s="16">
        <f>HYPERLINK("http://secrets.rutgers.edu:8080/data/asl-ftp/asllvd/demos/verify_start_end_handshape_annotations//test_auto_move//signs_mov_separ_signers/Brady_410.mov","MOV")</f>
        <v>21</v>
      </c>
    </row>
    <row r="1905" s="2" customFormat="1" ht="13.5" customHeight="1">
      <c r="B1905" t="s" s="8">
        <v>679</v>
      </c>
      <c r="C1905" t="s" s="9">
        <v>14</v>
      </c>
      <c r="D1905" t="s" s="8">
        <v>14</v>
      </c>
      <c r="E1905" t="s" s="9">
        <v>14</v>
      </c>
      <c r="F1905" t="s" s="10">
        <v>14</v>
      </c>
      <c r="G1905" t="s" s="11">
        <v>14</v>
      </c>
      <c r="H1905" t="s" s="10">
        <v>14</v>
      </c>
      <c r="I1905" t="s" s="11">
        <v>14</v>
      </c>
      <c r="J1905" t="s" s="11">
        <v>14</v>
      </c>
      <c r="K1905" t="s" s="12">
        <v>14</v>
      </c>
      <c r="L1905" t="s" s="12">
        <v>14</v>
      </c>
      <c r="M1905" t="s" s="10">
        <v>14</v>
      </c>
      <c r="N1905" t="s" s="11">
        <v>14</v>
      </c>
      <c r="O1905" t="s" s="8">
        <v>14</v>
      </c>
      <c r="P1905" t="s" s="8">
        <v>14</v>
      </c>
      <c r="Q1905" t="s" s="12">
        <v>14</v>
      </c>
      <c r="R1905" t="s" s="12">
        <v>14</v>
      </c>
    </row>
    <row r="1906" s="2" customFormat="1" ht="13.5" customHeight="1">
      <c r="B1906" s="13"/>
      <c r="C1906" t="s" s="9">
        <v>16</v>
      </c>
      <c r="D1906" t="s" s="8">
        <v>679</v>
      </c>
      <c r="E1906" t="s" s="9">
        <v>679</v>
      </c>
      <c r="F1906" s="19">
        <v>10</v>
      </c>
      <c r="G1906" s="17">
        <v>10</v>
      </c>
      <c r="H1906" s="19">
        <v>10</v>
      </c>
      <c r="I1906" s="17">
        <v>10</v>
      </c>
      <c r="J1906" t="s" s="11">
        <v>20</v>
      </c>
      <c r="K1906" s="15"/>
      <c r="L1906" t="s" s="16">
        <f>HYPERLINK("http://csr.bu.edu/ftp/asl/asllvd/demos/verify_start_end_handshape_annotations//test_auto_move//signs_mov_separ_signers/Liz_411.mov","MOV")</f>
        <v>21</v>
      </c>
      <c r="M1906" t="s" s="10">
        <v>22</v>
      </c>
      <c r="N1906" s="17">
        <v>69</v>
      </c>
      <c r="O1906" s="18">
        <v>460</v>
      </c>
      <c r="P1906" s="18">
        <v>495</v>
      </c>
      <c r="Q1906" s="15"/>
      <c r="R1906" t="s" s="16">
        <f>HYPERLINK("http://secrets.rutgers.edu:8080/data/asl-ftp/asllvd/demos/verify_start_end_handshape_annotations//test_auto_move//signs_mov_separ_signers/Liz_411.mov","MOV")</f>
        <v>21</v>
      </c>
    </row>
    <row r="1907" s="2" customFormat="1" ht="13.5" customHeight="1">
      <c r="B1907" s="13"/>
      <c r="C1907" t="s" s="9">
        <v>23</v>
      </c>
      <c r="D1907" t="s" s="8">
        <v>679</v>
      </c>
      <c r="E1907" t="s" s="9">
        <v>679</v>
      </c>
      <c r="F1907" s="19">
        <v>10</v>
      </c>
      <c r="G1907" s="17">
        <v>10</v>
      </c>
      <c r="H1907" s="19">
        <v>10</v>
      </c>
      <c r="I1907" s="17">
        <v>10</v>
      </c>
      <c r="J1907" t="s" s="11">
        <v>20</v>
      </c>
      <c r="K1907" t="s" s="16">
        <f>HYPERLINK("http://csr.bu.edu/ftp/asl/asllvd/demos/verify_start_end_handshape_annotations//test_auto_move//signs_mov/411.mov","MOV")</f>
        <v>21</v>
      </c>
      <c r="L1907" t="s" s="16">
        <f>HYPERLINK("http://csr.bu.edu/ftp/asl/asllvd/demos/verify_start_end_handshape_annotations//test_auto_move//signs_mov_separ_signers/Tyler_411.mov","MOV")</f>
        <v>21</v>
      </c>
      <c r="M1907" t="s" s="10">
        <v>26</v>
      </c>
      <c r="N1907" s="17">
        <v>43</v>
      </c>
      <c r="O1907" s="18">
        <v>340</v>
      </c>
      <c r="P1907" s="18">
        <v>360</v>
      </c>
      <c r="Q1907" t="s" s="16">
        <f>HYPERLINK("http://secrets.rutgers.edu:8080/data/asl-ftp/asllvd/demos/verify_start_end_handshape_annotations//test_auto_move//signs_mov/411.mov","MOV")</f>
        <v>21</v>
      </c>
      <c r="R1907" t="s" s="16">
        <f>HYPERLINK("http://secrets.rutgers.edu:8080/data/asl-ftp/asllvd/demos/verify_start_end_handshape_annotations//test_auto_move//signs_mov_separ_signers/Tyler_411.mov","MOV")</f>
        <v>21</v>
      </c>
    </row>
    <row r="1908" s="2" customFormat="1" ht="13.5" customHeight="1">
      <c r="B1908" s="13"/>
      <c r="C1908" t="s" s="9">
        <v>27</v>
      </c>
      <c r="D1908" t="s" s="8">
        <v>679</v>
      </c>
      <c r="E1908" t="s" s="9">
        <v>679</v>
      </c>
      <c r="F1908" s="19">
        <v>10</v>
      </c>
      <c r="G1908" s="17">
        <v>10</v>
      </c>
      <c r="H1908" s="19">
        <v>10</v>
      </c>
      <c r="I1908" s="17">
        <v>10</v>
      </c>
      <c r="J1908" t="s" s="11">
        <v>20</v>
      </c>
      <c r="K1908" s="15"/>
      <c r="L1908" t="s" s="16">
        <f>HYPERLINK("http://csr.bu.edu/ftp/asl/asllvd/demos/verify_start_end_handshape_annotations//test_auto_move//signs_mov_separ_signers/Naomi_411.mov","MOV")</f>
        <v>21</v>
      </c>
      <c r="M1908" t="s" s="10">
        <v>29</v>
      </c>
      <c r="N1908" s="17">
        <v>44</v>
      </c>
      <c r="O1908" s="18">
        <v>195</v>
      </c>
      <c r="P1908" s="18">
        <v>225</v>
      </c>
      <c r="Q1908" s="15"/>
      <c r="R1908" t="s" s="16">
        <f>HYPERLINK("http://secrets.rutgers.edu:8080/data/asl-ftp/asllvd/demos/verify_start_end_handshape_annotations//test_auto_move//signs_mov_separ_signers/Naomi_411.mov","MOV")</f>
        <v>21</v>
      </c>
    </row>
    <row r="1909" s="2" customFormat="1" ht="13.5" customHeight="1">
      <c r="B1909" s="13"/>
      <c r="C1909" t="s" s="9">
        <v>30</v>
      </c>
      <c r="D1909" t="s" s="8">
        <v>679</v>
      </c>
      <c r="E1909" t="s" s="9">
        <v>679</v>
      </c>
      <c r="F1909" s="19">
        <v>10</v>
      </c>
      <c r="G1909" s="17">
        <v>10</v>
      </c>
      <c r="H1909" s="19">
        <v>10</v>
      </c>
      <c r="I1909" s="17">
        <v>10</v>
      </c>
      <c r="J1909" t="s" s="11">
        <v>20</v>
      </c>
      <c r="K1909" s="15"/>
      <c r="L1909" t="s" s="16">
        <f>HYPERLINK("http://csr.bu.edu/ftp/asl/asllvd/demos/verify_start_end_handshape_annotations//test_auto_move//signs_mov_separ_signers/Brady_411.mov","MOV")</f>
        <v>21</v>
      </c>
      <c r="M1909" t="s" s="10">
        <v>31</v>
      </c>
      <c r="N1909" s="17">
        <v>26</v>
      </c>
      <c r="O1909" s="18">
        <v>7969</v>
      </c>
      <c r="P1909" s="18">
        <v>7984</v>
      </c>
      <c r="Q1909" s="15"/>
      <c r="R1909" t="s" s="16">
        <f>HYPERLINK("http://secrets.rutgers.edu:8080/data/asl-ftp/asllvd/demos/verify_start_end_handshape_annotations//test_auto_move//signs_mov_separ_signers/Brady_411.mov","MOV")</f>
        <v>21</v>
      </c>
    </row>
    <row r="1910" s="2" customFormat="1" ht="13.5" customHeight="1">
      <c r="B1910" t="s" s="8">
        <v>680</v>
      </c>
      <c r="C1910" t="s" s="9">
        <v>14</v>
      </c>
      <c r="D1910" t="s" s="8">
        <v>14</v>
      </c>
      <c r="E1910" t="s" s="9">
        <v>14</v>
      </c>
      <c r="F1910" t="s" s="10">
        <v>14</v>
      </c>
      <c r="G1910" t="s" s="11">
        <v>14</v>
      </c>
      <c r="H1910" t="s" s="10">
        <v>14</v>
      </c>
      <c r="I1910" t="s" s="11">
        <v>14</v>
      </c>
      <c r="J1910" t="s" s="11">
        <v>14</v>
      </c>
      <c r="K1910" t="s" s="12">
        <v>14</v>
      </c>
      <c r="L1910" t="s" s="12">
        <v>14</v>
      </c>
      <c r="M1910" t="s" s="10">
        <v>14</v>
      </c>
      <c r="N1910" t="s" s="11">
        <v>14</v>
      </c>
      <c r="O1910" t="s" s="8">
        <v>14</v>
      </c>
      <c r="P1910" t="s" s="8">
        <v>14</v>
      </c>
      <c r="Q1910" t="s" s="12">
        <v>14</v>
      </c>
      <c r="R1910" t="s" s="12">
        <v>14</v>
      </c>
    </row>
    <row r="1911" s="2" customFormat="1" ht="13.5" customHeight="1">
      <c r="B1911" s="13"/>
      <c r="C1911" t="s" s="9">
        <v>16</v>
      </c>
      <c r="D1911" t="s" s="8">
        <v>680</v>
      </c>
      <c r="E1911" t="s" s="9">
        <v>681</v>
      </c>
      <c r="F1911" t="s" s="10">
        <v>63</v>
      </c>
      <c r="G1911" t="s" s="11">
        <v>63</v>
      </c>
      <c r="H1911" t="s" s="10">
        <v>63</v>
      </c>
      <c r="I1911" t="s" s="11">
        <v>63</v>
      </c>
      <c r="J1911" t="s" s="11">
        <v>20</v>
      </c>
      <c r="K1911" s="15"/>
      <c r="L1911" t="s" s="16">
        <f>HYPERLINK("http://csr.bu.edu/ftp/asl/asllvd/demos/verify_start_end_handshape_annotations//test_auto_move//signs_mov_separ_signers/Liz_15152.mov","MOV")</f>
        <v>21</v>
      </c>
      <c r="M1911" t="s" s="10">
        <v>84</v>
      </c>
      <c r="N1911" s="17">
        <v>2</v>
      </c>
      <c r="O1911" s="18">
        <v>350</v>
      </c>
      <c r="P1911" s="18">
        <v>392</v>
      </c>
      <c r="Q1911" s="15"/>
      <c r="R1911" t="s" s="16">
        <f>HYPERLINK("http://secrets.rutgers.edu:8080/data/asl-ftp/asllvd/demos/verify_start_end_handshape_annotations//test_auto_move//signs_mov_separ_signers/Liz_15152.mov","MOV")</f>
        <v>21</v>
      </c>
    </row>
    <row r="1912" s="2" customFormat="1" ht="13.5" customHeight="1">
      <c r="B1912" s="13"/>
      <c r="C1912" t="s" s="9">
        <v>16</v>
      </c>
      <c r="D1912" t="s" s="8">
        <v>680</v>
      </c>
      <c r="E1912" t="s" s="9">
        <v>681</v>
      </c>
      <c r="F1912" t="s" s="10">
        <v>63</v>
      </c>
      <c r="G1912" t="s" s="11">
        <v>63</v>
      </c>
      <c r="H1912" t="s" s="10">
        <v>63</v>
      </c>
      <c r="I1912" t="s" s="11">
        <v>63</v>
      </c>
      <c r="J1912" t="s" s="11">
        <v>20</v>
      </c>
      <c r="K1912" s="15"/>
      <c r="L1912" t="s" s="16">
        <f>HYPERLINK("http://csr.bu.edu/ftp/asl/asllvd/demos/verify_start_end_handshape_annotations//test_auto_move//signs_mov_separ_signers/Liz_15170.mov","MOV")</f>
        <v>21</v>
      </c>
      <c r="M1912" t="s" s="10">
        <v>36</v>
      </c>
      <c r="N1912" s="17">
        <v>5</v>
      </c>
      <c r="O1912" s="18">
        <v>1115</v>
      </c>
      <c r="P1912" s="18">
        <v>1170</v>
      </c>
      <c r="Q1912" s="15"/>
      <c r="R1912" t="s" s="16">
        <f>HYPERLINK("http://secrets.rutgers.edu:8080/data/asl-ftp/asllvd/demos/verify_start_end_handshape_annotations//test_auto_move//signs_mov_separ_signers/Liz_15170.mov","MOV")</f>
        <v>21</v>
      </c>
    </row>
    <row r="1913" s="2" customFormat="1" ht="13.5" customHeight="1">
      <c r="B1913" s="13"/>
      <c r="C1913" t="s" s="9">
        <v>23</v>
      </c>
      <c r="D1913" t="s" s="8">
        <v>680</v>
      </c>
      <c r="E1913" t="s" s="9">
        <v>682</v>
      </c>
      <c r="F1913" t="s" s="10">
        <v>63</v>
      </c>
      <c r="G1913" s="17">
        <v>10</v>
      </c>
      <c r="H1913" t="s" s="10">
        <v>63</v>
      </c>
      <c r="I1913" s="17">
        <v>10</v>
      </c>
      <c r="J1913" t="s" s="11">
        <v>20</v>
      </c>
      <c r="K1913" s="15"/>
      <c r="L1913" t="s" s="16">
        <f>HYPERLINK("http://csr.bu.edu/ftp/asl/asllvd/demos/verify_start_end_handshape_annotations//test_auto_move//signs_mov_separ_signers/Tyler_15152.mov","MOV")</f>
        <v>21</v>
      </c>
      <c r="M1913" t="s" s="10">
        <v>125</v>
      </c>
      <c r="N1913" s="17">
        <v>1</v>
      </c>
      <c r="O1913" s="18">
        <v>3650</v>
      </c>
      <c r="P1913" s="18">
        <v>3695</v>
      </c>
      <c r="Q1913" s="15"/>
      <c r="R1913" t="s" s="16">
        <f>HYPERLINK("http://secrets.rutgers.edu:8080/data/asl-ftp/asllvd/demos/verify_start_end_handshape_annotations//test_auto_move//signs_mov_separ_signers/Tyler_15152.mov","MOV")</f>
        <v>21</v>
      </c>
    </row>
    <row r="1914" s="2" customFormat="1" ht="13.5" customHeight="1">
      <c r="B1914" s="13"/>
      <c r="C1914" t="s" s="9">
        <v>27</v>
      </c>
      <c r="D1914" t="s" s="8">
        <v>680</v>
      </c>
      <c r="E1914" t="s" s="9">
        <v>681</v>
      </c>
      <c r="F1914" t="s" s="10">
        <v>63</v>
      </c>
      <c r="G1914" t="s" s="11">
        <v>63</v>
      </c>
      <c r="H1914" t="s" s="10">
        <v>63</v>
      </c>
      <c r="I1914" t="s" s="11">
        <v>63</v>
      </c>
      <c r="J1914" t="s" s="11">
        <v>20</v>
      </c>
      <c r="K1914" t="s" s="16">
        <f>HYPERLINK("http://csr.bu.edu/ftp/asl/asllvd/demos/verify_start_end_handshape_annotations//test_auto_move//signs_mov/15152_15170_merged.mov","MOV")</f>
        <v>21</v>
      </c>
      <c r="L1914" t="s" s="16">
        <f>HYPERLINK("http://csr.bu.edu/ftp/asl/asllvd/demos/verify_start_end_handshape_annotations//test_auto_move//signs_mov_separ_signers/Naomi_15152.mov","MOV")</f>
        <v>21</v>
      </c>
      <c r="M1914" t="s" s="10">
        <v>86</v>
      </c>
      <c r="N1914" s="17">
        <v>1</v>
      </c>
      <c r="O1914" s="18">
        <v>3780</v>
      </c>
      <c r="P1914" s="18">
        <v>3815</v>
      </c>
      <c r="Q1914" t="s" s="16">
        <f>HYPERLINK("http://secrets.rutgers.edu:8080/data/asl-ftp/asllvd/demos/verify_start_end_handshape_annotations//test_auto_move//signs_mov/15152_15170_merged.mov","MOV")</f>
        <v>21</v>
      </c>
      <c r="R1914" t="s" s="16">
        <f>HYPERLINK("http://secrets.rutgers.edu:8080/data/asl-ftp/asllvd/demos/verify_start_end_handshape_annotations//test_auto_move//signs_mov_separ_signers/Naomi_15152.mov","MOV")</f>
        <v>21</v>
      </c>
    </row>
    <row r="1915" s="2" customFormat="1" ht="13.5" customHeight="1">
      <c r="B1915" s="13"/>
      <c r="C1915" t="s" s="9">
        <v>30</v>
      </c>
      <c r="D1915" t="s" s="8">
        <v>680</v>
      </c>
      <c r="E1915" t="s" s="9">
        <v>682</v>
      </c>
      <c r="F1915" t="s" s="10">
        <v>63</v>
      </c>
      <c r="G1915" t="s" s="11">
        <v>63</v>
      </c>
      <c r="H1915" s="19">
        <v>10</v>
      </c>
      <c r="I1915" s="17">
        <v>10</v>
      </c>
      <c r="J1915" t="s" s="11">
        <v>20</v>
      </c>
      <c r="K1915" s="15"/>
      <c r="L1915" t="s" s="16">
        <f>HYPERLINK("http://csr.bu.edu/ftp/asl/asllvd/demos/verify_start_end_handshape_annotations//test_auto_move//signs_mov_separ_signers/Brady_15152.mov","MOV")</f>
        <v>21</v>
      </c>
      <c r="M1915" t="s" s="10">
        <v>31</v>
      </c>
      <c r="N1915" s="17">
        <v>29</v>
      </c>
      <c r="O1915" s="18">
        <v>5767</v>
      </c>
      <c r="P1915" s="18">
        <v>5806</v>
      </c>
      <c r="Q1915" s="15"/>
      <c r="R1915" t="s" s="16">
        <f>HYPERLINK("http://secrets.rutgers.edu:8080/data/asl-ftp/asllvd/demos/verify_start_end_handshape_annotations//test_auto_move//signs_mov_separ_signers/Brady_15152.mov","MOV")</f>
        <v>21</v>
      </c>
    </row>
    <row r="1916" s="2" customFormat="1" ht="13.5" customHeight="1">
      <c r="B1916" s="13"/>
      <c r="C1916" t="s" s="9">
        <v>30</v>
      </c>
      <c r="D1916" t="s" s="8">
        <v>680</v>
      </c>
      <c r="E1916" t="s" s="9">
        <v>682</v>
      </c>
      <c r="F1916" s="19">
        <v>10</v>
      </c>
      <c r="G1916" s="17">
        <v>10</v>
      </c>
      <c r="H1916" s="19">
        <v>10</v>
      </c>
      <c r="I1916" s="17">
        <v>10</v>
      </c>
      <c r="J1916" t="s" s="11">
        <v>20</v>
      </c>
      <c r="K1916" s="15"/>
      <c r="L1916" t="s" s="16">
        <f>HYPERLINK("http://csr.bu.edu/ftp/asl/asllvd/demos/verify_start_end_handshape_annotations//test_auto_move//signs_mov_separ_signers/Brady_15170.mov","MOV")</f>
        <v>21</v>
      </c>
      <c r="M1916" t="s" s="10">
        <v>40</v>
      </c>
      <c r="N1916" s="17">
        <v>50</v>
      </c>
      <c r="O1916" s="18">
        <v>432</v>
      </c>
      <c r="P1916" s="18">
        <v>468</v>
      </c>
      <c r="Q1916" s="15"/>
      <c r="R1916" t="s" s="16">
        <f>HYPERLINK("http://secrets.rutgers.edu:8080/data/asl-ftp/asllvd/demos/verify_start_end_handshape_annotations//test_auto_move//signs_mov_separ_signers/Brady_15170.mov","MOV")</f>
        <v>21</v>
      </c>
    </row>
    <row r="1917" s="2" customFormat="1" ht="13.5" customHeight="1">
      <c r="B1917" s="13"/>
      <c r="C1917" t="s" s="9">
        <v>41</v>
      </c>
      <c r="D1917" t="s" s="8">
        <v>680</v>
      </c>
      <c r="E1917" t="s" s="9">
        <v>681</v>
      </c>
      <c r="F1917" s="19">
        <v>10</v>
      </c>
      <c r="G1917" s="17">
        <v>10</v>
      </c>
      <c r="H1917" s="19">
        <v>10</v>
      </c>
      <c r="I1917" s="17">
        <v>10</v>
      </c>
      <c r="J1917" t="s" s="11">
        <v>20</v>
      </c>
      <c r="K1917" s="15"/>
      <c r="L1917" t="s" s="16">
        <f>HYPERLINK("http://csr.bu.edu/ftp/asl/asllvd/demos/verify_start_end_handshape_annotations//test_auto_move//signs_mov_separ_signers/Lana_15152.mov","MOV")</f>
        <v>21</v>
      </c>
      <c r="M1917" t="s" s="10">
        <v>42</v>
      </c>
      <c r="N1917" s="17">
        <v>22</v>
      </c>
      <c r="O1917" s="18">
        <v>1474</v>
      </c>
      <c r="P1917" s="18">
        <v>1508</v>
      </c>
      <c r="Q1917" s="15"/>
      <c r="R1917" t="s" s="16">
        <f>HYPERLINK("http://secrets.rutgers.edu:8080/data/asl-ftp/asllvd/demos/verify_start_end_handshape_annotations//test_auto_move//signs_mov_separ_signers/Lana_15152.mov","MOV")</f>
        <v>21</v>
      </c>
    </row>
    <row r="1918" s="2" customFormat="1" ht="13.5" customHeight="1">
      <c r="B1918" s="13"/>
      <c r="C1918" t="s" s="9">
        <v>43</v>
      </c>
      <c r="D1918" t="s" s="8">
        <v>680</v>
      </c>
      <c r="E1918" t="s" s="9">
        <v>682</v>
      </c>
      <c r="F1918" s="19">
        <v>10</v>
      </c>
      <c r="G1918" s="17">
        <v>10</v>
      </c>
      <c r="H1918" s="19">
        <v>10</v>
      </c>
      <c r="I1918" s="17">
        <v>10</v>
      </c>
      <c r="J1918" t="s" s="11">
        <v>20</v>
      </c>
      <c r="K1918" s="15"/>
      <c r="L1918" t="s" s="16">
        <f>HYPERLINK("http://csr.bu.edu/ftp/asl/asllvd/demos/verify_start_end_handshape_annotations//test_auto_move//signs_mov_separ_signers/Dana_15152.mov","MOV")</f>
        <v>21</v>
      </c>
      <c r="M1918" t="s" s="10">
        <v>44</v>
      </c>
      <c r="N1918" s="17">
        <v>25</v>
      </c>
      <c r="O1918" s="18">
        <v>1394</v>
      </c>
      <c r="P1918" s="18">
        <v>1451</v>
      </c>
      <c r="Q1918" s="15"/>
      <c r="R1918" t="s" s="16">
        <f>HYPERLINK("http://secrets.rutgers.edu:8080/data/asl-ftp/asllvd/demos/verify_start_end_handshape_annotations//test_auto_move//signs_mov_separ_signers/Dana_15152.mov","MOV")</f>
        <v>21</v>
      </c>
    </row>
    <row r="1919" s="2" customFormat="1" ht="13.5" customHeight="1">
      <c r="B1919" t="s" s="8">
        <v>683</v>
      </c>
      <c r="C1919" t="s" s="9">
        <v>14</v>
      </c>
      <c r="D1919" t="s" s="8">
        <v>14</v>
      </c>
      <c r="E1919" t="s" s="9">
        <v>14</v>
      </c>
      <c r="F1919" t="s" s="10">
        <v>14</v>
      </c>
      <c r="G1919" t="s" s="11">
        <v>14</v>
      </c>
      <c r="H1919" t="s" s="10">
        <v>14</v>
      </c>
      <c r="I1919" t="s" s="11">
        <v>14</v>
      </c>
      <c r="J1919" t="s" s="11">
        <v>14</v>
      </c>
      <c r="K1919" t="s" s="12">
        <v>14</v>
      </c>
      <c r="L1919" t="s" s="12">
        <v>14</v>
      </c>
      <c r="M1919" t="s" s="10">
        <v>14</v>
      </c>
      <c r="N1919" t="s" s="11">
        <v>14</v>
      </c>
      <c r="O1919" t="s" s="8">
        <v>14</v>
      </c>
      <c r="P1919" t="s" s="8">
        <v>14</v>
      </c>
      <c r="Q1919" t="s" s="12">
        <v>14</v>
      </c>
      <c r="R1919" t="s" s="12">
        <v>14</v>
      </c>
    </row>
    <row r="1920" s="2" customFormat="1" ht="13.5" customHeight="1">
      <c r="B1920" s="13"/>
      <c r="C1920" t="s" s="9">
        <v>16</v>
      </c>
      <c r="D1920" t="s" s="8">
        <v>683</v>
      </c>
      <c r="E1920" t="s" s="9">
        <v>684</v>
      </c>
      <c r="F1920" s="19">
        <v>10</v>
      </c>
      <c r="G1920" s="17">
        <v>10</v>
      </c>
      <c r="H1920" s="19">
        <v>10</v>
      </c>
      <c r="I1920" s="17">
        <v>10</v>
      </c>
      <c r="J1920" t="s" s="11">
        <v>20</v>
      </c>
      <c r="K1920" s="15"/>
      <c r="L1920" t="s" s="16">
        <f>HYPERLINK("http://csr.bu.edu/ftp/asl/asllvd/demos/verify_start_end_handshape_annotations//test_auto_move//signs_mov_separ_signers/Liz_15192.mov","MOV")</f>
        <v>21</v>
      </c>
      <c r="M1920" t="s" s="10">
        <v>34</v>
      </c>
      <c r="N1920" s="17">
        <v>2</v>
      </c>
      <c r="O1920" s="18">
        <v>1035</v>
      </c>
      <c r="P1920" s="18">
        <v>1080</v>
      </c>
      <c r="Q1920" s="15"/>
      <c r="R1920" t="s" s="16">
        <f>HYPERLINK("http://secrets.rutgers.edu:8080/data/asl-ftp/asllvd/demos/verify_start_end_handshape_annotations//test_auto_move//signs_mov_separ_signers/Liz_15192.mov","MOV")</f>
        <v>21</v>
      </c>
    </row>
    <row r="1921" s="2" customFormat="1" ht="13.5" customHeight="1">
      <c r="B1921" s="13"/>
      <c r="C1921" t="s" s="9">
        <v>23</v>
      </c>
      <c r="D1921" t="s" s="8">
        <v>683</v>
      </c>
      <c r="E1921" t="s" s="9">
        <v>685</v>
      </c>
      <c r="F1921" s="19">
        <v>10</v>
      </c>
      <c r="G1921" s="17">
        <v>10</v>
      </c>
      <c r="H1921" s="19">
        <v>10</v>
      </c>
      <c r="I1921" s="17">
        <v>10</v>
      </c>
      <c r="J1921" t="s" s="11">
        <v>20</v>
      </c>
      <c r="K1921" s="15"/>
      <c r="L1921" t="s" s="16">
        <f>HYPERLINK("http://csr.bu.edu/ftp/asl/asllvd/demos/verify_start_end_handshape_annotations//test_auto_move//signs_mov_separ_signers/Tyler_15192.mov","MOV")</f>
        <v>21</v>
      </c>
      <c r="M1921" t="s" s="10">
        <v>92</v>
      </c>
      <c r="N1921" s="17">
        <v>34</v>
      </c>
      <c r="O1921" s="18">
        <v>550</v>
      </c>
      <c r="P1921" s="18">
        <v>601</v>
      </c>
      <c r="Q1921" s="15"/>
      <c r="R1921" t="s" s="16">
        <f>HYPERLINK("http://secrets.rutgers.edu:8080/data/asl-ftp/asllvd/demos/verify_start_end_handshape_annotations//test_auto_move//signs_mov_separ_signers/Tyler_15192.mov","MOV")</f>
        <v>21</v>
      </c>
    </row>
    <row r="1922" s="2" customFormat="1" ht="13.5" customHeight="1">
      <c r="B1922" s="13"/>
      <c r="C1922" t="s" s="9">
        <v>27</v>
      </c>
      <c r="D1922" t="s" s="8">
        <v>683</v>
      </c>
      <c r="E1922" t="s" s="9">
        <v>684</v>
      </c>
      <c r="F1922" s="19">
        <v>10</v>
      </c>
      <c r="G1922" s="17">
        <v>10</v>
      </c>
      <c r="H1922" s="19">
        <v>10</v>
      </c>
      <c r="I1922" s="17">
        <v>10</v>
      </c>
      <c r="J1922" t="s" s="11">
        <v>20</v>
      </c>
      <c r="K1922" t="s" s="16">
        <f>HYPERLINK("http://csr.bu.edu/ftp/asl/asllvd/demos/verify_start_end_handshape_annotations//test_auto_move//signs_mov/15192.mov","MOV")</f>
        <v>21</v>
      </c>
      <c r="L1922" t="s" s="16">
        <f>HYPERLINK("http://csr.bu.edu/ftp/asl/asllvd/demos/verify_start_end_handshape_annotations//test_auto_move//signs_mov_separ_signers/Naomi_15192.mov","MOV")</f>
        <v>21</v>
      </c>
      <c r="M1922" t="s" s="10">
        <v>38</v>
      </c>
      <c r="N1922" s="17">
        <v>2</v>
      </c>
      <c r="O1922" s="18">
        <v>819</v>
      </c>
      <c r="P1922" s="18">
        <v>847</v>
      </c>
      <c r="Q1922" t="s" s="16">
        <f>HYPERLINK("http://secrets.rutgers.edu:8080/data/asl-ftp/asllvd/demos/verify_start_end_handshape_annotations//test_auto_move//signs_mov/15192.mov","MOV")</f>
        <v>21</v>
      </c>
      <c r="R1922" t="s" s="16">
        <f>HYPERLINK("http://secrets.rutgers.edu:8080/data/asl-ftp/asllvd/demos/verify_start_end_handshape_annotations//test_auto_move//signs_mov_separ_signers/Naomi_15192.mov","MOV")</f>
        <v>21</v>
      </c>
    </row>
    <row r="1923" s="2" customFormat="1" ht="13.5" customHeight="1">
      <c r="B1923" s="13"/>
      <c r="C1923" t="s" s="9">
        <v>30</v>
      </c>
      <c r="D1923" t="s" s="8">
        <v>683</v>
      </c>
      <c r="E1923" t="s" s="9">
        <v>684</v>
      </c>
      <c r="F1923" s="19">
        <v>10</v>
      </c>
      <c r="G1923" s="17">
        <v>10</v>
      </c>
      <c r="H1923" s="19">
        <v>10</v>
      </c>
      <c r="I1923" s="17">
        <v>10</v>
      </c>
      <c r="J1923" t="s" s="11">
        <v>20</v>
      </c>
      <c r="K1923" s="15"/>
      <c r="L1923" t="s" s="16">
        <f>HYPERLINK("http://csr.bu.edu/ftp/asl/asllvd/demos/verify_start_end_handshape_annotations//test_auto_move//signs_mov_separ_signers/Brady_15192.mov","MOV")</f>
        <v>21</v>
      </c>
      <c r="M1923" t="s" s="10">
        <v>39</v>
      </c>
      <c r="N1923" s="17">
        <v>24</v>
      </c>
      <c r="O1923" s="18">
        <v>5731</v>
      </c>
      <c r="P1923" s="18">
        <v>5758</v>
      </c>
      <c r="Q1923" s="15"/>
      <c r="R1923" t="s" s="16">
        <f>HYPERLINK("http://secrets.rutgers.edu:8080/data/asl-ftp/asllvd/demos/verify_start_end_handshape_annotations//test_auto_move//signs_mov_separ_signers/Brady_15192.mov","MOV")</f>
        <v>21</v>
      </c>
    </row>
    <row r="1924" s="2" customFormat="1" ht="13.5" customHeight="1">
      <c r="B1924" s="13"/>
      <c r="C1924" t="s" s="9">
        <v>41</v>
      </c>
      <c r="D1924" t="s" s="8">
        <v>683</v>
      </c>
      <c r="E1924" t="s" s="9">
        <v>684</v>
      </c>
      <c r="F1924" s="19">
        <v>10</v>
      </c>
      <c r="G1924" s="17">
        <v>10</v>
      </c>
      <c r="H1924" s="19">
        <v>10</v>
      </c>
      <c r="I1924" s="17">
        <v>10</v>
      </c>
      <c r="J1924" t="s" s="11">
        <v>20</v>
      </c>
      <c r="K1924" s="15"/>
      <c r="L1924" t="s" s="16">
        <f>HYPERLINK("http://csr.bu.edu/ftp/asl/asllvd/demos/verify_start_end_handshape_annotations//test_auto_move//signs_mov_separ_signers/Lana_15192.mov","MOV")</f>
        <v>21</v>
      </c>
      <c r="M1924" t="s" s="10">
        <v>42</v>
      </c>
      <c r="N1924" s="17">
        <v>11</v>
      </c>
      <c r="O1924" s="18">
        <v>2215</v>
      </c>
      <c r="P1924" s="18">
        <v>2240</v>
      </c>
      <c r="Q1924" s="15"/>
      <c r="R1924" t="s" s="16">
        <f>HYPERLINK("http://secrets.rutgers.edu:8080/data/asl-ftp/asllvd/demos/verify_start_end_handshape_annotations//test_auto_move//signs_mov_separ_signers/Lana_15192.mov","MOV")</f>
        <v>21</v>
      </c>
    </row>
    <row r="1925" s="2" customFormat="1" ht="13.5" customHeight="1">
      <c r="B1925" s="13"/>
      <c r="C1925" t="s" s="9">
        <v>43</v>
      </c>
      <c r="D1925" t="s" s="8">
        <v>683</v>
      </c>
      <c r="E1925" t="s" s="9">
        <v>685</v>
      </c>
      <c r="F1925" s="19">
        <v>10</v>
      </c>
      <c r="G1925" s="17">
        <v>10</v>
      </c>
      <c r="H1925" s="19">
        <v>10</v>
      </c>
      <c r="I1925" s="17">
        <v>10</v>
      </c>
      <c r="J1925" t="s" s="11">
        <v>20</v>
      </c>
      <c r="K1925" s="15"/>
      <c r="L1925" t="s" s="16">
        <f>HYPERLINK("http://csr.bu.edu/ftp/asl/asllvd/demos/verify_start_end_handshape_annotations//test_auto_move//signs_mov_separ_signers/Dana_15192.mov","MOV")</f>
        <v>21</v>
      </c>
      <c r="M1925" t="s" s="10">
        <v>44</v>
      </c>
      <c r="N1925" s="17">
        <v>15</v>
      </c>
      <c r="O1925" s="18">
        <v>2138</v>
      </c>
      <c r="P1925" s="18">
        <v>2191</v>
      </c>
      <c r="Q1925" s="15"/>
      <c r="R1925" t="s" s="16">
        <f>HYPERLINK("http://secrets.rutgers.edu:8080/data/asl-ftp/asllvd/demos/verify_start_end_handshape_annotations//test_auto_move//signs_mov_separ_signers/Dana_15192.mov","MOV")</f>
        <v>21</v>
      </c>
    </row>
    <row r="1926" s="2" customFormat="1" ht="13.5" customHeight="1">
      <c r="B1926" t="s" s="8">
        <v>686</v>
      </c>
      <c r="C1926" t="s" s="9">
        <v>14</v>
      </c>
      <c r="D1926" t="s" s="8">
        <v>14</v>
      </c>
      <c r="E1926" t="s" s="9">
        <v>14</v>
      </c>
      <c r="F1926" t="s" s="10">
        <v>14</v>
      </c>
      <c r="G1926" t="s" s="11">
        <v>14</v>
      </c>
      <c r="H1926" t="s" s="10">
        <v>14</v>
      </c>
      <c r="I1926" t="s" s="11">
        <v>14</v>
      </c>
      <c r="J1926" t="s" s="11">
        <v>14</v>
      </c>
      <c r="K1926" t="s" s="12">
        <v>14</v>
      </c>
      <c r="L1926" t="s" s="12">
        <v>14</v>
      </c>
      <c r="M1926" t="s" s="10">
        <v>14</v>
      </c>
      <c r="N1926" t="s" s="11">
        <v>14</v>
      </c>
      <c r="O1926" t="s" s="8">
        <v>14</v>
      </c>
      <c r="P1926" t="s" s="8">
        <v>14</v>
      </c>
      <c r="Q1926" t="s" s="12">
        <v>14</v>
      </c>
      <c r="R1926" t="s" s="12">
        <v>14</v>
      </c>
    </row>
    <row r="1927" s="2" customFormat="1" ht="13.5" customHeight="1">
      <c r="B1927" s="13"/>
      <c r="C1927" t="s" s="9">
        <v>16</v>
      </c>
      <c r="D1927" t="s" s="8">
        <v>686</v>
      </c>
      <c r="E1927" t="s" s="9">
        <v>687</v>
      </c>
      <c r="F1927" s="19">
        <v>10</v>
      </c>
      <c r="G1927" t="s" s="11">
        <v>63</v>
      </c>
      <c r="H1927" s="19">
        <v>10</v>
      </c>
      <c r="I1927" t="s" s="11">
        <v>63</v>
      </c>
      <c r="J1927" t="s" s="11">
        <v>20</v>
      </c>
      <c r="K1927" s="15"/>
      <c r="L1927" t="s" s="16">
        <f>HYPERLINK("http://csr.bu.edu/ftp/asl/asllvd/demos/verify_start_end_handshape_annotations//test_auto_move//signs_mov_separ_signers/Liz_15206.mov","MOV")</f>
        <v>21</v>
      </c>
      <c r="M1927" t="s" s="10">
        <v>84</v>
      </c>
      <c r="N1927" s="17">
        <v>11</v>
      </c>
      <c r="O1927" s="18">
        <v>2502</v>
      </c>
      <c r="P1927" s="18">
        <v>2555</v>
      </c>
      <c r="Q1927" s="15"/>
      <c r="R1927" t="s" s="16">
        <f>HYPERLINK("http://secrets.rutgers.edu:8080/data/asl-ftp/asllvd/demos/verify_start_end_handshape_annotations//test_auto_move//signs_mov_separ_signers/Liz_15206.mov","MOV")</f>
        <v>21</v>
      </c>
    </row>
    <row r="1928" s="2" customFormat="1" ht="13.5" customHeight="1">
      <c r="B1928" s="13"/>
      <c r="C1928" t="s" s="9">
        <v>16</v>
      </c>
      <c r="D1928" t="s" s="8">
        <v>686</v>
      </c>
      <c r="E1928" t="s" s="9">
        <v>686</v>
      </c>
      <c r="F1928" s="19">
        <v>10</v>
      </c>
      <c r="G1928" s="17">
        <v>10</v>
      </c>
      <c r="H1928" s="19">
        <v>10</v>
      </c>
      <c r="I1928" s="17">
        <v>10</v>
      </c>
      <c r="J1928" t="s" s="11">
        <v>20</v>
      </c>
      <c r="K1928" s="15"/>
      <c r="L1928" t="s" s="16">
        <f>HYPERLINK("http://csr.bu.edu/ftp/asl/asllvd/demos/verify_start_end_handshape_annotations//test_auto_move//signs_mov_separ_signers/Liz_15210.mov","MOV")</f>
        <v>21</v>
      </c>
      <c r="M1928" t="s" s="10">
        <v>59</v>
      </c>
      <c r="N1928" s="17">
        <v>15</v>
      </c>
      <c r="O1928" s="18">
        <v>1957</v>
      </c>
      <c r="P1928" s="18">
        <v>1981</v>
      </c>
      <c r="Q1928" s="15"/>
      <c r="R1928" t="s" s="16">
        <f>HYPERLINK("http://secrets.rutgers.edu:8080/data/asl-ftp/asllvd/demos/verify_start_end_handshape_annotations//test_auto_move//signs_mov_separ_signers/Liz_15210.mov","MOV")</f>
        <v>21</v>
      </c>
    </row>
    <row r="1929" s="2" customFormat="1" ht="13.5" customHeight="1">
      <c r="B1929" s="13"/>
      <c r="C1929" t="s" s="9">
        <v>23</v>
      </c>
      <c r="D1929" t="s" s="8">
        <v>686</v>
      </c>
      <c r="E1929" t="s" s="9">
        <v>688</v>
      </c>
      <c r="F1929" s="19">
        <v>10</v>
      </c>
      <c r="G1929" s="17">
        <v>10</v>
      </c>
      <c r="H1929" s="19">
        <v>10</v>
      </c>
      <c r="I1929" s="17">
        <v>10</v>
      </c>
      <c r="J1929" t="s" s="11">
        <v>20</v>
      </c>
      <c r="K1929" t="s" s="16">
        <f>HYPERLINK("http://csr.bu.edu/ftp/asl/asllvd/demos/verify_start_end_handshape_annotations//test_auto_move//signs_mov/15206_15210_merged.mov","MOV")</f>
        <v>21</v>
      </c>
      <c r="L1929" t="s" s="16">
        <f>HYPERLINK("http://csr.bu.edu/ftp/asl/asllvd/demos/verify_start_end_handshape_annotations//test_auto_move//signs_mov_separ_signers/Tyler_15206.mov","MOV")</f>
        <v>21</v>
      </c>
      <c r="M1929" t="s" s="10">
        <v>125</v>
      </c>
      <c r="N1929" s="17">
        <v>11</v>
      </c>
      <c r="O1929" s="18">
        <v>2640</v>
      </c>
      <c r="P1929" s="18">
        <v>2710</v>
      </c>
      <c r="Q1929" t="s" s="16">
        <f>HYPERLINK("http://secrets.rutgers.edu:8080/data/asl-ftp/asllvd/demos/verify_start_end_handshape_annotations//test_auto_move//signs_mov/15206_15210_merged.mov","MOV")</f>
        <v>21</v>
      </c>
      <c r="R1929" t="s" s="16">
        <f>HYPERLINK("http://secrets.rutgers.edu:8080/data/asl-ftp/asllvd/demos/verify_start_end_handshape_annotations//test_auto_move//signs_mov_separ_signers/Tyler_15206.mov","MOV")</f>
        <v>21</v>
      </c>
    </row>
    <row r="1930" s="2" customFormat="1" ht="13.5" customHeight="1">
      <c r="B1930" s="13"/>
      <c r="C1930" t="s" s="9">
        <v>27</v>
      </c>
      <c r="D1930" t="s" s="8">
        <v>686</v>
      </c>
      <c r="E1930" t="s" s="9">
        <v>687</v>
      </c>
      <c r="F1930" s="19">
        <v>10</v>
      </c>
      <c r="G1930" s="17">
        <v>10</v>
      </c>
      <c r="H1930" s="19">
        <v>10</v>
      </c>
      <c r="I1930" s="17">
        <v>10</v>
      </c>
      <c r="J1930" t="s" s="11">
        <v>20</v>
      </c>
      <c r="K1930" s="15"/>
      <c r="L1930" t="s" s="16">
        <f>HYPERLINK("http://csr.bu.edu/ftp/asl/asllvd/demos/verify_start_end_handshape_annotations//test_auto_move//signs_mov_separ_signers/Naomi_15206.mov","MOV")</f>
        <v>21</v>
      </c>
      <c r="M1930" t="s" s="10">
        <v>86</v>
      </c>
      <c r="N1930" s="17">
        <v>11</v>
      </c>
      <c r="O1930" s="18">
        <v>2887</v>
      </c>
      <c r="P1930" s="18">
        <v>2920</v>
      </c>
      <c r="Q1930" s="15"/>
      <c r="R1930" t="s" s="16">
        <f>HYPERLINK("http://secrets.rutgers.edu:8080/data/asl-ftp/asllvd/demos/verify_start_end_handshape_annotations//test_auto_move//signs_mov_separ_signers/Naomi_15206.mov","MOV")</f>
        <v>21</v>
      </c>
    </row>
    <row r="1931" s="2" customFormat="1" ht="13.5" customHeight="1">
      <c r="B1931" s="13"/>
      <c r="C1931" t="s" s="9">
        <v>30</v>
      </c>
      <c r="D1931" t="s" s="8">
        <v>686</v>
      </c>
      <c r="E1931" t="s" s="9">
        <v>688</v>
      </c>
      <c r="F1931" s="19">
        <v>10</v>
      </c>
      <c r="G1931" s="17">
        <v>10</v>
      </c>
      <c r="H1931" s="19">
        <v>10</v>
      </c>
      <c r="I1931" s="17">
        <v>10</v>
      </c>
      <c r="J1931" t="s" s="11">
        <v>20</v>
      </c>
      <c r="K1931" s="15"/>
      <c r="L1931" t="s" s="16">
        <f>HYPERLINK("http://csr.bu.edu/ftp/asl/asllvd/demos/verify_start_end_handshape_annotations//test_auto_move//signs_mov_separ_signers/Brady_15206.mov","MOV")</f>
        <v>21</v>
      </c>
      <c r="M1931" t="s" s="10">
        <v>31</v>
      </c>
      <c r="N1931" s="17">
        <v>32</v>
      </c>
      <c r="O1931" s="18">
        <v>3689</v>
      </c>
      <c r="P1931" s="18">
        <v>3732</v>
      </c>
      <c r="Q1931" s="15"/>
      <c r="R1931" t="s" s="16">
        <f>HYPERLINK("http://secrets.rutgers.edu:8080/data/asl-ftp/asllvd/demos/verify_start_end_handshape_annotations//test_auto_move//signs_mov_separ_signers/Brady_15206.mov","MOV")</f>
        <v>21</v>
      </c>
    </row>
    <row r="1932" s="2" customFormat="1" ht="13.5" customHeight="1">
      <c r="B1932" s="13"/>
      <c r="C1932" t="s" s="9">
        <v>30</v>
      </c>
      <c r="D1932" t="s" s="8">
        <v>686</v>
      </c>
      <c r="E1932" t="s" s="9">
        <v>687</v>
      </c>
      <c r="F1932" s="19">
        <v>10</v>
      </c>
      <c r="G1932" s="17">
        <v>10</v>
      </c>
      <c r="H1932" s="19">
        <v>10</v>
      </c>
      <c r="I1932" s="17">
        <v>10</v>
      </c>
      <c r="J1932" t="s" s="11">
        <v>20</v>
      </c>
      <c r="K1932" s="15"/>
      <c r="L1932" t="s" s="16">
        <f>HYPERLINK("http://csr.bu.edu/ftp/asl/asllvd/demos/verify_start_end_handshape_annotations//test_auto_move//signs_mov_separ_signers/Brady_15210.mov","MOV")</f>
        <v>21</v>
      </c>
      <c r="M1932" t="s" s="10">
        <v>40</v>
      </c>
      <c r="N1932" s="17">
        <v>116</v>
      </c>
      <c r="O1932" s="18">
        <v>1522</v>
      </c>
      <c r="P1932" s="18">
        <v>1550</v>
      </c>
      <c r="Q1932" s="15"/>
      <c r="R1932" t="s" s="16">
        <f>HYPERLINK("http://secrets.rutgers.edu:8080/data/asl-ftp/asllvd/demos/verify_start_end_handshape_annotations//test_auto_move//signs_mov_separ_signers/Brady_15210.mov","MOV")</f>
        <v>21</v>
      </c>
    </row>
    <row r="1933" s="2" customFormat="1" ht="13.5" customHeight="1">
      <c r="B1933" t="s" s="8">
        <v>689</v>
      </c>
      <c r="C1933" t="s" s="9">
        <v>14</v>
      </c>
      <c r="D1933" t="s" s="8">
        <v>14</v>
      </c>
      <c r="E1933" t="s" s="9">
        <v>14</v>
      </c>
      <c r="F1933" t="s" s="10">
        <v>14</v>
      </c>
      <c r="G1933" t="s" s="11">
        <v>14</v>
      </c>
      <c r="H1933" t="s" s="10">
        <v>14</v>
      </c>
      <c r="I1933" t="s" s="11">
        <v>14</v>
      </c>
      <c r="J1933" t="s" s="11">
        <v>14</v>
      </c>
      <c r="K1933" t="s" s="12">
        <v>14</v>
      </c>
      <c r="L1933" t="s" s="12">
        <v>14</v>
      </c>
      <c r="M1933" t="s" s="10">
        <v>14</v>
      </c>
      <c r="N1933" t="s" s="11">
        <v>14</v>
      </c>
      <c r="O1933" t="s" s="8">
        <v>14</v>
      </c>
      <c r="P1933" t="s" s="8">
        <v>14</v>
      </c>
      <c r="Q1933" t="s" s="12">
        <v>14</v>
      </c>
      <c r="R1933" t="s" s="12">
        <v>14</v>
      </c>
    </row>
    <row r="1934" s="2" customFormat="1" ht="13.5" customHeight="1">
      <c r="B1934" s="13"/>
      <c r="C1934" t="s" s="9">
        <v>16</v>
      </c>
      <c r="D1934" t="s" s="8">
        <v>689</v>
      </c>
      <c r="E1934" t="s" s="9">
        <v>689</v>
      </c>
      <c r="F1934" s="19">
        <v>10</v>
      </c>
      <c r="G1934" s="17">
        <v>10</v>
      </c>
      <c r="H1934" s="19">
        <v>10</v>
      </c>
      <c r="I1934" s="17">
        <v>10</v>
      </c>
      <c r="J1934" t="s" s="11">
        <v>20</v>
      </c>
      <c r="K1934" s="15"/>
      <c r="L1934" t="s" s="16">
        <f>HYPERLINK("http://csr.bu.edu/ftp/asl/asllvd/demos/verify_start_end_handshape_annotations//test_auto_move//signs_mov_separ_signers/Liz_15914.mov","MOV")</f>
        <v>21</v>
      </c>
      <c r="M1934" t="s" s="10">
        <v>84</v>
      </c>
      <c r="N1934" s="17">
        <v>12</v>
      </c>
      <c r="O1934" s="18">
        <v>312</v>
      </c>
      <c r="P1934" s="18">
        <v>335</v>
      </c>
      <c r="Q1934" s="15"/>
      <c r="R1934" t="s" s="16">
        <f>HYPERLINK("http://secrets.rutgers.edu:8080/data/asl-ftp/asllvd/demos/verify_start_end_handshape_annotations//test_auto_move//signs_mov_separ_signers/Liz_15914.mov","MOV")</f>
        <v>21</v>
      </c>
    </row>
    <row r="1935" s="2" customFormat="1" ht="13.5" customHeight="1">
      <c r="B1935" s="13"/>
      <c r="C1935" t="s" s="9">
        <v>27</v>
      </c>
      <c r="D1935" t="s" s="8">
        <v>689</v>
      </c>
      <c r="E1935" t="s" s="9">
        <v>689</v>
      </c>
      <c r="F1935" s="19">
        <v>10</v>
      </c>
      <c r="G1935" s="17">
        <v>10</v>
      </c>
      <c r="H1935" s="19">
        <v>10</v>
      </c>
      <c r="I1935" s="17">
        <v>10</v>
      </c>
      <c r="J1935" t="s" s="11">
        <v>20</v>
      </c>
      <c r="K1935" t="s" s="16">
        <f>HYPERLINK("http://csr.bu.edu/ftp/asl/asllvd/demos/verify_start_end_handshape_annotations//test_auto_move//signs_mov/15914_15979_merged.mov","MOV")</f>
        <v>21</v>
      </c>
      <c r="L1935" t="s" s="16">
        <f>HYPERLINK("http://csr.bu.edu/ftp/asl/asllvd/demos/verify_start_end_handshape_annotations//test_auto_move//signs_mov_separ_signers/Naomi_15914.mov","MOV")</f>
        <v>21</v>
      </c>
      <c r="M1935" t="s" s="10">
        <v>86</v>
      </c>
      <c r="N1935" s="17">
        <v>11</v>
      </c>
      <c r="O1935" s="18">
        <v>3652</v>
      </c>
      <c r="P1935" s="18">
        <v>3677</v>
      </c>
      <c r="Q1935" t="s" s="16">
        <f>HYPERLINK("http://secrets.rutgers.edu:8080/data/asl-ftp/asllvd/demos/verify_start_end_handshape_annotations//test_auto_move//signs_mov/15914_15979_merged.mov","MOV")</f>
        <v>21</v>
      </c>
      <c r="R1935" t="s" s="16">
        <f>HYPERLINK("http://secrets.rutgers.edu:8080/data/asl-ftp/asllvd/demos/verify_start_end_handshape_annotations//test_auto_move//signs_mov_separ_signers/Naomi_15914.mov","MOV")</f>
        <v>21</v>
      </c>
    </row>
    <row r="1936" s="2" customFormat="1" ht="13.5" customHeight="1">
      <c r="B1936" s="13"/>
      <c r="C1936" t="s" s="9">
        <v>30</v>
      </c>
      <c r="D1936" t="s" s="8">
        <v>689</v>
      </c>
      <c r="E1936" t="s" s="9">
        <v>689</v>
      </c>
      <c r="F1936" s="19">
        <v>10</v>
      </c>
      <c r="G1936" s="17">
        <v>10</v>
      </c>
      <c r="H1936" s="19">
        <v>10</v>
      </c>
      <c r="I1936" s="17">
        <v>10</v>
      </c>
      <c r="J1936" t="s" s="11">
        <v>20</v>
      </c>
      <c r="K1936" s="15"/>
      <c r="L1936" t="s" s="16">
        <f>HYPERLINK("http://csr.bu.edu/ftp/asl/asllvd/demos/verify_start_end_handshape_annotations//test_auto_move//signs_mov_separ_signers/Brady_15914.mov","MOV")</f>
        <v>21</v>
      </c>
      <c r="M1936" t="s" s="10">
        <v>31</v>
      </c>
      <c r="N1936" s="17">
        <v>32</v>
      </c>
      <c r="O1936" s="18">
        <v>5493</v>
      </c>
      <c r="P1936" s="18">
        <v>5509</v>
      </c>
      <c r="Q1936" s="15"/>
      <c r="R1936" t="s" s="16">
        <f>HYPERLINK("http://secrets.rutgers.edu:8080/data/asl-ftp/asllvd/demos/verify_start_end_handshape_annotations//test_auto_move//signs_mov_separ_signers/Brady_15914.mov","MOV")</f>
        <v>21</v>
      </c>
    </row>
    <row r="1937" s="2" customFormat="1" ht="13.5" customHeight="1">
      <c r="B1937" s="13"/>
      <c r="C1937" t="s" s="9">
        <v>30</v>
      </c>
      <c r="D1937" t="s" s="8">
        <v>689</v>
      </c>
      <c r="E1937" t="s" s="9">
        <v>689</v>
      </c>
      <c r="F1937" s="19">
        <v>10</v>
      </c>
      <c r="G1937" s="17">
        <v>10</v>
      </c>
      <c r="H1937" s="19">
        <v>10</v>
      </c>
      <c r="I1937" s="17">
        <v>10</v>
      </c>
      <c r="J1937" t="s" s="11">
        <v>20</v>
      </c>
      <c r="K1937" s="15"/>
      <c r="L1937" t="s" s="16">
        <f>HYPERLINK("http://csr.bu.edu/ftp/asl/asllvd/demos/verify_start_end_handshape_annotations//test_auto_move//signs_mov_separ_signers/Brady_15979.mov","MOV")</f>
        <v>21</v>
      </c>
      <c r="M1937" t="s" s="10">
        <v>60</v>
      </c>
      <c r="N1937" s="17">
        <v>41</v>
      </c>
      <c r="O1937" s="18">
        <v>1947</v>
      </c>
      <c r="P1937" s="18">
        <v>1970</v>
      </c>
      <c r="Q1937" s="15"/>
      <c r="R1937" t="s" s="16">
        <f>HYPERLINK("http://secrets.rutgers.edu:8080/data/asl-ftp/asllvd/demos/verify_start_end_handshape_annotations//test_auto_move//signs_mov_separ_signers/Brady_15979.mov","MOV")</f>
        <v>21</v>
      </c>
    </row>
    <row r="1938" s="2" customFormat="1" ht="13.5" customHeight="1">
      <c r="B1938" t="s" s="8">
        <v>690</v>
      </c>
      <c r="C1938" t="s" s="9">
        <v>14</v>
      </c>
      <c r="D1938" t="s" s="8">
        <v>14</v>
      </c>
      <c r="E1938" t="s" s="9">
        <v>14</v>
      </c>
      <c r="F1938" t="s" s="10">
        <v>14</v>
      </c>
      <c r="G1938" t="s" s="11">
        <v>14</v>
      </c>
      <c r="H1938" t="s" s="10">
        <v>14</v>
      </c>
      <c r="I1938" t="s" s="11">
        <v>14</v>
      </c>
      <c r="J1938" t="s" s="11">
        <v>14</v>
      </c>
      <c r="K1938" t="s" s="12">
        <v>14</v>
      </c>
      <c r="L1938" t="s" s="12">
        <v>14</v>
      </c>
      <c r="M1938" t="s" s="10">
        <v>14</v>
      </c>
      <c r="N1938" t="s" s="11">
        <v>14</v>
      </c>
      <c r="O1938" t="s" s="8">
        <v>14</v>
      </c>
      <c r="P1938" t="s" s="8">
        <v>14</v>
      </c>
      <c r="Q1938" t="s" s="12">
        <v>14</v>
      </c>
      <c r="R1938" t="s" s="12">
        <v>14</v>
      </c>
    </row>
    <row r="1939" s="2" customFormat="1" ht="13.5" customHeight="1">
      <c r="B1939" s="13"/>
      <c r="C1939" t="s" s="9">
        <v>23</v>
      </c>
      <c r="D1939" t="s" s="8">
        <v>690</v>
      </c>
      <c r="E1939" t="s" s="9">
        <v>690</v>
      </c>
      <c r="F1939" t="s" s="10">
        <v>72</v>
      </c>
      <c r="G1939" s="17">
        <v>1</v>
      </c>
      <c r="H1939" t="s" s="10">
        <v>72</v>
      </c>
      <c r="I1939" s="17">
        <v>1</v>
      </c>
      <c r="J1939" t="s" s="11">
        <v>20</v>
      </c>
      <c r="K1939" t="s" s="16">
        <f>HYPERLINK("http://csr.bu.edu/ftp/asl/asllvd/demos/verify_start_end_handshape_annotations//test_auto_move//signs_mov/413.mov","MOV")</f>
        <v>21</v>
      </c>
      <c r="L1939" t="s" s="16">
        <f>HYPERLINK("http://csr.bu.edu/ftp/asl/asllvd/demos/verify_start_end_handshape_annotations//test_auto_move//signs_mov_separ_signers/Tyler_413.mov","MOV")</f>
        <v>21</v>
      </c>
      <c r="M1939" t="s" s="10">
        <v>26</v>
      </c>
      <c r="N1939" s="17">
        <v>43</v>
      </c>
      <c r="O1939" s="18">
        <v>855</v>
      </c>
      <c r="P1939" s="18">
        <v>875</v>
      </c>
      <c r="Q1939" t="s" s="16">
        <f>HYPERLINK("http://secrets.rutgers.edu:8080/data/asl-ftp/asllvd/demos/verify_start_end_handshape_annotations//test_auto_move//signs_mov/413.mov","MOV")</f>
        <v>21</v>
      </c>
      <c r="R1939" t="s" s="16">
        <f>HYPERLINK("http://secrets.rutgers.edu:8080/data/asl-ftp/asllvd/demos/verify_start_end_handshape_annotations//test_auto_move//signs_mov_separ_signers/Tyler_413.mov","MOV")</f>
        <v>21</v>
      </c>
    </row>
    <row r="1940" s="2" customFormat="1" ht="13.5" customHeight="1">
      <c r="B1940" t="s" s="8">
        <v>52</v>
      </c>
      <c r="C1940" t="s" s="9">
        <v>53</v>
      </c>
      <c r="D1940" t="s" s="8">
        <v>53</v>
      </c>
      <c r="E1940" t="s" s="9">
        <v>53</v>
      </c>
      <c r="F1940" t="s" s="10">
        <v>53</v>
      </c>
      <c r="G1940" t="s" s="11">
        <v>53</v>
      </c>
      <c r="H1940" t="s" s="10">
        <v>53</v>
      </c>
      <c r="I1940" t="s" s="11">
        <v>53</v>
      </c>
      <c r="J1940" t="s" s="11">
        <v>53</v>
      </c>
      <c r="K1940" t="s" s="12">
        <v>53</v>
      </c>
      <c r="L1940" t="s" s="12">
        <v>53</v>
      </c>
      <c r="M1940" t="s" s="10">
        <v>53</v>
      </c>
      <c r="N1940" t="s" s="11">
        <v>53</v>
      </c>
      <c r="O1940" t="s" s="8">
        <v>53</v>
      </c>
      <c r="P1940" t="s" s="8">
        <v>53</v>
      </c>
      <c r="Q1940" t="s" s="12">
        <v>53</v>
      </c>
      <c r="R1940" t="s" s="12">
        <v>53</v>
      </c>
    </row>
    <row r="1941" s="2" customFormat="1" ht="13.5" customHeight="1">
      <c r="B1941" s="13"/>
      <c r="C1941" t="s" s="9">
        <v>27</v>
      </c>
      <c r="D1941" t="s" s="8">
        <v>690</v>
      </c>
      <c r="E1941" t="s" s="9">
        <v>691</v>
      </c>
      <c r="F1941" t="s" s="10">
        <v>373</v>
      </c>
      <c r="G1941" s="17">
        <v>1</v>
      </c>
      <c r="H1941" t="s" s="10">
        <v>373</v>
      </c>
      <c r="I1941" s="17">
        <v>1</v>
      </c>
      <c r="J1941" t="s" s="11">
        <v>20</v>
      </c>
      <c r="K1941" t="s" s="16">
        <f>HYPERLINK("http://csr.bu.edu/ftp/asl/asllvd/demos/verify_start_end_handshape_annotations//test_auto_move//signs_mov/5130.mov","MOV")</f>
        <v>21</v>
      </c>
      <c r="L1941" t="s" s="16">
        <f>HYPERLINK("http://csr.bu.edu/ftp/asl/asllvd/demos/verify_start_end_handshape_annotations//test_auto_move//signs_mov_separ_signers/Naomi_5130.mov","MOV")</f>
        <v>21</v>
      </c>
      <c r="M1941" t="s" s="10">
        <v>29</v>
      </c>
      <c r="N1941" s="17">
        <v>44</v>
      </c>
      <c r="O1941" s="18">
        <v>1011</v>
      </c>
      <c r="P1941" s="18">
        <v>1035</v>
      </c>
      <c r="Q1941" t="s" s="16">
        <f>HYPERLINK("http://secrets.rutgers.edu:8080/data/asl-ftp/asllvd/demos/verify_start_end_handshape_annotations//test_auto_move//signs_mov/5130.mov","MOV")</f>
        <v>21</v>
      </c>
      <c r="R1941" t="s" s="16">
        <f>HYPERLINK("http://secrets.rutgers.edu:8080/data/asl-ftp/asllvd/demos/verify_start_end_handshape_annotations//test_auto_move//signs_mov_separ_signers/Naomi_5130.mov","MOV")</f>
        <v>21</v>
      </c>
    </row>
    <row r="1942" s="2" customFormat="1" ht="13.5" customHeight="1">
      <c r="B1942" s="13"/>
      <c r="C1942" t="s" s="9">
        <v>30</v>
      </c>
      <c r="D1942" t="s" s="8">
        <v>690</v>
      </c>
      <c r="E1942" t="s" s="9">
        <v>691</v>
      </c>
      <c r="F1942" t="s" s="10">
        <v>373</v>
      </c>
      <c r="G1942" s="17">
        <v>1</v>
      </c>
      <c r="H1942" t="s" s="10">
        <v>373</v>
      </c>
      <c r="I1942" s="17">
        <v>1</v>
      </c>
      <c r="J1942" t="s" s="11">
        <v>20</v>
      </c>
      <c r="K1942" s="15"/>
      <c r="L1942" t="s" s="16">
        <f>HYPERLINK("http://csr.bu.edu/ftp/asl/asllvd/demos/verify_start_end_handshape_annotations//test_auto_move//signs_mov_separ_signers/Brady_5130.mov","MOV")</f>
        <v>21</v>
      </c>
      <c r="M1942" t="s" s="10">
        <v>31</v>
      </c>
      <c r="N1942" s="17">
        <v>26</v>
      </c>
      <c r="O1942" s="18">
        <v>9095</v>
      </c>
      <c r="P1942" s="18">
        <v>9117</v>
      </c>
      <c r="Q1942" s="15"/>
      <c r="R1942" t="s" s="16">
        <f>HYPERLINK("http://secrets.rutgers.edu:8080/data/asl-ftp/asllvd/demos/verify_start_end_handshape_annotations//test_auto_move//signs_mov_separ_signers/Brady_5130.mov","MOV")</f>
        <v>21</v>
      </c>
    </row>
    <row r="1943" s="2" customFormat="1" ht="13.5" customHeight="1">
      <c r="B1943" t="s" s="8">
        <v>52</v>
      </c>
      <c r="C1943" t="s" s="9">
        <v>53</v>
      </c>
      <c r="D1943" t="s" s="8">
        <v>53</v>
      </c>
      <c r="E1943" t="s" s="9">
        <v>53</v>
      </c>
      <c r="F1943" t="s" s="10">
        <v>53</v>
      </c>
      <c r="G1943" t="s" s="11">
        <v>53</v>
      </c>
      <c r="H1943" t="s" s="10">
        <v>53</v>
      </c>
      <c r="I1943" t="s" s="11">
        <v>53</v>
      </c>
      <c r="J1943" t="s" s="11">
        <v>53</v>
      </c>
      <c r="K1943" t="s" s="12">
        <v>53</v>
      </c>
      <c r="L1943" t="s" s="12">
        <v>53</v>
      </c>
      <c r="M1943" t="s" s="10">
        <v>53</v>
      </c>
      <c r="N1943" t="s" s="11">
        <v>53</v>
      </c>
      <c r="O1943" t="s" s="8">
        <v>53</v>
      </c>
      <c r="P1943" t="s" s="8">
        <v>53</v>
      </c>
      <c r="Q1943" t="s" s="12">
        <v>53</v>
      </c>
      <c r="R1943" t="s" s="12">
        <v>53</v>
      </c>
    </row>
    <row r="1944" s="2" customFormat="1" ht="13.5" customHeight="1">
      <c r="B1944" s="13"/>
      <c r="C1944" t="s" s="9">
        <v>16</v>
      </c>
      <c r="D1944" t="s" s="8">
        <v>690</v>
      </c>
      <c r="E1944" t="s" s="9">
        <v>692</v>
      </c>
      <c r="F1944" t="s" s="10">
        <v>230</v>
      </c>
      <c r="G1944" s="17">
        <v>1</v>
      </c>
      <c r="H1944" t="s" s="10">
        <v>230</v>
      </c>
      <c r="I1944" s="17">
        <v>1</v>
      </c>
      <c r="J1944" t="s" s="11">
        <v>20</v>
      </c>
      <c r="K1944" t="s" s="16">
        <f>HYPERLINK("http://csr.bu.edu/ftp/asl/asllvd/demos/verify_start_end_handshape_annotations//test_auto_move//signs_mov/5131.mov","MOV")</f>
        <v>21</v>
      </c>
      <c r="L1944" t="s" s="16">
        <f>HYPERLINK("http://csr.bu.edu/ftp/asl/asllvd/demos/verify_start_end_handshape_annotations//test_auto_move//signs_mov_separ_signers/Liz_5131.mov","MOV")</f>
        <v>21</v>
      </c>
      <c r="M1944" t="s" s="10">
        <v>22</v>
      </c>
      <c r="N1944" s="17">
        <v>69</v>
      </c>
      <c r="O1944" s="18">
        <v>915</v>
      </c>
      <c r="P1944" s="18">
        <v>945</v>
      </c>
      <c r="Q1944" t="s" s="16">
        <f>HYPERLINK("http://secrets.rutgers.edu:8080/data/asl-ftp/asllvd/demos/verify_start_end_handshape_annotations//test_auto_move//signs_mov/5131.mov","MOV")</f>
        <v>21</v>
      </c>
      <c r="R1944" t="s" s="16">
        <f>HYPERLINK("http://secrets.rutgers.edu:8080/data/asl-ftp/asllvd/demos/verify_start_end_handshape_annotations//test_auto_move//signs_mov_separ_signers/Liz_5131.mov","MOV")</f>
        <v>21</v>
      </c>
    </row>
    <row r="1945" s="2" customFormat="1" ht="13.5" customHeight="1">
      <c r="B1945" t="s" s="8">
        <v>693</v>
      </c>
      <c r="C1945" t="s" s="9">
        <v>14</v>
      </c>
      <c r="D1945" t="s" s="8">
        <v>14</v>
      </c>
      <c r="E1945" t="s" s="9">
        <v>14</v>
      </c>
      <c r="F1945" t="s" s="10">
        <v>14</v>
      </c>
      <c r="G1945" t="s" s="11">
        <v>14</v>
      </c>
      <c r="H1945" t="s" s="10">
        <v>14</v>
      </c>
      <c r="I1945" t="s" s="11">
        <v>14</v>
      </c>
      <c r="J1945" t="s" s="11">
        <v>14</v>
      </c>
      <c r="K1945" t="s" s="12">
        <v>14</v>
      </c>
      <c r="L1945" t="s" s="12">
        <v>14</v>
      </c>
      <c r="M1945" t="s" s="10">
        <v>14</v>
      </c>
      <c r="N1945" t="s" s="11">
        <v>14</v>
      </c>
      <c r="O1945" t="s" s="8">
        <v>14</v>
      </c>
      <c r="P1945" t="s" s="8">
        <v>14</v>
      </c>
      <c r="Q1945" t="s" s="12">
        <v>14</v>
      </c>
      <c r="R1945" t="s" s="12">
        <v>14</v>
      </c>
    </row>
    <row r="1946" s="2" customFormat="1" ht="13.5" customHeight="1">
      <c r="B1946" s="13"/>
      <c r="C1946" t="s" s="9">
        <v>16</v>
      </c>
      <c r="D1946" t="s" s="8">
        <v>693</v>
      </c>
      <c r="E1946" t="s" s="9">
        <v>693</v>
      </c>
      <c r="F1946" t="s" s="10">
        <v>185</v>
      </c>
      <c r="G1946" t="s" s="11">
        <v>185</v>
      </c>
      <c r="H1946" t="s" s="10">
        <v>185</v>
      </c>
      <c r="I1946" t="s" s="11">
        <v>185</v>
      </c>
      <c r="J1946" t="s" s="11">
        <v>20</v>
      </c>
      <c r="K1946" s="15"/>
      <c r="L1946" t="s" s="16">
        <f>HYPERLINK("http://csr.bu.edu/ftp/asl/asllvd/demos/verify_start_end_handshape_annotations//test_auto_move//signs_mov_separ_signers/Liz_414.mov","MOV")</f>
        <v>21</v>
      </c>
      <c r="M1946" t="s" s="10">
        <v>22</v>
      </c>
      <c r="N1946" s="17">
        <v>69</v>
      </c>
      <c r="O1946" s="18">
        <v>1485</v>
      </c>
      <c r="P1946" s="18">
        <v>1515</v>
      </c>
      <c r="Q1946" s="15"/>
      <c r="R1946" t="s" s="16">
        <f>HYPERLINK("http://secrets.rutgers.edu:8080/data/asl-ftp/asllvd/demos/verify_start_end_handshape_annotations//test_auto_move//signs_mov_separ_signers/Liz_414.mov","MOV")</f>
        <v>21</v>
      </c>
    </row>
    <row r="1947" s="2" customFormat="1" ht="13.5" customHeight="1">
      <c r="B1947" s="13"/>
      <c r="C1947" t="s" s="9">
        <v>23</v>
      </c>
      <c r="D1947" t="s" s="8">
        <v>693</v>
      </c>
      <c r="E1947" t="s" s="9">
        <v>693</v>
      </c>
      <c r="F1947" t="s" s="10">
        <v>185</v>
      </c>
      <c r="G1947" t="s" s="11">
        <v>185</v>
      </c>
      <c r="H1947" t="s" s="10">
        <v>185</v>
      </c>
      <c r="I1947" t="s" s="11">
        <v>185</v>
      </c>
      <c r="J1947" t="s" s="11">
        <v>20</v>
      </c>
      <c r="K1947" t="s" s="16">
        <f>HYPERLINK("http://csr.bu.edu/ftp/asl/asllvd/demos/verify_start_end_handshape_annotations//test_auto_move//signs_mov/414.mov","MOV")</f>
        <v>21</v>
      </c>
      <c r="L1947" t="s" s="16">
        <f>HYPERLINK("http://csr.bu.edu/ftp/asl/asllvd/demos/verify_start_end_handshape_annotations//test_auto_move//signs_mov_separ_signers/Tyler_414.mov","MOV")</f>
        <v>21</v>
      </c>
      <c r="M1947" t="s" s="10">
        <v>26</v>
      </c>
      <c r="N1947" s="17">
        <v>43</v>
      </c>
      <c r="O1947" s="18">
        <v>1062</v>
      </c>
      <c r="P1947" s="18">
        <v>1080</v>
      </c>
      <c r="Q1947" t="s" s="16">
        <f>HYPERLINK("http://secrets.rutgers.edu:8080/data/asl-ftp/asllvd/demos/verify_start_end_handshape_annotations//test_auto_move//signs_mov/414.mov","MOV")</f>
        <v>21</v>
      </c>
      <c r="R1947" t="s" s="16">
        <f>HYPERLINK("http://secrets.rutgers.edu:8080/data/asl-ftp/asllvd/demos/verify_start_end_handshape_annotations//test_auto_move//signs_mov_separ_signers/Tyler_414.mov","MOV")</f>
        <v>21</v>
      </c>
    </row>
    <row r="1948" s="2" customFormat="1" ht="13.5" customHeight="1">
      <c r="B1948" s="13"/>
      <c r="C1948" t="s" s="9">
        <v>27</v>
      </c>
      <c r="D1948" t="s" s="8">
        <v>693</v>
      </c>
      <c r="E1948" t="s" s="9">
        <v>693</v>
      </c>
      <c r="F1948" t="s" s="10">
        <v>187</v>
      </c>
      <c r="G1948" t="s" s="11">
        <v>187</v>
      </c>
      <c r="H1948" t="s" s="10">
        <v>187</v>
      </c>
      <c r="I1948" t="s" s="11">
        <v>187</v>
      </c>
      <c r="J1948" t="s" s="11">
        <v>20</v>
      </c>
      <c r="K1948" s="15"/>
      <c r="L1948" t="s" s="16">
        <f>HYPERLINK("http://csr.bu.edu/ftp/asl/asllvd/demos/verify_start_end_handshape_annotations//test_auto_move//signs_mov_separ_signers/Naomi_414.mov","MOV")</f>
        <v>21</v>
      </c>
      <c r="M1948" t="s" s="10">
        <v>29</v>
      </c>
      <c r="N1948" s="17">
        <v>44</v>
      </c>
      <c r="O1948" s="18">
        <v>1301</v>
      </c>
      <c r="P1948" s="18">
        <v>1330</v>
      </c>
      <c r="Q1948" s="15"/>
      <c r="R1948" t="s" s="16">
        <f>HYPERLINK("http://secrets.rutgers.edu:8080/data/asl-ftp/asllvd/demos/verify_start_end_handshape_annotations//test_auto_move//signs_mov_separ_signers/Naomi_414.mov","MOV")</f>
        <v>21</v>
      </c>
    </row>
    <row r="1949" s="2" customFormat="1" ht="13.5" customHeight="1">
      <c r="B1949" s="13"/>
      <c r="C1949" t="s" s="9">
        <v>30</v>
      </c>
      <c r="D1949" t="s" s="8">
        <v>693</v>
      </c>
      <c r="E1949" t="s" s="9">
        <v>693</v>
      </c>
      <c r="F1949" t="s" s="10">
        <v>185</v>
      </c>
      <c r="G1949" t="s" s="11">
        <v>185</v>
      </c>
      <c r="H1949" t="s" s="10">
        <v>185</v>
      </c>
      <c r="I1949" t="s" s="11">
        <v>185</v>
      </c>
      <c r="J1949" t="s" s="11">
        <v>20</v>
      </c>
      <c r="K1949" s="15"/>
      <c r="L1949" t="s" s="16">
        <f>HYPERLINK("http://csr.bu.edu/ftp/asl/asllvd/demos/verify_start_end_handshape_annotations//test_auto_move//signs_mov_separ_signers/Brady_414.mov","MOV")</f>
        <v>21</v>
      </c>
      <c r="M1949" t="s" s="10">
        <v>31</v>
      </c>
      <c r="N1949" s="17">
        <v>26</v>
      </c>
      <c r="O1949" s="18">
        <v>13704</v>
      </c>
      <c r="P1949" s="18">
        <v>13724</v>
      </c>
      <c r="Q1949" s="15"/>
      <c r="R1949" t="s" s="16">
        <f>HYPERLINK("http://secrets.rutgers.edu:8080/data/asl-ftp/asllvd/demos/verify_start_end_handshape_annotations//test_auto_move//signs_mov_separ_signers/Brady_414.mov","MOV")</f>
        <v>21</v>
      </c>
    </row>
    <row r="1950" s="2" customFormat="1" ht="13.5" customHeight="1">
      <c r="B1950" t="s" s="8">
        <v>694</v>
      </c>
      <c r="C1950" t="s" s="9">
        <v>14</v>
      </c>
      <c r="D1950" t="s" s="8">
        <v>14</v>
      </c>
      <c r="E1950" t="s" s="9">
        <v>14</v>
      </c>
      <c r="F1950" t="s" s="10">
        <v>14</v>
      </c>
      <c r="G1950" t="s" s="11">
        <v>14</v>
      </c>
      <c r="H1950" t="s" s="10">
        <v>14</v>
      </c>
      <c r="I1950" t="s" s="11">
        <v>14</v>
      </c>
      <c r="J1950" t="s" s="11">
        <v>14</v>
      </c>
      <c r="K1950" t="s" s="12">
        <v>14</v>
      </c>
      <c r="L1950" t="s" s="12">
        <v>14</v>
      </c>
      <c r="M1950" t="s" s="10">
        <v>14</v>
      </c>
      <c r="N1950" t="s" s="11">
        <v>14</v>
      </c>
      <c r="O1950" t="s" s="8">
        <v>14</v>
      </c>
      <c r="P1950" t="s" s="8">
        <v>14</v>
      </c>
      <c r="Q1950" t="s" s="12">
        <v>14</v>
      </c>
      <c r="R1950" t="s" s="12">
        <v>14</v>
      </c>
    </row>
    <row r="1951" s="2" customFormat="1" ht="13.5" customHeight="1">
      <c r="B1951" s="13"/>
      <c r="C1951" t="s" s="9">
        <v>16</v>
      </c>
      <c r="D1951" t="s" s="8">
        <v>694</v>
      </c>
      <c r="E1951" t="s" s="9">
        <v>694</v>
      </c>
      <c r="F1951" t="s" s="10">
        <v>55</v>
      </c>
      <c r="G1951" t="s" s="11">
        <v>55</v>
      </c>
      <c r="H1951" t="s" s="10">
        <v>55</v>
      </c>
      <c r="I1951" t="s" s="11">
        <v>55</v>
      </c>
      <c r="J1951" t="s" s="11">
        <v>20</v>
      </c>
      <c r="K1951" s="15"/>
      <c r="L1951" t="s" s="16">
        <f>HYPERLINK("http://csr.bu.edu/ftp/asl/asllvd/demos/verify_start_end_handshape_annotations//test_auto_move//signs_mov_separ_signers/Liz_15412.mov","MOV")</f>
        <v>21</v>
      </c>
      <c r="M1951" t="s" s="10">
        <v>22</v>
      </c>
      <c r="N1951" s="17">
        <v>41</v>
      </c>
      <c r="O1951" s="18">
        <v>445</v>
      </c>
      <c r="P1951" s="18">
        <v>470</v>
      </c>
      <c r="Q1951" s="15"/>
      <c r="R1951" t="s" s="16">
        <f>HYPERLINK("http://secrets.rutgers.edu:8080/data/asl-ftp/asllvd/demos/verify_start_end_handshape_annotations//test_auto_move//signs_mov_separ_signers/Liz_15412.mov","MOV")</f>
        <v>21</v>
      </c>
    </row>
    <row r="1952" s="2" customFormat="1" ht="13.5" customHeight="1">
      <c r="B1952" s="13"/>
      <c r="C1952" t="s" s="9">
        <v>23</v>
      </c>
      <c r="D1952" t="s" s="8">
        <v>694</v>
      </c>
      <c r="E1952" t="s" s="9">
        <v>694</v>
      </c>
      <c r="F1952" t="s" s="10">
        <v>55</v>
      </c>
      <c r="G1952" t="s" s="11">
        <v>55</v>
      </c>
      <c r="H1952" t="s" s="10">
        <v>55</v>
      </c>
      <c r="I1952" t="s" s="11">
        <v>55</v>
      </c>
      <c r="J1952" t="s" s="11">
        <v>20</v>
      </c>
      <c r="K1952" t="s" s="16">
        <f>HYPERLINK("http://csr.bu.edu/ftp/asl/asllvd/demos/verify_start_end_handshape_annotations//test_auto_move//signs_mov/15412.mov","MOV")</f>
        <v>21</v>
      </c>
      <c r="L1952" t="s" s="16">
        <f>HYPERLINK("http://csr.bu.edu/ftp/asl/asllvd/demos/verify_start_end_handshape_annotations//test_auto_move//signs_mov_separ_signers/Tyler_15412.mov","MOV")</f>
        <v>21</v>
      </c>
      <c r="M1952" t="s" s="10">
        <v>26</v>
      </c>
      <c r="N1952" s="17">
        <v>26</v>
      </c>
      <c r="O1952" s="18">
        <v>1345</v>
      </c>
      <c r="P1952" s="18">
        <v>1362</v>
      </c>
      <c r="Q1952" t="s" s="16">
        <f>HYPERLINK("http://secrets.rutgers.edu:8080/data/asl-ftp/asllvd/demos/verify_start_end_handshape_annotations//test_auto_move//signs_mov/15412.mov","MOV")</f>
        <v>21</v>
      </c>
      <c r="R1952" t="s" s="16">
        <f>HYPERLINK("http://secrets.rutgers.edu:8080/data/asl-ftp/asllvd/demos/verify_start_end_handshape_annotations//test_auto_move//signs_mov_separ_signers/Tyler_15412.mov","MOV")</f>
        <v>21</v>
      </c>
    </row>
    <row r="1953" s="2" customFormat="1" ht="13.5" customHeight="1">
      <c r="B1953" s="13"/>
      <c r="C1953" t="s" s="9">
        <v>27</v>
      </c>
      <c r="D1953" t="s" s="8">
        <v>694</v>
      </c>
      <c r="E1953" t="s" s="9">
        <v>694</v>
      </c>
      <c r="F1953" t="s" s="10">
        <v>55</v>
      </c>
      <c r="G1953" t="s" s="11">
        <v>55</v>
      </c>
      <c r="H1953" t="s" s="10">
        <v>55</v>
      </c>
      <c r="I1953" t="s" s="11">
        <v>55</v>
      </c>
      <c r="J1953" t="s" s="11">
        <v>20</v>
      </c>
      <c r="K1953" s="15"/>
      <c r="L1953" t="s" s="16">
        <f>HYPERLINK("http://csr.bu.edu/ftp/asl/asllvd/demos/verify_start_end_handshape_annotations//test_auto_move//signs_mov_separ_signers/Naomi_15412.mov","MOV")</f>
        <v>21</v>
      </c>
      <c r="M1953" t="s" s="10">
        <v>29</v>
      </c>
      <c r="N1953" s="17">
        <v>27</v>
      </c>
      <c r="O1953" s="18">
        <v>1370</v>
      </c>
      <c r="P1953" s="18">
        <v>1392</v>
      </c>
      <c r="Q1953" s="15"/>
      <c r="R1953" t="s" s="16">
        <f>HYPERLINK("http://secrets.rutgers.edu:8080/data/asl-ftp/asllvd/demos/verify_start_end_handshape_annotations//test_auto_move//signs_mov_separ_signers/Naomi_15412.mov","MOV")</f>
        <v>21</v>
      </c>
    </row>
    <row r="1954" s="2" customFormat="1" ht="13.5" customHeight="1">
      <c r="B1954" s="13"/>
      <c r="C1954" t="s" s="9">
        <v>30</v>
      </c>
      <c r="D1954" t="s" s="8">
        <v>694</v>
      </c>
      <c r="E1954" t="s" s="9">
        <v>694</v>
      </c>
      <c r="F1954" t="s" s="10">
        <v>55</v>
      </c>
      <c r="G1954" t="s" s="11">
        <v>55</v>
      </c>
      <c r="H1954" t="s" s="10">
        <v>55</v>
      </c>
      <c r="I1954" t="s" s="11">
        <v>55</v>
      </c>
      <c r="J1954" t="s" s="11">
        <v>20</v>
      </c>
      <c r="K1954" s="15"/>
      <c r="L1954" t="s" s="16">
        <f>HYPERLINK("http://csr.bu.edu/ftp/asl/asllvd/demos/verify_start_end_handshape_annotations//test_auto_move//signs_mov_separ_signers/Brady_15412.mov","MOV")</f>
        <v>21</v>
      </c>
      <c r="M1954" t="s" s="10">
        <v>31</v>
      </c>
      <c r="N1954" s="17">
        <v>19</v>
      </c>
      <c r="O1954" s="18">
        <v>8516</v>
      </c>
      <c r="P1954" s="18">
        <v>8534</v>
      </c>
      <c r="Q1954" s="15"/>
      <c r="R1954" t="s" s="16">
        <f>HYPERLINK("http://secrets.rutgers.edu:8080/data/asl-ftp/asllvd/demos/verify_start_end_handshape_annotations//test_auto_move//signs_mov_separ_signers/Brady_15412.mov","MOV")</f>
        <v>21</v>
      </c>
    </row>
    <row r="1955" s="2" customFormat="1" ht="13.5" customHeight="1">
      <c r="B1955" t="s" s="8">
        <v>695</v>
      </c>
      <c r="C1955" t="s" s="9">
        <v>14</v>
      </c>
      <c r="D1955" t="s" s="8">
        <v>14</v>
      </c>
      <c r="E1955" t="s" s="9">
        <v>14</v>
      </c>
      <c r="F1955" t="s" s="10">
        <v>14</v>
      </c>
      <c r="G1955" t="s" s="11">
        <v>14</v>
      </c>
      <c r="H1955" t="s" s="10">
        <v>14</v>
      </c>
      <c r="I1955" t="s" s="11">
        <v>14</v>
      </c>
      <c r="J1955" t="s" s="11">
        <v>14</v>
      </c>
      <c r="K1955" t="s" s="12">
        <v>14</v>
      </c>
      <c r="L1955" t="s" s="12">
        <v>14</v>
      </c>
      <c r="M1955" t="s" s="10">
        <v>14</v>
      </c>
      <c r="N1955" t="s" s="11">
        <v>14</v>
      </c>
      <c r="O1955" t="s" s="8">
        <v>14</v>
      </c>
      <c r="P1955" t="s" s="8">
        <v>14</v>
      </c>
      <c r="Q1955" t="s" s="12">
        <v>14</v>
      </c>
      <c r="R1955" t="s" s="12">
        <v>14</v>
      </c>
    </row>
    <row r="1956" s="2" customFormat="1" ht="13.5" customHeight="1">
      <c r="B1956" s="13"/>
      <c r="C1956" t="s" s="9">
        <v>16</v>
      </c>
      <c r="D1956" t="s" s="8">
        <v>695</v>
      </c>
      <c r="E1956" t="s" s="9">
        <v>695</v>
      </c>
      <c r="F1956" t="s" s="10">
        <v>255</v>
      </c>
      <c r="G1956" t="s" s="11">
        <v>255</v>
      </c>
      <c r="H1956" t="s" s="10">
        <v>255</v>
      </c>
      <c r="I1956" t="s" s="11">
        <v>255</v>
      </c>
      <c r="J1956" t="s" s="11">
        <v>20</v>
      </c>
      <c r="K1956" s="15"/>
      <c r="L1956" t="s" s="16">
        <f>HYPERLINK("http://csr.bu.edu/ftp/asl/asllvd/demos/verify_start_end_handshape_annotations//test_auto_move//signs_mov_separ_signers/Liz_415.mov","MOV")</f>
        <v>21</v>
      </c>
      <c r="M1956" t="s" s="10">
        <v>22</v>
      </c>
      <c r="N1956" s="17">
        <v>69</v>
      </c>
      <c r="O1956" s="18">
        <v>1705</v>
      </c>
      <c r="P1956" s="18">
        <v>1735</v>
      </c>
      <c r="Q1956" s="15"/>
      <c r="R1956" t="s" s="16">
        <f>HYPERLINK("http://secrets.rutgers.edu:8080/data/asl-ftp/asllvd/demos/verify_start_end_handshape_annotations//test_auto_move//signs_mov_separ_signers/Liz_415.mov","MOV")</f>
        <v>21</v>
      </c>
    </row>
    <row r="1957" s="2" customFormat="1" ht="13.5" customHeight="1">
      <c r="B1957" s="13"/>
      <c r="C1957" t="s" s="9">
        <v>23</v>
      </c>
      <c r="D1957" t="s" s="8">
        <v>695</v>
      </c>
      <c r="E1957" t="s" s="9">
        <v>695</v>
      </c>
      <c r="F1957" t="s" s="10">
        <v>255</v>
      </c>
      <c r="G1957" t="s" s="11">
        <v>255</v>
      </c>
      <c r="H1957" t="s" s="10">
        <v>255</v>
      </c>
      <c r="I1957" t="s" s="11">
        <v>255</v>
      </c>
      <c r="J1957" t="s" s="11">
        <v>20</v>
      </c>
      <c r="K1957" t="s" s="16">
        <f>HYPERLINK("http://csr.bu.edu/ftp/asl/asllvd/demos/verify_start_end_handshape_annotations//test_auto_move//signs_mov/415.mov","MOV")</f>
        <v>21</v>
      </c>
      <c r="L1957" t="s" s="16">
        <f>HYPERLINK("http://csr.bu.edu/ftp/asl/asllvd/demos/verify_start_end_handshape_annotations//test_auto_move//signs_mov_separ_signers/Tyler_415.mov","MOV")</f>
        <v>21</v>
      </c>
      <c r="M1957" t="s" s="10">
        <v>26</v>
      </c>
      <c r="N1957" s="17">
        <v>43</v>
      </c>
      <c r="O1957" s="18">
        <v>1265</v>
      </c>
      <c r="P1957" s="18">
        <v>1295</v>
      </c>
      <c r="Q1957" t="s" s="16">
        <f>HYPERLINK("http://secrets.rutgers.edu:8080/data/asl-ftp/asllvd/demos/verify_start_end_handshape_annotations//test_auto_move//signs_mov/415.mov","MOV")</f>
        <v>21</v>
      </c>
      <c r="R1957" t="s" s="16">
        <f>HYPERLINK("http://secrets.rutgers.edu:8080/data/asl-ftp/asllvd/demos/verify_start_end_handshape_annotations//test_auto_move//signs_mov_separ_signers/Tyler_415.mov","MOV")</f>
        <v>21</v>
      </c>
    </row>
    <row r="1958" s="2" customFormat="1" ht="13.5" customHeight="1">
      <c r="B1958" s="13"/>
      <c r="C1958" t="s" s="9">
        <v>27</v>
      </c>
      <c r="D1958" t="s" s="8">
        <v>695</v>
      </c>
      <c r="E1958" t="s" s="9">
        <v>695</v>
      </c>
      <c r="F1958" t="s" s="10">
        <v>255</v>
      </c>
      <c r="G1958" t="s" s="11">
        <v>255</v>
      </c>
      <c r="H1958" t="s" s="10">
        <v>255</v>
      </c>
      <c r="I1958" t="s" s="11">
        <v>255</v>
      </c>
      <c r="J1958" t="s" s="11">
        <v>20</v>
      </c>
      <c r="K1958" s="15"/>
      <c r="L1958" t="s" s="16">
        <f>HYPERLINK("http://csr.bu.edu/ftp/asl/asllvd/demos/verify_start_end_handshape_annotations//test_auto_move//signs_mov_separ_signers/Naomi_415.mov","MOV")</f>
        <v>21</v>
      </c>
      <c r="M1958" t="s" s="10">
        <v>29</v>
      </c>
      <c r="N1958" s="17">
        <v>44</v>
      </c>
      <c r="O1958" s="18">
        <v>1522</v>
      </c>
      <c r="P1958" s="18">
        <v>1545</v>
      </c>
      <c r="Q1958" s="15"/>
      <c r="R1958" t="s" s="16">
        <f>HYPERLINK("http://secrets.rutgers.edu:8080/data/asl-ftp/asllvd/demos/verify_start_end_handshape_annotations//test_auto_move//signs_mov_separ_signers/Naomi_415.mov","MOV")</f>
        <v>21</v>
      </c>
    </row>
    <row r="1959" s="2" customFormat="1" ht="13.5" customHeight="1">
      <c r="B1959" t="s" s="8">
        <v>696</v>
      </c>
      <c r="C1959" t="s" s="9">
        <v>14</v>
      </c>
      <c r="D1959" t="s" s="8">
        <v>14</v>
      </c>
      <c r="E1959" t="s" s="9">
        <v>14</v>
      </c>
      <c r="F1959" t="s" s="10">
        <v>14</v>
      </c>
      <c r="G1959" t="s" s="11">
        <v>14</v>
      </c>
      <c r="H1959" t="s" s="10">
        <v>14</v>
      </c>
      <c r="I1959" t="s" s="11">
        <v>14</v>
      </c>
      <c r="J1959" t="s" s="11">
        <v>14</v>
      </c>
      <c r="K1959" t="s" s="12">
        <v>14</v>
      </c>
      <c r="L1959" t="s" s="12">
        <v>14</v>
      </c>
      <c r="M1959" t="s" s="10">
        <v>14</v>
      </c>
      <c r="N1959" t="s" s="11">
        <v>14</v>
      </c>
      <c r="O1959" t="s" s="8">
        <v>14</v>
      </c>
      <c r="P1959" t="s" s="8">
        <v>14</v>
      </c>
      <c r="Q1959" t="s" s="12">
        <v>14</v>
      </c>
      <c r="R1959" t="s" s="12">
        <v>14</v>
      </c>
    </row>
    <row r="1960" s="2" customFormat="1" ht="13.5" customHeight="1">
      <c r="B1960" s="13"/>
      <c r="C1960" t="s" s="9">
        <v>30</v>
      </c>
      <c r="D1960" t="s" s="8">
        <v>696</v>
      </c>
      <c r="E1960" t="s" s="9">
        <v>696</v>
      </c>
      <c r="F1960" t="s" s="10">
        <v>63</v>
      </c>
      <c r="G1960" t="s" s="11">
        <v>63</v>
      </c>
      <c r="H1960" t="s" s="10">
        <v>63</v>
      </c>
      <c r="I1960" t="s" s="11">
        <v>63</v>
      </c>
      <c r="J1960" t="s" s="11">
        <v>20</v>
      </c>
      <c r="K1960" t="s" s="16">
        <f>HYPERLINK("http://csr.bu.edu/ftp/asl/asllvd/demos/verify_start_end_handshape_annotations//test_auto_move//signs_mov/5992.mov","MOV")</f>
        <v>21</v>
      </c>
      <c r="L1960" t="s" s="16">
        <f>HYPERLINK("http://csr.bu.edu/ftp/asl/asllvd/demos/verify_start_end_handshape_annotations//test_auto_move//signs_mov_separ_signers/Brady_5992.mov","MOV")</f>
        <v>21</v>
      </c>
      <c r="M1960" t="s" s="10">
        <v>31</v>
      </c>
      <c r="N1960" s="17">
        <v>26</v>
      </c>
      <c r="O1960" s="18">
        <v>13941</v>
      </c>
      <c r="P1960" s="18">
        <v>13961</v>
      </c>
      <c r="Q1960" t="s" s="16">
        <f>HYPERLINK("http://secrets.rutgers.edu:8080/data/asl-ftp/asllvd/demos/verify_start_end_handshape_annotations//test_auto_move//signs_mov/5992.mov","MOV")</f>
        <v>21</v>
      </c>
      <c r="R1960" t="s" s="16">
        <f>HYPERLINK("http://secrets.rutgers.edu:8080/data/asl-ftp/asllvd/demos/verify_start_end_handshape_annotations//test_auto_move//signs_mov_separ_signers/Brady_5992.mov","MOV")</f>
        <v>21</v>
      </c>
    </row>
    <row r="1961" s="2" customFormat="1" ht="13.5" customHeight="1">
      <c r="B1961" t="s" s="8">
        <v>697</v>
      </c>
      <c r="C1961" t="s" s="9">
        <v>14</v>
      </c>
      <c r="D1961" t="s" s="8">
        <v>14</v>
      </c>
      <c r="E1961" t="s" s="9">
        <v>14</v>
      </c>
      <c r="F1961" t="s" s="10">
        <v>14</v>
      </c>
      <c r="G1961" t="s" s="11">
        <v>14</v>
      </c>
      <c r="H1961" t="s" s="10">
        <v>14</v>
      </c>
      <c r="I1961" t="s" s="11">
        <v>14</v>
      </c>
      <c r="J1961" t="s" s="11">
        <v>14</v>
      </c>
      <c r="K1961" t="s" s="12">
        <v>14</v>
      </c>
      <c r="L1961" t="s" s="12">
        <v>14</v>
      </c>
      <c r="M1961" t="s" s="10">
        <v>14</v>
      </c>
      <c r="N1961" t="s" s="11">
        <v>14</v>
      </c>
      <c r="O1961" t="s" s="8">
        <v>14</v>
      </c>
      <c r="P1961" t="s" s="8">
        <v>14</v>
      </c>
      <c r="Q1961" t="s" s="12">
        <v>14</v>
      </c>
      <c r="R1961" t="s" s="12">
        <v>14</v>
      </c>
    </row>
    <row r="1962" s="2" customFormat="1" ht="13.5" customHeight="1">
      <c r="B1962" s="13"/>
      <c r="C1962" t="s" s="9">
        <v>16</v>
      </c>
      <c r="D1962" t="s" s="8">
        <v>697</v>
      </c>
      <c r="E1962" t="s" s="9">
        <v>697</v>
      </c>
      <c r="F1962" s="19">
        <v>1</v>
      </c>
      <c r="G1962" s="17">
        <v>1</v>
      </c>
      <c r="H1962" s="19">
        <v>1</v>
      </c>
      <c r="I1962" s="17">
        <v>1</v>
      </c>
      <c r="J1962" t="s" s="11">
        <v>20</v>
      </c>
      <c r="K1962" t="s" s="16">
        <f>HYPERLINK("http://csr.bu.edu/ftp/asl/asllvd/demos/verify_start_end_handshape_annotations//test_auto_move//signs_mov/15607.mov","MOV")</f>
        <v>21</v>
      </c>
      <c r="L1962" t="s" s="16">
        <f>HYPERLINK("http://csr.bu.edu/ftp/asl/asllvd/demos/verify_start_end_handshape_annotations//test_auto_move//signs_mov_separ_signers/Liz_15607.mov","MOV")</f>
        <v>21</v>
      </c>
      <c r="M1962" t="s" s="10">
        <v>59</v>
      </c>
      <c r="N1962" s="17">
        <v>22</v>
      </c>
      <c r="O1962" s="18">
        <v>1110</v>
      </c>
      <c r="P1962" s="18">
        <v>1162</v>
      </c>
      <c r="Q1962" t="s" s="16">
        <f>HYPERLINK("http://secrets.rutgers.edu:8080/data/asl-ftp/asllvd/demos/verify_start_end_handshape_annotations//test_auto_move//signs_mov/15607.mov","MOV")</f>
        <v>21</v>
      </c>
      <c r="R1962" t="s" s="16">
        <f>HYPERLINK("http://secrets.rutgers.edu:8080/data/asl-ftp/asllvd/demos/verify_start_end_handshape_annotations//test_auto_move//signs_mov_separ_signers/Liz_15607.mov","MOV")</f>
        <v>21</v>
      </c>
    </row>
    <row r="1963" s="2" customFormat="1" ht="13.5" customHeight="1">
      <c r="B1963" s="13"/>
      <c r="C1963" t="s" s="9">
        <v>30</v>
      </c>
      <c r="D1963" t="s" s="8">
        <v>697</v>
      </c>
      <c r="E1963" t="s" s="9">
        <v>697</v>
      </c>
      <c r="F1963" s="19">
        <v>1</v>
      </c>
      <c r="G1963" s="17">
        <v>1</v>
      </c>
      <c r="H1963" s="19">
        <v>1</v>
      </c>
      <c r="I1963" s="17">
        <v>1</v>
      </c>
      <c r="J1963" t="s" s="11">
        <v>20</v>
      </c>
      <c r="K1963" s="15"/>
      <c r="L1963" t="s" s="16">
        <f>HYPERLINK("http://csr.bu.edu/ftp/asl/asllvd/demos/verify_start_end_handshape_annotations//test_auto_move//signs_mov_separ_signers/Brady_15607.mov","MOV")</f>
        <v>21</v>
      </c>
      <c r="M1963" t="s" s="10">
        <v>60</v>
      </c>
      <c r="N1963" s="17">
        <v>10</v>
      </c>
      <c r="O1963" s="18">
        <v>616</v>
      </c>
      <c r="P1963" s="18">
        <v>651</v>
      </c>
      <c r="Q1963" s="15"/>
      <c r="R1963" t="s" s="16">
        <f>HYPERLINK("http://secrets.rutgers.edu:8080/data/asl-ftp/asllvd/demos/verify_start_end_handshape_annotations//test_auto_move//signs_mov_separ_signers/Brady_15607.mov","MOV")</f>
        <v>21</v>
      </c>
    </row>
    <row r="1964" s="2" customFormat="1" ht="13.5" customHeight="1">
      <c r="B1964" t="s" s="8">
        <v>698</v>
      </c>
      <c r="C1964" t="s" s="9">
        <v>14</v>
      </c>
      <c r="D1964" t="s" s="8">
        <v>14</v>
      </c>
      <c r="E1964" t="s" s="9">
        <v>14</v>
      </c>
      <c r="F1964" t="s" s="10">
        <v>14</v>
      </c>
      <c r="G1964" t="s" s="11">
        <v>14</v>
      </c>
      <c r="H1964" t="s" s="10">
        <v>14</v>
      </c>
      <c r="I1964" t="s" s="11">
        <v>14</v>
      </c>
      <c r="J1964" t="s" s="11">
        <v>14</v>
      </c>
      <c r="K1964" t="s" s="12">
        <v>14</v>
      </c>
      <c r="L1964" t="s" s="12">
        <v>14</v>
      </c>
      <c r="M1964" t="s" s="10">
        <v>14</v>
      </c>
      <c r="N1964" t="s" s="11">
        <v>14</v>
      </c>
      <c r="O1964" t="s" s="8">
        <v>14</v>
      </c>
      <c r="P1964" t="s" s="8">
        <v>14</v>
      </c>
      <c r="Q1964" t="s" s="12">
        <v>14</v>
      </c>
      <c r="R1964" t="s" s="12">
        <v>14</v>
      </c>
    </row>
    <row r="1965" s="2" customFormat="1" ht="13.5" customHeight="1">
      <c r="B1965" s="13"/>
      <c r="C1965" t="s" s="9">
        <v>16</v>
      </c>
      <c r="D1965" t="s" s="8">
        <v>698</v>
      </c>
      <c r="E1965" t="s" s="9">
        <v>699</v>
      </c>
      <c r="F1965" t="s" s="10">
        <v>185</v>
      </c>
      <c r="G1965" s="14"/>
      <c r="H1965" t="s" s="10">
        <v>185</v>
      </c>
      <c r="I1965" s="14"/>
      <c r="J1965" t="s" s="11">
        <v>20</v>
      </c>
      <c r="K1965" s="15"/>
      <c r="L1965" t="s" s="16">
        <f>HYPERLINK("http://csr.bu.edu/ftp/asl/asllvd/demos/verify_start_end_handshape_annotations//test_auto_move//signs_mov_separ_signers/Liz_417.mov","MOV")</f>
        <v>21</v>
      </c>
      <c r="M1965" t="s" s="10">
        <v>22</v>
      </c>
      <c r="N1965" s="17">
        <v>70</v>
      </c>
      <c r="O1965" s="18">
        <v>905</v>
      </c>
      <c r="P1965" s="18">
        <v>946</v>
      </c>
      <c r="Q1965" s="15"/>
      <c r="R1965" t="s" s="16">
        <f>HYPERLINK("http://secrets.rutgers.edu:8080/data/asl-ftp/asllvd/demos/verify_start_end_handshape_annotations//test_auto_move//signs_mov_separ_signers/Liz_417.mov","MOV")</f>
        <v>21</v>
      </c>
    </row>
    <row r="1966" s="2" customFormat="1" ht="13.5" customHeight="1">
      <c r="B1966" s="13"/>
      <c r="C1966" t="s" s="9">
        <v>23</v>
      </c>
      <c r="D1966" t="s" s="8">
        <v>698</v>
      </c>
      <c r="E1966" t="s" s="9">
        <v>700</v>
      </c>
      <c r="F1966" t="s" s="10">
        <v>72</v>
      </c>
      <c r="G1966" s="14"/>
      <c r="H1966" t="s" s="10">
        <v>72</v>
      </c>
      <c r="I1966" s="14"/>
      <c r="J1966" t="s" s="11">
        <v>20</v>
      </c>
      <c r="K1966" t="s" s="16">
        <f>HYPERLINK("http://csr.bu.edu/ftp/asl/asllvd/demos/verify_start_end_handshape_annotations//test_auto_move//signs_mov/417.mov","MOV")</f>
        <v>21</v>
      </c>
      <c r="L1966" t="s" s="16">
        <f>HYPERLINK("http://csr.bu.edu/ftp/asl/asllvd/demos/verify_start_end_handshape_annotations//test_auto_move//signs_mov_separ_signers/Tyler_417.mov","MOV")</f>
        <v>21</v>
      </c>
      <c r="M1966" t="s" s="10">
        <v>26</v>
      </c>
      <c r="N1966" s="17">
        <v>43</v>
      </c>
      <c r="O1966" s="18">
        <v>1890</v>
      </c>
      <c r="P1966" s="18">
        <v>1927</v>
      </c>
      <c r="Q1966" t="s" s="16">
        <f>HYPERLINK("http://secrets.rutgers.edu:8080/data/asl-ftp/asllvd/demos/verify_start_end_handshape_annotations//test_auto_move//signs_mov/417.mov","MOV")</f>
        <v>21</v>
      </c>
      <c r="R1966" t="s" s="16">
        <f>HYPERLINK("http://secrets.rutgers.edu:8080/data/asl-ftp/asllvd/demos/verify_start_end_handshape_annotations//test_auto_move//signs_mov_separ_signers/Tyler_417.mov","MOV")</f>
        <v>21</v>
      </c>
    </row>
    <row r="1967" s="2" customFormat="1" ht="13.5" customHeight="1">
      <c r="B1967" s="13"/>
      <c r="C1967" t="s" s="9">
        <v>27</v>
      </c>
      <c r="D1967" t="s" s="8">
        <v>698</v>
      </c>
      <c r="E1967" t="s" s="9">
        <v>699</v>
      </c>
      <c r="F1967" t="s" s="10">
        <v>701</v>
      </c>
      <c r="G1967" s="14"/>
      <c r="H1967" t="s" s="10">
        <v>701</v>
      </c>
      <c r="I1967" s="14"/>
      <c r="J1967" t="s" s="11">
        <v>20</v>
      </c>
      <c r="K1967" s="15"/>
      <c r="L1967" t="s" s="16">
        <f>HYPERLINK("http://csr.bu.edu/ftp/asl/asllvd/demos/verify_start_end_handshape_annotations//test_auto_move//signs_mov_separ_signers/Naomi_417.mov","MOV")</f>
        <v>21</v>
      </c>
      <c r="M1967" t="s" s="10">
        <v>29</v>
      </c>
      <c r="N1967" s="17">
        <v>44</v>
      </c>
      <c r="O1967" s="18">
        <v>2730</v>
      </c>
      <c r="P1967" s="18">
        <v>2767</v>
      </c>
      <c r="Q1967" s="15"/>
      <c r="R1967" t="s" s="16">
        <f>HYPERLINK("http://secrets.rutgers.edu:8080/data/asl-ftp/asllvd/demos/verify_start_end_handshape_annotations//test_auto_move//signs_mov_separ_signers/Naomi_417.mov","MOV")</f>
        <v>21</v>
      </c>
    </row>
    <row r="1968" s="2" customFormat="1" ht="13.5" customHeight="1">
      <c r="B1968" t="s" s="8">
        <v>52</v>
      </c>
      <c r="C1968" t="s" s="9">
        <v>53</v>
      </c>
      <c r="D1968" t="s" s="8">
        <v>53</v>
      </c>
      <c r="E1968" t="s" s="9">
        <v>53</v>
      </c>
      <c r="F1968" t="s" s="10">
        <v>53</v>
      </c>
      <c r="G1968" t="s" s="11">
        <v>53</v>
      </c>
      <c r="H1968" t="s" s="10">
        <v>53</v>
      </c>
      <c r="I1968" t="s" s="11">
        <v>53</v>
      </c>
      <c r="J1968" t="s" s="11">
        <v>53</v>
      </c>
      <c r="K1968" t="s" s="12">
        <v>53</v>
      </c>
      <c r="L1968" t="s" s="12">
        <v>53</v>
      </c>
      <c r="M1968" t="s" s="10">
        <v>53</v>
      </c>
      <c r="N1968" t="s" s="11">
        <v>53</v>
      </c>
      <c r="O1968" t="s" s="8">
        <v>53</v>
      </c>
      <c r="P1968" t="s" s="8">
        <v>53</v>
      </c>
      <c r="Q1968" t="s" s="12">
        <v>53</v>
      </c>
      <c r="R1968" t="s" s="12">
        <v>53</v>
      </c>
    </row>
    <row r="1969" s="2" customFormat="1" ht="13.5" customHeight="1">
      <c r="B1969" s="13"/>
      <c r="C1969" t="s" s="9">
        <v>30</v>
      </c>
      <c r="D1969" t="s" s="8">
        <v>698</v>
      </c>
      <c r="E1969" t="s" s="9">
        <v>702</v>
      </c>
      <c r="F1969" t="s" s="10">
        <v>373</v>
      </c>
      <c r="G1969" s="14"/>
      <c r="H1969" t="s" s="10">
        <v>373</v>
      </c>
      <c r="I1969" s="14"/>
      <c r="J1969" t="s" s="11">
        <v>20</v>
      </c>
      <c r="K1969" t="s" s="16">
        <f>HYPERLINK("http://csr.bu.edu/ftp/asl/asllvd/demos/verify_start_end_handshape_annotations//test_auto_move//signs_mov/5132.mov","MOV")</f>
        <v>21</v>
      </c>
      <c r="L1969" t="s" s="16">
        <f>HYPERLINK("http://csr.bu.edu/ftp/asl/asllvd/demos/verify_start_end_handshape_annotations//test_auto_move//signs_mov_separ_signers/Brady_5132.mov","MOV")</f>
        <v>21</v>
      </c>
      <c r="M1969" t="s" s="10">
        <v>31</v>
      </c>
      <c r="N1969" s="17">
        <v>26</v>
      </c>
      <c r="O1969" s="18">
        <v>15633</v>
      </c>
      <c r="P1969" s="18">
        <v>15706</v>
      </c>
      <c r="Q1969" t="s" s="16">
        <f>HYPERLINK("http://secrets.rutgers.edu:8080/data/asl-ftp/asllvd/demos/verify_start_end_handshape_annotations//test_auto_move//signs_mov/5132.mov","MOV")</f>
        <v>21</v>
      </c>
      <c r="R1969" t="s" s="16">
        <f>HYPERLINK("http://secrets.rutgers.edu:8080/data/asl-ftp/asllvd/demos/verify_start_end_handshape_annotations//test_auto_move//signs_mov_separ_signers/Brady_5132.mov","MOV")</f>
        <v>21</v>
      </c>
    </row>
    <row r="1970" s="2" customFormat="1" ht="13.5" customHeight="1">
      <c r="B1970" t="s" s="8">
        <v>703</v>
      </c>
      <c r="C1970" t="s" s="9">
        <v>14</v>
      </c>
      <c r="D1970" t="s" s="8">
        <v>14</v>
      </c>
      <c r="E1970" t="s" s="9">
        <v>14</v>
      </c>
      <c r="F1970" t="s" s="10">
        <v>14</v>
      </c>
      <c r="G1970" t="s" s="11">
        <v>14</v>
      </c>
      <c r="H1970" t="s" s="10">
        <v>14</v>
      </c>
      <c r="I1970" t="s" s="11">
        <v>14</v>
      </c>
      <c r="J1970" t="s" s="11">
        <v>14</v>
      </c>
      <c r="K1970" t="s" s="12">
        <v>14</v>
      </c>
      <c r="L1970" t="s" s="12">
        <v>14</v>
      </c>
      <c r="M1970" t="s" s="10">
        <v>14</v>
      </c>
      <c r="N1970" t="s" s="11">
        <v>14</v>
      </c>
      <c r="O1970" t="s" s="8">
        <v>14</v>
      </c>
      <c r="P1970" t="s" s="8">
        <v>14</v>
      </c>
      <c r="Q1970" t="s" s="12">
        <v>14</v>
      </c>
      <c r="R1970" t="s" s="12">
        <v>14</v>
      </c>
    </row>
    <row r="1971" s="2" customFormat="1" ht="13.5" customHeight="1">
      <c r="B1971" s="13"/>
      <c r="C1971" t="s" s="9">
        <v>16</v>
      </c>
      <c r="D1971" t="s" s="8">
        <v>703</v>
      </c>
      <c r="E1971" t="s" s="9">
        <v>703</v>
      </c>
      <c r="F1971" t="s" s="10">
        <v>255</v>
      </c>
      <c r="G1971" t="s" s="11">
        <v>73</v>
      </c>
      <c r="H1971" t="s" s="10">
        <v>255</v>
      </c>
      <c r="I1971" t="s" s="11">
        <v>73</v>
      </c>
      <c r="J1971" t="s" s="11">
        <v>20</v>
      </c>
      <c r="K1971" s="15"/>
      <c r="L1971" t="s" s="16">
        <f>HYPERLINK("http://csr.bu.edu/ftp/asl/asllvd/demos/verify_start_end_handshape_annotations//test_auto_move//signs_mov_separ_signers/Liz_421.mov","MOV")</f>
        <v>21</v>
      </c>
      <c r="M1971" t="s" s="10">
        <v>22</v>
      </c>
      <c r="N1971" s="17">
        <v>70</v>
      </c>
      <c r="O1971" s="18">
        <v>1981</v>
      </c>
      <c r="P1971" s="18">
        <v>2005</v>
      </c>
      <c r="Q1971" s="15"/>
      <c r="R1971" t="s" s="16">
        <f>HYPERLINK("http://secrets.rutgers.edu:8080/data/asl-ftp/asllvd/demos/verify_start_end_handshape_annotations//test_auto_move//signs_mov_separ_signers/Liz_421.mov","MOV")</f>
        <v>21</v>
      </c>
    </row>
    <row r="1972" s="2" customFormat="1" ht="13.5" customHeight="1">
      <c r="B1972" s="13"/>
      <c r="C1972" t="s" s="9">
        <v>23</v>
      </c>
      <c r="D1972" t="s" s="8">
        <v>703</v>
      </c>
      <c r="E1972" t="s" s="9">
        <v>703</v>
      </c>
      <c r="F1972" t="s" s="10">
        <v>255</v>
      </c>
      <c r="G1972" t="s" s="11">
        <v>73</v>
      </c>
      <c r="H1972" t="s" s="10">
        <v>255</v>
      </c>
      <c r="I1972" t="s" s="11">
        <v>73</v>
      </c>
      <c r="J1972" t="s" s="11">
        <v>20</v>
      </c>
      <c r="K1972" s="15"/>
      <c r="L1972" t="s" s="16">
        <f>HYPERLINK("http://csr.bu.edu/ftp/asl/asllvd/demos/verify_start_end_handshape_annotations//test_auto_move//signs_mov_separ_signers/Tyler_421.mov","MOV")</f>
        <v>21</v>
      </c>
      <c r="M1972" t="s" s="10">
        <v>26</v>
      </c>
      <c r="N1972" s="17">
        <v>44</v>
      </c>
      <c r="O1972" s="18">
        <v>231</v>
      </c>
      <c r="P1972" s="18">
        <v>256</v>
      </c>
      <c r="Q1972" s="15"/>
      <c r="R1972" t="s" s="16">
        <f>HYPERLINK("http://secrets.rutgers.edu:8080/data/asl-ftp/asllvd/demos/verify_start_end_handshape_annotations//test_auto_move//signs_mov_separ_signers/Tyler_421.mov","MOV")</f>
        <v>21</v>
      </c>
    </row>
    <row r="1973" s="2" customFormat="1" ht="13.5" customHeight="1">
      <c r="B1973" s="13"/>
      <c r="C1973" t="s" s="9">
        <v>27</v>
      </c>
      <c r="D1973" t="s" s="8">
        <v>703</v>
      </c>
      <c r="E1973" t="s" s="9">
        <v>703</v>
      </c>
      <c r="F1973" t="s" s="10">
        <v>255</v>
      </c>
      <c r="G1973" t="s" s="11">
        <v>73</v>
      </c>
      <c r="H1973" t="s" s="10">
        <v>255</v>
      </c>
      <c r="I1973" t="s" s="11">
        <v>73</v>
      </c>
      <c r="J1973" t="s" s="11">
        <v>20</v>
      </c>
      <c r="K1973" t="s" s="16">
        <f>HYPERLINK("http://csr.bu.edu/ftp/asl/asllvd/demos/verify_start_end_handshape_annotations//test_auto_move//signs_mov/421.mov","MOV")</f>
        <v>21</v>
      </c>
      <c r="L1973" t="s" s="16">
        <f>HYPERLINK("http://csr.bu.edu/ftp/asl/asllvd/demos/verify_start_end_handshape_annotations//test_auto_move//signs_mov_separ_signers/Naomi_421.mov","MOV")</f>
        <v>21</v>
      </c>
      <c r="M1973" t="s" s="10">
        <v>29</v>
      </c>
      <c r="N1973" s="17">
        <v>45</v>
      </c>
      <c r="O1973" s="18">
        <v>302</v>
      </c>
      <c r="P1973" s="18">
        <v>330</v>
      </c>
      <c r="Q1973" t="s" s="16">
        <f>HYPERLINK("http://secrets.rutgers.edu:8080/data/asl-ftp/asllvd/demos/verify_start_end_handshape_annotations//test_auto_move//signs_mov/421.mov","MOV")</f>
        <v>21</v>
      </c>
      <c r="R1973" t="s" s="16">
        <f>HYPERLINK("http://secrets.rutgers.edu:8080/data/asl-ftp/asllvd/demos/verify_start_end_handshape_annotations//test_auto_move//signs_mov_separ_signers/Naomi_421.mov","MOV")</f>
        <v>21</v>
      </c>
    </row>
    <row r="1974" s="2" customFormat="1" ht="13.5" customHeight="1">
      <c r="B1974" s="13"/>
      <c r="C1974" t="s" s="9">
        <v>30</v>
      </c>
      <c r="D1974" t="s" s="8">
        <v>703</v>
      </c>
      <c r="E1974" t="s" s="9">
        <v>703</v>
      </c>
      <c r="F1974" t="s" s="10">
        <v>255</v>
      </c>
      <c r="G1974" t="s" s="11">
        <v>73</v>
      </c>
      <c r="H1974" t="s" s="10">
        <v>255</v>
      </c>
      <c r="I1974" t="s" s="11">
        <v>73</v>
      </c>
      <c r="J1974" t="s" s="11">
        <v>20</v>
      </c>
      <c r="K1974" s="15"/>
      <c r="L1974" t="s" s="16">
        <f>HYPERLINK("http://csr.bu.edu/ftp/asl/asllvd/demos/verify_start_end_handshape_annotations//test_auto_move//signs_mov_separ_signers/Brady_421.mov","MOV")</f>
        <v>21</v>
      </c>
      <c r="M1974" t="s" s="10">
        <v>31</v>
      </c>
      <c r="N1974" s="17">
        <v>26</v>
      </c>
      <c r="O1974" s="18">
        <v>17160</v>
      </c>
      <c r="P1974" s="18">
        <v>17175</v>
      </c>
      <c r="Q1974" s="15"/>
      <c r="R1974" t="s" s="16">
        <f>HYPERLINK("http://secrets.rutgers.edu:8080/data/asl-ftp/asllvd/demos/verify_start_end_handshape_annotations//test_auto_move//signs_mov_separ_signers/Brady_421.mov","MOV")</f>
        <v>21</v>
      </c>
    </row>
    <row r="1975" s="2" customFormat="1" ht="13.5" customHeight="1">
      <c r="B1975" s="13"/>
      <c r="C1975" t="s" s="9">
        <v>41</v>
      </c>
      <c r="D1975" t="s" s="8">
        <v>703</v>
      </c>
      <c r="E1975" t="s" s="9">
        <v>703</v>
      </c>
      <c r="F1975" t="s" s="10">
        <v>255</v>
      </c>
      <c r="G1975" t="s" s="11">
        <v>73</v>
      </c>
      <c r="H1975" t="s" s="10">
        <v>255</v>
      </c>
      <c r="I1975" t="s" s="11">
        <v>73</v>
      </c>
      <c r="J1975" t="s" s="11">
        <v>20</v>
      </c>
      <c r="K1975" s="15"/>
      <c r="L1975" t="s" s="16">
        <f>HYPERLINK("http://csr.bu.edu/ftp/asl/asllvd/demos/verify_start_end_handshape_annotations//test_auto_move//signs_mov_separ_signers/Lana_421.mov","MOV")</f>
        <v>21</v>
      </c>
      <c r="M1975" t="s" s="10">
        <v>42</v>
      </c>
      <c r="N1975" s="17">
        <v>6</v>
      </c>
      <c r="O1975" s="18">
        <v>1166</v>
      </c>
      <c r="P1975" s="18">
        <v>1179</v>
      </c>
      <c r="Q1975" s="15"/>
      <c r="R1975" t="s" s="16">
        <f>HYPERLINK("http://secrets.rutgers.edu:8080/data/asl-ftp/asllvd/demos/verify_start_end_handshape_annotations//test_auto_move//signs_mov_separ_signers/Lana_421.mov","MOV")</f>
        <v>21</v>
      </c>
    </row>
    <row r="1976" s="2" customFormat="1" ht="13.5" customHeight="1">
      <c r="B1976" s="13"/>
      <c r="C1976" t="s" s="9">
        <v>43</v>
      </c>
      <c r="D1976" t="s" s="8">
        <v>703</v>
      </c>
      <c r="E1976" t="s" s="9">
        <v>703</v>
      </c>
      <c r="F1976" t="s" s="10">
        <v>255</v>
      </c>
      <c r="G1976" t="s" s="11">
        <v>73</v>
      </c>
      <c r="H1976" t="s" s="10">
        <v>255</v>
      </c>
      <c r="I1976" t="s" s="11">
        <v>73</v>
      </c>
      <c r="J1976" t="s" s="11">
        <v>20</v>
      </c>
      <c r="K1976" s="15"/>
      <c r="L1976" t="s" s="16">
        <f>HYPERLINK("http://csr.bu.edu/ftp/asl/asllvd/demos/verify_start_end_handshape_annotations//test_auto_move//signs_mov_separ_signers/Dana_421.mov","MOV")</f>
        <v>21</v>
      </c>
      <c r="M1976" t="s" s="10">
        <v>44</v>
      </c>
      <c r="N1976" s="17">
        <v>10</v>
      </c>
      <c r="O1976" s="18">
        <v>1370</v>
      </c>
      <c r="P1976" s="18">
        <v>1408</v>
      </c>
      <c r="Q1976" s="15"/>
      <c r="R1976" t="s" s="16">
        <f>HYPERLINK("http://secrets.rutgers.edu:8080/data/asl-ftp/asllvd/demos/verify_start_end_handshape_annotations//test_auto_move//signs_mov_separ_signers/Dana_421.mov","MOV")</f>
        <v>21</v>
      </c>
    </row>
    <row r="1977" s="2" customFormat="1" ht="13.5" customHeight="1">
      <c r="B1977" t="s" s="8">
        <v>704</v>
      </c>
      <c r="C1977" t="s" s="9">
        <v>14</v>
      </c>
      <c r="D1977" t="s" s="8">
        <v>14</v>
      </c>
      <c r="E1977" t="s" s="9">
        <v>14</v>
      </c>
      <c r="F1977" t="s" s="10">
        <v>14</v>
      </c>
      <c r="G1977" t="s" s="11">
        <v>14</v>
      </c>
      <c r="H1977" t="s" s="10">
        <v>14</v>
      </c>
      <c r="I1977" t="s" s="11">
        <v>14</v>
      </c>
      <c r="J1977" t="s" s="11">
        <v>14</v>
      </c>
      <c r="K1977" t="s" s="12">
        <v>14</v>
      </c>
      <c r="L1977" t="s" s="12">
        <v>14</v>
      </c>
      <c r="M1977" t="s" s="10">
        <v>14</v>
      </c>
      <c r="N1977" t="s" s="11">
        <v>14</v>
      </c>
      <c r="O1977" t="s" s="8">
        <v>14</v>
      </c>
      <c r="P1977" t="s" s="8">
        <v>14</v>
      </c>
      <c r="Q1977" t="s" s="12">
        <v>14</v>
      </c>
      <c r="R1977" t="s" s="12">
        <v>14</v>
      </c>
    </row>
    <row r="1978" s="2" customFormat="1" ht="13.5" customHeight="1">
      <c r="B1978" s="13"/>
      <c r="C1978" t="s" s="9">
        <v>16</v>
      </c>
      <c r="D1978" t="s" s="8">
        <v>704</v>
      </c>
      <c r="E1978" t="s" s="9">
        <v>704</v>
      </c>
      <c r="F1978" t="s" s="10">
        <v>185</v>
      </c>
      <c r="G1978" s="14"/>
      <c r="H1978" t="s" s="10">
        <v>185</v>
      </c>
      <c r="I1978" s="14"/>
      <c r="J1978" t="s" s="11">
        <v>20</v>
      </c>
      <c r="K1978" t="s" s="16">
        <f>HYPERLINK("http://csr.bu.edu/ftp/asl/asllvd/demos/verify_start_end_handshape_annotations//test_auto_move//signs_mov/422.mov","MOV")</f>
        <v>21</v>
      </c>
      <c r="L1978" t="s" s="16">
        <f>HYPERLINK("http://csr.bu.edu/ftp/asl/asllvd/demos/verify_start_end_handshape_annotations//test_auto_move//signs_mov_separ_signers/Liz_422.mov","MOV")</f>
        <v>21</v>
      </c>
      <c r="M1978" t="s" s="10">
        <v>22</v>
      </c>
      <c r="N1978" s="17">
        <v>71</v>
      </c>
      <c r="O1978" s="18">
        <v>285</v>
      </c>
      <c r="P1978" s="18">
        <v>320</v>
      </c>
      <c r="Q1978" t="s" s="16">
        <f>HYPERLINK("http://secrets.rutgers.edu:8080/data/asl-ftp/asllvd/demos/verify_start_end_handshape_annotations//test_auto_move//signs_mov/422.mov","MOV")</f>
        <v>21</v>
      </c>
      <c r="R1978" t="s" s="16">
        <f>HYPERLINK("http://secrets.rutgers.edu:8080/data/asl-ftp/asllvd/demos/verify_start_end_handshape_annotations//test_auto_move//signs_mov_separ_signers/Liz_422.mov","MOV")</f>
        <v>21</v>
      </c>
    </row>
    <row r="1979" s="2" customFormat="1" ht="13.5" customHeight="1">
      <c r="B1979" s="13"/>
      <c r="C1979" t="s" s="9">
        <v>23</v>
      </c>
      <c r="D1979" t="s" s="8">
        <v>704</v>
      </c>
      <c r="E1979" t="s" s="9">
        <v>704</v>
      </c>
      <c r="F1979" t="s" s="10">
        <v>185</v>
      </c>
      <c r="G1979" s="14"/>
      <c r="H1979" t="s" s="10">
        <v>185</v>
      </c>
      <c r="I1979" s="14"/>
      <c r="J1979" t="s" s="11">
        <v>20</v>
      </c>
      <c r="K1979" s="15"/>
      <c r="L1979" t="s" s="16">
        <f>HYPERLINK("http://csr.bu.edu/ftp/asl/asllvd/demos/verify_start_end_handshape_annotations//test_auto_move//signs_mov_separ_signers/Tyler_422.mov","MOV")</f>
        <v>21</v>
      </c>
      <c r="M1979" t="s" s="10">
        <v>26</v>
      </c>
      <c r="N1979" s="17">
        <v>44</v>
      </c>
      <c r="O1979" s="18">
        <v>465</v>
      </c>
      <c r="P1979" s="18">
        <v>507</v>
      </c>
      <c r="Q1979" s="15"/>
      <c r="R1979" t="s" s="16">
        <f>HYPERLINK("http://secrets.rutgers.edu:8080/data/asl-ftp/asllvd/demos/verify_start_end_handshape_annotations//test_auto_move//signs_mov_separ_signers/Tyler_422.mov","MOV")</f>
        <v>21</v>
      </c>
    </row>
    <row r="1980" s="2" customFormat="1" ht="13.5" customHeight="1">
      <c r="B1980" t="s" s="8">
        <v>705</v>
      </c>
      <c r="C1980" t="s" s="9">
        <v>14</v>
      </c>
      <c r="D1980" t="s" s="8">
        <v>14</v>
      </c>
      <c r="E1980" t="s" s="9">
        <v>14</v>
      </c>
      <c r="F1980" t="s" s="10">
        <v>14</v>
      </c>
      <c r="G1980" t="s" s="11">
        <v>14</v>
      </c>
      <c r="H1980" t="s" s="10">
        <v>14</v>
      </c>
      <c r="I1980" t="s" s="11">
        <v>14</v>
      </c>
      <c r="J1980" t="s" s="11">
        <v>14</v>
      </c>
      <c r="K1980" t="s" s="12">
        <v>14</v>
      </c>
      <c r="L1980" t="s" s="12">
        <v>14</v>
      </c>
      <c r="M1980" t="s" s="10">
        <v>14</v>
      </c>
      <c r="N1980" t="s" s="11">
        <v>14</v>
      </c>
      <c r="O1980" t="s" s="8">
        <v>14</v>
      </c>
      <c r="P1980" t="s" s="8">
        <v>14</v>
      </c>
      <c r="Q1980" t="s" s="12">
        <v>14</v>
      </c>
      <c r="R1980" t="s" s="12">
        <v>14</v>
      </c>
    </row>
    <row r="1981" s="2" customFormat="1" ht="13.5" customHeight="1">
      <c r="B1981" s="13"/>
      <c r="C1981" t="s" s="9">
        <v>16</v>
      </c>
      <c r="D1981" t="s" s="8">
        <v>705</v>
      </c>
      <c r="E1981" t="s" s="9">
        <v>705</v>
      </c>
      <c r="F1981" t="s" s="10">
        <v>55</v>
      </c>
      <c r="G1981" t="s" s="11">
        <v>73</v>
      </c>
      <c r="H1981" t="s" s="10">
        <v>55</v>
      </c>
      <c r="I1981" t="s" s="11">
        <v>73</v>
      </c>
      <c r="J1981" t="s" s="11">
        <v>20</v>
      </c>
      <c r="K1981" s="15"/>
      <c r="L1981" t="s" s="16">
        <f>HYPERLINK("http://csr.bu.edu/ftp/asl/asllvd/demos/verify_start_end_handshape_annotations//test_auto_move//signs_mov_separ_signers/Liz_425.mov","MOV")</f>
        <v>21</v>
      </c>
      <c r="M1981" t="s" s="10">
        <v>22</v>
      </c>
      <c r="N1981" s="17">
        <v>71</v>
      </c>
      <c r="O1981" s="18">
        <v>920</v>
      </c>
      <c r="P1981" s="18">
        <v>945</v>
      </c>
      <c r="Q1981" s="15"/>
      <c r="R1981" t="s" s="16">
        <f>HYPERLINK("http://secrets.rutgers.edu:8080/data/asl-ftp/asllvd/demos/verify_start_end_handshape_annotations//test_auto_move//signs_mov_separ_signers/Liz_425.mov","MOV")</f>
        <v>21</v>
      </c>
    </row>
    <row r="1982" s="2" customFormat="1" ht="13.5" customHeight="1">
      <c r="B1982" s="13"/>
      <c r="C1982" t="s" s="9">
        <v>23</v>
      </c>
      <c r="D1982" t="s" s="8">
        <v>705</v>
      </c>
      <c r="E1982" t="s" s="9">
        <v>705</v>
      </c>
      <c r="F1982" t="s" s="10">
        <v>55</v>
      </c>
      <c r="G1982" t="s" s="11">
        <v>73</v>
      </c>
      <c r="H1982" t="s" s="10">
        <v>55</v>
      </c>
      <c r="I1982" t="s" s="11">
        <v>73</v>
      </c>
      <c r="J1982" t="s" s="11">
        <v>20</v>
      </c>
      <c r="K1982" s="15"/>
      <c r="L1982" t="s" s="16">
        <f>HYPERLINK("http://csr.bu.edu/ftp/asl/asllvd/demos/verify_start_end_handshape_annotations//test_auto_move//signs_mov_separ_signers/Tyler_425.mov","MOV")</f>
        <v>21</v>
      </c>
      <c r="M1982" t="s" s="10">
        <v>26</v>
      </c>
      <c r="N1982" s="17">
        <v>44</v>
      </c>
      <c r="O1982" s="18">
        <v>1195</v>
      </c>
      <c r="P1982" s="18">
        <v>1211</v>
      </c>
      <c r="Q1982" s="15"/>
      <c r="R1982" t="s" s="16">
        <f>HYPERLINK("http://secrets.rutgers.edu:8080/data/asl-ftp/asllvd/demos/verify_start_end_handshape_annotations//test_auto_move//signs_mov_separ_signers/Tyler_425.mov","MOV")</f>
        <v>21</v>
      </c>
    </row>
    <row r="1983" s="2" customFormat="1" ht="13.5" customHeight="1">
      <c r="B1983" s="13"/>
      <c r="C1983" t="s" s="9">
        <v>27</v>
      </c>
      <c r="D1983" t="s" s="8">
        <v>705</v>
      </c>
      <c r="E1983" t="s" s="9">
        <v>705</v>
      </c>
      <c r="F1983" t="s" s="10">
        <v>55</v>
      </c>
      <c r="G1983" t="s" s="11">
        <v>73</v>
      </c>
      <c r="H1983" t="s" s="10">
        <v>55</v>
      </c>
      <c r="I1983" t="s" s="11">
        <v>73</v>
      </c>
      <c r="J1983" t="s" s="11">
        <v>20</v>
      </c>
      <c r="K1983" t="s" s="16">
        <f>HYPERLINK("http://csr.bu.edu/ftp/asl/asllvd/demos/verify_start_end_handshape_annotations//test_auto_move//signs_mov/425.mov","MOV")</f>
        <v>21</v>
      </c>
      <c r="L1983" t="s" s="16">
        <f>HYPERLINK("http://csr.bu.edu/ftp/asl/asllvd/demos/verify_start_end_handshape_annotations//test_auto_move//signs_mov_separ_signers/Naomi_425.mov","MOV")</f>
        <v>21</v>
      </c>
      <c r="M1983" t="s" s="10">
        <v>29</v>
      </c>
      <c r="N1983" s="17">
        <v>45</v>
      </c>
      <c r="O1983" s="18">
        <v>2305</v>
      </c>
      <c r="P1983" s="18">
        <v>2320</v>
      </c>
      <c r="Q1983" t="s" s="16">
        <f>HYPERLINK("http://secrets.rutgers.edu:8080/data/asl-ftp/asllvd/demos/verify_start_end_handshape_annotations//test_auto_move//signs_mov/425.mov","MOV")</f>
        <v>21</v>
      </c>
      <c r="R1983" t="s" s="16">
        <f>HYPERLINK("http://secrets.rutgers.edu:8080/data/asl-ftp/asllvd/demos/verify_start_end_handshape_annotations//test_auto_move//signs_mov_separ_signers/Naomi_425.mov","MOV")</f>
        <v>21</v>
      </c>
    </row>
    <row r="1984" s="2" customFormat="1" ht="13.5" customHeight="1">
      <c r="B1984" s="13"/>
      <c r="C1984" t="s" s="9">
        <v>30</v>
      </c>
      <c r="D1984" t="s" s="8">
        <v>705</v>
      </c>
      <c r="E1984" t="s" s="9">
        <v>705</v>
      </c>
      <c r="F1984" t="s" s="10">
        <v>55</v>
      </c>
      <c r="G1984" t="s" s="11">
        <v>73</v>
      </c>
      <c r="H1984" t="s" s="10">
        <v>55</v>
      </c>
      <c r="I1984" t="s" s="11">
        <v>73</v>
      </c>
      <c r="J1984" t="s" s="11">
        <v>20</v>
      </c>
      <c r="K1984" s="15"/>
      <c r="L1984" t="s" s="16">
        <f>HYPERLINK("http://csr.bu.edu/ftp/asl/asllvd/demos/verify_start_end_handshape_annotations//test_auto_move//signs_mov_separ_signers/Brady_425.mov","MOV")</f>
        <v>21</v>
      </c>
      <c r="M1984" t="s" s="10">
        <v>31</v>
      </c>
      <c r="N1984" s="17">
        <v>26</v>
      </c>
      <c r="O1984" s="18">
        <v>22191</v>
      </c>
      <c r="P1984" s="18">
        <v>22202</v>
      </c>
      <c r="Q1984" s="15"/>
      <c r="R1984" t="s" s="16">
        <f>HYPERLINK("http://secrets.rutgers.edu:8080/data/asl-ftp/asllvd/demos/verify_start_end_handshape_annotations//test_auto_move//signs_mov_separ_signers/Brady_425.mov","MOV")</f>
        <v>21</v>
      </c>
    </row>
    <row r="1985" s="2" customFormat="1" ht="13.5" customHeight="1">
      <c r="B1985" s="13"/>
      <c r="C1985" t="s" s="9">
        <v>41</v>
      </c>
      <c r="D1985" t="s" s="8">
        <v>705</v>
      </c>
      <c r="E1985" t="s" s="9">
        <v>705</v>
      </c>
      <c r="F1985" t="s" s="10">
        <v>55</v>
      </c>
      <c r="G1985" t="s" s="11">
        <v>73</v>
      </c>
      <c r="H1985" t="s" s="10">
        <v>55</v>
      </c>
      <c r="I1985" t="s" s="11">
        <v>73</v>
      </c>
      <c r="J1985" t="s" s="11">
        <v>20</v>
      </c>
      <c r="K1985" s="15"/>
      <c r="L1985" t="s" s="16">
        <f>HYPERLINK("http://csr.bu.edu/ftp/asl/asllvd/demos/verify_start_end_handshape_annotations//test_auto_move//signs_mov_separ_signers/Lana_425.mov","MOV")</f>
        <v>21</v>
      </c>
      <c r="M1985" t="s" s="10">
        <v>42</v>
      </c>
      <c r="N1985" s="17">
        <v>5</v>
      </c>
      <c r="O1985" s="18">
        <v>227</v>
      </c>
      <c r="P1985" s="18">
        <v>247</v>
      </c>
      <c r="Q1985" s="15"/>
      <c r="R1985" t="s" s="16">
        <f>HYPERLINK("http://secrets.rutgers.edu:8080/data/asl-ftp/asllvd/demos/verify_start_end_handshape_annotations//test_auto_move//signs_mov_separ_signers/Lana_425.mov","MOV")</f>
        <v>21</v>
      </c>
    </row>
    <row r="1986" s="2" customFormat="1" ht="13.5" customHeight="1">
      <c r="B1986" s="13"/>
      <c r="C1986" t="s" s="9">
        <v>43</v>
      </c>
      <c r="D1986" t="s" s="8">
        <v>705</v>
      </c>
      <c r="E1986" t="s" s="9">
        <v>705</v>
      </c>
      <c r="F1986" t="s" s="10">
        <v>73</v>
      </c>
      <c r="G1986" t="s" s="11">
        <v>73</v>
      </c>
      <c r="H1986" t="s" s="10">
        <v>73</v>
      </c>
      <c r="I1986" t="s" s="11">
        <v>73</v>
      </c>
      <c r="J1986" t="s" s="11">
        <v>20</v>
      </c>
      <c r="K1986" s="15"/>
      <c r="L1986" t="s" s="16">
        <f>HYPERLINK("http://csr.bu.edu/ftp/asl/asllvd/demos/verify_start_end_handshape_annotations//test_auto_move//signs_mov_separ_signers/Dana_425.mov","MOV")</f>
        <v>21</v>
      </c>
      <c r="M1986" t="s" s="10">
        <v>44</v>
      </c>
      <c r="N1986" s="17">
        <v>9</v>
      </c>
      <c r="O1986" s="18">
        <v>275</v>
      </c>
      <c r="P1986" s="18">
        <v>301</v>
      </c>
      <c r="Q1986" s="15"/>
      <c r="R1986" t="s" s="16">
        <f>HYPERLINK("http://secrets.rutgers.edu:8080/data/asl-ftp/asllvd/demos/verify_start_end_handshape_annotations//test_auto_move//signs_mov_separ_signers/Dana_425.mov","MOV")</f>
        <v>21</v>
      </c>
    </row>
    <row r="1987" s="2" customFormat="1" ht="13.5" customHeight="1">
      <c r="B1987" t="s" s="8">
        <v>706</v>
      </c>
      <c r="C1987" t="s" s="9">
        <v>14</v>
      </c>
      <c r="D1987" t="s" s="8">
        <v>14</v>
      </c>
      <c r="E1987" t="s" s="9">
        <v>14</v>
      </c>
      <c r="F1987" t="s" s="10">
        <v>14</v>
      </c>
      <c r="G1987" t="s" s="11">
        <v>14</v>
      </c>
      <c r="H1987" t="s" s="10">
        <v>14</v>
      </c>
      <c r="I1987" t="s" s="11">
        <v>14</v>
      </c>
      <c r="J1987" t="s" s="11">
        <v>14</v>
      </c>
      <c r="K1987" t="s" s="12">
        <v>14</v>
      </c>
      <c r="L1987" t="s" s="12">
        <v>14</v>
      </c>
      <c r="M1987" t="s" s="10">
        <v>14</v>
      </c>
      <c r="N1987" t="s" s="11">
        <v>14</v>
      </c>
      <c r="O1987" t="s" s="8">
        <v>14</v>
      </c>
      <c r="P1987" t="s" s="8">
        <v>14</v>
      </c>
      <c r="Q1987" t="s" s="12">
        <v>14</v>
      </c>
      <c r="R1987" t="s" s="12">
        <v>14</v>
      </c>
    </row>
    <row r="1988" s="2" customFormat="1" ht="13.5" customHeight="1">
      <c r="B1988" s="13"/>
      <c r="C1988" t="s" s="9">
        <v>16</v>
      </c>
      <c r="D1988" t="s" s="8">
        <v>706</v>
      </c>
      <c r="E1988" t="s" s="9">
        <v>707</v>
      </c>
      <c r="F1988" s="19">
        <v>3</v>
      </c>
      <c r="G1988" t="s" s="11">
        <v>73</v>
      </c>
      <c r="H1988" s="19">
        <v>3</v>
      </c>
      <c r="I1988" t="s" s="11">
        <v>73</v>
      </c>
      <c r="J1988" t="s" s="11">
        <v>20</v>
      </c>
      <c r="K1988" s="15"/>
      <c r="L1988" t="s" s="16">
        <f>HYPERLINK("http://csr.bu.edu/ftp/asl/asllvd/demos/verify_start_end_handshape_annotations//test_auto_move//signs_mov_separ_signers/Liz_426.mov","MOV")</f>
        <v>21</v>
      </c>
      <c r="M1988" t="s" s="10">
        <v>22</v>
      </c>
      <c r="N1988" s="17">
        <v>71</v>
      </c>
      <c r="O1988" s="18">
        <v>1176</v>
      </c>
      <c r="P1988" s="18">
        <v>1225</v>
      </c>
      <c r="Q1988" s="15"/>
      <c r="R1988" t="s" s="16">
        <f>HYPERLINK("http://secrets.rutgers.edu:8080/data/asl-ftp/asllvd/demos/verify_start_end_handshape_annotations//test_auto_move//signs_mov_separ_signers/Liz_426.mov","MOV")</f>
        <v>21</v>
      </c>
    </row>
    <row r="1989" s="2" customFormat="1" ht="13.5" customHeight="1">
      <c r="B1989" s="13"/>
      <c r="C1989" t="s" s="9">
        <v>23</v>
      </c>
      <c r="D1989" t="s" s="8">
        <v>706</v>
      </c>
      <c r="E1989" t="s" s="9">
        <v>707</v>
      </c>
      <c r="F1989" s="19">
        <v>3</v>
      </c>
      <c r="G1989" t="s" s="11">
        <v>73</v>
      </c>
      <c r="H1989" s="19">
        <v>3</v>
      </c>
      <c r="I1989" t="s" s="11">
        <v>73</v>
      </c>
      <c r="J1989" t="s" s="11">
        <v>20</v>
      </c>
      <c r="K1989" s="15"/>
      <c r="L1989" t="s" s="16">
        <f>HYPERLINK("http://csr.bu.edu/ftp/asl/asllvd/demos/verify_start_end_handshape_annotations//test_auto_move//signs_mov_separ_signers/Tyler_426.mov","MOV")</f>
        <v>21</v>
      </c>
      <c r="M1989" t="s" s="10">
        <v>26</v>
      </c>
      <c r="N1989" s="17">
        <v>44</v>
      </c>
      <c r="O1989" s="18">
        <v>1380</v>
      </c>
      <c r="P1989" s="18">
        <v>1420</v>
      </c>
      <c r="Q1989" s="15"/>
      <c r="R1989" t="s" s="16">
        <f>HYPERLINK("http://secrets.rutgers.edu:8080/data/asl-ftp/asllvd/demos/verify_start_end_handshape_annotations//test_auto_move//signs_mov_separ_signers/Tyler_426.mov","MOV")</f>
        <v>21</v>
      </c>
    </row>
    <row r="1990" s="2" customFormat="1" ht="13.5" customHeight="1">
      <c r="B1990" s="13"/>
      <c r="C1990" t="s" s="9">
        <v>27</v>
      </c>
      <c r="D1990" t="s" s="8">
        <v>706</v>
      </c>
      <c r="E1990" t="s" s="9">
        <v>706</v>
      </c>
      <c r="F1990" t="s" s="10">
        <v>229</v>
      </c>
      <c r="G1990" t="s" s="11">
        <v>73</v>
      </c>
      <c r="H1990" t="s" s="10">
        <v>229</v>
      </c>
      <c r="I1990" t="s" s="11">
        <v>73</v>
      </c>
      <c r="J1990" t="s" s="11">
        <v>20</v>
      </c>
      <c r="K1990" t="s" s="16">
        <f>HYPERLINK("http://csr.bu.edu/ftp/asl/asllvd/demos/verify_start_end_handshape_annotations//test_auto_move//signs_mov/426_3590_merged.mov","MOV")</f>
        <v>21</v>
      </c>
      <c r="L1990" t="s" s="16">
        <f>HYPERLINK("http://csr.bu.edu/ftp/asl/asllvd/demos/verify_start_end_handshape_annotations//test_auto_move//signs_mov_separ_signers/Naomi_426.mov","MOV")</f>
        <v>21</v>
      </c>
      <c r="M1990" t="s" s="10">
        <v>29</v>
      </c>
      <c r="N1990" s="17">
        <v>45</v>
      </c>
      <c r="O1990" s="18">
        <v>2765</v>
      </c>
      <c r="P1990" s="18">
        <v>2785</v>
      </c>
      <c r="Q1990" t="s" s="16">
        <f>HYPERLINK("http://secrets.rutgers.edu:8080/data/asl-ftp/asllvd/demos/verify_start_end_handshape_annotations//test_auto_move//signs_mov/426_3590_merged.mov","MOV")</f>
        <v>21</v>
      </c>
      <c r="R1990" t="s" s="16">
        <f>HYPERLINK("http://secrets.rutgers.edu:8080/data/asl-ftp/asllvd/demos/verify_start_end_handshape_annotations//test_auto_move//signs_mov_separ_signers/Naomi_426.mov","MOV")</f>
        <v>21</v>
      </c>
    </row>
    <row r="1991" s="2" customFormat="1" ht="13.5" customHeight="1">
      <c r="B1991" s="13"/>
      <c r="C1991" t="s" s="9">
        <v>27</v>
      </c>
      <c r="D1991" t="s" s="8">
        <v>706</v>
      </c>
      <c r="E1991" t="s" s="9">
        <v>706</v>
      </c>
      <c r="F1991" t="s" s="10">
        <v>229</v>
      </c>
      <c r="G1991" t="s" s="11">
        <v>73</v>
      </c>
      <c r="H1991" t="s" s="10">
        <v>229</v>
      </c>
      <c r="I1991" t="s" s="11">
        <v>73</v>
      </c>
      <c r="J1991" t="s" s="11">
        <v>20</v>
      </c>
      <c r="K1991" s="15"/>
      <c r="L1991" t="s" s="16">
        <f>HYPERLINK("http://csr.bu.edu/ftp/asl/asllvd/demos/verify_start_end_handshape_annotations//test_auto_move//signs_mov_separ_signers/Naomi_3590.mov","MOV")</f>
        <v>21</v>
      </c>
      <c r="M1991" t="s" s="10">
        <v>29</v>
      </c>
      <c r="N1991" s="17">
        <v>45</v>
      </c>
      <c r="O1991" s="18">
        <v>3000</v>
      </c>
      <c r="P1991" s="18">
        <v>3025</v>
      </c>
      <c r="Q1991" s="15"/>
      <c r="R1991" t="s" s="16">
        <f>HYPERLINK("http://secrets.rutgers.edu:8080/data/asl-ftp/asllvd/demos/verify_start_end_handshape_annotations//test_auto_move//signs_mov_separ_signers/Naomi_3590.mov","MOV")</f>
        <v>21</v>
      </c>
    </row>
    <row r="1992" s="2" customFormat="1" ht="13.5" customHeight="1">
      <c r="B1992" s="13"/>
      <c r="C1992" t="s" s="9">
        <v>30</v>
      </c>
      <c r="D1992" t="s" s="8">
        <v>706</v>
      </c>
      <c r="E1992" t="s" s="9">
        <v>707</v>
      </c>
      <c r="F1992" s="19">
        <v>3</v>
      </c>
      <c r="G1992" t="s" s="11">
        <v>73</v>
      </c>
      <c r="H1992" s="19">
        <v>3</v>
      </c>
      <c r="I1992" t="s" s="11">
        <v>73</v>
      </c>
      <c r="J1992" t="s" s="11">
        <v>20</v>
      </c>
      <c r="K1992" s="15"/>
      <c r="L1992" t="s" s="16">
        <f>HYPERLINK("http://csr.bu.edu/ftp/asl/asllvd/demos/verify_start_end_handshape_annotations//test_auto_move//signs_mov_separ_signers/Brady_426.mov","MOV")</f>
        <v>21</v>
      </c>
      <c r="M1992" t="s" s="10">
        <v>31</v>
      </c>
      <c r="N1992" s="17">
        <v>26</v>
      </c>
      <c r="O1992" s="18">
        <v>22431</v>
      </c>
      <c r="P1992" s="18">
        <v>22474</v>
      </c>
      <c r="Q1992" s="15"/>
      <c r="R1992" t="s" s="16">
        <f>HYPERLINK("http://secrets.rutgers.edu:8080/data/asl-ftp/asllvd/demos/verify_start_end_handshape_annotations//test_auto_move//signs_mov_separ_signers/Brady_426.mov","MOV")</f>
        <v>21</v>
      </c>
    </row>
    <row r="1993" s="2" customFormat="1" ht="13.5" customHeight="1">
      <c r="B1993" t="s" s="8">
        <v>52</v>
      </c>
      <c r="C1993" t="s" s="9">
        <v>53</v>
      </c>
      <c r="D1993" t="s" s="8">
        <v>53</v>
      </c>
      <c r="E1993" t="s" s="9">
        <v>53</v>
      </c>
      <c r="F1993" t="s" s="10">
        <v>53</v>
      </c>
      <c r="G1993" t="s" s="11">
        <v>53</v>
      </c>
      <c r="H1993" t="s" s="10">
        <v>53</v>
      </c>
      <c r="I1993" t="s" s="11">
        <v>53</v>
      </c>
      <c r="J1993" t="s" s="11">
        <v>53</v>
      </c>
      <c r="K1993" t="s" s="12">
        <v>53</v>
      </c>
      <c r="L1993" t="s" s="12">
        <v>53</v>
      </c>
      <c r="M1993" t="s" s="10">
        <v>53</v>
      </c>
      <c r="N1993" t="s" s="11">
        <v>53</v>
      </c>
      <c r="O1993" t="s" s="8">
        <v>53</v>
      </c>
      <c r="P1993" t="s" s="8">
        <v>53</v>
      </c>
      <c r="Q1993" t="s" s="12">
        <v>53</v>
      </c>
      <c r="R1993" t="s" s="12">
        <v>53</v>
      </c>
    </row>
    <row r="1994" s="2" customFormat="1" ht="13.5" customHeight="1">
      <c r="B1994" s="13"/>
      <c r="C1994" t="s" s="9">
        <v>41</v>
      </c>
      <c r="D1994" t="s" s="8">
        <v>706</v>
      </c>
      <c r="E1994" t="s" s="9">
        <v>708</v>
      </c>
      <c r="F1994" s="19">
        <v>3</v>
      </c>
      <c r="G1994" t="s" s="11">
        <v>73</v>
      </c>
      <c r="H1994" s="19">
        <v>3</v>
      </c>
      <c r="I1994" t="s" s="11">
        <v>73</v>
      </c>
      <c r="J1994" t="s" s="11">
        <v>20</v>
      </c>
      <c r="K1994" t="s" s="16">
        <f>HYPERLINK("http://csr.bu.edu/ftp/asl/asllvd/demos/verify_start_end_handshape_annotations//test_auto_move//signs_mov/3591.mov","MOV")</f>
        <v>21</v>
      </c>
      <c r="L1994" t="s" s="16">
        <f>HYPERLINK("http://csr.bu.edu/ftp/asl/asllvd/demos/verify_start_end_handshape_annotations//test_auto_move//signs_mov_separ_signers/Lana_3591.mov","MOV")</f>
        <v>21</v>
      </c>
      <c r="M1994" t="s" s="10">
        <v>42</v>
      </c>
      <c r="N1994" s="17">
        <v>5</v>
      </c>
      <c r="O1994" s="18">
        <v>500</v>
      </c>
      <c r="P1994" s="18">
        <v>526</v>
      </c>
      <c r="Q1994" t="s" s="16">
        <f>HYPERLINK("http://secrets.rutgers.edu:8080/data/asl-ftp/asllvd/demos/verify_start_end_handshape_annotations//test_auto_move//signs_mov/3591.mov","MOV")</f>
        <v>21</v>
      </c>
      <c r="R1994" t="s" s="16">
        <f>HYPERLINK("http://secrets.rutgers.edu:8080/data/asl-ftp/asllvd/demos/verify_start_end_handshape_annotations//test_auto_move//signs_mov_separ_signers/Lana_3591.mov","MOV")</f>
        <v>21</v>
      </c>
    </row>
    <row r="1995" s="2" customFormat="1" ht="13.5" customHeight="1">
      <c r="B1995" s="13"/>
      <c r="C1995" t="s" s="9">
        <v>43</v>
      </c>
      <c r="D1995" t="s" s="8">
        <v>706</v>
      </c>
      <c r="E1995" t="s" s="9">
        <v>709</v>
      </c>
      <c r="F1995" t="s" s="10">
        <v>229</v>
      </c>
      <c r="G1995" t="s" s="11">
        <v>73</v>
      </c>
      <c r="H1995" t="s" s="10">
        <v>229</v>
      </c>
      <c r="I1995" t="s" s="11">
        <v>73</v>
      </c>
      <c r="J1995" t="s" s="11">
        <v>20</v>
      </c>
      <c r="K1995" s="15"/>
      <c r="L1995" t="s" s="16">
        <f>HYPERLINK("http://csr.bu.edu/ftp/asl/asllvd/demos/verify_start_end_handshape_annotations//test_auto_move//signs_mov_separ_signers/Dana_3591.mov","MOV")</f>
        <v>21</v>
      </c>
      <c r="M1995" t="s" s="10">
        <v>44</v>
      </c>
      <c r="N1995" s="17">
        <v>9</v>
      </c>
      <c r="O1995" s="18">
        <v>570</v>
      </c>
      <c r="P1995" s="18">
        <v>627</v>
      </c>
      <c r="Q1995" s="15"/>
      <c r="R1995" t="s" s="16">
        <f>HYPERLINK("http://secrets.rutgers.edu:8080/data/asl-ftp/asllvd/demos/verify_start_end_handshape_annotations//test_auto_move//signs_mov_separ_signers/Dana_3591.mov","MOV")</f>
        <v>21</v>
      </c>
    </row>
    <row r="1996" s="2" customFormat="1" ht="13.5" customHeight="1">
      <c r="B1996" t="s" s="8">
        <v>706</v>
      </c>
      <c r="C1996" t="s" s="9">
        <v>14</v>
      </c>
      <c r="D1996" t="s" s="8">
        <v>14</v>
      </c>
      <c r="E1996" t="s" s="9">
        <v>14</v>
      </c>
      <c r="F1996" t="s" s="10">
        <v>14</v>
      </c>
      <c r="G1996" t="s" s="11">
        <v>14</v>
      </c>
      <c r="H1996" t="s" s="10">
        <v>14</v>
      </c>
      <c r="I1996" t="s" s="11">
        <v>14</v>
      </c>
      <c r="J1996" t="s" s="11">
        <v>14</v>
      </c>
      <c r="K1996" t="s" s="12">
        <v>14</v>
      </c>
      <c r="L1996" t="s" s="12">
        <v>14</v>
      </c>
      <c r="M1996" t="s" s="10">
        <v>14</v>
      </c>
      <c r="N1996" t="s" s="11">
        <v>14</v>
      </c>
      <c r="O1996" t="s" s="8">
        <v>14</v>
      </c>
      <c r="P1996" t="s" s="8">
        <v>14</v>
      </c>
      <c r="Q1996" t="s" s="12">
        <v>14</v>
      </c>
      <c r="R1996" t="s" s="12">
        <v>14</v>
      </c>
    </row>
    <row r="1997" s="2" customFormat="1" ht="13.5" customHeight="1">
      <c r="B1997" s="13"/>
      <c r="C1997" t="s" s="9">
        <v>16</v>
      </c>
      <c r="D1997" t="s" s="8">
        <v>710</v>
      </c>
      <c r="E1997" t="s" s="9">
        <v>711</v>
      </c>
      <c r="F1997" s="19">
        <v>1</v>
      </c>
      <c r="G1997" t="s" s="11">
        <v>73</v>
      </c>
      <c r="H1997" s="19">
        <v>1</v>
      </c>
      <c r="I1997" t="s" s="11">
        <v>73</v>
      </c>
      <c r="J1997" t="s" s="11">
        <v>20</v>
      </c>
      <c r="K1997" t="s" s="16">
        <f>HYPERLINK("http://csr.bu.edu/ftp/asl/asllvd/demos/verify_start_end_handshape_annotations//test_auto_move//signs_mov/5133.mov","MOV")</f>
        <v>21</v>
      </c>
      <c r="L1997" t="s" s="16">
        <f>HYPERLINK("http://csr.bu.edu/ftp/asl/asllvd/demos/verify_start_end_handshape_annotations//test_auto_move//signs_mov_separ_signers/Liz_5133.mov","MOV")</f>
        <v>21</v>
      </c>
      <c r="M1997" t="s" s="10">
        <v>22</v>
      </c>
      <c r="N1997" s="17">
        <v>71</v>
      </c>
      <c r="O1997" s="18">
        <v>1365</v>
      </c>
      <c r="P1997" s="18">
        <v>1400</v>
      </c>
      <c r="Q1997" t="s" s="16">
        <f>HYPERLINK("http://secrets.rutgers.edu:8080/data/asl-ftp/asllvd/demos/verify_start_end_handshape_annotations//test_auto_move//signs_mov/5133.mov","MOV")</f>
        <v>21</v>
      </c>
      <c r="R1997" t="s" s="16">
        <f>HYPERLINK("http://secrets.rutgers.edu:8080/data/asl-ftp/asllvd/demos/verify_start_end_handshape_annotations//test_auto_move//signs_mov_separ_signers/Liz_5133.mov","MOV")</f>
        <v>21</v>
      </c>
    </row>
    <row r="1998" s="2" customFormat="1" ht="13.5" customHeight="1">
      <c r="B1998" t="s" s="8">
        <v>52</v>
      </c>
      <c r="C1998" t="s" s="9">
        <v>53</v>
      </c>
      <c r="D1998" t="s" s="8">
        <v>53</v>
      </c>
      <c r="E1998" t="s" s="9">
        <v>53</v>
      </c>
      <c r="F1998" t="s" s="10">
        <v>53</v>
      </c>
      <c r="G1998" t="s" s="11">
        <v>53</v>
      </c>
      <c r="H1998" t="s" s="10">
        <v>53</v>
      </c>
      <c r="I1998" t="s" s="11">
        <v>53</v>
      </c>
      <c r="J1998" t="s" s="11">
        <v>53</v>
      </c>
      <c r="K1998" t="s" s="12">
        <v>53</v>
      </c>
      <c r="L1998" t="s" s="12">
        <v>53</v>
      </c>
      <c r="M1998" t="s" s="10">
        <v>53</v>
      </c>
      <c r="N1998" t="s" s="11">
        <v>53</v>
      </c>
      <c r="O1998" t="s" s="8">
        <v>53</v>
      </c>
      <c r="P1998" t="s" s="8">
        <v>53</v>
      </c>
      <c r="Q1998" t="s" s="12">
        <v>53</v>
      </c>
      <c r="R1998" t="s" s="12">
        <v>53</v>
      </c>
    </row>
    <row r="1999" s="2" customFormat="1" ht="13.5" customHeight="1">
      <c r="B1999" s="13"/>
      <c r="C1999" t="s" s="9">
        <v>16</v>
      </c>
      <c r="D1999" t="s" s="8">
        <v>710</v>
      </c>
      <c r="E1999" t="s" s="9">
        <v>712</v>
      </c>
      <c r="F1999" t="s" s="10">
        <v>268</v>
      </c>
      <c r="G1999" t="s" s="11">
        <v>55</v>
      </c>
      <c r="H1999" t="s" s="10">
        <v>268</v>
      </c>
      <c r="I1999" t="s" s="11">
        <v>55</v>
      </c>
      <c r="J1999" t="s" s="11">
        <v>136</v>
      </c>
      <c r="K1999" s="15"/>
      <c r="L1999" t="s" s="16">
        <f>HYPERLINK("http://csr.bu.edu/ftp/asl/asllvd/demos/verify_start_end_handshape_annotations//test_auto_move//signs_mov_separ_signers/Liz_5134.mov","MOV")</f>
        <v>21</v>
      </c>
      <c r="M1999" t="s" s="10">
        <v>22</v>
      </c>
      <c r="N1999" s="17">
        <v>72</v>
      </c>
      <c r="O1999" s="18">
        <v>266</v>
      </c>
      <c r="P1999" s="18">
        <v>310</v>
      </c>
      <c r="Q1999" s="15"/>
      <c r="R1999" t="s" s="16">
        <f>HYPERLINK("http://secrets.rutgers.edu:8080/data/asl-ftp/asllvd/demos/verify_start_end_handshape_annotations//test_auto_move//signs_mov_separ_signers/Liz_5134.mov","MOV")</f>
        <v>21</v>
      </c>
    </row>
    <row r="2000" s="2" customFormat="1" ht="13.5" customHeight="1">
      <c r="B2000" s="13"/>
      <c r="C2000" t="s" s="9">
        <v>27</v>
      </c>
      <c r="D2000" t="s" s="8">
        <v>710</v>
      </c>
      <c r="E2000" t="s" s="9">
        <v>712</v>
      </c>
      <c r="F2000" t="s" s="10">
        <v>268</v>
      </c>
      <c r="G2000" t="s" s="11">
        <v>105</v>
      </c>
      <c r="H2000" t="s" s="10">
        <v>268</v>
      </c>
      <c r="I2000" t="s" s="11">
        <v>105</v>
      </c>
      <c r="J2000" t="s" s="11">
        <v>136</v>
      </c>
      <c r="K2000" t="s" s="16">
        <f>HYPERLINK("http://csr.bu.edu/ftp/asl/asllvd/demos/verify_start_end_handshape_annotations//test_auto_move//signs_mov/5134_5391_merged.mov","MOV")</f>
        <v>21</v>
      </c>
      <c r="L2000" t="s" s="16">
        <f>HYPERLINK("http://csr.bu.edu/ftp/asl/asllvd/demos/verify_start_end_handshape_annotations//test_auto_move//signs_mov_separ_signers/Naomi_5134.mov","MOV")</f>
        <v>21</v>
      </c>
      <c r="M2000" t="s" s="10">
        <v>29</v>
      </c>
      <c r="N2000" s="17">
        <v>45</v>
      </c>
      <c r="O2000" s="18">
        <v>3260</v>
      </c>
      <c r="P2000" s="18">
        <v>3302</v>
      </c>
      <c r="Q2000" t="s" s="16">
        <f>HYPERLINK("http://secrets.rutgers.edu:8080/data/asl-ftp/asllvd/demos/verify_start_end_handshape_annotations//test_auto_move//signs_mov/5134_5391_merged.mov","MOV")</f>
        <v>21</v>
      </c>
      <c r="R2000" t="s" s="16">
        <f>HYPERLINK("http://secrets.rutgers.edu:8080/data/asl-ftp/asllvd/demos/verify_start_end_handshape_annotations//test_auto_move//signs_mov_separ_signers/Naomi_5134.mov","MOV")</f>
        <v>21</v>
      </c>
    </row>
    <row r="2001" s="2" customFormat="1" ht="13.5" customHeight="1">
      <c r="B2001" s="13"/>
      <c r="C2001" t="s" s="9">
        <v>30</v>
      </c>
      <c r="D2001" t="s" s="8">
        <v>710</v>
      </c>
      <c r="E2001" t="s" s="9">
        <v>713</v>
      </c>
      <c r="F2001" s="19">
        <v>1</v>
      </c>
      <c r="G2001" t="s" s="11">
        <v>63</v>
      </c>
      <c r="H2001" s="19">
        <v>1</v>
      </c>
      <c r="I2001" t="s" s="11">
        <v>63</v>
      </c>
      <c r="J2001" t="s" s="11">
        <v>136</v>
      </c>
      <c r="K2001" s="15"/>
      <c r="L2001" t="s" s="16">
        <f>HYPERLINK("http://csr.bu.edu/ftp/asl/asllvd/demos/verify_start_end_handshape_annotations//test_auto_move//signs_mov_separ_signers/Brady_5134.mov","MOV")</f>
        <v>21</v>
      </c>
      <c r="M2001" t="s" s="10">
        <v>31</v>
      </c>
      <c r="N2001" s="17">
        <v>26</v>
      </c>
      <c r="O2001" s="18">
        <v>22711</v>
      </c>
      <c r="P2001" s="18">
        <v>22757</v>
      </c>
      <c r="Q2001" s="15"/>
      <c r="R2001" t="s" s="16">
        <f>HYPERLINK("http://secrets.rutgers.edu:8080/data/asl-ftp/asllvd/demos/verify_start_end_handshape_annotations//test_auto_move//signs_mov_separ_signers/Brady_5134.mov","MOV")</f>
        <v>21</v>
      </c>
    </row>
    <row r="2002" s="2" customFormat="1" ht="13.5" customHeight="1">
      <c r="B2002" s="13"/>
      <c r="C2002" t="s" s="9">
        <v>30</v>
      </c>
      <c r="D2002" t="s" s="8">
        <v>710</v>
      </c>
      <c r="E2002" t="s" s="9">
        <v>710</v>
      </c>
      <c r="F2002" s="19">
        <v>1</v>
      </c>
      <c r="G2002" t="s" s="11">
        <v>63</v>
      </c>
      <c r="H2002" s="19">
        <v>1</v>
      </c>
      <c r="I2002" t="s" s="11">
        <v>63</v>
      </c>
      <c r="J2002" t="s" s="11">
        <v>136</v>
      </c>
      <c r="K2002" s="15"/>
      <c r="L2002" t="s" s="16">
        <f>HYPERLINK("http://csr.bu.edu/ftp/asl/asllvd/demos/verify_start_end_handshape_annotations//test_auto_move//signs_mov_separ_signers/Brady_5391.mov","MOV")</f>
        <v>21</v>
      </c>
      <c r="M2002" t="s" s="10">
        <v>31</v>
      </c>
      <c r="N2002" s="17">
        <v>26</v>
      </c>
      <c r="O2002" s="18">
        <v>23063</v>
      </c>
      <c r="P2002" s="18">
        <v>23088</v>
      </c>
      <c r="Q2002" s="15"/>
      <c r="R2002" t="s" s="16">
        <f>HYPERLINK("http://secrets.rutgers.edu:8080/data/asl-ftp/asllvd/demos/verify_start_end_handshape_annotations//test_auto_move//signs_mov_separ_signers/Brady_5391.mov","MOV")</f>
        <v>21</v>
      </c>
    </row>
    <row r="2003" s="2" customFormat="1" ht="13.5" customHeight="1">
      <c r="B2003" t="s" s="8">
        <v>714</v>
      </c>
      <c r="C2003" t="s" s="9">
        <v>14</v>
      </c>
      <c r="D2003" t="s" s="8">
        <v>14</v>
      </c>
      <c r="E2003" t="s" s="9">
        <v>14</v>
      </c>
      <c r="F2003" t="s" s="10">
        <v>14</v>
      </c>
      <c r="G2003" t="s" s="11">
        <v>14</v>
      </c>
      <c r="H2003" t="s" s="10">
        <v>14</v>
      </c>
      <c r="I2003" t="s" s="11">
        <v>14</v>
      </c>
      <c r="J2003" t="s" s="11">
        <v>14</v>
      </c>
      <c r="K2003" t="s" s="12">
        <v>14</v>
      </c>
      <c r="L2003" t="s" s="12">
        <v>14</v>
      </c>
      <c r="M2003" t="s" s="10">
        <v>14</v>
      </c>
      <c r="N2003" t="s" s="11">
        <v>14</v>
      </c>
      <c r="O2003" t="s" s="8">
        <v>14</v>
      </c>
      <c r="P2003" t="s" s="8">
        <v>14</v>
      </c>
      <c r="Q2003" t="s" s="12">
        <v>14</v>
      </c>
      <c r="R2003" t="s" s="12">
        <v>14</v>
      </c>
    </row>
    <row r="2004" s="2" customFormat="1" ht="13.5" customHeight="1">
      <c r="B2004" s="13"/>
      <c r="C2004" t="s" s="9">
        <v>16</v>
      </c>
      <c r="D2004" t="s" s="8">
        <v>714</v>
      </c>
      <c r="E2004" t="s" s="9">
        <v>714</v>
      </c>
      <c r="F2004" s="19">
        <v>1</v>
      </c>
      <c r="G2004" t="s" s="11">
        <v>73</v>
      </c>
      <c r="H2004" s="19">
        <v>1</v>
      </c>
      <c r="I2004" t="s" s="11">
        <v>73</v>
      </c>
      <c r="J2004" t="s" s="11">
        <v>20</v>
      </c>
      <c r="K2004" s="15"/>
      <c r="L2004" t="s" s="16">
        <f>HYPERLINK("http://csr.bu.edu/ftp/asl/asllvd/demos/verify_start_end_handshape_annotations//test_auto_move//signs_mov_separ_signers/Liz_429.mov","MOV")</f>
        <v>21</v>
      </c>
      <c r="M2004" t="s" s="10">
        <v>22</v>
      </c>
      <c r="N2004" s="17">
        <v>72</v>
      </c>
      <c r="O2004" s="18">
        <v>485</v>
      </c>
      <c r="P2004" s="18">
        <v>515</v>
      </c>
      <c r="Q2004" s="15"/>
      <c r="R2004" t="s" s="16">
        <f>HYPERLINK("http://secrets.rutgers.edu:8080/data/asl-ftp/asllvd/demos/verify_start_end_handshape_annotations//test_auto_move//signs_mov_separ_signers/Liz_429.mov","MOV")</f>
        <v>21</v>
      </c>
    </row>
    <row r="2005" s="2" customFormat="1" ht="13.5" customHeight="1">
      <c r="B2005" s="13"/>
      <c r="C2005" t="s" s="9">
        <v>23</v>
      </c>
      <c r="D2005" t="s" s="8">
        <v>714</v>
      </c>
      <c r="E2005" t="s" s="9">
        <v>714</v>
      </c>
      <c r="F2005" s="19">
        <v>1</v>
      </c>
      <c r="G2005" t="s" s="11">
        <v>73</v>
      </c>
      <c r="H2005" s="19">
        <v>1</v>
      </c>
      <c r="I2005" t="s" s="11">
        <v>73</v>
      </c>
      <c r="J2005" t="s" s="11">
        <v>20</v>
      </c>
      <c r="K2005" t="s" s="16">
        <f>HYPERLINK("http://csr.bu.edu/ftp/asl/asllvd/demos/verify_start_end_handshape_annotations//test_auto_move//signs_mov/429.mov","MOV")</f>
        <v>21</v>
      </c>
      <c r="L2005" t="s" s="16">
        <f>HYPERLINK("http://csr.bu.edu/ftp/asl/asllvd/demos/verify_start_end_handshape_annotations//test_auto_move//signs_mov_separ_signers/Tyler_429.mov","MOV")</f>
        <v>21</v>
      </c>
      <c r="M2005" t="s" s="10">
        <v>26</v>
      </c>
      <c r="N2005" s="17">
        <v>44</v>
      </c>
      <c r="O2005" s="18">
        <v>2576</v>
      </c>
      <c r="P2005" s="18">
        <v>2597</v>
      </c>
      <c r="Q2005" t="s" s="16">
        <f>HYPERLINK("http://secrets.rutgers.edu:8080/data/asl-ftp/asllvd/demos/verify_start_end_handshape_annotations//test_auto_move//signs_mov/429.mov","MOV")</f>
        <v>21</v>
      </c>
      <c r="R2005" t="s" s="16">
        <f>HYPERLINK("http://secrets.rutgers.edu:8080/data/asl-ftp/asllvd/demos/verify_start_end_handshape_annotations//test_auto_move//signs_mov_separ_signers/Tyler_429.mov","MOV")</f>
        <v>21</v>
      </c>
    </row>
    <row r="2006" s="2" customFormat="1" ht="13.5" customHeight="1">
      <c r="B2006" s="13"/>
      <c r="C2006" t="s" s="9">
        <v>27</v>
      </c>
      <c r="D2006" t="s" s="8">
        <v>714</v>
      </c>
      <c r="E2006" t="s" s="9">
        <v>714</v>
      </c>
      <c r="F2006" s="19">
        <v>1</v>
      </c>
      <c r="G2006" t="s" s="11">
        <v>73</v>
      </c>
      <c r="H2006" s="19">
        <v>1</v>
      </c>
      <c r="I2006" t="s" s="11">
        <v>73</v>
      </c>
      <c r="J2006" t="s" s="11">
        <v>20</v>
      </c>
      <c r="K2006" s="15"/>
      <c r="L2006" t="s" s="16">
        <f>HYPERLINK("http://csr.bu.edu/ftp/asl/asllvd/demos/verify_start_end_handshape_annotations//test_auto_move//signs_mov_separ_signers/Naomi_429.mov","MOV")</f>
        <v>21</v>
      </c>
      <c r="M2006" t="s" s="10">
        <v>29</v>
      </c>
      <c r="N2006" s="17">
        <v>45</v>
      </c>
      <c r="O2006" s="18">
        <v>3586</v>
      </c>
      <c r="P2006" s="18">
        <v>3615</v>
      </c>
      <c r="Q2006" s="15"/>
      <c r="R2006" t="s" s="16">
        <f>HYPERLINK("http://secrets.rutgers.edu:8080/data/asl-ftp/asllvd/demos/verify_start_end_handshape_annotations//test_auto_move//signs_mov_separ_signers/Naomi_429.mov","MOV")</f>
        <v>21</v>
      </c>
    </row>
    <row r="2007" s="2" customFormat="1" ht="13.5" customHeight="1">
      <c r="B2007" s="13"/>
      <c r="C2007" t="s" s="9">
        <v>30</v>
      </c>
      <c r="D2007" t="s" s="8">
        <v>714</v>
      </c>
      <c r="E2007" t="s" s="9">
        <v>714</v>
      </c>
      <c r="F2007" s="19">
        <v>1</v>
      </c>
      <c r="G2007" t="s" s="11">
        <v>73</v>
      </c>
      <c r="H2007" s="19">
        <v>1</v>
      </c>
      <c r="I2007" t="s" s="11">
        <v>73</v>
      </c>
      <c r="J2007" t="s" s="11">
        <v>20</v>
      </c>
      <c r="K2007" s="15"/>
      <c r="L2007" t="s" s="16">
        <f>HYPERLINK("http://csr.bu.edu/ftp/asl/asllvd/demos/verify_start_end_handshape_annotations//test_auto_move//signs_mov_separ_signers/Brady_429.mov","MOV")</f>
        <v>21</v>
      </c>
      <c r="M2007" t="s" s="10">
        <v>31</v>
      </c>
      <c r="N2007" s="17">
        <v>26</v>
      </c>
      <c r="O2007" s="18">
        <v>23452</v>
      </c>
      <c r="P2007" s="18">
        <v>23471</v>
      </c>
      <c r="Q2007" s="15"/>
      <c r="R2007" t="s" s="16">
        <f>HYPERLINK("http://secrets.rutgers.edu:8080/data/asl-ftp/asllvd/demos/verify_start_end_handshape_annotations//test_auto_move//signs_mov_separ_signers/Brady_429.mov","MOV")</f>
        <v>21</v>
      </c>
    </row>
    <row r="2008" s="2" customFormat="1" ht="13.5" customHeight="1">
      <c r="B2008" t="s" s="8">
        <v>52</v>
      </c>
      <c r="C2008" t="s" s="9">
        <v>53</v>
      </c>
      <c r="D2008" t="s" s="8">
        <v>53</v>
      </c>
      <c r="E2008" t="s" s="9">
        <v>53</v>
      </c>
      <c r="F2008" t="s" s="10">
        <v>53</v>
      </c>
      <c r="G2008" t="s" s="11">
        <v>53</v>
      </c>
      <c r="H2008" t="s" s="10">
        <v>53</v>
      </c>
      <c r="I2008" t="s" s="11">
        <v>53</v>
      </c>
      <c r="J2008" t="s" s="11">
        <v>53</v>
      </c>
      <c r="K2008" t="s" s="12">
        <v>53</v>
      </c>
      <c r="L2008" t="s" s="12">
        <v>53</v>
      </c>
      <c r="M2008" t="s" s="10">
        <v>53</v>
      </c>
      <c r="N2008" t="s" s="11">
        <v>53</v>
      </c>
      <c r="O2008" t="s" s="8">
        <v>53</v>
      </c>
      <c r="P2008" t="s" s="8">
        <v>53</v>
      </c>
      <c r="Q2008" t="s" s="12">
        <v>53</v>
      </c>
      <c r="R2008" t="s" s="12">
        <v>53</v>
      </c>
    </row>
    <row r="2009" s="2" customFormat="1" ht="13.5" customHeight="1">
      <c r="B2009" s="13"/>
      <c r="C2009" t="s" s="9">
        <v>27</v>
      </c>
      <c r="D2009" t="s" s="8">
        <v>714</v>
      </c>
      <c r="E2009" t="s" s="9">
        <v>715</v>
      </c>
      <c r="F2009" t="s" s="10">
        <v>65</v>
      </c>
      <c r="G2009" t="s" s="11">
        <v>73</v>
      </c>
      <c r="H2009" t="s" s="10">
        <v>65</v>
      </c>
      <c r="I2009" t="s" s="11">
        <v>73</v>
      </c>
      <c r="J2009" t="s" s="11">
        <v>20</v>
      </c>
      <c r="K2009" t="s" s="16">
        <f>HYPERLINK("http://csr.bu.edu/ftp/asl/asllvd/demos/verify_start_end_handshape_annotations//test_auto_move//signs_mov/5978.mov","MOV")</f>
        <v>21</v>
      </c>
      <c r="L2009" t="s" s="16">
        <f>HYPERLINK("http://csr.bu.edu/ftp/asl/asllvd/demos/verify_start_end_handshape_annotations//test_auto_move//signs_mov_separ_signers/Naomi_5978.mov","MOV")</f>
        <v>21</v>
      </c>
      <c r="M2009" t="s" s="10">
        <v>29</v>
      </c>
      <c r="N2009" s="17">
        <v>46</v>
      </c>
      <c r="O2009" s="18">
        <v>325</v>
      </c>
      <c r="P2009" s="18">
        <v>412</v>
      </c>
      <c r="Q2009" t="s" s="16">
        <f>HYPERLINK("http://secrets.rutgers.edu:8080/data/asl-ftp/asllvd/demos/verify_start_end_handshape_annotations//test_auto_move//signs_mov/5978.mov","MOV")</f>
        <v>21</v>
      </c>
      <c r="R2009" t="s" s="16">
        <f>HYPERLINK("http://secrets.rutgers.edu:8080/data/asl-ftp/asllvd/demos/verify_start_end_handshape_annotations//test_auto_move//signs_mov_separ_signers/Naomi_5978.mov","MOV")</f>
        <v>21</v>
      </c>
    </row>
    <row r="2010" s="2" customFormat="1" ht="13.5" customHeight="1">
      <c r="B2010" t="s" s="8">
        <v>716</v>
      </c>
      <c r="C2010" t="s" s="9">
        <v>14</v>
      </c>
      <c r="D2010" t="s" s="8">
        <v>14</v>
      </c>
      <c r="E2010" t="s" s="9">
        <v>14</v>
      </c>
      <c r="F2010" t="s" s="10">
        <v>14</v>
      </c>
      <c r="G2010" t="s" s="11">
        <v>14</v>
      </c>
      <c r="H2010" t="s" s="10">
        <v>14</v>
      </c>
      <c r="I2010" t="s" s="11">
        <v>14</v>
      </c>
      <c r="J2010" t="s" s="11">
        <v>14</v>
      </c>
      <c r="K2010" t="s" s="12">
        <v>14</v>
      </c>
      <c r="L2010" t="s" s="12">
        <v>14</v>
      </c>
      <c r="M2010" t="s" s="10">
        <v>14</v>
      </c>
      <c r="N2010" t="s" s="11">
        <v>14</v>
      </c>
      <c r="O2010" t="s" s="8">
        <v>14</v>
      </c>
      <c r="P2010" t="s" s="8">
        <v>14</v>
      </c>
      <c r="Q2010" t="s" s="12">
        <v>14</v>
      </c>
      <c r="R2010" t="s" s="12">
        <v>14</v>
      </c>
    </row>
    <row r="2011" s="2" customFormat="1" ht="13.5" customHeight="1">
      <c r="B2011" s="13"/>
      <c r="C2011" t="s" s="9">
        <v>16</v>
      </c>
      <c r="D2011" t="s" s="8">
        <v>716</v>
      </c>
      <c r="E2011" t="s" s="9">
        <v>717</v>
      </c>
      <c r="F2011" s="19">
        <v>1</v>
      </c>
      <c r="G2011" t="s" s="11">
        <v>73</v>
      </c>
      <c r="H2011" s="19">
        <v>1</v>
      </c>
      <c r="I2011" t="s" s="11">
        <v>73</v>
      </c>
      <c r="J2011" t="s" s="11">
        <v>20</v>
      </c>
      <c r="K2011" s="15"/>
      <c r="L2011" t="s" s="16">
        <f>HYPERLINK("http://csr.bu.edu/ftp/asl/asllvd/demos/verify_start_end_handshape_annotations//test_auto_move//signs_mov_separ_signers/Liz_4779.mov","MOV")</f>
        <v>21</v>
      </c>
      <c r="M2011" t="s" s="10">
        <v>22</v>
      </c>
      <c r="N2011" s="17">
        <v>72</v>
      </c>
      <c r="O2011" s="18">
        <v>960</v>
      </c>
      <c r="P2011" s="18">
        <v>1021</v>
      </c>
      <c r="Q2011" s="15"/>
      <c r="R2011" t="s" s="16">
        <f>HYPERLINK("http://secrets.rutgers.edu:8080/data/asl-ftp/asllvd/demos/verify_start_end_handshape_annotations//test_auto_move//signs_mov_separ_signers/Liz_4779.mov","MOV")</f>
        <v>21</v>
      </c>
    </row>
    <row r="2012" s="2" customFormat="1" ht="13.5" customHeight="1">
      <c r="B2012" s="13"/>
      <c r="C2012" t="s" s="9">
        <v>23</v>
      </c>
      <c r="D2012" t="s" s="8">
        <v>716</v>
      </c>
      <c r="E2012" t="s" s="9">
        <v>718</v>
      </c>
      <c r="F2012" s="19">
        <v>1</v>
      </c>
      <c r="G2012" t="s" s="11">
        <v>73</v>
      </c>
      <c r="H2012" s="19">
        <v>1</v>
      </c>
      <c r="I2012" t="s" s="11">
        <v>73</v>
      </c>
      <c r="J2012" t="s" s="11">
        <v>20</v>
      </c>
      <c r="K2012" t="s" s="16">
        <f>HYPERLINK("http://csr.bu.edu/ftp/asl/asllvd/demos/verify_start_end_handshape_annotations//test_auto_move//signs_mov/4779.mov","MOV")</f>
        <v>21</v>
      </c>
      <c r="L2012" t="s" s="16">
        <f>HYPERLINK("http://csr.bu.edu/ftp/asl/asllvd/demos/verify_start_end_handshape_annotations//test_auto_move//signs_mov_separ_signers/Tyler_4779.mov","MOV")</f>
        <v>21</v>
      </c>
      <c r="M2012" t="s" s="10">
        <v>26</v>
      </c>
      <c r="N2012" s="17">
        <v>44</v>
      </c>
      <c r="O2012" s="18">
        <v>3200</v>
      </c>
      <c r="P2012" s="18">
        <v>3267</v>
      </c>
      <c r="Q2012" t="s" s="16">
        <f>HYPERLINK("http://secrets.rutgers.edu:8080/data/asl-ftp/asllvd/demos/verify_start_end_handshape_annotations//test_auto_move//signs_mov/4779.mov","MOV")</f>
        <v>21</v>
      </c>
      <c r="R2012" t="s" s="16">
        <f>HYPERLINK("http://secrets.rutgers.edu:8080/data/asl-ftp/asllvd/demos/verify_start_end_handshape_annotations//test_auto_move//signs_mov_separ_signers/Tyler_4779.mov","MOV")</f>
        <v>21</v>
      </c>
    </row>
    <row r="2013" s="2" customFormat="1" ht="13.5" customHeight="1">
      <c r="B2013" s="13"/>
      <c r="C2013" t="s" s="9">
        <v>30</v>
      </c>
      <c r="D2013" t="s" s="8">
        <v>716</v>
      </c>
      <c r="E2013" t="s" s="9">
        <v>717</v>
      </c>
      <c r="F2013" s="19">
        <v>1</v>
      </c>
      <c r="G2013" t="s" s="11">
        <v>73</v>
      </c>
      <c r="H2013" s="19">
        <v>1</v>
      </c>
      <c r="I2013" t="s" s="11">
        <v>73</v>
      </c>
      <c r="J2013" t="s" s="11">
        <v>20</v>
      </c>
      <c r="K2013" s="15"/>
      <c r="L2013" t="s" s="16">
        <f>HYPERLINK("http://csr.bu.edu/ftp/asl/asllvd/demos/verify_start_end_handshape_annotations//test_auto_move//signs_mov_separ_signers/Brady_4779.mov","MOV")</f>
        <v>21</v>
      </c>
      <c r="M2013" t="s" s="10">
        <v>31</v>
      </c>
      <c r="N2013" s="17">
        <v>27</v>
      </c>
      <c r="O2013" s="18">
        <v>626</v>
      </c>
      <c r="P2013" s="18">
        <v>678</v>
      </c>
      <c r="Q2013" s="15"/>
      <c r="R2013" t="s" s="16">
        <f>HYPERLINK("http://secrets.rutgers.edu:8080/data/asl-ftp/asllvd/demos/verify_start_end_handshape_annotations//test_auto_move//signs_mov_separ_signers/Brady_4779.mov","MOV")</f>
        <v>21</v>
      </c>
    </row>
    <row r="2014" s="2" customFormat="1" ht="13.5" customHeight="1">
      <c r="B2014" t="s" s="8">
        <v>719</v>
      </c>
      <c r="C2014" t="s" s="9">
        <v>14</v>
      </c>
      <c r="D2014" t="s" s="8">
        <v>14</v>
      </c>
      <c r="E2014" t="s" s="9">
        <v>14</v>
      </c>
      <c r="F2014" t="s" s="10">
        <v>14</v>
      </c>
      <c r="G2014" t="s" s="11">
        <v>14</v>
      </c>
      <c r="H2014" t="s" s="10">
        <v>14</v>
      </c>
      <c r="I2014" t="s" s="11">
        <v>14</v>
      </c>
      <c r="J2014" t="s" s="11">
        <v>14</v>
      </c>
      <c r="K2014" t="s" s="12">
        <v>14</v>
      </c>
      <c r="L2014" t="s" s="12">
        <v>14</v>
      </c>
      <c r="M2014" t="s" s="10">
        <v>14</v>
      </c>
      <c r="N2014" t="s" s="11">
        <v>14</v>
      </c>
      <c r="O2014" t="s" s="8">
        <v>14</v>
      </c>
      <c r="P2014" t="s" s="8">
        <v>14</v>
      </c>
      <c r="Q2014" t="s" s="12">
        <v>14</v>
      </c>
      <c r="R2014" t="s" s="12">
        <v>14</v>
      </c>
    </row>
    <row r="2015" s="2" customFormat="1" ht="13.5" customHeight="1">
      <c r="B2015" s="13"/>
      <c r="C2015" t="s" s="9">
        <v>16</v>
      </c>
      <c r="D2015" t="s" s="8">
        <v>719</v>
      </c>
      <c r="E2015" t="s" s="9">
        <v>719</v>
      </c>
      <c r="F2015" t="s" s="10">
        <v>185</v>
      </c>
      <c r="G2015" s="14"/>
      <c r="H2015" t="s" s="10">
        <v>185</v>
      </c>
      <c r="I2015" s="14"/>
      <c r="J2015" t="s" s="11">
        <v>20</v>
      </c>
      <c r="K2015" t="s" s="16">
        <f>HYPERLINK("http://csr.bu.edu/ftp/asl/asllvd/demos/verify_start_end_handshape_annotations//test_auto_move//signs_mov/432.mov","MOV")</f>
        <v>21</v>
      </c>
      <c r="L2015" t="s" s="16">
        <f>HYPERLINK("http://csr.bu.edu/ftp/asl/asllvd/demos/verify_start_end_handshape_annotations//test_auto_move//signs_mov_separ_signers/Liz_432.mov","MOV")</f>
        <v>21</v>
      </c>
      <c r="M2015" t="s" s="10">
        <v>22</v>
      </c>
      <c r="N2015" s="17">
        <v>72</v>
      </c>
      <c r="O2015" s="18">
        <v>1330</v>
      </c>
      <c r="P2015" s="18">
        <v>1360</v>
      </c>
      <c r="Q2015" t="s" s="16">
        <f>HYPERLINK("http://secrets.rutgers.edu:8080/data/asl-ftp/asllvd/demos/verify_start_end_handshape_annotations//test_auto_move//signs_mov/432.mov","MOV")</f>
        <v>21</v>
      </c>
      <c r="R2015" t="s" s="16">
        <f>HYPERLINK("http://secrets.rutgers.edu:8080/data/asl-ftp/asllvd/demos/verify_start_end_handshape_annotations//test_auto_move//signs_mov_separ_signers/Liz_432.mov","MOV")</f>
        <v>21</v>
      </c>
    </row>
    <row r="2016" s="2" customFormat="1" ht="13.5" customHeight="1">
      <c r="B2016" t="s" s="8">
        <v>720</v>
      </c>
      <c r="C2016" t="s" s="9">
        <v>14</v>
      </c>
      <c r="D2016" t="s" s="8">
        <v>14</v>
      </c>
      <c r="E2016" t="s" s="9">
        <v>14</v>
      </c>
      <c r="F2016" t="s" s="10">
        <v>14</v>
      </c>
      <c r="G2016" t="s" s="11">
        <v>14</v>
      </c>
      <c r="H2016" t="s" s="10">
        <v>14</v>
      </c>
      <c r="I2016" t="s" s="11">
        <v>14</v>
      </c>
      <c r="J2016" t="s" s="11">
        <v>14</v>
      </c>
      <c r="K2016" t="s" s="12">
        <v>14</v>
      </c>
      <c r="L2016" t="s" s="12">
        <v>14</v>
      </c>
      <c r="M2016" t="s" s="10">
        <v>14</v>
      </c>
      <c r="N2016" t="s" s="11">
        <v>14</v>
      </c>
      <c r="O2016" t="s" s="8">
        <v>14</v>
      </c>
      <c r="P2016" t="s" s="8">
        <v>14</v>
      </c>
      <c r="Q2016" t="s" s="12">
        <v>14</v>
      </c>
      <c r="R2016" t="s" s="12">
        <v>14</v>
      </c>
    </row>
    <row r="2017" s="2" customFormat="1" ht="13.5" customHeight="1">
      <c r="B2017" s="13"/>
      <c r="C2017" t="s" s="9">
        <v>23</v>
      </c>
      <c r="D2017" t="s" s="8">
        <v>720</v>
      </c>
      <c r="E2017" t="s" s="9">
        <v>720</v>
      </c>
      <c r="F2017" s="19">
        <v>1</v>
      </c>
      <c r="G2017" s="14"/>
      <c r="H2017" t="s" s="10">
        <v>501</v>
      </c>
      <c r="I2017" s="14"/>
      <c r="J2017" t="s" s="11">
        <v>20</v>
      </c>
      <c r="K2017" t="s" s="16">
        <f>HYPERLINK("http://csr.bu.edu/ftp/asl/asllvd/demos/verify_start_end_handshape_annotations//test_auto_move//signs_mov/5011.mov","MOV")</f>
        <v>21</v>
      </c>
      <c r="L2017" t="s" s="16">
        <f>HYPERLINK("http://csr.bu.edu/ftp/asl/asllvd/demos/verify_start_end_handshape_annotations//test_auto_move//signs_mov_separ_signers/Tyler_5011.mov","MOV")</f>
        <v>21</v>
      </c>
      <c r="M2017" t="s" s="10">
        <v>26</v>
      </c>
      <c r="N2017" s="17">
        <v>44</v>
      </c>
      <c r="O2017" s="18">
        <v>3575</v>
      </c>
      <c r="P2017" s="18">
        <v>3687</v>
      </c>
      <c r="Q2017" t="s" s="16">
        <f>HYPERLINK("http://secrets.rutgers.edu:8080/data/asl-ftp/asllvd/demos/verify_start_end_handshape_annotations//test_auto_move//signs_mov/5011.mov","MOV")</f>
        <v>21</v>
      </c>
      <c r="R2017" t="s" s="16">
        <f>HYPERLINK("http://secrets.rutgers.edu:8080/data/asl-ftp/asllvd/demos/verify_start_end_handshape_annotations//test_auto_move//signs_mov_separ_signers/Tyler_5011.mov","MOV")</f>
        <v>21</v>
      </c>
    </row>
    <row r="2018" s="2" customFormat="1" ht="13.5" customHeight="1">
      <c r="B2018" t="s" s="8">
        <v>721</v>
      </c>
      <c r="C2018" t="s" s="9">
        <v>14</v>
      </c>
      <c r="D2018" t="s" s="8">
        <v>14</v>
      </c>
      <c r="E2018" t="s" s="9">
        <v>14</v>
      </c>
      <c r="F2018" t="s" s="10">
        <v>14</v>
      </c>
      <c r="G2018" t="s" s="11">
        <v>14</v>
      </c>
      <c r="H2018" t="s" s="10">
        <v>14</v>
      </c>
      <c r="I2018" t="s" s="11">
        <v>14</v>
      </c>
      <c r="J2018" t="s" s="11">
        <v>14</v>
      </c>
      <c r="K2018" t="s" s="12">
        <v>14</v>
      </c>
      <c r="L2018" t="s" s="12">
        <v>14</v>
      </c>
      <c r="M2018" t="s" s="10">
        <v>14</v>
      </c>
      <c r="N2018" t="s" s="11">
        <v>14</v>
      </c>
      <c r="O2018" t="s" s="8">
        <v>14</v>
      </c>
      <c r="P2018" t="s" s="8">
        <v>14</v>
      </c>
      <c r="Q2018" t="s" s="12">
        <v>14</v>
      </c>
      <c r="R2018" t="s" s="12">
        <v>14</v>
      </c>
    </row>
    <row r="2019" s="2" customFormat="1" ht="13.5" customHeight="1">
      <c r="B2019" s="13"/>
      <c r="C2019" t="s" s="9">
        <v>30</v>
      </c>
      <c r="D2019" t="s" s="8">
        <v>721</v>
      </c>
      <c r="E2019" t="s" s="9">
        <v>721</v>
      </c>
      <c r="F2019" t="s" s="10">
        <v>185</v>
      </c>
      <c r="G2019" s="14"/>
      <c r="H2019" t="s" s="10">
        <v>68</v>
      </c>
      <c r="I2019" s="14"/>
      <c r="J2019" t="s" s="11">
        <v>20</v>
      </c>
      <c r="K2019" t="s" s="16">
        <f>HYPERLINK("http://csr.bu.edu/ftp/asl/asllvd/demos/verify_start_end_handshape_annotations//test_auto_move//signs_mov/5994.mov","MOV")</f>
        <v>21</v>
      </c>
      <c r="L2019" t="s" s="16">
        <f>HYPERLINK("http://csr.bu.edu/ftp/asl/asllvd/demos/verify_start_end_handshape_annotations//test_auto_move//signs_mov_separ_signers/Brady_5994.mov","MOV")</f>
        <v>21</v>
      </c>
      <c r="M2019" t="s" s="10">
        <v>31</v>
      </c>
      <c r="N2019" s="17">
        <v>27</v>
      </c>
      <c r="O2019" s="18">
        <v>1666</v>
      </c>
      <c r="P2019" s="18">
        <v>1709</v>
      </c>
      <c r="Q2019" t="s" s="16">
        <f>HYPERLINK("http://secrets.rutgers.edu:8080/data/asl-ftp/asllvd/demos/verify_start_end_handshape_annotations//test_auto_move//signs_mov/5994.mov","MOV")</f>
        <v>21</v>
      </c>
      <c r="R2019" t="s" s="16">
        <f>HYPERLINK("http://secrets.rutgers.edu:8080/data/asl-ftp/asllvd/demos/verify_start_end_handshape_annotations//test_auto_move//signs_mov_separ_signers/Brady_5994.mov","MOV")</f>
        <v>21</v>
      </c>
    </row>
    <row r="2020" s="2" customFormat="1" ht="13.5" customHeight="1">
      <c r="B2020" t="s" s="8">
        <v>722</v>
      </c>
      <c r="C2020" t="s" s="9">
        <v>14</v>
      </c>
      <c r="D2020" t="s" s="8">
        <v>14</v>
      </c>
      <c r="E2020" t="s" s="9">
        <v>14</v>
      </c>
      <c r="F2020" t="s" s="10">
        <v>14</v>
      </c>
      <c r="G2020" t="s" s="11">
        <v>14</v>
      </c>
      <c r="H2020" t="s" s="10">
        <v>14</v>
      </c>
      <c r="I2020" t="s" s="11">
        <v>14</v>
      </c>
      <c r="J2020" t="s" s="11">
        <v>14</v>
      </c>
      <c r="K2020" t="s" s="12">
        <v>14</v>
      </c>
      <c r="L2020" t="s" s="12">
        <v>14</v>
      </c>
      <c r="M2020" t="s" s="10">
        <v>14</v>
      </c>
      <c r="N2020" t="s" s="11">
        <v>14</v>
      </c>
      <c r="O2020" t="s" s="8">
        <v>14</v>
      </c>
      <c r="P2020" t="s" s="8">
        <v>14</v>
      </c>
      <c r="Q2020" t="s" s="12">
        <v>14</v>
      </c>
      <c r="R2020" t="s" s="12">
        <v>14</v>
      </c>
    </row>
    <row r="2021" s="2" customFormat="1" ht="13.5" customHeight="1">
      <c r="B2021" s="13"/>
      <c r="C2021" t="s" s="9">
        <v>16</v>
      </c>
      <c r="D2021" t="s" s="8">
        <v>722</v>
      </c>
      <c r="E2021" t="s" s="9">
        <v>723</v>
      </c>
      <c r="F2021" t="s" s="10">
        <v>18</v>
      </c>
      <c r="G2021" t="s" s="11">
        <v>18</v>
      </c>
      <c r="H2021" t="s" s="10">
        <v>18</v>
      </c>
      <c r="I2021" t="s" s="11">
        <v>18</v>
      </c>
      <c r="J2021" t="s" s="11">
        <v>20</v>
      </c>
      <c r="K2021" s="15"/>
      <c r="L2021" t="s" s="16">
        <f>HYPERLINK("http://csr.bu.edu/ftp/asl/asllvd/demos/verify_start_end_handshape_annotations//test_auto_move//signs_mov_separ_signers/Liz_433.mov","MOV")</f>
        <v>21</v>
      </c>
      <c r="M2021" t="s" s="10">
        <v>22</v>
      </c>
      <c r="N2021" s="17">
        <v>72</v>
      </c>
      <c r="O2021" s="18">
        <v>1590</v>
      </c>
      <c r="P2021" s="18">
        <v>1635</v>
      </c>
      <c r="Q2021" s="15"/>
      <c r="R2021" t="s" s="16">
        <f>HYPERLINK("http://secrets.rutgers.edu:8080/data/asl-ftp/asllvd/demos/verify_start_end_handshape_annotations//test_auto_move//signs_mov_separ_signers/Liz_433.mov","MOV")</f>
        <v>21</v>
      </c>
    </row>
    <row r="2022" s="2" customFormat="1" ht="13.5" customHeight="1">
      <c r="B2022" s="13"/>
      <c r="C2022" t="s" s="9">
        <v>23</v>
      </c>
      <c r="D2022" t="s" s="8">
        <v>722</v>
      </c>
      <c r="E2022" t="s" s="9">
        <v>723</v>
      </c>
      <c r="F2022" t="s" s="10">
        <v>18</v>
      </c>
      <c r="G2022" t="s" s="11">
        <v>18</v>
      </c>
      <c r="H2022" t="s" s="10">
        <v>18</v>
      </c>
      <c r="I2022" t="s" s="11">
        <v>18</v>
      </c>
      <c r="J2022" t="s" s="11">
        <v>20</v>
      </c>
      <c r="K2022" t="s" s="16">
        <f>HYPERLINK("http://csr.bu.edu/ftp/asl/asllvd/demos/verify_start_end_handshape_annotations//test_auto_move//signs_mov/433.mov","MOV")</f>
        <v>21</v>
      </c>
      <c r="L2022" t="s" s="16">
        <f>HYPERLINK("http://csr.bu.edu/ftp/asl/asllvd/demos/verify_start_end_handshape_annotations//test_auto_move//signs_mov_separ_signers/Tyler_433.mov","MOV")</f>
        <v>21</v>
      </c>
      <c r="M2022" t="s" s="10">
        <v>26</v>
      </c>
      <c r="N2022" s="17">
        <v>44</v>
      </c>
      <c r="O2022" s="18">
        <v>3925</v>
      </c>
      <c r="P2022" s="18">
        <v>3980</v>
      </c>
      <c r="Q2022" t="s" s="16">
        <f>HYPERLINK("http://secrets.rutgers.edu:8080/data/asl-ftp/asllvd/demos/verify_start_end_handshape_annotations//test_auto_move//signs_mov/433.mov","MOV")</f>
        <v>21</v>
      </c>
      <c r="R2022" t="s" s="16">
        <f>HYPERLINK("http://secrets.rutgers.edu:8080/data/asl-ftp/asllvd/demos/verify_start_end_handshape_annotations//test_auto_move//signs_mov_separ_signers/Tyler_433.mov","MOV")</f>
        <v>21</v>
      </c>
    </row>
    <row r="2023" s="2" customFormat="1" ht="13.5" customHeight="1">
      <c r="B2023" s="13"/>
      <c r="C2023" t="s" s="9">
        <v>43</v>
      </c>
      <c r="D2023" t="s" s="8">
        <v>722</v>
      </c>
      <c r="E2023" t="s" s="9">
        <v>722</v>
      </c>
      <c r="F2023" t="s" s="10">
        <v>349</v>
      </c>
      <c r="G2023" t="s" s="11">
        <v>349</v>
      </c>
      <c r="H2023" t="s" s="10">
        <v>349</v>
      </c>
      <c r="I2023" t="s" s="11">
        <v>349</v>
      </c>
      <c r="J2023" t="s" s="11">
        <v>20</v>
      </c>
      <c r="K2023" s="15"/>
      <c r="L2023" t="s" s="16">
        <f>HYPERLINK("http://csr.bu.edu/ftp/asl/asllvd/demos/verify_start_end_handshape_annotations//test_auto_move//signs_mov_separ_signers/Dana_433.mov","MOV")</f>
        <v>21</v>
      </c>
      <c r="M2023" t="s" s="10">
        <v>44</v>
      </c>
      <c r="N2023" s="17">
        <v>9</v>
      </c>
      <c r="O2023" s="18">
        <v>864</v>
      </c>
      <c r="P2023" s="18">
        <v>890</v>
      </c>
      <c r="Q2023" s="15"/>
      <c r="R2023" t="s" s="16">
        <f>HYPERLINK("http://secrets.rutgers.edu:8080/data/asl-ftp/asllvd/demos/verify_start_end_handshape_annotations//test_auto_move//signs_mov_separ_signers/Dana_433.mov","MOV")</f>
        <v>21</v>
      </c>
    </row>
    <row r="2024" s="2" customFormat="1" ht="13.5" customHeight="1">
      <c r="B2024" t="s" s="8">
        <v>724</v>
      </c>
      <c r="C2024" t="s" s="9">
        <v>14</v>
      </c>
      <c r="D2024" t="s" s="8">
        <v>14</v>
      </c>
      <c r="E2024" t="s" s="9">
        <v>14</v>
      </c>
      <c r="F2024" t="s" s="10">
        <v>14</v>
      </c>
      <c r="G2024" t="s" s="11">
        <v>14</v>
      </c>
      <c r="H2024" t="s" s="10">
        <v>14</v>
      </c>
      <c r="I2024" t="s" s="11">
        <v>14</v>
      </c>
      <c r="J2024" t="s" s="11">
        <v>14</v>
      </c>
      <c r="K2024" t="s" s="12">
        <v>14</v>
      </c>
      <c r="L2024" t="s" s="12">
        <v>14</v>
      </c>
      <c r="M2024" t="s" s="10">
        <v>14</v>
      </c>
      <c r="N2024" t="s" s="11">
        <v>14</v>
      </c>
      <c r="O2024" t="s" s="8">
        <v>14</v>
      </c>
      <c r="P2024" t="s" s="8">
        <v>14</v>
      </c>
      <c r="Q2024" t="s" s="12">
        <v>14</v>
      </c>
      <c r="R2024" t="s" s="12">
        <v>14</v>
      </c>
    </row>
    <row r="2025" s="2" customFormat="1" ht="13.5" customHeight="1">
      <c r="B2025" s="13"/>
      <c r="C2025" t="s" s="9">
        <v>16</v>
      </c>
      <c r="D2025" t="s" s="8">
        <v>724</v>
      </c>
      <c r="E2025" t="s" s="9">
        <v>724</v>
      </c>
      <c r="F2025" t="s" s="10">
        <v>25</v>
      </c>
      <c r="G2025" t="s" s="11">
        <v>25</v>
      </c>
      <c r="H2025" t="s" s="10">
        <v>28</v>
      </c>
      <c r="I2025" t="s" s="11">
        <v>28</v>
      </c>
      <c r="J2025" t="s" s="11">
        <v>20</v>
      </c>
      <c r="K2025" s="15"/>
      <c r="L2025" t="s" s="16">
        <f>HYPERLINK("http://csr.bu.edu/ftp/asl/asllvd/demos/verify_start_end_handshape_annotations//test_auto_move//signs_mov_separ_signers/Liz_15150.mov","MOV")</f>
        <v>21</v>
      </c>
      <c r="M2025" t="s" s="10">
        <v>22</v>
      </c>
      <c r="N2025" s="17">
        <v>72</v>
      </c>
      <c r="O2025" s="18">
        <v>720</v>
      </c>
      <c r="P2025" s="18">
        <v>751</v>
      </c>
      <c r="Q2025" s="15"/>
      <c r="R2025" t="s" s="16">
        <f>HYPERLINK("http://secrets.rutgers.edu:8080/data/asl-ftp/asllvd/demos/verify_start_end_handshape_annotations//test_auto_move//signs_mov_separ_signers/Liz_15150.mov","MOV")</f>
        <v>21</v>
      </c>
    </row>
    <row r="2026" s="2" customFormat="1" ht="13.5" customHeight="1">
      <c r="B2026" s="13"/>
      <c r="C2026" t="s" s="9">
        <v>16</v>
      </c>
      <c r="D2026" t="s" s="8">
        <v>724</v>
      </c>
      <c r="E2026" t="s" s="9">
        <v>724</v>
      </c>
      <c r="F2026" t="s" s="10">
        <v>25</v>
      </c>
      <c r="G2026" t="s" s="11">
        <v>25</v>
      </c>
      <c r="H2026" t="s" s="10">
        <v>28</v>
      </c>
      <c r="I2026" t="s" s="11">
        <v>28</v>
      </c>
      <c r="J2026" t="s" s="11">
        <v>20</v>
      </c>
      <c r="K2026" s="15"/>
      <c r="L2026" t="s" s="16">
        <f>HYPERLINK("http://csr.bu.edu/ftp/asl/asllvd/demos/verify_start_end_handshape_annotations//test_auto_move//signs_mov_separ_signers/Liz_15282.mov","MOV")</f>
        <v>21</v>
      </c>
      <c r="M2026" t="s" s="10">
        <v>36</v>
      </c>
      <c r="N2026" s="17">
        <v>31</v>
      </c>
      <c r="O2026" s="18">
        <v>1767</v>
      </c>
      <c r="P2026" s="18">
        <v>1819</v>
      </c>
      <c r="Q2026" s="15"/>
      <c r="R2026" t="s" s="16">
        <f>HYPERLINK("http://secrets.rutgers.edu:8080/data/asl-ftp/asllvd/demos/verify_start_end_handshape_annotations//test_auto_move//signs_mov_separ_signers/Liz_15282.mov","MOV")</f>
        <v>21</v>
      </c>
    </row>
    <row r="2027" s="2" customFormat="1" ht="13.5" customHeight="1">
      <c r="B2027" s="13"/>
      <c r="C2027" t="s" s="9">
        <v>23</v>
      </c>
      <c r="D2027" t="s" s="8">
        <v>724</v>
      </c>
      <c r="E2027" t="s" s="9">
        <v>724</v>
      </c>
      <c r="F2027" t="s" s="10">
        <v>18</v>
      </c>
      <c r="G2027" t="s" s="11">
        <v>18</v>
      </c>
      <c r="H2027" t="s" s="10">
        <v>28</v>
      </c>
      <c r="I2027" t="s" s="11">
        <v>28</v>
      </c>
      <c r="J2027" t="s" s="11">
        <v>20</v>
      </c>
      <c r="K2027" t="s" s="16">
        <f>HYPERLINK("http://csr.bu.edu/ftp/asl/asllvd/demos/verify_start_end_handshape_annotations//test_auto_move//signs_mov/15150_15282_merged.mov","MOV")</f>
        <v>21</v>
      </c>
      <c r="L2027" t="s" s="16">
        <f>HYPERLINK("http://csr.bu.edu/ftp/asl/asllvd/demos/verify_start_end_handshape_annotations//test_auto_move//signs_mov_separ_signers/Tyler_15150.mov","MOV")</f>
        <v>21</v>
      </c>
      <c r="M2027" t="s" s="10">
        <v>26</v>
      </c>
      <c r="N2027" s="17">
        <v>44</v>
      </c>
      <c r="O2027" s="18">
        <v>2940</v>
      </c>
      <c r="P2027" s="18">
        <v>2965</v>
      </c>
      <c r="Q2027" t="s" s="16">
        <f>HYPERLINK("http://secrets.rutgers.edu:8080/data/asl-ftp/asllvd/demos/verify_start_end_handshape_annotations//test_auto_move//signs_mov/15150_15282_merged.mov","MOV")</f>
        <v>21</v>
      </c>
      <c r="R2027" t="s" s="16">
        <f>HYPERLINK("http://secrets.rutgers.edu:8080/data/asl-ftp/asllvd/demos/verify_start_end_handshape_annotations//test_auto_move//signs_mov_separ_signers/Tyler_15150.mov","MOV")</f>
        <v>21</v>
      </c>
    </row>
    <row r="2028" s="2" customFormat="1" ht="13.5" customHeight="1">
      <c r="B2028" s="13"/>
      <c r="C2028" t="s" s="9">
        <v>27</v>
      </c>
      <c r="D2028" t="s" s="8">
        <v>724</v>
      </c>
      <c r="E2028" t="s" s="9">
        <v>724</v>
      </c>
      <c r="F2028" t="s" s="10">
        <v>25</v>
      </c>
      <c r="G2028" t="s" s="11">
        <v>25</v>
      </c>
      <c r="H2028" t="s" s="10">
        <v>28</v>
      </c>
      <c r="I2028" t="s" s="11">
        <v>28</v>
      </c>
      <c r="J2028" t="s" s="11">
        <v>20</v>
      </c>
      <c r="K2028" s="15"/>
      <c r="L2028" t="s" s="16">
        <f>HYPERLINK("http://csr.bu.edu/ftp/asl/asllvd/demos/verify_start_end_handshape_annotations//test_auto_move//signs_mov_separ_signers/Naomi_15150.mov","MOV")</f>
        <v>21</v>
      </c>
      <c r="M2028" t="s" s="10">
        <v>29</v>
      </c>
      <c r="N2028" s="17">
        <v>45</v>
      </c>
      <c r="O2028" s="18">
        <v>3840</v>
      </c>
      <c r="P2028" s="18">
        <v>3866</v>
      </c>
      <c r="Q2028" s="15"/>
      <c r="R2028" t="s" s="16">
        <f>HYPERLINK("http://secrets.rutgers.edu:8080/data/asl-ftp/asllvd/demos/verify_start_end_handshape_annotations//test_auto_move//signs_mov_separ_signers/Naomi_15150.mov","MOV")</f>
        <v>21</v>
      </c>
    </row>
    <row r="2029" s="2" customFormat="1" ht="13.5" customHeight="1">
      <c r="B2029" s="13"/>
      <c r="C2029" t="s" s="9">
        <v>30</v>
      </c>
      <c r="D2029" t="s" s="8">
        <v>724</v>
      </c>
      <c r="E2029" t="s" s="9">
        <v>724</v>
      </c>
      <c r="F2029" t="s" s="10">
        <v>25</v>
      </c>
      <c r="G2029" t="s" s="11">
        <v>25</v>
      </c>
      <c r="H2029" t="s" s="10">
        <v>28</v>
      </c>
      <c r="I2029" t="s" s="11">
        <v>28</v>
      </c>
      <c r="J2029" t="s" s="11">
        <v>20</v>
      </c>
      <c r="K2029" s="15"/>
      <c r="L2029" t="s" s="16">
        <f>HYPERLINK("http://csr.bu.edu/ftp/asl/asllvd/demos/verify_start_end_handshape_annotations//test_auto_move//signs_mov_separ_signers/Brady_15150.mov","MOV")</f>
        <v>21</v>
      </c>
      <c r="M2029" t="s" s="10">
        <v>31</v>
      </c>
      <c r="N2029" s="17">
        <v>27</v>
      </c>
      <c r="O2029" s="18">
        <v>383</v>
      </c>
      <c r="P2029" s="18">
        <v>411</v>
      </c>
      <c r="Q2029" s="15"/>
      <c r="R2029" t="s" s="16">
        <f>HYPERLINK("http://secrets.rutgers.edu:8080/data/asl-ftp/asllvd/demos/verify_start_end_handshape_annotations//test_auto_move//signs_mov_separ_signers/Brady_15150.mov","MOV")</f>
        <v>21</v>
      </c>
    </row>
    <row r="2030" s="2" customFormat="1" ht="13.5" customHeight="1">
      <c r="B2030" t="s" s="8">
        <v>725</v>
      </c>
      <c r="C2030" t="s" s="9">
        <v>14</v>
      </c>
      <c r="D2030" t="s" s="8">
        <v>14</v>
      </c>
      <c r="E2030" t="s" s="9">
        <v>14</v>
      </c>
      <c r="F2030" t="s" s="10">
        <v>14</v>
      </c>
      <c r="G2030" t="s" s="11">
        <v>14</v>
      </c>
      <c r="H2030" t="s" s="10">
        <v>14</v>
      </c>
      <c r="I2030" t="s" s="11">
        <v>14</v>
      </c>
      <c r="J2030" t="s" s="11">
        <v>14</v>
      </c>
      <c r="K2030" t="s" s="12">
        <v>14</v>
      </c>
      <c r="L2030" t="s" s="12">
        <v>14</v>
      </c>
      <c r="M2030" t="s" s="10">
        <v>14</v>
      </c>
      <c r="N2030" t="s" s="11">
        <v>14</v>
      </c>
      <c r="O2030" t="s" s="8">
        <v>14</v>
      </c>
      <c r="P2030" t="s" s="8">
        <v>14</v>
      </c>
      <c r="Q2030" t="s" s="12">
        <v>14</v>
      </c>
      <c r="R2030" t="s" s="12">
        <v>14</v>
      </c>
    </row>
    <row r="2031" s="2" customFormat="1" ht="13.5" customHeight="1">
      <c r="B2031" s="13"/>
      <c r="C2031" t="s" s="9">
        <v>16</v>
      </c>
      <c r="D2031" t="s" s="8">
        <v>725</v>
      </c>
      <c r="E2031" t="s" s="9">
        <v>726</v>
      </c>
      <c r="F2031" t="s" s="10">
        <v>349</v>
      </c>
      <c r="G2031" t="s" s="11">
        <v>349</v>
      </c>
      <c r="H2031" t="s" s="10">
        <v>28</v>
      </c>
      <c r="I2031" t="s" s="11">
        <v>28</v>
      </c>
      <c r="J2031" t="s" s="11">
        <v>20</v>
      </c>
      <c r="K2031" t="s" s="16">
        <f>HYPERLINK("http://csr.bu.edu/ftp/asl/asllvd/demos/verify_start_end_handshape_annotations//test_auto_move//signs_mov/15339.mov","MOV")</f>
        <v>21</v>
      </c>
      <c r="L2031" t="s" s="16">
        <f>HYPERLINK("http://csr.bu.edu/ftp/asl/asllvd/demos/verify_start_end_handshape_annotations//test_auto_move//signs_mov_separ_signers/Liz_15339.mov","MOV")</f>
        <v>21</v>
      </c>
      <c r="M2031" t="s" s="10">
        <v>22</v>
      </c>
      <c r="N2031" s="17">
        <v>35</v>
      </c>
      <c r="O2031" s="18">
        <v>1006</v>
      </c>
      <c r="P2031" s="18">
        <v>1050</v>
      </c>
      <c r="Q2031" t="s" s="16">
        <f>HYPERLINK("http://secrets.rutgers.edu:8080/data/asl-ftp/asllvd/demos/verify_start_end_handshape_annotations//test_auto_move//signs_mov/15339.mov","MOV")</f>
        <v>21</v>
      </c>
      <c r="R2031" t="s" s="16">
        <f>HYPERLINK("http://secrets.rutgers.edu:8080/data/asl-ftp/asllvd/demos/verify_start_end_handshape_annotations//test_auto_move//signs_mov_separ_signers/Liz_15339.mov","MOV")</f>
        <v>21</v>
      </c>
    </row>
    <row r="2032" s="2" customFormat="1" ht="13.5" customHeight="1">
      <c r="B2032" s="13"/>
      <c r="C2032" t="s" s="9">
        <v>41</v>
      </c>
      <c r="D2032" t="s" s="8">
        <v>725</v>
      </c>
      <c r="E2032" t="s" s="9">
        <v>725</v>
      </c>
      <c r="F2032" t="s" s="10">
        <v>25</v>
      </c>
      <c r="G2032" t="s" s="11">
        <v>25</v>
      </c>
      <c r="H2032" t="s" s="10">
        <v>28</v>
      </c>
      <c r="I2032" t="s" s="11">
        <v>28</v>
      </c>
      <c r="J2032" t="s" s="11">
        <v>20</v>
      </c>
      <c r="K2032" s="15"/>
      <c r="L2032" t="s" s="16">
        <f>HYPERLINK("http://csr.bu.edu/ftp/asl/asllvd/demos/verify_start_end_handshape_annotations//test_auto_move//signs_mov_separ_signers/Lana_15339.mov","MOV")</f>
        <v>21</v>
      </c>
      <c r="M2032" t="s" s="10">
        <v>42</v>
      </c>
      <c r="N2032" s="17">
        <v>5</v>
      </c>
      <c r="O2032" s="18">
        <v>760</v>
      </c>
      <c r="P2032" s="18">
        <v>775</v>
      </c>
      <c r="Q2032" s="15"/>
      <c r="R2032" t="s" s="16">
        <f>HYPERLINK("http://secrets.rutgers.edu:8080/data/asl-ftp/asllvd/demos/verify_start_end_handshape_annotations//test_auto_move//signs_mov_separ_signers/Lana_15339.mov","MOV")</f>
        <v>21</v>
      </c>
    </row>
    <row r="2033" s="2" customFormat="1" ht="13.5" customHeight="1">
      <c r="B2033" t="s" s="8">
        <v>727</v>
      </c>
      <c r="C2033" t="s" s="9">
        <v>14</v>
      </c>
      <c r="D2033" t="s" s="8">
        <v>14</v>
      </c>
      <c r="E2033" t="s" s="9">
        <v>14</v>
      </c>
      <c r="F2033" t="s" s="10">
        <v>14</v>
      </c>
      <c r="G2033" t="s" s="11">
        <v>14</v>
      </c>
      <c r="H2033" t="s" s="10">
        <v>14</v>
      </c>
      <c r="I2033" t="s" s="11">
        <v>14</v>
      </c>
      <c r="J2033" t="s" s="11">
        <v>14</v>
      </c>
      <c r="K2033" t="s" s="12">
        <v>14</v>
      </c>
      <c r="L2033" t="s" s="12">
        <v>14</v>
      </c>
      <c r="M2033" t="s" s="10">
        <v>14</v>
      </c>
      <c r="N2033" t="s" s="11">
        <v>14</v>
      </c>
      <c r="O2033" t="s" s="8">
        <v>14</v>
      </c>
      <c r="P2033" t="s" s="8">
        <v>14</v>
      </c>
      <c r="Q2033" t="s" s="12">
        <v>14</v>
      </c>
      <c r="R2033" t="s" s="12">
        <v>14</v>
      </c>
    </row>
    <row r="2034" s="2" customFormat="1" ht="13.5" customHeight="1">
      <c r="B2034" s="13"/>
      <c r="C2034" t="s" s="9">
        <v>16</v>
      </c>
      <c r="D2034" t="s" s="8">
        <v>727</v>
      </c>
      <c r="E2034" t="s" s="9">
        <v>728</v>
      </c>
      <c r="F2034" s="19">
        <v>5</v>
      </c>
      <c r="G2034" s="17">
        <v>5</v>
      </c>
      <c r="H2034" s="19">
        <v>5</v>
      </c>
      <c r="I2034" s="17">
        <v>5</v>
      </c>
      <c r="J2034" t="s" s="11">
        <v>20</v>
      </c>
      <c r="K2034" s="15"/>
      <c r="L2034" t="s" s="16">
        <f>HYPERLINK("http://csr.bu.edu/ftp/asl/asllvd/demos/verify_start_end_handshape_annotations//test_auto_move//signs_mov_separ_signers/Liz_435.mov","MOV")</f>
        <v>21</v>
      </c>
      <c r="M2034" t="s" s="10">
        <v>22</v>
      </c>
      <c r="N2034" s="17">
        <v>73</v>
      </c>
      <c r="O2034" s="18">
        <v>440</v>
      </c>
      <c r="P2034" s="18">
        <v>475</v>
      </c>
      <c r="Q2034" s="15"/>
      <c r="R2034" t="s" s="16">
        <f>HYPERLINK("http://secrets.rutgers.edu:8080/data/asl-ftp/asllvd/demos/verify_start_end_handshape_annotations//test_auto_move//signs_mov_separ_signers/Liz_435.mov","MOV")</f>
        <v>21</v>
      </c>
    </row>
    <row r="2035" s="2" customFormat="1" ht="13.5" customHeight="1">
      <c r="B2035" s="13"/>
      <c r="C2035" t="s" s="9">
        <v>23</v>
      </c>
      <c r="D2035" t="s" s="8">
        <v>727</v>
      </c>
      <c r="E2035" t="s" s="9">
        <v>729</v>
      </c>
      <c r="F2035" t="s" s="10">
        <v>72</v>
      </c>
      <c r="G2035" s="17">
        <v>5</v>
      </c>
      <c r="H2035" t="s" s="10">
        <v>72</v>
      </c>
      <c r="I2035" s="17">
        <v>5</v>
      </c>
      <c r="J2035" t="s" s="11">
        <v>20</v>
      </c>
      <c r="K2035" s="15"/>
      <c r="L2035" t="s" s="16">
        <f>HYPERLINK("http://csr.bu.edu/ftp/asl/asllvd/demos/verify_start_end_handshape_annotations//test_auto_move//signs_mov_separ_signers/Tyler_435.mov","MOV")</f>
        <v>21</v>
      </c>
      <c r="M2035" t="s" s="10">
        <v>26</v>
      </c>
      <c r="N2035" s="17">
        <v>44</v>
      </c>
      <c r="O2035" s="18">
        <v>4610</v>
      </c>
      <c r="P2035" s="18">
        <v>4670</v>
      </c>
      <c r="Q2035" s="15"/>
      <c r="R2035" t="s" s="16">
        <f>HYPERLINK("http://secrets.rutgers.edu:8080/data/asl-ftp/asllvd/demos/verify_start_end_handshape_annotations//test_auto_move//signs_mov_separ_signers/Tyler_435.mov","MOV")</f>
        <v>21</v>
      </c>
    </row>
    <row r="2036" s="2" customFormat="1" ht="13.5" customHeight="1">
      <c r="B2036" s="13"/>
      <c r="C2036" t="s" s="9">
        <v>27</v>
      </c>
      <c r="D2036" t="s" s="8">
        <v>727</v>
      </c>
      <c r="E2036" t="s" s="9">
        <v>729</v>
      </c>
      <c r="F2036" t="s" s="10">
        <v>72</v>
      </c>
      <c r="G2036" s="17">
        <v>5</v>
      </c>
      <c r="H2036" t="s" s="10">
        <v>72</v>
      </c>
      <c r="I2036" s="17">
        <v>5</v>
      </c>
      <c r="J2036" t="s" s="11">
        <v>20</v>
      </c>
      <c r="K2036" t="s" s="16">
        <f>HYPERLINK("http://csr.bu.edu/ftp/asl/asllvd/demos/verify_start_end_handshape_annotations//test_auto_move//signs_mov/435.mov","MOV")</f>
        <v>21</v>
      </c>
      <c r="L2036" t="s" s="16">
        <f>HYPERLINK("http://csr.bu.edu/ftp/asl/asllvd/demos/verify_start_end_handshape_annotations//test_auto_move//signs_mov_separ_signers/Naomi_435.mov","MOV")</f>
        <v>21</v>
      </c>
      <c r="M2036" t="s" s="10">
        <v>29</v>
      </c>
      <c r="N2036" s="17">
        <v>46</v>
      </c>
      <c r="O2036" s="18">
        <v>2775</v>
      </c>
      <c r="P2036" s="18">
        <v>2806</v>
      </c>
      <c r="Q2036" t="s" s="16">
        <f>HYPERLINK("http://secrets.rutgers.edu:8080/data/asl-ftp/asllvd/demos/verify_start_end_handshape_annotations//test_auto_move//signs_mov/435.mov","MOV")</f>
        <v>21</v>
      </c>
      <c r="R2036" t="s" s="16">
        <f>HYPERLINK("http://secrets.rutgers.edu:8080/data/asl-ftp/asllvd/demos/verify_start_end_handshape_annotations//test_auto_move//signs_mov_separ_signers/Naomi_435.mov","MOV")</f>
        <v>21</v>
      </c>
    </row>
    <row r="2037" s="2" customFormat="1" ht="13.5" customHeight="1">
      <c r="B2037" s="13"/>
      <c r="C2037" t="s" s="9">
        <v>30</v>
      </c>
      <c r="D2037" t="s" s="8">
        <v>727</v>
      </c>
      <c r="E2037" t="s" s="9">
        <v>729</v>
      </c>
      <c r="F2037" s="19">
        <v>5</v>
      </c>
      <c r="G2037" s="17">
        <v>5</v>
      </c>
      <c r="H2037" s="19">
        <v>5</v>
      </c>
      <c r="I2037" s="17">
        <v>5</v>
      </c>
      <c r="J2037" t="s" s="11">
        <v>20</v>
      </c>
      <c r="K2037" s="15"/>
      <c r="L2037" t="s" s="16">
        <f>HYPERLINK("http://csr.bu.edu/ftp/asl/asllvd/demos/verify_start_end_handshape_annotations//test_auto_move//signs_mov_separ_signers/Brady_435.mov","MOV")</f>
        <v>21</v>
      </c>
      <c r="M2037" t="s" s="10">
        <v>31</v>
      </c>
      <c r="N2037" s="17">
        <v>27</v>
      </c>
      <c r="O2037" s="18">
        <v>3364</v>
      </c>
      <c r="P2037" s="18">
        <v>3401</v>
      </c>
      <c r="Q2037" s="15"/>
      <c r="R2037" t="s" s="16">
        <f>HYPERLINK("http://secrets.rutgers.edu:8080/data/asl-ftp/asllvd/demos/verify_start_end_handshape_annotations//test_auto_move//signs_mov_separ_signers/Brady_435.mov","MOV")</f>
        <v>21</v>
      </c>
    </row>
    <row r="2038" s="2" customFormat="1" ht="13.5" customHeight="1">
      <c r="B2038" s="13"/>
      <c r="C2038" t="s" s="9">
        <v>41</v>
      </c>
      <c r="D2038" t="s" s="8">
        <v>727</v>
      </c>
      <c r="E2038" t="s" s="9">
        <v>729</v>
      </c>
      <c r="F2038" s="19">
        <v>5</v>
      </c>
      <c r="G2038" s="17">
        <v>5</v>
      </c>
      <c r="H2038" s="19">
        <v>5</v>
      </c>
      <c r="I2038" s="17">
        <v>5</v>
      </c>
      <c r="J2038" t="s" s="11">
        <v>20</v>
      </c>
      <c r="K2038" s="15"/>
      <c r="L2038" t="s" s="16">
        <f>HYPERLINK("http://csr.bu.edu/ftp/asl/asllvd/demos/verify_start_end_handshape_annotations//test_auto_move//signs_mov_separ_signers/Lana_435.mov","MOV")</f>
        <v>21</v>
      </c>
      <c r="M2038" t="s" s="10">
        <v>42</v>
      </c>
      <c r="N2038" s="17">
        <v>5</v>
      </c>
      <c r="O2038" s="18">
        <v>890</v>
      </c>
      <c r="P2038" s="18">
        <v>926</v>
      </c>
      <c r="Q2038" s="15"/>
      <c r="R2038" t="s" s="16">
        <f>HYPERLINK("http://secrets.rutgers.edu:8080/data/asl-ftp/asllvd/demos/verify_start_end_handshape_annotations//test_auto_move//signs_mov_separ_signers/Lana_435.mov","MOV")</f>
        <v>21</v>
      </c>
    </row>
    <row r="2039" s="2" customFormat="1" ht="13.5" customHeight="1">
      <c r="B2039" s="13"/>
      <c r="C2039" t="s" s="9">
        <v>43</v>
      </c>
      <c r="D2039" t="s" s="8">
        <v>727</v>
      </c>
      <c r="E2039" t="s" s="9">
        <v>729</v>
      </c>
      <c r="F2039" s="19">
        <v>5</v>
      </c>
      <c r="G2039" t="s" s="11">
        <v>73</v>
      </c>
      <c r="H2039" s="19">
        <v>5</v>
      </c>
      <c r="I2039" t="s" s="11">
        <v>73</v>
      </c>
      <c r="J2039" t="s" s="11">
        <v>20</v>
      </c>
      <c r="K2039" s="15"/>
      <c r="L2039" t="s" s="16">
        <f>HYPERLINK("http://csr.bu.edu/ftp/asl/asllvd/demos/verify_start_end_handshape_annotations//test_auto_move//signs_mov_separ_signers/Dana_435.mov","MOV")</f>
        <v>21</v>
      </c>
      <c r="M2039" t="s" s="10">
        <v>44</v>
      </c>
      <c r="N2039" s="17">
        <v>9</v>
      </c>
      <c r="O2039" s="18">
        <v>987</v>
      </c>
      <c r="P2039" s="18">
        <v>1037</v>
      </c>
      <c r="Q2039" s="15"/>
      <c r="R2039" t="s" s="16">
        <f>HYPERLINK("http://secrets.rutgers.edu:8080/data/asl-ftp/asllvd/demos/verify_start_end_handshape_annotations//test_auto_move//signs_mov_separ_signers/Dana_435.mov","MOV")</f>
        <v>21</v>
      </c>
    </row>
    <row r="2040" s="2" customFormat="1" ht="13.5" customHeight="1">
      <c r="B2040" t="s" s="8">
        <v>730</v>
      </c>
      <c r="C2040" t="s" s="9">
        <v>14</v>
      </c>
      <c r="D2040" t="s" s="8">
        <v>14</v>
      </c>
      <c r="E2040" t="s" s="9">
        <v>14</v>
      </c>
      <c r="F2040" t="s" s="10">
        <v>14</v>
      </c>
      <c r="G2040" t="s" s="11">
        <v>14</v>
      </c>
      <c r="H2040" t="s" s="10">
        <v>14</v>
      </c>
      <c r="I2040" t="s" s="11">
        <v>14</v>
      </c>
      <c r="J2040" t="s" s="11">
        <v>14</v>
      </c>
      <c r="K2040" t="s" s="12">
        <v>14</v>
      </c>
      <c r="L2040" t="s" s="12">
        <v>14</v>
      </c>
      <c r="M2040" t="s" s="10">
        <v>14</v>
      </c>
      <c r="N2040" t="s" s="11">
        <v>14</v>
      </c>
      <c r="O2040" t="s" s="8">
        <v>14</v>
      </c>
      <c r="P2040" t="s" s="8">
        <v>14</v>
      </c>
      <c r="Q2040" t="s" s="12">
        <v>14</v>
      </c>
      <c r="R2040" t="s" s="12">
        <v>14</v>
      </c>
    </row>
    <row r="2041" s="2" customFormat="1" ht="13.5" customHeight="1">
      <c r="B2041" s="13"/>
      <c r="C2041" t="s" s="9">
        <v>23</v>
      </c>
      <c r="D2041" t="s" s="8">
        <v>730</v>
      </c>
      <c r="E2041" t="s" s="9">
        <v>730</v>
      </c>
      <c r="F2041" s="19">
        <v>5</v>
      </c>
      <c r="G2041" s="14"/>
      <c r="H2041" s="19">
        <v>5</v>
      </c>
      <c r="I2041" s="14"/>
      <c r="J2041" t="s" s="11">
        <v>20</v>
      </c>
      <c r="K2041" t="s" s="16">
        <f>HYPERLINK("http://csr.bu.edu/ftp/asl/asllvd/demos/verify_start_end_handshape_annotations//test_auto_move//signs_mov/439.mov","MOV")</f>
        <v>21</v>
      </c>
      <c r="L2041" t="s" s="16">
        <f>HYPERLINK("http://csr.bu.edu/ftp/asl/asllvd/demos/verify_start_end_handshape_annotations//test_auto_move//signs_mov_separ_signers/Tyler_439.mov","MOV")</f>
        <v>21</v>
      </c>
      <c r="M2041" t="s" s="10">
        <v>26</v>
      </c>
      <c r="N2041" s="17">
        <v>44</v>
      </c>
      <c r="O2041" s="18">
        <v>5570</v>
      </c>
      <c r="P2041" s="18">
        <v>5626</v>
      </c>
      <c r="Q2041" t="s" s="16">
        <f>HYPERLINK("http://secrets.rutgers.edu:8080/data/asl-ftp/asllvd/demos/verify_start_end_handshape_annotations//test_auto_move//signs_mov/439.mov","MOV")</f>
        <v>21</v>
      </c>
      <c r="R2041" t="s" s="16">
        <f>HYPERLINK("http://secrets.rutgers.edu:8080/data/asl-ftp/asllvd/demos/verify_start_end_handshape_annotations//test_auto_move//signs_mov_separ_signers/Tyler_439.mov","MOV")</f>
        <v>21</v>
      </c>
    </row>
    <row r="2042" s="2" customFormat="1" ht="13.5" customHeight="1">
      <c r="B2042" s="13"/>
      <c r="C2042" t="s" s="9">
        <v>27</v>
      </c>
      <c r="D2042" t="s" s="8">
        <v>730</v>
      </c>
      <c r="E2042" t="s" s="9">
        <v>730</v>
      </c>
      <c r="F2042" s="19">
        <v>5</v>
      </c>
      <c r="G2042" s="14"/>
      <c r="H2042" s="19">
        <v>5</v>
      </c>
      <c r="I2042" s="14"/>
      <c r="J2042" t="s" s="11">
        <v>20</v>
      </c>
      <c r="K2042" s="15"/>
      <c r="L2042" t="s" s="16">
        <f>HYPERLINK("http://csr.bu.edu/ftp/asl/asllvd/demos/verify_start_end_handshape_annotations//test_auto_move//signs_mov_separ_signers/Naomi_439.mov","MOV")</f>
        <v>21</v>
      </c>
      <c r="M2042" t="s" s="10">
        <v>29</v>
      </c>
      <c r="N2042" s="17">
        <v>46</v>
      </c>
      <c r="O2042" s="18">
        <v>3775</v>
      </c>
      <c r="P2042" s="18">
        <v>3811</v>
      </c>
      <c r="Q2042" s="15"/>
      <c r="R2042" t="s" s="16">
        <f>HYPERLINK("http://secrets.rutgers.edu:8080/data/asl-ftp/asllvd/demos/verify_start_end_handshape_annotations//test_auto_move//signs_mov_separ_signers/Naomi_439.mov","MOV")</f>
        <v>21</v>
      </c>
    </row>
    <row r="2043" s="2" customFormat="1" ht="13.5" customHeight="1">
      <c r="B2043" t="s" s="8">
        <v>52</v>
      </c>
      <c r="C2043" t="s" s="9">
        <v>53</v>
      </c>
      <c r="D2043" t="s" s="8">
        <v>53</v>
      </c>
      <c r="E2043" t="s" s="9">
        <v>53</v>
      </c>
      <c r="F2043" t="s" s="10">
        <v>53</v>
      </c>
      <c r="G2043" t="s" s="11">
        <v>53</v>
      </c>
      <c r="H2043" t="s" s="10">
        <v>53</v>
      </c>
      <c r="I2043" t="s" s="11">
        <v>53</v>
      </c>
      <c r="J2043" t="s" s="11">
        <v>53</v>
      </c>
      <c r="K2043" t="s" s="12">
        <v>53</v>
      </c>
      <c r="L2043" t="s" s="12">
        <v>53</v>
      </c>
      <c r="M2043" t="s" s="10">
        <v>53</v>
      </c>
      <c r="N2043" t="s" s="11">
        <v>53</v>
      </c>
      <c r="O2043" t="s" s="8">
        <v>53</v>
      </c>
      <c r="P2043" t="s" s="8">
        <v>53</v>
      </c>
      <c r="Q2043" t="s" s="12">
        <v>53</v>
      </c>
      <c r="R2043" t="s" s="12">
        <v>53</v>
      </c>
    </row>
    <row r="2044" s="2" customFormat="1" ht="13.5" customHeight="1">
      <c r="B2044" s="13"/>
      <c r="C2044" t="s" s="9">
        <v>16</v>
      </c>
      <c r="D2044" t="s" s="8">
        <v>730</v>
      </c>
      <c r="E2044" t="s" s="9">
        <v>731</v>
      </c>
      <c r="F2044" t="s" s="10">
        <v>73</v>
      </c>
      <c r="G2044" s="14"/>
      <c r="H2044" t="s" s="10">
        <v>73</v>
      </c>
      <c r="I2044" s="14"/>
      <c r="J2044" t="s" s="11">
        <v>20</v>
      </c>
      <c r="K2044" t="s" s="16">
        <f>HYPERLINK("http://csr.bu.edu/ftp/asl/asllvd/demos/verify_start_end_handshape_annotations//test_auto_move//signs_mov/16269.mov","MOV")</f>
        <v>21</v>
      </c>
      <c r="L2044" t="s" s="16">
        <f>HYPERLINK("http://csr.bu.edu/ftp/asl/asllvd/demos/verify_start_end_handshape_annotations//test_auto_move//signs_mov_separ_signers/Liz_16269.mov","MOV")</f>
        <v>21</v>
      </c>
      <c r="M2044" t="s" s="10">
        <v>22</v>
      </c>
      <c r="N2044" s="17">
        <v>73</v>
      </c>
      <c r="O2044" s="18">
        <v>1315</v>
      </c>
      <c r="P2044" s="18">
        <v>1360</v>
      </c>
      <c r="Q2044" t="s" s="16">
        <f>HYPERLINK("http://secrets.rutgers.edu:8080/data/asl-ftp/asllvd/demos/verify_start_end_handshape_annotations//test_auto_move//signs_mov/16269.mov","MOV")</f>
        <v>21</v>
      </c>
      <c r="R2044" t="s" s="16">
        <f>HYPERLINK("http://secrets.rutgers.edu:8080/data/asl-ftp/asllvd/demos/verify_start_end_handshape_annotations//test_auto_move//signs_mov_separ_signers/Liz_16269.mov","MOV")</f>
        <v>21</v>
      </c>
    </row>
    <row r="2045" s="2" customFormat="1" ht="13.5" customHeight="1">
      <c r="B2045" t="s" s="8">
        <v>732</v>
      </c>
      <c r="C2045" t="s" s="9">
        <v>14</v>
      </c>
      <c r="D2045" t="s" s="8">
        <v>14</v>
      </c>
      <c r="E2045" t="s" s="9">
        <v>14</v>
      </c>
      <c r="F2045" t="s" s="10">
        <v>14</v>
      </c>
      <c r="G2045" t="s" s="11">
        <v>14</v>
      </c>
      <c r="H2045" t="s" s="10">
        <v>14</v>
      </c>
      <c r="I2045" t="s" s="11">
        <v>14</v>
      </c>
      <c r="J2045" t="s" s="11">
        <v>14</v>
      </c>
      <c r="K2045" t="s" s="12">
        <v>14</v>
      </c>
      <c r="L2045" t="s" s="12">
        <v>14</v>
      </c>
      <c r="M2045" t="s" s="10">
        <v>14</v>
      </c>
      <c r="N2045" t="s" s="11">
        <v>14</v>
      </c>
      <c r="O2045" t="s" s="8">
        <v>14</v>
      </c>
      <c r="P2045" t="s" s="8">
        <v>14</v>
      </c>
      <c r="Q2045" t="s" s="12">
        <v>14</v>
      </c>
      <c r="R2045" t="s" s="12">
        <v>14</v>
      </c>
    </row>
    <row r="2046" s="2" customFormat="1" ht="13.5" customHeight="1">
      <c r="B2046" s="13"/>
      <c r="C2046" t="s" s="9">
        <v>16</v>
      </c>
      <c r="D2046" t="s" s="8">
        <v>732</v>
      </c>
      <c r="E2046" t="s" s="9">
        <v>733</v>
      </c>
      <c r="F2046" t="s" s="10">
        <v>240</v>
      </c>
      <c r="G2046" s="14"/>
      <c r="H2046" t="s" s="10">
        <v>240</v>
      </c>
      <c r="I2046" s="14"/>
      <c r="J2046" t="s" s="11">
        <v>20</v>
      </c>
      <c r="K2046" s="15"/>
      <c r="L2046" t="s" s="16">
        <f>HYPERLINK("http://csr.bu.edu/ftp/asl/asllvd/demos/verify_start_end_handshape_annotations//test_auto_move//signs_mov_separ_signers/Liz_441.mov","MOV")</f>
        <v>21</v>
      </c>
      <c r="M2046" t="s" s="10">
        <v>22</v>
      </c>
      <c r="N2046" s="17">
        <v>74</v>
      </c>
      <c r="O2046" s="18">
        <v>560</v>
      </c>
      <c r="P2046" s="18">
        <v>601</v>
      </c>
      <c r="Q2046" s="15"/>
      <c r="R2046" t="s" s="16">
        <f>HYPERLINK("http://secrets.rutgers.edu:8080/data/asl-ftp/asllvd/demos/verify_start_end_handshape_annotations//test_auto_move//signs_mov_separ_signers/Liz_441.mov","MOV")</f>
        <v>21</v>
      </c>
    </row>
    <row r="2047" s="2" customFormat="1" ht="13.5" customHeight="1">
      <c r="B2047" s="13"/>
      <c r="C2047" t="s" s="9">
        <v>23</v>
      </c>
      <c r="D2047" t="s" s="8">
        <v>732</v>
      </c>
      <c r="E2047" t="s" s="9">
        <v>733</v>
      </c>
      <c r="F2047" t="s" s="10">
        <v>240</v>
      </c>
      <c r="G2047" s="14"/>
      <c r="H2047" t="s" s="10">
        <v>344</v>
      </c>
      <c r="I2047" s="14"/>
      <c r="J2047" t="s" s="11">
        <v>20</v>
      </c>
      <c r="K2047" t="s" s="16">
        <f>HYPERLINK("http://csr.bu.edu/ftp/asl/asllvd/demos/verify_start_end_handshape_annotations//test_auto_move//signs_mov/441.mov","MOV")</f>
        <v>21</v>
      </c>
      <c r="L2047" t="s" s="16">
        <f>HYPERLINK("http://csr.bu.edu/ftp/asl/asllvd/demos/verify_start_end_handshape_annotations//test_auto_move//signs_mov_separ_signers/Tyler_441.mov","MOV")</f>
        <v>21</v>
      </c>
      <c r="M2047" t="s" s="10">
        <v>26</v>
      </c>
      <c r="N2047" s="17">
        <v>45</v>
      </c>
      <c r="O2047" s="18">
        <v>265</v>
      </c>
      <c r="P2047" s="18">
        <v>312</v>
      </c>
      <c r="Q2047" t="s" s="16">
        <f>HYPERLINK("http://secrets.rutgers.edu:8080/data/asl-ftp/asllvd/demos/verify_start_end_handshape_annotations//test_auto_move//signs_mov/441.mov","MOV")</f>
        <v>21</v>
      </c>
      <c r="R2047" t="s" s="16">
        <f>HYPERLINK("http://secrets.rutgers.edu:8080/data/asl-ftp/asllvd/demos/verify_start_end_handshape_annotations//test_auto_move//signs_mov_separ_signers/Tyler_441.mov","MOV")</f>
        <v>21</v>
      </c>
    </row>
    <row r="2048" s="2" customFormat="1" ht="13.5" customHeight="1">
      <c r="B2048" s="13"/>
      <c r="C2048" t="s" s="9">
        <v>27</v>
      </c>
      <c r="D2048" t="s" s="8">
        <v>732</v>
      </c>
      <c r="E2048" t="s" s="9">
        <v>733</v>
      </c>
      <c r="F2048" t="s" s="10">
        <v>344</v>
      </c>
      <c r="G2048" s="14"/>
      <c r="H2048" t="s" s="10">
        <v>344</v>
      </c>
      <c r="I2048" s="14"/>
      <c r="J2048" t="s" s="11">
        <v>20</v>
      </c>
      <c r="K2048" s="15"/>
      <c r="L2048" t="s" s="16">
        <f>HYPERLINK("http://csr.bu.edu/ftp/asl/asllvd/demos/verify_start_end_handshape_annotations//test_auto_move//signs_mov_separ_signers/Naomi_441.mov","MOV")</f>
        <v>21</v>
      </c>
      <c r="M2048" t="s" s="10">
        <v>29</v>
      </c>
      <c r="N2048" s="17">
        <v>47</v>
      </c>
      <c r="O2048" s="18">
        <v>281</v>
      </c>
      <c r="P2048" s="18">
        <v>327</v>
      </c>
      <c r="Q2048" s="15"/>
      <c r="R2048" t="s" s="16">
        <f>HYPERLINK("http://secrets.rutgers.edu:8080/data/asl-ftp/asllvd/demos/verify_start_end_handshape_annotations//test_auto_move//signs_mov_separ_signers/Naomi_441.mov","MOV")</f>
        <v>21</v>
      </c>
    </row>
    <row r="2049" s="2" customFormat="1" ht="13.5" customHeight="1">
      <c r="B2049" s="13"/>
      <c r="C2049" t="s" s="9">
        <v>30</v>
      </c>
      <c r="D2049" t="s" s="8">
        <v>732</v>
      </c>
      <c r="E2049" t="s" s="9">
        <v>733</v>
      </c>
      <c r="F2049" t="s" s="10">
        <v>240</v>
      </c>
      <c r="G2049" s="14"/>
      <c r="H2049" t="s" s="10">
        <v>344</v>
      </c>
      <c r="I2049" s="14"/>
      <c r="J2049" t="s" s="11">
        <v>20</v>
      </c>
      <c r="K2049" s="15"/>
      <c r="L2049" t="s" s="16">
        <f>HYPERLINK("http://csr.bu.edu/ftp/asl/asllvd/demos/verify_start_end_handshape_annotations//test_auto_move//signs_mov_separ_signers/Brady_441.mov","MOV")</f>
        <v>21</v>
      </c>
      <c r="M2049" t="s" s="10">
        <v>31</v>
      </c>
      <c r="N2049" s="17">
        <v>27</v>
      </c>
      <c r="O2049" s="18">
        <v>5614</v>
      </c>
      <c r="P2049" s="18">
        <v>5666</v>
      </c>
      <c r="Q2049" s="15"/>
      <c r="R2049" t="s" s="16">
        <f>HYPERLINK("http://secrets.rutgers.edu:8080/data/asl-ftp/asllvd/demos/verify_start_end_handshape_annotations//test_auto_move//signs_mov_separ_signers/Brady_441.mov","MOV")</f>
        <v>21</v>
      </c>
    </row>
    <row r="2050" s="2" customFormat="1" ht="13.5" customHeight="1">
      <c r="B2050" t="s" s="8">
        <v>734</v>
      </c>
      <c r="C2050" t="s" s="9">
        <v>14</v>
      </c>
      <c r="D2050" t="s" s="8">
        <v>14</v>
      </c>
      <c r="E2050" t="s" s="9">
        <v>14</v>
      </c>
      <c r="F2050" t="s" s="10">
        <v>14</v>
      </c>
      <c r="G2050" t="s" s="11">
        <v>14</v>
      </c>
      <c r="H2050" t="s" s="10">
        <v>14</v>
      </c>
      <c r="I2050" t="s" s="11">
        <v>14</v>
      </c>
      <c r="J2050" t="s" s="11">
        <v>14</v>
      </c>
      <c r="K2050" t="s" s="12">
        <v>14</v>
      </c>
      <c r="L2050" t="s" s="12">
        <v>14</v>
      </c>
      <c r="M2050" t="s" s="10">
        <v>14</v>
      </c>
      <c r="N2050" t="s" s="11">
        <v>14</v>
      </c>
      <c r="O2050" t="s" s="8">
        <v>14</v>
      </c>
      <c r="P2050" t="s" s="8">
        <v>14</v>
      </c>
      <c r="Q2050" t="s" s="12">
        <v>14</v>
      </c>
      <c r="R2050" t="s" s="12">
        <v>14</v>
      </c>
    </row>
    <row r="2051" s="2" customFormat="1" ht="13.5" customHeight="1">
      <c r="B2051" s="13"/>
      <c r="C2051" t="s" s="9">
        <v>16</v>
      </c>
      <c r="D2051" t="s" s="8">
        <v>734</v>
      </c>
      <c r="E2051" t="s" s="9">
        <v>734</v>
      </c>
      <c r="F2051" t="s" s="10">
        <v>185</v>
      </c>
      <c r="G2051" s="14"/>
      <c r="H2051" t="s" s="10">
        <v>185</v>
      </c>
      <c r="I2051" s="14"/>
      <c r="J2051" t="s" s="11">
        <v>20</v>
      </c>
      <c r="K2051" s="15"/>
      <c r="L2051" t="s" s="16">
        <f>HYPERLINK("http://csr.bu.edu/ftp/asl/asllvd/demos/verify_start_end_handshape_annotations//test_auto_move//signs_mov_separ_signers/Liz_442.mov","MOV")</f>
        <v>21</v>
      </c>
      <c r="M2051" t="s" s="10">
        <v>22</v>
      </c>
      <c r="N2051" s="17">
        <v>74</v>
      </c>
      <c r="O2051" s="18">
        <v>805</v>
      </c>
      <c r="P2051" s="18">
        <v>840</v>
      </c>
      <c r="Q2051" s="15"/>
      <c r="R2051" t="s" s="16">
        <f>HYPERLINK("http://secrets.rutgers.edu:8080/data/asl-ftp/asllvd/demos/verify_start_end_handshape_annotations//test_auto_move//signs_mov_separ_signers/Liz_442.mov","MOV")</f>
        <v>21</v>
      </c>
    </row>
    <row r="2052" s="2" customFormat="1" ht="13.5" customHeight="1">
      <c r="B2052" s="13"/>
      <c r="C2052" t="s" s="9">
        <v>23</v>
      </c>
      <c r="D2052" t="s" s="8">
        <v>734</v>
      </c>
      <c r="E2052" t="s" s="9">
        <v>734</v>
      </c>
      <c r="F2052" t="s" s="10">
        <v>185</v>
      </c>
      <c r="G2052" s="14"/>
      <c r="H2052" t="s" s="10">
        <v>185</v>
      </c>
      <c r="I2052" s="14"/>
      <c r="J2052" t="s" s="11">
        <v>20</v>
      </c>
      <c r="K2052" s="15"/>
      <c r="L2052" t="s" s="16">
        <f>HYPERLINK("http://csr.bu.edu/ftp/asl/asllvd/demos/verify_start_end_handshape_annotations//test_auto_move//signs_mov_separ_signers/Tyler_442.mov","MOV")</f>
        <v>21</v>
      </c>
      <c r="M2052" t="s" s="10">
        <v>26</v>
      </c>
      <c r="N2052" s="17">
        <v>45</v>
      </c>
      <c r="O2052" s="18">
        <v>415</v>
      </c>
      <c r="P2052" s="18">
        <v>442</v>
      </c>
      <c r="Q2052" s="15"/>
      <c r="R2052" t="s" s="16">
        <f>HYPERLINK("http://secrets.rutgers.edu:8080/data/asl-ftp/asllvd/demos/verify_start_end_handshape_annotations//test_auto_move//signs_mov_separ_signers/Tyler_442.mov","MOV")</f>
        <v>21</v>
      </c>
    </row>
    <row r="2053" s="2" customFormat="1" ht="13.5" customHeight="1">
      <c r="B2053" s="13"/>
      <c r="C2053" t="s" s="9">
        <v>27</v>
      </c>
      <c r="D2053" t="s" s="8">
        <v>734</v>
      </c>
      <c r="E2053" t="s" s="9">
        <v>734</v>
      </c>
      <c r="F2053" t="s" s="10">
        <v>185</v>
      </c>
      <c r="G2053" s="14"/>
      <c r="H2053" t="s" s="10">
        <v>185</v>
      </c>
      <c r="I2053" s="14"/>
      <c r="J2053" t="s" s="11">
        <v>20</v>
      </c>
      <c r="K2053" t="s" s="16">
        <f>HYPERLINK("http://csr.bu.edu/ftp/asl/asllvd/demos/verify_start_end_handshape_annotations//test_auto_move//signs_mov/442.mov","MOV")</f>
        <v>21</v>
      </c>
      <c r="L2053" t="s" s="16">
        <f>HYPERLINK("http://csr.bu.edu/ftp/asl/asllvd/demos/verify_start_end_handshape_annotations//test_auto_move//signs_mov_separ_signers/Naomi_442.mov","MOV")</f>
        <v>21</v>
      </c>
      <c r="M2053" t="s" s="10">
        <v>29</v>
      </c>
      <c r="N2053" s="17">
        <v>47</v>
      </c>
      <c r="O2053" s="18">
        <v>582</v>
      </c>
      <c r="P2053" s="18">
        <v>607</v>
      </c>
      <c r="Q2053" t="s" s="16">
        <f>HYPERLINK("http://secrets.rutgers.edu:8080/data/asl-ftp/asllvd/demos/verify_start_end_handshape_annotations//test_auto_move//signs_mov/442.mov","MOV")</f>
        <v>21</v>
      </c>
      <c r="R2053" t="s" s="16">
        <f>HYPERLINK("http://secrets.rutgers.edu:8080/data/asl-ftp/asllvd/demos/verify_start_end_handshape_annotations//test_auto_move//signs_mov_separ_signers/Naomi_442.mov","MOV")</f>
        <v>21</v>
      </c>
    </row>
    <row r="2054" s="2" customFormat="1" ht="13.5" customHeight="1">
      <c r="B2054" s="13"/>
      <c r="C2054" t="s" s="9">
        <v>30</v>
      </c>
      <c r="D2054" t="s" s="8">
        <v>734</v>
      </c>
      <c r="E2054" t="s" s="9">
        <v>734</v>
      </c>
      <c r="F2054" t="s" s="10">
        <v>185</v>
      </c>
      <c r="G2054" s="14"/>
      <c r="H2054" t="s" s="10">
        <v>185</v>
      </c>
      <c r="I2054" s="14"/>
      <c r="J2054" t="s" s="11">
        <v>20</v>
      </c>
      <c r="K2054" s="15"/>
      <c r="L2054" t="s" s="16">
        <f>HYPERLINK("http://csr.bu.edu/ftp/asl/asllvd/demos/verify_start_end_handshape_annotations//test_auto_move//signs_mov_separ_signers/Brady_442.mov","MOV")</f>
        <v>21</v>
      </c>
      <c r="M2054" t="s" s="10">
        <v>31</v>
      </c>
      <c r="N2054" s="17">
        <v>27</v>
      </c>
      <c r="O2054" s="18">
        <v>6085</v>
      </c>
      <c r="P2054" s="18">
        <v>6105</v>
      </c>
      <c r="Q2054" s="15"/>
      <c r="R2054" t="s" s="16">
        <f>HYPERLINK("http://secrets.rutgers.edu:8080/data/asl-ftp/asllvd/demos/verify_start_end_handshape_annotations//test_auto_move//signs_mov_separ_signers/Brady_442.mov","MOV")</f>
        <v>21</v>
      </c>
    </row>
    <row r="2055" s="2" customFormat="1" ht="13.5" customHeight="1">
      <c r="B2055" s="13"/>
      <c r="C2055" t="s" s="9">
        <v>41</v>
      </c>
      <c r="D2055" t="s" s="8">
        <v>734</v>
      </c>
      <c r="E2055" t="s" s="9">
        <v>734</v>
      </c>
      <c r="F2055" t="s" s="10">
        <v>185</v>
      </c>
      <c r="G2055" s="14"/>
      <c r="H2055" t="s" s="10">
        <v>185</v>
      </c>
      <c r="I2055" s="14"/>
      <c r="J2055" t="s" s="11">
        <v>20</v>
      </c>
      <c r="K2055" s="15"/>
      <c r="L2055" t="s" s="16">
        <f>HYPERLINK("http://csr.bu.edu/ftp/asl/asllvd/demos/verify_start_end_handshape_annotations//test_auto_move//signs_mov_separ_signers/Lana_442.mov","MOV")</f>
        <v>21</v>
      </c>
      <c r="M2055" t="s" s="10">
        <v>42</v>
      </c>
      <c r="N2055" s="17">
        <v>5</v>
      </c>
      <c r="O2055" s="18">
        <v>1714</v>
      </c>
      <c r="P2055" s="18">
        <v>1735</v>
      </c>
      <c r="Q2055" s="15"/>
      <c r="R2055" t="s" s="16">
        <f>HYPERLINK("http://secrets.rutgers.edu:8080/data/asl-ftp/asllvd/demos/verify_start_end_handshape_annotations//test_auto_move//signs_mov_separ_signers/Lana_442.mov","MOV")</f>
        <v>21</v>
      </c>
    </row>
    <row r="2056" s="2" customFormat="1" ht="13.5" customHeight="1">
      <c r="B2056" s="13"/>
      <c r="C2056" t="s" s="9">
        <v>43</v>
      </c>
      <c r="D2056" t="s" s="8">
        <v>734</v>
      </c>
      <c r="E2056" t="s" s="9">
        <v>734</v>
      </c>
      <c r="F2056" t="s" s="10">
        <v>185</v>
      </c>
      <c r="G2056" s="14"/>
      <c r="H2056" t="s" s="10">
        <v>185</v>
      </c>
      <c r="I2056" s="14"/>
      <c r="J2056" t="s" s="11">
        <v>20</v>
      </c>
      <c r="K2056" s="15"/>
      <c r="L2056" t="s" s="16">
        <f>HYPERLINK("http://csr.bu.edu/ftp/asl/asllvd/demos/verify_start_end_handshape_annotations//test_auto_move//signs_mov_separ_signers/Dana_442.mov","MOV")</f>
        <v>21</v>
      </c>
      <c r="M2056" t="s" s="10">
        <v>44</v>
      </c>
      <c r="N2056" s="17">
        <v>9</v>
      </c>
      <c r="O2056" s="18">
        <v>1840</v>
      </c>
      <c r="P2056" s="18">
        <v>1869</v>
      </c>
      <c r="Q2056" s="15"/>
      <c r="R2056" t="s" s="16">
        <f>HYPERLINK("http://secrets.rutgers.edu:8080/data/asl-ftp/asllvd/demos/verify_start_end_handshape_annotations//test_auto_move//signs_mov_separ_signers/Dana_442.mov","MOV")</f>
        <v>21</v>
      </c>
    </row>
    <row r="2057" s="2" customFormat="1" ht="13.5" customHeight="1">
      <c r="B2057" t="s" s="8">
        <v>735</v>
      </c>
      <c r="C2057" t="s" s="9">
        <v>14</v>
      </c>
      <c r="D2057" t="s" s="8">
        <v>14</v>
      </c>
      <c r="E2057" t="s" s="9">
        <v>14</v>
      </c>
      <c r="F2057" t="s" s="10">
        <v>14</v>
      </c>
      <c r="G2057" t="s" s="11">
        <v>14</v>
      </c>
      <c r="H2057" t="s" s="10">
        <v>14</v>
      </c>
      <c r="I2057" t="s" s="11">
        <v>14</v>
      </c>
      <c r="J2057" t="s" s="11">
        <v>14</v>
      </c>
      <c r="K2057" t="s" s="12">
        <v>14</v>
      </c>
      <c r="L2057" t="s" s="12">
        <v>14</v>
      </c>
      <c r="M2057" t="s" s="10">
        <v>14</v>
      </c>
      <c r="N2057" t="s" s="11">
        <v>14</v>
      </c>
      <c r="O2057" t="s" s="8">
        <v>14</v>
      </c>
      <c r="P2057" t="s" s="8">
        <v>14</v>
      </c>
      <c r="Q2057" t="s" s="12">
        <v>14</v>
      </c>
      <c r="R2057" t="s" s="12">
        <v>14</v>
      </c>
    </row>
    <row r="2058" s="2" customFormat="1" ht="13.5" customHeight="1">
      <c r="B2058" s="13"/>
      <c r="C2058" t="s" s="9">
        <v>16</v>
      </c>
      <c r="D2058" t="s" s="8">
        <v>735</v>
      </c>
      <c r="E2058" t="s" s="9">
        <v>735</v>
      </c>
      <c r="F2058" t="s" s="10">
        <v>205</v>
      </c>
      <c r="G2058" s="14"/>
      <c r="H2058" s="19">
        <v>4</v>
      </c>
      <c r="I2058" s="14"/>
      <c r="J2058" t="s" s="11">
        <v>20</v>
      </c>
      <c r="K2058" t="s" s="16">
        <f>HYPERLINK("http://csr.bu.edu/ftp/asl/asllvd/demos/verify_start_end_handshape_annotations//test_auto_move//signs_mov/445.mov","MOV")</f>
        <v>21</v>
      </c>
      <c r="L2058" t="s" s="16">
        <f>HYPERLINK("http://csr.bu.edu/ftp/asl/asllvd/demos/verify_start_end_handshape_annotations//test_auto_move//signs_mov_separ_signers/Liz_445.mov","MOV")</f>
        <v>21</v>
      </c>
      <c r="M2058" t="s" s="10">
        <v>22</v>
      </c>
      <c r="N2058" s="17">
        <v>74</v>
      </c>
      <c r="O2058" s="18">
        <v>1490</v>
      </c>
      <c r="P2058" s="18">
        <v>1524</v>
      </c>
      <c r="Q2058" t="s" s="16">
        <f>HYPERLINK("http://secrets.rutgers.edu:8080/data/asl-ftp/asllvd/demos/verify_start_end_handshape_annotations//test_auto_move//signs_mov/445.mov","MOV")</f>
        <v>21</v>
      </c>
      <c r="R2058" t="s" s="16">
        <f>HYPERLINK("http://secrets.rutgers.edu:8080/data/asl-ftp/asllvd/demos/verify_start_end_handshape_annotations//test_auto_move//signs_mov_separ_signers/Liz_445.mov","MOV")</f>
        <v>21</v>
      </c>
    </row>
    <row r="2059" s="2" customFormat="1" ht="13.5" customHeight="1">
      <c r="B2059" t="s" s="8">
        <v>736</v>
      </c>
      <c r="C2059" t="s" s="9">
        <v>14</v>
      </c>
      <c r="D2059" t="s" s="8">
        <v>14</v>
      </c>
      <c r="E2059" t="s" s="9">
        <v>14</v>
      </c>
      <c r="F2059" t="s" s="10">
        <v>14</v>
      </c>
      <c r="G2059" t="s" s="11">
        <v>14</v>
      </c>
      <c r="H2059" t="s" s="10">
        <v>14</v>
      </c>
      <c r="I2059" t="s" s="11">
        <v>14</v>
      </c>
      <c r="J2059" t="s" s="11">
        <v>14</v>
      </c>
      <c r="K2059" t="s" s="12">
        <v>14</v>
      </c>
      <c r="L2059" t="s" s="12">
        <v>14</v>
      </c>
      <c r="M2059" t="s" s="10">
        <v>14</v>
      </c>
      <c r="N2059" t="s" s="11">
        <v>14</v>
      </c>
      <c r="O2059" t="s" s="8">
        <v>14</v>
      </c>
      <c r="P2059" t="s" s="8">
        <v>14</v>
      </c>
      <c r="Q2059" t="s" s="12">
        <v>14</v>
      </c>
      <c r="R2059" t="s" s="12">
        <v>14</v>
      </c>
    </row>
    <row r="2060" s="2" customFormat="1" ht="13.5" customHeight="1">
      <c r="B2060" s="13"/>
      <c r="C2060" t="s" s="9">
        <v>30</v>
      </c>
      <c r="D2060" t="s" s="8">
        <v>736</v>
      </c>
      <c r="E2060" t="s" s="9">
        <v>736</v>
      </c>
      <c r="F2060" t="s" s="10">
        <v>185</v>
      </c>
      <c r="G2060" s="14"/>
      <c r="H2060" t="s" s="10">
        <v>117</v>
      </c>
      <c r="I2060" s="14"/>
      <c r="J2060" t="s" s="11">
        <v>20</v>
      </c>
      <c r="K2060" t="s" s="16">
        <f>HYPERLINK("http://csr.bu.edu/ftp/asl/asllvd/demos/verify_start_end_handshape_annotations//test_auto_move//signs_mov/15040.mov","MOV")</f>
        <v>21</v>
      </c>
      <c r="L2060" t="s" s="16">
        <f>HYPERLINK("http://csr.bu.edu/ftp/asl/asllvd/demos/verify_start_end_handshape_annotations//test_auto_move//signs_mov_separ_signers/Brady_15040.mov","MOV")</f>
        <v>21</v>
      </c>
      <c r="M2060" t="s" s="10">
        <v>31</v>
      </c>
      <c r="N2060" s="17">
        <v>27</v>
      </c>
      <c r="O2060" s="18">
        <v>8017</v>
      </c>
      <c r="P2060" s="18">
        <v>8052</v>
      </c>
      <c r="Q2060" t="s" s="16">
        <f>HYPERLINK("http://secrets.rutgers.edu:8080/data/asl-ftp/asllvd/demos/verify_start_end_handshape_annotations//test_auto_move//signs_mov/15040.mov","MOV")</f>
        <v>21</v>
      </c>
      <c r="R2060" t="s" s="16">
        <f>HYPERLINK("http://secrets.rutgers.edu:8080/data/asl-ftp/asllvd/demos/verify_start_end_handshape_annotations//test_auto_move//signs_mov_separ_signers/Brady_15040.mov","MOV")</f>
        <v>21</v>
      </c>
    </row>
    <row r="2061" s="2" customFormat="1" ht="13.5" customHeight="1">
      <c r="B2061" t="s" s="8">
        <v>737</v>
      </c>
      <c r="C2061" t="s" s="9">
        <v>14</v>
      </c>
      <c r="D2061" t="s" s="8">
        <v>14</v>
      </c>
      <c r="E2061" t="s" s="9">
        <v>14</v>
      </c>
      <c r="F2061" t="s" s="10">
        <v>14</v>
      </c>
      <c r="G2061" t="s" s="11">
        <v>14</v>
      </c>
      <c r="H2061" t="s" s="10">
        <v>14</v>
      </c>
      <c r="I2061" t="s" s="11">
        <v>14</v>
      </c>
      <c r="J2061" t="s" s="11">
        <v>14</v>
      </c>
      <c r="K2061" t="s" s="12">
        <v>14</v>
      </c>
      <c r="L2061" t="s" s="12">
        <v>14</v>
      </c>
      <c r="M2061" t="s" s="10">
        <v>14</v>
      </c>
      <c r="N2061" t="s" s="11">
        <v>14</v>
      </c>
      <c r="O2061" t="s" s="8">
        <v>14</v>
      </c>
      <c r="P2061" t="s" s="8">
        <v>14</v>
      </c>
      <c r="Q2061" t="s" s="12">
        <v>14</v>
      </c>
      <c r="R2061" t="s" s="12">
        <v>14</v>
      </c>
    </row>
    <row r="2062" s="2" customFormat="1" ht="13.5" customHeight="1">
      <c r="B2062" s="13"/>
      <c r="C2062" t="s" s="9">
        <v>16</v>
      </c>
      <c r="D2062" t="s" s="8">
        <v>737</v>
      </c>
      <c r="E2062" t="s" s="9">
        <v>737</v>
      </c>
      <c r="F2062" s="19">
        <v>1</v>
      </c>
      <c r="G2062" s="14"/>
      <c r="H2062" s="19">
        <v>1</v>
      </c>
      <c r="I2062" s="14"/>
      <c r="J2062" t="s" s="11">
        <v>20</v>
      </c>
      <c r="K2062" t="s" s="16">
        <f>HYPERLINK("http://csr.bu.edu/ftp/asl/asllvd/demos/verify_start_end_handshape_annotations//test_auto_move//signs_mov/448.mov","MOV")</f>
        <v>21</v>
      </c>
      <c r="L2062" t="s" s="16">
        <f>HYPERLINK("http://csr.bu.edu/ftp/asl/asllvd/demos/verify_start_end_handshape_annotations//test_auto_move//signs_mov_separ_signers/Liz_448.mov","MOV")</f>
        <v>21</v>
      </c>
      <c r="M2062" t="s" s="10">
        <v>22</v>
      </c>
      <c r="N2062" s="17">
        <v>75</v>
      </c>
      <c r="O2062" s="18">
        <v>715</v>
      </c>
      <c r="P2062" s="18">
        <v>755</v>
      </c>
      <c r="Q2062" t="s" s="16">
        <f>HYPERLINK("http://secrets.rutgers.edu:8080/data/asl-ftp/asllvd/demos/verify_start_end_handshape_annotations//test_auto_move//signs_mov/448.mov","MOV")</f>
        <v>21</v>
      </c>
      <c r="R2062" t="s" s="16">
        <f>HYPERLINK("http://secrets.rutgers.edu:8080/data/asl-ftp/asllvd/demos/verify_start_end_handshape_annotations//test_auto_move//signs_mov_separ_signers/Liz_448.mov","MOV")</f>
        <v>21</v>
      </c>
    </row>
    <row r="2063" s="2" customFormat="1" ht="13.5" customHeight="1">
      <c r="B2063" s="13"/>
      <c r="C2063" t="s" s="9">
        <v>30</v>
      </c>
      <c r="D2063" t="s" s="8">
        <v>737</v>
      </c>
      <c r="E2063" t="s" s="9">
        <v>737</v>
      </c>
      <c r="F2063" s="19">
        <v>1</v>
      </c>
      <c r="G2063" s="14"/>
      <c r="H2063" s="19">
        <v>1</v>
      </c>
      <c r="I2063" s="14"/>
      <c r="J2063" t="s" s="11">
        <v>20</v>
      </c>
      <c r="K2063" s="15"/>
      <c r="L2063" t="s" s="16">
        <f>HYPERLINK("http://csr.bu.edu/ftp/asl/asllvd/demos/verify_start_end_handshape_annotations//test_auto_move//signs_mov_separ_signers/Brady_448.mov","MOV")</f>
        <v>21</v>
      </c>
      <c r="M2063" t="s" s="10">
        <v>31</v>
      </c>
      <c r="N2063" s="17">
        <v>27</v>
      </c>
      <c r="O2063" s="18">
        <v>9895</v>
      </c>
      <c r="P2063" s="18">
        <v>9930</v>
      </c>
      <c r="Q2063" s="15"/>
      <c r="R2063" t="s" s="16">
        <f>HYPERLINK("http://secrets.rutgers.edu:8080/data/asl-ftp/asllvd/demos/verify_start_end_handshape_annotations//test_auto_move//signs_mov_separ_signers/Brady_448.mov","MOV")</f>
        <v>21</v>
      </c>
    </row>
    <row r="2064" s="2" customFormat="1" ht="13.5" customHeight="1">
      <c r="B2064" t="s" s="8">
        <v>738</v>
      </c>
      <c r="C2064" t="s" s="9">
        <v>14</v>
      </c>
      <c r="D2064" t="s" s="8">
        <v>14</v>
      </c>
      <c r="E2064" t="s" s="9">
        <v>14</v>
      </c>
      <c r="F2064" t="s" s="10">
        <v>14</v>
      </c>
      <c r="G2064" t="s" s="11">
        <v>14</v>
      </c>
      <c r="H2064" t="s" s="10">
        <v>14</v>
      </c>
      <c r="I2064" t="s" s="11">
        <v>14</v>
      </c>
      <c r="J2064" t="s" s="11">
        <v>14</v>
      </c>
      <c r="K2064" t="s" s="12">
        <v>14</v>
      </c>
      <c r="L2064" t="s" s="12">
        <v>14</v>
      </c>
      <c r="M2064" t="s" s="10">
        <v>14</v>
      </c>
      <c r="N2064" t="s" s="11">
        <v>14</v>
      </c>
      <c r="O2064" t="s" s="8">
        <v>14</v>
      </c>
      <c r="P2064" t="s" s="8">
        <v>14</v>
      </c>
      <c r="Q2064" t="s" s="12">
        <v>14</v>
      </c>
      <c r="R2064" t="s" s="12">
        <v>14</v>
      </c>
    </row>
    <row r="2065" s="2" customFormat="1" ht="13.5" customHeight="1">
      <c r="B2065" s="13"/>
      <c r="C2065" t="s" s="9">
        <v>16</v>
      </c>
      <c r="D2065" t="s" s="8">
        <v>738</v>
      </c>
      <c r="E2065" t="s" s="9">
        <v>738</v>
      </c>
      <c r="F2065" t="s" s="10">
        <v>268</v>
      </c>
      <c r="G2065" s="14"/>
      <c r="H2065" t="s" s="10">
        <v>268</v>
      </c>
      <c r="I2065" s="14"/>
      <c r="J2065" t="s" s="11">
        <v>20</v>
      </c>
      <c r="K2065" s="15"/>
      <c r="L2065" t="s" s="16">
        <f>HYPERLINK("http://csr.bu.edu/ftp/asl/asllvd/demos/verify_start_end_handshape_annotations//test_auto_move//signs_mov_separ_signers/Liz_5012.mov","MOV")</f>
        <v>21</v>
      </c>
      <c r="M2065" t="s" s="10">
        <v>22</v>
      </c>
      <c r="N2065" s="17">
        <v>75</v>
      </c>
      <c r="O2065" s="18">
        <v>456</v>
      </c>
      <c r="P2065" s="18">
        <v>515</v>
      </c>
      <c r="Q2065" s="15"/>
      <c r="R2065" t="s" s="16">
        <f>HYPERLINK("http://secrets.rutgers.edu:8080/data/asl-ftp/asllvd/demos/verify_start_end_handshape_annotations//test_auto_move//signs_mov_separ_signers/Liz_5012.mov","MOV")</f>
        <v>21</v>
      </c>
    </row>
    <row r="2066" s="2" customFormat="1" ht="13.5" customHeight="1">
      <c r="B2066" s="13"/>
      <c r="C2066" t="s" s="9">
        <v>23</v>
      </c>
      <c r="D2066" t="s" s="8">
        <v>738</v>
      </c>
      <c r="E2066" t="s" s="9">
        <v>738</v>
      </c>
      <c r="F2066" t="s" s="10">
        <v>268</v>
      </c>
      <c r="G2066" s="14"/>
      <c r="H2066" t="s" s="10">
        <v>268</v>
      </c>
      <c r="I2066" s="14"/>
      <c r="J2066" t="s" s="11">
        <v>20</v>
      </c>
      <c r="K2066" t="s" s="16">
        <f>HYPERLINK("http://csr.bu.edu/ftp/asl/asllvd/demos/verify_start_end_handshape_annotations//test_auto_move//signs_mov/5012.mov","MOV")</f>
        <v>21</v>
      </c>
      <c r="L2066" t="s" s="16">
        <f>HYPERLINK("http://csr.bu.edu/ftp/asl/asllvd/demos/verify_start_end_handshape_annotations//test_auto_move//signs_mov_separ_signers/Tyler_5012.mov","MOV")</f>
        <v>21</v>
      </c>
      <c r="M2066" t="s" s="10">
        <v>26</v>
      </c>
      <c r="N2066" s="17">
        <v>45</v>
      </c>
      <c r="O2066" s="18">
        <v>2272</v>
      </c>
      <c r="P2066" s="18">
        <v>2315</v>
      </c>
      <c r="Q2066" t="s" s="16">
        <f>HYPERLINK("http://secrets.rutgers.edu:8080/data/asl-ftp/asllvd/demos/verify_start_end_handshape_annotations//test_auto_move//signs_mov/5012.mov","MOV")</f>
        <v>21</v>
      </c>
      <c r="R2066" t="s" s="16">
        <f>HYPERLINK("http://secrets.rutgers.edu:8080/data/asl-ftp/asllvd/demos/verify_start_end_handshape_annotations//test_auto_move//signs_mov_separ_signers/Tyler_5012.mov","MOV")</f>
        <v>21</v>
      </c>
    </row>
    <row r="2067" s="2" customFormat="1" ht="13.5" customHeight="1">
      <c r="B2067" s="13"/>
      <c r="C2067" t="s" s="9">
        <v>27</v>
      </c>
      <c r="D2067" t="s" s="8">
        <v>738</v>
      </c>
      <c r="E2067" t="s" s="9">
        <v>738</v>
      </c>
      <c r="F2067" t="s" s="10">
        <v>268</v>
      </c>
      <c r="G2067" s="14"/>
      <c r="H2067" t="s" s="10">
        <v>268</v>
      </c>
      <c r="I2067" s="14"/>
      <c r="J2067" t="s" s="11">
        <v>20</v>
      </c>
      <c r="K2067" s="15"/>
      <c r="L2067" t="s" s="16">
        <f>HYPERLINK("http://csr.bu.edu/ftp/asl/asllvd/demos/verify_start_end_handshape_annotations//test_auto_move//signs_mov_separ_signers/Naomi_5012.mov","MOV")</f>
        <v>21</v>
      </c>
      <c r="M2067" t="s" s="10">
        <v>29</v>
      </c>
      <c r="N2067" s="17">
        <v>47</v>
      </c>
      <c r="O2067" s="18">
        <v>2145</v>
      </c>
      <c r="P2067" s="18">
        <v>2190</v>
      </c>
      <c r="Q2067" s="15"/>
      <c r="R2067" t="s" s="16">
        <f>HYPERLINK("http://secrets.rutgers.edu:8080/data/asl-ftp/asllvd/demos/verify_start_end_handshape_annotations//test_auto_move//signs_mov_separ_signers/Naomi_5012.mov","MOV")</f>
        <v>21</v>
      </c>
    </row>
    <row r="2068" s="2" customFormat="1" ht="13.5" customHeight="1">
      <c r="B2068" s="13"/>
      <c r="C2068" t="s" s="9">
        <v>30</v>
      </c>
      <c r="D2068" t="s" s="8">
        <v>738</v>
      </c>
      <c r="E2068" t="s" s="9">
        <v>738</v>
      </c>
      <c r="F2068" s="19">
        <v>1</v>
      </c>
      <c r="G2068" s="14"/>
      <c r="H2068" s="19">
        <v>1</v>
      </c>
      <c r="I2068" s="14"/>
      <c r="J2068" t="s" s="11">
        <v>20</v>
      </c>
      <c r="K2068" s="15"/>
      <c r="L2068" t="s" s="16">
        <f>HYPERLINK("http://csr.bu.edu/ftp/asl/asllvd/demos/verify_start_end_handshape_annotations//test_auto_move//signs_mov_separ_signers/Brady_5012.mov","MOV")</f>
        <v>21</v>
      </c>
      <c r="M2068" t="s" s="10">
        <v>31</v>
      </c>
      <c r="N2068" s="17">
        <v>27</v>
      </c>
      <c r="O2068" s="18">
        <v>9530</v>
      </c>
      <c r="P2068" s="18">
        <v>9554</v>
      </c>
      <c r="Q2068" s="15"/>
      <c r="R2068" t="s" s="16">
        <f>HYPERLINK("http://secrets.rutgers.edu:8080/data/asl-ftp/asllvd/demos/verify_start_end_handshape_annotations//test_auto_move//signs_mov_separ_signers/Brady_5012.mov","MOV")</f>
        <v>21</v>
      </c>
    </row>
    <row r="2069" s="2" customFormat="1" ht="13.5" customHeight="1">
      <c r="B2069" t="s" s="8">
        <v>739</v>
      </c>
      <c r="C2069" t="s" s="9">
        <v>14</v>
      </c>
      <c r="D2069" t="s" s="8">
        <v>14</v>
      </c>
      <c r="E2069" t="s" s="9">
        <v>14</v>
      </c>
      <c r="F2069" t="s" s="10">
        <v>14</v>
      </c>
      <c r="G2069" t="s" s="11">
        <v>14</v>
      </c>
      <c r="H2069" t="s" s="10">
        <v>14</v>
      </c>
      <c r="I2069" t="s" s="11">
        <v>14</v>
      </c>
      <c r="J2069" t="s" s="11">
        <v>14</v>
      </c>
      <c r="K2069" t="s" s="12">
        <v>14</v>
      </c>
      <c r="L2069" t="s" s="12">
        <v>14</v>
      </c>
      <c r="M2069" t="s" s="10">
        <v>14</v>
      </c>
      <c r="N2069" t="s" s="11">
        <v>14</v>
      </c>
      <c r="O2069" t="s" s="8">
        <v>14</v>
      </c>
      <c r="P2069" t="s" s="8">
        <v>14</v>
      </c>
      <c r="Q2069" t="s" s="12">
        <v>14</v>
      </c>
      <c r="R2069" t="s" s="12">
        <v>14</v>
      </c>
    </row>
    <row r="2070" s="2" customFormat="1" ht="13.5" customHeight="1">
      <c r="B2070" s="13"/>
      <c r="C2070" t="s" s="9">
        <v>16</v>
      </c>
      <c r="D2070" t="s" s="8">
        <v>739</v>
      </c>
      <c r="E2070" t="s" s="9">
        <v>740</v>
      </c>
      <c r="F2070" t="s" s="10">
        <v>185</v>
      </c>
      <c r="G2070" t="s" s="11">
        <v>55</v>
      </c>
      <c r="H2070" t="s" s="10">
        <v>185</v>
      </c>
      <c r="I2070" t="s" s="11">
        <v>55</v>
      </c>
      <c r="J2070" t="s" s="11">
        <v>20</v>
      </c>
      <c r="K2070" s="15"/>
      <c r="L2070" t="s" s="16">
        <f>HYPERLINK("http://csr.bu.edu/ftp/asl/asllvd/demos/verify_start_end_handshape_annotations//test_auto_move//signs_mov_separ_signers/Liz_449.mov","MOV")</f>
        <v>21</v>
      </c>
      <c r="M2070" t="s" s="10">
        <v>22</v>
      </c>
      <c r="N2070" s="17">
        <v>75</v>
      </c>
      <c r="O2070" s="18">
        <v>1000</v>
      </c>
      <c r="P2070" s="18">
        <v>1060</v>
      </c>
      <c r="Q2070" s="15"/>
      <c r="R2070" t="s" s="16">
        <f>HYPERLINK("http://secrets.rutgers.edu:8080/data/asl-ftp/asllvd/demos/verify_start_end_handshape_annotations//test_auto_move//signs_mov_separ_signers/Liz_449.mov","MOV")</f>
        <v>21</v>
      </c>
    </row>
    <row r="2071" s="2" customFormat="1" ht="13.5" customHeight="1">
      <c r="B2071" s="13"/>
      <c r="C2071" t="s" s="9">
        <v>23</v>
      </c>
      <c r="D2071" t="s" s="8">
        <v>739</v>
      </c>
      <c r="E2071" t="s" s="9">
        <v>740</v>
      </c>
      <c r="F2071" t="s" s="10">
        <v>185</v>
      </c>
      <c r="G2071" t="s" s="11">
        <v>105</v>
      </c>
      <c r="H2071" t="s" s="10">
        <v>185</v>
      </c>
      <c r="I2071" t="s" s="11">
        <v>105</v>
      </c>
      <c r="J2071" t="s" s="11">
        <v>20</v>
      </c>
      <c r="K2071" t="s" s="16">
        <f>HYPERLINK("http://csr.bu.edu/ftp/asl/asllvd/demos/verify_start_end_handshape_annotations//test_auto_move//signs_mov/449.mov","MOV")</f>
        <v>21</v>
      </c>
      <c r="L2071" t="s" s="16">
        <f>HYPERLINK("http://csr.bu.edu/ftp/asl/asllvd/demos/verify_start_end_handshape_annotations//test_auto_move//signs_mov_separ_signers/Tyler_449.mov","MOV")</f>
        <v>21</v>
      </c>
      <c r="M2071" t="s" s="10">
        <v>26</v>
      </c>
      <c r="N2071" s="17">
        <v>45</v>
      </c>
      <c r="O2071" s="18">
        <v>3070</v>
      </c>
      <c r="P2071" s="18">
        <v>3127</v>
      </c>
      <c r="Q2071" t="s" s="16">
        <f>HYPERLINK("http://secrets.rutgers.edu:8080/data/asl-ftp/asllvd/demos/verify_start_end_handshape_annotations//test_auto_move//signs_mov/449.mov","MOV")</f>
        <v>21</v>
      </c>
      <c r="R2071" t="s" s="16">
        <f>HYPERLINK("http://secrets.rutgers.edu:8080/data/asl-ftp/asllvd/demos/verify_start_end_handshape_annotations//test_auto_move//signs_mov_separ_signers/Tyler_449.mov","MOV")</f>
        <v>21</v>
      </c>
    </row>
    <row r="2072" s="2" customFormat="1" ht="13.5" customHeight="1">
      <c r="B2072" s="13"/>
      <c r="C2072" t="s" s="9">
        <v>27</v>
      </c>
      <c r="D2072" t="s" s="8">
        <v>739</v>
      </c>
      <c r="E2072" t="s" s="9">
        <v>740</v>
      </c>
      <c r="F2072" t="s" s="10">
        <v>185</v>
      </c>
      <c r="G2072" t="s" s="11">
        <v>105</v>
      </c>
      <c r="H2072" t="s" s="10">
        <v>185</v>
      </c>
      <c r="I2072" t="s" s="11">
        <v>105</v>
      </c>
      <c r="J2072" t="s" s="11">
        <v>20</v>
      </c>
      <c r="K2072" s="15"/>
      <c r="L2072" t="s" s="16">
        <f>HYPERLINK("http://csr.bu.edu/ftp/asl/asllvd/demos/verify_start_end_handshape_annotations//test_auto_move//signs_mov_separ_signers/Naomi_449.mov","MOV")</f>
        <v>21</v>
      </c>
      <c r="M2072" t="s" s="10">
        <v>29</v>
      </c>
      <c r="N2072" s="17">
        <v>47</v>
      </c>
      <c r="O2072" s="18">
        <v>3080</v>
      </c>
      <c r="P2072" s="18">
        <v>3115</v>
      </c>
      <c r="Q2072" s="15"/>
      <c r="R2072" t="s" s="16">
        <f>HYPERLINK("http://secrets.rutgers.edu:8080/data/asl-ftp/asllvd/demos/verify_start_end_handshape_annotations//test_auto_move//signs_mov_separ_signers/Naomi_449.mov","MOV")</f>
        <v>21</v>
      </c>
    </row>
    <row r="2073" s="2" customFormat="1" ht="13.5" customHeight="1">
      <c r="B2073" s="13"/>
      <c r="C2073" t="s" s="9">
        <v>30</v>
      </c>
      <c r="D2073" t="s" s="8">
        <v>739</v>
      </c>
      <c r="E2073" t="s" s="9">
        <v>740</v>
      </c>
      <c r="F2073" t="s" s="10">
        <v>185</v>
      </c>
      <c r="G2073" t="s" s="11">
        <v>105</v>
      </c>
      <c r="H2073" t="s" s="10">
        <v>185</v>
      </c>
      <c r="I2073" t="s" s="11">
        <v>105</v>
      </c>
      <c r="J2073" t="s" s="11">
        <v>20</v>
      </c>
      <c r="K2073" s="15"/>
      <c r="L2073" t="s" s="16">
        <f>HYPERLINK("http://csr.bu.edu/ftp/asl/asllvd/demos/verify_start_end_handshape_annotations//test_auto_move//signs_mov_separ_signers/Brady_449.mov","MOV")</f>
        <v>21</v>
      </c>
      <c r="M2073" t="s" s="10">
        <v>31</v>
      </c>
      <c r="N2073" s="17">
        <v>27</v>
      </c>
      <c r="O2073" s="18">
        <v>10096</v>
      </c>
      <c r="P2073" s="18">
        <v>10137</v>
      </c>
      <c r="Q2073" s="15"/>
      <c r="R2073" t="s" s="16">
        <f>HYPERLINK("http://secrets.rutgers.edu:8080/data/asl-ftp/asllvd/demos/verify_start_end_handshape_annotations//test_auto_move//signs_mov_separ_signers/Brady_449.mov","MOV")</f>
        <v>21</v>
      </c>
    </row>
    <row r="2074" s="2" customFormat="1" ht="13.5" customHeight="1">
      <c r="B2074" t="s" s="8">
        <v>741</v>
      </c>
      <c r="C2074" t="s" s="9">
        <v>14</v>
      </c>
      <c r="D2074" t="s" s="8">
        <v>14</v>
      </c>
      <c r="E2074" t="s" s="9">
        <v>14</v>
      </c>
      <c r="F2074" t="s" s="10">
        <v>14</v>
      </c>
      <c r="G2074" t="s" s="11">
        <v>14</v>
      </c>
      <c r="H2074" t="s" s="10">
        <v>14</v>
      </c>
      <c r="I2074" t="s" s="11">
        <v>14</v>
      </c>
      <c r="J2074" t="s" s="11">
        <v>14</v>
      </c>
      <c r="K2074" t="s" s="12">
        <v>14</v>
      </c>
      <c r="L2074" t="s" s="12">
        <v>14</v>
      </c>
      <c r="M2074" t="s" s="10">
        <v>14</v>
      </c>
      <c r="N2074" t="s" s="11">
        <v>14</v>
      </c>
      <c r="O2074" t="s" s="8">
        <v>14</v>
      </c>
      <c r="P2074" t="s" s="8">
        <v>14</v>
      </c>
      <c r="Q2074" t="s" s="12">
        <v>14</v>
      </c>
      <c r="R2074" t="s" s="12">
        <v>14</v>
      </c>
    </row>
    <row r="2075" s="2" customFormat="1" ht="13.5" customHeight="1">
      <c r="B2075" s="13"/>
      <c r="C2075" t="s" s="9">
        <v>16</v>
      </c>
      <c r="D2075" t="s" s="8">
        <v>741</v>
      </c>
      <c r="E2075" t="s" s="9">
        <v>741</v>
      </c>
      <c r="F2075" t="s" s="10">
        <v>72</v>
      </c>
      <c r="G2075" s="17">
        <v>5</v>
      </c>
      <c r="H2075" t="s" s="10">
        <v>282</v>
      </c>
      <c r="I2075" s="17">
        <v>5</v>
      </c>
      <c r="J2075" t="s" s="11">
        <v>20</v>
      </c>
      <c r="K2075" s="15"/>
      <c r="L2075" t="s" s="16">
        <f>HYPERLINK("http://csr.bu.edu/ftp/asl/asllvd/demos/verify_start_end_handshape_annotations//test_auto_move//signs_mov_separ_signers/Liz_451.mov","MOV")</f>
        <v>21</v>
      </c>
      <c r="M2075" t="s" s="10">
        <v>22</v>
      </c>
      <c r="N2075" s="17">
        <v>75</v>
      </c>
      <c r="O2075" s="18">
        <v>1250</v>
      </c>
      <c r="P2075" s="18">
        <v>1301</v>
      </c>
      <c r="Q2075" s="15"/>
      <c r="R2075" t="s" s="16">
        <f>HYPERLINK("http://secrets.rutgers.edu:8080/data/asl-ftp/asllvd/demos/verify_start_end_handshape_annotations//test_auto_move//signs_mov_separ_signers/Liz_451.mov","MOV")</f>
        <v>21</v>
      </c>
    </row>
    <row r="2076" s="2" customFormat="1" ht="13.5" customHeight="1">
      <c r="B2076" s="13"/>
      <c r="C2076" t="s" s="9">
        <v>16</v>
      </c>
      <c r="D2076" t="s" s="8">
        <v>741</v>
      </c>
      <c r="E2076" t="s" s="9">
        <v>741</v>
      </c>
      <c r="F2076" t="s" s="10">
        <v>437</v>
      </c>
      <c r="G2076" s="17">
        <v>5</v>
      </c>
      <c r="H2076" t="s" s="10">
        <v>282</v>
      </c>
      <c r="I2076" s="17">
        <v>5</v>
      </c>
      <c r="J2076" t="s" s="11">
        <v>20</v>
      </c>
      <c r="K2076" t="s" s="16">
        <f>HYPERLINK("http://csr.bu.edu/ftp/asl/asllvd/demos/verify_start_end_handshape_annotations//test_auto_move//signs_mov/451_3327_merged.mov","MOV")</f>
        <v>21</v>
      </c>
      <c r="L2076" t="s" s="16">
        <f>HYPERLINK("http://csr.bu.edu/ftp/asl/asllvd/demos/verify_start_end_handshape_annotations//test_auto_move//signs_mov_separ_signers/Liz_3327.mov","MOV")</f>
        <v>21</v>
      </c>
      <c r="M2076" t="s" s="10">
        <v>22</v>
      </c>
      <c r="N2076" s="17">
        <v>75</v>
      </c>
      <c r="O2076" s="18">
        <v>1511</v>
      </c>
      <c r="P2076" s="18">
        <v>1570</v>
      </c>
      <c r="Q2076" t="s" s="16">
        <f>HYPERLINK("http://secrets.rutgers.edu:8080/data/asl-ftp/asllvd/demos/verify_start_end_handshape_annotations//test_auto_move//signs_mov/451_3327_merged.mov","MOV")</f>
        <v>21</v>
      </c>
      <c r="R2076" t="s" s="16">
        <f>HYPERLINK("http://secrets.rutgers.edu:8080/data/asl-ftp/asllvd/demos/verify_start_end_handshape_annotations//test_auto_move//signs_mov_separ_signers/Liz_3327.mov","MOV")</f>
        <v>21</v>
      </c>
    </row>
    <row r="2077" s="2" customFormat="1" ht="13.5" customHeight="1">
      <c r="B2077" s="13"/>
      <c r="C2077" t="s" s="9">
        <v>27</v>
      </c>
      <c r="D2077" t="s" s="8">
        <v>741</v>
      </c>
      <c r="E2077" t="s" s="9">
        <v>741</v>
      </c>
      <c r="F2077" t="s" s="10">
        <v>437</v>
      </c>
      <c r="G2077" s="17">
        <v>5</v>
      </c>
      <c r="H2077" t="s" s="10">
        <v>282</v>
      </c>
      <c r="I2077" s="17">
        <v>5</v>
      </c>
      <c r="J2077" t="s" s="11">
        <v>20</v>
      </c>
      <c r="K2077" s="15"/>
      <c r="L2077" t="s" s="16">
        <f>HYPERLINK("http://csr.bu.edu/ftp/asl/asllvd/demos/verify_start_end_handshape_annotations//test_auto_move//signs_mov_separ_signers/Naomi_451.mov","MOV")</f>
        <v>21</v>
      </c>
      <c r="M2077" t="s" s="10">
        <v>29</v>
      </c>
      <c r="N2077" s="17">
        <v>47</v>
      </c>
      <c r="O2077" s="18">
        <v>3330</v>
      </c>
      <c r="P2077" s="18">
        <v>3375</v>
      </c>
      <c r="Q2077" s="15"/>
      <c r="R2077" t="s" s="16">
        <f>HYPERLINK("http://secrets.rutgers.edu:8080/data/asl-ftp/asllvd/demos/verify_start_end_handshape_annotations//test_auto_move//signs_mov_separ_signers/Naomi_451.mov","MOV")</f>
        <v>21</v>
      </c>
    </row>
    <row r="2078" s="2" customFormat="1" ht="13.5" customHeight="1">
      <c r="B2078" s="13"/>
      <c r="C2078" t="s" s="9">
        <v>27</v>
      </c>
      <c r="D2078" t="s" s="8">
        <v>741</v>
      </c>
      <c r="E2078" t="s" s="9">
        <v>741</v>
      </c>
      <c r="F2078" t="s" s="10">
        <v>437</v>
      </c>
      <c r="G2078" s="17">
        <v>5</v>
      </c>
      <c r="H2078" t="s" s="10">
        <v>282</v>
      </c>
      <c r="I2078" s="17">
        <v>5</v>
      </c>
      <c r="J2078" t="s" s="11">
        <v>20</v>
      </c>
      <c r="K2078" s="15"/>
      <c r="L2078" t="s" s="16">
        <f>HYPERLINK("http://csr.bu.edu/ftp/asl/asllvd/demos/verify_start_end_handshape_annotations//test_auto_move//signs_mov_separ_signers/Naomi_3327.mov","MOV")</f>
        <v>21</v>
      </c>
      <c r="M2078" t="s" s="10">
        <v>29</v>
      </c>
      <c r="N2078" s="17">
        <v>48</v>
      </c>
      <c r="O2078" s="18">
        <v>276</v>
      </c>
      <c r="P2078" s="18">
        <v>325</v>
      </c>
      <c r="Q2078" s="15"/>
      <c r="R2078" t="s" s="16">
        <f>HYPERLINK("http://secrets.rutgers.edu:8080/data/asl-ftp/asllvd/demos/verify_start_end_handshape_annotations//test_auto_move//signs_mov_separ_signers/Naomi_3327.mov","MOV")</f>
        <v>21</v>
      </c>
    </row>
    <row r="2079" s="2" customFormat="1" ht="13.5" customHeight="1">
      <c r="B2079" t="s" s="8">
        <v>52</v>
      </c>
      <c r="C2079" t="s" s="9">
        <v>53</v>
      </c>
      <c r="D2079" t="s" s="8">
        <v>53</v>
      </c>
      <c r="E2079" t="s" s="9">
        <v>53</v>
      </c>
      <c r="F2079" t="s" s="10">
        <v>53</v>
      </c>
      <c r="G2079" t="s" s="11">
        <v>53</v>
      </c>
      <c r="H2079" t="s" s="10">
        <v>53</v>
      </c>
      <c r="I2079" t="s" s="11">
        <v>53</v>
      </c>
      <c r="J2079" t="s" s="11">
        <v>53</v>
      </c>
      <c r="K2079" t="s" s="12">
        <v>53</v>
      </c>
      <c r="L2079" t="s" s="12">
        <v>53</v>
      </c>
      <c r="M2079" t="s" s="10">
        <v>53</v>
      </c>
      <c r="N2079" t="s" s="11">
        <v>53</v>
      </c>
      <c r="O2079" t="s" s="8">
        <v>53</v>
      </c>
      <c r="P2079" t="s" s="8">
        <v>53</v>
      </c>
      <c r="Q2079" t="s" s="12">
        <v>53</v>
      </c>
      <c r="R2079" t="s" s="12">
        <v>53</v>
      </c>
    </row>
    <row r="2080" s="2" customFormat="1" ht="13.5" customHeight="1">
      <c r="B2080" s="13"/>
      <c r="C2080" t="s" s="9">
        <v>23</v>
      </c>
      <c r="D2080" t="s" s="8">
        <v>741</v>
      </c>
      <c r="E2080" t="s" s="9">
        <v>742</v>
      </c>
      <c r="F2080" s="19">
        <v>5</v>
      </c>
      <c r="G2080" s="14"/>
      <c r="H2080" s="19">
        <v>8</v>
      </c>
      <c r="I2080" s="14"/>
      <c r="J2080" t="s" s="11">
        <v>20</v>
      </c>
      <c r="K2080" t="s" s="16">
        <f>HYPERLINK("http://csr.bu.edu/ftp/asl/asllvd/demos/verify_start_end_handshape_annotations//test_auto_move//signs_mov/5138.mov","MOV")</f>
        <v>21</v>
      </c>
      <c r="L2080" t="s" s="16">
        <f>HYPERLINK("http://csr.bu.edu/ftp/asl/asllvd/demos/verify_start_end_handshape_annotations//test_auto_move//signs_mov_separ_signers/Tyler_5138.mov","MOV")</f>
        <v>21</v>
      </c>
      <c r="M2080" t="s" s="10">
        <v>26</v>
      </c>
      <c r="N2080" s="17">
        <v>46</v>
      </c>
      <c r="O2080" s="18">
        <v>302</v>
      </c>
      <c r="P2080" s="18">
        <v>375</v>
      </c>
      <c r="Q2080" t="s" s="16">
        <f>HYPERLINK("http://secrets.rutgers.edu:8080/data/asl-ftp/asllvd/demos/verify_start_end_handshape_annotations//test_auto_move//signs_mov/5138.mov","MOV")</f>
        <v>21</v>
      </c>
      <c r="R2080" t="s" s="16">
        <f>HYPERLINK("http://secrets.rutgers.edu:8080/data/asl-ftp/asllvd/demos/verify_start_end_handshape_annotations//test_auto_move//signs_mov_separ_signers/Tyler_5138.mov","MOV")</f>
        <v>21</v>
      </c>
    </row>
    <row r="2081" s="2" customFormat="1" ht="13.5" customHeight="1">
      <c r="B2081" t="s" s="8">
        <v>52</v>
      </c>
      <c r="C2081" t="s" s="9">
        <v>53</v>
      </c>
      <c r="D2081" t="s" s="8">
        <v>53</v>
      </c>
      <c r="E2081" t="s" s="9">
        <v>53</v>
      </c>
      <c r="F2081" t="s" s="10">
        <v>53</v>
      </c>
      <c r="G2081" t="s" s="11">
        <v>53</v>
      </c>
      <c r="H2081" t="s" s="10">
        <v>53</v>
      </c>
      <c r="I2081" t="s" s="11">
        <v>53</v>
      </c>
      <c r="J2081" t="s" s="11">
        <v>53</v>
      </c>
      <c r="K2081" t="s" s="12">
        <v>53</v>
      </c>
      <c r="L2081" t="s" s="12">
        <v>53</v>
      </c>
      <c r="M2081" t="s" s="10">
        <v>53</v>
      </c>
      <c r="N2081" t="s" s="11">
        <v>53</v>
      </c>
      <c r="O2081" t="s" s="8">
        <v>53</v>
      </c>
      <c r="P2081" t="s" s="8">
        <v>53</v>
      </c>
      <c r="Q2081" t="s" s="12">
        <v>53</v>
      </c>
      <c r="R2081" t="s" s="12">
        <v>53</v>
      </c>
    </row>
    <row r="2082" s="2" customFormat="1" ht="13.5" customHeight="1">
      <c r="B2082" s="13"/>
      <c r="C2082" t="s" s="9">
        <v>30</v>
      </c>
      <c r="D2082" t="s" s="8">
        <v>741</v>
      </c>
      <c r="E2082" t="s" s="9">
        <v>743</v>
      </c>
      <c r="F2082" t="s" s="10">
        <v>430</v>
      </c>
      <c r="G2082" s="17">
        <v>5</v>
      </c>
      <c r="H2082" s="19">
        <v>8</v>
      </c>
      <c r="I2082" s="17">
        <v>5</v>
      </c>
      <c r="J2082" t="s" s="11">
        <v>20</v>
      </c>
      <c r="K2082" t="s" s="16">
        <f>HYPERLINK("http://csr.bu.edu/ftp/asl/asllvd/demos/verify_start_end_handshape_annotations//test_auto_move//signs_mov/16559_16560_merged.mov","MOV")</f>
        <v>21</v>
      </c>
      <c r="L2082" t="s" s="16">
        <f>HYPERLINK("http://csr.bu.edu/ftp/asl/asllvd/demos/verify_start_end_handshape_annotations//test_auto_move//signs_mov_separ_signers/Brady_16559.mov","MOV")</f>
        <v>21</v>
      </c>
      <c r="M2082" t="s" s="10">
        <v>31</v>
      </c>
      <c r="N2082" s="17">
        <v>27</v>
      </c>
      <c r="O2082" s="18">
        <v>10600</v>
      </c>
      <c r="P2082" s="18">
        <v>10650</v>
      </c>
      <c r="Q2082" t="s" s="16">
        <f>HYPERLINK("http://secrets.rutgers.edu:8080/data/asl-ftp/asllvd/demos/verify_start_end_handshape_annotations//test_auto_move//signs_mov/16559_16560_merged.mov","MOV")</f>
        <v>21</v>
      </c>
      <c r="R2082" t="s" s="16">
        <f>HYPERLINK("http://secrets.rutgers.edu:8080/data/asl-ftp/asllvd/demos/verify_start_end_handshape_annotations//test_auto_move//signs_mov_separ_signers/Brady_16559.mov","MOV")</f>
        <v>21</v>
      </c>
    </row>
    <row r="2083" s="2" customFormat="1" ht="13.5" customHeight="1">
      <c r="B2083" s="13"/>
      <c r="C2083" t="s" s="9">
        <v>30</v>
      </c>
      <c r="D2083" t="s" s="8">
        <v>741</v>
      </c>
      <c r="E2083" t="s" s="9">
        <v>743</v>
      </c>
      <c r="F2083" t="s" s="10">
        <v>437</v>
      </c>
      <c r="G2083" s="17">
        <v>5</v>
      </c>
      <c r="H2083" t="s" s="10">
        <v>282</v>
      </c>
      <c r="I2083" s="17">
        <v>5</v>
      </c>
      <c r="J2083" t="s" s="11">
        <v>20</v>
      </c>
      <c r="K2083" s="15"/>
      <c r="L2083" t="s" s="16">
        <f>HYPERLINK("http://csr.bu.edu/ftp/asl/asllvd/demos/verify_start_end_handshape_annotations//test_auto_move//signs_mov_separ_signers/Brady_16560.mov","MOV")</f>
        <v>21</v>
      </c>
      <c r="M2083" t="s" s="10">
        <v>60</v>
      </c>
      <c r="N2083" s="17">
        <v>40</v>
      </c>
      <c r="O2083" s="18">
        <v>572</v>
      </c>
      <c r="P2083" s="18">
        <v>620</v>
      </c>
      <c r="Q2083" s="15"/>
      <c r="R2083" t="s" s="16">
        <f>HYPERLINK("http://secrets.rutgers.edu:8080/data/asl-ftp/asllvd/demos/verify_start_end_handshape_annotations//test_auto_move//signs_mov_separ_signers/Brady_16560.mov","MOV")</f>
        <v>21</v>
      </c>
    </row>
    <row r="2084" s="2" customFormat="1" ht="13.5" customHeight="1">
      <c r="B2084" t="s" s="8">
        <v>744</v>
      </c>
      <c r="C2084" t="s" s="9">
        <v>14</v>
      </c>
      <c r="D2084" t="s" s="8">
        <v>14</v>
      </c>
      <c r="E2084" t="s" s="9">
        <v>14</v>
      </c>
      <c r="F2084" t="s" s="10">
        <v>14</v>
      </c>
      <c r="G2084" t="s" s="11">
        <v>14</v>
      </c>
      <c r="H2084" t="s" s="10">
        <v>14</v>
      </c>
      <c r="I2084" t="s" s="11">
        <v>14</v>
      </c>
      <c r="J2084" t="s" s="11">
        <v>14</v>
      </c>
      <c r="K2084" t="s" s="12">
        <v>14</v>
      </c>
      <c r="L2084" t="s" s="12">
        <v>14</v>
      </c>
      <c r="M2084" t="s" s="10">
        <v>14</v>
      </c>
      <c r="N2084" t="s" s="11">
        <v>14</v>
      </c>
      <c r="O2084" t="s" s="8">
        <v>14</v>
      </c>
      <c r="P2084" t="s" s="8">
        <v>14</v>
      </c>
      <c r="Q2084" t="s" s="12">
        <v>14</v>
      </c>
      <c r="R2084" t="s" s="12">
        <v>14</v>
      </c>
    </row>
    <row r="2085" s="2" customFormat="1" ht="13.5" customHeight="1">
      <c r="B2085" s="13"/>
      <c r="C2085" t="s" s="9">
        <v>16</v>
      </c>
      <c r="D2085" t="s" s="8">
        <v>744</v>
      </c>
      <c r="E2085" t="s" s="9">
        <v>744</v>
      </c>
      <c r="F2085" t="s" s="10">
        <v>185</v>
      </c>
      <c r="G2085" t="s" s="11">
        <v>185</v>
      </c>
      <c r="H2085" t="s" s="10">
        <v>185</v>
      </c>
      <c r="I2085" t="s" s="11">
        <v>185</v>
      </c>
      <c r="J2085" t="s" s="11">
        <v>20</v>
      </c>
      <c r="K2085" s="15"/>
      <c r="L2085" t="s" s="16">
        <f>HYPERLINK("http://csr.bu.edu/ftp/asl/asllvd/demos/verify_start_end_handshape_annotations//test_auto_move//signs_mov_separ_signers/Liz_452.mov","MOV")</f>
        <v>21</v>
      </c>
      <c r="M2085" t="s" s="10">
        <v>22</v>
      </c>
      <c r="N2085" s="17">
        <v>76</v>
      </c>
      <c r="O2085" s="18">
        <v>490</v>
      </c>
      <c r="P2085" s="18">
        <v>515</v>
      </c>
      <c r="Q2085" s="15"/>
      <c r="R2085" t="s" s="16">
        <f>HYPERLINK("http://secrets.rutgers.edu:8080/data/asl-ftp/asllvd/demos/verify_start_end_handshape_annotations//test_auto_move//signs_mov_separ_signers/Liz_452.mov","MOV")</f>
        <v>21</v>
      </c>
    </row>
    <row r="2086" s="2" customFormat="1" ht="13.5" customHeight="1">
      <c r="B2086" s="13"/>
      <c r="C2086" t="s" s="9">
        <v>23</v>
      </c>
      <c r="D2086" t="s" s="8">
        <v>744</v>
      </c>
      <c r="E2086" t="s" s="9">
        <v>744</v>
      </c>
      <c r="F2086" t="s" s="10">
        <v>185</v>
      </c>
      <c r="G2086" t="s" s="11">
        <v>185</v>
      </c>
      <c r="H2086" t="s" s="10">
        <v>185</v>
      </c>
      <c r="I2086" t="s" s="11">
        <v>185</v>
      </c>
      <c r="J2086" t="s" s="11">
        <v>20</v>
      </c>
      <c r="K2086" t="s" s="16">
        <f>HYPERLINK("http://csr.bu.edu/ftp/asl/asllvd/demos/verify_start_end_handshape_annotations//test_auto_move//signs_mov/452.mov","MOV")</f>
        <v>21</v>
      </c>
      <c r="L2086" t="s" s="16">
        <f>HYPERLINK("http://csr.bu.edu/ftp/asl/asllvd/demos/verify_start_end_handshape_annotations//test_auto_move//signs_mov_separ_signers/Tyler_452.mov","MOV")</f>
        <v>21</v>
      </c>
      <c r="M2086" t="s" s="10">
        <v>26</v>
      </c>
      <c r="N2086" s="17">
        <v>46</v>
      </c>
      <c r="O2086" s="18">
        <v>765</v>
      </c>
      <c r="P2086" s="18">
        <v>797</v>
      </c>
      <c r="Q2086" t="s" s="16">
        <f>HYPERLINK("http://secrets.rutgers.edu:8080/data/asl-ftp/asllvd/demos/verify_start_end_handshape_annotations//test_auto_move//signs_mov/452.mov","MOV")</f>
        <v>21</v>
      </c>
      <c r="R2086" t="s" s="16">
        <f>HYPERLINK("http://secrets.rutgers.edu:8080/data/asl-ftp/asllvd/demos/verify_start_end_handshape_annotations//test_auto_move//signs_mov_separ_signers/Tyler_452.mov","MOV")</f>
        <v>21</v>
      </c>
    </row>
    <row r="2087" s="2" customFormat="1" ht="13.5" customHeight="1">
      <c r="B2087" s="13"/>
      <c r="C2087" t="s" s="9">
        <v>27</v>
      </c>
      <c r="D2087" t="s" s="8">
        <v>744</v>
      </c>
      <c r="E2087" t="s" s="9">
        <v>744</v>
      </c>
      <c r="F2087" t="s" s="10">
        <v>185</v>
      </c>
      <c r="G2087" t="s" s="11">
        <v>185</v>
      </c>
      <c r="H2087" t="s" s="10">
        <v>185</v>
      </c>
      <c r="I2087" t="s" s="11">
        <v>185</v>
      </c>
      <c r="J2087" t="s" s="11">
        <v>20</v>
      </c>
      <c r="K2087" s="15"/>
      <c r="L2087" t="s" s="16">
        <f>HYPERLINK("http://csr.bu.edu/ftp/asl/asllvd/demos/verify_start_end_handshape_annotations//test_auto_move//signs_mov_separ_signers/Naomi_452.mov","MOV")</f>
        <v>21</v>
      </c>
      <c r="M2087" t="s" s="10">
        <v>29</v>
      </c>
      <c r="N2087" s="17">
        <v>48</v>
      </c>
      <c r="O2087" s="18">
        <v>1042</v>
      </c>
      <c r="P2087" s="18">
        <v>1061</v>
      </c>
      <c r="Q2087" s="15"/>
      <c r="R2087" t="s" s="16">
        <f>HYPERLINK("http://secrets.rutgers.edu:8080/data/asl-ftp/asllvd/demos/verify_start_end_handshape_annotations//test_auto_move//signs_mov_separ_signers/Naomi_452.mov","MOV")</f>
        <v>21</v>
      </c>
    </row>
    <row r="2088" s="2" customFormat="1" ht="13.5" customHeight="1">
      <c r="B2088" s="13"/>
      <c r="C2088" t="s" s="9">
        <v>30</v>
      </c>
      <c r="D2088" t="s" s="8">
        <v>744</v>
      </c>
      <c r="E2088" t="s" s="9">
        <v>744</v>
      </c>
      <c r="F2088" t="s" s="10">
        <v>185</v>
      </c>
      <c r="G2088" t="s" s="11">
        <v>185</v>
      </c>
      <c r="H2088" t="s" s="10">
        <v>185</v>
      </c>
      <c r="I2088" t="s" s="11">
        <v>185</v>
      </c>
      <c r="J2088" t="s" s="11">
        <v>20</v>
      </c>
      <c r="K2088" s="15"/>
      <c r="L2088" t="s" s="16">
        <f>HYPERLINK("http://csr.bu.edu/ftp/asl/asllvd/demos/verify_start_end_handshape_annotations//test_auto_move//signs_mov_separ_signers/Brady_452.mov","MOV")</f>
        <v>21</v>
      </c>
      <c r="M2088" t="s" s="10">
        <v>31</v>
      </c>
      <c r="N2088" s="17">
        <v>27</v>
      </c>
      <c r="O2088" s="18">
        <v>11384</v>
      </c>
      <c r="P2088" s="18">
        <v>11406</v>
      </c>
      <c r="Q2088" s="15"/>
      <c r="R2088" t="s" s="16">
        <f>HYPERLINK("http://secrets.rutgers.edu:8080/data/asl-ftp/asllvd/demos/verify_start_end_handshape_annotations//test_auto_move//signs_mov_separ_signers/Brady_452.mov","MOV")</f>
        <v>21</v>
      </c>
    </row>
    <row r="2089" s="2" customFormat="1" ht="13.5" customHeight="1">
      <c r="B2089" t="s" s="8">
        <v>52</v>
      </c>
      <c r="C2089" t="s" s="9">
        <v>53</v>
      </c>
      <c r="D2089" t="s" s="8">
        <v>53</v>
      </c>
      <c r="E2089" t="s" s="9">
        <v>53</v>
      </c>
      <c r="F2089" t="s" s="10">
        <v>53</v>
      </c>
      <c r="G2089" t="s" s="11">
        <v>53</v>
      </c>
      <c r="H2089" t="s" s="10">
        <v>53</v>
      </c>
      <c r="I2089" t="s" s="11">
        <v>53</v>
      </c>
      <c r="J2089" t="s" s="11">
        <v>53</v>
      </c>
      <c r="K2089" t="s" s="12">
        <v>53</v>
      </c>
      <c r="L2089" t="s" s="12">
        <v>53</v>
      </c>
      <c r="M2089" t="s" s="10">
        <v>53</v>
      </c>
      <c r="N2089" t="s" s="11">
        <v>53</v>
      </c>
      <c r="O2089" t="s" s="8">
        <v>53</v>
      </c>
      <c r="P2089" t="s" s="8">
        <v>53</v>
      </c>
      <c r="Q2089" t="s" s="12">
        <v>53</v>
      </c>
      <c r="R2089" t="s" s="12">
        <v>53</v>
      </c>
    </row>
    <row r="2090" s="2" customFormat="1" ht="13.5" customHeight="1">
      <c r="B2090" s="13"/>
      <c r="C2090" t="s" s="9">
        <v>27</v>
      </c>
      <c r="D2090" t="s" s="8">
        <v>744</v>
      </c>
      <c r="E2090" t="s" s="9">
        <v>745</v>
      </c>
      <c r="F2090" t="s" s="10">
        <v>185</v>
      </c>
      <c r="G2090" t="s" s="11">
        <v>185</v>
      </c>
      <c r="H2090" t="s" s="10">
        <v>185</v>
      </c>
      <c r="I2090" t="s" s="11">
        <v>185</v>
      </c>
      <c r="J2090" t="s" s="11">
        <v>20</v>
      </c>
      <c r="K2090" t="s" s="16">
        <f>HYPERLINK("http://csr.bu.edu/ftp/asl/asllvd/demos/verify_start_end_handshape_annotations//test_auto_move//signs_mov/5139.mov","MOV")</f>
        <v>21</v>
      </c>
      <c r="L2090" t="s" s="16">
        <f>HYPERLINK("http://csr.bu.edu/ftp/asl/asllvd/demos/verify_start_end_handshape_annotations//test_auto_move//signs_mov_separ_signers/Naomi_5139.mov","MOV")</f>
        <v>21</v>
      </c>
      <c r="M2090" t="s" s="10">
        <v>29</v>
      </c>
      <c r="N2090" s="17">
        <v>48</v>
      </c>
      <c r="O2090" s="18">
        <v>610</v>
      </c>
      <c r="P2090" s="18">
        <v>636</v>
      </c>
      <c r="Q2090" t="s" s="16">
        <f>HYPERLINK("http://secrets.rutgers.edu:8080/data/asl-ftp/asllvd/demos/verify_start_end_handshape_annotations//test_auto_move//signs_mov/5139.mov","MOV")</f>
        <v>21</v>
      </c>
      <c r="R2090" t="s" s="16">
        <f>HYPERLINK("http://secrets.rutgers.edu:8080/data/asl-ftp/asllvd/demos/verify_start_end_handshape_annotations//test_auto_move//signs_mov_separ_signers/Naomi_5139.mov","MOV")</f>
        <v>21</v>
      </c>
    </row>
    <row r="2091" s="2" customFormat="1" ht="13.5" customHeight="1">
      <c r="B2091" t="s" s="8">
        <v>52</v>
      </c>
      <c r="C2091" t="s" s="9">
        <v>53</v>
      </c>
      <c r="D2091" t="s" s="8">
        <v>53</v>
      </c>
      <c r="E2091" t="s" s="9">
        <v>53</v>
      </c>
      <c r="F2091" t="s" s="10">
        <v>53</v>
      </c>
      <c r="G2091" t="s" s="11">
        <v>53</v>
      </c>
      <c r="H2091" t="s" s="10">
        <v>53</v>
      </c>
      <c r="I2091" t="s" s="11">
        <v>53</v>
      </c>
      <c r="J2091" t="s" s="11">
        <v>53</v>
      </c>
      <c r="K2091" t="s" s="12">
        <v>53</v>
      </c>
      <c r="L2091" t="s" s="12">
        <v>53</v>
      </c>
      <c r="M2091" t="s" s="10">
        <v>53</v>
      </c>
      <c r="N2091" t="s" s="11">
        <v>53</v>
      </c>
      <c r="O2091" t="s" s="8">
        <v>53</v>
      </c>
      <c r="P2091" t="s" s="8">
        <v>53</v>
      </c>
      <c r="Q2091" t="s" s="12">
        <v>53</v>
      </c>
      <c r="R2091" t="s" s="12">
        <v>53</v>
      </c>
    </row>
    <row r="2092" s="2" customFormat="1" ht="13.5" customHeight="1">
      <c r="B2092" s="13"/>
      <c r="C2092" t="s" s="9">
        <v>16</v>
      </c>
      <c r="D2092" t="s" s="8">
        <v>744</v>
      </c>
      <c r="E2092" t="s" s="9">
        <v>746</v>
      </c>
      <c r="F2092" t="s" s="10">
        <v>185</v>
      </c>
      <c r="G2092" s="14"/>
      <c r="H2092" t="s" s="10">
        <v>185</v>
      </c>
      <c r="I2092" s="14"/>
      <c r="J2092" t="s" s="11">
        <v>20</v>
      </c>
      <c r="K2092" t="s" s="16">
        <f>HYPERLINK("http://csr.bu.edu/ftp/asl/asllvd/demos/verify_start_end_handshape_annotations//test_auto_move//signs_mov/5845.mov","MOV")</f>
        <v>21</v>
      </c>
      <c r="L2092" t="s" s="16">
        <f>HYPERLINK("http://csr.bu.edu/ftp/asl/asllvd/demos/verify_start_end_handshape_annotations//test_auto_move//signs_mov_separ_signers/Liz_5845.mov","MOV")</f>
        <v>21</v>
      </c>
      <c r="M2092" t="s" s="10">
        <v>22</v>
      </c>
      <c r="N2092" s="17">
        <v>76</v>
      </c>
      <c r="O2092" s="18">
        <v>265</v>
      </c>
      <c r="P2092" s="18">
        <v>300</v>
      </c>
      <c r="Q2092" t="s" s="16">
        <f>HYPERLINK("http://secrets.rutgers.edu:8080/data/asl-ftp/asllvd/demos/verify_start_end_handshape_annotations//test_auto_move//signs_mov/5845.mov","MOV")</f>
        <v>21</v>
      </c>
      <c r="R2092" t="s" s="16">
        <f>HYPERLINK("http://secrets.rutgers.edu:8080/data/asl-ftp/asllvd/demos/verify_start_end_handshape_annotations//test_auto_move//signs_mov_separ_signers/Liz_5845.mov","MOV")</f>
        <v>21</v>
      </c>
    </row>
    <row r="2093" s="2" customFormat="1" ht="13.5" customHeight="1">
      <c r="B2093" s="13"/>
      <c r="C2093" t="s" s="9">
        <v>23</v>
      </c>
      <c r="D2093" t="s" s="8">
        <v>744</v>
      </c>
      <c r="E2093" t="s" s="9">
        <v>746</v>
      </c>
      <c r="F2093" t="s" s="10">
        <v>185</v>
      </c>
      <c r="G2093" s="14"/>
      <c r="H2093" t="s" s="10">
        <v>185</v>
      </c>
      <c r="I2093" s="14"/>
      <c r="J2093" t="s" s="11">
        <v>20</v>
      </c>
      <c r="K2093" s="15"/>
      <c r="L2093" t="s" s="16">
        <f>HYPERLINK("http://csr.bu.edu/ftp/asl/asllvd/demos/verify_start_end_handshape_annotations//test_auto_move//signs_mov_separ_signers/Tyler_5845.mov","MOV")</f>
        <v>21</v>
      </c>
      <c r="M2093" t="s" s="10">
        <v>26</v>
      </c>
      <c r="N2093" s="17">
        <v>46</v>
      </c>
      <c r="O2093" s="18">
        <v>542</v>
      </c>
      <c r="P2093" s="18">
        <v>567</v>
      </c>
      <c r="Q2093" s="15"/>
      <c r="R2093" t="s" s="16">
        <f>HYPERLINK("http://secrets.rutgers.edu:8080/data/asl-ftp/asllvd/demos/verify_start_end_handshape_annotations//test_auto_move//signs_mov_separ_signers/Tyler_5845.mov","MOV")</f>
        <v>21</v>
      </c>
    </row>
    <row r="2094" s="2" customFormat="1" ht="13.5" customHeight="1">
      <c r="B2094" t="s" s="8">
        <v>747</v>
      </c>
      <c r="C2094" t="s" s="9">
        <v>14</v>
      </c>
      <c r="D2094" t="s" s="8">
        <v>14</v>
      </c>
      <c r="E2094" t="s" s="9">
        <v>14</v>
      </c>
      <c r="F2094" t="s" s="10">
        <v>14</v>
      </c>
      <c r="G2094" t="s" s="11">
        <v>14</v>
      </c>
      <c r="H2094" t="s" s="10">
        <v>14</v>
      </c>
      <c r="I2094" t="s" s="11">
        <v>14</v>
      </c>
      <c r="J2094" t="s" s="11">
        <v>14</v>
      </c>
      <c r="K2094" t="s" s="12">
        <v>14</v>
      </c>
      <c r="L2094" t="s" s="12">
        <v>14</v>
      </c>
      <c r="M2094" t="s" s="10">
        <v>14</v>
      </c>
      <c r="N2094" t="s" s="11">
        <v>14</v>
      </c>
      <c r="O2094" t="s" s="8">
        <v>14</v>
      </c>
      <c r="P2094" t="s" s="8">
        <v>14</v>
      </c>
      <c r="Q2094" t="s" s="12">
        <v>14</v>
      </c>
      <c r="R2094" t="s" s="12">
        <v>14</v>
      </c>
    </row>
    <row r="2095" s="2" customFormat="1" ht="13.5" customHeight="1">
      <c r="B2095" s="13"/>
      <c r="C2095" t="s" s="9">
        <v>27</v>
      </c>
      <c r="D2095" t="s" s="8">
        <v>747</v>
      </c>
      <c r="E2095" t="s" s="9">
        <v>747</v>
      </c>
      <c r="F2095" t="s" s="10">
        <v>185</v>
      </c>
      <c r="G2095" s="14"/>
      <c r="H2095" t="s" s="10">
        <v>185</v>
      </c>
      <c r="I2095" s="14"/>
      <c r="J2095" t="s" s="11">
        <v>20</v>
      </c>
      <c r="K2095" s="15"/>
      <c r="L2095" t="s" s="16">
        <f>HYPERLINK("http://csr.bu.edu/ftp/asl/asllvd/demos/verify_start_end_handshape_annotations//test_auto_move//signs_mov_separ_signers/Naomi_456.mov","MOV")</f>
        <v>21</v>
      </c>
      <c r="M2095" t="s" s="10">
        <v>29</v>
      </c>
      <c r="N2095" s="17">
        <v>48</v>
      </c>
      <c r="O2095" s="18">
        <v>2481</v>
      </c>
      <c r="P2095" s="18">
        <v>2510</v>
      </c>
      <c r="Q2095" s="15"/>
      <c r="R2095" t="s" s="16">
        <f>HYPERLINK("http://secrets.rutgers.edu:8080/data/asl-ftp/asllvd/demos/verify_start_end_handshape_annotations//test_auto_move//signs_mov_separ_signers/Naomi_456.mov","MOV")</f>
        <v>21</v>
      </c>
    </row>
    <row r="2096" s="2" customFormat="1" ht="13.5" customHeight="1">
      <c r="B2096" s="13"/>
      <c r="C2096" t="s" s="9">
        <v>30</v>
      </c>
      <c r="D2096" t="s" s="8">
        <v>747</v>
      </c>
      <c r="E2096" t="s" s="9">
        <v>747</v>
      </c>
      <c r="F2096" t="s" s="10">
        <v>185</v>
      </c>
      <c r="G2096" s="14"/>
      <c r="H2096" t="s" s="10">
        <v>185</v>
      </c>
      <c r="I2096" s="14"/>
      <c r="J2096" t="s" s="11">
        <v>20</v>
      </c>
      <c r="K2096" t="s" s="16">
        <f>HYPERLINK("http://csr.bu.edu/ftp/asl/asllvd/demos/verify_start_end_handshape_annotations//test_auto_move//signs_mov/456.mov","MOV")</f>
        <v>21</v>
      </c>
      <c r="L2096" t="s" s="16">
        <f>HYPERLINK("http://csr.bu.edu/ftp/asl/asllvd/demos/verify_start_end_handshape_annotations//test_auto_move//signs_mov_separ_signers/Brady_456.mov","MOV")</f>
        <v>21</v>
      </c>
      <c r="M2096" t="s" s="10">
        <v>31</v>
      </c>
      <c r="N2096" s="17">
        <v>27</v>
      </c>
      <c r="O2096" s="18">
        <v>12732</v>
      </c>
      <c r="P2096" s="18">
        <v>12753</v>
      </c>
      <c r="Q2096" t="s" s="16">
        <f>HYPERLINK("http://secrets.rutgers.edu:8080/data/asl-ftp/asllvd/demos/verify_start_end_handshape_annotations//test_auto_move//signs_mov/456.mov","MOV")</f>
        <v>21</v>
      </c>
      <c r="R2096" t="s" s="16">
        <f>HYPERLINK("http://secrets.rutgers.edu:8080/data/asl-ftp/asllvd/demos/verify_start_end_handshape_annotations//test_auto_move//signs_mov_separ_signers/Brady_456.mov","MOV")</f>
        <v>21</v>
      </c>
    </row>
    <row r="2097" s="2" customFormat="1" ht="13.5" customHeight="1">
      <c r="B2097" s="13"/>
      <c r="C2097" t="s" s="9">
        <v>41</v>
      </c>
      <c r="D2097" t="s" s="8">
        <v>747</v>
      </c>
      <c r="E2097" t="s" s="9">
        <v>747</v>
      </c>
      <c r="F2097" t="s" s="10">
        <v>185</v>
      </c>
      <c r="G2097" s="14"/>
      <c r="H2097" t="s" s="10">
        <v>185</v>
      </c>
      <c r="I2097" s="14"/>
      <c r="J2097" t="s" s="11">
        <v>20</v>
      </c>
      <c r="K2097" s="15"/>
      <c r="L2097" t="s" s="16">
        <f>HYPERLINK("http://csr.bu.edu/ftp/asl/asllvd/demos/verify_start_end_handshape_annotations//test_auto_move//signs_mov_separ_signers/Lana_456.mov","MOV")</f>
        <v>21</v>
      </c>
      <c r="M2097" t="s" s="10">
        <v>42</v>
      </c>
      <c r="N2097" s="17">
        <v>5</v>
      </c>
      <c r="O2097" s="18">
        <v>1989</v>
      </c>
      <c r="P2097" s="18">
        <v>2012</v>
      </c>
      <c r="Q2097" s="15"/>
      <c r="R2097" t="s" s="16">
        <f>HYPERLINK("http://secrets.rutgers.edu:8080/data/asl-ftp/asllvd/demos/verify_start_end_handshape_annotations//test_auto_move//signs_mov_separ_signers/Lana_456.mov","MOV")</f>
        <v>21</v>
      </c>
    </row>
    <row r="2098" s="2" customFormat="1" ht="13.5" customHeight="1">
      <c r="B2098" s="13"/>
      <c r="C2098" t="s" s="9">
        <v>43</v>
      </c>
      <c r="D2098" t="s" s="8">
        <v>747</v>
      </c>
      <c r="E2098" t="s" s="9">
        <v>747</v>
      </c>
      <c r="F2098" t="s" s="10">
        <v>185</v>
      </c>
      <c r="G2098" s="14"/>
      <c r="H2098" t="s" s="10">
        <v>185</v>
      </c>
      <c r="I2098" s="14"/>
      <c r="J2098" t="s" s="11">
        <v>20</v>
      </c>
      <c r="K2098" s="15"/>
      <c r="L2098" t="s" s="16">
        <f>HYPERLINK("http://csr.bu.edu/ftp/asl/asllvd/demos/verify_start_end_handshape_annotations//test_auto_move//signs_mov_separ_signers/Dana_456.mov","MOV")</f>
        <v>21</v>
      </c>
      <c r="M2098" t="s" s="10">
        <v>44</v>
      </c>
      <c r="N2098" s="17">
        <v>9</v>
      </c>
      <c r="O2098" s="18">
        <v>2136</v>
      </c>
      <c r="P2098" s="18">
        <v>2164</v>
      </c>
      <c r="Q2098" s="15"/>
      <c r="R2098" t="s" s="16">
        <f>HYPERLINK("http://secrets.rutgers.edu:8080/data/asl-ftp/asllvd/demos/verify_start_end_handshape_annotations//test_auto_move//signs_mov_separ_signers/Dana_456.mov","MOV")</f>
        <v>21</v>
      </c>
    </row>
    <row r="2099" s="2" customFormat="1" ht="13.5" customHeight="1">
      <c r="B2099" t="s" s="8">
        <v>52</v>
      </c>
      <c r="C2099" t="s" s="9">
        <v>53</v>
      </c>
      <c r="D2099" t="s" s="8">
        <v>53</v>
      </c>
      <c r="E2099" t="s" s="9">
        <v>53</v>
      </c>
      <c r="F2099" t="s" s="10">
        <v>53</v>
      </c>
      <c r="G2099" t="s" s="11">
        <v>53</v>
      </c>
      <c r="H2099" t="s" s="10">
        <v>53</v>
      </c>
      <c r="I2099" t="s" s="11">
        <v>53</v>
      </c>
      <c r="J2099" t="s" s="11">
        <v>53</v>
      </c>
      <c r="K2099" t="s" s="12">
        <v>53</v>
      </c>
      <c r="L2099" t="s" s="12">
        <v>53</v>
      </c>
      <c r="M2099" t="s" s="10">
        <v>53</v>
      </c>
      <c r="N2099" t="s" s="11">
        <v>53</v>
      </c>
      <c r="O2099" t="s" s="8">
        <v>53</v>
      </c>
      <c r="P2099" t="s" s="8">
        <v>53</v>
      </c>
      <c r="Q2099" t="s" s="12">
        <v>53</v>
      </c>
      <c r="R2099" t="s" s="12">
        <v>53</v>
      </c>
    </row>
    <row r="2100" s="2" customFormat="1" ht="13.5" customHeight="1">
      <c r="B2100" s="13"/>
      <c r="C2100" t="s" s="9">
        <v>16</v>
      </c>
      <c r="D2100" t="s" s="8">
        <v>747</v>
      </c>
      <c r="E2100" t="s" s="9">
        <v>748</v>
      </c>
      <c r="F2100" t="s" s="10">
        <v>185</v>
      </c>
      <c r="G2100" s="14"/>
      <c r="H2100" t="s" s="10">
        <v>185</v>
      </c>
      <c r="I2100" s="14"/>
      <c r="J2100" t="s" s="11">
        <v>20</v>
      </c>
      <c r="K2100" t="s" s="16">
        <f>HYPERLINK("http://csr.bu.edu/ftp/asl/asllvd/demos/verify_start_end_handshape_annotations//test_auto_move//signs_mov/5140.mov","MOV")</f>
        <v>21</v>
      </c>
      <c r="L2100" t="s" s="16">
        <f>HYPERLINK("http://csr.bu.edu/ftp/asl/asllvd/demos/verify_start_end_handshape_annotations//test_auto_move//signs_mov_separ_signers/Liz_5140.mov","MOV")</f>
        <v>21</v>
      </c>
      <c r="M2100" t="s" s="10">
        <v>22</v>
      </c>
      <c r="N2100" s="17">
        <v>76</v>
      </c>
      <c r="O2100" s="18">
        <v>1130</v>
      </c>
      <c r="P2100" s="18">
        <v>1160</v>
      </c>
      <c r="Q2100" t="s" s="16">
        <f>HYPERLINK("http://secrets.rutgers.edu:8080/data/asl-ftp/asllvd/demos/verify_start_end_handshape_annotations//test_auto_move//signs_mov/5140.mov","MOV")</f>
        <v>21</v>
      </c>
      <c r="R2100" t="s" s="16">
        <f>HYPERLINK("http://secrets.rutgers.edu:8080/data/asl-ftp/asllvd/demos/verify_start_end_handshape_annotations//test_auto_move//signs_mov_separ_signers/Liz_5140.mov","MOV")</f>
        <v>21</v>
      </c>
    </row>
    <row r="2101" s="2" customFormat="1" ht="13.5" customHeight="1">
      <c r="B2101" t="s" s="8">
        <v>52</v>
      </c>
      <c r="C2101" t="s" s="9">
        <v>53</v>
      </c>
      <c r="D2101" t="s" s="8">
        <v>53</v>
      </c>
      <c r="E2101" t="s" s="9">
        <v>53</v>
      </c>
      <c r="F2101" t="s" s="10">
        <v>53</v>
      </c>
      <c r="G2101" t="s" s="11">
        <v>53</v>
      </c>
      <c r="H2101" t="s" s="10">
        <v>53</v>
      </c>
      <c r="I2101" t="s" s="11">
        <v>53</v>
      </c>
      <c r="J2101" t="s" s="11">
        <v>53</v>
      </c>
      <c r="K2101" t="s" s="12">
        <v>53</v>
      </c>
      <c r="L2101" t="s" s="12">
        <v>53</v>
      </c>
      <c r="M2101" t="s" s="10">
        <v>53</v>
      </c>
      <c r="N2101" t="s" s="11">
        <v>53</v>
      </c>
      <c r="O2101" t="s" s="8">
        <v>53</v>
      </c>
      <c r="P2101" t="s" s="8">
        <v>53</v>
      </c>
      <c r="Q2101" t="s" s="12">
        <v>53</v>
      </c>
      <c r="R2101" t="s" s="12">
        <v>53</v>
      </c>
    </row>
    <row r="2102" s="2" customFormat="1" ht="13.5" customHeight="1">
      <c r="B2102" s="13"/>
      <c r="C2102" t="s" s="9">
        <v>23</v>
      </c>
      <c r="D2102" t="s" s="8">
        <v>747</v>
      </c>
      <c r="E2102" t="s" s="9">
        <v>749</v>
      </c>
      <c r="F2102" t="s" s="10">
        <v>185</v>
      </c>
      <c r="G2102" t="s" s="11">
        <v>105</v>
      </c>
      <c r="H2102" t="s" s="10">
        <v>185</v>
      </c>
      <c r="I2102" t="s" s="11">
        <v>105</v>
      </c>
      <c r="J2102" t="s" s="11">
        <v>136</v>
      </c>
      <c r="K2102" t="s" s="16">
        <f>HYPERLINK("http://csr.bu.edu/ftp/asl/asllvd/demos/verify_start_end_handshape_annotations//test_auto_move//signs_mov/16270.mov","MOV")</f>
        <v>21</v>
      </c>
      <c r="L2102" t="s" s="16">
        <f>HYPERLINK("http://csr.bu.edu/ftp/asl/asllvd/demos/verify_start_end_handshape_annotations//test_auto_move//signs_mov_separ_signers/Tyler_16270.mov","MOV")</f>
        <v>21</v>
      </c>
      <c r="M2102" t="s" s="10">
        <v>26</v>
      </c>
      <c r="N2102" s="17">
        <v>46</v>
      </c>
      <c r="O2102" s="18">
        <v>1555</v>
      </c>
      <c r="P2102" s="18">
        <v>1590</v>
      </c>
      <c r="Q2102" t="s" s="16">
        <f>HYPERLINK("http://secrets.rutgers.edu:8080/data/asl-ftp/asllvd/demos/verify_start_end_handshape_annotations//test_auto_move//signs_mov/16270.mov","MOV")</f>
        <v>21</v>
      </c>
      <c r="R2102" t="s" s="16">
        <f>HYPERLINK("http://secrets.rutgers.edu:8080/data/asl-ftp/asllvd/demos/verify_start_end_handshape_annotations//test_auto_move//signs_mov_separ_signers/Tyler_16270.mov","MOV")</f>
        <v>21</v>
      </c>
    </row>
    <row r="2103" s="2" customFormat="1" ht="13.5" customHeight="1">
      <c r="B2103" t="s" s="8">
        <v>750</v>
      </c>
      <c r="C2103" t="s" s="9">
        <v>14</v>
      </c>
      <c r="D2103" t="s" s="8">
        <v>14</v>
      </c>
      <c r="E2103" t="s" s="9">
        <v>14</v>
      </c>
      <c r="F2103" t="s" s="10">
        <v>14</v>
      </c>
      <c r="G2103" t="s" s="11">
        <v>14</v>
      </c>
      <c r="H2103" t="s" s="10">
        <v>14</v>
      </c>
      <c r="I2103" t="s" s="11">
        <v>14</v>
      </c>
      <c r="J2103" t="s" s="11">
        <v>14</v>
      </c>
      <c r="K2103" t="s" s="12">
        <v>14</v>
      </c>
      <c r="L2103" t="s" s="12">
        <v>14</v>
      </c>
      <c r="M2103" t="s" s="10">
        <v>14</v>
      </c>
      <c r="N2103" t="s" s="11">
        <v>14</v>
      </c>
      <c r="O2103" t="s" s="8">
        <v>14</v>
      </c>
      <c r="P2103" t="s" s="8">
        <v>14</v>
      </c>
      <c r="Q2103" t="s" s="12">
        <v>14</v>
      </c>
      <c r="R2103" t="s" s="12">
        <v>14</v>
      </c>
    </row>
    <row r="2104" s="2" customFormat="1" ht="13.5" customHeight="1">
      <c r="B2104" s="13"/>
      <c r="C2104" t="s" s="9">
        <v>16</v>
      </c>
      <c r="D2104" t="s" s="8">
        <v>750</v>
      </c>
      <c r="E2104" t="s" s="9">
        <v>751</v>
      </c>
      <c r="F2104" t="s" s="10">
        <v>185</v>
      </c>
      <c r="G2104" t="s" s="11">
        <v>105</v>
      </c>
      <c r="H2104" t="s" s="10">
        <v>185</v>
      </c>
      <c r="I2104" t="s" s="11">
        <v>105</v>
      </c>
      <c r="J2104" t="s" s="11">
        <v>20</v>
      </c>
      <c r="K2104" s="15"/>
      <c r="L2104" t="s" s="16">
        <f>HYPERLINK("http://csr.bu.edu/ftp/asl/asllvd/demos/verify_start_end_handshape_annotations//test_auto_move//signs_mov_separ_signers/Liz_458.mov","MOV")</f>
        <v>21</v>
      </c>
      <c r="M2104" t="s" s="10">
        <v>22</v>
      </c>
      <c r="N2104" s="17">
        <v>77</v>
      </c>
      <c r="O2104" s="18">
        <v>295</v>
      </c>
      <c r="P2104" s="18">
        <v>335</v>
      </c>
      <c r="Q2104" s="15"/>
      <c r="R2104" t="s" s="16">
        <f>HYPERLINK("http://secrets.rutgers.edu:8080/data/asl-ftp/asllvd/demos/verify_start_end_handshape_annotations//test_auto_move//signs_mov_separ_signers/Liz_458.mov","MOV")</f>
        <v>21</v>
      </c>
    </row>
    <row r="2105" s="2" customFormat="1" ht="13.5" customHeight="1">
      <c r="B2105" s="13"/>
      <c r="C2105" t="s" s="9">
        <v>23</v>
      </c>
      <c r="D2105" t="s" s="8">
        <v>750</v>
      </c>
      <c r="E2105" t="s" s="9">
        <v>751</v>
      </c>
      <c r="F2105" t="s" s="10">
        <v>185</v>
      </c>
      <c r="G2105" t="s" s="11">
        <v>105</v>
      </c>
      <c r="H2105" t="s" s="10">
        <v>185</v>
      </c>
      <c r="I2105" t="s" s="11">
        <v>105</v>
      </c>
      <c r="J2105" t="s" s="11">
        <v>20</v>
      </c>
      <c r="K2105" s="15"/>
      <c r="L2105" t="s" s="16">
        <f>HYPERLINK("http://csr.bu.edu/ftp/asl/asllvd/demos/verify_start_end_handshape_annotations//test_auto_move//signs_mov_separ_signers/Tyler_458.mov","MOV")</f>
        <v>21</v>
      </c>
      <c r="M2105" t="s" s="10">
        <v>26</v>
      </c>
      <c r="N2105" s="17">
        <v>46</v>
      </c>
      <c r="O2105" s="18">
        <v>2001</v>
      </c>
      <c r="P2105" s="18">
        <v>2045</v>
      </c>
      <c r="Q2105" s="15"/>
      <c r="R2105" t="s" s="16">
        <f>HYPERLINK("http://secrets.rutgers.edu:8080/data/asl-ftp/asllvd/demos/verify_start_end_handshape_annotations//test_auto_move//signs_mov_separ_signers/Tyler_458.mov","MOV")</f>
        <v>21</v>
      </c>
    </row>
    <row r="2106" s="2" customFormat="1" ht="13.5" customHeight="1">
      <c r="B2106" s="13"/>
      <c r="C2106" t="s" s="9">
        <v>27</v>
      </c>
      <c r="D2106" t="s" s="8">
        <v>750</v>
      </c>
      <c r="E2106" t="s" s="9">
        <v>751</v>
      </c>
      <c r="F2106" t="s" s="10">
        <v>185</v>
      </c>
      <c r="G2106" t="s" s="11">
        <v>105</v>
      </c>
      <c r="H2106" t="s" s="10">
        <v>185</v>
      </c>
      <c r="I2106" t="s" s="11">
        <v>105</v>
      </c>
      <c r="J2106" t="s" s="11">
        <v>20</v>
      </c>
      <c r="K2106" t="s" s="16">
        <f>HYPERLINK("http://csr.bu.edu/ftp/asl/asllvd/demos/verify_start_end_handshape_annotations//test_auto_move//signs_mov/458.mov","MOV")</f>
        <v>21</v>
      </c>
      <c r="L2106" t="s" s="16">
        <f>HYPERLINK("http://csr.bu.edu/ftp/asl/asllvd/demos/verify_start_end_handshape_annotations//test_auto_move//signs_mov_separ_signers/Naomi_458.mov","MOV")</f>
        <v>21</v>
      </c>
      <c r="M2106" t="s" s="10">
        <v>29</v>
      </c>
      <c r="N2106" s="17">
        <v>48</v>
      </c>
      <c r="O2106" s="18">
        <v>3105</v>
      </c>
      <c r="P2106" s="18">
        <v>3135</v>
      </c>
      <c r="Q2106" t="s" s="16">
        <f>HYPERLINK("http://secrets.rutgers.edu:8080/data/asl-ftp/asllvd/demos/verify_start_end_handshape_annotations//test_auto_move//signs_mov/458.mov","MOV")</f>
        <v>21</v>
      </c>
      <c r="R2106" t="s" s="16">
        <f>HYPERLINK("http://secrets.rutgers.edu:8080/data/asl-ftp/asllvd/demos/verify_start_end_handshape_annotations//test_auto_move//signs_mov_separ_signers/Naomi_458.mov","MOV")</f>
        <v>21</v>
      </c>
    </row>
    <row r="2107" s="2" customFormat="1" ht="13.5" customHeight="1">
      <c r="B2107" s="13"/>
      <c r="C2107" t="s" s="9">
        <v>30</v>
      </c>
      <c r="D2107" t="s" s="8">
        <v>750</v>
      </c>
      <c r="E2107" t="s" s="9">
        <v>751</v>
      </c>
      <c r="F2107" t="s" s="10">
        <v>185</v>
      </c>
      <c r="G2107" t="s" s="11">
        <v>148</v>
      </c>
      <c r="H2107" t="s" s="10">
        <v>185</v>
      </c>
      <c r="I2107" t="s" s="11">
        <v>148</v>
      </c>
      <c r="J2107" t="s" s="11">
        <v>20</v>
      </c>
      <c r="K2107" s="15"/>
      <c r="L2107" t="s" s="16">
        <f>HYPERLINK("http://csr.bu.edu/ftp/asl/asllvd/demos/verify_start_end_handshape_annotations//test_auto_move//signs_mov_separ_signers/Brady_458.mov","MOV")</f>
        <v>21</v>
      </c>
      <c r="M2107" t="s" s="10">
        <v>31</v>
      </c>
      <c r="N2107" s="17">
        <v>27</v>
      </c>
      <c r="O2107" s="18">
        <v>13146</v>
      </c>
      <c r="P2107" s="18">
        <v>13181</v>
      </c>
      <c r="Q2107" s="15"/>
      <c r="R2107" t="s" s="16">
        <f>HYPERLINK("http://secrets.rutgers.edu:8080/data/asl-ftp/asllvd/demos/verify_start_end_handshape_annotations//test_auto_move//signs_mov_separ_signers/Brady_458.mov","MOV")</f>
        <v>21</v>
      </c>
    </row>
    <row r="2108" s="2" customFormat="1" ht="13.5" customHeight="1">
      <c r="B2108" s="13"/>
      <c r="C2108" t="s" s="9">
        <v>41</v>
      </c>
      <c r="D2108" t="s" s="8">
        <v>750</v>
      </c>
      <c r="E2108" t="s" s="9">
        <v>751</v>
      </c>
      <c r="F2108" t="s" s="10">
        <v>185</v>
      </c>
      <c r="G2108" t="s" s="11">
        <v>148</v>
      </c>
      <c r="H2108" t="s" s="10">
        <v>185</v>
      </c>
      <c r="I2108" t="s" s="11">
        <v>148</v>
      </c>
      <c r="J2108" t="s" s="11">
        <v>20</v>
      </c>
      <c r="K2108" s="15"/>
      <c r="L2108" t="s" s="16">
        <f>HYPERLINK("http://csr.bu.edu/ftp/asl/asllvd/demos/verify_start_end_handshape_annotations//test_auto_move//signs_mov_separ_signers/Lana_458.mov","MOV")</f>
        <v>21</v>
      </c>
      <c r="M2108" t="s" s="10">
        <v>42</v>
      </c>
      <c r="N2108" s="17">
        <v>5</v>
      </c>
      <c r="O2108" s="18">
        <v>1442</v>
      </c>
      <c r="P2108" s="18">
        <v>1467</v>
      </c>
      <c r="Q2108" s="15"/>
      <c r="R2108" t="s" s="16">
        <f>HYPERLINK("http://secrets.rutgers.edu:8080/data/asl-ftp/asllvd/demos/verify_start_end_handshape_annotations//test_auto_move//signs_mov_separ_signers/Lana_458.mov","MOV")</f>
        <v>21</v>
      </c>
    </row>
    <row r="2109" s="2" customFormat="1" ht="13.5" customHeight="1">
      <c r="B2109" s="13"/>
      <c r="C2109" t="s" s="9">
        <v>43</v>
      </c>
      <c r="D2109" t="s" s="8">
        <v>750</v>
      </c>
      <c r="E2109" t="s" s="9">
        <v>752</v>
      </c>
      <c r="F2109" t="s" s="10">
        <v>185</v>
      </c>
      <c r="G2109" t="s" s="11">
        <v>152</v>
      </c>
      <c r="H2109" t="s" s="10">
        <v>185</v>
      </c>
      <c r="I2109" t="s" s="11">
        <v>152</v>
      </c>
      <c r="J2109" t="s" s="11">
        <v>20</v>
      </c>
      <c r="K2109" s="15"/>
      <c r="L2109" t="s" s="16">
        <f>HYPERLINK("http://csr.bu.edu/ftp/asl/asllvd/demos/verify_start_end_handshape_annotations//test_auto_move//signs_mov_separ_signers/Dana_458.mov","MOV")</f>
        <v>21</v>
      </c>
      <c r="M2109" t="s" s="10">
        <v>44</v>
      </c>
      <c r="N2109" s="17">
        <v>9</v>
      </c>
      <c r="O2109" s="18">
        <v>1545</v>
      </c>
      <c r="P2109" s="18">
        <v>1608</v>
      </c>
      <c r="Q2109" s="15"/>
      <c r="R2109" t="s" s="16">
        <f>HYPERLINK("http://secrets.rutgers.edu:8080/data/asl-ftp/asllvd/demos/verify_start_end_handshape_annotations//test_auto_move//signs_mov_separ_signers/Dana_458.mov","MOV")</f>
        <v>21</v>
      </c>
    </row>
    <row r="2110" s="2" customFormat="1" ht="13.5" customHeight="1">
      <c r="B2110" t="s" s="8">
        <v>753</v>
      </c>
      <c r="C2110" t="s" s="9">
        <v>14</v>
      </c>
      <c r="D2110" t="s" s="8">
        <v>14</v>
      </c>
      <c r="E2110" t="s" s="9">
        <v>14</v>
      </c>
      <c r="F2110" t="s" s="10">
        <v>14</v>
      </c>
      <c r="G2110" t="s" s="11">
        <v>14</v>
      </c>
      <c r="H2110" t="s" s="10">
        <v>14</v>
      </c>
      <c r="I2110" t="s" s="11">
        <v>14</v>
      </c>
      <c r="J2110" t="s" s="11">
        <v>14</v>
      </c>
      <c r="K2110" t="s" s="12">
        <v>14</v>
      </c>
      <c r="L2110" t="s" s="12">
        <v>14</v>
      </c>
      <c r="M2110" t="s" s="10">
        <v>14</v>
      </c>
      <c r="N2110" t="s" s="11">
        <v>14</v>
      </c>
      <c r="O2110" t="s" s="8">
        <v>14</v>
      </c>
      <c r="P2110" t="s" s="8">
        <v>14</v>
      </c>
      <c r="Q2110" t="s" s="12">
        <v>14</v>
      </c>
      <c r="R2110" t="s" s="12">
        <v>14</v>
      </c>
    </row>
    <row r="2111" s="2" customFormat="1" ht="13.5" customHeight="1">
      <c r="B2111" s="13"/>
      <c r="C2111" t="s" s="9">
        <v>16</v>
      </c>
      <c r="D2111" t="s" s="8">
        <v>753</v>
      </c>
      <c r="E2111" t="s" s="9">
        <v>754</v>
      </c>
      <c r="F2111" t="s" s="10">
        <v>386</v>
      </c>
      <c r="G2111" t="s" s="11">
        <v>55</v>
      </c>
      <c r="H2111" t="s" s="10">
        <v>386</v>
      </c>
      <c r="I2111" t="s" s="11">
        <v>55</v>
      </c>
      <c r="J2111" t="s" s="11">
        <v>20</v>
      </c>
      <c r="K2111" t="s" s="16">
        <f>HYPERLINK("http://csr.bu.edu/ftp/asl/asllvd/demos/verify_start_end_handshape_annotations//test_auto_move//signs_mov/15178.mov","MOV")</f>
        <v>21</v>
      </c>
      <c r="L2111" t="s" s="16">
        <f>HYPERLINK("http://csr.bu.edu/ftp/asl/asllvd/demos/verify_start_end_handshape_annotations//test_auto_move//signs_mov_separ_signers/Liz_15178.mov","MOV")</f>
        <v>21</v>
      </c>
      <c r="M2111" t="s" s="10">
        <v>59</v>
      </c>
      <c r="N2111" s="17">
        <v>7</v>
      </c>
      <c r="O2111" s="18">
        <v>1870</v>
      </c>
      <c r="P2111" s="18">
        <v>1910</v>
      </c>
      <c r="Q2111" t="s" s="16">
        <f>HYPERLINK("http://secrets.rutgers.edu:8080/data/asl-ftp/asllvd/demos/verify_start_end_handshape_annotations//test_auto_move//signs_mov/15178.mov","MOV")</f>
        <v>21</v>
      </c>
      <c r="R2111" t="s" s="16">
        <f>HYPERLINK("http://secrets.rutgers.edu:8080/data/asl-ftp/asllvd/demos/verify_start_end_handshape_annotations//test_auto_move//signs_mov_separ_signers/Liz_15178.mov","MOV")</f>
        <v>21</v>
      </c>
    </row>
    <row r="2112" s="2" customFormat="1" ht="13.5" customHeight="1">
      <c r="B2112" s="13"/>
      <c r="C2112" t="s" s="9">
        <v>30</v>
      </c>
      <c r="D2112" t="s" s="8">
        <v>753</v>
      </c>
      <c r="E2112" t="s" s="9">
        <v>754</v>
      </c>
      <c r="F2112" t="s" s="10">
        <v>386</v>
      </c>
      <c r="G2112" t="s" s="11">
        <v>73</v>
      </c>
      <c r="H2112" t="s" s="10">
        <v>386</v>
      </c>
      <c r="I2112" t="s" s="11">
        <v>73</v>
      </c>
      <c r="J2112" t="s" s="11">
        <v>20</v>
      </c>
      <c r="K2112" s="15"/>
      <c r="L2112" t="s" s="16">
        <f>HYPERLINK("http://csr.bu.edu/ftp/asl/asllvd/demos/verify_start_end_handshape_annotations//test_auto_move//signs_mov_separ_signers/Brady_15178.mov","MOV")</f>
        <v>21</v>
      </c>
      <c r="M2112" t="s" s="10">
        <v>40</v>
      </c>
      <c r="N2112" s="17">
        <v>111</v>
      </c>
      <c r="O2112" s="18">
        <v>2241</v>
      </c>
      <c r="P2112" s="18">
        <v>2271</v>
      </c>
      <c r="Q2112" s="15"/>
      <c r="R2112" t="s" s="16">
        <f>HYPERLINK("http://secrets.rutgers.edu:8080/data/asl-ftp/asllvd/demos/verify_start_end_handshape_annotations//test_auto_move//signs_mov_separ_signers/Brady_15178.mov","MOV")</f>
        <v>21</v>
      </c>
    </row>
    <row r="2113" s="2" customFormat="1" ht="13.5" customHeight="1">
      <c r="B2113" t="s" s="8">
        <v>755</v>
      </c>
      <c r="C2113" t="s" s="9">
        <v>14</v>
      </c>
      <c r="D2113" t="s" s="8">
        <v>14</v>
      </c>
      <c r="E2113" t="s" s="9">
        <v>14</v>
      </c>
      <c r="F2113" t="s" s="10">
        <v>14</v>
      </c>
      <c r="G2113" t="s" s="11">
        <v>14</v>
      </c>
      <c r="H2113" t="s" s="10">
        <v>14</v>
      </c>
      <c r="I2113" t="s" s="11">
        <v>14</v>
      </c>
      <c r="J2113" t="s" s="11">
        <v>14</v>
      </c>
      <c r="K2113" t="s" s="12">
        <v>14</v>
      </c>
      <c r="L2113" t="s" s="12">
        <v>14</v>
      </c>
      <c r="M2113" t="s" s="10">
        <v>14</v>
      </c>
      <c r="N2113" t="s" s="11">
        <v>14</v>
      </c>
      <c r="O2113" t="s" s="8">
        <v>14</v>
      </c>
      <c r="P2113" t="s" s="8">
        <v>14</v>
      </c>
      <c r="Q2113" t="s" s="12">
        <v>14</v>
      </c>
      <c r="R2113" t="s" s="12">
        <v>14</v>
      </c>
    </row>
    <row r="2114" s="2" customFormat="1" ht="13.5" customHeight="1">
      <c r="B2114" s="13"/>
      <c r="C2114" t="s" s="9">
        <v>16</v>
      </c>
      <c r="D2114" t="s" s="8">
        <v>755</v>
      </c>
      <c r="E2114" t="s" s="9">
        <v>756</v>
      </c>
      <c r="F2114" t="s" s="10">
        <v>757</v>
      </c>
      <c r="G2114" t="s" s="11">
        <v>55</v>
      </c>
      <c r="H2114" t="s" s="10">
        <v>757</v>
      </c>
      <c r="I2114" t="s" s="11">
        <v>55</v>
      </c>
      <c r="J2114" t="s" s="11">
        <v>20</v>
      </c>
      <c r="K2114" t="s" s="16">
        <f>HYPERLINK("http://csr.bu.edu/ftp/asl/asllvd/demos/verify_start_end_handshape_annotations//test_auto_move//signs_mov/15188_15258_merged.mov","MOV")</f>
        <v>21</v>
      </c>
      <c r="L2114" t="s" s="16">
        <f>HYPERLINK("http://csr.bu.edu/ftp/asl/asllvd/demos/verify_start_end_handshape_annotations//test_auto_move//signs_mov_separ_signers/Liz_15188.mov","MOV")</f>
        <v>21</v>
      </c>
      <c r="M2114" t="s" s="10">
        <v>88</v>
      </c>
      <c r="N2114" s="17">
        <v>7</v>
      </c>
      <c r="O2114" s="18">
        <v>776</v>
      </c>
      <c r="P2114" s="18">
        <v>800</v>
      </c>
      <c r="Q2114" t="s" s="16">
        <f>HYPERLINK("http://secrets.rutgers.edu:8080/data/asl-ftp/asllvd/demos/verify_start_end_handshape_annotations//test_auto_move//signs_mov/15188_15258_merged.mov","MOV")</f>
        <v>21</v>
      </c>
      <c r="R2114" t="s" s="16">
        <f>HYPERLINK("http://secrets.rutgers.edu:8080/data/asl-ftp/asllvd/demos/verify_start_end_handshape_annotations//test_auto_move//signs_mov_separ_signers/Liz_15188.mov","MOV")</f>
        <v>21</v>
      </c>
    </row>
    <row r="2115" s="2" customFormat="1" ht="13.5" customHeight="1">
      <c r="B2115" s="13"/>
      <c r="C2115" t="s" s="9">
        <v>16</v>
      </c>
      <c r="D2115" t="s" s="8">
        <v>755</v>
      </c>
      <c r="E2115" t="s" s="9">
        <v>756</v>
      </c>
      <c r="F2115" t="s" s="10">
        <v>757</v>
      </c>
      <c r="G2115" t="s" s="11">
        <v>55</v>
      </c>
      <c r="H2115" t="s" s="10">
        <v>757</v>
      </c>
      <c r="I2115" t="s" s="11">
        <v>55</v>
      </c>
      <c r="J2115" t="s" s="11">
        <v>20</v>
      </c>
      <c r="K2115" s="15"/>
      <c r="L2115" t="s" s="16">
        <f>HYPERLINK("http://csr.bu.edu/ftp/asl/asllvd/demos/verify_start_end_handshape_annotations//test_auto_move//signs_mov_separ_signers/Liz_15258.mov","MOV")</f>
        <v>21</v>
      </c>
      <c r="M2115" t="s" s="10">
        <v>88</v>
      </c>
      <c r="N2115" s="17">
        <v>12</v>
      </c>
      <c r="O2115" s="18">
        <v>2990</v>
      </c>
      <c r="P2115" s="18">
        <v>3037</v>
      </c>
      <c r="Q2115" s="15"/>
      <c r="R2115" t="s" s="16">
        <f>HYPERLINK("http://secrets.rutgers.edu:8080/data/asl-ftp/asllvd/demos/verify_start_end_handshape_annotations//test_auto_move//signs_mov_separ_signers/Liz_15258.mov","MOV")</f>
        <v>21</v>
      </c>
    </row>
    <row r="2116" s="2" customFormat="1" ht="13.5" customHeight="1">
      <c r="B2116" t="s" s="8">
        <v>758</v>
      </c>
      <c r="C2116" t="s" s="9">
        <v>14</v>
      </c>
      <c r="D2116" t="s" s="8">
        <v>14</v>
      </c>
      <c r="E2116" t="s" s="9">
        <v>14</v>
      </c>
      <c r="F2116" t="s" s="10">
        <v>14</v>
      </c>
      <c r="G2116" t="s" s="11">
        <v>14</v>
      </c>
      <c r="H2116" t="s" s="10">
        <v>14</v>
      </c>
      <c r="I2116" t="s" s="11">
        <v>14</v>
      </c>
      <c r="J2116" t="s" s="11">
        <v>14</v>
      </c>
      <c r="K2116" t="s" s="12">
        <v>14</v>
      </c>
      <c r="L2116" t="s" s="12">
        <v>14</v>
      </c>
      <c r="M2116" t="s" s="10">
        <v>14</v>
      </c>
      <c r="N2116" t="s" s="11">
        <v>14</v>
      </c>
      <c r="O2116" t="s" s="8">
        <v>14</v>
      </c>
      <c r="P2116" t="s" s="8">
        <v>14</v>
      </c>
      <c r="Q2116" t="s" s="12">
        <v>14</v>
      </c>
      <c r="R2116" t="s" s="12">
        <v>14</v>
      </c>
    </row>
    <row r="2117" s="2" customFormat="1" ht="13.5" customHeight="1">
      <c r="B2117" s="13"/>
      <c r="C2117" t="s" s="9">
        <v>16</v>
      </c>
      <c r="D2117" t="s" s="8">
        <v>758</v>
      </c>
      <c r="E2117" t="s" s="9">
        <v>759</v>
      </c>
      <c r="F2117" t="s" s="10">
        <v>205</v>
      </c>
      <c r="G2117" s="17">
        <v>1</v>
      </c>
      <c r="H2117" t="s" s="10">
        <v>205</v>
      </c>
      <c r="I2117" s="17">
        <v>1</v>
      </c>
      <c r="J2117" t="s" s="11">
        <v>20</v>
      </c>
      <c r="K2117" s="15"/>
      <c r="L2117" t="s" s="16">
        <f>HYPERLINK("http://csr.bu.edu/ftp/asl/asllvd/demos/verify_start_end_handshape_annotations//test_auto_move//signs_mov_separ_signers/Liz_459.mov","MOV")</f>
        <v>21</v>
      </c>
      <c r="M2117" t="s" s="10">
        <v>22</v>
      </c>
      <c r="N2117" s="17">
        <v>77</v>
      </c>
      <c r="O2117" s="18">
        <v>505</v>
      </c>
      <c r="P2117" s="18">
        <v>536</v>
      </c>
      <c r="Q2117" s="15"/>
      <c r="R2117" t="s" s="16">
        <f>HYPERLINK("http://secrets.rutgers.edu:8080/data/asl-ftp/asllvd/demos/verify_start_end_handshape_annotations//test_auto_move//signs_mov_separ_signers/Liz_459.mov","MOV")</f>
        <v>21</v>
      </c>
    </row>
    <row r="2118" s="2" customFormat="1" ht="13.5" customHeight="1">
      <c r="B2118" s="13"/>
      <c r="C2118" t="s" s="9">
        <v>23</v>
      </c>
      <c r="D2118" t="s" s="8">
        <v>758</v>
      </c>
      <c r="E2118" t="s" s="9">
        <v>759</v>
      </c>
      <c r="F2118" t="s" s="10">
        <v>205</v>
      </c>
      <c r="G2118" s="17">
        <v>1</v>
      </c>
      <c r="H2118" t="s" s="10">
        <v>205</v>
      </c>
      <c r="I2118" s="17">
        <v>1</v>
      </c>
      <c r="J2118" t="s" s="11">
        <v>20</v>
      </c>
      <c r="K2118" t="s" s="16">
        <f>HYPERLINK("http://csr.bu.edu/ftp/asl/asllvd/demos/verify_start_end_handshape_annotations//test_auto_move//signs_mov/459.mov","MOV")</f>
        <v>21</v>
      </c>
      <c r="L2118" t="s" s="16">
        <f>HYPERLINK("http://csr.bu.edu/ftp/asl/asllvd/demos/verify_start_end_handshape_annotations//test_auto_move//signs_mov_separ_signers/Tyler_459.mov","MOV")</f>
        <v>21</v>
      </c>
      <c r="M2118" t="s" s="10">
        <v>26</v>
      </c>
      <c r="N2118" s="17">
        <v>46</v>
      </c>
      <c r="O2118" s="18">
        <v>2240</v>
      </c>
      <c r="P2118" s="18">
        <v>2270</v>
      </c>
      <c r="Q2118" t="s" s="16">
        <f>HYPERLINK("http://secrets.rutgers.edu:8080/data/asl-ftp/asllvd/demos/verify_start_end_handshape_annotations//test_auto_move//signs_mov/459.mov","MOV")</f>
        <v>21</v>
      </c>
      <c r="R2118" t="s" s="16">
        <f>HYPERLINK("http://secrets.rutgers.edu:8080/data/asl-ftp/asllvd/demos/verify_start_end_handshape_annotations//test_auto_move//signs_mov_separ_signers/Tyler_459.mov","MOV")</f>
        <v>21</v>
      </c>
    </row>
    <row r="2119" s="2" customFormat="1" ht="13.5" customHeight="1">
      <c r="B2119" s="13"/>
      <c r="C2119" t="s" s="9">
        <v>27</v>
      </c>
      <c r="D2119" t="s" s="8">
        <v>758</v>
      </c>
      <c r="E2119" t="s" s="9">
        <v>760</v>
      </c>
      <c r="F2119" t="s" s="10">
        <v>205</v>
      </c>
      <c r="G2119" s="17">
        <v>1</v>
      </c>
      <c r="H2119" t="s" s="10">
        <v>205</v>
      </c>
      <c r="I2119" s="17">
        <v>1</v>
      </c>
      <c r="J2119" t="s" s="11">
        <v>20</v>
      </c>
      <c r="K2119" s="15"/>
      <c r="L2119" t="s" s="16">
        <f>HYPERLINK("http://csr.bu.edu/ftp/asl/asllvd/demos/verify_start_end_handshape_annotations//test_auto_move//signs_mov_separ_signers/Naomi_459.mov","MOV")</f>
        <v>21</v>
      </c>
      <c r="M2119" t="s" s="10">
        <v>29</v>
      </c>
      <c r="N2119" s="17">
        <v>48</v>
      </c>
      <c r="O2119" s="18">
        <v>3340</v>
      </c>
      <c r="P2119" s="18">
        <v>3371</v>
      </c>
      <c r="Q2119" s="15"/>
      <c r="R2119" t="s" s="16">
        <f>HYPERLINK("http://secrets.rutgers.edu:8080/data/asl-ftp/asllvd/demos/verify_start_end_handshape_annotations//test_auto_move//signs_mov_separ_signers/Naomi_459.mov","MOV")</f>
        <v>21</v>
      </c>
    </row>
    <row r="2120" s="2" customFormat="1" ht="13.5" customHeight="1">
      <c r="B2120" s="13"/>
      <c r="C2120" t="s" s="9">
        <v>30</v>
      </c>
      <c r="D2120" t="s" s="8">
        <v>758</v>
      </c>
      <c r="E2120" t="s" s="9">
        <v>759</v>
      </c>
      <c r="F2120" t="s" s="10">
        <v>205</v>
      </c>
      <c r="G2120" s="17">
        <v>1</v>
      </c>
      <c r="H2120" t="s" s="10">
        <v>205</v>
      </c>
      <c r="I2120" s="17">
        <v>1</v>
      </c>
      <c r="J2120" t="s" s="11">
        <v>20</v>
      </c>
      <c r="K2120" s="15"/>
      <c r="L2120" t="s" s="16">
        <f>HYPERLINK("http://csr.bu.edu/ftp/asl/asllvd/demos/verify_start_end_handshape_annotations//test_auto_move//signs_mov_separ_signers/Brady_459.mov","MOV")</f>
        <v>21</v>
      </c>
      <c r="M2120" t="s" s="10">
        <v>31</v>
      </c>
      <c r="N2120" s="17">
        <v>27</v>
      </c>
      <c r="O2120" s="18">
        <v>13629</v>
      </c>
      <c r="P2120" s="18">
        <v>13662</v>
      </c>
      <c r="Q2120" s="15"/>
      <c r="R2120" t="s" s="16">
        <f>HYPERLINK("http://secrets.rutgers.edu:8080/data/asl-ftp/asllvd/demos/verify_start_end_handshape_annotations//test_auto_move//signs_mov_separ_signers/Brady_459.mov","MOV")</f>
        <v>21</v>
      </c>
    </row>
    <row r="2121" s="2" customFormat="1" ht="13.5" customHeight="1">
      <c r="B2121" t="s" s="8">
        <v>761</v>
      </c>
      <c r="C2121" t="s" s="9">
        <v>14</v>
      </c>
      <c r="D2121" t="s" s="8">
        <v>14</v>
      </c>
      <c r="E2121" t="s" s="9">
        <v>14</v>
      </c>
      <c r="F2121" t="s" s="10">
        <v>14</v>
      </c>
      <c r="G2121" t="s" s="11">
        <v>14</v>
      </c>
      <c r="H2121" t="s" s="10">
        <v>14</v>
      </c>
      <c r="I2121" t="s" s="11">
        <v>14</v>
      </c>
      <c r="J2121" t="s" s="11">
        <v>14</v>
      </c>
      <c r="K2121" t="s" s="12">
        <v>14</v>
      </c>
      <c r="L2121" t="s" s="12">
        <v>14</v>
      </c>
      <c r="M2121" t="s" s="10">
        <v>14</v>
      </c>
      <c r="N2121" t="s" s="11">
        <v>14</v>
      </c>
      <c r="O2121" t="s" s="8">
        <v>14</v>
      </c>
      <c r="P2121" t="s" s="8">
        <v>14</v>
      </c>
      <c r="Q2121" t="s" s="12">
        <v>14</v>
      </c>
      <c r="R2121" t="s" s="12">
        <v>14</v>
      </c>
    </row>
    <row r="2122" s="2" customFormat="1" ht="13.5" customHeight="1">
      <c r="B2122" s="13"/>
      <c r="C2122" t="s" s="9">
        <v>27</v>
      </c>
      <c r="D2122" t="s" s="8">
        <v>761</v>
      </c>
      <c r="E2122" t="s" s="9">
        <v>762</v>
      </c>
      <c r="F2122" t="s" s="10">
        <v>136</v>
      </c>
      <c r="G2122" s="17">
        <v>1</v>
      </c>
      <c r="H2122" t="s" s="10">
        <v>136</v>
      </c>
      <c r="I2122" s="17">
        <v>1</v>
      </c>
      <c r="J2122" t="s" s="11">
        <v>20</v>
      </c>
      <c r="K2122" t="s" s="16">
        <f>HYPERLINK("http://csr.bu.edu/ftp/asl/asllvd/demos/verify_start_end_handshape_annotations//test_auto_move//signs_mov/15913.mov","MOV")</f>
        <v>21</v>
      </c>
      <c r="L2122" t="s" s="16">
        <f>HYPERLINK("http://csr.bu.edu/ftp/asl/asllvd/demos/verify_start_end_handshape_annotations//test_auto_move//signs_mov_separ_signers/Naomi_15913.mov","MOV")</f>
        <v>21</v>
      </c>
      <c r="M2122" t="s" s="10">
        <v>86</v>
      </c>
      <c r="N2122" s="17">
        <v>10</v>
      </c>
      <c r="O2122" s="18">
        <v>2552</v>
      </c>
      <c r="P2122" s="18">
        <v>2620</v>
      </c>
      <c r="Q2122" t="s" s="16">
        <f>HYPERLINK("http://secrets.rutgers.edu:8080/data/asl-ftp/asllvd/demos/verify_start_end_handshape_annotations//test_auto_move//signs_mov/15913.mov","MOV")</f>
        <v>21</v>
      </c>
      <c r="R2122" t="s" s="16">
        <f>HYPERLINK("http://secrets.rutgers.edu:8080/data/asl-ftp/asllvd/demos/verify_start_end_handshape_annotations//test_auto_move//signs_mov_separ_signers/Naomi_15913.mov","MOV")</f>
        <v>21</v>
      </c>
    </row>
    <row r="2123" s="2" customFormat="1" ht="13.5" customHeight="1">
      <c r="B2123" s="13"/>
      <c r="C2123" t="s" s="9">
        <v>30</v>
      </c>
      <c r="D2123" t="s" s="8">
        <v>761</v>
      </c>
      <c r="E2123" t="s" s="9">
        <v>761</v>
      </c>
      <c r="F2123" t="s" s="10">
        <v>136</v>
      </c>
      <c r="G2123" s="17">
        <v>1</v>
      </c>
      <c r="H2123" t="s" s="10">
        <v>136</v>
      </c>
      <c r="I2123" s="17">
        <v>1</v>
      </c>
      <c r="J2123" t="s" s="11">
        <v>20</v>
      </c>
      <c r="K2123" s="15"/>
      <c r="L2123" t="s" s="16">
        <f>HYPERLINK("http://csr.bu.edu/ftp/asl/asllvd/demos/verify_start_end_handshape_annotations//test_auto_move//signs_mov_separ_signers/Brady_15913.mov","MOV")</f>
        <v>21</v>
      </c>
      <c r="M2123" t="s" s="10">
        <v>31</v>
      </c>
      <c r="N2123" s="17">
        <v>31</v>
      </c>
      <c r="O2123" s="18">
        <v>14853</v>
      </c>
      <c r="P2123" s="18">
        <v>14871</v>
      </c>
      <c r="Q2123" s="15"/>
      <c r="R2123" t="s" s="16">
        <f>HYPERLINK("http://secrets.rutgers.edu:8080/data/asl-ftp/asllvd/demos/verify_start_end_handshape_annotations//test_auto_move//signs_mov_separ_signers/Brady_15913.mov","MOV")</f>
        <v>21</v>
      </c>
    </row>
    <row r="2124" s="2" customFormat="1" ht="13.5" customHeight="1">
      <c r="B2124" t="s" s="8">
        <v>52</v>
      </c>
      <c r="C2124" t="s" s="9">
        <v>53</v>
      </c>
      <c r="D2124" t="s" s="8">
        <v>53</v>
      </c>
      <c r="E2124" t="s" s="9">
        <v>53</v>
      </c>
      <c r="F2124" t="s" s="10">
        <v>53</v>
      </c>
      <c r="G2124" t="s" s="11">
        <v>53</v>
      </c>
      <c r="H2124" t="s" s="10">
        <v>53</v>
      </c>
      <c r="I2124" t="s" s="11">
        <v>53</v>
      </c>
      <c r="J2124" t="s" s="11">
        <v>53</v>
      </c>
      <c r="K2124" t="s" s="12">
        <v>53</v>
      </c>
      <c r="L2124" t="s" s="12">
        <v>53</v>
      </c>
      <c r="M2124" t="s" s="10">
        <v>53</v>
      </c>
      <c r="N2124" t="s" s="11">
        <v>53</v>
      </c>
      <c r="O2124" t="s" s="8">
        <v>53</v>
      </c>
      <c r="P2124" t="s" s="8">
        <v>53</v>
      </c>
      <c r="Q2124" t="s" s="12">
        <v>53</v>
      </c>
      <c r="R2124" t="s" s="12">
        <v>53</v>
      </c>
    </row>
    <row r="2125" s="2" customFormat="1" ht="13.5" customHeight="1">
      <c r="B2125" s="13"/>
      <c r="C2125" t="s" s="9">
        <v>16</v>
      </c>
      <c r="D2125" t="s" s="8">
        <v>761</v>
      </c>
      <c r="E2125" t="s" s="9">
        <v>763</v>
      </c>
      <c r="F2125" t="s" s="10">
        <v>205</v>
      </c>
      <c r="G2125" s="17">
        <v>1</v>
      </c>
      <c r="H2125" t="s" s="10">
        <v>205</v>
      </c>
      <c r="I2125" s="17">
        <v>1</v>
      </c>
      <c r="J2125" t="s" s="11">
        <v>20</v>
      </c>
      <c r="K2125" t="s" s="16">
        <f>HYPERLINK("http://csr.bu.edu/ftp/asl/asllvd/demos/verify_start_end_handshape_annotations//test_auto_move//signs_mov/15959.mov","MOV")</f>
        <v>21</v>
      </c>
      <c r="L2125" t="s" s="16">
        <f>HYPERLINK("http://csr.bu.edu/ftp/asl/asllvd/demos/verify_start_end_handshape_annotations//test_auto_move//signs_mov_separ_signers/Liz_15959.mov","MOV")</f>
        <v>21</v>
      </c>
      <c r="M2125" t="s" s="10">
        <v>84</v>
      </c>
      <c r="N2125" s="17">
        <v>13</v>
      </c>
      <c r="O2125" s="18">
        <v>756</v>
      </c>
      <c r="P2125" s="18">
        <v>777</v>
      </c>
      <c r="Q2125" t="s" s="16">
        <f>HYPERLINK("http://secrets.rutgers.edu:8080/data/asl-ftp/asllvd/demos/verify_start_end_handshape_annotations//test_auto_move//signs_mov/15959.mov","MOV")</f>
        <v>21</v>
      </c>
      <c r="R2125" t="s" s="16">
        <f>HYPERLINK("http://secrets.rutgers.edu:8080/data/asl-ftp/asllvd/demos/verify_start_end_handshape_annotations//test_auto_move//signs_mov_separ_signers/Liz_15959.mov","MOV")</f>
        <v>21</v>
      </c>
    </row>
    <row r="2126" s="2" customFormat="1" ht="13.5" customHeight="1">
      <c r="B2126" s="13"/>
      <c r="C2126" t="s" s="9">
        <v>27</v>
      </c>
      <c r="D2126" t="s" s="8">
        <v>761</v>
      </c>
      <c r="E2126" t="s" s="9">
        <v>763</v>
      </c>
      <c r="F2126" t="s" s="10">
        <v>205</v>
      </c>
      <c r="G2126" s="17">
        <v>1</v>
      </c>
      <c r="H2126" t="s" s="10">
        <v>205</v>
      </c>
      <c r="I2126" s="17">
        <v>1</v>
      </c>
      <c r="J2126" t="s" s="11">
        <v>20</v>
      </c>
      <c r="K2126" s="15"/>
      <c r="L2126" t="s" s="16">
        <f>HYPERLINK("http://csr.bu.edu/ftp/asl/asllvd/demos/verify_start_end_handshape_annotations//test_auto_move//signs_mov_separ_signers/Naomi_15959.mov","MOV")</f>
        <v>21</v>
      </c>
      <c r="M2126" t="s" s="10">
        <v>86</v>
      </c>
      <c r="N2126" s="17">
        <v>13</v>
      </c>
      <c r="O2126" s="18">
        <v>497</v>
      </c>
      <c r="P2126" s="18">
        <v>512</v>
      </c>
      <c r="Q2126" s="15"/>
      <c r="R2126" t="s" s="16">
        <f>HYPERLINK("http://secrets.rutgers.edu:8080/data/asl-ftp/asllvd/demos/verify_start_end_handshape_annotations//test_auto_move//signs_mov_separ_signers/Naomi_15959.mov","MOV")</f>
        <v>21</v>
      </c>
    </row>
    <row r="2127" s="2" customFormat="1" ht="13.5" customHeight="1">
      <c r="B2127" t="s" s="8">
        <v>764</v>
      </c>
      <c r="C2127" t="s" s="9">
        <v>14</v>
      </c>
      <c r="D2127" t="s" s="8">
        <v>14</v>
      </c>
      <c r="E2127" t="s" s="9">
        <v>14</v>
      </c>
      <c r="F2127" t="s" s="10">
        <v>14</v>
      </c>
      <c r="G2127" t="s" s="11">
        <v>14</v>
      </c>
      <c r="H2127" t="s" s="10">
        <v>14</v>
      </c>
      <c r="I2127" t="s" s="11">
        <v>14</v>
      </c>
      <c r="J2127" t="s" s="11">
        <v>14</v>
      </c>
      <c r="K2127" t="s" s="12">
        <v>14</v>
      </c>
      <c r="L2127" t="s" s="12">
        <v>14</v>
      </c>
      <c r="M2127" t="s" s="10">
        <v>14</v>
      </c>
      <c r="N2127" t="s" s="11">
        <v>14</v>
      </c>
      <c r="O2127" t="s" s="8">
        <v>14</v>
      </c>
      <c r="P2127" t="s" s="8">
        <v>14</v>
      </c>
      <c r="Q2127" t="s" s="12">
        <v>14</v>
      </c>
      <c r="R2127" t="s" s="12">
        <v>14</v>
      </c>
    </row>
    <row r="2128" s="2" customFormat="1" ht="13.5" customHeight="1">
      <c r="B2128" s="13"/>
      <c r="C2128" t="s" s="9">
        <v>16</v>
      </c>
      <c r="D2128" t="s" s="8">
        <v>764</v>
      </c>
      <c r="E2128" t="s" s="9">
        <v>764</v>
      </c>
      <c r="F2128" t="s" s="10">
        <v>251</v>
      </c>
      <c r="G2128" s="14"/>
      <c r="H2128" t="s" s="10">
        <v>251</v>
      </c>
      <c r="I2128" s="14"/>
      <c r="J2128" t="s" s="11">
        <v>20</v>
      </c>
      <c r="K2128" s="15"/>
      <c r="L2128" t="s" s="16">
        <f>HYPERLINK("http://csr.bu.edu/ftp/asl/asllvd/demos/verify_start_end_handshape_annotations//test_auto_move//signs_mov_separ_signers/Liz_460.mov","MOV")</f>
        <v>21</v>
      </c>
      <c r="M2128" t="s" s="10">
        <v>22</v>
      </c>
      <c r="N2128" s="17">
        <v>77</v>
      </c>
      <c r="O2128" s="18">
        <v>721</v>
      </c>
      <c r="P2128" s="18">
        <v>770</v>
      </c>
      <c r="Q2128" s="15"/>
      <c r="R2128" t="s" s="16">
        <f>HYPERLINK("http://secrets.rutgers.edu:8080/data/asl-ftp/asllvd/demos/verify_start_end_handshape_annotations//test_auto_move//signs_mov_separ_signers/Liz_460.mov","MOV")</f>
        <v>21</v>
      </c>
    </row>
    <row r="2129" s="2" customFormat="1" ht="13.5" customHeight="1">
      <c r="B2129" s="13"/>
      <c r="C2129" t="s" s="9">
        <v>23</v>
      </c>
      <c r="D2129" t="s" s="8">
        <v>764</v>
      </c>
      <c r="E2129" t="s" s="9">
        <v>764</v>
      </c>
      <c r="F2129" t="s" s="10">
        <v>251</v>
      </c>
      <c r="G2129" s="14"/>
      <c r="H2129" t="s" s="10">
        <v>251</v>
      </c>
      <c r="I2129" s="14"/>
      <c r="J2129" t="s" s="11">
        <v>20</v>
      </c>
      <c r="K2129" t="s" s="16">
        <f>HYPERLINK("http://csr.bu.edu/ftp/asl/asllvd/demos/verify_start_end_handshape_annotations//test_auto_move//signs_mov/460.mov","MOV")</f>
        <v>21</v>
      </c>
      <c r="L2129" t="s" s="16">
        <f>HYPERLINK("http://csr.bu.edu/ftp/asl/asllvd/demos/verify_start_end_handshape_annotations//test_auto_move//signs_mov_separ_signers/Tyler_460.mov","MOV")</f>
        <v>21</v>
      </c>
      <c r="M2129" t="s" s="10">
        <v>26</v>
      </c>
      <c r="N2129" s="17">
        <v>46</v>
      </c>
      <c r="O2129" s="18">
        <v>2465</v>
      </c>
      <c r="P2129" s="18">
        <v>2510</v>
      </c>
      <c r="Q2129" t="s" s="16">
        <f>HYPERLINK("http://secrets.rutgers.edu:8080/data/asl-ftp/asllvd/demos/verify_start_end_handshape_annotations//test_auto_move//signs_mov/460.mov","MOV")</f>
        <v>21</v>
      </c>
      <c r="R2129" t="s" s="16">
        <f>HYPERLINK("http://secrets.rutgers.edu:8080/data/asl-ftp/asllvd/demos/verify_start_end_handshape_annotations//test_auto_move//signs_mov_separ_signers/Tyler_460.mov","MOV")</f>
        <v>21</v>
      </c>
    </row>
    <row r="2130" s="2" customFormat="1" ht="13.5" customHeight="1">
      <c r="B2130" s="13"/>
      <c r="C2130" t="s" s="9">
        <v>27</v>
      </c>
      <c r="D2130" t="s" s="8">
        <v>764</v>
      </c>
      <c r="E2130" t="s" s="9">
        <v>764</v>
      </c>
      <c r="F2130" t="s" s="10">
        <v>251</v>
      </c>
      <c r="G2130" s="14"/>
      <c r="H2130" t="s" s="10">
        <v>251</v>
      </c>
      <c r="I2130" s="14"/>
      <c r="J2130" t="s" s="11">
        <v>20</v>
      </c>
      <c r="K2130" s="15"/>
      <c r="L2130" t="s" s="16">
        <f>HYPERLINK("http://csr.bu.edu/ftp/asl/asllvd/demos/verify_start_end_handshape_annotations//test_auto_move//signs_mov_separ_signers/Naomi_460.mov","MOV")</f>
        <v>21</v>
      </c>
      <c r="M2130" t="s" s="10">
        <v>29</v>
      </c>
      <c r="N2130" s="17">
        <v>48</v>
      </c>
      <c r="O2130" s="18">
        <v>3580</v>
      </c>
      <c r="P2130" s="18">
        <v>3607</v>
      </c>
      <c r="Q2130" s="15"/>
      <c r="R2130" t="s" s="16">
        <f>HYPERLINK("http://secrets.rutgers.edu:8080/data/asl-ftp/asllvd/demos/verify_start_end_handshape_annotations//test_auto_move//signs_mov_separ_signers/Naomi_460.mov","MOV")</f>
        <v>21</v>
      </c>
    </row>
    <row r="2131" s="2" customFormat="1" ht="13.5" customHeight="1">
      <c r="B2131" s="13"/>
      <c r="C2131" t="s" s="9">
        <v>30</v>
      </c>
      <c r="D2131" t="s" s="8">
        <v>764</v>
      </c>
      <c r="E2131" t="s" s="9">
        <v>764</v>
      </c>
      <c r="F2131" t="s" s="10">
        <v>251</v>
      </c>
      <c r="G2131" s="14"/>
      <c r="H2131" t="s" s="10">
        <v>251</v>
      </c>
      <c r="I2131" s="14"/>
      <c r="J2131" t="s" s="11">
        <v>20</v>
      </c>
      <c r="K2131" s="15"/>
      <c r="L2131" t="s" s="16">
        <f>HYPERLINK("http://csr.bu.edu/ftp/asl/asllvd/demos/verify_start_end_handshape_annotations//test_auto_move//signs_mov_separ_signers/Brady_460.mov","MOV")</f>
        <v>21</v>
      </c>
      <c r="M2131" t="s" s="10">
        <v>31</v>
      </c>
      <c r="N2131" s="17">
        <v>27</v>
      </c>
      <c r="O2131" s="18">
        <v>13394</v>
      </c>
      <c r="P2131" s="18">
        <v>13413</v>
      </c>
      <c r="Q2131" s="15"/>
      <c r="R2131" t="s" s="16">
        <f>HYPERLINK("http://secrets.rutgers.edu:8080/data/asl-ftp/asllvd/demos/verify_start_end_handshape_annotations//test_auto_move//signs_mov_separ_signers/Brady_460.mov","MOV")</f>
        <v>21</v>
      </c>
    </row>
    <row r="2132" s="2" customFormat="1" ht="13.5" customHeight="1">
      <c r="B2132" t="s" s="8">
        <v>765</v>
      </c>
      <c r="C2132" t="s" s="9">
        <v>14</v>
      </c>
      <c r="D2132" t="s" s="8">
        <v>14</v>
      </c>
      <c r="E2132" t="s" s="9">
        <v>14</v>
      </c>
      <c r="F2132" t="s" s="10">
        <v>14</v>
      </c>
      <c r="G2132" t="s" s="11">
        <v>14</v>
      </c>
      <c r="H2132" t="s" s="10">
        <v>14</v>
      </c>
      <c r="I2132" t="s" s="11">
        <v>14</v>
      </c>
      <c r="J2132" t="s" s="11">
        <v>14</v>
      </c>
      <c r="K2132" t="s" s="12">
        <v>14</v>
      </c>
      <c r="L2132" t="s" s="12">
        <v>14</v>
      </c>
      <c r="M2132" t="s" s="10">
        <v>14</v>
      </c>
      <c r="N2132" t="s" s="11">
        <v>14</v>
      </c>
      <c r="O2132" t="s" s="8">
        <v>14</v>
      </c>
      <c r="P2132" t="s" s="8">
        <v>14</v>
      </c>
      <c r="Q2132" t="s" s="12">
        <v>14</v>
      </c>
      <c r="R2132" t="s" s="12">
        <v>14</v>
      </c>
    </row>
    <row r="2133" s="2" customFormat="1" ht="13.5" customHeight="1">
      <c r="B2133" s="13"/>
      <c r="C2133" t="s" s="9">
        <v>16</v>
      </c>
      <c r="D2133" t="s" s="8">
        <v>765</v>
      </c>
      <c r="E2133" t="s" s="9">
        <v>765</v>
      </c>
      <c r="F2133" s="19">
        <v>1</v>
      </c>
      <c r="G2133" s="14"/>
      <c r="H2133" s="19">
        <v>1</v>
      </c>
      <c r="I2133" s="14"/>
      <c r="J2133" t="s" s="11">
        <v>20</v>
      </c>
      <c r="K2133" s="15"/>
      <c r="L2133" t="s" s="16">
        <f>HYPERLINK("http://csr.bu.edu/ftp/asl/asllvd/demos/verify_start_end_handshape_annotations//test_auto_move//signs_mov_separ_signers/Liz_461.mov","MOV")</f>
        <v>21</v>
      </c>
      <c r="M2133" t="s" s="10">
        <v>22</v>
      </c>
      <c r="N2133" s="17">
        <v>77</v>
      </c>
      <c r="O2133" s="18">
        <v>1101</v>
      </c>
      <c r="P2133" s="18">
        <v>1151</v>
      </c>
      <c r="Q2133" s="15"/>
      <c r="R2133" t="s" s="16">
        <f>HYPERLINK("http://secrets.rutgers.edu:8080/data/asl-ftp/asllvd/demos/verify_start_end_handshape_annotations//test_auto_move//signs_mov_separ_signers/Liz_461.mov","MOV")</f>
        <v>21</v>
      </c>
    </row>
    <row r="2134" s="2" customFormat="1" ht="13.5" customHeight="1">
      <c r="B2134" s="13"/>
      <c r="C2134" t="s" s="9">
        <v>23</v>
      </c>
      <c r="D2134" t="s" s="8">
        <v>765</v>
      </c>
      <c r="E2134" t="s" s="9">
        <v>765</v>
      </c>
      <c r="F2134" s="19">
        <v>1</v>
      </c>
      <c r="G2134" s="14"/>
      <c r="H2134" s="19">
        <v>1</v>
      </c>
      <c r="I2134" s="14"/>
      <c r="J2134" t="s" s="11">
        <v>20</v>
      </c>
      <c r="K2134" t="s" s="16">
        <f>HYPERLINK("http://csr.bu.edu/ftp/asl/asllvd/demos/verify_start_end_handshape_annotations//test_auto_move//signs_mov/461.mov","MOV")</f>
        <v>21</v>
      </c>
      <c r="L2134" t="s" s="16">
        <f>HYPERLINK("http://csr.bu.edu/ftp/asl/asllvd/demos/verify_start_end_handshape_annotations//test_auto_move//signs_mov_separ_signers/Tyler_461.mov","MOV")</f>
        <v>21</v>
      </c>
      <c r="M2134" t="s" s="10">
        <v>26</v>
      </c>
      <c r="N2134" s="17">
        <v>47</v>
      </c>
      <c r="O2134" s="18">
        <v>290</v>
      </c>
      <c r="P2134" s="18">
        <v>340</v>
      </c>
      <c r="Q2134" t="s" s="16">
        <f>HYPERLINK("http://secrets.rutgers.edu:8080/data/asl-ftp/asllvd/demos/verify_start_end_handshape_annotations//test_auto_move//signs_mov/461.mov","MOV")</f>
        <v>21</v>
      </c>
      <c r="R2134" t="s" s="16">
        <f>HYPERLINK("http://secrets.rutgers.edu:8080/data/asl-ftp/asllvd/demos/verify_start_end_handshape_annotations//test_auto_move//signs_mov_separ_signers/Tyler_461.mov","MOV")</f>
        <v>21</v>
      </c>
    </row>
    <row r="2135" s="2" customFormat="1" ht="13.5" customHeight="1">
      <c r="B2135" s="13"/>
      <c r="C2135" t="s" s="9">
        <v>30</v>
      </c>
      <c r="D2135" t="s" s="8">
        <v>765</v>
      </c>
      <c r="E2135" t="s" s="9">
        <v>765</v>
      </c>
      <c r="F2135" s="19">
        <v>1</v>
      </c>
      <c r="G2135" s="14"/>
      <c r="H2135" s="19">
        <v>1</v>
      </c>
      <c r="I2135" s="14"/>
      <c r="J2135" t="s" s="11">
        <v>20</v>
      </c>
      <c r="K2135" s="15"/>
      <c r="L2135" t="s" s="16">
        <f>HYPERLINK("http://csr.bu.edu/ftp/asl/asllvd/demos/verify_start_end_handshape_annotations//test_auto_move//signs_mov_separ_signers/Brady_461.mov","MOV")</f>
        <v>21</v>
      </c>
      <c r="M2135" t="s" s="10">
        <v>31</v>
      </c>
      <c r="N2135" s="17">
        <v>27</v>
      </c>
      <c r="O2135" s="18">
        <v>13953</v>
      </c>
      <c r="P2135" s="18">
        <v>13997</v>
      </c>
      <c r="Q2135" s="15"/>
      <c r="R2135" t="s" s="16">
        <f>HYPERLINK("http://secrets.rutgers.edu:8080/data/asl-ftp/asllvd/demos/verify_start_end_handshape_annotations//test_auto_move//signs_mov_separ_signers/Brady_461.mov","MOV")</f>
        <v>21</v>
      </c>
    </row>
    <row r="2136" s="2" customFormat="1" ht="13.5" customHeight="1">
      <c r="B2136" t="s" s="8">
        <v>766</v>
      </c>
      <c r="C2136" t="s" s="9">
        <v>14</v>
      </c>
      <c r="D2136" t="s" s="8">
        <v>14</v>
      </c>
      <c r="E2136" t="s" s="9">
        <v>14</v>
      </c>
      <c r="F2136" t="s" s="10">
        <v>14</v>
      </c>
      <c r="G2136" t="s" s="11">
        <v>14</v>
      </c>
      <c r="H2136" t="s" s="10">
        <v>14</v>
      </c>
      <c r="I2136" t="s" s="11">
        <v>14</v>
      </c>
      <c r="J2136" t="s" s="11">
        <v>14</v>
      </c>
      <c r="K2136" t="s" s="12">
        <v>14</v>
      </c>
      <c r="L2136" t="s" s="12">
        <v>14</v>
      </c>
      <c r="M2136" t="s" s="10">
        <v>14</v>
      </c>
      <c r="N2136" t="s" s="11">
        <v>14</v>
      </c>
      <c r="O2136" t="s" s="8">
        <v>14</v>
      </c>
      <c r="P2136" t="s" s="8">
        <v>14</v>
      </c>
      <c r="Q2136" t="s" s="12">
        <v>14</v>
      </c>
      <c r="R2136" t="s" s="12">
        <v>14</v>
      </c>
    </row>
    <row r="2137" s="2" customFormat="1" ht="13.5" customHeight="1">
      <c r="B2137" s="13"/>
      <c r="C2137" t="s" s="9">
        <v>16</v>
      </c>
      <c r="D2137" t="s" s="8">
        <v>766</v>
      </c>
      <c r="E2137" t="s" s="9">
        <v>766</v>
      </c>
      <c r="F2137" s="19">
        <v>10</v>
      </c>
      <c r="G2137" s="17">
        <v>10</v>
      </c>
      <c r="H2137" s="19">
        <v>10</v>
      </c>
      <c r="I2137" s="17">
        <v>10</v>
      </c>
      <c r="J2137" t="s" s="11">
        <v>20</v>
      </c>
      <c r="K2137" s="15"/>
      <c r="L2137" t="s" s="16">
        <f>HYPERLINK("http://csr.bu.edu/ftp/asl/asllvd/demos/verify_start_end_handshape_annotations//test_auto_move//signs_mov_separ_signers/Liz_462.mov","MOV")</f>
        <v>21</v>
      </c>
      <c r="M2137" t="s" s="10">
        <v>22</v>
      </c>
      <c r="N2137" s="17">
        <v>77</v>
      </c>
      <c r="O2137" s="18">
        <v>1345</v>
      </c>
      <c r="P2137" s="18">
        <v>1380</v>
      </c>
      <c r="Q2137" s="15"/>
      <c r="R2137" t="s" s="16">
        <f>HYPERLINK("http://secrets.rutgers.edu:8080/data/asl-ftp/asllvd/demos/verify_start_end_handshape_annotations//test_auto_move//signs_mov_separ_signers/Liz_462.mov","MOV")</f>
        <v>21</v>
      </c>
    </row>
    <row r="2138" s="2" customFormat="1" ht="13.5" customHeight="1">
      <c r="B2138" s="13"/>
      <c r="C2138" t="s" s="9">
        <v>23</v>
      </c>
      <c r="D2138" t="s" s="8">
        <v>766</v>
      </c>
      <c r="E2138" t="s" s="9">
        <v>766</v>
      </c>
      <c r="F2138" s="19">
        <v>10</v>
      </c>
      <c r="G2138" s="17">
        <v>10</v>
      </c>
      <c r="H2138" s="19">
        <v>10</v>
      </c>
      <c r="I2138" s="17">
        <v>10</v>
      </c>
      <c r="J2138" t="s" s="11">
        <v>20</v>
      </c>
      <c r="K2138" t="s" s="16">
        <f>HYPERLINK("http://csr.bu.edu/ftp/asl/asllvd/demos/verify_start_end_handshape_annotations//test_auto_move//signs_mov/462.mov","MOV")</f>
        <v>21</v>
      </c>
      <c r="L2138" t="s" s="16">
        <f>HYPERLINK("http://csr.bu.edu/ftp/asl/asllvd/demos/verify_start_end_handshape_annotations//test_auto_move//signs_mov_separ_signers/Tyler_462.mov","MOV")</f>
        <v>21</v>
      </c>
      <c r="M2138" t="s" s="10">
        <v>26</v>
      </c>
      <c r="N2138" s="17">
        <v>47</v>
      </c>
      <c r="O2138" s="18">
        <v>695</v>
      </c>
      <c r="P2138" s="18">
        <v>747</v>
      </c>
      <c r="Q2138" t="s" s="16">
        <f>HYPERLINK("http://secrets.rutgers.edu:8080/data/asl-ftp/asllvd/demos/verify_start_end_handshape_annotations//test_auto_move//signs_mov/462.mov","MOV")</f>
        <v>21</v>
      </c>
      <c r="R2138" t="s" s="16">
        <f>HYPERLINK("http://secrets.rutgers.edu:8080/data/asl-ftp/asllvd/demos/verify_start_end_handshape_annotations//test_auto_move//signs_mov_separ_signers/Tyler_462.mov","MOV")</f>
        <v>21</v>
      </c>
    </row>
    <row r="2139" s="2" customFormat="1" ht="13.5" customHeight="1">
      <c r="B2139" s="13"/>
      <c r="C2139" t="s" s="9">
        <v>30</v>
      </c>
      <c r="D2139" t="s" s="8">
        <v>766</v>
      </c>
      <c r="E2139" t="s" s="9">
        <v>766</v>
      </c>
      <c r="F2139" s="19">
        <v>10</v>
      </c>
      <c r="G2139" s="17">
        <v>10</v>
      </c>
      <c r="H2139" s="19">
        <v>10</v>
      </c>
      <c r="I2139" s="17">
        <v>10</v>
      </c>
      <c r="J2139" t="s" s="11">
        <v>20</v>
      </c>
      <c r="K2139" s="15"/>
      <c r="L2139" t="s" s="16">
        <f>HYPERLINK("http://csr.bu.edu/ftp/asl/asllvd/demos/verify_start_end_handshape_annotations//test_auto_move//signs_mov_separ_signers/Brady_462.mov","MOV")</f>
        <v>21</v>
      </c>
      <c r="M2139" t="s" s="10">
        <v>31</v>
      </c>
      <c r="N2139" s="17">
        <v>27</v>
      </c>
      <c r="O2139" s="18">
        <v>14308</v>
      </c>
      <c r="P2139" s="18">
        <v>14348</v>
      </c>
      <c r="Q2139" s="15"/>
      <c r="R2139" t="s" s="16">
        <f>HYPERLINK("http://secrets.rutgers.edu:8080/data/asl-ftp/asllvd/demos/verify_start_end_handshape_annotations//test_auto_move//signs_mov_separ_signers/Brady_462.mov","MOV")</f>
        <v>21</v>
      </c>
    </row>
    <row r="2140" s="2" customFormat="1" ht="13.5" customHeight="1">
      <c r="B2140" t="s" s="8">
        <v>767</v>
      </c>
      <c r="C2140" t="s" s="9">
        <v>14</v>
      </c>
      <c r="D2140" t="s" s="8">
        <v>14</v>
      </c>
      <c r="E2140" t="s" s="9">
        <v>14</v>
      </c>
      <c r="F2140" t="s" s="10">
        <v>14</v>
      </c>
      <c r="G2140" t="s" s="11">
        <v>14</v>
      </c>
      <c r="H2140" t="s" s="10">
        <v>14</v>
      </c>
      <c r="I2140" t="s" s="11">
        <v>14</v>
      </c>
      <c r="J2140" t="s" s="11">
        <v>14</v>
      </c>
      <c r="K2140" t="s" s="12">
        <v>14</v>
      </c>
      <c r="L2140" t="s" s="12">
        <v>14</v>
      </c>
      <c r="M2140" t="s" s="10">
        <v>14</v>
      </c>
      <c r="N2140" t="s" s="11">
        <v>14</v>
      </c>
      <c r="O2140" t="s" s="8">
        <v>14</v>
      </c>
      <c r="P2140" t="s" s="8">
        <v>14</v>
      </c>
      <c r="Q2140" t="s" s="12">
        <v>14</v>
      </c>
      <c r="R2140" t="s" s="12">
        <v>14</v>
      </c>
    </row>
    <row r="2141" s="2" customFormat="1" ht="13.5" customHeight="1">
      <c r="B2141" s="13"/>
      <c r="C2141" t="s" s="9">
        <v>16</v>
      </c>
      <c r="D2141" t="s" s="8">
        <v>767</v>
      </c>
      <c r="E2141" t="s" s="9">
        <v>768</v>
      </c>
      <c r="F2141" t="s" s="10">
        <v>73</v>
      </c>
      <c r="G2141" t="s" s="11">
        <v>73</v>
      </c>
      <c r="H2141" t="s" s="10">
        <v>73</v>
      </c>
      <c r="I2141" t="s" s="11">
        <v>73</v>
      </c>
      <c r="J2141" t="s" s="11">
        <v>20</v>
      </c>
      <c r="K2141" s="15"/>
      <c r="L2141" t="s" s="16">
        <f>HYPERLINK("http://csr.bu.edu/ftp/asl/asllvd/demos/verify_start_end_handshape_annotations//test_auto_move//signs_mov_separ_signers/Liz_464.mov","MOV")</f>
        <v>21</v>
      </c>
      <c r="M2141" t="s" s="10">
        <v>22</v>
      </c>
      <c r="N2141" s="17">
        <v>78</v>
      </c>
      <c r="O2141" s="18">
        <v>296</v>
      </c>
      <c r="P2141" s="18">
        <v>350</v>
      </c>
      <c r="Q2141" s="15"/>
      <c r="R2141" t="s" s="16">
        <f>HYPERLINK("http://secrets.rutgers.edu:8080/data/asl-ftp/asllvd/demos/verify_start_end_handshape_annotations//test_auto_move//signs_mov_separ_signers/Liz_464.mov","MOV")</f>
        <v>21</v>
      </c>
    </row>
    <row r="2142" s="2" customFormat="1" ht="13.5" customHeight="1">
      <c r="B2142" s="13"/>
      <c r="C2142" t="s" s="9">
        <v>16</v>
      </c>
      <c r="D2142" t="s" s="8">
        <v>767</v>
      </c>
      <c r="E2142" t="s" s="9">
        <v>768</v>
      </c>
      <c r="F2142" t="s" s="10">
        <v>73</v>
      </c>
      <c r="G2142" t="s" s="11">
        <v>73</v>
      </c>
      <c r="H2142" t="s" s="10">
        <v>73</v>
      </c>
      <c r="I2142" t="s" s="11">
        <v>73</v>
      </c>
      <c r="J2142" t="s" s="11">
        <v>20</v>
      </c>
      <c r="K2142" s="15"/>
      <c r="L2142" t="s" s="16">
        <f>HYPERLINK("http://csr.bu.edu/ftp/asl/asllvd/demos/verify_start_end_handshape_annotations//test_auto_move//signs_mov_separ_signers/Liz_3850.mov","MOV")</f>
        <v>21</v>
      </c>
      <c r="M2142" t="s" s="10">
        <v>88</v>
      </c>
      <c r="N2142" s="17">
        <v>46</v>
      </c>
      <c r="O2142" s="18">
        <v>635</v>
      </c>
      <c r="P2142" s="18">
        <v>675</v>
      </c>
      <c r="Q2142" s="15"/>
      <c r="R2142" t="s" s="16">
        <f>HYPERLINK("http://secrets.rutgers.edu:8080/data/asl-ftp/asllvd/demos/verify_start_end_handshape_annotations//test_auto_move//signs_mov_separ_signers/Liz_3850.mov","MOV")</f>
        <v>21</v>
      </c>
    </row>
    <row r="2143" s="2" customFormat="1" ht="13.5" customHeight="1">
      <c r="B2143" s="13"/>
      <c r="C2143" t="s" s="9">
        <v>16</v>
      </c>
      <c r="D2143" t="s" s="8">
        <v>767</v>
      </c>
      <c r="E2143" t="s" s="9">
        <v>768</v>
      </c>
      <c r="F2143" t="s" s="10">
        <v>73</v>
      </c>
      <c r="G2143" t="s" s="11">
        <v>73</v>
      </c>
      <c r="H2143" t="s" s="10">
        <v>73</v>
      </c>
      <c r="I2143" t="s" s="11">
        <v>73</v>
      </c>
      <c r="J2143" t="s" s="11">
        <v>20</v>
      </c>
      <c r="K2143" s="15"/>
      <c r="L2143" t="s" s="16">
        <f>HYPERLINK("http://csr.bu.edu/ftp/asl/asllvd/demos/verify_start_end_handshape_annotations//test_auto_move//signs_mov_separ_signers/Liz_3852.mov","MOV")</f>
        <v>21</v>
      </c>
      <c r="M2143" t="s" s="10">
        <v>77</v>
      </c>
      <c r="N2143" s="17">
        <v>26</v>
      </c>
      <c r="O2143" s="18">
        <v>1156</v>
      </c>
      <c r="P2143" s="18">
        <v>1195</v>
      </c>
      <c r="Q2143" s="15"/>
      <c r="R2143" t="s" s="16">
        <f>HYPERLINK("http://secrets.rutgers.edu:8080/data/asl-ftp/asllvd/demos/verify_start_end_handshape_annotations//test_auto_move//signs_mov_separ_signers/Liz_3852.mov","MOV")</f>
        <v>21</v>
      </c>
    </row>
    <row r="2144" s="2" customFormat="1" ht="13.5" customHeight="1">
      <c r="B2144" s="13"/>
      <c r="C2144" t="s" s="9">
        <v>23</v>
      </c>
      <c r="D2144" t="s" s="8">
        <v>767</v>
      </c>
      <c r="E2144" t="s" s="9">
        <v>769</v>
      </c>
      <c r="F2144" t="s" s="10">
        <v>73</v>
      </c>
      <c r="G2144" t="s" s="11">
        <v>73</v>
      </c>
      <c r="H2144" t="s" s="10">
        <v>73</v>
      </c>
      <c r="I2144" t="s" s="11">
        <v>73</v>
      </c>
      <c r="J2144" t="s" s="11">
        <v>20</v>
      </c>
      <c r="K2144" s="15"/>
      <c r="L2144" t="s" s="16">
        <f>HYPERLINK("http://csr.bu.edu/ftp/asl/asllvd/demos/verify_start_end_handshape_annotations//test_auto_move//signs_mov_separ_signers/Tyler_464.mov","MOV")</f>
        <v>21</v>
      </c>
      <c r="M2144" t="s" s="10">
        <v>26</v>
      </c>
      <c r="N2144" s="17">
        <v>47</v>
      </c>
      <c r="O2144" s="18">
        <v>1195</v>
      </c>
      <c r="P2144" s="18">
        <v>1242</v>
      </c>
      <c r="Q2144" s="15"/>
      <c r="R2144" t="s" s="16">
        <f>HYPERLINK("http://secrets.rutgers.edu:8080/data/asl-ftp/asllvd/demos/verify_start_end_handshape_annotations//test_auto_move//signs_mov_separ_signers/Tyler_464.mov","MOV")</f>
        <v>21</v>
      </c>
    </row>
    <row r="2145" s="2" customFormat="1" ht="13.5" customHeight="1">
      <c r="B2145" s="13"/>
      <c r="C2145" t="s" s="9">
        <v>27</v>
      </c>
      <c r="D2145" t="s" s="8">
        <v>767</v>
      </c>
      <c r="E2145" t="s" s="9">
        <v>770</v>
      </c>
      <c r="F2145" s="19">
        <v>5</v>
      </c>
      <c r="G2145" s="17">
        <v>5</v>
      </c>
      <c r="H2145" s="19">
        <v>5</v>
      </c>
      <c r="I2145" s="17">
        <v>5</v>
      </c>
      <c r="J2145" t="s" s="11">
        <v>20</v>
      </c>
      <c r="K2145" t="s" s="16">
        <f>HYPERLINK("http://csr.bu.edu/ftp/asl/asllvd/demos/verify_start_end_handshape_annotations//test_auto_move//signs_mov/464_3850_3852_15096_merged.mov","MOV")</f>
        <v>21</v>
      </c>
      <c r="L2145" t="s" s="16">
        <f>HYPERLINK("http://csr.bu.edu/ftp/asl/asllvd/demos/verify_start_end_handshape_annotations//test_auto_move//signs_mov_separ_signers/Naomi_464.mov","MOV")</f>
        <v>21</v>
      </c>
      <c r="M2145" t="s" s="10">
        <v>29</v>
      </c>
      <c r="N2145" s="17">
        <v>49</v>
      </c>
      <c r="O2145" s="18">
        <v>2020</v>
      </c>
      <c r="P2145" s="18">
        <v>2059</v>
      </c>
      <c r="Q2145" t="s" s="16">
        <f>HYPERLINK("http://secrets.rutgers.edu:8080/data/asl-ftp/asllvd/demos/verify_start_end_handshape_annotations//test_auto_move//signs_mov/464_3850_3852_15096_merged.mov","MOV")</f>
        <v>21</v>
      </c>
      <c r="R2145" t="s" s="16">
        <f>HYPERLINK("http://secrets.rutgers.edu:8080/data/asl-ftp/asllvd/demos/verify_start_end_handshape_annotations//test_auto_move//signs_mov_separ_signers/Naomi_464.mov","MOV")</f>
        <v>21</v>
      </c>
    </row>
    <row r="2146" s="2" customFormat="1" ht="13.5" customHeight="1">
      <c r="B2146" s="13"/>
      <c r="C2146" t="s" s="9">
        <v>30</v>
      </c>
      <c r="D2146" t="s" s="8">
        <v>767</v>
      </c>
      <c r="E2146" t="s" s="9">
        <v>769</v>
      </c>
      <c r="F2146" t="s" s="10">
        <v>73</v>
      </c>
      <c r="G2146" t="s" s="11">
        <v>73</v>
      </c>
      <c r="H2146" t="s" s="10">
        <v>73</v>
      </c>
      <c r="I2146" t="s" s="11">
        <v>73</v>
      </c>
      <c r="J2146" t="s" s="11">
        <v>20</v>
      </c>
      <c r="K2146" s="15"/>
      <c r="L2146" t="s" s="16">
        <f>HYPERLINK("http://csr.bu.edu/ftp/asl/asllvd/demos/verify_start_end_handshape_annotations//test_auto_move//signs_mov_separ_signers/Brady_464.mov","MOV")</f>
        <v>21</v>
      </c>
      <c r="M2146" t="s" s="10">
        <v>31</v>
      </c>
      <c r="N2146" s="17">
        <v>28</v>
      </c>
      <c r="O2146" s="18">
        <v>653</v>
      </c>
      <c r="P2146" s="18">
        <v>705</v>
      </c>
      <c r="Q2146" s="15"/>
      <c r="R2146" t="s" s="16">
        <f>HYPERLINK("http://secrets.rutgers.edu:8080/data/asl-ftp/asllvd/demos/verify_start_end_handshape_annotations//test_auto_move//signs_mov_separ_signers/Brady_464.mov","MOV")</f>
        <v>21</v>
      </c>
    </row>
    <row r="2147" s="2" customFormat="1" ht="13.5" customHeight="1">
      <c r="B2147" s="13"/>
      <c r="C2147" t="s" s="9">
        <v>30</v>
      </c>
      <c r="D2147" t="s" s="8">
        <v>767</v>
      </c>
      <c r="E2147" t="s" s="9">
        <v>769</v>
      </c>
      <c r="F2147" t="s" s="10">
        <v>73</v>
      </c>
      <c r="G2147" t="s" s="11">
        <v>73</v>
      </c>
      <c r="H2147" t="s" s="10">
        <v>73</v>
      </c>
      <c r="I2147" t="s" s="11">
        <v>73</v>
      </c>
      <c r="J2147" t="s" s="11">
        <v>20</v>
      </c>
      <c r="K2147" s="15"/>
      <c r="L2147" t="s" s="16">
        <f>HYPERLINK("http://csr.bu.edu/ftp/asl/asllvd/demos/verify_start_end_handshape_annotations//test_auto_move//signs_mov_separ_signers/Brady_3850.mov","MOV")</f>
        <v>21</v>
      </c>
      <c r="M2147" t="s" s="10">
        <v>31</v>
      </c>
      <c r="N2147" s="17">
        <v>29</v>
      </c>
      <c r="O2147" s="18">
        <v>7159</v>
      </c>
      <c r="P2147" s="18">
        <v>7194</v>
      </c>
      <c r="Q2147" s="15"/>
      <c r="R2147" t="s" s="16">
        <f>HYPERLINK("http://secrets.rutgers.edu:8080/data/asl-ftp/asllvd/demos/verify_start_end_handshape_annotations//test_auto_move//signs_mov_separ_signers/Brady_3850.mov","MOV")</f>
        <v>21</v>
      </c>
    </row>
    <row r="2148" s="2" customFormat="1" ht="13.5" customHeight="1">
      <c r="B2148" s="13"/>
      <c r="C2148" t="s" s="9">
        <v>30</v>
      </c>
      <c r="D2148" t="s" s="8">
        <v>767</v>
      </c>
      <c r="E2148" t="s" s="9">
        <v>770</v>
      </c>
      <c r="F2148" t="s" s="10">
        <v>73</v>
      </c>
      <c r="G2148" t="s" s="11">
        <v>73</v>
      </c>
      <c r="H2148" t="s" s="10">
        <v>73</v>
      </c>
      <c r="I2148" t="s" s="11">
        <v>73</v>
      </c>
      <c r="J2148" t="s" s="11">
        <v>20</v>
      </c>
      <c r="K2148" s="15"/>
      <c r="L2148" t="s" s="16">
        <f>HYPERLINK("http://csr.bu.edu/ftp/asl/asllvd/demos/verify_start_end_handshape_annotations//test_auto_move//signs_mov_separ_signers/Brady_3852.mov","MOV")</f>
        <v>21</v>
      </c>
      <c r="M2148" t="s" s="10">
        <v>40</v>
      </c>
      <c r="N2148" s="17">
        <v>40</v>
      </c>
      <c r="O2148" s="18">
        <v>1218</v>
      </c>
      <c r="P2148" s="18">
        <v>1245</v>
      </c>
      <c r="Q2148" s="15"/>
      <c r="R2148" t="s" s="16">
        <f>HYPERLINK("http://secrets.rutgers.edu:8080/data/asl-ftp/asllvd/demos/verify_start_end_handshape_annotations//test_auto_move//signs_mov_separ_signers/Brady_3852.mov","MOV")</f>
        <v>21</v>
      </c>
    </row>
    <row r="2149" s="2" customFormat="1" ht="13.5" customHeight="1">
      <c r="B2149" s="13"/>
      <c r="C2149" t="s" s="9">
        <v>30</v>
      </c>
      <c r="D2149" t="s" s="8">
        <v>767</v>
      </c>
      <c r="E2149" t="s" s="9">
        <v>768</v>
      </c>
      <c r="F2149" t="s" s="10">
        <v>73</v>
      </c>
      <c r="G2149" t="s" s="11">
        <v>73</v>
      </c>
      <c r="H2149" t="s" s="10">
        <v>73</v>
      </c>
      <c r="I2149" t="s" s="11">
        <v>73</v>
      </c>
      <c r="J2149" t="s" s="11">
        <v>20</v>
      </c>
      <c r="K2149" s="15"/>
      <c r="L2149" t="s" s="16">
        <f>HYPERLINK("http://csr.bu.edu/ftp/asl/asllvd/demos/verify_start_end_handshape_annotations//test_auto_move//signs_mov_separ_signers/Brady_15096.mov","MOV")</f>
        <v>21</v>
      </c>
      <c r="M2149" t="s" s="10">
        <v>60</v>
      </c>
      <c r="N2149" s="17">
        <v>50</v>
      </c>
      <c r="O2149" s="18">
        <v>588</v>
      </c>
      <c r="P2149" s="18">
        <v>636</v>
      </c>
      <c r="Q2149" s="15"/>
      <c r="R2149" t="s" s="16">
        <f>HYPERLINK("http://secrets.rutgers.edu:8080/data/asl-ftp/asllvd/demos/verify_start_end_handshape_annotations//test_auto_move//signs_mov_separ_signers/Brady_15096.mov","MOV")</f>
        <v>21</v>
      </c>
    </row>
    <row r="2150" s="2" customFormat="1" ht="13.5" customHeight="1">
      <c r="B2150" t="s" s="8">
        <v>771</v>
      </c>
      <c r="C2150" t="s" s="9">
        <v>14</v>
      </c>
      <c r="D2150" t="s" s="8">
        <v>14</v>
      </c>
      <c r="E2150" t="s" s="9">
        <v>14</v>
      </c>
      <c r="F2150" t="s" s="10">
        <v>14</v>
      </c>
      <c r="G2150" t="s" s="11">
        <v>14</v>
      </c>
      <c r="H2150" t="s" s="10">
        <v>14</v>
      </c>
      <c r="I2150" t="s" s="11">
        <v>14</v>
      </c>
      <c r="J2150" t="s" s="11">
        <v>14</v>
      </c>
      <c r="K2150" t="s" s="12">
        <v>14</v>
      </c>
      <c r="L2150" t="s" s="12">
        <v>14</v>
      </c>
      <c r="M2150" t="s" s="10">
        <v>14</v>
      </c>
      <c r="N2150" t="s" s="11">
        <v>14</v>
      </c>
      <c r="O2150" t="s" s="8">
        <v>14</v>
      </c>
      <c r="P2150" t="s" s="8">
        <v>14</v>
      </c>
      <c r="Q2150" t="s" s="12">
        <v>14</v>
      </c>
      <c r="R2150" t="s" s="12">
        <v>14</v>
      </c>
    </row>
    <row r="2151" s="2" customFormat="1" ht="13.5" customHeight="1">
      <c r="B2151" s="13"/>
      <c r="C2151" t="s" s="9">
        <v>16</v>
      </c>
      <c r="D2151" t="s" s="8">
        <v>771</v>
      </c>
      <c r="E2151" t="s" s="9">
        <v>771</v>
      </c>
      <c r="F2151" t="s" s="10">
        <v>73</v>
      </c>
      <c r="G2151" t="s" s="11">
        <v>73</v>
      </c>
      <c r="H2151" t="s" s="10">
        <v>73</v>
      </c>
      <c r="I2151" t="s" s="11">
        <v>73</v>
      </c>
      <c r="J2151" t="s" s="11">
        <v>20</v>
      </c>
      <c r="K2151" s="15"/>
      <c r="L2151" t="s" s="16">
        <f>HYPERLINK("http://csr.bu.edu/ftp/asl/asllvd/demos/verify_start_end_handshape_annotations//test_auto_move//signs_mov_separ_signers/Liz_467.mov","MOV")</f>
        <v>21</v>
      </c>
      <c r="M2151" t="s" s="10">
        <v>22</v>
      </c>
      <c r="N2151" s="17">
        <v>78</v>
      </c>
      <c r="O2151" s="18">
        <v>920</v>
      </c>
      <c r="P2151" s="18">
        <v>945</v>
      </c>
      <c r="Q2151" s="15"/>
      <c r="R2151" t="s" s="16">
        <f>HYPERLINK("http://secrets.rutgers.edu:8080/data/asl-ftp/asllvd/demos/verify_start_end_handshape_annotations//test_auto_move//signs_mov_separ_signers/Liz_467.mov","MOV")</f>
        <v>21</v>
      </c>
    </row>
    <row r="2152" s="2" customFormat="1" ht="13.5" customHeight="1">
      <c r="B2152" s="13"/>
      <c r="C2152" t="s" s="9">
        <v>16</v>
      </c>
      <c r="D2152" t="s" s="8">
        <v>771</v>
      </c>
      <c r="E2152" t="s" s="9">
        <v>772</v>
      </c>
      <c r="F2152" t="s" s="10">
        <v>73</v>
      </c>
      <c r="G2152" t="s" s="11">
        <v>73</v>
      </c>
      <c r="H2152" t="s" s="10">
        <v>73</v>
      </c>
      <c r="I2152" t="s" s="11">
        <v>73</v>
      </c>
      <c r="J2152" t="s" s="11">
        <v>20</v>
      </c>
      <c r="K2152" s="15"/>
      <c r="L2152" t="s" s="16">
        <f>HYPERLINK("http://csr.bu.edu/ftp/asl/asllvd/demos/verify_start_end_handshape_annotations//test_auto_move//signs_mov_separ_signers/Liz_5336.mov","MOV")</f>
        <v>21</v>
      </c>
      <c r="M2152" t="s" s="10">
        <v>22</v>
      </c>
      <c r="N2152" s="17">
        <v>78</v>
      </c>
      <c r="O2152" s="18">
        <v>1110</v>
      </c>
      <c r="P2152" s="18">
        <v>1150</v>
      </c>
      <c r="Q2152" s="15"/>
      <c r="R2152" t="s" s="16">
        <f>HYPERLINK("http://secrets.rutgers.edu:8080/data/asl-ftp/asllvd/demos/verify_start_end_handshape_annotations//test_auto_move//signs_mov_separ_signers/Liz_5336.mov","MOV")</f>
        <v>21</v>
      </c>
    </row>
    <row r="2153" s="2" customFormat="1" ht="13.5" customHeight="1">
      <c r="B2153" s="13"/>
      <c r="C2153" t="s" s="9">
        <v>23</v>
      </c>
      <c r="D2153" t="s" s="8">
        <v>771</v>
      </c>
      <c r="E2153" t="s" s="9">
        <v>771</v>
      </c>
      <c r="F2153" t="s" s="10">
        <v>73</v>
      </c>
      <c r="G2153" t="s" s="11">
        <v>73</v>
      </c>
      <c r="H2153" t="s" s="10">
        <v>73</v>
      </c>
      <c r="I2153" t="s" s="11">
        <v>73</v>
      </c>
      <c r="J2153" t="s" s="11">
        <v>20</v>
      </c>
      <c r="K2153" s="15"/>
      <c r="L2153" t="s" s="16">
        <f>HYPERLINK("http://csr.bu.edu/ftp/asl/asllvd/demos/verify_start_end_handshape_annotations//test_auto_move//signs_mov_separ_signers/Tyler_467.mov","MOV")</f>
        <v>21</v>
      </c>
      <c r="M2153" t="s" s="10">
        <v>26</v>
      </c>
      <c r="N2153" s="17">
        <v>47</v>
      </c>
      <c r="O2153" s="18">
        <v>1625</v>
      </c>
      <c r="P2153" s="18">
        <v>1657</v>
      </c>
      <c r="Q2153" s="15"/>
      <c r="R2153" t="s" s="16">
        <f>HYPERLINK("http://secrets.rutgers.edu:8080/data/asl-ftp/asllvd/demos/verify_start_end_handshape_annotations//test_auto_move//signs_mov_separ_signers/Tyler_467.mov","MOV")</f>
        <v>21</v>
      </c>
    </row>
    <row r="2154" s="2" customFormat="1" ht="13.5" customHeight="1">
      <c r="B2154" s="13"/>
      <c r="C2154" t="s" s="9">
        <v>23</v>
      </c>
      <c r="D2154" t="s" s="8">
        <v>771</v>
      </c>
      <c r="E2154" t="s" s="9">
        <v>773</v>
      </c>
      <c r="F2154" t="s" s="10">
        <v>73</v>
      </c>
      <c r="G2154" t="s" s="11">
        <v>73</v>
      </c>
      <c r="H2154" t="s" s="10">
        <v>73</v>
      </c>
      <c r="I2154" t="s" s="11">
        <v>73</v>
      </c>
      <c r="J2154" t="s" s="11">
        <v>20</v>
      </c>
      <c r="K2154" s="15"/>
      <c r="L2154" t="s" s="16">
        <f>HYPERLINK("http://csr.bu.edu/ftp/asl/asllvd/demos/verify_start_end_handshape_annotations//test_auto_move//signs_mov_separ_signers/Tyler_5336.mov","MOV")</f>
        <v>21</v>
      </c>
      <c r="M2154" t="s" s="10">
        <v>26</v>
      </c>
      <c r="N2154" s="17">
        <v>47</v>
      </c>
      <c r="O2154" s="18">
        <v>1815</v>
      </c>
      <c r="P2154" s="18">
        <v>1860</v>
      </c>
      <c r="Q2154" s="15"/>
      <c r="R2154" t="s" s="16">
        <f>HYPERLINK("http://secrets.rutgers.edu:8080/data/asl-ftp/asllvd/demos/verify_start_end_handshape_annotations//test_auto_move//signs_mov_separ_signers/Tyler_5336.mov","MOV")</f>
        <v>21</v>
      </c>
    </row>
    <row r="2155" s="2" customFormat="1" ht="13.5" customHeight="1">
      <c r="B2155" s="13"/>
      <c r="C2155" t="s" s="9">
        <v>23</v>
      </c>
      <c r="D2155" t="s" s="8">
        <v>771</v>
      </c>
      <c r="E2155" t="s" s="9">
        <v>771</v>
      </c>
      <c r="F2155" t="s" s="10">
        <v>73</v>
      </c>
      <c r="G2155" t="s" s="11">
        <v>73</v>
      </c>
      <c r="H2155" t="s" s="10">
        <v>73</v>
      </c>
      <c r="I2155" t="s" s="11">
        <v>73</v>
      </c>
      <c r="J2155" t="s" s="11">
        <v>20</v>
      </c>
      <c r="K2155" s="15"/>
      <c r="L2155" t="s" s="16">
        <f>HYPERLINK("http://csr.bu.edu/ftp/asl/asllvd/demos/verify_start_end_handshape_annotations//test_auto_move//signs_mov_separ_signers/Tyler_5399.mov","MOV")</f>
        <v>21</v>
      </c>
      <c r="M2155" t="s" s="10">
        <v>92</v>
      </c>
      <c r="N2155" s="17">
        <v>24</v>
      </c>
      <c r="O2155" s="18">
        <v>660</v>
      </c>
      <c r="P2155" s="18">
        <v>700</v>
      </c>
      <c r="Q2155" s="15"/>
      <c r="R2155" t="s" s="16">
        <f>HYPERLINK("http://secrets.rutgers.edu:8080/data/asl-ftp/asllvd/demos/verify_start_end_handshape_annotations//test_auto_move//signs_mov_separ_signers/Tyler_5399.mov","MOV")</f>
        <v>21</v>
      </c>
    </row>
    <row r="2156" s="2" customFormat="1" ht="13.5" customHeight="1">
      <c r="B2156" s="13"/>
      <c r="C2156" t="s" s="9">
        <v>27</v>
      </c>
      <c r="D2156" t="s" s="8">
        <v>771</v>
      </c>
      <c r="E2156" t="s" s="9">
        <v>771</v>
      </c>
      <c r="F2156" t="s" s="10">
        <v>73</v>
      </c>
      <c r="G2156" t="s" s="11">
        <v>73</v>
      </c>
      <c r="H2156" t="s" s="10">
        <v>73</v>
      </c>
      <c r="I2156" t="s" s="11">
        <v>73</v>
      </c>
      <c r="J2156" t="s" s="11">
        <v>20</v>
      </c>
      <c r="K2156" t="s" s="16">
        <f>HYPERLINK("http://csr.bu.edu/ftp/asl/asllvd/demos/verify_start_end_handshape_annotations//test_auto_move//signs_mov/467_5336_5399_merged.mov","MOV")</f>
        <v>21</v>
      </c>
      <c r="L2156" t="s" s="16">
        <f>HYPERLINK("http://csr.bu.edu/ftp/asl/asllvd/demos/verify_start_end_handshape_annotations//test_auto_move//signs_mov_separ_signers/Naomi_467.mov","MOV")</f>
        <v>21</v>
      </c>
      <c r="M2156" t="s" s="10">
        <v>29</v>
      </c>
      <c r="N2156" s="17">
        <v>49</v>
      </c>
      <c r="O2156" s="18">
        <v>2765</v>
      </c>
      <c r="P2156" s="18">
        <v>2795</v>
      </c>
      <c r="Q2156" t="s" s="16">
        <f>HYPERLINK("http://secrets.rutgers.edu:8080/data/asl-ftp/asllvd/demos/verify_start_end_handshape_annotations//test_auto_move//signs_mov/467_5336_5399_merged.mov","MOV")</f>
        <v>21</v>
      </c>
      <c r="R2156" t="s" s="16">
        <f>HYPERLINK("http://secrets.rutgers.edu:8080/data/asl-ftp/asllvd/demos/verify_start_end_handshape_annotations//test_auto_move//signs_mov_separ_signers/Naomi_467.mov","MOV")</f>
        <v>21</v>
      </c>
    </row>
    <row r="2157" s="2" customFormat="1" ht="13.5" customHeight="1">
      <c r="B2157" s="13"/>
      <c r="C2157" t="s" s="9">
        <v>27</v>
      </c>
      <c r="D2157" t="s" s="8">
        <v>771</v>
      </c>
      <c r="E2157" t="s" s="9">
        <v>772</v>
      </c>
      <c r="F2157" t="s" s="10">
        <v>73</v>
      </c>
      <c r="G2157" t="s" s="11">
        <v>73</v>
      </c>
      <c r="H2157" t="s" s="10">
        <v>73</v>
      </c>
      <c r="I2157" t="s" s="11">
        <v>73</v>
      </c>
      <c r="J2157" t="s" s="11">
        <v>20</v>
      </c>
      <c r="K2157" s="15"/>
      <c r="L2157" t="s" s="16">
        <f>HYPERLINK("http://csr.bu.edu/ftp/asl/asllvd/demos/verify_start_end_handshape_annotations//test_auto_move//signs_mov_separ_signers/Naomi_5336.mov","MOV")</f>
        <v>21</v>
      </c>
      <c r="M2157" t="s" s="10">
        <v>29</v>
      </c>
      <c r="N2157" s="17">
        <v>49</v>
      </c>
      <c r="O2157" s="18">
        <v>3005</v>
      </c>
      <c r="P2157" s="18">
        <v>3045</v>
      </c>
      <c r="Q2157" s="15"/>
      <c r="R2157" t="s" s="16">
        <f>HYPERLINK("http://secrets.rutgers.edu:8080/data/asl-ftp/asllvd/demos/verify_start_end_handshape_annotations//test_auto_move//signs_mov_separ_signers/Naomi_5336.mov","MOV")</f>
        <v>21</v>
      </c>
    </row>
    <row r="2158" s="2" customFormat="1" ht="13.5" customHeight="1">
      <c r="B2158" s="13"/>
      <c r="C2158" t="s" s="9">
        <v>30</v>
      </c>
      <c r="D2158" t="s" s="8">
        <v>771</v>
      </c>
      <c r="E2158" t="s" s="9">
        <v>772</v>
      </c>
      <c r="F2158" t="s" s="10">
        <v>73</v>
      </c>
      <c r="G2158" t="s" s="11">
        <v>73</v>
      </c>
      <c r="H2158" t="s" s="10">
        <v>73</v>
      </c>
      <c r="I2158" t="s" s="11">
        <v>73</v>
      </c>
      <c r="J2158" t="s" s="11">
        <v>20</v>
      </c>
      <c r="K2158" s="15"/>
      <c r="L2158" t="s" s="16">
        <f>HYPERLINK("http://csr.bu.edu/ftp/asl/asllvd/demos/verify_start_end_handshape_annotations//test_auto_move//signs_mov_separ_signers/Brady_467.mov","MOV")</f>
        <v>21</v>
      </c>
      <c r="M2158" t="s" s="10">
        <v>31</v>
      </c>
      <c r="N2158" s="17">
        <v>28</v>
      </c>
      <c r="O2158" s="18">
        <v>2355</v>
      </c>
      <c r="P2158" s="18">
        <v>2390</v>
      </c>
      <c r="Q2158" s="15"/>
      <c r="R2158" t="s" s="16">
        <f>HYPERLINK("http://secrets.rutgers.edu:8080/data/asl-ftp/asllvd/demos/verify_start_end_handshape_annotations//test_auto_move//signs_mov_separ_signers/Brady_467.mov","MOV")</f>
        <v>21</v>
      </c>
    </row>
    <row r="2159" s="2" customFormat="1" ht="13.5" customHeight="1">
      <c r="B2159" s="13"/>
      <c r="C2159" t="s" s="9">
        <v>41</v>
      </c>
      <c r="D2159" t="s" s="8">
        <v>771</v>
      </c>
      <c r="E2159" t="s" s="9">
        <v>771</v>
      </c>
      <c r="F2159" t="s" s="10">
        <v>73</v>
      </c>
      <c r="G2159" t="s" s="11">
        <v>73</v>
      </c>
      <c r="H2159" t="s" s="10">
        <v>73</v>
      </c>
      <c r="I2159" t="s" s="11">
        <v>73</v>
      </c>
      <c r="J2159" t="s" s="11">
        <v>20</v>
      </c>
      <c r="K2159" s="15"/>
      <c r="L2159" t="s" s="16">
        <f>HYPERLINK("http://csr.bu.edu/ftp/asl/asllvd/demos/verify_start_end_handshape_annotations//test_auto_move//signs_mov_separ_signers/Lana_467.mov","MOV")</f>
        <v>21</v>
      </c>
      <c r="M2159" t="s" s="10">
        <v>42</v>
      </c>
      <c r="N2159" s="17">
        <v>5</v>
      </c>
      <c r="O2159" s="18">
        <v>2117</v>
      </c>
      <c r="P2159" s="18">
        <v>2154</v>
      </c>
      <c r="Q2159" s="15"/>
      <c r="R2159" t="s" s="16">
        <f>HYPERLINK("http://secrets.rutgers.edu:8080/data/asl-ftp/asllvd/demos/verify_start_end_handshape_annotations//test_auto_move//signs_mov_separ_signers/Lana_467.mov","MOV")</f>
        <v>21</v>
      </c>
    </row>
    <row r="2160" s="2" customFormat="1" ht="13.5" customHeight="1">
      <c r="B2160" s="13"/>
      <c r="C2160" t="s" s="9">
        <v>41</v>
      </c>
      <c r="D2160" t="s" s="8">
        <v>771</v>
      </c>
      <c r="E2160" t="s" s="9">
        <v>771</v>
      </c>
      <c r="F2160" t="s" s="10">
        <v>73</v>
      </c>
      <c r="G2160" t="s" s="11">
        <v>73</v>
      </c>
      <c r="H2160" t="s" s="10">
        <v>73</v>
      </c>
      <c r="I2160" t="s" s="11">
        <v>73</v>
      </c>
      <c r="J2160" t="s" s="11">
        <v>20</v>
      </c>
      <c r="K2160" s="15"/>
      <c r="L2160" t="s" s="16">
        <f>HYPERLINK("http://csr.bu.edu/ftp/asl/asllvd/demos/verify_start_end_handshape_annotations//test_auto_move//signs_mov_separ_signers/Lana_5336.mov","MOV")</f>
        <v>21</v>
      </c>
      <c r="M2160" t="s" s="10">
        <v>42</v>
      </c>
      <c r="N2160" s="17">
        <v>19</v>
      </c>
      <c r="O2160" s="18">
        <v>1416</v>
      </c>
      <c r="P2160" s="18">
        <v>1438</v>
      </c>
      <c r="Q2160" s="15"/>
      <c r="R2160" t="s" s="16">
        <f>HYPERLINK("http://secrets.rutgers.edu:8080/data/asl-ftp/asllvd/demos/verify_start_end_handshape_annotations//test_auto_move//signs_mov_separ_signers/Lana_5336.mov","MOV")</f>
        <v>21</v>
      </c>
    </row>
    <row r="2161" s="2" customFormat="1" ht="13.5" customHeight="1">
      <c r="B2161" s="13"/>
      <c r="C2161" t="s" s="9">
        <v>43</v>
      </c>
      <c r="D2161" t="s" s="8">
        <v>771</v>
      </c>
      <c r="E2161" t="s" s="9">
        <v>771</v>
      </c>
      <c r="F2161" t="s" s="10">
        <v>73</v>
      </c>
      <c r="G2161" t="s" s="11">
        <v>73</v>
      </c>
      <c r="H2161" t="s" s="10">
        <v>73</v>
      </c>
      <c r="I2161" t="s" s="11">
        <v>73</v>
      </c>
      <c r="J2161" t="s" s="11">
        <v>20</v>
      </c>
      <c r="K2161" s="15"/>
      <c r="L2161" t="s" s="16">
        <f>HYPERLINK("http://csr.bu.edu/ftp/asl/asllvd/demos/verify_start_end_handshape_annotations//test_auto_move//signs_mov_separ_signers/Dana_467.mov","MOV")</f>
        <v>21</v>
      </c>
      <c r="M2161" t="s" s="10">
        <v>44</v>
      </c>
      <c r="N2161" s="17">
        <v>21</v>
      </c>
      <c r="O2161" s="18">
        <v>1322</v>
      </c>
      <c r="P2161" s="18">
        <v>1352</v>
      </c>
      <c r="Q2161" s="15"/>
      <c r="R2161" t="s" s="16">
        <f>HYPERLINK("http://secrets.rutgers.edu:8080/data/asl-ftp/asllvd/demos/verify_start_end_handshape_annotations//test_auto_move//signs_mov_separ_signers/Dana_467.mov","MOV")</f>
        <v>21</v>
      </c>
    </row>
    <row r="2162" s="2" customFormat="1" ht="13.5" customHeight="1">
      <c r="B2162" t="s" s="8">
        <v>774</v>
      </c>
      <c r="C2162" t="s" s="9">
        <v>14</v>
      </c>
      <c r="D2162" t="s" s="8">
        <v>14</v>
      </c>
      <c r="E2162" t="s" s="9">
        <v>14</v>
      </c>
      <c r="F2162" t="s" s="10">
        <v>14</v>
      </c>
      <c r="G2162" t="s" s="11">
        <v>14</v>
      </c>
      <c r="H2162" t="s" s="10">
        <v>14</v>
      </c>
      <c r="I2162" t="s" s="11">
        <v>14</v>
      </c>
      <c r="J2162" t="s" s="11">
        <v>14</v>
      </c>
      <c r="K2162" t="s" s="12">
        <v>14</v>
      </c>
      <c r="L2162" t="s" s="12">
        <v>14</v>
      </c>
      <c r="M2162" t="s" s="10">
        <v>14</v>
      </c>
      <c r="N2162" t="s" s="11">
        <v>14</v>
      </c>
      <c r="O2162" t="s" s="8">
        <v>14</v>
      </c>
      <c r="P2162" t="s" s="8">
        <v>14</v>
      </c>
      <c r="Q2162" t="s" s="12">
        <v>14</v>
      </c>
      <c r="R2162" t="s" s="12">
        <v>14</v>
      </c>
    </row>
    <row r="2163" s="2" customFormat="1" ht="13.5" customHeight="1">
      <c r="B2163" s="13"/>
      <c r="C2163" t="s" s="9">
        <v>16</v>
      </c>
      <c r="D2163" t="s" s="8">
        <v>774</v>
      </c>
      <c r="E2163" t="s" s="9">
        <v>774</v>
      </c>
      <c r="F2163" s="19">
        <v>25</v>
      </c>
      <c r="G2163" s="14"/>
      <c r="H2163" s="19">
        <v>25</v>
      </c>
      <c r="I2163" s="14"/>
      <c r="J2163" t="s" s="11">
        <v>20</v>
      </c>
      <c r="K2163" s="15"/>
      <c r="L2163" t="s" s="16">
        <f>HYPERLINK("http://csr.bu.edu/ftp/asl/asllvd/demos/verify_start_end_handshape_annotations//test_auto_move//signs_mov_separ_signers/Liz_468.mov","MOV")</f>
        <v>21</v>
      </c>
      <c r="M2163" t="s" s="10">
        <v>22</v>
      </c>
      <c r="N2163" s="17">
        <v>78</v>
      </c>
      <c r="O2163" s="18">
        <v>1350</v>
      </c>
      <c r="P2163" s="18">
        <v>1375</v>
      </c>
      <c r="Q2163" s="15"/>
      <c r="R2163" t="s" s="16">
        <f>HYPERLINK("http://secrets.rutgers.edu:8080/data/asl-ftp/asllvd/demos/verify_start_end_handshape_annotations//test_auto_move//signs_mov_separ_signers/Liz_468.mov","MOV")</f>
        <v>21</v>
      </c>
    </row>
    <row r="2164" s="2" customFormat="1" ht="13.5" customHeight="1">
      <c r="B2164" s="13"/>
      <c r="C2164" t="s" s="9">
        <v>23</v>
      </c>
      <c r="D2164" t="s" s="8">
        <v>774</v>
      </c>
      <c r="E2164" t="s" s="9">
        <v>774</v>
      </c>
      <c r="F2164" s="19">
        <v>25</v>
      </c>
      <c r="G2164" s="14"/>
      <c r="H2164" s="19">
        <v>25</v>
      </c>
      <c r="I2164" s="14"/>
      <c r="J2164" t="s" s="11">
        <v>20</v>
      </c>
      <c r="K2164" t="s" s="16">
        <f>HYPERLINK("http://csr.bu.edu/ftp/asl/asllvd/demos/verify_start_end_handshape_annotations//test_auto_move//signs_mov/468.mov","MOV")</f>
        <v>21</v>
      </c>
      <c r="L2164" t="s" s="16">
        <f>HYPERLINK("http://csr.bu.edu/ftp/asl/asllvd/demos/verify_start_end_handshape_annotations//test_auto_move//signs_mov_separ_signers/Tyler_468.mov","MOV")</f>
        <v>21</v>
      </c>
      <c r="M2164" t="s" s="10">
        <v>26</v>
      </c>
      <c r="N2164" s="17">
        <v>47</v>
      </c>
      <c r="O2164" s="18">
        <v>2085</v>
      </c>
      <c r="P2164" s="18">
        <v>2110</v>
      </c>
      <c r="Q2164" t="s" s="16">
        <f>HYPERLINK("http://secrets.rutgers.edu:8080/data/asl-ftp/asllvd/demos/verify_start_end_handshape_annotations//test_auto_move//signs_mov/468.mov","MOV")</f>
        <v>21</v>
      </c>
      <c r="R2164" t="s" s="16">
        <f>HYPERLINK("http://secrets.rutgers.edu:8080/data/asl-ftp/asllvd/demos/verify_start_end_handshape_annotations//test_auto_move//signs_mov_separ_signers/Tyler_468.mov","MOV")</f>
        <v>21</v>
      </c>
    </row>
    <row r="2165" s="2" customFormat="1" ht="13.5" customHeight="1">
      <c r="B2165" s="13"/>
      <c r="C2165" t="s" s="9">
        <v>27</v>
      </c>
      <c r="D2165" t="s" s="8">
        <v>774</v>
      </c>
      <c r="E2165" t="s" s="9">
        <v>774</v>
      </c>
      <c r="F2165" s="19">
        <v>25</v>
      </c>
      <c r="G2165" s="14"/>
      <c r="H2165" s="19">
        <v>25</v>
      </c>
      <c r="I2165" s="14"/>
      <c r="J2165" t="s" s="11">
        <v>20</v>
      </c>
      <c r="K2165" s="15"/>
      <c r="L2165" t="s" s="16">
        <f>HYPERLINK("http://csr.bu.edu/ftp/asl/asllvd/demos/verify_start_end_handshape_annotations//test_auto_move//signs_mov_separ_signers/Naomi_468.mov","MOV")</f>
        <v>21</v>
      </c>
      <c r="M2165" t="s" s="10">
        <v>29</v>
      </c>
      <c r="N2165" s="17">
        <v>49</v>
      </c>
      <c r="O2165" s="18">
        <v>3231</v>
      </c>
      <c r="P2165" s="18">
        <v>3260</v>
      </c>
      <c r="Q2165" s="15"/>
      <c r="R2165" t="s" s="16">
        <f>HYPERLINK("http://secrets.rutgers.edu:8080/data/asl-ftp/asllvd/demos/verify_start_end_handshape_annotations//test_auto_move//signs_mov_separ_signers/Naomi_468.mov","MOV")</f>
        <v>21</v>
      </c>
    </row>
    <row r="2166" s="2" customFormat="1" ht="13.5" customHeight="1">
      <c r="B2166" s="13"/>
      <c r="C2166" t="s" s="9">
        <v>30</v>
      </c>
      <c r="D2166" t="s" s="8">
        <v>774</v>
      </c>
      <c r="E2166" t="s" s="9">
        <v>774</v>
      </c>
      <c r="F2166" s="19">
        <v>25</v>
      </c>
      <c r="G2166" s="14"/>
      <c r="H2166" s="19">
        <v>25</v>
      </c>
      <c r="I2166" s="14"/>
      <c r="J2166" t="s" s="11">
        <v>20</v>
      </c>
      <c r="K2166" s="15"/>
      <c r="L2166" t="s" s="16">
        <f>HYPERLINK("http://csr.bu.edu/ftp/asl/asllvd/demos/verify_start_end_handshape_annotations//test_auto_move//signs_mov_separ_signers/Brady_468.mov","MOV")</f>
        <v>21</v>
      </c>
      <c r="M2166" t="s" s="10">
        <v>31</v>
      </c>
      <c r="N2166" s="17">
        <v>28</v>
      </c>
      <c r="O2166" s="18">
        <v>2611</v>
      </c>
      <c r="P2166" s="18">
        <v>2625</v>
      </c>
      <c r="Q2166" s="15"/>
      <c r="R2166" t="s" s="16">
        <f>HYPERLINK("http://secrets.rutgers.edu:8080/data/asl-ftp/asllvd/demos/verify_start_end_handshape_annotations//test_auto_move//signs_mov_separ_signers/Brady_468.mov","MOV")</f>
        <v>21</v>
      </c>
    </row>
    <row r="2167" s="2" customFormat="1" ht="13.5" customHeight="1">
      <c r="B2167" t="s" s="8">
        <v>775</v>
      </c>
      <c r="C2167" t="s" s="9">
        <v>14</v>
      </c>
      <c r="D2167" t="s" s="8">
        <v>14</v>
      </c>
      <c r="E2167" t="s" s="9">
        <v>14</v>
      </c>
      <c r="F2167" t="s" s="10">
        <v>14</v>
      </c>
      <c r="G2167" t="s" s="11">
        <v>14</v>
      </c>
      <c r="H2167" t="s" s="10">
        <v>14</v>
      </c>
      <c r="I2167" t="s" s="11">
        <v>14</v>
      </c>
      <c r="J2167" t="s" s="11">
        <v>14</v>
      </c>
      <c r="K2167" t="s" s="12">
        <v>14</v>
      </c>
      <c r="L2167" t="s" s="12">
        <v>14</v>
      </c>
      <c r="M2167" t="s" s="10">
        <v>14</v>
      </c>
      <c r="N2167" t="s" s="11">
        <v>14</v>
      </c>
      <c r="O2167" t="s" s="8">
        <v>14</v>
      </c>
      <c r="P2167" t="s" s="8">
        <v>14</v>
      </c>
      <c r="Q2167" t="s" s="12">
        <v>14</v>
      </c>
      <c r="R2167" t="s" s="12">
        <v>14</v>
      </c>
    </row>
    <row r="2168" s="2" customFormat="1" ht="13.5" customHeight="1">
      <c r="B2168" s="13"/>
      <c r="C2168" t="s" s="9">
        <v>16</v>
      </c>
      <c r="D2168" t="s" s="8">
        <v>775</v>
      </c>
      <c r="E2168" t="s" s="9">
        <v>775</v>
      </c>
      <c r="F2168" s="19">
        <v>25</v>
      </c>
      <c r="G2168" s="14"/>
      <c r="H2168" s="19">
        <v>25</v>
      </c>
      <c r="I2168" s="14"/>
      <c r="J2168" t="s" s="11">
        <v>20</v>
      </c>
      <c r="K2168" t="s" s="16">
        <f>HYPERLINK("http://csr.bu.edu/ftp/asl/asllvd/demos/verify_start_end_handshape_annotations//test_auto_move//signs_mov/15657_15671_merged.mov","MOV")</f>
        <v>21</v>
      </c>
      <c r="L2168" t="s" s="16">
        <f>HYPERLINK("http://csr.bu.edu/ftp/asl/asllvd/demos/verify_start_end_handshape_annotations//test_auto_move//signs_mov_separ_signers/Liz_15657.mov","MOV")</f>
        <v>21</v>
      </c>
      <c r="M2168" t="s" s="10">
        <v>88</v>
      </c>
      <c r="N2168" s="17">
        <v>21</v>
      </c>
      <c r="O2168" s="18">
        <v>265</v>
      </c>
      <c r="P2168" s="18">
        <v>292</v>
      </c>
      <c r="Q2168" t="s" s="16">
        <f>HYPERLINK("http://secrets.rutgers.edu:8080/data/asl-ftp/asllvd/demos/verify_start_end_handshape_annotations//test_auto_move//signs_mov/15657_15671_merged.mov","MOV")</f>
        <v>21</v>
      </c>
      <c r="R2168" t="s" s="16">
        <f>HYPERLINK("http://secrets.rutgers.edu:8080/data/asl-ftp/asllvd/demos/verify_start_end_handshape_annotations//test_auto_move//signs_mov_separ_signers/Liz_15657.mov","MOV")</f>
        <v>21</v>
      </c>
    </row>
    <row r="2169" s="2" customFormat="1" ht="13.5" customHeight="1">
      <c r="B2169" s="13"/>
      <c r="C2169" t="s" s="9">
        <v>16</v>
      </c>
      <c r="D2169" t="s" s="8">
        <v>775</v>
      </c>
      <c r="E2169" t="s" s="9">
        <v>775</v>
      </c>
      <c r="F2169" s="19">
        <v>25</v>
      </c>
      <c r="G2169" s="14"/>
      <c r="H2169" s="19">
        <v>25</v>
      </c>
      <c r="I2169" s="14"/>
      <c r="J2169" t="s" s="11">
        <v>20</v>
      </c>
      <c r="K2169" s="15"/>
      <c r="L2169" t="s" s="16">
        <f>HYPERLINK("http://csr.bu.edu/ftp/asl/asllvd/demos/verify_start_end_handshape_annotations//test_auto_move//signs_mov_separ_signers/Liz_15671.mov","MOV")</f>
        <v>21</v>
      </c>
      <c r="M2169" t="s" s="10">
        <v>88</v>
      </c>
      <c r="N2169" s="17">
        <v>21</v>
      </c>
      <c r="O2169" s="18">
        <v>450</v>
      </c>
      <c r="P2169" s="18">
        <v>486</v>
      </c>
      <c r="Q2169" s="15"/>
      <c r="R2169" t="s" s="16">
        <f>HYPERLINK("http://secrets.rutgers.edu:8080/data/asl-ftp/asllvd/demos/verify_start_end_handshape_annotations//test_auto_move//signs_mov_separ_signers/Liz_15671.mov","MOV")</f>
        <v>21</v>
      </c>
    </row>
    <row r="2170" s="2" customFormat="1" ht="13.5" customHeight="1">
      <c r="B2170" t="s" s="8">
        <v>776</v>
      </c>
      <c r="C2170" t="s" s="9">
        <v>14</v>
      </c>
      <c r="D2170" t="s" s="8">
        <v>14</v>
      </c>
      <c r="E2170" t="s" s="9">
        <v>14</v>
      </c>
      <c r="F2170" t="s" s="10">
        <v>14</v>
      </c>
      <c r="G2170" t="s" s="11">
        <v>14</v>
      </c>
      <c r="H2170" t="s" s="10">
        <v>14</v>
      </c>
      <c r="I2170" t="s" s="11">
        <v>14</v>
      </c>
      <c r="J2170" t="s" s="11">
        <v>14</v>
      </c>
      <c r="K2170" t="s" s="12">
        <v>14</v>
      </c>
      <c r="L2170" t="s" s="12">
        <v>14</v>
      </c>
      <c r="M2170" t="s" s="10">
        <v>14</v>
      </c>
      <c r="N2170" t="s" s="11">
        <v>14</v>
      </c>
      <c r="O2170" t="s" s="8">
        <v>14</v>
      </c>
      <c r="P2170" t="s" s="8">
        <v>14</v>
      </c>
      <c r="Q2170" t="s" s="12">
        <v>14</v>
      </c>
      <c r="R2170" t="s" s="12">
        <v>14</v>
      </c>
    </row>
    <row r="2171" s="2" customFormat="1" ht="13.5" customHeight="1">
      <c r="B2171" s="13"/>
      <c r="C2171" t="s" s="9">
        <v>16</v>
      </c>
      <c r="D2171" t="s" s="8">
        <v>776</v>
      </c>
      <c r="E2171" t="s" s="9">
        <v>776</v>
      </c>
      <c r="F2171" t="s" s="10">
        <v>240</v>
      </c>
      <c r="G2171" t="s" s="11">
        <v>240</v>
      </c>
      <c r="H2171" t="s" s="10">
        <v>240</v>
      </c>
      <c r="I2171" t="s" s="11">
        <v>240</v>
      </c>
      <c r="J2171" t="s" s="11">
        <v>20</v>
      </c>
      <c r="K2171" t="s" s="16">
        <f>HYPERLINK("http://csr.bu.edu/ftp/asl/asllvd/demos/verify_start_end_handshape_annotations//test_auto_move//signs_mov/469.mov","MOV")</f>
        <v>21</v>
      </c>
      <c r="L2171" t="s" s="16">
        <f>HYPERLINK("http://csr.bu.edu/ftp/asl/asllvd/demos/verify_start_end_handshape_annotations//test_auto_move//signs_mov_separ_signers/Liz_469.mov","MOV")</f>
        <v>21</v>
      </c>
      <c r="M2171" t="s" s="10">
        <v>22</v>
      </c>
      <c r="N2171" s="17">
        <v>78</v>
      </c>
      <c r="O2171" s="18">
        <v>1565</v>
      </c>
      <c r="P2171" s="18">
        <v>1616</v>
      </c>
      <c r="Q2171" t="s" s="16">
        <f>HYPERLINK("http://secrets.rutgers.edu:8080/data/asl-ftp/asllvd/demos/verify_start_end_handshape_annotations//test_auto_move//signs_mov/469.mov","MOV")</f>
        <v>21</v>
      </c>
      <c r="R2171" t="s" s="16">
        <f>HYPERLINK("http://secrets.rutgers.edu:8080/data/asl-ftp/asllvd/demos/verify_start_end_handshape_annotations//test_auto_move//signs_mov_separ_signers/Liz_469.mov","MOV")</f>
        <v>21</v>
      </c>
    </row>
    <row r="2172" s="2" customFormat="1" ht="13.5" customHeight="1">
      <c r="B2172" t="s" s="8">
        <v>777</v>
      </c>
      <c r="C2172" t="s" s="9">
        <v>14</v>
      </c>
      <c r="D2172" t="s" s="8">
        <v>14</v>
      </c>
      <c r="E2172" t="s" s="9">
        <v>14</v>
      </c>
      <c r="F2172" t="s" s="10">
        <v>14</v>
      </c>
      <c r="G2172" t="s" s="11">
        <v>14</v>
      </c>
      <c r="H2172" t="s" s="10">
        <v>14</v>
      </c>
      <c r="I2172" t="s" s="11">
        <v>14</v>
      </c>
      <c r="J2172" t="s" s="11">
        <v>14</v>
      </c>
      <c r="K2172" t="s" s="12">
        <v>14</v>
      </c>
      <c r="L2172" t="s" s="12">
        <v>14</v>
      </c>
      <c r="M2172" t="s" s="10">
        <v>14</v>
      </c>
      <c r="N2172" t="s" s="11">
        <v>14</v>
      </c>
      <c r="O2172" t="s" s="8">
        <v>14</v>
      </c>
      <c r="P2172" t="s" s="8">
        <v>14</v>
      </c>
      <c r="Q2172" t="s" s="12">
        <v>14</v>
      </c>
      <c r="R2172" t="s" s="12">
        <v>14</v>
      </c>
    </row>
    <row r="2173" s="2" customFormat="1" ht="13.5" customHeight="1">
      <c r="B2173" s="13"/>
      <c r="C2173" t="s" s="9">
        <v>16</v>
      </c>
      <c r="D2173" t="s" s="8">
        <v>777</v>
      </c>
      <c r="E2173" t="s" s="9">
        <v>777</v>
      </c>
      <c r="F2173" s="19">
        <v>10</v>
      </c>
      <c r="G2173" t="s" s="11">
        <v>105</v>
      </c>
      <c r="H2173" t="s" s="10">
        <v>63</v>
      </c>
      <c r="I2173" t="s" s="11">
        <v>105</v>
      </c>
      <c r="J2173" t="s" s="11">
        <v>20</v>
      </c>
      <c r="K2173" s="15"/>
      <c r="L2173" t="s" s="16">
        <f>HYPERLINK("http://csr.bu.edu/ftp/asl/asllvd/demos/verify_start_end_handshape_annotations//test_auto_move//signs_mov_separ_signers/Liz_471.mov","MOV")</f>
        <v>21</v>
      </c>
      <c r="M2173" t="s" s="10">
        <v>22</v>
      </c>
      <c r="N2173" s="17">
        <v>79</v>
      </c>
      <c r="O2173" s="18">
        <v>510</v>
      </c>
      <c r="P2173" s="18">
        <v>561</v>
      </c>
      <c r="Q2173" s="15"/>
      <c r="R2173" t="s" s="16">
        <f>HYPERLINK("http://secrets.rutgers.edu:8080/data/asl-ftp/asllvd/demos/verify_start_end_handshape_annotations//test_auto_move//signs_mov_separ_signers/Liz_471.mov","MOV")</f>
        <v>21</v>
      </c>
    </row>
    <row r="2174" s="2" customFormat="1" ht="13.5" customHeight="1">
      <c r="B2174" s="13"/>
      <c r="C2174" t="s" s="9">
        <v>16</v>
      </c>
      <c r="D2174" t="s" s="8">
        <v>777</v>
      </c>
      <c r="E2174" t="s" s="9">
        <v>777</v>
      </c>
      <c r="F2174" s="19">
        <v>10</v>
      </c>
      <c r="G2174" t="s" s="11">
        <v>73</v>
      </c>
      <c r="H2174" t="s" s="10">
        <v>63</v>
      </c>
      <c r="I2174" t="s" s="11">
        <v>73</v>
      </c>
      <c r="J2174" t="s" s="11">
        <v>20</v>
      </c>
      <c r="K2174" s="15"/>
      <c r="L2174" t="s" s="16">
        <f>HYPERLINK("http://csr.bu.edu/ftp/asl/asllvd/demos/verify_start_end_handshape_annotations//test_auto_move//signs_mov_separ_signers/Liz_3386.mov","MOV")</f>
        <v>21</v>
      </c>
      <c r="M2174" t="s" s="10">
        <v>22</v>
      </c>
      <c r="N2174" s="17">
        <v>79</v>
      </c>
      <c r="O2174" s="18">
        <v>750</v>
      </c>
      <c r="P2174" s="18">
        <v>806</v>
      </c>
      <c r="Q2174" s="15"/>
      <c r="R2174" t="s" s="16">
        <f>HYPERLINK("http://secrets.rutgers.edu:8080/data/asl-ftp/asllvd/demos/verify_start_end_handshape_annotations//test_auto_move//signs_mov_separ_signers/Liz_3386.mov","MOV")</f>
        <v>21</v>
      </c>
    </row>
    <row r="2175" s="2" customFormat="1" ht="13.5" customHeight="1">
      <c r="B2175" s="13"/>
      <c r="C2175" t="s" s="9">
        <v>23</v>
      </c>
      <c r="D2175" t="s" s="8">
        <v>777</v>
      </c>
      <c r="E2175" t="s" s="9">
        <v>777</v>
      </c>
      <c r="F2175" t="s" s="10">
        <v>65</v>
      </c>
      <c r="G2175" s="17">
        <v>5</v>
      </c>
      <c r="H2175" t="s" s="10">
        <v>65</v>
      </c>
      <c r="I2175" s="17">
        <v>5</v>
      </c>
      <c r="J2175" t="s" s="11">
        <v>20</v>
      </c>
      <c r="K2175" s="15"/>
      <c r="L2175" t="s" s="16">
        <f>HYPERLINK("http://csr.bu.edu/ftp/asl/asllvd/demos/verify_start_end_handshape_annotations//test_auto_move//signs_mov_separ_signers/Tyler_471.mov","MOV")</f>
        <v>21</v>
      </c>
      <c r="M2175" t="s" s="10">
        <v>26</v>
      </c>
      <c r="N2175" s="17">
        <v>47</v>
      </c>
      <c r="O2175" s="18">
        <v>2995</v>
      </c>
      <c r="P2175" s="18">
        <v>3045</v>
      </c>
      <c r="Q2175" s="15"/>
      <c r="R2175" t="s" s="16">
        <f>HYPERLINK("http://secrets.rutgers.edu:8080/data/asl-ftp/asllvd/demos/verify_start_end_handshape_annotations//test_auto_move//signs_mov_separ_signers/Tyler_471.mov","MOV")</f>
        <v>21</v>
      </c>
    </row>
    <row r="2176" s="2" customFormat="1" ht="13.5" customHeight="1">
      <c r="B2176" s="13"/>
      <c r="C2176" t="s" s="9">
        <v>27</v>
      </c>
      <c r="D2176" t="s" s="8">
        <v>777</v>
      </c>
      <c r="E2176" t="s" s="9">
        <v>777</v>
      </c>
      <c r="F2176" t="s" s="10">
        <v>65</v>
      </c>
      <c r="G2176" s="17">
        <v>5</v>
      </c>
      <c r="H2176" t="s" s="10">
        <v>65</v>
      </c>
      <c r="I2176" s="17">
        <v>5</v>
      </c>
      <c r="J2176" t="s" s="11">
        <v>20</v>
      </c>
      <c r="K2176" t="s" s="16">
        <f>HYPERLINK("http://csr.bu.edu/ftp/asl/asllvd/demos/verify_start_end_handshape_annotations//test_auto_move//signs_mov/471_3386_5142_merged.mov","MOV")</f>
        <v>21</v>
      </c>
      <c r="L2176" t="s" s="16">
        <f>HYPERLINK("http://csr.bu.edu/ftp/asl/asllvd/demos/verify_start_end_handshape_annotations//test_auto_move//signs_mov_separ_signers/Naomi_471.mov","MOV")</f>
        <v>21</v>
      </c>
      <c r="M2176" t="s" s="10">
        <v>29</v>
      </c>
      <c r="N2176" s="17">
        <v>49</v>
      </c>
      <c r="O2176" s="18">
        <v>4211</v>
      </c>
      <c r="P2176" s="18">
        <v>4245</v>
      </c>
      <c r="Q2176" t="s" s="16">
        <f>HYPERLINK("http://secrets.rutgers.edu:8080/data/asl-ftp/asllvd/demos/verify_start_end_handshape_annotations//test_auto_move//signs_mov/471_3386_5142_merged.mov","MOV")</f>
        <v>21</v>
      </c>
      <c r="R2176" t="s" s="16">
        <f>HYPERLINK("http://secrets.rutgers.edu:8080/data/asl-ftp/asllvd/demos/verify_start_end_handshape_annotations//test_auto_move//signs_mov_separ_signers/Naomi_471.mov","MOV")</f>
        <v>21</v>
      </c>
    </row>
    <row r="2177" s="2" customFormat="1" ht="13.5" customHeight="1">
      <c r="B2177" s="13"/>
      <c r="C2177" t="s" s="9">
        <v>30</v>
      </c>
      <c r="D2177" t="s" s="8">
        <v>777</v>
      </c>
      <c r="E2177" t="s" s="9">
        <v>777</v>
      </c>
      <c r="F2177" s="19">
        <v>10</v>
      </c>
      <c r="G2177" s="17">
        <v>5</v>
      </c>
      <c r="H2177" s="19">
        <v>10</v>
      </c>
      <c r="I2177" s="17">
        <v>5</v>
      </c>
      <c r="J2177" t="s" s="11">
        <v>20</v>
      </c>
      <c r="K2177" s="15"/>
      <c r="L2177" t="s" s="16">
        <f>HYPERLINK("http://csr.bu.edu/ftp/asl/asllvd/demos/verify_start_end_handshape_annotations//test_auto_move//signs_mov_separ_signers/Brady_471.mov","MOV")</f>
        <v>21</v>
      </c>
      <c r="M2177" t="s" s="10">
        <v>31</v>
      </c>
      <c r="N2177" s="17">
        <v>28</v>
      </c>
      <c r="O2177" s="18">
        <v>4297</v>
      </c>
      <c r="P2177" s="18">
        <v>4336</v>
      </c>
      <c r="Q2177" s="15"/>
      <c r="R2177" t="s" s="16">
        <f>HYPERLINK("http://secrets.rutgers.edu:8080/data/asl-ftp/asllvd/demos/verify_start_end_handshape_annotations//test_auto_move//signs_mov_separ_signers/Brady_471.mov","MOV")</f>
        <v>21</v>
      </c>
    </row>
    <row r="2178" s="2" customFormat="1" ht="13.5" customHeight="1">
      <c r="B2178" s="13"/>
      <c r="C2178" t="s" s="9">
        <v>30</v>
      </c>
      <c r="D2178" t="s" s="8">
        <v>777</v>
      </c>
      <c r="E2178" t="s" s="9">
        <v>777</v>
      </c>
      <c r="F2178" s="19">
        <v>10</v>
      </c>
      <c r="G2178" t="s" s="11">
        <v>73</v>
      </c>
      <c r="H2178" s="19">
        <v>10</v>
      </c>
      <c r="I2178" t="s" s="11">
        <v>73</v>
      </c>
      <c r="J2178" t="s" s="11">
        <v>20</v>
      </c>
      <c r="K2178" s="15"/>
      <c r="L2178" t="s" s="16">
        <f>HYPERLINK("http://csr.bu.edu/ftp/asl/asllvd/demos/verify_start_end_handshape_annotations//test_auto_move//signs_mov_separ_signers/Brady_3386.mov","MOV")</f>
        <v>21</v>
      </c>
      <c r="M2178" t="s" s="10">
        <v>31</v>
      </c>
      <c r="N2178" s="17">
        <v>28</v>
      </c>
      <c r="O2178" s="18">
        <v>4567</v>
      </c>
      <c r="P2178" s="18">
        <v>4613</v>
      </c>
      <c r="Q2178" s="15"/>
      <c r="R2178" t="s" s="16">
        <f>HYPERLINK("http://secrets.rutgers.edu:8080/data/asl-ftp/asllvd/demos/verify_start_end_handshape_annotations//test_auto_move//signs_mov_separ_signers/Brady_3386.mov","MOV")</f>
        <v>21</v>
      </c>
    </row>
    <row r="2179" s="2" customFormat="1" ht="13.5" customHeight="1">
      <c r="B2179" s="13"/>
      <c r="C2179" t="s" s="9">
        <v>30</v>
      </c>
      <c r="D2179" t="s" s="8">
        <v>777</v>
      </c>
      <c r="E2179" t="s" s="9">
        <v>777</v>
      </c>
      <c r="F2179" s="19">
        <v>10</v>
      </c>
      <c r="G2179" s="17">
        <v>1</v>
      </c>
      <c r="H2179" t="s" s="10">
        <v>63</v>
      </c>
      <c r="I2179" s="17">
        <v>1</v>
      </c>
      <c r="J2179" t="s" s="11">
        <v>20</v>
      </c>
      <c r="K2179" s="15"/>
      <c r="L2179" t="s" s="16">
        <f>HYPERLINK("http://csr.bu.edu/ftp/asl/asllvd/demos/verify_start_end_handshape_annotations//test_auto_move//signs_mov_separ_signers/Brady_5142.mov","MOV")</f>
        <v>21</v>
      </c>
      <c r="M2179" t="s" s="10">
        <v>60</v>
      </c>
      <c r="N2179" s="17">
        <v>40</v>
      </c>
      <c r="O2179" s="18">
        <v>1545</v>
      </c>
      <c r="P2179" s="18">
        <v>1574</v>
      </c>
      <c r="Q2179" s="15"/>
      <c r="R2179" t="s" s="16">
        <f>HYPERLINK("http://secrets.rutgers.edu:8080/data/asl-ftp/asllvd/demos/verify_start_end_handshape_annotations//test_auto_move//signs_mov_separ_signers/Brady_5142.mov","MOV")</f>
        <v>21</v>
      </c>
    </row>
    <row r="2180" s="2" customFormat="1" ht="13.5" customHeight="1">
      <c r="B2180" t="s" s="8">
        <v>778</v>
      </c>
      <c r="C2180" t="s" s="9">
        <v>14</v>
      </c>
      <c r="D2180" t="s" s="8">
        <v>14</v>
      </c>
      <c r="E2180" t="s" s="9">
        <v>14</v>
      </c>
      <c r="F2180" t="s" s="10">
        <v>14</v>
      </c>
      <c r="G2180" t="s" s="11">
        <v>14</v>
      </c>
      <c r="H2180" t="s" s="10">
        <v>14</v>
      </c>
      <c r="I2180" t="s" s="11">
        <v>14</v>
      </c>
      <c r="J2180" t="s" s="11">
        <v>14</v>
      </c>
      <c r="K2180" t="s" s="12">
        <v>14</v>
      </c>
      <c r="L2180" t="s" s="12">
        <v>14</v>
      </c>
      <c r="M2180" t="s" s="10">
        <v>14</v>
      </c>
      <c r="N2180" t="s" s="11">
        <v>14</v>
      </c>
      <c r="O2180" t="s" s="8">
        <v>14</v>
      </c>
      <c r="P2180" t="s" s="8">
        <v>14</v>
      </c>
      <c r="Q2180" t="s" s="12">
        <v>14</v>
      </c>
      <c r="R2180" t="s" s="12">
        <v>14</v>
      </c>
    </row>
    <row r="2181" s="2" customFormat="1" ht="13.5" customHeight="1">
      <c r="B2181" s="13"/>
      <c r="C2181" t="s" s="9">
        <v>23</v>
      </c>
      <c r="D2181" t="s" s="8">
        <v>778</v>
      </c>
      <c r="E2181" t="s" s="9">
        <v>779</v>
      </c>
      <c r="F2181" t="s" s="10">
        <v>80</v>
      </c>
      <c r="G2181" t="s" s="11">
        <v>80</v>
      </c>
      <c r="H2181" t="s" s="10">
        <v>80</v>
      </c>
      <c r="I2181" t="s" s="11">
        <v>80</v>
      </c>
      <c r="J2181" t="s" s="11">
        <v>20</v>
      </c>
      <c r="K2181" s="15"/>
      <c r="L2181" t="s" s="16">
        <f>HYPERLINK("http://csr.bu.edu/ftp/asl/asllvd/demos/verify_start_end_handshape_annotations//test_auto_move//signs_mov_separ_signers/Tyler_475.mov","MOV")</f>
        <v>21</v>
      </c>
      <c r="M2181" t="s" s="10">
        <v>26</v>
      </c>
      <c r="N2181" s="17">
        <v>48</v>
      </c>
      <c r="O2181" s="18">
        <v>1091</v>
      </c>
      <c r="P2181" s="18">
        <v>1125</v>
      </c>
      <c r="Q2181" s="15"/>
      <c r="R2181" t="s" s="16">
        <f>HYPERLINK("http://secrets.rutgers.edu:8080/data/asl-ftp/asllvd/demos/verify_start_end_handshape_annotations//test_auto_move//signs_mov_separ_signers/Tyler_475.mov","MOV")</f>
        <v>21</v>
      </c>
    </row>
    <row r="2182" s="2" customFormat="1" ht="13.5" customHeight="1">
      <c r="B2182" s="13"/>
      <c r="C2182" t="s" s="9">
        <v>23</v>
      </c>
      <c r="D2182" t="s" s="8">
        <v>778</v>
      </c>
      <c r="E2182" t="s" s="9">
        <v>779</v>
      </c>
      <c r="F2182" t="s" s="10">
        <v>80</v>
      </c>
      <c r="G2182" t="s" s="11">
        <v>80</v>
      </c>
      <c r="H2182" t="s" s="10">
        <v>80</v>
      </c>
      <c r="I2182" t="s" s="11">
        <v>80</v>
      </c>
      <c r="J2182" t="s" s="11">
        <v>20</v>
      </c>
      <c r="K2182" s="15"/>
      <c r="L2182" t="s" s="16">
        <f>HYPERLINK("http://csr.bu.edu/ftp/asl/asllvd/demos/verify_start_end_handshape_annotations//test_auto_move//signs_mov_separ_signers/Tyler_3592.mov","MOV")</f>
        <v>21</v>
      </c>
      <c r="M2182" t="s" s="10">
        <v>26</v>
      </c>
      <c r="N2182" s="17">
        <v>48</v>
      </c>
      <c r="O2182" s="18">
        <v>1327</v>
      </c>
      <c r="P2182" s="18">
        <v>1360</v>
      </c>
      <c r="Q2182" s="15"/>
      <c r="R2182" t="s" s="16">
        <f>HYPERLINK("http://secrets.rutgers.edu:8080/data/asl-ftp/asllvd/demos/verify_start_end_handshape_annotations//test_auto_move//signs_mov_separ_signers/Tyler_3592.mov","MOV")</f>
        <v>21</v>
      </c>
    </row>
    <row r="2183" s="2" customFormat="1" ht="13.5" customHeight="1">
      <c r="B2183" s="13"/>
      <c r="C2183" t="s" s="9">
        <v>27</v>
      </c>
      <c r="D2183" t="s" s="8">
        <v>778</v>
      </c>
      <c r="E2183" t="s" s="9">
        <v>780</v>
      </c>
      <c r="F2183" t="s" s="10">
        <v>80</v>
      </c>
      <c r="G2183" t="s" s="11">
        <v>73</v>
      </c>
      <c r="H2183" t="s" s="10">
        <v>80</v>
      </c>
      <c r="I2183" t="s" s="11">
        <v>73</v>
      </c>
      <c r="J2183" t="s" s="11">
        <v>20</v>
      </c>
      <c r="K2183" s="15"/>
      <c r="L2183" t="s" s="16">
        <f>HYPERLINK("http://csr.bu.edu/ftp/asl/asllvd/demos/verify_start_end_handshape_annotations//test_auto_move//signs_mov_separ_signers/Naomi_475.mov","MOV")</f>
        <v>21</v>
      </c>
      <c r="M2183" t="s" s="10">
        <v>29</v>
      </c>
      <c r="N2183" s="17">
        <v>50</v>
      </c>
      <c r="O2183" s="18">
        <v>1146</v>
      </c>
      <c r="P2183" s="18">
        <v>1180</v>
      </c>
      <c r="Q2183" s="15"/>
      <c r="R2183" t="s" s="16">
        <f>HYPERLINK("http://secrets.rutgers.edu:8080/data/asl-ftp/asllvd/demos/verify_start_end_handshape_annotations//test_auto_move//signs_mov_separ_signers/Naomi_475.mov","MOV")</f>
        <v>21</v>
      </c>
    </row>
    <row r="2184" s="2" customFormat="1" ht="13.5" customHeight="1">
      <c r="B2184" s="13"/>
      <c r="C2184" t="s" s="9">
        <v>27</v>
      </c>
      <c r="D2184" t="s" s="8">
        <v>778</v>
      </c>
      <c r="E2184" t="s" s="9">
        <v>778</v>
      </c>
      <c r="F2184" t="s" s="10">
        <v>80</v>
      </c>
      <c r="G2184" t="s" s="11">
        <v>73</v>
      </c>
      <c r="H2184" t="s" s="10">
        <v>80</v>
      </c>
      <c r="I2184" t="s" s="11">
        <v>73</v>
      </c>
      <c r="J2184" t="s" s="11">
        <v>20</v>
      </c>
      <c r="K2184" t="s" s="16">
        <f>HYPERLINK("http://csr.bu.edu/ftp/asl/asllvd/demos/verify_start_end_handshape_annotations//test_auto_move//signs_mov/475_3592_merged.mov","MOV")</f>
        <v>21</v>
      </c>
      <c r="L2184" t="s" s="16">
        <f>HYPERLINK("http://csr.bu.edu/ftp/asl/asllvd/demos/verify_start_end_handshape_annotations//test_auto_move//signs_mov_separ_signers/Naomi_3592.mov","MOV")</f>
        <v>21</v>
      </c>
      <c r="M2184" t="s" s="10">
        <v>29</v>
      </c>
      <c r="N2184" s="17">
        <v>50</v>
      </c>
      <c r="O2184" s="18">
        <v>1380</v>
      </c>
      <c r="P2184" s="18">
        <v>1406</v>
      </c>
      <c r="Q2184" t="s" s="16">
        <f>HYPERLINK("http://secrets.rutgers.edu:8080/data/asl-ftp/asllvd/demos/verify_start_end_handshape_annotations//test_auto_move//signs_mov/475_3592_merged.mov","MOV")</f>
        <v>21</v>
      </c>
      <c r="R2184" t="s" s="16">
        <f>HYPERLINK("http://secrets.rutgers.edu:8080/data/asl-ftp/asllvd/demos/verify_start_end_handshape_annotations//test_auto_move//signs_mov_separ_signers/Naomi_3592.mov","MOV")</f>
        <v>21</v>
      </c>
    </row>
    <row r="2185" s="2" customFormat="1" ht="13.5" customHeight="1">
      <c r="B2185" s="13"/>
      <c r="C2185" t="s" s="9">
        <v>30</v>
      </c>
      <c r="D2185" t="s" s="8">
        <v>778</v>
      </c>
      <c r="E2185" t="s" s="9">
        <v>780</v>
      </c>
      <c r="F2185" t="s" s="10">
        <v>80</v>
      </c>
      <c r="G2185" t="s" s="11">
        <v>80</v>
      </c>
      <c r="H2185" t="s" s="10">
        <v>80</v>
      </c>
      <c r="I2185" t="s" s="11">
        <v>80</v>
      </c>
      <c r="J2185" t="s" s="11">
        <v>20</v>
      </c>
      <c r="K2185" s="15"/>
      <c r="L2185" t="s" s="16">
        <f>HYPERLINK("http://csr.bu.edu/ftp/asl/asllvd/demos/verify_start_end_handshape_annotations//test_auto_move//signs_mov_separ_signers/Brady_475.mov","MOV")</f>
        <v>21</v>
      </c>
      <c r="M2185" t="s" s="10">
        <v>31</v>
      </c>
      <c r="N2185" s="17">
        <v>28</v>
      </c>
      <c r="O2185" s="18">
        <v>5397</v>
      </c>
      <c r="P2185" s="18">
        <v>5430</v>
      </c>
      <c r="Q2185" s="15"/>
      <c r="R2185" t="s" s="16">
        <f>HYPERLINK("http://secrets.rutgers.edu:8080/data/asl-ftp/asllvd/demos/verify_start_end_handshape_annotations//test_auto_move//signs_mov_separ_signers/Brady_475.mov","MOV")</f>
        <v>21</v>
      </c>
    </row>
    <row r="2186" s="2" customFormat="1" ht="13.5" customHeight="1">
      <c r="B2186" s="13"/>
      <c r="C2186" t="s" s="9">
        <v>41</v>
      </c>
      <c r="D2186" t="s" s="8">
        <v>778</v>
      </c>
      <c r="E2186" t="s" s="9">
        <v>780</v>
      </c>
      <c r="F2186" t="s" s="10">
        <v>80</v>
      </c>
      <c r="G2186" t="s" s="11">
        <v>80</v>
      </c>
      <c r="H2186" t="s" s="10">
        <v>80</v>
      </c>
      <c r="I2186" t="s" s="11">
        <v>80</v>
      </c>
      <c r="J2186" t="s" s="11">
        <v>20</v>
      </c>
      <c r="K2186" s="15"/>
      <c r="L2186" t="s" s="16">
        <f>HYPERLINK("http://csr.bu.edu/ftp/asl/asllvd/demos/verify_start_end_handshape_annotations//test_auto_move//signs_mov_separ_signers/Lana_475.mov","MOV")</f>
        <v>21</v>
      </c>
      <c r="M2186" t="s" s="10">
        <v>42</v>
      </c>
      <c r="N2186" s="17">
        <v>19</v>
      </c>
      <c r="O2186" s="18">
        <v>256</v>
      </c>
      <c r="P2186" s="18">
        <v>278</v>
      </c>
      <c r="Q2186" s="15"/>
      <c r="R2186" t="s" s="16">
        <f>HYPERLINK("http://secrets.rutgers.edu:8080/data/asl-ftp/asllvd/demos/verify_start_end_handshape_annotations//test_auto_move//signs_mov_separ_signers/Lana_475.mov","MOV")</f>
        <v>21</v>
      </c>
    </row>
    <row r="2187" s="2" customFormat="1" ht="13.5" customHeight="1">
      <c r="B2187" s="13"/>
      <c r="C2187" t="s" s="9">
        <v>43</v>
      </c>
      <c r="D2187" t="s" s="8">
        <v>778</v>
      </c>
      <c r="E2187" t="s" s="9">
        <v>779</v>
      </c>
      <c r="F2187" t="s" s="10">
        <v>80</v>
      </c>
      <c r="G2187" t="s" s="11">
        <v>80</v>
      </c>
      <c r="H2187" t="s" s="10">
        <v>80</v>
      </c>
      <c r="I2187" t="s" s="11">
        <v>80</v>
      </c>
      <c r="J2187" t="s" s="11">
        <v>20</v>
      </c>
      <c r="K2187" s="15"/>
      <c r="L2187" t="s" s="16">
        <f>HYPERLINK("http://csr.bu.edu/ftp/asl/asllvd/demos/verify_start_end_handshape_annotations//test_auto_move//signs_mov_separ_signers/Dana_475.mov","MOV")</f>
        <v>21</v>
      </c>
      <c r="M2187" t="s" s="10">
        <v>44</v>
      </c>
      <c r="N2187" s="17">
        <v>21</v>
      </c>
      <c r="O2187" s="18">
        <v>176</v>
      </c>
      <c r="P2187" s="18">
        <v>233</v>
      </c>
      <c r="Q2187" s="15"/>
      <c r="R2187" t="s" s="16">
        <f>HYPERLINK("http://secrets.rutgers.edu:8080/data/asl-ftp/asllvd/demos/verify_start_end_handshape_annotations//test_auto_move//signs_mov_separ_signers/Dana_475.mov","MOV")</f>
        <v>21</v>
      </c>
    </row>
    <row r="2188" s="2" customFormat="1" ht="13.5" customHeight="1">
      <c r="B2188" t="s" s="8">
        <v>781</v>
      </c>
      <c r="C2188" t="s" s="9">
        <v>14</v>
      </c>
      <c r="D2188" t="s" s="8">
        <v>14</v>
      </c>
      <c r="E2188" t="s" s="9">
        <v>14</v>
      </c>
      <c r="F2188" t="s" s="10">
        <v>14</v>
      </c>
      <c r="G2188" t="s" s="11">
        <v>14</v>
      </c>
      <c r="H2188" t="s" s="10">
        <v>14</v>
      </c>
      <c r="I2188" t="s" s="11">
        <v>14</v>
      </c>
      <c r="J2188" t="s" s="11">
        <v>14</v>
      </c>
      <c r="K2188" t="s" s="12">
        <v>14</v>
      </c>
      <c r="L2188" t="s" s="12">
        <v>14</v>
      </c>
      <c r="M2188" t="s" s="10">
        <v>14</v>
      </c>
      <c r="N2188" t="s" s="11">
        <v>14</v>
      </c>
      <c r="O2188" t="s" s="8">
        <v>14</v>
      </c>
      <c r="P2188" t="s" s="8">
        <v>14</v>
      </c>
      <c r="Q2188" t="s" s="12">
        <v>14</v>
      </c>
      <c r="R2188" t="s" s="12">
        <v>14</v>
      </c>
    </row>
    <row r="2189" s="2" customFormat="1" ht="13.5" customHeight="1">
      <c r="B2189" s="13"/>
      <c r="C2189" t="s" s="9">
        <v>16</v>
      </c>
      <c r="D2189" t="s" s="8">
        <v>781</v>
      </c>
      <c r="E2189" t="s" s="9">
        <v>782</v>
      </c>
      <c r="F2189" t="s" s="10">
        <v>80</v>
      </c>
      <c r="G2189" t="s" s="11">
        <v>73</v>
      </c>
      <c r="H2189" t="s" s="10">
        <v>80</v>
      </c>
      <c r="I2189" t="s" s="11">
        <v>73</v>
      </c>
      <c r="J2189" t="s" s="11">
        <v>20</v>
      </c>
      <c r="K2189" s="15"/>
      <c r="L2189" t="s" s="16">
        <f>HYPERLINK("http://csr.bu.edu/ftp/asl/asllvd/demos/verify_start_end_handshape_annotations//test_auto_move//signs_mov_separ_signers/Liz_3697.mov","MOV")</f>
        <v>21</v>
      </c>
      <c r="M2189" t="s" s="10">
        <v>22</v>
      </c>
      <c r="N2189" s="17">
        <v>79</v>
      </c>
      <c r="O2189" s="18">
        <v>2656</v>
      </c>
      <c r="P2189" s="18">
        <v>2695</v>
      </c>
      <c r="Q2189" s="15"/>
      <c r="R2189" t="s" s="16">
        <f>HYPERLINK("http://secrets.rutgers.edu:8080/data/asl-ftp/asllvd/demos/verify_start_end_handshape_annotations//test_auto_move//signs_mov_separ_signers/Liz_3697.mov","MOV")</f>
        <v>21</v>
      </c>
    </row>
    <row r="2190" s="2" customFormat="1" ht="13.5" customHeight="1">
      <c r="B2190" s="13"/>
      <c r="C2190" t="s" s="9">
        <v>16</v>
      </c>
      <c r="D2190" t="s" s="8">
        <v>781</v>
      </c>
      <c r="E2190" t="s" s="9">
        <v>781</v>
      </c>
      <c r="F2190" t="s" s="10">
        <v>80</v>
      </c>
      <c r="G2190" t="s" s="11">
        <v>73</v>
      </c>
      <c r="H2190" t="s" s="10">
        <v>80</v>
      </c>
      <c r="I2190" t="s" s="11">
        <v>73</v>
      </c>
      <c r="J2190" t="s" s="11">
        <v>20</v>
      </c>
      <c r="K2190" t="s" s="16">
        <f>HYPERLINK("http://csr.bu.edu/ftp/asl/asllvd/demos/verify_start_end_handshape_annotations//test_auto_move//signs_mov/3697_15528_15541_merged.mov","MOV")</f>
        <v>21</v>
      </c>
      <c r="L2190" t="s" s="16">
        <f>HYPERLINK("http://csr.bu.edu/ftp/asl/asllvd/demos/verify_start_end_handshape_annotations//test_auto_move//signs_mov_separ_signers/Liz_15528.mov","MOV")</f>
        <v>21</v>
      </c>
      <c r="M2190" t="s" s="10">
        <v>22</v>
      </c>
      <c r="N2190" s="17">
        <v>81</v>
      </c>
      <c r="O2190" s="18">
        <v>860</v>
      </c>
      <c r="P2190" s="18">
        <v>910</v>
      </c>
      <c r="Q2190" t="s" s="16">
        <f>HYPERLINK("http://secrets.rutgers.edu:8080/data/asl-ftp/asllvd/demos/verify_start_end_handshape_annotations//test_auto_move//signs_mov/3697_15528_15541_merged.mov","MOV")</f>
        <v>21</v>
      </c>
      <c r="R2190" t="s" s="16">
        <f>HYPERLINK("http://secrets.rutgers.edu:8080/data/asl-ftp/asllvd/demos/verify_start_end_handshape_annotations//test_auto_move//signs_mov_separ_signers/Liz_15528.mov","MOV")</f>
        <v>21</v>
      </c>
    </row>
    <row r="2191" s="2" customFormat="1" ht="13.5" customHeight="1">
      <c r="B2191" s="13"/>
      <c r="C2191" t="s" s="9">
        <v>16</v>
      </c>
      <c r="D2191" t="s" s="8">
        <v>781</v>
      </c>
      <c r="E2191" t="s" s="9">
        <v>781</v>
      </c>
      <c r="F2191" t="s" s="10">
        <v>80</v>
      </c>
      <c r="G2191" t="s" s="11">
        <v>73</v>
      </c>
      <c r="H2191" t="s" s="10">
        <v>80</v>
      </c>
      <c r="I2191" t="s" s="11">
        <v>73</v>
      </c>
      <c r="J2191" t="s" s="11">
        <v>20</v>
      </c>
      <c r="K2191" s="15"/>
      <c r="L2191" t="s" s="16">
        <f>HYPERLINK("http://csr.bu.edu/ftp/asl/asllvd/demos/verify_start_end_handshape_annotations//test_auto_move//signs_mov_separ_signers/Liz_15541.mov","MOV")</f>
        <v>21</v>
      </c>
      <c r="M2191" t="s" s="10">
        <v>88</v>
      </c>
      <c r="N2191" s="17">
        <v>15</v>
      </c>
      <c r="O2191" s="18">
        <v>3300</v>
      </c>
      <c r="P2191" s="18">
        <v>3347</v>
      </c>
      <c r="Q2191" s="15"/>
      <c r="R2191" t="s" s="16">
        <f>HYPERLINK("http://secrets.rutgers.edu:8080/data/asl-ftp/asllvd/demos/verify_start_end_handshape_annotations//test_auto_move//signs_mov_separ_signers/Liz_15541.mov","MOV")</f>
        <v>21</v>
      </c>
    </row>
    <row r="2192" s="2" customFormat="1" ht="13.5" customHeight="1">
      <c r="B2192" s="13"/>
      <c r="C2192" t="s" s="9">
        <v>30</v>
      </c>
      <c r="D2192" t="s" s="8">
        <v>781</v>
      </c>
      <c r="E2192" t="s" s="9">
        <v>781</v>
      </c>
      <c r="F2192" t="s" s="10">
        <v>80</v>
      </c>
      <c r="G2192" t="s" s="11">
        <v>80</v>
      </c>
      <c r="H2192" t="s" s="10">
        <v>80</v>
      </c>
      <c r="I2192" t="s" s="11">
        <v>80</v>
      </c>
      <c r="J2192" t="s" s="11">
        <v>20</v>
      </c>
      <c r="K2192" s="15"/>
      <c r="L2192" t="s" s="16">
        <f>HYPERLINK("http://csr.bu.edu/ftp/asl/asllvd/demos/verify_start_end_handshape_annotations//test_auto_move//signs_mov_separ_signers/Brady_3697.mov","MOV")</f>
        <v>21</v>
      </c>
      <c r="M2192" t="s" s="10">
        <v>31</v>
      </c>
      <c r="N2192" s="17">
        <v>28</v>
      </c>
      <c r="O2192" s="18">
        <v>5125</v>
      </c>
      <c r="P2192" s="18">
        <v>5153</v>
      </c>
      <c r="Q2192" s="15"/>
      <c r="R2192" t="s" s="16">
        <f>HYPERLINK("http://secrets.rutgers.edu:8080/data/asl-ftp/asllvd/demos/verify_start_end_handshape_annotations//test_auto_move//signs_mov_separ_signers/Brady_3697.mov","MOV")</f>
        <v>21</v>
      </c>
    </row>
    <row r="2193" s="2" customFormat="1" ht="13.5" customHeight="1">
      <c r="B2193" t="s" s="8">
        <v>783</v>
      </c>
      <c r="C2193" t="s" s="9">
        <v>14</v>
      </c>
      <c r="D2193" t="s" s="8">
        <v>14</v>
      </c>
      <c r="E2193" t="s" s="9">
        <v>14</v>
      </c>
      <c r="F2193" t="s" s="10">
        <v>14</v>
      </c>
      <c r="G2193" t="s" s="11">
        <v>14</v>
      </c>
      <c r="H2193" t="s" s="10">
        <v>14</v>
      </c>
      <c r="I2193" t="s" s="11">
        <v>14</v>
      </c>
      <c r="J2193" t="s" s="11">
        <v>14</v>
      </c>
      <c r="K2193" t="s" s="12">
        <v>14</v>
      </c>
      <c r="L2193" t="s" s="12">
        <v>14</v>
      </c>
      <c r="M2193" t="s" s="10">
        <v>14</v>
      </c>
      <c r="N2193" t="s" s="11">
        <v>14</v>
      </c>
      <c r="O2193" t="s" s="8">
        <v>14</v>
      </c>
      <c r="P2193" t="s" s="8">
        <v>14</v>
      </c>
      <c r="Q2193" t="s" s="12">
        <v>14</v>
      </c>
      <c r="R2193" t="s" s="12">
        <v>14</v>
      </c>
    </row>
    <row r="2194" s="2" customFormat="1" ht="13.5" customHeight="1">
      <c r="B2194" s="13"/>
      <c r="C2194" t="s" s="9">
        <v>16</v>
      </c>
      <c r="D2194" t="s" s="8">
        <v>783</v>
      </c>
      <c r="E2194" t="s" s="9">
        <v>783</v>
      </c>
      <c r="F2194" t="s" s="10">
        <v>80</v>
      </c>
      <c r="G2194" t="s" s="11">
        <v>73</v>
      </c>
      <c r="H2194" t="s" s="10">
        <v>80</v>
      </c>
      <c r="I2194" t="s" s="11">
        <v>73</v>
      </c>
      <c r="J2194" t="s" s="11">
        <v>20</v>
      </c>
      <c r="K2194" t="s" s="16">
        <f>HYPERLINK("http://csr.bu.edu/ftp/asl/asllvd/demos/verify_start_end_handshape_annotations//test_auto_move//signs_mov/15575.mov","MOV")</f>
        <v>21</v>
      </c>
      <c r="L2194" t="s" s="16">
        <f>HYPERLINK("http://csr.bu.edu/ftp/asl/asllvd/demos/verify_start_end_handshape_annotations//test_auto_move//signs_mov_separ_signers/Liz_15575.mov","MOV")</f>
        <v>21</v>
      </c>
      <c r="M2194" t="s" s="10">
        <v>88</v>
      </c>
      <c r="N2194" s="17">
        <v>18</v>
      </c>
      <c r="O2194" s="18">
        <v>2480</v>
      </c>
      <c r="P2194" s="18">
        <v>2540</v>
      </c>
      <c r="Q2194" t="s" s="16">
        <f>HYPERLINK("http://secrets.rutgers.edu:8080/data/asl-ftp/asllvd/demos/verify_start_end_handshape_annotations//test_auto_move//signs_mov/15575.mov","MOV")</f>
        <v>21</v>
      </c>
      <c r="R2194" t="s" s="16">
        <f>HYPERLINK("http://secrets.rutgers.edu:8080/data/asl-ftp/asllvd/demos/verify_start_end_handshape_annotations//test_auto_move//signs_mov_separ_signers/Liz_15575.mov","MOV")</f>
        <v>21</v>
      </c>
    </row>
    <row r="2195" s="2" customFormat="1" ht="13.5" customHeight="1">
      <c r="B2195" s="13"/>
      <c r="C2195" t="s" s="9">
        <v>23</v>
      </c>
      <c r="D2195" t="s" s="8">
        <v>783</v>
      </c>
      <c r="E2195" t="s" s="9">
        <v>783</v>
      </c>
      <c r="F2195" t="s" s="10">
        <v>80</v>
      </c>
      <c r="G2195" t="s" s="11">
        <v>80</v>
      </c>
      <c r="H2195" t="s" s="10">
        <v>80</v>
      </c>
      <c r="I2195" t="s" s="11">
        <v>80</v>
      </c>
      <c r="J2195" t="s" s="11">
        <v>20</v>
      </c>
      <c r="K2195" s="15"/>
      <c r="L2195" t="s" s="16">
        <f>HYPERLINK("http://csr.bu.edu/ftp/asl/asllvd/demos/verify_start_end_handshape_annotations//test_auto_move//signs_mov_separ_signers/Tyler_15575.mov","MOV")</f>
        <v>21</v>
      </c>
      <c r="M2195" t="s" s="10">
        <v>26</v>
      </c>
      <c r="N2195" s="17">
        <v>26</v>
      </c>
      <c r="O2195" s="18">
        <v>2235</v>
      </c>
      <c r="P2195" s="18">
        <v>2260</v>
      </c>
      <c r="Q2195" s="15"/>
      <c r="R2195" t="s" s="16">
        <f>HYPERLINK("http://secrets.rutgers.edu:8080/data/asl-ftp/asllvd/demos/verify_start_end_handshape_annotations//test_auto_move//signs_mov_separ_signers/Tyler_15575.mov","MOV")</f>
        <v>21</v>
      </c>
    </row>
    <row r="2196" s="2" customFormat="1" ht="13.5" customHeight="1">
      <c r="B2196" t="s" s="8">
        <v>784</v>
      </c>
      <c r="C2196" t="s" s="9">
        <v>14</v>
      </c>
      <c r="D2196" t="s" s="8">
        <v>14</v>
      </c>
      <c r="E2196" t="s" s="9">
        <v>14</v>
      </c>
      <c r="F2196" t="s" s="10">
        <v>14</v>
      </c>
      <c r="G2196" t="s" s="11">
        <v>14</v>
      </c>
      <c r="H2196" t="s" s="10">
        <v>14</v>
      </c>
      <c r="I2196" t="s" s="11">
        <v>14</v>
      </c>
      <c r="J2196" t="s" s="11">
        <v>14</v>
      </c>
      <c r="K2196" t="s" s="12">
        <v>14</v>
      </c>
      <c r="L2196" t="s" s="12">
        <v>14</v>
      </c>
      <c r="M2196" t="s" s="10">
        <v>14</v>
      </c>
      <c r="N2196" t="s" s="11">
        <v>14</v>
      </c>
      <c r="O2196" t="s" s="8">
        <v>14</v>
      </c>
      <c r="P2196" t="s" s="8">
        <v>14</v>
      </c>
      <c r="Q2196" t="s" s="12">
        <v>14</v>
      </c>
      <c r="R2196" t="s" s="12">
        <v>14</v>
      </c>
    </row>
    <row r="2197" s="2" customFormat="1" ht="13.5" customHeight="1">
      <c r="B2197" s="13"/>
      <c r="C2197" t="s" s="9">
        <v>16</v>
      </c>
      <c r="D2197" t="s" s="8">
        <v>784</v>
      </c>
      <c r="E2197" t="s" s="9">
        <v>784</v>
      </c>
      <c r="F2197" t="s" s="10">
        <v>73</v>
      </c>
      <c r="G2197" t="s" s="11">
        <v>73</v>
      </c>
      <c r="H2197" t="s" s="10">
        <v>80</v>
      </c>
      <c r="I2197" t="s" s="11">
        <v>73</v>
      </c>
      <c r="J2197" t="s" s="11">
        <v>20</v>
      </c>
      <c r="K2197" s="15"/>
      <c r="L2197" t="s" s="16">
        <f>HYPERLINK("http://csr.bu.edu/ftp/asl/asllvd/demos/verify_start_end_handshape_annotations//test_auto_move//signs_mov_separ_signers/Liz_15608.mov","MOV")</f>
        <v>21</v>
      </c>
      <c r="M2197" t="s" s="10">
        <v>84</v>
      </c>
      <c r="N2197" s="17">
        <v>50</v>
      </c>
      <c r="O2197" s="18">
        <v>1127</v>
      </c>
      <c r="P2197" s="18">
        <v>1157</v>
      </c>
      <c r="Q2197" s="15"/>
      <c r="R2197" t="s" s="16">
        <f>HYPERLINK("http://secrets.rutgers.edu:8080/data/asl-ftp/asllvd/demos/verify_start_end_handshape_annotations//test_auto_move//signs_mov_separ_signers/Liz_15608.mov","MOV")</f>
        <v>21</v>
      </c>
    </row>
    <row r="2198" s="2" customFormat="1" ht="13.5" customHeight="1">
      <c r="B2198" s="13"/>
      <c r="C2198" t="s" s="9">
        <v>23</v>
      </c>
      <c r="D2198" t="s" s="8">
        <v>784</v>
      </c>
      <c r="E2198" t="s" s="9">
        <v>784</v>
      </c>
      <c r="F2198" t="s" s="10">
        <v>73</v>
      </c>
      <c r="G2198" t="s" s="11">
        <v>73</v>
      </c>
      <c r="H2198" t="s" s="10">
        <v>80</v>
      </c>
      <c r="I2198" t="s" s="11">
        <v>73</v>
      </c>
      <c r="J2198" t="s" s="11">
        <v>20</v>
      </c>
      <c r="K2198" t="s" s="16">
        <f>HYPERLINK("http://csr.bu.edu/ftp/asl/asllvd/demos/verify_start_end_handshape_annotations//test_auto_move//signs_mov/15608.mov","MOV")</f>
        <v>21</v>
      </c>
      <c r="L2198" t="s" s="16">
        <f>HYPERLINK("http://csr.bu.edu/ftp/asl/asllvd/demos/verify_start_end_handshape_annotations//test_auto_move//signs_mov_separ_signers/Tyler_15608.mov","MOV")</f>
        <v>21</v>
      </c>
      <c r="M2198" t="s" s="10">
        <v>92</v>
      </c>
      <c r="N2198" s="17">
        <v>31</v>
      </c>
      <c r="O2198" s="18">
        <v>795</v>
      </c>
      <c r="P2198" s="18">
        <v>831</v>
      </c>
      <c r="Q2198" t="s" s="16">
        <f>HYPERLINK("http://secrets.rutgers.edu:8080/data/asl-ftp/asllvd/demos/verify_start_end_handshape_annotations//test_auto_move//signs_mov/15608.mov","MOV")</f>
        <v>21</v>
      </c>
      <c r="R2198" t="s" s="16">
        <f>HYPERLINK("http://secrets.rutgers.edu:8080/data/asl-ftp/asllvd/demos/verify_start_end_handshape_annotations//test_auto_move//signs_mov_separ_signers/Tyler_15608.mov","MOV")</f>
        <v>21</v>
      </c>
    </row>
    <row r="2199" s="2" customFormat="1" ht="13.5" customHeight="1">
      <c r="B2199" s="13"/>
      <c r="C2199" t="s" s="9">
        <v>27</v>
      </c>
      <c r="D2199" t="s" s="8">
        <v>784</v>
      </c>
      <c r="E2199" t="s" s="9">
        <v>784</v>
      </c>
      <c r="F2199" t="s" s="10">
        <v>73</v>
      </c>
      <c r="G2199" t="s" s="11">
        <v>73</v>
      </c>
      <c r="H2199" t="s" s="10">
        <v>80</v>
      </c>
      <c r="I2199" t="s" s="11">
        <v>73</v>
      </c>
      <c r="J2199" t="s" s="11">
        <v>20</v>
      </c>
      <c r="K2199" s="15"/>
      <c r="L2199" t="s" s="16">
        <f>HYPERLINK("http://csr.bu.edu/ftp/asl/asllvd/demos/verify_start_end_handshape_annotations//test_auto_move//signs_mov_separ_signers/Naomi_15608.mov","MOV")</f>
        <v>21</v>
      </c>
      <c r="M2199" t="s" s="10">
        <v>86</v>
      </c>
      <c r="N2199" s="17">
        <v>50</v>
      </c>
      <c r="O2199" s="18">
        <v>795</v>
      </c>
      <c r="P2199" s="18">
        <v>815</v>
      </c>
      <c r="Q2199" s="15"/>
      <c r="R2199" t="s" s="16">
        <f>HYPERLINK("http://secrets.rutgers.edu:8080/data/asl-ftp/asllvd/demos/verify_start_end_handshape_annotations//test_auto_move//signs_mov_separ_signers/Naomi_15608.mov","MOV")</f>
        <v>21</v>
      </c>
    </row>
    <row r="2200" s="2" customFormat="1" ht="13.5" customHeight="1">
      <c r="B2200" s="13"/>
      <c r="C2200" t="s" s="9">
        <v>30</v>
      </c>
      <c r="D2200" t="s" s="8">
        <v>784</v>
      </c>
      <c r="E2200" t="s" s="9">
        <v>784</v>
      </c>
      <c r="F2200" t="s" s="10">
        <v>85</v>
      </c>
      <c r="G2200" t="s" s="11">
        <v>85</v>
      </c>
      <c r="H2200" t="s" s="10">
        <v>85</v>
      </c>
      <c r="I2200" t="s" s="11">
        <v>85</v>
      </c>
      <c r="J2200" t="s" s="11">
        <v>20</v>
      </c>
      <c r="K2200" s="15"/>
      <c r="L2200" t="s" s="16">
        <f>HYPERLINK("http://csr.bu.edu/ftp/asl/asllvd/demos/verify_start_end_handshape_annotations//test_auto_move//signs_mov_separ_signers/Brady_15608.mov","MOV")</f>
        <v>21</v>
      </c>
      <c r="M2200" t="s" s="10">
        <v>39</v>
      </c>
      <c r="N2200" s="17">
        <v>23</v>
      </c>
      <c r="O2200" s="18">
        <v>3300</v>
      </c>
      <c r="P2200" s="18">
        <v>3330</v>
      </c>
      <c r="Q2200" s="15"/>
      <c r="R2200" t="s" s="16">
        <f>HYPERLINK("http://secrets.rutgers.edu:8080/data/asl-ftp/asllvd/demos/verify_start_end_handshape_annotations//test_auto_move//signs_mov_separ_signers/Brady_15608.mov","MOV")</f>
        <v>21</v>
      </c>
    </row>
    <row r="2201" s="2" customFormat="1" ht="13.5" customHeight="1">
      <c r="B2201" t="s" s="8">
        <v>785</v>
      </c>
      <c r="C2201" t="s" s="9">
        <v>14</v>
      </c>
      <c r="D2201" t="s" s="8">
        <v>14</v>
      </c>
      <c r="E2201" t="s" s="9">
        <v>14</v>
      </c>
      <c r="F2201" t="s" s="10">
        <v>14</v>
      </c>
      <c r="G2201" t="s" s="11">
        <v>14</v>
      </c>
      <c r="H2201" t="s" s="10">
        <v>14</v>
      </c>
      <c r="I2201" t="s" s="11">
        <v>14</v>
      </c>
      <c r="J2201" t="s" s="11">
        <v>14</v>
      </c>
      <c r="K2201" t="s" s="12">
        <v>14</v>
      </c>
      <c r="L2201" t="s" s="12">
        <v>14</v>
      </c>
      <c r="M2201" t="s" s="10">
        <v>14</v>
      </c>
      <c r="N2201" t="s" s="11">
        <v>14</v>
      </c>
      <c r="O2201" t="s" s="8">
        <v>14</v>
      </c>
      <c r="P2201" t="s" s="8">
        <v>14</v>
      </c>
      <c r="Q2201" t="s" s="12">
        <v>14</v>
      </c>
      <c r="R2201" t="s" s="12">
        <v>14</v>
      </c>
    </row>
    <row r="2202" s="2" customFormat="1" ht="13.5" customHeight="1">
      <c r="B2202" s="13"/>
      <c r="C2202" t="s" s="9">
        <v>16</v>
      </c>
      <c r="D2202" t="s" s="8">
        <v>785</v>
      </c>
      <c r="E2202" t="s" s="9">
        <v>785</v>
      </c>
      <c r="F2202" t="s" s="10">
        <v>80</v>
      </c>
      <c r="G2202" t="s" s="11">
        <v>80</v>
      </c>
      <c r="H2202" t="s" s="10">
        <v>80</v>
      </c>
      <c r="I2202" t="s" s="11">
        <v>80</v>
      </c>
      <c r="J2202" t="s" s="11">
        <v>20</v>
      </c>
      <c r="K2202" s="15"/>
      <c r="L2202" t="s" s="16">
        <f>HYPERLINK("http://csr.bu.edu/ftp/asl/asllvd/demos/verify_start_end_handshape_annotations//test_auto_move//signs_mov_separ_signers/Liz_15609.mov","MOV")</f>
        <v>21</v>
      </c>
      <c r="M2202" t="s" s="10">
        <v>22</v>
      </c>
      <c r="N2202" s="17">
        <v>19</v>
      </c>
      <c r="O2202" s="18">
        <v>1845</v>
      </c>
      <c r="P2202" s="18">
        <v>1890</v>
      </c>
      <c r="Q2202" s="15"/>
      <c r="R2202" t="s" s="16">
        <f>HYPERLINK("http://secrets.rutgers.edu:8080/data/asl-ftp/asllvd/demos/verify_start_end_handshape_annotations//test_auto_move//signs_mov_separ_signers/Liz_15609.mov","MOV")</f>
        <v>21</v>
      </c>
    </row>
    <row r="2203" s="2" customFormat="1" ht="13.5" customHeight="1">
      <c r="B2203" s="13"/>
      <c r="C2203" t="s" s="9">
        <v>23</v>
      </c>
      <c r="D2203" t="s" s="8">
        <v>785</v>
      </c>
      <c r="E2203" t="s" s="9">
        <v>786</v>
      </c>
      <c r="F2203" t="s" s="10">
        <v>80</v>
      </c>
      <c r="G2203" t="s" s="11">
        <v>80</v>
      </c>
      <c r="H2203" t="s" s="10">
        <v>80</v>
      </c>
      <c r="I2203" t="s" s="11">
        <v>80</v>
      </c>
      <c r="J2203" t="s" s="11">
        <v>20</v>
      </c>
      <c r="K2203" t="s" s="16">
        <f>HYPERLINK("http://csr.bu.edu/ftp/asl/asllvd/demos/verify_start_end_handshape_annotations//test_auto_move//signs_mov/15609.mov","MOV")</f>
        <v>21</v>
      </c>
      <c r="L2203" t="s" s="16">
        <f>HYPERLINK("http://csr.bu.edu/ftp/asl/asllvd/demos/verify_start_end_handshape_annotations//test_auto_move//signs_mov_separ_signers/Tyler_15609.mov","MOV")</f>
        <v>21</v>
      </c>
      <c r="M2203" t="s" s="10">
        <v>47</v>
      </c>
      <c r="N2203" s="17">
        <v>23</v>
      </c>
      <c r="O2203" s="18">
        <v>3251</v>
      </c>
      <c r="P2203" s="18">
        <v>3280</v>
      </c>
      <c r="Q2203" t="s" s="16">
        <f>HYPERLINK("http://secrets.rutgers.edu:8080/data/asl-ftp/asllvd/demos/verify_start_end_handshape_annotations//test_auto_move//signs_mov/15609.mov","MOV")</f>
        <v>21</v>
      </c>
      <c r="R2203" t="s" s="16">
        <f>HYPERLINK("http://secrets.rutgers.edu:8080/data/asl-ftp/asllvd/demos/verify_start_end_handshape_annotations//test_auto_move//signs_mov_separ_signers/Tyler_15609.mov","MOV")</f>
        <v>21</v>
      </c>
    </row>
    <row r="2204" s="2" customFormat="1" ht="13.5" customHeight="1">
      <c r="B2204" s="13"/>
      <c r="C2204" t="s" s="9">
        <v>27</v>
      </c>
      <c r="D2204" t="s" s="8">
        <v>785</v>
      </c>
      <c r="E2204" t="s" s="9">
        <v>785</v>
      </c>
      <c r="F2204" t="s" s="10">
        <v>80</v>
      </c>
      <c r="G2204" t="s" s="11">
        <v>80</v>
      </c>
      <c r="H2204" t="s" s="10">
        <v>80</v>
      </c>
      <c r="I2204" t="s" s="11">
        <v>80</v>
      </c>
      <c r="J2204" t="s" s="11">
        <v>20</v>
      </c>
      <c r="K2204" s="15"/>
      <c r="L2204" t="s" s="16">
        <f>HYPERLINK("http://csr.bu.edu/ftp/asl/asllvd/demos/verify_start_end_handshape_annotations//test_auto_move//signs_mov_separ_signers/Naomi_15609.mov","MOV")</f>
        <v>21</v>
      </c>
      <c r="M2204" t="s" s="10">
        <v>29</v>
      </c>
      <c r="N2204" s="17">
        <v>13</v>
      </c>
      <c r="O2204" s="18">
        <v>1970</v>
      </c>
      <c r="P2204" s="18">
        <v>1995</v>
      </c>
      <c r="Q2204" s="15"/>
      <c r="R2204" t="s" s="16">
        <f>HYPERLINK("http://secrets.rutgers.edu:8080/data/asl-ftp/asllvd/demos/verify_start_end_handshape_annotations//test_auto_move//signs_mov_separ_signers/Naomi_15609.mov","MOV")</f>
        <v>21</v>
      </c>
    </row>
    <row r="2205" s="2" customFormat="1" ht="13.5" customHeight="1">
      <c r="B2205" s="13"/>
      <c r="C2205" t="s" s="9">
        <v>30</v>
      </c>
      <c r="D2205" t="s" s="8">
        <v>785</v>
      </c>
      <c r="E2205" t="s" s="9">
        <v>785</v>
      </c>
      <c r="F2205" t="s" s="10">
        <v>80</v>
      </c>
      <c r="G2205" t="s" s="11">
        <v>80</v>
      </c>
      <c r="H2205" t="s" s="10">
        <v>80</v>
      </c>
      <c r="I2205" t="s" s="11">
        <v>80</v>
      </c>
      <c r="J2205" t="s" s="11">
        <v>20</v>
      </c>
      <c r="K2205" s="15"/>
      <c r="L2205" t="s" s="16">
        <f>HYPERLINK("http://csr.bu.edu/ftp/asl/asllvd/demos/verify_start_end_handshape_annotations//test_auto_move//signs_mov_separ_signers/Brady_15609.mov","MOV")</f>
        <v>21</v>
      </c>
      <c r="M2205" t="s" s="10">
        <v>31</v>
      </c>
      <c r="N2205" s="17">
        <v>12</v>
      </c>
      <c r="O2205" s="18">
        <v>9773</v>
      </c>
      <c r="P2205" s="18">
        <v>9804</v>
      </c>
      <c r="Q2205" s="15"/>
      <c r="R2205" t="s" s="16">
        <f>HYPERLINK("http://secrets.rutgers.edu:8080/data/asl-ftp/asllvd/demos/verify_start_end_handshape_annotations//test_auto_move//signs_mov_separ_signers/Brady_15609.mov","MOV")</f>
        <v>21</v>
      </c>
    </row>
    <row r="2206" s="2" customFormat="1" ht="13.5" customHeight="1">
      <c r="B2206" t="s" s="8">
        <v>787</v>
      </c>
      <c r="C2206" t="s" s="9">
        <v>14</v>
      </c>
      <c r="D2206" t="s" s="8">
        <v>14</v>
      </c>
      <c r="E2206" t="s" s="9">
        <v>14</v>
      </c>
      <c r="F2206" t="s" s="10">
        <v>14</v>
      </c>
      <c r="G2206" t="s" s="11">
        <v>14</v>
      </c>
      <c r="H2206" t="s" s="10">
        <v>14</v>
      </c>
      <c r="I2206" t="s" s="11">
        <v>14</v>
      </c>
      <c r="J2206" t="s" s="11">
        <v>14</v>
      </c>
      <c r="K2206" t="s" s="12">
        <v>14</v>
      </c>
      <c r="L2206" t="s" s="12">
        <v>14</v>
      </c>
      <c r="M2206" t="s" s="10">
        <v>14</v>
      </c>
      <c r="N2206" t="s" s="11">
        <v>14</v>
      </c>
      <c r="O2206" t="s" s="8">
        <v>14</v>
      </c>
      <c r="P2206" t="s" s="8">
        <v>14</v>
      </c>
      <c r="Q2206" t="s" s="12">
        <v>14</v>
      </c>
      <c r="R2206" t="s" s="12">
        <v>14</v>
      </c>
    </row>
    <row r="2207" s="2" customFormat="1" ht="13.5" customHeight="1">
      <c r="B2207" s="13"/>
      <c r="C2207" t="s" s="9">
        <v>16</v>
      </c>
      <c r="D2207" t="s" s="8">
        <v>787</v>
      </c>
      <c r="E2207" t="s" s="9">
        <v>787</v>
      </c>
      <c r="F2207" t="s" s="10">
        <v>73</v>
      </c>
      <c r="G2207" t="s" s="11">
        <v>73</v>
      </c>
      <c r="H2207" t="s" s="10">
        <v>73</v>
      </c>
      <c r="I2207" t="s" s="11">
        <v>73</v>
      </c>
      <c r="J2207" t="s" s="11">
        <v>20</v>
      </c>
      <c r="K2207" t="s" s="16">
        <f>HYPERLINK("http://csr.bu.edu/ftp/asl/asllvd/demos/verify_start_end_handshape_annotations//test_auto_move//signs_mov/15688.mov","MOV")</f>
        <v>21</v>
      </c>
      <c r="L2207" t="s" s="16">
        <f>HYPERLINK("http://csr.bu.edu/ftp/asl/asllvd/demos/verify_start_end_handshape_annotations//test_auto_move//signs_mov_separ_signers/Liz_15688.mov","MOV")</f>
        <v>21</v>
      </c>
      <c r="M2207" t="s" s="10">
        <v>22</v>
      </c>
      <c r="N2207" s="17">
        <v>40</v>
      </c>
      <c r="O2207" s="18">
        <v>1371</v>
      </c>
      <c r="P2207" s="18">
        <v>1396</v>
      </c>
      <c r="Q2207" t="s" s="16">
        <f>HYPERLINK("http://secrets.rutgers.edu:8080/data/asl-ftp/asllvd/demos/verify_start_end_handshape_annotations//test_auto_move//signs_mov/15688.mov","MOV")</f>
        <v>21</v>
      </c>
      <c r="R2207" t="s" s="16">
        <f>HYPERLINK("http://secrets.rutgers.edu:8080/data/asl-ftp/asllvd/demos/verify_start_end_handshape_annotations//test_auto_move//signs_mov_separ_signers/Liz_15688.mov","MOV")</f>
        <v>21</v>
      </c>
    </row>
    <row r="2208" s="2" customFormat="1" ht="13.5" customHeight="1">
      <c r="B2208" t="s" s="8">
        <v>52</v>
      </c>
      <c r="C2208" t="s" s="9">
        <v>53</v>
      </c>
      <c r="D2208" t="s" s="8">
        <v>53</v>
      </c>
      <c r="E2208" t="s" s="9">
        <v>53</v>
      </c>
      <c r="F2208" t="s" s="10">
        <v>53</v>
      </c>
      <c r="G2208" t="s" s="11">
        <v>53</v>
      </c>
      <c r="H2208" t="s" s="10">
        <v>53</v>
      </c>
      <c r="I2208" t="s" s="11">
        <v>53</v>
      </c>
      <c r="J2208" t="s" s="11">
        <v>53</v>
      </c>
      <c r="K2208" t="s" s="12">
        <v>53</v>
      </c>
      <c r="L2208" t="s" s="12">
        <v>53</v>
      </c>
      <c r="M2208" t="s" s="10">
        <v>53</v>
      </c>
      <c r="N2208" t="s" s="11">
        <v>53</v>
      </c>
      <c r="O2208" t="s" s="8">
        <v>53</v>
      </c>
      <c r="P2208" t="s" s="8">
        <v>53</v>
      </c>
      <c r="Q2208" t="s" s="12">
        <v>53</v>
      </c>
      <c r="R2208" t="s" s="12">
        <v>53</v>
      </c>
    </row>
    <row r="2209" s="2" customFormat="1" ht="13.5" customHeight="1">
      <c r="B2209" s="13"/>
      <c r="C2209" t="s" s="9">
        <v>27</v>
      </c>
      <c r="D2209" t="s" s="8">
        <v>787</v>
      </c>
      <c r="E2209" t="s" s="9">
        <v>788</v>
      </c>
      <c r="F2209" t="s" s="10">
        <v>73</v>
      </c>
      <c r="G2209" t="s" s="11">
        <v>73</v>
      </c>
      <c r="H2209" t="s" s="10">
        <v>73</v>
      </c>
      <c r="I2209" t="s" s="11">
        <v>73</v>
      </c>
      <c r="J2209" t="s" s="11">
        <v>20</v>
      </c>
      <c r="K2209" t="s" s="16">
        <f>HYPERLINK("http://csr.bu.edu/ftp/asl/asllvd/demos/verify_start_end_handshape_annotations//test_auto_move//signs_mov/15775.mov","MOV")</f>
        <v>21</v>
      </c>
      <c r="L2209" t="s" s="16">
        <f>HYPERLINK("http://csr.bu.edu/ftp/asl/asllvd/demos/verify_start_end_handshape_annotations//test_auto_move//signs_mov_separ_signers/Naomi_15775.mov","MOV")</f>
        <v>21</v>
      </c>
      <c r="M2209" t="s" s="10">
        <v>29</v>
      </c>
      <c r="N2209" s="17">
        <v>27</v>
      </c>
      <c r="O2209" s="18">
        <v>925</v>
      </c>
      <c r="P2209" s="18">
        <v>943</v>
      </c>
      <c r="Q2209" t="s" s="16">
        <f>HYPERLINK("http://secrets.rutgers.edu:8080/data/asl-ftp/asllvd/demos/verify_start_end_handshape_annotations//test_auto_move//signs_mov/15775.mov","MOV")</f>
        <v>21</v>
      </c>
      <c r="R2209" t="s" s="16">
        <f>HYPERLINK("http://secrets.rutgers.edu:8080/data/asl-ftp/asllvd/demos/verify_start_end_handshape_annotations//test_auto_move//signs_mov_separ_signers/Naomi_15775.mov","MOV")</f>
        <v>21</v>
      </c>
    </row>
    <row r="2210" s="2" customFormat="1" ht="13.5" customHeight="1">
      <c r="B2210" t="s" s="8">
        <v>52</v>
      </c>
      <c r="C2210" t="s" s="9">
        <v>53</v>
      </c>
      <c r="D2210" t="s" s="8">
        <v>53</v>
      </c>
      <c r="E2210" t="s" s="9">
        <v>53</v>
      </c>
      <c r="F2210" t="s" s="10">
        <v>53</v>
      </c>
      <c r="G2210" t="s" s="11">
        <v>53</v>
      </c>
      <c r="H2210" t="s" s="10">
        <v>53</v>
      </c>
      <c r="I2210" t="s" s="11">
        <v>53</v>
      </c>
      <c r="J2210" t="s" s="11">
        <v>53</v>
      </c>
      <c r="K2210" t="s" s="12">
        <v>53</v>
      </c>
      <c r="L2210" t="s" s="12">
        <v>53</v>
      </c>
      <c r="M2210" t="s" s="10">
        <v>53</v>
      </c>
      <c r="N2210" t="s" s="11">
        <v>53</v>
      </c>
      <c r="O2210" t="s" s="8">
        <v>53</v>
      </c>
      <c r="P2210" t="s" s="8">
        <v>53</v>
      </c>
      <c r="Q2210" t="s" s="12">
        <v>53</v>
      </c>
      <c r="R2210" t="s" s="12">
        <v>53</v>
      </c>
    </row>
    <row r="2211" s="2" customFormat="1" ht="13.5" customHeight="1">
      <c r="B2211" s="13"/>
      <c r="C2211" t="s" s="9">
        <v>16</v>
      </c>
      <c r="D2211" t="s" s="8">
        <v>787</v>
      </c>
      <c r="E2211" t="s" s="9">
        <v>789</v>
      </c>
      <c r="F2211" t="s" s="10">
        <v>80</v>
      </c>
      <c r="G2211" t="s" s="11">
        <v>73</v>
      </c>
      <c r="H2211" t="s" s="10">
        <v>80</v>
      </c>
      <c r="I2211" t="s" s="11">
        <v>73</v>
      </c>
      <c r="J2211" t="s" s="11">
        <v>20</v>
      </c>
      <c r="K2211" t="s" s="16">
        <f>HYPERLINK("http://csr.bu.edu/ftp/asl/asllvd/demos/verify_start_end_handshape_annotations//test_auto_move//signs_mov/15776.mov","MOV")</f>
        <v>21</v>
      </c>
      <c r="L2211" t="s" s="16">
        <f>HYPERLINK("http://csr.bu.edu/ftp/asl/asllvd/demos/verify_start_end_handshape_annotations//test_auto_move//signs_mov_separ_signers/Liz_15776.mov","MOV")</f>
        <v>21</v>
      </c>
      <c r="M2211" t="s" s="10">
        <v>88</v>
      </c>
      <c r="N2211" s="17">
        <v>16</v>
      </c>
      <c r="O2211" s="18">
        <v>3740</v>
      </c>
      <c r="P2211" s="18">
        <v>3810</v>
      </c>
      <c r="Q2211" t="s" s="16">
        <f>HYPERLINK("http://secrets.rutgers.edu:8080/data/asl-ftp/asllvd/demos/verify_start_end_handshape_annotations//test_auto_move//signs_mov/15776.mov","MOV")</f>
        <v>21</v>
      </c>
      <c r="R2211" t="s" s="16">
        <f>HYPERLINK("http://secrets.rutgers.edu:8080/data/asl-ftp/asllvd/demos/verify_start_end_handshape_annotations//test_auto_move//signs_mov_separ_signers/Liz_15776.mov","MOV")</f>
        <v>21</v>
      </c>
    </row>
    <row r="2212" s="2" customFormat="1" ht="13.5" customHeight="1">
      <c r="B2212" t="s" s="8">
        <v>52</v>
      </c>
      <c r="C2212" t="s" s="9">
        <v>53</v>
      </c>
      <c r="D2212" t="s" s="8">
        <v>53</v>
      </c>
      <c r="E2212" t="s" s="9">
        <v>53</v>
      </c>
      <c r="F2212" t="s" s="10">
        <v>53</v>
      </c>
      <c r="G2212" t="s" s="11">
        <v>53</v>
      </c>
      <c r="H2212" t="s" s="10">
        <v>53</v>
      </c>
      <c r="I2212" t="s" s="11">
        <v>53</v>
      </c>
      <c r="J2212" t="s" s="11">
        <v>53</v>
      </c>
      <c r="K2212" t="s" s="12">
        <v>53</v>
      </c>
      <c r="L2212" t="s" s="12">
        <v>53</v>
      </c>
      <c r="M2212" t="s" s="10">
        <v>53</v>
      </c>
      <c r="N2212" t="s" s="11">
        <v>53</v>
      </c>
      <c r="O2212" t="s" s="8">
        <v>53</v>
      </c>
      <c r="P2212" t="s" s="8">
        <v>53</v>
      </c>
      <c r="Q2212" t="s" s="12">
        <v>53</v>
      </c>
      <c r="R2212" t="s" s="12">
        <v>53</v>
      </c>
    </row>
    <row r="2213" s="2" customFormat="1" ht="13.5" customHeight="1">
      <c r="B2213" s="13"/>
      <c r="C2213" t="s" s="9">
        <v>30</v>
      </c>
      <c r="D2213" t="s" s="8">
        <v>787</v>
      </c>
      <c r="E2213" t="s" s="9">
        <v>790</v>
      </c>
      <c r="F2213" t="s" s="10">
        <v>73</v>
      </c>
      <c r="G2213" s="14"/>
      <c r="H2213" t="s" s="10">
        <v>73</v>
      </c>
      <c r="I2213" s="14"/>
      <c r="J2213" t="s" s="11">
        <v>20</v>
      </c>
      <c r="K2213" t="s" s="16">
        <f>HYPERLINK("http://csr.bu.edu/ftp/asl/asllvd/demos/verify_start_end_handshape_annotations//test_auto_move//signs_mov/15777.mov","MOV")</f>
        <v>21</v>
      </c>
      <c r="L2213" t="s" s="16">
        <f>HYPERLINK("http://csr.bu.edu/ftp/asl/asllvd/demos/verify_start_end_handshape_annotations//test_auto_move//signs_mov_separ_signers/Brady_15777.mov","MOV")</f>
        <v>21</v>
      </c>
      <c r="M2213" t="s" s="10">
        <v>31</v>
      </c>
      <c r="N2213" s="17">
        <v>19</v>
      </c>
      <c r="O2213" s="18">
        <v>8077</v>
      </c>
      <c r="P2213" s="18">
        <v>8099</v>
      </c>
      <c r="Q2213" t="s" s="16">
        <f>HYPERLINK("http://secrets.rutgers.edu:8080/data/asl-ftp/asllvd/demos/verify_start_end_handshape_annotations//test_auto_move//signs_mov/15777.mov","MOV")</f>
        <v>21</v>
      </c>
      <c r="R2213" t="s" s="16">
        <f>HYPERLINK("http://secrets.rutgers.edu:8080/data/asl-ftp/asllvd/demos/verify_start_end_handshape_annotations//test_auto_move//signs_mov_separ_signers/Brady_15777.mov","MOV")</f>
        <v>21</v>
      </c>
    </row>
    <row r="2214" s="2" customFormat="1" ht="13.5" customHeight="1">
      <c r="B2214" t="s" s="8">
        <v>791</v>
      </c>
      <c r="C2214" t="s" s="9">
        <v>14</v>
      </c>
      <c r="D2214" t="s" s="8">
        <v>14</v>
      </c>
      <c r="E2214" t="s" s="9">
        <v>14</v>
      </c>
      <c r="F2214" t="s" s="10">
        <v>14</v>
      </c>
      <c r="G2214" t="s" s="11">
        <v>14</v>
      </c>
      <c r="H2214" t="s" s="10">
        <v>14</v>
      </c>
      <c r="I2214" t="s" s="11">
        <v>14</v>
      </c>
      <c r="J2214" t="s" s="11">
        <v>14</v>
      </c>
      <c r="K2214" t="s" s="12">
        <v>14</v>
      </c>
      <c r="L2214" t="s" s="12">
        <v>14</v>
      </c>
      <c r="M2214" t="s" s="10">
        <v>14</v>
      </c>
      <c r="N2214" t="s" s="11">
        <v>14</v>
      </c>
      <c r="O2214" t="s" s="8">
        <v>14</v>
      </c>
      <c r="P2214" t="s" s="8">
        <v>14</v>
      </c>
      <c r="Q2214" t="s" s="12">
        <v>14</v>
      </c>
      <c r="R2214" t="s" s="12">
        <v>14</v>
      </c>
    </row>
    <row r="2215" s="2" customFormat="1" ht="13.5" customHeight="1">
      <c r="B2215" s="13"/>
      <c r="C2215" t="s" s="9">
        <v>16</v>
      </c>
      <c r="D2215" t="s" s="8">
        <v>792</v>
      </c>
      <c r="E2215" t="s" s="9">
        <v>792</v>
      </c>
      <c r="F2215" t="s" s="10">
        <v>80</v>
      </c>
      <c r="G2215" t="s" s="11">
        <v>73</v>
      </c>
      <c r="H2215" t="s" s="10">
        <v>80</v>
      </c>
      <c r="I2215" t="s" s="11">
        <v>73</v>
      </c>
      <c r="J2215" t="s" s="11">
        <v>20</v>
      </c>
      <c r="K2215" s="15"/>
      <c r="L2215" t="s" s="16">
        <f>HYPERLINK("http://csr.bu.edu/ftp/asl/asllvd/demos/verify_start_end_handshape_annotations//test_auto_move//signs_mov_separ_signers/Liz_15838.mov","MOV")</f>
        <v>21</v>
      </c>
      <c r="M2215" t="s" s="10">
        <v>22</v>
      </c>
      <c r="N2215" s="17">
        <v>37</v>
      </c>
      <c r="O2215" s="18">
        <v>1275</v>
      </c>
      <c r="P2215" s="18">
        <v>1300</v>
      </c>
      <c r="Q2215" s="15"/>
      <c r="R2215" t="s" s="16">
        <f>HYPERLINK("http://secrets.rutgers.edu:8080/data/asl-ftp/asllvd/demos/verify_start_end_handshape_annotations//test_auto_move//signs_mov_separ_signers/Liz_15838.mov","MOV")</f>
        <v>21</v>
      </c>
    </row>
    <row r="2216" s="2" customFormat="1" ht="13.5" customHeight="1">
      <c r="B2216" s="13"/>
      <c r="C2216" t="s" s="9">
        <v>27</v>
      </c>
      <c r="D2216" t="s" s="8">
        <v>792</v>
      </c>
      <c r="E2216" t="s" s="9">
        <v>792</v>
      </c>
      <c r="F2216" t="s" s="10">
        <v>80</v>
      </c>
      <c r="G2216" t="s" s="11">
        <v>73</v>
      </c>
      <c r="H2216" t="s" s="10">
        <v>80</v>
      </c>
      <c r="I2216" t="s" s="11">
        <v>73</v>
      </c>
      <c r="J2216" t="s" s="11">
        <v>20</v>
      </c>
      <c r="K2216" t="s" s="16">
        <f>HYPERLINK("http://csr.bu.edu/ftp/asl/asllvd/demos/verify_start_end_handshape_annotations//test_auto_move//signs_mov/15838.mov","MOV")</f>
        <v>21</v>
      </c>
      <c r="L2216" t="s" s="16">
        <f>HYPERLINK("http://csr.bu.edu/ftp/asl/asllvd/demos/verify_start_end_handshape_annotations//test_auto_move//signs_mov_separ_signers/Naomi_15838.mov","MOV")</f>
        <v>21</v>
      </c>
      <c r="M2216" t="s" s="10">
        <v>29</v>
      </c>
      <c r="N2216" s="17">
        <v>25</v>
      </c>
      <c r="O2216" s="18">
        <v>653</v>
      </c>
      <c r="P2216" s="18">
        <v>677</v>
      </c>
      <c r="Q2216" t="s" s="16">
        <f>HYPERLINK("http://secrets.rutgers.edu:8080/data/asl-ftp/asllvd/demos/verify_start_end_handshape_annotations//test_auto_move//signs_mov/15838.mov","MOV")</f>
        <v>21</v>
      </c>
      <c r="R2216" t="s" s="16">
        <f>HYPERLINK("http://secrets.rutgers.edu:8080/data/asl-ftp/asllvd/demos/verify_start_end_handshape_annotations//test_auto_move//signs_mov_separ_signers/Naomi_15838.mov","MOV")</f>
        <v>21</v>
      </c>
    </row>
    <row r="2217" s="2" customFormat="1" ht="13.5" customHeight="1">
      <c r="B2217" s="13"/>
      <c r="C2217" t="s" s="9">
        <v>30</v>
      </c>
      <c r="D2217" t="s" s="8">
        <v>792</v>
      </c>
      <c r="E2217" t="s" s="9">
        <v>792</v>
      </c>
      <c r="F2217" t="s" s="10">
        <v>80</v>
      </c>
      <c r="G2217" t="s" s="11">
        <v>80</v>
      </c>
      <c r="H2217" t="s" s="10">
        <v>80</v>
      </c>
      <c r="I2217" t="s" s="11">
        <v>80</v>
      </c>
      <c r="J2217" t="s" s="11">
        <v>20</v>
      </c>
      <c r="K2217" s="15"/>
      <c r="L2217" t="s" s="16">
        <f>HYPERLINK("http://csr.bu.edu/ftp/asl/asllvd/demos/verify_start_end_handshape_annotations//test_auto_move//signs_mov_separ_signers/Brady_15838.mov","MOV")</f>
        <v>21</v>
      </c>
      <c r="M2217" t="s" s="10">
        <v>31</v>
      </c>
      <c r="N2217" s="17">
        <v>18</v>
      </c>
      <c r="O2217" s="18">
        <v>5789</v>
      </c>
      <c r="P2217" s="18">
        <v>5813</v>
      </c>
      <c r="Q2217" s="15"/>
      <c r="R2217" t="s" s="16">
        <f>HYPERLINK("http://secrets.rutgers.edu:8080/data/asl-ftp/asllvd/demos/verify_start_end_handshape_annotations//test_auto_move//signs_mov_separ_signers/Brady_15838.mov","MOV")</f>
        <v>21</v>
      </c>
    </row>
    <row r="2218" s="2" customFormat="1" ht="13.5" customHeight="1">
      <c r="B2218" t="s" s="8">
        <v>793</v>
      </c>
      <c r="C2218" t="s" s="9">
        <v>14</v>
      </c>
      <c r="D2218" t="s" s="8">
        <v>14</v>
      </c>
      <c r="E2218" t="s" s="9">
        <v>14</v>
      </c>
      <c r="F2218" t="s" s="10">
        <v>14</v>
      </c>
      <c r="G2218" t="s" s="11">
        <v>14</v>
      </c>
      <c r="H2218" t="s" s="10">
        <v>14</v>
      </c>
      <c r="I2218" t="s" s="11">
        <v>14</v>
      </c>
      <c r="J2218" t="s" s="11">
        <v>14</v>
      </c>
      <c r="K2218" t="s" s="12">
        <v>14</v>
      </c>
      <c r="L2218" t="s" s="12">
        <v>14</v>
      </c>
      <c r="M2218" t="s" s="10">
        <v>14</v>
      </c>
      <c r="N2218" t="s" s="11">
        <v>14</v>
      </c>
      <c r="O2218" t="s" s="8">
        <v>14</v>
      </c>
      <c r="P2218" t="s" s="8">
        <v>14</v>
      </c>
      <c r="Q2218" t="s" s="12">
        <v>14</v>
      </c>
      <c r="R2218" t="s" s="12">
        <v>14</v>
      </c>
    </row>
    <row r="2219" s="2" customFormat="1" ht="13.5" customHeight="1">
      <c r="B2219" s="13"/>
      <c r="C2219" t="s" s="9">
        <v>16</v>
      </c>
      <c r="D2219" t="s" s="8">
        <v>793</v>
      </c>
      <c r="E2219" t="s" s="9">
        <v>793</v>
      </c>
      <c r="F2219" t="s" s="10">
        <v>80</v>
      </c>
      <c r="G2219" t="s" s="11">
        <v>80</v>
      </c>
      <c r="H2219" t="s" s="10">
        <v>80</v>
      </c>
      <c r="I2219" t="s" s="11">
        <v>80</v>
      </c>
      <c r="J2219" t="s" s="11">
        <v>20</v>
      </c>
      <c r="K2219" s="15"/>
      <c r="L2219" t="s" s="16">
        <f>HYPERLINK("http://csr.bu.edu/ftp/asl/asllvd/demos/verify_start_end_handshape_annotations//test_auto_move//signs_mov_separ_signers/Liz_15875.mov","MOV")</f>
        <v>21</v>
      </c>
      <c r="M2219" t="s" s="10">
        <v>34</v>
      </c>
      <c r="N2219" s="17">
        <v>3</v>
      </c>
      <c r="O2219" s="18">
        <v>2230</v>
      </c>
      <c r="P2219" s="18">
        <v>2275</v>
      </c>
      <c r="Q2219" s="15"/>
      <c r="R2219" t="s" s="16">
        <f>HYPERLINK("http://secrets.rutgers.edu:8080/data/asl-ftp/asllvd/demos/verify_start_end_handshape_annotations//test_auto_move//signs_mov_separ_signers/Liz_15875.mov","MOV")</f>
        <v>21</v>
      </c>
    </row>
    <row r="2220" s="2" customFormat="1" ht="13.5" customHeight="1">
      <c r="B2220" s="13"/>
      <c r="C2220" t="s" s="9">
        <v>16</v>
      </c>
      <c r="D2220" t="s" s="8">
        <v>793</v>
      </c>
      <c r="E2220" t="s" s="9">
        <v>793</v>
      </c>
      <c r="F2220" t="s" s="10">
        <v>80</v>
      </c>
      <c r="G2220" t="s" s="11">
        <v>80</v>
      </c>
      <c r="H2220" t="s" s="10">
        <v>80</v>
      </c>
      <c r="I2220" t="s" s="11">
        <v>80</v>
      </c>
      <c r="J2220" t="s" s="11">
        <v>20</v>
      </c>
      <c r="K2220" s="15"/>
      <c r="L2220" t="s" s="16">
        <f>HYPERLINK("http://csr.bu.edu/ftp/asl/asllvd/demos/verify_start_end_handshape_annotations//test_auto_move//signs_mov_separ_signers/Liz_15876.mov","MOV")</f>
        <v>21</v>
      </c>
      <c r="M2220" t="s" s="10">
        <v>34</v>
      </c>
      <c r="N2220" s="17">
        <v>7</v>
      </c>
      <c r="O2220" s="18">
        <v>1670</v>
      </c>
      <c r="P2220" s="18">
        <v>1725</v>
      </c>
      <c r="Q2220" s="15"/>
      <c r="R2220" t="s" s="16">
        <f>HYPERLINK("http://secrets.rutgers.edu:8080/data/asl-ftp/asllvd/demos/verify_start_end_handshape_annotations//test_auto_move//signs_mov_separ_signers/Liz_15876.mov","MOV")</f>
        <v>21</v>
      </c>
    </row>
    <row r="2221" s="2" customFormat="1" ht="13.5" customHeight="1">
      <c r="B2221" s="13"/>
      <c r="C2221" t="s" s="9">
        <v>27</v>
      </c>
      <c r="D2221" t="s" s="8">
        <v>793</v>
      </c>
      <c r="E2221" t="s" s="9">
        <v>793</v>
      </c>
      <c r="F2221" t="s" s="10">
        <v>80</v>
      </c>
      <c r="G2221" t="s" s="11">
        <v>80</v>
      </c>
      <c r="H2221" t="s" s="10">
        <v>80</v>
      </c>
      <c r="I2221" t="s" s="11">
        <v>80</v>
      </c>
      <c r="J2221" t="s" s="11">
        <v>20</v>
      </c>
      <c r="K2221" s="15"/>
      <c r="L2221" t="s" s="16">
        <f>HYPERLINK("http://csr.bu.edu/ftp/asl/asllvd/demos/verify_start_end_handshape_annotations//test_auto_move//signs_mov_separ_signers/Naomi_15875.mov","MOV")</f>
        <v>21</v>
      </c>
      <c r="M2221" t="s" s="10">
        <v>38</v>
      </c>
      <c r="N2221" s="17">
        <v>3</v>
      </c>
      <c r="O2221" s="18">
        <v>3280</v>
      </c>
      <c r="P2221" s="18">
        <v>3312</v>
      </c>
      <c r="Q2221" s="15"/>
      <c r="R2221" t="s" s="16">
        <f>HYPERLINK("http://secrets.rutgers.edu:8080/data/asl-ftp/asllvd/demos/verify_start_end_handshape_annotations//test_auto_move//signs_mov_separ_signers/Naomi_15875.mov","MOV")</f>
        <v>21</v>
      </c>
    </row>
    <row r="2222" s="2" customFormat="1" ht="13.5" customHeight="1">
      <c r="B2222" s="13"/>
      <c r="C2222" t="s" s="9">
        <v>27</v>
      </c>
      <c r="D2222" t="s" s="8">
        <v>793</v>
      </c>
      <c r="E2222" t="s" s="9">
        <v>793</v>
      </c>
      <c r="F2222" t="s" s="10">
        <v>80</v>
      </c>
      <c r="G2222" t="s" s="11">
        <v>80</v>
      </c>
      <c r="H2222" t="s" s="10">
        <v>80</v>
      </c>
      <c r="I2222" t="s" s="11">
        <v>80</v>
      </c>
      <c r="J2222" t="s" s="11">
        <v>20</v>
      </c>
      <c r="K2222" t="s" s="16">
        <f>HYPERLINK("http://csr.bu.edu/ftp/asl/asllvd/demos/verify_start_end_handshape_annotations//test_auto_move//signs_mov/15875_15876_merged.mov","MOV")</f>
        <v>21</v>
      </c>
      <c r="L2222" t="s" s="16">
        <f>HYPERLINK("http://csr.bu.edu/ftp/asl/asllvd/demos/verify_start_end_handshape_annotations//test_auto_move//signs_mov_separ_signers/Naomi_15876.mov","MOV")</f>
        <v>21</v>
      </c>
      <c r="M2222" t="s" s="10">
        <v>38</v>
      </c>
      <c r="N2222" s="17">
        <v>6</v>
      </c>
      <c r="O2222" s="18">
        <v>2336</v>
      </c>
      <c r="P2222" s="18">
        <v>2360</v>
      </c>
      <c r="Q2222" t="s" s="16">
        <f>HYPERLINK("http://secrets.rutgers.edu:8080/data/asl-ftp/asllvd/demos/verify_start_end_handshape_annotations//test_auto_move//signs_mov/15875_15876_merged.mov","MOV")</f>
        <v>21</v>
      </c>
      <c r="R2222" t="s" s="16">
        <f>HYPERLINK("http://secrets.rutgers.edu:8080/data/asl-ftp/asllvd/demos/verify_start_end_handshape_annotations//test_auto_move//signs_mov_separ_signers/Naomi_15876.mov","MOV")</f>
        <v>21</v>
      </c>
    </row>
    <row r="2223" s="2" customFormat="1" ht="13.5" customHeight="1">
      <c r="B2223" s="13"/>
      <c r="C2223" t="s" s="9">
        <v>30</v>
      </c>
      <c r="D2223" t="s" s="8">
        <v>793</v>
      </c>
      <c r="E2223" t="s" s="9">
        <v>793</v>
      </c>
      <c r="F2223" t="s" s="10">
        <v>80</v>
      </c>
      <c r="G2223" t="s" s="11">
        <v>80</v>
      </c>
      <c r="H2223" t="s" s="10">
        <v>80</v>
      </c>
      <c r="I2223" t="s" s="11">
        <v>80</v>
      </c>
      <c r="J2223" t="s" s="11">
        <v>20</v>
      </c>
      <c r="K2223" s="15"/>
      <c r="L2223" t="s" s="16">
        <f>HYPERLINK("http://csr.bu.edu/ftp/asl/asllvd/demos/verify_start_end_handshape_annotations//test_auto_move//signs_mov_separ_signers/Brady_15875.mov","MOV")</f>
        <v>21</v>
      </c>
      <c r="M2223" t="s" s="10">
        <v>39</v>
      </c>
      <c r="N2223" s="17">
        <v>25</v>
      </c>
      <c r="O2223" s="18">
        <v>2300</v>
      </c>
      <c r="P2223" s="18">
        <v>2324</v>
      </c>
      <c r="Q2223" s="15"/>
      <c r="R2223" t="s" s="16">
        <f>HYPERLINK("http://secrets.rutgers.edu:8080/data/asl-ftp/asllvd/demos/verify_start_end_handshape_annotations//test_auto_move//signs_mov_separ_signers/Brady_15875.mov","MOV")</f>
        <v>21</v>
      </c>
    </row>
    <row r="2224" s="2" customFormat="1" ht="13.5" customHeight="1">
      <c r="B2224" s="13"/>
      <c r="C2224" t="s" s="9">
        <v>30</v>
      </c>
      <c r="D2224" t="s" s="8">
        <v>793</v>
      </c>
      <c r="E2224" t="s" s="9">
        <v>793</v>
      </c>
      <c r="F2224" t="s" s="10">
        <v>80</v>
      </c>
      <c r="G2224" t="s" s="11">
        <v>80</v>
      </c>
      <c r="H2224" t="s" s="10">
        <v>80</v>
      </c>
      <c r="I2224" t="s" s="11">
        <v>80</v>
      </c>
      <c r="J2224" t="s" s="11">
        <v>20</v>
      </c>
      <c r="K2224" s="15"/>
      <c r="L2224" t="s" s="16">
        <f>HYPERLINK("http://csr.bu.edu/ftp/asl/asllvd/demos/verify_start_end_handshape_annotations//test_auto_move//signs_mov_separ_signers/Brady_15876.mov","MOV")</f>
        <v>21</v>
      </c>
      <c r="M2224" t="s" s="10">
        <v>39</v>
      </c>
      <c r="N2224" s="17">
        <v>26</v>
      </c>
      <c r="O2224" s="18">
        <v>9144</v>
      </c>
      <c r="P2224" s="18">
        <v>9166</v>
      </c>
      <c r="Q2224" s="15"/>
      <c r="R2224" t="s" s="16">
        <f>HYPERLINK("http://secrets.rutgers.edu:8080/data/asl-ftp/asllvd/demos/verify_start_end_handshape_annotations//test_auto_move//signs_mov_separ_signers/Brady_15876.mov","MOV")</f>
        <v>21</v>
      </c>
    </row>
    <row r="2225" s="2" customFormat="1" ht="13.5" customHeight="1">
      <c r="B2225" s="13"/>
      <c r="C2225" t="s" s="9">
        <v>41</v>
      </c>
      <c r="D2225" t="s" s="8">
        <v>793</v>
      </c>
      <c r="E2225" t="s" s="9">
        <v>793</v>
      </c>
      <c r="F2225" t="s" s="10">
        <v>80</v>
      </c>
      <c r="G2225" t="s" s="11">
        <v>80</v>
      </c>
      <c r="H2225" t="s" s="10">
        <v>80</v>
      </c>
      <c r="I2225" t="s" s="11">
        <v>80</v>
      </c>
      <c r="J2225" t="s" s="11">
        <v>20</v>
      </c>
      <c r="K2225" s="15"/>
      <c r="L2225" t="s" s="16">
        <f>HYPERLINK("http://csr.bu.edu/ftp/asl/asllvd/demos/verify_start_end_handshape_annotations//test_auto_move//signs_mov_separ_signers/Lana_15875.mov","MOV")</f>
        <v>21</v>
      </c>
      <c r="M2225" t="s" s="10">
        <v>42</v>
      </c>
      <c r="N2225" s="17">
        <v>12</v>
      </c>
      <c r="O2225" s="18">
        <v>296</v>
      </c>
      <c r="P2225" s="18">
        <v>310</v>
      </c>
      <c r="Q2225" s="15"/>
      <c r="R2225" t="s" s="16">
        <f>HYPERLINK("http://secrets.rutgers.edu:8080/data/asl-ftp/asllvd/demos/verify_start_end_handshape_annotations//test_auto_move//signs_mov_separ_signers/Lana_15875.mov","MOV")</f>
        <v>21</v>
      </c>
    </row>
    <row r="2226" s="2" customFormat="1" ht="13.5" customHeight="1">
      <c r="B2226" s="13"/>
      <c r="C2226" t="s" s="9">
        <v>43</v>
      </c>
      <c r="D2226" t="s" s="8">
        <v>793</v>
      </c>
      <c r="E2226" t="s" s="9">
        <v>793</v>
      </c>
      <c r="F2226" t="s" s="10">
        <v>80</v>
      </c>
      <c r="G2226" t="s" s="11">
        <v>80</v>
      </c>
      <c r="H2226" t="s" s="10">
        <v>80</v>
      </c>
      <c r="I2226" t="s" s="11">
        <v>80</v>
      </c>
      <c r="J2226" t="s" s="11">
        <v>20</v>
      </c>
      <c r="K2226" s="15"/>
      <c r="L2226" t="s" s="16">
        <f>HYPERLINK("http://csr.bu.edu/ftp/asl/asllvd/demos/verify_start_end_handshape_annotations//test_auto_move//signs_mov_separ_signers/Dana_15875.mov","MOV")</f>
        <v>21</v>
      </c>
      <c r="M2226" t="s" s="10">
        <v>44</v>
      </c>
      <c r="N2226" s="17">
        <v>16</v>
      </c>
      <c r="O2226" s="18">
        <v>173</v>
      </c>
      <c r="P2226" s="18">
        <v>210</v>
      </c>
      <c r="Q2226" s="15"/>
      <c r="R2226" t="s" s="16">
        <f>HYPERLINK("http://secrets.rutgers.edu:8080/data/asl-ftp/asllvd/demos/verify_start_end_handshape_annotations//test_auto_move//signs_mov_separ_signers/Dana_15875.mov","MOV")</f>
        <v>21</v>
      </c>
    </row>
    <row r="2227" s="2" customFormat="1" ht="13.5" customHeight="1">
      <c r="B2227" t="s" s="8">
        <v>52</v>
      </c>
      <c r="C2227" t="s" s="9">
        <v>53</v>
      </c>
      <c r="D2227" t="s" s="8">
        <v>53</v>
      </c>
      <c r="E2227" t="s" s="9">
        <v>53</v>
      </c>
      <c r="F2227" t="s" s="10">
        <v>53</v>
      </c>
      <c r="G2227" t="s" s="11">
        <v>53</v>
      </c>
      <c r="H2227" t="s" s="10">
        <v>53</v>
      </c>
      <c r="I2227" t="s" s="11">
        <v>53</v>
      </c>
      <c r="J2227" t="s" s="11">
        <v>53</v>
      </c>
      <c r="K2227" t="s" s="12">
        <v>53</v>
      </c>
      <c r="L2227" t="s" s="12">
        <v>53</v>
      </c>
      <c r="M2227" t="s" s="10">
        <v>53</v>
      </c>
      <c r="N2227" t="s" s="11">
        <v>53</v>
      </c>
      <c r="O2227" t="s" s="8">
        <v>53</v>
      </c>
      <c r="P2227" t="s" s="8">
        <v>53</v>
      </c>
      <c r="Q2227" t="s" s="12">
        <v>53</v>
      </c>
      <c r="R2227" t="s" s="12">
        <v>53</v>
      </c>
    </row>
    <row r="2228" s="2" customFormat="1" ht="13.5" customHeight="1">
      <c r="B2228" s="13"/>
      <c r="C2228" t="s" s="9">
        <v>23</v>
      </c>
      <c r="D2228" t="s" s="8">
        <v>793</v>
      </c>
      <c r="E2228" t="s" s="9">
        <v>794</v>
      </c>
      <c r="F2228" t="s" s="10">
        <v>80</v>
      </c>
      <c r="G2228" s="14"/>
      <c r="H2228" t="s" s="10">
        <v>80</v>
      </c>
      <c r="I2228" s="14"/>
      <c r="J2228" t="s" s="11">
        <v>20</v>
      </c>
      <c r="K2228" t="s" s="16">
        <f>HYPERLINK("http://csr.bu.edu/ftp/asl/asllvd/demos/verify_start_end_handshape_annotations//test_auto_move//signs_mov/15877.mov","MOV")</f>
        <v>21</v>
      </c>
      <c r="L2228" t="s" s="16">
        <f>HYPERLINK("http://csr.bu.edu/ftp/asl/asllvd/demos/verify_start_end_handshape_annotations//test_auto_move//signs_mov_separ_signers/Tyler_15877.mov","MOV")</f>
        <v>21</v>
      </c>
      <c r="M2228" t="s" s="10">
        <v>92</v>
      </c>
      <c r="N2228" s="17">
        <v>38</v>
      </c>
      <c r="O2228" s="18">
        <v>1340</v>
      </c>
      <c r="P2228" s="18">
        <v>1367</v>
      </c>
      <c r="Q2228" t="s" s="16">
        <f>HYPERLINK("http://secrets.rutgers.edu:8080/data/asl-ftp/asllvd/demos/verify_start_end_handshape_annotations//test_auto_move//signs_mov/15877.mov","MOV")</f>
        <v>21</v>
      </c>
      <c r="R2228" t="s" s="16">
        <f>HYPERLINK("http://secrets.rutgers.edu:8080/data/asl-ftp/asllvd/demos/verify_start_end_handshape_annotations//test_auto_move//signs_mov_separ_signers/Tyler_15877.mov","MOV")</f>
        <v>21</v>
      </c>
    </row>
    <row r="2229" s="2" customFormat="1" ht="13.5" customHeight="1">
      <c r="B2229" t="s" s="8">
        <v>795</v>
      </c>
      <c r="C2229" t="s" s="9">
        <v>14</v>
      </c>
      <c r="D2229" t="s" s="8">
        <v>14</v>
      </c>
      <c r="E2229" t="s" s="9">
        <v>14</v>
      </c>
      <c r="F2229" t="s" s="10">
        <v>14</v>
      </c>
      <c r="G2229" t="s" s="11">
        <v>14</v>
      </c>
      <c r="H2229" t="s" s="10">
        <v>14</v>
      </c>
      <c r="I2229" t="s" s="11">
        <v>14</v>
      </c>
      <c r="J2229" t="s" s="11">
        <v>14</v>
      </c>
      <c r="K2229" t="s" s="12">
        <v>14</v>
      </c>
      <c r="L2229" t="s" s="12">
        <v>14</v>
      </c>
      <c r="M2229" t="s" s="10">
        <v>14</v>
      </c>
      <c r="N2229" t="s" s="11">
        <v>14</v>
      </c>
      <c r="O2229" t="s" s="8">
        <v>14</v>
      </c>
      <c r="P2229" t="s" s="8">
        <v>14</v>
      </c>
      <c r="Q2229" t="s" s="12">
        <v>14</v>
      </c>
      <c r="R2229" t="s" s="12">
        <v>14</v>
      </c>
    </row>
    <row r="2230" s="2" customFormat="1" ht="13.5" customHeight="1">
      <c r="B2230" s="13"/>
      <c r="C2230" t="s" s="9">
        <v>16</v>
      </c>
      <c r="D2230" t="s" s="8">
        <v>795</v>
      </c>
      <c r="E2230" t="s" s="9">
        <v>796</v>
      </c>
      <c r="F2230" t="s" s="10">
        <v>73</v>
      </c>
      <c r="G2230" t="s" s="11">
        <v>73</v>
      </c>
      <c r="H2230" t="s" s="10">
        <v>73</v>
      </c>
      <c r="I2230" t="s" s="11">
        <v>73</v>
      </c>
      <c r="J2230" t="s" s="11">
        <v>20</v>
      </c>
      <c r="K2230" s="15"/>
      <c r="L2230" t="s" s="16">
        <f>HYPERLINK("http://csr.bu.edu/ftp/asl/asllvd/demos/verify_start_end_handshape_annotations//test_auto_move//signs_mov_separ_signers/Liz_15878.mov","MOV")</f>
        <v>21</v>
      </c>
      <c r="M2230" t="s" s="10">
        <v>88</v>
      </c>
      <c r="N2230" s="17">
        <v>49</v>
      </c>
      <c r="O2230" s="18">
        <v>1645</v>
      </c>
      <c r="P2230" s="18">
        <v>1691</v>
      </c>
      <c r="Q2230" s="15"/>
      <c r="R2230" t="s" s="16">
        <f>HYPERLINK("http://secrets.rutgers.edu:8080/data/asl-ftp/asllvd/demos/verify_start_end_handshape_annotations//test_auto_move//signs_mov_separ_signers/Liz_15878.mov","MOV")</f>
        <v>21</v>
      </c>
    </row>
    <row r="2231" s="2" customFormat="1" ht="13.5" customHeight="1">
      <c r="B2231" s="13"/>
      <c r="C2231" t="s" s="9">
        <v>16</v>
      </c>
      <c r="D2231" t="s" s="8">
        <v>795</v>
      </c>
      <c r="E2231" t="s" s="9">
        <v>796</v>
      </c>
      <c r="F2231" t="s" s="10">
        <v>80</v>
      </c>
      <c r="G2231" t="s" s="11">
        <v>109</v>
      </c>
      <c r="H2231" t="s" s="10">
        <v>80</v>
      </c>
      <c r="I2231" t="s" s="11">
        <v>109</v>
      </c>
      <c r="J2231" t="s" s="11">
        <v>20</v>
      </c>
      <c r="K2231" t="s" s="16">
        <f>HYPERLINK("http://csr.bu.edu/ftp/asl/asllvd/demos/verify_start_end_handshape_annotations//test_auto_move//signs_mov/15878_15999_merged.mov","MOV")</f>
        <v>21</v>
      </c>
      <c r="L2231" t="s" s="16">
        <f>HYPERLINK("http://csr.bu.edu/ftp/asl/asllvd/demos/verify_start_end_handshape_annotations//test_auto_move//signs_mov_separ_signers/Liz_15999.mov","MOV")</f>
        <v>21</v>
      </c>
      <c r="M2231" t="s" s="10">
        <v>88</v>
      </c>
      <c r="N2231" s="17">
        <v>49</v>
      </c>
      <c r="O2231" s="18">
        <v>2415</v>
      </c>
      <c r="P2231" s="18">
        <v>2466</v>
      </c>
      <c r="Q2231" t="s" s="16">
        <f>HYPERLINK("http://secrets.rutgers.edu:8080/data/asl-ftp/asllvd/demos/verify_start_end_handshape_annotations//test_auto_move//signs_mov/15878_15999_merged.mov","MOV")</f>
        <v>21</v>
      </c>
      <c r="R2231" t="s" s="16">
        <f>HYPERLINK("http://secrets.rutgers.edu:8080/data/asl-ftp/asllvd/demos/verify_start_end_handshape_annotations//test_auto_move//signs_mov_separ_signers/Liz_15999.mov","MOV")</f>
        <v>21</v>
      </c>
    </row>
    <row r="2232" s="2" customFormat="1" ht="13.5" customHeight="1">
      <c r="B2232" s="13"/>
      <c r="C2232" t="s" s="9">
        <v>30</v>
      </c>
      <c r="D2232" t="s" s="8">
        <v>795</v>
      </c>
      <c r="E2232" t="s" s="9">
        <v>796</v>
      </c>
      <c r="F2232" t="s" s="10">
        <v>85</v>
      </c>
      <c r="G2232" t="s" s="11">
        <v>85</v>
      </c>
      <c r="H2232" t="s" s="10">
        <v>85</v>
      </c>
      <c r="I2232" t="s" s="11">
        <v>85</v>
      </c>
      <c r="J2232" t="s" s="11">
        <v>20</v>
      </c>
      <c r="K2232" s="15"/>
      <c r="L2232" t="s" s="16">
        <f>HYPERLINK("http://csr.bu.edu/ftp/asl/asllvd/demos/verify_start_end_handshape_annotations//test_auto_move//signs_mov_separ_signers/Brady_15878.mov","MOV")</f>
        <v>21</v>
      </c>
      <c r="M2232" t="s" s="10">
        <v>40</v>
      </c>
      <c r="N2232" s="17">
        <v>43</v>
      </c>
      <c r="O2232" s="18">
        <v>2697</v>
      </c>
      <c r="P2232" s="18">
        <v>2740</v>
      </c>
      <c r="Q2232" s="15"/>
      <c r="R2232" t="s" s="16">
        <f>HYPERLINK("http://secrets.rutgers.edu:8080/data/asl-ftp/asllvd/demos/verify_start_end_handshape_annotations//test_auto_move//signs_mov_separ_signers/Brady_15878.mov","MOV")</f>
        <v>21</v>
      </c>
    </row>
    <row r="2233" s="2" customFormat="1" ht="13.5" customHeight="1">
      <c r="B2233" s="13"/>
      <c r="C2233" t="s" s="9">
        <v>30</v>
      </c>
      <c r="D2233" t="s" s="8">
        <v>795</v>
      </c>
      <c r="E2233" t="s" s="9">
        <v>796</v>
      </c>
      <c r="F2233" t="s" s="10">
        <v>80</v>
      </c>
      <c r="G2233" t="s" s="11">
        <v>80</v>
      </c>
      <c r="H2233" t="s" s="10">
        <v>80</v>
      </c>
      <c r="I2233" t="s" s="11">
        <v>80</v>
      </c>
      <c r="J2233" t="s" s="11">
        <v>20</v>
      </c>
      <c r="K2233" s="15"/>
      <c r="L2233" t="s" s="16">
        <f>HYPERLINK("http://csr.bu.edu/ftp/asl/asllvd/demos/verify_start_end_handshape_annotations//test_auto_move//signs_mov_separ_signers/Brady_15999.mov","MOV")</f>
        <v>21</v>
      </c>
      <c r="M2233" t="s" s="10">
        <v>40</v>
      </c>
      <c r="N2233" s="17">
        <v>44</v>
      </c>
      <c r="O2233" s="18">
        <v>3034</v>
      </c>
      <c r="P2233" s="18">
        <v>3085</v>
      </c>
      <c r="Q2233" s="15"/>
      <c r="R2233" t="s" s="16">
        <f>HYPERLINK("http://secrets.rutgers.edu:8080/data/asl-ftp/asllvd/demos/verify_start_end_handshape_annotations//test_auto_move//signs_mov_separ_signers/Brady_15999.mov","MOV")</f>
        <v>21</v>
      </c>
    </row>
    <row r="2234" s="2" customFormat="1" ht="13.5" customHeight="1">
      <c r="B2234" t="s" s="8">
        <v>797</v>
      </c>
      <c r="C2234" t="s" s="9">
        <v>14</v>
      </c>
      <c r="D2234" t="s" s="8">
        <v>14</v>
      </c>
      <c r="E2234" t="s" s="9">
        <v>14</v>
      </c>
      <c r="F2234" t="s" s="10">
        <v>14</v>
      </c>
      <c r="G2234" t="s" s="11">
        <v>14</v>
      </c>
      <c r="H2234" t="s" s="10">
        <v>14</v>
      </c>
      <c r="I2234" t="s" s="11">
        <v>14</v>
      </c>
      <c r="J2234" t="s" s="11">
        <v>14</v>
      </c>
      <c r="K2234" t="s" s="12">
        <v>14</v>
      </c>
      <c r="L2234" t="s" s="12">
        <v>14</v>
      </c>
      <c r="M2234" t="s" s="10">
        <v>14</v>
      </c>
      <c r="N2234" t="s" s="11">
        <v>14</v>
      </c>
      <c r="O2234" t="s" s="8">
        <v>14</v>
      </c>
      <c r="P2234" t="s" s="8">
        <v>14</v>
      </c>
      <c r="Q2234" t="s" s="12">
        <v>14</v>
      </c>
      <c r="R2234" t="s" s="12">
        <v>14</v>
      </c>
    </row>
    <row r="2235" s="2" customFormat="1" ht="13.5" customHeight="1">
      <c r="B2235" s="13"/>
      <c r="C2235" t="s" s="9">
        <v>16</v>
      </c>
      <c r="D2235" t="s" s="8">
        <v>797</v>
      </c>
      <c r="E2235" t="s" s="9">
        <v>798</v>
      </c>
      <c r="F2235" t="s" s="10">
        <v>73</v>
      </c>
      <c r="G2235" t="s" s="11">
        <v>73</v>
      </c>
      <c r="H2235" t="s" s="10">
        <v>73</v>
      </c>
      <c r="I2235" t="s" s="11">
        <v>73</v>
      </c>
      <c r="J2235" t="s" s="11">
        <v>20</v>
      </c>
      <c r="K2235" s="15"/>
      <c r="L2235" t="s" s="16">
        <f>HYPERLINK("http://csr.bu.edu/ftp/asl/asllvd/demos/verify_start_end_handshape_annotations//test_auto_move//signs_mov_separ_signers/Liz_16140.mov","MOV")</f>
        <v>21</v>
      </c>
      <c r="M2235" t="s" s="10">
        <v>34</v>
      </c>
      <c r="N2235" s="17">
        <v>2</v>
      </c>
      <c r="O2235" s="18">
        <v>3530</v>
      </c>
      <c r="P2235" s="18">
        <v>3600</v>
      </c>
      <c r="Q2235" s="15"/>
      <c r="R2235" t="s" s="16">
        <f>HYPERLINK("http://secrets.rutgers.edu:8080/data/asl-ftp/asllvd/demos/verify_start_end_handshape_annotations//test_auto_move//signs_mov_separ_signers/Liz_16140.mov","MOV")</f>
        <v>21</v>
      </c>
    </row>
    <row r="2236" s="2" customFormat="1" ht="13.5" customHeight="1">
      <c r="B2236" s="13"/>
      <c r="C2236" t="s" s="9">
        <v>23</v>
      </c>
      <c r="D2236" t="s" s="8">
        <v>797</v>
      </c>
      <c r="E2236" t="s" s="9">
        <v>797</v>
      </c>
      <c r="F2236" t="s" s="10">
        <v>109</v>
      </c>
      <c r="G2236" t="s" s="11">
        <v>109</v>
      </c>
      <c r="H2236" t="s" s="10">
        <v>109</v>
      </c>
      <c r="I2236" t="s" s="11">
        <v>109</v>
      </c>
      <c r="J2236" t="s" s="11">
        <v>20</v>
      </c>
      <c r="K2236" t="s" s="16">
        <f>HYPERLINK("http://csr.bu.edu/ftp/asl/asllvd/demos/verify_start_end_handshape_annotations//test_auto_move//signs_mov/16140.mov","MOV")</f>
        <v>21</v>
      </c>
      <c r="L2236" t="s" s="16">
        <f>HYPERLINK("http://csr.bu.edu/ftp/asl/asllvd/demos/verify_start_end_handshape_annotations//test_auto_move//signs_mov_separ_signers/Tyler_16140.mov","MOV")</f>
        <v>21</v>
      </c>
      <c r="M2236" t="s" s="10">
        <v>92</v>
      </c>
      <c r="N2236" s="17">
        <v>34</v>
      </c>
      <c r="O2236" s="18">
        <v>2115</v>
      </c>
      <c r="P2236" s="18">
        <v>2155</v>
      </c>
      <c r="Q2236" t="s" s="16">
        <f>HYPERLINK("http://secrets.rutgers.edu:8080/data/asl-ftp/asllvd/demos/verify_start_end_handshape_annotations//test_auto_move//signs_mov/16140.mov","MOV")</f>
        <v>21</v>
      </c>
      <c r="R2236" t="s" s="16">
        <f>HYPERLINK("http://secrets.rutgers.edu:8080/data/asl-ftp/asllvd/demos/verify_start_end_handshape_annotations//test_auto_move//signs_mov_separ_signers/Tyler_16140.mov","MOV")</f>
        <v>21</v>
      </c>
    </row>
    <row r="2237" s="2" customFormat="1" ht="13.5" customHeight="1">
      <c r="B2237" s="13"/>
      <c r="C2237" t="s" s="9">
        <v>27</v>
      </c>
      <c r="D2237" t="s" s="8">
        <v>797</v>
      </c>
      <c r="E2237" t="s" s="9">
        <v>797</v>
      </c>
      <c r="F2237" t="s" s="10">
        <v>73</v>
      </c>
      <c r="G2237" t="s" s="11">
        <v>73</v>
      </c>
      <c r="H2237" t="s" s="10">
        <v>73</v>
      </c>
      <c r="I2237" t="s" s="11">
        <v>73</v>
      </c>
      <c r="J2237" t="s" s="11">
        <v>20</v>
      </c>
      <c r="K2237" s="15"/>
      <c r="L2237" t="s" s="16">
        <f>HYPERLINK("http://csr.bu.edu/ftp/asl/asllvd/demos/verify_start_end_handshape_annotations//test_auto_move//signs_mov_separ_signers/Naomi_16140.mov","MOV")</f>
        <v>21</v>
      </c>
      <c r="M2237" t="s" s="10">
        <v>38</v>
      </c>
      <c r="N2237" s="17">
        <v>2</v>
      </c>
      <c r="O2237" s="18">
        <v>3305</v>
      </c>
      <c r="P2237" s="18">
        <v>3345</v>
      </c>
      <c r="Q2237" s="15"/>
      <c r="R2237" t="s" s="16">
        <f>HYPERLINK("http://secrets.rutgers.edu:8080/data/asl-ftp/asllvd/demos/verify_start_end_handshape_annotations//test_auto_move//signs_mov_separ_signers/Naomi_16140.mov","MOV")</f>
        <v>21</v>
      </c>
    </row>
    <row r="2238" s="2" customFormat="1" ht="13.5" customHeight="1">
      <c r="B2238" s="13"/>
      <c r="C2238" t="s" s="9">
        <v>30</v>
      </c>
      <c r="D2238" t="s" s="8">
        <v>797</v>
      </c>
      <c r="E2238" t="s" s="9">
        <v>799</v>
      </c>
      <c r="F2238" t="s" s="10">
        <v>73</v>
      </c>
      <c r="G2238" t="s" s="11">
        <v>73</v>
      </c>
      <c r="H2238" t="s" s="10">
        <v>73</v>
      </c>
      <c r="I2238" t="s" s="11">
        <v>73</v>
      </c>
      <c r="J2238" t="s" s="11">
        <v>20</v>
      </c>
      <c r="K2238" s="15"/>
      <c r="L2238" t="s" s="16">
        <f>HYPERLINK("http://csr.bu.edu/ftp/asl/asllvd/demos/verify_start_end_handshape_annotations//test_auto_move//signs_mov_separ_signers/Brady_16140.mov","MOV")</f>
        <v>21</v>
      </c>
      <c r="M2238" t="s" s="10">
        <v>39</v>
      </c>
      <c r="N2238" s="17">
        <v>24</v>
      </c>
      <c r="O2238" s="18">
        <v>9205</v>
      </c>
      <c r="P2238" s="18">
        <v>9233</v>
      </c>
      <c r="Q2238" s="15"/>
      <c r="R2238" t="s" s="16">
        <f>HYPERLINK("http://secrets.rutgers.edu:8080/data/asl-ftp/asllvd/demos/verify_start_end_handshape_annotations//test_auto_move//signs_mov_separ_signers/Brady_16140.mov","MOV")</f>
        <v>21</v>
      </c>
    </row>
    <row r="2239" s="2" customFormat="1" ht="13.5" customHeight="1">
      <c r="B2239" t="s" s="8">
        <v>800</v>
      </c>
      <c r="C2239" t="s" s="9">
        <v>14</v>
      </c>
      <c r="D2239" t="s" s="8">
        <v>14</v>
      </c>
      <c r="E2239" t="s" s="9">
        <v>14</v>
      </c>
      <c r="F2239" t="s" s="10">
        <v>14</v>
      </c>
      <c r="G2239" t="s" s="11">
        <v>14</v>
      </c>
      <c r="H2239" t="s" s="10">
        <v>14</v>
      </c>
      <c r="I2239" t="s" s="11">
        <v>14</v>
      </c>
      <c r="J2239" t="s" s="11">
        <v>14</v>
      </c>
      <c r="K2239" t="s" s="12">
        <v>14</v>
      </c>
      <c r="L2239" t="s" s="12">
        <v>14</v>
      </c>
      <c r="M2239" t="s" s="10">
        <v>14</v>
      </c>
      <c r="N2239" t="s" s="11">
        <v>14</v>
      </c>
      <c r="O2239" t="s" s="8">
        <v>14</v>
      </c>
      <c r="P2239" t="s" s="8">
        <v>14</v>
      </c>
      <c r="Q2239" t="s" s="12">
        <v>14</v>
      </c>
      <c r="R2239" t="s" s="12">
        <v>14</v>
      </c>
    </row>
    <row r="2240" s="2" customFormat="1" ht="13.5" customHeight="1">
      <c r="B2240" s="13"/>
      <c r="C2240" t="s" s="9">
        <v>23</v>
      </c>
      <c r="D2240" t="s" s="8">
        <v>800</v>
      </c>
      <c r="E2240" t="s" s="9">
        <v>800</v>
      </c>
      <c r="F2240" t="s" s="10">
        <v>80</v>
      </c>
      <c r="G2240" t="s" s="11">
        <v>80</v>
      </c>
      <c r="H2240" t="s" s="10">
        <v>80</v>
      </c>
      <c r="I2240" t="s" s="11">
        <v>80</v>
      </c>
      <c r="J2240" t="s" s="11">
        <v>20</v>
      </c>
      <c r="K2240" t="s" s="16">
        <f>HYPERLINK("http://csr.bu.edu/ftp/asl/asllvd/demos/verify_start_end_handshape_annotations//test_auto_move//signs_mov/16402.mov","MOV")</f>
        <v>21</v>
      </c>
      <c r="L2240" t="s" s="16">
        <f>HYPERLINK("http://csr.bu.edu/ftp/asl/asllvd/demos/verify_start_end_handshape_annotations//test_auto_move//signs_mov_separ_signers/Tyler_16402.mov","MOV")</f>
        <v>21</v>
      </c>
      <c r="M2240" t="s" s="10">
        <v>26</v>
      </c>
      <c r="N2240" s="17">
        <v>8</v>
      </c>
      <c r="O2240" s="18">
        <v>3067</v>
      </c>
      <c r="P2240" s="18">
        <v>3095</v>
      </c>
      <c r="Q2240" t="s" s="16">
        <f>HYPERLINK("http://secrets.rutgers.edu:8080/data/asl-ftp/asllvd/demos/verify_start_end_handshape_annotations//test_auto_move//signs_mov/16402.mov","MOV")</f>
        <v>21</v>
      </c>
      <c r="R2240" t="s" s="16">
        <f>HYPERLINK("http://secrets.rutgers.edu:8080/data/asl-ftp/asllvd/demos/verify_start_end_handshape_annotations//test_auto_move//signs_mov_separ_signers/Tyler_16402.mov","MOV")</f>
        <v>21</v>
      </c>
    </row>
    <row r="2241" s="2" customFormat="1" ht="13.5" customHeight="1">
      <c r="B2241" t="s" s="8">
        <v>801</v>
      </c>
      <c r="C2241" t="s" s="9">
        <v>14</v>
      </c>
      <c r="D2241" t="s" s="8">
        <v>14</v>
      </c>
      <c r="E2241" t="s" s="9">
        <v>14</v>
      </c>
      <c r="F2241" t="s" s="10">
        <v>14</v>
      </c>
      <c r="G2241" t="s" s="11">
        <v>14</v>
      </c>
      <c r="H2241" t="s" s="10">
        <v>14</v>
      </c>
      <c r="I2241" t="s" s="11">
        <v>14</v>
      </c>
      <c r="J2241" t="s" s="11">
        <v>14</v>
      </c>
      <c r="K2241" t="s" s="12">
        <v>14</v>
      </c>
      <c r="L2241" t="s" s="12">
        <v>14</v>
      </c>
      <c r="M2241" t="s" s="10">
        <v>14</v>
      </c>
      <c r="N2241" t="s" s="11">
        <v>14</v>
      </c>
      <c r="O2241" t="s" s="8">
        <v>14</v>
      </c>
      <c r="P2241" t="s" s="8">
        <v>14</v>
      </c>
      <c r="Q2241" t="s" s="12">
        <v>14</v>
      </c>
      <c r="R2241" t="s" s="12">
        <v>14</v>
      </c>
    </row>
    <row r="2242" s="2" customFormat="1" ht="13.5" customHeight="1">
      <c r="B2242" s="13"/>
      <c r="C2242" t="s" s="9">
        <v>16</v>
      </c>
      <c r="D2242" t="s" s="8">
        <v>801</v>
      </c>
      <c r="E2242" t="s" s="9">
        <v>801</v>
      </c>
      <c r="F2242" t="s" s="10">
        <v>55</v>
      </c>
      <c r="G2242" t="s" s="11">
        <v>55</v>
      </c>
      <c r="H2242" t="s" s="10">
        <v>55</v>
      </c>
      <c r="I2242" t="s" s="11">
        <v>55</v>
      </c>
      <c r="J2242" t="s" s="11">
        <v>20</v>
      </c>
      <c r="K2242" s="15"/>
      <c r="L2242" t="s" s="16">
        <f>HYPERLINK("http://csr.bu.edu/ftp/asl/asllvd/demos/verify_start_end_handshape_annotations//test_auto_move//signs_mov_separ_signers/Liz_477.mov","MOV")</f>
        <v>21</v>
      </c>
      <c r="M2242" t="s" s="10">
        <v>22</v>
      </c>
      <c r="N2242" s="17">
        <v>81</v>
      </c>
      <c r="O2242" s="18">
        <v>1045</v>
      </c>
      <c r="P2242" s="18">
        <v>1076</v>
      </c>
      <c r="Q2242" s="15"/>
      <c r="R2242" t="s" s="16">
        <f>HYPERLINK("http://secrets.rutgers.edu:8080/data/asl-ftp/asllvd/demos/verify_start_end_handshape_annotations//test_auto_move//signs_mov_separ_signers/Liz_477.mov","MOV")</f>
        <v>21</v>
      </c>
    </row>
    <row r="2243" s="2" customFormat="1" ht="13.5" customHeight="1">
      <c r="B2243" s="13"/>
      <c r="C2243" t="s" s="9">
        <v>23</v>
      </c>
      <c r="D2243" t="s" s="8">
        <v>801</v>
      </c>
      <c r="E2243" t="s" s="9">
        <v>801</v>
      </c>
      <c r="F2243" t="s" s="10">
        <v>55</v>
      </c>
      <c r="G2243" t="s" s="11">
        <v>55</v>
      </c>
      <c r="H2243" t="s" s="10">
        <v>55</v>
      </c>
      <c r="I2243" t="s" s="11">
        <v>55</v>
      </c>
      <c r="J2243" t="s" s="11">
        <v>20</v>
      </c>
      <c r="K2243" t="s" s="16">
        <f>HYPERLINK("http://csr.bu.edu/ftp/asl/asllvd/demos/verify_start_end_handshape_annotations//test_auto_move//signs_mov/477.mov","MOV")</f>
        <v>21</v>
      </c>
      <c r="L2243" t="s" s="16">
        <f>HYPERLINK("http://csr.bu.edu/ftp/asl/asllvd/demos/verify_start_end_handshape_annotations//test_auto_move//signs_mov_separ_signers/Tyler_477.mov","MOV")</f>
        <v>21</v>
      </c>
      <c r="M2243" t="s" s="10">
        <v>26</v>
      </c>
      <c r="N2243" s="17">
        <v>48</v>
      </c>
      <c r="O2243" s="18">
        <v>1535</v>
      </c>
      <c r="P2243" s="18">
        <v>1570</v>
      </c>
      <c r="Q2243" t="s" s="16">
        <f>HYPERLINK("http://secrets.rutgers.edu:8080/data/asl-ftp/asllvd/demos/verify_start_end_handshape_annotations//test_auto_move//signs_mov/477.mov","MOV")</f>
        <v>21</v>
      </c>
      <c r="R2243" t="s" s="16">
        <f>HYPERLINK("http://secrets.rutgers.edu:8080/data/asl-ftp/asllvd/demos/verify_start_end_handshape_annotations//test_auto_move//signs_mov_separ_signers/Tyler_477.mov","MOV")</f>
        <v>21</v>
      </c>
    </row>
    <row r="2244" s="2" customFormat="1" ht="13.5" customHeight="1">
      <c r="B2244" s="13"/>
      <c r="C2244" t="s" s="9">
        <v>27</v>
      </c>
      <c r="D2244" t="s" s="8">
        <v>801</v>
      </c>
      <c r="E2244" t="s" s="9">
        <v>801</v>
      </c>
      <c r="F2244" t="s" s="10">
        <v>55</v>
      </c>
      <c r="G2244" t="s" s="11">
        <v>55</v>
      </c>
      <c r="H2244" t="s" s="10">
        <v>55</v>
      </c>
      <c r="I2244" t="s" s="11">
        <v>55</v>
      </c>
      <c r="J2244" t="s" s="11">
        <v>20</v>
      </c>
      <c r="K2244" s="15"/>
      <c r="L2244" t="s" s="16">
        <f>HYPERLINK("http://csr.bu.edu/ftp/asl/asllvd/demos/verify_start_end_handshape_annotations//test_auto_move//signs_mov_separ_signers/Naomi_477.mov","MOV")</f>
        <v>21</v>
      </c>
      <c r="M2244" t="s" s="10">
        <v>29</v>
      </c>
      <c r="N2244" s="17">
        <v>50</v>
      </c>
      <c r="O2244" s="18">
        <v>1666</v>
      </c>
      <c r="P2244" s="18">
        <v>1690</v>
      </c>
      <c r="Q2244" s="15"/>
      <c r="R2244" t="s" s="16">
        <f>HYPERLINK("http://secrets.rutgers.edu:8080/data/asl-ftp/asllvd/demos/verify_start_end_handshape_annotations//test_auto_move//signs_mov_separ_signers/Naomi_477.mov","MOV")</f>
        <v>21</v>
      </c>
    </row>
    <row r="2245" s="2" customFormat="1" ht="13.5" customHeight="1">
      <c r="B2245" s="13"/>
      <c r="C2245" t="s" s="9">
        <v>30</v>
      </c>
      <c r="D2245" t="s" s="8">
        <v>801</v>
      </c>
      <c r="E2245" t="s" s="9">
        <v>801</v>
      </c>
      <c r="F2245" t="s" s="10">
        <v>152</v>
      </c>
      <c r="G2245" t="s" s="11">
        <v>152</v>
      </c>
      <c r="H2245" t="s" s="10">
        <v>152</v>
      </c>
      <c r="I2245" t="s" s="11">
        <v>152</v>
      </c>
      <c r="J2245" t="s" s="11">
        <v>20</v>
      </c>
      <c r="K2245" s="15"/>
      <c r="L2245" t="s" s="16">
        <f>HYPERLINK("http://csr.bu.edu/ftp/asl/asllvd/demos/verify_start_end_handshape_annotations//test_auto_move//signs_mov_separ_signers/Brady_477.mov","MOV")</f>
        <v>21</v>
      </c>
      <c r="M2245" t="s" s="10">
        <v>31</v>
      </c>
      <c r="N2245" s="17">
        <v>28</v>
      </c>
      <c r="O2245" s="18">
        <v>5813</v>
      </c>
      <c r="P2245" s="18">
        <v>5836</v>
      </c>
      <c r="Q2245" s="15"/>
      <c r="R2245" t="s" s="16">
        <f>HYPERLINK("http://secrets.rutgers.edu:8080/data/asl-ftp/asllvd/demos/verify_start_end_handshape_annotations//test_auto_move//signs_mov_separ_signers/Brady_477.mov","MOV")</f>
        <v>21</v>
      </c>
    </row>
    <row r="2246" s="2" customFormat="1" ht="13.5" customHeight="1">
      <c r="B2246" t="s" s="8">
        <v>802</v>
      </c>
      <c r="C2246" t="s" s="9">
        <v>14</v>
      </c>
      <c r="D2246" t="s" s="8">
        <v>14</v>
      </c>
      <c r="E2246" t="s" s="9">
        <v>14</v>
      </c>
      <c r="F2246" t="s" s="10">
        <v>14</v>
      </c>
      <c r="G2246" t="s" s="11">
        <v>14</v>
      </c>
      <c r="H2246" t="s" s="10">
        <v>14</v>
      </c>
      <c r="I2246" t="s" s="11">
        <v>14</v>
      </c>
      <c r="J2246" t="s" s="11">
        <v>14</v>
      </c>
      <c r="K2246" t="s" s="12">
        <v>14</v>
      </c>
      <c r="L2246" t="s" s="12">
        <v>14</v>
      </c>
      <c r="M2246" t="s" s="10">
        <v>14</v>
      </c>
      <c r="N2246" t="s" s="11">
        <v>14</v>
      </c>
      <c r="O2246" t="s" s="8">
        <v>14</v>
      </c>
      <c r="P2246" t="s" s="8">
        <v>14</v>
      </c>
      <c r="Q2246" t="s" s="12">
        <v>14</v>
      </c>
      <c r="R2246" t="s" s="12">
        <v>14</v>
      </c>
    </row>
    <row r="2247" s="2" customFormat="1" ht="13.5" customHeight="1">
      <c r="B2247" s="13"/>
      <c r="C2247" t="s" s="9">
        <v>16</v>
      </c>
      <c r="D2247" t="s" s="8">
        <v>802</v>
      </c>
      <c r="E2247" t="s" s="9">
        <v>803</v>
      </c>
      <c r="F2247" s="19">
        <v>5</v>
      </c>
      <c r="G2247" s="17">
        <v>5</v>
      </c>
      <c r="H2247" s="19">
        <v>5</v>
      </c>
      <c r="I2247" s="17">
        <v>5</v>
      </c>
      <c r="J2247" t="s" s="11">
        <v>20</v>
      </c>
      <c r="K2247" s="15"/>
      <c r="L2247" t="s" s="16">
        <f>HYPERLINK("http://csr.bu.edu/ftp/asl/asllvd/demos/verify_start_end_handshape_annotations//test_auto_move//signs_mov_separ_signers/Liz_478.mov","MOV")</f>
        <v>21</v>
      </c>
      <c r="M2247" t="s" s="10">
        <v>22</v>
      </c>
      <c r="N2247" s="17">
        <v>81</v>
      </c>
      <c r="O2247" s="18">
        <v>1345</v>
      </c>
      <c r="P2247" s="18">
        <v>1386</v>
      </c>
      <c r="Q2247" s="15"/>
      <c r="R2247" t="s" s="16">
        <f>HYPERLINK("http://secrets.rutgers.edu:8080/data/asl-ftp/asllvd/demos/verify_start_end_handshape_annotations//test_auto_move//signs_mov_separ_signers/Liz_478.mov","MOV")</f>
        <v>21</v>
      </c>
    </row>
    <row r="2248" s="2" customFormat="1" ht="13.5" customHeight="1">
      <c r="B2248" s="13"/>
      <c r="C2248" t="s" s="9">
        <v>16</v>
      </c>
      <c r="D2248" t="s" s="8">
        <v>802</v>
      </c>
      <c r="E2248" t="s" s="9">
        <v>803</v>
      </c>
      <c r="F2248" s="19">
        <v>5</v>
      </c>
      <c r="G2248" s="17">
        <v>5</v>
      </c>
      <c r="H2248" s="19">
        <v>5</v>
      </c>
      <c r="I2248" s="17">
        <v>5</v>
      </c>
      <c r="J2248" t="s" s="11">
        <v>20</v>
      </c>
      <c r="K2248" s="15"/>
      <c r="L2248" t="s" s="16">
        <f>HYPERLINK("http://csr.bu.edu/ftp/asl/asllvd/demos/verify_start_end_handshape_annotations//test_auto_move//signs_mov_separ_signers/Liz_3615.mov","MOV")</f>
        <v>21</v>
      </c>
      <c r="M2248" t="s" s="10">
        <v>84</v>
      </c>
      <c r="N2248" s="17">
        <v>23</v>
      </c>
      <c r="O2248" s="18">
        <v>2285</v>
      </c>
      <c r="P2248" s="18">
        <v>2327</v>
      </c>
      <c r="Q2248" s="15"/>
      <c r="R2248" t="s" s="16">
        <f>HYPERLINK("http://secrets.rutgers.edu:8080/data/asl-ftp/asllvd/demos/verify_start_end_handshape_annotations//test_auto_move//signs_mov_separ_signers/Liz_3615.mov","MOV")</f>
        <v>21</v>
      </c>
    </row>
    <row r="2249" s="2" customFormat="1" ht="13.5" customHeight="1">
      <c r="B2249" s="13"/>
      <c r="C2249" t="s" s="9">
        <v>16</v>
      </c>
      <c r="D2249" t="s" s="8">
        <v>802</v>
      </c>
      <c r="E2249" t="s" s="9">
        <v>802</v>
      </c>
      <c r="F2249" s="19">
        <v>5</v>
      </c>
      <c r="G2249" s="17">
        <v>5</v>
      </c>
      <c r="H2249" s="19">
        <v>5</v>
      </c>
      <c r="I2249" s="17">
        <v>5</v>
      </c>
      <c r="J2249" t="s" s="11">
        <v>20</v>
      </c>
      <c r="K2249" s="15"/>
      <c r="L2249" t="s" s="16">
        <f>HYPERLINK("http://csr.bu.edu/ftp/asl/asllvd/demos/verify_start_end_handshape_annotations//test_auto_move//signs_mov_separ_signers/Liz_3617.mov","MOV")</f>
        <v>21</v>
      </c>
      <c r="M2249" t="s" s="10">
        <v>84</v>
      </c>
      <c r="N2249" s="17">
        <v>24</v>
      </c>
      <c r="O2249" s="18">
        <v>275</v>
      </c>
      <c r="P2249" s="18">
        <v>297</v>
      </c>
      <c r="Q2249" s="15"/>
      <c r="R2249" t="s" s="16">
        <f>HYPERLINK("http://secrets.rutgers.edu:8080/data/asl-ftp/asllvd/demos/verify_start_end_handshape_annotations//test_auto_move//signs_mov_separ_signers/Liz_3617.mov","MOV")</f>
        <v>21</v>
      </c>
    </row>
    <row r="2250" s="2" customFormat="1" ht="13.5" customHeight="1">
      <c r="B2250" s="13"/>
      <c r="C2250" t="s" s="9">
        <v>16</v>
      </c>
      <c r="D2250" t="s" s="8">
        <v>802</v>
      </c>
      <c r="E2250" t="s" s="9">
        <v>803</v>
      </c>
      <c r="F2250" s="19">
        <v>5</v>
      </c>
      <c r="G2250" s="17">
        <v>5</v>
      </c>
      <c r="H2250" s="19">
        <v>5</v>
      </c>
      <c r="I2250" s="17">
        <v>5</v>
      </c>
      <c r="J2250" t="s" s="11">
        <v>20</v>
      </c>
      <c r="K2250" s="15"/>
      <c r="L2250" t="s" s="16">
        <f>HYPERLINK("http://csr.bu.edu/ftp/asl/asllvd/demos/verify_start_end_handshape_annotations//test_auto_move//signs_mov_separ_signers/Liz_15013.mov","MOV")</f>
        <v>21</v>
      </c>
      <c r="M2250" t="s" s="10">
        <v>84</v>
      </c>
      <c r="N2250" s="17">
        <v>24</v>
      </c>
      <c r="O2250" s="18">
        <v>985</v>
      </c>
      <c r="P2250" s="18">
        <v>1041</v>
      </c>
      <c r="Q2250" s="15"/>
      <c r="R2250" t="s" s="16">
        <f>HYPERLINK("http://secrets.rutgers.edu:8080/data/asl-ftp/asllvd/demos/verify_start_end_handshape_annotations//test_auto_move//signs_mov_separ_signers/Liz_15013.mov","MOV")</f>
        <v>21</v>
      </c>
    </row>
    <row r="2251" s="2" customFormat="1" ht="13.5" customHeight="1">
      <c r="B2251" s="13"/>
      <c r="C2251" t="s" s="9">
        <v>16</v>
      </c>
      <c r="D2251" t="s" s="8">
        <v>802</v>
      </c>
      <c r="E2251" t="s" s="9">
        <v>802</v>
      </c>
      <c r="F2251" s="19">
        <v>5</v>
      </c>
      <c r="G2251" s="17">
        <v>5</v>
      </c>
      <c r="H2251" s="19">
        <v>5</v>
      </c>
      <c r="I2251" s="17">
        <v>5</v>
      </c>
      <c r="J2251" t="s" s="11">
        <v>20</v>
      </c>
      <c r="K2251" s="15"/>
      <c r="L2251" t="s" s="16">
        <f>HYPERLINK("http://csr.bu.edu/ftp/asl/asllvd/demos/verify_start_end_handshape_annotations//test_auto_move//signs_mov_separ_signers/Liz_15022.mov","MOV")</f>
        <v>21</v>
      </c>
      <c r="M2251" t="s" s="10">
        <v>84</v>
      </c>
      <c r="N2251" s="17">
        <v>24</v>
      </c>
      <c r="O2251" s="18">
        <v>1510</v>
      </c>
      <c r="P2251" s="18">
        <v>1545</v>
      </c>
      <c r="Q2251" s="15"/>
      <c r="R2251" t="s" s="16">
        <f>HYPERLINK("http://secrets.rutgers.edu:8080/data/asl-ftp/asllvd/demos/verify_start_end_handshape_annotations//test_auto_move//signs_mov_separ_signers/Liz_15022.mov","MOV")</f>
        <v>21</v>
      </c>
    </row>
    <row r="2252" s="2" customFormat="1" ht="13.5" customHeight="1">
      <c r="B2252" s="13"/>
      <c r="C2252" t="s" s="9">
        <v>23</v>
      </c>
      <c r="D2252" t="s" s="8">
        <v>802</v>
      </c>
      <c r="E2252" t="s" s="9">
        <v>802</v>
      </c>
      <c r="F2252" s="19">
        <v>5</v>
      </c>
      <c r="G2252" s="17">
        <v>5</v>
      </c>
      <c r="H2252" s="19">
        <v>5</v>
      </c>
      <c r="I2252" s="17">
        <v>5</v>
      </c>
      <c r="J2252" t="s" s="11">
        <v>20</v>
      </c>
      <c r="K2252" s="15"/>
      <c r="L2252" t="s" s="16">
        <f>HYPERLINK("http://csr.bu.edu/ftp/asl/asllvd/demos/verify_start_end_handshape_annotations//test_auto_move//signs_mov_separ_signers/Tyler_478.mov","MOV")</f>
        <v>21</v>
      </c>
      <c r="M2252" t="s" s="10">
        <v>26</v>
      </c>
      <c r="N2252" s="17">
        <v>29</v>
      </c>
      <c r="O2252" s="18">
        <v>2530</v>
      </c>
      <c r="P2252" s="18">
        <v>2560</v>
      </c>
      <c r="Q2252" s="15"/>
      <c r="R2252" t="s" s="16">
        <f>HYPERLINK("http://secrets.rutgers.edu:8080/data/asl-ftp/asllvd/demos/verify_start_end_handshape_annotations//test_auto_move//signs_mov_separ_signers/Tyler_478.mov","MOV")</f>
        <v>21</v>
      </c>
    </row>
    <row r="2253" s="2" customFormat="1" ht="13.5" customHeight="1">
      <c r="B2253" s="13"/>
      <c r="C2253" t="s" s="9">
        <v>23</v>
      </c>
      <c r="D2253" t="s" s="8">
        <v>802</v>
      </c>
      <c r="E2253" t="s" s="9">
        <v>804</v>
      </c>
      <c r="F2253" s="19">
        <v>5</v>
      </c>
      <c r="G2253" s="17">
        <v>5</v>
      </c>
      <c r="H2253" s="19">
        <v>5</v>
      </c>
      <c r="I2253" s="17">
        <v>5</v>
      </c>
      <c r="J2253" t="s" s="11">
        <v>20</v>
      </c>
      <c r="K2253" s="15"/>
      <c r="L2253" t="s" s="16">
        <f>HYPERLINK("http://csr.bu.edu/ftp/asl/asllvd/demos/verify_start_end_handshape_annotations//test_auto_move//signs_mov_separ_signers/Tyler_3615.mov","MOV")</f>
        <v>21</v>
      </c>
      <c r="M2253" t="s" s="10">
        <v>26</v>
      </c>
      <c r="N2253" s="17">
        <v>48</v>
      </c>
      <c r="O2253" s="18">
        <v>1735</v>
      </c>
      <c r="P2253" s="18">
        <v>1780</v>
      </c>
      <c r="Q2253" s="15"/>
      <c r="R2253" t="s" s="16">
        <f>HYPERLINK("http://secrets.rutgers.edu:8080/data/asl-ftp/asllvd/demos/verify_start_end_handshape_annotations//test_auto_move//signs_mov_separ_signers/Tyler_3615.mov","MOV")</f>
        <v>21</v>
      </c>
    </row>
    <row r="2254" s="2" customFormat="1" ht="13.5" customHeight="1">
      <c r="B2254" s="13"/>
      <c r="C2254" t="s" s="9">
        <v>23</v>
      </c>
      <c r="D2254" t="s" s="8">
        <v>802</v>
      </c>
      <c r="E2254" t="s" s="9">
        <v>802</v>
      </c>
      <c r="F2254" s="19">
        <v>5</v>
      </c>
      <c r="G2254" s="17">
        <v>5</v>
      </c>
      <c r="H2254" s="19">
        <v>5</v>
      </c>
      <c r="I2254" s="17">
        <v>5</v>
      </c>
      <c r="J2254" t="s" s="11">
        <v>20</v>
      </c>
      <c r="K2254" s="15"/>
      <c r="L2254" t="s" s="16">
        <f>HYPERLINK("http://csr.bu.edu/ftp/asl/asllvd/demos/verify_start_end_handshape_annotations//test_auto_move//signs_mov_separ_signers/Tyler_3617.mov","MOV")</f>
        <v>21</v>
      </c>
      <c r="M2254" t="s" s="10">
        <v>92</v>
      </c>
      <c r="N2254" s="17">
        <v>3</v>
      </c>
      <c r="O2254" s="18">
        <v>2832</v>
      </c>
      <c r="P2254" s="18">
        <v>2861</v>
      </c>
      <c r="Q2254" s="15"/>
      <c r="R2254" t="s" s="16">
        <f>HYPERLINK("http://secrets.rutgers.edu:8080/data/asl-ftp/asllvd/demos/verify_start_end_handshape_annotations//test_auto_move//signs_mov_separ_signers/Tyler_3617.mov","MOV")</f>
        <v>21</v>
      </c>
    </row>
    <row r="2255" s="2" customFormat="1" ht="13.5" customHeight="1">
      <c r="B2255" s="13"/>
      <c r="C2255" t="s" s="9">
        <v>23</v>
      </c>
      <c r="D2255" t="s" s="8">
        <v>802</v>
      </c>
      <c r="E2255" t="s" s="9">
        <v>802</v>
      </c>
      <c r="F2255" s="19">
        <v>5</v>
      </c>
      <c r="G2255" s="17">
        <v>5</v>
      </c>
      <c r="H2255" s="19">
        <v>5</v>
      </c>
      <c r="I2255" s="17">
        <v>5</v>
      </c>
      <c r="J2255" t="s" s="11">
        <v>20</v>
      </c>
      <c r="K2255" s="15"/>
      <c r="L2255" t="s" s="16">
        <f>HYPERLINK("http://csr.bu.edu/ftp/asl/asllvd/demos/verify_start_end_handshape_annotations//test_auto_move//signs_mov_separ_signers/Tyler_15013.mov","MOV")</f>
        <v>21</v>
      </c>
      <c r="M2255" t="s" s="10">
        <v>92</v>
      </c>
      <c r="N2255" s="17">
        <v>3</v>
      </c>
      <c r="O2255" s="18">
        <v>3115</v>
      </c>
      <c r="P2255" s="18">
        <v>3140</v>
      </c>
      <c r="Q2255" s="15"/>
      <c r="R2255" t="s" s="16">
        <f>HYPERLINK("http://secrets.rutgers.edu:8080/data/asl-ftp/asllvd/demos/verify_start_end_handshape_annotations//test_auto_move//signs_mov_separ_signers/Tyler_15013.mov","MOV")</f>
        <v>21</v>
      </c>
    </row>
    <row r="2256" s="2" customFormat="1" ht="13.5" customHeight="1">
      <c r="B2256" s="13"/>
      <c r="C2256" t="s" s="9">
        <v>23</v>
      </c>
      <c r="D2256" t="s" s="8">
        <v>802</v>
      </c>
      <c r="E2256" t="s" s="9">
        <v>804</v>
      </c>
      <c r="F2256" s="19">
        <v>5</v>
      </c>
      <c r="G2256" s="17">
        <v>5</v>
      </c>
      <c r="H2256" s="19">
        <v>5</v>
      </c>
      <c r="I2256" s="17">
        <v>5</v>
      </c>
      <c r="J2256" t="s" s="11">
        <v>20</v>
      </c>
      <c r="K2256" t="s" s="16">
        <f>HYPERLINK("http://csr.bu.edu/ftp/asl/asllvd/demos/verify_start_end_handshape_annotations//test_auto_move//signs_mov/478_3615_3617_15013_15022_15028_merged.mov","MOV")</f>
        <v>21</v>
      </c>
      <c r="L2256" t="s" s="16">
        <f>HYPERLINK("http://csr.bu.edu/ftp/asl/asllvd/demos/verify_start_end_handshape_annotations//test_auto_move//signs_mov_separ_signers/Tyler_15022.mov","MOV")</f>
        <v>21</v>
      </c>
      <c r="M2256" t="s" s="10">
        <v>92</v>
      </c>
      <c r="N2256" s="17">
        <v>4</v>
      </c>
      <c r="O2256" s="18">
        <v>1132</v>
      </c>
      <c r="P2256" s="18">
        <v>1177</v>
      </c>
      <c r="Q2256" t="s" s="16">
        <f>HYPERLINK("http://secrets.rutgers.edu:8080/data/asl-ftp/asllvd/demos/verify_start_end_handshape_annotations//test_auto_move//signs_mov/478_3615_3617_15013_15022_15028_merged.mov","MOV")</f>
        <v>21</v>
      </c>
      <c r="R2256" t="s" s="16">
        <f>HYPERLINK("http://secrets.rutgers.edu:8080/data/asl-ftp/asllvd/demos/verify_start_end_handshape_annotations//test_auto_move//signs_mov_separ_signers/Tyler_15022.mov","MOV")</f>
        <v>21</v>
      </c>
    </row>
    <row r="2257" s="2" customFormat="1" ht="13.5" customHeight="1">
      <c r="C2257" t="s" s="9">
        <v>23</v>
      </c>
      <c r="D2257" t="s" s="8">
        <v>802</v>
      </c>
      <c r="E2257" t="s" s="9">
        <v>802</v>
      </c>
      <c r="F2257" s="19">
        <v>5</v>
      </c>
      <c r="G2257" s="17">
        <v>5</v>
      </c>
      <c r="H2257" s="19">
        <v>5</v>
      </c>
      <c r="I2257" s="17">
        <v>5</v>
      </c>
      <c r="J2257" t="s" s="11">
        <v>20</v>
      </c>
      <c r="K2257" s="15"/>
      <c r="L2257" t="s" s="16">
        <f>HYPERLINK("http://csr.bu.edu/ftp/asl/asllvd/demos/verify_start_end_handshape_annotations//test_auto_move//signs_mov_separ_signers/Tyler_15028.mov","MOV")</f>
        <v>21</v>
      </c>
      <c r="M2257" t="s" s="10">
        <v>92</v>
      </c>
      <c r="N2257" s="17">
        <v>4</v>
      </c>
      <c r="O2257" s="18">
        <v>1530</v>
      </c>
      <c r="P2257" s="18">
        <v>1556</v>
      </c>
      <c r="Q2257" s="15"/>
      <c r="R2257" t="s" s="16">
        <f>HYPERLINK("http://secrets.rutgers.edu:8080/data/asl-ftp/asllvd/demos/verify_start_end_handshape_annotations//test_auto_move//signs_mov_separ_signers/Tyler_15028.mov","MOV")</f>
        <v>21</v>
      </c>
    </row>
    <row r="2258" s="2" customFormat="1" ht="13.5" customHeight="1">
      <c r="C2258" t="s" s="9">
        <v>27</v>
      </c>
      <c r="D2258" t="s" s="8">
        <v>802</v>
      </c>
      <c r="E2258" t="s" s="9">
        <v>803</v>
      </c>
      <c r="F2258" s="19">
        <v>5</v>
      </c>
      <c r="G2258" s="17">
        <v>5</v>
      </c>
      <c r="H2258" s="19">
        <v>5</v>
      </c>
      <c r="I2258" s="17">
        <v>5</v>
      </c>
      <c r="J2258" t="s" s="11">
        <v>20</v>
      </c>
      <c r="K2258" s="15"/>
      <c r="L2258" t="s" s="16">
        <f>HYPERLINK("http://csr.bu.edu/ftp/asl/asllvd/demos/verify_start_end_handshape_annotations//test_auto_move//signs_mov_separ_signers/Naomi_478.mov","MOV")</f>
        <v>21</v>
      </c>
      <c r="M2258" t="s" s="10">
        <v>29</v>
      </c>
      <c r="N2258" s="17">
        <v>50</v>
      </c>
      <c r="O2258" s="18">
        <v>1862</v>
      </c>
      <c r="P2258" s="18">
        <v>1905</v>
      </c>
      <c r="Q2258" s="15"/>
      <c r="R2258" t="s" s="16">
        <f>HYPERLINK("http://secrets.rutgers.edu:8080/data/asl-ftp/asllvd/demos/verify_start_end_handshape_annotations//test_auto_move//signs_mov_separ_signers/Naomi_478.mov","MOV")</f>
        <v>21</v>
      </c>
    </row>
    <row r="2259" s="2" customFormat="1" ht="13.5" customHeight="1">
      <c r="C2259" t="s" s="9">
        <v>27</v>
      </c>
      <c r="D2259" t="s" s="8">
        <v>802</v>
      </c>
      <c r="E2259" t="s" s="9">
        <v>803</v>
      </c>
      <c r="F2259" s="19">
        <v>5</v>
      </c>
      <c r="G2259" s="17">
        <v>5</v>
      </c>
      <c r="H2259" s="19">
        <v>5</v>
      </c>
      <c r="I2259" s="17">
        <v>5</v>
      </c>
      <c r="J2259" t="s" s="11">
        <v>20</v>
      </c>
      <c r="K2259" s="15"/>
      <c r="L2259" t="s" s="16">
        <f>HYPERLINK("http://csr.bu.edu/ftp/asl/asllvd/demos/verify_start_end_handshape_annotations//test_auto_move//signs_mov_separ_signers/Naomi_3615.mov","MOV")</f>
        <v>21</v>
      </c>
      <c r="M2259" t="s" s="10">
        <v>86</v>
      </c>
      <c r="N2259" s="17">
        <v>24</v>
      </c>
      <c r="O2259" s="18">
        <v>805</v>
      </c>
      <c r="P2259" s="18">
        <v>837</v>
      </c>
      <c r="Q2259" s="15"/>
      <c r="R2259" t="s" s="16">
        <f>HYPERLINK("http://secrets.rutgers.edu:8080/data/asl-ftp/asllvd/demos/verify_start_end_handshape_annotations//test_auto_move//signs_mov_separ_signers/Naomi_3615.mov","MOV")</f>
        <v>21</v>
      </c>
    </row>
    <row r="2260" s="2" customFormat="1" ht="13.5" customHeight="1">
      <c r="C2260" t="s" s="9">
        <v>27</v>
      </c>
      <c r="D2260" t="s" s="8">
        <v>802</v>
      </c>
      <c r="E2260" t="s" s="9">
        <v>802</v>
      </c>
      <c r="F2260" s="19">
        <v>5</v>
      </c>
      <c r="G2260" s="17">
        <v>5</v>
      </c>
      <c r="H2260" s="19">
        <v>5</v>
      </c>
      <c r="I2260" s="17">
        <v>5</v>
      </c>
      <c r="J2260" t="s" s="11">
        <v>20</v>
      </c>
      <c r="K2260" s="15"/>
      <c r="L2260" t="s" s="16">
        <f>HYPERLINK("http://csr.bu.edu/ftp/asl/asllvd/demos/verify_start_end_handshape_annotations//test_auto_move//signs_mov_separ_signers/Naomi_3617.mov","MOV")</f>
        <v>21</v>
      </c>
      <c r="M2260" t="s" s="10">
        <v>86</v>
      </c>
      <c r="N2260" s="17">
        <v>24</v>
      </c>
      <c r="O2260" s="18">
        <v>1051</v>
      </c>
      <c r="P2260" s="18">
        <v>1085</v>
      </c>
      <c r="Q2260" s="15"/>
      <c r="R2260" t="s" s="16">
        <f>HYPERLINK("http://secrets.rutgers.edu:8080/data/asl-ftp/asllvd/demos/verify_start_end_handshape_annotations//test_auto_move//signs_mov_separ_signers/Naomi_3617.mov","MOV")</f>
        <v>21</v>
      </c>
    </row>
    <row r="2261" s="2" customFormat="1" ht="13.5" customHeight="1">
      <c r="C2261" t="s" s="9">
        <v>30</v>
      </c>
      <c r="D2261" t="s" s="8">
        <v>802</v>
      </c>
      <c r="E2261" t="s" s="9">
        <v>803</v>
      </c>
      <c r="F2261" s="19">
        <v>5</v>
      </c>
      <c r="G2261" s="17">
        <v>5</v>
      </c>
      <c r="H2261" s="19">
        <v>5</v>
      </c>
      <c r="I2261" s="17">
        <v>5</v>
      </c>
      <c r="J2261" t="s" s="11">
        <v>20</v>
      </c>
      <c r="K2261" s="15"/>
      <c r="L2261" t="s" s="16">
        <f>HYPERLINK("http://csr.bu.edu/ftp/asl/asllvd/demos/verify_start_end_handshape_annotations//test_auto_move//signs_mov_separ_signers/Brady_478.mov","MOV")</f>
        <v>21</v>
      </c>
      <c r="M2261" t="s" s="10">
        <v>31</v>
      </c>
      <c r="N2261" s="17">
        <v>28</v>
      </c>
      <c r="O2261" s="18">
        <v>8505</v>
      </c>
      <c r="P2261" s="18">
        <v>8531</v>
      </c>
      <c r="Q2261" s="15"/>
      <c r="R2261" t="s" s="16">
        <f>HYPERLINK("http://secrets.rutgers.edu:8080/data/asl-ftp/asllvd/demos/verify_start_end_handshape_annotations//test_auto_move//signs_mov_separ_signers/Brady_478.mov","MOV")</f>
        <v>21</v>
      </c>
    </row>
    <row r="2262" s="2" customFormat="1" ht="13.5" customHeight="1">
      <c r="C2262" t="s" s="9">
        <v>30</v>
      </c>
      <c r="D2262" t="s" s="8">
        <v>802</v>
      </c>
      <c r="E2262" t="s" s="9">
        <v>803</v>
      </c>
      <c r="F2262" s="19">
        <v>5</v>
      </c>
      <c r="G2262" s="17">
        <v>5</v>
      </c>
      <c r="H2262" s="19">
        <v>5</v>
      </c>
      <c r="I2262" s="17">
        <v>5</v>
      </c>
      <c r="J2262" t="s" s="11">
        <v>20</v>
      </c>
      <c r="K2262" s="15"/>
      <c r="L2262" t="s" s="16">
        <f>HYPERLINK("http://csr.bu.edu/ftp/asl/asllvd/demos/verify_start_end_handshape_annotations//test_auto_move//signs_mov_separ_signers/Brady_3615.mov","MOV")</f>
        <v>21</v>
      </c>
      <c r="M2262" t="s" s="10">
        <v>39</v>
      </c>
      <c r="N2262" s="17">
        <v>7</v>
      </c>
      <c r="O2262" s="18">
        <v>1016</v>
      </c>
      <c r="P2262" s="18">
        <v>1044</v>
      </c>
      <c r="Q2262" s="15"/>
      <c r="R2262" t="s" s="16">
        <f>HYPERLINK("http://secrets.rutgers.edu:8080/data/asl-ftp/asllvd/demos/verify_start_end_handshape_annotations//test_auto_move//signs_mov_separ_signers/Brady_3615.mov","MOV")</f>
        <v>21</v>
      </c>
    </row>
    <row r="2263" s="2" customFormat="1" ht="13.5" customHeight="1">
      <c r="C2263" t="s" s="9">
        <v>30</v>
      </c>
      <c r="D2263" t="s" s="8">
        <v>802</v>
      </c>
      <c r="E2263" t="s" s="9">
        <v>802</v>
      </c>
      <c r="F2263" s="19">
        <v>5</v>
      </c>
      <c r="G2263" s="17">
        <v>5</v>
      </c>
      <c r="H2263" s="19">
        <v>5</v>
      </c>
      <c r="I2263" s="17">
        <v>5</v>
      </c>
      <c r="J2263" t="s" s="11">
        <v>20</v>
      </c>
      <c r="K2263" s="15"/>
      <c r="L2263" t="s" s="16">
        <f>HYPERLINK("http://csr.bu.edu/ftp/asl/asllvd/demos/verify_start_end_handshape_annotations//test_auto_move//signs_mov_separ_signers/Brady_3617.mov","MOV")</f>
        <v>21</v>
      </c>
      <c r="M2263" t="s" s="10">
        <v>39</v>
      </c>
      <c r="N2263" s="17">
        <v>7</v>
      </c>
      <c r="O2263" s="18">
        <v>1330</v>
      </c>
      <c r="P2263" s="18">
        <v>1355</v>
      </c>
      <c r="Q2263" s="15"/>
      <c r="R2263" t="s" s="16">
        <f>HYPERLINK("http://secrets.rutgers.edu:8080/data/asl-ftp/asllvd/demos/verify_start_end_handshape_annotations//test_auto_move//signs_mov_separ_signers/Brady_3617.mov","MOV")</f>
        <v>21</v>
      </c>
    </row>
    <row r="2264" s="2" customFormat="1" ht="13.5" customHeight="1">
      <c r="C2264" t="s" s="9">
        <v>41</v>
      </c>
      <c r="D2264" t="s" s="8">
        <v>802</v>
      </c>
      <c r="E2264" t="s" s="9">
        <v>802</v>
      </c>
      <c r="F2264" s="19">
        <v>5</v>
      </c>
      <c r="G2264" s="17">
        <v>5</v>
      </c>
      <c r="H2264" s="19">
        <v>5</v>
      </c>
      <c r="I2264" s="17">
        <v>5</v>
      </c>
      <c r="J2264" t="s" s="11">
        <v>20</v>
      </c>
      <c r="K2264" s="15"/>
      <c r="L2264" t="s" s="16">
        <f>HYPERLINK("http://csr.bu.edu/ftp/asl/asllvd/demos/verify_start_end_handshape_annotations//test_auto_move//signs_mov_separ_signers/Lana_478.mov","MOV")</f>
        <v>21</v>
      </c>
      <c r="M2264" t="s" s="10">
        <v>42</v>
      </c>
      <c r="N2264" s="17">
        <v>8</v>
      </c>
      <c r="O2264" s="18">
        <v>243</v>
      </c>
      <c r="P2264" s="18">
        <v>258</v>
      </c>
      <c r="Q2264" s="15"/>
      <c r="R2264" t="s" s="16">
        <f>HYPERLINK("http://secrets.rutgers.edu:8080/data/asl-ftp/asllvd/demos/verify_start_end_handshape_annotations//test_auto_move//signs_mov_separ_signers/Lana_478.mov","MOV")</f>
        <v>21</v>
      </c>
    </row>
    <row r="2265" s="2" customFormat="1" ht="13.5" customHeight="1">
      <c r="C2265" t="s" s="9">
        <v>43</v>
      </c>
      <c r="D2265" t="s" s="8">
        <v>802</v>
      </c>
      <c r="E2265" t="s" s="9">
        <v>802</v>
      </c>
      <c r="F2265" s="19">
        <v>5</v>
      </c>
      <c r="G2265" s="17">
        <v>5</v>
      </c>
      <c r="H2265" s="19">
        <v>5</v>
      </c>
      <c r="I2265" s="17">
        <v>5</v>
      </c>
      <c r="J2265" t="s" s="11">
        <v>20</v>
      </c>
      <c r="K2265" s="15"/>
      <c r="L2265" t="s" s="16">
        <f>HYPERLINK("http://csr.bu.edu/ftp/asl/asllvd/demos/verify_start_end_handshape_annotations//test_auto_move//signs_mov_separ_signers/Dana_478.mov","MOV")</f>
        <v>21</v>
      </c>
      <c r="M2265" t="s" s="10">
        <v>44</v>
      </c>
      <c r="N2265" s="17">
        <v>12</v>
      </c>
      <c r="O2265" s="18">
        <v>192</v>
      </c>
      <c r="P2265" s="18">
        <v>231</v>
      </c>
      <c r="Q2265" s="15"/>
      <c r="R2265" t="s" s="16">
        <f>HYPERLINK("http://secrets.rutgers.edu:8080/data/asl-ftp/asllvd/demos/verify_start_end_handshape_annotations//test_auto_move//signs_mov_separ_signers/Dana_478.mov","MOV")</f>
        <v>21</v>
      </c>
    </row>
    <row r="2266" s="2" customFormat="1" ht="13.5" customHeight="1">
      <c r="B2266" t="s" s="20">
        <v>805</v>
      </c>
      <c r="C2266" t="s" s="9">
        <v>14</v>
      </c>
      <c r="D2266" t="s" s="8">
        <v>14</v>
      </c>
      <c r="E2266" t="s" s="9">
        <v>14</v>
      </c>
      <c r="F2266" t="s" s="10">
        <v>14</v>
      </c>
      <c r="G2266" t="s" s="11">
        <v>14</v>
      </c>
      <c r="H2266" t="s" s="10">
        <v>14</v>
      </c>
      <c r="I2266" t="s" s="11">
        <v>14</v>
      </c>
      <c r="J2266" t="s" s="11">
        <v>14</v>
      </c>
      <c r="K2266" t="s" s="12">
        <v>14</v>
      </c>
      <c r="L2266" t="s" s="12">
        <v>14</v>
      </c>
      <c r="M2266" t="s" s="10">
        <v>14</v>
      </c>
      <c r="N2266" t="s" s="11">
        <v>14</v>
      </c>
      <c r="O2266" t="s" s="8">
        <v>14</v>
      </c>
      <c r="P2266" t="s" s="8">
        <v>14</v>
      </c>
      <c r="Q2266" t="s" s="12">
        <v>14</v>
      </c>
      <c r="R2266" t="s" s="12">
        <v>14</v>
      </c>
    </row>
    <row r="2267" s="2" customFormat="1" ht="13.5" customHeight="1">
      <c r="C2267" t="s" s="9">
        <v>16</v>
      </c>
      <c r="D2267" t="s" s="8">
        <v>805</v>
      </c>
      <c r="E2267" t="s" s="9">
        <v>805</v>
      </c>
      <c r="F2267" t="s" s="10">
        <v>240</v>
      </c>
      <c r="G2267" t="s" s="11">
        <v>240</v>
      </c>
      <c r="H2267" t="s" s="10">
        <v>240</v>
      </c>
      <c r="I2267" t="s" s="11">
        <v>240</v>
      </c>
      <c r="J2267" t="s" s="11">
        <v>20</v>
      </c>
      <c r="K2267" t="s" s="16">
        <f>HYPERLINK("http://csr.bu.edu/ftp/asl/asllvd/demos/verify_start_end_handshape_annotations//test_auto_move//signs_mov/15879.mov","MOV")</f>
        <v>21</v>
      </c>
      <c r="L2267" t="s" s="16">
        <f>HYPERLINK("http://csr.bu.edu/ftp/asl/asllvd/demos/verify_start_end_handshape_annotations//test_auto_move//signs_mov_separ_signers/Liz_15879.mov","MOV")</f>
        <v>21</v>
      </c>
      <c r="M2267" t="s" s="10">
        <v>59</v>
      </c>
      <c r="N2267" s="17">
        <v>28</v>
      </c>
      <c r="O2267" s="18">
        <v>305</v>
      </c>
      <c r="P2267" s="18">
        <v>345</v>
      </c>
      <c r="Q2267" t="s" s="16">
        <f>HYPERLINK("http://secrets.rutgers.edu:8080/data/asl-ftp/asllvd/demos/verify_start_end_handshape_annotations//test_auto_move//signs_mov/15879.mov","MOV")</f>
        <v>21</v>
      </c>
      <c r="R2267" t="s" s="16">
        <f>HYPERLINK("http://secrets.rutgers.edu:8080/data/asl-ftp/asllvd/demos/verify_start_end_handshape_annotations//test_auto_move//signs_mov_separ_signers/Liz_15879.mov","MOV")</f>
        <v>21</v>
      </c>
    </row>
    <row r="2268" s="2" customFormat="1" ht="13.5" customHeight="1">
      <c r="C2268" t="s" s="9">
        <v>30</v>
      </c>
      <c r="D2268" t="s" s="8">
        <v>805</v>
      </c>
      <c r="E2268" t="s" s="9">
        <v>805</v>
      </c>
      <c r="F2268" t="s" s="10">
        <v>240</v>
      </c>
      <c r="G2268" t="s" s="11">
        <v>240</v>
      </c>
      <c r="H2268" t="s" s="10">
        <v>240</v>
      </c>
      <c r="I2268" t="s" s="11">
        <v>240</v>
      </c>
      <c r="J2268" t="s" s="11">
        <v>20</v>
      </c>
      <c r="K2268" s="15"/>
      <c r="L2268" t="s" s="16">
        <f>HYPERLINK("http://csr.bu.edu/ftp/asl/asllvd/demos/verify_start_end_handshape_annotations//test_auto_move//signs_mov_separ_signers/Brady_15879.mov","MOV")</f>
        <v>21</v>
      </c>
      <c r="M2268" t="s" s="10">
        <v>60</v>
      </c>
      <c r="N2268" s="17">
        <v>16</v>
      </c>
      <c r="O2268" s="18">
        <v>2221</v>
      </c>
      <c r="P2268" s="18">
        <v>2246</v>
      </c>
      <c r="Q2268" s="15"/>
      <c r="R2268" t="s" s="16">
        <f>HYPERLINK("http://secrets.rutgers.edu:8080/data/asl-ftp/asllvd/demos/verify_start_end_handshape_annotations//test_auto_move//signs_mov_separ_signers/Brady_15879.mov","MOV")</f>
        <v>21</v>
      </c>
    </row>
    <row r="2269" s="2" customFormat="1" ht="13.5" customHeight="1">
      <c r="B2269" t="s" s="20">
        <v>806</v>
      </c>
      <c r="C2269" t="s" s="9">
        <v>14</v>
      </c>
      <c r="D2269" t="s" s="8">
        <v>14</v>
      </c>
      <c r="E2269" t="s" s="9">
        <v>14</v>
      </c>
      <c r="F2269" t="s" s="10">
        <v>14</v>
      </c>
      <c r="G2269" t="s" s="11">
        <v>14</v>
      </c>
      <c r="H2269" t="s" s="10">
        <v>14</v>
      </c>
      <c r="I2269" t="s" s="11">
        <v>14</v>
      </c>
      <c r="J2269" t="s" s="11">
        <v>14</v>
      </c>
      <c r="K2269" t="s" s="12">
        <v>14</v>
      </c>
      <c r="L2269" t="s" s="12">
        <v>14</v>
      </c>
      <c r="M2269" t="s" s="10">
        <v>14</v>
      </c>
      <c r="N2269" t="s" s="11">
        <v>14</v>
      </c>
      <c r="O2269" t="s" s="8">
        <v>14</v>
      </c>
      <c r="P2269" t="s" s="8">
        <v>14</v>
      </c>
      <c r="Q2269" t="s" s="12">
        <v>14</v>
      </c>
      <c r="R2269" t="s" s="12">
        <v>14</v>
      </c>
    </row>
    <row r="2270" s="2" customFormat="1" ht="13.5" customHeight="1">
      <c r="C2270" t="s" s="9">
        <v>16</v>
      </c>
      <c r="D2270" t="s" s="8">
        <v>806</v>
      </c>
      <c r="E2270" t="s" s="9">
        <v>806</v>
      </c>
      <c r="F2270" s="19">
        <v>10</v>
      </c>
      <c r="G2270" s="17">
        <v>10</v>
      </c>
      <c r="H2270" s="19">
        <v>10</v>
      </c>
      <c r="I2270" s="17">
        <v>10</v>
      </c>
      <c r="J2270" t="s" s="11">
        <v>20</v>
      </c>
      <c r="K2270" s="15"/>
      <c r="L2270" t="s" s="16">
        <f>HYPERLINK("http://csr.bu.edu/ftp/asl/asllvd/demos/verify_start_end_handshape_annotations//test_auto_move//signs_mov_separ_signers/Liz_480.mov","MOV")</f>
        <v>21</v>
      </c>
      <c r="M2270" t="s" s="10">
        <v>22</v>
      </c>
      <c r="N2270" s="17">
        <v>81</v>
      </c>
      <c r="O2270" s="18">
        <v>1980</v>
      </c>
      <c r="P2270" s="18">
        <v>2016</v>
      </c>
      <c r="Q2270" s="15"/>
      <c r="R2270" t="s" s="16">
        <f>HYPERLINK("http://secrets.rutgers.edu:8080/data/asl-ftp/asllvd/demos/verify_start_end_handshape_annotations//test_auto_move//signs_mov_separ_signers/Liz_480.mov","MOV")</f>
        <v>21</v>
      </c>
    </row>
    <row r="2271" s="2" customFormat="1" ht="13.5" customHeight="1">
      <c r="C2271" t="s" s="9">
        <v>23</v>
      </c>
      <c r="D2271" t="s" s="8">
        <v>806</v>
      </c>
      <c r="E2271" t="s" s="9">
        <v>806</v>
      </c>
      <c r="F2271" s="19">
        <v>10</v>
      </c>
      <c r="G2271" s="17">
        <v>10</v>
      </c>
      <c r="H2271" s="19">
        <v>10</v>
      </c>
      <c r="I2271" s="17">
        <v>10</v>
      </c>
      <c r="J2271" t="s" s="11">
        <v>20</v>
      </c>
      <c r="K2271" s="15"/>
      <c r="L2271" t="s" s="16">
        <f>HYPERLINK("http://csr.bu.edu/ftp/asl/asllvd/demos/verify_start_end_handshape_annotations//test_auto_move//signs_mov_separ_signers/Tyler_480.mov","MOV")</f>
        <v>21</v>
      </c>
      <c r="M2271" t="s" s="10">
        <v>26</v>
      </c>
      <c r="N2271" s="17">
        <v>48</v>
      </c>
      <c r="O2271" s="18">
        <v>2225</v>
      </c>
      <c r="P2271" s="18">
        <v>2260</v>
      </c>
      <c r="Q2271" s="15"/>
      <c r="R2271" t="s" s="16">
        <f>HYPERLINK("http://secrets.rutgers.edu:8080/data/asl-ftp/asllvd/demos/verify_start_end_handshape_annotations//test_auto_move//signs_mov_separ_signers/Tyler_480.mov","MOV")</f>
        <v>21</v>
      </c>
    </row>
    <row r="2272" s="2" customFormat="1" ht="13.5" customHeight="1">
      <c r="C2272" t="s" s="9">
        <v>27</v>
      </c>
      <c r="D2272" t="s" s="8">
        <v>806</v>
      </c>
      <c r="E2272" t="s" s="9">
        <v>806</v>
      </c>
      <c r="F2272" t="s" s="10">
        <v>63</v>
      </c>
      <c r="G2272" t="s" s="11">
        <v>63</v>
      </c>
      <c r="H2272" t="s" s="10">
        <v>63</v>
      </c>
      <c r="I2272" t="s" s="11">
        <v>63</v>
      </c>
      <c r="J2272" t="s" s="11">
        <v>20</v>
      </c>
      <c r="K2272" t="s" s="16">
        <f>HYPERLINK("http://csr.bu.edu/ftp/asl/asllvd/demos/verify_start_end_handshape_annotations//test_auto_move//signs_mov/480.mov","MOV")</f>
        <v>21</v>
      </c>
      <c r="L2272" t="s" s="16">
        <f>HYPERLINK("http://csr.bu.edu/ftp/asl/asllvd/demos/verify_start_end_handshape_annotations//test_auto_move//signs_mov_separ_signers/Naomi_480.mov","MOV")</f>
        <v>21</v>
      </c>
      <c r="M2272" t="s" s="10">
        <v>29</v>
      </c>
      <c r="N2272" s="17">
        <v>50</v>
      </c>
      <c r="O2272" s="18">
        <v>2415</v>
      </c>
      <c r="P2272" s="18">
        <v>2442</v>
      </c>
      <c r="Q2272" t="s" s="16">
        <f>HYPERLINK("http://secrets.rutgers.edu:8080/data/asl-ftp/asllvd/demos/verify_start_end_handshape_annotations//test_auto_move//signs_mov/480.mov","MOV")</f>
        <v>21</v>
      </c>
      <c r="R2272" t="s" s="16">
        <f>HYPERLINK("http://secrets.rutgers.edu:8080/data/asl-ftp/asllvd/demos/verify_start_end_handshape_annotations//test_auto_move//signs_mov_separ_signers/Naomi_480.mov","MOV")</f>
        <v>21</v>
      </c>
    </row>
    <row r="2273" s="2" customFormat="1" ht="13.5" customHeight="1">
      <c r="B2273" s="13"/>
      <c r="C2273" t="s" s="9">
        <v>30</v>
      </c>
      <c r="D2273" t="s" s="8">
        <v>806</v>
      </c>
      <c r="E2273" t="s" s="9">
        <v>806</v>
      </c>
      <c r="F2273" s="19">
        <v>10</v>
      </c>
      <c r="G2273" s="17">
        <v>10</v>
      </c>
      <c r="H2273" s="19">
        <v>10</v>
      </c>
      <c r="I2273" s="17">
        <v>10</v>
      </c>
      <c r="J2273" t="s" s="11">
        <v>20</v>
      </c>
      <c r="K2273" s="15"/>
      <c r="L2273" t="s" s="16">
        <f>HYPERLINK("http://csr.bu.edu/ftp/asl/asllvd/demos/verify_start_end_handshape_annotations//test_auto_move//signs_mov_separ_signers/Brady_480.mov","MOV")</f>
        <v>21</v>
      </c>
      <c r="M2273" t="s" s="10">
        <v>31</v>
      </c>
      <c r="N2273" s="17">
        <v>28</v>
      </c>
      <c r="O2273" s="18">
        <v>10441</v>
      </c>
      <c r="P2273" s="18">
        <v>10477</v>
      </c>
      <c r="Q2273" s="15"/>
      <c r="R2273" t="s" s="16">
        <f>HYPERLINK("http://secrets.rutgers.edu:8080/data/asl-ftp/asllvd/demos/verify_start_end_handshape_annotations//test_auto_move//signs_mov_separ_signers/Brady_480.mov","MOV")</f>
        <v>21</v>
      </c>
    </row>
    <row r="2274" s="2" customFormat="1" ht="13.5" customHeight="1">
      <c r="B2274" s="13"/>
      <c r="C2274" t="s" s="9">
        <v>41</v>
      </c>
      <c r="D2274" t="s" s="8">
        <v>806</v>
      </c>
      <c r="E2274" t="s" s="9">
        <v>806</v>
      </c>
      <c r="F2274" s="19">
        <v>10</v>
      </c>
      <c r="G2274" s="17">
        <v>10</v>
      </c>
      <c r="H2274" s="19">
        <v>10</v>
      </c>
      <c r="I2274" s="17">
        <v>10</v>
      </c>
      <c r="J2274" t="s" s="11">
        <v>20</v>
      </c>
      <c r="K2274" s="15"/>
      <c r="L2274" t="s" s="16">
        <f>HYPERLINK("http://csr.bu.edu/ftp/asl/asllvd/demos/verify_start_end_handshape_annotations//test_auto_move//signs_mov_separ_signers/Lana_480.mov","MOV")</f>
        <v>21</v>
      </c>
      <c r="M2274" t="s" s="10">
        <v>42</v>
      </c>
      <c r="N2274" s="17">
        <v>5</v>
      </c>
      <c r="O2274" s="18">
        <v>2249</v>
      </c>
      <c r="P2274" s="18">
        <v>2271</v>
      </c>
      <c r="Q2274" s="15"/>
      <c r="R2274" t="s" s="16">
        <f>HYPERLINK("http://secrets.rutgers.edu:8080/data/asl-ftp/asllvd/demos/verify_start_end_handshape_annotations//test_auto_move//signs_mov_separ_signers/Lana_480.mov","MOV")</f>
        <v>21</v>
      </c>
    </row>
    <row r="2275" s="2" customFormat="1" ht="13.5" customHeight="1">
      <c r="B2275" s="13"/>
      <c r="C2275" t="s" s="9">
        <v>43</v>
      </c>
      <c r="D2275" t="s" s="8">
        <v>806</v>
      </c>
      <c r="E2275" t="s" s="9">
        <v>806</v>
      </c>
      <c r="F2275" t="s" s="10">
        <v>63</v>
      </c>
      <c r="G2275" t="s" s="11">
        <v>63</v>
      </c>
      <c r="H2275" t="s" s="10">
        <v>63</v>
      </c>
      <c r="I2275" t="s" s="11">
        <v>63</v>
      </c>
      <c r="J2275" t="s" s="11">
        <v>20</v>
      </c>
      <c r="K2275" s="15"/>
      <c r="L2275" t="s" s="16">
        <f>HYPERLINK("http://csr.bu.edu/ftp/asl/asllvd/demos/verify_start_end_handshape_annotations//test_auto_move//signs_mov_separ_signers/Dana_480.mov","MOV")</f>
        <v>21</v>
      </c>
      <c r="M2275" t="s" s="10">
        <v>44</v>
      </c>
      <c r="N2275" s="17">
        <v>9</v>
      </c>
      <c r="O2275" s="18">
        <v>2434</v>
      </c>
      <c r="P2275" s="18">
        <v>2472</v>
      </c>
      <c r="Q2275" s="15"/>
      <c r="R2275" t="s" s="16">
        <f>HYPERLINK("http://secrets.rutgers.edu:8080/data/asl-ftp/asllvd/demos/verify_start_end_handshape_annotations//test_auto_move//signs_mov_separ_signers/Dana_480.mov","MOV")</f>
        <v>21</v>
      </c>
    </row>
    <row r="2276" s="2" customFormat="1" ht="13.5" customHeight="1">
      <c r="B2276" t="s" s="8">
        <v>807</v>
      </c>
      <c r="C2276" t="s" s="9">
        <v>14</v>
      </c>
      <c r="D2276" t="s" s="8">
        <v>14</v>
      </c>
      <c r="E2276" t="s" s="9">
        <v>14</v>
      </c>
      <c r="F2276" t="s" s="10">
        <v>14</v>
      </c>
      <c r="G2276" t="s" s="11">
        <v>14</v>
      </c>
      <c r="H2276" t="s" s="10">
        <v>14</v>
      </c>
      <c r="I2276" t="s" s="11">
        <v>14</v>
      </c>
      <c r="J2276" t="s" s="11">
        <v>14</v>
      </c>
      <c r="K2276" t="s" s="12">
        <v>14</v>
      </c>
      <c r="L2276" t="s" s="12">
        <v>14</v>
      </c>
      <c r="M2276" t="s" s="10">
        <v>14</v>
      </c>
      <c r="N2276" t="s" s="11">
        <v>14</v>
      </c>
      <c r="O2276" t="s" s="8">
        <v>14</v>
      </c>
      <c r="P2276" t="s" s="8">
        <v>14</v>
      </c>
      <c r="Q2276" t="s" s="12">
        <v>14</v>
      </c>
      <c r="R2276" t="s" s="12">
        <v>14</v>
      </c>
    </row>
    <row r="2277" s="2" customFormat="1" ht="13.5" customHeight="1">
      <c r="B2277" s="13"/>
      <c r="C2277" t="s" s="9">
        <v>16</v>
      </c>
      <c r="D2277" t="s" s="8">
        <v>807</v>
      </c>
      <c r="E2277" t="s" s="9">
        <v>807</v>
      </c>
      <c r="F2277" t="s" s="10">
        <v>185</v>
      </c>
      <c r="G2277" t="s" s="11">
        <v>185</v>
      </c>
      <c r="H2277" t="s" s="10">
        <v>185</v>
      </c>
      <c r="I2277" t="s" s="11">
        <v>185</v>
      </c>
      <c r="J2277" t="s" s="11">
        <v>20</v>
      </c>
      <c r="K2277" s="15"/>
      <c r="L2277" t="s" s="16">
        <f>HYPERLINK("http://csr.bu.edu/ftp/asl/asllvd/demos/verify_start_end_handshape_annotations//test_auto_move//signs_mov_separ_signers/Liz_482.mov","MOV")</f>
        <v>21</v>
      </c>
      <c r="M2277" t="s" s="10">
        <v>22</v>
      </c>
      <c r="N2277" s="17">
        <v>82</v>
      </c>
      <c r="O2277" s="18">
        <v>675</v>
      </c>
      <c r="P2277" s="18">
        <v>705</v>
      </c>
      <c r="Q2277" s="15"/>
      <c r="R2277" t="s" s="16">
        <f>HYPERLINK("http://secrets.rutgers.edu:8080/data/asl-ftp/asllvd/demos/verify_start_end_handshape_annotations//test_auto_move//signs_mov_separ_signers/Liz_482.mov","MOV")</f>
        <v>21</v>
      </c>
    </row>
    <row r="2278" s="2" customFormat="1" ht="13.5" customHeight="1">
      <c r="B2278" s="13"/>
      <c r="C2278" t="s" s="9">
        <v>23</v>
      </c>
      <c r="D2278" t="s" s="8">
        <v>807</v>
      </c>
      <c r="E2278" t="s" s="9">
        <v>807</v>
      </c>
      <c r="F2278" t="s" s="10">
        <v>72</v>
      </c>
      <c r="G2278" t="s" s="11">
        <v>72</v>
      </c>
      <c r="H2278" t="s" s="10">
        <v>72</v>
      </c>
      <c r="I2278" t="s" s="11">
        <v>72</v>
      </c>
      <c r="J2278" t="s" s="11">
        <v>20</v>
      </c>
      <c r="K2278" t="s" s="16">
        <f>HYPERLINK("http://csr.bu.edu/ftp/asl/asllvd/demos/verify_start_end_handshape_annotations//test_auto_move//signs_mov/482.mov","MOV")</f>
        <v>21</v>
      </c>
      <c r="L2278" t="s" s="16">
        <f>HYPERLINK("http://csr.bu.edu/ftp/asl/asllvd/demos/verify_start_end_handshape_annotations//test_auto_move//signs_mov_separ_signers/Tyler_482.mov","MOV")</f>
        <v>21</v>
      </c>
      <c r="M2278" t="s" s="10">
        <v>26</v>
      </c>
      <c r="N2278" s="17">
        <v>49</v>
      </c>
      <c r="O2278" s="18">
        <v>410</v>
      </c>
      <c r="P2278" s="18">
        <v>435</v>
      </c>
      <c r="Q2278" t="s" s="16">
        <f>HYPERLINK("http://secrets.rutgers.edu:8080/data/asl-ftp/asllvd/demos/verify_start_end_handshape_annotations//test_auto_move//signs_mov/482.mov","MOV")</f>
        <v>21</v>
      </c>
      <c r="R2278" t="s" s="16">
        <f>HYPERLINK("http://secrets.rutgers.edu:8080/data/asl-ftp/asllvd/demos/verify_start_end_handshape_annotations//test_auto_move//signs_mov_separ_signers/Tyler_482.mov","MOV")</f>
        <v>21</v>
      </c>
    </row>
    <row r="2279" s="2" customFormat="1" ht="13.5" customHeight="1">
      <c r="B2279" s="13"/>
      <c r="C2279" t="s" s="9">
        <v>30</v>
      </c>
      <c r="D2279" t="s" s="8">
        <v>807</v>
      </c>
      <c r="E2279" t="s" s="9">
        <v>807</v>
      </c>
      <c r="F2279" t="s" s="10">
        <v>72</v>
      </c>
      <c r="G2279" t="s" s="11">
        <v>72</v>
      </c>
      <c r="H2279" t="s" s="10">
        <v>72</v>
      </c>
      <c r="I2279" t="s" s="11">
        <v>72</v>
      </c>
      <c r="J2279" t="s" s="11">
        <v>20</v>
      </c>
      <c r="K2279" s="15"/>
      <c r="L2279" t="s" s="16">
        <f>HYPERLINK("http://csr.bu.edu/ftp/asl/asllvd/demos/verify_start_end_handshape_annotations//test_auto_move//signs_mov_separ_signers/Brady_482.mov","MOV")</f>
        <v>21</v>
      </c>
      <c r="M2279" t="s" s="10">
        <v>31</v>
      </c>
      <c r="N2279" s="17">
        <v>28</v>
      </c>
      <c r="O2279" s="18">
        <v>11562</v>
      </c>
      <c r="P2279" s="18">
        <v>11600</v>
      </c>
      <c r="Q2279" s="15"/>
      <c r="R2279" t="s" s="16">
        <f>HYPERLINK("http://secrets.rutgers.edu:8080/data/asl-ftp/asllvd/demos/verify_start_end_handshape_annotations//test_auto_move//signs_mov_separ_signers/Brady_482.mov","MOV")</f>
        <v>21</v>
      </c>
    </row>
    <row r="2280" s="2" customFormat="1" ht="13.5" customHeight="1">
      <c r="B2280" t="s" s="8">
        <v>808</v>
      </c>
      <c r="C2280" t="s" s="9">
        <v>14</v>
      </c>
      <c r="D2280" t="s" s="8">
        <v>14</v>
      </c>
      <c r="E2280" t="s" s="9">
        <v>14</v>
      </c>
      <c r="F2280" t="s" s="10">
        <v>14</v>
      </c>
      <c r="G2280" t="s" s="11">
        <v>14</v>
      </c>
      <c r="H2280" t="s" s="10">
        <v>14</v>
      </c>
      <c r="I2280" t="s" s="11">
        <v>14</v>
      </c>
      <c r="J2280" t="s" s="11">
        <v>14</v>
      </c>
      <c r="K2280" t="s" s="12">
        <v>14</v>
      </c>
      <c r="L2280" t="s" s="12">
        <v>14</v>
      </c>
      <c r="M2280" t="s" s="10">
        <v>14</v>
      </c>
      <c r="N2280" t="s" s="11">
        <v>14</v>
      </c>
      <c r="O2280" t="s" s="8">
        <v>14</v>
      </c>
      <c r="P2280" t="s" s="8">
        <v>14</v>
      </c>
      <c r="Q2280" t="s" s="12">
        <v>14</v>
      </c>
      <c r="R2280" t="s" s="12">
        <v>14</v>
      </c>
    </row>
    <row r="2281" s="2" customFormat="1" ht="13.5" customHeight="1">
      <c r="B2281" s="13"/>
      <c r="C2281" t="s" s="9">
        <v>16</v>
      </c>
      <c r="D2281" t="s" s="8">
        <v>808</v>
      </c>
      <c r="E2281" t="s" s="9">
        <v>808</v>
      </c>
      <c r="F2281" t="s" s="10">
        <v>282</v>
      </c>
      <c r="G2281" t="s" s="11">
        <v>73</v>
      </c>
      <c r="H2281" t="s" s="10">
        <v>282</v>
      </c>
      <c r="I2281" t="s" s="11">
        <v>73</v>
      </c>
      <c r="J2281" t="s" s="11">
        <v>20</v>
      </c>
      <c r="K2281" s="15"/>
      <c r="L2281" t="s" s="16">
        <f>HYPERLINK("http://csr.bu.edu/ftp/asl/asllvd/demos/verify_start_end_handshape_annotations//test_auto_move//signs_mov_separ_signers/Liz_484.mov","MOV")</f>
        <v>21</v>
      </c>
      <c r="M2281" t="s" s="10">
        <v>22</v>
      </c>
      <c r="N2281" s="17">
        <v>82</v>
      </c>
      <c r="O2281" s="18">
        <v>1155</v>
      </c>
      <c r="P2281" s="18">
        <v>1191</v>
      </c>
      <c r="Q2281" s="15"/>
      <c r="R2281" t="s" s="16">
        <f>HYPERLINK("http://secrets.rutgers.edu:8080/data/asl-ftp/asllvd/demos/verify_start_end_handshape_annotations//test_auto_move//signs_mov_separ_signers/Liz_484.mov","MOV")</f>
        <v>21</v>
      </c>
    </row>
    <row r="2282" s="2" customFormat="1" ht="13.5" customHeight="1">
      <c r="B2282" s="13"/>
      <c r="C2282" t="s" s="9">
        <v>23</v>
      </c>
      <c r="D2282" t="s" s="8">
        <v>808</v>
      </c>
      <c r="E2282" t="s" s="9">
        <v>809</v>
      </c>
      <c r="F2282" t="s" s="10">
        <v>282</v>
      </c>
      <c r="G2282" t="s" s="11">
        <v>73</v>
      </c>
      <c r="H2282" t="s" s="10">
        <v>282</v>
      </c>
      <c r="I2282" t="s" s="11">
        <v>73</v>
      </c>
      <c r="J2282" t="s" s="11">
        <v>20</v>
      </c>
      <c r="K2282" t="s" s="16">
        <f>HYPERLINK("http://csr.bu.edu/ftp/asl/asllvd/demos/verify_start_end_handshape_annotations//test_auto_move//signs_mov/484.mov","MOV")</f>
        <v>21</v>
      </c>
      <c r="L2282" t="s" s="16">
        <f>HYPERLINK("http://csr.bu.edu/ftp/asl/asllvd/demos/verify_start_end_handshape_annotations//test_auto_move//signs_mov_separ_signers/Tyler_484.mov","MOV")</f>
        <v>21</v>
      </c>
      <c r="M2282" t="s" s="10">
        <v>26</v>
      </c>
      <c r="N2282" s="17">
        <v>49</v>
      </c>
      <c r="O2282" s="18">
        <v>920</v>
      </c>
      <c r="P2282" s="18">
        <v>965</v>
      </c>
      <c r="Q2282" t="s" s="16">
        <f>HYPERLINK("http://secrets.rutgers.edu:8080/data/asl-ftp/asllvd/demos/verify_start_end_handshape_annotations//test_auto_move//signs_mov/484.mov","MOV")</f>
        <v>21</v>
      </c>
      <c r="R2282" t="s" s="16">
        <f>HYPERLINK("http://secrets.rutgers.edu:8080/data/asl-ftp/asllvd/demos/verify_start_end_handshape_annotations//test_auto_move//signs_mov_separ_signers/Tyler_484.mov","MOV")</f>
        <v>21</v>
      </c>
    </row>
    <row r="2283" s="2" customFormat="1" ht="13.5" customHeight="1">
      <c r="B2283" s="13"/>
      <c r="C2283" t="s" s="9">
        <v>27</v>
      </c>
      <c r="D2283" t="s" s="8">
        <v>808</v>
      </c>
      <c r="E2283" t="s" s="9">
        <v>809</v>
      </c>
      <c r="F2283" t="s" s="10">
        <v>282</v>
      </c>
      <c r="G2283" t="s" s="11">
        <v>73</v>
      </c>
      <c r="H2283" t="s" s="10">
        <v>282</v>
      </c>
      <c r="I2283" t="s" s="11">
        <v>73</v>
      </c>
      <c r="J2283" t="s" s="11">
        <v>20</v>
      </c>
      <c r="K2283" s="15"/>
      <c r="L2283" t="s" s="16">
        <f>HYPERLINK("http://csr.bu.edu/ftp/asl/asllvd/demos/verify_start_end_handshape_annotations//test_auto_move//signs_mov_separ_signers/Naomi_484.mov","MOV")</f>
        <v>21</v>
      </c>
      <c r="M2283" t="s" s="10">
        <v>29</v>
      </c>
      <c r="N2283" s="17">
        <v>51</v>
      </c>
      <c r="O2283" s="18">
        <v>1325</v>
      </c>
      <c r="P2283" s="18">
        <v>1372</v>
      </c>
      <c r="Q2283" s="15"/>
      <c r="R2283" t="s" s="16">
        <f>HYPERLINK("http://secrets.rutgers.edu:8080/data/asl-ftp/asllvd/demos/verify_start_end_handshape_annotations//test_auto_move//signs_mov_separ_signers/Naomi_484.mov","MOV")</f>
        <v>21</v>
      </c>
    </row>
    <row r="2284" s="2" customFormat="1" ht="13.5" customHeight="1">
      <c r="B2284" t="s" s="8">
        <v>52</v>
      </c>
      <c r="C2284" t="s" s="9">
        <v>53</v>
      </c>
      <c r="D2284" t="s" s="8">
        <v>53</v>
      </c>
      <c r="E2284" t="s" s="9">
        <v>53</v>
      </c>
      <c r="F2284" t="s" s="10">
        <v>53</v>
      </c>
      <c r="G2284" t="s" s="11">
        <v>53</v>
      </c>
      <c r="H2284" t="s" s="10">
        <v>53</v>
      </c>
      <c r="I2284" t="s" s="11">
        <v>53</v>
      </c>
      <c r="J2284" t="s" s="11">
        <v>53</v>
      </c>
      <c r="K2284" t="s" s="12">
        <v>53</v>
      </c>
      <c r="L2284" t="s" s="12">
        <v>53</v>
      </c>
      <c r="M2284" t="s" s="10">
        <v>53</v>
      </c>
      <c r="N2284" t="s" s="11">
        <v>53</v>
      </c>
      <c r="O2284" t="s" s="8">
        <v>53</v>
      </c>
      <c r="P2284" t="s" s="8">
        <v>53</v>
      </c>
      <c r="Q2284" t="s" s="12">
        <v>53</v>
      </c>
      <c r="R2284" t="s" s="12">
        <v>53</v>
      </c>
    </row>
    <row r="2285" s="2" customFormat="1" ht="13.5" customHeight="1">
      <c r="B2285" s="13"/>
      <c r="C2285" t="s" s="9">
        <v>30</v>
      </c>
      <c r="D2285" t="s" s="8">
        <v>808</v>
      </c>
      <c r="E2285" t="s" s="9">
        <v>810</v>
      </c>
      <c r="F2285" t="s" s="10">
        <v>282</v>
      </c>
      <c r="G2285" t="s" s="11">
        <v>73</v>
      </c>
      <c r="H2285" t="s" s="10">
        <v>282</v>
      </c>
      <c r="I2285" t="s" s="11">
        <v>73</v>
      </c>
      <c r="J2285" t="s" s="11">
        <v>20</v>
      </c>
      <c r="K2285" t="s" s="16">
        <f>HYPERLINK("http://csr.bu.edu/ftp/asl/asllvd/demos/verify_start_end_handshape_annotations//test_auto_move//signs_mov/16278.mov","MOV")</f>
        <v>21</v>
      </c>
      <c r="L2285" t="s" s="16">
        <f>HYPERLINK("http://csr.bu.edu/ftp/asl/asllvd/demos/verify_start_end_handshape_annotations//test_auto_move//signs_mov_separ_signers/Brady_16278.mov","MOV")</f>
        <v>21</v>
      </c>
      <c r="M2285" t="s" s="10">
        <v>31</v>
      </c>
      <c r="N2285" s="17">
        <v>28</v>
      </c>
      <c r="O2285" s="18">
        <v>12769</v>
      </c>
      <c r="P2285" s="18">
        <v>12809</v>
      </c>
      <c r="Q2285" t="s" s="16">
        <f>HYPERLINK("http://secrets.rutgers.edu:8080/data/asl-ftp/asllvd/demos/verify_start_end_handshape_annotations//test_auto_move//signs_mov/16278.mov","MOV")</f>
        <v>21</v>
      </c>
      <c r="R2285" t="s" s="16">
        <f>HYPERLINK("http://secrets.rutgers.edu:8080/data/asl-ftp/asllvd/demos/verify_start_end_handshape_annotations//test_auto_move//signs_mov_separ_signers/Brady_16278.mov","MOV")</f>
        <v>21</v>
      </c>
    </row>
    <row r="2286" s="2" customFormat="1" ht="13.5" customHeight="1">
      <c r="B2286" t="s" s="8">
        <v>811</v>
      </c>
      <c r="C2286" t="s" s="9">
        <v>14</v>
      </c>
      <c r="D2286" t="s" s="8">
        <v>14</v>
      </c>
      <c r="E2286" t="s" s="9">
        <v>14</v>
      </c>
      <c r="F2286" t="s" s="10">
        <v>14</v>
      </c>
      <c r="G2286" t="s" s="11">
        <v>14</v>
      </c>
      <c r="H2286" t="s" s="10">
        <v>14</v>
      </c>
      <c r="I2286" t="s" s="11">
        <v>14</v>
      </c>
      <c r="J2286" t="s" s="11">
        <v>14</v>
      </c>
      <c r="K2286" t="s" s="12">
        <v>14</v>
      </c>
      <c r="L2286" t="s" s="12">
        <v>14</v>
      </c>
      <c r="M2286" t="s" s="10">
        <v>14</v>
      </c>
      <c r="N2286" t="s" s="11">
        <v>14</v>
      </c>
      <c r="O2286" t="s" s="8">
        <v>14</v>
      </c>
      <c r="P2286" t="s" s="8">
        <v>14</v>
      </c>
      <c r="Q2286" t="s" s="12">
        <v>14</v>
      </c>
      <c r="R2286" t="s" s="12">
        <v>14</v>
      </c>
    </row>
    <row r="2287" s="2" customFormat="1" ht="13.5" customHeight="1">
      <c r="B2287" s="13"/>
      <c r="C2287" t="s" s="9">
        <v>16</v>
      </c>
      <c r="D2287" t="s" s="8">
        <v>811</v>
      </c>
      <c r="E2287" t="s" s="9">
        <v>811</v>
      </c>
      <c r="F2287" t="s" s="10">
        <v>25</v>
      </c>
      <c r="G2287" s="14"/>
      <c r="H2287" t="s" s="10">
        <v>25</v>
      </c>
      <c r="I2287" s="14"/>
      <c r="J2287" t="s" s="11">
        <v>136</v>
      </c>
      <c r="K2287" s="15"/>
      <c r="L2287" t="s" s="16">
        <f>HYPERLINK("http://csr.bu.edu/ftp/asl/asllvd/demos/verify_start_end_handshape_annotations//test_auto_move//signs_mov_separ_signers/Liz_485.mov","MOV")</f>
        <v>21</v>
      </c>
      <c r="M2287" t="s" s="10">
        <v>22</v>
      </c>
      <c r="N2287" s="17">
        <v>82</v>
      </c>
      <c r="O2287" s="18">
        <v>1400</v>
      </c>
      <c r="P2287" s="18">
        <v>1443</v>
      </c>
      <c r="Q2287" s="15"/>
      <c r="R2287" t="s" s="16">
        <f>HYPERLINK("http://secrets.rutgers.edu:8080/data/asl-ftp/asllvd/demos/verify_start_end_handshape_annotations//test_auto_move//signs_mov_separ_signers/Liz_485.mov","MOV")</f>
        <v>21</v>
      </c>
    </row>
    <row r="2288" s="2" customFormat="1" ht="13.5" customHeight="1">
      <c r="B2288" s="13"/>
      <c r="C2288" t="s" s="9">
        <v>23</v>
      </c>
      <c r="D2288" t="s" s="8">
        <v>811</v>
      </c>
      <c r="E2288" t="s" s="9">
        <v>811</v>
      </c>
      <c r="F2288" t="s" s="10">
        <v>25</v>
      </c>
      <c r="G2288" s="14"/>
      <c r="H2288" t="s" s="10">
        <v>25</v>
      </c>
      <c r="I2288" s="14"/>
      <c r="J2288" t="s" s="11">
        <v>136</v>
      </c>
      <c r="K2288" s="15"/>
      <c r="L2288" t="s" s="16">
        <f>HYPERLINK("http://csr.bu.edu/ftp/asl/asllvd/demos/verify_start_end_handshape_annotations//test_auto_move//signs_mov_separ_signers/Tyler_485.mov","MOV")</f>
        <v>21</v>
      </c>
      <c r="M2288" t="s" s="10">
        <v>26</v>
      </c>
      <c r="N2288" s="17">
        <v>49</v>
      </c>
      <c r="O2288" s="18">
        <v>1200</v>
      </c>
      <c r="P2288" s="18">
        <v>1232</v>
      </c>
      <c r="Q2288" s="15"/>
      <c r="R2288" t="s" s="16">
        <f>HYPERLINK("http://secrets.rutgers.edu:8080/data/asl-ftp/asllvd/demos/verify_start_end_handshape_annotations//test_auto_move//signs_mov_separ_signers/Tyler_485.mov","MOV")</f>
        <v>21</v>
      </c>
    </row>
    <row r="2289" s="2" customFormat="1" ht="13.5" customHeight="1">
      <c r="B2289" s="13"/>
      <c r="C2289" t="s" s="9">
        <v>27</v>
      </c>
      <c r="D2289" t="s" s="8">
        <v>811</v>
      </c>
      <c r="E2289" t="s" s="9">
        <v>811</v>
      </c>
      <c r="F2289" t="s" s="10">
        <v>25</v>
      </c>
      <c r="G2289" s="14"/>
      <c r="H2289" t="s" s="10">
        <v>25</v>
      </c>
      <c r="I2289" s="14"/>
      <c r="J2289" t="s" s="11">
        <v>136</v>
      </c>
      <c r="K2289" t="s" s="16">
        <f>HYPERLINK("http://csr.bu.edu/ftp/asl/asllvd/demos/verify_start_end_handshape_annotations//test_auto_move//signs_mov/485.mov","MOV")</f>
        <v>21</v>
      </c>
      <c r="L2289" t="s" s="16">
        <f>HYPERLINK("http://csr.bu.edu/ftp/asl/asllvd/demos/verify_start_end_handshape_annotations//test_auto_move//signs_mov_separ_signers/Naomi_485.mov","MOV")</f>
        <v>21</v>
      </c>
      <c r="M2289" t="s" s="10">
        <v>29</v>
      </c>
      <c r="N2289" s="17">
        <v>51</v>
      </c>
      <c r="O2289" s="18">
        <v>2070</v>
      </c>
      <c r="P2289" s="18">
        <v>2085</v>
      </c>
      <c r="Q2289" t="s" s="16">
        <f>HYPERLINK("http://secrets.rutgers.edu:8080/data/asl-ftp/asllvd/demos/verify_start_end_handshape_annotations//test_auto_move//signs_mov/485.mov","MOV")</f>
        <v>21</v>
      </c>
      <c r="R2289" t="s" s="16">
        <f>HYPERLINK("http://secrets.rutgers.edu:8080/data/asl-ftp/asllvd/demos/verify_start_end_handshape_annotations//test_auto_move//signs_mov_separ_signers/Naomi_485.mov","MOV")</f>
        <v>21</v>
      </c>
    </row>
    <row r="2290" s="2" customFormat="1" ht="13.5" customHeight="1">
      <c r="B2290" s="13"/>
      <c r="C2290" t="s" s="9">
        <v>30</v>
      </c>
      <c r="D2290" t="s" s="8">
        <v>811</v>
      </c>
      <c r="E2290" t="s" s="9">
        <v>811</v>
      </c>
      <c r="F2290" t="s" s="10">
        <v>25</v>
      </c>
      <c r="G2290" s="14"/>
      <c r="H2290" t="s" s="10">
        <v>25</v>
      </c>
      <c r="I2290" s="14"/>
      <c r="J2290" t="s" s="11">
        <v>20</v>
      </c>
      <c r="K2290" s="15"/>
      <c r="L2290" t="s" s="16">
        <f>HYPERLINK("http://csr.bu.edu/ftp/asl/asllvd/demos/verify_start_end_handshape_annotations//test_auto_move//signs_mov_separ_signers/Brady_485.mov","MOV")</f>
        <v>21</v>
      </c>
      <c r="M2290" t="s" s="10">
        <v>31</v>
      </c>
      <c r="N2290" s="17">
        <v>28</v>
      </c>
      <c r="O2290" s="18">
        <v>12182</v>
      </c>
      <c r="P2290" s="18">
        <v>12205</v>
      </c>
      <c r="Q2290" s="15"/>
      <c r="R2290" t="s" s="16">
        <f>HYPERLINK("http://secrets.rutgers.edu:8080/data/asl-ftp/asllvd/demos/verify_start_end_handshape_annotations//test_auto_move//signs_mov_separ_signers/Brady_485.mov","MOV")</f>
        <v>21</v>
      </c>
    </row>
    <row r="2291" s="2" customFormat="1" ht="13.5" customHeight="1">
      <c r="B2291" s="13"/>
      <c r="C2291" t="s" s="9">
        <v>41</v>
      </c>
      <c r="D2291" t="s" s="8">
        <v>811</v>
      </c>
      <c r="E2291" t="s" s="9">
        <v>811</v>
      </c>
      <c r="F2291" t="s" s="10">
        <v>25</v>
      </c>
      <c r="G2291" s="14"/>
      <c r="H2291" t="s" s="10">
        <v>25</v>
      </c>
      <c r="I2291" s="14"/>
      <c r="J2291" t="s" s="11">
        <v>20</v>
      </c>
      <c r="K2291" s="15"/>
      <c r="L2291" t="s" s="16">
        <f>HYPERLINK("http://csr.bu.edu/ftp/asl/asllvd/demos/verify_start_end_handshape_annotations//test_auto_move//signs_mov_separ_signers/Lana_485.mov","MOV")</f>
        <v>21</v>
      </c>
      <c r="M2291" t="s" s="10">
        <v>42</v>
      </c>
      <c r="N2291" s="17">
        <v>5</v>
      </c>
      <c r="O2291" s="18">
        <v>2388</v>
      </c>
      <c r="P2291" s="18">
        <v>2406</v>
      </c>
      <c r="Q2291" s="15"/>
      <c r="R2291" t="s" s="16">
        <f>HYPERLINK("http://secrets.rutgers.edu:8080/data/asl-ftp/asllvd/demos/verify_start_end_handshape_annotations//test_auto_move//signs_mov_separ_signers/Lana_485.mov","MOV")</f>
        <v>21</v>
      </c>
    </row>
    <row r="2292" s="2" customFormat="1" ht="13.5" customHeight="1">
      <c r="B2292" t="s" s="8">
        <v>812</v>
      </c>
      <c r="C2292" t="s" s="9">
        <v>14</v>
      </c>
      <c r="D2292" t="s" s="8">
        <v>14</v>
      </c>
      <c r="E2292" t="s" s="9">
        <v>14</v>
      </c>
      <c r="F2292" t="s" s="10">
        <v>14</v>
      </c>
      <c r="G2292" t="s" s="11">
        <v>14</v>
      </c>
      <c r="H2292" t="s" s="10">
        <v>14</v>
      </c>
      <c r="I2292" t="s" s="11">
        <v>14</v>
      </c>
      <c r="J2292" t="s" s="11">
        <v>14</v>
      </c>
      <c r="K2292" t="s" s="12">
        <v>14</v>
      </c>
      <c r="L2292" t="s" s="12">
        <v>14</v>
      </c>
      <c r="M2292" t="s" s="10">
        <v>14</v>
      </c>
      <c r="N2292" t="s" s="11">
        <v>14</v>
      </c>
      <c r="O2292" t="s" s="8">
        <v>14</v>
      </c>
      <c r="P2292" t="s" s="8">
        <v>14</v>
      </c>
      <c r="Q2292" t="s" s="12">
        <v>14</v>
      </c>
      <c r="R2292" t="s" s="12">
        <v>14</v>
      </c>
    </row>
    <row r="2293" s="2" customFormat="1" ht="13.5" customHeight="1">
      <c r="B2293" s="13"/>
      <c r="C2293" t="s" s="9">
        <v>43</v>
      </c>
      <c r="D2293" t="s" s="8">
        <v>812</v>
      </c>
      <c r="E2293" t="s" s="9">
        <v>812</v>
      </c>
      <c r="F2293" t="s" s="10">
        <v>185</v>
      </c>
      <c r="G2293" s="14"/>
      <c r="H2293" t="s" s="10">
        <v>115</v>
      </c>
      <c r="I2293" s="14"/>
      <c r="J2293" t="s" s="11">
        <v>20</v>
      </c>
      <c r="K2293" t="s" s="16">
        <f>HYPERLINK("http://csr.bu.edu/ftp/asl/asllvd/demos/verify_start_end_handshape_annotations//test_auto_move//signs_mov/5846.mov","MOV")</f>
        <v>21</v>
      </c>
      <c r="L2293" t="s" s="16">
        <f>HYPERLINK("http://csr.bu.edu/ftp/asl/asllvd/demos/verify_start_end_handshape_annotations//test_auto_move//signs_mov_separ_signers/Dana_5846.mov","MOV")</f>
        <v>21</v>
      </c>
      <c r="M2293" t="s" s="10">
        <v>44</v>
      </c>
      <c r="N2293" s="17">
        <v>9</v>
      </c>
      <c r="O2293" s="18">
        <v>2583</v>
      </c>
      <c r="P2293" s="18">
        <v>2626</v>
      </c>
      <c r="Q2293" t="s" s="16">
        <f>HYPERLINK("http://secrets.rutgers.edu:8080/data/asl-ftp/asllvd/demos/verify_start_end_handshape_annotations//test_auto_move//signs_mov/5846.mov","MOV")</f>
        <v>21</v>
      </c>
      <c r="R2293" t="s" s="16">
        <f>HYPERLINK("http://secrets.rutgers.edu:8080/data/asl-ftp/asllvd/demos/verify_start_end_handshape_annotations//test_auto_move//signs_mov_separ_signers/Dana_5846.mov","MOV")</f>
        <v>21</v>
      </c>
    </row>
    <row r="2294" s="2" customFormat="1" ht="13.5" customHeight="1">
      <c r="B2294" t="s" s="8">
        <v>813</v>
      </c>
      <c r="C2294" t="s" s="9">
        <v>14</v>
      </c>
      <c r="D2294" t="s" s="8">
        <v>14</v>
      </c>
      <c r="E2294" t="s" s="9">
        <v>14</v>
      </c>
      <c r="F2294" t="s" s="10">
        <v>14</v>
      </c>
      <c r="G2294" t="s" s="11">
        <v>14</v>
      </c>
      <c r="H2294" t="s" s="10">
        <v>14</v>
      </c>
      <c r="I2294" t="s" s="11">
        <v>14</v>
      </c>
      <c r="J2294" t="s" s="11">
        <v>14</v>
      </c>
      <c r="K2294" t="s" s="12">
        <v>14</v>
      </c>
      <c r="L2294" t="s" s="12">
        <v>14</v>
      </c>
      <c r="M2294" t="s" s="10">
        <v>14</v>
      </c>
      <c r="N2294" t="s" s="11">
        <v>14</v>
      </c>
      <c r="O2294" t="s" s="8">
        <v>14</v>
      </c>
      <c r="P2294" t="s" s="8">
        <v>14</v>
      </c>
      <c r="Q2294" t="s" s="12">
        <v>14</v>
      </c>
      <c r="R2294" t="s" s="12">
        <v>14</v>
      </c>
    </row>
    <row r="2295" s="2" customFormat="1" ht="13.5" customHeight="1">
      <c r="B2295" s="13"/>
      <c r="C2295" t="s" s="9">
        <v>16</v>
      </c>
      <c r="D2295" t="s" s="8">
        <v>813</v>
      </c>
      <c r="E2295" t="s" s="9">
        <v>813</v>
      </c>
      <c r="F2295" t="s" s="10">
        <v>68</v>
      </c>
      <c r="G2295" t="s" s="11">
        <v>68</v>
      </c>
      <c r="H2295" t="s" s="10">
        <v>68</v>
      </c>
      <c r="I2295" t="s" s="11">
        <v>68</v>
      </c>
      <c r="J2295" t="s" s="11">
        <v>20</v>
      </c>
      <c r="K2295" s="15"/>
      <c r="L2295" t="s" s="16">
        <f>HYPERLINK("http://csr.bu.edu/ftp/asl/asllvd/demos/verify_start_end_handshape_annotations//test_auto_move//signs_mov_separ_signers/Liz_487.mov","MOV")</f>
        <v>21</v>
      </c>
      <c r="M2295" t="s" s="10">
        <v>22</v>
      </c>
      <c r="N2295" s="17">
        <v>82</v>
      </c>
      <c r="O2295" s="18">
        <v>2035</v>
      </c>
      <c r="P2295" s="18">
        <v>2070</v>
      </c>
      <c r="Q2295" s="15"/>
      <c r="R2295" t="s" s="16">
        <f>HYPERLINK("http://secrets.rutgers.edu:8080/data/asl-ftp/asllvd/demos/verify_start_end_handshape_annotations//test_auto_move//signs_mov_separ_signers/Liz_487.mov","MOV")</f>
        <v>21</v>
      </c>
    </row>
    <row r="2296" s="2" customFormat="1" ht="13.5" customHeight="1">
      <c r="B2296" s="13"/>
      <c r="C2296" t="s" s="9">
        <v>16</v>
      </c>
      <c r="D2296" t="s" s="8">
        <v>813</v>
      </c>
      <c r="E2296" t="s" s="9">
        <v>813</v>
      </c>
      <c r="F2296" t="s" s="10">
        <v>68</v>
      </c>
      <c r="G2296" t="s" s="11">
        <v>68</v>
      </c>
      <c r="H2296" t="s" s="10">
        <v>68</v>
      </c>
      <c r="I2296" t="s" s="11">
        <v>68</v>
      </c>
      <c r="J2296" t="s" s="11">
        <v>20</v>
      </c>
      <c r="K2296" s="15"/>
      <c r="L2296" t="s" s="16">
        <f>HYPERLINK("http://csr.bu.edu/ftp/asl/asllvd/demos/verify_start_end_handshape_annotations//test_auto_move//signs_mov_separ_signers/Liz_3427.mov","MOV")</f>
        <v>21</v>
      </c>
      <c r="M2296" t="s" s="10">
        <v>36</v>
      </c>
      <c r="N2296" s="17">
        <v>8</v>
      </c>
      <c r="O2296" s="18">
        <v>2136</v>
      </c>
      <c r="P2296" s="18">
        <v>2180</v>
      </c>
      <c r="Q2296" s="15"/>
      <c r="R2296" t="s" s="16">
        <f>HYPERLINK("http://secrets.rutgers.edu:8080/data/asl-ftp/asllvd/demos/verify_start_end_handshape_annotations//test_auto_move//signs_mov_separ_signers/Liz_3427.mov","MOV")</f>
        <v>21</v>
      </c>
    </row>
    <row r="2297" s="2" customFormat="1" ht="13.5" customHeight="1">
      <c r="B2297" s="13"/>
      <c r="C2297" t="s" s="9">
        <v>23</v>
      </c>
      <c r="D2297" t="s" s="8">
        <v>813</v>
      </c>
      <c r="E2297" t="s" s="9">
        <v>813</v>
      </c>
      <c r="F2297" t="s" s="10">
        <v>68</v>
      </c>
      <c r="G2297" t="s" s="11">
        <v>68</v>
      </c>
      <c r="H2297" t="s" s="10">
        <v>68</v>
      </c>
      <c r="I2297" t="s" s="11">
        <v>68</v>
      </c>
      <c r="J2297" t="s" s="11">
        <v>20</v>
      </c>
      <c r="K2297" s="15"/>
      <c r="L2297" t="s" s="16">
        <f>HYPERLINK("http://csr.bu.edu/ftp/asl/asllvd/demos/verify_start_end_handshape_annotations//test_auto_move//signs_mov_separ_signers/Tyler_487.mov","MOV")</f>
        <v>21</v>
      </c>
      <c r="M2297" t="s" s="10">
        <v>26</v>
      </c>
      <c r="N2297" s="17">
        <v>49</v>
      </c>
      <c r="O2297" s="18">
        <v>1481</v>
      </c>
      <c r="P2297" s="18">
        <v>1537</v>
      </c>
      <c r="Q2297" s="15"/>
      <c r="R2297" t="s" s="16">
        <f>HYPERLINK("http://secrets.rutgers.edu:8080/data/asl-ftp/asllvd/demos/verify_start_end_handshape_annotations//test_auto_move//signs_mov_separ_signers/Tyler_487.mov","MOV")</f>
        <v>21</v>
      </c>
    </row>
    <row r="2298" s="2" customFormat="1" ht="13.5" customHeight="1">
      <c r="B2298" s="13"/>
      <c r="C2298" t="s" s="9">
        <v>27</v>
      </c>
      <c r="D2298" t="s" s="8">
        <v>813</v>
      </c>
      <c r="E2298" t="s" s="9">
        <v>813</v>
      </c>
      <c r="F2298" t="s" s="10">
        <v>68</v>
      </c>
      <c r="G2298" t="s" s="11">
        <v>68</v>
      </c>
      <c r="H2298" t="s" s="10">
        <v>68</v>
      </c>
      <c r="I2298" t="s" s="11">
        <v>68</v>
      </c>
      <c r="J2298" t="s" s="11">
        <v>20</v>
      </c>
      <c r="K2298" t="s" s="16">
        <f>HYPERLINK("http://csr.bu.edu/ftp/asl/asllvd/demos/verify_start_end_handshape_annotations//test_auto_move//signs_mov/487_3427_5917_merged.mov","MOV")</f>
        <v>21</v>
      </c>
      <c r="L2298" t="s" s="16">
        <f>HYPERLINK("http://csr.bu.edu/ftp/asl/asllvd/demos/verify_start_end_handshape_annotations//test_auto_move//signs_mov_separ_signers/Naomi_487.mov","MOV")</f>
        <v>21</v>
      </c>
      <c r="M2298" t="s" s="10">
        <v>29</v>
      </c>
      <c r="N2298" s="17">
        <v>51</v>
      </c>
      <c r="O2298" s="18">
        <v>2705</v>
      </c>
      <c r="P2298" s="18">
        <v>2731</v>
      </c>
      <c r="Q2298" t="s" s="16">
        <f>HYPERLINK("http://secrets.rutgers.edu:8080/data/asl-ftp/asllvd/demos/verify_start_end_handshape_annotations//test_auto_move//signs_mov/487_3427_5917_merged.mov","MOV")</f>
        <v>21</v>
      </c>
      <c r="R2298" t="s" s="16">
        <f>HYPERLINK("http://secrets.rutgers.edu:8080/data/asl-ftp/asllvd/demos/verify_start_end_handshape_annotations//test_auto_move//signs_mov_separ_signers/Naomi_487.mov","MOV")</f>
        <v>21</v>
      </c>
    </row>
    <row r="2299" s="2" customFormat="1" ht="13.5" customHeight="1">
      <c r="B2299" s="13"/>
      <c r="C2299" t="s" s="9">
        <v>30</v>
      </c>
      <c r="D2299" t="s" s="8">
        <v>813</v>
      </c>
      <c r="E2299" t="s" s="9">
        <v>813</v>
      </c>
      <c r="F2299" t="s" s="10">
        <v>68</v>
      </c>
      <c r="G2299" t="s" s="11">
        <v>68</v>
      </c>
      <c r="H2299" t="s" s="10">
        <v>68</v>
      </c>
      <c r="I2299" t="s" s="11">
        <v>68</v>
      </c>
      <c r="J2299" t="s" s="11">
        <v>20</v>
      </c>
      <c r="K2299" s="15"/>
      <c r="L2299" t="s" s="16">
        <f>HYPERLINK("http://csr.bu.edu/ftp/asl/asllvd/demos/verify_start_end_handshape_annotations//test_auto_move//signs_mov_separ_signers/Brady_487.mov","MOV")</f>
        <v>21</v>
      </c>
      <c r="M2299" t="s" s="10">
        <v>31</v>
      </c>
      <c r="N2299" s="17">
        <v>28</v>
      </c>
      <c r="O2299" s="18">
        <v>13544</v>
      </c>
      <c r="P2299" s="18">
        <v>13577</v>
      </c>
      <c r="Q2299" s="15"/>
      <c r="R2299" t="s" s="16">
        <f>HYPERLINK("http://secrets.rutgers.edu:8080/data/asl-ftp/asllvd/demos/verify_start_end_handshape_annotations//test_auto_move//signs_mov_separ_signers/Brady_487.mov","MOV")</f>
        <v>21</v>
      </c>
    </row>
    <row r="2300" s="2" customFormat="1" ht="13.5" customHeight="1">
      <c r="B2300" s="13"/>
      <c r="C2300" t="s" s="9">
        <v>30</v>
      </c>
      <c r="D2300" t="s" s="8">
        <v>813</v>
      </c>
      <c r="E2300" t="s" s="9">
        <v>813</v>
      </c>
      <c r="F2300" t="s" s="10">
        <v>68</v>
      </c>
      <c r="G2300" t="s" s="11">
        <v>68</v>
      </c>
      <c r="H2300" t="s" s="10">
        <v>68</v>
      </c>
      <c r="I2300" t="s" s="11">
        <v>68</v>
      </c>
      <c r="J2300" t="s" s="11">
        <v>20</v>
      </c>
      <c r="K2300" s="15"/>
      <c r="L2300" t="s" s="16">
        <f>HYPERLINK("http://csr.bu.edu/ftp/asl/asllvd/demos/verify_start_end_handshape_annotations//test_auto_move//signs_mov_separ_signers/Brady_3427.mov","MOV")</f>
        <v>21</v>
      </c>
      <c r="M2300" t="s" s="10">
        <v>40</v>
      </c>
      <c r="N2300" s="17">
        <v>53</v>
      </c>
      <c r="O2300" s="18">
        <v>858</v>
      </c>
      <c r="P2300" s="18">
        <v>886</v>
      </c>
      <c r="Q2300" s="15"/>
      <c r="R2300" t="s" s="16">
        <f>HYPERLINK("http://secrets.rutgers.edu:8080/data/asl-ftp/asllvd/demos/verify_start_end_handshape_annotations//test_auto_move//signs_mov_separ_signers/Brady_3427.mov","MOV")</f>
        <v>21</v>
      </c>
    </row>
    <row r="2301" s="2" customFormat="1" ht="13.5" customHeight="1">
      <c r="B2301" s="13"/>
      <c r="C2301" t="s" s="9">
        <v>30</v>
      </c>
      <c r="D2301" t="s" s="8">
        <v>813</v>
      </c>
      <c r="E2301" t="s" s="9">
        <v>813</v>
      </c>
      <c r="F2301" t="s" s="10">
        <v>68</v>
      </c>
      <c r="G2301" t="s" s="11">
        <v>68</v>
      </c>
      <c r="H2301" t="s" s="10">
        <v>68</v>
      </c>
      <c r="I2301" t="s" s="11">
        <v>68</v>
      </c>
      <c r="J2301" t="s" s="11">
        <v>20</v>
      </c>
      <c r="K2301" s="15"/>
      <c r="L2301" t="s" s="16">
        <f>HYPERLINK("http://csr.bu.edu/ftp/asl/asllvd/demos/verify_start_end_handshape_annotations//test_auto_move//signs_mov_separ_signers/Brady_5917.mov","MOV")</f>
        <v>21</v>
      </c>
      <c r="M2301" t="s" s="10">
        <v>60</v>
      </c>
      <c r="N2301" s="17">
        <v>50</v>
      </c>
      <c r="O2301" s="18">
        <v>2125</v>
      </c>
      <c r="P2301" s="18">
        <v>2167</v>
      </c>
      <c r="Q2301" s="15"/>
      <c r="R2301" t="s" s="16">
        <f>HYPERLINK("http://secrets.rutgers.edu:8080/data/asl-ftp/asllvd/demos/verify_start_end_handshape_annotations//test_auto_move//signs_mov_separ_signers/Brady_5917.mov","MOV")</f>
        <v>21</v>
      </c>
    </row>
    <row r="2302" s="2" customFormat="1" ht="13.5" customHeight="1">
      <c r="B2302" s="13"/>
      <c r="C2302" t="s" s="9">
        <v>41</v>
      </c>
      <c r="D2302" t="s" s="8">
        <v>813</v>
      </c>
      <c r="E2302" t="s" s="9">
        <v>813</v>
      </c>
      <c r="F2302" t="s" s="10">
        <v>68</v>
      </c>
      <c r="G2302" t="s" s="11">
        <v>68</v>
      </c>
      <c r="H2302" t="s" s="10">
        <v>68</v>
      </c>
      <c r="I2302" t="s" s="11">
        <v>68</v>
      </c>
      <c r="J2302" t="s" s="11">
        <v>20</v>
      </c>
      <c r="K2302" s="15"/>
      <c r="L2302" t="s" s="16">
        <f>HYPERLINK("http://csr.bu.edu/ftp/asl/asllvd/demos/verify_start_end_handshape_annotations//test_auto_move//signs_mov_separ_signers/Lana_487.mov","MOV")</f>
        <v>21</v>
      </c>
      <c r="M2302" t="s" s="10">
        <v>442</v>
      </c>
      <c r="N2302" s="17">
        <v>61</v>
      </c>
      <c r="O2302" s="18">
        <v>988</v>
      </c>
      <c r="P2302" s="18">
        <v>1025</v>
      </c>
      <c r="Q2302" s="15"/>
      <c r="R2302" t="s" s="16">
        <f>HYPERLINK("http://secrets.rutgers.edu:8080/data/asl-ftp/asllvd/demos/verify_start_end_handshape_annotations//test_auto_move//signs_mov_separ_signers/Lana_487.mov","MOV")</f>
        <v>21</v>
      </c>
    </row>
    <row r="2303" s="2" customFormat="1" ht="13.5" customHeight="1">
      <c r="B2303" t="s" s="8">
        <v>814</v>
      </c>
      <c r="C2303" t="s" s="9">
        <v>14</v>
      </c>
      <c r="D2303" t="s" s="8">
        <v>14</v>
      </c>
      <c r="E2303" t="s" s="9">
        <v>14</v>
      </c>
      <c r="F2303" t="s" s="10">
        <v>14</v>
      </c>
      <c r="G2303" t="s" s="11">
        <v>14</v>
      </c>
      <c r="H2303" t="s" s="10">
        <v>14</v>
      </c>
      <c r="I2303" t="s" s="11">
        <v>14</v>
      </c>
      <c r="J2303" t="s" s="11">
        <v>14</v>
      </c>
      <c r="K2303" t="s" s="12">
        <v>14</v>
      </c>
      <c r="L2303" t="s" s="12">
        <v>14</v>
      </c>
      <c r="M2303" t="s" s="10">
        <v>14</v>
      </c>
      <c r="N2303" t="s" s="11">
        <v>14</v>
      </c>
      <c r="O2303" t="s" s="8">
        <v>14</v>
      </c>
      <c r="P2303" t="s" s="8">
        <v>14</v>
      </c>
      <c r="Q2303" t="s" s="12">
        <v>14</v>
      </c>
      <c r="R2303" t="s" s="12">
        <v>14</v>
      </c>
    </row>
    <row r="2304" s="2" customFormat="1" ht="13.5" customHeight="1">
      <c r="B2304" s="13"/>
      <c r="C2304" t="s" s="9">
        <v>16</v>
      </c>
      <c r="D2304" t="s" s="8">
        <v>814</v>
      </c>
      <c r="E2304" t="s" s="9">
        <v>815</v>
      </c>
      <c r="F2304" t="s" s="10">
        <v>150</v>
      </c>
      <c r="G2304" t="s" s="11">
        <v>73</v>
      </c>
      <c r="H2304" s="19">
        <v>10</v>
      </c>
      <c r="I2304" t="s" s="11">
        <v>73</v>
      </c>
      <c r="J2304" t="s" s="11">
        <v>20</v>
      </c>
      <c r="K2304" s="15"/>
      <c r="L2304" t="s" s="16">
        <f>HYPERLINK("http://csr.bu.edu/ftp/asl/asllvd/demos/verify_start_end_handshape_annotations//test_auto_move//signs_mov_separ_signers/Liz_490.mov","MOV")</f>
        <v>21</v>
      </c>
      <c r="M2304" t="s" s="10">
        <v>22</v>
      </c>
      <c r="N2304" s="17">
        <v>83</v>
      </c>
      <c r="O2304" s="18">
        <v>926</v>
      </c>
      <c r="P2304" s="18">
        <v>980</v>
      </c>
      <c r="Q2304" s="15"/>
      <c r="R2304" t="s" s="16">
        <f>HYPERLINK("http://secrets.rutgers.edu:8080/data/asl-ftp/asllvd/demos/verify_start_end_handshape_annotations//test_auto_move//signs_mov_separ_signers/Liz_490.mov","MOV")</f>
        <v>21</v>
      </c>
    </row>
    <row r="2305" s="2" customFormat="1" ht="13.5" customHeight="1">
      <c r="B2305" s="13"/>
      <c r="C2305" t="s" s="9">
        <v>16</v>
      </c>
      <c r="D2305" t="s" s="8">
        <v>814</v>
      </c>
      <c r="E2305" t="s" s="9">
        <v>814</v>
      </c>
      <c r="F2305" t="s" s="10">
        <v>72</v>
      </c>
      <c r="G2305" t="s" s="11">
        <v>73</v>
      </c>
      <c r="H2305" t="s" s="10">
        <v>63</v>
      </c>
      <c r="I2305" t="s" s="11">
        <v>73</v>
      </c>
      <c r="J2305" t="s" s="11">
        <v>20</v>
      </c>
      <c r="K2305" s="15"/>
      <c r="L2305" t="s" s="16">
        <f>HYPERLINK("http://csr.bu.edu/ftp/asl/asllvd/demos/verify_start_end_handshape_annotations//test_auto_move//signs_mov_separ_signers/Liz_3387.mov","MOV")</f>
        <v>21</v>
      </c>
      <c r="M2305" t="s" s="10">
        <v>77</v>
      </c>
      <c r="N2305" s="17">
        <v>27</v>
      </c>
      <c r="O2305" s="18">
        <v>475</v>
      </c>
      <c r="P2305" s="18">
        <v>530</v>
      </c>
      <c r="Q2305" s="15"/>
      <c r="R2305" t="s" s="16">
        <f>HYPERLINK("http://secrets.rutgers.edu:8080/data/asl-ftp/asllvd/demos/verify_start_end_handshape_annotations//test_auto_move//signs_mov_separ_signers/Liz_3387.mov","MOV")</f>
        <v>21</v>
      </c>
    </row>
    <row r="2306" s="2" customFormat="1" ht="13.5" customHeight="1">
      <c r="B2306" s="13"/>
      <c r="C2306" t="s" s="9">
        <v>23</v>
      </c>
      <c r="D2306" t="s" s="8">
        <v>814</v>
      </c>
      <c r="E2306" t="s" s="9">
        <v>814</v>
      </c>
      <c r="F2306" t="s" s="10">
        <v>80</v>
      </c>
      <c r="G2306" t="s" s="11">
        <v>73</v>
      </c>
      <c r="H2306" s="19">
        <v>10</v>
      </c>
      <c r="I2306" t="s" s="11">
        <v>73</v>
      </c>
      <c r="J2306" t="s" s="11">
        <v>20</v>
      </c>
      <c r="K2306" s="15"/>
      <c r="L2306" t="s" s="16">
        <f>HYPERLINK("http://csr.bu.edu/ftp/asl/asllvd/demos/verify_start_end_handshape_annotations//test_auto_move//signs_mov_separ_signers/Tyler_490.mov","MOV")</f>
        <v>21</v>
      </c>
      <c r="M2306" t="s" s="10">
        <v>26</v>
      </c>
      <c r="N2306" s="17">
        <v>49</v>
      </c>
      <c r="O2306" s="18">
        <v>2707</v>
      </c>
      <c r="P2306" s="18">
        <v>2750</v>
      </c>
      <c r="Q2306" s="15"/>
      <c r="R2306" t="s" s="16">
        <f>HYPERLINK("http://secrets.rutgers.edu:8080/data/asl-ftp/asllvd/demos/verify_start_end_handshape_annotations//test_auto_move//signs_mov_separ_signers/Tyler_490.mov","MOV")</f>
        <v>21</v>
      </c>
    </row>
    <row r="2307" s="2" customFormat="1" ht="13.5" customHeight="1">
      <c r="B2307" s="13"/>
      <c r="C2307" t="s" s="9">
        <v>23</v>
      </c>
      <c r="D2307" t="s" s="8">
        <v>814</v>
      </c>
      <c r="E2307" t="s" s="9">
        <v>816</v>
      </c>
      <c r="F2307" t="s" s="10">
        <v>150</v>
      </c>
      <c r="G2307" t="s" s="11">
        <v>73</v>
      </c>
      <c r="H2307" s="19">
        <v>10</v>
      </c>
      <c r="I2307" t="s" s="11">
        <v>73</v>
      </c>
      <c r="J2307" t="s" s="11">
        <v>20</v>
      </c>
      <c r="K2307" s="15"/>
      <c r="L2307" t="s" s="16">
        <f>HYPERLINK("http://csr.bu.edu/ftp/asl/asllvd/demos/verify_start_end_handshape_annotations//test_auto_move//signs_mov_separ_signers/Tyler_3387.mov","MOV")</f>
        <v>21</v>
      </c>
      <c r="M2307" t="s" s="10">
        <v>26</v>
      </c>
      <c r="N2307" s="17">
        <v>50</v>
      </c>
      <c r="O2307" s="18">
        <v>863</v>
      </c>
      <c r="P2307" s="18">
        <v>925</v>
      </c>
      <c r="Q2307" s="15"/>
      <c r="R2307" t="s" s="16">
        <f>HYPERLINK("http://secrets.rutgers.edu:8080/data/asl-ftp/asllvd/demos/verify_start_end_handshape_annotations//test_auto_move//signs_mov_separ_signers/Tyler_3387.mov","MOV")</f>
        <v>21</v>
      </c>
    </row>
    <row r="2308" s="2" customFormat="1" ht="13.5" customHeight="1">
      <c r="B2308" s="13"/>
      <c r="C2308" t="s" s="9">
        <v>27</v>
      </c>
      <c r="D2308" t="s" s="8">
        <v>814</v>
      </c>
      <c r="E2308" t="s" s="9">
        <v>814</v>
      </c>
      <c r="F2308" s="19">
        <v>5</v>
      </c>
      <c r="G2308" t="s" s="11">
        <v>73</v>
      </c>
      <c r="H2308" s="19">
        <v>10</v>
      </c>
      <c r="I2308" t="s" s="11">
        <v>73</v>
      </c>
      <c r="J2308" t="s" s="11">
        <v>20</v>
      </c>
      <c r="K2308" t="s" s="16">
        <f>HYPERLINK("http://csr.bu.edu/ftp/asl/asllvd/demos/verify_start_end_handshape_annotations//test_auto_move//signs_mov/490_3387_5657_5658_merged.mov","MOV")</f>
        <v>21</v>
      </c>
      <c r="L2308" t="s" s="16">
        <f>HYPERLINK("http://csr.bu.edu/ftp/asl/asllvd/demos/verify_start_end_handshape_annotations//test_auto_move//signs_mov_separ_signers/Naomi_490.mov","MOV")</f>
        <v>21</v>
      </c>
      <c r="M2308" t="s" s="10">
        <v>29</v>
      </c>
      <c r="N2308" s="17">
        <v>51</v>
      </c>
      <c r="O2308" s="18">
        <v>3445</v>
      </c>
      <c r="P2308" s="18">
        <v>3475</v>
      </c>
      <c r="Q2308" t="s" s="16">
        <f>HYPERLINK("http://secrets.rutgers.edu:8080/data/asl-ftp/asllvd/demos/verify_start_end_handshape_annotations//test_auto_move//signs_mov/490_3387_5657_5658_merged.mov","MOV")</f>
        <v>21</v>
      </c>
      <c r="R2308" t="s" s="16">
        <f>HYPERLINK("http://secrets.rutgers.edu:8080/data/asl-ftp/asllvd/demos/verify_start_end_handshape_annotations//test_auto_move//signs_mov_separ_signers/Naomi_490.mov","MOV")</f>
        <v>21</v>
      </c>
    </row>
    <row r="2309" s="2" customFormat="1" ht="13.5" customHeight="1">
      <c r="B2309" s="13"/>
      <c r="C2309" t="s" s="9">
        <v>27</v>
      </c>
      <c r="D2309" t="s" s="8">
        <v>814</v>
      </c>
      <c r="E2309" t="s" s="9">
        <v>814</v>
      </c>
      <c r="F2309" t="s" s="10">
        <v>72</v>
      </c>
      <c r="G2309" t="s" s="11">
        <v>73</v>
      </c>
      <c r="H2309" s="19">
        <v>10</v>
      </c>
      <c r="I2309" t="s" s="11">
        <v>73</v>
      </c>
      <c r="J2309" t="s" s="11">
        <v>20</v>
      </c>
      <c r="K2309" s="15"/>
      <c r="L2309" t="s" s="16">
        <f>HYPERLINK("http://csr.bu.edu/ftp/asl/asllvd/demos/verify_start_end_handshape_annotations//test_auto_move//signs_mov_separ_signers/Naomi_3387.mov","MOV")</f>
        <v>21</v>
      </c>
      <c r="M2309" t="s" s="10">
        <v>29</v>
      </c>
      <c r="N2309" s="17">
        <v>52</v>
      </c>
      <c r="O2309" s="18">
        <v>445</v>
      </c>
      <c r="P2309" s="18">
        <v>465</v>
      </c>
      <c r="Q2309" s="15"/>
      <c r="R2309" t="s" s="16">
        <f>HYPERLINK("http://secrets.rutgers.edu:8080/data/asl-ftp/asllvd/demos/verify_start_end_handshape_annotations//test_auto_move//signs_mov_separ_signers/Naomi_3387.mov","MOV")</f>
        <v>21</v>
      </c>
    </row>
    <row r="2310" s="2" customFormat="1" ht="13.5" customHeight="1">
      <c r="B2310" s="13"/>
      <c r="C2310" t="s" s="9">
        <v>30</v>
      </c>
      <c r="D2310" t="s" s="8">
        <v>814</v>
      </c>
      <c r="E2310" t="s" s="9">
        <v>815</v>
      </c>
      <c r="F2310" t="s" s="10">
        <v>72</v>
      </c>
      <c r="G2310" t="s" s="11">
        <v>73</v>
      </c>
      <c r="H2310" t="s" s="10">
        <v>63</v>
      </c>
      <c r="I2310" t="s" s="11">
        <v>73</v>
      </c>
      <c r="J2310" t="s" s="11">
        <v>20</v>
      </c>
      <c r="K2310" s="15"/>
      <c r="L2310" t="s" s="16">
        <f>HYPERLINK("http://csr.bu.edu/ftp/asl/asllvd/demos/verify_start_end_handshape_annotations//test_auto_move//signs_mov_separ_signers/Brady_490.mov","MOV")</f>
        <v>21</v>
      </c>
      <c r="M2310" t="s" s="10">
        <v>31</v>
      </c>
      <c r="N2310" s="17">
        <v>28</v>
      </c>
      <c r="O2310" s="18">
        <v>14575</v>
      </c>
      <c r="P2310" s="18">
        <v>14615</v>
      </c>
      <c r="Q2310" s="15"/>
      <c r="R2310" t="s" s="16">
        <f>HYPERLINK("http://secrets.rutgers.edu:8080/data/asl-ftp/asllvd/demos/verify_start_end_handshape_annotations//test_auto_move//signs_mov_separ_signers/Brady_490.mov","MOV")</f>
        <v>21</v>
      </c>
    </row>
    <row r="2311" s="2" customFormat="1" ht="13.5" customHeight="1">
      <c r="B2311" s="13"/>
      <c r="C2311" t="s" s="9">
        <v>30</v>
      </c>
      <c r="D2311" t="s" s="8">
        <v>814</v>
      </c>
      <c r="E2311" t="s" s="9">
        <v>815</v>
      </c>
      <c r="F2311" t="s" s="10">
        <v>187</v>
      </c>
      <c r="G2311" t="s" s="11">
        <v>73</v>
      </c>
      <c r="H2311" t="s" s="10">
        <v>68</v>
      </c>
      <c r="I2311" t="s" s="11">
        <v>73</v>
      </c>
      <c r="J2311" t="s" s="11">
        <v>20</v>
      </c>
      <c r="K2311" s="15"/>
      <c r="L2311" t="s" s="16">
        <f>HYPERLINK("http://csr.bu.edu/ftp/asl/asllvd/demos/verify_start_end_handshape_annotations//test_auto_move//signs_mov_separ_signers/Brady_3387.mov","MOV")</f>
        <v>21</v>
      </c>
      <c r="M2311" t="s" s="10">
        <v>31</v>
      </c>
      <c r="N2311" s="17">
        <v>28</v>
      </c>
      <c r="O2311" s="18">
        <v>14869</v>
      </c>
      <c r="P2311" s="18">
        <v>14910</v>
      </c>
      <c r="Q2311" s="15"/>
      <c r="R2311" t="s" s="16">
        <f>HYPERLINK("http://secrets.rutgers.edu:8080/data/asl-ftp/asllvd/demos/verify_start_end_handshape_annotations//test_auto_move//signs_mov_separ_signers/Brady_3387.mov","MOV")</f>
        <v>21</v>
      </c>
    </row>
    <row r="2312" s="2" customFormat="1" ht="13.5" customHeight="1">
      <c r="B2312" s="13"/>
      <c r="C2312" t="s" s="9">
        <v>30</v>
      </c>
      <c r="D2312" t="s" s="8">
        <v>814</v>
      </c>
      <c r="E2312" t="s" s="9">
        <v>814</v>
      </c>
      <c r="F2312" s="19">
        <v>5</v>
      </c>
      <c r="G2312" t="s" s="11">
        <v>73</v>
      </c>
      <c r="H2312" t="s" s="10">
        <v>68</v>
      </c>
      <c r="I2312" t="s" s="11">
        <v>73</v>
      </c>
      <c r="J2312" t="s" s="11">
        <v>20</v>
      </c>
      <c r="K2312" s="15"/>
      <c r="L2312" t="s" s="16">
        <f>HYPERLINK("http://csr.bu.edu/ftp/asl/asllvd/demos/verify_start_end_handshape_annotations//test_auto_move//signs_mov_separ_signers/Brady_5657.mov","MOV")</f>
        <v>21</v>
      </c>
      <c r="M2312" t="s" s="10">
        <v>31</v>
      </c>
      <c r="N2312" s="17">
        <v>33</v>
      </c>
      <c r="O2312" s="18">
        <v>6574</v>
      </c>
      <c r="P2312" s="18">
        <v>6600</v>
      </c>
      <c r="Q2312" s="15"/>
      <c r="R2312" t="s" s="16">
        <f>HYPERLINK("http://secrets.rutgers.edu:8080/data/asl-ftp/asllvd/demos/verify_start_end_handshape_annotations//test_auto_move//signs_mov_separ_signers/Brady_5657.mov","MOV")</f>
        <v>21</v>
      </c>
    </row>
    <row r="2313" s="2" customFormat="1" ht="13.5" customHeight="1">
      <c r="B2313" s="13"/>
      <c r="C2313" t="s" s="9">
        <v>30</v>
      </c>
      <c r="D2313" t="s" s="8">
        <v>814</v>
      </c>
      <c r="E2313" t="s" s="9">
        <v>814</v>
      </c>
      <c r="F2313" s="19">
        <v>5</v>
      </c>
      <c r="G2313" t="s" s="11">
        <v>73</v>
      </c>
      <c r="H2313" t="s" s="10">
        <v>63</v>
      </c>
      <c r="I2313" t="s" s="11">
        <v>73</v>
      </c>
      <c r="J2313" t="s" s="11">
        <v>20</v>
      </c>
      <c r="K2313" s="15"/>
      <c r="L2313" t="s" s="16">
        <f>HYPERLINK("http://csr.bu.edu/ftp/asl/asllvd/demos/verify_start_end_handshape_annotations//test_auto_move//signs_mov_separ_signers/Brady_5658.mov","MOV")</f>
        <v>21</v>
      </c>
      <c r="M2313" t="s" s="10">
        <v>60</v>
      </c>
      <c r="N2313" s="17">
        <v>44</v>
      </c>
      <c r="O2313" s="18">
        <v>1537</v>
      </c>
      <c r="P2313" s="18">
        <v>1584</v>
      </c>
      <c r="Q2313" s="15"/>
      <c r="R2313" t="s" s="16">
        <f>HYPERLINK("http://secrets.rutgers.edu:8080/data/asl-ftp/asllvd/demos/verify_start_end_handshape_annotations//test_auto_move//signs_mov_separ_signers/Brady_5658.mov","MOV")</f>
        <v>21</v>
      </c>
    </row>
    <row r="2314" s="2" customFormat="1" ht="13.5" customHeight="1">
      <c r="B2314" t="s" s="8">
        <v>52</v>
      </c>
      <c r="C2314" t="s" s="9">
        <v>53</v>
      </c>
      <c r="D2314" t="s" s="8">
        <v>53</v>
      </c>
      <c r="E2314" t="s" s="9">
        <v>53</v>
      </c>
      <c r="F2314" t="s" s="10">
        <v>53</v>
      </c>
      <c r="G2314" t="s" s="11">
        <v>53</v>
      </c>
      <c r="H2314" t="s" s="10">
        <v>53</v>
      </c>
      <c r="I2314" t="s" s="11">
        <v>53</v>
      </c>
      <c r="J2314" t="s" s="11">
        <v>53</v>
      </c>
      <c r="K2314" t="s" s="12">
        <v>53</v>
      </c>
      <c r="L2314" t="s" s="12">
        <v>53</v>
      </c>
      <c r="M2314" t="s" s="10">
        <v>53</v>
      </c>
      <c r="N2314" t="s" s="11">
        <v>53</v>
      </c>
      <c r="O2314" t="s" s="8">
        <v>53</v>
      </c>
      <c r="P2314" t="s" s="8">
        <v>53</v>
      </c>
      <c r="Q2314" t="s" s="12">
        <v>53</v>
      </c>
      <c r="R2314" t="s" s="12">
        <v>53</v>
      </c>
    </row>
    <row r="2315" s="2" customFormat="1" ht="13.5" customHeight="1">
      <c r="B2315" s="13"/>
      <c r="C2315" t="s" s="9">
        <v>16</v>
      </c>
      <c r="D2315" t="s" s="8">
        <v>814</v>
      </c>
      <c r="E2315" t="s" s="9">
        <v>817</v>
      </c>
      <c r="F2315" s="19">
        <v>5</v>
      </c>
      <c r="G2315" t="s" s="11">
        <v>73</v>
      </c>
      <c r="H2315" t="s" s="10">
        <v>150</v>
      </c>
      <c r="I2315" t="s" s="11">
        <v>73</v>
      </c>
      <c r="J2315" t="s" s="11">
        <v>20</v>
      </c>
      <c r="K2315" s="15"/>
      <c r="L2315" t="s" s="16">
        <f>HYPERLINK("http://csr.bu.edu/ftp/asl/asllvd/demos/verify_start_end_handshape_annotations//test_auto_move//signs_mov_separ_signers/Liz_15021.mov","MOV")</f>
        <v>21</v>
      </c>
      <c r="M2315" t="s" s="10">
        <v>22</v>
      </c>
      <c r="N2315" s="17">
        <v>83</v>
      </c>
      <c r="O2315" s="18">
        <v>725</v>
      </c>
      <c r="P2315" s="18">
        <v>780</v>
      </c>
      <c r="Q2315" s="15"/>
      <c r="R2315" t="s" s="16">
        <f>HYPERLINK("http://secrets.rutgers.edu:8080/data/asl-ftp/asllvd/demos/verify_start_end_handshape_annotations//test_auto_move//signs_mov_separ_signers/Liz_15021.mov","MOV")</f>
        <v>21</v>
      </c>
    </row>
    <row r="2316" s="2" customFormat="1" ht="13.5" customHeight="1">
      <c r="B2316" s="13"/>
      <c r="C2316" t="s" s="9">
        <v>16</v>
      </c>
      <c r="D2316" t="s" s="8">
        <v>814</v>
      </c>
      <c r="E2316" t="s" s="9">
        <v>817</v>
      </c>
      <c r="F2316" s="19">
        <v>5</v>
      </c>
      <c r="G2316" t="s" s="11">
        <v>72</v>
      </c>
      <c r="H2316" s="19">
        <v>10</v>
      </c>
      <c r="I2316" t="s" s="11">
        <v>72</v>
      </c>
      <c r="J2316" t="s" s="11">
        <v>20</v>
      </c>
      <c r="K2316" t="s" s="16">
        <f>HYPERLINK("http://csr.bu.edu/ftp/asl/asllvd/demos/verify_start_end_handshape_annotations//test_auto_move//signs_mov/15021_15304_merged.mov","MOV")</f>
        <v>21</v>
      </c>
      <c r="L2316" t="s" s="16">
        <f>HYPERLINK("http://csr.bu.edu/ftp/asl/asllvd/demos/verify_start_end_handshape_annotations//test_auto_move//signs_mov_separ_signers/Liz_15304.mov","MOV")</f>
        <v>21</v>
      </c>
      <c r="M2316" t="s" s="10">
        <v>34</v>
      </c>
      <c r="N2316" s="17">
        <v>19</v>
      </c>
      <c r="O2316" s="18">
        <v>265</v>
      </c>
      <c r="P2316" s="18">
        <v>330</v>
      </c>
      <c r="Q2316" t="s" s="16">
        <f>HYPERLINK("http://secrets.rutgers.edu:8080/data/asl-ftp/asllvd/demos/verify_start_end_handshape_annotations//test_auto_move//signs_mov/15021_15304_merged.mov","MOV")</f>
        <v>21</v>
      </c>
      <c r="R2316" t="s" s="16">
        <f>HYPERLINK("http://secrets.rutgers.edu:8080/data/asl-ftp/asllvd/demos/verify_start_end_handshape_annotations//test_auto_move//signs_mov_separ_signers/Liz_15304.mov","MOV")</f>
        <v>21</v>
      </c>
    </row>
    <row r="2317" s="2" customFormat="1" ht="13.5" customHeight="1">
      <c r="B2317" s="13"/>
      <c r="C2317" t="s" s="9">
        <v>27</v>
      </c>
      <c r="D2317" t="s" s="8">
        <v>814</v>
      </c>
      <c r="E2317" t="s" s="9">
        <v>817</v>
      </c>
      <c r="F2317" s="19">
        <v>5</v>
      </c>
      <c r="G2317" t="s" s="11">
        <v>73</v>
      </c>
      <c r="H2317" s="19">
        <v>10</v>
      </c>
      <c r="I2317" t="s" s="11">
        <v>73</v>
      </c>
      <c r="J2317" t="s" s="11">
        <v>20</v>
      </c>
      <c r="K2317" s="15"/>
      <c r="L2317" t="s" s="16">
        <f>HYPERLINK("http://csr.bu.edu/ftp/asl/asllvd/demos/verify_start_end_handshape_annotations//test_auto_move//signs_mov_separ_signers/Naomi_15021.mov","MOV")</f>
        <v>21</v>
      </c>
      <c r="M2317" t="s" s="10">
        <v>38</v>
      </c>
      <c r="N2317" s="17">
        <v>14</v>
      </c>
      <c r="O2317" s="18">
        <v>4471</v>
      </c>
      <c r="P2317" s="18">
        <v>4518</v>
      </c>
      <c r="Q2317" s="15"/>
      <c r="R2317" t="s" s="16">
        <f>HYPERLINK("http://secrets.rutgers.edu:8080/data/asl-ftp/asllvd/demos/verify_start_end_handshape_annotations//test_auto_move//signs_mov_separ_signers/Naomi_15021.mov","MOV")</f>
        <v>21</v>
      </c>
    </row>
    <row r="2318" s="2" customFormat="1" ht="13.5" customHeight="1">
      <c r="B2318" s="13"/>
      <c r="C2318" t="s" s="9">
        <v>30</v>
      </c>
      <c r="D2318" t="s" s="8">
        <v>814</v>
      </c>
      <c r="E2318" t="s" s="9">
        <v>817</v>
      </c>
      <c r="F2318" t="s" s="10">
        <v>72</v>
      </c>
      <c r="G2318" t="s" s="11">
        <v>73</v>
      </c>
      <c r="H2318" t="s" s="10">
        <v>68</v>
      </c>
      <c r="I2318" t="s" s="11">
        <v>73</v>
      </c>
      <c r="J2318" t="s" s="11">
        <v>20</v>
      </c>
      <c r="K2318" s="15"/>
      <c r="L2318" t="s" s="16">
        <f>HYPERLINK("http://csr.bu.edu/ftp/asl/asllvd/demos/verify_start_end_handshape_annotations//test_auto_move//signs_mov_separ_signers/Brady_15021.mov","MOV")</f>
        <v>21</v>
      </c>
      <c r="M2318" t="s" s="10">
        <v>39</v>
      </c>
      <c r="N2318" s="17">
        <v>32</v>
      </c>
      <c r="O2318" s="18">
        <v>1980</v>
      </c>
      <c r="P2318" s="18">
        <v>2045</v>
      </c>
      <c r="Q2318" s="15"/>
      <c r="R2318" t="s" s="16">
        <f>HYPERLINK("http://secrets.rutgers.edu:8080/data/asl-ftp/asllvd/demos/verify_start_end_handshape_annotations//test_auto_move//signs_mov_separ_signers/Brady_15021.mov","MOV")</f>
        <v>21</v>
      </c>
    </row>
    <row r="2319" s="2" customFormat="1" ht="13.5" customHeight="1">
      <c r="B2319" t="s" s="8">
        <v>818</v>
      </c>
      <c r="C2319" t="s" s="9">
        <v>14</v>
      </c>
      <c r="D2319" t="s" s="8">
        <v>14</v>
      </c>
      <c r="E2319" t="s" s="9">
        <v>14</v>
      </c>
      <c r="F2319" t="s" s="10">
        <v>14</v>
      </c>
      <c r="G2319" t="s" s="11">
        <v>14</v>
      </c>
      <c r="H2319" t="s" s="10">
        <v>14</v>
      </c>
      <c r="I2319" t="s" s="11">
        <v>14</v>
      </c>
      <c r="J2319" t="s" s="11">
        <v>14</v>
      </c>
      <c r="K2319" t="s" s="12">
        <v>14</v>
      </c>
      <c r="L2319" t="s" s="12">
        <v>14</v>
      </c>
      <c r="M2319" t="s" s="10">
        <v>14</v>
      </c>
      <c r="N2319" t="s" s="11">
        <v>14</v>
      </c>
      <c r="O2319" t="s" s="8">
        <v>14</v>
      </c>
      <c r="P2319" t="s" s="8">
        <v>14</v>
      </c>
      <c r="Q2319" t="s" s="12">
        <v>14</v>
      </c>
      <c r="R2319" t="s" s="12">
        <v>14</v>
      </c>
    </row>
    <row r="2320" s="2" customFormat="1" ht="13.5" customHeight="1">
      <c r="B2320" s="13"/>
      <c r="C2320" t="s" s="9">
        <v>16</v>
      </c>
      <c r="D2320" t="s" s="8">
        <v>818</v>
      </c>
      <c r="E2320" t="s" s="9">
        <v>818</v>
      </c>
      <c r="F2320" t="s" s="10">
        <v>73</v>
      </c>
      <c r="G2320" t="s" s="11">
        <v>73</v>
      </c>
      <c r="H2320" s="19">
        <v>10</v>
      </c>
      <c r="I2320" t="s" s="11">
        <v>73</v>
      </c>
      <c r="J2320" t="s" s="11">
        <v>20</v>
      </c>
      <c r="K2320" s="15"/>
      <c r="L2320" t="s" s="16">
        <f>HYPERLINK("http://csr.bu.edu/ftp/asl/asllvd/demos/verify_start_end_handshape_annotations//test_auto_move//signs_mov_separ_signers/Liz_16572.mov","MOV")</f>
        <v>21</v>
      </c>
      <c r="M2320" t="s" s="10">
        <v>84</v>
      </c>
      <c r="N2320" s="17">
        <v>8</v>
      </c>
      <c r="O2320" s="18">
        <v>3026</v>
      </c>
      <c r="P2320" s="18">
        <v>3075</v>
      </c>
      <c r="Q2320" s="15"/>
      <c r="R2320" t="s" s="16">
        <f>HYPERLINK("http://secrets.rutgers.edu:8080/data/asl-ftp/asllvd/demos/verify_start_end_handshape_annotations//test_auto_move//signs_mov_separ_signers/Liz_16572.mov","MOV")</f>
        <v>21</v>
      </c>
    </row>
    <row r="2321" s="2" customFormat="1" ht="13.5" customHeight="1">
      <c r="B2321" s="13"/>
      <c r="C2321" t="s" s="9">
        <v>23</v>
      </c>
      <c r="D2321" t="s" s="8">
        <v>818</v>
      </c>
      <c r="E2321" t="s" s="9">
        <v>818</v>
      </c>
      <c r="F2321" t="s" s="10">
        <v>72</v>
      </c>
      <c r="G2321" t="s" s="11">
        <v>73</v>
      </c>
      <c r="H2321" s="19">
        <v>10</v>
      </c>
      <c r="I2321" t="s" s="11">
        <v>73</v>
      </c>
      <c r="J2321" t="s" s="11">
        <v>20</v>
      </c>
      <c r="K2321" t="s" s="16">
        <f>HYPERLINK("http://csr.bu.edu/ftp/asl/asllvd/demos/verify_start_end_handshape_annotations//test_auto_move//signs_mov/16572.mov","MOV")</f>
        <v>21</v>
      </c>
      <c r="L2321" t="s" s="16">
        <f>HYPERLINK("http://csr.bu.edu/ftp/asl/asllvd/demos/verify_start_end_handshape_annotations//test_auto_move//signs_mov_separ_signers/Tyler_16572.mov","MOV")</f>
        <v>21</v>
      </c>
      <c r="M2321" t="s" s="10">
        <v>125</v>
      </c>
      <c r="N2321" s="17">
        <v>8</v>
      </c>
      <c r="O2321" s="18">
        <v>3852</v>
      </c>
      <c r="P2321" s="18">
        <v>3885</v>
      </c>
      <c r="Q2321" t="s" s="16">
        <f>HYPERLINK("http://secrets.rutgers.edu:8080/data/asl-ftp/asllvd/demos/verify_start_end_handshape_annotations//test_auto_move//signs_mov/16572.mov","MOV")</f>
        <v>21</v>
      </c>
      <c r="R2321" t="s" s="16">
        <f>HYPERLINK("http://secrets.rutgers.edu:8080/data/asl-ftp/asllvd/demos/verify_start_end_handshape_annotations//test_auto_move//signs_mov_separ_signers/Tyler_16572.mov","MOV")</f>
        <v>21</v>
      </c>
    </row>
    <row r="2322" s="2" customFormat="1" ht="13.5" customHeight="1">
      <c r="B2322" s="13"/>
      <c r="C2322" t="s" s="9">
        <v>27</v>
      </c>
      <c r="D2322" t="s" s="8">
        <v>818</v>
      </c>
      <c r="E2322" t="s" s="9">
        <v>818</v>
      </c>
      <c r="F2322" t="s" s="10">
        <v>72</v>
      </c>
      <c r="G2322" t="s" s="11">
        <v>73</v>
      </c>
      <c r="H2322" t="s" s="10">
        <v>63</v>
      </c>
      <c r="I2322" t="s" s="11">
        <v>73</v>
      </c>
      <c r="J2322" t="s" s="11">
        <v>20</v>
      </c>
      <c r="K2322" s="15"/>
      <c r="L2322" t="s" s="16">
        <f>HYPERLINK("http://csr.bu.edu/ftp/asl/asllvd/demos/verify_start_end_handshape_annotations//test_auto_move//signs_mov_separ_signers/Naomi_16572.mov","MOV")</f>
        <v>21</v>
      </c>
      <c r="M2322" t="s" s="10">
        <v>86</v>
      </c>
      <c r="N2322" s="17">
        <v>8</v>
      </c>
      <c r="O2322" s="18">
        <v>4311</v>
      </c>
      <c r="P2322" s="18">
        <v>4350</v>
      </c>
      <c r="Q2322" s="15"/>
      <c r="R2322" t="s" s="16">
        <f>HYPERLINK("http://secrets.rutgers.edu:8080/data/asl-ftp/asllvd/demos/verify_start_end_handshape_annotations//test_auto_move//signs_mov_separ_signers/Naomi_16572.mov","MOV")</f>
        <v>21</v>
      </c>
    </row>
    <row r="2323" s="2" customFormat="1" ht="13.5" customHeight="1">
      <c r="B2323" s="13"/>
      <c r="C2323" t="s" s="9">
        <v>30</v>
      </c>
      <c r="D2323" t="s" s="8">
        <v>818</v>
      </c>
      <c r="E2323" t="s" s="9">
        <v>818</v>
      </c>
      <c r="F2323" s="19">
        <v>5</v>
      </c>
      <c r="G2323" t="s" s="11">
        <v>73</v>
      </c>
      <c r="H2323" t="s" s="10">
        <v>68</v>
      </c>
      <c r="I2323" t="s" s="11">
        <v>73</v>
      </c>
      <c r="J2323" t="s" s="11">
        <v>20</v>
      </c>
      <c r="K2323" s="15"/>
      <c r="L2323" t="s" s="16">
        <f>HYPERLINK("http://csr.bu.edu/ftp/asl/asllvd/demos/verify_start_end_handshape_annotations//test_auto_move//signs_mov_separ_signers/Brady_16572.mov","MOV")</f>
        <v>21</v>
      </c>
      <c r="M2323" t="s" s="10">
        <v>31</v>
      </c>
      <c r="N2323" s="17">
        <v>31</v>
      </c>
      <c r="O2323" s="18">
        <v>6191</v>
      </c>
      <c r="P2323" s="18">
        <v>6218</v>
      </c>
      <c r="Q2323" s="15"/>
      <c r="R2323" t="s" s="16">
        <f>HYPERLINK("http://secrets.rutgers.edu:8080/data/asl-ftp/asllvd/demos/verify_start_end_handshape_annotations//test_auto_move//signs_mov_separ_signers/Brady_16572.mov","MOV")</f>
        <v>21</v>
      </c>
    </row>
    <row r="2324" s="2" customFormat="1" ht="13.5" customHeight="1">
      <c r="B2324" t="s" s="8">
        <v>819</v>
      </c>
      <c r="C2324" t="s" s="9">
        <v>14</v>
      </c>
      <c r="D2324" t="s" s="8">
        <v>14</v>
      </c>
      <c r="E2324" t="s" s="9">
        <v>14</v>
      </c>
      <c r="F2324" t="s" s="10">
        <v>14</v>
      </c>
      <c r="G2324" t="s" s="11">
        <v>14</v>
      </c>
      <c r="H2324" t="s" s="10">
        <v>14</v>
      </c>
      <c r="I2324" t="s" s="11">
        <v>14</v>
      </c>
      <c r="J2324" t="s" s="11">
        <v>14</v>
      </c>
      <c r="K2324" t="s" s="12">
        <v>14</v>
      </c>
      <c r="L2324" t="s" s="12">
        <v>14</v>
      </c>
      <c r="M2324" t="s" s="10">
        <v>14</v>
      </c>
      <c r="N2324" t="s" s="11">
        <v>14</v>
      </c>
      <c r="O2324" t="s" s="8">
        <v>14</v>
      </c>
      <c r="P2324" t="s" s="8">
        <v>14</v>
      </c>
      <c r="Q2324" t="s" s="12">
        <v>14</v>
      </c>
      <c r="R2324" t="s" s="12">
        <v>14</v>
      </c>
    </row>
    <row r="2325" s="2" customFormat="1" ht="13.5" customHeight="1">
      <c r="B2325" s="13"/>
      <c r="C2325" t="s" s="9">
        <v>16</v>
      </c>
      <c r="D2325" t="s" s="8">
        <v>819</v>
      </c>
      <c r="E2325" t="s" s="9">
        <v>819</v>
      </c>
      <c r="F2325" s="19">
        <v>5</v>
      </c>
      <c r="G2325" s="14"/>
      <c r="H2325" s="19">
        <v>5</v>
      </c>
      <c r="I2325" s="14"/>
      <c r="J2325" t="s" s="11">
        <v>20</v>
      </c>
      <c r="K2325" s="15"/>
      <c r="L2325" t="s" s="16">
        <f>HYPERLINK("http://csr.bu.edu/ftp/asl/asllvd/demos/verify_start_end_handshape_annotations//test_auto_move//signs_mov_separ_signers/Liz_492.mov","MOV")</f>
        <v>21</v>
      </c>
      <c r="M2325" t="s" s="10">
        <v>22</v>
      </c>
      <c r="N2325" s="17">
        <v>83</v>
      </c>
      <c r="O2325" s="18">
        <v>1140</v>
      </c>
      <c r="P2325" s="18">
        <v>1175</v>
      </c>
      <c r="Q2325" s="15"/>
      <c r="R2325" t="s" s="16">
        <f>HYPERLINK("http://secrets.rutgers.edu:8080/data/asl-ftp/asllvd/demos/verify_start_end_handshape_annotations//test_auto_move//signs_mov_separ_signers/Liz_492.mov","MOV")</f>
        <v>21</v>
      </c>
    </row>
    <row r="2326" s="2" customFormat="1" ht="13.5" customHeight="1">
      <c r="B2326" s="13"/>
      <c r="C2326" t="s" s="9">
        <v>23</v>
      </c>
      <c r="D2326" t="s" s="8">
        <v>819</v>
      </c>
      <c r="E2326" t="s" s="9">
        <v>819</v>
      </c>
      <c r="F2326" s="19">
        <v>5</v>
      </c>
      <c r="G2326" s="14"/>
      <c r="H2326" s="19">
        <v>5</v>
      </c>
      <c r="I2326" s="14"/>
      <c r="J2326" t="s" s="11">
        <v>20</v>
      </c>
      <c r="K2326" t="s" s="16">
        <f>HYPERLINK("http://csr.bu.edu/ftp/asl/asllvd/demos/verify_start_end_handshape_annotations//test_auto_move//signs_mov/492.mov","MOV")</f>
        <v>21</v>
      </c>
      <c r="L2326" t="s" s="16">
        <f>HYPERLINK("http://csr.bu.edu/ftp/asl/asllvd/demos/verify_start_end_handshape_annotations//test_auto_move//signs_mov_separ_signers/Tyler_492.mov","MOV")</f>
        <v>21</v>
      </c>
      <c r="M2326" t="s" s="10">
        <v>26</v>
      </c>
      <c r="N2326" s="17">
        <v>50</v>
      </c>
      <c r="O2326" s="18">
        <v>352</v>
      </c>
      <c r="P2326" s="18">
        <v>407</v>
      </c>
      <c r="Q2326" t="s" s="16">
        <f>HYPERLINK("http://secrets.rutgers.edu:8080/data/asl-ftp/asllvd/demos/verify_start_end_handshape_annotations//test_auto_move//signs_mov/492.mov","MOV")</f>
        <v>21</v>
      </c>
      <c r="R2326" t="s" s="16">
        <f>HYPERLINK("http://secrets.rutgers.edu:8080/data/asl-ftp/asllvd/demos/verify_start_end_handshape_annotations//test_auto_move//signs_mov_separ_signers/Tyler_492.mov","MOV")</f>
        <v>21</v>
      </c>
    </row>
    <row r="2327" s="2" customFormat="1" ht="13.5" customHeight="1">
      <c r="B2327" s="13"/>
      <c r="C2327" t="s" s="9">
        <v>27</v>
      </c>
      <c r="D2327" t="s" s="8">
        <v>819</v>
      </c>
      <c r="E2327" t="s" s="9">
        <v>819</v>
      </c>
      <c r="F2327" s="19">
        <v>5</v>
      </c>
      <c r="G2327" s="14"/>
      <c r="H2327" s="19">
        <v>5</v>
      </c>
      <c r="I2327" s="14"/>
      <c r="J2327" t="s" s="11">
        <v>20</v>
      </c>
      <c r="K2327" s="15"/>
      <c r="L2327" t="s" s="16">
        <f>HYPERLINK("http://csr.bu.edu/ftp/asl/asllvd/demos/verify_start_end_handshape_annotations//test_auto_move//signs_mov_separ_signers/Naomi_492.mov","MOV")</f>
        <v>21</v>
      </c>
      <c r="M2327" t="s" s="10">
        <v>29</v>
      </c>
      <c r="N2327" s="17">
        <v>52</v>
      </c>
      <c r="O2327" s="18">
        <v>665</v>
      </c>
      <c r="P2327" s="18">
        <v>690</v>
      </c>
      <c r="Q2327" s="15"/>
      <c r="R2327" t="s" s="16">
        <f>HYPERLINK("http://secrets.rutgers.edu:8080/data/asl-ftp/asllvd/demos/verify_start_end_handshape_annotations//test_auto_move//signs_mov_separ_signers/Naomi_492.mov","MOV")</f>
        <v>21</v>
      </c>
    </row>
    <row r="2328" s="2" customFormat="1" ht="13.5" customHeight="1">
      <c r="B2328" s="13"/>
      <c r="C2328" t="s" s="9">
        <v>30</v>
      </c>
      <c r="D2328" t="s" s="8">
        <v>819</v>
      </c>
      <c r="E2328" t="s" s="9">
        <v>819</v>
      </c>
      <c r="F2328" s="19">
        <v>5</v>
      </c>
      <c r="G2328" s="14"/>
      <c r="H2328" s="19">
        <v>5</v>
      </c>
      <c r="I2328" s="14"/>
      <c r="J2328" t="s" s="11">
        <v>20</v>
      </c>
      <c r="K2328" s="15"/>
      <c r="L2328" t="s" s="16">
        <f>HYPERLINK("http://csr.bu.edu/ftp/asl/asllvd/demos/verify_start_end_handshape_annotations//test_auto_move//signs_mov_separ_signers/Brady_492.mov","MOV")</f>
        <v>21</v>
      </c>
      <c r="M2328" t="s" s="10">
        <v>31</v>
      </c>
      <c r="N2328" s="17">
        <v>28</v>
      </c>
      <c r="O2328" s="18">
        <v>15700</v>
      </c>
      <c r="P2328" s="18">
        <v>15741</v>
      </c>
      <c r="Q2328" s="15"/>
      <c r="R2328" t="s" s="16">
        <f>HYPERLINK("http://secrets.rutgers.edu:8080/data/asl-ftp/asllvd/demos/verify_start_end_handshape_annotations//test_auto_move//signs_mov_separ_signers/Brady_492.mov","MOV")</f>
        <v>21</v>
      </c>
    </row>
    <row r="2329" s="2" customFormat="1" ht="13.5" customHeight="1">
      <c r="B2329" t="s" s="8">
        <v>820</v>
      </c>
      <c r="C2329" t="s" s="9">
        <v>14</v>
      </c>
      <c r="D2329" t="s" s="8">
        <v>14</v>
      </c>
      <c r="E2329" t="s" s="9">
        <v>14</v>
      </c>
      <c r="F2329" t="s" s="10">
        <v>14</v>
      </c>
      <c r="G2329" t="s" s="11">
        <v>14</v>
      </c>
      <c r="H2329" t="s" s="10">
        <v>14</v>
      </c>
      <c r="I2329" t="s" s="11">
        <v>14</v>
      </c>
      <c r="J2329" t="s" s="11">
        <v>14</v>
      </c>
      <c r="K2329" t="s" s="12">
        <v>14</v>
      </c>
      <c r="L2329" t="s" s="12">
        <v>14</v>
      </c>
      <c r="M2329" t="s" s="10">
        <v>14</v>
      </c>
      <c r="N2329" t="s" s="11">
        <v>14</v>
      </c>
      <c r="O2329" t="s" s="8">
        <v>14</v>
      </c>
      <c r="P2329" t="s" s="8">
        <v>14</v>
      </c>
      <c r="Q2329" t="s" s="12">
        <v>14</v>
      </c>
      <c r="R2329" t="s" s="12">
        <v>14</v>
      </c>
    </row>
    <row r="2330" s="2" customFormat="1" ht="13.5" customHeight="1">
      <c r="B2330" s="13"/>
      <c r="C2330" t="s" s="9">
        <v>30</v>
      </c>
      <c r="D2330" t="s" s="8">
        <v>820</v>
      </c>
      <c r="E2330" t="s" s="9">
        <v>820</v>
      </c>
      <c r="F2330" t="s" s="10">
        <v>185</v>
      </c>
      <c r="G2330" t="s" s="11">
        <v>63</v>
      </c>
      <c r="H2330" t="s" s="10">
        <v>185</v>
      </c>
      <c r="I2330" t="s" s="11">
        <v>63</v>
      </c>
      <c r="J2330" t="s" s="11">
        <v>136</v>
      </c>
      <c r="K2330" t="s" s="16">
        <f>HYPERLINK("http://csr.bu.edu/ftp/asl/asllvd/demos/verify_start_end_handshape_annotations//test_auto_move//signs_mov/494.mov","MOV")</f>
        <v>21</v>
      </c>
      <c r="L2330" t="s" s="16">
        <f>HYPERLINK("http://csr.bu.edu/ftp/asl/asllvd/demos/verify_start_end_handshape_annotations//test_auto_move//signs_mov_separ_signers/Brady_494.mov","MOV")</f>
        <v>21</v>
      </c>
      <c r="M2330" t="s" s="10">
        <v>31</v>
      </c>
      <c r="N2330" s="17">
        <v>28</v>
      </c>
      <c r="O2330" s="18">
        <v>16312</v>
      </c>
      <c r="P2330" s="18">
        <v>16367</v>
      </c>
      <c r="Q2330" t="s" s="16">
        <f>HYPERLINK("http://secrets.rutgers.edu:8080/data/asl-ftp/asllvd/demos/verify_start_end_handshape_annotations//test_auto_move//signs_mov/494.mov","MOV")</f>
        <v>21</v>
      </c>
      <c r="R2330" t="s" s="16">
        <f>HYPERLINK("http://secrets.rutgers.edu:8080/data/asl-ftp/asllvd/demos/verify_start_end_handshape_annotations//test_auto_move//signs_mov_separ_signers/Brady_494.mov","MOV")</f>
        <v>21</v>
      </c>
    </row>
    <row r="2331" s="2" customFormat="1" ht="13.5" customHeight="1">
      <c r="B2331" t="s" s="8">
        <v>820</v>
      </c>
      <c r="C2331" t="s" s="9">
        <v>14</v>
      </c>
      <c r="D2331" t="s" s="8">
        <v>14</v>
      </c>
      <c r="E2331" t="s" s="9">
        <v>14</v>
      </c>
      <c r="F2331" t="s" s="10">
        <v>14</v>
      </c>
      <c r="G2331" t="s" s="11">
        <v>14</v>
      </c>
      <c r="H2331" t="s" s="10">
        <v>14</v>
      </c>
      <c r="I2331" t="s" s="11">
        <v>14</v>
      </c>
      <c r="J2331" t="s" s="11">
        <v>14</v>
      </c>
      <c r="K2331" t="s" s="12">
        <v>14</v>
      </c>
      <c r="L2331" t="s" s="12">
        <v>14</v>
      </c>
      <c r="M2331" t="s" s="10">
        <v>14</v>
      </c>
      <c r="N2331" t="s" s="11">
        <v>14</v>
      </c>
      <c r="O2331" t="s" s="8">
        <v>14</v>
      </c>
      <c r="P2331" t="s" s="8">
        <v>14</v>
      </c>
      <c r="Q2331" t="s" s="12">
        <v>14</v>
      </c>
      <c r="R2331" t="s" s="12">
        <v>14</v>
      </c>
    </row>
    <row r="2332" s="2" customFormat="1" ht="13.5" customHeight="1">
      <c r="B2332" s="13"/>
      <c r="C2332" t="s" s="9">
        <v>16</v>
      </c>
      <c r="D2332" t="s" s="8">
        <v>821</v>
      </c>
      <c r="E2332" t="s" s="9">
        <v>821</v>
      </c>
      <c r="F2332" t="s" s="10">
        <v>185</v>
      </c>
      <c r="G2332" t="s" s="11">
        <v>105</v>
      </c>
      <c r="H2332" t="s" s="10">
        <v>185</v>
      </c>
      <c r="I2332" t="s" s="11">
        <v>105</v>
      </c>
      <c r="J2332" t="s" s="11">
        <v>136</v>
      </c>
      <c r="K2332" t="s" s="16">
        <f>HYPERLINK("http://csr.bu.edu/ftp/asl/asllvd/demos/verify_start_end_handshape_annotations//test_auto_move//signs_mov/5143.mov","MOV")</f>
        <v>21</v>
      </c>
      <c r="L2332" t="s" s="16">
        <f>HYPERLINK("http://csr.bu.edu/ftp/asl/asllvd/demos/verify_start_end_handshape_annotations//test_auto_move//signs_mov_separ_signers/Liz_5143.mov","MOV")</f>
        <v>21</v>
      </c>
      <c r="M2332" t="s" s="10">
        <v>22</v>
      </c>
      <c r="N2332" s="17">
        <v>84</v>
      </c>
      <c r="O2332" s="18">
        <v>261</v>
      </c>
      <c r="P2332" s="18">
        <v>315</v>
      </c>
      <c r="Q2332" t="s" s="16">
        <f>HYPERLINK("http://secrets.rutgers.edu:8080/data/asl-ftp/asllvd/demos/verify_start_end_handshape_annotations//test_auto_move//signs_mov/5143.mov","MOV")</f>
        <v>21</v>
      </c>
      <c r="R2332" t="s" s="16">
        <f>HYPERLINK("http://secrets.rutgers.edu:8080/data/asl-ftp/asllvd/demos/verify_start_end_handshape_annotations//test_auto_move//signs_mov_separ_signers/Liz_5143.mov","MOV")</f>
        <v>21</v>
      </c>
    </row>
    <row r="2333" s="2" customFormat="1" ht="13.5" customHeight="1">
      <c r="B2333" t="s" s="8">
        <v>822</v>
      </c>
      <c r="C2333" t="s" s="9">
        <v>14</v>
      </c>
      <c r="D2333" t="s" s="8">
        <v>14</v>
      </c>
      <c r="E2333" t="s" s="9">
        <v>14</v>
      </c>
      <c r="F2333" t="s" s="10">
        <v>14</v>
      </c>
      <c r="G2333" t="s" s="11">
        <v>14</v>
      </c>
      <c r="H2333" t="s" s="10">
        <v>14</v>
      </c>
      <c r="I2333" t="s" s="11">
        <v>14</v>
      </c>
      <c r="J2333" t="s" s="11">
        <v>14</v>
      </c>
      <c r="K2333" t="s" s="12">
        <v>14</v>
      </c>
      <c r="L2333" t="s" s="12">
        <v>14</v>
      </c>
      <c r="M2333" t="s" s="10">
        <v>14</v>
      </c>
      <c r="N2333" t="s" s="11">
        <v>14</v>
      </c>
      <c r="O2333" t="s" s="8">
        <v>14</v>
      </c>
      <c r="P2333" t="s" s="8">
        <v>14</v>
      </c>
      <c r="Q2333" t="s" s="12">
        <v>14</v>
      </c>
      <c r="R2333" t="s" s="12">
        <v>14</v>
      </c>
    </row>
    <row r="2334" s="2" customFormat="1" ht="13.5" customHeight="1">
      <c r="B2334" s="13"/>
      <c r="C2334" t="s" s="9">
        <v>16</v>
      </c>
      <c r="D2334" t="s" s="8">
        <v>822</v>
      </c>
      <c r="E2334" t="s" s="9">
        <v>822</v>
      </c>
      <c r="F2334" s="19">
        <v>5</v>
      </c>
      <c r="G2334" s="14"/>
      <c r="H2334" t="s" s="10">
        <v>158</v>
      </c>
      <c r="I2334" s="14"/>
      <c r="J2334" t="s" s="11">
        <v>20</v>
      </c>
      <c r="K2334" s="15"/>
      <c r="L2334" t="s" s="16">
        <f>HYPERLINK("http://csr.bu.edu/ftp/asl/asllvd/demos/verify_start_end_handshape_annotations//test_auto_move//signs_mov_separ_signers/Liz_5847.mov","MOV")</f>
        <v>21</v>
      </c>
      <c r="M2334" t="s" s="10">
        <v>22</v>
      </c>
      <c r="N2334" s="17">
        <v>83</v>
      </c>
      <c r="O2334" s="18">
        <v>1390</v>
      </c>
      <c r="P2334" s="18">
        <v>1455</v>
      </c>
      <c r="Q2334" s="15"/>
      <c r="R2334" t="s" s="16">
        <f>HYPERLINK("http://secrets.rutgers.edu:8080/data/asl-ftp/asllvd/demos/verify_start_end_handshape_annotations//test_auto_move//signs_mov_separ_signers/Liz_5847.mov","MOV")</f>
        <v>21</v>
      </c>
    </row>
    <row r="2335" s="2" customFormat="1" ht="13.5" customHeight="1">
      <c r="B2335" s="13"/>
      <c r="C2335" t="s" s="9">
        <v>23</v>
      </c>
      <c r="D2335" t="s" s="8">
        <v>822</v>
      </c>
      <c r="E2335" t="s" s="9">
        <v>822</v>
      </c>
      <c r="F2335" s="19">
        <v>5</v>
      </c>
      <c r="G2335" s="14"/>
      <c r="H2335" t="s" s="10">
        <v>158</v>
      </c>
      <c r="I2335" s="14"/>
      <c r="J2335" t="s" s="11">
        <v>20</v>
      </c>
      <c r="K2335" t="s" s="16">
        <f>HYPERLINK("http://csr.bu.edu/ftp/asl/asllvd/demos/verify_start_end_handshape_annotations//test_auto_move//signs_mov/5847.mov","MOV")</f>
        <v>21</v>
      </c>
      <c r="L2335" t="s" s="16">
        <f>HYPERLINK("http://csr.bu.edu/ftp/asl/asllvd/demos/verify_start_end_handshape_annotations//test_auto_move//signs_mov_separ_signers/Tyler_5847.mov","MOV")</f>
        <v>21</v>
      </c>
      <c r="M2335" t="s" s="10">
        <v>26</v>
      </c>
      <c r="N2335" s="17">
        <v>50</v>
      </c>
      <c r="O2335" s="18">
        <v>1823</v>
      </c>
      <c r="P2335" s="18">
        <v>1861</v>
      </c>
      <c r="Q2335" t="s" s="16">
        <f>HYPERLINK("http://secrets.rutgers.edu:8080/data/asl-ftp/asllvd/demos/verify_start_end_handshape_annotations//test_auto_move//signs_mov/5847.mov","MOV")</f>
        <v>21</v>
      </c>
      <c r="R2335" t="s" s="16">
        <f>HYPERLINK("http://secrets.rutgers.edu:8080/data/asl-ftp/asllvd/demos/verify_start_end_handshape_annotations//test_auto_move//signs_mov_separ_signers/Tyler_5847.mov","MOV")</f>
        <v>21</v>
      </c>
    </row>
    <row r="2336" s="2" customFormat="1" ht="13.5" customHeight="1">
      <c r="B2336" s="13"/>
      <c r="C2336" t="s" s="9">
        <v>27</v>
      </c>
      <c r="D2336" t="s" s="8">
        <v>822</v>
      </c>
      <c r="E2336" t="s" s="9">
        <v>822</v>
      </c>
      <c r="F2336" s="19">
        <v>5</v>
      </c>
      <c r="G2336" s="14"/>
      <c r="H2336" t="s" s="10">
        <v>158</v>
      </c>
      <c r="I2336" s="14"/>
      <c r="J2336" t="s" s="11">
        <v>20</v>
      </c>
      <c r="K2336" s="15"/>
      <c r="L2336" t="s" s="16">
        <f>HYPERLINK("http://csr.bu.edu/ftp/asl/asllvd/demos/verify_start_end_handshape_annotations//test_auto_move//signs_mov_separ_signers/Naomi_5847.mov","MOV")</f>
        <v>21</v>
      </c>
      <c r="M2336" t="s" s="10">
        <v>29</v>
      </c>
      <c r="N2336" s="17">
        <v>52</v>
      </c>
      <c r="O2336" s="18">
        <v>920</v>
      </c>
      <c r="P2336" s="18">
        <v>940</v>
      </c>
      <c r="Q2336" s="15"/>
      <c r="R2336" t="s" s="16">
        <f>HYPERLINK("http://secrets.rutgers.edu:8080/data/asl-ftp/asllvd/demos/verify_start_end_handshape_annotations//test_auto_move//signs_mov_separ_signers/Naomi_5847.mov","MOV")</f>
        <v>21</v>
      </c>
    </row>
    <row r="2337" s="2" customFormat="1" ht="13.5" customHeight="1">
      <c r="B2337" t="s" s="8">
        <v>823</v>
      </c>
      <c r="C2337" t="s" s="9">
        <v>14</v>
      </c>
      <c r="D2337" t="s" s="8">
        <v>14</v>
      </c>
      <c r="E2337" t="s" s="9">
        <v>14</v>
      </c>
      <c r="F2337" t="s" s="10">
        <v>14</v>
      </c>
      <c r="G2337" t="s" s="11">
        <v>14</v>
      </c>
      <c r="H2337" t="s" s="10">
        <v>14</v>
      </c>
      <c r="I2337" t="s" s="11">
        <v>14</v>
      </c>
      <c r="J2337" t="s" s="11">
        <v>14</v>
      </c>
      <c r="K2337" t="s" s="12">
        <v>14</v>
      </c>
      <c r="L2337" t="s" s="12">
        <v>14</v>
      </c>
      <c r="M2337" t="s" s="10">
        <v>14</v>
      </c>
      <c r="N2337" t="s" s="11">
        <v>14</v>
      </c>
      <c r="O2337" t="s" s="8">
        <v>14</v>
      </c>
      <c r="P2337" t="s" s="8">
        <v>14</v>
      </c>
      <c r="Q2337" t="s" s="12">
        <v>14</v>
      </c>
      <c r="R2337" t="s" s="12">
        <v>14</v>
      </c>
    </row>
    <row r="2338" s="2" customFormat="1" ht="13.5" customHeight="1">
      <c r="B2338" s="13"/>
      <c r="C2338" t="s" s="9">
        <v>16</v>
      </c>
      <c r="D2338" t="s" s="8">
        <v>823</v>
      </c>
      <c r="E2338" t="s" s="9">
        <v>823</v>
      </c>
      <c r="F2338" t="s" s="10">
        <v>185</v>
      </c>
      <c r="G2338" s="14"/>
      <c r="H2338" t="s" s="10">
        <v>185</v>
      </c>
      <c r="I2338" s="14"/>
      <c r="J2338" t="s" s="11">
        <v>20</v>
      </c>
      <c r="K2338" t="s" s="16">
        <f>HYPERLINK("http://csr.bu.edu/ftp/asl/asllvd/demos/verify_start_end_handshape_annotations//test_auto_move//signs_mov/495.mov","MOV")</f>
        <v>21</v>
      </c>
      <c r="L2338" t="s" s="16">
        <f>HYPERLINK("http://csr.bu.edu/ftp/asl/asllvd/demos/verify_start_end_handshape_annotations//test_auto_move//signs_mov_separ_signers/Liz_495.mov","MOV")</f>
        <v>21</v>
      </c>
      <c r="M2338" t="s" s="10">
        <v>22</v>
      </c>
      <c r="N2338" s="17">
        <v>84</v>
      </c>
      <c r="O2338" s="18">
        <v>505</v>
      </c>
      <c r="P2338" s="18">
        <v>531</v>
      </c>
      <c r="Q2338" t="s" s="16">
        <f>HYPERLINK("http://secrets.rutgers.edu:8080/data/asl-ftp/asllvd/demos/verify_start_end_handshape_annotations//test_auto_move//signs_mov/495.mov","MOV")</f>
        <v>21</v>
      </c>
      <c r="R2338" t="s" s="16">
        <f>HYPERLINK("http://secrets.rutgers.edu:8080/data/asl-ftp/asllvd/demos/verify_start_end_handshape_annotations//test_auto_move//signs_mov_separ_signers/Liz_495.mov","MOV")</f>
        <v>21</v>
      </c>
    </row>
    <row r="2339" s="2" customFormat="1" ht="13.5" customHeight="1">
      <c r="B2339" s="13"/>
      <c r="C2339" t="s" s="9">
        <v>30</v>
      </c>
      <c r="D2339" t="s" s="8">
        <v>823</v>
      </c>
      <c r="E2339" t="s" s="9">
        <v>823</v>
      </c>
      <c r="F2339" t="s" s="10">
        <v>185</v>
      </c>
      <c r="G2339" s="14"/>
      <c r="H2339" t="s" s="10">
        <v>185</v>
      </c>
      <c r="I2339" s="14"/>
      <c r="J2339" t="s" s="11">
        <v>20</v>
      </c>
      <c r="K2339" s="15"/>
      <c r="L2339" t="s" s="16">
        <f>HYPERLINK("http://csr.bu.edu/ftp/asl/asllvd/demos/verify_start_end_handshape_annotations//test_auto_move//signs_mov_separ_signers/Brady_495.mov","MOV")</f>
        <v>21</v>
      </c>
      <c r="M2339" t="s" s="10">
        <v>31</v>
      </c>
      <c r="N2339" s="17">
        <v>28</v>
      </c>
      <c r="O2339" s="18">
        <v>16602</v>
      </c>
      <c r="P2339" s="18">
        <v>16630</v>
      </c>
      <c r="Q2339" s="15"/>
      <c r="R2339" t="s" s="16">
        <f>HYPERLINK("http://secrets.rutgers.edu:8080/data/asl-ftp/asllvd/demos/verify_start_end_handshape_annotations//test_auto_move//signs_mov_separ_signers/Brady_495.mov","MOV")</f>
        <v>21</v>
      </c>
    </row>
    <row r="2340" s="2" customFormat="1" ht="13.5" customHeight="1">
      <c r="B2340" t="s" s="8">
        <v>824</v>
      </c>
      <c r="C2340" t="s" s="9">
        <v>14</v>
      </c>
      <c r="D2340" t="s" s="8">
        <v>14</v>
      </c>
      <c r="E2340" t="s" s="9">
        <v>14</v>
      </c>
      <c r="F2340" t="s" s="10">
        <v>14</v>
      </c>
      <c r="G2340" t="s" s="11">
        <v>14</v>
      </c>
      <c r="H2340" t="s" s="10">
        <v>14</v>
      </c>
      <c r="I2340" t="s" s="11">
        <v>14</v>
      </c>
      <c r="J2340" t="s" s="11">
        <v>14</v>
      </c>
      <c r="K2340" t="s" s="12">
        <v>14</v>
      </c>
      <c r="L2340" t="s" s="12">
        <v>14</v>
      </c>
      <c r="M2340" t="s" s="10">
        <v>14</v>
      </c>
      <c r="N2340" t="s" s="11">
        <v>14</v>
      </c>
      <c r="O2340" t="s" s="8">
        <v>14</v>
      </c>
      <c r="P2340" t="s" s="8">
        <v>14</v>
      </c>
      <c r="Q2340" t="s" s="12">
        <v>14</v>
      </c>
      <c r="R2340" t="s" s="12">
        <v>14</v>
      </c>
    </row>
    <row r="2341" s="2" customFormat="1" ht="13.5" customHeight="1">
      <c r="B2341" s="13"/>
      <c r="C2341" t="s" s="9">
        <v>16</v>
      </c>
      <c r="D2341" t="s" s="8">
        <v>824</v>
      </c>
      <c r="E2341" t="s" s="9">
        <v>825</v>
      </c>
      <c r="F2341" t="s" s="10">
        <v>75</v>
      </c>
      <c r="G2341" s="14"/>
      <c r="H2341" t="s" s="10">
        <v>75</v>
      </c>
      <c r="I2341" s="14"/>
      <c r="J2341" t="s" s="11">
        <v>20</v>
      </c>
      <c r="K2341" s="15"/>
      <c r="L2341" t="s" s="16">
        <f>HYPERLINK("http://csr.bu.edu/ftp/asl/asllvd/demos/verify_start_end_handshape_annotations//test_auto_move//signs_mov_separ_signers/Liz_496.mov","MOV")</f>
        <v>21</v>
      </c>
      <c r="M2341" t="s" s="10">
        <v>22</v>
      </c>
      <c r="N2341" s="17">
        <v>84</v>
      </c>
      <c r="O2341" s="18">
        <v>770</v>
      </c>
      <c r="P2341" s="18">
        <v>825</v>
      </c>
      <c r="Q2341" s="15"/>
      <c r="R2341" t="s" s="16">
        <f>HYPERLINK("http://secrets.rutgers.edu:8080/data/asl-ftp/asllvd/demos/verify_start_end_handshape_annotations//test_auto_move//signs_mov_separ_signers/Liz_496.mov","MOV")</f>
        <v>21</v>
      </c>
    </row>
    <row r="2342" s="2" customFormat="1" ht="13.5" customHeight="1">
      <c r="B2342" s="13"/>
      <c r="C2342" t="s" s="9">
        <v>16</v>
      </c>
      <c r="D2342" t="s" s="8">
        <v>824</v>
      </c>
      <c r="E2342" t="s" s="9">
        <v>826</v>
      </c>
      <c r="F2342" t="s" s="10">
        <v>75</v>
      </c>
      <c r="G2342" s="14"/>
      <c r="H2342" t="s" s="10">
        <v>75</v>
      </c>
      <c r="I2342" s="14"/>
      <c r="J2342" t="s" s="11">
        <v>20</v>
      </c>
      <c r="K2342" s="15"/>
      <c r="L2342" t="s" s="16">
        <f>HYPERLINK("http://csr.bu.edu/ftp/asl/asllvd/demos/verify_start_end_handshape_annotations//test_auto_move//signs_mov_separ_signers/Liz_3594.mov","MOV")</f>
        <v>21</v>
      </c>
      <c r="M2342" t="s" s="10">
        <v>22</v>
      </c>
      <c r="N2342" s="17">
        <v>84</v>
      </c>
      <c r="O2342" s="18">
        <v>1020</v>
      </c>
      <c r="P2342" s="18">
        <v>1085</v>
      </c>
      <c r="Q2342" s="15"/>
      <c r="R2342" t="s" s="16">
        <f>HYPERLINK("http://secrets.rutgers.edu:8080/data/asl-ftp/asllvd/demos/verify_start_end_handshape_annotations//test_auto_move//signs_mov_separ_signers/Liz_3594.mov","MOV")</f>
        <v>21</v>
      </c>
    </row>
    <row r="2343" s="2" customFormat="1" ht="13.5" customHeight="1">
      <c r="B2343" s="13"/>
      <c r="C2343" t="s" s="9">
        <v>23</v>
      </c>
      <c r="D2343" t="s" s="8">
        <v>824</v>
      </c>
      <c r="E2343" t="s" s="9">
        <v>826</v>
      </c>
      <c r="F2343" t="s" s="10">
        <v>75</v>
      </c>
      <c r="G2343" s="14"/>
      <c r="H2343" t="s" s="10">
        <v>75</v>
      </c>
      <c r="I2343" s="14"/>
      <c r="J2343" t="s" s="11">
        <v>20</v>
      </c>
      <c r="K2343" s="15"/>
      <c r="L2343" t="s" s="16">
        <f>HYPERLINK("http://csr.bu.edu/ftp/asl/asllvd/demos/verify_start_end_handshape_annotations//test_auto_move//signs_mov_separ_signers/Tyler_496.mov","MOV")</f>
        <v>21</v>
      </c>
      <c r="M2343" t="s" s="10">
        <v>26</v>
      </c>
      <c r="N2343" s="17">
        <v>50</v>
      </c>
      <c r="O2343" s="18">
        <v>3550</v>
      </c>
      <c r="P2343" s="18">
        <v>3606</v>
      </c>
      <c r="Q2343" s="15"/>
      <c r="R2343" t="s" s="16">
        <f>HYPERLINK("http://secrets.rutgers.edu:8080/data/asl-ftp/asllvd/demos/verify_start_end_handshape_annotations//test_auto_move//signs_mov_separ_signers/Tyler_496.mov","MOV")</f>
        <v>21</v>
      </c>
    </row>
    <row r="2344" s="2" customFormat="1" ht="13.5" customHeight="1">
      <c r="B2344" s="13"/>
      <c r="C2344" t="s" s="9">
        <v>23</v>
      </c>
      <c r="D2344" t="s" s="8">
        <v>824</v>
      </c>
      <c r="E2344" t="s" s="9">
        <v>825</v>
      </c>
      <c r="F2344" t="s" s="10">
        <v>75</v>
      </c>
      <c r="G2344" s="14"/>
      <c r="H2344" t="s" s="10">
        <v>75</v>
      </c>
      <c r="I2344" s="14"/>
      <c r="J2344" t="s" s="11">
        <v>20</v>
      </c>
      <c r="K2344" t="s" s="16">
        <f>HYPERLINK("http://csr.bu.edu/ftp/asl/asllvd/demos/verify_start_end_handshape_annotations//test_auto_move//signs_mov/496_3594_merged.mov","MOV")</f>
        <v>21</v>
      </c>
      <c r="L2344" t="s" s="16">
        <f>HYPERLINK("http://csr.bu.edu/ftp/asl/asllvd/demos/verify_start_end_handshape_annotations//test_auto_move//signs_mov_separ_signers/Tyler_3594.mov","MOV")</f>
        <v>21</v>
      </c>
      <c r="M2344" t="s" s="10">
        <v>26</v>
      </c>
      <c r="N2344" s="17">
        <v>50</v>
      </c>
      <c r="O2344" s="18">
        <v>3725</v>
      </c>
      <c r="P2344" s="18">
        <v>3755</v>
      </c>
      <c r="Q2344" t="s" s="16">
        <f>HYPERLINK("http://secrets.rutgers.edu:8080/data/asl-ftp/asllvd/demos/verify_start_end_handshape_annotations//test_auto_move//signs_mov/496_3594_merged.mov","MOV")</f>
        <v>21</v>
      </c>
      <c r="R2344" t="s" s="16">
        <f>HYPERLINK("http://secrets.rutgers.edu:8080/data/asl-ftp/asllvd/demos/verify_start_end_handshape_annotations//test_auto_move//signs_mov_separ_signers/Tyler_3594.mov","MOV")</f>
        <v>21</v>
      </c>
    </row>
    <row r="2345" s="2" customFormat="1" ht="13.5" customHeight="1">
      <c r="B2345" s="13"/>
      <c r="C2345" t="s" s="9">
        <v>27</v>
      </c>
      <c r="D2345" t="s" s="8">
        <v>824</v>
      </c>
      <c r="E2345" t="s" s="9">
        <v>825</v>
      </c>
      <c r="F2345" t="s" s="10">
        <v>75</v>
      </c>
      <c r="G2345" s="14"/>
      <c r="H2345" t="s" s="10">
        <v>75</v>
      </c>
      <c r="I2345" s="14"/>
      <c r="J2345" t="s" s="11">
        <v>20</v>
      </c>
      <c r="K2345" s="15"/>
      <c r="L2345" t="s" s="16">
        <f>HYPERLINK("http://csr.bu.edu/ftp/asl/asllvd/demos/verify_start_end_handshape_annotations//test_auto_move//signs_mov_separ_signers/Naomi_496.mov","MOV")</f>
        <v>21</v>
      </c>
      <c r="M2345" t="s" s="10">
        <v>29</v>
      </c>
      <c r="N2345" s="17">
        <v>52</v>
      </c>
      <c r="O2345" s="18">
        <v>2596</v>
      </c>
      <c r="P2345" s="18">
        <v>2645</v>
      </c>
      <c r="Q2345" s="15"/>
      <c r="R2345" t="s" s="16">
        <f>HYPERLINK("http://secrets.rutgers.edu:8080/data/asl-ftp/asllvd/demos/verify_start_end_handshape_annotations//test_auto_move//signs_mov_separ_signers/Naomi_496.mov","MOV")</f>
        <v>21</v>
      </c>
    </row>
    <row r="2346" s="2" customFormat="1" ht="13.5" customHeight="1">
      <c r="B2346" s="13"/>
      <c r="C2346" t="s" s="9">
        <v>27</v>
      </c>
      <c r="D2346" t="s" s="8">
        <v>824</v>
      </c>
      <c r="E2346" t="s" s="9">
        <v>825</v>
      </c>
      <c r="F2346" t="s" s="10">
        <v>75</v>
      </c>
      <c r="G2346" s="14"/>
      <c r="H2346" t="s" s="10">
        <v>75</v>
      </c>
      <c r="I2346" s="14"/>
      <c r="J2346" t="s" s="11">
        <v>20</v>
      </c>
      <c r="K2346" s="15"/>
      <c r="L2346" t="s" s="16">
        <f>HYPERLINK("http://csr.bu.edu/ftp/asl/asllvd/demos/verify_start_end_handshape_annotations//test_auto_move//signs_mov_separ_signers/Naomi_3594.mov","MOV")</f>
        <v>21</v>
      </c>
      <c r="M2346" t="s" s="10">
        <v>29</v>
      </c>
      <c r="N2346" s="17">
        <v>52</v>
      </c>
      <c r="O2346" s="18">
        <v>2862</v>
      </c>
      <c r="P2346" s="18">
        <v>2906</v>
      </c>
      <c r="Q2346" s="15"/>
      <c r="R2346" t="s" s="16">
        <f>HYPERLINK("http://secrets.rutgers.edu:8080/data/asl-ftp/asllvd/demos/verify_start_end_handshape_annotations//test_auto_move//signs_mov_separ_signers/Naomi_3594.mov","MOV")</f>
        <v>21</v>
      </c>
    </row>
    <row r="2347" s="2" customFormat="1" ht="13.5" customHeight="1">
      <c r="B2347" s="13"/>
      <c r="C2347" t="s" s="9">
        <v>30</v>
      </c>
      <c r="D2347" t="s" s="8">
        <v>824</v>
      </c>
      <c r="E2347" t="s" s="9">
        <v>825</v>
      </c>
      <c r="F2347" t="s" s="10">
        <v>75</v>
      </c>
      <c r="G2347" s="14"/>
      <c r="H2347" t="s" s="10">
        <v>75</v>
      </c>
      <c r="I2347" s="14"/>
      <c r="J2347" t="s" s="11">
        <v>20</v>
      </c>
      <c r="K2347" s="15"/>
      <c r="L2347" t="s" s="16">
        <f>HYPERLINK("http://csr.bu.edu/ftp/asl/asllvd/demos/verify_start_end_handshape_annotations//test_auto_move//signs_mov_separ_signers/Brady_496.mov","MOV")</f>
        <v>21</v>
      </c>
      <c r="M2347" t="s" s="10">
        <v>31</v>
      </c>
      <c r="N2347" s="17">
        <v>29</v>
      </c>
      <c r="O2347" s="18">
        <v>175</v>
      </c>
      <c r="P2347" s="18">
        <v>211</v>
      </c>
      <c r="Q2347" s="15"/>
      <c r="R2347" t="s" s="16">
        <f>HYPERLINK("http://secrets.rutgers.edu:8080/data/asl-ftp/asllvd/demos/verify_start_end_handshape_annotations//test_auto_move//signs_mov_separ_signers/Brady_496.mov","MOV")</f>
        <v>21</v>
      </c>
    </row>
    <row r="2348" s="2" customFormat="1" ht="13.5" customHeight="1">
      <c r="B2348" t="s" s="8">
        <v>827</v>
      </c>
      <c r="C2348" t="s" s="9">
        <v>14</v>
      </c>
      <c r="D2348" t="s" s="8">
        <v>14</v>
      </c>
      <c r="E2348" t="s" s="9">
        <v>14</v>
      </c>
      <c r="F2348" t="s" s="10">
        <v>14</v>
      </c>
      <c r="G2348" t="s" s="11">
        <v>14</v>
      </c>
      <c r="H2348" t="s" s="10">
        <v>14</v>
      </c>
      <c r="I2348" t="s" s="11">
        <v>14</v>
      </c>
      <c r="J2348" t="s" s="11">
        <v>14</v>
      </c>
      <c r="K2348" t="s" s="12">
        <v>14</v>
      </c>
      <c r="L2348" t="s" s="12">
        <v>14</v>
      </c>
      <c r="M2348" t="s" s="10">
        <v>14</v>
      </c>
      <c r="N2348" t="s" s="11">
        <v>14</v>
      </c>
      <c r="O2348" t="s" s="8">
        <v>14</v>
      </c>
      <c r="P2348" t="s" s="8">
        <v>14</v>
      </c>
      <c r="Q2348" t="s" s="12">
        <v>14</v>
      </c>
      <c r="R2348" t="s" s="12">
        <v>14</v>
      </c>
    </row>
    <row r="2349" s="2" customFormat="1" ht="13.5" customHeight="1">
      <c r="B2349" s="13"/>
      <c r="C2349" t="s" s="9">
        <v>16</v>
      </c>
      <c r="D2349" t="s" s="8">
        <v>827</v>
      </c>
      <c r="E2349" t="s" s="9">
        <v>828</v>
      </c>
      <c r="F2349" t="s" s="10">
        <v>68</v>
      </c>
      <c r="G2349" s="14"/>
      <c r="H2349" t="s" s="10">
        <v>68</v>
      </c>
      <c r="I2349" s="14"/>
      <c r="J2349" t="s" s="11">
        <v>20</v>
      </c>
      <c r="K2349" s="15"/>
      <c r="L2349" t="s" s="16">
        <f>HYPERLINK("http://csr.bu.edu/ftp/asl/asllvd/demos/verify_start_end_handshape_annotations//test_auto_move//signs_mov_separ_signers/Liz_16177.mov","MOV")</f>
        <v>21</v>
      </c>
      <c r="M2349" t="s" s="10">
        <v>34</v>
      </c>
      <c r="N2349" s="17">
        <v>15</v>
      </c>
      <c r="O2349" s="18">
        <v>1625</v>
      </c>
      <c r="P2349" s="18">
        <v>1680</v>
      </c>
      <c r="Q2349" s="15"/>
      <c r="R2349" t="s" s="16">
        <f>HYPERLINK("http://secrets.rutgers.edu:8080/data/asl-ftp/asllvd/demos/verify_start_end_handshape_annotations//test_auto_move//signs_mov_separ_signers/Liz_16177.mov","MOV")</f>
        <v>21</v>
      </c>
    </row>
    <row r="2350" s="2" customFormat="1" ht="13.5" customHeight="1">
      <c r="B2350" s="13"/>
      <c r="C2350" t="s" s="9">
        <v>23</v>
      </c>
      <c r="D2350" t="s" s="8">
        <v>827</v>
      </c>
      <c r="E2350" t="s" s="9">
        <v>829</v>
      </c>
      <c r="F2350" t="s" s="10">
        <v>65</v>
      </c>
      <c r="G2350" s="14"/>
      <c r="H2350" t="s" s="10">
        <v>65</v>
      </c>
      <c r="I2350" s="14"/>
      <c r="J2350" t="s" s="11">
        <v>20</v>
      </c>
      <c r="K2350" t="s" s="16">
        <f>HYPERLINK("http://csr.bu.edu/ftp/asl/asllvd/demos/verify_start_end_handshape_annotations//test_auto_move//signs_mov/16177.mov","MOV")</f>
        <v>21</v>
      </c>
      <c r="L2350" t="s" s="16">
        <f>HYPERLINK("http://csr.bu.edu/ftp/asl/asllvd/demos/verify_start_end_handshape_annotations//test_auto_move//signs_mov_separ_signers/Tyler_16177.mov","MOV")</f>
        <v>21</v>
      </c>
      <c r="M2350" t="s" s="10">
        <v>92</v>
      </c>
      <c r="N2350" s="17">
        <v>44</v>
      </c>
      <c r="O2350" s="18">
        <v>1435</v>
      </c>
      <c r="P2350" s="18">
        <v>1481</v>
      </c>
      <c r="Q2350" t="s" s="16">
        <f>HYPERLINK("http://secrets.rutgers.edu:8080/data/asl-ftp/asllvd/demos/verify_start_end_handshape_annotations//test_auto_move//signs_mov/16177.mov","MOV")</f>
        <v>21</v>
      </c>
      <c r="R2350" t="s" s="16">
        <f>HYPERLINK("http://secrets.rutgers.edu:8080/data/asl-ftp/asllvd/demos/verify_start_end_handshape_annotations//test_auto_move//signs_mov_separ_signers/Tyler_16177.mov","MOV")</f>
        <v>21</v>
      </c>
    </row>
    <row r="2351" s="2" customFormat="1" ht="13.5" customHeight="1">
      <c r="B2351" s="13"/>
      <c r="C2351" t="s" s="9">
        <v>27</v>
      </c>
      <c r="D2351" t="s" s="8">
        <v>827</v>
      </c>
      <c r="E2351" t="s" s="9">
        <v>828</v>
      </c>
      <c r="F2351" t="s" s="10">
        <v>65</v>
      </c>
      <c r="G2351" s="14"/>
      <c r="H2351" t="s" s="10">
        <v>65</v>
      </c>
      <c r="I2351" s="14"/>
      <c r="J2351" t="s" s="11">
        <v>20</v>
      </c>
      <c r="K2351" s="15"/>
      <c r="L2351" t="s" s="16">
        <f>HYPERLINK("http://csr.bu.edu/ftp/asl/asllvd/demos/verify_start_end_handshape_annotations//test_auto_move//signs_mov_separ_signers/Naomi_16177.mov","MOV")</f>
        <v>21</v>
      </c>
      <c r="M2351" t="s" s="10">
        <v>38</v>
      </c>
      <c r="N2351" s="17">
        <v>12</v>
      </c>
      <c r="O2351" s="18">
        <v>2200</v>
      </c>
      <c r="P2351" s="18">
        <v>2242</v>
      </c>
      <c r="Q2351" s="15"/>
      <c r="R2351" t="s" s="16">
        <f>HYPERLINK("http://secrets.rutgers.edu:8080/data/asl-ftp/asllvd/demos/verify_start_end_handshape_annotations//test_auto_move//signs_mov_separ_signers/Naomi_16177.mov","MOV")</f>
        <v>21</v>
      </c>
    </row>
    <row r="2352" s="2" customFormat="1" ht="13.5" customHeight="1">
      <c r="B2352" s="13"/>
      <c r="C2352" t="s" s="9">
        <v>30</v>
      </c>
      <c r="D2352" t="s" s="8">
        <v>827</v>
      </c>
      <c r="E2352" t="s" s="9">
        <v>828</v>
      </c>
      <c r="F2352" t="s" s="10">
        <v>65</v>
      </c>
      <c r="G2352" s="14"/>
      <c r="H2352" t="s" s="10">
        <v>65</v>
      </c>
      <c r="I2352" s="14"/>
      <c r="J2352" t="s" s="11">
        <v>20</v>
      </c>
      <c r="K2352" s="15"/>
      <c r="L2352" t="s" s="16">
        <f>HYPERLINK("http://csr.bu.edu/ftp/asl/asllvd/demos/verify_start_end_handshape_annotations//test_auto_move//signs_mov_separ_signers/Brady_16177.mov","MOV")</f>
        <v>21</v>
      </c>
      <c r="M2352" t="s" s="10">
        <v>39</v>
      </c>
      <c r="N2352" s="17">
        <v>30</v>
      </c>
      <c r="O2352" s="18">
        <v>6257</v>
      </c>
      <c r="P2352" s="18">
        <v>6284</v>
      </c>
      <c r="Q2352" s="15"/>
      <c r="R2352" t="s" s="16">
        <f>HYPERLINK("http://secrets.rutgers.edu:8080/data/asl-ftp/asllvd/demos/verify_start_end_handshape_annotations//test_auto_move//signs_mov_separ_signers/Brady_16177.mov","MOV")</f>
        <v>21</v>
      </c>
    </row>
    <row r="2353" s="2" customFormat="1" ht="13.5" customHeight="1">
      <c r="B2353" t="s" s="8">
        <v>830</v>
      </c>
      <c r="C2353" t="s" s="9">
        <v>14</v>
      </c>
      <c r="D2353" t="s" s="8">
        <v>14</v>
      </c>
      <c r="E2353" t="s" s="9">
        <v>14</v>
      </c>
      <c r="F2353" t="s" s="10">
        <v>14</v>
      </c>
      <c r="G2353" t="s" s="11">
        <v>14</v>
      </c>
      <c r="H2353" t="s" s="10">
        <v>14</v>
      </c>
      <c r="I2353" t="s" s="11">
        <v>14</v>
      </c>
      <c r="J2353" t="s" s="11">
        <v>14</v>
      </c>
      <c r="K2353" t="s" s="12">
        <v>14</v>
      </c>
      <c r="L2353" t="s" s="12">
        <v>14</v>
      </c>
      <c r="M2353" t="s" s="10">
        <v>14</v>
      </c>
      <c r="N2353" t="s" s="11">
        <v>14</v>
      </c>
      <c r="O2353" t="s" s="8">
        <v>14</v>
      </c>
      <c r="P2353" t="s" s="8">
        <v>14</v>
      </c>
      <c r="Q2353" t="s" s="12">
        <v>14</v>
      </c>
      <c r="R2353" t="s" s="12">
        <v>14</v>
      </c>
    </row>
    <row r="2354" s="2" customFormat="1" ht="13.5" customHeight="1">
      <c r="B2354" s="13"/>
      <c r="C2354" t="s" s="9">
        <v>16</v>
      </c>
      <c r="D2354" t="s" s="8">
        <v>830</v>
      </c>
      <c r="E2354" t="s" s="9">
        <v>830</v>
      </c>
      <c r="F2354" t="s" s="10">
        <v>73</v>
      </c>
      <c r="G2354" s="14"/>
      <c r="H2354" t="s" s="10">
        <v>150</v>
      </c>
      <c r="I2354" s="14"/>
      <c r="J2354" t="s" s="11">
        <v>20</v>
      </c>
      <c r="K2354" s="15"/>
      <c r="L2354" t="s" s="16">
        <f>HYPERLINK("http://csr.bu.edu/ftp/asl/asllvd/demos/verify_start_end_handshape_annotations//test_auto_move//signs_mov_separ_signers/Liz_498.mov","MOV")</f>
        <v>21</v>
      </c>
      <c r="M2354" t="s" s="10">
        <v>22</v>
      </c>
      <c r="N2354" s="17">
        <v>84</v>
      </c>
      <c r="O2354" s="18">
        <v>1280</v>
      </c>
      <c r="P2354" s="18">
        <v>1320</v>
      </c>
      <c r="Q2354" s="15"/>
      <c r="R2354" t="s" s="16">
        <f>HYPERLINK("http://secrets.rutgers.edu:8080/data/asl-ftp/asllvd/demos/verify_start_end_handshape_annotations//test_auto_move//signs_mov_separ_signers/Liz_498.mov","MOV")</f>
        <v>21</v>
      </c>
    </row>
    <row r="2355" s="2" customFormat="1" ht="13.5" customHeight="1">
      <c r="B2355" s="13"/>
      <c r="C2355" t="s" s="9">
        <v>23</v>
      </c>
      <c r="D2355" t="s" s="8">
        <v>830</v>
      </c>
      <c r="E2355" t="s" s="9">
        <v>830</v>
      </c>
      <c r="F2355" s="19">
        <v>5</v>
      </c>
      <c r="G2355" s="14"/>
      <c r="H2355" t="s" s="10">
        <v>148</v>
      </c>
      <c r="I2355" s="14"/>
      <c r="J2355" t="s" s="11">
        <v>20</v>
      </c>
      <c r="K2355" s="15"/>
      <c r="L2355" t="s" s="16">
        <f>HYPERLINK("http://csr.bu.edu/ftp/asl/asllvd/demos/verify_start_end_handshape_annotations//test_auto_move//signs_mov_separ_signers/Tyler_498.mov","MOV")</f>
        <v>21</v>
      </c>
      <c r="M2355" t="s" s="10">
        <v>26</v>
      </c>
      <c r="N2355" s="17">
        <v>50</v>
      </c>
      <c r="O2355" s="18">
        <v>3955</v>
      </c>
      <c r="P2355" s="18">
        <v>3970</v>
      </c>
      <c r="Q2355" s="15"/>
      <c r="R2355" t="s" s="16">
        <f>HYPERLINK("http://secrets.rutgers.edu:8080/data/asl-ftp/asllvd/demos/verify_start_end_handshape_annotations//test_auto_move//signs_mov_separ_signers/Tyler_498.mov","MOV")</f>
        <v>21</v>
      </c>
    </row>
    <row r="2356" s="2" customFormat="1" ht="13.5" customHeight="1">
      <c r="B2356" s="13"/>
      <c r="C2356" t="s" s="9">
        <v>27</v>
      </c>
      <c r="D2356" t="s" s="8">
        <v>830</v>
      </c>
      <c r="E2356" t="s" s="9">
        <v>830</v>
      </c>
      <c r="F2356" s="19">
        <v>5</v>
      </c>
      <c r="G2356" s="14"/>
      <c r="H2356" t="s" s="10">
        <v>72</v>
      </c>
      <c r="I2356" s="14"/>
      <c r="J2356" t="s" s="11">
        <v>20</v>
      </c>
      <c r="K2356" t="s" s="16">
        <f>HYPERLINK("http://csr.bu.edu/ftp/asl/asllvd/demos/verify_start_end_handshape_annotations//test_auto_move//signs_mov/498.mov","MOV")</f>
        <v>21</v>
      </c>
      <c r="L2356" t="s" s="16">
        <f>HYPERLINK("http://csr.bu.edu/ftp/asl/asllvd/demos/verify_start_end_handshape_annotations//test_auto_move//signs_mov_separ_signers/Naomi_498.mov","MOV")</f>
        <v>21</v>
      </c>
      <c r="M2356" t="s" s="10">
        <v>29</v>
      </c>
      <c r="N2356" s="17">
        <v>52</v>
      </c>
      <c r="O2356" s="18">
        <v>3156</v>
      </c>
      <c r="P2356" s="18">
        <v>3182</v>
      </c>
      <c r="Q2356" t="s" s="16">
        <f>HYPERLINK("http://secrets.rutgers.edu:8080/data/asl-ftp/asllvd/demos/verify_start_end_handshape_annotations//test_auto_move//signs_mov/498.mov","MOV")</f>
        <v>21</v>
      </c>
      <c r="R2356" t="s" s="16">
        <f>HYPERLINK("http://secrets.rutgers.edu:8080/data/asl-ftp/asllvd/demos/verify_start_end_handshape_annotations//test_auto_move//signs_mov_separ_signers/Naomi_498.mov","MOV")</f>
        <v>21</v>
      </c>
    </row>
    <row r="2357" s="2" customFormat="1" ht="13.5" customHeight="1">
      <c r="B2357" s="13"/>
      <c r="C2357" t="s" s="9">
        <v>30</v>
      </c>
      <c r="D2357" t="s" s="8">
        <v>830</v>
      </c>
      <c r="E2357" t="s" s="9">
        <v>830</v>
      </c>
      <c r="F2357" s="19">
        <v>5</v>
      </c>
      <c r="G2357" s="14"/>
      <c r="H2357" t="s" s="10">
        <v>85</v>
      </c>
      <c r="I2357" s="14"/>
      <c r="J2357" t="s" s="11">
        <v>20</v>
      </c>
      <c r="K2357" s="15"/>
      <c r="L2357" t="s" s="16">
        <f>HYPERLINK("http://csr.bu.edu/ftp/asl/asllvd/demos/verify_start_end_handshape_annotations//test_auto_move//signs_mov_separ_signers/Brady_498.mov","MOV")</f>
        <v>21</v>
      </c>
      <c r="M2357" t="s" s="10">
        <v>31</v>
      </c>
      <c r="N2357" s="17">
        <v>29</v>
      </c>
      <c r="O2357" s="18">
        <v>1987</v>
      </c>
      <c r="P2357" s="18">
        <v>2003</v>
      </c>
      <c r="Q2357" s="15"/>
      <c r="R2357" t="s" s="16">
        <f>HYPERLINK("http://secrets.rutgers.edu:8080/data/asl-ftp/asllvd/demos/verify_start_end_handshape_annotations//test_auto_move//signs_mov_separ_signers/Brady_498.mov","MOV")</f>
        <v>21</v>
      </c>
    </row>
    <row r="2358" s="2" customFormat="1" ht="13.5" customHeight="1">
      <c r="B2358" s="13"/>
      <c r="C2358" t="s" s="9">
        <v>41</v>
      </c>
      <c r="D2358" t="s" s="8">
        <v>830</v>
      </c>
      <c r="E2358" t="s" s="9">
        <v>830</v>
      </c>
      <c r="F2358" t="s" s="10">
        <v>73</v>
      </c>
      <c r="G2358" s="14"/>
      <c r="H2358" t="s" s="10">
        <v>80</v>
      </c>
      <c r="I2358" s="14"/>
      <c r="J2358" t="s" s="11">
        <v>20</v>
      </c>
      <c r="K2358" s="15"/>
      <c r="L2358" t="s" s="16">
        <f>HYPERLINK("http://csr.bu.edu/ftp/asl/asllvd/demos/verify_start_end_handshape_annotations//test_auto_move//signs_mov_separ_signers/Lana_498.mov","MOV")</f>
        <v>21</v>
      </c>
      <c r="M2358" t="s" s="10">
        <v>42</v>
      </c>
      <c r="N2358" s="17">
        <v>5</v>
      </c>
      <c r="O2358" s="18">
        <v>2654</v>
      </c>
      <c r="P2358" s="18">
        <v>2671</v>
      </c>
      <c r="Q2358" s="15"/>
      <c r="R2358" t="s" s="16">
        <f>HYPERLINK("http://secrets.rutgers.edu:8080/data/asl-ftp/asllvd/demos/verify_start_end_handshape_annotations//test_auto_move//signs_mov_separ_signers/Lana_498.mov","MOV")</f>
        <v>21</v>
      </c>
    </row>
    <row r="2359" s="2" customFormat="1" ht="13.5" customHeight="1">
      <c r="B2359" t="s" s="8">
        <v>831</v>
      </c>
      <c r="C2359" t="s" s="9">
        <v>14</v>
      </c>
      <c r="D2359" t="s" s="8">
        <v>14</v>
      </c>
      <c r="E2359" t="s" s="9">
        <v>14</v>
      </c>
      <c r="F2359" t="s" s="10">
        <v>14</v>
      </c>
      <c r="G2359" t="s" s="11">
        <v>14</v>
      </c>
      <c r="H2359" t="s" s="10">
        <v>14</v>
      </c>
      <c r="I2359" t="s" s="11">
        <v>14</v>
      </c>
      <c r="J2359" t="s" s="11">
        <v>14</v>
      </c>
      <c r="K2359" t="s" s="12">
        <v>14</v>
      </c>
      <c r="L2359" t="s" s="12">
        <v>14</v>
      </c>
      <c r="M2359" t="s" s="10">
        <v>14</v>
      </c>
      <c r="N2359" t="s" s="11">
        <v>14</v>
      </c>
      <c r="O2359" t="s" s="8">
        <v>14</v>
      </c>
      <c r="P2359" t="s" s="8">
        <v>14</v>
      </c>
      <c r="Q2359" t="s" s="12">
        <v>14</v>
      </c>
      <c r="R2359" t="s" s="12">
        <v>14</v>
      </c>
    </row>
    <row r="2360" s="2" customFormat="1" ht="13.5" customHeight="1">
      <c r="B2360" s="13"/>
      <c r="C2360" t="s" s="9">
        <v>16</v>
      </c>
      <c r="D2360" t="s" s="8">
        <v>831</v>
      </c>
      <c r="E2360" t="s" s="9">
        <v>831</v>
      </c>
      <c r="F2360" s="19">
        <v>1</v>
      </c>
      <c r="G2360" s="17">
        <v>1</v>
      </c>
      <c r="H2360" t="s" s="10">
        <v>268</v>
      </c>
      <c r="I2360" t="s" s="11">
        <v>268</v>
      </c>
      <c r="J2360" t="s" s="11">
        <v>20</v>
      </c>
      <c r="K2360" s="15"/>
      <c r="L2360" t="s" s="16">
        <f>HYPERLINK("http://csr.bu.edu/ftp/asl/asllvd/demos/verify_start_end_handshape_annotations//test_auto_move//signs_mov_separ_signers/Liz_499.mov","MOV")</f>
        <v>21</v>
      </c>
      <c r="M2360" t="s" s="10">
        <v>22</v>
      </c>
      <c r="N2360" s="17">
        <v>84</v>
      </c>
      <c r="O2360" s="18">
        <v>1464</v>
      </c>
      <c r="P2360" s="18">
        <v>1486</v>
      </c>
      <c r="Q2360" s="15"/>
      <c r="R2360" t="s" s="16">
        <f>HYPERLINK("http://secrets.rutgers.edu:8080/data/asl-ftp/asllvd/demos/verify_start_end_handshape_annotations//test_auto_move//signs_mov_separ_signers/Liz_499.mov","MOV")</f>
        <v>21</v>
      </c>
    </row>
    <row r="2361" s="2" customFormat="1" ht="13.5" customHeight="1">
      <c r="B2361" s="13"/>
      <c r="C2361" t="s" s="9">
        <v>23</v>
      </c>
      <c r="D2361" t="s" s="8">
        <v>831</v>
      </c>
      <c r="E2361" t="s" s="9">
        <v>831</v>
      </c>
      <c r="F2361" s="19">
        <v>1</v>
      </c>
      <c r="G2361" s="17">
        <v>1</v>
      </c>
      <c r="H2361" t="s" s="10">
        <v>268</v>
      </c>
      <c r="I2361" t="s" s="11">
        <v>268</v>
      </c>
      <c r="J2361" t="s" s="11">
        <v>20</v>
      </c>
      <c r="K2361" t="s" s="16">
        <f>HYPERLINK("http://csr.bu.edu/ftp/asl/asllvd/demos/verify_start_end_handshape_annotations//test_auto_move//signs_mov/499.mov","MOV")</f>
        <v>21</v>
      </c>
      <c r="L2361" t="s" s="16">
        <f>HYPERLINK("http://csr.bu.edu/ftp/asl/asllvd/demos/verify_start_end_handshape_annotations//test_auto_move//signs_mov_separ_signers/Tyler_499.mov","MOV")</f>
        <v>21</v>
      </c>
      <c r="M2361" t="s" s="10">
        <v>26</v>
      </c>
      <c r="N2361" s="17">
        <v>50</v>
      </c>
      <c r="O2361" s="18">
        <v>4177</v>
      </c>
      <c r="P2361" s="18">
        <v>4200</v>
      </c>
      <c r="Q2361" t="s" s="16">
        <f>HYPERLINK("http://secrets.rutgers.edu:8080/data/asl-ftp/asllvd/demos/verify_start_end_handshape_annotations//test_auto_move//signs_mov/499.mov","MOV")</f>
        <v>21</v>
      </c>
      <c r="R2361" t="s" s="16">
        <f>HYPERLINK("http://secrets.rutgers.edu:8080/data/asl-ftp/asllvd/demos/verify_start_end_handshape_annotations//test_auto_move//signs_mov_separ_signers/Tyler_499.mov","MOV")</f>
        <v>21</v>
      </c>
    </row>
    <row r="2362" s="2" customFormat="1" ht="13.5" customHeight="1">
      <c r="B2362" s="13"/>
      <c r="C2362" t="s" s="9">
        <v>27</v>
      </c>
      <c r="D2362" t="s" s="8">
        <v>831</v>
      </c>
      <c r="E2362" t="s" s="9">
        <v>831</v>
      </c>
      <c r="F2362" t="s" s="10">
        <v>268</v>
      </c>
      <c r="G2362" t="s" s="11">
        <v>268</v>
      </c>
      <c r="H2362" t="s" s="10">
        <v>268</v>
      </c>
      <c r="I2362" t="s" s="11">
        <v>268</v>
      </c>
      <c r="J2362" t="s" s="11">
        <v>20</v>
      </c>
      <c r="K2362" s="15"/>
      <c r="L2362" t="s" s="16">
        <f>HYPERLINK("http://csr.bu.edu/ftp/asl/asllvd/demos/verify_start_end_handshape_annotations//test_auto_move//signs_mov_separ_signers/Naomi_499.mov","MOV")</f>
        <v>21</v>
      </c>
      <c r="M2362" t="s" s="10">
        <v>29</v>
      </c>
      <c r="N2362" s="17">
        <v>52</v>
      </c>
      <c r="O2362" s="18">
        <v>3357</v>
      </c>
      <c r="P2362" s="18">
        <v>3375</v>
      </c>
      <c r="Q2362" s="15"/>
      <c r="R2362" t="s" s="16">
        <f>HYPERLINK("http://secrets.rutgers.edu:8080/data/asl-ftp/asllvd/demos/verify_start_end_handshape_annotations//test_auto_move//signs_mov_separ_signers/Naomi_499.mov","MOV")</f>
        <v>21</v>
      </c>
    </row>
    <row r="2363" s="2" customFormat="1" ht="13.5" customHeight="1">
      <c r="B2363" s="13"/>
      <c r="C2363" t="s" s="9">
        <v>30</v>
      </c>
      <c r="D2363" t="s" s="8">
        <v>831</v>
      </c>
      <c r="E2363" t="s" s="9">
        <v>831</v>
      </c>
      <c r="F2363" s="19">
        <v>1</v>
      </c>
      <c r="G2363" s="17">
        <v>1</v>
      </c>
      <c r="H2363" t="s" s="10">
        <v>268</v>
      </c>
      <c r="I2363" t="s" s="11">
        <v>268</v>
      </c>
      <c r="J2363" t="s" s="11">
        <v>20</v>
      </c>
      <c r="K2363" s="15"/>
      <c r="L2363" t="s" s="16">
        <f>HYPERLINK("http://csr.bu.edu/ftp/asl/asllvd/demos/verify_start_end_handshape_annotations//test_auto_move//signs_mov_separ_signers/Brady_499.mov","MOV")</f>
        <v>21</v>
      </c>
      <c r="M2363" t="s" s="10">
        <v>31</v>
      </c>
      <c r="N2363" s="17">
        <v>29</v>
      </c>
      <c r="O2363" s="18">
        <v>832</v>
      </c>
      <c r="P2363" s="18">
        <v>845</v>
      </c>
      <c r="Q2363" s="15"/>
      <c r="R2363" t="s" s="16">
        <f>HYPERLINK("http://secrets.rutgers.edu:8080/data/asl-ftp/asllvd/demos/verify_start_end_handshape_annotations//test_auto_move//signs_mov_separ_signers/Brady_499.mov","MOV")</f>
        <v>21</v>
      </c>
    </row>
    <row r="2364" s="2" customFormat="1" ht="13.5" customHeight="1">
      <c r="B2364" t="s" s="8">
        <v>52</v>
      </c>
      <c r="C2364" t="s" s="9">
        <v>53</v>
      </c>
      <c r="D2364" t="s" s="8">
        <v>53</v>
      </c>
      <c r="E2364" t="s" s="9">
        <v>53</v>
      </c>
      <c r="F2364" t="s" s="10">
        <v>53</v>
      </c>
      <c r="G2364" t="s" s="11">
        <v>53</v>
      </c>
      <c r="H2364" t="s" s="10">
        <v>53</v>
      </c>
      <c r="I2364" t="s" s="11">
        <v>53</v>
      </c>
      <c r="J2364" t="s" s="11">
        <v>53</v>
      </c>
      <c r="K2364" t="s" s="12">
        <v>53</v>
      </c>
      <c r="L2364" t="s" s="12">
        <v>53</v>
      </c>
      <c r="M2364" t="s" s="10">
        <v>53</v>
      </c>
      <c r="N2364" t="s" s="11">
        <v>53</v>
      </c>
      <c r="O2364" t="s" s="8">
        <v>53</v>
      </c>
      <c r="P2364" t="s" s="8">
        <v>53</v>
      </c>
      <c r="Q2364" t="s" s="12">
        <v>53</v>
      </c>
      <c r="R2364" t="s" s="12">
        <v>53</v>
      </c>
    </row>
    <row r="2365" s="2" customFormat="1" ht="13.5" customHeight="1">
      <c r="B2365" s="13"/>
      <c r="C2365" t="s" s="9">
        <v>16</v>
      </c>
      <c r="D2365" t="s" s="8">
        <v>831</v>
      </c>
      <c r="E2365" t="s" s="9">
        <v>832</v>
      </c>
      <c r="F2365" s="19">
        <v>1</v>
      </c>
      <c r="G2365" s="14"/>
      <c r="H2365" t="s" s="10">
        <v>268</v>
      </c>
      <c r="I2365" s="14"/>
      <c r="J2365" t="s" s="11">
        <v>20</v>
      </c>
      <c r="K2365" s="15"/>
      <c r="L2365" t="s" s="16">
        <f>HYPERLINK("http://csr.bu.edu/ftp/asl/asllvd/demos/verify_start_end_handshape_annotations//test_auto_move//signs_mov_separ_signers/Liz_3595.mov","MOV")</f>
        <v>21</v>
      </c>
      <c r="M2365" t="s" s="10">
        <v>22</v>
      </c>
      <c r="N2365" s="17">
        <v>84</v>
      </c>
      <c r="O2365" s="18">
        <v>1670</v>
      </c>
      <c r="P2365" s="18">
        <v>1705</v>
      </c>
      <c r="Q2365" s="15"/>
      <c r="R2365" t="s" s="16">
        <f>HYPERLINK("http://secrets.rutgers.edu:8080/data/asl-ftp/asllvd/demos/verify_start_end_handshape_annotations//test_auto_move//signs_mov_separ_signers/Liz_3595.mov","MOV")</f>
        <v>21</v>
      </c>
    </row>
    <row r="2366" s="2" customFormat="1" ht="13.5" customHeight="1">
      <c r="B2366" s="13"/>
      <c r="C2366" t="s" s="9">
        <v>23</v>
      </c>
      <c r="D2366" t="s" s="8">
        <v>831</v>
      </c>
      <c r="E2366" t="s" s="9">
        <v>832</v>
      </c>
      <c r="F2366" s="19">
        <v>1</v>
      </c>
      <c r="G2366" s="14"/>
      <c r="H2366" t="s" s="10">
        <v>268</v>
      </c>
      <c r="I2366" s="14"/>
      <c r="J2366" t="s" s="11">
        <v>20</v>
      </c>
      <c r="K2366" t="s" s="16">
        <f>HYPERLINK("http://csr.bu.edu/ftp/asl/asllvd/demos/verify_start_end_handshape_annotations//test_auto_move//signs_mov/3595.mov","MOV")</f>
        <v>21</v>
      </c>
      <c r="L2366" t="s" s="16">
        <f>HYPERLINK("http://csr.bu.edu/ftp/asl/asllvd/demos/verify_start_end_handshape_annotations//test_auto_move//signs_mov_separ_signers/Tyler_3595.mov","MOV")</f>
        <v>21</v>
      </c>
      <c r="M2366" t="s" s="10">
        <v>26</v>
      </c>
      <c r="N2366" s="17">
        <v>50</v>
      </c>
      <c r="O2366" s="18">
        <v>4431</v>
      </c>
      <c r="P2366" s="18">
        <v>4460</v>
      </c>
      <c r="Q2366" t="s" s="16">
        <f>HYPERLINK("http://secrets.rutgers.edu:8080/data/asl-ftp/asllvd/demos/verify_start_end_handshape_annotations//test_auto_move//signs_mov/3595.mov","MOV")</f>
        <v>21</v>
      </c>
      <c r="R2366" t="s" s="16">
        <f>HYPERLINK("http://secrets.rutgers.edu:8080/data/asl-ftp/asllvd/demos/verify_start_end_handshape_annotations//test_auto_move//signs_mov_separ_signers/Tyler_3595.mov","MOV")</f>
        <v>21</v>
      </c>
    </row>
    <row r="2367" s="2" customFormat="1" ht="13.5" customHeight="1">
      <c r="B2367" s="13"/>
      <c r="C2367" t="s" s="9">
        <v>27</v>
      </c>
      <c r="D2367" t="s" s="8">
        <v>831</v>
      </c>
      <c r="E2367" t="s" s="9">
        <v>832</v>
      </c>
      <c r="F2367" s="19">
        <v>1</v>
      </c>
      <c r="G2367" s="14"/>
      <c r="H2367" t="s" s="10">
        <v>268</v>
      </c>
      <c r="I2367" s="14"/>
      <c r="J2367" t="s" s="11">
        <v>20</v>
      </c>
      <c r="K2367" s="15"/>
      <c r="L2367" t="s" s="16">
        <f>HYPERLINK("http://csr.bu.edu/ftp/asl/asllvd/demos/verify_start_end_handshape_annotations//test_auto_move//signs_mov_separ_signers/Naomi_3595.mov","MOV")</f>
        <v>21</v>
      </c>
      <c r="M2367" t="s" s="10">
        <v>29</v>
      </c>
      <c r="N2367" s="17">
        <v>52</v>
      </c>
      <c r="O2367" s="18">
        <v>3545</v>
      </c>
      <c r="P2367" s="18">
        <v>3565</v>
      </c>
      <c r="Q2367" s="15"/>
      <c r="R2367" t="s" s="16">
        <f>HYPERLINK("http://secrets.rutgers.edu:8080/data/asl-ftp/asllvd/demos/verify_start_end_handshape_annotations//test_auto_move//signs_mov_separ_signers/Naomi_3595.mov","MOV")</f>
        <v>21</v>
      </c>
    </row>
    <row r="2368" s="2" customFormat="1" ht="13.5" customHeight="1">
      <c r="B2368" s="13"/>
      <c r="C2368" t="s" s="9">
        <v>30</v>
      </c>
      <c r="D2368" t="s" s="8">
        <v>831</v>
      </c>
      <c r="E2368" t="s" s="9">
        <v>832</v>
      </c>
      <c r="F2368" s="19">
        <v>1</v>
      </c>
      <c r="G2368" s="14"/>
      <c r="H2368" t="s" s="10">
        <v>268</v>
      </c>
      <c r="I2368" s="14"/>
      <c r="J2368" t="s" s="11">
        <v>20</v>
      </c>
      <c r="K2368" s="15"/>
      <c r="L2368" t="s" s="16">
        <f>HYPERLINK("http://csr.bu.edu/ftp/asl/asllvd/demos/verify_start_end_handshape_annotations//test_auto_move//signs_mov_separ_signers/Brady_3595.mov","MOV")</f>
        <v>21</v>
      </c>
      <c r="M2368" t="s" s="10">
        <v>31</v>
      </c>
      <c r="N2368" s="17">
        <v>29</v>
      </c>
      <c r="O2368" s="18">
        <v>1127</v>
      </c>
      <c r="P2368" s="18">
        <v>1151</v>
      </c>
      <c r="Q2368" s="15"/>
      <c r="R2368" t="s" s="16">
        <f>HYPERLINK("http://secrets.rutgers.edu:8080/data/asl-ftp/asllvd/demos/verify_start_end_handshape_annotations//test_auto_move//signs_mov_separ_signers/Brady_3595.mov","MOV")</f>
        <v>21</v>
      </c>
    </row>
    <row r="2369" s="2" customFormat="1" ht="13.5" customHeight="1">
      <c r="B2369" t="s" s="8">
        <v>52</v>
      </c>
      <c r="C2369" t="s" s="9">
        <v>53</v>
      </c>
      <c r="D2369" t="s" s="8">
        <v>53</v>
      </c>
      <c r="E2369" t="s" s="9">
        <v>53</v>
      </c>
      <c r="F2369" t="s" s="10">
        <v>53</v>
      </c>
      <c r="G2369" t="s" s="11">
        <v>53</v>
      </c>
      <c r="H2369" t="s" s="10">
        <v>53</v>
      </c>
      <c r="I2369" t="s" s="11">
        <v>53</v>
      </c>
      <c r="J2369" t="s" s="11">
        <v>53</v>
      </c>
      <c r="K2369" t="s" s="12">
        <v>53</v>
      </c>
      <c r="L2369" t="s" s="12">
        <v>53</v>
      </c>
      <c r="M2369" t="s" s="10">
        <v>53</v>
      </c>
      <c r="N2369" t="s" s="11">
        <v>53</v>
      </c>
      <c r="O2369" t="s" s="8">
        <v>53</v>
      </c>
      <c r="P2369" t="s" s="8">
        <v>53</v>
      </c>
      <c r="Q2369" t="s" s="12">
        <v>53</v>
      </c>
      <c r="R2369" t="s" s="12">
        <v>53</v>
      </c>
    </row>
    <row r="2370" s="2" customFormat="1" ht="13.5" customHeight="1">
      <c r="B2370" s="13"/>
      <c r="C2370" t="s" s="9">
        <v>16</v>
      </c>
      <c r="D2370" t="s" s="8">
        <v>831</v>
      </c>
      <c r="E2370" t="s" s="9">
        <v>833</v>
      </c>
      <c r="F2370" s="19">
        <v>1</v>
      </c>
      <c r="G2370" s="17">
        <v>1</v>
      </c>
      <c r="H2370" s="19">
        <v>1</v>
      </c>
      <c r="I2370" s="17">
        <v>1</v>
      </c>
      <c r="J2370" t="s" s="11">
        <v>20</v>
      </c>
      <c r="K2370" s="15"/>
      <c r="L2370" t="s" s="16">
        <f>HYPERLINK("http://csr.bu.edu/ftp/asl/asllvd/demos/verify_start_end_handshape_annotations//test_auto_move//signs_mov_separ_signers/Liz_5980.mov","MOV")</f>
        <v>21</v>
      </c>
      <c r="M2370" t="s" s="10">
        <v>84</v>
      </c>
      <c r="N2370" s="17">
        <v>1</v>
      </c>
      <c r="O2370" s="18">
        <v>185</v>
      </c>
      <c r="P2370" s="18">
        <v>225</v>
      </c>
      <c r="Q2370" s="15"/>
      <c r="R2370" t="s" s="16">
        <f>HYPERLINK("http://secrets.rutgers.edu:8080/data/asl-ftp/asllvd/demos/verify_start_end_handshape_annotations//test_auto_move//signs_mov_separ_signers/Liz_5980.mov","MOV")</f>
        <v>21</v>
      </c>
    </row>
    <row r="2371" s="2" customFormat="1" ht="13.5" customHeight="1">
      <c r="B2371" s="13"/>
      <c r="C2371" t="s" s="9">
        <v>27</v>
      </c>
      <c r="D2371" t="s" s="8">
        <v>831</v>
      </c>
      <c r="E2371" t="s" s="9">
        <v>833</v>
      </c>
      <c r="F2371" s="19">
        <v>1</v>
      </c>
      <c r="G2371" s="17">
        <v>1</v>
      </c>
      <c r="H2371" s="19">
        <v>1</v>
      </c>
      <c r="I2371" s="17">
        <v>1</v>
      </c>
      <c r="J2371" t="s" s="11">
        <v>20</v>
      </c>
      <c r="K2371" t="s" s="16">
        <f>HYPERLINK("http://csr.bu.edu/ftp/asl/asllvd/demos/verify_start_end_handshape_annotations//test_auto_move//signs_mov/5980.mov","MOV")</f>
        <v>21</v>
      </c>
      <c r="L2371" t="s" s="16">
        <f>HYPERLINK("http://csr.bu.edu/ftp/asl/asllvd/demos/verify_start_end_handshape_annotations//test_auto_move//signs_mov_separ_signers/Naomi_5980.mov","MOV")</f>
        <v>21</v>
      </c>
      <c r="M2371" t="s" s="10">
        <v>86</v>
      </c>
      <c r="N2371" s="17">
        <v>1</v>
      </c>
      <c r="O2371" s="18">
        <v>470</v>
      </c>
      <c r="P2371" s="18">
        <v>500</v>
      </c>
      <c r="Q2371" t="s" s="16">
        <f>HYPERLINK("http://secrets.rutgers.edu:8080/data/asl-ftp/asllvd/demos/verify_start_end_handshape_annotations//test_auto_move//signs_mov/5980.mov","MOV")</f>
        <v>21</v>
      </c>
      <c r="R2371" t="s" s="16">
        <f>HYPERLINK("http://secrets.rutgers.edu:8080/data/asl-ftp/asllvd/demos/verify_start_end_handshape_annotations//test_auto_move//signs_mov_separ_signers/Naomi_5980.mov","MOV")</f>
        <v>21</v>
      </c>
    </row>
    <row r="2372" s="2" customFormat="1" ht="13.5" customHeight="1">
      <c r="B2372" s="13"/>
      <c r="C2372" t="s" s="9">
        <v>30</v>
      </c>
      <c r="D2372" t="s" s="8">
        <v>831</v>
      </c>
      <c r="E2372" t="s" s="9">
        <v>833</v>
      </c>
      <c r="F2372" s="19">
        <v>1</v>
      </c>
      <c r="G2372" s="17">
        <v>1</v>
      </c>
      <c r="H2372" s="19">
        <v>1</v>
      </c>
      <c r="I2372" s="17">
        <v>1</v>
      </c>
      <c r="J2372" t="s" s="11">
        <v>20</v>
      </c>
      <c r="K2372" s="15"/>
      <c r="L2372" t="s" s="16">
        <f>HYPERLINK("http://csr.bu.edu/ftp/asl/asllvd/demos/verify_start_end_handshape_annotations//test_auto_move//signs_mov_separ_signers/Brady_5980.mov","MOV")</f>
        <v>21</v>
      </c>
      <c r="M2372" t="s" s="10">
        <v>31</v>
      </c>
      <c r="N2372" s="17">
        <v>29</v>
      </c>
      <c r="O2372" s="18">
        <v>1491</v>
      </c>
      <c r="P2372" s="18">
        <v>1528</v>
      </c>
      <c r="Q2372" s="15"/>
      <c r="R2372" t="s" s="16">
        <f>HYPERLINK("http://secrets.rutgers.edu:8080/data/asl-ftp/asllvd/demos/verify_start_end_handshape_annotations//test_auto_move//signs_mov_separ_signers/Brady_5980.mov","MOV")</f>
        <v>21</v>
      </c>
    </row>
    <row r="2373" s="2" customFormat="1" ht="13.5" customHeight="1">
      <c r="B2373" t="s" s="8">
        <v>834</v>
      </c>
      <c r="C2373" t="s" s="9">
        <v>14</v>
      </c>
      <c r="D2373" t="s" s="8">
        <v>14</v>
      </c>
      <c r="E2373" t="s" s="9">
        <v>14</v>
      </c>
      <c r="F2373" t="s" s="10">
        <v>14</v>
      </c>
      <c r="G2373" t="s" s="11">
        <v>14</v>
      </c>
      <c r="H2373" t="s" s="10">
        <v>14</v>
      </c>
      <c r="I2373" t="s" s="11">
        <v>14</v>
      </c>
      <c r="J2373" t="s" s="11">
        <v>14</v>
      </c>
      <c r="K2373" t="s" s="12">
        <v>14</v>
      </c>
      <c r="L2373" t="s" s="12">
        <v>14</v>
      </c>
      <c r="M2373" t="s" s="10">
        <v>14</v>
      </c>
      <c r="N2373" t="s" s="11">
        <v>14</v>
      </c>
      <c r="O2373" t="s" s="8">
        <v>14</v>
      </c>
      <c r="P2373" t="s" s="8">
        <v>14</v>
      </c>
      <c r="Q2373" t="s" s="12">
        <v>14</v>
      </c>
      <c r="R2373" t="s" s="12">
        <v>14</v>
      </c>
    </row>
    <row r="2374" s="2" customFormat="1" ht="13.5" customHeight="1">
      <c r="B2374" s="13"/>
      <c r="C2374" t="s" s="9">
        <v>16</v>
      </c>
      <c r="D2374" t="s" s="8">
        <v>834</v>
      </c>
      <c r="E2374" t="s" s="9">
        <v>835</v>
      </c>
      <c r="F2374" t="s" s="10">
        <v>185</v>
      </c>
      <c r="G2374" t="s" s="11">
        <v>185</v>
      </c>
      <c r="H2374" t="s" s="10">
        <v>185</v>
      </c>
      <c r="I2374" t="s" s="11">
        <v>185</v>
      </c>
      <c r="J2374" t="s" s="11">
        <v>20</v>
      </c>
      <c r="K2374" s="15"/>
      <c r="L2374" t="s" s="16">
        <f>HYPERLINK("http://csr.bu.edu/ftp/asl/asllvd/demos/verify_start_end_handshape_annotations//test_auto_move//signs_mov_separ_signers/Liz_504.mov","MOV")</f>
        <v>21</v>
      </c>
      <c r="M2374" t="s" s="10">
        <v>84</v>
      </c>
      <c r="N2374" s="17">
        <v>1</v>
      </c>
      <c r="O2374" s="18">
        <v>1065</v>
      </c>
      <c r="P2374" s="18">
        <v>1140</v>
      </c>
      <c r="Q2374" s="15"/>
      <c r="R2374" t="s" s="16">
        <f>HYPERLINK("http://secrets.rutgers.edu:8080/data/asl-ftp/asllvd/demos/verify_start_end_handshape_annotations//test_auto_move//signs_mov_separ_signers/Liz_504.mov","MOV")</f>
        <v>21</v>
      </c>
    </row>
    <row r="2375" s="2" customFormat="1" ht="13.5" customHeight="1">
      <c r="B2375" s="13"/>
      <c r="C2375" t="s" s="9">
        <v>16</v>
      </c>
      <c r="D2375" t="s" s="8">
        <v>834</v>
      </c>
      <c r="E2375" t="s" s="9">
        <v>836</v>
      </c>
      <c r="F2375" t="s" s="10">
        <v>185</v>
      </c>
      <c r="G2375" t="s" s="11">
        <v>185</v>
      </c>
      <c r="H2375" t="s" s="10">
        <v>185</v>
      </c>
      <c r="I2375" t="s" s="11">
        <v>185</v>
      </c>
      <c r="J2375" t="s" s="11">
        <v>20</v>
      </c>
      <c r="K2375" s="15"/>
      <c r="L2375" t="s" s="16">
        <f>HYPERLINK("http://csr.bu.edu/ftp/asl/asllvd/demos/verify_start_end_handshape_annotations//test_auto_move//signs_mov_separ_signers/Liz_5653.mov","MOV")</f>
        <v>21</v>
      </c>
      <c r="M2375" t="s" s="10">
        <v>77</v>
      </c>
      <c r="N2375" s="17">
        <v>26</v>
      </c>
      <c r="O2375" s="18">
        <v>2110</v>
      </c>
      <c r="P2375" s="18">
        <v>2160</v>
      </c>
      <c r="Q2375" s="15"/>
      <c r="R2375" t="s" s="16">
        <f>HYPERLINK("http://secrets.rutgers.edu:8080/data/asl-ftp/asllvd/demos/verify_start_end_handshape_annotations//test_auto_move//signs_mov_separ_signers/Liz_5653.mov","MOV")</f>
        <v>21</v>
      </c>
    </row>
    <row r="2376" s="2" customFormat="1" ht="13.5" customHeight="1">
      <c r="B2376" s="13"/>
      <c r="C2376" t="s" s="9">
        <v>23</v>
      </c>
      <c r="D2376" t="s" s="8">
        <v>834</v>
      </c>
      <c r="E2376" t="s" s="9">
        <v>835</v>
      </c>
      <c r="F2376" t="s" s="10">
        <v>185</v>
      </c>
      <c r="G2376" t="s" s="11">
        <v>185</v>
      </c>
      <c r="H2376" t="s" s="10">
        <v>185</v>
      </c>
      <c r="I2376" t="s" s="11">
        <v>185</v>
      </c>
      <c r="J2376" t="s" s="11">
        <v>20</v>
      </c>
      <c r="K2376" t="s" s="16">
        <f>HYPERLINK("http://csr.bu.edu/ftp/asl/asllvd/demos/verify_start_end_handshape_annotations//test_auto_move//signs_mov/504_5653_merged.mov","MOV")</f>
        <v>21</v>
      </c>
      <c r="L2376" t="s" s="16">
        <f>HYPERLINK("http://csr.bu.edu/ftp/asl/asllvd/demos/verify_start_end_handshape_annotations//test_auto_move//signs_mov_separ_signers/Tyler_504.mov","MOV")</f>
        <v>21</v>
      </c>
      <c r="M2376" t="s" s="10">
        <v>125</v>
      </c>
      <c r="N2376" s="17">
        <v>1</v>
      </c>
      <c r="O2376" s="18">
        <v>1387</v>
      </c>
      <c r="P2376" s="18">
        <v>1436</v>
      </c>
      <c r="Q2376" t="s" s="16">
        <f>HYPERLINK("http://secrets.rutgers.edu:8080/data/asl-ftp/asllvd/demos/verify_start_end_handshape_annotations//test_auto_move//signs_mov/504_5653_merged.mov","MOV")</f>
        <v>21</v>
      </c>
      <c r="R2376" t="s" s="16">
        <f>HYPERLINK("http://secrets.rutgers.edu:8080/data/asl-ftp/asllvd/demos/verify_start_end_handshape_annotations//test_auto_move//signs_mov_separ_signers/Tyler_504.mov","MOV")</f>
        <v>21</v>
      </c>
    </row>
    <row r="2377" s="2" customFormat="1" ht="13.5" customHeight="1">
      <c r="B2377" s="13"/>
      <c r="C2377" t="s" s="9">
        <v>27</v>
      </c>
      <c r="D2377" t="s" s="8">
        <v>834</v>
      </c>
      <c r="E2377" t="s" s="9">
        <v>836</v>
      </c>
      <c r="F2377" t="s" s="10">
        <v>75</v>
      </c>
      <c r="G2377" t="s" s="11">
        <v>75</v>
      </c>
      <c r="H2377" t="s" s="10">
        <v>75</v>
      </c>
      <c r="I2377" t="s" s="11">
        <v>75</v>
      </c>
      <c r="J2377" t="s" s="11">
        <v>20</v>
      </c>
      <c r="K2377" s="15"/>
      <c r="L2377" t="s" s="16">
        <f>HYPERLINK("http://csr.bu.edu/ftp/asl/asllvd/demos/verify_start_end_handshape_annotations//test_auto_move//signs_mov_separ_signers/Naomi_504.mov","MOV")</f>
        <v>21</v>
      </c>
      <c r="M2377" t="s" s="10">
        <v>86</v>
      </c>
      <c r="N2377" s="17">
        <v>1</v>
      </c>
      <c r="O2377" s="18">
        <v>1391</v>
      </c>
      <c r="P2377" s="18">
        <v>1427</v>
      </c>
      <c r="Q2377" s="15"/>
      <c r="R2377" t="s" s="16">
        <f>HYPERLINK("http://secrets.rutgers.edu:8080/data/asl-ftp/asllvd/demos/verify_start_end_handshape_annotations//test_auto_move//signs_mov_separ_signers/Naomi_504.mov","MOV")</f>
        <v>21</v>
      </c>
    </row>
    <row r="2378" s="2" customFormat="1" ht="13.5" customHeight="1">
      <c r="B2378" s="13"/>
      <c r="C2378" t="s" s="9">
        <v>30</v>
      </c>
      <c r="D2378" t="s" s="8">
        <v>834</v>
      </c>
      <c r="E2378" t="s" s="9">
        <v>836</v>
      </c>
      <c r="F2378" t="s" s="10">
        <v>185</v>
      </c>
      <c r="G2378" t="s" s="11">
        <v>185</v>
      </c>
      <c r="H2378" t="s" s="10">
        <v>185</v>
      </c>
      <c r="I2378" t="s" s="11">
        <v>185</v>
      </c>
      <c r="J2378" t="s" s="11">
        <v>20</v>
      </c>
      <c r="K2378" s="15"/>
      <c r="L2378" t="s" s="16">
        <f>HYPERLINK("http://csr.bu.edu/ftp/asl/asllvd/demos/verify_start_end_handshape_annotations//test_auto_move//signs_mov_separ_signers/Brady_504.mov","MOV")</f>
        <v>21</v>
      </c>
      <c r="M2378" t="s" s="10">
        <v>31</v>
      </c>
      <c r="N2378" s="17">
        <v>29</v>
      </c>
      <c r="O2378" s="18">
        <v>3060</v>
      </c>
      <c r="P2378" s="18">
        <v>3090</v>
      </c>
      <c r="Q2378" s="15"/>
      <c r="R2378" t="s" s="16">
        <f>HYPERLINK("http://secrets.rutgers.edu:8080/data/asl-ftp/asllvd/demos/verify_start_end_handshape_annotations//test_auto_move//signs_mov_separ_signers/Brady_504.mov","MOV")</f>
        <v>21</v>
      </c>
    </row>
    <row r="2379" s="2" customFormat="1" ht="13.5" customHeight="1">
      <c r="B2379" s="13"/>
      <c r="C2379" t="s" s="9">
        <v>30</v>
      </c>
      <c r="D2379" t="s" s="8">
        <v>834</v>
      </c>
      <c r="E2379" t="s" s="9">
        <v>836</v>
      </c>
      <c r="F2379" t="s" s="10">
        <v>185</v>
      </c>
      <c r="G2379" t="s" s="11">
        <v>185</v>
      </c>
      <c r="H2379" t="s" s="10">
        <v>185</v>
      </c>
      <c r="I2379" t="s" s="11">
        <v>185</v>
      </c>
      <c r="J2379" t="s" s="11">
        <v>20</v>
      </c>
      <c r="K2379" s="15"/>
      <c r="L2379" t="s" s="16">
        <f>HYPERLINK("http://csr.bu.edu/ftp/asl/asllvd/demos/verify_start_end_handshape_annotations//test_auto_move//signs_mov_separ_signers/Brady_5653.mov","MOV")</f>
        <v>21</v>
      </c>
      <c r="M2379" t="s" s="10">
        <v>31</v>
      </c>
      <c r="N2379" s="17">
        <v>30</v>
      </c>
      <c r="O2379" s="18">
        <v>3111</v>
      </c>
      <c r="P2379" s="18">
        <v>3141</v>
      </c>
      <c r="Q2379" s="15"/>
      <c r="R2379" t="s" s="16">
        <f>HYPERLINK("http://secrets.rutgers.edu:8080/data/asl-ftp/asllvd/demos/verify_start_end_handshape_annotations//test_auto_move//signs_mov_separ_signers/Brady_5653.mov","MOV")</f>
        <v>21</v>
      </c>
    </row>
    <row r="2380" s="2" customFormat="1" ht="13.5" customHeight="1">
      <c r="B2380" t="s" s="8">
        <v>837</v>
      </c>
      <c r="C2380" t="s" s="9">
        <v>14</v>
      </c>
      <c r="D2380" t="s" s="8">
        <v>14</v>
      </c>
      <c r="E2380" t="s" s="9">
        <v>14</v>
      </c>
      <c r="F2380" t="s" s="10">
        <v>14</v>
      </c>
      <c r="G2380" t="s" s="11">
        <v>14</v>
      </c>
      <c r="H2380" t="s" s="10">
        <v>14</v>
      </c>
      <c r="I2380" t="s" s="11">
        <v>14</v>
      </c>
      <c r="J2380" t="s" s="11">
        <v>14</v>
      </c>
      <c r="K2380" t="s" s="12">
        <v>14</v>
      </c>
      <c r="L2380" t="s" s="12">
        <v>14</v>
      </c>
      <c r="M2380" t="s" s="10">
        <v>14</v>
      </c>
      <c r="N2380" t="s" s="11">
        <v>14</v>
      </c>
      <c r="O2380" t="s" s="8">
        <v>14</v>
      </c>
      <c r="P2380" t="s" s="8">
        <v>14</v>
      </c>
      <c r="Q2380" t="s" s="12">
        <v>14</v>
      </c>
      <c r="R2380" t="s" s="12">
        <v>14</v>
      </c>
    </row>
    <row r="2381" s="2" customFormat="1" ht="13.5" customHeight="1">
      <c r="B2381" s="13"/>
      <c r="C2381" t="s" s="9">
        <v>16</v>
      </c>
      <c r="D2381" t="s" s="8">
        <v>837</v>
      </c>
      <c r="E2381" t="s" s="9">
        <v>837</v>
      </c>
      <c r="F2381" t="s" s="10">
        <v>185</v>
      </c>
      <c r="G2381" t="s" s="11">
        <v>185</v>
      </c>
      <c r="H2381" t="s" s="10">
        <v>185</v>
      </c>
      <c r="I2381" t="s" s="11">
        <v>185</v>
      </c>
      <c r="J2381" t="s" s="11">
        <v>20</v>
      </c>
      <c r="K2381" t="s" s="16">
        <f>HYPERLINK("http://csr.bu.edu/ftp/asl/asllvd/demos/verify_start_end_handshape_annotations//test_auto_move//signs_mov/15732.mov","MOV")</f>
        <v>21</v>
      </c>
      <c r="L2381" t="s" s="16">
        <f>HYPERLINK("http://csr.bu.edu/ftp/asl/asllvd/demos/verify_start_end_handshape_annotations//test_auto_move//signs_mov_separ_signers/Liz_15732.mov","MOV")</f>
        <v>21</v>
      </c>
      <c r="M2381" t="s" s="10">
        <v>88</v>
      </c>
      <c r="N2381" s="17">
        <v>6</v>
      </c>
      <c r="O2381" s="18">
        <v>3990</v>
      </c>
      <c r="P2381" s="18">
        <v>4045</v>
      </c>
      <c r="Q2381" t="s" s="16">
        <f>HYPERLINK("http://secrets.rutgers.edu:8080/data/asl-ftp/asllvd/demos/verify_start_end_handshape_annotations//test_auto_move//signs_mov/15732.mov","MOV")</f>
        <v>21</v>
      </c>
      <c r="R2381" t="s" s="16">
        <f>HYPERLINK("http://secrets.rutgers.edu:8080/data/asl-ftp/asllvd/demos/verify_start_end_handshape_annotations//test_auto_move//signs_mov_separ_signers/Liz_15732.mov","MOV")</f>
        <v>21</v>
      </c>
    </row>
    <row r="2382" s="2" customFormat="1" ht="27.75" customHeight="1">
      <c r="B2382" t="s" s="8">
        <v>838</v>
      </c>
      <c r="C2382" t="s" s="9">
        <v>14</v>
      </c>
      <c r="D2382" t="s" s="8">
        <v>14</v>
      </c>
      <c r="E2382" t="s" s="9">
        <v>14</v>
      </c>
      <c r="F2382" t="s" s="10">
        <v>14</v>
      </c>
      <c r="G2382" t="s" s="11">
        <v>14</v>
      </c>
      <c r="H2382" t="s" s="10">
        <v>14</v>
      </c>
      <c r="I2382" t="s" s="11">
        <v>14</v>
      </c>
      <c r="J2382" t="s" s="11">
        <v>14</v>
      </c>
      <c r="K2382" t="s" s="12">
        <v>14</v>
      </c>
      <c r="L2382" t="s" s="12">
        <v>14</v>
      </c>
      <c r="M2382" t="s" s="10">
        <v>14</v>
      </c>
      <c r="N2382" t="s" s="11">
        <v>14</v>
      </c>
      <c r="O2382" t="s" s="8">
        <v>14</v>
      </c>
      <c r="P2382" t="s" s="8">
        <v>14</v>
      </c>
      <c r="Q2382" t="s" s="12">
        <v>14</v>
      </c>
      <c r="R2382" t="s" s="12">
        <v>14</v>
      </c>
    </row>
    <row r="2383" s="2" customFormat="1" ht="27.75" customHeight="1">
      <c r="B2383" s="13"/>
      <c r="C2383" t="s" s="9">
        <v>23</v>
      </c>
      <c r="D2383" t="s" s="8">
        <v>838</v>
      </c>
      <c r="E2383" t="s" s="9">
        <v>838</v>
      </c>
      <c r="F2383" t="s" s="10">
        <v>185</v>
      </c>
      <c r="G2383" t="s" s="11">
        <v>185</v>
      </c>
      <c r="H2383" t="s" s="10">
        <v>185</v>
      </c>
      <c r="I2383" t="s" s="11">
        <v>185</v>
      </c>
      <c r="J2383" t="s" s="11">
        <v>20</v>
      </c>
      <c r="K2383" t="s" s="16">
        <f>HYPERLINK("http://csr.bu.edu/ftp/asl/asllvd/demos/verify_start_end_handshape_annotations//test_auto_move//signs_mov/16181.mov","MOV")</f>
        <v>21</v>
      </c>
      <c r="L2383" t="s" s="16">
        <f>HYPERLINK("http://csr.bu.edu/ftp/asl/asllvd/demos/verify_start_end_handshape_annotations//test_auto_move//signs_mov_separ_signers/Tyler_16181.mov","MOV")</f>
        <v>21</v>
      </c>
      <c r="M2383" t="s" s="10">
        <v>47</v>
      </c>
      <c r="N2383" s="17">
        <v>16</v>
      </c>
      <c r="O2383" s="18">
        <v>1895</v>
      </c>
      <c r="P2383" s="18">
        <v>1930</v>
      </c>
      <c r="Q2383" t="s" s="16">
        <f>HYPERLINK("http://secrets.rutgers.edu:8080/data/asl-ftp/asllvd/demos/verify_start_end_handshape_annotations//test_auto_move//signs_mov/16181.mov","MOV")</f>
        <v>21</v>
      </c>
      <c r="R2383" t="s" s="16">
        <f>HYPERLINK("http://secrets.rutgers.edu:8080/data/asl-ftp/asllvd/demos/verify_start_end_handshape_annotations//test_auto_move//signs_mov_separ_signers/Tyler_16181.mov","MOV")</f>
        <v>21</v>
      </c>
    </row>
    <row r="2384" s="2" customFormat="1" ht="27.75" customHeight="1">
      <c r="B2384" s="13"/>
      <c r="C2384" t="s" s="9">
        <v>30</v>
      </c>
      <c r="D2384" t="s" s="8">
        <v>838</v>
      </c>
      <c r="E2384" t="s" s="9">
        <v>838</v>
      </c>
      <c r="F2384" t="s" s="10">
        <v>185</v>
      </c>
      <c r="G2384" t="s" s="11">
        <v>185</v>
      </c>
      <c r="H2384" t="s" s="10">
        <v>185</v>
      </c>
      <c r="I2384" t="s" s="11">
        <v>185</v>
      </c>
      <c r="J2384" t="s" s="11">
        <v>20</v>
      </c>
      <c r="K2384" s="15"/>
      <c r="L2384" t="s" s="16">
        <f>HYPERLINK("http://csr.bu.edu/ftp/asl/asllvd/demos/verify_start_end_handshape_annotations//test_auto_move//signs_mov_separ_signers/Brady_16181.mov","MOV")</f>
        <v>21</v>
      </c>
      <c r="M2384" t="s" s="10">
        <v>40</v>
      </c>
      <c r="N2384" s="17">
        <v>3</v>
      </c>
      <c r="O2384" s="18">
        <v>2034</v>
      </c>
      <c r="P2384" s="18">
        <v>2077</v>
      </c>
      <c r="Q2384" s="15"/>
      <c r="R2384" t="s" s="16">
        <f>HYPERLINK("http://secrets.rutgers.edu:8080/data/asl-ftp/asllvd/demos/verify_start_end_handshape_annotations//test_auto_move//signs_mov_separ_signers/Brady_16181.mov","MOV")</f>
        <v>21</v>
      </c>
    </row>
    <row r="2385" s="2" customFormat="1" ht="13.5" customHeight="1">
      <c r="B2385" t="s" s="8">
        <v>839</v>
      </c>
      <c r="C2385" t="s" s="9">
        <v>14</v>
      </c>
      <c r="D2385" t="s" s="8">
        <v>14</v>
      </c>
      <c r="E2385" t="s" s="9">
        <v>14</v>
      </c>
      <c r="F2385" t="s" s="10">
        <v>14</v>
      </c>
      <c r="G2385" t="s" s="11">
        <v>14</v>
      </c>
      <c r="H2385" t="s" s="10">
        <v>14</v>
      </c>
      <c r="I2385" t="s" s="11">
        <v>14</v>
      </c>
      <c r="J2385" t="s" s="11">
        <v>14</v>
      </c>
      <c r="K2385" t="s" s="12">
        <v>14</v>
      </c>
      <c r="L2385" t="s" s="12">
        <v>14</v>
      </c>
      <c r="M2385" t="s" s="10">
        <v>14</v>
      </c>
      <c r="N2385" t="s" s="11">
        <v>14</v>
      </c>
      <c r="O2385" t="s" s="8">
        <v>14</v>
      </c>
      <c r="P2385" t="s" s="8">
        <v>14</v>
      </c>
      <c r="Q2385" t="s" s="12">
        <v>14</v>
      </c>
      <c r="R2385" t="s" s="12">
        <v>14</v>
      </c>
    </row>
    <row r="2386" s="2" customFormat="1" ht="13.5" customHeight="1">
      <c r="B2386" s="13"/>
      <c r="C2386" t="s" s="9">
        <v>16</v>
      </c>
      <c r="D2386" t="s" s="8">
        <v>839</v>
      </c>
      <c r="E2386" t="s" s="9">
        <v>840</v>
      </c>
      <c r="F2386" s="19">
        <v>1</v>
      </c>
      <c r="G2386" t="s" s="11">
        <v>185</v>
      </c>
      <c r="H2386" s="19">
        <v>1</v>
      </c>
      <c r="I2386" t="s" s="11">
        <v>185</v>
      </c>
      <c r="J2386" t="s" s="11">
        <v>20</v>
      </c>
      <c r="K2386" s="15"/>
      <c r="L2386" t="s" s="16">
        <f>HYPERLINK("http://csr.bu.edu/ftp/asl/asllvd/demos/verify_start_end_handshape_annotations//test_auto_move//signs_mov_separ_signers/Liz_505.mov","MOV")</f>
        <v>21</v>
      </c>
      <c r="M2386" t="s" s="10">
        <v>84</v>
      </c>
      <c r="N2386" s="17">
        <v>1</v>
      </c>
      <c r="O2386" s="18">
        <v>1495</v>
      </c>
      <c r="P2386" s="18">
        <v>1540</v>
      </c>
      <c r="Q2386" s="15"/>
      <c r="R2386" t="s" s="16">
        <f>HYPERLINK("http://secrets.rutgers.edu:8080/data/asl-ftp/asllvd/demos/verify_start_end_handshape_annotations//test_auto_move//signs_mov_separ_signers/Liz_505.mov","MOV")</f>
        <v>21</v>
      </c>
    </row>
    <row r="2387" s="2" customFormat="1" ht="13.5" customHeight="1">
      <c r="B2387" s="13"/>
      <c r="C2387" t="s" s="9">
        <v>27</v>
      </c>
      <c r="D2387" t="s" s="8">
        <v>839</v>
      </c>
      <c r="E2387" t="s" s="9">
        <v>839</v>
      </c>
      <c r="F2387" s="19">
        <v>1</v>
      </c>
      <c r="G2387" t="s" s="11">
        <v>185</v>
      </c>
      <c r="H2387" s="19">
        <v>1</v>
      </c>
      <c r="I2387" t="s" s="11">
        <v>185</v>
      </c>
      <c r="J2387" t="s" s="11">
        <v>20</v>
      </c>
      <c r="K2387" t="s" s="16">
        <f>HYPERLINK("http://csr.bu.edu/ftp/asl/asllvd/demos/verify_start_end_handshape_annotations//test_auto_move//signs_mov/505.mov","MOV")</f>
        <v>21</v>
      </c>
      <c r="L2387" t="s" s="16">
        <f>HYPERLINK("http://csr.bu.edu/ftp/asl/asllvd/demos/verify_start_end_handshape_annotations//test_auto_move//signs_mov_separ_signers/Naomi_505.mov","MOV")</f>
        <v>21</v>
      </c>
      <c r="M2387" t="s" s="10">
        <v>86</v>
      </c>
      <c r="N2387" s="17">
        <v>1</v>
      </c>
      <c r="O2387" s="18">
        <v>1771</v>
      </c>
      <c r="P2387" s="18">
        <v>1800</v>
      </c>
      <c r="Q2387" t="s" s="16">
        <f>HYPERLINK("http://secrets.rutgers.edu:8080/data/asl-ftp/asllvd/demos/verify_start_end_handshape_annotations//test_auto_move//signs_mov/505.mov","MOV")</f>
        <v>21</v>
      </c>
      <c r="R2387" t="s" s="16">
        <f>HYPERLINK("http://secrets.rutgers.edu:8080/data/asl-ftp/asllvd/demos/verify_start_end_handshape_annotations//test_auto_move//signs_mov_separ_signers/Naomi_505.mov","MOV")</f>
        <v>21</v>
      </c>
    </row>
    <row r="2388" s="2" customFormat="1" ht="13.5" customHeight="1">
      <c r="B2388" s="13"/>
      <c r="C2388" t="s" s="9">
        <v>30</v>
      </c>
      <c r="D2388" t="s" s="8">
        <v>839</v>
      </c>
      <c r="E2388" t="s" s="9">
        <v>840</v>
      </c>
      <c r="F2388" s="19">
        <v>1</v>
      </c>
      <c r="G2388" t="s" s="11">
        <v>185</v>
      </c>
      <c r="H2388" s="19">
        <v>1</v>
      </c>
      <c r="I2388" t="s" s="11">
        <v>185</v>
      </c>
      <c r="J2388" t="s" s="11">
        <v>20</v>
      </c>
      <c r="K2388" s="15"/>
      <c r="L2388" t="s" s="16">
        <f>HYPERLINK("http://csr.bu.edu/ftp/asl/asllvd/demos/verify_start_end_handshape_annotations//test_auto_move//signs_mov_separ_signers/Brady_505.mov","MOV")</f>
        <v>21</v>
      </c>
      <c r="M2388" t="s" s="10">
        <v>31</v>
      </c>
      <c r="N2388" s="17">
        <v>29</v>
      </c>
      <c r="O2388" s="18">
        <v>3800</v>
      </c>
      <c r="P2388" s="18">
        <v>3827</v>
      </c>
      <c r="Q2388" s="15"/>
      <c r="R2388" t="s" s="16">
        <f>HYPERLINK("http://secrets.rutgers.edu:8080/data/asl-ftp/asllvd/demos/verify_start_end_handshape_annotations//test_auto_move//signs_mov_separ_signers/Brady_505.mov","MOV")</f>
        <v>21</v>
      </c>
    </row>
    <row r="2389" s="2" customFormat="1" ht="13.5" customHeight="1">
      <c r="B2389" t="s" s="8">
        <v>841</v>
      </c>
      <c r="C2389" t="s" s="9">
        <v>14</v>
      </c>
      <c r="D2389" t="s" s="8">
        <v>14</v>
      </c>
      <c r="E2389" t="s" s="9">
        <v>14</v>
      </c>
      <c r="F2389" t="s" s="10">
        <v>14</v>
      </c>
      <c r="G2389" t="s" s="11">
        <v>14</v>
      </c>
      <c r="H2389" t="s" s="10">
        <v>14</v>
      </c>
      <c r="I2389" t="s" s="11">
        <v>14</v>
      </c>
      <c r="J2389" t="s" s="11">
        <v>14</v>
      </c>
      <c r="K2389" t="s" s="12">
        <v>14</v>
      </c>
      <c r="L2389" t="s" s="12">
        <v>14</v>
      </c>
      <c r="M2389" t="s" s="10">
        <v>14</v>
      </c>
      <c r="N2389" t="s" s="11">
        <v>14</v>
      </c>
      <c r="O2389" t="s" s="8">
        <v>14</v>
      </c>
      <c r="P2389" t="s" s="8">
        <v>14</v>
      </c>
      <c r="Q2389" t="s" s="12">
        <v>14</v>
      </c>
      <c r="R2389" t="s" s="12">
        <v>14</v>
      </c>
    </row>
    <row r="2390" s="2" customFormat="1" ht="13.5" customHeight="1">
      <c r="B2390" s="13"/>
      <c r="C2390" t="s" s="9">
        <v>16</v>
      </c>
      <c r="D2390" t="s" s="8">
        <v>841</v>
      </c>
      <c r="E2390" t="s" s="9">
        <v>841</v>
      </c>
      <c r="F2390" t="s" s="10">
        <v>73</v>
      </c>
      <c r="G2390" t="s" s="11">
        <v>73</v>
      </c>
      <c r="H2390" t="s" s="10">
        <v>73</v>
      </c>
      <c r="I2390" t="s" s="11">
        <v>73</v>
      </c>
      <c r="J2390" t="s" s="11">
        <v>20</v>
      </c>
      <c r="K2390" s="15"/>
      <c r="L2390" t="s" s="16">
        <f>HYPERLINK("http://csr.bu.edu/ftp/asl/asllvd/demos/verify_start_end_handshape_annotations//test_auto_move//signs_mov_separ_signers/Liz_506.mov","MOV")</f>
        <v>21</v>
      </c>
      <c r="M2390" t="s" s="10">
        <v>84</v>
      </c>
      <c r="N2390" s="17">
        <v>1</v>
      </c>
      <c r="O2390" s="18">
        <v>1755</v>
      </c>
      <c r="P2390" s="18">
        <v>1785</v>
      </c>
      <c r="Q2390" s="15"/>
      <c r="R2390" t="s" s="16">
        <f>HYPERLINK("http://secrets.rutgers.edu:8080/data/asl-ftp/asllvd/demos/verify_start_end_handshape_annotations//test_auto_move//signs_mov_separ_signers/Liz_506.mov","MOV")</f>
        <v>21</v>
      </c>
    </row>
    <row r="2391" s="2" customFormat="1" ht="13.5" customHeight="1">
      <c r="B2391" s="13"/>
      <c r="C2391" t="s" s="9">
        <v>16</v>
      </c>
      <c r="D2391" t="s" s="8">
        <v>841</v>
      </c>
      <c r="E2391" t="s" s="9">
        <v>841</v>
      </c>
      <c r="F2391" t="s" s="10">
        <v>73</v>
      </c>
      <c r="G2391" t="s" s="11">
        <v>73</v>
      </c>
      <c r="H2391" t="s" s="10">
        <v>73</v>
      </c>
      <c r="I2391" t="s" s="11">
        <v>73</v>
      </c>
      <c r="J2391" t="s" s="11">
        <v>20</v>
      </c>
      <c r="K2391" s="15"/>
      <c r="L2391" t="s" s="16">
        <f>HYPERLINK("http://csr.bu.edu/ftp/asl/asllvd/demos/verify_start_end_handshape_annotations//test_auto_move//signs_mov_separ_signers/Liz_3352.mov","MOV")</f>
        <v>21</v>
      </c>
      <c r="M2391" t="s" s="10">
        <v>77</v>
      </c>
      <c r="N2391" s="17">
        <v>1</v>
      </c>
      <c r="O2391" s="18">
        <v>5825</v>
      </c>
      <c r="P2391" s="18">
        <v>5870</v>
      </c>
      <c r="Q2391" s="15"/>
      <c r="R2391" t="s" s="16">
        <f>HYPERLINK("http://secrets.rutgers.edu:8080/data/asl-ftp/asllvd/demos/verify_start_end_handshape_annotations//test_auto_move//signs_mov_separ_signers/Liz_3352.mov","MOV")</f>
        <v>21</v>
      </c>
    </row>
    <row r="2392" s="2" customFormat="1" ht="13.5" customHeight="1">
      <c r="B2392" s="13"/>
      <c r="C2392" t="s" s="9">
        <v>16</v>
      </c>
      <c r="D2392" t="s" s="8">
        <v>841</v>
      </c>
      <c r="E2392" t="s" s="9">
        <v>842</v>
      </c>
      <c r="F2392" t="s" s="10">
        <v>73</v>
      </c>
      <c r="G2392" t="s" s="11">
        <v>73</v>
      </c>
      <c r="H2392" t="s" s="10">
        <v>73</v>
      </c>
      <c r="I2392" t="s" s="11">
        <v>73</v>
      </c>
      <c r="J2392" t="s" s="11">
        <v>20</v>
      </c>
      <c r="K2392" s="15"/>
      <c r="L2392" t="s" s="16">
        <f>HYPERLINK("http://csr.bu.edu/ftp/asl/asllvd/demos/verify_start_end_handshape_annotations//test_auto_move//signs_mov_separ_signers/Liz_5564.mov","MOV")</f>
        <v>21</v>
      </c>
      <c r="M2392" t="s" s="10">
        <v>77</v>
      </c>
      <c r="N2392" s="17">
        <v>1</v>
      </c>
      <c r="O2392" s="18">
        <v>6010</v>
      </c>
      <c r="P2392" s="18">
        <v>6065</v>
      </c>
      <c r="Q2392" s="15"/>
      <c r="R2392" t="s" s="16">
        <f>HYPERLINK("http://secrets.rutgers.edu:8080/data/asl-ftp/asllvd/demos/verify_start_end_handshape_annotations//test_auto_move//signs_mov_separ_signers/Liz_5564.mov","MOV")</f>
        <v>21</v>
      </c>
    </row>
    <row r="2393" s="2" customFormat="1" ht="13.5" customHeight="1">
      <c r="B2393" s="13"/>
      <c r="C2393" t="s" s="9">
        <v>23</v>
      </c>
      <c r="D2393" t="s" s="8">
        <v>841</v>
      </c>
      <c r="E2393" t="s" s="9">
        <v>842</v>
      </c>
      <c r="F2393" t="s" s="10">
        <v>73</v>
      </c>
      <c r="G2393" t="s" s="11">
        <v>73</v>
      </c>
      <c r="H2393" t="s" s="10">
        <v>73</v>
      </c>
      <c r="I2393" t="s" s="11">
        <v>73</v>
      </c>
      <c r="J2393" t="s" s="11">
        <v>20</v>
      </c>
      <c r="K2393" t="s" s="16">
        <f>HYPERLINK("http://csr.bu.edu/ftp/asl/asllvd/demos/verify_start_end_handshape_annotations//test_auto_move//signs_mov/506_3352_5564_merged.mov","MOV")</f>
        <v>21</v>
      </c>
      <c r="L2393" t="s" s="16">
        <f>HYPERLINK("http://csr.bu.edu/ftp/asl/asllvd/demos/verify_start_end_handshape_annotations//test_auto_move//signs_mov_separ_signers/Tyler_506.mov","MOV")</f>
        <v>21</v>
      </c>
      <c r="M2393" t="s" s="10">
        <v>125</v>
      </c>
      <c r="N2393" s="17">
        <v>1</v>
      </c>
      <c r="O2393" s="18">
        <v>2335</v>
      </c>
      <c r="P2393" s="18">
        <v>2370</v>
      </c>
      <c r="Q2393" t="s" s="16">
        <f>HYPERLINK("http://secrets.rutgers.edu:8080/data/asl-ftp/asllvd/demos/verify_start_end_handshape_annotations//test_auto_move//signs_mov/506_3352_5564_merged.mov","MOV")</f>
        <v>21</v>
      </c>
      <c r="R2393" t="s" s="16">
        <f>HYPERLINK("http://secrets.rutgers.edu:8080/data/asl-ftp/asllvd/demos/verify_start_end_handshape_annotations//test_auto_move//signs_mov_separ_signers/Tyler_506.mov","MOV")</f>
        <v>21</v>
      </c>
    </row>
    <row r="2394" s="2" customFormat="1" ht="13.5" customHeight="1">
      <c r="B2394" s="13"/>
      <c r="C2394" t="s" s="9">
        <v>27</v>
      </c>
      <c r="D2394" t="s" s="8">
        <v>841</v>
      </c>
      <c r="E2394" t="s" s="9">
        <v>842</v>
      </c>
      <c r="F2394" t="s" s="10">
        <v>73</v>
      </c>
      <c r="G2394" t="s" s="11">
        <v>73</v>
      </c>
      <c r="H2394" t="s" s="10">
        <v>73</v>
      </c>
      <c r="I2394" t="s" s="11">
        <v>73</v>
      </c>
      <c r="J2394" t="s" s="11">
        <v>20</v>
      </c>
      <c r="K2394" s="15"/>
      <c r="L2394" t="s" s="16">
        <f>HYPERLINK("http://csr.bu.edu/ftp/asl/asllvd/demos/verify_start_end_handshape_annotations//test_auto_move//signs_mov_separ_signers/Naomi_506.mov","MOV")</f>
        <v>21</v>
      </c>
      <c r="M2394" t="s" s="10">
        <v>86</v>
      </c>
      <c r="N2394" s="17">
        <v>1</v>
      </c>
      <c r="O2394" s="18">
        <v>2220</v>
      </c>
      <c r="P2394" s="18">
        <v>2245</v>
      </c>
      <c r="Q2394" s="15"/>
      <c r="R2394" t="s" s="16">
        <f>HYPERLINK("http://secrets.rutgers.edu:8080/data/asl-ftp/asllvd/demos/verify_start_end_handshape_annotations//test_auto_move//signs_mov_separ_signers/Naomi_506.mov","MOV")</f>
        <v>21</v>
      </c>
    </row>
    <row r="2395" s="2" customFormat="1" ht="13.5" customHeight="1">
      <c r="B2395" s="13"/>
      <c r="C2395" t="s" s="9">
        <v>30</v>
      </c>
      <c r="D2395" t="s" s="8">
        <v>841</v>
      </c>
      <c r="E2395" t="s" s="9">
        <v>843</v>
      </c>
      <c r="F2395" t="s" s="10">
        <v>73</v>
      </c>
      <c r="G2395" t="s" s="11">
        <v>73</v>
      </c>
      <c r="H2395" t="s" s="10">
        <v>73</v>
      </c>
      <c r="I2395" t="s" s="11">
        <v>73</v>
      </c>
      <c r="J2395" t="s" s="11">
        <v>20</v>
      </c>
      <c r="K2395" s="15"/>
      <c r="L2395" t="s" s="16">
        <f>HYPERLINK("http://csr.bu.edu/ftp/asl/asllvd/demos/verify_start_end_handshape_annotations//test_auto_move//signs_mov_separ_signers/Brady_506.mov","MOV")</f>
        <v>21</v>
      </c>
      <c r="M2395" t="s" s="10">
        <v>31</v>
      </c>
      <c r="N2395" s="17">
        <v>27</v>
      </c>
      <c r="O2395" s="18">
        <v>15203</v>
      </c>
      <c r="P2395" s="18">
        <v>15230</v>
      </c>
      <c r="Q2395" s="15"/>
      <c r="R2395" t="s" s="16">
        <f>HYPERLINK("http://secrets.rutgers.edu:8080/data/asl-ftp/asllvd/demos/verify_start_end_handshape_annotations//test_auto_move//signs_mov_separ_signers/Brady_506.mov","MOV")</f>
        <v>21</v>
      </c>
    </row>
    <row r="2396" s="2" customFormat="1" ht="13.5" customHeight="1">
      <c r="B2396" s="13"/>
      <c r="C2396" t="s" s="9">
        <v>30</v>
      </c>
      <c r="D2396" t="s" s="8">
        <v>841</v>
      </c>
      <c r="E2396" t="s" s="9">
        <v>843</v>
      </c>
      <c r="F2396" t="s" s="10">
        <v>73</v>
      </c>
      <c r="G2396" t="s" s="11">
        <v>73</v>
      </c>
      <c r="H2396" t="s" s="10">
        <v>73</v>
      </c>
      <c r="I2396" t="s" s="11">
        <v>73</v>
      </c>
      <c r="J2396" t="s" s="11">
        <v>20</v>
      </c>
      <c r="K2396" s="15"/>
      <c r="L2396" t="s" s="16">
        <f>HYPERLINK("http://csr.bu.edu/ftp/asl/asllvd/demos/verify_start_end_handshape_annotations//test_auto_move//signs_mov_separ_signers/Brady_3352.mov","MOV")</f>
        <v>21</v>
      </c>
      <c r="M2396" t="s" s="10">
        <v>31</v>
      </c>
      <c r="N2396" s="17">
        <v>29</v>
      </c>
      <c r="O2396" s="18">
        <v>3336</v>
      </c>
      <c r="P2396" s="18">
        <v>3375</v>
      </c>
      <c r="Q2396" s="15"/>
      <c r="R2396" t="s" s="16">
        <f>HYPERLINK("http://secrets.rutgers.edu:8080/data/asl-ftp/asllvd/demos/verify_start_end_handshape_annotations//test_auto_move//signs_mov_separ_signers/Brady_3352.mov","MOV")</f>
        <v>21</v>
      </c>
    </row>
    <row r="2397" s="2" customFormat="1" ht="13.5" customHeight="1">
      <c r="B2397" t="s" s="8">
        <v>52</v>
      </c>
      <c r="C2397" t="s" s="9">
        <v>53</v>
      </c>
      <c r="D2397" t="s" s="8">
        <v>53</v>
      </c>
      <c r="E2397" t="s" s="9">
        <v>53</v>
      </c>
      <c r="F2397" t="s" s="10">
        <v>53</v>
      </c>
      <c r="G2397" t="s" s="11">
        <v>53</v>
      </c>
      <c r="H2397" t="s" s="10">
        <v>53</v>
      </c>
      <c r="I2397" t="s" s="11">
        <v>53</v>
      </c>
      <c r="J2397" t="s" s="11">
        <v>53</v>
      </c>
      <c r="K2397" t="s" s="12">
        <v>53</v>
      </c>
      <c r="L2397" t="s" s="12">
        <v>53</v>
      </c>
      <c r="M2397" t="s" s="10">
        <v>53</v>
      </c>
      <c r="N2397" t="s" s="11">
        <v>53</v>
      </c>
      <c r="O2397" t="s" s="8">
        <v>53</v>
      </c>
      <c r="P2397" t="s" s="8">
        <v>53</v>
      </c>
      <c r="Q2397" t="s" s="12">
        <v>53</v>
      </c>
      <c r="R2397" t="s" s="12">
        <v>53</v>
      </c>
    </row>
    <row r="2398" s="2" customFormat="1" ht="13.5" customHeight="1">
      <c r="B2398" s="13"/>
      <c r="C2398" t="s" s="9">
        <v>16</v>
      </c>
      <c r="D2398" t="s" s="8">
        <v>841</v>
      </c>
      <c r="E2398" t="s" s="9">
        <v>844</v>
      </c>
      <c r="F2398" t="s" s="10">
        <v>73</v>
      </c>
      <c r="G2398" t="s" s="11">
        <v>73</v>
      </c>
      <c r="H2398" t="s" s="10">
        <v>73</v>
      </c>
      <c r="I2398" t="s" s="11">
        <v>73</v>
      </c>
      <c r="J2398" t="s" s="11">
        <v>20</v>
      </c>
      <c r="K2398" t="s" s="16">
        <f>HYPERLINK("http://csr.bu.edu/ftp/asl/asllvd/demos/verify_start_end_handshape_annotations//test_auto_move//signs_mov/15503.mov","MOV")</f>
        <v>21</v>
      </c>
      <c r="L2398" t="s" s="16">
        <f>HYPERLINK("http://csr.bu.edu/ftp/asl/asllvd/demos/verify_start_end_handshape_annotations//test_auto_move//signs_mov_separ_signers/Liz_15503.mov","MOV")</f>
        <v>21</v>
      </c>
      <c r="M2398" t="s" s="10">
        <v>59</v>
      </c>
      <c r="N2398" s="17">
        <v>21</v>
      </c>
      <c r="O2398" s="18">
        <v>1967</v>
      </c>
      <c r="P2398" s="18">
        <v>2015</v>
      </c>
      <c r="Q2398" t="s" s="16">
        <f>HYPERLINK("http://secrets.rutgers.edu:8080/data/asl-ftp/asllvd/demos/verify_start_end_handshape_annotations//test_auto_move//signs_mov/15503.mov","MOV")</f>
        <v>21</v>
      </c>
      <c r="R2398" t="s" s="16">
        <f>HYPERLINK("http://secrets.rutgers.edu:8080/data/asl-ftp/asllvd/demos/verify_start_end_handshape_annotations//test_auto_move//signs_mov_separ_signers/Liz_15503.mov","MOV")</f>
        <v>21</v>
      </c>
    </row>
    <row r="2399" s="2" customFormat="1" ht="13.5" customHeight="1">
      <c r="B2399" s="13"/>
      <c r="C2399" t="s" s="9">
        <v>30</v>
      </c>
      <c r="D2399" t="s" s="8">
        <v>841</v>
      </c>
      <c r="E2399" t="s" s="9">
        <v>845</v>
      </c>
      <c r="F2399" t="s" s="10">
        <v>73</v>
      </c>
      <c r="G2399" t="s" s="11">
        <v>73</v>
      </c>
      <c r="H2399" t="s" s="10">
        <v>73</v>
      </c>
      <c r="I2399" t="s" s="11">
        <v>73</v>
      </c>
      <c r="J2399" t="s" s="11">
        <v>20</v>
      </c>
      <c r="K2399" s="15"/>
      <c r="L2399" t="s" s="16">
        <f>HYPERLINK("http://csr.bu.edu/ftp/asl/asllvd/demos/verify_start_end_handshape_annotations//test_auto_move//signs_mov_separ_signers/Brady_15503.mov","MOV")</f>
        <v>21</v>
      </c>
      <c r="M2399" t="s" s="10">
        <v>60</v>
      </c>
      <c r="N2399" s="17">
        <v>9</v>
      </c>
      <c r="O2399" s="18">
        <v>1790</v>
      </c>
      <c r="P2399" s="18">
        <v>1840</v>
      </c>
      <c r="Q2399" s="15"/>
      <c r="R2399" t="s" s="16">
        <f>HYPERLINK("http://secrets.rutgers.edu:8080/data/asl-ftp/asllvd/demos/verify_start_end_handshape_annotations//test_auto_move//signs_mov_separ_signers/Brady_15503.mov","MOV")</f>
        <v>21</v>
      </c>
    </row>
    <row r="2400" s="2" customFormat="1" ht="13.5" customHeight="1">
      <c r="B2400" t="s" s="8">
        <v>52</v>
      </c>
      <c r="C2400" t="s" s="9">
        <v>53</v>
      </c>
      <c r="D2400" t="s" s="8">
        <v>53</v>
      </c>
      <c r="E2400" t="s" s="9">
        <v>53</v>
      </c>
      <c r="F2400" t="s" s="10">
        <v>53</v>
      </c>
      <c r="G2400" t="s" s="11">
        <v>53</v>
      </c>
      <c r="H2400" t="s" s="10">
        <v>53</v>
      </c>
      <c r="I2400" t="s" s="11">
        <v>53</v>
      </c>
      <c r="J2400" t="s" s="11">
        <v>53</v>
      </c>
      <c r="K2400" t="s" s="12">
        <v>53</v>
      </c>
      <c r="L2400" t="s" s="12">
        <v>53</v>
      </c>
      <c r="M2400" t="s" s="10">
        <v>53</v>
      </c>
      <c r="N2400" t="s" s="11">
        <v>53</v>
      </c>
      <c r="O2400" t="s" s="8">
        <v>53</v>
      </c>
      <c r="P2400" t="s" s="8">
        <v>53</v>
      </c>
      <c r="Q2400" t="s" s="12">
        <v>53</v>
      </c>
      <c r="R2400" t="s" s="12">
        <v>53</v>
      </c>
    </row>
    <row r="2401" s="2" customFormat="1" ht="13.5" customHeight="1">
      <c r="B2401" s="13"/>
      <c r="C2401" t="s" s="9">
        <v>16</v>
      </c>
      <c r="D2401" t="s" s="8">
        <v>841</v>
      </c>
      <c r="E2401" t="s" s="9">
        <v>846</v>
      </c>
      <c r="F2401" t="s" s="10">
        <v>73</v>
      </c>
      <c r="G2401" t="s" s="11">
        <v>73</v>
      </c>
      <c r="H2401" t="s" s="10">
        <v>73</v>
      </c>
      <c r="I2401" t="s" s="11">
        <v>73</v>
      </c>
      <c r="J2401" t="s" s="11">
        <v>20</v>
      </c>
      <c r="K2401" t="s" s="16">
        <f>HYPERLINK("http://csr.bu.edu/ftp/asl/asllvd/demos/verify_start_end_handshape_annotations//test_auto_move//signs_mov/15514.mov","MOV")</f>
        <v>21</v>
      </c>
      <c r="L2401" t="s" s="16">
        <f>HYPERLINK("http://csr.bu.edu/ftp/asl/asllvd/demos/verify_start_end_handshape_annotations//test_auto_move//signs_mov_separ_signers/Liz_15514.mov","MOV")</f>
        <v>21</v>
      </c>
      <c r="M2401" t="s" s="10">
        <v>77</v>
      </c>
      <c r="N2401" s="17">
        <v>26</v>
      </c>
      <c r="O2401" s="18">
        <v>820</v>
      </c>
      <c r="P2401" s="18">
        <v>880</v>
      </c>
      <c r="Q2401" t="s" s="16">
        <f>HYPERLINK("http://secrets.rutgers.edu:8080/data/asl-ftp/asllvd/demos/verify_start_end_handshape_annotations//test_auto_move//signs_mov/15514.mov","MOV")</f>
        <v>21</v>
      </c>
      <c r="R2401" t="s" s="16">
        <f>HYPERLINK("http://secrets.rutgers.edu:8080/data/asl-ftp/asllvd/demos/verify_start_end_handshape_annotations//test_auto_move//signs_mov_separ_signers/Liz_15514.mov","MOV")</f>
        <v>21</v>
      </c>
    </row>
    <row r="2402" s="2" customFormat="1" ht="13.5" customHeight="1">
      <c r="B2402" t="s" s="8">
        <v>847</v>
      </c>
      <c r="C2402" t="s" s="9">
        <v>14</v>
      </c>
      <c r="D2402" t="s" s="8">
        <v>14</v>
      </c>
      <c r="E2402" t="s" s="9">
        <v>14</v>
      </c>
      <c r="F2402" t="s" s="10">
        <v>14</v>
      </c>
      <c r="G2402" t="s" s="11">
        <v>14</v>
      </c>
      <c r="H2402" t="s" s="10">
        <v>14</v>
      </c>
      <c r="I2402" t="s" s="11">
        <v>14</v>
      </c>
      <c r="J2402" t="s" s="11">
        <v>14</v>
      </c>
      <c r="K2402" t="s" s="12">
        <v>14</v>
      </c>
      <c r="L2402" t="s" s="12">
        <v>14</v>
      </c>
      <c r="M2402" t="s" s="10">
        <v>14</v>
      </c>
      <c r="N2402" t="s" s="11">
        <v>14</v>
      </c>
      <c r="O2402" t="s" s="8">
        <v>14</v>
      </c>
      <c r="P2402" t="s" s="8">
        <v>14</v>
      </c>
      <c r="Q2402" t="s" s="12">
        <v>14</v>
      </c>
      <c r="R2402" t="s" s="12">
        <v>14</v>
      </c>
    </row>
    <row r="2403" s="2" customFormat="1" ht="13.5" customHeight="1">
      <c r="B2403" s="13"/>
      <c r="C2403" t="s" s="9">
        <v>16</v>
      </c>
      <c r="D2403" t="s" s="8">
        <v>847</v>
      </c>
      <c r="E2403" t="s" s="9">
        <v>848</v>
      </c>
      <c r="F2403" s="19">
        <v>10</v>
      </c>
      <c r="G2403" s="14"/>
      <c r="H2403" s="19">
        <v>10</v>
      </c>
      <c r="I2403" s="14"/>
      <c r="J2403" t="s" s="11">
        <v>20</v>
      </c>
      <c r="K2403" s="15"/>
      <c r="L2403" t="s" s="16">
        <f>HYPERLINK("http://csr.bu.edu/ftp/asl/asllvd/demos/verify_start_end_handshape_annotations//test_auto_move//signs_mov_separ_signers/Liz_507.mov","MOV")</f>
        <v>21</v>
      </c>
      <c r="M2403" t="s" s="10">
        <v>84</v>
      </c>
      <c r="N2403" s="17">
        <v>1</v>
      </c>
      <c r="O2403" s="18">
        <v>2075</v>
      </c>
      <c r="P2403" s="18">
        <v>2140</v>
      </c>
      <c r="Q2403" s="15"/>
      <c r="R2403" t="s" s="16">
        <f>HYPERLINK("http://secrets.rutgers.edu:8080/data/asl-ftp/asllvd/demos/verify_start_end_handshape_annotations//test_auto_move//signs_mov_separ_signers/Liz_507.mov","MOV")</f>
        <v>21</v>
      </c>
    </row>
    <row r="2404" s="2" customFormat="1" ht="13.5" customHeight="1">
      <c r="B2404" s="13"/>
      <c r="C2404" t="s" s="9">
        <v>23</v>
      </c>
      <c r="D2404" t="s" s="8">
        <v>847</v>
      </c>
      <c r="E2404" t="s" s="9">
        <v>848</v>
      </c>
      <c r="F2404" s="19">
        <v>10</v>
      </c>
      <c r="G2404" s="14"/>
      <c r="H2404" s="19">
        <v>10</v>
      </c>
      <c r="I2404" s="14"/>
      <c r="J2404" t="s" s="11">
        <v>20</v>
      </c>
      <c r="K2404" t="s" s="16">
        <f>HYPERLINK("http://csr.bu.edu/ftp/asl/asllvd/demos/verify_start_end_handshape_annotations//test_auto_move//signs_mov/507.mov","MOV")</f>
        <v>21</v>
      </c>
      <c r="L2404" t="s" s="16">
        <f>HYPERLINK("http://csr.bu.edu/ftp/asl/asllvd/demos/verify_start_end_handshape_annotations//test_auto_move//signs_mov_separ_signers/Tyler_507.mov","MOV")</f>
        <v>21</v>
      </c>
      <c r="M2404" t="s" s="10">
        <v>125</v>
      </c>
      <c r="N2404" s="17">
        <v>1</v>
      </c>
      <c r="O2404" s="18">
        <v>2616</v>
      </c>
      <c r="P2404" s="18">
        <v>2670</v>
      </c>
      <c r="Q2404" t="s" s="16">
        <f>HYPERLINK("http://secrets.rutgers.edu:8080/data/asl-ftp/asllvd/demos/verify_start_end_handshape_annotations//test_auto_move//signs_mov/507.mov","MOV")</f>
        <v>21</v>
      </c>
      <c r="R2404" t="s" s="16">
        <f>HYPERLINK("http://secrets.rutgers.edu:8080/data/asl-ftp/asllvd/demos/verify_start_end_handshape_annotations//test_auto_move//signs_mov_separ_signers/Tyler_507.mov","MOV")</f>
        <v>21</v>
      </c>
    </row>
    <row r="2405" s="2" customFormat="1" ht="13.5" customHeight="1">
      <c r="B2405" s="13"/>
      <c r="C2405" t="s" s="9">
        <v>27</v>
      </c>
      <c r="D2405" t="s" s="8">
        <v>847</v>
      </c>
      <c r="E2405" t="s" s="9">
        <v>849</v>
      </c>
      <c r="F2405" s="19">
        <v>10</v>
      </c>
      <c r="G2405" s="14"/>
      <c r="H2405" s="19">
        <v>10</v>
      </c>
      <c r="I2405" s="14"/>
      <c r="J2405" t="s" s="11">
        <v>20</v>
      </c>
      <c r="K2405" s="15"/>
      <c r="L2405" t="s" s="16">
        <f>HYPERLINK("http://csr.bu.edu/ftp/asl/asllvd/demos/verify_start_end_handshape_annotations//test_auto_move//signs_mov_separ_signers/Naomi_507.mov","MOV")</f>
        <v>21</v>
      </c>
      <c r="M2405" t="s" s="10">
        <v>86</v>
      </c>
      <c r="N2405" s="17">
        <v>1</v>
      </c>
      <c r="O2405" s="18">
        <v>2515</v>
      </c>
      <c r="P2405" s="18">
        <v>2575</v>
      </c>
      <c r="Q2405" s="15"/>
      <c r="R2405" t="s" s="16">
        <f>HYPERLINK("http://secrets.rutgers.edu:8080/data/asl-ftp/asllvd/demos/verify_start_end_handshape_annotations//test_auto_move//signs_mov_separ_signers/Naomi_507.mov","MOV")</f>
        <v>21</v>
      </c>
    </row>
    <row r="2406" s="2" customFormat="1" ht="13.5" customHeight="1">
      <c r="B2406" s="13"/>
      <c r="C2406" t="s" s="9">
        <v>30</v>
      </c>
      <c r="D2406" t="s" s="8">
        <v>847</v>
      </c>
      <c r="E2406" t="s" s="9">
        <v>849</v>
      </c>
      <c r="F2406" s="19">
        <v>10</v>
      </c>
      <c r="G2406" s="14"/>
      <c r="H2406" s="19">
        <v>10</v>
      </c>
      <c r="I2406" s="14"/>
      <c r="J2406" t="s" s="11">
        <v>20</v>
      </c>
      <c r="K2406" s="15"/>
      <c r="L2406" t="s" s="16">
        <f>HYPERLINK("http://csr.bu.edu/ftp/asl/asllvd/demos/verify_start_end_handshape_annotations//test_auto_move//signs_mov_separ_signers/Brady_507.mov","MOV")</f>
        <v>21</v>
      </c>
      <c r="M2406" t="s" s="10">
        <v>31</v>
      </c>
      <c r="N2406" s="17">
        <v>29</v>
      </c>
      <c r="O2406" s="18">
        <v>4613</v>
      </c>
      <c r="P2406" s="18">
        <v>4657</v>
      </c>
      <c r="Q2406" s="15"/>
      <c r="R2406" t="s" s="16">
        <f>HYPERLINK("http://secrets.rutgers.edu:8080/data/asl-ftp/asllvd/demos/verify_start_end_handshape_annotations//test_auto_move//signs_mov_separ_signers/Brady_507.mov","MOV")</f>
        <v>21</v>
      </c>
    </row>
    <row r="2407" s="2" customFormat="1" ht="13.5" customHeight="1">
      <c r="B2407" t="s" s="8">
        <v>850</v>
      </c>
      <c r="C2407" t="s" s="9">
        <v>14</v>
      </c>
      <c r="D2407" t="s" s="8">
        <v>14</v>
      </c>
      <c r="E2407" t="s" s="9">
        <v>14</v>
      </c>
      <c r="F2407" t="s" s="10">
        <v>14</v>
      </c>
      <c r="G2407" t="s" s="11">
        <v>14</v>
      </c>
      <c r="H2407" t="s" s="10">
        <v>14</v>
      </c>
      <c r="I2407" t="s" s="11">
        <v>14</v>
      </c>
      <c r="J2407" t="s" s="11">
        <v>14</v>
      </c>
      <c r="K2407" t="s" s="12">
        <v>14</v>
      </c>
      <c r="L2407" t="s" s="12">
        <v>14</v>
      </c>
      <c r="M2407" t="s" s="10">
        <v>14</v>
      </c>
      <c r="N2407" t="s" s="11">
        <v>14</v>
      </c>
      <c r="O2407" t="s" s="8">
        <v>14</v>
      </c>
      <c r="P2407" t="s" s="8">
        <v>14</v>
      </c>
      <c r="Q2407" t="s" s="12">
        <v>14</v>
      </c>
      <c r="R2407" t="s" s="12">
        <v>14</v>
      </c>
    </row>
    <row r="2408" s="2" customFormat="1" ht="13.5" customHeight="1">
      <c r="B2408" s="13"/>
      <c r="C2408" t="s" s="9">
        <v>27</v>
      </c>
      <c r="D2408" t="s" s="8">
        <v>850</v>
      </c>
      <c r="E2408" t="s" s="9">
        <v>851</v>
      </c>
      <c r="F2408" t="s" s="10">
        <v>185</v>
      </c>
      <c r="G2408" t="s" s="11">
        <v>105</v>
      </c>
      <c r="H2408" t="s" s="10">
        <v>185</v>
      </c>
      <c r="I2408" t="s" s="11">
        <v>105</v>
      </c>
      <c r="J2408" t="s" s="11">
        <v>136</v>
      </c>
      <c r="K2408" t="s" s="16">
        <f>HYPERLINK("http://csr.bu.edu/ftp/asl/asllvd/demos/verify_start_end_handshape_annotations//test_auto_move//signs_mov/513.mov","MOV")</f>
        <v>21</v>
      </c>
      <c r="L2408" t="s" s="16">
        <f>HYPERLINK("http://csr.bu.edu/ftp/asl/asllvd/demos/verify_start_end_handshape_annotations//test_auto_move//signs_mov_separ_signers/Naomi_513.mov","MOV")</f>
        <v>21</v>
      </c>
      <c r="M2408" t="s" s="10">
        <v>86</v>
      </c>
      <c r="N2408" s="17">
        <v>2</v>
      </c>
      <c r="O2408" s="18">
        <v>856</v>
      </c>
      <c r="P2408" s="18">
        <v>889</v>
      </c>
      <c r="Q2408" t="s" s="16">
        <f>HYPERLINK("http://secrets.rutgers.edu:8080/data/asl-ftp/asllvd/demos/verify_start_end_handshape_annotations//test_auto_move//signs_mov/513.mov","MOV")</f>
        <v>21</v>
      </c>
      <c r="R2408" t="s" s="16">
        <f>HYPERLINK("http://secrets.rutgers.edu:8080/data/asl-ftp/asllvd/demos/verify_start_end_handshape_annotations//test_auto_move//signs_mov_separ_signers/Naomi_513.mov","MOV")</f>
        <v>21</v>
      </c>
    </row>
    <row r="2409" s="2" customFormat="1" ht="13.5" customHeight="1">
      <c r="B2409" s="13"/>
      <c r="C2409" t="s" s="9">
        <v>43</v>
      </c>
      <c r="D2409" t="s" s="8">
        <v>850</v>
      </c>
      <c r="E2409" t="s" s="9">
        <v>852</v>
      </c>
      <c r="F2409" t="s" s="10">
        <v>185</v>
      </c>
      <c r="G2409" t="s" s="11">
        <v>73</v>
      </c>
      <c r="H2409" t="s" s="10">
        <v>185</v>
      </c>
      <c r="I2409" t="s" s="11">
        <v>73</v>
      </c>
      <c r="J2409" t="s" s="11">
        <v>136</v>
      </c>
      <c r="K2409" s="15"/>
      <c r="L2409" t="s" s="16">
        <f>HYPERLINK("http://csr.bu.edu/ftp/asl/asllvd/demos/verify_start_end_handshape_annotations//test_auto_move//signs_mov_separ_signers/Dana_513.mov","MOV")</f>
        <v>21</v>
      </c>
      <c r="M2409" t="s" s="10">
        <v>44</v>
      </c>
      <c r="N2409" s="17">
        <v>10</v>
      </c>
      <c r="O2409" s="18">
        <v>441</v>
      </c>
      <c r="P2409" s="18">
        <v>522</v>
      </c>
      <c r="Q2409" s="15"/>
      <c r="R2409" t="s" s="16">
        <f>HYPERLINK("http://secrets.rutgers.edu:8080/data/asl-ftp/asllvd/demos/verify_start_end_handshape_annotations//test_auto_move//signs_mov_separ_signers/Dana_513.mov","MOV")</f>
        <v>21</v>
      </c>
    </row>
    <row r="2410" s="2" customFormat="1" ht="13.5" customHeight="1">
      <c r="B2410" t="s" s="8">
        <v>52</v>
      </c>
      <c r="C2410" t="s" s="9">
        <v>53</v>
      </c>
      <c r="D2410" t="s" s="8">
        <v>53</v>
      </c>
      <c r="E2410" t="s" s="9">
        <v>53</v>
      </c>
      <c r="F2410" t="s" s="10">
        <v>53</v>
      </c>
      <c r="G2410" t="s" s="11">
        <v>53</v>
      </c>
      <c r="H2410" t="s" s="10">
        <v>53</v>
      </c>
      <c r="I2410" t="s" s="11">
        <v>53</v>
      </c>
      <c r="J2410" t="s" s="11">
        <v>53</v>
      </c>
      <c r="K2410" t="s" s="12">
        <v>53</v>
      </c>
      <c r="L2410" t="s" s="12">
        <v>53</v>
      </c>
      <c r="M2410" t="s" s="10">
        <v>53</v>
      </c>
      <c r="N2410" t="s" s="11">
        <v>53</v>
      </c>
      <c r="O2410" t="s" s="8">
        <v>53</v>
      </c>
      <c r="P2410" t="s" s="8">
        <v>53</v>
      </c>
      <c r="Q2410" t="s" s="12">
        <v>53</v>
      </c>
      <c r="R2410" t="s" s="12">
        <v>53</v>
      </c>
    </row>
    <row r="2411" s="2" customFormat="1" ht="13.5" customHeight="1">
      <c r="B2411" s="13"/>
      <c r="C2411" t="s" s="9">
        <v>23</v>
      </c>
      <c r="D2411" t="s" s="8">
        <v>850</v>
      </c>
      <c r="E2411" t="s" s="9">
        <v>853</v>
      </c>
      <c r="F2411" t="s" s="10">
        <v>185</v>
      </c>
      <c r="G2411" t="s" s="11">
        <v>105</v>
      </c>
      <c r="H2411" t="s" s="10">
        <v>185</v>
      </c>
      <c r="I2411" t="s" s="11">
        <v>105</v>
      </c>
      <c r="J2411" t="s" s="11">
        <v>136</v>
      </c>
      <c r="K2411" s="15"/>
      <c r="L2411" t="s" s="16">
        <f>HYPERLINK("http://csr.bu.edu/ftp/asl/asllvd/demos/verify_start_end_handshape_annotations//test_auto_move//signs_mov_separ_signers/Tyler_3867.mov","MOV")</f>
        <v>21</v>
      </c>
      <c r="M2411" t="s" s="10">
        <v>125</v>
      </c>
      <c r="N2411" s="17">
        <v>2</v>
      </c>
      <c r="O2411" s="18">
        <v>811</v>
      </c>
      <c r="P2411" s="18">
        <v>867</v>
      </c>
      <c r="Q2411" s="15"/>
      <c r="R2411" t="s" s="16">
        <f>HYPERLINK("http://secrets.rutgers.edu:8080/data/asl-ftp/asllvd/demos/verify_start_end_handshape_annotations//test_auto_move//signs_mov_separ_signers/Tyler_3867.mov","MOV")</f>
        <v>21</v>
      </c>
    </row>
    <row r="2412" s="2" customFormat="1" ht="13.5" customHeight="1">
      <c r="B2412" s="13"/>
      <c r="C2412" t="s" s="9">
        <v>30</v>
      </c>
      <c r="D2412" t="s" s="8">
        <v>850</v>
      </c>
      <c r="E2412" t="s" s="9">
        <v>853</v>
      </c>
      <c r="F2412" t="s" s="10">
        <v>185</v>
      </c>
      <c r="G2412" t="s" s="11">
        <v>63</v>
      </c>
      <c r="H2412" t="s" s="10">
        <v>185</v>
      </c>
      <c r="I2412" t="s" s="11">
        <v>63</v>
      </c>
      <c r="J2412" t="s" s="11">
        <v>136</v>
      </c>
      <c r="K2412" t="s" s="16">
        <f>HYPERLINK("http://csr.bu.edu/ftp/asl/asllvd/demos/verify_start_end_handshape_annotations//test_auto_move//signs_mov/3867.mov","MOV")</f>
        <v>21</v>
      </c>
      <c r="L2412" t="s" s="16">
        <f>HYPERLINK("http://csr.bu.edu/ftp/asl/asllvd/demos/verify_start_end_handshape_annotations//test_auto_move//signs_mov_separ_signers/Brady_3867.mov","MOV")</f>
        <v>21</v>
      </c>
      <c r="M2412" t="s" s="10">
        <v>31</v>
      </c>
      <c r="N2412" s="17">
        <v>29</v>
      </c>
      <c r="O2412" s="18">
        <v>8122</v>
      </c>
      <c r="P2412" s="18">
        <v>8160</v>
      </c>
      <c r="Q2412" t="s" s="16">
        <f>HYPERLINK("http://secrets.rutgers.edu:8080/data/asl-ftp/asllvd/demos/verify_start_end_handshape_annotations//test_auto_move//signs_mov/3867.mov","MOV")</f>
        <v>21</v>
      </c>
      <c r="R2412" t="s" s="16">
        <f>HYPERLINK("http://secrets.rutgers.edu:8080/data/asl-ftp/asllvd/demos/verify_start_end_handshape_annotations//test_auto_move//signs_mov_separ_signers/Brady_3867.mov","MOV")</f>
        <v>21</v>
      </c>
    </row>
    <row r="2413" s="2" customFormat="1" ht="13.5" customHeight="1">
      <c r="B2413" s="13"/>
      <c r="C2413" t="s" s="9">
        <v>41</v>
      </c>
      <c r="D2413" t="s" s="8">
        <v>850</v>
      </c>
      <c r="E2413" t="s" s="9">
        <v>853</v>
      </c>
      <c r="F2413" t="s" s="10">
        <v>185</v>
      </c>
      <c r="G2413" t="s" s="11">
        <v>105</v>
      </c>
      <c r="H2413" t="s" s="10">
        <v>185</v>
      </c>
      <c r="I2413" t="s" s="11">
        <v>105</v>
      </c>
      <c r="J2413" t="s" s="11">
        <v>136</v>
      </c>
      <c r="K2413" s="15"/>
      <c r="L2413" t="s" s="16">
        <f>HYPERLINK("http://csr.bu.edu/ftp/asl/asllvd/demos/verify_start_end_handshape_annotations//test_auto_move//signs_mov_separ_signers/Lana_3867.mov","MOV")</f>
        <v>21</v>
      </c>
      <c r="M2413" t="s" s="10">
        <v>42</v>
      </c>
      <c r="N2413" s="17">
        <v>6</v>
      </c>
      <c r="O2413" s="18">
        <v>215</v>
      </c>
      <c r="P2413" s="18">
        <v>250</v>
      </c>
      <c r="Q2413" s="15"/>
      <c r="R2413" t="s" s="16">
        <f>HYPERLINK("http://secrets.rutgers.edu:8080/data/asl-ftp/asllvd/demos/verify_start_end_handshape_annotations//test_auto_move//signs_mov_separ_signers/Lana_3867.mov","MOV")</f>
        <v>21</v>
      </c>
    </row>
    <row r="2414" s="2" customFormat="1" ht="13.5" customHeight="1">
      <c r="B2414" t="s" s="8">
        <v>52</v>
      </c>
      <c r="C2414" t="s" s="9">
        <v>53</v>
      </c>
      <c r="D2414" t="s" s="8">
        <v>53</v>
      </c>
      <c r="E2414" t="s" s="9">
        <v>53</v>
      </c>
      <c r="F2414" t="s" s="10">
        <v>53</v>
      </c>
      <c r="G2414" t="s" s="11">
        <v>53</v>
      </c>
      <c r="H2414" t="s" s="10">
        <v>53</v>
      </c>
      <c r="I2414" t="s" s="11">
        <v>53</v>
      </c>
      <c r="J2414" t="s" s="11">
        <v>53</v>
      </c>
      <c r="K2414" t="s" s="12">
        <v>53</v>
      </c>
      <c r="L2414" t="s" s="12">
        <v>53</v>
      </c>
      <c r="M2414" t="s" s="10">
        <v>53</v>
      </c>
      <c r="N2414" t="s" s="11">
        <v>53</v>
      </c>
      <c r="O2414" t="s" s="8">
        <v>53</v>
      </c>
      <c r="P2414" t="s" s="8">
        <v>53</v>
      </c>
      <c r="Q2414" t="s" s="12">
        <v>53</v>
      </c>
      <c r="R2414" t="s" s="12">
        <v>53</v>
      </c>
    </row>
    <row r="2415" s="2" customFormat="1" ht="13.5" customHeight="1">
      <c r="B2415" s="13"/>
      <c r="C2415" t="s" s="9">
        <v>16</v>
      </c>
      <c r="D2415" t="s" s="8">
        <v>850</v>
      </c>
      <c r="E2415" t="s" s="9">
        <v>854</v>
      </c>
      <c r="F2415" t="s" s="10">
        <v>185</v>
      </c>
      <c r="G2415" t="s" s="11">
        <v>105</v>
      </c>
      <c r="H2415" t="s" s="10">
        <v>185</v>
      </c>
      <c r="I2415" t="s" s="11">
        <v>105</v>
      </c>
      <c r="J2415" t="s" s="11">
        <v>136</v>
      </c>
      <c r="K2415" t="s" s="16">
        <f>HYPERLINK("http://csr.bu.edu/ftp/asl/asllvd/demos/verify_start_end_handshape_annotations//test_auto_move//signs_mov/5144.mov","MOV")</f>
        <v>21</v>
      </c>
      <c r="L2415" t="s" s="16">
        <f>HYPERLINK("http://csr.bu.edu/ftp/asl/asllvd/demos/verify_start_end_handshape_annotations//test_auto_move//signs_mov_separ_signers/Liz_5144.mov","MOV")</f>
        <v>21</v>
      </c>
      <c r="M2415" t="s" s="10">
        <v>84</v>
      </c>
      <c r="N2415" s="17">
        <v>2</v>
      </c>
      <c r="O2415" s="18">
        <v>1435</v>
      </c>
      <c r="P2415" s="18">
        <v>1485</v>
      </c>
      <c r="Q2415" t="s" s="16">
        <f>HYPERLINK("http://secrets.rutgers.edu:8080/data/asl-ftp/asllvd/demos/verify_start_end_handshape_annotations//test_auto_move//signs_mov/5144.mov","MOV")</f>
        <v>21</v>
      </c>
      <c r="R2415" t="s" s="16">
        <f>HYPERLINK("http://secrets.rutgers.edu:8080/data/asl-ftp/asllvd/demos/verify_start_end_handshape_annotations//test_auto_move//signs_mov_separ_signers/Liz_5144.mov","MOV")</f>
        <v>21</v>
      </c>
    </row>
    <row r="2416" s="2" customFormat="1" ht="13.5" customHeight="1">
      <c r="B2416" t="s" s="8">
        <v>52</v>
      </c>
      <c r="C2416" t="s" s="9">
        <v>53</v>
      </c>
      <c r="D2416" t="s" s="8">
        <v>53</v>
      </c>
      <c r="E2416" t="s" s="9">
        <v>53</v>
      </c>
      <c r="F2416" t="s" s="10">
        <v>53</v>
      </c>
      <c r="G2416" t="s" s="11">
        <v>53</v>
      </c>
      <c r="H2416" t="s" s="10">
        <v>53</v>
      </c>
      <c r="I2416" t="s" s="11">
        <v>53</v>
      </c>
      <c r="J2416" t="s" s="11">
        <v>53</v>
      </c>
      <c r="K2416" t="s" s="12">
        <v>53</v>
      </c>
      <c r="L2416" t="s" s="12">
        <v>53</v>
      </c>
      <c r="M2416" t="s" s="10">
        <v>53</v>
      </c>
      <c r="N2416" t="s" s="11">
        <v>53</v>
      </c>
      <c r="O2416" t="s" s="8">
        <v>53</v>
      </c>
      <c r="P2416" t="s" s="8">
        <v>53</v>
      </c>
      <c r="Q2416" t="s" s="12">
        <v>53</v>
      </c>
      <c r="R2416" t="s" s="12">
        <v>53</v>
      </c>
    </row>
    <row r="2417" s="2" customFormat="1" ht="13.5" customHeight="1">
      <c r="B2417" s="13"/>
      <c r="C2417" t="s" s="9">
        <v>16</v>
      </c>
      <c r="D2417" t="s" s="8">
        <v>850</v>
      </c>
      <c r="E2417" t="s" s="9">
        <v>855</v>
      </c>
      <c r="F2417" t="s" s="10">
        <v>185</v>
      </c>
      <c r="G2417" t="s" s="11">
        <v>105</v>
      </c>
      <c r="H2417" t="s" s="10">
        <v>185</v>
      </c>
      <c r="I2417" t="s" s="11">
        <v>105</v>
      </c>
      <c r="J2417" t="s" s="11">
        <v>136</v>
      </c>
      <c r="K2417" t="s" s="16">
        <f>HYPERLINK("http://csr.bu.edu/ftp/asl/asllvd/demos/verify_start_end_handshape_annotations//test_auto_move//signs_mov/5145.mov","MOV")</f>
        <v>21</v>
      </c>
      <c r="L2417" t="s" s="16">
        <f>HYPERLINK("http://csr.bu.edu/ftp/asl/asllvd/demos/verify_start_end_handshape_annotations//test_auto_move//signs_mov_separ_signers/Liz_5145.mov","MOV")</f>
        <v>21</v>
      </c>
      <c r="M2417" t="s" s="10">
        <v>84</v>
      </c>
      <c r="N2417" s="17">
        <v>2</v>
      </c>
      <c r="O2417" s="18">
        <v>1021</v>
      </c>
      <c r="P2417" s="18">
        <v>1052</v>
      </c>
      <c r="Q2417" t="s" s="16">
        <f>HYPERLINK("http://secrets.rutgers.edu:8080/data/asl-ftp/asllvd/demos/verify_start_end_handshape_annotations//test_auto_move//signs_mov/5145.mov","MOV")</f>
        <v>21</v>
      </c>
      <c r="R2417" t="s" s="16">
        <f>HYPERLINK("http://secrets.rutgers.edu:8080/data/asl-ftp/asllvd/demos/verify_start_end_handshape_annotations//test_auto_move//signs_mov_separ_signers/Liz_5145.mov","MOV")</f>
        <v>21</v>
      </c>
    </row>
    <row r="2418" s="2" customFormat="1" ht="13.5" customHeight="1">
      <c r="B2418" t="s" s="8">
        <v>856</v>
      </c>
      <c r="C2418" t="s" s="9">
        <v>14</v>
      </c>
      <c r="D2418" t="s" s="8">
        <v>14</v>
      </c>
      <c r="E2418" t="s" s="9">
        <v>14</v>
      </c>
      <c r="F2418" t="s" s="10">
        <v>14</v>
      </c>
      <c r="G2418" t="s" s="11">
        <v>14</v>
      </c>
      <c r="H2418" t="s" s="10">
        <v>14</v>
      </c>
      <c r="I2418" t="s" s="11">
        <v>14</v>
      </c>
      <c r="J2418" t="s" s="11">
        <v>14</v>
      </c>
      <c r="K2418" t="s" s="12">
        <v>14</v>
      </c>
      <c r="L2418" t="s" s="12">
        <v>14</v>
      </c>
      <c r="M2418" t="s" s="10">
        <v>14</v>
      </c>
      <c r="N2418" t="s" s="11">
        <v>14</v>
      </c>
      <c r="O2418" t="s" s="8">
        <v>14</v>
      </c>
      <c r="P2418" t="s" s="8">
        <v>14</v>
      </c>
      <c r="Q2418" t="s" s="12">
        <v>14</v>
      </c>
      <c r="R2418" t="s" s="12">
        <v>14</v>
      </c>
    </row>
    <row r="2419" s="2" customFormat="1" ht="13.5" customHeight="1">
      <c r="B2419" s="13"/>
      <c r="C2419" t="s" s="9">
        <v>16</v>
      </c>
      <c r="D2419" t="s" s="8">
        <v>856</v>
      </c>
      <c r="E2419" t="s" s="9">
        <v>856</v>
      </c>
      <c r="F2419" t="s" s="10">
        <v>185</v>
      </c>
      <c r="G2419" s="14"/>
      <c r="H2419" t="s" s="10">
        <v>185</v>
      </c>
      <c r="I2419" s="14"/>
      <c r="J2419" t="s" s="11">
        <v>20</v>
      </c>
      <c r="K2419" s="15"/>
      <c r="L2419" t="s" s="16">
        <f>HYPERLINK("http://csr.bu.edu/ftp/asl/asllvd/demos/verify_start_end_handshape_annotations//test_auto_move//signs_mov_separ_signers/Liz_515.mov","MOV")</f>
        <v>21</v>
      </c>
      <c r="M2419" t="s" s="10">
        <v>84</v>
      </c>
      <c r="N2419" s="17">
        <v>2</v>
      </c>
      <c r="O2419" s="18">
        <v>1710</v>
      </c>
      <c r="P2419" s="18">
        <v>1752</v>
      </c>
      <c r="Q2419" s="15"/>
      <c r="R2419" t="s" s="16">
        <f>HYPERLINK("http://secrets.rutgers.edu:8080/data/asl-ftp/asllvd/demos/verify_start_end_handshape_annotations//test_auto_move//signs_mov_separ_signers/Liz_515.mov","MOV")</f>
        <v>21</v>
      </c>
    </row>
    <row r="2420" s="2" customFormat="1" ht="13.5" customHeight="1">
      <c r="B2420" s="13"/>
      <c r="C2420" t="s" s="9">
        <v>23</v>
      </c>
      <c r="D2420" t="s" s="8">
        <v>856</v>
      </c>
      <c r="E2420" t="s" s="9">
        <v>856</v>
      </c>
      <c r="F2420" t="s" s="10">
        <v>185</v>
      </c>
      <c r="G2420" s="14"/>
      <c r="H2420" t="s" s="10">
        <v>185</v>
      </c>
      <c r="I2420" s="14"/>
      <c r="J2420" t="s" s="11">
        <v>20</v>
      </c>
      <c r="K2420" s="15"/>
      <c r="L2420" t="s" s="16">
        <f>HYPERLINK("http://csr.bu.edu/ftp/asl/asllvd/demos/verify_start_end_handshape_annotations//test_auto_move//signs_mov_separ_signers/Tyler_515.mov","MOV")</f>
        <v>21</v>
      </c>
      <c r="M2420" t="s" s="10">
        <v>26</v>
      </c>
      <c r="N2420" s="17">
        <v>50</v>
      </c>
      <c r="O2420" s="18">
        <v>3311</v>
      </c>
      <c r="P2420" s="18">
        <v>3340</v>
      </c>
      <c r="Q2420" s="15"/>
      <c r="R2420" t="s" s="16">
        <f>HYPERLINK("http://secrets.rutgers.edu:8080/data/asl-ftp/asllvd/demos/verify_start_end_handshape_annotations//test_auto_move//signs_mov_separ_signers/Tyler_515.mov","MOV")</f>
        <v>21</v>
      </c>
    </row>
    <row r="2421" s="2" customFormat="1" ht="13.5" customHeight="1">
      <c r="B2421" s="13"/>
      <c r="C2421" t="s" s="9">
        <v>23</v>
      </c>
      <c r="D2421" t="s" s="8">
        <v>856</v>
      </c>
      <c r="E2421" t="s" s="9">
        <v>856</v>
      </c>
      <c r="F2421" t="s" s="10">
        <v>185</v>
      </c>
      <c r="G2421" s="14"/>
      <c r="H2421" t="s" s="10">
        <v>185</v>
      </c>
      <c r="I2421" s="14"/>
      <c r="J2421" t="s" s="11">
        <v>20</v>
      </c>
      <c r="K2421" t="s" s="16">
        <f>HYPERLINK("http://csr.bu.edu/ftp/asl/asllvd/demos/verify_start_end_handshape_annotations//test_auto_move//signs_mov/515_3496_merged.mov","MOV")</f>
        <v>21</v>
      </c>
      <c r="L2421" t="s" s="16">
        <f>HYPERLINK("http://csr.bu.edu/ftp/asl/asllvd/demos/verify_start_end_handshape_annotations//test_auto_move//signs_mov_separ_signers/Tyler_3496.mov","MOV")</f>
        <v>21</v>
      </c>
      <c r="M2421" t="s" s="10">
        <v>125</v>
      </c>
      <c r="N2421" s="17">
        <v>2</v>
      </c>
      <c r="O2421" s="18">
        <v>1295</v>
      </c>
      <c r="P2421" s="18">
        <v>1315</v>
      </c>
      <c r="Q2421" t="s" s="16">
        <f>HYPERLINK("http://secrets.rutgers.edu:8080/data/asl-ftp/asllvd/demos/verify_start_end_handshape_annotations//test_auto_move//signs_mov/515_3496_merged.mov","MOV")</f>
        <v>21</v>
      </c>
      <c r="R2421" t="s" s="16">
        <f>HYPERLINK("http://secrets.rutgers.edu:8080/data/asl-ftp/asllvd/demos/verify_start_end_handshape_annotations//test_auto_move//signs_mov_separ_signers/Tyler_3496.mov","MOV")</f>
        <v>21</v>
      </c>
    </row>
    <row r="2422" s="2" customFormat="1" ht="13.5" customHeight="1">
      <c r="B2422" s="13"/>
      <c r="C2422" t="s" s="9">
        <v>27</v>
      </c>
      <c r="D2422" t="s" s="8">
        <v>856</v>
      </c>
      <c r="E2422" t="s" s="9">
        <v>856</v>
      </c>
      <c r="F2422" t="s" s="10">
        <v>185</v>
      </c>
      <c r="G2422" s="14"/>
      <c r="H2422" t="s" s="10">
        <v>185</v>
      </c>
      <c r="I2422" s="14"/>
      <c r="J2422" t="s" s="11">
        <v>20</v>
      </c>
      <c r="K2422" s="15"/>
      <c r="L2422" t="s" s="16">
        <f>HYPERLINK("http://csr.bu.edu/ftp/asl/asllvd/demos/verify_start_end_handshape_annotations//test_auto_move//signs_mov_separ_signers/Naomi_515.mov","MOV")</f>
        <v>21</v>
      </c>
      <c r="M2422" t="s" s="10">
        <v>86</v>
      </c>
      <c r="N2422" s="17">
        <v>2</v>
      </c>
      <c r="O2422" s="18">
        <v>2620</v>
      </c>
      <c r="P2422" s="18">
        <v>2640</v>
      </c>
      <c r="Q2422" s="15"/>
      <c r="R2422" t="s" s="16">
        <f>HYPERLINK("http://secrets.rutgers.edu:8080/data/asl-ftp/asllvd/demos/verify_start_end_handshape_annotations//test_auto_move//signs_mov_separ_signers/Naomi_515.mov","MOV")</f>
        <v>21</v>
      </c>
    </row>
    <row r="2423" s="2" customFormat="1" ht="13.5" customHeight="1">
      <c r="B2423" s="13"/>
      <c r="C2423" t="s" s="9">
        <v>30</v>
      </c>
      <c r="D2423" t="s" s="8">
        <v>856</v>
      </c>
      <c r="E2423" t="s" s="9">
        <v>856</v>
      </c>
      <c r="F2423" t="s" s="10">
        <v>185</v>
      </c>
      <c r="G2423" s="14"/>
      <c r="H2423" t="s" s="10">
        <v>185</v>
      </c>
      <c r="I2423" s="14"/>
      <c r="J2423" t="s" s="11">
        <v>20</v>
      </c>
      <c r="K2423" s="15"/>
      <c r="L2423" t="s" s="16">
        <f>HYPERLINK("http://csr.bu.edu/ftp/asl/asllvd/demos/verify_start_end_handshape_annotations//test_auto_move//signs_mov_separ_signers/Brady_515.mov","MOV")</f>
        <v>21</v>
      </c>
      <c r="M2423" t="s" s="10">
        <v>31</v>
      </c>
      <c r="N2423" s="17">
        <v>29</v>
      </c>
      <c r="O2423" s="18">
        <v>8564</v>
      </c>
      <c r="P2423" s="18">
        <v>8633</v>
      </c>
      <c r="Q2423" s="15"/>
      <c r="R2423" t="s" s="16">
        <f>HYPERLINK("http://secrets.rutgers.edu:8080/data/asl-ftp/asllvd/demos/verify_start_end_handshape_annotations//test_auto_move//signs_mov_separ_signers/Brady_515.mov","MOV")</f>
        <v>21</v>
      </c>
    </row>
    <row r="2424" s="2" customFormat="1" ht="13.5" customHeight="1">
      <c r="B2424" t="s" s="8">
        <v>857</v>
      </c>
      <c r="C2424" t="s" s="9">
        <v>14</v>
      </c>
      <c r="D2424" t="s" s="8">
        <v>14</v>
      </c>
      <c r="E2424" t="s" s="9">
        <v>14</v>
      </c>
      <c r="F2424" t="s" s="10">
        <v>14</v>
      </c>
      <c r="G2424" t="s" s="11">
        <v>14</v>
      </c>
      <c r="H2424" t="s" s="10">
        <v>14</v>
      </c>
      <c r="I2424" t="s" s="11">
        <v>14</v>
      </c>
      <c r="J2424" t="s" s="11">
        <v>14</v>
      </c>
      <c r="K2424" t="s" s="12">
        <v>14</v>
      </c>
      <c r="L2424" t="s" s="12">
        <v>14</v>
      </c>
      <c r="M2424" t="s" s="10">
        <v>14</v>
      </c>
      <c r="N2424" t="s" s="11">
        <v>14</v>
      </c>
      <c r="O2424" t="s" s="8">
        <v>14</v>
      </c>
      <c r="P2424" t="s" s="8">
        <v>14</v>
      </c>
      <c r="Q2424" t="s" s="12">
        <v>14</v>
      </c>
      <c r="R2424" t="s" s="12">
        <v>14</v>
      </c>
    </row>
    <row r="2425" s="2" customFormat="1" ht="13.5" customHeight="1">
      <c r="B2425" s="13"/>
      <c r="C2425" t="s" s="9">
        <v>16</v>
      </c>
      <c r="D2425" t="s" s="8">
        <v>857</v>
      </c>
      <c r="E2425" t="s" s="9">
        <v>857</v>
      </c>
      <c r="F2425" t="s" s="10">
        <v>73</v>
      </c>
      <c r="G2425" t="s" s="11">
        <v>73</v>
      </c>
      <c r="H2425" t="s" s="10">
        <v>73</v>
      </c>
      <c r="I2425" t="s" s="11">
        <v>73</v>
      </c>
      <c r="J2425" t="s" s="11">
        <v>20</v>
      </c>
      <c r="K2425" s="15"/>
      <c r="L2425" t="s" s="16">
        <f>HYPERLINK("http://csr.bu.edu/ftp/asl/asllvd/demos/verify_start_end_handshape_annotations//test_auto_move//signs_mov_separ_signers/Liz_516.mov","MOV")</f>
        <v>21</v>
      </c>
      <c r="M2425" t="s" s="10">
        <v>84</v>
      </c>
      <c r="N2425" s="17">
        <v>2</v>
      </c>
      <c r="O2425" s="18">
        <v>2085</v>
      </c>
      <c r="P2425" s="18">
        <v>2120</v>
      </c>
      <c r="Q2425" s="15"/>
      <c r="R2425" t="s" s="16">
        <f>HYPERLINK("http://secrets.rutgers.edu:8080/data/asl-ftp/asllvd/demos/verify_start_end_handshape_annotations//test_auto_move//signs_mov_separ_signers/Liz_516.mov","MOV")</f>
        <v>21</v>
      </c>
    </row>
    <row r="2426" s="2" customFormat="1" ht="13.5" customHeight="1">
      <c r="B2426" s="13"/>
      <c r="C2426" t="s" s="9">
        <v>16</v>
      </c>
      <c r="D2426" t="s" s="8">
        <v>857</v>
      </c>
      <c r="E2426" t="s" s="9">
        <v>857</v>
      </c>
      <c r="F2426" t="s" s="10">
        <v>73</v>
      </c>
      <c r="G2426" t="s" s="11">
        <v>73</v>
      </c>
      <c r="H2426" t="s" s="10">
        <v>73</v>
      </c>
      <c r="I2426" t="s" s="11">
        <v>73</v>
      </c>
      <c r="J2426" t="s" s="11">
        <v>20</v>
      </c>
      <c r="K2426" s="15"/>
      <c r="L2426" t="s" s="16">
        <f>HYPERLINK("http://csr.bu.edu/ftp/asl/asllvd/demos/verify_start_end_handshape_annotations//test_auto_move//signs_mov_separ_signers/Liz_3519.mov","MOV")</f>
        <v>21</v>
      </c>
      <c r="M2426" t="s" s="10">
        <v>84</v>
      </c>
      <c r="N2426" s="17">
        <v>31</v>
      </c>
      <c r="O2426" s="18">
        <v>1105</v>
      </c>
      <c r="P2426" s="18">
        <v>1150</v>
      </c>
      <c r="Q2426" s="15"/>
      <c r="R2426" t="s" s="16">
        <f>HYPERLINK("http://secrets.rutgers.edu:8080/data/asl-ftp/asllvd/demos/verify_start_end_handshape_annotations//test_auto_move//signs_mov_separ_signers/Liz_3519.mov","MOV")</f>
        <v>21</v>
      </c>
    </row>
    <row r="2427" s="2" customFormat="1" ht="13.5" customHeight="1">
      <c r="B2427" s="13"/>
      <c r="C2427" t="s" s="9">
        <v>16</v>
      </c>
      <c r="D2427" t="s" s="8">
        <v>857</v>
      </c>
      <c r="E2427" t="s" s="9">
        <v>857</v>
      </c>
      <c r="F2427" t="s" s="10">
        <v>73</v>
      </c>
      <c r="G2427" t="s" s="11">
        <v>73</v>
      </c>
      <c r="H2427" t="s" s="10">
        <v>73</v>
      </c>
      <c r="I2427" t="s" s="11">
        <v>73</v>
      </c>
      <c r="J2427" t="s" s="11">
        <v>20</v>
      </c>
      <c r="K2427" s="15"/>
      <c r="L2427" t="s" s="16">
        <f>HYPERLINK("http://csr.bu.edu/ftp/asl/asllvd/demos/verify_start_end_handshape_annotations//test_auto_move//signs_mov_separ_signers/Liz_5147.mov","MOV")</f>
        <v>21</v>
      </c>
      <c r="M2427" t="s" s="10">
        <v>36</v>
      </c>
      <c r="N2427" s="17">
        <v>13</v>
      </c>
      <c r="O2427" s="18">
        <v>1795</v>
      </c>
      <c r="P2427" s="18">
        <v>1840</v>
      </c>
      <c r="Q2427" s="15"/>
      <c r="R2427" t="s" s="16">
        <f>HYPERLINK("http://secrets.rutgers.edu:8080/data/asl-ftp/asllvd/demos/verify_start_end_handshape_annotations//test_auto_move//signs_mov_separ_signers/Liz_5147.mov","MOV")</f>
        <v>21</v>
      </c>
    </row>
    <row r="2428" s="2" customFormat="1" ht="13.5" customHeight="1">
      <c r="B2428" s="13"/>
      <c r="C2428" t="s" s="9">
        <v>16</v>
      </c>
      <c r="D2428" t="s" s="8">
        <v>857</v>
      </c>
      <c r="E2428" t="s" s="9">
        <v>857</v>
      </c>
      <c r="F2428" t="s" s="10">
        <v>73</v>
      </c>
      <c r="G2428" t="s" s="11">
        <v>73</v>
      </c>
      <c r="H2428" t="s" s="10">
        <v>73</v>
      </c>
      <c r="I2428" t="s" s="11">
        <v>73</v>
      </c>
      <c r="J2428" t="s" s="11">
        <v>20</v>
      </c>
      <c r="K2428" t="s" s="16">
        <f>HYPERLINK("http://csr.bu.edu/ftp/asl/asllvd/demos/verify_start_end_handshape_annotations//test_auto_move//signs_mov/516_3519_5147_5647_merged.mov","MOV")</f>
        <v>21</v>
      </c>
      <c r="L2428" t="s" s="16">
        <f>HYPERLINK("http://csr.bu.edu/ftp/asl/asllvd/demos/verify_start_end_handshape_annotations//test_auto_move//signs_mov_separ_signers/Liz_5647.mov","MOV")</f>
        <v>21</v>
      </c>
      <c r="M2428" t="s" s="10">
        <v>59</v>
      </c>
      <c r="N2428" s="17">
        <v>38</v>
      </c>
      <c r="O2428" s="18">
        <v>1281</v>
      </c>
      <c r="P2428" s="18">
        <v>1305</v>
      </c>
      <c r="Q2428" t="s" s="16">
        <f>HYPERLINK("http://secrets.rutgers.edu:8080/data/asl-ftp/asllvd/demos/verify_start_end_handshape_annotations//test_auto_move//signs_mov/516_3519_5147_5647_merged.mov","MOV")</f>
        <v>21</v>
      </c>
      <c r="R2428" t="s" s="16">
        <f>HYPERLINK("http://secrets.rutgers.edu:8080/data/asl-ftp/asllvd/demos/verify_start_end_handshape_annotations//test_auto_move//signs_mov_separ_signers/Liz_5647.mov","MOV")</f>
        <v>21</v>
      </c>
    </row>
    <row r="2429" s="2" customFormat="1" ht="13.5" customHeight="1">
      <c r="B2429" s="13"/>
      <c r="C2429" t="s" s="9">
        <v>30</v>
      </c>
      <c r="D2429" t="s" s="8">
        <v>857</v>
      </c>
      <c r="E2429" t="s" s="9">
        <v>857</v>
      </c>
      <c r="F2429" t="s" s="10">
        <v>73</v>
      </c>
      <c r="G2429" t="s" s="11">
        <v>73</v>
      </c>
      <c r="H2429" t="s" s="10">
        <v>73</v>
      </c>
      <c r="I2429" t="s" s="11">
        <v>73</v>
      </c>
      <c r="J2429" t="s" s="11">
        <v>20</v>
      </c>
      <c r="K2429" s="15"/>
      <c r="L2429" t="s" s="16">
        <f>HYPERLINK("http://csr.bu.edu/ftp/asl/asllvd/demos/verify_start_end_handshape_annotations//test_auto_move//signs_mov_separ_signers/Brady_516.mov","MOV")</f>
        <v>21</v>
      </c>
      <c r="M2429" t="s" s="10">
        <v>31</v>
      </c>
      <c r="N2429" s="17">
        <v>29</v>
      </c>
      <c r="O2429" s="18">
        <v>10912</v>
      </c>
      <c r="P2429" s="18">
        <v>10935</v>
      </c>
      <c r="Q2429" s="15"/>
      <c r="R2429" t="s" s="16">
        <f>HYPERLINK("http://secrets.rutgers.edu:8080/data/asl-ftp/asllvd/demos/verify_start_end_handshape_annotations//test_auto_move//signs_mov_separ_signers/Brady_516.mov","MOV")</f>
        <v>21</v>
      </c>
    </row>
    <row r="2430" s="2" customFormat="1" ht="13.5" customHeight="1">
      <c r="B2430" s="13"/>
      <c r="C2430" t="s" s="9">
        <v>30</v>
      </c>
      <c r="D2430" t="s" s="8">
        <v>857</v>
      </c>
      <c r="E2430" t="s" s="9">
        <v>857</v>
      </c>
      <c r="F2430" t="s" s="10">
        <v>73</v>
      </c>
      <c r="G2430" t="s" s="11">
        <v>73</v>
      </c>
      <c r="H2430" t="s" s="10">
        <v>73</v>
      </c>
      <c r="I2430" t="s" s="11">
        <v>73</v>
      </c>
      <c r="J2430" t="s" s="11">
        <v>20</v>
      </c>
      <c r="K2430" s="15"/>
      <c r="L2430" t="s" s="16">
        <f>HYPERLINK("http://csr.bu.edu/ftp/asl/asllvd/demos/verify_start_end_handshape_annotations//test_auto_move//signs_mov_separ_signers/Brady_3519.mov","MOV")</f>
        <v>21</v>
      </c>
      <c r="M2430" t="s" s="10">
        <v>39</v>
      </c>
      <c r="N2430" s="17">
        <v>11</v>
      </c>
      <c r="O2430" s="18">
        <v>9937</v>
      </c>
      <c r="P2430" s="18">
        <v>9961</v>
      </c>
      <c r="Q2430" s="15"/>
      <c r="R2430" t="s" s="16">
        <f>HYPERLINK("http://secrets.rutgers.edu:8080/data/asl-ftp/asllvd/demos/verify_start_end_handshape_annotations//test_auto_move//signs_mov_separ_signers/Brady_3519.mov","MOV")</f>
        <v>21</v>
      </c>
    </row>
    <row r="2431" s="2" customFormat="1" ht="13.5" customHeight="1">
      <c r="B2431" s="13"/>
      <c r="C2431" t="s" s="9">
        <v>30</v>
      </c>
      <c r="D2431" t="s" s="8">
        <v>857</v>
      </c>
      <c r="E2431" t="s" s="9">
        <v>857</v>
      </c>
      <c r="F2431" t="s" s="10">
        <v>73</v>
      </c>
      <c r="G2431" t="s" s="11">
        <v>73</v>
      </c>
      <c r="H2431" t="s" s="10">
        <v>73</v>
      </c>
      <c r="I2431" t="s" s="11">
        <v>73</v>
      </c>
      <c r="J2431" t="s" s="11">
        <v>20</v>
      </c>
      <c r="K2431" s="15"/>
      <c r="L2431" t="s" s="16">
        <f>HYPERLINK("http://csr.bu.edu/ftp/asl/asllvd/demos/verify_start_end_handshape_annotations//test_auto_move//signs_mov_separ_signers/Brady_5147.mov","MOV")</f>
        <v>21</v>
      </c>
      <c r="M2431" t="s" s="10">
        <v>40</v>
      </c>
      <c r="N2431" s="17">
        <v>58</v>
      </c>
      <c r="O2431" s="18">
        <v>1220</v>
      </c>
      <c r="P2431" s="18">
        <v>1240</v>
      </c>
      <c r="Q2431" s="15"/>
      <c r="R2431" t="s" s="16">
        <f>HYPERLINK("http://secrets.rutgers.edu:8080/data/asl-ftp/asllvd/demos/verify_start_end_handshape_annotations//test_auto_move//signs_mov_separ_signers/Brady_5147.mov","MOV")</f>
        <v>21</v>
      </c>
    </row>
    <row r="2432" s="2" customFormat="1" ht="13.5" customHeight="1">
      <c r="B2432" s="13"/>
      <c r="C2432" t="s" s="9">
        <v>30</v>
      </c>
      <c r="D2432" t="s" s="8">
        <v>857</v>
      </c>
      <c r="E2432" t="s" s="9">
        <v>857</v>
      </c>
      <c r="F2432" t="s" s="10">
        <v>73</v>
      </c>
      <c r="G2432" t="s" s="11">
        <v>73</v>
      </c>
      <c r="H2432" t="s" s="10">
        <v>73</v>
      </c>
      <c r="I2432" t="s" s="11">
        <v>73</v>
      </c>
      <c r="J2432" t="s" s="11">
        <v>20</v>
      </c>
      <c r="K2432" s="15"/>
      <c r="L2432" t="s" s="16">
        <f>HYPERLINK("http://csr.bu.edu/ftp/asl/asllvd/demos/verify_start_end_handshape_annotations//test_auto_move//signs_mov_separ_signers/Brady_5647.mov","MOV")</f>
        <v>21</v>
      </c>
      <c r="M2432" t="s" s="10">
        <v>60</v>
      </c>
      <c r="N2432" s="17">
        <v>26</v>
      </c>
      <c r="O2432" s="18">
        <v>2471</v>
      </c>
      <c r="P2432" s="18">
        <v>2500</v>
      </c>
      <c r="Q2432" s="15"/>
      <c r="R2432" t="s" s="16">
        <f>HYPERLINK("http://secrets.rutgers.edu:8080/data/asl-ftp/asllvd/demos/verify_start_end_handshape_annotations//test_auto_move//signs_mov_separ_signers/Brady_5647.mov","MOV")</f>
        <v>21</v>
      </c>
    </row>
    <row r="2433" s="2" customFormat="1" ht="13.5" customHeight="1">
      <c r="B2433" t="s" s="8">
        <v>52</v>
      </c>
      <c r="C2433" t="s" s="9">
        <v>53</v>
      </c>
      <c r="D2433" t="s" s="8">
        <v>53</v>
      </c>
      <c r="E2433" t="s" s="9">
        <v>53</v>
      </c>
      <c r="F2433" t="s" s="10">
        <v>53</v>
      </c>
      <c r="G2433" t="s" s="11">
        <v>53</v>
      </c>
      <c r="H2433" t="s" s="10">
        <v>53</v>
      </c>
      <c r="I2433" t="s" s="11">
        <v>53</v>
      </c>
      <c r="J2433" t="s" s="11">
        <v>53</v>
      </c>
      <c r="K2433" t="s" s="12">
        <v>53</v>
      </c>
      <c r="L2433" t="s" s="12">
        <v>53</v>
      </c>
      <c r="M2433" t="s" s="10">
        <v>53</v>
      </c>
      <c r="N2433" t="s" s="11">
        <v>53</v>
      </c>
      <c r="O2433" t="s" s="8">
        <v>53</v>
      </c>
      <c r="P2433" t="s" s="8">
        <v>53</v>
      </c>
      <c r="Q2433" t="s" s="12">
        <v>53</v>
      </c>
      <c r="R2433" t="s" s="12">
        <v>53</v>
      </c>
    </row>
    <row r="2434" s="2" customFormat="1" ht="13.5" customHeight="1">
      <c r="B2434" s="13"/>
      <c r="C2434" t="s" s="9">
        <v>27</v>
      </c>
      <c r="D2434" t="s" s="8">
        <v>857</v>
      </c>
      <c r="E2434" t="s" s="9">
        <v>858</v>
      </c>
      <c r="F2434" t="s" s="10">
        <v>73</v>
      </c>
      <c r="G2434" t="s" s="11">
        <v>73</v>
      </c>
      <c r="H2434" t="s" s="10">
        <v>73</v>
      </c>
      <c r="I2434" t="s" s="11">
        <v>73</v>
      </c>
      <c r="J2434" t="s" s="11">
        <v>20</v>
      </c>
      <c r="K2434" t="s" s="16">
        <f>HYPERLINK("http://csr.bu.edu/ftp/asl/asllvd/demos/verify_start_end_handshape_annotations//test_auto_move//signs_mov/5664_16000_merged.mov","MOV")</f>
        <v>21</v>
      </c>
      <c r="L2434" t="s" s="16">
        <f>HYPERLINK("http://csr.bu.edu/ftp/asl/asllvd/demos/verify_start_end_handshape_annotations//test_auto_move//signs_mov_separ_signers/Naomi_5664.mov","MOV")</f>
        <v>21</v>
      </c>
      <c r="M2434" t="s" s="10">
        <v>86</v>
      </c>
      <c r="N2434" s="17">
        <v>2</v>
      </c>
      <c r="O2434" s="18">
        <v>3045</v>
      </c>
      <c r="P2434" s="18">
        <v>3070</v>
      </c>
      <c r="Q2434" t="s" s="16">
        <f>HYPERLINK("http://secrets.rutgers.edu:8080/data/asl-ftp/asllvd/demos/verify_start_end_handshape_annotations//test_auto_move//signs_mov/5664_16000_merged.mov","MOV")</f>
        <v>21</v>
      </c>
      <c r="R2434" t="s" s="16">
        <f>HYPERLINK("http://secrets.rutgers.edu:8080/data/asl-ftp/asllvd/demos/verify_start_end_handshape_annotations//test_auto_move//signs_mov_separ_signers/Naomi_5664.mov","MOV")</f>
        <v>21</v>
      </c>
    </row>
    <row r="2435" s="2" customFormat="1" ht="13.5" customHeight="1">
      <c r="B2435" s="13"/>
      <c r="C2435" t="s" s="9">
        <v>27</v>
      </c>
      <c r="D2435" t="s" s="8">
        <v>857</v>
      </c>
      <c r="E2435" t="s" s="9">
        <v>858</v>
      </c>
      <c r="F2435" t="s" s="10">
        <v>73</v>
      </c>
      <c r="G2435" t="s" s="11">
        <v>73</v>
      </c>
      <c r="H2435" t="s" s="10">
        <v>73</v>
      </c>
      <c r="I2435" t="s" s="11">
        <v>73</v>
      </c>
      <c r="J2435" t="s" s="11">
        <v>20</v>
      </c>
      <c r="K2435" s="15"/>
      <c r="L2435" t="s" s="16">
        <f>HYPERLINK("http://csr.bu.edu/ftp/asl/asllvd/demos/verify_start_end_handshape_annotations//test_auto_move//signs_mov_separ_signers/Naomi_16000.mov","MOV")</f>
        <v>21</v>
      </c>
      <c r="M2435" t="s" s="10">
        <v>86</v>
      </c>
      <c r="N2435" s="17">
        <v>31</v>
      </c>
      <c r="O2435" s="18">
        <v>1680</v>
      </c>
      <c r="P2435" s="18">
        <v>1702</v>
      </c>
      <c r="Q2435" s="15"/>
      <c r="R2435" t="s" s="16">
        <f>HYPERLINK("http://secrets.rutgers.edu:8080/data/asl-ftp/asllvd/demos/verify_start_end_handshape_annotations//test_auto_move//signs_mov_separ_signers/Naomi_16000.mov","MOV")</f>
        <v>21</v>
      </c>
    </row>
    <row r="2436" s="2" customFormat="1" ht="13.5" customHeight="1">
      <c r="B2436" t="s" s="8">
        <v>859</v>
      </c>
      <c r="C2436" t="s" s="9">
        <v>14</v>
      </c>
      <c r="D2436" t="s" s="8">
        <v>14</v>
      </c>
      <c r="E2436" t="s" s="9">
        <v>14</v>
      </c>
      <c r="F2436" t="s" s="10">
        <v>14</v>
      </c>
      <c r="G2436" t="s" s="11">
        <v>14</v>
      </c>
      <c r="H2436" t="s" s="10">
        <v>14</v>
      </c>
      <c r="I2436" t="s" s="11">
        <v>14</v>
      </c>
      <c r="J2436" t="s" s="11">
        <v>14</v>
      </c>
      <c r="K2436" t="s" s="12">
        <v>14</v>
      </c>
      <c r="L2436" t="s" s="12">
        <v>14</v>
      </c>
      <c r="M2436" t="s" s="10">
        <v>14</v>
      </c>
      <c r="N2436" t="s" s="11">
        <v>14</v>
      </c>
      <c r="O2436" t="s" s="8">
        <v>14</v>
      </c>
      <c r="P2436" t="s" s="8">
        <v>14</v>
      </c>
      <c r="Q2436" t="s" s="12">
        <v>14</v>
      </c>
      <c r="R2436" t="s" s="12">
        <v>14</v>
      </c>
    </row>
    <row r="2437" s="2" customFormat="1" ht="13.5" customHeight="1">
      <c r="B2437" s="13"/>
      <c r="C2437" t="s" s="9">
        <v>16</v>
      </c>
      <c r="D2437" t="s" s="8">
        <v>859</v>
      </c>
      <c r="E2437" t="s" s="9">
        <v>859</v>
      </c>
      <c r="F2437" t="s" s="10">
        <v>251</v>
      </c>
      <c r="G2437" t="s" s="11">
        <v>73</v>
      </c>
      <c r="H2437" t="s" s="10">
        <v>251</v>
      </c>
      <c r="I2437" t="s" s="11">
        <v>73</v>
      </c>
      <c r="J2437" t="s" s="11">
        <v>20</v>
      </c>
      <c r="K2437" t="s" s="16">
        <f>HYPERLINK("http://csr.bu.edu/ftp/asl/asllvd/demos/verify_start_end_handshape_annotations//test_auto_move//signs_mov/16141.mov","MOV")</f>
        <v>21</v>
      </c>
      <c r="L2437" t="s" s="16">
        <f>HYPERLINK("http://csr.bu.edu/ftp/asl/asllvd/demos/verify_start_end_handshape_annotations//test_auto_move//signs_mov_separ_signers/Liz_16141.mov","MOV")</f>
        <v>21</v>
      </c>
      <c r="M2437" t="s" s="10">
        <v>36</v>
      </c>
      <c r="N2437" s="17">
        <v>13</v>
      </c>
      <c r="O2437" s="18">
        <v>1580</v>
      </c>
      <c r="P2437" s="18">
        <v>1625</v>
      </c>
      <c r="Q2437" t="s" s="16">
        <f>HYPERLINK("http://secrets.rutgers.edu:8080/data/asl-ftp/asllvd/demos/verify_start_end_handshape_annotations//test_auto_move//signs_mov/16141.mov","MOV")</f>
        <v>21</v>
      </c>
      <c r="R2437" t="s" s="16">
        <f>HYPERLINK("http://secrets.rutgers.edu:8080/data/asl-ftp/asllvd/demos/verify_start_end_handshape_annotations//test_auto_move//signs_mov_separ_signers/Liz_16141.mov","MOV")</f>
        <v>21</v>
      </c>
    </row>
    <row r="2438" s="2" customFormat="1" ht="13.5" customHeight="1">
      <c r="B2438" s="13"/>
      <c r="C2438" t="s" s="9">
        <v>30</v>
      </c>
      <c r="D2438" t="s" s="8">
        <v>859</v>
      </c>
      <c r="E2438" t="s" s="9">
        <v>859</v>
      </c>
      <c r="F2438" t="s" s="10">
        <v>251</v>
      </c>
      <c r="G2438" t="s" s="11">
        <v>73</v>
      </c>
      <c r="H2438" t="s" s="10">
        <v>251</v>
      </c>
      <c r="I2438" t="s" s="11">
        <v>73</v>
      </c>
      <c r="J2438" t="s" s="11">
        <v>20</v>
      </c>
      <c r="K2438" s="15"/>
      <c r="L2438" t="s" s="16">
        <f>HYPERLINK("http://csr.bu.edu/ftp/asl/asllvd/demos/verify_start_end_handshape_annotations//test_auto_move//signs_mov_separ_signers/Brady_16141.mov","MOV")</f>
        <v>21</v>
      </c>
      <c r="M2438" t="s" s="10">
        <v>40</v>
      </c>
      <c r="N2438" s="17">
        <v>58</v>
      </c>
      <c r="O2438" s="18">
        <v>1671</v>
      </c>
      <c r="P2438" s="18">
        <v>1690</v>
      </c>
      <c r="Q2438" s="15"/>
      <c r="R2438" t="s" s="16">
        <f>HYPERLINK("http://secrets.rutgers.edu:8080/data/asl-ftp/asllvd/demos/verify_start_end_handshape_annotations//test_auto_move//signs_mov_separ_signers/Brady_16141.mov","MOV")</f>
        <v>21</v>
      </c>
    </row>
    <row r="2439" s="2" customFormat="1" ht="13.5" customHeight="1">
      <c r="B2439" t="s" s="8">
        <v>860</v>
      </c>
      <c r="C2439" t="s" s="9">
        <v>14</v>
      </c>
      <c r="D2439" t="s" s="8">
        <v>14</v>
      </c>
      <c r="E2439" t="s" s="9">
        <v>14</v>
      </c>
      <c r="F2439" t="s" s="10">
        <v>14</v>
      </c>
      <c r="G2439" t="s" s="11">
        <v>14</v>
      </c>
      <c r="H2439" t="s" s="10">
        <v>14</v>
      </c>
      <c r="I2439" t="s" s="11">
        <v>14</v>
      </c>
      <c r="J2439" t="s" s="11">
        <v>14</v>
      </c>
      <c r="K2439" t="s" s="12">
        <v>14</v>
      </c>
      <c r="L2439" t="s" s="12">
        <v>14</v>
      </c>
      <c r="M2439" t="s" s="10">
        <v>14</v>
      </c>
      <c r="N2439" t="s" s="11">
        <v>14</v>
      </c>
      <c r="O2439" t="s" s="8">
        <v>14</v>
      </c>
      <c r="P2439" t="s" s="8">
        <v>14</v>
      </c>
      <c r="Q2439" t="s" s="12">
        <v>14</v>
      </c>
      <c r="R2439" t="s" s="12">
        <v>14</v>
      </c>
    </row>
    <row r="2440" s="2" customFormat="1" ht="13.5" customHeight="1">
      <c r="B2440" s="13"/>
      <c r="C2440" t="s" s="9">
        <v>16</v>
      </c>
      <c r="D2440" t="s" s="8">
        <v>860</v>
      </c>
      <c r="E2440" t="s" s="9">
        <v>860</v>
      </c>
      <c r="F2440" t="s" s="10">
        <v>73</v>
      </c>
      <c r="G2440" t="s" s="11">
        <v>73</v>
      </c>
      <c r="H2440" t="s" s="10">
        <v>73</v>
      </c>
      <c r="I2440" t="s" s="11">
        <v>73</v>
      </c>
      <c r="J2440" t="s" s="11">
        <v>20</v>
      </c>
      <c r="K2440" t="s" s="16">
        <f>HYPERLINK("http://csr.bu.edu/ftp/asl/asllvd/demos/verify_start_end_handshape_annotations//test_auto_move//signs_mov/16142.mov","MOV")</f>
        <v>21</v>
      </c>
      <c r="L2440" t="s" s="16">
        <f>HYPERLINK("http://csr.bu.edu/ftp/asl/asllvd/demos/verify_start_end_handshape_annotations//test_auto_move//signs_mov_separ_signers/Liz_16142.mov","MOV")</f>
        <v>21</v>
      </c>
      <c r="M2440" t="s" s="10">
        <v>84</v>
      </c>
      <c r="N2440" s="17">
        <v>28</v>
      </c>
      <c r="O2440" s="18">
        <v>2340</v>
      </c>
      <c r="P2440" s="18">
        <v>2367</v>
      </c>
      <c r="Q2440" t="s" s="16">
        <f>HYPERLINK("http://secrets.rutgers.edu:8080/data/asl-ftp/asllvd/demos/verify_start_end_handshape_annotations//test_auto_move//signs_mov/16142.mov","MOV")</f>
        <v>21</v>
      </c>
      <c r="R2440" t="s" s="16">
        <f>HYPERLINK("http://secrets.rutgers.edu:8080/data/asl-ftp/asllvd/demos/verify_start_end_handshape_annotations//test_auto_move//signs_mov_separ_signers/Liz_16142.mov","MOV")</f>
        <v>21</v>
      </c>
    </row>
    <row r="2441" s="2" customFormat="1" ht="13.5" customHeight="1">
      <c r="B2441" s="13"/>
      <c r="C2441" t="s" s="9">
        <v>27</v>
      </c>
      <c r="D2441" t="s" s="8">
        <v>860</v>
      </c>
      <c r="E2441" t="s" s="9">
        <v>860</v>
      </c>
      <c r="F2441" t="s" s="10">
        <v>73</v>
      </c>
      <c r="G2441" t="s" s="11">
        <v>73</v>
      </c>
      <c r="H2441" t="s" s="10">
        <v>73</v>
      </c>
      <c r="I2441" t="s" s="11">
        <v>73</v>
      </c>
      <c r="J2441" t="s" s="11">
        <v>20</v>
      </c>
      <c r="K2441" s="15"/>
      <c r="L2441" t="s" s="16">
        <f>HYPERLINK("http://csr.bu.edu/ftp/asl/asllvd/demos/verify_start_end_handshape_annotations//test_auto_move//signs_mov_separ_signers/Naomi_16142.mov","MOV")</f>
        <v>21</v>
      </c>
      <c r="M2441" t="s" s="10">
        <v>86</v>
      </c>
      <c r="N2441" s="17">
        <v>28</v>
      </c>
      <c r="O2441" s="18">
        <v>2750</v>
      </c>
      <c r="P2441" s="18">
        <v>2785</v>
      </c>
      <c r="Q2441" s="15"/>
      <c r="R2441" t="s" s="16">
        <f>HYPERLINK("http://secrets.rutgers.edu:8080/data/asl-ftp/asllvd/demos/verify_start_end_handshape_annotations//test_auto_move//signs_mov_separ_signers/Naomi_16142.mov","MOV")</f>
        <v>21</v>
      </c>
    </row>
    <row r="2442" s="2" customFormat="1" ht="13.5" customHeight="1">
      <c r="B2442" t="s" s="8">
        <v>52</v>
      </c>
      <c r="C2442" t="s" s="9">
        <v>53</v>
      </c>
      <c r="D2442" t="s" s="8">
        <v>53</v>
      </c>
      <c r="E2442" t="s" s="9">
        <v>53</v>
      </c>
      <c r="F2442" t="s" s="10">
        <v>53</v>
      </c>
      <c r="G2442" t="s" s="11">
        <v>53</v>
      </c>
      <c r="H2442" t="s" s="10">
        <v>53</v>
      </c>
      <c r="I2442" t="s" s="11">
        <v>53</v>
      </c>
      <c r="J2442" t="s" s="11">
        <v>53</v>
      </c>
      <c r="K2442" t="s" s="12">
        <v>53</v>
      </c>
      <c r="L2442" t="s" s="12">
        <v>53</v>
      </c>
      <c r="M2442" t="s" s="10">
        <v>53</v>
      </c>
      <c r="N2442" t="s" s="11">
        <v>53</v>
      </c>
      <c r="O2442" t="s" s="8">
        <v>53</v>
      </c>
      <c r="P2442" t="s" s="8">
        <v>53</v>
      </c>
      <c r="Q2442" t="s" s="12">
        <v>53</v>
      </c>
      <c r="R2442" t="s" s="12">
        <v>53</v>
      </c>
    </row>
    <row r="2443" s="2" customFormat="1" ht="13.5" customHeight="1">
      <c r="B2443" s="13"/>
      <c r="C2443" t="s" s="9">
        <v>30</v>
      </c>
      <c r="D2443" t="s" s="8">
        <v>860</v>
      </c>
      <c r="E2443" t="s" s="9">
        <v>861</v>
      </c>
      <c r="F2443" t="s" s="10">
        <v>73</v>
      </c>
      <c r="G2443" t="s" s="11">
        <v>73</v>
      </c>
      <c r="H2443" t="s" s="10">
        <v>73</v>
      </c>
      <c r="I2443" t="s" s="11">
        <v>73</v>
      </c>
      <c r="J2443" t="s" s="11">
        <v>20</v>
      </c>
      <c r="K2443" t="s" s="16">
        <f>HYPERLINK("http://csr.bu.edu/ftp/asl/asllvd/demos/verify_start_end_handshape_annotations//test_auto_move//signs_mov/16143.mov","MOV")</f>
        <v>21</v>
      </c>
      <c r="L2443" t="s" s="16">
        <f>HYPERLINK("http://csr.bu.edu/ftp/asl/asllvd/demos/verify_start_end_handshape_annotations//test_auto_move//signs_mov_separ_signers/Brady_16143.mov","MOV")</f>
        <v>21</v>
      </c>
      <c r="M2443" t="s" s="10">
        <v>39</v>
      </c>
      <c r="N2443" s="17">
        <v>10</v>
      </c>
      <c r="O2443" s="18">
        <v>2523</v>
      </c>
      <c r="P2443" s="18">
        <v>2555</v>
      </c>
      <c r="Q2443" t="s" s="16">
        <f>HYPERLINK("http://secrets.rutgers.edu:8080/data/asl-ftp/asllvd/demos/verify_start_end_handshape_annotations//test_auto_move//signs_mov/16143.mov","MOV")</f>
        <v>21</v>
      </c>
      <c r="R2443" t="s" s="16">
        <f>HYPERLINK("http://secrets.rutgers.edu:8080/data/asl-ftp/asllvd/demos/verify_start_end_handshape_annotations//test_auto_move//signs_mov_separ_signers/Brady_16143.mov","MOV")</f>
        <v>21</v>
      </c>
    </row>
    <row r="2444" s="2" customFormat="1" ht="13.5" customHeight="1">
      <c r="B2444" t="s" s="8">
        <v>52</v>
      </c>
      <c r="C2444" t="s" s="9">
        <v>53</v>
      </c>
      <c r="D2444" t="s" s="8">
        <v>53</v>
      </c>
      <c r="E2444" t="s" s="9">
        <v>53</v>
      </c>
      <c r="F2444" t="s" s="10">
        <v>53</v>
      </c>
      <c r="G2444" t="s" s="11">
        <v>53</v>
      </c>
      <c r="H2444" t="s" s="10">
        <v>53</v>
      </c>
      <c r="I2444" t="s" s="11">
        <v>53</v>
      </c>
      <c r="J2444" t="s" s="11">
        <v>53</v>
      </c>
      <c r="K2444" t="s" s="12">
        <v>53</v>
      </c>
      <c r="L2444" t="s" s="12">
        <v>53</v>
      </c>
      <c r="M2444" t="s" s="10">
        <v>53</v>
      </c>
      <c r="N2444" t="s" s="11">
        <v>53</v>
      </c>
      <c r="O2444" t="s" s="8">
        <v>53</v>
      </c>
      <c r="P2444" t="s" s="8">
        <v>53</v>
      </c>
      <c r="Q2444" t="s" s="12">
        <v>53</v>
      </c>
      <c r="R2444" t="s" s="12">
        <v>53</v>
      </c>
    </row>
    <row r="2445" s="2" customFormat="1" ht="13.5" customHeight="1">
      <c r="B2445" s="13"/>
      <c r="C2445" t="s" s="9">
        <v>23</v>
      </c>
      <c r="D2445" t="s" s="8">
        <v>860</v>
      </c>
      <c r="E2445" t="s" s="9">
        <v>862</v>
      </c>
      <c r="F2445" t="s" s="10">
        <v>73</v>
      </c>
      <c r="G2445" t="s" s="11">
        <v>73</v>
      </c>
      <c r="H2445" t="s" s="10">
        <v>73</v>
      </c>
      <c r="I2445" t="s" s="11">
        <v>73</v>
      </c>
      <c r="J2445" t="s" s="11">
        <v>20</v>
      </c>
      <c r="K2445" t="s" s="16">
        <f>HYPERLINK("http://csr.bu.edu/ftp/asl/asllvd/demos/verify_start_end_handshape_annotations//test_auto_move//signs_mov/16144.mov","MOV")</f>
        <v>21</v>
      </c>
      <c r="L2445" t="s" s="16">
        <f>HYPERLINK("http://csr.bu.edu/ftp/asl/asllvd/demos/verify_start_end_handshape_annotations//test_auto_move//signs_mov_separ_signers/Tyler_16144.mov","MOV")</f>
        <v>21</v>
      </c>
      <c r="M2445" t="s" s="10">
        <v>92</v>
      </c>
      <c r="N2445" s="17">
        <v>8</v>
      </c>
      <c r="O2445" s="18">
        <v>2605</v>
      </c>
      <c r="P2445" s="18">
        <v>2670</v>
      </c>
      <c r="Q2445" t="s" s="16">
        <f>HYPERLINK("http://secrets.rutgers.edu:8080/data/asl-ftp/asllvd/demos/verify_start_end_handshape_annotations//test_auto_move//signs_mov/16144.mov","MOV")</f>
        <v>21</v>
      </c>
      <c r="R2445" t="s" s="16">
        <f>HYPERLINK("http://secrets.rutgers.edu:8080/data/asl-ftp/asllvd/demos/verify_start_end_handshape_annotations//test_auto_move//signs_mov_separ_signers/Tyler_16144.mov","MOV")</f>
        <v>21</v>
      </c>
    </row>
    <row r="2446" s="2" customFormat="1" ht="13.5" customHeight="1">
      <c r="B2446" t="s" s="8">
        <v>863</v>
      </c>
      <c r="C2446" t="s" s="9">
        <v>14</v>
      </c>
      <c r="D2446" t="s" s="8">
        <v>14</v>
      </c>
      <c r="E2446" t="s" s="9">
        <v>14</v>
      </c>
      <c r="F2446" t="s" s="10">
        <v>14</v>
      </c>
      <c r="G2446" t="s" s="11">
        <v>14</v>
      </c>
      <c r="H2446" t="s" s="10">
        <v>14</v>
      </c>
      <c r="I2446" t="s" s="11">
        <v>14</v>
      </c>
      <c r="J2446" t="s" s="11">
        <v>14</v>
      </c>
      <c r="K2446" t="s" s="12">
        <v>14</v>
      </c>
      <c r="L2446" t="s" s="12">
        <v>14</v>
      </c>
      <c r="M2446" t="s" s="10">
        <v>14</v>
      </c>
      <c r="N2446" t="s" s="11">
        <v>14</v>
      </c>
      <c r="O2446" t="s" s="8">
        <v>14</v>
      </c>
      <c r="P2446" t="s" s="8">
        <v>14</v>
      </c>
      <c r="Q2446" t="s" s="12">
        <v>14</v>
      </c>
      <c r="R2446" t="s" s="12">
        <v>14</v>
      </c>
    </row>
    <row r="2447" s="2" customFormat="1" ht="13.5" customHeight="1">
      <c r="B2447" s="13"/>
      <c r="C2447" t="s" s="9">
        <v>23</v>
      </c>
      <c r="D2447" t="s" s="8">
        <v>863</v>
      </c>
      <c r="E2447" t="s" s="9">
        <v>863</v>
      </c>
      <c r="F2447" t="s" s="10">
        <v>73</v>
      </c>
      <c r="G2447" t="s" s="11">
        <v>73</v>
      </c>
      <c r="H2447" t="s" s="10">
        <v>73</v>
      </c>
      <c r="I2447" t="s" s="11">
        <v>73</v>
      </c>
      <c r="J2447" t="s" s="11">
        <v>20</v>
      </c>
      <c r="K2447" t="s" s="16">
        <f>HYPERLINK("http://csr.bu.edu/ftp/asl/asllvd/demos/verify_start_end_handshape_annotations//test_auto_move//signs_mov/16498.mov","MOV")</f>
        <v>21</v>
      </c>
      <c r="L2447" t="s" s="16">
        <f>HYPERLINK("http://csr.bu.edu/ftp/asl/asllvd/demos/verify_start_end_handshape_annotations//test_auto_move//signs_mov_separ_signers/Tyler_16498.mov","MOV")</f>
        <v>21</v>
      </c>
      <c r="M2447" t="s" s="10">
        <v>92</v>
      </c>
      <c r="N2447" s="17">
        <v>11</v>
      </c>
      <c r="O2447" s="18">
        <v>1240</v>
      </c>
      <c r="P2447" s="18">
        <v>1270</v>
      </c>
      <c r="Q2447" t="s" s="16">
        <f>HYPERLINK("http://secrets.rutgers.edu:8080/data/asl-ftp/asllvd/demos/verify_start_end_handshape_annotations//test_auto_move//signs_mov/16498.mov","MOV")</f>
        <v>21</v>
      </c>
      <c r="R2447" t="s" s="16">
        <f>HYPERLINK("http://secrets.rutgers.edu:8080/data/asl-ftp/asllvd/demos/verify_start_end_handshape_annotations//test_auto_move//signs_mov_separ_signers/Tyler_16498.mov","MOV")</f>
        <v>21</v>
      </c>
    </row>
    <row r="2448" s="2" customFormat="1" ht="13.5" customHeight="1">
      <c r="B2448" t="s" s="8">
        <v>864</v>
      </c>
      <c r="C2448" t="s" s="9">
        <v>14</v>
      </c>
      <c r="D2448" t="s" s="8">
        <v>14</v>
      </c>
      <c r="E2448" t="s" s="9">
        <v>14</v>
      </c>
      <c r="F2448" t="s" s="10">
        <v>14</v>
      </c>
      <c r="G2448" t="s" s="11">
        <v>14</v>
      </c>
      <c r="H2448" t="s" s="10">
        <v>14</v>
      </c>
      <c r="I2448" t="s" s="11">
        <v>14</v>
      </c>
      <c r="J2448" t="s" s="11">
        <v>14</v>
      </c>
      <c r="K2448" t="s" s="12">
        <v>14</v>
      </c>
      <c r="L2448" t="s" s="12">
        <v>14</v>
      </c>
      <c r="M2448" t="s" s="10">
        <v>14</v>
      </c>
      <c r="N2448" t="s" s="11">
        <v>14</v>
      </c>
      <c r="O2448" t="s" s="8">
        <v>14</v>
      </c>
      <c r="P2448" t="s" s="8">
        <v>14</v>
      </c>
      <c r="Q2448" t="s" s="12">
        <v>14</v>
      </c>
      <c r="R2448" t="s" s="12">
        <v>14</v>
      </c>
    </row>
    <row r="2449" s="2" customFormat="1" ht="13.5" customHeight="1">
      <c r="B2449" s="13"/>
      <c r="C2449" t="s" s="9">
        <v>23</v>
      </c>
      <c r="D2449" t="s" s="8">
        <v>864</v>
      </c>
      <c r="E2449" t="s" s="9">
        <v>864</v>
      </c>
      <c r="F2449" t="s" s="10">
        <v>185</v>
      </c>
      <c r="G2449" t="s" s="11">
        <v>152</v>
      </c>
      <c r="H2449" t="s" s="10">
        <v>185</v>
      </c>
      <c r="I2449" t="s" s="11">
        <v>152</v>
      </c>
      <c r="J2449" t="s" s="11">
        <v>20</v>
      </c>
      <c r="K2449" t="s" s="16">
        <f>HYPERLINK("http://csr.bu.edu/ftp/asl/asllvd/demos/verify_start_end_handshape_annotations//test_auto_move//signs_mov/16499.mov","MOV")</f>
        <v>21</v>
      </c>
      <c r="L2449" t="s" s="16">
        <f>HYPERLINK("http://csr.bu.edu/ftp/asl/asllvd/demos/verify_start_end_handshape_annotations//test_auto_move//signs_mov_separ_signers/Tyler_16499.mov","MOV")</f>
        <v>21</v>
      </c>
      <c r="M2449" t="s" s="10">
        <v>125</v>
      </c>
      <c r="N2449" s="17">
        <v>2</v>
      </c>
      <c r="O2449" s="18">
        <v>1550</v>
      </c>
      <c r="P2449" s="18">
        <v>1585</v>
      </c>
      <c r="Q2449" t="s" s="16">
        <f>HYPERLINK("http://secrets.rutgers.edu:8080/data/asl-ftp/asllvd/demos/verify_start_end_handshape_annotations//test_auto_move//signs_mov/16499.mov","MOV")</f>
        <v>21</v>
      </c>
      <c r="R2449" t="s" s="16">
        <f>HYPERLINK("http://secrets.rutgers.edu:8080/data/asl-ftp/asllvd/demos/verify_start_end_handshape_annotations//test_auto_move//signs_mov_separ_signers/Tyler_16499.mov","MOV")</f>
        <v>21</v>
      </c>
    </row>
    <row r="2450" s="2" customFormat="1" ht="13.5" customHeight="1">
      <c r="B2450" t="s" s="8">
        <v>865</v>
      </c>
      <c r="C2450" t="s" s="9">
        <v>14</v>
      </c>
      <c r="D2450" t="s" s="8">
        <v>14</v>
      </c>
      <c r="E2450" t="s" s="9">
        <v>14</v>
      </c>
      <c r="F2450" t="s" s="10">
        <v>14</v>
      </c>
      <c r="G2450" t="s" s="11">
        <v>14</v>
      </c>
      <c r="H2450" t="s" s="10">
        <v>14</v>
      </c>
      <c r="I2450" t="s" s="11">
        <v>14</v>
      </c>
      <c r="J2450" t="s" s="11">
        <v>14</v>
      </c>
      <c r="K2450" t="s" s="12">
        <v>14</v>
      </c>
      <c r="L2450" t="s" s="12">
        <v>14</v>
      </c>
      <c r="M2450" t="s" s="10">
        <v>14</v>
      </c>
      <c r="N2450" t="s" s="11">
        <v>14</v>
      </c>
      <c r="O2450" t="s" s="8">
        <v>14</v>
      </c>
      <c r="P2450" t="s" s="8">
        <v>14</v>
      </c>
      <c r="Q2450" t="s" s="12">
        <v>14</v>
      </c>
      <c r="R2450" t="s" s="12">
        <v>14</v>
      </c>
    </row>
    <row r="2451" s="2" customFormat="1" ht="13.5" customHeight="1">
      <c r="B2451" s="13"/>
      <c r="C2451" t="s" s="9">
        <v>16</v>
      </c>
      <c r="D2451" t="s" s="8">
        <v>865</v>
      </c>
      <c r="E2451" t="s" s="9">
        <v>866</v>
      </c>
      <c r="F2451" s="19">
        <v>1</v>
      </c>
      <c r="G2451" s="17">
        <v>1</v>
      </c>
      <c r="H2451" s="19">
        <v>1</v>
      </c>
      <c r="I2451" s="17">
        <v>1</v>
      </c>
      <c r="J2451" t="s" s="11">
        <v>20</v>
      </c>
      <c r="K2451" s="15"/>
      <c r="L2451" t="s" s="16">
        <f>HYPERLINK("http://csr.bu.edu/ftp/asl/asllvd/demos/verify_start_end_handshape_annotations//test_auto_move//signs_mov_separ_signers/Liz_517.mov","MOV")</f>
        <v>21</v>
      </c>
      <c r="M2451" t="s" s="10">
        <v>84</v>
      </c>
      <c r="N2451" s="17">
        <v>2</v>
      </c>
      <c r="O2451" s="18">
        <v>2575</v>
      </c>
      <c r="P2451" s="18">
        <v>2657</v>
      </c>
      <c r="Q2451" s="15"/>
      <c r="R2451" t="s" s="16">
        <f>HYPERLINK("http://secrets.rutgers.edu:8080/data/asl-ftp/asllvd/demos/verify_start_end_handshape_annotations//test_auto_move//signs_mov_separ_signers/Liz_517.mov","MOV")</f>
        <v>21</v>
      </c>
    </row>
    <row r="2452" s="2" customFormat="1" ht="13.5" customHeight="1">
      <c r="B2452" s="13"/>
      <c r="C2452" t="s" s="9">
        <v>27</v>
      </c>
      <c r="D2452" t="s" s="8">
        <v>865</v>
      </c>
      <c r="E2452" t="s" s="9">
        <v>866</v>
      </c>
      <c r="F2452" s="19">
        <v>1</v>
      </c>
      <c r="G2452" s="17">
        <v>1</v>
      </c>
      <c r="H2452" s="19">
        <v>1</v>
      </c>
      <c r="I2452" s="17">
        <v>1</v>
      </c>
      <c r="J2452" t="s" s="11">
        <v>20</v>
      </c>
      <c r="K2452" t="s" s="16">
        <f>HYPERLINK("http://csr.bu.edu/ftp/asl/asllvd/demos/verify_start_end_handshape_annotations//test_auto_move//signs_mov/517.mov","MOV")</f>
        <v>21</v>
      </c>
      <c r="L2452" t="s" s="16">
        <f>HYPERLINK("http://csr.bu.edu/ftp/asl/asllvd/demos/verify_start_end_handshape_annotations//test_auto_move//signs_mov_separ_signers/Naomi_517.mov","MOV")</f>
        <v>21</v>
      </c>
      <c r="M2452" t="s" s="10">
        <v>86</v>
      </c>
      <c r="N2452" s="17">
        <v>2</v>
      </c>
      <c r="O2452" s="18">
        <v>3555</v>
      </c>
      <c r="P2452" s="18">
        <v>3650</v>
      </c>
      <c r="Q2452" t="s" s="16">
        <f>HYPERLINK("http://secrets.rutgers.edu:8080/data/asl-ftp/asllvd/demos/verify_start_end_handshape_annotations//test_auto_move//signs_mov/517.mov","MOV")</f>
        <v>21</v>
      </c>
      <c r="R2452" t="s" s="16">
        <f>HYPERLINK("http://secrets.rutgers.edu:8080/data/asl-ftp/asllvd/demos/verify_start_end_handshape_annotations//test_auto_move//signs_mov_separ_signers/Naomi_517.mov","MOV")</f>
        <v>21</v>
      </c>
    </row>
    <row r="2453" s="2" customFormat="1" ht="13.5" customHeight="1">
      <c r="B2453" s="13"/>
      <c r="C2453" t="s" s="9">
        <v>30</v>
      </c>
      <c r="D2453" t="s" s="8">
        <v>865</v>
      </c>
      <c r="E2453" t="s" s="9">
        <v>866</v>
      </c>
      <c r="F2453" s="19">
        <v>1</v>
      </c>
      <c r="G2453" s="17">
        <v>1</v>
      </c>
      <c r="H2453" s="19">
        <v>1</v>
      </c>
      <c r="I2453" s="17">
        <v>1</v>
      </c>
      <c r="J2453" t="s" s="11">
        <v>20</v>
      </c>
      <c r="K2453" s="15"/>
      <c r="L2453" t="s" s="16">
        <f>HYPERLINK("http://csr.bu.edu/ftp/asl/asllvd/demos/verify_start_end_handshape_annotations//test_auto_move//signs_mov_separ_signers/Brady_517.mov","MOV")</f>
        <v>21</v>
      </c>
      <c r="M2453" t="s" s="10">
        <v>31</v>
      </c>
      <c r="N2453" s="17">
        <v>29</v>
      </c>
      <c r="O2453" s="18">
        <v>11251</v>
      </c>
      <c r="P2453" s="18">
        <v>11336</v>
      </c>
      <c r="Q2453" s="15"/>
      <c r="R2453" t="s" s="16">
        <f>HYPERLINK("http://secrets.rutgers.edu:8080/data/asl-ftp/asllvd/demos/verify_start_end_handshape_annotations//test_auto_move//signs_mov_separ_signers/Brady_517.mov","MOV")</f>
        <v>21</v>
      </c>
    </row>
    <row r="2454" s="2" customFormat="1" ht="13.5" customHeight="1">
      <c r="B2454" t="s" s="8">
        <v>867</v>
      </c>
      <c r="C2454" t="s" s="9">
        <v>14</v>
      </c>
      <c r="D2454" t="s" s="8">
        <v>14</v>
      </c>
      <c r="E2454" t="s" s="9">
        <v>14</v>
      </c>
      <c r="F2454" t="s" s="10">
        <v>14</v>
      </c>
      <c r="G2454" t="s" s="11">
        <v>14</v>
      </c>
      <c r="H2454" t="s" s="10">
        <v>14</v>
      </c>
      <c r="I2454" t="s" s="11">
        <v>14</v>
      </c>
      <c r="J2454" t="s" s="11">
        <v>14</v>
      </c>
      <c r="K2454" t="s" s="12">
        <v>14</v>
      </c>
      <c r="L2454" t="s" s="12">
        <v>14</v>
      </c>
      <c r="M2454" t="s" s="10">
        <v>14</v>
      </c>
      <c r="N2454" t="s" s="11">
        <v>14</v>
      </c>
      <c r="O2454" t="s" s="8">
        <v>14</v>
      </c>
      <c r="P2454" t="s" s="8">
        <v>14</v>
      </c>
      <c r="Q2454" t="s" s="12">
        <v>14</v>
      </c>
      <c r="R2454" t="s" s="12">
        <v>14</v>
      </c>
    </row>
    <row r="2455" s="2" customFormat="1" ht="13.5" customHeight="1">
      <c r="B2455" s="13"/>
      <c r="C2455" t="s" s="9">
        <v>16</v>
      </c>
      <c r="D2455" t="s" s="8">
        <v>867</v>
      </c>
      <c r="E2455" t="s" s="9">
        <v>867</v>
      </c>
      <c r="F2455" t="s" s="10">
        <v>337</v>
      </c>
      <c r="G2455" s="14"/>
      <c r="H2455" t="s" s="10">
        <v>337</v>
      </c>
      <c r="I2455" s="14"/>
      <c r="J2455" t="s" s="11">
        <v>20</v>
      </c>
      <c r="K2455" t="s" s="16">
        <f>HYPERLINK("http://csr.bu.edu/ftp/asl/asllvd/demos/verify_start_end_handshape_annotations//test_auto_move//signs_mov/518.mov","MOV")</f>
        <v>21</v>
      </c>
      <c r="L2455" t="s" s="16">
        <f>HYPERLINK("http://csr.bu.edu/ftp/asl/asllvd/demos/verify_start_end_handshape_annotations//test_auto_move//signs_mov_separ_signers/Liz_518.mov","MOV")</f>
        <v>21</v>
      </c>
      <c r="M2455" t="s" s="10">
        <v>84</v>
      </c>
      <c r="N2455" s="17">
        <v>2</v>
      </c>
      <c r="O2455" s="18">
        <v>2940</v>
      </c>
      <c r="P2455" s="18">
        <v>2977</v>
      </c>
      <c r="Q2455" t="s" s="16">
        <f>HYPERLINK("http://secrets.rutgers.edu:8080/data/asl-ftp/asllvd/demos/verify_start_end_handshape_annotations//test_auto_move//signs_mov/518.mov","MOV")</f>
        <v>21</v>
      </c>
      <c r="R2455" t="s" s="16">
        <f>HYPERLINK("http://secrets.rutgers.edu:8080/data/asl-ftp/asllvd/demos/verify_start_end_handshape_annotations//test_auto_move//signs_mov_separ_signers/Liz_518.mov","MOV")</f>
        <v>21</v>
      </c>
    </row>
    <row r="2456" s="2" customFormat="1" ht="13.5" customHeight="1">
      <c r="B2456" s="13"/>
      <c r="C2456" t="s" s="9">
        <v>27</v>
      </c>
      <c r="D2456" t="s" s="8">
        <v>867</v>
      </c>
      <c r="E2456" t="s" s="9">
        <v>867</v>
      </c>
      <c r="F2456" t="s" s="10">
        <v>337</v>
      </c>
      <c r="G2456" s="14"/>
      <c r="H2456" t="s" s="10">
        <v>337</v>
      </c>
      <c r="I2456" s="14"/>
      <c r="J2456" t="s" s="11">
        <v>20</v>
      </c>
      <c r="K2456" s="15"/>
      <c r="L2456" t="s" s="16">
        <f>HYPERLINK("http://csr.bu.edu/ftp/asl/asllvd/demos/verify_start_end_handshape_annotations//test_auto_move//signs_mov_separ_signers/Naomi_518.mov","MOV")</f>
        <v>21</v>
      </c>
      <c r="M2456" t="s" s="10">
        <v>86</v>
      </c>
      <c r="N2456" s="17">
        <v>2</v>
      </c>
      <c r="O2456" s="18">
        <v>4420</v>
      </c>
      <c r="P2456" s="18">
        <v>4445</v>
      </c>
      <c r="Q2456" s="15"/>
      <c r="R2456" t="s" s="16">
        <f>HYPERLINK("http://secrets.rutgers.edu:8080/data/asl-ftp/asllvd/demos/verify_start_end_handshape_annotations//test_auto_move//signs_mov_separ_signers/Naomi_518.mov","MOV")</f>
        <v>21</v>
      </c>
    </row>
    <row r="2457" s="2" customFormat="1" ht="13.5" customHeight="1">
      <c r="B2457" t="s" s="8">
        <v>868</v>
      </c>
      <c r="C2457" t="s" s="9">
        <v>14</v>
      </c>
      <c r="D2457" t="s" s="8">
        <v>14</v>
      </c>
      <c r="E2457" t="s" s="9">
        <v>14</v>
      </c>
      <c r="F2457" t="s" s="10">
        <v>14</v>
      </c>
      <c r="G2457" t="s" s="11">
        <v>14</v>
      </c>
      <c r="H2457" t="s" s="10">
        <v>14</v>
      </c>
      <c r="I2457" t="s" s="11">
        <v>14</v>
      </c>
      <c r="J2457" t="s" s="11">
        <v>14</v>
      </c>
      <c r="K2457" t="s" s="12">
        <v>14</v>
      </c>
      <c r="L2457" t="s" s="12">
        <v>14</v>
      </c>
      <c r="M2457" t="s" s="10">
        <v>14</v>
      </c>
      <c r="N2457" t="s" s="11">
        <v>14</v>
      </c>
      <c r="O2457" t="s" s="8">
        <v>14</v>
      </c>
      <c r="P2457" t="s" s="8">
        <v>14</v>
      </c>
      <c r="Q2457" t="s" s="12">
        <v>14</v>
      </c>
      <c r="R2457" t="s" s="12">
        <v>14</v>
      </c>
    </row>
    <row r="2458" s="2" customFormat="1" ht="13.5" customHeight="1">
      <c r="B2458" s="13"/>
      <c r="C2458" t="s" s="9">
        <v>16</v>
      </c>
      <c r="D2458" t="s" s="8">
        <v>868</v>
      </c>
      <c r="E2458" t="s" s="9">
        <v>868</v>
      </c>
      <c r="F2458" t="s" s="10">
        <v>85</v>
      </c>
      <c r="G2458" t="s" s="11">
        <v>260</v>
      </c>
      <c r="H2458" t="s" s="10">
        <v>73</v>
      </c>
      <c r="I2458" t="s" s="11">
        <v>73</v>
      </c>
      <c r="J2458" t="s" s="11">
        <v>20</v>
      </c>
      <c r="K2458" s="15"/>
      <c r="L2458" t="s" s="16">
        <f>HYPERLINK("http://csr.bu.edu/ftp/asl/asllvd/demos/verify_start_end_handshape_annotations//test_auto_move//signs_mov_separ_signers/Liz_521.mov","MOV")</f>
        <v>21</v>
      </c>
      <c r="M2458" t="s" s="10">
        <v>84</v>
      </c>
      <c r="N2458" s="17">
        <v>3</v>
      </c>
      <c r="O2458" s="18">
        <v>692</v>
      </c>
      <c r="P2458" s="18">
        <v>720</v>
      </c>
      <c r="Q2458" s="15"/>
      <c r="R2458" t="s" s="16">
        <f>HYPERLINK("http://secrets.rutgers.edu:8080/data/asl-ftp/asllvd/demos/verify_start_end_handshape_annotations//test_auto_move//signs_mov_separ_signers/Liz_521.mov","MOV")</f>
        <v>21</v>
      </c>
    </row>
    <row r="2459" s="2" customFormat="1" ht="13.5" customHeight="1">
      <c r="B2459" s="13"/>
      <c r="C2459" t="s" s="9">
        <v>23</v>
      </c>
      <c r="D2459" t="s" s="8">
        <v>868</v>
      </c>
      <c r="E2459" t="s" s="9">
        <v>868</v>
      </c>
      <c r="F2459" t="s" s="10">
        <v>85</v>
      </c>
      <c r="G2459" t="s" s="11">
        <v>73</v>
      </c>
      <c r="H2459" t="s" s="10">
        <v>73</v>
      </c>
      <c r="I2459" t="s" s="11">
        <v>73</v>
      </c>
      <c r="J2459" t="s" s="11">
        <v>20</v>
      </c>
      <c r="K2459" t="s" s="16">
        <f>HYPERLINK("http://csr.bu.edu/ftp/asl/asllvd/demos/verify_start_end_handshape_annotations//test_auto_move//signs_mov/521.mov","MOV")</f>
        <v>21</v>
      </c>
      <c r="L2459" t="s" s="16">
        <f>HYPERLINK("http://csr.bu.edu/ftp/asl/asllvd/demos/verify_start_end_handshape_annotations//test_auto_move//signs_mov_separ_signers/Tyler_521.mov","MOV")</f>
        <v>21</v>
      </c>
      <c r="M2459" t="s" s="10">
        <v>125</v>
      </c>
      <c r="N2459" s="17">
        <v>3</v>
      </c>
      <c r="O2459" s="18">
        <v>422</v>
      </c>
      <c r="P2459" s="18">
        <v>455</v>
      </c>
      <c r="Q2459" t="s" s="16">
        <f>HYPERLINK("http://secrets.rutgers.edu:8080/data/asl-ftp/asllvd/demos/verify_start_end_handshape_annotations//test_auto_move//signs_mov/521.mov","MOV")</f>
        <v>21</v>
      </c>
      <c r="R2459" t="s" s="16">
        <f>HYPERLINK("http://secrets.rutgers.edu:8080/data/asl-ftp/asllvd/demos/verify_start_end_handshape_annotations//test_auto_move//signs_mov_separ_signers/Tyler_521.mov","MOV")</f>
        <v>21</v>
      </c>
    </row>
    <row r="2460" s="2" customFormat="1" ht="13.5" customHeight="1">
      <c r="B2460" s="13"/>
      <c r="C2460" t="s" s="9">
        <v>30</v>
      </c>
      <c r="D2460" t="s" s="8">
        <v>868</v>
      </c>
      <c r="E2460" t="s" s="9">
        <v>868</v>
      </c>
      <c r="F2460" t="s" s="10">
        <v>85</v>
      </c>
      <c r="G2460" t="s" s="11">
        <v>73</v>
      </c>
      <c r="H2460" t="s" s="10">
        <v>73</v>
      </c>
      <c r="I2460" t="s" s="11">
        <v>73</v>
      </c>
      <c r="J2460" t="s" s="11">
        <v>20</v>
      </c>
      <c r="K2460" s="15"/>
      <c r="L2460" t="s" s="16">
        <f>HYPERLINK("http://csr.bu.edu/ftp/asl/asllvd/demos/verify_start_end_handshape_annotations//test_auto_move//signs_mov_separ_signers/Brady_521.mov","MOV")</f>
        <v>21</v>
      </c>
      <c r="M2460" t="s" s="10">
        <v>31</v>
      </c>
      <c r="N2460" s="17">
        <v>29</v>
      </c>
      <c r="O2460" s="18">
        <v>14008</v>
      </c>
      <c r="P2460" s="18">
        <v>14037</v>
      </c>
      <c r="Q2460" s="15"/>
      <c r="R2460" t="s" s="16">
        <f>HYPERLINK("http://secrets.rutgers.edu:8080/data/asl-ftp/asllvd/demos/verify_start_end_handshape_annotations//test_auto_move//signs_mov_separ_signers/Brady_521.mov","MOV")</f>
        <v>21</v>
      </c>
    </row>
    <row r="2461" s="2" customFormat="1" ht="13.5" customHeight="1">
      <c r="B2461" t="s" s="8">
        <v>52</v>
      </c>
      <c r="C2461" t="s" s="9">
        <v>53</v>
      </c>
      <c r="D2461" t="s" s="8">
        <v>53</v>
      </c>
      <c r="E2461" t="s" s="9">
        <v>53</v>
      </c>
      <c r="F2461" t="s" s="10">
        <v>53</v>
      </c>
      <c r="G2461" t="s" s="11">
        <v>53</v>
      </c>
      <c r="H2461" t="s" s="10">
        <v>53</v>
      </c>
      <c r="I2461" t="s" s="11">
        <v>53</v>
      </c>
      <c r="J2461" t="s" s="11">
        <v>53</v>
      </c>
      <c r="K2461" t="s" s="12">
        <v>53</v>
      </c>
      <c r="L2461" t="s" s="12">
        <v>53</v>
      </c>
      <c r="M2461" t="s" s="10">
        <v>53</v>
      </c>
      <c r="N2461" t="s" s="11">
        <v>53</v>
      </c>
      <c r="O2461" t="s" s="8">
        <v>53</v>
      </c>
      <c r="P2461" t="s" s="8">
        <v>53</v>
      </c>
      <c r="Q2461" t="s" s="12">
        <v>53</v>
      </c>
      <c r="R2461" t="s" s="12">
        <v>53</v>
      </c>
    </row>
    <row r="2462" s="2" customFormat="1" ht="13.5" customHeight="1">
      <c r="B2462" s="13"/>
      <c r="C2462" t="s" s="9">
        <v>27</v>
      </c>
      <c r="D2462" t="s" s="8">
        <v>868</v>
      </c>
      <c r="E2462" t="s" s="9">
        <v>869</v>
      </c>
      <c r="F2462" t="s" s="10">
        <v>63</v>
      </c>
      <c r="G2462" t="s" s="11">
        <v>63</v>
      </c>
      <c r="H2462" t="s" s="10">
        <v>73</v>
      </c>
      <c r="I2462" t="s" s="11">
        <v>73</v>
      </c>
      <c r="J2462" t="s" s="11">
        <v>20</v>
      </c>
      <c r="K2462" t="s" s="16">
        <f>HYPERLINK("http://csr.bu.edu/ftp/asl/asllvd/demos/verify_start_end_handshape_annotations//test_auto_move//signs_mov/5148.mov","MOV")</f>
        <v>21</v>
      </c>
      <c r="L2462" t="s" s="16">
        <f>HYPERLINK("http://csr.bu.edu/ftp/asl/asllvd/demos/verify_start_end_handshape_annotations//test_auto_move//signs_mov_separ_signers/Naomi_5148.mov","MOV")</f>
        <v>21</v>
      </c>
      <c r="M2462" t="s" s="10">
        <v>86</v>
      </c>
      <c r="N2462" s="17">
        <v>3</v>
      </c>
      <c r="O2462" s="18">
        <v>330</v>
      </c>
      <c r="P2462" s="18">
        <v>345</v>
      </c>
      <c r="Q2462" t="s" s="16">
        <f>HYPERLINK("http://secrets.rutgers.edu:8080/data/asl-ftp/asllvd/demos/verify_start_end_handshape_annotations//test_auto_move//signs_mov/5148.mov","MOV")</f>
        <v>21</v>
      </c>
      <c r="R2462" t="s" s="16">
        <f>HYPERLINK("http://secrets.rutgers.edu:8080/data/asl-ftp/asllvd/demos/verify_start_end_handshape_annotations//test_auto_move//signs_mov_separ_signers/Naomi_5148.mov","MOV")</f>
        <v>21</v>
      </c>
    </row>
    <row r="2463" s="2" customFormat="1" ht="13.5" customHeight="1">
      <c r="B2463" t="s" s="8">
        <v>870</v>
      </c>
      <c r="C2463" t="s" s="9">
        <v>14</v>
      </c>
      <c r="D2463" t="s" s="8">
        <v>14</v>
      </c>
      <c r="E2463" t="s" s="9">
        <v>14</v>
      </c>
      <c r="F2463" t="s" s="10">
        <v>14</v>
      </c>
      <c r="G2463" t="s" s="11">
        <v>14</v>
      </c>
      <c r="H2463" t="s" s="10">
        <v>14</v>
      </c>
      <c r="I2463" t="s" s="11">
        <v>14</v>
      </c>
      <c r="J2463" t="s" s="11">
        <v>14</v>
      </c>
      <c r="K2463" t="s" s="12">
        <v>14</v>
      </c>
      <c r="L2463" t="s" s="12">
        <v>14</v>
      </c>
      <c r="M2463" t="s" s="10">
        <v>14</v>
      </c>
      <c r="N2463" t="s" s="11">
        <v>14</v>
      </c>
      <c r="O2463" t="s" s="8">
        <v>14</v>
      </c>
      <c r="P2463" t="s" s="8">
        <v>14</v>
      </c>
      <c r="Q2463" t="s" s="12">
        <v>14</v>
      </c>
      <c r="R2463" t="s" s="12">
        <v>14</v>
      </c>
    </row>
    <row r="2464" s="2" customFormat="1" ht="13.5" customHeight="1">
      <c r="B2464" s="13"/>
      <c r="C2464" t="s" s="9">
        <v>16</v>
      </c>
      <c r="D2464" t="s" s="8">
        <v>870</v>
      </c>
      <c r="E2464" t="s" s="9">
        <v>870</v>
      </c>
      <c r="F2464" t="s" s="10">
        <v>150</v>
      </c>
      <c r="G2464" t="s" s="11">
        <v>150</v>
      </c>
      <c r="H2464" t="s" s="10">
        <v>150</v>
      </c>
      <c r="I2464" t="s" s="11">
        <v>150</v>
      </c>
      <c r="J2464" t="s" s="11">
        <v>20</v>
      </c>
      <c r="K2464" s="15"/>
      <c r="L2464" t="s" s="16">
        <f>HYPERLINK("http://csr.bu.edu/ftp/asl/asllvd/demos/verify_start_end_handshape_annotations//test_auto_move//signs_mov_separ_signers/Liz_524.mov","MOV")</f>
        <v>21</v>
      </c>
      <c r="M2464" t="s" s="10">
        <v>84</v>
      </c>
      <c r="N2464" s="17">
        <v>3</v>
      </c>
      <c r="O2464" s="18">
        <v>1517</v>
      </c>
      <c r="P2464" s="18">
        <v>1545</v>
      </c>
      <c r="Q2464" s="15"/>
      <c r="R2464" t="s" s="16">
        <f>HYPERLINK("http://secrets.rutgers.edu:8080/data/asl-ftp/asllvd/demos/verify_start_end_handshape_annotations//test_auto_move//signs_mov_separ_signers/Liz_524.mov","MOV")</f>
        <v>21</v>
      </c>
    </row>
    <row r="2465" s="2" customFormat="1" ht="13.5" customHeight="1">
      <c r="B2465" s="13"/>
      <c r="C2465" t="s" s="9">
        <v>23</v>
      </c>
      <c r="D2465" t="s" s="8">
        <v>870</v>
      </c>
      <c r="E2465" t="s" s="9">
        <v>870</v>
      </c>
      <c r="F2465" t="s" s="10">
        <v>150</v>
      </c>
      <c r="G2465" t="s" s="11">
        <v>150</v>
      </c>
      <c r="H2465" t="s" s="10">
        <v>150</v>
      </c>
      <c r="I2465" t="s" s="11">
        <v>150</v>
      </c>
      <c r="J2465" t="s" s="11">
        <v>20</v>
      </c>
      <c r="K2465" t="s" s="16">
        <f>HYPERLINK("http://csr.bu.edu/ftp/asl/asllvd/demos/verify_start_end_handshape_annotations//test_auto_move//signs_mov/524.mov","MOV")</f>
        <v>21</v>
      </c>
      <c r="L2465" t="s" s="16">
        <f>HYPERLINK("http://csr.bu.edu/ftp/asl/asllvd/demos/verify_start_end_handshape_annotations//test_auto_move//signs_mov_separ_signers/Tyler_524.mov","MOV")</f>
        <v>21</v>
      </c>
      <c r="M2465" t="s" s="10">
        <v>125</v>
      </c>
      <c r="N2465" s="17">
        <v>3</v>
      </c>
      <c r="O2465" s="18">
        <v>1110</v>
      </c>
      <c r="P2465" s="18">
        <v>1135</v>
      </c>
      <c r="Q2465" t="s" s="16">
        <f>HYPERLINK("http://secrets.rutgers.edu:8080/data/asl-ftp/asllvd/demos/verify_start_end_handshape_annotations//test_auto_move//signs_mov/524.mov","MOV")</f>
        <v>21</v>
      </c>
      <c r="R2465" t="s" s="16">
        <f>HYPERLINK("http://secrets.rutgers.edu:8080/data/asl-ftp/asllvd/demos/verify_start_end_handshape_annotations//test_auto_move//signs_mov_separ_signers/Tyler_524.mov","MOV")</f>
        <v>21</v>
      </c>
    </row>
    <row r="2466" s="2" customFormat="1" ht="13.5" customHeight="1">
      <c r="B2466" s="13"/>
      <c r="C2466" t="s" s="9">
        <v>27</v>
      </c>
      <c r="D2466" t="s" s="8">
        <v>870</v>
      </c>
      <c r="E2466" t="s" s="9">
        <v>870</v>
      </c>
      <c r="F2466" t="s" s="10">
        <v>150</v>
      </c>
      <c r="G2466" t="s" s="11">
        <v>150</v>
      </c>
      <c r="H2466" t="s" s="10">
        <v>150</v>
      </c>
      <c r="I2466" t="s" s="11">
        <v>150</v>
      </c>
      <c r="J2466" t="s" s="11">
        <v>20</v>
      </c>
      <c r="K2466" s="15"/>
      <c r="L2466" t="s" s="16">
        <f>HYPERLINK("http://csr.bu.edu/ftp/asl/asllvd/demos/verify_start_end_handshape_annotations//test_auto_move//signs_mov_separ_signers/Naomi_524.mov","MOV")</f>
        <v>21</v>
      </c>
      <c r="M2466" t="s" s="10">
        <v>86</v>
      </c>
      <c r="N2466" s="17">
        <v>3</v>
      </c>
      <c r="O2466" s="18">
        <v>1070</v>
      </c>
      <c r="P2466" s="18">
        <v>1095</v>
      </c>
      <c r="Q2466" s="15"/>
      <c r="R2466" t="s" s="16">
        <f>HYPERLINK("http://secrets.rutgers.edu:8080/data/asl-ftp/asllvd/demos/verify_start_end_handshape_annotations//test_auto_move//signs_mov_separ_signers/Naomi_524.mov","MOV")</f>
        <v>21</v>
      </c>
    </row>
    <row r="2467" s="2" customFormat="1" ht="13.5" customHeight="1">
      <c r="B2467" s="13"/>
      <c r="C2467" t="s" s="9">
        <v>30</v>
      </c>
      <c r="D2467" t="s" s="8">
        <v>870</v>
      </c>
      <c r="E2467" t="s" s="9">
        <v>870</v>
      </c>
      <c r="F2467" t="s" s="10">
        <v>150</v>
      </c>
      <c r="G2467" t="s" s="11">
        <v>150</v>
      </c>
      <c r="H2467" t="s" s="10">
        <v>150</v>
      </c>
      <c r="I2467" t="s" s="11">
        <v>150</v>
      </c>
      <c r="J2467" t="s" s="11">
        <v>20</v>
      </c>
      <c r="K2467" s="15"/>
      <c r="L2467" t="s" s="16">
        <f>HYPERLINK("http://csr.bu.edu/ftp/asl/asllvd/demos/verify_start_end_handshape_annotations//test_auto_move//signs_mov_separ_signers/Brady_524.mov","MOV")</f>
        <v>21</v>
      </c>
      <c r="M2467" t="s" s="10">
        <v>31</v>
      </c>
      <c r="N2467" s="17">
        <v>29</v>
      </c>
      <c r="O2467" s="18">
        <v>15164</v>
      </c>
      <c r="P2467" s="18">
        <v>15205</v>
      </c>
      <c r="Q2467" s="15"/>
      <c r="R2467" t="s" s="16">
        <f>HYPERLINK("http://secrets.rutgers.edu:8080/data/asl-ftp/asllvd/demos/verify_start_end_handshape_annotations//test_auto_move//signs_mov_separ_signers/Brady_524.mov","MOV")</f>
        <v>21</v>
      </c>
    </row>
    <row r="2468" s="2" customFormat="1" ht="13.5" customHeight="1">
      <c r="B2468" t="s" s="8">
        <v>871</v>
      </c>
      <c r="C2468" t="s" s="9">
        <v>14</v>
      </c>
      <c r="D2468" t="s" s="8">
        <v>14</v>
      </c>
      <c r="E2468" t="s" s="9">
        <v>14</v>
      </c>
      <c r="F2468" t="s" s="10">
        <v>14</v>
      </c>
      <c r="G2468" t="s" s="11">
        <v>14</v>
      </c>
      <c r="H2468" t="s" s="10">
        <v>14</v>
      </c>
      <c r="I2468" t="s" s="11">
        <v>14</v>
      </c>
      <c r="J2468" t="s" s="11">
        <v>14</v>
      </c>
      <c r="K2468" t="s" s="12">
        <v>14</v>
      </c>
      <c r="L2468" t="s" s="12">
        <v>14</v>
      </c>
      <c r="M2468" t="s" s="10">
        <v>14</v>
      </c>
      <c r="N2468" t="s" s="11">
        <v>14</v>
      </c>
      <c r="O2468" t="s" s="8">
        <v>14</v>
      </c>
      <c r="P2468" t="s" s="8">
        <v>14</v>
      </c>
      <c r="Q2468" t="s" s="12">
        <v>14</v>
      </c>
      <c r="R2468" t="s" s="12">
        <v>14</v>
      </c>
    </row>
    <row r="2469" s="2" customFormat="1" ht="13.5" customHeight="1">
      <c r="B2469" s="13"/>
      <c r="C2469" t="s" s="9">
        <v>16</v>
      </c>
      <c r="D2469" t="s" s="8">
        <v>871</v>
      </c>
      <c r="E2469" t="s" s="9">
        <v>871</v>
      </c>
      <c r="F2469" t="s" s="10">
        <v>68</v>
      </c>
      <c r="G2469" t="s" s="11">
        <v>68</v>
      </c>
      <c r="H2469" t="s" s="10">
        <v>68</v>
      </c>
      <c r="I2469" t="s" s="11">
        <v>68</v>
      </c>
      <c r="J2469" t="s" s="11">
        <v>20</v>
      </c>
      <c r="K2469" t="s" s="16">
        <f>HYPERLINK("http://csr.bu.edu/ftp/asl/asllvd/demos/verify_start_end_handshape_annotations//test_auto_move//signs_mov/526.mov","MOV")</f>
        <v>21</v>
      </c>
      <c r="L2469" t="s" s="16">
        <f>HYPERLINK("http://csr.bu.edu/ftp/asl/asllvd/demos/verify_start_end_handshape_annotations//test_auto_move//signs_mov_separ_signers/Liz_526.mov","MOV")</f>
        <v>21</v>
      </c>
      <c r="M2469" t="s" s="10">
        <v>84</v>
      </c>
      <c r="N2469" s="17">
        <v>3</v>
      </c>
      <c r="O2469" s="18">
        <v>2015</v>
      </c>
      <c r="P2469" s="18">
        <v>2040</v>
      </c>
      <c r="Q2469" t="s" s="16">
        <f>HYPERLINK("http://secrets.rutgers.edu:8080/data/asl-ftp/asllvd/demos/verify_start_end_handshape_annotations//test_auto_move//signs_mov/526.mov","MOV")</f>
        <v>21</v>
      </c>
      <c r="R2469" t="s" s="16">
        <f>HYPERLINK("http://secrets.rutgers.edu:8080/data/asl-ftp/asllvd/demos/verify_start_end_handshape_annotations//test_auto_move//signs_mov_separ_signers/Liz_526.mov","MOV")</f>
        <v>21</v>
      </c>
    </row>
    <row r="2470" s="2" customFormat="1" ht="13.5" customHeight="1">
      <c r="B2470" s="13"/>
      <c r="C2470" t="s" s="9">
        <v>27</v>
      </c>
      <c r="D2470" t="s" s="8">
        <v>871</v>
      </c>
      <c r="E2470" t="s" s="9">
        <v>871</v>
      </c>
      <c r="F2470" t="s" s="10">
        <v>68</v>
      </c>
      <c r="G2470" t="s" s="11">
        <v>68</v>
      </c>
      <c r="H2470" t="s" s="10">
        <v>68</v>
      </c>
      <c r="I2470" t="s" s="11">
        <v>68</v>
      </c>
      <c r="J2470" t="s" s="11">
        <v>20</v>
      </c>
      <c r="K2470" s="15"/>
      <c r="L2470" t="s" s="16">
        <f>HYPERLINK("http://csr.bu.edu/ftp/asl/asllvd/demos/verify_start_end_handshape_annotations//test_auto_move//signs_mov_separ_signers/Naomi_526.mov","MOV")</f>
        <v>21</v>
      </c>
      <c r="M2470" t="s" s="10">
        <v>86</v>
      </c>
      <c r="N2470" s="17">
        <v>3</v>
      </c>
      <c r="O2470" s="18">
        <v>1530</v>
      </c>
      <c r="P2470" s="18">
        <v>1545</v>
      </c>
      <c r="Q2470" s="15"/>
      <c r="R2470" t="s" s="16">
        <f>HYPERLINK("http://secrets.rutgers.edu:8080/data/asl-ftp/asllvd/demos/verify_start_end_handshape_annotations//test_auto_move//signs_mov_separ_signers/Naomi_526.mov","MOV")</f>
        <v>21</v>
      </c>
    </row>
    <row r="2471" s="2" customFormat="1" ht="13.5" customHeight="1">
      <c r="B2471" t="s" s="8">
        <v>871</v>
      </c>
      <c r="C2471" t="s" s="9">
        <v>14</v>
      </c>
      <c r="D2471" t="s" s="8">
        <v>14</v>
      </c>
      <c r="E2471" t="s" s="9">
        <v>14</v>
      </c>
      <c r="F2471" t="s" s="10">
        <v>14</v>
      </c>
      <c r="G2471" t="s" s="11">
        <v>14</v>
      </c>
      <c r="H2471" t="s" s="10">
        <v>14</v>
      </c>
      <c r="I2471" t="s" s="11">
        <v>14</v>
      </c>
      <c r="J2471" t="s" s="11">
        <v>14</v>
      </c>
      <c r="K2471" t="s" s="12">
        <v>14</v>
      </c>
      <c r="L2471" t="s" s="12">
        <v>14</v>
      </c>
      <c r="M2471" t="s" s="10">
        <v>14</v>
      </c>
      <c r="N2471" t="s" s="11">
        <v>14</v>
      </c>
      <c r="O2471" t="s" s="8">
        <v>14</v>
      </c>
      <c r="P2471" t="s" s="8">
        <v>14</v>
      </c>
      <c r="Q2471" t="s" s="12">
        <v>14</v>
      </c>
      <c r="R2471" t="s" s="12">
        <v>14</v>
      </c>
    </row>
    <row r="2472" s="2" customFormat="1" ht="13.5" customHeight="1">
      <c r="B2472" s="13"/>
      <c r="C2472" t="s" s="9">
        <v>16</v>
      </c>
      <c r="D2472" t="s" s="8">
        <v>872</v>
      </c>
      <c r="E2472" t="s" s="9">
        <v>872</v>
      </c>
      <c r="F2472" t="s" s="10">
        <v>68</v>
      </c>
      <c r="G2472" t="s" s="11">
        <v>51</v>
      </c>
      <c r="H2472" t="s" s="10">
        <v>68</v>
      </c>
      <c r="I2472" t="s" s="11">
        <v>51</v>
      </c>
      <c r="J2472" t="s" s="11">
        <v>20</v>
      </c>
      <c r="K2472" s="15"/>
      <c r="L2472" t="s" s="16">
        <f>HYPERLINK("http://csr.bu.edu/ftp/asl/asllvd/demos/verify_start_end_handshape_annotations//test_auto_move//signs_mov_separ_signers/Liz_3892.mov","MOV")</f>
        <v>21</v>
      </c>
      <c r="M2472" t="s" s="10">
        <v>77</v>
      </c>
      <c r="N2472" s="17">
        <v>17</v>
      </c>
      <c r="O2472" s="18">
        <v>6005</v>
      </c>
      <c r="P2472" s="18">
        <v>6052</v>
      </c>
      <c r="Q2472" s="15"/>
      <c r="R2472" t="s" s="16">
        <f>HYPERLINK("http://secrets.rutgers.edu:8080/data/asl-ftp/asllvd/demos/verify_start_end_handshape_annotations//test_auto_move//signs_mov_separ_signers/Liz_3892.mov","MOV")</f>
        <v>21</v>
      </c>
    </row>
    <row r="2473" s="2" customFormat="1" ht="13.5" customHeight="1">
      <c r="B2473" s="13"/>
      <c r="C2473" t="s" s="9">
        <v>23</v>
      </c>
      <c r="D2473" t="s" s="8">
        <v>872</v>
      </c>
      <c r="E2473" t="s" s="9">
        <v>872</v>
      </c>
      <c r="F2473" t="s" s="10">
        <v>68</v>
      </c>
      <c r="G2473" s="17">
        <v>1</v>
      </c>
      <c r="H2473" t="s" s="10">
        <v>68</v>
      </c>
      <c r="I2473" s="17">
        <v>1</v>
      </c>
      <c r="J2473" t="s" s="11">
        <v>20</v>
      </c>
      <c r="K2473" t="s" s="16">
        <f>HYPERLINK("http://csr.bu.edu/ftp/asl/asllvd/demos/verify_start_end_handshape_annotations//test_auto_move//signs_mov/3892_5612_merged.mov","MOV")</f>
        <v>21</v>
      </c>
      <c r="L2473" t="s" s="16">
        <f>HYPERLINK("http://csr.bu.edu/ftp/asl/asllvd/demos/verify_start_end_handshape_annotations//test_auto_move//signs_mov_separ_signers/Tyler_3892.mov","MOV")</f>
        <v>21</v>
      </c>
      <c r="M2473" t="s" s="10">
        <v>125</v>
      </c>
      <c r="N2473" s="17">
        <v>3</v>
      </c>
      <c r="O2473" s="18">
        <v>1560</v>
      </c>
      <c r="P2473" s="18">
        <v>1590</v>
      </c>
      <c r="Q2473" t="s" s="16">
        <f>HYPERLINK("http://secrets.rutgers.edu:8080/data/asl-ftp/asllvd/demos/verify_start_end_handshape_annotations//test_auto_move//signs_mov/3892_5612_merged.mov","MOV")</f>
        <v>21</v>
      </c>
      <c r="R2473" t="s" s="16">
        <f>HYPERLINK("http://secrets.rutgers.edu:8080/data/asl-ftp/asllvd/demos/verify_start_end_handshape_annotations//test_auto_move//signs_mov_separ_signers/Tyler_3892.mov","MOV")</f>
        <v>21</v>
      </c>
    </row>
    <row r="2474" s="2" customFormat="1" ht="13.5" customHeight="1">
      <c r="B2474" s="13"/>
      <c r="C2474" t="s" s="9">
        <v>30</v>
      </c>
      <c r="D2474" t="s" s="8">
        <v>872</v>
      </c>
      <c r="E2474" t="s" s="9">
        <v>872</v>
      </c>
      <c r="F2474" t="s" s="10">
        <v>68</v>
      </c>
      <c r="G2474" s="17">
        <v>1</v>
      </c>
      <c r="H2474" t="s" s="10">
        <v>68</v>
      </c>
      <c r="I2474" s="17">
        <v>1</v>
      </c>
      <c r="J2474" t="s" s="11">
        <v>20</v>
      </c>
      <c r="K2474" s="15"/>
      <c r="L2474" t="s" s="16">
        <f>HYPERLINK("http://csr.bu.edu/ftp/asl/asllvd/demos/verify_start_end_handshape_annotations//test_auto_move//signs_mov_separ_signers/Brady_3892.mov","MOV")</f>
        <v>21</v>
      </c>
      <c r="M2474" t="s" s="10">
        <v>31</v>
      </c>
      <c r="N2474" s="17">
        <v>17</v>
      </c>
      <c r="O2474" s="18">
        <v>10673</v>
      </c>
      <c r="P2474" s="18">
        <v>10712</v>
      </c>
      <c r="Q2474" s="15"/>
      <c r="R2474" t="s" s="16">
        <f>HYPERLINK("http://secrets.rutgers.edu:8080/data/asl-ftp/asllvd/demos/verify_start_end_handshape_annotations//test_auto_move//signs_mov_separ_signers/Brady_3892.mov","MOV")</f>
        <v>21</v>
      </c>
    </row>
    <row r="2475" s="2" customFormat="1" ht="13.5" customHeight="1">
      <c r="B2475" s="13"/>
      <c r="C2475" t="s" s="9">
        <v>30</v>
      </c>
      <c r="D2475" t="s" s="8">
        <v>872</v>
      </c>
      <c r="E2475" t="s" s="9">
        <v>872</v>
      </c>
      <c r="F2475" t="s" s="10">
        <v>68</v>
      </c>
      <c r="G2475" s="17">
        <v>1</v>
      </c>
      <c r="H2475" t="s" s="10">
        <v>68</v>
      </c>
      <c r="I2475" s="17">
        <v>1</v>
      </c>
      <c r="J2475" t="s" s="11">
        <v>20</v>
      </c>
      <c r="K2475" s="15"/>
      <c r="L2475" t="s" s="16">
        <f>HYPERLINK("http://csr.bu.edu/ftp/asl/asllvd/demos/verify_start_end_handshape_annotations//test_auto_move//signs_mov_separ_signers/Brady_5612.mov","MOV")</f>
        <v>21</v>
      </c>
      <c r="M2475" t="s" s="10">
        <v>31</v>
      </c>
      <c r="N2475" s="17">
        <v>29</v>
      </c>
      <c r="O2475" s="18">
        <v>16113</v>
      </c>
      <c r="P2475" s="18">
        <v>16140</v>
      </c>
      <c r="Q2475" s="15"/>
      <c r="R2475" t="s" s="16">
        <f>HYPERLINK("http://secrets.rutgers.edu:8080/data/asl-ftp/asllvd/demos/verify_start_end_handshape_annotations//test_auto_move//signs_mov_separ_signers/Brady_5612.mov","MOV")</f>
        <v>21</v>
      </c>
    </row>
    <row r="2476" s="2" customFormat="1" ht="13.5" customHeight="1">
      <c r="B2476" t="s" s="8">
        <v>873</v>
      </c>
      <c r="C2476" t="s" s="9">
        <v>14</v>
      </c>
      <c r="D2476" t="s" s="8">
        <v>14</v>
      </c>
      <c r="E2476" t="s" s="9">
        <v>14</v>
      </c>
      <c r="F2476" t="s" s="10">
        <v>14</v>
      </c>
      <c r="G2476" t="s" s="11">
        <v>14</v>
      </c>
      <c r="H2476" t="s" s="10">
        <v>14</v>
      </c>
      <c r="I2476" t="s" s="11">
        <v>14</v>
      </c>
      <c r="J2476" t="s" s="11">
        <v>14</v>
      </c>
      <c r="K2476" t="s" s="12">
        <v>14</v>
      </c>
      <c r="L2476" t="s" s="12">
        <v>14</v>
      </c>
      <c r="M2476" t="s" s="10">
        <v>14</v>
      </c>
      <c r="N2476" t="s" s="11">
        <v>14</v>
      </c>
      <c r="O2476" t="s" s="8">
        <v>14</v>
      </c>
      <c r="P2476" t="s" s="8">
        <v>14</v>
      </c>
      <c r="Q2476" t="s" s="12">
        <v>14</v>
      </c>
      <c r="R2476" t="s" s="12">
        <v>14</v>
      </c>
    </row>
    <row r="2477" s="2" customFormat="1" ht="13.5" customHeight="1">
      <c r="B2477" s="13"/>
      <c r="C2477" t="s" s="9">
        <v>16</v>
      </c>
      <c r="D2477" t="s" s="8">
        <v>873</v>
      </c>
      <c r="E2477" t="s" s="9">
        <v>874</v>
      </c>
      <c r="F2477" s="19">
        <v>10</v>
      </c>
      <c r="G2477" s="17">
        <v>10</v>
      </c>
      <c r="H2477" s="19">
        <v>10</v>
      </c>
      <c r="I2477" s="17">
        <v>10</v>
      </c>
      <c r="J2477" t="s" s="11">
        <v>20</v>
      </c>
      <c r="K2477" s="15"/>
      <c r="L2477" t="s" s="16">
        <f>HYPERLINK("http://csr.bu.edu/ftp/asl/asllvd/demos/verify_start_end_handshape_annotations//test_auto_move//signs_mov_separ_signers/Liz_529.mov","MOV")</f>
        <v>21</v>
      </c>
      <c r="M2477" t="s" s="10">
        <v>84</v>
      </c>
      <c r="N2477" s="17">
        <v>3</v>
      </c>
      <c r="O2477" s="18">
        <v>2880</v>
      </c>
      <c r="P2477" s="18">
        <v>2940</v>
      </c>
      <c r="Q2477" s="15"/>
      <c r="R2477" t="s" s="16">
        <f>HYPERLINK("http://secrets.rutgers.edu:8080/data/asl-ftp/asllvd/demos/verify_start_end_handshape_annotations//test_auto_move//signs_mov_separ_signers/Liz_529.mov","MOV")</f>
        <v>21</v>
      </c>
    </row>
    <row r="2478" s="2" customFormat="1" ht="13.5" customHeight="1">
      <c r="B2478" s="13"/>
      <c r="C2478" t="s" s="9">
        <v>16</v>
      </c>
      <c r="D2478" t="s" s="8">
        <v>873</v>
      </c>
      <c r="E2478" t="s" s="9">
        <v>874</v>
      </c>
      <c r="F2478" s="19">
        <v>10</v>
      </c>
      <c r="G2478" s="17">
        <v>10</v>
      </c>
      <c r="H2478" s="19">
        <v>10</v>
      </c>
      <c r="I2478" s="17">
        <v>10</v>
      </c>
      <c r="J2478" t="s" s="11">
        <v>20</v>
      </c>
      <c r="K2478" s="15"/>
      <c r="L2478" t="s" s="16">
        <f>HYPERLINK("http://csr.bu.edu/ftp/asl/asllvd/demos/verify_start_end_handshape_annotations//test_auto_move//signs_mov_separ_signers/Liz_3597.mov","MOV")</f>
        <v>21</v>
      </c>
      <c r="M2478" t="s" s="10">
        <v>84</v>
      </c>
      <c r="N2478" s="17">
        <v>4</v>
      </c>
      <c r="O2478" s="18">
        <v>2250</v>
      </c>
      <c r="P2478" s="18">
        <v>2301</v>
      </c>
      <c r="Q2478" s="15"/>
      <c r="R2478" t="s" s="16">
        <f>HYPERLINK("http://secrets.rutgers.edu:8080/data/asl-ftp/asllvd/demos/verify_start_end_handshape_annotations//test_auto_move//signs_mov_separ_signers/Liz_3597.mov","MOV")</f>
        <v>21</v>
      </c>
    </row>
    <row r="2479" s="2" customFormat="1" ht="13.5" customHeight="1">
      <c r="B2479" s="13"/>
      <c r="C2479" t="s" s="9">
        <v>16</v>
      </c>
      <c r="D2479" t="s" s="8">
        <v>873</v>
      </c>
      <c r="E2479" t="s" s="9">
        <v>873</v>
      </c>
      <c r="F2479" s="19">
        <v>10</v>
      </c>
      <c r="G2479" s="17">
        <v>10</v>
      </c>
      <c r="H2479" s="19">
        <v>10</v>
      </c>
      <c r="I2479" s="17">
        <v>10</v>
      </c>
      <c r="J2479" t="s" s="11">
        <v>20</v>
      </c>
      <c r="K2479" s="15"/>
      <c r="L2479" t="s" s="16">
        <f>HYPERLINK("http://csr.bu.edu/ftp/asl/asllvd/demos/verify_start_end_handshape_annotations//test_auto_move//signs_mov_separ_signers/Liz_3738.mov","MOV")</f>
        <v>21</v>
      </c>
      <c r="M2479" t="s" s="10">
        <v>36</v>
      </c>
      <c r="N2479" s="17">
        <v>10</v>
      </c>
      <c r="O2479" s="18">
        <v>2056</v>
      </c>
      <c r="P2479" s="18">
        <v>2130</v>
      </c>
      <c r="Q2479" s="15"/>
      <c r="R2479" t="s" s="16">
        <f>HYPERLINK("http://secrets.rutgers.edu:8080/data/asl-ftp/asllvd/demos/verify_start_end_handshape_annotations//test_auto_move//signs_mov_separ_signers/Liz_3738.mov","MOV")</f>
        <v>21</v>
      </c>
    </row>
    <row r="2480" s="2" customFormat="1" ht="13.5" customHeight="1">
      <c r="B2480" s="13"/>
      <c r="C2480" t="s" s="9">
        <v>23</v>
      </c>
      <c r="D2480" t="s" s="8">
        <v>873</v>
      </c>
      <c r="E2480" t="s" s="9">
        <v>875</v>
      </c>
      <c r="F2480" s="19">
        <v>10</v>
      </c>
      <c r="G2480" s="17">
        <v>10</v>
      </c>
      <c r="H2480" s="19">
        <v>10</v>
      </c>
      <c r="I2480" s="17">
        <v>10</v>
      </c>
      <c r="J2480" t="s" s="11">
        <v>20</v>
      </c>
      <c r="K2480" t="s" s="16">
        <f>HYPERLINK("http://csr.bu.edu/ftp/asl/asllvd/demos/verify_start_end_handshape_annotations//test_auto_move//signs_mov/529_3597_3738_merged.mov","MOV")</f>
        <v>21</v>
      </c>
      <c r="L2480" t="s" s="16">
        <f>HYPERLINK("http://csr.bu.edu/ftp/asl/asllvd/demos/verify_start_end_handshape_annotations//test_auto_move//signs_mov_separ_signers/Tyler_529.mov","MOV")</f>
        <v>21</v>
      </c>
      <c r="M2480" t="s" s="10">
        <v>125</v>
      </c>
      <c r="N2480" s="17">
        <v>3</v>
      </c>
      <c r="O2480" s="18">
        <v>2345</v>
      </c>
      <c r="P2480" s="18">
        <v>2410</v>
      </c>
      <c r="Q2480" t="s" s="16">
        <f>HYPERLINK("http://secrets.rutgers.edu:8080/data/asl-ftp/asllvd/demos/verify_start_end_handshape_annotations//test_auto_move//signs_mov/529_3597_3738_merged.mov","MOV")</f>
        <v>21</v>
      </c>
      <c r="R2480" t="s" s="16">
        <f>HYPERLINK("http://secrets.rutgers.edu:8080/data/asl-ftp/asllvd/demos/verify_start_end_handshape_annotations//test_auto_move//signs_mov_separ_signers/Tyler_529.mov","MOV")</f>
        <v>21</v>
      </c>
    </row>
    <row r="2481" s="2" customFormat="1" ht="13.5" customHeight="1">
      <c r="B2481" s="13"/>
      <c r="C2481" t="s" s="9">
        <v>23</v>
      </c>
      <c r="D2481" t="s" s="8">
        <v>873</v>
      </c>
      <c r="E2481" t="s" s="9">
        <v>875</v>
      </c>
      <c r="F2481" s="19">
        <v>10</v>
      </c>
      <c r="G2481" s="17">
        <v>10</v>
      </c>
      <c r="H2481" s="19">
        <v>10</v>
      </c>
      <c r="I2481" s="17">
        <v>10</v>
      </c>
      <c r="J2481" t="s" s="11">
        <v>20</v>
      </c>
      <c r="K2481" s="15"/>
      <c r="L2481" t="s" s="16">
        <f>HYPERLINK("http://csr.bu.edu/ftp/asl/asllvd/demos/verify_start_end_handshape_annotations//test_auto_move//signs_mov_separ_signers/Tyler_3597.mov","MOV")</f>
        <v>21</v>
      </c>
      <c r="M2481" t="s" s="10">
        <v>125</v>
      </c>
      <c r="N2481" s="17">
        <v>4</v>
      </c>
      <c r="O2481" s="18">
        <v>4336</v>
      </c>
      <c r="P2481" s="18">
        <v>4376</v>
      </c>
      <c r="Q2481" s="15"/>
      <c r="R2481" t="s" s="16">
        <f>HYPERLINK("http://secrets.rutgers.edu:8080/data/asl-ftp/asllvd/demos/verify_start_end_handshape_annotations//test_auto_move//signs_mov_separ_signers/Tyler_3597.mov","MOV")</f>
        <v>21</v>
      </c>
    </row>
    <row r="2482" s="2" customFormat="1" ht="13.5" customHeight="1">
      <c r="B2482" s="13"/>
      <c r="C2482" t="s" s="9">
        <v>27</v>
      </c>
      <c r="D2482" t="s" s="8">
        <v>873</v>
      </c>
      <c r="E2482" t="s" s="9">
        <v>875</v>
      </c>
      <c r="F2482" s="19">
        <v>10</v>
      </c>
      <c r="G2482" s="17">
        <v>10</v>
      </c>
      <c r="H2482" s="19">
        <v>10</v>
      </c>
      <c r="I2482" s="17">
        <v>10</v>
      </c>
      <c r="J2482" t="s" s="11">
        <v>20</v>
      </c>
      <c r="K2482" s="15"/>
      <c r="L2482" t="s" s="16">
        <f>HYPERLINK("http://csr.bu.edu/ftp/asl/asllvd/demos/verify_start_end_handshape_annotations//test_auto_move//signs_mov_separ_signers/Naomi_529.mov","MOV")</f>
        <v>21</v>
      </c>
      <c r="M2482" t="s" s="10">
        <v>86</v>
      </c>
      <c r="N2482" s="17">
        <v>3</v>
      </c>
      <c r="O2482" s="18">
        <v>2280</v>
      </c>
      <c r="P2482" s="18">
        <v>2340</v>
      </c>
      <c r="Q2482" s="15"/>
      <c r="R2482" t="s" s="16">
        <f>HYPERLINK("http://secrets.rutgers.edu:8080/data/asl-ftp/asllvd/demos/verify_start_end_handshape_annotations//test_auto_move//signs_mov_separ_signers/Naomi_529.mov","MOV")</f>
        <v>21</v>
      </c>
    </row>
    <row r="2483" s="2" customFormat="1" ht="13.5" customHeight="1">
      <c r="B2483" s="13"/>
      <c r="C2483" t="s" s="9">
        <v>27</v>
      </c>
      <c r="D2483" t="s" s="8">
        <v>873</v>
      </c>
      <c r="E2483" t="s" s="9">
        <v>874</v>
      </c>
      <c r="F2483" s="19">
        <v>10</v>
      </c>
      <c r="G2483" s="17">
        <v>10</v>
      </c>
      <c r="H2483" s="19">
        <v>10</v>
      </c>
      <c r="I2483" s="17">
        <v>10</v>
      </c>
      <c r="J2483" t="s" s="11">
        <v>20</v>
      </c>
      <c r="K2483" s="15"/>
      <c r="L2483" t="s" s="16">
        <f>HYPERLINK("http://csr.bu.edu/ftp/asl/asllvd/demos/verify_start_end_handshape_annotations//test_auto_move//signs_mov_separ_signers/Naomi_3597.mov","MOV")</f>
        <v>21</v>
      </c>
      <c r="M2483" t="s" s="10">
        <v>86</v>
      </c>
      <c r="N2483" s="17">
        <v>4</v>
      </c>
      <c r="O2483" s="18">
        <v>1800</v>
      </c>
      <c r="P2483" s="18">
        <v>1832</v>
      </c>
      <c r="Q2483" s="15"/>
      <c r="R2483" t="s" s="16">
        <f>HYPERLINK("http://secrets.rutgers.edu:8080/data/asl-ftp/asllvd/demos/verify_start_end_handshape_annotations//test_auto_move//signs_mov_separ_signers/Naomi_3597.mov","MOV")</f>
        <v>21</v>
      </c>
    </row>
    <row r="2484" s="2" customFormat="1" ht="13.5" customHeight="1">
      <c r="B2484" s="13"/>
      <c r="C2484" t="s" s="9">
        <v>30</v>
      </c>
      <c r="D2484" t="s" s="8">
        <v>873</v>
      </c>
      <c r="E2484" t="s" s="9">
        <v>876</v>
      </c>
      <c r="F2484" s="19">
        <v>10</v>
      </c>
      <c r="G2484" s="17">
        <v>10</v>
      </c>
      <c r="H2484" s="19">
        <v>10</v>
      </c>
      <c r="I2484" s="17">
        <v>10</v>
      </c>
      <c r="J2484" t="s" s="11">
        <v>20</v>
      </c>
      <c r="K2484" s="15"/>
      <c r="L2484" t="s" s="16">
        <f>HYPERLINK("http://csr.bu.edu/ftp/asl/asllvd/demos/verify_start_end_handshape_annotations//test_auto_move//signs_mov_separ_signers/Brady_529.mov","MOV")</f>
        <v>21</v>
      </c>
      <c r="M2484" t="s" s="10">
        <v>31</v>
      </c>
      <c r="N2484" s="17">
        <v>30</v>
      </c>
      <c r="O2484" s="18">
        <v>325</v>
      </c>
      <c r="P2484" s="18">
        <v>365</v>
      </c>
      <c r="Q2484" s="15"/>
      <c r="R2484" t="s" s="16">
        <f>HYPERLINK("http://secrets.rutgers.edu:8080/data/asl-ftp/asllvd/demos/verify_start_end_handshape_annotations//test_auto_move//signs_mov_separ_signers/Brady_529.mov","MOV")</f>
        <v>21</v>
      </c>
    </row>
    <row r="2485" s="2" customFormat="1" ht="13.5" customHeight="1">
      <c r="B2485" t="s" s="8">
        <v>877</v>
      </c>
      <c r="C2485" t="s" s="9">
        <v>14</v>
      </c>
      <c r="D2485" t="s" s="8">
        <v>14</v>
      </c>
      <c r="E2485" t="s" s="9">
        <v>14</v>
      </c>
      <c r="F2485" t="s" s="10">
        <v>14</v>
      </c>
      <c r="G2485" t="s" s="11">
        <v>14</v>
      </c>
      <c r="H2485" t="s" s="10">
        <v>14</v>
      </c>
      <c r="I2485" t="s" s="11">
        <v>14</v>
      </c>
      <c r="J2485" t="s" s="11">
        <v>14</v>
      </c>
      <c r="K2485" t="s" s="12">
        <v>14</v>
      </c>
      <c r="L2485" t="s" s="12">
        <v>14</v>
      </c>
      <c r="M2485" t="s" s="10">
        <v>14</v>
      </c>
      <c r="N2485" t="s" s="11">
        <v>14</v>
      </c>
      <c r="O2485" t="s" s="8">
        <v>14</v>
      </c>
      <c r="P2485" t="s" s="8">
        <v>14</v>
      </c>
      <c r="Q2485" t="s" s="12">
        <v>14</v>
      </c>
      <c r="R2485" t="s" s="12">
        <v>14</v>
      </c>
    </row>
    <row r="2486" s="2" customFormat="1" ht="13.5" customHeight="1">
      <c r="B2486" s="13"/>
      <c r="C2486" t="s" s="9">
        <v>16</v>
      </c>
      <c r="D2486" t="s" s="8">
        <v>877</v>
      </c>
      <c r="E2486" t="s" s="9">
        <v>878</v>
      </c>
      <c r="F2486" s="19">
        <v>25</v>
      </c>
      <c r="G2486" s="17">
        <v>25</v>
      </c>
      <c r="H2486" s="19">
        <v>25</v>
      </c>
      <c r="I2486" s="17">
        <v>25</v>
      </c>
      <c r="J2486" t="s" s="11">
        <v>20</v>
      </c>
      <c r="K2486" s="15"/>
      <c r="L2486" t="s" s="16">
        <f>HYPERLINK("http://csr.bu.edu/ftp/asl/asllvd/demos/verify_start_end_handshape_annotations//test_auto_move//signs_mov_separ_signers/Liz_535.mov","MOV")</f>
        <v>21</v>
      </c>
      <c r="M2486" t="s" s="10">
        <v>84</v>
      </c>
      <c r="N2486" s="17">
        <v>4</v>
      </c>
      <c r="O2486" s="18">
        <v>1747</v>
      </c>
      <c r="P2486" s="18">
        <v>1785</v>
      </c>
      <c r="Q2486" s="15"/>
      <c r="R2486" t="s" s="16">
        <f>HYPERLINK("http://secrets.rutgers.edu:8080/data/asl-ftp/asllvd/demos/verify_start_end_handshape_annotations//test_auto_move//signs_mov_separ_signers/Liz_535.mov","MOV")</f>
        <v>21</v>
      </c>
    </row>
    <row r="2487" s="2" customFormat="1" ht="13.5" customHeight="1">
      <c r="B2487" s="13"/>
      <c r="C2487" t="s" s="9">
        <v>23</v>
      </c>
      <c r="D2487" t="s" s="8">
        <v>877</v>
      </c>
      <c r="E2487" t="s" s="9">
        <v>879</v>
      </c>
      <c r="F2487" s="19">
        <v>25</v>
      </c>
      <c r="G2487" s="17">
        <v>25</v>
      </c>
      <c r="H2487" s="19">
        <v>25</v>
      </c>
      <c r="I2487" s="17">
        <v>25</v>
      </c>
      <c r="J2487" t="s" s="11">
        <v>20</v>
      </c>
      <c r="K2487" t="s" s="16">
        <f>HYPERLINK("http://csr.bu.edu/ftp/asl/asllvd/demos/verify_start_end_handshape_annotations//test_auto_move//signs_mov/535.mov","MOV")</f>
        <v>21</v>
      </c>
      <c r="L2487" t="s" s="16">
        <f>HYPERLINK("http://csr.bu.edu/ftp/asl/asllvd/demos/verify_start_end_handshape_annotations//test_auto_move//signs_mov_separ_signers/Tyler_535.mov","MOV")</f>
        <v>21</v>
      </c>
      <c r="M2487" t="s" s="10">
        <v>125</v>
      </c>
      <c r="N2487" s="17">
        <v>4</v>
      </c>
      <c r="O2487" s="18">
        <v>3870</v>
      </c>
      <c r="P2487" s="18">
        <v>3907</v>
      </c>
      <c r="Q2487" t="s" s="16">
        <f>HYPERLINK("http://secrets.rutgers.edu:8080/data/asl-ftp/asllvd/demos/verify_start_end_handshape_annotations//test_auto_move//signs_mov/535.mov","MOV")</f>
        <v>21</v>
      </c>
      <c r="R2487" t="s" s="16">
        <f>HYPERLINK("http://secrets.rutgers.edu:8080/data/asl-ftp/asllvd/demos/verify_start_end_handshape_annotations//test_auto_move//signs_mov_separ_signers/Tyler_535.mov","MOV")</f>
        <v>21</v>
      </c>
    </row>
    <row r="2488" s="2" customFormat="1" ht="13.5" customHeight="1">
      <c r="B2488" s="13"/>
      <c r="C2488" t="s" s="9">
        <v>27</v>
      </c>
      <c r="D2488" t="s" s="8">
        <v>877</v>
      </c>
      <c r="E2488" t="s" s="9">
        <v>878</v>
      </c>
      <c r="F2488" s="19">
        <v>25</v>
      </c>
      <c r="G2488" s="17">
        <v>25</v>
      </c>
      <c r="H2488" s="19">
        <v>25</v>
      </c>
      <c r="I2488" s="17">
        <v>25</v>
      </c>
      <c r="J2488" t="s" s="11">
        <v>20</v>
      </c>
      <c r="K2488" s="15"/>
      <c r="L2488" t="s" s="16">
        <f>HYPERLINK("http://csr.bu.edu/ftp/asl/asllvd/demos/verify_start_end_handshape_annotations//test_auto_move//signs_mov_separ_signers/Naomi_535.mov","MOV")</f>
        <v>21</v>
      </c>
      <c r="M2488" t="s" s="10">
        <v>86</v>
      </c>
      <c r="N2488" s="17">
        <v>4</v>
      </c>
      <c r="O2488" s="18">
        <v>1360</v>
      </c>
      <c r="P2488" s="18">
        <v>1385</v>
      </c>
      <c r="Q2488" s="15"/>
      <c r="R2488" t="s" s="16">
        <f>HYPERLINK("http://secrets.rutgers.edu:8080/data/asl-ftp/asllvd/demos/verify_start_end_handshape_annotations//test_auto_move//signs_mov_separ_signers/Naomi_535.mov","MOV")</f>
        <v>21</v>
      </c>
    </row>
    <row r="2489" s="2" customFormat="1" ht="13.5" customHeight="1">
      <c r="B2489" s="13"/>
      <c r="C2489" t="s" s="9">
        <v>30</v>
      </c>
      <c r="D2489" t="s" s="8">
        <v>877</v>
      </c>
      <c r="E2489" t="s" s="9">
        <v>879</v>
      </c>
      <c r="F2489" s="19">
        <v>25</v>
      </c>
      <c r="G2489" s="17">
        <v>25</v>
      </c>
      <c r="H2489" s="19">
        <v>25</v>
      </c>
      <c r="I2489" s="17">
        <v>25</v>
      </c>
      <c r="J2489" t="s" s="11">
        <v>20</v>
      </c>
      <c r="K2489" s="15"/>
      <c r="L2489" t="s" s="16">
        <f>HYPERLINK("http://csr.bu.edu/ftp/asl/asllvd/demos/verify_start_end_handshape_annotations//test_auto_move//signs_mov_separ_signers/Brady_535.mov","MOV")</f>
        <v>21</v>
      </c>
      <c r="M2489" t="s" s="10">
        <v>31</v>
      </c>
      <c r="N2489" s="17">
        <v>30</v>
      </c>
      <c r="O2489" s="18">
        <v>2109</v>
      </c>
      <c r="P2489" s="18">
        <v>2151</v>
      </c>
      <c r="Q2489" s="15"/>
      <c r="R2489" t="s" s="16">
        <f>HYPERLINK("http://secrets.rutgers.edu:8080/data/asl-ftp/asllvd/demos/verify_start_end_handshape_annotations//test_auto_move//signs_mov_separ_signers/Brady_535.mov","MOV")</f>
        <v>21</v>
      </c>
    </row>
    <row r="2490" s="2" customFormat="1" ht="13.5" customHeight="1">
      <c r="B2490" t="s" s="8">
        <v>880</v>
      </c>
      <c r="C2490" t="s" s="9">
        <v>14</v>
      </c>
      <c r="D2490" t="s" s="8">
        <v>14</v>
      </c>
      <c r="E2490" t="s" s="9">
        <v>14</v>
      </c>
      <c r="F2490" t="s" s="10">
        <v>14</v>
      </c>
      <c r="G2490" t="s" s="11">
        <v>14</v>
      </c>
      <c r="H2490" t="s" s="10">
        <v>14</v>
      </c>
      <c r="I2490" t="s" s="11">
        <v>14</v>
      </c>
      <c r="J2490" t="s" s="11">
        <v>14</v>
      </c>
      <c r="K2490" t="s" s="12">
        <v>14</v>
      </c>
      <c r="L2490" t="s" s="12">
        <v>14</v>
      </c>
      <c r="M2490" t="s" s="10">
        <v>14</v>
      </c>
      <c r="N2490" t="s" s="11">
        <v>14</v>
      </c>
      <c r="O2490" t="s" s="8">
        <v>14</v>
      </c>
      <c r="P2490" t="s" s="8">
        <v>14</v>
      </c>
      <c r="Q2490" t="s" s="12">
        <v>14</v>
      </c>
      <c r="R2490" t="s" s="12">
        <v>14</v>
      </c>
    </row>
    <row r="2491" s="2" customFormat="1" ht="13.5" customHeight="1">
      <c r="B2491" s="13"/>
      <c r="C2491" t="s" s="9">
        <v>16</v>
      </c>
      <c r="D2491" t="s" s="8">
        <v>880</v>
      </c>
      <c r="E2491" t="s" s="9">
        <v>880</v>
      </c>
      <c r="F2491" s="19">
        <v>25</v>
      </c>
      <c r="G2491" s="14"/>
      <c r="H2491" s="19">
        <v>25</v>
      </c>
      <c r="I2491" s="14"/>
      <c r="J2491" t="s" s="11">
        <v>20</v>
      </c>
      <c r="K2491" s="15"/>
      <c r="L2491" t="s" s="16">
        <f>HYPERLINK("http://csr.bu.edu/ftp/asl/asllvd/demos/verify_start_end_handshape_annotations//test_auto_move//signs_mov_separ_signers/Liz_15910.mov","MOV")</f>
        <v>21</v>
      </c>
      <c r="M2491" t="s" s="10">
        <v>84</v>
      </c>
      <c r="N2491" s="17">
        <v>4</v>
      </c>
      <c r="O2491" s="18">
        <v>1965</v>
      </c>
      <c r="P2491" s="18">
        <v>1996</v>
      </c>
      <c r="Q2491" s="15"/>
      <c r="R2491" t="s" s="16">
        <f>HYPERLINK("http://secrets.rutgers.edu:8080/data/asl-ftp/asllvd/demos/verify_start_end_handshape_annotations//test_auto_move//signs_mov_separ_signers/Liz_15910.mov","MOV")</f>
        <v>21</v>
      </c>
    </row>
    <row r="2492" s="2" customFormat="1" ht="13.5" customHeight="1">
      <c r="B2492" s="13"/>
      <c r="C2492" t="s" s="9">
        <v>23</v>
      </c>
      <c r="D2492" t="s" s="8">
        <v>880</v>
      </c>
      <c r="E2492" t="s" s="9">
        <v>880</v>
      </c>
      <c r="F2492" s="19">
        <v>25</v>
      </c>
      <c r="G2492" s="14"/>
      <c r="H2492" s="19">
        <v>25</v>
      </c>
      <c r="I2492" s="14"/>
      <c r="J2492" t="s" s="11">
        <v>20</v>
      </c>
      <c r="K2492" t="s" s="16">
        <f>HYPERLINK("http://csr.bu.edu/ftp/asl/asllvd/demos/verify_start_end_handshape_annotations//test_auto_move//signs_mov/15910.mov","MOV")</f>
        <v>21</v>
      </c>
      <c r="L2492" t="s" s="16">
        <f>HYPERLINK("http://csr.bu.edu/ftp/asl/asllvd/demos/verify_start_end_handshape_annotations//test_auto_move//signs_mov_separ_signers/Tyler_15910.mov","MOV")</f>
        <v>21</v>
      </c>
      <c r="M2492" t="s" s="10">
        <v>125</v>
      </c>
      <c r="N2492" s="17">
        <v>4</v>
      </c>
      <c r="O2492" s="18">
        <v>4091</v>
      </c>
      <c r="P2492" s="18">
        <v>4120</v>
      </c>
      <c r="Q2492" t="s" s="16">
        <f>HYPERLINK("http://secrets.rutgers.edu:8080/data/asl-ftp/asllvd/demos/verify_start_end_handshape_annotations//test_auto_move//signs_mov/15910.mov","MOV")</f>
        <v>21</v>
      </c>
      <c r="R2492" t="s" s="16">
        <f>HYPERLINK("http://secrets.rutgers.edu:8080/data/asl-ftp/asllvd/demos/verify_start_end_handshape_annotations//test_auto_move//signs_mov_separ_signers/Tyler_15910.mov","MOV")</f>
        <v>21</v>
      </c>
    </row>
    <row r="2493" s="2" customFormat="1" ht="13.5" customHeight="1">
      <c r="B2493" s="13"/>
      <c r="C2493" t="s" s="9">
        <v>27</v>
      </c>
      <c r="D2493" t="s" s="8">
        <v>880</v>
      </c>
      <c r="E2493" t="s" s="9">
        <v>880</v>
      </c>
      <c r="F2493" s="19">
        <v>25</v>
      </c>
      <c r="G2493" s="14"/>
      <c r="H2493" s="19">
        <v>25</v>
      </c>
      <c r="I2493" s="14"/>
      <c r="J2493" t="s" s="11">
        <v>20</v>
      </c>
      <c r="K2493" s="15"/>
      <c r="L2493" t="s" s="16">
        <f>HYPERLINK("http://csr.bu.edu/ftp/asl/asllvd/demos/verify_start_end_handshape_annotations//test_auto_move//signs_mov_separ_signers/Naomi_15910.mov","MOV")</f>
        <v>21</v>
      </c>
      <c r="M2493" t="s" s="10">
        <v>86</v>
      </c>
      <c r="N2493" s="17">
        <v>4</v>
      </c>
      <c r="O2493" s="18">
        <v>1557</v>
      </c>
      <c r="P2493" s="18">
        <v>1585</v>
      </c>
      <c r="Q2493" s="15"/>
      <c r="R2493" t="s" s="16">
        <f>HYPERLINK("http://secrets.rutgers.edu:8080/data/asl-ftp/asllvd/demos/verify_start_end_handshape_annotations//test_auto_move//signs_mov_separ_signers/Naomi_15910.mov","MOV")</f>
        <v>21</v>
      </c>
    </row>
    <row r="2494" s="2" customFormat="1" ht="13.5" customHeight="1">
      <c r="B2494" s="13"/>
      <c r="C2494" t="s" s="9">
        <v>30</v>
      </c>
      <c r="D2494" t="s" s="8">
        <v>880</v>
      </c>
      <c r="E2494" t="s" s="9">
        <v>880</v>
      </c>
      <c r="F2494" s="19">
        <v>25</v>
      </c>
      <c r="G2494" s="14"/>
      <c r="H2494" s="19">
        <v>25</v>
      </c>
      <c r="I2494" s="14"/>
      <c r="J2494" t="s" s="11">
        <v>20</v>
      </c>
      <c r="K2494" s="15"/>
      <c r="L2494" t="s" s="16">
        <f>HYPERLINK("http://csr.bu.edu/ftp/asl/asllvd/demos/verify_start_end_handshape_annotations//test_auto_move//signs_mov_separ_signers/Brady_15910.mov","MOV")</f>
        <v>21</v>
      </c>
      <c r="M2494" t="s" s="10">
        <v>31</v>
      </c>
      <c r="N2494" s="17">
        <v>30</v>
      </c>
      <c r="O2494" s="18">
        <v>2402</v>
      </c>
      <c r="P2494" s="18">
        <v>2428</v>
      </c>
      <c r="Q2494" s="15"/>
      <c r="R2494" t="s" s="16">
        <f>HYPERLINK("http://secrets.rutgers.edu:8080/data/asl-ftp/asllvd/demos/verify_start_end_handshape_annotations//test_auto_move//signs_mov_separ_signers/Brady_15910.mov","MOV")</f>
        <v>21</v>
      </c>
    </row>
    <row r="2495" s="2" customFormat="1" ht="13.5" customHeight="1">
      <c r="B2495" t="s" s="8">
        <v>881</v>
      </c>
      <c r="C2495" t="s" s="9">
        <v>14</v>
      </c>
      <c r="D2495" t="s" s="8">
        <v>14</v>
      </c>
      <c r="E2495" t="s" s="9">
        <v>14</v>
      </c>
      <c r="F2495" t="s" s="10">
        <v>14</v>
      </c>
      <c r="G2495" t="s" s="11">
        <v>14</v>
      </c>
      <c r="H2495" t="s" s="10">
        <v>14</v>
      </c>
      <c r="I2495" t="s" s="11">
        <v>14</v>
      </c>
      <c r="J2495" t="s" s="11">
        <v>14</v>
      </c>
      <c r="K2495" t="s" s="12">
        <v>14</v>
      </c>
      <c r="L2495" t="s" s="12">
        <v>14</v>
      </c>
      <c r="M2495" t="s" s="10">
        <v>14</v>
      </c>
      <c r="N2495" t="s" s="11">
        <v>14</v>
      </c>
      <c r="O2495" t="s" s="8">
        <v>14</v>
      </c>
      <c r="P2495" t="s" s="8">
        <v>14</v>
      </c>
      <c r="Q2495" t="s" s="12">
        <v>14</v>
      </c>
      <c r="R2495" t="s" s="12">
        <v>14</v>
      </c>
    </row>
    <row r="2496" s="2" customFormat="1" ht="13.5" customHeight="1">
      <c r="B2496" s="13"/>
      <c r="C2496" t="s" s="9">
        <v>16</v>
      </c>
      <c r="D2496" t="s" s="8">
        <v>881</v>
      </c>
      <c r="E2496" t="s" s="9">
        <v>881</v>
      </c>
      <c r="F2496" s="19">
        <v>25</v>
      </c>
      <c r="G2496" s="17">
        <v>25</v>
      </c>
      <c r="H2496" s="19">
        <v>25</v>
      </c>
      <c r="I2496" s="17">
        <v>25</v>
      </c>
      <c r="J2496" t="s" s="11">
        <v>20</v>
      </c>
      <c r="K2496" t="s" s="16">
        <f>HYPERLINK("http://csr.bu.edu/ftp/asl/asllvd/demos/verify_start_end_handshape_annotations//test_auto_move//signs_mov/15927.mov","MOV")</f>
        <v>21</v>
      </c>
      <c r="L2496" t="s" s="16">
        <f>HYPERLINK("http://csr.bu.edu/ftp/asl/asllvd/demos/verify_start_end_handshape_annotations//test_auto_move//signs_mov_separ_signers/Liz_15927.mov","MOV")</f>
        <v>21</v>
      </c>
      <c r="M2496" t="s" s="10">
        <v>88</v>
      </c>
      <c r="N2496" s="17">
        <v>17</v>
      </c>
      <c r="O2496" s="18">
        <v>3710</v>
      </c>
      <c r="P2496" s="18">
        <v>3755</v>
      </c>
      <c r="Q2496" t="s" s="16">
        <f>HYPERLINK("http://secrets.rutgers.edu:8080/data/asl-ftp/asllvd/demos/verify_start_end_handshape_annotations//test_auto_move//signs_mov/15927.mov","MOV")</f>
        <v>21</v>
      </c>
      <c r="R2496" t="s" s="16">
        <f>HYPERLINK("http://secrets.rutgers.edu:8080/data/asl-ftp/asllvd/demos/verify_start_end_handshape_annotations//test_auto_move//signs_mov_separ_signers/Liz_15927.mov","MOV")</f>
        <v>21</v>
      </c>
    </row>
    <row r="2497" s="2" customFormat="1" ht="13.5" customHeight="1">
      <c r="B2497" t="s" s="8">
        <v>882</v>
      </c>
      <c r="C2497" t="s" s="9">
        <v>14</v>
      </c>
      <c r="D2497" t="s" s="8">
        <v>14</v>
      </c>
      <c r="E2497" t="s" s="9">
        <v>14</v>
      </c>
      <c r="F2497" t="s" s="10">
        <v>14</v>
      </c>
      <c r="G2497" t="s" s="11">
        <v>14</v>
      </c>
      <c r="H2497" t="s" s="10">
        <v>14</v>
      </c>
      <c r="I2497" t="s" s="11">
        <v>14</v>
      </c>
      <c r="J2497" t="s" s="11">
        <v>14</v>
      </c>
      <c r="K2497" t="s" s="12">
        <v>14</v>
      </c>
      <c r="L2497" t="s" s="12">
        <v>14</v>
      </c>
      <c r="M2497" t="s" s="10">
        <v>14</v>
      </c>
      <c r="N2497" t="s" s="11">
        <v>14</v>
      </c>
      <c r="O2497" t="s" s="8">
        <v>14</v>
      </c>
      <c r="P2497" t="s" s="8">
        <v>14</v>
      </c>
      <c r="Q2497" t="s" s="12">
        <v>14</v>
      </c>
      <c r="R2497" t="s" s="12">
        <v>14</v>
      </c>
    </row>
    <row r="2498" s="2" customFormat="1" ht="13.5" customHeight="1">
      <c r="B2498" s="13"/>
      <c r="C2498" t="s" s="9">
        <v>16</v>
      </c>
      <c r="D2498" t="s" s="8">
        <v>882</v>
      </c>
      <c r="E2498" t="s" s="9">
        <v>882</v>
      </c>
      <c r="F2498" t="s" s="10">
        <v>73</v>
      </c>
      <c r="G2498" t="s" s="11">
        <v>73</v>
      </c>
      <c r="H2498" t="s" s="10">
        <v>73</v>
      </c>
      <c r="I2498" t="s" s="11">
        <v>73</v>
      </c>
      <c r="J2498" t="s" s="11">
        <v>20</v>
      </c>
      <c r="K2498" t="s" s="16">
        <f>HYPERLINK("http://csr.bu.edu/ftp/asl/asllvd/demos/verify_start_end_handshape_annotations//test_auto_move//signs_mov/538.mov","MOV")</f>
        <v>21</v>
      </c>
      <c r="L2498" t="s" s="16">
        <f>HYPERLINK("http://csr.bu.edu/ftp/asl/asllvd/demos/verify_start_end_handshape_annotations//test_auto_move//signs_mov_separ_signers/Liz_538.mov","MOV")</f>
        <v>21</v>
      </c>
      <c r="M2498" t="s" s="10">
        <v>84</v>
      </c>
      <c r="N2498" s="17">
        <v>4</v>
      </c>
      <c r="O2498" s="18">
        <v>2455</v>
      </c>
      <c r="P2498" s="18">
        <v>2480</v>
      </c>
      <c r="Q2498" t="s" s="16">
        <f>HYPERLINK("http://secrets.rutgers.edu:8080/data/asl-ftp/asllvd/demos/verify_start_end_handshape_annotations//test_auto_move//signs_mov/538.mov","MOV")</f>
        <v>21</v>
      </c>
      <c r="R2498" t="s" s="16">
        <f>HYPERLINK("http://secrets.rutgers.edu:8080/data/asl-ftp/asllvd/demos/verify_start_end_handshape_annotations//test_auto_move//signs_mov_separ_signers/Liz_538.mov","MOV")</f>
        <v>21</v>
      </c>
    </row>
    <row r="2499" s="2" customFormat="1" ht="13.5" customHeight="1">
      <c r="B2499" s="13"/>
      <c r="C2499" t="s" s="9">
        <v>30</v>
      </c>
      <c r="D2499" t="s" s="8">
        <v>882</v>
      </c>
      <c r="E2499" t="s" s="9">
        <v>882</v>
      </c>
      <c r="F2499" t="s" s="10">
        <v>73</v>
      </c>
      <c r="G2499" t="s" s="11">
        <v>73</v>
      </c>
      <c r="H2499" t="s" s="10">
        <v>73</v>
      </c>
      <c r="I2499" t="s" s="11">
        <v>73</v>
      </c>
      <c r="J2499" t="s" s="11">
        <v>20</v>
      </c>
      <c r="K2499" s="15"/>
      <c r="L2499" t="s" s="16">
        <f>HYPERLINK("http://csr.bu.edu/ftp/asl/asllvd/demos/verify_start_end_handshape_annotations//test_auto_move//signs_mov_separ_signers/Brady_538.mov","MOV")</f>
        <v>21</v>
      </c>
      <c r="M2499" t="s" s="10">
        <v>31</v>
      </c>
      <c r="N2499" s="17">
        <v>30</v>
      </c>
      <c r="O2499" s="18">
        <v>3382</v>
      </c>
      <c r="P2499" s="18">
        <v>3397</v>
      </c>
      <c r="Q2499" s="15"/>
      <c r="R2499" t="s" s="16">
        <f>HYPERLINK("http://secrets.rutgers.edu:8080/data/asl-ftp/asllvd/demos/verify_start_end_handshape_annotations//test_auto_move//signs_mov_separ_signers/Brady_538.mov","MOV")</f>
        <v>21</v>
      </c>
    </row>
    <row r="2500" s="2" customFormat="1" ht="13.5" customHeight="1">
      <c r="B2500" t="s" s="8">
        <v>52</v>
      </c>
      <c r="C2500" t="s" s="9">
        <v>53</v>
      </c>
      <c r="D2500" t="s" s="8">
        <v>53</v>
      </c>
      <c r="E2500" t="s" s="9">
        <v>53</v>
      </c>
      <c r="F2500" t="s" s="10">
        <v>53</v>
      </c>
      <c r="G2500" t="s" s="11">
        <v>53</v>
      </c>
      <c r="H2500" t="s" s="10">
        <v>53</v>
      </c>
      <c r="I2500" t="s" s="11">
        <v>53</v>
      </c>
      <c r="J2500" t="s" s="11">
        <v>53</v>
      </c>
      <c r="K2500" t="s" s="12">
        <v>53</v>
      </c>
      <c r="L2500" t="s" s="12">
        <v>53</v>
      </c>
      <c r="M2500" t="s" s="10">
        <v>53</v>
      </c>
      <c r="N2500" t="s" s="11">
        <v>53</v>
      </c>
      <c r="O2500" t="s" s="8">
        <v>53</v>
      </c>
      <c r="P2500" t="s" s="8">
        <v>53</v>
      </c>
      <c r="Q2500" t="s" s="12">
        <v>53</v>
      </c>
      <c r="R2500" t="s" s="12">
        <v>53</v>
      </c>
    </row>
    <row r="2501" s="2" customFormat="1" ht="13.5" customHeight="1">
      <c r="B2501" s="13"/>
      <c r="C2501" t="s" s="9">
        <v>16</v>
      </c>
      <c r="D2501" t="s" s="8">
        <v>882</v>
      </c>
      <c r="E2501" t="s" s="9">
        <v>883</v>
      </c>
      <c r="F2501" t="s" s="10">
        <v>55</v>
      </c>
      <c r="G2501" s="17">
        <v>1</v>
      </c>
      <c r="H2501" t="s" s="10">
        <v>55</v>
      </c>
      <c r="I2501" s="17">
        <v>1</v>
      </c>
      <c r="J2501" t="s" s="11">
        <v>20</v>
      </c>
      <c r="K2501" s="15"/>
      <c r="L2501" t="s" s="16">
        <f>HYPERLINK("http://csr.bu.edu/ftp/asl/asllvd/demos/verify_start_end_handshape_annotations//test_auto_move//signs_mov_separ_signers/Liz_3459.mov","MOV")</f>
        <v>21</v>
      </c>
      <c r="M2501" t="s" s="10">
        <v>88</v>
      </c>
      <c r="N2501" s="17">
        <v>40</v>
      </c>
      <c r="O2501" s="18">
        <v>1482</v>
      </c>
      <c r="P2501" s="18">
        <v>1535</v>
      </c>
      <c r="Q2501" s="15"/>
      <c r="R2501" t="s" s="16">
        <f>HYPERLINK("http://secrets.rutgers.edu:8080/data/asl-ftp/asllvd/demos/verify_start_end_handshape_annotations//test_auto_move//signs_mov_separ_signers/Liz_3459.mov","MOV")</f>
        <v>21</v>
      </c>
    </row>
    <row r="2502" s="2" customFormat="1" ht="13.5" customHeight="1">
      <c r="B2502" s="13"/>
      <c r="C2502" t="s" s="9">
        <v>23</v>
      </c>
      <c r="D2502" t="s" s="8">
        <v>882</v>
      </c>
      <c r="E2502" t="s" s="9">
        <v>883</v>
      </c>
      <c r="F2502" t="s" s="10">
        <v>73</v>
      </c>
      <c r="G2502" s="17">
        <v>1</v>
      </c>
      <c r="H2502" t="s" s="10">
        <v>73</v>
      </c>
      <c r="I2502" s="17">
        <v>1</v>
      </c>
      <c r="J2502" t="s" s="11">
        <v>20</v>
      </c>
      <c r="K2502" s="15"/>
      <c r="L2502" t="s" s="16">
        <f>HYPERLINK("http://csr.bu.edu/ftp/asl/asllvd/demos/verify_start_end_handshape_annotations//test_auto_move//signs_mov_separ_signers/Tyler_3459.mov","MOV")</f>
        <v>21</v>
      </c>
      <c r="M2502" t="s" s="10">
        <v>125</v>
      </c>
      <c r="N2502" s="17">
        <v>4</v>
      </c>
      <c r="O2502" s="18">
        <v>4570</v>
      </c>
      <c r="P2502" s="18">
        <v>4600</v>
      </c>
      <c r="Q2502" s="15"/>
      <c r="R2502" t="s" s="16">
        <f>HYPERLINK("http://secrets.rutgers.edu:8080/data/asl-ftp/asllvd/demos/verify_start_end_handshape_annotations//test_auto_move//signs_mov_separ_signers/Tyler_3459.mov","MOV")</f>
        <v>21</v>
      </c>
    </row>
    <row r="2503" s="2" customFormat="1" ht="13.5" customHeight="1">
      <c r="B2503" s="13"/>
      <c r="C2503" t="s" s="9">
        <v>27</v>
      </c>
      <c r="D2503" t="s" s="8">
        <v>882</v>
      </c>
      <c r="E2503" t="s" s="9">
        <v>883</v>
      </c>
      <c r="F2503" t="s" s="10">
        <v>73</v>
      </c>
      <c r="G2503" s="17">
        <v>1</v>
      </c>
      <c r="H2503" t="s" s="10">
        <v>73</v>
      </c>
      <c r="I2503" s="17">
        <v>1</v>
      </c>
      <c r="J2503" t="s" s="11">
        <v>20</v>
      </c>
      <c r="K2503" t="s" s="16">
        <f>HYPERLINK("http://csr.bu.edu/ftp/asl/asllvd/demos/verify_start_end_handshape_annotations//test_auto_move//signs_mov/3459_15755_merged.mov","MOV")</f>
        <v>21</v>
      </c>
      <c r="L2503" t="s" s="16">
        <f>HYPERLINK("http://csr.bu.edu/ftp/asl/asllvd/demos/verify_start_end_handshape_annotations//test_auto_move//signs_mov_separ_signers/Naomi_3459.mov","MOV")</f>
        <v>21</v>
      </c>
      <c r="M2503" t="s" s="10">
        <v>86</v>
      </c>
      <c r="N2503" s="17">
        <v>4</v>
      </c>
      <c r="O2503" s="18">
        <v>2315</v>
      </c>
      <c r="P2503" s="18">
        <v>2346</v>
      </c>
      <c r="Q2503" t="s" s="16">
        <f>HYPERLINK("http://secrets.rutgers.edu:8080/data/asl-ftp/asllvd/demos/verify_start_end_handshape_annotations//test_auto_move//signs_mov/3459_15755_merged.mov","MOV")</f>
        <v>21</v>
      </c>
      <c r="R2503" t="s" s="16">
        <f>HYPERLINK("http://secrets.rutgers.edu:8080/data/asl-ftp/asllvd/demos/verify_start_end_handshape_annotations//test_auto_move//signs_mov_separ_signers/Naomi_3459.mov","MOV")</f>
        <v>21</v>
      </c>
    </row>
    <row r="2504" s="2" customFormat="1" ht="13.5" customHeight="1">
      <c r="B2504" s="13"/>
      <c r="C2504" t="s" s="9">
        <v>30</v>
      </c>
      <c r="D2504" t="s" s="8">
        <v>882</v>
      </c>
      <c r="E2504" t="s" s="9">
        <v>883</v>
      </c>
      <c r="F2504" t="s" s="10">
        <v>73</v>
      </c>
      <c r="G2504" s="17">
        <v>1</v>
      </c>
      <c r="H2504" t="s" s="10">
        <v>73</v>
      </c>
      <c r="I2504" s="17">
        <v>1</v>
      </c>
      <c r="J2504" t="s" s="11">
        <v>20</v>
      </c>
      <c r="K2504" s="15"/>
      <c r="L2504" t="s" s="16">
        <f>HYPERLINK("http://csr.bu.edu/ftp/asl/asllvd/demos/verify_start_end_handshape_annotations//test_auto_move//signs_mov_separ_signers/Brady_3459.mov","MOV")</f>
        <v>21</v>
      </c>
      <c r="M2504" t="s" s="10">
        <v>40</v>
      </c>
      <c r="N2504" s="17">
        <v>34</v>
      </c>
      <c r="O2504" s="18">
        <v>1215</v>
      </c>
      <c r="P2504" s="18">
        <v>1234</v>
      </c>
      <c r="Q2504" s="15"/>
      <c r="R2504" t="s" s="16">
        <f>HYPERLINK("http://secrets.rutgers.edu:8080/data/asl-ftp/asllvd/demos/verify_start_end_handshape_annotations//test_auto_move//signs_mov_separ_signers/Brady_3459.mov","MOV")</f>
        <v>21</v>
      </c>
    </row>
    <row r="2505" s="2" customFormat="1" ht="13.5" customHeight="1">
      <c r="B2505" s="13"/>
      <c r="C2505" t="s" s="9">
        <v>30</v>
      </c>
      <c r="D2505" t="s" s="8">
        <v>882</v>
      </c>
      <c r="E2505" t="s" s="9">
        <v>883</v>
      </c>
      <c r="F2505" t="s" s="10">
        <v>55</v>
      </c>
      <c r="G2505" s="17">
        <v>1</v>
      </c>
      <c r="H2505" t="s" s="10">
        <v>55</v>
      </c>
      <c r="I2505" s="17">
        <v>1</v>
      </c>
      <c r="J2505" t="s" s="11">
        <v>20</v>
      </c>
      <c r="K2505" s="15"/>
      <c r="L2505" t="s" s="16">
        <f>HYPERLINK("http://csr.bu.edu/ftp/asl/asllvd/demos/verify_start_end_handshape_annotations//test_auto_move//signs_mov_separ_signers/Brady_15755.mov","MOV")</f>
        <v>21</v>
      </c>
      <c r="M2505" t="s" s="10">
        <v>60</v>
      </c>
      <c r="N2505" s="17">
        <v>49</v>
      </c>
      <c r="O2505" s="18">
        <v>1905</v>
      </c>
      <c r="P2505" s="18">
        <v>1932</v>
      </c>
      <c r="Q2505" s="15"/>
      <c r="R2505" t="s" s="16">
        <f>HYPERLINK("http://secrets.rutgers.edu:8080/data/asl-ftp/asllvd/demos/verify_start_end_handshape_annotations//test_auto_move//signs_mov_separ_signers/Brady_15755.mov","MOV")</f>
        <v>21</v>
      </c>
    </row>
    <row r="2506" s="2" customFormat="1" ht="13.5" customHeight="1">
      <c r="B2506" t="s" s="8">
        <v>884</v>
      </c>
      <c r="C2506" t="s" s="9">
        <v>14</v>
      </c>
      <c r="D2506" t="s" s="8">
        <v>14</v>
      </c>
      <c r="E2506" t="s" s="9">
        <v>14</v>
      </c>
      <c r="F2506" t="s" s="10">
        <v>14</v>
      </c>
      <c r="G2506" t="s" s="11">
        <v>14</v>
      </c>
      <c r="H2506" t="s" s="10">
        <v>14</v>
      </c>
      <c r="I2506" t="s" s="11">
        <v>14</v>
      </c>
      <c r="J2506" t="s" s="11">
        <v>14</v>
      </c>
      <c r="K2506" t="s" s="12">
        <v>14</v>
      </c>
      <c r="L2506" t="s" s="12">
        <v>14</v>
      </c>
      <c r="M2506" t="s" s="10">
        <v>14</v>
      </c>
      <c r="N2506" t="s" s="11">
        <v>14</v>
      </c>
      <c r="O2506" t="s" s="8">
        <v>14</v>
      </c>
      <c r="P2506" t="s" s="8">
        <v>14</v>
      </c>
      <c r="Q2506" t="s" s="12">
        <v>14</v>
      </c>
      <c r="R2506" t="s" s="12">
        <v>14</v>
      </c>
    </row>
    <row r="2507" s="2" customFormat="1" ht="13.5" customHeight="1">
      <c r="B2507" s="13"/>
      <c r="C2507" t="s" s="9">
        <v>16</v>
      </c>
      <c r="D2507" t="s" s="8">
        <v>884</v>
      </c>
      <c r="E2507" t="s" s="9">
        <v>885</v>
      </c>
      <c r="F2507" t="s" s="10">
        <v>72</v>
      </c>
      <c r="G2507" t="s" s="11">
        <v>72</v>
      </c>
      <c r="H2507" t="s" s="10">
        <v>72</v>
      </c>
      <c r="I2507" t="s" s="11">
        <v>72</v>
      </c>
      <c r="J2507" t="s" s="11">
        <v>20</v>
      </c>
      <c r="K2507" s="15"/>
      <c r="L2507" t="s" s="16">
        <f>HYPERLINK("http://csr.bu.edu/ftp/asl/asllvd/demos/verify_start_end_handshape_annotations//test_auto_move//signs_mov_separ_signers/Liz_15907.mov","MOV")</f>
        <v>21</v>
      </c>
      <c r="M2507" t="s" s="10">
        <v>22</v>
      </c>
      <c r="N2507" s="17">
        <v>71</v>
      </c>
      <c r="O2507" s="18">
        <v>716</v>
      </c>
      <c r="P2507" s="18">
        <v>775</v>
      </c>
      <c r="Q2507" s="15"/>
      <c r="R2507" t="s" s="16">
        <f>HYPERLINK("http://secrets.rutgers.edu:8080/data/asl-ftp/asllvd/demos/verify_start_end_handshape_annotations//test_auto_move//signs_mov_separ_signers/Liz_15907.mov","MOV")</f>
        <v>21</v>
      </c>
    </row>
    <row r="2508" s="2" customFormat="1" ht="13.5" customHeight="1">
      <c r="B2508" s="13"/>
      <c r="C2508" t="s" s="9">
        <v>16</v>
      </c>
      <c r="D2508" t="s" s="8">
        <v>884</v>
      </c>
      <c r="E2508" t="s" s="9">
        <v>886</v>
      </c>
      <c r="F2508" t="s" s="10">
        <v>150</v>
      </c>
      <c r="G2508" t="s" s="11">
        <v>150</v>
      </c>
      <c r="H2508" t="s" s="10">
        <v>150</v>
      </c>
      <c r="I2508" t="s" s="11">
        <v>150</v>
      </c>
      <c r="J2508" t="s" s="11">
        <v>20</v>
      </c>
      <c r="K2508" s="15"/>
      <c r="L2508" t="s" s="16">
        <f>HYPERLINK("http://csr.bu.edu/ftp/asl/asllvd/demos/verify_start_end_handshape_annotations//test_auto_move//signs_mov_separ_signers/Liz_15918.mov","MOV")</f>
        <v>21</v>
      </c>
      <c r="M2508" t="s" s="10">
        <v>84</v>
      </c>
      <c r="N2508" s="17">
        <v>1</v>
      </c>
      <c r="O2508" s="18">
        <v>2451</v>
      </c>
      <c r="P2508" s="18">
        <v>2505</v>
      </c>
      <c r="Q2508" s="15"/>
      <c r="R2508" t="s" s="16">
        <f>HYPERLINK("http://secrets.rutgers.edu:8080/data/asl-ftp/asllvd/demos/verify_start_end_handshape_annotations//test_auto_move//signs_mov_separ_signers/Liz_15918.mov","MOV")</f>
        <v>21</v>
      </c>
    </row>
    <row r="2509" s="2" customFormat="1" ht="13.5" customHeight="1">
      <c r="B2509" s="13"/>
      <c r="C2509" t="s" s="9">
        <v>23</v>
      </c>
      <c r="D2509" t="s" s="8">
        <v>884</v>
      </c>
      <c r="E2509" t="s" s="9">
        <v>885</v>
      </c>
      <c r="F2509" t="s" s="10">
        <v>72</v>
      </c>
      <c r="G2509" t="s" s="11">
        <v>72</v>
      </c>
      <c r="H2509" t="s" s="10">
        <v>72</v>
      </c>
      <c r="I2509" t="s" s="11">
        <v>72</v>
      </c>
      <c r="J2509" t="s" s="11">
        <v>20</v>
      </c>
      <c r="K2509" s="15"/>
      <c r="L2509" t="s" s="16">
        <f>HYPERLINK("http://csr.bu.edu/ftp/asl/asllvd/demos/verify_start_end_handshape_annotations//test_auto_move//signs_mov_separ_signers/Tyler_15907.mov","MOV")</f>
        <v>21</v>
      </c>
      <c r="M2509" t="s" s="10">
        <v>26</v>
      </c>
      <c r="N2509" s="17">
        <v>44</v>
      </c>
      <c r="O2509" s="18">
        <v>1022</v>
      </c>
      <c r="P2509" s="18">
        <v>1090</v>
      </c>
      <c r="Q2509" s="15"/>
      <c r="R2509" t="s" s="16">
        <f>HYPERLINK("http://secrets.rutgers.edu:8080/data/asl-ftp/asllvd/demos/verify_start_end_handshape_annotations//test_auto_move//signs_mov_separ_signers/Tyler_15907.mov","MOV")</f>
        <v>21</v>
      </c>
    </row>
    <row r="2510" s="2" customFormat="1" ht="13.5" customHeight="1">
      <c r="B2510" s="13"/>
      <c r="C2510" t="s" s="9">
        <v>23</v>
      </c>
      <c r="D2510" t="s" s="8">
        <v>884</v>
      </c>
      <c r="E2510" t="s" s="9">
        <v>885</v>
      </c>
      <c r="F2510" t="s" s="10">
        <v>72</v>
      </c>
      <c r="G2510" t="s" s="11">
        <v>72</v>
      </c>
      <c r="H2510" t="s" s="10">
        <v>72</v>
      </c>
      <c r="I2510" t="s" s="11">
        <v>72</v>
      </c>
      <c r="J2510" t="s" s="11">
        <v>20</v>
      </c>
      <c r="K2510" s="15"/>
      <c r="L2510" t="s" s="16">
        <f>HYPERLINK("http://csr.bu.edu/ftp/asl/asllvd/demos/verify_start_end_handshape_annotations//test_auto_move//signs_mov_separ_signers/Tyler_15918.mov","MOV")</f>
        <v>21</v>
      </c>
      <c r="M2510" t="s" s="10">
        <v>125</v>
      </c>
      <c r="N2510" s="17">
        <v>1</v>
      </c>
      <c r="O2510" s="18">
        <v>2860</v>
      </c>
      <c r="P2510" s="18">
        <v>2905</v>
      </c>
      <c r="Q2510" s="15"/>
      <c r="R2510" t="s" s="16">
        <f>HYPERLINK("http://secrets.rutgers.edu:8080/data/asl-ftp/asllvd/demos/verify_start_end_handshape_annotations//test_auto_move//signs_mov_separ_signers/Tyler_15918.mov","MOV")</f>
        <v>21</v>
      </c>
    </row>
    <row r="2511" s="2" customFormat="1" ht="13.5" customHeight="1">
      <c r="B2511" s="13"/>
      <c r="C2511" t="s" s="9">
        <v>27</v>
      </c>
      <c r="D2511" t="s" s="8">
        <v>884</v>
      </c>
      <c r="E2511" t="s" s="9">
        <v>886</v>
      </c>
      <c r="F2511" t="s" s="10">
        <v>72</v>
      </c>
      <c r="G2511" t="s" s="11">
        <v>72</v>
      </c>
      <c r="H2511" t="s" s="10">
        <v>72</v>
      </c>
      <c r="I2511" t="s" s="11">
        <v>72</v>
      </c>
      <c r="J2511" t="s" s="11">
        <v>20</v>
      </c>
      <c r="K2511" t="s" s="16">
        <f>HYPERLINK("http://csr.bu.edu/ftp/asl/asllvd/demos/verify_start_end_handshape_annotations//test_auto_move//signs_mov/15907_15918_merged.mov","MOV")</f>
        <v>21</v>
      </c>
      <c r="L2511" t="s" s="16">
        <f>HYPERLINK("http://csr.bu.edu/ftp/asl/asllvd/demos/verify_start_end_handshape_annotations//test_auto_move//signs_mov_separ_signers/Naomi_15907.mov","MOV")</f>
        <v>21</v>
      </c>
      <c r="M2511" t="s" s="10">
        <v>29</v>
      </c>
      <c r="N2511" s="17">
        <v>45</v>
      </c>
      <c r="O2511" s="18">
        <v>2125</v>
      </c>
      <c r="P2511" s="18">
        <v>2140</v>
      </c>
      <c r="Q2511" t="s" s="16">
        <f>HYPERLINK("http://secrets.rutgers.edu:8080/data/asl-ftp/asllvd/demos/verify_start_end_handshape_annotations//test_auto_move//signs_mov/15907_15918_merged.mov","MOV")</f>
        <v>21</v>
      </c>
      <c r="R2511" t="s" s="16">
        <f>HYPERLINK("http://secrets.rutgers.edu:8080/data/asl-ftp/asllvd/demos/verify_start_end_handshape_annotations//test_auto_move//signs_mov_separ_signers/Naomi_15907.mov","MOV")</f>
        <v>21</v>
      </c>
    </row>
    <row r="2512" s="2" customFormat="1" ht="13.5" customHeight="1">
      <c r="B2512" s="13"/>
      <c r="C2512" t="s" s="9">
        <v>27</v>
      </c>
      <c r="D2512" t="s" s="8">
        <v>884</v>
      </c>
      <c r="E2512" t="s" s="9">
        <v>885</v>
      </c>
      <c r="F2512" t="s" s="10">
        <v>72</v>
      </c>
      <c r="G2512" t="s" s="11">
        <v>72</v>
      </c>
      <c r="H2512" t="s" s="10">
        <v>72</v>
      </c>
      <c r="I2512" t="s" s="11">
        <v>72</v>
      </c>
      <c r="J2512" t="s" s="11">
        <v>20</v>
      </c>
      <c r="K2512" s="15"/>
      <c r="L2512" t="s" s="16">
        <f>HYPERLINK("http://csr.bu.edu/ftp/asl/asllvd/demos/verify_start_end_handshape_annotations//test_auto_move//signs_mov_separ_signers/Naomi_15918.mov","MOV")</f>
        <v>21</v>
      </c>
      <c r="M2512" t="s" s="10">
        <v>86</v>
      </c>
      <c r="N2512" s="17">
        <v>1</v>
      </c>
      <c r="O2512" s="18">
        <v>3137</v>
      </c>
      <c r="P2512" s="18">
        <v>3175</v>
      </c>
      <c r="Q2512" s="15"/>
      <c r="R2512" t="s" s="16">
        <f>HYPERLINK("http://secrets.rutgers.edu:8080/data/asl-ftp/asllvd/demos/verify_start_end_handshape_annotations//test_auto_move//signs_mov_separ_signers/Naomi_15918.mov","MOV")</f>
        <v>21</v>
      </c>
    </row>
    <row r="2513" s="2" customFormat="1" ht="13.5" customHeight="1">
      <c r="B2513" s="13"/>
      <c r="C2513" t="s" s="9">
        <v>30</v>
      </c>
      <c r="D2513" t="s" s="8">
        <v>884</v>
      </c>
      <c r="E2513" t="s" s="9">
        <v>885</v>
      </c>
      <c r="F2513" t="s" s="10">
        <v>72</v>
      </c>
      <c r="G2513" t="s" s="11">
        <v>72</v>
      </c>
      <c r="H2513" t="s" s="10">
        <v>72</v>
      </c>
      <c r="I2513" t="s" s="11">
        <v>72</v>
      </c>
      <c r="J2513" t="s" s="11">
        <v>20</v>
      </c>
      <c r="K2513" s="15"/>
      <c r="L2513" t="s" s="16">
        <f>HYPERLINK("http://csr.bu.edu/ftp/asl/asllvd/demos/verify_start_end_handshape_annotations//test_auto_move//signs_mov_separ_signers/Brady_15907.mov","MOV")</f>
        <v>21</v>
      </c>
      <c r="M2513" t="s" s="10">
        <v>31</v>
      </c>
      <c r="N2513" s="17">
        <v>26</v>
      </c>
      <c r="O2513" s="18">
        <v>21964</v>
      </c>
      <c r="P2513" s="18">
        <v>22004</v>
      </c>
      <c r="Q2513" s="15"/>
      <c r="R2513" t="s" s="16">
        <f>HYPERLINK("http://secrets.rutgers.edu:8080/data/asl-ftp/asllvd/demos/verify_start_end_handshape_annotations//test_auto_move//signs_mov_separ_signers/Brady_15907.mov","MOV")</f>
        <v>21</v>
      </c>
    </row>
    <row r="2514" s="2" customFormat="1" ht="13.5" customHeight="1">
      <c r="B2514" s="13"/>
      <c r="C2514" t="s" s="9">
        <v>30</v>
      </c>
      <c r="D2514" t="s" s="8">
        <v>884</v>
      </c>
      <c r="E2514" t="s" s="9">
        <v>885</v>
      </c>
      <c r="F2514" t="s" s="10">
        <v>72</v>
      </c>
      <c r="G2514" t="s" s="11">
        <v>72</v>
      </c>
      <c r="H2514" t="s" s="10">
        <v>72</v>
      </c>
      <c r="I2514" t="s" s="11">
        <v>72</v>
      </c>
      <c r="J2514" t="s" s="11">
        <v>20</v>
      </c>
      <c r="K2514" s="15"/>
      <c r="L2514" t="s" s="16">
        <f>HYPERLINK("http://csr.bu.edu/ftp/asl/asllvd/demos/verify_start_end_handshape_annotations//test_auto_move//signs_mov_separ_signers/Brady_15918.mov","MOV")</f>
        <v>21</v>
      </c>
      <c r="M2514" t="s" s="10">
        <v>60</v>
      </c>
      <c r="N2514" s="17">
        <v>40</v>
      </c>
      <c r="O2514" s="18">
        <v>2268</v>
      </c>
      <c r="P2514" s="18">
        <v>2310</v>
      </c>
      <c r="Q2514" s="15"/>
      <c r="R2514" t="s" s="16">
        <f>HYPERLINK("http://secrets.rutgers.edu:8080/data/asl-ftp/asllvd/demos/verify_start_end_handshape_annotations//test_auto_move//signs_mov_separ_signers/Brady_15918.mov","MOV")</f>
        <v>21</v>
      </c>
    </row>
    <row r="2515" s="2" customFormat="1" ht="13.5" customHeight="1">
      <c r="B2515" s="13"/>
      <c r="C2515" t="s" s="9">
        <v>41</v>
      </c>
      <c r="D2515" t="s" s="8">
        <v>884</v>
      </c>
      <c r="E2515" t="s" s="9">
        <v>885</v>
      </c>
      <c r="F2515" t="s" s="10">
        <v>72</v>
      </c>
      <c r="G2515" t="s" s="11">
        <v>72</v>
      </c>
      <c r="H2515" t="s" s="10">
        <v>72</v>
      </c>
      <c r="I2515" t="s" s="11">
        <v>72</v>
      </c>
      <c r="J2515" t="s" s="11">
        <v>20</v>
      </c>
      <c r="K2515" s="15"/>
      <c r="L2515" t="s" s="16">
        <f>HYPERLINK("http://csr.bu.edu/ftp/asl/asllvd/demos/verify_start_end_handshape_annotations//test_auto_move//signs_mov_separ_signers/Lana_15907.mov","MOV")</f>
        <v>21</v>
      </c>
      <c r="M2515" t="s" s="10">
        <v>42</v>
      </c>
      <c r="N2515" s="17">
        <v>4</v>
      </c>
      <c r="O2515" s="18">
        <v>2815</v>
      </c>
      <c r="P2515" s="18">
        <v>2857</v>
      </c>
      <c r="Q2515" s="15"/>
      <c r="R2515" t="s" s="16">
        <f>HYPERLINK("http://secrets.rutgers.edu:8080/data/asl-ftp/asllvd/demos/verify_start_end_handshape_annotations//test_auto_move//signs_mov_separ_signers/Lana_15907.mov","MOV")</f>
        <v>21</v>
      </c>
    </row>
    <row r="2516" s="2" customFormat="1" ht="13.5" customHeight="1">
      <c r="B2516" s="13"/>
      <c r="C2516" t="s" s="9">
        <v>43</v>
      </c>
      <c r="D2516" t="s" s="8">
        <v>884</v>
      </c>
      <c r="E2516" t="s" s="9">
        <v>885</v>
      </c>
      <c r="F2516" t="s" s="10">
        <v>72</v>
      </c>
      <c r="G2516" t="s" s="11">
        <v>72</v>
      </c>
      <c r="H2516" t="s" s="10">
        <v>72</v>
      </c>
      <c r="I2516" t="s" s="11">
        <v>72</v>
      </c>
      <c r="J2516" t="s" s="11">
        <v>20</v>
      </c>
      <c r="K2516" s="15"/>
      <c r="L2516" t="s" s="16">
        <f>HYPERLINK("http://csr.bu.edu/ftp/asl/asllvd/demos/verify_start_end_handshape_annotations//test_auto_move//signs_mov_separ_signers/Dana_15907.mov","MOV")</f>
        <v>21</v>
      </c>
      <c r="M2516" t="s" s="10">
        <v>44</v>
      </c>
      <c r="N2516" s="17">
        <v>8</v>
      </c>
      <c r="O2516" s="18">
        <v>2869</v>
      </c>
      <c r="P2516" s="18">
        <v>2923</v>
      </c>
      <c r="Q2516" s="15"/>
      <c r="R2516" t="s" s="16">
        <f>HYPERLINK("http://secrets.rutgers.edu:8080/data/asl-ftp/asllvd/demos/verify_start_end_handshape_annotations//test_auto_move//signs_mov_separ_signers/Dana_15907.mov","MOV")</f>
        <v>21</v>
      </c>
    </row>
    <row r="2517" s="2" customFormat="1" ht="13.5" customHeight="1">
      <c r="B2517" t="s" s="8">
        <v>887</v>
      </c>
      <c r="C2517" t="s" s="9">
        <v>14</v>
      </c>
      <c r="D2517" t="s" s="8">
        <v>14</v>
      </c>
      <c r="E2517" t="s" s="9">
        <v>14</v>
      </c>
      <c r="F2517" t="s" s="10">
        <v>14</v>
      </c>
      <c r="G2517" t="s" s="11">
        <v>14</v>
      </c>
      <c r="H2517" t="s" s="10">
        <v>14</v>
      </c>
      <c r="I2517" t="s" s="11">
        <v>14</v>
      </c>
      <c r="J2517" t="s" s="11">
        <v>14</v>
      </c>
      <c r="K2517" t="s" s="12">
        <v>14</v>
      </c>
      <c r="L2517" t="s" s="12">
        <v>14</v>
      </c>
      <c r="M2517" t="s" s="10">
        <v>14</v>
      </c>
      <c r="N2517" t="s" s="11">
        <v>14</v>
      </c>
      <c r="O2517" t="s" s="8">
        <v>14</v>
      </c>
      <c r="P2517" t="s" s="8">
        <v>14</v>
      </c>
      <c r="Q2517" t="s" s="12">
        <v>14</v>
      </c>
      <c r="R2517" t="s" s="12">
        <v>14</v>
      </c>
    </row>
    <row r="2518" s="2" customFormat="1" ht="13.5" customHeight="1">
      <c r="B2518" s="13"/>
      <c r="C2518" t="s" s="9">
        <v>16</v>
      </c>
      <c r="D2518" t="s" s="8">
        <v>887</v>
      </c>
      <c r="E2518" t="s" s="9">
        <v>888</v>
      </c>
      <c r="F2518" t="s" s="10">
        <v>72</v>
      </c>
      <c r="G2518" t="s" s="11">
        <v>72</v>
      </c>
      <c r="H2518" t="s" s="10">
        <v>72</v>
      </c>
      <c r="I2518" t="s" s="11">
        <v>72</v>
      </c>
      <c r="J2518" t="s" s="11">
        <v>20</v>
      </c>
      <c r="K2518" s="15"/>
      <c r="L2518" t="s" s="16">
        <f>HYPERLINK("http://csr.bu.edu/ftp/asl/asllvd/demos/verify_start_end_handshape_annotations//test_auto_move//signs_mov_separ_signers/Liz_15956.mov","MOV")</f>
        <v>21</v>
      </c>
      <c r="M2518" t="s" s="10">
        <v>84</v>
      </c>
      <c r="N2518" s="17">
        <v>31</v>
      </c>
      <c r="O2518" s="18">
        <v>476</v>
      </c>
      <c r="P2518" s="18">
        <v>531</v>
      </c>
      <c r="Q2518" s="15"/>
      <c r="R2518" t="s" s="16">
        <f>HYPERLINK("http://secrets.rutgers.edu:8080/data/asl-ftp/asllvd/demos/verify_start_end_handshape_annotations//test_auto_move//signs_mov_separ_signers/Liz_15956.mov","MOV")</f>
        <v>21</v>
      </c>
    </row>
    <row r="2519" s="2" customFormat="1" ht="13.5" customHeight="1">
      <c r="B2519" s="13"/>
      <c r="C2519" t="s" s="9">
        <v>16</v>
      </c>
      <c r="D2519" t="s" s="8">
        <v>887</v>
      </c>
      <c r="E2519" t="s" s="9">
        <v>888</v>
      </c>
      <c r="F2519" t="s" s="10">
        <v>73</v>
      </c>
      <c r="G2519" t="s" s="11">
        <v>73</v>
      </c>
      <c r="H2519" t="s" s="10">
        <v>73</v>
      </c>
      <c r="I2519" t="s" s="11">
        <v>73</v>
      </c>
      <c r="J2519" t="s" s="11">
        <v>20</v>
      </c>
      <c r="K2519" s="15"/>
      <c r="L2519" t="s" s="16">
        <f>HYPERLINK("http://csr.bu.edu/ftp/asl/asllvd/demos/verify_start_end_handshape_annotations//test_auto_move//signs_mov_separ_signers/Liz_15957.mov","MOV")</f>
        <v>21</v>
      </c>
      <c r="M2519" t="s" s="10">
        <v>59</v>
      </c>
      <c r="N2519" s="17">
        <v>29</v>
      </c>
      <c r="O2519" s="18">
        <v>865</v>
      </c>
      <c r="P2519" s="18">
        <v>940</v>
      </c>
      <c r="Q2519" s="15"/>
      <c r="R2519" t="s" s="16">
        <f>HYPERLINK("http://secrets.rutgers.edu:8080/data/asl-ftp/asllvd/demos/verify_start_end_handshape_annotations//test_auto_move//signs_mov_separ_signers/Liz_15957.mov","MOV")</f>
        <v>21</v>
      </c>
    </row>
    <row r="2520" s="2" customFormat="1" ht="13.5" customHeight="1">
      <c r="B2520" s="13"/>
      <c r="C2520" t="s" s="9">
        <v>23</v>
      </c>
      <c r="D2520" t="s" s="8">
        <v>887</v>
      </c>
      <c r="E2520" t="s" s="9">
        <v>889</v>
      </c>
      <c r="F2520" t="s" s="10">
        <v>73</v>
      </c>
      <c r="G2520" t="s" s="11">
        <v>73</v>
      </c>
      <c r="H2520" t="s" s="10">
        <v>73</v>
      </c>
      <c r="I2520" t="s" s="11">
        <v>73</v>
      </c>
      <c r="J2520" t="s" s="11">
        <v>20</v>
      </c>
      <c r="K2520" t="s" s="16">
        <f>HYPERLINK("http://csr.bu.edu/ftp/asl/asllvd/demos/verify_start_end_handshape_annotations//test_auto_move//signs_mov/15956_15957_merged.mov","MOV")</f>
        <v>21</v>
      </c>
      <c r="L2520" t="s" s="16">
        <f>HYPERLINK("http://csr.bu.edu/ftp/asl/asllvd/demos/verify_start_end_handshape_annotations//test_auto_move//signs_mov_separ_signers/Tyler_15956.mov","MOV")</f>
        <v>21</v>
      </c>
      <c r="M2520" t="s" s="10">
        <v>92</v>
      </c>
      <c r="N2520" s="17">
        <v>11</v>
      </c>
      <c r="O2520" s="18">
        <v>303</v>
      </c>
      <c r="P2520" s="18">
        <v>354</v>
      </c>
      <c r="Q2520" t="s" s="16">
        <f>HYPERLINK("http://secrets.rutgers.edu:8080/data/asl-ftp/asllvd/demos/verify_start_end_handshape_annotations//test_auto_move//signs_mov/15956_15957_merged.mov","MOV")</f>
        <v>21</v>
      </c>
      <c r="R2520" t="s" s="16">
        <f>HYPERLINK("http://secrets.rutgers.edu:8080/data/asl-ftp/asllvd/demos/verify_start_end_handshape_annotations//test_auto_move//signs_mov_separ_signers/Tyler_15956.mov","MOV")</f>
        <v>21</v>
      </c>
    </row>
    <row r="2521" s="2" customFormat="1" ht="13.5" customHeight="1">
      <c r="B2521" s="13"/>
      <c r="C2521" t="s" s="9">
        <v>27</v>
      </c>
      <c r="D2521" t="s" s="8">
        <v>887</v>
      </c>
      <c r="E2521" t="s" s="9">
        <v>888</v>
      </c>
      <c r="F2521" t="s" s="10">
        <v>73</v>
      </c>
      <c r="G2521" t="s" s="11">
        <v>73</v>
      </c>
      <c r="H2521" t="s" s="10">
        <v>72</v>
      </c>
      <c r="I2521" t="s" s="11">
        <v>72</v>
      </c>
      <c r="J2521" t="s" s="11">
        <v>20</v>
      </c>
      <c r="K2521" s="15"/>
      <c r="L2521" t="s" s="16">
        <f>HYPERLINK("http://csr.bu.edu/ftp/asl/asllvd/demos/verify_start_end_handshape_annotations//test_auto_move//signs_mov_separ_signers/Naomi_15956.mov","MOV")</f>
        <v>21</v>
      </c>
      <c r="M2521" t="s" s="10">
        <v>86</v>
      </c>
      <c r="N2521" s="17">
        <v>31</v>
      </c>
      <c r="O2521" s="18">
        <v>142</v>
      </c>
      <c r="P2521" s="18">
        <v>191</v>
      </c>
      <c r="Q2521" s="15"/>
      <c r="R2521" t="s" s="16">
        <f>HYPERLINK("http://secrets.rutgers.edu:8080/data/asl-ftp/asllvd/demos/verify_start_end_handshape_annotations//test_auto_move//signs_mov_separ_signers/Naomi_15956.mov","MOV")</f>
        <v>21</v>
      </c>
    </row>
    <row r="2522" s="2" customFormat="1" ht="13.5" customHeight="1">
      <c r="B2522" s="13"/>
      <c r="C2522" t="s" s="9">
        <v>30</v>
      </c>
      <c r="D2522" t="s" s="8">
        <v>887</v>
      </c>
      <c r="E2522" t="s" s="9">
        <v>888</v>
      </c>
      <c r="F2522" s="19">
        <v>5</v>
      </c>
      <c r="G2522" s="17">
        <v>5</v>
      </c>
      <c r="H2522" s="19">
        <v>5</v>
      </c>
      <c r="I2522" s="17">
        <v>5</v>
      </c>
      <c r="J2522" t="s" s="11">
        <v>20</v>
      </c>
      <c r="K2522" s="15"/>
      <c r="L2522" t="s" s="16">
        <f>HYPERLINK("http://csr.bu.edu/ftp/asl/asllvd/demos/verify_start_end_handshape_annotations//test_auto_move//signs_mov_separ_signers/Brady_15956.mov","MOV")</f>
        <v>21</v>
      </c>
      <c r="M2522" t="s" s="10">
        <v>39</v>
      </c>
      <c r="N2522" s="17">
        <v>11</v>
      </c>
      <c r="O2522" s="18">
        <v>8369</v>
      </c>
      <c r="P2522" s="18">
        <v>8404</v>
      </c>
      <c r="Q2522" s="15"/>
      <c r="R2522" t="s" s="16">
        <f>HYPERLINK("http://secrets.rutgers.edu:8080/data/asl-ftp/asllvd/demos/verify_start_end_handshape_annotations//test_auto_move//signs_mov_separ_signers/Brady_15956.mov","MOV")</f>
        <v>21</v>
      </c>
    </row>
    <row r="2523" s="2" customFormat="1" ht="13.5" customHeight="1">
      <c r="B2523" s="13"/>
      <c r="C2523" t="s" s="9">
        <v>30</v>
      </c>
      <c r="D2523" t="s" s="8">
        <v>887</v>
      </c>
      <c r="E2523" t="s" s="9">
        <v>888</v>
      </c>
      <c r="F2523" t="s" s="10">
        <v>150</v>
      </c>
      <c r="G2523" t="s" s="11">
        <v>150</v>
      </c>
      <c r="H2523" t="s" s="10">
        <v>150</v>
      </c>
      <c r="I2523" t="s" s="11">
        <v>150</v>
      </c>
      <c r="J2523" t="s" s="11">
        <v>20</v>
      </c>
      <c r="K2523" s="15"/>
      <c r="L2523" t="s" s="16">
        <f>HYPERLINK("http://csr.bu.edu/ftp/asl/asllvd/demos/verify_start_end_handshape_annotations//test_auto_move//signs_mov_separ_signers/Brady_15957.mov","MOV")</f>
        <v>21</v>
      </c>
      <c r="M2523" t="s" s="10">
        <v>60</v>
      </c>
      <c r="N2523" s="17">
        <v>17</v>
      </c>
      <c r="O2523" s="18">
        <v>2000</v>
      </c>
      <c r="P2523" s="18">
        <v>2052</v>
      </c>
      <c r="Q2523" s="15"/>
      <c r="R2523" t="s" s="16">
        <f>HYPERLINK("http://secrets.rutgers.edu:8080/data/asl-ftp/asllvd/demos/verify_start_end_handshape_annotations//test_auto_move//signs_mov_separ_signers/Brady_15957.mov","MOV")</f>
        <v>21</v>
      </c>
    </row>
    <row r="2524" s="2" customFormat="1" ht="13.5" customHeight="1">
      <c r="B2524" t="s" s="8">
        <v>890</v>
      </c>
      <c r="C2524" t="s" s="9">
        <v>14</v>
      </c>
      <c r="D2524" t="s" s="8">
        <v>14</v>
      </c>
      <c r="E2524" t="s" s="9">
        <v>14</v>
      </c>
      <c r="F2524" t="s" s="10">
        <v>14</v>
      </c>
      <c r="G2524" t="s" s="11">
        <v>14</v>
      </c>
      <c r="H2524" t="s" s="10">
        <v>14</v>
      </c>
      <c r="I2524" t="s" s="11">
        <v>14</v>
      </c>
      <c r="J2524" t="s" s="11">
        <v>14</v>
      </c>
      <c r="K2524" t="s" s="12">
        <v>14</v>
      </c>
      <c r="L2524" t="s" s="12">
        <v>14</v>
      </c>
      <c r="M2524" t="s" s="10">
        <v>14</v>
      </c>
      <c r="N2524" t="s" s="11">
        <v>14</v>
      </c>
      <c r="O2524" t="s" s="8">
        <v>14</v>
      </c>
      <c r="P2524" t="s" s="8">
        <v>14</v>
      </c>
      <c r="Q2524" t="s" s="12">
        <v>14</v>
      </c>
      <c r="R2524" t="s" s="12">
        <v>14</v>
      </c>
    </row>
    <row r="2525" s="2" customFormat="1" ht="13.5" customHeight="1">
      <c r="B2525" s="13"/>
      <c r="C2525" t="s" s="9">
        <v>16</v>
      </c>
      <c r="D2525" t="s" s="8">
        <v>890</v>
      </c>
      <c r="E2525" t="s" s="9">
        <v>890</v>
      </c>
      <c r="F2525" t="s" s="10">
        <v>187</v>
      </c>
      <c r="G2525" t="s" s="11">
        <v>73</v>
      </c>
      <c r="H2525" t="s" s="10">
        <v>187</v>
      </c>
      <c r="I2525" t="s" s="11">
        <v>73</v>
      </c>
      <c r="J2525" t="s" s="11">
        <v>20</v>
      </c>
      <c r="K2525" s="15"/>
      <c r="L2525" t="s" s="16">
        <f>HYPERLINK("http://csr.bu.edu/ftp/asl/asllvd/demos/verify_start_end_handshape_annotations//test_auto_move//signs_mov_separ_signers/Liz_540.mov","MOV")</f>
        <v>21</v>
      </c>
      <c r="M2525" t="s" s="10">
        <v>84</v>
      </c>
      <c r="N2525" s="17">
        <v>5</v>
      </c>
      <c r="O2525" s="18">
        <v>322</v>
      </c>
      <c r="P2525" s="18">
        <v>376</v>
      </c>
      <c r="Q2525" s="15"/>
      <c r="R2525" t="s" s="16">
        <f>HYPERLINK("http://secrets.rutgers.edu:8080/data/asl-ftp/asllvd/demos/verify_start_end_handshape_annotations//test_auto_move//signs_mov_separ_signers/Liz_540.mov","MOV")</f>
        <v>21</v>
      </c>
    </row>
    <row r="2526" s="2" customFormat="1" ht="13.5" customHeight="1">
      <c r="B2526" s="13"/>
      <c r="C2526" t="s" s="9">
        <v>23</v>
      </c>
      <c r="D2526" t="s" s="8">
        <v>890</v>
      </c>
      <c r="E2526" t="s" s="9">
        <v>891</v>
      </c>
      <c r="F2526" t="s" s="10">
        <v>187</v>
      </c>
      <c r="G2526" t="s" s="11">
        <v>73</v>
      </c>
      <c r="H2526" t="s" s="10">
        <v>187</v>
      </c>
      <c r="I2526" t="s" s="11">
        <v>73</v>
      </c>
      <c r="J2526" t="s" s="11">
        <v>20</v>
      </c>
      <c r="K2526" t="s" s="16">
        <f>HYPERLINK("http://csr.bu.edu/ftp/asl/asllvd/demos/verify_start_end_handshape_annotations//test_auto_move//signs_mov/540.mov","MOV")</f>
        <v>21</v>
      </c>
      <c r="L2526" t="s" s="16">
        <f>HYPERLINK("http://csr.bu.edu/ftp/asl/asllvd/demos/verify_start_end_handshape_annotations//test_auto_move//signs_mov_separ_signers/Tyler_540.mov","MOV")</f>
        <v>21</v>
      </c>
      <c r="M2526" t="s" s="10">
        <v>125</v>
      </c>
      <c r="N2526" s="17">
        <v>4</v>
      </c>
      <c r="O2526" s="18">
        <v>4985</v>
      </c>
      <c r="P2526" s="18">
        <v>5030</v>
      </c>
      <c r="Q2526" t="s" s="16">
        <f>HYPERLINK("http://secrets.rutgers.edu:8080/data/asl-ftp/asllvd/demos/verify_start_end_handshape_annotations//test_auto_move//signs_mov/540.mov","MOV")</f>
        <v>21</v>
      </c>
      <c r="R2526" t="s" s="16">
        <f>HYPERLINK("http://secrets.rutgers.edu:8080/data/asl-ftp/asllvd/demos/verify_start_end_handshape_annotations//test_auto_move//signs_mov_separ_signers/Tyler_540.mov","MOV")</f>
        <v>21</v>
      </c>
    </row>
    <row r="2527" s="2" customFormat="1" ht="13.5" customHeight="1">
      <c r="B2527" s="13"/>
      <c r="C2527" t="s" s="9">
        <v>27</v>
      </c>
      <c r="D2527" t="s" s="8">
        <v>890</v>
      </c>
      <c r="E2527" t="s" s="9">
        <v>890</v>
      </c>
      <c r="F2527" t="s" s="10">
        <v>187</v>
      </c>
      <c r="G2527" t="s" s="11">
        <v>73</v>
      </c>
      <c r="H2527" t="s" s="10">
        <v>187</v>
      </c>
      <c r="I2527" t="s" s="11">
        <v>73</v>
      </c>
      <c r="J2527" t="s" s="11">
        <v>20</v>
      </c>
      <c r="K2527" s="15"/>
      <c r="L2527" t="s" s="16">
        <f>HYPERLINK("http://csr.bu.edu/ftp/asl/asllvd/demos/verify_start_end_handshape_annotations//test_auto_move//signs_mov_separ_signers/Naomi_540.mov","MOV")</f>
        <v>21</v>
      </c>
      <c r="M2527" t="s" s="10">
        <v>86</v>
      </c>
      <c r="N2527" s="17">
        <v>4</v>
      </c>
      <c r="O2527" s="18">
        <v>2960</v>
      </c>
      <c r="P2527" s="18">
        <v>2985</v>
      </c>
      <c r="Q2527" s="15"/>
      <c r="R2527" t="s" s="16">
        <f>HYPERLINK("http://secrets.rutgers.edu:8080/data/asl-ftp/asllvd/demos/verify_start_end_handshape_annotations//test_auto_move//signs_mov_separ_signers/Naomi_540.mov","MOV")</f>
        <v>21</v>
      </c>
    </row>
    <row r="2528" s="2" customFormat="1" ht="13.5" customHeight="1">
      <c r="B2528" s="13"/>
      <c r="C2528" t="s" s="9">
        <v>30</v>
      </c>
      <c r="D2528" t="s" s="8">
        <v>890</v>
      </c>
      <c r="E2528" t="s" s="9">
        <v>890</v>
      </c>
      <c r="F2528" t="s" s="10">
        <v>187</v>
      </c>
      <c r="G2528" t="s" s="11">
        <v>73</v>
      </c>
      <c r="H2528" t="s" s="10">
        <v>187</v>
      </c>
      <c r="I2528" t="s" s="11">
        <v>73</v>
      </c>
      <c r="J2528" t="s" s="11">
        <v>20</v>
      </c>
      <c r="K2528" s="15"/>
      <c r="L2528" t="s" s="16">
        <f>HYPERLINK("http://csr.bu.edu/ftp/asl/asllvd/demos/verify_start_end_handshape_annotations//test_auto_move//signs_mov_separ_signers/Brady_540.mov","MOV")</f>
        <v>21</v>
      </c>
      <c r="M2528" t="s" s="10">
        <v>31</v>
      </c>
      <c r="N2528" s="17">
        <v>30</v>
      </c>
      <c r="O2528" s="18">
        <v>4736</v>
      </c>
      <c r="P2528" s="18">
        <v>4765</v>
      </c>
      <c r="Q2528" s="15"/>
      <c r="R2528" t="s" s="16">
        <f>HYPERLINK("http://secrets.rutgers.edu:8080/data/asl-ftp/asllvd/demos/verify_start_end_handshape_annotations//test_auto_move//signs_mov_separ_signers/Brady_540.mov","MOV")</f>
        <v>21</v>
      </c>
    </row>
    <row r="2529" s="2" customFormat="1" ht="13.5" customHeight="1">
      <c r="B2529" t="s" s="8">
        <v>892</v>
      </c>
      <c r="C2529" t="s" s="9">
        <v>14</v>
      </c>
      <c r="D2529" t="s" s="8">
        <v>14</v>
      </c>
      <c r="E2529" t="s" s="9">
        <v>14</v>
      </c>
      <c r="F2529" t="s" s="10">
        <v>14</v>
      </c>
      <c r="G2529" t="s" s="11">
        <v>14</v>
      </c>
      <c r="H2529" t="s" s="10">
        <v>14</v>
      </c>
      <c r="I2529" t="s" s="11">
        <v>14</v>
      </c>
      <c r="J2529" t="s" s="11">
        <v>14</v>
      </c>
      <c r="K2529" t="s" s="12">
        <v>14</v>
      </c>
      <c r="L2529" t="s" s="12">
        <v>14</v>
      </c>
      <c r="M2529" t="s" s="10">
        <v>14</v>
      </c>
      <c r="N2529" t="s" s="11">
        <v>14</v>
      </c>
      <c r="O2529" t="s" s="8">
        <v>14</v>
      </c>
      <c r="P2529" t="s" s="8">
        <v>14</v>
      </c>
      <c r="Q2529" t="s" s="12">
        <v>14</v>
      </c>
      <c r="R2529" t="s" s="12">
        <v>14</v>
      </c>
    </row>
    <row r="2530" s="2" customFormat="1" ht="13.5" customHeight="1">
      <c r="B2530" s="13"/>
      <c r="C2530" t="s" s="9">
        <v>16</v>
      </c>
      <c r="D2530" t="s" s="8">
        <v>892</v>
      </c>
      <c r="E2530" t="s" s="9">
        <v>893</v>
      </c>
      <c r="F2530" t="s" s="10">
        <v>148</v>
      </c>
      <c r="G2530" t="s" s="11">
        <v>73</v>
      </c>
      <c r="H2530" t="s" s="10">
        <v>119</v>
      </c>
      <c r="I2530" t="s" s="11">
        <v>73</v>
      </c>
      <c r="J2530" t="s" s="11">
        <v>20</v>
      </c>
      <c r="K2530" s="15"/>
      <c r="L2530" t="s" s="16">
        <f>HYPERLINK("http://csr.bu.edu/ftp/asl/asllvd/demos/verify_start_end_handshape_annotations//test_auto_move//signs_mov_separ_signers/Liz_543.mov","MOV")</f>
        <v>21</v>
      </c>
      <c r="M2530" t="s" s="10">
        <v>84</v>
      </c>
      <c r="N2530" s="17">
        <v>5</v>
      </c>
      <c r="O2530" s="18">
        <v>781</v>
      </c>
      <c r="P2530" s="18">
        <v>820</v>
      </c>
      <c r="Q2530" s="15"/>
      <c r="R2530" t="s" s="16">
        <f>HYPERLINK("http://secrets.rutgers.edu:8080/data/asl-ftp/asllvd/demos/verify_start_end_handshape_annotations//test_auto_move//signs_mov_separ_signers/Liz_543.mov","MOV")</f>
        <v>21</v>
      </c>
    </row>
    <row r="2531" s="2" customFormat="1" ht="13.5" customHeight="1">
      <c r="B2531" s="13"/>
      <c r="C2531" t="s" s="9">
        <v>16</v>
      </c>
      <c r="D2531" t="s" s="8">
        <v>892</v>
      </c>
      <c r="E2531" t="s" s="9">
        <v>893</v>
      </c>
      <c r="F2531" t="s" s="10">
        <v>148</v>
      </c>
      <c r="G2531" t="s" s="11">
        <v>73</v>
      </c>
      <c r="H2531" t="s" s="10">
        <v>119</v>
      </c>
      <c r="I2531" t="s" s="11">
        <v>73</v>
      </c>
      <c r="J2531" t="s" s="11">
        <v>20</v>
      </c>
      <c r="K2531" s="15"/>
      <c r="L2531" t="s" s="16">
        <f>HYPERLINK("http://csr.bu.edu/ftp/asl/asllvd/demos/verify_start_end_handshape_annotations//test_auto_move//signs_mov_separ_signers/Liz_5306.mov","MOV")</f>
        <v>21</v>
      </c>
      <c r="M2531" t="s" s="10">
        <v>77</v>
      </c>
      <c r="N2531" s="17">
        <v>12</v>
      </c>
      <c r="O2531" s="18">
        <v>950</v>
      </c>
      <c r="P2531" s="18">
        <v>985</v>
      </c>
      <c r="Q2531" s="15"/>
      <c r="R2531" t="s" s="16">
        <f>HYPERLINK("http://secrets.rutgers.edu:8080/data/asl-ftp/asllvd/demos/verify_start_end_handshape_annotations//test_auto_move//signs_mov_separ_signers/Liz_5306.mov","MOV")</f>
        <v>21</v>
      </c>
    </row>
    <row r="2532" s="2" customFormat="1" ht="13.5" customHeight="1">
      <c r="B2532" s="13"/>
      <c r="C2532" t="s" s="9">
        <v>23</v>
      </c>
      <c r="D2532" t="s" s="8">
        <v>892</v>
      </c>
      <c r="E2532" t="s" s="9">
        <v>893</v>
      </c>
      <c r="F2532" t="s" s="10">
        <v>148</v>
      </c>
      <c r="G2532" t="s" s="11">
        <v>73</v>
      </c>
      <c r="H2532" t="s" s="10">
        <v>119</v>
      </c>
      <c r="I2532" t="s" s="11">
        <v>73</v>
      </c>
      <c r="J2532" t="s" s="11">
        <v>20</v>
      </c>
      <c r="K2532" s="15"/>
      <c r="L2532" t="s" s="16">
        <f>HYPERLINK("http://csr.bu.edu/ftp/asl/asllvd/demos/verify_start_end_handshape_annotations//test_auto_move//signs_mov_separ_signers/Tyler_543.mov","MOV")</f>
        <v>21</v>
      </c>
      <c r="M2532" t="s" s="10">
        <v>125</v>
      </c>
      <c r="N2532" s="17">
        <v>5</v>
      </c>
      <c r="O2532" s="18">
        <v>390</v>
      </c>
      <c r="P2532" s="18">
        <v>422</v>
      </c>
      <c r="Q2532" s="15"/>
      <c r="R2532" t="s" s="16">
        <f>HYPERLINK("http://secrets.rutgers.edu:8080/data/asl-ftp/asllvd/demos/verify_start_end_handshape_annotations//test_auto_move//signs_mov_separ_signers/Tyler_543.mov","MOV")</f>
        <v>21</v>
      </c>
    </row>
    <row r="2533" s="2" customFormat="1" ht="13.5" customHeight="1">
      <c r="B2533" s="13"/>
      <c r="C2533" t="s" s="9">
        <v>27</v>
      </c>
      <c r="D2533" t="s" s="8">
        <v>892</v>
      </c>
      <c r="E2533" t="s" s="9">
        <v>892</v>
      </c>
      <c r="F2533" t="s" s="10">
        <v>148</v>
      </c>
      <c r="G2533" t="s" s="11">
        <v>73</v>
      </c>
      <c r="H2533" t="s" s="10">
        <v>119</v>
      </c>
      <c r="I2533" t="s" s="11">
        <v>73</v>
      </c>
      <c r="J2533" t="s" s="11">
        <v>20</v>
      </c>
      <c r="K2533" t="s" s="16">
        <f>HYPERLINK("http://csr.bu.edu/ftp/asl/asllvd/demos/verify_start_end_handshape_annotations//test_auto_move//signs_mov/543_5306_merged.mov","MOV")</f>
        <v>21</v>
      </c>
      <c r="L2533" t="s" s="16">
        <f>HYPERLINK("http://csr.bu.edu/ftp/asl/asllvd/demos/verify_start_end_handshape_annotations//test_auto_move//signs_mov_separ_signers/Naomi_543.mov","MOV")</f>
        <v>21</v>
      </c>
      <c r="M2533" t="s" s="10">
        <v>86</v>
      </c>
      <c r="N2533" s="17">
        <v>5</v>
      </c>
      <c r="O2533" s="18">
        <v>1601</v>
      </c>
      <c r="P2533" s="18">
        <v>1645</v>
      </c>
      <c r="Q2533" t="s" s="16">
        <f>HYPERLINK("http://secrets.rutgers.edu:8080/data/asl-ftp/asllvd/demos/verify_start_end_handshape_annotations//test_auto_move//signs_mov/543_5306_merged.mov","MOV")</f>
        <v>21</v>
      </c>
      <c r="R2533" t="s" s="16">
        <f>HYPERLINK("http://secrets.rutgers.edu:8080/data/asl-ftp/asllvd/demos/verify_start_end_handshape_annotations//test_auto_move//signs_mov_separ_signers/Naomi_543.mov","MOV")</f>
        <v>21</v>
      </c>
    </row>
    <row r="2534" s="2" customFormat="1" ht="13.5" customHeight="1">
      <c r="B2534" s="13"/>
      <c r="C2534" t="s" s="9">
        <v>30</v>
      </c>
      <c r="D2534" t="s" s="8">
        <v>892</v>
      </c>
      <c r="E2534" t="s" s="9">
        <v>893</v>
      </c>
      <c r="F2534" t="s" s="10">
        <v>148</v>
      </c>
      <c r="G2534" t="s" s="11">
        <v>73</v>
      </c>
      <c r="H2534" t="s" s="10">
        <v>119</v>
      </c>
      <c r="I2534" t="s" s="11">
        <v>73</v>
      </c>
      <c r="J2534" t="s" s="11">
        <v>20</v>
      </c>
      <c r="K2534" s="15"/>
      <c r="L2534" t="s" s="16">
        <f>HYPERLINK("http://csr.bu.edu/ftp/asl/asllvd/demos/verify_start_end_handshape_annotations//test_auto_move//signs_mov_separ_signers/Brady_543.mov","MOV")</f>
        <v>21</v>
      </c>
      <c r="M2534" t="s" s="10">
        <v>31</v>
      </c>
      <c r="N2534" s="17">
        <v>30</v>
      </c>
      <c r="O2534" s="18">
        <v>5681</v>
      </c>
      <c r="P2534" s="18">
        <v>5717</v>
      </c>
      <c r="Q2534" s="15"/>
      <c r="R2534" t="s" s="16">
        <f>HYPERLINK("http://secrets.rutgers.edu:8080/data/asl-ftp/asllvd/demos/verify_start_end_handshape_annotations//test_auto_move//signs_mov_separ_signers/Brady_543.mov","MOV")</f>
        <v>21</v>
      </c>
    </row>
    <row r="2535" s="2" customFormat="1" ht="13.5" customHeight="1">
      <c r="B2535" s="13"/>
      <c r="C2535" t="s" s="9">
        <v>30</v>
      </c>
      <c r="D2535" t="s" s="8">
        <v>892</v>
      </c>
      <c r="E2535" t="s" s="9">
        <v>893</v>
      </c>
      <c r="F2535" t="s" s="10">
        <v>148</v>
      </c>
      <c r="G2535" t="s" s="11">
        <v>73</v>
      </c>
      <c r="H2535" t="s" s="10">
        <v>119</v>
      </c>
      <c r="I2535" t="s" s="11">
        <v>73</v>
      </c>
      <c r="J2535" t="s" s="11">
        <v>20</v>
      </c>
      <c r="K2535" s="15"/>
      <c r="L2535" t="s" s="16">
        <f>HYPERLINK("http://csr.bu.edu/ftp/asl/asllvd/demos/verify_start_end_handshape_annotations//test_auto_move//signs_mov_separ_signers/Brady_5306.mov","MOV")</f>
        <v>21</v>
      </c>
      <c r="M2535" t="s" s="10">
        <v>31</v>
      </c>
      <c r="N2535" s="17">
        <v>30</v>
      </c>
      <c r="O2535" s="18">
        <v>5963</v>
      </c>
      <c r="P2535" s="18">
        <v>5996</v>
      </c>
      <c r="Q2535" s="15"/>
      <c r="R2535" t="s" s="16">
        <f>HYPERLINK("http://secrets.rutgers.edu:8080/data/asl-ftp/asllvd/demos/verify_start_end_handshape_annotations//test_auto_move//signs_mov_separ_signers/Brady_5306.mov","MOV")</f>
        <v>21</v>
      </c>
    </row>
    <row r="2536" s="2" customFormat="1" ht="13.5" customHeight="1">
      <c r="B2536" s="13"/>
      <c r="C2536" t="s" s="9">
        <v>41</v>
      </c>
      <c r="D2536" t="s" s="8">
        <v>892</v>
      </c>
      <c r="E2536" t="s" s="9">
        <v>892</v>
      </c>
      <c r="F2536" t="s" s="10">
        <v>148</v>
      </c>
      <c r="G2536" t="s" s="11">
        <v>73</v>
      </c>
      <c r="H2536" t="s" s="10">
        <v>119</v>
      </c>
      <c r="I2536" t="s" s="11">
        <v>73</v>
      </c>
      <c r="J2536" t="s" s="11">
        <v>20</v>
      </c>
      <c r="K2536" s="15"/>
      <c r="L2536" t="s" s="16">
        <f>HYPERLINK("http://csr.bu.edu/ftp/asl/asllvd/demos/verify_start_end_handshape_annotations//test_auto_move//signs_mov_separ_signers/Lana_543.mov","MOV")</f>
        <v>21</v>
      </c>
      <c r="M2536" t="s" s="10">
        <v>42</v>
      </c>
      <c r="N2536" s="17">
        <v>6</v>
      </c>
      <c r="O2536" s="18">
        <v>910</v>
      </c>
      <c r="P2536" s="18">
        <v>922</v>
      </c>
      <c r="Q2536" s="15"/>
      <c r="R2536" t="s" s="16">
        <f>HYPERLINK("http://secrets.rutgers.edu:8080/data/asl-ftp/asllvd/demos/verify_start_end_handshape_annotations//test_auto_move//signs_mov_separ_signers/Lana_543.mov","MOV")</f>
        <v>21</v>
      </c>
    </row>
    <row r="2537" s="2" customFormat="1" ht="13.5" customHeight="1">
      <c r="B2537" s="13"/>
      <c r="C2537" t="s" s="9">
        <v>43</v>
      </c>
      <c r="D2537" t="s" s="8">
        <v>892</v>
      </c>
      <c r="E2537" t="s" s="9">
        <v>894</v>
      </c>
      <c r="F2537" t="s" s="10">
        <v>148</v>
      </c>
      <c r="G2537" t="s" s="11">
        <v>73</v>
      </c>
      <c r="H2537" t="s" s="10">
        <v>119</v>
      </c>
      <c r="I2537" t="s" s="11">
        <v>73</v>
      </c>
      <c r="J2537" t="s" s="11">
        <v>20</v>
      </c>
      <c r="K2537" s="15"/>
      <c r="L2537" t="s" s="16">
        <f>HYPERLINK("http://csr.bu.edu/ftp/asl/asllvd/demos/verify_start_end_handshape_annotations//test_auto_move//signs_mov_separ_signers/Dana_543.mov","MOV")</f>
        <v>21</v>
      </c>
      <c r="M2537" t="s" s="10">
        <v>44</v>
      </c>
      <c r="N2537" s="17">
        <v>10</v>
      </c>
      <c r="O2537" s="18">
        <v>1086</v>
      </c>
      <c r="P2537" s="18">
        <v>1150</v>
      </c>
      <c r="Q2537" s="15"/>
      <c r="R2537" t="s" s="16">
        <f>HYPERLINK("http://secrets.rutgers.edu:8080/data/asl-ftp/asllvd/demos/verify_start_end_handshape_annotations//test_auto_move//signs_mov_separ_signers/Dana_543.mov","MOV")</f>
        <v>21</v>
      </c>
    </row>
    <row r="2538" s="2" customFormat="1" ht="13.5" customHeight="1">
      <c r="B2538" t="s" s="8">
        <v>52</v>
      </c>
      <c r="C2538" t="s" s="9">
        <v>53</v>
      </c>
      <c r="D2538" t="s" s="8">
        <v>53</v>
      </c>
      <c r="E2538" t="s" s="9">
        <v>53</v>
      </c>
      <c r="F2538" t="s" s="10">
        <v>53</v>
      </c>
      <c r="G2538" t="s" s="11">
        <v>53</v>
      </c>
      <c r="H2538" t="s" s="10">
        <v>53</v>
      </c>
      <c r="I2538" t="s" s="11">
        <v>53</v>
      </c>
      <c r="J2538" t="s" s="11">
        <v>53</v>
      </c>
      <c r="K2538" t="s" s="12">
        <v>53</v>
      </c>
      <c r="L2538" t="s" s="12">
        <v>53</v>
      </c>
      <c r="M2538" t="s" s="10">
        <v>53</v>
      </c>
      <c r="N2538" t="s" s="11">
        <v>53</v>
      </c>
      <c r="O2538" t="s" s="8">
        <v>53</v>
      </c>
      <c r="P2538" t="s" s="8">
        <v>53</v>
      </c>
      <c r="Q2538" t="s" s="12">
        <v>53</v>
      </c>
      <c r="R2538" t="s" s="12">
        <v>53</v>
      </c>
    </row>
    <row r="2539" s="2" customFormat="1" ht="13.5" customHeight="1">
      <c r="B2539" s="13"/>
      <c r="C2539" t="s" s="9">
        <v>16</v>
      </c>
      <c r="D2539" t="s" s="8">
        <v>892</v>
      </c>
      <c r="E2539" t="s" s="9">
        <v>895</v>
      </c>
      <c r="F2539" t="s" s="10">
        <v>148</v>
      </c>
      <c r="G2539" t="s" s="11">
        <v>73</v>
      </c>
      <c r="H2539" t="s" s="10">
        <v>119</v>
      </c>
      <c r="I2539" t="s" s="11">
        <v>73</v>
      </c>
      <c r="J2539" t="s" s="11">
        <v>20</v>
      </c>
      <c r="K2539" s="15"/>
      <c r="L2539" t="s" s="16">
        <f>HYPERLINK("http://csr.bu.edu/ftp/asl/asllvd/demos/verify_start_end_handshape_annotations//test_auto_move//signs_mov_separ_signers/Liz_5640.mov","MOV")</f>
        <v>21</v>
      </c>
      <c r="M2539" t="s" s="10">
        <v>84</v>
      </c>
      <c r="N2539" s="17">
        <v>5</v>
      </c>
      <c r="O2539" s="18">
        <v>996</v>
      </c>
      <c r="P2539" s="18">
        <v>1027</v>
      </c>
      <c r="Q2539" s="15"/>
      <c r="R2539" t="s" s="16">
        <f>HYPERLINK("http://secrets.rutgers.edu:8080/data/asl-ftp/asllvd/demos/verify_start_end_handshape_annotations//test_auto_move//signs_mov_separ_signers/Liz_5640.mov","MOV")</f>
        <v>21</v>
      </c>
    </row>
    <row r="2540" s="2" customFormat="1" ht="13.5" customHeight="1">
      <c r="B2540" s="13"/>
      <c r="C2540" t="s" s="9">
        <v>23</v>
      </c>
      <c r="D2540" t="s" s="8">
        <v>892</v>
      </c>
      <c r="E2540" t="s" s="9">
        <v>896</v>
      </c>
      <c r="F2540" t="s" s="10">
        <v>148</v>
      </c>
      <c r="G2540" t="s" s="11">
        <v>73</v>
      </c>
      <c r="H2540" t="s" s="10">
        <v>119</v>
      </c>
      <c r="I2540" t="s" s="11">
        <v>73</v>
      </c>
      <c r="J2540" t="s" s="11">
        <v>20</v>
      </c>
      <c r="K2540" t="s" s="16">
        <f>HYPERLINK("http://csr.bu.edu/ftp/asl/asllvd/demos/verify_start_end_handshape_annotations//test_auto_move//signs_mov/5640.mov","MOV")</f>
        <v>21</v>
      </c>
      <c r="L2540" t="s" s="16">
        <f>HYPERLINK("http://csr.bu.edu/ftp/asl/asllvd/demos/verify_start_end_handshape_annotations//test_auto_move//signs_mov_separ_signers/Tyler_5640.mov","MOV")</f>
        <v>21</v>
      </c>
      <c r="M2540" t="s" s="10">
        <v>125</v>
      </c>
      <c r="N2540" s="17">
        <v>5</v>
      </c>
      <c r="O2540" s="18">
        <v>575</v>
      </c>
      <c r="P2540" s="18">
        <v>615</v>
      </c>
      <c r="Q2540" t="s" s="16">
        <f>HYPERLINK("http://secrets.rutgers.edu:8080/data/asl-ftp/asllvd/demos/verify_start_end_handshape_annotations//test_auto_move//signs_mov/5640.mov","MOV")</f>
        <v>21</v>
      </c>
      <c r="R2540" t="s" s="16">
        <f>HYPERLINK("http://secrets.rutgers.edu:8080/data/asl-ftp/asllvd/demos/verify_start_end_handshape_annotations//test_auto_move//signs_mov_separ_signers/Tyler_5640.mov","MOV")</f>
        <v>21</v>
      </c>
    </row>
    <row r="2541" s="2" customFormat="1" ht="13.5" customHeight="1">
      <c r="B2541" s="13"/>
      <c r="C2541" t="s" s="9">
        <v>27</v>
      </c>
      <c r="D2541" t="s" s="8">
        <v>892</v>
      </c>
      <c r="E2541" t="s" s="9">
        <v>895</v>
      </c>
      <c r="F2541" t="s" s="10">
        <v>148</v>
      </c>
      <c r="G2541" t="s" s="11">
        <v>73</v>
      </c>
      <c r="H2541" t="s" s="10">
        <v>119</v>
      </c>
      <c r="I2541" t="s" s="11">
        <v>73</v>
      </c>
      <c r="J2541" t="s" s="11">
        <v>20</v>
      </c>
      <c r="K2541" s="15"/>
      <c r="L2541" t="s" s="16">
        <f>HYPERLINK("http://csr.bu.edu/ftp/asl/asllvd/demos/verify_start_end_handshape_annotations//test_auto_move//signs_mov_separ_signers/Naomi_5640.mov","MOV")</f>
        <v>21</v>
      </c>
      <c r="M2541" t="s" s="10">
        <v>86</v>
      </c>
      <c r="N2541" s="17">
        <v>5</v>
      </c>
      <c r="O2541" s="18">
        <v>1785</v>
      </c>
      <c r="P2541" s="18">
        <v>1807</v>
      </c>
      <c r="Q2541" s="15"/>
      <c r="R2541" t="s" s="16">
        <f>HYPERLINK("http://secrets.rutgers.edu:8080/data/asl-ftp/asllvd/demos/verify_start_end_handshape_annotations//test_auto_move//signs_mov_separ_signers/Naomi_5640.mov","MOV")</f>
        <v>21</v>
      </c>
    </row>
    <row r="2542" s="2" customFormat="1" ht="13.5" customHeight="1">
      <c r="B2542" s="13"/>
      <c r="C2542" t="s" s="9">
        <v>30</v>
      </c>
      <c r="D2542" t="s" s="8">
        <v>892</v>
      </c>
      <c r="E2542" t="s" s="9">
        <v>895</v>
      </c>
      <c r="F2542" t="s" s="10">
        <v>148</v>
      </c>
      <c r="G2542" t="s" s="11">
        <v>73</v>
      </c>
      <c r="H2542" t="s" s="10">
        <v>119</v>
      </c>
      <c r="I2542" t="s" s="11">
        <v>73</v>
      </c>
      <c r="J2542" t="s" s="11">
        <v>20</v>
      </c>
      <c r="K2542" s="15"/>
      <c r="L2542" t="s" s="16">
        <f>HYPERLINK("http://csr.bu.edu/ftp/asl/asllvd/demos/verify_start_end_handshape_annotations//test_auto_move//signs_mov_separ_signers/Brady_5640.mov","MOV")</f>
        <v>21</v>
      </c>
      <c r="M2542" t="s" s="10">
        <v>31</v>
      </c>
      <c r="N2542" s="17">
        <v>30</v>
      </c>
      <c r="O2542" s="18">
        <v>6234</v>
      </c>
      <c r="P2542" s="18">
        <v>6260</v>
      </c>
      <c r="Q2542" s="15"/>
      <c r="R2542" t="s" s="16">
        <f>HYPERLINK("http://secrets.rutgers.edu:8080/data/asl-ftp/asllvd/demos/verify_start_end_handshape_annotations//test_auto_move//signs_mov_separ_signers/Brady_5640.mov","MOV")</f>
        <v>21</v>
      </c>
    </row>
    <row r="2543" s="2" customFormat="1" ht="13.5" customHeight="1">
      <c r="B2543" t="s" s="8">
        <v>897</v>
      </c>
      <c r="C2543" t="s" s="9">
        <v>14</v>
      </c>
      <c r="D2543" t="s" s="8">
        <v>14</v>
      </c>
      <c r="E2543" t="s" s="9">
        <v>14</v>
      </c>
      <c r="F2543" t="s" s="10">
        <v>14</v>
      </c>
      <c r="G2543" t="s" s="11">
        <v>14</v>
      </c>
      <c r="H2543" t="s" s="10">
        <v>14</v>
      </c>
      <c r="I2543" t="s" s="11">
        <v>14</v>
      </c>
      <c r="J2543" t="s" s="11">
        <v>14</v>
      </c>
      <c r="K2543" t="s" s="12">
        <v>14</v>
      </c>
      <c r="L2543" t="s" s="12">
        <v>14</v>
      </c>
      <c r="M2543" t="s" s="10">
        <v>14</v>
      </c>
      <c r="N2543" t="s" s="11">
        <v>14</v>
      </c>
      <c r="O2543" t="s" s="8">
        <v>14</v>
      </c>
      <c r="P2543" t="s" s="8">
        <v>14</v>
      </c>
      <c r="Q2543" t="s" s="12">
        <v>14</v>
      </c>
      <c r="R2543" t="s" s="12">
        <v>14</v>
      </c>
    </row>
    <row r="2544" s="2" customFormat="1" ht="13.5" customHeight="1">
      <c r="B2544" s="13"/>
      <c r="C2544" t="s" s="9">
        <v>23</v>
      </c>
      <c r="D2544" t="s" s="8">
        <v>897</v>
      </c>
      <c r="E2544" t="s" s="9">
        <v>897</v>
      </c>
      <c r="F2544" s="19">
        <v>1</v>
      </c>
      <c r="G2544" s="14"/>
      <c r="H2544" s="19">
        <v>1</v>
      </c>
      <c r="I2544" s="14"/>
      <c r="J2544" t="s" s="11">
        <v>20</v>
      </c>
      <c r="K2544" s="15"/>
      <c r="L2544" t="s" s="16">
        <f>HYPERLINK("http://csr.bu.edu/ftp/asl/asllvd/demos/verify_start_end_handshape_annotations//test_auto_move//signs_mov_separ_signers/Tyler_545.mov","MOV")</f>
        <v>21</v>
      </c>
      <c r="M2544" t="s" s="10">
        <v>125</v>
      </c>
      <c r="N2544" s="17">
        <v>5</v>
      </c>
      <c r="O2544" s="18">
        <v>1498</v>
      </c>
      <c r="P2544" s="18">
        <v>1526</v>
      </c>
      <c r="Q2544" s="15"/>
      <c r="R2544" t="s" s="16">
        <f>HYPERLINK("http://secrets.rutgers.edu:8080/data/asl-ftp/asllvd/demos/verify_start_end_handshape_annotations//test_auto_move//signs_mov_separ_signers/Tyler_545.mov","MOV")</f>
        <v>21</v>
      </c>
    </row>
    <row r="2545" s="2" customFormat="1" ht="13.5" customHeight="1">
      <c r="B2545" s="13"/>
      <c r="C2545" t="s" s="9">
        <v>27</v>
      </c>
      <c r="D2545" t="s" s="8">
        <v>897</v>
      </c>
      <c r="E2545" t="s" s="9">
        <v>897</v>
      </c>
      <c r="F2545" t="s" s="10">
        <v>268</v>
      </c>
      <c r="G2545" s="14"/>
      <c r="H2545" t="s" s="10">
        <v>268</v>
      </c>
      <c r="I2545" s="14"/>
      <c r="J2545" t="s" s="11">
        <v>20</v>
      </c>
      <c r="K2545" t="s" s="16">
        <f>HYPERLINK("http://csr.bu.edu/ftp/asl/asllvd/demos/verify_start_end_handshape_annotations//test_auto_move//signs_mov/545.mov","MOV")</f>
        <v>21</v>
      </c>
      <c r="L2545" t="s" s="16">
        <f>HYPERLINK("http://csr.bu.edu/ftp/asl/asllvd/demos/verify_start_end_handshape_annotations//test_auto_move//signs_mov_separ_signers/Naomi_545.mov","MOV")</f>
        <v>21</v>
      </c>
      <c r="M2545" t="s" s="10">
        <v>86</v>
      </c>
      <c r="N2545" s="17">
        <v>5</v>
      </c>
      <c r="O2545" s="18">
        <v>2341</v>
      </c>
      <c r="P2545" s="18">
        <v>2370</v>
      </c>
      <c r="Q2545" t="s" s="16">
        <f>HYPERLINK("http://secrets.rutgers.edu:8080/data/asl-ftp/asllvd/demos/verify_start_end_handshape_annotations//test_auto_move//signs_mov/545.mov","MOV")</f>
        <v>21</v>
      </c>
      <c r="R2545" t="s" s="16">
        <f>HYPERLINK("http://secrets.rutgers.edu:8080/data/asl-ftp/asllvd/demos/verify_start_end_handshape_annotations//test_auto_move//signs_mov_separ_signers/Naomi_545.mov","MOV")</f>
        <v>21</v>
      </c>
    </row>
    <row r="2546" s="2" customFormat="1" ht="13.5" customHeight="1">
      <c r="B2546" s="13"/>
      <c r="C2546" t="s" s="9">
        <v>30</v>
      </c>
      <c r="D2546" t="s" s="8">
        <v>897</v>
      </c>
      <c r="E2546" t="s" s="9">
        <v>897</v>
      </c>
      <c r="F2546" t="s" s="10">
        <v>268</v>
      </c>
      <c r="G2546" s="14"/>
      <c r="H2546" t="s" s="10">
        <v>268</v>
      </c>
      <c r="I2546" s="14"/>
      <c r="J2546" t="s" s="11">
        <v>20</v>
      </c>
      <c r="K2546" s="15"/>
      <c r="L2546" t="s" s="16">
        <f>HYPERLINK("http://csr.bu.edu/ftp/asl/asllvd/demos/verify_start_end_handshape_annotations//test_auto_move//signs_mov_separ_signers/Brady_545.mov","MOV")</f>
        <v>21</v>
      </c>
      <c r="M2546" t="s" s="10">
        <v>31</v>
      </c>
      <c r="N2546" s="17">
        <v>30</v>
      </c>
      <c r="O2546" s="18">
        <v>6793</v>
      </c>
      <c r="P2546" s="18">
        <v>6824</v>
      </c>
      <c r="Q2546" s="15"/>
      <c r="R2546" t="s" s="16">
        <f>HYPERLINK("http://secrets.rutgers.edu:8080/data/asl-ftp/asllvd/demos/verify_start_end_handshape_annotations//test_auto_move//signs_mov_separ_signers/Brady_545.mov","MOV")</f>
        <v>21</v>
      </c>
    </row>
    <row r="2547" s="2" customFormat="1" ht="13.5" customHeight="1">
      <c r="B2547" t="s" s="8">
        <v>52</v>
      </c>
      <c r="C2547" t="s" s="9">
        <v>53</v>
      </c>
      <c r="D2547" t="s" s="8">
        <v>53</v>
      </c>
      <c r="E2547" t="s" s="9">
        <v>53</v>
      </c>
      <c r="F2547" t="s" s="10">
        <v>53</v>
      </c>
      <c r="G2547" t="s" s="11">
        <v>53</v>
      </c>
      <c r="H2547" t="s" s="10">
        <v>53</v>
      </c>
      <c r="I2547" t="s" s="11">
        <v>53</v>
      </c>
      <c r="J2547" t="s" s="11">
        <v>53</v>
      </c>
      <c r="K2547" t="s" s="12">
        <v>53</v>
      </c>
      <c r="L2547" t="s" s="12">
        <v>53</v>
      </c>
      <c r="M2547" t="s" s="10">
        <v>53</v>
      </c>
      <c r="N2547" t="s" s="11">
        <v>53</v>
      </c>
      <c r="O2547" t="s" s="8">
        <v>53</v>
      </c>
      <c r="P2547" t="s" s="8">
        <v>53</v>
      </c>
      <c r="Q2547" t="s" s="12">
        <v>53</v>
      </c>
      <c r="R2547" t="s" s="12">
        <v>53</v>
      </c>
    </row>
    <row r="2548" s="2" customFormat="1" ht="13.5" customHeight="1">
      <c r="B2548" s="13"/>
      <c r="C2548" t="s" s="9">
        <v>16</v>
      </c>
      <c r="D2548" t="s" s="8">
        <v>897</v>
      </c>
      <c r="E2548" t="s" s="9">
        <v>898</v>
      </c>
      <c r="F2548" s="19">
        <v>1</v>
      </c>
      <c r="G2548" s="14"/>
      <c r="H2548" s="19">
        <v>1</v>
      </c>
      <c r="I2548" s="14"/>
      <c r="J2548" t="s" s="11">
        <v>20</v>
      </c>
      <c r="K2548" t="s" s="16">
        <f>HYPERLINK("http://csr.bu.edu/ftp/asl/asllvd/demos/verify_start_end_handshape_annotations//test_auto_move//signs_mov/3598.mov","MOV")</f>
        <v>21</v>
      </c>
      <c r="L2548" t="s" s="16">
        <f>HYPERLINK("http://csr.bu.edu/ftp/asl/asllvd/demos/verify_start_end_handshape_annotations//test_auto_move//signs_mov_separ_signers/Liz_3598.mov","MOV")</f>
        <v>21</v>
      </c>
      <c r="M2548" t="s" s="10">
        <v>84</v>
      </c>
      <c r="N2548" s="17">
        <v>5</v>
      </c>
      <c r="O2548" s="18">
        <v>1475</v>
      </c>
      <c r="P2548" s="18">
        <v>1535</v>
      </c>
      <c r="Q2548" t="s" s="16">
        <f>HYPERLINK("http://secrets.rutgers.edu:8080/data/asl-ftp/asllvd/demos/verify_start_end_handshape_annotations//test_auto_move//signs_mov/3598.mov","MOV")</f>
        <v>21</v>
      </c>
      <c r="R2548" t="s" s="16">
        <f>HYPERLINK("http://secrets.rutgers.edu:8080/data/asl-ftp/asllvd/demos/verify_start_end_handshape_annotations//test_auto_move//signs_mov_separ_signers/Liz_3598.mov","MOV")</f>
        <v>21</v>
      </c>
    </row>
    <row r="2549" s="2" customFormat="1" ht="13.5" customHeight="1">
      <c r="B2549" t="s" s="8">
        <v>897</v>
      </c>
      <c r="C2549" t="s" s="9">
        <v>14</v>
      </c>
      <c r="D2549" t="s" s="8">
        <v>14</v>
      </c>
      <c r="E2549" t="s" s="9">
        <v>14</v>
      </c>
      <c r="F2549" t="s" s="10">
        <v>14</v>
      </c>
      <c r="G2549" t="s" s="11">
        <v>14</v>
      </c>
      <c r="H2549" t="s" s="10">
        <v>14</v>
      </c>
      <c r="I2549" t="s" s="11">
        <v>14</v>
      </c>
      <c r="J2549" t="s" s="11">
        <v>14</v>
      </c>
      <c r="K2549" t="s" s="12">
        <v>14</v>
      </c>
      <c r="L2549" t="s" s="12">
        <v>14</v>
      </c>
      <c r="M2549" t="s" s="10">
        <v>14</v>
      </c>
      <c r="N2549" t="s" s="11">
        <v>14</v>
      </c>
      <c r="O2549" t="s" s="8">
        <v>14</v>
      </c>
      <c r="P2549" t="s" s="8">
        <v>14</v>
      </c>
      <c r="Q2549" t="s" s="12">
        <v>14</v>
      </c>
      <c r="R2549" t="s" s="12">
        <v>14</v>
      </c>
    </row>
    <row r="2550" s="2" customFormat="1" ht="13.5" customHeight="1">
      <c r="B2550" s="13"/>
      <c r="C2550" t="s" s="9">
        <v>16</v>
      </c>
      <c r="D2550" t="s" s="8">
        <v>899</v>
      </c>
      <c r="E2550" t="s" s="9">
        <v>899</v>
      </c>
      <c r="F2550" t="s" s="10">
        <v>68</v>
      </c>
      <c r="G2550" t="s" s="11">
        <v>68</v>
      </c>
      <c r="H2550" t="s" s="10">
        <v>68</v>
      </c>
      <c r="I2550" t="s" s="11">
        <v>68</v>
      </c>
      <c r="J2550" t="s" s="11">
        <v>20</v>
      </c>
      <c r="K2550" t="s" s="16">
        <f>HYPERLINK("http://csr.bu.edu/ftp/asl/asllvd/demos/verify_start_end_handshape_annotations//test_auto_move//signs_mov/5149.mov","MOV")</f>
        <v>21</v>
      </c>
      <c r="L2550" t="s" s="16">
        <f>HYPERLINK("http://csr.bu.edu/ftp/asl/asllvd/demos/verify_start_end_handshape_annotations//test_auto_move//signs_mov_separ_signers/Liz_5149.mov","MOV")</f>
        <v>21</v>
      </c>
      <c r="M2550" t="s" s="10">
        <v>84</v>
      </c>
      <c r="N2550" s="17">
        <v>5</v>
      </c>
      <c r="O2550" s="18">
        <v>1927</v>
      </c>
      <c r="P2550" s="18">
        <v>1982</v>
      </c>
      <c r="Q2550" t="s" s="16">
        <f>HYPERLINK("http://secrets.rutgers.edu:8080/data/asl-ftp/asllvd/demos/verify_start_end_handshape_annotations//test_auto_move//signs_mov/5149.mov","MOV")</f>
        <v>21</v>
      </c>
      <c r="R2550" t="s" s="16">
        <f>HYPERLINK("http://secrets.rutgers.edu:8080/data/asl-ftp/asllvd/demos/verify_start_end_handshape_annotations//test_auto_move//signs_mov_separ_signers/Liz_5149.mov","MOV")</f>
        <v>21</v>
      </c>
    </row>
    <row r="2551" s="2" customFormat="1" ht="13.5" customHeight="1">
      <c r="B2551" s="13"/>
      <c r="C2551" t="s" s="9">
        <v>27</v>
      </c>
      <c r="D2551" t="s" s="8">
        <v>899</v>
      </c>
      <c r="E2551" t="s" s="9">
        <v>899</v>
      </c>
      <c r="F2551" t="s" s="10">
        <v>68</v>
      </c>
      <c r="G2551" t="s" s="11">
        <v>68</v>
      </c>
      <c r="H2551" t="s" s="10">
        <v>68</v>
      </c>
      <c r="I2551" t="s" s="11">
        <v>68</v>
      </c>
      <c r="J2551" t="s" s="11">
        <v>20</v>
      </c>
      <c r="K2551" s="15"/>
      <c r="L2551" t="s" s="16">
        <f>HYPERLINK("http://csr.bu.edu/ftp/asl/asllvd/demos/verify_start_end_handshape_annotations//test_auto_move//signs_mov_separ_signers/Naomi_5149.mov","MOV")</f>
        <v>21</v>
      </c>
      <c r="M2551" t="s" s="10">
        <v>86</v>
      </c>
      <c r="N2551" s="17">
        <v>5</v>
      </c>
      <c r="O2551" s="18">
        <v>2580</v>
      </c>
      <c r="P2551" s="18">
        <v>2605</v>
      </c>
      <c r="Q2551" s="15"/>
      <c r="R2551" t="s" s="16">
        <f>HYPERLINK("http://secrets.rutgers.edu:8080/data/asl-ftp/asllvd/demos/verify_start_end_handshape_annotations//test_auto_move//signs_mov_separ_signers/Naomi_5149.mov","MOV")</f>
        <v>21</v>
      </c>
    </row>
    <row r="2552" s="2" customFormat="1" ht="13.5" customHeight="1">
      <c r="B2552" t="s" s="8">
        <v>897</v>
      </c>
      <c r="C2552" t="s" s="9">
        <v>14</v>
      </c>
      <c r="D2552" t="s" s="8">
        <v>14</v>
      </c>
      <c r="E2552" t="s" s="9">
        <v>14</v>
      </c>
      <c r="F2552" t="s" s="10">
        <v>14</v>
      </c>
      <c r="G2552" t="s" s="11">
        <v>14</v>
      </c>
      <c r="H2552" t="s" s="10">
        <v>14</v>
      </c>
      <c r="I2552" t="s" s="11">
        <v>14</v>
      </c>
      <c r="J2552" t="s" s="11">
        <v>14</v>
      </c>
      <c r="K2552" t="s" s="12">
        <v>14</v>
      </c>
      <c r="L2552" t="s" s="12">
        <v>14</v>
      </c>
      <c r="M2552" t="s" s="10">
        <v>14</v>
      </c>
      <c r="N2552" t="s" s="11">
        <v>14</v>
      </c>
      <c r="O2552" t="s" s="8">
        <v>14</v>
      </c>
      <c r="P2552" t="s" s="8">
        <v>14</v>
      </c>
      <c r="Q2552" t="s" s="12">
        <v>14</v>
      </c>
      <c r="R2552" t="s" s="12">
        <v>14</v>
      </c>
    </row>
    <row r="2553" s="2" customFormat="1" ht="13.5" customHeight="1">
      <c r="B2553" s="13"/>
      <c r="C2553" t="s" s="9">
        <v>30</v>
      </c>
      <c r="D2553" t="s" s="8">
        <v>900</v>
      </c>
      <c r="E2553" t="s" s="9">
        <v>900</v>
      </c>
      <c r="F2553" t="s" s="10">
        <v>148</v>
      </c>
      <c r="G2553" t="s" s="11">
        <v>148</v>
      </c>
      <c r="H2553" t="s" s="10">
        <v>148</v>
      </c>
      <c r="I2553" t="s" s="11">
        <v>148</v>
      </c>
      <c r="J2553" t="s" s="11">
        <v>20</v>
      </c>
      <c r="K2553" t="s" s="16">
        <f>HYPERLINK("http://csr.bu.edu/ftp/asl/asllvd/demos/verify_start_end_handshape_annotations//test_auto_move//signs_mov/5392.mov","MOV")</f>
        <v>21</v>
      </c>
      <c r="L2553" t="s" s="16">
        <f>HYPERLINK("http://csr.bu.edu/ftp/asl/asllvd/demos/verify_start_end_handshape_annotations//test_auto_move//signs_mov_separ_signers/Brady_5392.mov","MOV")</f>
        <v>21</v>
      </c>
      <c r="M2553" t="s" s="10">
        <v>31</v>
      </c>
      <c r="N2553" s="17">
        <v>30</v>
      </c>
      <c r="O2553" s="18">
        <v>7055</v>
      </c>
      <c r="P2553" s="18">
        <v>7107</v>
      </c>
      <c r="Q2553" t="s" s="16">
        <f>HYPERLINK("http://secrets.rutgers.edu:8080/data/asl-ftp/asllvd/demos/verify_start_end_handshape_annotations//test_auto_move//signs_mov/5392.mov","MOV")</f>
        <v>21</v>
      </c>
      <c r="R2553" t="s" s="16">
        <f>HYPERLINK("http://secrets.rutgers.edu:8080/data/asl-ftp/asllvd/demos/verify_start_end_handshape_annotations//test_auto_move//signs_mov_separ_signers/Brady_5392.mov","MOV")</f>
        <v>21</v>
      </c>
    </row>
    <row r="2554" s="2" customFormat="1" ht="13.5" customHeight="1">
      <c r="B2554" t="s" s="8">
        <v>52</v>
      </c>
      <c r="C2554" t="s" s="9">
        <v>53</v>
      </c>
      <c r="D2554" t="s" s="8">
        <v>53</v>
      </c>
      <c r="E2554" t="s" s="9">
        <v>53</v>
      </c>
      <c r="F2554" t="s" s="10">
        <v>53</v>
      </c>
      <c r="G2554" t="s" s="11">
        <v>53</v>
      </c>
      <c r="H2554" t="s" s="10">
        <v>53</v>
      </c>
      <c r="I2554" t="s" s="11">
        <v>53</v>
      </c>
      <c r="J2554" t="s" s="11">
        <v>53</v>
      </c>
      <c r="K2554" t="s" s="12">
        <v>53</v>
      </c>
      <c r="L2554" t="s" s="12">
        <v>53</v>
      </c>
      <c r="M2554" t="s" s="10">
        <v>53</v>
      </c>
      <c r="N2554" t="s" s="11">
        <v>53</v>
      </c>
      <c r="O2554" t="s" s="8">
        <v>53</v>
      </c>
      <c r="P2554" t="s" s="8">
        <v>53</v>
      </c>
      <c r="Q2554" t="s" s="12">
        <v>53</v>
      </c>
      <c r="R2554" t="s" s="12">
        <v>53</v>
      </c>
    </row>
    <row r="2555" s="2" customFormat="1" ht="13.5" customHeight="1">
      <c r="B2555" s="13"/>
      <c r="C2555" t="s" s="9">
        <v>23</v>
      </c>
      <c r="D2555" t="s" s="8">
        <v>900</v>
      </c>
      <c r="E2555" t="s" s="9">
        <v>901</v>
      </c>
      <c r="F2555" t="s" s="10">
        <v>292</v>
      </c>
      <c r="G2555" t="s" s="11">
        <v>292</v>
      </c>
      <c r="H2555" t="s" s="10">
        <v>63</v>
      </c>
      <c r="I2555" t="s" s="11">
        <v>63</v>
      </c>
      <c r="J2555" t="s" s="11">
        <v>20</v>
      </c>
      <c r="K2555" t="s" s="16">
        <f>HYPERLINK("http://csr.bu.edu/ftp/asl/asllvd/demos/verify_start_end_handshape_annotations//test_auto_move//signs_mov/16542.mov","MOV")</f>
        <v>21</v>
      </c>
      <c r="L2555" t="s" s="16">
        <f>HYPERLINK("http://csr.bu.edu/ftp/asl/asllvd/demos/verify_start_end_handshape_annotations//test_auto_move//signs_mov_separ_signers/Tyler_16542.mov","MOV")</f>
        <v>21</v>
      </c>
      <c r="M2555" t="s" s="10">
        <v>125</v>
      </c>
      <c r="N2555" s="17">
        <v>5</v>
      </c>
      <c r="O2555" s="18">
        <v>1797</v>
      </c>
      <c r="P2555" s="18">
        <v>1865</v>
      </c>
      <c r="Q2555" t="s" s="16">
        <f>HYPERLINK("http://secrets.rutgers.edu:8080/data/asl-ftp/asllvd/demos/verify_start_end_handshape_annotations//test_auto_move//signs_mov/16542.mov","MOV")</f>
        <v>21</v>
      </c>
      <c r="R2555" t="s" s="16">
        <f>HYPERLINK("http://secrets.rutgers.edu:8080/data/asl-ftp/asllvd/demos/verify_start_end_handshape_annotations//test_auto_move//signs_mov_separ_signers/Tyler_16542.mov","MOV")</f>
        <v>21</v>
      </c>
    </row>
    <row r="2556" s="2" customFormat="1" ht="13.5" customHeight="1">
      <c r="B2556" t="s" s="8">
        <v>902</v>
      </c>
      <c r="C2556" t="s" s="9">
        <v>14</v>
      </c>
      <c r="D2556" t="s" s="8">
        <v>14</v>
      </c>
      <c r="E2556" t="s" s="9">
        <v>14</v>
      </c>
      <c r="F2556" t="s" s="10">
        <v>14</v>
      </c>
      <c r="G2556" t="s" s="11">
        <v>14</v>
      </c>
      <c r="H2556" t="s" s="10">
        <v>14</v>
      </c>
      <c r="I2556" t="s" s="11">
        <v>14</v>
      </c>
      <c r="J2556" t="s" s="11">
        <v>14</v>
      </c>
      <c r="K2556" t="s" s="12">
        <v>14</v>
      </c>
      <c r="L2556" t="s" s="12">
        <v>14</v>
      </c>
      <c r="M2556" t="s" s="10">
        <v>14</v>
      </c>
      <c r="N2556" t="s" s="11">
        <v>14</v>
      </c>
      <c r="O2556" t="s" s="8">
        <v>14</v>
      </c>
      <c r="P2556" t="s" s="8">
        <v>14</v>
      </c>
      <c r="Q2556" t="s" s="12">
        <v>14</v>
      </c>
      <c r="R2556" t="s" s="12">
        <v>14</v>
      </c>
    </row>
    <row r="2557" s="2" customFormat="1" ht="13.5" customHeight="1">
      <c r="B2557" s="13"/>
      <c r="C2557" t="s" s="9">
        <v>16</v>
      </c>
      <c r="D2557" t="s" s="8">
        <v>902</v>
      </c>
      <c r="E2557" t="s" s="9">
        <v>902</v>
      </c>
      <c r="F2557" s="19">
        <v>1</v>
      </c>
      <c r="G2557" s="17">
        <v>1</v>
      </c>
      <c r="H2557" s="19">
        <v>1</v>
      </c>
      <c r="I2557" s="17">
        <v>1</v>
      </c>
      <c r="J2557" t="s" s="11">
        <v>20</v>
      </c>
      <c r="K2557" s="15"/>
      <c r="L2557" t="s" s="16">
        <f>HYPERLINK("http://csr.bu.edu/ftp/asl/asllvd/demos/verify_start_end_handshape_annotations//test_auto_move//signs_mov_separ_signers/Liz_547.mov","MOV")</f>
        <v>21</v>
      </c>
      <c r="M2557" t="s" s="10">
        <v>84</v>
      </c>
      <c r="N2557" s="17">
        <v>3</v>
      </c>
      <c r="O2557" s="18">
        <v>407</v>
      </c>
      <c r="P2557" s="18">
        <v>441</v>
      </c>
      <c r="Q2557" s="15"/>
      <c r="R2557" t="s" s="16">
        <f>HYPERLINK("http://secrets.rutgers.edu:8080/data/asl-ftp/asllvd/demos/verify_start_end_handshape_annotations//test_auto_move//signs_mov_separ_signers/Liz_547.mov","MOV")</f>
        <v>21</v>
      </c>
    </row>
    <row r="2558" s="2" customFormat="1" ht="13.5" customHeight="1">
      <c r="B2558" s="13"/>
      <c r="C2558" t="s" s="9">
        <v>16</v>
      </c>
      <c r="D2558" t="s" s="8">
        <v>902</v>
      </c>
      <c r="E2558" t="s" s="9">
        <v>902</v>
      </c>
      <c r="F2558" s="19">
        <v>1</v>
      </c>
      <c r="G2558" s="17">
        <v>1</v>
      </c>
      <c r="H2558" s="19">
        <v>1</v>
      </c>
      <c r="I2558" s="17">
        <v>1</v>
      </c>
      <c r="J2558" t="s" s="11">
        <v>20</v>
      </c>
      <c r="K2558" s="15"/>
      <c r="L2558" t="s" s="16">
        <f>HYPERLINK("http://csr.bu.edu/ftp/asl/asllvd/demos/verify_start_end_handshape_annotations//test_auto_move//signs_mov_separ_signers/Liz_3599.mov","MOV")</f>
        <v>21</v>
      </c>
      <c r="M2558" t="s" s="10">
        <v>77</v>
      </c>
      <c r="N2558" s="17">
        <v>18</v>
      </c>
      <c r="O2558" s="18">
        <v>137</v>
      </c>
      <c r="P2558" s="18">
        <v>197</v>
      </c>
      <c r="Q2558" s="15"/>
      <c r="R2558" t="s" s="16">
        <f>HYPERLINK("http://secrets.rutgers.edu:8080/data/asl-ftp/asllvd/demos/verify_start_end_handshape_annotations//test_auto_move//signs_mov_separ_signers/Liz_3599.mov","MOV")</f>
        <v>21</v>
      </c>
    </row>
    <row r="2559" s="2" customFormat="1" ht="13.5" customHeight="1">
      <c r="B2559" s="13"/>
      <c r="C2559" t="s" s="9">
        <v>23</v>
      </c>
      <c r="D2559" t="s" s="8">
        <v>902</v>
      </c>
      <c r="E2559" t="s" s="9">
        <v>902</v>
      </c>
      <c r="F2559" s="19">
        <v>1</v>
      </c>
      <c r="G2559" s="17">
        <v>1</v>
      </c>
      <c r="H2559" s="19">
        <v>1</v>
      </c>
      <c r="I2559" s="17">
        <v>1</v>
      </c>
      <c r="J2559" t="s" s="11">
        <v>20</v>
      </c>
      <c r="K2559" s="15"/>
      <c r="L2559" t="s" s="16">
        <f>HYPERLINK("http://csr.bu.edu/ftp/asl/asllvd/demos/verify_start_end_handshape_annotations//test_auto_move//signs_mov_separ_signers/Tyler_547.mov","MOV")</f>
        <v>21</v>
      </c>
      <c r="M2559" t="s" s="10">
        <v>125</v>
      </c>
      <c r="N2559" s="17">
        <v>2</v>
      </c>
      <c r="O2559" s="18">
        <v>3425</v>
      </c>
      <c r="P2559" s="18">
        <v>3460</v>
      </c>
      <c r="Q2559" s="15"/>
      <c r="R2559" t="s" s="16">
        <f>HYPERLINK("http://secrets.rutgers.edu:8080/data/asl-ftp/asllvd/demos/verify_start_end_handshape_annotations//test_auto_move//signs_mov_separ_signers/Tyler_547.mov","MOV")</f>
        <v>21</v>
      </c>
    </row>
    <row r="2560" s="2" customFormat="1" ht="13.5" customHeight="1">
      <c r="B2560" s="13"/>
      <c r="C2560" t="s" s="9">
        <v>27</v>
      </c>
      <c r="D2560" t="s" s="8">
        <v>902</v>
      </c>
      <c r="E2560" t="s" s="9">
        <v>902</v>
      </c>
      <c r="F2560" s="19">
        <v>1</v>
      </c>
      <c r="G2560" s="17">
        <v>1</v>
      </c>
      <c r="H2560" s="19">
        <v>1</v>
      </c>
      <c r="I2560" s="17">
        <v>1</v>
      </c>
      <c r="J2560" t="s" s="11">
        <v>20</v>
      </c>
      <c r="K2560" s="15"/>
      <c r="L2560" t="s" s="16">
        <f>HYPERLINK("http://csr.bu.edu/ftp/asl/asllvd/demos/verify_start_end_handshape_annotations//test_auto_move//signs_mov_separ_signers/Naomi_547.mov","MOV")</f>
        <v>21</v>
      </c>
      <c r="M2560" t="s" s="10">
        <v>86</v>
      </c>
      <c r="N2560" s="17">
        <v>2</v>
      </c>
      <c r="O2560" s="18">
        <v>4790</v>
      </c>
      <c r="P2560" s="18">
        <v>4817</v>
      </c>
      <c r="Q2560" s="15"/>
      <c r="R2560" t="s" s="16">
        <f>HYPERLINK("http://secrets.rutgers.edu:8080/data/asl-ftp/asllvd/demos/verify_start_end_handshape_annotations//test_auto_move//signs_mov_separ_signers/Naomi_547.mov","MOV")</f>
        <v>21</v>
      </c>
    </row>
    <row r="2561" s="2" customFormat="1" ht="13.5" customHeight="1">
      <c r="B2561" s="13"/>
      <c r="C2561" t="s" s="9">
        <v>30</v>
      </c>
      <c r="D2561" t="s" s="8">
        <v>902</v>
      </c>
      <c r="E2561" t="s" s="9">
        <v>902</v>
      </c>
      <c r="F2561" s="19">
        <v>1</v>
      </c>
      <c r="G2561" s="17">
        <v>1</v>
      </c>
      <c r="H2561" s="19">
        <v>1</v>
      </c>
      <c r="I2561" s="17">
        <v>1</v>
      </c>
      <c r="J2561" t="s" s="11">
        <v>20</v>
      </c>
      <c r="K2561" t="s" s="16">
        <f>HYPERLINK("http://csr.bu.edu/ftp/asl/asllvd/demos/verify_start_end_handshape_annotations//test_auto_move//signs_mov/547_3599_5321_merged.mov","MOV")</f>
        <v>21</v>
      </c>
      <c r="L2561" t="s" s="16">
        <f>HYPERLINK("http://csr.bu.edu/ftp/asl/asllvd/demos/verify_start_end_handshape_annotations//test_auto_move//signs_mov_separ_signers/Brady_547.mov","MOV")</f>
        <v>21</v>
      </c>
      <c r="M2561" t="s" s="10">
        <v>31</v>
      </c>
      <c r="N2561" s="17">
        <v>29</v>
      </c>
      <c r="O2561" s="18">
        <v>13075</v>
      </c>
      <c r="P2561" s="18">
        <v>13104</v>
      </c>
      <c r="Q2561" t="s" s="16">
        <f>HYPERLINK("http://secrets.rutgers.edu:8080/data/asl-ftp/asllvd/demos/verify_start_end_handshape_annotations//test_auto_move//signs_mov/547_3599_5321_merged.mov","MOV")</f>
        <v>21</v>
      </c>
      <c r="R2561" t="s" s="16">
        <f>HYPERLINK("http://secrets.rutgers.edu:8080/data/asl-ftp/asllvd/demos/verify_start_end_handshape_annotations//test_auto_move//signs_mov_separ_signers/Brady_547.mov","MOV")</f>
        <v>21</v>
      </c>
    </row>
    <row r="2562" s="2" customFormat="1" ht="13.5" customHeight="1">
      <c r="B2562" s="13"/>
      <c r="C2562" t="s" s="9">
        <v>30</v>
      </c>
      <c r="D2562" t="s" s="8">
        <v>902</v>
      </c>
      <c r="E2562" t="s" s="9">
        <v>902</v>
      </c>
      <c r="F2562" s="19">
        <v>1</v>
      </c>
      <c r="G2562" s="17">
        <v>1</v>
      </c>
      <c r="H2562" s="19">
        <v>1</v>
      </c>
      <c r="I2562" s="17">
        <v>1</v>
      </c>
      <c r="J2562" t="s" s="11">
        <v>20</v>
      </c>
      <c r="K2562" s="15"/>
      <c r="L2562" t="s" s="16">
        <f>HYPERLINK("http://csr.bu.edu/ftp/asl/asllvd/demos/verify_start_end_handshape_annotations//test_auto_move//signs_mov_separ_signers/Brady_3599.mov","MOV")</f>
        <v>21</v>
      </c>
      <c r="M2562" t="s" s="10">
        <v>39</v>
      </c>
      <c r="N2562" s="17">
        <v>6</v>
      </c>
      <c r="O2562" s="18">
        <v>5641</v>
      </c>
      <c r="P2562" s="18">
        <v>5660</v>
      </c>
      <c r="Q2562" s="15"/>
      <c r="R2562" t="s" s="16">
        <f>HYPERLINK("http://secrets.rutgers.edu:8080/data/asl-ftp/asllvd/demos/verify_start_end_handshape_annotations//test_auto_move//signs_mov_separ_signers/Brady_3599.mov","MOV")</f>
        <v>21</v>
      </c>
    </row>
    <row r="2563" s="2" customFormat="1" ht="13.5" customHeight="1">
      <c r="B2563" s="13"/>
      <c r="C2563" t="s" s="9">
        <v>30</v>
      </c>
      <c r="D2563" t="s" s="8">
        <v>902</v>
      </c>
      <c r="E2563" t="s" s="9">
        <v>902</v>
      </c>
      <c r="F2563" s="19">
        <v>1</v>
      </c>
      <c r="G2563" s="17">
        <v>1</v>
      </c>
      <c r="H2563" s="19">
        <v>1</v>
      </c>
      <c r="I2563" s="17">
        <v>1</v>
      </c>
      <c r="J2563" t="s" s="11">
        <v>20</v>
      </c>
      <c r="K2563" s="15"/>
      <c r="L2563" t="s" s="16">
        <f>HYPERLINK("http://csr.bu.edu/ftp/asl/asllvd/demos/verify_start_end_handshape_annotations//test_auto_move//signs_mov_separ_signers/Brady_5321.mov","MOV")</f>
        <v>21</v>
      </c>
      <c r="M2563" t="s" s="10">
        <v>39</v>
      </c>
      <c r="N2563" s="17">
        <v>41</v>
      </c>
      <c r="O2563" s="18">
        <v>2445</v>
      </c>
      <c r="P2563" s="18">
        <v>2471</v>
      </c>
      <c r="Q2563" s="15"/>
      <c r="R2563" t="s" s="16">
        <f>HYPERLINK("http://secrets.rutgers.edu:8080/data/asl-ftp/asllvd/demos/verify_start_end_handshape_annotations//test_auto_move//signs_mov_separ_signers/Brady_5321.mov","MOV")</f>
        <v>21</v>
      </c>
    </row>
    <row r="2564" s="2" customFormat="1" ht="13.5" customHeight="1">
      <c r="B2564" s="13"/>
      <c r="C2564" t="s" s="9">
        <v>41</v>
      </c>
      <c r="D2564" t="s" s="8">
        <v>902</v>
      </c>
      <c r="E2564" t="s" s="9">
        <v>902</v>
      </c>
      <c r="F2564" s="19">
        <v>1</v>
      </c>
      <c r="G2564" s="17">
        <v>1</v>
      </c>
      <c r="H2564" s="19">
        <v>1</v>
      </c>
      <c r="I2564" s="17">
        <v>1</v>
      </c>
      <c r="J2564" t="s" s="11">
        <v>20</v>
      </c>
      <c r="K2564" s="15"/>
      <c r="L2564" t="s" s="16">
        <f>HYPERLINK("http://csr.bu.edu/ftp/asl/asllvd/demos/verify_start_end_handshape_annotations//test_auto_move//signs_mov_separ_signers/Lana_547.mov","MOV")</f>
        <v>21</v>
      </c>
      <c r="M2564" t="s" s="10">
        <v>42</v>
      </c>
      <c r="N2564" s="17">
        <v>6</v>
      </c>
      <c r="O2564" s="18">
        <v>470</v>
      </c>
      <c r="P2564" s="18">
        <v>482</v>
      </c>
      <c r="Q2564" s="15"/>
      <c r="R2564" t="s" s="16">
        <f>HYPERLINK("http://secrets.rutgers.edu:8080/data/asl-ftp/asllvd/demos/verify_start_end_handshape_annotations//test_auto_move//signs_mov_separ_signers/Lana_547.mov","MOV")</f>
        <v>21</v>
      </c>
    </row>
    <row r="2565" s="2" customFormat="1" ht="13.5" customHeight="1">
      <c r="B2565" s="13"/>
      <c r="C2565" t="s" s="9">
        <v>43</v>
      </c>
      <c r="D2565" t="s" s="8">
        <v>902</v>
      </c>
      <c r="E2565" t="s" s="9">
        <v>902</v>
      </c>
      <c r="F2565" s="19">
        <v>1</v>
      </c>
      <c r="G2565" s="17">
        <v>1</v>
      </c>
      <c r="H2565" s="19">
        <v>1</v>
      </c>
      <c r="I2565" s="17">
        <v>1</v>
      </c>
      <c r="J2565" t="s" s="11">
        <v>20</v>
      </c>
      <c r="K2565" s="15"/>
      <c r="L2565" t="s" s="16">
        <f>HYPERLINK("http://csr.bu.edu/ftp/asl/asllvd/demos/verify_start_end_handshape_annotations//test_auto_move//signs_mov_separ_signers/Dana_547.mov","MOV")</f>
        <v>21</v>
      </c>
      <c r="M2565" t="s" s="10">
        <v>44</v>
      </c>
      <c r="N2565" s="17">
        <v>10</v>
      </c>
      <c r="O2565" s="18">
        <v>699</v>
      </c>
      <c r="P2565" s="18">
        <v>745</v>
      </c>
      <c r="Q2565" s="15"/>
      <c r="R2565" t="s" s="16">
        <f>HYPERLINK("http://secrets.rutgers.edu:8080/data/asl-ftp/asllvd/demos/verify_start_end_handshape_annotations//test_auto_move//signs_mov_separ_signers/Dana_547.mov","MOV")</f>
        <v>21</v>
      </c>
    </row>
    <row r="2566" s="2" customFormat="1" ht="13.5" customHeight="1">
      <c r="B2566" t="s" s="8">
        <v>903</v>
      </c>
      <c r="C2566" t="s" s="9">
        <v>14</v>
      </c>
      <c r="D2566" t="s" s="8">
        <v>14</v>
      </c>
      <c r="E2566" t="s" s="9">
        <v>14</v>
      </c>
      <c r="F2566" t="s" s="10">
        <v>14</v>
      </c>
      <c r="G2566" t="s" s="11">
        <v>14</v>
      </c>
      <c r="H2566" t="s" s="10">
        <v>14</v>
      </c>
      <c r="I2566" t="s" s="11">
        <v>14</v>
      </c>
      <c r="J2566" t="s" s="11">
        <v>14</v>
      </c>
      <c r="K2566" t="s" s="12">
        <v>14</v>
      </c>
      <c r="L2566" t="s" s="12">
        <v>14</v>
      </c>
      <c r="M2566" t="s" s="10">
        <v>14</v>
      </c>
      <c r="N2566" t="s" s="11">
        <v>14</v>
      </c>
      <c r="O2566" t="s" s="8">
        <v>14</v>
      </c>
      <c r="P2566" t="s" s="8">
        <v>14</v>
      </c>
      <c r="Q2566" t="s" s="12">
        <v>14</v>
      </c>
      <c r="R2566" t="s" s="12">
        <v>14</v>
      </c>
    </row>
    <row r="2567" s="2" customFormat="1" ht="13.5" customHeight="1">
      <c r="B2567" s="13"/>
      <c r="C2567" t="s" s="9">
        <v>16</v>
      </c>
      <c r="D2567" t="s" s="8">
        <v>903</v>
      </c>
      <c r="E2567" t="s" s="9">
        <v>903</v>
      </c>
      <c r="F2567" t="s" s="10">
        <v>73</v>
      </c>
      <c r="G2567" t="s" s="11">
        <v>73</v>
      </c>
      <c r="H2567" t="s" s="10">
        <v>73</v>
      </c>
      <c r="I2567" t="s" s="11">
        <v>73</v>
      </c>
      <c r="J2567" t="s" s="11">
        <v>20</v>
      </c>
      <c r="K2567" s="15"/>
      <c r="L2567" t="s" s="16">
        <f>HYPERLINK("http://csr.bu.edu/ftp/asl/asllvd/demos/verify_start_end_handshape_annotations//test_auto_move//signs_mov_separ_signers/Liz_15597.mov","MOV")</f>
        <v>21</v>
      </c>
      <c r="M2567" t="s" s="10">
        <v>84</v>
      </c>
      <c r="N2567" s="17">
        <v>5</v>
      </c>
      <c r="O2567" s="18">
        <v>2600</v>
      </c>
      <c r="P2567" s="18">
        <v>2650</v>
      </c>
      <c r="Q2567" s="15"/>
      <c r="R2567" t="s" s="16">
        <f>HYPERLINK("http://secrets.rutgers.edu:8080/data/asl-ftp/asllvd/demos/verify_start_end_handshape_annotations//test_auto_move//signs_mov_separ_signers/Liz_15597.mov","MOV")</f>
        <v>21</v>
      </c>
    </row>
    <row r="2568" s="2" customFormat="1" ht="13.5" customHeight="1">
      <c r="B2568" s="13"/>
      <c r="C2568" t="s" s="9">
        <v>23</v>
      </c>
      <c r="D2568" t="s" s="8">
        <v>903</v>
      </c>
      <c r="E2568" t="s" s="9">
        <v>903</v>
      </c>
      <c r="F2568" t="s" s="10">
        <v>152</v>
      </c>
      <c r="G2568" t="s" s="11">
        <v>152</v>
      </c>
      <c r="H2568" t="s" s="10">
        <v>152</v>
      </c>
      <c r="I2568" t="s" s="11">
        <v>152</v>
      </c>
      <c r="J2568" t="s" s="11">
        <v>20</v>
      </c>
      <c r="K2568" t="s" s="16">
        <f>HYPERLINK("http://csr.bu.edu/ftp/asl/asllvd/demos/verify_start_end_handshape_annotations//test_auto_move//signs_mov/15597.mov","MOV")</f>
        <v>21</v>
      </c>
      <c r="L2568" t="s" s="16">
        <f>HYPERLINK("http://csr.bu.edu/ftp/asl/asllvd/demos/verify_start_end_handshape_annotations//test_auto_move//signs_mov_separ_signers/Tyler_15597.mov","MOV")</f>
        <v>21</v>
      </c>
      <c r="M2568" t="s" s="10">
        <v>125</v>
      </c>
      <c r="N2568" s="17">
        <v>5</v>
      </c>
      <c r="O2568" s="18">
        <v>2055</v>
      </c>
      <c r="P2568" s="18">
        <v>2090</v>
      </c>
      <c r="Q2568" t="s" s="16">
        <f>HYPERLINK("http://secrets.rutgers.edu:8080/data/asl-ftp/asllvd/demos/verify_start_end_handshape_annotations//test_auto_move//signs_mov/15597.mov","MOV")</f>
        <v>21</v>
      </c>
      <c r="R2568" t="s" s="16">
        <f>HYPERLINK("http://secrets.rutgers.edu:8080/data/asl-ftp/asllvd/demos/verify_start_end_handshape_annotations//test_auto_move//signs_mov_separ_signers/Tyler_15597.mov","MOV")</f>
        <v>21</v>
      </c>
    </row>
    <row r="2569" s="2" customFormat="1" ht="13.5" customHeight="1">
      <c r="B2569" s="13"/>
      <c r="C2569" t="s" s="9">
        <v>27</v>
      </c>
      <c r="D2569" t="s" s="8">
        <v>903</v>
      </c>
      <c r="E2569" t="s" s="9">
        <v>903</v>
      </c>
      <c r="F2569" t="s" s="10">
        <v>73</v>
      </c>
      <c r="G2569" t="s" s="11">
        <v>73</v>
      </c>
      <c r="H2569" t="s" s="10">
        <v>73</v>
      </c>
      <c r="I2569" t="s" s="11">
        <v>73</v>
      </c>
      <c r="J2569" t="s" s="11">
        <v>20</v>
      </c>
      <c r="K2569" s="15"/>
      <c r="L2569" t="s" s="16">
        <f>HYPERLINK("http://csr.bu.edu/ftp/asl/asllvd/demos/verify_start_end_handshape_annotations//test_auto_move//signs_mov_separ_signers/Naomi_15597.mov","MOV")</f>
        <v>21</v>
      </c>
      <c r="M2569" t="s" s="10">
        <v>86</v>
      </c>
      <c r="N2569" s="17">
        <v>5</v>
      </c>
      <c r="O2569" s="18">
        <v>2837</v>
      </c>
      <c r="P2569" s="18">
        <v>2862</v>
      </c>
      <c r="Q2569" s="15"/>
      <c r="R2569" t="s" s="16">
        <f>HYPERLINK("http://secrets.rutgers.edu:8080/data/asl-ftp/asllvd/demos/verify_start_end_handshape_annotations//test_auto_move//signs_mov_separ_signers/Naomi_15597.mov","MOV")</f>
        <v>21</v>
      </c>
    </row>
    <row r="2570" s="2" customFormat="1" ht="13.5" customHeight="1">
      <c r="B2570" s="13"/>
      <c r="C2570" t="s" s="9">
        <v>30</v>
      </c>
      <c r="D2570" t="s" s="8">
        <v>903</v>
      </c>
      <c r="E2570" t="s" s="9">
        <v>903</v>
      </c>
      <c r="F2570" t="s" s="10">
        <v>73</v>
      </c>
      <c r="G2570" t="s" s="11">
        <v>73</v>
      </c>
      <c r="H2570" t="s" s="10">
        <v>73</v>
      </c>
      <c r="I2570" t="s" s="11">
        <v>73</v>
      </c>
      <c r="J2570" t="s" s="11">
        <v>20</v>
      </c>
      <c r="K2570" s="15"/>
      <c r="L2570" t="s" s="16">
        <f>HYPERLINK("http://csr.bu.edu/ftp/asl/asllvd/demos/verify_start_end_handshape_annotations//test_auto_move//signs_mov_separ_signers/Brady_15597.mov","MOV")</f>
        <v>21</v>
      </c>
      <c r="M2570" t="s" s="10">
        <v>31</v>
      </c>
      <c r="N2570" s="17">
        <v>30</v>
      </c>
      <c r="O2570" s="18">
        <v>7344</v>
      </c>
      <c r="P2570" s="18">
        <v>7380</v>
      </c>
      <c r="Q2570" s="15"/>
      <c r="R2570" t="s" s="16">
        <f>HYPERLINK("http://secrets.rutgers.edu:8080/data/asl-ftp/asllvd/demos/verify_start_end_handshape_annotations//test_auto_move//signs_mov_separ_signers/Brady_15597.mov","MOV")</f>
        <v>21</v>
      </c>
    </row>
    <row r="2571" s="2" customFormat="1" ht="13.5" customHeight="1">
      <c r="B2571" t="s" s="8">
        <v>52</v>
      </c>
      <c r="C2571" t="s" s="9">
        <v>53</v>
      </c>
      <c r="D2571" t="s" s="8">
        <v>53</v>
      </c>
      <c r="E2571" t="s" s="9">
        <v>53</v>
      </c>
      <c r="F2571" t="s" s="10">
        <v>53</v>
      </c>
      <c r="G2571" t="s" s="11">
        <v>53</v>
      </c>
      <c r="H2571" t="s" s="10">
        <v>53</v>
      </c>
      <c r="I2571" t="s" s="11">
        <v>53</v>
      </c>
      <c r="J2571" t="s" s="11">
        <v>53</v>
      </c>
      <c r="K2571" t="s" s="12">
        <v>53</v>
      </c>
      <c r="L2571" t="s" s="12">
        <v>53</v>
      </c>
      <c r="M2571" t="s" s="10">
        <v>53</v>
      </c>
      <c r="N2571" t="s" s="11">
        <v>53</v>
      </c>
      <c r="O2571" t="s" s="8">
        <v>53</v>
      </c>
      <c r="P2571" t="s" s="8">
        <v>53</v>
      </c>
      <c r="Q2571" t="s" s="12">
        <v>53</v>
      </c>
      <c r="R2571" t="s" s="12">
        <v>53</v>
      </c>
    </row>
    <row r="2572" s="2" customFormat="1" ht="13.5" customHeight="1">
      <c r="B2572" s="13"/>
      <c r="C2572" t="s" s="9">
        <v>16</v>
      </c>
      <c r="D2572" t="s" s="8">
        <v>903</v>
      </c>
      <c r="E2572" t="s" s="9">
        <v>904</v>
      </c>
      <c r="F2572" s="19">
        <v>1</v>
      </c>
      <c r="G2572" s="17">
        <v>1</v>
      </c>
      <c r="H2572" s="19">
        <v>1</v>
      </c>
      <c r="I2572" s="17">
        <v>1</v>
      </c>
      <c r="J2572" t="s" s="11">
        <v>20</v>
      </c>
      <c r="K2572" s="15"/>
      <c r="L2572" t="s" s="16">
        <f>HYPERLINK("http://csr.bu.edu/ftp/asl/asllvd/demos/verify_start_end_handshape_annotations//test_auto_move//signs_mov_separ_signers/Liz_16357.mov","MOV")</f>
        <v>21</v>
      </c>
      <c r="M2572" t="s" s="10">
        <v>84</v>
      </c>
      <c r="N2572" s="17">
        <v>5</v>
      </c>
      <c r="O2572" s="18">
        <v>2980</v>
      </c>
      <c r="P2572" s="18">
        <v>3032</v>
      </c>
      <c r="Q2572" s="15"/>
      <c r="R2572" t="s" s="16">
        <f>HYPERLINK("http://secrets.rutgers.edu:8080/data/asl-ftp/asllvd/demos/verify_start_end_handshape_annotations//test_auto_move//signs_mov_separ_signers/Liz_16357.mov","MOV")</f>
        <v>21</v>
      </c>
    </row>
    <row r="2573" s="2" customFormat="1" ht="13.5" customHeight="1">
      <c r="B2573" s="13"/>
      <c r="C2573" t="s" s="9">
        <v>27</v>
      </c>
      <c r="D2573" t="s" s="8">
        <v>903</v>
      </c>
      <c r="E2573" t="s" s="9">
        <v>904</v>
      </c>
      <c r="F2573" s="19">
        <v>1</v>
      </c>
      <c r="G2573" s="17">
        <v>1</v>
      </c>
      <c r="H2573" s="19">
        <v>1</v>
      </c>
      <c r="I2573" s="17">
        <v>1</v>
      </c>
      <c r="J2573" t="s" s="11">
        <v>20</v>
      </c>
      <c r="K2573" t="s" s="16">
        <f>HYPERLINK("http://csr.bu.edu/ftp/asl/asllvd/demos/verify_start_end_handshape_annotations//test_auto_move//signs_mov/16357.mov","MOV")</f>
        <v>21</v>
      </c>
      <c r="L2573" t="s" s="16">
        <f>HYPERLINK("http://csr.bu.edu/ftp/asl/asllvd/demos/verify_start_end_handshape_annotations//test_auto_move//signs_mov_separ_signers/Naomi_16357.mov","MOV")</f>
        <v>21</v>
      </c>
      <c r="M2573" t="s" s="10">
        <v>86</v>
      </c>
      <c r="N2573" s="17">
        <v>5</v>
      </c>
      <c r="O2573" s="18">
        <v>4125</v>
      </c>
      <c r="P2573" s="18">
        <v>4156</v>
      </c>
      <c r="Q2573" t="s" s="16">
        <f>HYPERLINK("http://secrets.rutgers.edu:8080/data/asl-ftp/asllvd/demos/verify_start_end_handshape_annotations//test_auto_move//signs_mov/16357.mov","MOV")</f>
        <v>21</v>
      </c>
      <c r="R2573" t="s" s="16">
        <f>HYPERLINK("http://secrets.rutgers.edu:8080/data/asl-ftp/asllvd/demos/verify_start_end_handshape_annotations//test_auto_move//signs_mov_separ_signers/Naomi_16357.mov","MOV")</f>
        <v>21</v>
      </c>
    </row>
    <row r="2574" s="2" customFormat="1" ht="13.5" customHeight="1">
      <c r="B2574" s="13"/>
      <c r="C2574" t="s" s="9">
        <v>30</v>
      </c>
      <c r="D2574" t="s" s="8">
        <v>903</v>
      </c>
      <c r="E2574" t="s" s="9">
        <v>904</v>
      </c>
      <c r="F2574" s="19">
        <v>1</v>
      </c>
      <c r="G2574" s="17">
        <v>1</v>
      </c>
      <c r="H2574" s="19">
        <v>1</v>
      </c>
      <c r="I2574" s="17">
        <v>1</v>
      </c>
      <c r="J2574" t="s" s="11">
        <v>20</v>
      </c>
      <c r="K2574" s="15"/>
      <c r="L2574" t="s" s="16">
        <f>HYPERLINK("http://csr.bu.edu/ftp/asl/asllvd/demos/verify_start_end_handshape_annotations//test_auto_move//signs_mov_separ_signers/Brady_16357.mov","MOV")</f>
        <v>21</v>
      </c>
      <c r="M2574" t="s" s="10">
        <v>31</v>
      </c>
      <c r="N2574" s="17">
        <v>30</v>
      </c>
      <c r="O2574" s="18">
        <v>7582</v>
      </c>
      <c r="P2574" s="18">
        <v>7630</v>
      </c>
      <c r="Q2574" s="15"/>
      <c r="R2574" t="s" s="16">
        <f>HYPERLINK("http://secrets.rutgers.edu:8080/data/asl-ftp/asllvd/demos/verify_start_end_handshape_annotations//test_auto_move//signs_mov_separ_signers/Brady_16357.mov","MOV")</f>
        <v>21</v>
      </c>
    </row>
    <row r="2575" s="2" customFormat="1" ht="13.5" customHeight="1">
      <c r="B2575" t="s" s="8">
        <v>905</v>
      </c>
      <c r="C2575" t="s" s="9">
        <v>14</v>
      </c>
      <c r="D2575" t="s" s="8">
        <v>14</v>
      </c>
      <c r="E2575" t="s" s="9">
        <v>14</v>
      </c>
      <c r="F2575" t="s" s="10">
        <v>14</v>
      </c>
      <c r="G2575" t="s" s="11">
        <v>14</v>
      </c>
      <c r="H2575" t="s" s="10">
        <v>14</v>
      </c>
      <c r="I2575" t="s" s="11">
        <v>14</v>
      </c>
      <c r="J2575" t="s" s="11">
        <v>14</v>
      </c>
      <c r="K2575" t="s" s="12">
        <v>14</v>
      </c>
      <c r="L2575" t="s" s="12">
        <v>14</v>
      </c>
      <c r="M2575" t="s" s="10">
        <v>14</v>
      </c>
      <c r="N2575" t="s" s="11">
        <v>14</v>
      </c>
      <c r="O2575" t="s" s="8">
        <v>14</v>
      </c>
      <c r="P2575" t="s" s="8">
        <v>14</v>
      </c>
      <c r="Q2575" t="s" s="12">
        <v>14</v>
      </c>
      <c r="R2575" t="s" s="12">
        <v>14</v>
      </c>
    </row>
    <row r="2576" s="2" customFormat="1" ht="13.5" customHeight="1">
      <c r="B2576" s="13"/>
      <c r="C2576" t="s" s="9">
        <v>16</v>
      </c>
      <c r="D2576" t="s" s="8">
        <v>905</v>
      </c>
      <c r="E2576" t="s" s="9">
        <v>905</v>
      </c>
      <c r="F2576" s="19">
        <v>1</v>
      </c>
      <c r="G2576" t="s" s="11">
        <v>73</v>
      </c>
      <c r="H2576" s="19">
        <v>1</v>
      </c>
      <c r="I2576" t="s" s="11">
        <v>73</v>
      </c>
      <c r="J2576" t="s" s="11">
        <v>20</v>
      </c>
      <c r="K2576" s="15"/>
      <c r="L2576" t="s" s="16">
        <f>HYPERLINK("http://csr.bu.edu/ftp/asl/asllvd/demos/verify_start_end_handshape_annotations//test_auto_move//signs_mov_separ_signers/Liz_549.mov","MOV")</f>
        <v>21</v>
      </c>
      <c r="M2576" t="s" s="10">
        <v>84</v>
      </c>
      <c r="N2576" s="17">
        <v>5</v>
      </c>
      <c r="O2576" s="18">
        <v>3200</v>
      </c>
      <c r="P2576" s="18">
        <v>3255</v>
      </c>
      <c r="Q2576" s="15"/>
      <c r="R2576" t="s" s="16">
        <f>HYPERLINK("http://secrets.rutgers.edu:8080/data/asl-ftp/asllvd/demos/verify_start_end_handshape_annotations//test_auto_move//signs_mov_separ_signers/Liz_549.mov","MOV")</f>
        <v>21</v>
      </c>
    </row>
    <row r="2577" s="2" customFormat="1" ht="13.5" customHeight="1">
      <c r="B2577" s="13"/>
      <c r="C2577" t="s" s="9">
        <v>16</v>
      </c>
      <c r="D2577" t="s" s="8">
        <v>905</v>
      </c>
      <c r="E2577" t="s" s="9">
        <v>905</v>
      </c>
      <c r="F2577" s="19">
        <v>1</v>
      </c>
      <c r="G2577" t="s" s="11">
        <v>73</v>
      </c>
      <c r="H2577" s="19">
        <v>1</v>
      </c>
      <c r="I2577" t="s" s="11">
        <v>73</v>
      </c>
      <c r="J2577" t="s" s="11">
        <v>20</v>
      </c>
      <c r="K2577" s="15"/>
      <c r="L2577" t="s" s="16">
        <f>HYPERLINK("http://csr.bu.edu/ftp/asl/asllvd/demos/verify_start_end_handshape_annotations//test_auto_move//signs_mov_separ_signers/Liz_3603.mov","MOV")</f>
        <v>21</v>
      </c>
      <c r="M2577" t="s" s="10">
        <v>84</v>
      </c>
      <c r="N2577" s="17">
        <v>9</v>
      </c>
      <c r="O2577" s="18">
        <v>545</v>
      </c>
      <c r="P2577" s="18">
        <v>587</v>
      </c>
      <c r="Q2577" s="15"/>
      <c r="R2577" t="s" s="16">
        <f>HYPERLINK("http://secrets.rutgers.edu:8080/data/asl-ftp/asllvd/demos/verify_start_end_handshape_annotations//test_auto_move//signs_mov_separ_signers/Liz_3603.mov","MOV")</f>
        <v>21</v>
      </c>
    </row>
    <row r="2578" s="2" customFormat="1" ht="13.5" customHeight="1">
      <c r="B2578" s="13"/>
      <c r="C2578" t="s" s="9">
        <v>16</v>
      </c>
      <c r="D2578" t="s" s="8">
        <v>905</v>
      </c>
      <c r="E2578" t="s" s="9">
        <v>905</v>
      </c>
      <c r="F2578" s="19">
        <v>1</v>
      </c>
      <c r="G2578" t="s" s="11">
        <v>73</v>
      </c>
      <c r="H2578" s="19">
        <v>1</v>
      </c>
      <c r="I2578" t="s" s="11">
        <v>73</v>
      </c>
      <c r="J2578" t="s" s="11">
        <v>20</v>
      </c>
      <c r="K2578" s="15"/>
      <c r="L2578" t="s" s="16">
        <f>HYPERLINK("http://csr.bu.edu/ftp/asl/asllvd/demos/verify_start_end_handshape_annotations//test_auto_move//signs_mov_separ_signers/Liz_3839.mov","MOV")</f>
        <v>21</v>
      </c>
      <c r="M2578" t="s" s="10">
        <v>77</v>
      </c>
      <c r="N2578" s="17">
        <v>6</v>
      </c>
      <c r="O2578" s="18">
        <v>1688</v>
      </c>
      <c r="P2578" s="18">
        <v>1737</v>
      </c>
      <c r="Q2578" s="15"/>
      <c r="R2578" t="s" s="16">
        <f>HYPERLINK("http://secrets.rutgers.edu:8080/data/asl-ftp/asllvd/demos/verify_start_end_handshape_annotations//test_auto_move//signs_mov_separ_signers/Liz_3839.mov","MOV")</f>
        <v>21</v>
      </c>
    </row>
    <row r="2579" s="2" customFormat="1" ht="13.5" customHeight="1">
      <c r="B2579" s="13"/>
      <c r="C2579" t="s" s="9">
        <v>16</v>
      </c>
      <c r="D2579" t="s" s="8">
        <v>905</v>
      </c>
      <c r="E2579" t="s" s="9">
        <v>905</v>
      </c>
      <c r="F2579" s="19">
        <v>1</v>
      </c>
      <c r="G2579" t="s" s="11">
        <v>73</v>
      </c>
      <c r="H2579" s="19">
        <v>1</v>
      </c>
      <c r="I2579" t="s" s="11">
        <v>73</v>
      </c>
      <c r="J2579" t="s" s="11">
        <v>20</v>
      </c>
      <c r="K2579" s="15"/>
      <c r="L2579" t="s" s="16">
        <f>HYPERLINK("http://csr.bu.edu/ftp/asl/asllvd/demos/verify_start_end_handshape_annotations//test_auto_move//signs_mov_separ_signers/Liz_3897.mov","MOV")</f>
        <v>21</v>
      </c>
      <c r="M2579" t="s" s="10">
        <v>77</v>
      </c>
      <c r="N2579" s="17">
        <v>25</v>
      </c>
      <c r="O2579" s="18">
        <v>1925</v>
      </c>
      <c r="P2579" s="18">
        <v>1995</v>
      </c>
      <c r="Q2579" s="15"/>
      <c r="R2579" t="s" s="16">
        <f>HYPERLINK("http://secrets.rutgers.edu:8080/data/asl-ftp/asllvd/demos/verify_start_end_handshape_annotations//test_auto_move//signs_mov_separ_signers/Liz_3897.mov","MOV")</f>
        <v>21</v>
      </c>
    </row>
    <row r="2580" s="2" customFormat="1" ht="13.5" customHeight="1">
      <c r="B2580" s="13"/>
      <c r="C2580" t="s" s="9">
        <v>23</v>
      </c>
      <c r="D2580" t="s" s="8">
        <v>905</v>
      </c>
      <c r="E2580" t="s" s="9">
        <v>906</v>
      </c>
      <c r="F2580" s="19">
        <v>1</v>
      </c>
      <c r="G2580" t="s" s="11">
        <v>73</v>
      </c>
      <c r="H2580" t="s" s="10">
        <v>268</v>
      </c>
      <c r="I2580" t="s" s="11">
        <v>73</v>
      </c>
      <c r="J2580" t="s" s="11">
        <v>20</v>
      </c>
      <c r="K2580" s="15"/>
      <c r="L2580" t="s" s="16">
        <f>HYPERLINK("http://csr.bu.edu/ftp/asl/asllvd/demos/verify_start_end_handshape_annotations//test_auto_move//signs_mov_separ_signers/Tyler_549.mov","MOV")</f>
        <v>21</v>
      </c>
      <c r="M2580" t="s" s="10">
        <v>125</v>
      </c>
      <c r="N2580" s="17">
        <v>5</v>
      </c>
      <c r="O2580" s="18">
        <v>2727</v>
      </c>
      <c r="P2580" s="18">
        <v>2780</v>
      </c>
      <c r="Q2580" s="15"/>
      <c r="R2580" t="s" s="16">
        <f>HYPERLINK("http://secrets.rutgers.edu:8080/data/asl-ftp/asllvd/demos/verify_start_end_handshape_annotations//test_auto_move//signs_mov_separ_signers/Tyler_549.mov","MOV")</f>
        <v>21</v>
      </c>
    </row>
    <row r="2581" s="2" customFormat="1" ht="13.5" customHeight="1">
      <c r="B2581" s="13"/>
      <c r="C2581" t="s" s="9">
        <v>23</v>
      </c>
      <c r="D2581" t="s" s="8">
        <v>905</v>
      </c>
      <c r="E2581" t="s" s="9">
        <v>905</v>
      </c>
      <c r="F2581" s="19">
        <v>1</v>
      </c>
      <c r="G2581" t="s" s="11">
        <v>73</v>
      </c>
      <c r="H2581" s="19">
        <v>1</v>
      </c>
      <c r="I2581" t="s" s="11">
        <v>73</v>
      </c>
      <c r="J2581" t="s" s="11">
        <v>20</v>
      </c>
      <c r="K2581" t="s" s="16">
        <f>HYPERLINK("http://csr.bu.edu/ftp/asl/asllvd/demos/verify_start_end_handshape_annotations//test_auto_move//signs_mov/549_3603_3839_3897_merged.mov","MOV")</f>
        <v>21</v>
      </c>
      <c r="L2581" t="s" s="16">
        <f>HYPERLINK("http://csr.bu.edu/ftp/asl/asllvd/demos/verify_start_end_handshape_annotations//test_auto_move//signs_mov_separ_signers/Tyler_3603.mov","MOV")</f>
        <v>21</v>
      </c>
      <c r="M2581" t="s" s="10">
        <v>125</v>
      </c>
      <c r="N2581" s="17">
        <v>9</v>
      </c>
      <c r="O2581" s="18">
        <v>225</v>
      </c>
      <c r="P2581" s="18">
        <v>270</v>
      </c>
      <c r="Q2581" t="s" s="16">
        <f>HYPERLINK("http://secrets.rutgers.edu:8080/data/asl-ftp/asllvd/demos/verify_start_end_handshape_annotations//test_auto_move//signs_mov/549_3603_3839_3897_merged.mov","MOV")</f>
        <v>21</v>
      </c>
      <c r="R2581" t="s" s="16">
        <f>HYPERLINK("http://secrets.rutgers.edu:8080/data/asl-ftp/asllvd/demos/verify_start_end_handshape_annotations//test_auto_move//signs_mov_separ_signers/Tyler_3603.mov","MOV")</f>
        <v>21</v>
      </c>
    </row>
    <row r="2582" s="2" customFormat="1" ht="13.5" customHeight="1">
      <c r="B2582" s="13"/>
      <c r="C2582" t="s" s="9">
        <v>27</v>
      </c>
      <c r="D2582" t="s" s="8">
        <v>905</v>
      </c>
      <c r="E2582" t="s" s="9">
        <v>905</v>
      </c>
      <c r="F2582" s="19">
        <v>1</v>
      </c>
      <c r="G2582" t="s" s="11">
        <v>73</v>
      </c>
      <c r="H2582" s="19">
        <v>1</v>
      </c>
      <c r="I2582" t="s" s="11">
        <v>73</v>
      </c>
      <c r="J2582" t="s" s="11">
        <v>20</v>
      </c>
      <c r="K2582" s="15"/>
      <c r="L2582" t="s" s="16">
        <f>HYPERLINK("http://csr.bu.edu/ftp/asl/asllvd/demos/verify_start_end_handshape_annotations//test_auto_move//signs_mov_separ_signers/Naomi_549.mov","MOV")</f>
        <v>21</v>
      </c>
      <c r="M2582" t="s" s="10">
        <v>86</v>
      </c>
      <c r="N2582" s="17">
        <v>5</v>
      </c>
      <c r="O2582" s="18">
        <v>4435</v>
      </c>
      <c r="P2582" s="18">
        <v>4470</v>
      </c>
      <c r="Q2582" s="15"/>
      <c r="R2582" t="s" s="16">
        <f>HYPERLINK("http://secrets.rutgers.edu:8080/data/asl-ftp/asllvd/demos/verify_start_end_handshape_annotations//test_auto_move//signs_mov_separ_signers/Naomi_549.mov","MOV")</f>
        <v>21</v>
      </c>
    </row>
    <row r="2583" s="2" customFormat="1" ht="13.5" customHeight="1">
      <c r="B2583" s="13"/>
      <c r="C2583" t="s" s="9">
        <v>27</v>
      </c>
      <c r="D2583" t="s" s="8">
        <v>905</v>
      </c>
      <c r="E2583" t="s" s="9">
        <v>905</v>
      </c>
      <c r="F2583" s="19">
        <v>1</v>
      </c>
      <c r="G2583" t="s" s="11">
        <v>73</v>
      </c>
      <c r="H2583" s="19">
        <v>1</v>
      </c>
      <c r="I2583" t="s" s="11">
        <v>73</v>
      </c>
      <c r="J2583" t="s" s="11">
        <v>20</v>
      </c>
      <c r="K2583" s="15"/>
      <c r="L2583" t="s" s="16">
        <f>HYPERLINK("http://csr.bu.edu/ftp/asl/asllvd/demos/verify_start_end_handshape_annotations//test_auto_move//signs_mov_separ_signers/Naomi_3603.mov","MOV")</f>
        <v>21</v>
      </c>
      <c r="M2583" t="s" s="10">
        <v>86</v>
      </c>
      <c r="N2583" s="17">
        <v>9</v>
      </c>
      <c r="O2583" s="18">
        <v>480</v>
      </c>
      <c r="P2583" s="18">
        <v>515</v>
      </c>
      <c r="Q2583" s="15"/>
      <c r="R2583" t="s" s="16">
        <f>HYPERLINK("http://secrets.rutgers.edu:8080/data/asl-ftp/asllvd/demos/verify_start_end_handshape_annotations//test_auto_move//signs_mov_separ_signers/Naomi_3603.mov","MOV")</f>
        <v>21</v>
      </c>
    </row>
    <row r="2584" s="2" customFormat="1" ht="13.5" customHeight="1">
      <c r="B2584" s="13"/>
      <c r="C2584" t="s" s="9">
        <v>30</v>
      </c>
      <c r="D2584" t="s" s="8">
        <v>905</v>
      </c>
      <c r="E2584" t="s" s="9">
        <v>905</v>
      </c>
      <c r="F2584" s="19">
        <v>1</v>
      </c>
      <c r="G2584" t="s" s="11">
        <v>73</v>
      </c>
      <c r="H2584" s="19">
        <v>1</v>
      </c>
      <c r="I2584" t="s" s="11">
        <v>73</v>
      </c>
      <c r="J2584" t="s" s="11">
        <v>20</v>
      </c>
      <c r="K2584" s="15"/>
      <c r="L2584" t="s" s="16">
        <f>HYPERLINK("http://csr.bu.edu/ftp/asl/asllvd/demos/verify_start_end_handshape_annotations//test_auto_move//signs_mov_separ_signers/Brady_549.mov","MOV")</f>
        <v>21</v>
      </c>
      <c r="M2584" t="s" s="10">
        <v>31</v>
      </c>
      <c r="N2584" s="17">
        <v>12</v>
      </c>
      <c r="O2584" s="18">
        <v>1147</v>
      </c>
      <c r="P2584" s="18">
        <v>1177</v>
      </c>
      <c r="Q2584" s="15"/>
      <c r="R2584" t="s" s="16">
        <f>HYPERLINK("http://secrets.rutgers.edu:8080/data/asl-ftp/asllvd/demos/verify_start_end_handshape_annotations//test_auto_move//signs_mov_separ_signers/Brady_549.mov","MOV")</f>
        <v>21</v>
      </c>
    </row>
    <row r="2585" s="2" customFormat="1" ht="13.5" customHeight="1">
      <c r="B2585" s="13"/>
      <c r="C2585" t="s" s="9">
        <v>30</v>
      </c>
      <c r="D2585" t="s" s="8">
        <v>905</v>
      </c>
      <c r="E2585" t="s" s="9">
        <v>905</v>
      </c>
      <c r="F2585" s="19">
        <v>1</v>
      </c>
      <c r="G2585" t="s" s="11">
        <v>73</v>
      </c>
      <c r="H2585" s="19">
        <v>1</v>
      </c>
      <c r="I2585" t="s" s="11">
        <v>73</v>
      </c>
      <c r="J2585" t="s" s="11">
        <v>20</v>
      </c>
      <c r="K2585" s="15"/>
      <c r="L2585" t="s" s="16">
        <f>HYPERLINK("http://csr.bu.edu/ftp/asl/asllvd/demos/verify_start_end_handshape_annotations//test_auto_move//signs_mov_separ_signers/Brady_3603.mov","MOV")</f>
        <v>21</v>
      </c>
      <c r="M2585" t="s" s="10">
        <v>31</v>
      </c>
      <c r="N2585" s="17">
        <v>25</v>
      </c>
      <c r="O2585" s="18">
        <v>6073</v>
      </c>
      <c r="P2585" s="18">
        <v>6110</v>
      </c>
      <c r="Q2585" s="15"/>
      <c r="R2585" t="s" s="16">
        <f>HYPERLINK("http://secrets.rutgers.edu:8080/data/asl-ftp/asllvd/demos/verify_start_end_handshape_annotations//test_auto_move//signs_mov_separ_signers/Brady_3603.mov","MOV")</f>
        <v>21</v>
      </c>
    </row>
    <row r="2586" s="2" customFormat="1" ht="13.5" customHeight="1">
      <c r="B2586" s="13"/>
      <c r="C2586" t="s" s="9">
        <v>30</v>
      </c>
      <c r="D2586" t="s" s="8">
        <v>905</v>
      </c>
      <c r="E2586" t="s" s="9">
        <v>905</v>
      </c>
      <c r="F2586" s="19">
        <v>1</v>
      </c>
      <c r="G2586" t="s" s="11">
        <v>73</v>
      </c>
      <c r="H2586" t="s" s="10">
        <v>268</v>
      </c>
      <c r="I2586" t="s" s="11">
        <v>73</v>
      </c>
      <c r="J2586" t="s" s="11">
        <v>20</v>
      </c>
      <c r="K2586" s="15"/>
      <c r="L2586" t="s" s="16">
        <f>HYPERLINK("http://csr.bu.edu/ftp/asl/asllvd/demos/verify_start_end_handshape_annotations//test_auto_move//signs_mov_separ_signers/Brady_3839.mov","MOV")</f>
        <v>21</v>
      </c>
      <c r="M2586" t="s" s="10">
        <v>31</v>
      </c>
      <c r="N2586" s="17">
        <v>30</v>
      </c>
      <c r="O2586" s="18">
        <v>7908</v>
      </c>
      <c r="P2586" s="18">
        <v>7937</v>
      </c>
      <c r="Q2586" s="15"/>
      <c r="R2586" t="s" s="16">
        <f>HYPERLINK("http://secrets.rutgers.edu:8080/data/asl-ftp/asllvd/demos/verify_start_end_handshape_annotations//test_auto_move//signs_mov_separ_signers/Brady_3839.mov","MOV")</f>
        <v>21</v>
      </c>
    </row>
    <row r="2587" s="2" customFormat="1" ht="13.5" customHeight="1">
      <c r="B2587" s="13"/>
      <c r="C2587" t="s" s="9">
        <v>30</v>
      </c>
      <c r="D2587" t="s" s="8">
        <v>905</v>
      </c>
      <c r="E2587" t="s" s="9">
        <v>905</v>
      </c>
      <c r="F2587" s="19">
        <v>1</v>
      </c>
      <c r="G2587" t="s" s="11">
        <v>73</v>
      </c>
      <c r="H2587" s="19">
        <v>1</v>
      </c>
      <c r="I2587" t="s" s="11">
        <v>73</v>
      </c>
      <c r="J2587" t="s" s="11">
        <v>20</v>
      </c>
      <c r="K2587" s="15"/>
      <c r="L2587" t="s" s="16">
        <f>HYPERLINK("http://csr.bu.edu/ftp/asl/asllvd/demos/verify_start_end_handshape_annotations//test_auto_move//signs_mov_separ_signers/Brady_3897.mov","MOV")</f>
        <v>21</v>
      </c>
      <c r="M2587" t="s" s="10">
        <v>31</v>
      </c>
      <c r="N2587" s="17">
        <v>31</v>
      </c>
      <c r="O2587" s="18">
        <v>7629</v>
      </c>
      <c r="P2587" s="18">
        <v>7661</v>
      </c>
      <c r="Q2587" s="15"/>
      <c r="R2587" t="s" s="16">
        <f>HYPERLINK("http://secrets.rutgers.edu:8080/data/asl-ftp/asllvd/demos/verify_start_end_handshape_annotations//test_auto_move//signs_mov_separ_signers/Brady_3897.mov","MOV")</f>
        <v>21</v>
      </c>
    </row>
    <row r="2588" s="2" customFormat="1" ht="13.5" customHeight="1">
      <c r="B2588" t="s" s="8">
        <v>907</v>
      </c>
      <c r="C2588" t="s" s="9">
        <v>14</v>
      </c>
      <c r="D2588" t="s" s="8">
        <v>14</v>
      </c>
      <c r="E2588" t="s" s="9">
        <v>14</v>
      </c>
      <c r="F2588" t="s" s="10">
        <v>14</v>
      </c>
      <c r="G2588" t="s" s="11">
        <v>14</v>
      </c>
      <c r="H2588" t="s" s="10">
        <v>14</v>
      </c>
      <c r="I2588" t="s" s="11">
        <v>14</v>
      </c>
      <c r="J2588" t="s" s="11">
        <v>14</v>
      </c>
      <c r="K2588" t="s" s="12">
        <v>14</v>
      </c>
      <c r="L2588" t="s" s="12">
        <v>14</v>
      </c>
      <c r="M2588" t="s" s="10">
        <v>14</v>
      </c>
      <c r="N2588" t="s" s="11">
        <v>14</v>
      </c>
      <c r="O2588" t="s" s="8">
        <v>14</v>
      </c>
      <c r="P2588" t="s" s="8">
        <v>14</v>
      </c>
      <c r="Q2588" t="s" s="12">
        <v>14</v>
      </c>
      <c r="R2588" t="s" s="12">
        <v>14</v>
      </c>
    </row>
    <row r="2589" s="2" customFormat="1" ht="13.5" customHeight="1">
      <c r="B2589" s="13"/>
      <c r="C2589" t="s" s="9">
        <v>16</v>
      </c>
      <c r="D2589" t="s" s="8">
        <v>907</v>
      </c>
      <c r="E2589" t="s" s="9">
        <v>907</v>
      </c>
      <c r="F2589" t="s" s="10">
        <v>51</v>
      </c>
      <c r="G2589" t="s" s="11">
        <v>73</v>
      </c>
      <c r="H2589" t="s" s="10">
        <v>51</v>
      </c>
      <c r="I2589" t="s" s="11">
        <v>73</v>
      </c>
      <c r="J2589" t="s" s="11">
        <v>20</v>
      </c>
      <c r="K2589" s="15"/>
      <c r="L2589" t="s" s="16">
        <f>HYPERLINK("http://csr.bu.edu/ftp/asl/asllvd/demos/verify_start_end_handshape_annotations//test_auto_move//signs_mov_separ_signers/Liz_15531.mov","MOV")</f>
        <v>21</v>
      </c>
      <c r="M2589" t="s" s="10">
        <v>84</v>
      </c>
      <c r="N2589" s="17">
        <v>19</v>
      </c>
      <c r="O2589" s="18">
        <v>1627</v>
      </c>
      <c r="P2589" s="18">
        <v>1667</v>
      </c>
      <c r="Q2589" s="15"/>
      <c r="R2589" t="s" s="16">
        <f>HYPERLINK("http://secrets.rutgers.edu:8080/data/asl-ftp/asllvd/demos/verify_start_end_handshape_annotations//test_auto_move//signs_mov_separ_signers/Liz_15531.mov","MOV")</f>
        <v>21</v>
      </c>
    </row>
    <row r="2590" s="2" customFormat="1" ht="13.5" customHeight="1">
      <c r="B2590" s="13"/>
      <c r="C2590" t="s" s="9">
        <v>23</v>
      </c>
      <c r="D2590" t="s" s="8">
        <v>907</v>
      </c>
      <c r="E2590" t="s" s="9">
        <v>907</v>
      </c>
      <c r="F2590" t="s" s="10">
        <v>51</v>
      </c>
      <c r="G2590" t="s" s="11">
        <v>73</v>
      </c>
      <c r="H2590" t="s" s="10">
        <v>51</v>
      </c>
      <c r="I2590" t="s" s="11">
        <v>73</v>
      </c>
      <c r="J2590" t="s" s="11">
        <v>20</v>
      </c>
      <c r="K2590" t="s" s="16">
        <f>HYPERLINK("http://csr.bu.edu/ftp/asl/asllvd/demos/verify_start_end_handshape_annotations//test_auto_move//signs_mov/15531.mov","MOV")</f>
        <v>21</v>
      </c>
      <c r="L2590" t="s" s="16">
        <f>HYPERLINK("http://csr.bu.edu/ftp/asl/asllvd/demos/verify_start_end_handshape_annotations//test_auto_move//signs_mov_separ_signers/Tyler_15531.mov","MOV")</f>
        <v>21</v>
      </c>
      <c r="M2590" t="s" s="10">
        <v>125</v>
      </c>
      <c r="N2590" s="17">
        <v>18</v>
      </c>
      <c r="O2590" s="18">
        <v>1542</v>
      </c>
      <c r="P2590" s="18">
        <v>1590</v>
      </c>
      <c r="Q2590" t="s" s="16">
        <f>HYPERLINK("http://secrets.rutgers.edu:8080/data/asl-ftp/asllvd/demos/verify_start_end_handshape_annotations//test_auto_move//signs_mov/15531.mov","MOV")</f>
        <v>21</v>
      </c>
      <c r="R2590" t="s" s="16">
        <f>HYPERLINK("http://secrets.rutgers.edu:8080/data/asl-ftp/asllvd/demos/verify_start_end_handshape_annotations//test_auto_move//signs_mov_separ_signers/Tyler_15531.mov","MOV")</f>
        <v>21</v>
      </c>
    </row>
    <row r="2591" s="2" customFormat="1" ht="13.5" customHeight="1">
      <c r="B2591" s="13"/>
      <c r="C2591" t="s" s="9">
        <v>27</v>
      </c>
      <c r="D2591" t="s" s="8">
        <v>907</v>
      </c>
      <c r="E2591" t="s" s="9">
        <v>907</v>
      </c>
      <c r="F2591" t="s" s="10">
        <v>51</v>
      </c>
      <c r="G2591" t="s" s="11">
        <v>73</v>
      </c>
      <c r="H2591" t="s" s="10">
        <v>51</v>
      </c>
      <c r="I2591" t="s" s="11">
        <v>73</v>
      </c>
      <c r="J2591" t="s" s="11">
        <v>20</v>
      </c>
      <c r="K2591" s="15"/>
      <c r="L2591" t="s" s="16">
        <f>HYPERLINK("http://csr.bu.edu/ftp/asl/asllvd/demos/verify_start_end_handshape_annotations//test_auto_move//signs_mov_separ_signers/Naomi_15531.mov","MOV")</f>
        <v>21</v>
      </c>
      <c r="M2591" t="s" s="10">
        <v>86</v>
      </c>
      <c r="N2591" s="17">
        <v>19</v>
      </c>
      <c r="O2591" s="18">
        <v>1832</v>
      </c>
      <c r="P2591" s="18">
        <v>1875</v>
      </c>
      <c r="Q2591" s="15"/>
      <c r="R2591" t="s" s="16">
        <f>HYPERLINK("http://secrets.rutgers.edu:8080/data/asl-ftp/asllvd/demos/verify_start_end_handshape_annotations//test_auto_move//signs_mov_separ_signers/Naomi_15531.mov","MOV")</f>
        <v>21</v>
      </c>
    </row>
    <row r="2592" s="2" customFormat="1" ht="13.5" customHeight="1">
      <c r="B2592" s="13"/>
      <c r="C2592" t="s" s="9">
        <v>30</v>
      </c>
      <c r="D2592" t="s" s="8">
        <v>907</v>
      </c>
      <c r="E2592" t="s" s="9">
        <v>907</v>
      </c>
      <c r="F2592" t="s" s="10">
        <v>51</v>
      </c>
      <c r="G2592" t="s" s="11">
        <v>73</v>
      </c>
      <c r="H2592" t="s" s="10">
        <v>51</v>
      </c>
      <c r="I2592" t="s" s="11">
        <v>73</v>
      </c>
      <c r="J2592" t="s" s="11">
        <v>20</v>
      </c>
      <c r="K2592" s="15"/>
      <c r="L2592" t="s" s="16">
        <f>HYPERLINK("http://csr.bu.edu/ftp/asl/asllvd/demos/verify_start_end_handshape_annotations//test_auto_move//signs_mov_separ_signers/Brady_15531.mov","MOV")</f>
        <v>21</v>
      </c>
      <c r="M2592" t="s" s="10">
        <v>31</v>
      </c>
      <c r="N2592" s="17">
        <v>35</v>
      </c>
      <c r="O2592" s="18">
        <v>4811</v>
      </c>
      <c r="P2592" s="18">
        <v>4852</v>
      </c>
      <c r="Q2592" s="15"/>
      <c r="R2592" t="s" s="16">
        <f>HYPERLINK("http://secrets.rutgers.edu:8080/data/asl-ftp/asllvd/demos/verify_start_end_handshape_annotations//test_auto_move//signs_mov_separ_signers/Brady_15531.mov","MOV")</f>
        <v>21</v>
      </c>
    </row>
    <row r="2593" s="2" customFormat="1" ht="13.5" customHeight="1">
      <c r="B2593" t="s" s="8">
        <v>908</v>
      </c>
      <c r="C2593" t="s" s="9">
        <v>14</v>
      </c>
      <c r="D2593" t="s" s="8">
        <v>14</v>
      </c>
      <c r="E2593" t="s" s="9">
        <v>14</v>
      </c>
      <c r="F2593" t="s" s="10">
        <v>14</v>
      </c>
      <c r="G2593" t="s" s="11">
        <v>14</v>
      </c>
      <c r="H2593" t="s" s="10">
        <v>14</v>
      </c>
      <c r="I2593" t="s" s="11">
        <v>14</v>
      </c>
      <c r="J2593" t="s" s="11">
        <v>14</v>
      </c>
      <c r="K2593" t="s" s="12">
        <v>14</v>
      </c>
      <c r="L2593" t="s" s="12">
        <v>14</v>
      </c>
      <c r="M2593" t="s" s="10">
        <v>14</v>
      </c>
      <c r="N2593" t="s" s="11">
        <v>14</v>
      </c>
      <c r="O2593" t="s" s="8">
        <v>14</v>
      </c>
      <c r="P2593" t="s" s="8">
        <v>14</v>
      </c>
      <c r="Q2593" t="s" s="12">
        <v>14</v>
      </c>
      <c r="R2593" t="s" s="12">
        <v>14</v>
      </c>
    </row>
    <row r="2594" s="2" customFormat="1" ht="13.5" customHeight="1">
      <c r="B2594" s="13"/>
      <c r="C2594" t="s" s="9">
        <v>16</v>
      </c>
      <c r="D2594" t="s" s="8">
        <v>908</v>
      </c>
      <c r="E2594" t="s" s="9">
        <v>909</v>
      </c>
      <c r="F2594" t="s" s="10">
        <v>68</v>
      </c>
      <c r="G2594" t="s" s="11">
        <v>68</v>
      </c>
      <c r="H2594" s="19">
        <v>1</v>
      </c>
      <c r="I2594" s="17">
        <v>1</v>
      </c>
      <c r="J2594" t="s" s="11">
        <v>20</v>
      </c>
      <c r="K2594" s="15"/>
      <c r="L2594" t="s" s="16">
        <f>HYPERLINK("http://csr.bu.edu/ftp/asl/asllvd/demos/verify_start_end_handshape_annotations//test_auto_move//signs_mov_separ_signers/Liz_550.mov","MOV")</f>
        <v>21</v>
      </c>
      <c r="M2594" t="s" s="10">
        <v>84</v>
      </c>
      <c r="N2594" s="17">
        <v>6</v>
      </c>
      <c r="O2594" s="18">
        <v>302</v>
      </c>
      <c r="P2594" s="18">
        <v>360</v>
      </c>
      <c r="Q2594" s="15"/>
      <c r="R2594" t="s" s="16">
        <f>HYPERLINK("http://secrets.rutgers.edu:8080/data/asl-ftp/asllvd/demos/verify_start_end_handshape_annotations//test_auto_move//signs_mov_separ_signers/Liz_550.mov","MOV")</f>
        <v>21</v>
      </c>
    </row>
    <row r="2595" s="2" customFormat="1" ht="13.5" customHeight="1">
      <c r="B2595" s="13"/>
      <c r="C2595" t="s" s="9">
        <v>27</v>
      </c>
      <c r="D2595" t="s" s="8">
        <v>908</v>
      </c>
      <c r="E2595" t="s" s="9">
        <v>909</v>
      </c>
      <c r="F2595" t="s" s="10">
        <v>70</v>
      </c>
      <c r="G2595" t="s" s="11">
        <v>70</v>
      </c>
      <c r="H2595" s="19">
        <v>1</v>
      </c>
      <c r="I2595" s="17">
        <v>1</v>
      </c>
      <c r="J2595" t="s" s="11">
        <v>20</v>
      </c>
      <c r="K2595" t="s" s="16">
        <f>HYPERLINK("http://csr.bu.edu/ftp/asl/asllvd/demos/verify_start_end_handshape_annotations//test_auto_move//signs_mov/550.mov","MOV")</f>
        <v>21</v>
      </c>
      <c r="L2595" t="s" s="16">
        <f>HYPERLINK("http://csr.bu.edu/ftp/asl/asllvd/demos/verify_start_end_handshape_annotations//test_auto_move//signs_mov_separ_signers/Naomi_550.mov","MOV")</f>
        <v>21</v>
      </c>
      <c r="M2595" t="s" s="10">
        <v>86</v>
      </c>
      <c r="N2595" s="17">
        <v>5</v>
      </c>
      <c r="O2595" s="18">
        <v>4801</v>
      </c>
      <c r="P2595" s="18">
        <v>4835</v>
      </c>
      <c r="Q2595" t="s" s="16">
        <f>HYPERLINK("http://secrets.rutgers.edu:8080/data/asl-ftp/asllvd/demos/verify_start_end_handshape_annotations//test_auto_move//signs_mov/550.mov","MOV")</f>
        <v>21</v>
      </c>
      <c r="R2595" t="s" s="16">
        <f>HYPERLINK("http://secrets.rutgers.edu:8080/data/asl-ftp/asllvd/demos/verify_start_end_handshape_annotations//test_auto_move//signs_mov_separ_signers/Naomi_550.mov","MOV")</f>
        <v>21</v>
      </c>
    </row>
    <row r="2596" s="2" customFormat="1" ht="13.5" customHeight="1">
      <c r="B2596" s="13"/>
      <c r="C2596" t="s" s="9">
        <v>30</v>
      </c>
      <c r="D2596" t="s" s="8">
        <v>908</v>
      </c>
      <c r="E2596" t="s" s="9">
        <v>909</v>
      </c>
      <c r="F2596" t="s" s="10">
        <v>68</v>
      </c>
      <c r="G2596" t="s" s="11">
        <v>68</v>
      </c>
      <c r="H2596" s="19">
        <v>1</v>
      </c>
      <c r="I2596" s="17">
        <v>1</v>
      </c>
      <c r="J2596" t="s" s="11">
        <v>20</v>
      </c>
      <c r="K2596" s="15"/>
      <c r="L2596" t="s" s="16">
        <f>HYPERLINK("http://csr.bu.edu/ftp/asl/asllvd/demos/verify_start_end_handshape_annotations//test_auto_move//signs_mov_separ_signers/Brady_550.mov","MOV")</f>
        <v>21</v>
      </c>
      <c r="M2596" t="s" s="10">
        <v>31</v>
      </c>
      <c r="N2596" s="17">
        <v>30</v>
      </c>
      <c r="O2596" s="18">
        <v>8136</v>
      </c>
      <c r="P2596" s="18">
        <v>8170</v>
      </c>
      <c r="Q2596" s="15"/>
      <c r="R2596" t="s" s="16">
        <f>HYPERLINK("http://secrets.rutgers.edu:8080/data/asl-ftp/asllvd/demos/verify_start_end_handshape_annotations//test_auto_move//signs_mov_separ_signers/Brady_550.mov","MOV")</f>
        <v>21</v>
      </c>
    </row>
    <row r="2597" s="2" customFormat="1" ht="13.5" customHeight="1">
      <c r="B2597" t="s" s="8">
        <v>910</v>
      </c>
      <c r="C2597" t="s" s="9">
        <v>14</v>
      </c>
      <c r="D2597" t="s" s="8">
        <v>14</v>
      </c>
      <c r="E2597" t="s" s="9">
        <v>14</v>
      </c>
      <c r="F2597" t="s" s="10">
        <v>14</v>
      </c>
      <c r="G2597" t="s" s="11">
        <v>14</v>
      </c>
      <c r="H2597" t="s" s="10">
        <v>14</v>
      </c>
      <c r="I2597" t="s" s="11">
        <v>14</v>
      </c>
      <c r="J2597" t="s" s="11">
        <v>14</v>
      </c>
      <c r="K2597" t="s" s="12">
        <v>14</v>
      </c>
      <c r="L2597" t="s" s="12">
        <v>14</v>
      </c>
      <c r="M2597" t="s" s="10">
        <v>14</v>
      </c>
      <c r="N2597" t="s" s="11">
        <v>14</v>
      </c>
      <c r="O2597" t="s" s="8">
        <v>14</v>
      </c>
      <c r="P2597" t="s" s="8">
        <v>14</v>
      </c>
      <c r="Q2597" t="s" s="12">
        <v>14</v>
      </c>
      <c r="R2597" t="s" s="12">
        <v>14</v>
      </c>
    </row>
    <row r="2598" s="2" customFormat="1" ht="13.5" customHeight="1">
      <c r="B2598" s="13"/>
      <c r="C2598" t="s" s="9">
        <v>27</v>
      </c>
      <c r="D2598" t="s" s="8">
        <v>910</v>
      </c>
      <c r="E2598" t="s" s="9">
        <v>910</v>
      </c>
      <c r="F2598" t="s" s="10">
        <v>185</v>
      </c>
      <c r="G2598" s="14"/>
      <c r="H2598" t="s" s="10">
        <v>251</v>
      </c>
      <c r="I2598" s="14"/>
      <c r="J2598" t="s" s="11">
        <v>20</v>
      </c>
      <c r="K2598" t="s" s="16">
        <f>HYPERLINK("http://csr.bu.edu/ftp/asl/asllvd/demos/verify_start_end_handshape_annotations//test_auto_move//signs_mov/551.mov","MOV")</f>
        <v>21</v>
      </c>
      <c r="L2598" t="s" s="16">
        <f>HYPERLINK("http://csr.bu.edu/ftp/asl/asllvd/demos/verify_start_end_handshape_annotations//test_auto_move//signs_mov_separ_signers/Naomi_551.mov","MOV")</f>
        <v>21</v>
      </c>
      <c r="M2598" t="s" s="10">
        <v>86</v>
      </c>
      <c r="N2598" s="17">
        <v>6</v>
      </c>
      <c r="O2598" s="18">
        <v>370</v>
      </c>
      <c r="P2598" s="18">
        <v>390</v>
      </c>
      <c r="Q2598" t="s" s="16">
        <f>HYPERLINK("http://secrets.rutgers.edu:8080/data/asl-ftp/asllvd/demos/verify_start_end_handshape_annotations//test_auto_move//signs_mov/551.mov","MOV")</f>
        <v>21</v>
      </c>
      <c r="R2598" t="s" s="16">
        <f>HYPERLINK("http://secrets.rutgers.edu:8080/data/asl-ftp/asllvd/demos/verify_start_end_handshape_annotations//test_auto_move//signs_mov_separ_signers/Naomi_551.mov","MOV")</f>
        <v>21</v>
      </c>
    </row>
    <row r="2599" s="2" customFormat="1" ht="13.5" customHeight="1">
      <c r="B2599" s="13"/>
      <c r="C2599" t="s" s="9">
        <v>30</v>
      </c>
      <c r="D2599" t="s" s="8">
        <v>910</v>
      </c>
      <c r="E2599" t="s" s="9">
        <v>910</v>
      </c>
      <c r="F2599" t="s" s="10">
        <v>185</v>
      </c>
      <c r="G2599" s="14"/>
      <c r="H2599" t="s" s="10">
        <v>251</v>
      </c>
      <c r="I2599" s="14"/>
      <c r="J2599" t="s" s="11">
        <v>20</v>
      </c>
      <c r="K2599" s="15"/>
      <c r="L2599" t="s" s="16">
        <f>HYPERLINK("http://csr.bu.edu/ftp/asl/asllvd/demos/verify_start_end_handshape_annotations//test_auto_move//signs_mov_separ_signers/Brady_551.mov","MOV")</f>
        <v>21</v>
      </c>
      <c r="M2599" t="s" s="10">
        <v>31</v>
      </c>
      <c r="N2599" s="17">
        <v>30</v>
      </c>
      <c r="O2599" s="18">
        <v>8367</v>
      </c>
      <c r="P2599" s="18">
        <v>8398</v>
      </c>
      <c r="Q2599" s="15"/>
      <c r="R2599" t="s" s="16">
        <f>HYPERLINK("http://secrets.rutgers.edu:8080/data/asl-ftp/asllvd/demos/verify_start_end_handshape_annotations//test_auto_move//signs_mov_separ_signers/Brady_551.mov","MOV")</f>
        <v>21</v>
      </c>
    </row>
    <row r="2600" s="2" customFormat="1" ht="13.5" customHeight="1">
      <c r="B2600" t="s" s="8">
        <v>911</v>
      </c>
      <c r="C2600" t="s" s="9">
        <v>14</v>
      </c>
      <c r="D2600" t="s" s="8">
        <v>14</v>
      </c>
      <c r="E2600" t="s" s="9">
        <v>14</v>
      </c>
      <c r="F2600" t="s" s="10">
        <v>14</v>
      </c>
      <c r="G2600" t="s" s="11">
        <v>14</v>
      </c>
      <c r="H2600" t="s" s="10">
        <v>14</v>
      </c>
      <c r="I2600" t="s" s="11">
        <v>14</v>
      </c>
      <c r="J2600" t="s" s="11">
        <v>14</v>
      </c>
      <c r="K2600" t="s" s="12">
        <v>14</v>
      </c>
      <c r="L2600" t="s" s="12">
        <v>14</v>
      </c>
      <c r="M2600" t="s" s="10">
        <v>14</v>
      </c>
      <c r="N2600" t="s" s="11">
        <v>14</v>
      </c>
      <c r="O2600" t="s" s="8">
        <v>14</v>
      </c>
      <c r="P2600" t="s" s="8">
        <v>14</v>
      </c>
      <c r="Q2600" t="s" s="12">
        <v>14</v>
      </c>
      <c r="R2600" t="s" s="12">
        <v>14</v>
      </c>
    </row>
    <row r="2601" s="2" customFormat="1" ht="13.5" customHeight="1">
      <c r="B2601" s="13"/>
      <c r="C2601" t="s" s="9">
        <v>16</v>
      </c>
      <c r="D2601" t="s" s="8">
        <v>911</v>
      </c>
      <c r="E2601" t="s" s="9">
        <v>911</v>
      </c>
      <c r="F2601" t="s" s="10">
        <v>68</v>
      </c>
      <c r="G2601" s="14"/>
      <c r="H2601" t="s" s="10">
        <v>68</v>
      </c>
      <c r="I2601" s="14"/>
      <c r="J2601" t="s" s="11">
        <v>20</v>
      </c>
      <c r="K2601" s="15"/>
      <c r="L2601" t="s" s="16">
        <f>HYPERLINK("http://csr.bu.edu/ftp/asl/asllvd/demos/verify_start_end_handshape_annotations//test_auto_move//signs_mov_separ_signers/Liz_553.mov","MOV")</f>
        <v>21</v>
      </c>
      <c r="M2601" t="s" s="10">
        <v>84</v>
      </c>
      <c r="N2601" s="17">
        <v>6</v>
      </c>
      <c r="O2601" s="18">
        <v>1935</v>
      </c>
      <c r="P2601" s="18">
        <v>1975</v>
      </c>
      <c r="Q2601" s="15"/>
      <c r="R2601" t="s" s="16">
        <f>HYPERLINK("http://secrets.rutgers.edu:8080/data/asl-ftp/asllvd/demos/verify_start_end_handshape_annotations//test_auto_move//signs_mov_separ_signers/Liz_553.mov","MOV")</f>
        <v>21</v>
      </c>
    </row>
    <row r="2602" s="2" customFormat="1" ht="13.5" customHeight="1">
      <c r="B2602" s="13"/>
      <c r="C2602" t="s" s="9">
        <v>23</v>
      </c>
      <c r="D2602" t="s" s="8">
        <v>911</v>
      </c>
      <c r="E2602" t="s" s="9">
        <v>911</v>
      </c>
      <c r="F2602" t="s" s="10">
        <v>68</v>
      </c>
      <c r="G2602" s="14"/>
      <c r="H2602" t="s" s="10">
        <v>68</v>
      </c>
      <c r="I2602" s="14"/>
      <c r="J2602" t="s" s="11">
        <v>20</v>
      </c>
      <c r="K2602" s="15"/>
      <c r="L2602" t="s" s="16">
        <f>HYPERLINK("http://csr.bu.edu/ftp/asl/asllvd/demos/verify_start_end_handshape_annotations//test_auto_move//signs_mov_separ_signers/Tyler_553.mov","MOV")</f>
        <v>21</v>
      </c>
      <c r="M2602" t="s" s="10">
        <v>125</v>
      </c>
      <c r="N2602" s="17">
        <v>6</v>
      </c>
      <c r="O2602" s="18">
        <v>995</v>
      </c>
      <c r="P2602" s="18">
        <v>1040</v>
      </c>
      <c r="Q2602" s="15"/>
      <c r="R2602" t="s" s="16">
        <f>HYPERLINK("http://secrets.rutgers.edu:8080/data/asl-ftp/asllvd/demos/verify_start_end_handshape_annotations//test_auto_move//signs_mov_separ_signers/Tyler_553.mov","MOV")</f>
        <v>21</v>
      </c>
    </row>
    <row r="2603" s="2" customFormat="1" ht="13.5" customHeight="1">
      <c r="B2603" s="13"/>
      <c r="C2603" t="s" s="9">
        <v>27</v>
      </c>
      <c r="D2603" t="s" s="8">
        <v>911</v>
      </c>
      <c r="E2603" t="s" s="9">
        <v>911</v>
      </c>
      <c r="F2603" t="s" s="10">
        <v>68</v>
      </c>
      <c r="G2603" s="14"/>
      <c r="H2603" t="s" s="10">
        <v>68</v>
      </c>
      <c r="I2603" s="14"/>
      <c r="J2603" t="s" s="11">
        <v>20</v>
      </c>
      <c r="K2603" t="s" s="16">
        <f>HYPERLINK("http://csr.bu.edu/ftp/asl/asllvd/demos/verify_start_end_handshape_annotations//test_auto_move//signs_mov/553.mov","MOV")</f>
        <v>21</v>
      </c>
      <c r="L2603" t="s" s="16">
        <f>HYPERLINK("http://csr.bu.edu/ftp/asl/asllvd/demos/verify_start_end_handshape_annotations//test_auto_move//signs_mov_separ_signers/Naomi_553.mov","MOV")</f>
        <v>21</v>
      </c>
      <c r="M2603" t="s" s="10">
        <v>86</v>
      </c>
      <c r="N2603" s="17">
        <v>6</v>
      </c>
      <c r="O2603" s="18">
        <v>1155</v>
      </c>
      <c r="P2603" s="18">
        <v>1190</v>
      </c>
      <c r="Q2603" t="s" s="16">
        <f>HYPERLINK("http://secrets.rutgers.edu:8080/data/asl-ftp/asllvd/demos/verify_start_end_handshape_annotations//test_auto_move//signs_mov/553.mov","MOV")</f>
        <v>21</v>
      </c>
      <c r="R2603" t="s" s="16">
        <f>HYPERLINK("http://secrets.rutgers.edu:8080/data/asl-ftp/asllvd/demos/verify_start_end_handshape_annotations//test_auto_move//signs_mov_separ_signers/Naomi_553.mov","MOV")</f>
        <v>21</v>
      </c>
    </row>
    <row r="2604" s="2" customFormat="1" ht="13.5" customHeight="1">
      <c r="B2604" s="13"/>
      <c r="C2604" t="s" s="9">
        <v>30</v>
      </c>
      <c r="D2604" t="s" s="8">
        <v>911</v>
      </c>
      <c r="E2604" t="s" s="9">
        <v>911</v>
      </c>
      <c r="F2604" t="s" s="10">
        <v>68</v>
      </c>
      <c r="G2604" s="14"/>
      <c r="H2604" t="s" s="10">
        <v>68</v>
      </c>
      <c r="I2604" s="14"/>
      <c r="J2604" t="s" s="11">
        <v>20</v>
      </c>
      <c r="K2604" s="15"/>
      <c r="L2604" t="s" s="16">
        <f>HYPERLINK("http://csr.bu.edu/ftp/asl/asllvd/demos/verify_start_end_handshape_annotations//test_auto_move//signs_mov_separ_signers/Brady_553.mov","MOV")</f>
        <v>21</v>
      </c>
      <c r="M2604" t="s" s="10">
        <v>31</v>
      </c>
      <c r="N2604" s="17">
        <v>30</v>
      </c>
      <c r="O2604" s="18">
        <v>9380</v>
      </c>
      <c r="P2604" s="18">
        <v>9409</v>
      </c>
      <c r="Q2604" s="15"/>
      <c r="R2604" t="s" s="16">
        <f>HYPERLINK("http://secrets.rutgers.edu:8080/data/asl-ftp/asllvd/demos/verify_start_end_handshape_annotations//test_auto_move//signs_mov_separ_signers/Brady_553.mov","MOV")</f>
        <v>21</v>
      </c>
    </row>
    <row r="2605" s="2" customFormat="1" ht="13.5" customHeight="1">
      <c r="B2605" s="13"/>
      <c r="C2605" t="s" s="9">
        <v>41</v>
      </c>
      <c r="D2605" t="s" s="8">
        <v>911</v>
      </c>
      <c r="E2605" t="s" s="9">
        <v>911</v>
      </c>
      <c r="F2605" t="s" s="10">
        <v>68</v>
      </c>
      <c r="G2605" s="14"/>
      <c r="H2605" t="s" s="10">
        <v>68</v>
      </c>
      <c r="I2605" s="14"/>
      <c r="J2605" t="s" s="11">
        <v>20</v>
      </c>
      <c r="K2605" s="15"/>
      <c r="L2605" t="s" s="16">
        <f>HYPERLINK("http://csr.bu.edu/ftp/asl/asllvd/demos/verify_start_end_handshape_annotations//test_auto_move//signs_mov_separ_signers/Lana_553.mov","MOV")</f>
        <v>21</v>
      </c>
      <c r="M2605" t="s" s="10">
        <v>42</v>
      </c>
      <c r="N2605" s="17">
        <v>6</v>
      </c>
      <c r="O2605" s="18">
        <v>342</v>
      </c>
      <c r="P2605" s="18">
        <v>372</v>
      </c>
      <c r="Q2605" s="15"/>
      <c r="R2605" t="s" s="16">
        <f>HYPERLINK("http://secrets.rutgers.edu:8080/data/asl-ftp/asllvd/demos/verify_start_end_handshape_annotations//test_auto_move//signs_mov_separ_signers/Lana_553.mov","MOV")</f>
        <v>21</v>
      </c>
    </row>
    <row r="2606" s="2" customFormat="1" ht="13.5" customHeight="1">
      <c r="B2606" s="13"/>
      <c r="C2606" t="s" s="9">
        <v>43</v>
      </c>
      <c r="D2606" t="s" s="8">
        <v>911</v>
      </c>
      <c r="E2606" t="s" s="9">
        <v>912</v>
      </c>
      <c r="F2606" t="s" s="10">
        <v>68</v>
      </c>
      <c r="G2606" s="14"/>
      <c r="H2606" t="s" s="10">
        <v>68</v>
      </c>
      <c r="I2606" s="14"/>
      <c r="J2606" t="s" s="11">
        <v>20</v>
      </c>
      <c r="K2606" s="15"/>
      <c r="L2606" t="s" s="16">
        <f>HYPERLINK("http://csr.bu.edu/ftp/asl/asllvd/demos/verify_start_end_handshape_annotations//test_auto_move//signs_mov_separ_signers/Dana_553.mov","MOV")</f>
        <v>21</v>
      </c>
      <c r="M2606" t="s" s="10">
        <v>44</v>
      </c>
      <c r="N2606" s="17">
        <v>10</v>
      </c>
      <c r="O2606" s="18">
        <v>576</v>
      </c>
      <c r="P2606" s="18">
        <v>638</v>
      </c>
      <c r="Q2606" s="15"/>
      <c r="R2606" t="s" s="16">
        <f>HYPERLINK("http://secrets.rutgers.edu:8080/data/asl-ftp/asllvd/demos/verify_start_end_handshape_annotations//test_auto_move//signs_mov_separ_signers/Dana_553.mov","MOV")</f>
        <v>21</v>
      </c>
    </row>
    <row r="2607" s="2" customFormat="1" ht="13.5" customHeight="1">
      <c r="B2607" t="s" s="8">
        <v>911</v>
      </c>
      <c r="C2607" t="s" s="9">
        <v>14</v>
      </c>
      <c r="D2607" t="s" s="8">
        <v>14</v>
      </c>
      <c r="E2607" t="s" s="9">
        <v>14</v>
      </c>
      <c r="F2607" t="s" s="10">
        <v>14</v>
      </c>
      <c r="G2607" t="s" s="11">
        <v>14</v>
      </c>
      <c r="H2607" t="s" s="10">
        <v>14</v>
      </c>
      <c r="I2607" t="s" s="11">
        <v>14</v>
      </c>
      <c r="J2607" t="s" s="11">
        <v>14</v>
      </c>
      <c r="K2607" t="s" s="12">
        <v>14</v>
      </c>
      <c r="L2607" t="s" s="12">
        <v>14</v>
      </c>
      <c r="M2607" t="s" s="10">
        <v>14</v>
      </c>
      <c r="N2607" t="s" s="11">
        <v>14</v>
      </c>
      <c r="O2607" t="s" s="8">
        <v>14</v>
      </c>
      <c r="P2607" t="s" s="8">
        <v>14</v>
      </c>
      <c r="Q2607" t="s" s="12">
        <v>14</v>
      </c>
      <c r="R2607" t="s" s="12">
        <v>14</v>
      </c>
    </row>
    <row r="2608" s="2" customFormat="1" ht="13.5" customHeight="1">
      <c r="B2608" s="13"/>
      <c r="C2608" t="s" s="9">
        <v>16</v>
      </c>
      <c r="D2608" t="s" s="8">
        <v>913</v>
      </c>
      <c r="E2608" t="s" s="9">
        <v>914</v>
      </c>
      <c r="F2608" t="s" s="10">
        <v>150</v>
      </c>
      <c r="G2608" s="14"/>
      <c r="H2608" t="s" s="10">
        <v>150</v>
      </c>
      <c r="I2608" s="14"/>
      <c r="J2608" t="s" s="11">
        <v>20</v>
      </c>
      <c r="K2608" t="s" s="16">
        <f>HYPERLINK("http://csr.bu.edu/ftp/asl/asllvd/demos/verify_start_end_handshape_annotations//test_auto_move//signs_mov/3600.mov","MOV")</f>
        <v>21</v>
      </c>
      <c r="L2608" t="s" s="16">
        <f>HYPERLINK("http://csr.bu.edu/ftp/asl/asllvd/demos/verify_start_end_handshape_annotations//test_auto_move//signs_mov_separ_signers/Liz_3600.mov","MOV")</f>
        <v>21</v>
      </c>
      <c r="M2608" t="s" s="10">
        <v>84</v>
      </c>
      <c r="N2608" s="17">
        <v>6</v>
      </c>
      <c r="O2608" s="18">
        <v>1696</v>
      </c>
      <c r="P2608" s="18">
        <v>1745</v>
      </c>
      <c r="Q2608" t="s" s="16">
        <f>HYPERLINK("http://secrets.rutgers.edu:8080/data/asl-ftp/asllvd/demos/verify_start_end_handshape_annotations//test_auto_move//signs_mov/3600.mov","MOV")</f>
        <v>21</v>
      </c>
      <c r="R2608" t="s" s="16">
        <f>HYPERLINK("http://secrets.rutgers.edu:8080/data/asl-ftp/asllvd/demos/verify_start_end_handshape_annotations//test_auto_move//signs_mov_separ_signers/Liz_3600.mov","MOV")</f>
        <v>21</v>
      </c>
    </row>
    <row r="2609" s="2" customFormat="1" ht="13.5" customHeight="1">
      <c r="B2609" s="13"/>
      <c r="C2609" t="s" s="9">
        <v>27</v>
      </c>
      <c r="D2609" t="s" s="8">
        <v>913</v>
      </c>
      <c r="E2609" t="s" s="9">
        <v>914</v>
      </c>
      <c r="F2609" t="s" s="10">
        <v>150</v>
      </c>
      <c r="G2609" s="14"/>
      <c r="H2609" t="s" s="10">
        <v>150</v>
      </c>
      <c r="I2609" s="14"/>
      <c r="J2609" t="s" s="11">
        <v>20</v>
      </c>
      <c r="K2609" s="15"/>
      <c r="L2609" t="s" s="16">
        <f>HYPERLINK("http://csr.bu.edu/ftp/asl/asllvd/demos/verify_start_end_handshape_annotations//test_auto_move//signs_mov_separ_signers/Naomi_3600.mov","MOV")</f>
        <v>21</v>
      </c>
      <c r="M2609" t="s" s="10">
        <v>86</v>
      </c>
      <c r="N2609" s="17">
        <v>6</v>
      </c>
      <c r="O2609" s="18">
        <v>940</v>
      </c>
      <c r="P2609" s="18">
        <v>985</v>
      </c>
      <c r="Q2609" s="15"/>
      <c r="R2609" t="s" s="16">
        <f>HYPERLINK("http://secrets.rutgers.edu:8080/data/asl-ftp/asllvd/demos/verify_start_end_handshape_annotations//test_auto_move//signs_mov_separ_signers/Naomi_3600.mov","MOV")</f>
        <v>21</v>
      </c>
    </row>
    <row r="2610" s="2" customFormat="1" ht="13.5" customHeight="1">
      <c r="B2610" t="s" s="8">
        <v>915</v>
      </c>
      <c r="C2610" t="s" s="9">
        <v>14</v>
      </c>
      <c r="D2610" t="s" s="8">
        <v>14</v>
      </c>
      <c r="E2610" t="s" s="9">
        <v>14</v>
      </c>
      <c r="F2610" t="s" s="10">
        <v>14</v>
      </c>
      <c r="G2610" t="s" s="11">
        <v>14</v>
      </c>
      <c r="H2610" t="s" s="10">
        <v>14</v>
      </c>
      <c r="I2610" t="s" s="11">
        <v>14</v>
      </c>
      <c r="J2610" t="s" s="11">
        <v>14</v>
      </c>
      <c r="K2610" t="s" s="12">
        <v>14</v>
      </c>
      <c r="L2610" t="s" s="12">
        <v>14</v>
      </c>
      <c r="M2610" t="s" s="10">
        <v>14</v>
      </c>
      <c r="N2610" t="s" s="11">
        <v>14</v>
      </c>
      <c r="O2610" t="s" s="8">
        <v>14</v>
      </c>
      <c r="P2610" t="s" s="8">
        <v>14</v>
      </c>
      <c r="Q2610" t="s" s="12">
        <v>14</v>
      </c>
      <c r="R2610" t="s" s="12">
        <v>14</v>
      </c>
    </row>
    <row r="2611" s="2" customFormat="1" ht="13.5" customHeight="1">
      <c r="B2611" s="13"/>
      <c r="C2611" t="s" s="9">
        <v>16</v>
      </c>
      <c r="D2611" t="s" s="8">
        <v>915</v>
      </c>
      <c r="E2611" t="s" s="9">
        <v>916</v>
      </c>
      <c r="F2611" t="s" s="10">
        <v>187</v>
      </c>
      <c r="G2611" s="14"/>
      <c r="H2611" t="s" s="10">
        <v>187</v>
      </c>
      <c r="I2611" s="14"/>
      <c r="J2611" t="s" s="11">
        <v>20</v>
      </c>
      <c r="K2611" s="15"/>
      <c r="L2611" t="s" s="16">
        <f>HYPERLINK("http://csr.bu.edu/ftp/asl/asllvd/demos/verify_start_end_handshape_annotations//test_auto_move//signs_mov_separ_signers/Liz_15530.mov","MOV")</f>
        <v>21</v>
      </c>
      <c r="M2611" t="s" s="10">
        <v>84</v>
      </c>
      <c r="N2611" s="17">
        <v>2</v>
      </c>
      <c r="O2611" s="18">
        <v>547</v>
      </c>
      <c r="P2611" s="18">
        <v>600</v>
      </c>
      <c r="Q2611" s="15"/>
      <c r="R2611" t="s" s="16">
        <f>HYPERLINK("http://secrets.rutgers.edu:8080/data/asl-ftp/asllvd/demos/verify_start_end_handshape_annotations//test_auto_move//signs_mov_separ_signers/Liz_15530.mov","MOV")</f>
        <v>21</v>
      </c>
    </row>
    <row r="2612" s="2" customFormat="1" ht="13.5" customHeight="1">
      <c r="B2612" s="13"/>
      <c r="C2612" t="s" s="9">
        <v>16</v>
      </c>
      <c r="D2612" t="s" s="8">
        <v>915</v>
      </c>
      <c r="E2612" t="s" s="9">
        <v>915</v>
      </c>
      <c r="F2612" t="s" s="10">
        <v>185</v>
      </c>
      <c r="G2612" s="14"/>
      <c r="H2612" t="s" s="10">
        <v>185</v>
      </c>
      <c r="I2612" s="14"/>
      <c r="J2612" t="s" s="11">
        <v>20</v>
      </c>
      <c r="K2612" s="15"/>
      <c r="L2612" t="s" s="16">
        <f>HYPERLINK("http://csr.bu.edu/ftp/asl/asllvd/demos/verify_start_end_handshape_annotations//test_auto_move//signs_mov_separ_signers/Liz_15574.mov","MOV")</f>
        <v>21</v>
      </c>
      <c r="M2612" t="s" s="10">
        <v>84</v>
      </c>
      <c r="N2612" s="17">
        <v>21</v>
      </c>
      <c r="O2612" s="18">
        <v>442</v>
      </c>
      <c r="P2612" s="18">
        <v>465</v>
      </c>
      <c r="Q2612" s="15"/>
      <c r="R2612" t="s" s="16">
        <f>HYPERLINK("http://secrets.rutgers.edu:8080/data/asl-ftp/asllvd/demos/verify_start_end_handshape_annotations//test_auto_move//signs_mov_separ_signers/Liz_15574.mov","MOV")</f>
        <v>21</v>
      </c>
    </row>
    <row r="2613" s="2" customFormat="1" ht="13.5" customHeight="1">
      <c r="B2613" s="13"/>
      <c r="C2613" t="s" s="9">
        <v>23</v>
      </c>
      <c r="D2613" t="s" s="8">
        <v>915</v>
      </c>
      <c r="E2613" t="s" s="9">
        <v>917</v>
      </c>
      <c r="F2613" t="s" s="10">
        <v>187</v>
      </c>
      <c r="G2613" s="14"/>
      <c r="H2613" t="s" s="10">
        <v>187</v>
      </c>
      <c r="I2613" s="14"/>
      <c r="J2613" t="s" s="11">
        <v>20</v>
      </c>
      <c r="K2613" s="15"/>
      <c r="L2613" t="s" s="16">
        <f>HYPERLINK("http://csr.bu.edu/ftp/asl/asllvd/demos/verify_start_end_handshape_annotations//test_auto_move//signs_mov_separ_signers/Tyler_15530.mov","MOV")</f>
        <v>21</v>
      </c>
      <c r="M2613" t="s" s="10">
        <v>125</v>
      </c>
      <c r="N2613" s="17">
        <v>2</v>
      </c>
      <c r="O2613" s="18">
        <v>310</v>
      </c>
      <c r="P2613" s="18">
        <v>365</v>
      </c>
      <c r="Q2613" s="15"/>
      <c r="R2613" t="s" s="16">
        <f>HYPERLINK("http://secrets.rutgers.edu:8080/data/asl-ftp/asllvd/demos/verify_start_end_handshape_annotations//test_auto_move//signs_mov_separ_signers/Tyler_15530.mov","MOV")</f>
        <v>21</v>
      </c>
    </row>
    <row r="2614" s="2" customFormat="1" ht="13.5" customHeight="1">
      <c r="B2614" s="13"/>
      <c r="C2614" t="s" s="9">
        <v>27</v>
      </c>
      <c r="D2614" t="s" s="8">
        <v>915</v>
      </c>
      <c r="E2614" t="s" s="9">
        <v>918</v>
      </c>
      <c r="F2614" t="s" s="10">
        <v>187</v>
      </c>
      <c r="G2614" s="14"/>
      <c r="H2614" t="s" s="10">
        <v>187</v>
      </c>
      <c r="I2614" s="14"/>
      <c r="J2614" t="s" s="11">
        <v>20</v>
      </c>
      <c r="K2614" t="s" s="16">
        <f>HYPERLINK("http://csr.bu.edu/ftp/asl/asllvd/demos/verify_start_end_handshape_annotations//test_auto_move//signs_mov/15530_15574_merged.mov","MOV")</f>
        <v>21</v>
      </c>
      <c r="L2614" t="s" s="16">
        <f>HYPERLINK("http://csr.bu.edu/ftp/asl/asllvd/demos/verify_start_end_handshape_annotations//test_auto_move//signs_mov_separ_signers/Naomi_15530.mov","MOV")</f>
        <v>21</v>
      </c>
      <c r="M2614" t="s" s="10">
        <v>86</v>
      </c>
      <c r="N2614" s="17">
        <v>2</v>
      </c>
      <c r="O2614" s="18">
        <v>262</v>
      </c>
      <c r="P2614" s="18">
        <v>295</v>
      </c>
      <c r="Q2614" t="s" s="16">
        <f>HYPERLINK("http://secrets.rutgers.edu:8080/data/asl-ftp/asllvd/demos/verify_start_end_handshape_annotations//test_auto_move//signs_mov/15530_15574_merged.mov","MOV")</f>
        <v>21</v>
      </c>
      <c r="R2614" t="s" s="16">
        <f>HYPERLINK("http://secrets.rutgers.edu:8080/data/asl-ftp/asllvd/demos/verify_start_end_handshape_annotations//test_auto_move//signs_mov_separ_signers/Naomi_15530.mov","MOV")</f>
        <v>21</v>
      </c>
    </row>
    <row r="2615" s="2" customFormat="1" ht="13.5" customHeight="1">
      <c r="B2615" s="13"/>
      <c r="C2615" t="s" s="9">
        <v>27</v>
      </c>
      <c r="D2615" t="s" s="8">
        <v>915</v>
      </c>
      <c r="E2615" t="s" s="9">
        <v>915</v>
      </c>
      <c r="F2615" t="s" s="10">
        <v>185</v>
      </c>
      <c r="G2615" s="14"/>
      <c r="H2615" t="s" s="10">
        <v>185</v>
      </c>
      <c r="I2615" s="14"/>
      <c r="J2615" t="s" s="11">
        <v>20</v>
      </c>
      <c r="K2615" s="15"/>
      <c r="L2615" t="s" s="16">
        <f>HYPERLINK("http://csr.bu.edu/ftp/asl/asllvd/demos/verify_start_end_handshape_annotations//test_auto_move//signs_mov_separ_signers/Naomi_15574.mov","MOV")</f>
        <v>21</v>
      </c>
      <c r="M2615" t="s" s="10">
        <v>86</v>
      </c>
      <c r="N2615" s="17">
        <v>21</v>
      </c>
      <c r="O2615" s="18">
        <v>796</v>
      </c>
      <c r="P2615" s="18">
        <v>831</v>
      </c>
      <c r="Q2615" s="15"/>
      <c r="R2615" t="s" s="16">
        <f>HYPERLINK("http://secrets.rutgers.edu:8080/data/asl-ftp/asllvd/demos/verify_start_end_handshape_annotations//test_auto_move//signs_mov_separ_signers/Naomi_15574.mov","MOV")</f>
        <v>21</v>
      </c>
    </row>
    <row r="2616" s="2" customFormat="1" ht="13.5" customHeight="1">
      <c r="B2616" s="13"/>
      <c r="C2616" t="s" s="9">
        <v>30</v>
      </c>
      <c r="D2616" t="s" s="8">
        <v>915</v>
      </c>
      <c r="E2616" t="s" s="9">
        <v>918</v>
      </c>
      <c r="F2616" t="s" s="10">
        <v>187</v>
      </c>
      <c r="G2616" s="14"/>
      <c r="H2616" t="s" s="10">
        <v>187</v>
      </c>
      <c r="I2616" s="14"/>
      <c r="J2616" t="s" s="11">
        <v>20</v>
      </c>
      <c r="K2616" s="15"/>
      <c r="L2616" t="s" s="16">
        <f>HYPERLINK("http://csr.bu.edu/ftp/asl/asllvd/demos/verify_start_end_handshape_annotations//test_auto_move//signs_mov_separ_signers/Brady_15530.mov","MOV")</f>
        <v>21</v>
      </c>
      <c r="M2616" t="s" s="10">
        <v>31</v>
      </c>
      <c r="N2616" s="17">
        <v>29</v>
      </c>
      <c r="O2616" s="18">
        <v>5387</v>
      </c>
      <c r="P2616" s="18">
        <v>5428</v>
      </c>
      <c r="Q2616" s="15"/>
      <c r="R2616" t="s" s="16">
        <f>HYPERLINK("http://secrets.rutgers.edu:8080/data/asl-ftp/asllvd/demos/verify_start_end_handshape_annotations//test_auto_move//signs_mov_separ_signers/Brady_15530.mov","MOV")</f>
        <v>21</v>
      </c>
    </row>
    <row r="2617" s="2" customFormat="1" ht="13.5" customHeight="1">
      <c r="B2617" s="13"/>
      <c r="C2617" t="s" s="9">
        <v>30</v>
      </c>
      <c r="D2617" t="s" s="8">
        <v>915</v>
      </c>
      <c r="E2617" t="s" s="9">
        <v>916</v>
      </c>
      <c r="F2617" t="s" s="10">
        <v>185</v>
      </c>
      <c r="G2617" s="14"/>
      <c r="H2617" t="s" s="10">
        <v>185</v>
      </c>
      <c r="I2617" s="14"/>
      <c r="J2617" t="s" s="11">
        <v>20</v>
      </c>
      <c r="K2617" s="15"/>
      <c r="L2617" t="s" s="16">
        <f>HYPERLINK("http://csr.bu.edu/ftp/asl/asllvd/demos/verify_start_end_handshape_annotations//test_auto_move//signs_mov_separ_signers/Brady_15574.mov","MOV")</f>
        <v>21</v>
      </c>
      <c r="M2617" t="s" s="10">
        <v>31</v>
      </c>
      <c r="N2617" s="17">
        <v>36</v>
      </c>
      <c r="O2617" s="18">
        <v>7270</v>
      </c>
      <c r="P2617" s="18">
        <v>7297</v>
      </c>
      <c r="Q2617" s="15"/>
      <c r="R2617" t="s" s="16">
        <f>HYPERLINK("http://secrets.rutgers.edu:8080/data/asl-ftp/asllvd/demos/verify_start_end_handshape_annotations//test_auto_move//signs_mov_separ_signers/Brady_15574.mov","MOV")</f>
        <v>21</v>
      </c>
    </row>
    <row r="2618" s="2" customFormat="1" ht="13.5" customHeight="1">
      <c r="B2618" t="s" s="8">
        <v>919</v>
      </c>
      <c r="C2618" t="s" s="9">
        <v>14</v>
      </c>
      <c r="D2618" t="s" s="8">
        <v>14</v>
      </c>
      <c r="E2618" t="s" s="9">
        <v>14</v>
      </c>
      <c r="F2618" t="s" s="10">
        <v>14</v>
      </c>
      <c r="G2618" t="s" s="11">
        <v>14</v>
      </c>
      <c r="H2618" t="s" s="10">
        <v>14</v>
      </c>
      <c r="I2618" t="s" s="11">
        <v>14</v>
      </c>
      <c r="J2618" t="s" s="11">
        <v>14</v>
      </c>
      <c r="K2618" t="s" s="12">
        <v>14</v>
      </c>
      <c r="L2618" t="s" s="12">
        <v>14</v>
      </c>
      <c r="M2618" t="s" s="10">
        <v>14</v>
      </c>
      <c r="N2618" t="s" s="11">
        <v>14</v>
      </c>
      <c r="O2618" t="s" s="8">
        <v>14</v>
      </c>
      <c r="P2618" t="s" s="8">
        <v>14</v>
      </c>
      <c r="Q2618" t="s" s="12">
        <v>14</v>
      </c>
      <c r="R2618" t="s" s="12">
        <v>14</v>
      </c>
    </row>
    <row r="2619" s="2" customFormat="1" ht="13.5" customHeight="1">
      <c r="B2619" s="13"/>
      <c r="C2619" t="s" s="9">
        <v>16</v>
      </c>
      <c r="D2619" t="s" s="8">
        <v>919</v>
      </c>
      <c r="E2619" t="s" s="9">
        <v>920</v>
      </c>
      <c r="F2619" t="s" s="10">
        <v>282</v>
      </c>
      <c r="G2619" t="s" s="11">
        <v>73</v>
      </c>
      <c r="H2619" t="s" s="10">
        <v>282</v>
      </c>
      <c r="I2619" t="s" s="11">
        <v>73</v>
      </c>
      <c r="J2619" t="s" s="11">
        <v>20</v>
      </c>
      <c r="K2619" s="15"/>
      <c r="L2619" t="s" s="16">
        <f>HYPERLINK("http://csr.bu.edu/ftp/asl/asllvd/demos/verify_start_end_handshape_annotations//test_auto_move//signs_mov_separ_signers/Liz_555.mov","MOV")</f>
        <v>21</v>
      </c>
      <c r="M2619" t="s" s="10">
        <v>22</v>
      </c>
      <c r="N2619" s="17">
        <v>6</v>
      </c>
      <c r="O2619" s="18">
        <v>724</v>
      </c>
      <c r="P2619" s="18">
        <v>764</v>
      </c>
      <c r="Q2619" s="15"/>
      <c r="R2619" t="s" s="16">
        <f>HYPERLINK("http://secrets.rutgers.edu:8080/data/asl-ftp/asllvd/demos/verify_start_end_handshape_annotations//test_auto_move//signs_mov_separ_signers/Liz_555.mov","MOV")</f>
        <v>21</v>
      </c>
    </row>
    <row r="2620" s="2" customFormat="1" ht="13.5" customHeight="1">
      <c r="B2620" s="13"/>
      <c r="C2620" t="s" s="9">
        <v>23</v>
      </c>
      <c r="D2620" t="s" s="8">
        <v>919</v>
      </c>
      <c r="E2620" t="s" s="9">
        <v>921</v>
      </c>
      <c r="F2620" t="s" s="10">
        <v>282</v>
      </c>
      <c r="G2620" t="s" s="11">
        <v>73</v>
      </c>
      <c r="H2620" t="s" s="10">
        <v>282</v>
      </c>
      <c r="I2620" t="s" s="11">
        <v>73</v>
      </c>
      <c r="J2620" t="s" s="11">
        <v>20</v>
      </c>
      <c r="K2620" s="15"/>
      <c r="L2620" t="s" s="16">
        <f>HYPERLINK("http://csr.bu.edu/ftp/asl/asllvd/demos/verify_start_end_handshape_annotations//test_auto_move//signs_mov_separ_signers/Tyler_555.mov","MOV")</f>
        <v>21</v>
      </c>
      <c r="M2620" t="s" s="10">
        <v>26</v>
      </c>
      <c r="N2620" s="17">
        <v>6</v>
      </c>
      <c r="O2620" s="18">
        <v>3305</v>
      </c>
      <c r="P2620" s="18">
        <v>3381</v>
      </c>
      <c r="Q2620" s="15"/>
      <c r="R2620" t="s" s="16">
        <f>HYPERLINK("http://secrets.rutgers.edu:8080/data/asl-ftp/asllvd/demos/verify_start_end_handshape_annotations//test_auto_move//signs_mov_separ_signers/Tyler_555.mov","MOV")</f>
        <v>21</v>
      </c>
    </row>
    <row r="2621" s="2" customFormat="1" ht="13.5" customHeight="1">
      <c r="B2621" s="13"/>
      <c r="C2621" t="s" s="9">
        <v>23</v>
      </c>
      <c r="D2621" t="s" s="8">
        <v>919</v>
      </c>
      <c r="E2621" t="s" s="9">
        <v>922</v>
      </c>
      <c r="F2621" t="s" s="10">
        <v>282</v>
      </c>
      <c r="G2621" t="s" s="11">
        <v>73</v>
      </c>
      <c r="H2621" t="s" s="10">
        <v>282</v>
      </c>
      <c r="I2621" t="s" s="11">
        <v>73</v>
      </c>
      <c r="J2621" t="s" s="11">
        <v>20</v>
      </c>
      <c r="K2621" t="s" s="16">
        <f>HYPERLINK("http://csr.bu.edu/ftp/asl/asllvd/demos/verify_start_end_handshape_annotations//test_auto_move//signs_mov/555_5893_merged.mov","MOV")</f>
        <v>21</v>
      </c>
      <c r="L2621" t="s" s="16">
        <f>HYPERLINK("http://csr.bu.edu/ftp/asl/asllvd/demos/verify_start_end_handshape_annotations//test_auto_move//signs_mov_separ_signers/Tyler_5893.mov","MOV")</f>
        <v>21</v>
      </c>
      <c r="M2621" t="s" s="10">
        <v>125</v>
      </c>
      <c r="N2621" s="17">
        <v>6</v>
      </c>
      <c r="O2621" s="18">
        <v>1787</v>
      </c>
      <c r="P2621" s="18">
        <v>1835</v>
      </c>
      <c r="Q2621" t="s" s="16">
        <f>HYPERLINK("http://secrets.rutgers.edu:8080/data/asl-ftp/asllvd/demos/verify_start_end_handshape_annotations//test_auto_move//signs_mov/555_5893_merged.mov","MOV")</f>
        <v>21</v>
      </c>
      <c r="R2621" t="s" s="16">
        <f>HYPERLINK("http://secrets.rutgers.edu:8080/data/asl-ftp/asllvd/demos/verify_start_end_handshape_annotations//test_auto_move//signs_mov_separ_signers/Tyler_5893.mov","MOV")</f>
        <v>21</v>
      </c>
    </row>
    <row r="2622" s="2" customFormat="1" ht="13.5" customHeight="1">
      <c r="B2622" s="13"/>
      <c r="C2622" t="s" s="9">
        <v>27</v>
      </c>
      <c r="D2622" t="s" s="8">
        <v>919</v>
      </c>
      <c r="E2622" t="s" s="9">
        <v>920</v>
      </c>
      <c r="F2622" t="s" s="10">
        <v>282</v>
      </c>
      <c r="G2622" t="s" s="11">
        <v>73</v>
      </c>
      <c r="H2622" t="s" s="10">
        <v>282</v>
      </c>
      <c r="I2622" t="s" s="11">
        <v>73</v>
      </c>
      <c r="J2622" t="s" s="11">
        <v>20</v>
      </c>
      <c r="K2622" s="15"/>
      <c r="L2622" t="s" s="16">
        <f>HYPERLINK("http://csr.bu.edu/ftp/asl/asllvd/demos/verify_start_end_handshape_annotations//test_auto_move//signs_mov_separ_signers/Naomi_555.mov","MOV")</f>
        <v>21</v>
      </c>
      <c r="M2622" t="s" s="10">
        <v>29</v>
      </c>
      <c r="N2622" s="17">
        <v>4</v>
      </c>
      <c r="O2622" s="18">
        <v>4124</v>
      </c>
      <c r="P2622" s="18">
        <v>4157</v>
      </c>
      <c r="Q2622" s="15"/>
      <c r="R2622" t="s" s="16">
        <f>HYPERLINK("http://secrets.rutgers.edu:8080/data/asl-ftp/asllvd/demos/verify_start_end_handshape_annotations//test_auto_move//signs_mov_separ_signers/Naomi_555.mov","MOV")</f>
        <v>21</v>
      </c>
    </row>
    <row r="2623" s="2" customFormat="1" ht="13.5" customHeight="1">
      <c r="B2623" s="13"/>
      <c r="C2623" t="s" s="9">
        <v>27</v>
      </c>
      <c r="D2623" t="s" s="8">
        <v>919</v>
      </c>
      <c r="E2623" t="s" s="9">
        <v>920</v>
      </c>
      <c r="F2623" t="s" s="10">
        <v>593</v>
      </c>
      <c r="G2623" t="s" s="11">
        <v>73</v>
      </c>
      <c r="H2623" t="s" s="10">
        <v>593</v>
      </c>
      <c r="I2623" t="s" s="11">
        <v>73</v>
      </c>
      <c r="J2623" t="s" s="11">
        <v>20</v>
      </c>
      <c r="K2623" s="15"/>
      <c r="L2623" t="s" s="16">
        <f>HYPERLINK("http://csr.bu.edu/ftp/asl/asllvd/demos/verify_start_end_handshape_annotations//test_auto_move//signs_mov_separ_signers/Naomi_5893.mov","MOV")</f>
        <v>21</v>
      </c>
      <c r="M2623" t="s" s="10">
        <v>86</v>
      </c>
      <c r="N2623" s="17">
        <v>6</v>
      </c>
      <c r="O2623" s="18">
        <v>1421</v>
      </c>
      <c r="P2623" s="18">
        <v>1465</v>
      </c>
      <c r="Q2623" s="15"/>
      <c r="R2623" t="s" s="16">
        <f>HYPERLINK("http://secrets.rutgers.edu:8080/data/asl-ftp/asllvd/demos/verify_start_end_handshape_annotations//test_auto_move//signs_mov_separ_signers/Naomi_5893.mov","MOV")</f>
        <v>21</v>
      </c>
    </row>
    <row r="2624" s="2" customFormat="1" ht="13.5" customHeight="1">
      <c r="B2624" t="s" s="8">
        <v>52</v>
      </c>
      <c r="C2624" t="s" s="9">
        <v>53</v>
      </c>
      <c r="D2624" t="s" s="8">
        <v>53</v>
      </c>
      <c r="E2624" t="s" s="9">
        <v>53</v>
      </c>
      <c r="F2624" t="s" s="10">
        <v>53</v>
      </c>
      <c r="G2624" t="s" s="11">
        <v>53</v>
      </c>
      <c r="H2624" t="s" s="10">
        <v>53</v>
      </c>
      <c r="I2624" t="s" s="11">
        <v>53</v>
      </c>
      <c r="J2624" t="s" s="11">
        <v>53</v>
      </c>
      <c r="K2624" t="s" s="12">
        <v>53</v>
      </c>
      <c r="L2624" t="s" s="12">
        <v>53</v>
      </c>
      <c r="M2624" t="s" s="10">
        <v>53</v>
      </c>
      <c r="N2624" t="s" s="11">
        <v>53</v>
      </c>
      <c r="O2624" t="s" s="8">
        <v>53</v>
      </c>
      <c r="P2624" t="s" s="8">
        <v>53</v>
      </c>
      <c r="Q2624" t="s" s="12">
        <v>53</v>
      </c>
      <c r="R2624" t="s" s="12">
        <v>53</v>
      </c>
    </row>
    <row r="2625" s="2" customFormat="1" ht="13.5" customHeight="1">
      <c r="B2625" s="13"/>
      <c r="C2625" t="s" s="9">
        <v>16</v>
      </c>
      <c r="D2625" t="s" s="8">
        <v>919</v>
      </c>
      <c r="E2625" t="s" s="9">
        <v>923</v>
      </c>
      <c r="F2625" t="s" s="10">
        <v>282</v>
      </c>
      <c r="G2625" t="s" s="11">
        <v>73</v>
      </c>
      <c r="H2625" t="s" s="10">
        <v>282</v>
      </c>
      <c r="I2625" t="s" s="11">
        <v>73</v>
      </c>
      <c r="J2625" t="s" s="11">
        <v>20</v>
      </c>
      <c r="K2625" t="s" s="16">
        <f>HYPERLINK("http://csr.bu.edu/ftp/asl/asllvd/demos/verify_start_end_handshape_annotations//test_auto_move//signs_mov/16303.mov","MOV")</f>
        <v>21</v>
      </c>
      <c r="L2625" t="s" s="16">
        <f>HYPERLINK("http://csr.bu.edu/ftp/asl/asllvd/demos/verify_start_end_handshape_annotations//test_auto_move//signs_mov_separ_signers/Liz_16303.mov","MOV")</f>
        <v>21</v>
      </c>
      <c r="M2625" t="s" s="10">
        <v>84</v>
      </c>
      <c r="N2625" s="17">
        <v>6</v>
      </c>
      <c r="O2625" s="18">
        <v>2215</v>
      </c>
      <c r="P2625" s="18">
        <v>2247</v>
      </c>
      <c r="Q2625" t="s" s="16">
        <f>HYPERLINK("http://secrets.rutgers.edu:8080/data/asl-ftp/asllvd/demos/verify_start_end_handshape_annotations//test_auto_move//signs_mov/16303.mov","MOV")</f>
        <v>21</v>
      </c>
      <c r="R2625" t="s" s="16">
        <f>HYPERLINK("http://secrets.rutgers.edu:8080/data/asl-ftp/asllvd/demos/verify_start_end_handshape_annotations//test_auto_move//signs_mov_separ_signers/Liz_16303.mov","MOV")</f>
        <v>21</v>
      </c>
    </row>
    <row r="2626" s="2" customFormat="1" ht="13.5" customHeight="1">
      <c r="B2626" t="s" s="8">
        <v>924</v>
      </c>
      <c r="C2626" t="s" s="9">
        <v>14</v>
      </c>
      <c r="D2626" t="s" s="8">
        <v>14</v>
      </c>
      <c r="E2626" t="s" s="9">
        <v>14</v>
      </c>
      <c r="F2626" t="s" s="10">
        <v>14</v>
      </c>
      <c r="G2626" t="s" s="11">
        <v>14</v>
      </c>
      <c r="H2626" t="s" s="10">
        <v>14</v>
      </c>
      <c r="I2626" t="s" s="11">
        <v>14</v>
      </c>
      <c r="J2626" t="s" s="11">
        <v>14</v>
      </c>
      <c r="K2626" t="s" s="12">
        <v>14</v>
      </c>
      <c r="L2626" t="s" s="12">
        <v>14</v>
      </c>
      <c r="M2626" t="s" s="10">
        <v>14</v>
      </c>
      <c r="N2626" t="s" s="11">
        <v>14</v>
      </c>
      <c r="O2626" t="s" s="8">
        <v>14</v>
      </c>
      <c r="P2626" t="s" s="8">
        <v>14</v>
      </c>
      <c r="Q2626" t="s" s="12">
        <v>14</v>
      </c>
      <c r="R2626" t="s" s="12">
        <v>14</v>
      </c>
    </row>
    <row r="2627" s="2" customFormat="1" ht="13.5" customHeight="1">
      <c r="B2627" s="13"/>
      <c r="C2627" t="s" s="9">
        <v>16</v>
      </c>
      <c r="D2627" t="s" s="8">
        <v>924</v>
      </c>
      <c r="E2627" t="s" s="9">
        <v>925</v>
      </c>
      <c r="F2627" t="s" s="10">
        <v>73</v>
      </c>
      <c r="G2627" t="s" s="11">
        <v>68</v>
      </c>
      <c r="H2627" t="s" s="10">
        <v>73</v>
      </c>
      <c r="I2627" t="s" s="11">
        <v>68</v>
      </c>
      <c r="J2627" t="s" s="11">
        <v>136</v>
      </c>
      <c r="K2627" s="15"/>
      <c r="L2627" t="s" s="16">
        <f>HYPERLINK("http://csr.bu.edu/ftp/asl/asllvd/demos/verify_start_end_handshape_annotations//test_auto_move//signs_mov_separ_signers/Liz_556.mov","MOV")</f>
        <v>21</v>
      </c>
      <c r="M2627" t="s" s="10">
        <v>84</v>
      </c>
      <c r="N2627" s="17">
        <v>6</v>
      </c>
      <c r="O2627" s="18">
        <v>2720</v>
      </c>
      <c r="P2627" s="18">
        <v>2780</v>
      </c>
      <c r="Q2627" s="15"/>
      <c r="R2627" t="s" s="16">
        <f>HYPERLINK("http://secrets.rutgers.edu:8080/data/asl-ftp/asllvd/demos/verify_start_end_handshape_annotations//test_auto_move//signs_mov_separ_signers/Liz_556.mov","MOV")</f>
        <v>21</v>
      </c>
    </row>
    <row r="2628" s="2" customFormat="1" ht="13.5" customHeight="1">
      <c r="B2628" s="13"/>
      <c r="C2628" t="s" s="9">
        <v>16</v>
      </c>
      <c r="D2628" t="s" s="8">
        <v>924</v>
      </c>
      <c r="E2628" t="s" s="9">
        <v>926</v>
      </c>
      <c r="F2628" t="s" s="10">
        <v>73</v>
      </c>
      <c r="G2628" t="s" s="11">
        <v>73</v>
      </c>
      <c r="H2628" t="s" s="10">
        <v>73</v>
      </c>
      <c r="I2628" t="s" s="11">
        <v>73</v>
      </c>
      <c r="J2628" t="s" s="11">
        <v>136</v>
      </c>
      <c r="K2628" s="15"/>
      <c r="L2628" t="s" s="16">
        <f>HYPERLINK("http://csr.bu.edu/ftp/asl/asllvd/demos/verify_start_end_handshape_annotations//test_auto_move//signs_mov_separ_signers/Liz_3601.mov","MOV")</f>
        <v>21</v>
      </c>
      <c r="M2628" t="s" s="10">
        <v>84</v>
      </c>
      <c r="N2628" s="17">
        <v>47</v>
      </c>
      <c r="O2628" s="18">
        <v>1426</v>
      </c>
      <c r="P2628" s="18">
        <v>1492</v>
      </c>
      <c r="Q2628" s="15"/>
      <c r="R2628" t="s" s="16">
        <f>HYPERLINK("http://secrets.rutgers.edu:8080/data/asl-ftp/asllvd/demos/verify_start_end_handshape_annotations//test_auto_move//signs_mov_separ_signers/Liz_3601.mov","MOV")</f>
        <v>21</v>
      </c>
    </row>
    <row r="2629" s="2" customFormat="1" ht="13.5" customHeight="1">
      <c r="B2629" s="13"/>
      <c r="C2629" t="s" s="9">
        <v>23</v>
      </c>
      <c r="D2629" t="s" s="8">
        <v>924</v>
      </c>
      <c r="E2629" t="s" s="9">
        <v>925</v>
      </c>
      <c r="F2629" t="s" s="10">
        <v>73</v>
      </c>
      <c r="G2629" t="s" s="11">
        <v>68</v>
      </c>
      <c r="H2629" t="s" s="10">
        <v>73</v>
      </c>
      <c r="I2629" t="s" s="11">
        <v>68</v>
      </c>
      <c r="J2629" t="s" s="11">
        <v>136</v>
      </c>
      <c r="K2629" s="15"/>
      <c r="L2629" t="s" s="16">
        <f>HYPERLINK("http://csr.bu.edu/ftp/asl/asllvd/demos/verify_start_end_handshape_annotations//test_auto_move//signs_mov_separ_signers/Tyler_556.mov","MOV")</f>
        <v>21</v>
      </c>
      <c r="M2629" t="s" s="10">
        <v>125</v>
      </c>
      <c r="N2629" s="17">
        <v>6</v>
      </c>
      <c r="O2629" s="18">
        <v>2066</v>
      </c>
      <c r="P2629" s="18">
        <v>2115</v>
      </c>
      <c r="Q2629" s="15"/>
      <c r="R2629" t="s" s="16">
        <f>HYPERLINK("http://secrets.rutgers.edu:8080/data/asl-ftp/asllvd/demos/verify_start_end_handshape_annotations//test_auto_move//signs_mov_separ_signers/Tyler_556.mov","MOV")</f>
        <v>21</v>
      </c>
    </row>
    <row r="2630" s="2" customFormat="1" ht="13.5" customHeight="1">
      <c r="B2630" s="13"/>
      <c r="C2630" t="s" s="9">
        <v>27</v>
      </c>
      <c r="D2630" t="s" s="8">
        <v>924</v>
      </c>
      <c r="E2630" t="s" s="9">
        <v>925</v>
      </c>
      <c r="F2630" t="s" s="10">
        <v>73</v>
      </c>
      <c r="G2630" t="s" s="11">
        <v>105</v>
      </c>
      <c r="H2630" t="s" s="10">
        <v>73</v>
      </c>
      <c r="I2630" t="s" s="11">
        <v>105</v>
      </c>
      <c r="J2630" t="s" s="11">
        <v>136</v>
      </c>
      <c r="K2630" t="s" s="16">
        <f>HYPERLINK("http://csr.bu.edu/ftp/asl/asllvd/demos/verify_start_end_handshape_annotations//test_auto_move//signs_mov/556_3601_merged.mov","MOV")</f>
        <v>21</v>
      </c>
      <c r="L2630" t="s" s="16">
        <f>HYPERLINK("http://csr.bu.edu/ftp/asl/asllvd/demos/verify_start_end_handshape_annotations//test_auto_move//signs_mov_separ_signers/Naomi_556.mov","MOV")</f>
        <v>21</v>
      </c>
      <c r="M2630" t="s" s="10">
        <v>86</v>
      </c>
      <c r="N2630" s="17">
        <v>6</v>
      </c>
      <c r="O2630" s="18">
        <v>1915</v>
      </c>
      <c r="P2630" s="18">
        <v>1950</v>
      </c>
      <c r="Q2630" t="s" s="16">
        <f>HYPERLINK("http://secrets.rutgers.edu:8080/data/asl-ftp/asllvd/demos/verify_start_end_handshape_annotations//test_auto_move//signs_mov/556_3601_merged.mov","MOV")</f>
        <v>21</v>
      </c>
      <c r="R2630" t="s" s="16">
        <f>HYPERLINK("http://secrets.rutgers.edu:8080/data/asl-ftp/asllvd/demos/verify_start_end_handshape_annotations//test_auto_move//signs_mov_separ_signers/Naomi_556.mov","MOV")</f>
        <v>21</v>
      </c>
    </row>
    <row r="2631" s="2" customFormat="1" ht="13.5" customHeight="1">
      <c r="B2631" s="13"/>
      <c r="C2631" t="s" s="9">
        <v>27</v>
      </c>
      <c r="D2631" t="s" s="8">
        <v>924</v>
      </c>
      <c r="E2631" t="s" s="9">
        <v>925</v>
      </c>
      <c r="F2631" t="s" s="10">
        <v>73</v>
      </c>
      <c r="G2631" t="s" s="11">
        <v>105</v>
      </c>
      <c r="H2631" t="s" s="10">
        <v>73</v>
      </c>
      <c r="I2631" t="s" s="11">
        <v>105</v>
      </c>
      <c r="J2631" t="s" s="11">
        <v>136</v>
      </c>
      <c r="K2631" s="15"/>
      <c r="L2631" t="s" s="16">
        <f>HYPERLINK("http://csr.bu.edu/ftp/asl/asllvd/demos/verify_start_end_handshape_annotations//test_auto_move//signs_mov_separ_signers/Naomi_3601.mov","MOV")</f>
        <v>21</v>
      </c>
      <c r="M2631" t="s" s="10">
        <v>86</v>
      </c>
      <c r="N2631" s="17">
        <v>47</v>
      </c>
      <c r="O2631" s="18">
        <v>1441</v>
      </c>
      <c r="P2631" s="18">
        <v>1480</v>
      </c>
      <c r="Q2631" s="15"/>
      <c r="R2631" t="s" s="16">
        <f>HYPERLINK("http://secrets.rutgers.edu:8080/data/asl-ftp/asllvd/demos/verify_start_end_handshape_annotations//test_auto_move//signs_mov_separ_signers/Naomi_3601.mov","MOV")</f>
        <v>21</v>
      </c>
    </row>
    <row r="2632" s="2" customFormat="1" ht="13.5" customHeight="1">
      <c r="B2632" s="13"/>
      <c r="C2632" t="s" s="9">
        <v>30</v>
      </c>
      <c r="D2632" t="s" s="8">
        <v>924</v>
      </c>
      <c r="E2632" t="s" s="9">
        <v>925</v>
      </c>
      <c r="F2632" t="s" s="10">
        <v>73</v>
      </c>
      <c r="G2632" t="s" s="11">
        <v>68</v>
      </c>
      <c r="H2632" t="s" s="10">
        <v>73</v>
      </c>
      <c r="I2632" t="s" s="11">
        <v>68</v>
      </c>
      <c r="J2632" t="s" s="11">
        <v>136</v>
      </c>
      <c r="K2632" s="15"/>
      <c r="L2632" t="s" s="16">
        <f>HYPERLINK("http://csr.bu.edu/ftp/asl/asllvd/demos/verify_start_end_handshape_annotations//test_auto_move//signs_mov_separ_signers/Brady_556.mov","MOV")</f>
        <v>21</v>
      </c>
      <c r="M2632" t="s" s="10">
        <v>31</v>
      </c>
      <c r="N2632" s="17">
        <v>30</v>
      </c>
      <c r="O2632" s="18">
        <v>10077</v>
      </c>
      <c r="P2632" s="18">
        <v>10126</v>
      </c>
      <c r="Q2632" s="15"/>
      <c r="R2632" t="s" s="16">
        <f>HYPERLINK("http://secrets.rutgers.edu:8080/data/asl-ftp/asllvd/demos/verify_start_end_handshape_annotations//test_auto_move//signs_mov_separ_signers/Brady_556.mov","MOV")</f>
        <v>21</v>
      </c>
    </row>
    <row r="2633" s="2" customFormat="1" ht="13.5" customHeight="1">
      <c r="B2633" s="13"/>
      <c r="C2633" t="s" s="9">
        <v>30</v>
      </c>
      <c r="D2633" t="s" s="8">
        <v>924</v>
      </c>
      <c r="E2633" t="s" s="9">
        <v>925</v>
      </c>
      <c r="F2633" t="s" s="10">
        <v>73</v>
      </c>
      <c r="G2633" t="s" s="11">
        <v>105</v>
      </c>
      <c r="H2633" t="s" s="10">
        <v>73</v>
      </c>
      <c r="I2633" t="s" s="11">
        <v>105</v>
      </c>
      <c r="J2633" t="s" s="11">
        <v>136</v>
      </c>
      <c r="K2633" s="15"/>
      <c r="L2633" t="s" s="16">
        <f>HYPERLINK("http://csr.bu.edu/ftp/asl/asllvd/demos/verify_start_end_handshape_annotations//test_auto_move//signs_mov_separ_signers/Brady_3601.mov","MOV")</f>
        <v>21</v>
      </c>
      <c r="M2633" t="s" s="10">
        <v>39</v>
      </c>
      <c r="N2633" s="17">
        <v>21</v>
      </c>
      <c r="O2633" s="18">
        <v>6286</v>
      </c>
      <c r="P2633" s="18">
        <v>6325</v>
      </c>
      <c r="Q2633" s="15"/>
      <c r="R2633" t="s" s="16">
        <f>HYPERLINK("http://secrets.rutgers.edu:8080/data/asl-ftp/asllvd/demos/verify_start_end_handshape_annotations//test_auto_move//signs_mov_separ_signers/Brady_3601.mov","MOV")</f>
        <v>21</v>
      </c>
    </row>
    <row r="2634" s="2" customFormat="1" ht="13.5" customHeight="1">
      <c r="B2634" t="s" s="8">
        <v>52</v>
      </c>
      <c r="C2634" t="s" s="9">
        <v>53</v>
      </c>
      <c r="D2634" t="s" s="8">
        <v>53</v>
      </c>
      <c r="E2634" t="s" s="9">
        <v>53</v>
      </c>
      <c r="F2634" t="s" s="10">
        <v>53</v>
      </c>
      <c r="G2634" t="s" s="11">
        <v>53</v>
      </c>
      <c r="H2634" t="s" s="10">
        <v>53</v>
      </c>
      <c r="I2634" t="s" s="11">
        <v>53</v>
      </c>
      <c r="J2634" t="s" s="11">
        <v>53</v>
      </c>
      <c r="K2634" t="s" s="12">
        <v>53</v>
      </c>
      <c r="L2634" t="s" s="12">
        <v>53</v>
      </c>
      <c r="M2634" t="s" s="10">
        <v>53</v>
      </c>
      <c r="N2634" t="s" s="11">
        <v>53</v>
      </c>
      <c r="O2634" t="s" s="8">
        <v>53</v>
      </c>
      <c r="P2634" t="s" s="8">
        <v>53</v>
      </c>
      <c r="Q2634" t="s" s="12">
        <v>53</v>
      </c>
      <c r="R2634" t="s" s="12">
        <v>53</v>
      </c>
    </row>
    <row r="2635" s="2" customFormat="1" ht="13.5" customHeight="1">
      <c r="B2635" s="13"/>
      <c r="C2635" t="s" s="9">
        <v>16</v>
      </c>
      <c r="D2635" t="s" s="8">
        <v>924</v>
      </c>
      <c r="E2635" t="s" s="9">
        <v>927</v>
      </c>
      <c r="F2635" t="s" s="10">
        <v>136</v>
      </c>
      <c r="G2635" t="s" s="11">
        <v>63</v>
      </c>
      <c r="H2635" t="s" s="10">
        <v>136</v>
      </c>
      <c r="I2635" t="s" s="11">
        <v>63</v>
      </c>
      <c r="J2635" t="s" s="11">
        <v>136</v>
      </c>
      <c r="K2635" t="s" s="16">
        <f>HYPERLINK("http://csr.bu.edu/ftp/asl/asllvd/demos/verify_start_end_handshape_annotations//test_auto_move//signs_mov/3635.mov","MOV")</f>
        <v>21</v>
      </c>
      <c r="L2635" t="s" s="16">
        <f>HYPERLINK("http://csr.bu.edu/ftp/asl/asllvd/demos/verify_start_end_handshape_annotations//test_auto_move//signs_mov_separ_signers/Liz_3635.mov","MOV")</f>
        <v>21</v>
      </c>
      <c r="M2635" t="s" s="10">
        <v>84</v>
      </c>
      <c r="N2635" s="17">
        <v>6</v>
      </c>
      <c r="O2635" s="18">
        <v>2467</v>
      </c>
      <c r="P2635" s="18">
        <v>2530</v>
      </c>
      <c r="Q2635" t="s" s="16">
        <f>HYPERLINK("http://secrets.rutgers.edu:8080/data/asl-ftp/asllvd/demos/verify_start_end_handshape_annotations//test_auto_move//signs_mov/3635.mov","MOV")</f>
        <v>21</v>
      </c>
      <c r="R2635" t="s" s="16">
        <f>HYPERLINK("http://secrets.rutgers.edu:8080/data/asl-ftp/asllvd/demos/verify_start_end_handshape_annotations//test_auto_move//signs_mov_separ_signers/Liz_3635.mov","MOV")</f>
        <v>21</v>
      </c>
    </row>
    <row r="2636" s="2" customFormat="1" ht="13.5" customHeight="1">
      <c r="B2636" s="13"/>
      <c r="C2636" t="s" s="9">
        <v>27</v>
      </c>
      <c r="D2636" t="s" s="8">
        <v>924</v>
      </c>
      <c r="E2636" t="s" s="9">
        <v>927</v>
      </c>
      <c r="F2636" t="s" s="10">
        <v>136</v>
      </c>
      <c r="G2636" t="s" s="11">
        <v>105</v>
      </c>
      <c r="H2636" t="s" s="10">
        <v>136</v>
      </c>
      <c r="I2636" t="s" s="11">
        <v>105</v>
      </c>
      <c r="J2636" t="s" s="11">
        <v>136</v>
      </c>
      <c r="K2636" s="15"/>
      <c r="L2636" t="s" s="16">
        <f>HYPERLINK("http://csr.bu.edu/ftp/asl/asllvd/demos/verify_start_end_handshape_annotations//test_auto_move//signs_mov_separ_signers/Naomi_3635.mov","MOV")</f>
        <v>21</v>
      </c>
      <c r="M2636" t="s" s="10">
        <v>86</v>
      </c>
      <c r="N2636" s="17">
        <v>6</v>
      </c>
      <c r="O2636" s="18">
        <v>1685</v>
      </c>
      <c r="P2636" s="18">
        <v>1720</v>
      </c>
      <c r="Q2636" s="15"/>
      <c r="R2636" t="s" s="16">
        <f>HYPERLINK("http://secrets.rutgers.edu:8080/data/asl-ftp/asllvd/demos/verify_start_end_handshape_annotations//test_auto_move//signs_mov_separ_signers/Naomi_3635.mov","MOV")</f>
        <v>21</v>
      </c>
    </row>
    <row r="2637" s="2" customFormat="1" ht="13.5" customHeight="1">
      <c r="B2637" t="s" s="8">
        <v>928</v>
      </c>
      <c r="C2637" t="s" s="9">
        <v>14</v>
      </c>
      <c r="D2637" t="s" s="8">
        <v>14</v>
      </c>
      <c r="E2637" t="s" s="9">
        <v>14</v>
      </c>
      <c r="F2637" t="s" s="10">
        <v>14</v>
      </c>
      <c r="G2637" t="s" s="11">
        <v>14</v>
      </c>
      <c r="H2637" t="s" s="10">
        <v>14</v>
      </c>
      <c r="I2637" t="s" s="11">
        <v>14</v>
      </c>
      <c r="J2637" t="s" s="11">
        <v>14</v>
      </c>
      <c r="K2637" t="s" s="12">
        <v>14</v>
      </c>
      <c r="L2637" t="s" s="12">
        <v>14</v>
      </c>
      <c r="M2637" t="s" s="10">
        <v>14</v>
      </c>
      <c r="N2637" t="s" s="11">
        <v>14</v>
      </c>
      <c r="O2637" t="s" s="8">
        <v>14</v>
      </c>
      <c r="P2637" t="s" s="8">
        <v>14</v>
      </c>
      <c r="Q2637" t="s" s="12">
        <v>14</v>
      </c>
      <c r="R2637" t="s" s="12">
        <v>14</v>
      </c>
    </row>
    <row r="2638" s="2" customFormat="1" ht="13.5" customHeight="1">
      <c r="B2638" s="13"/>
      <c r="C2638" t="s" s="9">
        <v>16</v>
      </c>
      <c r="D2638" t="s" s="8">
        <v>928</v>
      </c>
      <c r="E2638" t="s" s="9">
        <v>929</v>
      </c>
      <c r="F2638" t="s" s="10">
        <v>282</v>
      </c>
      <c r="G2638" t="s" s="11">
        <v>105</v>
      </c>
      <c r="H2638" t="s" s="10">
        <v>282</v>
      </c>
      <c r="I2638" t="s" s="11">
        <v>105</v>
      </c>
      <c r="J2638" t="s" s="11">
        <v>136</v>
      </c>
      <c r="K2638" s="15"/>
      <c r="L2638" t="s" s="16">
        <f>HYPERLINK("http://csr.bu.edu/ftp/asl/asllvd/demos/verify_start_end_handshape_annotations//test_auto_move//signs_mov_separ_signers/Liz_3636.mov","MOV")</f>
        <v>21</v>
      </c>
      <c r="M2638" t="s" s="10">
        <v>84</v>
      </c>
      <c r="N2638" s="17">
        <v>47</v>
      </c>
      <c r="O2638" s="18">
        <v>1670</v>
      </c>
      <c r="P2638" s="18">
        <v>1730</v>
      </c>
      <c r="Q2638" s="15"/>
      <c r="R2638" t="s" s="16">
        <f>HYPERLINK("http://secrets.rutgers.edu:8080/data/asl-ftp/asllvd/demos/verify_start_end_handshape_annotations//test_auto_move//signs_mov_separ_signers/Liz_3636.mov","MOV")</f>
        <v>21</v>
      </c>
    </row>
    <row r="2639" s="2" customFormat="1" ht="13.5" customHeight="1">
      <c r="B2639" s="13"/>
      <c r="C2639" t="s" s="9">
        <v>23</v>
      </c>
      <c r="D2639" t="s" s="8">
        <v>928</v>
      </c>
      <c r="E2639" t="s" s="9">
        <v>929</v>
      </c>
      <c r="F2639" t="s" s="10">
        <v>282</v>
      </c>
      <c r="G2639" t="s" s="11">
        <v>105</v>
      </c>
      <c r="H2639" t="s" s="10">
        <v>282</v>
      </c>
      <c r="I2639" t="s" s="11">
        <v>105</v>
      </c>
      <c r="J2639" t="s" s="11">
        <v>136</v>
      </c>
      <c r="K2639" t="s" s="16">
        <f>HYPERLINK("http://csr.bu.edu/ftp/asl/asllvd/demos/verify_start_end_handshape_annotations//test_auto_move//signs_mov/3636.mov","MOV")</f>
        <v>21</v>
      </c>
      <c r="L2639" t="s" s="16">
        <f>HYPERLINK("http://csr.bu.edu/ftp/asl/asllvd/demos/verify_start_end_handshape_annotations//test_auto_move//signs_mov_separ_signers/Tyler_3636.mov","MOV")</f>
        <v>21</v>
      </c>
      <c r="M2639" t="s" s="10">
        <v>92</v>
      </c>
      <c r="N2639" s="17">
        <v>27</v>
      </c>
      <c r="O2639" s="18">
        <v>1302</v>
      </c>
      <c r="P2639" s="18">
        <v>1365</v>
      </c>
      <c r="Q2639" t="s" s="16">
        <f>HYPERLINK("http://secrets.rutgers.edu:8080/data/asl-ftp/asllvd/demos/verify_start_end_handshape_annotations//test_auto_move//signs_mov/3636.mov","MOV")</f>
        <v>21</v>
      </c>
      <c r="R2639" t="s" s="16">
        <f>HYPERLINK("http://secrets.rutgers.edu:8080/data/asl-ftp/asllvd/demos/verify_start_end_handshape_annotations//test_auto_move//signs_mov_separ_signers/Tyler_3636.mov","MOV")</f>
        <v>21</v>
      </c>
    </row>
    <row r="2640" s="2" customFormat="1" ht="13.5" customHeight="1">
      <c r="B2640" s="13"/>
      <c r="C2640" t="s" s="9">
        <v>27</v>
      </c>
      <c r="D2640" t="s" s="8">
        <v>928</v>
      </c>
      <c r="E2640" t="s" s="9">
        <v>929</v>
      </c>
      <c r="F2640" t="s" s="10">
        <v>282</v>
      </c>
      <c r="G2640" t="s" s="11">
        <v>105</v>
      </c>
      <c r="H2640" t="s" s="10">
        <v>282</v>
      </c>
      <c r="I2640" t="s" s="11">
        <v>105</v>
      </c>
      <c r="J2640" t="s" s="11">
        <v>136</v>
      </c>
      <c r="K2640" s="15"/>
      <c r="L2640" t="s" s="16">
        <f>HYPERLINK("http://csr.bu.edu/ftp/asl/asllvd/demos/verify_start_end_handshape_annotations//test_auto_move//signs_mov_separ_signers/Naomi_3636.mov","MOV")</f>
        <v>21</v>
      </c>
      <c r="M2640" t="s" s="10">
        <v>86</v>
      </c>
      <c r="N2640" s="17">
        <v>47</v>
      </c>
      <c r="O2640" s="18">
        <v>1682</v>
      </c>
      <c r="P2640" s="18">
        <v>1737</v>
      </c>
      <c r="Q2640" s="15"/>
      <c r="R2640" t="s" s="16">
        <f>HYPERLINK("http://secrets.rutgers.edu:8080/data/asl-ftp/asllvd/demos/verify_start_end_handshape_annotations//test_auto_move//signs_mov_separ_signers/Naomi_3636.mov","MOV")</f>
        <v>21</v>
      </c>
    </row>
    <row r="2641" s="2" customFormat="1" ht="13.5" customHeight="1">
      <c r="B2641" t="s" s="8">
        <v>930</v>
      </c>
      <c r="C2641" t="s" s="9">
        <v>14</v>
      </c>
      <c r="D2641" t="s" s="8">
        <v>14</v>
      </c>
      <c r="E2641" t="s" s="9">
        <v>14</v>
      </c>
      <c r="F2641" t="s" s="10">
        <v>14</v>
      </c>
      <c r="G2641" t="s" s="11">
        <v>14</v>
      </c>
      <c r="H2641" t="s" s="10">
        <v>14</v>
      </c>
      <c r="I2641" t="s" s="11">
        <v>14</v>
      </c>
      <c r="J2641" t="s" s="11">
        <v>14</v>
      </c>
      <c r="K2641" t="s" s="12">
        <v>14</v>
      </c>
      <c r="L2641" t="s" s="12">
        <v>14</v>
      </c>
      <c r="M2641" t="s" s="10">
        <v>14</v>
      </c>
      <c r="N2641" t="s" s="11">
        <v>14</v>
      </c>
      <c r="O2641" t="s" s="8">
        <v>14</v>
      </c>
      <c r="P2641" t="s" s="8">
        <v>14</v>
      </c>
      <c r="Q2641" t="s" s="12">
        <v>14</v>
      </c>
      <c r="R2641" t="s" s="12">
        <v>14</v>
      </c>
    </row>
    <row r="2642" s="2" customFormat="1" ht="13.5" customHeight="1">
      <c r="B2642" s="13"/>
      <c r="C2642" t="s" s="9">
        <v>16</v>
      </c>
      <c r="D2642" t="s" s="8">
        <v>930</v>
      </c>
      <c r="E2642" t="s" s="9">
        <v>931</v>
      </c>
      <c r="F2642" t="s" s="10">
        <v>229</v>
      </c>
      <c r="G2642" t="s" s="11">
        <v>229</v>
      </c>
      <c r="H2642" t="s" s="10">
        <v>229</v>
      </c>
      <c r="I2642" t="s" s="11">
        <v>229</v>
      </c>
      <c r="J2642" t="s" s="11">
        <v>20</v>
      </c>
      <c r="K2642" s="15"/>
      <c r="L2642" t="s" s="16">
        <f>HYPERLINK("http://csr.bu.edu/ftp/asl/asllvd/demos/verify_start_end_handshape_annotations//test_auto_move//signs_mov_separ_signers/Liz_558.mov","MOV")</f>
        <v>21</v>
      </c>
      <c r="M2642" t="s" s="10">
        <v>84</v>
      </c>
      <c r="N2642" s="17">
        <v>6</v>
      </c>
      <c r="O2642" s="18">
        <v>2947</v>
      </c>
      <c r="P2642" s="18">
        <v>2980</v>
      </c>
      <c r="Q2642" s="15"/>
      <c r="R2642" t="s" s="16">
        <f>HYPERLINK("http://secrets.rutgers.edu:8080/data/asl-ftp/asllvd/demos/verify_start_end_handshape_annotations//test_auto_move//signs_mov_separ_signers/Liz_558.mov","MOV")</f>
        <v>21</v>
      </c>
    </row>
    <row r="2643" s="2" customFormat="1" ht="13.5" customHeight="1">
      <c r="B2643" s="13"/>
      <c r="C2643" t="s" s="9">
        <v>16</v>
      </c>
      <c r="D2643" t="s" s="8">
        <v>930</v>
      </c>
      <c r="E2643" t="s" s="9">
        <v>932</v>
      </c>
      <c r="F2643" t="s" s="10">
        <v>229</v>
      </c>
      <c r="G2643" t="s" s="11">
        <v>229</v>
      </c>
      <c r="H2643" t="s" s="10">
        <v>229</v>
      </c>
      <c r="I2643" t="s" s="11">
        <v>229</v>
      </c>
      <c r="J2643" t="s" s="11">
        <v>20</v>
      </c>
      <c r="K2643" s="15"/>
      <c r="L2643" t="s" s="16">
        <f>HYPERLINK("http://csr.bu.edu/ftp/asl/asllvd/demos/verify_start_end_handshape_annotations//test_auto_move//signs_mov_separ_signers/Liz_3544.mov","MOV")</f>
        <v>21</v>
      </c>
      <c r="M2643" t="s" s="10">
        <v>84</v>
      </c>
      <c r="N2643" s="17">
        <v>29</v>
      </c>
      <c r="O2643" s="18">
        <v>2105</v>
      </c>
      <c r="P2643" s="18">
        <v>2160</v>
      </c>
      <c r="Q2643" s="15"/>
      <c r="R2643" t="s" s="16">
        <f>HYPERLINK("http://secrets.rutgers.edu:8080/data/asl-ftp/asllvd/demos/verify_start_end_handshape_annotations//test_auto_move//signs_mov_separ_signers/Liz_3544.mov","MOV")</f>
        <v>21</v>
      </c>
    </row>
    <row r="2644" s="2" customFormat="1" ht="13.5" customHeight="1">
      <c r="B2644" s="13"/>
      <c r="C2644" t="s" s="9">
        <v>16</v>
      </c>
      <c r="D2644" t="s" s="8">
        <v>930</v>
      </c>
      <c r="E2644" t="s" s="9">
        <v>932</v>
      </c>
      <c r="F2644" t="s" s="10">
        <v>229</v>
      </c>
      <c r="G2644" t="s" s="11">
        <v>229</v>
      </c>
      <c r="H2644" t="s" s="10">
        <v>229</v>
      </c>
      <c r="I2644" t="s" s="11">
        <v>229</v>
      </c>
      <c r="J2644" t="s" s="11">
        <v>20</v>
      </c>
      <c r="K2644" s="15"/>
      <c r="L2644" t="s" s="16">
        <f>HYPERLINK("http://csr.bu.edu/ftp/asl/asllvd/demos/verify_start_end_handshape_annotations//test_auto_move//signs_mov_separ_signers/Liz_3623.mov","MOV")</f>
        <v>21</v>
      </c>
      <c r="M2644" t="s" s="10">
        <v>88</v>
      </c>
      <c r="N2644" s="17">
        <v>16</v>
      </c>
      <c r="O2644" s="18">
        <v>4035</v>
      </c>
      <c r="P2644" s="18">
        <v>4105</v>
      </c>
      <c r="Q2644" s="15"/>
      <c r="R2644" t="s" s="16">
        <f>HYPERLINK("http://secrets.rutgers.edu:8080/data/asl-ftp/asllvd/demos/verify_start_end_handshape_annotations//test_auto_move//signs_mov_separ_signers/Liz_3623.mov","MOV")</f>
        <v>21</v>
      </c>
    </row>
    <row r="2645" s="2" customFormat="1" ht="13.5" customHeight="1">
      <c r="B2645" s="13"/>
      <c r="C2645" t="s" s="9">
        <v>23</v>
      </c>
      <c r="D2645" t="s" s="8">
        <v>930</v>
      </c>
      <c r="E2645" t="s" s="9">
        <v>933</v>
      </c>
      <c r="F2645" t="s" s="10">
        <v>229</v>
      </c>
      <c r="G2645" t="s" s="11">
        <v>229</v>
      </c>
      <c r="H2645" t="s" s="10">
        <v>229</v>
      </c>
      <c r="I2645" t="s" s="11">
        <v>229</v>
      </c>
      <c r="J2645" t="s" s="11">
        <v>20</v>
      </c>
      <c r="K2645" s="15"/>
      <c r="L2645" t="s" s="16">
        <f>HYPERLINK("http://csr.bu.edu/ftp/asl/asllvd/demos/verify_start_end_handshape_annotations//test_auto_move//signs_mov_separ_signers/Tyler_558.mov","MOV")</f>
        <v>21</v>
      </c>
      <c r="M2645" t="s" s="10">
        <v>125</v>
      </c>
      <c r="N2645" s="17">
        <v>6</v>
      </c>
      <c r="O2645" s="18">
        <v>2655</v>
      </c>
      <c r="P2645" s="18">
        <v>2696</v>
      </c>
      <c r="Q2645" s="15"/>
      <c r="R2645" t="s" s="16">
        <f>HYPERLINK("http://secrets.rutgers.edu:8080/data/asl-ftp/asllvd/demos/verify_start_end_handshape_annotations//test_auto_move//signs_mov_separ_signers/Tyler_558.mov","MOV")</f>
        <v>21</v>
      </c>
    </row>
    <row r="2646" s="2" customFormat="1" ht="13.5" customHeight="1">
      <c r="B2646" s="13"/>
      <c r="C2646" t="s" s="9">
        <v>23</v>
      </c>
      <c r="D2646" t="s" s="8">
        <v>930</v>
      </c>
      <c r="E2646" t="s" s="9">
        <v>933</v>
      </c>
      <c r="F2646" t="s" s="10">
        <v>229</v>
      </c>
      <c r="G2646" t="s" s="11">
        <v>229</v>
      </c>
      <c r="H2646" t="s" s="10">
        <v>229</v>
      </c>
      <c r="I2646" t="s" s="11">
        <v>229</v>
      </c>
      <c r="J2646" t="s" s="11">
        <v>20</v>
      </c>
      <c r="K2646" t="s" s="16">
        <f>HYPERLINK("http://csr.bu.edu/ftp/asl/asllvd/demos/verify_start_end_handshape_annotations//test_auto_move//signs_mov/558_3544_3623_merged.mov","MOV")</f>
        <v>21</v>
      </c>
      <c r="L2646" t="s" s="16">
        <f>HYPERLINK("http://csr.bu.edu/ftp/asl/asllvd/demos/verify_start_end_handshape_annotations//test_auto_move//signs_mov_separ_signers/Tyler_3544.mov","MOV")</f>
        <v>21</v>
      </c>
      <c r="M2646" t="s" s="10">
        <v>92</v>
      </c>
      <c r="N2646" s="17">
        <v>9</v>
      </c>
      <c r="O2646" s="18">
        <v>1586</v>
      </c>
      <c r="P2646" s="18">
        <v>1622</v>
      </c>
      <c r="Q2646" t="s" s="16">
        <f>HYPERLINK("http://secrets.rutgers.edu:8080/data/asl-ftp/asllvd/demos/verify_start_end_handshape_annotations//test_auto_move//signs_mov/558_3544_3623_merged.mov","MOV")</f>
        <v>21</v>
      </c>
      <c r="R2646" t="s" s="16">
        <f>HYPERLINK("http://secrets.rutgers.edu:8080/data/asl-ftp/asllvd/demos/verify_start_end_handshape_annotations//test_auto_move//signs_mov_separ_signers/Tyler_3544.mov","MOV")</f>
        <v>21</v>
      </c>
    </row>
    <row r="2647" s="2" customFormat="1" ht="13.5" customHeight="1">
      <c r="B2647" s="13"/>
      <c r="C2647" t="s" s="9">
        <v>27</v>
      </c>
      <c r="D2647" t="s" s="8">
        <v>930</v>
      </c>
      <c r="E2647" t="s" s="9">
        <v>933</v>
      </c>
      <c r="F2647" t="s" s="10">
        <v>229</v>
      </c>
      <c r="G2647" t="s" s="11">
        <v>229</v>
      </c>
      <c r="H2647" t="s" s="10">
        <v>229</v>
      </c>
      <c r="I2647" t="s" s="11">
        <v>229</v>
      </c>
      <c r="J2647" t="s" s="11">
        <v>20</v>
      </c>
      <c r="K2647" s="15"/>
      <c r="L2647" t="s" s="16">
        <f>HYPERLINK("http://csr.bu.edu/ftp/asl/asllvd/demos/verify_start_end_handshape_annotations//test_auto_move//signs_mov_separ_signers/Naomi_558.mov","MOV")</f>
        <v>21</v>
      </c>
      <c r="M2647" t="s" s="10">
        <v>86</v>
      </c>
      <c r="N2647" s="17">
        <v>6</v>
      </c>
      <c r="O2647" s="18">
        <v>2155</v>
      </c>
      <c r="P2647" s="18">
        <v>2181</v>
      </c>
      <c r="Q2647" s="15"/>
      <c r="R2647" t="s" s="16">
        <f>HYPERLINK("http://secrets.rutgers.edu:8080/data/asl-ftp/asllvd/demos/verify_start_end_handshape_annotations//test_auto_move//signs_mov_separ_signers/Naomi_558.mov","MOV")</f>
        <v>21</v>
      </c>
    </row>
    <row r="2648" s="2" customFormat="1" ht="13.5" customHeight="1">
      <c r="B2648" s="13"/>
      <c r="C2648" t="s" s="9">
        <v>27</v>
      </c>
      <c r="D2648" t="s" s="8">
        <v>930</v>
      </c>
      <c r="E2648" t="s" s="9">
        <v>931</v>
      </c>
      <c r="F2648" t="s" s="10">
        <v>229</v>
      </c>
      <c r="G2648" t="s" s="11">
        <v>229</v>
      </c>
      <c r="H2648" t="s" s="10">
        <v>229</v>
      </c>
      <c r="I2648" t="s" s="11">
        <v>229</v>
      </c>
      <c r="J2648" t="s" s="11">
        <v>20</v>
      </c>
      <c r="K2648" s="15"/>
      <c r="L2648" t="s" s="16">
        <f>HYPERLINK("http://csr.bu.edu/ftp/asl/asllvd/demos/verify_start_end_handshape_annotations//test_auto_move//signs_mov_separ_signers/Naomi_3544.mov","MOV")</f>
        <v>21</v>
      </c>
      <c r="M2648" t="s" s="10">
        <v>86</v>
      </c>
      <c r="N2648" s="17">
        <v>29</v>
      </c>
      <c r="O2648" s="18">
        <v>1405</v>
      </c>
      <c r="P2648" s="18">
        <v>1425</v>
      </c>
      <c r="Q2648" s="15"/>
      <c r="R2648" t="s" s="16">
        <f>HYPERLINK("http://secrets.rutgers.edu:8080/data/asl-ftp/asllvd/demos/verify_start_end_handshape_annotations//test_auto_move//signs_mov_separ_signers/Naomi_3544.mov","MOV")</f>
        <v>21</v>
      </c>
    </row>
    <row r="2649" s="2" customFormat="1" ht="13.5" customHeight="1">
      <c r="B2649" s="13"/>
      <c r="C2649" t="s" s="9">
        <v>30</v>
      </c>
      <c r="D2649" t="s" s="8">
        <v>930</v>
      </c>
      <c r="E2649" t="s" s="9">
        <v>933</v>
      </c>
      <c r="F2649" t="s" s="10">
        <v>229</v>
      </c>
      <c r="G2649" t="s" s="11">
        <v>229</v>
      </c>
      <c r="H2649" t="s" s="10">
        <v>229</v>
      </c>
      <c r="I2649" t="s" s="11">
        <v>229</v>
      </c>
      <c r="J2649" t="s" s="11">
        <v>20</v>
      </c>
      <c r="K2649" s="15"/>
      <c r="L2649" t="s" s="16">
        <f>HYPERLINK("http://csr.bu.edu/ftp/asl/asllvd/demos/verify_start_end_handshape_annotations//test_auto_move//signs_mov_separ_signers/Brady_558.mov","MOV")</f>
        <v>21</v>
      </c>
      <c r="M2649" t="s" s="10">
        <v>31</v>
      </c>
      <c r="N2649" s="17">
        <v>30</v>
      </c>
      <c r="O2649" s="18">
        <v>10581</v>
      </c>
      <c r="P2649" s="18">
        <v>10621</v>
      </c>
      <c r="Q2649" s="15"/>
      <c r="R2649" t="s" s="16">
        <f>HYPERLINK("http://secrets.rutgers.edu:8080/data/asl-ftp/asllvd/demos/verify_start_end_handshape_annotations//test_auto_move//signs_mov_separ_signers/Brady_558.mov","MOV")</f>
        <v>21</v>
      </c>
    </row>
    <row r="2650" s="2" customFormat="1" ht="13.5" customHeight="1">
      <c r="B2650" s="13"/>
      <c r="C2650" t="s" s="9">
        <v>30</v>
      </c>
      <c r="D2650" t="s" s="8">
        <v>930</v>
      </c>
      <c r="E2650" t="s" s="9">
        <v>933</v>
      </c>
      <c r="F2650" t="s" s="10">
        <v>229</v>
      </c>
      <c r="G2650" t="s" s="11">
        <v>229</v>
      </c>
      <c r="H2650" t="s" s="10">
        <v>229</v>
      </c>
      <c r="I2650" t="s" s="11">
        <v>229</v>
      </c>
      <c r="J2650" t="s" s="11">
        <v>20</v>
      </c>
      <c r="K2650" s="15"/>
      <c r="L2650" t="s" s="16">
        <f>HYPERLINK("http://csr.bu.edu/ftp/asl/asllvd/demos/verify_start_end_handshape_annotations//test_auto_move//signs_mov_separ_signers/Brady_3544.mov","MOV")</f>
        <v>21</v>
      </c>
      <c r="M2650" t="s" s="10">
        <v>39</v>
      </c>
      <c r="N2650" s="17">
        <v>10</v>
      </c>
      <c r="O2650" s="18">
        <v>8506</v>
      </c>
      <c r="P2650" s="18">
        <v>8541</v>
      </c>
      <c r="Q2650" s="15"/>
      <c r="R2650" t="s" s="16">
        <f>HYPERLINK("http://secrets.rutgers.edu:8080/data/asl-ftp/asllvd/demos/verify_start_end_handshape_annotations//test_auto_move//signs_mov_separ_signers/Brady_3544.mov","MOV")</f>
        <v>21</v>
      </c>
    </row>
    <row r="2651" s="2" customFormat="1" ht="13.5" customHeight="1">
      <c r="B2651" t="s" s="8">
        <v>934</v>
      </c>
      <c r="C2651" t="s" s="9">
        <v>14</v>
      </c>
      <c r="D2651" t="s" s="8">
        <v>14</v>
      </c>
      <c r="E2651" t="s" s="9">
        <v>14</v>
      </c>
      <c r="F2651" t="s" s="10">
        <v>14</v>
      </c>
      <c r="G2651" t="s" s="11">
        <v>14</v>
      </c>
      <c r="H2651" t="s" s="10">
        <v>14</v>
      </c>
      <c r="I2651" t="s" s="11">
        <v>14</v>
      </c>
      <c r="J2651" t="s" s="11">
        <v>14</v>
      </c>
      <c r="K2651" t="s" s="12">
        <v>14</v>
      </c>
      <c r="L2651" t="s" s="12">
        <v>14</v>
      </c>
      <c r="M2651" t="s" s="10">
        <v>14</v>
      </c>
      <c r="N2651" t="s" s="11">
        <v>14</v>
      </c>
      <c r="O2651" t="s" s="8">
        <v>14</v>
      </c>
      <c r="P2651" t="s" s="8">
        <v>14</v>
      </c>
      <c r="Q2651" t="s" s="12">
        <v>14</v>
      </c>
      <c r="R2651" t="s" s="12">
        <v>14</v>
      </c>
    </row>
    <row r="2652" s="2" customFormat="1" ht="13.5" customHeight="1">
      <c r="B2652" s="13"/>
      <c r="C2652" t="s" s="9">
        <v>16</v>
      </c>
      <c r="D2652" t="s" s="8">
        <v>934</v>
      </c>
      <c r="E2652" t="s" s="9">
        <v>934</v>
      </c>
      <c r="F2652" t="s" s="10">
        <v>185</v>
      </c>
      <c r="G2652" s="14"/>
      <c r="H2652" t="s" s="10">
        <v>185</v>
      </c>
      <c r="I2652" s="14"/>
      <c r="J2652" t="s" s="11">
        <v>20</v>
      </c>
      <c r="K2652" s="15"/>
      <c r="L2652" t="s" s="16">
        <f>HYPERLINK("http://csr.bu.edu/ftp/asl/asllvd/demos/verify_start_end_handshape_annotations//test_auto_move//signs_mov_separ_signers/Liz_564.mov","MOV")</f>
        <v>21</v>
      </c>
      <c r="M2652" t="s" s="10">
        <v>84</v>
      </c>
      <c r="N2652" s="17">
        <v>7</v>
      </c>
      <c r="O2652" s="18">
        <v>2020</v>
      </c>
      <c r="P2652" s="18">
        <v>2052</v>
      </c>
      <c r="Q2652" s="15"/>
      <c r="R2652" t="s" s="16">
        <f>HYPERLINK("http://secrets.rutgers.edu:8080/data/asl-ftp/asllvd/demos/verify_start_end_handshape_annotations//test_auto_move//signs_mov_separ_signers/Liz_564.mov","MOV")</f>
        <v>21</v>
      </c>
    </row>
    <row r="2653" s="2" customFormat="1" ht="13.5" customHeight="1">
      <c r="B2653" s="13"/>
      <c r="C2653" t="s" s="9">
        <v>27</v>
      </c>
      <c r="D2653" t="s" s="8">
        <v>934</v>
      </c>
      <c r="E2653" t="s" s="9">
        <v>934</v>
      </c>
      <c r="F2653" t="s" s="10">
        <v>185</v>
      </c>
      <c r="G2653" s="14"/>
      <c r="H2653" t="s" s="10">
        <v>185</v>
      </c>
      <c r="I2653" s="14"/>
      <c r="J2653" t="s" s="11">
        <v>20</v>
      </c>
      <c r="K2653" t="s" s="16">
        <f>HYPERLINK("http://csr.bu.edu/ftp/asl/asllvd/demos/verify_start_end_handshape_annotations//test_auto_move//signs_mov/564_5025_merged.mov","MOV")</f>
        <v>21</v>
      </c>
      <c r="L2653" t="s" s="16">
        <f>HYPERLINK("http://csr.bu.edu/ftp/asl/asllvd/demos/verify_start_end_handshape_annotations//test_auto_move//signs_mov_separ_signers/Naomi_564.mov","MOV")</f>
        <v>21</v>
      </c>
      <c r="M2653" t="s" s="10">
        <v>86</v>
      </c>
      <c r="N2653" s="17">
        <v>7</v>
      </c>
      <c r="O2653" s="18">
        <v>1435</v>
      </c>
      <c r="P2653" s="18">
        <v>1451</v>
      </c>
      <c r="Q2653" t="s" s="16">
        <f>HYPERLINK("http://secrets.rutgers.edu:8080/data/asl-ftp/asllvd/demos/verify_start_end_handshape_annotations//test_auto_move//signs_mov/564_5025_merged.mov","MOV")</f>
        <v>21</v>
      </c>
      <c r="R2653" t="s" s="16">
        <f>HYPERLINK("http://secrets.rutgers.edu:8080/data/asl-ftp/asllvd/demos/verify_start_end_handshape_annotations//test_auto_move//signs_mov_separ_signers/Naomi_564.mov","MOV")</f>
        <v>21</v>
      </c>
    </row>
    <row r="2654" s="2" customFormat="1" ht="13.5" customHeight="1">
      <c r="B2654" s="13"/>
      <c r="C2654" t="s" s="9">
        <v>30</v>
      </c>
      <c r="D2654" t="s" s="8">
        <v>934</v>
      </c>
      <c r="E2654" t="s" s="9">
        <v>934</v>
      </c>
      <c r="F2654" t="s" s="10">
        <v>150</v>
      </c>
      <c r="G2654" s="14"/>
      <c r="H2654" t="s" s="10">
        <v>150</v>
      </c>
      <c r="I2654" s="14"/>
      <c r="J2654" t="s" s="11">
        <v>20</v>
      </c>
      <c r="K2654" s="15"/>
      <c r="L2654" t="s" s="16">
        <f>HYPERLINK("http://csr.bu.edu/ftp/asl/asllvd/demos/verify_start_end_handshape_annotations//test_auto_move//signs_mov_separ_signers/Brady_564.mov","MOV")</f>
        <v>21</v>
      </c>
      <c r="M2654" t="s" s="10">
        <v>31</v>
      </c>
      <c r="N2654" s="17">
        <v>31</v>
      </c>
      <c r="O2654" s="18">
        <v>248</v>
      </c>
      <c r="P2654" s="18">
        <v>266</v>
      </c>
      <c r="Q2654" s="15"/>
      <c r="R2654" t="s" s="16">
        <f>HYPERLINK("http://secrets.rutgers.edu:8080/data/asl-ftp/asllvd/demos/verify_start_end_handshape_annotations//test_auto_move//signs_mov_separ_signers/Brady_564.mov","MOV")</f>
        <v>21</v>
      </c>
    </row>
    <row r="2655" s="2" customFormat="1" ht="13.5" customHeight="1">
      <c r="B2655" s="13"/>
      <c r="C2655" t="s" s="9">
        <v>30</v>
      </c>
      <c r="D2655" t="s" s="8">
        <v>934</v>
      </c>
      <c r="E2655" t="s" s="9">
        <v>934</v>
      </c>
      <c r="F2655" t="s" s="10">
        <v>185</v>
      </c>
      <c r="G2655" s="14"/>
      <c r="H2655" t="s" s="10">
        <v>185</v>
      </c>
      <c r="I2655" s="14"/>
      <c r="J2655" t="s" s="11">
        <v>20</v>
      </c>
      <c r="K2655" s="15"/>
      <c r="L2655" t="s" s="16">
        <f>HYPERLINK("http://csr.bu.edu/ftp/asl/asllvd/demos/verify_start_end_handshape_annotations//test_auto_move//signs_mov_separ_signers/Brady_5025.mov","MOV")</f>
        <v>21</v>
      </c>
      <c r="M2655" t="s" s="10">
        <v>31</v>
      </c>
      <c r="N2655" s="17">
        <v>31</v>
      </c>
      <c r="O2655" s="18">
        <v>1058</v>
      </c>
      <c r="P2655" s="18">
        <v>1076</v>
      </c>
      <c r="Q2655" s="15"/>
      <c r="R2655" t="s" s="16">
        <f>HYPERLINK("http://secrets.rutgers.edu:8080/data/asl-ftp/asllvd/demos/verify_start_end_handshape_annotations//test_auto_move//signs_mov_separ_signers/Brady_5025.mov","MOV")</f>
        <v>21</v>
      </c>
    </row>
    <row r="2656" s="2" customFormat="1" ht="13.5" customHeight="1">
      <c r="B2656" t="s" s="8">
        <v>52</v>
      </c>
      <c r="C2656" t="s" s="9">
        <v>53</v>
      </c>
      <c r="D2656" t="s" s="8">
        <v>53</v>
      </c>
      <c r="E2656" t="s" s="9">
        <v>53</v>
      </c>
      <c r="F2656" t="s" s="10">
        <v>53</v>
      </c>
      <c r="G2656" t="s" s="11">
        <v>53</v>
      </c>
      <c r="H2656" t="s" s="10">
        <v>53</v>
      </c>
      <c r="I2656" t="s" s="11">
        <v>53</v>
      </c>
      <c r="J2656" t="s" s="11">
        <v>53</v>
      </c>
      <c r="K2656" t="s" s="12">
        <v>53</v>
      </c>
      <c r="L2656" t="s" s="12">
        <v>53</v>
      </c>
      <c r="M2656" t="s" s="10">
        <v>53</v>
      </c>
      <c r="N2656" t="s" s="11">
        <v>53</v>
      </c>
      <c r="O2656" t="s" s="8">
        <v>53</v>
      </c>
      <c r="P2656" t="s" s="8">
        <v>53</v>
      </c>
      <c r="Q2656" t="s" s="12">
        <v>53</v>
      </c>
      <c r="R2656" t="s" s="12">
        <v>53</v>
      </c>
    </row>
    <row r="2657" s="2" customFormat="1" ht="13.5" customHeight="1">
      <c r="B2657" s="13"/>
      <c r="C2657" t="s" s="9">
        <v>43</v>
      </c>
      <c r="D2657" t="s" s="8">
        <v>934</v>
      </c>
      <c r="E2657" t="s" s="9">
        <v>935</v>
      </c>
      <c r="F2657" t="s" s="10">
        <v>185</v>
      </c>
      <c r="G2657" s="14"/>
      <c r="H2657" t="s" s="10">
        <v>185</v>
      </c>
      <c r="I2657" s="14"/>
      <c r="J2657" t="s" s="11">
        <v>20</v>
      </c>
      <c r="K2657" t="s" s="16">
        <f>HYPERLINK("http://csr.bu.edu/ftp/asl/asllvd/demos/verify_start_end_handshape_annotations//test_auto_move//signs_mov/15008.mov","MOV")</f>
        <v>21</v>
      </c>
      <c r="L2657" t="s" s="16">
        <f>HYPERLINK("http://csr.bu.edu/ftp/asl/asllvd/demos/verify_start_end_handshape_annotations//test_auto_move//signs_mov_separ_signers/Dana_15008.mov","MOV")</f>
        <v>21</v>
      </c>
      <c r="M2657" t="s" s="10">
        <v>44</v>
      </c>
      <c r="N2657" s="17">
        <v>10</v>
      </c>
      <c r="O2657" s="18">
        <v>836</v>
      </c>
      <c r="P2657" s="18">
        <v>882</v>
      </c>
      <c r="Q2657" t="s" s="16">
        <f>HYPERLINK("http://secrets.rutgers.edu:8080/data/asl-ftp/asllvd/demos/verify_start_end_handshape_annotations//test_auto_move//signs_mov/15008.mov","MOV")</f>
        <v>21</v>
      </c>
      <c r="R2657" t="s" s="16">
        <f>HYPERLINK("http://secrets.rutgers.edu:8080/data/asl-ftp/asllvd/demos/verify_start_end_handshape_annotations//test_auto_move//signs_mov_separ_signers/Dana_15008.mov","MOV")</f>
        <v>21</v>
      </c>
    </row>
    <row r="2658" s="2" customFormat="1" ht="13.5" customHeight="1">
      <c r="B2658" t="s" s="8">
        <v>936</v>
      </c>
      <c r="C2658" t="s" s="9">
        <v>14</v>
      </c>
      <c r="D2658" t="s" s="8">
        <v>14</v>
      </c>
      <c r="E2658" t="s" s="9">
        <v>14</v>
      </c>
      <c r="F2658" t="s" s="10">
        <v>14</v>
      </c>
      <c r="G2658" t="s" s="11">
        <v>14</v>
      </c>
      <c r="H2658" t="s" s="10">
        <v>14</v>
      </c>
      <c r="I2658" t="s" s="11">
        <v>14</v>
      </c>
      <c r="J2658" t="s" s="11">
        <v>14</v>
      </c>
      <c r="K2658" t="s" s="12">
        <v>14</v>
      </c>
      <c r="L2658" t="s" s="12">
        <v>14</v>
      </c>
      <c r="M2658" t="s" s="10">
        <v>14</v>
      </c>
      <c r="N2658" t="s" s="11">
        <v>14</v>
      </c>
      <c r="O2658" t="s" s="8">
        <v>14</v>
      </c>
      <c r="P2658" t="s" s="8">
        <v>14</v>
      </c>
      <c r="Q2658" t="s" s="12">
        <v>14</v>
      </c>
      <c r="R2658" t="s" s="12">
        <v>14</v>
      </c>
    </row>
    <row r="2659" s="2" customFormat="1" ht="13.5" customHeight="1">
      <c r="B2659" s="13"/>
      <c r="C2659" t="s" s="9">
        <v>16</v>
      </c>
      <c r="D2659" t="s" s="8">
        <v>936</v>
      </c>
      <c r="E2659" t="s" s="9">
        <v>936</v>
      </c>
      <c r="F2659" t="s" s="10">
        <v>185</v>
      </c>
      <c r="G2659" s="14"/>
      <c r="H2659" t="s" s="10">
        <v>185</v>
      </c>
      <c r="I2659" s="14"/>
      <c r="J2659" t="s" s="11">
        <v>20</v>
      </c>
      <c r="K2659" s="15"/>
      <c r="L2659" t="s" s="16">
        <f>HYPERLINK("http://csr.bu.edu/ftp/asl/asllvd/demos/verify_start_end_handshape_annotations//test_auto_move//signs_mov_separ_signers/Liz_15009.mov","MOV")</f>
        <v>21</v>
      </c>
      <c r="M2659" t="s" s="10">
        <v>84</v>
      </c>
      <c r="N2659" s="17">
        <v>7</v>
      </c>
      <c r="O2659" s="18">
        <v>1535</v>
      </c>
      <c r="P2659" s="18">
        <v>1550</v>
      </c>
      <c r="Q2659" s="15"/>
      <c r="R2659" t="s" s="16">
        <f>HYPERLINK("http://secrets.rutgers.edu:8080/data/asl-ftp/asllvd/demos/verify_start_end_handshape_annotations//test_auto_move//signs_mov_separ_signers/Liz_15009.mov","MOV")</f>
        <v>21</v>
      </c>
    </row>
    <row r="2660" s="2" customFormat="1" ht="13.5" customHeight="1">
      <c r="B2660" s="13"/>
      <c r="C2660" t="s" s="9">
        <v>23</v>
      </c>
      <c r="D2660" t="s" s="8">
        <v>936</v>
      </c>
      <c r="E2660" t="s" s="9">
        <v>936</v>
      </c>
      <c r="F2660" t="s" s="10">
        <v>185</v>
      </c>
      <c r="G2660" s="14"/>
      <c r="H2660" t="s" s="10">
        <v>185</v>
      </c>
      <c r="I2660" s="14"/>
      <c r="J2660" t="s" s="11">
        <v>20</v>
      </c>
      <c r="K2660" t="s" s="16">
        <f>HYPERLINK("http://csr.bu.edu/ftp/asl/asllvd/demos/verify_start_end_handshape_annotations//test_auto_move//signs_mov/15009.mov","MOV")</f>
        <v>21</v>
      </c>
      <c r="L2660" t="s" s="16">
        <f>HYPERLINK("http://csr.bu.edu/ftp/asl/asllvd/demos/verify_start_end_handshape_annotations//test_auto_move//signs_mov_separ_signers/Tyler_15009.mov","MOV")</f>
        <v>21</v>
      </c>
      <c r="M2660" t="s" s="10">
        <v>125</v>
      </c>
      <c r="N2660" s="17">
        <v>7</v>
      </c>
      <c r="O2660" s="18">
        <v>542</v>
      </c>
      <c r="P2660" s="18">
        <v>590</v>
      </c>
      <c r="Q2660" t="s" s="16">
        <f>HYPERLINK("http://secrets.rutgers.edu:8080/data/asl-ftp/asllvd/demos/verify_start_end_handshape_annotations//test_auto_move//signs_mov/15009.mov","MOV")</f>
        <v>21</v>
      </c>
      <c r="R2660" t="s" s="16">
        <f>HYPERLINK("http://secrets.rutgers.edu:8080/data/asl-ftp/asllvd/demos/verify_start_end_handshape_annotations//test_auto_move//signs_mov_separ_signers/Tyler_15009.mov","MOV")</f>
        <v>21</v>
      </c>
    </row>
    <row r="2661" s="2" customFormat="1" ht="13.5" customHeight="1">
      <c r="B2661" s="13"/>
      <c r="C2661" t="s" s="9">
        <v>27</v>
      </c>
      <c r="D2661" t="s" s="8">
        <v>936</v>
      </c>
      <c r="E2661" t="s" s="9">
        <v>936</v>
      </c>
      <c r="F2661" t="s" s="10">
        <v>185</v>
      </c>
      <c r="G2661" s="14"/>
      <c r="H2661" t="s" s="10">
        <v>185</v>
      </c>
      <c r="I2661" s="14"/>
      <c r="J2661" t="s" s="11">
        <v>20</v>
      </c>
      <c r="K2661" s="15"/>
      <c r="L2661" t="s" s="16">
        <f>HYPERLINK("http://csr.bu.edu/ftp/asl/asllvd/demos/verify_start_end_handshape_annotations//test_auto_move//signs_mov_separ_signers/Naomi_15009.mov","MOV")</f>
        <v>21</v>
      </c>
      <c r="M2661" t="s" s="10">
        <v>86</v>
      </c>
      <c r="N2661" s="17">
        <v>7</v>
      </c>
      <c r="O2661" s="18">
        <v>866</v>
      </c>
      <c r="P2661" s="18">
        <v>885</v>
      </c>
      <c r="Q2661" s="15"/>
      <c r="R2661" t="s" s="16">
        <f>HYPERLINK("http://secrets.rutgers.edu:8080/data/asl-ftp/asllvd/demos/verify_start_end_handshape_annotations//test_auto_move//signs_mov_separ_signers/Naomi_15009.mov","MOV")</f>
        <v>21</v>
      </c>
    </row>
    <row r="2662" s="2" customFormat="1" ht="13.5" customHeight="1">
      <c r="B2662" s="13"/>
      <c r="C2662" t="s" s="9">
        <v>41</v>
      </c>
      <c r="D2662" t="s" s="8">
        <v>936</v>
      </c>
      <c r="E2662" t="s" s="9">
        <v>936</v>
      </c>
      <c r="F2662" t="s" s="10">
        <v>185</v>
      </c>
      <c r="G2662" s="14"/>
      <c r="H2662" t="s" s="10">
        <v>185</v>
      </c>
      <c r="I2662" s="14"/>
      <c r="J2662" t="s" s="11">
        <v>20</v>
      </c>
      <c r="K2662" s="15"/>
      <c r="L2662" t="s" s="16">
        <f>HYPERLINK("http://csr.bu.edu/ftp/asl/asllvd/demos/verify_start_end_handshape_annotations//test_auto_move//signs_mov_separ_signers/Lana_15009.mov","MOV")</f>
        <v>21</v>
      </c>
      <c r="M2662" t="s" s="10">
        <v>42</v>
      </c>
      <c r="N2662" s="17">
        <v>6</v>
      </c>
      <c r="O2662" s="18">
        <v>626</v>
      </c>
      <c r="P2662" s="18">
        <v>654</v>
      </c>
      <c r="Q2662" s="15"/>
      <c r="R2662" t="s" s="16">
        <f>HYPERLINK("http://secrets.rutgers.edu:8080/data/asl-ftp/asllvd/demos/verify_start_end_handshape_annotations//test_auto_move//signs_mov_separ_signers/Lana_15009.mov","MOV")</f>
        <v>21</v>
      </c>
    </row>
    <row r="2663" s="2" customFormat="1" ht="13.5" customHeight="1">
      <c r="B2663" t="s" s="8">
        <v>937</v>
      </c>
      <c r="C2663" t="s" s="9">
        <v>14</v>
      </c>
      <c r="D2663" t="s" s="8">
        <v>14</v>
      </c>
      <c r="E2663" t="s" s="9">
        <v>14</v>
      </c>
      <c r="F2663" t="s" s="10">
        <v>14</v>
      </c>
      <c r="G2663" t="s" s="11">
        <v>14</v>
      </c>
      <c r="H2663" t="s" s="10">
        <v>14</v>
      </c>
      <c r="I2663" t="s" s="11">
        <v>14</v>
      </c>
      <c r="J2663" t="s" s="11">
        <v>14</v>
      </c>
      <c r="K2663" t="s" s="12">
        <v>14</v>
      </c>
      <c r="L2663" t="s" s="12">
        <v>14</v>
      </c>
      <c r="M2663" t="s" s="10">
        <v>14</v>
      </c>
      <c r="N2663" t="s" s="11">
        <v>14</v>
      </c>
      <c r="O2663" t="s" s="8">
        <v>14</v>
      </c>
      <c r="P2663" t="s" s="8">
        <v>14</v>
      </c>
      <c r="Q2663" t="s" s="12">
        <v>14</v>
      </c>
      <c r="R2663" t="s" s="12">
        <v>14</v>
      </c>
    </row>
    <row r="2664" s="2" customFormat="1" ht="13.5" customHeight="1">
      <c r="B2664" s="13"/>
      <c r="C2664" t="s" s="9">
        <v>16</v>
      </c>
      <c r="D2664" t="s" s="8">
        <v>937</v>
      </c>
      <c r="E2664" t="s" s="9">
        <v>937</v>
      </c>
      <c r="F2664" t="s" s="10">
        <v>185</v>
      </c>
      <c r="G2664" s="14"/>
      <c r="H2664" t="s" s="10">
        <v>185</v>
      </c>
      <c r="I2664" s="14"/>
      <c r="J2664" t="s" s="11">
        <v>20</v>
      </c>
      <c r="K2664" s="15"/>
      <c r="L2664" t="s" s="16">
        <f>HYPERLINK("http://csr.bu.edu/ftp/asl/asllvd/demos/verify_start_end_handshape_annotations//test_auto_move//signs_mov_separ_signers/Liz_15133.mov","MOV")</f>
        <v>21</v>
      </c>
      <c r="M2664" t="s" s="10">
        <v>84</v>
      </c>
      <c r="N2664" s="17">
        <v>7</v>
      </c>
      <c r="O2664" s="18">
        <v>1771</v>
      </c>
      <c r="P2664" s="18">
        <v>1813</v>
      </c>
      <c r="Q2664" s="15"/>
      <c r="R2664" t="s" s="16">
        <f>HYPERLINK("http://secrets.rutgers.edu:8080/data/asl-ftp/asllvd/demos/verify_start_end_handshape_annotations//test_auto_move//signs_mov_separ_signers/Liz_15133.mov","MOV")</f>
        <v>21</v>
      </c>
    </row>
    <row r="2665" s="2" customFormat="1" ht="13.5" customHeight="1">
      <c r="B2665" s="13"/>
      <c r="C2665" t="s" s="9">
        <v>23</v>
      </c>
      <c r="D2665" t="s" s="8">
        <v>937</v>
      </c>
      <c r="E2665" t="s" s="9">
        <v>938</v>
      </c>
      <c r="F2665" t="s" s="10">
        <v>185</v>
      </c>
      <c r="G2665" s="14"/>
      <c r="H2665" t="s" s="10">
        <v>185</v>
      </c>
      <c r="I2665" s="14"/>
      <c r="J2665" t="s" s="11">
        <v>20</v>
      </c>
      <c r="K2665" s="15"/>
      <c r="L2665" t="s" s="16">
        <f>HYPERLINK("http://csr.bu.edu/ftp/asl/asllvd/demos/verify_start_end_handshape_annotations//test_auto_move//signs_mov_separ_signers/Tyler_15133.mov","MOV")</f>
        <v>21</v>
      </c>
      <c r="M2665" t="s" s="10">
        <v>125</v>
      </c>
      <c r="N2665" s="17">
        <v>7</v>
      </c>
      <c r="O2665" s="18">
        <v>746</v>
      </c>
      <c r="P2665" s="18">
        <v>790</v>
      </c>
      <c r="Q2665" s="15"/>
      <c r="R2665" t="s" s="16">
        <f>HYPERLINK("http://secrets.rutgers.edu:8080/data/asl-ftp/asllvd/demos/verify_start_end_handshape_annotations//test_auto_move//signs_mov_separ_signers/Tyler_15133.mov","MOV")</f>
        <v>21</v>
      </c>
    </row>
    <row r="2666" s="2" customFormat="1" ht="13.5" customHeight="1">
      <c r="B2666" s="13"/>
      <c r="C2666" t="s" s="9">
        <v>23</v>
      </c>
      <c r="D2666" t="s" s="8">
        <v>937</v>
      </c>
      <c r="E2666" t="s" s="9">
        <v>938</v>
      </c>
      <c r="F2666" t="s" s="10">
        <v>185</v>
      </c>
      <c r="G2666" s="14"/>
      <c r="H2666" t="s" s="10">
        <v>185</v>
      </c>
      <c r="I2666" s="14"/>
      <c r="J2666" t="s" s="11">
        <v>20</v>
      </c>
      <c r="K2666" t="s" s="16">
        <f>HYPERLINK("http://csr.bu.edu/ftp/asl/asllvd/demos/verify_start_end_handshape_annotations//test_auto_move//signs_mov/15133_16304_merged.mov","MOV")</f>
        <v>21</v>
      </c>
      <c r="L2666" t="s" s="16">
        <f>HYPERLINK("http://csr.bu.edu/ftp/asl/asllvd/demos/verify_start_end_handshape_annotations//test_auto_move//signs_mov_separ_signers/Tyler_16304.mov","MOV")</f>
        <v>21</v>
      </c>
      <c r="M2666" t="s" s="10">
        <v>125</v>
      </c>
      <c r="N2666" s="17">
        <v>7</v>
      </c>
      <c r="O2666" s="18">
        <v>1275</v>
      </c>
      <c r="P2666" s="18">
        <v>1305</v>
      </c>
      <c r="Q2666" t="s" s="16">
        <f>HYPERLINK("http://secrets.rutgers.edu:8080/data/asl-ftp/asllvd/demos/verify_start_end_handshape_annotations//test_auto_move//signs_mov/15133_16304_merged.mov","MOV")</f>
        <v>21</v>
      </c>
      <c r="R2666" t="s" s="16">
        <f>HYPERLINK("http://secrets.rutgers.edu:8080/data/asl-ftp/asllvd/demos/verify_start_end_handshape_annotations//test_auto_move//signs_mov_separ_signers/Tyler_16304.mov","MOV")</f>
        <v>21</v>
      </c>
    </row>
    <row r="2667" s="2" customFormat="1" ht="13.5" customHeight="1">
      <c r="B2667" s="13"/>
      <c r="C2667" t="s" s="9">
        <v>27</v>
      </c>
      <c r="D2667" t="s" s="8">
        <v>937</v>
      </c>
      <c r="E2667" t="s" s="9">
        <v>937</v>
      </c>
      <c r="F2667" t="s" s="10">
        <v>185</v>
      </c>
      <c r="G2667" s="14"/>
      <c r="H2667" t="s" s="10">
        <v>185</v>
      </c>
      <c r="I2667" s="14"/>
      <c r="J2667" t="s" s="11">
        <v>20</v>
      </c>
      <c r="K2667" s="15"/>
      <c r="L2667" t="s" s="16">
        <f>HYPERLINK("http://csr.bu.edu/ftp/asl/asllvd/demos/verify_start_end_handshape_annotations//test_auto_move//signs_mov_separ_signers/Naomi_15133.mov","MOV")</f>
        <v>21</v>
      </c>
      <c r="M2667" t="s" s="10">
        <v>86</v>
      </c>
      <c r="N2667" s="17">
        <v>7</v>
      </c>
      <c r="O2667" s="18">
        <v>1080</v>
      </c>
      <c r="P2667" s="18">
        <v>1096</v>
      </c>
      <c r="Q2667" s="15"/>
      <c r="R2667" t="s" s="16">
        <f>HYPERLINK("http://secrets.rutgers.edu:8080/data/asl-ftp/asllvd/demos/verify_start_end_handshape_annotations//test_auto_move//signs_mov_separ_signers/Naomi_15133.mov","MOV")</f>
        <v>21</v>
      </c>
    </row>
    <row r="2668" s="2" customFormat="1" ht="13.5" customHeight="1">
      <c r="B2668" s="13"/>
      <c r="C2668" t="s" s="9">
        <v>30</v>
      </c>
      <c r="D2668" t="s" s="8">
        <v>937</v>
      </c>
      <c r="E2668" t="s" s="9">
        <v>937</v>
      </c>
      <c r="F2668" t="s" s="10">
        <v>185</v>
      </c>
      <c r="G2668" s="14"/>
      <c r="H2668" t="s" s="10">
        <v>185</v>
      </c>
      <c r="I2668" s="14"/>
      <c r="J2668" t="s" s="11">
        <v>20</v>
      </c>
      <c r="K2668" s="15"/>
      <c r="L2668" t="s" s="16">
        <f>HYPERLINK("http://csr.bu.edu/ftp/asl/asllvd/demos/verify_start_end_handshape_annotations//test_auto_move//signs_mov_separ_signers/Brady_15133.mov","MOV")</f>
        <v>21</v>
      </c>
      <c r="M2668" t="s" s="10">
        <v>31</v>
      </c>
      <c r="N2668" s="17">
        <v>30</v>
      </c>
      <c r="O2668" s="18">
        <v>12111</v>
      </c>
      <c r="P2668" s="18">
        <v>12140</v>
      </c>
      <c r="Q2668" s="15"/>
      <c r="R2668" t="s" s="16">
        <f>HYPERLINK("http://secrets.rutgers.edu:8080/data/asl-ftp/asllvd/demos/verify_start_end_handshape_annotations//test_auto_move//signs_mov_separ_signers/Brady_15133.mov","MOV")</f>
        <v>21</v>
      </c>
    </row>
    <row r="2669" s="2" customFormat="1" ht="13.5" customHeight="1">
      <c r="B2669" s="13"/>
      <c r="C2669" t="s" s="9">
        <v>30</v>
      </c>
      <c r="D2669" t="s" s="8">
        <v>937</v>
      </c>
      <c r="E2669" t="s" s="9">
        <v>937</v>
      </c>
      <c r="F2669" t="s" s="10">
        <v>185</v>
      </c>
      <c r="G2669" s="14"/>
      <c r="H2669" t="s" s="10">
        <v>185</v>
      </c>
      <c r="I2669" s="14"/>
      <c r="J2669" t="s" s="11">
        <v>20</v>
      </c>
      <c r="K2669" s="15"/>
      <c r="L2669" t="s" s="16">
        <f>HYPERLINK("http://csr.bu.edu/ftp/asl/asllvd/demos/verify_start_end_handshape_annotations//test_auto_move//signs_mov_separ_signers/Brady_16304.mov","MOV")</f>
        <v>21</v>
      </c>
      <c r="M2669" t="s" s="10">
        <v>31</v>
      </c>
      <c r="N2669" s="17">
        <v>30</v>
      </c>
      <c r="O2669" s="18">
        <v>12392</v>
      </c>
      <c r="P2669" s="18">
        <v>12424</v>
      </c>
      <c r="Q2669" s="15"/>
      <c r="R2669" t="s" s="16">
        <f>HYPERLINK("http://secrets.rutgers.edu:8080/data/asl-ftp/asllvd/demos/verify_start_end_handshape_annotations//test_auto_move//signs_mov_separ_signers/Brady_16304.mov","MOV")</f>
        <v>21</v>
      </c>
    </row>
    <row r="2670" s="2" customFormat="1" ht="13.5" customHeight="1">
      <c r="B2670" t="s" s="8">
        <v>939</v>
      </c>
      <c r="C2670" t="s" s="9">
        <v>14</v>
      </c>
      <c r="D2670" t="s" s="8">
        <v>14</v>
      </c>
      <c r="E2670" t="s" s="9">
        <v>14</v>
      </c>
      <c r="F2670" t="s" s="10">
        <v>14</v>
      </c>
      <c r="G2670" t="s" s="11">
        <v>14</v>
      </c>
      <c r="H2670" t="s" s="10">
        <v>14</v>
      </c>
      <c r="I2670" t="s" s="11">
        <v>14</v>
      </c>
      <c r="J2670" t="s" s="11">
        <v>14</v>
      </c>
      <c r="K2670" t="s" s="12">
        <v>14</v>
      </c>
      <c r="L2670" t="s" s="12">
        <v>14</v>
      </c>
      <c r="M2670" t="s" s="10">
        <v>14</v>
      </c>
      <c r="N2670" t="s" s="11">
        <v>14</v>
      </c>
      <c r="O2670" t="s" s="8">
        <v>14</v>
      </c>
      <c r="P2670" t="s" s="8">
        <v>14</v>
      </c>
      <c r="Q2670" t="s" s="12">
        <v>14</v>
      </c>
      <c r="R2670" t="s" s="12">
        <v>14</v>
      </c>
    </row>
    <row r="2671" s="2" customFormat="1" ht="13.5" customHeight="1">
      <c r="B2671" s="13"/>
      <c r="C2671" t="s" s="9">
        <v>16</v>
      </c>
      <c r="D2671" t="s" s="8">
        <v>939</v>
      </c>
      <c r="E2671" t="s" s="9">
        <v>939</v>
      </c>
      <c r="F2671" t="s" s="10">
        <v>73</v>
      </c>
      <c r="G2671" t="s" s="11">
        <v>109</v>
      </c>
      <c r="H2671" t="s" s="10">
        <v>73</v>
      </c>
      <c r="I2671" t="s" s="11">
        <v>109</v>
      </c>
      <c r="J2671" t="s" s="11">
        <v>20</v>
      </c>
      <c r="K2671" s="15"/>
      <c r="L2671" t="s" s="16">
        <f>HYPERLINK("http://csr.bu.edu/ftp/asl/asllvd/demos/verify_start_end_handshape_annotations//test_auto_move//signs_mov_separ_signers/Liz_565.mov","MOV")</f>
        <v>21</v>
      </c>
      <c r="M2671" t="s" s="10">
        <v>84</v>
      </c>
      <c r="N2671" s="17">
        <v>7</v>
      </c>
      <c r="O2671" s="18">
        <v>2265</v>
      </c>
      <c r="P2671" s="18">
        <v>2295</v>
      </c>
      <c r="Q2671" s="15"/>
      <c r="R2671" t="s" s="16">
        <f>HYPERLINK("http://secrets.rutgers.edu:8080/data/asl-ftp/asllvd/demos/verify_start_end_handshape_annotations//test_auto_move//signs_mov_separ_signers/Liz_565.mov","MOV")</f>
        <v>21</v>
      </c>
    </row>
    <row r="2672" s="2" customFormat="1" ht="13.5" customHeight="1">
      <c r="B2672" s="13"/>
      <c r="C2672" t="s" s="9">
        <v>16</v>
      </c>
      <c r="D2672" t="s" s="8">
        <v>939</v>
      </c>
      <c r="E2672" t="s" s="9">
        <v>939</v>
      </c>
      <c r="F2672" t="s" s="10">
        <v>73</v>
      </c>
      <c r="G2672" t="s" s="11">
        <v>55</v>
      </c>
      <c r="H2672" t="s" s="10">
        <v>73</v>
      </c>
      <c r="I2672" t="s" s="11">
        <v>55</v>
      </c>
      <c r="J2672" t="s" s="11">
        <v>20</v>
      </c>
      <c r="K2672" s="15"/>
      <c r="L2672" t="s" s="16">
        <f>HYPERLINK("http://csr.bu.edu/ftp/asl/asllvd/demos/verify_start_end_handshape_annotations//test_auto_move//signs_mov_separ_signers/Liz_3467.mov","MOV")</f>
        <v>21</v>
      </c>
      <c r="M2672" t="s" s="10">
        <v>59</v>
      </c>
      <c r="N2672" s="17">
        <v>45</v>
      </c>
      <c r="O2672" s="18">
        <v>2568</v>
      </c>
      <c r="P2672" s="18">
        <v>2612</v>
      </c>
      <c r="Q2672" s="15"/>
      <c r="R2672" t="s" s="16">
        <f>HYPERLINK("http://secrets.rutgers.edu:8080/data/asl-ftp/asllvd/demos/verify_start_end_handshape_annotations//test_auto_move//signs_mov_separ_signers/Liz_3467.mov","MOV")</f>
        <v>21</v>
      </c>
    </row>
    <row r="2673" s="2" customFormat="1" ht="13.5" customHeight="1">
      <c r="B2673" s="13"/>
      <c r="C2673" t="s" s="9">
        <v>23</v>
      </c>
      <c r="D2673" t="s" s="8">
        <v>939</v>
      </c>
      <c r="E2673" t="s" s="9">
        <v>939</v>
      </c>
      <c r="F2673" t="s" s="10">
        <v>73</v>
      </c>
      <c r="G2673" t="s" s="11">
        <v>55</v>
      </c>
      <c r="H2673" t="s" s="10">
        <v>73</v>
      </c>
      <c r="I2673" t="s" s="11">
        <v>55</v>
      </c>
      <c r="J2673" t="s" s="11">
        <v>20</v>
      </c>
      <c r="K2673" t="s" s="16">
        <f>HYPERLINK("http://csr.bu.edu/ftp/asl/asllvd/demos/verify_start_end_handshape_annotations//test_auto_move//signs_mov/565_3467_merged.mov","MOV")</f>
        <v>21</v>
      </c>
      <c r="L2673" t="s" s="16">
        <f>HYPERLINK("http://csr.bu.edu/ftp/asl/asllvd/demos/verify_start_end_handshape_annotations//test_auto_move//signs_mov_separ_signers/Tyler_565.mov","MOV")</f>
        <v>21</v>
      </c>
      <c r="M2673" t="s" s="10">
        <v>125</v>
      </c>
      <c r="N2673" s="17">
        <v>7</v>
      </c>
      <c r="O2673" s="18">
        <v>2216</v>
      </c>
      <c r="P2673" s="18">
        <v>2255</v>
      </c>
      <c r="Q2673" t="s" s="16">
        <f>HYPERLINK("http://secrets.rutgers.edu:8080/data/asl-ftp/asllvd/demos/verify_start_end_handshape_annotations//test_auto_move//signs_mov/565_3467_merged.mov","MOV")</f>
        <v>21</v>
      </c>
      <c r="R2673" t="s" s="16">
        <f>HYPERLINK("http://secrets.rutgers.edu:8080/data/asl-ftp/asllvd/demos/verify_start_end_handshape_annotations//test_auto_move//signs_mov_separ_signers/Tyler_565.mov","MOV")</f>
        <v>21</v>
      </c>
    </row>
    <row r="2674" s="2" customFormat="1" ht="13.5" customHeight="1">
      <c r="B2674" s="13"/>
      <c r="C2674" t="s" s="9">
        <v>27</v>
      </c>
      <c r="D2674" t="s" s="8">
        <v>939</v>
      </c>
      <c r="E2674" t="s" s="9">
        <v>939</v>
      </c>
      <c r="F2674" t="s" s="10">
        <v>73</v>
      </c>
      <c r="G2674" t="s" s="11">
        <v>55</v>
      </c>
      <c r="H2674" t="s" s="10">
        <v>73</v>
      </c>
      <c r="I2674" t="s" s="11">
        <v>55</v>
      </c>
      <c r="J2674" t="s" s="11">
        <v>20</v>
      </c>
      <c r="K2674" s="15"/>
      <c r="L2674" t="s" s="16">
        <f>HYPERLINK("http://csr.bu.edu/ftp/asl/asllvd/demos/verify_start_end_handshape_annotations//test_auto_move//signs_mov_separ_signers/Naomi_565.mov","MOV")</f>
        <v>21</v>
      </c>
      <c r="M2674" t="s" s="10">
        <v>86</v>
      </c>
      <c r="N2674" s="17">
        <v>7</v>
      </c>
      <c r="O2674" s="18">
        <v>1965</v>
      </c>
      <c r="P2674" s="18">
        <v>1995</v>
      </c>
      <c r="Q2674" s="15"/>
      <c r="R2674" t="s" s="16">
        <f>HYPERLINK("http://secrets.rutgers.edu:8080/data/asl-ftp/asllvd/demos/verify_start_end_handshape_annotations//test_auto_move//signs_mov_separ_signers/Naomi_565.mov","MOV")</f>
        <v>21</v>
      </c>
    </row>
    <row r="2675" s="2" customFormat="1" ht="13.5" customHeight="1">
      <c r="B2675" s="13"/>
      <c r="C2675" t="s" s="9">
        <v>30</v>
      </c>
      <c r="D2675" t="s" s="8">
        <v>939</v>
      </c>
      <c r="E2675" t="s" s="9">
        <v>939</v>
      </c>
      <c r="F2675" t="s" s="10">
        <v>260</v>
      </c>
      <c r="G2675" t="s" s="11">
        <v>260</v>
      </c>
      <c r="H2675" t="s" s="10">
        <v>260</v>
      </c>
      <c r="I2675" t="s" s="11">
        <v>260</v>
      </c>
      <c r="J2675" t="s" s="11">
        <v>20</v>
      </c>
      <c r="K2675" s="15"/>
      <c r="L2675" t="s" s="16">
        <f>HYPERLINK("http://csr.bu.edu/ftp/asl/asllvd/demos/verify_start_end_handshape_annotations//test_auto_move//signs_mov_separ_signers/Brady_565.mov","MOV")</f>
        <v>21</v>
      </c>
      <c r="M2675" t="s" s="10">
        <v>31</v>
      </c>
      <c r="N2675" s="17">
        <v>31</v>
      </c>
      <c r="O2675" s="18">
        <v>522</v>
      </c>
      <c r="P2675" s="18">
        <v>539</v>
      </c>
      <c r="Q2675" s="15"/>
      <c r="R2675" t="s" s="16">
        <f>HYPERLINK("http://secrets.rutgers.edu:8080/data/asl-ftp/asllvd/demos/verify_start_end_handshape_annotations//test_auto_move//signs_mov_separ_signers/Brady_565.mov","MOV")</f>
        <v>21</v>
      </c>
    </row>
    <row r="2676" s="2" customFormat="1" ht="13.5" customHeight="1">
      <c r="B2676" t="s" s="8">
        <v>940</v>
      </c>
      <c r="C2676" t="s" s="9">
        <v>14</v>
      </c>
      <c r="D2676" t="s" s="8">
        <v>14</v>
      </c>
      <c r="E2676" t="s" s="9">
        <v>14</v>
      </c>
      <c r="F2676" t="s" s="10">
        <v>14</v>
      </c>
      <c r="G2676" t="s" s="11">
        <v>14</v>
      </c>
      <c r="H2676" t="s" s="10">
        <v>14</v>
      </c>
      <c r="I2676" t="s" s="11">
        <v>14</v>
      </c>
      <c r="J2676" t="s" s="11">
        <v>14</v>
      </c>
      <c r="K2676" t="s" s="12">
        <v>14</v>
      </c>
      <c r="L2676" t="s" s="12">
        <v>14</v>
      </c>
      <c r="M2676" t="s" s="10">
        <v>14</v>
      </c>
      <c r="N2676" t="s" s="11">
        <v>14</v>
      </c>
      <c r="O2676" t="s" s="8">
        <v>14</v>
      </c>
      <c r="P2676" t="s" s="8">
        <v>14</v>
      </c>
      <c r="Q2676" t="s" s="12">
        <v>14</v>
      </c>
      <c r="R2676" t="s" s="12">
        <v>14</v>
      </c>
    </row>
    <row r="2677" s="2" customFormat="1" ht="13.5" customHeight="1">
      <c r="B2677" s="13"/>
      <c r="C2677" t="s" s="9">
        <v>16</v>
      </c>
      <c r="D2677" t="s" s="8">
        <v>940</v>
      </c>
      <c r="E2677" t="s" s="9">
        <v>941</v>
      </c>
      <c r="F2677" t="s" s="10">
        <v>63</v>
      </c>
      <c r="G2677" t="s" s="11">
        <v>68</v>
      </c>
      <c r="H2677" t="s" s="10">
        <v>63</v>
      </c>
      <c r="I2677" t="s" s="11">
        <v>68</v>
      </c>
      <c r="J2677" t="s" s="11">
        <v>136</v>
      </c>
      <c r="K2677" s="15"/>
      <c r="L2677" t="s" s="16">
        <f>HYPERLINK("http://csr.bu.edu/ftp/asl/asllvd/demos/verify_start_end_handshape_annotations//test_auto_move//signs_mov_separ_signers/Liz_568.mov","MOV")</f>
        <v>21</v>
      </c>
      <c r="M2677" t="s" s="10">
        <v>84</v>
      </c>
      <c r="N2677" s="17">
        <v>7</v>
      </c>
      <c r="O2677" s="18">
        <v>2982</v>
      </c>
      <c r="P2677" s="18">
        <v>3015</v>
      </c>
      <c r="Q2677" s="15"/>
      <c r="R2677" t="s" s="16">
        <f>HYPERLINK("http://secrets.rutgers.edu:8080/data/asl-ftp/asllvd/demos/verify_start_end_handshape_annotations//test_auto_move//signs_mov_separ_signers/Liz_568.mov","MOV")</f>
        <v>21</v>
      </c>
    </row>
    <row r="2678" s="2" customFormat="1" ht="13.5" customHeight="1">
      <c r="B2678" s="13"/>
      <c r="C2678" t="s" s="9">
        <v>23</v>
      </c>
      <c r="D2678" t="s" s="8">
        <v>940</v>
      </c>
      <c r="E2678" t="s" s="9">
        <v>941</v>
      </c>
      <c r="F2678" t="s" s="10">
        <v>63</v>
      </c>
      <c r="G2678" t="s" s="11">
        <v>68</v>
      </c>
      <c r="H2678" t="s" s="10">
        <v>63</v>
      </c>
      <c r="I2678" t="s" s="11">
        <v>68</v>
      </c>
      <c r="J2678" t="s" s="11">
        <v>136</v>
      </c>
      <c r="K2678" t="s" s="16">
        <f>HYPERLINK("http://csr.bu.edu/ftp/asl/asllvd/demos/verify_start_end_handshape_annotations//test_auto_move//signs_mov/568.mov","MOV")</f>
        <v>21</v>
      </c>
      <c r="L2678" t="s" s="16">
        <f>HYPERLINK("http://csr.bu.edu/ftp/asl/asllvd/demos/verify_start_end_handshape_annotations//test_auto_move//signs_mov_separ_signers/Tyler_568.mov","MOV")</f>
        <v>21</v>
      </c>
      <c r="M2678" t="s" s="10">
        <v>125</v>
      </c>
      <c r="N2678" s="17">
        <v>7</v>
      </c>
      <c r="O2678" s="18">
        <v>2852</v>
      </c>
      <c r="P2678" s="18">
        <v>2887</v>
      </c>
      <c r="Q2678" t="s" s="16">
        <f>HYPERLINK("http://secrets.rutgers.edu:8080/data/asl-ftp/asllvd/demos/verify_start_end_handshape_annotations//test_auto_move//signs_mov/568.mov","MOV")</f>
        <v>21</v>
      </c>
      <c r="R2678" t="s" s="16">
        <f>HYPERLINK("http://secrets.rutgers.edu:8080/data/asl-ftp/asllvd/demos/verify_start_end_handshape_annotations//test_auto_move//signs_mov_separ_signers/Tyler_568.mov","MOV")</f>
        <v>21</v>
      </c>
    </row>
    <row r="2679" s="2" customFormat="1" ht="13.5" customHeight="1">
      <c r="B2679" s="13"/>
      <c r="C2679" t="s" s="9">
        <v>27</v>
      </c>
      <c r="D2679" t="s" s="8">
        <v>940</v>
      </c>
      <c r="E2679" t="s" s="9">
        <v>940</v>
      </c>
      <c r="F2679" t="s" s="10">
        <v>63</v>
      </c>
      <c r="G2679" t="s" s="11">
        <v>63</v>
      </c>
      <c r="H2679" t="s" s="10">
        <v>63</v>
      </c>
      <c r="I2679" t="s" s="11">
        <v>63</v>
      </c>
      <c r="J2679" t="s" s="11">
        <v>136</v>
      </c>
      <c r="K2679" s="15"/>
      <c r="L2679" t="s" s="16">
        <f>HYPERLINK("http://csr.bu.edu/ftp/asl/asllvd/demos/verify_start_end_handshape_annotations//test_auto_move//signs_mov_separ_signers/Naomi_568.mov","MOV")</f>
        <v>21</v>
      </c>
      <c r="M2679" t="s" s="10">
        <v>86</v>
      </c>
      <c r="N2679" s="17">
        <v>7</v>
      </c>
      <c r="O2679" s="18">
        <v>3825</v>
      </c>
      <c r="P2679" s="18">
        <v>3850</v>
      </c>
      <c r="Q2679" s="15"/>
      <c r="R2679" t="s" s="16">
        <f>HYPERLINK("http://secrets.rutgers.edu:8080/data/asl-ftp/asllvd/demos/verify_start_end_handshape_annotations//test_auto_move//signs_mov_separ_signers/Naomi_568.mov","MOV")</f>
        <v>21</v>
      </c>
    </row>
    <row r="2680" s="2" customFormat="1" ht="13.5" customHeight="1">
      <c r="B2680" s="13"/>
      <c r="C2680" t="s" s="9">
        <v>30</v>
      </c>
      <c r="D2680" t="s" s="8">
        <v>940</v>
      </c>
      <c r="E2680" t="s" s="9">
        <v>942</v>
      </c>
      <c r="F2680" t="s" s="10">
        <v>63</v>
      </c>
      <c r="G2680" t="s" s="11">
        <v>63</v>
      </c>
      <c r="H2680" t="s" s="10">
        <v>63</v>
      </c>
      <c r="I2680" t="s" s="11">
        <v>63</v>
      </c>
      <c r="J2680" t="s" s="11">
        <v>136</v>
      </c>
      <c r="K2680" s="15"/>
      <c r="L2680" t="s" s="16">
        <f>HYPERLINK("http://csr.bu.edu/ftp/asl/asllvd/demos/verify_start_end_handshape_annotations//test_auto_move//signs_mov_separ_signers/Brady_568.mov","MOV")</f>
        <v>21</v>
      </c>
      <c r="M2680" t="s" s="10">
        <v>31</v>
      </c>
      <c r="N2680" s="17">
        <v>31</v>
      </c>
      <c r="O2680" s="18">
        <v>2819</v>
      </c>
      <c r="P2680" s="18">
        <v>2850</v>
      </c>
      <c r="Q2680" s="15"/>
      <c r="R2680" t="s" s="16">
        <f>HYPERLINK("http://secrets.rutgers.edu:8080/data/asl-ftp/asllvd/demos/verify_start_end_handshape_annotations//test_auto_move//signs_mov_separ_signers/Brady_568.mov","MOV")</f>
        <v>21</v>
      </c>
    </row>
    <row r="2681" s="2" customFormat="1" ht="13.5" customHeight="1">
      <c r="B2681" t="s" s="8">
        <v>943</v>
      </c>
      <c r="C2681" t="s" s="9">
        <v>14</v>
      </c>
      <c r="D2681" t="s" s="8">
        <v>14</v>
      </c>
      <c r="E2681" t="s" s="9">
        <v>14</v>
      </c>
      <c r="F2681" t="s" s="10">
        <v>14</v>
      </c>
      <c r="G2681" t="s" s="11">
        <v>14</v>
      </c>
      <c r="H2681" t="s" s="10">
        <v>14</v>
      </c>
      <c r="I2681" t="s" s="11">
        <v>14</v>
      </c>
      <c r="J2681" t="s" s="11">
        <v>14</v>
      </c>
      <c r="K2681" t="s" s="12">
        <v>14</v>
      </c>
      <c r="L2681" t="s" s="12">
        <v>14</v>
      </c>
      <c r="M2681" t="s" s="10">
        <v>14</v>
      </c>
      <c r="N2681" t="s" s="11">
        <v>14</v>
      </c>
      <c r="O2681" t="s" s="8">
        <v>14</v>
      </c>
      <c r="P2681" t="s" s="8">
        <v>14</v>
      </c>
      <c r="Q2681" t="s" s="12">
        <v>14</v>
      </c>
      <c r="R2681" t="s" s="12">
        <v>14</v>
      </c>
    </row>
    <row r="2682" s="2" customFormat="1" ht="13.5" customHeight="1">
      <c r="B2682" s="13"/>
      <c r="C2682" t="s" s="9">
        <v>16</v>
      </c>
      <c r="D2682" t="s" s="8">
        <v>943</v>
      </c>
      <c r="E2682" t="s" s="9">
        <v>943</v>
      </c>
      <c r="F2682" t="s" s="10">
        <v>73</v>
      </c>
      <c r="G2682" t="s" s="11">
        <v>73</v>
      </c>
      <c r="H2682" t="s" s="10">
        <v>73</v>
      </c>
      <c r="I2682" t="s" s="11">
        <v>73</v>
      </c>
      <c r="J2682" t="s" s="11">
        <v>20</v>
      </c>
      <c r="K2682" s="15"/>
      <c r="L2682" t="s" s="16">
        <f>HYPERLINK("http://csr.bu.edu/ftp/asl/asllvd/demos/verify_start_end_handshape_annotations//test_auto_move//signs_mov_separ_signers/Liz_569.mov","MOV")</f>
        <v>21</v>
      </c>
      <c r="M2682" t="s" s="10">
        <v>84</v>
      </c>
      <c r="N2682" s="17">
        <v>7</v>
      </c>
      <c r="O2682" s="18">
        <v>3237</v>
      </c>
      <c r="P2682" s="18">
        <v>3275</v>
      </c>
      <c r="Q2682" s="15"/>
      <c r="R2682" t="s" s="16">
        <f>HYPERLINK("http://secrets.rutgers.edu:8080/data/asl-ftp/asllvd/demos/verify_start_end_handshape_annotations//test_auto_move//signs_mov_separ_signers/Liz_569.mov","MOV")</f>
        <v>21</v>
      </c>
    </row>
    <row r="2683" s="2" customFormat="1" ht="13.5" customHeight="1">
      <c r="B2683" s="13"/>
      <c r="C2683" t="s" s="9">
        <v>23</v>
      </c>
      <c r="D2683" t="s" s="8">
        <v>943</v>
      </c>
      <c r="E2683" t="s" s="9">
        <v>943</v>
      </c>
      <c r="F2683" t="s" s="10">
        <v>55</v>
      </c>
      <c r="G2683" t="s" s="11">
        <v>73</v>
      </c>
      <c r="H2683" t="s" s="10">
        <v>55</v>
      </c>
      <c r="I2683" t="s" s="11">
        <v>73</v>
      </c>
      <c r="J2683" t="s" s="11">
        <v>20</v>
      </c>
      <c r="K2683" t="s" s="16">
        <f>HYPERLINK("http://csr.bu.edu/ftp/asl/asllvd/demos/verify_start_end_handshape_annotations//test_auto_move//signs_mov/569.mov","MOV")</f>
        <v>21</v>
      </c>
      <c r="L2683" t="s" s="16">
        <f>HYPERLINK("http://csr.bu.edu/ftp/asl/asllvd/demos/verify_start_end_handshape_annotations//test_auto_move//signs_mov_separ_signers/Tyler_569.mov","MOV")</f>
        <v>21</v>
      </c>
      <c r="M2683" t="s" s="10">
        <v>125</v>
      </c>
      <c r="N2683" s="17">
        <v>7</v>
      </c>
      <c r="O2683" s="18">
        <v>3072</v>
      </c>
      <c r="P2683" s="18">
        <v>3110</v>
      </c>
      <c r="Q2683" t="s" s="16">
        <f>HYPERLINK("http://secrets.rutgers.edu:8080/data/asl-ftp/asllvd/demos/verify_start_end_handshape_annotations//test_auto_move//signs_mov/569.mov","MOV")</f>
        <v>21</v>
      </c>
      <c r="R2683" t="s" s="16">
        <f>HYPERLINK("http://secrets.rutgers.edu:8080/data/asl-ftp/asllvd/demos/verify_start_end_handshape_annotations//test_auto_move//signs_mov_separ_signers/Tyler_569.mov","MOV")</f>
        <v>21</v>
      </c>
    </row>
    <row r="2684" s="2" customFormat="1" ht="13.5" customHeight="1">
      <c r="B2684" s="13"/>
      <c r="C2684" t="s" s="9">
        <v>27</v>
      </c>
      <c r="D2684" t="s" s="8">
        <v>943</v>
      </c>
      <c r="E2684" t="s" s="9">
        <v>943</v>
      </c>
      <c r="F2684" t="s" s="10">
        <v>73</v>
      </c>
      <c r="G2684" t="s" s="11">
        <v>73</v>
      </c>
      <c r="H2684" t="s" s="10">
        <v>73</v>
      </c>
      <c r="I2684" t="s" s="11">
        <v>73</v>
      </c>
      <c r="J2684" t="s" s="11">
        <v>20</v>
      </c>
      <c r="K2684" s="15"/>
      <c r="L2684" t="s" s="16">
        <f>HYPERLINK("http://csr.bu.edu/ftp/asl/asllvd/demos/verify_start_end_handshape_annotations//test_auto_move//signs_mov_separ_signers/Naomi_569.mov","MOV")</f>
        <v>21</v>
      </c>
      <c r="M2684" t="s" s="10">
        <v>86</v>
      </c>
      <c r="N2684" s="17">
        <v>7</v>
      </c>
      <c r="O2684" s="18">
        <v>4155</v>
      </c>
      <c r="P2684" s="18">
        <v>4182</v>
      </c>
      <c r="Q2684" s="15"/>
      <c r="R2684" t="s" s="16">
        <f>HYPERLINK("http://secrets.rutgers.edu:8080/data/asl-ftp/asllvd/demos/verify_start_end_handshape_annotations//test_auto_move//signs_mov_separ_signers/Naomi_569.mov","MOV")</f>
        <v>21</v>
      </c>
    </row>
    <row r="2685" s="2" customFormat="1" ht="13.5" customHeight="1">
      <c r="B2685" s="13"/>
      <c r="C2685" t="s" s="9">
        <v>30</v>
      </c>
      <c r="D2685" t="s" s="8">
        <v>943</v>
      </c>
      <c r="E2685" t="s" s="9">
        <v>943</v>
      </c>
      <c r="F2685" t="s" s="10">
        <v>73</v>
      </c>
      <c r="G2685" t="s" s="11">
        <v>73</v>
      </c>
      <c r="H2685" t="s" s="10">
        <v>73</v>
      </c>
      <c r="I2685" t="s" s="11">
        <v>73</v>
      </c>
      <c r="J2685" t="s" s="11">
        <v>20</v>
      </c>
      <c r="K2685" s="15"/>
      <c r="L2685" t="s" s="16">
        <f>HYPERLINK("http://csr.bu.edu/ftp/asl/asllvd/demos/verify_start_end_handshape_annotations//test_auto_move//signs_mov_separ_signers/Brady_569.mov","MOV")</f>
        <v>21</v>
      </c>
      <c r="M2685" t="s" s="10">
        <v>31</v>
      </c>
      <c r="N2685" s="17">
        <v>31</v>
      </c>
      <c r="O2685" s="18">
        <v>2602</v>
      </c>
      <c r="P2685" s="18">
        <v>2640</v>
      </c>
      <c r="Q2685" s="15"/>
      <c r="R2685" t="s" s="16">
        <f>HYPERLINK("http://secrets.rutgers.edu:8080/data/asl-ftp/asllvd/demos/verify_start_end_handshape_annotations//test_auto_move//signs_mov_separ_signers/Brady_569.mov","MOV")</f>
        <v>21</v>
      </c>
    </row>
    <row r="2686" s="2" customFormat="1" ht="13.5" customHeight="1">
      <c r="B2686" t="s" s="8">
        <v>944</v>
      </c>
      <c r="C2686" t="s" s="9">
        <v>14</v>
      </c>
      <c r="D2686" t="s" s="8">
        <v>14</v>
      </c>
      <c r="E2686" t="s" s="9">
        <v>14</v>
      </c>
      <c r="F2686" t="s" s="10">
        <v>14</v>
      </c>
      <c r="G2686" t="s" s="11">
        <v>14</v>
      </c>
      <c r="H2686" t="s" s="10">
        <v>14</v>
      </c>
      <c r="I2686" t="s" s="11">
        <v>14</v>
      </c>
      <c r="J2686" t="s" s="11">
        <v>14</v>
      </c>
      <c r="K2686" t="s" s="12">
        <v>14</v>
      </c>
      <c r="L2686" t="s" s="12">
        <v>14</v>
      </c>
      <c r="M2686" t="s" s="10">
        <v>14</v>
      </c>
      <c r="N2686" t="s" s="11">
        <v>14</v>
      </c>
      <c r="O2686" t="s" s="8">
        <v>14</v>
      </c>
      <c r="P2686" t="s" s="8">
        <v>14</v>
      </c>
      <c r="Q2686" t="s" s="12">
        <v>14</v>
      </c>
      <c r="R2686" t="s" s="12">
        <v>14</v>
      </c>
    </row>
    <row r="2687" s="2" customFormat="1" ht="13.5" customHeight="1">
      <c r="B2687" s="13"/>
      <c r="C2687" t="s" s="9">
        <v>16</v>
      </c>
      <c r="D2687" t="s" s="8">
        <v>944</v>
      </c>
      <c r="E2687" t="s" s="9">
        <v>944</v>
      </c>
      <c r="F2687" t="s" s="10">
        <v>63</v>
      </c>
      <c r="G2687" t="s" s="11">
        <v>73</v>
      </c>
      <c r="H2687" t="s" s="10">
        <v>63</v>
      </c>
      <c r="I2687" t="s" s="11">
        <v>73</v>
      </c>
      <c r="J2687" t="s" s="11">
        <v>20</v>
      </c>
      <c r="K2687" s="15"/>
      <c r="L2687" t="s" s="16">
        <f>HYPERLINK("http://csr.bu.edu/ftp/asl/asllvd/demos/verify_start_end_handshape_annotations//test_auto_move//signs_mov_separ_signers/Liz_578.mov","MOV")</f>
        <v>21</v>
      </c>
      <c r="M2687" t="s" s="10">
        <v>84</v>
      </c>
      <c r="N2687" s="17">
        <v>8</v>
      </c>
      <c r="O2687" s="18">
        <v>3290</v>
      </c>
      <c r="P2687" s="18">
        <v>3330</v>
      </c>
      <c r="Q2687" s="15"/>
      <c r="R2687" t="s" s="16">
        <f>HYPERLINK("http://secrets.rutgers.edu:8080/data/asl-ftp/asllvd/demos/verify_start_end_handshape_annotations//test_auto_move//signs_mov_separ_signers/Liz_578.mov","MOV")</f>
        <v>21</v>
      </c>
    </row>
    <row r="2688" s="2" customFormat="1" ht="13.5" customHeight="1">
      <c r="B2688" s="13"/>
      <c r="C2688" t="s" s="9">
        <v>23</v>
      </c>
      <c r="D2688" t="s" s="8">
        <v>944</v>
      </c>
      <c r="E2688" t="s" s="9">
        <v>944</v>
      </c>
      <c r="F2688" t="s" s="10">
        <v>68</v>
      </c>
      <c r="G2688" t="s" s="11">
        <v>73</v>
      </c>
      <c r="H2688" t="s" s="10">
        <v>68</v>
      </c>
      <c r="I2688" t="s" s="11">
        <v>73</v>
      </c>
      <c r="J2688" t="s" s="11">
        <v>20</v>
      </c>
      <c r="K2688" t="s" s="16">
        <f>HYPERLINK("http://csr.bu.edu/ftp/asl/asllvd/demos/verify_start_end_handshape_annotations//test_auto_move//signs_mov/578.mov","MOV")</f>
        <v>21</v>
      </c>
      <c r="L2688" t="s" s="16">
        <f>HYPERLINK("http://csr.bu.edu/ftp/asl/asllvd/demos/verify_start_end_handshape_annotations//test_auto_move//signs_mov_separ_signers/Tyler_578.mov","MOV")</f>
        <v>21</v>
      </c>
      <c r="M2688" t="s" s="10">
        <v>125</v>
      </c>
      <c r="N2688" s="17">
        <v>8</v>
      </c>
      <c r="O2688" s="18">
        <v>4065</v>
      </c>
      <c r="P2688" s="18">
        <v>4092</v>
      </c>
      <c r="Q2688" t="s" s="16">
        <f>HYPERLINK("http://secrets.rutgers.edu:8080/data/asl-ftp/asllvd/demos/verify_start_end_handshape_annotations//test_auto_move//signs_mov/578.mov","MOV")</f>
        <v>21</v>
      </c>
      <c r="R2688" t="s" s="16">
        <f>HYPERLINK("http://secrets.rutgers.edu:8080/data/asl-ftp/asllvd/demos/verify_start_end_handshape_annotations//test_auto_move//signs_mov_separ_signers/Tyler_578.mov","MOV")</f>
        <v>21</v>
      </c>
    </row>
    <row r="2689" s="2" customFormat="1" ht="13.5" customHeight="1">
      <c r="B2689" s="13"/>
      <c r="C2689" t="s" s="9">
        <v>27</v>
      </c>
      <c r="D2689" t="s" s="8">
        <v>944</v>
      </c>
      <c r="E2689" t="s" s="9">
        <v>944</v>
      </c>
      <c r="F2689" t="s" s="10">
        <v>63</v>
      </c>
      <c r="G2689" t="s" s="11">
        <v>73</v>
      </c>
      <c r="H2689" t="s" s="10">
        <v>63</v>
      </c>
      <c r="I2689" t="s" s="11">
        <v>73</v>
      </c>
      <c r="J2689" t="s" s="11">
        <v>20</v>
      </c>
      <c r="K2689" s="15"/>
      <c r="L2689" t="s" s="16">
        <f>HYPERLINK("http://csr.bu.edu/ftp/asl/asllvd/demos/verify_start_end_handshape_annotations//test_auto_move//signs_mov_separ_signers/Naomi_578.mov","MOV")</f>
        <v>21</v>
      </c>
      <c r="M2689" t="s" s="10">
        <v>86</v>
      </c>
      <c r="N2689" s="17">
        <v>8</v>
      </c>
      <c r="O2689" s="18">
        <v>4600</v>
      </c>
      <c r="P2689" s="18">
        <v>4625</v>
      </c>
      <c r="Q2689" s="15"/>
      <c r="R2689" t="s" s="16">
        <f>HYPERLINK("http://secrets.rutgers.edu:8080/data/asl-ftp/asllvd/demos/verify_start_end_handshape_annotations//test_auto_move//signs_mov_separ_signers/Naomi_578.mov","MOV")</f>
        <v>21</v>
      </c>
    </row>
    <row r="2690" s="2" customFormat="1" ht="13.5" customHeight="1">
      <c r="B2690" s="13"/>
      <c r="C2690" t="s" s="9">
        <v>30</v>
      </c>
      <c r="D2690" t="s" s="8">
        <v>944</v>
      </c>
      <c r="E2690" t="s" s="9">
        <v>944</v>
      </c>
      <c r="F2690" t="s" s="10">
        <v>68</v>
      </c>
      <c r="G2690" t="s" s="11">
        <v>73</v>
      </c>
      <c r="H2690" t="s" s="10">
        <v>68</v>
      </c>
      <c r="I2690" t="s" s="11">
        <v>73</v>
      </c>
      <c r="J2690" t="s" s="11">
        <v>20</v>
      </c>
      <c r="K2690" s="15"/>
      <c r="L2690" t="s" s="16">
        <f>HYPERLINK("http://csr.bu.edu/ftp/asl/asllvd/demos/verify_start_end_handshape_annotations//test_auto_move//signs_mov_separ_signers/Brady_578.mov","MOV")</f>
        <v>21</v>
      </c>
      <c r="M2690" t="s" s="10">
        <v>31</v>
      </c>
      <c r="N2690" s="17">
        <v>31</v>
      </c>
      <c r="O2690" s="18">
        <v>6496</v>
      </c>
      <c r="P2690" s="18">
        <v>6527</v>
      </c>
      <c r="Q2690" s="15"/>
      <c r="R2690" t="s" s="16">
        <f>HYPERLINK("http://secrets.rutgers.edu:8080/data/asl-ftp/asllvd/demos/verify_start_end_handshape_annotations//test_auto_move//signs_mov_separ_signers/Brady_578.mov","MOV")</f>
        <v>21</v>
      </c>
    </row>
    <row r="2691" s="2" customFormat="1" ht="13.5" customHeight="1">
      <c r="B2691" t="s" s="8">
        <v>945</v>
      </c>
      <c r="C2691" t="s" s="9">
        <v>14</v>
      </c>
      <c r="D2691" t="s" s="8">
        <v>14</v>
      </c>
      <c r="E2691" t="s" s="9">
        <v>14</v>
      </c>
      <c r="F2691" t="s" s="10">
        <v>14</v>
      </c>
      <c r="G2691" t="s" s="11">
        <v>14</v>
      </c>
      <c r="H2691" t="s" s="10">
        <v>14</v>
      </c>
      <c r="I2691" t="s" s="11">
        <v>14</v>
      </c>
      <c r="J2691" t="s" s="11">
        <v>14</v>
      </c>
      <c r="K2691" t="s" s="12">
        <v>14</v>
      </c>
      <c r="L2691" t="s" s="12">
        <v>14</v>
      </c>
      <c r="M2691" t="s" s="10">
        <v>14</v>
      </c>
      <c r="N2691" t="s" s="11">
        <v>14</v>
      </c>
      <c r="O2691" t="s" s="8">
        <v>14</v>
      </c>
      <c r="P2691" t="s" s="8">
        <v>14</v>
      </c>
      <c r="Q2691" t="s" s="12">
        <v>14</v>
      </c>
      <c r="R2691" t="s" s="12">
        <v>14</v>
      </c>
    </row>
    <row r="2692" s="2" customFormat="1" ht="13.5" customHeight="1">
      <c r="B2692" s="13"/>
      <c r="C2692" t="s" s="9">
        <v>16</v>
      </c>
      <c r="D2692" t="s" s="8">
        <v>945</v>
      </c>
      <c r="E2692" t="s" s="9">
        <v>946</v>
      </c>
      <c r="F2692" t="s" s="10">
        <v>268</v>
      </c>
      <c r="G2692" t="s" s="11">
        <v>268</v>
      </c>
      <c r="H2692" t="s" s="10">
        <v>268</v>
      </c>
      <c r="I2692" t="s" s="11">
        <v>268</v>
      </c>
      <c r="J2692" t="s" s="11">
        <v>20</v>
      </c>
      <c r="K2692" s="15"/>
      <c r="L2692" t="s" s="16">
        <f>HYPERLINK("http://csr.bu.edu/ftp/asl/asllvd/demos/verify_start_end_handshape_annotations//test_auto_move//signs_mov_separ_signers/Liz_580.mov","MOV")</f>
        <v>21</v>
      </c>
      <c r="M2692" t="s" s="10">
        <v>84</v>
      </c>
      <c r="N2692" s="17">
        <v>9</v>
      </c>
      <c r="O2692" s="18">
        <v>287</v>
      </c>
      <c r="P2692" s="18">
        <v>342</v>
      </c>
      <c r="Q2692" s="15"/>
      <c r="R2692" t="s" s="16">
        <f>HYPERLINK("http://secrets.rutgers.edu:8080/data/asl-ftp/asllvd/demos/verify_start_end_handshape_annotations//test_auto_move//signs_mov_separ_signers/Liz_580.mov","MOV")</f>
        <v>21</v>
      </c>
    </row>
    <row r="2693" s="2" customFormat="1" ht="13.5" customHeight="1">
      <c r="B2693" s="13"/>
      <c r="C2693" t="s" s="9">
        <v>23</v>
      </c>
      <c r="D2693" t="s" s="8">
        <v>945</v>
      </c>
      <c r="E2693" t="s" s="9">
        <v>947</v>
      </c>
      <c r="F2693" t="s" s="10">
        <v>268</v>
      </c>
      <c r="G2693" t="s" s="11">
        <v>268</v>
      </c>
      <c r="H2693" t="s" s="10">
        <v>268</v>
      </c>
      <c r="I2693" t="s" s="11">
        <v>268</v>
      </c>
      <c r="J2693" t="s" s="11">
        <v>20</v>
      </c>
      <c r="K2693" t="s" s="16">
        <f>HYPERLINK("http://csr.bu.edu/ftp/asl/asllvd/demos/verify_start_end_handshape_annotations//test_auto_move//signs_mov/580.mov","MOV")</f>
        <v>21</v>
      </c>
      <c r="L2693" t="s" s="16">
        <f>HYPERLINK("http://csr.bu.edu/ftp/asl/asllvd/demos/verify_start_end_handshape_annotations//test_auto_move//signs_mov_separ_signers/Tyler_580.mov","MOV")</f>
        <v>21</v>
      </c>
      <c r="M2693" t="s" s="10">
        <v>125</v>
      </c>
      <c r="N2693" s="17">
        <v>8</v>
      </c>
      <c r="O2693" s="18">
        <v>4685</v>
      </c>
      <c r="P2693" s="18">
        <v>4735</v>
      </c>
      <c r="Q2693" t="s" s="16">
        <f>HYPERLINK("http://secrets.rutgers.edu:8080/data/asl-ftp/asllvd/demos/verify_start_end_handshape_annotations//test_auto_move//signs_mov/580.mov","MOV")</f>
        <v>21</v>
      </c>
      <c r="R2693" t="s" s="16">
        <f>HYPERLINK("http://secrets.rutgers.edu:8080/data/asl-ftp/asllvd/demos/verify_start_end_handshape_annotations//test_auto_move//signs_mov_separ_signers/Tyler_580.mov","MOV")</f>
        <v>21</v>
      </c>
    </row>
    <row r="2694" s="2" customFormat="1" ht="13.5" customHeight="1">
      <c r="B2694" s="13"/>
      <c r="C2694" t="s" s="9">
        <v>27</v>
      </c>
      <c r="D2694" t="s" s="8">
        <v>945</v>
      </c>
      <c r="E2694" t="s" s="9">
        <v>947</v>
      </c>
      <c r="F2694" t="s" s="10">
        <v>268</v>
      </c>
      <c r="G2694" t="s" s="11">
        <v>268</v>
      </c>
      <c r="H2694" t="s" s="10">
        <v>268</v>
      </c>
      <c r="I2694" t="s" s="11">
        <v>268</v>
      </c>
      <c r="J2694" t="s" s="11">
        <v>20</v>
      </c>
      <c r="K2694" s="15"/>
      <c r="L2694" t="s" s="16">
        <f>HYPERLINK("http://csr.bu.edu/ftp/asl/asllvd/demos/verify_start_end_handshape_annotations//test_auto_move//signs_mov_separ_signers/Naomi_580.mov","MOV")</f>
        <v>21</v>
      </c>
      <c r="M2694" t="s" s="10">
        <v>86</v>
      </c>
      <c r="N2694" s="17">
        <v>8</v>
      </c>
      <c r="O2694" s="18">
        <v>5475</v>
      </c>
      <c r="P2694" s="18">
        <v>5547</v>
      </c>
      <c r="Q2694" s="15"/>
      <c r="R2694" t="s" s="16">
        <f>HYPERLINK("http://secrets.rutgers.edu:8080/data/asl-ftp/asllvd/demos/verify_start_end_handshape_annotations//test_auto_move//signs_mov_separ_signers/Naomi_580.mov","MOV")</f>
        <v>21</v>
      </c>
    </row>
    <row r="2695" s="2" customFormat="1" ht="13.5" customHeight="1">
      <c r="B2695" s="13"/>
      <c r="C2695" t="s" s="9">
        <v>30</v>
      </c>
      <c r="D2695" t="s" s="8">
        <v>945</v>
      </c>
      <c r="E2695" t="s" s="9">
        <v>946</v>
      </c>
      <c r="F2695" t="s" s="10">
        <v>268</v>
      </c>
      <c r="G2695" t="s" s="11">
        <v>268</v>
      </c>
      <c r="H2695" t="s" s="10">
        <v>268</v>
      </c>
      <c r="I2695" t="s" s="11">
        <v>268</v>
      </c>
      <c r="J2695" t="s" s="11">
        <v>20</v>
      </c>
      <c r="K2695" s="15"/>
      <c r="L2695" t="s" s="16">
        <f>HYPERLINK("http://csr.bu.edu/ftp/asl/asllvd/demos/verify_start_end_handshape_annotations//test_auto_move//signs_mov_separ_signers/Brady_580.mov","MOV")</f>
        <v>21</v>
      </c>
      <c r="M2695" t="s" s="10">
        <v>31</v>
      </c>
      <c r="N2695" s="17">
        <v>31</v>
      </c>
      <c r="O2695" s="18">
        <v>7304</v>
      </c>
      <c r="P2695" s="18">
        <v>7348</v>
      </c>
      <c r="Q2695" s="15"/>
      <c r="R2695" t="s" s="16">
        <f>HYPERLINK("http://secrets.rutgers.edu:8080/data/asl-ftp/asllvd/demos/verify_start_end_handshape_annotations//test_auto_move//signs_mov_separ_signers/Brady_580.mov","MOV")</f>
        <v>21</v>
      </c>
    </row>
    <row r="2696" s="2" customFormat="1" ht="13.5" customHeight="1">
      <c r="B2696" t="s" s="8">
        <v>948</v>
      </c>
      <c r="C2696" t="s" s="9">
        <v>14</v>
      </c>
      <c r="D2696" t="s" s="8">
        <v>14</v>
      </c>
      <c r="E2696" t="s" s="9">
        <v>14</v>
      </c>
      <c r="F2696" t="s" s="10">
        <v>14</v>
      </c>
      <c r="G2696" t="s" s="11">
        <v>14</v>
      </c>
      <c r="H2696" t="s" s="10">
        <v>14</v>
      </c>
      <c r="I2696" t="s" s="11">
        <v>14</v>
      </c>
      <c r="J2696" t="s" s="11">
        <v>14</v>
      </c>
      <c r="K2696" t="s" s="12">
        <v>14</v>
      </c>
      <c r="L2696" t="s" s="12">
        <v>14</v>
      </c>
      <c r="M2696" t="s" s="10">
        <v>14</v>
      </c>
      <c r="N2696" t="s" s="11">
        <v>14</v>
      </c>
      <c r="O2696" t="s" s="8">
        <v>14</v>
      </c>
      <c r="P2696" t="s" s="8">
        <v>14</v>
      </c>
      <c r="Q2696" t="s" s="12">
        <v>14</v>
      </c>
      <c r="R2696" t="s" s="12">
        <v>14</v>
      </c>
    </row>
    <row r="2697" s="2" customFormat="1" ht="13.5" customHeight="1">
      <c r="B2697" s="13"/>
      <c r="C2697" t="s" s="9">
        <v>16</v>
      </c>
      <c r="D2697" t="s" s="8">
        <v>948</v>
      </c>
      <c r="E2697" t="s" s="9">
        <v>948</v>
      </c>
      <c r="F2697" t="s" s="10">
        <v>185</v>
      </c>
      <c r="G2697" s="14"/>
      <c r="H2697" t="s" s="10">
        <v>185</v>
      </c>
      <c r="I2697" s="14"/>
      <c r="J2697" t="s" s="11">
        <v>20</v>
      </c>
      <c r="K2697" s="15"/>
      <c r="L2697" t="s" s="16">
        <f>HYPERLINK("http://csr.bu.edu/ftp/asl/asllvd/demos/verify_start_end_handshape_annotations//test_auto_move//signs_mov_separ_signers/Liz_582.mov","MOV")</f>
        <v>21</v>
      </c>
      <c r="M2697" t="s" s="10">
        <v>84</v>
      </c>
      <c r="N2697" s="17">
        <v>9</v>
      </c>
      <c r="O2697" s="18">
        <v>790</v>
      </c>
      <c r="P2697" s="18">
        <v>856</v>
      </c>
      <c r="Q2697" s="15"/>
      <c r="R2697" t="s" s="16">
        <f>HYPERLINK("http://secrets.rutgers.edu:8080/data/asl-ftp/asllvd/demos/verify_start_end_handshape_annotations//test_auto_move//signs_mov_separ_signers/Liz_582.mov","MOV")</f>
        <v>21</v>
      </c>
    </row>
    <row r="2698" s="2" customFormat="1" ht="13.5" customHeight="1">
      <c r="B2698" s="13"/>
      <c r="C2698" t="s" s="9">
        <v>27</v>
      </c>
      <c r="D2698" t="s" s="8">
        <v>948</v>
      </c>
      <c r="E2698" t="s" s="9">
        <v>948</v>
      </c>
      <c r="F2698" t="s" s="10">
        <v>185</v>
      </c>
      <c r="G2698" s="14"/>
      <c r="H2698" t="s" s="10">
        <v>185</v>
      </c>
      <c r="I2698" s="14"/>
      <c r="J2698" t="s" s="11">
        <v>20</v>
      </c>
      <c r="K2698" t="s" s="16">
        <f>HYPERLINK("http://csr.bu.edu/ftp/asl/asllvd/demos/verify_start_end_handshape_annotations//test_auto_move//signs_mov/582.mov","MOV")</f>
        <v>21</v>
      </c>
      <c r="L2698" t="s" s="16">
        <f>HYPERLINK("http://csr.bu.edu/ftp/asl/asllvd/demos/verify_start_end_handshape_annotations//test_auto_move//signs_mov_separ_signers/Naomi_582.mov","MOV")</f>
        <v>21</v>
      </c>
      <c r="M2698" t="s" s="10">
        <v>86</v>
      </c>
      <c r="N2698" s="17">
        <v>9</v>
      </c>
      <c r="O2698" s="18">
        <v>870</v>
      </c>
      <c r="P2698" s="18">
        <v>925</v>
      </c>
      <c r="Q2698" t="s" s="16">
        <f>HYPERLINK("http://secrets.rutgers.edu:8080/data/asl-ftp/asllvd/demos/verify_start_end_handshape_annotations//test_auto_move//signs_mov/582.mov","MOV")</f>
        <v>21</v>
      </c>
      <c r="R2698" t="s" s="16">
        <f>HYPERLINK("http://secrets.rutgers.edu:8080/data/asl-ftp/asllvd/demos/verify_start_end_handshape_annotations//test_auto_move//signs_mov_separ_signers/Naomi_582.mov","MOV")</f>
        <v>21</v>
      </c>
    </row>
    <row r="2699" s="2" customFormat="1" ht="13.5" customHeight="1">
      <c r="B2699" s="13"/>
      <c r="C2699" t="s" s="9">
        <v>30</v>
      </c>
      <c r="D2699" t="s" s="8">
        <v>948</v>
      </c>
      <c r="E2699" t="s" s="9">
        <v>948</v>
      </c>
      <c r="F2699" t="s" s="10">
        <v>244</v>
      </c>
      <c r="G2699" s="14"/>
      <c r="H2699" t="s" s="10">
        <v>244</v>
      </c>
      <c r="I2699" s="14"/>
      <c r="J2699" t="s" s="11">
        <v>20</v>
      </c>
      <c r="K2699" s="15"/>
      <c r="L2699" t="s" s="16">
        <f>HYPERLINK("http://csr.bu.edu/ftp/asl/asllvd/demos/verify_start_end_handshape_annotations//test_auto_move//signs_mov_separ_signers/Brady_582.mov","MOV")</f>
        <v>21</v>
      </c>
      <c r="M2699" t="s" s="10">
        <v>31</v>
      </c>
      <c r="N2699" s="17">
        <v>31</v>
      </c>
      <c r="O2699" s="18">
        <v>7904</v>
      </c>
      <c r="P2699" s="18">
        <v>7936</v>
      </c>
      <c r="Q2699" s="15"/>
      <c r="R2699" t="s" s="16">
        <f>HYPERLINK("http://secrets.rutgers.edu:8080/data/asl-ftp/asllvd/demos/verify_start_end_handshape_annotations//test_auto_move//signs_mov_separ_signers/Brady_582.mov","MOV")</f>
        <v>21</v>
      </c>
    </row>
    <row r="2700" s="2" customFormat="1" ht="13.5" customHeight="1">
      <c r="B2700" t="s" s="8">
        <v>949</v>
      </c>
      <c r="C2700" t="s" s="9">
        <v>14</v>
      </c>
      <c r="D2700" t="s" s="8">
        <v>14</v>
      </c>
      <c r="E2700" t="s" s="9">
        <v>14</v>
      </c>
      <c r="F2700" t="s" s="10">
        <v>14</v>
      </c>
      <c r="G2700" t="s" s="11">
        <v>14</v>
      </c>
      <c r="H2700" t="s" s="10">
        <v>14</v>
      </c>
      <c r="I2700" t="s" s="11">
        <v>14</v>
      </c>
      <c r="J2700" t="s" s="11">
        <v>14</v>
      </c>
      <c r="K2700" t="s" s="12">
        <v>14</v>
      </c>
      <c r="L2700" t="s" s="12">
        <v>14</v>
      </c>
      <c r="M2700" t="s" s="10">
        <v>14</v>
      </c>
      <c r="N2700" t="s" s="11">
        <v>14</v>
      </c>
      <c r="O2700" t="s" s="8">
        <v>14</v>
      </c>
      <c r="P2700" t="s" s="8">
        <v>14</v>
      </c>
      <c r="Q2700" t="s" s="12">
        <v>14</v>
      </c>
      <c r="R2700" t="s" s="12">
        <v>14</v>
      </c>
    </row>
    <row r="2701" s="2" customFormat="1" ht="13.5" customHeight="1">
      <c r="B2701" s="13"/>
      <c r="C2701" t="s" s="9">
        <v>23</v>
      </c>
      <c r="D2701" t="s" s="8">
        <v>949</v>
      </c>
      <c r="E2701" t="s" s="9">
        <v>949</v>
      </c>
      <c r="F2701" s="19">
        <v>5</v>
      </c>
      <c r="G2701" s="17">
        <v>5</v>
      </c>
      <c r="H2701" s="19">
        <v>5</v>
      </c>
      <c r="I2701" s="17">
        <v>5</v>
      </c>
      <c r="J2701" t="s" s="11">
        <v>20</v>
      </c>
      <c r="K2701" t="s" s="16">
        <f>HYPERLINK("http://csr.bu.edu/ftp/asl/asllvd/demos/verify_start_end_handshape_annotations//test_auto_move//signs_mov/583.mov","MOV")</f>
        <v>21</v>
      </c>
      <c r="L2701" t="s" s="16">
        <f>HYPERLINK("http://csr.bu.edu/ftp/asl/asllvd/demos/verify_start_end_handshape_annotations//test_auto_move//signs_mov_separ_signers/Tyler_583.mov","MOV")</f>
        <v>21</v>
      </c>
      <c r="M2701" t="s" s="10">
        <v>125</v>
      </c>
      <c r="N2701" s="17">
        <v>9</v>
      </c>
      <c r="O2701" s="18">
        <v>737</v>
      </c>
      <c r="P2701" s="18">
        <v>785</v>
      </c>
      <c r="Q2701" t="s" s="16">
        <f>HYPERLINK("http://secrets.rutgers.edu:8080/data/asl-ftp/asllvd/demos/verify_start_end_handshape_annotations//test_auto_move//signs_mov/583.mov","MOV")</f>
        <v>21</v>
      </c>
      <c r="R2701" t="s" s="16">
        <f>HYPERLINK("http://secrets.rutgers.edu:8080/data/asl-ftp/asllvd/demos/verify_start_end_handshape_annotations//test_auto_move//signs_mov_separ_signers/Tyler_583.mov","MOV")</f>
        <v>21</v>
      </c>
    </row>
    <row r="2702" s="2" customFormat="1" ht="13.5" customHeight="1">
      <c r="B2702" s="13"/>
      <c r="C2702" t="s" s="9">
        <v>30</v>
      </c>
      <c r="D2702" t="s" s="8">
        <v>949</v>
      </c>
      <c r="E2702" t="s" s="9">
        <v>949</v>
      </c>
      <c r="F2702" s="19">
        <v>5</v>
      </c>
      <c r="G2702" s="17">
        <v>5</v>
      </c>
      <c r="H2702" s="19">
        <v>5</v>
      </c>
      <c r="I2702" s="17">
        <v>5</v>
      </c>
      <c r="J2702" t="s" s="11">
        <v>20</v>
      </c>
      <c r="K2702" s="15"/>
      <c r="L2702" t="s" s="16">
        <f>HYPERLINK("http://csr.bu.edu/ftp/asl/asllvd/demos/verify_start_end_handshape_annotations//test_auto_move//signs_mov_separ_signers/Brady_583.mov","MOV")</f>
        <v>21</v>
      </c>
      <c r="M2702" t="s" s="10">
        <v>31</v>
      </c>
      <c r="N2702" s="17">
        <v>31</v>
      </c>
      <c r="O2702" s="18">
        <v>8737</v>
      </c>
      <c r="P2702" s="18">
        <v>8771</v>
      </c>
      <c r="Q2702" s="15"/>
      <c r="R2702" t="s" s="16">
        <f>HYPERLINK("http://secrets.rutgers.edu:8080/data/asl-ftp/asllvd/demos/verify_start_end_handshape_annotations//test_auto_move//signs_mov_separ_signers/Brady_583.mov","MOV")</f>
        <v>21</v>
      </c>
    </row>
    <row r="2703" s="2" customFormat="1" ht="13.5" customHeight="1">
      <c r="B2703" t="s" s="8">
        <v>950</v>
      </c>
      <c r="C2703" t="s" s="9">
        <v>14</v>
      </c>
      <c r="D2703" t="s" s="8">
        <v>14</v>
      </c>
      <c r="E2703" t="s" s="9">
        <v>14</v>
      </c>
      <c r="F2703" t="s" s="10">
        <v>14</v>
      </c>
      <c r="G2703" t="s" s="11">
        <v>14</v>
      </c>
      <c r="H2703" t="s" s="10">
        <v>14</v>
      </c>
      <c r="I2703" t="s" s="11">
        <v>14</v>
      </c>
      <c r="J2703" t="s" s="11">
        <v>14</v>
      </c>
      <c r="K2703" t="s" s="12">
        <v>14</v>
      </c>
      <c r="L2703" t="s" s="12">
        <v>14</v>
      </c>
      <c r="M2703" t="s" s="10">
        <v>14</v>
      </c>
      <c r="N2703" t="s" s="11">
        <v>14</v>
      </c>
      <c r="O2703" t="s" s="8">
        <v>14</v>
      </c>
      <c r="P2703" t="s" s="8">
        <v>14</v>
      </c>
      <c r="Q2703" t="s" s="12">
        <v>14</v>
      </c>
      <c r="R2703" t="s" s="12">
        <v>14</v>
      </c>
    </row>
    <row r="2704" s="2" customFormat="1" ht="13.5" customHeight="1">
      <c r="B2704" s="13"/>
      <c r="C2704" t="s" s="9">
        <v>16</v>
      </c>
      <c r="D2704" t="s" s="8">
        <v>950</v>
      </c>
      <c r="E2704" t="s" s="9">
        <v>950</v>
      </c>
      <c r="F2704" t="s" s="10">
        <v>75</v>
      </c>
      <c r="G2704" t="s" s="11">
        <v>75</v>
      </c>
      <c r="H2704" t="s" s="10">
        <v>75</v>
      </c>
      <c r="I2704" t="s" s="11">
        <v>75</v>
      </c>
      <c r="J2704" t="s" s="11">
        <v>20</v>
      </c>
      <c r="K2704" t="s" s="16">
        <f>HYPERLINK("http://csr.bu.edu/ftp/asl/asllvd/demos/verify_start_end_handshape_annotations//test_auto_move//signs_mov/15400.mov","MOV")</f>
        <v>21</v>
      </c>
      <c r="L2704" t="s" s="16">
        <f>HYPERLINK("http://csr.bu.edu/ftp/asl/asllvd/demos/verify_start_end_handshape_annotations//test_auto_move//signs_mov_separ_signers/Liz_15400.mov","MOV")</f>
        <v>21</v>
      </c>
      <c r="M2704" t="s" s="10">
        <v>34</v>
      </c>
      <c r="N2704" s="17">
        <v>24</v>
      </c>
      <c r="O2704" s="18">
        <v>1702</v>
      </c>
      <c r="P2704" s="18">
        <v>1750</v>
      </c>
      <c r="Q2704" t="s" s="16">
        <f>HYPERLINK("http://secrets.rutgers.edu:8080/data/asl-ftp/asllvd/demos/verify_start_end_handshape_annotations//test_auto_move//signs_mov/15400.mov","MOV")</f>
        <v>21</v>
      </c>
      <c r="R2704" t="s" s="16">
        <f>HYPERLINK("http://secrets.rutgers.edu:8080/data/asl-ftp/asllvd/demos/verify_start_end_handshape_annotations//test_auto_move//signs_mov_separ_signers/Liz_15400.mov","MOV")</f>
        <v>21</v>
      </c>
    </row>
    <row r="2705" s="2" customFormat="1" ht="13.5" customHeight="1">
      <c r="B2705" s="13"/>
      <c r="C2705" t="s" s="9">
        <v>27</v>
      </c>
      <c r="D2705" t="s" s="8">
        <v>950</v>
      </c>
      <c r="E2705" t="s" s="9">
        <v>950</v>
      </c>
      <c r="F2705" t="s" s="10">
        <v>75</v>
      </c>
      <c r="G2705" t="s" s="11">
        <v>75</v>
      </c>
      <c r="H2705" t="s" s="10">
        <v>75</v>
      </c>
      <c r="I2705" t="s" s="11">
        <v>75</v>
      </c>
      <c r="J2705" t="s" s="11">
        <v>20</v>
      </c>
      <c r="K2705" s="15"/>
      <c r="L2705" t="s" s="16">
        <f>HYPERLINK("http://csr.bu.edu/ftp/asl/asllvd/demos/verify_start_end_handshape_annotations//test_auto_move//signs_mov_separ_signers/Naomi_15400.mov","MOV")</f>
        <v>21</v>
      </c>
      <c r="M2705" t="s" s="10">
        <v>38</v>
      </c>
      <c r="N2705" s="17">
        <v>20</v>
      </c>
      <c r="O2705" s="18">
        <v>6465</v>
      </c>
      <c r="P2705" s="18">
        <v>6491</v>
      </c>
      <c r="Q2705" s="15"/>
      <c r="R2705" t="s" s="16">
        <f>HYPERLINK("http://secrets.rutgers.edu:8080/data/asl-ftp/asllvd/demos/verify_start_end_handshape_annotations//test_auto_move//signs_mov_separ_signers/Naomi_15400.mov","MOV")</f>
        <v>21</v>
      </c>
    </row>
    <row r="2706" s="2" customFormat="1" ht="13.5" customHeight="1">
      <c r="B2706" t="s" s="8">
        <v>951</v>
      </c>
      <c r="C2706" t="s" s="9">
        <v>14</v>
      </c>
      <c r="D2706" t="s" s="8">
        <v>14</v>
      </c>
      <c r="E2706" t="s" s="9">
        <v>14</v>
      </c>
      <c r="F2706" t="s" s="10">
        <v>14</v>
      </c>
      <c r="G2706" t="s" s="11">
        <v>14</v>
      </c>
      <c r="H2706" t="s" s="10">
        <v>14</v>
      </c>
      <c r="I2706" t="s" s="11">
        <v>14</v>
      </c>
      <c r="J2706" t="s" s="11">
        <v>14</v>
      </c>
      <c r="K2706" t="s" s="12">
        <v>14</v>
      </c>
      <c r="L2706" t="s" s="12">
        <v>14</v>
      </c>
      <c r="M2706" t="s" s="10">
        <v>14</v>
      </c>
      <c r="N2706" t="s" s="11">
        <v>14</v>
      </c>
      <c r="O2706" t="s" s="8">
        <v>14</v>
      </c>
      <c r="P2706" t="s" s="8">
        <v>14</v>
      </c>
      <c r="Q2706" t="s" s="12">
        <v>14</v>
      </c>
      <c r="R2706" t="s" s="12">
        <v>14</v>
      </c>
    </row>
    <row r="2707" s="2" customFormat="1" ht="13.5" customHeight="1">
      <c r="B2707" s="13"/>
      <c r="C2707" t="s" s="9">
        <v>16</v>
      </c>
      <c r="D2707" t="s" s="8">
        <v>951</v>
      </c>
      <c r="E2707" t="s" s="9">
        <v>951</v>
      </c>
      <c r="F2707" t="s" s="10">
        <v>18</v>
      </c>
      <c r="G2707" t="s" s="11">
        <v>18</v>
      </c>
      <c r="H2707" t="s" s="10">
        <v>18</v>
      </c>
      <c r="I2707" t="s" s="11">
        <v>18</v>
      </c>
      <c r="J2707" t="s" s="11">
        <v>20</v>
      </c>
      <c r="K2707" s="15"/>
      <c r="L2707" t="s" s="16">
        <f>HYPERLINK("http://csr.bu.edu/ftp/asl/asllvd/demos/verify_start_end_handshape_annotations//test_auto_move//signs_mov_separ_signers/Liz_584.mov","MOV")</f>
        <v>21</v>
      </c>
      <c r="M2707" t="s" s="10">
        <v>84</v>
      </c>
      <c r="N2707" s="17">
        <v>9</v>
      </c>
      <c r="O2707" s="18">
        <v>1271</v>
      </c>
      <c r="P2707" s="18">
        <v>1306</v>
      </c>
      <c r="Q2707" s="15"/>
      <c r="R2707" t="s" s="16">
        <f>HYPERLINK("http://secrets.rutgers.edu:8080/data/asl-ftp/asllvd/demos/verify_start_end_handshape_annotations//test_auto_move//signs_mov_separ_signers/Liz_584.mov","MOV")</f>
        <v>21</v>
      </c>
    </row>
    <row r="2708" s="2" customFormat="1" ht="13.5" customHeight="1">
      <c r="B2708" s="13"/>
      <c r="C2708" t="s" s="9">
        <v>27</v>
      </c>
      <c r="D2708" t="s" s="8">
        <v>951</v>
      </c>
      <c r="E2708" t="s" s="9">
        <v>951</v>
      </c>
      <c r="F2708" t="s" s="10">
        <v>292</v>
      </c>
      <c r="G2708" t="s" s="11">
        <v>292</v>
      </c>
      <c r="H2708" t="s" s="10">
        <v>292</v>
      </c>
      <c r="I2708" t="s" s="11">
        <v>292</v>
      </c>
      <c r="J2708" t="s" s="11">
        <v>20</v>
      </c>
      <c r="K2708" t="s" s="16">
        <f>HYPERLINK("http://csr.bu.edu/ftp/asl/asllvd/demos/verify_start_end_handshape_annotations//test_auto_move//signs_mov/584_5024_merged.mov","MOV")</f>
        <v>21</v>
      </c>
      <c r="L2708" t="s" s="16">
        <f>HYPERLINK("http://csr.bu.edu/ftp/asl/asllvd/demos/verify_start_end_handshape_annotations//test_auto_move//signs_mov_separ_signers/Naomi_584.mov","MOV")</f>
        <v>21</v>
      </c>
      <c r="M2708" t="s" s="10">
        <v>86</v>
      </c>
      <c r="N2708" s="17">
        <v>9</v>
      </c>
      <c r="O2708" s="18">
        <v>1890</v>
      </c>
      <c r="P2708" s="18">
        <v>1905</v>
      </c>
      <c r="Q2708" t="s" s="16">
        <f>HYPERLINK("http://secrets.rutgers.edu:8080/data/asl-ftp/asllvd/demos/verify_start_end_handshape_annotations//test_auto_move//signs_mov/584_5024_merged.mov","MOV")</f>
        <v>21</v>
      </c>
      <c r="R2708" t="s" s="16">
        <f>HYPERLINK("http://secrets.rutgers.edu:8080/data/asl-ftp/asllvd/demos/verify_start_end_handshape_annotations//test_auto_move//signs_mov_separ_signers/Naomi_584.mov","MOV")</f>
        <v>21</v>
      </c>
    </row>
    <row r="2709" s="2" customFormat="1" ht="13.5" customHeight="1">
      <c r="B2709" s="13"/>
      <c r="C2709" t="s" s="9">
        <v>30</v>
      </c>
      <c r="D2709" t="s" s="8">
        <v>951</v>
      </c>
      <c r="E2709" t="s" s="9">
        <v>951</v>
      </c>
      <c r="F2709" t="s" s="10">
        <v>18</v>
      </c>
      <c r="G2709" t="s" s="11">
        <v>18</v>
      </c>
      <c r="H2709" t="s" s="10">
        <v>18</v>
      </c>
      <c r="I2709" t="s" s="11">
        <v>18</v>
      </c>
      <c r="J2709" t="s" s="11">
        <v>20</v>
      </c>
      <c r="K2709" s="15"/>
      <c r="L2709" t="s" s="16">
        <f>HYPERLINK("http://csr.bu.edu/ftp/asl/asllvd/demos/verify_start_end_handshape_annotations//test_auto_move//signs_mov_separ_signers/Brady_584.mov","MOV")</f>
        <v>21</v>
      </c>
      <c r="M2709" t="s" s="10">
        <v>31</v>
      </c>
      <c r="N2709" s="17">
        <v>31</v>
      </c>
      <c r="O2709" s="18">
        <v>9540</v>
      </c>
      <c r="P2709" s="18">
        <v>9556</v>
      </c>
      <c r="Q2709" s="15"/>
      <c r="R2709" t="s" s="16">
        <f>HYPERLINK("http://secrets.rutgers.edu:8080/data/asl-ftp/asllvd/demos/verify_start_end_handshape_annotations//test_auto_move//signs_mov_separ_signers/Brady_584.mov","MOV")</f>
        <v>21</v>
      </c>
    </row>
    <row r="2710" s="2" customFormat="1" ht="13.5" customHeight="1">
      <c r="B2710" s="13"/>
      <c r="C2710" t="s" s="9">
        <v>30</v>
      </c>
      <c r="D2710" t="s" s="8">
        <v>951</v>
      </c>
      <c r="E2710" t="s" s="9">
        <v>951</v>
      </c>
      <c r="F2710" t="s" s="10">
        <v>18</v>
      </c>
      <c r="G2710" t="s" s="11">
        <v>18</v>
      </c>
      <c r="H2710" t="s" s="10">
        <v>18</v>
      </c>
      <c r="I2710" t="s" s="11">
        <v>18</v>
      </c>
      <c r="J2710" t="s" s="11">
        <v>20</v>
      </c>
      <c r="K2710" s="15"/>
      <c r="L2710" t="s" s="16">
        <f>HYPERLINK("http://csr.bu.edu/ftp/asl/asllvd/demos/verify_start_end_handshape_annotations//test_auto_move//signs_mov_separ_signers/Brady_5024.mov","MOV")</f>
        <v>21</v>
      </c>
      <c r="M2710" t="s" s="10">
        <v>39</v>
      </c>
      <c r="N2710" s="17">
        <v>3</v>
      </c>
      <c r="O2710" s="18">
        <v>10731</v>
      </c>
      <c r="P2710" s="18">
        <v>10747</v>
      </c>
      <c r="Q2710" s="15"/>
      <c r="R2710" t="s" s="16">
        <f>HYPERLINK("http://secrets.rutgers.edu:8080/data/asl-ftp/asllvd/demos/verify_start_end_handshape_annotations//test_auto_move//signs_mov_separ_signers/Brady_5024.mov","MOV")</f>
        <v>21</v>
      </c>
    </row>
    <row r="2711" s="2" customFormat="1" ht="13.5" customHeight="1">
      <c r="B2711" t="s" s="8">
        <v>952</v>
      </c>
      <c r="C2711" t="s" s="9">
        <v>14</v>
      </c>
      <c r="D2711" t="s" s="8">
        <v>14</v>
      </c>
      <c r="E2711" t="s" s="9">
        <v>14</v>
      </c>
      <c r="F2711" t="s" s="10">
        <v>14</v>
      </c>
      <c r="G2711" t="s" s="11">
        <v>14</v>
      </c>
      <c r="H2711" t="s" s="10">
        <v>14</v>
      </c>
      <c r="I2711" t="s" s="11">
        <v>14</v>
      </c>
      <c r="J2711" t="s" s="11">
        <v>14</v>
      </c>
      <c r="K2711" t="s" s="12">
        <v>14</v>
      </c>
      <c r="L2711" t="s" s="12">
        <v>14</v>
      </c>
      <c r="M2711" t="s" s="10">
        <v>14</v>
      </c>
      <c r="N2711" t="s" s="11">
        <v>14</v>
      </c>
      <c r="O2711" t="s" s="8">
        <v>14</v>
      </c>
      <c r="P2711" t="s" s="8">
        <v>14</v>
      </c>
      <c r="Q2711" t="s" s="12">
        <v>14</v>
      </c>
      <c r="R2711" t="s" s="12">
        <v>14</v>
      </c>
    </row>
    <row r="2712" s="2" customFormat="1" ht="13.5" customHeight="1">
      <c r="B2712" s="13"/>
      <c r="C2712" t="s" s="9">
        <v>16</v>
      </c>
      <c r="D2712" t="s" s="8">
        <v>952</v>
      </c>
      <c r="E2712" t="s" s="9">
        <v>952</v>
      </c>
      <c r="F2712" t="s" s="10">
        <v>150</v>
      </c>
      <c r="G2712" t="s" s="11">
        <v>150</v>
      </c>
      <c r="H2712" t="s" s="10">
        <v>150</v>
      </c>
      <c r="I2712" t="s" s="11">
        <v>150</v>
      </c>
      <c r="J2712" t="s" s="11">
        <v>20</v>
      </c>
      <c r="K2712" s="15"/>
      <c r="L2712" t="s" s="16">
        <f>HYPERLINK("http://csr.bu.edu/ftp/asl/asllvd/demos/verify_start_end_handshape_annotations//test_auto_move//signs_mov_separ_signers/Liz_5152.mov","MOV")</f>
        <v>21</v>
      </c>
      <c r="M2712" t="s" s="10">
        <v>84</v>
      </c>
      <c r="N2712" s="17">
        <v>9</v>
      </c>
      <c r="O2712" s="18">
        <v>1686</v>
      </c>
      <c r="P2712" s="18">
        <v>1729</v>
      </c>
      <c r="Q2712" s="15"/>
      <c r="R2712" t="s" s="16">
        <f>HYPERLINK("http://secrets.rutgers.edu:8080/data/asl-ftp/asllvd/demos/verify_start_end_handshape_annotations//test_auto_move//signs_mov_separ_signers/Liz_5152.mov","MOV")</f>
        <v>21</v>
      </c>
    </row>
    <row r="2713" s="2" customFormat="1" ht="13.5" customHeight="1">
      <c r="B2713" s="13"/>
      <c r="C2713" t="s" s="9">
        <v>16</v>
      </c>
      <c r="D2713" t="s" s="8">
        <v>952</v>
      </c>
      <c r="E2713" t="s" s="9">
        <v>952</v>
      </c>
      <c r="F2713" t="s" s="10">
        <v>150</v>
      </c>
      <c r="G2713" t="s" s="11">
        <v>150</v>
      </c>
      <c r="H2713" t="s" s="10">
        <v>150</v>
      </c>
      <c r="I2713" t="s" s="11">
        <v>150</v>
      </c>
      <c r="J2713" t="s" s="11">
        <v>20</v>
      </c>
      <c r="K2713" s="15"/>
      <c r="L2713" t="s" s="16">
        <f>HYPERLINK("http://csr.bu.edu/ftp/asl/asllvd/demos/verify_start_end_handshape_annotations//test_auto_move//signs_mov_separ_signers/Liz_5953.mov","MOV")</f>
        <v>21</v>
      </c>
      <c r="M2713" t="s" s="10">
        <v>34</v>
      </c>
      <c r="N2713" s="17">
        <v>21</v>
      </c>
      <c r="O2713" s="18">
        <v>1386</v>
      </c>
      <c r="P2713" s="18">
        <v>1435</v>
      </c>
      <c r="Q2713" s="15"/>
      <c r="R2713" t="s" s="16">
        <f>HYPERLINK("http://secrets.rutgers.edu:8080/data/asl-ftp/asllvd/demos/verify_start_end_handshape_annotations//test_auto_move//signs_mov_separ_signers/Liz_5953.mov","MOV")</f>
        <v>21</v>
      </c>
    </row>
    <row r="2714" s="2" customFormat="1" ht="13.5" customHeight="1">
      <c r="B2714" s="13"/>
      <c r="C2714" t="s" s="9">
        <v>23</v>
      </c>
      <c r="D2714" t="s" s="8">
        <v>952</v>
      </c>
      <c r="E2714" t="s" s="9">
        <v>952</v>
      </c>
      <c r="F2714" t="s" s="10">
        <v>72</v>
      </c>
      <c r="G2714" t="s" s="11">
        <v>72</v>
      </c>
      <c r="H2714" t="s" s="10">
        <v>72</v>
      </c>
      <c r="I2714" t="s" s="11">
        <v>72</v>
      </c>
      <c r="J2714" t="s" s="11">
        <v>20</v>
      </c>
      <c r="K2714" s="15"/>
      <c r="L2714" t="s" s="16">
        <f>HYPERLINK("http://csr.bu.edu/ftp/asl/asllvd/demos/verify_start_end_handshape_annotations//test_auto_move//signs_mov_separ_signers/Tyler_5152.mov","MOV")</f>
        <v>21</v>
      </c>
      <c r="M2714" t="s" s="10">
        <v>92</v>
      </c>
      <c r="N2714" s="17">
        <v>49</v>
      </c>
      <c r="O2714" s="18">
        <v>911</v>
      </c>
      <c r="P2714" s="18">
        <v>940</v>
      </c>
      <c r="Q2714" s="15"/>
      <c r="R2714" t="s" s="16">
        <f>HYPERLINK("http://secrets.rutgers.edu:8080/data/asl-ftp/asllvd/demos/verify_start_end_handshape_annotations//test_auto_move//signs_mov_separ_signers/Tyler_5152.mov","MOV")</f>
        <v>21</v>
      </c>
    </row>
    <row r="2715" s="2" customFormat="1" ht="13.5" customHeight="1">
      <c r="B2715" s="13"/>
      <c r="C2715" t="s" s="9">
        <v>27</v>
      </c>
      <c r="D2715" t="s" s="8">
        <v>952</v>
      </c>
      <c r="E2715" t="s" s="9">
        <v>952</v>
      </c>
      <c r="F2715" t="s" s="10">
        <v>150</v>
      </c>
      <c r="G2715" t="s" s="11">
        <v>150</v>
      </c>
      <c r="H2715" t="s" s="10">
        <v>150</v>
      </c>
      <c r="I2715" t="s" s="11">
        <v>150</v>
      </c>
      <c r="J2715" t="s" s="11">
        <v>20</v>
      </c>
      <c r="K2715" t="s" s="16">
        <f>HYPERLINK("http://csr.bu.edu/ftp/asl/asllvd/demos/verify_start_end_handshape_annotations//test_auto_move//signs_mov/5152_5953_merged.mov","MOV")</f>
        <v>21</v>
      </c>
      <c r="L2715" t="s" s="16">
        <f>HYPERLINK("http://csr.bu.edu/ftp/asl/asllvd/demos/verify_start_end_handshape_annotations//test_auto_move//signs_mov_separ_signers/Naomi_5152.mov","MOV")</f>
        <v>21</v>
      </c>
      <c r="M2715" t="s" s="10">
        <v>86</v>
      </c>
      <c r="N2715" s="17">
        <v>9</v>
      </c>
      <c r="O2715" s="18">
        <v>2245</v>
      </c>
      <c r="P2715" s="18">
        <v>2261</v>
      </c>
      <c r="Q2715" t="s" s="16">
        <f>HYPERLINK("http://secrets.rutgers.edu:8080/data/asl-ftp/asllvd/demos/verify_start_end_handshape_annotations//test_auto_move//signs_mov/5152_5953_merged.mov","MOV")</f>
        <v>21</v>
      </c>
      <c r="R2715" t="s" s="16">
        <f>HYPERLINK("http://secrets.rutgers.edu:8080/data/asl-ftp/asllvd/demos/verify_start_end_handshape_annotations//test_auto_move//signs_mov_separ_signers/Naomi_5152.mov","MOV")</f>
        <v>21</v>
      </c>
    </row>
    <row r="2716" s="2" customFormat="1" ht="13.5" customHeight="1">
      <c r="B2716" s="13"/>
      <c r="C2716" t="s" s="9">
        <v>27</v>
      </c>
      <c r="D2716" t="s" s="8">
        <v>952</v>
      </c>
      <c r="E2716" t="s" s="9">
        <v>952</v>
      </c>
      <c r="F2716" t="s" s="10">
        <v>150</v>
      </c>
      <c r="G2716" t="s" s="11">
        <v>150</v>
      </c>
      <c r="H2716" t="s" s="10">
        <v>150</v>
      </c>
      <c r="I2716" t="s" s="11">
        <v>150</v>
      </c>
      <c r="J2716" t="s" s="11">
        <v>20</v>
      </c>
      <c r="K2716" s="15"/>
      <c r="L2716" t="s" s="16">
        <f>HYPERLINK("http://csr.bu.edu/ftp/asl/asllvd/demos/verify_start_end_handshape_annotations//test_auto_move//signs_mov_separ_signers/Naomi_5953.mov","MOV")</f>
        <v>21</v>
      </c>
      <c r="M2716" t="s" s="10">
        <v>38</v>
      </c>
      <c r="N2716" s="17">
        <v>17</v>
      </c>
      <c r="O2716" s="18">
        <v>1488</v>
      </c>
      <c r="P2716" s="18">
        <v>1513</v>
      </c>
      <c r="Q2716" s="15"/>
      <c r="R2716" t="s" s="16">
        <f>HYPERLINK("http://secrets.rutgers.edu:8080/data/asl-ftp/asllvd/demos/verify_start_end_handshape_annotations//test_auto_move//signs_mov_separ_signers/Naomi_5953.mov","MOV")</f>
        <v>21</v>
      </c>
    </row>
    <row r="2717" s="2" customFormat="1" ht="13.5" customHeight="1">
      <c r="B2717" s="13"/>
      <c r="C2717" t="s" s="9">
        <v>30</v>
      </c>
      <c r="D2717" t="s" s="8">
        <v>952</v>
      </c>
      <c r="E2717" t="s" s="9">
        <v>952</v>
      </c>
      <c r="F2717" t="s" s="10">
        <v>150</v>
      </c>
      <c r="G2717" t="s" s="11">
        <v>150</v>
      </c>
      <c r="H2717" t="s" s="10">
        <v>150</v>
      </c>
      <c r="I2717" t="s" s="11">
        <v>150</v>
      </c>
      <c r="J2717" t="s" s="11">
        <v>20</v>
      </c>
      <c r="K2717" s="15"/>
      <c r="L2717" t="s" s="16">
        <f>HYPERLINK("http://csr.bu.edu/ftp/asl/asllvd/demos/verify_start_end_handshape_annotations//test_auto_move//signs_mov_separ_signers/Brady_5152.mov","MOV")</f>
        <v>21</v>
      </c>
      <c r="M2717" t="s" s="10">
        <v>39</v>
      </c>
      <c r="N2717" s="17">
        <v>33</v>
      </c>
      <c r="O2717" s="18">
        <v>4462</v>
      </c>
      <c r="P2717" s="18">
        <v>4496</v>
      </c>
      <c r="Q2717" s="15"/>
      <c r="R2717" t="s" s="16">
        <f>HYPERLINK("http://secrets.rutgers.edu:8080/data/asl-ftp/asllvd/demos/verify_start_end_handshape_annotations//test_auto_move//signs_mov_separ_signers/Brady_5152.mov","MOV")</f>
        <v>21</v>
      </c>
    </row>
    <row r="2718" s="2" customFormat="1" ht="13.5" customHeight="1">
      <c r="B2718" s="13"/>
      <c r="C2718" t="s" s="9">
        <v>30</v>
      </c>
      <c r="D2718" t="s" s="8">
        <v>952</v>
      </c>
      <c r="E2718" t="s" s="9">
        <v>952</v>
      </c>
      <c r="F2718" t="s" s="10">
        <v>150</v>
      </c>
      <c r="G2718" t="s" s="11">
        <v>150</v>
      </c>
      <c r="H2718" t="s" s="10">
        <v>150</v>
      </c>
      <c r="I2718" t="s" s="11">
        <v>150</v>
      </c>
      <c r="J2718" t="s" s="11">
        <v>20</v>
      </c>
      <c r="K2718" s="15"/>
      <c r="L2718" t="s" s="16">
        <f>HYPERLINK("http://csr.bu.edu/ftp/asl/asllvd/demos/verify_start_end_handshape_annotations//test_auto_move//signs_mov_separ_signers/Brady_5953.mov","MOV")</f>
        <v>21</v>
      </c>
      <c r="M2718" t="s" s="10">
        <v>60</v>
      </c>
      <c r="N2718" s="17">
        <v>41</v>
      </c>
      <c r="O2718" s="18">
        <v>1333</v>
      </c>
      <c r="P2718" s="18">
        <v>1365</v>
      </c>
      <c r="Q2718" s="15"/>
      <c r="R2718" t="s" s="16">
        <f>HYPERLINK("http://secrets.rutgers.edu:8080/data/asl-ftp/asllvd/demos/verify_start_end_handshape_annotations//test_auto_move//signs_mov_separ_signers/Brady_5953.mov","MOV")</f>
        <v>21</v>
      </c>
    </row>
    <row r="2719" s="2" customFormat="1" ht="13.5" customHeight="1">
      <c r="B2719" t="s" s="8">
        <v>953</v>
      </c>
      <c r="C2719" t="s" s="9">
        <v>14</v>
      </c>
      <c r="D2719" t="s" s="8">
        <v>14</v>
      </c>
      <c r="E2719" t="s" s="9">
        <v>14</v>
      </c>
      <c r="F2719" t="s" s="10">
        <v>14</v>
      </c>
      <c r="G2719" t="s" s="11">
        <v>14</v>
      </c>
      <c r="H2719" t="s" s="10">
        <v>14</v>
      </c>
      <c r="I2719" t="s" s="11">
        <v>14</v>
      </c>
      <c r="J2719" t="s" s="11">
        <v>14</v>
      </c>
      <c r="K2719" t="s" s="12">
        <v>14</v>
      </c>
      <c r="L2719" t="s" s="12">
        <v>14</v>
      </c>
      <c r="M2719" t="s" s="10">
        <v>14</v>
      </c>
      <c r="N2719" t="s" s="11">
        <v>14</v>
      </c>
      <c r="O2719" t="s" s="8">
        <v>14</v>
      </c>
      <c r="P2719" t="s" s="8">
        <v>14</v>
      </c>
      <c r="Q2719" t="s" s="12">
        <v>14</v>
      </c>
      <c r="R2719" t="s" s="12">
        <v>14</v>
      </c>
    </row>
    <row r="2720" s="2" customFormat="1" ht="13.5" customHeight="1">
      <c r="B2720" s="13"/>
      <c r="C2720" t="s" s="9">
        <v>23</v>
      </c>
      <c r="D2720" t="s" s="8">
        <v>953</v>
      </c>
      <c r="E2720" t="s" s="9">
        <v>953</v>
      </c>
      <c r="F2720" t="s" s="10">
        <v>18</v>
      </c>
      <c r="G2720" t="s" s="11">
        <v>18</v>
      </c>
      <c r="H2720" s="19">
        <v>4</v>
      </c>
      <c r="I2720" t="s" s="11">
        <v>18</v>
      </c>
      <c r="J2720" t="s" s="11">
        <v>20</v>
      </c>
      <c r="K2720" t="s" s="16">
        <f>HYPERLINK("http://csr.bu.edu/ftp/asl/asllvd/demos/verify_start_end_handshape_annotations//test_auto_move//signs_mov/15610.mov","MOV")</f>
        <v>21</v>
      </c>
      <c r="L2720" t="s" s="16">
        <f>HYPERLINK("http://csr.bu.edu/ftp/asl/asllvd/demos/verify_start_end_handshape_annotations//test_auto_move//signs_mov_separ_signers/Tyler_15610.mov","MOV")</f>
        <v>21</v>
      </c>
      <c r="M2720" t="s" s="10">
        <v>125</v>
      </c>
      <c r="N2720" s="17">
        <v>9</v>
      </c>
      <c r="O2720" s="18">
        <v>1799</v>
      </c>
      <c r="P2720" s="18">
        <v>1873</v>
      </c>
      <c r="Q2720" t="s" s="16">
        <f>HYPERLINK("http://secrets.rutgers.edu:8080/data/asl-ftp/asllvd/demos/verify_start_end_handshape_annotations//test_auto_move//signs_mov/15610.mov","MOV")</f>
        <v>21</v>
      </c>
      <c r="R2720" t="s" s="16">
        <f>HYPERLINK("http://secrets.rutgers.edu:8080/data/asl-ftp/asllvd/demos/verify_start_end_handshape_annotations//test_auto_move//signs_mov_separ_signers/Tyler_15610.mov","MOV")</f>
        <v>21</v>
      </c>
    </row>
    <row r="2721" s="2" customFormat="1" ht="13.5" customHeight="1">
      <c r="B2721" t="s" s="8">
        <v>954</v>
      </c>
      <c r="C2721" t="s" s="9">
        <v>14</v>
      </c>
      <c r="D2721" t="s" s="8">
        <v>14</v>
      </c>
      <c r="E2721" t="s" s="9">
        <v>14</v>
      </c>
      <c r="F2721" t="s" s="10">
        <v>14</v>
      </c>
      <c r="G2721" t="s" s="11">
        <v>14</v>
      </c>
      <c r="H2721" t="s" s="10">
        <v>14</v>
      </c>
      <c r="I2721" t="s" s="11">
        <v>14</v>
      </c>
      <c r="J2721" t="s" s="11">
        <v>14</v>
      </c>
      <c r="K2721" t="s" s="12">
        <v>14</v>
      </c>
      <c r="L2721" t="s" s="12">
        <v>14</v>
      </c>
      <c r="M2721" t="s" s="10">
        <v>14</v>
      </c>
      <c r="N2721" t="s" s="11">
        <v>14</v>
      </c>
      <c r="O2721" t="s" s="8">
        <v>14</v>
      </c>
      <c r="P2721" t="s" s="8">
        <v>14</v>
      </c>
      <c r="Q2721" t="s" s="12">
        <v>14</v>
      </c>
      <c r="R2721" t="s" s="12">
        <v>14</v>
      </c>
    </row>
    <row r="2722" s="2" customFormat="1" ht="13.5" customHeight="1">
      <c r="B2722" s="13"/>
      <c r="C2722" t="s" s="9">
        <v>16</v>
      </c>
      <c r="D2722" t="s" s="8">
        <v>954</v>
      </c>
      <c r="E2722" t="s" s="9">
        <v>954</v>
      </c>
      <c r="F2722" s="19">
        <v>5</v>
      </c>
      <c r="G2722" s="17">
        <v>5</v>
      </c>
      <c r="H2722" t="s" s="10">
        <v>68</v>
      </c>
      <c r="I2722" t="s" s="11">
        <v>68</v>
      </c>
      <c r="J2722" t="s" s="11">
        <v>20</v>
      </c>
      <c r="K2722" s="15"/>
      <c r="L2722" t="s" s="16">
        <f>HYPERLINK("http://csr.bu.edu/ftp/asl/asllvd/demos/verify_start_end_handshape_annotations//test_auto_move//signs_mov_separ_signers/Liz_586.mov","MOV")</f>
        <v>21</v>
      </c>
      <c r="M2722" t="s" s="10">
        <v>84</v>
      </c>
      <c r="N2722" s="17">
        <v>9</v>
      </c>
      <c r="O2722" s="18">
        <v>1030</v>
      </c>
      <c r="P2722" s="18">
        <v>1065</v>
      </c>
      <c r="Q2722" s="15"/>
      <c r="R2722" t="s" s="16">
        <f>HYPERLINK("http://secrets.rutgers.edu:8080/data/asl-ftp/asllvd/demos/verify_start_end_handshape_annotations//test_auto_move//signs_mov_separ_signers/Liz_586.mov","MOV")</f>
        <v>21</v>
      </c>
    </row>
    <row r="2723" s="2" customFormat="1" ht="13.5" customHeight="1">
      <c r="B2723" s="13"/>
      <c r="C2723" t="s" s="9">
        <v>16</v>
      </c>
      <c r="D2723" t="s" s="8">
        <v>954</v>
      </c>
      <c r="E2723" t="s" s="9">
        <v>954</v>
      </c>
      <c r="F2723" s="19">
        <v>5</v>
      </c>
      <c r="G2723" s="17">
        <v>5</v>
      </c>
      <c r="H2723" t="s" s="10">
        <v>63</v>
      </c>
      <c r="I2723" t="s" s="11">
        <v>63</v>
      </c>
      <c r="J2723" t="s" s="11">
        <v>20</v>
      </c>
      <c r="K2723" s="15"/>
      <c r="L2723" t="s" s="16">
        <f>HYPERLINK("http://csr.bu.edu/ftp/asl/asllvd/demos/verify_start_end_handshape_annotations//test_auto_move//signs_mov_separ_signers/Liz_3315.mov","MOV")</f>
        <v>21</v>
      </c>
      <c r="M2723" t="s" s="10">
        <v>84</v>
      </c>
      <c r="N2723" s="17">
        <v>9</v>
      </c>
      <c r="O2723" s="18">
        <v>1932</v>
      </c>
      <c r="P2723" s="18">
        <v>1980</v>
      </c>
      <c r="Q2723" s="15"/>
      <c r="R2723" t="s" s="16">
        <f>HYPERLINK("http://secrets.rutgers.edu:8080/data/asl-ftp/asllvd/demos/verify_start_end_handshape_annotations//test_auto_move//signs_mov_separ_signers/Liz_3315.mov","MOV")</f>
        <v>21</v>
      </c>
    </row>
    <row r="2724" s="2" customFormat="1" ht="13.5" customHeight="1">
      <c r="B2724" s="13"/>
      <c r="C2724" t="s" s="9">
        <v>23</v>
      </c>
      <c r="D2724" t="s" s="8">
        <v>954</v>
      </c>
      <c r="E2724" t="s" s="9">
        <v>954</v>
      </c>
      <c r="F2724" t="s" s="10">
        <v>72</v>
      </c>
      <c r="G2724" t="s" s="11">
        <v>72</v>
      </c>
      <c r="H2724" t="s" s="10">
        <v>68</v>
      </c>
      <c r="I2724" t="s" s="11">
        <v>68</v>
      </c>
      <c r="J2724" t="s" s="11">
        <v>20</v>
      </c>
      <c r="K2724" t="s" s="16">
        <f>HYPERLINK("http://csr.bu.edu/ftp/asl/asllvd/demos/verify_start_end_handshape_annotations//test_auto_move//signs_mov/586_3315_merged.mov","MOV")</f>
        <v>21</v>
      </c>
      <c r="L2724" t="s" s="16">
        <f>HYPERLINK("http://csr.bu.edu/ftp/asl/asllvd/demos/verify_start_end_handshape_annotations//test_auto_move//signs_mov_separ_signers/Tyler_586.mov","MOV")</f>
        <v>21</v>
      </c>
      <c r="M2724" t="s" s="10">
        <v>125</v>
      </c>
      <c r="N2724" s="17">
        <v>9</v>
      </c>
      <c r="O2724" s="18">
        <v>2526</v>
      </c>
      <c r="P2724" s="18">
        <v>2572</v>
      </c>
      <c r="Q2724" t="s" s="16">
        <f>HYPERLINK("http://secrets.rutgers.edu:8080/data/asl-ftp/asllvd/demos/verify_start_end_handshape_annotations//test_auto_move//signs_mov/586_3315_merged.mov","MOV")</f>
        <v>21</v>
      </c>
      <c r="R2724" t="s" s="16">
        <f>HYPERLINK("http://secrets.rutgers.edu:8080/data/asl-ftp/asllvd/demos/verify_start_end_handshape_annotations//test_auto_move//signs_mov_separ_signers/Tyler_586.mov","MOV")</f>
        <v>21</v>
      </c>
    </row>
    <row r="2725" s="2" customFormat="1" ht="13.5" customHeight="1">
      <c r="B2725" s="13"/>
      <c r="C2725" t="s" s="9">
        <v>27</v>
      </c>
      <c r="D2725" t="s" s="8">
        <v>954</v>
      </c>
      <c r="E2725" t="s" s="9">
        <v>954</v>
      </c>
      <c r="F2725" t="s" s="10">
        <v>72</v>
      </c>
      <c r="G2725" t="s" s="11">
        <v>72</v>
      </c>
      <c r="H2725" t="s" s="10">
        <v>63</v>
      </c>
      <c r="I2725" t="s" s="11">
        <v>63</v>
      </c>
      <c r="J2725" t="s" s="11">
        <v>20</v>
      </c>
      <c r="K2725" s="15"/>
      <c r="L2725" t="s" s="16">
        <f>HYPERLINK("http://csr.bu.edu/ftp/asl/asllvd/demos/verify_start_end_handshape_annotations//test_auto_move//signs_mov_separ_signers/Naomi_586.mov","MOV")</f>
        <v>21</v>
      </c>
      <c r="M2725" t="s" s="10">
        <v>86</v>
      </c>
      <c r="N2725" s="17">
        <v>9</v>
      </c>
      <c r="O2725" s="18">
        <v>2685</v>
      </c>
      <c r="P2725" s="18">
        <v>2715</v>
      </c>
      <c r="Q2725" s="15"/>
      <c r="R2725" t="s" s="16">
        <f>HYPERLINK("http://secrets.rutgers.edu:8080/data/asl-ftp/asllvd/demos/verify_start_end_handshape_annotations//test_auto_move//signs_mov_separ_signers/Naomi_586.mov","MOV")</f>
        <v>21</v>
      </c>
    </row>
    <row r="2726" s="2" customFormat="1" ht="13.5" customHeight="1">
      <c r="B2726" s="13"/>
      <c r="C2726" t="s" s="9">
        <v>30</v>
      </c>
      <c r="D2726" t="s" s="8">
        <v>954</v>
      </c>
      <c r="E2726" t="s" s="9">
        <v>954</v>
      </c>
      <c r="F2726" t="s" s="10">
        <v>72</v>
      </c>
      <c r="G2726" t="s" s="11">
        <v>72</v>
      </c>
      <c r="H2726" t="s" s="10">
        <v>63</v>
      </c>
      <c r="I2726" t="s" s="11">
        <v>63</v>
      </c>
      <c r="J2726" t="s" s="11">
        <v>20</v>
      </c>
      <c r="K2726" s="15"/>
      <c r="L2726" t="s" s="16">
        <f>HYPERLINK("http://csr.bu.edu/ftp/asl/asllvd/demos/verify_start_end_handshape_annotations//test_auto_move//signs_mov_separ_signers/Brady_586.mov","MOV")</f>
        <v>21</v>
      </c>
      <c r="M2726" t="s" s="10">
        <v>31</v>
      </c>
      <c r="N2726" s="17">
        <v>31</v>
      </c>
      <c r="O2726" s="18">
        <v>9864</v>
      </c>
      <c r="P2726" s="18">
        <v>9904</v>
      </c>
      <c r="Q2726" s="15"/>
      <c r="R2726" t="s" s="16">
        <f>HYPERLINK("http://secrets.rutgers.edu:8080/data/asl-ftp/asllvd/demos/verify_start_end_handshape_annotations//test_auto_move//signs_mov_separ_signers/Brady_586.mov","MOV")</f>
        <v>21</v>
      </c>
    </row>
    <row r="2727" s="2" customFormat="1" ht="13.5" customHeight="1">
      <c r="B2727" t="s" s="8">
        <v>955</v>
      </c>
      <c r="C2727" t="s" s="9">
        <v>14</v>
      </c>
      <c r="D2727" t="s" s="8">
        <v>14</v>
      </c>
      <c r="E2727" t="s" s="9">
        <v>14</v>
      </c>
      <c r="F2727" t="s" s="10">
        <v>14</v>
      </c>
      <c r="G2727" t="s" s="11">
        <v>14</v>
      </c>
      <c r="H2727" t="s" s="10">
        <v>14</v>
      </c>
      <c r="I2727" t="s" s="11">
        <v>14</v>
      </c>
      <c r="J2727" t="s" s="11">
        <v>14</v>
      </c>
      <c r="K2727" t="s" s="12">
        <v>14</v>
      </c>
      <c r="L2727" t="s" s="12">
        <v>14</v>
      </c>
      <c r="M2727" t="s" s="10">
        <v>14</v>
      </c>
      <c r="N2727" t="s" s="11">
        <v>14</v>
      </c>
      <c r="O2727" t="s" s="8">
        <v>14</v>
      </c>
      <c r="P2727" t="s" s="8">
        <v>14</v>
      </c>
      <c r="Q2727" t="s" s="12">
        <v>14</v>
      </c>
      <c r="R2727" t="s" s="12">
        <v>14</v>
      </c>
    </row>
    <row r="2728" s="2" customFormat="1" ht="13.5" customHeight="1">
      <c r="B2728" s="13"/>
      <c r="C2728" t="s" s="9">
        <v>16</v>
      </c>
      <c r="D2728" t="s" s="8">
        <v>955</v>
      </c>
      <c r="E2728" t="s" s="9">
        <v>955</v>
      </c>
      <c r="F2728" t="s" s="10">
        <v>72</v>
      </c>
      <c r="G2728" t="s" s="11">
        <v>72</v>
      </c>
      <c r="H2728" t="s" s="10">
        <v>68</v>
      </c>
      <c r="I2728" t="s" s="11">
        <v>68</v>
      </c>
      <c r="J2728" t="s" s="11">
        <v>20</v>
      </c>
      <c r="K2728" s="15"/>
      <c r="L2728" t="s" s="16">
        <f>HYPERLINK("http://csr.bu.edu/ftp/asl/asllvd/demos/verify_start_end_handshape_annotations//test_auto_move//signs_mov_separ_signers/Liz_15725.mov","MOV")</f>
        <v>21</v>
      </c>
      <c r="M2728" t="s" s="10">
        <v>34</v>
      </c>
      <c r="N2728" s="17">
        <v>12</v>
      </c>
      <c r="O2728" s="18">
        <v>1132</v>
      </c>
      <c r="P2728" s="18">
        <v>1187</v>
      </c>
      <c r="Q2728" s="15"/>
      <c r="R2728" t="s" s="16">
        <f>HYPERLINK("http://secrets.rutgers.edu:8080/data/asl-ftp/asllvd/demos/verify_start_end_handshape_annotations//test_auto_move//signs_mov_separ_signers/Liz_15725.mov","MOV")</f>
        <v>21</v>
      </c>
    </row>
    <row r="2729" s="2" customFormat="1" ht="13.5" customHeight="1">
      <c r="B2729" s="13"/>
      <c r="C2729" t="s" s="9">
        <v>23</v>
      </c>
      <c r="D2729" t="s" s="8">
        <v>955</v>
      </c>
      <c r="E2729" t="s" s="9">
        <v>955</v>
      </c>
      <c r="F2729" t="s" s="10">
        <v>72</v>
      </c>
      <c r="G2729" t="s" s="11">
        <v>72</v>
      </c>
      <c r="H2729" t="s" s="10">
        <v>68</v>
      </c>
      <c r="I2729" t="s" s="11">
        <v>68</v>
      </c>
      <c r="J2729" t="s" s="11">
        <v>20</v>
      </c>
      <c r="K2729" t="s" s="16">
        <f>HYPERLINK("http://csr.bu.edu/ftp/asl/asllvd/demos/verify_start_end_handshape_annotations//test_auto_move//signs_mov/15725.mov","MOV")</f>
        <v>21</v>
      </c>
      <c r="L2729" t="s" s="16">
        <f>HYPERLINK("http://csr.bu.edu/ftp/asl/asllvd/demos/verify_start_end_handshape_annotations//test_auto_move//signs_mov_separ_signers/Tyler_15725.mov","MOV")</f>
        <v>21</v>
      </c>
      <c r="M2729" t="s" s="10">
        <v>92</v>
      </c>
      <c r="N2729" s="17">
        <v>42</v>
      </c>
      <c r="O2729" s="18">
        <v>1481</v>
      </c>
      <c r="P2729" s="18">
        <v>1516</v>
      </c>
      <c r="Q2729" t="s" s="16">
        <f>HYPERLINK("http://secrets.rutgers.edu:8080/data/asl-ftp/asllvd/demos/verify_start_end_handshape_annotations//test_auto_move//signs_mov/15725.mov","MOV")</f>
        <v>21</v>
      </c>
      <c r="R2729" t="s" s="16">
        <f>HYPERLINK("http://secrets.rutgers.edu:8080/data/asl-ftp/asllvd/demos/verify_start_end_handshape_annotations//test_auto_move//signs_mov_separ_signers/Tyler_15725.mov","MOV")</f>
        <v>21</v>
      </c>
    </row>
    <row r="2730" s="2" customFormat="1" ht="13.5" customHeight="1">
      <c r="B2730" s="13"/>
      <c r="C2730" t="s" s="9">
        <v>27</v>
      </c>
      <c r="D2730" t="s" s="8">
        <v>955</v>
      </c>
      <c r="E2730" t="s" s="9">
        <v>955</v>
      </c>
      <c r="F2730" t="s" s="10">
        <v>72</v>
      </c>
      <c r="G2730" t="s" s="11">
        <v>72</v>
      </c>
      <c r="H2730" t="s" s="10">
        <v>68</v>
      </c>
      <c r="I2730" t="s" s="11">
        <v>68</v>
      </c>
      <c r="J2730" t="s" s="11">
        <v>20</v>
      </c>
      <c r="K2730" s="15"/>
      <c r="L2730" t="s" s="16">
        <f>HYPERLINK("http://csr.bu.edu/ftp/asl/asllvd/demos/verify_start_end_handshape_annotations//test_auto_move//signs_mov_separ_signers/Naomi_15725.mov","MOV")</f>
        <v>21</v>
      </c>
      <c r="M2730" t="s" s="10">
        <v>38</v>
      </c>
      <c r="N2730" s="17">
        <v>10</v>
      </c>
      <c r="O2730" s="18">
        <v>2155</v>
      </c>
      <c r="P2730" s="18">
        <v>2212</v>
      </c>
      <c r="Q2730" s="15"/>
      <c r="R2730" t="s" s="16">
        <f>HYPERLINK("http://secrets.rutgers.edu:8080/data/asl-ftp/asllvd/demos/verify_start_end_handshape_annotations//test_auto_move//signs_mov_separ_signers/Naomi_15725.mov","MOV")</f>
        <v>21</v>
      </c>
    </row>
    <row r="2731" s="2" customFormat="1" ht="13.5" customHeight="1">
      <c r="B2731" t="s" s="8">
        <v>956</v>
      </c>
      <c r="C2731" t="s" s="9">
        <v>14</v>
      </c>
      <c r="D2731" t="s" s="8">
        <v>14</v>
      </c>
      <c r="E2731" t="s" s="9">
        <v>14</v>
      </c>
      <c r="F2731" t="s" s="10">
        <v>14</v>
      </c>
      <c r="G2731" t="s" s="11">
        <v>14</v>
      </c>
      <c r="H2731" t="s" s="10">
        <v>14</v>
      </c>
      <c r="I2731" t="s" s="11">
        <v>14</v>
      </c>
      <c r="J2731" t="s" s="11">
        <v>14</v>
      </c>
      <c r="K2731" t="s" s="12">
        <v>14</v>
      </c>
      <c r="L2731" t="s" s="12">
        <v>14</v>
      </c>
      <c r="M2731" t="s" s="10">
        <v>14</v>
      </c>
      <c r="N2731" t="s" s="11">
        <v>14</v>
      </c>
      <c r="O2731" t="s" s="8">
        <v>14</v>
      </c>
      <c r="P2731" t="s" s="8">
        <v>14</v>
      </c>
      <c r="Q2731" t="s" s="12">
        <v>14</v>
      </c>
      <c r="R2731" t="s" s="12">
        <v>14</v>
      </c>
    </row>
    <row r="2732" s="2" customFormat="1" ht="13.5" customHeight="1">
      <c r="B2732" s="13"/>
      <c r="C2732" t="s" s="9">
        <v>16</v>
      </c>
      <c r="D2732" t="s" s="8">
        <v>956</v>
      </c>
      <c r="E2732" t="s" s="9">
        <v>956</v>
      </c>
      <c r="F2732" t="s" s="10">
        <v>65</v>
      </c>
      <c r="G2732" t="s" s="11">
        <v>65</v>
      </c>
      <c r="H2732" t="s" s="10">
        <v>65</v>
      </c>
      <c r="I2732" t="s" s="11">
        <v>65</v>
      </c>
      <c r="J2732" t="s" s="11">
        <v>20</v>
      </c>
      <c r="K2732" s="15"/>
      <c r="L2732" t="s" s="16">
        <f>HYPERLINK("http://csr.bu.edu/ftp/asl/asllvd/demos/verify_start_end_handshape_annotations//test_auto_move//signs_mov_separ_signers/Liz_15825.mov","MOV")</f>
        <v>21</v>
      </c>
      <c r="M2732" t="s" s="10">
        <v>59</v>
      </c>
      <c r="N2732" s="17">
        <v>26</v>
      </c>
      <c r="O2732" s="18">
        <v>1035</v>
      </c>
      <c r="P2732" s="18">
        <v>1070</v>
      </c>
      <c r="Q2732" s="15"/>
      <c r="R2732" t="s" s="16">
        <f>HYPERLINK("http://secrets.rutgers.edu:8080/data/asl-ftp/asllvd/demos/verify_start_end_handshape_annotations//test_auto_move//signs_mov_separ_signers/Liz_15825.mov","MOV")</f>
        <v>21</v>
      </c>
    </row>
    <row r="2733" s="2" customFormat="1" ht="13.5" customHeight="1">
      <c r="B2733" s="13"/>
      <c r="C2733" t="s" s="9">
        <v>16</v>
      </c>
      <c r="D2733" t="s" s="8">
        <v>956</v>
      </c>
      <c r="E2733" t="s" s="9">
        <v>956</v>
      </c>
      <c r="F2733" t="s" s="10">
        <v>72</v>
      </c>
      <c r="G2733" t="s" s="11">
        <v>517</v>
      </c>
      <c r="H2733" t="s" s="10">
        <v>68</v>
      </c>
      <c r="I2733" t="s" s="11">
        <v>68</v>
      </c>
      <c r="J2733" t="s" s="11">
        <v>20</v>
      </c>
      <c r="K2733" t="s" s="16">
        <f>HYPERLINK("http://csr.bu.edu/ftp/asl/asllvd/demos/verify_start_end_handshape_annotations//test_auto_move//signs_mov/15825_15869_merged.mov","MOV")</f>
        <v>21</v>
      </c>
      <c r="L2733" t="s" s="16">
        <f>HYPERLINK("http://csr.bu.edu/ftp/asl/asllvd/demos/verify_start_end_handshape_annotations//test_auto_move//signs_mov_separ_signers/Liz_15869.mov","MOV")</f>
        <v>21</v>
      </c>
      <c r="M2733" t="s" s="10">
        <v>59</v>
      </c>
      <c r="N2733" s="17">
        <v>26</v>
      </c>
      <c r="O2733" s="18">
        <v>2380</v>
      </c>
      <c r="P2733" s="18">
        <v>2426</v>
      </c>
      <c r="Q2733" t="s" s="16">
        <f>HYPERLINK("http://secrets.rutgers.edu:8080/data/asl-ftp/asllvd/demos/verify_start_end_handshape_annotations//test_auto_move//signs_mov/15825_15869_merged.mov","MOV")</f>
        <v>21</v>
      </c>
      <c r="R2733" t="s" s="16">
        <f>HYPERLINK("http://secrets.rutgers.edu:8080/data/asl-ftp/asllvd/demos/verify_start_end_handshape_annotations//test_auto_move//signs_mov_separ_signers/Liz_15869.mov","MOV")</f>
        <v>21</v>
      </c>
    </row>
    <row r="2734" s="2" customFormat="1" ht="13.5" customHeight="1">
      <c r="B2734" s="13"/>
      <c r="C2734" t="s" s="9">
        <v>30</v>
      </c>
      <c r="D2734" t="s" s="8">
        <v>956</v>
      </c>
      <c r="E2734" t="s" s="9">
        <v>956</v>
      </c>
      <c r="F2734" t="s" s="10">
        <v>28</v>
      </c>
      <c r="G2734" t="s" s="11">
        <v>28</v>
      </c>
      <c r="H2734" t="s" s="10">
        <v>28</v>
      </c>
      <c r="I2734" t="s" s="11">
        <v>28</v>
      </c>
      <c r="J2734" t="s" s="11">
        <v>20</v>
      </c>
      <c r="K2734" s="15"/>
      <c r="L2734" t="s" s="16">
        <f>HYPERLINK("http://csr.bu.edu/ftp/asl/asllvd/demos/verify_start_end_handshape_annotations//test_auto_move//signs_mov_separ_signers/Brady_15825.mov","MOV")</f>
        <v>21</v>
      </c>
      <c r="M2734" t="s" s="10">
        <v>60</v>
      </c>
      <c r="N2734" s="17">
        <v>14</v>
      </c>
      <c r="O2734" s="18">
        <v>1559</v>
      </c>
      <c r="P2734" s="18">
        <v>1579</v>
      </c>
      <c r="Q2734" s="15"/>
      <c r="R2734" t="s" s="16">
        <f>HYPERLINK("http://secrets.rutgers.edu:8080/data/asl-ftp/asllvd/demos/verify_start_end_handshape_annotations//test_auto_move//signs_mov_separ_signers/Brady_15825.mov","MOV")</f>
        <v>21</v>
      </c>
    </row>
    <row r="2735" s="2" customFormat="1" ht="13.5" customHeight="1">
      <c r="B2735" t="s" s="8">
        <v>957</v>
      </c>
      <c r="C2735" t="s" s="9">
        <v>14</v>
      </c>
      <c r="D2735" t="s" s="8">
        <v>14</v>
      </c>
      <c r="E2735" t="s" s="9">
        <v>14</v>
      </c>
      <c r="F2735" t="s" s="10">
        <v>14</v>
      </c>
      <c r="G2735" t="s" s="11">
        <v>14</v>
      </c>
      <c r="H2735" t="s" s="10">
        <v>14</v>
      </c>
      <c r="I2735" t="s" s="11">
        <v>14</v>
      </c>
      <c r="J2735" t="s" s="11">
        <v>14</v>
      </c>
      <c r="K2735" t="s" s="12">
        <v>14</v>
      </c>
      <c r="L2735" t="s" s="12">
        <v>14</v>
      </c>
      <c r="M2735" t="s" s="10">
        <v>14</v>
      </c>
      <c r="N2735" t="s" s="11">
        <v>14</v>
      </c>
      <c r="O2735" t="s" s="8">
        <v>14</v>
      </c>
      <c r="P2735" t="s" s="8">
        <v>14</v>
      </c>
      <c r="Q2735" t="s" s="12">
        <v>14</v>
      </c>
      <c r="R2735" t="s" s="12">
        <v>14</v>
      </c>
    </row>
    <row r="2736" s="2" customFormat="1" ht="13.5" customHeight="1">
      <c r="B2736" s="13"/>
      <c r="C2736" t="s" s="9">
        <v>16</v>
      </c>
      <c r="D2736" t="s" s="8">
        <v>957</v>
      </c>
      <c r="E2736" t="s" s="9">
        <v>958</v>
      </c>
      <c r="F2736" s="19">
        <v>1</v>
      </c>
      <c r="G2736" s="17">
        <v>1</v>
      </c>
      <c r="H2736" t="s" s="10">
        <v>255</v>
      </c>
      <c r="I2736" t="s" s="11">
        <v>255</v>
      </c>
      <c r="J2736" t="s" s="11">
        <v>20</v>
      </c>
      <c r="K2736" t="s" s="16">
        <f>HYPERLINK("http://csr.bu.edu/ftp/asl/asllvd/demos/verify_start_end_handshape_annotations//test_auto_move//signs_mov/589.mov","MOV")</f>
        <v>21</v>
      </c>
      <c r="L2736" t="s" s="16">
        <f>HYPERLINK("http://csr.bu.edu/ftp/asl/asllvd/demos/verify_start_end_handshape_annotations//test_auto_move//signs_mov_separ_signers/Liz_589.mov","MOV")</f>
        <v>21</v>
      </c>
      <c r="M2736" t="s" s="10">
        <v>84</v>
      </c>
      <c r="N2736" s="17">
        <v>9</v>
      </c>
      <c r="O2736" s="18">
        <v>2716</v>
      </c>
      <c r="P2736" s="18">
        <v>2786</v>
      </c>
      <c r="Q2736" t="s" s="16">
        <f>HYPERLINK("http://secrets.rutgers.edu:8080/data/asl-ftp/asllvd/demos/verify_start_end_handshape_annotations//test_auto_move//signs_mov/589.mov","MOV")</f>
        <v>21</v>
      </c>
      <c r="R2736" t="s" s="16">
        <f>HYPERLINK("http://secrets.rutgers.edu:8080/data/asl-ftp/asllvd/demos/verify_start_end_handshape_annotations//test_auto_move//signs_mov_separ_signers/Liz_589.mov","MOV")</f>
        <v>21</v>
      </c>
    </row>
    <row r="2737" s="2" customFormat="1" ht="13.5" customHeight="1">
      <c r="B2737" s="13"/>
      <c r="C2737" t="s" s="9">
        <v>30</v>
      </c>
      <c r="D2737" t="s" s="8">
        <v>957</v>
      </c>
      <c r="E2737" t="s" s="9">
        <v>958</v>
      </c>
      <c r="F2737" s="19">
        <v>1</v>
      </c>
      <c r="G2737" s="17">
        <v>1</v>
      </c>
      <c r="H2737" t="s" s="10">
        <v>255</v>
      </c>
      <c r="I2737" t="s" s="11">
        <v>255</v>
      </c>
      <c r="J2737" t="s" s="11">
        <v>20</v>
      </c>
      <c r="K2737" s="15"/>
      <c r="L2737" t="s" s="16">
        <f>HYPERLINK("http://csr.bu.edu/ftp/asl/asllvd/demos/verify_start_end_handshape_annotations//test_auto_move//signs_mov_separ_signers/Brady_589.mov","MOV")</f>
        <v>21</v>
      </c>
      <c r="M2737" t="s" s="10">
        <v>31</v>
      </c>
      <c r="N2737" s="17">
        <v>31</v>
      </c>
      <c r="O2737" s="18">
        <v>10433</v>
      </c>
      <c r="P2737" s="18">
        <v>10480</v>
      </c>
      <c r="Q2737" s="15"/>
      <c r="R2737" t="s" s="16">
        <f>HYPERLINK("http://secrets.rutgers.edu:8080/data/asl-ftp/asllvd/demos/verify_start_end_handshape_annotations//test_auto_move//signs_mov_separ_signers/Brady_589.mov","MOV")</f>
        <v>21</v>
      </c>
    </row>
    <row r="2738" s="2" customFormat="1" ht="13.5" customHeight="1">
      <c r="B2738" t="s" s="8">
        <v>52</v>
      </c>
      <c r="C2738" t="s" s="9">
        <v>53</v>
      </c>
      <c r="D2738" t="s" s="8">
        <v>53</v>
      </c>
      <c r="E2738" t="s" s="9">
        <v>53</v>
      </c>
      <c r="F2738" t="s" s="10">
        <v>53</v>
      </c>
      <c r="G2738" t="s" s="11">
        <v>53</v>
      </c>
      <c r="H2738" t="s" s="10">
        <v>53</v>
      </c>
      <c r="I2738" t="s" s="11">
        <v>53</v>
      </c>
      <c r="J2738" t="s" s="11">
        <v>53</v>
      </c>
      <c r="K2738" t="s" s="12">
        <v>53</v>
      </c>
      <c r="L2738" t="s" s="12">
        <v>53</v>
      </c>
      <c r="M2738" t="s" s="10">
        <v>53</v>
      </c>
      <c r="N2738" t="s" s="11">
        <v>53</v>
      </c>
      <c r="O2738" t="s" s="8">
        <v>53</v>
      </c>
      <c r="P2738" t="s" s="8">
        <v>53</v>
      </c>
      <c r="Q2738" t="s" s="12">
        <v>53</v>
      </c>
      <c r="R2738" t="s" s="12">
        <v>53</v>
      </c>
    </row>
    <row r="2739" s="2" customFormat="1" ht="13.5" customHeight="1">
      <c r="B2739" s="13"/>
      <c r="C2739" t="s" s="9">
        <v>16</v>
      </c>
      <c r="D2739" t="s" s="8">
        <v>957</v>
      </c>
      <c r="E2739" t="s" s="9">
        <v>959</v>
      </c>
      <c r="F2739" s="19">
        <v>1</v>
      </c>
      <c r="G2739" s="17">
        <v>1</v>
      </c>
      <c r="H2739" t="s" s="10">
        <v>255</v>
      </c>
      <c r="I2739" t="s" s="11">
        <v>255</v>
      </c>
      <c r="J2739" t="s" s="11">
        <v>20</v>
      </c>
      <c r="K2739" t="s" s="16">
        <f>HYPERLINK("http://csr.bu.edu/ftp/asl/asllvd/demos/verify_start_end_handshape_annotations//test_auto_move//signs_mov/5153.mov","MOV")</f>
        <v>21</v>
      </c>
      <c r="L2739" t="s" s="16">
        <f>HYPERLINK("http://csr.bu.edu/ftp/asl/asllvd/demos/verify_start_end_handshape_annotations//test_auto_move//signs_mov_separ_signers/Liz_5153.mov","MOV")</f>
        <v>21</v>
      </c>
      <c r="M2739" t="s" s="10">
        <v>84</v>
      </c>
      <c r="N2739" s="17">
        <v>9</v>
      </c>
      <c r="O2739" s="18">
        <v>2446</v>
      </c>
      <c r="P2739" s="18">
        <v>2505</v>
      </c>
      <c r="Q2739" t="s" s="16">
        <f>HYPERLINK("http://secrets.rutgers.edu:8080/data/asl-ftp/asllvd/demos/verify_start_end_handshape_annotations//test_auto_move//signs_mov/5153.mov","MOV")</f>
        <v>21</v>
      </c>
      <c r="R2739" t="s" s="16">
        <f>HYPERLINK("http://secrets.rutgers.edu:8080/data/asl-ftp/asllvd/demos/verify_start_end_handshape_annotations//test_auto_move//signs_mov_separ_signers/Liz_5153.mov","MOV")</f>
        <v>21</v>
      </c>
    </row>
    <row r="2740" s="2" customFormat="1" ht="13.5" customHeight="1">
      <c r="B2740" s="13"/>
      <c r="C2740" t="s" s="9">
        <v>27</v>
      </c>
      <c r="D2740" t="s" s="8">
        <v>957</v>
      </c>
      <c r="E2740" t="s" s="9">
        <v>960</v>
      </c>
      <c r="F2740" s="19">
        <v>1</v>
      </c>
      <c r="G2740" s="17">
        <v>1</v>
      </c>
      <c r="H2740" t="s" s="10">
        <v>255</v>
      </c>
      <c r="I2740" t="s" s="11">
        <v>255</v>
      </c>
      <c r="J2740" t="s" s="11">
        <v>20</v>
      </c>
      <c r="K2740" s="15"/>
      <c r="L2740" t="s" s="16">
        <f>HYPERLINK("http://csr.bu.edu/ftp/asl/asllvd/demos/verify_start_end_handshape_annotations//test_auto_move//signs_mov_separ_signers/Naomi_5153.mov","MOV")</f>
        <v>21</v>
      </c>
      <c r="M2740" t="s" s="10">
        <v>86</v>
      </c>
      <c r="N2740" s="17">
        <v>9</v>
      </c>
      <c r="O2740" s="18">
        <v>3746</v>
      </c>
      <c r="P2740" s="18">
        <v>3797</v>
      </c>
      <c r="Q2740" s="15"/>
      <c r="R2740" t="s" s="16">
        <f>HYPERLINK("http://secrets.rutgers.edu:8080/data/asl-ftp/asllvd/demos/verify_start_end_handshape_annotations//test_auto_move//signs_mov_separ_signers/Naomi_5153.mov","MOV")</f>
        <v>21</v>
      </c>
    </row>
    <row r="2741" s="2" customFormat="1" ht="13.5" customHeight="1">
      <c r="B2741" t="s" s="8">
        <v>52</v>
      </c>
      <c r="C2741" t="s" s="9">
        <v>53</v>
      </c>
      <c r="D2741" t="s" s="8">
        <v>53</v>
      </c>
      <c r="E2741" t="s" s="9">
        <v>53</v>
      </c>
      <c r="F2741" t="s" s="10">
        <v>53</v>
      </c>
      <c r="G2741" t="s" s="11">
        <v>53</v>
      </c>
      <c r="H2741" t="s" s="10">
        <v>53</v>
      </c>
      <c r="I2741" t="s" s="11">
        <v>53</v>
      </c>
      <c r="J2741" t="s" s="11">
        <v>53</v>
      </c>
      <c r="K2741" t="s" s="12">
        <v>53</v>
      </c>
      <c r="L2741" t="s" s="12">
        <v>53</v>
      </c>
      <c r="M2741" t="s" s="10">
        <v>53</v>
      </c>
      <c r="N2741" t="s" s="11">
        <v>53</v>
      </c>
      <c r="O2741" t="s" s="8">
        <v>53</v>
      </c>
      <c r="P2741" t="s" s="8">
        <v>53</v>
      </c>
      <c r="Q2741" t="s" s="12">
        <v>53</v>
      </c>
      <c r="R2741" t="s" s="12">
        <v>53</v>
      </c>
    </row>
    <row r="2742" s="2" customFormat="1" ht="13.5" customHeight="1">
      <c r="B2742" s="13"/>
      <c r="C2742" t="s" s="9">
        <v>23</v>
      </c>
      <c r="D2742" t="s" s="8">
        <v>957</v>
      </c>
      <c r="E2742" t="s" s="9">
        <v>961</v>
      </c>
      <c r="F2742" t="s" s="10">
        <v>25</v>
      </c>
      <c r="G2742" t="s" s="11">
        <v>25</v>
      </c>
      <c r="H2742" s="19">
        <v>10</v>
      </c>
      <c r="I2742" s="17">
        <v>10</v>
      </c>
      <c r="J2742" t="s" s="11">
        <v>20</v>
      </c>
      <c r="K2742" t="s" s="16">
        <f>HYPERLINK("http://csr.bu.edu/ftp/asl/asllvd/demos/verify_start_end_handshape_annotations//test_auto_move//signs_mov/5536.mov","MOV")</f>
        <v>21</v>
      </c>
      <c r="L2742" t="s" s="16">
        <f>HYPERLINK("http://csr.bu.edu/ftp/asl/asllvd/demos/verify_start_end_handshape_annotations//test_auto_move//signs_mov_separ_signers/Tyler_5536.mov","MOV")</f>
        <v>21</v>
      </c>
      <c r="M2742" t="s" s="10">
        <v>125</v>
      </c>
      <c r="N2742" s="17">
        <v>9</v>
      </c>
      <c r="O2742" s="18">
        <v>3055</v>
      </c>
      <c r="P2742" s="18">
        <v>3097</v>
      </c>
      <c r="Q2742" t="s" s="16">
        <f>HYPERLINK("http://secrets.rutgers.edu:8080/data/asl-ftp/asllvd/demos/verify_start_end_handshape_annotations//test_auto_move//signs_mov/5536.mov","MOV")</f>
        <v>21</v>
      </c>
      <c r="R2742" t="s" s="16">
        <f>HYPERLINK("http://secrets.rutgers.edu:8080/data/asl-ftp/asllvd/demos/verify_start_end_handshape_annotations//test_auto_move//signs_mov_separ_signers/Tyler_5536.mov","MOV")</f>
        <v>21</v>
      </c>
    </row>
    <row r="2743" s="2" customFormat="1" ht="13.5" customHeight="1">
      <c r="B2743" s="13"/>
      <c r="C2743" t="s" s="9">
        <v>27</v>
      </c>
      <c r="D2743" t="s" s="8">
        <v>957</v>
      </c>
      <c r="E2743" t="s" s="9">
        <v>962</v>
      </c>
      <c r="F2743" t="s" s="10">
        <v>25</v>
      </c>
      <c r="G2743" t="s" s="11">
        <v>25</v>
      </c>
      <c r="H2743" t="s" s="10">
        <v>292</v>
      </c>
      <c r="I2743" t="s" s="11">
        <v>292</v>
      </c>
      <c r="J2743" t="s" s="11">
        <v>20</v>
      </c>
      <c r="K2743" s="15"/>
      <c r="L2743" t="s" s="16">
        <f>HYPERLINK("http://csr.bu.edu/ftp/asl/asllvd/demos/verify_start_end_handshape_annotations//test_auto_move//signs_mov_separ_signers/Naomi_5536.mov","MOV")</f>
        <v>21</v>
      </c>
      <c r="M2743" t="s" s="10">
        <v>86</v>
      </c>
      <c r="N2743" s="17">
        <v>9</v>
      </c>
      <c r="O2743" s="18">
        <v>4015</v>
      </c>
      <c r="P2743" s="18">
        <v>4086</v>
      </c>
      <c r="Q2743" s="15"/>
      <c r="R2743" t="s" s="16">
        <f>HYPERLINK("http://secrets.rutgers.edu:8080/data/asl-ftp/asllvd/demos/verify_start_end_handshape_annotations//test_auto_move//signs_mov_separ_signers/Naomi_5536.mov","MOV")</f>
        <v>21</v>
      </c>
    </row>
    <row r="2744" s="2" customFormat="1" ht="13.5" customHeight="1">
      <c r="B2744" t="s" s="8">
        <v>963</v>
      </c>
      <c r="C2744" t="s" s="9">
        <v>14</v>
      </c>
      <c r="D2744" t="s" s="8">
        <v>14</v>
      </c>
      <c r="E2744" t="s" s="9">
        <v>14</v>
      </c>
      <c r="F2744" t="s" s="10">
        <v>14</v>
      </c>
      <c r="G2744" t="s" s="11">
        <v>14</v>
      </c>
      <c r="H2744" t="s" s="10">
        <v>14</v>
      </c>
      <c r="I2744" t="s" s="11">
        <v>14</v>
      </c>
      <c r="J2744" t="s" s="11">
        <v>14</v>
      </c>
      <c r="K2744" t="s" s="12">
        <v>14</v>
      </c>
      <c r="L2744" t="s" s="12">
        <v>14</v>
      </c>
      <c r="M2744" t="s" s="10">
        <v>14</v>
      </c>
      <c r="N2744" t="s" s="11">
        <v>14</v>
      </c>
      <c r="O2744" t="s" s="8">
        <v>14</v>
      </c>
      <c r="P2744" t="s" s="8">
        <v>14</v>
      </c>
      <c r="Q2744" t="s" s="12">
        <v>14</v>
      </c>
      <c r="R2744" t="s" s="12">
        <v>14</v>
      </c>
    </row>
    <row r="2745" s="2" customFormat="1" ht="13.5" customHeight="1">
      <c r="B2745" s="13"/>
      <c r="C2745" t="s" s="9">
        <v>16</v>
      </c>
      <c r="D2745" t="s" s="8">
        <v>963</v>
      </c>
      <c r="E2745" t="s" s="9">
        <v>963</v>
      </c>
      <c r="F2745" t="s" s="10">
        <v>55</v>
      </c>
      <c r="G2745" s="14"/>
      <c r="H2745" t="s" s="10">
        <v>55</v>
      </c>
      <c r="I2745" s="14"/>
      <c r="J2745" t="s" s="11">
        <v>20</v>
      </c>
      <c r="K2745" s="15"/>
      <c r="L2745" t="s" s="16">
        <f>HYPERLINK("http://csr.bu.edu/ftp/asl/asllvd/demos/verify_start_end_handshape_annotations//test_auto_move//signs_mov_separ_signers/Liz_590.mov","MOV")</f>
        <v>21</v>
      </c>
      <c r="M2745" t="s" s="10">
        <v>84</v>
      </c>
      <c r="N2745" s="17">
        <v>10</v>
      </c>
      <c r="O2745" s="18">
        <v>392</v>
      </c>
      <c r="P2745" s="18">
        <v>415</v>
      </c>
      <c r="Q2745" s="15"/>
      <c r="R2745" t="s" s="16">
        <f>HYPERLINK("http://secrets.rutgers.edu:8080/data/asl-ftp/asllvd/demos/verify_start_end_handshape_annotations//test_auto_move//signs_mov_separ_signers/Liz_590.mov","MOV")</f>
        <v>21</v>
      </c>
    </row>
    <row r="2746" s="2" customFormat="1" ht="13.5" customHeight="1">
      <c r="B2746" s="13"/>
      <c r="C2746" t="s" s="9">
        <v>27</v>
      </c>
      <c r="D2746" t="s" s="8">
        <v>963</v>
      </c>
      <c r="E2746" t="s" s="9">
        <v>963</v>
      </c>
      <c r="F2746" t="s" s="10">
        <v>55</v>
      </c>
      <c r="G2746" s="14"/>
      <c r="H2746" t="s" s="10">
        <v>55</v>
      </c>
      <c r="I2746" s="14"/>
      <c r="J2746" t="s" s="11">
        <v>20</v>
      </c>
      <c r="K2746" t="s" s="16">
        <f>HYPERLINK("http://csr.bu.edu/ftp/asl/asllvd/demos/verify_start_end_handshape_annotations//test_auto_move//signs_mov/590.mov","MOV")</f>
        <v>21</v>
      </c>
      <c r="L2746" t="s" s="16">
        <f>HYPERLINK("http://csr.bu.edu/ftp/asl/asllvd/demos/verify_start_end_handshape_annotations//test_auto_move//signs_mov_separ_signers/Naomi_590.mov","MOV")</f>
        <v>21</v>
      </c>
      <c r="M2746" t="s" s="10">
        <v>86</v>
      </c>
      <c r="N2746" s="17">
        <v>9</v>
      </c>
      <c r="O2746" s="18">
        <v>4285</v>
      </c>
      <c r="P2746" s="18">
        <v>4310</v>
      </c>
      <c r="Q2746" t="s" s="16">
        <f>HYPERLINK("http://secrets.rutgers.edu:8080/data/asl-ftp/asllvd/demos/verify_start_end_handshape_annotations//test_auto_move//signs_mov/590.mov","MOV")</f>
        <v>21</v>
      </c>
      <c r="R2746" t="s" s="16">
        <f>HYPERLINK("http://secrets.rutgers.edu:8080/data/asl-ftp/asllvd/demos/verify_start_end_handshape_annotations//test_auto_move//signs_mov_separ_signers/Naomi_590.mov","MOV")</f>
        <v>21</v>
      </c>
    </row>
    <row r="2747" s="2" customFormat="1" ht="13.5" customHeight="1">
      <c r="B2747" s="13"/>
      <c r="C2747" t="s" s="9">
        <v>30</v>
      </c>
      <c r="D2747" t="s" s="8">
        <v>963</v>
      </c>
      <c r="E2747" t="s" s="9">
        <v>963</v>
      </c>
      <c r="F2747" t="s" s="10">
        <v>152</v>
      </c>
      <c r="G2747" s="14"/>
      <c r="H2747" t="s" s="10">
        <v>152</v>
      </c>
      <c r="I2747" s="14"/>
      <c r="J2747" t="s" s="11">
        <v>20</v>
      </c>
      <c r="K2747" s="15"/>
      <c r="L2747" t="s" s="16">
        <f>HYPERLINK("http://csr.bu.edu/ftp/asl/asllvd/demos/verify_start_end_handshape_annotations//test_auto_move//signs_mov_separ_signers/Brady_590.mov","MOV")</f>
        <v>21</v>
      </c>
      <c r="M2747" t="s" s="10">
        <v>31</v>
      </c>
      <c r="N2747" s="17">
        <v>31</v>
      </c>
      <c r="O2747" s="18">
        <v>10697</v>
      </c>
      <c r="P2747" s="18">
        <v>10725</v>
      </c>
      <c r="Q2747" s="15"/>
      <c r="R2747" t="s" s="16">
        <f>HYPERLINK("http://secrets.rutgers.edu:8080/data/asl-ftp/asllvd/demos/verify_start_end_handshape_annotations//test_auto_move//signs_mov_separ_signers/Brady_590.mov","MOV")</f>
        <v>21</v>
      </c>
    </row>
    <row r="2748" s="2" customFormat="1" ht="13.5" customHeight="1">
      <c r="B2748" t="s" s="8">
        <v>964</v>
      </c>
      <c r="C2748" t="s" s="9">
        <v>14</v>
      </c>
      <c r="D2748" t="s" s="8">
        <v>14</v>
      </c>
      <c r="E2748" t="s" s="9">
        <v>14</v>
      </c>
      <c r="F2748" t="s" s="10">
        <v>14</v>
      </c>
      <c r="G2748" t="s" s="11">
        <v>14</v>
      </c>
      <c r="H2748" t="s" s="10">
        <v>14</v>
      </c>
      <c r="I2748" t="s" s="11">
        <v>14</v>
      </c>
      <c r="J2748" t="s" s="11">
        <v>14</v>
      </c>
      <c r="K2748" t="s" s="12">
        <v>14</v>
      </c>
      <c r="L2748" t="s" s="12">
        <v>14</v>
      </c>
      <c r="M2748" t="s" s="10">
        <v>14</v>
      </c>
      <c r="N2748" t="s" s="11">
        <v>14</v>
      </c>
      <c r="O2748" t="s" s="8">
        <v>14</v>
      </c>
      <c r="P2748" t="s" s="8">
        <v>14</v>
      </c>
      <c r="Q2748" t="s" s="12">
        <v>14</v>
      </c>
      <c r="R2748" t="s" s="12">
        <v>14</v>
      </c>
    </row>
    <row r="2749" s="2" customFormat="1" ht="13.5" customHeight="1">
      <c r="B2749" s="13"/>
      <c r="C2749" t="s" s="9">
        <v>16</v>
      </c>
      <c r="D2749" t="s" s="8">
        <v>964</v>
      </c>
      <c r="E2749" t="s" s="9">
        <v>964</v>
      </c>
      <c r="F2749" t="s" s="10">
        <v>185</v>
      </c>
      <c r="G2749" s="17">
        <v>1</v>
      </c>
      <c r="H2749" t="s" s="10">
        <v>185</v>
      </c>
      <c r="I2749" s="17">
        <v>1</v>
      </c>
      <c r="J2749" t="s" s="11">
        <v>20</v>
      </c>
      <c r="K2749" s="15"/>
      <c r="L2749" t="s" s="16">
        <f>HYPERLINK("http://csr.bu.edu/ftp/asl/asllvd/demos/verify_start_end_handshape_annotations//test_auto_move//signs_mov_separ_signers/Liz_591.mov","MOV")</f>
        <v>21</v>
      </c>
      <c r="M2749" t="s" s="10">
        <v>84</v>
      </c>
      <c r="N2749" s="17">
        <v>10</v>
      </c>
      <c r="O2749" s="18">
        <v>620</v>
      </c>
      <c r="P2749" s="18">
        <v>650</v>
      </c>
      <c r="Q2749" s="15"/>
      <c r="R2749" t="s" s="16">
        <f>HYPERLINK("http://secrets.rutgers.edu:8080/data/asl-ftp/asllvd/demos/verify_start_end_handshape_annotations//test_auto_move//signs_mov_separ_signers/Liz_591.mov","MOV")</f>
        <v>21</v>
      </c>
    </row>
    <row r="2750" s="2" customFormat="1" ht="13.5" customHeight="1">
      <c r="B2750" s="13"/>
      <c r="C2750" t="s" s="9">
        <v>23</v>
      </c>
      <c r="D2750" t="s" s="8">
        <v>964</v>
      </c>
      <c r="E2750" t="s" s="9">
        <v>964</v>
      </c>
      <c r="F2750" t="s" s="10">
        <v>185</v>
      </c>
      <c r="G2750" s="17">
        <v>1</v>
      </c>
      <c r="H2750" t="s" s="10">
        <v>185</v>
      </c>
      <c r="I2750" s="17">
        <v>1</v>
      </c>
      <c r="J2750" t="s" s="11">
        <v>20</v>
      </c>
      <c r="K2750" t="s" s="16">
        <f>HYPERLINK("http://csr.bu.edu/ftp/asl/asllvd/demos/verify_start_end_handshape_annotations//test_auto_move//signs_mov/591.mov","MOV")</f>
        <v>21</v>
      </c>
      <c r="L2750" t="s" s="16">
        <f>HYPERLINK("http://csr.bu.edu/ftp/asl/asllvd/demos/verify_start_end_handshape_annotations//test_auto_move//signs_mov_separ_signers/Tyler_591.mov","MOV")</f>
        <v>21</v>
      </c>
      <c r="M2750" t="s" s="10">
        <v>125</v>
      </c>
      <c r="N2750" s="17">
        <v>10</v>
      </c>
      <c r="O2750" s="18">
        <v>387</v>
      </c>
      <c r="P2750" s="18">
        <v>417</v>
      </c>
      <c r="Q2750" t="s" s="16">
        <f>HYPERLINK("http://secrets.rutgers.edu:8080/data/asl-ftp/asllvd/demos/verify_start_end_handshape_annotations//test_auto_move//signs_mov/591.mov","MOV")</f>
        <v>21</v>
      </c>
      <c r="R2750" t="s" s="16">
        <f>HYPERLINK("http://secrets.rutgers.edu:8080/data/asl-ftp/asllvd/demos/verify_start_end_handshape_annotations//test_auto_move//signs_mov_separ_signers/Tyler_591.mov","MOV")</f>
        <v>21</v>
      </c>
    </row>
    <row r="2751" s="2" customFormat="1" ht="13.5" customHeight="1">
      <c r="B2751" s="13"/>
      <c r="C2751" t="s" s="9">
        <v>27</v>
      </c>
      <c r="D2751" t="s" s="8">
        <v>964</v>
      </c>
      <c r="E2751" t="s" s="9">
        <v>964</v>
      </c>
      <c r="F2751" t="s" s="10">
        <v>185</v>
      </c>
      <c r="G2751" s="17">
        <v>1</v>
      </c>
      <c r="H2751" t="s" s="10">
        <v>185</v>
      </c>
      <c r="I2751" s="17">
        <v>1</v>
      </c>
      <c r="J2751" t="s" s="11">
        <v>20</v>
      </c>
      <c r="K2751" s="15"/>
      <c r="L2751" t="s" s="16">
        <f>HYPERLINK("http://csr.bu.edu/ftp/asl/asllvd/demos/verify_start_end_handshape_annotations//test_auto_move//signs_mov_separ_signers/Naomi_591.mov","MOV")</f>
        <v>21</v>
      </c>
      <c r="M2751" t="s" s="10">
        <v>86</v>
      </c>
      <c r="N2751" s="17">
        <v>10</v>
      </c>
      <c r="O2751" s="18">
        <v>225</v>
      </c>
      <c r="P2751" s="18">
        <v>245</v>
      </c>
      <c r="Q2751" s="15"/>
      <c r="R2751" t="s" s="16">
        <f>HYPERLINK("http://secrets.rutgers.edu:8080/data/asl-ftp/asllvd/demos/verify_start_end_handshape_annotations//test_auto_move//signs_mov_separ_signers/Naomi_591.mov","MOV")</f>
        <v>21</v>
      </c>
    </row>
    <row r="2752" s="2" customFormat="1" ht="13.5" customHeight="1">
      <c r="B2752" s="13"/>
      <c r="C2752" t="s" s="9">
        <v>30</v>
      </c>
      <c r="D2752" t="s" s="8">
        <v>964</v>
      </c>
      <c r="E2752" t="s" s="9">
        <v>964</v>
      </c>
      <c r="F2752" t="s" s="10">
        <v>185</v>
      </c>
      <c r="G2752" s="17">
        <v>1</v>
      </c>
      <c r="H2752" t="s" s="10">
        <v>185</v>
      </c>
      <c r="I2752" s="17">
        <v>1</v>
      </c>
      <c r="J2752" t="s" s="11">
        <v>20</v>
      </c>
      <c r="K2752" s="15"/>
      <c r="L2752" t="s" s="16">
        <f>HYPERLINK("http://csr.bu.edu/ftp/asl/asllvd/demos/verify_start_end_handshape_annotations//test_auto_move//signs_mov_separ_signers/Brady_591.mov","MOV")</f>
        <v>21</v>
      </c>
      <c r="M2752" t="s" s="10">
        <v>31</v>
      </c>
      <c r="N2752" s="17">
        <v>31</v>
      </c>
      <c r="O2752" s="18">
        <v>12021</v>
      </c>
      <c r="P2752" s="18">
        <v>12042</v>
      </c>
      <c r="Q2752" s="15"/>
      <c r="R2752" t="s" s="16">
        <f>HYPERLINK("http://secrets.rutgers.edu:8080/data/asl-ftp/asllvd/demos/verify_start_end_handshape_annotations//test_auto_move//signs_mov_separ_signers/Brady_591.mov","MOV")</f>
        <v>21</v>
      </c>
    </row>
    <row r="2753" s="2" customFormat="1" ht="13.5" customHeight="1">
      <c r="B2753" t="s" s="8">
        <v>965</v>
      </c>
      <c r="C2753" t="s" s="9">
        <v>14</v>
      </c>
      <c r="D2753" t="s" s="8">
        <v>14</v>
      </c>
      <c r="E2753" t="s" s="9">
        <v>14</v>
      </c>
      <c r="F2753" t="s" s="10">
        <v>14</v>
      </c>
      <c r="G2753" t="s" s="11">
        <v>14</v>
      </c>
      <c r="H2753" t="s" s="10">
        <v>14</v>
      </c>
      <c r="I2753" t="s" s="11">
        <v>14</v>
      </c>
      <c r="J2753" t="s" s="11">
        <v>14</v>
      </c>
      <c r="K2753" t="s" s="12">
        <v>14</v>
      </c>
      <c r="L2753" t="s" s="12">
        <v>14</v>
      </c>
      <c r="M2753" t="s" s="10">
        <v>14</v>
      </c>
      <c r="N2753" t="s" s="11">
        <v>14</v>
      </c>
      <c r="O2753" t="s" s="8">
        <v>14</v>
      </c>
      <c r="P2753" t="s" s="8">
        <v>14</v>
      </c>
      <c r="Q2753" t="s" s="12">
        <v>14</v>
      </c>
      <c r="R2753" t="s" s="12">
        <v>14</v>
      </c>
    </row>
    <row r="2754" s="2" customFormat="1" ht="13.5" customHeight="1">
      <c r="B2754" s="13"/>
      <c r="C2754" t="s" s="9">
        <v>16</v>
      </c>
      <c r="D2754" t="s" s="8">
        <v>965</v>
      </c>
      <c r="E2754" t="s" s="9">
        <v>965</v>
      </c>
      <c r="F2754" t="s" s="10">
        <v>68</v>
      </c>
      <c r="G2754" s="17">
        <v>1</v>
      </c>
      <c r="H2754" t="s" s="10">
        <v>68</v>
      </c>
      <c r="I2754" s="17">
        <v>1</v>
      </c>
      <c r="J2754" t="s" s="11">
        <v>20</v>
      </c>
      <c r="K2754" t="s" s="16">
        <f>HYPERLINK("http://csr.bu.edu/ftp/asl/asllvd/demos/verify_start_end_handshape_annotations//test_auto_move//signs_mov/15650.mov","MOV")</f>
        <v>21</v>
      </c>
      <c r="L2754" t="s" s="16">
        <f>HYPERLINK("http://csr.bu.edu/ftp/asl/asllvd/demos/verify_start_end_handshape_annotations//test_auto_move//signs_mov_separ_signers/Liz_15650.mov","MOV")</f>
        <v>21</v>
      </c>
      <c r="M2754" t="s" s="10">
        <v>36</v>
      </c>
      <c r="N2754" s="17">
        <v>33</v>
      </c>
      <c r="O2754" s="18">
        <v>939</v>
      </c>
      <c r="P2754" s="18">
        <v>987</v>
      </c>
      <c r="Q2754" t="s" s="16">
        <f>HYPERLINK("http://secrets.rutgers.edu:8080/data/asl-ftp/asllvd/demos/verify_start_end_handshape_annotations//test_auto_move//signs_mov/15650.mov","MOV")</f>
        <v>21</v>
      </c>
      <c r="R2754" t="s" s="16">
        <f>HYPERLINK("http://secrets.rutgers.edu:8080/data/asl-ftp/asllvd/demos/verify_start_end_handshape_annotations//test_auto_move//signs_mov_separ_signers/Liz_15650.mov","MOV")</f>
        <v>21</v>
      </c>
    </row>
    <row r="2755" s="2" customFormat="1" ht="13.5" customHeight="1">
      <c r="B2755" s="13"/>
      <c r="C2755" t="s" s="9">
        <v>30</v>
      </c>
      <c r="D2755" t="s" s="8">
        <v>965</v>
      </c>
      <c r="E2755" t="s" s="9">
        <v>965</v>
      </c>
      <c r="F2755" t="s" s="10">
        <v>68</v>
      </c>
      <c r="G2755" s="17">
        <v>1</v>
      </c>
      <c r="H2755" t="s" s="10">
        <v>68</v>
      </c>
      <c r="I2755" s="17">
        <v>1</v>
      </c>
      <c r="J2755" t="s" s="11">
        <v>20</v>
      </c>
      <c r="K2755" s="15"/>
      <c r="L2755" t="s" s="16">
        <f>HYPERLINK("http://csr.bu.edu/ftp/asl/asllvd/demos/verify_start_end_handshape_annotations//test_auto_move//signs_mov_separ_signers/Brady_15650.mov","MOV")</f>
        <v>21</v>
      </c>
      <c r="M2755" t="s" s="10">
        <v>40</v>
      </c>
      <c r="N2755" s="17">
        <v>84</v>
      </c>
      <c r="O2755" s="18">
        <v>2490</v>
      </c>
      <c r="P2755" s="18">
        <v>2508</v>
      </c>
      <c r="Q2755" s="15"/>
      <c r="R2755" t="s" s="16">
        <f>HYPERLINK("http://secrets.rutgers.edu:8080/data/asl-ftp/asllvd/demos/verify_start_end_handshape_annotations//test_auto_move//signs_mov_separ_signers/Brady_15650.mov","MOV")</f>
        <v>21</v>
      </c>
    </row>
    <row r="2756" s="2" customFormat="1" ht="13.5" customHeight="1">
      <c r="B2756" t="s" s="8">
        <v>966</v>
      </c>
      <c r="C2756" t="s" s="9">
        <v>14</v>
      </c>
      <c r="D2756" t="s" s="8">
        <v>14</v>
      </c>
      <c r="E2756" t="s" s="9">
        <v>14</v>
      </c>
      <c r="F2756" t="s" s="10">
        <v>14</v>
      </c>
      <c r="G2756" t="s" s="11">
        <v>14</v>
      </c>
      <c r="H2756" t="s" s="10">
        <v>14</v>
      </c>
      <c r="I2756" t="s" s="11">
        <v>14</v>
      </c>
      <c r="J2756" t="s" s="11">
        <v>14</v>
      </c>
      <c r="K2756" t="s" s="12">
        <v>14</v>
      </c>
      <c r="L2756" t="s" s="12">
        <v>14</v>
      </c>
      <c r="M2756" t="s" s="10">
        <v>14</v>
      </c>
      <c r="N2756" t="s" s="11">
        <v>14</v>
      </c>
      <c r="O2756" t="s" s="8">
        <v>14</v>
      </c>
      <c r="P2756" t="s" s="8">
        <v>14</v>
      </c>
      <c r="Q2756" t="s" s="12">
        <v>14</v>
      </c>
      <c r="R2756" t="s" s="12">
        <v>14</v>
      </c>
    </row>
    <row r="2757" s="2" customFormat="1" ht="13.5" customHeight="1">
      <c r="B2757" s="13"/>
      <c r="C2757" t="s" s="9">
        <v>16</v>
      </c>
      <c r="D2757" t="s" s="8">
        <v>966</v>
      </c>
      <c r="E2757" t="s" s="9">
        <v>966</v>
      </c>
      <c r="F2757" t="s" s="10">
        <v>115</v>
      </c>
      <c r="G2757" s="17">
        <v>1</v>
      </c>
      <c r="H2757" t="s" s="10">
        <v>115</v>
      </c>
      <c r="I2757" s="17">
        <v>1</v>
      </c>
      <c r="J2757" t="s" s="11">
        <v>20</v>
      </c>
      <c r="K2757" s="15"/>
      <c r="L2757" t="s" s="16">
        <f>HYPERLINK("http://csr.bu.edu/ftp/asl/asllvd/demos/verify_start_end_handshape_annotations//test_auto_move//signs_mov_separ_signers/Liz_15670.mov","MOV")</f>
        <v>21</v>
      </c>
      <c r="M2757" t="s" s="10">
        <v>84</v>
      </c>
      <c r="N2757" s="17">
        <v>32</v>
      </c>
      <c r="O2757" s="18">
        <v>1781</v>
      </c>
      <c r="P2757" s="18">
        <v>1820</v>
      </c>
      <c r="Q2757" s="15"/>
      <c r="R2757" t="s" s="16">
        <f>HYPERLINK("http://secrets.rutgers.edu:8080/data/asl-ftp/asllvd/demos/verify_start_end_handshape_annotations//test_auto_move//signs_mov_separ_signers/Liz_15670.mov","MOV")</f>
        <v>21</v>
      </c>
    </row>
    <row r="2758" s="2" customFormat="1" ht="13.5" customHeight="1">
      <c r="B2758" s="13"/>
      <c r="C2758" t="s" s="9">
        <v>23</v>
      </c>
      <c r="D2758" t="s" s="8">
        <v>966</v>
      </c>
      <c r="E2758" t="s" s="9">
        <v>966</v>
      </c>
      <c r="F2758" t="s" s="10">
        <v>115</v>
      </c>
      <c r="G2758" s="17">
        <v>1</v>
      </c>
      <c r="H2758" t="s" s="10">
        <v>115</v>
      </c>
      <c r="I2758" s="17">
        <v>1</v>
      </c>
      <c r="J2758" t="s" s="11">
        <v>20</v>
      </c>
      <c r="K2758" t="s" s="16">
        <f>HYPERLINK("http://csr.bu.edu/ftp/asl/asllvd/demos/verify_start_end_handshape_annotations//test_auto_move//signs_mov/15670.mov","MOV")</f>
        <v>21</v>
      </c>
      <c r="L2758" t="s" s="16">
        <f>HYPERLINK("http://csr.bu.edu/ftp/asl/asllvd/demos/verify_start_end_handshape_annotations//test_auto_move//signs_mov_separ_signers/Tyler_15670.mov","MOV")</f>
        <v>21</v>
      </c>
      <c r="M2758" t="s" s="10">
        <v>92</v>
      </c>
      <c r="N2758" s="17">
        <v>12</v>
      </c>
      <c r="O2758" s="18">
        <v>1761</v>
      </c>
      <c r="P2758" s="18">
        <v>1790</v>
      </c>
      <c r="Q2758" t="s" s="16">
        <f>HYPERLINK("http://secrets.rutgers.edu:8080/data/asl-ftp/asllvd/demos/verify_start_end_handshape_annotations//test_auto_move//signs_mov/15670.mov","MOV")</f>
        <v>21</v>
      </c>
      <c r="R2758" t="s" s="16">
        <f>HYPERLINK("http://secrets.rutgers.edu:8080/data/asl-ftp/asllvd/demos/verify_start_end_handshape_annotations//test_auto_move//signs_mov_separ_signers/Tyler_15670.mov","MOV")</f>
        <v>21</v>
      </c>
    </row>
    <row r="2759" s="2" customFormat="1" ht="13.5" customHeight="1">
      <c r="B2759" s="13"/>
      <c r="C2759" t="s" s="9">
        <v>27</v>
      </c>
      <c r="D2759" t="s" s="8">
        <v>966</v>
      </c>
      <c r="E2759" t="s" s="9">
        <v>966</v>
      </c>
      <c r="F2759" t="s" s="10">
        <v>115</v>
      </c>
      <c r="G2759" s="17">
        <v>1</v>
      </c>
      <c r="H2759" t="s" s="10">
        <v>115</v>
      </c>
      <c r="I2759" s="17">
        <v>1</v>
      </c>
      <c r="J2759" t="s" s="11">
        <v>20</v>
      </c>
      <c r="K2759" s="15"/>
      <c r="L2759" t="s" s="16">
        <f>HYPERLINK("http://csr.bu.edu/ftp/asl/asllvd/demos/verify_start_end_handshape_annotations//test_auto_move//signs_mov_separ_signers/Naomi_15670.mov","MOV")</f>
        <v>21</v>
      </c>
      <c r="M2759" t="s" s="10">
        <v>86</v>
      </c>
      <c r="N2759" s="17">
        <v>32</v>
      </c>
      <c r="O2759" s="18">
        <v>1310</v>
      </c>
      <c r="P2759" s="18">
        <v>1337</v>
      </c>
      <c r="Q2759" s="15"/>
      <c r="R2759" t="s" s="16">
        <f>HYPERLINK("http://secrets.rutgers.edu:8080/data/asl-ftp/asllvd/demos/verify_start_end_handshape_annotations//test_auto_move//signs_mov_separ_signers/Naomi_15670.mov","MOV")</f>
        <v>21</v>
      </c>
    </row>
    <row r="2760" s="2" customFormat="1" ht="13.5" customHeight="1">
      <c r="B2760" s="13"/>
      <c r="C2760" t="s" s="9">
        <v>30</v>
      </c>
      <c r="D2760" t="s" s="8">
        <v>966</v>
      </c>
      <c r="E2760" t="s" s="9">
        <v>966</v>
      </c>
      <c r="F2760" t="s" s="10">
        <v>115</v>
      </c>
      <c r="G2760" s="17">
        <v>1</v>
      </c>
      <c r="H2760" t="s" s="10">
        <v>115</v>
      </c>
      <c r="I2760" s="17">
        <v>1</v>
      </c>
      <c r="J2760" t="s" s="11">
        <v>20</v>
      </c>
      <c r="K2760" s="15"/>
      <c r="L2760" t="s" s="16">
        <f>HYPERLINK("http://csr.bu.edu/ftp/asl/asllvd/demos/verify_start_end_handshape_annotations//test_auto_move//signs_mov_separ_signers/Brady_15670.mov","MOV")</f>
        <v>21</v>
      </c>
      <c r="M2760" t="s" s="10">
        <v>39</v>
      </c>
      <c r="N2760" s="17">
        <v>12</v>
      </c>
      <c r="O2760" s="18">
        <v>6021</v>
      </c>
      <c r="P2760" s="18">
        <v>6041</v>
      </c>
      <c r="Q2760" s="15"/>
      <c r="R2760" t="s" s="16">
        <f>HYPERLINK("http://secrets.rutgers.edu:8080/data/asl-ftp/asllvd/demos/verify_start_end_handshape_annotations//test_auto_move//signs_mov_separ_signers/Brady_15670.mov","MOV")</f>
        <v>21</v>
      </c>
    </row>
    <row r="2761" s="2" customFormat="1" ht="13.5" customHeight="1">
      <c r="B2761" t="s" s="8">
        <v>967</v>
      </c>
      <c r="C2761" t="s" s="9">
        <v>14</v>
      </c>
      <c r="D2761" t="s" s="8">
        <v>14</v>
      </c>
      <c r="E2761" t="s" s="9">
        <v>14</v>
      </c>
      <c r="F2761" t="s" s="10">
        <v>14</v>
      </c>
      <c r="G2761" t="s" s="11">
        <v>14</v>
      </c>
      <c r="H2761" t="s" s="10">
        <v>14</v>
      </c>
      <c r="I2761" t="s" s="11">
        <v>14</v>
      </c>
      <c r="J2761" t="s" s="11">
        <v>14</v>
      </c>
      <c r="K2761" t="s" s="12">
        <v>14</v>
      </c>
      <c r="L2761" t="s" s="12">
        <v>14</v>
      </c>
      <c r="M2761" t="s" s="10">
        <v>14</v>
      </c>
      <c r="N2761" t="s" s="11">
        <v>14</v>
      </c>
      <c r="O2761" t="s" s="8">
        <v>14</v>
      </c>
      <c r="P2761" t="s" s="8">
        <v>14</v>
      </c>
      <c r="Q2761" t="s" s="12">
        <v>14</v>
      </c>
      <c r="R2761" t="s" s="12">
        <v>14</v>
      </c>
    </row>
    <row r="2762" s="2" customFormat="1" ht="13.5" customHeight="1">
      <c r="B2762" s="13"/>
      <c r="C2762" t="s" s="9">
        <v>16</v>
      </c>
      <c r="D2762" t="s" s="8">
        <v>967</v>
      </c>
      <c r="E2762" t="s" s="9">
        <v>967</v>
      </c>
      <c r="F2762" t="s" s="10">
        <v>148</v>
      </c>
      <c r="G2762" t="s" s="11">
        <v>148</v>
      </c>
      <c r="H2762" t="s" s="10">
        <v>63</v>
      </c>
      <c r="I2762" t="s" s="11">
        <v>63</v>
      </c>
      <c r="J2762" t="s" s="11">
        <v>20</v>
      </c>
      <c r="K2762" s="15"/>
      <c r="L2762" t="s" s="16">
        <f>HYPERLINK("http://csr.bu.edu/ftp/asl/asllvd/demos/verify_start_end_handshape_annotations//test_auto_move//signs_mov_separ_signers/Liz_593.mov","MOV")</f>
        <v>21</v>
      </c>
      <c r="M2762" t="s" s="10">
        <v>84</v>
      </c>
      <c r="N2762" s="17">
        <v>10</v>
      </c>
      <c r="O2762" s="18">
        <v>1115</v>
      </c>
      <c r="P2762" s="18">
        <v>1146</v>
      </c>
      <c r="Q2762" s="15"/>
      <c r="R2762" t="s" s="16">
        <f>HYPERLINK("http://secrets.rutgers.edu:8080/data/asl-ftp/asllvd/demos/verify_start_end_handshape_annotations//test_auto_move//signs_mov_separ_signers/Liz_593.mov","MOV")</f>
        <v>21</v>
      </c>
    </row>
    <row r="2763" s="2" customFormat="1" ht="13.5" customHeight="1">
      <c r="B2763" s="13"/>
      <c r="C2763" t="s" s="9">
        <v>27</v>
      </c>
      <c r="D2763" t="s" s="8">
        <v>967</v>
      </c>
      <c r="E2763" t="s" s="9">
        <v>967</v>
      </c>
      <c r="F2763" t="s" s="10">
        <v>119</v>
      </c>
      <c r="G2763" t="s" s="11">
        <v>119</v>
      </c>
      <c r="H2763" t="s" s="10">
        <v>63</v>
      </c>
      <c r="I2763" t="s" s="11">
        <v>63</v>
      </c>
      <c r="J2763" t="s" s="11">
        <v>20</v>
      </c>
      <c r="K2763" t="s" s="16">
        <f>HYPERLINK("http://csr.bu.edu/ftp/asl/asllvd/demos/verify_start_end_handshape_annotations//test_auto_move//signs_mov/593.mov","MOV")</f>
        <v>21</v>
      </c>
      <c r="L2763" t="s" s="16">
        <f>HYPERLINK("http://csr.bu.edu/ftp/asl/asllvd/demos/verify_start_end_handshape_annotations//test_auto_move//signs_mov_separ_signers/Naomi_593.mov","MOV")</f>
        <v>21</v>
      </c>
      <c r="M2763" t="s" s="10">
        <v>86</v>
      </c>
      <c r="N2763" s="17">
        <v>10</v>
      </c>
      <c r="O2763" s="18">
        <v>1072</v>
      </c>
      <c r="P2763" s="18">
        <v>1096</v>
      </c>
      <c r="Q2763" t="s" s="16">
        <f>HYPERLINK("http://secrets.rutgers.edu:8080/data/asl-ftp/asllvd/demos/verify_start_end_handshape_annotations//test_auto_move//signs_mov/593.mov","MOV")</f>
        <v>21</v>
      </c>
      <c r="R2763" t="s" s="16">
        <f>HYPERLINK("http://secrets.rutgers.edu:8080/data/asl-ftp/asllvd/demos/verify_start_end_handshape_annotations//test_auto_move//signs_mov_separ_signers/Naomi_593.mov","MOV")</f>
        <v>21</v>
      </c>
    </row>
    <row r="2764" s="2" customFormat="1" ht="13.5" customHeight="1">
      <c r="B2764" s="13"/>
      <c r="C2764" t="s" s="9">
        <v>30</v>
      </c>
      <c r="D2764" t="s" s="8">
        <v>967</v>
      </c>
      <c r="E2764" t="s" s="9">
        <v>967</v>
      </c>
      <c r="F2764" t="s" s="10">
        <v>148</v>
      </c>
      <c r="G2764" t="s" s="11">
        <v>148</v>
      </c>
      <c r="H2764" t="s" s="10">
        <v>63</v>
      </c>
      <c r="I2764" t="s" s="11">
        <v>63</v>
      </c>
      <c r="J2764" t="s" s="11">
        <v>20</v>
      </c>
      <c r="K2764" s="15"/>
      <c r="L2764" t="s" s="16">
        <f>HYPERLINK("http://csr.bu.edu/ftp/asl/asllvd/demos/verify_start_end_handshape_annotations//test_auto_move//signs_mov_separ_signers/Brady_593.mov","MOV")</f>
        <v>21</v>
      </c>
      <c r="M2764" t="s" s="10">
        <v>31</v>
      </c>
      <c r="N2764" s="17">
        <v>31</v>
      </c>
      <c r="O2764" s="18">
        <v>12865</v>
      </c>
      <c r="P2764" s="18">
        <v>12896</v>
      </c>
      <c r="Q2764" s="15"/>
      <c r="R2764" t="s" s="16">
        <f>HYPERLINK("http://secrets.rutgers.edu:8080/data/asl-ftp/asllvd/demos/verify_start_end_handshape_annotations//test_auto_move//signs_mov_separ_signers/Brady_593.mov","MOV")</f>
        <v>21</v>
      </c>
    </row>
    <row r="2765" s="2" customFormat="1" ht="13.5" customHeight="1">
      <c r="B2765" t="s" s="8">
        <v>968</v>
      </c>
      <c r="C2765" t="s" s="9">
        <v>14</v>
      </c>
      <c r="D2765" t="s" s="8">
        <v>14</v>
      </c>
      <c r="E2765" t="s" s="9">
        <v>14</v>
      </c>
      <c r="F2765" t="s" s="10">
        <v>14</v>
      </c>
      <c r="G2765" t="s" s="11">
        <v>14</v>
      </c>
      <c r="H2765" t="s" s="10">
        <v>14</v>
      </c>
      <c r="I2765" t="s" s="11">
        <v>14</v>
      </c>
      <c r="J2765" t="s" s="11">
        <v>14</v>
      </c>
      <c r="K2765" t="s" s="12">
        <v>14</v>
      </c>
      <c r="L2765" t="s" s="12">
        <v>14</v>
      </c>
      <c r="M2765" t="s" s="10">
        <v>14</v>
      </c>
      <c r="N2765" t="s" s="11">
        <v>14</v>
      </c>
      <c r="O2765" t="s" s="8">
        <v>14</v>
      </c>
      <c r="P2765" t="s" s="8">
        <v>14</v>
      </c>
      <c r="Q2765" t="s" s="12">
        <v>14</v>
      </c>
      <c r="R2765" t="s" s="12">
        <v>14</v>
      </c>
    </row>
    <row r="2766" s="2" customFormat="1" ht="13.5" customHeight="1">
      <c r="B2766" s="13"/>
      <c r="C2766" t="s" s="9">
        <v>16</v>
      </c>
      <c r="D2766" t="s" s="8">
        <v>968</v>
      </c>
      <c r="E2766" t="s" s="9">
        <v>968</v>
      </c>
      <c r="F2766" t="s" s="10">
        <v>119</v>
      </c>
      <c r="G2766" t="s" s="11">
        <v>119</v>
      </c>
      <c r="H2766" t="s" s="10">
        <v>63</v>
      </c>
      <c r="I2766" t="s" s="11">
        <v>63</v>
      </c>
      <c r="J2766" t="s" s="11">
        <v>20</v>
      </c>
      <c r="K2766" s="15"/>
      <c r="L2766" t="s" s="16">
        <f>HYPERLINK("http://csr.bu.edu/ftp/asl/asllvd/demos/verify_start_end_handshape_annotations//test_auto_move//signs_mov_separ_signers/Liz_5682.mov","MOV")</f>
        <v>21</v>
      </c>
      <c r="M2766" t="s" s="10">
        <v>36</v>
      </c>
      <c r="N2766" s="17">
        <v>36</v>
      </c>
      <c r="O2766" s="18">
        <v>1310</v>
      </c>
      <c r="P2766" s="18">
        <v>1351</v>
      </c>
      <c r="Q2766" s="15"/>
      <c r="R2766" t="s" s="16">
        <f>HYPERLINK("http://secrets.rutgers.edu:8080/data/asl-ftp/asllvd/demos/verify_start_end_handshape_annotations//test_auto_move//signs_mov_separ_signers/Liz_5682.mov","MOV")</f>
        <v>21</v>
      </c>
    </row>
    <row r="2767" s="2" customFormat="1" ht="13.5" customHeight="1">
      <c r="B2767" s="13"/>
      <c r="C2767" t="s" s="9">
        <v>16</v>
      </c>
      <c r="D2767" t="s" s="8">
        <v>968</v>
      </c>
      <c r="E2767" t="s" s="9">
        <v>968</v>
      </c>
      <c r="F2767" s="19">
        <v>8</v>
      </c>
      <c r="G2767" s="17">
        <v>8</v>
      </c>
      <c r="H2767" t="s" s="10">
        <v>63</v>
      </c>
      <c r="I2767" t="s" s="11">
        <v>63</v>
      </c>
      <c r="J2767" t="s" s="11">
        <v>20</v>
      </c>
      <c r="K2767" s="15"/>
      <c r="L2767" t="s" s="16">
        <f>HYPERLINK("http://csr.bu.edu/ftp/asl/asllvd/demos/verify_start_end_handshape_annotations//test_auto_move//signs_mov_separ_signers/Liz_5697.mov","MOV")</f>
        <v>21</v>
      </c>
      <c r="M2767" t="s" s="10">
        <v>36</v>
      </c>
      <c r="N2767" s="17">
        <v>36</v>
      </c>
      <c r="O2767" s="18">
        <v>1801</v>
      </c>
      <c r="P2767" s="18">
        <v>1835</v>
      </c>
      <c r="Q2767" s="15"/>
      <c r="R2767" t="s" s="16">
        <f>HYPERLINK("http://secrets.rutgers.edu:8080/data/asl-ftp/asllvd/demos/verify_start_end_handshape_annotations//test_auto_move//signs_mov_separ_signers/Liz_5697.mov","MOV")</f>
        <v>21</v>
      </c>
    </row>
    <row r="2768" s="2" customFormat="1" ht="13.5" customHeight="1">
      <c r="B2768" s="13"/>
      <c r="C2768" t="s" s="9">
        <v>16</v>
      </c>
      <c r="D2768" t="s" s="8">
        <v>968</v>
      </c>
      <c r="E2768" t="s" s="9">
        <v>968</v>
      </c>
      <c r="F2768" t="s" s="10">
        <v>119</v>
      </c>
      <c r="G2768" t="s" s="11">
        <v>119</v>
      </c>
      <c r="H2768" t="s" s="10">
        <v>63</v>
      </c>
      <c r="I2768" t="s" s="11">
        <v>63</v>
      </c>
      <c r="J2768" t="s" s="11">
        <v>20</v>
      </c>
      <c r="K2768" t="s" s="16">
        <f>HYPERLINK("http://csr.bu.edu/ftp/asl/asllvd/demos/verify_start_end_handshape_annotations//test_auto_move//signs_mov/5682_5697_15845_merged.mov","MOV")</f>
        <v>21</v>
      </c>
      <c r="L2768" t="s" s="16">
        <f>HYPERLINK("http://csr.bu.edu/ftp/asl/asllvd/demos/verify_start_end_handshape_annotations//test_auto_move//signs_mov_separ_signers/Liz_15845.mov","MOV")</f>
        <v>21</v>
      </c>
      <c r="M2768" t="s" s="10">
        <v>36</v>
      </c>
      <c r="N2768" s="17">
        <v>40</v>
      </c>
      <c r="O2768" s="18">
        <v>2405</v>
      </c>
      <c r="P2768" s="18">
        <v>2430</v>
      </c>
      <c r="Q2768" t="s" s="16">
        <f>HYPERLINK("http://secrets.rutgers.edu:8080/data/asl-ftp/asllvd/demos/verify_start_end_handshape_annotations//test_auto_move//signs_mov/5682_5697_15845_merged.mov","MOV")</f>
        <v>21</v>
      </c>
      <c r="R2768" t="s" s="16">
        <f>HYPERLINK("http://secrets.rutgers.edu:8080/data/asl-ftp/asllvd/demos/verify_start_end_handshape_annotations//test_auto_move//signs_mov_separ_signers/Liz_15845.mov","MOV")</f>
        <v>21</v>
      </c>
    </row>
    <row r="2769" s="2" customFormat="1" ht="13.5" customHeight="1">
      <c r="B2769" s="13"/>
      <c r="C2769" t="s" s="9">
        <v>30</v>
      </c>
      <c r="D2769" t="s" s="8">
        <v>968</v>
      </c>
      <c r="E2769" t="s" s="9">
        <v>968</v>
      </c>
      <c r="F2769" t="s" s="10">
        <v>119</v>
      </c>
      <c r="G2769" t="s" s="11">
        <v>119</v>
      </c>
      <c r="H2769" t="s" s="10">
        <v>63</v>
      </c>
      <c r="I2769" t="s" s="11">
        <v>63</v>
      </c>
      <c r="J2769" t="s" s="11">
        <v>20</v>
      </c>
      <c r="K2769" s="15"/>
      <c r="L2769" t="s" s="16">
        <f>HYPERLINK("http://csr.bu.edu/ftp/asl/asllvd/demos/verify_start_end_handshape_annotations//test_auto_move//signs_mov_separ_signers/Brady_5682.mov","MOV")</f>
        <v>21</v>
      </c>
      <c r="M2769" t="s" s="10">
        <v>40</v>
      </c>
      <c r="N2769" s="17">
        <v>88</v>
      </c>
      <c r="O2769" s="18">
        <v>1689</v>
      </c>
      <c r="P2769" s="18">
        <v>1706</v>
      </c>
      <c r="Q2769" s="15"/>
      <c r="R2769" t="s" s="16">
        <f>HYPERLINK("http://secrets.rutgers.edu:8080/data/asl-ftp/asllvd/demos/verify_start_end_handshape_annotations//test_auto_move//signs_mov_separ_signers/Brady_5682.mov","MOV")</f>
        <v>21</v>
      </c>
    </row>
    <row r="2770" s="2" customFormat="1" ht="13.5" customHeight="1">
      <c r="B2770" s="13"/>
      <c r="C2770" t="s" s="9">
        <v>30</v>
      </c>
      <c r="D2770" t="s" s="8">
        <v>968</v>
      </c>
      <c r="E2770" t="s" s="9">
        <v>968</v>
      </c>
      <c r="F2770" t="s" s="10">
        <v>119</v>
      </c>
      <c r="G2770" t="s" s="11">
        <v>119</v>
      </c>
      <c r="H2770" t="s" s="10">
        <v>63</v>
      </c>
      <c r="I2770" t="s" s="11">
        <v>63</v>
      </c>
      <c r="J2770" t="s" s="11">
        <v>20</v>
      </c>
      <c r="K2770" s="15"/>
      <c r="L2770" t="s" s="16">
        <f>HYPERLINK("http://csr.bu.edu/ftp/asl/asllvd/demos/verify_start_end_handshape_annotations//test_auto_move//signs_mov_separ_signers/Brady_5697.mov","MOV")</f>
        <v>21</v>
      </c>
      <c r="M2770" t="s" s="10">
        <v>40</v>
      </c>
      <c r="N2770" s="17">
        <v>88</v>
      </c>
      <c r="O2770" s="18">
        <v>2186</v>
      </c>
      <c r="P2770" s="18">
        <v>2205</v>
      </c>
      <c r="Q2770" s="15"/>
      <c r="R2770" t="s" s="16">
        <f>HYPERLINK("http://secrets.rutgers.edu:8080/data/asl-ftp/asllvd/demos/verify_start_end_handshape_annotations//test_auto_move//signs_mov_separ_signers/Brady_5697.mov","MOV")</f>
        <v>21</v>
      </c>
    </row>
    <row r="2771" s="2" customFormat="1" ht="13.5" customHeight="1">
      <c r="B2771" s="13"/>
      <c r="C2771" t="s" s="9">
        <v>43</v>
      </c>
      <c r="D2771" t="s" s="8">
        <v>968</v>
      </c>
      <c r="E2771" t="s" s="9">
        <v>968</v>
      </c>
      <c r="F2771" t="s" s="10">
        <v>119</v>
      </c>
      <c r="G2771" t="s" s="11">
        <v>119</v>
      </c>
      <c r="H2771" t="s" s="10">
        <v>63</v>
      </c>
      <c r="I2771" t="s" s="11">
        <v>63</v>
      </c>
      <c r="J2771" t="s" s="11">
        <v>20</v>
      </c>
      <c r="K2771" s="15"/>
      <c r="L2771" t="s" s="16">
        <f>HYPERLINK("http://csr.bu.edu/ftp/asl/asllvd/demos/verify_start_end_handshape_annotations//test_auto_move//signs_mov_separ_signers/Dana_5682.mov","MOV")</f>
        <v>21</v>
      </c>
      <c r="M2771" t="s" s="10">
        <v>44</v>
      </c>
      <c r="N2771" s="17">
        <v>27</v>
      </c>
      <c r="O2771" s="18">
        <v>2072</v>
      </c>
      <c r="P2771" s="18">
        <v>2127</v>
      </c>
      <c r="Q2771" s="15"/>
      <c r="R2771" t="s" s="16">
        <f>HYPERLINK("http://secrets.rutgers.edu:8080/data/asl-ftp/asllvd/demos/verify_start_end_handshape_annotations//test_auto_move//signs_mov_separ_signers/Dana_5682.mov","MOV")</f>
        <v>21</v>
      </c>
    </row>
    <row r="2772" s="2" customFormat="1" ht="13.5" customHeight="1">
      <c r="B2772" t="s" s="8">
        <v>969</v>
      </c>
      <c r="C2772" t="s" s="9">
        <v>14</v>
      </c>
      <c r="D2772" t="s" s="8">
        <v>14</v>
      </c>
      <c r="E2772" t="s" s="9">
        <v>14</v>
      </c>
      <c r="F2772" t="s" s="10">
        <v>14</v>
      </c>
      <c r="G2772" t="s" s="11">
        <v>14</v>
      </c>
      <c r="H2772" t="s" s="10">
        <v>14</v>
      </c>
      <c r="I2772" t="s" s="11">
        <v>14</v>
      </c>
      <c r="J2772" t="s" s="11">
        <v>14</v>
      </c>
      <c r="K2772" t="s" s="12">
        <v>14</v>
      </c>
      <c r="L2772" t="s" s="12">
        <v>14</v>
      </c>
      <c r="M2772" t="s" s="10">
        <v>14</v>
      </c>
      <c r="N2772" t="s" s="11">
        <v>14</v>
      </c>
      <c r="O2772" t="s" s="8">
        <v>14</v>
      </c>
      <c r="P2772" t="s" s="8">
        <v>14</v>
      </c>
      <c r="Q2772" t="s" s="12">
        <v>14</v>
      </c>
      <c r="R2772" t="s" s="12">
        <v>14</v>
      </c>
    </row>
    <row r="2773" s="2" customFormat="1" ht="13.5" customHeight="1">
      <c r="B2773" s="13"/>
      <c r="C2773" t="s" s="9">
        <v>16</v>
      </c>
      <c r="D2773" t="s" s="8">
        <v>969</v>
      </c>
      <c r="E2773" t="s" s="9">
        <v>970</v>
      </c>
      <c r="F2773" t="s" s="10">
        <v>119</v>
      </c>
      <c r="G2773" t="s" s="11">
        <v>119</v>
      </c>
      <c r="H2773" t="s" s="10">
        <v>119</v>
      </c>
      <c r="I2773" t="s" s="11">
        <v>119</v>
      </c>
      <c r="J2773" t="s" s="11">
        <v>20</v>
      </c>
      <c r="K2773" s="15"/>
      <c r="L2773" t="s" s="16">
        <f>HYPERLINK("http://csr.bu.edu/ftp/asl/asllvd/demos/verify_start_end_handshape_annotations//test_auto_move//signs_mov_separ_signers/Liz_15855.mov","MOV")</f>
        <v>21</v>
      </c>
      <c r="M2773" t="s" s="10">
        <v>84</v>
      </c>
      <c r="N2773" s="17">
        <v>18</v>
      </c>
      <c r="O2773" s="18">
        <v>2235</v>
      </c>
      <c r="P2773" s="18">
        <v>2302</v>
      </c>
      <c r="Q2773" s="15"/>
      <c r="R2773" t="s" s="16">
        <f>HYPERLINK("http://secrets.rutgers.edu:8080/data/asl-ftp/asllvd/demos/verify_start_end_handshape_annotations//test_auto_move//signs_mov_separ_signers/Liz_15855.mov","MOV")</f>
        <v>21</v>
      </c>
    </row>
    <row r="2774" s="2" customFormat="1" ht="13.5" customHeight="1">
      <c r="B2774" s="13"/>
      <c r="C2774" t="s" s="9">
        <v>16</v>
      </c>
      <c r="D2774" t="s" s="8">
        <v>969</v>
      </c>
      <c r="E2774" t="s" s="9">
        <v>971</v>
      </c>
      <c r="F2774" t="s" s="10">
        <v>119</v>
      </c>
      <c r="G2774" t="s" s="11">
        <v>119</v>
      </c>
      <c r="H2774" t="s" s="10">
        <v>119</v>
      </c>
      <c r="I2774" t="s" s="11">
        <v>119</v>
      </c>
      <c r="J2774" t="s" s="11">
        <v>20</v>
      </c>
      <c r="K2774" s="15"/>
      <c r="L2774" t="s" s="16">
        <f>HYPERLINK("http://csr.bu.edu/ftp/asl/asllvd/demos/verify_start_end_handshape_annotations//test_auto_move//signs_mov_separ_signers/Liz_15857.mov","MOV")</f>
        <v>21</v>
      </c>
      <c r="M2774" t="s" s="10">
        <v>34</v>
      </c>
      <c r="N2774" s="17">
        <v>58</v>
      </c>
      <c r="O2774" s="18">
        <v>3655</v>
      </c>
      <c r="P2774" s="18">
        <v>3695</v>
      </c>
      <c r="Q2774" s="15"/>
      <c r="R2774" t="s" s="16">
        <f>HYPERLINK("http://secrets.rutgers.edu:8080/data/asl-ftp/asllvd/demos/verify_start_end_handshape_annotations//test_auto_move//signs_mov_separ_signers/Liz_15857.mov","MOV")</f>
        <v>21</v>
      </c>
    </row>
    <row r="2775" s="2" customFormat="1" ht="13.5" customHeight="1">
      <c r="B2775" s="13"/>
      <c r="C2775" t="s" s="9">
        <v>23</v>
      </c>
      <c r="D2775" t="s" s="8">
        <v>969</v>
      </c>
      <c r="E2775" t="s" s="9">
        <v>971</v>
      </c>
      <c r="F2775" t="s" s="10">
        <v>119</v>
      </c>
      <c r="G2775" t="s" s="11">
        <v>119</v>
      </c>
      <c r="H2775" t="s" s="10">
        <v>119</v>
      </c>
      <c r="I2775" t="s" s="11">
        <v>119</v>
      </c>
      <c r="J2775" t="s" s="11">
        <v>20</v>
      </c>
      <c r="K2775" s="15"/>
      <c r="L2775" t="s" s="16">
        <f>HYPERLINK("http://csr.bu.edu/ftp/asl/asllvd/demos/verify_start_end_handshape_annotations//test_auto_move//signs_mov_separ_signers/Tyler_15855.mov","MOV")</f>
        <v>21</v>
      </c>
      <c r="M2775" t="s" s="10">
        <v>37</v>
      </c>
      <c r="N2775" s="17">
        <v>16</v>
      </c>
      <c r="O2775" s="18">
        <v>1356</v>
      </c>
      <c r="P2775" s="18">
        <v>1405</v>
      </c>
      <c r="Q2775" s="15"/>
      <c r="R2775" t="s" s="16">
        <f>HYPERLINK("http://secrets.rutgers.edu:8080/data/asl-ftp/asllvd/demos/verify_start_end_handshape_annotations//test_auto_move//signs_mov_separ_signers/Tyler_15855.mov","MOV")</f>
        <v>21</v>
      </c>
    </row>
    <row r="2776" s="2" customFormat="1" ht="13.5" customHeight="1">
      <c r="B2776" s="13"/>
      <c r="C2776" t="s" s="9">
        <v>23</v>
      </c>
      <c r="D2776" t="s" s="8">
        <v>969</v>
      </c>
      <c r="E2776" t="s" s="9">
        <v>972</v>
      </c>
      <c r="F2776" t="s" s="10">
        <v>119</v>
      </c>
      <c r="G2776" t="s" s="11">
        <v>119</v>
      </c>
      <c r="H2776" t="s" s="10">
        <v>63</v>
      </c>
      <c r="I2776" t="s" s="11">
        <v>63</v>
      </c>
      <c r="J2776" t="s" s="11">
        <v>20</v>
      </c>
      <c r="K2776" s="15"/>
      <c r="L2776" t="s" s="16">
        <f>HYPERLINK("http://csr.bu.edu/ftp/asl/asllvd/demos/verify_start_end_handshape_annotations//test_auto_move//signs_mov_separ_signers/Tyler_15857.mov","MOV")</f>
        <v>21</v>
      </c>
      <c r="M2776" t="s" s="10">
        <v>47</v>
      </c>
      <c r="N2776" s="17">
        <v>10</v>
      </c>
      <c r="O2776" s="18">
        <v>4895</v>
      </c>
      <c r="P2776" s="18">
        <v>4938</v>
      </c>
      <c r="Q2776" s="15"/>
      <c r="R2776" t="s" s="16">
        <f>HYPERLINK("http://secrets.rutgers.edu:8080/data/asl-ftp/asllvd/demos/verify_start_end_handshape_annotations//test_auto_move//signs_mov_separ_signers/Tyler_15857.mov","MOV")</f>
        <v>21</v>
      </c>
    </row>
    <row r="2777" s="2" customFormat="1" ht="13.5" customHeight="1">
      <c r="B2777" s="13"/>
      <c r="C2777" t="s" s="9">
        <v>27</v>
      </c>
      <c r="D2777" t="s" s="8">
        <v>969</v>
      </c>
      <c r="E2777" t="s" s="9">
        <v>971</v>
      </c>
      <c r="F2777" t="s" s="10">
        <v>119</v>
      </c>
      <c r="G2777" t="s" s="11">
        <v>119</v>
      </c>
      <c r="H2777" t="s" s="10">
        <v>119</v>
      </c>
      <c r="I2777" t="s" s="11">
        <v>119</v>
      </c>
      <c r="J2777" t="s" s="11">
        <v>20</v>
      </c>
      <c r="K2777" t="s" s="16">
        <f>HYPERLINK("http://csr.bu.edu/ftp/asl/asllvd/demos/verify_start_end_handshape_annotations//test_auto_move//signs_mov/15855_15857_15859_16337_merged.mov","MOV")</f>
        <v>21</v>
      </c>
      <c r="L2777" t="s" s="16">
        <f>HYPERLINK("http://csr.bu.edu/ftp/asl/asllvd/demos/verify_start_end_handshape_annotations//test_auto_move//signs_mov_separ_signers/Naomi_15855.mov","MOV")</f>
        <v>21</v>
      </c>
      <c r="M2777" t="s" s="10">
        <v>86</v>
      </c>
      <c r="N2777" s="17">
        <v>18</v>
      </c>
      <c r="O2777" s="18">
        <v>2152</v>
      </c>
      <c r="P2777" s="18">
        <v>2187</v>
      </c>
      <c r="Q2777" t="s" s="16">
        <f>HYPERLINK("http://secrets.rutgers.edu:8080/data/asl-ftp/asllvd/demos/verify_start_end_handshape_annotations//test_auto_move//signs_mov/15855_15857_15859_16337_merged.mov","MOV")</f>
        <v>21</v>
      </c>
      <c r="R2777" t="s" s="16">
        <f>HYPERLINK("http://secrets.rutgers.edu:8080/data/asl-ftp/asllvd/demos/verify_start_end_handshape_annotations//test_auto_move//signs_mov_separ_signers/Naomi_15855.mov","MOV")</f>
        <v>21</v>
      </c>
    </row>
    <row r="2778" s="2" customFormat="1" ht="13.5" customHeight="1">
      <c r="B2778" s="13"/>
      <c r="C2778" t="s" s="9">
        <v>27</v>
      </c>
      <c r="D2778" t="s" s="8">
        <v>969</v>
      </c>
      <c r="E2778" t="s" s="9">
        <v>970</v>
      </c>
      <c r="F2778" t="s" s="10">
        <v>119</v>
      </c>
      <c r="G2778" t="s" s="11">
        <v>119</v>
      </c>
      <c r="H2778" t="s" s="10">
        <v>119</v>
      </c>
      <c r="I2778" t="s" s="11">
        <v>119</v>
      </c>
      <c r="J2778" t="s" s="11">
        <v>20</v>
      </c>
      <c r="K2778" s="15"/>
      <c r="L2778" t="s" s="16">
        <f>HYPERLINK("http://csr.bu.edu/ftp/asl/asllvd/demos/verify_start_end_handshape_annotations//test_auto_move//signs_mov_separ_signers/Naomi_15857.mov","MOV")</f>
        <v>21</v>
      </c>
      <c r="M2778" t="s" s="10">
        <v>48</v>
      </c>
      <c r="N2778" s="17">
        <v>13</v>
      </c>
      <c r="O2778" s="18">
        <v>2645</v>
      </c>
      <c r="P2778" s="18">
        <v>2690</v>
      </c>
      <c r="Q2778" s="15"/>
      <c r="R2778" t="s" s="16">
        <f>HYPERLINK("http://secrets.rutgers.edu:8080/data/asl-ftp/asllvd/demos/verify_start_end_handshape_annotations//test_auto_move//signs_mov_separ_signers/Naomi_15857.mov","MOV")</f>
        <v>21</v>
      </c>
    </row>
    <row r="2779" s="2" customFormat="1" ht="13.5" customHeight="1">
      <c r="B2779" s="13"/>
      <c r="C2779" t="s" s="9">
        <v>30</v>
      </c>
      <c r="D2779" t="s" s="8">
        <v>969</v>
      </c>
      <c r="E2779" t="s" s="9">
        <v>970</v>
      </c>
      <c r="F2779" t="s" s="10">
        <v>119</v>
      </c>
      <c r="G2779" t="s" s="11">
        <v>119</v>
      </c>
      <c r="H2779" t="s" s="10">
        <v>119</v>
      </c>
      <c r="I2779" t="s" s="11">
        <v>119</v>
      </c>
      <c r="J2779" t="s" s="11">
        <v>20</v>
      </c>
      <c r="K2779" s="15"/>
      <c r="L2779" t="s" s="16">
        <f>HYPERLINK("http://csr.bu.edu/ftp/asl/asllvd/demos/verify_start_end_handshape_annotations//test_auto_move//signs_mov_separ_signers/Brady_15855.mov","MOV")</f>
        <v>21</v>
      </c>
      <c r="M2779" t="s" s="10">
        <v>31</v>
      </c>
      <c r="N2779" s="17">
        <v>35</v>
      </c>
      <c r="O2779" s="18">
        <v>2700</v>
      </c>
      <c r="P2779" s="18">
        <v>2726</v>
      </c>
      <c r="Q2779" s="15"/>
      <c r="R2779" t="s" s="16">
        <f>HYPERLINK("http://secrets.rutgers.edu:8080/data/asl-ftp/asllvd/demos/verify_start_end_handshape_annotations//test_auto_move//signs_mov_separ_signers/Brady_15855.mov","MOV")</f>
        <v>21</v>
      </c>
    </row>
    <row r="2780" s="2" customFormat="1" ht="13.5" customHeight="1">
      <c r="B2780" s="13"/>
      <c r="C2780" t="s" s="9">
        <v>30</v>
      </c>
      <c r="D2780" t="s" s="8">
        <v>969</v>
      </c>
      <c r="E2780" t="s" s="9">
        <v>970</v>
      </c>
      <c r="F2780" t="s" s="10">
        <v>119</v>
      </c>
      <c r="G2780" t="s" s="11">
        <v>119</v>
      </c>
      <c r="H2780" t="s" s="10">
        <v>63</v>
      </c>
      <c r="I2780" t="s" s="11">
        <v>63</v>
      </c>
      <c r="J2780" t="s" s="11">
        <v>20</v>
      </c>
      <c r="K2780" s="15"/>
      <c r="L2780" t="s" s="16">
        <f>HYPERLINK("http://csr.bu.edu/ftp/asl/asllvd/demos/verify_start_end_handshape_annotations//test_auto_move//signs_mov_separ_signers/Brady_15857.mov","MOV")</f>
        <v>21</v>
      </c>
      <c r="M2780" t="s" s="10">
        <v>39</v>
      </c>
      <c r="N2780" s="17">
        <v>54</v>
      </c>
      <c r="O2780" s="18">
        <v>6912</v>
      </c>
      <c r="P2780" s="18">
        <v>6940</v>
      </c>
      <c r="Q2780" s="15"/>
      <c r="R2780" t="s" s="16">
        <f>HYPERLINK("http://secrets.rutgers.edu:8080/data/asl-ftp/asllvd/demos/verify_start_end_handshape_annotations//test_auto_move//signs_mov_separ_signers/Brady_15857.mov","MOV")</f>
        <v>21</v>
      </c>
    </row>
    <row r="2781" s="2" customFormat="1" ht="13.5" customHeight="1">
      <c r="B2781" s="13"/>
      <c r="C2781" t="s" s="9">
        <v>30</v>
      </c>
      <c r="D2781" t="s" s="8">
        <v>969</v>
      </c>
      <c r="E2781" t="s" s="9">
        <v>969</v>
      </c>
      <c r="F2781" t="s" s="10">
        <v>119</v>
      </c>
      <c r="G2781" t="s" s="11">
        <v>119</v>
      </c>
      <c r="H2781" t="s" s="10">
        <v>63</v>
      </c>
      <c r="I2781" t="s" s="11">
        <v>63</v>
      </c>
      <c r="J2781" t="s" s="11">
        <v>20</v>
      </c>
      <c r="K2781" s="15"/>
      <c r="L2781" t="s" s="16">
        <f>HYPERLINK("http://csr.bu.edu/ftp/asl/asllvd/demos/verify_start_end_handshape_annotations//test_auto_move//signs_mov_separ_signers/Brady_15859.mov","MOV")</f>
        <v>21</v>
      </c>
      <c r="M2781" t="s" s="10">
        <v>60</v>
      </c>
      <c r="N2781" s="17">
        <v>46</v>
      </c>
      <c r="O2781" s="18">
        <v>1453</v>
      </c>
      <c r="P2781" s="18">
        <v>1466</v>
      </c>
      <c r="Q2781" s="15"/>
      <c r="R2781" t="s" s="16">
        <f>HYPERLINK("http://secrets.rutgers.edu:8080/data/asl-ftp/asllvd/demos/verify_start_end_handshape_annotations//test_auto_move//signs_mov_separ_signers/Brady_15859.mov","MOV")</f>
        <v>21</v>
      </c>
    </row>
    <row r="2782" s="2" customFormat="1" ht="13.5" customHeight="1">
      <c r="B2782" s="13"/>
      <c r="C2782" t="s" s="9">
        <v>30</v>
      </c>
      <c r="D2782" t="s" s="8">
        <v>969</v>
      </c>
      <c r="E2782" t="s" s="9">
        <v>971</v>
      </c>
      <c r="F2782" t="s" s="10">
        <v>119</v>
      </c>
      <c r="G2782" t="s" s="11">
        <v>119</v>
      </c>
      <c r="H2782" t="s" s="10">
        <v>63</v>
      </c>
      <c r="I2782" t="s" s="11">
        <v>63</v>
      </c>
      <c r="J2782" t="s" s="11">
        <v>20</v>
      </c>
      <c r="K2782" s="15"/>
      <c r="L2782" t="s" s="16">
        <f>HYPERLINK("http://csr.bu.edu/ftp/asl/asllvd/demos/verify_start_end_handshape_annotations//test_auto_move//signs_mov_separ_signers/Brady_16337.mov","MOV")</f>
        <v>21</v>
      </c>
      <c r="M2782" t="s" s="10">
        <v>60</v>
      </c>
      <c r="N2782" s="17">
        <v>47</v>
      </c>
      <c r="O2782" s="18">
        <v>475</v>
      </c>
      <c r="P2782" s="18">
        <v>516</v>
      </c>
      <c r="Q2782" s="15"/>
      <c r="R2782" t="s" s="16">
        <f>HYPERLINK("http://secrets.rutgers.edu:8080/data/asl-ftp/asllvd/demos/verify_start_end_handshape_annotations//test_auto_move//signs_mov_separ_signers/Brady_16337.mov","MOV")</f>
        <v>21</v>
      </c>
    </row>
    <row r="2783" s="2" customFormat="1" ht="13.5" customHeight="1">
      <c r="B2783" t="s" s="8">
        <v>973</v>
      </c>
      <c r="C2783" t="s" s="9">
        <v>14</v>
      </c>
      <c r="D2783" t="s" s="8">
        <v>14</v>
      </c>
      <c r="E2783" t="s" s="9">
        <v>14</v>
      </c>
      <c r="F2783" t="s" s="10">
        <v>14</v>
      </c>
      <c r="G2783" t="s" s="11">
        <v>14</v>
      </c>
      <c r="H2783" t="s" s="10">
        <v>14</v>
      </c>
      <c r="I2783" t="s" s="11">
        <v>14</v>
      </c>
      <c r="J2783" t="s" s="11">
        <v>14</v>
      </c>
      <c r="K2783" t="s" s="12">
        <v>14</v>
      </c>
      <c r="L2783" t="s" s="12">
        <v>14</v>
      </c>
      <c r="M2783" t="s" s="10">
        <v>14</v>
      </c>
      <c r="N2783" t="s" s="11">
        <v>14</v>
      </c>
      <c r="O2783" t="s" s="8">
        <v>14</v>
      </c>
      <c r="P2783" t="s" s="8">
        <v>14</v>
      </c>
      <c r="Q2783" t="s" s="12">
        <v>14</v>
      </c>
      <c r="R2783" t="s" s="12">
        <v>14</v>
      </c>
    </row>
    <row r="2784" s="2" customFormat="1" ht="13.5" customHeight="1">
      <c r="B2784" s="13"/>
      <c r="C2784" t="s" s="9">
        <v>16</v>
      </c>
      <c r="D2784" t="s" s="8">
        <v>973</v>
      </c>
      <c r="E2784" t="s" s="9">
        <v>973</v>
      </c>
      <c r="F2784" t="s" s="10">
        <v>282</v>
      </c>
      <c r="G2784" s="14"/>
      <c r="H2784" t="s" s="10">
        <v>282</v>
      </c>
      <c r="I2784" s="14"/>
      <c r="J2784" t="s" s="11">
        <v>20</v>
      </c>
      <c r="K2784" s="15"/>
      <c r="L2784" t="s" s="16">
        <f>HYPERLINK("http://csr.bu.edu/ftp/asl/asllvd/demos/verify_start_end_handshape_annotations//test_auto_move//signs_mov_separ_signers/Liz_594.mov","MOV")</f>
        <v>21</v>
      </c>
      <c r="M2784" t="s" s="10">
        <v>84</v>
      </c>
      <c r="N2784" s="17">
        <v>10</v>
      </c>
      <c r="O2784" s="18">
        <v>1296</v>
      </c>
      <c r="P2784" s="18">
        <v>1325</v>
      </c>
      <c r="Q2784" s="15"/>
      <c r="R2784" t="s" s="16">
        <f>HYPERLINK("http://secrets.rutgers.edu:8080/data/asl-ftp/asllvd/demos/verify_start_end_handshape_annotations//test_auto_move//signs_mov_separ_signers/Liz_594.mov","MOV")</f>
        <v>21</v>
      </c>
    </row>
    <row r="2785" s="2" customFormat="1" ht="13.5" customHeight="1">
      <c r="B2785" s="13"/>
      <c r="C2785" t="s" s="9">
        <v>23</v>
      </c>
      <c r="D2785" t="s" s="8">
        <v>973</v>
      </c>
      <c r="E2785" t="s" s="9">
        <v>973</v>
      </c>
      <c r="F2785" t="s" s="10">
        <v>282</v>
      </c>
      <c r="G2785" s="14"/>
      <c r="H2785" t="s" s="10">
        <v>282</v>
      </c>
      <c r="I2785" s="14"/>
      <c r="J2785" t="s" s="11">
        <v>20</v>
      </c>
      <c r="K2785" t="s" s="16">
        <f>HYPERLINK("http://csr.bu.edu/ftp/asl/asllvd/demos/verify_start_end_handshape_annotations//test_auto_move//signs_mov/594.mov","MOV")</f>
        <v>21</v>
      </c>
      <c r="L2785" t="s" s="16">
        <f>HYPERLINK("http://csr.bu.edu/ftp/asl/asllvd/demos/verify_start_end_handshape_annotations//test_auto_move//signs_mov_separ_signers/Tyler_594.mov","MOV")</f>
        <v>21</v>
      </c>
      <c r="M2785" t="s" s="10">
        <v>125</v>
      </c>
      <c r="N2785" s="17">
        <v>10</v>
      </c>
      <c r="O2785" s="18">
        <v>1105</v>
      </c>
      <c r="P2785" s="18">
        <v>1155</v>
      </c>
      <c r="Q2785" t="s" s="16">
        <f>HYPERLINK("http://secrets.rutgers.edu:8080/data/asl-ftp/asllvd/demos/verify_start_end_handshape_annotations//test_auto_move//signs_mov/594.mov","MOV")</f>
        <v>21</v>
      </c>
      <c r="R2785" t="s" s="16">
        <f>HYPERLINK("http://secrets.rutgers.edu:8080/data/asl-ftp/asllvd/demos/verify_start_end_handshape_annotations//test_auto_move//signs_mov_separ_signers/Tyler_594.mov","MOV")</f>
        <v>21</v>
      </c>
    </row>
    <row r="2786" s="2" customFormat="1" ht="13.5" customHeight="1">
      <c r="B2786" s="13"/>
      <c r="C2786" t="s" s="9">
        <v>27</v>
      </c>
      <c r="D2786" t="s" s="8">
        <v>973</v>
      </c>
      <c r="E2786" t="s" s="9">
        <v>973</v>
      </c>
      <c r="F2786" t="s" s="10">
        <v>282</v>
      </c>
      <c r="G2786" s="14"/>
      <c r="H2786" t="s" s="10">
        <v>282</v>
      </c>
      <c r="I2786" s="14"/>
      <c r="J2786" t="s" s="11">
        <v>20</v>
      </c>
      <c r="K2786" s="15"/>
      <c r="L2786" t="s" s="16">
        <f>HYPERLINK("http://csr.bu.edu/ftp/asl/asllvd/demos/verify_start_end_handshape_annotations//test_auto_move//signs_mov_separ_signers/Naomi_594.mov","MOV")</f>
        <v>21</v>
      </c>
      <c r="M2786" t="s" s="10">
        <v>86</v>
      </c>
      <c r="N2786" s="17">
        <v>10</v>
      </c>
      <c r="O2786" s="18">
        <v>1280</v>
      </c>
      <c r="P2786" s="18">
        <v>1312</v>
      </c>
      <c r="Q2786" s="15"/>
      <c r="R2786" t="s" s="16">
        <f>HYPERLINK("http://secrets.rutgers.edu:8080/data/asl-ftp/asllvd/demos/verify_start_end_handshape_annotations//test_auto_move//signs_mov_separ_signers/Naomi_594.mov","MOV")</f>
        <v>21</v>
      </c>
    </row>
    <row r="2787" s="2" customFormat="1" ht="13.5" customHeight="1">
      <c r="B2787" s="13"/>
      <c r="C2787" t="s" s="9">
        <v>30</v>
      </c>
      <c r="D2787" t="s" s="8">
        <v>973</v>
      </c>
      <c r="E2787" t="s" s="9">
        <v>973</v>
      </c>
      <c r="F2787" t="s" s="10">
        <v>282</v>
      </c>
      <c r="G2787" s="14"/>
      <c r="H2787" t="s" s="10">
        <v>282</v>
      </c>
      <c r="I2787" s="14"/>
      <c r="J2787" t="s" s="11">
        <v>20</v>
      </c>
      <c r="K2787" s="15"/>
      <c r="L2787" t="s" s="16">
        <f>HYPERLINK("http://csr.bu.edu/ftp/asl/asllvd/demos/verify_start_end_handshape_annotations//test_auto_move//signs_mov_separ_signers/Brady_594.mov","MOV")</f>
        <v>21</v>
      </c>
      <c r="M2787" t="s" s="10">
        <v>31</v>
      </c>
      <c r="N2787" s="17">
        <v>31</v>
      </c>
      <c r="O2787" s="18">
        <v>13080</v>
      </c>
      <c r="P2787" s="18">
        <v>13130</v>
      </c>
      <c r="Q2787" s="15"/>
      <c r="R2787" t="s" s="16">
        <f>HYPERLINK("http://secrets.rutgers.edu:8080/data/asl-ftp/asllvd/demos/verify_start_end_handshape_annotations//test_auto_move//signs_mov_separ_signers/Brady_594.mov","MOV")</f>
        <v>21</v>
      </c>
    </row>
    <row r="2788" s="2" customFormat="1" ht="13.5" customHeight="1">
      <c r="B2788" t="s" s="8">
        <v>974</v>
      </c>
      <c r="C2788" t="s" s="9">
        <v>14</v>
      </c>
      <c r="D2788" t="s" s="8">
        <v>14</v>
      </c>
      <c r="E2788" t="s" s="9">
        <v>14</v>
      </c>
      <c r="F2788" t="s" s="10">
        <v>14</v>
      </c>
      <c r="G2788" t="s" s="11">
        <v>14</v>
      </c>
      <c r="H2788" t="s" s="10">
        <v>14</v>
      </c>
      <c r="I2788" t="s" s="11">
        <v>14</v>
      </c>
      <c r="J2788" t="s" s="11">
        <v>14</v>
      </c>
      <c r="K2788" t="s" s="12">
        <v>14</v>
      </c>
      <c r="L2788" t="s" s="12">
        <v>14</v>
      </c>
      <c r="M2788" t="s" s="10">
        <v>14</v>
      </c>
      <c r="N2788" t="s" s="11">
        <v>14</v>
      </c>
      <c r="O2788" t="s" s="8">
        <v>14</v>
      </c>
      <c r="P2788" t="s" s="8">
        <v>14</v>
      </c>
      <c r="Q2788" t="s" s="12">
        <v>14</v>
      </c>
      <c r="R2788" t="s" s="12">
        <v>14</v>
      </c>
    </row>
    <row r="2789" s="2" customFormat="1" ht="13.5" customHeight="1">
      <c r="B2789" s="13"/>
      <c r="C2789" t="s" s="9">
        <v>16</v>
      </c>
      <c r="D2789" t="s" s="8">
        <v>974</v>
      </c>
      <c r="E2789" t="s" s="9">
        <v>974</v>
      </c>
      <c r="F2789" t="s" s="10">
        <v>229</v>
      </c>
      <c r="G2789" s="14"/>
      <c r="H2789" t="s" s="10">
        <v>229</v>
      </c>
      <c r="I2789" s="14"/>
      <c r="J2789" t="s" s="11">
        <v>20</v>
      </c>
      <c r="K2789" t="s" s="16">
        <f>HYPERLINK("http://csr.bu.edu/ftp/asl/asllvd/demos/verify_start_end_handshape_annotations//test_auto_move//signs_mov/15939.mov","MOV")</f>
        <v>21</v>
      </c>
      <c r="L2789" t="s" s="16">
        <f>HYPERLINK("http://csr.bu.edu/ftp/asl/asllvd/demos/verify_start_end_handshape_annotations//test_auto_move//signs_mov_separ_signers/Liz_15939.mov","MOV")</f>
        <v>21</v>
      </c>
      <c r="M2789" t="s" s="10">
        <v>36</v>
      </c>
      <c r="N2789" s="17">
        <v>50</v>
      </c>
      <c r="O2789" s="18">
        <v>1468</v>
      </c>
      <c r="P2789" s="18">
        <v>1518</v>
      </c>
      <c r="Q2789" t="s" s="16">
        <f>HYPERLINK("http://secrets.rutgers.edu:8080/data/asl-ftp/asllvd/demos/verify_start_end_handshape_annotations//test_auto_move//signs_mov/15939.mov","MOV")</f>
        <v>21</v>
      </c>
      <c r="R2789" t="s" s="16">
        <f>HYPERLINK("http://secrets.rutgers.edu:8080/data/asl-ftp/asllvd/demos/verify_start_end_handshape_annotations//test_auto_move//signs_mov_separ_signers/Liz_15939.mov","MOV")</f>
        <v>21</v>
      </c>
    </row>
    <row r="2790" s="2" customFormat="1" ht="13.5" customHeight="1">
      <c r="B2790" s="13"/>
      <c r="C2790" t="s" s="9">
        <v>30</v>
      </c>
      <c r="D2790" t="s" s="8">
        <v>974</v>
      </c>
      <c r="E2790" t="s" s="9">
        <v>974</v>
      </c>
      <c r="F2790" t="s" s="10">
        <v>229</v>
      </c>
      <c r="G2790" s="14"/>
      <c r="H2790" t="s" s="10">
        <v>229</v>
      </c>
      <c r="I2790" s="14"/>
      <c r="J2790" t="s" s="11">
        <v>20</v>
      </c>
      <c r="K2790" s="15"/>
      <c r="L2790" t="s" s="16">
        <f>HYPERLINK("http://csr.bu.edu/ftp/asl/asllvd/demos/verify_start_end_handshape_annotations//test_auto_move//signs_mov_separ_signers/Brady_15939.mov","MOV")</f>
        <v>21</v>
      </c>
      <c r="M2790" t="s" s="10">
        <v>40</v>
      </c>
      <c r="N2790" s="17">
        <v>102</v>
      </c>
      <c r="O2790" s="18">
        <v>162</v>
      </c>
      <c r="P2790" s="18">
        <v>180</v>
      </c>
      <c r="Q2790" s="15"/>
      <c r="R2790" t="s" s="16">
        <f>HYPERLINK("http://secrets.rutgers.edu:8080/data/asl-ftp/asllvd/demos/verify_start_end_handshape_annotations//test_auto_move//signs_mov_separ_signers/Brady_15939.mov","MOV")</f>
        <v>21</v>
      </c>
    </row>
    <row r="2791" s="2" customFormat="1" ht="13.5" customHeight="1">
      <c r="B2791" t="s" s="8">
        <v>975</v>
      </c>
      <c r="C2791" t="s" s="9">
        <v>14</v>
      </c>
      <c r="D2791" t="s" s="8">
        <v>14</v>
      </c>
      <c r="E2791" t="s" s="9">
        <v>14</v>
      </c>
      <c r="F2791" t="s" s="10">
        <v>14</v>
      </c>
      <c r="G2791" t="s" s="11">
        <v>14</v>
      </c>
      <c r="H2791" t="s" s="10">
        <v>14</v>
      </c>
      <c r="I2791" t="s" s="11">
        <v>14</v>
      </c>
      <c r="J2791" t="s" s="11">
        <v>14</v>
      </c>
      <c r="K2791" t="s" s="12">
        <v>14</v>
      </c>
      <c r="L2791" t="s" s="12">
        <v>14</v>
      </c>
      <c r="M2791" t="s" s="10">
        <v>14</v>
      </c>
      <c r="N2791" t="s" s="11">
        <v>14</v>
      </c>
      <c r="O2791" t="s" s="8">
        <v>14</v>
      </c>
      <c r="P2791" t="s" s="8">
        <v>14</v>
      </c>
      <c r="Q2791" t="s" s="12">
        <v>14</v>
      </c>
      <c r="R2791" t="s" s="12">
        <v>14</v>
      </c>
    </row>
    <row r="2792" s="2" customFormat="1" ht="13.5" customHeight="1">
      <c r="B2792" s="13"/>
      <c r="C2792" t="s" s="9">
        <v>16</v>
      </c>
      <c r="D2792" t="s" s="8">
        <v>975</v>
      </c>
      <c r="E2792" t="s" s="9">
        <v>975</v>
      </c>
      <c r="F2792" t="s" s="10">
        <v>72</v>
      </c>
      <c r="G2792" t="s" s="11">
        <v>72</v>
      </c>
      <c r="H2792" t="s" s="10">
        <v>72</v>
      </c>
      <c r="I2792" t="s" s="11">
        <v>72</v>
      </c>
      <c r="J2792" t="s" s="11">
        <v>20</v>
      </c>
      <c r="K2792" s="15"/>
      <c r="L2792" t="s" s="16">
        <f>HYPERLINK("http://csr.bu.edu/ftp/asl/asllvd/demos/verify_start_end_handshape_annotations//test_auto_move//signs_mov_separ_signers/Liz_595.mov","MOV")</f>
        <v>21</v>
      </c>
      <c r="M2792" t="s" s="10">
        <v>84</v>
      </c>
      <c r="N2792" s="17">
        <v>10</v>
      </c>
      <c r="O2792" s="18">
        <v>1540</v>
      </c>
      <c r="P2792" s="18">
        <v>1610</v>
      </c>
      <c r="Q2792" s="15"/>
      <c r="R2792" t="s" s="16">
        <f>HYPERLINK("http://secrets.rutgers.edu:8080/data/asl-ftp/asllvd/demos/verify_start_end_handshape_annotations//test_auto_move//signs_mov_separ_signers/Liz_595.mov","MOV")</f>
        <v>21</v>
      </c>
    </row>
    <row r="2793" s="2" customFormat="1" ht="13.5" customHeight="1">
      <c r="B2793" s="13"/>
      <c r="C2793" t="s" s="9">
        <v>23</v>
      </c>
      <c r="D2793" t="s" s="8">
        <v>975</v>
      </c>
      <c r="E2793" t="s" s="9">
        <v>975</v>
      </c>
      <c r="F2793" t="s" s="10">
        <v>72</v>
      </c>
      <c r="G2793" t="s" s="11">
        <v>72</v>
      </c>
      <c r="H2793" t="s" s="10">
        <v>72</v>
      </c>
      <c r="I2793" t="s" s="11">
        <v>72</v>
      </c>
      <c r="J2793" t="s" s="11">
        <v>20</v>
      </c>
      <c r="K2793" t="s" s="16">
        <f>HYPERLINK("http://csr.bu.edu/ftp/asl/asllvd/demos/verify_start_end_handshape_annotations//test_auto_move//signs_mov/595.mov","MOV")</f>
        <v>21</v>
      </c>
      <c r="L2793" t="s" s="16">
        <f>HYPERLINK("http://csr.bu.edu/ftp/asl/asllvd/demos/verify_start_end_handshape_annotations//test_auto_move//signs_mov_separ_signers/Tyler_595.mov","MOV")</f>
        <v>21</v>
      </c>
      <c r="M2793" t="s" s="10">
        <v>125</v>
      </c>
      <c r="N2793" s="17">
        <v>10</v>
      </c>
      <c r="O2793" s="18">
        <v>1335</v>
      </c>
      <c r="P2793" s="18">
        <v>1385</v>
      </c>
      <c r="Q2793" t="s" s="16">
        <f>HYPERLINK("http://secrets.rutgers.edu:8080/data/asl-ftp/asllvd/demos/verify_start_end_handshape_annotations//test_auto_move//signs_mov/595.mov","MOV")</f>
        <v>21</v>
      </c>
      <c r="R2793" t="s" s="16">
        <f>HYPERLINK("http://secrets.rutgers.edu:8080/data/asl-ftp/asllvd/demos/verify_start_end_handshape_annotations//test_auto_move//signs_mov_separ_signers/Tyler_595.mov","MOV")</f>
        <v>21</v>
      </c>
    </row>
    <row r="2794" s="2" customFormat="1" ht="13.5" customHeight="1">
      <c r="B2794" s="13"/>
      <c r="C2794" t="s" s="9">
        <v>30</v>
      </c>
      <c r="D2794" t="s" s="8">
        <v>975</v>
      </c>
      <c r="E2794" t="s" s="9">
        <v>975</v>
      </c>
      <c r="F2794" t="s" s="10">
        <v>72</v>
      </c>
      <c r="G2794" t="s" s="11">
        <v>72</v>
      </c>
      <c r="H2794" t="s" s="10">
        <v>72</v>
      </c>
      <c r="I2794" t="s" s="11">
        <v>72</v>
      </c>
      <c r="J2794" t="s" s="11">
        <v>20</v>
      </c>
      <c r="K2794" s="15"/>
      <c r="L2794" t="s" s="16">
        <f>HYPERLINK("http://csr.bu.edu/ftp/asl/asllvd/demos/verify_start_end_handshape_annotations//test_auto_move//signs_mov_separ_signers/Brady_595.mov","MOV")</f>
        <v>21</v>
      </c>
      <c r="M2794" t="s" s="10">
        <v>31</v>
      </c>
      <c r="N2794" s="17">
        <v>31</v>
      </c>
      <c r="O2794" s="18">
        <v>13396</v>
      </c>
      <c r="P2794" s="18">
        <v>13441</v>
      </c>
      <c r="Q2794" s="15"/>
      <c r="R2794" t="s" s="16">
        <f>HYPERLINK("http://secrets.rutgers.edu:8080/data/asl-ftp/asllvd/demos/verify_start_end_handshape_annotations//test_auto_move//signs_mov_separ_signers/Brady_595.mov","MOV")</f>
        <v>21</v>
      </c>
    </row>
    <row r="2795" s="2" customFormat="1" ht="13.5" customHeight="1">
      <c r="B2795" t="s" s="8">
        <v>52</v>
      </c>
      <c r="C2795" t="s" s="9">
        <v>53</v>
      </c>
      <c r="D2795" t="s" s="8">
        <v>53</v>
      </c>
      <c r="E2795" t="s" s="9">
        <v>53</v>
      </c>
      <c r="F2795" t="s" s="10">
        <v>53</v>
      </c>
      <c r="G2795" t="s" s="11">
        <v>53</v>
      </c>
      <c r="H2795" t="s" s="10">
        <v>53</v>
      </c>
      <c r="I2795" t="s" s="11">
        <v>53</v>
      </c>
      <c r="J2795" t="s" s="11">
        <v>53</v>
      </c>
      <c r="K2795" t="s" s="12">
        <v>53</v>
      </c>
      <c r="L2795" t="s" s="12">
        <v>53</v>
      </c>
      <c r="M2795" t="s" s="10">
        <v>53</v>
      </c>
      <c r="N2795" t="s" s="11">
        <v>53</v>
      </c>
      <c r="O2795" t="s" s="8">
        <v>53</v>
      </c>
      <c r="P2795" t="s" s="8">
        <v>53</v>
      </c>
      <c r="Q2795" t="s" s="12">
        <v>53</v>
      </c>
      <c r="R2795" t="s" s="12">
        <v>53</v>
      </c>
    </row>
    <row r="2796" s="2" customFormat="1" ht="13.5" customHeight="1">
      <c r="B2796" s="13"/>
      <c r="C2796" t="s" s="9">
        <v>27</v>
      </c>
      <c r="D2796" t="s" s="8">
        <v>975</v>
      </c>
      <c r="E2796" t="s" s="9">
        <v>976</v>
      </c>
      <c r="F2796" t="s" s="10">
        <v>187</v>
      </c>
      <c r="G2796" t="s" s="11">
        <v>187</v>
      </c>
      <c r="H2796" t="s" s="10">
        <v>187</v>
      </c>
      <c r="I2796" t="s" s="11">
        <v>187</v>
      </c>
      <c r="J2796" t="s" s="11">
        <v>20</v>
      </c>
      <c r="K2796" t="s" s="16">
        <f>HYPERLINK("http://csr.bu.edu/ftp/asl/asllvd/demos/verify_start_end_handshape_annotations//test_auto_move//signs_mov/16305.mov","MOV")</f>
        <v>21</v>
      </c>
      <c r="L2796" t="s" s="16">
        <f>HYPERLINK("http://csr.bu.edu/ftp/asl/asllvd/demos/verify_start_end_handshape_annotations//test_auto_move//signs_mov_separ_signers/Naomi_16305.mov","MOV")</f>
        <v>21</v>
      </c>
      <c r="M2796" t="s" s="10">
        <v>86</v>
      </c>
      <c r="N2796" s="17">
        <v>10</v>
      </c>
      <c r="O2796" s="18">
        <v>1546</v>
      </c>
      <c r="P2796" s="18">
        <v>1571</v>
      </c>
      <c r="Q2796" t="s" s="16">
        <f>HYPERLINK("http://secrets.rutgers.edu:8080/data/asl-ftp/asllvd/demos/verify_start_end_handshape_annotations//test_auto_move//signs_mov/16305.mov","MOV")</f>
        <v>21</v>
      </c>
      <c r="R2796" t="s" s="16">
        <f>HYPERLINK("http://secrets.rutgers.edu:8080/data/asl-ftp/asllvd/demos/verify_start_end_handshape_annotations//test_auto_move//signs_mov_separ_signers/Naomi_16305.mov","MOV")</f>
        <v>21</v>
      </c>
    </row>
    <row r="2797" s="2" customFormat="1" ht="13.5" customHeight="1">
      <c r="B2797" t="s" s="8">
        <v>977</v>
      </c>
      <c r="C2797" t="s" s="9">
        <v>14</v>
      </c>
      <c r="D2797" t="s" s="8">
        <v>14</v>
      </c>
      <c r="E2797" t="s" s="9">
        <v>14</v>
      </c>
      <c r="F2797" t="s" s="10">
        <v>14</v>
      </c>
      <c r="G2797" t="s" s="11">
        <v>14</v>
      </c>
      <c r="H2797" t="s" s="10">
        <v>14</v>
      </c>
      <c r="I2797" t="s" s="11">
        <v>14</v>
      </c>
      <c r="J2797" t="s" s="11">
        <v>14</v>
      </c>
      <c r="K2797" t="s" s="12">
        <v>14</v>
      </c>
      <c r="L2797" t="s" s="12">
        <v>14</v>
      </c>
      <c r="M2797" t="s" s="10">
        <v>14</v>
      </c>
      <c r="N2797" t="s" s="11">
        <v>14</v>
      </c>
      <c r="O2797" t="s" s="8">
        <v>14</v>
      </c>
      <c r="P2797" t="s" s="8">
        <v>14</v>
      </c>
      <c r="Q2797" t="s" s="12">
        <v>14</v>
      </c>
      <c r="R2797" t="s" s="12">
        <v>14</v>
      </c>
    </row>
    <row r="2798" s="2" customFormat="1" ht="13.5" customHeight="1">
      <c r="B2798" s="13"/>
      <c r="C2798" t="s" s="9">
        <v>27</v>
      </c>
      <c r="D2798" t="s" s="8">
        <v>977</v>
      </c>
      <c r="E2798" t="s" s="9">
        <v>977</v>
      </c>
      <c r="F2798" t="s" s="10">
        <v>185</v>
      </c>
      <c r="G2798" t="s" s="11">
        <v>73</v>
      </c>
      <c r="H2798" t="s" s="10">
        <v>757</v>
      </c>
      <c r="I2798" t="s" s="11">
        <v>73</v>
      </c>
      <c r="J2798" t="s" s="11">
        <v>20</v>
      </c>
      <c r="K2798" t="s" s="16">
        <f>HYPERLINK("http://csr.bu.edu/ftp/asl/asllvd/demos/verify_start_end_handshape_annotations//test_auto_move//signs_mov/596.mov","MOV")</f>
        <v>21</v>
      </c>
      <c r="L2798" t="s" s="16">
        <f>HYPERLINK("http://csr.bu.edu/ftp/asl/asllvd/demos/verify_start_end_handshape_annotations//test_auto_move//signs_mov_separ_signers/Naomi_596.mov","MOV")</f>
        <v>21</v>
      </c>
      <c r="M2798" t="s" s="10">
        <v>86</v>
      </c>
      <c r="N2798" s="17">
        <v>10</v>
      </c>
      <c r="O2798" s="18">
        <v>1837</v>
      </c>
      <c r="P2798" s="18">
        <v>1867</v>
      </c>
      <c r="Q2798" t="s" s="16">
        <f>HYPERLINK("http://secrets.rutgers.edu:8080/data/asl-ftp/asllvd/demos/verify_start_end_handshape_annotations//test_auto_move//signs_mov/596.mov","MOV")</f>
        <v>21</v>
      </c>
      <c r="R2798" t="s" s="16">
        <f>HYPERLINK("http://secrets.rutgers.edu:8080/data/asl-ftp/asllvd/demos/verify_start_end_handshape_annotations//test_auto_move//signs_mov_separ_signers/Naomi_596.mov","MOV")</f>
        <v>21</v>
      </c>
    </row>
    <row r="2799" s="2" customFormat="1" ht="13.5" customHeight="1">
      <c r="B2799" t="s" s="8">
        <v>52</v>
      </c>
      <c r="C2799" t="s" s="9">
        <v>53</v>
      </c>
      <c r="D2799" t="s" s="8">
        <v>53</v>
      </c>
      <c r="E2799" t="s" s="9">
        <v>53</v>
      </c>
      <c r="F2799" t="s" s="10">
        <v>53</v>
      </c>
      <c r="G2799" t="s" s="11">
        <v>53</v>
      </c>
      <c r="H2799" t="s" s="10">
        <v>53</v>
      </c>
      <c r="I2799" t="s" s="11">
        <v>53</v>
      </c>
      <c r="J2799" t="s" s="11">
        <v>53</v>
      </c>
      <c r="K2799" t="s" s="12">
        <v>53</v>
      </c>
      <c r="L2799" t="s" s="12">
        <v>53</v>
      </c>
      <c r="M2799" t="s" s="10">
        <v>53</v>
      </c>
      <c r="N2799" t="s" s="11">
        <v>53</v>
      </c>
      <c r="O2799" t="s" s="8">
        <v>53</v>
      </c>
      <c r="P2799" t="s" s="8">
        <v>53</v>
      </c>
      <c r="Q2799" t="s" s="12">
        <v>53</v>
      </c>
      <c r="R2799" t="s" s="12">
        <v>53</v>
      </c>
    </row>
    <row r="2800" s="2" customFormat="1" ht="13.5" customHeight="1">
      <c r="B2800" s="13"/>
      <c r="C2800" t="s" s="9">
        <v>16</v>
      </c>
      <c r="D2800" t="s" s="8">
        <v>977</v>
      </c>
      <c r="E2800" t="s" s="9">
        <v>978</v>
      </c>
      <c r="F2800" t="s" s="10">
        <v>185</v>
      </c>
      <c r="G2800" t="s" s="11">
        <v>73</v>
      </c>
      <c r="H2800" t="s" s="10">
        <v>757</v>
      </c>
      <c r="I2800" t="s" s="11">
        <v>73</v>
      </c>
      <c r="J2800" t="s" s="11">
        <v>20</v>
      </c>
      <c r="K2800" t="s" s="16">
        <f>HYPERLINK("http://csr.bu.edu/ftp/asl/asllvd/demos/verify_start_end_handshape_annotations//test_auto_move//signs_mov/5954.mov","MOV")</f>
        <v>21</v>
      </c>
      <c r="L2800" t="s" s="16">
        <f>HYPERLINK("http://csr.bu.edu/ftp/asl/asllvd/demos/verify_start_end_handshape_annotations//test_auto_move//signs_mov_separ_signers/Liz_5954.mov","MOV")</f>
        <v>21</v>
      </c>
      <c r="M2800" t="s" s="10">
        <v>84</v>
      </c>
      <c r="N2800" s="17">
        <v>10</v>
      </c>
      <c r="O2800" s="18">
        <v>2017</v>
      </c>
      <c r="P2800" s="18">
        <v>2065</v>
      </c>
      <c r="Q2800" t="s" s="16">
        <f>HYPERLINK("http://secrets.rutgers.edu:8080/data/asl-ftp/asllvd/demos/verify_start_end_handshape_annotations//test_auto_move//signs_mov/5954.mov","MOV")</f>
        <v>21</v>
      </c>
      <c r="R2800" t="s" s="16">
        <f>HYPERLINK("http://secrets.rutgers.edu:8080/data/asl-ftp/asllvd/demos/verify_start_end_handshape_annotations//test_auto_move//signs_mov_separ_signers/Liz_5954.mov","MOV")</f>
        <v>21</v>
      </c>
    </row>
    <row r="2801" s="2" customFormat="1" ht="13.5" customHeight="1">
      <c r="B2801" t="s" s="8">
        <v>52</v>
      </c>
      <c r="C2801" t="s" s="9">
        <v>53</v>
      </c>
      <c r="D2801" t="s" s="8">
        <v>53</v>
      </c>
      <c r="E2801" t="s" s="9">
        <v>53</v>
      </c>
      <c r="F2801" t="s" s="10">
        <v>53</v>
      </c>
      <c r="G2801" t="s" s="11">
        <v>53</v>
      </c>
      <c r="H2801" t="s" s="10">
        <v>53</v>
      </c>
      <c r="I2801" t="s" s="11">
        <v>53</v>
      </c>
      <c r="J2801" t="s" s="11">
        <v>53</v>
      </c>
      <c r="K2801" t="s" s="12">
        <v>53</v>
      </c>
      <c r="L2801" t="s" s="12">
        <v>53</v>
      </c>
      <c r="M2801" t="s" s="10">
        <v>53</v>
      </c>
      <c r="N2801" t="s" s="11">
        <v>53</v>
      </c>
      <c r="O2801" t="s" s="8">
        <v>53</v>
      </c>
      <c r="P2801" t="s" s="8">
        <v>53</v>
      </c>
      <c r="Q2801" t="s" s="12">
        <v>53</v>
      </c>
      <c r="R2801" t="s" s="12">
        <v>53</v>
      </c>
    </row>
    <row r="2802" s="2" customFormat="1" ht="13.5" customHeight="1">
      <c r="B2802" s="13"/>
      <c r="C2802" t="s" s="9">
        <v>23</v>
      </c>
      <c r="D2802" t="s" s="8">
        <v>977</v>
      </c>
      <c r="E2802" t="s" s="9">
        <v>979</v>
      </c>
      <c r="F2802" t="s" s="10">
        <v>185</v>
      </c>
      <c r="G2802" t="s" s="11">
        <v>73</v>
      </c>
      <c r="H2802" t="s" s="10">
        <v>283</v>
      </c>
      <c r="I2802" t="s" s="11">
        <v>73</v>
      </c>
      <c r="J2802" t="s" s="11">
        <v>20</v>
      </c>
      <c r="K2802" t="s" s="16">
        <f>HYPERLINK("http://csr.bu.edu/ftp/asl/asllvd/demos/verify_start_end_handshape_annotations//test_auto_move//signs_mov/5998.mov","MOV")</f>
        <v>21</v>
      </c>
      <c r="L2802" t="s" s="16">
        <f>HYPERLINK("http://csr.bu.edu/ftp/asl/asllvd/demos/verify_start_end_handshape_annotations//test_auto_move//signs_mov_separ_signers/Tyler_5998.mov","MOV")</f>
        <v>21</v>
      </c>
      <c r="M2802" t="s" s="10">
        <v>125</v>
      </c>
      <c r="N2802" s="17">
        <v>10</v>
      </c>
      <c r="O2802" s="18">
        <v>1675</v>
      </c>
      <c r="P2802" s="18">
        <v>1716</v>
      </c>
      <c r="Q2802" t="s" s="16">
        <f>HYPERLINK("http://secrets.rutgers.edu:8080/data/asl-ftp/asllvd/demos/verify_start_end_handshape_annotations//test_auto_move//signs_mov/5998.mov","MOV")</f>
        <v>21</v>
      </c>
      <c r="R2802" t="s" s="16">
        <f>HYPERLINK("http://secrets.rutgers.edu:8080/data/asl-ftp/asllvd/demos/verify_start_end_handshape_annotations//test_auto_move//signs_mov_separ_signers/Tyler_5998.mov","MOV")</f>
        <v>21</v>
      </c>
    </row>
    <row r="2803" s="2" customFormat="1" ht="13.5" customHeight="1">
      <c r="B2803" t="s" s="8">
        <v>980</v>
      </c>
      <c r="C2803" t="s" s="9">
        <v>14</v>
      </c>
      <c r="D2803" t="s" s="8">
        <v>14</v>
      </c>
      <c r="E2803" t="s" s="9">
        <v>14</v>
      </c>
      <c r="F2803" t="s" s="10">
        <v>14</v>
      </c>
      <c r="G2803" t="s" s="11">
        <v>14</v>
      </c>
      <c r="H2803" t="s" s="10">
        <v>14</v>
      </c>
      <c r="I2803" t="s" s="11">
        <v>14</v>
      </c>
      <c r="J2803" t="s" s="11">
        <v>14</v>
      </c>
      <c r="K2803" t="s" s="12">
        <v>14</v>
      </c>
      <c r="L2803" t="s" s="12">
        <v>14</v>
      </c>
      <c r="M2803" t="s" s="10">
        <v>14</v>
      </c>
      <c r="N2803" t="s" s="11">
        <v>14</v>
      </c>
      <c r="O2803" t="s" s="8">
        <v>14</v>
      </c>
      <c r="P2803" t="s" s="8">
        <v>14</v>
      </c>
      <c r="Q2803" t="s" s="12">
        <v>14</v>
      </c>
      <c r="R2803" t="s" s="12">
        <v>14</v>
      </c>
    </row>
    <row r="2804" s="2" customFormat="1" ht="13.5" customHeight="1">
      <c r="B2804" s="13"/>
      <c r="C2804" t="s" s="9">
        <v>16</v>
      </c>
      <c r="D2804" t="s" s="8">
        <v>980</v>
      </c>
      <c r="E2804" t="s" s="9">
        <v>980</v>
      </c>
      <c r="F2804" s="19">
        <v>4</v>
      </c>
      <c r="G2804" s="17">
        <v>4</v>
      </c>
      <c r="H2804" s="19">
        <v>4</v>
      </c>
      <c r="I2804" s="17">
        <v>4</v>
      </c>
      <c r="J2804" t="s" s="11">
        <v>20</v>
      </c>
      <c r="K2804" s="15"/>
      <c r="L2804" t="s" s="16">
        <f>HYPERLINK("http://csr.bu.edu/ftp/asl/asllvd/demos/verify_start_end_handshape_annotations//test_auto_move//signs_mov_separ_signers/Liz_598.mov","MOV")</f>
        <v>21</v>
      </c>
      <c r="M2804" t="s" s="10">
        <v>84</v>
      </c>
      <c r="N2804" s="17">
        <v>10</v>
      </c>
      <c r="O2804" s="18">
        <v>3000</v>
      </c>
      <c r="P2804" s="18">
        <v>3035</v>
      </c>
      <c r="Q2804" s="15"/>
      <c r="R2804" t="s" s="16">
        <f>HYPERLINK("http://secrets.rutgers.edu:8080/data/asl-ftp/asllvd/demos/verify_start_end_handshape_annotations//test_auto_move//signs_mov_separ_signers/Liz_598.mov","MOV")</f>
        <v>21</v>
      </c>
    </row>
    <row r="2805" s="2" customFormat="1" ht="13.5" customHeight="1">
      <c r="B2805" s="13"/>
      <c r="C2805" t="s" s="9">
        <v>23</v>
      </c>
      <c r="D2805" t="s" s="8">
        <v>980</v>
      </c>
      <c r="E2805" t="s" s="9">
        <v>980</v>
      </c>
      <c r="F2805" s="19">
        <v>4</v>
      </c>
      <c r="G2805" s="17">
        <v>4</v>
      </c>
      <c r="H2805" s="19">
        <v>4</v>
      </c>
      <c r="I2805" s="17">
        <v>4</v>
      </c>
      <c r="J2805" t="s" s="11">
        <v>20</v>
      </c>
      <c r="K2805" t="s" s="16">
        <f>HYPERLINK("http://csr.bu.edu/ftp/asl/asllvd/demos/verify_start_end_handshape_annotations//test_auto_move//signs_mov/598.mov","MOV")</f>
        <v>21</v>
      </c>
      <c r="L2805" t="s" s="16">
        <f>HYPERLINK("http://csr.bu.edu/ftp/asl/asllvd/demos/verify_start_end_handshape_annotations//test_auto_move//signs_mov_separ_signers/Tyler_598.mov","MOV")</f>
        <v>21</v>
      </c>
      <c r="M2805" t="s" s="10">
        <v>125</v>
      </c>
      <c r="N2805" s="17">
        <v>10</v>
      </c>
      <c r="O2805" s="18">
        <v>2310</v>
      </c>
      <c r="P2805" s="18">
        <v>2340</v>
      </c>
      <c r="Q2805" t="s" s="16">
        <f>HYPERLINK("http://secrets.rutgers.edu:8080/data/asl-ftp/asllvd/demos/verify_start_end_handshape_annotations//test_auto_move//signs_mov/598.mov","MOV")</f>
        <v>21</v>
      </c>
      <c r="R2805" t="s" s="16">
        <f>HYPERLINK("http://secrets.rutgers.edu:8080/data/asl-ftp/asllvd/demos/verify_start_end_handshape_annotations//test_auto_move//signs_mov_separ_signers/Tyler_598.mov","MOV")</f>
        <v>21</v>
      </c>
    </row>
    <row r="2806" s="2" customFormat="1" ht="13.5" customHeight="1">
      <c r="B2806" s="13"/>
      <c r="C2806" t="s" s="9">
        <v>30</v>
      </c>
      <c r="D2806" t="s" s="8">
        <v>980</v>
      </c>
      <c r="E2806" t="s" s="9">
        <v>980</v>
      </c>
      <c r="F2806" s="19">
        <v>4</v>
      </c>
      <c r="G2806" s="17">
        <v>4</v>
      </c>
      <c r="H2806" s="19">
        <v>4</v>
      </c>
      <c r="I2806" s="17">
        <v>4</v>
      </c>
      <c r="J2806" t="s" s="11">
        <v>20</v>
      </c>
      <c r="K2806" s="15"/>
      <c r="L2806" t="s" s="16">
        <f>HYPERLINK("http://csr.bu.edu/ftp/asl/asllvd/demos/verify_start_end_handshape_annotations//test_auto_move//signs_mov_separ_signers/Brady_598.mov","MOV")</f>
        <v>21</v>
      </c>
      <c r="M2806" t="s" s="10">
        <v>31</v>
      </c>
      <c r="N2806" s="17">
        <v>32</v>
      </c>
      <c r="O2806" s="18">
        <v>120</v>
      </c>
      <c r="P2806" s="18">
        <v>147</v>
      </c>
      <c r="Q2806" s="15"/>
      <c r="R2806" t="s" s="16">
        <f>HYPERLINK("http://secrets.rutgers.edu:8080/data/asl-ftp/asllvd/demos/verify_start_end_handshape_annotations//test_auto_move//signs_mov_separ_signers/Brady_598.mov","MOV")</f>
        <v>21</v>
      </c>
    </row>
    <row r="2807" s="2" customFormat="1" ht="13.5" customHeight="1">
      <c r="B2807" t="s" s="8">
        <v>52</v>
      </c>
      <c r="C2807" t="s" s="9">
        <v>53</v>
      </c>
      <c r="D2807" t="s" s="8">
        <v>53</v>
      </c>
      <c r="E2807" t="s" s="9">
        <v>53</v>
      </c>
      <c r="F2807" t="s" s="10">
        <v>53</v>
      </c>
      <c r="G2807" t="s" s="11">
        <v>53</v>
      </c>
      <c r="H2807" t="s" s="10">
        <v>53</v>
      </c>
      <c r="I2807" t="s" s="11">
        <v>53</v>
      </c>
      <c r="J2807" t="s" s="11">
        <v>53</v>
      </c>
      <c r="K2807" t="s" s="12">
        <v>53</v>
      </c>
      <c r="L2807" t="s" s="12">
        <v>53</v>
      </c>
      <c r="M2807" t="s" s="10">
        <v>53</v>
      </c>
      <c r="N2807" t="s" s="11">
        <v>53</v>
      </c>
      <c r="O2807" t="s" s="8">
        <v>53</v>
      </c>
      <c r="P2807" t="s" s="8">
        <v>53</v>
      </c>
      <c r="Q2807" t="s" s="12">
        <v>53</v>
      </c>
      <c r="R2807" t="s" s="12">
        <v>53</v>
      </c>
    </row>
    <row r="2808" s="2" customFormat="1" ht="13.5" customHeight="1">
      <c r="B2808" s="13"/>
      <c r="C2808" t="s" s="9">
        <v>27</v>
      </c>
      <c r="D2808" t="s" s="8">
        <v>980</v>
      </c>
      <c r="E2808" t="s" s="9">
        <v>981</v>
      </c>
      <c r="F2808" t="s" s="10">
        <v>72</v>
      </c>
      <c r="G2808" t="s" s="11">
        <v>72</v>
      </c>
      <c r="H2808" t="s" s="10">
        <v>72</v>
      </c>
      <c r="I2808" t="s" s="11">
        <v>72</v>
      </c>
      <c r="J2808" t="s" s="11">
        <v>20</v>
      </c>
      <c r="K2808" t="s" s="16">
        <f>HYPERLINK("http://csr.bu.edu/ftp/asl/asllvd/demos/verify_start_end_handshape_annotations//test_auto_move//signs_mov/16306.mov","MOV")</f>
        <v>21</v>
      </c>
      <c r="L2808" t="s" s="16">
        <f>HYPERLINK("http://csr.bu.edu/ftp/asl/asllvd/demos/verify_start_end_handshape_annotations//test_auto_move//signs_mov_separ_signers/Naomi_16306.mov","MOV")</f>
        <v>21</v>
      </c>
      <c r="M2808" t="s" s="10">
        <v>86</v>
      </c>
      <c r="N2808" s="17">
        <v>10</v>
      </c>
      <c r="O2808" s="18">
        <v>3425</v>
      </c>
      <c r="P2808" s="18">
        <v>3462</v>
      </c>
      <c r="Q2808" t="s" s="16">
        <f>HYPERLINK("http://secrets.rutgers.edu:8080/data/asl-ftp/asllvd/demos/verify_start_end_handshape_annotations//test_auto_move//signs_mov/16306.mov","MOV")</f>
        <v>21</v>
      </c>
      <c r="R2808" t="s" s="16">
        <f>HYPERLINK("http://secrets.rutgers.edu:8080/data/asl-ftp/asllvd/demos/verify_start_end_handshape_annotations//test_auto_move//signs_mov_separ_signers/Naomi_16306.mov","MOV")</f>
        <v>21</v>
      </c>
    </row>
    <row r="2809" s="2" customFormat="1" ht="13.5" customHeight="1">
      <c r="B2809" t="s" s="8">
        <v>982</v>
      </c>
      <c r="C2809" t="s" s="9">
        <v>14</v>
      </c>
      <c r="D2809" t="s" s="8">
        <v>14</v>
      </c>
      <c r="E2809" t="s" s="9">
        <v>14</v>
      </c>
      <c r="F2809" t="s" s="10">
        <v>14</v>
      </c>
      <c r="G2809" t="s" s="11">
        <v>14</v>
      </c>
      <c r="H2809" t="s" s="10">
        <v>14</v>
      </c>
      <c r="I2809" t="s" s="11">
        <v>14</v>
      </c>
      <c r="J2809" t="s" s="11">
        <v>14</v>
      </c>
      <c r="K2809" t="s" s="12">
        <v>14</v>
      </c>
      <c r="L2809" t="s" s="12">
        <v>14</v>
      </c>
      <c r="M2809" t="s" s="10">
        <v>14</v>
      </c>
      <c r="N2809" t="s" s="11">
        <v>14</v>
      </c>
      <c r="O2809" t="s" s="8">
        <v>14</v>
      </c>
      <c r="P2809" t="s" s="8">
        <v>14</v>
      </c>
      <c r="Q2809" t="s" s="12">
        <v>14</v>
      </c>
      <c r="R2809" t="s" s="12">
        <v>14</v>
      </c>
    </row>
    <row r="2810" s="2" customFormat="1" ht="13.5" customHeight="1">
      <c r="B2810" s="13"/>
      <c r="C2810" t="s" s="9">
        <v>16</v>
      </c>
      <c r="D2810" t="s" s="8">
        <v>982</v>
      </c>
      <c r="E2810" t="s" s="9">
        <v>982</v>
      </c>
      <c r="F2810" t="s" s="10">
        <v>55</v>
      </c>
      <c r="G2810" s="14"/>
      <c r="H2810" t="s" s="10">
        <v>260</v>
      </c>
      <c r="I2810" s="14"/>
      <c r="J2810" t="s" s="11">
        <v>20</v>
      </c>
      <c r="K2810" s="15"/>
      <c r="L2810" t="s" s="16">
        <f>HYPERLINK("http://csr.bu.edu/ftp/asl/asllvd/demos/verify_start_end_handshape_annotations//test_auto_move//signs_mov_separ_signers/Liz_599.mov","MOV")</f>
        <v>21</v>
      </c>
      <c r="M2810" t="s" s="10">
        <v>84</v>
      </c>
      <c r="N2810" s="17">
        <v>10</v>
      </c>
      <c r="O2810" s="18">
        <v>3535</v>
      </c>
      <c r="P2810" s="18">
        <v>3585</v>
      </c>
      <c r="Q2810" s="15"/>
      <c r="R2810" t="s" s="16">
        <f>HYPERLINK("http://secrets.rutgers.edu:8080/data/asl-ftp/asllvd/demos/verify_start_end_handshape_annotations//test_auto_move//signs_mov_separ_signers/Liz_599.mov","MOV")</f>
        <v>21</v>
      </c>
    </row>
    <row r="2811" s="2" customFormat="1" ht="13.5" customHeight="1">
      <c r="B2811" s="13"/>
      <c r="C2811" t="s" s="9">
        <v>23</v>
      </c>
      <c r="D2811" t="s" s="8">
        <v>982</v>
      </c>
      <c r="E2811" t="s" s="9">
        <v>982</v>
      </c>
      <c r="F2811" t="s" s="10">
        <v>73</v>
      </c>
      <c r="G2811" s="14"/>
      <c r="H2811" t="s" s="10">
        <v>85</v>
      </c>
      <c r="I2811" s="14"/>
      <c r="J2811" t="s" s="11">
        <v>20</v>
      </c>
      <c r="K2811" t="s" s="16">
        <f>HYPERLINK("http://csr.bu.edu/ftp/asl/asllvd/demos/verify_start_end_handshape_annotations//test_auto_move//signs_mov/599.mov","MOV")</f>
        <v>21</v>
      </c>
      <c r="L2811" t="s" s="16">
        <f>HYPERLINK("http://csr.bu.edu/ftp/asl/asllvd/demos/verify_start_end_handshape_annotations//test_auto_move//signs_mov_separ_signers/Tyler_599.mov","MOV")</f>
        <v>21</v>
      </c>
      <c r="M2811" t="s" s="10">
        <v>125</v>
      </c>
      <c r="N2811" s="17">
        <v>10</v>
      </c>
      <c r="O2811" s="18">
        <v>2540</v>
      </c>
      <c r="P2811" s="18">
        <v>2570</v>
      </c>
      <c r="Q2811" t="s" s="16">
        <f>HYPERLINK("http://secrets.rutgers.edu:8080/data/asl-ftp/asllvd/demos/verify_start_end_handshape_annotations//test_auto_move//signs_mov/599.mov","MOV")</f>
        <v>21</v>
      </c>
      <c r="R2811" t="s" s="16">
        <f>HYPERLINK("http://secrets.rutgers.edu:8080/data/asl-ftp/asllvd/demos/verify_start_end_handshape_annotations//test_auto_move//signs_mov_separ_signers/Tyler_599.mov","MOV")</f>
        <v>21</v>
      </c>
    </row>
    <row r="2812" s="2" customFormat="1" ht="13.5" customHeight="1">
      <c r="B2812" s="13"/>
      <c r="C2812" t="s" s="9">
        <v>27</v>
      </c>
      <c r="D2812" t="s" s="8">
        <v>982</v>
      </c>
      <c r="E2812" t="s" s="9">
        <v>982</v>
      </c>
      <c r="F2812" t="s" s="10">
        <v>109</v>
      </c>
      <c r="G2812" s="14"/>
      <c r="H2812" t="s" s="10">
        <v>260</v>
      </c>
      <c r="I2812" s="14"/>
      <c r="J2812" t="s" s="11">
        <v>20</v>
      </c>
      <c r="K2812" s="15"/>
      <c r="L2812" t="s" s="16">
        <f>HYPERLINK("http://csr.bu.edu/ftp/asl/asllvd/demos/verify_start_end_handshape_annotations//test_auto_move//signs_mov_separ_signers/Naomi_599.mov","MOV")</f>
        <v>21</v>
      </c>
      <c r="M2812" t="s" s="10">
        <v>86</v>
      </c>
      <c r="N2812" s="17">
        <v>10</v>
      </c>
      <c r="O2812" s="18">
        <v>3820</v>
      </c>
      <c r="P2812" s="18">
        <v>3840</v>
      </c>
      <c r="Q2812" s="15"/>
      <c r="R2812" t="s" s="16">
        <f>HYPERLINK("http://secrets.rutgers.edu:8080/data/asl-ftp/asllvd/demos/verify_start_end_handshape_annotations//test_auto_move//signs_mov_separ_signers/Naomi_599.mov","MOV")</f>
        <v>21</v>
      </c>
    </row>
    <row r="2813" s="2" customFormat="1" ht="13.5" customHeight="1">
      <c r="B2813" s="13"/>
      <c r="C2813" t="s" s="9">
        <v>30</v>
      </c>
      <c r="D2813" t="s" s="8">
        <v>982</v>
      </c>
      <c r="E2813" t="s" s="9">
        <v>982</v>
      </c>
      <c r="F2813" t="s" s="10">
        <v>152</v>
      </c>
      <c r="G2813" s="14"/>
      <c r="H2813" t="s" s="10">
        <v>260</v>
      </c>
      <c r="I2813" s="14"/>
      <c r="J2813" t="s" s="11">
        <v>20</v>
      </c>
      <c r="K2813" s="15"/>
      <c r="L2813" t="s" s="16">
        <f>HYPERLINK("http://csr.bu.edu/ftp/asl/asllvd/demos/verify_start_end_handshape_annotations//test_auto_move//signs_mov_separ_signers/Brady_599.mov","MOV")</f>
        <v>21</v>
      </c>
      <c r="M2813" t="s" s="10">
        <v>31</v>
      </c>
      <c r="N2813" s="17">
        <v>32</v>
      </c>
      <c r="O2813" s="18">
        <v>654</v>
      </c>
      <c r="P2813" s="18">
        <v>674</v>
      </c>
      <c r="Q2813" s="15"/>
      <c r="R2813" t="s" s="16">
        <f>HYPERLINK("http://secrets.rutgers.edu:8080/data/asl-ftp/asllvd/demos/verify_start_end_handshape_annotations//test_auto_move//signs_mov_separ_signers/Brady_599.mov","MOV")</f>
        <v>21</v>
      </c>
    </row>
    <row r="2814" s="2" customFormat="1" ht="13.5" customHeight="1">
      <c r="B2814" t="s" s="8">
        <v>983</v>
      </c>
      <c r="C2814" t="s" s="9">
        <v>14</v>
      </c>
      <c r="D2814" t="s" s="8">
        <v>14</v>
      </c>
      <c r="E2814" t="s" s="9">
        <v>14</v>
      </c>
      <c r="F2814" t="s" s="10">
        <v>14</v>
      </c>
      <c r="G2814" t="s" s="11">
        <v>14</v>
      </c>
      <c r="H2814" t="s" s="10">
        <v>14</v>
      </c>
      <c r="I2814" t="s" s="11">
        <v>14</v>
      </c>
      <c r="J2814" t="s" s="11">
        <v>14</v>
      </c>
      <c r="K2814" t="s" s="12">
        <v>14</v>
      </c>
      <c r="L2814" t="s" s="12">
        <v>14</v>
      </c>
      <c r="M2814" t="s" s="10">
        <v>14</v>
      </c>
      <c r="N2814" t="s" s="11">
        <v>14</v>
      </c>
      <c r="O2814" t="s" s="8">
        <v>14</v>
      </c>
      <c r="P2814" t="s" s="8">
        <v>14</v>
      </c>
      <c r="Q2814" t="s" s="12">
        <v>14</v>
      </c>
      <c r="R2814" t="s" s="12">
        <v>14</v>
      </c>
    </row>
    <row r="2815" s="2" customFormat="1" ht="13.5" customHeight="1">
      <c r="B2815" s="13"/>
      <c r="C2815" t="s" s="9">
        <v>16</v>
      </c>
      <c r="D2815" t="s" s="8">
        <v>983</v>
      </c>
      <c r="E2815" t="s" s="9">
        <v>984</v>
      </c>
      <c r="F2815" t="s" s="10">
        <v>185</v>
      </c>
      <c r="G2815" t="s" s="11">
        <v>185</v>
      </c>
      <c r="H2815" t="s" s="10">
        <v>244</v>
      </c>
      <c r="I2815" t="s" s="11">
        <v>244</v>
      </c>
      <c r="J2815" t="s" s="11">
        <v>20</v>
      </c>
      <c r="K2815" s="15"/>
      <c r="L2815" t="s" s="16">
        <f>HYPERLINK("http://csr.bu.edu/ftp/asl/asllvd/demos/verify_start_end_handshape_annotations//test_auto_move//signs_mov_separ_signers/Liz_600.mov","MOV")</f>
        <v>21</v>
      </c>
      <c r="M2815" t="s" s="10">
        <v>84</v>
      </c>
      <c r="N2815" s="17">
        <v>11</v>
      </c>
      <c r="O2815" s="18">
        <v>346</v>
      </c>
      <c r="P2815" s="18">
        <v>390</v>
      </c>
      <c r="Q2815" s="15"/>
      <c r="R2815" t="s" s="16">
        <f>HYPERLINK("http://secrets.rutgers.edu:8080/data/asl-ftp/asllvd/demos/verify_start_end_handshape_annotations//test_auto_move//signs_mov_separ_signers/Liz_600.mov","MOV")</f>
        <v>21</v>
      </c>
    </row>
    <row r="2816" s="2" customFormat="1" ht="13.5" customHeight="1">
      <c r="B2816" s="13"/>
      <c r="C2816" t="s" s="9">
        <v>23</v>
      </c>
      <c r="D2816" t="s" s="8">
        <v>983</v>
      </c>
      <c r="E2816" t="s" s="9">
        <v>985</v>
      </c>
      <c r="F2816" t="s" s="10">
        <v>185</v>
      </c>
      <c r="G2816" t="s" s="11">
        <v>185</v>
      </c>
      <c r="H2816" t="s" s="10">
        <v>244</v>
      </c>
      <c r="I2816" t="s" s="11">
        <v>244</v>
      </c>
      <c r="J2816" t="s" s="11">
        <v>20</v>
      </c>
      <c r="K2816" t="s" s="16">
        <f>HYPERLINK("http://csr.bu.edu/ftp/asl/asllvd/demos/verify_start_end_handshape_annotations//test_auto_move//signs_mov/600.mov","MOV")</f>
        <v>21</v>
      </c>
      <c r="L2816" t="s" s="16">
        <f>HYPERLINK("http://csr.bu.edu/ftp/asl/asllvd/demos/verify_start_end_handshape_annotations//test_auto_move//signs_mov_separ_signers/Tyler_600.mov","MOV")</f>
        <v>21</v>
      </c>
      <c r="M2816" t="s" s="10">
        <v>125</v>
      </c>
      <c r="N2816" s="17">
        <v>10</v>
      </c>
      <c r="O2816" s="18">
        <v>3286</v>
      </c>
      <c r="P2816" s="18">
        <v>3335</v>
      </c>
      <c r="Q2816" t="s" s="16">
        <f>HYPERLINK("http://secrets.rutgers.edu:8080/data/asl-ftp/asllvd/demos/verify_start_end_handshape_annotations//test_auto_move//signs_mov/600.mov","MOV")</f>
        <v>21</v>
      </c>
      <c r="R2816" t="s" s="16">
        <f>HYPERLINK("http://secrets.rutgers.edu:8080/data/asl-ftp/asllvd/demos/verify_start_end_handshape_annotations//test_auto_move//signs_mov_separ_signers/Tyler_600.mov","MOV")</f>
        <v>21</v>
      </c>
    </row>
    <row r="2817" s="2" customFormat="1" ht="13.5" customHeight="1">
      <c r="B2817" s="13"/>
      <c r="C2817" t="s" s="9">
        <v>27</v>
      </c>
      <c r="D2817" t="s" s="8">
        <v>983</v>
      </c>
      <c r="E2817" t="s" s="9">
        <v>984</v>
      </c>
      <c r="F2817" t="s" s="10">
        <v>72</v>
      </c>
      <c r="G2817" t="s" s="11">
        <v>72</v>
      </c>
      <c r="H2817" t="s" s="10">
        <v>244</v>
      </c>
      <c r="I2817" t="s" s="11">
        <v>244</v>
      </c>
      <c r="J2817" t="s" s="11">
        <v>20</v>
      </c>
      <c r="K2817" s="15"/>
      <c r="L2817" t="s" s="16">
        <f>HYPERLINK("http://csr.bu.edu/ftp/asl/asllvd/demos/verify_start_end_handshape_annotations//test_auto_move//signs_mov_separ_signers/Naomi_600.mov","MOV")</f>
        <v>21</v>
      </c>
      <c r="M2817" t="s" s="10">
        <v>86</v>
      </c>
      <c r="N2817" s="17">
        <v>10</v>
      </c>
      <c r="O2817" s="18">
        <v>4115</v>
      </c>
      <c r="P2817" s="18">
        <v>4150</v>
      </c>
      <c r="Q2817" s="15"/>
      <c r="R2817" t="s" s="16">
        <f>HYPERLINK("http://secrets.rutgers.edu:8080/data/asl-ftp/asllvd/demos/verify_start_end_handshape_annotations//test_auto_move//signs_mov_separ_signers/Naomi_600.mov","MOV")</f>
        <v>21</v>
      </c>
    </row>
    <row r="2818" s="2" customFormat="1" ht="13.5" customHeight="1">
      <c r="B2818" s="13"/>
      <c r="C2818" t="s" s="9">
        <v>30</v>
      </c>
      <c r="D2818" t="s" s="8">
        <v>983</v>
      </c>
      <c r="E2818" t="s" s="9">
        <v>984</v>
      </c>
      <c r="F2818" t="s" s="10">
        <v>185</v>
      </c>
      <c r="G2818" t="s" s="11">
        <v>185</v>
      </c>
      <c r="H2818" t="s" s="10">
        <v>244</v>
      </c>
      <c r="I2818" t="s" s="11">
        <v>244</v>
      </c>
      <c r="J2818" t="s" s="11">
        <v>20</v>
      </c>
      <c r="K2818" s="15"/>
      <c r="L2818" t="s" s="16">
        <f>HYPERLINK("http://csr.bu.edu/ftp/asl/asllvd/demos/verify_start_end_handshape_annotations//test_auto_move//signs_mov_separ_signers/Brady_600.mov","MOV")</f>
        <v>21</v>
      </c>
      <c r="M2818" t="s" s="10">
        <v>31</v>
      </c>
      <c r="N2818" s="17">
        <v>32</v>
      </c>
      <c r="O2818" s="18">
        <v>1034</v>
      </c>
      <c r="P2818" s="18">
        <v>1056</v>
      </c>
      <c r="Q2818" s="15"/>
      <c r="R2818" t="s" s="16">
        <f>HYPERLINK("http://secrets.rutgers.edu:8080/data/asl-ftp/asllvd/demos/verify_start_end_handshape_annotations//test_auto_move//signs_mov_separ_signers/Brady_600.mov","MOV")</f>
        <v>21</v>
      </c>
    </row>
    <row r="2819" s="2" customFormat="1" ht="13.5" customHeight="1">
      <c r="B2819" t="s" s="8">
        <v>986</v>
      </c>
      <c r="C2819" t="s" s="9">
        <v>14</v>
      </c>
      <c r="D2819" t="s" s="8">
        <v>14</v>
      </c>
      <c r="E2819" t="s" s="9">
        <v>14</v>
      </c>
      <c r="F2819" t="s" s="10">
        <v>14</v>
      </c>
      <c r="G2819" t="s" s="11">
        <v>14</v>
      </c>
      <c r="H2819" t="s" s="10">
        <v>14</v>
      </c>
      <c r="I2819" t="s" s="11">
        <v>14</v>
      </c>
      <c r="J2819" t="s" s="11">
        <v>14</v>
      </c>
      <c r="K2819" t="s" s="12">
        <v>14</v>
      </c>
      <c r="L2819" t="s" s="12">
        <v>14</v>
      </c>
      <c r="M2819" t="s" s="10">
        <v>14</v>
      </c>
      <c r="N2819" t="s" s="11">
        <v>14</v>
      </c>
      <c r="O2819" t="s" s="8">
        <v>14</v>
      </c>
      <c r="P2819" t="s" s="8">
        <v>14</v>
      </c>
      <c r="Q2819" t="s" s="12">
        <v>14</v>
      </c>
      <c r="R2819" t="s" s="12">
        <v>14</v>
      </c>
    </row>
    <row r="2820" s="2" customFormat="1" ht="13.5" customHeight="1">
      <c r="B2820" s="13"/>
      <c r="C2820" t="s" s="9">
        <v>16</v>
      </c>
      <c r="D2820" t="s" s="8">
        <v>986</v>
      </c>
      <c r="E2820" t="s" s="9">
        <v>986</v>
      </c>
      <c r="F2820" s="19">
        <v>1</v>
      </c>
      <c r="G2820" t="s" s="11">
        <v>68</v>
      </c>
      <c r="H2820" s="19">
        <v>1</v>
      </c>
      <c r="I2820" t="s" s="11">
        <v>68</v>
      </c>
      <c r="J2820" t="s" s="11">
        <v>20</v>
      </c>
      <c r="K2820" s="15"/>
      <c r="L2820" t="s" s="16">
        <f>HYPERLINK("http://csr.bu.edu/ftp/asl/asllvd/demos/verify_start_end_handshape_annotations//test_auto_move//signs_mov_separ_signers/Liz_602.mov","MOV")</f>
        <v>21</v>
      </c>
      <c r="M2820" t="s" s="10">
        <v>84</v>
      </c>
      <c r="N2820" s="17">
        <v>11</v>
      </c>
      <c r="O2820" s="18">
        <v>855</v>
      </c>
      <c r="P2820" s="18">
        <v>865</v>
      </c>
      <c r="Q2820" s="15"/>
      <c r="R2820" t="s" s="16">
        <f>HYPERLINK("http://secrets.rutgers.edu:8080/data/asl-ftp/asllvd/demos/verify_start_end_handshape_annotations//test_auto_move//signs_mov_separ_signers/Liz_602.mov","MOV")</f>
        <v>21</v>
      </c>
    </row>
    <row r="2821" s="2" customFormat="1" ht="13.5" customHeight="1">
      <c r="B2821" s="13"/>
      <c r="C2821" t="s" s="9">
        <v>23</v>
      </c>
      <c r="D2821" t="s" s="8">
        <v>986</v>
      </c>
      <c r="E2821" t="s" s="9">
        <v>986</v>
      </c>
      <c r="F2821" s="19">
        <v>1</v>
      </c>
      <c r="G2821" t="s" s="11">
        <v>68</v>
      </c>
      <c r="H2821" s="19">
        <v>1</v>
      </c>
      <c r="I2821" t="s" s="11">
        <v>68</v>
      </c>
      <c r="J2821" t="s" s="11">
        <v>20</v>
      </c>
      <c r="K2821" t="s" s="16">
        <f>HYPERLINK("http://csr.bu.edu/ftp/asl/asllvd/demos/verify_start_end_handshape_annotations//test_auto_move//signs_mov/602.mov","MOV")</f>
        <v>21</v>
      </c>
      <c r="L2821" t="s" s="16">
        <f>HYPERLINK("http://csr.bu.edu/ftp/asl/asllvd/demos/verify_start_end_handshape_annotations//test_auto_move//signs_mov_separ_signers/Tyler_602.mov","MOV")</f>
        <v>21</v>
      </c>
      <c r="M2821" t="s" s="10">
        <v>125</v>
      </c>
      <c r="N2821" s="17">
        <v>11</v>
      </c>
      <c r="O2821" s="18">
        <v>842</v>
      </c>
      <c r="P2821" s="18">
        <v>866</v>
      </c>
      <c r="Q2821" t="s" s="16">
        <f>HYPERLINK("http://secrets.rutgers.edu:8080/data/asl-ftp/asllvd/demos/verify_start_end_handshape_annotations//test_auto_move//signs_mov/602.mov","MOV")</f>
        <v>21</v>
      </c>
      <c r="R2821" t="s" s="16">
        <f>HYPERLINK("http://secrets.rutgers.edu:8080/data/asl-ftp/asllvd/demos/verify_start_end_handshape_annotations//test_auto_move//signs_mov_separ_signers/Tyler_602.mov","MOV")</f>
        <v>21</v>
      </c>
    </row>
    <row r="2822" s="2" customFormat="1" ht="13.5" customHeight="1">
      <c r="B2822" s="13"/>
      <c r="C2822" t="s" s="9">
        <v>27</v>
      </c>
      <c r="D2822" t="s" s="8">
        <v>986</v>
      </c>
      <c r="E2822" t="s" s="9">
        <v>986</v>
      </c>
      <c r="F2822" s="19">
        <v>1</v>
      </c>
      <c r="G2822" t="s" s="11">
        <v>105</v>
      </c>
      <c r="H2822" s="19">
        <v>1</v>
      </c>
      <c r="I2822" t="s" s="11">
        <v>105</v>
      </c>
      <c r="J2822" t="s" s="11">
        <v>20</v>
      </c>
      <c r="K2822" s="15"/>
      <c r="L2822" t="s" s="16">
        <f>HYPERLINK("http://csr.bu.edu/ftp/asl/asllvd/demos/verify_start_end_handshape_annotations//test_auto_move//signs_mov_separ_signers/Naomi_602.mov","MOV")</f>
        <v>21</v>
      </c>
      <c r="M2822" t="s" s="10">
        <v>86</v>
      </c>
      <c r="N2822" s="17">
        <v>11</v>
      </c>
      <c r="O2822" s="18">
        <v>991</v>
      </c>
      <c r="P2822" s="18">
        <v>1025</v>
      </c>
      <c r="Q2822" s="15"/>
      <c r="R2822" t="s" s="16">
        <f>HYPERLINK("http://secrets.rutgers.edu:8080/data/asl-ftp/asllvd/demos/verify_start_end_handshape_annotations//test_auto_move//signs_mov_separ_signers/Naomi_602.mov","MOV")</f>
        <v>21</v>
      </c>
    </row>
    <row r="2823" s="2" customFormat="1" ht="13.5" customHeight="1">
      <c r="B2823" s="13"/>
      <c r="C2823" t="s" s="9">
        <v>30</v>
      </c>
      <c r="D2823" t="s" s="8">
        <v>986</v>
      </c>
      <c r="E2823" t="s" s="9">
        <v>986</v>
      </c>
      <c r="F2823" s="19">
        <v>1</v>
      </c>
      <c r="G2823" t="s" s="11">
        <v>68</v>
      </c>
      <c r="H2823" s="19">
        <v>1</v>
      </c>
      <c r="I2823" t="s" s="11">
        <v>68</v>
      </c>
      <c r="J2823" t="s" s="11">
        <v>20</v>
      </c>
      <c r="K2823" s="15"/>
      <c r="L2823" t="s" s="16">
        <f>HYPERLINK("http://csr.bu.edu/ftp/asl/asllvd/demos/verify_start_end_handshape_annotations//test_auto_move//signs_mov_separ_signers/Brady_602.mov","MOV")</f>
        <v>21</v>
      </c>
      <c r="M2823" t="s" s="10">
        <v>31</v>
      </c>
      <c r="N2823" s="17">
        <v>32</v>
      </c>
      <c r="O2823" s="18">
        <v>1816</v>
      </c>
      <c r="P2823" s="18">
        <v>1832</v>
      </c>
      <c r="Q2823" s="15"/>
      <c r="R2823" t="s" s="16">
        <f>HYPERLINK("http://secrets.rutgers.edu:8080/data/asl-ftp/asllvd/demos/verify_start_end_handshape_annotations//test_auto_move//signs_mov_separ_signers/Brady_602.mov","MOV")</f>
        <v>21</v>
      </c>
    </row>
    <row r="2824" s="2" customFormat="1" ht="13.5" customHeight="1">
      <c r="B2824" t="s" s="8">
        <v>987</v>
      </c>
      <c r="C2824" t="s" s="9">
        <v>14</v>
      </c>
      <c r="D2824" t="s" s="8">
        <v>14</v>
      </c>
      <c r="E2824" t="s" s="9">
        <v>14</v>
      </c>
      <c r="F2824" t="s" s="10">
        <v>14</v>
      </c>
      <c r="G2824" t="s" s="11">
        <v>14</v>
      </c>
      <c r="H2824" t="s" s="10">
        <v>14</v>
      </c>
      <c r="I2824" t="s" s="11">
        <v>14</v>
      </c>
      <c r="J2824" t="s" s="11">
        <v>14</v>
      </c>
      <c r="K2824" t="s" s="12">
        <v>14</v>
      </c>
      <c r="L2824" t="s" s="12">
        <v>14</v>
      </c>
      <c r="M2824" t="s" s="10">
        <v>14</v>
      </c>
      <c r="N2824" t="s" s="11">
        <v>14</v>
      </c>
      <c r="O2824" t="s" s="8">
        <v>14</v>
      </c>
      <c r="P2824" t="s" s="8">
        <v>14</v>
      </c>
      <c r="Q2824" t="s" s="12">
        <v>14</v>
      </c>
      <c r="R2824" t="s" s="12">
        <v>14</v>
      </c>
    </row>
    <row r="2825" s="2" customFormat="1" ht="13.5" customHeight="1">
      <c r="B2825" s="13"/>
      <c r="C2825" t="s" s="9">
        <v>16</v>
      </c>
      <c r="D2825" t="s" s="8">
        <v>987</v>
      </c>
      <c r="E2825" t="s" s="9">
        <v>987</v>
      </c>
      <c r="F2825" s="19">
        <v>1</v>
      </c>
      <c r="G2825" s="17">
        <v>1</v>
      </c>
      <c r="H2825" s="19">
        <v>1</v>
      </c>
      <c r="I2825" s="17">
        <v>1</v>
      </c>
      <c r="J2825" t="s" s="11">
        <v>20</v>
      </c>
      <c r="K2825" s="15"/>
      <c r="L2825" t="s" s="16">
        <f>HYPERLINK("http://csr.bu.edu/ftp/asl/asllvd/demos/verify_start_end_handshape_annotations//test_auto_move//signs_mov_separ_signers/Liz_604.mov","MOV")</f>
        <v>21</v>
      </c>
      <c r="M2825" t="s" s="10">
        <v>84</v>
      </c>
      <c r="N2825" s="17">
        <v>11</v>
      </c>
      <c r="O2825" s="18">
        <v>1296</v>
      </c>
      <c r="P2825" s="18">
        <v>1345</v>
      </c>
      <c r="Q2825" s="15"/>
      <c r="R2825" t="s" s="16">
        <f>HYPERLINK("http://secrets.rutgers.edu:8080/data/asl-ftp/asllvd/demos/verify_start_end_handshape_annotations//test_auto_move//signs_mov_separ_signers/Liz_604.mov","MOV")</f>
        <v>21</v>
      </c>
    </row>
    <row r="2826" s="2" customFormat="1" ht="13.5" customHeight="1">
      <c r="B2826" s="13"/>
      <c r="C2826" t="s" s="9">
        <v>23</v>
      </c>
      <c r="D2826" t="s" s="8">
        <v>987</v>
      </c>
      <c r="E2826" t="s" s="9">
        <v>987</v>
      </c>
      <c r="F2826" s="19">
        <v>1</v>
      </c>
      <c r="G2826" s="17">
        <v>1</v>
      </c>
      <c r="H2826" s="19">
        <v>1</v>
      </c>
      <c r="I2826" t="s" s="11">
        <v>268</v>
      </c>
      <c r="J2826" t="s" s="11">
        <v>20</v>
      </c>
      <c r="K2826" t="s" s="16">
        <f>HYPERLINK("http://csr.bu.edu/ftp/asl/asllvd/demos/verify_start_end_handshape_annotations//test_auto_move//signs_mov/604.mov","MOV")</f>
        <v>21</v>
      </c>
      <c r="L2826" t="s" s="16">
        <f>HYPERLINK("http://csr.bu.edu/ftp/asl/asllvd/demos/verify_start_end_handshape_annotations//test_auto_move//signs_mov_separ_signers/Tyler_604.mov","MOV")</f>
        <v>21</v>
      </c>
      <c r="M2826" t="s" s="10">
        <v>125</v>
      </c>
      <c r="N2826" s="17">
        <v>11</v>
      </c>
      <c r="O2826" s="18">
        <v>1305</v>
      </c>
      <c r="P2826" s="18">
        <v>1341</v>
      </c>
      <c r="Q2826" t="s" s="16">
        <f>HYPERLINK("http://secrets.rutgers.edu:8080/data/asl-ftp/asllvd/demos/verify_start_end_handshape_annotations//test_auto_move//signs_mov/604.mov","MOV")</f>
        <v>21</v>
      </c>
      <c r="R2826" t="s" s="16">
        <f>HYPERLINK("http://secrets.rutgers.edu:8080/data/asl-ftp/asllvd/demos/verify_start_end_handshape_annotations//test_auto_move//signs_mov_separ_signers/Tyler_604.mov","MOV")</f>
        <v>21</v>
      </c>
    </row>
    <row r="2827" s="2" customFormat="1" ht="13.5" customHeight="1">
      <c r="B2827" s="13"/>
      <c r="C2827" t="s" s="9">
        <v>30</v>
      </c>
      <c r="D2827" t="s" s="8">
        <v>987</v>
      </c>
      <c r="E2827" t="s" s="9">
        <v>987</v>
      </c>
      <c r="F2827" s="19">
        <v>1</v>
      </c>
      <c r="G2827" s="17">
        <v>1</v>
      </c>
      <c r="H2827" s="19">
        <v>1</v>
      </c>
      <c r="I2827" s="17">
        <v>1</v>
      </c>
      <c r="J2827" t="s" s="11">
        <v>20</v>
      </c>
      <c r="K2827" s="15"/>
      <c r="L2827" t="s" s="16">
        <f>HYPERLINK("http://csr.bu.edu/ftp/asl/asllvd/demos/verify_start_end_handshape_annotations//test_auto_move//signs_mov_separ_signers/Brady_604.mov","MOV")</f>
        <v>21</v>
      </c>
      <c r="M2827" t="s" s="10">
        <v>31</v>
      </c>
      <c r="N2827" s="17">
        <v>32</v>
      </c>
      <c r="O2827" s="18">
        <v>2309</v>
      </c>
      <c r="P2827" s="18">
        <v>2348</v>
      </c>
      <c r="Q2827" s="15"/>
      <c r="R2827" t="s" s="16">
        <f>HYPERLINK("http://secrets.rutgers.edu:8080/data/asl-ftp/asllvd/demos/verify_start_end_handshape_annotations//test_auto_move//signs_mov_separ_signers/Brady_604.mov","MOV")</f>
        <v>21</v>
      </c>
    </row>
    <row r="2828" s="2" customFormat="1" ht="13.5" customHeight="1">
      <c r="B2828" t="s" s="8">
        <v>52</v>
      </c>
      <c r="C2828" t="s" s="9">
        <v>53</v>
      </c>
      <c r="D2828" t="s" s="8">
        <v>53</v>
      </c>
      <c r="E2828" t="s" s="9">
        <v>53</v>
      </c>
      <c r="F2828" t="s" s="10">
        <v>53</v>
      </c>
      <c r="G2828" t="s" s="11">
        <v>53</v>
      </c>
      <c r="H2828" t="s" s="10">
        <v>53</v>
      </c>
      <c r="I2828" t="s" s="11">
        <v>53</v>
      </c>
      <c r="J2828" t="s" s="11">
        <v>53</v>
      </c>
      <c r="K2828" t="s" s="12">
        <v>53</v>
      </c>
      <c r="L2828" t="s" s="12">
        <v>53</v>
      </c>
      <c r="M2828" t="s" s="10">
        <v>53</v>
      </c>
      <c r="N2828" t="s" s="11">
        <v>53</v>
      </c>
      <c r="O2828" t="s" s="8">
        <v>53</v>
      </c>
      <c r="P2828" t="s" s="8">
        <v>53</v>
      </c>
      <c r="Q2828" t="s" s="12">
        <v>53</v>
      </c>
      <c r="R2828" t="s" s="12">
        <v>53</v>
      </c>
    </row>
    <row r="2829" s="2" customFormat="1" ht="13.5" customHeight="1">
      <c r="B2829" s="13"/>
      <c r="C2829" t="s" s="9">
        <v>27</v>
      </c>
      <c r="D2829" t="s" s="8">
        <v>987</v>
      </c>
      <c r="E2829" t="s" s="9">
        <v>988</v>
      </c>
      <c r="F2829" t="s" s="10">
        <v>268</v>
      </c>
      <c r="G2829" t="s" s="11">
        <v>268</v>
      </c>
      <c r="H2829" t="s" s="10">
        <v>268</v>
      </c>
      <c r="I2829" t="s" s="11">
        <v>268</v>
      </c>
      <c r="J2829" t="s" s="11">
        <v>20</v>
      </c>
      <c r="K2829" t="s" s="16">
        <f>HYPERLINK("http://csr.bu.edu/ftp/asl/asllvd/demos/verify_start_end_handshape_annotations//test_auto_move//signs_mov/16307.mov","MOV")</f>
        <v>21</v>
      </c>
      <c r="L2829" t="s" s="16">
        <f>HYPERLINK("http://csr.bu.edu/ftp/asl/asllvd/demos/verify_start_end_handshape_annotations//test_auto_move//signs_mov_separ_signers/Naomi_16307.mov","MOV")</f>
        <v>21</v>
      </c>
      <c r="M2829" t="s" s="10">
        <v>86</v>
      </c>
      <c r="N2829" s="17">
        <v>11</v>
      </c>
      <c r="O2829" s="18">
        <v>1580</v>
      </c>
      <c r="P2829" s="18">
        <v>1625</v>
      </c>
      <c r="Q2829" t="s" s="16">
        <f>HYPERLINK("http://secrets.rutgers.edu:8080/data/asl-ftp/asllvd/demos/verify_start_end_handshape_annotations//test_auto_move//signs_mov/16307.mov","MOV")</f>
        <v>21</v>
      </c>
      <c r="R2829" t="s" s="16">
        <f>HYPERLINK("http://secrets.rutgers.edu:8080/data/asl-ftp/asllvd/demos/verify_start_end_handshape_annotations//test_auto_move//signs_mov_separ_signers/Naomi_16307.mov","MOV")</f>
        <v>21</v>
      </c>
    </row>
    <row r="2830" s="2" customFormat="1" ht="13.5" customHeight="1">
      <c r="B2830" t="s" s="8">
        <v>51</v>
      </c>
      <c r="C2830" t="s" s="9">
        <v>14</v>
      </c>
      <c r="D2830" t="s" s="8">
        <v>14</v>
      </c>
      <c r="E2830" t="s" s="9">
        <v>14</v>
      </c>
      <c r="F2830" t="s" s="10">
        <v>14</v>
      </c>
      <c r="G2830" t="s" s="11">
        <v>14</v>
      </c>
      <c r="H2830" t="s" s="10">
        <v>14</v>
      </c>
      <c r="I2830" t="s" s="11">
        <v>14</v>
      </c>
      <c r="J2830" t="s" s="11">
        <v>14</v>
      </c>
      <c r="K2830" t="s" s="12">
        <v>14</v>
      </c>
      <c r="L2830" t="s" s="12">
        <v>14</v>
      </c>
      <c r="M2830" t="s" s="10">
        <v>14</v>
      </c>
      <c r="N2830" t="s" s="11">
        <v>14</v>
      </c>
      <c r="O2830" t="s" s="8">
        <v>14</v>
      </c>
      <c r="P2830" t="s" s="8">
        <v>14</v>
      </c>
      <c r="Q2830" t="s" s="12">
        <v>14</v>
      </c>
      <c r="R2830" t="s" s="12">
        <v>14</v>
      </c>
    </row>
    <row r="2831" s="2" customFormat="1" ht="13.5" customHeight="1">
      <c r="B2831" s="13"/>
      <c r="C2831" t="s" s="9">
        <v>16</v>
      </c>
      <c r="D2831" t="s" s="8">
        <v>51</v>
      </c>
      <c r="E2831" t="s" s="9">
        <v>51</v>
      </c>
      <c r="F2831" t="s" s="10">
        <v>51</v>
      </c>
      <c r="G2831" s="14"/>
      <c r="H2831" t="s" s="10">
        <v>51</v>
      </c>
      <c r="I2831" s="14"/>
      <c r="J2831" t="s" s="11">
        <v>20</v>
      </c>
      <c r="K2831" s="15"/>
      <c r="L2831" t="s" s="16">
        <f>HYPERLINK("http://csr.bu.edu/ftp/asl/asllvd/demos/verify_start_end_handshape_annotations//test_auto_move//signs_mov_separ_signers/Liz_605.mov","MOV")</f>
        <v>21</v>
      </c>
      <c r="M2831" t="s" s="10">
        <v>84</v>
      </c>
      <c r="N2831" s="17">
        <v>11</v>
      </c>
      <c r="O2831" s="18">
        <v>1620</v>
      </c>
      <c r="P2831" s="18">
        <v>1625</v>
      </c>
      <c r="Q2831" s="15"/>
      <c r="R2831" t="s" s="16">
        <f>HYPERLINK("http://secrets.rutgers.edu:8080/data/asl-ftp/asllvd/demos/verify_start_end_handshape_annotations//test_auto_move//signs_mov_separ_signers/Liz_605.mov","MOV")</f>
        <v>21</v>
      </c>
    </row>
    <row r="2832" s="2" customFormat="1" ht="13.5" customHeight="1">
      <c r="B2832" s="13"/>
      <c r="C2832" t="s" s="9">
        <v>23</v>
      </c>
      <c r="D2832" t="s" s="8">
        <v>51</v>
      </c>
      <c r="E2832" t="s" s="9">
        <v>51</v>
      </c>
      <c r="F2832" t="s" s="10">
        <v>51</v>
      </c>
      <c r="G2832" s="14"/>
      <c r="H2832" t="s" s="10">
        <v>51</v>
      </c>
      <c r="I2832" s="14"/>
      <c r="J2832" t="s" s="11">
        <v>20</v>
      </c>
      <c r="K2832" t="s" s="16">
        <f>HYPERLINK("http://csr.bu.edu/ftp/asl/asllvd/demos/verify_start_end_handshape_annotations//test_auto_move//signs_mov/605.mov","MOV")</f>
        <v>21</v>
      </c>
      <c r="L2832" t="s" s="16">
        <f>HYPERLINK("http://csr.bu.edu/ftp/asl/asllvd/demos/verify_start_end_handshape_annotations//test_auto_move//signs_mov_separ_signers/Tyler_605.mov","MOV")</f>
        <v>21</v>
      </c>
      <c r="M2832" t="s" s="10">
        <v>125</v>
      </c>
      <c r="N2832" s="17">
        <v>11</v>
      </c>
      <c r="O2832" s="18">
        <v>1510</v>
      </c>
      <c r="P2832" s="18">
        <v>1556</v>
      </c>
      <c r="Q2832" t="s" s="16">
        <f>HYPERLINK("http://secrets.rutgers.edu:8080/data/asl-ftp/asllvd/demos/verify_start_end_handshape_annotations//test_auto_move//signs_mov/605.mov","MOV")</f>
        <v>21</v>
      </c>
      <c r="R2832" t="s" s="16">
        <f>HYPERLINK("http://secrets.rutgers.edu:8080/data/asl-ftp/asllvd/demos/verify_start_end_handshape_annotations//test_auto_move//signs_mov_separ_signers/Tyler_605.mov","MOV")</f>
        <v>21</v>
      </c>
    </row>
    <row r="2833" s="2" customFormat="1" ht="13.5" customHeight="1">
      <c r="B2833" s="13"/>
      <c r="C2833" t="s" s="9">
        <v>27</v>
      </c>
      <c r="D2833" t="s" s="8">
        <v>51</v>
      </c>
      <c r="E2833" t="s" s="9">
        <v>51</v>
      </c>
      <c r="F2833" t="s" s="10">
        <v>51</v>
      </c>
      <c r="G2833" s="14"/>
      <c r="H2833" t="s" s="10">
        <v>51</v>
      </c>
      <c r="I2833" s="14"/>
      <c r="J2833" t="s" s="11">
        <v>20</v>
      </c>
      <c r="K2833" s="15"/>
      <c r="L2833" t="s" s="16">
        <f>HYPERLINK("http://csr.bu.edu/ftp/asl/asllvd/demos/verify_start_end_handshape_annotations//test_auto_move//signs_mov_separ_signers/Naomi_605.mov","MOV")</f>
        <v>21</v>
      </c>
      <c r="M2833" t="s" s="10">
        <v>86</v>
      </c>
      <c r="N2833" s="17">
        <v>11</v>
      </c>
      <c r="O2833" s="18">
        <v>1875</v>
      </c>
      <c r="P2833" s="18">
        <v>1955</v>
      </c>
      <c r="Q2833" s="15"/>
      <c r="R2833" t="s" s="16">
        <f>HYPERLINK("http://secrets.rutgers.edu:8080/data/asl-ftp/asllvd/demos/verify_start_end_handshape_annotations//test_auto_move//signs_mov_separ_signers/Naomi_605.mov","MOV")</f>
        <v>21</v>
      </c>
    </row>
    <row r="2834" s="2" customFormat="1" ht="13.5" customHeight="1">
      <c r="B2834" s="13"/>
      <c r="C2834" t="s" s="9">
        <v>30</v>
      </c>
      <c r="D2834" t="s" s="8">
        <v>51</v>
      </c>
      <c r="E2834" t="s" s="9">
        <v>51</v>
      </c>
      <c r="F2834" t="s" s="10">
        <v>51</v>
      </c>
      <c r="G2834" s="14"/>
      <c r="H2834" t="s" s="10">
        <v>51</v>
      </c>
      <c r="I2834" s="14"/>
      <c r="J2834" t="s" s="11">
        <v>20</v>
      </c>
      <c r="K2834" s="15"/>
      <c r="L2834" t="s" s="16">
        <f>HYPERLINK("http://csr.bu.edu/ftp/asl/asllvd/demos/verify_start_end_handshape_annotations//test_auto_move//signs_mov_separ_signers/Brady_605.mov","MOV")</f>
        <v>21</v>
      </c>
      <c r="M2834" t="s" s="10">
        <v>31</v>
      </c>
      <c r="N2834" s="17">
        <v>32</v>
      </c>
      <c r="O2834" s="18">
        <v>2583</v>
      </c>
      <c r="P2834" s="18">
        <v>2609</v>
      </c>
      <c r="Q2834" s="15"/>
      <c r="R2834" t="s" s="16">
        <f>HYPERLINK("http://secrets.rutgers.edu:8080/data/asl-ftp/asllvd/demos/verify_start_end_handshape_annotations//test_auto_move//signs_mov_separ_signers/Brady_605.mov","MOV")</f>
        <v>21</v>
      </c>
    </row>
    <row r="2835" s="2" customFormat="1" ht="13.5" customHeight="1">
      <c r="B2835" t="s" s="8">
        <v>989</v>
      </c>
      <c r="C2835" t="s" s="9">
        <v>14</v>
      </c>
      <c r="D2835" t="s" s="8">
        <v>14</v>
      </c>
      <c r="E2835" t="s" s="9">
        <v>14</v>
      </c>
      <c r="F2835" t="s" s="10">
        <v>14</v>
      </c>
      <c r="G2835" t="s" s="11">
        <v>14</v>
      </c>
      <c r="H2835" t="s" s="10">
        <v>14</v>
      </c>
      <c r="I2835" t="s" s="11">
        <v>14</v>
      </c>
      <c r="J2835" t="s" s="11">
        <v>14</v>
      </c>
      <c r="K2835" t="s" s="12">
        <v>14</v>
      </c>
      <c r="L2835" t="s" s="12">
        <v>14</v>
      </c>
      <c r="M2835" t="s" s="10">
        <v>14</v>
      </c>
      <c r="N2835" t="s" s="11">
        <v>14</v>
      </c>
      <c r="O2835" t="s" s="8">
        <v>14</v>
      </c>
      <c r="P2835" t="s" s="8">
        <v>14</v>
      </c>
      <c r="Q2835" t="s" s="12">
        <v>14</v>
      </c>
      <c r="R2835" t="s" s="12">
        <v>14</v>
      </c>
    </row>
    <row r="2836" s="2" customFormat="1" ht="13.5" customHeight="1">
      <c r="B2836" s="13"/>
      <c r="C2836" t="s" s="9">
        <v>16</v>
      </c>
      <c r="D2836" t="s" s="8">
        <v>989</v>
      </c>
      <c r="E2836" t="s" s="9">
        <v>989</v>
      </c>
      <c r="F2836" t="s" s="10">
        <v>51</v>
      </c>
      <c r="G2836" s="14"/>
      <c r="H2836" t="s" s="10">
        <v>51</v>
      </c>
      <c r="I2836" s="14"/>
      <c r="J2836" t="s" s="11">
        <v>20</v>
      </c>
      <c r="K2836" s="15"/>
      <c r="L2836" t="s" s="16">
        <f>HYPERLINK("http://csr.bu.edu/ftp/asl/asllvd/demos/verify_start_end_handshape_annotations//test_auto_move//signs_mov_separ_signers/Liz_606.mov","MOV")</f>
        <v>21</v>
      </c>
      <c r="M2836" t="s" s="10">
        <v>84</v>
      </c>
      <c r="N2836" s="17">
        <v>11</v>
      </c>
      <c r="O2836" s="18">
        <v>2085</v>
      </c>
      <c r="P2836" s="18">
        <v>2116</v>
      </c>
      <c r="Q2836" s="15"/>
      <c r="R2836" t="s" s="16">
        <f>HYPERLINK("http://secrets.rutgers.edu:8080/data/asl-ftp/asllvd/demos/verify_start_end_handshape_annotations//test_auto_move//signs_mov_separ_signers/Liz_606.mov","MOV")</f>
        <v>21</v>
      </c>
    </row>
    <row r="2837" s="2" customFormat="1" ht="13.5" customHeight="1">
      <c r="B2837" s="13"/>
      <c r="C2837" t="s" s="9">
        <v>27</v>
      </c>
      <c r="D2837" t="s" s="8">
        <v>989</v>
      </c>
      <c r="E2837" t="s" s="9">
        <v>989</v>
      </c>
      <c r="F2837" t="s" s="10">
        <v>51</v>
      </c>
      <c r="G2837" s="14"/>
      <c r="H2837" t="s" s="10">
        <v>51</v>
      </c>
      <c r="I2837" s="14"/>
      <c r="J2837" t="s" s="11">
        <v>20</v>
      </c>
      <c r="K2837" t="s" s="16">
        <f>HYPERLINK("http://csr.bu.edu/ftp/asl/asllvd/demos/verify_start_end_handshape_annotations//test_auto_move//signs_mov/606.mov","MOV")</f>
        <v>21</v>
      </c>
      <c r="L2837" t="s" s="16">
        <f>HYPERLINK("http://csr.bu.edu/ftp/asl/asllvd/demos/verify_start_end_handshape_annotations//test_auto_move//signs_mov_separ_signers/Naomi_606.mov","MOV")</f>
        <v>21</v>
      </c>
      <c r="M2837" t="s" s="10">
        <v>86</v>
      </c>
      <c r="N2837" s="17">
        <v>11</v>
      </c>
      <c r="O2837" s="18">
        <v>2325</v>
      </c>
      <c r="P2837" s="18">
        <v>2350</v>
      </c>
      <c r="Q2837" t="s" s="16">
        <f>HYPERLINK("http://secrets.rutgers.edu:8080/data/asl-ftp/asllvd/demos/verify_start_end_handshape_annotations//test_auto_move//signs_mov/606.mov","MOV")</f>
        <v>21</v>
      </c>
      <c r="R2837" t="s" s="16">
        <f>HYPERLINK("http://secrets.rutgers.edu:8080/data/asl-ftp/asllvd/demos/verify_start_end_handshape_annotations//test_auto_move//signs_mov_separ_signers/Naomi_606.mov","MOV")</f>
        <v>21</v>
      </c>
    </row>
    <row r="2838" s="2" customFormat="1" ht="13.5" customHeight="1">
      <c r="B2838" s="13"/>
      <c r="C2838" t="s" s="9">
        <v>30</v>
      </c>
      <c r="D2838" t="s" s="8">
        <v>989</v>
      </c>
      <c r="E2838" t="s" s="9">
        <v>989</v>
      </c>
      <c r="F2838" t="s" s="10">
        <v>51</v>
      </c>
      <c r="G2838" s="14"/>
      <c r="H2838" t="s" s="10">
        <v>51</v>
      </c>
      <c r="I2838" s="14"/>
      <c r="J2838" t="s" s="11">
        <v>20</v>
      </c>
      <c r="K2838" s="15"/>
      <c r="L2838" t="s" s="16">
        <f>HYPERLINK("http://csr.bu.edu/ftp/asl/asllvd/demos/verify_start_end_handshape_annotations//test_auto_move//signs_mov_separ_signers/Brady_606.mov","MOV")</f>
        <v>21</v>
      </c>
      <c r="M2838" t="s" s="10">
        <v>31</v>
      </c>
      <c r="N2838" s="17">
        <v>32</v>
      </c>
      <c r="O2838" s="18">
        <v>2847</v>
      </c>
      <c r="P2838" s="18">
        <v>2871</v>
      </c>
      <c r="Q2838" s="15"/>
      <c r="R2838" t="s" s="16">
        <f>HYPERLINK("http://secrets.rutgers.edu:8080/data/asl-ftp/asllvd/demos/verify_start_end_handshape_annotations//test_auto_move//signs_mov_separ_signers/Brady_606.mov","MOV")</f>
        <v>21</v>
      </c>
    </row>
    <row r="2839" s="2" customFormat="1" ht="13.5" customHeight="1">
      <c r="B2839" t="s" s="8">
        <v>990</v>
      </c>
      <c r="C2839" t="s" s="9">
        <v>14</v>
      </c>
      <c r="D2839" t="s" s="8">
        <v>14</v>
      </c>
      <c r="E2839" t="s" s="9">
        <v>14</v>
      </c>
      <c r="F2839" t="s" s="10">
        <v>14</v>
      </c>
      <c r="G2839" t="s" s="11">
        <v>14</v>
      </c>
      <c r="H2839" t="s" s="10">
        <v>14</v>
      </c>
      <c r="I2839" t="s" s="11">
        <v>14</v>
      </c>
      <c r="J2839" t="s" s="11">
        <v>14</v>
      </c>
      <c r="K2839" t="s" s="12">
        <v>14</v>
      </c>
      <c r="L2839" t="s" s="12">
        <v>14</v>
      </c>
      <c r="M2839" t="s" s="10">
        <v>14</v>
      </c>
      <c r="N2839" t="s" s="11">
        <v>14</v>
      </c>
      <c r="O2839" t="s" s="8">
        <v>14</v>
      </c>
      <c r="P2839" t="s" s="8">
        <v>14</v>
      </c>
      <c r="Q2839" t="s" s="12">
        <v>14</v>
      </c>
      <c r="R2839" t="s" s="12">
        <v>14</v>
      </c>
    </row>
    <row r="2840" s="2" customFormat="1" ht="13.5" customHeight="1">
      <c r="B2840" s="13"/>
      <c r="C2840" t="s" s="9">
        <v>23</v>
      </c>
      <c r="D2840" t="s" s="8">
        <v>990</v>
      </c>
      <c r="E2840" t="s" s="9">
        <v>990</v>
      </c>
      <c r="F2840" t="s" s="10">
        <v>51</v>
      </c>
      <c r="G2840" s="14"/>
      <c r="H2840" t="s" s="10">
        <v>68</v>
      </c>
      <c r="I2840" s="14"/>
      <c r="J2840" t="s" s="11">
        <v>20</v>
      </c>
      <c r="K2840" t="s" s="16">
        <f>HYPERLINK("http://csr.bu.edu/ftp/asl/asllvd/demos/verify_start_end_handshape_annotations//test_auto_move//signs_mov/15034.mov","MOV")</f>
        <v>21</v>
      </c>
      <c r="L2840" t="s" s="16">
        <f>HYPERLINK("http://csr.bu.edu/ftp/asl/asllvd/demos/verify_start_end_handshape_annotations//test_auto_move//signs_mov_separ_signers/Tyler_15034.mov","MOV")</f>
        <v>21</v>
      </c>
      <c r="M2840" t="s" s="10">
        <v>125</v>
      </c>
      <c r="N2840" s="17">
        <v>11</v>
      </c>
      <c r="O2840" s="18">
        <v>1870</v>
      </c>
      <c r="P2840" s="18">
        <v>1926</v>
      </c>
      <c r="Q2840" t="s" s="16">
        <f>HYPERLINK("http://secrets.rutgers.edu:8080/data/asl-ftp/asllvd/demos/verify_start_end_handshape_annotations//test_auto_move//signs_mov/15034.mov","MOV")</f>
        <v>21</v>
      </c>
      <c r="R2840" t="s" s="16">
        <f>HYPERLINK("http://secrets.rutgers.edu:8080/data/asl-ftp/asllvd/demos/verify_start_end_handshape_annotations//test_auto_move//signs_mov_separ_signers/Tyler_15034.mov","MOV")</f>
        <v>21</v>
      </c>
    </row>
    <row r="2841" s="2" customFormat="1" ht="13.5" customHeight="1">
      <c r="B2841" s="13"/>
      <c r="C2841" t="s" s="9">
        <v>30</v>
      </c>
      <c r="D2841" t="s" s="8">
        <v>990</v>
      </c>
      <c r="E2841" t="s" s="9">
        <v>990</v>
      </c>
      <c r="F2841" t="s" s="10">
        <v>51</v>
      </c>
      <c r="G2841" s="14"/>
      <c r="H2841" t="s" s="10">
        <v>68</v>
      </c>
      <c r="I2841" s="14"/>
      <c r="J2841" t="s" s="11">
        <v>20</v>
      </c>
      <c r="K2841" s="15"/>
      <c r="L2841" t="s" s="16">
        <f>HYPERLINK("http://csr.bu.edu/ftp/asl/asllvd/demos/verify_start_end_handshape_annotations//test_auto_move//signs_mov_separ_signers/Brady_15034.mov","MOV")</f>
        <v>21</v>
      </c>
      <c r="M2841" t="s" s="10">
        <v>31</v>
      </c>
      <c r="N2841" s="17">
        <v>32</v>
      </c>
      <c r="O2841" s="18">
        <v>3108</v>
      </c>
      <c r="P2841" s="18">
        <v>3148</v>
      </c>
      <c r="Q2841" s="15"/>
      <c r="R2841" t="s" s="16">
        <f>HYPERLINK("http://secrets.rutgers.edu:8080/data/asl-ftp/asllvd/demos/verify_start_end_handshape_annotations//test_auto_move//signs_mov_separ_signers/Brady_15034.mov","MOV")</f>
        <v>21</v>
      </c>
    </row>
    <row r="2842" s="2" customFormat="1" ht="13.5" customHeight="1">
      <c r="B2842" t="s" s="8">
        <v>991</v>
      </c>
      <c r="C2842" t="s" s="9">
        <v>14</v>
      </c>
      <c r="D2842" t="s" s="8">
        <v>14</v>
      </c>
      <c r="E2842" t="s" s="9">
        <v>14</v>
      </c>
      <c r="F2842" t="s" s="10">
        <v>14</v>
      </c>
      <c r="G2842" t="s" s="11">
        <v>14</v>
      </c>
      <c r="H2842" t="s" s="10">
        <v>14</v>
      </c>
      <c r="I2842" t="s" s="11">
        <v>14</v>
      </c>
      <c r="J2842" t="s" s="11">
        <v>14</v>
      </c>
      <c r="K2842" t="s" s="12">
        <v>14</v>
      </c>
      <c r="L2842" t="s" s="12">
        <v>14</v>
      </c>
      <c r="M2842" t="s" s="10">
        <v>14</v>
      </c>
      <c r="N2842" t="s" s="11">
        <v>14</v>
      </c>
      <c r="O2842" t="s" s="8">
        <v>14</v>
      </c>
      <c r="P2842" t="s" s="8">
        <v>14</v>
      </c>
      <c r="Q2842" t="s" s="12">
        <v>14</v>
      </c>
      <c r="R2842" t="s" s="12">
        <v>14</v>
      </c>
    </row>
    <row r="2843" s="2" customFormat="1" ht="13.5" customHeight="1">
      <c r="B2843" s="13"/>
      <c r="C2843" t="s" s="9">
        <v>16</v>
      </c>
      <c r="D2843" t="s" s="8">
        <v>991</v>
      </c>
      <c r="E2843" t="s" s="9">
        <v>992</v>
      </c>
      <c r="F2843" t="s" s="10">
        <v>229</v>
      </c>
      <c r="G2843" t="s" s="11">
        <v>73</v>
      </c>
      <c r="H2843" t="s" s="10">
        <v>229</v>
      </c>
      <c r="I2843" t="s" s="11">
        <v>73</v>
      </c>
      <c r="J2843" t="s" s="11">
        <v>20</v>
      </c>
      <c r="K2843" s="15"/>
      <c r="L2843" t="s" s="16">
        <f>HYPERLINK("http://csr.bu.edu/ftp/asl/asllvd/demos/verify_start_end_handshape_annotations//test_auto_move//signs_mov_separ_signers/Liz_607.mov","MOV")</f>
        <v>21</v>
      </c>
      <c r="M2843" t="s" s="10">
        <v>84</v>
      </c>
      <c r="N2843" s="17">
        <v>11</v>
      </c>
      <c r="O2843" s="18">
        <v>2275</v>
      </c>
      <c r="P2843" s="18">
        <v>2325</v>
      </c>
      <c r="Q2843" s="15"/>
      <c r="R2843" t="s" s="16">
        <f>HYPERLINK("http://secrets.rutgers.edu:8080/data/asl-ftp/asllvd/demos/verify_start_end_handshape_annotations//test_auto_move//signs_mov_separ_signers/Liz_607.mov","MOV")</f>
        <v>21</v>
      </c>
    </row>
    <row r="2844" s="2" customFormat="1" ht="13.5" customHeight="1">
      <c r="B2844" s="13"/>
      <c r="C2844" t="s" s="9">
        <v>23</v>
      </c>
      <c r="D2844" t="s" s="8">
        <v>991</v>
      </c>
      <c r="E2844" t="s" s="9">
        <v>993</v>
      </c>
      <c r="F2844" t="s" s="10">
        <v>229</v>
      </c>
      <c r="G2844" t="s" s="11">
        <v>73</v>
      </c>
      <c r="H2844" t="s" s="10">
        <v>229</v>
      </c>
      <c r="I2844" t="s" s="11">
        <v>73</v>
      </c>
      <c r="J2844" t="s" s="11">
        <v>20</v>
      </c>
      <c r="K2844" s="15"/>
      <c r="L2844" t="s" s="16">
        <f>HYPERLINK("http://csr.bu.edu/ftp/asl/asllvd/demos/verify_start_end_handshape_annotations//test_auto_move//signs_mov_separ_signers/Tyler_607.mov","MOV")</f>
        <v>21</v>
      </c>
      <c r="M2844" t="s" s="10">
        <v>125</v>
      </c>
      <c r="N2844" s="17">
        <v>11</v>
      </c>
      <c r="O2844" s="18">
        <v>2405</v>
      </c>
      <c r="P2844" s="18">
        <v>2460</v>
      </c>
      <c r="Q2844" s="15"/>
      <c r="R2844" t="s" s="16">
        <f>HYPERLINK("http://secrets.rutgers.edu:8080/data/asl-ftp/asllvd/demos/verify_start_end_handshape_annotations//test_auto_move//signs_mov_separ_signers/Tyler_607.mov","MOV")</f>
        <v>21</v>
      </c>
    </row>
    <row r="2845" s="2" customFormat="1" ht="13.5" customHeight="1">
      <c r="B2845" s="13"/>
      <c r="C2845" t="s" s="9">
        <v>27</v>
      </c>
      <c r="D2845" t="s" s="8">
        <v>991</v>
      </c>
      <c r="E2845" t="s" s="9">
        <v>991</v>
      </c>
      <c r="F2845" t="s" s="10">
        <v>229</v>
      </c>
      <c r="G2845" t="s" s="11">
        <v>73</v>
      </c>
      <c r="H2845" t="s" s="10">
        <v>229</v>
      </c>
      <c r="I2845" t="s" s="11">
        <v>73</v>
      </c>
      <c r="J2845" t="s" s="11">
        <v>20</v>
      </c>
      <c r="K2845" t="s" s="16">
        <f>HYPERLINK("http://csr.bu.edu/ftp/asl/asllvd/demos/verify_start_end_handshape_annotations//test_auto_move//signs_mov/607.mov","MOV")</f>
        <v>21</v>
      </c>
      <c r="L2845" t="s" s="16">
        <f>HYPERLINK("http://csr.bu.edu/ftp/asl/asllvd/demos/verify_start_end_handshape_annotations//test_auto_move//signs_mov_separ_signers/Naomi_607.mov","MOV")</f>
        <v>21</v>
      </c>
      <c r="M2845" t="s" s="10">
        <v>86</v>
      </c>
      <c r="N2845" s="17">
        <v>11</v>
      </c>
      <c r="O2845" s="18">
        <v>2665</v>
      </c>
      <c r="P2845" s="18">
        <v>2727</v>
      </c>
      <c r="Q2845" t="s" s="16">
        <f>HYPERLINK("http://secrets.rutgers.edu:8080/data/asl-ftp/asllvd/demos/verify_start_end_handshape_annotations//test_auto_move//signs_mov/607.mov","MOV")</f>
        <v>21</v>
      </c>
      <c r="R2845" t="s" s="16">
        <f>HYPERLINK("http://secrets.rutgers.edu:8080/data/asl-ftp/asllvd/demos/verify_start_end_handshape_annotations//test_auto_move//signs_mov_separ_signers/Naomi_607.mov","MOV")</f>
        <v>21</v>
      </c>
    </row>
    <row r="2846" s="2" customFormat="1" ht="13.5" customHeight="1">
      <c r="B2846" s="13"/>
      <c r="C2846" t="s" s="9">
        <v>30</v>
      </c>
      <c r="D2846" t="s" s="8">
        <v>991</v>
      </c>
      <c r="E2846" t="s" s="9">
        <v>992</v>
      </c>
      <c r="F2846" t="s" s="10">
        <v>229</v>
      </c>
      <c r="G2846" t="s" s="11">
        <v>73</v>
      </c>
      <c r="H2846" t="s" s="10">
        <v>229</v>
      </c>
      <c r="I2846" t="s" s="11">
        <v>73</v>
      </c>
      <c r="J2846" t="s" s="11">
        <v>20</v>
      </c>
      <c r="K2846" s="15"/>
      <c r="L2846" t="s" s="16">
        <f>HYPERLINK("http://csr.bu.edu/ftp/asl/asllvd/demos/verify_start_end_handshape_annotations//test_auto_move//signs_mov_separ_signers/Brady_607.mov","MOV")</f>
        <v>21</v>
      </c>
      <c r="M2846" t="s" s="10">
        <v>31</v>
      </c>
      <c r="N2846" s="17">
        <v>32</v>
      </c>
      <c r="O2846" s="18">
        <v>3456</v>
      </c>
      <c r="P2846" s="18">
        <v>3508</v>
      </c>
      <c r="Q2846" s="15"/>
      <c r="R2846" t="s" s="16">
        <f>HYPERLINK("http://secrets.rutgers.edu:8080/data/asl-ftp/asllvd/demos/verify_start_end_handshape_annotations//test_auto_move//signs_mov_separ_signers/Brady_607.mov","MOV")</f>
        <v>21</v>
      </c>
    </row>
    <row r="2847" s="2" customFormat="1" ht="13.5" customHeight="1">
      <c r="B2847" s="13"/>
      <c r="C2847" t="s" s="9">
        <v>41</v>
      </c>
      <c r="D2847" t="s" s="8">
        <v>991</v>
      </c>
      <c r="E2847" t="s" s="9">
        <v>992</v>
      </c>
      <c r="F2847" t="s" s="10">
        <v>229</v>
      </c>
      <c r="G2847" t="s" s="11">
        <v>73</v>
      </c>
      <c r="H2847" t="s" s="10">
        <v>229</v>
      </c>
      <c r="I2847" t="s" s="11">
        <v>73</v>
      </c>
      <c r="J2847" t="s" s="11">
        <v>20</v>
      </c>
      <c r="K2847" s="15"/>
      <c r="L2847" t="s" s="16">
        <f>HYPERLINK("http://csr.bu.edu/ftp/asl/asllvd/demos/verify_start_end_handshape_annotations//test_auto_move//signs_mov_separ_signers/Lana_607.mov","MOV")</f>
        <v>21</v>
      </c>
      <c r="M2847" t="s" s="10">
        <v>42</v>
      </c>
      <c r="N2847" s="17">
        <v>6</v>
      </c>
      <c r="O2847" s="18">
        <v>2230</v>
      </c>
      <c r="P2847" s="18">
        <v>2268</v>
      </c>
      <c r="Q2847" s="15"/>
      <c r="R2847" t="s" s="16">
        <f>HYPERLINK("http://secrets.rutgers.edu:8080/data/asl-ftp/asllvd/demos/verify_start_end_handshape_annotations//test_auto_move//signs_mov_separ_signers/Lana_607.mov","MOV")</f>
        <v>21</v>
      </c>
    </row>
    <row r="2848" s="2" customFormat="1" ht="13.5" customHeight="1">
      <c r="B2848" s="13"/>
      <c r="C2848" t="s" s="9">
        <v>43</v>
      </c>
      <c r="D2848" t="s" s="8">
        <v>991</v>
      </c>
      <c r="E2848" t="s" s="9">
        <v>991</v>
      </c>
      <c r="F2848" t="s" s="10">
        <v>229</v>
      </c>
      <c r="G2848" t="s" s="11">
        <v>73</v>
      </c>
      <c r="H2848" t="s" s="10">
        <v>229</v>
      </c>
      <c r="I2848" t="s" s="11">
        <v>73</v>
      </c>
      <c r="J2848" t="s" s="11">
        <v>20</v>
      </c>
      <c r="K2848" s="15"/>
      <c r="L2848" t="s" s="16">
        <f>HYPERLINK("http://csr.bu.edu/ftp/asl/asllvd/demos/verify_start_end_handshape_annotations//test_auto_move//signs_mov_separ_signers/Dana_607.mov","MOV")</f>
        <v>21</v>
      </c>
      <c r="M2848" t="s" s="10">
        <v>44</v>
      </c>
      <c r="N2848" s="17">
        <v>10</v>
      </c>
      <c r="O2848" s="18">
        <v>2550</v>
      </c>
      <c r="P2848" s="18">
        <v>2617</v>
      </c>
      <c r="Q2848" s="15"/>
      <c r="R2848" t="s" s="16">
        <f>HYPERLINK("http://secrets.rutgers.edu:8080/data/asl-ftp/asllvd/demos/verify_start_end_handshape_annotations//test_auto_move//signs_mov_separ_signers/Dana_607.mov","MOV")</f>
        <v>21</v>
      </c>
    </row>
    <row r="2849" s="2" customFormat="1" ht="13.5" customHeight="1">
      <c r="B2849" t="s" s="8">
        <v>994</v>
      </c>
      <c r="C2849" t="s" s="9">
        <v>14</v>
      </c>
      <c r="D2849" t="s" s="8">
        <v>14</v>
      </c>
      <c r="E2849" t="s" s="9">
        <v>14</v>
      </c>
      <c r="F2849" t="s" s="10">
        <v>14</v>
      </c>
      <c r="G2849" t="s" s="11">
        <v>14</v>
      </c>
      <c r="H2849" t="s" s="10">
        <v>14</v>
      </c>
      <c r="I2849" t="s" s="11">
        <v>14</v>
      </c>
      <c r="J2849" t="s" s="11">
        <v>14</v>
      </c>
      <c r="K2849" t="s" s="12">
        <v>14</v>
      </c>
      <c r="L2849" t="s" s="12">
        <v>14</v>
      </c>
      <c r="M2849" t="s" s="10">
        <v>14</v>
      </c>
      <c r="N2849" t="s" s="11">
        <v>14</v>
      </c>
      <c r="O2849" t="s" s="8">
        <v>14</v>
      </c>
      <c r="P2849" t="s" s="8">
        <v>14</v>
      </c>
      <c r="Q2849" t="s" s="12">
        <v>14</v>
      </c>
      <c r="R2849" t="s" s="12">
        <v>14</v>
      </c>
    </row>
    <row r="2850" s="2" customFormat="1" ht="13.5" customHeight="1">
      <c r="B2850" s="13"/>
      <c r="C2850" t="s" s="9">
        <v>16</v>
      </c>
      <c r="D2850" t="s" s="8">
        <v>994</v>
      </c>
      <c r="E2850" t="s" s="9">
        <v>994</v>
      </c>
      <c r="F2850" t="s" s="10">
        <v>282</v>
      </c>
      <c r="G2850" s="14"/>
      <c r="H2850" t="s" s="10">
        <v>282</v>
      </c>
      <c r="I2850" s="14"/>
      <c r="J2850" t="s" s="11">
        <v>20</v>
      </c>
      <c r="K2850" s="15"/>
      <c r="L2850" t="s" s="16">
        <f>HYPERLINK("http://csr.bu.edu/ftp/asl/asllvd/demos/verify_start_end_handshape_annotations//test_auto_move//signs_mov_separ_signers/Liz_609.mov","MOV")</f>
        <v>21</v>
      </c>
      <c r="M2850" t="s" s="10">
        <v>84</v>
      </c>
      <c r="N2850" s="17">
        <v>11</v>
      </c>
      <c r="O2850" s="18">
        <v>2756</v>
      </c>
      <c r="P2850" s="18">
        <v>2781</v>
      </c>
      <c r="Q2850" s="15"/>
      <c r="R2850" t="s" s="16">
        <f>HYPERLINK("http://secrets.rutgers.edu:8080/data/asl-ftp/asllvd/demos/verify_start_end_handshape_annotations//test_auto_move//signs_mov_separ_signers/Liz_609.mov","MOV")</f>
        <v>21</v>
      </c>
    </row>
    <row r="2851" s="2" customFormat="1" ht="13.5" customHeight="1">
      <c r="B2851" s="13"/>
      <c r="C2851" t="s" s="9">
        <v>16</v>
      </c>
      <c r="D2851" t="s" s="8">
        <v>994</v>
      </c>
      <c r="E2851" t="s" s="9">
        <v>994</v>
      </c>
      <c r="F2851" t="s" s="10">
        <v>282</v>
      </c>
      <c r="G2851" s="14"/>
      <c r="H2851" t="s" s="10">
        <v>282</v>
      </c>
      <c r="I2851" s="14"/>
      <c r="J2851" t="s" s="11">
        <v>20</v>
      </c>
      <c r="K2851" s="15"/>
      <c r="L2851" t="s" s="16">
        <f>HYPERLINK("http://csr.bu.edu/ftp/asl/asllvd/demos/verify_start_end_handshape_annotations//test_auto_move//signs_mov_separ_signers/Liz_3630.mov","MOV")</f>
        <v>21</v>
      </c>
      <c r="M2851" t="s" s="10">
        <v>84</v>
      </c>
      <c r="N2851" s="17">
        <v>36</v>
      </c>
      <c r="O2851" s="18">
        <v>1899</v>
      </c>
      <c r="P2851" s="18">
        <v>1934</v>
      </c>
      <c r="Q2851" s="15"/>
      <c r="R2851" t="s" s="16">
        <f>HYPERLINK("http://secrets.rutgers.edu:8080/data/asl-ftp/asllvd/demos/verify_start_end_handshape_annotations//test_auto_move//signs_mov_separ_signers/Liz_3630.mov","MOV")</f>
        <v>21</v>
      </c>
    </row>
    <row r="2852" s="2" customFormat="1" ht="13.5" customHeight="1">
      <c r="B2852" s="13"/>
      <c r="C2852" t="s" s="9">
        <v>16</v>
      </c>
      <c r="D2852" t="s" s="8">
        <v>994</v>
      </c>
      <c r="E2852" t="s" s="9">
        <v>994</v>
      </c>
      <c r="F2852" t="s" s="10">
        <v>282</v>
      </c>
      <c r="G2852" s="14"/>
      <c r="H2852" t="s" s="10">
        <v>282</v>
      </c>
      <c r="I2852" s="14"/>
      <c r="J2852" t="s" s="11">
        <v>20</v>
      </c>
      <c r="K2852" s="15"/>
      <c r="L2852" t="s" s="16">
        <f>HYPERLINK("http://csr.bu.edu/ftp/asl/asllvd/demos/verify_start_end_handshape_annotations//test_auto_move//signs_mov_separ_signers/Liz_3646.mov","MOV")</f>
        <v>21</v>
      </c>
      <c r="M2852" t="s" s="10">
        <v>34</v>
      </c>
      <c r="N2852" s="17">
        <v>8</v>
      </c>
      <c r="O2852" s="18">
        <v>2210</v>
      </c>
      <c r="P2852" s="18">
        <v>2225</v>
      </c>
      <c r="Q2852" s="15"/>
      <c r="R2852" t="s" s="16">
        <f>HYPERLINK("http://secrets.rutgers.edu:8080/data/asl-ftp/asllvd/demos/verify_start_end_handshape_annotations//test_auto_move//signs_mov_separ_signers/Liz_3646.mov","MOV")</f>
        <v>21</v>
      </c>
    </row>
    <row r="2853" s="2" customFormat="1" ht="13.5" customHeight="1">
      <c r="B2853" s="13"/>
      <c r="C2853" t="s" s="9">
        <v>23</v>
      </c>
      <c r="D2853" t="s" s="8">
        <v>994</v>
      </c>
      <c r="E2853" t="s" s="9">
        <v>994</v>
      </c>
      <c r="F2853" t="s" s="10">
        <v>282</v>
      </c>
      <c r="G2853" s="14"/>
      <c r="H2853" t="s" s="10">
        <v>282</v>
      </c>
      <c r="I2853" s="14"/>
      <c r="J2853" t="s" s="11">
        <v>20</v>
      </c>
      <c r="K2853" s="15"/>
      <c r="L2853" t="s" s="16">
        <f>HYPERLINK("http://csr.bu.edu/ftp/asl/asllvd/demos/verify_start_end_handshape_annotations//test_auto_move//signs_mov_separ_signers/Tyler_609.mov","MOV")</f>
        <v>21</v>
      </c>
      <c r="M2853" t="s" s="10">
        <v>92</v>
      </c>
      <c r="N2853" s="17">
        <v>16</v>
      </c>
      <c r="O2853" s="18">
        <v>2020</v>
      </c>
      <c r="P2853" s="18">
        <v>2036</v>
      </c>
      <c r="Q2853" s="15"/>
      <c r="R2853" t="s" s="16">
        <f>HYPERLINK("http://secrets.rutgers.edu:8080/data/asl-ftp/asllvd/demos/verify_start_end_handshape_annotations//test_auto_move//signs_mov_separ_signers/Tyler_609.mov","MOV")</f>
        <v>21</v>
      </c>
    </row>
    <row r="2854" s="2" customFormat="1" ht="13.5" customHeight="1">
      <c r="B2854" s="13"/>
      <c r="C2854" t="s" s="9">
        <v>23</v>
      </c>
      <c r="D2854" t="s" s="8">
        <v>994</v>
      </c>
      <c r="E2854" t="s" s="9">
        <v>994</v>
      </c>
      <c r="F2854" t="s" s="10">
        <v>282</v>
      </c>
      <c r="G2854" s="14"/>
      <c r="H2854" t="s" s="10">
        <v>282</v>
      </c>
      <c r="I2854" s="14"/>
      <c r="J2854" t="s" s="11">
        <v>20</v>
      </c>
      <c r="K2854" s="15"/>
      <c r="L2854" t="s" s="16">
        <f>HYPERLINK("http://csr.bu.edu/ftp/asl/asllvd/demos/verify_start_end_handshape_annotations//test_auto_move//signs_mov_separ_signers/Tyler_3630.mov","MOV")</f>
        <v>21</v>
      </c>
      <c r="M2854" t="s" s="10">
        <v>92</v>
      </c>
      <c r="N2854" s="17">
        <v>39</v>
      </c>
      <c r="O2854" s="18">
        <v>1862</v>
      </c>
      <c r="P2854" s="18">
        <v>1867</v>
      </c>
      <c r="Q2854" s="15"/>
      <c r="R2854" t="s" s="16">
        <f>HYPERLINK("http://secrets.rutgers.edu:8080/data/asl-ftp/asllvd/demos/verify_start_end_handshape_annotations//test_auto_move//signs_mov_separ_signers/Tyler_3630.mov","MOV")</f>
        <v>21</v>
      </c>
    </row>
    <row r="2855" s="2" customFormat="1" ht="13.5" customHeight="1">
      <c r="B2855" s="13"/>
      <c r="C2855" t="s" s="9">
        <v>27</v>
      </c>
      <c r="D2855" t="s" s="8">
        <v>994</v>
      </c>
      <c r="E2855" t="s" s="9">
        <v>994</v>
      </c>
      <c r="F2855" t="s" s="10">
        <v>282</v>
      </c>
      <c r="G2855" s="14"/>
      <c r="H2855" t="s" s="10">
        <v>282</v>
      </c>
      <c r="I2855" s="14"/>
      <c r="J2855" t="s" s="11">
        <v>20</v>
      </c>
      <c r="K2855" t="s" s="16">
        <f>HYPERLINK("http://csr.bu.edu/ftp/asl/asllvd/demos/verify_start_end_handshape_annotations//test_auto_move//signs_mov/609_3630_3646_merged.mov","MOV")</f>
        <v>21</v>
      </c>
      <c r="L2855" t="s" s="16">
        <f>HYPERLINK("http://csr.bu.edu/ftp/asl/asllvd/demos/verify_start_end_handshape_annotations//test_auto_move//signs_mov_separ_signers/Naomi_609.mov","MOV")</f>
        <v>21</v>
      </c>
      <c r="M2855" t="s" s="10">
        <v>86</v>
      </c>
      <c r="N2855" s="17">
        <v>11</v>
      </c>
      <c r="O2855" s="18">
        <v>3261</v>
      </c>
      <c r="P2855" s="18">
        <v>3281</v>
      </c>
      <c r="Q2855" t="s" s="16">
        <f>HYPERLINK("http://secrets.rutgers.edu:8080/data/asl-ftp/asllvd/demos/verify_start_end_handshape_annotations//test_auto_move//signs_mov/609_3630_3646_merged.mov","MOV")</f>
        <v>21</v>
      </c>
      <c r="R2855" t="s" s="16">
        <f>HYPERLINK("http://secrets.rutgers.edu:8080/data/asl-ftp/asllvd/demos/verify_start_end_handshape_annotations//test_auto_move//signs_mov_separ_signers/Naomi_609.mov","MOV")</f>
        <v>21</v>
      </c>
    </row>
    <row r="2856" s="2" customFormat="1" ht="13.5" customHeight="1">
      <c r="B2856" s="13"/>
      <c r="C2856" t="s" s="9">
        <v>27</v>
      </c>
      <c r="D2856" t="s" s="8">
        <v>994</v>
      </c>
      <c r="E2856" t="s" s="9">
        <v>994</v>
      </c>
      <c r="F2856" t="s" s="10">
        <v>282</v>
      </c>
      <c r="G2856" s="14"/>
      <c r="H2856" t="s" s="10">
        <v>282</v>
      </c>
      <c r="I2856" s="14"/>
      <c r="J2856" t="s" s="11">
        <v>20</v>
      </c>
      <c r="K2856" s="15"/>
      <c r="L2856" t="s" s="16">
        <f>HYPERLINK("http://csr.bu.edu/ftp/asl/asllvd/demos/verify_start_end_handshape_annotations//test_auto_move//signs_mov_separ_signers/Naomi_3630.mov","MOV")</f>
        <v>21</v>
      </c>
      <c r="M2856" t="s" s="10">
        <v>86</v>
      </c>
      <c r="N2856" s="17">
        <v>36</v>
      </c>
      <c r="O2856" s="18">
        <v>2293</v>
      </c>
      <c r="P2856" s="18">
        <v>2321</v>
      </c>
      <c r="Q2856" s="15"/>
      <c r="R2856" t="s" s="16">
        <f>HYPERLINK("http://secrets.rutgers.edu:8080/data/asl-ftp/asllvd/demos/verify_start_end_handshape_annotations//test_auto_move//signs_mov_separ_signers/Naomi_3630.mov","MOV")</f>
        <v>21</v>
      </c>
    </row>
    <row r="2857" s="2" customFormat="1" ht="13.5" customHeight="1">
      <c r="B2857" s="13"/>
      <c r="C2857" t="s" s="9">
        <v>27</v>
      </c>
      <c r="D2857" t="s" s="8">
        <v>994</v>
      </c>
      <c r="E2857" t="s" s="9">
        <v>994</v>
      </c>
      <c r="F2857" t="s" s="10">
        <v>282</v>
      </c>
      <c r="G2857" s="14"/>
      <c r="H2857" t="s" s="10">
        <v>282</v>
      </c>
      <c r="I2857" s="14"/>
      <c r="J2857" t="s" s="11">
        <v>20</v>
      </c>
      <c r="K2857" s="15"/>
      <c r="L2857" t="s" s="16">
        <f>HYPERLINK("http://csr.bu.edu/ftp/asl/asllvd/demos/verify_start_end_handshape_annotations//test_auto_move//signs_mov_separ_signers/Naomi_3646.mov","MOV")</f>
        <v>21</v>
      </c>
      <c r="M2857" t="s" s="10">
        <v>38</v>
      </c>
      <c r="N2857" s="17">
        <v>7</v>
      </c>
      <c r="O2857" s="18">
        <v>3056</v>
      </c>
      <c r="P2857" s="18">
        <v>3066</v>
      </c>
      <c r="Q2857" s="15"/>
      <c r="R2857" t="s" s="16">
        <f>HYPERLINK("http://secrets.rutgers.edu:8080/data/asl-ftp/asllvd/demos/verify_start_end_handshape_annotations//test_auto_move//signs_mov_separ_signers/Naomi_3646.mov","MOV")</f>
        <v>21</v>
      </c>
    </row>
    <row r="2858" s="2" customFormat="1" ht="13.5" customHeight="1">
      <c r="B2858" s="13"/>
      <c r="C2858" t="s" s="9">
        <v>30</v>
      </c>
      <c r="D2858" t="s" s="8">
        <v>994</v>
      </c>
      <c r="E2858" t="s" s="9">
        <v>994</v>
      </c>
      <c r="F2858" t="s" s="10">
        <v>282</v>
      </c>
      <c r="G2858" s="14"/>
      <c r="H2858" t="s" s="10">
        <v>282</v>
      </c>
      <c r="I2858" s="14"/>
      <c r="J2858" t="s" s="11">
        <v>20</v>
      </c>
      <c r="K2858" s="15"/>
      <c r="L2858" t="s" s="16">
        <f>HYPERLINK("http://csr.bu.edu/ftp/asl/asllvd/demos/verify_start_end_handshape_annotations//test_auto_move//signs_mov_separ_signers/Brady_609.mov","MOV")</f>
        <v>21</v>
      </c>
      <c r="M2858" t="s" s="10">
        <v>31</v>
      </c>
      <c r="N2858" s="17">
        <v>32</v>
      </c>
      <c r="O2858" s="18">
        <v>3913</v>
      </c>
      <c r="P2858" s="18">
        <v>3933</v>
      </c>
      <c r="Q2858" s="15"/>
      <c r="R2858" t="s" s="16">
        <f>HYPERLINK("http://secrets.rutgers.edu:8080/data/asl-ftp/asllvd/demos/verify_start_end_handshape_annotations//test_auto_move//signs_mov_separ_signers/Brady_609.mov","MOV")</f>
        <v>21</v>
      </c>
    </row>
    <row r="2859" s="2" customFormat="1" ht="13.5" customHeight="1">
      <c r="B2859" s="13"/>
      <c r="C2859" t="s" s="9">
        <v>30</v>
      </c>
      <c r="D2859" t="s" s="8">
        <v>994</v>
      </c>
      <c r="E2859" t="s" s="9">
        <v>994</v>
      </c>
      <c r="F2859" t="s" s="10">
        <v>282</v>
      </c>
      <c r="G2859" s="14"/>
      <c r="H2859" t="s" s="10">
        <v>282</v>
      </c>
      <c r="I2859" s="14"/>
      <c r="J2859" t="s" s="11">
        <v>20</v>
      </c>
      <c r="K2859" s="15"/>
      <c r="L2859" t="s" s="16">
        <f>HYPERLINK("http://csr.bu.edu/ftp/asl/asllvd/demos/verify_start_end_handshape_annotations//test_auto_move//signs_mov_separ_signers/Brady_3630.mov","MOV")</f>
        <v>21</v>
      </c>
      <c r="M2859" t="s" s="10">
        <v>39</v>
      </c>
      <c r="N2859" s="17">
        <v>14</v>
      </c>
      <c r="O2859" s="18">
        <v>6428</v>
      </c>
      <c r="P2859" s="18">
        <v>6449</v>
      </c>
      <c r="Q2859" s="15"/>
      <c r="R2859" t="s" s="16">
        <f>HYPERLINK("http://secrets.rutgers.edu:8080/data/asl-ftp/asllvd/demos/verify_start_end_handshape_annotations//test_auto_move//signs_mov_separ_signers/Brady_3630.mov","MOV")</f>
        <v>21</v>
      </c>
    </row>
    <row r="2860" s="2" customFormat="1" ht="13.5" customHeight="1">
      <c r="B2860" s="13"/>
      <c r="C2860" t="s" s="9">
        <v>30</v>
      </c>
      <c r="D2860" t="s" s="8">
        <v>994</v>
      </c>
      <c r="E2860" t="s" s="9">
        <v>994</v>
      </c>
      <c r="F2860" t="s" s="10">
        <v>282</v>
      </c>
      <c r="G2860" s="14"/>
      <c r="H2860" t="s" s="10">
        <v>282</v>
      </c>
      <c r="I2860" s="14"/>
      <c r="J2860" t="s" s="11">
        <v>20</v>
      </c>
      <c r="K2860" s="15"/>
      <c r="L2860" t="s" s="16">
        <f>HYPERLINK("http://csr.bu.edu/ftp/asl/asllvd/demos/verify_start_end_handshape_annotations//test_auto_move//signs_mov_separ_signers/Brady_3646.mov","MOV")</f>
        <v>21</v>
      </c>
      <c r="M2860" t="s" s="10">
        <v>39</v>
      </c>
      <c r="N2860" s="17">
        <v>27</v>
      </c>
      <c r="O2860" s="18">
        <v>3520</v>
      </c>
      <c r="P2860" s="18">
        <v>3539</v>
      </c>
      <c r="Q2860" s="15"/>
      <c r="R2860" t="s" s="16">
        <f>HYPERLINK("http://secrets.rutgers.edu:8080/data/asl-ftp/asllvd/demos/verify_start_end_handshape_annotations//test_auto_move//signs_mov_separ_signers/Brady_3646.mov","MOV")</f>
        <v>21</v>
      </c>
    </row>
    <row r="2861" s="2" customFormat="1" ht="13.5" customHeight="1">
      <c r="B2861" t="s" s="8">
        <v>995</v>
      </c>
      <c r="C2861" t="s" s="9">
        <v>14</v>
      </c>
      <c r="D2861" t="s" s="8">
        <v>14</v>
      </c>
      <c r="E2861" t="s" s="9">
        <v>14</v>
      </c>
      <c r="F2861" t="s" s="10">
        <v>14</v>
      </c>
      <c r="G2861" t="s" s="11">
        <v>14</v>
      </c>
      <c r="H2861" t="s" s="10">
        <v>14</v>
      </c>
      <c r="I2861" t="s" s="11">
        <v>14</v>
      </c>
      <c r="J2861" t="s" s="11">
        <v>14</v>
      </c>
      <c r="K2861" t="s" s="12">
        <v>14</v>
      </c>
      <c r="L2861" t="s" s="12">
        <v>14</v>
      </c>
      <c r="M2861" t="s" s="10">
        <v>14</v>
      </c>
      <c r="N2861" t="s" s="11">
        <v>14</v>
      </c>
      <c r="O2861" t="s" s="8">
        <v>14</v>
      </c>
      <c r="P2861" t="s" s="8">
        <v>14</v>
      </c>
      <c r="Q2861" t="s" s="12">
        <v>14</v>
      </c>
      <c r="R2861" t="s" s="12">
        <v>14</v>
      </c>
    </row>
    <row r="2862" s="2" customFormat="1" ht="13.5" customHeight="1">
      <c r="B2862" s="13"/>
      <c r="C2862" t="s" s="9">
        <v>16</v>
      </c>
      <c r="D2862" t="s" s="8">
        <v>995</v>
      </c>
      <c r="E2862" t="s" s="9">
        <v>995</v>
      </c>
      <c r="F2862" t="s" s="10">
        <v>282</v>
      </c>
      <c r="G2862" s="14"/>
      <c r="H2862" t="s" s="10">
        <v>282</v>
      </c>
      <c r="I2862" s="14"/>
      <c r="J2862" t="s" s="11">
        <v>20</v>
      </c>
      <c r="K2862" s="15"/>
      <c r="L2862" t="s" s="16">
        <f>HYPERLINK("http://csr.bu.edu/ftp/asl/asllvd/demos/verify_start_end_handshape_annotations//test_auto_move//signs_mov_separ_signers/Liz_16545.mov","MOV")</f>
        <v>21</v>
      </c>
      <c r="M2862" t="s" s="10">
        <v>36</v>
      </c>
      <c r="N2862" s="17">
        <v>38</v>
      </c>
      <c r="O2862" s="18">
        <v>2318</v>
      </c>
      <c r="P2862" s="18">
        <v>2354</v>
      </c>
      <c r="Q2862" s="15"/>
      <c r="R2862" t="s" s="16">
        <f>HYPERLINK("http://secrets.rutgers.edu:8080/data/asl-ftp/asllvd/demos/verify_start_end_handshape_annotations//test_auto_move//signs_mov_separ_signers/Liz_16545.mov","MOV")</f>
        <v>21</v>
      </c>
    </row>
    <row r="2863" s="2" customFormat="1" ht="13.5" customHeight="1">
      <c r="B2863" s="13"/>
      <c r="C2863" t="s" s="9">
        <v>23</v>
      </c>
      <c r="D2863" t="s" s="8">
        <v>995</v>
      </c>
      <c r="E2863" t="s" s="9">
        <v>995</v>
      </c>
      <c r="F2863" t="s" s="10">
        <v>282</v>
      </c>
      <c r="G2863" s="14"/>
      <c r="H2863" t="s" s="10">
        <v>282</v>
      </c>
      <c r="I2863" s="14"/>
      <c r="J2863" t="s" s="11">
        <v>20</v>
      </c>
      <c r="K2863" t="s" s="16">
        <f>HYPERLINK("http://csr.bu.edu/ftp/asl/asllvd/demos/verify_start_end_handshape_annotations//test_auto_move//signs_mov/16545.mov","MOV")</f>
        <v>21</v>
      </c>
      <c r="L2863" t="s" s="16">
        <f>HYPERLINK("http://csr.bu.edu/ftp/asl/asllvd/demos/verify_start_end_handshape_annotations//test_auto_move//signs_mov_separ_signers/Tyler_16545.mov","MOV")</f>
        <v>21</v>
      </c>
      <c r="M2863" t="s" s="10">
        <v>125</v>
      </c>
      <c r="N2863" s="17">
        <v>11</v>
      </c>
      <c r="O2863" s="18">
        <v>2869</v>
      </c>
      <c r="P2863" s="18">
        <v>2884</v>
      </c>
      <c r="Q2863" t="s" s="16">
        <f>HYPERLINK("http://secrets.rutgers.edu:8080/data/asl-ftp/asllvd/demos/verify_start_end_handshape_annotations//test_auto_move//signs_mov/16545.mov","MOV")</f>
        <v>21</v>
      </c>
      <c r="R2863" t="s" s="16">
        <f>HYPERLINK("http://secrets.rutgers.edu:8080/data/asl-ftp/asllvd/demos/verify_start_end_handshape_annotations//test_auto_move//signs_mov_separ_signers/Tyler_16545.mov","MOV")</f>
        <v>21</v>
      </c>
    </row>
    <row r="2864" s="2" customFormat="1" ht="13.5" customHeight="1">
      <c r="B2864" s="13"/>
      <c r="C2864" t="s" s="9">
        <v>30</v>
      </c>
      <c r="D2864" t="s" s="8">
        <v>995</v>
      </c>
      <c r="E2864" t="s" s="9">
        <v>996</v>
      </c>
      <c r="F2864" t="s" s="10">
        <v>282</v>
      </c>
      <c r="G2864" s="14"/>
      <c r="H2864" t="s" s="10">
        <v>282</v>
      </c>
      <c r="I2864" s="14"/>
      <c r="J2864" t="s" s="11">
        <v>20</v>
      </c>
      <c r="K2864" s="15"/>
      <c r="L2864" t="s" s="16">
        <f>HYPERLINK("http://csr.bu.edu/ftp/asl/asllvd/demos/verify_start_end_handshape_annotations//test_auto_move//signs_mov_separ_signers/Brady_16545.mov","MOV")</f>
        <v>21</v>
      </c>
      <c r="M2864" t="s" s="10">
        <v>40</v>
      </c>
      <c r="N2864" s="17">
        <v>91</v>
      </c>
      <c r="O2864" s="18">
        <v>634</v>
      </c>
      <c r="P2864" s="18">
        <v>672</v>
      </c>
      <c r="Q2864" s="15"/>
      <c r="R2864" t="s" s="16">
        <f>HYPERLINK("http://secrets.rutgers.edu:8080/data/asl-ftp/asllvd/demos/verify_start_end_handshape_annotations//test_auto_move//signs_mov_separ_signers/Brady_16545.mov","MOV")</f>
        <v>21</v>
      </c>
    </row>
    <row r="2865" s="2" customFormat="1" ht="13.5" customHeight="1">
      <c r="B2865" t="s" s="8">
        <v>997</v>
      </c>
      <c r="C2865" t="s" s="9">
        <v>14</v>
      </c>
      <c r="D2865" t="s" s="8">
        <v>14</v>
      </c>
      <c r="E2865" t="s" s="9">
        <v>14</v>
      </c>
      <c r="F2865" t="s" s="10">
        <v>14</v>
      </c>
      <c r="G2865" t="s" s="11">
        <v>14</v>
      </c>
      <c r="H2865" t="s" s="10">
        <v>14</v>
      </c>
      <c r="I2865" t="s" s="11">
        <v>14</v>
      </c>
      <c r="J2865" t="s" s="11">
        <v>14</v>
      </c>
      <c r="K2865" t="s" s="12">
        <v>14</v>
      </c>
      <c r="L2865" t="s" s="12">
        <v>14</v>
      </c>
      <c r="M2865" t="s" s="10">
        <v>14</v>
      </c>
      <c r="N2865" t="s" s="11">
        <v>14</v>
      </c>
      <c r="O2865" t="s" s="8">
        <v>14</v>
      </c>
      <c r="P2865" t="s" s="8">
        <v>14</v>
      </c>
      <c r="Q2865" t="s" s="12">
        <v>14</v>
      </c>
      <c r="R2865" t="s" s="12">
        <v>14</v>
      </c>
    </row>
    <row r="2866" s="2" customFormat="1" ht="13.5" customHeight="1">
      <c r="B2866" s="13"/>
      <c r="C2866" t="s" s="9">
        <v>16</v>
      </c>
      <c r="D2866" t="s" s="8">
        <v>997</v>
      </c>
      <c r="E2866" t="s" s="9">
        <v>997</v>
      </c>
      <c r="F2866" t="s" s="10">
        <v>73</v>
      </c>
      <c r="G2866" t="s" s="11">
        <v>73</v>
      </c>
      <c r="H2866" t="s" s="10">
        <v>73</v>
      </c>
      <c r="I2866" t="s" s="11">
        <v>73</v>
      </c>
      <c r="J2866" t="s" s="11">
        <v>20</v>
      </c>
      <c r="K2866" s="15"/>
      <c r="L2866" t="s" s="16">
        <f>HYPERLINK("http://csr.bu.edu/ftp/asl/asllvd/demos/verify_start_end_handshape_annotations//test_auto_move//signs_mov_separ_signers/Liz_611.mov","MOV")</f>
        <v>21</v>
      </c>
      <c r="M2866" t="s" s="10">
        <v>84</v>
      </c>
      <c r="N2866" s="17">
        <v>12</v>
      </c>
      <c r="O2866" s="18">
        <v>552</v>
      </c>
      <c r="P2866" s="18">
        <v>590</v>
      </c>
      <c r="Q2866" s="15"/>
      <c r="R2866" t="s" s="16">
        <f>HYPERLINK("http://secrets.rutgers.edu:8080/data/asl-ftp/asllvd/demos/verify_start_end_handshape_annotations//test_auto_move//signs_mov_separ_signers/Liz_611.mov","MOV")</f>
        <v>21</v>
      </c>
    </row>
    <row r="2867" s="2" customFormat="1" ht="13.5" customHeight="1">
      <c r="B2867" s="13"/>
      <c r="C2867" t="s" s="9">
        <v>16</v>
      </c>
      <c r="D2867" t="s" s="8">
        <v>997</v>
      </c>
      <c r="E2867" t="s" s="9">
        <v>997</v>
      </c>
      <c r="F2867" t="s" s="10">
        <v>109</v>
      </c>
      <c r="G2867" t="s" s="11">
        <v>109</v>
      </c>
      <c r="H2867" t="s" s="10">
        <v>109</v>
      </c>
      <c r="I2867" t="s" s="11">
        <v>109</v>
      </c>
      <c r="J2867" t="s" s="11">
        <v>20</v>
      </c>
      <c r="K2867" s="15"/>
      <c r="L2867" t="s" s="16">
        <f>HYPERLINK("http://csr.bu.edu/ftp/asl/asllvd/demos/verify_start_end_handshape_annotations//test_auto_move//signs_mov_separ_signers/Liz_3753.mov","MOV")</f>
        <v>21</v>
      </c>
      <c r="M2867" t="s" s="10">
        <v>36</v>
      </c>
      <c r="N2867" s="17">
        <v>27</v>
      </c>
      <c r="O2867" s="18">
        <v>2840</v>
      </c>
      <c r="P2867" s="18">
        <v>2905</v>
      </c>
      <c r="Q2867" s="15"/>
      <c r="R2867" t="s" s="16">
        <f>HYPERLINK("http://secrets.rutgers.edu:8080/data/asl-ftp/asllvd/demos/verify_start_end_handshape_annotations//test_auto_move//signs_mov_separ_signers/Liz_3753.mov","MOV")</f>
        <v>21</v>
      </c>
    </row>
    <row r="2868" s="2" customFormat="1" ht="13.5" customHeight="1">
      <c r="B2868" s="13"/>
      <c r="C2868" t="s" s="9">
        <v>23</v>
      </c>
      <c r="D2868" t="s" s="8">
        <v>997</v>
      </c>
      <c r="E2868" t="s" s="9">
        <v>997</v>
      </c>
      <c r="F2868" t="s" s="10">
        <v>73</v>
      </c>
      <c r="G2868" t="s" s="11">
        <v>73</v>
      </c>
      <c r="H2868" t="s" s="10">
        <v>73</v>
      </c>
      <c r="I2868" t="s" s="11">
        <v>73</v>
      </c>
      <c r="J2868" t="s" s="11">
        <v>20</v>
      </c>
      <c r="K2868" s="15"/>
      <c r="L2868" t="s" s="16">
        <f>HYPERLINK("http://csr.bu.edu/ftp/asl/asllvd/demos/verify_start_end_handshape_annotations//test_auto_move//signs_mov_separ_signers/Tyler_611.mov","MOV")</f>
        <v>21</v>
      </c>
      <c r="M2868" t="s" s="10">
        <v>125</v>
      </c>
      <c r="N2868" s="17">
        <v>12</v>
      </c>
      <c r="O2868" s="18">
        <v>285</v>
      </c>
      <c r="P2868" s="18">
        <v>337</v>
      </c>
      <c r="Q2868" s="15"/>
      <c r="R2868" t="s" s="16">
        <f>HYPERLINK("http://secrets.rutgers.edu:8080/data/asl-ftp/asllvd/demos/verify_start_end_handshape_annotations//test_auto_move//signs_mov_separ_signers/Tyler_611.mov","MOV")</f>
        <v>21</v>
      </c>
    </row>
    <row r="2869" s="2" customFormat="1" ht="13.5" customHeight="1">
      <c r="B2869" s="13"/>
      <c r="C2869" t="s" s="9">
        <v>27</v>
      </c>
      <c r="D2869" t="s" s="8">
        <v>997</v>
      </c>
      <c r="E2869" t="s" s="9">
        <v>997</v>
      </c>
      <c r="F2869" t="s" s="10">
        <v>73</v>
      </c>
      <c r="G2869" t="s" s="11">
        <v>73</v>
      </c>
      <c r="H2869" t="s" s="10">
        <v>73</v>
      </c>
      <c r="I2869" t="s" s="11">
        <v>73</v>
      </c>
      <c r="J2869" t="s" s="11">
        <v>20</v>
      </c>
      <c r="K2869" t="s" s="16">
        <f>HYPERLINK("http://csr.bu.edu/ftp/asl/asllvd/demos/verify_start_end_handshape_annotations//test_auto_move//signs_mov/611_3753_merged.mov","MOV")</f>
        <v>21</v>
      </c>
      <c r="L2869" t="s" s="16">
        <f>HYPERLINK("http://csr.bu.edu/ftp/asl/asllvd/demos/verify_start_end_handshape_annotations//test_auto_move//signs_mov_separ_signers/Naomi_611.mov","MOV")</f>
        <v>21</v>
      </c>
      <c r="M2869" t="s" s="10">
        <v>86</v>
      </c>
      <c r="N2869" s="17">
        <v>12</v>
      </c>
      <c r="O2869" s="18">
        <v>180</v>
      </c>
      <c r="P2869" s="18">
        <v>210</v>
      </c>
      <c r="Q2869" t="s" s="16">
        <f>HYPERLINK("http://secrets.rutgers.edu:8080/data/asl-ftp/asllvd/demos/verify_start_end_handshape_annotations//test_auto_move//signs_mov/611_3753_merged.mov","MOV")</f>
        <v>21</v>
      </c>
      <c r="R2869" t="s" s="16">
        <f>HYPERLINK("http://secrets.rutgers.edu:8080/data/asl-ftp/asllvd/demos/verify_start_end_handshape_annotations//test_auto_move//signs_mov_separ_signers/Naomi_611.mov","MOV")</f>
        <v>21</v>
      </c>
    </row>
    <row r="2870" s="2" customFormat="1" ht="13.5" customHeight="1">
      <c r="B2870" s="13"/>
      <c r="C2870" t="s" s="9">
        <v>30</v>
      </c>
      <c r="D2870" t="s" s="8">
        <v>997</v>
      </c>
      <c r="E2870" t="s" s="9">
        <v>997</v>
      </c>
      <c r="F2870" t="s" s="10">
        <v>73</v>
      </c>
      <c r="G2870" t="s" s="11">
        <v>73</v>
      </c>
      <c r="H2870" t="s" s="10">
        <v>73</v>
      </c>
      <c r="I2870" t="s" s="11">
        <v>73</v>
      </c>
      <c r="J2870" t="s" s="11">
        <v>20</v>
      </c>
      <c r="K2870" s="15"/>
      <c r="L2870" t="s" s="16">
        <f>HYPERLINK("http://csr.bu.edu/ftp/asl/asllvd/demos/verify_start_end_handshape_annotations//test_auto_move//signs_mov_separ_signers/Brady_611.mov","MOV")</f>
        <v>21</v>
      </c>
      <c r="M2870" t="s" s="10">
        <v>31</v>
      </c>
      <c r="N2870" s="17">
        <v>32</v>
      </c>
      <c r="O2870" s="18">
        <v>5610</v>
      </c>
      <c r="P2870" s="18">
        <v>5631</v>
      </c>
      <c r="Q2870" s="15"/>
      <c r="R2870" t="s" s="16">
        <f>HYPERLINK("http://secrets.rutgers.edu:8080/data/asl-ftp/asllvd/demos/verify_start_end_handshape_annotations//test_auto_move//signs_mov_separ_signers/Brady_611.mov","MOV")</f>
        <v>21</v>
      </c>
    </row>
    <row r="2871" s="2" customFormat="1" ht="13.5" customHeight="1">
      <c r="B2871" s="13"/>
      <c r="C2871" t="s" s="9">
        <v>30</v>
      </c>
      <c r="D2871" t="s" s="8">
        <v>997</v>
      </c>
      <c r="E2871" t="s" s="9">
        <v>997</v>
      </c>
      <c r="F2871" t="s" s="10">
        <v>73</v>
      </c>
      <c r="G2871" t="s" s="11">
        <v>73</v>
      </c>
      <c r="H2871" t="s" s="10">
        <v>73</v>
      </c>
      <c r="I2871" t="s" s="11">
        <v>73</v>
      </c>
      <c r="J2871" t="s" s="11">
        <v>20</v>
      </c>
      <c r="K2871" s="15"/>
      <c r="L2871" t="s" s="16">
        <f>HYPERLINK("http://csr.bu.edu/ftp/asl/asllvd/demos/verify_start_end_handshape_annotations//test_auto_move//signs_mov_separ_signers/Brady_3753.mov","MOV")</f>
        <v>21</v>
      </c>
      <c r="M2871" t="s" s="10">
        <v>40</v>
      </c>
      <c r="N2871" s="17">
        <v>79</v>
      </c>
      <c r="O2871" s="18">
        <v>153</v>
      </c>
      <c r="P2871" s="18">
        <v>172</v>
      </c>
      <c r="Q2871" s="15"/>
      <c r="R2871" t="s" s="16">
        <f>HYPERLINK("http://secrets.rutgers.edu:8080/data/asl-ftp/asllvd/demos/verify_start_end_handshape_annotations//test_auto_move//signs_mov_separ_signers/Brady_3753.mov","MOV")</f>
        <v>21</v>
      </c>
    </row>
    <row r="2872" s="2" customFormat="1" ht="13.5" customHeight="1">
      <c r="B2872" s="13"/>
      <c r="C2872" t="s" s="9">
        <v>41</v>
      </c>
      <c r="D2872" t="s" s="8">
        <v>997</v>
      </c>
      <c r="E2872" t="s" s="9">
        <v>997</v>
      </c>
      <c r="F2872" t="s" s="10">
        <v>73</v>
      </c>
      <c r="G2872" t="s" s="11">
        <v>73</v>
      </c>
      <c r="H2872" t="s" s="10">
        <v>73</v>
      </c>
      <c r="I2872" t="s" s="11">
        <v>73</v>
      </c>
      <c r="J2872" t="s" s="11">
        <v>20</v>
      </c>
      <c r="K2872" s="15"/>
      <c r="L2872" t="s" s="16">
        <f>HYPERLINK("http://csr.bu.edu/ftp/asl/asllvd/demos/verify_start_end_handshape_annotations//test_auto_move//signs_mov_separ_signers/Lana_611.mov","MOV")</f>
        <v>21</v>
      </c>
      <c r="M2872" t="s" s="10">
        <v>42</v>
      </c>
      <c r="N2872" s="17">
        <v>6</v>
      </c>
      <c r="O2872" s="18">
        <v>2495</v>
      </c>
      <c r="P2872" s="18">
        <v>2513</v>
      </c>
      <c r="Q2872" s="15"/>
      <c r="R2872" t="s" s="16">
        <f>HYPERLINK("http://secrets.rutgers.edu:8080/data/asl-ftp/asllvd/demos/verify_start_end_handshape_annotations//test_auto_move//signs_mov_separ_signers/Lana_611.mov","MOV")</f>
        <v>21</v>
      </c>
    </row>
    <row r="2873" s="2" customFormat="1" ht="13.5" customHeight="1">
      <c r="B2873" s="13"/>
      <c r="C2873" t="s" s="9">
        <v>43</v>
      </c>
      <c r="D2873" t="s" s="8">
        <v>997</v>
      </c>
      <c r="E2873" t="s" s="9">
        <v>997</v>
      </c>
      <c r="F2873" t="s" s="10">
        <v>73</v>
      </c>
      <c r="G2873" t="s" s="11">
        <v>73</v>
      </c>
      <c r="H2873" t="s" s="10">
        <v>73</v>
      </c>
      <c r="I2873" t="s" s="11">
        <v>73</v>
      </c>
      <c r="J2873" t="s" s="11">
        <v>20</v>
      </c>
      <c r="K2873" s="15"/>
      <c r="L2873" t="s" s="16">
        <f>HYPERLINK("http://csr.bu.edu/ftp/asl/asllvd/demos/verify_start_end_handshape_annotations//test_auto_move//signs_mov_separ_signers/Dana_611.mov","MOV")</f>
        <v>21</v>
      </c>
      <c r="M2873" t="s" s="10">
        <v>44</v>
      </c>
      <c r="N2873" s="17">
        <v>10</v>
      </c>
      <c r="O2873" s="18">
        <v>2831</v>
      </c>
      <c r="P2873" s="18">
        <v>2886</v>
      </c>
      <c r="Q2873" s="15"/>
      <c r="R2873" t="s" s="16">
        <f>HYPERLINK("http://secrets.rutgers.edu:8080/data/asl-ftp/asllvd/demos/verify_start_end_handshape_annotations//test_auto_move//signs_mov_separ_signers/Dana_611.mov","MOV")</f>
        <v>21</v>
      </c>
    </row>
    <row r="2874" s="2" customFormat="1" ht="13.5" customHeight="1">
      <c r="B2874" t="s" s="8">
        <v>998</v>
      </c>
      <c r="C2874" t="s" s="9">
        <v>14</v>
      </c>
      <c r="D2874" t="s" s="8">
        <v>14</v>
      </c>
      <c r="E2874" t="s" s="9">
        <v>14</v>
      </c>
      <c r="F2874" t="s" s="10">
        <v>14</v>
      </c>
      <c r="G2874" t="s" s="11">
        <v>14</v>
      </c>
      <c r="H2874" t="s" s="10">
        <v>14</v>
      </c>
      <c r="I2874" t="s" s="11">
        <v>14</v>
      </c>
      <c r="J2874" t="s" s="11">
        <v>14</v>
      </c>
      <c r="K2874" t="s" s="12">
        <v>14</v>
      </c>
      <c r="L2874" t="s" s="12">
        <v>14</v>
      </c>
      <c r="M2874" t="s" s="10">
        <v>14</v>
      </c>
      <c r="N2874" t="s" s="11">
        <v>14</v>
      </c>
      <c r="O2874" t="s" s="8">
        <v>14</v>
      </c>
      <c r="P2874" t="s" s="8">
        <v>14</v>
      </c>
      <c r="Q2874" t="s" s="12">
        <v>14</v>
      </c>
      <c r="R2874" t="s" s="12">
        <v>14</v>
      </c>
    </row>
    <row r="2875" s="2" customFormat="1" ht="13.5" customHeight="1">
      <c r="B2875" s="13"/>
      <c r="C2875" t="s" s="9">
        <v>16</v>
      </c>
      <c r="D2875" t="s" s="8">
        <v>998</v>
      </c>
      <c r="E2875" t="s" s="9">
        <v>998</v>
      </c>
      <c r="F2875" s="19">
        <v>5</v>
      </c>
      <c r="G2875" s="17">
        <v>5</v>
      </c>
      <c r="H2875" s="19">
        <v>5</v>
      </c>
      <c r="I2875" s="17">
        <v>5</v>
      </c>
      <c r="J2875" t="s" s="11">
        <v>20</v>
      </c>
      <c r="K2875" s="15"/>
      <c r="L2875" t="s" s="16">
        <f>HYPERLINK("http://csr.bu.edu/ftp/asl/asllvd/demos/verify_start_end_handshape_annotations//test_auto_move//signs_mov_separ_signers/Liz_15719.mov","MOV")</f>
        <v>21</v>
      </c>
      <c r="M2875" t="s" s="10">
        <v>84</v>
      </c>
      <c r="N2875" s="17">
        <v>7</v>
      </c>
      <c r="O2875" s="18">
        <v>2485</v>
      </c>
      <c r="P2875" s="18">
        <v>2517</v>
      </c>
      <c r="Q2875" s="15"/>
      <c r="R2875" t="s" s="16">
        <f>HYPERLINK("http://secrets.rutgers.edu:8080/data/asl-ftp/asllvd/demos/verify_start_end_handshape_annotations//test_auto_move//signs_mov_separ_signers/Liz_15719.mov","MOV")</f>
        <v>21</v>
      </c>
    </row>
    <row r="2876" s="2" customFormat="1" ht="13.5" customHeight="1">
      <c r="B2876" s="13"/>
      <c r="C2876" t="s" s="9">
        <v>23</v>
      </c>
      <c r="D2876" t="s" s="8">
        <v>998</v>
      </c>
      <c r="E2876" t="s" s="9">
        <v>998</v>
      </c>
      <c r="F2876" t="s" s="10">
        <v>73</v>
      </c>
      <c r="G2876" t="s" s="11">
        <v>73</v>
      </c>
      <c r="H2876" t="s" s="10">
        <v>73</v>
      </c>
      <c r="I2876" t="s" s="11">
        <v>73</v>
      </c>
      <c r="J2876" t="s" s="11">
        <v>20</v>
      </c>
      <c r="K2876" s="15"/>
      <c r="L2876" t="s" s="16">
        <f>HYPERLINK("http://csr.bu.edu/ftp/asl/asllvd/demos/verify_start_end_handshape_annotations//test_auto_move//signs_mov_separ_signers/Tyler_15719.mov","MOV")</f>
        <v>21</v>
      </c>
      <c r="M2876" t="s" s="10">
        <v>125</v>
      </c>
      <c r="N2876" s="17">
        <v>7</v>
      </c>
      <c r="O2876" s="18">
        <v>2435</v>
      </c>
      <c r="P2876" s="18">
        <v>2453</v>
      </c>
      <c r="Q2876" s="15"/>
      <c r="R2876" t="s" s="16">
        <f>HYPERLINK("http://secrets.rutgers.edu:8080/data/asl-ftp/asllvd/demos/verify_start_end_handshape_annotations//test_auto_move//signs_mov_separ_signers/Tyler_15719.mov","MOV")</f>
        <v>21</v>
      </c>
    </row>
    <row r="2877" s="2" customFormat="1" ht="13.5" customHeight="1">
      <c r="B2877" s="13"/>
      <c r="C2877" t="s" s="9">
        <v>27</v>
      </c>
      <c r="D2877" t="s" s="8">
        <v>998</v>
      </c>
      <c r="E2877" t="s" s="9">
        <v>998</v>
      </c>
      <c r="F2877" s="19">
        <v>5</v>
      </c>
      <c r="G2877" s="17">
        <v>5</v>
      </c>
      <c r="H2877" s="19">
        <v>5</v>
      </c>
      <c r="I2877" s="17">
        <v>5</v>
      </c>
      <c r="J2877" t="s" s="11">
        <v>20</v>
      </c>
      <c r="K2877" t="s" s="16">
        <f>HYPERLINK("http://csr.bu.edu/ftp/asl/asllvd/demos/verify_start_end_handshape_annotations//test_auto_move//signs_mov/15719_15751_merged.mov","MOV")</f>
        <v>21</v>
      </c>
      <c r="L2877" t="s" s="16">
        <f>HYPERLINK("http://csr.bu.edu/ftp/asl/asllvd/demos/verify_start_end_handshape_annotations//test_auto_move//signs_mov_separ_signers/Naomi_15719.mov","MOV")</f>
        <v>21</v>
      </c>
      <c r="M2877" t="s" s="10">
        <v>86</v>
      </c>
      <c r="N2877" s="17">
        <v>7</v>
      </c>
      <c r="O2877" s="18">
        <v>2180</v>
      </c>
      <c r="P2877" s="18">
        <v>2201</v>
      </c>
      <c r="Q2877" t="s" s="16">
        <f>HYPERLINK("http://secrets.rutgers.edu:8080/data/asl-ftp/asllvd/demos/verify_start_end_handshape_annotations//test_auto_move//signs_mov/15719_15751_merged.mov","MOV")</f>
        <v>21</v>
      </c>
      <c r="R2877" t="s" s="16">
        <f>HYPERLINK("http://secrets.rutgers.edu:8080/data/asl-ftp/asllvd/demos/verify_start_end_handshape_annotations//test_auto_move//signs_mov_separ_signers/Naomi_15719.mov","MOV")</f>
        <v>21</v>
      </c>
    </row>
    <row r="2878" s="2" customFormat="1" ht="13.5" customHeight="1">
      <c r="B2878" s="13"/>
      <c r="C2878" t="s" s="9">
        <v>30</v>
      </c>
      <c r="D2878" t="s" s="8">
        <v>998</v>
      </c>
      <c r="E2878" t="s" s="9">
        <v>998</v>
      </c>
      <c r="F2878" t="s" s="10">
        <v>73</v>
      </c>
      <c r="G2878" t="s" s="11">
        <v>73</v>
      </c>
      <c r="H2878" t="s" s="10">
        <v>73</v>
      </c>
      <c r="I2878" t="s" s="11">
        <v>73</v>
      </c>
      <c r="J2878" t="s" s="11">
        <v>20</v>
      </c>
      <c r="K2878" s="15"/>
      <c r="L2878" t="s" s="16">
        <f>HYPERLINK("http://csr.bu.edu/ftp/asl/asllvd/demos/verify_start_end_handshape_annotations//test_auto_move//signs_mov_separ_signers/Brady_15719.mov","MOV")</f>
        <v>21</v>
      </c>
      <c r="M2878" t="s" s="10">
        <v>31</v>
      </c>
      <c r="N2878" s="17">
        <v>31</v>
      </c>
      <c r="O2878" s="18">
        <v>1500</v>
      </c>
      <c r="P2878" s="18">
        <v>1523</v>
      </c>
      <c r="Q2878" s="15"/>
      <c r="R2878" t="s" s="16">
        <f>HYPERLINK("http://secrets.rutgers.edu:8080/data/asl-ftp/asllvd/demos/verify_start_end_handshape_annotations//test_auto_move//signs_mov_separ_signers/Brady_15719.mov","MOV")</f>
        <v>21</v>
      </c>
    </row>
    <row r="2879" s="2" customFormat="1" ht="13.5" customHeight="1">
      <c r="B2879" s="13"/>
      <c r="C2879" t="s" s="9">
        <v>30</v>
      </c>
      <c r="D2879" t="s" s="8">
        <v>998</v>
      </c>
      <c r="E2879" t="s" s="9">
        <v>998</v>
      </c>
      <c r="F2879" s="19">
        <v>5</v>
      </c>
      <c r="G2879" s="17">
        <v>5</v>
      </c>
      <c r="H2879" t="s" s="10">
        <v>73</v>
      </c>
      <c r="I2879" t="s" s="11">
        <v>73</v>
      </c>
      <c r="J2879" t="s" s="11">
        <v>20</v>
      </c>
      <c r="K2879" s="15"/>
      <c r="L2879" t="s" s="16">
        <f>HYPERLINK("http://csr.bu.edu/ftp/asl/asllvd/demos/verify_start_end_handshape_annotations//test_auto_move//signs_mov_separ_signers/Brady_15751.mov","MOV")</f>
        <v>21</v>
      </c>
      <c r="M2879" t="s" s="10">
        <v>31</v>
      </c>
      <c r="N2879" s="17">
        <v>31</v>
      </c>
      <c r="O2879" s="18">
        <v>2035</v>
      </c>
      <c r="P2879" s="18">
        <v>2053</v>
      </c>
      <c r="Q2879" s="15"/>
      <c r="R2879" t="s" s="16">
        <f>HYPERLINK("http://secrets.rutgers.edu:8080/data/asl-ftp/asllvd/demos/verify_start_end_handshape_annotations//test_auto_move//signs_mov_separ_signers/Brady_15751.mov","MOV")</f>
        <v>21</v>
      </c>
    </row>
    <row r="2880" s="2" customFormat="1" ht="13.5" customHeight="1">
      <c r="B2880" t="s" s="8">
        <v>999</v>
      </c>
      <c r="C2880" t="s" s="9">
        <v>14</v>
      </c>
      <c r="D2880" t="s" s="8">
        <v>14</v>
      </c>
      <c r="E2880" t="s" s="9">
        <v>14</v>
      </c>
      <c r="F2880" t="s" s="10">
        <v>14</v>
      </c>
      <c r="G2880" t="s" s="11">
        <v>14</v>
      </c>
      <c r="H2880" t="s" s="10">
        <v>14</v>
      </c>
      <c r="I2880" t="s" s="11">
        <v>14</v>
      </c>
      <c r="J2880" t="s" s="11">
        <v>14</v>
      </c>
      <c r="K2880" t="s" s="12">
        <v>14</v>
      </c>
      <c r="L2880" t="s" s="12">
        <v>14</v>
      </c>
      <c r="M2880" t="s" s="10">
        <v>14</v>
      </c>
      <c r="N2880" t="s" s="11">
        <v>14</v>
      </c>
      <c r="O2880" t="s" s="8">
        <v>14</v>
      </c>
      <c r="P2880" t="s" s="8">
        <v>14</v>
      </c>
      <c r="Q2880" t="s" s="12">
        <v>14</v>
      </c>
      <c r="R2880" t="s" s="12">
        <v>14</v>
      </c>
    </row>
    <row r="2881" s="2" customFormat="1" ht="13.5" customHeight="1">
      <c r="B2881" s="13"/>
      <c r="C2881" t="s" s="9">
        <v>16</v>
      </c>
      <c r="D2881" t="s" s="8">
        <v>999</v>
      </c>
      <c r="E2881" t="s" s="9">
        <v>999</v>
      </c>
      <c r="F2881" t="s" s="10">
        <v>28</v>
      </c>
      <c r="G2881" s="14"/>
      <c r="H2881" t="s" s="10">
        <v>25</v>
      </c>
      <c r="I2881" s="14"/>
      <c r="J2881" t="s" s="11">
        <v>20</v>
      </c>
      <c r="K2881" s="15"/>
      <c r="L2881" t="s" s="16">
        <f>HYPERLINK("http://csr.bu.edu/ftp/asl/asllvd/demos/verify_start_end_handshape_annotations//test_auto_move//signs_mov_separ_signers/Liz_612.mov","MOV")</f>
        <v>21</v>
      </c>
      <c r="M2881" t="s" s="10">
        <v>84</v>
      </c>
      <c r="N2881" s="17">
        <v>12</v>
      </c>
      <c r="O2881" s="18">
        <v>815</v>
      </c>
      <c r="P2881" s="18">
        <v>845</v>
      </c>
      <c r="Q2881" s="15"/>
      <c r="R2881" t="s" s="16">
        <f>HYPERLINK("http://secrets.rutgers.edu:8080/data/asl-ftp/asllvd/demos/verify_start_end_handshape_annotations//test_auto_move//signs_mov_separ_signers/Liz_612.mov","MOV")</f>
        <v>21</v>
      </c>
    </row>
    <row r="2882" s="2" customFormat="1" ht="13.5" customHeight="1">
      <c r="B2882" s="13"/>
      <c r="C2882" t="s" s="9">
        <v>23</v>
      </c>
      <c r="D2882" t="s" s="8">
        <v>999</v>
      </c>
      <c r="E2882" t="s" s="9">
        <v>999</v>
      </c>
      <c r="F2882" t="s" s="10">
        <v>28</v>
      </c>
      <c r="G2882" s="14"/>
      <c r="H2882" t="s" s="10">
        <v>25</v>
      </c>
      <c r="I2882" s="14"/>
      <c r="J2882" t="s" s="11">
        <v>20</v>
      </c>
      <c r="K2882" t="s" s="16">
        <f>HYPERLINK("http://csr.bu.edu/ftp/asl/asllvd/demos/verify_start_end_handshape_annotations//test_auto_move//signs_mov/612.mov","MOV")</f>
        <v>21</v>
      </c>
      <c r="L2882" t="s" s="16">
        <f>HYPERLINK("http://csr.bu.edu/ftp/asl/asllvd/demos/verify_start_end_handshape_annotations//test_auto_move//signs_mov_separ_signers/Tyler_612.mov","MOV")</f>
        <v>21</v>
      </c>
      <c r="M2882" t="s" s="10">
        <v>125</v>
      </c>
      <c r="N2882" s="17">
        <v>12</v>
      </c>
      <c r="O2882" s="18">
        <v>615</v>
      </c>
      <c r="P2882" s="18">
        <v>635</v>
      </c>
      <c r="Q2882" t="s" s="16">
        <f>HYPERLINK("http://secrets.rutgers.edu:8080/data/asl-ftp/asllvd/demos/verify_start_end_handshape_annotations//test_auto_move//signs_mov/612.mov","MOV")</f>
        <v>21</v>
      </c>
      <c r="R2882" t="s" s="16">
        <f>HYPERLINK("http://secrets.rutgers.edu:8080/data/asl-ftp/asllvd/demos/verify_start_end_handshape_annotations//test_auto_move//signs_mov_separ_signers/Tyler_612.mov","MOV")</f>
        <v>21</v>
      </c>
    </row>
    <row r="2883" s="2" customFormat="1" ht="13.5" customHeight="1">
      <c r="B2883" s="13"/>
      <c r="C2883" t="s" s="9">
        <v>27</v>
      </c>
      <c r="D2883" t="s" s="8">
        <v>999</v>
      </c>
      <c r="E2883" t="s" s="9">
        <v>999</v>
      </c>
      <c r="F2883" t="s" s="10">
        <v>65</v>
      </c>
      <c r="G2883" s="14"/>
      <c r="H2883" s="19">
        <v>1</v>
      </c>
      <c r="I2883" s="14"/>
      <c r="J2883" t="s" s="11">
        <v>20</v>
      </c>
      <c r="K2883" s="15"/>
      <c r="L2883" t="s" s="16">
        <f>HYPERLINK("http://csr.bu.edu/ftp/asl/asllvd/demos/verify_start_end_handshape_annotations//test_auto_move//signs_mov_separ_signers/Naomi_612.mov","MOV")</f>
        <v>21</v>
      </c>
      <c r="M2883" t="s" s="10">
        <v>86</v>
      </c>
      <c r="N2883" s="17">
        <v>12</v>
      </c>
      <c r="O2883" s="18">
        <v>582</v>
      </c>
      <c r="P2883" s="18">
        <v>610</v>
      </c>
      <c r="Q2883" s="15"/>
      <c r="R2883" t="s" s="16">
        <f>HYPERLINK("http://secrets.rutgers.edu:8080/data/asl-ftp/asllvd/demos/verify_start_end_handshape_annotations//test_auto_move//signs_mov_separ_signers/Naomi_612.mov","MOV")</f>
        <v>21</v>
      </c>
    </row>
    <row r="2884" s="2" customFormat="1" ht="13.5" customHeight="1">
      <c r="B2884" s="13"/>
      <c r="C2884" t="s" s="9">
        <v>30</v>
      </c>
      <c r="D2884" t="s" s="8">
        <v>999</v>
      </c>
      <c r="E2884" t="s" s="9">
        <v>999</v>
      </c>
      <c r="F2884" t="s" s="10">
        <v>28</v>
      </c>
      <c r="G2884" s="14"/>
      <c r="H2884" t="s" s="10">
        <v>25</v>
      </c>
      <c r="I2884" s="14"/>
      <c r="J2884" t="s" s="11">
        <v>20</v>
      </c>
      <c r="K2884" s="15"/>
      <c r="L2884" t="s" s="16">
        <f>HYPERLINK("http://csr.bu.edu/ftp/asl/asllvd/demos/verify_start_end_handshape_annotations//test_auto_move//signs_mov_separ_signers/Brady_612.mov","MOV")</f>
        <v>21</v>
      </c>
      <c r="M2884" t="s" s="10">
        <v>31</v>
      </c>
      <c r="N2884" s="17">
        <v>32</v>
      </c>
      <c r="O2884" s="18">
        <v>6938</v>
      </c>
      <c r="P2884" s="18">
        <v>6959</v>
      </c>
      <c r="Q2884" s="15"/>
      <c r="R2884" t="s" s="16">
        <f>HYPERLINK("http://secrets.rutgers.edu:8080/data/asl-ftp/asllvd/demos/verify_start_end_handshape_annotations//test_auto_move//signs_mov_separ_signers/Brady_612.mov","MOV")</f>
        <v>21</v>
      </c>
    </row>
    <row r="2885" s="2" customFormat="1" ht="13.5" customHeight="1">
      <c r="B2885" t="s" s="8">
        <v>1000</v>
      </c>
      <c r="C2885" t="s" s="9">
        <v>14</v>
      </c>
      <c r="D2885" t="s" s="8">
        <v>14</v>
      </c>
      <c r="E2885" t="s" s="9">
        <v>14</v>
      </c>
      <c r="F2885" t="s" s="10">
        <v>14</v>
      </c>
      <c r="G2885" t="s" s="11">
        <v>14</v>
      </c>
      <c r="H2885" t="s" s="10">
        <v>14</v>
      </c>
      <c r="I2885" t="s" s="11">
        <v>14</v>
      </c>
      <c r="J2885" t="s" s="11">
        <v>14</v>
      </c>
      <c r="K2885" t="s" s="12">
        <v>14</v>
      </c>
      <c r="L2885" t="s" s="12">
        <v>14</v>
      </c>
      <c r="M2885" t="s" s="10">
        <v>14</v>
      </c>
      <c r="N2885" t="s" s="11">
        <v>14</v>
      </c>
      <c r="O2885" t="s" s="8">
        <v>14</v>
      </c>
      <c r="P2885" t="s" s="8">
        <v>14</v>
      </c>
      <c r="Q2885" t="s" s="12">
        <v>14</v>
      </c>
      <c r="R2885" t="s" s="12">
        <v>14</v>
      </c>
    </row>
    <row r="2886" s="2" customFormat="1" ht="13.5" customHeight="1">
      <c r="B2886" s="13"/>
      <c r="C2886" t="s" s="9">
        <v>16</v>
      </c>
      <c r="D2886" t="s" s="8">
        <v>1000</v>
      </c>
      <c r="E2886" t="s" s="9">
        <v>1000</v>
      </c>
      <c r="F2886" t="s" s="10">
        <v>268</v>
      </c>
      <c r="G2886" s="14"/>
      <c r="H2886" t="s" s="10">
        <v>268</v>
      </c>
      <c r="I2886" s="14"/>
      <c r="J2886" t="s" s="11">
        <v>20</v>
      </c>
      <c r="K2886" s="15"/>
      <c r="L2886" t="s" s="16">
        <f>HYPERLINK("http://csr.bu.edu/ftp/asl/asllvd/demos/verify_start_end_handshape_annotations//test_auto_move//signs_mov_separ_signers/Liz_613.mov","MOV")</f>
        <v>21</v>
      </c>
      <c r="M2886" t="s" s="10">
        <v>84</v>
      </c>
      <c r="N2886" s="17">
        <v>12</v>
      </c>
      <c r="O2886" s="18">
        <v>1130</v>
      </c>
      <c r="P2886" s="18">
        <v>1200</v>
      </c>
      <c r="Q2886" s="15"/>
      <c r="R2886" t="s" s="16">
        <f>HYPERLINK("http://secrets.rutgers.edu:8080/data/asl-ftp/asllvd/demos/verify_start_end_handshape_annotations//test_auto_move//signs_mov_separ_signers/Liz_613.mov","MOV")</f>
        <v>21</v>
      </c>
    </row>
    <row r="2887" s="2" customFormat="1" ht="13.5" customHeight="1">
      <c r="B2887" s="13"/>
      <c r="C2887" t="s" s="9">
        <v>27</v>
      </c>
      <c r="D2887" t="s" s="8">
        <v>1000</v>
      </c>
      <c r="E2887" t="s" s="9">
        <v>1000</v>
      </c>
      <c r="F2887" t="s" s="10">
        <v>268</v>
      </c>
      <c r="G2887" s="14"/>
      <c r="H2887" t="s" s="10">
        <v>268</v>
      </c>
      <c r="I2887" s="14"/>
      <c r="J2887" t="s" s="11">
        <v>20</v>
      </c>
      <c r="K2887" t="s" s="16">
        <f>HYPERLINK("http://csr.bu.edu/ftp/asl/asllvd/demos/verify_start_end_handshape_annotations//test_auto_move//signs_mov/613.mov","MOV")</f>
        <v>21</v>
      </c>
      <c r="L2887" t="s" s="16">
        <f>HYPERLINK("http://csr.bu.edu/ftp/asl/asllvd/demos/verify_start_end_handshape_annotations//test_auto_move//signs_mov_separ_signers/Naomi_613.mov","MOV")</f>
        <v>21</v>
      </c>
      <c r="M2887" t="s" s="10">
        <v>86</v>
      </c>
      <c r="N2887" s="17">
        <v>12</v>
      </c>
      <c r="O2887" s="18">
        <v>1045</v>
      </c>
      <c r="P2887" s="18">
        <v>1135</v>
      </c>
      <c r="Q2887" t="s" s="16">
        <f>HYPERLINK("http://secrets.rutgers.edu:8080/data/asl-ftp/asllvd/demos/verify_start_end_handshape_annotations//test_auto_move//signs_mov/613.mov","MOV")</f>
        <v>21</v>
      </c>
      <c r="R2887" t="s" s="16">
        <f>HYPERLINK("http://secrets.rutgers.edu:8080/data/asl-ftp/asllvd/demos/verify_start_end_handshape_annotations//test_auto_move//signs_mov_separ_signers/Naomi_613.mov","MOV")</f>
        <v>21</v>
      </c>
    </row>
    <row r="2888" s="2" customFormat="1" ht="13.5" customHeight="1">
      <c r="B2888" s="13"/>
      <c r="C2888" t="s" s="9">
        <v>30</v>
      </c>
      <c r="D2888" t="s" s="8">
        <v>1000</v>
      </c>
      <c r="E2888" t="s" s="9">
        <v>1000</v>
      </c>
      <c r="F2888" t="s" s="10">
        <v>268</v>
      </c>
      <c r="G2888" s="14"/>
      <c r="H2888" t="s" s="10">
        <v>268</v>
      </c>
      <c r="I2888" s="14"/>
      <c r="J2888" t="s" s="11">
        <v>20</v>
      </c>
      <c r="K2888" s="15"/>
      <c r="L2888" t="s" s="16">
        <f>HYPERLINK("http://csr.bu.edu/ftp/asl/asllvd/demos/verify_start_end_handshape_annotations//test_auto_move//signs_mov_separ_signers/Brady_613.mov","MOV")</f>
        <v>21</v>
      </c>
      <c r="M2888" t="s" s="10">
        <v>31</v>
      </c>
      <c r="N2888" s="17">
        <v>32</v>
      </c>
      <c r="O2888" s="18">
        <v>7372</v>
      </c>
      <c r="P2888" s="18">
        <v>7426</v>
      </c>
      <c r="Q2888" s="15"/>
      <c r="R2888" t="s" s="16">
        <f>HYPERLINK("http://secrets.rutgers.edu:8080/data/asl-ftp/asllvd/demos/verify_start_end_handshape_annotations//test_auto_move//signs_mov_separ_signers/Brady_613.mov","MOV")</f>
        <v>21</v>
      </c>
    </row>
    <row r="2889" s="2" customFormat="1" ht="13.5" customHeight="1">
      <c r="B2889" t="s" s="8">
        <v>1001</v>
      </c>
      <c r="C2889" t="s" s="9">
        <v>14</v>
      </c>
      <c r="D2889" t="s" s="8">
        <v>14</v>
      </c>
      <c r="E2889" t="s" s="9">
        <v>14</v>
      </c>
      <c r="F2889" t="s" s="10">
        <v>14</v>
      </c>
      <c r="G2889" t="s" s="11">
        <v>14</v>
      </c>
      <c r="H2889" t="s" s="10">
        <v>14</v>
      </c>
      <c r="I2889" t="s" s="11">
        <v>14</v>
      </c>
      <c r="J2889" t="s" s="11">
        <v>14</v>
      </c>
      <c r="K2889" t="s" s="12">
        <v>14</v>
      </c>
      <c r="L2889" t="s" s="12">
        <v>14</v>
      </c>
      <c r="M2889" t="s" s="10">
        <v>14</v>
      </c>
      <c r="N2889" t="s" s="11">
        <v>14</v>
      </c>
      <c r="O2889" t="s" s="8">
        <v>14</v>
      </c>
      <c r="P2889" t="s" s="8">
        <v>14</v>
      </c>
      <c r="Q2889" t="s" s="12">
        <v>14</v>
      </c>
      <c r="R2889" t="s" s="12">
        <v>14</v>
      </c>
    </row>
    <row r="2890" s="2" customFormat="1" ht="13.5" customHeight="1">
      <c r="B2890" s="13"/>
      <c r="C2890" t="s" s="9">
        <v>16</v>
      </c>
      <c r="D2890" t="s" s="8">
        <v>1001</v>
      </c>
      <c r="E2890" t="s" s="9">
        <v>1002</v>
      </c>
      <c r="F2890" t="s" s="10">
        <v>51</v>
      </c>
      <c r="G2890" t="s" s="11">
        <v>51</v>
      </c>
      <c r="H2890" t="s" s="10">
        <v>51</v>
      </c>
      <c r="I2890" t="s" s="11">
        <v>51</v>
      </c>
      <c r="J2890" t="s" s="11">
        <v>20</v>
      </c>
      <c r="K2890" s="15"/>
      <c r="L2890" t="s" s="16">
        <f>HYPERLINK("http://csr.bu.edu/ftp/asl/asllvd/demos/verify_start_end_handshape_annotations//test_auto_move//signs_mov_separ_signers/Liz_614.mov","MOV")</f>
        <v>21</v>
      </c>
      <c r="M2890" t="s" s="10">
        <v>84</v>
      </c>
      <c r="N2890" s="17">
        <v>12</v>
      </c>
      <c r="O2890" s="18">
        <v>1377</v>
      </c>
      <c r="P2890" s="18">
        <v>1415</v>
      </c>
      <c r="Q2890" s="15"/>
      <c r="R2890" t="s" s="16">
        <f>HYPERLINK("http://secrets.rutgers.edu:8080/data/asl-ftp/asllvd/demos/verify_start_end_handshape_annotations//test_auto_move//signs_mov_separ_signers/Liz_614.mov","MOV")</f>
        <v>21</v>
      </c>
    </row>
    <row r="2891" s="2" customFormat="1" ht="13.5" customHeight="1">
      <c r="B2891" s="13"/>
      <c r="C2891" t="s" s="9">
        <v>16</v>
      </c>
      <c r="D2891" t="s" s="8">
        <v>1001</v>
      </c>
      <c r="E2891" t="s" s="9">
        <v>1002</v>
      </c>
      <c r="F2891" t="s" s="10">
        <v>51</v>
      </c>
      <c r="G2891" t="s" s="11">
        <v>51</v>
      </c>
      <c r="H2891" t="s" s="10">
        <v>51</v>
      </c>
      <c r="I2891" t="s" s="11">
        <v>51</v>
      </c>
      <c r="J2891" t="s" s="11">
        <v>20</v>
      </c>
      <c r="K2891" s="15"/>
      <c r="L2891" t="s" s="16">
        <f>HYPERLINK("http://csr.bu.edu/ftp/asl/asllvd/demos/verify_start_end_handshape_annotations//test_auto_move//signs_mov_separ_signers/Liz_3607.mov","MOV")</f>
        <v>21</v>
      </c>
      <c r="M2891" t="s" s="10">
        <v>84</v>
      </c>
      <c r="N2891" s="17">
        <v>15</v>
      </c>
      <c r="O2891" s="18">
        <v>1495</v>
      </c>
      <c r="P2891" s="18">
        <v>1528</v>
      </c>
      <c r="Q2891" s="15"/>
      <c r="R2891" t="s" s="16">
        <f>HYPERLINK("http://secrets.rutgers.edu:8080/data/asl-ftp/asllvd/demos/verify_start_end_handshape_annotations//test_auto_move//signs_mov_separ_signers/Liz_3607.mov","MOV")</f>
        <v>21</v>
      </c>
    </row>
    <row r="2892" s="2" customFormat="1" ht="13.5" customHeight="1">
      <c r="B2892" s="13"/>
      <c r="C2892" t="s" s="9">
        <v>16</v>
      </c>
      <c r="D2892" t="s" s="8">
        <v>1001</v>
      </c>
      <c r="E2892" t="s" s="9">
        <v>1002</v>
      </c>
      <c r="F2892" t="s" s="10">
        <v>51</v>
      </c>
      <c r="G2892" t="s" s="11">
        <v>51</v>
      </c>
      <c r="H2892" t="s" s="10">
        <v>51</v>
      </c>
      <c r="I2892" t="s" s="11">
        <v>51</v>
      </c>
      <c r="J2892" t="s" s="11">
        <v>20</v>
      </c>
      <c r="K2892" s="15"/>
      <c r="L2892" t="s" s="16">
        <f>HYPERLINK("http://csr.bu.edu/ftp/asl/asllvd/demos/verify_start_end_handshape_annotations//test_auto_move//signs_mov_separ_signers/Liz_3886.mov","MOV")</f>
        <v>21</v>
      </c>
      <c r="M2892" t="s" s="10">
        <v>77</v>
      </c>
      <c r="N2892" s="17">
        <v>12</v>
      </c>
      <c r="O2892" s="18">
        <v>1440</v>
      </c>
      <c r="P2892" s="18">
        <v>1505</v>
      </c>
      <c r="Q2892" s="15"/>
      <c r="R2892" t="s" s="16">
        <f>HYPERLINK("http://secrets.rutgers.edu:8080/data/asl-ftp/asllvd/demos/verify_start_end_handshape_annotations//test_auto_move//signs_mov_separ_signers/Liz_3886.mov","MOV")</f>
        <v>21</v>
      </c>
    </row>
    <row r="2893" s="2" customFormat="1" ht="13.5" customHeight="1">
      <c r="B2893" s="13"/>
      <c r="C2893" t="s" s="9">
        <v>23</v>
      </c>
      <c r="D2893" t="s" s="8">
        <v>1001</v>
      </c>
      <c r="E2893" t="s" s="9">
        <v>1003</v>
      </c>
      <c r="F2893" t="s" s="10">
        <v>51</v>
      </c>
      <c r="G2893" t="s" s="11">
        <v>51</v>
      </c>
      <c r="H2893" t="s" s="10">
        <v>51</v>
      </c>
      <c r="I2893" t="s" s="11">
        <v>51</v>
      </c>
      <c r="J2893" t="s" s="11">
        <v>20</v>
      </c>
      <c r="K2893" s="15"/>
      <c r="L2893" t="s" s="16">
        <f>HYPERLINK("http://csr.bu.edu/ftp/asl/asllvd/demos/verify_start_end_handshape_annotations//test_auto_move//signs_mov_separ_signers/Tyler_614.mov","MOV")</f>
        <v>21</v>
      </c>
      <c r="M2893" t="s" s="10">
        <v>125</v>
      </c>
      <c r="N2893" s="17">
        <v>12</v>
      </c>
      <c r="O2893" s="18">
        <v>1760</v>
      </c>
      <c r="P2893" s="18">
        <v>1805</v>
      </c>
      <c r="Q2893" s="15"/>
      <c r="R2893" t="s" s="16">
        <f>HYPERLINK("http://secrets.rutgers.edu:8080/data/asl-ftp/asllvd/demos/verify_start_end_handshape_annotations//test_auto_move//signs_mov_separ_signers/Tyler_614.mov","MOV")</f>
        <v>21</v>
      </c>
    </row>
    <row r="2894" s="2" customFormat="1" ht="13.5" customHeight="1">
      <c r="B2894" s="13"/>
      <c r="C2894" t="s" s="9">
        <v>23</v>
      </c>
      <c r="D2894" t="s" s="8">
        <v>1001</v>
      </c>
      <c r="E2894" t="s" s="9">
        <v>1004</v>
      </c>
      <c r="F2894" t="s" s="10">
        <v>51</v>
      </c>
      <c r="G2894" t="s" s="11">
        <v>51</v>
      </c>
      <c r="H2894" t="s" s="10">
        <v>51</v>
      </c>
      <c r="I2894" t="s" s="11">
        <v>51</v>
      </c>
      <c r="J2894" t="s" s="11">
        <v>20</v>
      </c>
      <c r="K2894" t="s" s="16">
        <f>HYPERLINK("http://csr.bu.edu/ftp/asl/asllvd/demos/verify_start_end_handshape_annotations//test_auto_move//signs_mov/614_3607_3886_merged.mov","MOV")</f>
        <v>21</v>
      </c>
      <c r="L2894" t="s" s="16">
        <f>HYPERLINK("http://csr.bu.edu/ftp/asl/asllvd/demos/verify_start_end_handshape_annotations//test_auto_move//signs_mov_separ_signers/Tyler_3607.mov","MOV")</f>
        <v>21</v>
      </c>
      <c r="M2894" t="s" s="10">
        <v>125</v>
      </c>
      <c r="N2894" s="17">
        <v>15</v>
      </c>
      <c r="O2894" s="18">
        <v>1325</v>
      </c>
      <c r="P2894" s="18">
        <v>1365</v>
      </c>
      <c r="Q2894" t="s" s="16">
        <f>HYPERLINK("http://secrets.rutgers.edu:8080/data/asl-ftp/asllvd/demos/verify_start_end_handshape_annotations//test_auto_move//signs_mov/614_3607_3886_merged.mov","MOV")</f>
        <v>21</v>
      </c>
      <c r="R2894" t="s" s="16">
        <f>HYPERLINK("http://secrets.rutgers.edu:8080/data/asl-ftp/asllvd/demos/verify_start_end_handshape_annotations//test_auto_move//signs_mov_separ_signers/Tyler_3607.mov","MOV")</f>
        <v>21</v>
      </c>
    </row>
    <row r="2895" s="2" customFormat="1" ht="13.5" customHeight="1">
      <c r="B2895" s="13"/>
      <c r="C2895" t="s" s="9">
        <v>27</v>
      </c>
      <c r="D2895" t="s" s="8">
        <v>1001</v>
      </c>
      <c r="E2895" t="s" s="9">
        <v>1002</v>
      </c>
      <c r="F2895" t="s" s="10">
        <v>51</v>
      </c>
      <c r="G2895" t="s" s="11">
        <v>51</v>
      </c>
      <c r="H2895" t="s" s="10">
        <v>51</v>
      </c>
      <c r="I2895" t="s" s="11">
        <v>51</v>
      </c>
      <c r="J2895" t="s" s="11">
        <v>20</v>
      </c>
      <c r="K2895" s="15"/>
      <c r="L2895" t="s" s="16">
        <f>HYPERLINK("http://csr.bu.edu/ftp/asl/asllvd/demos/verify_start_end_handshape_annotations//test_auto_move//signs_mov_separ_signers/Naomi_614.mov","MOV")</f>
        <v>21</v>
      </c>
      <c r="M2895" t="s" s="10">
        <v>86</v>
      </c>
      <c r="N2895" s="17">
        <v>12</v>
      </c>
      <c r="O2895" s="18">
        <v>1355</v>
      </c>
      <c r="P2895" s="18">
        <v>1386</v>
      </c>
      <c r="Q2895" s="15"/>
      <c r="R2895" t="s" s="16">
        <f>HYPERLINK("http://secrets.rutgers.edu:8080/data/asl-ftp/asllvd/demos/verify_start_end_handshape_annotations//test_auto_move//signs_mov_separ_signers/Naomi_614.mov","MOV")</f>
        <v>21</v>
      </c>
    </row>
    <row r="2896" s="2" customFormat="1" ht="13.5" customHeight="1">
      <c r="B2896" s="13"/>
      <c r="C2896" t="s" s="9">
        <v>27</v>
      </c>
      <c r="D2896" t="s" s="8">
        <v>1001</v>
      </c>
      <c r="E2896" t="s" s="9">
        <v>1002</v>
      </c>
      <c r="F2896" t="s" s="10">
        <v>51</v>
      </c>
      <c r="G2896" t="s" s="11">
        <v>51</v>
      </c>
      <c r="H2896" t="s" s="10">
        <v>51</v>
      </c>
      <c r="I2896" t="s" s="11">
        <v>51</v>
      </c>
      <c r="J2896" t="s" s="11">
        <v>20</v>
      </c>
      <c r="K2896" s="15"/>
      <c r="L2896" t="s" s="16">
        <f>HYPERLINK("http://csr.bu.edu/ftp/asl/asllvd/demos/verify_start_end_handshape_annotations//test_auto_move//signs_mov_separ_signers/Naomi_3607.mov","MOV")</f>
        <v>21</v>
      </c>
      <c r="M2896" t="s" s="10">
        <v>86</v>
      </c>
      <c r="N2896" s="17">
        <v>15</v>
      </c>
      <c r="O2896" s="18">
        <v>1651</v>
      </c>
      <c r="P2896" s="18">
        <v>1685</v>
      </c>
      <c r="Q2896" s="15"/>
      <c r="R2896" t="s" s="16">
        <f>HYPERLINK("http://secrets.rutgers.edu:8080/data/asl-ftp/asllvd/demos/verify_start_end_handshape_annotations//test_auto_move//signs_mov_separ_signers/Naomi_3607.mov","MOV")</f>
        <v>21</v>
      </c>
    </row>
    <row r="2897" s="2" customFormat="1" ht="13.5" customHeight="1">
      <c r="B2897" s="13"/>
      <c r="C2897" t="s" s="9">
        <v>30</v>
      </c>
      <c r="D2897" t="s" s="8">
        <v>1001</v>
      </c>
      <c r="E2897" t="s" s="9">
        <v>1003</v>
      </c>
      <c r="F2897" t="s" s="10">
        <v>51</v>
      </c>
      <c r="G2897" t="s" s="11">
        <v>51</v>
      </c>
      <c r="H2897" t="s" s="10">
        <v>51</v>
      </c>
      <c r="I2897" t="s" s="11">
        <v>51</v>
      </c>
      <c r="J2897" t="s" s="11">
        <v>20</v>
      </c>
      <c r="K2897" s="15"/>
      <c r="L2897" t="s" s="16">
        <f>HYPERLINK("http://csr.bu.edu/ftp/asl/asllvd/demos/verify_start_end_handshape_annotations//test_auto_move//signs_mov_separ_signers/Brady_614.mov","MOV")</f>
        <v>21</v>
      </c>
      <c r="M2897" t="s" s="10">
        <v>31</v>
      </c>
      <c r="N2897" s="17">
        <v>32</v>
      </c>
      <c r="O2897" s="18">
        <v>7663</v>
      </c>
      <c r="P2897" s="18">
        <v>7687</v>
      </c>
      <c r="Q2897" s="15"/>
      <c r="R2897" t="s" s="16">
        <f>HYPERLINK("http://secrets.rutgers.edu:8080/data/asl-ftp/asllvd/demos/verify_start_end_handshape_annotations//test_auto_move//signs_mov_separ_signers/Brady_614.mov","MOV")</f>
        <v>21</v>
      </c>
    </row>
    <row r="2898" s="2" customFormat="1" ht="13.5" customHeight="1">
      <c r="B2898" s="13"/>
      <c r="C2898" t="s" s="9">
        <v>30</v>
      </c>
      <c r="D2898" t="s" s="8">
        <v>1001</v>
      </c>
      <c r="E2898" t="s" s="9">
        <v>1003</v>
      </c>
      <c r="F2898" t="s" s="10">
        <v>51</v>
      </c>
      <c r="G2898" t="s" s="11">
        <v>51</v>
      </c>
      <c r="H2898" t="s" s="10">
        <v>51</v>
      </c>
      <c r="I2898" t="s" s="11">
        <v>51</v>
      </c>
      <c r="J2898" t="s" s="11">
        <v>20</v>
      </c>
      <c r="K2898" s="15"/>
      <c r="L2898" t="s" s="16">
        <f>HYPERLINK("http://csr.bu.edu/ftp/asl/asllvd/demos/verify_start_end_handshape_annotations//test_auto_move//signs_mov_separ_signers/Brady_3607.mov","MOV")</f>
        <v>21</v>
      </c>
      <c r="M2898" t="s" s="10">
        <v>31</v>
      </c>
      <c r="N2898" s="17">
        <v>33</v>
      </c>
      <c r="O2898" s="18">
        <v>7318</v>
      </c>
      <c r="P2898" s="18">
        <v>7340</v>
      </c>
      <c r="Q2898" s="15"/>
      <c r="R2898" t="s" s="16">
        <f>HYPERLINK("http://secrets.rutgers.edu:8080/data/asl-ftp/asllvd/demos/verify_start_end_handshape_annotations//test_auto_move//signs_mov_separ_signers/Brady_3607.mov","MOV")</f>
        <v>21</v>
      </c>
    </row>
    <row r="2899" s="2" customFormat="1" ht="13.5" customHeight="1">
      <c r="B2899" s="13"/>
      <c r="C2899" t="s" s="9">
        <v>30</v>
      </c>
      <c r="D2899" t="s" s="8">
        <v>1001</v>
      </c>
      <c r="E2899" t="s" s="9">
        <v>1002</v>
      </c>
      <c r="F2899" t="s" s="10">
        <v>51</v>
      </c>
      <c r="G2899" t="s" s="11">
        <v>51</v>
      </c>
      <c r="H2899" t="s" s="10">
        <v>51</v>
      </c>
      <c r="I2899" t="s" s="11">
        <v>51</v>
      </c>
      <c r="J2899" t="s" s="11">
        <v>20</v>
      </c>
      <c r="K2899" s="15"/>
      <c r="L2899" t="s" s="16">
        <f>HYPERLINK("http://csr.bu.edu/ftp/asl/asllvd/demos/verify_start_end_handshape_annotations//test_auto_move//signs_mov_separ_signers/Brady_3886.mov","MOV")</f>
        <v>21</v>
      </c>
      <c r="M2899" t="s" s="10">
        <v>31</v>
      </c>
      <c r="N2899" s="17">
        <v>33</v>
      </c>
      <c r="O2899" s="18">
        <v>7716</v>
      </c>
      <c r="P2899" s="18">
        <v>7734</v>
      </c>
      <c r="Q2899" s="15"/>
      <c r="R2899" t="s" s="16">
        <f>HYPERLINK("http://secrets.rutgers.edu:8080/data/asl-ftp/asllvd/demos/verify_start_end_handshape_annotations//test_auto_move//signs_mov_separ_signers/Brady_3886.mov","MOV")</f>
        <v>21</v>
      </c>
    </row>
    <row r="2900" s="2" customFormat="1" ht="13.5" customHeight="1">
      <c r="B2900" t="s" s="8">
        <v>1005</v>
      </c>
      <c r="C2900" t="s" s="9">
        <v>14</v>
      </c>
      <c r="D2900" t="s" s="8">
        <v>14</v>
      </c>
      <c r="E2900" t="s" s="9">
        <v>14</v>
      </c>
      <c r="F2900" t="s" s="10">
        <v>14</v>
      </c>
      <c r="G2900" t="s" s="11">
        <v>14</v>
      </c>
      <c r="H2900" t="s" s="10">
        <v>14</v>
      </c>
      <c r="I2900" t="s" s="11">
        <v>14</v>
      </c>
      <c r="J2900" t="s" s="11">
        <v>14</v>
      </c>
      <c r="K2900" t="s" s="12">
        <v>14</v>
      </c>
      <c r="L2900" t="s" s="12">
        <v>14</v>
      </c>
      <c r="M2900" t="s" s="10">
        <v>14</v>
      </c>
      <c r="N2900" t="s" s="11">
        <v>14</v>
      </c>
      <c r="O2900" t="s" s="8">
        <v>14</v>
      </c>
      <c r="P2900" t="s" s="8">
        <v>14</v>
      </c>
      <c r="Q2900" t="s" s="12">
        <v>14</v>
      </c>
      <c r="R2900" t="s" s="12">
        <v>14</v>
      </c>
    </row>
    <row r="2901" s="2" customFormat="1" ht="13.5" customHeight="1">
      <c r="B2901" s="13"/>
      <c r="C2901" t="s" s="9">
        <v>16</v>
      </c>
      <c r="D2901" t="s" s="8">
        <v>1005</v>
      </c>
      <c r="E2901" t="s" s="9">
        <v>1005</v>
      </c>
      <c r="F2901" t="s" s="10">
        <v>55</v>
      </c>
      <c r="G2901" t="s" s="11">
        <v>63</v>
      </c>
      <c r="H2901" t="s" s="10">
        <v>55</v>
      </c>
      <c r="I2901" t="s" s="11">
        <v>63</v>
      </c>
      <c r="J2901" t="s" s="11">
        <v>20</v>
      </c>
      <c r="K2901" s="15"/>
      <c r="L2901" t="s" s="16">
        <f>HYPERLINK("http://csr.bu.edu/ftp/asl/asllvd/demos/verify_start_end_handshape_annotations//test_auto_move//signs_mov_separ_signers/Liz_615.mov","MOV")</f>
        <v>21</v>
      </c>
      <c r="M2901" t="s" s="10">
        <v>84</v>
      </c>
      <c r="N2901" s="17">
        <v>12</v>
      </c>
      <c r="O2901" s="18">
        <v>1660</v>
      </c>
      <c r="P2901" s="18">
        <v>1681</v>
      </c>
      <c r="Q2901" s="15"/>
      <c r="R2901" t="s" s="16">
        <f>HYPERLINK("http://secrets.rutgers.edu:8080/data/asl-ftp/asllvd/demos/verify_start_end_handshape_annotations//test_auto_move//signs_mov_separ_signers/Liz_615.mov","MOV")</f>
        <v>21</v>
      </c>
    </row>
    <row r="2902" s="2" customFormat="1" ht="13.5" customHeight="1">
      <c r="B2902" s="13"/>
      <c r="C2902" t="s" s="9">
        <v>30</v>
      </c>
      <c r="D2902" t="s" s="8">
        <v>1005</v>
      </c>
      <c r="E2902" t="s" s="9">
        <v>1005</v>
      </c>
      <c r="F2902" t="s" s="10">
        <v>55</v>
      </c>
      <c r="G2902" t="s" s="11">
        <v>63</v>
      </c>
      <c r="H2902" t="s" s="10">
        <v>55</v>
      </c>
      <c r="I2902" t="s" s="11">
        <v>63</v>
      </c>
      <c r="J2902" t="s" s="11">
        <v>20</v>
      </c>
      <c r="K2902" t="s" s="16">
        <f>HYPERLINK("http://csr.bu.edu/ftp/asl/asllvd/demos/verify_start_end_handshape_annotations//test_auto_move//signs_mov/615.mov","MOV")</f>
        <v>21</v>
      </c>
      <c r="L2902" t="s" s="16">
        <f>HYPERLINK("http://csr.bu.edu/ftp/asl/asllvd/demos/verify_start_end_handshape_annotations//test_auto_move//signs_mov_separ_signers/Brady_615.mov","MOV")</f>
        <v>21</v>
      </c>
      <c r="M2902" t="s" s="10">
        <v>31</v>
      </c>
      <c r="N2902" s="17">
        <v>32</v>
      </c>
      <c r="O2902" s="18">
        <v>7872</v>
      </c>
      <c r="P2902" s="18">
        <v>7887</v>
      </c>
      <c r="Q2902" t="s" s="16">
        <f>HYPERLINK("http://secrets.rutgers.edu:8080/data/asl-ftp/asllvd/demos/verify_start_end_handshape_annotations//test_auto_move//signs_mov/615.mov","MOV")</f>
        <v>21</v>
      </c>
      <c r="R2902" t="s" s="16">
        <f>HYPERLINK("http://secrets.rutgers.edu:8080/data/asl-ftp/asllvd/demos/verify_start_end_handshape_annotations//test_auto_move//signs_mov_separ_signers/Brady_615.mov","MOV")</f>
        <v>21</v>
      </c>
    </row>
    <row r="2903" s="2" customFormat="1" ht="13.5" customHeight="1">
      <c r="B2903" s="13"/>
      <c r="C2903" t="s" s="9">
        <v>41</v>
      </c>
      <c r="D2903" t="s" s="8">
        <v>1005</v>
      </c>
      <c r="E2903" t="s" s="9">
        <v>1005</v>
      </c>
      <c r="F2903" t="s" s="10">
        <v>55</v>
      </c>
      <c r="G2903" t="s" s="11">
        <v>68</v>
      </c>
      <c r="H2903" t="s" s="10">
        <v>55</v>
      </c>
      <c r="I2903" t="s" s="11">
        <v>68</v>
      </c>
      <c r="J2903" t="s" s="11">
        <v>20</v>
      </c>
      <c r="K2903" s="15"/>
      <c r="L2903" t="s" s="16">
        <f>HYPERLINK("http://csr.bu.edu/ftp/asl/asllvd/demos/verify_start_end_handshape_annotations//test_auto_move//signs_mov_separ_signers/Lana_615.mov","MOV")</f>
        <v>21</v>
      </c>
      <c r="M2903" t="s" s="10">
        <v>42</v>
      </c>
      <c r="N2903" s="17">
        <v>6</v>
      </c>
      <c r="O2903" s="18">
        <v>2750</v>
      </c>
      <c r="P2903" s="18">
        <v>2767</v>
      </c>
      <c r="Q2903" s="15"/>
      <c r="R2903" t="s" s="16">
        <f>HYPERLINK("http://secrets.rutgers.edu:8080/data/asl-ftp/asllvd/demos/verify_start_end_handshape_annotations//test_auto_move//signs_mov_separ_signers/Lana_615.mov","MOV")</f>
        <v>21</v>
      </c>
    </row>
    <row r="2904" s="2" customFormat="1" ht="13.5" customHeight="1">
      <c r="B2904" s="13"/>
      <c r="C2904" t="s" s="9">
        <v>43</v>
      </c>
      <c r="D2904" t="s" s="8">
        <v>1005</v>
      </c>
      <c r="E2904" t="s" s="9">
        <v>1005</v>
      </c>
      <c r="F2904" t="s" s="10">
        <v>152</v>
      </c>
      <c r="G2904" t="s" s="11">
        <v>73</v>
      </c>
      <c r="H2904" t="s" s="10">
        <v>152</v>
      </c>
      <c r="I2904" t="s" s="11">
        <v>73</v>
      </c>
      <c r="J2904" t="s" s="11">
        <v>20</v>
      </c>
      <c r="K2904" s="15"/>
      <c r="L2904" t="s" s="16">
        <f>HYPERLINK("http://csr.bu.edu/ftp/asl/asllvd/demos/verify_start_end_handshape_annotations//test_auto_move//signs_mov_separ_signers/Dana_615.mov","MOV")</f>
        <v>21</v>
      </c>
      <c r="M2904" t="s" s="10">
        <v>44</v>
      </c>
      <c r="N2904" s="17">
        <v>10</v>
      </c>
      <c r="O2904" s="18">
        <v>3110</v>
      </c>
      <c r="P2904" s="18">
        <v>3151</v>
      </c>
      <c r="Q2904" s="15"/>
      <c r="R2904" t="s" s="16">
        <f>HYPERLINK("http://secrets.rutgers.edu:8080/data/asl-ftp/asllvd/demos/verify_start_end_handshape_annotations//test_auto_move//signs_mov_separ_signers/Dana_615.mov","MOV")</f>
        <v>21</v>
      </c>
    </row>
    <row r="2905" s="2" customFormat="1" ht="13.5" customHeight="1">
      <c r="B2905" t="s" s="8">
        <v>1006</v>
      </c>
      <c r="C2905" t="s" s="9">
        <v>14</v>
      </c>
      <c r="D2905" t="s" s="8">
        <v>14</v>
      </c>
      <c r="E2905" t="s" s="9">
        <v>14</v>
      </c>
      <c r="F2905" t="s" s="10">
        <v>14</v>
      </c>
      <c r="G2905" t="s" s="11">
        <v>14</v>
      </c>
      <c r="H2905" t="s" s="10">
        <v>14</v>
      </c>
      <c r="I2905" t="s" s="11">
        <v>14</v>
      </c>
      <c r="J2905" t="s" s="11">
        <v>14</v>
      </c>
      <c r="K2905" t="s" s="12">
        <v>14</v>
      </c>
      <c r="L2905" t="s" s="12">
        <v>14</v>
      </c>
      <c r="M2905" t="s" s="10">
        <v>14</v>
      </c>
      <c r="N2905" t="s" s="11">
        <v>14</v>
      </c>
      <c r="O2905" t="s" s="8">
        <v>14</v>
      </c>
      <c r="P2905" t="s" s="8">
        <v>14</v>
      </c>
      <c r="Q2905" t="s" s="12">
        <v>14</v>
      </c>
      <c r="R2905" t="s" s="12">
        <v>14</v>
      </c>
    </row>
    <row r="2906" s="2" customFormat="1" ht="13.5" customHeight="1">
      <c r="B2906" s="13"/>
      <c r="C2906" t="s" s="9">
        <v>16</v>
      </c>
      <c r="D2906" t="s" s="8">
        <v>1007</v>
      </c>
      <c r="E2906" t="s" s="9">
        <v>1007</v>
      </c>
      <c r="F2906" s="19">
        <v>10</v>
      </c>
      <c r="G2906" t="s" s="11">
        <v>63</v>
      </c>
      <c r="H2906" t="s" s="10">
        <v>73</v>
      </c>
      <c r="I2906" t="s" s="11">
        <v>63</v>
      </c>
      <c r="J2906" t="s" s="11">
        <v>20</v>
      </c>
      <c r="K2906" s="15"/>
      <c r="L2906" t="s" s="16">
        <f>HYPERLINK("http://csr.bu.edu/ftp/asl/asllvd/demos/verify_start_end_handshape_annotations//test_auto_move//signs_mov_separ_signers/Liz_5710.mov","MOV")</f>
        <v>21</v>
      </c>
      <c r="M2906" t="s" s="10">
        <v>84</v>
      </c>
      <c r="N2906" s="17">
        <v>12</v>
      </c>
      <c r="O2906" s="18">
        <v>1886</v>
      </c>
      <c r="P2906" s="18">
        <v>1918</v>
      </c>
      <c r="Q2906" s="15"/>
      <c r="R2906" t="s" s="16">
        <f>HYPERLINK("http://secrets.rutgers.edu:8080/data/asl-ftp/asllvd/demos/verify_start_end_handshape_annotations//test_auto_move//signs_mov_separ_signers/Liz_5710.mov","MOV")</f>
        <v>21</v>
      </c>
    </row>
    <row r="2907" s="2" customFormat="1" ht="13.5" customHeight="1">
      <c r="B2907" s="13"/>
      <c r="C2907" t="s" s="9">
        <v>23</v>
      </c>
      <c r="D2907" t="s" s="8">
        <v>1007</v>
      </c>
      <c r="E2907" t="s" s="9">
        <v>1007</v>
      </c>
      <c r="F2907" s="19">
        <v>10</v>
      </c>
      <c r="G2907" s="17">
        <v>10</v>
      </c>
      <c r="H2907" t="s" s="10">
        <v>73</v>
      </c>
      <c r="I2907" s="17">
        <v>10</v>
      </c>
      <c r="J2907" t="s" s="11">
        <v>20</v>
      </c>
      <c r="K2907" t="s" s="16">
        <f>HYPERLINK("http://csr.bu.edu/ftp/asl/asllvd/demos/verify_start_end_handshape_annotations//test_auto_move//signs_mov/5710.mov","MOV")</f>
        <v>21</v>
      </c>
      <c r="L2907" t="s" s="16">
        <f>HYPERLINK("http://csr.bu.edu/ftp/asl/asllvd/demos/verify_start_end_handshape_annotations//test_auto_move//signs_mov_separ_signers/Tyler_5710.mov","MOV")</f>
        <v>21</v>
      </c>
      <c r="M2907" t="s" s="10">
        <v>125</v>
      </c>
      <c r="N2907" s="17">
        <v>12</v>
      </c>
      <c r="O2907" s="18">
        <v>1966</v>
      </c>
      <c r="P2907" s="18">
        <v>2004</v>
      </c>
      <c r="Q2907" t="s" s="16">
        <f>HYPERLINK("http://secrets.rutgers.edu:8080/data/asl-ftp/asllvd/demos/verify_start_end_handshape_annotations//test_auto_move//signs_mov/5710.mov","MOV")</f>
        <v>21</v>
      </c>
      <c r="R2907" t="s" s="16">
        <f>HYPERLINK("http://secrets.rutgers.edu:8080/data/asl-ftp/asllvd/demos/verify_start_end_handshape_annotations//test_auto_move//signs_mov_separ_signers/Tyler_5710.mov","MOV")</f>
        <v>21</v>
      </c>
    </row>
    <row r="2908" s="2" customFormat="1" ht="13.5" customHeight="1">
      <c r="B2908" s="13"/>
      <c r="C2908" t="s" s="9">
        <v>27</v>
      </c>
      <c r="D2908" t="s" s="8">
        <v>1007</v>
      </c>
      <c r="E2908" t="s" s="9">
        <v>1006</v>
      </c>
      <c r="F2908" t="s" s="10">
        <v>63</v>
      </c>
      <c r="G2908" t="s" s="11">
        <v>80</v>
      </c>
      <c r="H2908" t="s" s="10">
        <v>80</v>
      </c>
      <c r="I2908" t="s" s="11">
        <v>80</v>
      </c>
      <c r="J2908" t="s" s="11">
        <v>20</v>
      </c>
      <c r="K2908" s="15"/>
      <c r="L2908" t="s" s="16">
        <f>HYPERLINK("http://csr.bu.edu/ftp/asl/asllvd/demos/verify_start_end_handshape_annotations//test_auto_move//signs_mov_separ_signers/Naomi_5710.mov","MOV")</f>
        <v>21</v>
      </c>
      <c r="M2908" t="s" s="10">
        <v>86</v>
      </c>
      <c r="N2908" s="17">
        <v>12</v>
      </c>
      <c r="O2908" s="18">
        <v>2028</v>
      </c>
      <c r="P2908" s="18">
        <v>2060</v>
      </c>
      <c r="Q2908" s="15"/>
      <c r="R2908" t="s" s="16">
        <f>HYPERLINK("http://secrets.rutgers.edu:8080/data/asl-ftp/asllvd/demos/verify_start_end_handshape_annotations//test_auto_move//signs_mov_separ_signers/Naomi_5710.mov","MOV")</f>
        <v>21</v>
      </c>
    </row>
    <row r="2909" s="2" customFormat="1" ht="13.5" customHeight="1">
      <c r="B2909" t="s" s="8">
        <v>1008</v>
      </c>
      <c r="C2909" t="s" s="9">
        <v>14</v>
      </c>
      <c r="D2909" t="s" s="8">
        <v>14</v>
      </c>
      <c r="E2909" t="s" s="9">
        <v>14</v>
      </c>
      <c r="F2909" t="s" s="10">
        <v>14</v>
      </c>
      <c r="G2909" t="s" s="11">
        <v>14</v>
      </c>
      <c r="H2909" t="s" s="10">
        <v>14</v>
      </c>
      <c r="I2909" t="s" s="11">
        <v>14</v>
      </c>
      <c r="J2909" t="s" s="11">
        <v>14</v>
      </c>
      <c r="K2909" t="s" s="12">
        <v>14</v>
      </c>
      <c r="L2909" t="s" s="12">
        <v>14</v>
      </c>
      <c r="M2909" t="s" s="10">
        <v>14</v>
      </c>
      <c r="N2909" t="s" s="11">
        <v>14</v>
      </c>
      <c r="O2909" t="s" s="8">
        <v>14</v>
      </c>
      <c r="P2909" t="s" s="8">
        <v>14</v>
      </c>
      <c r="Q2909" t="s" s="12">
        <v>14</v>
      </c>
      <c r="R2909" t="s" s="12">
        <v>14</v>
      </c>
    </row>
    <row r="2910" s="2" customFormat="1" ht="13.5" customHeight="1">
      <c r="B2910" s="13"/>
      <c r="C2910" t="s" s="9">
        <v>23</v>
      </c>
      <c r="D2910" t="s" s="8">
        <v>1008</v>
      </c>
      <c r="E2910" t="s" s="9">
        <v>1008</v>
      </c>
      <c r="F2910" s="19">
        <v>1</v>
      </c>
      <c r="G2910" t="s" s="11">
        <v>105</v>
      </c>
      <c r="H2910" s="19">
        <v>1</v>
      </c>
      <c r="I2910" t="s" s="11">
        <v>105</v>
      </c>
      <c r="J2910" t="s" s="11">
        <v>136</v>
      </c>
      <c r="K2910" s="15"/>
      <c r="L2910" t="s" s="16">
        <f>HYPERLINK("http://csr.bu.edu/ftp/asl/asllvd/demos/verify_start_end_handshape_annotations//test_auto_move//signs_mov_separ_signers/Tyler_617.mov","MOV")</f>
        <v>21</v>
      </c>
      <c r="M2910" t="s" s="10">
        <v>125</v>
      </c>
      <c r="N2910" s="17">
        <v>12</v>
      </c>
      <c r="O2910" s="18">
        <v>2430</v>
      </c>
      <c r="P2910" s="18">
        <v>2460</v>
      </c>
      <c r="Q2910" s="15"/>
      <c r="R2910" t="s" s="16">
        <f>HYPERLINK("http://secrets.rutgers.edu:8080/data/asl-ftp/asllvd/demos/verify_start_end_handshape_annotations//test_auto_move//signs_mov_separ_signers/Tyler_617.mov","MOV")</f>
        <v>21</v>
      </c>
    </row>
    <row r="2911" s="2" customFormat="1" ht="13.5" customHeight="1">
      <c r="B2911" s="13"/>
      <c r="C2911" t="s" s="9">
        <v>27</v>
      </c>
      <c r="D2911" t="s" s="8">
        <v>1008</v>
      </c>
      <c r="E2911" t="s" s="9">
        <v>1008</v>
      </c>
      <c r="F2911" s="19">
        <v>1</v>
      </c>
      <c r="G2911" t="s" s="11">
        <v>105</v>
      </c>
      <c r="H2911" s="19">
        <v>1</v>
      </c>
      <c r="I2911" t="s" s="11">
        <v>105</v>
      </c>
      <c r="J2911" t="s" s="11">
        <v>136</v>
      </c>
      <c r="K2911" t="s" s="16">
        <f>HYPERLINK("http://csr.bu.edu/ftp/asl/asllvd/demos/verify_start_end_handshape_annotations//test_auto_move//signs_mov/617.mov","MOV")</f>
        <v>21</v>
      </c>
      <c r="L2911" t="s" s="16">
        <f>HYPERLINK("http://csr.bu.edu/ftp/asl/asllvd/demos/verify_start_end_handshape_annotations//test_auto_move//signs_mov_separ_signers/Naomi_617.mov","MOV")</f>
        <v>21</v>
      </c>
      <c r="M2911" t="s" s="10">
        <v>86</v>
      </c>
      <c r="N2911" s="17">
        <v>12</v>
      </c>
      <c r="O2911" s="18">
        <v>2295</v>
      </c>
      <c r="P2911" s="18">
        <v>2317</v>
      </c>
      <c r="Q2911" t="s" s="16">
        <f>HYPERLINK("http://secrets.rutgers.edu:8080/data/asl-ftp/asllvd/demos/verify_start_end_handshape_annotations//test_auto_move//signs_mov/617.mov","MOV")</f>
        <v>21</v>
      </c>
      <c r="R2911" t="s" s="16">
        <f>HYPERLINK("http://secrets.rutgers.edu:8080/data/asl-ftp/asllvd/demos/verify_start_end_handshape_annotations//test_auto_move//signs_mov_separ_signers/Naomi_617.mov","MOV")</f>
        <v>21</v>
      </c>
    </row>
    <row r="2912" s="2" customFormat="1" ht="13.5" customHeight="1">
      <c r="B2912" s="13"/>
      <c r="C2912" t="s" s="9">
        <v>41</v>
      </c>
      <c r="D2912" t="s" s="8">
        <v>1008</v>
      </c>
      <c r="E2912" t="s" s="9">
        <v>1008</v>
      </c>
      <c r="F2912" s="19">
        <v>1</v>
      </c>
      <c r="G2912" t="s" s="11">
        <v>73</v>
      </c>
      <c r="H2912" s="19">
        <v>1</v>
      </c>
      <c r="I2912" t="s" s="11">
        <v>73</v>
      </c>
      <c r="J2912" t="s" s="11">
        <v>136</v>
      </c>
      <c r="K2912" s="15"/>
      <c r="L2912" t="s" s="16">
        <f>HYPERLINK("http://csr.bu.edu/ftp/asl/asllvd/demos/verify_start_end_handshape_annotations//test_auto_move//signs_mov_separ_signers/Lana_617.mov","MOV")</f>
        <v>21</v>
      </c>
      <c r="M2912" t="s" s="10">
        <v>442</v>
      </c>
      <c r="N2912" s="17">
        <v>61</v>
      </c>
      <c r="O2912" s="18">
        <v>1097</v>
      </c>
      <c r="P2912" s="18">
        <v>1127</v>
      </c>
      <c r="Q2912" s="15"/>
      <c r="R2912" t="s" s="16">
        <f>HYPERLINK("http://secrets.rutgers.edu:8080/data/asl-ftp/asllvd/demos/verify_start_end_handshape_annotations//test_auto_move//signs_mov_separ_signers/Lana_617.mov","MOV")</f>
        <v>21</v>
      </c>
    </row>
    <row r="2913" s="2" customFormat="1" ht="13.5" customHeight="1">
      <c r="B2913" t="s" s="8">
        <v>52</v>
      </c>
      <c r="C2913" t="s" s="9">
        <v>53</v>
      </c>
      <c r="D2913" t="s" s="8">
        <v>53</v>
      </c>
      <c r="E2913" t="s" s="9">
        <v>53</v>
      </c>
      <c r="F2913" t="s" s="10">
        <v>53</v>
      </c>
      <c r="G2913" t="s" s="11">
        <v>53</v>
      </c>
      <c r="H2913" t="s" s="10">
        <v>53</v>
      </c>
      <c r="I2913" t="s" s="11">
        <v>53</v>
      </c>
      <c r="J2913" t="s" s="11">
        <v>53</v>
      </c>
      <c r="K2913" t="s" s="12">
        <v>53</v>
      </c>
      <c r="L2913" t="s" s="12">
        <v>53</v>
      </c>
      <c r="M2913" t="s" s="10">
        <v>53</v>
      </c>
      <c r="N2913" t="s" s="11">
        <v>53</v>
      </c>
      <c r="O2913" t="s" s="8">
        <v>53</v>
      </c>
      <c r="P2913" t="s" s="8">
        <v>53</v>
      </c>
      <c r="Q2913" t="s" s="12">
        <v>53</v>
      </c>
      <c r="R2913" t="s" s="12">
        <v>53</v>
      </c>
    </row>
    <row r="2914" s="2" customFormat="1" ht="13.5" customHeight="1">
      <c r="B2914" s="13"/>
      <c r="C2914" t="s" s="9">
        <v>16</v>
      </c>
      <c r="D2914" t="s" s="8">
        <v>1008</v>
      </c>
      <c r="E2914" t="s" s="9">
        <v>1009</v>
      </c>
      <c r="F2914" t="s" s="10">
        <v>51</v>
      </c>
      <c r="G2914" t="s" s="11">
        <v>51</v>
      </c>
      <c r="H2914" t="s" s="10">
        <v>51</v>
      </c>
      <c r="I2914" t="s" s="11">
        <v>51</v>
      </c>
      <c r="J2914" t="s" s="11">
        <v>136</v>
      </c>
      <c r="K2914" t="s" s="16">
        <f>HYPERLINK("http://csr.bu.edu/ftp/asl/asllvd/demos/verify_start_end_handshape_annotations//test_auto_move//signs_mov/5155.mov","MOV")</f>
        <v>21</v>
      </c>
      <c r="L2914" t="s" s="16">
        <f>HYPERLINK("http://csr.bu.edu/ftp/asl/asllvd/demos/verify_start_end_handshape_annotations//test_auto_move//signs_mov_separ_signers/Liz_5155.mov","MOV")</f>
        <v>21</v>
      </c>
      <c r="M2914" t="s" s="10">
        <v>84</v>
      </c>
      <c r="N2914" s="17">
        <v>12</v>
      </c>
      <c r="O2914" s="18">
        <v>2125</v>
      </c>
      <c r="P2914" s="18">
        <v>2160</v>
      </c>
      <c r="Q2914" t="s" s="16">
        <f>HYPERLINK("http://secrets.rutgers.edu:8080/data/asl-ftp/asllvd/demos/verify_start_end_handshape_annotations//test_auto_move//signs_mov/5155.mov","MOV")</f>
        <v>21</v>
      </c>
      <c r="R2914" t="s" s="16">
        <f>HYPERLINK("http://secrets.rutgers.edu:8080/data/asl-ftp/asllvd/demos/verify_start_end_handshape_annotations//test_auto_move//signs_mov_separ_signers/Liz_5155.mov","MOV")</f>
        <v>21</v>
      </c>
    </row>
    <row r="2915" s="2" customFormat="1" ht="13.5" customHeight="1">
      <c r="B2915" s="13"/>
      <c r="C2915" t="s" s="9">
        <v>30</v>
      </c>
      <c r="D2915" t="s" s="8">
        <v>1008</v>
      </c>
      <c r="E2915" t="s" s="9">
        <v>1009</v>
      </c>
      <c r="F2915" t="s" s="10">
        <v>51</v>
      </c>
      <c r="G2915" t="s" s="11">
        <v>85</v>
      </c>
      <c r="H2915" t="s" s="10">
        <v>51</v>
      </c>
      <c r="I2915" t="s" s="11">
        <v>85</v>
      </c>
      <c r="J2915" t="s" s="11">
        <v>136</v>
      </c>
      <c r="K2915" s="15"/>
      <c r="L2915" t="s" s="16">
        <f>HYPERLINK("http://csr.bu.edu/ftp/asl/asllvd/demos/verify_start_end_handshape_annotations//test_auto_move//signs_mov_separ_signers/Brady_5155.mov","MOV")</f>
        <v>21</v>
      </c>
      <c r="M2915" t="s" s="10">
        <v>31</v>
      </c>
      <c r="N2915" s="17">
        <v>32</v>
      </c>
      <c r="O2915" s="18">
        <v>8367</v>
      </c>
      <c r="P2915" s="18">
        <v>8384</v>
      </c>
      <c r="Q2915" s="15"/>
      <c r="R2915" t="s" s="16">
        <f>HYPERLINK("http://secrets.rutgers.edu:8080/data/asl-ftp/asllvd/demos/verify_start_end_handshape_annotations//test_auto_move//signs_mov_separ_signers/Brady_5155.mov","MOV")</f>
        <v>21</v>
      </c>
    </row>
    <row r="2916" s="2" customFormat="1" ht="13.5" customHeight="1">
      <c r="B2916" t="s" s="8">
        <v>1010</v>
      </c>
      <c r="C2916" t="s" s="9">
        <v>14</v>
      </c>
      <c r="D2916" t="s" s="8">
        <v>14</v>
      </c>
      <c r="E2916" t="s" s="9">
        <v>14</v>
      </c>
      <c r="F2916" t="s" s="10">
        <v>14</v>
      </c>
      <c r="G2916" t="s" s="11">
        <v>14</v>
      </c>
      <c r="H2916" t="s" s="10">
        <v>14</v>
      </c>
      <c r="I2916" t="s" s="11">
        <v>14</v>
      </c>
      <c r="J2916" t="s" s="11">
        <v>14</v>
      </c>
      <c r="K2916" t="s" s="12">
        <v>14</v>
      </c>
      <c r="L2916" t="s" s="12">
        <v>14</v>
      </c>
      <c r="M2916" t="s" s="10">
        <v>14</v>
      </c>
      <c r="N2916" t="s" s="11">
        <v>14</v>
      </c>
      <c r="O2916" t="s" s="8">
        <v>14</v>
      </c>
      <c r="P2916" t="s" s="8">
        <v>14</v>
      </c>
      <c r="Q2916" t="s" s="12">
        <v>14</v>
      </c>
      <c r="R2916" t="s" s="12">
        <v>14</v>
      </c>
    </row>
    <row r="2917" s="2" customFormat="1" ht="13.5" customHeight="1">
      <c r="B2917" s="13"/>
      <c r="C2917" t="s" s="9">
        <v>23</v>
      </c>
      <c r="D2917" t="s" s="8">
        <v>1010</v>
      </c>
      <c r="E2917" t="s" s="9">
        <v>1010</v>
      </c>
      <c r="F2917" t="s" s="10">
        <v>68</v>
      </c>
      <c r="G2917" t="s" s="11">
        <v>55</v>
      </c>
      <c r="H2917" t="s" s="10">
        <v>68</v>
      </c>
      <c r="I2917" t="s" s="11">
        <v>55</v>
      </c>
      <c r="J2917" t="s" s="11">
        <v>136</v>
      </c>
      <c r="K2917" t="s" s="16">
        <f>HYPERLINK("http://csr.bu.edu/ftp/asl/asllvd/demos/verify_start_end_handshape_annotations//test_auto_move//signs_mov/16001.mov","MOV")</f>
        <v>21</v>
      </c>
      <c r="L2917" t="s" s="16">
        <f>HYPERLINK("http://csr.bu.edu/ftp/asl/asllvd/demos/verify_start_end_handshape_annotations//test_auto_move//signs_mov_separ_signers/Tyler_16001.mov","MOV")</f>
        <v>21</v>
      </c>
      <c r="M2917" t="s" s="10">
        <v>26</v>
      </c>
      <c r="N2917" s="17">
        <v>49</v>
      </c>
      <c r="O2917" s="18">
        <v>2037</v>
      </c>
      <c r="P2917" s="18">
        <v>2080</v>
      </c>
      <c r="Q2917" t="s" s="16">
        <f>HYPERLINK("http://secrets.rutgers.edu:8080/data/asl-ftp/asllvd/demos/verify_start_end_handshape_annotations//test_auto_move//signs_mov/16001.mov","MOV")</f>
        <v>21</v>
      </c>
      <c r="R2917" t="s" s="16">
        <f>HYPERLINK("http://secrets.rutgers.edu:8080/data/asl-ftp/asllvd/demos/verify_start_end_handshape_annotations//test_auto_move//signs_mov_separ_signers/Tyler_16001.mov","MOV")</f>
        <v>21</v>
      </c>
    </row>
    <row r="2918" s="2" customFormat="1" ht="13.5" customHeight="1">
      <c r="B2918" s="13"/>
      <c r="C2918" t="s" s="9">
        <v>30</v>
      </c>
      <c r="D2918" t="s" s="8">
        <v>1010</v>
      </c>
      <c r="E2918" t="s" s="9">
        <v>1010</v>
      </c>
      <c r="F2918" t="s" s="10">
        <v>68</v>
      </c>
      <c r="G2918" t="s" s="11">
        <v>152</v>
      </c>
      <c r="H2918" t="s" s="10">
        <v>68</v>
      </c>
      <c r="I2918" t="s" s="11">
        <v>152</v>
      </c>
      <c r="J2918" t="s" s="11">
        <v>136</v>
      </c>
      <c r="K2918" s="15"/>
      <c r="L2918" t="s" s="16">
        <f>HYPERLINK("http://csr.bu.edu/ftp/asl/asllvd/demos/verify_start_end_handshape_annotations//test_auto_move//signs_mov_separ_signers/Brady_16001.mov","MOV")</f>
        <v>21</v>
      </c>
      <c r="M2918" t="s" s="10">
        <v>31</v>
      </c>
      <c r="N2918" s="17">
        <v>28</v>
      </c>
      <c r="O2918" s="18">
        <v>14042</v>
      </c>
      <c r="P2918" s="18">
        <v>14074</v>
      </c>
      <c r="Q2918" s="15"/>
      <c r="R2918" t="s" s="16">
        <f>HYPERLINK("http://secrets.rutgers.edu:8080/data/asl-ftp/asllvd/demos/verify_start_end_handshape_annotations//test_auto_move//signs_mov_separ_signers/Brady_16001.mov","MOV")</f>
        <v>21</v>
      </c>
    </row>
    <row r="2919" s="2" customFormat="1" ht="13.5" customHeight="1">
      <c r="B2919" t="s" s="8">
        <v>1011</v>
      </c>
      <c r="C2919" t="s" s="9">
        <v>14</v>
      </c>
      <c r="D2919" t="s" s="8">
        <v>14</v>
      </c>
      <c r="E2919" t="s" s="9">
        <v>14</v>
      </c>
      <c r="F2919" t="s" s="10">
        <v>14</v>
      </c>
      <c r="G2919" t="s" s="11">
        <v>14</v>
      </c>
      <c r="H2919" t="s" s="10">
        <v>14</v>
      </c>
      <c r="I2919" t="s" s="11">
        <v>14</v>
      </c>
      <c r="J2919" t="s" s="11">
        <v>14</v>
      </c>
      <c r="K2919" t="s" s="12">
        <v>14</v>
      </c>
      <c r="L2919" t="s" s="12">
        <v>14</v>
      </c>
      <c r="M2919" t="s" s="10">
        <v>14</v>
      </c>
      <c r="N2919" t="s" s="11">
        <v>14</v>
      </c>
      <c r="O2919" t="s" s="8">
        <v>14</v>
      </c>
      <c r="P2919" t="s" s="8">
        <v>14</v>
      </c>
      <c r="Q2919" t="s" s="12">
        <v>14</v>
      </c>
      <c r="R2919" t="s" s="12">
        <v>14</v>
      </c>
    </row>
    <row r="2920" s="2" customFormat="1" ht="13.5" customHeight="1">
      <c r="B2920" s="13"/>
      <c r="C2920" t="s" s="9">
        <v>16</v>
      </c>
      <c r="D2920" t="s" s="8">
        <v>1011</v>
      </c>
      <c r="E2920" t="s" s="9">
        <v>1011</v>
      </c>
      <c r="F2920" t="s" s="10">
        <v>51</v>
      </c>
      <c r="G2920" s="14"/>
      <c r="H2920" t="s" s="10">
        <v>51</v>
      </c>
      <c r="I2920" s="14"/>
      <c r="J2920" t="s" s="11">
        <v>20</v>
      </c>
      <c r="K2920" s="15"/>
      <c r="L2920" t="s" s="16">
        <f>HYPERLINK("http://csr.bu.edu/ftp/asl/asllvd/demos/verify_start_end_handshape_annotations//test_auto_move//signs_mov_separ_signers/Liz_618.mov","MOV")</f>
        <v>21</v>
      </c>
      <c r="M2920" t="s" s="10">
        <v>84</v>
      </c>
      <c r="N2920" s="17">
        <v>12</v>
      </c>
      <c r="O2920" s="18">
        <v>2336</v>
      </c>
      <c r="P2920" s="18">
        <v>2365</v>
      </c>
      <c r="Q2920" s="15"/>
      <c r="R2920" t="s" s="16">
        <f>HYPERLINK("http://secrets.rutgers.edu:8080/data/asl-ftp/asllvd/demos/verify_start_end_handshape_annotations//test_auto_move//signs_mov_separ_signers/Liz_618.mov","MOV")</f>
        <v>21</v>
      </c>
    </row>
    <row r="2921" s="2" customFormat="1" ht="13.5" customHeight="1">
      <c r="B2921" s="13"/>
      <c r="C2921" t="s" s="9">
        <v>23</v>
      </c>
      <c r="D2921" t="s" s="8">
        <v>1011</v>
      </c>
      <c r="E2921" t="s" s="9">
        <v>1011</v>
      </c>
      <c r="F2921" s="19">
        <v>1</v>
      </c>
      <c r="G2921" s="14"/>
      <c r="H2921" s="19">
        <v>1</v>
      </c>
      <c r="I2921" s="14"/>
      <c r="J2921" t="s" s="11">
        <v>20</v>
      </c>
      <c r="K2921" s="15"/>
      <c r="L2921" t="s" s="16">
        <f>HYPERLINK("http://csr.bu.edu/ftp/asl/asllvd/demos/verify_start_end_handshape_annotations//test_auto_move//signs_mov_separ_signers/Tyler_618.mov","MOV")</f>
        <v>21</v>
      </c>
      <c r="M2921" t="s" s="10">
        <v>125</v>
      </c>
      <c r="N2921" s="17">
        <v>12</v>
      </c>
      <c r="O2921" s="18">
        <v>2630</v>
      </c>
      <c r="P2921" s="18">
        <v>2655</v>
      </c>
      <c r="Q2921" s="15"/>
      <c r="R2921" t="s" s="16">
        <f>HYPERLINK("http://secrets.rutgers.edu:8080/data/asl-ftp/asllvd/demos/verify_start_end_handshape_annotations//test_auto_move//signs_mov_separ_signers/Tyler_618.mov","MOV")</f>
        <v>21</v>
      </c>
    </row>
    <row r="2922" s="2" customFormat="1" ht="13.5" customHeight="1">
      <c r="B2922" s="13"/>
      <c r="C2922" t="s" s="9">
        <v>27</v>
      </c>
      <c r="D2922" t="s" s="8">
        <v>1011</v>
      </c>
      <c r="E2922" t="s" s="9">
        <v>1011</v>
      </c>
      <c r="F2922" s="19">
        <v>1</v>
      </c>
      <c r="G2922" s="14"/>
      <c r="H2922" s="19">
        <v>1</v>
      </c>
      <c r="I2922" s="14"/>
      <c r="J2922" t="s" s="11">
        <v>20</v>
      </c>
      <c r="K2922" s="15"/>
      <c r="L2922" t="s" s="16">
        <f>HYPERLINK("http://csr.bu.edu/ftp/asl/asllvd/demos/verify_start_end_handshape_annotations//test_auto_move//signs_mov_separ_signers/Naomi_618.mov","MOV")</f>
        <v>21</v>
      </c>
      <c r="M2922" t="s" s="10">
        <v>86</v>
      </c>
      <c r="N2922" s="17">
        <v>12</v>
      </c>
      <c r="O2922" s="18">
        <v>2520</v>
      </c>
      <c r="P2922" s="18">
        <v>2545</v>
      </c>
      <c r="Q2922" s="15"/>
      <c r="R2922" t="s" s="16">
        <f>HYPERLINK("http://secrets.rutgers.edu:8080/data/asl-ftp/asllvd/demos/verify_start_end_handshape_annotations//test_auto_move//signs_mov_separ_signers/Naomi_618.mov","MOV")</f>
        <v>21</v>
      </c>
    </row>
    <row r="2923" s="2" customFormat="1" ht="13.5" customHeight="1">
      <c r="B2923" s="13"/>
      <c r="C2923" t="s" s="9">
        <v>30</v>
      </c>
      <c r="D2923" t="s" s="8">
        <v>1011</v>
      </c>
      <c r="E2923" t="s" s="9">
        <v>1011</v>
      </c>
      <c r="F2923" s="19">
        <v>1</v>
      </c>
      <c r="G2923" s="14"/>
      <c r="H2923" s="19">
        <v>1</v>
      </c>
      <c r="I2923" s="14"/>
      <c r="J2923" t="s" s="11">
        <v>20</v>
      </c>
      <c r="K2923" t="s" s="16">
        <f>HYPERLINK("http://csr.bu.edu/ftp/asl/asllvd/demos/verify_start_end_handshape_annotations//test_auto_move//signs_mov/618_5030_merged.mov","MOV")</f>
        <v>21</v>
      </c>
      <c r="L2923" t="s" s="16">
        <f>HYPERLINK("http://csr.bu.edu/ftp/asl/asllvd/demos/verify_start_end_handshape_annotations//test_auto_move//signs_mov_separ_signers/Brady_618.mov","MOV")</f>
        <v>21</v>
      </c>
      <c r="M2923" t="s" s="10">
        <v>31</v>
      </c>
      <c r="N2923" s="17">
        <v>32</v>
      </c>
      <c r="O2923" s="18">
        <v>8589</v>
      </c>
      <c r="P2923" s="18">
        <v>8615</v>
      </c>
      <c r="Q2923" t="s" s="16">
        <f>HYPERLINK("http://secrets.rutgers.edu:8080/data/asl-ftp/asllvd/demos/verify_start_end_handshape_annotations//test_auto_move//signs_mov/618_5030_merged.mov","MOV")</f>
        <v>21</v>
      </c>
      <c r="R2923" t="s" s="16">
        <f>HYPERLINK("http://secrets.rutgers.edu:8080/data/asl-ftp/asllvd/demos/verify_start_end_handshape_annotations//test_auto_move//signs_mov_separ_signers/Brady_618.mov","MOV")</f>
        <v>21</v>
      </c>
    </row>
    <row r="2924" s="2" customFormat="1" ht="13.5" customHeight="1">
      <c r="B2924" s="13"/>
      <c r="C2924" t="s" s="9">
        <v>30</v>
      </c>
      <c r="D2924" t="s" s="8">
        <v>1011</v>
      </c>
      <c r="E2924" t="s" s="9">
        <v>1011</v>
      </c>
      <c r="F2924" s="19">
        <v>1</v>
      </c>
      <c r="G2924" s="14"/>
      <c r="H2924" s="19">
        <v>1</v>
      </c>
      <c r="I2924" s="14"/>
      <c r="J2924" t="s" s="11">
        <v>20</v>
      </c>
      <c r="K2924" s="15"/>
      <c r="L2924" t="s" s="16">
        <f>HYPERLINK("http://csr.bu.edu/ftp/asl/asllvd/demos/verify_start_end_handshape_annotations//test_auto_move//signs_mov_separ_signers/Brady_5030.mov","MOV")</f>
        <v>21</v>
      </c>
      <c r="M2924" t="s" s="10">
        <v>39</v>
      </c>
      <c r="N2924" s="17">
        <v>3</v>
      </c>
      <c r="O2924" s="18">
        <v>11563</v>
      </c>
      <c r="P2924" s="18">
        <v>11583</v>
      </c>
      <c r="Q2924" s="15"/>
      <c r="R2924" t="s" s="16">
        <f>HYPERLINK("http://secrets.rutgers.edu:8080/data/asl-ftp/asllvd/demos/verify_start_end_handshape_annotations//test_auto_move//signs_mov_separ_signers/Brady_5030.mov","MOV")</f>
        <v>21</v>
      </c>
    </row>
    <row r="2925" s="2" customFormat="1" ht="13.5" customHeight="1">
      <c r="B2925" s="13"/>
      <c r="C2925" t="s" s="9">
        <v>41</v>
      </c>
      <c r="D2925" t="s" s="8">
        <v>1011</v>
      </c>
      <c r="E2925" t="s" s="9">
        <v>1011</v>
      </c>
      <c r="F2925" s="19">
        <v>1</v>
      </c>
      <c r="G2925" s="14"/>
      <c r="H2925" s="19">
        <v>1</v>
      </c>
      <c r="I2925" s="14"/>
      <c r="J2925" t="s" s="11">
        <v>20</v>
      </c>
      <c r="K2925" s="15"/>
      <c r="L2925" t="s" s="16">
        <f>HYPERLINK("http://csr.bu.edu/ftp/asl/asllvd/demos/verify_start_end_handshape_annotations//test_auto_move//signs_mov_separ_signers/Lana_618.mov","MOV")</f>
        <v>21</v>
      </c>
      <c r="M2925" t="s" s="10">
        <v>42</v>
      </c>
      <c r="N2925" s="17">
        <v>6</v>
      </c>
      <c r="O2925" s="18">
        <v>1950</v>
      </c>
      <c r="P2925" s="18">
        <v>1967</v>
      </c>
      <c r="Q2925" s="15"/>
      <c r="R2925" t="s" s="16">
        <f>HYPERLINK("http://secrets.rutgers.edu:8080/data/asl-ftp/asllvd/demos/verify_start_end_handshape_annotations//test_auto_move//signs_mov_separ_signers/Lana_618.mov","MOV")</f>
        <v>21</v>
      </c>
    </row>
    <row r="2926" s="2" customFormat="1" ht="13.5" customHeight="1">
      <c r="B2926" s="13"/>
      <c r="C2926" t="s" s="9">
        <v>43</v>
      </c>
      <c r="D2926" t="s" s="8">
        <v>1011</v>
      </c>
      <c r="E2926" t="s" s="9">
        <v>1011</v>
      </c>
      <c r="F2926" s="19">
        <v>1</v>
      </c>
      <c r="G2926" s="14"/>
      <c r="H2926" s="19">
        <v>1</v>
      </c>
      <c r="I2926" s="14"/>
      <c r="J2926" t="s" s="11">
        <v>20</v>
      </c>
      <c r="K2926" s="15"/>
      <c r="L2926" t="s" s="16">
        <f>HYPERLINK("http://csr.bu.edu/ftp/asl/asllvd/demos/verify_start_end_handshape_annotations//test_auto_move//signs_mov_separ_signers/Dana_618.mov","MOV")</f>
        <v>21</v>
      </c>
      <c r="M2926" t="s" s="10">
        <v>44</v>
      </c>
      <c r="N2926" s="17">
        <v>10</v>
      </c>
      <c r="O2926" s="18">
        <v>2264</v>
      </c>
      <c r="P2926" s="18">
        <v>2318</v>
      </c>
      <c r="Q2926" s="15"/>
      <c r="R2926" t="s" s="16">
        <f>HYPERLINK("http://secrets.rutgers.edu:8080/data/asl-ftp/asllvd/demos/verify_start_end_handshape_annotations//test_auto_move//signs_mov_separ_signers/Dana_618.mov","MOV")</f>
        <v>21</v>
      </c>
    </row>
    <row r="2927" s="2" customFormat="1" ht="13.5" customHeight="1">
      <c r="B2927" t="s" s="8">
        <v>1012</v>
      </c>
      <c r="C2927" t="s" s="9">
        <v>14</v>
      </c>
      <c r="D2927" t="s" s="8">
        <v>14</v>
      </c>
      <c r="E2927" t="s" s="9">
        <v>14</v>
      </c>
      <c r="F2927" t="s" s="10">
        <v>14</v>
      </c>
      <c r="G2927" t="s" s="11">
        <v>14</v>
      </c>
      <c r="H2927" t="s" s="10">
        <v>14</v>
      </c>
      <c r="I2927" t="s" s="11">
        <v>14</v>
      </c>
      <c r="J2927" t="s" s="11">
        <v>14</v>
      </c>
      <c r="K2927" t="s" s="12">
        <v>14</v>
      </c>
      <c r="L2927" t="s" s="12">
        <v>14</v>
      </c>
      <c r="M2927" t="s" s="10">
        <v>14</v>
      </c>
      <c r="N2927" t="s" s="11">
        <v>14</v>
      </c>
      <c r="O2927" t="s" s="8">
        <v>14</v>
      </c>
      <c r="P2927" t="s" s="8">
        <v>14</v>
      </c>
      <c r="Q2927" t="s" s="12">
        <v>14</v>
      </c>
      <c r="R2927" t="s" s="12">
        <v>14</v>
      </c>
    </row>
    <row r="2928" s="2" customFormat="1" ht="13.5" customHeight="1">
      <c r="B2928" s="13"/>
      <c r="C2928" t="s" s="9">
        <v>16</v>
      </c>
      <c r="D2928" t="s" s="8">
        <v>1012</v>
      </c>
      <c r="E2928" t="s" s="9">
        <v>1013</v>
      </c>
      <c r="F2928" s="19">
        <v>1</v>
      </c>
      <c r="G2928" t="s" s="11">
        <v>73</v>
      </c>
      <c r="H2928" s="19">
        <v>1</v>
      </c>
      <c r="I2928" t="s" s="11">
        <v>73</v>
      </c>
      <c r="J2928" t="s" s="11">
        <v>20</v>
      </c>
      <c r="K2928" s="15"/>
      <c r="L2928" t="s" s="16">
        <f>HYPERLINK("http://csr.bu.edu/ftp/asl/asllvd/demos/verify_start_end_handshape_annotations//test_auto_move//signs_mov_separ_signers/Liz_620.mov","MOV")</f>
        <v>21</v>
      </c>
      <c r="M2928" t="s" s="10">
        <v>84</v>
      </c>
      <c r="N2928" s="17">
        <v>13</v>
      </c>
      <c r="O2928" s="18">
        <v>251</v>
      </c>
      <c r="P2928" s="18">
        <v>290</v>
      </c>
      <c r="Q2928" s="15"/>
      <c r="R2928" t="s" s="16">
        <f>HYPERLINK("http://secrets.rutgers.edu:8080/data/asl-ftp/asllvd/demos/verify_start_end_handshape_annotations//test_auto_move//signs_mov_separ_signers/Liz_620.mov","MOV")</f>
        <v>21</v>
      </c>
    </row>
    <row r="2929" s="2" customFormat="1" ht="13.5" customHeight="1">
      <c r="B2929" s="13"/>
      <c r="C2929" t="s" s="9">
        <v>16</v>
      </c>
      <c r="D2929" t="s" s="8">
        <v>1012</v>
      </c>
      <c r="E2929" t="s" s="9">
        <v>1014</v>
      </c>
      <c r="F2929" s="19">
        <v>1</v>
      </c>
      <c r="G2929" t="s" s="11">
        <v>73</v>
      </c>
      <c r="H2929" s="19">
        <v>1</v>
      </c>
      <c r="I2929" t="s" s="11">
        <v>73</v>
      </c>
      <c r="J2929" t="s" s="11">
        <v>20</v>
      </c>
      <c r="K2929" s="15"/>
      <c r="L2929" t="s" s="16">
        <f>HYPERLINK("http://csr.bu.edu/ftp/asl/asllvd/demos/verify_start_end_handshape_annotations//test_auto_move//signs_mov_separ_signers/Liz_3610.mov","MOV")</f>
        <v>21</v>
      </c>
      <c r="M2929" t="s" s="10">
        <v>84</v>
      </c>
      <c r="N2929" s="17">
        <v>19</v>
      </c>
      <c r="O2929" s="18">
        <v>1840</v>
      </c>
      <c r="P2929" s="18">
        <v>1885</v>
      </c>
      <c r="Q2929" s="15"/>
      <c r="R2929" t="s" s="16">
        <f>HYPERLINK("http://secrets.rutgers.edu:8080/data/asl-ftp/asllvd/demos/verify_start_end_handshape_annotations//test_auto_move//signs_mov_separ_signers/Liz_3610.mov","MOV")</f>
        <v>21</v>
      </c>
    </row>
    <row r="2930" s="2" customFormat="1" ht="13.5" customHeight="1">
      <c r="B2930" s="13"/>
      <c r="C2930" t="s" s="9">
        <v>23</v>
      </c>
      <c r="D2930" t="s" s="8">
        <v>1012</v>
      </c>
      <c r="E2930" t="s" s="9">
        <v>1014</v>
      </c>
      <c r="F2930" s="19">
        <v>1</v>
      </c>
      <c r="G2930" t="s" s="11">
        <v>73</v>
      </c>
      <c r="H2930" s="19">
        <v>1</v>
      </c>
      <c r="I2930" t="s" s="11">
        <v>73</v>
      </c>
      <c r="J2930" t="s" s="11">
        <v>20</v>
      </c>
      <c r="K2930" s="15"/>
      <c r="L2930" t="s" s="16">
        <f>HYPERLINK("http://csr.bu.edu/ftp/asl/asllvd/demos/verify_start_end_handshape_annotations//test_auto_move//signs_mov_separ_signers/Tyler_620.mov","MOV")</f>
        <v>21</v>
      </c>
      <c r="M2930" t="s" s="10">
        <v>125</v>
      </c>
      <c r="N2930" s="17">
        <v>18</v>
      </c>
      <c r="O2930" s="18">
        <v>1760</v>
      </c>
      <c r="P2930" s="18">
        <v>1805</v>
      </c>
      <c r="Q2930" s="15"/>
      <c r="R2930" t="s" s="16">
        <f>HYPERLINK("http://secrets.rutgers.edu:8080/data/asl-ftp/asllvd/demos/verify_start_end_handshape_annotations//test_auto_move//signs_mov_separ_signers/Tyler_620.mov","MOV")</f>
        <v>21</v>
      </c>
    </row>
    <row r="2931" s="2" customFormat="1" ht="13.5" customHeight="1">
      <c r="B2931" s="13"/>
      <c r="C2931" t="s" s="9">
        <v>27</v>
      </c>
      <c r="D2931" t="s" s="8">
        <v>1012</v>
      </c>
      <c r="E2931" t="s" s="9">
        <v>1013</v>
      </c>
      <c r="F2931" s="19">
        <v>1</v>
      </c>
      <c r="G2931" t="s" s="11">
        <v>73</v>
      </c>
      <c r="H2931" s="19">
        <v>1</v>
      </c>
      <c r="I2931" t="s" s="11">
        <v>73</v>
      </c>
      <c r="J2931" t="s" s="11">
        <v>20</v>
      </c>
      <c r="K2931" t="s" s="16">
        <f>HYPERLINK("http://csr.bu.edu/ftp/asl/asllvd/demos/verify_start_end_handshape_annotations//test_auto_move//signs_mov/620_3610_merged.mov","MOV")</f>
        <v>21</v>
      </c>
      <c r="L2931" t="s" s="16">
        <f>HYPERLINK("http://csr.bu.edu/ftp/asl/asllvd/demos/verify_start_end_handshape_annotations//test_auto_move//signs_mov_separ_signers/Naomi_620.mov","MOV")</f>
        <v>21</v>
      </c>
      <c r="M2931" t="s" s="10">
        <v>86</v>
      </c>
      <c r="N2931" s="17">
        <v>12</v>
      </c>
      <c r="O2931" s="18">
        <v>3020</v>
      </c>
      <c r="P2931" s="18">
        <v>3055</v>
      </c>
      <c r="Q2931" t="s" s="16">
        <f>HYPERLINK("http://secrets.rutgers.edu:8080/data/asl-ftp/asllvd/demos/verify_start_end_handshape_annotations//test_auto_move//signs_mov/620_3610_merged.mov","MOV")</f>
        <v>21</v>
      </c>
      <c r="R2931" t="s" s="16">
        <f>HYPERLINK("http://secrets.rutgers.edu:8080/data/asl-ftp/asllvd/demos/verify_start_end_handshape_annotations//test_auto_move//signs_mov_separ_signers/Naomi_620.mov","MOV")</f>
        <v>21</v>
      </c>
    </row>
    <row r="2932" s="2" customFormat="1" ht="13.5" customHeight="1">
      <c r="B2932" s="13"/>
      <c r="C2932" t="s" s="9">
        <v>27</v>
      </c>
      <c r="D2932" t="s" s="8">
        <v>1012</v>
      </c>
      <c r="E2932" t="s" s="9">
        <v>1014</v>
      </c>
      <c r="F2932" s="19">
        <v>1</v>
      </c>
      <c r="G2932" t="s" s="11">
        <v>73</v>
      </c>
      <c r="H2932" s="19">
        <v>1</v>
      </c>
      <c r="I2932" t="s" s="11">
        <v>73</v>
      </c>
      <c r="J2932" t="s" s="11">
        <v>20</v>
      </c>
      <c r="K2932" s="15"/>
      <c r="L2932" t="s" s="16">
        <f>HYPERLINK("http://csr.bu.edu/ftp/asl/asllvd/demos/verify_start_end_handshape_annotations//test_auto_move//signs_mov_separ_signers/Naomi_3610.mov","MOV")</f>
        <v>21</v>
      </c>
      <c r="M2932" t="s" s="10">
        <v>86</v>
      </c>
      <c r="N2932" s="17">
        <v>19</v>
      </c>
      <c r="O2932" s="18">
        <v>2110</v>
      </c>
      <c r="P2932" s="18">
        <v>2151</v>
      </c>
      <c r="Q2932" s="15"/>
      <c r="R2932" t="s" s="16">
        <f>HYPERLINK("http://secrets.rutgers.edu:8080/data/asl-ftp/asllvd/demos/verify_start_end_handshape_annotations//test_auto_move//signs_mov_separ_signers/Naomi_3610.mov","MOV")</f>
        <v>21</v>
      </c>
    </row>
    <row r="2933" s="2" customFormat="1" ht="13.5" customHeight="1">
      <c r="B2933" s="13"/>
      <c r="C2933" t="s" s="9">
        <v>30</v>
      </c>
      <c r="D2933" t="s" s="8">
        <v>1012</v>
      </c>
      <c r="E2933" t="s" s="9">
        <v>1015</v>
      </c>
      <c r="F2933" s="19">
        <v>1</v>
      </c>
      <c r="G2933" t="s" s="11">
        <v>73</v>
      </c>
      <c r="H2933" s="19">
        <v>1</v>
      </c>
      <c r="I2933" t="s" s="11">
        <v>73</v>
      </c>
      <c r="J2933" t="s" s="11">
        <v>20</v>
      </c>
      <c r="K2933" s="15"/>
      <c r="L2933" t="s" s="16">
        <f>HYPERLINK("http://csr.bu.edu/ftp/asl/asllvd/demos/verify_start_end_handshape_annotations//test_auto_move//signs_mov_separ_signers/Brady_620.mov","MOV")</f>
        <v>21</v>
      </c>
      <c r="M2933" t="s" s="10">
        <v>31</v>
      </c>
      <c r="N2933" s="17">
        <v>32</v>
      </c>
      <c r="O2933" s="18">
        <v>9757</v>
      </c>
      <c r="P2933" s="18">
        <v>9809</v>
      </c>
      <c r="Q2933" s="15"/>
      <c r="R2933" t="s" s="16">
        <f>HYPERLINK("http://secrets.rutgers.edu:8080/data/asl-ftp/asllvd/demos/verify_start_end_handshape_annotations//test_auto_move//signs_mov_separ_signers/Brady_620.mov","MOV")</f>
        <v>21</v>
      </c>
    </row>
    <row r="2934" s="2" customFormat="1" ht="13.5" customHeight="1">
      <c r="B2934" s="13"/>
      <c r="C2934" t="s" s="9">
        <v>30</v>
      </c>
      <c r="D2934" t="s" s="8">
        <v>1012</v>
      </c>
      <c r="E2934" t="s" s="9">
        <v>1015</v>
      </c>
      <c r="F2934" s="19">
        <v>1</v>
      </c>
      <c r="G2934" t="s" s="11">
        <v>73</v>
      </c>
      <c r="H2934" s="19">
        <v>1</v>
      </c>
      <c r="I2934" t="s" s="11">
        <v>73</v>
      </c>
      <c r="J2934" t="s" s="11">
        <v>20</v>
      </c>
      <c r="K2934" s="15"/>
      <c r="L2934" t="s" s="16">
        <f>HYPERLINK("http://csr.bu.edu/ftp/asl/asllvd/demos/verify_start_end_handshape_annotations//test_auto_move//signs_mov_separ_signers/Brady_3610.mov","MOV")</f>
        <v>21</v>
      </c>
      <c r="M2934" t="s" s="10">
        <v>31</v>
      </c>
      <c r="N2934" s="17">
        <v>35</v>
      </c>
      <c r="O2934" s="18">
        <v>5059</v>
      </c>
      <c r="P2934" s="18">
        <v>5103</v>
      </c>
      <c r="Q2934" s="15"/>
      <c r="R2934" t="s" s="16">
        <f>HYPERLINK("http://secrets.rutgers.edu:8080/data/asl-ftp/asllvd/demos/verify_start_end_handshape_annotations//test_auto_move//signs_mov_separ_signers/Brady_3610.mov","MOV")</f>
        <v>21</v>
      </c>
    </row>
    <row r="2935" s="2" customFormat="1" ht="13.5" customHeight="1">
      <c r="B2935" s="13"/>
      <c r="C2935" t="s" s="9">
        <v>41</v>
      </c>
      <c r="D2935" t="s" s="8">
        <v>1012</v>
      </c>
      <c r="E2935" t="s" s="9">
        <v>1013</v>
      </c>
      <c r="F2935" s="19">
        <v>1</v>
      </c>
      <c r="G2935" t="s" s="11">
        <v>73</v>
      </c>
      <c r="H2935" s="19">
        <v>1</v>
      </c>
      <c r="I2935" t="s" s="11">
        <v>73</v>
      </c>
      <c r="J2935" t="s" s="11">
        <v>20</v>
      </c>
      <c r="K2935" s="15"/>
      <c r="L2935" t="s" s="16">
        <f>HYPERLINK("http://csr.bu.edu/ftp/asl/asllvd/demos/verify_start_end_handshape_annotations//test_auto_move//signs_mov_separ_signers/Lana_620.mov","MOV")</f>
        <v>21</v>
      </c>
      <c r="M2935" t="s" s="10">
        <v>42</v>
      </c>
      <c r="N2935" s="17">
        <v>7</v>
      </c>
      <c r="O2935" s="18">
        <v>1824</v>
      </c>
      <c r="P2935" s="18">
        <v>1850</v>
      </c>
      <c r="Q2935" s="15"/>
      <c r="R2935" t="s" s="16">
        <f>HYPERLINK("http://secrets.rutgers.edu:8080/data/asl-ftp/asllvd/demos/verify_start_end_handshape_annotations//test_auto_move//signs_mov_separ_signers/Lana_620.mov","MOV")</f>
        <v>21</v>
      </c>
    </row>
    <row r="2936" s="2" customFormat="1" ht="13.5" customHeight="1">
      <c r="B2936" t="s" s="8">
        <v>52</v>
      </c>
      <c r="C2936" t="s" s="9">
        <v>53</v>
      </c>
      <c r="D2936" t="s" s="8">
        <v>53</v>
      </c>
      <c r="E2936" t="s" s="9">
        <v>53</v>
      </c>
      <c r="F2936" t="s" s="10">
        <v>53</v>
      </c>
      <c r="G2936" t="s" s="11">
        <v>53</v>
      </c>
      <c r="H2936" t="s" s="10">
        <v>53</v>
      </c>
      <c r="I2936" t="s" s="11">
        <v>53</v>
      </c>
      <c r="J2936" t="s" s="11">
        <v>53</v>
      </c>
      <c r="K2936" t="s" s="12">
        <v>53</v>
      </c>
      <c r="L2936" t="s" s="12">
        <v>53</v>
      </c>
      <c r="M2936" t="s" s="10">
        <v>53</v>
      </c>
      <c r="N2936" t="s" s="11">
        <v>53</v>
      </c>
      <c r="O2936" t="s" s="8">
        <v>53</v>
      </c>
      <c r="P2936" t="s" s="8">
        <v>53</v>
      </c>
      <c r="Q2936" t="s" s="12">
        <v>53</v>
      </c>
      <c r="R2936" t="s" s="12">
        <v>53</v>
      </c>
    </row>
    <row r="2937" s="2" customFormat="1" ht="13.5" customHeight="1">
      <c r="B2937" s="13"/>
      <c r="C2937" t="s" s="9">
        <v>23</v>
      </c>
      <c r="D2937" t="s" s="8">
        <v>1012</v>
      </c>
      <c r="E2937" t="s" s="9">
        <v>1016</v>
      </c>
      <c r="F2937" s="19">
        <v>1</v>
      </c>
      <c r="G2937" t="s" s="11">
        <v>73</v>
      </c>
      <c r="H2937" s="19">
        <v>1</v>
      </c>
      <c r="I2937" t="s" s="11">
        <v>73</v>
      </c>
      <c r="J2937" t="s" s="11">
        <v>20</v>
      </c>
      <c r="K2937" t="s" s="16">
        <f>HYPERLINK("http://csr.bu.edu/ftp/asl/asllvd/demos/verify_start_end_handshape_annotations//test_auto_move//signs_mov/16319.mov","MOV")</f>
        <v>21</v>
      </c>
      <c r="L2937" t="s" s="16">
        <f>HYPERLINK("http://csr.bu.edu/ftp/asl/asllvd/demos/verify_start_end_handshape_annotations//test_auto_move//signs_mov_separ_signers/Tyler_16319.mov","MOV")</f>
        <v>21</v>
      </c>
      <c r="M2937" t="s" s="10">
        <v>125</v>
      </c>
      <c r="N2937" s="17">
        <v>12</v>
      </c>
      <c r="O2937" s="18">
        <v>3185</v>
      </c>
      <c r="P2937" s="18">
        <v>3236</v>
      </c>
      <c r="Q2937" t="s" s="16">
        <f>HYPERLINK("http://secrets.rutgers.edu:8080/data/asl-ftp/asllvd/demos/verify_start_end_handshape_annotations//test_auto_move//signs_mov/16319.mov","MOV")</f>
        <v>21</v>
      </c>
      <c r="R2937" t="s" s="16">
        <f>HYPERLINK("http://secrets.rutgers.edu:8080/data/asl-ftp/asllvd/demos/verify_start_end_handshape_annotations//test_auto_move//signs_mov_separ_signers/Tyler_16319.mov","MOV")</f>
        <v>21</v>
      </c>
    </row>
    <row r="2938" s="2" customFormat="1" ht="13.5" customHeight="1">
      <c r="B2938" s="13"/>
      <c r="C2938" t="s" s="9">
        <v>43</v>
      </c>
      <c r="D2938" t="s" s="8">
        <v>1012</v>
      </c>
      <c r="E2938" t="s" s="9">
        <v>1016</v>
      </c>
      <c r="F2938" s="19">
        <v>1</v>
      </c>
      <c r="G2938" t="s" s="11">
        <v>73</v>
      </c>
      <c r="H2938" s="19">
        <v>1</v>
      </c>
      <c r="I2938" t="s" s="11">
        <v>73</v>
      </c>
      <c r="J2938" t="s" s="11">
        <v>20</v>
      </c>
      <c r="K2938" s="15"/>
      <c r="L2938" t="s" s="16">
        <f>HYPERLINK("http://csr.bu.edu/ftp/asl/asllvd/demos/verify_start_end_handshape_annotations//test_auto_move//signs_mov_separ_signers/Dana_16319.mov","MOV")</f>
        <v>21</v>
      </c>
      <c r="M2938" t="s" s="10">
        <v>44</v>
      </c>
      <c r="N2938" s="17">
        <v>11</v>
      </c>
      <c r="O2938" s="18">
        <v>1953</v>
      </c>
      <c r="P2938" s="18">
        <v>2041</v>
      </c>
      <c r="Q2938" s="15"/>
      <c r="R2938" t="s" s="16">
        <f>HYPERLINK("http://secrets.rutgers.edu:8080/data/asl-ftp/asllvd/demos/verify_start_end_handshape_annotations//test_auto_move//signs_mov_separ_signers/Dana_16319.mov","MOV")</f>
        <v>21</v>
      </c>
    </row>
    <row r="2939" s="2" customFormat="1" ht="13.5" customHeight="1">
      <c r="B2939" t="s" s="8">
        <v>1017</v>
      </c>
      <c r="C2939" t="s" s="9">
        <v>14</v>
      </c>
      <c r="D2939" t="s" s="8">
        <v>14</v>
      </c>
      <c r="E2939" t="s" s="9">
        <v>14</v>
      </c>
      <c r="F2939" t="s" s="10">
        <v>14</v>
      </c>
      <c r="G2939" t="s" s="11">
        <v>14</v>
      </c>
      <c r="H2939" t="s" s="10">
        <v>14</v>
      </c>
      <c r="I2939" t="s" s="11">
        <v>14</v>
      </c>
      <c r="J2939" t="s" s="11">
        <v>14</v>
      </c>
      <c r="K2939" t="s" s="12">
        <v>14</v>
      </c>
      <c r="L2939" t="s" s="12">
        <v>14</v>
      </c>
      <c r="M2939" t="s" s="10">
        <v>14</v>
      </c>
      <c r="N2939" t="s" s="11">
        <v>14</v>
      </c>
      <c r="O2939" t="s" s="8">
        <v>14</v>
      </c>
      <c r="P2939" t="s" s="8">
        <v>14</v>
      </c>
      <c r="Q2939" t="s" s="12">
        <v>14</v>
      </c>
      <c r="R2939" t="s" s="12">
        <v>14</v>
      </c>
    </row>
    <row r="2940" s="2" customFormat="1" ht="13.5" customHeight="1">
      <c r="B2940" s="13"/>
      <c r="C2940" t="s" s="9">
        <v>16</v>
      </c>
      <c r="D2940" t="s" s="8">
        <v>1017</v>
      </c>
      <c r="E2940" t="s" s="9">
        <v>1017</v>
      </c>
      <c r="F2940" t="s" s="10">
        <v>282</v>
      </c>
      <c r="G2940" t="s" s="11">
        <v>282</v>
      </c>
      <c r="H2940" t="s" s="10">
        <v>282</v>
      </c>
      <c r="I2940" t="s" s="11">
        <v>282</v>
      </c>
      <c r="J2940" t="s" s="11">
        <v>20</v>
      </c>
      <c r="K2940" s="15"/>
      <c r="L2940" t="s" s="16">
        <f>HYPERLINK("http://csr.bu.edu/ftp/asl/asllvd/demos/verify_start_end_handshape_annotations//test_auto_move//signs_mov_separ_signers/Liz_622.mov","MOV")</f>
        <v>21</v>
      </c>
      <c r="M2940" t="s" s="10">
        <v>84</v>
      </c>
      <c r="N2940" s="17">
        <v>13</v>
      </c>
      <c r="O2940" s="18">
        <v>1015</v>
      </c>
      <c r="P2940" s="18">
        <v>1045</v>
      </c>
      <c r="Q2940" s="15"/>
      <c r="R2940" t="s" s="16">
        <f>HYPERLINK("http://secrets.rutgers.edu:8080/data/asl-ftp/asllvd/demos/verify_start_end_handshape_annotations//test_auto_move//signs_mov_separ_signers/Liz_622.mov","MOV")</f>
        <v>21</v>
      </c>
    </row>
    <row r="2941" s="2" customFormat="1" ht="13.5" customHeight="1">
      <c r="B2941" s="13"/>
      <c r="C2941" t="s" s="9">
        <v>16</v>
      </c>
      <c r="D2941" t="s" s="8">
        <v>1017</v>
      </c>
      <c r="E2941" t="s" s="9">
        <v>1017</v>
      </c>
      <c r="F2941" t="s" s="10">
        <v>282</v>
      </c>
      <c r="G2941" t="s" s="11">
        <v>282</v>
      </c>
      <c r="H2941" t="s" s="10">
        <v>282</v>
      </c>
      <c r="I2941" t="s" s="11">
        <v>282</v>
      </c>
      <c r="J2941" t="s" s="11">
        <v>20</v>
      </c>
      <c r="K2941" s="15"/>
      <c r="L2941" t="s" s="16">
        <f>HYPERLINK("http://csr.bu.edu/ftp/asl/asllvd/demos/verify_start_end_handshape_annotations//test_auto_move//signs_mov_separ_signers/Liz_3342.mov","MOV")</f>
        <v>21</v>
      </c>
      <c r="M2941" t="s" s="10">
        <v>84</v>
      </c>
      <c r="N2941" s="17">
        <v>13</v>
      </c>
      <c r="O2941" s="18">
        <v>1407</v>
      </c>
      <c r="P2941" s="18">
        <v>1425</v>
      </c>
      <c r="Q2941" s="15"/>
      <c r="R2941" t="s" s="16">
        <f>HYPERLINK("http://secrets.rutgers.edu:8080/data/asl-ftp/asllvd/demos/verify_start_end_handshape_annotations//test_auto_move//signs_mov_separ_signers/Liz_3342.mov","MOV")</f>
        <v>21</v>
      </c>
    </row>
    <row r="2942" s="2" customFormat="1" ht="13.5" customHeight="1">
      <c r="B2942" s="13"/>
      <c r="C2942" t="s" s="9">
        <v>23</v>
      </c>
      <c r="D2942" t="s" s="8">
        <v>1017</v>
      </c>
      <c r="E2942" t="s" s="9">
        <v>1017</v>
      </c>
      <c r="F2942" t="s" s="10">
        <v>282</v>
      </c>
      <c r="G2942" t="s" s="11">
        <v>282</v>
      </c>
      <c r="H2942" t="s" s="10">
        <v>282</v>
      </c>
      <c r="I2942" t="s" s="11">
        <v>282</v>
      </c>
      <c r="J2942" t="s" s="11">
        <v>20</v>
      </c>
      <c r="K2942" s="15"/>
      <c r="L2942" t="s" s="16">
        <f>HYPERLINK("http://csr.bu.edu/ftp/asl/asllvd/demos/verify_start_end_handshape_annotations//test_auto_move//signs_mov_separ_signers/Tyler_622.mov","MOV")</f>
        <v>21</v>
      </c>
      <c r="M2942" t="s" s="10">
        <v>125</v>
      </c>
      <c r="N2942" s="17">
        <v>13</v>
      </c>
      <c r="O2942" s="18">
        <v>1102</v>
      </c>
      <c r="P2942" s="18">
        <v>1130</v>
      </c>
      <c r="Q2942" s="15"/>
      <c r="R2942" t="s" s="16">
        <f>HYPERLINK("http://secrets.rutgers.edu:8080/data/asl-ftp/asllvd/demos/verify_start_end_handshape_annotations//test_auto_move//signs_mov_separ_signers/Tyler_622.mov","MOV")</f>
        <v>21</v>
      </c>
    </row>
    <row r="2943" s="2" customFormat="1" ht="13.5" customHeight="1">
      <c r="B2943" s="13"/>
      <c r="C2943" t="s" s="9">
        <v>27</v>
      </c>
      <c r="D2943" t="s" s="8">
        <v>1017</v>
      </c>
      <c r="E2943" t="s" s="9">
        <v>1017</v>
      </c>
      <c r="F2943" t="s" s="10">
        <v>282</v>
      </c>
      <c r="G2943" t="s" s="11">
        <v>282</v>
      </c>
      <c r="H2943" t="s" s="10">
        <v>282</v>
      </c>
      <c r="I2943" t="s" s="11">
        <v>282</v>
      </c>
      <c r="J2943" t="s" s="11">
        <v>20</v>
      </c>
      <c r="K2943" t="s" s="16">
        <f>HYPERLINK("http://csr.bu.edu/ftp/asl/asllvd/demos/verify_start_end_handshape_annotations//test_auto_move//signs_mov/622_3342_merged.mov","MOV")</f>
        <v>21</v>
      </c>
      <c r="L2943" t="s" s="16">
        <f>HYPERLINK("http://csr.bu.edu/ftp/asl/asllvd/demos/verify_start_end_handshape_annotations//test_auto_move//signs_mov_separ_signers/Naomi_622.mov","MOV")</f>
        <v>21</v>
      </c>
      <c r="M2943" t="s" s="10">
        <v>86</v>
      </c>
      <c r="N2943" s="17">
        <v>13</v>
      </c>
      <c r="O2943" s="18">
        <v>995</v>
      </c>
      <c r="P2943" s="18">
        <v>1020</v>
      </c>
      <c r="Q2943" t="s" s="16">
        <f>HYPERLINK("http://secrets.rutgers.edu:8080/data/asl-ftp/asllvd/demos/verify_start_end_handshape_annotations//test_auto_move//signs_mov/622_3342_merged.mov","MOV")</f>
        <v>21</v>
      </c>
      <c r="R2943" t="s" s="16">
        <f>HYPERLINK("http://secrets.rutgers.edu:8080/data/asl-ftp/asllvd/demos/verify_start_end_handshape_annotations//test_auto_move//signs_mov_separ_signers/Naomi_622.mov","MOV")</f>
        <v>21</v>
      </c>
    </row>
    <row r="2944" s="2" customFormat="1" ht="13.5" customHeight="1">
      <c r="B2944" s="13"/>
      <c r="C2944" t="s" s="9">
        <v>27</v>
      </c>
      <c r="D2944" t="s" s="8">
        <v>1017</v>
      </c>
      <c r="E2944" t="s" s="9">
        <v>1017</v>
      </c>
      <c r="F2944" t="s" s="10">
        <v>282</v>
      </c>
      <c r="G2944" t="s" s="11">
        <v>282</v>
      </c>
      <c r="H2944" t="s" s="10">
        <v>282</v>
      </c>
      <c r="I2944" t="s" s="11">
        <v>282</v>
      </c>
      <c r="J2944" t="s" s="11">
        <v>20</v>
      </c>
      <c r="K2944" s="15"/>
      <c r="L2944" t="s" s="16">
        <f>HYPERLINK("http://csr.bu.edu/ftp/asl/asllvd/demos/verify_start_end_handshape_annotations//test_auto_move//signs_mov_separ_signers/Naomi_3342.mov","MOV")</f>
        <v>21</v>
      </c>
      <c r="M2944" t="s" s="10">
        <v>86</v>
      </c>
      <c r="N2944" s="17">
        <v>13</v>
      </c>
      <c r="O2944" s="18">
        <v>1461</v>
      </c>
      <c r="P2944" s="18">
        <v>1485</v>
      </c>
      <c r="Q2944" s="15"/>
      <c r="R2944" t="s" s="16">
        <f>HYPERLINK("http://secrets.rutgers.edu:8080/data/asl-ftp/asllvd/demos/verify_start_end_handshape_annotations//test_auto_move//signs_mov_separ_signers/Naomi_3342.mov","MOV")</f>
        <v>21</v>
      </c>
    </row>
    <row r="2945" s="2" customFormat="1" ht="13.5" customHeight="1">
      <c r="B2945" s="13"/>
      <c r="C2945" t="s" s="9">
        <v>30</v>
      </c>
      <c r="D2945" t="s" s="8">
        <v>1017</v>
      </c>
      <c r="E2945" t="s" s="9">
        <v>1017</v>
      </c>
      <c r="F2945" t="s" s="10">
        <v>282</v>
      </c>
      <c r="G2945" t="s" s="11">
        <v>282</v>
      </c>
      <c r="H2945" t="s" s="10">
        <v>282</v>
      </c>
      <c r="I2945" t="s" s="11">
        <v>282</v>
      </c>
      <c r="J2945" t="s" s="11">
        <v>20</v>
      </c>
      <c r="K2945" s="15"/>
      <c r="L2945" t="s" s="16">
        <f>HYPERLINK("http://csr.bu.edu/ftp/asl/asllvd/demos/verify_start_end_handshape_annotations//test_auto_move//signs_mov_separ_signers/Brady_622.mov","MOV")</f>
        <v>21</v>
      </c>
      <c r="M2945" t="s" s="10">
        <v>31</v>
      </c>
      <c r="N2945" s="17">
        <v>32</v>
      </c>
      <c r="O2945" s="18">
        <v>10973</v>
      </c>
      <c r="P2945" s="18">
        <v>10995</v>
      </c>
      <c r="Q2945" s="15"/>
      <c r="R2945" t="s" s="16">
        <f>HYPERLINK("http://secrets.rutgers.edu:8080/data/asl-ftp/asllvd/demos/verify_start_end_handshape_annotations//test_auto_move//signs_mov_separ_signers/Brady_622.mov","MOV")</f>
        <v>21</v>
      </c>
    </row>
    <row r="2946" s="2" customFormat="1" ht="13.5" customHeight="1">
      <c r="B2946" s="13"/>
      <c r="C2946" t="s" s="9">
        <v>30</v>
      </c>
      <c r="D2946" t="s" s="8">
        <v>1017</v>
      </c>
      <c r="E2946" t="s" s="9">
        <v>1017</v>
      </c>
      <c r="F2946" t="s" s="10">
        <v>282</v>
      </c>
      <c r="G2946" t="s" s="11">
        <v>282</v>
      </c>
      <c r="H2946" t="s" s="10">
        <v>282</v>
      </c>
      <c r="I2946" t="s" s="11">
        <v>282</v>
      </c>
      <c r="J2946" t="s" s="11">
        <v>20</v>
      </c>
      <c r="K2946" s="15"/>
      <c r="L2946" t="s" s="16">
        <f>HYPERLINK("http://csr.bu.edu/ftp/asl/asllvd/demos/verify_start_end_handshape_annotations//test_auto_move//signs_mov_separ_signers/Brady_3342.mov","MOV")</f>
        <v>21</v>
      </c>
      <c r="M2946" t="s" s="10">
        <v>60</v>
      </c>
      <c r="N2946" s="17">
        <v>41</v>
      </c>
      <c r="O2946" s="18">
        <v>1570</v>
      </c>
      <c r="P2946" s="18">
        <v>1588</v>
      </c>
      <c r="Q2946" s="15"/>
      <c r="R2946" t="s" s="16">
        <f>HYPERLINK("http://secrets.rutgers.edu:8080/data/asl-ftp/asllvd/demos/verify_start_end_handshape_annotations//test_auto_move//signs_mov_separ_signers/Brady_3342.mov","MOV")</f>
        <v>21</v>
      </c>
    </row>
    <row r="2947" s="2" customFormat="1" ht="13.5" customHeight="1">
      <c r="B2947" s="13"/>
      <c r="C2947" t="s" s="9">
        <v>41</v>
      </c>
      <c r="D2947" t="s" s="8">
        <v>1017</v>
      </c>
      <c r="E2947" t="s" s="9">
        <v>1017</v>
      </c>
      <c r="F2947" t="s" s="10">
        <v>282</v>
      </c>
      <c r="G2947" t="s" s="11">
        <v>282</v>
      </c>
      <c r="H2947" t="s" s="10">
        <v>282</v>
      </c>
      <c r="I2947" t="s" s="11">
        <v>282</v>
      </c>
      <c r="J2947" t="s" s="11">
        <v>20</v>
      </c>
      <c r="K2947" s="15"/>
      <c r="L2947" t="s" s="16">
        <f>HYPERLINK("http://csr.bu.edu/ftp/asl/asllvd/demos/verify_start_end_handshape_annotations//test_auto_move//signs_mov_separ_signers/Lana_622.mov","MOV")</f>
        <v>21</v>
      </c>
      <c r="M2947" t="s" s="10">
        <v>245</v>
      </c>
      <c r="N2947" s="17">
        <v>22</v>
      </c>
      <c r="O2947" s="18">
        <v>1045</v>
      </c>
      <c r="P2947" s="18">
        <v>1078</v>
      </c>
      <c r="Q2947" s="15"/>
      <c r="R2947" t="s" s="16">
        <f>HYPERLINK("http://secrets.rutgers.edu:8080/data/asl-ftp/asllvd/demos/verify_start_end_handshape_annotations//test_auto_move//signs_mov_separ_signers/Lana_622.mov","MOV")</f>
        <v>21</v>
      </c>
    </row>
    <row r="2948" s="2" customFormat="1" ht="13.5" customHeight="1">
      <c r="B2948" t="s" s="8">
        <v>1018</v>
      </c>
      <c r="C2948" t="s" s="9">
        <v>14</v>
      </c>
      <c r="D2948" t="s" s="8">
        <v>14</v>
      </c>
      <c r="E2948" t="s" s="9">
        <v>14</v>
      </c>
      <c r="F2948" t="s" s="10">
        <v>14</v>
      </c>
      <c r="G2948" t="s" s="11">
        <v>14</v>
      </c>
      <c r="H2948" t="s" s="10">
        <v>14</v>
      </c>
      <c r="I2948" t="s" s="11">
        <v>14</v>
      </c>
      <c r="J2948" t="s" s="11">
        <v>14</v>
      </c>
      <c r="K2948" t="s" s="12">
        <v>14</v>
      </c>
      <c r="L2948" t="s" s="12">
        <v>14</v>
      </c>
      <c r="M2948" t="s" s="10">
        <v>14</v>
      </c>
      <c r="N2948" t="s" s="11">
        <v>14</v>
      </c>
      <c r="O2948" t="s" s="8">
        <v>14</v>
      </c>
      <c r="P2948" t="s" s="8">
        <v>14</v>
      </c>
      <c r="Q2948" t="s" s="12">
        <v>14</v>
      </c>
      <c r="R2948" t="s" s="12">
        <v>14</v>
      </c>
    </row>
    <row r="2949" s="2" customFormat="1" ht="13.5" customHeight="1">
      <c r="B2949" s="13"/>
      <c r="C2949" t="s" s="9">
        <v>16</v>
      </c>
      <c r="D2949" t="s" s="8">
        <v>1018</v>
      </c>
      <c r="E2949" t="s" s="9">
        <v>1018</v>
      </c>
      <c r="F2949" t="s" s="10">
        <v>282</v>
      </c>
      <c r="G2949" t="s" s="11">
        <v>282</v>
      </c>
      <c r="H2949" t="s" s="10">
        <v>282</v>
      </c>
      <c r="I2949" t="s" s="11">
        <v>282</v>
      </c>
      <c r="J2949" t="s" s="11">
        <v>20</v>
      </c>
      <c r="K2949" s="15"/>
      <c r="L2949" t="s" s="16">
        <f>HYPERLINK("http://csr.bu.edu/ftp/asl/asllvd/demos/verify_start_end_handshape_annotations//test_auto_move//signs_mov_separ_signers/Liz_15912.mov","MOV")</f>
        <v>21</v>
      </c>
      <c r="M2949" t="s" s="10">
        <v>84</v>
      </c>
      <c r="N2949" s="17">
        <v>7</v>
      </c>
      <c r="O2949" s="18">
        <v>311</v>
      </c>
      <c r="P2949" s="18">
        <v>367</v>
      </c>
      <c r="Q2949" s="15"/>
      <c r="R2949" t="s" s="16">
        <f>HYPERLINK("http://secrets.rutgers.edu:8080/data/asl-ftp/asllvd/demos/verify_start_end_handshape_annotations//test_auto_move//signs_mov_separ_signers/Liz_15912.mov","MOV")</f>
        <v>21</v>
      </c>
    </row>
    <row r="2950" s="2" customFormat="1" ht="13.5" customHeight="1">
      <c r="B2950" s="13"/>
      <c r="C2950" t="s" s="9">
        <v>16</v>
      </c>
      <c r="D2950" t="s" s="8">
        <v>1018</v>
      </c>
      <c r="E2950" t="s" s="9">
        <v>1018</v>
      </c>
      <c r="F2950" t="s" s="10">
        <v>282</v>
      </c>
      <c r="G2950" t="s" s="11">
        <v>282</v>
      </c>
      <c r="H2950" t="s" s="10">
        <v>282</v>
      </c>
      <c r="I2950" t="s" s="11">
        <v>282</v>
      </c>
      <c r="J2950" t="s" s="11">
        <v>20</v>
      </c>
      <c r="K2950" s="15"/>
      <c r="L2950" t="s" s="16">
        <f>HYPERLINK("http://csr.bu.edu/ftp/asl/asllvd/demos/verify_start_end_handshape_annotations//test_auto_move//signs_mov_separ_signers/Liz_15961.mov","MOV")</f>
        <v>21</v>
      </c>
      <c r="M2950" t="s" s="10">
        <v>34</v>
      </c>
      <c r="N2950" s="17">
        <v>38</v>
      </c>
      <c r="O2950" s="18">
        <v>585</v>
      </c>
      <c r="P2950" s="18">
        <v>640</v>
      </c>
      <c r="Q2950" s="15"/>
      <c r="R2950" t="s" s="16">
        <f>HYPERLINK("http://secrets.rutgers.edu:8080/data/asl-ftp/asllvd/demos/verify_start_end_handshape_annotations//test_auto_move//signs_mov_separ_signers/Liz_15961.mov","MOV")</f>
        <v>21</v>
      </c>
    </row>
    <row r="2951" s="2" customFormat="1" ht="13.5" customHeight="1">
      <c r="B2951" s="13"/>
      <c r="C2951" t="s" s="9">
        <v>23</v>
      </c>
      <c r="D2951" t="s" s="8">
        <v>1018</v>
      </c>
      <c r="E2951" t="s" s="9">
        <v>1018</v>
      </c>
      <c r="F2951" t="s" s="10">
        <v>282</v>
      </c>
      <c r="G2951" t="s" s="11">
        <v>282</v>
      </c>
      <c r="H2951" t="s" s="10">
        <v>282</v>
      </c>
      <c r="I2951" t="s" s="11">
        <v>282</v>
      </c>
      <c r="J2951" t="s" s="11">
        <v>20</v>
      </c>
      <c r="K2951" s="15"/>
      <c r="L2951" t="s" s="16">
        <f>HYPERLINK("http://csr.bu.edu/ftp/asl/asllvd/demos/verify_start_end_handshape_annotations//test_auto_move//signs_mov_separ_signers/Tyler_15912.mov","MOV")</f>
        <v>21</v>
      </c>
      <c r="M2951" t="s" s="10">
        <v>125</v>
      </c>
      <c r="N2951" s="17">
        <v>6</v>
      </c>
      <c r="O2951" s="18">
        <v>3125</v>
      </c>
      <c r="P2951" s="18">
        <v>3175</v>
      </c>
      <c r="Q2951" s="15"/>
      <c r="R2951" t="s" s="16">
        <f>HYPERLINK("http://secrets.rutgers.edu:8080/data/asl-ftp/asllvd/demos/verify_start_end_handshape_annotations//test_auto_move//signs_mov_separ_signers/Tyler_15912.mov","MOV")</f>
        <v>21</v>
      </c>
    </row>
    <row r="2952" s="2" customFormat="1" ht="13.5" customHeight="1">
      <c r="B2952" s="13"/>
      <c r="C2952" t="s" s="9">
        <v>27</v>
      </c>
      <c r="D2952" t="s" s="8">
        <v>1018</v>
      </c>
      <c r="E2952" t="s" s="9">
        <v>1018</v>
      </c>
      <c r="F2952" t="s" s="10">
        <v>282</v>
      </c>
      <c r="G2952" t="s" s="11">
        <v>282</v>
      </c>
      <c r="H2952" t="s" s="10">
        <v>282</v>
      </c>
      <c r="I2952" t="s" s="11">
        <v>282</v>
      </c>
      <c r="J2952" t="s" s="11">
        <v>20</v>
      </c>
      <c r="K2952" s="15"/>
      <c r="L2952" t="s" s="16">
        <f>HYPERLINK("http://csr.bu.edu/ftp/asl/asllvd/demos/verify_start_end_handshape_annotations//test_auto_move//signs_mov_separ_signers/Naomi_15912.mov","MOV")</f>
        <v>21</v>
      </c>
      <c r="M2952" t="s" s="10">
        <v>86</v>
      </c>
      <c r="N2952" s="17">
        <v>6</v>
      </c>
      <c r="O2952" s="18">
        <v>2845</v>
      </c>
      <c r="P2952" s="18">
        <v>2905</v>
      </c>
      <c r="Q2952" s="15"/>
      <c r="R2952" t="s" s="16">
        <f>HYPERLINK("http://secrets.rutgers.edu:8080/data/asl-ftp/asllvd/demos/verify_start_end_handshape_annotations//test_auto_move//signs_mov_separ_signers/Naomi_15912.mov","MOV")</f>
        <v>21</v>
      </c>
    </row>
    <row r="2953" s="2" customFormat="1" ht="13.5" customHeight="1">
      <c r="B2953" s="13"/>
      <c r="C2953" t="s" s="9">
        <v>27</v>
      </c>
      <c r="D2953" t="s" s="8">
        <v>1018</v>
      </c>
      <c r="E2953" t="s" s="9">
        <v>1018</v>
      </c>
      <c r="F2953" t="s" s="10">
        <v>282</v>
      </c>
      <c r="G2953" t="s" s="11">
        <v>282</v>
      </c>
      <c r="H2953" t="s" s="10">
        <v>282</v>
      </c>
      <c r="I2953" t="s" s="11">
        <v>282</v>
      </c>
      <c r="J2953" t="s" s="11">
        <v>20</v>
      </c>
      <c r="K2953" t="s" s="16">
        <f>HYPERLINK("http://csr.bu.edu/ftp/asl/asllvd/demos/verify_start_end_handshape_annotations//test_auto_move//signs_mov/15912_15961_merged.mov","MOV")</f>
        <v>21</v>
      </c>
      <c r="L2953" t="s" s="16">
        <f>HYPERLINK("http://csr.bu.edu/ftp/asl/asllvd/demos/verify_start_end_handshape_annotations//test_auto_move//signs_mov_separ_signers/Naomi_15961.mov","MOV")</f>
        <v>21</v>
      </c>
      <c r="M2953" t="s" s="10">
        <v>38</v>
      </c>
      <c r="N2953" s="17">
        <v>32</v>
      </c>
      <c r="O2953" s="18">
        <v>373</v>
      </c>
      <c r="P2953" s="18">
        <v>427</v>
      </c>
      <c r="Q2953" t="s" s="16">
        <f>HYPERLINK("http://secrets.rutgers.edu:8080/data/asl-ftp/asllvd/demos/verify_start_end_handshape_annotations//test_auto_move//signs_mov/15912_15961_merged.mov","MOV")</f>
        <v>21</v>
      </c>
      <c r="R2953" t="s" s="16">
        <f>HYPERLINK("http://secrets.rutgers.edu:8080/data/asl-ftp/asllvd/demos/verify_start_end_handshape_annotations//test_auto_move//signs_mov_separ_signers/Naomi_15961.mov","MOV")</f>
        <v>21</v>
      </c>
    </row>
    <row r="2954" s="2" customFormat="1" ht="13.5" customHeight="1">
      <c r="B2954" s="13"/>
      <c r="C2954" t="s" s="9">
        <v>30</v>
      </c>
      <c r="D2954" t="s" s="8">
        <v>1018</v>
      </c>
      <c r="E2954" t="s" s="9">
        <v>1018</v>
      </c>
      <c r="F2954" t="s" s="10">
        <v>282</v>
      </c>
      <c r="G2954" t="s" s="11">
        <v>282</v>
      </c>
      <c r="H2954" t="s" s="10">
        <v>282</v>
      </c>
      <c r="I2954" t="s" s="11">
        <v>282</v>
      </c>
      <c r="J2954" t="s" s="11">
        <v>20</v>
      </c>
      <c r="K2954" s="15"/>
      <c r="L2954" t="s" s="16">
        <f>HYPERLINK("http://csr.bu.edu/ftp/asl/asllvd/demos/verify_start_end_handshape_annotations//test_auto_move//signs_mov_separ_signers/Brady_15912.mov","MOV")</f>
        <v>21</v>
      </c>
      <c r="M2954" t="s" s="10">
        <v>31</v>
      </c>
      <c r="N2954" s="17">
        <v>30</v>
      </c>
      <c r="O2954" s="18">
        <v>11641</v>
      </c>
      <c r="P2954" s="18">
        <v>11685</v>
      </c>
      <c r="Q2954" s="15"/>
      <c r="R2954" t="s" s="16">
        <f>HYPERLINK("http://secrets.rutgers.edu:8080/data/asl-ftp/asllvd/demos/verify_start_end_handshape_annotations//test_auto_move//signs_mov_separ_signers/Brady_15912.mov","MOV")</f>
        <v>21</v>
      </c>
    </row>
    <row r="2955" s="2" customFormat="1" ht="13.5" customHeight="1">
      <c r="B2955" s="13"/>
      <c r="C2955" t="s" s="9">
        <v>30</v>
      </c>
      <c r="D2955" t="s" s="8">
        <v>1018</v>
      </c>
      <c r="E2955" t="s" s="9">
        <v>1018</v>
      </c>
      <c r="F2955" t="s" s="10">
        <v>282</v>
      </c>
      <c r="G2955" t="s" s="11">
        <v>282</v>
      </c>
      <c r="H2955" t="s" s="10">
        <v>282</v>
      </c>
      <c r="I2955" t="s" s="11">
        <v>282</v>
      </c>
      <c r="J2955" t="s" s="11">
        <v>20</v>
      </c>
      <c r="K2955" s="15"/>
      <c r="L2955" t="s" s="16">
        <f>HYPERLINK("http://csr.bu.edu/ftp/asl/asllvd/demos/verify_start_end_handshape_annotations//test_auto_move//signs_mov_separ_signers/Brady_15961.mov","MOV")</f>
        <v>21</v>
      </c>
      <c r="M2955" t="s" s="10">
        <v>39</v>
      </c>
      <c r="N2955" s="17">
        <v>43</v>
      </c>
      <c r="O2955" s="18">
        <v>8134</v>
      </c>
      <c r="P2955" s="18">
        <v>8167</v>
      </c>
      <c r="Q2955" s="15"/>
      <c r="R2955" t="s" s="16">
        <f>HYPERLINK("http://secrets.rutgers.edu:8080/data/asl-ftp/asllvd/demos/verify_start_end_handshape_annotations//test_auto_move//signs_mov_separ_signers/Brady_15961.mov","MOV")</f>
        <v>21</v>
      </c>
    </row>
    <row r="2956" s="2" customFormat="1" ht="13.5" customHeight="1">
      <c r="B2956" s="13"/>
      <c r="C2956" t="s" s="9">
        <v>41</v>
      </c>
      <c r="D2956" t="s" s="8">
        <v>1018</v>
      </c>
      <c r="E2956" t="s" s="9">
        <v>1018</v>
      </c>
      <c r="F2956" t="s" s="10">
        <v>282</v>
      </c>
      <c r="G2956" t="s" s="11">
        <v>282</v>
      </c>
      <c r="H2956" t="s" s="10">
        <v>282</v>
      </c>
      <c r="I2956" t="s" s="11">
        <v>282</v>
      </c>
      <c r="J2956" t="s" s="11">
        <v>20</v>
      </c>
      <c r="K2956" s="15"/>
      <c r="L2956" t="s" s="16">
        <f>HYPERLINK("http://csr.bu.edu/ftp/asl/asllvd/demos/verify_start_end_handshape_annotations//test_auto_move//signs_mov_separ_signers/Lana_15912.mov","MOV")</f>
        <v>21</v>
      </c>
      <c r="M2956" t="s" s="10">
        <v>42</v>
      </c>
      <c r="N2956" s="17">
        <v>6</v>
      </c>
      <c r="O2956" s="18">
        <v>1555</v>
      </c>
      <c r="P2956" s="18">
        <v>1600</v>
      </c>
      <c r="Q2956" s="15"/>
      <c r="R2956" t="s" s="16">
        <f>HYPERLINK("http://secrets.rutgers.edu:8080/data/asl-ftp/asllvd/demos/verify_start_end_handshape_annotations//test_auto_move//signs_mov_separ_signers/Lana_15912.mov","MOV")</f>
        <v>21</v>
      </c>
    </row>
    <row r="2957" s="2" customFormat="1" ht="13.5" customHeight="1">
      <c r="B2957" s="13"/>
      <c r="C2957" t="s" s="9">
        <v>43</v>
      </c>
      <c r="D2957" t="s" s="8">
        <v>1018</v>
      </c>
      <c r="E2957" t="s" s="9">
        <v>1018</v>
      </c>
      <c r="F2957" t="s" s="10">
        <v>282</v>
      </c>
      <c r="G2957" t="s" s="11">
        <v>282</v>
      </c>
      <c r="H2957" t="s" s="10">
        <v>282</v>
      </c>
      <c r="I2957" t="s" s="11">
        <v>282</v>
      </c>
      <c r="J2957" t="s" s="11">
        <v>20</v>
      </c>
      <c r="K2957" s="15"/>
      <c r="L2957" t="s" s="16">
        <f>HYPERLINK("http://csr.bu.edu/ftp/asl/asllvd/demos/verify_start_end_handshape_annotations//test_auto_move//signs_mov_separ_signers/Dana_15912.mov","MOV")</f>
        <v>21</v>
      </c>
      <c r="M2957" t="s" s="10">
        <v>44</v>
      </c>
      <c r="N2957" s="17">
        <v>10</v>
      </c>
      <c r="O2957" s="18">
        <v>1834</v>
      </c>
      <c r="P2957" s="18">
        <v>1902</v>
      </c>
      <c r="Q2957" s="15"/>
      <c r="R2957" t="s" s="16">
        <f>HYPERLINK("http://secrets.rutgers.edu:8080/data/asl-ftp/asllvd/demos/verify_start_end_handshape_annotations//test_auto_move//signs_mov_separ_signers/Dana_15912.mov","MOV")</f>
        <v>21</v>
      </c>
    </row>
    <row r="2958" s="2" customFormat="1" ht="13.5" customHeight="1">
      <c r="B2958" t="s" s="8">
        <v>1019</v>
      </c>
      <c r="C2958" t="s" s="9">
        <v>14</v>
      </c>
      <c r="D2958" t="s" s="8">
        <v>14</v>
      </c>
      <c r="E2958" t="s" s="9">
        <v>14</v>
      </c>
      <c r="F2958" t="s" s="10">
        <v>14</v>
      </c>
      <c r="G2958" t="s" s="11">
        <v>14</v>
      </c>
      <c r="H2958" t="s" s="10">
        <v>14</v>
      </c>
      <c r="I2958" t="s" s="11">
        <v>14</v>
      </c>
      <c r="J2958" t="s" s="11">
        <v>14</v>
      </c>
      <c r="K2958" t="s" s="12">
        <v>14</v>
      </c>
      <c r="L2958" t="s" s="12">
        <v>14</v>
      </c>
      <c r="M2958" t="s" s="10">
        <v>14</v>
      </c>
      <c r="N2958" t="s" s="11">
        <v>14</v>
      </c>
      <c r="O2958" t="s" s="8">
        <v>14</v>
      </c>
      <c r="P2958" t="s" s="8">
        <v>14</v>
      </c>
      <c r="Q2958" t="s" s="12">
        <v>14</v>
      </c>
      <c r="R2958" t="s" s="12">
        <v>14</v>
      </c>
    </row>
    <row r="2959" s="2" customFormat="1" ht="13.5" customHeight="1">
      <c r="B2959" s="13"/>
      <c r="C2959" t="s" s="9">
        <v>16</v>
      </c>
      <c r="D2959" t="s" s="8">
        <v>1019</v>
      </c>
      <c r="E2959" t="s" s="9">
        <v>1019</v>
      </c>
      <c r="F2959" t="s" s="10">
        <v>72</v>
      </c>
      <c r="G2959" t="s" s="11">
        <v>72</v>
      </c>
      <c r="H2959" t="s" s="10">
        <v>72</v>
      </c>
      <c r="I2959" t="s" s="11">
        <v>72</v>
      </c>
      <c r="J2959" t="s" s="11">
        <v>20</v>
      </c>
      <c r="K2959" s="15"/>
      <c r="L2959" t="s" s="16">
        <f>HYPERLINK("http://csr.bu.edu/ftp/asl/asllvd/demos/verify_start_end_handshape_annotations//test_auto_move//signs_mov_separ_signers/Liz_625.mov","MOV")</f>
        <v>21</v>
      </c>
      <c r="M2959" t="s" s="10">
        <v>84</v>
      </c>
      <c r="N2959" s="17">
        <v>13</v>
      </c>
      <c r="O2959" s="18">
        <v>1650</v>
      </c>
      <c r="P2959" s="18">
        <v>1716</v>
      </c>
      <c r="Q2959" s="15"/>
      <c r="R2959" t="s" s="16">
        <f>HYPERLINK("http://secrets.rutgers.edu:8080/data/asl-ftp/asllvd/demos/verify_start_end_handshape_annotations//test_auto_move//signs_mov_separ_signers/Liz_625.mov","MOV")</f>
        <v>21</v>
      </c>
    </row>
    <row r="2960" s="2" customFormat="1" ht="13.5" customHeight="1">
      <c r="B2960" s="13"/>
      <c r="C2960" t="s" s="9">
        <v>23</v>
      </c>
      <c r="D2960" t="s" s="8">
        <v>1019</v>
      </c>
      <c r="E2960" t="s" s="9">
        <v>1019</v>
      </c>
      <c r="F2960" t="s" s="10">
        <v>72</v>
      </c>
      <c r="G2960" t="s" s="11">
        <v>72</v>
      </c>
      <c r="H2960" t="s" s="10">
        <v>72</v>
      </c>
      <c r="I2960" t="s" s="11">
        <v>72</v>
      </c>
      <c r="J2960" t="s" s="11">
        <v>20</v>
      </c>
      <c r="K2960" t="s" s="16">
        <f>HYPERLINK("http://csr.bu.edu/ftp/asl/asllvd/demos/verify_start_end_handshape_annotations//test_auto_move//signs_mov/625.mov","MOV")</f>
        <v>21</v>
      </c>
      <c r="L2960" t="s" s="16">
        <f>HYPERLINK("http://csr.bu.edu/ftp/asl/asllvd/demos/verify_start_end_handshape_annotations//test_auto_move//signs_mov_separ_signers/Tyler_625.mov","MOV")</f>
        <v>21</v>
      </c>
      <c r="M2960" t="s" s="10">
        <v>125</v>
      </c>
      <c r="N2960" s="17">
        <v>13</v>
      </c>
      <c r="O2960" s="18">
        <v>1680</v>
      </c>
      <c r="P2960" s="18">
        <v>1730</v>
      </c>
      <c r="Q2960" t="s" s="16">
        <f>HYPERLINK("http://secrets.rutgers.edu:8080/data/asl-ftp/asllvd/demos/verify_start_end_handshape_annotations//test_auto_move//signs_mov/625.mov","MOV")</f>
        <v>21</v>
      </c>
      <c r="R2960" t="s" s="16">
        <f>HYPERLINK("http://secrets.rutgers.edu:8080/data/asl-ftp/asllvd/demos/verify_start_end_handshape_annotations//test_auto_move//signs_mov_separ_signers/Tyler_625.mov","MOV")</f>
        <v>21</v>
      </c>
    </row>
    <row r="2961" s="2" customFormat="1" ht="13.5" customHeight="1">
      <c r="B2961" s="13"/>
      <c r="C2961" t="s" s="9">
        <v>27</v>
      </c>
      <c r="D2961" t="s" s="8">
        <v>1019</v>
      </c>
      <c r="E2961" t="s" s="9">
        <v>1019</v>
      </c>
      <c r="F2961" t="s" s="10">
        <v>72</v>
      </c>
      <c r="G2961" t="s" s="11">
        <v>72</v>
      </c>
      <c r="H2961" t="s" s="10">
        <v>72</v>
      </c>
      <c r="I2961" t="s" s="11">
        <v>72</v>
      </c>
      <c r="J2961" t="s" s="11">
        <v>20</v>
      </c>
      <c r="K2961" s="15"/>
      <c r="L2961" t="s" s="16">
        <f>HYPERLINK("http://csr.bu.edu/ftp/asl/asllvd/demos/verify_start_end_handshape_annotations//test_auto_move//signs_mov_separ_signers/Naomi_625.mov","MOV")</f>
        <v>21</v>
      </c>
      <c r="M2961" t="s" s="10">
        <v>86</v>
      </c>
      <c r="N2961" s="17">
        <v>13</v>
      </c>
      <c r="O2961" s="18">
        <v>1767</v>
      </c>
      <c r="P2961" s="18">
        <v>1850</v>
      </c>
      <c r="Q2961" s="15"/>
      <c r="R2961" t="s" s="16">
        <f>HYPERLINK("http://secrets.rutgers.edu:8080/data/asl-ftp/asllvd/demos/verify_start_end_handshape_annotations//test_auto_move//signs_mov_separ_signers/Naomi_625.mov","MOV")</f>
        <v>21</v>
      </c>
    </row>
    <row r="2962" s="2" customFormat="1" ht="13.5" customHeight="1">
      <c r="B2962" s="13"/>
      <c r="C2962" t="s" s="9">
        <v>30</v>
      </c>
      <c r="D2962" t="s" s="8">
        <v>1019</v>
      </c>
      <c r="E2962" t="s" s="9">
        <v>1019</v>
      </c>
      <c r="F2962" t="s" s="10">
        <v>72</v>
      </c>
      <c r="G2962" t="s" s="11">
        <v>72</v>
      </c>
      <c r="H2962" t="s" s="10">
        <v>72</v>
      </c>
      <c r="I2962" t="s" s="11">
        <v>72</v>
      </c>
      <c r="J2962" t="s" s="11">
        <v>20</v>
      </c>
      <c r="K2962" s="15"/>
      <c r="L2962" t="s" s="16">
        <f>HYPERLINK("http://csr.bu.edu/ftp/asl/asllvd/demos/verify_start_end_handshape_annotations//test_auto_move//signs_mov_separ_signers/Brady_625.mov","MOV")</f>
        <v>21</v>
      </c>
      <c r="M2962" t="s" s="10">
        <v>31</v>
      </c>
      <c r="N2962" s="17">
        <v>32</v>
      </c>
      <c r="O2962" s="18">
        <v>11438</v>
      </c>
      <c r="P2962" s="18">
        <v>11475</v>
      </c>
      <c r="Q2962" s="15"/>
      <c r="R2962" t="s" s="16">
        <f>HYPERLINK("http://secrets.rutgers.edu:8080/data/asl-ftp/asllvd/demos/verify_start_end_handshape_annotations//test_auto_move//signs_mov_separ_signers/Brady_625.mov","MOV")</f>
        <v>21</v>
      </c>
    </row>
    <row r="2963" s="2" customFormat="1" ht="13.5" customHeight="1">
      <c r="B2963" t="s" s="8">
        <v>1020</v>
      </c>
      <c r="C2963" t="s" s="9">
        <v>14</v>
      </c>
      <c r="D2963" t="s" s="8">
        <v>14</v>
      </c>
      <c r="E2963" t="s" s="9">
        <v>14</v>
      </c>
      <c r="F2963" t="s" s="10">
        <v>14</v>
      </c>
      <c r="G2963" t="s" s="11">
        <v>14</v>
      </c>
      <c r="H2963" t="s" s="10">
        <v>14</v>
      </c>
      <c r="I2963" t="s" s="11">
        <v>14</v>
      </c>
      <c r="J2963" t="s" s="11">
        <v>14</v>
      </c>
      <c r="K2963" t="s" s="12">
        <v>14</v>
      </c>
      <c r="L2963" t="s" s="12">
        <v>14</v>
      </c>
      <c r="M2963" t="s" s="10">
        <v>14</v>
      </c>
      <c r="N2963" t="s" s="11">
        <v>14</v>
      </c>
      <c r="O2963" t="s" s="8">
        <v>14</v>
      </c>
      <c r="P2963" t="s" s="8">
        <v>14</v>
      </c>
      <c r="Q2963" t="s" s="12">
        <v>14</v>
      </c>
      <c r="R2963" t="s" s="12">
        <v>14</v>
      </c>
    </row>
    <row r="2964" s="2" customFormat="1" ht="13.5" customHeight="1">
      <c r="B2964" s="13"/>
      <c r="C2964" t="s" s="9">
        <v>16</v>
      </c>
      <c r="D2964" t="s" s="8">
        <v>1020</v>
      </c>
      <c r="E2964" t="s" s="9">
        <v>1021</v>
      </c>
      <c r="F2964" s="19">
        <v>5</v>
      </c>
      <c r="G2964" s="17">
        <v>5</v>
      </c>
      <c r="H2964" s="19">
        <v>5</v>
      </c>
      <c r="I2964" s="17">
        <v>5</v>
      </c>
      <c r="J2964" t="s" s="11">
        <v>20</v>
      </c>
      <c r="K2964" t="s" s="16">
        <f>HYPERLINK("http://csr.bu.edu/ftp/asl/asllvd/demos/verify_start_end_handshape_annotations//test_auto_move//signs_mov/627.mov","MOV")</f>
        <v>21</v>
      </c>
      <c r="L2964" t="s" s="16">
        <f>HYPERLINK("http://csr.bu.edu/ftp/asl/asllvd/demos/verify_start_end_handshape_annotations//test_auto_move//signs_mov_separ_signers/Liz_627.mov","MOV")</f>
        <v>21</v>
      </c>
      <c r="M2964" t="s" s="10">
        <v>84</v>
      </c>
      <c r="N2964" s="17">
        <v>13</v>
      </c>
      <c r="O2964" s="18">
        <v>2130</v>
      </c>
      <c r="P2964" s="18">
        <v>2180</v>
      </c>
      <c r="Q2964" t="s" s="16">
        <f>HYPERLINK("http://secrets.rutgers.edu:8080/data/asl-ftp/asllvd/demos/verify_start_end_handshape_annotations//test_auto_move//signs_mov/627.mov","MOV")</f>
        <v>21</v>
      </c>
      <c r="R2964" t="s" s="16">
        <f>HYPERLINK("http://secrets.rutgers.edu:8080/data/asl-ftp/asllvd/demos/verify_start_end_handshape_annotations//test_auto_move//signs_mov_separ_signers/Liz_627.mov","MOV")</f>
        <v>21</v>
      </c>
    </row>
    <row r="2965" s="2" customFormat="1" ht="13.5" customHeight="1">
      <c r="B2965" s="13"/>
      <c r="C2965" t="s" s="9">
        <v>27</v>
      </c>
      <c r="D2965" t="s" s="8">
        <v>1020</v>
      </c>
      <c r="E2965" t="s" s="9">
        <v>1021</v>
      </c>
      <c r="F2965" s="19">
        <v>5</v>
      </c>
      <c r="G2965" s="17">
        <v>5</v>
      </c>
      <c r="H2965" s="19">
        <v>5</v>
      </c>
      <c r="I2965" s="17">
        <v>5</v>
      </c>
      <c r="J2965" t="s" s="11">
        <v>20</v>
      </c>
      <c r="K2965" s="15"/>
      <c r="L2965" t="s" s="16">
        <f>HYPERLINK("http://csr.bu.edu/ftp/asl/asllvd/demos/verify_start_end_handshape_annotations//test_auto_move//signs_mov_separ_signers/Naomi_627.mov","MOV")</f>
        <v>21</v>
      </c>
      <c r="M2965" t="s" s="10">
        <v>86</v>
      </c>
      <c r="N2965" s="17">
        <v>13</v>
      </c>
      <c r="O2965" s="18">
        <v>2395</v>
      </c>
      <c r="P2965" s="18">
        <v>2420</v>
      </c>
      <c r="Q2965" s="15"/>
      <c r="R2965" t="s" s="16">
        <f>HYPERLINK("http://secrets.rutgers.edu:8080/data/asl-ftp/asllvd/demos/verify_start_end_handshape_annotations//test_auto_move//signs_mov_separ_signers/Naomi_627.mov","MOV")</f>
        <v>21</v>
      </c>
    </row>
    <row r="2966" s="2" customFormat="1" ht="13.5" customHeight="1">
      <c r="B2966" t="s" s="8">
        <v>1022</v>
      </c>
      <c r="C2966" t="s" s="9">
        <v>14</v>
      </c>
      <c r="D2966" t="s" s="8">
        <v>14</v>
      </c>
      <c r="E2966" t="s" s="9">
        <v>14</v>
      </c>
      <c r="F2966" t="s" s="10">
        <v>14</v>
      </c>
      <c r="G2966" t="s" s="11">
        <v>14</v>
      </c>
      <c r="H2966" t="s" s="10">
        <v>14</v>
      </c>
      <c r="I2966" t="s" s="11">
        <v>14</v>
      </c>
      <c r="J2966" t="s" s="11">
        <v>14</v>
      </c>
      <c r="K2966" t="s" s="12">
        <v>14</v>
      </c>
      <c r="L2966" t="s" s="12">
        <v>14</v>
      </c>
      <c r="M2966" t="s" s="10">
        <v>14</v>
      </c>
      <c r="N2966" t="s" s="11">
        <v>14</v>
      </c>
      <c r="O2966" t="s" s="8">
        <v>14</v>
      </c>
      <c r="P2966" t="s" s="8">
        <v>14</v>
      </c>
      <c r="Q2966" t="s" s="12">
        <v>14</v>
      </c>
      <c r="R2966" t="s" s="12">
        <v>14</v>
      </c>
    </row>
    <row r="2967" s="2" customFormat="1" ht="13.5" customHeight="1">
      <c r="B2967" s="13"/>
      <c r="C2967" t="s" s="9">
        <v>23</v>
      </c>
      <c r="D2967" t="s" s="8">
        <v>1022</v>
      </c>
      <c r="E2967" t="s" s="9">
        <v>1022</v>
      </c>
      <c r="F2967" s="19">
        <v>5</v>
      </c>
      <c r="G2967" s="17">
        <v>5</v>
      </c>
      <c r="H2967" s="19">
        <v>5</v>
      </c>
      <c r="I2967" s="17">
        <v>5</v>
      </c>
      <c r="J2967" t="s" s="11">
        <v>20</v>
      </c>
      <c r="K2967" t="s" s="16">
        <f>HYPERLINK("http://csr.bu.edu/ftp/asl/asllvd/demos/verify_start_end_handshape_annotations//test_auto_move//signs_mov/15147.mov","MOV")</f>
        <v>21</v>
      </c>
      <c r="L2967" t="s" s="16">
        <f>HYPERLINK("http://csr.bu.edu/ftp/asl/asllvd/demos/verify_start_end_handshape_annotations//test_auto_move//signs_mov_separ_signers/Tyler_15147.mov","MOV")</f>
        <v>21</v>
      </c>
      <c r="M2967" t="s" s="10">
        <v>125</v>
      </c>
      <c r="N2967" s="17">
        <v>13</v>
      </c>
      <c r="O2967" s="18">
        <v>2230</v>
      </c>
      <c r="P2967" s="18">
        <v>2265</v>
      </c>
      <c r="Q2967" t="s" s="16">
        <f>HYPERLINK("http://secrets.rutgers.edu:8080/data/asl-ftp/asllvd/demos/verify_start_end_handshape_annotations//test_auto_move//signs_mov/15147.mov","MOV")</f>
        <v>21</v>
      </c>
      <c r="R2967" t="s" s="16">
        <f>HYPERLINK("http://secrets.rutgers.edu:8080/data/asl-ftp/asllvd/demos/verify_start_end_handshape_annotations//test_auto_move//signs_mov_separ_signers/Tyler_15147.mov","MOV")</f>
        <v>21</v>
      </c>
    </row>
    <row r="2968" s="2" customFormat="1" ht="13.5" customHeight="1">
      <c r="B2968" s="13"/>
      <c r="C2968" t="s" s="9">
        <v>30</v>
      </c>
      <c r="D2968" t="s" s="8">
        <v>1022</v>
      </c>
      <c r="E2968" t="s" s="9">
        <v>1022</v>
      </c>
      <c r="F2968" s="19">
        <v>5</v>
      </c>
      <c r="G2968" s="17">
        <v>5</v>
      </c>
      <c r="H2968" s="19">
        <v>5</v>
      </c>
      <c r="I2968" s="17">
        <v>5</v>
      </c>
      <c r="J2968" t="s" s="11">
        <v>20</v>
      </c>
      <c r="K2968" s="15"/>
      <c r="L2968" t="s" s="16">
        <f>HYPERLINK("http://csr.bu.edu/ftp/asl/asllvd/demos/verify_start_end_handshape_annotations//test_auto_move//signs_mov_separ_signers/Brady_15147.mov","MOV")</f>
        <v>21</v>
      </c>
      <c r="M2968" t="s" s="10">
        <v>31</v>
      </c>
      <c r="N2968" s="17">
        <v>32</v>
      </c>
      <c r="O2968" s="18">
        <v>12387</v>
      </c>
      <c r="P2968" s="18">
        <v>12407</v>
      </c>
      <c r="Q2968" s="15"/>
      <c r="R2968" t="s" s="16">
        <f>HYPERLINK("http://secrets.rutgers.edu:8080/data/asl-ftp/asllvd/demos/verify_start_end_handshape_annotations//test_auto_move//signs_mov_separ_signers/Brady_15147.mov","MOV")</f>
        <v>21</v>
      </c>
    </row>
    <row r="2969" s="2" customFormat="1" ht="13.5" customHeight="1">
      <c r="B2969" t="s" s="8">
        <v>1023</v>
      </c>
      <c r="C2969" t="s" s="9">
        <v>14</v>
      </c>
      <c r="D2969" t="s" s="8">
        <v>14</v>
      </c>
      <c r="E2969" t="s" s="9">
        <v>14</v>
      </c>
      <c r="F2969" t="s" s="10">
        <v>14</v>
      </c>
      <c r="G2969" t="s" s="11">
        <v>14</v>
      </c>
      <c r="H2969" t="s" s="10">
        <v>14</v>
      </c>
      <c r="I2969" t="s" s="11">
        <v>14</v>
      </c>
      <c r="J2969" t="s" s="11">
        <v>14</v>
      </c>
      <c r="K2969" t="s" s="12">
        <v>14</v>
      </c>
      <c r="L2969" t="s" s="12">
        <v>14</v>
      </c>
      <c r="M2969" t="s" s="10">
        <v>14</v>
      </c>
      <c r="N2969" t="s" s="11">
        <v>14</v>
      </c>
      <c r="O2969" t="s" s="8">
        <v>14</v>
      </c>
      <c r="P2969" t="s" s="8">
        <v>14</v>
      </c>
      <c r="Q2969" t="s" s="12">
        <v>14</v>
      </c>
      <c r="R2969" t="s" s="12">
        <v>14</v>
      </c>
    </row>
    <row r="2970" s="2" customFormat="1" ht="13.5" customHeight="1">
      <c r="B2970" s="13"/>
      <c r="C2970" t="s" s="9">
        <v>16</v>
      </c>
      <c r="D2970" t="s" s="8">
        <v>1023</v>
      </c>
      <c r="E2970" t="s" s="9">
        <v>1023</v>
      </c>
      <c r="F2970" t="s" s="10">
        <v>136</v>
      </c>
      <c r="G2970" t="s" s="11">
        <v>136</v>
      </c>
      <c r="H2970" t="s" s="10">
        <v>136</v>
      </c>
      <c r="I2970" t="s" s="11">
        <v>136</v>
      </c>
      <c r="J2970" t="s" s="11">
        <v>20</v>
      </c>
      <c r="K2970" s="15"/>
      <c r="L2970" t="s" s="16">
        <f>HYPERLINK("http://csr.bu.edu/ftp/asl/asllvd/demos/verify_start_end_handshape_annotations//test_auto_move//signs_mov_separ_signers/Liz_15417.mov","MOV")</f>
        <v>21</v>
      </c>
      <c r="M2970" t="s" s="10">
        <v>84</v>
      </c>
      <c r="N2970" s="17">
        <v>7</v>
      </c>
      <c r="O2970" s="18">
        <v>2715</v>
      </c>
      <c r="P2970" s="18">
        <v>2740</v>
      </c>
      <c r="Q2970" s="15"/>
      <c r="R2970" t="s" s="16">
        <f>HYPERLINK("http://secrets.rutgers.edu:8080/data/asl-ftp/asllvd/demos/verify_start_end_handshape_annotations//test_auto_move//signs_mov_separ_signers/Liz_15417.mov","MOV")</f>
        <v>21</v>
      </c>
    </row>
    <row r="2971" s="2" customFormat="1" ht="13.5" customHeight="1">
      <c r="B2971" s="13"/>
      <c r="C2971" t="s" s="9">
        <v>23</v>
      </c>
      <c r="D2971" t="s" s="8">
        <v>1023</v>
      </c>
      <c r="E2971" t="s" s="9">
        <v>1023</v>
      </c>
      <c r="F2971" t="s" s="10">
        <v>136</v>
      </c>
      <c r="G2971" t="s" s="11">
        <v>136</v>
      </c>
      <c r="H2971" t="s" s="10">
        <v>136</v>
      </c>
      <c r="I2971" t="s" s="11">
        <v>136</v>
      </c>
      <c r="J2971" t="s" s="11">
        <v>20</v>
      </c>
      <c r="K2971" t="s" s="16">
        <f>HYPERLINK("http://csr.bu.edu/ftp/asl/asllvd/demos/verify_start_end_handshape_annotations//test_auto_move//signs_mov/15417.mov","MOV")</f>
        <v>21</v>
      </c>
      <c r="L2971" t="s" s="16">
        <f>HYPERLINK("http://csr.bu.edu/ftp/asl/asllvd/demos/verify_start_end_handshape_annotations//test_auto_move//signs_mov_separ_signers/Tyler_15417.mov","MOV")</f>
        <v>21</v>
      </c>
      <c r="M2971" t="s" s="10">
        <v>125</v>
      </c>
      <c r="N2971" s="17">
        <v>7</v>
      </c>
      <c r="O2971" s="18">
        <v>2645</v>
      </c>
      <c r="P2971" s="18">
        <v>2675</v>
      </c>
      <c r="Q2971" t="s" s="16">
        <f>HYPERLINK("http://secrets.rutgers.edu:8080/data/asl-ftp/asllvd/demos/verify_start_end_handshape_annotations//test_auto_move//signs_mov/15417.mov","MOV")</f>
        <v>21</v>
      </c>
      <c r="R2971" t="s" s="16">
        <f>HYPERLINK("http://secrets.rutgers.edu:8080/data/asl-ftp/asllvd/demos/verify_start_end_handshape_annotations//test_auto_move//signs_mov_separ_signers/Tyler_15417.mov","MOV")</f>
        <v>21</v>
      </c>
    </row>
    <row r="2972" s="2" customFormat="1" ht="13.5" customHeight="1">
      <c r="B2972" s="13"/>
      <c r="C2972" t="s" s="9">
        <v>27</v>
      </c>
      <c r="D2972" t="s" s="8">
        <v>1023</v>
      </c>
      <c r="E2972" t="s" s="9">
        <v>1023</v>
      </c>
      <c r="F2972" t="s" s="10">
        <v>136</v>
      </c>
      <c r="G2972" t="s" s="11">
        <v>136</v>
      </c>
      <c r="H2972" t="s" s="10">
        <v>136</v>
      </c>
      <c r="I2972" t="s" s="11">
        <v>136</v>
      </c>
      <c r="J2972" t="s" s="11">
        <v>20</v>
      </c>
      <c r="K2972" s="15"/>
      <c r="L2972" t="s" s="16">
        <f>HYPERLINK("http://csr.bu.edu/ftp/asl/asllvd/demos/verify_start_end_handshape_annotations//test_auto_move//signs_mov_separ_signers/Naomi_15417.mov","MOV")</f>
        <v>21</v>
      </c>
      <c r="M2972" t="s" s="10">
        <v>86</v>
      </c>
      <c r="N2972" s="17">
        <v>7</v>
      </c>
      <c r="O2972" s="18">
        <v>2485</v>
      </c>
      <c r="P2972" s="18">
        <v>2511</v>
      </c>
      <c r="Q2972" s="15"/>
      <c r="R2972" t="s" s="16">
        <f>HYPERLINK("http://secrets.rutgers.edu:8080/data/asl-ftp/asllvd/demos/verify_start_end_handshape_annotations//test_auto_move//signs_mov_separ_signers/Naomi_15417.mov","MOV")</f>
        <v>21</v>
      </c>
    </row>
    <row r="2973" s="2" customFormat="1" ht="13.5" customHeight="1">
      <c r="B2973" t="s" s="8">
        <v>52</v>
      </c>
      <c r="C2973" t="s" s="9">
        <v>53</v>
      </c>
      <c r="D2973" t="s" s="8">
        <v>53</v>
      </c>
      <c r="E2973" t="s" s="9">
        <v>53</v>
      </c>
      <c r="F2973" t="s" s="10">
        <v>53</v>
      </c>
      <c r="G2973" t="s" s="11">
        <v>53</v>
      </c>
      <c r="H2973" t="s" s="10">
        <v>53</v>
      </c>
      <c r="I2973" t="s" s="11">
        <v>53</v>
      </c>
      <c r="J2973" t="s" s="11">
        <v>53</v>
      </c>
      <c r="K2973" t="s" s="12">
        <v>53</v>
      </c>
      <c r="L2973" t="s" s="12">
        <v>53</v>
      </c>
      <c r="M2973" t="s" s="10">
        <v>53</v>
      </c>
      <c r="N2973" t="s" s="11">
        <v>53</v>
      </c>
      <c r="O2973" t="s" s="8">
        <v>53</v>
      </c>
      <c r="P2973" t="s" s="8">
        <v>53</v>
      </c>
      <c r="Q2973" t="s" s="12">
        <v>53</v>
      </c>
      <c r="R2973" t="s" s="12">
        <v>53</v>
      </c>
    </row>
    <row r="2974" s="2" customFormat="1" ht="13.5" customHeight="1">
      <c r="B2974" s="13"/>
      <c r="C2974" t="s" s="9">
        <v>30</v>
      </c>
      <c r="D2974" t="s" s="8">
        <v>1023</v>
      </c>
      <c r="E2974" t="s" s="9">
        <v>1024</v>
      </c>
      <c r="F2974" t="s" s="10">
        <v>136</v>
      </c>
      <c r="G2974" s="14"/>
      <c r="H2974" t="s" s="10">
        <v>136</v>
      </c>
      <c r="I2974" s="14"/>
      <c r="J2974" t="s" s="11">
        <v>20</v>
      </c>
      <c r="K2974" s="15"/>
      <c r="L2974" t="s" s="16">
        <f>HYPERLINK("http://csr.bu.edu/ftp/asl/asllvd/demos/verify_start_end_handshape_annotations//test_auto_move//signs_mov_separ_signers/Brady_15468.mov","MOV")</f>
        <v>21</v>
      </c>
      <c r="M2974" t="s" s="10">
        <v>31</v>
      </c>
      <c r="N2974" s="17">
        <v>31</v>
      </c>
      <c r="O2974" s="18">
        <v>2300</v>
      </c>
      <c r="P2974" s="18">
        <v>2321</v>
      </c>
      <c r="Q2974" s="15"/>
      <c r="R2974" t="s" s="16">
        <f>HYPERLINK("http://secrets.rutgers.edu:8080/data/asl-ftp/asllvd/demos/verify_start_end_handshape_annotations//test_auto_move//signs_mov_separ_signers/Brady_15468.mov","MOV")</f>
        <v>21</v>
      </c>
    </row>
    <row r="2975" s="2" customFormat="1" ht="13.5" customHeight="1">
      <c r="B2975" s="13"/>
      <c r="C2975" t="s" s="9">
        <v>41</v>
      </c>
      <c r="D2975" t="s" s="8">
        <v>1023</v>
      </c>
      <c r="E2975" t="s" s="9">
        <v>1024</v>
      </c>
      <c r="F2975" t="s" s="10">
        <v>136</v>
      </c>
      <c r="G2975" s="14"/>
      <c r="H2975" t="s" s="10">
        <v>136</v>
      </c>
      <c r="I2975" s="14"/>
      <c r="J2975" t="s" s="11">
        <v>20</v>
      </c>
      <c r="K2975" t="s" s="16">
        <f>HYPERLINK("http://csr.bu.edu/ftp/asl/asllvd/demos/verify_start_end_handshape_annotations//test_auto_move//signs_mov/15468.mov","MOV")</f>
        <v>21</v>
      </c>
      <c r="L2975" t="s" s="16">
        <f>HYPERLINK("http://csr.bu.edu/ftp/asl/asllvd/demos/verify_start_end_handshape_annotations//test_auto_move//signs_mov_separ_signers/Lana_15468.mov","MOV")</f>
        <v>21</v>
      </c>
      <c r="M2975" t="s" s="10">
        <v>42</v>
      </c>
      <c r="N2975" s="17">
        <v>6</v>
      </c>
      <c r="O2975" s="18">
        <v>1040</v>
      </c>
      <c r="P2975" s="18">
        <v>1066</v>
      </c>
      <c r="Q2975" t="s" s="16">
        <f>HYPERLINK("http://secrets.rutgers.edu:8080/data/asl-ftp/asllvd/demos/verify_start_end_handshape_annotations//test_auto_move//signs_mov/15468.mov","MOV")</f>
        <v>21</v>
      </c>
      <c r="R2975" t="s" s="16">
        <f>HYPERLINK("http://secrets.rutgers.edu:8080/data/asl-ftp/asllvd/demos/verify_start_end_handshape_annotations//test_auto_move//signs_mov_separ_signers/Lana_15468.mov","MOV")</f>
        <v>21</v>
      </c>
    </row>
    <row r="2976" s="2" customFormat="1" ht="13.5" customHeight="1">
      <c r="B2976" s="13"/>
      <c r="C2976" t="s" s="9">
        <v>43</v>
      </c>
      <c r="D2976" t="s" s="8">
        <v>1023</v>
      </c>
      <c r="E2976" t="s" s="9">
        <v>1024</v>
      </c>
      <c r="F2976" t="s" s="10">
        <v>136</v>
      </c>
      <c r="G2976" s="14"/>
      <c r="H2976" t="s" s="10">
        <v>136</v>
      </c>
      <c r="I2976" s="14"/>
      <c r="J2976" t="s" s="11">
        <v>20</v>
      </c>
      <c r="K2976" s="15"/>
      <c r="L2976" t="s" s="16">
        <f>HYPERLINK("http://csr.bu.edu/ftp/asl/asllvd/demos/verify_start_end_handshape_annotations//test_auto_move//signs_mov_separ_signers/Dana_15468.mov","MOV")</f>
        <v>21</v>
      </c>
      <c r="M2976" t="s" s="10">
        <v>44</v>
      </c>
      <c r="N2976" s="17">
        <v>10</v>
      </c>
      <c r="O2976" s="18">
        <v>1236</v>
      </c>
      <c r="P2976" s="18">
        <v>1277</v>
      </c>
      <c r="Q2976" s="15"/>
      <c r="R2976" t="s" s="16">
        <f>HYPERLINK("http://secrets.rutgers.edu:8080/data/asl-ftp/asllvd/demos/verify_start_end_handshape_annotations//test_auto_move//signs_mov_separ_signers/Dana_15468.mov","MOV")</f>
        <v>21</v>
      </c>
    </row>
    <row r="2977" s="2" customFormat="1" ht="13.5" customHeight="1">
      <c r="B2977" t="s" s="8">
        <v>1025</v>
      </c>
      <c r="C2977" t="s" s="9">
        <v>14</v>
      </c>
      <c r="D2977" t="s" s="8">
        <v>14</v>
      </c>
      <c r="E2977" t="s" s="9">
        <v>14</v>
      </c>
      <c r="F2977" t="s" s="10">
        <v>14</v>
      </c>
      <c r="G2977" t="s" s="11">
        <v>14</v>
      </c>
      <c r="H2977" t="s" s="10">
        <v>14</v>
      </c>
      <c r="I2977" t="s" s="11">
        <v>14</v>
      </c>
      <c r="J2977" t="s" s="11">
        <v>14</v>
      </c>
      <c r="K2977" t="s" s="12">
        <v>14</v>
      </c>
      <c r="L2977" t="s" s="12">
        <v>14</v>
      </c>
      <c r="M2977" t="s" s="10">
        <v>14</v>
      </c>
      <c r="N2977" t="s" s="11">
        <v>14</v>
      </c>
      <c r="O2977" t="s" s="8">
        <v>14</v>
      </c>
      <c r="P2977" t="s" s="8">
        <v>14</v>
      </c>
      <c r="Q2977" t="s" s="12">
        <v>14</v>
      </c>
      <c r="R2977" t="s" s="12">
        <v>14</v>
      </c>
    </row>
    <row r="2978" s="2" customFormat="1" ht="13.5" customHeight="1">
      <c r="B2978" s="13"/>
      <c r="C2978" t="s" s="9">
        <v>16</v>
      </c>
      <c r="D2978" t="s" s="8">
        <v>1025</v>
      </c>
      <c r="E2978" t="s" s="9">
        <v>1026</v>
      </c>
      <c r="F2978" t="s" s="10">
        <v>341</v>
      </c>
      <c r="G2978" s="14"/>
      <c r="H2978" t="s" s="10">
        <v>342</v>
      </c>
      <c r="I2978" s="14"/>
      <c r="J2978" t="s" s="11">
        <v>20</v>
      </c>
      <c r="K2978" s="15"/>
      <c r="L2978" t="s" s="16">
        <f>HYPERLINK("http://csr.bu.edu/ftp/asl/asllvd/demos/verify_start_end_handshape_annotations//test_auto_move//signs_mov_separ_signers/Liz_15515.mov","MOV")</f>
        <v>21</v>
      </c>
      <c r="M2978" t="s" s="10">
        <v>34</v>
      </c>
      <c r="N2978" s="17">
        <v>24</v>
      </c>
      <c r="O2978" s="18">
        <v>1905</v>
      </c>
      <c r="P2978" s="18">
        <v>1931</v>
      </c>
      <c r="Q2978" s="15"/>
      <c r="R2978" t="s" s="16">
        <f>HYPERLINK("http://secrets.rutgers.edu:8080/data/asl-ftp/asllvd/demos/verify_start_end_handshape_annotations//test_auto_move//signs_mov_separ_signers/Liz_15515.mov","MOV")</f>
        <v>21</v>
      </c>
    </row>
    <row r="2979" s="2" customFormat="1" ht="13.5" customHeight="1">
      <c r="B2979" s="13"/>
      <c r="C2979" t="s" s="9">
        <v>27</v>
      </c>
      <c r="D2979" t="s" s="8">
        <v>1025</v>
      </c>
      <c r="E2979" t="s" s="9">
        <v>1026</v>
      </c>
      <c r="F2979" t="s" s="10">
        <v>341</v>
      </c>
      <c r="G2979" s="14"/>
      <c r="H2979" t="s" s="10">
        <v>342</v>
      </c>
      <c r="I2979" s="14"/>
      <c r="J2979" t="s" s="11">
        <v>20</v>
      </c>
      <c r="K2979" t="s" s="16">
        <f>HYPERLINK("http://csr.bu.edu/ftp/asl/asllvd/demos/verify_start_end_handshape_annotations//test_auto_move//signs_mov/15515.mov","MOV")</f>
        <v>21</v>
      </c>
      <c r="L2979" t="s" s="16">
        <f>HYPERLINK("http://csr.bu.edu/ftp/asl/asllvd/demos/verify_start_end_handshape_annotations//test_auto_move//signs_mov_separ_signers/Naomi_15515.mov","MOV")</f>
        <v>21</v>
      </c>
      <c r="M2979" t="s" s="10">
        <v>38</v>
      </c>
      <c r="N2979" s="17">
        <v>20</v>
      </c>
      <c r="O2979" s="18">
        <v>6725</v>
      </c>
      <c r="P2979" s="18">
        <v>6750</v>
      </c>
      <c r="Q2979" t="s" s="16">
        <f>HYPERLINK("http://secrets.rutgers.edu:8080/data/asl-ftp/asllvd/demos/verify_start_end_handshape_annotations//test_auto_move//signs_mov/15515.mov","MOV")</f>
        <v>21</v>
      </c>
      <c r="R2979" t="s" s="16">
        <f>HYPERLINK("http://secrets.rutgers.edu:8080/data/asl-ftp/asllvd/demos/verify_start_end_handshape_annotations//test_auto_move//signs_mov_separ_signers/Naomi_15515.mov","MOV")</f>
        <v>21</v>
      </c>
    </row>
    <row r="2980" s="2" customFormat="1" ht="13.5" customHeight="1">
      <c r="B2980" s="13"/>
      <c r="C2980" t="s" s="9">
        <v>30</v>
      </c>
      <c r="D2980" t="s" s="8">
        <v>1025</v>
      </c>
      <c r="E2980" t="s" s="9">
        <v>1026</v>
      </c>
      <c r="F2980" t="s" s="10">
        <v>341</v>
      </c>
      <c r="G2980" s="14"/>
      <c r="H2980" t="s" s="10">
        <v>341</v>
      </c>
      <c r="I2980" s="14"/>
      <c r="J2980" t="s" s="11">
        <v>20</v>
      </c>
      <c r="K2980" s="15"/>
      <c r="L2980" t="s" s="16">
        <f>HYPERLINK("http://csr.bu.edu/ftp/asl/asllvd/demos/verify_start_end_handshape_annotations//test_auto_move//signs_mov_separ_signers/Brady_15515.mov","MOV")</f>
        <v>21</v>
      </c>
      <c r="M2980" t="s" s="10">
        <v>39</v>
      </c>
      <c r="N2980" s="17">
        <v>35</v>
      </c>
      <c r="O2980" s="18">
        <v>5071</v>
      </c>
      <c r="P2980" s="18">
        <v>5096</v>
      </c>
      <c r="Q2980" s="15"/>
      <c r="R2980" t="s" s="16">
        <f>HYPERLINK("http://secrets.rutgers.edu:8080/data/asl-ftp/asllvd/demos/verify_start_end_handshape_annotations//test_auto_move//signs_mov_separ_signers/Brady_15515.mov","MOV")</f>
        <v>21</v>
      </c>
    </row>
    <row r="2981" s="2" customFormat="1" ht="13.5" customHeight="1">
      <c r="B2981" t="s" s="8">
        <v>52</v>
      </c>
      <c r="C2981" t="s" s="9">
        <v>53</v>
      </c>
      <c r="D2981" t="s" s="8">
        <v>53</v>
      </c>
      <c r="E2981" t="s" s="9">
        <v>53</v>
      </c>
      <c r="F2981" t="s" s="10">
        <v>53</v>
      </c>
      <c r="G2981" t="s" s="11">
        <v>53</v>
      </c>
      <c r="H2981" t="s" s="10">
        <v>53</v>
      </c>
      <c r="I2981" t="s" s="11">
        <v>53</v>
      </c>
      <c r="J2981" t="s" s="11">
        <v>53</v>
      </c>
      <c r="K2981" t="s" s="12">
        <v>53</v>
      </c>
      <c r="L2981" t="s" s="12">
        <v>53</v>
      </c>
      <c r="M2981" t="s" s="10">
        <v>53</v>
      </c>
      <c r="N2981" t="s" s="11">
        <v>53</v>
      </c>
      <c r="O2981" t="s" s="8">
        <v>53</v>
      </c>
      <c r="P2981" t="s" s="8">
        <v>53</v>
      </c>
      <c r="Q2981" t="s" s="12">
        <v>53</v>
      </c>
      <c r="R2981" t="s" s="12">
        <v>53</v>
      </c>
    </row>
    <row r="2982" s="2" customFormat="1" ht="13.5" customHeight="1">
      <c r="B2982" s="13"/>
      <c r="C2982" t="s" s="9">
        <v>23</v>
      </c>
      <c r="D2982" t="s" s="8">
        <v>1025</v>
      </c>
      <c r="E2982" t="s" s="9">
        <v>1027</v>
      </c>
      <c r="F2982" t="s" s="10">
        <v>341</v>
      </c>
      <c r="G2982" t="s" s="11">
        <v>341</v>
      </c>
      <c r="H2982" t="s" s="10">
        <v>342</v>
      </c>
      <c r="I2982" t="s" s="11">
        <v>342</v>
      </c>
      <c r="J2982" t="s" s="11">
        <v>20</v>
      </c>
      <c r="K2982" t="s" s="16">
        <f>HYPERLINK("http://csr.bu.edu/ftp/asl/asllvd/demos/verify_start_end_handshape_annotations//test_auto_move//signs_mov/15516.mov","MOV")</f>
        <v>21</v>
      </c>
      <c r="L2982" t="s" s="16">
        <f>HYPERLINK("http://csr.bu.edu/ftp/asl/asllvd/demos/verify_start_end_handshape_annotations//test_auto_move//signs_mov_separ_signers/Tyler_15516.mov","MOV")</f>
        <v>21</v>
      </c>
      <c r="M2982" t="s" s="10">
        <v>92</v>
      </c>
      <c r="N2982" s="17">
        <v>52</v>
      </c>
      <c r="O2982" s="18">
        <v>3076</v>
      </c>
      <c r="P2982" s="18">
        <v>3117</v>
      </c>
      <c r="Q2982" t="s" s="16">
        <f>HYPERLINK("http://secrets.rutgers.edu:8080/data/asl-ftp/asllvd/demos/verify_start_end_handshape_annotations//test_auto_move//signs_mov/15516.mov","MOV")</f>
        <v>21</v>
      </c>
      <c r="R2982" t="s" s="16">
        <f>HYPERLINK("http://secrets.rutgers.edu:8080/data/asl-ftp/asllvd/demos/verify_start_end_handshape_annotations//test_auto_move//signs_mov_separ_signers/Tyler_15516.mov","MOV")</f>
        <v>21</v>
      </c>
    </row>
    <row r="2983" s="2" customFormat="1" ht="13.5" customHeight="1">
      <c r="B2983" t="s" s="8">
        <v>1028</v>
      </c>
      <c r="C2983" t="s" s="9">
        <v>14</v>
      </c>
      <c r="D2983" t="s" s="8">
        <v>14</v>
      </c>
      <c r="E2983" t="s" s="9">
        <v>14</v>
      </c>
      <c r="F2983" t="s" s="10">
        <v>14</v>
      </c>
      <c r="G2983" t="s" s="11">
        <v>14</v>
      </c>
      <c r="H2983" t="s" s="10">
        <v>14</v>
      </c>
      <c r="I2983" t="s" s="11">
        <v>14</v>
      </c>
      <c r="J2983" t="s" s="11">
        <v>14</v>
      </c>
      <c r="K2983" t="s" s="12">
        <v>14</v>
      </c>
      <c r="L2983" t="s" s="12">
        <v>14</v>
      </c>
      <c r="M2983" t="s" s="10">
        <v>14</v>
      </c>
      <c r="N2983" t="s" s="11">
        <v>14</v>
      </c>
      <c r="O2983" t="s" s="8">
        <v>14</v>
      </c>
      <c r="P2983" t="s" s="8">
        <v>14</v>
      </c>
      <c r="Q2983" t="s" s="12">
        <v>14</v>
      </c>
      <c r="R2983" t="s" s="12">
        <v>14</v>
      </c>
    </row>
    <row r="2984" s="2" customFormat="1" ht="13.5" customHeight="1">
      <c r="B2984" s="13"/>
      <c r="C2984" t="s" s="9">
        <v>16</v>
      </c>
      <c r="D2984" t="s" s="8">
        <v>1028</v>
      </c>
      <c r="E2984" t="s" s="9">
        <v>1029</v>
      </c>
      <c r="F2984" s="19">
        <v>3</v>
      </c>
      <c r="G2984" s="14"/>
      <c r="H2984" t="s" s="10">
        <v>373</v>
      </c>
      <c r="I2984" s="14"/>
      <c r="J2984" t="s" s="11">
        <v>20</v>
      </c>
      <c r="K2984" s="15"/>
      <c r="L2984" t="s" s="16">
        <f>HYPERLINK("http://csr.bu.edu/ftp/asl/asllvd/demos/verify_start_end_handshape_annotations//test_auto_move//signs_mov_separ_signers/Liz_15561.mov","MOV")</f>
        <v>21</v>
      </c>
      <c r="M2984" t="s" s="10">
        <v>84</v>
      </c>
      <c r="N2984" s="17">
        <v>16</v>
      </c>
      <c r="O2984" s="18">
        <v>1655</v>
      </c>
      <c r="P2984" s="18">
        <v>1695</v>
      </c>
      <c r="Q2984" s="15"/>
      <c r="R2984" t="s" s="16">
        <f>HYPERLINK("http://secrets.rutgers.edu:8080/data/asl-ftp/asllvd/demos/verify_start_end_handshape_annotations//test_auto_move//signs_mov_separ_signers/Liz_15561.mov","MOV")</f>
        <v>21</v>
      </c>
    </row>
    <row r="2985" s="2" customFormat="1" ht="13.5" customHeight="1">
      <c r="B2985" s="13"/>
      <c r="C2985" t="s" s="9">
        <v>27</v>
      </c>
      <c r="D2985" t="s" s="8">
        <v>1028</v>
      </c>
      <c r="E2985" t="s" s="9">
        <v>1029</v>
      </c>
      <c r="F2985" s="19">
        <v>3</v>
      </c>
      <c r="G2985" s="14"/>
      <c r="H2985" t="s" s="10">
        <v>373</v>
      </c>
      <c r="I2985" s="14"/>
      <c r="J2985" t="s" s="11">
        <v>20</v>
      </c>
      <c r="K2985" s="15"/>
      <c r="L2985" t="s" s="16">
        <f>HYPERLINK("http://csr.bu.edu/ftp/asl/asllvd/demos/verify_start_end_handshape_annotations//test_auto_move//signs_mov_separ_signers/Naomi_15561.mov","MOV")</f>
        <v>21</v>
      </c>
      <c r="M2985" t="s" s="10">
        <v>86</v>
      </c>
      <c r="N2985" s="17">
        <v>16</v>
      </c>
      <c r="O2985" s="18">
        <v>2166</v>
      </c>
      <c r="P2985" s="18">
        <v>2201</v>
      </c>
      <c r="Q2985" s="15"/>
      <c r="R2985" t="s" s="16">
        <f>HYPERLINK("http://secrets.rutgers.edu:8080/data/asl-ftp/asllvd/demos/verify_start_end_handshape_annotations//test_auto_move//signs_mov_separ_signers/Naomi_15561.mov","MOV")</f>
        <v>21</v>
      </c>
    </row>
    <row r="2986" s="2" customFormat="1" ht="13.5" customHeight="1">
      <c r="B2986" s="13"/>
      <c r="C2986" t="s" s="9">
        <v>30</v>
      </c>
      <c r="D2986" t="s" s="8">
        <v>1028</v>
      </c>
      <c r="E2986" t="s" s="9">
        <v>1030</v>
      </c>
      <c r="F2986" s="19">
        <v>3</v>
      </c>
      <c r="G2986" s="14"/>
      <c r="H2986" t="s" s="10">
        <v>373</v>
      </c>
      <c r="I2986" s="14"/>
      <c r="J2986" t="s" s="11">
        <v>20</v>
      </c>
      <c r="K2986" t="s" s="16">
        <f>HYPERLINK("http://csr.bu.edu/ftp/asl/asllvd/demos/verify_start_end_handshape_annotations//test_auto_move//signs_mov/15561.mov","MOV")</f>
        <v>21</v>
      </c>
      <c r="L2986" t="s" s="16">
        <f>HYPERLINK("http://csr.bu.edu/ftp/asl/asllvd/demos/verify_start_end_handshape_annotations//test_auto_move//signs_mov_separ_signers/Brady_15561.mov","MOV")</f>
        <v>21</v>
      </c>
      <c r="M2986" t="s" s="10">
        <v>31</v>
      </c>
      <c r="N2986" s="17">
        <v>33</v>
      </c>
      <c r="O2986" s="18">
        <v>11272</v>
      </c>
      <c r="P2986" s="18">
        <v>11308</v>
      </c>
      <c r="Q2986" t="s" s="16">
        <f>HYPERLINK("http://secrets.rutgers.edu:8080/data/asl-ftp/asllvd/demos/verify_start_end_handshape_annotations//test_auto_move//signs_mov/15561.mov","MOV")</f>
        <v>21</v>
      </c>
      <c r="R2986" t="s" s="16">
        <f>HYPERLINK("http://secrets.rutgers.edu:8080/data/asl-ftp/asllvd/demos/verify_start_end_handshape_annotations//test_auto_move//signs_mov_separ_signers/Brady_15561.mov","MOV")</f>
        <v>21</v>
      </c>
    </row>
    <row r="2987" s="2" customFormat="1" ht="13.5" customHeight="1">
      <c r="B2987" s="13"/>
      <c r="C2987" t="s" s="9">
        <v>41</v>
      </c>
      <c r="D2987" t="s" s="8">
        <v>1028</v>
      </c>
      <c r="E2987" t="s" s="9">
        <v>1029</v>
      </c>
      <c r="F2987" s="19">
        <v>3</v>
      </c>
      <c r="G2987" s="14"/>
      <c r="H2987" t="s" s="10">
        <v>373</v>
      </c>
      <c r="I2987" s="14"/>
      <c r="J2987" t="s" s="11">
        <v>20</v>
      </c>
      <c r="K2987" s="15"/>
      <c r="L2987" t="s" s="16">
        <f>HYPERLINK("http://csr.bu.edu/ftp/asl/asllvd/demos/verify_start_end_handshape_annotations//test_auto_move//signs_mov_separ_signers/Lana_15561.mov","MOV")</f>
        <v>21</v>
      </c>
      <c r="M2987" t="s" s="10">
        <v>42</v>
      </c>
      <c r="N2987" s="17">
        <v>18</v>
      </c>
      <c r="O2987" s="18">
        <v>2044</v>
      </c>
      <c r="P2987" s="18">
        <v>2070</v>
      </c>
      <c r="Q2987" s="15"/>
      <c r="R2987" t="s" s="16">
        <f>HYPERLINK("http://secrets.rutgers.edu:8080/data/asl-ftp/asllvd/demos/verify_start_end_handshape_annotations//test_auto_move//signs_mov_separ_signers/Lana_15561.mov","MOV")</f>
        <v>21</v>
      </c>
    </row>
    <row r="2988" s="2" customFormat="1" ht="13.5" customHeight="1">
      <c r="B2988" s="13"/>
      <c r="C2988" t="s" s="9">
        <v>43</v>
      </c>
      <c r="D2988" t="s" s="8">
        <v>1028</v>
      </c>
      <c r="E2988" t="s" s="9">
        <v>1029</v>
      </c>
      <c r="F2988" s="19">
        <v>3</v>
      </c>
      <c r="G2988" s="14"/>
      <c r="H2988" t="s" s="10">
        <v>373</v>
      </c>
      <c r="I2988" s="14"/>
      <c r="J2988" t="s" s="11">
        <v>20</v>
      </c>
      <c r="K2988" s="15"/>
      <c r="L2988" t="s" s="16">
        <f>HYPERLINK("http://csr.bu.edu/ftp/asl/asllvd/demos/verify_start_end_handshape_annotations//test_auto_move//signs_mov_separ_signers/Dana_15561.mov","MOV")</f>
        <v>21</v>
      </c>
      <c r="M2988" t="s" s="10">
        <v>44</v>
      </c>
      <c r="N2988" s="17">
        <v>20</v>
      </c>
      <c r="O2988" s="18">
        <v>1964</v>
      </c>
      <c r="P2988" s="18">
        <v>2026</v>
      </c>
      <c r="Q2988" s="15"/>
      <c r="R2988" t="s" s="16">
        <f>HYPERLINK("http://secrets.rutgers.edu:8080/data/asl-ftp/asllvd/demos/verify_start_end_handshape_annotations//test_auto_move//signs_mov_separ_signers/Dana_15561.mov","MOV")</f>
        <v>21</v>
      </c>
    </row>
    <row r="2989" s="2" customFormat="1" ht="13.5" customHeight="1">
      <c r="B2989" t="s" s="8">
        <v>52</v>
      </c>
      <c r="C2989" t="s" s="9">
        <v>53</v>
      </c>
      <c r="D2989" t="s" s="8">
        <v>53</v>
      </c>
      <c r="E2989" t="s" s="9">
        <v>53</v>
      </c>
      <c r="F2989" t="s" s="10">
        <v>53</v>
      </c>
      <c r="G2989" t="s" s="11">
        <v>53</v>
      </c>
      <c r="H2989" t="s" s="10">
        <v>53</v>
      </c>
      <c r="I2989" t="s" s="11">
        <v>53</v>
      </c>
      <c r="J2989" t="s" s="11">
        <v>53</v>
      </c>
      <c r="K2989" t="s" s="12">
        <v>53</v>
      </c>
      <c r="L2989" t="s" s="12">
        <v>53</v>
      </c>
      <c r="M2989" t="s" s="10">
        <v>53</v>
      </c>
      <c r="N2989" t="s" s="11">
        <v>53</v>
      </c>
      <c r="O2989" t="s" s="8">
        <v>53</v>
      </c>
      <c r="P2989" t="s" s="8">
        <v>53</v>
      </c>
      <c r="Q2989" t="s" s="12">
        <v>53</v>
      </c>
      <c r="R2989" t="s" s="12">
        <v>53</v>
      </c>
    </row>
    <row r="2990" s="2" customFormat="1" ht="27.75" customHeight="1">
      <c r="B2990" s="13"/>
      <c r="C2990" t="s" s="9">
        <v>16</v>
      </c>
      <c r="D2990" t="s" s="8">
        <v>1028</v>
      </c>
      <c r="E2990" t="s" s="9">
        <v>1031</v>
      </c>
      <c r="F2990" s="19">
        <v>3</v>
      </c>
      <c r="G2990" s="17">
        <v>3</v>
      </c>
      <c r="H2990" t="s" s="10">
        <v>373</v>
      </c>
      <c r="I2990" t="s" s="11">
        <v>373</v>
      </c>
      <c r="J2990" t="s" s="11">
        <v>20</v>
      </c>
      <c r="K2990" s="15"/>
      <c r="L2990" t="s" s="16">
        <f>HYPERLINK("http://csr.bu.edu/ftp/asl/asllvd/demos/verify_start_end_handshape_annotations//test_auto_move//signs_mov_separ_signers/Liz_15585.mov","MOV")</f>
        <v>21</v>
      </c>
      <c r="M2990" t="s" s="10">
        <v>88</v>
      </c>
      <c r="N2990" s="17">
        <v>6</v>
      </c>
      <c r="O2990" s="18">
        <v>1527</v>
      </c>
      <c r="P2990" s="18">
        <v>1571</v>
      </c>
      <c r="Q2990" s="15"/>
      <c r="R2990" t="s" s="16">
        <f>HYPERLINK("http://secrets.rutgers.edu:8080/data/asl-ftp/asllvd/demos/verify_start_end_handshape_annotations//test_auto_move//signs_mov_separ_signers/Liz_15585.mov","MOV")</f>
        <v>21</v>
      </c>
    </row>
    <row r="2991" s="2" customFormat="1" ht="27.75" customHeight="1">
      <c r="B2991" s="13"/>
      <c r="C2991" t="s" s="9">
        <v>23</v>
      </c>
      <c r="D2991" t="s" s="8">
        <v>1028</v>
      </c>
      <c r="E2991" t="s" s="9">
        <v>1032</v>
      </c>
      <c r="F2991" s="19">
        <v>3</v>
      </c>
      <c r="G2991" s="17">
        <v>3</v>
      </c>
      <c r="H2991" t="s" s="10">
        <v>373</v>
      </c>
      <c r="I2991" t="s" s="11">
        <v>373</v>
      </c>
      <c r="J2991" t="s" s="11">
        <v>20</v>
      </c>
      <c r="K2991" s="15"/>
      <c r="L2991" t="s" s="16">
        <f>HYPERLINK("http://csr.bu.edu/ftp/asl/asllvd/demos/verify_start_end_handshape_annotations//test_auto_move//signs_mov_separ_signers/Tyler_15585.mov","MOV")</f>
        <v>21</v>
      </c>
      <c r="M2991" t="s" s="10">
        <v>125</v>
      </c>
      <c r="N2991" s="17">
        <v>15</v>
      </c>
      <c r="O2991" s="18">
        <v>4715</v>
      </c>
      <c r="P2991" s="18">
        <v>4751</v>
      </c>
      <c r="Q2991" s="15"/>
      <c r="R2991" t="s" s="16">
        <f>HYPERLINK("http://secrets.rutgers.edu:8080/data/asl-ftp/asllvd/demos/verify_start_end_handshape_annotations//test_auto_move//signs_mov_separ_signers/Tyler_15585.mov","MOV")</f>
        <v>21</v>
      </c>
    </row>
    <row r="2992" s="2" customFormat="1" ht="27.75" customHeight="1">
      <c r="B2992" s="13"/>
      <c r="C2992" t="s" s="9">
        <v>23</v>
      </c>
      <c r="D2992" t="s" s="8">
        <v>1028</v>
      </c>
      <c r="E2992" t="s" s="9">
        <v>1031</v>
      </c>
      <c r="F2992" s="19">
        <v>3</v>
      </c>
      <c r="G2992" s="17">
        <v>3</v>
      </c>
      <c r="H2992" t="s" s="10">
        <v>373</v>
      </c>
      <c r="I2992" t="s" s="11">
        <v>373</v>
      </c>
      <c r="J2992" t="s" s="11">
        <v>20</v>
      </c>
      <c r="K2992" t="s" s="16">
        <f>HYPERLINK("http://csr.bu.edu/ftp/asl/asllvd/demos/verify_start_end_handshape_annotations//test_auto_move//signs_mov/15585_15611_merged.mov","MOV")</f>
        <v>21</v>
      </c>
      <c r="L2992" t="s" s="16">
        <f>HYPERLINK("http://csr.bu.edu/ftp/asl/asllvd/demos/verify_start_end_handshape_annotations//test_auto_move//signs_mov_separ_signers/Tyler_15611.mov","MOV")</f>
        <v>21</v>
      </c>
      <c r="M2992" t="s" s="10">
        <v>47</v>
      </c>
      <c r="N2992" s="17">
        <v>16</v>
      </c>
      <c r="O2992" s="18">
        <v>1050</v>
      </c>
      <c r="P2992" s="18">
        <v>1073</v>
      </c>
      <c r="Q2992" t="s" s="16">
        <f>HYPERLINK("http://secrets.rutgers.edu:8080/data/asl-ftp/asllvd/demos/verify_start_end_handshape_annotations//test_auto_move//signs_mov/15585_15611_merged.mov","MOV")</f>
        <v>21</v>
      </c>
      <c r="R2992" t="s" s="16">
        <f>HYPERLINK("http://secrets.rutgers.edu:8080/data/asl-ftp/asllvd/demos/verify_start_end_handshape_annotations//test_auto_move//signs_mov_separ_signers/Tyler_15611.mov","MOV")</f>
        <v>21</v>
      </c>
    </row>
    <row r="2993" s="2" customFormat="1" ht="27.75" customHeight="1">
      <c r="B2993" s="13"/>
      <c r="C2993" t="s" s="9">
        <v>30</v>
      </c>
      <c r="D2993" t="s" s="8">
        <v>1028</v>
      </c>
      <c r="E2993" t="s" s="9">
        <v>1032</v>
      </c>
      <c r="F2993" s="19">
        <v>3</v>
      </c>
      <c r="G2993" s="17">
        <v>3</v>
      </c>
      <c r="H2993" t="s" s="10">
        <v>373</v>
      </c>
      <c r="I2993" t="s" s="11">
        <v>373</v>
      </c>
      <c r="J2993" t="s" s="11">
        <v>20</v>
      </c>
      <c r="K2993" s="15"/>
      <c r="L2993" t="s" s="16">
        <f>HYPERLINK("http://csr.bu.edu/ftp/asl/asllvd/demos/verify_start_end_handshape_annotations//test_auto_move//signs_mov_separ_signers/Brady_15585.mov","MOV")</f>
        <v>21</v>
      </c>
      <c r="M2993" t="s" s="10">
        <v>60</v>
      </c>
      <c r="N2993" s="17">
        <v>47</v>
      </c>
      <c r="O2993" s="18">
        <v>1989</v>
      </c>
      <c r="P2993" s="18">
        <v>2043</v>
      </c>
      <c r="Q2993" s="15"/>
      <c r="R2993" t="s" s="16">
        <f>HYPERLINK("http://secrets.rutgers.edu:8080/data/asl-ftp/asllvd/demos/verify_start_end_handshape_annotations//test_auto_move//signs_mov_separ_signers/Brady_15585.mov","MOV")</f>
        <v>21</v>
      </c>
    </row>
    <row r="2994" s="2" customFormat="1" ht="27.75" customHeight="1">
      <c r="B2994" s="13"/>
      <c r="C2994" t="s" s="9">
        <v>30</v>
      </c>
      <c r="D2994" t="s" s="8">
        <v>1028</v>
      </c>
      <c r="E2994" t="s" s="9">
        <v>1032</v>
      </c>
      <c r="F2994" s="19">
        <v>3</v>
      </c>
      <c r="G2994" s="17">
        <v>3</v>
      </c>
      <c r="H2994" t="s" s="10">
        <v>373</v>
      </c>
      <c r="I2994" t="s" s="11">
        <v>373</v>
      </c>
      <c r="J2994" t="s" s="11">
        <v>20</v>
      </c>
      <c r="K2994" s="15"/>
      <c r="L2994" t="s" s="16">
        <f>HYPERLINK("http://csr.bu.edu/ftp/asl/asllvd/demos/verify_start_end_handshape_annotations//test_auto_move//signs_mov_separ_signers/Brady_15611.mov","MOV")</f>
        <v>21</v>
      </c>
      <c r="M2994" t="s" s="10">
        <v>60</v>
      </c>
      <c r="N2994" s="17">
        <v>48</v>
      </c>
      <c r="O2994" s="18">
        <v>121</v>
      </c>
      <c r="P2994" s="18">
        <v>185</v>
      </c>
      <c r="Q2994" s="15"/>
      <c r="R2994" t="s" s="16">
        <f>HYPERLINK("http://secrets.rutgers.edu:8080/data/asl-ftp/asllvd/demos/verify_start_end_handshape_annotations//test_auto_move//signs_mov_separ_signers/Brady_15611.mov","MOV")</f>
        <v>21</v>
      </c>
    </row>
    <row r="2995" s="2" customFormat="1" ht="13.5" customHeight="1">
      <c r="B2995" t="s" s="8">
        <v>52</v>
      </c>
      <c r="C2995" t="s" s="9">
        <v>53</v>
      </c>
      <c r="D2995" t="s" s="8">
        <v>53</v>
      </c>
      <c r="E2995" t="s" s="9">
        <v>53</v>
      </c>
      <c r="F2995" t="s" s="10">
        <v>53</v>
      </c>
      <c r="G2995" t="s" s="11">
        <v>53</v>
      </c>
      <c r="H2995" t="s" s="10">
        <v>53</v>
      </c>
      <c r="I2995" t="s" s="11">
        <v>53</v>
      </c>
      <c r="J2995" t="s" s="11">
        <v>53</v>
      </c>
      <c r="K2995" t="s" s="12">
        <v>53</v>
      </c>
      <c r="L2995" t="s" s="12">
        <v>53</v>
      </c>
      <c r="M2995" t="s" s="10">
        <v>53</v>
      </c>
      <c r="N2995" t="s" s="11">
        <v>53</v>
      </c>
      <c r="O2995" t="s" s="8">
        <v>53</v>
      </c>
      <c r="P2995" t="s" s="8">
        <v>53</v>
      </c>
      <c r="Q2995" t="s" s="12">
        <v>53</v>
      </c>
      <c r="R2995" t="s" s="12">
        <v>53</v>
      </c>
    </row>
    <row r="2996" s="2" customFormat="1" ht="13.5" customHeight="1">
      <c r="B2996" s="13"/>
      <c r="C2996" t="s" s="9">
        <v>16</v>
      </c>
      <c r="D2996" t="s" s="8">
        <v>1028</v>
      </c>
      <c r="E2996" t="s" s="9">
        <v>1033</v>
      </c>
      <c r="F2996" s="19">
        <v>3</v>
      </c>
      <c r="G2996" s="17">
        <v>3</v>
      </c>
      <c r="H2996" t="s" s="10">
        <v>373</v>
      </c>
      <c r="I2996" t="s" s="11">
        <v>373</v>
      </c>
      <c r="J2996" t="s" s="11">
        <v>20</v>
      </c>
      <c r="K2996" t="s" s="16">
        <f>HYPERLINK("http://csr.bu.edu/ftp/asl/asllvd/demos/verify_start_end_handshape_annotations//test_auto_move//signs_mov/15612.mov","MOV")</f>
        <v>21</v>
      </c>
      <c r="L2996" t="s" s="16">
        <f>HYPERLINK("http://csr.bu.edu/ftp/asl/asllvd/demos/verify_start_end_handshape_annotations//test_auto_move//signs_mov_separ_signers/Liz_15612.mov","MOV")</f>
        <v>21</v>
      </c>
      <c r="M2996" t="s" s="10">
        <v>88</v>
      </c>
      <c r="N2996" s="17">
        <v>6</v>
      </c>
      <c r="O2996" s="18">
        <v>1050</v>
      </c>
      <c r="P2996" s="18">
        <v>1097</v>
      </c>
      <c r="Q2996" t="s" s="16">
        <f>HYPERLINK("http://secrets.rutgers.edu:8080/data/asl-ftp/asllvd/demos/verify_start_end_handshape_annotations//test_auto_move//signs_mov/15612.mov","MOV")</f>
        <v>21</v>
      </c>
      <c r="R2996" t="s" s="16">
        <f>HYPERLINK("http://secrets.rutgers.edu:8080/data/asl-ftp/asllvd/demos/verify_start_end_handshape_annotations//test_auto_move//signs_mov_separ_signers/Liz_15612.mov","MOV")</f>
        <v>21</v>
      </c>
    </row>
    <row r="2997" s="2" customFormat="1" ht="13.5" customHeight="1">
      <c r="B2997" s="13"/>
      <c r="C2997" t="s" s="9">
        <v>30</v>
      </c>
      <c r="D2997" t="s" s="8">
        <v>1028</v>
      </c>
      <c r="E2997" t="s" s="9">
        <v>1034</v>
      </c>
      <c r="F2997" s="19">
        <v>3</v>
      </c>
      <c r="G2997" s="17">
        <v>3</v>
      </c>
      <c r="H2997" t="s" s="10">
        <v>230</v>
      </c>
      <c r="I2997" t="s" s="11">
        <v>230</v>
      </c>
      <c r="J2997" t="s" s="11">
        <v>20</v>
      </c>
      <c r="K2997" s="15"/>
      <c r="L2997" t="s" s="16">
        <f>HYPERLINK("http://csr.bu.edu/ftp/asl/asllvd/demos/verify_start_end_handshape_annotations//test_auto_move//signs_mov_separ_signers/Brady_15612.mov","MOV")</f>
        <v>21</v>
      </c>
      <c r="M2997" t="s" s="10">
        <v>40</v>
      </c>
      <c r="N2997" s="17">
        <v>3</v>
      </c>
      <c r="O2997" s="18">
        <v>1801</v>
      </c>
      <c r="P2997" s="18">
        <v>1843</v>
      </c>
      <c r="Q2997" s="15"/>
      <c r="R2997" t="s" s="16">
        <f>HYPERLINK("http://secrets.rutgers.edu:8080/data/asl-ftp/asllvd/demos/verify_start_end_handshape_annotations//test_auto_move//signs_mov_separ_signers/Brady_15612.mov","MOV")</f>
        <v>21</v>
      </c>
    </row>
    <row r="2998" s="2" customFormat="1" ht="13.5" customHeight="1">
      <c r="B2998" t="s" s="8">
        <v>1035</v>
      </c>
      <c r="C2998" t="s" s="9">
        <v>14</v>
      </c>
      <c r="D2998" t="s" s="8">
        <v>14</v>
      </c>
      <c r="E2998" t="s" s="9">
        <v>14</v>
      </c>
      <c r="F2998" t="s" s="10">
        <v>14</v>
      </c>
      <c r="G2998" t="s" s="11">
        <v>14</v>
      </c>
      <c r="H2998" t="s" s="10">
        <v>14</v>
      </c>
      <c r="I2998" t="s" s="11">
        <v>14</v>
      </c>
      <c r="J2998" t="s" s="11">
        <v>14</v>
      </c>
      <c r="K2998" t="s" s="12">
        <v>14</v>
      </c>
      <c r="L2998" t="s" s="12">
        <v>14</v>
      </c>
      <c r="M2998" t="s" s="10">
        <v>14</v>
      </c>
      <c r="N2998" t="s" s="11">
        <v>14</v>
      </c>
      <c r="O2998" t="s" s="8">
        <v>14</v>
      </c>
      <c r="P2998" t="s" s="8">
        <v>14</v>
      </c>
      <c r="Q2998" t="s" s="12">
        <v>14</v>
      </c>
      <c r="R2998" t="s" s="12">
        <v>14</v>
      </c>
    </row>
    <row r="2999" s="2" customFormat="1" ht="13.5" customHeight="1">
      <c r="B2999" s="13"/>
      <c r="C2999" t="s" s="9">
        <v>16</v>
      </c>
      <c r="D2999" t="s" s="8">
        <v>1035</v>
      </c>
      <c r="E2999" t="s" s="9">
        <v>1035</v>
      </c>
      <c r="F2999" t="s" s="10">
        <v>73</v>
      </c>
      <c r="G2999" s="14"/>
      <c r="H2999" s="19">
        <v>10</v>
      </c>
      <c r="I2999" s="14"/>
      <c r="J2999" t="s" s="11">
        <v>20</v>
      </c>
      <c r="K2999" t="s" s="16">
        <f>HYPERLINK("http://csr.bu.edu/ftp/asl/asllvd/demos/verify_start_end_handshape_annotations//test_auto_move//signs_mov/15613.mov","MOV")</f>
        <v>21</v>
      </c>
      <c r="L2999" t="s" s="16">
        <f>HYPERLINK("http://csr.bu.edu/ftp/asl/asllvd/demos/verify_start_end_handshape_annotations//test_auto_move//signs_mov_separ_signers/Liz_15613.mov","MOV")</f>
        <v>21</v>
      </c>
      <c r="M2999" t="s" s="10">
        <v>36</v>
      </c>
      <c r="N2999" s="17">
        <v>50</v>
      </c>
      <c r="O2999" s="18">
        <v>1287</v>
      </c>
      <c r="P2999" s="18">
        <v>1322</v>
      </c>
      <c r="Q2999" t="s" s="16">
        <f>HYPERLINK("http://secrets.rutgers.edu:8080/data/asl-ftp/asllvd/demos/verify_start_end_handshape_annotations//test_auto_move//signs_mov/15613.mov","MOV")</f>
        <v>21</v>
      </c>
      <c r="R2999" t="s" s="16">
        <f>HYPERLINK("http://secrets.rutgers.edu:8080/data/asl-ftp/asllvd/demos/verify_start_end_handshape_annotations//test_auto_move//signs_mov_separ_signers/Liz_15613.mov","MOV")</f>
        <v>21</v>
      </c>
    </row>
    <row r="3000" s="2" customFormat="1" ht="13.5" customHeight="1">
      <c r="B3000" s="13"/>
      <c r="C3000" t="s" s="9">
        <v>30</v>
      </c>
      <c r="D3000" t="s" s="8">
        <v>1035</v>
      </c>
      <c r="E3000" t="s" s="9">
        <v>1035</v>
      </c>
      <c r="F3000" t="s" s="10">
        <v>73</v>
      </c>
      <c r="G3000" s="14"/>
      <c r="H3000" s="19">
        <v>10</v>
      </c>
      <c r="I3000" s="14"/>
      <c r="J3000" t="s" s="11">
        <v>20</v>
      </c>
      <c r="K3000" s="15"/>
      <c r="L3000" t="s" s="16">
        <f>HYPERLINK("http://csr.bu.edu/ftp/asl/asllvd/demos/verify_start_end_handshape_annotations//test_auto_move//signs_mov_separ_signers/Brady_15613.mov","MOV")</f>
        <v>21</v>
      </c>
      <c r="M3000" t="s" s="10">
        <v>40</v>
      </c>
      <c r="N3000" s="17">
        <v>101</v>
      </c>
      <c r="O3000" s="18">
        <v>2510</v>
      </c>
      <c r="P3000" s="18">
        <v>2525</v>
      </c>
      <c r="Q3000" s="15"/>
      <c r="R3000" t="s" s="16">
        <f>HYPERLINK("http://secrets.rutgers.edu:8080/data/asl-ftp/asllvd/demos/verify_start_end_handshape_annotations//test_auto_move//signs_mov_separ_signers/Brady_15613.mov","MOV")</f>
        <v>21</v>
      </c>
    </row>
    <row r="3001" s="2" customFormat="1" ht="13.5" customHeight="1">
      <c r="B3001" t="s" s="8">
        <v>1036</v>
      </c>
      <c r="C3001" t="s" s="9">
        <v>14</v>
      </c>
      <c r="D3001" t="s" s="8">
        <v>14</v>
      </c>
      <c r="E3001" t="s" s="9">
        <v>14</v>
      </c>
      <c r="F3001" t="s" s="10">
        <v>14</v>
      </c>
      <c r="G3001" t="s" s="11">
        <v>14</v>
      </c>
      <c r="H3001" t="s" s="10">
        <v>14</v>
      </c>
      <c r="I3001" t="s" s="11">
        <v>14</v>
      </c>
      <c r="J3001" t="s" s="11">
        <v>14</v>
      </c>
      <c r="K3001" t="s" s="12">
        <v>14</v>
      </c>
      <c r="L3001" t="s" s="12">
        <v>14</v>
      </c>
      <c r="M3001" t="s" s="10">
        <v>14</v>
      </c>
      <c r="N3001" t="s" s="11">
        <v>14</v>
      </c>
      <c r="O3001" t="s" s="8">
        <v>14</v>
      </c>
      <c r="P3001" t="s" s="8">
        <v>14</v>
      </c>
      <c r="Q3001" t="s" s="12">
        <v>14</v>
      </c>
      <c r="R3001" t="s" s="12">
        <v>14</v>
      </c>
    </row>
    <row r="3002" s="2" customFormat="1" ht="13.5" customHeight="1">
      <c r="B3002" s="13"/>
      <c r="C3002" t="s" s="9">
        <v>30</v>
      </c>
      <c r="D3002" t="s" s="8">
        <v>1036</v>
      </c>
      <c r="E3002" t="s" s="9">
        <v>1037</v>
      </c>
      <c r="F3002" t="s" s="10">
        <v>73</v>
      </c>
      <c r="G3002" s="14"/>
      <c r="H3002" t="s" s="10">
        <v>80</v>
      </c>
      <c r="I3002" s="14"/>
      <c r="J3002" t="s" s="11">
        <v>20</v>
      </c>
      <c r="K3002" t="s" s="16">
        <f>HYPERLINK("http://csr.bu.edu/ftp/asl/asllvd/demos/verify_start_end_handshape_annotations//test_auto_move//signs_mov/15689.mov","MOV")</f>
        <v>21</v>
      </c>
      <c r="L3002" t="s" s="16">
        <f>HYPERLINK("http://csr.bu.edu/ftp/asl/asllvd/demos/verify_start_end_handshape_annotations//test_auto_move//signs_mov_separ_signers/Brady_15689.mov","MOV")</f>
        <v>21</v>
      </c>
      <c r="M3002" t="s" s="10">
        <v>31</v>
      </c>
      <c r="N3002" s="17">
        <v>37</v>
      </c>
      <c r="O3002" s="18">
        <v>2548</v>
      </c>
      <c r="P3002" s="18">
        <v>2594</v>
      </c>
      <c r="Q3002" t="s" s="16">
        <f>HYPERLINK("http://secrets.rutgers.edu:8080/data/asl-ftp/asllvd/demos/verify_start_end_handshape_annotations//test_auto_move//signs_mov/15689.mov","MOV")</f>
        <v>21</v>
      </c>
      <c r="R3002" t="s" s="16">
        <f>HYPERLINK("http://secrets.rutgers.edu:8080/data/asl-ftp/asllvd/demos/verify_start_end_handshape_annotations//test_auto_move//signs_mov_separ_signers/Brady_15689.mov","MOV")</f>
        <v>21</v>
      </c>
    </row>
    <row r="3003" s="2" customFormat="1" ht="13.5" customHeight="1">
      <c r="B3003" t="s" s="8">
        <v>52</v>
      </c>
      <c r="C3003" t="s" s="9">
        <v>53</v>
      </c>
      <c r="D3003" t="s" s="8">
        <v>53</v>
      </c>
      <c r="E3003" t="s" s="9">
        <v>53</v>
      </c>
      <c r="F3003" t="s" s="10">
        <v>53</v>
      </c>
      <c r="G3003" t="s" s="11">
        <v>53</v>
      </c>
      <c r="H3003" t="s" s="10">
        <v>53</v>
      </c>
      <c r="I3003" t="s" s="11">
        <v>53</v>
      </c>
      <c r="J3003" t="s" s="11">
        <v>53</v>
      </c>
      <c r="K3003" t="s" s="12">
        <v>53</v>
      </c>
      <c r="L3003" t="s" s="12">
        <v>53</v>
      </c>
      <c r="M3003" t="s" s="10">
        <v>53</v>
      </c>
      <c r="N3003" t="s" s="11">
        <v>53</v>
      </c>
      <c r="O3003" t="s" s="8">
        <v>53</v>
      </c>
      <c r="P3003" t="s" s="8">
        <v>53</v>
      </c>
      <c r="Q3003" t="s" s="12">
        <v>53</v>
      </c>
      <c r="R3003" t="s" s="12">
        <v>53</v>
      </c>
    </row>
    <row r="3004" s="2" customFormat="1" ht="13.5" customHeight="1">
      <c r="B3004" s="13"/>
      <c r="C3004" t="s" s="9">
        <v>23</v>
      </c>
      <c r="D3004" t="s" s="8">
        <v>1036</v>
      </c>
      <c r="E3004" t="s" s="9">
        <v>1038</v>
      </c>
      <c r="F3004" t="s" s="10">
        <v>73</v>
      </c>
      <c r="G3004" t="s" s="11">
        <v>73</v>
      </c>
      <c r="H3004" t="s" s="10">
        <v>80</v>
      </c>
      <c r="I3004" t="s" s="11">
        <v>80</v>
      </c>
      <c r="J3004" t="s" s="11">
        <v>20</v>
      </c>
      <c r="K3004" t="s" s="16">
        <f>HYPERLINK("http://csr.bu.edu/ftp/asl/asllvd/demos/verify_start_end_handshape_annotations//test_auto_move//signs_mov/15690.mov","MOV")</f>
        <v>21</v>
      </c>
      <c r="L3004" t="s" s="16">
        <f>HYPERLINK("http://csr.bu.edu/ftp/asl/asllvd/demos/verify_start_end_handshape_annotations//test_auto_move//signs_mov_separ_signers/Tyler_15690.mov","MOV")</f>
        <v>21</v>
      </c>
      <c r="M3004" t="s" s="10">
        <v>92</v>
      </c>
      <c r="N3004" s="17">
        <v>1</v>
      </c>
      <c r="O3004" s="18">
        <v>6251</v>
      </c>
      <c r="P3004" s="18">
        <v>6298</v>
      </c>
      <c r="Q3004" t="s" s="16">
        <f>HYPERLINK("http://secrets.rutgers.edu:8080/data/asl-ftp/asllvd/demos/verify_start_end_handshape_annotations//test_auto_move//signs_mov/15690.mov","MOV")</f>
        <v>21</v>
      </c>
      <c r="R3004" t="s" s="16">
        <f>HYPERLINK("http://secrets.rutgers.edu:8080/data/asl-ftp/asllvd/demos/verify_start_end_handshape_annotations//test_auto_move//signs_mov_separ_signers/Tyler_15690.mov","MOV")</f>
        <v>21</v>
      </c>
    </row>
    <row r="3005" s="2" customFormat="1" ht="13.5" customHeight="1">
      <c r="B3005" t="s" s="8">
        <v>1039</v>
      </c>
      <c r="C3005" t="s" s="9">
        <v>14</v>
      </c>
      <c r="D3005" t="s" s="8">
        <v>14</v>
      </c>
      <c r="E3005" t="s" s="9">
        <v>14</v>
      </c>
      <c r="F3005" t="s" s="10">
        <v>14</v>
      </c>
      <c r="G3005" t="s" s="11">
        <v>14</v>
      </c>
      <c r="H3005" t="s" s="10">
        <v>14</v>
      </c>
      <c r="I3005" t="s" s="11">
        <v>14</v>
      </c>
      <c r="J3005" t="s" s="11">
        <v>14</v>
      </c>
      <c r="K3005" t="s" s="12">
        <v>14</v>
      </c>
      <c r="L3005" t="s" s="12">
        <v>14</v>
      </c>
      <c r="M3005" t="s" s="10">
        <v>14</v>
      </c>
      <c r="N3005" t="s" s="11">
        <v>14</v>
      </c>
      <c r="O3005" t="s" s="8">
        <v>14</v>
      </c>
      <c r="P3005" t="s" s="8">
        <v>14</v>
      </c>
      <c r="Q3005" t="s" s="12">
        <v>14</v>
      </c>
      <c r="R3005" t="s" s="12">
        <v>14</v>
      </c>
    </row>
    <row r="3006" s="2" customFormat="1" ht="13.5" customHeight="1">
      <c r="B3006" s="13"/>
      <c r="C3006" t="s" s="9">
        <v>16</v>
      </c>
      <c r="D3006" t="s" s="8">
        <v>1039</v>
      </c>
      <c r="E3006" t="s" s="9">
        <v>1039</v>
      </c>
      <c r="F3006" t="s" s="10">
        <v>148</v>
      </c>
      <c r="G3006" t="s" s="11">
        <v>148</v>
      </c>
      <c r="H3006" t="s" s="10">
        <v>68</v>
      </c>
      <c r="I3006" t="s" s="11">
        <v>68</v>
      </c>
      <c r="J3006" t="s" s="11">
        <v>20</v>
      </c>
      <c r="K3006" s="15"/>
      <c r="L3006" t="s" s="16">
        <f>HYPERLINK("http://csr.bu.edu/ftp/asl/asllvd/demos/verify_start_end_handshape_annotations//test_auto_move//signs_mov_separ_signers/Liz_15691.mov","MOV")</f>
        <v>21</v>
      </c>
      <c r="M3006" t="s" s="10">
        <v>22</v>
      </c>
      <c r="N3006" s="17">
        <v>43</v>
      </c>
      <c r="O3006" s="18">
        <v>1650</v>
      </c>
      <c r="P3006" s="18">
        <v>1680</v>
      </c>
      <c r="Q3006" s="15"/>
      <c r="R3006" t="s" s="16">
        <f>HYPERLINK("http://secrets.rutgers.edu:8080/data/asl-ftp/asllvd/demos/verify_start_end_handshape_annotations//test_auto_move//signs_mov_separ_signers/Liz_15691.mov","MOV")</f>
        <v>21</v>
      </c>
    </row>
    <row r="3007" s="2" customFormat="1" ht="13.5" customHeight="1">
      <c r="B3007" s="13"/>
      <c r="C3007" t="s" s="9">
        <v>23</v>
      </c>
      <c r="D3007" t="s" s="8">
        <v>1039</v>
      </c>
      <c r="E3007" t="s" s="9">
        <v>1039</v>
      </c>
      <c r="F3007" s="19">
        <v>5</v>
      </c>
      <c r="G3007" s="17">
        <v>5</v>
      </c>
      <c r="H3007" t="s" s="10">
        <v>68</v>
      </c>
      <c r="I3007" t="s" s="11">
        <v>68</v>
      </c>
      <c r="J3007" t="s" s="11">
        <v>20</v>
      </c>
      <c r="K3007" t="s" s="16">
        <f>HYPERLINK("http://csr.bu.edu/ftp/asl/asllvd/demos/verify_start_end_handshape_annotations//test_auto_move//signs_mov/15691.mov","MOV")</f>
        <v>21</v>
      </c>
      <c r="L3007" t="s" s="16">
        <f>HYPERLINK("http://csr.bu.edu/ftp/asl/asllvd/demos/verify_start_end_handshape_annotations//test_auto_move//signs_mov_separ_signers/Tyler_15691.mov","MOV")</f>
        <v>21</v>
      </c>
      <c r="M3007" t="s" s="10">
        <v>26</v>
      </c>
      <c r="N3007" s="17">
        <v>27</v>
      </c>
      <c r="O3007" s="18">
        <v>3740</v>
      </c>
      <c r="P3007" s="18">
        <v>3767</v>
      </c>
      <c r="Q3007" t="s" s="16">
        <f>HYPERLINK("http://secrets.rutgers.edu:8080/data/asl-ftp/asllvd/demos/verify_start_end_handshape_annotations//test_auto_move//signs_mov/15691.mov","MOV")</f>
        <v>21</v>
      </c>
      <c r="R3007" t="s" s="16">
        <f>HYPERLINK("http://secrets.rutgers.edu:8080/data/asl-ftp/asllvd/demos/verify_start_end_handshape_annotations//test_auto_move//signs_mov_separ_signers/Tyler_15691.mov","MOV")</f>
        <v>21</v>
      </c>
    </row>
    <row r="3008" s="2" customFormat="1" ht="13.5" customHeight="1">
      <c r="B3008" s="13"/>
      <c r="C3008" t="s" s="9">
        <v>27</v>
      </c>
      <c r="D3008" t="s" s="8">
        <v>1039</v>
      </c>
      <c r="E3008" t="s" s="9">
        <v>1039</v>
      </c>
      <c r="F3008" t="s" s="10">
        <v>72</v>
      </c>
      <c r="G3008" t="s" s="11">
        <v>72</v>
      </c>
      <c r="H3008" t="s" s="10">
        <v>68</v>
      </c>
      <c r="I3008" t="s" s="11">
        <v>68</v>
      </c>
      <c r="J3008" t="s" s="11">
        <v>20</v>
      </c>
      <c r="K3008" s="15"/>
      <c r="L3008" t="s" s="16">
        <f>HYPERLINK("http://csr.bu.edu/ftp/asl/asllvd/demos/verify_start_end_handshape_annotations//test_auto_move//signs_mov_separ_signers/Naomi_15691.mov","MOV")</f>
        <v>21</v>
      </c>
      <c r="M3008" t="s" s="10">
        <v>29</v>
      </c>
      <c r="N3008" s="17">
        <v>28</v>
      </c>
      <c r="O3008" s="18">
        <v>3987</v>
      </c>
      <c r="P3008" s="18">
        <v>4012</v>
      </c>
      <c r="Q3008" s="15"/>
      <c r="R3008" t="s" s="16">
        <f>HYPERLINK("http://secrets.rutgers.edu:8080/data/asl-ftp/asllvd/demos/verify_start_end_handshape_annotations//test_auto_move//signs_mov_separ_signers/Naomi_15691.mov","MOV")</f>
        <v>21</v>
      </c>
    </row>
    <row r="3009" s="2" customFormat="1" ht="13.5" customHeight="1">
      <c r="B3009" s="13"/>
      <c r="C3009" t="s" s="9">
        <v>30</v>
      </c>
      <c r="D3009" t="s" s="8">
        <v>1039</v>
      </c>
      <c r="E3009" t="s" s="9">
        <v>1039</v>
      </c>
      <c r="F3009" t="s" s="10">
        <v>72</v>
      </c>
      <c r="G3009" t="s" s="11">
        <v>72</v>
      </c>
      <c r="H3009" t="s" s="10">
        <v>68</v>
      </c>
      <c r="I3009" t="s" s="11">
        <v>68</v>
      </c>
      <c r="J3009" t="s" s="11">
        <v>20</v>
      </c>
      <c r="K3009" s="15"/>
      <c r="L3009" t="s" s="16">
        <f>HYPERLINK("http://csr.bu.edu/ftp/asl/asllvd/demos/verify_start_end_handshape_annotations//test_auto_move//signs_mov_separ_signers/Brady_15691.mov","MOV")</f>
        <v>21</v>
      </c>
      <c r="M3009" t="s" s="10">
        <v>31</v>
      </c>
      <c r="N3009" s="17">
        <v>21</v>
      </c>
      <c r="O3009" s="18">
        <v>8305</v>
      </c>
      <c r="P3009" s="18">
        <v>8331</v>
      </c>
      <c r="Q3009" s="15"/>
      <c r="R3009" t="s" s="16">
        <f>HYPERLINK("http://secrets.rutgers.edu:8080/data/asl-ftp/asllvd/demos/verify_start_end_handshape_annotations//test_auto_move//signs_mov_separ_signers/Brady_15691.mov","MOV")</f>
        <v>21</v>
      </c>
    </row>
    <row r="3010" s="2" customFormat="1" ht="13.5" customHeight="1">
      <c r="B3010" t="s" s="8">
        <v>1040</v>
      </c>
      <c r="C3010" t="s" s="9">
        <v>14</v>
      </c>
      <c r="D3010" t="s" s="8">
        <v>14</v>
      </c>
      <c r="E3010" t="s" s="9">
        <v>14</v>
      </c>
      <c r="F3010" t="s" s="10">
        <v>14</v>
      </c>
      <c r="G3010" t="s" s="11">
        <v>14</v>
      </c>
      <c r="H3010" t="s" s="10">
        <v>14</v>
      </c>
      <c r="I3010" t="s" s="11">
        <v>14</v>
      </c>
      <c r="J3010" t="s" s="11">
        <v>14</v>
      </c>
      <c r="K3010" t="s" s="12">
        <v>14</v>
      </c>
      <c r="L3010" t="s" s="12">
        <v>14</v>
      </c>
      <c r="M3010" t="s" s="10">
        <v>14</v>
      </c>
      <c r="N3010" t="s" s="11">
        <v>14</v>
      </c>
      <c r="O3010" t="s" s="8">
        <v>14</v>
      </c>
      <c r="P3010" t="s" s="8">
        <v>14</v>
      </c>
      <c r="Q3010" t="s" s="12">
        <v>14</v>
      </c>
      <c r="R3010" t="s" s="12">
        <v>14</v>
      </c>
    </row>
    <row r="3011" s="2" customFormat="1" ht="13.5" customHeight="1">
      <c r="B3011" s="13"/>
      <c r="C3011" t="s" s="9">
        <v>16</v>
      </c>
      <c r="D3011" t="s" s="8">
        <v>1040</v>
      </c>
      <c r="E3011" t="s" s="9">
        <v>1041</v>
      </c>
      <c r="F3011" t="s" s="10">
        <v>187</v>
      </c>
      <c r="G3011" t="s" s="11">
        <v>187</v>
      </c>
      <c r="H3011" t="s" s="10">
        <v>187</v>
      </c>
      <c r="I3011" t="s" s="11">
        <v>187</v>
      </c>
      <c r="J3011" t="s" s="11">
        <v>20</v>
      </c>
      <c r="K3011" t="s" s="16">
        <f>HYPERLINK("http://csr.bu.edu/ftp/asl/asllvd/demos/verify_start_end_handshape_annotations//test_auto_move//signs_mov/15692.mov","MOV")</f>
        <v>21</v>
      </c>
      <c r="L3011" t="s" s="16">
        <f>HYPERLINK("http://csr.bu.edu/ftp/asl/asllvd/demos/verify_start_end_handshape_annotations//test_auto_move//signs_mov_separ_signers/Liz_15692.mov","MOV")</f>
        <v>21</v>
      </c>
      <c r="M3011" t="s" s="10">
        <v>59</v>
      </c>
      <c r="N3011" s="17">
        <v>18</v>
      </c>
      <c r="O3011" s="18">
        <v>1155</v>
      </c>
      <c r="P3011" s="18">
        <v>1200</v>
      </c>
      <c r="Q3011" t="s" s="16">
        <f>HYPERLINK("http://secrets.rutgers.edu:8080/data/asl-ftp/asllvd/demos/verify_start_end_handshape_annotations//test_auto_move//signs_mov/15692.mov","MOV")</f>
        <v>21</v>
      </c>
      <c r="R3011" t="s" s="16">
        <f>HYPERLINK("http://secrets.rutgers.edu:8080/data/asl-ftp/asllvd/demos/verify_start_end_handshape_annotations//test_auto_move//signs_mov_separ_signers/Liz_15692.mov","MOV")</f>
        <v>21</v>
      </c>
    </row>
    <row r="3012" s="2" customFormat="1" ht="13.5" customHeight="1">
      <c r="B3012" t="s" s="8">
        <v>1042</v>
      </c>
      <c r="C3012" t="s" s="9">
        <v>14</v>
      </c>
      <c r="D3012" t="s" s="8">
        <v>14</v>
      </c>
      <c r="E3012" t="s" s="9">
        <v>14</v>
      </c>
      <c r="F3012" t="s" s="10">
        <v>14</v>
      </c>
      <c r="G3012" t="s" s="11">
        <v>14</v>
      </c>
      <c r="H3012" t="s" s="10">
        <v>14</v>
      </c>
      <c r="I3012" t="s" s="11">
        <v>14</v>
      </c>
      <c r="J3012" t="s" s="11">
        <v>14</v>
      </c>
      <c r="K3012" t="s" s="12">
        <v>14</v>
      </c>
      <c r="L3012" t="s" s="12">
        <v>14</v>
      </c>
      <c r="M3012" t="s" s="10">
        <v>14</v>
      </c>
      <c r="N3012" t="s" s="11">
        <v>14</v>
      </c>
      <c r="O3012" t="s" s="8">
        <v>14</v>
      </c>
      <c r="P3012" t="s" s="8">
        <v>14</v>
      </c>
      <c r="Q3012" t="s" s="12">
        <v>14</v>
      </c>
      <c r="R3012" t="s" s="12">
        <v>14</v>
      </c>
    </row>
    <row r="3013" s="2" customFormat="1" ht="13.5" customHeight="1">
      <c r="B3013" s="13"/>
      <c r="C3013" t="s" s="9">
        <v>16</v>
      </c>
      <c r="D3013" t="s" s="8">
        <v>1042</v>
      </c>
      <c r="E3013" t="s" s="9">
        <v>1042</v>
      </c>
      <c r="F3013" t="s" s="10">
        <v>72</v>
      </c>
      <c r="G3013" s="14"/>
      <c r="H3013" t="s" s="10">
        <v>72</v>
      </c>
      <c r="I3013" s="14"/>
      <c r="J3013" t="s" s="11">
        <v>20</v>
      </c>
      <c r="K3013" s="15"/>
      <c r="L3013" t="s" s="16">
        <f>HYPERLINK("http://csr.bu.edu/ftp/asl/asllvd/demos/verify_start_end_handshape_annotations//test_auto_move//signs_mov_separ_signers/Liz_16329.mov","MOV")</f>
        <v>21</v>
      </c>
      <c r="M3013" t="s" s="10">
        <v>34</v>
      </c>
      <c r="N3013" s="17">
        <v>50</v>
      </c>
      <c r="O3013" s="18">
        <v>2760</v>
      </c>
      <c r="P3013" s="18">
        <v>2805</v>
      </c>
      <c r="Q3013" s="15"/>
      <c r="R3013" t="s" s="16">
        <f>HYPERLINK("http://secrets.rutgers.edu:8080/data/asl-ftp/asllvd/demos/verify_start_end_handshape_annotations//test_auto_move//signs_mov_separ_signers/Liz_16329.mov","MOV")</f>
        <v>21</v>
      </c>
    </row>
    <row r="3014" s="2" customFormat="1" ht="13.5" customHeight="1">
      <c r="B3014" s="13"/>
      <c r="C3014" t="s" s="9">
        <v>23</v>
      </c>
      <c r="D3014" t="s" s="8">
        <v>1042</v>
      </c>
      <c r="E3014" t="s" s="9">
        <v>1042</v>
      </c>
      <c r="F3014" t="s" s="10">
        <v>75</v>
      </c>
      <c r="G3014" s="14"/>
      <c r="H3014" t="s" s="10">
        <v>75</v>
      </c>
      <c r="I3014" s="14"/>
      <c r="J3014" t="s" s="11">
        <v>20</v>
      </c>
      <c r="K3014" t="s" s="16">
        <f>HYPERLINK("http://csr.bu.edu/ftp/asl/asllvd/demos/verify_start_end_handshape_annotations//test_auto_move//signs_mov/16329.mov","MOV")</f>
        <v>21</v>
      </c>
      <c r="L3014" t="s" s="16">
        <f>HYPERLINK("http://csr.bu.edu/ftp/asl/asllvd/demos/verify_start_end_handshape_annotations//test_auto_move//signs_mov_separ_signers/Tyler_16329.mov","MOV")</f>
        <v>21</v>
      </c>
      <c r="M3014" t="s" s="10">
        <v>47</v>
      </c>
      <c r="N3014" s="17">
        <v>2</v>
      </c>
      <c r="O3014" s="18">
        <v>2385</v>
      </c>
      <c r="P3014" s="18">
        <v>2420</v>
      </c>
      <c r="Q3014" t="s" s="16">
        <f>HYPERLINK("http://secrets.rutgers.edu:8080/data/asl-ftp/asllvd/demos/verify_start_end_handshape_annotations//test_auto_move//signs_mov/16329.mov","MOV")</f>
        <v>21</v>
      </c>
      <c r="R3014" t="s" s="16">
        <f>HYPERLINK("http://secrets.rutgers.edu:8080/data/asl-ftp/asllvd/demos/verify_start_end_handshape_annotations//test_auto_move//signs_mov_separ_signers/Tyler_16329.mov","MOV")</f>
        <v>21</v>
      </c>
    </row>
    <row r="3015" s="2" customFormat="1" ht="13.5" customHeight="1">
      <c r="B3015" s="13"/>
      <c r="C3015" t="s" s="9">
        <v>27</v>
      </c>
      <c r="D3015" t="s" s="8">
        <v>1042</v>
      </c>
      <c r="E3015" t="s" s="9">
        <v>1042</v>
      </c>
      <c r="F3015" t="s" s="10">
        <v>72</v>
      </c>
      <c r="G3015" s="14"/>
      <c r="H3015" t="s" s="10">
        <v>72</v>
      </c>
      <c r="I3015" s="14"/>
      <c r="J3015" t="s" s="11">
        <v>20</v>
      </c>
      <c r="K3015" s="15"/>
      <c r="L3015" t="s" s="16">
        <f>HYPERLINK("http://csr.bu.edu/ftp/asl/asllvd/demos/verify_start_end_handshape_annotations//test_auto_move//signs_mov_separ_signers/Naomi_16329.mov","MOV")</f>
        <v>21</v>
      </c>
      <c r="M3015" t="s" s="10">
        <v>48</v>
      </c>
      <c r="N3015" s="17">
        <v>5</v>
      </c>
      <c r="O3015" s="18">
        <v>2105</v>
      </c>
      <c r="P3015" s="18">
        <v>2130</v>
      </c>
      <c r="Q3015" s="15"/>
      <c r="R3015" t="s" s="16">
        <f>HYPERLINK("http://secrets.rutgers.edu:8080/data/asl-ftp/asllvd/demos/verify_start_end_handshape_annotations//test_auto_move//signs_mov_separ_signers/Naomi_16329.mov","MOV")</f>
        <v>21</v>
      </c>
    </row>
    <row r="3016" s="2" customFormat="1" ht="13.5" customHeight="1">
      <c r="B3016" s="13"/>
      <c r="C3016" t="s" s="9">
        <v>30</v>
      </c>
      <c r="D3016" t="s" s="8">
        <v>1042</v>
      </c>
      <c r="E3016" t="s" s="9">
        <v>1042</v>
      </c>
      <c r="F3016" t="s" s="10">
        <v>72</v>
      </c>
      <c r="G3016" s="14"/>
      <c r="H3016" t="s" s="10">
        <v>72</v>
      </c>
      <c r="I3016" s="14"/>
      <c r="J3016" t="s" s="11">
        <v>20</v>
      </c>
      <c r="K3016" s="15"/>
      <c r="L3016" t="s" s="16">
        <f>HYPERLINK("http://csr.bu.edu/ftp/asl/asllvd/demos/verify_start_end_handshape_annotations//test_auto_move//signs_mov_separ_signers/Brady_16329.mov","MOV")</f>
        <v>21</v>
      </c>
      <c r="M3016" t="s" s="10">
        <v>39</v>
      </c>
      <c r="N3016" s="17">
        <v>50</v>
      </c>
      <c r="O3016" s="18">
        <v>1079</v>
      </c>
      <c r="P3016" s="18">
        <v>1112</v>
      </c>
      <c r="Q3016" s="15"/>
      <c r="R3016" t="s" s="16">
        <f>HYPERLINK("http://secrets.rutgers.edu:8080/data/asl-ftp/asllvd/demos/verify_start_end_handshape_annotations//test_auto_move//signs_mov_separ_signers/Brady_16329.mov","MOV")</f>
        <v>21</v>
      </c>
    </row>
    <row r="3017" s="2" customFormat="1" ht="13.5" customHeight="1">
      <c r="B3017" t="s" s="8">
        <v>1043</v>
      </c>
      <c r="C3017" t="s" s="9">
        <v>14</v>
      </c>
      <c r="D3017" t="s" s="8">
        <v>14</v>
      </c>
      <c r="E3017" t="s" s="9">
        <v>14</v>
      </c>
      <c r="F3017" t="s" s="10">
        <v>14</v>
      </c>
      <c r="G3017" t="s" s="11">
        <v>14</v>
      </c>
      <c r="H3017" t="s" s="10">
        <v>14</v>
      </c>
      <c r="I3017" t="s" s="11">
        <v>14</v>
      </c>
      <c r="J3017" t="s" s="11">
        <v>14</v>
      </c>
      <c r="K3017" t="s" s="12">
        <v>14</v>
      </c>
      <c r="L3017" t="s" s="12">
        <v>14</v>
      </c>
      <c r="M3017" t="s" s="10">
        <v>14</v>
      </c>
      <c r="N3017" t="s" s="11">
        <v>14</v>
      </c>
      <c r="O3017" t="s" s="8">
        <v>14</v>
      </c>
      <c r="P3017" t="s" s="8">
        <v>14</v>
      </c>
      <c r="Q3017" t="s" s="12">
        <v>14</v>
      </c>
      <c r="R3017" t="s" s="12">
        <v>14</v>
      </c>
    </row>
    <row r="3018" s="2" customFormat="1" ht="13.5" customHeight="1">
      <c r="B3018" s="13"/>
      <c r="C3018" t="s" s="9">
        <v>16</v>
      </c>
      <c r="D3018" t="s" s="8">
        <v>1043</v>
      </c>
      <c r="E3018" t="s" s="9">
        <v>1044</v>
      </c>
      <c r="F3018" t="s" s="10">
        <v>68</v>
      </c>
      <c r="G3018" t="s" s="11">
        <v>68</v>
      </c>
      <c r="H3018" t="s" s="10">
        <v>68</v>
      </c>
      <c r="I3018" t="s" s="11">
        <v>68</v>
      </c>
      <c r="J3018" t="s" s="11">
        <v>20</v>
      </c>
      <c r="K3018" s="15"/>
      <c r="L3018" t="s" s="16">
        <f>HYPERLINK("http://csr.bu.edu/ftp/asl/asllvd/demos/verify_start_end_handshape_annotations//test_auto_move//signs_mov_separ_signers/Liz_628.mov","MOV")</f>
        <v>21</v>
      </c>
      <c r="M3018" t="s" s="10">
        <v>84</v>
      </c>
      <c r="N3018" s="17">
        <v>13</v>
      </c>
      <c r="O3018" s="18">
        <v>2331</v>
      </c>
      <c r="P3018" s="18">
        <v>2362</v>
      </c>
      <c r="Q3018" s="15"/>
      <c r="R3018" t="s" s="16">
        <f>HYPERLINK("http://secrets.rutgers.edu:8080/data/asl-ftp/asllvd/demos/verify_start_end_handshape_annotations//test_auto_move//signs_mov_separ_signers/Liz_628.mov","MOV")</f>
        <v>21</v>
      </c>
    </row>
    <row r="3019" s="2" customFormat="1" ht="13.5" customHeight="1">
      <c r="B3019" s="13"/>
      <c r="C3019" t="s" s="9">
        <v>23</v>
      </c>
      <c r="D3019" t="s" s="8">
        <v>1043</v>
      </c>
      <c r="E3019" t="s" s="9">
        <v>1044</v>
      </c>
      <c r="F3019" t="s" s="10">
        <v>68</v>
      </c>
      <c r="G3019" t="s" s="11">
        <v>68</v>
      </c>
      <c r="H3019" t="s" s="10">
        <v>68</v>
      </c>
      <c r="I3019" t="s" s="11">
        <v>68</v>
      </c>
      <c r="J3019" t="s" s="11">
        <v>20</v>
      </c>
      <c r="K3019" t="s" s="16">
        <f>HYPERLINK("http://csr.bu.edu/ftp/asl/asllvd/demos/verify_start_end_handshape_annotations//test_auto_move//signs_mov/628_5643_merged.mov","MOV")</f>
        <v>21</v>
      </c>
      <c r="L3019" t="s" s="16">
        <f>HYPERLINK("http://csr.bu.edu/ftp/asl/asllvd/demos/verify_start_end_handshape_annotations//test_auto_move//signs_mov_separ_signers/Tyler_628.mov","MOV")</f>
        <v>21</v>
      </c>
      <c r="M3019" t="s" s="10">
        <v>125</v>
      </c>
      <c r="N3019" s="17">
        <v>13</v>
      </c>
      <c r="O3019" s="18">
        <v>2465</v>
      </c>
      <c r="P3019" s="18">
        <v>2490</v>
      </c>
      <c r="Q3019" t="s" s="16">
        <f>HYPERLINK("http://secrets.rutgers.edu:8080/data/asl-ftp/asllvd/demos/verify_start_end_handshape_annotations//test_auto_move//signs_mov/628_5643_merged.mov","MOV")</f>
        <v>21</v>
      </c>
      <c r="R3019" t="s" s="16">
        <f>HYPERLINK("http://secrets.rutgers.edu:8080/data/asl-ftp/asllvd/demos/verify_start_end_handshape_annotations//test_auto_move//signs_mov_separ_signers/Tyler_628.mov","MOV")</f>
        <v>21</v>
      </c>
    </row>
    <row r="3020" s="2" customFormat="1" ht="13.5" customHeight="1">
      <c r="B3020" s="13"/>
      <c r="C3020" t="s" s="9">
        <v>30</v>
      </c>
      <c r="D3020" t="s" s="8">
        <v>1043</v>
      </c>
      <c r="E3020" t="s" s="9">
        <v>1045</v>
      </c>
      <c r="F3020" t="s" s="10">
        <v>68</v>
      </c>
      <c r="G3020" t="s" s="11">
        <v>68</v>
      </c>
      <c r="H3020" t="s" s="10">
        <v>68</v>
      </c>
      <c r="I3020" t="s" s="11">
        <v>68</v>
      </c>
      <c r="J3020" t="s" s="11">
        <v>20</v>
      </c>
      <c r="K3020" s="15"/>
      <c r="L3020" t="s" s="16">
        <f>HYPERLINK("http://csr.bu.edu/ftp/asl/asllvd/demos/verify_start_end_handshape_annotations//test_auto_move//signs_mov_separ_signers/Brady_628.mov","MOV")</f>
        <v>21</v>
      </c>
      <c r="M3020" t="s" s="10">
        <v>31</v>
      </c>
      <c r="N3020" s="17">
        <v>32</v>
      </c>
      <c r="O3020" s="18">
        <v>11925</v>
      </c>
      <c r="P3020" s="18">
        <v>11960</v>
      </c>
      <c r="Q3020" s="15"/>
      <c r="R3020" t="s" s="16">
        <f>HYPERLINK("http://secrets.rutgers.edu:8080/data/asl-ftp/asllvd/demos/verify_start_end_handshape_annotations//test_auto_move//signs_mov_separ_signers/Brady_628.mov","MOV")</f>
        <v>21</v>
      </c>
    </row>
    <row r="3021" s="2" customFormat="1" ht="13.5" customHeight="1">
      <c r="B3021" s="13"/>
      <c r="C3021" t="s" s="9">
        <v>30</v>
      </c>
      <c r="D3021" t="s" s="8">
        <v>1043</v>
      </c>
      <c r="E3021" t="s" s="9">
        <v>1044</v>
      </c>
      <c r="F3021" t="s" s="10">
        <v>68</v>
      </c>
      <c r="G3021" t="s" s="11">
        <v>68</v>
      </c>
      <c r="H3021" t="s" s="10">
        <v>68</v>
      </c>
      <c r="I3021" t="s" s="11">
        <v>68</v>
      </c>
      <c r="J3021" t="s" s="11">
        <v>20</v>
      </c>
      <c r="K3021" s="15"/>
      <c r="L3021" t="s" s="16">
        <f>HYPERLINK("http://csr.bu.edu/ftp/asl/asllvd/demos/verify_start_end_handshape_annotations//test_auto_move//signs_mov_separ_signers/Brady_5643.mov","MOV")</f>
        <v>21</v>
      </c>
      <c r="M3021" t="s" s="10">
        <v>40</v>
      </c>
      <c r="N3021" s="17">
        <v>45</v>
      </c>
      <c r="O3021" s="18">
        <v>921</v>
      </c>
      <c r="P3021" s="18">
        <v>944</v>
      </c>
      <c r="Q3021" s="15"/>
      <c r="R3021" t="s" s="16">
        <f>HYPERLINK("http://secrets.rutgers.edu:8080/data/asl-ftp/asllvd/demos/verify_start_end_handshape_annotations//test_auto_move//signs_mov_separ_signers/Brady_5643.mov","MOV")</f>
        <v>21</v>
      </c>
    </row>
    <row r="3022" s="2" customFormat="1" ht="13.5" customHeight="1">
      <c r="B3022" t="s" s="8">
        <v>52</v>
      </c>
      <c r="C3022" t="s" s="9">
        <v>53</v>
      </c>
      <c r="D3022" t="s" s="8">
        <v>53</v>
      </c>
      <c r="E3022" t="s" s="9">
        <v>53</v>
      </c>
      <c r="F3022" t="s" s="10">
        <v>53</v>
      </c>
      <c r="G3022" t="s" s="11">
        <v>53</v>
      </c>
      <c r="H3022" t="s" s="10">
        <v>53</v>
      </c>
      <c r="I3022" t="s" s="11">
        <v>53</v>
      </c>
      <c r="J3022" t="s" s="11">
        <v>53</v>
      </c>
      <c r="K3022" t="s" s="12">
        <v>53</v>
      </c>
      <c r="L3022" t="s" s="12">
        <v>53</v>
      </c>
      <c r="M3022" t="s" s="10">
        <v>53</v>
      </c>
      <c r="N3022" t="s" s="11">
        <v>53</v>
      </c>
      <c r="O3022" t="s" s="8">
        <v>53</v>
      </c>
      <c r="P3022" t="s" s="8">
        <v>53</v>
      </c>
      <c r="Q3022" t="s" s="12">
        <v>53</v>
      </c>
      <c r="R3022" t="s" s="12">
        <v>53</v>
      </c>
    </row>
    <row r="3023" s="2" customFormat="1" ht="13.5" customHeight="1">
      <c r="B3023" s="13"/>
      <c r="C3023" t="s" s="9">
        <v>16</v>
      </c>
      <c r="D3023" t="s" s="8">
        <v>1043</v>
      </c>
      <c r="E3023" t="s" s="9">
        <v>1046</v>
      </c>
      <c r="F3023" t="s" s="10">
        <v>68</v>
      </c>
      <c r="G3023" t="s" s="11">
        <v>68</v>
      </c>
      <c r="H3023" t="s" s="10">
        <v>68</v>
      </c>
      <c r="I3023" t="s" s="11">
        <v>68</v>
      </c>
      <c r="J3023" t="s" s="11">
        <v>20</v>
      </c>
      <c r="K3023" t="s" s="16">
        <f>HYPERLINK("http://csr.bu.edu/ftp/asl/asllvd/demos/verify_start_end_handshape_annotations//test_auto_move//signs_mov/15358.mov","MOV")</f>
        <v>21</v>
      </c>
      <c r="L3023" t="s" s="16">
        <f>HYPERLINK("http://csr.bu.edu/ftp/asl/asllvd/demos/verify_start_end_handshape_annotations//test_auto_move//signs_mov_separ_signers/Liz_15358.mov","MOV")</f>
        <v>21</v>
      </c>
      <c r="M3023" t="s" s="10">
        <v>88</v>
      </c>
      <c r="N3023" s="17">
        <v>50</v>
      </c>
      <c r="O3023" s="18">
        <v>2265</v>
      </c>
      <c r="P3023" s="18">
        <v>2300</v>
      </c>
      <c r="Q3023" t="s" s="16">
        <f>HYPERLINK("http://secrets.rutgers.edu:8080/data/asl-ftp/asllvd/demos/verify_start_end_handshape_annotations//test_auto_move//signs_mov/15358.mov","MOV")</f>
        <v>21</v>
      </c>
      <c r="R3023" t="s" s="16">
        <f>HYPERLINK("http://secrets.rutgers.edu:8080/data/asl-ftp/asllvd/demos/verify_start_end_handshape_annotations//test_auto_move//signs_mov_separ_signers/Liz_15358.mov","MOV")</f>
        <v>21</v>
      </c>
    </row>
    <row r="3024" s="2" customFormat="1" ht="13.5" customHeight="1">
      <c r="B3024" s="13"/>
      <c r="C3024" t="s" s="9">
        <v>27</v>
      </c>
      <c r="D3024" t="s" s="8">
        <v>1043</v>
      </c>
      <c r="E3024" t="s" s="9">
        <v>1047</v>
      </c>
      <c r="F3024" t="s" s="10">
        <v>68</v>
      </c>
      <c r="G3024" t="s" s="11">
        <v>68</v>
      </c>
      <c r="H3024" t="s" s="10">
        <v>68</v>
      </c>
      <c r="I3024" t="s" s="11">
        <v>68</v>
      </c>
      <c r="J3024" t="s" s="11">
        <v>20</v>
      </c>
      <c r="K3024" s="15"/>
      <c r="L3024" t="s" s="16">
        <f>HYPERLINK("http://csr.bu.edu/ftp/asl/asllvd/demos/verify_start_end_handshape_annotations//test_auto_move//signs_mov_separ_signers/Naomi_15358.mov","MOV")</f>
        <v>21</v>
      </c>
      <c r="M3024" t="s" s="10">
        <v>86</v>
      </c>
      <c r="N3024" s="17">
        <v>13</v>
      </c>
      <c r="O3024" s="18">
        <v>2660</v>
      </c>
      <c r="P3024" s="18">
        <v>2675</v>
      </c>
      <c r="Q3024" s="15"/>
      <c r="R3024" t="s" s="16">
        <f>HYPERLINK("http://secrets.rutgers.edu:8080/data/asl-ftp/asllvd/demos/verify_start_end_handshape_annotations//test_auto_move//signs_mov_separ_signers/Naomi_15358.mov","MOV")</f>
        <v>21</v>
      </c>
    </row>
    <row r="3025" s="2" customFormat="1" ht="13.5" customHeight="1">
      <c r="B3025" t="s" s="8">
        <v>1048</v>
      </c>
      <c r="C3025" t="s" s="9">
        <v>14</v>
      </c>
      <c r="D3025" t="s" s="8">
        <v>14</v>
      </c>
      <c r="E3025" t="s" s="9">
        <v>14</v>
      </c>
      <c r="F3025" t="s" s="10">
        <v>14</v>
      </c>
      <c r="G3025" t="s" s="11">
        <v>14</v>
      </c>
      <c r="H3025" t="s" s="10">
        <v>14</v>
      </c>
      <c r="I3025" t="s" s="11">
        <v>14</v>
      </c>
      <c r="J3025" t="s" s="11">
        <v>14</v>
      </c>
      <c r="K3025" t="s" s="12">
        <v>14</v>
      </c>
      <c r="L3025" t="s" s="12">
        <v>14</v>
      </c>
      <c r="M3025" t="s" s="10">
        <v>14</v>
      </c>
      <c r="N3025" t="s" s="11">
        <v>14</v>
      </c>
      <c r="O3025" t="s" s="8">
        <v>14</v>
      </c>
      <c r="P3025" t="s" s="8">
        <v>14</v>
      </c>
      <c r="Q3025" t="s" s="12">
        <v>14</v>
      </c>
      <c r="R3025" t="s" s="12">
        <v>14</v>
      </c>
    </row>
    <row r="3026" s="2" customFormat="1" ht="13.5" customHeight="1">
      <c r="B3026" s="13"/>
      <c r="C3026" t="s" s="9">
        <v>16</v>
      </c>
      <c r="D3026" t="s" s="8">
        <v>1048</v>
      </c>
      <c r="E3026" t="s" s="9">
        <v>1048</v>
      </c>
      <c r="F3026" t="s" s="10">
        <v>68</v>
      </c>
      <c r="G3026" t="s" s="11">
        <v>68</v>
      </c>
      <c r="H3026" t="s" s="10">
        <v>68</v>
      </c>
      <c r="I3026" t="s" s="11">
        <v>68</v>
      </c>
      <c r="J3026" t="s" s="11">
        <v>20</v>
      </c>
      <c r="K3026" t="s" s="16">
        <f>HYPERLINK("http://csr.bu.edu/ftp/asl/asllvd/demos/verify_start_end_handshape_annotations//test_auto_move//signs_mov/16136.mov","MOV")</f>
        <v>21</v>
      </c>
      <c r="L3026" t="s" s="16">
        <f>HYPERLINK("http://csr.bu.edu/ftp/asl/asllvd/demos/verify_start_end_handshape_annotations//test_auto_move//signs_mov_separ_signers/Liz_16136.mov","MOV")</f>
        <v>21</v>
      </c>
      <c r="M3026" t="s" s="10">
        <v>22</v>
      </c>
      <c r="N3026" s="17">
        <v>42</v>
      </c>
      <c r="O3026" s="18">
        <v>1644</v>
      </c>
      <c r="P3026" s="18">
        <v>1686</v>
      </c>
      <c r="Q3026" t="s" s="16">
        <f>HYPERLINK("http://secrets.rutgers.edu:8080/data/asl-ftp/asllvd/demos/verify_start_end_handshape_annotations//test_auto_move//signs_mov/16136.mov","MOV")</f>
        <v>21</v>
      </c>
      <c r="R3026" t="s" s="16">
        <f>HYPERLINK("http://secrets.rutgers.edu:8080/data/asl-ftp/asllvd/demos/verify_start_end_handshape_annotations//test_auto_move//signs_mov_separ_signers/Liz_16136.mov","MOV")</f>
        <v>21</v>
      </c>
    </row>
    <row r="3027" s="2" customFormat="1" ht="13.5" customHeight="1">
      <c r="B3027" t="s" s="8">
        <v>1049</v>
      </c>
      <c r="C3027" t="s" s="9">
        <v>14</v>
      </c>
      <c r="D3027" t="s" s="8">
        <v>14</v>
      </c>
      <c r="E3027" t="s" s="9">
        <v>14</v>
      </c>
      <c r="F3027" t="s" s="10">
        <v>14</v>
      </c>
      <c r="G3027" t="s" s="11">
        <v>14</v>
      </c>
      <c r="H3027" t="s" s="10">
        <v>14</v>
      </c>
      <c r="I3027" t="s" s="11">
        <v>14</v>
      </c>
      <c r="J3027" t="s" s="11">
        <v>14</v>
      </c>
      <c r="K3027" t="s" s="12">
        <v>14</v>
      </c>
      <c r="L3027" t="s" s="12">
        <v>14</v>
      </c>
      <c r="M3027" t="s" s="10">
        <v>14</v>
      </c>
      <c r="N3027" t="s" s="11">
        <v>14</v>
      </c>
      <c r="O3027" t="s" s="8">
        <v>14</v>
      </c>
      <c r="P3027" t="s" s="8">
        <v>14</v>
      </c>
      <c r="Q3027" t="s" s="12">
        <v>14</v>
      </c>
      <c r="R3027" t="s" s="12">
        <v>14</v>
      </c>
    </row>
    <row r="3028" s="2" customFormat="1" ht="13.5" customHeight="1">
      <c r="B3028" s="13"/>
      <c r="C3028" t="s" s="9">
        <v>23</v>
      </c>
      <c r="D3028" t="s" s="8">
        <v>1049</v>
      </c>
      <c r="E3028" t="s" s="9">
        <v>1049</v>
      </c>
      <c r="F3028" t="s" s="10">
        <v>68</v>
      </c>
      <c r="G3028" t="s" s="11">
        <v>68</v>
      </c>
      <c r="H3028" t="s" s="10">
        <v>68</v>
      </c>
      <c r="I3028" t="s" s="11">
        <v>68</v>
      </c>
      <c r="J3028" t="s" s="11">
        <v>20</v>
      </c>
      <c r="K3028" s="15"/>
      <c r="L3028" t="s" s="16">
        <f>HYPERLINK("http://csr.bu.edu/ftp/asl/asllvd/demos/verify_start_end_handshape_annotations//test_auto_move//signs_mov_separ_signers/Tyler_16137.mov","MOV")</f>
        <v>21</v>
      </c>
      <c r="M3028" t="s" s="10">
        <v>37</v>
      </c>
      <c r="N3028" s="17">
        <v>1</v>
      </c>
      <c r="O3028" s="18">
        <v>3251</v>
      </c>
      <c r="P3028" s="18">
        <v>3276</v>
      </c>
      <c r="Q3028" s="15"/>
      <c r="R3028" t="s" s="16">
        <f>HYPERLINK("http://secrets.rutgers.edu:8080/data/asl-ftp/asllvd/demos/verify_start_end_handshape_annotations//test_auto_move//signs_mov_separ_signers/Tyler_16137.mov","MOV")</f>
        <v>21</v>
      </c>
    </row>
    <row r="3029" s="2" customFormat="1" ht="13.5" customHeight="1">
      <c r="B3029" s="13"/>
      <c r="C3029" t="s" s="9">
        <v>27</v>
      </c>
      <c r="D3029" t="s" s="8">
        <v>1049</v>
      </c>
      <c r="E3029" t="s" s="9">
        <v>1049</v>
      </c>
      <c r="F3029" t="s" s="10">
        <v>63</v>
      </c>
      <c r="G3029" t="s" s="11">
        <v>63</v>
      </c>
      <c r="H3029" t="s" s="10">
        <v>63</v>
      </c>
      <c r="I3029" t="s" s="11">
        <v>63</v>
      </c>
      <c r="J3029" t="s" s="11">
        <v>20</v>
      </c>
      <c r="K3029" t="s" s="16">
        <f>HYPERLINK("http://csr.bu.edu/ftp/asl/asllvd/demos/verify_start_end_handshape_annotations//test_auto_move//signs_mov/16137.mov","MOV")</f>
        <v>21</v>
      </c>
      <c r="L3029" t="s" s="16">
        <f>HYPERLINK("http://csr.bu.edu/ftp/asl/asllvd/demos/verify_start_end_handshape_annotations//test_auto_move//signs_mov_separ_signers/Naomi_16137.mov","MOV")</f>
        <v>21</v>
      </c>
      <c r="M3029" t="s" s="10">
        <v>38</v>
      </c>
      <c r="N3029" s="17">
        <v>21</v>
      </c>
      <c r="O3029" s="18">
        <v>6923</v>
      </c>
      <c r="P3029" s="18">
        <v>6967</v>
      </c>
      <c r="Q3029" t="s" s="16">
        <f>HYPERLINK("http://secrets.rutgers.edu:8080/data/asl-ftp/asllvd/demos/verify_start_end_handshape_annotations//test_auto_move//signs_mov/16137.mov","MOV")</f>
        <v>21</v>
      </c>
      <c r="R3029" t="s" s="16">
        <f>HYPERLINK("http://secrets.rutgers.edu:8080/data/asl-ftp/asllvd/demos/verify_start_end_handshape_annotations//test_auto_move//signs_mov_separ_signers/Naomi_16137.mov","MOV")</f>
        <v>21</v>
      </c>
    </row>
    <row r="3030" s="2" customFormat="1" ht="13.5" customHeight="1">
      <c r="B3030" s="13"/>
      <c r="C3030" t="s" s="9">
        <v>30</v>
      </c>
      <c r="D3030" t="s" s="8">
        <v>1049</v>
      </c>
      <c r="E3030" t="s" s="9">
        <v>1049</v>
      </c>
      <c r="F3030" t="s" s="10">
        <v>68</v>
      </c>
      <c r="G3030" t="s" s="11">
        <v>68</v>
      </c>
      <c r="H3030" t="s" s="10">
        <v>68</v>
      </c>
      <c r="I3030" t="s" s="11">
        <v>68</v>
      </c>
      <c r="J3030" t="s" s="11">
        <v>20</v>
      </c>
      <c r="K3030" s="15"/>
      <c r="L3030" t="s" s="16">
        <f>HYPERLINK("http://csr.bu.edu/ftp/asl/asllvd/demos/verify_start_end_handshape_annotations//test_auto_move//signs_mov_separ_signers/Brady_16137.mov","MOV")</f>
        <v>21</v>
      </c>
      <c r="M3030" t="s" s="10">
        <v>39</v>
      </c>
      <c r="N3030" s="17">
        <v>37</v>
      </c>
      <c r="O3030" s="18">
        <v>6232</v>
      </c>
      <c r="P3030" s="18">
        <v>6266</v>
      </c>
      <c r="Q3030" s="15"/>
      <c r="R3030" t="s" s="16">
        <f>HYPERLINK("http://secrets.rutgers.edu:8080/data/asl-ftp/asllvd/demos/verify_start_end_handshape_annotations//test_auto_move//signs_mov_separ_signers/Brady_16137.mov","MOV")</f>
        <v>21</v>
      </c>
    </row>
    <row r="3031" s="2" customFormat="1" ht="13.5" customHeight="1">
      <c r="B3031" t="s" s="8">
        <v>52</v>
      </c>
      <c r="C3031" t="s" s="9">
        <v>53</v>
      </c>
      <c r="D3031" t="s" s="8">
        <v>53</v>
      </c>
      <c r="E3031" t="s" s="9">
        <v>53</v>
      </c>
      <c r="F3031" t="s" s="10">
        <v>53</v>
      </c>
      <c r="G3031" t="s" s="11">
        <v>53</v>
      </c>
      <c r="H3031" t="s" s="10">
        <v>53</v>
      </c>
      <c r="I3031" t="s" s="11">
        <v>53</v>
      </c>
      <c r="J3031" t="s" s="11">
        <v>53</v>
      </c>
      <c r="K3031" t="s" s="12">
        <v>53</v>
      </c>
      <c r="L3031" t="s" s="12">
        <v>53</v>
      </c>
      <c r="M3031" t="s" s="10">
        <v>53</v>
      </c>
      <c r="N3031" t="s" s="11">
        <v>53</v>
      </c>
      <c r="O3031" t="s" s="8">
        <v>53</v>
      </c>
      <c r="P3031" t="s" s="8">
        <v>53</v>
      </c>
      <c r="Q3031" t="s" s="12">
        <v>53</v>
      </c>
      <c r="R3031" t="s" s="12">
        <v>53</v>
      </c>
    </row>
    <row r="3032" s="2" customFormat="1" ht="13.5" customHeight="1">
      <c r="B3032" s="13"/>
      <c r="C3032" t="s" s="9">
        <v>16</v>
      </c>
      <c r="D3032" t="s" s="8">
        <v>1049</v>
      </c>
      <c r="E3032" t="s" s="9">
        <v>1050</v>
      </c>
      <c r="F3032" t="s" s="10">
        <v>63</v>
      </c>
      <c r="G3032" t="s" s="11">
        <v>63</v>
      </c>
      <c r="H3032" t="s" s="10">
        <v>63</v>
      </c>
      <c r="I3032" t="s" s="11">
        <v>63</v>
      </c>
      <c r="J3032" t="s" s="11">
        <v>20</v>
      </c>
      <c r="K3032" t="s" s="16">
        <f>HYPERLINK("http://csr.bu.edu/ftp/asl/asllvd/demos/verify_start_end_handshape_annotations//test_auto_move//signs_mov/16145.mov","MOV")</f>
        <v>21</v>
      </c>
      <c r="L3032" t="s" s="16">
        <f>HYPERLINK("http://csr.bu.edu/ftp/asl/asllvd/demos/verify_start_end_handshape_annotations//test_auto_move//signs_mov_separ_signers/Liz_16145.mov","MOV")</f>
        <v>21</v>
      </c>
      <c r="M3032" t="s" s="10">
        <v>34</v>
      </c>
      <c r="N3032" s="17">
        <v>26</v>
      </c>
      <c r="O3032" s="18">
        <v>321</v>
      </c>
      <c r="P3032" s="18">
        <v>365</v>
      </c>
      <c r="Q3032" t="s" s="16">
        <f>HYPERLINK("http://secrets.rutgers.edu:8080/data/asl-ftp/asllvd/demos/verify_start_end_handshape_annotations//test_auto_move//signs_mov/16145.mov","MOV")</f>
        <v>21</v>
      </c>
      <c r="R3032" t="s" s="16">
        <f>HYPERLINK("http://secrets.rutgers.edu:8080/data/asl-ftp/asllvd/demos/verify_start_end_handshape_annotations//test_auto_move//signs_mov_separ_signers/Liz_16145.mov","MOV")</f>
        <v>21</v>
      </c>
    </row>
    <row r="3033" s="2" customFormat="1" ht="13.5" customHeight="1">
      <c r="B3033" t="s" s="8">
        <v>1051</v>
      </c>
      <c r="C3033" t="s" s="9">
        <v>14</v>
      </c>
      <c r="D3033" t="s" s="8">
        <v>14</v>
      </c>
      <c r="E3033" t="s" s="9">
        <v>14</v>
      </c>
      <c r="F3033" t="s" s="10">
        <v>14</v>
      </c>
      <c r="G3033" t="s" s="11">
        <v>14</v>
      </c>
      <c r="H3033" t="s" s="10">
        <v>14</v>
      </c>
      <c r="I3033" t="s" s="11">
        <v>14</v>
      </c>
      <c r="J3033" t="s" s="11">
        <v>14</v>
      </c>
      <c r="K3033" t="s" s="12">
        <v>14</v>
      </c>
      <c r="L3033" t="s" s="12">
        <v>14</v>
      </c>
      <c r="M3033" t="s" s="10">
        <v>14</v>
      </c>
      <c r="N3033" t="s" s="11">
        <v>14</v>
      </c>
      <c r="O3033" t="s" s="8">
        <v>14</v>
      </c>
      <c r="P3033" t="s" s="8">
        <v>14</v>
      </c>
      <c r="Q3033" t="s" s="12">
        <v>14</v>
      </c>
      <c r="R3033" t="s" s="12">
        <v>14</v>
      </c>
    </row>
    <row r="3034" s="2" customFormat="1" ht="13.5" customHeight="1">
      <c r="B3034" s="13"/>
      <c r="C3034" t="s" s="9">
        <v>16</v>
      </c>
      <c r="D3034" t="s" s="8">
        <v>1051</v>
      </c>
      <c r="E3034" t="s" s="9">
        <v>1051</v>
      </c>
      <c r="F3034" t="s" s="10">
        <v>55</v>
      </c>
      <c r="G3034" t="s" s="11">
        <v>55</v>
      </c>
      <c r="H3034" t="s" s="10">
        <v>55</v>
      </c>
      <c r="I3034" t="s" s="11">
        <v>55</v>
      </c>
      <c r="J3034" t="s" s="11">
        <v>20</v>
      </c>
      <c r="K3034" s="15"/>
      <c r="L3034" t="s" s="16">
        <f>HYPERLINK("http://csr.bu.edu/ftp/asl/asllvd/demos/verify_start_end_handshape_annotations//test_auto_move//signs_mov_separ_signers/Liz_16320.mov","MOV")</f>
        <v>21</v>
      </c>
      <c r="M3034" t="s" s="10">
        <v>88</v>
      </c>
      <c r="N3034" s="17">
        <v>48</v>
      </c>
      <c r="O3034" s="18">
        <v>265</v>
      </c>
      <c r="P3034" s="18">
        <v>307</v>
      </c>
      <c r="Q3034" s="15"/>
      <c r="R3034" t="s" s="16">
        <f>HYPERLINK("http://secrets.rutgers.edu:8080/data/asl-ftp/asllvd/demos/verify_start_end_handshape_annotations//test_auto_move//signs_mov_separ_signers/Liz_16320.mov","MOV")</f>
        <v>21</v>
      </c>
    </row>
    <row r="3035" s="2" customFormat="1" ht="13.5" customHeight="1">
      <c r="B3035" s="13"/>
      <c r="C3035" t="s" s="9">
        <v>30</v>
      </c>
      <c r="D3035" t="s" s="8">
        <v>1051</v>
      </c>
      <c r="E3035" t="s" s="9">
        <v>1051</v>
      </c>
      <c r="F3035" t="s" s="10">
        <v>152</v>
      </c>
      <c r="G3035" t="s" s="11">
        <v>152</v>
      </c>
      <c r="H3035" t="s" s="10">
        <v>152</v>
      </c>
      <c r="I3035" t="s" s="11">
        <v>152</v>
      </c>
      <c r="J3035" t="s" s="11">
        <v>20</v>
      </c>
      <c r="K3035" t="s" s="16">
        <f>HYPERLINK("http://csr.bu.edu/ftp/asl/asllvd/demos/verify_start_end_handshape_annotations//test_auto_move//signs_mov/16320_16321_merged.mov","MOV")</f>
        <v>21</v>
      </c>
      <c r="L3035" t="s" s="16">
        <f>HYPERLINK("http://csr.bu.edu/ftp/asl/asllvd/demos/verify_start_end_handshape_annotations//test_auto_move//signs_mov_separ_signers/Brady_16320.mov","MOV")</f>
        <v>21</v>
      </c>
      <c r="M3035" t="s" s="10">
        <v>40</v>
      </c>
      <c r="N3035" s="17">
        <v>42</v>
      </c>
      <c r="O3035" s="18">
        <v>540</v>
      </c>
      <c r="P3035" s="18">
        <v>556</v>
      </c>
      <c r="Q3035" t="s" s="16">
        <f>HYPERLINK("http://secrets.rutgers.edu:8080/data/asl-ftp/asllvd/demos/verify_start_end_handshape_annotations//test_auto_move//signs_mov/16320_16321_merged.mov","MOV")</f>
        <v>21</v>
      </c>
      <c r="R3035" t="s" s="16">
        <f>HYPERLINK("http://secrets.rutgers.edu:8080/data/asl-ftp/asllvd/demos/verify_start_end_handshape_annotations//test_auto_move//signs_mov_separ_signers/Brady_16320.mov","MOV")</f>
        <v>21</v>
      </c>
    </row>
    <row r="3036" s="2" customFormat="1" ht="13.5" customHeight="1">
      <c r="B3036" s="13"/>
      <c r="C3036" t="s" s="9">
        <v>30</v>
      </c>
      <c r="D3036" t="s" s="8">
        <v>1051</v>
      </c>
      <c r="E3036" t="s" s="9">
        <v>1051</v>
      </c>
      <c r="F3036" t="s" s="10">
        <v>55</v>
      </c>
      <c r="G3036" t="s" s="11">
        <v>55</v>
      </c>
      <c r="H3036" t="s" s="10">
        <v>55</v>
      </c>
      <c r="I3036" t="s" s="11">
        <v>55</v>
      </c>
      <c r="J3036" t="s" s="11">
        <v>20</v>
      </c>
      <c r="K3036" s="15"/>
      <c r="L3036" t="s" s="16">
        <f>HYPERLINK("http://csr.bu.edu/ftp/asl/asllvd/demos/verify_start_end_handshape_annotations//test_auto_move//signs_mov_separ_signers/Brady_16321.mov","MOV")</f>
        <v>21</v>
      </c>
      <c r="M3036" t="s" s="10">
        <v>60</v>
      </c>
      <c r="N3036" s="17">
        <v>50</v>
      </c>
      <c r="O3036" s="18">
        <v>799</v>
      </c>
      <c r="P3036" s="18">
        <v>823</v>
      </c>
      <c r="Q3036" s="15"/>
      <c r="R3036" t="s" s="16">
        <f>HYPERLINK("http://secrets.rutgers.edu:8080/data/asl-ftp/asllvd/demos/verify_start_end_handshape_annotations//test_auto_move//signs_mov_separ_signers/Brady_16321.mov","MOV")</f>
        <v>21</v>
      </c>
    </row>
    <row r="3037" s="2" customFormat="1" ht="13.5" customHeight="1">
      <c r="B3037" t="s" s="8">
        <v>1052</v>
      </c>
      <c r="C3037" t="s" s="9">
        <v>14</v>
      </c>
      <c r="D3037" t="s" s="8">
        <v>14</v>
      </c>
      <c r="E3037" t="s" s="9">
        <v>14</v>
      </c>
      <c r="F3037" t="s" s="10">
        <v>14</v>
      </c>
      <c r="G3037" t="s" s="11">
        <v>14</v>
      </c>
      <c r="H3037" t="s" s="10">
        <v>14</v>
      </c>
      <c r="I3037" t="s" s="11">
        <v>14</v>
      </c>
      <c r="J3037" t="s" s="11">
        <v>14</v>
      </c>
      <c r="K3037" t="s" s="12">
        <v>14</v>
      </c>
      <c r="L3037" t="s" s="12">
        <v>14</v>
      </c>
      <c r="M3037" t="s" s="10">
        <v>14</v>
      </c>
      <c r="N3037" t="s" s="11">
        <v>14</v>
      </c>
      <c r="O3037" t="s" s="8">
        <v>14</v>
      </c>
      <c r="P3037" t="s" s="8">
        <v>14</v>
      </c>
      <c r="Q3037" t="s" s="12">
        <v>14</v>
      </c>
      <c r="R3037" t="s" s="12">
        <v>14</v>
      </c>
    </row>
    <row r="3038" s="2" customFormat="1" ht="13.5" customHeight="1">
      <c r="B3038" s="13"/>
      <c r="C3038" t="s" s="9">
        <v>16</v>
      </c>
      <c r="D3038" t="s" s="8">
        <v>1052</v>
      </c>
      <c r="E3038" t="s" s="9">
        <v>1052</v>
      </c>
      <c r="F3038" s="19">
        <v>1</v>
      </c>
      <c r="G3038" t="s" s="11">
        <v>73</v>
      </c>
      <c r="H3038" s="19">
        <v>1</v>
      </c>
      <c r="I3038" t="s" s="11">
        <v>73</v>
      </c>
      <c r="J3038" t="s" s="11">
        <v>20</v>
      </c>
      <c r="K3038" s="15"/>
      <c r="L3038" t="s" s="16">
        <f>HYPERLINK("http://csr.bu.edu/ftp/asl/asllvd/demos/verify_start_end_handshape_annotations//test_auto_move//signs_mov_separ_signers/Liz_632.mov","MOV")</f>
        <v>21</v>
      </c>
      <c r="M3038" t="s" s="10">
        <v>84</v>
      </c>
      <c r="N3038" s="17">
        <v>14</v>
      </c>
      <c r="O3038" s="18">
        <v>742</v>
      </c>
      <c r="P3038" s="18">
        <v>765</v>
      </c>
      <c r="Q3038" s="15"/>
      <c r="R3038" t="s" s="16">
        <f>HYPERLINK("http://secrets.rutgers.edu:8080/data/asl-ftp/asllvd/demos/verify_start_end_handshape_annotations//test_auto_move//signs_mov_separ_signers/Liz_632.mov","MOV")</f>
        <v>21</v>
      </c>
    </row>
    <row r="3039" s="2" customFormat="1" ht="13.5" customHeight="1">
      <c r="B3039" s="13"/>
      <c r="C3039" t="s" s="9">
        <v>23</v>
      </c>
      <c r="D3039" t="s" s="8">
        <v>1052</v>
      </c>
      <c r="E3039" t="s" s="9">
        <v>1052</v>
      </c>
      <c r="F3039" t="s" s="10">
        <v>255</v>
      </c>
      <c r="G3039" t="s" s="11">
        <v>73</v>
      </c>
      <c r="H3039" t="s" s="10">
        <v>255</v>
      </c>
      <c r="I3039" t="s" s="11">
        <v>73</v>
      </c>
      <c r="J3039" t="s" s="11">
        <v>20</v>
      </c>
      <c r="K3039" t="s" s="16">
        <f>HYPERLINK("http://csr.bu.edu/ftp/asl/asllvd/demos/verify_start_end_handshape_annotations//test_auto_move//signs_mov/632.mov","MOV")</f>
        <v>21</v>
      </c>
      <c r="L3039" t="s" s="16">
        <f>HYPERLINK("http://csr.bu.edu/ftp/asl/asllvd/demos/verify_start_end_handshape_annotations//test_auto_move//signs_mov_separ_signers/Tyler_632.mov","MOV")</f>
        <v>21</v>
      </c>
      <c r="M3039" t="s" s="10">
        <v>125</v>
      </c>
      <c r="N3039" s="17">
        <v>14</v>
      </c>
      <c r="O3039" s="18">
        <v>530</v>
      </c>
      <c r="P3039" s="18">
        <v>555</v>
      </c>
      <c r="Q3039" t="s" s="16">
        <f>HYPERLINK("http://secrets.rutgers.edu:8080/data/asl-ftp/asllvd/demos/verify_start_end_handshape_annotations//test_auto_move//signs_mov/632.mov","MOV")</f>
        <v>21</v>
      </c>
      <c r="R3039" t="s" s="16">
        <f>HYPERLINK("http://secrets.rutgers.edu:8080/data/asl-ftp/asllvd/demos/verify_start_end_handshape_annotations//test_auto_move//signs_mov_separ_signers/Tyler_632.mov","MOV")</f>
        <v>21</v>
      </c>
    </row>
    <row r="3040" s="2" customFormat="1" ht="13.5" customHeight="1">
      <c r="B3040" s="13"/>
      <c r="C3040" t="s" s="9">
        <v>27</v>
      </c>
      <c r="D3040" t="s" s="8">
        <v>1052</v>
      </c>
      <c r="E3040" t="s" s="9">
        <v>1052</v>
      </c>
      <c r="F3040" t="s" s="10">
        <v>292</v>
      </c>
      <c r="G3040" t="s" s="11">
        <v>73</v>
      </c>
      <c r="H3040" t="s" s="10">
        <v>292</v>
      </c>
      <c r="I3040" t="s" s="11">
        <v>73</v>
      </c>
      <c r="J3040" t="s" s="11">
        <v>20</v>
      </c>
      <c r="K3040" s="15"/>
      <c r="L3040" t="s" s="16">
        <f>HYPERLINK("http://csr.bu.edu/ftp/asl/asllvd/demos/verify_start_end_handshape_annotations//test_auto_move//signs_mov_separ_signers/Naomi_632.mov","MOV")</f>
        <v>21</v>
      </c>
      <c r="M3040" t="s" s="10">
        <v>86</v>
      </c>
      <c r="N3040" s="17">
        <v>14</v>
      </c>
      <c r="O3040" s="18">
        <v>432</v>
      </c>
      <c r="P3040" s="18">
        <v>455</v>
      </c>
      <c r="Q3040" s="15"/>
      <c r="R3040" t="s" s="16">
        <f>HYPERLINK("http://secrets.rutgers.edu:8080/data/asl-ftp/asllvd/demos/verify_start_end_handshape_annotations//test_auto_move//signs_mov_separ_signers/Naomi_632.mov","MOV")</f>
        <v>21</v>
      </c>
    </row>
    <row r="3041" s="2" customFormat="1" ht="13.5" customHeight="1">
      <c r="B3041" t="s" s="8">
        <v>1053</v>
      </c>
      <c r="C3041" t="s" s="9">
        <v>14</v>
      </c>
      <c r="D3041" t="s" s="8">
        <v>14</v>
      </c>
      <c r="E3041" t="s" s="9">
        <v>14</v>
      </c>
      <c r="F3041" t="s" s="10">
        <v>14</v>
      </c>
      <c r="G3041" t="s" s="11">
        <v>14</v>
      </c>
      <c r="H3041" t="s" s="10">
        <v>14</v>
      </c>
      <c r="I3041" t="s" s="11">
        <v>14</v>
      </c>
      <c r="J3041" t="s" s="11">
        <v>14</v>
      </c>
      <c r="K3041" t="s" s="12">
        <v>14</v>
      </c>
      <c r="L3041" t="s" s="12">
        <v>14</v>
      </c>
      <c r="M3041" t="s" s="10">
        <v>14</v>
      </c>
      <c r="N3041" t="s" s="11">
        <v>14</v>
      </c>
      <c r="O3041" t="s" s="8">
        <v>14</v>
      </c>
      <c r="P3041" t="s" s="8">
        <v>14</v>
      </c>
      <c r="Q3041" t="s" s="12">
        <v>14</v>
      </c>
      <c r="R3041" t="s" s="12">
        <v>14</v>
      </c>
    </row>
    <row r="3042" s="2" customFormat="1" ht="13.5" customHeight="1">
      <c r="B3042" s="13"/>
      <c r="C3042" t="s" s="9">
        <v>16</v>
      </c>
      <c r="D3042" t="s" s="8">
        <v>1053</v>
      </c>
      <c r="E3042" t="s" s="9">
        <v>1053</v>
      </c>
      <c r="F3042" t="s" s="10">
        <v>51</v>
      </c>
      <c r="G3042" s="14"/>
      <c r="H3042" t="s" s="10">
        <v>51</v>
      </c>
      <c r="I3042" s="14"/>
      <c r="J3042" t="s" s="11">
        <v>20</v>
      </c>
      <c r="K3042" s="15"/>
      <c r="L3042" t="s" s="16">
        <f>HYPERLINK("http://csr.bu.edu/ftp/asl/asllvd/demos/verify_start_end_handshape_annotations//test_auto_move//signs_mov_separ_signers/Liz_633.mov","MOV")</f>
        <v>21</v>
      </c>
      <c r="M3042" t="s" s="10">
        <v>84</v>
      </c>
      <c r="N3042" s="17">
        <v>14</v>
      </c>
      <c r="O3042" s="18">
        <v>1145</v>
      </c>
      <c r="P3042" s="18">
        <v>1187</v>
      </c>
      <c r="Q3042" s="15"/>
      <c r="R3042" t="s" s="16">
        <f>HYPERLINK("http://secrets.rutgers.edu:8080/data/asl-ftp/asllvd/demos/verify_start_end_handshape_annotations//test_auto_move//signs_mov_separ_signers/Liz_633.mov","MOV")</f>
        <v>21</v>
      </c>
    </row>
    <row r="3043" s="2" customFormat="1" ht="13.5" customHeight="1">
      <c r="B3043" s="13"/>
      <c r="C3043" t="s" s="9">
        <v>23</v>
      </c>
      <c r="D3043" t="s" s="8">
        <v>1053</v>
      </c>
      <c r="E3043" t="s" s="9">
        <v>1053</v>
      </c>
      <c r="F3043" t="s" s="10">
        <v>51</v>
      </c>
      <c r="G3043" s="14"/>
      <c r="H3043" t="s" s="10">
        <v>51</v>
      </c>
      <c r="I3043" s="14"/>
      <c r="J3043" t="s" s="11">
        <v>20</v>
      </c>
      <c r="K3043" t="s" s="16">
        <f>HYPERLINK("http://csr.bu.edu/ftp/asl/asllvd/demos/verify_start_end_handshape_annotations//test_auto_move//signs_mov/633.mov","MOV")</f>
        <v>21</v>
      </c>
      <c r="L3043" t="s" s="16">
        <f>HYPERLINK("http://csr.bu.edu/ftp/asl/asllvd/demos/verify_start_end_handshape_annotations//test_auto_move//signs_mov_separ_signers/Tyler_633.mov","MOV")</f>
        <v>21</v>
      </c>
      <c r="M3043" t="s" s="10">
        <v>125</v>
      </c>
      <c r="N3043" s="17">
        <v>14</v>
      </c>
      <c r="O3043" s="18">
        <v>885</v>
      </c>
      <c r="P3043" s="18">
        <v>941</v>
      </c>
      <c r="Q3043" t="s" s="16">
        <f>HYPERLINK("http://secrets.rutgers.edu:8080/data/asl-ftp/asllvd/demos/verify_start_end_handshape_annotations//test_auto_move//signs_mov/633.mov","MOV")</f>
        <v>21</v>
      </c>
      <c r="R3043" t="s" s="16">
        <f>HYPERLINK("http://secrets.rutgers.edu:8080/data/asl-ftp/asllvd/demos/verify_start_end_handshape_annotations//test_auto_move//signs_mov_separ_signers/Tyler_633.mov","MOV")</f>
        <v>21</v>
      </c>
    </row>
    <row r="3044" s="2" customFormat="1" ht="13.5" customHeight="1">
      <c r="B3044" s="13"/>
      <c r="C3044" t="s" s="9">
        <v>27</v>
      </c>
      <c r="D3044" t="s" s="8">
        <v>1053</v>
      </c>
      <c r="E3044" t="s" s="9">
        <v>1053</v>
      </c>
      <c r="F3044" t="s" s="10">
        <v>51</v>
      </c>
      <c r="G3044" s="14"/>
      <c r="H3044" t="s" s="10">
        <v>51</v>
      </c>
      <c r="I3044" s="14"/>
      <c r="J3044" t="s" s="11">
        <v>20</v>
      </c>
      <c r="K3044" s="15"/>
      <c r="L3044" t="s" s="16">
        <f>HYPERLINK("http://csr.bu.edu/ftp/asl/asllvd/demos/verify_start_end_handshape_annotations//test_auto_move//signs_mov_separ_signers/Naomi_633.mov","MOV")</f>
        <v>21</v>
      </c>
      <c r="M3044" t="s" s="10">
        <v>86</v>
      </c>
      <c r="N3044" s="17">
        <v>14</v>
      </c>
      <c r="O3044" s="18">
        <v>735</v>
      </c>
      <c r="P3044" s="18">
        <v>755</v>
      </c>
      <c r="Q3044" s="15"/>
      <c r="R3044" t="s" s="16">
        <f>HYPERLINK("http://secrets.rutgers.edu:8080/data/asl-ftp/asllvd/demos/verify_start_end_handshape_annotations//test_auto_move//signs_mov_separ_signers/Naomi_633.mov","MOV")</f>
        <v>21</v>
      </c>
    </row>
    <row r="3045" s="2" customFormat="1" ht="13.5" customHeight="1">
      <c r="B3045" s="13"/>
      <c r="C3045" t="s" s="9">
        <v>30</v>
      </c>
      <c r="D3045" t="s" s="8">
        <v>1053</v>
      </c>
      <c r="E3045" t="s" s="9">
        <v>1053</v>
      </c>
      <c r="F3045" t="s" s="10">
        <v>51</v>
      </c>
      <c r="G3045" s="14"/>
      <c r="H3045" t="s" s="10">
        <v>51</v>
      </c>
      <c r="I3045" s="14"/>
      <c r="J3045" t="s" s="11">
        <v>20</v>
      </c>
      <c r="K3045" s="15"/>
      <c r="L3045" t="s" s="16">
        <f>HYPERLINK("http://csr.bu.edu/ftp/asl/asllvd/demos/verify_start_end_handshape_annotations//test_auto_move//signs_mov_separ_signers/Brady_633.mov","MOV")</f>
        <v>21</v>
      </c>
      <c r="M3045" t="s" s="10">
        <v>31</v>
      </c>
      <c r="N3045" s="17">
        <v>32</v>
      </c>
      <c r="O3045" s="18">
        <v>14887</v>
      </c>
      <c r="P3045" s="18">
        <v>14919</v>
      </c>
      <c r="Q3045" s="15"/>
      <c r="R3045" t="s" s="16">
        <f>HYPERLINK("http://secrets.rutgers.edu:8080/data/asl-ftp/asllvd/demos/verify_start_end_handshape_annotations//test_auto_move//signs_mov_separ_signers/Brady_633.mov","MOV")</f>
        <v>21</v>
      </c>
    </row>
    <row r="3046" s="2" customFormat="1" ht="13.5" customHeight="1">
      <c r="B3046" t="s" s="8">
        <v>1054</v>
      </c>
      <c r="C3046" t="s" s="9">
        <v>14</v>
      </c>
      <c r="D3046" t="s" s="8">
        <v>14</v>
      </c>
      <c r="E3046" t="s" s="9">
        <v>14</v>
      </c>
      <c r="F3046" t="s" s="10">
        <v>14</v>
      </c>
      <c r="G3046" t="s" s="11">
        <v>14</v>
      </c>
      <c r="H3046" t="s" s="10">
        <v>14</v>
      </c>
      <c r="I3046" t="s" s="11">
        <v>14</v>
      </c>
      <c r="J3046" t="s" s="11">
        <v>14</v>
      </c>
      <c r="K3046" t="s" s="12">
        <v>14</v>
      </c>
      <c r="L3046" t="s" s="12">
        <v>14</v>
      </c>
      <c r="M3046" t="s" s="10">
        <v>14</v>
      </c>
      <c r="N3046" t="s" s="11">
        <v>14</v>
      </c>
      <c r="O3046" t="s" s="8">
        <v>14</v>
      </c>
      <c r="P3046" t="s" s="8">
        <v>14</v>
      </c>
      <c r="Q3046" t="s" s="12">
        <v>14</v>
      </c>
      <c r="R3046" t="s" s="12">
        <v>14</v>
      </c>
    </row>
    <row r="3047" s="2" customFormat="1" ht="13.5" customHeight="1">
      <c r="B3047" s="13"/>
      <c r="C3047" t="s" s="9">
        <v>16</v>
      </c>
      <c r="D3047" t="s" s="8">
        <v>1054</v>
      </c>
      <c r="E3047" t="s" s="9">
        <v>1054</v>
      </c>
      <c r="F3047" t="s" s="10">
        <v>251</v>
      </c>
      <c r="G3047" s="14"/>
      <c r="H3047" t="s" s="10">
        <v>251</v>
      </c>
      <c r="I3047" s="14"/>
      <c r="J3047" t="s" s="11">
        <v>20</v>
      </c>
      <c r="K3047" t="s" s="16">
        <f>HYPERLINK("http://csr.bu.edu/ftp/asl/asllvd/demos/verify_start_end_handshape_annotations//test_auto_move//signs_mov/15550.mov","MOV")</f>
        <v>21</v>
      </c>
      <c r="L3047" t="s" s="16">
        <f>HYPERLINK("http://csr.bu.edu/ftp/asl/asllvd/demos/verify_start_end_handshape_annotations//test_auto_move//signs_mov_separ_signers/Liz_15550.mov","MOV")</f>
        <v>21</v>
      </c>
      <c r="M3047" t="s" s="10">
        <v>36</v>
      </c>
      <c r="N3047" s="17">
        <v>12</v>
      </c>
      <c r="O3047" s="18">
        <v>175</v>
      </c>
      <c r="P3047" s="18">
        <v>225</v>
      </c>
      <c r="Q3047" t="s" s="16">
        <f>HYPERLINK("http://secrets.rutgers.edu:8080/data/asl-ftp/asllvd/demos/verify_start_end_handshape_annotations//test_auto_move//signs_mov/15550.mov","MOV")</f>
        <v>21</v>
      </c>
      <c r="R3047" t="s" s="16">
        <f>HYPERLINK("http://secrets.rutgers.edu:8080/data/asl-ftp/asllvd/demos/verify_start_end_handshape_annotations//test_auto_move//signs_mov_separ_signers/Liz_15550.mov","MOV")</f>
        <v>21</v>
      </c>
    </row>
    <row r="3048" s="2" customFormat="1" ht="13.5" customHeight="1">
      <c r="B3048" s="13"/>
      <c r="C3048" t="s" s="9">
        <v>30</v>
      </c>
      <c r="D3048" t="s" s="8">
        <v>1054</v>
      </c>
      <c r="E3048" t="s" s="9">
        <v>1054</v>
      </c>
      <c r="F3048" t="s" s="10">
        <v>251</v>
      </c>
      <c r="G3048" s="14"/>
      <c r="H3048" t="s" s="10">
        <v>251</v>
      </c>
      <c r="I3048" s="14"/>
      <c r="J3048" t="s" s="11">
        <v>20</v>
      </c>
      <c r="K3048" s="15"/>
      <c r="L3048" t="s" s="16">
        <f>HYPERLINK("http://csr.bu.edu/ftp/asl/asllvd/demos/verify_start_end_handshape_annotations//test_auto_move//signs_mov_separ_signers/Brady_15550.mov","MOV")</f>
        <v>21</v>
      </c>
      <c r="M3048" t="s" s="10">
        <v>40</v>
      </c>
      <c r="N3048" s="17">
        <v>56</v>
      </c>
      <c r="O3048" s="18">
        <v>3683</v>
      </c>
      <c r="P3048" s="18">
        <v>3717</v>
      </c>
      <c r="Q3048" s="15"/>
      <c r="R3048" t="s" s="16">
        <f>HYPERLINK("http://secrets.rutgers.edu:8080/data/asl-ftp/asllvd/demos/verify_start_end_handshape_annotations//test_auto_move//signs_mov_separ_signers/Brady_15550.mov","MOV")</f>
        <v>21</v>
      </c>
    </row>
    <row r="3049" s="2" customFormat="1" ht="13.5" customHeight="1">
      <c r="B3049" t="s" s="8">
        <v>1055</v>
      </c>
      <c r="C3049" t="s" s="9">
        <v>14</v>
      </c>
      <c r="D3049" t="s" s="8">
        <v>14</v>
      </c>
      <c r="E3049" t="s" s="9">
        <v>14</v>
      </c>
      <c r="F3049" t="s" s="10">
        <v>14</v>
      </c>
      <c r="G3049" t="s" s="11">
        <v>14</v>
      </c>
      <c r="H3049" t="s" s="10">
        <v>14</v>
      </c>
      <c r="I3049" t="s" s="11">
        <v>14</v>
      </c>
      <c r="J3049" t="s" s="11">
        <v>14</v>
      </c>
      <c r="K3049" t="s" s="12">
        <v>14</v>
      </c>
      <c r="L3049" t="s" s="12">
        <v>14</v>
      </c>
      <c r="M3049" t="s" s="10">
        <v>14</v>
      </c>
      <c r="N3049" t="s" s="11">
        <v>14</v>
      </c>
      <c r="O3049" t="s" s="8">
        <v>14</v>
      </c>
      <c r="P3049" t="s" s="8">
        <v>14</v>
      </c>
      <c r="Q3049" t="s" s="12">
        <v>14</v>
      </c>
      <c r="R3049" t="s" s="12">
        <v>14</v>
      </c>
    </row>
    <row r="3050" s="2" customFormat="1" ht="13.5" customHeight="1">
      <c r="B3050" s="13"/>
      <c r="C3050" t="s" s="9">
        <v>16</v>
      </c>
      <c r="D3050" t="s" s="8">
        <v>1055</v>
      </c>
      <c r="E3050" t="s" s="9">
        <v>1056</v>
      </c>
      <c r="F3050" s="19">
        <v>1</v>
      </c>
      <c r="G3050" t="s" s="11">
        <v>73</v>
      </c>
      <c r="H3050" s="19">
        <v>1</v>
      </c>
      <c r="I3050" t="s" s="11">
        <v>73</v>
      </c>
      <c r="J3050" t="s" s="11">
        <v>20</v>
      </c>
      <c r="K3050" s="15"/>
      <c r="L3050" t="s" s="16">
        <f>HYPERLINK("http://csr.bu.edu/ftp/asl/asllvd/demos/verify_start_end_handshape_annotations//test_auto_move//signs_mov_separ_signers/Liz_634.mov","MOV")</f>
        <v>21</v>
      </c>
      <c r="M3050" t="s" s="10">
        <v>84</v>
      </c>
      <c r="N3050" s="17">
        <v>14</v>
      </c>
      <c r="O3050" s="18">
        <v>1395</v>
      </c>
      <c r="P3050" s="18">
        <v>1430</v>
      </c>
      <c r="Q3050" s="15"/>
      <c r="R3050" t="s" s="16">
        <f>HYPERLINK("http://secrets.rutgers.edu:8080/data/asl-ftp/asllvd/demos/verify_start_end_handshape_annotations//test_auto_move//signs_mov_separ_signers/Liz_634.mov","MOV")</f>
        <v>21</v>
      </c>
    </row>
    <row r="3051" s="2" customFormat="1" ht="13.5" customHeight="1">
      <c r="B3051" s="13"/>
      <c r="C3051" t="s" s="9">
        <v>23</v>
      </c>
      <c r="D3051" t="s" s="8">
        <v>1055</v>
      </c>
      <c r="E3051" t="s" s="9">
        <v>1057</v>
      </c>
      <c r="F3051" s="19">
        <v>1</v>
      </c>
      <c r="G3051" t="s" s="11">
        <v>73</v>
      </c>
      <c r="H3051" s="19">
        <v>1</v>
      </c>
      <c r="I3051" t="s" s="11">
        <v>73</v>
      </c>
      <c r="J3051" t="s" s="11">
        <v>20</v>
      </c>
      <c r="K3051" s="15"/>
      <c r="L3051" t="s" s="16">
        <f>HYPERLINK("http://csr.bu.edu/ftp/asl/asllvd/demos/verify_start_end_handshape_annotations//test_auto_move//signs_mov_separ_signers/Tyler_634.mov","MOV")</f>
        <v>21</v>
      </c>
      <c r="M3051" t="s" s="10">
        <v>125</v>
      </c>
      <c r="N3051" s="17">
        <v>14</v>
      </c>
      <c r="O3051" s="18">
        <v>1135</v>
      </c>
      <c r="P3051" s="18">
        <v>1171</v>
      </c>
      <c r="Q3051" s="15"/>
      <c r="R3051" t="s" s="16">
        <f>HYPERLINK("http://secrets.rutgers.edu:8080/data/asl-ftp/asllvd/demos/verify_start_end_handshape_annotations//test_auto_move//signs_mov_separ_signers/Tyler_634.mov","MOV")</f>
        <v>21</v>
      </c>
    </row>
    <row r="3052" s="2" customFormat="1" ht="13.5" customHeight="1">
      <c r="B3052" s="13"/>
      <c r="C3052" t="s" s="9">
        <v>23</v>
      </c>
      <c r="D3052" t="s" s="8">
        <v>1055</v>
      </c>
      <c r="E3052" t="s" s="9">
        <v>1058</v>
      </c>
      <c r="F3052" s="19">
        <v>1</v>
      </c>
      <c r="G3052" t="s" s="11">
        <v>73</v>
      </c>
      <c r="H3052" s="19">
        <v>1</v>
      </c>
      <c r="I3052" t="s" s="11">
        <v>73</v>
      </c>
      <c r="J3052" t="s" s="11">
        <v>20</v>
      </c>
      <c r="K3052" t="s" s="16">
        <f>HYPERLINK("http://csr.bu.edu/ftp/asl/asllvd/demos/verify_start_end_handshape_annotations//test_auto_move//signs_mov/634_3378_merged.mov","MOV")</f>
        <v>21</v>
      </c>
      <c r="L3052" t="s" s="16">
        <f>HYPERLINK("http://csr.bu.edu/ftp/asl/asllvd/demos/verify_start_end_handshape_annotations//test_auto_move//signs_mov_separ_signers/Tyler_3378.mov","MOV")</f>
        <v>21</v>
      </c>
      <c r="M3052" t="s" s="10">
        <v>47</v>
      </c>
      <c r="N3052" s="17">
        <v>17</v>
      </c>
      <c r="O3052" s="18">
        <v>2382</v>
      </c>
      <c r="P3052" s="18">
        <v>2420</v>
      </c>
      <c r="Q3052" t="s" s="16">
        <f>HYPERLINK("http://secrets.rutgers.edu:8080/data/asl-ftp/asllvd/demos/verify_start_end_handshape_annotations//test_auto_move//signs_mov/634_3378_merged.mov","MOV")</f>
        <v>21</v>
      </c>
      <c r="R3052" t="s" s="16">
        <f>HYPERLINK("http://secrets.rutgers.edu:8080/data/asl-ftp/asllvd/demos/verify_start_end_handshape_annotations//test_auto_move//signs_mov_separ_signers/Tyler_3378.mov","MOV")</f>
        <v>21</v>
      </c>
    </row>
    <row r="3053" s="2" customFormat="1" ht="13.5" customHeight="1">
      <c r="B3053" s="13"/>
      <c r="C3053" t="s" s="9">
        <v>27</v>
      </c>
      <c r="D3053" t="s" s="8">
        <v>1055</v>
      </c>
      <c r="E3053" t="s" s="9">
        <v>1056</v>
      </c>
      <c r="F3053" s="19">
        <v>1</v>
      </c>
      <c r="G3053" s="17">
        <v>5</v>
      </c>
      <c r="H3053" s="19">
        <v>1</v>
      </c>
      <c r="I3053" s="17">
        <v>5</v>
      </c>
      <c r="J3053" t="s" s="11">
        <v>20</v>
      </c>
      <c r="K3053" s="15"/>
      <c r="L3053" t="s" s="16">
        <f>HYPERLINK("http://csr.bu.edu/ftp/asl/asllvd/demos/verify_start_end_handshape_annotations//test_auto_move//signs_mov_separ_signers/Naomi_634.mov","MOV")</f>
        <v>21</v>
      </c>
      <c r="M3053" t="s" s="10">
        <v>86</v>
      </c>
      <c r="N3053" s="17">
        <v>14</v>
      </c>
      <c r="O3053" s="18">
        <v>1115</v>
      </c>
      <c r="P3053" s="18">
        <v>1140</v>
      </c>
      <c r="Q3053" s="15"/>
      <c r="R3053" t="s" s="16">
        <f>HYPERLINK("http://secrets.rutgers.edu:8080/data/asl-ftp/asllvd/demos/verify_start_end_handshape_annotations//test_auto_move//signs_mov_separ_signers/Naomi_634.mov","MOV")</f>
        <v>21</v>
      </c>
    </row>
    <row r="3054" s="2" customFormat="1" ht="13.5" customHeight="1">
      <c r="B3054" s="13"/>
      <c r="C3054" t="s" s="9">
        <v>30</v>
      </c>
      <c r="D3054" t="s" s="8">
        <v>1055</v>
      </c>
      <c r="E3054" t="s" s="9">
        <v>1057</v>
      </c>
      <c r="F3054" s="19">
        <v>1</v>
      </c>
      <c r="G3054" t="s" s="11">
        <v>73</v>
      </c>
      <c r="H3054" s="19">
        <v>1</v>
      </c>
      <c r="I3054" t="s" s="11">
        <v>73</v>
      </c>
      <c r="J3054" t="s" s="11">
        <v>20</v>
      </c>
      <c r="K3054" s="15"/>
      <c r="L3054" t="s" s="16">
        <f>HYPERLINK("http://csr.bu.edu/ftp/asl/asllvd/demos/verify_start_end_handshape_annotations//test_auto_move//signs_mov_separ_signers/Brady_634.mov","MOV")</f>
        <v>21</v>
      </c>
      <c r="M3054" t="s" s="10">
        <v>31</v>
      </c>
      <c r="N3054" s="17">
        <v>32</v>
      </c>
      <c r="O3054" s="18">
        <v>15127</v>
      </c>
      <c r="P3054" s="18">
        <v>15156</v>
      </c>
      <c r="Q3054" s="15"/>
      <c r="R3054" t="s" s="16">
        <f>HYPERLINK("http://secrets.rutgers.edu:8080/data/asl-ftp/asllvd/demos/verify_start_end_handshape_annotations//test_auto_move//signs_mov_separ_signers/Brady_634.mov","MOV")</f>
        <v>21</v>
      </c>
    </row>
    <row r="3055" s="2" customFormat="1" ht="13.5" customHeight="1">
      <c r="B3055" s="13"/>
      <c r="C3055" t="s" s="9">
        <v>30</v>
      </c>
      <c r="D3055" t="s" s="8">
        <v>1055</v>
      </c>
      <c r="E3055" t="s" s="9">
        <v>1055</v>
      </c>
      <c r="F3055" s="19">
        <v>1</v>
      </c>
      <c r="G3055" t="s" s="11">
        <v>73</v>
      </c>
      <c r="H3055" s="19">
        <v>1</v>
      </c>
      <c r="I3055" t="s" s="11">
        <v>73</v>
      </c>
      <c r="J3055" t="s" s="11">
        <v>20</v>
      </c>
      <c r="K3055" s="15"/>
      <c r="L3055" t="s" s="16">
        <f>HYPERLINK("http://csr.bu.edu/ftp/asl/asllvd/demos/verify_start_end_handshape_annotations//test_auto_move//signs_mov_separ_signers/Brady_3378.mov","MOV")</f>
        <v>21</v>
      </c>
      <c r="M3055" t="s" s="10">
        <v>40</v>
      </c>
      <c r="N3055" s="17">
        <v>56</v>
      </c>
      <c r="O3055" s="18">
        <v>1429</v>
      </c>
      <c r="P3055" s="18">
        <v>1447</v>
      </c>
      <c r="Q3055" s="15"/>
      <c r="R3055" t="s" s="16">
        <f>HYPERLINK("http://secrets.rutgers.edu:8080/data/asl-ftp/asllvd/demos/verify_start_end_handshape_annotations//test_auto_move//signs_mov_separ_signers/Brady_3378.mov","MOV")</f>
        <v>21</v>
      </c>
    </row>
    <row r="3056" s="2" customFormat="1" ht="13.5" customHeight="1">
      <c r="B3056" t="s" s="8">
        <v>52</v>
      </c>
      <c r="C3056" t="s" s="9">
        <v>53</v>
      </c>
      <c r="D3056" t="s" s="8">
        <v>53</v>
      </c>
      <c r="E3056" t="s" s="9">
        <v>53</v>
      </c>
      <c r="F3056" t="s" s="10">
        <v>53</v>
      </c>
      <c r="G3056" t="s" s="11">
        <v>53</v>
      </c>
      <c r="H3056" t="s" s="10">
        <v>53</v>
      </c>
      <c r="I3056" t="s" s="11">
        <v>53</v>
      </c>
      <c r="J3056" t="s" s="11">
        <v>53</v>
      </c>
      <c r="K3056" t="s" s="12">
        <v>53</v>
      </c>
      <c r="L3056" t="s" s="12">
        <v>53</v>
      </c>
      <c r="M3056" t="s" s="10">
        <v>53</v>
      </c>
      <c r="N3056" t="s" s="11">
        <v>53</v>
      </c>
      <c r="O3056" t="s" s="8">
        <v>53</v>
      </c>
      <c r="P3056" t="s" s="8">
        <v>53</v>
      </c>
      <c r="Q3056" t="s" s="12">
        <v>53</v>
      </c>
      <c r="R3056" t="s" s="12">
        <v>53</v>
      </c>
    </row>
    <row r="3057" s="2" customFormat="1" ht="13.5" customHeight="1">
      <c r="B3057" s="13"/>
      <c r="C3057" t="s" s="9">
        <v>30</v>
      </c>
      <c r="D3057" t="s" s="8">
        <v>1055</v>
      </c>
      <c r="E3057" t="s" s="9">
        <v>1059</v>
      </c>
      <c r="F3057" s="19">
        <v>1</v>
      </c>
      <c r="G3057" t="s" s="11">
        <v>73</v>
      </c>
      <c r="H3057" s="19">
        <v>1</v>
      </c>
      <c r="I3057" t="s" s="11">
        <v>73</v>
      </c>
      <c r="J3057" t="s" s="11">
        <v>20</v>
      </c>
      <c r="K3057" t="s" s="16">
        <f>HYPERLINK("http://csr.bu.edu/ftp/asl/asllvd/demos/verify_start_end_handshape_annotations//test_auto_move//signs_mov/3478.mov","MOV")</f>
        <v>21</v>
      </c>
      <c r="L3057" t="s" s="16">
        <f>HYPERLINK("http://csr.bu.edu/ftp/asl/asllvd/demos/verify_start_end_handshape_annotations//test_auto_move//signs_mov_separ_signers/Brady_3478.mov","MOV")</f>
        <v>21</v>
      </c>
      <c r="M3057" t="s" s="10">
        <v>31</v>
      </c>
      <c r="N3057" s="17">
        <v>32</v>
      </c>
      <c r="O3057" s="18">
        <v>14634</v>
      </c>
      <c r="P3057" s="18">
        <v>14657</v>
      </c>
      <c r="Q3057" t="s" s="16">
        <f>HYPERLINK("http://secrets.rutgers.edu:8080/data/asl-ftp/asllvd/demos/verify_start_end_handshape_annotations//test_auto_move//signs_mov/3478.mov","MOV")</f>
        <v>21</v>
      </c>
      <c r="R3057" t="s" s="16">
        <f>HYPERLINK("http://secrets.rutgers.edu:8080/data/asl-ftp/asllvd/demos/verify_start_end_handshape_annotations//test_auto_move//signs_mov_separ_signers/Brady_3478.mov","MOV")</f>
        <v>21</v>
      </c>
    </row>
    <row r="3058" s="2" customFormat="1" ht="13.5" customHeight="1">
      <c r="B3058" t="s" s="8">
        <v>52</v>
      </c>
      <c r="C3058" t="s" s="9">
        <v>53</v>
      </c>
      <c r="D3058" t="s" s="8">
        <v>53</v>
      </c>
      <c r="E3058" t="s" s="9">
        <v>53</v>
      </c>
      <c r="F3058" t="s" s="10">
        <v>53</v>
      </c>
      <c r="G3058" t="s" s="11">
        <v>53</v>
      </c>
      <c r="H3058" t="s" s="10">
        <v>53</v>
      </c>
      <c r="I3058" t="s" s="11">
        <v>53</v>
      </c>
      <c r="J3058" t="s" s="11">
        <v>53</v>
      </c>
      <c r="K3058" t="s" s="12">
        <v>53</v>
      </c>
      <c r="L3058" t="s" s="12">
        <v>53</v>
      </c>
      <c r="M3058" t="s" s="10">
        <v>53</v>
      </c>
      <c r="N3058" t="s" s="11">
        <v>53</v>
      </c>
      <c r="O3058" t="s" s="8">
        <v>53</v>
      </c>
      <c r="P3058" t="s" s="8">
        <v>53</v>
      </c>
      <c r="Q3058" t="s" s="12">
        <v>53</v>
      </c>
      <c r="R3058" t="s" s="12">
        <v>53</v>
      </c>
    </row>
    <row r="3059" s="2" customFormat="1" ht="13.5" customHeight="1">
      <c r="B3059" s="13"/>
      <c r="C3059" t="s" s="9">
        <v>16</v>
      </c>
      <c r="D3059" t="s" s="8">
        <v>1055</v>
      </c>
      <c r="E3059" t="s" s="9">
        <v>1060</v>
      </c>
      <c r="F3059" s="19">
        <v>1</v>
      </c>
      <c r="G3059" t="s" s="11">
        <v>73</v>
      </c>
      <c r="H3059" s="19">
        <v>1</v>
      </c>
      <c r="I3059" t="s" s="11">
        <v>73</v>
      </c>
      <c r="J3059" t="s" s="11">
        <v>20</v>
      </c>
      <c r="K3059" s="15"/>
      <c r="L3059" t="s" s="16">
        <f>HYPERLINK("http://csr.bu.edu/ftp/asl/asllvd/demos/verify_start_end_handshape_annotations//test_auto_move//signs_mov_separ_signers/Liz_3543.mov","MOV")</f>
        <v>21</v>
      </c>
      <c r="M3059" t="s" s="10">
        <v>36</v>
      </c>
      <c r="N3059" s="17">
        <v>11</v>
      </c>
      <c r="O3059" s="18">
        <v>1820</v>
      </c>
      <c r="P3059" s="18">
        <v>1859</v>
      </c>
      <c r="Q3059" s="15"/>
      <c r="R3059" t="s" s="16">
        <f>HYPERLINK("http://secrets.rutgers.edu:8080/data/asl-ftp/asllvd/demos/verify_start_end_handshape_annotations//test_auto_move//signs_mov_separ_signers/Liz_3543.mov","MOV")</f>
        <v>21</v>
      </c>
    </row>
    <row r="3060" s="2" customFormat="1" ht="13.5" customHeight="1">
      <c r="B3060" s="13"/>
      <c r="C3060" t="s" s="9">
        <v>16</v>
      </c>
      <c r="D3060" t="s" s="8">
        <v>1055</v>
      </c>
      <c r="E3060" t="s" s="9">
        <v>1060</v>
      </c>
      <c r="F3060" s="19">
        <v>1</v>
      </c>
      <c r="G3060" t="s" s="11">
        <v>73</v>
      </c>
      <c r="H3060" s="19">
        <v>1</v>
      </c>
      <c r="I3060" t="s" s="11">
        <v>73</v>
      </c>
      <c r="J3060" t="s" s="11">
        <v>20</v>
      </c>
      <c r="K3060" t="s" s="16">
        <f>HYPERLINK("http://csr.bu.edu/ftp/asl/asllvd/demos/verify_start_end_handshape_annotations//test_auto_move//signs_mov/3543_3757_merged.mov","MOV")</f>
        <v>21</v>
      </c>
      <c r="L3060" t="s" s="16">
        <f>HYPERLINK("http://csr.bu.edu/ftp/asl/asllvd/demos/verify_start_end_handshape_annotations//test_auto_move//signs_mov_separ_signers/Liz_3757.mov","MOV")</f>
        <v>21</v>
      </c>
      <c r="M3060" t="s" s="10">
        <v>36</v>
      </c>
      <c r="N3060" s="17">
        <v>30</v>
      </c>
      <c r="O3060" s="18">
        <v>2112</v>
      </c>
      <c r="P3060" s="18">
        <v>2152</v>
      </c>
      <c r="Q3060" t="s" s="16">
        <f>HYPERLINK("http://secrets.rutgers.edu:8080/data/asl-ftp/asllvd/demos/verify_start_end_handshape_annotations//test_auto_move//signs_mov/3543_3757_merged.mov","MOV")</f>
        <v>21</v>
      </c>
      <c r="R3060" t="s" s="16">
        <f>HYPERLINK("http://secrets.rutgers.edu:8080/data/asl-ftp/asllvd/demos/verify_start_end_handshape_annotations//test_auto_move//signs_mov_separ_signers/Liz_3757.mov","MOV")</f>
        <v>21</v>
      </c>
    </row>
    <row r="3061" s="2" customFormat="1" ht="13.5" customHeight="1">
      <c r="B3061" s="13"/>
      <c r="C3061" t="s" s="9">
        <v>30</v>
      </c>
      <c r="D3061" t="s" s="8">
        <v>1055</v>
      </c>
      <c r="E3061" t="s" s="9">
        <v>1060</v>
      </c>
      <c r="F3061" s="19">
        <v>1</v>
      </c>
      <c r="G3061" t="s" s="11">
        <v>73</v>
      </c>
      <c r="H3061" s="19">
        <v>1</v>
      </c>
      <c r="I3061" t="s" s="11">
        <v>73</v>
      </c>
      <c r="J3061" t="s" s="11">
        <v>20</v>
      </c>
      <c r="K3061" s="15"/>
      <c r="L3061" t="s" s="16">
        <f>HYPERLINK("http://csr.bu.edu/ftp/asl/asllvd/demos/verify_start_end_handshape_annotations//test_auto_move//signs_mov_separ_signers/Brady_3543.mov","MOV")</f>
        <v>21</v>
      </c>
      <c r="M3061" t="s" s="10">
        <v>40</v>
      </c>
      <c r="N3061" s="17">
        <v>81</v>
      </c>
      <c r="O3061" s="18">
        <v>2460</v>
      </c>
      <c r="P3061" s="18">
        <v>2480</v>
      </c>
      <c r="Q3061" s="15"/>
      <c r="R3061" t="s" s="16">
        <f>HYPERLINK("http://secrets.rutgers.edu:8080/data/asl-ftp/asllvd/demos/verify_start_end_handshape_annotations//test_auto_move//signs_mov_separ_signers/Brady_3543.mov","MOV")</f>
        <v>21</v>
      </c>
    </row>
    <row r="3062" s="2" customFormat="1" ht="13.5" customHeight="1">
      <c r="B3062" s="13"/>
      <c r="C3062" t="s" s="9">
        <v>30</v>
      </c>
      <c r="D3062" t="s" s="8">
        <v>1055</v>
      </c>
      <c r="E3062" t="s" s="9">
        <v>1060</v>
      </c>
      <c r="F3062" s="19">
        <v>1</v>
      </c>
      <c r="G3062" t="s" s="11">
        <v>73</v>
      </c>
      <c r="H3062" s="19">
        <v>1</v>
      </c>
      <c r="I3062" t="s" s="11">
        <v>73</v>
      </c>
      <c r="J3062" t="s" s="11">
        <v>20</v>
      </c>
      <c r="K3062" s="15"/>
      <c r="L3062" t="s" s="16">
        <f>HYPERLINK("http://csr.bu.edu/ftp/asl/asllvd/demos/verify_start_end_handshape_annotations//test_auto_move//signs_mov_separ_signers/Brady_3757.mov","MOV")</f>
        <v>21</v>
      </c>
      <c r="M3062" t="s" s="10">
        <v>60</v>
      </c>
      <c r="N3062" s="17">
        <v>51</v>
      </c>
      <c r="O3062" s="18">
        <v>500</v>
      </c>
      <c r="P3062" s="18">
        <v>520</v>
      </c>
      <c r="Q3062" s="15"/>
      <c r="R3062" t="s" s="16">
        <f>HYPERLINK("http://secrets.rutgers.edu:8080/data/asl-ftp/asllvd/demos/verify_start_end_handshape_annotations//test_auto_move//signs_mov_separ_signers/Brady_3757.mov","MOV")</f>
        <v>21</v>
      </c>
    </row>
    <row r="3063" s="2" customFormat="1" ht="13.5" customHeight="1">
      <c r="B3063" t="s" s="8">
        <v>52</v>
      </c>
      <c r="C3063" t="s" s="9">
        <v>53</v>
      </c>
      <c r="D3063" t="s" s="8">
        <v>53</v>
      </c>
      <c r="E3063" t="s" s="9">
        <v>53</v>
      </c>
      <c r="F3063" t="s" s="10">
        <v>53</v>
      </c>
      <c r="G3063" t="s" s="11">
        <v>53</v>
      </c>
      <c r="H3063" t="s" s="10">
        <v>53</v>
      </c>
      <c r="I3063" t="s" s="11">
        <v>53</v>
      </c>
      <c r="J3063" t="s" s="11">
        <v>53</v>
      </c>
      <c r="K3063" t="s" s="12">
        <v>53</v>
      </c>
      <c r="L3063" t="s" s="12">
        <v>53</v>
      </c>
      <c r="M3063" t="s" s="10">
        <v>53</v>
      </c>
      <c r="N3063" t="s" s="11">
        <v>53</v>
      </c>
      <c r="O3063" t="s" s="8">
        <v>53</v>
      </c>
      <c r="P3063" t="s" s="8">
        <v>53</v>
      </c>
      <c r="Q3063" t="s" s="12">
        <v>53</v>
      </c>
      <c r="R3063" t="s" s="12">
        <v>53</v>
      </c>
    </row>
    <row r="3064" s="2" customFormat="1" ht="13.5" customHeight="1">
      <c r="B3064" s="13"/>
      <c r="C3064" t="s" s="9">
        <v>16</v>
      </c>
      <c r="D3064" t="s" s="8">
        <v>1055</v>
      </c>
      <c r="E3064" t="s" s="9">
        <v>1061</v>
      </c>
      <c r="F3064" t="s" s="10">
        <v>757</v>
      </c>
      <c r="G3064" t="s" s="11">
        <v>73</v>
      </c>
      <c r="H3064" t="s" s="10">
        <v>757</v>
      </c>
      <c r="I3064" t="s" s="11">
        <v>73</v>
      </c>
      <c r="J3064" t="s" s="11">
        <v>20</v>
      </c>
      <c r="K3064" t="s" s="16">
        <f>HYPERLINK("http://csr.bu.edu/ftp/asl/asllvd/demos/verify_start_end_handshape_annotations//test_auto_move//signs_mov/5955.mov","MOV")</f>
        <v>21</v>
      </c>
      <c r="L3064" t="s" s="16">
        <f>HYPERLINK("http://csr.bu.edu/ftp/asl/asllvd/demos/verify_start_end_handshape_annotations//test_auto_move//signs_mov_separ_signers/Liz_5955.mov","MOV")</f>
        <v>21</v>
      </c>
      <c r="M3064" t="s" s="10">
        <v>88</v>
      </c>
      <c r="N3064" s="17">
        <v>7</v>
      </c>
      <c r="O3064" s="18">
        <v>3455</v>
      </c>
      <c r="P3064" s="18">
        <v>3505</v>
      </c>
      <c r="Q3064" t="s" s="16">
        <f>HYPERLINK("http://secrets.rutgers.edu:8080/data/asl-ftp/asllvd/demos/verify_start_end_handshape_annotations//test_auto_move//signs_mov/5955.mov","MOV")</f>
        <v>21</v>
      </c>
      <c r="R3064" t="s" s="16">
        <f>HYPERLINK("http://secrets.rutgers.edu:8080/data/asl-ftp/asllvd/demos/verify_start_end_handshape_annotations//test_auto_move//signs_mov_separ_signers/Liz_5955.mov","MOV")</f>
        <v>21</v>
      </c>
    </row>
    <row r="3065" s="2" customFormat="1" ht="13.5" customHeight="1">
      <c r="B3065" t="s" s="8">
        <v>52</v>
      </c>
      <c r="C3065" t="s" s="9">
        <v>53</v>
      </c>
      <c r="D3065" t="s" s="8">
        <v>53</v>
      </c>
      <c r="E3065" t="s" s="9">
        <v>53</v>
      </c>
      <c r="F3065" t="s" s="10">
        <v>53</v>
      </c>
      <c r="G3065" t="s" s="11">
        <v>53</v>
      </c>
      <c r="H3065" t="s" s="10">
        <v>53</v>
      </c>
      <c r="I3065" t="s" s="11">
        <v>53</v>
      </c>
      <c r="J3065" t="s" s="11">
        <v>53</v>
      </c>
      <c r="K3065" t="s" s="12">
        <v>53</v>
      </c>
      <c r="L3065" t="s" s="12">
        <v>53</v>
      </c>
      <c r="M3065" t="s" s="10">
        <v>53</v>
      </c>
      <c r="N3065" t="s" s="11">
        <v>53</v>
      </c>
      <c r="O3065" t="s" s="8">
        <v>53</v>
      </c>
      <c r="P3065" t="s" s="8">
        <v>53</v>
      </c>
      <c r="Q3065" t="s" s="12">
        <v>53</v>
      </c>
      <c r="R3065" t="s" s="12">
        <v>53</v>
      </c>
    </row>
    <row r="3066" s="2" customFormat="1" ht="13.5" customHeight="1">
      <c r="B3066" s="13"/>
      <c r="C3066" t="s" s="9">
        <v>16</v>
      </c>
      <c r="D3066" t="s" s="8">
        <v>1055</v>
      </c>
      <c r="E3066" t="s" s="9">
        <v>1062</v>
      </c>
      <c r="F3066" t="s" s="10">
        <v>251</v>
      </c>
      <c r="G3066" t="s" s="11">
        <v>73</v>
      </c>
      <c r="H3066" t="s" s="10">
        <v>251</v>
      </c>
      <c r="I3066" t="s" s="11">
        <v>73</v>
      </c>
      <c r="J3066" t="s" s="11">
        <v>20</v>
      </c>
      <c r="K3066" t="s" s="16">
        <f>HYPERLINK("http://csr.bu.edu/ftp/asl/asllvd/demos/verify_start_end_handshape_annotations//test_auto_move//signs_mov/16519.mov","MOV")</f>
        <v>21</v>
      </c>
      <c r="L3066" t="s" s="16">
        <f>HYPERLINK("http://csr.bu.edu/ftp/asl/asllvd/demos/verify_start_end_handshape_annotations//test_auto_move//signs_mov_separ_signers/Liz_16519.mov","MOV")</f>
        <v>21</v>
      </c>
      <c r="M3066" t="s" s="10">
        <v>36</v>
      </c>
      <c r="N3066" s="17">
        <v>11</v>
      </c>
      <c r="O3066" s="18">
        <v>2050</v>
      </c>
      <c r="P3066" s="18">
        <v>2095</v>
      </c>
      <c r="Q3066" t="s" s="16">
        <f>HYPERLINK("http://secrets.rutgers.edu:8080/data/asl-ftp/asllvd/demos/verify_start_end_handshape_annotations//test_auto_move//signs_mov/16519.mov","MOV")</f>
        <v>21</v>
      </c>
      <c r="R3066" t="s" s="16">
        <f>HYPERLINK("http://secrets.rutgers.edu:8080/data/asl-ftp/asllvd/demos/verify_start_end_handshape_annotations//test_auto_move//signs_mov_separ_signers/Liz_16519.mov","MOV")</f>
        <v>21</v>
      </c>
    </row>
    <row r="3067" s="2" customFormat="1" ht="13.5" customHeight="1">
      <c r="B3067" t="s" s="8">
        <v>1063</v>
      </c>
      <c r="C3067" t="s" s="9">
        <v>14</v>
      </c>
      <c r="D3067" t="s" s="8">
        <v>14</v>
      </c>
      <c r="E3067" t="s" s="9">
        <v>14</v>
      </c>
      <c r="F3067" t="s" s="10">
        <v>14</v>
      </c>
      <c r="G3067" t="s" s="11">
        <v>14</v>
      </c>
      <c r="H3067" t="s" s="10">
        <v>14</v>
      </c>
      <c r="I3067" t="s" s="11">
        <v>14</v>
      </c>
      <c r="J3067" t="s" s="11">
        <v>14</v>
      </c>
      <c r="K3067" t="s" s="12">
        <v>14</v>
      </c>
      <c r="L3067" t="s" s="12">
        <v>14</v>
      </c>
      <c r="M3067" t="s" s="10">
        <v>14</v>
      </c>
      <c r="N3067" t="s" s="11">
        <v>14</v>
      </c>
      <c r="O3067" t="s" s="8">
        <v>14</v>
      </c>
      <c r="P3067" t="s" s="8">
        <v>14</v>
      </c>
      <c r="Q3067" t="s" s="12">
        <v>14</v>
      </c>
      <c r="R3067" t="s" s="12">
        <v>14</v>
      </c>
    </row>
    <row r="3068" s="2" customFormat="1" ht="13.5" customHeight="1">
      <c r="B3068" s="13"/>
      <c r="C3068" t="s" s="9">
        <v>16</v>
      </c>
      <c r="D3068" t="s" s="8">
        <v>1063</v>
      </c>
      <c r="E3068" t="s" s="9">
        <v>1063</v>
      </c>
      <c r="F3068" s="19">
        <v>3</v>
      </c>
      <c r="G3068" s="14"/>
      <c r="H3068" s="19">
        <v>3</v>
      </c>
      <c r="I3068" s="14"/>
      <c r="J3068" t="s" s="11">
        <v>20</v>
      </c>
      <c r="K3068" s="15"/>
      <c r="L3068" t="s" s="16">
        <f>HYPERLINK("http://csr.bu.edu/ftp/asl/asllvd/demos/verify_start_end_handshape_annotations//test_auto_move//signs_mov_separ_signers/Liz_635.mov","MOV")</f>
        <v>21</v>
      </c>
      <c r="M3068" t="s" s="10">
        <v>84</v>
      </c>
      <c r="N3068" s="17">
        <v>14</v>
      </c>
      <c r="O3068" s="18">
        <v>1595</v>
      </c>
      <c r="P3068" s="18">
        <v>1647</v>
      </c>
      <c r="Q3068" s="15"/>
      <c r="R3068" t="s" s="16">
        <f>HYPERLINK("http://secrets.rutgers.edu:8080/data/asl-ftp/asllvd/demos/verify_start_end_handshape_annotations//test_auto_move//signs_mov_separ_signers/Liz_635.mov","MOV")</f>
        <v>21</v>
      </c>
    </row>
    <row r="3069" s="2" customFormat="1" ht="13.5" customHeight="1">
      <c r="B3069" s="13"/>
      <c r="C3069" t="s" s="9">
        <v>23</v>
      </c>
      <c r="D3069" t="s" s="8">
        <v>1063</v>
      </c>
      <c r="E3069" t="s" s="9">
        <v>1063</v>
      </c>
      <c r="F3069" s="19">
        <v>3</v>
      </c>
      <c r="G3069" s="14"/>
      <c r="H3069" s="19">
        <v>3</v>
      </c>
      <c r="I3069" s="14"/>
      <c r="J3069" t="s" s="11">
        <v>20</v>
      </c>
      <c r="K3069" t="s" s="16">
        <f>HYPERLINK("http://csr.bu.edu/ftp/asl/asllvd/demos/verify_start_end_handshape_annotations//test_auto_move//signs_mov/635.mov","MOV")</f>
        <v>21</v>
      </c>
      <c r="L3069" t="s" s="16">
        <f>HYPERLINK("http://csr.bu.edu/ftp/asl/asllvd/demos/verify_start_end_handshape_annotations//test_auto_move//signs_mov_separ_signers/Tyler_635.mov","MOV")</f>
        <v>21</v>
      </c>
      <c r="M3069" t="s" s="10">
        <v>125</v>
      </c>
      <c r="N3069" s="17">
        <v>14</v>
      </c>
      <c r="O3069" s="18">
        <v>1427</v>
      </c>
      <c r="P3069" s="18">
        <v>1470</v>
      </c>
      <c r="Q3069" t="s" s="16">
        <f>HYPERLINK("http://secrets.rutgers.edu:8080/data/asl-ftp/asllvd/demos/verify_start_end_handshape_annotations//test_auto_move//signs_mov/635.mov","MOV")</f>
        <v>21</v>
      </c>
      <c r="R3069" t="s" s="16">
        <f>HYPERLINK("http://secrets.rutgers.edu:8080/data/asl-ftp/asllvd/demos/verify_start_end_handshape_annotations//test_auto_move//signs_mov_separ_signers/Tyler_635.mov","MOV")</f>
        <v>21</v>
      </c>
    </row>
    <row r="3070" s="2" customFormat="1" ht="13.5" customHeight="1">
      <c r="B3070" s="13"/>
      <c r="C3070" t="s" s="9">
        <v>27</v>
      </c>
      <c r="D3070" t="s" s="8">
        <v>1063</v>
      </c>
      <c r="E3070" t="s" s="9">
        <v>1063</v>
      </c>
      <c r="F3070" s="19">
        <v>3</v>
      </c>
      <c r="G3070" s="14"/>
      <c r="H3070" s="19">
        <v>3</v>
      </c>
      <c r="I3070" s="14"/>
      <c r="J3070" t="s" s="11">
        <v>20</v>
      </c>
      <c r="K3070" s="15"/>
      <c r="L3070" t="s" s="16">
        <f>HYPERLINK("http://csr.bu.edu/ftp/asl/asllvd/demos/verify_start_end_handshape_annotations//test_auto_move//signs_mov_separ_signers/Naomi_635.mov","MOV")</f>
        <v>21</v>
      </c>
      <c r="M3070" t="s" s="10">
        <v>86</v>
      </c>
      <c r="N3070" s="17">
        <v>14</v>
      </c>
      <c r="O3070" s="18">
        <v>1447</v>
      </c>
      <c r="P3070" s="18">
        <v>1475</v>
      </c>
      <c r="Q3070" s="15"/>
      <c r="R3070" t="s" s="16">
        <f>HYPERLINK("http://secrets.rutgers.edu:8080/data/asl-ftp/asllvd/demos/verify_start_end_handshape_annotations//test_auto_move//signs_mov_separ_signers/Naomi_635.mov","MOV")</f>
        <v>21</v>
      </c>
    </row>
    <row r="3071" s="2" customFormat="1" ht="13.5" customHeight="1">
      <c r="B3071" s="13"/>
      <c r="C3071" t="s" s="9">
        <v>30</v>
      </c>
      <c r="D3071" t="s" s="8">
        <v>1063</v>
      </c>
      <c r="E3071" t="s" s="9">
        <v>1063</v>
      </c>
      <c r="F3071" s="19">
        <v>3</v>
      </c>
      <c r="G3071" s="14"/>
      <c r="H3071" s="19">
        <v>3</v>
      </c>
      <c r="I3071" s="14"/>
      <c r="J3071" t="s" s="11">
        <v>20</v>
      </c>
      <c r="K3071" s="15"/>
      <c r="L3071" t="s" s="16">
        <f>HYPERLINK("http://csr.bu.edu/ftp/asl/asllvd/demos/verify_start_end_handshape_annotations//test_auto_move//signs_mov_separ_signers/Brady_635.mov","MOV")</f>
        <v>21</v>
      </c>
      <c r="M3071" t="s" s="10">
        <v>31</v>
      </c>
      <c r="N3071" s="17">
        <v>32</v>
      </c>
      <c r="O3071" s="18">
        <v>15352</v>
      </c>
      <c r="P3071" s="18">
        <v>15394</v>
      </c>
      <c r="Q3071" s="15"/>
      <c r="R3071" t="s" s="16">
        <f>HYPERLINK("http://secrets.rutgers.edu:8080/data/asl-ftp/asllvd/demos/verify_start_end_handshape_annotations//test_auto_move//signs_mov_separ_signers/Brady_635.mov","MOV")</f>
        <v>21</v>
      </c>
    </row>
    <row r="3072" s="2" customFormat="1" ht="13.5" customHeight="1">
      <c r="B3072" t="s" s="8">
        <v>1064</v>
      </c>
      <c r="C3072" t="s" s="9">
        <v>14</v>
      </c>
      <c r="D3072" t="s" s="8">
        <v>14</v>
      </c>
      <c r="E3072" t="s" s="9">
        <v>14</v>
      </c>
      <c r="F3072" t="s" s="10">
        <v>14</v>
      </c>
      <c r="G3072" t="s" s="11">
        <v>14</v>
      </c>
      <c r="H3072" t="s" s="10">
        <v>14</v>
      </c>
      <c r="I3072" t="s" s="11">
        <v>14</v>
      </c>
      <c r="J3072" t="s" s="11">
        <v>14</v>
      </c>
      <c r="K3072" t="s" s="12">
        <v>14</v>
      </c>
      <c r="L3072" t="s" s="12">
        <v>14</v>
      </c>
      <c r="M3072" t="s" s="10">
        <v>14</v>
      </c>
      <c r="N3072" t="s" s="11">
        <v>14</v>
      </c>
      <c r="O3072" t="s" s="8">
        <v>14</v>
      </c>
      <c r="P3072" t="s" s="8">
        <v>14</v>
      </c>
      <c r="Q3072" t="s" s="12">
        <v>14</v>
      </c>
      <c r="R3072" t="s" s="12">
        <v>14</v>
      </c>
    </row>
    <row r="3073" s="2" customFormat="1" ht="13.5" customHeight="1">
      <c r="B3073" s="13"/>
      <c r="C3073" t="s" s="9">
        <v>16</v>
      </c>
      <c r="D3073" t="s" s="8">
        <v>1064</v>
      </c>
      <c r="E3073" t="s" s="9">
        <v>1064</v>
      </c>
      <c r="F3073" s="19">
        <v>1</v>
      </c>
      <c r="G3073" s="17">
        <v>1</v>
      </c>
      <c r="H3073" s="19">
        <v>1</v>
      </c>
      <c r="I3073" s="17">
        <v>1</v>
      </c>
      <c r="J3073" t="s" s="11">
        <v>20</v>
      </c>
      <c r="K3073" s="15"/>
      <c r="L3073" t="s" s="16">
        <f>HYPERLINK("http://csr.bu.edu/ftp/asl/asllvd/demos/verify_start_end_handshape_annotations//test_auto_move//signs_mov_separ_signers/Liz_639.mov","MOV")</f>
        <v>21</v>
      </c>
      <c r="M3073" t="s" s="10">
        <v>84</v>
      </c>
      <c r="N3073" s="17">
        <v>14</v>
      </c>
      <c r="O3073" s="18">
        <v>2427</v>
      </c>
      <c r="P3073" s="18">
        <v>2451</v>
      </c>
      <c r="Q3073" s="15"/>
      <c r="R3073" t="s" s="16">
        <f>HYPERLINK("http://secrets.rutgers.edu:8080/data/asl-ftp/asllvd/demos/verify_start_end_handshape_annotations//test_auto_move//signs_mov_separ_signers/Liz_639.mov","MOV")</f>
        <v>21</v>
      </c>
    </row>
    <row r="3074" s="2" customFormat="1" ht="13.5" customHeight="1">
      <c r="B3074" s="13"/>
      <c r="C3074" t="s" s="9">
        <v>16</v>
      </c>
      <c r="D3074" t="s" s="8">
        <v>1064</v>
      </c>
      <c r="E3074" t="s" s="9">
        <v>1065</v>
      </c>
      <c r="F3074" s="19">
        <v>1</v>
      </c>
      <c r="G3074" s="17">
        <v>1</v>
      </c>
      <c r="H3074" s="19">
        <v>1</v>
      </c>
      <c r="I3074" s="17">
        <v>1</v>
      </c>
      <c r="J3074" t="s" s="11">
        <v>20</v>
      </c>
      <c r="K3074" s="15"/>
      <c r="L3074" t="s" s="16">
        <f>HYPERLINK("http://csr.bu.edu/ftp/asl/asllvd/demos/verify_start_end_handshape_annotations//test_auto_move//signs_mov_separ_signers/Liz_3605.mov","MOV")</f>
        <v>21</v>
      </c>
      <c r="M3074" t="s" s="10">
        <v>84</v>
      </c>
      <c r="N3074" s="17">
        <v>15</v>
      </c>
      <c r="O3074" s="18">
        <v>255</v>
      </c>
      <c r="P3074" s="18">
        <v>295</v>
      </c>
      <c r="Q3074" s="15"/>
      <c r="R3074" t="s" s="16">
        <f>HYPERLINK("http://secrets.rutgers.edu:8080/data/asl-ftp/asllvd/demos/verify_start_end_handshape_annotations//test_auto_move//signs_mov_separ_signers/Liz_3605.mov","MOV")</f>
        <v>21</v>
      </c>
    </row>
    <row r="3075" s="2" customFormat="1" ht="13.5" customHeight="1">
      <c r="B3075" s="13"/>
      <c r="C3075" t="s" s="9">
        <v>23</v>
      </c>
      <c r="D3075" t="s" s="8">
        <v>1064</v>
      </c>
      <c r="E3075" t="s" s="9">
        <v>1065</v>
      </c>
      <c r="F3075" s="19">
        <v>1</v>
      </c>
      <c r="G3075" s="17">
        <v>1</v>
      </c>
      <c r="H3075" s="19">
        <v>1</v>
      </c>
      <c r="I3075" s="17">
        <v>1</v>
      </c>
      <c r="J3075" t="s" s="11">
        <v>20</v>
      </c>
      <c r="K3075" t="s" s="16">
        <f>HYPERLINK("http://csr.bu.edu/ftp/asl/asllvd/demos/verify_start_end_handshape_annotations//test_auto_move//signs_mov/639_3605_merged.mov","MOV")</f>
        <v>21</v>
      </c>
      <c r="L3075" t="s" s="16">
        <f>HYPERLINK("http://csr.bu.edu/ftp/asl/asllvd/demos/verify_start_end_handshape_annotations//test_auto_move//signs_mov_separ_signers/Tyler_639.mov","MOV")</f>
        <v>21</v>
      </c>
      <c r="M3075" t="s" s="10">
        <v>125</v>
      </c>
      <c r="N3075" s="17">
        <v>14</v>
      </c>
      <c r="O3075" s="18">
        <v>3261</v>
      </c>
      <c r="P3075" s="18">
        <v>3300</v>
      </c>
      <c r="Q3075" t="s" s="16">
        <f>HYPERLINK("http://secrets.rutgers.edu:8080/data/asl-ftp/asllvd/demos/verify_start_end_handshape_annotations//test_auto_move//signs_mov/639_3605_merged.mov","MOV")</f>
        <v>21</v>
      </c>
      <c r="R3075" t="s" s="16">
        <f>HYPERLINK("http://secrets.rutgers.edu:8080/data/asl-ftp/asllvd/demos/verify_start_end_handshape_annotations//test_auto_move//signs_mov_separ_signers/Tyler_639.mov","MOV")</f>
        <v>21</v>
      </c>
    </row>
    <row r="3076" s="2" customFormat="1" ht="13.5" customHeight="1">
      <c r="B3076" s="13"/>
      <c r="C3076" t="s" s="9">
        <v>23</v>
      </c>
      <c r="D3076" t="s" s="8">
        <v>1064</v>
      </c>
      <c r="E3076" t="s" s="9">
        <v>1065</v>
      </c>
      <c r="F3076" s="19">
        <v>1</v>
      </c>
      <c r="G3076" s="17">
        <v>1</v>
      </c>
      <c r="H3076" s="19">
        <v>1</v>
      </c>
      <c r="I3076" s="17">
        <v>1</v>
      </c>
      <c r="J3076" t="s" s="11">
        <v>20</v>
      </c>
      <c r="K3076" s="15"/>
      <c r="L3076" t="s" s="16">
        <f>HYPERLINK("http://csr.bu.edu/ftp/asl/asllvd/demos/verify_start_end_handshape_annotations//test_auto_move//signs_mov_separ_signers/Tyler_3605.mov","MOV")</f>
        <v>21</v>
      </c>
      <c r="M3076" t="s" s="10">
        <v>125</v>
      </c>
      <c r="N3076" s="17">
        <v>14</v>
      </c>
      <c r="O3076" s="18">
        <v>3506</v>
      </c>
      <c r="P3076" s="18">
        <v>3535</v>
      </c>
      <c r="Q3076" s="15"/>
      <c r="R3076" t="s" s="16">
        <f>HYPERLINK("http://secrets.rutgers.edu:8080/data/asl-ftp/asllvd/demos/verify_start_end_handshape_annotations//test_auto_move//signs_mov_separ_signers/Tyler_3605.mov","MOV")</f>
        <v>21</v>
      </c>
    </row>
    <row r="3077" s="2" customFormat="1" ht="13.5" customHeight="1">
      <c r="B3077" s="13"/>
      <c r="C3077" t="s" s="9">
        <v>27</v>
      </c>
      <c r="D3077" t="s" s="8">
        <v>1064</v>
      </c>
      <c r="E3077" t="s" s="9">
        <v>1065</v>
      </c>
      <c r="F3077" s="19">
        <v>1</v>
      </c>
      <c r="G3077" s="17">
        <v>1</v>
      </c>
      <c r="H3077" s="19">
        <v>1</v>
      </c>
      <c r="I3077" s="17">
        <v>1</v>
      </c>
      <c r="J3077" t="s" s="11">
        <v>20</v>
      </c>
      <c r="K3077" s="15"/>
      <c r="L3077" t="s" s="16">
        <f>HYPERLINK("http://csr.bu.edu/ftp/asl/asllvd/demos/verify_start_end_handshape_annotations//test_auto_move//signs_mov_separ_signers/Naomi_639.mov","MOV")</f>
        <v>21</v>
      </c>
      <c r="M3077" t="s" s="10">
        <v>86</v>
      </c>
      <c r="N3077" s="17">
        <v>14</v>
      </c>
      <c r="O3077" s="18">
        <v>3800</v>
      </c>
      <c r="P3077" s="18">
        <v>3830</v>
      </c>
      <c r="Q3077" s="15"/>
      <c r="R3077" t="s" s="16">
        <f>HYPERLINK("http://secrets.rutgers.edu:8080/data/asl-ftp/asllvd/demos/verify_start_end_handshape_annotations//test_auto_move//signs_mov_separ_signers/Naomi_639.mov","MOV")</f>
        <v>21</v>
      </c>
    </row>
    <row r="3078" s="2" customFormat="1" ht="13.5" customHeight="1">
      <c r="B3078" s="13"/>
      <c r="C3078" t="s" s="9">
        <v>30</v>
      </c>
      <c r="D3078" t="s" s="8">
        <v>1064</v>
      </c>
      <c r="E3078" t="s" s="9">
        <v>1065</v>
      </c>
      <c r="F3078" s="19">
        <v>1</v>
      </c>
      <c r="G3078" s="17">
        <v>1</v>
      </c>
      <c r="H3078" s="19">
        <v>1</v>
      </c>
      <c r="I3078" s="17">
        <v>1</v>
      </c>
      <c r="J3078" t="s" s="11">
        <v>20</v>
      </c>
      <c r="K3078" s="15"/>
      <c r="L3078" t="s" s="16">
        <f>HYPERLINK("http://csr.bu.edu/ftp/asl/asllvd/demos/verify_start_end_handshape_annotations//test_auto_move//signs_mov_separ_signers/Brady_639.mov","MOV")</f>
        <v>21</v>
      </c>
      <c r="M3078" t="s" s="10">
        <v>31</v>
      </c>
      <c r="N3078" s="17">
        <v>33</v>
      </c>
      <c r="O3078" s="18">
        <v>1326</v>
      </c>
      <c r="P3078" s="18">
        <v>1360</v>
      </c>
      <c r="Q3078" s="15"/>
      <c r="R3078" t="s" s="16">
        <f>HYPERLINK("http://secrets.rutgers.edu:8080/data/asl-ftp/asllvd/demos/verify_start_end_handshape_annotations//test_auto_move//signs_mov_separ_signers/Brady_639.mov","MOV")</f>
        <v>21</v>
      </c>
    </row>
    <row r="3079" s="2" customFormat="1" ht="13.5" customHeight="1">
      <c r="B3079" t="s" s="8">
        <v>1066</v>
      </c>
      <c r="C3079" t="s" s="9">
        <v>14</v>
      </c>
      <c r="D3079" t="s" s="8">
        <v>14</v>
      </c>
      <c r="E3079" t="s" s="9">
        <v>14</v>
      </c>
      <c r="F3079" t="s" s="10">
        <v>14</v>
      </c>
      <c r="G3079" t="s" s="11">
        <v>14</v>
      </c>
      <c r="H3079" t="s" s="10">
        <v>14</v>
      </c>
      <c r="I3079" t="s" s="11">
        <v>14</v>
      </c>
      <c r="J3079" t="s" s="11">
        <v>14</v>
      </c>
      <c r="K3079" t="s" s="12">
        <v>14</v>
      </c>
      <c r="L3079" t="s" s="12">
        <v>14</v>
      </c>
      <c r="M3079" t="s" s="10">
        <v>14</v>
      </c>
      <c r="N3079" t="s" s="11">
        <v>14</v>
      </c>
      <c r="O3079" t="s" s="8">
        <v>14</v>
      </c>
      <c r="P3079" t="s" s="8">
        <v>14</v>
      </c>
      <c r="Q3079" t="s" s="12">
        <v>14</v>
      </c>
      <c r="R3079" t="s" s="12">
        <v>14</v>
      </c>
    </row>
    <row r="3080" s="2" customFormat="1" ht="13.5" customHeight="1">
      <c r="B3080" s="13"/>
      <c r="C3080" t="s" s="9">
        <v>16</v>
      </c>
      <c r="D3080" t="s" s="8">
        <v>1066</v>
      </c>
      <c r="E3080" t="s" s="9">
        <v>1066</v>
      </c>
      <c r="F3080" s="19">
        <v>10</v>
      </c>
      <c r="G3080" t="s" s="11">
        <v>63</v>
      </c>
      <c r="H3080" t="s" s="10">
        <v>63</v>
      </c>
      <c r="I3080" t="s" s="11">
        <v>63</v>
      </c>
      <c r="J3080" t="s" s="11">
        <v>20</v>
      </c>
      <c r="K3080" s="15"/>
      <c r="L3080" t="s" s="16">
        <f>HYPERLINK("http://csr.bu.edu/ftp/asl/asllvd/demos/verify_start_end_handshape_annotations//test_auto_move//signs_mov_separ_signers/Liz_641.mov","MOV")</f>
        <v>21</v>
      </c>
      <c r="M3080" t="s" s="10">
        <v>84</v>
      </c>
      <c r="N3080" s="17">
        <v>15</v>
      </c>
      <c r="O3080" s="18">
        <v>457</v>
      </c>
      <c r="P3080" s="18">
        <v>485</v>
      </c>
      <c r="Q3080" s="15"/>
      <c r="R3080" t="s" s="16">
        <f>HYPERLINK("http://secrets.rutgers.edu:8080/data/asl-ftp/asllvd/demos/verify_start_end_handshape_annotations//test_auto_move//signs_mov_separ_signers/Liz_641.mov","MOV")</f>
        <v>21</v>
      </c>
    </row>
    <row r="3081" s="2" customFormat="1" ht="13.5" customHeight="1">
      <c r="B3081" s="13"/>
      <c r="C3081" t="s" s="9">
        <v>16</v>
      </c>
      <c r="D3081" t="s" s="8">
        <v>1066</v>
      </c>
      <c r="E3081" t="s" s="9">
        <v>1066</v>
      </c>
      <c r="F3081" s="19">
        <v>10</v>
      </c>
      <c r="G3081" s="17">
        <v>10</v>
      </c>
      <c r="H3081" s="19">
        <v>10</v>
      </c>
      <c r="I3081" s="17">
        <v>10</v>
      </c>
      <c r="J3081" t="s" s="11">
        <v>20</v>
      </c>
      <c r="K3081" s="15"/>
      <c r="L3081" t="s" s="16">
        <f>HYPERLINK("http://csr.bu.edu/ftp/asl/asllvd/demos/verify_start_end_handshape_annotations//test_auto_move//signs_mov_separ_signers/Liz_15026.mov","MOV")</f>
        <v>21</v>
      </c>
      <c r="M3081" t="s" s="10">
        <v>77</v>
      </c>
      <c r="N3081" s="17">
        <v>15</v>
      </c>
      <c r="O3081" s="18">
        <v>2265</v>
      </c>
      <c r="P3081" s="18">
        <v>2315</v>
      </c>
      <c r="Q3081" s="15"/>
      <c r="R3081" t="s" s="16">
        <f>HYPERLINK("http://secrets.rutgers.edu:8080/data/asl-ftp/asllvd/demos/verify_start_end_handshape_annotations//test_auto_move//signs_mov_separ_signers/Liz_15026.mov","MOV")</f>
        <v>21</v>
      </c>
    </row>
    <row r="3082" s="2" customFormat="1" ht="13.5" customHeight="1">
      <c r="B3082" s="13"/>
      <c r="C3082" t="s" s="9">
        <v>23</v>
      </c>
      <c r="D3082" t="s" s="8">
        <v>1066</v>
      </c>
      <c r="E3082" t="s" s="9">
        <v>1066</v>
      </c>
      <c r="F3082" s="19">
        <v>10</v>
      </c>
      <c r="G3082" s="17">
        <v>10</v>
      </c>
      <c r="H3082" s="19">
        <v>10</v>
      </c>
      <c r="I3082" s="17">
        <v>10</v>
      </c>
      <c r="J3082" t="s" s="11">
        <v>20</v>
      </c>
      <c r="K3082" s="15"/>
      <c r="L3082" t="s" s="16">
        <f>HYPERLINK("http://csr.bu.edu/ftp/asl/asllvd/demos/verify_start_end_handshape_annotations//test_auto_move//signs_mov_separ_signers/Tyler_641.mov","MOV")</f>
        <v>21</v>
      </c>
      <c r="M3082" t="s" s="10">
        <v>125</v>
      </c>
      <c r="N3082" s="17">
        <v>14</v>
      </c>
      <c r="O3082" s="18">
        <v>3747</v>
      </c>
      <c r="P3082" s="18">
        <v>3777</v>
      </c>
      <c r="Q3082" s="15"/>
      <c r="R3082" t="s" s="16">
        <f>HYPERLINK("http://secrets.rutgers.edu:8080/data/asl-ftp/asllvd/demos/verify_start_end_handshape_annotations//test_auto_move//signs_mov_separ_signers/Tyler_641.mov","MOV")</f>
        <v>21</v>
      </c>
    </row>
    <row r="3083" s="2" customFormat="1" ht="13.5" customHeight="1">
      <c r="B3083" s="13"/>
      <c r="C3083" t="s" s="9">
        <v>27</v>
      </c>
      <c r="D3083" t="s" s="8">
        <v>1066</v>
      </c>
      <c r="E3083" t="s" s="9">
        <v>1066</v>
      </c>
      <c r="F3083" s="19">
        <v>10</v>
      </c>
      <c r="G3083" s="17">
        <v>10</v>
      </c>
      <c r="H3083" s="19">
        <v>10</v>
      </c>
      <c r="I3083" s="17">
        <v>10</v>
      </c>
      <c r="J3083" t="s" s="11">
        <v>20</v>
      </c>
      <c r="K3083" t="s" s="16">
        <f>HYPERLINK("http://csr.bu.edu/ftp/asl/asllvd/demos/verify_start_end_handshape_annotations//test_auto_move//signs_mov/641_15026_merged.mov","MOV")</f>
        <v>21</v>
      </c>
      <c r="L3083" t="s" s="16">
        <f>HYPERLINK("http://csr.bu.edu/ftp/asl/asllvd/demos/verify_start_end_handshape_annotations//test_auto_move//signs_mov_separ_signers/Naomi_641.mov","MOV")</f>
        <v>21</v>
      </c>
      <c r="M3083" t="s" s="10">
        <v>86</v>
      </c>
      <c r="N3083" s="17">
        <v>14</v>
      </c>
      <c r="O3083" s="18">
        <v>4401</v>
      </c>
      <c r="P3083" s="18">
        <v>4420</v>
      </c>
      <c r="Q3083" t="s" s="16">
        <f>HYPERLINK("http://secrets.rutgers.edu:8080/data/asl-ftp/asllvd/demos/verify_start_end_handshape_annotations//test_auto_move//signs_mov/641_15026_merged.mov","MOV")</f>
        <v>21</v>
      </c>
      <c r="R3083" t="s" s="16">
        <f>HYPERLINK("http://secrets.rutgers.edu:8080/data/asl-ftp/asllvd/demos/verify_start_end_handshape_annotations//test_auto_move//signs_mov_separ_signers/Naomi_641.mov","MOV")</f>
        <v>21</v>
      </c>
    </row>
    <row r="3084" s="2" customFormat="1" ht="13.5" customHeight="1">
      <c r="B3084" s="13"/>
      <c r="C3084" t="s" s="9">
        <v>30</v>
      </c>
      <c r="D3084" t="s" s="8">
        <v>1066</v>
      </c>
      <c r="E3084" t="s" s="9">
        <v>1066</v>
      </c>
      <c r="F3084" s="19">
        <v>10</v>
      </c>
      <c r="G3084" s="17">
        <v>10</v>
      </c>
      <c r="H3084" s="19">
        <v>10</v>
      </c>
      <c r="I3084" s="17">
        <v>10</v>
      </c>
      <c r="J3084" t="s" s="11">
        <v>20</v>
      </c>
      <c r="K3084" s="15"/>
      <c r="L3084" t="s" s="16">
        <f>HYPERLINK("http://csr.bu.edu/ftp/asl/asllvd/demos/verify_start_end_handshape_annotations//test_auto_move//signs_mov_separ_signers/Brady_641.mov","MOV")</f>
        <v>21</v>
      </c>
      <c r="M3084" t="s" s="10">
        <v>31</v>
      </c>
      <c r="N3084" s="17">
        <v>33</v>
      </c>
      <c r="O3084" s="18">
        <v>4160</v>
      </c>
      <c r="P3084" s="18">
        <v>4176</v>
      </c>
      <c r="Q3084" s="15"/>
      <c r="R3084" t="s" s="16">
        <f>HYPERLINK("http://secrets.rutgers.edu:8080/data/asl-ftp/asllvd/demos/verify_start_end_handshape_annotations//test_auto_move//signs_mov_separ_signers/Brady_641.mov","MOV")</f>
        <v>21</v>
      </c>
    </row>
    <row r="3085" s="2" customFormat="1" ht="13.5" customHeight="1">
      <c r="B3085" s="13"/>
      <c r="C3085" t="s" s="9">
        <v>41</v>
      </c>
      <c r="D3085" t="s" s="8">
        <v>1066</v>
      </c>
      <c r="E3085" t="s" s="9">
        <v>1066</v>
      </c>
      <c r="F3085" s="19">
        <v>10</v>
      </c>
      <c r="G3085" s="17">
        <v>10</v>
      </c>
      <c r="H3085" s="19">
        <v>10</v>
      </c>
      <c r="I3085" s="17">
        <v>10</v>
      </c>
      <c r="J3085" t="s" s="11">
        <v>20</v>
      </c>
      <c r="K3085" s="15"/>
      <c r="L3085" t="s" s="16">
        <f>HYPERLINK("http://csr.bu.edu/ftp/asl/asllvd/demos/verify_start_end_handshape_annotations//test_auto_move//signs_mov_separ_signers/Lana_641.mov","MOV")</f>
        <v>21</v>
      </c>
      <c r="M3085" t="s" s="10">
        <v>42</v>
      </c>
      <c r="N3085" s="17">
        <v>7</v>
      </c>
      <c r="O3085" s="18">
        <v>514</v>
      </c>
      <c r="P3085" s="18">
        <v>528</v>
      </c>
      <c r="Q3085" s="15"/>
      <c r="R3085" t="s" s="16">
        <f>HYPERLINK("http://secrets.rutgers.edu:8080/data/asl-ftp/asllvd/demos/verify_start_end_handshape_annotations//test_auto_move//signs_mov_separ_signers/Lana_641.mov","MOV")</f>
        <v>21</v>
      </c>
    </row>
    <row r="3086" s="2" customFormat="1" ht="13.5" customHeight="1">
      <c r="B3086" s="13"/>
      <c r="C3086" t="s" s="9">
        <v>43</v>
      </c>
      <c r="D3086" t="s" s="8">
        <v>1066</v>
      </c>
      <c r="E3086" t="s" s="9">
        <v>1066</v>
      </c>
      <c r="F3086" t="s" s="10">
        <v>63</v>
      </c>
      <c r="G3086" t="s" s="11">
        <v>63</v>
      </c>
      <c r="H3086" t="s" s="10">
        <v>63</v>
      </c>
      <c r="I3086" t="s" s="11">
        <v>63</v>
      </c>
      <c r="J3086" t="s" s="11">
        <v>20</v>
      </c>
      <c r="K3086" s="15"/>
      <c r="L3086" t="s" s="16">
        <f>HYPERLINK("http://csr.bu.edu/ftp/asl/asllvd/demos/verify_start_end_handshape_annotations//test_auto_move//signs_mov_separ_signers/Dana_641.mov","MOV")</f>
        <v>21</v>
      </c>
      <c r="M3086" t="s" s="10">
        <v>44</v>
      </c>
      <c r="N3086" s="17">
        <v>11</v>
      </c>
      <c r="O3086" s="18">
        <v>542</v>
      </c>
      <c r="P3086" s="18">
        <v>586</v>
      </c>
      <c r="Q3086" s="15"/>
      <c r="R3086" t="s" s="16">
        <f>HYPERLINK("http://secrets.rutgers.edu:8080/data/asl-ftp/asllvd/demos/verify_start_end_handshape_annotations//test_auto_move//signs_mov_separ_signers/Dana_641.mov","MOV")</f>
        <v>21</v>
      </c>
    </row>
    <row r="3087" s="2" customFormat="1" ht="13.5" customHeight="1">
      <c r="B3087" t="s" s="8">
        <v>1067</v>
      </c>
      <c r="C3087" t="s" s="9">
        <v>14</v>
      </c>
      <c r="D3087" t="s" s="8">
        <v>14</v>
      </c>
      <c r="E3087" t="s" s="9">
        <v>14</v>
      </c>
      <c r="F3087" t="s" s="10">
        <v>14</v>
      </c>
      <c r="G3087" t="s" s="11">
        <v>14</v>
      </c>
      <c r="H3087" t="s" s="10">
        <v>14</v>
      </c>
      <c r="I3087" t="s" s="11">
        <v>14</v>
      </c>
      <c r="J3087" t="s" s="11">
        <v>14</v>
      </c>
      <c r="K3087" t="s" s="12">
        <v>14</v>
      </c>
      <c r="L3087" t="s" s="12">
        <v>14</v>
      </c>
      <c r="M3087" t="s" s="10">
        <v>14</v>
      </c>
      <c r="N3087" t="s" s="11">
        <v>14</v>
      </c>
      <c r="O3087" t="s" s="8">
        <v>14</v>
      </c>
      <c r="P3087" t="s" s="8">
        <v>14</v>
      </c>
      <c r="Q3087" t="s" s="12">
        <v>14</v>
      </c>
      <c r="R3087" t="s" s="12">
        <v>14</v>
      </c>
    </row>
    <row r="3088" s="2" customFormat="1" ht="13.5" customHeight="1">
      <c r="B3088" s="13"/>
      <c r="C3088" t="s" s="9">
        <v>23</v>
      </c>
      <c r="D3088" t="s" s="8">
        <v>1067</v>
      </c>
      <c r="E3088" t="s" s="9">
        <v>1067</v>
      </c>
      <c r="F3088" s="19">
        <v>5</v>
      </c>
      <c r="G3088" s="17">
        <v>5</v>
      </c>
      <c r="H3088" t="s" s="10">
        <v>68</v>
      </c>
      <c r="I3088" t="s" s="11">
        <v>68</v>
      </c>
      <c r="J3088" t="s" s="11">
        <v>20</v>
      </c>
      <c r="K3088" s="15"/>
      <c r="L3088" t="s" s="16">
        <f>HYPERLINK("http://csr.bu.edu/ftp/asl/asllvd/demos/verify_start_end_handshape_annotations//test_auto_move//signs_mov_separ_signers/Tyler_647.mov","MOV")</f>
        <v>21</v>
      </c>
      <c r="M3088" t="s" s="10">
        <v>125</v>
      </c>
      <c r="N3088" s="17">
        <v>15</v>
      </c>
      <c r="O3088" s="18">
        <v>1540</v>
      </c>
      <c r="P3088" s="18">
        <v>1585</v>
      </c>
      <c r="Q3088" s="15"/>
      <c r="R3088" t="s" s="16">
        <f>HYPERLINK("http://secrets.rutgers.edu:8080/data/asl-ftp/asllvd/demos/verify_start_end_handshape_annotations//test_auto_move//signs_mov_separ_signers/Tyler_647.mov","MOV")</f>
        <v>21</v>
      </c>
    </row>
    <row r="3089" s="2" customFormat="1" ht="13.5" customHeight="1">
      <c r="B3089" s="13"/>
      <c r="C3089" t="s" s="9">
        <v>27</v>
      </c>
      <c r="D3089" t="s" s="8">
        <v>1067</v>
      </c>
      <c r="E3089" t="s" s="9">
        <v>1067</v>
      </c>
      <c r="F3089" s="19">
        <v>5</v>
      </c>
      <c r="G3089" s="17">
        <v>5</v>
      </c>
      <c r="H3089" t="s" s="10">
        <v>63</v>
      </c>
      <c r="I3089" t="s" s="11">
        <v>63</v>
      </c>
      <c r="J3089" t="s" s="11">
        <v>20</v>
      </c>
      <c r="K3089" s="15"/>
      <c r="L3089" t="s" s="16">
        <f>HYPERLINK("http://csr.bu.edu/ftp/asl/asllvd/demos/verify_start_end_handshape_annotations//test_auto_move//signs_mov_separ_signers/Naomi_647.mov","MOV")</f>
        <v>21</v>
      </c>
      <c r="M3089" t="s" s="10">
        <v>86</v>
      </c>
      <c r="N3089" s="17">
        <v>15</v>
      </c>
      <c r="O3089" s="18">
        <v>1910</v>
      </c>
      <c r="P3089" s="18">
        <v>1955</v>
      </c>
      <c r="Q3089" s="15"/>
      <c r="R3089" t="s" s="16">
        <f>HYPERLINK("http://secrets.rutgers.edu:8080/data/asl-ftp/asllvd/demos/verify_start_end_handshape_annotations//test_auto_move//signs_mov_separ_signers/Naomi_647.mov","MOV")</f>
        <v>21</v>
      </c>
    </row>
    <row r="3090" s="2" customFormat="1" ht="13.5" customHeight="1">
      <c r="B3090" s="13"/>
      <c r="C3090" t="s" s="9">
        <v>30</v>
      </c>
      <c r="D3090" t="s" s="8">
        <v>1067</v>
      </c>
      <c r="E3090" t="s" s="9">
        <v>1067</v>
      </c>
      <c r="F3090" t="s" s="10">
        <v>187</v>
      </c>
      <c r="G3090" t="s" s="11">
        <v>187</v>
      </c>
      <c r="H3090" t="s" s="10">
        <v>63</v>
      </c>
      <c r="I3090" t="s" s="11">
        <v>63</v>
      </c>
      <c r="J3090" t="s" s="11">
        <v>20</v>
      </c>
      <c r="K3090" t="s" s="16">
        <f>HYPERLINK("http://csr.bu.edu/ftp/asl/asllvd/demos/verify_start_end_handshape_annotations//test_auto_move//signs_mov/647.mov","MOV")</f>
        <v>21</v>
      </c>
      <c r="L3090" t="s" s="16">
        <f>HYPERLINK("http://csr.bu.edu/ftp/asl/asllvd/demos/verify_start_end_handshape_annotations//test_auto_move//signs_mov_separ_signers/Brady_647.mov","MOV")</f>
        <v>21</v>
      </c>
      <c r="M3090" t="s" s="10">
        <v>31</v>
      </c>
      <c r="N3090" s="17">
        <v>33</v>
      </c>
      <c r="O3090" s="18">
        <v>7992</v>
      </c>
      <c r="P3090" s="18">
        <v>8019</v>
      </c>
      <c r="Q3090" t="s" s="16">
        <f>HYPERLINK("http://secrets.rutgers.edu:8080/data/asl-ftp/asllvd/demos/verify_start_end_handshape_annotations//test_auto_move//signs_mov/647.mov","MOV")</f>
        <v>21</v>
      </c>
      <c r="R3090" t="s" s="16">
        <f>HYPERLINK("http://secrets.rutgers.edu:8080/data/asl-ftp/asllvd/demos/verify_start_end_handshape_annotations//test_auto_move//signs_mov_separ_signers/Brady_647.mov","MOV")</f>
        <v>21</v>
      </c>
    </row>
    <row r="3091" s="2" customFormat="1" ht="13.5" customHeight="1">
      <c r="B3091" s="13"/>
      <c r="C3091" t="s" s="9">
        <v>41</v>
      </c>
      <c r="D3091" t="s" s="8">
        <v>1067</v>
      </c>
      <c r="E3091" t="s" s="9">
        <v>1067</v>
      </c>
      <c r="F3091" s="19">
        <v>5</v>
      </c>
      <c r="G3091" s="17">
        <v>5</v>
      </c>
      <c r="H3091" t="s" s="10">
        <v>63</v>
      </c>
      <c r="I3091" t="s" s="11">
        <v>63</v>
      </c>
      <c r="J3091" t="s" s="11">
        <v>20</v>
      </c>
      <c r="K3091" s="15"/>
      <c r="L3091" t="s" s="16">
        <f>HYPERLINK("http://csr.bu.edu/ftp/asl/asllvd/demos/verify_start_end_handshape_annotations//test_auto_move//signs_mov_separ_signers/Lana_647.mov","MOV")</f>
        <v>21</v>
      </c>
      <c r="M3091" t="s" s="10">
        <v>42</v>
      </c>
      <c r="N3091" s="17">
        <v>7</v>
      </c>
      <c r="O3091" s="18">
        <v>886</v>
      </c>
      <c r="P3091" s="18">
        <v>917</v>
      </c>
      <c r="Q3091" s="15"/>
      <c r="R3091" t="s" s="16">
        <f>HYPERLINK("http://secrets.rutgers.edu:8080/data/asl-ftp/asllvd/demos/verify_start_end_handshape_annotations//test_auto_move//signs_mov_separ_signers/Lana_647.mov","MOV")</f>
        <v>21</v>
      </c>
    </row>
    <row r="3092" s="2" customFormat="1" ht="13.5" customHeight="1">
      <c r="B3092" s="13"/>
      <c r="C3092" t="s" s="9">
        <v>43</v>
      </c>
      <c r="D3092" t="s" s="8">
        <v>1067</v>
      </c>
      <c r="E3092" t="s" s="9">
        <v>1067</v>
      </c>
      <c r="F3092" t="s" s="10">
        <v>72</v>
      </c>
      <c r="G3092" s="17">
        <v>5</v>
      </c>
      <c r="H3092" t="s" s="10">
        <v>63</v>
      </c>
      <c r="I3092" t="s" s="11">
        <v>63</v>
      </c>
      <c r="J3092" t="s" s="11">
        <v>20</v>
      </c>
      <c r="K3092" s="15"/>
      <c r="L3092" t="s" s="16">
        <f>HYPERLINK("http://csr.bu.edu/ftp/asl/asllvd/demos/verify_start_end_handshape_annotations//test_auto_move//signs_mov_separ_signers/Dana_647.mov","MOV")</f>
        <v>21</v>
      </c>
      <c r="M3092" t="s" s="10">
        <v>44</v>
      </c>
      <c r="N3092" s="17">
        <v>11</v>
      </c>
      <c r="O3092" s="18">
        <v>937</v>
      </c>
      <c r="P3092" s="18">
        <v>981</v>
      </c>
      <c r="Q3092" s="15"/>
      <c r="R3092" t="s" s="16">
        <f>HYPERLINK("http://secrets.rutgers.edu:8080/data/asl-ftp/asllvd/demos/verify_start_end_handshape_annotations//test_auto_move//signs_mov_separ_signers/Dana_647.mov","MOV")</f>
        <v>21</v>
      </c>
    </row>
    <row r="3093" s="2" customFormat="1" ht="13.5" customHeight="1">
      <c r="B3093" t="s" s="8">
        <v>1068</v>
      </c>
      <c r="C3093" t="s" s="9">
        <v>14</v>
      </c>
      <c r="D3093" t="s" s="8">
        <v>14</v>
      </c>
      <c r="E3093" t="s" s="9">
        <v>14</v>
      </c>
      <c r="F3093" t="s" s="10">
        <v>14</v>
      </c>
      <c r="G3093" t="s" s="11">
        <v>14</v>
      </c>
      <c r="H3093" t="s" s="10">
        <v>14</v>
      </c>
      <c r="I3093" t="s" s="11">
        <v>14</v>
      </c>
      <c r="J3093" t="s" s="11">
        <v>14</v>
      </c>
      <c r="K3093" t="s" s="12">
        <v>14</v>
      </c>
      <c r="L3093" t="s" s="12">
        <v>14</v>
      </c>
      <c r="M3093" t="s" s="10">
        <v>14</v>
      </c>
      <c r="N3093" t="s" s="11">
        <v>14</v>
      </c>
      <c r="O3093" t="s" s="8">
        <v>14</v>
      </c>
      <c r="P3093" t="s" s="8">
        <v>14</v>
      </c>
      <c r="Q3093" t="s" s="12">
        <v>14</v>
      </c>
      <c r="R3093" t="s" s="12">
        <v>14</v>
      </c>
    </row>
    <row r="3094" s="2" customFormat="1" ht="13.5" customHeight="1">
      <c r="B3094" s="13"/>
      <c r="C3094" t="s" s="9">
        <v>16</v>
      </c>
      <c r="D3094" t="s" s="8">
        <v>1068</v>
      </c>
      <c r="E3094" t="s" s="9">
        <v>1068</v>
      </c>
      <c r="F3094" t="s" s="10">
        <v>51</v>
      </c>
      <c r="G3094" s="14"/>
      <c r="H3094" t="s" s="10">
        <v>51</v>
      </c>
      <c r="I3094" s="14"/>
      <c r="J3094" t="s" s="11">
        <v>20</v>
      </c>
      <c r="K3094" s="15"/>
      <c r="L3094" t="s" s="16">
        <f>HYPERLINK("http://csr.bu.edu/ftp/asl/asllvd/demos/verify_start_end_handshape_annotations//test_auto_move//signs_mov_separ_signers/Liz_653.mov","MOV")</f>
        <v>21</v>
      </c>
      <c r="M3094" t="s" s="10">
        <v>84</v>
      </c>
      <c r="N3094" s="17">
        <v>16</v>
      </c>
      <c r="O3094" s="18">
        <v>1010</v>
      </c>
      <c r="P3094" s="18">
        <v>1050</v>
      </c>
      <c r="Q3094" s="15"/>
      <c r="R3094" t="s" s="16">
        <f>HYPERLINK("http://secrets.rutgers.edu:8080/data/asl-ftp/asllvd/demos/verify_start_end_handshape_annotations//test_auto_move//signs_mov_separ_signers/Liz_653.mov","MOV")</f>
        <v>21</v>
      </c>
    </row>
    <row r="3095" s="2" customFormat="1" ht="13.5" customHeight="1">
      <c r="B3095" s="13"/>
      <c r="C3095" t="s" s="9">
        <v>23</v>
      </c>
      <c r="D3095" t="s" s="8">
        <v>1068</v>
      </c>
      <c r="E3095" t="s" s="9">
        <v>1068</v>
      </c>
      <c r="F3095" t="s" s="10">
        <v>51</v>
      </c>
      <c r="G3095" s="14"/>
      <c r="H3095" t="s" s="10">
        <v>51</v>
      </c>
      <c r="I3095" s="14"/>
      <c r="J3095" t="s" s="11">
        <v>20</v>
      </c>
      <c r="K3095" s="15"/>
      <c r="L3095" t="s" s="16">
        <f>HYPERLINK("http://csr.bu.edu/ftp/asl/asllvd/demos/verify_start_end_handshape_annotations//test_auto_move//signs_mov_separ_signers/Tyler_653.mov","MOV")</f>
        <v>21</v>
      </c>
      <c r="M3095" t="s" s="10">
        <v>125</v>
      </c>
      <c r="N3095" s="17">
        <v>15</v>
      </c>
      <c r="O3095" s="18">
        <v>4026</v>
      </c>
      <c r="P3095" s="18">
        <v>4050</v>
      </c>
      <c r="Q3095" s="15"/>
      <c r="R3095" t="s" s="16">
        <f>HYPERLINK("http://secrets.rutgers.edu:8080/data/asl-ftp/asllvd/demos/verify_start_end_handshape_annotations//test_auto_move//signs_mov_separ_signers/Tyler_653.mov","MOV")</f>
        <v>21</v>
      </c>
    </row>
    <row r="3096" s="2" customFormat="1" ht="13.5" customHeight="1">
      <c r="B3096" s="13"/>
      <c r="C3096" t="s" s="9">
        <v>27</v>
      </c>
      <c r="D3096" t="s" s="8">
        <v>1068</v>
      </c>
      <c r="E3096" t="s" s="9">
        <v>1068</v>
      </c>
      <c r="F3096" t="s" s="10">
        <v>51</v>
      </c>
      <c r="G3096" s="14"/>
      <c r="H3096" t="s" s="10">
        <v>51</v>
      </c>
      <c r="I3096" s="14"/>
      <c r="J3096" t="s" s="11">
        <v>20</v>
      </c>
      <c r="K3096" t="s" s="16">
        <f>HYPERLINK("http://csr.bu.edu/ftp/asl/asllvd/demos/verify_start_end_handshape_annotations//test_auto_move//signs_mov/653.mov","MOV")</f>
        <v>21</v>
      </c>
      <c r="L3096" t="s" s="16">
        <f>HYPERLINK("http://csr.bu.edu/ftp/asl/asllvd/demos/verify_start_end_handshape_annotations//test_auto_move//signs_mov_separ_signers/Naomi_653.mov","MOV")</f>
        <v>21</v>
      </c>
      <c r="M3096" t="s" s="10">
        <v>86</v>
      </c>
      <c r="N3096" s="17">
        <v>16</v>
      </c>
      <c r="O3096" s="18">
        <v>1215</v>
      </c>
      <c r="P3096" s="18">
        <v>1235</v>
      </c>
      <c r="Q3096" t="s" s="16">
        <f>HYPERLINK("http://secrets.rutgers.edu:8080/data/asl-ftp/asllvd/demos/verify_start_end_handshape_annotations//test_auto_move//signs_mov/653.mov","MOV")</f>
        <v>21</v>
      </c>
      <c r="R3096" t="s" s="16">
        <f>HYPERLINK("http://secrets.rutgers.edu:8080/data/asl-ftp/asllvd/demos/verify_start_end_handshape_annotations//test_auto_move//signs_mov_separ_signers/Naomi_653.mov","MOV")</f>
        <v>21</v>
      </c>
    </row>
    <row r="3097" s="2" customFormat="1" ht="13.5" customHeight="1">
      <c r="B3097" s="13"/>
      <c r="C3097" t="s" s="9">
        <v>30</v>
      </c>
      <c r="D3097" t="s" s="8">
        <v>1068</v>
      </c>
      <c r="E3097" t="s" s="9">
        <v>1068</v>
      </c>
      <c r="F3097" t="s" s="10">
        <v>51</v>
      </c>
      <c r="G3097" s="14"/>
      <c r="H3097" t="s" s="10">
        <v>51</v>
      </c>
      <c r="I3097" s="14"/>
      <c r="J3097" t="s" s="11">
        <v>20</v>
      </c>
      <c r="K3097" s="15"/>
      <c r="L3097" t="s" s="16">
        <f>HYPERLINK("http://csr.bu.edu/ftp/asl/asllvd/demos/verify_start_end_handshape_annotations//test_auto_move//signs_mov_separ_signers/Brady_653.mov","MOV")</f>
        <v>21</v>
      </c>
      <c r="M3097" t="s" s="10">
        <v>31</v>
      </c>
      <c r="N3097" s="17">
        <v>33</v>
      </c>
      <c r="O3097" s="18">
        <v>9889</v>
      </c>
      <c r="P3097" s="18">
        <v>9914</v>
      </c>
      <c r="Q3097" s="15"/>
      <c r="R3097" t="s" s="16">
        <f>HYPERLINK("http://secrets.rutgers.edu:8080/data/asl-ftp/asllvd/demos/verify_start_end_handshape_annotations//test_auto_move//signs_mov_separ_signers/Brady_653.mov","MOV")</f>
        <v>21</v>
      </c>
    </row>
    <row r="3098" s="2" customFormat="1" ht="13.5" customHeight="1">
      <c r="B3098" s="13"/>
      <c r="C3098" t="s" s="9">
        <v>41</v>
      </c>
      <c r="D3098" t="s" s="8">
        <v>1068</v>
      </c>
      <c r="E3098" t="s" s="9">
        <v>1068</v>
      </c>
      <c r="F3098" t="s" s="10">
        <v>51</v>
      </c>
      <c r="G3098" s="14"/>
      <c r="H3098" t="s" s="10">
        <v>51</v>
      </c>
      <c r="I3098" s="14"/>
      <c r="J3098" t="s" s="11">
        <v>20</v>
      </c>
      <c r="K3098" s="15"/>
      <c r="L3098" t="s" s="16">
        <f>HYPERLINK("http://csr.bu.edu/ftp/asl/asllvd/demos/verify_start_end_handshape_annotations//test_auto_move//signs_mov_separ_signers/Lana_653.mov","MOV")</f>
        <v>21</v>
      </c>
      <c r="M3098" t="s" s="10">
        <v>42</v>
      </c>
      <c r="N3098" s="17">
        <v>6</v>
      </c>
      <c r="O3098" s="18">
        <v>2624</v>
      </c>
      <c r="P3098" s="18">
        <v>2648</v>
      </c>
      <c r="Q3098" s="15"/>
      <c r="R3098" t="s" s="16">
        <f>HYPERLINK("http://secrets.rutgers.edu:8080/data/asl-ftp/asllvd/demos/verify_start_end_handshape_annotations//test_auto_move//signs_mov_separ_signers/Lana_653.mov","MOV")</f>
        <v>21</v>
      </c>
    </row>
    <row r="3099" s="2" customFormat="1" ht="13.5" customHeight="1">
      <c r="B3099" s="13"/>
      <c r="C3099" t="s" s="9">
        <v>43</v>
      </c>
      <c r="D3099" t="s" s="8">
        <v>1068</v>
      </c>
      <c r="E3099" t="s" s="9">
        <v>1068</v>
      </c>
      <c r="F3099" t="s" s="10">
        <v>51</v>
      </c>
      <c r="G3099" s="14"/>
      <c r="H3099" t="s" s="10">
        <v>51</v>
      </c>
      <c r="I3099" s="14"/>
      <c r="J3099" t="s" s="11">
        <v>20</v>
      </c>
      <c r="K3099" s="15"/>
      <c r="L3099" t="s" s="16">
        <f>HYPERLINK("http://csr.bu.edu/ftp/asl/asllvd/demos/verify_start_end_handshape_annotations//test_auto_move//signs_mov_separ_signers/Dana_653.mov","MOV")</f>
        <v>21</v>
      </c>
      <c r="M3099" t="s" s="10">
        <v>44</v>
      </c>
      <c r="N3099" s="17">
        <v>10</v>
      </c>
      <c r="O3099" s="18">
        <v>2968</v>
      </c>
      <c r="P3099" s="18">
        <v>3016</v>
      </c>
      <c r="Q3099" s="15"/>
      <c r="R3099" t="s" s="16">
        <f>HYPERLINK("http://secrets.rutgers.edu:8080/data/asl-ftp/asllvd/demos/verify_start_end_handshape_annotations//test_auto_move//signs_mov_separ_signers/Dana_653.mov","MOV")</f>
        <v>21</v>
      </c>
    </row>
    <row r="3100" s="2" customFormat="1" ht="13.5" customHeight="1">
      <c r="B3100" t="s" s="8">
        <v>1069</v>
      </c>
      <c r="C3100" t="s" s="9">
        <v>14</v>
      </c>
      <c r="D3100" t="s" s="8">
        <v>14</v>
      </c>
      <c r="E3100" t="s" s="9">
        <v>14</v>
      </c>
      <c r="F3100" t="s" s="10">
        <v>14</v>
      </c>
      <c r="G3100" t="s" s="11">
        <v>14</v>
      </c>
      <c r="H3100" t="s" s="10">
        <v>14</v>
      </c>
      <c r="I3100" t="s" s="11">
        <v>14</v>
      </c>
      <c r="J3100" t="s" s="11">
        <v>14</v>
      </c>
      <c r="K3100" t="s" s="12">
        <v>14</v>
      </c>
      <c r="L3100" t="s" s="12">
        <v>14</v>
      </c>
      <c r="M3100" t="s" s="10">
        <v>14</v>
      </c>
      <c r="N3100" t="s" s="11">
        <v>14</v>
      </c>
      <c r="O3100" t="s" s="8">
        <v>14</v>
      </c>
      <c r="P3100" t="s" s="8">
        <v>14</v>
      </c>
      <c r="Q3100" t="s" s="12">
        <v>14</v>
      </c>
      <c r="R3100" t="s" s="12">
        <v>14</v>
      </c>
    </row>
    <row r="3101" s="2" customFormat="1" ht="13.5" customHeight="1">
      <c r="B3101" s="13"/>
      <c r="C3101" t="s" s="9">
        <v>16</v>
      </c>
      <c r="D3101" t="s" s="8">
        <v>1069</v>
      </c>
      <c r="E3101" t="s" s="9">
        <v>1069</v>
      </c>
      <c r="F3101" t="s" s="10">
        <v>152</v>
      </c>
      <c r="G3101" t="s" s="11">
        <v>73</v>
      </c>
      <c r="H3101" t="s" s="10">
        <v>152</v>
      </c>
      <c r="I3101" t="s" s="11">
        <v>73</v>
      </c>
      <c r="J3101" t="s" s="11">
        <v>20</v>
      </c>
      <c r="K3101" s="15"/>
      <c r="L3101" t="s" s="16">
        <f>HYPERLINK("http://csr.bu.edu/ftp/asl/asllvd/demos/verify_start_end_handshape_annotations//test_auto_move//signs_mov_separ_signers/Liz_654.mov","MOV")</f>
        <v>21</v>
      </c>
      <c r="M3101" t="s" s="10">
        <v>84</v>
      </c>
      <c r="N3101" s="17">
        <v>16</v>
      </c>
      <c r="O3101" s="18">
        <v>1450</v>
      </c>
      <c r="P3101" s="18">
        <v>1486</v>
      </c>
      <c r="Q3101" s="15"/>
      <c r="R3101" t="s" s="16">
        <f>HYPERLINK("http://secrets.rutgers.edu:8080/data/asl-ftp/asllvd/demos/verify_start_end_handshape_annotations//test_auto_move//signs_mov_separ_signers/Liz_654.mov","MOV")</f>
        <v>21</v>
      </c>
    </row>
    <row r="3102" s="2" customFormat="1" ht="13.5" customHeight="1">
      <c r="B3102" s="13"/>
      <c r="C3102" t="s" s="9">
        <v>16</v>
      </c>
      <c r="D3102" t="s" s="8">
        <v>1069</v>
      </c>
      <c r="E3102" t="s" s="9">
        <v>1069</v>
      </c>
      <c r="F3102" t="s" s="10">
        <v>55</v>
      </c>
      <c r="G3102" t="s" s="11">
        <v>73</v>
      </c>
      <c r="H3102" t="s" s="10">
        <v>55</v>
      </c>
      <c r="I3102" t="s" s="11">
        <v>73</v>
      </c>
      <c r="J3102" t="s" s="11">
        <v>20</v>
      </c>
      <c r="K3102" s="15"/>
      <c r="L3102" t="s" s="16">
        <f>HYPERLINK("http://csr.bu.edu/ftp/asl/asllvd/demos/verify_start_end_handshape_annotations//test_auto_move//signs_mov_separ_signers/Liz_3608.mov","MOV")</f>
        <v>21</v>
      </c>
      <c r="M3102" t="s" s="10">
        <v>36</v>
      </c>
      <c r="N3102" s="17">
        <v>30</v>
      </c>
      <c r="O3102" s="18">
        <v>1338</v>
      </c>
      <c r="P3102" s="18">
        <v>1380</v>
      </c>
      <c r="Q3102" s="15"/>
      <c r="R3102" t="s" s="16">
        <f>HYPERLINK("http://secrets.rutgers.edu:8080/data/asl-ftp/asllvd/demos/verify_start_end_handshape_annotations//test_auto_move//signs_mov_separ_signers/Liz_3608.mov","MOV")</f>
        <v>21</v>
      </c>
    </row>
    <row r="3103" s="2" customFormat="1" ht="13.5" customHeight="1">
      <c r="B3103" s="13"/>
      <c r="C3103" t="s" s="9">
        <v>23</v>
      </c>
      <c r="D3103" t="s" s="8">
        <v>1069</v>
      </c>
      <c r="E3103" t="s" s="9">
        <v>1069</v>
      </c>
      <c r="F3103" t="s" s="10">
        <v>152</v>
      </c>
      <c r="G3103" t="s" s="11">
        <v>73</v>
      </c>
      <c r="H3103" t="s" s="10">
        <v>152</v>
      </c>
      <c r="I3103" t="s" s="11">
        <v>73</v>
      </c>
      <c r="J3103" t="s" s="11">
        <v>20</v>
      </c>
      <c r="K3103" s="15"/>
      <c r="L3103" t="s" s="16">
        <f>HYPERLINK("http://csr.bu.edu/ftp/asl/asllvd/demos/verify_start_end_handshape_annotations//test_auto_move//signs_mov_separ_signers/Tyler_654.mov","MOV")</f>
        <v>21</v>
      </c>
      <c r="M3103" t="s" s="10">
        <v>125</v>
      </c>
      <c r="N3103" s="17">
        <v>15</v>
      </c>
      <c r="O3103" s="18">
        <v>4510</v>
      </c>
      <c r="P3103" s="18">
        <v>4535</v>
      </c>
      <c r="Q3103" s="15"/>
      <c r="R3103" t="s" s="16">
        <f>HYPERLINK("http://secrets.rutgers.edu:8080/data/asl-ftp/asllvd/demos/verify_start_end_handshape_annotations//test_auto_move//signs_mov_separ_signers/Tyler_654.mov","MOV")</f>
        <v>21</v>
      </c>
    </row>
    <row r="3104" s="2" customFormat="1" ht="13.5" customHeight="1">
      <c r="B3104" s="13"/>
      <c r="C3104" t="s" s="9">
        <v>27</v>
      </c>
      <c r="D3104" t="s" s="8">
        <v>1069</v>
      </c>
      <c r="E3104" t="s" s="9">
        <v>1069</v>
      </c>
      <c r="F3104" t="s" s="10">
        <v>55</v>
      </c>
      <c r="G3104" t="s" s="11">
        <v>73</v>
      </c>
      <c r="H3104" t="s" s="10">
        <v>55</v>
      </c>
      <c r="I3104" t="s" s="11">
        <v>73</v>
      </c>
      <c r="J3104" t="s" s="11">
        <v>20</v>
      </c>
      <c r="K3104" t="s" s="16">
        <f>HYPERLINK("http://csr.bu.edu/ftp/asl/asllvd/demos/verify_start_end_handshape_annotations//test_auto_move//signs_mov/654_3608_3848_merged.mov","MOV")</f>
        <v>21</v>
      </c>
      <c r="L3104" t="s" s="16">
        <f>HYPERLINK("http://csr.bu.edu/ftp/asl/asllvd/demos/verify_start_end_handshape_annotations//test_auto_move//signs_mov_separ_signers/Naomi_654.mov","MOV")</f>
        <v>21</v>
      </c>
      <c r="M3104" t="s" s="10">
        <v>86</v>
      </c>
      <c r="N3104" s="17">
        <v>16</v>
      </c>
      <c r="O3104" s="18">
        <v>1637</v>
      </c>
      <c r="P3104" s="18">
        <v>1655</v>
      </c>
      <c r="Q3104" t="s" s="16">
        <f>HYPERLINK("http://secrets.rutgers.edu:8080/data/asl-ftp/asllvd/demos/verify_start_end_handshape_annotations//test_auto_move//signs_mov/654_3608_3848_merged.mov","MOV")</f>
        <v>21</v>
      </c>
      <c r="R3104" t="s" s="16">
        <f>HYPERLINK("http://secrets.rutgers.edu:8080/data/asl-ftp/asllvd/demos/verify_start_end_handshape_annotations//test_auto_move//signs_mov_separ_signers/Naomi_654.mov","MOV")</f>
        <v>21</v>
      </c>
    </row>
    <row r="3105" s="2" customFormat="1" ht="13.5" customHeight="1">
      <c r="B3105" s="13"/>
      <c r="C3105" t="s" s="9">
        <v>27</v>
      </c>
      <c r="D3105" t="s" s="8">
        <v>1069</v>
      </c>
      <c r="E3105" t="s" s="9">
        <v>1069</v>
      </c>
      <c r="F3105" t="s" s="10">
        <v>55</v>
      </c>
      <c r="G3105" t="s" s="11">
        <v>73</v>
      </c>
      <c r="H3105" t="s" s="10">
        <v>55</v>
      </c>
      <c r="I3105" t="s" s="11">
        <v>73</v>
      </c>
      <c r="J3105" t="s" s="11">
        <v>20</v>
      </c>
      <c r="K3105" s="15"/>
      <c r="L3105" t="s" s="16">
        <f>HYPERLINK("http://csr.bu.edu/ftp/asl/asllvd/demos/verify_start_end_handshape_annotations//test_auto_move//signs_mov_separ_signers/Naomi_3608.mov","MOV")</f>
        <v>21</v>
      </c>
      <c r="M3105" t="s" s="10">
        <v>86</v>
      </c>
      <c r="N3105" s="17">
        <v>16</v>
      </c>
      <c r="O3105" s="18">
        <v>1890</v>
      </c>
      <c r="P3105" s="18">
        <v>1910</v>
      </c>
      <c r="Q3105" s="15"/>
      <c r="R3105" t="s" s="16">
        <f>HYPERLINK("http://secrets.rutgers.edu:8080/data/asl-ftp/asllvd/demos/verify_start_end_handshape_annotations//test_auto_move//signs_mov_separ_signers/Naomi_3608.mov","MOV")</f>
        <v>21</v>
      </c>
    </row>
    <row r="3106" s="2" customFormat="1" ht="13.5" customHeight="1">
      <c r="B3106" s="13"/>
      <c r="C3106" t="s" s="9">
        <v>30</v>
      </c>
      <c r="D3106" t="s" s="8">
        <v>1069</v>
      </c>
      <c r="E3106" t="s" s="9">
        <v>1069</v>
      </c>
      <c r="F3106" t="s" s="10">
        <v>152</v>
      </c>
      <c r="G3106" t="s" s="11">
        <v>73</v>
      </c>
      <c r="H3106" t="s" s="10">
        <v>152</v>
      </c>
      <c r="I3106" t="s" s="11">
        <v>73</v>
      </c>
      <c r="J3106" t="s" s="11">
        <v>20</v>
      </c>
      <c r="K3106" s="15"/>
      <c r="L3106" t="s" s="16">
        <f>HYPERLINK("http://csr.bu.edu/ftp/asl/asllvd/demos/verify_start_end_handshape_annotations//test_auto_move//signs_mov_separ_signers/Brady_654.mov","MOV")</f>
        <v>21</v>
      </c>
      <c r="M3106" t="s" s="10">
        <v>31</v>
      </c>
      <c r="N3106" s="17">
        <v>33</v>
      </c>
      <c r="O3106" s="18">
        <v>10147</v>
      </c>
      <c r="P3106" s="18">
        <v>10168</v>
      </c>
      <c r="Q3106" s="15"/>
      <c r="R3106" t="s" s="16">
        <f>HYPERLINK("http://secrets.rutgers.edu:8080/data/asl-ftp/asllvd/demos/verify_start_end_handshape_annotations//test_auto_move//signs_mov_separ_signers/Brady_654.mov","MOV")</f>
        <v>21</v>
      </c>
    </row>
    <row r="3107" s="2" customFormat="1" ht="13.5" customHeight="1">
      <c r="B3107" s="13"/>
      <c r="C3107" t="s" s="9">
        <v>30</v>
      </c>
      <c r="D3107" t="s" s="8">
        <v>1069</v>
      </c>
      <c r="E3107" t="s" s="9">
        <v>1069</v>
      </c>
      <c r="F3107" t="s" s="10">
        <v>152</v>
      </c>
      <c r="G3107" t="s" s="11">
        <v>73</v>
      </c>
      <c r="H3107" t="s" s="10">
        <v>152</v>
      </c>
      <c r="I3107" t="s" s="11">
        <v>73</v>
      </c>
      <c r="J3107" t="s" s="11">
        <v>20</v>
      </c>
      <c r="K3107" s="15"/>
      <c r="L3107" t="s" s="16">
        <f>HYPERLINK("http://csr.bu.edu/ftp/asl/asllvd/demos/verify_start_end_handshape_annotations//test_auto_move//signs_mov_separ_signers/Brady_3608.mov","MOV")</f>
        <v>21</v>
      </c>
      <c r="M3107" t="s" s="10">
        <v>31</v>
      </c>
      <c r="N3107" s="17">
        <v>33</v>
      </c>
      <c r="O3107" s="18">
        <v>10724</v>
      </c>
      <c r="P3107" s="18">
        <v>10744</v>
      </c>
      <c r="Q3107" s="15"/>
      <c r="R3107" t="s" s="16">
        <f>HYPERLINK("http://secrets.rutgers.edu:8080/data/asl-ftp/asllvd/demos/verify_start_end_handshape_annotations//test_auto_move//signs_mov_separ_signers/Brady_3608.mov","MOV")</f>
        <v>21</v>
      </c>
    </row>
    <row r="3108" s="2" customFormat="1" ht="13.5" customHeight="1">
      <c r="B3108" s="13"/>
      <c r="C3108" t="s" s="9">
        <v>30</v>
      </c>
      <c r="D3108" t="s" s="8">
        <v>1069</v>
      </c>
      <c r="E3108" t="s" s="9">
        <v>1069</v>
      </c>
      <c r="F3108" t="s" s="10">
        <v>152</v>
      </c>
      <c r="G3108" t="s" s="11">
        <v>73</v>
      </c>
      <c r="H3108" t="s" s="10">
        <v>152</v>
      </c>
      <c r="I3108" t="s" s="11">
        <v>73</v>
      </c>
      <c r="J3108" t="s" s="11">
        <v>20</v>
      </c>
      <c r="K3108" s="15"/>
      <c r="L3108" t="s" s="16">
        <f>HYPERLINK("http://csr.bu.edu/ftp/asl/asllvd/demos/verify_start_end_handshape_annotations//test_auto_move//signs_mov_separ_signers/Brady_3848.mov","MOV")</f>
        <v>21</v>
      </c>
      <c r="M3108" t="s" s="10">
        <v>40</v>
      </c>
      <c r="N3108" s="17">
        <v>81</v>
      </c>
      <c r="O3108" s="18">
        <v>1637</v>
      </c>
      <c r="P3108" s="18">
        <v>1660</v>
      </c>
      <c r="Q3108" s="15"/>
      <c r="R3108" t="s" s="16">
        <f>HYPERLINK("http://secrets.rutgers.edu:8080/data/asl-ftp/asllvd/demos/verify_start_end_handshape_annotations//test_auto_move//signs_mov_separ_signers/Brady_3848.mov","MOV")</f>
        <v>21</v>
      </c>
    </row>
    <row r="3109" s="2" customFormat="1" ht="13.5" customHeight="1">
      <c r="B3109" t="s" s="8">
        <v>52</v>
      </c>
      <c r="C3109" t="s" s="9">
        <v>53</v>
      </c>
      <c r="D3109" t="s" s="8">
        <v>53</v>
      </c>
      <c r="E3109" t="s" s="9">
        <v>53</v>
      </c>
      <c r="F3109" t="s" s="10">
        <v>53</v>
      </c>
      <c r="G3109" t="s" s="11">
        <v>53</v>
      </c>
      <c r="H3109" t="s" s="10">
        <v>53</v>
      </c>
      <c r="I3109" t="s" s="11">
        <v>53</v>
      </c>
      <c r="J3109" t="s" s="11">
        <v>53</v>
      </c>
      <c r="K3109" t="s" s="12">
        <v>53</v>
      </c>
      <c r="L3109" t="s" s="12">
        <v>53</v>
      </c>
      <c r="M3109" t="s" s="10">
        <v>53</v>
      </c>
      <c r="N3109" t="s" s="11">
        <v>53</v>
      </c>
      <c r="O3109" t="s" s="8">
        <v>53</v>
      </c>
      <c r="P3109" t="s" s="8">
        <v>53</v>
      </c>
      <c r="Q3109" t="s" s="12">
        <v>53</v>
      </c>
      <c r="R3109" t="s" s="12">
        <v>53</v>
      </c>
    </row>
    <row r="3110" s="2" customFormat="1" ht="13.5" customHeight="1">
      <c r="B3110" s="13"/>
      <c r="C3110" t="s" s="9">
        <v>16</v>
      </c>
      <c r="D3110" t="s" s="8">
        <v>1069</v>
      </c>
      <c r="E3110" t="s" s="9">
        <v>1070</v>
      </c>
      <c r="F3110" t="s" s="10">
        <v>51</v>
      </c>
      <c r="G3110" t="s" s="11">
        <v>73</v>
      </c>
      <c r="H3110" t="s" s="10">
        <v>51</v>
      </c>
      <c r="I3110" t="s" s="11">
        <v>73</v>
      </c>
      <c r="J3110" t="s" s="11">
        <v>20</v>
      </c>
      <c r="K3110" t="s" s="16">
        <f>HYPERLINK("http://csr.bu.edu/ftp/asl/asllvd/demos/verify_start_end_handshape_annotations//test_auto_move//signs_mov/5428.mov","MOV")</f>
        <v>21</v>
      </c>
      <c r="L3110" t="s" s="16">
        <f>HYPERLINK("http://csr.bu.edu/ftp/asl/asllvd/demos/verify_start_end_handshape_annotations//test_auto_move//signs_mov_separ_signers/Liz_5428.mov","MOV")</f>
        <v>21</v>
      </c>
      <c r="M3110" t="s" s="10">
        <v>84</v>
      </c>
      <c r="N3110" s="17">
        <v>16</v>
      </c>
      <c r="O3110" s="18">
        <v>1240</v>
      </c>
      <c r="P3110" s="18">
        <v>1260</v>
      </c>
      <c r="Q3110" t="s" s="16">
        <f>HYPERLINK("http://secrets.rutgers.edu:8080/data/asl-ftp/asllvd/demos/verify_start_end_handshape_annotations//test_auto_move//signs_mov/5428.mov","MOV")</f>
        <v>21</v>
      </c>
      <c r="R3110" t="s" s="16">
        <f>HYPERLINK("http://secrets.rutgers.edu:8080/data/asl-ftp/asllvd/demos/verify_start_end_handshape_annotations//test_auto_move//signs_mov_separ_signers/Liz_5428.mov","MOV")</f>
        <v>21</v>
      </c>
    </row>
    <row r="3111" s="2" customFormat="1" ht="13.5" customHeight="1">
      <c r="B3111" s="13"/>
      <c r="C3111" t="s" s="9">
        <v>23</v>
      </c>
      <c r="D3111" t="s" s="8">
        <v>1069</v>
      </c>
      <c r="E3111" t="s" s="9">
        <v>1070</v>
      </c>
      <c r="F3111" t="s" s="10">
        <v>51</v>
      </c>
      <c r="G3111" t="s" s="11">
        <v>73</v>
      </c>
      <c r="H3111" t="s" s="10">
        <v>51</v>
      </c>
      <c r="I3111" t="s" s="11">
        <v>73</v>
      </c>
      <c r="J3111" t="s" s="11">
        <v>20</v>
      </c>
      <c r="K3111" s="15"/>
      <c r="L3111" t="s" s="16">
        <f>HYPERLINK("http://csr.bu.edu/ftp/asl/asllvd/demos/verify_start_end_handshape_annotations//test_auto_move//signs_mov_separ_signers/Tyler_5428.mov","MOV")</f>
        <v>21</v>
      </c>
      <c r="M3111" t="s" s="10">
        <v>125</v>
      </c>
      <c r="N3111" s="17">
        <v>15</v>
      </c>
      <c r="O3111" s="18">
        <v>4280</v>
      </c>
      <c r="P3111" s="18">
        <v>4320</v>
      </c>
      <c r="Q3111" s="15"/>
      <c r="R3111" t="s" s="16">
        <f>HYPERLINK("http://secrets.rutgers.edu:8080/data/asl-ftp/asllvd/demos/verify_start_end_handshape_annotations//test_auto_move//signs_mov_separ_signers/Tyler_5428.mov","MOV")</f>
        <v>21</v>
      </c>
    </row>
    <row r="3112" s="2" customFormat="1" ht="13.5" customHeight="1">
      <c r="B3112" t="s" s="8">
        <v>1071</v>
      </c>
      <c r="C3112" t="s" s="9">
        <v>14</v>
      </c>
      <c r="D3112" t="s" s="8">
        <v>14</v>
      </c>
      <c r="E3112" t="s" s="9">
        <v>14</v>
      </c>
      <c r="F3112" t="s" s="10">
        <v>14</v>
      </c>
      <c r="G3112" t="s" s="11">
        <v>14</v>
      </c>
      <c r="H3112" t="s" s="10">
        <v>14</v>
      </c>
      <c r="I3112" t="s" s="11">
        <v>14</v>
      </c>
      <c r="J3112" t="s" s="11">
        <v>14</v>
      </c>
      <c r="K3112" t="s" s="12">
        <v>14</v>
      </c>
      <c r="L3112" t="s" s="12">
        <v>14</v>
      </c>
      <c r="M3112" t="s" s="10">
        <v>14</v>
      </c>
      <c r="N3112" t="s" s="11">
        <v>14</v>
      </c>
      <c r="O3112" t="s" s="8">
        <v>14</v>
      </c>
      <c r="P3112" t="s" s="8">
        <v>14</v>
      </c>
      <c r="Q3112" t="s" s="12">
        <v>14</v>
      </c>
      <c r="R3112" t="s" s="12">
        <v>14</v>
      </c>
    </row>
    <row r="3113" s="2" customFormat="1" ht="13.5" customHeight="1">
      <c r="B3113" s="13"/>
      <c r="C3113" t="s" s="9">
        <v>27</v>
      </c>
      <c r="D3113" t="s" s="8">
        <v>1071</v>
      </c>
      <c r="E3113" t="s" s="9">
        <v>1071</v>
      </c>
      <c r="F3113" t="s" s="10">
        <v>255</v>
      </c>
      <c r="G3113" s="14"/>
      <c r="H3113" t="s" s="10">
        <v>255</v>
      </c>
      <c r="I3113" s="14"/>
      <c r="J3113" t="s" s="11">
        <v>20</v>
      </c>
      <c r="K3113" t="s" s="16">
        <f>HYPERLINK("http://csr.bu.edu/ftp/asl/asllvd/demos/verify_start_end_handshape_annotations//test_auto_move//signs_mov/657.mov","MOV")</f>
        <v>21</v>
      </c>
      <c r="L3113" t="s" s="16">
        <f>HYPERLINK("http://csr.bu.edu/ftp/asl/asllvd/demos/verify_start_end_handshape_annotations//test_auto_move//signs_mov_separ_signers/Naomi_657.mov","MOV")</f>
        <v>21</v>
      </c>
      <c r="M3113" t="s" s="10">
        <v>86</v>
      </c>
      <c r="N3113" s="17">
        <v>16</v>
      </c>
      <c r="O3113" s="18">
        <v>3855</v>
      </c>
      <c r="P3113" s="18">
        <v>3875</v>
      </c>
      <c r="Q3113" t="s" s="16">
        <f>HYPERLINK("http://secrets.rutgers.edu:8080/data/asl-ftp/asllvd/demos/verify_start_end_handshape_annotations//test_auto_move//signs_mov/657.mov","MOV")</f>
        <v>21</v>
      </c>
      <c r="R3113" t="s" s="16">
        <f>HYPERLINK("http://secrets.rutgers.edu:8080/data/asl-ftp/asllvd/demos/verify_start_end_handshape_annotations//test_auto_move//signs_mov_separ_signers/Naomi_657.mov","MOV")</f>
        <v>21</v>
      </c>
    </row>
    <row r="3114" s="2" customFormat="1" ht="13.5" customHeight="1">
      <c r="B3114" t="s" s="8">
        <v>1072</v>
      </c>
      <c r="C3114" t="s" s="9">
        <v>14</v>
      </c>
      <c r="D3114" t="s" s="8">
        <v>14</v>
      </c>
      <c r="E3114" t="s" s="9">
        <v>14</v>
      </c>
      <c r="F3114" t="s" s="10">
        <v>14</v>
      </c>
      <c r="G3114" t="s" s="11">
        <v>14</v>
      </c>
      <c r="H3114" t="s" s="10">
        <v>14</v>
      </c>
      <c r="I3114" t="s" s="11">
        <v>14</v>
      </c>
      <c r="J3114" t="s" s="11">
        <v>14</v>
      </c>
      <c r="K3114" t="s" s="12">
        <v>14</v>
      </c>
      <c r="L3114" t="s" s="12">
        <v>14</v>
      </c>
      <c r="M3114" t="s" s="10">
        <v>14</v>
      </c>
      <c r="N3114" t="s" s="11">
        <v>14</v>
      </c>
      <c r="O3114" t="s" s="8">
        <v>14</v>
      </c>
      <c r="P3114" t="s" s="8">
        <v>14</v>
      </c>
      <c r="Q3114" t="s" s="12">
        <v>14</v>
      </c>
      <c r="R3114" t="s" s="12">
        <v>14</v>
      </c>
    </row>
    <row r="3115" s="2" customFormat="1" ht="13.5" customHeight="1">
      <c r="B3115" s="13"/>
      <c r="C3115" t="s" s="9">
        <v>16</v>
      </c>
      <c r="D3115" t="s" s="8">
        <v>1072</v>
      </c>
      <c r="E3115" t="s" s="9">
        <v>1073</v>
      </c>
      <c r="F3115" s="19">
        <v>1</v>
      </c>
      <c r="G3115" s="17">
        <v>1</v>
      </c>
      <c r="H3115" s="19">
        <v>1</v>
      </c>
      <c r="I3115" s="17">
        <v>1</v>
      </c>
      <c r="J3115" t="s" s="11">
        <v>20</v>
      </c>
      <c r="K3115" s="15"/>
      <c r="L3115" t="s" s="16">
        <f>HYPERLINK("http://csr.bu.edu/ftp/asl/asllvd/demos/verify_start_end_handshape_annotations//test_auto_move//signs_mov_separ_signers/Liz_659.mov","MOV")</f>
        <v>21</v>
      </c>
      <c r="M3115" t="s" s="10">
        <v>84</v>
      </c>
      <c r="N3115" s="17">
        <v>16</v>
      </c>
      <c r="O3115" s="18">
        <v>3336</v>
      </c>
      <c r="P3115" s="18">
        <v>3395</v>
      </c>
      <c r="Q3115" s="15"/>
      <c r="R3115" t="s" s="16">
        <f>HYPERLINK("http://secrets.rutgers.edu:8080/data/asl-ftp/asllvd/demos/verify_start_end_handshape_annotations//test_auto_move//signs_mov_separ_signers/Liz_659.mov","MOV")</f>
        <v>21</v>
      </c>
    </row>
    <row r="3116" s="2" customFormat="1" ht="13.5" customHeight="1">
      <c r="B3116" s="13"/>
      <c r="C3116" t="s" s="9">
        <v>23</v>
      </c>
      <c r="D3116" t="s" s="8">
        <v>1072</v>
      </c>
      <c r="E3116" t="s" s="9">
        <v>1073</v>
      </c>
      <c r="F3116" s="19">
        <v>1</v>
      </c>
      <c r="G3116" s="17">
        <v>1</v>
      </c>
      <c r="H3116" s="19">
        <v>1</v>
      </c>
      <c r="I3116" s="17">
        <v>1</v>
      </c>
      <c r="J3116" t="s" s="11">
        <v>20</v>
      </c>
      <c r="K3116" t="s" s="16">
        <f>HYPERLINK("http://csr.bu.edu/ftp/asl/asllvd/demos/verify_start_end_handshape_annotations//test_auto_move//signs_mov/659.mov","MOV")</f>
        <v>21</v>
      </c>
      <c r="L3116" t="s" s="16">
        <f>HYPERLINK("http://csr.bu.edu/ftp/asl/asllvd/demos/verify_start_end_handshape_annotations//test_auto_move//signs_mov_separ_signers/Tyler_659.mov","MOV")</f>
        <v>21</v>
      </c>
      <c r="M3116" t="s" s="10">
        <v>125</v>
      </c>
      <c r="N3116" s="17">
        <v>15</v>
      </c>
      <c r="O3116" s="18">
        <v>6511</v>
      </c>
      <c r="P3116" s="18">
        <v>6550</v>
      </c>
      <c r="Q3116" t="s" s="16">
        <f>HYPERLINK("http://secrets.rutgers.edu:8080/data/asl-ftp/asllvd/demos/verify_start_end_handshape_annotations//test_auto_move//signs_mov/659.mov","MOV")</f>
        <v>21</v>
      </c>
      <c r="R3116" t="s" s="16">
        <f>HYPERLINK("http://secrets.rutgers.edu:8080/data/asl-ftp/asllvd/demos/verify_start_end_handshape_annotations//test_auto_move//signs_mov_separ_signers/Tyler_659.mov","MOV")</f>
        <v>21</v>
      </c>
    </row>
    <row r="3117" s="2" customFormat="1" ht="13.5" customHeight="1">
      <c r="B3117" s="13"/>
      <c r="C3117" t="s" s="9">
        <v>27</v>
      </c>
      <c r="D3117" t="s" s="8">
        <v>1072</v>
      </c>
      <c r="E3117" t="s" s="9">
        <v>1073</v>
      </c>
      <c r="F3117" t="s" s="10">
        <v>51</v>
      </c>
      <c r="G3117" t="s" s="11">
        <v>51</v>
      </c>
      <c r="H3117" t="s" s="10">
        <v>51</v>
      </c>
      <c r="I3117" t="s" s="11">
        <v>51</v>
      </c>
      <c r="J3117" t="s" s="11">
        <v>20</v>
      </c>
      <c r="K3117" s="15"/>
      <c r="L3117" t="s" s="16">
        <f>HYPERLINK("http://csr.bu.edu/ftp/asl/asllvd/demos/verify_start_end_handshape_annotations//test_auto_move//signs_mov_separ_signers/Naomi_659.mov","MOV")</f>
        <v>21</v>
      </c>
      <c r="M3117" t="s" s="10">
        <v>86</v>
      </c>
      <c r="N3117" s="17">
        <v>16</v>
      </c>
      <c r="O3117" s="18">
        <v>4280</v>
      </c>
      <c r="P3117" s="18">
        <v>4335</v>
      </c>
      <c r="Q3117" s="15"/>
      <c r="R3117" t="s" s="16">
        <f>HYPERLINK("http://secrets.rutgers.edu:8080/data/asl-ftp/asllvd/demos/verify_start_end_handshape_annotations//test_auto_move//signs_mov_separ_signers/Naomi_659.mov","MOV")</f>
        <v>21</v>
      </c>
    </row>
    <row r="3118" s="2" customFormat="1" ht="13.5" customHeight="1">
      <c r="B3118" s="13"/>
      <c r="C3118" t="s" s="9">
        <v>30</v>
      </c>
      <c r="D3118" t="s" s="8">
        <v>1072</v>
      </c>
      <c r="E3118" t="s" s="9">
        <v>1073</v>
      </c>
      <c r="F3118" s="19">
        <v>1</v>
      </c>
      <c r="G3118" s="17">
        <v>1</v>
      </c>
      <c r="H3118" s="19">
        <v>1</v>
      </c>
      <c r="I3118" s="17">
        <v>1</v>
      </c>
      <c r="J3118" t="s" s="11">
        <v>20</v>
      </c>
      <c r="K3118" s="15"/>
      <c r="L3118" t="s" s="16">
        <f>HYPERLINK("http://csr.bu.edu/ftp/asl/asllvd/demos/verify_start_end_handshape_annotations//test_auto_move//signs_mov_separ_signers/Brady_659.mov","MOV")</f>
        <v>21</v>
      </c>
      <c r="M3118" t="s" s="10">
        <v>31</v>
      </c>
      <c r="N3118" s="17">
        <v>34</v>
      </c>
      <c r="O3118" s="18">
        <v>554</v>
      </c>
      <c r="P3118" s="18">
        <v>584</v>
      </c>
      <c r="Q3118" s="15"/>
      <c r="R3118" t="s" s="16">
        <f>HYPERLINK("http://secrets.rutgers.edu:8080/data/asl-ftp/asllvd/demos/verify_start_end_handshape_annotations//test_auto_move//signs_mov_separ_signers/Brady_659.mov","MOV")</f>
        <v>21</v>
      </c>
    </row>
    <row r="3119" s="2" customFormat="1" ht="13.5" customHeight="1">
      <c r="B3119" t="s" s="8">
        <v>1074</v>
      </c>
      <c r="C3119" t="s" s="9">
        <v>14</v>
      </c>
      <c r="D3119" t="s" s="8">
        <v>14</v>
      </c>
      <c r="E3119" t="s" s="9">
        <v>14</v>
      </c>
      <c r="F3119" t="s" s="10">
        <v>14</v>
      </c>
      <c r="G3119" t="s" s="11">
        <v>14</v>
      </c>
      <c r="H3119" t="s" s="10">
        <v>14</v>
      </c>
      <c r="I3119" t="s" s="11">
        <v>14</v>
      </c>
      <c r="J3119" t="s" s="11">
        <v>14</v>
      </c>
      <c r="K3119" t="s" s="12">
        <v>14</v>
      </c>
      <c r="L3119" t="s" s="12">
        <v>14</v>
      </c>
      <c r="M3119" t="s" s="10">
        <v>14</v>
      </c>
      <c r="N3119" t="s" s="11">
        <v>14</v>
      </c>
      <c r="O3119" t="s" s="8">
        <v>14</v>
      </c>
      <c r="P3119" t="s" s="8">
        <v>14</v>
      </c>
      <c r="Q3119" t="s" s="12">
        <v>14</v>
      </c>
      <c r="R3119" t="s" s="12">
        <v>14</v>
      </c>
    </row>
    <row r="3120" s="2" customFormat="1" ht="13.5" customHeight="1">
      <c r="B3120" s="13"/>
      <c r="C3120" t="s" s="9">
        <v>16</v>
      </c>
      <c r="D3120" t="s" s="8">
        <v>1074</v>
      </c>
      <c r="E3120" t="s" s="9">
        <v>1075</v>
      </c>
      <c r="F3120" t="s" s="10">
        <v>287</v>
      </c>
      <c r="G3120" t="s" s="11">
        <v>287</v>
      </c>
      <c r="H3120" t="s" s="10">
        <v>287</v>
      </c>
      <c r="I3120" t="s" s="11">
        <v>287</v>
      </c>
      <c r="J3120" t="s" s="11">
        <v>20</v>
      </c>
      <c r="K3120" s="15"/>
      <c r="L3120" t="s" s="16">
        <f>HYPERLINK("http://csr.bu.edu/ftp/asl/asllvd/demos/verify_start_end_handshape_annotations//test_auto_move//signs_mov_separ_signers/Liz_15453.mov","MOV")</f>
        <v>21</v>
      </c>
      <c r="M3120" t="s" s="10">
        <v>34</v>
      </c>
      <c r="N3120" s="17">
        <v>34</v>
      </c>
      <c r="O3120" s="18">
        <v>1865</v>
      </c>
      <c r="P3120" s="18">
        <v>1925</v>
      </c>
      <c r="Q3120" s="15"/>
      <c r="R3120" t="s" s="16">
        <f>HYPERLINK("http://secrets.rutgers.edu:8080/data/asl-ftp/asllvd/demos/verify_start_end_handshape_annotations//test_auto_move//signs_mov_separ_signers/Liz_15453.mov","MOV")</f>
        <v>21</v>
      </c>
    </row>
    <row r="3121" s="2" customFormat="1" ht="13.5" customHeight="1">
      <c r="B3121" s="13"/>
      <c r="C3121" t="s" s="9">
        <v>23</v>
      </c>
      <c r="D3121" t="s" s="8">
        <v>1074</v>
      </c>
      <c r="E3121" t="s" s="9">
        <v>1075</v>
      </c>
      <c r="F3121" t="s" s="10">
        <v>287</v>
      </c>
      <c r="G3121" t="s" s="11">
        <v>287</v>
      </c>
      <c r="H3121" t="s" s="10">
        <v>287</v>
      </c>
      <c r="I3121" t="s" s="11">
        <v>287</v>
      </c>
      <c r="J3121" t="s" s="11">
        <v>20</v>
      </c>
      <c r="K3121" t="s" s="16">
        <f>HYPERLINK("http://csr.bu.edu/ftp/asl/asllvd/demos/verify_start_end_handshape_annotations//test_auto_move//signs_mov/15453.mov","MOV")</f>
        <v>21</v>
      </c>
      <c r="L3121" t="s" s="16">
        <f>HYPERLINK("http://csr.bu.edu/ftp/asl/asllvd/demos/verify_start_end_handshape_annotations//test_auto_move//signs_mov_separ_signers/Tyler_15453.mov","MOV")</f>
        <v>21</v>
      </c>
      <c r="M3121" t="s" s="10">
        <v>37</v>
      </c>
      <c r="N3121" s="17">
        <v>8</v>
      </c>
      <c r="O3121" s="18">
        <v>1255</v>
      </c>
      <c r="P3121" s="18">
        <v>1292</v>
      </c>
      <c r="Q3121" t="s" s="16">
        <f>HYPERLINK("http://secrets.rutgers.edu:8080/data/asl-ftp/asllvd/demos/verify_start_end_handshape_annotations//test_auto_move//signs_mov/15453.mov","MOV")</f>
        <v>21</v>
      </c>
      <c r="R3121" t="s" s="16">
        <f>HYPERLINK("http://secrets.rutgers.edu:8080/data/asl-ftp/asllvd/demos/verify_start_end_handshape_annotations//test_auto_move//signs_mov_separ_signers/Tyler_15453.mov","MOV")</f>
        <v>21</v>
      </c>
    </row>
    <row r="3122" s="2" customFormat="1" ht="13.5" customHeight="1">
      <c r="B3122" s="13"/>
      <c r="C3122" t="s" s="9">
        <v>27</v>
      </c>
      <c r="D3122" t="s" s="8">
        <v>1074</v>
      </c>
      <c r="E3122" t="s" s="9">
        <v>1076</v>
      </c>
      <c r="F3122" t="s" s="10">
        <v>287</v>
      </c>
      <c r="G3122" t="s" s="11">
        <v>287</v>
      </c>
      <c r="H3122" t="s" s="10">
        <v>287</v>
      </c>
      <c r="I3122" t="s" s="11">
        <v>287</v>
      </c>
      <c r="J3122" t="s" s="11">
        <v>20</v>
      </c>
      <c r="K3122" s="15"/>
      <c r="L3122" t="s" s="16">
        <f>HYPERLINK("http://csr.bu.edu/ftp/asl/asllvd/demos/verify_start_end_handshape_annotations//test_auto_move//signs_mov_separ_signers/Naomi_15453.mov","MOV")</f>
        <v>21</v>
      </c>
      <c r="M3122" t="s" s="10">
        <v>38</v>
      </c>
      <c r="N3122" s="17">
        <v>28</v>
      </c>
      <c r="O3122" s="18">
        <v>1615</v>
      </c>
      <c r="P3122" s="18">
        <v>1650</v>
      </c>
      <c r="Q3122" s="15"/>
      <c r="R3122" t="s" s="16">
        <f>HYPERLINK("http://secrets.rutgers.edu:8080/data/asl-ftp/asllvd/demos/verify_start_end_handshape_annotations//test_auto_move//signs_mov_separ_signers/Naomi_15453.mov","MOV")</f>
        <v>21</v>
      </c>
    </row>
    <row r="3123" s="2" customFormat="1" ht="13.5" customHeight="1">
      <c r="B3123" s="13"/>
      <c r="C3123" t="s" s="9">
        <v>30</v>
      </c>
      <c r="D3123" t="s" s="8">
        <v>1074</v>
      </c>
      <c r="E3123" t="s" s="9">
        <v>1076</v>
      </c>
      <c r="F3123" t="s" s="10">
        <v>287</v>
      </c>
      <c r="G3123" t="s" s="11">
        <v>287</v>
      </c>
      <c r="H3123" t="s" s="10">
        <v>287</v>
      </c>
      <c r="I3123" t="s" s="11">
        <v>287</v>
      </c>
      <c r="J3123" t="s" s="11">
        <v>20</v>
      </c>
      <c r="K3123" s="15"/>
      <c r="L3123" t="s" s="16">
        <f>HYPERLINK("http://csr.bu.edu/ftp/asl/asllvd/demos/verify_start_end_handshape_annotations//test_auto_move//signs_mov_separ_signers/Brady_15453.mov","MOV")</f>
        <v>21</v>
      </c>
      <c r="M3123" t="s" s="10">
        <v>39</v>
      </c>
      <c r="N3123" s="17">
        <v>41</v>
      </c>
      <c r="O3123" s="18">
        <v>2677</v>
      </c>
      <c r="P3123" s="18">
        <v>2710</v>
      </c>
      <c r="Q3123" s="15"/>
      <c r="R3123" t="s" s="16">
        <f>HYPERLINK("http://secrets.rutgers.edu:8080/data/asl-ftp/asllvd/demos/verify_start_end_handshape_annotations//test_auto_move//signs_mov_separ_signers/Brady_15453.mov","MOV")</f>
        <v>21</v>
      </c>
    </row>
    <row r="3124" s="2" customFormat="1" ht="13.5" customHeight="1">
      <c r="B3124" t="s" s="8">
        <v>1077</v>
      </c>
      <c r="C3124" t="s" s="9">
        <v>14</v>
      </c>
      <c r="D3124" t="s" s="8">
        <v>14</v>
      </c>
      <c r="E3124" t="s" s="9">
        <v>14</v>
      </c>
      <c r="F3124" t="s" s="10">
        <v>14</v>
      </c>
      <c r="G3124" t="s" s="11">
        <v>14</v>
      </c>
      <c r="H3124" t="s" s="10">
        <v>14</v>
      </c>
      <c r="I3124" t="s" s="11">
        <v>14</v>
      </c>
      <c r="J3124" t="s" s="11">
        <v>14</v>
      </c>
      <c r="K3124" t="s" s="12">
        <v>14</v>
      </c>
      <c r="L3124" t="s" s="12">
        <v>14</v>
      </c>
      <c r="M3124" t="s" s="10">
        <v>14</v>
      </c>
      <c r="N3124" t="s" s="11">
        <v>14</v>
      </c>
      <c r="O3124" t="s" s="8">
        <v>14</v>
      </c>
      <c r="P3124" t="s" s="8">
        <v>14</v>
      </c>
      <c r="Q3124" t="s" s="12">
        <v>14</v>
      </c>
      <c r="R3124" t="s" s="12">
        <v>14</v>
      </c>
    </row>
    <row r="3125" s="2" customFormat="1" ht="13.5" customHeight="1">
      <c r="B3125" s="13"/>
      <c r="C3125" t="s" s="9">
        <v>16</v>
      </c>
      <c r="D3125" t="s" s="8">
        <v>1077</v>
      </c>
      <c r="E3125" t="s" s="9">
        <v>1077</v>
      </c>
      <c r="F3125" t="s" s="10">
        <v>73</v>
      </c>
      <c r="G3125" t="s" s="11">
        <v>73</v>
      </c>
      <c r="H3125" t="s" s="10">
        <v>73</v>
      </c>
      <c r="I3125" t="s" s="11">
        <v>73</v>
      </c>
      <c r="J3125" t="s" s="11">
        <v>20</v>
      </c>
      <c r="K3125" s="15"/>
      <c r="L3125" t="s" s="16">
        <f>HYPERLINK("http://csr.bu.edu/ftp/asl/asllvd/demos/verify_start_end_handshape_annotations//test_auto_move//signs_mov_separ_signers/Liz_662.mov","MOV")</f>
        <v>21</v>
      </c>
      <c r="M3125" t="s" s="10">
        <v>84</v>
      </c>
      <c r="N3125" s="17">
        <v>17</v>
      </c>
      <c r="O3125" s="18">
        <v>720</v>
      </c>
      <c r="P3125" s="18">
        <v>755</v>
      </c>
      <c r="Q3125" s="15"/>
      <c r="R3125" t="s" s="16">
        <f>HYPERLINK("http://secrets.rutgers.edu:8080/data/asl-ftp/asllvd/demos/verify_start_end_handshape_annotations//test_auto_move//signs_mov_separ_signers/Liz_662.mov","MOV")</f>
        <v>21</v>
      </c>
    </row>
    <row r="3126" s="2" customFormat="1" ht="13.5" customHeight="1">
      <c r="B3126" s="13"/>
      <c r="C3126" t="s" s="9">
        <v>23</v>
      </c>
      <c r="D3126" t="s" s="8">
        <v>1077</v>
      </c>
      <c r="E3126" t="s" s="9">
        <v>1077</v>
      </c>
      <c r="F3126" t="s" s="10">
        <v>73</v>
      </c>
      <c r="G3126" t="s" s="11">
        <v>73</v>
      </c>
      <c r="H3126" t="s" s="10">
        <v>73</v>
      </c>
      <c r="I3126" t="s" s="11">
        <v>73</v>
      </c>
      <c r="J3126" t="s" s="11">
        <v>20</v>
      </c>
      <c r="K3126" t="s" s="16">
        <f>HYPERLINK("http://csr.bu.edu/ftp/asl/asllvd/demos/verify_start_end_handshape_annotations//test_auto_move//signs_mov/662.mov","MOV")</f>
        <v>21</v>
      </c>
      <c r="L3126" t="s" s="16">
        <f>HYPERLINK("http://csr.bu.edu/ftp/asl/asllvd/demos/verify_start_end_handshape_annotations//test_auto_move//signs_mov_separ_signers/Tyler_662.mov","MOV")</f>
        <v>21</v>
      </c>
      <c r="M3126" t="s" s="10">
        <v>125</v>
      </c>
      <c r="N3126" s="17">
        <v>16</v>
      </c>
      <c r="O3126" s="18">
        <v>580</v>
      </c>
      <c r="P3126" s="18">
        <v>615</v>
      </c>
      <c r="Q3126" t="s" s="16">
        <f>HYPERLINK("http://secrets.rutgers.edu:8080/data/asl-ftp/asllvd/demos/verify_start_end_handshape_annotations//test_auto_move//signs_mov/662.mov","MOV")</f>
        <v>21</v>
      </c>
      <c r="R3126" t="s" s="16">
        <f>HYPERLINK("http://secrets.rutgers.edu:8080/data/asl-ftp/asllvd/demos/verify_start_end_handshape_annotations//test_auto_move//signs_mov_separ_signers/Tyler_662.mov","MOV")</f>
        <v>21</v>
      </c>
    </row>
    <row r="3127" s="2" customFormat="1" ht="13.5" customHeight="1">
      <c r="B3127" s="13"/>
      <c r="C3127" t="s" s="9">
        <v>27</v>
      </c>
      <c r="D3127" t="s" s="8">
        <v>1077</v>
      </c>
      <c r="E3127" t="s" s="9">
        <v>1077</v>
      </c>
      <c r="F3127" t="s" s="10">
        <v>73</v>
      </c>
      <c r="G3127" t="s" s="11">
        <v>73</v>
      </c>
      <c r="H3127" t="s" s="10">
        <v>73</v>
      </c>
      <c r="I3127" t="s" s="11">
        <v>73</v>
      </c>
      <c r="J3127" t="s" s="11">
        <v>20</v>
      </c>
      <c r="K3127" s="15"/>
      <c r="L3127" t="s" s="16">
        <f>HYPERLINK("http://csr.bu.edu/ftp/asl/asllvd/demos/verify_start_end_handshape_annotations//test_auto_move//signs_mov_separ_signers/Naomi_662.mov","MOV")</f>
        <v>21</v>
      </c>
      <c r="M3127" t="s" s="10">
        <v>86</v>
      </c>
      <c r="N3127" s="17">
        <v>17</v>
      </c>
      <c r="O3127" s="18">
        <v>510</v>
      </c>
      <c r="P3127" s="18">
        <v>542</v>
      </c>
      <c r="Q3127" s="15"/>
      <c r="R3127" t="s" s="16">
        <f>HYPERLINK("http://secrets.rutgers.edu:8080/data/asl-ftp/asllvd/demos/verify_start_end_handshape_annotations//test_auto_move//signs_mov_separ_signers/Naomi_662.mov","MOV")</f>
        <v>21</v>
      </c>
    </row>
    <row r="3128" s="2" customFormat="1" ht="13.5" customHeight="1">
      <c r="B3128" s="13"/>
      <c r="C3128" t="s" s="9">
        <v>30</v>
      </c>
      <c r="D3128" t="s" s="8">
        <v>1077</v>
      </c>
      <c r="E3128" t="s" s="9">
        <v>1077</v>
      </c>
      <c r="F3128" t="s" s="10">
        <v>73</v>
      </c>
      <c r="G3128" t="s" s="11">
        <v>73</v>
      </c>
      <c r="H3128" t="s" s="10">
        <v>73</v>
      </c>
      <c r="I3128" t="s" s="11">
        <v>73</v>
      </c>
      <c r="J3128" t="s" s="11">
        <v>20</v>
      </c>
      <c r="K3128" s="15"/>
      <c r="L3128" t="s" s="16">
        <f>HYPERLINK("http://csr.bu.edu/ftp/asl/asllvd/demos/verify_start_end_handshape_annotations//test_auto_move//signs_mov_separ_signers/Brady_662.mov","MOV")</f>
        <v>21</v>
      </c>
      <c r="M3128" t="s" s="10">
        <v>31</v>
      </c>
      <c r="N3128" s="17">
        <v>34</v>
      </c>
      <c r="O3128" s="18">
        <v>2428</v>
      </c>
      <c r="P3128" s="18">
        <v>2446</v>
      </c>
      <c r="Q3128" s="15"/>
      <c r="R3128" t="s" s="16">
        <f>HYPERLINK("http://secrets.rutgers.edu:8080/data/asl-ftp/asllvd/demos/verify_start_end_handshape_annotations//test_auto_move//signs_mov_separ_signers/Brady_662.mov","MOV")</f>
        <v>21</v>
      </c>
    </row>
    <row r="3129" s="2" customFormat="1" ht="13.5" customHeight="1">
      <c r="B3129" t="s" s="8">
        <v>1078</v>
      </c>
      <c r="C3129" t="s" s="9">
        <v>14</v>
      </c>
      <c r="D3129" t="s" s="8">
        <v>14</v>
      </c>
      <c r="E3129" t="s" s="9">
        <v>14</v>
      </c>
      <c r="F3129" t="s" s="10">
        <v>14</v>
      </c>
      <c r="G3129" t="s" s="11">
        <v>14</v>
      </c>
      <c r="H3129" t="s" s="10">
        <v>14</v>
      </c>
      <c r="I3129" t="s" s="11">
        <v>14</v>
      </c>
      <c r="J3129" t="s" s="11">
        <v>14</v>
      </c>
      <c r="K3129" t="s" s="12">
        <v>14</v>
      </c>
      <c r="L3129" t="s" s="12">
        <v>14</v>
      </c>
      <c r="M3129" t="s" s="10">
        <v>14</v>
      </c>
      <c r="N3129" t="s" s="11">
        <v>14</v>
      </c>
      <c r="O3129" t="s" s="8">
        <v>14</v>
      </c>
      <c r="P3129" t="s" s="8">
        <v>14</v>
      </c>
      <c r="Q3129" t="s" s="12">
        <v>14</v>
      </c>
      <c r="R3129" t="s" s="12">
        <v>14</v>
      </c>
    </row>
    <row r="3130" s="2" customFormat="1" ht="13.5" customHeight="1">
      <c r="B3130" s="13"/>
      <c r="C3130" t="s" s="9">
        <v>16</v>
      </c>
      <c r="D3130" t="s" s="8">
        <v>1078</v>
      </c>
      <c r="E3130" t="s" s="9">
        <v>1078</v>
      </c>
      <c r="F3130" s="19">
        <v>5</v>
      </c>
      <c r="G3130" s="17">
        <v>5</v>
      </c>
      <c r="H3130" t="s" s="10">
        <v>187</v>
      </c>
      <c r="I3130" t="s" s="11">
        <v>187</v>
      </c>
      <c r="J3130" t="s" s="11">
        <v>20</v>
      </c>
      <c r="K3130" s="15"/>
      <c r="L3130" t="s" s="16">
        <f>HYPERLINK("http://csr.bu.edu/ftp/asl/asllvd/demos/verify_start_end_handshape_annotations//test_auto_move//signs_mov_separ_signers/Liz_666.mov","MOV")</f>
        <v>21</v>
      </c>
      <c r="M3130" t="s" s="10">
        <v>84</v>
      </c>
      <c r="N3130" s="17">
        <v>17</v>
      </c>
      <c r="O3130" s="18">
        <v>1775</v>
      </c>
      <c r="P3130" s="18">
        <v>1820</v>
      </c>
      <c r="Q3130" s="15"/>
      <c r="R3130" t="s" s="16">
        <f>HYPERLINK("http://secrets.rutgers.edu:8080/data/asl-ftp/asllvd/demos/verify_start_end_handshape_annotations//test_auto_move//signs_mov_separ_signers/Liz_666.mov","MOV")</f>
        <v>21</v>
      </c>
    </row>
    <row r="3131" s="2" customFormat="1" ht="13.5" customHeight="1">
      <c r="B3131" s="13"/>
      <c r="C3131" t="s" s="9">
        <v>23</v>
      </c>
      <c r="D3131" t="s" s="8">
        <v>1078</v>
      </c>
      <c r="E3131" t="s" s="9">
        <v>1078</v>
      </c>
      <c r="F3131" s="19">
        <v>5</v>
      </c>
      <c r="G3131" s="17">
        <v>5</v>
      </c>
      <c r="H3131" t="s" s="10">
        <v>148</v>
      </c>
      <c r="I3131" t="s" s="11">
        <v>148</v>
      </c>
      <c r="J3131" t="s" s="11">
        <v>20</v>
      </c>
      <c r="K3131" t="s" s="16">
        <f>HYPERLINK("http://csr.bu.edu/ftp/asl/asllvd/demos/verify_start_end_handshape_annotations//test_auto_move//signs_mov/666.mov","MOV")</f>
        <v>21</v>
      </c>
      <c r="L3131" t="s" s="16">
        <f>HYPERLINK("http://csr.bu.edu/ftp/asl/asllvd/demos/verify_start_end_handshape_annotations//test_auto_move//signs_mov_separ_signers/Tyler_666.mov","MOV")</f>
        <v>21</v>
      </c>
      <c r="M3131" t="s" s="10">
        <v>125</v>
      </c>
      <c r="N3131" s="17">
        <v>16</v>
      </c>
      <c r="O3131" s="18">
        <v>1950</v>
      </c>
      <c r="P3131" s="18">
        <v>1980</v>
      </c>
      <c r="Q3131" t="s" s="16">
        <f>HYPERLINK("http://secrets.rutgers.edu:8080/data/asl-ftp/asllvd/demos/verify_start_end_handshape_annotations//test_auto_move//signs_mov/666.mov","MOV")</f>
        <v>21</v>
      </c>
      <c r="R3131" t="s" s="16">
        <f>HYPERLINK("http://secrets.rutgers.edu:8080/data/asl-ftp/asllvd/demos/verify_start_end_handshape_annotations//test_auto_move//signs_mov_separ_signers/Tyler_666.mov","MOV")</f>
        <v>21</v>
      </c>
    </row>
    <row r="3132" s="2" customFormat="1" ht="13.5" customHeight="1">
      <c r="B3132" s="13"/>
      <c r="C3132" t="s" s="9">
        <v>27</v>
      </c>
      <c r="D3132" t="s" s="8">
        <v>1078</v>
      </c>
      <c r="E3132" t="s" s="9">
        <v>1078</v>
      </c>
      <c r="F3132" s="19">
        <v>5</v>
      </c>
      <c r="G3132" s="17">
        <v>5</v>
      </c>
      <c r="H3132" t="s" s="10">
        <v>148</v>
      </c>
      <c r="I3132" t="s" s="11">
        <v>148</v>
      </c>
      <c r="J3132" t="s" s="11">
        <v>20</v>
      </c>
      <c r="K3132" s="15"/>
      <c r="L3132" t="s" s="16">
        <f>HYPERLINK("http://csr.bu.edu/ftp/asl/asllvd/demos/verify_start_end_handshape_annotations//test_auto_move//signs_mov_separ_signers/Naomi_666.mov","MOV")</f>
        <v>21</v>
      </c>
      <c r="M3132" t="s" s="10">
        <v>86</v>
      </c>
      <c r="N3132" s="17">
        <v>17</v>
      </c>
      <c r="O3132" s="18">
        <v>2480</v>
      </c>
      <c r="P3132" s="18">
        <v>2516</v>
      </c>
      <c r="Q3132" s="15"/>
      <c r="R3132" t="s" s="16">
        <f>HYPERLINK("http://secrets.rutgers.edu:8080/data/asl-ftp/asllvd/demos/verify_start_end_handshape_annotations//test_auto_move//signs_mov_separ_signers/Naomi_666.mov","MOV")</f>
        <v>21</v>
      </c>
    </row>
    <row r="3133" s="2" customFormat="1" ht="13.5" customHeight="1">
      <c r="B3133" t="s" s="8">
        <v>52</v>
      </c>
      <c r="C3133" t="s" s="9">
        <v>53</v>
      </c>
      <c r="D3133" t="s" s="8">
        <v>53</v>
      </c>
      <c r="E3133" t="s" s="9">
        <v>53</v>
      </c>
      <c r="F3133" t="s" s="10">
        <v>53</v>
      </c>
      <c r="G3133" t="s" s="11">
        <v>53</v>
      </c>
      <c r="H3133" t="s" s="10">
        <v>53</v>
      </c>
      <c r="I3133" t="s" s="11">
        <v>53</v>
      </c>
      <c r="J3133" t="s" s="11">
        <v>53</v>
      </c>
      <c r="K3133" t="s" s="12">
        <v>53</v>
      </c>
      <c r="L3133" t="s" s="12">
        <v>53</v>
      </c>
      <c r="M3133" t="s" s="10">
        <v>53</v>
      </c>
      <c r="N3133" t="s" s="11">
        <v>53</v>
      </c>
      <c r="O3133" t="s" s="8">
        <v>53</v>
      </c>
      <c r="P3133" t="s" s="8">
        <v>53</v>
      </c>
      <c r="Q3133" t="s" s="12">
        <v>53</v>
      </c>
      <c r="R3133" t="s" s="12">
        <v>53</v>
      </c>
    </row>
    <row r="3134" s="2" customFormat="1" ht="13.5" customHeight="1">
      <c r="B3134" s="13"/>
      <c r="C3134" t="s" s="9">
        <v>30</v>
      </c>
      <c r="D3134" t="s" s="8">
        <v>1078</v>
      </c>
      <c r="E3134" t="s" s="9">
        <v>1079</v>
      </c>
      <c r="F3134" s="19">
        <v>5</v>
      </c>
      <c r="G3134" s="17">
        <v>5</v>
      </c>
      <c r="H3134" t="s" s="10">
        <v>187</v>
      </c>
      <c r="I3134" t="s" s="11">
        <v>187</v>
      </c>
      <c r="J3134" t="s" s="11">
        <v>20</v>
      </c>
      <c r="K3134" t="s" s="16">
        <f>HYPERLINK("http://csr.bu.edu/ftp/asl/asllvd/demos/verify_start_end_handshape_annotations//test_auto_move//signs_mov/16322.mov","MOV")</f>
        <v>21</v>
      </c>
      <c r="L3134" t="s" s="16">
        <f>HYPERLINK("http://csr.bu.edu/ftp/asl/asllvd/demos/verify_start_end_handshape_annotations//test_auto_move//signs_mov_separ_signers/Brady_16322.mov","MOV")</f>
        <v>21</v>
      </c>
      <c r="M3134" t="s" s="10">
        <v>31</v>
      </c>
      <c r="N3134" s="17">
        <v>34</v>
      </c>
      <c r="O3134" s="18">
        <v>3789</v>
      </c>
      <c r="P3134" s="18">
        <v>3817</v>
      </c>
      <c r="Q3134" t="s" s="16">
        <f>HYPERLINK("http://secrets.rutgers.edu:8080/data/asl-ftp/asllvd/demos/verify_start_end_handshape_annotations//test_auto_move//signs_mov/16322.mov","MOV")</f>
        <v>21</v>
      </c>
      <c r="R3134" t="s" s="16">
        <f>HYPERLINK("http://secrets.rutgers.edu:8080/data/asl-ftp/asllvd/demos/verify_start_end_handshape_annotations//test_auto_move//signs_mov_separ_signers/Brady_16322.mov","MOV")</f>
        <v>21</v>
      </c>
    </row>
    <row r="3135" s="2" customFormat="1" ht="13.5" customHeight="1">
      <c r="B3135" t="s" s="8">
        <v>1080</v>
      </c>
      <c r="C3135" t="s" s="9">
        <v>14</v>
      </c>
      <c r="D3135" t="s" s="8">
        <v>14</v>
      </c>
      <c r="E3135" t="s" s="9">
        <v>14</v>
      </c>
      <c r="F3135" t="s" s="10">
        <v>14</v>
      </c>
      <c r="G3135" t="s" s="11">
        <v>14</v>
      </c>
      <c r="H3135" t="s" s="10">
        <v>14</v>
      </c>
      <c r="I3135" t="s" s="11">
        <v>14</v>
      </c>
      <c r="J3135" t="s" s="11">
        <v>14</v>
      </c>
      <c r="K3135" t="s" s="12">
        <v>14</v>
      </c>
      <c r="L3135" t="s" s="12">
        <v>14</v>
      </c>
      <c r="M3135" t="s" s="10">
        <v>14</v>
      </c>
      <c r="N3135" t="s" s="11">
        <v>14</v>
      </c>
      <c r="O3135" t="s" s="8">
        <v>14</v>
      </c>
      <c r="P3135" t="s" s="8">
        <v>14</v>
      </c>
      <c r="Q3135" t="s" s="12">
        <v>14</v>
      </c>
      <c r="R3135" t="s" s="12">
        <v>14</v>
      </c>
    </row>
    <row r="3136" s="2" customFormat="1" ht="13.5" customHeight="1">
      <c r="B3136" s="13"/>
      <c r="C3136" t="s" s="9">
        <v>16</v>
      </c>
      <c r="D3136" t="s" s="8">
        <v>1080</v>
      </c>
      <c r="E3136" t="s" s="9">
        <v>1080</v>
      </c>
      <c r="F3136" s="19">
        <v>1</v>
      </c>
      <c r="G3136" s="17">
        <v>1</v>
      </c>
      <c r="H3136" s="19">
        <v>1</v>
      </c>
      <c r="I3136" s="17">
        <v>1</v>
      </c>
      <c r="J3136" t="s" s="11">
        <v>20</v>
      </c>
      <c r="K3136" s="15"/>
      <c r="L3136" t="s" s="16">
        <f>HYPERLINK("http://csr.bu.edu/ftp/asl/asllvd/demos/verify_start_end_handshape_annotations//test_auto_move//signs_mov_separ_signers/Liz_668.mov","MOV")</f>
        <v>21</v>
      </c>
      <c r="M3136" t="s" s="10">
        <v>84</v>
      </c>
      <c r="N3136" s="17">
        <v>17</v>
      </c>
      <c r="O3136" s="18">
        <v>2297</v>
      </c>
      <c r="P3136" s="18">
        <v>2325</v>
      </c>
      <c r="Q3136" s="15"/>
      <c r="R3136" t="s" s="16">
        <f>HYPERLINK("http://secrets.rutgers.edu:8080/data/asl-ftp/asllvd/demos/verify_start_end_handshape_annotations//test_auto_move//signs_mov_separ_signers/Liz_668.mov","MOV")</f>
        <v>21</v>
      </c>
    </row>
    <row r="3137" s="2" customFormat="1" ht="13.5" customHeight="1">
      <c r="B3137" s="13"/>
      <c r="C3137" t="s" s="9">
        <v>27</v>
      </c>
      <c r="D3137" t="s" s="8">
        <v>1080</v>
      </c>
      <c r="E3137" t="s" s="9">
        <v>1081</v>
      </c>
      <c r="F3137" s="19">
        <v>1</v>
      </c>
      <c r="G3137" s="17">
        <v>1</v>
      </c>
      <c r="H3137" s="19">
        <v>1</v>
      </c>
      <c r="I3137" s="17">
        <v>1</v>
      </c>
      <c r="J3137" t="s" s="11">
        <v>20</v>
      </c>
      <c r="K3137" t="s" s="16">
        <f>HYPERLINK("http://csr.bu.edu/ftp/asl/asllvd/demos/verify_start_end_handshape_annotations//test_auto_move//signs_mov/668.mov","MOV")</f>
        <v>21</v>
      </c>
      <c r="L3137" t="s" s="16">
        <f>HYPERLINK("http://csr.bu.edu/ftp/asl/asllvd/demos/verify_start_end_handshape_annotations//test_auto_move//signs_mov_separ_signers/Naomi_668.mov","MOV")</f>
        <v>21</v>
      </c>
      <c r="M3137" t="s" s="10">
        <v>86</v>
      </c>
      <c r="N3137" s="17">
        <v>17</v>
      </c>
      <c r="O3137" s="18">
        <v>3366</v>
      </c>
      <c r="P3137" s="18">
        <v>3395</v>
      </c>
      <c r="Q3137" t="s" s="16">
        <f>HYPERLINK("http://secrets.rutgers.edu:8080/data/asl-ftp/asllvd/demos/verify_start_end_handshape_annotations//test_auto_move//signs_mov/668.mov","MOV")</f>
        <v>21</v>
      </c>
      <c r="R3137" t="s" s="16">
        <f>HYPERLINK("http://secrets.rutgers.edu:8080/data/asl-ftp/asllvd/demos/verify_start_end_handshape_annotations//test_auto_move//signs_mov_separ_signers/Naomi_668.mov","MOV")</f>
        <v>21</v>
      </c>
    </row>
    <row r="3138" s="2" customFormat="1" ht="13.5" customHeight="1">
      <c r="B3138" s="13"/>
      <c r="C3138" t="s" s="9">
        <v>30</v>
      </c>
      <c r="D3138" t="s" s="8">
        <v>1080</v>
      </c>
      <c r="E3138" t="s" s="9">
        <v>1080</v>
      </c>
      <c r="F3138" s="19">
        <v>1</v>
      </c>
      <c r="G3138" s="17">
        <v>1</v>
      </c>
      <c r="H3138" s="19">
        <v>1</v>
      </c>
      <c r="I3138" s="17">
        <v>1</v>
      </c>
      <c r="J3138" t="s" s="11">
        <v>20</v>
      </c>
      <c r="K3138" s="15"/>
      <c r="L3138" t="s" s="16">
        <f>HYPERLINK("http://csr.bu.edu/ftp/asl/asllvd/demos/verify_start_end_handshape_annotations//test_auto_move//signs_mov_separ_signers/Brady_668.mov","MOV")</f>
        <v>21</v>
      </c>
      <c r="M3138" t="s" s="10">
        <v>31</v>
      </c>
      <c r="N3138" s="17">
        <v>34</v>
      </c>
      <c r="O3138" s="18">
        <v>4869</v>
      </c>
      <c r="P3138" s="18">
        <v>4887</v>
      </c>
      <c r="Q3138" s="15"/>
      <c r="R3138" t="s" s="16">
        <f>HYPERLINK("http://secrets.rutgers.edu:8080/data/asl-ftp/asllvd/demos/verify_start_end_handshape_annotations//test_auto_move//signs_mov_separ_signers/Brady_668.mov","MOV")</f>
        <v>21</v>
      </c>
    </row>
    <row r="3139" s="2" customFormat="1" ht="13.5" customHeight="1">
      <c r="B3139" t="s" s="8">
        <v>52</v>
      </c>
      <c r="C3139" t="s" s="9">
        <v>53</v>
      </c>
      <c r="D3139" t="s" s="8">
        <v>53</v>
      </c>
      <c r="E3139" t="s" s="9">
        <v>53</v>
      </c>
      <c r="F3139" t="s" s="10">
        <v>53</v>
      </c>
      <c r="G3139" t="s" s="11">
        <v>53</v>
      </c>
      <c r="H3139" t="s" s="10">
        <v>53</v>
      </c>
      <c r="I3139" t="s" s="11">
        <v>53</v>
      </c>
      <c r="J3139" t="s" s="11">
        <v>53</v>
      </c>
      <c r="K3139" t="s" s="12">
        <v>53</v>
      </c>
      <c r="L3139" t="s" s="12">
        <v>53</v>
      </c>
      <c r="M3139" t="s" s="10">
        <v>53</v>
      </c>
      <c r="N3139" t="s" s="11">
        <v>53</v>
      </c>
      <c r="O3139" t="s" s="8">
        <v>53</v>
      </c>
      <c r="P3139" t="s" s="8">
        <v>53</v>
      </c>
      <c r="Q3139" t="s" s="12">
        <v>53</v>
      </c>
      <c r="R3139" t="s" s="12">
        <v>53</v>
      </c>
    </row>
    <row r="3140" s="2" customFormat="1" ht="13.5" customHeight="1">
      <c r="B3140" s="13"/>
      <c r="C3140" t="s" s="9">
        <v>23</v>
      </c>
      <c r="D3140" t="s" s="8">
        <v>1080</v>
      </c>
      <c r="E3140" t="s" s="9">
        <v>1082</v>
      </c>
      <c r="F3140" s="19">
        <v>1</v>
      </c>
      <c r="G3140" s="14"/>
      <c r="H3140" s="19">
        <v>1</v>
      </c>
      <c r="I3140" s="14"/>
      <c r="J3140" t="s" s="11">
        <v>20</v>
      </c>
      <c r="K3140" t="s" s="16">
        <f>HYPERLINK("http://csr.bu.edu/ftp/asl/asllvd/demos/verify_start_end_handshape_annotations//test_auto_move//signs_mov/5032.mov","MOV")</f>
        <v>21</v>
      </c>
      <c r="L3140" t="s" s="16">
        <f>HYPERLINK("http://csr.bu.edu/ftp/asl/asllvd/demos/verify_start_end_handshape_annotations//test_auto_move//signs_mov_separ_signers/Tyler_5032.mov","MOV")</f>
        <v>21</v>
      </c>
      <c r="M3140" t="s" s="10">
        <v>125</v>
      </c>
      <c r="N3140" s="17">
        <v>16</v>
      </c>
      <c r="O3140" s="18">
        <v>2415</v>
      </c>
      <c r="P3140" s="18">
        <v>2450</v>
      </c>
      <c r="Q3140" t="s" s="16">
        <f>HYPERLINK("http://secrets.rutgers.edu:8080/data/asl-ftp/asllvd/demos/verify_start_end_handshape_annotations//test_auto_move//signs_mov/5032.mov","MOV")</f>
        <v>21</v>
      </c>
      <c r="R3140" t="s" s="16">
        <f>HYPERLINK("http://secrets.rutgers.edu:8080/data/asl-ftp/asllvd/demos/verify_start_end_handshape_annotations//test_auto_move//signs_mov_separ_signers/Tyler_5032.mov","MOV")</f>
        <v>21</v>
      </c>
    </row>
    <row r="3141" s="2" customFormat="1" ht="13.5" customHeight="1">
      <c r="B3141" s="13"/>
      <c r="C3141" t="s" s="9">
        <v>30</v>
      </c>
      <c r="D3141" t="s" s="8">
        <v>1080</v>
      </c>
      <c r="E3141" t="s" s="9">
        <v>1082</v>
      </c>
      <c r="F3141" s="19">
        <v>1</v>
      </c>
      <c r="G3141" s="14"/>
      <c r="H3141" s="19">
        <v>1</v>
      </c>
      <c r="I3141" s="14"/>
      <c r="J3141" t="s" s="11">
        <v>20</v>
      </c>
      <c r="K3141" s="15"/>
      <c r="L3141" t="s" s="16">
        <f>HYPERLINK("http://csr.bu.edu/ftp/asl/asllvd/demos/verify_start_end_handshape_annotations//test_auto_move//signs_mov_separ_signers/Brady_5032.mov","MOV")</f>
        <v>21</v>
      </c>
      <c r="M3141" t="s" s="10">
        <v>31</v>
      </c>
      <c r="N3141" s="17">
        <v>34</v>
      </c>
      <c r="O3141" s="18">
        <v>4705</v>
      </c>
      <c r="P3141" s="18">
        <v>4733</v>
      </c>
      <c r="Q3141" s="15"/>
      <c r="R3141" t="s" s="16">
        <f>HYPERLINK("http://secrets.rutgers.edu:8080/data/asl-ftp/asllvd/demos/verify_start_end_handshape_annotations//test_auto_move//signs_mov_separ_signers/Brady_5032.mov","MOV")</f>
        <v>21</v>
      </c>
    </row>
    <row r="3142" s="2" customFormat="1" ht="13.5" customHeight="1">
      <c r="B3142" t="s" s="8">
        <v>1083</v>
      </c>
      <c r="C3142" t="s" s="9">
        <v>14</v>
      </c>
      <c r="D3142" t="s" s="8">
        <v>14</v>
      </c>
      <c r="E3142" t="s" s="9">
        <v>14</v>
      </c>
      <c r="F3142" t="s" s="10">
        <v>14</v>
      </c>
      <c r="G3142" t="s" s="11">
        <v>14</v>
      </c>
      <c r="H3142" t="s" s="10">
        <v>14</v>
      </c>
      <c r="I3142" t="s" s="11">
        <v>14</v>
      </c>
      <c r="J3142" t="s" s="11">
        <v>14</v>
      </c>
      <c r="K3142" t="s" s="12">
        <v>14</v>
      </c>
      <c r="L3142" t="s" s="12">
        <v>14</v>
      </c>
      <c r="M3142" t="s" s="10">
        <v>14</v>
      </c>
      <c r="N3142" t="s" s="11">
        <v>14</v>
      </c>
      <c r="O3142" t="s" s="8">
        <v>14</v>
      </c>
      <c r="P3142" t="s" s="8">
        <v>14</v>
      </c>
      <c r="Q3142" t="s" s="12">
        <v>14</v>
      </c>
      <c r="R3142" t="s" s="12">
        <v>14</v>
      </c>
    </row>
    <row r="3143" s="2" customFormat="1" ht="13.5" customHeight="1">
      <c r="B3143" s="13"/>
      <c r="C3143" t="s" s="9">
        <v>16</v>
      </c>
      <c r="D3143" t="s" s="8">
        <v>1083</v>
      </c>
      <c r="E3143" t="s" s="9">
        <v>1083</v>
      </c>
      <c r="F3143" s="19">
        <v>1</v>
      </c>
      <c r="G3143" s="17">
        <v>1</v>
      </c>
      <c r="H3143" s="19">
        <v>1</v>
      </c>
      <c r="I3143" s="17">
        <v>1</v>
      </c>
      <c r="J3143" t="s" s="11">
        <v>20</v>
      </c>
      <c r="K3143" t="s" s="16">
        <f>HYPERLINK("http://csr.bu.edu/ftp/asl/asllvd/demos/verify_start_end_handshape_annotations//test_auto_move//signs_mov/5033.mov","MOV")</f>
        <v>21</v>
      </c>
      <c r="L3143" t="s" s="16">
        <f>HYPERLINK("http://csr.bu.edu/ftp/asl/asllvd/demos/verify_start_end_handshape_annotations//test_auto_move//signs_mov_separ_signers/Liz_5033.mov","MOV")</f>
        <v>21</v>
      </c>
      <c r="M3143" t="s" s="10">
        <v>88</v>
      </c>
      <c r="N3143" s="17">
        <v>39</v>
      </c>
      <c r="O3143" s="18">
        <v>746</v>
      </c>
      <c r="P3143" s="18">
        <v>811</v>
      </c>
      <c r="Q3143" t="s" s="16">
        <f>HYPERLINK("http://secrets.rutgers.edu:8080/data/asl-ftp/asllvd/demos/verify_start_end_handshape_annotations//test_auto_move//signs_mov/5033.mov","MOV")</f>
        <v>21</v>
      </c>
      <c r="R3143" t="s" s="16">
        <f>HYPERLINK("http://secrets.rutgers.edu:8080/data/asl-ftp/asllvd/demos/verify_start_end_handshape_annotations//test_auto_move//signs_mov_separ_signers/Liz_5033.mov","MOV")</f>
        <v>21</v>
      </c>
    </row>
    <row r="3144" s="2" customFormat="1" ht="13.5" customHeight="1">
      <c r="B3144" t="s" s="8">
        <v>1084</v>
      </c>
      <c r="C3144" t="s" s="9">
        <v>14</v>
      </c>
      <c r="D3144" t="s" s="8">
        <v>14</v>
      </c>
      <c r="E3144" t="s" s="9">
        <v>14</v>
      </c>
      <c r="F3144" t="s" s="10">
        <v>14</v>
      </c>
      <c r="G3144" t="s" s="11">
        <v>14</v>
      </c>
      <c r="H3144" t="s" s="10">
        <v>14</v>
      </c>
      <c r="I3144" t="s" s="11">
        <v>14</v>
      </c>
      <c r="J3144" t="s" s="11">
        <v>14</v>
      </c>
      <c r="K3144" t="s" s="12">
        <v>14</v>
      </c>
      <c r="L3144" t="s" s="12">
        <v>14</v>
      </c>
      <c r="M3144" t="s" s="10">
        <v>14</v>
      </c>
      <c r="N3144" t="s" s="11">
        <v>14</v>
      </c>
      <c r="O3144" t="s" s="8">
        <v>14</v>
      </c>
      <c r="P3144" t="s" s="8">
        <v>14</v>
      </c>
      <c r="Q3144" t="s" s="12">
        <v>14</v>
      </c>
      <c r="R3144" t="s" s="12">
        <v>14</v>
      </c>
    </row>
    <row r="3145" s="2" customFormat="1" ht="13.5" customHeight="1">
      <c r="B3145" s="13"/>
      <c r="C3145" t="s" s="9">
        <v>16</v>
      </c>
      <c r="D3145" t="s" s="8">
        <v>1084</v>
      </c>
      <c r="E3145" t="s" s="9">
        <v>1085</v>
      </c>
      <c r="F3145" s="19">
        <v>1</v>
      </c>
      <c r="G3145" s="14"/>
      <c r="H3145" s="19">
        <v>1</v>
      </c>
      <c r="I3145" s="14"/>
      <c r="J3145" t="s" s="11">
        <v>20</v>
      </c>
      <c r="K3145" s="15"/>
      <c r="L3145" t="s" s="16">
        <f>HYPERLINK("http://csr.bu.edu/ftp/asl/asllvd/demos/verify_start_end_handshape_annotations//test_auto_move//signs_mov_separ_signers/Liz_15644.mov","MOV")</f>
        <v>21</v>
      </c>
      <c r="M3145" t="s" s="10">
        <v>22</v>
      </c>
      <c r="N3145" s="17">
        <v>63</v>
      </c>
      <c r="O3145" s="18">
        <v>1191</v>
      </c>
      <c r="P3145" s="18">
        <v>1220</v>
      </c>
      <c r="Q3145" s="15"/>
      <c r="R3145" t="s" s="16">
        <f>HYPERLINK("http://secrets.rutgers.edu:8080/data/asl-ftp/asllvd/demos/verify_start_end_handshape_annotations//test_auto_move//signs_mov_separ_signers/Liz_15644.mov","MOV")</f>
        <v>21</v>
      </c>
    </row>
    <row r="3146" s="2" customFormat="1" ht="13.5" customHeight="1">
      <c r="B3146" s="13"/>
      <c r="C3146" t="s" s="9">
        <v>23</v>
      </c>
      <c r="D3146" t="s" s="8">
        <v>1084</v>
      </c>
      <c r="E3146" t="s" s="9">
        <v>1085</v>
      </c>
      <c r="F3146" s="19">
        <v>1</v>
      </c>
      <c r="G3146" s="14"/>
      <c r="H3146" s="19">
        <v>1</v>
      </c>
      <c r="I3146" s="14"/>
      <c r="J3146" t="s" s="11">
        <v>20</v>
      </c>
      <c r="K3146" s="15"/>
      <c r="L3146" t="s" s="16">
        <f>HYPERLINK("http://csr.bu.edu/ftp/asl/asllvd/demos/verify_start_end_handshape_annotations//test_auto_move//signs_mov_separ_signers/Tyler_15644.mov","MOV")</f>
        <v>21</v>
      </c>
      <c r="M3146" t="s" s="10">
        <v>26</v>
      </c>
      <c r="N3146" s="17">
        <v>39</v>
      </c>
      <c r="O3146" s="18">
        <v>1830</v>
      </c>
      <c r="P3146" s="18">
        <v>1881</v>
      </c>
      <c r="Q3146" s="15"/>
      <c r="R3146" t="s" s="16">
        <f>HYPERLINK("http://secrets.rutgers.edu:8080/data/asl-ftp/asllvd/demos/verify_start_end_handshape_annotations//test_auto_move//signs_mov_separ_signers/Tyler_15644.mov","MOV")</f>
        <v>21</v>
      </c>
    </row>
    <row r="3147" s="2" customFormat="1" ht="13.5" customHeight="1">
      <c r="B3147" s="13"/>
      <c r="C3147" t="s" s="9">
        <v>27</v>
      </c>
      <c r="D3147" t="s" s="8">
        <v>1084</v>
      </c>
      <c r="E3147" t="s" s="9">
        <v>1085</v>
      </c>
      <c r="F3147" s="19">
        <v>1</v>
      </c>
      <c r="G3147" s="14"/>
      <c r="H3147" s="19">
        <v>1</v>
      </c>
      <c r="I3147" s="14"/>
      <c r="J3147" t="s" s="11">
        <v>20</v>
      </c>
      <c r="K3147" t="s" s="16">
        <f>HYPERLINK("http://csr.bu.edu/ftp/asl/asllvd/demos/verify_start_end_handshape_annotations//test_auto_move//signs_mov/15644.mov","MOV")</f>
        <v>21</v>
      </c>
      <c r="L3147" t="s" s="16">
        <f>HYPERLINK("http://csr.bu.edu/ftp/asl/asllvd/demos/verify_start_end_handshape_annotations//test_auto_move//signs_mov_separ_signers/Naomi_15644.mov","MOV")</f>
        <v>21</v>
      </c>
      <c r="M3147" t="s" s="10">
        <v>29</v>
      </c>
      <c r="N3147" s="17">
        <v>40</v>
      </c>
      <c r="O3147" s="18">
        <v>3485</v>
      </c>
      <c r="P3147" s="18">
        <v>3512</v>
      </c>
      <c r="Q3147" t="s" s="16">
        <f>HYPERLINK("http://secrets.rutgers.edu:8080/data/asl-ftp/asllvd/demos/verify_start_end_handshape_annotations//test_auto_move//signs_mov/15644.mov","MOV")</f>
        <v>21</v>
      </c>
      <c r="R3147" t="s" s="16">
        <f>HYPERLINK("http://secrets.rutgers.edu:8080/data/asl-ftp/asllvd/demos/verify_start_end_handshape_annotations//test_auto_move//signs_mov_separ_signers/Naomi_15644.mov","MOV")</f>
        <v>21</v>
      </c>
    </row>
    <row r="3148" s="2" customFormat="1" ht="13.5" customHeight="1">
      <c r="B3148" s="13"/>
      <c r="C3148" t="s" s="9">
        <v>30</v>
      </c>
      <c r="D3148" t="s" s="8">
        <v>1084</v>
      </c>
      <c r="E3148" t="s" s="9">
        <v>1084</v>
      </c>
      <c r="F3148" s="19">
        <v>1</v>
      </c>
      <c r="G3148" s="14"/>
      <c r="H3148" s="19">
        <v>1</v>
      </c>
      <c r="I3148" s="14"/>
      <c r="J3148" t="s" s="11">
        <v>20</v>
      </c>
      <c r="K3148" s="15"/>
      <c r="L3148" t="s" s="16">
        <f>HYPERLINK("http://csr.bu.edu/ftp/asl/asllvd/demos/verify_start_end_handshape_annotations//test_auto_move//signs_mov_separ_signers/Brady_15644.mov","MOV")</f>
        <v>21</v>
      </c>
      <c r="M3148" t="s" s="10">
        <v>31</v>
      </c>
      <c r="N3148" s="17">
        <v>25</v>
      </c>
      <c r="O3148" s="18">
        <v>7403</v>
      </c>
      <c r="P3148" s="18">
        <v>7434</v>
      </c>
      <c r="Q3148" s="15"/>
      <c r="R3148" t="s" s="16">
        <f>HYPERLINK("http://secrets.rutgers.edu:8080/data/asl-ftp/asllvd/demos/verify_start_end_handshape_annotations//test_auto_move//signs_mov_separ_signers/Brady_15644.mov","MOV")</f>
        <v>21</v>
      </c>
    </row>
    <row r="3149" s="2" customFormat="1" ht="13.5" customHeight="1">
      <c r="B3149" s="13"/>
      <c r="C3149" t="s" s="9">
        <v>41</v>
      </c>
      <c r="D3149" t="s" s="8">
        <v>1084</v>
      </c>
      <c r="E3149" t="s" s="9">
        <v>1084</v>
      </c>
      <c r="F3149" s="19">
        <v>1</v>
      </c>
      <c r="G3149" s="14"/>
      <c r="H3149" s="19">
        <v>1</v>
      </c>
      <c r="I3149" s="14"/>
      <c r="J3149" t="s" s="11">
        <v>20</v>
      </c>
      <c r="K3149" s="15"/>
      <c r="L3149" t="s" s="16">
        <f>HYPERLINK("http://csr.bu.edu/ftp/asl/asllvd/demos/verify_start_end_handshape_annotations//test_auto_move//signs_mov_separ_signers/Lana_15644.mov","MOV")</f>
        <v>21</v>
      </c>
      <c r="M3149" t="s" s="10">
        <v>42</v>
      </c>
      <c r="N3149" s="17">
        <v>5</v>
      </c>
      <c r="O3149" s="18">
        <v>1034</v>
      </c>
      <c r="P3149" s="18">
        <v>1058</v>
      </c>
      <c r="Q3149" s="15"/>
      <c r="R3149" t="s" s="16">
        <f>HYPERLINK("http://secrets.rutgers.edu:8080/data/asl-ftp/asllvd/demos/verify_start_end_handshape_annotations//test_auto_move//signs_mov_separ_signers/Lana_15644.mov","MOV")</f>
        <v>21</v>
      </c>
    </row>
    <row r="3150" s="2" customFormat="1" ht="13.5" customHeight="1">
      <c r="B3150" t="s" s="8">
        <v>1086</v>
      </c>
      <c r="C3150" t="s" s="9">
        <v>14</v>
      </c>
      <c r="D3150" t="s" s="8">
        <v>14</v>
      </c>
      <c r="E3150" t="s" s="9">
        <v>14</v>
      </c>
      <c r="F3150" t="s" s="10">
        <v>14</v>
      </c>
      <c r="G3150" t="s" s="11">
        <v>14</v>
      </c>
      <c r="H3150" t="s" s="10">
        <v>14</v>
      </c>
      <c r="I3150" t="s" s="11">
        <v>14</v>
      </c>
      <c r="J3150" t="s" s="11">
        <v>14</v>
      </c>
      <c r="K3150" t="s" s="12">
        <v>14</v>
      </c>
      <c r="L3150" t="s" s="12">
        <v>14</v>
      </c>
      <c r="M3150" t="s" s="10">
        <v>14</v>
      </c>
      <c r="N3150" t="s" s="11">
        <v>14</v>
      </c>
      <c r="O3150" t="s" s="8">
        <v>14</v>
      </c>
      <c r="P3150" t="s" s="8">
        <v>14</v>
      </c>
      <c r="Q3150" t="s" s="12">
        <v>14</v>
      </c>
      <c r="R3150" t="s" s="12">
        <v>14</v>
      </c>
    </row>
    <row r="3151" s="2" customFormat="1" ht="13.5" customHeight="1">
      <c r="B3151" s="13"/>
      <c r="C3151" t="s" s="9">
        <v>16</v>
      </c>
      <c r="D3151" t="s" s="8">
        <v>1086</v>
      </c>
      <c r="E3151" t="s" s="9">
        <v>1087</v>
      </c>
      <c r="F3151" t="s" s="10">
        <v>51</v>
      </c>
      <c r="G3151" s="14"/>
      <c r="H3151" t="s" s="10">
        <v>51</v>
      </c>
      <c r="I3151" s="14"/>
      <c r="J3151" t="s" s="11">
        <v>20</v>
      </c>
      <c r="K3151" s="15"/>
      <c r="L3151" t="s" s="16">
        <f>HYPERLINK("http://csr.bu.edu/ftp/asl/asllvd/demos/verify_start_end_handshape_annotations//test_auto_move//signs_mov_separ_signers/Liz_671.mov","MOV")</f>
        <v>21</v>
      </c>
      <c r="M3151" t="s" s="10">
        <v>84</v>
      </c>
      <c r="N3151" s="17">
        <v>18</v>
      </c>
      <c r="O3151" s="18">
        <v>785</v>
      </c>
      <c r="P3151" s="18">
        <v>821</v>
      </c>
      <c r="Q3151" s="15"/>
      <c r="R3151" t="s" s="16">
        <f>HYPERLINK("http://secrets.rutgers.edu:8080/data/asl-ftp/asllvd/demos/verify_start_end_handshape_annotations//test_auto_move//signs_mov_separ_signers/Liz_671.mov","MOV")</f>
        <v>21</v>
      </c>
    </row>
    <row r="3152" s="2" customFormat="1" ht="13.5" customHeight="1">
      <c r="B3152" s="13"/>
      <c r="C3152" t="s" s="9">
        <v>27</v>
      </c>
      <c r="D3152" t="s" s="8">
        <v>1086</v>
      </c>
      <c r="E3152" t="s" s="9">
        <v>1086</v>
      </c>
      <c r="F3152" t="s" s="10">
        <v>51</v>
      </c>
      <c r="G3152" s="14"/>
      <c r="H3152" t="s" s="10">
        <v>51</v>
      </c>
      <c r="I3152" s="14"/>
      <c r="J3152" t="s" s="11">
        <v>20</v>
      </c>
      <c r="K3152" t="s" s="16">
        <f>HYPERLINK("http://csr.bu.edu/ftp/asl/asllvd/demos/verify_start_end_handshape_annotations//test_auto_move//signs_mov/671.mov","MOV")</f>
        <v>21</v>
      </c>
      <c r="L3152" t="s" s="16">
        <f>HYPERLINK("http://csr.bu.edu/ftp/asl/asllvd/demos/verify_start_end_handshape_annotations//test_auto_move//signs_mov_separ_signers/Naomi_671.mov","MOV")</f>
        <v>21</v>
      </c>
      <c r="M3152" t="s" s="10">
        <v>86</v>
      </c>
      <c r="N3152" s="17">
        <v>18</v>
      </c>
      <c r="O3152" s="18">
        <v>631</v>
      </c>
      <c r="P3152" s="18">
        <v>650</v>
      </c>
      <c r="Q3152" t="s" s="16">
        <f>HYPERLINK("http://secrets.rutgers.edu:8080/data/asl-ftp/asllvd/demos/verify_start_end_handshape_annotations//test_auto_move//signs_mov/671.mov","MOV")</f>
        <v>21</v>
      </c>
      <c r="R3152" t="s" s="16">
        <f>HYPERLINK("http://secrets.rutgers.edu:8080/data/asl-ftp/asllvd/demos/verify_start_end_handshape_annotations//test_auto_move//signs_mov_separ_signers/Naomi_671.mov","MOV")</f>
        <v>21</v>
      </c>
    </row>
    <row r="3153" s="2" customFormat="1" ht="13.5" customHeight="1">
      <c r="B3153" s="13"/>
      <c r="C3153" t="s" s="9">
        <v>30</v>
      </c>
      <c r="D3153" t="s" s="8">
        <v>1086</v>
      </c>
      <c r="E3153" t="s" s="9">
        <v>1088</v>
      </c>
      <c r="F3153" t="s" s="10">
        <v>51</v>
      </c>
      <c r="G3153" s="14"/>
      <c r="H3153" t="s" s="10">
        <v>51</v>
      </c>
      <c r="I3153" s="14"/>
      <c r="J3153" t="s" s="11">
        <v>20</v>
      </c>
      <c r="K3153" s="15"/>
      <c r="L3153" t="s" s="16">
        <f>HYPERLINK("http://csr.bu.edu/ftp/asl/asllvd/demos/verify_start_end_handshape_annotations//test_auto_move//signs_mov_separ_signers/Brady_671.mov","MOV")</f>
        <v>21</v>
      </c>
      <c r="M3153" t="s" s="10">
        <v>31</v>
      </c>
      <c r="N3153" s="17">
        <v>34</v>
      </c>
      <c r="O3153" s="18">
        <v>6408</v>
      </c>
      <c r="P3153" s="18">
        <v>6433</v>
      </c>
      <c r="Q3153" s="15"/>
      <c r="R3153" t="s" s="16">
        <f>HYPERLINK("http://secrets.rutgers.edu:8080/data/asl-ftp/asllvd/demos/verify_start_end_handshape_annotations//test_auto_move//signs_mov_separ_signers/Brady_671.mov","MOV")</f>
        <v>21</v>
      </c>
    </row>
    <row r="3154" s="2" customFormat="1" ht="13.5" customHeight="1">
      <c r="B3154" t="s" s="8">
        <v>1089</v>
      </c>
      <c r="C3154" t="s" s="9">
        <v>14</v>
      </c>
      <c r="D3154" t="s" s="8">
        <v>14</v>
      </c>
      <c r="E3154" t="s" s="9">
        <v>14</v>
      </c>
      <c r="F3154" t="s" s="10">
        <v>14</v>
      </c>
      <c r="G3154" t="s" s="11">
        <v>14</v>
      </c>
      <c r="H3154" t="s" s="10">
        <v>14</v>
      </c>
      <c r="I3154" t="s" s="11">
        <v>14</v>
      </c>
      <c r="J3154" t="s" s="11">
        <v>14</v>
      </c>
      <c r="K3154" t="s" s="12">
        <v>14</v>
      </c>
      <c r="L3154" t="s" s="12">
        <v>14</v>
      </c>
      <c r="M3154" t="s" s="10">
        <v>14</v>
      </c>
      <c r="N3154" t="s" s="11">
        <v>14</v>
      </c>
      <c r="O3154" t="s" s="8">
        <v>14</v>
      </c>
      <c r="P3154" t="s" s="8">
        <v>14</v>
      </c>
      <c r="Q3154" t="s" s="12">
        <v>14</v>
      </c>
      <c r="R3154" t="s" s="12">
        <v>14</v>
      </c>
    </row>
    <row r="3155" s="2" customFormat="1" ht="13.5" customHeight="1">
      <c r="B3155" s="13"/>
      <c r="C3155" t="s" s="9">
        <v>16</v>
      </c>
      <c r="D3155" t="s" s="8">
        <v>1089</v>
      </c>
      <c r="E3155" t="s" s="9">
        <v>1089</v>
      </c>
      <c r="F3155" t="s" s="10">
        <v>119</v>
      </c>
      <c r="G3155" t="s" s="11">
        <v>55</v>
      </c>
      <c r="H3155" t="s" s="10">
        <v>80</v>
      </c>
      <c r="I3155" t="s" s="11">
        <v>55</v>
      </c>
      <c r="J3155" t="s" s="11">
        <v>20</v>
      </c>
      <c r="K3155" s="15"/>
      <c r="L3155" t="s" s="16">
        <f>HYPERLINK("http://csr.bu.edu/ftp/asl/asllvd/demos/verify_start_end_handshape_annotations//test_auto_move//signs_mov_separ_signers/Liz_15012.mov","MOV")</f>
        <v>21</v>
      </c>
      <c r="M3155" t="s" s="10">
        <v>84</v>
      </c>
      <c r="N3155" s="17">
        <v>18</v>
      </c>
      <c r="O3155" s="18">
        <v>561</v>
      </c>
      <c r="P3155" s="18">
        <v>595</v>
      </c>
      <c r="Q3155" s="15"/>
      <c r="R3155" t="s" s="16">
        <f>HYPERLINK("http://secrets.rutgers.edu:8080/data/asl-ftp/asllvd/demos/verify_start_end_handshape_annotations//test_auto_move//signs_mov_separ_signers/Liz_15012.mov","MOV")</f>
        <v>21</v>
      </c>
    </row>
    <row r="3156" s="2" customFormat="1" ht="13.5" customHeight="1">
      <c r="B3156" s="13"/>
      <c r="C3156" t="s" s="9">
        <v>23</v>
      </c>
      <c r="D3156" t="s" s="8">
        <v>1089</v>
      </c>
      <c r="E3156" t="s" s="9">
        <v>1089</v>
      </c>
      <c r="F3156" t="s" s="10">
        <v>119</v>
      </c>
      <c r="G3156" t="s" s="11">
        <v>55</v>
      </c>
      <c r="H3156" t="s" s="10">
        <v>80</v>
      </c>
      <c r="I3156" t="s" s="11">
        <v>55</v>
      </c>
      <c r="J3156" t="s" s="11">
        <v>20</v>
      </c>
      <c r="K3156" s="15"/>
      <c r="L3156" t="s" s="16">
        <f>HYPERLINK("http://csr.bu.edu/ftp/asl/asllvd/demos/verify_start_end_handshape_annotations//test_auto_move//signs_mov_separ_signers/Tyler_15012.mov","MOV")</f>
        <v>21</v>
      </c>
      <c r="M3156" t="s" s="10">
        <v>125</v>
      </c>
      <c r="N3156" s="17">
        <v>17</v>
      </c>
      <c r="O3156" s="18">
        <v>316</v>
      </c>
      <c r="P3156" s="18">
        <v>356</v>
      </c>
      <c r="Q3156" s="15"/>
      <c r="R3156" t="s" s="16">
        <f>HYPERLINK("http://secrets.rutgers.edu:8080/data/asl-ftp/asllvd/demos/verify_start_end_handshape_annotations//test_auto_move//signs_mov_separ_signers/Tyler_15012.mov","MOV")</f>
        <v>21</v>
      </c>
    </row>
    <row r="3157" s="2" customFormat="1" ht="13.5" customHeight="1">
      <c r="B3157" s="13"/>
      <c r="C3157" t="s" s="9">
        <v>27</v>
      </c>
      <c r="D3157" t="s" s="8">
        <v>1089</v>
      </c>
      <c r="E3157" t="s" s="9">
        <v>1089</v>
      </c>
      <c r="F3157" t="s" s="10">
        <v>119</v>
      </c>
      <c r="G3157" t="s" s="11">
        <v>55</v>
      </c>
      <c r="H3157" t="s" s="10">
        <v>150</v>
      </c>
      <c r="I3157" t="s" s="11">
        <v>55</v>
      </c>
      <c r="J3157" t="s" s="11">
        <v>20</v>
      </c>
      <c r="K3157" t="s" s="16">
        <f>HYPERLINK("http://csr.bu.edu/ftp/asl/asllvd/demos/verify_start_end_handshape_annotations//test_auto_move//signs_mov/15012.mov","MOV")</f>
        <v>21</v>
      </c>
      <c r="L3157" t="s" s="16">
        <f>HYPERLINK("http://csr.bu.edu/ftp/asl/asllvd/demos/verify_start_end_handshape_annotations//test_auto_move//signs_mov_separ_signers/Naomi_15012.mov","MOV")</f>
        <v>21</v>
      </c>
      <c r="M3157" t="s" s="10">
        <v>86</v>
      </c>
      <c r="N3157" s="17">
        <v>18</v>
      </c>
      <c r="O3157" s="18">
        <v>387</v>
      </c>
      <c r="P3157" s="18">
        <v>419</v>
      </c>
      <c r="Q3157" t="s" s="16">
        <f>HYPERLINK("http://secrets.rutgers.edu:8080/data/asl-ftp/asllvd/demos/verify_start_end_handshape_annotations//test_auto_move//signs_mov/15012.mov","MOV")</f>
        <v>21</v>
      </c>
      <c r="R3157" t="s" s="16">
        <f>HYPERLINK("http://secrets.rutgers.edu:8080/data/asl-ftp/asllvd/demos/verify_start_end_handshape_annotations//test_auto_move//signs_mov_separ_signers/Naomi_15012.mov","MOV")</f>
        <v>21</v>
      </c>
    </row>
    <row r="3158" s="2" customFormat="1" ht="13.5" customHeight="1">
      <c r="B3158" s="13"/>
      <c r="C3158" t="s" s="9">
        <v>30</v>
      </c>
      <c r="D3158" t="s" s="8">
        <v>1089</v>
      </c>
      <c r="E3158" t="s" s="9">
        <v>1090</v>
      </c>
      <c r="F3158" t="s" s="10">
        <v>119</v>
      </c>
      <c r="G3158" t="s" s="11">
        <v>105</v>
      </c>
      <c r="H3158" t="s" s="10">
        <v>80</v>
      </c>
      <c r="I3158" t="s" s="11">
        <v>105</v>
      </c>
      <c r="J3158" t="s" s="11">
        <v>20</v>
      </c>
      <c r="K3158" s="15"/>
      <c r="L3158" t="s" s="16">
        <f>HYPERLINK("http://csr.bu.edu/ftp/asl/asllvd/demos/verify_start_end_handshape_annotations//test_auto_move//signs_mov_separ_signers/Brady_15012.mov","MOV")</f>
        <v>21</v>
      </c>
      <c r="M3158" t="s" s="10">
        <v>39</v>
      </c>
      <c r="N3158" s="17">
        <v>5</v>
      </c>
      <c r="O3158" s="18">
        <v>1610</v>
      </c>
      <c r="P3158" s="18">
        <v>1642</v>
      </c>
      <c r="Q3158" s="15"/>
      <c r="R3158" t="s" s="16">
        <f>HYPERLINK("http://secrets.rutgers.edu:8080/data/asl-ftp/asllvd/demos/verify_start_end_handshape_annotations//test_auto_move//signs_mov_separ_signers/Brady_15012.mov","MOV")</f>
        <v>21</v>
      </c>
    </row>
    <row r="3159" s="2" customFormat="1" ht="13.5" customHeight="1">
      <c r="B3159" s="13"/>
      <c r="C3159" t="s" s="9">
        <v>41</v>
      </c>
      <c r="D3159" t="s" s="8">
        <v>1089</v>
      </c>
      <c r="E3159" t="s" s="9">
        <v>1091</v>
      </c>
      <c r="F3159" t="s" s="10">
        <v>158</v>
      </c>
      <c r="G3159" t="s" s="11">
        <v>73</v>
      </c>
      <c r="H3159" t="s" s="10">
        <v>80</v>
      </c>
      <c r="I3159" t="s" s="11">
        <v>73</v>
      </c>
      <c r="J3159" t="s" s="11">
        <v>20</v>
      </c>
      <c r="K3159" s="15"/>
      <c r="L3159" t="s" s="16">
        <f>HYPERLINK("http://csr.bu.edu/ftp/asl/asllvd/demos/verify_start_end_handshape_annotations//test_auto_move//signs_mov_separ_signers/Lana_15012.mov","MOV")</f>
        <v>21</v>
      </c>
      <c r="M3159" t="s" s="10">
        <v>42</v>
      </c>
      <c r="N3159" s="17">
        <v>7</v>
      </c>
      <c r="O3159" s="18">
        <v>1160</v>
      </c>
      <c r="P3159" s="18">
        <v>1212</v>
      </c>
      <c r="Q3159" s="15"/>
      <c r="R3159" t="s" s="16">
        <f>HYPERLINK("http://secrets.rutgers.edu:8080/data/asl-ftp/asllvd/demos/verify_start_end_handshape_annotations//test_auto_move//signs_mov_separ_signers/Lana_15012.mov","MOV")</f>
        <v>21</v>
      </c>
    </row>
    <row r="3160" s="2" customFormat="1" ht="13.5" customHeight="1">
      <c r="B3160" s="13"/>
      <c r="C3160" t="s" s="9">
        <v>43</v>
      </c>
      <c r="D3160" t="s" s="8">
        <v>1089</v>
      </c>
      <c r="E3160" t="s" s="9">
        <v>1089</v>
      </c>
      <c r="F3160" t="s" s="10">
        <v>119</v>
      </c>
      <c r="G3160" t="s" s="11">
        <v>105</v>
      </c>
      <c r="H3160" t="s" s="10">
        <v>80</v>
      </c>
      <c r="I3160" t="s" s="11">
        <v>105</v>
      </c>
      <c r="J3160" t="s" s="11">
        <v>20</v>
      </c>
      <c r="K3160" s="15"/>
      <c r="L3160" t="s" s="16">
        <f>HYPERLINK("http://csr.bu.edu/ftp/asl/asllvd/demos/verify_start_end_handshape_annotations//test_auto_move//signs_mov_separ_signers/Dana_15012.mov","MOV")</f>
        <v>21</v>
      </c>
      <c r="M3160" t="s" s="10">
        <v>44</v>
      </c>
      <c r="N3160" s="17">
        <v>11</v>
      </c>
      <c r="O3160" s="18">
        <v>1215</v>
      </c>
      <c r="P3160" s="18">
        <v>1271</v>
      </c>
      <c r="Q3160" s="15"/>
      <c r="R3160" t="s" s="16">
        <f>HYPERLINK("http://secrets.rutgers.edu:8080/data/asl-ftp/asllvd/demos/verify_start_end_handshape_annotations//test_auto_move//signs_mov_separ_signers/Dana_15012.mov","MOV")</f>
        <v>21</v>
      </c>
    </row>
    <row r="3161" s="2" customFormat="1" ht="13.5" customHeight="1">
      <c r="B3161" t="s" s="8">
        <v>1092</v>
      </c>
      <c r="C3161" t="s" s="9">
        <v>14</v>
      </c>
      <c r="D3161" t="s" s="8">
        <v>14</v>
      </c>
      <c r="E3161" t="s" s="9">
        <v>14</v>
      </c>
      <c r="F3161" t="s" s="10">
        <v>14</v>
      </c>
      <c r="G3161" t="s" s="11">
        <v>14</v>
      </c>
      <c r="H3161" t="s" s="10">
        <v>14</v>
      </c>
      <c r="I3161" t="s" s="11">
        <v>14</v>
      </c>
      <c r="J3161" t="s" s="11">
        <v>14</v>
      </c>
      <c r="K3161" t="s" s="12">
        <v>14</v>
      </c>
      <c r="L3161" t="s" s="12">
        <v>14</v>
      </c>
      <c r="M3161" t="s" s="10">
        <v>14</v>
      </c>
      <c r="N3161" t="s" s="11">
        <v>14</v>
      </c>
      <c r="O3161" t="s" s="8">
        <v>14</v>
      </c>
      <c r="P3161" t="s" s="8">
        <v>14</v>
      </c>
      <c r="Q3161" t="s" s="12">
        <v>14</v>
      </c>
      <c r="R3161" t="s" s="12">
        <v>14</v>
      </c>
    </row>
    <row r="3162" s="2" customFormat="1" ht="13.5" customHeight="1">
      <c r="B3162" s="13"/>
      <c r="C3162" t="s" s="9">
        <v>16</v>
      </c>
      <c r="D3162" t="s" s="8">
        <v>1092</v>
      </c>
      <c r="E3162" t="s" s="9">
        <v>1093</v>
      </c>
      <c r="F3162" t="s" s="10">
        <v>119</v>
      </c>
      <c r="G3162" t="s" s="11">
        <v>105</v>
      </c>
      <c r="H3162" t="s" s="10">
        <v>119</v>
      </c>
      <c r="I3162" t="s" s="11">
        <v>105</v>
      </c>
      <c r="J3162" t="s" s="11">
        <v>136</v>
      </c>
      <c r="K3162" s="15"/>
      <c r="L3162" t="s" s="16">
        <f>HYPERLINK("http://csr.bu.edu/ftp/asl/asllvd/demos/verify_start_end_handshape_annotations//test_auto_move//signs_mov_separ_signers/Liz_673.mov","MOV")</f>
        <v>21</v>
      </c>
      <c r="M3162" t="s" s="10">
        <v>84</v>
      </c>
      <c r="N3162" s="17">
        <v>18</v>
      </c>
      <c r="O3162" s="18">
        <v>1082</v>
      </c>
      <c r="P3162" s="18">
        <v>1140</v>
      </c>
      <c r="Q3162" s="15"/>
      <c r="R3162" t="s" s="16">
        <f>HYPERLINK("http://secrets.rutgers.edu:8080/data/asl-ftp/asllvd/demos/verify_start_end_handshape_annotations//test_auto_move//signs_mov_separ_signers/Liz_673.mov","MOV")</f>
        <v>21</v>
      </c>
    </row>
    <row r="3163" s="2" customFormat="1" ht="13.5" customHeight="1">
      <c r="B3163" s="13"/>
      <c r="C3163" t="s" s="9">
        <v>23</v>
      </c>
      <c r="D3163" t="s" s="8">
        <v>1092</v>
      </c>
      <c r="E3163" t="s" s="9">
        <v>1093</v>
      </c>
      <c r="F3163" t="s" s="10">
        <v>119</v>
      </c>
      <c r="G3163" t="s" s="11">
        <v>105</v>
      </c>
      <c r="H3163" t="s" s="10">
        <v>119</v>
      </c>
      <c r="I3163" t="s" s="11">
        <v>105</v>
      </c>
      <c r="J3163" t="s" s="11">
        <v>136</v>
      </c>
      <c r="K3163" t="s" s="16">
        <f>HYPERLINK("http://csr.bu.edu/ftp/asl/asllvd/demos/verify_start_end_handshape_annotations//test_auto_move//signs_mov/673.mov","MOV")</f>
        <v>21</v>
      </c>
      <c r="L3163" t="s" s="16">
        <f>HYPERLINK("http://csr.bu.edu/ftp/asl/asllvd/demos/verify_start_end_handshape_annotations//test_auto_move//signs_mov_separ_signers/Tyler_673.mov","MOV")</f>
        <v>21</v>
      </c>
      <c r="M3163" t="s" s="10">
        <v>125</v>
      </c>
      <c r="N3163" s="17">
        <v>17</v>
      </c>
      <c r="O3163" s="18">
        <v>972</v>
      </c>
      <c r="P3163" s="18">
        <v>1017</v>
      </c>
      <c r="Q3163" t="s" s="16">
        <f>HYPERLINK("http://secrets.rutgers.edu:8080/data/asl-ftp/asllvd/demos/verify_start_end_handshape_annotations//test_auto_move//signs_mov/673.mov","MOV")</f>
        <v>21</v>
      </c>
      <c r="R3163" t="s" s="16">
        <f>HYPERLINK("http://secrets.rutgers.edu:8080/data/asl-ftp/asllvd/demos/verify_start_end_handshape_annotations//test_auto_move//signs_mov_separ_signers/Tyler_673.mov","MOV")</f>
        <v>21</v>
      </c>
    </row>
    <row r="3164" s="2" customFormat="1" ht="13.5" customHeight="1">
      <c r="B3164" s="13"/>
      <c r="C3164" t="s" s="9">
        <v>27</v>
      </c>
      <c r="D3164" t="s" s="8">
        <v>1092</v>
      </c>
      <c r="E3164" t="s" s="9">
        <v>1094</v>
      </c>
      <c r="F3164" t="s" s="10">
        <v>119</v>
      </c>
      <c r="G3164" t="s" s="11">
        <v>105</v>
      </c>
      <c r="H3164" t="s" s="10">
        <v>119</v>
      </c>
      <c r="I3164" t="s" s="11">
        <v>105</v>
      </c>
      <c r="J3164" t="s" s="11">
        <v>136</v>
      </c>
      <c r="K3164" s="15"/>
      <c r="L3164" t="s" s="16">
        <f>HYPERLINK("http://csr.bu.edu/ftp/asl/asllvd/demos/verify_start_end_handshape_annotations//test_auto_move//signs_mov_separ_signers/Naomi_673.mov","MOV")</f>
        <v>21</v>
      </c>
      <c r="M3164" t="s" s="10">
        <v>86</v>
      </c>
      <c r="N3164" s="17">
        <v>18</v>
      </c>
      <c r="O3164" s="18">
        <v>915</v>
      </c>
      <c r="P3164" s="18">
        <v>950</v>
      </c>
      <c r="Q3164" s="15"/>
      <c r="R3164" t="s" s="16">
        <f>HYPERLINK("http://secrets.rutgers.edu:8080/data/asl-ftp/asllvd/demos/verify_start_end_handshape_annotations//test_auto_move//signs_mov_separ_signers/Naomi_673.mov","MOV")</f>
        <v>21</v>
      </c>
    </row>
    <row r="3165" s="2" customFormat="1" ht="13.5" customHeight="1">
      <c r="B3165" t="s" s="8">
        <v>52</v>
      </c>
      <c r="C3165" t="s" s="9">
        <v>53</v>
      </c>
      <c r="D3165" t="s" s="8">
        <v>53</v>
      </c>
      <c r="E3165" t="s" s="9">
        <v>53</v>
      </c>
      <c r="F3165" t="s" s="10">
        <v>53</v>
      </c>
      <c r="G3165" t="s" s="11">
        <v>53</v>
      </c>
      <c r="H3165" t="s" s="10">
        <v>53</v>
      </c>
      <c r="I3165" t="s" s="11">
        <v>53</v>
      </c>
      <c r="J3165" t="s" s="11">
        <v>53</v>
      </c>
      <c r="K3165" t="s" s="12">
        <v>53</v>
      </c>
      <c r="L3165" t="s" s="12">
        <v>53</v>
      </c>
      <c r="M3165" t="s" s="10">
        <v>53</v>
      </c>
      <c r="N3165" t="s" s="11">
        <v>53</v>
      </c>
      <c r="O3165" t="s" s="8">
        <v>53</v>
      </c>
      <c r="P3165" t="s" s="8">
        <v>53</v>
      </c>
      <c r="Q3165" t="s" s="12">
        <v>53</v>
      </c>
      <c r="R3165" t="s" s="12">
        <v>53</v>
      </c>
    </row>
    <row r="3166" s="2" customFormat="1" ht="13.5" customHeight="1">
      <c r="B3166" s="13"/>
      <c r="C3166" t="s" s="9">
        <v>30</v>
      </c>
      <c r="D3166" t="s" s="8">
        <v>1092</v>
      </c>
      <c r="E3166" t="s" s="9">
        <v>1095</v>
      </c>
      <c r="F3166" t="s" s="10">
        <v>51</v>
      </c>
      <c r="G3166" t="s" s="11">
        <v>152</v>
      </c>
      <c r="H3166" t="s" s="10">
        <v>51</v>
      </c>
      <c r="I3166" t="s" s="11">
        <v>152</v>
      </c>
      <c r="J3166" t="s" s="11">
        <v>136</v>
      </c>
      <c r="K3166" t="s" s="16">
        <f>HYPERLINK("http://csr.bu.edu/ftp/asl/asllvd/demos/verify_start_end_handshape_annotations//test_auto_move//signs_mov/5031_16323_merged.mov","MOV")</f>
        <v>21</v>
      </c>
      <c r="L3166" t="s" s="16">
        <f>HYPERLINK("http://csr.bu.edu/ftp/asl/asllvd/demos/verify_start_end_handshape_annotations//test_auto_move//signs_mov_separ_signers/Brady_5031.mov","MOV")</f>
        <v>21</v>
      </c>
      <c r="M3166" t="s" s="10">
        <v>31</v>
      </c>
      <c r="N3166" s="17">
        <v>34</v>
      </c>
      <c r="O3166" s="18">
        <v>6712</v>
      </c>
      <c r="P3166" s="18">
        <v>6734</v>
      </c>
      <c r="Q3166" t="s" s="16">
        <f>HYPERLINK("http://secrets.rutgers.edu:8080/data/asl-ftp/asllvd/demos/verify_start_end_handshape_annotations//test_auto_move//signs_mov/5031_16323_merged.mov","MOV")</f>
        <v>21</v>
      </c>
      <c r="R3166" t="s" s="16">
        <f>HYPERLINK("http://secrets.rutgers.edu:8080/data/asl-ftp/asllvd/demos/verify_start_end_handshape_annotations//test_auto_move//signs_mov_separ_signers/Brady_5031.mov","MOV")</f>
        <v>21</v>
      </c>
    </row>
    <row r="3167" s="2" customFormat="1" ht="13.5" customHeight="1">
      <c r="B3167" s="13"/>
      <c r="C3167" t="s" s="9">
        <v>30</v>
      </c>
      <c r="D3167" t="s" s="8">
        <v>1092</v>
      </c>
      <c r="E3167" t="s" s="9">
        <v>1095</v>
      </c>
      <c r="F3167" t="s" s="10">
        <v>51</v>
      </c>
      <c r="G3167" t="s" s="11">
        <v>55</v>
      </c>
      <c r="H3167" t="s" s="10">
        <v>51</v>
      </c>
      <c r="I3167" t="s" s="11">
        <v>55</v>
      </c>
      <c r="J3167" t="s" s="11">
        <v>136</v>
      </c>
      <c r="K3167" s="15"/>
      <c r="L3167" t="s" s="16">
        <f>HYPERLINK("http://csr.bu.edu/ftp/asl/asllvd/demos/verify_start_end_handshape_annotations//test_auto_move//signs_mov_separ_signers/Brady_16323.mov","MOV")</f>
        <v>21</v>
      </c>
      <c r="M3167" t="s" s="10">
        <v>39</v>
      </c>
      <c r="N3167" s="17">
        <v>10</v>
      </c>
      <c r="O3167" s="18">
        <v>475</v>
      </c>
      <c r="P3167" s="18">
        <v>503</v>
      </c>
      <c r="Q3167" s="15"/>
      <c r="R3167" t="s" s="16">
        <f>HYPERLINK("http://secrets.rutgers.edu:8080/data/asl-ftp/asllvd/demos/verify_start_end_handshape_annotations//test_auto_move//signs_mov_separ_signers/Brady_16323.mov","MOV")</f>
        <v>21</v>
      </c>
    </row>
    <row r="3168" s="2" customFormat="1" ht="13.5" customHeight="1">
      <c r="B3168" t="s" s="8">
        <v>1096</v>
      </c>
      <c r="C3168" t="s" s="9">
        <v>14</v>
      </c>
      <c r="D3168" t="s" s="8">
        <v>14</v>
      </c>
      <c r="E3168" t="s" s="9">
        <v>14</v>
      </c>
      <c r="F3168" t="s" s="10">
        <v>14</v>
      </c>
      <c r="G3168" t="s" s="11">
        <v>14</v>
      </c>
      <c r="H3168" t="s" s="10">
        <v>14</v>
      </c>
      <c r="I3168" t="s" s="11">
        <v>14</v>
      </c>
      <c r="J3168" t="s" s="11">
        <v>14</v>
      </c>
      <c r="K3168" t="s" s="12">
        <v>14</v>
      </c>
      <c r="L3168" t="s" s="12">
        <v>14</v>
      </c>
      <c r="M3168" t="s" s="10">
        <v>14</v>
      </c>
      <c r="N3168" t="s" s="11">
        <v>14</v>
      </c>
      <c r="O3168" t="s" s="8">
        <v>14</v>
      </c>
      <c r="P3168" t="s" s="8">
        <v>14</v>
      </c>
      <c r="Q3168" t="s" s="12">
        <v>14</v>
      </c>
      <c r="R3168" t="s" s="12">
        <v>14</v>
      </c>
    </row>
    <row r="3169" s="2" customFormat="1" ht="13.5" customHeight="1">
      <c r="B3169" s="13"/>
      <c r="C3169" t="s" s="9">
        <v>16</v>
      </c>
      <c r="D3169" t="s" s="8">
        <v>1096</v>
      </c>
      <c r="E3169" t="s" s="9">
        <v>1096</v>
      </c>
      <c r="F3169" t="s" s="10">
        <v>282</v>
      </c>
      <c r="G3169" t="s" s="11">
        <v>282</v>
      </c>
      <c r="H3169" t="s" s="10">
        <v>282</v>
      </c>
      <c r="I3169" t="s" s="11">
        <v>282</v>
      </c>
      <c r="J3169" t="s" s="11">
        <v>20</v>
      </c>
      <c r="K3169" s="15"/>
      <c r="L3169" t="s" s="16">
        <f>HYPERLINK("http://csr.bu.edu/ftp/asl/asllvd/demos/verify_start_end_handshape_annotations//test_auto_move//signs_mov_separ_signers/Liz_674.mov","MOV")</f>
        <v>21</v>
      </c>
      <c r="M3169" t="s" s="10">
        <v>84</v>
      </c>
      <c r="N3169" s="17">
        <v>18</v>
      </c>
      <c r="O3169" s="18">
        <v>1315</v>
      </c>
      <c r="P3169" s="18">
        <v>1345</v>
      </c>
      <c r="Q3169" s="15"/>
      <c r="R3169" t="s" s="16">
        <f>HYPERLINK("http://secrets.rutgers.edu:8080/data/asl-ftp/asllvd/demos/verify_start_end_handshape_annotations//test_auto_move//signs_mov_separ_signers/Liz_674.mov","MOV")</f>
        <v>21</v>
      </c>
    </row>
    <row r="3170" s="2" customFormat="1" ht="13.5" customHeight="1">
      <c r="B3170" s="13"/>
      <c r="C3170" t="s" s="9">
        <v>23</v>
      </c>
      <c r="D3170" t="s" s="8">
        <v>1096</v>
      </c>
      <c r="E3170" t="s" s="9">
        <v>1096</v>
      </c>
      <c r="F3170" t="s" s="10">
        <v>282</v>
      </c>
      <c r="G3170" t="s" s="11">
        <v>282</v>
      </c>
      <c r="H3170" t="s" s="10">
        <v>282</v>
      </c>
      <c r="I3170" t="s" s="11">
        <v>282</v>
      </c>
      <c r="J3170" t="s" s="11">
        <v>20</v>
      </c>
      <c r="K3170" t="s" s="16">
        <f>HYPERLINK("http://csr.bu.edu/ftp/asl/asllvd/demos/verify_start_end_handshape_annotations//test_auto_move//signs_mov/674.mov","MOV")</f>
        <v>21</v>
      </c>
      <c r="L3170" t="s" s="16">
        <f>HYPERLINK("http://csr.bu.edu/ftp/asl/asllvd/demos/verify_start_end_handshape_annotations//test_auto_move//signs_mov_separ_signers/Tyler_674.mov","MOV")</f>
        <v>21</v>
      </c>
      <c r="M3170" t="s" s="10">
        <v>125</v>
      </c>
      <c r="N3170" s="17">
        <v>17</v>
      </c>
      <c r="O3170" s="18">
        <v>1285</v>
      </c>
      <c r="P3170" s="18">
        <v>1325</v>
      </c>
      <c r="Q3170" t="s" s="16">
        <f>HYPERLINK("http://secrets.rutgers.edu:8080/data/asl-ftp/asllvd/demos/verify_start_end_handshape_annotations//test_auto_move//signs_mov/674.mov","MOV")</f>
        <v>21</v>
      </c>
      <c r="R3170" t="s" s="16">
        <f>HYPERLINK("http://secrets.rutgers.edu:8080/data/asl-ftp/asllvd/demos/verify_start_end_handshape_annotations//test_auto_move//signs_mov_separ_signers/Tyler_674.mov","MOV")</f>
        <v>21</v>
      </c>
    </row>
    <row r="3171" s="2" customFormat="1" ht="13.5" customHeight="1">
      <c r="B3171" s="13"/>
      <c r="C3171" t="s" s="9">
        <v>27</v>
      </c>
      <c r="D3171" t="s" s="8">
        <v>1096</v>
      </c>
      <c r="E3171" t="s" s="9">
        <v>1096</v>
      </c>
      <c r="F3171" t="s" s="10">
        <v>282</v>
      </c>
      <c r="G3171" t="s" s="11">
        <v>282</v>
      </c>
      <c r="H3171" t="s" s="10">
        <v>282</v>
      </c>
      <c r="I3171" t="s" s="11">
        <v>282</v>
      </c>
      <c r="J3171" t="s" s="11">
        <v>20</v>
      </c>
      <c r="K3171" s="15"/>
      <c r="L3171" t="s" s="16">
        <f>HYPERLINK("http://csr.bu.edu/ftp/asl/asllvd/demos/verify_start_end_handshape_annotations//test_auto_move//signs_mov_separ_signers/Naomi_674.mov","MOV")</f>
        <v>21</v>
      </c>
      <c r="M3171" t="s" s="10">
        <v>86</v>
      </c>
      <c r="N3171" s="17">
        <v>18</v>
      </c>
      <c r="O3171" s="18">
        <v>1130</v>
      </c>
      <c r="P3171" s="18">
        <v>1151</v>
      </c>
      <c r="Q3171" s="15"/>
      <c r="R3171" t="s" s="16">
        <f>HYPERLINK("http://secrets.rutgers.edu:8080/data/asl-ftp/asllvd/demos/verify_start_end_handshape_annotations//test_auto_move//signs_mov_separ_signers/Naomi_674.mov","MOV")</f>
        <v>21</v>
      </c>
    </row>
    <row r="3172" s="2" customFormat="1" ht="13.5" customHeight="1">
      <c r="B3172" s="13"/>
      <c r="C3172" t="s" s="9">
        <v>30</v>
      </c>
      <c r="D3172" t="s" s="8">
        <v>1096</v>
      </c>
      <c r="E3172" t="s" s="9">
        <v>1096</v>
      </c>
      <c r="F3172" t="s" s="10">
        <v>282</v>
      </c>
      <c r="G3172" t="s" s="11">
        <v>282</v>
      </c>
      <c r="H3172" t="s" s="10">
        <v>282</v>
      </c>
      <c r="I3172" t="s" s="11">
        <v>282</v>
      </c>
      <c r="J3172" t="s" s="11">
        <v>20</v>
      </c>
      <c r="K3172" s="15"/>
      <c r="L3172" t="s" s="16">
        <f>HYPERLINK("http://csr.bu.edu/ftp/asl/asllvd/demos/verify_start_end_handshape_annotations//test_auto_move//signs_mov_separ_signers/Brady_674.mov","MOV")</f>
        <v>21</v>
      </c>
      <c r="M3172" t="s" s="10">
        <v>31</v>
      </c>
      <c r="N3172" s="17">
        <v>34</v>
      </c>
      <c r="O3172" s="18">
        <v>6977</v>
      </c>
      <c r="P3172" s="18">
        <v>6995</v>
      </c>
      <c r="Q3172" s="15"/>
      <c r="R3172" t="s" s="16">
        <f>HYPERLINK("http://secrets.rutgers.edu:8080/data/asl-ftp/asllvd/demos/verify_start_end_handshape_annotations//test_auto_move//signs_mov_separ_signers/Brady_674.mov","MOV")</f>
        <v>21</v>
      </c>
    </row>
    <row r="3173" s="2" customFormat="1" ht="13.5" customHeight="1">
      <c r="B3173" t="s" s="8">
        <v>52</v>
      </c>
      <c r="C3173" t="s" s="9">
        <v>53</v>
      </c>
      <c r="D3173" t="s" s="8">
        <v>53</v>
      </c>
      <c r="E3173" t="s" s="9">
        <v>53</v>
      </c>
      <c r="F3173" t="s" s="10">
        <v>53</v>
      </c>
      <c r="G3173" t="s" s="11">
        <v>53</v>
      </c>
      <c r="H3173" t="s" s="10">
        <v>53</v>
      </c>
      <c r="I3173" t="s" s="11">
        <v>53</v>
      </c>
      <c r="J3173" t="s" s="11">
        <v>53</v>
      </c>
      <c r="K3173" t="s" s="12">
        <v>53</v>
      </c>
      <c r="L3173" t="s" s="12">
        <v>53</v>
      </c>
      <c r="M3173" t="s" s="10">
        <v>53</v>
      </c>
      <c r="N3173" t="s" s="11">
        <v>53</v>
      </c>
      <c r="O3173" t="s" s="8">
        <v>53</v>
      </c>
      <c r="P3173" t="s" s="8">
        <v>53</v>
      </c>
      <c r="Q3173" t="s" s="12">
        <v>53</v>
      </c>
      <c r="R3173" t="s" s="12">
        <v>53</v>
      </c>
    </row>
    <row r="3174" s="2" customFormat="1" ht="13.5" customHeight="1">
      <c r="B3174" s="13"/>
      <c r="C3174" t="s" s="9">
        <v>16</v>
      </c>
      <c r="D3174" t="s" s="8">
        <v>1096</v>
      </c>
      <c r="E3174" t="s" s="9">
        <v>1097</v>
      </c>
      <c r="F3174" t="s" s="10">
        <v>158</v>
      </c>
      <c r="G3174" t="s" s="11">
        <v>158</v>
      </c>
      <c r="H3174" t="s" s="10">
        <v>158</v>
      </c>
      <c r="I3174" t="s" s="11">
        <v>158</v>
      </c>
      <c r="J3174" t="s" s="11">
        <v>20</v>
      </c>
      <c r="K3174" s="15"/>
      <c r="L3174" t="s" s="16">
        <f>HYPERLINK("http://csr.bu.edu/ftp/asl/asllvd/demos/verify_start_end_handshape_annotations//test_auto_move//signs_mov_separ_signers/Liz_3609.mov","MOV")</f>
        <v>21</v>
      </c>
      <c r="M3174" t="s" s="10">
        <v>84</v>
      </c>
      <c r="N3174" s="17">
        <v>18</v>
      </c>
      <c r="O3174" s="18">
        <v>1535</v>
      </c>
      <c r="P3174" s="18">
        <v>1567</v>
      </c>
      <c r="Q3174" s="15"/>
      <c r="R3174" t="s" s="16">
        <f>HYPERLINK("http://secrets.rutgers.edu:8080/data/asl-ftp/asllvd/demos/verify_start_end_handshape_annotations//test_auto_move//signs_mov_separ_signers/Liz_3609.mov","MOV")</f>
        <v>21</v>
      </c>
    </row>
    <row r="3175" s="2" customFormat="1" ht="13.5" customHeight="1">
      <c r="B3175" s="13"/>
      <c r="C3175" t="s" s="9">
        <v>16</v>
      </c>
      <c r="D3175" t="s" s="8">
        <v>1096</v>
      </c>
      <c r="E3175" t="s" s="9">
        <v>1097</v>
      </c>
      <c r="F3175" t="s" s="10">
        <v>158</v>
      </c>
      <c r="G3175" t="s" s="11">
        <v>158</v>
      </c>
      <c r="H3175" t="s" s="10">
        <v>158</v>
      </c>
      <c r="I3175" t="s" s="11">
        <v>158</v>
      </c>
      <c r="J3175" t="s" s="11">
        <v>20</v>
      </c>
      <c r="K3175" s="15"/>
      <c r="L3175" t="s" s="16">
        <f>HYPERLINK("http://csr.bu.edu/ftp/asl/asllvd/demos/verify_start_end_handshape_annotations//test_auto_move//signs_mov_separ_signers/Liz_15464.mov","MOV")</f>
        <v>21</v>
      </c>
      <c r="M3175" t="s" s="10">
        <v>88</v>
      </c>
      <c r="N3175" s="17">
        <v>40</v>
      </c>
      <c r="O3175" s="18">
        <v>367</v>
      </c>
      <c r="P3175" s="18">
        <v>409</v>
      </c>
      <c r="Q3175" s="15"/>
      <c r="R3175" t="s" s="16">
        <f>HYPERLINK("http://secrets.rutgers.edu:8080/data/asl-ftp/asllvd/demos/verify_start_end_handshape_annotations//test_auto_move//signs_mov_separ_signers/Liz_15464.mov","MOV")</f>
        <v>21</v>
      </c>
    </row>
    <row r="3176" s="2" customFormat="1" ht="13.5" customHeight="1">
      <c r="B3176" s="13"/>
      <c r="C3176" t="s" s="9">
        <v>23</v>
      </c>
      <c r="D3176" t="s" s="8">
        <v>1096</v>
      </c>
      <c r="E3176" t="s" s="9">
        <v>1097</v>
      </c>
      <c r="F3176" t="s" s="10">
        <v>158</v>
      </c>
      <c r="G3176" t="s" s="11">
        <v>158</v>
      </c>
      <c r="H3176" t="s" s="10">
        <v>158</v>
      </c>
      <c r="I3176" t="s" s="11">
        <v>158</v>
      </c>
      <c r="J3176" t="s" s="11">
        <v>20</v>
      </c>
      <c r="K3176" t="s" s="16">
        <f>HYPERLINK("http://csr.bu.edu/ftp/asl/asllvd/demos/verify_start_end_handshape_annotations//test_auto_move//signs_mov/3609_15464_merged.mov","MOV")</f>
        <v>21</v>
      </c>
      <c r="L3176" t="s" s="16">
        <f>HYPERLINK("http://csr.bu.edu/ftp/asl/asllvd/demos/verify_start_end_handshape_annotations//test_auto_move//signs_mov_separ_signers/Tyler_3609.mov","MOV")</f>
        <v>21</v>
      </c>
      <c r="M3176" t="s" s="10">
        <v>125</v>
      </c>
      <c r="N3176" s="17">
        <v>17</v>
      </c>
      <c r="O3176" s="18">
        <v>1500</v>
      </c>
      <c r="P3176" s="18">
        <v>1531</v>
      </c>
      <c r="Q3176" t="s" s="16">
        <f>HYPERLINK("http://secrets.rutgers.edu:8080/data/asl-ftp/asllvd/demos/verify_start_end_handshape_annotations//test_auto_move//signs_mov/3609_15464_merged.mov","MOV")</f>
        <v>21</v>
      </c>
      <c r="R3176" t="s" s="16">
        <f>HYPERLINK("http://secrets.rutgers.edu:8080/data/asl-ftp/asllvd/demos/verify_start_end_handshape_annotations//test_auto_move//signs_mov_separ_signers/Tyler_3609.mov","MOV")</f>
        <v>21</v>
      </c>
    </row>
    <row r="3177" s="2" customFormat="1" ht="13.5" customHeight="1">
      <c r="B3177" s="13"/>
      <c r="C3177" t="s" s="9">
        <v>27</v>
      </c>
      <c r="D3177" t="s" s="8">
        <v>1096</v>
      </c>
      <c r="E3177" t="s" s="9">
        <v>1097</v>
      </c>
      <c r="F3177" t="s" s="10">
        <v>158</v>
      </c>
      <c r="G3177" t="s" s="11">
        <v>158</v>
      </c>
      <c r="H3177" t="s" s="10">
        <v>158</v>
      </c>
      <c r="I3177" t="s" s="11">
        <v>158</v>
      </c>
      <c r="J3177" t="s" s="11">
        <v>20</v>
      </c>
      <c r="K3177" s="15"/>
      <c r="L3177" t="s" s="16">
        <f>HYPERLINK("http://csr.bu.edu/ftp/asl/asllvd/demos/verify_start_end_handshape_annotations//test_auto_move//signs_mov_separ_signers/Naomi_3609.mov","MOV")</f>
        <v>21</v>
      </c>
      <c r="M3177" t="s" s="10">
        <v>86</v>
      </c>
      <c r="N3177" s="17">
        <v>18</v>
      </c>
      <c r="O3177" s="18">
        <v>1362</v>
      </c>
      <c r="P3177" s="18">
        <v>1387</v>
      </c>
      <c r="Q3177" s="15"/>
      <c r="R3177" t="s" s="16">
        <f>HYPERLINK("http://secrets.rutgers.edu:8080/data/asl-ftp/asllvd/demos/verify_start_end_handshape_annotations//test_auto_move//signs_mov_separ_signers/Naomi_3609.mov","MOV")</f>
        <v>21</v>
      </c>
    </row>
    <row r="3178" s="2" customFormat="1" ht="13.5" customHeight="1">
      <c r="B3178" s="13"/>
      <c r="C3178" t="s" s="9">
        <v>30</v>
      </c>
      <c r="D3178" t="s" s="8">
        <v>1096</v>
      </c>
      <c r="E3178" t="s" s="9">
        <v>1097</v>
      </c>
      <c r="F3178" t="s" s="10">
        <v>158</v>
      </c>
      <c r="G3178" t="s" s="11">
        <v>158</v>
      </c>
      <c r="H3178" t="s" s="10">
        <v>158</v>
      </c>
      <c r="I3178" t="s" s="11">
        <v>158</v>
      </c>
      <c r="J3178" t="s" s="11">
        <v>20</v>
      </c>
      <c r="K3178" s="15"/>
      <c r="L3178" t="s" s="16">
        <f>HYPERLINK("http://csr.bu.edu/ftp/asl/asllvd/demos/verify_start_end_handshape_annotations//test_auto_move//signs_mov_separ_signers/Brady_3609.mov","MOV")</f>
        <v>21</v>
      </c>
      <c r="M3178" t="s" s="10">
        <v>31</v>
      </c>
      <c r="N3178" s="17">
        <v>35</v>
      </c>
      <c r="O3178" s="18">
        <v>1671</v>
      </c>
      <c r="P3178" s="18">
        <v>1700</v>
      </c>
      <c r="Q3178" s="15"/>
      <c r="R3178" t="s" s="16">
        <f>HYPERLINK("http://secrets.rutgers.edu:8080/data/asl-ftp/asllvd/demos/verify_start_end_handshape_annotations//test_auto_move//signs_mov_separ_signers/Brady_3609.mov","MOV")</f>
        <v>21</v>
      </c>
    </row>
    <row r="3179" s="2" customFormat="1" ht="13.5" customHeight="1">
      <c r="B3179" t="s" s="8">
        <v>1098</v>
      </c>
      <c r="C3179" t="s" s="9">
        <v>14</v>
      </c>
      <c r="D3179" t="s" s="8">
        <v>14</v>
      </c>
      <c r="E3179" t="s" s="9">
        <v>14</v>
      </c>
      <c r="F3179" t="s" s="10">
        <v>14</v>
      </c>
      <c r="G3179" t="s" s="11">
        <v>14</v>
      </c>
      <c r="H3179" t="s" s="10">
        <v>14</v>
      </c>
      <c r="I3179" t="s" s="11">
        <v>14</v>
      </c>
      <c r="J3179" t="s" s="11">
        <v>14</v>
      </c>
      <c r="K3179" t="s" s="12">
        <v>14</v>
      </c>
      <c r="L3179" t="s" s="12">
        <v>14</v>
      </c>
      <c r="M3179" t="s" s="10">
        <v>14</v>
      </c>
      <c r="N3179" t="s" s="11">
        <v>14</v>
      </c>
      <c r="O3179" t="s" s="8">
        <v>14</v>
      </c>
      <c r="P3179" t="s" s="8">
        <v>14</v>
      </c>
      <c r="Q3179" t="s" s="12">
        <v>14</v>
      </c>
      <c r="R3179" t="s" s="12">
        <v>14</v>
      </c>
    </row>
    <row r="3180" s="2" customFormat="1" ht="13.5" customHeight="1">
      <c r="B3180" s="13"/>
      <c r="C3180" t="s" s="9">
        <v>16</v>
      </c>
      <c r="D3180" t="s" s="8">
        <v>1098</v>
      </c>
      <c r="E3180" t="s" s="9">
        <v>1099</v>
      </c>
      <c r="F3180" t="s" s="10">
        <v>51</v>
      </c>
      <c r="G3180" t="s" s="11">
        <v>51</v>
      </c>
      <c r="H3180" t="s" s="10">
        <v>51</v>
      </c>
      <c r="I3180" t="s" s="11">
        <v>51</v>
      </c>
      <c r="J3180" t="s" s="11">
        <v>20</v>
      </c>
      <c r="K3180" s="15"/>
      <c r="L3180" t="s" s="16">
        <f>HYPERLINK("http://csr.bu.edu/ftp/asl/asllvd/demos/verify_start_end_handshape_annotations//test_auto_move//signs_mov_separ_signers/Liz_676.mov","MOV")</f>
        <v>21</v>
      </c>
      <c r="M3180" t="s" s="10">
        <v>84</v>
      </c>
      <c r="N3180" s="17">
        <v>18</v>
      </c>
      <c r="O3180" s="18">
        <v>1772</v>
      </c>
      <c r="P3180" s="18">
        <v>1820</v>
      </c>
      <c r="Q3180" s="15"/>
      <c r="R3180" t="s" s="16">
        <f>HYPERLINK("http://secrets.rutgers.edu:8080/data/asl-ftp/asllvd/demos/verify_start_end_handshape_annotations//test_auto_move//signs_mov_separ_signers/Liz_676.mov","MOV")</f>
        <v>21</v>
      </c>
    </row>
    <row r="3181" s="2" customFormat="1" ht="13.5" customHeight="1">
      <c r="B3181" s="13"/>
      <c r="C3181" t="s" s="9">
        <v>23</v>
      </c>
      <c r="D3181" t="s" s="8">
        <v>1098</v>
      </c>
      <c r="E3181" t="s" s="9">
        <v>1099</v>
      </c>
      <c r="F3181" t="s" s="10">
        <v>51</v>
      </c>
      <c r="G3181" t="s" s="11">
        <v>51</v>
      </c>
      <c r="H3181" t="s" s="10">
        <v>51</v>
      </c>
      <c r="I3181" t="s" s="11">
        <v>51</v>
      </c>
      <c r="J3181" t="s" s="11">
        <v>20</v>
      </c>
      <c r="K3181" t="s" s="16">
        <f>HYPERLINK("http://csr.bu.edu/ftp/asl/asllvd/demos/verify_start_end_handshape_annotations//test_auto_move//signs_mov/676_3505_merged.mov","MOV")</f>
        <v>21</v>
      </c>
      <c r="L3181" t="s" s="16">
        <f>HYPERLINK("http://csr.bu.edu/ftp/asl/asllvd/demos/verify_start_end_handshape_annotations//test_auto_move//signs_mov_separ_signers/Tyler_676.mov","MOV")</f>
        <v>21</v>
      </c>
      <c r="M3181" t="s" s="10">
        <v>125</v>
      </c>
      <c r="N3181" s="17">
        <v>15</v>
      </c>
      <c r="O3181" s="18">
        <v>6800</v>
      </c>
      <c r="P3181" s="18">
        <v>6830</v>
      </c>
      <c r="Q3181" t="s" s="16">
        <f>HYPERLINK("http://secrets.rutgers.edu:8080/data/asl-ftp/asllvd/demos/verify_start_end_handshape_annotations//test_auto_move//signs_mov/676_3505_merged.mov","MOV")</f>
        <v>21</v>
      </c>
      <c r="R3181" t="s" s="16">
        <f>HYPERLINK("http://secrets.rutgers.edu:8080/data/asl-ftp/asllvd/demos/verify_start_end_handshape_annotations//test_auto_move//signs_mov_separ_signers/Tyler_676.mov","MOV")</f>
        <v>21</v>
      </c>
    </row>
    <row r="3182" s="2" customFormat="1" ht="13.5" customHeight="1">
      <c r="B3182" s="13"/>
      <c r="C3182" t="s" s="9">
        <v>23</v>
      </c>
      <c r="D3182" t="s" s="8">
        <v>1098</v>
      </c>
      <c r="E3182" t="s" s="9">
        <v>1099</v>
      </c>
      <c r="F3182" t="s" s="10">
        <v>51</v>
      </c>
      <c r="G3182" t="s" s="11">
        <v>51</v>
      </c>
      <c r="H3182" t="s" s="10">
        <v>51</v>
      </c>
      <c r="I3182" t="s" s="11">
        <v>51</v>
      </c>
      <c r="J3182" t="s" s="11">
        <v>20</v>
      </c>
      <c r="K3182" s="15"/>
      <c r="L3182" t="s" s="16">
        <f>HYPERLINK("http://csr.bu.edu/ftp/asl/asllvd/demos/verify_start_end_handshape_annotations//test_auto_move//signs_mov_separ_signers/Tyler_3505.mov","MOV")</f>
        <v>21</v>
      </c>
      <c r="M3182" t="s" s="10">
        <v>125</v>
      </c>
      <c r="N3182" s="17">
        <v>17</v>
      </c>
      <c r="O3182" s="18">
        <v>1720</v>
      </c>
      <c r="P3182" s="18">
        <v>1761</v>
      </c>
      <c r="Q3182" s="15"/>
      <c r="R3182" t="s" s="16">
        <f>HYPERLINK("http://secrets.rutgers.edu:8080/data/asl-ftp/asllvd/demos/verify_start_end_handshape_annotations//test_auto_move//signs_mov_separ_signers/Tyler_3505.mov","MOV")</f>
        <v>21</v>
      </c>
    </row>
    <row r="3183" s="2" customFormat="1" ht="13.5" customHeight="1">
      <c r="B3183" s="13"/>
      <c r="C3183" t="s" s="9">
        <v>27</v>
      </c>
      <c r="D3183" t="s" s="8">
        <v>1098</v>
      </c>
      <c r="E3183" t="s" s="9">
        <v>1099</v>
      </c>
      <c r="F3183" t="s" s="10">
        <v>51</v>
      </c>
      <c r="G3183" t="s" s="11">
        <v>51</v>
      </c>
      <c r="H3183" t="s" s="10">
        <v>51</v>
      </c>
      <c r="I3183" t="s" s="11">
        <v>51</v>
      </c>
      <c r="J3183" t="s" s="11">
        <v>20</v>
      </c>
      <c r="K3183" s="15"/>
      <c r="L3183" t="s" s="16">
        <f>HYPERLINK("http://csr.bu.edu/ftp/asl/asllvd/demos/verify_start_end_handshape_annotations//test_auto_move//signs_mov_separ_signers/Naomi_676.mov","MOV")</f>
        <v>21</v>
      </c>
      <c r="M3183" t="s" s="10">
        <v>86</v>
      </c>
      <c r="N3183" s="17">
        <v>18</v>
      </c>
      <c r="O3183" s="18">
        <v>1650</v>
      </c>
      <c r="P3183" s="18">
        <v>1690</v>
      </c>
      <c r="Q3183" s="15"/>
      <c r="R3183" t="s" s="16">
        <f>HYPERLINK("http://secrets.rutgers.edu:8080/data/asl-ftp/asllvd/demos/verify_start_end_handshape_annotations//test_auto_move//signs_mov_separ_signers/Naomi_676.mov","MOV")</f>
        <v>21</v>
      </c>
    </row>
    <row r="3184" s="2" customFormat="1" ht="13.5" customHeight="1">
      <c r="B3184" t="s" s="8">
        <v>1100</v>
      </c>
      <c r="C3184" t="s" s="9">
        <v>14</v>
      </c>
      <c r="D3184" t="s" s="8">
        <v>14</v>
      </c>
      <c r="E3184" t="s" s="9">
        <v>14</v>
      </c>
      <c r="F3184" t="s" s="10">
        <v>14</v>
      </c>
      <c r="G3184" t="s" s="11">
        <v>14</v>
      </c>
      <c r="H3184" t="s" s="10">
        <v>14</v>
      </c>
      <c r="I3184" t="s" s="11">
        <v>14</v>
      </c>
      <c r="J3184" t="s" s="11">
        <v>14</v>
      </c>
      <c r="K3184" t="s" s="12">
        <v>14</v>
      </c>
      <c r="L3184" t="s" s="12">
        <v>14</v>
      </c>
      <c r="M3184" t="s" s="10">
        <v>14</v>
      </c>
      <c r="N3184" t="s" s="11">
        <v>14</v>
      </c>
      <c r="O3184" t="s" s="8">
        <v>14</v>
      </c>
      <c r="P3184" t="s" s="8">
        <v>14</v>
      </c>
      <c r="Q3184" t="s" s="12">
        <v>14</v>
      </c>
      <c r="R3184" t="s" s="12">
        <v>14</v>
      </c>
    </row>
    <row r="3185" s="2" customFormat="1" ht="13.5" customHeight="1">
      <c r="B3185" s="13"/>
      <c r="C3185" t="s" s="9">
        <v>16</v>
      </c>
      <c r="D3185" t="s" s="8">
        <v>1100</v>
      </c>
      <c r="E3185" t="s" s="9">
        <v>1101</v>
      </c>
      <c r="F3185" t="s" s="10">
        <v>282</v>
      </c>
      <c r="G3185" t="s" s="11">
        <v>282</v>
      </c>
      <c r="H3185" t="s" s="10">
        <v>282</v>
      </c>
      <c r="I3185" t="s" s="11">
        <v>282</v>
      </c>
      <c r="J3185" t="s" s="11">
        <v>20</v>
      </c>
      <c r="K3185" s="15"/>
      <c r="L3185" t="s" s="16">
        <f>HYPERLINK("http://csr.bu.edu/ftp/asl/asllvd/demos/verify_start_end_handshape_annotations//test_auto_move//signs_mov_separ_signers/Liz_15042.mov","MOV")</f>
        <v>21</v>
      </c>
      <c r="M3185" t="s" s="10">
        <v>84</v>
      </c>
      <c r="N3185" s="17">
        <v>36</v>
      </c>
      <c r="O3185" s="18">
        <v>2065</v>
      </c>
      <c r="P3185" s="18">
        <v>2110</v>
      </c>
      <c r="Q3185" s="15"/>
      <c r="R3185" t="s" s="16">
        <f>HYPERLINK("http://secrets.rutgers.edu:8080/data/asl-ftp/asllvd/demos/verify_start_end_handshape_annotations//test_auto_move//signs_mov_separ_signers/Liz_15042.mov","MOV")</f>
        <v>21</v>
      </c>
    </row>
    <row r="3186" s="2" customFormat="1" ht="13.5" customHeight="1">
      <c r="B3186" s="13"/>
      <c r="C3186" t="s" s="9">
        <v>23</v>
      </c>
      <c r="D3186" t="s" s="8">
        <v>1100</v>
      </c>
      <c r="E3186" t="s" s="9">
        <v>1101</v>
      </c>
      <c r="F3186" t="s" s="10">
        <v>282</v>
      </c>
      <c r="G3186" t="s" s="11">
        <v>282</v>
      </c>
      <c r="H3186" t="s" s="10">
        <v>282</v>
      </c>
      <c r="I3186" t="s" s="11">
        <v>282</v>
      </c>
      <c r="J3186" t="s" s="11">
        <v>20</v>
      </c>
      <c r="K3186" s="15"/>
      <c r="L3186" t="s" s="16">
        <f>HYPERLINK("http://csr.bu.edu/ftp/asl/asllvd/demos/verify_start_end_handshape_annotations//test_auto_move//signs_mov_separ_signers/Tyler_15042.mov","MOV")</f>
        <v>21</v>
      </c>
      <c r="M3186" t="s" s="10">
        <v>92</v>
      </c>
      <c r="N3186" s="17">
        <v>16</v>
      </c>
      <c r="O3186" s="18">
        <v>2289</v>
      </c>
      <c r="P3186" s="18">
        <v>2329</v>
      </c>
      <c r="Q3186" s="15"/>
      <c r="R3186" t="s" s="16">
        <f>HYPERLINK("http://secrets.rutgers.edu:8080/data/asl-ftp/asllvd/demos/verify_start_end_handshape_annotations//test_auto_move//signs_mov_separ_signers/Tyler_15042.mov","MOV")</f>
        <v>21</v>
      </c>
    </row>
    <row r="3187" s="2" customFormat="1" ht="13.5" customHeight="1">
      <c r="B3187" s="13"/>
      <c r="C3187" t="s" s="9">
        <v>27</v>
      </c>
      <c r="D3187" t="s" s="8">
        <v>1100</v>
      </c>
      <c r="E3187" t="s" s="9">
        <v>1101</v>
      </c>
      <c r="F3187" t="s" s="10">
        <v>282</v>
      </c>
      <c r="G3187" t="s" s="11">
        <v>282</v>
      </c>
      <c r="H3187" t="s" s="10">
        <v>282</v>
      </c>
      <c r="I3187" t="s" s="11">
        <v>282</v>
      </c>
      <c r="J3187" t="s" s="11">
        <v>20</v>
      </c>
      <c r="K3187" s="15"/>
      <c r="L3187" t="s" s="16">
        <f>HYPERLINK("http://csr.bu.edu/ftp/asl/asllvd/demos/verify_start_end_handshape_annotations//test_auto_move//signs_mov_separ_signers/Naomi_15042.mov","MOV")</f>
        <v>21</v>
      </c>
      <c r="M3187" t="s" s="10">
        <v>86</v>
      </c>
      <c r="N3187" s="17">
        <v>36</v>
      </c>
      <c r="O3187" s="18">
        <v>2530</v>
      </c>
      <c r="P3187" s="18">
        <v>2574</v>
      </c>
      <c r="Q3187" s="15"/>
      <c r="R3187" t="s" s="16">
        <f>HYPERLINK("http://secrets.rutgers.edu:8080/data/asl-ftp/asllvd/demos/verify_start_end_handshape_annotations//test_auto_move//signs_mov_separ_signers/Naomi_15042.mov","MOV")</f>
        <v>21</v>
      </c>
    </row>
    <row r="3188" s="2" customFormat="1" ht="13.5" customHeight="1">
      <c r="B3188" s="13"/>
      <c r="C3188" t="s" s="9">
        <v>30</v>
      </c>
      <c r="D3188" t="s" s="8">
        <v>1100</v>
      </c>
      <c r="E3188" t="s" s="9">
        <v>1102</v>
      </c>
      <c r="F3188" t="s" s="10">
        <v>282</v>
      </c>
      <c r="G3188" t="s" s="11">
        <v>282</v>
      </c>
      <c r="H3188" t="s" s="10">
        <v>282</v>
      </c>
      <c r="I3188" t="s" s="11">
        <v>282</v>
      </c>
      <c r="J3188" t="s" s="11">
        <v>20</v>
      </c>
      <c r="K3188" t="s" s="16">
        <f>HYPERLINK("http://csr.bu.edu/ftp/asl/asllvd/demos/verify_start_end_handshape_annotations//test_auto_move//signs_mov/15042_16157_merged.mov","MOV")</f>
        <v>21</v>
      </c>
      <c r="L3188" t="s" s="16">
        <f>HYPERLINK("http://csr.bu.edu/ftp/asl/asllvd/demos/verify_start_end_handshape_annotations//test_auto_move//signs_mov_separ_signers/Brady_15042.mov","MOV")</f>
        <v>21</v>
      </c>
      <c r="M3188" t="s" s="10">
        <v>31</v>
      </c>
      <c r="N3188" s="17">
        <v>35</v>
      </c>
      <c r="O3188" s="18">
        <v>2105</v>
      </c>
      <c r="P3188" s="18">
        <v>2185</v>
      </c>
      <c r="Q3188" t="s" s="16">
        <f>HYPERLINK("http://secrets.rutgers.edu:8080/data/asl-ftp/asllvd/demos/verify_start_end_handshape_annotations//test_auto_move//signs_mov/15042_16157_merged.mov","MOV")</f>
        <v>21</v>
      </c>
      <c r="R3188" t="s" s="16">
        <f>HYPERLINK("http://secrets.rutgers.edu:8080/data/asl-ftp/asllvd/demos/verify_start_end_handshape_annotations//test_auto_move//signs_mov_separ_signers/Brady_15042.mov","MOV")</f>
        <v>21</v>
      </c>
    </row>
    <row r="3189" s="2" customFormat="1" ht="13.5" customHeight="1">
      <c r="B3189" s="13"/>
      <c r="C3189" t="s" s="9">
        <v>30</v>
      </c>
      <c r="D3189" t="s" s="8">
        <v>1100</v>
      </c>
      <c r="E3189" t="s" s="9">
        <v>1101</v>
      </c>
      <c r="F3189" t="s" s="10">
        <v>282</v>
      </c>
      <c r="G3189" t="s" s="11">
        <v>282</v>
      </c>
      <c r="H3189" t="s" s="10">
        <v>282</v>
      </c>
      <c r="I3189" t="s" s="11">
        <v>282</v>
      </c>
      <c r="J3189" t="s" s="11">
        <v>20</v>
      </c>
      <c r="K3189" s="15"/>
      <c r="L3189" t="s" s="16">
        <f>HYPERLINK("http://csr.bu.edu/ftp/asl/asllvd/demos/verify_start_end_handshape_annotations//test_auto_move//signs_mov_separ_signers/Brady_16157.mov","MOV")</f>
        <v>21</v>
      </c>
      <c r="M3189" t="s" s="10">
        <v>39</v>
      </c>
      <c r="N3189" s="17">
        <v>14</v>
      </c>
      <c r="O3189" s="18">
        <v>6663</v>
      </c>
      <c r="P3189" s="18">
        <v>6705</v>
      </c>
      <c r="Q3189" s="15"/>
      <c r="R3189" t="s" s="16">
        <f>HYPERLINK("http://secrets.rutgers.edu:8080/data/asl-ftp/asllvd/demos/verify_start_end_handshape_annotations//test_auto_move//signs_mov_separ_signers/Brady_16157.mov","MOV")</f>
        <v>21</v>
      </c>
    </row>
    <row r="3190" s="2" customFormat="1" ht="13.5" customHeight="1">
      <c r="B3190" s="13"/>
      <c r="C3190" t="s" s="9">
        <v>41</v>
      </c>
      <c r="D3190" t="s" s="8">
        <v>1100</v>
      </c>
      <c r="E3190" t="s" s="9">
        <v>1102</v>
      </c>
      <c r="F3190" t="s" s="10">
        <v>282</v>
      </c>
      <c r="G3190" t="s" s="11">
        <v>282</v>
      </c>
      <c r="H3190" t="s" s="10">
        <v>282</v>
      </c>
      <c r="I3190" t="s" s="11">
        <v>282</v>
      </c>
      <c r="J3190" t="s" s="11">
        <v>20</v>
      </c>
      <c r="K3190" s="15"/>
      <c r="L3190" t="s" s="16">
        <f>HYPERLINK("http://csr.bu.edu/ftp/asl/asllvd/demos/verify_start_end_handshape_annotations//test_auto_move//signs_mov_separ_signers/Lana_15042.mov","MOV")</f>
        <v>21</v>
      </c>
      <c r="M3190" t="s" s="10">
        <v>42</v>
      </c>
      <c r="N3190" s="17">
        <v>9</v>
      </c>
      <c r="O3190" s="18">
        <v>1209</v>
      </c>
      <c r="P3190" s="18">
        <v>1264</v>
      </c>
      <c r="Q3190" s="15"/>
      <c r="R3190" t="s" s="16">
        <f>HYPERLINK("http://secrets.rutgers.edu:8080/data/asl-ftp/asllvd/demos/verify_start_end_handshape_annotations//test_auto_move//signs_mov_separ_signers/Lana_15042.mov","MOV")</f>
        <v>21</v>
      </c>
    </row>
    <row r="3191" s="2" customFormat="1" ht="13.5" customHeight="1">
      <c r="B3191" s="13"/>
      <c r="C3191" t="s" s="9">
        <v>43</v>
      </c>
      <c r="D3191" t="s" s="8">
        <v>1100</v>
      </c>
      <c r="E3191" t="s" s="9">
        <v>1101</v>
      </c>
      <c r="F3191" t="s" s="10">
        <v>282</v>
      </c>
      <c r="G3191" t="s" s="11">
        <v>282</v>
      </c>
      <c r="H3191" t="s" s="10">
        <v>282</v>
      </c>
      <c r="I3191" t="s" s="11">
        <v>282</v>
      </c>
      <c r="J3191" t="s" s="11">
        <v>20</v>
      </c>
      <c r="K3191" s="15"/>
      <c r="L3191" t="s" s="16">
        <f>HYPERLINK("http://csr.bu.edu/ftp/asl/asllvd/demos/verify_start_end_handshape_annotations//test_auto_move//signs_mov_separ_signers/Dana_15042.mov","MOV")</f>
        <v>21</v>
      </c>
      <c r="M3191" t="s" s="10">
        <v>44</v>
      </c>
      <c r="N3191" s="17">
        <v>13</v>
      </c>
      <c r="O3191" s="18">
        <v>1274</v>
      </c>
      <c r="P3191" s="18">
        <v>1339</v>
      </c>
      <c r="Q3191" s="15"/>
      <c r="R3191" t="s" s="16">
        <f>HYPERLINK("http://secrets.rutgers.edu:8080/data/asl-ftp/asllvd/demos/verify_start_end_handshape_annotations//test_auto_move//signs_mov_separ_signers/Dana_15042.mov","MOV")</f>
        <v>21</v>
      </c>
    </row>
    <row r="3192" s="2" customFormat="1" ht="13.5" customHeight="1">
      <c r="B3192" t="s" s="8">
        <v>1103</v>
      </c>
      <c r="C3192" t="s" s="9">
        <v>14</v>
      </c>
      <c r="D3192" t="s" s="8">
        <v>14</v>
      </c>
      <c r="E3192" t="s" s="9">
        <v>14</v>
      </c>
      <c r="F3192" t="s" s="10">
        <v>14</v>
      </c>
      <c r="G3192" t="s" s="11">
        <v>14</v>
      </c>
      <c r="H3192" t="s" s="10">
        <v>14</v>
      </c>
      <c r="I3192" t="s" s="11">
        <v>14</v>
      </c>
      <c r="J3192" t="s" s="11">
        <v>14</v>
      </c>
      <c r="K3192" t="s" s="12">
        <v>14</v>
      </c>
      <c r="L3192" t="s" s="12">
        <v>14</v>
      </c>
      <c r="M3192" t="s" s="10">
        <v>14</v>
      </c>
      <c r="N3192" t="s" s="11">
        <v>14</v>
      </c>
      <c r="O3192" t="s" s="8">
        <v>14</v>
      </c>
      <c r="P3192" t="s" s="8">
        <v>14</v>
      </c>
      <c r="Q3192" t="s" s="12">
        <v>14</v>
      </c>
      <c r="R3192" t="s" s="12">
        <v>14</v>
      </c>
    </row>
    <row r="3193" s="2" customFormat="1" ht="13.5" customHeight="1">
      <c r="B3193" s="13"/>
      <c r="C3193" t="s" s="9">
        <v>16</v>
      </c>
      <c r="D3193" t="s" s="8">
        <v>1103</v>
      </c>
      <c r="E3193" t="s" s="9">
        <v>1104</v>
      </c>
      <c r="F3193" t="s" s="10">
        <v>255</v>
      </c>
      <c r="G3193" t="s" s="11">
        <v>255</v>
      </c>
      <c r="H3193" t="s" s="10">
        <v>255</v>
      </c>
      <c r="I3193" t="s" s="11">
        <v>255</v>
      </c>
      <c r="J3193" t="s" s="11">
        <v>20</v>
      </c>
      <c r="K3193" s="15"/>
      <c r="L3193" t="s" s="16">
        <f>HYPERLINK("http://csr.bu.edu/ftp/asl/asllvd/demos/verify_start_end_handshape_annotations//test_auto_move//signs_mov_separ_signers/Liz_16166.mov","MOV")</f>
        <v>21</v>
      </c>
      <c r="M3193" t="s" s="10">
        <v>34</v>
      </c>
      <c r="N3193" s="17">
        <v>57</v>
      </c>
      <c r="O3193" s="18">
        <v>1960</v>
      </c>
      <c r="P3193" s="18">
        <v>2005</v>
      </c>
      <c r="Q3193" s="15"/>
      <c r="R3193" t="s" s="16">
        <f>HYPERLINK("http://secrets.rutgers.edu:8080/data/asl-ftp/asllvd/demos/verify_start_end_handshape_annotations//test_auto_move//signs_mov_separ_signers/Liz_16166.mov","MOV")</f>
        <v>21</v>
      </c>
    </row>
    <row r="3194" s="2" customFormat="1" ht="13.5" customHeight="1">
      <c r="B3194" s="13"/>
      <c r="C3194" t="s" s="9">
        <v>23</v>
      </c>
      <c r="D3194" t="s" s="8">
        <v>1103</v>
      </c>
      <c r="E3194" t="s" s="9">
        <v>1105</v>
      </c>
      <c r="F3194" t="s" s="10">
        <v>255</v>
      </c>
      <c r="G3194" t="s" s="11">
        <v>255</v>
      </c>
      <c r="H3194" t="s" s="10">
        <v>255</v>
      </c>
      <c r="I3194" t="s" s="11">
        <v>255</v>
      </c>
      <c r="J3194" t="s" s="11">
        <v>20</v>
      </c>
      <c r="K3194" s="15"/>
      <c r="L3194" t="s" s="16">
        <f>HYPERLINK("http://csr.bu.edu/ftp/asl/asllvd/demos/verify_start_end_handshape_annotations//test_auto_move//signs_mov_separ_signers/Tyler_16166.mov","MOV")</f>
        <v>21</v>
      </c>
      <c r="M3194" t="s" s="10">
        <v>47</v>
      </c>
      <c r="N3194" s="17">
        <v>9</v>
      </c>
      <c r="O3194" s="18">
        <v>2130</v>
      </c>
      <c r="P3194" s="18">
        <v>2167</v>
      </c>
      <c r="Q3194" s="15"/>
      <c r="R3194" t="s" s="16">
        <f>HYPERLINK("http://secrets.rutgers.edu:8080/data/asl-ftp/asllvd/demos/verify_start_end_handshape_annotations//test_auto_move//signs_mov_separ_signers/Tyler_16166.mov","MOV")</f>
        <v>21</v>
      </c>
    </row>
    <row r="3195" s="2" customFormat="1" ht="13.5" customHeight="1">
      <c r="B3195" s="13"/>
      <c r="C3195" t="s" s="9">
        <v>27</v>
      </c>
      <c r="D3195" t="s" s="8">
        <v>1103</v>
      </c>
      <c r="E3195" t="s" s="9">
        <v>1104</v>
      </c>
      <c r="F3195" t="s" s="10">
        <v>255</v>
      </c>
      <c r="G3195" t="s" s="11">
        <v>255</v>
      </c>
      <c r="H3195" t="s" s="10">
        <v>255</v>
      </c>
      <c r="I3195" t="s" s="11">
        <v>255</v>
      </c>
      <c r="J3195" t="s" s="11">
        <v>20</v>
      </c>
      <c r="K3195" t="s" s="16">
        <f>HYPERLINK("http://csr.bu.edu/ftp/asl/asllvd/demos/verify_start_end_handshape_annotations//test_auto_move//signs_mov/16166_16167_merged.mov","MOV")</f>
        <v>21</v>
      </c>
      <c r="L3195" t="s" s="16">
        <f>HYPERLINK("http://csr.bu.edu/ftp/asl/asllvd/demos/verify_start_end_handshape_annotations//test_auto_move//signs_mov_separ_signers/Naomi_16166.mov","MOV")</f>
        <v>21</v>
      </c>
      <c r="M3195" t="s" s="10">
        <v>48</v>
      </c>
      <c r="N3195" s="17">
        <v>12</v>
      </c>
      <c r="O3195" s="18">
        <v>2115</v>
      </c>
      <c r="P3195" s="18">
        <v>2166</v>
      </c>
      <c r="Q3195" t="s" s="16">
        <f>HYPERLINK("http://secrets.rutgers.edu:8080/data/asl-ftp/asllvd/demos/verify_start_end_handshape_annotations//test_auto_move//signs_mov/16166_16167_merged.mov","MOV")</f>
        <v>21</v>
      </c>
      <c r="R3195" t="s" s="16">
        <f>HYPERLINK("http://secrets.rutgers.edu:8080/data/asl-ftp/asllvd/demos/verify_start_end_handshape_annotations//test_auto_move//signs_mov_separ_signers/Naomi_16166.mov","MOV")</f>
        <v>21</v>
      </c>
    </row>
    <row r="3196" s="2" customFormat="1" ht="13.5" customHeight="1">
      <c r="B3196" s="13"/>
      <c r="C3196" t="s" s="9">
        <v>30</v>
      </c>
      <c r="D3196" t="s" s="8">
        <v>1103</v>
      </c>
      <c r="E3196" t="s" s="9">
        <v>1104</v>
      </c>
      <c r="F3196" t="s" s="10">
        <v>255</v>
      </c>
      <c r="G3196" t="s" s="11">
        <v>255</v>
      </c>
      <c r="H3196" t="s" s="10">
        <v>255</v>
      </c>
      <c r="I3196" t="s" s="11">
        <v>255</v>
      </c>
      <c r="J3196" t="s" s="11">
        <v>20</v>
      </c>
      <c r="K3196" s="15"/>
      <c r="L3196" t="s" s="16">
        <f>HYPERLINK("http://csr.bu.edu/ftp/asl/asllvd/demos/verify_start_end_handshape_annotations//test_auto_move//signs_mov_separ_signers/Brady_16166.mov","MOV")</f>
        <v>21</v>
      </c>
      <c r="M3196" t="s" s="10">
        <v>31</v>
      </c>
      <c r="N3196" s="17">
        <v>34</v>
      </c>
      <c r="O3196" s="18">
        <v>1316</v>
      </c>
      <c r="P3196" s="18">
        <v>1343</v>
      </c>
      <c r="Q3196" s="15"/>
      <c r="R3196" t="s" s="16">
        <f>HYPERLINK("http://secrets.rutgers.edu:8080/data/asl-ftp/asllvd/demos/verify_start_end_handshape_annotations//test_auto_move//signs_mov_separ_signers/Brady_16166.mov","MOV")</f>
        <v>21</v>
      </c>
    </row>
    <row r="3197" s="2" customFormat="1" ht="13.5" customHeight="1">
      <c r="B3197" s="13"/>
      <c r="C3197" t="s" s="9">
        <v>30</v>
      </c>
      <c r="D3197" t="s" s="8">
        <v>1103</v>
      </c>
      <c r="E3197" t="s" s="9">
        <v>1104</v>
      </c>
      <c r="F3197" t="s" s="10">
        <v>255</v>
      </c>
      <c r="G3197" t="s" s="11">
        <v>255</v>
      </c>
      <c r="H3197" t="s" s="10">
        <v>255</v>
      </c>
      <c r="I3197" t="s" s="11">
        <v>255</v>
      </c>
      <c r="J3197" t="s" s="11">
        <v>20</v>
      </c>
      <c r="K3197" s="15"/>
      <c r="L3197" t="s" s="16">
        <f>HYPERLINK("http://csr.bu.edu/ftp/asl/asllvd/demos/verify_start_end_handshape_annotations//test_auto_move//signs_mov_separ_signers/Brady_16167.mov","MOV")</f>
        <v>21</v>
      </c>
      <c r="M3197" t="s" s="10">
        <v>39</v>
      </c>
      <c r="N3197" s="17">
        <v>54</v>
      </c>
      <c r="O3197" s="18">
        <v>1209</v>
      </c>
      <c r="P3197" s="18">
        <v>1235</v>
      </c>
      <c r="Q3197" s="15"/>
      <c r="R3197" t="s" s="16">
        <f>HYPERLINK("http://secrets.rutgers.edu:8080/data/asl-ftp/asllvd/demos/verify_start_end_handshape_annotations//test_auto_move//signs_mov_separ_signers/Brady_16167.mov","MOV")</f>
        <v>21</v>
      </c>
    </row>
    <row r="3198" s="2" customFormat="1" ht="13.5" customHeight="1">
      <c r="B3198" t="s" s="8">
        <v>1106</v>
      </c>
      <c r="C3198" t="s" s="9">
        <v>14</v>
      </c>
      <c r="D3198" t="s" s="8">
        <v>14</v>
      </c>
      <c r="E3198" t="s" s="9">
        <v>14</v>
      </c>
      <c r="F3198" t="s" s="10">
        <v>14</v>
      </c>
      <c r="G3198" t="s" s="11">
        <v>14</v>
      </c>
      <c r="H3198" t="s" s="10">
        <v>14</v>
      </c>
      <c r="I3198" t="s" s="11">
        <v>14</v>
      </c>
      <c r="J3198" t="s" s="11">
        <v>14</v>
      </c>
      <c r="K3198" t="s" s="12">
        <v>14</v>
      </c>
      <c r="L3198" t="s" s="12">
        <v>14</v>
      </c>
      <c r="M3198" t="s" s="10">
        <v>14</v>
      </c>
      <c r="N3198" t="s" s="11">
        <v>14</v>
      </c>
      <c r="O3198" t="s" s="8">
        <v>14</v>
      </c>
      <c r="P3198" t="s" s="8">
        <v>14</v>
      </c>
      <c r="Q3198" t="s" s="12">
        <v>14</v>
      </c>
      <c r="R3198" t="s" s="12">
        <v>14</v>
      </c>
    </row>
    <row r="3199" s="2" customFormat="1" ht="13.5" customHeight="1">
      <c r="B3199" s="13"/>
      <c r="C3199" t="s" s="9">
        <v>16</v>
      </c>
      <c r="D3199" t="s" s="8">
        <v>1106</v>
      </c>
      <c r="E3199" t="s" s="9">
        <v>1106</v>
      </c>
      <c r="F3199" s="19">
        <v>5</v>
      </c>
      <c r="G3199" s="14"/>
      <c r="H3199" s="19">
        <v>5</v>
      </c>
      <c r="I3199" s="14"/>
      <c r="J3199" t="s" s="11">
        <v>20</v>
      </c>
      <c r="K3199" s="15"/>
      <c r="L3199" t="s" s="16">
        <f>HYPERLINK("http://csr.bu.edu/ftp/asl/asllvd/demos/verify_start_end_handshape_annotations//test_auto_move//signs_mov_separ_signers/Liz_679.mov","MOV")</f>
        <v>21</v>
      </c>
      <c r="M3199" t="s" s="10">
        <v>84</v>
      </c>
      <c r="N3199" s="17">
        <v>18</v>
      </c>
      <c r="O3199" s="18">
        <v>2410</v>
      </c>
      <c r="P3199" s="18">
        <v>2470</v>
      </c>
      <c r="Q3199" s="15"/>
      <c r="R3199" t="s" s="16">
        <f>HYPERLINK("http://secrets.rutgers.edu:8080/data/asl-ftp/asllvd/demos/verify_start_end_handshape_annotations//test_auto_move//signs_mov_separ_signers/Liz_679.mov","MOV")</f>
        <v>21</v>
      </c>
    </row>
    <row r="3200" s="2" customFormat="1" ht="13.5" customHeight="1">
      <c r="B3200" s="13"/>
      <c r="C3200" t="s" s="9">
        <v>23</v>
      </c>
      <c r="D3200" t="s" s="8">
        <v>1106</v>
      </c>
      <c r="E3200" t="s" s="9">
        <v>1106</v>
      </c>
      <c r="F3200" s="19">
        <v>5</v>
      </c>
      <c r="G3200" s="14"/>
      <c r="H3200" s="19">
        <v>5</v>
      </c>
      <c r="I3200" s="14"/>
      <c r="J3200" t="s" s="11">
        <v>20</v>
      </c>
      <c r="K3200" s="15"/>
      <c r="L3200" t="s" s="16">
        <f>HYPERLINK("http://csr.bu.edu/ftp/asl/asllvd/demos/verify_start_end_handshape_annotations//test_auto_move//signs_mov_separ_signers/Tyler_679.mov","MOV")</f>
        <v>21</v>
      </c>
      <c r="M3200" t="s" s="10">
        <v>125</v>
      </c>
      <c r="N3200" s="17">
        <v>17</v>
      </c>
      <c r="O3200" s="18">
        <v>2250</v>
      </c>
      <c r="P3200" s="18">
        <v>2290</v>
      </c>
      <c r="Q3200" s="15"/>
      <c r="R3200" t="s" s="16">
        <f>HYPERLINK("http://secrets.rutgers.edu:8080/data/asl-ftp/asllvd/demos/verify_start_end_handshape_annotations//test_auto_move//signs_mov_separ_signers/Tyler_679.mov","MOV")</f>
        <v>21</v>
      </c>
    </row>
    <row r="3201" s="2" customFormat="1" ht="13.5" customHeight="1">
      <c r="B3201" s="13"/>
      <c r="C3201" t="s" s="9">
        <v>23</v>
      </c>
      <c r="D3201" t="s" s="8">
        <v>1106</v>
      </c>
      <c r="E3201" t="s" s="9">
        <v>1106</v>
      </c>
      <c r="F3201" s="19">
        <v>5</v>
      </c>
      <c r="G3201" s="14"/>
      <c r="H3201" s="19">
        <v>5</v>
      </c>
      <c r="I3201" s="14"/>
      <c r="J3201" t="s" s="11">
        <v>20</v>
      </c>
      <c r="K3201" t="s" s="16">
        <f>HYPERLINK("http://csr.bu.edu/ftp/asl/asllvd/demos/verify_start_end_handshape_annotations//test_auto_move//signs_mov/679_3319_merged.mov","MOV")</f>
        <v>21</v>
      </c>
      <c r="L3201" t="s" s="16">
        <f>HYPERLINK("http://csr.bu.edu/ftp/asl/asllvd/demos/verify_start_end_handshape_annotations//test_auto_move//signs_mov_separ_signers/Tyler_3319.mov","MOV")</f>
        <v>21</v>
      </c>
      <c r="M3201" t="s" s="10">
        <v>125</v>
      </c>
      <c r="N3201" s="17">
        <v>17</v>
      </c>
      <c r="O3201" s="18">
        <v>2711</v>
      </c>
      <c r="P3201" s="18">
        <v>2745</v>
      </c>
      <c r="Q3201" t="s" s="16">
        <f>HYPERLINK("http://secrets.rutgers.edu:8080/data/asl-ftp/asllvd/demos/verify_start_end_handshape_annotations//test_auto_move//signs_mov/679_3319_merged.mov","MOV")</f>
        <v>21</v>
      </c>
      <c r="R3201" t="s" s="16">
        <f>HYPERLINK("http://secrets.rutgers.edu:8080/data/asl-ftp/asllvd/demos/verify_start_end_handshape_annotations//test_auto_move//signs_mov_separ_signers/Tyler_3319.mov","MOV")</f>
        <v>21</v>
      </c>
    </row>
    <row r="3202" s="2" customFormat="1" ht="13.5" customHeight="1">
      <c r="B3202" s="13"/>
      <c r="C3202" t="s" s="9">
        <v>30</v>
      </c>
      <c r="D3202" t="s" s="8">
        <v>1106</v>
      </c>
      <c r="E3202" t="s" s="9">
        <v>1106</v>
      </c>
      <c r="F3202" s="19">
        <v>5</v>
      </c>
      <c r="G3202" s="14"/>
      <c r="H3202" s="19">
        <v>5</v>
      </c>
      <c r="I3202" s="14"/>
      <c r="J3202" t="s" s="11">
        <v>20</v>
      </c>
      <c r="K3202" s="15"/>
      <c r="L3202" t="s" s="16">
        <f>HYPERLINK("http://csr.bu.edu/ftp/asl/asllvd/demos/verify_start_end_handshape_annotations//test_auto_move//signs_mov_separ_signers/Brady_679.mov","MOV")</f>
        <v>21</v>
      </c>
      <c r="M3202" t="s" s="10">
        <v>31</v>
      </c>
      <c r="N3202" s="17">
        <v>35</v>
      </c>
      <c r="O3202" s="18">
        <v>3038</v>
      </c>
      <c r="P3202" s="18">
        <v>3061</v>
      </c>
      <c r="Q3202" s="15"/>
      <c r="R3202" t="s" s="16">
        <f>HYPERLINK("http://secrets.rutgers.edu:8080/data/asl-ftp/asllvd/demos/verify_start_end_handshape_annotations//test_auto_move//signs_mov_separ_signers/Brady_679.mov","MOV")</f>
        <v>21</v>
      </c>
    </row>
    <row r="3203" s="2" customFormat="1" ht="13.5" customHeight="1">
      <c r="B3203" s="13"/>
      <c r="C3203" t="s" s="9">
        <v>41</v>
      </c>
      <c r="D3203" t="s" s="8">
        <v>1106</v>
      </c>
      <c r="E3203" t="s" s="9">
        <v>1106</v>
      </c>
      <c r="F3203" s="19">
        <v>5</v>
      </c>
      <c r="G3203" s="14"/>
      <c r="H3203" s="19">
        <v>5</v>
      </c>
      <c r="I3203" s="14"/>
      <c r="J3203" t="s" s="11">
        <v>20</v>
      </c>
      <c r="K3203" s="15"/>
      <c r="L3203" t="s" s="16">
        <f>HYPERLINK("http://csr.bu.edu/ftp/asl/asllvd/demos/verify_start_end_handshape_annotations//test_auto_move//signs_mov_separ_signers/Lana_679.mov","MOV")</f>
        <v>21</v>
      </c>
      <c r="M3203" t="s" s="10">
        <v>42</v>
      </c>
      <c r="N3203" s="17">
        <v>7</v>
      </c>
      <c r="O3203" s="18">
        <v>394</v>
      </c>
      <c r="P3203" s="18">
        <v>427</v>
      </c>
      <c r="Q3203" s="15"/>
      <c r="R3203" t="s" s="16">
        <f>HYPERLINK("http://secrets.rutgers.edu:8080/data/asl-ftp/asllvd/demos/verify_start_end_handshape_annotations//test_auto_move//signs_mov_separ_signers/Lana_679.mov","MOV")</f>
        <v>21</v>
      </c>
    </row>
    <row r="3204" s="2" customFormat="1" ht="13.5" customHeight="1">
      <c r="B3204" s="13"/>
      <c r="C3204" t="s" s="9">
        <v>43</v>
      </c>
      <c r="D3204" t="s" s="8">
        <v>1106</v>
      </c>
      <c r="E3204" t="s" s="9">
        <v>1106</v>
      </c>
      <c r="F3204" s="19">
        <v>5</v>
      </c>
      <c r="G3204" s="14"/>
      <c r="H3204" s="19">
        <v>5</v>
      </c>
      <c r="I3204" s="14"/>
      <c r="J3204" t="s" s="11">
        <v>20</v>
      </c>
      <c r="K3204" s="15"/>
      <c r="L3204" t="s" s="16">
        <f>HYPERLINK("http://csr.bu.edu/ftp/asl/asllvd/demos/verify_start_end_handshape_annotations//test_auto_move//signs_mov_separ_signers/Dana_679.mov","MOV")</f>
        <v>21</v>
      </c>
      <c r="M3204" t="s" s="10">
        <v>44</v>
      </c>
      <c r="N3204" s="17">
        <v>11</v>
      </c>
      <c r="O3204" s="18">
        <v>419</v>
      </c>
      <c r="P3204" s="18">
        <v>460</v>
      </c>
      <c r="Q3204" s="15"/>
      <c r="R3204" t="s" s="16">
        <f>HYPERLINK("http://secrets.rutgers.edu:8080/data/asl-ftp/asllvd/demos/verify_start_end_handshape_annotations//test_auto_move//signs_mov_separ_signers/Dana_679.mov","MOV")</f>
        <v>21</v>
      </c>
    </row>
    <row r="3205" s="2" customFormat="1" ht="13.5" customHeight="1">
      <c r="B3205" t="s" s="8">
        <v>1107</v>
      </c>
      <c r="C3205" t="s" s="9">
        <v>14</v>
      </c>
      <c r="D3205" t="s" s="8">
        <v>14</v>
      </c>
      <c r="E3205" t="s" s="9">
        <v>14</v>
      </c>
      <c r="F3205" t="s" s="10">
        <v>14</v>
      </c>
      <c r="G3205" t="s" s="11">
        <v>14</v>
      </c>
      <c r="H3205" t="s" s="10">
        <v>14</v>
      </c>
      <c r="I3205" t="s" s="11">
        <v>14</v>
      </c>
      <c r="J3205" t="s" s="11">
        <v>14</v>
      </c>
      <c r="K3205" t="s" s="12">
        <v>14</v>
      </c>
      <c r="L3205" t="s" s="12">
        <v>14</v>
      </c>
      <c r="M3205" t="s" s="10">
        <v>14</v>
      </c>
      <c r="N3205" t="s" s="11">
        <v>14</v>
      </c>
      <c r="O3205" t="s" s="8">
        <v>14</v>
      </c>
      <c r="P3205" t="s" s="8">
        <v>14</v>
      </c>
      <c r="Q3205" t="s" s="12">
        <v>14</v>
      </c>
      <c r="R3205" t="s" s="12">
        <v>14</v>
      </c>
    </row>
    <row r="3206" s="2" customFormat="1" ht="13.5" customHeight="1">
      <c r="B3206" s="13"/>
      <c r="C3206" t="s" s="9">
        <v>16</v>
      </c>
      <c r="D3206" t="s" s="8">
        <v>1107</v>
      </c>
      <c r="E3206" t="s" s="9">
        <v>1107</v>
      </c>
      <c r="F3206" t="s" s="10">
        <v>68</v>
      </c>
      <c r="G3206" s="14"/>
      <c r="H3206" s="19">
        <v>5</v>
      </c>
      <c r="I3206" s="14"/>
      <c r="J3206" t="s" s="11">
        <v>20</v>
      </c>
      <c r="K3206" s="15"/>
      <c r="L3206" t="s" s="16">
        <f>HYPERLINK("http://csr.bu.edu/ftp/asl/asllvd/demos/verify_start_end_handshape_annotations//test_auto_move//signs_mov_separ_signers/Liz_15077.mov","MOV")</f>
        <v>21</v>
      </c>
      <c r="M3206" t="s" s="10">
        <v>84</v>
      </c>
      <c r="N3206" s="17">
        <v>41</v>
      </c>
      <c r="O3206" s="18">
        <v>1220</v>
      </c>
      <c r="P3206" s="18">
        <v>1240</v>
      </c>
      <c r="Q3206" s="15"/>
      <c r="R3206" t="s" s="16">
        <f>HYPERLINK("http://secrets.rutgers.edu:8080/data/asl-ftp/asllvd/demos/verify_start_end_handshape_annotations//test_auto_move//signs_mov_separ_signers/Liz_15077.mov","MOV")</f>
        <v>21</v>
      </c>
    </row>
    <row r="3207" s="2" customFormat="1" ht="13.5" customHeight="1">
      <c r="B3207" s="13"/>
      <c r="C3207" t="s" s="9">
        <v>23</v>
      </c>
      <c r="D3207" t="s" s="8">
        <v>1107</v>
      </c>
      <c r="E3207" t="s" s="9">
        <v>1107</v>
      </c>
      <c r="F3207" t="s" s="10">
        <v>68</v>
      </c>
      <c r="G3207" s="14"/>
      <c r="H3207" s="19">
        <v>5</v>
      </c>
      <c r="I3207" s="14"/>
      <c r="J3207" t="s" s="11">
        <v>20</v>
      </c>
      <c r="K3207" s="15"/>
      <c r="L3207" t="s" s="16">
        <f>HYPERLINK("http://csr.bu.edu/ftp/asl/asllvd/demos/verify_start_end_handshape_annotations//test_auto_move//signs_mov_separ_signers/Tyler_15077.mov","MOV")</f>
        <v>21</v>
      </c>
      <c r="M3207" t="s" s="10">
        <v>92</v>
      </c>
      <c r="N3207" s="17">
        <v>21</v>
      </c>
      <c r="O3207" s="18">
        <v>850</v>
      </c>
      <c r="P3207" s="18">
        <v>870</v>
      </c>
      <c r="Q3207" s="15"/>
      <c r="R3207" t="s" s="16">
        <f>HYPERLINK("http://secrets.rutgers.edu:8080/data/asl-ftp/asllvd/demos/verify_start_end_handshape_annotations//test_auto_move//signs_mov_separ_signers/Tyler_15077.mov","MOV")</f>
        <v>21</v>
      </c>
    </row>
    <row r="3208" s="2" customFormat="1" ht="13.5" customHeight="1">
      <c r="B3208" s="13"/>
      <c r="C3208" t="s" s="9">
        <v>27</v>
      </c>
      <c r="D3208" t="s" s="8">
        <v>1107</v>
      </c>
      <c r="E3208" t="s" s="9">
        <v>1107</v>
      </c>
      <c r="F3208" t="s" s="10">
        <v>63</v>
      </c>
      <c r="G3208" s="14"/>
      <c r="H3208" s="19">
        <v>5</v>
      </c>
      <c r="I3208" s="14"/>
      <c r="J3208" t="s" s="11">
        <v>20</v>
      </c>
      <c r="K3208" t="s" s="16">
        <f>HYPERLINK("http://csr.bu.edu/ftp/asl/asllvd/demos/verify_start_end_handshape_annotations//test_auto_move//signs_mov/15077_15283_merged.mov","MOV")</f>
        <v>21</v>
      </c>
      <c r="L3208" t="s" s="16">
        <f>HYPERLINK("http://csr.bu.edu/ftp/asl/asllvd/demos/verify_start_end_handshape_annotations//test_auto_move//signs_mov_separ_signers/Naomi_15077.mov","MOV")</f>
        <v>21</v>
      </c>
      <c r="M3208" t="s" s="10">
        <v>86</v>
      </c>
      <c r="N3208" s="17">
        <v>18</v>
      </c>
      <c r="O3208" s="18">
        <v>2355</v>
      </c>
      <c r="P3208" s="18">
        <v>2380</v>
      </c>
      <c r="Q3208" t="s" s="16">
        <f>HYPERLINK("http://secrets.rutgers.edu:8080/data/asl-ftp/asllvd/demos/verify_start_end_handshape_annotations//test_auto_move//signs_mov/15077_15283_merged.mov","MOV")</f>
        <v>21</v>
      </c>
      <c r="R3208" t="s" s="16">
        <f>HYPERLINK("http://secrets.rutgers.edu:8080/data/asl-ftp/asllvd/demos/verify_start_end_handshape_annotations//test_auto_move//signs_mov_separ_signers/Naomi_15077.mov","MOV")</f>
        <v>21</v>
      </c>
    </row>
    <row r="3209" s="2" customFormat="1" ht="13.5" customHeight="1">
      <c r="B3209" s="13"/>
      <c r="C3209" t="s" s="9">
        <v>27</v>
      </c>
      <c r="D3209" t="s" s="8">
        <v>1107</v>
      </c>
      <c r="E3209" t="s" s="9">
        <v>1107</v>
      </c>
      <c r="F3209" t="s" s="10">
        <v>68</v>
      </c>
      <c r="G3209" s="14"/>
      <c r="H3209" s="19">
        <v>5</v>
      </c>
      <c r="I3209" s="14"/>
      <c r="J3209" t="s" s="11">
        <v>20</v>
      </c>
      <c r="K3209" s="15"/>
      <c r="L3209" t="s" s="16">
        <f>HYPERLINK("http://csr.bu.edu/ftp/asl/asllvd/demos/verify_start_end_handshape_annotations//test_auto_move//signs_mov_separ_signers/Naomi_15283.mov","MOV")</f>
        <v>21</v>
      </c>
      <c r="M3209" t="s" s="10">
        <v>86</v>
      </c>
      <c r="N3209" s="17">
        <v>41</v>
      </c>
      <c r="O3209" s="18">
        <v>772</v>
      </c>
      <c r="P3209" s="18">
        <v>795</v>
      </c>
      <c r="Q3209" s="15"/>
      <c r="R3209" t="s" s="16">
        <f>HYPERLINK("http://secrets.rutgers.edu:8080/data/asl-ftp/asllvd/demos/verify_start_end_handshape_annotations//test_auto_move//signs_mov_separ_signers/Naomi_15283.mov","MOV")</f>
        <v>21</v>
      </c>
    </row>
    <row r="3210" s="2" customFormat="1" ht="13.5" customHeight="1">
      <c r="B3210" s="13"/>
      <c r="C3210" t="s" s="9">
        <v>30</v>
      </c>
      <c r="D3210" t="s" s="8">
        <v>1107</v>
      </c>
      <c r="E3210" t="s" s="9">
        <v>1107</v>
      </c>
      <c r="F3210" t="s" s="10">
        <v>68</v>
      </c>
      <c r="G3210" s="14"/>
      <c r="H3210" s="19">
        <v>5</v>
      </c>
      <c r="I3210" s="14"/>
      <c r="J3210" t="s" s="11">
        <v>20</v>
      </c>
      <c r="K3210" s="15"/>
      <c r="L3210" t="s" s="16">
        <f>HYPERLINK("http://csr.bu.edu/ftp/asl/asllvd/demos/verify_start_end_handshape_annotations//test_auto_move//signs_mov_separ_signers/Brady_15077.mov","MOV")</f>
        <v>21</v>
      </c>
      <c r="M3210" t="s" s="10">
        <v>39</v>
      </c>
      <c r="N3210" s="17">
        <v>18</v>
      </c>
      <c r="O3210" s="18">
        <v>1710</v>
      </c>
      <c r="P3210" s="18">
        <v>1732</v>
      </c>
      <c r="Q3210" s="15"/>
      <c r="R3210" t="s" s="16">
        <f>HYPERLINK("http://secrets.rutgers.edu:8080/data/asl-ftp/asllvd/demos/verify_start_end_handshape_annotations//test_auto_move//signs_mov_separ_signers/Brady_15077.mov","MOV")</f>
        <v>21</v>
      </c>
    </row>
    <row r="3211" s="2" customFormat="1" ht="13.5" customHeight="1">
      <c r="B3211" t="s" s="8">
        <v>1108</v>
      </c>
      <c r="C3211" t="s" s="9">
        <v>14</v>
      </c>
      <c r="D3211" t="s" s="8">
        <v>14</v>
      </c>
      <c r="E3211" t="s" s="9">
        <v>14</v>
      </c>
      <c r="F3211" t="s" s="10">
        <v>14</v>
      </c>
      <c r="G3211" t="s" s="11">
        <v>14</v>
      </c>
      <c r="H3211" t="s" s="10">
        <v>14</v>
      </c>
      <c r="I3211" t="s" s="11">
        <v>14</v>
      </c>
      <c r="J3211" t="s" s="11">
        <v>14</v>
      </c>
      <c r="K3211" t="s" s="12">
        <v>14</v>
      </c>
      <c r="L3211" t="s" s="12">
        <v>14</v>
      </c>
      <c r="M3211" t="s" s="10">
        <v>14</v>
      </c>
      <c r="N3211" t="s" s="11">
        <v>14</v>
      </c>
      <c r="O3211" t="s" s="8">
        <v>14</v>
      </c>
      <c r="P3211" t="s" s="8">
        <v>14</v>
      </c>
      <c r="Q3211" t="s" s="12">
        <v>14</v>
      </c>
      <c r="R3211" t="s" s="12">
        <v>14</v>
      </c>
    </row>
    <row r="3212" s="2" customFormat="1" ht="13.5" customHeight="1">
      <c r="B3212" s="13"/>
      <c r="C3212" t="s" s="9">
        <v>16</v>
      </c>
      <c r="D3212" t="s" s="8">
        <v>1108</v>
      </c>
      <c r="E3212" t="s" s="9">
        <v>1109</v>
      </c>
      <c r="F3212" t="s" s="10">
        <v>73</v>
      </c>
      <c r="G3212" s="14"/>
      <c r="H3212" t="s" s="10">
        <v>80</v>
      </c>
      <c r="I3212" s="14"/>
      <c r="J3212" t="s" s="11">
        <v>20</v>
      </c>
      <c r="K3212" t="s" s="16">
        <f>HYPERLINK("http://csr.bu.edu/ftp/asl/asllvd/demos/verify_start_end_handshape_annotations//test_auto_move//signs_mov/15469.mov","MOV")</f>
        <v>21</v>
      </c>
      <c r="L3212" t="s" s="16">
        <f>HYPERLINK("http://csr.bu.edu/ftp/asl/asllvd/demos/verify_start_end_handshape_annotations//test_auto_move//signs_mov_separ_signers/Liz_15469.mov","MOV")</f>
        <v>21</v>
      </c>
      <c r="M3212" t="s" s="10">
        <v>88</v>
      </c>
      <c r="N3212" s="17">
        <v>38</v>
      </c>
      <c r="O3212" s="18">
        <v>3220</v>
      </c>
      <c r="P3212" s="18">
        <v>3252</v>
      </c>
      <c r="Q3212" t="s" s="16">
        <f>HYPERLINK("http://secrets.rutgers.edu:8080/data/asl-ftp/asllvd/demos/verify_start_end_handshape_annotations//test_auto_move//signs_mov/15469.mov","MOV")</f>
        <v>21</v>
      </c>
      <c r="R3212" t="s" s="16">
        <f>HYPERLINK("http://secrets.rutgers.edu:8080/data/asl-ftp/asllvd/demos/verify_start_end_handshape_annotations//test_auto_move//signs_mov_separ_signers/Liz_15469.mov","MOV")</f>
        <v>21</v>
      </c>
    </row>
    <row r="3213" s="2" customFormat="1" ht="13.5" customHeight="1">
      <c r="B3213" s="13"/>
      <c r="C3213" t="s" s="9">
        <v>30</v>
      </c>
      <c r="D3213" t="s" s="8">
        <v>1108</v>
      </c>
      <c r="E3213" t="s" s="9">
        <v>1108</v>
      </c>
      <c r="F3213" t="s" s="10">
        <v>73</v>
      </c>
      <c r="G3213" s="14"/>
      <c r="H3213" t="s" s="10">
        <v>80</v>
      </c>
      <c r="I3213" s="14"/>
      <c r="J3213" t="s" s="11">
        <v>20</v>
      </c>
      <c r="K3213" s="15"/>
      <c r="L3213" t="s" s="16">
        <f>HYPERLINK("http://csr.bu.edu/ftp/asl/asllvd/demos/verify_start_end_handshape_annotations//test_auto_move//signs_mov_separ_signers/Brady_15469.mov","MOV")</f>
        <v>21</v>
      </c>
      <c r="M3213" t="s" s="10">
        <v>40</v>
      </c>
      <c r="N3213" s="17">
        <v>32</v>
      </c>
      <c r="O3213" s="18">
        <v>3246</v>
      </c>
      <c r="P3213" s="18">
        <v>3278</v>
      </c>
      <c r="Q3213" s="15"/>
      <c r="R3213" t="s" s="16">
        <f>HYPERLINK("http://secrets.rutgers.edu:8080/data/asl-ftp/asllvd/demos/verify_start_end_handshape_annotations//test_auto_move//signs_mov_separ_signers/Brady_15469.mov","MOV")</f>
        <v>21</v>
      </c>
    </row>
    <row r="3214" s="2" customFormat="1" ht="13.5" customHeight="1">
      <c r="B3214" t="s" s="8">
        <v>1110</v>
      </c>
      <c r="C3214" t="s" s="9">
        <v>14</v>
      </c>
      <c r="D3214" t="s" s="8">
        <v>14</v>
      </c>
      <c r="E3214" t="s" s="9">
        <v>14</v>
      </c>
      <c r="F3214" t="s" s="10">
        <v>14</v>
      </c>
      <c r="G3214" t="s" s="11">
        <v>14</v>
      </c>
      <c r="H3214" t="s" s="10">
        <v>14</v>
      </c>
      <c r="I3214" t="s" s="11">
        <v>14</v>
      </c>
      <c r="J3214" t="s" s="11">
        <v>14</v>
      </c>
      <c r="K3214" t="s" s="12">
        <v>14</v>
      </c>
      <c r="L3214" t="s" s="12">
        <v>14</v>
      </c>
      <c r="M3214" t="s" s="10">
        <v>14</v>
      </c>
      <c r="N3214" t="s" s="11">
        <v>14</v>
      </c>
      <c r="O3214" t="s" s="8">
        <v>14</v>
      </c>
      <c r="P3214" t="s" s="8">
        <v>14</v>
      </c>
      <c r="Q3214" t="s" s="12">
        <v>14</v>
      </c>
      <c r="R3214" t="s" s="12">
        <v>14</v>
      </c>
    </row>
    <row r="3215" s="2" customFormat="1" ht="13.5" customHeight="1">
      <c r="B3215" s="13"/>
      <c r="C3215" t="s" s="9">
        <v>23</v>
      </c>
      <c r="D3215" t="s" s="8">
        <v>1110</v>
      </c>
      <c r="E3215" t="s" s="9">
        <v>1110</v>
      </c>
      <c r="F3215" s="19">
        <v>1</v>
      </c>
      <c r="G3215" s="17">
        <v>1</v>
      </c>
      <c r="H3215" s="19">
        <v>1</v>
      </c>
      <c r="I3215" s="17">
        <v>1</v>
      </c>
      <c r="J3215" t="s" s="11">
        <v>20</v>
      </c>
      <c r="K3215" t="s" s="16">
        <f>HYPERLINK("http://csr.bu.edu/ftp/asl/asllvd/demos/verify_start_end_handshape_annotations//test_auto_move//signs_mov/680.mov","MOV")</f>
        <v>21</v>
      </c>
      <c r="L3215" t="s" s="16">
        <f>HYPERLINK("http://csr.bu.edu/ftp/asl/asllvd/demos/verify_start_end_handshape_annotations//test_auto_move//signs_mov_separ_signers/Tyler_680.mov","MOV")</f>
        <v>21</v>
      </c>
      <c r="M3215" t="s" s="10">
        <v>125</v>
      </c>
      <c r="N3215" s="17">
        <v>17</v>
      </c>
      <c r="O3215" s="18">
        <v>2982</v>
      </c>
      <c r="P3215" s="18">
        <v>3002</v>
      </c>
      <c r="Q3215" t="s" s="16">
        <f>HYPERLINK("http://secrets.rutgers.edu:8080/data/asl-ftp/asllvd/demos/verify_start_end_handshape_annotations//test_auto_move//signs_mov/680.mov","MOV")</f>
        <v>21</v>
      </c>
      <c r="R3215" t="s" s="16">
        <f>HYPERLINK("http://secrets.rutgers.edu:8080/data/asl-ftp/asllvd/demos/verify_start_end_handshape_annotations//test_auto_move//signs_mov_separ_signers/Tyler_680.mov","MOV")</f>
        <v>21</v>
      </c>
    </row>
    <row r="3216" s="2" customFormat="1" ht="13.5" customHeight="1">
      <c r="B3216" t="s" s="8">
        <v>1111</v>
      </c>
      <c r="C3216" t="s" s="9">
        <v>14</v>
      </c>
      <c r="D3216" t="s" s="8">
        <v>14</v>
      </c>
      <c r="E3216" t="s" s="9">
        <v>14</v>
      </c>
      <c r="F3216" t="s" s="10">
        <v>14</v>
      </c>
      <c r="G3216" t="s" s="11">
        <v>14</v>
      </c>
      <c r="H3216" t="s" s="10">
        <v>14</v>
      </c>
      <c r="I3216" t="s" s="11">
        <v>14</v>
      </c>
      <c r="J3216" t="s" s="11">
        <v>14</v>
      </c>
      <c r="K3216" t="s" s="12">
        <v>14</v>
      </c>
      <c r="L3216" t="s" s="12">
        <v>14</v>
      </c>
      <c r="M3216" t="s" s="10">
        <v>14</v>
      </c>
      <c r="N3216" t="s" s="11">
        <v>14</v>
      </c>
      <c r="O3216" t="s" s="8">
        <v>14</v>
      </c>
      <c r="P3216" t="s" s="8">
        <v>14</v>
      </c>
      <c r="Q3216" t="s" s="12">
        <v>14</v>
      </c>
      <c r="R3216" t="s" s="12">
        <v>14</v>
      </c>
    </row>
    <row r="3217" s="2" customFormat="1" ht="13.5" customHeight="1">
      <c r="B3217" s="13"/>
      <c r="C3217" t="s" s="9">
        <v>16</v>
      </c>
      <c r="D3217" t="s" s="8">
        <v>1111</v>
      </c>
      <c r="E3217" t="s" s="9">
        <v>1111</v>
      </c>
      <c r="F3217" s="19">
        <v>1</v>
      </c>
      <c r="G3217" s="17">
        <v>1</v>
      </c>
      <c r="H3217" s="19">
        <v>1</v>
      </c>
      <c r="I3217" s="17">
        <v>1</v>
      </c>
      <c r="J3217" t="s" s="11">
        <v>20</v>
      </c>
      <c r="K3217" s="15"/>
      <c r="L3217" t="s" s="16">
        <f>HYPERLINK("http://csr.bu.edu/ftp/asl/asllvd/demos/verify_start_end_handshape_annotations//test_auto_move//signs_mov_separ_signers/Liz_16201.mov","MOV")</f>
        <v>21</v>
      </c>
      <c r="M3217" t="s" s="10">
        <v>84</v>
      </c>
      <c r="N3217" s="17">
        <v>19</v>
      </c>
      <c r="O3217" s="18">
        <v>215</v>
      </c>
      <c r="P3217" s="18">
        <v>265</v>
      </c>
      <c r="Q3217" s="15"/>
      <c r="R3217" t="s" s="16">
        <f>HYPERLINK("http://secrets.rutgers.edu:8080/data/asl-ftp/asllvd/demos/verify_start_end_handshape_annotations//test_auto_move//signs_mov_separ_signers/Liz_16201.mov","MOV")</f>
        <v>21</v>
      </c>
    </row>
    <row r="3218" s="2" customFormat="1" ht="13.5" customHeight="1">
      <c r="B3218" s="13"/>
      <c r="C3218" t="s" s="9">
        <v>27</v>
      </c>
      <c r="D3218" t="s" s="8">
        <v>1111</v>
      </c>
      <c r="E3218" t="s" s="9">
        <v>1111</v>
      </c>
      <c r="F3218" s="19">
        <v>1</v>
      </c>
      <c r="G3218" s="17">
        <v>1</v>
      </c>
      <c r="H3218" s="19">
        <v>1</v>
      </c>
      <c r="I3218" s="17">
        <v>1</v>
      </c>
      <c r="J3218" t="s" s="11">
        <v>20</v>
      </c>
      <c r="K3218" s="15"/>
      <c r="L3218" t="s" s="16">
        <f>HYPERLINK("http://csr.bu.edu/ftp/asl/asllvd/demos/verify_start_end_handshape_annotations//test_auto_move//signs_mov_separ_signers/Naomi_16201.mov","MOV")</f>
        <v>21</v>
      </c>
      <c r="M3218" t="s" s="10">
        <v>86</v>
      </c>
      <c r="N3218" s="17">
        <v>18</v>
      </c>
      <c r="O3218" s="18">
        <v>2589</v>
      </c>
      <c r="P3218" s="18">
        <v>2607</v>
      </c>
      <c r="Q3218" s="15"/>
      <c r="R3218" t="s" s="16">
        <f>HYPERLINK("http://secrets.rutgers.edu:8080/data/asl-ftp/asllvd/demos/verify_start_end_handshape_annotations//test_auto_move//signs_mov_separ_signers/Naomi_16201.mov","MOV")</f>
        <v>21</v>
      </c>
    </row>
    <row r="3219" s="2" customFormat="1" ht="13.5" customHeight="1">
      <c r="B3219" s="13"/>
      <c r="C3219" t="s" s="9">
        <v>30</v>
      </c>
      <c r="D3219" t="s" s="8">
        <v>1111</v>
      </c>
      <c r="E3219" t="s" s="9">
        <v>1111</v>
      </c>
      <c r="F3219" s="19">
        <v>1</v>
      </c>
      <c r="G3219" s="17">
        <v>1</v>
      </c>
      <c r="H3219" t="s" s="10">
        <v>268</v>
      </c>
      <c r="I3219" s="17">
        <v>1</v>
      </c>
      <c r="J3219" t="s" s="11">
        <v>20</v>
      </c>
      <c r="K3219" t="s" s="16">
        <f>HYPERLINK("http://csr.bu.edu/ftp/asl/asllvd/demos/verify_start_end_handshape_annotations//test_auto_move//signs_mov/16201.mov","MOV")</f>
        <v>21</v>
      </c>
      <c r="L3219" t="s" s="16">
        <f>HYPERLINK("http://csr.bu.edu/ftp/asl/asllvd/demos/verify_start_end_handshape_annotations//test_auto_move//signs_mov_separ_signers/Brady_16201.mov","MOV")</f>
        <v>21</v>
      </c>
      <c r="M3219" t="s" s="10">
        <v>39</v>
      </c>
      <c r="N3219" s="17">
        <v>5</v>
      </c>
      <c r="O3219" s="18">
        <v>2126</v>
      </c>
      <c r="P3219" s="18">
        <v>2146</v>
      </c>
      <c r="Q3219" t="s" s="16">
        <f>HYPERLINK("http://secrets.rutgers.edu:8080/data/asl-ftp/asllvd/demos/verify_start_end_handshape_annotations//test_auto_move//signs_mov/16201.mov","MOV")</f>
        <v>21</v>
      </c>
      <c r="R3219" t="s" s="16">
        <f>HYPERLINK("http://secrets.rutgers.edu:8080/data/asl-ftp/asllvd/demos/verify_start_end_handshape_annotations//test_auto_move//signs_mov_separ_signers/Brady_16201.mov","MOV")</f>
        <v>21</v>
      </c>
    </row>
    <row r="3220" s="2" customFormat="1" ht="13.5" customHeight="1">
      <c r="B3220" s="13"/>
      <c r="C3220" t="s" s="9">
        <v>41</v>
      </c>
      <c r="D3220" t="s" s="8">
        <v>1111</v>
      </c>
      <c r="E3220" t="s" s="9">
        <v>1111</v>
      </c>
      <c r="F3220" s="19">
        <v>1</v>
      </c>
      <c r="G3220" s="14"/>
      <c r="H3220" s="19">
        <v>1</v>
      </c>
      <c r="I3220" s="17">
        <v>1</v>
      </c>
      <c r="J3220" t="s" s="11">
        <v>20</v>
      </c>
      <c r="K3220" s="15"/>
      <c r="L3220" t="s" s="16">
        <f>HYPERLINK("http://csr.bu.edu/ftp/asl/asllvd/demos/verify_start_end_handshape_annotations//test_auto_move//signs_mov_separ_signers/Lana_16201.mov","MOV")</f>
        <v>21</v>
      </c>
      <c r="M3220" t="s" s="10">
        <v>42</v>
      </c>
      <c r="N3220" s="17">
        <v>7</v>
      </c>
      <c r="O3220" s="18">
        <v>1423</v>
      </c>
      <c r="P3220" s="18">
        <v>1452</v>
      </c>
      <c r="Q3220" s="15"/>
      <c r="R3220" t="s" s="16">
        <f>HYPERLINK("http://secrets.rutgers.edu:8080/data/asl-ftp/asllvd/demos/verify_start_end_handshape_annotations//test_auto_move//signs_mov_separ_signers/Lana_16201.mov","MOV")</f>
        <v>21</v>
      </c>
    </row>
    <row r="3221" s="2" customFormat="1" ht="13.5" customHeight="1">
      <c r="B3221" s="13"/>
      <c r="C3221" t="s" s="9">
        <v>43</v>
      </c>
      <c r="D3221" t="s" s="8">
        <v>1111</v>
      </c>
      <c r="E3221" t="s" s="9">
        <v>1111</v>
      </c>
      <c r="F3221" s="19">
        <v>1</v>
      </c>
      <c r="G3221" s="14"/>
      <c r="H3221" s="19">
        <v>1</v>
      </c>
      <c r="I3221" s="17">
        <v>1</v>
      </c>
      <c r="J3221" t="s" s="11">
        <v>20</v>
      </c>
      <c r="K3221" s="15"/>
      <c r="L3221" t="s" s="16">
        <f>HYPERLINK("http://csr.bu.edu/ftp/asl/asllvd/demos/verify_start_end_handshape_annotations//test_auto_move//signs_mov_separ_signers/Dana_16201.mov","MOV")</f>
        <v>21</v>
      </c>
      <c r="M3221" t="s" s="10">
        <v>44</v>
      </c>
      <c r="N3221" s="17">
        <v>11</v>
      </c>
      <c r="O3221" s="18">
        <v>1492</v>
      </c>
      <c r="P3221" s="18">
        <v>1540</v>
      </c>
      <c r="Q3221" s="15"/>
      <c r="R3221" t="s" s="16">
        <f>HYPERLINK("http://secrets.rutgers.edu:8080/data/asl-ftp/asllvd/demos/verify_start_end_handshape_annotations//test_auto_move//signs_mov_separ_signers/Dana_16201.mov","MOV")</f>
        <v>21</v>
      </c>
    </row>
    <row r="3222" s="2" customFormat="1" ht="13.5" customHeight="1">
      <c r="B3222" t="s" s="8">
        <v>1112</v>
      </c>
      <c r="C3222" t="s" s="9">
        <v>14</v>
      </c>
      <c r="D3222" t="s" s="8">
        <v>14</v>
      </c>
      <c r="E3222" t="s" s="9">
        <v>14</v>
      </c>
      <c r="F3222" t="s" s="10">
        <v>14</v>
      </c>
      <c r="G3222" t="s" s="11">
        <v>14</v>
      </c>
      <c r="H3222" t="s" s="10">
        <v>14</v>
      </c>
      <c r="I3222" t="s" s="11">
        <v>14</v>
      </c>
      <c r="J3222" t="s" s="11">
        <v>14</v>
      </c>
      <c r="K3222" t="s" s="12">
        <v>14</v>
      </c>
      <c r="L3222" t="s" s="12">
        <v>14</v>
      </c>
      <c r="M3222" t="s" s="10">
        <v>14</v>
      </c>
      <c r="N3222" t="s" s="11">
        <v>14</v>
      </c>
      <c r="O3222" t="s" s="8">
        <v>14</v>
      </c>
      <c r="P3222" t="s" s="8">
        <v>14</v>
      </c>
      <c r="Q3222" t="s" s="12">
        <v>14</v>
      </c>
      <c r="R3222" t="s" s="12">
        <v>14</v>
      </c>
    </row>
    <row r="3223" s="2" customFormat="1" ht="13.5" customHeight="1">
      <c r="B3223" s="13"/>
      <c r="C3223" t="s" s="9">
        <v>16</v>
      </c>
      <c r="D3223" t="s" s="8">
        <v>1112</v>
      </c>
      <c r="E3223" t="s" s="9">
        <v>1112</v>
      </c>
      <c r="F3223" s="19">
        <v>1</v>
      </c>
      <c r="G3223" t="s" s="11">
        <v>73</v>
      </c>
      <c r="H3223" t="s" s="10">
        <v>68</v>
      </c>
      <c r="I3223" t="s" s="11">
        <v>73</v>
      </c>
      <c r="J3223" t="s" s="11">
        <v>20</v>
      </c>
      <c r="K3223" s="15"/>
      <c r="L3223" t="s" s="16">
        <f>HYPERLINK("http://csr.bu.edu/ftp/asl/asllvd/demos/verify_start_end_handshape_annotations//test_auto_move//signs_mov_separ_signers/Liz_681.mov","MOV")</f>
        <v>21</v>
      </c>
      <c r="M3223" t="s" s="10">
        <v>84</v>
      </c>
      <c r="N3223" s="17">
        <v>19</v>
      </c>
      <c r="O3223" s="18">
        <v>435</v>
      </c>
      <c r="P3223" s="18">
        <v>455</v>
      </c>
      <c r="Q3223" s="15"/>
      <c r="R3223" t="s" s="16">
        <f>HYPERLINK("http://secrets.rutgers.edu:8080/data/asl-ftp/asllvd/demos/verify_start_end_handshape_annotations//test_auto_move//signs_mov_separ_signers/Liz_681.mov","MOV")</f>
        <v>21</v>
      </c>
    </row>
    <row r="3224" s="2" customFormat="1" ht="13.5" customHeight="1">
      <c r="B3224" s="13"/>
      <c r="C3224" t="s" s="9">
        <v>23</v>
      </c>
      <c r="D3224" t="s" s="8">
        <v>1112</v>
      </c>
      <c r="E3224" t="s" s="9">
        <v>1112</v>
      </c>
      <c r="F3224" s="19">
        <v>1</v>
      </c>
      <c r="G3224" t="s" s="11">
        <v>73</v>
      </c>
      <c r="H3224" t="s" s="10">
        <v>68</v>
      </c>
      <c r="I3224" t="s" s="11">
        <v>73</v>
      </c>
      <c r="J3224" t="s" s="11">
        <v>20</v>
      </c>
      <c r="K3224" s="15"/>
      <c r="L3224" t="s" s="16">
        <f>HYPERLINK("http://csr.bu.edu/ftp/asl/asllvd/demos/verify_start_end_handshape_annotations//test_auto_move//signs_mov_separ_signers/Tyler_681.mov","MOV")</f>
        <v>21</v>
      </c>
      <c r="M3224" t="s" s="10">
        <v>125</v>
      </c>
      <c r="N3224" s="17">
        <v>18</v>
      </c>
      <c r="O3224" s="18">
        <v>247</v>
      </c>
      <c r="P3224" s="18">
        <v>277</v>
      </c>
      <c r="Q3224" s="15"/>
      <c r="R3224" t="s" s="16">
        <f>HYPERLINK("http://secrets.rutgers.edu:8080/data/asl-ftp/asllvd/demos/verify_start_end_handshape_annotations//test_auto_move//signs_mov_separ_signers/Tyler_681.mov","MOV")</f>
        <v>21</v>
      </c>
    </row>
    <row r="3225" s="2" customFormat="1" ht="13.5" customHeight="1">
      <c r="B3225" s="13"/>
      <c r="C3225" t="s" s="9">
        <v>27</v>
      </c>
      <c r="D3225" t="s" s="8">
        <v>1112</v>
      </c>
      <c r="E3225" t="s" s="9">
        <v>1112</v>
      </c>
      <c r="F3225" t="s" s="10">
        <v>25</v>
      </c>
      <c r="G3225" s="17">
        <v>5</v>
      </c>
      <c r="H3225" s="19">
        <v>10</v>
      </c>
      <c r="I3225" s="17">
        <v>5</v>
      </c>
      <c r="J3225" t="s" s="11">
        <v>20</v>
      </c>
      <c r="K3225" t="s" s="16">
        <f>HYPERLINK("http://csr.bu.edu/ftp/asl/asllvd/demos/verify_start_end_handshape_annotations//test_auto_move//signs_mov/681.mov","MOV")</f>
        <v>21</v>
      </c>
      <c r="L3225" t="s" s="16">
        <f>HYPERLINK("http://csr.bu.edu/ftp/asl/asllvd/demos/verify_start_end_handshape_annotations//test_auto_move//signs_mov_separ_signers/Naomi_681.mov","MOV")</f>
        <v>21</v>
      </c>
      <c r="M3225" t="s" s="10">
        <v>86</v>
      </c>
      <c r="N3225" s="17">
        <v>19</v>
      </c>
      <c r="O3225" s="18">
        <v>180</v>
      </c>
      <c r="P3225" s="18">
        <v>205</v>
      </c>
      <c r="Q3225" t="s" s="16">
        <f>HYPERLINK("http://secrets.rutgers.edu:8080/data/asl-ftp/asllvd/demos/verify_start_end_handshape_annotations//test_auto_move//signs_mov/681.mov","MOV")</f>
        <v>21</v>
      </c>
      <c r="R3225" t="s" s="16">
        <f>HYPERLINK("http://secrets.rutgers.edu:8080/data/asl-ftp/asllvd/demos/verify_start_end_handshape_annotations//test_auto_move//signs_mov_separ_signers/Naomi_681.mov","MOV")</f>
        <v>21</v>
      </c>
    </row>
    <row r="3226" s="2" customFormat="1" ht="13.5" customHeight="1">
      <c r="B3226" s="13"/>
      <c r="C3226" t="s" s="9">
        <v>30</v>
      </c>
      <c r="D3226" t="s" s="8">
        <v>1112</v>
      </c>
      <c r="E3226" t="s" s="9">
        <v>1112</v>
      </c>
      <c r="F3226" s="19">
        <v>1</v>
      </c>
      <c r="G3226" t="s" s="11">
        <v>73</v>
      </c>
      <c r="H3226" t="s" s="10">
        <v>68</v>
      </c>
      <c r="I3226" t="s" s="11">
        <v>73</v>
      </c>
      <c r="J3226" t="s" s="11">
        <v>20</v>
      </c>
      <c r="K3226" s="15"/>
      <c r="L3226" t="s" s="16">
        <f>HYPERLINK("http://csr.bu.edu/ftp/asl/asllvd/demos/verify_start_end_handshape_annotations//test_auto_move//signs_mov_separ_signers/Brady_681.mov","MOV")</f>
        <v>21</v>
      </c>
      <c r="M3226" t="s" s="10">
        <v>31</v>
      </c>
      <c r="N3226" s="17">
        <v>35</v>
      </c>
      <c r="O3226" s="18">
        <v>3461</v>
      </c>
      <c r="P3226" s="18">
        <v>3483</v>
      </c>
      <c r="Q3226" s="15"/>
      <c r="R3226" t="s" s="16">
        <f>HYPERLINK("http://secrets.rutgers.edu:8080/data/asl-ftp/asllvd/demos/verify_start_end_handshape_annotations//test_auto_move//signs_mov_separ_signers/Brady_681.mov","MOV")</f>
        <v>21</v>
      </c>
    </row>
    <row r="3227" s="2" customFormat="1" ht="13.5" customHeight="1">
      <c r="B3227" s="13"/>
      <c r="C3227" t="s" s="9">
        <v>41</v>
      </c>
      <c r="D3227" t="s" s="8">
        <v>1112</v>
      </c>
      <c r="E3227" t="s" s="9">
        <v>1112</v>
      </c>
      <c r="F3227" s="19">
        <v>1</v>
      </c>
      <c r="G3227" t="s" s="11">
        <v>73</v>
      </c>
      <c r="H3227" t="s" s="10">
        <v>68</v>
      </c>
      <c r="I3227" t="s" s="11">
        <v>73</v>
      </c>
      <c r="J3227" t="s" s="11">
        <v>20</v>
      </c>
      <c r="K3227" s="15"/>
      <c r="L3227" t="s" s="16">
        <f>HYPERLINK("http://csr.bu.edu/ftp/asl/asllvd/demos/verify_start_end_handshape_annotations//test_auto_move//signs_mov_separ_signers/Lana_681.mov","MOV")</f>
        <v>21</v>
      </c>
      <c r="M3227" t="s" s="10">
        <v>42</v>
      </c>
      <c r="N3227" s="17">
        <v>7</v>
      </c>
      <c r="O3227" s="18">
        <v>1567</v>
      </c>
      <c r="P3227" s="18">
        <v>1580</v>
      </c>
      <c r="Q3227" s="15"/>
      <c r="R3227" t="s" s="16">
        <f>HYPERLINK("http://secrets.rutgers.edu:8080/data/asl-ftp/asllvd/demos/verify_start_end_handshape_annotations//test_auto_move//signs_mov_separ_signers/Lana_681.mov","MOV")</f>
        <v>21</v>
      </c>
    </row>
    <row r="3228" s="2" customFormat="1" ht="13.5" customHeight="1">
      <c r="B3228" t="s" s="8">
        <v>1113</v>
      </c>
      <c r="C3228" t="s" s="9">
        <v>14</v>
      </c>
      <c r="D3228" t="s" s="8">
        <v>14</v>
      </c>
      <c r="E3228" t="s" s="9">
        <v>14</v>
      </c>
      <c r="F3228" t="s" s="10">
        <v>14</v>
      </c>
      <c r="G3228" t="s" s="11">
        <v>14</v>
      </c>
      <c r="H3228" t="s" s="10">
        <v>14</v>
      </c>
      <c r="I3228" t="s" s="11">
        <v>14</v>
      </c>
      <c r="J3228" t="s" s="11">
        <v>14</v>
      </c>
      <c r="K3228" t="s" s="12">
        <v>14</v>
      </c>
      <c r="L3228" t="s" s="12">
        <v>14</v>
      </c>
      <c r="M3228" t="s" s="10">
        <v>14</v>
      </c>
      <c r="N3228" t="s" s="11">
        <v>14</v>
      </c>
      <c r="O3228" t="s" s="8">
        <v>14</v>
      </c>
      <c r="P3228" t="s" s="8">
        <v>14</v>
      </c>
      <c r="Q3228" t="s" s="12">
        <v>14</v>
      </c>
      <c r="R3228" t="s" s="12">
        <v>14</v>
      </c>
    </row>
    <row r="3229" s="2" customFormat="1" ht="13.5" customHeight="1">
      <c r="B3229" s="13"/>
      <c r="C3229" t="s" s="9">
        <v>16</v>
      </c>
      <c r="D3229" t="s" s="8">
        <v>1113</v>
      </c>
      <c r="E3229" t="s" s="9">
        <v>1113</v>
      </c>
      <c r="F3229" s="19">
        <v>1</v>
      </c>
      <c r="G3229" s="17">
        <v>5</v>
      </c>
      <c r="H3229" s="19">
        <v>1</v>
      </c>
      <c r="I3229" s="17">
        <v>5</v>
      </c>
      <c r="J3229" t="s" s="11">
        <v>20</v>
      </c>
      <c r="K3229" s="15"/>
      <c r="L3229" t="s" s="16">
        <f>HYPERLINK("http://csr.bu.edu/ftp/asl/asllvd/demos/verify_start_end_handshape_annotations//test_auto_move//signs_mov_separ_signers/Liz_15145.mov","MOV")</f>
        <v>21</v>
      </c>
      <c r="M3229" t="s" s="10">
        <v>22</v>
      </c>
      <c r="N3229" s="17">
        <v>16</v>
      </c>
      <c r="O3229" s="18">
        <v>635</v>
      </c>
      <c r="P3229" s="18">
        <v>665</v>
      </c>
      <c r="Q3229" s="15"/>
      <c r="R3229" t="s" s="16">
        <f>HYPERLINK("http://secrets.rutgers.edu:8080/data/asl-ftp/asllvd/demos/verify_start_end_handshape_annotations//test_auto_move//signs_mov_separ_signers/Liz_15145.mov","MOV")</f>
        <v>21</v>
      </c>
    </row>
    <row r="3230" s="2" customFormat="1" ht="13.5" customHeight="1">
      <c r="B3230" s="13"/>
      <c r="C3230" t="s" s="9">
        <v>23</v>
      </c>
      <c r="D3230" t="s" s="8">
        <v>1113</v>
      </c>
      <c r="E3230" t="s" s="9">
        <v>1113</v>
      </c>
      <c r="F3230" s="19">
        <v>1</v>
      </c>
      <c r="G3230" s="17">
        <v>5</v>
      </c>
      <c r="H3230" s="19">
        <v>1</v>
      </c>
      <c r="I3230" s="17">
        <v>5</v>
      </c>
      <c r="J3230" t="s" s="11">
        <v>20</v>
      </c>
      <c r="K3230" t="s" s="16">
        <f>HYPERLINK("http://csr.bu.edu/ftp/asl/asllvd/demos/verify_start_end_handshape_annotations//test_auto_move//signs_mov/15145.mov","MOV")</f>
        <v>21</v>
      </c>
      <c r="L3230" t="s" s="16">
        <f>HYPERLINK("http://csr.bu.edu/ftp/asl/asllvd/demos/verify_start_end_handshape_annotations//test_auto_move//signs_mov_separ_signers/Tyler_15145.mov","MOV")</f>
        <v>21</v>
      </c>
      <c r="M3230" t="s" s="10">
        <v>26</v>
      </c>
      <c r="N3230" s="17">
        <v>12</v>
      </c>
      <c r="O3230" s="18">
        <v>1715</v>
      </c>
      <c r="P3230" s="18">
        <v>1745</v>
      </c>
      <c r="Q3230" t="s" s="16">
        <f>HYPERLINK("http://secrets.rutgers.edu:8080/data/asl-ftp/asllvd/demos/verify_start_end_handshape_annotations//test_auto_move//signs_mov/15145.mov","MOV")</f>
        <v>21</v>
      </c>
      <c r="R3230" t="s" s="16">
        <f>HYPERLINK("http://secrets.rutgers.edu:8080/data/asl-ftp/asllvd/demos/verify_start_end_handshape_annotations//test_auto_move//signs_mov_separ_signers/Tyler_15145.mov","MOV")</f>
        <v>21</v>
      </c>
    </row>
    <row r="3231" s="2" customFormat="1" ht="13.5" customHeight="1">
      <c r="B3231" s="13"/>
      <c r="C3231" t="s" s="9">
        <v>27</v>
      </c>
      <c r="D3231" t="s" s="8">
        <v>1113</v>
      </c>
      <c r="E3231" t="s" s="9">
        <v>1113</v>
      </c>
      <c r="F3231" s="19">
        <v>1</v>
      </c>
      <c r="G3231" s="17">
        <v>5</v>
      </c>
      <c r="H3231" s="19">
        <v>1</v>
      </c>
      <c r="I3231" s="17">
        <v>5</v>
      </c>
      <c r="J3231" t="s" s="11">
        <v>20</v>
      </c>
      <c r="K3231" s="15"/>
      <c r="L3231" t="s" s="16">
        <f>HYPERLINK("http://csr.bu.edu/ftp/asl/asllvd/demos/verify_start_end_handshape_annotations//test_auto_move//signs_mov_separ_signers/Naomi_15145.mov","MOV")</f>
        <v>21</v>
      </c>
      <c r="M3231" t="s" s="10">
        <v>29</v>
      </c>
      <c r="N3231" s="17">
        <v>12</v>
      </c>
      <c r="O3231" s="18">
        <v>975</v>
      </c>
      <c r="P3231" s="18">
        <v>1000</v>
      </c>
      <c r="Q3231" s="15"/>
      <c r="R3231" t="s" s="16">
        <f>HYPERLINK("http://secrets.rutgers.edu:8080/data/asl-ftp/asllvd/demos/verify_start_end_handshape_annotations//test_auto_move//signs_mov_separ_signers/Naomi_15145.mov","MOV")</f>
        <v>21</v>
      </c>
    </row>
    <row r="3232" s="2" customFormat="1" ht="13.5" customHeight="1">
      <c r="B3232" s="13"/>
      <c r="C3232" t="s" s="9">
        <v>30</v>
      </c>
      <c r="D3232" t="s" s="8">
        <v>1113</v>
      </c>
      <c r="E3232" t="s" s="9">
        <v>1113</v>
      </c>
      <c r="F3232" s="19">
        <v>1</v>
      </c>
      <c r="G3232" s="17">
        <v>5</v>
      </c>
      <c r="H3232" s="19">
        <v>1</v>
      </c>
      <c r="I3232" s="17">
        <v>5</v>
      </c>
      <c r="J3232" t="s" s="11">
        <v>20</v>
      </c>
      <c r="K3232" s="15"/>
      <c r="L3232" t="s" s="16">
        <f>HYPERLINK("http://csr.bu.edu/ftp/asl/asllvd/demos/verify_start_end_handshape_annotations//test_auto_move//signs_mov_separ_signers/Brady_15145.mov","MOV")</f>
        <v>21</v>
      </c>
      <c r="M3232" t="s" s="10">
        <v>31</v>
      </c>
      <c r="N3232" s="17">
        <v>12</v>
      </c>
      <c r="O3232" s="18">
        <v>5880</v>
      </c>
      <c r="P3232" s="18">
        <v>5898</v>
      </c>
      <c r="Q3232" s="15"/>
      <c r="R3232" t="s" s="16">
        <f>HYPERLINK("http://secrets.rutgers.edu:8080/data/asl-ftp/asllvd/demos/verify_start_end_handshape_annotations//test_auto_move//signs_mov_separ_signers/Brady_15145.mov","MOV")</f>
        <v>21</v>
      </c>
    </row>
    <row r="3233" s="2" customFormat="1" ht="13.5" customHeight="1">
      <c r="B3233" t="s" s="8">
        <v>1114</v>
      </c>
      <c r="C3233" t="s" s="9">
        <v>14</v>
      </c>
      <c r="D3233" t="s" s="8">
        <v>14</v>
      </c>
      <c r="E3233" t="s" s="9">
        <v>14</v>
      </c>
      <c r="F3233" t="s" s="10">
        <v>14</v>
      </c>
      <c r="G3233" t="s" s="11">
        <v>14</v>
      </c>
      <c r="H3233" t="s" s="10">
        <v>14</v>
      </c>
      <c r="I3233" t="s" s="11">
        <v>14</v>
      </c>
      <c r="J3233" t="s" s="11">
        <v>14</v>
      </c>
      <c r="K3233" t="s" s="12">
        <v>14</v>
      </c>
      <c r="L3233" t="s" s="12">
        <v>14</v>
      </c>
      <c r="M3233" t="s" s="10">
        <v>14</v>
      </c>
      <c r="N3233" t="s" s="11">
        <v>14</v>
      </c>
      <c r="O3233" t="s" s="8">
        <v>14</v>
      </c>
      <c r="P3233" t="s" s="8">
        <v>14</v>
      </c>
      <c r="Q3233" t="s" s="12">
        <v>14</v>
      </c>
      <c r="R3233" t="s" s="12">
        <v>14</v>
      </c>
    </row>
    <row r="3234" s="2" customFormat="1" ht="13.5" customHeight="1">
      <c r="B3234" s="13"/>
      <c r="C3234" t="s" s="9">
        <v>16</v>
      </c>
      <c r="D3234" t="s" s="8">
        <v>1114</v>
      </c>
      <c r="E3234" t="s" s="9">
        <v>1114</v>
      </c>
      <c r="F3234" s="19">
        <v>1</v>
      </c>
      <c r="G3234" t="s" s="11">
        <v>73</v>
      </c>
      <c r="H3234" s="19">
        <v>1</v>
      </c>
      <c r="I3234" t="s" s="11">
        <v>73</v>
      </c>
      <c r="J3234" t="s" s="11">
        <v>20</v>
      </c>
      <c r="K3234" s="15"/>
      <c r="L3234" t="s" s="16">
        <f>HYPERLINK("http://csr.bu.edu/ftp/asl/asllvd/demos/verify_start_end_handshape_annotations//test_auto_move//signs_mov_separ_signers/Liz_16055.mov","MOV")</f>
        <v>21</v>
      </c>
      <c r="M3234" t="s" s="10">
        <v>84</v>
      </c>
      <c r="N3234" s="17">
        <v>33</v>
      </c>
      <c r="O3234" s="18">
        <v>700</v>
      </c>
      <c r="P3234" s="18">
        <v>720</v>
      </c>
      <c r="Q3234" s="15"/>
      <c r="R3234" t="s" s="16">
        <f>HYPERLINK("http://secrets.rutgers.edu:8080/data/asl-ftp/asllvd/demos/verify_start_end_handshape_annotations//test_auto_move//signs_mov_separ_signers/Liz_16055.mov","MOV")</f>
        <v>21</v>
      </c>
    </row>
    <row r="3235" s="2" customFormat="1" ht="13.5" customHeight="1">
      <c r="B3235" s="13"/>
      <c r="C3235" t="s" s="9">
        <v>23</v>
      </c>
      <c r="D3235" t="s" s="8">
        <v>1114</v>
      </c>
      <c r="E3235" t="s" s="9">
        <v>1114</v>
      </c>
      <c r="F3235" s="19">
        <v>1</v>
      </c>
      <c r="G3235" t="s" s="11">
        <v>73</v>
      </c>
      <c r="H3235" s="19">
        <v>1</v>
      </c>
      <c r="I3235" t="s" s="11">
        <v>73</v>
      </c>
      <c r="J3235" t="s" s="11">
        <v>20</v>
      </c>
      <c r="K3235" t="s" s="16">
        <f>HYPERLINK("http://csr.bu.edu/ftp/asl/asllvd/demos/verify_start_end_handshape_annotations//test_auto_move//signs_mov/16055.mov","MOV")</f>
        <v>21</v>
      </c>
      <c r="L3235" t="s" s="16">
        <f>HYPERLINK("http://csr.bu.edu/ftp/asl/asllvd/demos/verify_start_end_handshape_annotations//test_auto_move//signs_mov_separ_signers/Tyler_16055.mov","MOV")</f>
        <v>21</v>
      </c>
      <c r="M3235" t="s" s="10">
        <v>92</v>
      </c>
      <c r="N3235" s="17">
        <v>13</v>
      </c>
      <c r="O3235" s="18">
        <v>1571</v>
      </c>
      <c r="P3235" s="18">
        <v>1595</v>
      </c>
      <c r="Q3235" t="s" s="16">
        <f>HYPERLINK("http://secrets.rutgers.edu:8080/data/asl-ftp/asllvd/demos/verify_start_end_handshape_annotations//test_auto_move//signs_mov/16055.mov","MOV")</f>
        <v>21</v>
      </c>
      <c r="R3235" t="s" s="16">
        <f>HYPERLINK("http://secrets.rutgers.edu:8080/data/asl-ftp/asllvd/demos/verify_start_end_handshape_annotations//test_auto_move//signs_mov_separ_signers/Tyler_16055.mov","MOV")</f>
        <v>21</v>
      </c>
    </row>
    <row r="3236" s="2" customFormat="1" ht="13.5" customHeight="1">
      <c r="B3236" s="13"/>
      <c r="C3236" t="s" s="9">
        <v>27</v>
      </c>
      <c r="D3236" t="s" s="8">
        <v>1114</v>
      </c>
      <c r="E3236" t="s" s="9">
        <v>1114</v>
      </c>
      <c r="F3236" s="19">
        <v>1</v>
      </c>
      <c r="G3236" s="17">
        <v>5</v>
      </c>
      <c r="H3236" s="19">
        <v>1</v>
      </c>
      <c r="I3236" s="17">
        <v>5</v>
      </c>
      <c r="J3236" t="s" s="11">
        <v>20</v>
      </c>
      <c r="K3236" s="15"/>
      <c r="L3236" t="s" s="16">
        <f>HYPERLINK("http://csr.bu.edu/ftp/asl/asllvd/demos/verify_start_end_handshape_annotations//test_auto_move//signs_mov_separ_signers/Naomi_16055.mov","MOV")</f>
        <v>21</v>
      </c>
      <c r="M3236" t="s" s="10">
        <v>86</v>
      </c>
      <c r="N3236" s="17">
        <v>33</v>
      </c>
      <c r="O3236" s="18">
        <v>455</v>
      </c>
      <c r="P3236" s="18">
        <v>472</v>
      </c>
      <c r="Q3236" s="15"/>
      <c r="R3236" t="s" s="16">
        <f>HYPERLINK("http://secrets.rutgers.edu:8080/data/asl-ftp/asllvd/demos/verify_start_end_handshape_annotations//test_auto_move//signs_mov_separ_signers/Naomi_16055.mov","MOV")</f>
        <v>21</v>
      </c>
    </row>
    <row r="3237" s="2" customFormat="1" ht="13.5" customHeight="1">
      <c r="B3237" s="13"/>
      <c r="C3237" t="s" s="9">
        <v>30</v>
      </c>
      <c r="D3237" t="s" s="8">
        <v>1114</v>
      </c>
      <c r="E3237" t="s" s="9">
        <v>1114</v>
      </c>
      <c r="F3237" s="19">
        <v>1</v>
      </c>
      <c r="G3237" s="17">
        <v>5</v>
      </c>
      <c r="H3237" s="19">
        <v>1</v>
      </c>
      <c r="I3237" s="17">
        <v>5</v>
      </c>
      <c r="J3237" t="s" s="11">
        <v>20</v>
      </c>
      <c r="K3237" s="15"/>
      <c r="L3237" t="s" s="16">
        <f>HYPERLINK("http://csr.bu.edu/ftp/asl/asllvd/demos/verify_start_end_handshape_annotations//test_auto_move//signs_mov_separ_signers/Brady_16055.mov","MOV")</f>
        <v>21</v>
      </c>
      <c r="M3237" t="s" s="10">
        <v>39</v>
      </c>
      <c r="N3237" s="17">
        <v>12</v>
      </c>
      <c r="O3237" s="18">
        <v>8015</v>
      </c>
      <c r="P3237" s="18">
        <v>8033</v>
      </c>
      <c r="Q3237" s="15"/>
      <c r="R3237" t="s" s="16">
        <f>HYPERLINK("http://secrets.rutgers.edu:8080/data/asl-ftp/asllvd/demos/verify_start_end_handshape_annotations//test_auto_move//signs_mov_separ_signers/Brady_16055.mov","MOV")</f>
        <v>21</v>
      </c>
    </row>
    <row r="3238" s="2" customFormat="1" ht="13.5" customHeight="1">
      <c r="B3238" t="s" s="8">
        <v>1115</v>
      </c>
      <c r="C3238" t="s" s="9">
        <v>14</v>
      </c>
      <c r="D3238" t="s" s="8">
        <v>14</v>
      </c>
      <c r="E3238" t="s" s="9">
        <v>14</v>
      </c>
      <c r="F3238" t="s" s="10">
        <v>14</v>
      </c>
      <c r="G3238" t="s" s="11">
        <v>14</v>
      </c>
      <c r="H3238" t="s" s="10">
        <v>14</v>
      </c>
      <c r="I3238" t="s" s="11">
        <v>14</v>
      </c>
      <c r="J3238" t="s" s="11">
        <v>14</v>
      </c>
      <c r="K3238" t="s" s="12">
        <v>14</v>
      </c>
      <c r="L3238" t="s" s="12">
        <v>14</v>
      </c>
      <c r="M3238" t="s" s="10">
        <v>14</v>
      </c>
      <c r="N3238" t="s" s="11">
        <v>14</v>
      </c>
      <c r="O3238" t="s" s="8">
        <v>14</v>
      </c>
      <c r="P3238" t="s" s="8">
        <v>14</v>
      </c>
      <c r="Q3238" t="s" s="12">
        <v>14</v>
      </c>
      <c r="R3238" t="s" s="12">
        <v>14</v>
      </c>
    </row>
    <row r="3239" s="2" customFormat="1" ht="13.5" customHeight="1">
      <c r="B3239" s="13"/>
      <c r="C3239" t="s" s="9">
        <v>16</v>
      </c>
      <c r="D3239" t="s" s="8">
        <v>1115</v>
      </c>
      <c r="E3239" t="s" s="9">
        <v>1115</v>
      </c>
      <c r="F3239" s="19">
        <v>1</v>
      </c>
      <c r="G3239" s="14"/>
      <c r="H3239" s="19">
        <v>1</v>
      </c>
      <c r="I3239" s="14"/>
      <c r="J3239" t="s" s="11">
        <v>20</v>
      </c>
      <c r="K3239" s="15"/>
      <c r="L3239" t="s" s="16">
        <f>HYPERLINK("http://csr.bu.edu/ftp/asl/asllvd/demos/verify_start_end_handshape_annotations//test_auto_move//signs_mov_separ_signers/Liz_682.mov","MOV")</f>
        <v>21</v>
      </c>
      <c r="M3239" t="s" s="10">
        <v>84</v>
      </c>
      <c r="N3239" s="17">
        <v>19</v>
      </c>
      <c r="O3239" s="18">
        <v>632</v>
      </c>
      <c r="P3239" s="18">
        <v>670</v>
      </c>
      <c r="Q3239" s="15"/>
      <c r="R3239" t="s" s="16">
        <f>HYPERLINK("http://secrets.rutgers.edu:8080/data/asl-ftp/asllvd/demos/verify_start_end_handshape_annotations//test_auto_move//signs_mov_separ_signers/Liz_682.mov","MOV")</f>
        <v>21</v>
      </c>
    </row>
    <row r="3240" s="2" customFormat="1" ht="13.5" customHeight="1">
      <c r="B3240" s="13"/>
      <c r="C3240" t="s" s="9">
        <v>16</v>
      </c>
      <c r="D3240" t="s" s="8">
        <v>1115</v>
      </c>
      <c r="E3240" t="s" s="9">
        <v>1115</v>
      </c>
      <c r="F3240" s="19">
        <v>1</v>
      </c>
      <c r="G3240" s="14"/>
      <c r="H3240" s="19">
        <v>1</v>
      </c>
      <c r="I3240" s="14"/>
      <c r="J3240" t="s" s="11">
        <v>20</v>
      </c>
      <c r="K3240" s="15"/>
      <c r="L3240" t="s" s="16">
        <f>HYPERLINK("http://csr.bu.edu/ftp/asl/asllvd/demos/verify_start_end_handshape_annotations//test_auto_move//signs_mov_separ_signers/Liz_3686.mov","MOV")</f>
        <v>21</v>
      </c>
      <c r="M3240" t="s" s="10">
        <v>88</v>
      </c>
      <c r="N3240" s="17">
        <v>6</v>
      </c>
      <c r="O3240" s="18">
        <v>4488</v>
      </c>
      <c r="P3240" s="18">
        <v>4535</v>
      </c>
      <c r="Q3240" s="15"/>
      <c r="R3240" t="s" s="16">
        <f>HYPERLINK("http://secrets.rutgers.edu:8080/data/asl-ftp/asllvd/demos/verify_start_end_handshape_annotations//test_auto_move//signs_mov_separ_signers/Liz_3686.mov","MOV")</f>
        <v>21</v>
      </c>
    </row>
    <row r="3241" s="2" customFormat="1" ht="13.5" customHeight="1">
      <c r="B3241" s="13"/>
      <c r="C3241" t="s" s="9">
        <v>23</v>
      </c>
      <c r="D3241" t="s" s="8">
        <v>1115</v>
      </c>
      <c r="E3241" t="s" s="9">
        <v>1115</v>
      </c>
      <c r="F3241" s="19">
        <v>1</v>
      </c>
      <c r="G3241" s="14"/>
      <c r="H3241" s="19">
        <v>1</v>
      </c>
      <c r="I3241" s="14"/>
      <c r="J3241" t="s" s="11">
        <v>20</v>
      </c>
      <c r="K3241" s="15"/>
      <c r="L3241" t="s" s="16">
        <f>HYPERLINK("http://csr.bu.edu/ftp/asl/asllvd/demos/verify_start_end_handshape_annotations//test_auto_move//signs_mov_separ_signers/Tyler_682.mov","MOV")</f>
        <v>21</v>
      </c>
      <c r="M3241" t="s" s="10">
        <v>125</v>
      </c>
      <c r="N3241" s="17">
        <v>18</v>
      </c>
      <c r="O3241" s="18">
        <v>450</v>
      </c>
      <c r="P3241" s="18">
        <v>487</v>
      </c>
      <c r="Q3241" s="15"/>
      <c r="R3241" t="s" s="16">
        <f>HYPERLINK("http://secrets.rutgers.edu:8080/data/asl-ftp/asllvd/demos/verify_start_end_handshape_annotations//test_auto_move//signs_mov_separ_signers/Tyler_682.mov","MOV")</f>
        <v>21</v>
      </c>
    </row>
    <row r="3242" s="2" customFormat="1" ht="13.5" customHeight="1">
      <c r="B3242" s="13"/>
      <c r="C3242" t="s" s="9">
        <v>23</v>
      </c>
      <c r="D3242" t="s" s="8">
        <v>1115</v>
      </c>
      <c r="E3242" t="s" s="9">
        <v>1115</v>
      </c>
      <c r="F3242" s="19">
        <v>1</v>
      </c>
      <c r="G3242" s="14"/>
      <c r="H3242" s="19">
        <v>1</v>
      </c>
      <c r="I3242" s="14"/>
      <c r="J3242" t="s" s="11">
        <v>20</v>
      </c>
      <c r="K3242" s="15"/>
      <c r="L3242" t="s" s="16">
        <f>HYPERLINK("http://csr.bu.edu/ftp/asl/asllvd/demos/verify_start_end_handshape_annotations//test_auto_move//signs_mov_separ_signers/Tyler_3686.mov","MOV")</f>
        <v>21</v>
      </c>
      <c r="M3242" t="s" s="10">
        <v>47</v>
      </c>
      <c r="N3242" s="17">
        <v>16</v>
      </c>
      <c r="O3242" s="18">
        <v>2385</v>
      </c>
      <c r="P3242" s="18">
        <v>2412</v>
      </c>
      <c r="Q3242" s="15"/>
      <c r="R3242" t="s" s="16">
        <f>HYPERLINK("http://secrets.rutgers.edu:8080/data/asl-ftp/asllvd/demos/verify_start_end_handshape_annotations//test_auto_move//signs_mov_separ_signers/Tyler_3686.mov","MOV")</f>
        <v>21</v>
      </c>
    </row>
    <row r="3243" s="2" customFormat="1" ht="13.5" customHeight="1">
      <c r="B3243" s="13"/>
      <c r="C3243" t="s" s="9">
        <v>27</v>
      </c>
      <c r="D3243" t="s" s="8">
        <v>1115</v>
      </c>
      <c r="E3243" t="s" s="9">
        <v>1115</v>
      </c>
      <c r="F3243" t="s" s="10">
        <v>268</v>
      </c>
      <c r="G3243" s="14"/>
      <c r="H3243" t="s" s="10">
        <v>268</v>
      </c>
      <c r="I3243" s="14"/>
      <c r="J3243" t="s" s="11">
        <v>20</v>
      </c>
      <c r="K3243" t="s" s="16">
        <f>HYPERLINK("http://csr.bu.edu/ftp/asl/asllvd/demos/verify_start_end_handshape_annotations//test_auto_move//signs_mov/682_3686_5284_merged.mov","MOV")</f>
        <v>21</v>
      </c>
      <c r="L3243" t="s" s="16">
        <f>HYPERLINK("http://csr.bu.edu/ftp/asl/asllvd/demos/verify_start_end_handshape_annotations//test_auto_move//signs_mov_separ_signers/Naomi_682.mov","MOV")</f>
        <v>21</v>
      </c>
      <c r="M3243" t="s" s="10">
        <v>86</v>
      </c>
      <c r="N3243" s="17">
        <v>19</v>
      </c>
      <c r="O3243" s="18">
        <v>520</v>
      </c>
      <c r="P3243" s="18">
        <v>542</v>
      </c>
      <c r="Q3243" t="s" s="16">
        <f>HYPERLINK("http://secrets.rutgers.edu:8080/data/asl-ftp/asllvd/demos/verify_start_end_handshape_annotations//test_auto_move//signs_mov/682_3686_5284_merged.mov","MOV")</f>
        <v>21</v>
      </c>
      <c r="R3243" t="s" s="16">
        <f>HYPERLINK("http://secrets.rutgers.edu:8080/data/asl-ftp/asllvd/demos/verify_start_end_handshape_annotations//test_auto_move//signs_mov_separ_signers/Naomi_682.mov","MOV")</f>
        <v>21</v>
      </c>
    </row>
    <row r="3244" s="2" customFormat="1" ht="13.5" customHeight="1">
      <c r="B3244" s="13"/>
      <c r="C3244" t="s" s="9">
        <v>30</v>
      </c>
      <c r="D3244" t="s" s="8">
        <v>1115</v>
      </c>
      <c r="E3244" t="s" s="9">
        <v>1115</v>
      </c>
      <c r="F3244" s="19">
        <v>1</v>
      </c>
      <c r="G3244" s="14"/>
      <c r="H3244" s="19">
        <v>1</v>
      </c>
      <c r="I3244" s="14"/>
      <c r="J3244" t="s" s="11">
        <v>20</v>
      </c>
      <c r="K3244" s="15"/>
      <c r="L3244" t="s" s="16">
        <f>HYPERLINK("http://csr.bu.edu/ftp/asl/asllvd/demos/verify_start_end_handshape_annotations//test_auto_move//signs_mov_separ_signers/Brady_682.mov","MOV")</f>
        <v>21</v>
      </c>
      <c r="M3244" t="s" s="10">
        <v>31</v>
      </c>
      <c r="N3244" s="17">
        <v>35</v>
      </c>
      <c r="O3244" s="18">
        <v>3695</v>
      </c>
      <c r="P3244" s="18">
        <v>3724</v>
      </c>
      <c r="Q3244" s="15"/>
      <c r="R3244" t="s" s="16">
        <f>HYPERLINK("http://secrets.rutgers.edu:8080/data/asl-ftp/asllvd/demos/verify_start_end_handshape_annotations//test_auto_move//signs_mov_separ_signers/Brady_682.mov","MOV")</f>
        <v>21</v>
      </c>
    </row>
    <row r="3245" s="2" customFormat="1" ht="13.5" customHeight="1">
      <c r="B3245" s="13"/>
      <c r="C3245" t="s" s="9">
        <v>30</v>
      </c>
      <c r="D3245" t="s" s="8">
        <v>1115</v>
      </c>
      <c r="E3245" t="s" s="9">
        <v>1115</v>
      </c>
      <c r="F3245" s="19">
        <v>1</v>
      </c>
      <c r="G3245" s="14"/>
      <c r="H3245" s="19">
        <v>1</v>
      </c>
      <c r="I3245" s="14"/>
      <c r="J3245" t="s" s="11">
        <v>20</v>
      </c>
      <c r="K3245" s="15"/>
      <c r="L3245" t="s" s="16">
        <f>HYPERLINK("http://csr.bu.edu/ftp/asl/asllvd/demos/verify_start_end_handshape_annotations//test_auto_move//signs_mov_separ_signers/Brady_3686.mov","MOV")</f>
        <v>21</v>
      </c>
      <c r="M3245" t="s" s="10">
        <v>39</v>
      </c>
      <c r="N3245" s="17">
        <v>18</v>
      </c>
      <c r="O3245" s="18">
        <v>5272</v>
      </c>
      <c r="P3245" s="18">
        <v>5297</v>
      </c>
      <c r="Q3245" s="15"/>
      <c r="R3245" t="s" s="16">
        <f>HYPERLINK("http://secrets.rutgers.edu:8080/data/asl-ftp/asllvd/demos/verify_start_end_handshape_annotations//test_auto_move//signs_mov_separ_signers/Brady_3686.mov","MOV")</f>
        <v>21</v>
      </c>
    </row>
    <row r="3246" s="2" customFormat="1" ht="13.5" customHeight="1">
      <c r="B3246" s="13"/>
      <c r="C3246" t="s" s="9">
        <v>30</v>
      </c>
      <c r="D3246" t="s" s="8">
        <v>1115</v>
      </c>
      <c r="E3246" t="s" s="9">
        <v>1115</v>
      </c>
      <c r="F3246" s="19">
        <v>1</v>
      </c>
      <c r="G3246" s="14"/>
      <c r="H3246" s="19">
        <v>1</v>
      </c>
      <c r="I3246" s="14"/>
      <c r="J3246" t="s" s="11">
        <v>20</v>
      </c>
      <c r="K3246" s="15"/>
      <c r="L3246" t="s" s="16">
        <f>HYPERLINK("http://csr.bu.edu/ftp/asl/asllvd/demos/verify_start_end_handshape_annotations//test_auto_move//signs_mov_separ_signers/Brady_5284.mov","MOV")</f>
        <v>21</v>
      </c>
      <c r="M3246" t="s" s="10">
        <v>40</v>
      </c>
      <c r="N3246" s="17">
        <v>3</v>
      </c>
      <c r="O3246" s="18">
        <v>2589</v>
      </c>
      <c r="P3246" s="18">
        <v>2612</v>
      </c>
      <c r="Q3246" s="15"/>
      <c r="R3246" t="s" s="16">
        <f>HYPERLINK("http://secrets.rutgers.edu:8080/data/asl-ftp/asllvd/demos/verify_start_end_handshape_annotations//test_auto_move//signs_mov_separ_signers/Brady_5284.mov","MOV")</f>
        <v>21</v>
      </c>
    </row>
    <row r="3247" s="2" customFormat="1" ht="13.5" customHeight="1">
      <c r="B3247" s="13"/>
      <c r="C3247" t="s" s="9">
        <v>41</v>
      </c>
      <c r="D3247" t="s" s="8">
        <v>1115</v>
      </c>
      <c r="E3247" t="s" s="9">
        <v>1115</v>
      </c>
      <c r="F3247" s="19">
        <v>1</v>
      </c>
      <c r="G3247" s="14"/>
      <c r="H3247" s="19">
        <v>1</v>
      </c>
      <c r="I3247" s="14"/>
      <c r="J3247" t="s" s="11">
        <v>20</v>
      </c>
      <c r="K3247" s="15"/>
      <c r="L3247" t="s" s="16">
        <f>HYPERLINK("http://csr.bu.edu/ftp/asl/asllvd/demos/verify_start_end_handshape_annotations//test_auto_move//signs_mov_separ_signers/Lana_682.mov","MOV")</f>
        <v>21</v>
      </c>
      <c r="M3247" t="s" s="10">
        <v>42</v>
      </c>
      <c r="N3247" s="17">
        <v>18</v>
      </c>
      <c r="O3247" s="18">
        <v>2428</v>
      </c>
      <c r="P3247" s="18">
        <v>2433</v>
      </c>
      <c r="Q3247" s="15"/>
      <c r="R3247" t="s" s="16">
        <f>HYPERLINK("http://secrets.rutgers.edu:8080/data/asl-ftp/asllvd/demos/verify_start_end_handshape_annotations//test_auto_move//signs_mov_separ_signers/Lana_682.mov","MOV")</f>
        <v>21</v>
      </c>
    </row>
    <row r="3248" s="2" customFormat="1" ht="13.5" customHeight="1">
      <c r="B3248" s="13"/>
      <c r="C3248" t="s" s="9">
        <v>43</v>
      </c>
      <c r="D3248" t="s" s="8">
        <v>1115</v>
      </c>
      <c r="E3248" t="s" s="9">
        <v>1115</v>
      </c>
      <c r="F3248" s="19">
        <v>1</v>
      </c>
      <c r="G3248" s="14"/>
      <c r="H3248" s="19">
        <v>1</v>
      </c>
      <c r="I3248" s="14"/>
      <c r="J3248" t="s" s="11">
        <v>20</v>
      </c>
      <c r="K3248" s="15"/>
      <c r="L3248" t="s" s="16">
        <f>HYPERLINK("http://csr.bu.edu/ftp/asl/asllvd/demos/verify_start_end_handshape_annotations//test_auto_move//signs_mov_separ_signers/Dana_682.mov","MOV")</f>
        <v>21</v>
      </c>
      <c r="M3248" t="s" s="10">
        <v>44</v>
      </c>
      <c r="N3248" s="17">
        <v>20</v>
      </c>
      <c r="O3248" s="18">
        <v>2386</v>
      </c>
      <c r="P3248" s="18">
        <v>2421</v>
      </c>
      <c r="Q3248" s="15"/>
      <c r="R3248" t="s" s="16">
        <f>HYPERLINK("http://secrets.rutgers.edu:8080/data/asl-ftp/asllvd/demos/verify_start_end_handshape_annotations//test_auto_move//signs_mov_separ_signers/Dana_682.mov","MOV")</f>
        <v>21</v>
      </c>
    </row>
    <row r="3249" s="2" customFormat="1" ht="13.5" customHeight="1">
      <c r="B3249" t="s" s="8">
        <v>1116</v>
      </c>
      <c r="C3249" t="s" s="9">
        <v>14</v>
      </c>
      <c r="D3249" t="s" s="8">
        <v>14</v>
      </c>
      <c r="E3249" t="s" s="9">
        <v>14</v>
      </c>
      <c r="F3249" t="s" s="10">
        <v>14</v>
      </c>
      <c r="G3249" t="s" s="11">
        <v>14</v>
      </c>
      <c r="H3249" t="s" s="10">
        <v>14</v>
      </c>
      <c r="I3249" t="s" s="11">
        <v>14</v>
      </c>
      <c r="J3249" t="s" s="11">
        <v>14</v>
      </c>
      <c r="K3249" t="s" s="12">
        <v>14</v>
      </c>
      <c r="L3249" t="s" s="12">
        <v>14</v>
      </c>
      <c r="M3249" t="s" s="10">
        <v>14</v>
      </c>
      <c r="N3249" t="s" s="11">
        <v>14</v>
      </c>
      <c r="O3249" t="s" s="8">
        <v>14</v>
      </c>
      <c r="P3249" t="s" s="8">
        <v>14</v>
      </c>
      <c r="Q3249" t="s" s="12">
        <v>14</v>
      </c>
      <c r="R3249" t="s" s="12">
        <v>14</v>
      </c>
    </row>
    <row r="3250" s="2" customFormat="1" ht="13.5" customHeight="1">
      <c r="B3250" s="13"/>
      <c r="C3250" t="s" s="9">
        <v>16</v>
      </c>
      <c r="D3250" t="s" s="8">
        <v>1116</v>
      </c>
      <c r="E3250" t="s" s="9">
        <v>1116</v>
      </c>
      <c r="F3250" s="19">
        <v>1</v>
      </c>
      <c r="G3250" s="14"/>
      <c r="H3250" s="19">
        <v>1</v>
      </c>
      <c r="I3250" s="14"/>
      <c r="J3250" t="s" s="11">
        <v>20</v>
      </c>
      <c r="K3250" t="s" s="16">
        <f>HYPERLINK("http://csr.bu.edu/ftp/asl/asllvd/demos/verify_start_end_handshape_annotations//test_auto_move//signs_mov/15850.mov","MOV")</f>
        <v>21</v>
      </c>
      <c r="L3250" t="s" s="16">
        <f>HYPERLINK("http://csr.bu.edu/ftp/asl/asllvd/demos/verify_start_end_handshape_annotations//test_auto_move//signs_mov_separ_signers/Liz_15850.mov","MOV")</f>
        <v>21</v>
      </c>
      <c r="M3250" t="s" s="10">
        <v>36</v>
      </c>
      <c r="N3250" s="17">
        <v>39</v>
      </c>
      <c r="O3250" s="18">
        <v>2255</v>
      </c>
      <c r="P3250" s="18">
        <v>2295</v>
      </c>
      <c r="Q3250" t="s" s="16">
        <f>HYPERLINK("http://secrets.rutgers.edu:8080/data/asl-ftp/asllvd/demos/verify_start_end_handshape_annotations//test_auto_move//signs_mov/15850.mov","MOV")</f>
        <v>21</v>
      </c>
      <c r="R3250" t="s" s="16">
        <f>HYPERLINK("http://secrets.rutgers.edu:8080/data/asl-ftp/asllvd/demos/verify_start_end_handshape_annotations//test_auto_move//signs_mov_separ_signers/Liz_15850.mov","MOV")</f>
        <v>21</v>
      </c>
    </row>
    <row r="3251" s="2" customFormat="1" ht="13.5" customHeight="1">
      <c r="B3251" s="13"/>
      <c r="C3251" t="s" s="9">
        <v>30</v>
      </c>
      <c r="D3251" t="s" s="8">
        <v>1116</v>
      </c>
      <c r="E3251" t="s" s="9">
        <v>1116</v>
      </c>
      <c r="F3251" s="19">
        <v>1</v>
      </c>
      <c r="G3251" s="14"/>
      <c r="H3251" s="19">
        <v>1</v>
      </c>
      <c r="I3251" s="14"/>
      <c r="J3251" t="s" s="11">
        <v>20</v>
      </c>
      <c r="K3251" s="15"/>
      <c r="L3251" t="s" s="16">
        <f>HYPERLINK("http://csr.bu.edu/ftp/asl/asllvd/demos/verify_start_end_handshape_annotations//test_auto_move//signs_mov_separ_signers/Brady_15850.mov","MOV")</f>
        <v>21</v>
      </c>
      <c r="M3251" t="s" s="10">
        <v>40</v>
      </c>
      <c r="N3251" s="17">
        <v>92</v>
      </c>
      <c r="O3251" s="18">
        <v>155</v>
      </c>
      <c r="P3251" s="18">
        <v>179</v>
      </c>
      <c r="Q3251" s="15"/>
      <c r="R3251" t="s" s="16">
        <f>HYPERLINK("http://secrets.rutgers.edu:8080/data/asl-ftp/asllvd/demos/verify_start_end_handshape_annotations//test_auto_move//signs_mov_separ_signers/Brady_15850.mov","MOV")</f>
        <v>21</v>
      </c>
    </row>
    <row r="3252" s="2" customFormat="1" ht="13.5" customHeight="1">
      <c r="B3252" t="s" s="8">
        <v>1117</v>
      </c>
      <c r="C3252" t="s" s="9">
        <v>14</v>
      </c>
      <c r="D3252" t="s" s="8">
        <v>14</v>
      </c>
      <c r="E3252" t="s" s="9">
        <v>14</v>
      </c>
      <c r="F3252" t="s" s="10">
        <v>14</v>
      </c>
      <c r="G3252" t="s" s="11">
        <v>14</v>
      </c>
      <c r="H3252" t="s" s="10">
        <v>14</v>
      </c>
      <c r="I3252" t="s" s="11">
        <v>14</v>
      </c>
      <c r="J3252" t="s" s="11">
        <v>14</v>
      </c>
      <c r="K3252" t="s" s="12">
        <v>14</v>
      </c>
      <c r="L3252" t="s" s="12">
        <v>14</v>
      </c>
      <c r="M3252" t="s" s="10">
        <v>14</v>
      </c>
      <c r="N3252" t="s" s="11">
        <v>14</v>
      </c>
      <c r="O3252" t="s" s="8">
        <v>14</v>
      </c>
      <c r="P3252" t="s" s="8">
        <v>14</v>
      </c>
      <c r="Q3252" t="s" s="12">
        <v>14</v>
      </c>
      <c r="R3252" t="s" s="12">
        <v>14</v>
      </c>
    </row>
    <row r="3253" s="2" customFormat="1" ht="13.5" customHeight="1">
      <c r="B3253" s="13"/>
      <c r="C3253" t="s" s="9">
        <v>16</v>
      </c>
      <c r="D3253" t="s" s="8">
        <v>1117</v>
      </c>
      <c r="E3253" t="s" s="9">
        <v>1117</v>
      </c>
      <c r="F3253" s="19">
        <v>1</v>
      </c>
      <c r="G3253" s="14"/>
      <c r="H3253" s="19">
        <v>1</v>
      </c>
      <c r="I3253" s="14"/>
      <c r="J3253" t="s" s="11">
        <v>20</v>
      </c>
      <c r="K3253" s="15"/>
      <c r="L3253" t="s" s="16">
        <f>HYPERLINK("http://csr.bu.edu/ftp/asl/asllvd/demos/verify_start_end_handshape_annotations//test_auto_move//signs_mov_separ_signers/Liz_15863.mov","MOV")</f>
        <v>21</v>
      </c>
      <c r="M3253" t="s" s="10">
        <v>22</v>
      </c>
      <c r="N3253" s="17">
        <v>75</v>
      </c>
      <c r="O3253" s="18">
        <v>255</v>
      </c>
      <c r="P3253" s="18">
        <v>275</v>
      </c>
      <c r="Q3253" s="15"/>
      <c r="R3253" t="s" s="16">
        <f>HYPERLINK("http://secrets.rutgers.edu:8080/data/asl-ftp/asllvd/demos/verify_start_end_handshape_annotations//test_auto_move//signs_mov_separ_signers/Liz_15863.mov","MOV")</f>
        <v>21</v>
      </c>
    </row>
    <row r="3254" s="2" customFormat="1" ht="13.5" customHeight="1">
      <c r="B3254" s="13"/>
      <c r="C3254" t="s" s="9">
        <v>27</v>
      </c>
      <c r="D3254" t="s" s="8">
        <v>1117</v>
      </c>
      <c r="E3254" t="s" s="9">
        <v>1117</v>
      </c>
      <c r="F3254" s="19">
        <v>1</v>
      </c>
      <c r="G3254" s="14"/>
      <c r="H3254" s="19">
        <v>1</v>
      </c>
      <c r="I3254" s="14"/>
      <c r="J3254" t="s" s="11">
        <v>20</v>
      </c>
      <c r="K3254" t="s" s="16">
        <f>HYPERLINK("http://csr.bu.edu/ftp/asl/asllvd/demos/verify_start_end_handshape_annotations//test_auto_move//signs_mov/15863.mov","MOV")</f>
        <v>21</v>
      </c>
      <c r="L3254" t="s" s="16">
        <f>HYPERLINK("http://csr.bu.edu/ftp/asl/asllvd/demos/verify_start_end_handshape_annotations//test_auto_move//signs_mov_separ_signers/Naomi_15863.mov","MOV")</f>
        <v>21</v>
      </c>
      <c r="M3254" t="s" s="10">
        <v>29</v>
      </c>
      <c r="N3254" s="17">
        <v>47</v>
      </c>
      <c r="O3254" s="18">
        <v>1950</v>
      </c>
      <c r="P3254" s="18">
        <v>1977</v>
      </c>
      <c r="Q3254" t="s" s="16">
        <f>HYPERLINK("http://secrets.rutgers.edu:8080/data/asl-ftp/asllvd/demos/verify_start_end_handshape_annotations//test_auto_move//signs_mov/15863.mov","MOV")</f>
        <v>21</v>
      </c>
      <c r="R3254" t="s" s="16">
        <f>HYPERLINK("http://secrets.rutgers.edu:8080/data/asl-ftp/asllvd/demos/verify_start_end_handshape_annotations//test_auto_move//signs_mov_separ_signers/Naomi_15863.mov","MOV")</f>
        <v>21</v>
      </c>
    </row>
    <row r="3255" s="2" customFormat="1" ht="13.5" customHeight="1">
      <c r="B3255" s="13"/>
      <c r="C3255" t="s" s="9">
        <v>30</v>
      </c>
      <c r="D3255" t="s" s="8">
        <v>1117</v>
      </c>
      <c r="E3255" t="s" s="9">
        <v>1117</v>
      </c>
      <c r="F3255" s="19">
        <v>1</v>
      </c>
      <c r="G3255" s="14"/>
      <c r="H3255" s="19">
        <v>1</v>
      </c>
      <c r="I3255" s="14"/>
      <c r="J3255" t="s" s="11">
        <v>20</v>
      </c>
      <c r="K3255" s="15"/>
      <c r="L3255" t="s" s="16">
        <f>HYPERLINK("http://csr.bu.edu/ftp/asl/asllvd/demos/verify_start_end_handshape_annotations//test_auto_move//signs_mov_separ_signers/Brady_15863.mov","MOV")</f>
        <v>21</v>
      </c>
      <c r="M3255" t="s" s="10">
        <v>31</v>
      </c>
      <c r="N3255" s="17">
        <v>27</v>
      </c>
      <c r="O3255" s="18">
        <v>8721</v>
      </c>
      <c r="P3255" s="18">
        <v>8745</v>
      </c>
      <c r="Q3255" s="15"/>
      <c r="R3255" t="s" s="16">
        <f>HYPERLINK("http://secrets.rutgers.edu:8080/data/asl-ftp/asllvd/demos/verify_start_end_handshape_annotations//test_auto_move//signs_mov_separ_signers/Brady_15863.mov","MOV")</f>
        <v>21</v>
      </c>
    </row>
    <row r="3256" s="2" customFormat="1" ht="13.5" customHeight="1">
      <c r="B3256" t="s" s="8">
        <v>52</v>
      </c>
      <c r="C3256" t="s" s="9">
        <v>53</v>
      </c>
      <c r="D3256" t="s" s="8">
        <v>53</v>
      </c>
      <c r="E3256" t="s" s="9">
        <v>53</v>
      </c>
      <c r="F3256" t="s" s="10">
        <v>53</v>
      </c>
      <c r="G3256" t="s" s="11">
        <v>53</v>
      </c>
      <c r="H3256" t="s" s="10">
        <v>53</v>
      </c>
      <c r="I3256" t="s" s="11">
        <v>53</v>
      </c>
      <c r="J3256" t="s" s="11">
        <v>53</v>
      </c>
      <c r="K3256" t="s" s="12">
        <v>53</v>
      </c>
      <c r="L3256" t="s" s="12">
        <v>53</v>
      </c>
      <c r="M3256" t="s" s="10">
        <v>53</v>
      </c>
      <c r="N3256" t="s" s="11">
        <v>53</v>
      </c>
      <c r="O3256" t="s" s="8">
        <v>53</v>
      </c>
      <c r="P3256" t="s" s="8">
        <v>53</v>
      </c>
      <c r="Q3256" t="s" s="12">
        <v>53</v>
      </c>
      <c r="R3256" t="s" s="12">
        <v>53</v>
      </c>
    </row>
    <row r="3257" s="2" customFormat="1" ht="13.5" customHeight="1">
      <c r="B3257" s="13"/>
      <c r="C3257" t="s" s="9">
        <v>23</v>
      </c>
      <c r="D3257" t="s" s="8">
        <v>1117</v>
      </c>
      <c r="E3257" t="s" s="9">
        <v>1118</v>
      </c>
      <c r="F3257" s="19">
        <v>1</v>
      </c>
      <c r="G3257" s="14"/>
      <c r="H3257" s="19">
        <v>1</v>
      </c>
      <c r="I3257" s="14"/>
      <c r="J3257" t="s" s="11">
        <v>20</v>
      </c>
      <c r="K3257" t="s" s="16">
        <f>HYPERLINK("http://csr.bu.edu/ftp/asl/asllvd/demos/verify_start_end_handshape_annotations//test_auto_move//signs_mov/16176.mov","MOV")</f>
        <v>21</v>
      </c>
      <c r="L3257" t="s" s="16">
        <f>HYPERLINK("http://csr.bu.edu/ftp/asl/asllvd/demos/verify_start_end_handshape_annotations//test_auto_move//signs_mov_separ_signers/Tyler_16176.mov","MOV")</f>
        <v>21</v>
      </c>
      <c r="M3257" t="s" s="10">
        <v>26</v>
      </c>
      <c r="N3257" s="17">
        <v>45</v>
      </c>
      <c r="O3257" s="18">
        <v>2050</v>
      </c>
      <c r="P3257" s="18">
        <v>2100</v>
      </c>
      <c r="Q3257" t="s" s="16">
        <f>HYPERLINK("http://secrets.rutgers.edu:8080/data/asl-ftp/asllvd/demos/verify_start_end_handshape_annotations//test_auto_move//signs_mov/16176.mov","MOV")</f>
        <v>21</v>
      </c>
      <c r="R3257" t="s" s="16">
        <f>HYPERLINK("http://secrets.rutgers.edu:8080/data/asl-ftp/asllvd/demos/verify_start_end_handshape_annotations//test_auto_move//signs_mov_separ_signers/Tyler_16176.mov","MOV")</f>
        <v>21</v>
      </c>
    </row>
    <row r="3258" s="2" customFormat="1" ht="13.5" customHeight="1">
      <c r="B3258" t="s" s="8">
        <v>1119</v>
      </c>
      <c r="C3258" t="s" s="9">
        <v>14</v>
      </c>
      <c r="D3258" t="s" s="8">
        <v>14</v>
      </c>
      <c r="E3258" t="s" s="9">
        <v>14</v>
      </c>
      <c r="F3258" t="s" s="10">
        <v>14</v>
      </c>
      <c r="G3258" t="s" s="11">
        <v>14</v>
      </c>
      <c r="H3258" t="s" s="10">
        <v>14</v>
      </c>
      <c r="I3258" t="s" s="11">
        <v>14</v>
      </c>
      <c r="J3258" t="s" s="11">
        <v>14</v>
      </c>
      <c r="K3258" t="s" s="12">
        <v>14</v>
      </c>
      <c r="L3258" t="s" s="12">
        <v>14</v>
      </c>
      <c r="M3258" t="s" s="10">
        <v>14</v>
      </c>
      <c r="N3258" t="s" s="11">
        <v>14</v>
      </c>
      <c r="O3258" t="s" s="8">
        <v>14</v>
      </c>
      <c r="P3258" t="s" s="8">
        <v>14</v>
      </c>
      <c r="Q3258" t="s" s="12">
        <v>14</v>
      </c>
      <c r="R3258" t="s" s="12">
        <v>14</v>
      </c>
    </row>
    <row r="3259" s="2" customFormat="1" ht="13.5" customHeight="1">
      <c r="B3259" s="13"/>
      <c r="C3259" t="s" s="9">
        <v>16</v>
      </c>
      <c r="D3259" t="s" s="8">
        <v>1119</v>
      </c>
      <c r="E3259" t="s" s="9">
        <v>1119</v>
      </c>
      <c r="F3259" s="19">
        <v>1</v>
      </c>
      <c r="G3259" s="14"/>
      <c r="H3259" s="19">
        <v>1</v>
      </c>
      <c r="I3259" s="14"/>
      <c r="J3259" t="s" s="11">
        <v>20</v>
      </c>
      <c r="K3259" t="s" s="16">
        <f>HYPERLINK("http://csr.bu.edu/ftp/asl/asllvd/demos/verify_start_end_handshape_annotations//test_auto_move//signs_mov/16324.mov","MOV")</f>
        <v>21</v>
      </c>
      <c r="L3259" t="s" s="16">
        <f>HYPERLINK("http://csr.bu.edu/ftp/asl/asllvd/demos/verify_start_end_handshape_annotations//test_auto_move//signs_mov_separ_signers/Liz_16324.mov","MOV")</f>
        <v>21</v>
      </c>
      <c r="M3259" t="s" s="10">
        <v>77</v>
      </c>
      <c r="N3259" s="17">
        <v>24</v>
      </c>
      <c r="O3259" s="18">
        <v>2185</v>
      </c>
      <c r="P3259" s="18">
        <v>2245</v>
      </c>
      <c r="Q3259" t="s" s="16">
        <f>HYPERLINK("http://secrets.rutgers.edu:8080/data/asl-ftp/asllvd/demos/verify_start_end_handshape_annotations//test_auto_move//signs_mov/16324.mov","MOV")</f>
        <v>21</v>
      </c>
      <c r="R3259" t="s" s="16">
        <f>HYPERLINK("http://secrets.rutgers.edu:8080/data/asl-ftp/asllvd/demos/verify_start_end_handshape_annotations//test_auto_move//signs_mov_separ_signers/Liz_16324.mov","MOV")</f>
        <v>21</v>
      </c>
    </row>
    <row r="3260" s="2" customFormat="1" ht="13.5" customHeight="1">
      <c r="B3260" s="13"/>
      <c r="C3260" t="s" s="9">
        <v>30</v>
      </c>
      <c r="D3260" t="s" s="8">
        <v>1119</v>
      </c>
      <c r="E3260" t="s" s="9">
        <v>1119</v>
      </c>
      <c r="F3260" s="19">
        <v>1</v>
      </c>
      <c r="G3260" s="14"/>
      <c r="H3260" s="19">
        <v>1</v>
      </c>
      <c r="I3260" s="14"/>
      <c r="J3260" t="s" s="11">
        <v>20</v>
      </c>
      <c r="K3260" s="15"/>
      <c r="L3260" t="s" s="16">
        <f>HYPERLINK("http://csr.bu.edu/ftp/asl/asllvd/demos/verify_start_end_handshape_annotations//test_auto_move//signs_mov_separ_signers/Brady_16324.mov","MOV")</f>
        <v>21</v>
      </c>
      <c r="M3260" t="s" s="10">
        <v>31</v>
      </c>
      <c r="N3260" s="17">
        <v>21</v>
      </c>
      <c r="O3260" s="18">
        <v>8881</v>
      </c>
      <c r="P3260" s="18">
        <v>8908</v>
      </c>
      <c r="Q3260" s="15"/>
      <c r="R3260" t="s" s="16">
        <f>HYPERLINK("http://secrets.rutgers.edu:8080/data/asl-ftp/asllvd/demos/verify_start_end_handshape_annotations//test_auto_move//signs_mov_separ_signers/Brady_16324.mov","MOV")</f>
        <v>21</v>
      </c>
    </row>
    <row r="3261" s="2" customFormat="1" ht="13.5" customHeight="1">
      <c r="B3261" t="s" s="8">
        <v>1120</v>
      </c>
      <c r="C3261" t="s" s="9">
        <v>14</v>
      </c>
      <c r="D3261" t="s" s="8">
        <v>14</v>
      </c>
      <c r="E3261" t="s" s="9">
        <v>14</v>
      </c>
      <c r="F3261" t="s" s="10">
        <v>14</v>
      </c>
      <c r="G3261" t="s" s="11">
        <v>14</v>
      </c>
      <c r="H3261" t="s" s="10">
        <v>14</v>
      </c>
      <c r="I3261" t="s" s="11">
        <v>14</v>
      </c>
      <c r="J3261" t="s" s="11">
        <v>14</v>
      </c>
      <c r="K3261" t="s" s="12">
        <v>14</v>
      </c>
      <c r="L3261" t="s" s="12">
        <v>14</v>
      </c>
      <c r="M3261" t="s" s="10">
        <v>14</v>
      </c>
      <c r="N3261" t="s" s="11">
        <v>14</v>
      </c>
      <c r="O3261" t="s" s="8">
        <v>14</v>
      </c>
      <c r="P3261" t="s" s="8">
        <v>14</v>
      </c>
      <c r="Q3261" t="s" s="12">
        <v>14</v>
      </c>
      <c r="R3261" t="s" s="12">
        <v>14</v>
      </c>
    </row>
    <row r="3262" s="2" customFormat="1" ht="13.5" customHeight="1">
      <c r="B3262" s="13"/>
      <c r="C3262" t="s" s="9">
        <v>16</v>
      </c>
      <c r="D3262" t="s" s="8">
        <v>1120</v>
      </c>
      <c r="E3262" t="s" s="9">
        <v>1120</v>
      </c>
      <c r="F3262" t="s" s="10">
        <v>51</v>
      </c>
      <c r="G3262" t="s" s="11">
        <v>109</v>
      </c>
      <c r="H3262" t="s" s="10">
        <v>51</v>
      </c>
      <c r="I3262" t="s" s="11">
        <v>109</v>
      </c>
      <c r="J3262" t="s" s="11">
        <v>20</v>
      </c>
      <c r="K3262" t="s" s="16">
        <f>HYPERLINK("http://csr.bu.edu/ftp/asl/asllvd/demos/verify_start_end_handshape_annotations//test_auto_move//signs_mov/683.mov","MOV")</f>
        <v>21</v>
      </c>
      <c r="L3262" t="s" s="16">
        <f>HYPERLINK("http://csr.bu.edu/ftp/asl/asllvd/demos/verify_start_end_handshape_annotations//test_auto_move//signs_mov_separ_signers/Liz_683.mov","MOV")</f>
        <v>21</v>
      </c>
      <c r="M3262" t="s" s="10">
        <v>84</v>
      </c>
      <c r="N3262" s="17">
        <v>19</v>
      </c>
      <c r="O3262" s="18">
        <v>880</v>
      </c>
      <c r="P3262" s="18">
        <v>925</v>
      </c>
      <c r="Q3262" t="s" s="16">
        <f>HYPERLINK("http://secrets.rutgers.edu:8080/data/asl-ftp/asllvd/demos/verify_start_end_handshape_annotations//test_auto_move//signs_mov/683.mov","MOV")</f>
        <v>21</v>
      </c>
      <c r="R3262" t="s" s="16">
        <f>HYPERLINK("http://secrets.rutgers.edu:8080/data/asl-ftp/asllvd/demos/verify_start_end_handshape_annotations//test_auto_move//signs_mov_separ_signers/Liz_683.mov","MOV")</f>
        <v>21</v>
      </c>
    </row>
    <row r="3263" s="2" customFormat="1" ht="13.5" customHeight="1">
      <c r="B3263" s="13"/>
      <c r="C3263" t="s" s="9">
        <v>27</v>
      </c>
      <c r="D3263" t="s" s="8">
        <v>1120</v>
      </c>
      <c r="E3263" t="s" s="9">
        <v>1120</v>
      </c>
      <c r="F3263" t="s" s="10">
        <v>51</v>
      </c>
      <c r="G3263" t="s" s="11">
        <v>109</v>
      </c>
      <c r="H3263" t="s" s="10">
        <v>51</v>
      </c>
      <c r="I3263" t="s" s="11">
        <v>109</v>
      </c>
      <c r="J3263" t="s" s="11">
        <v>20</v>
      </c>
      <c r="K3263" s="15"/>
      <c r="L3263" t="s" s="16">
        <f>HYPERLINK("http://csr.bu.edu/ftp/asl/asllvd/demos/verify_start_end_handshape_annotations//test_auto_move//signs_mov_separ_signers/Naomi_683.mov","MOV")</f>
        <v>21</v>
      </c>
      <c r="M3263" t="s" s="10">
        <v>86</v>
      </c>
      <c r="N3263" s="17">
        <v>19</v>
      </c>
      <c r="O3263" s="18">
        <v>1100</v>
      </c>
      <c r="P3263" s="18">
        <v>1130</v>
      </c>
      <c r="Q3263" s="15"/>
      <c r="R3263" t="s" s="16">
        <f>HYPERLINK("http://secrets.rutgers.edu:8080/data/asl-ftp/asllvd/demos/verify_start_end_handshape_annotations//test_auto_move//signs_mov_separ_signers/Naomi_683.mov","MOV")</f>
        <v>21</v>
      </c>
    </row>
    <row r="3264" s="2" customFormat="1" ht="13.5" customHeight="1">
      <c r="B3264" t="s" s="8">
        <v>52</v>
      </c>
      <c r="C3264" t="s" s="9">
        <v>53</v>
      </c>
      <c r="D3264" t="s" s="8">
        <v>53</v>
      </c>
      <c r="E3264" t="s" s="9">
        <v>53</v>
      </c>
      <c r="F3264" t="s" s="10">
        <v>53</v>
      </c>
      <c r="G3264" t="s" s="11">
        <v>53</v>
      </c>
      <c r="H3264" t="s" s="10">
        <v>53</v>
      </c>
      <c r="I3264" t="s" s="11">
        <v>53</v>
      </c>
      <c r="J3264" t="s" s="11">
        <v>53</v>
      </c>
      <c r="K3264" t="s" s="12">
        <v>53</v>
      </c>
      <c r="L3264" t="s" s="12">
        <v>53</v>
      </c>
      <c r="M3264" t="s" s="10">
        <v>53</v>
      </c>
      <c r="N3264" t="s" s="11">
        <v>53</v>
      </c>
      <c r="O3264" t="s" s="8">
        <v>53</v>
      </c>
      <c r="P3264" t="s" s="8">
        <v>53</v>
      </c>
      <c r="Q3264" t="s" s="12">
        <v>53</v>
      </c>
      <c r="R3264" t="s" s="12">
        <v>53</v>
      </c>
    </row>
    <row r="3265" s="2" customFormat="1" ht="13.5" customHeight="1">
      <c r="B3265" s="13"/>
      <c r="C3265" t="s" s="9">
        <v>23</v>
      </c>
      <c r="D3265" t="s" s="8">
        <v>1120</v>
      </c>
      <c r="E3265" t="s" s="9">
        <v>1121</v>
      </c>
      <c r="F3265" t="s" s="10">
        <v>51</v>
      </c>
      <c r="G3265" s="17">
        <v>1</v>
      </c>
      <c r="H3265" t="s" s="10">
        <v>51</v>
      </c>
      <c r="I3265" s="17">
        <v>1</v>
      </c>
      <c r="J3265" t="s" s="11">
        <v>20</v>
      </c>
      <c r="K3265" t="s" s="16">
        <f>HYPERLINK("http://csr.bu.edu/ftp/asl/asllvd/demos/verify_start_end_handshape_annotations//test_auto_move//signs_mov/5163.mov","MOV")</f>
        <v>21</v>
      </c>
      <c r="L3265" t="s" s="16">
        <f>HYPERLINK("http://csr.bu.edu/ftp/asl/asllvd/demos/verify_start_end_handshape_annotations//test_auto_move//signs_mov_separ_signers/Tyler_5163.mov","MOV")</f>
        <v>21</v>
      </c>
      <c r="M3265" t="s" s="10">
        <v>125</v>
      </c>
      <c r="N3265" s="17">
        <v>18</v>
      </c>
      <c r="O3265" s="18">
        <v>750</v>
      </c>
      <c r="P3265" s="18">
        <v>791</v>
      </c>
      <c r="Q3265" t="s" s="16">
        <f>HYPERLINK("http://secrets.rutgers.edu:8080/data/asl-ftp/asllvd/demos/verify_start_end_handshape_annotations//test_auto_move//signs_mov/5163.mov","MOV")</f>
        <v>21</v>
      </c>
      <c r="R3265" t="s" s="16">
        <f>HYPERLINK("http://secrets.rutgers.edu:8080/data/asl-ftp/asllvd/demos/verify_start_end_handshape_annotations//test_auto_move//signs_mov_separ_signers/Tyler_5163.mov","MOV")</f>
        <v>21</v>
      </c>
    </row>
    <row r="3266" s="2" customFormat="1" ht="13.5" customHeight="1">
      <c r="B3266" s="13"/>
      <c r="C3266" t="s" s="9">
        <v>30</v>
      </c>
      <c r="D3266" t="s" s="8">
        <v>1120</v>
      </c>
      <c r="E3266" t="s" s="9">
        <v>1122</v>
      </c>
      <c r="F3266" t="s" s="10">
        <v>51</v>
      </c>
      <c r="G3266" s="17">
        <v>1</v>
      </c>
      <c r="H3266" t="s" s="10">
        <v>51</v>
      </c>
      <c r="I3266" s="17">
        <v>1</v>
      </c>
      <c r="J3266" t="s" s="11">
        <v>20</v>
      </c>
      <c r="K3266" s="15"/>
      <c r="L3266" t="s" s="16">
        <f>HYPERLINK("http://csr.bu.edu/ftp/asl/asllvd/demos/verify_start_end_handshape_annotations//test_auto_move//signs_mov_separ_signers/Brady_5163.mov","MOV")</f>
        <v>21</v>
      </c>
      <c r="M3266" t="s" s="10">
        <v>31</v>
      </c>
      <c r="N3266" s="17">
        <v>35</v>
      </c>
      <c r="O3266" s="18">
        <v>3900</v>
      </c>
      <c r="P3266" s="18">
        <v>3926</v>
      </c>
      <c r="Q3266" s="15"/>
      <c r="R3266" t="s" s="16">
        <f>HYPERLINK("http://secrets.rutgers.edu:8080/data/asl-ftp/asllvd/demos/verify_start_end_handshape_annotations//test_auto_move//signs_mov_separ_signers/Brady_5163.mov","MOV")</f>
        <v>21</v>
      </c>
    </row>
    <row r="3267" s="2" customFormat="1" ht="13.5" customHeight="1">
      <c r="B3267" t="s" s="8">
        <v>1123</v>
      </c>
      <c r="C3267" t="s" s="9">
        <v>14</v>
      </c>
      <c r="D3267" t="s" s="8">
        <v>14</v>
      </c>
      <c r="E3267" t="s" s="9">
        <v>14</v>
      </c>
      <c r="F3267" t="s" s="10">
        <v>14</v>
      </c>
      <c r="G3267" t="s" s="11">
        <v>14</v>
      </c>
      <c r="H3267" t="s" s="10">
        <v>14</v>
      </c>
      <c r="I3267" t="s" s="11">
        <v>14</v>
      </c>
      <c r="J3267" t="s" s="11">
        <v>14</v>
      </c>
      <c r="K3267" t="s" s="12">
        <v>14</v>
      </c>
      <c r="L3267" t="s" s="12">
        <v>14</v>
      </c>
      <c r="M3267" t="s" s="10">
        <v>14</v>
      </c>
      <c r="N3267" t="s" s="11">
        <v>14</v>
      </c>
      <c r="O3267" t="s" s="8">
        <v>14</v>
      </c>
      <c r="P3267" t="s" s="8">
        <v>14</v>
      </c>
      <c r="Q3267" t="s" s="12">
        <v>14</v>
      </c>
      <c r="R3267" t="s" s="12">
        <v>14</v>
      </c>
    </row>
    <row r="3268" s="2" customFormat="1" ht="13.5" customHeight="1">
      <c r="B3268" s="13"/>
      <c r="C3268" t="s" s="9">
        <v>16</v>
      </c>
      <c r="D3268" t="s" s="8">
        <v>1123</v>
      </c>
      <c r="E3268" t="s" s="9">
        <v>1124</v>
      </c>
      <c r="F3268" s="19">
        <v>5</v>
      </c>
      <c r="G3268" s="14"/>
      <c r="H3268" t="s" s="10">
        <v>187</v>
      </c>
      <c r="I3268" s="14"/>
      <c r="J3268" t="s" s="11">
        <v>20</v>
      </c>
      <c r="K3268" s="15"/>
      <c r="L3268" t="s" s="16">
        <f>HYPERLINK("http://csr.bu.edu/ftp/asl/asllvd/demos/verify_start_end_handshape_annotations//test_auto_move//signs_mov_separ_signers/Liz_688.mov","MOV")</f>
        <v>21</v>
      </c>
      <c r="M3268" t="s" s="10">
        <v>84</v>
      </c>
      <c r="N3268" s="17">
        <v>19</v>
      </c>
      <c r="O3268" s="18">
        <v>2065</v>
      </c>
      <c r="P3268" s="18">
        <v>2150</v>
      </c>
      <c r="Q3268" s="15"/>
      <c r="R3268" t="s" s="16">
        <f>HYPERLINK("http://secrets.rutgers.edu:8080/data/asl-ftp/asllvd/demos/verify_start_end_handshape_annotations//test_auto_move//signs_mov_separ_signers/Liz_688.mov","MOV")</f>
        <v>21</v>
      </c>
    </row>
    <row r="3269" s="2" customFormat="1" ht="13.5" customHeight="1">
      <c r="B3269" s="13"/>
      <c r="C3269" t="s" s="9">
        <v>16</v>
      </c>
      <c r="D3269" t="s" s="8">
        <v>1123</v>
      </c>
      <c r="E3269" t="s" s="9">
        <v>1124</v>
      </c>
      <c r="F3269" t="s" s="10">
        <v>187</v>
      </c>
      <c r="G3269" s="14"/>
      <c r="H3269" t="s" s="10">
        <v>187</v>
      </c>
      <c r="I3269" s="14"/>
      <c r="J3269" t="s" s="11">
        <v>20</v>
      </c>
      <c r="K3269" s="15"/>
      <c r="L3269" t="s" s="16">
        <f>HYPERLINK("http://csr.bu.edu/ftp/asl/asllvd/demos/verify_start_end_handshape_annotations//test_auto_move//signs_mov_separ_signers/Liz_5727.mov","MOV")</f>
        <v>21</v>
      </c>
      <c r="M3269" t="s" s="10">
        <v>36</v>
      </c>
      <c r="N3269" s="17">
        <v>31</v>
      </c>
      <c r="O3269" s="18">
        <v>1084</v>
      </c>
      <c r="P3269" s="18">
        <v>1175</v>
      </c>
      <c r="Q3269" s="15"/>
      <c r="R3269" t="s" s="16">
        <f>HYPERLINK("http://secrets.rutgers.edu:8080/data/asl-ftp/asllvd/demos/verify_start_end_handshape_annotations//test_auto_move//signs_mov_separ_signers/Liz_5727.mov","MOV")</f>
        <v>21</v>
      </c>
    </row>
    <row r="3270" s="2" customFormat="1" ht="13.5" customHeight="1">
      <c r="B3270" s="13"/>
      <c r="C3270" t="s" s="9">
        <v>23</v>
      </c>
      <c r="D3270" t="s" s="8">
        <v>1123</v>
      </c>
      <c r="E3270" t="s" s="9">
        <v>1125</v>
      </c>
      <c r="F3270" t="s" s="10">
        <v>187</v>
      </c>
      <c r="G3270" s="14"/>
      <c r="H3270" t="s" s="10">
        <v>187</v>
      </c>
      <c r="I3270" s="14"/>
      <c r="J3270" t="s" s="11">
        <v>20</v>
      </c>
      <c r="K3270" t="s" s="16">
        <f>HYPERLINK("http://csr.bu.edu/ftp/asl/asllvd/demos/verify_start_end_handshape_annotations//test_auto_move//signs_mov/688_5727_merged.mov","MOV")</f>
        <v>21</v>
      </c>
      <c r="L3270" t="s" s="16">
        <f>HYPERLINK("http://csr.bu.edu/ftp/asl/asllvd/demos/verify_start_end_handshape_annotations//test_auto_move//signs_mov_separ_signers/Tyler_688.mov","MOV")</f>
        <v>21</v>
      </c>
      <c r="M3270" t="s" s="10">
        <v>125</v>
      </c>
      <c r="N3270" s="17">
        <v>18</v>
      </c>
      <c r="O3270" s="18">
        <v>1985</v>
      </c>
      <c r="P3270" s="18">
        <v>2036</v>
      </c>
      <c r="Q3270" t="s" s="16">
        <f>HYPERLINK("http://secrets.rutgers.edu:8080/data/asl-ftp/asllvd/demos/verify_start_end_handshape_annotations//test_auto_move//signs_mov/688_5727_merged.mov","MOV")</f>
        <v>21</v>
      </c>
      <c r="R3270" t="s" s="16">
        <f>HYPERLINK("http://secrets.rutgers.edu:8080/data/asl-ftp/asllvd/demos/verify_start_end_handshape_annotations//test_auto_move//signs_mov_separ_signers/Tyler_688.mov","MOV")</f>
        <v>21</v>
      </c>
    </row>
    <row r="3271" s="2" customFormat="1" ht="13.5" customHeight="1">
      <c r="B3271" s="13"/>
      <c r="C3271" t="s" s="9">
        <v>27</v>
      </c>
      <c r="D3271" t="s" s="8">
        <v>1123</v>
      </c>
      <c r="E3271" t="s" s="9">
        <v>1124</v>
      </c>
      <c r="F3271" t="s" s="10">
        <v>75</v>
      </c>
      <c r="G3271" s="14"/>
      <c r="H3271" t="s" s="10">
        <v>75</v>
      </c>
      <c r="I3271" s="14"/>
      <c r="J3271" t="s" s="11">
        <v>20</v>
      </c>
      <c r="K3271" s="15"/>
      <c r="L3271" t="s" s="16">
        <f>HYPERLINK("http://csr.bu.edu/ftp/asl/asllvd/demos/verify_start_end_handshape_annotations//test_auto_move//signs_mov_separ_signers/Naomi_688.mov","MOV")</f>
        <v>21</v>
      </c>
      <c r="M3271" t="s" s="10">
        <v>86</v>
      </c>
      <c r="N3271" s="17">
        <v>19</v>
      </c>
      <c r="O3271" s="18">
        <v>2345</v>
      </c>
      <c r="P3271" s="18">
        <v>2380</v>
      </c>
      <c r="Q3271" s="15"/>
      <c r="R3271" t="s" s="16">
        <f>HYPERLINK("http://secrets.rutgers.edu:8080/data/asl-ftp/asllvd/demos/verify_start_end_handshape_annotations//test_auto_move//signs_mov_separ_signers/Naomi_688.mov","MOV")</f>
        <v>21</v>
      </c>
    </row>
    <row r="3272" s="2" customFormat="1" ht="13.5" customHeight="1">
      <c r="B3272" s="13"/>
      <c r="C3272" t="s" s="9">
        <v>30</v>
      </c>
      <c r="D3272" t="s" s="8">
        <v>1123</v>
      </c>
      <c r="E3272" t="s" s="9">
        <v>1125</v>
      </c>
      <c r="F3272" s="19">
        <v>5</v>
      </c>
      <c r="G3272" s="14"/>
      <c r="H3272" t="s" s="10">
        <v>187</v>
      </c>
      <c r="I3272" s="14"/>
      <c r="J3272" t="s" s="11">
        <v>20</v>
      </c>
      <c r="K3272" s="15"/>
      <c r="L3272" t="s" s="16">
        <f>HYPERLINK("http://csr.bu.edu/ftp/asl/asllvd/demos/verify_start_end_handshape_annotations//test_auto_move//signs_mov_separ_signers/Brady_688.mov","MOV")</f>
        <v>21</v>
      </c>
      <c r="M3272" t="s" s="10">
        <v>31</v>
      </c>
      <c r="N3272" s="17">
        <v>35</v>
      </c>
      <c r="O3272" s="18">
        <v>5269</v>
      </c>
      <c r="P3272" s="18">
        <v>5335</v>
      </c>
      <c r="Q3272" s="15"/>
      <c r="R3272" t="s" s="16">
        <f>HYPERLINK("http://secrets.rutgers.edu:8080/data/asl-ftp/asllvd/demos/verify_start_end_handshape_annotations//test_auto_move//signs_mov_separ_signers/Brady_688.mov","MOV")</f>
        <v>21</v>
      </c>
    </row>
    <row r="3273" s="2" customFormat="1" ht="13.5" customHeight="1">
      <c r="B3273" s="13"/>
      <c r="C3273" t="s" s="9">
        <v>30</v>
      </c>
      <c r="D3273" t="s" s="8">
        <v>1123</v>
      </c>
      <c r="E3273" t="s" s="9">
        <v>1124</v>
      </c>
      <c r="F3273" t="s" s="10">
        <v>187</v>
      </c>
      <c r="G3273" s="14"/>
      <c r="H3273" t="s" s="10">
        <v>187</v>
      </c>
      <c r="I3273" s="14"/>
      <c r="J3273" t="s" s="11">
        <v>20</v>
      </c>
      <c r="K3273" s="15"/>
      <c r="L3273" t="s" s="16">
        <f>HYPERLINK("http://csr.bu.edu/ftp/asl/asllvd/demos/verify_start_end_handshape_annotations//test_auto_move//signs_mov_separ_signers/Brady_5727.mov","MOV")</f>
        <v>21</v>
      </c>
      <c r="M3273" t="s" s="10">
        <v>40</v>
      </c>
      <c r="N3273" s="17">
        <v>82</v>
      </c>
      <c r="O3273" s="18">
        <v>1406</v>
      </c>
      <c r="P3273" s="18">
        <v>1468</v>
      </c>
      <c r="Q3273" s="15"/>
      <c r="R3273" t="s" s="16">
        <f>HYPERLINK("http://secrets.rutgers.edu:8080/data/asl-ftp/asllvd/demos/verify_start_end_handshape_annotations//test_auto_move//signs_mov_separ_signers/Brady_5727.mov","MOV")</f>
        <v>21</v>
      </c>
    </row>
    <row r="3274" s="2" customFormat="1" ht="13.5" customHeight="1">
      <c r="B3274" t="s" s="8">
        <v>1126</v>
      </c>
      <c r="C3274" t="s" s="9">
        <v>14</v>
      </c>
      <c r="D3274" t="s" s="8">
        <v>14</v>
      </c>
      <c r="E3274" t="s" s="9">
        <v>14</v>
      </c>
      <c r="F3274" t="s" s="10">
        <v>14</v>
      </c>
      <c r="G3274" t="s" s="11">
        <v>14</v>
      </c>
      <c r="H3274" t="s" s="10">
        <v>14</v>
      </c>
      <c r="I3274" t="s" s="11">
        <v>14</v>
      </c>
      <c r="J3274" t="s" s="11">
        <v>14</v>
      </c>
      <c r="K3274" t="s" s="12">
        <v>14</v>
      </c>
      <c r="L3274" t="s" s="12">
        <v>14</v>
      </c>
      <c r="M3274" t="s" s="10">
        <v>14</v>
      </c>
      <c r="N3274" t="s" s="11">
        <v>14</v>
      </c>
      <c r="O3274" t="s" s="8">
        <v>14</v>
      </c>
      <c r="P3274" t="s" s="8">
        <v>14</v>
      </c>
      <c r="Q3274" t="s" s="12">
        <v>14</v>
      </c>
      <c r="R3274" t="s" s="12">
        <v>14</v>
      </c>
    </row>
    <row r="3275" s="2" customFormat="1" ht="13.5" customHeight="1">
      <c r="B3275" s="13"/>
      <c r="C3275" t="s" s="9">
        <v>16</v>
      </c>
      <c r="D3275" t="s" s="8">
        <v>1126</v>
      </c>
      <c r="E3275" t="s" s="9">
        <v>1126</v>
      </c>
      <c r="F3275" t="s" s="10">
        <v>85</v>
      </c>
      <c r="G3275" t="s" s="11">
        <v>109</v>
      </c>
      <c r="H3275" t="s" s="10">
        <v>85</v>
      </c>
      <c r="I3275" t="s" s="11">
        <v>73</v>
      </c>
      <c r="J3275" t="s" s="11">
        <v>20</v>
      </c>
      <c r="K3275" s="15"/>
      <c r="L3275" t="s" s="16">
        <f>HYPERLINK("http://csr.bu.edu/ftp/asl/asllvd/demos/verify_start_end_handshape_annotations//test_auto_move//signs_mov_separ_signers/Liz_689.mov","MOV")</f>
        <v>21</v>
      </c>
      <c r="M3275" t="s" s="10">
        <v>84</v>
      </c>
      <c r="N3275" s="17">
        <v>35</v>
      </c>
      <c r="O3275" s="18">
        <v>2310</v>
      </c>
      <c r="P3275" s="18">
        <v>2340</v>
      </c>
      <c r="Q3275" s="15"/>
      <c r="R3275" t="s" s="16">
        <f>HYPERLINK("http://secrets.rutgers.edu:8080/data/asl-ftp/asllvd/demos/verify_start_end_handshape_annotations//test_auto_move//signs_mov_separ_signers/Liz_689.mov","MOV")</f>
        <v>21</v>
      </c>
    </row>
    <row r="3276" s="2" customFormat="1" ht="13.5" customHeight="1">
      <c r="B3276" s="13"/>
      <c r="C3276" t="s" s="9">
        <v>16</v>
      </c>
      <c r="D3276" t="s" s="8">
        <v>1126</v>
      </c>
      <c r="E3276" t="s" s="9">
        <v>1126</v>
      </c>
      <c r="F3276" t="s" s="10">
        <v>80</v>
      </c>
      <c r="G3276" t="s" s="11">
        <v>73</v>
      </c>
      <c r="H3276" t="s" s="10">
        <v>80</v>
      </c>
      <c r="I3276" t="s" s="11">
        <v>73</v>
      </c>
      <c r="J3276" t="s" s="11">
        <v>20</v>
      </c>
      <c r="K3276" s="15"/>
      <c r="L3276" t="s" s="16">
        <f>HYPERLINK("http://csr.bu.edu/ftp/asl/asllvd/demos/verify_start_end_handshape_annotations//test_auto_move//signs_mov_separ_signers/Liz_3628.mov","MOV")</f>
        <v>21</v>
      </c>
      <c r="M3276" t="s" s="10">
        <v>84</v>
      </c>
      <c r="N3276" s="17">
        <v>36</v>
      </c>
      <c r="O3276" s="18">
        <v>287</v>
      </c>
      <c r="P3276" s="18">
        <v>332</v>
      </c>
      <c r="Q3276" s="15"/>
      <c r="R3276" t="s" s="16">
        <f>HYPERLINK("http://secrets.rutgers.edu:8080/data/asl-ftp/asllvd/demos/verify_start_end_handshape_annotations//test_auto_move//signs_mov_separ_signers/Liz_3628.mov","MOV")</f>
        <v>21</v>
      </c>
    </row>
    <row r="3277" s="2" customFormat="1" ht="13.5" customHeight="1">
      <c r="B3277" s="13"/>
      <c r="C3277" t="s" s="9">
        <v>16</v>
      </c>
      <c r="D3277" t="s" s="8">
        <v>1126</v>
      </c>
      <c r="E3277" t="s" s="9">
        <v>1126</v>
      </c>
      <c r="F3277" t="s" s="10">
        <v>85</v>
      </c>
      <c r="G3277" t="s" s="11">
        <v>73</v>
      </c>
      <c r="H3277" t="s" s="10">
        <v>85</v>
      </c>
      <c r="I3277" t="s" s="11">
        <v>73</v>
      </c>
      <c r="J3277" t="s" s="11">
        <v>20</v>
      </c>
      <c r="K3277" s="15"/>
      <c r="L3277" t="s" s="16">
        <f>HYPERLINK("http://csr.bu.edu/ftp/asl/asllvd/demos/verify_start_end_handshape_annotations//test_auto_move//signs_mov_separ_signers/Liz_3629.mov","MOV")</f>
        <v>21</v>
      </c>
      <c r="M3277" t="s" s="10">
        <v>84</v>
      </c>
      <c r="N3277" s="17">
        <v>47</v>
      </c>
      <c r="O3277" s="18">
        <v>2370</v>
      </c>
      <c r="P3277" s="18">
        <v>2420</v>
      </c>
      <c r="Q3277" s="15"/>
      <c r="R3277" t="s" s="16">
        <f>HYPERLINK("http://secrets.rutgers.edu:8080/data/asl-ftp/asllvd/demos/verify_start_end_handshape_annotations//test_auto_move//signs_mov_separ_signers/Liz_3629.mov","MOV")</f>
        <v>21</v>
      </c>
    </row>
    <row r="3278" s="2" customFormat="1" ht="13.5" customHeight="1">
      <c r="B3278" s="13"/>
      <c r="C3278" t="s" s="9">
        <v>16</v>
      </c>
      <c r="D3278" t="s" s="8">
        <v>1126</v>
      </c>
      <c r="E3278" t="s" s="9">
        <v>1126</v>
      </c>
      <c r="F3278" t="s" s="10">
        <v>85</v>
      </c>
      <c r="G3278" t="s" s="11">
        <v>73</v>
      </c>
      <c r="H3278" t="s" s="10">
        <v>85</v>
      </c>
      <c r="I3278" t="s" s="11">
        <v>73</v>
      </c>
      <c r="J3278" t="s" s="11">
        <v>20</v>
      </c>
      <c r="K3278" s="15"/>
      <c r="L3278" t="s" s="16">
        <f>HYPERLINK("http://csr.bu.edu/ftp/asl/asllvd/demos/verify_start_end_handshape_annotations//test_auto_move//signs_mov_separ_signers/Liz_3637.mov","MOV")</f>
        <v>21</v>
      </c>
      <c r="M3278" t="s" s="10">
        <v>84</v>
      </c>
      <c r="N3278" s="17">
        <v>48</v>
      </c>
      <c r="O3278" s="18">
        <v>160</v>
      </c>
      <c r="P3278" s="18">
        <v>200</v>
      </c>
      <c r="Q3278" s="15"/>
      <c r="R3278" t="s" s="16">
        <f>HYPERLINK("http://secrets.rutgers.edu:8080/data/asl-ftp/asllvd/demos/verify_start_end_handshape_annotations//test_auto_move//signs_mov_separ_signers/Liz_3637.mov","MOV")</f>
        <v>21</v>
      </c>
    </row>
    <row r="3279" s="2" customFormat="1" ht="13.5" customHeight="1">
      <c r="B3279" s="13"/>
      <c r="C3279" t="s" s="9">
        <v>23</v>
      </c>
      <c r="D3279" t="s" s="8">
        <v>1126</v>
      </c>
      <c r="E3279" t="s" s="9">
        <v>1126</v>
      </c>
      <c r="F3279" t="s" s="10">
        <v>260</v>
      </c>
      <c r="G3279" t="s" s="11">
        <v>73</v>
      </c>
      <c r="H3279" t="s" s="10">
        <v>260</v>
      </c>
      <c r="I3279" t="s" s="11">
        <v>73</v>
      </c>
      <c r="J3279" t="s" s="11">
        <v>20</v>
      </c>
      <c r="K3279" s="15"/>
      <c r="L3279" t="s" s="16">
        <f>HYPERLINK("http://csr.bu.edu/ftp/asl/asllvd/demos/verify_start_end_handshape_annotations//test_auto_move//signs_mov_separ_signers/Tyler_689.mov","MOV")</f>
        <v>21</v>
      </c>
      <c r="M3279" t="s" s="10">
        <v>92</v>
      </c>
      <c r="N3279" s="17">
        <v>15</v>
      </c>
      <c r="O3279" s="18">
        <v>2920</v>
      </c>
      <c r="P3279" s="18">
        <v>2957</v>
      </c>
      <c r="Q3279" s="15"/>
      <c r="R3279" t="s" s="16">
        <f>HYPERLINK("http://secrets.rutgers.edu:8080/data/asl-ftp/asllvd/demos/verify_start_end_handshape_annotations//test_auto_move//signs_mov_separ_signers/Tyler_689.mov","MOV")</f>
        <v>21</v>
      </c>
    </row>
    <row r="3280" s="2" customFormat="1" ht="13.5" customHeight="1">
      <c r="B3280" s="13"/>
      <c r="C3280" t="s" s="9">
        <v>23</v>
      </c>
      <c r="D3280" t="s" s="8">
        <v>1126</v>
      </c>
      <c r="E3280" t="s" s="9">
        <v>1126</v>
      </c>
      <c r="F3280" t="s" s="10">
        <v>150</v>
      </c>
      <c r="G3280" t="s" s="11">
        <v>73</v>
      </c>
      <c r="H3280" t="s" s="10">
        <v>150</v>
      </c>
      <c r="I3280" t="s" s="11">
        <v>73</v>
      </c>
      <c r="J3280" t="s" s="11">
        <v>20</v>
      </c>
      <c r="K3280" s="15"/>
      <c r="L3280" t="s" s="16">
        <f>HYPERLINK("http://csr.bu.edu/ftp/asl/asllvd/demos/verify_start_end_handshape_annotations//test_auto_move//signs_mov_separ_signers/Tyler_3628.mov","MOV")</f>
        <v>21</v>
      </c>
      <c r="M3280" t="s" s="10">
        <v>92</v>
      </c>
      <c r="N3280" s="17">
        <v>15</v>
      </c>
      <c r="O3280" s="18">
        <v>3210</v>
      </c>
      <c r="P3280" s="18">
        <v>3236</v>
      </c>
      <c r="Q3280" s="15"/>
      <c r="R3280" t="s" s="16">
        <f>HYPERLINK("http://secrets.rutgers.edu:8080/data/asl-ftp/asllvd/demos/verify_start_end_handshape_annotations//test_auto_move//signs_mov_separ_signers/Tyler_3628.mov","MOV")</f>
        <v>21</v>
      </c>
    </row>
    <row r="3281" s="2" customFormat="1" ht="13.5" customHeight="1">
      <c r="B3281" s="13"/>
      <c r="C3281" t="s" s="9">
        <v>27</v>
      </c>
      <c r="D3281" t="s" s="8">
        <v>1126</v>
      </c>
      <c r="E3281" t="s" s="9">
        <v>1126</v>
      </c>
      <c r="F3281" t="s" s="10">
        <v>85</v>
      </c>
      <c r="G3281" t="s" s="11">
        <v>73</v>
      </c>
      <c r="H3281" t="s" s="10">
        <v>85</v>
      </c>
      <c r="I3281" t="s" s="11">
        <v>73</v>
      </c>
      <c r="J3281" t="s" s="11">
        <v>20</v>
      </c>
      <c r="K3281" s="15"/>
      <c r="L3281" t="s" s="16">
        <f>HYPERLINK("http://csr.bu.edu/ftp/asl/asllvd/demos/verify_start_end_handshape_annotations//test_auto_move//signs_mov_separ_signers/Naomi_689.mov","MOV")</f>
        <v>21</v>
      </c>
      <c r="M3281" t="s" s="10">
        <v>86</v>
      </c>
      <c r="N3281" s="17">
        <v>35</v>
      </c>
      <c r="O3281" s="18">
        <v>2080</v>
      </c>
      <c r="P3281" s="18">
        <v>2101</v>
      </c>
      <c r="Q3281" s="15"/>
      <c r="R3281" t="s" s="16">
        <f>HYPERLINK("http://secrets.rutgers.edu:8080/data/asl-ftp/asllvd/demos/verify_start_end_handshape_annotations//test_auto_move//signs_mov_separ_signers/Naomi_689.mov","MOV")</f>
        <v>21</v>
      </c>
    </row>
    <row r="3282" s="2" customFormat="1" ht="13.5" customHeight="1">
      <c r="B3282" s="13"/>
      <c r="C3282" t="s" s="9">
        <v>27</v>
      </c>
      <c r="D3282" t="s" s="8">
        <v>1126</v>
      </c>
      <c r="E3282" t="s" s="9">
        <v>1126</v>
      </c>
      <c r="F3282" t="s" s="10">
        <v>80</v>
      </c>
      <c r="G3282" t="s" s="11">
        <v>73</v>
      </c>
      <c r="H3282" t="s" s="10">
        <v>80</v>
      </c>
      <c r="I3282" t="s" s="11">
        <v>73</v>
      </c>
      <c r="J3282" t="s" s="11">
        <v>20</v>
      </c>
      <c r="K3282" t="s" s="16">
        <f>HYPERLINK("http://csr.bu.edu/ftp/asl/asllvd/demos/verify_start_end_handshape_annotations//test_auto_move//signs_mov/689_3628_3629_3637_merged.mov","MOV")</f>
        <v>21</v>
      </c>
      <c r="L3282" t="s" s="16">
        <f>HYPERLINK("http://csr.bu.edu/ftp/asl/asllvd/demos/verify_start_end_handshape_annotations//test_auto_move//signs_mov_separ_signers/Naomi_3628.mov","MOV")</f>
        <v>21</v>
      </c>
      <c r="M3282" t="s" s="10">
        <v>86</v>
      </c>
      <c r="N3282" s="17">
        <v>35</v>
      </c>
      <c r="O3282" s="18">
        <v>2345</v>
      </c>
      <c r="P3282" s="18">
        <v>2372</v>
      </c>
      <c r="Q3282" t="s" s="16">
        <f>HYPERLINK("http://secrets.rutgers.edu:8080/data/asl-ftp/asllvd/demos/verify_start_end_handshape_annotations//test_auto_move//signs_mov/689_3628_3629_3637_merged.mov","MOV")</f>
        <v>21</v>
      </c>
      <c r="R3282" t="s" s="16">
        <f>HYPERLINK("http://secrets.rutgers.edu:8080/data/asl-ftp/asllvd/demos/verify_start_end_handshape_annotations//test_auto_move//signs_mov_separ_signers/Naomi_3628.mov","MOV")</f>
        <v>21</v>
      </c>
    </row>
    <row r="3283" s="2" customFormat="1" ht="13.5" customHeight="1">
      <c r="B3283" s="13"/>
      <c r="C3283" t="s" s="9">
        <v>27</v>
      </c>
      <c r="D3283" t="s" s="8">
        <v>1126</v>
      </c>
      <c r="E3283" t="s" s="9">
        <v>1126</v>
      </c>
      <c r="F3283" t="s" s="10">
        <v>85</v>
      </c>
      <c r="G3283" t="s" s="11">
        <v>73</v>
      </c>
      <c r="H3283" t="s" s="10">
        <v>85</v>
      </c>
      <c r="I3283" t="s" s="11">
        <v>73</v>
      </c>
      <c r="J3283" t="s" s="11">
        <v>20</v>
      </c>
      <c r="K3283" s="15"/>
      <c r="L3283" t="s" s="16">
        <f>HYPERLINK("http://csr.bu.edu/ftp/asl/asllvd/demos/verify_start_end_handshape_annotations//test_auto_move//signs_mov_separ_signers/Naomi_3629.mov","MOV")</f>
        <v>21</v>
      </c>
      <c r="M3283" t="s" s="10">
        <v>86</v>
      </c>
      <c r="N3283" s="17">
        <v>47</v>
      </c>
      <c r="O3283" s="18">
        <v>2685</v>
      </c>
      <c r="P3283" s="18">
        <v>2715</v>
      </c>
      <c r="Q3283" s="15"/>
      <c r="R3283" t="s" s="16">
        <f>HYPERLINK("http://secrets.rutgers.edu:8080/data/asl-ftp/asllvd/demos/verify_start_end_handshape_annotations//test_auto_move//signs_mov_separ_signers/Naomi_3629.mov","MOV")</f>
        <v>21</v>
      </c>
    </row>
    <row r="3284" s="2" customFormat="1" ht="13.5" customHeight="1">
      <c r="B3284" s="13"/>
      <c r="C3284" t="s" s="9">
        <v>27</v>
      </c>
      <c r="D3284" t="s" s="8">
        <v>1126</v>
      </c>
      <c r="E3284" t="s" s="9">
        <v>1126</v>
      </c>
      <c r="F3284" t="s" s="10">
        <v>85</v>
      </c>
      <c r="G3284" t="s" s="11">
        <v>73</v>
      </c>
      <c r="H3284" t="s" s="10">
        <v>85</v>
      </c>
      <c r="I3284" t="s" s="11">
        <v>73</v>
      </c>
      <c r="J3284" t="s" s="11">
        <v>20</v>
      </c>
      <c r="K3284" s="15"/>
      <c r="L3284" t="s" s="16">
        <f>HYPERLINK("http://csr.bu.edu/ftp/asl/asllvd/demos/verify_start_end_handshape_annotations//test_auto_move//signs_mov_separ_signers/Naomi_3637.mov","MOV")</f>
        <v>21</v>
      </c>
      <c r="M3284" t="s" s="10">
        <v>86</v>
      </c>
      <c r="N3284" s="17">
        <v>47</v>
      </c>
      <c r="O3284" s="18">
        <v>2975</v>
      </c>
      <c r="P3284" s="18">
        <v>3010</v>
      </c>
      <c r="Q3284" s="15"/>
      <c r="R3284" t="s" s="16">
        <f>HYPERLINK("http://secrets.rutgers.edu:8080/data/asl-ftp/asllvd/demos/verify_start_end_handshape_annotations//test_auto_move//signs_mov_separ_signers/Naomi_3637.mov","MOV")</f>
        <v>21</v>
      </c>
    </row>
    <row r="3285" s="2" customFormat="1" ht="13.5" customHeight="1">
      <c r="B3285" s="13"/>
      <c r="C3285" t="s" s="9">
        <v>30</v>
      </c>
      <c r="D3285" t="s" s="8">
        <v>1126</v>
      </c>
      <c r="E3285" t="s" s="9">
        <v>1126</v>
      </c>
      <c r="F3285" t="s" s="10">
        <v>80</v>
      </c>
      <c r="G3285" t="s" s="11">
        <v>73</v>
      </c>
      <c r="H3285" t="s" s="10">
        <v>80</v>
      </c>
      <c r="I3285" t="s" s="11">
        <v>73</v>
      </c>
      <c r="J3285" t="s" s="11">
        <v>20</v>
      </c>
      <c r="K3285" s="15"/>
      <c r="L3285" t="s" s="16">
        <f>HYPERLINK("http://csr.bu.edu/ftp/asl/asllvd/demos/verify_start_end_handshape_annotations//test_auto_move//signs_mov_separ_signers/Brady_689.mov","MOV")</f>
        <v>21</v>
      </c>
      <c r="M3285" t="s" s="10">
        <v>31</v>
      </c>
      <c r="N3285" s="17">
        <v>36</v>
      </c>
      <c r="O3285" s="18">
        <v>2175</v>
      </c>
      <c r="P3285" s="18">
        <v>2195</v>
      </c>
      <c r="Q3285" s="15"/>
      <c r="R3285" t="s" s="16">
        <f>HYPERLINK("http://secrets.rutgers.edu:8080/data/asl-ftp/asllvd/demos/verify_start_end_handshape_annotations//test_auto_move//signs_mov_separ_signers/Brady_689.mov","MOV")</f>
        <v>21</v>
      </c>
    </row>
    <row r="3286" s="2" customFormat="1" ht="13.5" customHeight="1">
      <c r="B3286" s="13"/>
      <c r="C3286" t="s" s="9">
        <v>30</v>
      </c>
      <c r="D3286" t="s" s="8">
        <v>1126</v>
      </c>
      <c r="E3286" t="s" s="9">
        <v>1126</v>
      </c>
      <c r="F3286" t="s" s="10">
        <v>85</v>
      </c>
      <c r="G3286" t="s" s="11">
        <v>73</v>
      </c>
      <c r="H3286" t="s" s="10">
        <v>85</v>
      </c>
      <c r="I3286" t="s" s="11">
        <v>73</v>
      </c>
      <c r="J3286" t="s" s="11">
        <v>20</v>
      </c>
      <c r="K3286" s="15"/>
      <c r="L3286" t="s" s="16">
        <f>HYPERLINK("http://csr.bu.edu/ftp/asl/asllvd/demos/verify_start_end_handshape_annotations//test_auto_move//signs_mov_separ_signers/Brady_3628.mov","MOV")</f>
        <v>21</v>
      </c>
      <c r="M3286" t="s" s="10">
        <v>39</v>
      </c>
      <c r="N3286" s="17">
        <v>14</v>
      </c>
      <c r="O3286" s="18">
        <v>4180</v>
      </c>
      <c r="P3286" s="18">
        <v>4202</v>
      </c>
      <c r="Q3286" s="15"/>
      <c r="R3286" t="s" s="16">
        <f>HYPERLINK("http://secrets.rutgers.edu:8080/data/asl-ftp/asllvd/demos/verify_start_end_handshape_annotations//test_auto_move//signs_mov_separ_signers/Brady_3628.mov","MOV")</f>
        <v>21</v>
      </c>
    </row>
    <row r="3287" s="2" customFormat="1" ht="13.5" customHeight="1">
      <c r="B3287" s="13"/>
      <c r="C3287" t="s" s="9">
        <v>30</v>
      </c>
      <c r="D3287" t="s" s="8">
        <v>1126</v>
      </c>
      <c r="E3287" t="s" s="9">
        <v>1126</v>
      </c>
      <c r="F3287" t="s" s="10">
        <v>85</v>
      </c>
      <c r="G3287" t="s" s="11">
        <v>73</v>
      </c>
      <c r="H3287" t="s" s="10">
        <v>85</v>
      </c>
      <c r="I3287" t="s" s="11">
        <v>73</v>
      </c>
      <c r="J3287" t="s" s="11">
        <v>20</v>
      </c>
      <c r="K3287" s="15"/>
      <c r="L3287" t="s" s="16">
        <f>HYPERLINK("http://csr.bu.edu/ftp/asl/asllvd/demos/verify_start_end_handshape_annotations//test_auto_move//signs_mov_separ_signers/Brady_3629.mov","MOV")</f>
        <v>21</v>
      </c>
      <c r="M3287" t="s" s="10">
        <v>39</v>
      </c>
      <c r="N3287" s="17">
        <v>21</v>
      </c>
      <c r="O3287" s="18">
        <v>7561</v>
      </c>
      <c r="P3287" s="18">
        <v>7588</v>
      </c>
      <c r="Q3287" s="15"/>
      <c r="R3287" t="s" s="16">
        <f>HYPERLINK("http://secrets.rutgers.edu:8080/data/asl-ftp/asllvd/demos/verify_start_end_handshape_annotations//test_auto_move//signs_mov_separ_signers/Brady_3629.mov","MOV")</f>
        <v>21</v>
      </c>
    </row>
    <row r="3288" s="2" customFormat="1" ht="13.5" customHeight="1">
      <c r="B3288" s="13"/>
      <c r="C3288" t="s" s="9">
        <v>30</v>
      </c>
      <c r="D3288" t="s" s="8">
        <v>1126</v>
      </c>
      <c r="E3288" t="s" s="9">
        <v>1126</v>
      </c>
      <c r="F3288" t="s" s="10">
        <v>85</v>
      </c>
      <c r="G3288" t="s" s="11">
        <v>73</v>
      </c>
      <c r="H3288" t="s" s="10">
        <v>85</v>
      </c>
      <c r="I3288" t="s" s="11">
        <v>73</v>
      </c>
      <c r="J3288" t="s" s="11">
        <v>20</v>
      </c>
      <c r="K3288" s="15"/>
      <c r="L3288" t="s" s="16">
        <f>HYPERLINK("http://csr.bu.edu/ftp/asl/asllvd/demos/verify_start_end_handshape_annotations//test_auto_move//signs_mov_separ_signers/Brady_3637.mov","MOV")</f>
        <v>21</v>
      </c>
      <c r="M3288" t="s" s="10">
        <v>39</v>
      </c>
      <c r="N3288" s="17">
        <v>21</v>
      </c>
      <c r="O3288" s="18">
        <v>7810</v>
      </c>
      <c r="P3288" s="18">
        <v>7836</v>
      </c>
      <c r="Q3288" s="15"/>
      <c r="R3288" t="s" s="16">
        <f>HYPERLINK("http://secrets.rutgers.edu:8080/data/asl-ftp/asllvd/demos/verify_start_end_handshape_annotations//test_auto_move//signs_mov_separ_signers/Brady_3637.mov","MOV")</f>
        <v>21</v>
      </c>
    </row>
    <row r="3289" s="2" customFormat="1" ht="13.5" customHeight="1">
      <c r="B3289" s="13"/>
      <c r="C3289" t="s" s="9">
        <v>41</v>
      </c>
      <c r="D3289" t="s" s="8">
        <v>1126</v>
      </c>
      <c r="E3289" t="s" s="9">
        <v>1126</v>
      </c>
      <c r="F3289" t="s" s="10">
        <v>80</v>
      </c>
      <c r="G3289" t="s" s="11">
        <v>73</v>
      </c>
      <c r="H3289" t="s" s="10">
        <v>80</v>
      </c>
      <c r="I3289" t="s" s="11">
        <v>73</v>
      </c>
      <c r="J3289" t="s" s="11">
        <v>20</v>
      </c>
      <c r="K3289" s="15"/>
      <c r="L3289" t="s" s="16">
        <f>HYPERLINK("http://csr.bu.edu/ftp/asl/asllvd/demos/verify_start_end_handshape_annotations//test_auto_move//signs_mov_separ_signers/Lana_689.mov","MOV")</f>
        <v>21</v>
      </c>
      <c r="M3289" t="s" s="10">
        <v>42</v>
      </c>
      <c r="N3289" s="17">
        <v>9</v>
      </c>
      <c r="O3289" s="18">
        <v>482</v>
      </c>
      <c r="P3289" s="18">
        <v>513</v>
      </c>
      <c r="Q3289" s="15"/>
      <c r="R3289" t="s" s="16">
        <f>HYPERLINK("http://secrets.rutgers.edu:8080/data/asl-ftp/asllvd/demos/verify_start_end_handshape_annotations//test_auto_move//signs_mov_separ_signers/Lana_689.mov","MOV")</f>
        <v>21</v>
      </c>
    </row>
    <row r="3290" s="2" customFormat="1" ht="13.5" customHeight="1">
      <c r="B3290" s="13"/>
      <c r="C3290" t="s" s="9">
        <v>43</v>
      </c>
      <c r="D3290" t="s" s="8">
        <v>1126</v>
      </c>
      <c r="E3290" t="s" s="9">
        <v>1126</v>
      </c>
      <c r="F3290" t="s" s="10">
        <v>85</v>
      </c>
      <c r="G3290" t="s" s="11">
        <v>73</v>
      </c>
      <c r="H3290" t="s" s="10">
        <v>85</v>
      </c>
      <c r="I3290" t="s" s="11">
        <v>73</v>
      </c>
      <c r="J3290" t="s" s="11">
        <v>20</v>
      </c>
      <c r="K3290" s="15"/>
      <c r="L3290" t="s" s="16">
        <f>HYPERLINK("http://csr.bu.edu/ftp/asl/asllvd/demos/verify_start_end_handshape_annotations//test_auto_move//signs_mov_separ_signers/Dana_689.mov","MOV")</f>
        <v>21</v>
      </c>
      <c r="M3290" t="s" s="10">
        <v>44</v>
      </c>
      <c r="N3290" s="17">
        <v>13</v>
      </c>
      <c r="O3290" s="18">
        <v>479</v>
      </c>
      <c r="P3290" s="18">
        <v>542</v>
      </c>
      <c r="Q3290" s="15"/>
      <c r="R3290" t="s" s="16">
        <f>HYPERLINK("http://secrets.rutgers.edu:8080/data/asl-ftp/asllvd/demos/verify_start_end_handshape_annotations//test_auto_move//signs_mov_separ_signers/Dana_689.mov","MOV")</f>
        <v>21</v>
      </c>
    </row>
    <row r="3291" s="2" customFormat="1" ht="13.5" customHeight="1">
      <c r="B3291" t="s" s="8">
        <v>1127</v>
      </c>
      <c r="C3291" t="s" s="9">
        <v>14</v>
      </c>
      <c r="D3291" t="s" s="8">
        <v>14</v>
      </c>
      <c r="E3291" t="s" s="9">
        <v>14</v>
      </c>
      <c r="F3291" t="s" s="10">
        <v>14</v>
      </c>
      <c r="G3291" t="s" s="11">
        <v>14</v>
      </c>
      <c r="H3291" t="s" s="10">
        <v>14</v>
      </c>
      <c r="I3291" t="s" s="11">
        <v>14</v>
      </c>
      <c r="J3291" t="s" s="11">
        <v>14</v>
      </c>
      <c r="K3291" t="s" s="12">
        <v>14</v>
      </c>
      <c r="L3291" t="s" s="12">
        <v>14</v>
      </c>
      <c r="M3291" t="s" s="10">
        <v>14</v>
      </c>
      <c r="N3291" t="s" s="11">
        <v>14</v>
      </c>
      <c r="O3291" t="s" s="8">
        <v>14</v>
      </c>
      <c r="P3291" t="s" s="8">
        <v>14</v>
      </c>
      <c r="Q3291" t="s" s="12">
        <v>14</v>
      </c>
      <c r="R3291" t="s" s="12">
        <v>14</v>
      </c>
    </row>
    <row r="3292" s="2" customFormat="1" ht="13.5" customHeight="1">
      <c r="B3292" s="13"/>
      <c r="C3292" t="s" s="9">
        <v>16</v>
      </c>
      <c r="D3292" t="s" s="8">
        <v>1127</v>
      </c>
      <c r="E3292" t="s" s="9">
        <v>1127</v>
      </c>
      <c r="F3292" t="s" s="10">
        <v>85</v>
      </c>
      <c r="G3292" t="s" s="11">
        <v>73</v>
      </c>
      <c r="H3292" t="s" s="10">
        <v>85</v>
      </c>
      <c r="I3292" t="s" s="11">
        <v>73</v>
      </c>
      <c r="J3292" t="s" s="11">
        <v>20</v>
      </c>
      <c r="K3292" s="15"/>
      <c r="L3292" t="s" s="16">
        <f>HYPERLINK("http://csr.bu.edu/ftp/asl/asllvd/demos/verify_start_end_handshape_annotations//test_auto_move//signs_mov_separ_signers/Liz_3638.mov","MOV")</f>
        <v>21</v>
      </c>
      <c r="M3292" t="s" s="10">
        <v>84</v>
      </c>
      <c r="N3292" s="17">
        <v>19</v>
      </c>
      <c r="O3292" s="18">
        <v>2267</v>
      </c>
      <c r="P3292" s="18">
        <v>2295</v>
      </c>
      <c r="Q3292" s="15"/>
      <c r="R3292" t="s" s="16">
        <f>HYPERLINK("http://secrets.rutgers.edu:8080/data/asl-ftp/asllvd/demos/verify_start_end_handshape_annotations//test_auto_move//signs_mov_separ_signers/Liz_3638.mov","MOV")</f>
        <v>21</v>
      </c>
    </row>
    <row r="3293" s="2" customFormat="1" ht="13.5" customHeight="1">
      <c r="B3293" s="13"/>
      <c r="C3293" t="s" s="9">
        <v>16</v>
      </c>
      <c r="D3293" t="s" s="8">
        <v>1127</v>
      </c>
      <c r="E3293" t="s" s="9">
        <v>1127</v>
      </c>
      <c r="F3293" t="s" s="10">
        <v>73</v>
      </c>
      <c r="G3293" t="s" s="11">
        <v>73</v>
      </c>
      <c r="H3293" t="s" s="10">
        <v>73</v>
      </c>
      <c r="I3293" t="s" s="11">
        <v>73</v>
      </c>
      <c r="J3293" t="s" s="11">
        <v>20</v>
      </c>
      <c r="K3293" s="15"/>
      <c r="L3293" t="s" s="16">
        <f>HYPERLINK("http://csr.bu.edu/ftp/asl/asllvd/demos/verify_start_end_handshape_annotations//test_auto_move//signs_mov_separ_signers/Liz_5322.mov","MOV")</f>
        <v>21</v>
      </c>
      <c r="M3293" t="s" s="10">
        <v>34</v>
      </c>
      <c r="N3293" s="17">
        <v>44</v>
      </c>
      <c r="O3293" s="18">
        <v>2197</v>
      </c>
      <c r="P3293" s="18">
        <v>2240</v>
      </c>
      <c r="Q3293" s="15"/>
      <c r="R3293" t="s" s="16">
        <f>HYPERLINK("http://secrets.rutgers.edu:8080/data/asl-ftp/asllvd/demos/verify_start_end_handshape_annotations//test_auto_move//signs_mov_separ_signers/Liz_5322.mov","MOV")</f>
        <v>21</v>
      </c>
    </row>
    <row r="3294" s="2" customFormat="1" ht="13.5" customHeight="1">
      <c r="B3294" s="13"/>
      <c r="C3294" t="s" s="9">
        <v>23</v>
      </c>
      <c r="D3294" t="s" s="8">
        <v>1127</v>
      </c>
      <c r="E3294" t="s" s="9">
        <v>1127</v>
      </c>
      <c r="F3294" t="s" s="10">
        <v>73</v>
      </c>
      <c r="G3294" t="s" s="11">
        <v>73</v>
      </c>
      <c r="H3294" t="s" s="10">
        <v>73</v>
      </c>
      <c r="I3294" t="s" s="11">
        <v>73</v>
      </c>
      <c r="J3294" t="s" s="11">
        <v>20</v>
      </c>
      <c r="K3294" s="15"/>
      <c r="L3294" t="s" s="16">
        <f>HYPERLINK("http://csr.bu.edu/ftp/asl/asllvd/demos/verify_start_end_handshape_annotations//test_auto_move//signs_mov_separ_signers/Tyler_3638.mov","MOV")</f>
        <v>21</v>
      </c>
      <c r="M3294" t="s" s="10">
        <v>125</v>
      </c>
      <c r="N3294" s="17">
        <v>18</v>
      </c>
      <c r="O3294" s="18">
        <v>2320</v>
      </c>
      <c r="P3294" s="18">
        <v>2346</v>
      </c>
      <c r="Q3294" s="15"/>
      <c r="R3294" t="s" s="16">
        <f>HYPERLINK("http://secrets.rutgers.edu:8080/data/asl-ftp/asllvd/demos/verify_start_end_handshape_annotations//test_auto_move//signs_mov_separ_signers/Tyler_3638.mov","MOV")</f>
        <v>21</v>
      </c>
    </row>
    <row r="3295" s="2" customFormat="1" ht="13.5" customHeight="1">
      <c r="B3295" s="13"/>
      <c r="C3295" t="s" s="9">
        <v>23</v>
      </c>
      <c r="D3295" t="s" s="8">
        <v>1127</v>
      </c>
      <c r="E3295" t="s" s="9">
        <v>1127</v>
      </c>
      <c r="F3295" t="s" s="10">
        <v>85</v>
      </c>
      <c r="G3295" t="s" s="11">
        <v>73</v>
      </c>
      <c r="H3295" t="s" s="10">
        <v>85</v>
      </c>
      <c r="I3295" t="s" s="11">
        <v>73</v>
      </c>
      <c r="J3295" t="s" s="11">
        <v>20</v>
      </c>
      <c r="K3295" s="15"/>
      <c r="L3295" t="s" s="16">
        <f>HYPERLINK("http://csr.bu.edu/ftp/asl/asllvd/demos/verify_start_end_handshape_annotations//test_auto_move//signs_mov_separ_signers/Tyler_5322.mov","MOV")</f>
        <v>21</v>
      </c>
      <c r="M3295" t="s" s="10">
        <v>92</v>
      </c>
      <c r="N3295" s="17">
        <v>27</v>
      </c>
      <c r="O3295" s="18">
        <v>2575</v>
      </c>
      <c r="P3295" s="18">
        <v>2605</v>
      </c>
      <c r="Q3295" s="15"/>
      <c r="R3295" t="s" s="16">
        <f>HYPERLINK("http://secrets.rutgers.edu:8080/data/asl-ftp/asllvd/demos/verify_start_end_handshape_annotations//test_auto_move//signs_mov_separ_signers/Tyler_5322.mov","MOV")</f>
        <v>21</v>
      </c>
    </row>
    <row r="3296" s="2" customFormat="1" ht="13.5" customHeight="1">
      <c r="B3296" s="13"/>
      <c r="C3296" t="s" s="9">
        <v>23</v>
      </c>
      <c r="D3296" t="s" s="8">
        <v>1127</v>
      </c>
      <c r="E3296" t="s" s="9">
        <v>1127</v>
      </c>
      <c r="F3296" t="s" s="10">
        <v>55</v>
      </c>
      <c r="G3296" t="s" s="11">
        <v>73</v>
      </c>
      <c r="H3296" t="s" s="10">
        <v>55</v>
      </c>
      <c r="I3296" t="s" s="11">
        <v>73</v>
      </c>
      <c r="J3296" t="s" s="11">
        <v>20</v>
      </c>
      <c r="K3296" t="s" s="16">
        <f>HYPERLINK("http://csr.bu.edu/ftp/asl/asllvd/demos/verify_start_end_handshape_annotations//test_auto_move//signs_mov/3638_5322_16338_merged.mov","MOV")</f>
        <v>21</v>
      </c>
      <c r="L3296" t="s" s="16">
        <f>HYPERLINK("http://csr.bu.edu/ftp/asl/asllvd/demos/verify_start_end_handshape_annotations//test_auto_move//signs_mov_separ_signers/Tyler_16338.mov","MOV")</f>
        <v>21</v>
      </c>
      <c r="M3296" t="s" s="10">
        <v>37</v>
      </c>
      <c r="N3296" s="17">
        <v>17</v>
      </c>
      <c r="O3296" s="18">
        <v>2241</v>
      </c>
      <c r="P3296" s="18">
        <v>2267</v>
      </c>
      <c r="Q3296" t="s" s="16">
        <f>HYPERLINK("http://secrets.rutgers.edu:8080/data/asl-ftp/asllvd/demos/verify_start_end_handshape_annotations//test_auto_move//signs_mov/3638_5322_16338_merged.mov","MOV")</f>
        <v>21</v>
      </c>
      <c r="R3296" t="s" s="16">
        <f>HYPERLINK("http://secrets.rutgers.edu:8080/data/asl-ftp/asllvd/demos/verify_start_end_handshape_annotations//test_auto_move//signs_mov_separ_signers/Tyler_16338.mov","MOV")</f>
        <v>21</v>
      </c>
    </row>
    <row r="3297" s="2" customFormat="1" ht="13.5" customHeight="1">
      <c r="B3297" s="13"/>
      <c r="C3297" t="s" s="9">
        <v>27</v>
      </c>
      <c r="D3297" t="s" s="8">
        <v>1127</v>
      </c>
      <c r="E3297" t="s" s="9">
        <v>1127</v>
      </c>
      <c r="F3297" t="s" s="10">
        <v>85</v>
      </c>
      <c r="G3297" t="s" s="11">
        <v>73</v>
      </c>
      <c r="H3297" t="s" s="10">
        <v>85</v>
      </c>
      <c r="I3297" t="s" s="11">
        <v>73</v>
      </c>
      <c r="J3297" t="s" s="11">
        <v>20</v>
      </c>
      <c r="K3297" s="15"/>
      <c r="L3297" t="s" s="16">
        <f>HYPERLINK("http://csr.bu.edu/ftp/asl/asllvd/demos/verify_start_end_handshape_annotations//test_auto_move//signs_mov_separ_signers/Naomi_3638.mov","MOV")</f>
        <v>21</v>
      </c>
      <c r="M3297" t="s" s="10">
        <v>86</v>
      </c>
      <c r="N3297" s="17">
        <v>19</v>
      </c>
      <c r="O3297" s="18">
        <v>2581</v>
      </c>
      <c r="P3297" s="18">
        <v>2615</v>
      </c>
      <c r="Q3297" s="15"/>
      <c r="R3297" t="s" s="16">
        <f>HYPERLINK("http://secrets.rutgers.edu:8080/data/asl-ftp/asllvd/demos/verify_start_end_handshape_annotations//test_auto_move//signs_mov_separ_signers/Naomi_3638.mov","MOV")</f>
        <v>21</v>
      </c>
    </row>
    <row r="3298" s="2" customFormat="1" ht="13.5" customHeight="1">
      <c r="B3298" s="13"/>
      <c r="C3298" t="s" s="9">
        <v>27</v>
      </c>
      <c r="D3298" t="s" s="8">
        <v>1127</v>
      </c>
      <c r="E3298" t="s" s="9">
        <v>1127</v>
      </c>
      <c r="F3298" t="s" s="10">
        <v>85</v>
      </c>
      <c r="G3298" t="s" s="11">
        <v>73</v>
      </c>
      <c r="H3298" t="s" s="10">
        <v>85</v>
      </c>
      <c r="I3298" t="s" s="11">
        <v>73</v>
      </c>
      <c r="J3298" t="s" s="11">
        <v>20</v>
      </c>
      <c r="K3298" s="15"/>
      <c r="L3298" t="s" s="16">
        <f>HYPERLINK("http://csr.bu.edu/ftp/asl/asllvd/demos/verify_start_end_handshape_annotations//test_auto_move//signs_mov_separ_signers/Naomi_5322.mov","MOV")</f>
        <v>21</v>
      </c>
      <c r="M3298" t="s" s="10">
        <v>38</v>
      </c>
      <c r="N3298" s="17">
        <v>37</v>
      </c>
      <c r="O3298" s="18">
        <v>4347</v>
      </c>
      <c r="P3298" s="18">
        <v>4377</v>
      </c>
      <c r="Q3298" s="15"/>
      <c r="R3298" t="s" s="16">
        <f>HYPERLINK("http://secrets.rutgers.edu:8080/data/asl-ftp/asllvd/demos/verify_start_end_handshape_annotations//test_auto_move//signs_mov_separ_signers/Naomi_5322.mov","MOV")</f>
        <v>21</v>
      </c>
    </row>
    <row r="3299" s="2" customFormat="1" ht="13.5" customHeight="1">
      <c r="B3299" s="13"/>
      <c r="C3299" t="s" s="9">
        <v>30</v>
      </c>
      <c r="D3299" t="s" s="8">
        <v>1127</v>
      </c>
      <c r="E3299" t="s" s="9">
        <v>1127</v>
      </c>
      <c r="F3299" t="s" s="10">
        <v>80</v>
      </c>
      <c r="G3299" t="s" s="11">
        <v>109</v>
      </c>
      <c r="H3299" t="s" s="10">
        <v>80</v>
      </c>
      <c r="I3299" t="s" s="11">
        <v>109</v>
      </c>
      <c r="J3299" t="s" s="11">
        <v>20</v>
      </c>
      <c r="K3299" s="15"/>
      <c r="L3299" t="s" s="16">
        <f>HYPERLINK("http://csr.bu.edu/ftp/asl/asllvd/demos/verify_start_end_handshape_annotations//test_auto_move//signs_mov_separ_signers/Brady_3638.mov","MOV")</f>
        <v>21</v>
      </c>
      <c r="M3299" t="s" s="10">
        <v>39</v>
      </c>
      <c r="N3299" s="17">
        <v>47</v>
      </c>
      <c r="O3299" s="18">
        <v>2986</v>
      </c>
      <c r="P3299" s="18">
        <v>3003</v>
      </c>
      <c r="Q3299" s="15"/>
      <c r="R3299" t="s" s="16">
        <f>HYPERLINK("http://secrets.rutgers.edu:8080/data/asl-ftp/asllvd/demos/verify_start_end_handshape_annotations//test_auto_move//signs_mov_separ_signers/Brady_3638.mov","MOV")</f>
        <v>21</v>
      </c>
    </row>
    <row r="3300" s="2" customFormat="1" ht="13.5" customHeight="1">
      <c r="B3300" s="13"/>
      <c r="C3300" t="s" s="9">
        <v>43</v>
      </c>
      <c r="D3300" t="s" s="8">
        <v>1127</v>
      </c>
      <c r="E3300" t="s" s="9">
        <v>1127</v>
      </c>
      <c r="F3300" t="s" s="10">
        <v>73</v>
      </c>
      <c r="G3300" t="s" s="11">
        <v>73</v>
      </c>
      <c r="H3300" t="s" s="10">
        <v>73</v>
      </c>
      <c r="I3300" t="s" s="11">
        <v>73</v>
      </c>
      <c r="J3300" t="s" s="11">
        <v>20</v>
      </c>
      <c r="K3300" s="15"/>
      <c r="L3300" t="s" s="16">
        <f>HYPERLINK("http://csr.bu.edu/ftp/asl/asllvd/demos/verify_start_end_handshape_annotations//test_auto_move//signs_mov_separ_signers/Dana_3638.mov","MOV")</f>
        <v>21</v>
      </c>
      <c r="M3300" t="s" s="10">
        <v>44</v>
      </c>
      <c r="N3300" s="17">
        <v>18</v>
      </c>
      <c r="O3300" s="18">
        <v>2484</v>
      </c>
      <c r="P3300" s="18">
        <v>2516</v>
      </c>
      <c r="Q3300" s="15"/>
      <c r="R3300" t="s" s="16">
        <f>HYPERLINK("http://secrets.rutgers.edu:8080/data/asl-ftp/asllvd/demos/verify_start_end_handshape_annotations//test_auto_move//signs_mov_separ_signers/Dana_3638.mov","MOV")</f>
        <v>21</v>
      </c>
    </row>
    <row r="3301" s="2" customFormat="1" ht="13.5" customHeight="1">
      <c r="B3301" t="s" s="8">
        <v>1128</v>
      </c>
      <c r="C3301" t="s" s="9">
        <v>14</v>
      </c>
      <c r="D3301" t="s" s="8">
        <v>14</v>
      </c>
      <c r="E3301" t="s" s="9">
        <v>14</v>
      </c>
      <c r="F3301" t="s" s="10">
        <v>14</v>
      </c>
      <c r="G3301" t="s" s="11">
        <v>14</v>
      </c>
      <c r="H3301" t="s" s="10">
        <v>14</v>
      </c>
      <c r="I3301" t="s" s="11">
        <v>14</v>
      </c>
      <c r="J3301" t="s" s="11">
        <v>14</v>
      </c>
      <c r="K3301" t="s" s="12">
        <v>14</v>
      </c>
      <c r="L3301" t="s" s="12">
        <v>14</v>
      </c>
      <c r="M3301" t="s" s="10">
        <v>14</v>
      </c>
      <c r="N3301" t="s" s="11">
        <v>14</v>
      </c>
      <c r="O3301" t="s" s="8">
        <v>14</v>
      </c>
      <c r="P3301" t="s" s="8">
        <v>14</v>
      </c>
      <c r="Q3301" t="s" s="12">
        <v>14</v>
      </c>
      <c r="R3301" t="s" s="12">
        <v>14</v>
      </c>
    </row>
    <row r="3302" s="2" customFormat="1" ht="13.5" customHeight="1">
      <c r="B3302" s="13"/>
      <c r="C3302" t="s" s="9">
        <v>16</v>
      </c>
      <c r="D3302" t="s" s="8">
        <v>1128</v>
      </c>
      <c r="E3302" t="s" s="9">
        <v>1128</v>
      </c>
      <c r="F3302" t="s" s="10">
        <v>68</v>
      </c>
      <c r="G3302" s="14"/>
      <c r="H3302" t="s" s="10">
        <v>68</v>
      </c>
      <c r="I3302" s="14"/>
      <c r="J3302" t="s" s="11">
        <v>20</v>
      </c>
      <c r="K3302" s="15"/>
      <c r="L3302" t="s" s="16">
        <f>HYPERLINK("http://csr.bu.edu/ftp/asl/asllvd/demos/verify_start_end_handshape_annotations//test_auto_move//signs_mov_separ_signers/Liz_690.mov","MOV")</f>
        <v>21</v>
      </c>
      <c r="M3302" t="s" s="10">
        <v>84</v>
      </c>
      <c r="N3302" s="17">
        <v>20</v>
      </c>
      <c r="O3302" s="18">
        <v>382</v>
      </c>
      <c r="P3302" s="18">
        <v>412</v>
      </c>
      <c r="Q3302" s="15"/>
      <c r="R3302" t="s" s="16">
        <f>HYPERLINK("http://secrets.rutgers.edu:8080/data/asl-ftp/asllvd/demos/verify_start_end_handshape_annotations//test_auto_move//signs_mov_separ_signers/Liz_690.mov","MOV")</f>
        <v>21</v>
      </c>
    </row>
    <row r="3303" s="2" customFormat="1" ht="13.5" customHeight="1">
      <c r="B3303" s="13"/>
      <c r="C3303" t="s" s="9">
        <v>16</v>
      </c>
      <c r="D3303" t="s" s="8">
        <v>1128</v>
      </c>
      <c r="E3303" t="s" s="9">
        <v>1128</v>
      </c>
      <c r="F3303" t="s" s="10">
        <v>68</v>
      </c>
      <c r="G3303" s="14"/>
      <c r="H3303" t="s" s="10">
        <v>68</v>
      </c>
      <c r="I3303" s="14"/>
      <c r="J3303" t="s" s="11">
        <v>20</v>
      </c>
      <c r="K3303" s="15"/>
      <c r="L3303" t="s" s="16">
        <f>HYPERLINK("http://csr.bu.edu/ftp/asl/asllvd/demos/verify_start_end_handshape_annotations//test_auto_move//signs_mov_separ_signers/Liz_3773.mov","MOV")</f>
        <v>21</v>
      </c>
      <c r="M3303" t="s" s="10">
        <v>36</v>
      </c>
      <c r="N3303" s="17">
        <v>49</v>
      </c>
      <c r="O3303" s="18">
        <v>1877</v>
      </c>
      <c r="P3303" s="18">
        <v>1930</v>
      </c>
      <c r="Q3303" s="15"/>
      <c r="R3303" t="s" s="16">
        <f>HYPERLINK("http://secrets.rutgers.edu:8080/data/asl-ftp/asllvd/demos/verify_start_end_handshape_annotations//test_auto_move//signs_mov_separ_signers/Liz_3773.mov","MOV")</f>
        <v>21</v>
      </c>
    </row>
    <row r="3304" s="2" customFormat="1" ht="13.5" customHeight="1">
      <c r="B3304" s="13"/>
      <c r="C3304" t="s" s="9">
        <v>23</v>
      </c>
      <c r="D3304" t="s" s="8">
        <v>1128</v>
      </c>
      <c r="E3304" t="s" s="9">
        <v>1128</v>
      </c>
      <c r="F3304" t="s" s="10">
        <v>68</v>
      </c>
      <c r="G3304" s="14"/>
      <c r="H3304" t="s" s="10">
        <v>68</v>
      </c>
      <c r="I3304" s="14"/>
      <c r="J3304" t="s" s="11">
        <v>20</v>
      </c>
      <c r="K3304" t="s" s="16">
        <f>HYPERLINK("http://csr.bu.edu/ftp/asl/asllvd/demos/verify_start_end_handshape_annotations//test_auto_move//signs_mov/690_3773_merged.mov","MOV")</f>
        <v>21</v>
      </c>
      <c r="L3304" t="s" s="16">
        <f>HYPERLINK("http://csr.bu.edu/ftp/asl/asllvd/demos/verify_start_end_handshape_annotations//test_auto_move//signs_mov_separ_signers/Tyler_690.mov","MOV")</f>
        <v>21</v>
      </c>
      <c r="M3304" t="s" s="10">
        <v>125</v>
      </c>
      <c r="N3304" s="17">
        <v>18</v>
      </c>
      <c r="O3304" s="18">
        <v>2632</v>
      </c>
      <c r="P3304" s="18">
        <v>2665</v>
      </c>
      <c r="Q3304" t="s" s="16">
        <f>HYPERLINK("http://secrets.rutgers.edu:8080/data/asl-ftp/asllvd/demos/verify_start_end_handshape_annotations//test_auto_move//signs_mov/690_3773_merged.mov","MOV")</f>
        <v>21</v>
      </c>
      <c r="R3304" t="s" s="16">
        <f>HYPERLINK("http://secrets.rutgers.edu:8080/data/asl-ftp/asllvd/demos/verify_start_end_handshape_annotations//test_auto_move//signs_mov_separ_signers/Tyler_690.mov","MOV")</f>
        <v>21</v>
      </c>
    </row>
    <row r="3305" s="2" customFormat="1" ht="13.5" customHeight="1">
      <c r="B3305" s="13"/>
      <c r="C3305" t="s" s="9">
        <v>27</v>
      </c>
      <c r="D3305" t="s" s="8">
        <v>1128</v>
      </c>
      <c r="E3305" t="s" s="9">
        <v>1128</v>
      </c>
      <c r="F3305" t="s" s="10">
        <v>68</v>
      </c>
      <c r="G3305" s="14"/>
      <c r="H3305" t="s" s="10">
        <v>68</v>
      </c>
      <c r="I3305" s="14"/>
      <c r="J3305" t="s" s="11">
        <v>20</v>
      </c>
      <c r="K3305" s="15"/>
      <c r="L3305" t="s" s="16">
        <f>HYPERLINK("http://csr.bu.edu/ftp/asl/asllvd/demos/verify_start_end_handshape_annotations//test_auto_move//signs_mov_separ_signers/Naomi_690.mov","MOV")</f>
        <v>21</v>
      </c>
      <c r="M3305" t="s" s="10">
        <v>86</v>
      </c>
      <c r="N3305" s="17">
        <v>19</v>
      </c>
      <c r="O3305" s="18">
        <v>2955</v>
      </c>
      <c r="P3305" s="18">
        <v>2975</v>
      </c>
      <c r="Q3305" s="15"/>
      <c r="R3305" t="s" s="16">
        <f>HYPERLINK("http://secrets.rutgers.edu:8080/data/asl-ftp/asllvd/demos/verify_start_end_handshape_annotations//test_auto_move//signs_mov_separ_signers/Naomi_690.mov","MOV")</f>
        <v>21</v>
      </c>
    </row>
    <row r="3306" s="2" customFormat="1" ht="13.5" customHeight="1">
      <c r="B3306" s="13"/>
      <c r="C3306" t="s" s="9">
        <v>30</v>
      </c>
      <c r="D3306" t="s" s="8">
        <v>1128</v>
      </c>
      <c r="E3306" t="s" s="9">
        <v>1128</v>
      </c>
      <c r="F3306" t="s" s="10">
        <v>68</v>
      </c>
      <c r="G3306" s="14"/>
      <c r="H3306" t="s" s="10">
        <v>68</v>
      </c>
      <c r="I3306" s="14"/>
      <c r="J3306" t="s" s="11">
        <v>20</v>
      </c>
      <c r="K3306" s="15"/>
      <c r="L3306" t="s" s="16">
        <f>HYPERLINK("http://csr.bu.edu/ftp/asl/asllvd/demos/verify_start_end_handshape_annotations//test_auto_move//signs_mov_separ_signers/Brady_690.mov","MOV")</f>
        <v>21</v>
      </c>
      <c r="M3306" t="s" s="10">
        <v>31</v>
      </c>
      <c r="N3306" s="17">
        <v>36</v>
      </c>
      <c r="O3306" s="18">
        <v>2461</v>
      </c>
      <c r="P3306" s="18">
        <v>2480</v>
      </c>
      <c r="Q3306" s="15"/>
      <c r="R3306" t="s" s="16">
        <f>HYPERLINK("http://secrets.rutgers.edu:8080/data/asl-ftp/asllvd/demos/verify_start_end_handshape_annotations//test_auto_move//signs_mov_separ_signers/Brady_690.mov","MOV")</f>
        <v>21</v>
      </c>
    </row>
    <row r="3307" s="2" customFormat="1" ht="13.5" customHeight="1">
      <c r="B3307" s="13"/>
      <c r="C3307" t="s" s="9">
        <v>30</v>
      </c>
      <c r="D3307" t="s" s="8">
        <v>1128</v>
      </c>
      <c r="E3307" t="s" s="9">
        <v>1128</v>
      </c>
      <c r="F3307" t="s" s="10">
        <v>68</v>
      </c>
      <c r="G3307" s="14"/>
      <c r="H3307" t="s" s="10">
        <v>68</v>
      </c>
      <c r="I3307" s="14"/>
      <c r="J3307" t="s" s="11">
        <v>20</v>
      </c>
      <c r="K3307" s="15"/>
      <c r="L3307" t="s" s="16">
        <f>HYPERLINK("http://csr.bu.edu/ftp/asl/asllvd/demos/verify_start_end_handshape_annotations//test_auto_move//signs_mov_separ_signers/Brady_3773.mov","MOV")</f>
        <v>21</v>
      </c>
      <c r="M3307" t="s" s="10">
        <v>40</v>
      </c>
      <c r="N3307" s="17">
        <v>100</v>
      </c>
      <c r="O3307" s="18">
        <v>3147</v>
      </c>
      <c r="P3307" s="18">
        <v>3167</v>
      </c>
      <c r="Q3307" s="15"/>
      <c r="R3307" t="s" s="16">
        <f>HYPERLINK("http://secrets.rutgers.edu:8080/data/asl-ftp/asllvd/demos/verify_start_end_handshape_annotations//test_auto_move//signs_mov_separ_signers/Brady_3773.mov","MOV")</f>
        <v>21</v>
      </c>
    </row>
    <row r="3308" s="2" customFormat="1" ht="13.5" customHeight="1">
      <c r="B3308" t="s" s="8">
        <v>1129</v>
      </c>
      <c r="C3308" t="s" s="9">
        <v>14</v>
      </c>
      <c r="D3308" t="s" s="8">
        <v>14</v>
      </c>
      <c r="E3308" t="s" s="9">
        <v>14</v>
      </c>
      <c r="F3308" t="s" s="10">
        <v>14</v>
      </c>
      <c r="G3308" t="s" s="11">
        <v>14</v>
      </c>
      <c r="H3308" t="s" s="10">
        <v>14</v>
      </c>
      <c r="I3308" t="s" s="11">
        <v>14</v>
      </c>
      <c r="J3308" t="s" s="11">
        <v>14</v>
      </c>
      <c r="K3308" t="s" s="12">
        <v>14</v>
      </c>
      <c r="L3308" t="s" s="12">
        <v>14</v>
      </c>
      <c r="M3308" t="s" s="10">
        <v>14</v>
      </c>
      <c r="N3308" t="s" s="11">
        <v>14</v>
      </c>
      <c r="O3308" t="s" s="8">
        <v>14</v>
      </c>
      <c r="P3308" t="s" s="8">
        <v>14</v>
      </c>
      <c r="Q3308" t="s" s="12">
        <v>14</v>
      </c>
      <c r="R3308" t="s" s="12">
        <v>14</v>
      </c>
    </row>
    <row r="3309" s="2" customFormat="1" ht="13.5" customHeight="1">
      <c r="B3309" s="13"/>
      <c r="C3309" t="s" s="9">
        <v>16</v>
      </c>
      <c r="D3309" t="s" s="8">
        <v>1129</v>
      </c>
      <c r="E3309" t="s" s="9">
        <v>1129</v>
      </c>
      <c r="F3309" t="s" s="10">
        <v>119</v>
      </c>
      <c r="G3309" t="s" s="11">
        <v>119</v>
      </c>
      <c r="H3309" t="s" s="10">
        <v>72</v>
      </c>
      <c r="I3309" t="s" s="11">
        <v>72</v>
      </c>
      <c r="J3309" t="s" s="11">
        <v>20</v>
      </c>
      <c r="K3309" s="15"/>
      <c r="L3309" t="s" s="16">
        <f>HYPERLINK("http://csr.bu.edu/ftp/asl/asllvd/demos/verify_start_end_handshape_annotations//test_auto_move//signs_mov_separ_signers/Liz_691.mov","MOV")</f>
        <v>21</v>
      </c>
      <c r="M3309" t="s" s="10">
        <v>84</v>
      </c>
      <c r="N3309" s="17">
        <v>20</v>
      </c>
      <c r="O3309" s="18">
        <v>565</v>
      </c>
      <c r="P3309" s="18">
        <v>586</v>
      </c>
      <c r="Q3309" s="15"/>
      <c r="R3309" t="s" s="16">
        <f>HYPERLINK("http://secrets.rutgers.edu:8080/data/asl-ftp/asllvd/demos/verify_start_end_handshape_annotations//test_auto_move//signs_mov_separ_signers/Liz_691.mov","MOV")</f>
        <v>21</v>
      </c>
    </row>
    <row r="3310" s="2" customFormat="1" ht="13.5" customHeight="1">
      <c r="B3310" s="13"/>
      <c r="C3310" t="s" s="9">
        <v>27</v>
      </c>
      <c r="D3310" t="s" s="8">
        <v>1129</v>
      </c>
      <c r="E3310" t="s" s="9">
        <v>1129</v>
      </c>
      <c r="F3310" t="s" s="10">
        <v>119</v>
      </c>
      <c r="G3310" t="s" s="11">
        <v>119</v>
      </c>
      <c r="H3310" s="19">
        <v>5</v>
      </c>
      <c r="I3310" s="17">
        <v>5</v>
      </c>
      <c r="J3310" t="s" s="11">
        <v>20</v>
      </c>
      <c r="K3310" t="s" s="16">
        <f>HYPERLINK("http://csr.bu.edu/ftp/asl/asllvd/demos/verify_start_end_handshape_annotations//test_auto_move//signs_mov/691.mov","MOV")</f>
        <v>21</v>
      </c>
      <c r="L3310" t="s" s="16">
        <f>HYPERLINK("http://csr.bu.edu/ftp/asl/asllvd/demos/verify_start_end_handshape_annotations//test_auto_move//signs_mov_separ_signers/Naomi_691.mov","MOV")</f>
        <v>21</v>
      </c>
      <c r="M3310" t="s" s="10">
        <v>86</v>
      </c>
      <c r="N3310" s="17">
        <v>20</v>
      </c>
      <c r="O3310" s="18">
        <v>151</v>
      </c>
      <c r="P3310" s="18">
        <v>180</v>
      </c>
      <c r="Q3310" t="s" s="16">
        <f>HYPERLINK("http://secrets.rutgers.edu:8080/data/asl-ftp/asllvd/demos/verify_start_end_handshape_annotations//test_auto_move//signs_mov/691.mov","MOV")</f>
        <v>21</v>
      </c>
      <c r="R3310" t="s" s="16">
        <f>HYPERLINK("http://secrets.rutgers.edu:8080/data/asl-ftp/asllvd/demos/verify_start_end_handshape_annotations//test_auto_move//signs_mov_separ_signers/Naomi_691.mov","MOV")</f>
        <v>21</v>
      </c>
    </row>
    <row r="3311" s="2" customFormat="1" ht="13.5" customHeight="1">
      <c r="B3311" s="13"/>
      <c r="C3311" t="s" s="9">
        <v>30</v>
      </c>
      <c r="D3311" t="s" s="8">
        <v>1129</v>
      </c>
      <c r="E3311" t="s" s="9">
        <v>1129</v>
      </c>
      <c r="F3311" t="s" s="10">
        <v>119</v>
      </c>
      <c r="G3311" t="s" s="11">
        <v>119</v>
      </c>
      <c r="H3311" s="19">
        <v>5</v>
      </c>
      <c r="I3311" s="17">
        <v>5</v>
      </c>
      <c r="J3311" t="s" s="11">
        <v>20</v>
      </c>
      <c r="K3311" s="15"/>
      <c r="L3311" t="s" s="16">
        <f>HYPERLINK("http://csr.bu.edu/ftp/asl/asllvd/demos/verify_start_end_handshape_annotations//test_auto_move//signs_mov_separ_signers/Brady_691.mov","MOV")</f>
        <v>21</v>
      </c>
      <c r="M3311" t="s" s="10">
        <v>31</v>
      </c>
      <c r="N3311" s="17">
        <v>36</v>
      </c>
      <c r="O3311" s="18">
        <v>2755</v>
      </c>
      <c r="P3311" s="18">
        <v>2780</v>
      </c>
      <c r="Q3311" s="15"/>
      <c r="R3311" t="s" s="16">
        <f>HYPERLINK("http://secrets.rutgers.edu:8080/data/asl-ftp/asllvd/demos/verify_start_end_handshape_annotations//test_auto_move//signs_mov_separ_signers/Brady_691.mov","MOV")</f>
        <v>21</v>
      </c>
    </row>
    <row r="3312" s="2" customFormat="1" ht="13.5" customHeight="1">
      <c r="B3312" t="s" s="8">
        <v>1130</v>
      </c>
      <c r="C3312" t="s" s="9">
        <v>14</v>
      </c>
      <c r="D3312" t="s" s="8">
        <v>14</v>
      </c>
      <c r="E3312" t="s" s="9">
        <v>14</v>
      </c>
      <c r="F3312" t="s" s="10">
        <v>14</v>
      </c>
      <c r="G3312" t="s" s="11">
        <v>14</v>
      </c>
      <c r="H3312" t="s" s="10">
        <v>14</v>
      </c>
      <c r="I3312" t="s" s="11">
        <v>14</v>
      </c>
      <c r="J3312" t="s" s="11">
        <v>14</v>
      </c>
      <c r="K3312" t="s" s="12">
        <v>14</v>
      </c>
      <c r="L3312" t="s" s="12">
        <v>14</v>
      </c>
      <c r="M3312" t="s" s="10">
        <v>14</v>
      </c>
      <c r="N3312" t="s" s="11">
        <v>14</v>
      </c>
      <c r="O3312" t="s" s="8">
        <v>14</v>
      </c>
      <c r="P3312" t="s" s="8">
        <v>14</v>
      </c>
      <c r="Q3312" t="s" s="12">
        <v>14</v>
      </c>
      <c r="R3312" t="s" s="12">
        <v>14</v>
      </c>
    </row>
    <row r="3313" s="2" customFormat="1" ht="13.5" customHeight="1">
      <c r="B3313" s="13"/>
      <c r="C3313" t="s" s="9">
        <v>16</v>
      </c>
      <c r="D3313" t="s" s="8">
        <v>1130</v>
      </c>
      <c r="E3313" t="s" s="9">
        <v>1130</v>
      </c>
      <c r="F3313" t="s" s="10">
        <v>73</v>
      </c>
      <c r="G3313" t="s" s="11">
        <v>73</v>
      </c>
      <c r="H3313" t="s" s="10">
        <v>73</v>
      </c>
      <c r="I3313" t="s" s="11">
        <v>73</v>
      </c>
      <c r="J3313" t="s" s="11">
        <v>20</v>
      </c>
      <c r="K3313" s="15"/>
      <c r="L3313" t="s" s="16">
        <f>HYPERLINK("http://csr.bu.edu/ftp/asl/asllvd/demos/verify_start_end_handshape_annotations//test_auto_move//signs_mov_separ_signers/Liz_694.mov","MOV")</f>
        <v>21</v>
      </c>
      <c r="M3313" t="s" s="10">
        <v>84</v>
      </c>
      <c r="N3313" s="17">
        <v>20</v>
      </c>
      <c r="O3313" s="18">
        <v>1321</v>
      </c>
      <c r="P3313" s="18">
        <v>1355</v>
      </c>
      <c r="Q3313" s="15"/>
      <c r="R3313" t="s" s="16">
        <f>HYPERLINK("http://secrets.rutgers.edu:8080/data/asl-ftp/asllvd/demos/verify_start_end_handshape_annotations//test_auto_move//signs_mov_separ_signers/Liz_694.mov","MOV")</f>
        <v>21</v>
      </c>
    </row>
    <row r="3314" s="2" customFormat="1" ht="13.5" customHeight="1">
      <c r="B3314" s="13"/>
      <c r="C3314" t="s" s="9">
        <v>23</v>
      </c>
      <c r="D3314" t="s" s="8">
        <v>1130</v>
      </c>
      <c r="E3314" t="s" s="9">
        <v>1130</v>
      </c>
      <c r="F3314" t="s" s="10">
        <v>73</v>
      </c>
      <c r="G3314" t="s" s="11">
        <v>73</v>
      </c>
      <c r="H3314" t="s" s="10">
        <v>73</v>
      </c>
      <c r="I3314" t="s" s="11">
        <v>73</v>
      </c>
      <c r="J3314" t="s" s="11">
        <v>20</v>
      </c>
      <c r="K3314" t="s" s="16">
        <f>HYPERLINK("http://csr.bu.edu/ftp/asl/asllvd/demos/verify_start_end_handshape_annotations//test_auto_move//signs_mov/694.mov","MOV")</f>
        <v>21</v>
      </c>
      <c r="L3314" t="s" s="16">
        <f>HYPERLINK("http://csr.bu.edu/ftp/asl/asllvd/demos/verify_start_end_handshape_annotations//test_auto_move//signs_mov_separ_signers/Tyler_694.mov","MOV")</f>
        <v>21</v>
      </c>
      <c r="M3314" t="s" s="10">
        <v>125</v>
      </c>
      <c r="N3314" s="17">
        <v>19</v>
      </c>
      <c r="O3314" s="18">
        <v>1205</v>
      </c>
      <c r="P3314" s="18">
        <v>1240</v>
      </c>
      <c r="Q3314" t="s" s="16">
        <f>HYPERLINK("http://secrets.rutgers.edu:8080/data/asl-ftp/asllvd/demos/verify_start_end_handshape_annotations//test_auto_move//signs_mov/694.mov","MOV")</f>
        <v>21</v>
      </c>
      <c r="R3314" t="s" s="16">
        <f>HYPERLINK("http://secrets.rutgers.edu:8080/data/asl-ftp/asllvd/demos/verify_start_end_handshape_annotations//test_auto_move//signs_mov_separ_signers/Tyler_694.mov","MOV")</f>
        <v>21</v>
      </c>
    </row>
    <row r="3315" s="2" customFormat="1" ht="13.5" customHeight="1">
      <c r="B3315" s="13"/>
      <c r="C3315" t="s" s="9">
        <v>30</v>
      </c>
      <c r="D3315" t="s" s="8">
        <v>1130</v>
      </c>
      <c r="E3315" t="s" s="9">
        <v>1130</v>
      </c>
      <c r="F3315" t="s" s="10">
        <v>73</v>
      </c>
      <c r="G3315" t="s" s="11">
        <v>73</v>
      </c>
      <c r="H3315" t="s" s="10">
        <v>73</v>
      </c>
      <c r="I3315" t="s" s="11">
        <v>73</v>
      </c>
      <c r="J3315" t="s" s="11">
        <v>20</v>
      </c>
      <c r="K3315" s="15"/>
      <c r="L3315" t="s" s="16">
        <f>HYPERLINK("http://csr.bu.edu/ftp/asl/asllvd/demos/verify_start_end_handshape_annotations//test_auto_move//signs_mov_separ_signers/Brady_694.mov","MOV")</f>
        <v>21</v>
      </c>
      <c r="M3315" t="s" s="10">
        <v>31</v>
      </c>
      <c r="N3315" s="17">
        <v>36</v>
      </c>
      <c r="O3315" s="18">
        <v>3847</v>
      </c>
      <c r="P3315" s="18">
        <v>3871</v>
      </c>
      <c r="Q3315" s="15"/>
      <c r="R3315" t="s" s="16">
        <f>HYPERLINK("http://secrets.rutgers.edu:8080/data/asl-ftp/asllvd/demos/verify_start_end_handshape_annotations//test_auto_move//signs_mov_separ_signers/Brady_694.mov","MOV")</f>
        <v>21</v>
      </c>
    </row>
    <row r="3316" s="2" customFormat="1" ht="13.5" customHeight="1">
      <c r="B3316" t="s" s="8">
        <v>52</v>
      </c>
      <c r="C3316" t="s" s="9">
        <v>53</v>
      </c>
      <c r="D3316" t="s" s="8">
        <v>53</v>
      </c>
      <c r="E3316" t="s" s="9">
        <v>53</v>
      </c>
      <c r="F3316" t="s" s="10">
        <v>53</v>
      </c>
      <c r="G3316" t="s" s="11">
        <v>53</v>
      </c>
      <c r="H3316" t="s" s="10">
        <v>53</v>
      </c>
      <c r="I3316" t="s" s="11">
        <v>53</v>
      </c>
      <c r="J3316" t="s" s="11">
        <v>53</v>
      </c>
      <c r="K3316" t="s" s="12">
        <v>53</v>
      </c>
      <c r="L3316" t="s" s="12">
        <v>53</v>
      </c>
      <c r="M3316" t="s" s="10">
        <v>53</v>
      </c>
      <c r="N3316" t="s" s="11">
        <v>53</v>
      </c>
      <c r="O3316" t="s" s="8">
        <v>53</v>
      </c>
      <c r="P3316" t="s" s="8">
        <v>53</v>
      </c>
      <c r="Q3316" t="s" s="12">
        <v>53</v>
      </c>
      <c r="R3316" t="s" s="12">
        <v>53</v>
      </c>
    </row>
    <row r="3317" s="2" customFormat="1" ht="13.5" customHeight="1">
      <c r="B3317" s="13"/>
      <c r="C3317" t="s" s="9">
        <v>27</v>
      </c>
      <c r="D3317" t="s" s="8">
        <v>1130</v>
      </c>
      <c r="E3317" t="s" s="9">
        <v>1131</v>
      </c>
      <c r="F3317" t="s" s="10">
        <v>73</v>
      </c>
      <c r="G3317" t="s" s="11">
        <v>73</v>
      </c>
      <c r="H3317" t="s" s="10">
        <v>73</v>
      </c>
      <c r="I3317" t="s" s="11">
        <v>73</v>
      </c>
      <c r="J3317" t="s" s="11">
        <v>20</v>
      </c>
      <c r="K3317" t="s" s="16">
        <f>HYPERLINK("http://csr.bu.edu/ftp/asl/asllvd/demos/verify_start_end_handshape_annotations//test_auto_move//signs_mov/5308.mov","MOV")</f>
        <v>21</v>
      </c>
      <c r="L3317" t="s" s="16">
        <f>HYPERLINK("http://csr.bu.edu/ftp/asl/asllvd/demos/verify_start_end_handshape_annotations//test_auto_move//signs_mov_separ_signers/Naomi_5308.mov","MOV")</f>
        <v>21</v>
      </c>
      <c r="M3317" t="s" s="10">
        <v>86</v>
      </c>
      <c r="N3317" s="17">
        <v>20</v>
      </c>
      <c r="O3317" s="18">
        <v>1050</v>
      </c>
      <c r="P3317" s="18">
        <v>1080</v>
      </c>
      <c r="Q3317" t="s" s="16">
        <f>HYPERLINK("http://secrets.rutgers.edu:8080/data/asl-ftp/asllvd/demos/verify_start_end_handshape_annotations//test_auto_move//signs_mov/5308.mov","MOV")</f>
        <v>21</v>
      </c>
      <c r="R3317" t="s" s="16">
        <f>HYPERLINK("http://secrets.rutgers.edu:8080/data/asl-ftp/asllvd/demos/verify_start_end_handshape_annotations//test_auto_move//signs_mov_separ_signers/Naomi_5308.mov","MOV")</f>
        <v>21</v>
      </c>
    </row>
    <row r="3318" s="2" customFormat="1" ht="13.5" customHeight="1">
      <c r="B3318" t="s" s="8">
        <v>1132</v>
      </c>
      <c r="C3318" t="s" s="9">
        <v>14</v>
      </c>
      <c r="D3318" t="s" s="8">
        <v>14</v>
      </c>
      <c r="E3318" t="s" s="9">
        <v>14</v>
      </c>
      <c r="F3318" t="s" s="10">
        <v>14</v>
      </c>
      <c r="G3318" t="s" s="11">
        <v>14</v>
      </c>
      <c r="H3318" t="s" s="10">
        <v>14</v>
      </c>
      <c r="I3318" t="s" s="11">
        <v>14</v>
      </c>
      <c r="J3318" t="s" s="11">
        <v>14</v>
      </c>
      <c r="K3318" t="s" s="12">
        <v>14</v>
      </c>
      <c r="L3318" t="s" s="12">
        <v>14</v>
      </c>
      <c r="M3318" t="s" s="10">
        <v>14</v>
      </c>
      <c r="N3318" t="s" s="11">
        <v>14</v>
      </c>
      <c r="O3318" t="s" s="8">
        <v>14</v>
      </c>
      <c r="P3318" t="s" s="8">
        <v>14</v>
      </c>
      <c r="Q3318" t="s" s="12">
        <v>14</v>
      </c>
      <c r="R3318" t="s" s="12">
        <v>14</v>
      </c>
    </row>
    <row r="3319" s="2" customFormat="1" ht="13.5" customHeight="1">
      <c r="B3319" s="13"/>
      <c r="C3319" t="s" s="9">
        <v>16</v>
      </c>
      <c r="D3319" t="s" s="8">
        <v>1132</v>
      </c>
      <c r="E3319" t="s" s="9">
        <v>1132</v>
      </c>
      <c r="F3319" t="s" s="10">
        <v>240</v>
      </c>
      <c r="G3319" t="s" s="11">
        <v>55</v>
      </c>
      <c r="H3319" t="s" s="10">
        <v>240</v>
      </c>
      <c r="I3319" t="s" s="11">
        <v>55</v>
      </c>
      <c r="J3319" t="s" s="11">
        <v>20</v>
      </c>
      <c r="K3319" s="15"/>
      <c r="L3319" t="s" s="16">
        <f>HYPERLINK("http://csr.bu.edu/ftp/asl/asllvd/demos/verify_start_end_handshape_annotations//test_auto_move//signs_mov_separ_signers/Liz_15215.mov","MOV")</f>
        <v>21</v>
      </c>
      <c r="M3319" t="s" s="10">
        <v>84</v>
      </c>
      <c r="N3319" s="17">
        <v>20</v>
      </c>
      <c r="O3319" s="18">
        <v>1551</v>
      </c>
      <c r="P3319" s="18">
        <v>1596</v>
      </c>
      <c r="Q3319" s="15"/>
      <c r="R3319" t="s" s="16">
        <f>HYPERLINK("http://secrets.rutgers.edu:8080/data/asl-ftp/asllvd/demos/verify_start_end_handshape_annotations//test_auto_move//signs_mov_separ_signers/Liz_15215.mov","MOV")</f>
        <v>21</v>
      </c>
    </row>
    <row r="3320" s="2" customFormat="1" ht="13.5" customHeight="1">
      <c r="B3320" s="13"/>
      <c r="C3320" t="s" s="9">
        <v>23</v>
      </c>
      <c r="D3320" t="s" s="8">
        <v>1132</v>
      </c>
      <c r="E3320" t="s" s="9">
        <v>1132</v>
      </c>
      <c r="F3320" t="s" s="10">
        <v>240</v>
      </c>
      <c r="G3320" t="s" s="11">
        <v>55</v>
      </c>
      <c r="H3320" t="s" s="10">
        <v>240</v>
      </c>
      <c r="I3320" t="s" s="11">
        <v>55</v>
      </c>
      <c r="J3320" t="s" s="11">
        <v>20</v>
      </c>
      <c r="K3320" t="s" s="16">
        <f>HYPERLINK("http://csr.bu.edu/ftp/asl/asllvd/demos/verify_start_end_handshape_annotations//test_auto_move//signs_mov/15215.mov","MOV")</f>
        <v>21</v>
      </c>
      <c r="L3320" t="s" s="16">
        <f>HYPERLINK("http://csr.bu.edu/ftp/asl/asllvd/demos/verify_start_end_handshape_annotations//test_auto_move//signs_mov_separ_signers/Tyler_15215.mov","MOV")</f>
        <v>21</v>
      </c>
      <c r="M3320" t="s" s="10">
        <v>125</v>
      </c>
      <c r="N3320" s="17">
        <v>19</v>
      </c>
      <c r="O3320" s="18">
        <v>1445</v>
      </c>
      <c r="P3320" s="18">
        <v>1481</v>
      </c>
      <c r="Q3320" t="s" s="16">
        <f>HYPERLINK("http://secrets.rutgers.edu:8080/data/asl-ftp/asllvd/demos/verify_start_end_handshape_annotations//test_auto_move//signs_mov/15215.mov","MOV")</f>
        <v>21</v>
      </c>
      <c r="R3320" t="s" s="16">
        <f>HYPERLINK("http://secrets.rutgers.edu:8080/data/asl-ftp/asllvd/demos/verify_start_end_handshape_annotations//test_auto_move//signs_mov_separ_signers/Tyler_15215.mov","MOV")</f>
        <v>21</v>
      </c>
    </row>
    <row r="3321" s="2" customFormat="1" ht="13.5" customHeight="1">
      <c r="B3321" s="13"/>
      <c r="C3321" t="s" s="9">
        <v>27</v>
      </c>
      <c r="D3321" t="s" s="8">
        <v>1132</v>
      </c>
      <c r="E3321" t="s" s="9">
        <v>1132</v>
      </c>
      <c r="F3321" t="s" s="10">
        <v>240</v>
      </c>
      <c r="G3321" t="s" s="11">
        <v>73</v>
      </c>
      <c r="H3321" t="s" s="10">
        <v>240</v>
      </c>
      <c r="I3321" t="s" s="11">
        <v>73</v>
      </c>
      <c r="J3321" t="s" s="11">
        <v>20</v>
      </c>
      <c r="K3321" s="15"/>
      <c r="L3321" t="s" s="16">
        <f>HYPERLINK("http://csr.bu.edu/ftp/asl/asllvd/demos/verify_start_end_handshape_annotations//test_auto_move//signs_mov_separ_signers/Naomi_15215.mov","MOV")</f>
        <v>21</v>
      </c>
      <c r="M3321" t="s" s="10">
        <v>86</v>
      </c>
      <c r="N3321" s="17">
        <v>20</v>
      </c>
      <c r="O3321" s="18">
        <v>1295</v>
      </c>
      <c r="P3321" s="18">
        <v>1325</v>
      </c>
      <c r="Q3321" s="15"/>
      <c r="R3321" t="s" s="16">
        <f>HYPERLINK("http://secrets.rutgers.edu:8080/data/asl-ftp/asllvd/demos/verify_start_end_handshape_annotations//test_auto_move//signs_mov_separ_signers/Naomi_15215.mov","MOV")</f>
        <v>21</v>
      </c>
    </row>
    <row r="3322" s="2" customFormat="1" ht="13.5" customHeight="1">
      <c r="B3322" t="s" s="8">
        <v>52</v>
      </c>
      <c r="C3322" t="s" s="9">
        <v>53</v>
      </c>
      <c r="D3322" t="s" s="8">
        <v>53</v>
      </c>
      <c r="E3322" t="s" s="9">
        <v>53</v>
      </c>
      <c r="F3322" t="s" s="10">
        <v>53</v>
      </c>
      <c r="G3322" t="s" s="11">
        <v>53</v>
      </c>
      <c r="H3322" t="s" s="10">
        <v>53</v>
      </c>
      <c r="I3322" t="s" s="11">
        <v>53</v>
      </c>
      <c r="J3322" t="s" s="11">
        <v>53</v>
      </c>
      <c r="K3322" t="s" s="12">
        <v>53</v>
      </c>
      <c r="L3322" t="s" s="12">
        <v>53</v>
      </c>
      <c r="M3322" t="s" s="10">
        <v>53</v>
      </c>
      <c r="N3322" t="s" s="11">
        <v>53</v>
      </c>
      <c r="O3322" t="s" s="8">
        <v>53</v>
      </c>
      <c r="P3322" t="s" s="8">
        <v>53</v>
      </c>
      <c r="Q3322" t="s" s="12">
        <v>53</v>
      </c>
      <c r="R3322" t="s" s="12">
        <v>53</v>
      </c>
    </row>
    <row r="3323" s="2" customFormat="1" ht="13.5" customHeight="1">
      <c r="B3323" s="13"/>
      <c r="C3323" t="s" s="9">
        <v>30</v>
      </c>
      <c r="D3323" t="s" s="8">
        <v>1132</v>
      </c>
      <c r="E3323" t="s" s="9">
        <v>1133</v>
      </c>
      <c r="F3323" t="s" s="10">
        <v>240</v>
      </c>
      <c r="G3323" t="s" s="11">
        <v>240</v>
      </c>
      <c r="H3323" t="s" s="10">
        <v>240</v>
      </c>
      <c r="I3323" t="s" s="11">
        <v>240</v>
      </c>
      <c r="J3323" t="s" s="11">
        <v>20</v>
      </c>
      <c r="K3323" t="s" s="16">
        <f>HYPERLINK("http://csr.bu.edu/ftp/asl/asllvd/demos/verify_start_end_handshape_annotations//test_auto_move//signs_mov/15401_16325_merged.mov","MOV")</f>
        <v>21</v>
      </c>
      <c r="L3323" t="s" s="16">
        <f>HYPERLINK("http://csr.bu.edu/ftp/asl/asllvd/demos/verify_start_end_handshape_annotations//test_auto_move//signs_mov_separ_signers/Brady_15401.mov","MOV")</f>
        <v>21</v>
      </c>
      <c r="M3323" t="s" s="10">
        <v>31</v>
      </c>
      <c r="N3323" s="17">
        <v>36</v>
      </c>
      <c r="O3323" s="18">
        <v>4162</v>
      </c>
      <c r="P3323" s="18">
        <v>4192</v>
      </c>
      <c r="Q3323" t="s" s="16">
        <f>HYPERLINK("http://secrets.rutgers.edu:8080/data/asl-ftp/asllvd/demos/verify_start_end_handshape_annotations//test_auto_move//signs_mov/15401_16325_merged.mov","MOV")</f>
        <v>21</v>
      </c>
      <c r="R3323" t="s" s="16">
        <f>HYPERLINK("http://secrets.rutgers.edu:8080/data/asl-ftp/asllvd/demos/verify_start_end_handshape_annotations//test_auto_move//signs_mov_separ_signers/Brady_15401.mov","MOV")</f>
        <v>21</v>
      </c>
    </row>
    <row r="3324" s="2" customFormat="1" ht="13.5" customHeight="1">
      <c r="B3324" s="13"/>
      <c r="C3324" t="s" s="9">
        <v>30</v>
      </c>
      <c r="D3324" t="s" s="8">
        <v>1132</v>
      </c>
      <c r="E3324" t="s" s="9">
        <v>1133</v>
      </c>
      <c r="F3324" t="s" s="10">
        <v>240</v>
      </c>
      <c r="G3324" t="s" s="11">
        <v>240</v>
      </c>
      <c r="H3324" t="s" s="10">
        <v>240</v>
      </c>
      <c r="I3324" t="s" s="11">
        <v>240</v>
      </c>
      <c r="J3324" t="s" s="11">
        <v>20</v>
      </c>
      <c r="K3324" s="15"/>
      <c r="L3324" t="s" s="16">
        <f>HYPERLINK("http://csr.bu.edu/ftp/asl/asllvd/demos/verify_start_end_handshape_annotations//test_auto_move//signs_mov_separ_signers/Brady_16325.mov","MOV")</f>
        <v>21</v>
      </c>
      <c r="M3324" t="s" s="10">
        <v>60</v>
      </c>
      <c r="N3324" s="17">
        <v>41</v>
      </c>
      <c r="O3324" s="18">
        <v>3764</v>
      </c>
      <c r="P3324" s="18">
        <v>3793</v>
      </c>
      <c r="Q3324" s="15"/>
      <c r="R3324" t="s" s="16">
        <f>HYPERLINK("http://secrets.rutgers.edu:8080/data/asl-ftp/asllvd/demos/verify_start_end_handshape_annotations//test_auto_move//signs_mov_separ_signers/Brady_16325.mov","MOV")</f>
        <v>21</v>
      </c>
    </row>
    <row r="3325" s="2" customFormat="1" ht="13.5" customHeight="1">
      <c r="B3325" t="s" s="8">
        <v>1134</v>
      </c>
      <c r="C3325" t="s" s="9">
        <v>14</v>
      </c>
      <c r="D3325" t="s" s="8">
        <v>14</v>
      </c>
      <c r="E3325" t="s" s="9">
        <v>14</v>
      </c>
      <c r="F3325" t="s" s="10">
        <v>14</v>
      </c>
      <c r="G3325" t="s" s="11">
        <v>14</v>
      </c>
      <c r="H3325" t="s" s="10">
        <v>14</v>
      </c>
      <c r="I3325" t="s" s="11">
        <v>14</v>
      </c>
      <c r="J3325" t="s" s="11">
        <v>14</v>
      </c>
      <c r="K3325" t="s" s="12">
        <v>14</v>
      </c>
      <c r="L3325" t="s" s="12">
        <v>14</v>
      </c>
      <c r="M3325" t="s" s="10">
        <v>14</v>
      </c>
      <c r="N3325" t="s" s="11">
        <v>14</v>
      </c>
      <c r="O3325" t="s" s="8">
        <v>14</v>
      </c>
      <c r="P3325" t="s" s="8">
        <v>14</v>
      </c>
      <c r="Q3325" t="s" s="12">
        <v>14</v>
      </c>
      <c r="R3325" t="s" s="12">
        <v>14</v>
      </c>
    </row>
    <row r="3326" s="2" customFormat="1" ht="13.5" customHeight="1">
      <c r="B3326" s="13"/>
      <c r="C3326" t="s" s="9">
        <v>16</v>
      </c>
      <c r="D3326" t="s" s="8">
        <v>1134</v>
      </c>
      <c r="E3326" t="s" s="9">
        <v>1134</v>
      </c>
      <c r="F3326" t="s" s="10">
        <v>55</v>
      </c>
      <c r="G3326" t="s" s="11">
        <v>55</v>
      </c>
      <c r="H3326" t="s" s="10">
        <v>55</v>
      </c>
      <c r="I3326" t="s" s="11">
        <v>55</v>
      </c>
      <c r="J3326" t="s" s="11">
        <v>20</v>
      </c>
      <c r="K3326" s="15"/>
      <c r="L3326" t="s" s="16">
        <f>HYPERLINK("http://csr.bu.edu/ftp/asl/asllvd/demos/verify_start_end_handshape_annotations//test_auto_move//signs_mov_separ_signers/Liz_696.mov","MOV")</f>
        <v>21</v>
      </c>
      <c r="M3326" t="s" s="10">
        <v>84</v>
      </c>
      <c r="N3326" s="17">
        <v>20</v>
      </c>
      <c r="O3326" s="18">
        <v>1766</v>
      </c>
      <c r="P3326" s="18">
        <v>1789</v>
      </c>
      <c r="Q3326" s="15"/>
      <c r="R3326" t="s" s="16">
        <f>HYPERLINK("http://secrets.rutgers.edu:8080/data/asl-ftp/asllvd/demos/verify_start_end_handshape_annotations//test_auto_move//signs_mov_separ_signers/Liz_696.mov","MOV")</f>
        <v>21</v>
      </c>
    </row>
    <row r="3327" s="2" customFormat="1" ht="13.5" customHeight="1">
      <c r="B3327" s="13"/>
      <c r="C3327" t="s" s="9">
        <v>23</v>
      </c>
      <c r="D3327" t="s" s="8">
        <v>1134</v>
      </c>
      <c r="E3327" t="s" s="9">
        <v>1134</v>
      </c>
      <c r="F3327" t="s" s="10">
        <v>55</v>
      </c>
      <c r="G3327" t="s" s="11">
        <v>55</v>
      </c>
      <c r="H3327" t="s" s="10">
        <v>55</v>
      </c>
      <c r="I3327" t="s" s="11">
        <v>55</v>
      </c>
      <c r="J3327" t="s" s="11">
        <v>20</v>
      </c>
      <c r="K3327" t="s" s="16">
        <f>HYPERLINK("http://csr.bu.edu/ftp/asl/asllvd/demos/verify_start_end_handshape_annotations//test_auto_move//signs_mov/696.mov","MOV")</f>
        <v>21</v>
      </c>
      <c r="L3327" t="s" s="16">
        <f>HYPERLINK("http://csr.bu.edu/ftp/asl/asllvd/demos/verify_start_end_handshape_annotations//test_auto_move//signs_mov_separ_signers/Tyler_696.mov","MOV")</f>
        <v>21</v>
      </c>
      <c r="M3327" t="s" s="10">
        <v>125</v>
      </c>
      <c r="N3327" s="17">
        <v>19</v>
      </c>
      <c r="O3327" s="18">
        <v>1699</v>
      </c>
      <c r="P3327" s="18">
        <v>1712</v>
      </c>
      <c r="Q3327" t="s" s="16">
        <f>HYPERLINK("http://secrets.rutgers.edu:8080/data/asl-ftp/asllvd/demos/verify_start_end_handshape_annotations//test_auto_move//signs_mov/696.mov","MOV")</f>
        <v>21</v>
      </c>
      <c r="R3327" t="s" s="16">
        <f>HYPERLINK("http://secrets.rutgers.edu:8080/data/asl-ftp/asllvd/demos/verify_start_end_handshape_annotations//test_auto_move//signs_mov_separ_signers/Tyler_696.mov","MOV")</f>
        <v>21</v>
      </c>
    </row>
    <row r="3328" s="2" customFormat="1" ht="13.5" customHeight="1">
      <c r="B3328" s="13"/>
      <c r="C3328" t="s" s="9">
        <v>27</v>
      </c>
      <c r="D3328" t="s" s="8">
        <v>1134</v>
      </c>
      <c r="E3328" t="s" s="9">
        <v>1134</v>
      </c>
      <c r="F3328" t="s" s="10">
        <v>73</v>
      </c>
      <c r="G3328" t="s" s="11">
        <v>73</v>
      </c>
      <c r="H3328" t="s" s="10">
        <v>73</v>
      </c>
      <c r="I3328" t="s" s="11">
        <v>73</v>
      </c>
      <c r="J3328" t="s" s="11">
        <v>20</v>
      </c>
      <c r="K3328" s="15"/>
      <c r="L3328" t="s" s="16">
        <f>HYPERLINK("http://csr.bu.edu/ftp/asl/asllvd/demos/verify_start_end_handshape_annotations//test_auto_move//signs_mov_separ_signers/Naomi_696.mov","MOV")</f>
        <v>21</v>
      </c>
      <c r="M3328" t="s" s="10">
        <v>86</v>
      </c>
      <c r="N3328" s="17">
        <v>20</v>
      </c>
      <c r="O3328" s="18">
        <v>1525</v>
      </c>
      <c r="P3328" s="18">
        <v>1542</v>
      </c>
      <c r="Q3328" s="15"/>
      <c r="R3328" t="s" s="16">
        <f>HYPERLINK("http://secrets.rutgers.edu:8080/data/asl-ftp/asllvd/demos/verify_start_end_handshape_annotations//test_auto_move//signs_mov_separ_signers/Naomi_696.mov","MOV")</f>
        <v>21</v>
      </c>
    </row>
    <row r="3329" s="2" customFormat="1" ht="13.5" customHeight="1">
      <c r="B3329" s="13"/>
      <c r="C3329" t="s" s="9">
        <v>30</v>
      </c>
      <c r="D3329" t="s" s="8">
        <v>1134</v>
      </c>
      <c r="E3329" t="s" s="9">
        <v>1134</v>
      </c>
      <c r="F3329" t="s" s="10">
        <v>73</v>
      </c>
      <c r="G3329" t="s" s="11">
        <v>73</v>
      </c>
      <c r="H3329" t="s" s="10">
        <v>73</v>
      </c>
      <c r="I3329" t="s" s="11">
        <v>73</v>
      </c>
      <c r="J3329" t="s" s="11">
        <v>20</v>
      </c>
      <c r="K3329" s="15"/>
      <c r="L3329" t="s" s="16">
        <f>HYPERLINK("http://csr.bu.edu/ftp/asl/asllvd/demos/verify_start_end_handshape_annotations//test_auto_move//signs_mov_separ_signers/Brady_696.mov","MOV")</f>
        <v>21</v>
      </c>
      <c r="M3329" t="s" s="10">
        <v>31</v>
      </c>
      <c r="N3329" s="17">
        <v>36</v>
      </c>
      <c r="O3329" s="18">
        <v>4477</v>
      </c>
      <c r="P3329" s="18">
        <v>4487</v>
      </c>
      <c r="Q3329" s="15"/>
      <c r="R3329" t="s" s="16">
        <f>HYPERLINK("http://secrets.rutgers.edu:8080/data/asl-ftp/asllvd/demos/verify_start_end_handshape_annotations//test_auto_move//signs_mov_separ_signers/Brady_696.mov","MOV")</f>
        <v>21</v>
      </c>
    </row>
    <row r="3330" s="2" customFormat="1" ht="13.5" customHeight="1">
      <c r="B3330" t="s" s="8">
        <v>1135</v>
      </c>
      <c r="C3330" t="s" s="9">
        <v>14</v>
      </c>
      <c r="D3330" t="s" s="8">
        <v>14</v>
      </c>
      <c r="E3330" t="s" s="9">
        <v>14</v>
      </c>
      <c r="F3330" t="s" s="10">
        <v>14</v>
      </c>
      <c r="G3330" t="s" s="11">
        <v>14</v>
      </c>
      <c r="H3330" t="s" s="10">
        <v>14</v>
      </c>
      <c r="I3330" t="s" s="11">
        <v>14</v>
      </c>
      <c r="J3330" t="s" s="11">
        <v>14</v>
      </c>
      <c r="K3330" t="s" s="12">
        <v>14</v>
      </c>
      <c r="L3330" t="s" s="12">
        <v>14</v>
      </c>
      <c r="M3330" t="s" s="10">
        <v>14</v>
      </c>
      <c r="N3330" t="s" s="11">
        <v>14</v>
      </c>
      <c r="O3330" t="s" s="8">
        <v>14</v>
      </c>
      <c r="P3330" t="s" s="8">
        <v>14</v>
      </c>
      <c r="Q3330" t="s" s="12">
        <v>14</v>
      </c>
      <c r="R3330" t="s" s="12">
        <v>14</v>
      </c>
    </row>
    <row r="3331" s="2" customFormat="1" ht="13.5" customHeight="1">
      <c r="B3331" s="13"/>
      <c r="C3331" t="s" s="9">
        <v>16</v>
      </c>
      <c r="D3331" t="s" s="8">
        <v>1135</v>
      </c>
      <c r="E3331" t="s" s="9">
        <v>1135</v>
      </c>
      <c r="F3331" t="s" s="10">
        <v>55</v>
      </c>
      <c r="G3331" t="s" s="11">
        <v>55</v>
      </c>
      <c r="H3331" t="s" s="10">
        <v>55</v>
      </c>
      <c r="I3331" t="s" s="11">
        <v>55</v>
      </c>
      <c r="J3331" t="s" s="11">
        <v>20</v>
      </c>
      <c r="K3331" s="15"/>
      <c r="L3331" t="s" s="16">
        <f>HYPERLINK("http://csr.bu.edu/ftp/asl/asllvd/demos/verify_start_end_handshape_annotations//test_auto_move//signs_mov_separ_signers/Liz_15548.mov","MOV")</f>
        <v>21</v>
      </c>
      <c r="M3331" t="s" s="10">
        <v>36</v>
      </c>
      <c r="N3331" s="17">
        <v>4</v>
      </c>
      <c r="O3331" s="18">
        <v>1545</v>
      </c>
      <c r="P3331" s="18">
        <v>1596</v>
      </c>
      <c r="Q3331" s="15"/>
      <c r="R3331" t="s" s="16">
        <f>HYPERLINK("http://secrets.rutgers.edu:8080/data/asl-ftp/asllvd/demos/verify_start_end_handshape_annotations//test_auto_move//signs_mov_separ_signers/Liz_15548.mov","MOV")</f>
        <v>21</v>
      </c>
    </row>
    <row r="3332" s="2" customFormat="1" ht="13.5" customHeight="1">
      <c r="B3332" s="13"/>
      <c r="C3332" t="s" s="9">
        <v>30</v>
      </c>
      <c r="D3332" t="s" s="8">
        <v>1135</v>
      </c>
      <c r="E3332" t="s" s="9">
        <v>1135</v>
      </c>
      <c r="F3332" t="s" s="10">
        <v>152</v>
      </c>
      <c r="G3332" t="s" s="11">
        <v>152</v>
      </c>
      <c r="H3332" t="s" s="10">
        <v>152</v>
      </c>
      <c r="I3332" t="s" s="11">
        <v>152</v>
      </c>
      <c r="J3332" t="s" s="11">
        <v>20</v>
      </c>
      <c r="K3332" t="s" s="16">
        <f>HYPERLINK("http://csr.bu.edu/ftp/asl/asllvd/demos/verify_start_end_handshape_annotations//test_auto_move//signs_mov/15548.mov","MOV")</f>
        <v>21</v>
      </c>
      <c r="L3332" t="s" s="16">
        <f>HYPERLINK("http://csr.bu.edu/ftp/asl/asllvd/demos/verify_start_end_handshape_annotations//test_auto_move//signs_mov_separ_signers/Brady_15548.mov","MOV")</f>
        <v>21</v>
      </c>
      <c r="M3332" t="s" s="10">
        <v>40</v>
      </c>
      <c r="N3332" s="17">
        <v>49</v>
      </c>
      <c r="O3332" s="18">
        <v>468</v>
      </c>
      <c r="P3332" s="18">
        <v>492</v>
      </c>
      <c r="Q3332" t="s" s="16">
        <f>HYPERLINK("http://secrets.rutgers.edu:8080/data/asl-ftp/asllvd/demos/verify_start_end_handshape_annotations//test_auto_move//signs_mov/15548.mov","MOV")</f>
        <v>21</v>
      </c>
      <c r="R3332" t="s" s="16">
        <f>HYPERLINK("http://secrets.rutgers.edu:8080/data/asl-ftp/asllvd/demos/verify_start_end_handshape_annotations//test_auto_move//signs_mov_separ_signers/Brady_15548.mov","MOV")</f>
        <v>21</v>
      </c>
    </row>
    <row r="3333" s="2" customFormat="1" ht="13.5" customHeight="1">
      <c r="B3333" s="13"/>
      <c r="C3333" t="s" s="9">
        <v>43</v>
      </c>
      <c r="D3333" t="s" s="8">
        <v>1135</v>
      </c>
      <c r="E3333" t="s" s="9">
        <v>1135</v>
      </c>
      <c r="F3333" t="s" s="10">
        <v>152</v>
      </c>
      <c r="G3333" t="s" s="11">
        <v>152</v>
      </c>
      <c r="H3333" t="s" s="10">
        <v>152</v>
      </c>
      <c r="I3333" t="s" s="11">
        <v>152</v>
      </c>
      <c r="J3333" t="s" s="11">
        <v>20</v>
      </c>
      <c r="K3333" s="15"/>
      <c r="L3333" t="s" s="16">
        <f>HYPERLINK("http://csr.bu.edu/ftp/asl/asllvd/demos/verify_start_end_handshape_annotations//test_auto_move//signs_mov_separ_signers/Dana_15548.mov","MOV")</f>
        <v>21</v>
      </c>
      <c r="M3333" t="s" s="10">
        <v>44</v>
      </c>
      <c r="N3333" s="17">
        <v>25</v>
      </c>
      <c r="O3333" s="18">
        <v>781</v>
      </c>
      <c r="P3333" s="18">
        <v>824</v>
      </c>
      <c r="Q3333" s="15"/>
      <c r="R3333" t="s" s="16">
        <f>HYPERLINK("http://secrets.rutgers.edu:8080/data/asl-ftp/asllvd/demos/verify_start_end_handshape_annotations//test_auto_move//signs_mov_separ_signers/Dana_15548.mov","MOV")</f>
        <v>21</v>
      </c>
    </row>
    <row r="3334" s="2" customFormat="1" ht="13.5" customHeight="1">
      <c r="B3334" t="s" s="8">
        <v>52</v>
      </c>
      <c r="C3334" t="s" s="9">
        <v>53</v>
      </c>
      <c r="D3334" t="s" s="8">
        <v>53</v>
      </c>
      <c r="E3334" t="s" s="9">
        <v>53</v>
      </c>
      <c r="F3334" t="s" s="10">
        <v>53</v>
      </c>
      <c r="G3334" t="s" s="11">
        <v>53</v>
      </c>
      <c r="H3334" t="s" s="10">
        <v>53</v>
      </c>
      <c r="I3334" t="s" s="11">
        <v>53</v>
      </c>
      <c r="J3334" t="s" s="11">
        <v>53</v>
      </c>
      <c r="K3334" t="s" s="12">
        <v>53</v>
      </c>
      <c r="L3334" t="s" s="12">
        <v>53</v>
      </c>
      <c r="M3334" t="s" s="10">
        <v>53</v>
      </c>
      <c r="N3334" t="s" s="11">
        <v>53</v>
      </c>
      <c r="O3334" t="s" s="8">
        <v>53</v>
      </c>
      <c r="P3334" t="s" s="8">
        <v>53</v>
      </c>
      <c r="Q3334" t="s" s="12">
        <v>53</v>
      </c>
      <c r="R3334" t="s" s="12">
        <v>53</v>
      </c>
    </row>
    <row r="3335" s="2" customFormat="1" ht="13.5" customHeight="1">
      <c r="B3335" s="13"/>
      <c r="C3335" t="s" s="9">
        <v>41</v>
      </c>
      <c r="D3335" t="s" s="8">
        <v>1135</v>
      </c>
      <c r="E3335" t="s" s="9">
        <v>1136</v>
      </c>
      <c r="F3335" t="s" s="10">
        <v>55</v>
      </c>
      <c r="G3335" t="s" s="11">
        <v>55</v>
      </c>
      <c r="H3335" t="s" s="10">
        <v>55</v>
      </c>
      <c r="I3335" t="s" s="11">
        <v>55</v>
      </c>
      <c r="J3335" t="s" s="11">
        <v>20</v>
      </c>
      <c r="K3335" t="s" s="16">
        <f>HYPERLINK("http://csr.bu.edu/ftp/asl/asllvd/demos/verify_start_end_handshape_annotations//test_auto_move//signs_mov/16326.mov","MOV")</f>
        <v>21</v>
      </c>
      <c r="L3335" t="s" s="16">
        <f>HYPERLINK("http://csr.bu.edu/ftp/asl/asllvd/demos/verify_start_end_handshape_annotations//test_auto_move//signs_mov_separ_signers/Lana_16326.mov","MOV")</f>
        <v>21</v>
      </c>
      <c r="M3335" t="s" s="10">
        <v>42</v>
      </c>
      <c r="N3335" s="17">
        <v>22</v>
      </c>
      <c r="O3335" s="18">
        <v>860</v>
      </c>
      <c r="P3335" s="18">
        <v>902</v>
      </c>
      <c r="Q3335" t="s" s="16">
        <f>HYPERLINK("http://secrets.rutgers.edu:8080/data/asl-ftp/asllvd/demos/verify_start_end_handshape_annotations//test_auto_move//signs_mov/16326.mov","MOV")</f>
        <v>21</v>
      </c>
      <c r="R3335" t="s" s="16">
        <f>HYPERLINK("http://secrets.rutgers.edu:8080/data/asl-ftp/asllvd/demos/verify_start_end_handshape_annotations//test_auto_move//signs_mov_separ_signers/Lana_16326.mov","MOV")</f>
        <v>21</v>
      </c>
    </row>
    <row r="3336" s="2" customFormat="1" ht="13.5" customHeight="1">
      <c r="B3336" t="s" s="8">
        <v>1137</v>
      </c>
      <c r="C3336" t="s" s="9">
        <v>14</v>
      </c>
      <c r="D3336" t="s" s="8">
        <v>14</v>
      </c>
      <c r="E3336" t="s" s="9">
        <v>14</v>
      </c>
      <c r="F3336" t="s" s="10">
        <v>14</v>
      </c>
      <c r="G3336" t="s" s="11">
        <v>14</v>
      </c>
      <c r="H3336" t="s" s="10">
        <v>14</v>
      </c>
      <c r="I3336" t="s" s="11">
        <v>14</v>
      </c>
      <c r="J3336" t="s" s="11">
        <v>14</v>
      </c>
      <c r="K3336" t="s" s="12">
        <v>14</v>
      </c>
      <c r="L3336" t="s" s="12">
        <v>14</v>
      </c>
      <c r="M3336" t="s" s="10">
        <v>14</v>
      </c>
      <c r="N3336" t="s" s="11">
        <v>14</v>
      </c>
      <c r="O3336" t="s" s="8">
        <v>14</v>
      </c>
      <c r="P3336" t="s" s="8">
        <v>14</v>
      </c>
      <c r="Q3336" t="s" s="12">
        <v>14</v>
      </c>
      <c r="R3336" t="s" s="12">
        <v>14</v>
      </c>
    </row>
    <row r="3337" s="2" customFormat="1" ht="13.5" customHeight="1">
      <c r="B3337" s="13"/>
      <c r="C3337" t="s" s="9">
        <v>16</v>
      </c>
      <c r="D3337" t="s" s="8">
        <v>1137</v>
      </c>
      <c r="E3337" t="s" s="9">
        <v>1137</v>
      </c>
      <c r="F3337" t="s" s="10">
        <v>51</v>
      </c>
      <c r="G3337" t="s" s="11">
        <v>51</v>
      </c>
      <c r="H3337" t="s" s="10">
        <v>51</v>
      </c>
      <c r="I3337" t="s" s="11">
        <v>51</v>
      </c>
      <c r="J3337" t="s" s="11">
        <v>20</v>
      </c>
      <c r="K3337" s="15"/>
      <c r="L3337" t="s" s="16">
        <f>HYPERLINK("http://csr.bu.edu/ftp/asl/asllvd/demos/verify_start_end_handshape_annotations//test_auto_move//signs_mov_separ_signers/Liz_697.mov","MOV")</f>
        <v>21</v>
      </c>
      <c r="M3337" t="s" s="10">
        <v>84</v>
      </c>
      <c r="N3337" s="17">
        <v>20</v>
      </c>
      <c r="O3337" s="18">
        <v>1986</v>
      </c>
      <c r="P3337" s="18">
        <v>2015</v>
      </c>
      <c r="Q3337" s="15"/>
      <c r="R3337" t="s" s="16">
        <f>HYPERLINK("http://secrets.rutgers.edu:8080/data/asl-ftp/asllvd/demos/verify_start_end_handshape_annotations//test_auto_move//signs_mov_separ_signers/Liz_697.mov","MOV")</f>
        <v>21</v>
      </c>
    </row>
    <row r="3338" s="2" customFormat="1" ht="13.5" customHeight="1">
      <c r="B3338" s="13"/>
      <c r="C3338" t="s" s="9">
        <v>23</v>
      </c>
      <c r="D3338" t="s" s="8">
        <v>1137</v>
      </c>
      <c r="E3338" t="s" s="9">
        <v>1137</v>
      </c>
      <c r="F3338" t="s" s="10">
        <v>51</v>
      </c>
      <c r="G3338" t="s" s="11">
        <v>51</v>
      </c>
      <c r="H3338" t="s" s="10">
        <v>51</v>
      </c>
      <c r="I3338" t="s" s="11">
        <v>51</v>
      </c>
      <c r="J3338" t="s" s="11">
        <v>20</v>
      </c>
      <c r="K3338" s="15"/>
      <c r="L3338" t="s" s="16">
        <f>HYPERLINK("http://csr.bu.edu/ftp/asl/asllvd/demos/verify_start_end_handshape_annotations//test_auto_move//signs_mov_separ_signers/Tyler_697.mov","MOV")</f>
        <v>21</v>
      </c>
      <c r="M3338" t="s" s="10">
        <v>125</v>
      </c>
      <c r="N3338" s="17">
        <v>19</v>
      </c>
      <c r="O3338" s="18">
        <v>1942</v>
      </c>
      <c r="P3338" s="18">
        <v>1970</v>
      </c>
      <c r="Q3338" s="15"/>
      <c r="R3338" t="s" s="16">
        <f>HYPERLINK("http://secrets.rutgers.edu:8080/data/asl-ftp/asllvd/demos/verify_start_end_handshape_annotations//test_auto_move//signs_mov_separ_signers/Tyler_697.mov","MOV")</f>
        <v>21</v>
      </c>
    </row>
    <row r="3339" s="2" customFormat="1" ht="13.5" customHeight="1">
      <c r="B3339" s="13"/>
      <c r="C3339" t="s" s="9">
        <v>27</v>
      </c>
      <c r="D3339" t="s" s="8">
        <v>1137</v>
      </c>
      <c r="E3339" t="s" s="9">
        <v>1137</v>
      </c>
      <c r="F3339" t="s" s="10">
        <v>51</v>
      </c>
      <c r="G3339" t="s" s="11">
        <v>51</v>
      </c>
      <c r="H3339" t="s" s="10">
        <v>51</v>
      </c>
      <c r="I3339" t="s" s="11">
        <v>51</v>
      </c>
      <c r="J3339" t="s" s="11">
        <v>20</v>
      </c>
      <c r="K3339" t="s" s="16">
        <f>HYPERLINK("http://csr.bu.edu/ftp/asl/asllvd/demos/verify_start_end_handshape_annotations//test_auto_move//signs_mov/697.mov","MOV")</f>
        <v>21</v>
      </c>
      <c r="L3339" t="s" s="16">
        <f>HYPERLINK("http://csr.bu.edu/ftp/asl/asllvd/demos/verify_start_end_handshape_annotations//test_auto_move//signs_mov_separ_signers/Naomi_697.mov","MOV")</f>
        <v>21</v>
      </c>
      <c r="M3339" t="s" s="10">
        <v>86</v>
      </c>
      <c r="N3339" s="17">
        <v>20</v>
      </c>
      <c r="O3339" s="18">
        <v>1801</v>
      </c>
      <c r="P3339" s="18">
        <v>1816</v>
      </c>
      <c r="Q3339" t="s" s="16">
        <f>HYPERLINK("http://secrets.rutgers.edu:8080/data/asl-ftp/asllvd/demos/verify_start_end_handshape_annotations//test_auto_move//signs_mov/697.mov","MOV")</f>
        <v>21</v>
      </c>
      <c r="R3339" t="s" s="16">
        <f>HYPERLINK("http://secrets.rutgers.edu:8080/data/asl-ftp/asllvd/demos/verify_start_end_handshape_annotations//test_auto_move//signs_mov_separ_signers/Naomi_697.mov","MOV")</f>
        <v>21</v>
      </c>
    </row>
    <row r="3340" s="2" customFormat="1" ht="13.5" customHeight="1">
      <c r="B3340" s="13"/>
      <c r="C3340" t="s" s="9">
        <v>30</v>
      </c>
      <c r="D3340" t="s" s="8">
        <v>1137</v>
      </c>
      <c r="E3340" t="s" s="9">
        <v>1137</v>
      </c>
      <c r="F3340" t="s" s="10">
        <v>51</v>
      </c>
      <c r="G3340" t="s" s="11">
        <v>51</v>
      </c>
      <c r="H3340" t="s" s="10">
        <v>51</v>
      </c>
      <c r="I3340" t="s" s="11">
        <v>51</v>
      </c>
      <c r="J3340" t="s" s="11">
        <v>20</v>
      </c>
      <c r="K3340" s="15"/>
      <c r="L3340" t="s" s="16">
        <f>HYPERLINK("http://csr.bu.edu/ftp/asl/asllvd/demos/verify_start_end_handshape_annotations//test_auto_move//signs_mov_separ_signers/Brady_697.mov","MOV")</f>
        <v>21</v>
      </c>
      <c r="M3340" t="s" s="10">
        <v>31</v>
      </c>
      <c r="N3340" s="17">
        <v>36</v>
      </c>
      <c r="O3340" s="18">
        <v>5043</v>
      </c>
      <c r="P3340" s="18">
        <v>5057</v>
      </c>
      <c r="Q3340" s="15"/>
      <c r="R3340" t="s" s="16">
        <f>HYPERLINK("http://secrets.rutgers.edu:8080/data/asl-ftp/asllvd/demos/verify_start_end_handshape_annotations//test_auto_move//signs_mov_separ_signers/Brady_697.mov","MOV")</f>
        <v>21</v>
      </c>
    </row>
    <row r="3341" s="2" customFormat="1" ht="13.5" customHeight="1">
      <c r="B3341" s="13"/>
      <c r="C3341" t="s" s="9">
        <v>41</v>
      </c>
      <c r="D3341" t="s" s="8">
        <v>1137</v>
      </c>
      <c r="E3341" t="s" s="9">
        <v>1137</v>
      </c>
      <c r="F3341" t="s" s="10">
        <v>51</v>
      </c>
      <c r="G3341" t="s" s="11">
        <v>51</v>
      </c>
      <c r="H3341" t="s" s="10">
        <v>51</v>
      </c>
      <c r="I3341" t="s" s="11">
        <v>51</v>
      </c>
      <c r="J3341" t="s" s="11">
        <v>20</v>
      </c>
      <c r="K3341" s="15"/>
      <c r="L3341" t="s" s="16">
        <f>HYPERLINK("http://csr.bu.edu/ftp/asl/asllvd/demos/verify_start_end_handshape_annotations//test_auto_move//signs_mov_separ_signers/Lana_697.mov","MOV")</f>
        <v>21</v>
      </c>
      <c r="M3341" t="s" s="10">
        <v>42</v>
      </c>
      <c r="N3341" s="17">
        <v>7</v>
      </c>
      <c r="O3341" s="18">
        <v>2124</v>
      </c>
      <c r="P3341" s="18">
        <v>2134</v>
      </c>
      <c r="Q3341" s="15"/>
      <c r="R3341" t="s" s="16">
        <f>HYPERLINK("http://secrets.rutgers.edu:8080/data/asl-ftp/asllvd/demos/verify_start_end_handshape_annotations//test_auto_move//signs_mov_separ_signers/Lana_697.mov","MOV")</f>
        <v>21</v>
      </c>
    </row>
    <row r="3342" s="2" customFormat="1" ht="13.5" customHeight="1">
      <c r="B3342" s="13"/>
      <c r="C3342" t="s" s="9">
        <v>43</v>
      </c>
      <c r="D3342" t="s" s="8">
        <v>1137</v>
      </c>
      <c r="E3342" t="s" s="9">
        <v>1137</v>
      </c>
      <c r="F3342" t="s" s="10">
        <v>51</v>
      </c>
      <c r="G3342" t="s" s="11">
        <v>51</v>
      </c>
      <c r="H3342" t="s" s="10">
        <v>51</v>
      </c>
      <c r="I3342" t="s" s="11">
        <v>51</v>
      </c>
      <c r="J3342" t="s" s="11">
        <v>20</v>
      </c>
      <c r="K3342" s="15"/>
      <c r="L3342" t="s" s="16">
        <f>HYPERLINK("http://csr.bu.edu/ftp/asl/asllvd/demos/verify_start_end_handshape_annotations//test_auto_move//signs_mov_separ_signers/Dana_697.mov","MOV")</f>
        <v>21</v>
      </c>
      <c r="M3342" t="s" s="10">
        <v>44</v>
      </c>
      <c r="N3342" s="17">
        <v>11</v>
      </c>
      <c r="O3342" s="18">
        <v>2276</v>
      </c>
      <c r="P3342" s="18">
        <v>2320</v>
      </c>
      <c r="Q3342" s="15"/>
      <c r="R3342" t="s" s="16">
        <f>HYPERLINK("http://secrets.rutgers.edu:8080/data/asl-ftp/asllvd/demos/verify_start_end_handshape_annotations//test_auto_move//signs_mov_separ_signers/Dana_697.mov","MOV")</f>
        <v>21</v>
      </c>
    </row>
    <row r="3343" s="2" customFormat="1" ht="13.5" customHeight="1">
      <c r="B3343" t="s" s="8">
        <v>1138</v>
      </c>
      <c r="C3343" t="s" s="9">
        <v>14</v>
      </c>
      <c r="D3343" t="s" s="8">
        <v>14</v>
      </c>
      <c r="E3343" t="s" s="9">
        <v>14</v>
      </c>
      <c r="F3343" t="s" s="10">
        <v>14</v>
      </c>
      <c r="G3343" t="s" s="11">
        <v>14</v>
      </c>
      <c r="H3343" t="s" s="10">
        <v>14</v>
      </c>
      <c r="I3343" t="s" s="11">
        <v>14</v>
      </c>
      <c r="J3343" t="s" s="11">
        <v>14</v>
      </c>
      <c r="K3343" t="s" s="12">
        <v>14</v>
      </c>
      <c r="L3343" t="s" s="12">
        <v>14</v>
      </c>
      <c r="M3343" t="s" s="10">
        <v>14</v>
      </c>
      <c r="N3343" t="s" s="11">
        <v>14</v>
      </c>
      <c r="O3343" t="s" s="8">
        <v>14</v>
      </c>
      <c r="P3343" t="s" s="8">
        <v>14</v>
      </c>
      <c r="Q3343" t="s" s="12">
        <v>14</v>
      </c>
      <c r="R3343" t="s" s="12">
        <v>14</v>
      </c>
    </row>
    <row r="3344" s="2" customFormat="1" ht="13.5" customHeight="1">
      <c r="B3344" s="13"/>
      <c r="C3344" t="s" s="9">
        <v>16</v>
      </c>
      <c r="D3344" t="s" s="8">
        <v>1138</v>
      </c>
      <c r="E3344" t="s" s="9">
        <v>1139</v>
      </c>
      <c r="F3344" t="s" s="10">
        <v>72</v>
      </c>
      <c r="G3344" s="14"/>
      <c r="H3344" t="s" s="10">
        <v>72</v>
      </c>
      <c r="I3344" s="14"/>
      <c r="J3344" t="s" s="11">
        <v>20</v>
      </c>
      <c r="K3344" s="15"/>
      <c r="L3344" t="s" s="16">
        <f>HYPERLINK("http://csr.bu.edu/ftp/asl/asllvd/demos/verify_start_end_handshape_annotations//test_auto_move//signs_mov_separ_signers/Liz_698.mov","MOV")</f>
        <v>21</v>
      </c>
      <c r="M3344" t="s" s="10">
        <v>84</v>
      </c>
      <c r="N3344" s="17">
        <v>20</v>
      </c>
      <c r="O3344" s="18">
        <v>2180</v>
      </c>
      <c r="P3344" s="18">
        <v>2260</v>
      </c>
      <c r="Q3344" s="15"/>
      <c r="R3344" t="s" s="16">
        <f>HYPERLINK("http://secrets.rutgers.edu:8080/data/asl-ftp/asllvd/demos/verify_start_end_handshape_annotations//test_auto_move//signs_mov_separ_signers/Liz_698.mov","MOV")</f>
        <v>21</v>
      </c>
    </row>
    <row r="3345" s="2" customFormat="1" ht="13.5" customHeight="1">
      <c r="B3345" s="13"/>
      <c r="C3345" t="s" s="9">
        <v>23</v>
      </c>
      <c r="D3345" t="s" s="8">
        <v>1138</v>
      </c>
      <c r="E3345" t="s" s="9">
        <v>1139</v>
      </c>
      <c r="F3345" t="s" s="10">
        <v>72</v>
      </c>
      <c r="G3345" s="14"/>
      <c r="H3345" t="s" s="10">
        <v>72</v>
      </c>
      <c r="I3345" s="14"/>
      <c r="J3345" t="s" s="11">
        <v>20</v>
      </c>
      <c r="K3345" t="s" s="16">
        <f>HYPERLINK("http://csr.bu.edu/ftp/asl/asllvd/demos/verify_start_end_handshape_annotations//test_auto_move//signs_mov/698.mov","MOV")</f>
        <v>21</v>
      </c>
      <c r="L3345" t="s" s="16">
        <f>HYPERLINK("http://csr.bu.edu/ftp/asl/asllvd/demos/verify_start_end_handshape_annotations//test_auto_move//signs_mov_separ_signers/Tyler_698.mov","MOV")</f>
        <v>21</v>
      </c>
      <c r="M3345" t="s" s="10">
        <v>125</v>
      </c>
      <c r="N3345" s="17">
        <v>19</v>
      </c>
      <c r="O3345" s="18">
        <v>2137</v>
      </c>
      <c r="P3345" s="18">
        <v>2195</v>
      </c>
      <c r="Q3345" t="s" s="16">
        <f>HYPERLINK("http://secrets.rutgers.edu:8080/data/asl-ftp/asllvd/demos/verify_start_end_handshape_annotations//test_auto_move//signs_mov/698.mov","MOV")</f>
        <v>21</v>
      </c>
      <c r="R3345" t="s" s="16">
        <f>HYPERLINK("http://secrets.rutgers.edu:8080/data/asl-ftp/asllvd/demos/verify_start_end_handshape_annotations//test_auto_move//signs_mov_separ_signers/Tyler_698.mov","MOV")</f>
        <v>21</v>
      </c>
    </row>
    <row r="3346" s="2" customFormat="1" ht="13.5" customHeight="1">
      <c r="B3346" s="13"/>
      <c r="C3346" t="s" s="9">
        <v>27</v>
      </c>
      <c r="D3346" t="s" s="8">
        <v>1138</v>
      </c>
      <c r="E3346" t="s" s="9">
        <v>1139</v>
      </c>
      <c r="F3346" t="s" s="10">
        <v>72</v>
      </c>
      <c r="G3346" s="14"/>
      <c r="H3346" t="s" s="10">
        <v>72</v>
      </c>
      <c r="I3346" s="14"/>
      <c r="J3346" t="s" s="11">
        <v>20</v>
      </c>
      <c r="K3346" s="15"/>
      <c r="L3346" t="s" s="16">
        <f>HYPERLINK("http://csr.bu.edu/ftp/asl/asllvd/demos/verify_start_end_handshape_annotations//test_auto_move//signs_mov_separ_signers/Naomi_698.mov","MOV")</f>
        <v>21</v>
      </c>
      <c r="M3346" t="s" s="10">
        <v>86</v>
      </c>
      <c r="N3346" s="17">
        <v>20</v>
      </c>
      <c r="O3346" s="18">
        <v>3081</v>
      </c>
      <c r="P3346" s="18">
        <v>3165</v>
      </c>
      <c r="Q3346" s="15"/>
      <c r="R3346" t="s" s="16">
        <f>HYPERLINK("http://secrets.rutgers.edu:8080/data/asl-ftp/asllvd/demos/verify_start_end_handshape_annotations//test_auto_move//signs_mov_separ_signers/Naomi_698.mov","MOV")</f>
        <v>21</v>
      </c>
    </row>
    <row r="3347" s="2" customFormat="1" ht="13.5" customHeight="1">
      <c r="B3347" s="13"/>
      <c r="C3347" t="s" s="9">
        <v>30</v>
      </c>
      <c r="D3347" t="s" s="8">
        <v>1138</v>
      </c>
      <c r="E3347" t="s" s="9">
        <v>1140</v>
      </c>
      <c r="F3347" t="s" s="10">
        <v>72</v>
      </c>
      <c r="G3347" s="14"/>
      <c r="H3347" t="s" s="10">
        <v>72</v>
      </c>
      <c r="I3347" s="14"/>
      <c r="J3347" t="s" s="11">
        <v>20</v>
      </c>
      <c r="K3347" s="15"/>
      <c r="L3347" t="s" s="16">
        <f>HYPERLINK("http://csr.bu.edu/ftp/asl/asllvd/demos/verify_start_end_handshape_annotations//test_auto_move//signs_mov_separ_signers/Brady_698.mov","MOV")</f>
        <v>21</v>
      </c>
      <c r="M3347" t="s" s="10">
        <v>31</v>
      </c>
      <c r="N3347" s="17">
        <v>36</v>
      </c>
      <c r="O3347" s="18">
        <v>5262</v>
      </c>
      <c r="P3347" s="18">
        <v>5329</v>
      </c>
      <c r="Q3347" s="15"/>
      <c r="R3347" t="s" s="16">
        <f>HYPERLINK("http://secrets.rutgers.edu:8080/data/asl-ftp/asllvd/demos/verify_start_end_handshape_annotations//test_auto_move//signs_mov_separ_signers/Brady_698.mov","MOV")</f>
        <v>21</v>
      </c>
    </row>
    <row r="3348" s="2" customFormat="1" ht="13.5" customHeight="1">
      <c r="B3348" t="s" s="8">
        <v>1141</v>
      </c>
      <c r="C3348" t="s" s="9">
        <v>14</v>
      </c>
      <c r="D3348" t="s" s="8">
        <v>14</v>
      </c>
      <c r="E3348" t="s" s="9">
        <v>14</v>
      </c>
      <c r="F3348" t="s" s="10">
        <v>14</v>
      </c>
      <c r="G3348" t="s" s="11">
        <v>14</v>
      </c>
      <c r="H3348" t="s" s="10">
        <v>14</v>
      </c>
      <c r="I3348" t="s" s="11">
        <v>14</v>
      </c>
      <c r="J3348" t="s" s="11">
        <v>14</v>
      </c>
      <c r="K3348" t="s" s="12">
        <v>14</v>
      </c>
      <c r="L3348" t="s" s="12">
        <v>14</v>
      </c>
      <c r="M3348" t="s" s="10">
        <v>14</v>
      </c>
      <c r="N3348" t="s" s="11">
        <v>14</v>
      </c>
      <c r="O3348" t="s" s="8">
        <v>14</v>
      </c>
      <c r="P3348" t="s" s="8">
        <v>14</v>
      </c>
      <c r="Q3348" t="s" s="12">
        <v>14</v>
      </c>
      <c r="R3348" t="s" s="12">
        <v>14</v>
      </c>
    </row>
    <row r="3349" s="2" customFormat="1" ht="13.5" customHeight="1">
      <c r="B3349" s="13"/>
      <c r="C3349" t="s" s="9">
        <v>16</v>
      </c>
      <c r="D3349" t="s" s="8">
        <v>1141</v>
      </c>
      <c r="E3349" t="s" s="9">
        <v>1142</v>
      </c>
      <c r="F3349" t="s" s="10">
        <v>72</v>
      </c>
      <c r="G3349" t="s" s="11">
        <v>72</v>
      </c>
      <c r="H3349" t="s" s="10">
        <v>72</v>
      </c>
      <c r="I3349" t="s" s="11">
        <v>72</v>
      </c>
      <c r="J3349" t="s" s="11">
        <v>20</v>
      </c>
      <c r="K3349" s="15"/>
      <c r="L3349" t="s" s="16">
        <f>HYPERLINK("http://csr.bu.edu/ftp/asl/asllvd/demos/verify_start_end_handshape_annotations//test_auto_move//signs_mov_separ_signers/Liz_700.mov","MOV")</f>
        <v>21</v>
      </c>
      <c r="M3349" t="s" s="10">
        <v>84</v>
      </c>
      <c r="N3349" s="17">
        <v>21</v>
      </c>
      <c r="O3349" s="18">
        <v>227</v>
      </c>
      <c r="P3349" s="18">
        <v>295</v>
      </c>
      <c r="Q3349" s="15"/>
      <c r="R3349" t="s" s="16">
        <f>HYPERLINK("http://secrets.rutgers.edu:8080/data/asl-ftp/asllvd/demos/verify_start_end_handshape_annotations//test_auto_move//signs_mov_separ_signers/Liz_700.mov","MOV")</f>
        <v>21</v>
      </c>
    </row>
    <row r="3350" s="2" customFormat="1" ht="13.5" customHeight="1">
      <c r="B3350" s="13"/>
      <c r="C3350" t="s" s="9">
        <v>27</v>
      </c>
      <c r="D3350" t="s" s="8">
        <v>1141</v>
      </c>
      <c r="E3350" t="s" s="9">
        <v>1143</v>
      </c>
      <c r="F3350" t="s" s="10">
        <v>72</v>
      </c>
      <c r="G3350" t="s" s="11">
        <v>72</v>
      </c>
      <c r="H3350" t="s" s="10">
        <v>72</v>
      </c>
      <c r="I3350" t="s" s="11">
        <v>72</v>
      </c>
      <c r="J3350" t="s" s="11">
        <v>20</v>
      </c>
      <c r="K3350" t="s" s="16">
        <f>HYPERLINK("http://csr.bu.edu/ftp/asl/asllvd/demos/verify_start_end_handshape_annotations//test_auto_move//signs_mov/700_5338_merged.mov","MOV")</f>
        <v>21</v>
      </c>
      <c r="L3350" t="s" s="16">
        <f>HYPERLINK("http://csr.bu.edu/ftp/asl/asllvd/demos/verify_start_end_handshape_annotations//test_auto_move//signs_mov_separ_signers/Naomi_700.mov","MOV")</f>
        <v>21</v>
      </c>
      <c r="M3350" t="s" s="10">
        <v>86</v>
      </c>
      <c r="N3350" s="17">
        <v>20</v>
      </c>
      <c r="O3350" s="18">
        <v>3995</v>
      </c>
      <c r="P3350" s="18">
        <v>4065</v>
      </c>
      <c r="Q3350" t="s" s="16">
        <f>HYPERLINK("http://secrets.rutgers.edu:8080/data/asl-ftp/asllvd/demos/verify_start_end_handshape_annotations//test_auto_move//signs_mov/700_5338_merged.mov","MOV")</f>
        <v>21</v>
      </c>
      <c r="R3350" t="s" s="16">
        <f>HYPERLINK("http://secrets.rutgers.edu:8080/data/asl-ftp/asllvd/demos/verify_start_end_handshape_annotations//test_auto_move//signs_mov_separ_signers/Naomi_700.mov","MOV")</f>
        <v>21</v>
      </c>
    </row>
    <row r="3351" s="2" customFormat="1" ht="13.5" customHeight="1">
      <c r="B3351" s="13"/>
      <c r="C3351" t="s" s="9">
        <v>30</v>
      </c>
      <c r="D3351" t="s" s="8">
        <v>1141</v>
      </c>
      <c r="E3351" t="s" s="9">
        <v>1143</v>
      </c>
      <c r="F3351" t="s" s="10">
        <v>72</v>
      </c>
      <c r="G3351" t="s" s="11">
        <v>72</v>
      </c>
      <c r="H3351" t="s" s="10">
        <v>72</v>
      </c>
      <c r="I3351" t="s" s="11">
        <v>72</v>
      </c>
      <c r="J3351" t="s" s="11">
        <v>20</v>
      </c>
      <c r="K3351" s="15"/>
      <c r="L3351" t="s" s="16">
        <f>HYPERLINK("http://csr.bu.edu/ftp/asl/asllvd/demos/verify_start_end_handshape_annotations//test_auto_move//signs_mov_separ_signers/Brady_700.mov","MOV")</f>
        <v>21</v>
      </c>
      <c r="M3351" t="s" s="10">
        <v>31</v>
      </c>
      <c r="N3351" s="17">
        <v>36</v>
      </c>
      <c r="O3351" s="18">
        <v>5547</v>
      </c>
      <c r="P3351" s="18">
        <v>5584</v>
      </c>
      <c r="Q3351" s="15"/>
      <c r="R3351" t="s" s="16">
        <f>HYPERLINK("http://secrets.rutgers.edu:8080/data/asl-ftp/asllvd/demos/verify_start_end_handshape_annotations//test_auto_move//signs_mov_separ_signers/Brady_700.mov","MOV")</f>
        <v>21</v>
      </c>
    </row>
    <row r="3352" s="2" customFormat="1" ht="13.5" customHeight="1">
      <c r="B3352" s="13"/>
      <c r="C3352" t="s" s="9">
        <v>30</v>
      </c>
      <c r="D3352" t="s" s="8">
        <v>1141</v>
      </c>
      <c r="E3352" t="s" s="9">
        <v>1143</v>
      </c>
      <c r="F3352" t="s" s="10">
        <v>72</v>
      </c>
      <c r="G3352" t="s" s="11">
        <v>72</v>
      </c>
      <c r="H3352" t="s" s="10">
        <v>72</v>
      </c>
      <c r="I3352" t="s" s="11">
        <v>72</v>
      </c>
      <c r="J3352" t="s" s="11">
        <v>20</v>
      </c>
      <c r="K3352" s="15"/>
      <c r="L3352" t="s" s="16">
        <f>HYPERLINK("http://csr.bu.edu/ftp/asl/asllvd/demos/verify_start_end_handshape_annotations//test_auto_move//signs_mov_separ_signers/Brady_5338.mov","MOV")</f>
        <v>21</v>
      </c>
      <c r="M3352" t="s" s="10">
        <v>31</v>
      </c>
      <c r="N3352" s="17">
        <v>36</v>
      </c>
      <c r="O3352" s="18">
        <v>6299</v>
      </c>
      <c r="P3352" s="18">
        <v>6330</v>
      </c>
      <c r="Q3352" s="15"/>
      <c r="R3352" t="s" s="16">
        <f>HYPERLINK("http://secrets.rutgers.edu:8080/data/asl-ftp/asllvd/demos/verify_start_end_handshape_annotations//test_auto_move//signs_mov_separ_signers/Brady_5338.mov","MOV")</f>
        <v>21</v>
      </c>
    </row>
    <row r="3353" s="2" customFormat="1" ht="13.5" customHeight="1">
      <c r="B3353" t="s" s="8">
        <v>1144</v>
      </c>
      <c r="C3353" t="s" s="9">
        <v>14</v>
      </c>
      <c r="D3353" t="s" s="8">
        <v>14</v>
      </c>
      <c r="E3353" t="s" s="9">
        <v>14</v>
      </c>
      <c r="F3353" t="s" s="10">
        <v>14</v>
      </c>
      <c r="G3353" t="s" s="11">
        <v>14</v>
      </c>
      <c r="H3353" t="s" s="10">
        <v>14</v>
      </c>
      <c r="I3353" t="s" s="11">
        <v>14</v>
      </c>
      <c r="J3353" t="s" s="11">
        <v>14</v>
      </c>
      <c r="K3353" t="s" s="12">
        <v>14</v>
      </c>
      <c r="L3353" t="s" s="12">
        <v>14</v>
      </c>
      <c r="M3353" t="s" s="10">
        <v>14</v>
      </c>
      <c r="N3353" t="s" s="11">
        <v>14</v>
      </c>
      <c r="O3353" t="s" s="8">
        <v>14</v>
      </c>
      <c r="P3353" t="s" s="8">
        <v>14</v>
      </c>
      <c r="Q3353" t="s" s="12">
        <v>14</v>
      </c>
      <c r="R3353" t="s" s="12">
        <v>14</v>
      </c>
    </row>
    <row r="3354" s="2" customFormat="1" ht="13.5" customHeight="1">
      <c r="B3354" s="13"/>
      <c r="C3354" t="s" s="9">
        <v>16</v>
      </c>
      <c r="D3354" t="s" s="8">
        <v>1144</v>
      </c>
      <c r="E3354" t="s" s="9">
        <v>1145</v>
      </c>
      <c r="F3354" t="s" s="10">
        <v>185</v>
      </c>
      <c r="G3354" t="s" s="11">
        <v>185</v>
      </c>
      <c r="H3354" t="s" s="10">
        <v>185</v>
      </c>
      <c r="I3354" t="s" s="11">
        <v>185</v>
      </c>
      <c r="J3354" t="s" s="11">
        <v>20</v>
      </c>
      <c r="K3354" s="15"/>
      <c r="L3354" t="s" s="16">
        <f>HYPERLINK("http://csr.bu.edu/ftp/asl/asllvd/demos/verify_start_end_handshape_annotations//test_auto_move//signs_mov_separ_signers/Liz_15525.mov","MOV")</f>
        <v>21</v>
      </c>
      <c r="M3354" t="s" s="10">
        <v>22</v>
      </c>
      <c r="N3354" s="17">
        <v>6</v>
      </c>
      <c r="O3354" s="18">
        <v>1855</v>
      </c>
      <c r="P3354" s="18">
        <v>1915</v>
      </c>
      <c r="Q3354" s="15"/>
      <c r="R3354" t="s" s="16">
        <f>HYPERLINK("http://secrets.rutgers.edu:8080/data/asl-ftp/asllvd/demos/verify_start_end_handshape_annotations//test_auto_move//signs_mov_separ_signers/Liz_15525.mov","MOV")</f>
        <v>21</v>
      </c>
    </row>
    <row r="3355" s="2" customFormat="1" ht="13.5" customHeight="1">
      <c r="B3355" s="13"/>
      <c r="C3355" t="s" s="9">
        <v>16</v>
      </c>
      <c r="D3355" t="s" s="8">
        <v>1144</v>
      </c>
      <c r="E3355" t="s" s="9">
        <v>1146</v>
      </c>
      <c r="F3355" t="s" s="10">
        <v>72</v>
      </c>
      <c r="G3355" t="s" s="11">
        <v>72</v>
      </c>
      <c r="H3355" t="s" s="10">
        <v>72</v>
      </c>
      <c r="I3355" t="s" s="11">
        <v>72</v>
      </c>
      <c r="J3355" t="s" s="11">
        <v>20</v>
      </c>
      <c r="K3355" s="15"/>
      <c r="L3355" t="s" s="16">
        <f>HYPERLINK("http://csr.bu.edu/ftp/asl/asllvd/demos/verify_start_end_handshape_annotations//test_auto_move//signs_mov_separ_signers/Liz_15526.mov","MOV")</f>
        <v>21</v>
      </c>
      <c r="M3355" t="s" s="10">
        <v>22</v>
      </c>
      <c r="N3355" s="17">
        <v>38</v>
      </c>
      <c r="O3355" s="18">
        <v>701</v>
      </c>
      <c r="P3355" s="18">
        <v>755</v>
      </c>
      <c r="Q3355" s="15"/>
      <c r="R3355" t="s" s="16">
        <f>HYPERLINK("http://secrets.rutgers.edu:8080/data/asl-ftp/asllvd/demos/verify_start_end_handshape_annotations//test_auto_move//signs_mov_separ_signers/Liz_15526.mov","MOV")</f>
        <v>21</v>
      </c>
    </row>
    <row r="3356" s="2" customFormat="1" ht="13.5" customHeight="1">
      <c r="B3356" s="13"/>
      <c r="C3356" t="s" s="9">
        <v>16</v>
      </c>
      <c r="D3356" t="s" s="8">
        <v>1144</v>
      </c>
      <c r="E3356" t="s" s="9">
        <v>1145</v>
      </c>
      <c r="F3356" t="s" s="10">
        <v>148</v>
      </c>
      <c r="G3356" t="s" s="11">
        <v>72</v>
      </c>
      <c r="H3356" t="s" s="10">
        <v>72</v>
      </c>
      <c r="I3356" t="s" s="11">
        <v>148</v>
      </c>
      <c r="J3356" t="s" s="11">
        <v>20</v>
      </c>
      <c r="K3356" s="15"/>
      <c r="L3356" t="s" s="16">
        <f>HYPERLINK("http://csr.bu.edu/ftp/asl/asllvd/demos/verify_start_end_handshape_annotations//test_auto_move//signs_mov_separ_signers/Liz_15573.mov","MOV")</f>
        <v>21</v>
      </c>
      <c r="M3356" t="s" s="10">
        <v>84</v>
      </c>
      <c r="N3356" s="17">
        <v>20</v>
      </c>
      <c r="O3356" s="18">
        <v>2411</v>
      </c>
      <c r="P3356" s="18">
        <v>2476</v>
      </c>
      <c r="Q3356" s="15"/>
      <c r="R3356" t="s" s="16">
        <f>HYPERLINK("http://secrets.rutgers.edu:8080/data/asl-ftp/asllvd/demos/verify_start_end_handshape_annotations//test_auto_move//signs_mov_separ_signers/Liz_15573.mov","MOV")</f>
        <v>21</v>
      </c>
    </row>
    <row r="3357" s="2" customFormat="1" ht="13.5" customHeight="1">
      <c r="B3357" s="13"/>
      <c r="C3357" t="s" s="9">
        <v>23</v>
      </c>
      <c r="D3357" t="s" s="8">
        <v>1144</v>
      </c>
      <c r="E3357" t="s" s="9">
        <v>1147</v>
      </c>
      <c r="F3357" t="s" s="10">
        <v>72</v>
      </c>
      <c r="G3357" t="s" s="11">
        <v>72</v>
      </c>
      <c r="H3357" t="s" s="10">
        <v>72</v>
      </c>
      <c r="I3357" t="s" s="11">
        <v>72</v>
      </c>
      <c r="J3357" t="s" s="11">
        <v>20</v>
      </c>
      <c r="K3357" s="15"/>
      <c r="L3357" t="s" s="16">
        <f>HYPERLINK("http://csr.bu.edu/ftp/asl/asllvd/demos/verify_start_end_handshape_annotations//test_auto_move//signs_mov_separ_signers/Tyler_15525.mov","MOV")</f>
        <v>21</v>
      </c>
      <c r="M3357" t="s" s="10">
        <v>26</v>
      </c>
      <c r="N3357" s="17">
        <v>6</v>
      </c>
      <c r="O3357" s="18">
        <v>4211</v>
      </c>
      <c r="P3357" s="18">
        <v>4261</v>
      </c>
      <c r="Q3357" s="15"/>
      <c r="R3357" t="s" s="16">
        <f>HYPERLINK("http://secrets.rutgers.edu:8080/data/asl-ftp/asllvd/demos/verify_start_end_handshape_annotations//test_auto_move//signs_mov_separ_signers/Tyler_15525.mov","MOV")</f>
        <v>21</v>
      </c>
    </row>
    <row r="3358" s="2" customFormat="1" ht="13.5" customHeight="1">
      <c r="B3358" s="13"/>
      <c r="C3358" t="s" s="9">
        <v>27</v>
      </c>
      <c r="D3358" t="s" s="8">
        <v>1144</v>
      </c>
      <c r="E3358" t="s" s="9">
        <v>1146</v>
      </c>
      <c r="F3358" t="s" s="10">
        <v>72</v>
      </c>
      <c r="G3358" t="s" s="11">
        <v>72</v>
      </c>
      <c r="H3358" t="s" s="10">
        <v>72</v>
      </c>
      <c r="I3358" t="s" s="11">
        <v>72</v>
      </c>
      <c r="J3358" t="s" s="11">
        <v>20</v>
      </c>
      <c r="K3358" t="s" s="16">
        <f>HYPERLINK("http://csr.bu.edu/ftp/asl/asllvd/demos/verify_start_end_handshape_annotations//test_auto_move//signs_mov/15525_15526_15573_merged.mov","MOV")</f>
        <v>21</v>
      </c>
      <c r="L3358" t="s" s="16">
        <f>HYPERLINK("http://csr.bu.edu/ftp/asl/asllvd/demos/verify_start_end_handshape_annotations//test_auto_move//signs_mov_separ_signers/Naomi_15525.mov","MOV")</f>
        <v>21</v>
      </c>
      <c r="M3358" t="s" s="10">
        <v>29</v>
      </c>
      <c r="N3358" s="17">
        <v>5</v>
      </c>
      <c r="O3358" s="18">
        <v>802</v>
      </c>
      <c r="P3358" s="18">
        <v>861</v>
      </c>
      <c r="Q3358" t="s" s="16">
        <f>HYPERLINK("http://secrets.rutgers.edu:8080/data/asl-ftp/asllvd/demos/verify_start_end_handshape_annotations//test_auto_move//signs_mov/15525_15526_15573_merged.mov","MOV")</f>
        <v>21</v>
      </c>
      <c r="R3358" t="s" s="16">
        <f>HYPERLINK("http://secrets.rutgers.edu:8080/data/asl-ftp/asllvd/demos/verify_start_end_handshape_annotations//test_auto_move//signs_mov_separ_signers/Naomi_15525.mov","MOV")</f>
        <v>21</v>
      </c>
    </row>
    <row r="3359" s="2" customFormat="1" ht="13.5" customHeight="1">
      <c r="B3359" s="13"/>
      <c r="C3359" t="s" s="9">
        <v>27</v>
      </c>
      <c r="D3359" t="s" s="8">
        <v>1144</v>
      </c>
      <c r="E3359" t="s" s="9">
        <v>1146</v>
      </c>
      <c r="F3359" t="s" s="10">
        <v>72</v>
      </c>
      <c r="G3359" t="s" s="11">
        <v>72</v>
      </c>
      <c r="H3359" t="s" s="10">
        <v>72</v>
      </c>
      <c r="I3359" t="s" s="11">
        <v>72</v>
      </c>
      <c r="J3359" t="s" s="11">
        <v>20</v>
      </c>
      <c r="K3359" s="15"/>
      <c r="L3359" t="s" s="16">
        <f>HYPERLINK("http://csr.bu.edu/ftp/asl/asllvd/demos/verify_start_end_handshape_annotations//test_auto_move//signs_mov_separ_signers/Naomi_15526.mov","MOV")</f>
        <v>21</v>
      </c>
      <c r="M3359" t="s" s="10">
        <v>29</v>
      </c>
      <c r="N3359" s="17">
        <v>25</v>
      </c>
      <c r="O3359" s="18">
        <v>1838</v>
      </c>
      <c r="P3359" s="18">
        <v>1902</v>
      </c>
      <c r="Q3359" s="15"/>
      <c r="R3359" t="s" s="16">
        <f>HYPERLINK("http://secrets.rutgers.edu:8080/data/asl-ftp/asllvd/demos/verify_start_end_handshape_annotations//test_auto_move//signs_mov_separ_signers/Naomi_15526.mov","MOV")</f>
        <v>21</v>
      </c>
    </row>
    <row r="3360" s="2" customFormat="1" ht="13.5" customHeight="1">
      <c r="B3360" s="13"/>
      <c r="C3360" t="s" s="9">
        <v>27</v>
      </c>
      <c r="D3360" t="s" s="8">
        <v>1144</v>
      </c>
      <c r="E3360" t="s" s="9">
        <v>1145</v>
      </c>
      <c r="F3360" t="s" s="10">
        <v>72</v>
      </c>
      <c r="G3360" t="s" s="11">
        <v>72</v>
      </c>
      <c r="H3360" t="s" s="10">
        <v>72</v>
      </c>
      <c r="I3360" t="s" s="11">
        <v>72</v>
      </c>
      <c r="J3360" t="s" s="11">
        <v>20</v>
      </c>
      <c r="K3360" s="15"/>
      <c r="L3360" t="s" s="16">
        <f>HYPERLINK("http://csr.bu.edu/ftp/asl/asllvd/demos/verify_start_end_handshape_annotations//test_auto_move//signs_mov_separ_signers/Naomi_15573.mov","MOV")</f>
        <v>21</v>
      </c>
      <c r="M3360" t="s" s="10">
        <v>86</v>
      </c>
      <c r="N3360" s="17">
        <v>20</v>
      </c>
      <c r="O3360" s="18">
        <v>3655</v>
      </c>
      <c r="P3360" s="18">
        <v>3710</v>
      </c>
      <c r="Q3360" s="15"/>
      <c r="R3360" t="s" s="16">
        <f>HYPERLINK("http://secrets.rutgers.edu:8080/data/asl-ftp/asllvd/demos/verify_start_end_handshape_annotations//test_auto_move//signs_mov_separ_signers/Naomi_15573.mov","MOV")</f>
        <v>21</v>
      </c>
    </row>
    <row r="3361" s="2" customFormat="1" ht="13.5" customHeight="1">
      <c r="B3361" s="13"/>
      <c r="C3361" t="s" s="9">
        <v>30</v>
      </c>
      <c r="D3361" t="s" s="8">
        <v>1144</v>
      </c>
      <c r="E3361" t="s" s="9">
        <v>1146</v>
      </c>
      <c r="F3361" t="s" s="10">
        <v>148</v>
      </c>
      <c r="G3361" t="s" s="11">
        <v>148</v>
      </c>
      <c r="H3361" t="s" s="10">
        <v>148</v>
      </c>
      <c r="I3361" t="s" s="11">
        <v>148</v>
      </c>
      <c r="J3361" t="s" s="11">
        <v>20</v>
      </c>
      <c r="K3361" s="15"/>
      <c r="L3361" t="s" s="16">
        <f>HYPERLINK("http://csr.bu.edu/ftp/asl/asllvd/demos/verify_start_end_handshape_annotations//test_auto_move//signs_mov_separ_signers/Brady_15525.mov","MOV")</f>
        <v>21</v>
      </c>
      <c r="M3361" t="s" s="10">
        <v>31</v>
      </c>
      <c r="N3361" s="17">
        <v>18</v>
      </c>
      <c r="O3361" s="18">
        <v>7236</v>
      </c>
      <c r="P3361" s="18">
        <v>7308</v>
      </c>
      <c r="Q3361" s="15"/>
      <c r="R3361" t="s" s="16">
        <f>HYPERLINK("http://secrets.rutgers.edu:8080/data/asl-ftp/asllvd/demos/verify_start_end_handshape_annotations//test_auto_move//signs_mov_separ_signers/Brady_15525.mov","MOV")</f>
        <v>21</v>
      </c>
    </row>
    <row r="3362" s="2" customFormat="1" ht="13.5" customHeight="1">
      <c r="B3362" s="13"/>
      <c r="C3362" t="s" s="9">
        <v>41</v>
      </c>
      <c r="D3362" t="s" s="8">
        <v>1144</v>
      </c>
      <c r="E3362" t="s" s="9">
        <v>1147</v>
      </c>
      <c r="F3362" t="s" s="10">
        <v>72</v>
      </c>
      <c r="G3362" t="s" s="11">
        <v>72</v>
      </c>
      <c r="H3362" t="s" s="10">
        <v>72</v>
      </c>
      <c r="I3362" t="s" s="11">
        <v>72</v>
      </c>
      <c r="J3362" t="s" s="11">
        <v>20</v>
      </c>
      <c r="K3362" s="15"/>
      <c r="L3362" t="s" s="16">
        <f>HYPERLINK("http://csr.bu.edu/ftp/asl/asllvd/demos/verify_start_end_handshape_annotations//test_auto_move//signs_mov_separ_signers/Lana_15525.mov","MOV")</f>
        <v>21</v>
      </c>
      <c r="M3362" t="s" s="10">
        <v>42</v>
      </c>
      <c r="N3362" s="17">
        <v>3</v>
      </c>
      <c r="O3362" s="18">
        <v>2219</v>
      </c>
      <c r="P3362" s="18">
        <v>2273</v>
      </c>
      <c r="Q3362" s="15"/>
      <c r="R3362" t="s" s="16">
        <f>HYPERLINK("http://secrets.rutgers.edu:8080/data/asl-ftp/asllvd/demos/verify_start_end_handshape_annotations//test_auto_move//signs_mov_separ_signers/Lana_15525.mov","MOV")</f>
        <v>21</v>
      </c>
    </row>
    <row r="3363" s="2" customFormat="1" ht="13.5" customHeight="1">
      <c r="B3363" t="s" s="8">
        <v>1148</v>
      </c>
      <c r="C3363" t="s" s="9">
        <v>14</v>
      </c>
      <c r="D3363" t="s" s="8">
        <v>14</v>
      </c>
      <c r="E3363" t="s" s="9">
        <v>14</v>
      </c>
      <c r="F3363" t="s" s="10">
        <v>14</v>
      </c>
      <c r="G3363" t="s" s="11">
        <v>14</v>
      </c>
      <c r="H3363" t="s" s="10">
        <v>14</v>
      </c>
      <c r="I3363" t="s" s="11">
        <v>14</v>
      </c>
      <c r="J3363" t="s" s="11">
        <v>14</v>
      </c>
      <c r="K3363" t="s" s="12">
        <v>14</v>
      </c>
      <c r="L3363" t="s" s="12">
        <v>14</v>
      </c>
      <c r="M3363" t="s" s="10">
        <v>14</v>
      </c>
      <c r="N3363" t="s" s="11">
        <v>14</v>
      </c>
      <c r="O3363" t="s" s="8">
        <v>14</v>
      </c>
      <c r="P3363" t="s" s="8">
        <v>14</v>
      </c>
      <c r="Q3363" t="s" s="12">
        <v>14</v>
      </c>
      <c r="R3363" t="s" s="12">
        <v>14</v>
      </c>
    </row>
    <row r="3364" s="2" customFormat="1" ht="13.5" customHeight="1">
      <c r="B3364" s="13"/>
      <c r="C3364" t="s" s="9">
        <v>16</v>
      </c>
      <c r="D3364" t="s" s="8">
        <v>1148</v>
      </c>
      <c r="E3364" t="s" s="9">
        <v>1148</v>
      </c>
      <c r="F3364" t="s" s="10">
        <v>55</v>
      </c>
      <c r="G3364" t="s" s="11">
        <v>55</v>
      </c>
      <c r="H3364" t="s" s="10">
        <v>55</v>
      </c>
      <c r="I3364" t="s" s="11">
        <v>55</v>
      </c>
      <c r="J3364" t="s" s="11">
        <v>20</v>
      </c>
      <c r="K3364" s="15"/>
      <c r="L3364" t="s" s="16">
        <f>HYPERLINK("http://csr.bu.edu/ftp/asl/asllvd/demos/verify_start_end_handshape_annotations//test_auto_move//signs_mov_separ_signers/Liz_15617.mov","MOV")</f>
        <v>21</v>
      </c>
      <c r="M3364" t="s" s="10">
        <v>22</v>
      </c>
      <c r="N3364" s="17">
        <v>38</v>
      </c>
      <c r="O3364" s="18">
        <v>495</v>
      </c>
      <c r="P3364" s="18">
        <v>535</v>
      </c>
      <c r="Q3364" s="15"/>
      <c r="R3364" t="s" s="16">
        <f>HYPERLINK("http://secrets.rutgers.edu:8080/data/asl-ftp/asllvd/demos/verify_start_end_handshape_annotations//test_auto_move//signs_mov_separ_signers/Liz_15617.mov","MOV")</f>
        <v>21</v>
      </c>
    </row>
    <row r="3365" s="2" customFormat="1" ht="13.5" customHeight="1">
      <c r="B3365" s="13"/>
      <c r="C3365" t="s" s="9">
        <v>23</v>
      </c>
      <c r="D3365" t="s" s="8">
        <v>1148</v>
      </c>
      <c r="E3365" t="s" s="9">
        <v>1149</v>
      </c>
      <c r="F3365" t="s" s="10">
        <v>55</v>
      </c>
      <c r="G3365" t="s" s="11">
        <v>55</v>
      </c>
      <c r="H3365" t="s" s="10">
        <v>55</v>
      </c>
      <c r="I3365" t="s" s="11">
        <v>55</v>
      </c>
      <c r="J3365" t="s" s="11">
        <v>20</v>
      </c>
      <c r="K3365" s="15"/>
      <c r="L3365" t="s" s="16">
        <f>HYPERLINK("http://csr.bu.edu/ftp/asl/asllvd/demos/verify_start_end_handshape_annotations//test_auto_move//signs_mov_separ_signers/Tyler_15617.mov","MOV")</f>
        <v>21</v>
      </c>
      <c r="M3365" t="s" s="10">
        <v>26</v>
      </c>
      <c r="N3365" s="17">
        <v>24</v>
      </c>
      <c r="O3365" s="18">
        <v>1640</v>
      </c>
      <c r="P3365" s="18">
        <v>1695</v>
      </c>
      <c r="Q3365" s="15"/>
      <c r="R3365" t="s" s="16">
        <f>HYPERLINK("http://secrets.rutgers.edu:8080/data/asl-ftp/asllvd/demos/verify_start_end_handshape_annotations//test_auto_move//signs_mov_separ_signers/Tyler_15617.mov","MOV")</f>
        <v>21</v>
      </c>
    </row>
    <row r="3366" s="2" customFormat="1" ht="13.5" customHeight="1">
      <c r="B3366" s="13"/>
      <c r="C3366" t="s" s="9">
        <v>23</v>
      </c>
      <c r="D3366" t="s" s="8">
        <v>1148</v>
      </c>
      <c r="E3366" t="s" s="9">
        <v>1149</v>
      </c>
      <c r="F3366" t="s" s="10">
        <v>55</v>
      </c>
      <c r="G3366" t="s" s="11">
        <v>55</v>
      </c>
      <c r="H3366" t="s" s="10">
        <v>55</v>
      </c>
      <c r="I3366" t="s" s="11">
        <v>55</v>
      </c>
      <c r="J3366" t="s" s="11">
        <v>20</v>
      </c>
      <c r="K3366" t="s" s="16">
        <f>HYPERLINK("http://csr.bu.edu/ftp/asl/asllvd/demos/verify_start_end_handshape_annotations//test_auto_move//signs_mov/15617_15618_merged.mov","MOV")</f>
        <v>21</v>
      </c>
      <c r="L3366" t="s" s="16">
        <f>HYPERLINK("http://csr.bu.edu/ftp/asl/asllvd/demos/verify_start_end_handshape_annotations//test_auto_move//signs_mov_separ_signers/Tyler_15618.mov","MOV")</f>
        <v>21</v>
      </c>
      <c r="M3366" t="s" s="10">
        <v>26</v>
      </c>
      <c r="N3366" s="17">
        <v>24</v>
      </c>
      <c r="O3366" s="18">
        <v>1955</v>
      </c>
      <c r="P3366" s="18">
        <v>1990</v>
      </c>
      <c r="Q3366" t="s" s="16">
        <f>HYPERLINK("http://secrets.rutgers.edu:8080/data/asl-ftp/asllvd/demos/verify_start_end_handshape_annotations//test_auto_move//signs_mov/15617_15618_merged.mov","MOV")</f>
        <v>21</v>
      </c>
      <c r="R3366" t="s" s="16">
        <f>HYPERLINK("http://secrets.rutgers.edu:8080/data/asl-ftp/asllvd/demos/verify_start_end_handshape_annotations//test_auto_move//signs_mov_separ_signers/Tyler_15618.mov","MOV")</f>
        <v>21</v>
      </c>
    </row>
    <row r="3367" s="2" customFormat="1" ht="13.5" customHeight="1">
      <c r="B3367" s="13"/>
      <c r="C3367" t="s" s="9">
        <v>27</v>
      </c>
      <c r="D3367" t="s" s="8">
        <v>1148</v>
      </c>
      <c r="E3367" t="s" s="9">
        <v>1149</v>
      </c>
      <c r="F3367" t="s" s="10">
        <v>55</v>
      </c>
      <c r="G3367" t="s" s="11">
        <v>55</v>
      </c>
      <c r="H3367" t="s" s="10">
        <v>55</v>
      </c>
      <c r="I3367" t="s" s="11">
        <v>55</v>
      </c>
      <c r="J3367" t="s" s="11">
        <v>20</v>
      </c>
      <c r="K3367" s="15"/>
      <c r="L3367" t="s" s="16">
        <f>HYPERLINK("http://csr.bu.edu/ftp/asl/asllvd/demos/verify_start_end_handshape_annotations//test_auto_move//signs_mov_separ_signers/Naomi_15617.mov","MOV")</f>
        <v>21</v>
      </c>
      <c r="M3367" t="s" s="10">
        <v>29</v>
      </c>
      <c r="N3367" s="17">
        <v>25</v>
      </c>
      <c r="O3367" s="18">
        <v>1582</v>
      </c>
      <c r="P3367" s="18">
        <v>1640</v>
      </c>
      <c r="Q3367" s="15"/>
      <c r="R3367" t="s" s="16">
        <f>HYPERLINK("http://secrets.rutgers.edu:8080/data/asl-ftp/asllvd/demos/verify_start_end_handshape_annotations//test_auto_move//signs_mov_separ_signers/Naomi_15617.mov","MOV")</f>
        <v>21</v>
      </c>
    </row>
    <row r="3368" s="2" customFormat="1" ht="13.5" customHeight="1">
      <c r="B3368" s="13"/>
      <c r="C3368" t="s" s="9">
        <v>30</v>
      </c>
      <c r="D3368" t="s" s="8">
        <v>1148</v>
      </c>
      <c r="E3368" t="s" s="9">
        <v>1149</v>
      </c>
      <c r="F3368" t="s" s="10">
        <v>55</v>
      </c>
      <c r="G3368" t="s" s="11">
        <v>55</v>
      </c>
      <c r="H3368" t="s" s="10">
        <v>55</v>
      </c>
      <c r="I3368" t="s" s="11">
        <v>55</v>
      </c>
      <c r="J3368" t="s" s="11">
        <v>20</v>
      </c>
      <c r="K3368" s="15"/>
      <c r="L3368" t="s" s="16">
        <f>HYPERLINK("http://csr.bu.edu/ftp/asl/asllvd/demos/verify_start_end_handshape_annotations//test_auto_move//signs_mov_separ_signers/Brady_15617.mov","MOV")</f>
        <v>21</v>
      </c>
      <c r="M3368" t="s" s="10">
        <v>31</v>
      </c>
      <c r="N3368" s="17">
        <v>18</v>
      </c>
      <c r="O3368" s="18">
        <v>6742</v>
      </c>
      <c r="P3368" s="18">
        <v>6783</v>
      </c>
      <c r="Q3368" s="15"/>
      <c r="R3368" t="s" s="16">
        <f>HYPERLINK("http://secrets.rutgers.edu:8080/data/asl-ftp/asllvd/demos/verify_start_end_handshape_annotations//test_auto_move//signs_mov_separ_signers/Brady_15617.mov","MOV")</f>
        <v>21</v>
      </c>
    </row>
    <row r="3369" s="2" customFormat="1" ht="13.5" customHeight="1">
      <c r="B3369" s="13"/>
      <c r="C3369" t="s" s="9">
        <v>43</v>
      </c>
      <c r="D3369" t="s" s="8">
        <v>1148</v>
      </c>
      <c r="E3369" t="s" s="9">
        <v>1149</v>
      </c>
      <c r="F3369" t="s" s="10">
        <v>152</v>
      </c>
      <c r="G3369" t="s" s="11">
        <v>152</v>
      </c>
      <c r="H3369" t="s" s="10">
        <v>152</v>
      </c>
      <c r="I3369" t="s" s="11">
        <v>152</v>
      </c>
      <c r="J3369" t="s" s="11">
        <v>20</v>
      </c>
      <c r="K3369" s="15"/>
      <c r="L3369" t="s" s="16">
        <f>HYPERLINK("http://csr.bu.edu/ftp/asl/asllvd/demos/verify_start_end_handshape_annotations//test_auto_move//signs_mov_separ_signers/Dana_15617.mov","MOV")</f>
        <v>21</v>
      </c>
      <c r="M3369" t="s" s="10">
        <v>44</v>
      </c>
      <c r="N3369" s="17">
        <v>7</v>
      </c>
      <c r="O3369" s="18">
        <v>2284</v>
      </c>
      <c r="P3369" s="18">
        <v>2365</v>
      </c>
      <c r="Q3369" s="15"/>
      <c r="R3369" t="s" s="16">
        <f>HYPERLINK("http://secrets.rutgers.edu:8080/data/asl-ftp/asllvd/demos/verify_start_end_handshape_annotations//test_auto_move//signs_mov_separ_signers/Dana_15617.mov","MOV")</f>
        <v>21</v>
      </c>
    </row>
    <row r="3370" s="2" customFormat="1" ht="13.5" customHeight="1">
      <c r="B3370" t="s" s="8">
        <v>1150</v>
      </c>
      <c r="C3370" t="s" s="9">
        <v>14</v>
      </c>
      <c r="D3370" t="s" s="8">
        <v>14</v>
      </c>
      <c r="E3370" t="s" s="9">
        <v>14</v>
      </c>
      <c r="F3370" t="s" s="10">
        <v>14</v>
      </c>
      <c r="G3370" t="s" s="11">
        <v>14</v>
      </c>
      <c r="H3370" t="s" s="10">
        <v>14</v>
      </c>
      <c r="I3370" t="s" s="11">
        <v>14</v>
      </c>
      <c r="J3370" t="s" s="11">
        <v>14</v>
      </c>
      <c r="K3370" t="s" s="12">
        <v>14</v>
      </c>
      <c r="L3370" t="s" s="12">
        <v>14</v>
      </c>
      <c r="M3370" t="s" s="10">
        <v>14</v>
      </c>
      <c r="N3370" t="s" s="11">
        <v>14</v>
      </c>
      <c r="O3370" t="s" s="8">
        <v>14</v>
      </c>
      <c r="P3370" t="s" s="8">
        <v>14</v>
      </c>
      <c r="Q3370" t="s" s="12">
        <v>14</v>
      </c>
      <c r="R3370" t="s" s="12">
        <v>14</v>
      </c>
    </row>
    <row r="3371" s="2" customFormat="1" ht="13.5" customHeight="1">
      <c r="B3371" s="13"/>
      <c r="C3371" t="s" s="9">
        <v>23</v>
      </c>
      <c r="D3371" t="s" s="8">
        <v>1150</v>
      </c>
      <c r="E3371" t="s" s="9">
        <v>1151</v>
      </c>
      <c r="F3371" t="s" s="10">
        <v>337</v>
      </c>
      <c r="G3371" t="s" s="11">
        <v>337</v>
      </c>
      <c r="H3371" t="s" s="10">
        <v>19</v>
      </c>
      <c r="I3371" t="s" s="11">
        <v>19</v>
      </c>
      <c r="J3371" t="s" s="11">
        <v>20</v>
      </c>
      <c r="K3371" s="15"/>
      <c r="L3371" t="s" s="16">
        <f>HYPERLINK("http://csr.bu.edu/ftp/asl/asllvd/demos/verify_start_end_handshape_annotations//test_auto_move//signs_mov_separ_signers/Tyler_3034.mov","MOV")</f>
        <v>21</v>
      </c>
      <c r="M3371" t="s" s="10">
        <v>125</v>
      </c>
      <c r="N3371" s="17">
        <v>19</v>
      </c>
      <c r="O3371" s="18">
        <v>2372</v>
      </c>
      <c r="P3371" s="18">
        <v>2425</v>
      </c>
      <c r="Q3371" s="15"/>
      <c r="R3371" t="s" s="16">
        <f>HYPERLINK("http://secrets.rutgers.edu:8080/data/asl-ftp/asllvd/demos/verify_start_end_handshape_annotations//test_auto_move//signs_mov_separ_signers/Tyler_3034.mov","MOV")</f>
        <v>21</v>
      </c>
    </row>
    <row r="3372" s="2" customFormat="1" ht="13.5" customHeight="1">
      <c r="B3372" s="13"/>
      <c r="C3372" t="s" s="9">
        <v>30</v>
      </c>
      <c r="D3372" t="s" s="8">
        <v>1150</v>
      </c>
      <c r="E3372" t="s" s="9">
        <v>1152</v>
      </c>
      <c r="F3372" t="s" s="10">
        <v>337</v>
      </c>
      <c r="G3372" t="s" s="11">
        <v>337</v>
      </c>
      <c r="H3372" t="s" s="10">
        <v>19</v>
      </c>
      <c r="I3372" t="s" s="11">
        <v>19</v>
      </c>
      <c r="J3372" t="s" s="11">
        <v>20</v>
      </c>
      <c r="K3372" t="s" s="16">
        <f>HYPERLINK("http://csr.bu.edu/ftp/asl/asllvd/demos/verify_start_end_handshape_annotations//test_auto_move//signs_mov/3034_5468_merged.mov","MOV")</f>
        <v>21</v>
      </c>
      <c r="L3372" t="s" s="16">
        <f>HYPERLINK("http://csr.bu.edu/ftp/asl/asllvd/demos/verify_start_end_handshape_annotations//test_auto_move//signs_mov_separ_signers/Brady_3034.mov","MOV")</f>
        <v>21</v>
      </c>
      <c r="M3372" t="s" s="10">
        <v>39</v>
      </c>
      <c r="N3372" s="17">
        <v>28</v>
      </c>
      <c r="O3372" s="18">
        <v>9844</v>
      </c>
      <c r="P3372" s="18">
        <v>9875</v>
      </c>
      <c r="Q3372" t="s" s="16">
        <f>HYPERLINK("http://secrets.rutgers.edu:8080/data/asl-ftp/asllvd/demos/verify_start_end_handshape_annotations//test_auto_move//signs_mov/3034_5468_merged.mov","MOV")</f>
        <v>21</v>
      </c>
      <c r="R3372" t="s" s="16">
        <f>HYPERLINK("http://secrets.rutgers.edu:8080/data/asl-ftp/asllvd/demos/verify_start_end_handshape_annotations//test_auto_move//signs_mov_separ_signers/Brady_3034.mov","MOV")</f>
        <v>21</v>
      </c>
    </row>
    <row r="3373" s="2" customFormat="1" ht="13.5" customHeight="1">
      <c r="B3373" s="13"/>
      <c r="C3373" t="s" s="9">
        <v>30</v>
      </c>
      <c r="D3373" t="s" s="8">
        <v>1150</v>
      </c>
      <c r="E3373" t="s" s="9">
        <v>1153</v>
      </c>
      <c r="F3373" t="s" s="10">
        <v>337</v>
      </c>
      <c r="G3373" t="s" s="11">
        <v>337</v>
      </c>
      <c r="H3373" t="s" s="10">
        <v>28</v>
      </c>
      <c r="I3373" t="s" s="11">
        <v>28</v>
      </c>
      <c r="J3373" t="s" s="11">
        <v>20</v>
      </c>
      <c r="K3373" s="15"/>
      <c r="L3373" t="s" s="16">
        <f>HYPERLINK("http://csr.bu.edu/ftp/asl/asllvd/demos/verify_start_end_handshape_annotations//test_auto_move//signs_mov_separ_signers/Brady_5468.mov","MOV")</f>
        <v>21</v>
      </c>
      <c r="M3373" t="s" s="10">
        <v>60</v>
      </c>
      <c r="N3373" s="17">
        <v>28</v>
      </c>
      <c r="O3373" s="18">
        <v>392</v>
      </c>
      <c r="P3373" s="18">
        <v>432</v>
      </c>
      <c r="Q3373" s="15"/>
      <c r="R3373" t="s" s="16">
        <f>HYPERLINK("http://secrets.rutgers.edu:8080/data/asl-ftp/asllvd/demos/verify_start_end_handshape_annotations//test_auto_move//signs_mov_separ_signers/Brady_5468.mov","MOV")</f>
        <v>21</v>
      </c>
    </row>
    <row r="3374" s="2" customFormat="1" ht="13.5" customHeight="1">
      <c r="B3374" t="s" s="8">
        <v>52</v>
      </c>
      <c r="C3374" t="s" s="9">
        <v>53</v>
      </c>
      <c r="D3374" t="s" s="8">
        <v>53</v>
      </c>
      <c r="E3374" t="s" s="9">
        <v>53</v>
      </c>
      <c r="F3374" t="s" s="10">
        <v>53</v>
      </c>
      <c r="G3374" t="s" s="11">
        <v>53</v>
      </c>
      <c r="H3374" t="s" s="10">
        <v>53</v>
      </c>
      <c r="I3374" t="s" s="11">
        <v>53</v>
      </c>
      <c r="J3374" t="s" s="11">
        <v>53</v>
      </c>
      <c r="K3374" t="s" s="12">
        <v>53</v>
      </c>
      <c r="L3374" t="s" s="12">
        <v>53</v>
      </c>
      <c r="M3374" t="s" s="10">
        <v>53</v>
      </c>
      <c r="N3374" t="s" s="11">
        <v>53</v>
      </c>
      <c r="O3374" t="s" s="8">
        <v>53</v>
      </c>
      <c r="P3374" t="s" s="8">
        <v>53</v>
      </c>
      <c r="Q3374" t="s" s="12">
        <v>53</v>
      </c>
      <c r="R3374" t="s" s="12">
        <v>53</v>
      </c>
    </row>
    <row r="3375" s="2" customFormat="1" ht="13.5" customHeight="1">
      <c r="B3375" s="13"/>
      <c r="C3375" t="s" s="9">
        <v>16</v>
      </c>
      <c r="D3375" t="s" s="8">
        <v>1150</v>
      </c>
      <c r="E3375" t="s" s="9">
        <v>1154</v>
      </c>
      <c r="F3375" t="s" s="10">
        <v>337</v>
      </c>
      <c r="G3375" s="14"/>
      <c r="H3375" t="s" s="10">
        <v>28</v>
      </c>
      <c r="I3375" s="14"/>
      <c r="J3375" t="s" s="11">
        <v>20</v>
      </c>
      <c r="K3375" t="s" s="16">
        <f>HYPERLINK("http://csr.bu.edu/ftp/asl/asllvd/demos/verify_start_end_handshape_annotations//test_auto_move//signs_mov/16547.mov","MOV")</f>
        <v>21</v>
      </c>
      <c r="L3375" t="s" s="16">
        <f>HYPERLINK("http://csr.bu.edu/ftp/asl/asllvd/demos/verify_start_end_handshape_annotations//test_auto_move//signs_mov_separ_signers/Liz_16547.mov","MOV")</f>
        <v>21</v>
      </c>
      <c r="M3375" t="s" s="10">
        <v>88</v>
      </c>
      <c r="N3375" s="17">
        <v>25</v>
      </c>
      <c r="O3375" s="18">
        <v>391</v>
      </c>
      <c r="P3375" s="18">
        <v>425</v>
      </c>
      <c r="Q3375" t="s" s="16">
        <f>HYPERLINK("http://secrets.rutgers.edu:8080/data/asl-ftp/asllvd/demos/verify_start_end_handshape_annotations//test_auto_move//signs_mov/16547.mov","MOV")</f>
        <v>21</v>
      </c>
      <c r="R3375" t="s" s="16">
        <f>HYPERLINK("http://secrets.rutgers.edu:8080/data/asl-ftp/asllvd/demos/verify_start_end_handshape_annotations//test_auto_move//signs_mov_separ_signers/Liz_16547.mov","MOV")</f>
        <v>21</v>
      </c>
    </row>
    <row r="3376" s="2" customFormat="1" ht="13.5" customHeight="1">
      <c r="B3376" t="s" s="8">
        <v>1155</v>
      </c>
      <c r="C3376" t="s" s="9">
        <v>14</v>
      </c>
      <c r="D3376" t="s" s="8">
        <v>14</v>
      </c>
      <c r="E3376" t="s" s="9">
        <v>14</v>
      </c>
      <c r="F3376" t="s" s="10">
        <v>14</v>
      </c>
      <c r="G3376" t="s" s="11">
        <v>14</v>
      </c>
      <c r="H3376" t="s" s="10">
        <v>14</v>
      </c>
      <c r="I3376" t="s" s="11">
        <v>14</v>
      </c>
      <c r="J3376" t="s" s="11">
        <v>14</v>
      </c>
      <c r="K3376" t="s" s="12">
        <v>14</v>
      </c>
      <c r="L3376" t="s" s="12">
        <v>14</v>
      </c>
      <c r="M3376" t="s" s="10">
        <v>14</v>
      </c>
      <c r="N3376" t="s" s="11">
        <v>14</v>
      </c>
      <c r="O3376" t="s" s="8">
        <v>14</v>
      </c>
      <c r="P3376" t="s" s="8">
        <v>14</v>
      </c>
      <c r="Q3376" t="s" s="12">
        <v>14</v>
      </c>
      <c r="R3376" t="s" s="12">
        <v>14</v>
      </c>
    </row>
    <row r="3377" s="2" customFormat="1" ht="13.5" customHeight="1">
      <c r="B3377" s="13"/>
      <c r="C3377" t="s" s="9">
        <v>16</v>
      </c>
      <c r="D3377" t="s" s="8">
        <v>1155</v>
      </c>
      <c r="E3377" t="s" s="9">
        <v>1156</v>
      </c>
      <c r="F3377" t="s" s="10">
        <v>85</v>
      </c>
      <c r="G3377" t="s" s="11">
        <v>105</v>
      </c>
      <c r="H3377" t="s" s="10">
        <v>85</v>
      </c>
      <c r="I3377" t="s" s="11">
        <v>105</v>
      </c>
      <c r="J3377" t="s" s="11">
        <v>20</v>
      </c>
      <c r="K3377" s="15"/>
      <c r="L3377" t="s" s="16">
        <f>HYPERLINK("http://csr.bu.edu/ftp/asl/asllvd/demos/verify_start_end_handshape_annotations//test_auto_move//signs_mov_separ_signers/Liz_702.mov","MOV")</f>
        <v>21</v>
      </c>
      <c r="M3377" t="s" s="10">
        <v>84</v>
      </c>
      <c r="N3377" s="17">
        <v>21</v>
      </c>
      <c r="O3377" s="18">
        <v>855</v>
      </c>
      <c r="P3377" s="18">
        <v>891</v>
      </c>
      <c r="Q3377" s="15"/>
      <c r="R3377" t="s" s="16">
        <f>HYPERLINK("http://secrets.rutgers.edu:8080/data/asl-ftp/asllvd/demos/verify_start_end_handshape_annotations//test_auto_move//signs_mov_separ_signers/Liz_702.mov","MOV")</f>
        <v>21</v>
      </c>
    </row>
    <row r="3378" s="2" customFormat="1" ht="13.5" customHeight="1">
      <c r="B3378" s="13"/>
      <c r="C3378" t="s" s="9">
        <v>23</v>
      </c>
      <c r="D3378" t="s" s="8">
        <v>1155</v>
      </c>
      <c r="E3378" t="s" s="9">
        <v>1157</v>
      </c>
      <c r="F3378" t="s" s="10">
        <v>260</v>
      </c>
      <c r="G3378" t="s" s="11">
        <v>109</v>
      </c>
      <c r="H3378" t="s" s="10">
        <v>260</v>
      </c>
      <c r="I3378" t="s" s="11">
        <v>109</v>
      </c>
      <c r="J3378" t="s" s="11">
        <v>20</v>
      </c>
      <c r="K3378" s="15"/>
      <c r="L3378" t="s" s="16">
        <f>HYPERLINK("http://csr.bu.edu/ftp/asl/asllvd/demos/verify_start_end_handshape_annotations//test_auto_move//signs_mov_separ_signers/Tyler_702.mov","MOV")</f>
        <v>21</v>
      </c>
      <c r="M3378" t="s" s="10">
        <v>92</v>
      </c>
      <c r="N3378" s="17">
        <v>1</v>
      </c>
      <c r="O3378" s="18">
        <v>2726</v>
      </c>
      <c r="P3378" s="18">
        <v>2785</v>
      </c>
      <c r="Q3378" s="15"/>
      <c r="R3378" t="s" s="16">
        <f>HYPERLINK("http://secrets.rutgers.edu:8080/data/asl-ftp/asllvd/demos/verify_start_end_handshape_annotations//test_auto_move//signs_mov_separ_signers/Tyler_702.mov","MOV")</f>
        <v>21</v>
      </c>
    </row>
    <row r="3379" s="2" customFormat="1" ht="13.5" customHeight="1">
      <c r="B3379" s="13"/>
      <c r="C3379" t="s" s="9">
        <v>27</v>
      </c>
      <c r="D3379" t="s" s="8">
        <v>1155</v>
      </c>
      <c r="E3379" t="s" s="9">
        <v>1156</v>
      </c>
      <c r="F3379" t="s" s="10">
        <v>80</v>
      </c>
      <c r="G3379" t="s" s="11">
        <v>73</v>
      </c>
      <c r="H3379" t="s" s="10">
        <v>80</v>
      </c>
      <c r="I3379" t="s" s="11">
        <v>73</v>
      </c>
      <c r="J3379" t="s" s="11">
        <v>20</v>
      </c>
      <c r="K3379" s="15"/>
      <c r="L3379" t="s" s="16">
        <f>HYPERLINK("http://csr.bu.edu/ftp/asl/asllvd/demos/verify_start_end_handshape_annotations//test_auto_move//signs_mov_separ_signers/Naomi_702.mov","MOV")</f>
        <v>21</v>
      </c>
      <c r="M3379" t="s" s="10">
        <v>29</v>
      </c>
      <c r="N3379" s="17">
        <v>28</v>
      </c>
      <c r="O3379" s="18">
        <v>1067</v>
      </c>
      <c r="P3379" s="18">
        <v>1095</v>
      </c>
      <c r="Q3379" s="15"/>
      <c r="R3379" t="s" s="16">
        <f>HYPERLINK("http://secrets.rutgers.edu:8080/data/asl-ftp/asllvd/demos/verify_start_end_handshape_annotations//test_auto_move//signs_mov_separ_signers/Naomi_702.mov","MOV")</f>
        <v>21</v>
      </c>
    </row>
    <row r="3380" s="2" customFormat="1" ht="13.5" customHeight="1">
      <c r="B3380" s="13"/>
      <c r="C3380" t="s" s="9">
        <v>27</v>
      </c>
      <c r="D3380" t="s" s="8">
        <v>1155</v>
      </c>
      <c r="E3380" t="s" s="9">
        <v>1155</v>
      </c>
      <c r="F3380" t="s" s="10">
        <v>85</v>
      </c>
      <c r="G3380" t="s" s="11">
        <v>105</v>
      </c>
      <c r="H3380" t="s" s="10">
        <v>85</v>
      </c>
      <c r="I3380" t="s" s="11">
        <v>105</v>
      </c>
      <c r="J3380" t="s" s="11">
        <v>20</v>
      </c>
      <c r="K3380" t="s" s="16">
        <f>HYPERLINK("http://csr.bu.edu/ftp/asl/asllvd/demos/verify_start_end_handshape_annotations//test_auto_move//signs_mov/702_3613_merged.mov","MOV")</f>
        <v>21</v>
      </c>
      <c r="L3380" t="s" s="16">
        <f>HYPERLINK("http://csr.bu.edu/ftp/asl/asllvd/demos/verify_start_end_handshape_annotations//test_auto_move//signs_mov_separ_signers/Naomi_3613.mov","MOV")</f>
        <v>21</v>
      </c>
      <c r="M3380" t="s" s="10">
        <v>86</v>
      </c>
      <c r="N3380" s="17">
        <v>21</v>
      </c>
      <c r="O3380" s="18">
        <v>1465</v>
      </c>
      <c r="P3380" s="18">
        <v>1491</v>
      </c>
      <c r="Q3380" t="s" s="16">
        <f>HYPERLINK("http://secrets.rutgers.edu:8080/data/asl-ftp/asllvd/demos/verify_start_end_handshape_annotations//test_auto_move//signs_mov/702_3613_merged.mov","MOV")</f>
        <v>21</v>
      </c>
      <c r="R3380" t="s" s="16">
        <f>HYPERLINK("http://secrets.rutgers.edu:8080/data/asl-ftp/asllvd/demos/verify_start_end_handshape_annotations//test_auto_move//signs_mov_separ_signers/Naomi_3613.mov","MOV")</f>
        <v>21</v>
      </c>
    </row>
    <row r="3381" s="2" customFormat="1" ht="13.5" customHeight="1">
      <c r="B3381" s="13"/>
      <c r="C3381" t="s" s="9">
        <v>30</v>
      </c>
      <c r="D3381" t="s" s="8">
        <v>1155</v>
      </c>
      <c r="E3381" t="s" s="9">
        <v>1158</v>
      </c>
      <c r="F3381" t="s" s="10">
        <v>80</v>
      </c>
      <c r="G3381" t="s" s="11">
        <v>63</v>
      </c>
      <c r="H3381" t="s" s="10">
        <v>80</v>
      </c>
      <c r="I3381" t="s" s="11">
        <v>63</v>
      </c>
      <c r="J3381" t="s" s="11">
        <v>20</v>
      </c>
      <c r="K3381" s="15"/>
      <c r="L3381" t="s" s="16">
        <f>HYPERLINK("http://csr.bu.edu/ftp/asl/asllvd/demos/verify_start_end_handshape_annotations//test_auto_move//signs_mov_separ_signers/Brady_702.mov","MOV")</f>
        <v>21</v>
      </c>
      <c r="M3381" t="s" s="10">
        <v>31</v>
      </c>
      <c r="N3381" s="17">
        <v>36</v>
      </c>
      <c r="O3381" s="18">
        <v>8132</v>
      </c>
      <c r="P3381" s="18">
        <v>8170</v>
      </c>
      <c r="Q3381" s="15"/>
      <c r="R3381" t="s" s="16">
        <f>HYPERLINK("http://secrets.rutgers.edu:8080/data/asl-ftp/asllvd/demos/verify_start_end_handshape_annotations//test_auto_move//signs_mov_separ_signers/Brady_702.mov","MOV")</f>
        <v>21</v>
      </c>
    </row>
    <row r="3382" s="2" customFormat="1" ht="13.5" customHeight="1">
      <c r="B3382" s="13"/>
      <c r="C3382" t="s" s="9">
        <v>30</v>
      </c>
      <c r="D3382" t="s" s="8">
        <v>1155</v>
      </c>
      <c r="E3382" t="s" s="9">
        <v>1156</v>
      </c>
      <c r="F3382" t="s" s="10">
        <v>80</v>
      </c>
      <c r="G3382" t="s" s="11">
        <v>63</v>
      </c>
      <c r="H3382" t="s" s="10">
        <v>80</v>
      </c>
      <c r="I3382" t="s" s="11">
        <v>63</v>
      </c>
      <c r="J3382" t="s" s="11">
        <v>20</v>
      </c>
      <c r="K3382" s="15"/>
      <c r="L3382" t="s" s="16">
        <f>HYPERLINK("http://csr.bu.edu/ftp/asl/asllvd/demos/verify_start_end_handshape_annotations//test_auto_move//signs_mov_separ_signers/Brady_3613.mov","MOV")</f>
        <v>21</v>
      </c>
      <c r="M3382" t="s" s="10">
        <v>31</v>
      </c>
      <c r="N3382" s="17">
        <v>37</v>
      </c>
      <c r="O3382" s="18">
        <v>653</v>
      </c>
      <c r="P3382" s="18">
        <v>681</v>
      </c>
      <c r="Q3382" s="15"/>
      <c r="R3382" t="s" s="16">
        <f>HYPERLINK("http://secrets.rutgers.edu:8080/data/asl-ftp/asllvd/demos/verify_start_end_handshape_annotations//test_auto_move//signs_mov_separ_signers/Brady_3613.mov","MOV")</f>
        <v>21</v>
      </c>
    </row>
    <row r="3383" s="2" customFormat="1" ht="13.5" customHeight="1">
      <c r="B3383" s="13"/>
      <c r="C3383" t="s" s="9">
        <v>41</v>
      </c>
      <c r="D3383" t="s" s="8">
        <v>1155</v>
      </c>
      <c r="E3383" t="s" s="9">
        <v>1156</v>
      </c>
      <c r="F3383" t="s" s="10">
        <v>85</v>
      </c>
      <c r="G3383" t="s" s="11">
        <v>73</v>
      </c>
      <c r="H3383" t="s" s="10">
        <v>85</v>
      </c>
      <c r="I3383" t="s" s="11">
        <v>73</v>
      </c>
      <c r="J3383" t="s" s="11">
        <v>20</v>
      </c>
      <c r="K3383" s="15"/>
      <c r="L3383" t="s" s="16">
        <f>HYPERLINK("http://csr.bu.edu/ftp/asl/asllvd/demos/verify_start_end_handshape_annotations//test_auto_move//signs_mov_separ_signers/Lana_702.mov","MOV")</f>
        <v>21</v>
      </c>
      <c r="M3383" t="s" s="10">
        <v>42</v>
      </c>
      <c r="N3383" s="17">
        <v>7</v>
      </c>
      <c r="O3383" s="18">
        <v>2256</v>
      </c>
      <c r="P3383" s="18">
        <v>2283</v>
      </c>
      <c r="Q3383" s="15"/>
      <c r="R3383" t="s" s="16">
        <f>HYPERLINK("http://secrets.rutgers.edu:8080/data/asl-ftp/asllvd/demos/verify_start_end_handshape_annotations//test_auto_move//signs_mov_separ_signers/Lana_702.mov","MOV")</f>
        <v>21</v>
      </c>
    </row>
    <row r="3384" s="2" customFormat="1" ht="13.5" customHeight="1">
      <c r="B3384" s="13"/>
      <c r="C3384" t="s" s="9">
        <v>43</v>
      </c>
      <c r="D3384" t="s" s="8">
        <v>1155</v>
      </c>
      <c r="E3384" t="s" s="9">
        <v>1156</v>
      </c>
      <c r="F3384" t="s" s="10">
        <v>80</v>
      </c>
      <c r="G3384" t="s" s="11">
        <v>73</v>
      </c>
      <c r="H3384" t="s" s="10">
        <v>80</v>
      </c>
      <c r="I3384" t="s" s="11">
        <v>73</v>
      </c>
      <c r="J3384" t="s" s="11">
        <v>20</v>
      </c>
      <c r="K3384" s="15"/>
      <c r="L3384" t="s" s="16">
        <f>HYPERLINK("http://csr.bu.edu/ftp/asl/asllvd/demos/verify_start_end_handshape_annotations//test_auto_move//signs_mov_separ_signers/Dana_702.mov","MOV")</f>
        <v>21</v>
      </c>
      <c r="M3384" t="s" s="10">
        <v>44</v>
      </c>
      <c r="N3384" s="17">
        <v>11</v>
      </c>
      <c r="O3384" s="18">
        <v>2412</v>
      </c>
      <c r="P3384" s="18">
        <v>2465</v>
      </c>
      <c r="Q3384" s="15"/>
      <c r="R3384" t="s" s="16">
        <f>HYPERLINK("http://secrets.rutgers.edu:8080/data/asl-ftp/asllvd/demos/verify_start_end_handshape_annotations//test_auto_move//signs_mov_separ_signers/Dana_702.mov","MOV")</f>
        <v>21</v>
      </c>
    </row>
    <row r="3385" s="2" customFormat="1" ht="13.5" customHeight="1">
      <c r="B3385" t="s" s="8">
        <v>52</v>
      </c>
      <c r="C3385" t="s" s="9">
        <v>53</v>
      </c>
      <c r="D3385" t="s" s="8">
        <v>53</v>
      </c>
      <c r="E3385" t="s" s="9">
        <v>53</v>
      </c>
      <c r="F3385" t="s" s="10">
        <v>53</v>
      </c>
      <c r="G3385" t="s" s="11">
        <v>53</v>
      </c>
      <c r="H3385" t="s" s="10">
        <v>53</v>
      </c>
      <c r="I3385" t="s" s="11">
        <v>53</v>
      </c>
      <c r="J3385" t="s" s="11">
        <v>53</v>
      </c>
      <c r="K3385" t="s" s="12">
        <v>53</v>
      </c>
      <c r="L3385" t="s" s="12">
        <v>53</v>
      </c>
      <c r="M3385" t="s" s="10">
        <v>53</v>
      </c>
      <c r="N3385" t="s" s="11">
        <v>53</v>
      </c>
      <c r="O3385" t="s" s="8">
        <v>53</v>
      </c>
      <c r="P3385" t="s" s="8">
        <v>53</v>
      </c>
      <c r="Q3385" t="s" s="12">
        <v>53</v>
      </c>
      <c r="R3385" t="s" s="12">
        <v>53</v>
      </c>
    </row>
    <row r="3386" s="2" customFormat="1" ht="13.5" customHeight="1">
      <c r="B3386" s="13"/>
      <c r="C3386" t="s" s="9">
        <v>16</v>
      </c>
      <c r="D3386" t="s" s="8">
        <v>1155</v>
      </c>
      <c r="E3386" t="s" s="9">
        <v>1159</v>
      </c>
      <c r="F3386" t="s" s="10">
        <v>51</v>
      </c>
      <c r="G3386" t="s" s="11">
        <v>105</v>
      </c>
      <c r="H3386" t="s" s="10">
        <v>51</v>
      </c>
      <c r="I3386" t="s" s="11">
        <v>105</v>
      </c>
      <c r="J3386" t="s" s="11">
        <v>20</v>
      </c>
      <c r="K3386" t="s" s="16">
        <f>HYPERLINK("http://csr.bu.edu/ftp/asl/asllvd/demos/verify_start_end_handshape_annotations//test_auto_move//signs_mov/5048.mov","MOV")</f>
        <v>21</v>
      </c>
      <c r="L3386" t="s" s="16">
        <f>HYPERLINK("http://csr.bu.edu/ftp/asl/asllvd/demos/verify_start_end_handshape_annotations//test_auto_move//signs_mov_separ_signers/Liz_5048.mov","MOV")</f>
        <v>21</v>
      </c>
      <c r="M3386" t="s" s="10">
        <v>84</v>
      </c>
      <c r="N3386" s="17">
        <v>21</v>
      </c>
      <c r="O3386" s="18">
        <v>655</v>
      </c>
      <c r="P3386" s="18">
        <v>697</v>
      </c>
      <c r="Q3386" t="s" s="16">
        <f>HYPERLINK("http://secrets.rutgers.edu:8080/data/asl-ftp/asllvd/demos/verify_start_end_handshape_annotations//test_auto_move//signs_mov/5048.mov","MOV")</f>
        <v>21</v>
      </c>
      <c r="R3386" t="s" s="16">
        <f>HYPERLINK("http://secrets.rutgers.edu:8080/data/asl-ftp/asllvd/demos/verify_start_end_handshape_annotations//test_auto_move//signs_mov_separ_signers/Liz_5048.mov","MOV")</f>
        <v>21</v>
      </c>
    </row>
    <row r="3387" s="2" customFormat="1" ht="13.5" customHeight="1">
      <c r="B3387" s="13"/>
      <c r="C3387" t="s" s="9">
        <v>27</v>
      </c>
      <c r="D3387" t="s" s="8">
        <v>1155</v>
      </c>
      <c r="E3387" t="s" s="9">
        <v>1159</v>
      </c>
      <c r="F3387" t="s" s="10">
        <v>51</v>
      </c>
      <c r="G3387" t="s" s="11">
        <v>105</v>
      </c>
      <c r="H3387" t="s" s="10">
        <v>51</v>
      </c>
      <c r="I3387" t="s" s="11">
        <v>105</v>
      </c>
      <c r="J3387" t="s" s="11">
        <v>20</v>
      </c>
      <c r="K3387" s="15"/>
      <c r="L3387" t="s" s="16">
        <f>HYPERLINK("http://csr.bu.edu/ftp/asl/asllvd/demos/verify_start_end_handshape_annotations//test_auto_move//signs_mov_separ_signers/Naomi_5048.mov","MOV")</f>
        <v>21</v>
      </c>
      <c r="M3387" t="s" s="10">
        <v>86</v>
      </c>
      <c r="N3387" s="17">
        <v>21</v>
      </c>
      <c r="O3387" s="18">
        <v>1270</v>
      </c>
      <c r="P3387" s="18">
        <v>1295</v>
      </c>
      <c r="Q3387" s="15"/>
      <c r="R3387" t="s" s="16">
        <f>HYPERLINK("http://secrets.rutgers.edu:8080/data/asl-ftp/asllvd/demos/verify_start_end_handshape_annotations//test_auto_move//signs_mov_separ_signers/Naomi_5048.mov","MOV")</f>
        <v>21</v>
      </c>
    </row>
    <row r="3388" s="2" customFormat="1" ht="13.5" customHeight="1">
      <c r="B3388" t="s" s="8">
        <v>1160</v>
      </c>
      <c r="C3388" t="s" s="9">
        <v>14</v>
      </c>
      <c r="D3388" t="s" s="8">
        <v>14</v>
      </c>
      <c r="E3388" t="s" s="9">
        <v>14</v>
      </c>
      <c r="F3388" t="s" s="10">
        <v>14</v>
      </c>
      <c r="G3388" t="s" s="11">
        <v>14</v>
      </c>
      <c r="H3388" t="s" s="10">
        <v>14</v>
      </c>
      <c r="I3388" t="s" s="11">
        <v>14</v>
      </c>
      <c r="J3388" t="s" s="11">
        <v>14</v>
      </c>
      <c r="K3388" t="s" s="12">
        <v>14</v>
      </c>
      <c r="L3388" t="s" s="12">
        <v>14</v>
      </c>
      <c r="M3388" t="s" s="10">
        <v>14</v>
      </c>
      <c r="N3388" t="s" s="11">
        <v>14</v>
      </c>
      <c r="O3388" t="s" s="8">
        <v>14</v>
      </c>
      <c r="P3388" t="s" s="8">
        <v>14</v>
      </c>
      <c r="Q3388" t="s" s="12">
        <v>14</v>
      </c>
      <c r="R3388" t="s" s="12">
        <v>14</v>
      </c>
    </row>
    <row r="3389" s="2" customFormat="1" ht="13.5" customHeight="1">
      <c r="B3389" s="13"/>
      <c r="C3389" t="s" s="9">
        <v>16</v>
      </c>
      <c r="D3389" t="s" s="8">
        <v>1160</v>
      </c>
      <c r="E3389" t="s" s="9">
        <v>1161</v>
      </c>
      <c r="F3389" t="s" s="10">
        <v>425</v>
      </c>
      <c r="G3389" t="s" s="11">
        <v>105</v>
      </c>
      <c r="H3389" t="s" s="10">
        <v>425</v>
      </c>
      <c r="I3389" t="s" s="11">
        <v>105</v>
      </c>
      <c r="J3389" t="s" s="11">
        <v>20</v>
      </c>
      <c r="K3389" s="15"/>
      <c r="L3389" t="s" s="16">
        <f>HYPERLINK("http://csr.bu.edu/ftp/asl/asllvd/demos/verify_start_end_handshape_annotations//test_auto_move//signs_mov_separ_signers/Liz_15693.mov","MOV")</f>
        <v>21</v>
      </c>
      <c r="M3389" t="s" s="10">
        <v>88</v>
      </c>
      <c r="N3389" s="17">
        <v>22</v>
      </c>
      <c r="O3389" s="18">
        <v>560</v>
      </c>
      <c r="P3389" s="18">
        <v>612</v>
      </c>
      <c r="Q3389" s="15"/>
      <c r="R3389" t="s" s="16">
        <f>HYPERLINK("http://secrets.rutgers.edu:8080/data/asl-ftp/asllvd/demos/verify_start_end_handshape_annotations//test_auto_move//signs_mov_separ_signers/Liz_15693.mov","MOV")</f>
        <v>21</v>
      </c>
    </row>
    <row r="3390" s="2" customFormat="1" ht="13.5" customHeight="1">
      <c r="B3390" s="13"/>
      <c r="C3390" t="s" s="9">
        <v>30</v>
      </c>
      <c r="D3390" t="s" s="8">
        <v>1160</v>
      </c>
      <c r="E3390" t="s" s="9">
        <v>1161</v>
      </c>
      <c r="F3390" t="s" s="10">
        <v>425</v>
      </c>
      <c r="G3390" t="s" s="11">
        <v>68</v>
      </c>
      <c r="H3390" t="s" s="10">
        <v>425</v>
      </c>
      <c r="I3390" t="s" s="11">
        <v>68</v>
      </c>
      <c r="J3390" t="s" s="11">
        <v>20</v>
      </c>
      <c r="K3390" t="s" s="16">
        <f>HYPERLINK("http://csr.bu.edu/ftp/asl/asllvd/demos/verify_start_end_handshape_annotations//test_auto_move//signs_mov/15693.mov","MOV")</f>
        <v>21</v>
      </c>
      <c r="L3390" t="s" s="16">
        <f>HYPERLINK("http://csr.bu.edu/ftp/asl/asllvd/demos/verify_start_end_handshape_annotations//test_auto_move//signs_mov_separ_signers/Brady_15693.mov","MOV")</f>
        <v>21</v>
      </c>
      <c r="M3390" t="s" s="10">
        <v>40</v>
      </c>
      <c r="N3390" s="17">
        <v>17</v>
      </c>
      <c r="O3390" s="18">
        <v>1599</v>
      </c>
      <c r="P3390" s="18">
        <v>1627</v>
      </c>
      <c r="Q3390" t="s" s="16">
        <f>HYPERLINK("http://secrets.rutgers.edu:8080/data/asl-ftp/asllvd/demos/verify_start_end_handshape_annotations//test_auto_move//signs_mov/15693.mov","MOV")</f>
        <v>21</v>
      </c>
      <c r="R3390" t="s" s="16">
        <f>HYPERLINK("http://secrets.rutgers.edu:8080/data/asl-ftp/asllvd/demos/verify_start_end_handshape_annotations//test_auto_move//signs_mov_separ_signers/Brady_15693.mov","MOV")</f>
        <v>21</v>
      </c>
    </row>
    <row r="3391" s="2" customFormat="1" ht="13.5" customHeight="1">
      <c r="B3391" s="13"/>
      <c r="C3391" t="s" s="9">
        <v>41</v>
      </c>
      <c r="D3391" t="s" s="8">
        <v>1160</v>
      </c>
      <c r="E3391" t="s" s="9">
        <v>1162</v>
      </c>
      <c r="F3391" t="s" s="10">
        <v>240</v>
      </c>
      <c r="G3391" t="s" s="11">
        <v>73</v>
      </c>
      <c r="H3391" t="s" s="10">
        <v>240</v>
      </c>
      <c r="I3391" t="s" s="11">
        <v>73</v>
      </c>
      <c r="J3391" t="s" s="11">
        <v>20</v>
      </c>
      <c r="K3391" s="15"/>
      <c r="L3391" t="s" s="16">
        <f>HYPERLINK("http://csr.bu.edu/ftp/asl/asllvd/demos/verify_start_end_handshape_annotations//test_auto_move//signs_mov_separ_signers/Lana_15693.mov","MOV")</f>
        <v>21</v>
      </c>
      <c r="M3391" t="s" s="10">
        <v>42</v>
      </c>
      <c r="N3391" s="17">
        <v>19</v>
      </c>
      <c r="O3391" s="18">
        <v>2053</v>
      </c>
      <c r="P3391" s="18">
        <v>2075</v>
      </c>
      <c r="Q3391" s="15"/>
      <c r="R3391" t="s" s="16">
        <f>HYPERLINK("http://secrets.rutgers.edu:8080/data/asl-ftp/asllvd/demos/verify_start_end_handshape_annotations//test_auto_move//signs_mov_separ_signers/Lana_15693.mov","MOV")</f>
        <v>21</v>
      </c>
    </row>
    <row r="3392" s="2" customFormat="1" ht="13.5" customHeight="1">
      <c r="B3392" s="13"/>
      <c r="C3392" t="s" s="9">
        <v>43</v>
      </c>
      <c r="D3392" t="s" s="8">
        <v>1160</v>
      </c>
      <c r="E3392" t="s" s="9">
        <v>1160</v>
      </c>
      <c r="F3392" t="s" s="10">
        <v>240</v>
      </c>
      <c r="G3392" t="s" s="11">
        <v>73</v>
      </c>
      <c r="H3392" t="s" s="10">
        <v>240</v>
      </c>
      <c r="I3392" t="s" s="11">
        <v>73</v>
      </c>
      <c r="J3392" t="s" s="11">
        <v>20</v>
      </c>
      <c r="K3392" s="15"/>
      <c r="L3392" t="s" s="16">
        <f>HYPERLINK("http://csr.bu.edu/ftp/asl/asllvd/demos/verify_start_end_handshape_annotations//test_auto_move//signs_mov_separ_signers/Dana_15693.mov","MOV")</f>
        <v>21</v>
      </c>
      <c r="M3392" t="s" s="10">
        <v>44</v>
      </c>
      <c r="N3392" s="17">
        <v>21</v>
      </c>
      <c r="O3392" s="18">
        <v>1969</v>
      </c>
      <c r="P3392" s="18">
        <v>2019</v>
      </c>
      <c r="Q3392" s="15"/>
      <c r="R3392" t="s" s="16">
        <f>HYPERLINK("http://secrets.rutgers.edu:8080/data/asl-ftp/asllvd/demos/verify_start_end_handshape_annotations//test_auto_move//signs_mov_separ_signers/Dana_15693.mov","MOV")</f>
        <v>21</v>
      </c>
    </row>
    <row r="3393" s="2" customFormat="1" ht="13.5" customHeight="1">
      <c r="B3393" t="s" s="8">
        <v>1163</v>
      </c>
      <c r="C3393" t="s" s="9">
        <v>14</v>
      </c>
      <c r="D3393" t="s" s="8">
        <v>14</v>
      </c>
      <c r="E3393" t="s" s="9">
        <v>14</v>
      </c>
      <c r="F3393" t="s" s="10">
        <v>14</v>
      </c>
      <c r="G3393" t="s" s="11">
        <v>14</v>
      </c>
      <c r="H3393" t="s" s="10">
        <v>14</v>
      </c>
      <c r="I3393" t="s" s="11">
        <v>14</v>
      </c>
      <c r="J3393" t="s" s="11">
        <v>14</v>
      </c>
      <c r="K3393" t="s" s="12">
        <v>14</v>
      </c>
      <c r="L3393" t="s" s="12">
        <v>14</v>
      </c>
      <c r="M3393" t="s" s="10">
        <v>14</v>
      </c>
      <c r="N3393" t="s" s="11">
        <v>14</v>
      </c>
      <c r="O3393" t="s" s="8">
        <v>14</v>
      </c>
      <c r="P3393" t="s" s="8">
        <v>14</v>
      </c>
      <c r="Q3393" t="s" s="12">
        <v>14</v>
      </c>
      <c r="R3393" t="s" s="12">
        <v>14</v>
      </c>
    </row>
    <row r="3394" s="2" customFormat="1" ht="13.5" customHeight="1">
      <c r="B3394" s="13"/>
      <c r="C3394" t="s" s="9">
        <v>16</v>
      </c>
      <c r="D3394" t="s" s="8">
        <v>1163</v>
      </c>
      <c r="E3394" t="s" s="9">
        <v>1164</v>
      </c>
      <c r="F3394" t="s" s="10">
        <v>220</v>
      </c>
      <c r="G3394" t="s" s="11">
        <v>105</v>
      </c>
      <c r="H3394" t="s" s="10">
        <v>220</v>
      </c>
      <c r="I3394" t="s" s="11">
        <v>105</v>
      </c>
      <c r="J3394" t="s" s="11">
        <v>20</v>
      </c>
      <c r="K3394" t="s" s="16">
        <f>HYPERLINK("http://csr.bu.edu/ftp/asl/asllvd/demos/verify_start_end_handshape_annotations//test_auto_move//signs_mov/16153.mov","MOV")</f>
        <v>21</v>
      </c>
      <c r="L3394" t="s" s="16">
        <f>HYPERLINK("http://csr.bu.edu/ftp/asl/asllvd/demos/verify_start_end_handshape_annotations//test_auto_move//signs_mov_separ_signers/Liz_16153.mov","MOV")</f>
        <v>21</v>
      </c>
      <c r="M3394" t="s" s="10">
        <v>88</v>
      </c>
      <c r="N3394" s="17">
        <v>51</v>
      </c>
      <c r="O3394" s="18">
        <v>695</v>
      </c>
      <c r="P3394" s="18">
        <v>732</v>
      </c>
      <c r="Q3394" t="s" s="16">
        <f>HYPERLINK("http://secrets.rutgers.edu:8080/data/asl-ftp/asllvd/demos/verify_start_end_handshape_annotations//test_auto_move//signs_mov/16153.mov","MOV")</f>
        <v>21</v>
      </c>
      <c r="R3394" t="s" s="16">
        <f>HYPERLINK("http://secrets.rutgers.edu:8080/data/asl-ftp/asllvd/demos/verify_start_end_handshape_annotations//test_auto_move//signs_mov_separ_signers/Liz_16153.mov","MOV")</f>
        <v>21</v>
      </c>
    </row>
    <row r="3395" s="2" customFormat="1" ht="13.5" customHeight="1">
      <c r="B3395" s="13"/>
      <c r="C3395" t="s" s="9">
        <v>30</v>
      </c>
      <c r="D3395" t="s" s="8">
        <v>1163</v>
      </c>
      <c r="E3395" t="s" s="9">
        <v>1164</v>
      </c>
      <c r="F3395" t="s" s="10">
        <v>220</v>
      </c>
      <c r="G3395" t="s" s="11">
        <v>63</v>
      </c>
      <c r="H3395" t="s" s="10">
        <v>220</v>
      </c>
      <c r="I3395" t="s" s="11">
        <v>63</v>
      </c>
      <c r="J3395" t="s" s="11">
        <v>20</v>
      </c>
      <c r="K3395" s="15"/>
      <c r="L3395" t="s" s="16">
        <f>HYPERLINK("http://csr.bu.edu/ftp/asl/asllvd/demos/verify_start_end_handshape_annotations//test_auto_move//signs_mov_separ_signers/Brady_16153.mov","MOV")</f>
        <v>21</v>
      </c>
      <c r="M3395" t="s" s="10">
        <v>40</v>
      </c>
      <c r="N3395" s="17">
        <v>45</v>
      </c>
      <c r="O3395" s="18">
        <v>2185</v>
      </c>
      <c r="P3395" s="18">
        <v>2207</v>
      </c>
      <c r="Q3395" s="15"/>
      <c r="R3395" t="s" s="16">
        <f>HYPERLINK("http://secrets.rutgers.edu:8080/data/asl-ftp/asllvd/demos/verify_start_end_handshape_annotations//test_auto_move//signs_mov_separ_signers/Brady_16153.mov","MOV")</f>
        <v>21</v>
      </c>
    </row>
    <row r="3396" s="2" customFormat="1" ht="13.5" customHeight="1">
      <c r="B3396" t="s" s="8">
        <v>1165</v>
      </c>
      <c r="C3396" t="s" s="9">
        <v>14</v>
      </c>
      <c r="D3396" t="s" s="8">
        <v>14</v>
      </c>
      <c r="E3396" t="s" s="9">
        <v>14</v>
      </c>
      <c r="F3396" t="s" s="10">
        <v>14</v>
      </c>
      <c r="G3396" t="s" s="11">
        <v>14</v>
      </c>
      <c r="H3396" t="s" s="10">
        <v>14</v>
      </c>
      <c r="I3396" t="s" s="11">
        <v>14</v>
      </c>
      <c r="J3396" t="s" s="11">
        <v>14</v>
      </c>
      <c r="K3396" t="s" s="12">
        <v>14</v>
      </c>
      <c r="L3396" t="s" s="12">
        <v>14</v>
      </c>
      <c r="M3396" t="s" s="10">
        <v>14</v>
      </c>
      <c r="N3396" t="s" s="11">
        <v>14</v>
      </c>
      <c r="O3396" t="s" s="8">
        <v>14</v>
      </c>
      <c r="P3396" t="s" s="8">
        <v>14</v>
      </c>
      <c r="Q3396" t="s" s="12">
        <v>14</v>
      </c>
      <c r="R3396" t="s" s="12">
        <v>14</v>
      </c>
    </row>
    <row r="3397" s="2" customFormat="1" ht="13.5" customHeight="1">
      <c r="B3397" s="13"/>
      <c r="C3397" t="s" s="9">
        <v>16</v>
      </c>
      <c r="D3397" t="s" s="8">
        <v>1165</v>
      </c>
      <c r="E3397" t="s" s="9">
        <v>1166</v>
      </c>
      <c r="F3397" t="s" s="10">
        <v>150</v>
      </c>
      <c r="G3397" t="s" s="11">
        <v>73</v>
      </c>
      <c r="H3397" t="s" s="10">
        <v>63</v>
      </c>
      <c r="I3397" t="s" s="11">
        <v>73</v>
      </c>
      <c r="J3397" t="s" s="11">
        <v>20</v>
      </c>
      <c r="K3397" s="15"/>
      <c r="L3397" t="s" s="16">
        <f>HYPERLINK("http://csr.bu.edu/ftp/asl/asllvd/demos/verify_start_end_handshape_annotations//test_auto_move//signs_mov_separ_signers/Liz_706.mov","MOV")</f>
        <v>21</v>
      </c>
      <c r="M3397" t="s" s="10">
        <v>84</v>
      </c>
      <c r="N3397" s="17">
        <v>21</v>
      </c>
      <c r="O3397" s="18">
        <v>1500</v>
      </c>
      <c r="P3397" s="18">
        <v>1546</v>
      </c>
      <c r="Q3397" s="15"/>
      <c r="R3397" t="s" s="16">
        <f>HYPERLINK("http://secrets.rutgers.edu:8080/data/asl-ftp/asllvd/demos/verify_start_end_handshape_annotations//test_auto_move//signs_mov_separ_signers/Liz_706.mov","MOV")</f>
        <v>21</v>
      </c>
    </row>
    <row r="3398" s="2" customFormat="1" ht="13.5" customHeight="1">
      <c r="B3398" s="13"/>
      <c r="C3398" t="s" s="9">
        <v>23</v>
      </c>
      <c r="D3398" t="s" s="8">
        <v>1165</v>
      </c>
      <c r="E3398" t="s" s="9">
        <v>1166</v>
      </c>
      <c r="F3398" t="s" s="10">
        <v>150</v>
      </c>
      <c r="G3398" t="s" s="11">
        <v>73</v>
      </c>
      <c r="H3398" t="s" s="10">
        <v>63</v>
      </c>
      <c r="I3398" t="s" s="11">
        <v>73</v>
      </c>
      <c r="J3398" t="s" s="11">
        <v>20</v>
      </c>
      <c r="K3398" t="s" s="16">
        <f>HYPERLINK("http://csr.bu.edu/ftp/asl/asllvd/demos/verify_start_end_handshape_annotations//test_auto_move//signs_mov/706.mov","MOV")</f>
        <v>21</v>
      </c>
      <c r="L3398" t="s" s="16">
        <f>HYPERLINK("http://csr.bu.edu/ftp/asl/asllvd/demos/verify_start_end_handshape_annotations//test_auto_move//signs_mov_separ_signers/Tyler_706.mov","MOV")</f>
        <v>21</v>
      </c>
      <c r="M3398" t="s" s="10">
        <v>92</v>
      </c>
      <c r="N3398" s="17">
        <v>1</v>
      </c>
      <c r="O3398" s="18">
        <v>4580</v>
      </c>
      <c r="P3398" s="18">
        <v>4621</v>
      </c>
      <c r="Q3398" t="s" s="16">
        <f>HYPERLINK("http://secrets.rutgers.edu:8080/data/asl-ftp/asllvd/demos/verify_start_end_handshape_annotations//test_auto_move//signs_mov/706.mov","MOV")</f>
        <v>21</v>
      </c>
      <c r="R3398" t="s" s="16">
        <f>HYPERLINK("http://secrets.rutgers.edu:8080/data/asl-ftp/asllvd/demos/verify_start_end_handshape_annotations//test_auto_move//signs_mov_separ_signers/Tyler_706.mov","MOV")</f>
        <v>21</v>
      </c>
    </row>
    <row r="3399" s="2" customFormat="1" ht="13.5" customHeight="1">
      <c r="B3399" s="13"/>
      <c r="C3399" t="s" s="9">
        <v>27</v>
      </c>
      <c r="D3399" t="s" s="8">
        <v>1165</v>
      </c>
      <c r="E3399" t="s" s="9">
        <v>1165</v>
      </c>
      <c r="F3399" t="s" s="10">
        <v>150</v>
      </c>
      <c r="G3399" t="s" s="11">
        <v>73</v>
      </c>
      <c r="H3399" t="s" s="10">
        <v>63</v>
      </c>
      <c r="I3399" t="s" s="11">
        <v>73</v>
      </c>
      <c r="J3399" t="s" s="11">
        <v>20</v>
      </c>
      <c r="K3399" s="15"/>
      <c r="L3399" t="s" s="16">
        <f>HYPERLINK("http://csr.bu.edu/ftp/asl/asllvd/demos/verify_start_end_handshape_annotations//test_auto_move//signs_mov_separ_signers/Naomi_706.mov","MOV")</f>
        <v>21</v>
      </c>
      <c r="M3399" t="s" s="10">
        <v>86</v>
      </c>
      <c r="N3399" s="17">
        <v>21</v>
      </c>
      <c r="O3399" s="18">
        <v>2432</v>
      </c>
      <c r="P3399" s="18">
        <v>2447</v>
      </c>
      <c r="Q3399" s="15"/>
      <c r="R3399" t="s" s="16">
        <f>HYPERLINK("http://secrets.rutgers.edu:8080/data/asl-ftp/asllvd/demos/verify_start_end_handshape_annotations//test_auto_move//signs_mov_separ_signers/Naomi_706.mov","MOV")</f>
        <v>21</v>
      </c>
    </row>
    <row r="3400" s="2" customFormat="1" ht="13.5" customHeight="1">
      <c r="B3400" s="13"/>
      <c r="C3400" t="s" s="9">
        <v>30</v>
      </c>
      <c r="D3400" t="s" s="8">
        <v>1165</v>
      </c>
      <c r="E3400" t="s" s="9">
        <v>1165</v>
      </c>
      <c r="F3400" t="s" s="10">
        <v>150</v>
      </c>
      <c r="G3400" t="s" s="11">
        <v>73</v>
      </c>
      <c r="H3400" t="s" s="10">
        <v>63</v>
      </c>
      <c r="I3400" t="s" s="11">
        <v>73</v>
      </c>
      <c r="J3400" t="s" s="11">
        <v>20</v>
      </c>
      <c r="K3400" s="15"/>
      <c r="L3400" t="s" s="16">
        <f>HYPERLINK("http://csr.bu.edu/ftp/asl/asllvd/demos/verify_start_end_handshape_annotations//test_auto_move//signs_mov_separ_signers/Brady_706.mov","MOV")</f>
        <v>21</v>
      </c>
      <c r="M3400" t="s" s="10">
        <v>31</v>
      </c>
      <c r="N3400" s="17">
        <v>37</v>
      </c>
      <c r="O3400" s="18">
        <v>1264</v>
      </c>
      <c r="P3400" s="18">
        <v>1280</v>
      </c>
      <c r="Q3400" s="15"/>
      <c r="R3400" t="s" s="16">
        <f>HYPERLINK("http://secrets.rutgers.edu:8080/data/asl-ftp/asllvd/demos/verify_start_end_handshape_annotations//test_auto_move//signs_mov_separ_signers/Brady_706.mov","MOV")</f>
        <v>21</v>
      </c>
    </row>
    <row r="3401" s="2" customFormat="1" ht="13.5" customHeight="1">
      <c r="B3401" t="s" s="8">
        <v>52</v>
      </c>
      <c r="C3401" t="s" s="9">
        <v>53</v>
      </c>
      <c r="D3401" t="s" s="8">
        <v>53</v>
      </c>
      <c r="E3401" t="s" s="9">
        <v>53</v>
      </c>
      <c r="F3401" t="s" s="10">
        <v>53</v>
      </c>
      <c r="G3401" t="s" s="11">
        <v>53</v>
      </c>
      <c r="H3401" t="s" s="10">
        <v>53</v>
      </c>
      <c r="I3401" t="s" s="11">
        <v>53</v>
      </c>
      <c r="J3401" t="s" s="11">
        <v>53</v>
      </c>
      <c r="K3401" t="s" s="12">
        <v>53</v>
      </c>
      <c r="L3401" t="s" s="12">
        <v>53</v>
      </c>
      <c r="M3401" t="s" s="10">
        <v>53</v>
      </c>
      <c r="N3401" t="s" s="11">
        <v>53</v>
      </c>
      <c r="O3401" t="s" s="8">
        <v>53</v>
      </c>
      <c r="P3401" t="s" s="8">
        <v>53</v>
      </c>
      <c r="Q3401" t="s" s="12">
        <v>53</v>
      </c>
      <c r="R3401" t="s" s="12">
        <v>53</v>
      </c>
    </row>
    <row r="3402" s="2" customFormat="1" ht="13.5" customHeight="1">
      <c r="B3402" s="13"/>
      <c r="C3402" t="s" s="9">
        <v>16</v>
      </c>
      <c r="D3402" t="s" s="8">
        <v>1165</v>
      </c>
      <c r="E3402" t="s" s="9">
        <v>1167</v>
      </c>
      <c r="F3402" t="s" s="10">
        <v>244</v>
      </c>
      <c r="G3402" t="s" s="11">
        <v>73</v>
      </c>
      <c r="H3402" t="s" s="10">
        <v>119</v>
      </c>
      <c r="I3402" t="s" s="11">
        <v>73</v>
      </c>
      <c r="J3402" t="s" s="11">
        <v>20</v>
      </c>
      <c r="K3402" s="15"/>
      <c r="L3402" t="s" s="16">
        <f>HYPERLINK("http://csr.bu.edu/ftp/asl/asllvd/demos/verify_start_end_handshape_annotations//test_auto_move//signs_mov_separ_signers/Liz_3614.mov","MOV")</f>
        <v>21</v>
      </c>
      <c r="M3402" t="s" s="10">
        <v>84</v>
      </c>
      <c r="N3402" s="17">
        <v>21</v>
      </c>
      <c r="O3402" s="18">
        <v>1695</v>
      </c>
      <c r="P3402" s="18">
        <v>1735</v>
      </c>
      <c r="Q3402" s="15"/>
      <c r="R3402" t="s" s="16">
        <f>HYPERLINK("http://secrets.rutgers.edu:8080/data/asl-ftp/asllvd/demos/verify_start_end_handshape_annotations//test_auto_move//signs_mov_separ_signers/Liz_3614.mov","MOV")</f>
        <v>21</v>
      </c>
    </row>
    <row r="3403" s="2" customFormat="1" ht="13.5" customHeight="1">
      <c r="B3403" s="13"/>
      <c r="C3403" t="s" s="9">
        <v>27</v>
      </c>
      <c r="D3403" t="s" s="8">
        <v>1165</v>
      </c>
      <c r="E3403" t="s" s="9">
        <v>1167</v>
      </c>
      <c r="F3403" t="s" s="10">
        <v>244</v>
      </c>
      <c r="G3403" t="s" s="11">
        <v>73</v>
      </c>
      <c r="H3403" t="s" s="10">
        <v>119</v>
      </c>
      <c r="I3403" t="s" s="11">
        <v>73</v>
      </c>
      <c r="J3403" t="s" s="11">
        <v>20</v>
      </c>
      <c r="K3403" t="s" s="16">
        <f>HYPERLINK("http://csr.bu.edu/ftp/asl/asllvd/demos/verify_start_end_handshape_annotations//test_auto_move//signs_mov/3614.mov","MOV")</f>
        <v>21</v>
      </c>
      <c r="L3403" t="s" s="16">
        <f>HYPERLINK("http://csr.bu.edu/ftp/asl/asllvd/demos/verify_start_end_handshape_annotations//test_auto_move//signs_mov_separ_signers/Naomi_3614.mov","MOV")</f>
        <v>21</v>
      </c>
      <c r="M3403" t="s" s="10">
        <v>86</v>
      </c>
      <c r="N3403" s="17">
        <v>21</v>
      </c>
      <c r="O3403" s="18">
        <v>2656</v>
      </c>
      <c r="P3403" s="18">
        <v>2690</v>
      </c>
      <c r="Q3403" t="s" s="16">
        <f>HYPERLINK("http://secrets.rutgers.edu:8080/data/asl-ftp/asllvd/demos/verify_start_end_handshape_annotations//test_auto_move//signs_mov/3614.mov","MOV")</f>
        <v>21</v>
      </c>
      <c r="R3403" t="s" s="16">
        <f>HYPERLINK("http://secrets.rutgers.edu:8080/data/asl-ftp/asllvd/demos/verify_start_end_handshape_annotations//test_auto_move//signs_mov_separ_signers/Naomi_3614.mov","MOV")</f>
        <v>21</v>
      </c>
    </row>
    <row r="3404" s="2" customFormat="1" ht="13.5" customHeight="1">
      <c r="B3404" s="13"/>
      <c r="C3404" t="s" s="9">
        <v>30</v>
      </c>
      <c r="D3404" t="s" s="8">
        <v>1165</v>
      </c>
      <c r="E3404" t="s" s="9">
        <v>1168</v>
      </c>
      <c r="F3404" t="s" s="10">
        <v>244</v>
      </c>
      <c r="G3404" t="s" s="11">
        <v>73</v>
      </c>
      <c r="H3404" t="s" s="10">
        <v>119</v>
      </c>
      <c r="I3404" t="s" s="11">
        <v>73</v>
      </c>
      <c r="J3404" t="s" s="11">
        <v>20</v>
      </c>
      <c r="K3404" s="15"/>
      <c r="L3404" t="s" s="16">
        <f>HYPERLINK("http://csr.bu.edu/ftp/asl/asllvd/demos/verify_start_end_handshape_annotations//test_auto_move//signs_mov_separ_signers/Brady_3614.mov","MOV")</f>
        <v>21</v>
      </c>
      <c r="M3404" t="s" s="10">
        <v>31</v>
      </c>
      <c r="N3404" s="17">
        <v>37</v>
      </c>
      <c r="O3404" s="18">
        <v>1516</v>
      </c>
      <c r="P3404" s="18">
        <v>1541</v>
      </c>
      <c r="Q3404" s="15"/>
      <c r="R3404" t="s" s="16">
        <f>HYPERLINK("http://secrets.rutgers.edu:8080/data/asl-ftp/asllvd/demos/verify_start_end_handshape_annotations//test_auto_move//signs_mov_separ_signers/Brady_3614.mov","MOV")</f>
        <v>21</v>
      </c>
    </row>
    <row r="3405" s="2" customFormat="1" ht="27.75" customHeight="1">
      <c r="B3405" t="s" s="8">
        <v>1169</v>
      </c>
      <c r="C3405" t="s" s="9">
        <v>14</v>
      </c>
      <c r="D3405" t="s" s="8">
        <v>14</v>
      </c>
      <c r="E3405" t="s" s="9">
        <v>14</v>
      </c>
      <c r="F3405" t="s" s="10">
        <v>14</v>
      </c>
      <c r="G3405" t="s" s="11">
        <v>14</v>
      </c>
      <c r="H3405" t="s" s="10">
        <v>14</v>
      </c>
      <c r="I3405" t="s" s="11">
        <v>14</v>
      </c>
      <c r="J3405" t="s" s="11">
        <v>14</v>
      </c>
      <c r="K3405" t="s" s="12">
        <v>14</v>
      </c>
      <c r="L3405" t="s" s="12">
        <v>14</v>
      </c>
      <c r="M3405" t="s" s="10">
        <v>14</v>
      </c>
      <c r="N3405" t="s" s="11">
        <v>14</v>
      </c>
      <c r="O3405" t="s" s="8">
        <v>14</v>
      </c>
      <c r="P3405" t="s" s="8">
        <v>14</v>
      </c>
      <c r="Q3405" t="s" s="12">
        <v>14</v>
      </c>
      <c r="R3405" t="s" s="12">
        <v>14</v>
      </c>
    </row>
    <row r="3406" s="2" customFormat="1" ht="27.75" customHeight="1">
      <c r="B3406" s="13"/>
      <c r="C3406" t="s" s="9">
        <v>16</v>
      </c>
      <c r="D3406" t="s" s="8">
        <v>1169</v>
      </c>
      <c r="E3406" t="s" s="9">
        <v>1169</v>
      </c>
      <c r="F3406" t="s" s="10">
        <v>51</v>
      </c>
      <c r="G3406" s="14"/>
      <c r="H3406" t="s" s="10">
        <v>251</v>
      </c>
      <c r="I3406" s="14"/>
      <c r="J3406" t="s" s="11">
        <v>20</v>
      </c>
      <c r="K3406" s="15"/>
      <c r="L3406" t="s" s="16">
        <f>HYPERLINK("http://csr.bu.edu/ftp/asl/asllvd/demos/verify_start_end_handshape_annotations//test_auto_move//signs_mov_separ_signers/Liz_709.mov","MOV")</f>
        <v>21</v>
      </c>
      <c r="M3406" t="s" s="10">
        <v>84</v>
      </c>
      <c r="N3406" s="17">
        <v>21</v>
      </c>
      <c r="O3406" s="18">
        <v>1912</v>
      </c>
      <c r="P3406" s="18">
        <v>1955</v>
      </c>
      <c r="Q3406" s="15"/>
      <c r="R3406" t="s" s="16">
        <f>HYPERLINK("http://secrets.rutgers.edu:8080/data/asl-ftp/asllvd/demos/verify_start_end_handshape_annotations//test_auto_move//signs_mov_separ_signers/Liz_709.mov","MOV")</f>
        <v>21</v>
      </c>
    </row>
    <row r="3407" s="2" customFormat="1" ht="27.75" customHeight="1">
      <c r="B3407" s="13"/>
      <c r="C3407" t="s" s="9">
        <v>16</v>
      </c>
      <c r="D3407" t="s" s="8">
        <v>1169</v>
      </c>
      <c r="E3407" t="s" s="9">
        <v>1169</v>
      </c>
      <c r="F3407" t="s" s="10">
        <v>251</v>
      </c>
      <c r="G3407" s="14"/>
      <c r="H3407" t="s" s="10">
        <v>51</v>
      </c>
      <c r="I3407" s="14"/>
      <c r="J3407" t="s" s="11">
        <v>20</v>
      </c>
      <c r="K3407" t="s" s="16">
        <f>HYPERLINK("http://csr.bu.edu/ftp/asl/asllvd/demos/verify_start_end_handshape_annotations//test_auto_move//signs_mov/709_5711_merged.mov","MOV")</f>
        <v>21</v>
      </c>
      <c r="L3407" t="s" s="16">
        <f>HYPERLINK("http://csr.bu.edu/ftp/asl/asllvd/demos/verify_start_end_handshape_annotations//test_auto_move//signs_mov_separ_signers/Liz_5711.mov","MOV")</f>
        <v>21</v>
      </c>
      <c r="M3407" t="s" s="10">
        <v>84</v>
      </c>
      <c r="N3407" s="17">
        <v>21</v>
      </c>
      <c r="O3407" s="18">
        <v>2141</v>
      </c>
      <c r="P3407" s="18">
        <v>2180</v>
      </c>
      <c r="Q3407" t="s" s="16">
        <f>HYPERLINK("http://secrets.rutgers.edu:8080/data/asl-ftp/asllvd/demos/verify_start_end_handshape_annotations//test_auto_move//signs_mov/709_5711_merged.mov","MOV")</f>
        <v>21</v>
      </c>
      <c r="R3407" t="s" s="16">
        <f>HYPERLINK("http://secrets.rutgers.edu:8080/data/asl-ftp/asllvd/demos/verify_start_end_handshape_annotations//test_auto_move//signs_mov_separ_signers/Liz_5711.mov","MOV")</f>
        <v>21</v>
      </c>
    </row>
    <row r="3408" s="2" customFormat="1" ht="27.75" customHeight="1">
      <c r="B3408" s="13"/>
      <c r="C3408" t="s" s="9">
        <v>27</v>
      </c>
      <c r="D3408" t="s" s="8">
        <v>1169</v>
      </c>
      <c r="E3408" t="s" s="9">
        <v>1169</v>
      </c>
      <c r="F3408" t="s" s="10">
        <v>51</v>
      </c>
      <c r="G3408" s="14"/>
      <c r="H3408" t="s" s="10">
        <v>251</v>
      </c>
      <c r="I3408" s="14"/>
      <c r="J3408" t="s" s="11">
        <v>20</v>
      </c>
      <c r="K3408" s="15"/>
      <c r="L3408" t="s" s="16">
        <f>HYPERLINK("http://csr.bu.edu/ftp/asl/asllvd/demos/verify_start_end_handshape_annotations//test_auto_move//signs_mov_separ_signers/Naomi_709.mov","MOV")</f>
        <v>21</v>
      </c>
      <c r="M3408" t="s" s="10">
        <v>86</v>
      </c>
      <c r="N3408" s="17">
        <v>21</v>
      </c>
      <c r="O3408" s="18">
        <v>2952</v>
      </c>
      <c r="P3408" s="18">
        <v>2981</v>
      </c>
      <c r="Q3408" s="15"/>
      <c r="R3408" t="s" s="16">
        <f>HYPERLINK("http://secrets.rutgers.edu:8080/data/asl-ftp/asllvd/demos/verify_start_end_handshape_annotations//test_auto_move//signs_mov_separ_signers/Naomi_709.mov","MOV")</f>
        <v>21</v>
      </c>
    </row>
    <row r="3409" s="2" customFormat="1" ht="27.75" customHeight="1">
      <c r="B3409" s="13"/>
      <c r="C3409" t="s" s="9">
        <v>30</v>
      </c>
      <c r="D3409" t="s" s="8">
        <v>1169</v>
      </c>
      <c r="E3409" t="s" s="9">
        <v>1169</v>
      </c>
      <c r="F3409" t="s" s="10">
        <v>51</v>
      </c>
      <c r="G3409" s="14"/>
      <c r="H3409" t="s" s="10">
        <v>251</v>
      </c>
      <c r="I3409" s="14"/>
      <c r="J3409" t="s" s="11">
        <v>20</v>
      </c>
      <c r="K3409" s="15"/>
      <c r="L3409" t="s" s="16">
        <f>HYPERLINK("http://csr.bu.edu/ftp/asl/asllvd/demos/verify_start_end_handshape_annotations//test_auto_move//signs_mov_separ_signers/Brady_709.mov","MOV")</f>
        <v>21</v>
      </c>
      <c r="M3409" t="s" s="10">
        <v>31</v>
      </c>
      <c r="N3409" s="17">
        <v>37</v>
      </c>
      <c r="O3409" s="18">
        <v>1819</v>
      </c>
      <c r="P3409" s="18">
        <v>1850</v>
      </c>
      <c r="Q3409" s="15"/>
      <c r="R3409" t="s" s="16">
        <f>HYPERLINK("http://secrets.rutgers.edu:8080/data/asl-ftp/asllvd/demos/verify_start_end_handshape_annotations//test_auto_move//signs_mov_separ_signers/Brady_709.mov","MOV")</f>
        <v>21</v>
      </c>
    </row>
    <row r="3410" s="2" customFormat="1" ht="13.5" customHeight="1">
      <c r="B3410" t="s" s="8">
        <v>52</v>
      </c>
      <c r="C3410" t="s" s="9">
        <v>53</v>
      </c>
      <c r="D3410" t="s" s="8">
        <v>53</v>
      </c>
      <c r="E3410" t="s" s="9">
        <v>53</v>
      </c>
      <c r="F3410" t="s" s="10">
        <v>53</v>
      </c>
      <c r="G3410" t="s" s="11">
        <v>53</v>
      </c>
      <c r="H3410" t="s" s="10">
        <v>53</v>
      </c>
      <c r="I3410" t="s" s="11">
        <v>53</v>
      </c>
      <c r="J3410" t="s" s="11">
        <v>53</v>
      </c>
      <c r="K3410" t="s" s="12">
        <v>53</v>
      </c>
      <c r="L3410" t="s" s="12">
        <v>53</v>
      </c>
      <c r="M3410" t="s" s="10">
        <v>53</v>
      </c>
      <c r="N3410" t="s" s="11">
        <v>53</v>
      </c>
      <c r="O3410" t="s" s="8">
        <v>53</v>
      </c>
      <c r="P3410" t="s" s="8">
        <v>53</v>
      </c>
      <c r="Q3410" t="s" s="12">
        <v>53</v>
      </c>
      <c r="R3410" t="s" s="12">
        <v>53</v>
      </c>
    </row>
    <row r="3411" s="2" customFormat="1" ht="27.75" customHeight="1">
      <c r="B3411" s="13"/>
      <c r="C3411" t="s" s="9">
        <v>23</v>
      </c>
      <c r="D3411" t="s" s="8">
        <v>1169</v>
      </c>
      <c r="E3411" t="s" s="9">
        <v>1170</v>
      </c>
      <c r="F3411" t="s" s="10">
        <v>51</v>
      </c>
      <c r="G3411" s="14"/>
      <c r="H3411" t="s" s="10">
        <v>251</v>
      </c>
      <c r="I3411" s="14"/>
      <c r="J3411" t="s" s="11">
        <v>20</v>
      </c>
      <c r="K3411" t="s" s="16">
        <f>HYPERLINK("http://csr.bu.edu/ftp/asl/asllvd/demos/verify_start_end_handshape_annotations//test_auto_move//signs_mov/5850.mov","MOV")</f>
        <v>21</v>
      </c>
      <c r="L3411" t="s" s="16">
        <f>HYPERLINK("http://csr.bu.edu/ftp/asl/asllvd/demos/verify_start_end_handshape_annotations//test_auto_move//signs_mov_separ_signers/Tyler_5850.mov","MOV")</f>
        <v>21</v>
      </c>
      <c r="M3411" t="s" s="10">
        <v>92</v>
      </c>
      <c r="N3411" s="17">
        <v>1</v>
      </c>
      <c r="O3411" s="18">
        <v>5337</v>
      </c>
      <c r="P3411" s="18">
        <v>5390</v>
      </c>
      <c r="Q3411" t="s" s="16">
        <f>HYPERLINK("http://secrets.rutgers.edu:8080/data/asl-ftp/asllvd/demos/verify_start_end_handshape_annotations//test_auto_move//signs_mov/5850.mov","MOV")</f>
        <v>21</v>
      </c>
      <c r="R3411" t="s" s="16">
        <f>HYPERLINK("http://secrets.rutgers.edu:8080/data/asl-ftp/asllvd/demos/verify_start_end_handshape_annotations//test_auto_move//signs_mov_separ_signers/Tyler_5850.mov","MOV")</f>
        <v>21</v>
      </c>
    </row>
    <row r="3412" s="2" customFormat="1" ht="13.5" customHeight="1">
      <c r="B3412" t="s" s="8">
        <v>52</v>
      </c>
      <c r="C3412" t="s" s="9">
        <v>53</v>
      </c>
      <c r="D3412" t="s" s="8">
        <v>53</v>
      </c>
      <c r="E3412" t="s" s="9">
        <v>53</v>
      </c>
      <c r="F3412" t="s" s="10">
        <v>53</v>
      </c>
      <c r="G3412" t="s" s="11">
        <v>53</v>
      </c>
      <c r="H3412" t="s" s="10">
        <v>53</v>
      </c>
      <c r="I3412" t="s" s="11">
        <v>53</v>
      </c>
      <c r="J3412" t="s" s="11">
        <v>53</v>
      </c>
      <c r="K3412" t="s" s="12">
        <v>53</v>
      </c>
      <c r="L3412" t="s" s="12">
        <v>53</v>
      </c>
      <c r="M3412" t="s" s="10">
        <v>53</v>
      </c>
      <c r="N3412" t="s" s="11">
        <v>53</v>
      </c>
      <c r="O3412" t="s" s="8">
        <v>53</v>
      </c>
      <c r="P3412" t="s" s="8">
        <v>53</v>
      </c>
      <c r="Q3412" t="s" s="12">
        <v>53</v>
      </c>
      <c r="R3412" t="s" s="12">
        <v>53</v>
      </c>
    </row>
    <row r="3413" s="2" customFormat="1" ht="27.75" customHeight="1">
      <c r="B3413" s="13"/>
      <c r="C3413" t="s" s="9">
        <v>30</v>
      </c>
      <c r="D3413" t="s" s="8">
        <v>1169</v>
      </c>
      <c r="E3413" t="s" s="9">
        <v>1171</v>
      </c>
      <c r="F3413" t="s" s="10">
        <v>251</v>
      </c>
      <c r="G3413" s="14"/>
      <c r="H3413" t="s" s="10">
        <v>51</v>
      </c>
      <c r="I3413" s="14"/>
      <c r="J3413" t="s" s="11">
        <v>20</v>
      </c>
      <c r="K3413" t="s" s="16">
        <f>HYPERLINK("http://csr.bu.edu/ftp/asl/asllvd/demos/verify_start_end_handshape_annotations//test_auto_move//signs_mov/15044.mov","MOV")</f>
        <v>21</v>
      </c>
      <c r="L3413" t="s" s="16">
        <f>HYPERLINK("http://csr.bu.edu/ftp/asl/asllvd/demos/verify_start_end_handshape_annotations//test_auto_move//signs_mov_separ_signers/Brady_15044.mov","MOV")</f>
        <v>21</v>
      </c>
      <c r="M3413" t="s" s="10">
        <v>31</v>
      </c>
      <c r="N3413" s="17">
        <v>37</v>
      </c>
      <c r="O3413" s="18">
        <v>2095</v>
      </c>
      <c r="P3413" s="18">
        <v>2122</v>
      </c>
      <c r="Q3413" t="s" s="16">
        <f>HYPERLINK("http://secrets.rutgers.edu:8080/data/asl-ftp/asllvd/demos/verify_start_end_handshape_annotations//test_auto_move//signs_mov/15044.mov","MOV")</f>
        <v>21</v>
      </c>
      <c r="R3413" t="s" s="16">
        <f>HYPERLINK("http://secrets.rutgers.edu:8080/data/asl-ftp/asllvd/demos/verify_start_end_handshape_annotations//test_auto_move//signs_mov_separ_signers/Brady_15044.mov","MOV")</f>
        <v>21</v>
      </c>
    </row>
    <row r="3414" s="2" customFormat="1" ht="13.5" customHeight="1">
      <c r="B3414" t="s" s="8">
        <v>1172</v>
      </c>
      <c r="C3414" t="s" s="9">
        <v>14</v>
      </c>
      <c r="D3414" t="s" s="8">
        <v>14</v>
      </c>
      <c r="E3414" t="s" s="9">
        <v>14</v>
      </c>
      <c r="F3414" t="s" s="10">
        <v>14</v>
      </c>
      <c r="G3414" t="s" s="11">
        <v>14</v>
      </c>
      <c r="H3414" t="s" s="10">
        <v>14</v>
      </c>
      <c r="I3414" t="s" s="11">
        <v>14</v>
      </c>
      <c r="J3414" t="s" s="11">
        <v>14</v>
      </c>
      <c r="K3414" t="s" s="12">
        <v>14</v>
      </c>
      <c r="L3414" t="s" s="12">
        <v>14</v>
      </c>
      <c r="M3414" t="s" s="10">
        <v>14</v>
      </c>
      <c r="N3414" t="s" s="11">
        <v>14</v>
      </c>
      <c r="O3414" t="s" s="8">
        <v>14</v>
      </c>
      <c r="P3414" t="s" s="8">
        <v>14</v>
      </c>
      <c r="Q3414" t="s" s="12">
        <v>14</v>
      </c>
      <c r="R3414" t="s" s="12">
        <v>14</v>
      </c>
    </row>
    <row r="3415" s="2" customFormat="1" ht="13.5" customHeight="1">
      <c r="B3415" s="13"/>
      <c r="C3415" t="s" s="9">
        <v>16</v>
      </c>
      <c r="D3415" t="s" s="8">
        <v>1172</v>
      </c>
      <c r="E3415" t="s" s="9">
        <v>1172</v>
      </c>
      <c r="F3415" t="s" s="10">
        <v>73</v>
      </c>
      <c r="G3415" t="s" s="11">
        <v>55</v>
      </c>
      <c r="H3415" t="s" s="10">
        <v>73</v>
      </c>
      <c r="I3415" t="s" s="11">
        <v>73</v>
      </c>
      <c r="J3415" t="s" s="11">
        <v>20</v>
      </c>
      <c r="K3415" s="15"/>
      <c r="L3415" t="s" s="16">
        <f>HYPERLINK("http://csr.bu.edu/ftp/asl/asllvd/demos/verify_start_end_handshape_annotations//test_auto_move//signs_mov_separ_signers/Liz_711.mov","MOV")</f>
        <v>21</v>
      </c>
      <c r="M3415" t="s" s="10">
        <v>84</v>
      </c>
      <c r="N3415" s="17">
        <v>22</v>
      </c>
      <c r="O3415" s="18">
        <v>445</v>
      </c>
      <c r="P3415" s="18">
        <v>476</v>
      </c>
      <c r="Q3415" s="15"/>
      <c r="R3415" t="s" s="16">
        <f>HYPERLINK("http://secrets.rutgers.edu:8080/data/asl-ftp/asllvd/demos/verify_start_end_handshape_annotations//test_auto_move//signs_mov_separ_signers/Liz_711.mov","MOV")</f>
        <v>21</v>
      </c>
    </row>
    <row r="3416" s="2" customFormat="1" ht="13.5" customHeight="1">
      <c r="B3416" s="13"/>
      <c r="C3416" t="s" s="9">
        <v>27</v>
      </c>
      <c r="D3416" t="s" s="8">
        <v>1172</v>
      </c>
      <c r="E3416" t="s" s="9">
        <v>1172</v>
      </c>
      <c r="F3416" t="s" s="10">
        <v>73</v>
      </c>
      <c r="G3416" t="s" s="11">
        <v>55</v>
      </c>
      <c r="H3416" t="s" s="10">
        <v>73</v>
      </c>
      <c r="I3416" t="s" s="11">
        <v>73</v>
      </c>
      <c r="J3416" t="s" s="11">
        <v>20</v>
      </c>
      <c r="K3416" t="s" s="16">
        <f>HYPERLINK("http://csr.bu.edu/ftp/asl/asllvd/demos/verify_start_end_handshape_annotations//test_auto_move//signs_mov/711.mov","MOV")</f>
        <v>21</v>
      </c>
      <c r="L3416" t="s" s="16">
        <f>HYPERLINK("http://csr.bu.edu/ftp/asl/asllvd/demos/verify_start_end_handshape_annotations//test_auto_move//signs_mov_separ_signers/Naomi_711.mov","MOV")</f>
        <v>21</v>
      </c>
      <c r="M3416" t="s" s="10">
        <v>86</v>
      </c>
      <c r="N3416" s="17">
        <v>22</v>
      </c>
      <c r="O3416" s="18">
        <v>405</v>
      </c>
      <c r="P3416" s="18">
        <v>425</v>
      </c>
      <c r="Q3416" t="s" s="16">
        <f>HYPERLINK("http://secrets.rutgers.edu:8080/data/asl-ftp/asllvd/demos/verify_start_end_handshape_annotations//test_auto_move//signs_mov/711.mov","MOV")</f>
        <v>21</v>
      </c>
      <c r="R3416" t="s" s="16">
        <f>HYPERLINK("http://secrets.rutgers.edu:8080/data/asl-ftp/asllvd/demos/verify_start_end_handshape_annotations//test_auto_move//signs_mov_separ_signers/Naomi_711.mov","MOV")</f>
        <v>21</v>
      </c>
    </row>
    <row r="3417" s="2" customFormat="1" ht="13.5" customHeight="1">
      <c r="B3417" s="13"/>
      <c r="C3417" t="s" s="9">
        <v>30</v>
      </c>
      <c r="D3417" t="s" s="8">
        <v>1172</v>
      </c>
      <c r="E3417" t="s" s="9">
        <v>1172</v>
      </c>
      <c r="F3417" t="s" s="10">
        <v>73</v>
      </c>
      <c r="G3417" t="s" s="11">
        <v>73</v>
      </c>
      <c r="H3417" t="s" s="10">
        <v>73</v>
      </c>
      <c r="I3417" t="s" s="11">
        <v>73</v>
      </c>
      <c r="J3417" t="s" s="11">
        <v>20</v>
      </c>
      <c r="K3417" s="15"/>
      <c r="L3417" t="s" s="16">
        <f>HYPERLINK("http://csr.bu.edu/ftp/asl/asllvd/demos/verify_start_end_handshape_annotations//test_auto_move//signs_mov_separ_signers/Brady_711.mov","MOV")</f>
        <v>21</v>
      </c>
      <c r="M3417" t="s" s="10">
        <v>31</v>
      </c>
      <c r="N3417" s="17">
        <v>38</v>
      </c>
      <c r="O3417" s="18">
        <v>410</v>
      </c>
      <c r="P3417" s="18">
        <v>428</v>
      </c>
      <c r="Q3417" s="15"/>
      <c r="R3417" t="s" s="16">
        <f>HYPERLINK("http://secrets.rutgers.edu:8080/data/asl-ftp/asllvd/demos/verify_start_end_handshape_annotations//test_auto_move//signs_mov_separ_signers/Brady_711.mov","MOV")</f>
        <v>21</v>
      </c>
    </row>
    <row r="3418" s="2" customFormat="1" ht="13.5" customHeight="1">
      <c r="B3418" t="s" s="8">
        <v>1173</v>
      </c>
      <c r="C3418" t="s" s="9">
        <v>14</v>
      </c>
      <c r="D3418" t="s" s="8">
        <v>14</v>
      </c>
      <c r="E3418" t="s" s="9">
        <v>14</v>
      </c>
      <c r="F3418" t="s" s="10">
        <v>14</v>
      </c>
      <c r="G3418" t="s" s="11">
        <v>14</v>
      </c>
      <c r="H3418" t="s" s="10">
        <v>14</v>
      </c>
      <c r="I3418" t="s" s="11">
        <v>14</v>
      </c>
      <c r="J3418" t="s" s="11">
        <v>14</v>
      </c>
      <c r="K3418" t="s" s="12">
        <v>14</v>
      </c>
      <c r="L3418" t="s" s="12">
        <v>14</v>
      </c>
      <c r="M3418" t="s" s="10">
        <v>14</v>
      </c>
      <c r="N3418" t="s" s="11">
        <v>14</v>
      </c>
      <c r="O3418" t="s" s="8">
        <v>14</v>
      </c>
      <c r="P3418" t="s" s="8">
        <v>14</v>
      </c>
      <c r="Q3418" t="s" s="12">
        <v>14</v>
      </c>
      <c r="R3418" t="s" s="12">
        <v>14</v>
      </c>
    </row>
    <row r="3419" s="2" customFormat="1" ht="13.5" customHeight="1">
      <c r="B3419" s="13"/>
      <c r="C3419" t="s" s="9">
        <v>16</v>
      </c>
      <c r="D3419" t="s" s="8">
        <v>1173</v>
      </c>
      <c r="E3419" t="s" s="9">
        <v>1173</v>
      </c>
      <c r="F3419" t="s" s="10">
        <v>119</v>
      </c>
      <c r="G3419" s="14"/>
      <c r="H3419" t="s" s="10">
        <v>72</v>
      </c>
      <c r="I3419" s="14"/>
      <c r="J3419" t="s" s="11">
        <v>20</v>
      </c>
      <c r="K3419" s="15"/>
      <c r="L3419" t="s" s="16">
        <f>HYPERLINK("http://csr.bu.edu/ftp/asl/asllvd/demos/verify_start_end_handshape_annotations//test_auto_move//signs_mov_separ_signers/Liz_712.mov","MOV")</f>
        <v>21</v>
      </c>
      <c r="M3419" t="s" s="10">
        <v>84</v>
      </c>
      <c r="N3419" s="17">
        <v>22</v>
      </c>
      <c r="O3419" s="18">
        <v>677</v>
      </c>
      <c r="P3419" s="18">
        <v>700</v>
      </c>
      <c r="Q3419" s="15"/>
      <c r="R3419" t="s" s="16">
        <f>HYPERLINK("http://secrets.rutgers.edu:8080/data/asl-ftp/asllvd/demos/verify_start_end_handshape_annotations//test_auto_move//signs_mov_separ_signers/Liz_712.mov","MOV")</f>
        <v>21</v>
      </c>
    </row>
    <row r="3420" s="2" customFormat="1" ht="13.5" customHeight="1">
      <c r="B3420" s="13"/>
      <c r="C3420" t="s" s="9">
        <v>23</v>
      </c>
      <c r="D3420" t="s" s="8">
        <v>1173</v>
      </c>
      <c r="E3420" t="s" s="9">
        <v>1173</v>
      </c>
      <c r="F3420" t="s" s="10">
        <v>119</v>
      </c>
      <c r="G3420" s="14"/>
      <c r="H3420" t="s" s="10">
        <v>72</v>
      </c>
      <c r="I3420" s="14"/>
      <c r="J3420" t="s" s="11">
        <v>20</v>
      </c>
      <c r="K3420" t="s" s="16">
        <f>HYPERLINK("http://csr.bu.edu/ftp/asl/asllvd/demos/verify_start_end_handshape_annotations//test_auto_move//signs_mov/712.mov","MOV")</f>
        <v>21</v>
      </c>
      <c r="L3420" t="s" s="16">
        <f>HYPERLINK("http://csr.bu.edu/ftp/asl/asllvd/demos/verify_start_end_handshape_annotations//test_auto_move//signs_mov_separ_signers/Tyler_712.mov","MOV")</f>
        <v>21</v>
      </c>
      <c r="M3420" t="s" s="10">
        <v>92</v>
      </c>
      <c r="N3420" s="17">
        <v>2</v>
      </c>
      <c r="O3420" s="18">
        <v>770</v>
      </c>
      <c r="P3420" s="18">
        <v>782</v>
      </c>
      <c r="Q3420" t="s" s="16">
        <f>HYPERLINK("http://secrets.rutgers.edu:8080/data/asl-ftp/asllvd/demos/verify_start_end_handshape_annotations//test_auto_move//signs_mov/712.mov","MOV")</f>
        <v>21</v>
      </c>
      <c r="R3420" t="s" s="16">
        <f>HYPERLINK("http://secrets.rutgers.edu:8080/data/asl-ftp/asllvd/demos/verify_start_end_handshape_annotations//test_auto_move//signs_mov_separ_signers/Tyler_712.mov","MOV")</f>
        <v>21</v>
      </c>
    </row>
    <row r="3421" s="2" customFormat="1" ht="13.5" customHeight="1">
      <c r="B3421" s="13"/>
      <c r="C3421" t="s" s="9">
        <v>30</v>
      </c>
      <c r="D3421" t="s" s="8">
        <v>1173</v>
      </c>
      <c r="E3421" t="s" s="9">
        <v>1173</v>
      </c>
      <c r="F3421" t="s" s="10">
        <v>119</v>
      </c>
      <c r="G3421" s="14"/>
      <c r="H3421" s="19">
        <v>5</v>
      </c>
      <c r="I3421" s="14"/>
      <c r="J3421" t="s" s="11">
        <v>20</v>
      </c>
      <c r="K3421" s="15"/>
      <c r="L3421" t="s" s="16">
        <f>HYPERLINK("http://csr.bu.edu/ftp/asl/asllvd/demos/verify_start_end_handshape_annotations//test_auto_move//signs_mov_separ_signers/Brady_712.mov","MOV")</f>
        <v>21</v>
      </c>
      <c r="M3421" t="s" s="10">
        <v>31</v>
      </c>
      <c r="N3421" s="17">
        <v>38</v>
      </c>
      <c r="O3421" s="18">
        <v>1140</v>
      </c>
      <c r="P3421" s="18">
        <v>1160</v>
      </c>
      <c r="Q3421" s="15"/>
      <c r="R3421" t="s" s="16">
        <f>HYPERLINK("http://secrets.rutgers.edu:8080/data/asl-ftp/asllvd/demos/verify_start_end_handshape_annotations//test_auto_move//signs_mov_separ_signers/Brady_712.mov","MOV")</f>
        <v>21</v>
      </c>
    </row>
    <row r="3422" s="2" customFormat="1" ht="13.5" customHeight="1">
      <c r="B3422" t="s" s="8">
        <v>52</v>
      </c>
      <c r="C3422" t="s" s="9">
        <v>53</v>
      </c>
      <c r="D3422" t="s" s="8">
        <v>53</v>
      </c>
      <c r="E3422" t="s" s="9">
        <v>53</v>
      </c>
      <c r="F3422" t="s" s="10">
        <v>53</v>
      </c>
      <c r="G3422" t="s" s="11">
        <v>53</v>
      </c>
      <c r="H3422" t="s" s="10">
        <v>53</v>
      </c>
      <c r="I3422" t="s" s="11">
        <v>53</v>
      </c>
      <c r="J3422" t="s" s="11">
        <v>53</v>
      </c>
      <c r="K3422" t="s" s="12">
        <v>53</v>
      </c>
      <c r="L3422" t="s" s="12">
        <v>53</v>
      </c>
      <c r="M3422" t="s" s="10">
        <v>53</v>
      </c>
      <c r="N3422" t="s" s="11">
        <v>53</v>
      </c>
      <c r="O3422" t="s" s="8">
        <v>53</v>
      </c>
      <c r="P3422" t="s" s="8">
        <v>53</v>
      </c>
      <c r="Q3422" t="s" s="12">
        <v>53</v>
      </c>
      <c r="R3422" t="s" s="12">
        <v>53</v>
      </c>
    </row>
    <row r="3423" s="2" customFormat="1" ht="13.5" customHeight="1">
      <c r="B3423" s="13"/>
      <c r="C3423" t="s" s="9">
        <v>27</v>
      </c>
      <c r="D3423" t="s" s="8">
        <v>1173</v>
      </c>
      <c r="E3423" t="s" s="9">
        <v>1174</v>
      </c>
      <c r="F3423" t="s" s="10">
        <v>119</v>
      </c>
      <c r="G3423" s="14"/>
      <c r="H3423" s="19">
        <v>5</v>
      </c>
      <c r="I3423" s="14"/>
      <c r="J3423" t="s" s="11">
        <v>20</v>
      </c>
      <c r="K3423" t="s" s="16">
        <f>HYPERLINK("http://csr.bu.edu/ftp/asl/asllvd/demos/verify_start_end_handshape_annotations//test_auto_move//signs_mov/16271.mov","MOV")</f>
        <v>21</v>
      </c>
      <c r="L3423" t="s" s="16">
        <f>HYPERLINK("http://csr.bu.edu/ftp/asl/asllvd/demos/verify_start_end_handshape_annotations//test_auto_move//signs_mov_separ_signers/Naomi_16271.mov","MOV")</f>
        <v>21</v>
      </c>
      <c r="M3423" t="s" s="10">
        <v>86</v>
      </c>
      <c r="N3423" s="17">
        <v>22</v>
      </c>
      <c r="O3423" s="18">
        <v>610</v>
      </c>
      <c r="P3423" s="18">
        <v>630</v>
      </c>
      <c r="Q3423" t="s" s="16">
        <f>HYPERLINK("http://secrets.rutgers.edu:8080/data/asl-ftp/asllvd/demos/verify_start_end_handshape_annotations//test_auto_move//signs_mov/16271.mov","MOV")</f>
        <v>21</v>
      </c>
      <c r="R3423" t="s" s="16">
        <f>HYPERLINK("http://secrets.rutgers.edu:8080/data/asl-ftp/asllvd/demos/verify_start_end_handshape_annotations//test_auto_move//signs_mov_separ_signers/Naomi_16271.mov","MOV")</f>
        <v>21</v>
      </c>
    </row>
    <row r="3424" s="2" customFormat="1" ht="13.5" customHeight="1">
      <c r="B3424" t="s" s="8">
        <v>1175</v>
      </c>
      <c r="C3424" t="s" s="9">
        <v>14</v>
      </c>
      <c r="D3424" t="s" s="8">
        <v>14</v>
      </c>
      <c r="E3424" t="s" s="9">
        <v>14</v>
      </c>
      <c r="F3424" t="s" s="10">
        <v>14</v>
      </c>
      <c r="G3424" t="s" s="11">
        <v>14</v>
      </c>
      <c r="H3424" t="s" s="10">
        <v>14</v>
      </c>
      <c r="I3424" t="s" s="11">
        <v>14</v>
      </c>
      <c r="J3424" t="s" s="11">
        <v>14</v>
      </c>
      <c r="K3424" t="s" s="12">
        <v>14</v>
      </c>
      <c r="L3424" t="s" s="12">
        <v>14</v>
      </c>
      <c r="M3424" t="s" s="10">
        <v>14</v>
      </c>
      <c r="N3424" t="s" s="11">
        <v>14</v>
      </c>
      <c r="O3424" t="s" s="8">
        <v>14</v>
      </c>
      <c r="P3424" t="s" s="8">
        <v>14</v>
      </c>
      <c r="Q3424" t="s" s="12">
        <v>14</v>
      </c>
      <c r="R3424" t="s" s="12">
        <v>14</v>
      </c>
    </row>
    <row r="3425" s="2" customFormat="1" ht="13.5" customHeight="1">
      <c r="B3425" s="13"/>
      <c r="C3425" t="s" s="9">
        <v>16</v>
      </c>
      <c r="D3425" t="s" s="8">
        <v>1175</v>
      </c>
      <c r="E3425" t="s" s="9">
        <v>1175</v>
      </c>
      <c r="F3425" s="19">
        <v>1</v>
      </c>
      <c r="G3425" s="14"/>
      <c r="H3425" s="19">
        <v>1</v>
      </c>
      <c r="I3425" s="14"/>
      <c r="J3425" t="s" s="11">
        <v>20</v>
      </c>
      <c r="K3425" s="15"/>
      <c r="L3425" t="s" s="16">
        <f>HYPERLINK("http://csr.bu.edu/ftp/asl/asllvd/demos/verify_start_end_handshape_annotations//test_auto_move//signs_mov_separ_signers/Liz_715.mov","MOV")</f>
        <v>21</v>
      </c>
      <c r="M3425" t="s" s="10">
        <v>84</v>
      </c>
      <c r="N3425" s="17">
        <v>22</v>
      </c>
      <c r="O3425" s="18">
        <v>1275</v>
      </c>
      <c r="P3425" s="18">
        <v>1300</v>
      </c>
      <c r="Q3425" s="15"/>
      <c r="R3425" t="s" s="16">
        <f>HYPERLINK("http://secrets.rutgers.edu:8080/data/asl-ftp/asllvd/demos/verify_start_end_handshape_annotations//test_auto_move//signs_mov_separ_signers/Liz_715.mov","MOV")</f>
        <v>21</v>
      </c>
    </row>
    <row r="3426" s="2" customFormat="1" ht="13.5" customHeight="1">
      <c r="B3426" s="13"/>
      <c r="C3426" t="s" s="9">
        <v>23</v>
      </c>
      <c r="D3426" t="s" s="8">
        <v>1175</v>
      </c>
      <c r="E3426" t="s" s="9">
        <v>1176</v>
      </c>
      <c r="F3426" s="19">
        <v>1</v>
      </c>
      <c r="G3426" s="14"/>
      <c r="H3426" s="19">
        <v>1</v>
      </c>
      <c r="I3426" s="14"/>
      <c r="J3426" t="s" s="11">
        <v>20</v>
      </c>
      <c r="K3426" s="15"/>
      <c r="L3426" t="s" s="16">
        <f>HYPERLINK("http://csr.bu.edu/ftp/asl/asllvd/demos/verify_start_end_handshape_annotations//test_auto_move//signs_mov_separ_signers/Tyler_715.mov","MOV")</f>
        <v>21</v>
      </c>
      <c r="M3426" t="s" s="10">
        <v>92</v>
      </c>
      <c r="N3426" s="17">
        <v>1</v>
      </c>
      <c r="O3426" s="18">
        <v>1830</v>
      </c>
      <c r="P3426" s="18">
        <v>1871</v>
      </c>
      <c r="Q3426" s="15"/>
      <c r="R3426" t="s" s="16">
        <f>HYPERLINK("http://secrets.rutgers.edu:8080/data/asl-ftp/asllvd/demos/verify_start_end_handshape_annotations//test_auto_move//signs_mov_separ_signers/Tyler_715.mov","MOV")</f>
        <v>21</v>
      </c>
    </row>
    <row r="3427" s="2" customFormat="1" ht="13.5" customHeight="1">
      <c r="B3427" s="13"/>
      <c r="C3427" t="s" s="9">
        <v>23</v>
      </c>
      <c r="D3427" t="s" s="8">
        <v>1175</v>
      </c>
      <c r="E3427" t="s" s="9">
        <v>1176</v>
      </c>
      <c r="F3427" s="19">
        <v>1</v>
      </c>
      <c r="G3427" s="14"/>
      <c r="H3427" s="19">
        <v>1</v>
      </c>
      <c r="I3427" s="14"/>
      <c r="J3427" t="s" s="11">
        <v>20</v>
      </c>
      <c r="K3427" s="15"/>
      <c r="L3427" t="s" s="16">
        <f>HYPERLINK("http://csr.bu.edu/ftp/asl/asllvd/demos/verify_start_end_handshape_annotations//test_auto_move//signs_mov_separ_signers/Tyler_3832.mov","MOV")</f>
        <v>21</v>
      </c>
      <c r="M3427" t="s" s="10">
        <v>92</v>
      </c>
      <c r="N3427" s="17">
        <v>2</v>
      </c>
      <c r="O3427" s="18">
        <v>1745</v>
      </c>
      <c r="P3427" s="18">
        <v>1780</v>
      </c>
      <c r="Q3427" s="15"/>
      <c r="R3427" t="s" s="16">
        <f>HYPERLINK("http://secrets.rutgers.edu:8080/data/asl-ftp/asllvd/demos/verify_start_end_handshape_annotations//test_auto_move//signs_mov_separ_signers/Tyler_3832.mov","MOV")</f>
        <v>21</v>
      </c>
    </row>
    <row r="3428" s="2" customFormat="1" ht="13.5" customHeight="1">
      <c r="B3428" s="13"/>
      <c r="C3428" t="s" s="9">
        <v>27</v>
      </c>
      <c r="D3428" t="s" s="8">
        <v>1175</v>
      </c>
      <c r="E3428" t="s" s="9">
        <v>1175</v>
      </c>
      <c r="F3428" s="19">
        <v>1</v>
      </c>
      <c r="G3428" s="14"/>
      <c r="H3428" s="19">
        <v>1</v>
      </c>
      <c r="I3428" s="14"/>
      <c r="J3428" t="s" s="11">
        <v>20</v>
      </c>
      <c r="K3428" t="s" s="16">
        <f>HYPERLINK("http://csr.bu.edu/ftp/asl/asllvd/demos/verify_start_end_handshape_annotations//test_auto_move//signs_mov/715_3832_merged.mov","MOV")</f>
        <v>21</v>
      </c>
      <c r="L3428" t="s" s="16">
        <f>HYPERLINK("http://csr.bu.edu/ftp/asl/asllvd/demos/verify_start_end_handshape_annotations//test_auto_move//signs_mov_separ_signers/Naomi_715.mov","MOV")</f>
        <v>21</v>
      </c>
      <c r="M3428" t="s" s="10">
        <v>86</v>
      </c>
      <c r="N3428" s="17">
        <v>22</v>
      </c>
      <c r="O3428" s="18">
        <v>1205</v>
      </c>
      <c r="P3428" s="18">
        <v>1220</v>
      </c>
      <c r="Q3428" t="s" s="16">
        <f>HYPERLINK("http://secrets.rutgers.edu:8080/data/asl-ftp/asllvd/demos/verify_start_end_handshape_annotations//test_auto_move//signs_mov/715_3832_merged.mov","MOV")</f>
        <v>21</v>
      </c>
      <c r="R3428" t="s" s="16">
        <f>HYPERLINK("http://secrets.rutgers.edu:8080/data/asl-ftp/asllvd/demos/verify_start_end_handshape_annotations//test_auto_move//signs_mov_separ_signers/Naomi_715.mov","MOV")</f>
        <v>21</v>
      </c>
    </row>
    <row r="3429" s="2" customFormat="1" ht="13.5" customHeight="1">
      <c r="B3429" s="13"/>
      <c r="C3429" t="s" s="9">
        <v>30</v>
      </c>
      <c r="D3429" t="s" s="8">
        <v>1175</v>
      </c>
      <c r="E3429" t="s" s="9">
        <v>1175</v>
      </c>
      <c r="F3429" s="19">
        <v>1</v>
      </c>
      <c r="G3429" s="14"/>
      <c r="H3429" s="19">
        <v>1</v>
      </c>
      <c r="I3429" s="14"/>
      <c r="J3429" t="s" s="11">
        <v>20</v>
      </c>
      <c r="K3429" s="15"/>
      <c r="L3429" t="s" s="16">
        <f>HYPERLINK("http://csr.bu.edu/ftp/asl/asllvd/demos/verify_start_end_handshape_annotations//test_auto_move//signs_mov_separ_signers/Brady_715.mov","MOV")</f>
        <v>21</v>
      </c>
      <c r="M3429" t="s" s="10">
        <v>31</v>
      </c>
      <c r="N3429" s="17">
        <v>38</v>
      </c>
      <c r="O3429" s="18">
        <v>1908</v>
      </c>
      <c r="P3429" s="18">
        <v>1923</v>
      </c>
      <c r="Q3429" s="15"/>
      <c r="R3429" t="s" s="16">
        <f>HYPERLINK("http://secrets.rutgers.edu:8080/data/asl-ftp/asllvd/demos/verify_start_end_handshape_annotations//test_auto_move//signs_mov_separ_signers/Brady_715.mov","MOV")</f>
        <v>21</v>
      </c>
    </row>
    <row r="3430" s="2" customFormat="1" ht="13.5" customHeight="1">
      <c r="B3430" s="13"/>
      <c r="C3430" t="s" s="9">
        <v>30</v>
      </c>
      <c r="D3430" t="s" s="8">
        <v>1175</v>
      </c>
      <c r="E3430" t="s" s="9">
        <v>1176</v>
      </c>
      <c r="F3430" s="19">
        <v>1</v>
      </c>
      <c r="G3430" s="14"/>
      <c r="H3430" s="19">
        <v>1</v>
      </c>
      <c r="I3430" s="14"/>
      <c r="J3430" t="s" s="11">
        <v>20</v>
      </c>
      <c r="K3430" s="15"/>
      <c r="L3430" t="s" s="16">
        <f>HYPERLINK("http://csr.bu.edu/ftp/asl/asllvd/demos/verify_start_end_handshape_annotations//test_auto_move//signs_mov_separ_signers/Brady_3832.mov","MOV")</f>
        <v>21</v>
      </c>
      <c r="M3430" t="s" s="10">
        <v>39</v>
      </c>
      <c r="N3430" s="17">
        <v>6</v>
      </c>
      <c r="O3430" s="18">
        <v>355</v>
      </c>
      <c r="P3430" s="18">
        <v>368</v>
      </c>
      <c r="Q3430" s="15"/>
      <c r="R3430" t="s" s="16">
        <f>HYPERLINK("http://secrets.rutgers.edu:8080/data/asl-ftp/asllvd/demos/verify_start_end_handshape_annotations//test_auto_move//signs_mov_separ_signers/Brady_3832.mov","MOV")</f>
        <v>21</v>
      </c>
    </row>
    <row r="3431" s="2" customFormat="1" ht="13.5" customHeight="1">
      <c r="B3431" s="13"/>
      <c r="C3431" t="s" s="9">
        <v>41</v>
      </c>
      <c r="D3431" t="s" s="8">
        <v>1175</v>
      </c>
      <c r="E3431" t="s" s="9">
        <v>1175</v>
      </c>
      <c r="F3431" s="19">
        <v>1</v>
      </c>
      <c r="G3431" s="14"/>
      <c r="H3431" s="19">
        <v>1</v>
      </c>
      <c r="I3431" s="14"/>
      <c r="J3431" t="s" s="11">
        <v>20</v>
      </c>
      <c r="K3431" s="15"/>
      <c r="L3431" t="s" s="16">
        <f>HYPERLINK("http://csr.bu.edu/ftp/asl/asllvd/demos/verify_start_end_handshape_annotations//test_auto_move//signs_mov_separ_signers/Lana_715.mov","MOV")</f>
        <v>21</v>
      </c>
      <c r="M3431" t="s" s="10">
        <v>42</v>
      </c>
      <c r="N3431" s="17">
        <v>7</v>
      </c>
      <c r="O3431" s="18">
        <v>1696</v>
      </c>
      <c r="P3431" s="18">
        <v>1713</v>
      </c>
      <c r="Q3431" s="15"/>
      <c r="R3431" t="s" s="16">
        <f>HYPERLINK("http://secrets.rutgers.edu:8080/data/asl-ftp/asllvd/demos/verify_start_end_handshape_annotations//test_auto_move//signs_mov_separ_signers/Lana_715.mov","MOV")</f>
        <v>21</v>
      </c>
    </row>
    <row r="3432" s="2" customFormat="1" ht="13.5" customHeight="1">
      <c r="B3432" s="13"/>
      <c r="C3432" t="s" s="9">
        <v>43</v>
      </c>
      <c r="D3432" t="s" s="8">
        <v>1175</v>
      </c>
      <c r="E3432" t="s" s="9">
        <v>1175</v>
      </c>
      <c r="F3432" s="19">
        <v>1</v>
      </c>
      <c r="G3432" s="14"/>
      <c r="H3432" s="19">
        <v>1</v>
      </c>
      <c r="I3432" s="14"/>
      <c r="J3432" t="s" s="11">
        <v>20</v>
      </c>
      <c r="K3432" s="15"/>
      <c r="L3432" t="s" s="16">
        <f>HYPERLINK("http://csr.bu.edu/ftp/asl/asllvd/demos/verify_start_end_handshape_annotations//test_auto_move//signs_mov_separ_signers/Dana_715.mov","MOV")</f>
        <v>21</v>
      </c>
      <c r="M3432" t="s" s="10">
        <v>44</v>
      </c>
      <c r="N3432" s="17">
        <v>11</v>
      </c>
      <c r="O3432" s="18">
        <v>1814</v>
      </c>
      <c r="P3432" s="18">
        <v>1853</v>
      </c>
      <c r="Q3432" s="15"/>
      <c r="R3432" t="s" s="16">
        <f>HYPERLINK("http://secrets.rutgers.edu:8080/data/asl-ftp/asllvd/demos/verify_start_end_handshape_annotations//test_auto_move//signs_mov_separ_signers/Dana_715.mov","MOV")</f>
        <v>21</v>
      </c>
    </row>
    <row r="3433" s="2" customFormat="1" ht="13.5" customHeight="1">
      <c r="B3433" t="s" s="8">
        <v>1177</v>
      </c>
      <c r="C3433" t="s" s="9">
        <v>14</v>
      </c>
      <c r="D3433" t="s" s="8">
        <v>14</v>
      </c>
      <c r="E3433" t="s" s="9">
        <v>14</v>
      </c>
      <c r="F3433" t="s" s="10">
        <v>14</v>
      </c>
      <c r="G3433" t="s" s="11">
        <v>14</v>
      </c>
      <c r="H3433" t="s" s="10">
        <v>14</v>
      </c>
      <c r="I3433" t="s" s="11">
        <v>14</v>
      </c>
      <c r="J3433" t="s" s="11">
        <v>14</v>
      </c>
      <c r="K3433" t="s" s="12">
        <v>14</v>
      </c>
      <c r="L3433" t="s" s="12">
        <v>14</v>
      </c>
      <c r="M3433" t="s" s="10">
        <v>14</v>
      </c>
      <c r="N3433" t="s" s="11">
        <v>14</v>
      </c>
      <c r="O3433" t="s" s="8">
        <v>14</v>
      </c>
      <c r="P3433" t="s" s="8">
        <v>14</v>
      </c>
      <c r="Q3433" t="s" s="12">
        <v>14</v>
      </c>
      <c r="R3433" t="s" s="12">
        <v>14</v>
      </c>
    </row>
    <row r="3434" s="2" customFormat="1" ht="13.5" customHeight="1">
      <c r="B3434" s="13"/>
      <c r="C3434" t="s" s="9">
        <v>16</v>
      </c>
      <c r="D3434" t="s" s="8">
        <v>1177</v>
      </c>
      <c r="E3434" t="s" s="9">
        <v>1178</v>
      </c>
      <c r="F3434" s="19">
        <v>10</v>
      </c>
      <c r="G3434" t="s" s="11">
        <v>73</v>
      </c>
      <c r="H3434" s="19">
        <v>10</v>
      </c>
      <c r="I3434" t="s" s="11">
        <v>73</v>
      </c>
      <c r="J3434" t="s" s="11">
        <v>20</v>
      </c>
      <c r="K3434" t="s" s="16">
        <f>HYPERLINK("http://csr.bu.edu/ftp/asl/asllvd/demos/verify_start_end_handshape_annotations//test_auto_move//signs_mov/717.mov","MOV")</f>
        <v>21</v>
      </c>
      <c r="L3434" t="s" s="16">
        <f>HYPERLINK("http://csr.bu.edu/ftp/asl/asllvd/demos/verify_start_end_handshape_annotations//test_auto_move//signs_mov_separ_signers/Liz_717.mov","MOV")</f>
        <v>21</v>
      </c>
      <c r="M3434" t="s" s="10">
        <v>84</v>
      </c>
      <c r="N3434" s="17">
        <v>22</v>
      </c>
      <c r="O3434" s="18">
        <v>1671</v>
      </c>
      <c r="P3434" s="18">
        <v>1706</v>
      </c>
      <c r="Q3434" t="s" s="16">
        <f>HYPERLINK("http://secrets.rutgers.edu:8080/data/asl-ftp/asllvd/demos/verify_start_end_handshape_annotations//test_auto_move//signs_mov/717.mov","MOV")</f>
        <v>21</v>
      </c>
      <c r="R3434" t="s" s="16">
        <f>HYPERLINK("http://secrets.rutgers.edu:8080/data/asl-ftp/asllvd/demos/verify_start_end_handshape_annotations//test_auto_move//signs_mov_separ_signers/Liz_717.mov","MOV")</f>
        <v>21</v>
      </c>
    </row>
    <row r="3435" s="2" customFormat="1" ht="13.5" customHeight="1">
      <c r="B3435" s="13"/>
      <c r="C3435" t="s" s="9">
        <v>27</v>
      </c>
      <c r="D3435" t="s" s="8">
        <v>1177</v>
      </c>
      <c r="E3435" t="s" s="9">
        <v>1178</v>
      </c>
      <c r="F3435" s="19">
        <v>10</v>
      </c>
      <c r="G3435" t="s" s="11">
        <v>73</v>
      </c>
      <c r="H3435" s="19">
        <v>10</v>
      </c>
      <c r="I3435" t="s" s="11">
        <v>73</v>
      </c>
      <c r="J3435" t="s" s="11">
        <v>20</v>
      </c>
      <c r="K3435" s="15"/>
      <c r="L3435" t="s" s="16">
        <f>HYPERLINK("http://csr.bu.edu/ftp/asl/asllvd/demos/verify_start_end_handshape_annotations//test_auto_move//signs_mov_separ_signers/Naomi_717.mov","MOV")</f>
        <v>21</v>
      </c>
      <c r="M3435" t="s" s="10">
        <v>86</v>
      </c>
      <c r="N3435" s="17">
        <v>22</v>
      </c>
      <c r="O3435" s="18">
        <v>1676</v>
      </c>
      <c r="P3435" s="18">
        <v>1707</v>
      </c>
      <c r="Q3435" s="15"/>
      <c r="R3435" t="s" s="16">
        <f>HYPERLINK("http://secrets.rutgers.edu:8080/data/asl-ftp/asllvd/demos/verify_start_end_handshape_annotations//test_auto_move//signs_mov_separ_signers/Naomi_717.mov","MOV")</f>
        <v>21</v>
      </c>
    </row>
    <row r="3436" s="2" customFormat="1" ht="13.5" customHeight="1">
      <c r="B3436" t="s" s="8">
        <v>52</v>
      </c>
      <c r="C3436" t="s" s="9">
        <v>53</v>
      </c>
      <c r="D3436" t="s" s="8">
        <v>53</v>
      </c>
      <c r="E3436" t="s" s="9">
        <v>53</v>
      </c>
      <c r="F3436" t="s" s="10">
        <v>53</v>
      </c>
      <c r="G3436" t="s" s="11">
        <v>53</v>
      </c>
      <c r="H3436" t="s" s="10">
        <v>53</v>
      </c>
      <c r="I3436" t="s" s="11">
        <v>53</v>
      </c>
      <c r="J3436" t="s" s="11">
        <v>53</v>
      </c>
      <c r="K3436" t="s" s="12">
        <v>53</v>
      </c>
      <c r="L3436" t="s" s="12">
        <v>53</v>
      </c>
      <c r="M3436" t="s" s="10">
        <v>53</v>
      </c>
      <c r="N3436" t="s" s="11">
        <v>53</v>
      </c>
      <c r="O3436" t="s" s="8">
        <v>53</v>
      </c>
      <c r="P3436" t="s" s="8">
        <v>53</v>
      </c>
      <c r="Q3436" t="s" s="12">
        <v>53</v>
      </c>
      <c r="R3436" t="s" s="12">
        <v>53</v>
      </c>
    </row>
    <row r="3437" s="2" customFormat="1" ht="13.5" customHeight="1">
      <c r="B3437" s="13"/>
      <c r="C3437" t="s" s="9">
        <v>23</v>
      </c>
      <c r="D3437" t="s" s="8">
        <v>1177</v>
      </c>
      <c r="E3437" t="s" s="9">
        <v>1179</v>
      </c>
      <c r="F3437" s="19">
        <v>10</v>
      </c>
      <c r="G3437" s="14"/>
      <c r="H3437" s="19">
        <v>10</v>
      </c>
      <c r="I3437" s="14"/>
      <c r="J3437" t="s" s="11">
        <v>20</v>
      </c>
      <c r="K3437" t="s" s="16">
        <f>HYPERLINK("http://csr.bu.edu/ftp/asl/asllvd/demos/verify_start_end_handshape_annotations//test_auto_move//signs_mov/5166.mov","MOV")</f>
        <v>21</v>
      </c>
      <c r="L3437" t="s" s="16">
        <f>HYPERLINK("http://csr.bu.edu/ftp/asl/asllvd/demos/verify_start_end_handshape_annotations//test_auto_move//signs_mov_separ_signers/Tyler_5166.mov","MOV")</f>
        <v>21</v>
      </c>
      <c r="M3437" t="s" s="10">
        <v>92</v>
      </c>
      <c r="N3437" s="17">
        <v>2</v>
      </c>
      <c r="O3437" s="18">
        <v>2520</v>
      </c>
      <c r="P3437" s="18">
        <v>2575</v>
      </c>
      <c r="Q3437" t="s" s="16">
        <f>HYPERLINK("http://secrets.rutgers.edu:8080/data/asl-ftp/asllvd/demos/verify_start_end_handshape_annotations//test_auto_move//signs_mov/5166.mov","MOV")</f>
        <v>21</v>
      </c>
      <c r="R3437" t="s" s="16">
        <f>HYPERLINK("http://secrets.rutgers.edu:8080/data/asl-ftp/asllvd/demos/verify_start_end_handshape_annotations//test_auto_move//signs_mov_separ_signers/Tyler_5166.mov","MOV")</f>
        <v>21</v>
      </c>
    </row>
    <row r="3438" s="2" customFormat="1" ht="13.5" customHeight="1">
      <c r="B3438" s="13"/>
      <c r="C3438" t="s" s="9">
        <v>30</v>
      </c>
      <c r="D3438" t="s" s="8">
        <v>1177</v>
      </c>
      <c r="E3438" t="s" s="9">
        <v>1180</v>
      </c>
      <c r="F3438" t="s" s="10">
        <v>63</v>
      </c>
      <c r="G3438" s="14"/>
      <c r="H3438" t="s" s="10">
        <v>63</v>
      </c>
      <c r="I3438" s="14"/>
      <c r="J3438" t="s" s="11">
        <v>20</v>
      </c>
      <c r="K3438" s="15"/>
      <c r="L3438" t="s" s="16">
        <f>HYPERLINK("http://csr.bu.edu/ftp/asl/asllvd/demos/verify_start_end_handshape_annotations//test_auto_move//signs_mov_separ_signers/Brady_5166.mov","MOV")</f>
        <v>21</v>
      </c>
      <c r="M3438" t="s" s="10">
        <v>39</v>
      </c>
      <c r="N3438" s="17">
        <v>6</v>
      </c>
      <c r="O3438" s="18">
        <v>2488</v>
      </c>
      <c r="P3438" s="18">
        <v>2508</v>
      </c>
      <c r="Q3438" s="15"/>
      <c r="R3438" t="s" s="16">
        <f>HYPERLINK("http://secrets.rutgers.edu:8080/data/asl-ftp/asllvd/demos/verify_start_end_handshape_annotations//test_auto_move//signs_mov_separ_signers/Brady_5166.mov","MOV")</f>
        <v>21</v>
      </c>
    </row>
    <row r="3439" s="2" customFormat="1" ht="13.5" customHeight="1">
      <c r="B3439" t="s" s="8">
        <v>1181</v>
      </c>
      <c r="C3439" t="s" s="9">
        <v>14</v>
      </c>
      <c r="D3439" t="s" s="8">
        <v>14</v>
      </c>
      <c r="E3439" t="s" s="9">
        <v>14</v>
      </c>
      <c r="F3439" t="s" s="10">
        <v>14</v>
      </c>
      <c r="G3439" t="s" s="11">
        <v>14</v>
      </c>
      <c r="H3439" t="s" s="10">
        <v>14</v>
      </c>
      <c r="I3439" t="s" s="11">
        <v>14</v>
      </c>
      <c r="J3439" t="s" s="11">
        <v>14</v>
      </c>
      <c r="K3439" t="s" s="12">
        <v>14</v>
      </c>
      <c r="L3439" t="s" s="12">
        <v>14</v>
      </c>
      <c r="M3439" t="s" s="10">
        <v>14</v>
      </c>
      <c r="N3439" t="s" s="11">
        <v>14</v>
      </c>
      <c r="O3439" t="s" s="8">
        <v>14</v>
      </c>
      <c r="P3439" t="s" s="8">
        <v>14</v>
      </c>
      <c r="Q3439" t="s" s="12">
        <v>14</v>
      </c>
      <c r="R3439" t="s" s="12">
        <v>14</v>
      </c>
    </row>
    <row r="3440" s="2" customFormat="1" ht="13.5" customHeight="1">
      <c r="B3440" s="13"/>
      <c r="C3440" t="s" s="9">
        <v>16</v>
      </c>
      <c r="D3440" t="s" s="8">
        <v>1181</v>
      </c>
      <c r="E3440" t="s" s="9">
        <v>1181</v>
      </c>
      <c r="F3440" t="s" s="10">
        <v>229</v>
      </c>
      <c r="G3440" t="s" s="11">
        <v>73</v>
      </c>
      <c r="H3440" t="s" s="10">
        <v>229</v>
      </c>
      <c r="I3440" t="s" s="11">
        <v>73</v>
      </c>
      <c r="J3440" t="s" s="11">
        <v>20</v>
      </c>
      <c r="K3440" s="15"/>
      <c r="L3440" t="s" s="16">
        <f>HYPERLINK("http://csr.bu.edu/ftp/asl/asllvd/demos/verify_start_end_handshape_annotations//test_auto_move//signs_mov_separ_signers/Liz_719.mov","MOV")</f>
        <v>21</v>
      </c>
      <c r="M3440" t="s" s="10">
        <v>84</v>
      </c>
      <c r="N3440" s="17">
        <v>22</v>
      </c>
      <c r="O3440" s="18">
        <v>2217</v>
      </c>
      <c r="P3440" s="18">
        <v>2251</v>
      </c>
      <c r="Q3440" s="15"/>
      <c r="R3440" t="s" s="16">
        <f>HYPERLINK("http://secrets.rutgers.edu:8080/data/asl-ftp/asllvd/demos/verify_start_end_handshape_annotations//test_auto_move//signs_mov_separ_signers/Liz_719.mov","MOV")</f>
        <v>21</v>
      </c>
    </row>
    <row r="3441" s="2" customFormat="1" ht="13.5" customHeight="1">
      <c r="B3441" s="13"/>
      <c r="C3441" t="s" s="9">
        <v>23</v>
      </c>
      <c r="D3441" t="s" s="8">
        <v>1181</v>
      </c>
      <c r="E3441" t="s" s="9">
        <v>1181</v>
      </c>
      <c r="F3441" t="s" s="10">
        <v>229</v>
      </c>
      <c r="G3441" t="s" s="11">
        <v>73</v>
      </c>
      <c r="H3441" t="s" s="10">
        <v>229</v>
      </c>
      <c r="I3441" t="s" s="11">
        <v>73</v>
      </c>
      <c r="J3441" t="s" s="11">
        <v>20</v>
      </c>
      <c r="K3441" t="s" s="16">
        <f>HYPERLINK("http://csr.bu.edu/ftp/asl/asllvd/demos/verify_start_end_handshape_annotations//test_auto_move//signs_mov/719.mov","MOV")</f>
        <v>21</v>
      </c>
      <c r="L3441" t="s" s="16">
        <f>HYPERLINK("http://csr.bu.edu/ftp/asl/asllvd/demos/verify_start_end_handshape_annotations//test_auto_move//signs_mov_separ_signers/Tyler_719.mov","MOV")</f>
        <v>21</v>
      </c>
      <c r="M3441" t="s" s="10">
        <v>92</v>
      </c>
      <c r="N3441" s="17">
        <v>2</v>
      </c>
      <c r="O3441" s="18">
        <v>3167</v>
      </c>
      <c r="P3441" s="18">
        <v>3190</v>
      </c>
      <c r="Q3441" t="s" s="16">
        <f>HYPERLINK("http://secrets.rutgers.edu:8080/data/asl-ftp/asllvd/demos/verify_start_end_handshape_annotations//test_auto_move//signs_mov/719.mov","MOV")</f>
        <v>21</v>
      </c>
      <c r="R3441" t="s" s="16">
        <f>HYPERLINK("http://secrets.rutgers.edu:8080/data/asl-ftp/asllvd/demos/verify_start_end_handshape_annotations//test_auto_move//signs_mov_separ_signers/Tyler_719.mov","MOV")</f>
        <v>21</v>
      </c>
    </row>
    <row r="3442" s="2" customFormat="1" ht="13.5" customHeight="1">
      <c r="B3442" s="13"/>
      <c r="C3442" t="s" s="9">
        <v>27</v>
      </c>
      <c r="D3442" t="s" s="8">
        <v>1181</v>
      </c>
      <c r="E3442" t="s" s="9">
        <v>1181</v>
      </c>
      <c r="F3442" t="s" s="10">
        <v>220</v>
      </c>
      <c r="G3442" t="s" s="11">
        <v>73</v>
      </c>
      <c r="H3442" t="s" s="10">
        <v>220</v>
      </c>
      <c r="I3442" t="s" s="11">
        <v>73</v>
      </c>
      <c r="J3442" t="s" s="11">
        <v>20</v>
      </c>
      <c r="K3442" s="15"/>
      <c r="L3442" t="s" s="16">
        <f>HYPERLINK("http://csr.bu.edu/ftp/asl/asllvd/demos/verify_start_end_handshape_annotations//test_auto_move//signs_mov_separ_signers/Naomi_719.mov","MOV")</f>
        <v>21</v>
      </c>
      <c r="M3442" t="s" s="10">
        <v>86</v>
      </c>
      <c r="N3442" s="17">
        <v>22</v>
      </c>
      <c r="O3442" s="18">
        <v>2150</v>
      </c>
      <c r="P3442" s="18">
        <v>2172</v>
      </c>
      <c r="Q3442" s="15"/>
      <c r="R3442" t="s" s="16">
        <f>HYPERLINK("http://secrets.rutgers.edu:8080/data/asl-ftp/asllvd/demos/verify_start_end_handshape_annotations//test_auto_move//signs_mov_separ_signers/Naomi_719.mov","MOV")</f>
        <v>21</v>
      </c>
    </row>
    <row r="3443" s="2" customFormat="1" ht="13.5" customHeight="1">
      <c r="B3443" s="13"/>
      <c r="C3443" t="s" s="9">
        <v>30</v>
      </c>
      <c r="D3443" t="s" s="8">
        <v>1181</v>
      </c>
      <c r="E3443" t="s" s="9">
        <v>1181</v>
      </c>
      <c r="F3443" t="s" s="10">
        <v>229</v>
      </c>
      <c r="G3443" t="s" s="11">
        <v>73</v>
      </c>
      <c r="H3443" t="s" s="10">
        <v>229</v>
      </c>
      <c r="I3443" t="s" s="11">
        <v>73</v>
      </c>
      <c r="J3443" t="s" s="11">
        <v>20</v>
      </c>
      <c r="K3443" s="15"/>
      <c r="L3443" t="s" s="16">
        <f>HYPERLINK("http://csr.bu.edu/ftp/asl/asllvd/demos/verify_start_end_handshape_annotations//test_auto_move//signs_mov_separ_signers/Brady_719.mov","MOV")</f>
        <v>21</v>
      </c>
      <c r="M3443" t="s" s="10">
        <v>39</v>
      </c>
      <c r="N3443" s="17">
        <v>6</v>
      </c>
      <c r="O3443" s="18">
        <v>3259</v>
      </c>
      <c r="P3443" s="18">
        <v>3275</v>
      </c>
      <c r="Q3443" s="15"/>
      <c r="R3443" t="s" s="16">
        <f>HYPERLINK("http://secrets.rutgers.edu:8080/data/asl-ftp/asllvd/demos/verify_start_end_handshape_annotations//test_auto_move//signs_mov_separ_signers/Brady_719.mov","MOV")</f>
        <v>21</v>
      </c>
    </row>
    <row r="3444" s="2" customFormat="1" ht="13.5" customHeight="1">
      <c r="B3444" t="s" s="8">
        <v>1182</v>
      </c>
      <c r="C3444" t="s" s="9">
        <v>14</v>
      </c>
      <c r="D3444" t="s" s="8">
        <v>14</v>
      </c>
      <c r="E3444" t="s" s="9">
        <v>14</v>
      </c>
      <c r="F3444" t="s" s="10">
        <v>14</v>
      </c>
      <c r="G3444" t="s" s="11">
        <v>14</v>
      </c>
      <c r="H3444" t="s" s="10">
        <v>14</v>
      </c>
      <c r="I3444" t="s" s="11">
        <v>14</v>
      </c>
      <c r="J3444" t="s" s="11">
        <v>14</v>
      </c>
      <c r="K3444" t="s" s="12">
        <v>14</v>
      </c>
      <c r="L3444" t="s" s="12">
        <v>14</v>
      </c>
      <c r="M3444" t="s" s="10">
        <v>14</v>
      </c>
      <c r="N3444" t="s" s="11">
        <v>14</v>
      </c>
      <c r="O3444" t="s" s="8">
        <v>14</v>
      </c>
      <c r="P3444" t="s" s="8">
        <v>14</v>
      </c>
      <c r="Q3444" t="s" s="12">
        <v>14</v>
      </c>
      <c r="R3444" t="s" s="12">
        <v>14</v>
      </c>
    </row>
    <row r="3445" s="2" customFormat="1" ht="13.5" customHeight="1">
      <c r="B3445" s="13"/>
      <c r="C3445" t="s" s="9">
        <v>16</v>
      </c>
      <c r="D3445" t="s" s="8">
        <v>1182</v>
      </c>
      <c r="E3445" t="s" s="9">
        <v>1183</v>
      </c>
      <c r="F3445" t="s" s="10">
        <v>229</v>
      </c>
      <c r="G3445" s="14"/>
      <c r="H3445" t="s" s="10">
        <v>230</v>
      </c>
      <c r="I3445" s="14"/>
      <c r="J3445" t="s" s="11">
        <v>20</v>
      </c>
      <c r="K3445" s="15"/>
      <c r="L3445" t="s" s="16">
        <f>HYPERLINK("http://csr.bu.edu/ftp/asl/asllvd/demos/verify_start_end_handshape_annotations//test_auto_move//signs_mov_separ_signers/Liz_720.mov","MOV")</f>
        <v>21</v>
      </c>
      <c r="M3445" t="s" s="10">
        <v>84</v>
      </c>
      <c r="N3445" s="17">
        <v>23</v>
      </c>
      <c r="O3445" s="18">
        <v>240</v>
      </c>
      <c r="P3445" s="18">
        <v>275</v>
      </c>
      <c r="Q3445" s="15"/>
      <c r="R3445" t="s" s="16">
        <f>HYPERLINK("http://secrets.rutgers.edu:8080/data/asl-ftp/asllvd/demos/verify_start_end_handshape_annotations//test_auto_move//signs_mov_separ_signers/Liz_720.mov","MOV")</f>
        <v>21</v>
      </c>
    </row>
    <row r="3446" s="2" customFormat="1" ht="13.5" customHeight="1">
      <c r="B3446" s="13"/>
      <c r="C3446" t="s" s="9">
        <v>16</v>
      </c>
      <c r="D3446" t="s" s="8">
        <v>1182</v>
      </c>
      <c r="E3446" t="s" s="9">
        <v>1184</v>
      </c>
      <c r="F3446" t="s" s="10">
        <v>229</v>
      </c>
      <c r="G3446" s="14"/>
      <c r="H3446" t="s" s="10">
        <v>230</v>
      </c>
      <c r="I3446" s="14"/>
      <c r="J3446" t="s" s="11">
        <v>20</v>
      </c>
      <c r="K3446" s="15"/>
      <c r="L3446" t="s" s="16">
        <f>HYPERLINK("http://csr.bu.edu/ftp/asl/asllvd/demos/verify_start_end_handshape_annotations//test_auto_move//signs_mov_separ_signers/Liz_3762.mov","MOV")</f>
        <v>21</v>
      </c>
      <c r="M3446" t="s" s="10">
        <v>36</v>
      </c>
      <c r="N3446" s="17">
        <v>33</v>
      </c>
      <c r="O3446" s="18">
        <v>1730</v>
      </c>
      <c r="P3446" s="18">
        <v>1780</v>
      </c>
      <c r="Q3446" s="15"/>
      <c r="R3446" t="s" s="16">
        <f>HYPERLINK("http://secrets.rutgers.edu:8080/data/asl-ftp/asllvd/demos/verify_start_end_handshape_annotations//test_auto_move//signs_mov_separ_signers/Liz_3762.mov","MOV")</f>
        <v>21</v>
      </c>
    </row>
    <row r="3447" s="2" customFormat="1" ht="13.5" customHeight="1">
      <c r="B3447" s="13"/>
      <c r="C3447" t="s" s="9">
        <v>23</v>
      </c>
      <c r="D3447" t="s" s="8">
        <v>1182</v>
      </c>
      <c r="E3447" t="s" s="9">
        <v>1184</v>
      </c>
      <c r="F3447" t="s" s="10">
        <v>229</v>
      </c>
      <c r="G3447" s="14"/>
      <c r="H3447" t="s" s="10">
        <v>230</v>
      </c>
      <c r="I3447" s="14"/>
      <c r="J3447" t="s" s="11">
        <v>20</v>
      </c>
      <c r="K3447" t="s" s="16">
        <f>HYPERLINK("http://csr.bu.edu/ftp/asl/asllvd/demos/verify_start_end_handshape_annotations//test_auto_move//signs_mov/720_3762_merged.mov","MOV")</f>
        <v>21</v>
      </c>
      <c r="L3447" t="s" s="16">
        <f>HYPERLINK("http://csr.bu.edu/ftp/asl/asllvd/demos/verify_start_end_handshape_annotations//test_auto_move//signs_mov_separ_signers/Tyler_720.mov","MOV")</f>
        <v>21</v>
      </c>
      <c r="M3447" t="s" s="10">
        <v>92</v>
      </c>
      <c r="N3447" s="17">
        <v>2</v>
      </c>
      <c r="O3447" s="18">
        <v>3415</v>
      </c>
      <c r="P3447" s="18">
        <v>3440</v>
      </c>
      <c r="Q3447" t="s" s="16">
        <f>HYPERLINK("http://secrets.rutgers.edu:8080/data/asl-ftp/asllvd/demos/verify_start_end_handshape_annotations//test_auto_move//signs_mov/720_3762_merged.mov","MOV")</f>
        <v>21</v>
      </c>
      <c r="R3447" t="s" s="16">
        <f>HYPERLINK("http://secrets.rutgers.edu:8080/data/asl-ftp/asllvd/demos/verify_start_end_handshape_annotations//test_auto_move//signs_mov_separ_signers/Tyler_720.mov","MOV")</f>
        <v>21</v>
      </c>
    </row>
    <row r="3448" s="2" customFormat="1" ht="13.5" customHeight="1">
      <c r="B3448" s="13"/>
      <c r="C3448" t="s" s="9">
        <v>27</v>
      </c>
      <c r="D3448" t="s" s="8">
        <v>1182</v>
      </c>
      <c r="E3448" t="s" s="9">
        <v>1183</v>
      </c>
      <c r="F3448" t="s" s="10">
        <v>229</v>
      </c>
      <c r="G3448" s="14"/>
      <c r="H3448" t="s" s="10">
        <v>230</v>
      </c>
      <c r="I3448" s="14"/>
      <c r="J3448" t="s" s="11">
        <v>20</v>
      </c>
      <c r="K3448" s="15"/>
      <c r="L3448" t="s" s="16">
        <f>HYPERLINK("http://csr.bu.edu/ftp/asl/asllvd/demos/verify_start_end_handshape_annotations//test_auto_move//signs_mov_separ_signers/Naomi_720.mov","MOV")</f>
        <v>21</v>
      </c>
      <c r="M3448" t="s" s="10">
        <v>86</v>
      </c>
      <c r="N3448" s="17">
        <v>22</v>
      </c>
      <c r="O3448" s="18">
        <v>2370</v>
      </c>
      <c r="P3448" s="18">
        <v>2390</v>
      </c>
      <c r="Q3448" s="15"/>
      <c r="R3448" t="s" s="16">
        <f>HYPERLINK("http://secrets.rutgers.edu:8080/data/asl-ftp/asllvd/demos/verify_start_end_handshape_annotations//test_auto_move//signs_mov_separ_signers/Naomi_720.mov","MOV")</f>
        <v>21</v>
      </c>
    </row>
    <row r="3449" s="2" customFormat="1" ht="13.5" customHeight="1">
      <c r="B3449" s="13"/>
      <c r="C3449" t="s" s="9">
        <v>30</v>
      </c>
      <c r="D3449" t="s" s="8">
        <v>1182</v>
      </c>
      <c r="E3449" t="s" s="9">
        <v>1183</v>
      </c>
      <c r="F3449" t="s" s="10">
        <v>230</v>
      </c>
      <c r="G3449" s="14"/>
      <c r="H3449" t="s" s="10">
        <v>230</v>
      </c>
      <c r="I3449" s="14"/>
      <c r="J3449" t="s" s="11">
        <v>20</v>
      </c>
      <c r="K3449" s="15"/>
      <c r="L3449" t="s" s="16">
        <f>HYPERLINK("http://csr.bu.edu/ftp/asl/asllvd/demos/verify_start_end_handshape_annotations//test_auto_move//signs_mov_separ_signers/Brady_720.mov","MOV")</f>
        <v>21</v>
      </c>
      <c r="M3449" t="s" s="10">
        <v>39</v>
      </c>
      <c r="N3449" s="17">
        <v>6</v>
      </c>
      <c r="O3449" s="18">
        <v>3541</v>
      </c>
      <c r="P3449" s="18">
        <v>3562</v>
      </c>
      <c r="Q3449" s="15"/>
      <c r="R3449" t="s" s="16">
        <f>HYPERLINK("http://secrets.rutgers.edu:8080/data/asl-ftp/asllvd/demos/verify_start_end_handshape_annotations//test_auto_move//signs_mov_separ_signers/Brady_720.mov","MOV")</f>
        <v>21</v>
      </c>
    </row>
    <row r="3450" s="2" customFormat="1" ht="13.5" customHeight="1">
      <c r="B3450" s="13"/>
      <c r="C3450" t="s" s="9">
        <v>30</v>
      </c>
      <c r="D3450" t="s" s="8">
        <v>1182</v>
      </c>
      <c r="E3450" t="s" s="9">
        <v>1183</v>
      </c>
      <c r="F3450" t="s" s="10">
        <v>229</v>
      </c>
      <c r="G3450" s="14"/>
      <c r="H3450" t="s" s="10">
        <v>230</v>
      </c>
      <c r="I3450" s="14"/>
      <c r="J3450" t="s" s="11">
        <v>20</v>
      </c>
      <c r="K3450" s="15"/>
      <c r="L3450" t="s" s="16">
        <f>HYPERLINK("http://csr.bu.edu/ftp/asl/asllvd/demos/verify_start_end_handshape_annotations//test_auto_move//signs_mov_separ_signers/Brady_3762.mov","MOV")</f>
        <v>21</v>
      </c>
      <c r="M3450" t="s" s="10">
        <v>40</v>
      </c>
      <c r="N3450" s="17">
        <v>85</v>
      </c>
      <c r="O3450" s="18">
        <v>2353</v>
      </c>
      <c r="P3450" s="18">
        <v>2384</v>
      </c>
      <c r="Q3450" s="15"/>
      <c r="R3450" t="s" s="16">
        <f>HYPERLINK("http://secrets.rutgers.edu:8080/data/asl-ftp/asllvd/demos/verify_start_end_handshape_annotations//test_auto_move//signs_mov_separ_signers/Brady_3762.mov","MOV")</f>
        <v>21</v>
      </c>
    </row>
    <row r="3451" s="2" customFormat="1" ht="13.5" customHeight="1">
      <c r="B3451" t="s" s="8">
        <v>1185</v>
      </c>
      <c r="C3451" t="s" s="9">
        <v>14</v>
      </c>
      <c r="D3451" t="s" s="8">
        <v>14</v>
      </c>
      <c r="E3451" t="s" s="9">
        <v>14</v>
      </c>
      <c r="F3451" t="s" s="10">
        <v>14</v>
      </c>
      <c r="G3451" t="s" s="11">
        <v>14</v>
      </c>
      <c r="H3451" t="s" s="10">
        <v>14</v>
      </c>
      <c r="I3451" t="s" s="11">
        <v>14</v>
      </c>
      <c r="J3451" t="s" s="11">
        <v>14</v>
      </c>
      <c r="K3451" t="s" s="12">
        <v>14</v>
      </c>
      <c r="L3451" t="s" s="12">
        <v>14</v>
      </c>
      <c r="M3451" t="s" s="10">
        <v>14</v>
      </c>
      <c r="N3451" t="s" s="11">
        <v>14</v>
      </c>
      <c r="O3451" t="s" s="8">
        <v>14</v>
      </c>
      <c r="P3451" t="s" s="8">
        <v>14</v>
      </c>
      <c r="Q3451" t="s" s="12">
        <v>14</v>
      </c>
      <c r="R3451" t="s" s="12">
        <v>14</v>
      </c>
    </row>
    <row r="3452" s="2" customFormat="1" ht="13.5" customHeight="1">
      <c r="B3452" s="13"/>
      <c r="C3452" t="s" s="9">
        <v>23</v>
      </c>
      <c r="D3452" t="s" s="8">
        <v>1185</v>
      </c>
      <c r="E3452" t="s" s="9">
        <v>1185</v>
      </c>
      <c r="F3452" t="s" s="10">
        <v>51</v>
      </c>
      <c r="G3452" t="s" s="11">
        <v>51</v>
      </c>
      <c r="H3452" t="s" s="10">
        <v>51</v>
      </c>
      <c r="I3452" t="s" s="11">
        <v>51</v>
      </c>
      <c r="J3452" t="s" s="11">
        <v>20</v>
      </c>
      <c r="K3452" t="s" s="16">
        <f>HYPERLINK("http://csr.bu.edu/ftp/asl/asllvd/demos/verify_start_end_handshape_annotations//test_auto_move//signs_mov/721.mov","MOV")</f>
        <v>21</v>
      </c>
      <c r="L3452" t="s" s="16">
        <f>HYPERLINK("http://csr.bu.edu/ftp/asl/asllvd/demos/verify_start_end_handshape_annotations//test_auto_move//signs_mov_separ_signers/Tyler_721.mov","MOV")</f>
        <v>21</v>
      </c>
      <c r="M3452" t="s" s="10">
        <v>92</v>
      </c>
      <c r="N3452" s="17">
        <v>3</v>
      </c>
      <c r="O3452" s="18">
        <v>271</v>
      </c>
      <c r="P3452" s="18">
        <v>305</v>
      </c>
      <c r="Q3452" t="s" s="16">
        <f>HYPERLINK("http://secrets.rutgers.edu:8080/data/asl-ftp/asllvd/demos/verify_start_end_handshape_annotations//test_auto_move//signs_mov/721.mov","MOV")</f>
        <v>21</v>
      </c>
      <c r="R3452" t="s" s="16">
        <f>HYPERLINK("http://secrets.rutgers.edu:8080/data/asl-ftp/asllvd/demos/verify_start_end_handshape_annotations//test_auto_move//signs_mov_separ_signers/Tyler_721.mov","MOV")</f>
        <v>21</v>
      </c>
    </row>
    <row r="3453" s="2" customFormat="1" ht="13.5" customHeight="1">
      <c r="B3453" t="s" s="8">
        <v>52</v>
      </c>
      <c r="C3453" t="s" s="9">
        <v>53</v>
      </c>
      <c r="D3453" t="s" s="8">
        <v>53</v>
      </c>
      <c r="E3453" t="s" s="9">
        <v>53</v>
      </c>
      <c r="F3453" t="s" s="10">
        <v>53</v>
      </c>
      <c r="G3453" t="s" s="11">
        <v>53</v>
      </c>
      <c r="H3453" t="s" s="10">
        <v>53</v>
      </c>
      <c r="I3453" t="s" s="11">
        <v>53</v>
      </c>
      <c r="J3453" t="s" s="11">
        <v>53</v>
      </c>
      <c r="K3453" t="s" s="12">
        <v>53</v>
      </c>
      <c r="L3453" t="s" s="12">
        <v>53</v>
      </c>
      <c r="M3453" t="s" s="10">
        <v>53</v>
      </c>
      <c r="N3453" t="s" s="11">
        <v>53</v>
      </c>
      <c r="O3453" t="s" s="8">
        <v>53</v>
      </c>
      <c r="P3453" t="s" s="8">
        <v>53</v>
      </c>
      <c r="Q3453" t="s" s="12">
        <v>53</v>
      </c>
      <c r="R3453" t="s" s="12">
        <v>53</v>
      </c>
    </row>
    <row r="3454" s="2" customFormat="1" ht="13.5" customHeight="1">
      <c r="B3454" s="13"/>
      <c r="C3454" t="s" s="9">
        <v>16</v>
      </c>
      <c r="D3454" t="s" s="8">
        <v>1185</v>
      </c>
      <c r="E3454" t="s" s="9">
        <v>1186</v>
      </c>
      <c r="F3454" t="s" s="10">
        <v>251</v>
      </c>
      <c r="G3454" t="s" s="11">
        <v>251</v>
      </c>
      <c r="H3454" t="s" s="10">
        <v>251</v>
      </c>
      <c r="I3454" t="s" s="11">
        <v>251</v>
      </c>
      <c r="J3454" t="s" s="11">
        <v>20</v>
      </c>
      <c r="K3454" s="15"/>
      <c r="L3454" t="s" s="16">
        <f>HYPERLINK("http://csr.bu.edu/ftp/asl/asllvd/demos/verify_start_end_handshape_annotations//test_auto_move//signs_mov_separ_signers/Liz_5167.mov","MOV")</f>
        <v>21</v>
      </c>
      <c r="M3454" t="s" s="10">
        <v>84</v>
      </c>
      <c r="N3454" s="17">
        <v>23</v>
      </c>
      <c r="O3454" s="18">
        <v>587</v>
      </c>
      <c r="P3454" s="18">
        <v>627</v>
      </c>
      <c r="Q3454" s="15"/>
      <c r="R3454" t="s" s="16">
        <f>HYPERLINK("http://secrets.rutgers.edu:8080/data/asl-ftp/asllvd/demos/verify_start_end_handshape_annotations//test_auto_move//signs_mov_separ_signers/Liz_5167.mov","MOV")</f>
        <v>21</v>
      </c>
    </row>
    <row r="3455" s="2" customFormat="1" ht="13.5" customHeight="1">
      <c r="B3455" s="13"/>
      <c r="C3455" t="s" s="9">
        <v>27</v>
      </c>
      <c r="D3455" t="s" s="8">
        <v>1185</v>
      </c>
      <c r="E3455" t="s" s="9">
        <v>1186</v>
      </c>
      <c r="F3455" t="s" s="10">
        <v>251</v>
      </c>
      <c r="G3455" t="s" s="11">
        <v>251</v>
      </c>
      <c r="H3455" t="s" s="10">
        <v>251</v>
      </c>
      <c r="I3455" t="s" s="11">
        <v>251</v>
      </c>
      <c r="J3455" t="s" s="11">
        <v>20</v>
      </c>
      <c r="K3455" t="s" s="16">
        <f>HYPERLINK("http://csr.bu.edu/ftp/asl/asllvd/demos/verify_start_end_handshape_annotations//test_auto_move//signs_mov/5167.mov","MOV")</f>
        <v>21</v>
      </c>
      <c r="L3455" t="s" s="16">
        <f>HYPERLINK("http://csr.bu.edu/ftp/asl/asllvd/demos/verify_start_end_handshape_annotations//test_auto_move//signs_mov_separ_signers/Naomi_5167.mov","MOV")</f>
        <v>21</v>
      </c>
      <c r="M3455" t="s" s="10">
        <v>86</v>
      </c>
      <c r="N3455" s="17">
        <v>23</v>
      </c>
      <c r="O3455" s="18">
        <v>231</v>
      </c>
      <c r="P3455" s="18">
        <v>261</v>
      </c>
      <c r="Q3455" t="s" s="16">
        <f>HYPERLINK("http://secrets.rutgers.edu:8080/data/asl-ftp/asllvd/demos/verify_start_end_handshape_annotations//test_auto_move//signs_mov/5167.mov","MOV")</f>
        <v>21</v>
      </c>
      <c r="R3455" t="s" s="16">
        <f>HYPERLINK("http://secrets.rutgers.edu:8080/data/asl-ftp/asllvd/demos/verify_start_end_handshape_annotations//test_auto_move//signs_mov_separ_signers/Naomi_5167.mov","MOV")</f>
        <v>21</v>
      </c>
    </row>
    <row r="3456" s="2" customFormat="1" ht="13.5" customHeight="1">
      <c r="B3456" s="13"/>
      <c r="C3456" t="s" s="9">
        <v>30</v>
      </c>
      <c r="D3456" t="s" s="8">
        <v>1185</v>
      </c>
      <c r="E3456" t="s" s="9">
        <v>1186</v>
      </c>
      <c r="F3456" t="s" s="10">
        <v>251</v>
      </c>
      <c r="G3456" t="s" s="11">
        <v>251</v>
      </c>
      <c r="H3456" t="s" s="10">
        <v>251</v>
      </c>
      <c r="I3456" t="s" s="11">
        <v>251</v>
      </c>
      <c r="J3456" t="s" s="11">
        <v>20</v>
      </c>
      <c r="K3456" s="15"/>
      <c r="L3456" t="s" s="16">
        <f>HYPERLINK("http://csr.bu.edu/ftp/asl/asllvd/demos/verify_start_end_handshape_annotations//test_auto_move//signs_mov_separ_signers/Brady_5167.mov","MOV")</f>
        <v>21</v>
      </c>
      <c r="M3456" t="s" s="10">
        <v>39</v>
      </c>
      <c r="N3456" s="17">
        <v>6</v>
      </c>
      <c r="O3456" s="18">
        <v>3831</v>
      </c>
      <c r="P3456" s="18">
        <v>3851</v>
      </c>
      <c r="Q3456" s="15"/>
      <c r="R3456" t="s" s="16">
        <f>HYPERLINK("http://secrets.rutgers.edu:8080/data/asl-ftp/asllvd/demos/verify_start_end_handshape_annotations//test_auto_move//signs_mov_separ_signers/Brady_5167.mov","MOV")</f>
        <v>21</v>
      </c>
    </row>
    <row r="3457" s="2" customFormat="1" ht="13.5" customHeight="1">
      <c r="B3457" t="s" s="8">
        <v>1187</v>
      </c>
      <c r="C3457" t="s" s="9">
        <v>14</v>
      </c>
      <c r="D3457" t="s" s="8">
        <v>14</v>
      </c>
      <c r="E3457" t="s" s="9">
        <v>14</v>
      </c>
      <c r="F3457" t="s" s="10">
        <v>14</v>
      </c>
      <c r="G3457" t="s" s="11">
        <v>14</v>
      </c>
      <c r="H3457" t="s" s="10">
        <v>14</v>
      </c>
      <c r="I3457" t="s" s="11">
        <v>14</v>
      </c>
      <c r="J3457" t="s" s="11">
        <v>14</v>
      </c>
      <c r="K3457" t="s" s="12">
        <v>14</v>
      </c>
      <c r="L3457" t="s" s="12">
        <v>14</v>
      </c>
      <c r="M3457" t="s" s="10">
        <v>14</v>
      </c>
      <c r="N3457" t="s" s="11">
        <v>14</v>
      </c>
      <c r="O3457" t="s" s="8">
        <v>14</v>
      </c>
      <c r="P3457" t="s" s="8">
        <v>14</v>
      </c>
      <c r="Q3457" t="s" s="12">
        <v>14</v>
      </c>
      <c r="R3457" t="s" s="12">
        <v>14</v>
      </c>
    </row>
    <row r="3458" s="2" customFormat="1" ht="13.5" customHeight="1">
      <c r="B3458" s="13"/>
      <c r="C3458" t="s" s="9">
        <v>16</v>
      </c>
      <c r="D3458" t="s" s="8">
        <v>1187</v>
      </c>
      <c r="E3458" t="s" s="9">
        <v>1187</v>
      </c>
      <c r="F3458" s="19">
        <v>1</v>
      </c>
      <c r="G3458" s="14"/>
      <c r="H3458" s="19">
        <v>1</v>
      </c>
      <c r="I3458" s="14"/>
      <c r="J3458" t="s" s="11">
        <v>20</v>
      </c>
      <c r="K3458" s="15"/>
      <c r="L3458" t="s" s="16">
        <f>HYPERLINK("http://csr.bu.edu/ftp/asl/asllvd/demos/verify_start_end_handshape_annotations//test_auto_move//signs_mov_separ_signers/Liz_722.mov","MOV")</f>
        <v>21</v>
      </c>
      <c r="M3458" t="s" s="10">
        <v>84</v>
      </c>
      <c r="N3458" s="17">
        <v>23</v>
      </c>
      <c r="O3458" s="18">
        <v>790</v>
      </c>
      <c r="P3458" s="18">
        <v>820</v>
      </c>
      <c r="Q3458" s="15"/>
      <c r="R3458" t="s" s="16">
        <f>HYPERLINK("http://secrets.rutgers.edu:8080/data/asl-ftp/asllvd/demos/verify_start_end_handshape_annotations//test_auto_move//signs_mov_separ_signers/Liz_722.mov","MOV")</f>
        <v>21</v>
      </c>
    </row>
    <row r="3459" s="2" customFormat="1" ht="13.5" customHeight="1">
      <c r="B3459" s="13"/>
      <c r="C3459" t="s" s="9">
        <v>16</v>
      </c>
      <c r="D3459" t="s" s="8">
        <v>1187</v>
      </c>
      <c r="E3459" t="s" s="9">
        <v>1188</v>
      </c>
      <c r="F3459" s="19">
        <v>1</v>
      </c>
      <c r="G3459" s="14"/>
      <c r="H3459" s="19">
        <v>1</v>
      </c>
      <c r="I3459" s="14"/>
      <c r="J3459" t="s" s="11">
        <v>20</v>
      </c>
      <c r="K3459" s="15"/>
      <c r="L3459" t="s" s="16">
        <f>HYPERLINK("http://csr.bu.edu/ftp/asl/asllvd/demos/verify_start_end_handshape_annotations//test_auto_move//signs_mov_separ_signers/Liz_15023.mov","MOV")</f>
        <v>21</v>
      </c>
      <c r="M3459" t="s" s="10">
        <v>84</v>
      </c>
      <c r="N3459" s="17">
        <v>23</v>
      </c>
      <c r="O3459" s="18">
        <v>990</v>
      </c>
      <c r="P3459" s="18">
        <v>1031</v>
      </c>
      <c r="Q3459" s="15"/>
      <c r="R3459" t="s" s="16">
        <f>HYPERLINK("http://secrets.rutgers.edu:8080/data/asl-ftp/asllvd/demos/verify_start_end_handshape_annotations//test_auto_move//signs_mov_separ_signers/Liz_15023.mov","MOV")</f>
        <v>21</v>
      </c>
    </row>
    <row r="3460" s="2" customFormat="1" ht="13.5" customHeight="1">
      <c r="B3460" s="13"/>
      <c r="C3460" t="s" s="9">
        <v>23</v>
      </c>
      <c r="D3460" t="s" s="8">
        <v>1187</v>
      </c>
      <c r="E3460" t="s" s="9">
        <v>1187</v>
      </c>
      <c r="F3460" s="19">
        <v>1</v>
      </c>
      <c r="G3460" s="14"/>
      <c r="H3460" s="19">
        <v>1</v>
      </c>
      <c r="I3460" s="14"/>
      <c r="J3460" t="s" s="11">
        <v>20</v>
      </c>
      <c r="K3460" s="15"/>
      <c r="L3460" t="s" s="16">
        <f>HYPERLINK("http://csr.bu.edu/ftp/asl/asllvd/demos/verify_start_end_handshape_annotations//test_auto_move//signs_mov_separ_signers/Tyler_722.mov","MOV")</f>
        <v>21</v>
      </c>
      <c r="M3460" t="s" s="10">
        <v>92</v>
      </c>
      <c r="N3460" s="17">
        <v>3</v>
      </c>
      <c r="O3460" s="18">
        <v>607</v>
      </c>
      <c r="P3460" s="18">
        <v>635</v>
      </c>
      <c r="Q3460" s="15"/>
      <c r="R3460" t="s" s="16">
        <f>HYPERLINK("http://secrets.rutgers.edu:8080/data/asl-ftp/asllvd/demos/verify_start_end_handshape_annotations//test_auto_move//signs_mov_separ_signers/Tyler_722.mov","MOV")</f>
        <v>21</v>
      </c>
    </row>
    <row r="3461" s="2" customFormat="1" ht="13.5" customHeight="1">
      <c r="B3461" s="13"/>
      <c r="C3461" t="s" s="9">
        <v>27</v>
      </c>
      <c r="D3461" t="s" s="8">
        <v>1187</v>
      </c>
      <c r="E3461" t="s" s="9">
        <v>1187</v>
      </c>
      <c r="F3461" s="19">
        <v>1</v>
      </c>
      <c r="G3461" s="14"/>
      <c r="H3461" s="19">
        <v>1</v>
      </c>
      <c r="I3461" s="14"/>
      <c r="J3461" t="s" s="11">
        <v>20</v>
      </c>
      <c r="K3461" s="15"/>
      <c r="L3461" t="s" s="16">
        <f>HYPERLINK("http://csr.bu.edu/ftp/asl/asllvd/demos/verify_start_end_handshape_annotations//test_auto_move//signs_mov_separ_signers/Naomi_722.mov","MOV")</f>
        <v>21</v>
      </c>
      <c r="M3461" t="s" s="10">
        <v>86</v>
      </c>
      <c r="N3461" s="17">
        <v>23</v>
      </c>
      <c r="O3461" s="18">
        <v>465</v>
      </c>
      <c r="P3461" s="18">
        <v>491</v>
      </c>
      <c r="Q3461" s="15"/>
      <c r="R3461" t="s" s="16">
        <f>HYPERLINK("http://secrets.rutgers.edu:8080/data/asl-ftp/asllvd/demos/verify_start_end_handshape_annotations//test_auto_move//signs_mov_separ_signers/Naomi_722.mov","MOV")</f>
        <v>21</v>
      </c>
    </row>
    <row r="3462" s="2" customFormat="1" ht="13.5" customHeight="1">
      <c r="B3462" s="13"/>
      <c r="C3462" t="s" s="9">
        <v>27</v>
      </c>
      <c r="D3462" t="s" s="8">
        <v>1187</v>
      </c>
      <c r="E3462" t="s" s="9">
        <v>1188</v>
      </c>
      <c r="F3462" t="s" s="10">
        <v>268</v>
      </c>
      <c r="G3462" s="14"/>
      <c r="H3462" t="s" s="10">
        <v>268</v>
      </c>
      <c r="I3462" s="14"/>
      <c r="J3462" t="s" s="11">
        <v>20</v>
      </c>
      <c r="K3462" t="s" s="16">
        <f>HYPERLINK("http://csr.bu.edu/ftp/asl/asllvd/demos/verify_start_end_handshape_annotations//test_auto_move//signs_mov/722_15023_merged.mov","MOV")</f>
        <v>21</v>
      </c>
      <c r="L3462" t="s" s="16">
        <f>HYPERLINK("http://csr.bu.edu/ftp/asl/asllvd/demos/verify_start_end_handshape_annotations//test_auto_move//signs_mov_separ_signers/Naomi_15023.mov","MOV")</f>
        <v>21</v>
      </c>
      <c r="M3462" t="s" s="10">
        <v>86</v>
      </c>
      <c r="N3462" s="17">
        <v>23</v>
      </c>
      <c r="O3462" s="18">
        <v>695</v>
      </c>
      <c r="P3462" s="18">
        <v>727</v>
      </c>
      <c r="Q3462" t="s" s="16">
        <f>HYPERLINK("http://secrets.rutgers.edu:8080/data/asl-ftp/asllvd/demos/verify_start_end_handshape_annotations//test_auto_move//signs_mov/722_15023_merged.mov","MOV")</f>
        <v>21</v>
      </c>
      <c r="R3462" t="s" s="16">
        <f>HYPERLINK("http://secrets.rutgers.edu:8080/data/asl-ftp/asllvd/demos/verify_start_end_handshape_annotations//test_auto_move//signs_mov_separ_signers/Naomi_15023.mov","MOV")</f>
        <v>21</v>
      </c>
    </row>
    <row r="3463" s="2" customFormat="1" ht="13.5" customHeight="1">
      <c r="B3463" s="13"/>
      <c r="C3463" t="s" s="9">
        <v>30</v>
      </c>
      <c r="D3463" t="s" s="8">
        <v>1187</v>
      </c>
      <c r="E3463" t="s" s="9">
        <v>1187</v>
      </c>
      <c r="F3463" s="19">
        <v>1</v>
      </c>
      <c r="G3463" s="14"/>
      <c r="H3463" s="19">
        <v>1</v>
      </c>
      <c r="I3463" s="14"/>
      <c r="J3463" t="s" s="11">
        <v>20</v>
      </c>
      <c r="K3463" s="15"/>
      <c r="L3463" t="s" s="16">
        <f>HYPERLINK("http://csr.bu.edu/ftp/asl/asllvd/demos/verify_start_end_handshape_annotations//test_auto_move//signs_mov_separ_signers/Brady_722.mov","MOV")</f>
        <v>21</v>
      </c>
      <c r="M3463" t="s" s="10">
        <v>39</v>
      </c>
      <c r="N3463" s="17">
        <v>6</v>
      </c>
      <c r="O3463" s="18">
        <v>4079</v>
      </c>
      <c r="P3463" s="18">
        <v>4097</v>
      </c>
      <c r="Q3463" s="15"/>
      <c r="R3463" t="s" s="16">
        <f>HYPERLINK("http://secrets.rutgers.edu:8080/data/asl-ftp/asllvd/demos/verify_start_end_handshape_annotations//test_auto_move//signs_mov_separ_signers/Brady_722.mov","MOV")</f>
        <v>21</v>
      </c>
    </row>
    <row r="3464" s="2" customFormat="1" ht="13.5" customHeight="1">
      <c r="B3464" s="13"/>
      <c r="C3464" t="s" s="9">
        <v>30</v>
      </c>
      <c r="D3464" t="s" s="8">
        <v>1187</v>
      </c>
      <c r="E3464" t="s" s="9">
        <v>1188</v>
      </c>
      <c r="F3464" t="s" s="10">
        <v>268</v>
      </c>
      <c r="G3464" s="14"/>
      <c r="H3464" t="s" s="10">
        <v>268</v>
      </c>
      <c r="I3464" s="14"/>
      <c r="J3464" t="s" s="11">
        <v>20</v>
      </c>
      <c r="K3464" s="15"/>
      <c r="L3464" t="s" s="16">
        <f>HYPERLINK("http://csr.bu.edu/ftp/asl/asllvd/demos/verify_start_end_handshape_annotations//test_auto_move//signs_mov_separ_signers/Brady_15023.mov","MOV")</f>
        <v>21</v>
      </c>
      <c r="M3464" t="s" s="10">
        <v>60</v>
      </c>
      <c r="N3464" s="17">
        <v>41</v>
      </c>
      <c r="O3464" s="18">
        <v>4015</v>
      </c>
      <c r="P3464" s="18">
        <v>4057</v>
      </c>
      <c r="Q3464" s="15"/>
      <c r="R3464" t="s" s="16">
        <f>HYPERLINK("http://secrets.rutgers.edu:8080/data/asl-ftp/asllvd/demos/verify_start_end_handshape_annotations//test_auto_move//signs_mov_separ_signers/Brady_15023.mov","MOV")</f>
        <v>21</v>
      </c>
    </row>
    <row r="3465" s="2" customFormat="1" ht="13.5" customHeight="1">
      <c r="B3465" s="13"/>
      <c r="C3465" t="s" s="9">
        <v>41</v>
      </c>
      <c r="D3465" t="s" s="8">
        <v>1187</v>
      </c>
      <c r="E3465" t="s" s="9">
        <v>1187</v>
      </c>
      <c r="F3465" s="19">
        <v>1</v>
      </c>
      <c r="G3465" s="14"/>
      <c r="H3465" s="19">
        <v>1</v>
      </c>
      <c r="I3465" s="14"/>
      <c r="J3465" t="s" s="11">
        <v>20</v>
      </c>
      <c r="K3465" s="15"/>
      <c r="L3465" t="s" s="16">
        <f>HYPERLINK("http://csr.bu.edu/ftp/asl/asllvd/demos/verify_start_end_handshape_annotations//test_auto_move//signs_mov_separ_signers/Lana_722.mov","MOV")</f>
        <v>21</v>
      </c>
      <c r="M3465" t="s" s="10">
        <v>42</v>
      </c>
      <c r="N3465" s="17">
        <v>7</v>
      </c>
      <c r="O3465" s="18">
        <v>1968</v>
      </c>
      <c r="P3465" s="18">
        <v>1983</v>
      </c>
      <c r="Q3465" s="15"/>
      <c r="R3465" t="s" s="16">
        <f>HYPERLINK("http://secrets.rutgers.edu:8080/data/asl-ftp/asllvd/demos/verify_start_end_handshape_annotations//test_auto_move//signs_mov_separ_signers/Lana_722.mov","MOV")</f>
        <v>21</v>
      </c>
    </row>
    <row r="3466" s="2" customFormat="1" ht="13.5" customHeight="1">
      <c r="B3466" s="13"/>
      <c r="C3466" t="s" s="9">
        <v>43</v>
      </c>
      <c r="D3466" t="s" s="8">
        <v>1187</v>
      </c>
      <c r="E3466" t="s" s="9">
        <v>1187</v>
      </c>
      <c r="F3466" s="19">
        <v>1</v>
      </c>
      <c r="G3466" s="14"/>
      <c r="H3466" s="19">
        <v>1</v>
      </c>
      <c r="I3466" s="14"/>
      <c r="J3466" t="s" s="11">
        <v>20</v>
      </c>
      <c r="K3466" s="15"/>
      <c r="L3466" t="s" s="16">
        <f>HYPERLINK("http://csr.bu.edu/ftp/asl/asllvd/demos/verify_start_end_handshape_annotations//test_auto_move//signs_mov_separ_signers/Dana_722.mov","MOV")</f>
        <v>21</v>
      </c>
      <c r="M3466" t="s" s="10">
        <v>44</v>
      </c>
      <c r="N3466" s="17">
        <v>11</v>
      </c>
      <c r="O3466" s="18">
        <v>2131</v>
      </c>
      <c r="P3466" s="18">
        <v>2167</v>
      </c>
      <c r="Q3466" s="15"/>
      <c r="R3466" t="s" s="16">
        <f>HYPERLINK("http://secrets.rutgers.edu:8080/data/asl-ftp/asllvd/demos/verify_start_end_handshape_annotations//test_auto_move//signs_mov_separ_signers/Dana_722.mov","MOV")</f>
        <v>21</v>
      </c>
    </row>
    <row r="3467" s="2" customFormat="1" ht="13.5" customHeight="1">
      <c r="B3467" t="s" s="8">
        <v>1189</v>
      </c>
      <c r="C3467" t="s" s="9">
        <v>14</v>
      </c>
      <c r="D3467" t="s" s="8">
        <v>14</v>
      </c>
      <c r="E3467" t="s" s="9">
        <v>14</v>
      </c>
      <c r="F3467" t="s" s="10">
        <v>14</v>
      </c>
      <c r="G3467" t="s" s="11">
        <v>14</v>
      </c>
      <c r="H3467" t="s" s="10">
        <v>14</v>
      </c>
      <c r="I3467" t="s" s="11">
        <v>14</v>
      </c>
      <c r="J3467" t="s" s="11">
        <v>14</v>
      </c>
      <c r="K3467" t="s" s="12">
        <v>14</v>
      </c>
      <c r="L3467" t="s" s="12">
        <v>14</v>
      </c>
      <c r="M3467" t="s" s="10">
        <v>14</v>
      </c>
      <c r="N3467" t="s" s="11">
        <v>14</v>
      </c>
      <c r="O3467" t="s" s="8">
        <v>14</v>
      </c>
      <c r="P3467" t="s" s="8">
        <v>14</v>
      </c>
      <c r="Q3467" t="s" s="12">
        <v>14</v>
      </c>
      <c r="R3467" t="s" s="12">
        <v>14</v>
      </c>
    </row>
    <row r="3468" s="2" customFormat="1" ht="13.5" customHeight="1">
      <c r="B3468" s="13"/>
      <c r="C3468" t="s" s="9">
        <v>16</v>
      </c>
      <c r="D3468" t="s" s="8">
        <v>1189</v>
      </c>
      <c r="E3468" t="s" s="9">
        <v>1189</v>
      </c>
      <c r="F3468" t="s" s="10">
        <v>268</v>
      </c>
      <c r="G3468" t="s" s="11">
        <v>109</v>
      </c>
      <c r="H3468" t="s" s="10">
        <v>268</v>
      </c>
      <c r="I3468" t="s" s="11">
        <v>109</v>
      </c>
      <c r="J3468" t="s" s="11">
        <v>136</v>
      </c>
      <c r="K3468" s="15"/>
      <c r="L3468" t="s" s="16">
        <f>HYPERLINK("http://csr.bu.edu/ftp/asl/asllvd/demos/verify_start_end_handshape_annotations//test_auto_move//signs_mov_separ_signers/Liz_16053.mov","MOV")</f>
        <v>21</v>
      </c>
      <c r="M3468" t="s" s="10">
        <v>84</v>
      </c>
      <c r="N3468" s="17">
        <v>13</v>
      </c>
      <c r="O3468" s="18">
        <v>1911</v>
      </c>
      <c r="P3468" s="18">
        <v>1935</v>
      </c>
      <c r="Q3468" s="15"/>
      <c r="R3468" t="s" s="16">
        <f>HYPERLINK("http://secrets.rutgers.edu:8080/data/asl-ftp/asllvd/demos/verify_start_end_handshape_annotations//test_auto_move//signs_mov_separ_signers/Liz_16053.mov","MOV")</f>
        <v>21</v>
      </c>
    </row>
    <row r="3469" s="2" customFormat="1" ht="13.5" customHeight="1">
      <c r="B3469" s="13"/>
      <c r="C3469" t="s" s="9">
        <v>27</v>
      </c>
      <c r="D3469" t="s" s="8">
        <v>1189</v>
      </c>
      <c r="E3469" t="s" s="9">
        <v>1189</v>
      </c>
      <c r="F3469" t="s" s="10">
        <v>268</v>
      </c>
      <c r="G3469" t="s" s="11">
        <v>73</v>
      </c>
      <c r="H3469" t="s" s="10">
        <v>268</v>
      </c>
      <c r="I3469" t="s" s="11">
        <v>73</v>
      </c>
      <c r="J3469" t="s" s="11">
        <v>136</v>
      </c>
      <c r="K3469" t="s" s="16">
        <f>HYPERLINK("http://csr.bu.edu/ftp/asl/asllvd/demos/verify_start_end_handshape_annotations//test_auto_move//signs_mov/16053.mov","MOV")</f>
        <v>21</v>
      </c>
      <c r="L3469" t="s" s="16">
        <f>HYPERLINK("http://csr.bu.edu/ftp/asl/asllvd/demos/verify_start_end_handshape_annotations//test_auto_move//signs_mov_separ_signers/Naomi_16053.mov","MOV")</f>
        <v>21</v>
      </c>
      <c r="M3469" t="s" s="10">
        <v>86</v>
      </c>
      <c r="N3469" s="17">
        <v>13</v>
      </c>
      <c r="O3469" s="18">
        <v>2067</v>
      </c>
      <c r="P3469" s="18">
        <v>2102</v>
      </c>
      <c r="Q3469" t="s" s="16">
        <f>HYPERLINK("http://secrets.rutgers.edu:8080/data/asl-ftp/asllvd/demos/verify_start_end_handshape_annotations//test_auto_move//signs_mov/16053.mov","MOV")</f>
        <v>21</v>
      </c>
      <c r="R3469" t="s" s="16">
        <f>HYPERLINK("http://secrets.rutgers.edu:8080/data/asl-ftp/asllvd/demos/verify_start_end_handshape_annotations//test_auto_move//signs_mov_separ_signers/Naomi_16053.mov","MOV")</f>
        <v>21</v>
      </c>
    </row>
    <row r="3470" s="2" customFormat="1" ht="13.5" customHeight="1">
      <c r="B3470" s="13"/>
      <c r="C3470" t="s" s="9">
        <v>30</v>
      </c>
      <c r="D3470" t="s" s="8">
        <v>1189</v>
      </c>
      <c r="E3470" t="s" s="9">
        <v>1189</v>
      </c>
      <c r="F3470" t="s" s="10">
        <v>268</v>
      </c>
      <c r="G3470" t="s" s="11">
        <v>73</v>
      </c>
      <c r="H3470" t="s" s="10">
        <v>268</v>
      </c>
      <c r="I3470" t="s" s="11">
        <v>73</v>
      </c>
      <c r="J3470" t="s" s="11">
        <v>136</v>
      </c>
      <c r="K3470" s="15"/>
      <c r="L3470" t="s" s="16">
        <f>HYPERLINK("http://csr.bu.edu/ftp/asl/asllvd/demos/verify_start_end_handshape_annotations//test_auto_move//signs_mov_separ_signers/Brady_16053.mov","MOV")</f>
        <v>21</v>
      </c>
      <c r="M3470" t="s" s="10">
        <v>31</v>
      </c>
      <c r="N3470" s="17">
        <v>32</v>
      </c>
      <c r="O3470" s="18">
        <v>11669</v>
      </c>
      <c r="P3470" s="18">
        <v>11687</v>
      </c>
      <c r="Q3470" s="15"/>
      <c r="R3470" t="s" s="16">
        <f>HYPERLINK("http://secrets.rutgers.edu:8080/data/asl-ftp/asllvd/demos/verify_start_end_handshape_annotations//test_auto_move//signs_mov_separ_signers/Brady_16053.mov","MOV")</f>
        <v>21</v>
      </c>
    </row>
    <row r="3471" s="2" customFormat="1" ht="13.5" customHeight="1">
      <c r="B3471" t="s" s="8">
        <v>52</v>
      </c>
      <c r="C3471" t="s" s="9">
        <v>53</v>
      </c>
      <c r="D3471" t="s" s="8">
        <v>53</v>
      </c>
      <c r="E3471" t="s" s="9">
        <v>53</v>
      </c>
      <c r="F3471" t="s" s="10">
        <v>53</v>
      </c>
      <c r="G3471" t="s" s="11">
        <v>53</v>
      </c>
      <c r="H3471" t="s" s="10">
        <v>53</v>
      </c>
      <c r="I3471" t="s" s="11">
        <v>53</v>
      </c>
      <c r="J3471" t="s" s="11">
        <v>53</v>
      </c>
      <c r="K3471" t="s" s="12">
        <v>53</v>
      </c>
      <c r="L3471" t="s" s="12">
        <v>53</v>
      </c>
      <c r="M3471" t="s" s="10">
        <v>53</v>
      </c>
      <c r="N3471" t="s" s="11">
        <v>53</v>
      </c>
      <c r="O3471" t="s" s="8">
        <v>53</v>
      </c>
      <c r="P3471" t="s" s="8">
        <v>53</v>
      </c>
      <c r="Q3471" t="s" s="12">
        <v>53</v>
      </c>
      <c r="R3471" t="s" s="12">
        <v>53</v>
      </c>
    </row>
    <row r="3472" s="2" customFormat="1" ht="13.5" customHeight="1">
      <c r="B3472" s="13"/>
      <c r="C3472" t="s" s="9">
        <v>23</v>
      </c>
      <c r="D3472" t="s" s="8">
        <v>1189</v>
      </c>
      <c r="E3472" t="s" s="9">
        <v>1190</v>
      </c>
      <c r="F3472" t="s" s="10">
        <v>268</v>
      </c>
      <c r="G3472" t="s" s="11">
        <v>73</v>
      </c>
      <c r="H3472" t="s" s="10">
        <v>268</v>
      </c>
      <c r="I3472" t="s" s="11">
        <v>73</v>
      </c>
      <c r="J3472" t="s" s="11">
        <v>20</v>
      </c>
      <c r="K3472" t="s" s="16">
        <f>HYPERLINK("http://csr.bu.edu/ftp/asl/asllvd/demos/verify_start_end_handshape_annotations//test_auto_move//signs_mov/16339.mov","MOV")</f>
        <v>21</v>
      </c>
      <c r="L3472" t="s" s="16">
        <f>HYPERLINK("http://csr.bu.edu/ftp/asl/asllvd/demos/verify_start_end_handshape_annotations//test_auto_move//signs_mov_separ_signers/Tyler_16339.mov","MOV")</f>
        <v>21</v>
      </c>
      <c r="M3472" t="s" s="10">
        <v>125</v>
      </c>
      <c r="N3472" s="17">
        <v>13</v>
      </c>
      <c r="O3472" s="18">
        <v>1905</v>
      </c>
      <c r="P3472" s="18">
        <v>1932</v>
      </c>
      <c r="Q3472" t="s" s="16">
        <f>HYPERLINK("http://secrets.rutgers.edu:8080/data/asl-ftp/asllvd/demos/verify_start_end_handshape_annotations//test_auto_move//signs_mov/16339.mov","MOV")</f>
        <v>21</v>
      </c>
      <c r="R3472" t="s" s="16">
        <f>HYPERLINK("http://secrets.rutgers.edu:8080/data/asl-ftp/asllvd/demos/verify_start_end_handshape_annotations//test_auto_move//signs_mov_separ_signers/Tyler_16339.mov","MOV")</f>
        <v>21</v>
      </c>
    </row>
    <row r="3473" s="2" customFormat="1" ht="13.5" customHeight="1">
      <c r="B3473" t="s" s="8">
        <v>1191</v>
      </c>
      <c r="C3473" t="s" s="9">
        <v>14</v>
      </c>
      <c r="D3473" t="s" s="8">
        <v>14</v>
      </c>
      <c r="E3473" t="s" s="9">
        <v>14</v>
      </c>
      <c r="F3473" t="s" s="10">
        <v>14</v>
      </c>
      <c r="G3473" t="s" s="11">
        <v>14</v>
      </c>
      <c r="H3473" t="s" s="10">
        <v>14</v>
      </c>
      <c r="I3473" t="s" s="11">
        <v>14</v>
      </c>
      <c r="J3473" t="s" s="11">
        <v>14</v>
      </c>
      <c r="K3473" t="s" s="12">
        <v>14</v>
      </c>
      <c r="L3473" t="s" s="12">
        <v>14</v>
      </c>
      <c r="M3473" t="s" s="10">
        <v>14</v>
      </c>
      <c r="N3473" t="s" s="11">
        <v>14</v>
      </c>
      <c r="O3473" t="s" s="8">
        <v>14</v>
      </c>
      <c r="P3473" t="s" s="8">
        <v>14</v>
      </c>
      <c r="Q3473" t="s" s="12">
        <v>14</v>
      </c>
      <c r="R3473" t="s" s="12">
        <v>14</v>
      </c>
    </row>
    <row r="3474" s="2" customFormat="1" ht="13.5" customHeight="1">
      <c r="B3474" s="13"/>
      <c r="C3474" t="s" s="9">
        <v>16</v>
      </c>
      <c r="D3474" t="s" s="8">
        <v>1191</v>
      </c>
      <c r="E3474" t="s" s="9">
        <v>1192</v>
      </c>
      <c r="F3474" s="19">
        <v>1</v>
      </c>
      <c r="G3474" s="14"/>
      <c r="H3474" t="s" s="10">
        <v>255</v>
      </c>
      <c r="I3474" s="14"/>
      <c r="J3474" t="s" s="11">
        <v>20</v>
      </c>
      <c r="K3474" s="15"/>
      <c r="L3474" t="s" s="16">
        <f>HYPERLINK("http://csr.bu.edu/ftp/asl/asllvd/demos/verify_start_end_handshape_annotations//test_auto_move//signs_mov_separ_signers/Liz_728.mov","MOV")</f>
        <v>21</v>
      </c>
      <c r="M3474" t="s" s="10">
        <v>84</v>
      </c>
      <c r="N3474" s="17">
        <v>23</v>
      </c>
      <c r="O3474" s="18">
        <v>2055</v>
      </c>
      <c r="P3474" s="18">
        <v>2091</v>
      </c>
      <c r="Q3474" s="15"/>
      <c r="R3474" t="s" s="16">
        <f>HYPERLINK("http://secrets.rutgers.edu:8080/data/asl-ftp/asllvd/demos/verify_start_end_handshape_annotations//test_auto_move//signs_mov_separ_signers/Liz_728.mov","MOV")</f>
        <v>21</v>
      </c>
    </row>
    <row r="3475" s="2" customFormat="1" ht="13.5" customHeight="1">
      <c r="B3475" s="13"/>
      <c r="C3475" t="s" s="9">
        <v>23</v>
      </c>
      <c r="D3475" t="s" s="8">
        <v>1191</v>
      </c>
      <c r="E3475" t="s" s="9">
        <v>1191</v>
      </c>
      <c r="F3475" s="19">
        <v>1</v>
      </c>
      <c r="G3475" s="14"/>
      <c r="H3475" t="s" s="10">
        <v>255</v>
      </c>
      <c r="I3475" s="14"/>
      <c r="J3475" t="s" s="11">
        <v>20</v>
      </c>
      <c r="K3475" t="s" s="16">
        <f>HYPERLINK("http://csr.bu.edu/ftp/asl/asllvd/demos/verify_start_end_handshape_annotations//test_auto_move//signs_mov/728.mov","MOV")</f>
        <v>21</v>
      </c>
      <c r="L3475" t="s" s="16">
        <f>HYPERLINK("http://csr.bu.edu/ftp/asl/asllvd/demos/verify_start_end_handshape_annotations//test_auto_move//signs_mov_separ_signers/Tyler_728.mov","MOV")</f>
        <v>21</v>
      </c>
      <c r="M3475" t="s" s="10">
        <v>92</v>
      </c>
      <c r="N3475" s="17">
        <v>3</v>
      </c>
      <c r="O3475" s="18">
        <v>2595</v>
      </c>
      <c r="P3475" s="18">
        <v>2631</v>
      </c>
      <c r="Q3475" t="s" s="16">
        <f>HYPERLINK("http://secrets.rutgers.edu:8080/data/asl-ftp/asllvd/demos/verify_start_end_handshape_annotations//test_auto_move//signs_mov/728.mov","MOV")</f>
        <v>21</v>
      </c>
      <c r="R3475" t="s" s="16">
        <f>HYPERLINK("http://secrets.rutgers.edu:8080/data/asl-ftp/asllvd/demos/verify_start_end_handshape_annotations//test_auto_move//signs_mov_separ_signers/Tyler_728.mov","MOV")</f>
        <v>21</v>
      </c>
    </row>
    <row r="3476" s="2" customFormat="1" ht="13.5" customHeight="1">
      <c r="B3476" s="13"/>
      <c r="C3476" t="s" s="9">
        <v>27</v>
      </c>
      <c r="D3476" t="s" s="8">
        <v>1191</v>
      </c>
      <c r="E3476" t="s" s="9">
        <v>1191</v>
      </c>
      <c r="F3476" s="19">
        <v>1</v>
      </c>
      <c r="G3476" s="14"/>
      <c r="H3476" t="s" s="10">
        <v>255</v>
      </c>
      <c r="I3476" s="14"/>
      <c r="J3476" t="s" s="11">
        <v>20</v>
      </c>
      <c r="K3476" s="15"/>
      <c r="L3476" t="s" s="16">
        <f>HYPERLINK("http://csr.bu.edu/ftp/asl/asllvd/demos/verify_start_end_handshape_annotations//test_auto_move//signs_mov_separ_signers/Naomi_728.mov","MOV")</f>
        <v>21</v>
      </c>
      <c r="M3476" t="s" s="10">
        <v>86</v>
      </c>
      <c r="N3476" s="17">
        <v>23</v>
      </c>
      <c r="O3476" s="18">
        <v>1945</v>
      </c>
      <c r="P3476" s="18">
        <v>1965</v>
      </c>
      <c r="Q3476" s="15"/>
      <c r="R3476" t="s" s="16">
        <f>HYPERLINK("http://secrets.rutgers.edu:8080/data/asl-ftp/asllvd/demos/verify_start_end_handshape_annotations//test_auto_move//signs_mov_separ_signers/Naomi_728.mov","MOV")</f>
        <v>21</v>
      </c>
    </row>
    <row r="3477" s="2" customFormat="1" ht="13.5" customHeight="1">
      <c r="B3477" s="13"/>
      <c r="C3477" t="s" s="9">
        <v>30</v>
      </c>
      <c r="D3477" t="s" s="8">
        <v>1191</v>
      </c>
      <c r="E3477" t="s" s="9">
        <v>1191</v>
      </c>
      <c r="F3477" s="19">
        <v>1</v>
      </c>
      <c r="G3477" s="14"/>
      <c r="H3477" t="s" s="10">
        <v>255</v>
      </c>
      <c r="I3477" s="14"/>
      <c r="J3477" t="s" s="11">
        <v>20</v>
      </c>
      <c r="K3477" s="15"/>
      <c r="L3477" t="s" s="16">
        <f>HYPERLINK("http://csr.bu.edu/ftp/asl/asllvd/demos/verify_start_end_handshape_annotations//test_auto_move//signs_mov_separ_signers/Brady_728.mov","MOV")</f>
        <v>21</v>
      </c>
      <c r="M3477" t="s" s="10">
        <v>39</v>
      </c>
      <c r="N3477" s="17">
        <v>7</v>
      </c>
      <c r="O3477" s="18">
        <v>767</v>
      </c>
      <c r="P3477" s="18">
        <v>806</v>
      </c>
      <c r="Q3477" s="15"/>
      <c r="R3477" t="s" s="16">
        <f>HYPERLINK("http://secrets.rutgers.edu:8080/data/asl-ftp/asllvd/demos/verify_start_end_handshape_annotations//test_auto_move//signs_mov_separ_signers/Brady_728.mov","MOV")</f>
        <v>21</v>
      </c>
    </row>
    <row r="3478" s="2" customFormat="1" ht="13.5" customHeight="1">
      <c r="B3478" t="s" s="8">
        <v>1193</v>
      </c>
      <c r="C3478" t="s" s="9">
        <v>14</v>
      </c>
      <c r="D3478" t="s" s="8">
        <v>14</v>
      </c>
      <c r="E3478" t="s" s="9">
        <v>14</v>
      </c>
      <c r="F3478" t="s" s="10">
        <v>14</v>
      </c>
      <c r="G3478" t="s" s="11">
        <v>14</v>
      </c>
      <c r="H3478" t="s" s="10">
        <v>14</v>
      </c>
      <c r="I3478" t="s" s="11">
        <v>14</v>
      </c>
      <c r="J3478" t="s" s="11">
        <v>14</v>
      </c>
      <c r="K3478" t="s" s="12">
        <v>14</v>
      </c>
      <c r="L3478" t="s" s="12">
        <v>14</v>
      </c>
      <c r="M3478" t="s" s="10">
        <v>14</v>
      </c>
      <c r="N3478" t="s" s="11">
        <v>14</v>
      </c>
      <c r="O3478" t="s" s="8">
        <v>14</v>
      </c>
      <c r="P3478" t="s" s="8">
        <v>14</v>
      </c>
      <c r="Q3478" t="s" s="12">
        <v>14</v>
      </c>
      <c r="R3478" t="s" s="12">
        <v>14</v>
      </c>
    </row>
    <row r="3479" s="2" customFormat="1" ht="13.5" customHeight="1">
      <c r="B3479" s="13"/>
      <c r="C3479" t="s" s="9">
        <v>16</v>
      </c>
      <c r="D3479" t="s" s="8">
        <v>1193</v>
      </c>
      <c r="E3479" t="s" s="9">
        <v>1194</v>
      </c>
      <c r="F3479" t="s" s="10">
        <v>75</v>
      </c>
      <c r="G3479" t="s" s="11">
        <v>75</v>
      </c>
      <c r="H3479" t="s" s="10">
        <v>75</v>
      </c>
      <c r="I3479" t="s" s="11">
        <v>75</v>
      </c>
      <c r="J3479" t="s" s="11">
        <v>20</v>
      </c>
      <c r="K3479" s="15"/>
      <c r="L3479" t="s" s="16">
        <f>HYPERLINK("http://csr.bu.edu/ftp/asl/asllvd/demos/verify_start_end_handshape_annotations//test_auto_move//signs_mov_separ_signers/Liz_731.mov","MOV")</f>
        <v>21</v>
      </c>
      <c r="M3479" t="s" s="10">
        <v>84</v>
      </c>
      <c r="N3479" s="17">
        <v>24</v>
      </c>
      <c r="O3479" s="18">
        <v>725</v>
      </c>
      <c r="P3479" s="18">
        <v>785</v>
      </c>
      <c r="Q3479" s="15"/>
      <c r="R3479" t="s" s="16">
        <f>HYPERLINK("http://secrets.rutgers.edu:8080/data/asl-ftp/asllvd/demos/verify_start_end_handshape_annotations//test_auto_move//signs_mov_separ_signers/Liz_731.mov","MOV")</f>
        <v>21</v>
      </c>
    </row>
    <row r="3480" s="2" customFormat="1" ht="13.5" customHeight="1">
      <c r="B3480" s="13"/>
      <c r="C3480" t="s" s="9">
        <v>27</v>
      </c>
      <c r="D3480" t="s" s="8">
        <v>1193</v>
      </c>
      <c r="E3480" t="s" s="9">
        <v>1194</v>
      </c>
      <c r="F3480" t="s" s="10">
        <v>72</v>
      </c>
      <c r="G3480" t="s" s="11">
        <v>72</v>
      </c>
      <c r="H3480" t="s" s="10">
        <v>72</v>
      </c>
      <c r="I3480" t="s" s="11">
        <v>72</v>
      </c>
      <c r="J3480" t="s" s="11">
        <v>20</v>
      </c>
      <c r="K3480" t="s" s="16">
        <f>HYPERLINK("http://csr.bu.edu/ftp/asl/asllvd/demos/verify_start_end_handshape_annotations//test_auto_move//signs_mov/731.mov","MOV")</f>
        <v>21</v>
      </c>
      <c r="L3480" t="s" s="16">
        <f>HYPERLINK("http://csr.bu.edu/ftp/asl/asllvd/demos/verify_start_end_handshape_annotations//test_auto_move//signs_mov_separ_signers/Naomi_731.mov","MOV")</f>
        <v>21</v>
      </c>
      <c r="M3480" t="s" s="10">
        <v>86</v>
      </c>
      <c r="N3480" s="17">
        <v>24</v>
      </c>
      <c r="O3480" s="18">
        <v>550</v>
      </c>
      <c r="P3480" s="18">
        <v>605</v>
      </c>
      <c r="Q3480" t="s" s="16">
        <f>HYPERLINK("http://secrets.rutgers.edu:8080/data/asl-ftp/asllvd/demos/verify_start_end_handshape_annotations//test_auto_move//signs_mov/731.mov","MOV")</f>
        <v>21</v>
      </c>
      <c r="R3480" t="s" s="16">
        <f>HYPERLINK("http://secrets.rutgers.edu:8080/data/asl-ftp/asllvd/demos/verify_start_end_handshape_annotations//test_auto_move//signs_mov_separ_signers/Naomi_731.mov","MOV")</f>
        <v>21</v>
      </c>
    </row>
    <row r="3481" s="2" customFormat="1" ht="13.5" customHeight="1">
      <c r="B3481" s="13"/>
      <c r="C3481" t="s" s="9">
        <v>30</v>
      </c>
      <c r="D3481" t="s" s="8">
        <v>1193</v>
      </c>
      <c r="E3481" t="s" s="9">
        <v>1194</v>
      </c>
      <c r="F3481" t="s" s="10">
        <v>75</v>
      </c>
      <c r="G3481" t="s" s="11">
        <v>75</v>
      </c>
      <c r="H3481" t="s" s="10">
        <v>75</v>
      </c>
      <c r="I3481" t="s" s="11">
        <v>75</v>
      </c>
      <c r="J3481" t="s" s="11">
        <v>20</v>
      </c>
      <c r="K3481" s="15"/>
      <c r="L3481" t="s" s="16">
        <f>HYPERLINK("http://csr.bu.edu/ftp/asl/asllvd/demos/verify_start_end_handshape_annotations//test_auto_move//signs_mov_separ_signers/Brady_731.mov","MOV")</f>
        <v>21</v>
      </c>
      <c r="M3481" t="s" s="10">
        <v>39</v>
      </c>
      <c r="N3481" s="17">
        <v>7</v>
      </c>
      <c r="O3481" s="18">
        <v>2643</v>
      </c>
      <c r="P3481" s="18">
        <v>2683</v>
      </c>
      <c r="Q3481" s="15"/>
      <c r="R3481" t="s" s="16">
        <f>HYPERLINK("http://secrets.rutgers.edu:8080/data/asl-ftp/asllvd/demos/verify_start_end_handshape_annotations//test_auto_move//signs_mov_separ_signers/Brady_731.mov","MOV")</f>
        <v>21</v>
      </c>
    </row>
    <row r="3482" s="2" customFormat="1" ht="13.5" customHeight="1">
      <c r="B3482" t="s" s="8">
        <v>52</v>
      </c>
      <c r="C3482" t="s" s="9">
        <v>53</v>
      </c>
      <c r="D3482" t="s" s="8">
        <v>53</v>
      </c>
      <c r="E3482" t="s" s="9">
        <v>53</v>
      </c>
      <c r="F3482" t="s" s="10">
        <v>53</v>
      </c>
      <c r="G3482" t="s" s="11">
        <v>53</v>
      </c>
      <c r="H3482" t="s" s="10">
        <v>53</v>
      </c>
      <c r="I3482" t="s" s="11">
        <v>53</v>
      </c>
      <c r="J3482" t="s" s="11">
        <v>53</v>
      </c>
      <c r="K3482" t="s" s="12">
        <v>53</v>
      </c>
      <c r="L3482" t="s" s="12">
        <v>53</v>
      </c>
      <c r="M3482" t="s" s="10">
        <v>53</v>
      </c>
      <c r="N3482" t="s" s="11">
        <v>53</v>
      </c>
      <c r="O3482" t="s" s="8">
        <v>53</v>
      </c>
      <c r="P3482" t="s" s="8">
        <v>53</v>
      </c>
      <c r="Q3482" t="s" s="12">
        <v>53</v>
      </c>
      <c r="R3482" t="s" s="12">
        <v>53</v>
      </c>
    </row>
    <row r="3483" s="2" customFormat="1" ht="13.5" customHeight="1">
      <c r="B3483" s="13"/>
      <c r="C3483" t="s" s="9">
        <v>16</v>
      </c>
      <c r="D3483" t="s" s="8">
        <v>1193</v>
      </c>
      <c r="E3483" t="s" s="9">
        <v>1195</v>
      </c>
      <c r="F3483" t="s" s="10">
        <v>68</v>
      </c>
      <c r="G3483" t="s" s="11">
        <v>68</v>
      </c>
      <c r="H3483" t="s" s="10">
        <v>68</v>
      </c>
      <c r="I3483" t="s" s="11">
        <v>68</v>
      </c>
      <c r="J3483" t="s" s="11">
        <v>20</v>
      </c>
      <c r="K3483" s="15"/>
      <c r="L3483" t="s" s="16">
        <f>HYPERLINK("http://csr.bu.edu/ftp/asl/asllvd/demos/verify_start_end_handshape_annotations//test_auto_move//signs_mov_separ_signers/Liz_3616.mov","MOV")</f>
        <v>21</v>
      </c>
      <c r="M3483" t="s" s="10">
        <v>84</v>
      </c>
      <c r="N3483" s="17">
        <v>24</v>
      </c>
      <c r="O3483" s="18">
        <v>502</v>
      </c>
      <c r="P3483" s="18">
        <v>560</v>
      </c>
      <c r="Q3483" s="15"/>
      <c r="R3483" t="s" s="16">
        <f>HYPERLINK("http://secrets.rutgers.edu:8080/data/asl-ftp/asllvd/demos/verify_start_end_handshape_annotations//test_auto_move//signs_mov_separ_signers/Liz_3616.mov","MOV")</f>
        <v>21</v>
      </c>
    </row>
    <row r="3484" s="2" customFormat="1" ht="13.5" customHeight="1">
      <c r="B3484" s="13"/>
      <c r="C3484" t="s" s="9">
        <v>23</v>
      </c>
      <c r="D3484" t="s" s="8">
        <v>1193</v>
      </c>
      <c r="E3484" t="s" s="9">
        <v>1195</v>
      </c>
      <c r="F3484" t="s" s="10">
        <v>68</v>
      </c>
      <c r="G3484" t="s" s="11">
        <v>68</v>
      </c>
      <c r="H3484" t="s" s="10">
        <v>68</v>
      </c>
      <c r="I3484" t="s" s="11">
        <v>68</v>
      </c>
      <c r="J3484" t="s" s="11">
        <v>20</v>
      </c>
      <c r="K3484" t="s" s="16">
        <f>HYPERLINK("http://csr.bu.edu/ftp/asl/asllvd/demos/verify_start_end_handshape_annotations//test_auto_move//signs_mov/3616.mov","MOV")</f>
        <v>21</v>
      </c>
      <c r="L3484" t="s" s="16">
        <f>HYPERLINK("http://csr.bu.edu/ftp/asl/asllvd/demos/verify_start_end_handshape_annotations//test_auto_move//signs_mov_separ_signers/Tyler_3616.mov","MOV")</f>
        <v>21</v>
      </c>
      <c r="M3484" t="s" s="10">
        <v>92</v>
      </c>
      <c r="N3484" s="17">
        <v>4</v>
      </c>
      <c r="O3484" s="18">
        <v>267</v>
      </c>
      <c r="P3484" s="18">
        <v>310</v>
      </c>
      <c r="Q3484" t="s" s="16">
        <f>HYPERLINK("http://secrets.rutgers.edu:8080/data/asl-ftp/asllvd/demos/verify_start_end_handshape_annotations//test_auto_move//signs_mov/3616.mov","MOV")</f>
        <v>21</v>
      </c>
      <c r="R3484" t="s" s="16">
        <f>HYPERLINK("http://secrets.rutgers.edu:8080/data/asl-ftp/asllvd/demos/verify_start_end_handshape_annotations//test_auto_move//signs_mov_separ_signers/Tyler_3616.mov","MOV")</f>
        <v>21</v>
      </c>
    </row>
    <row r="3485" s="2" customFormat="1" ht="13.5" customHeight="1">
      <c r="B3485" s="13"/>
      <c r="C3485" t="s" s="9">
        <v>27</v>
      </c>
      <c r="D3485" t="s" s="8">
        <v>1193</v>
      </c>
      <c r="E3485" t="s" s="9">
        <v>1195</v>
      </c>
      <c r="F3485" t="s" s="10">
        <v>68</v>
      </c>
      <c r="G3485" t="s" s="11">
        <v>68</v>
      </c>
      <c r="H3485" t="s" s="10">
        <v>68</v>
      </c>
      <c r="I3485" t="s" s="11">
        <v>68</v>
      </c>
      <c r="J3485" t="s" s="11">
        <v>20</v>
      </c>
      <c r="K3485" s="15"/>
      <c r="L3485" t="s" s="16">
        <f>HYPERLINK("http://csr.bu.edu/ftp/asl/asllvd/demos/verify_start_end_handshape_annotations//test_auto_move//signs_mov_separ_signers/Naomi_3616.mov","MOV")</f>
        <v>21</v>
      </c>
      <c r="M3485" t="s" s="10">
        <v>86</v>
      </c>
      <c r="N3485" s="17">
        <v>24</v>
      </c>
      <c r="O3485" s="18">
        <v>307</v>
      </c>
      <c r="P3485" s="18">
        <v>386</v>
      </c>
      <c r="Q3485" s="15"/>
      <c r="R3485" t="s" s="16">
        <f>HYPERLINK("http://secrets.rutgers.edu:8080/data/asl-ftp/asllvd/demos/verify_start_end_handshape_annotations//test_auto_move//signs_mov_separ_signers/Naomi_3616.mov","MOV")</f>
        <v>21</v>
      </c>
    </row>
    <row r="3486" s="2" customFormat="1" ht="13.5" customHeight="1">
      <c r="B3486" s="13"/>
      <c r="C3486" t="s" s="9">
        <v>30</v>
      </c>
      <c r="D3486" t="s" s="8">
        <v>1193</v>
      </c>
      <c r="E3486" t="s" s="9">
        <v>1195</v>
      </c>
      <c r="F3486" t="s" s="10">
        <v>68</v>
      </c>
      <c r="G3486" t="s" s="11">
        <v>68</v>
      </c>
      <c r="H3486" t="s" s="10">
        <v>68</v>
      </c>
      <c r="I3486" t="s" s="11">
        <v>68</v>
      </c>
      <c r="J3486" t="s" s="11">
        <v>20</v>
      </c>
      <c r="K3486" s="15"/>
      <c r="L3486" t="s" s="16">
        <f>HYPERLINK("http://csr.bu.edu/ftp/asl/asllvd/demos/verify_start_end_handshape_annotations//test_auto_move//signs_mov_separ_signers/Brady_3616.mov","MOV")</f>
        <v>21</v>
      </c>
      <c r="M3486" t="s" s="10">
        <v>39</v>
      </c>
      <c r="N3486" s="17">
        <v>7</v>
      </c>
      <c r="O3486" s="18">
        <v>2192</v>
      </c>
      <c r="P3486" s="18">
        <v>2240</v>
      </c>
      <c r="Q3486" s="15"/>
      <c r="R3486" t="s" s="16">
        <f>HYPERLINK("http://secrets.rutgers.edu:8080/data/asl-ftp/asllvd/demos/verify_start_end_handshape_annotations//test_auto_move//signs_mov_separ_signers/Brady_3616.mov","MOV")</f>
        <v>21</v>
      </c>
    </row>
    <row r="3487" s="2" customFormat="1" ht="13.5" customHeight="1">
      <c r="B3487" t="s" s="8">
        <v>1196</v>
      </c>
      <c r="C3487" t="s" s="9">
        <v>14</v>
      </c>
      <c r="D3487" t="s" s="8">
        <v>14</v>
      </c>
      <c r="E3487" t="s" s="9">
        <v>14</v>
      </c>
      <c r="F3487" t="s" s="10">
        <v>14</v>
      </c>
      <c r="G3487" t="s" s="11">
        <v>14</v>
      </c>
      <c r="H3487" t="s" s="10">
        <v>14</v>
      </c>
      <c r="I3487" t="s" s="11">
        <v>14</v>
      </c>
      <c r="J3487" t="s" s="11">
        <v>14</v>
      </c>
      <c r="K3487" t="s" s="12">
        <v>14</v>
      </c>
      <c r="L3487" t="s" s="12">
        <v>14</v>
      </c>
      <c r="M3487" t="s" s="10">
        <v>14</v>
      </c>
      <c r="N3487" t="s" s="11">
        <v>14</v>
      </c>
      <c r="O3487" t="s" s="8">
        <v>14</v>
      </c>
      <c r="P3487" t="s" s="8">
        <v>14</v>
      </c>
      <c r="Q3487" t="s" s="12">
        <v>14</v>
      </c>
      <c r="R3487" t="s" s="12">
        <v>14</v>
      </c>
    </row>
    <row r="3488" s="2" customFormat="1" ht="13.5" customHeight="1">
      <c r="B3488" s="13"/>
      <c r="C3488" t="s" s="9">
        <v>16</v>
      </c>
      <c r="D3488" t="s" s="8">
        <v>1196</v>
      </c>
      <c r="E3488" t="s" s="9">
        <v>1196</v>
      </c>
      <c r="F3488" t="s" s="10">
        <v>25</v>
      </c>
      <c r="G3488" t="s" s="11">
        <v>73</v>
      </c>
      <c r="H3488" t="s" s="10">
        <v>25</v>
      </c>
      <c r="I3488" t="s" s="11">
        <v>73</v>
      </c>
      <c r="J3488" t="s" s="11">
        <v>20</v>
      </c>
      <c r="K3488" s="15"/>
      <c r="L3488" t="s" s="16">
        <f>HYPERLINK("http://csr.bu.edu/ftp/asl/asllvd/demos/verify_start_end_handshape_annotations//test_auto_move//signs_mov_separ_signers/Liz_735.mov","MOV")</f>
        <v>21</v>
      </c>
      <c r="M3488" t="s" s="10">
        <v>84</v>
      </c>
      <c r="N3488" s="17">
        <v>24</v>
      </c>
      <c r="O3488" s="18">
        <v>2582</v>
      </c>
      <c r="P3488" s="18">
        <v>2646</v>
      </c>
      <c r="Q3488" s="15"/>
      <c r="R3488" t="s" s="16">
        <f>HYPERLINK("http://secrets.rutgers.edu:8080/data/asl-ftp/asllvd/demos/verify_start_end_handshape_annotations//test_auto_move//signs_mov_separ_signers/Liz_735.mov","MOV")</f>
        <v>21</v>
      </c>
    </row>
    <row r="3489" s="2" customFormat="1" ht="13.5" customHeight="1">
      <c r="B3489" s="13"/>
      <c r="C3489" t="s" s="9">
        <v>27</v>
      </c>
      <c r="D3489" t="s" s="8">
        <v>1196</v>
      </c>
      <c r="E3489" t="s" s="9">
        <v>1196</v>
      </c>
      <c r="F3489" t="s" s="10">
        <v>25</v>
      </c>
      <c r="G3489" t="s" s="11">
        <v>73</v>
      </c>
      <c r="H3489" t="s" s="10">
        <v>25</v>
      </c>
      <c r="I3489" t="s" s="11">
        <v>73</v>
      </c>
      <c r="J3489" t="s" s="11">
        <v>20</v>
      </c>
      <c r="K3489" t="s" s="16">
        <f>HYPERLINK("http://csr.bu.edu/ftp/asl/asllvd/demos/verify_start_end_handshape_annotations//test_auto_move//signs_mov/735.mov","MOV")</f>
        <v>21</v>
      </c>
      <c r="L3489" t="s" s="16">
        <f>HYPERLINK("http://csr.bu.edu/ftp/asl/asllvd/demos/verify_start_end_handshape_annotations//test_auto_move//signs_mov_separ_signers/Naomi_735.mov","MOV")</f>
        <v>21</v>
      </c>
      <c r="M3489" t="s" s="10">
        <v>86</v>
      </c>
      <c r="N3489" s="17">
        <v>24</v>
      </c>
      <c r="O3489" s="18">
        <v>1311</v>
      </c>
      <c r="P3489" s="18">
        <v>1350</v>
      </c>
      <c r="Q3489" t="s" s="16">
        <f>HYPERLINK("http://secrets.rutgers.edu:8080/data/asl-ftp/asllvd/demos/verify_start_end_handshape_annotations//test_auto_move//signs_mov/735.mov","MOV")</f>
        <v>21</v>
      </c>
      <c r="R3489" t="s" s="16">
        <f>HYPERLINK("http://secrets.rutgers.edu:8080/data/asl-ftp/asllvd/demos/verify_start_end_handshape_annotations//test_auto_move//signs_mov_separ_signers/Naomi_735.mov","MOV")</f>
        <v>21</v>
      </c>
    </row>
    <row r="3490" s="2" customFormat="1" ht="13.5" customHeight="1">
      <c r="B3490" s="13"/>
      <c r="C3490" t="s" s="9">
        <v>30</v>
      </c>
      <c r="D3490" t="s" s="8">
        <v>1196</v>
      </c>
      <c r="E3490" t="s" s="9">
        <v>1196</v>
      </c>
      <c r="F3490" t="s" s="10">
        <v>25</v>
      </c>
      <c r="G3490" t="s" s="11">
        <v>73</v>
      </c>
      <c r="H3490" t="s" s="10">
        <v>25</v>
      </c>
      <c r="I3490" t="s" s="11">
        <v>73</v>
      </c>
      <c r="J3490" t="s" s="11">
        <v>20</v>
      </c>
      <c r="K3490" s="15"/>
      <c r="L3490" t="s" s="16">
        <f>HYPERLINK("http://csr.bu.edu/ftp/asl/asllvd/demos/verify_start_end_handshape_annotations//test_auto_move//signs_mov_separ_signers/Brady_735.mov","MOV")</f>
        <v>21</v>
      </c>
      <c r="M3490" t="s" s="10">
        <v>39</v>
      </c>
      <c r="N3490" s="17">
        <v>7</v>
      </c>
      <c r="O3490" s="18">
        <v>3242</v>
      </c>
      <c r="P3490" s="18">
        <v>3269</v>
      </c>
      <c r="Q3490" s="15"/>
      <c r="R3490" t="s" s="16">
        <f>HYPERLINK("http://secrets.rutgers.edu:8080/data/asl-ftp/asllvd/demos/verify_start_end_handshape_annotations//test_auto_move//signs_mov_separ_signers/Brady_735.mov","MOV")</f>
        <v>21</v>
      </c>
    </row>
    <row r="3491" s="2" customFormat="1" ht="13.5" customHeight="1">
      <c r="B3491" t="s" s="8">
        <v>52</v>
      </c>
      <c r="C3491" t="s" s="9">
        <v>53</v>
      </c>
      <c r="D3491" t="s" s="8">
        <v>53</v>
      </c>
      <c r="E3491" t="s" s="9">
        <v>53</v>
      </c>
      <c r="F3491" t="s" s="10">
        <v>53</v>
      </c>
      <c r="G3491" t="s" s="11">
        <v>53</v>
      </c>
      <c r="H3491" t="s" s="10">
        <v>53</v>
      </c>
      <c r="I3491" t="s" s="11">
        <v>53</v>
      </c>
      <c r="J3491" t="s" s="11">
        <v>53</v>
      </c>
      <c r="K3491" t="s" s="12">
        <v>53</v>
      </c>
      <c r="L3491" t="s" s="12">
        <v>53</v>
      </c>
      <c r="M3491" t="s" s="10">
        <v>53</v>
      </c>
      <c r="N3491" t="s" s="11">
        <v>53</v>
      </c>
      <c r="O3491" t="s" s="8">
        <v>53</v>
      </c>
      <c r="P3491" t="s" s="8">
        <v>53</v>
      </c>
      <c r="Q3491" t="s" s="12">
        <v>53</v>
      </c>
      <c r="R3491" t="s" s="12">
        <v>53</v>
      </c>
    </row>
    <row r="3492" s="2" customFormat="1" ht="13.5" customHeight="1">
      <c r="B3492" s="13"/>
      <c r="C3492" t="s" s="9">
        <v>23</v>
      </c>
      <c r="D3492" t="s" s="8">
        <v>1196</v>
      </c>
      <c r="E3492" t="s" s="9">
        <v>1197</v>
      </c>
      <c r="F3492" t="s" s="10">
        <v>25</v>
      </c>
      <c r="G3492" t="s" s="11">
        <v>73</v>
      </c>
      <c r="H3492" t="s" s="10">
        <v>25</v>
      </c>
      <c r="I3492" t="s" s="11">
        <v>73</v>
      </c>
      <c r="J3492" t="s" s="11">
        <v>20</v>
      </c>
      <c r="K3492" t="s" s="16">
        <f>HYPERLINK("http://csr.bu.edu/ftp/asl/asllvd/demos/verify_start_end_handshape_annotations//test_auto_move//signs_mov/16340.mov","MOV")</f>
        <v>21</v>
      </c>
      <c r="L3492" t="s" s="16">
        <f>HYPERLINK("http://csr.bu.edu/ftp/asl/asllvd/demos/verify_start_end_handshape_annotations//test_auto_move//signs_mov_separ_signers/Tyler_16340.mov","MOV")</f>
        <v>21</v>
      </c>
      <c r="M3492" t="s" s="10">
        <v>92</v>
      </c>
      <c r="N3492" s="17">
        <v>4</v>
      </c>
      <c r="O3492" s="18">
        <v>1925</v>
      </c>
      <c r="P3492" s="18">
        <v>1955</v>
      </c>
      <c r="Q3492" t="s" s="16">
        <f>HYPERLINK("http://secrets.rutgers.edu:8080/data/asl-ftp/asllvd/demos/verify_start_end_handshape_annotations//test_auto_move//signs_mov/16340.mov","MOV")</f>
        <v>21</v>
      </c>
      <c r="R3492" t="s" s="16">
        <f>HYPERLINK("http://secrets.rutgers.edu:8080/data/asl-ftp/asllvd/demos/verify_start_end_handshape_annotations//test_auto_move//signs_mov_separ_signers/Tyler_16340.mov","MOV")</f>
        <v>21</v>
      </c>
    </row>
    <row r="3493" s="2" customFormat="1" ht="13.5" customHeight="1">
      <c r="B3493" t="s" s="8">
        <v>1198</v>
      </c>
      <c r="C3493" t="s" s="9">
        <v>14</v>
      </c>
      <c r="D3493" t="s" s="8">
        <v>14</v>
      </c>
      <c r="E3493" t="s" s="9">
        <v>14</v>
      </c>
      <c r="F3493" t="s" s="10">
        <v>14</v>
      </c>
      <c r="G3493" t="s" s="11">
        <v>14</v>
      </c>
      <c r="H3493" t="s" s="10">
        <v>14</v>
      </c>
      <c r="I3493" t="s" s="11">
        <v>14</v>
      </c>
      <c r="J3493" t="s" s="11">
        <v>14</v>
      </c>
      <c r="K3493" t="s" s="12">
        <v>14</v>
      </c>
      <c r="L3493" t="s" s="12">
        <v>14</v>
      </c>
      <c r="M3493" t="s" s="10">
        <v>14</v>
      </c>
      <c r="N3493" t="s" s="11">
        <v>14</v>
      </c>
      <c r="O3493" t="s" s="8">
        <v>14</v>
      </c>
      <c r="P3493" t="s" s="8">
        <v>14</v>
      </c>
      <c r="Q3493" t="s" s="12">
        <v>14</v>
      </c>
      <c r="R3493" t="s" s="12">
        <v>14</v>
      </c>
    </row>
    <row r="3494" s="2" customFormat="1" ht="13.5" customHeight="1">
      <c r="B3494" s="13"/>
      <c r="C3494" t="s" s="9">
        <v>16</v>
      </c>
      <c r="D3494" t="s" s="8">
        <v>1198</v>
      </c>
      <c r="E3494" t="s" s="9">
        <v>1198</v>
      </c>
      <c r="F3494" t="s" s="10">
        <v>185</v>
      </c>
      <c r="G3494" s="14"/>
      <c r="H3494" t="s" s="10">
        <v>185</v>
      </c>
      <c r="I3494" s="14"/>
      <c r="J3494" t="s" s="11">
        <v>20</v>
      </c>
      <c r="K3494" s="15"/>
      <c r="L3494" t="s" s="16">
        <f>HYPERLINK("http://csr.bu.edu/ftp/asl/asllvd/demos/verify_start_end_handshape_annotations//test_auto_move//signs_mov_separ_signers/Liz_736.mov","MOV")</f>
        <v>21</v>
      </c>
      <c r="M3494" t="s" s="10">
        <v>84</v>
      </c>
      <c r="N3494" s="17">
        <v>24</v>
      </c>
      <c r="O3494" s="18">
        <v>2880</v>
      </c>
      <c r="P3494" s="18">
        <v>2910</v>
      </c>
      <c r="Q3494" s="15"/>
      <c r="R3494" t="s" s="16">
        <f>HYPERLINK("http://secrets.rutgers.edu:8080/data/asl-ftp/asllvd/demos/verify_start_end_handshape_annotations//test_auto_move//signs_mov_separ_signers/Liz_736.mov","MOV")</f>
        <v>21</v>
      </c>
    </row>
    <row r="3495" s="2" customFormat="1" ht="13.5" customHeight="1">
      <c r="B3495" s="13"/>
      <c r="C3495" t="s" s="9">
        <v>23</v>
      </c>
      <c r="D3495" t="s" s="8">
        <v>1198</v>
      </c>
      <c r="E3495" t="s" s="9">
        <v>1198</v>
      </c>
      <c r="F3495" t="s" s="10">
        <v>185</v>
      </c>
      <c r="G3495" s="14"/>
      <c r="H3495" t="s" s="10">
        <v>185</v>
      </c>
      <c r="I3495" s="14"/>
      <c r="J3495" t="s" s="11">
        <v>20</v>
      </c>
      <c r="K3495" s="15"/>
      <c r="L3495" t="s" s="16">
        <f>HYPERLINK("http://csr.bu.edu/ftp/asl/asllvd/demos/verify_start_end_handshape_annotations//test_auto_move//signs_mov_separ_signers/Tyler_736.mov","MOV")</f>
        <v>21</v>
      </c>
      <c r="M3495" t="s" s="10">
        <v>92</v>
      </c>
      <c r="N3495" s="17">
        <v>4</v>
      </c>
      <c r="O3495" s="18">
        <v>2215</v>
      </c>
      <c r="P3495" s="18">
        <v>2240</v>
      </c>
      <c r="Q3495" s="15"/>
      <c r="R3495" t="s" s="16">
        <f>HYPERLINK("http://secrets.rutgers.edu:8080/data/asl-ftp/asllvd/demos/verify_start_end_handshape_annotations//test_auto_move//signs_mov_separ_signers/Tyler_736.mov","MOV")</f>
        <v>21</v>
      </c>
    </row>
    <row r="3496" s="2" customFormat="1" ht="13.5" customHeight="1">
      <c r="B3496" s="13"/>
      <c r="C3496" t="s" s="9">
        <v>27</v>
      </c>
      <c r="D3496" t="s" s="8">
        <v>1198</v>
      </c>
      <c r="E3496" t="s" s="9">
        <v>1198</v>
      </c>
      <c r="F3496" t="s" s="10">
        <v>185</v>
      </c>
      <c r="G3496" s="14"/>
      <c r="H3496" t="s" s="10">
        <v>185</v>
      </c>
      <c r="I3496" s="14"/>
      <c r="J3496" t="s" s="11">
        <v>20</v>
      </c>
      <c r="K3496" t="s" s="16">
        <f>HYPERLINK("http://csr.bu.edu/ftp/asl/asllvd/demos/verify_start_end_handshape_annotations//test_auto_move//signs_mov/736.mov","MOV")</f>
        <v>21</v>
      </c>
      <c r="L3496" t="s" s="16">
        <f>HYPERLINK("http://csr.bu.edu/ftp/asl/asllvd/demos/verify_start_end_handshape_annotations//test_auto_move//signs_mov_separ_signers/Naomi_736.mov","MOV")</f>
        <v>21</v>
      </c>
      <c r="M3496" t="s" s="10">
        <v>86</v>
      </c>
      <c r="N3496" s="17">
        <v>24</v>
      </c>
      <c r="O3496" s="18">
        <v>1520</v>
      </c>
      <c r="P3496" s="18">
        <v>1542</v>
      </c>
      <c r="Q3496" t="s" s="16">
        <f>HYPERLINK("http://secrets.rutgers.edu:8080/data/asl-ftp/asllvd/demos/verify_start_end_handshape_annotations//test_auto_move//signs_mov/736.mov","MOV")</f>
        <v>21</v>
      </c>
      <c r="R3496" t="s" s="16">
        <f>HYPERLINK("http://secrets.rutgers.edu:8080/data/asl-ftp/asllvd/demos/verify_start_end_handshape_annotations//test_auto_move//signs_mov_separ_signers/Naomi_736.mov","MOV")</f>
        <v>21</v>
      </c>
    </row>
    <row r="3497" s="2" customFormat="1" ht="13.5" customHeight="1">
      <c r="B3497" s="13"/>
      <c r="C3497" t="s" s="9">
        <v>30</v>
      </c>
      <c r="D3497" t="s" s="8">
        <v>1198</v>
      </c>
      <c r="E3497" t="s" s="9">
        <v>1198</v>
      </c>
      <c r="F3497" t="s" s="10">
        <v>185</v>
      </c>
      <c r="G3497" s="14"/>
      <c r="H3497" t="s" s="10">
        <v>185</v>
      </c>
      <c r="I3497" s="14"/>
      <c r="J3497" t="s" s="11">
        <v>20</v>
      </c>
      <c r="K3497" s="15"/>
      <c r="L3497" t="s" s="16">
        <f>HYPERLINK("http://csr.bu.edu/ftp/asl/asllvd/demos/verify_start_end_handshape_annotations//test_auto_move//signs_mov_separ_signers/Brady_736.mov","MOV")</f>
        <v>21</v>
      </c>
      <c r="M3497" t="s" s="10">
        <v>39</v>
      </c>
      <c r="N3497" s="17">
        <v>7</v>
      </c>
      <c r="O3497" s="18">
        <v>3617</v>
      </c>
      <c r="P3497" s="18">
        <v>3636</v>
      </c>
      <c r="Q3497" s="15"/>
      <c r="R3497" t="s" s="16">
        <f>HYPERLINK("http://secrets.rutgers.edu:8080/data/asl-ftp/asllvd/demos/verify_start_end_handshape_annotations//test_auto_move//signs_mov_separ_signers/Brady_736.mov","MOV")</f>
        <v>21</v>
      </c>
    </row>
    <row r="3498" s="2" customFormat="1" ht="13.5" customHeight="1">
      <c r="B3498" s="13"/>
      <c r="C3498" t="s" s="9">
        <v>41</v>
      </c>
      <c r="D3498" t="s" s="8">
        <v>1198</v>
      </c>
      <c r="E3498" t="s" s="9">
        <v>1198</v>
      </c>
      <c r="F3498" t="s" s="10">
        <v>185</v>
      </c>
      <c r="G3498" s="14"/>
      <c r="H3498" t="s" s="10">
        <v>185</v>
      </c>
      <c r="I3498" s="14"/>
      <c r="J3498" t="s" s="11">
        <v>20</v>
      </c>
      <c r="K3498" s="15"/>
      <c r="L3498" t="s" s="16">
        <f>HYPERLINK("http://csr.bu.edu/ftp/asl/asllvd/demos/verify_start_end_handshape_annotations//test_auto_move//signs_mov_separ_signers/Lana_736.mov","MOV")</f>
        <v>21</v>
      </c>
      <c r="M3498" t="s" s="10">
        <v>42</v>
      </c>
      <c r="N3498" s="17">
        <v>7</v>
      </c>
      <c r="O3498" s="18">
        <v>2397</v>
      </c>
      <c r="P3498" s="18">
        <v>2405</v>
      </c>
      <c r="Q3498" s="15"/>
      <c r="R3498" t="s" s="16">
        <f>HYPERLINK("http://secrets.rutgers.edu:8080/data/asl-ftp/asllvd/demos/verify_start_end_handshape_annotations//test_auto_move//signs_mov_separ_signers/Lana_736.mov","MOV")</f>
        <v>21</v>
      </c>
    </row>
    <row r="3499" s="2" customFormat="1" ht="13.5" customHeight="1">
      <c r="B3499" s="13"/>
      <c r="C3499" t="s" s="9">
        <v>43</v>
      </c>
      <c r="D3499" t="s" s="8">
        <v>1198</v>
      </c>
      <c r="E3499" t="s" s="9">
        <v>1198</v>
      </c>
      <c r="F3499" t="s" s="10">
        <v>185</v>
      </c>
      <c r="G3499" s="14"/>
      <c r="H3499" t="s" s="10">
        <v>185</v>
      </c>
      <c r="I3499" s="14"/>
      <c r="J3499" t="s" s="11">
        <v>20</v>
      </c>
      <c r="K3499" s="15"/>
      <c r="L3499" t="s" s="16">
        <f>HYPERLINK("http://csr.bu.edu/ftp/asl/asllvd/demos/verify_start_end_handshape_annotations//test_auto_move//signs_mov_separ_signers/Dana_736.mov","MOV")</f>
        <v>21</v>
      </c>
      <c r="M3499" t="s" s="10">
        <v>44</v>
      </c>
      <c r="N3499" s="17">
        <v>11</v>
      </c>
      <c r="O3499" s="18">
        <v>2578</v>
      </c>
      <c r="P3499" s="18">
        <v>2622</v>
      </c>
      <c r="Q3499" s="15"/>
      <c r="R3499" t="s" s="16">
        <f>HYPERLINK("http://secrets.rutgers.edu:8080/data/asl-ftp/asllvd/demos/verify_start_end_handshape_annotations//test_auto_move//signs_mov_separ_signers/Dana_736.mov","MOV")</f>
        <v>21</v>
      </c>
    </row>
    <row r="3500" s="2" customFormat="1" ht="13.5" customHeight="1">
      <c r="B3500" t="s" s="8">
        <v>52</v>
      </c>
      <c r="C3500" t="s" s="9">
        <v>53</v>
      </c>
      <c r="D3500" t="s" s="8">
        <v>53</v>
      </c>
      <c r="E3500" t="s" s="9">
        <v>53</v>
      </c>
      <c r="F3500" t="s" s="10">
        <v>53</v>
      </c>
      <c r="G3500" t="s" s="11">
        <v>53</v>
      </c>
      <c r="H3500" t="s" s="10">
        <v>53</v>
      </c>
      <c r="I3500" t="s" s="11">
        <v>53</v>
      </c>
      <c r="J3500" t="s" s="11">
        <v>53</v>
      </c>
      <c r="K3500" t="s" s="12">
        <v>53</v>
      </c>
      <c r="L3500" t="s" s="12">
        <v>53</v>
      </c>
      <c r="M3500" t="s" s="10">
        <v>53</v>
      </c>
      <c r="N3500" t="s" s="11">
        <v>53</v>
      </c>
      <c r="O3500" t="s" s="8">
        <v>53</v>
      </c>
      <c r="P3500" t="s" s="8">
        <v>53</v>
      </c>
      <c r="Q3500" t="s" s="12">
        <v>53</v>
      </c>
      <c r="R3500" t="s" s="12">
        <v>53</v>
      </c>
    </row>
    <row r="3501" s="2" customFormat="1" ht="13.5" customHeight="1">
      <c r="B3501" s="13"/>
      <c r="C3501" t="s" s="9">
        <v>27</v>
      </c>
      <c r="D3501" t="s" s="8">
        <v>1198</v>
      </c>
      <c r="E3501" t="s" s="9">
        <v>1199</v>
      </c>
      <c r="F3501" t="s" s="10">
        <v>136</v>
      </c>
      <c r="G3501" s="14"/>
      <c r="H3501" t="s" s="10">
        <v>136</v>
      </c>
      <c r="I3501" s="14"/>
      <c r="J3501" t="s" s="11">
        <v>20</v>
      </c>
      <c r="K3501" t="s" s="16">
        <f>HYPERLINK("http://csr.bu.edu/ftp/asl/asllvd/demos/verify_start_end_handshape_annotations//test_auto_move//signs_mov/3303.mov","MOV")</f>
        <v>21</v>
      </c>
      <c r="L3501" t="s" s="16">
        <f>HYPERLINK("http://csr.bu.edu/ftp/asl/asllvd/demos/verify_start_end_handshape_annotations//test_auto_move//signs_mov_separ_signers/Naomi_3303.mov","MOV")</f>
        <v>21</v>
      </c>
      <c r="M3501" t="s" s="10">
        <v>29</v>
      </c>
      <c r="N3501" s="17">
        <v>8</v>
      </c>
      <c r="O3501" s="18">
        <v>928</v>
      </c>
      <c r="P3501" s="18">
        <v>955</v>
      </c>
      <c r="Q3501" t="s" s="16">
        <f>HYPERLINK("http://secrets.rutgers.edu:8080/data/asl-ftp/asllvd/demos/verify_start_end_handshape_annotations//test_auto_move//signs_mov/3303.mov","MOV")</f>
        <v>21</v>
      </c>
      <c r="R3501" t="s" s="16">
        <f>HYPERLINK("http://secrets.rutgers.edu:8080/data/asl-ftp/asllvd/demos/verify_start_end_handshape_annotations//test_auto_move//signs_mov_separ_signers/Naomi_3303.mov","MOV")</f>
        <v>21</v>
      </c>
    </row>
    <row r="3502" s="2" customFormat="1" ht="13.5" customHeight="1">
      <c r="B3502" t="s" s="8">
        <v>52</v>
      </c>
      <c r="C3502" t="s" s="9">
        <v>53</v>
      </c>
      <c r="D3502" t="s" s="8">
        <v>53</v>
      </c>
      <c r="E3502" t="s" s="9">
        <v>53</v>
      </c>
      <c r="F3502" t="s" s="10">
        <v>53</v>
      </c>
      <c r="G3502" t="s" s="11">
        <v>53</v>
      </c>
      <c r="H3502" t="s" s="10">
        <v>53</v>
      </c>
      <c r="I3502" t="s" s="11">
        <v>53</v>
      </c>
      <c r="J3502" t="s" s="11">
        <v>53</v>
      </c>
      <c r="K3502" t="s" s="12">
        <v>53</v>
      </c>
      <c r="L3502" t="s" s="12">
        <v>53</v>
      </c>
      <c r="M3502" t="s" s="10">
        <v>53</v>
      </c>
      <c r="N3502" t="s" s="11">
        <v>53</v>
      </c>
      <c r="O3502" t="s" s="8">
        <v>53</v>
      </c>
      <c r="P3502" t="s" s="8">
        <v>53</v>
      </c>
      <c r="Q3502" t="s" s="12">
        <v>53</v>
      </c>
      <c r="R3502" t="s" s="12">
        <v>53</v>
      </c>
    </row>
    <row r="3503" s="2" customFormat="1" ht="13.5" customHeight="1">
      <c r="B3503" s="13"/>
      <c r="C3503" t="s" s="9">
        <v>16</v>
      </c>
      <c r="D3503" t="s" s="8">
        <v>1198</v>
      </c>
      <c r="E3503" t="s" s="9">
        <v>1200</v>
      </c>
      <c r="F3503" t="s" s="10">
        <v>18</v>
      </c>
      <c r="G3503" s="14"/>
      <c r="H3503" t="s" s="10">
        <v>18</v>
      </c>
      <c r="I3503" s="14"/>
      <c r="J3503" t="s" s="11">
        <v>20</v>
      </c>
      <c r="K3503" s="15"/>
      <c r="L3503" t="s" s="16">
        <f>HYPERLINK("http://csr.bu.edu/ftp/asl/asllvd/demos/verify_start_end_handshape_annotations//test_auto_move//signs_mov_separ_signers/Liz_15151.mov","MOV")</f>
        <v>21</v>
      </c>
      <c r="M3503" t="s" s="10">
        <v>22</v>
      </c>
      <c r="N3503" s="17">
        <v>81</v>
      </c>
      <c r="O3503" s="18">
        <v>2260</v>
      </c>
      <c r="P3503" s="18">
        <v>2301</v>
      </c>
      <c r="Q3503" s="15"/>
      <c r="R3503" t="s" s="16">
        <f>HYPERLINK("http://secrets.rutgers.edu:8080/data/asl-ftp/asllvd/demos/verify_start_end_handshape_annotations//test_auto_move//signs_mov_separ_signers/Liz_15151.mov","MOV")</f>
        <v>21</v>
      </c>
    </row>
    <row r="3504" s="2" customFormat="1" ht="13.5" customHeight="1">
      <c r="B3504" s="13"/>
      <c r="C3504" t="s" s="9">
        <v>23</v>
      </c>
      <c r="D3504" t="s" s="8">
        <v>1198</v>
      </c>
      <c r="E3504" t="s" s="9">
        <v>1201</v>
      </c>
      <c r="F3504" t="s" s="10">
        <v>18</v>
      </c>
      <c r="G3504" s="14"/>
      <c r="H3504" t="s" s="10">
        <v>18</v>
      </c>
      <c r="I3504" s="14"/>
      <c r="J3504" t="s" s="11">
        <v>20</v>
      </c>
      <c r="K3504" t="s" s="16">
        <f>HYPERLINK("http://csr.bu.edu/ftp/asl/asllvd/demos/verify_start_end_handshape_annotations//test_auto_move//signs_mov/15151.mov","MOV")</f>
        <v>21</v>
      </c>
      <c r="L3504" t="s" s="16">
        <f>HYPERLINK("http://csr.bu.edu/ftp/asl/asllvd/demos/verify_start_end_handshape_annotations//test_auto_move//signs_mov_separ_signers/Tyler_15151.mov","MOV")</f>
        <v>21</v>
      </c>
      <c r="M3504" t="s" s="10">
        <v>26</v>
      </c>
      <c r="N3504" s="17">
        <v>49</v>
      </c>
      <c r="O3504" s="18">
        <v>215</v>
      </c>
      <c r="P3504" s="18">
        <v>242</v>
      </c>
      <c r="Q3504" t="s" s="16">
        <f>HYPERLINK("http://secrets.rutgers.edu:8080/data/asl-ftp/asllvd/demos/verify_start_end_handshape_annotations//test_auto_move//signs_mov/15151.mov","MOV")</f>
        <v>21</v>
      </c>
      <c r="R3504" t="s" s="16">
        <f>HYPERLINK("http://secrets.rutgers.edu:8080/data/asl-ftp/asllvd/demos/verify_start_end_handshape_annotations//test_auto_move//signs_mov_separ_signers/Tyler_15151.mov","MOV")</f>
        <v>21</v>
      </c>
    </row>
    <row r="3505" s="2" customFormat="1" ht="13.5" customHeight="1">
      <c r="B3505" s="13"/>
      <c r="C3505" t="s" s="9">
        <v>27</v>
      </c>
      <c r="D3505" t="s" s="8">
        <v>1198</v>
      </c>
      <c r="E3505" t="s" s="9">
        <v>1200</v>
      </c>
      <c r="F3505" t="s" s="10">
        <v>18</v>
      </c>
      <c r="G3505" s="14"/>
      <c r="H3505" t="s" s="10">
        <v>18</v>
      </c>
      <c r="I3505" s="14"/>
      <c r="J3505" t="s" s="11">
        <v>20</v>
      </c>
      <c r="K3505" s="15"/>
      <c r="L3505" t="s" s="16">
        <f>HYPERLINK("http://csr.bu.edu/ftp/asl/asllvd/demos/verify_start_end_handshape_annotations//test_auto_move//signs_mov_separ_signers/Naomi_15151.mov","MOV")</f>
        <v>21</v>
      </c>
      <c r="M3505" t="s" s="10">
        <v>29</v>
      </c>
      <c r="N3505" s="17">
        <v>51</v>
      </c>
      <c r="O3505" s="18">
        <v>220</v>
      </c>
      <c r="P3505" s="18">
        <v>247</v>
      </c>
      <c r="Q3505" s="15"/>
      <c r="R3505" t="s" s="16">
        <f>HYPERLINK("http://secrets.rutgers.edu:8080/data/asl-ftp/asllvd/demos/verify_start_end_handshape_annotations//test_auto_move//signs_mov_separ_signers/Naomi_15151.mov","MOV")</f>
        <v>21</v>
      </c>
    </row>
    <row r="3506" s="2" customFormat="1" ht="13.5" customHeight="1">
      <c r="B3506" s="13"/>
      <c r="C3506" t="s" s="9">
        <v>30</v>
      </c>
      <c r="D3506" t="s" s="8">
        <v>1198</v>
      </c>
      <c r="E3506" t="s" s="9">
        <v>1201</v>
      </c>
      <c r="F3506" t="s" s="10">
        <v>292</v>
      </c>
      <c r="G3506" s="14"/>
      <c r="H3506" t="s" s="10">
        <v>292</v>
      </c>
      <c r="I3506" s="14"/>
      <c r="J3506" t="s" s="11">
        <v>20</v>
      </c>
      <c r="K3506" s="15"/>
      <c r="L3506" t="s" s="16">
        <f>HYPERLINK("http://csr.bu.edu/ftp/asl/asllvd/demos/verify_start_end_handshape_annotations//test_auto_move//signs_mov_separ_signers/Brady_15151.mov","MOV")</f>
        <v>21</v>
      </c>
      <c r="M3506" t="s" s="10">
        <v>31</v>
      </c>
      <c r="N3506" s="17">
        <v>28</v>
      </c>
      <c r="O3506" s="18">
        <v>11115</v>
      </c>
      <c r="P3506" s="18">
        <v>11135</v>
      </c>
      <c r="Q3506" s="15"/>
      <c r="R3506" t="s" s="16">
        <f>HYPERLINK("http://secrets.rutgers.edu:8080/data/asl-ftp/asllvd/demos/verify_start_end_handshape_annotations//test_auto_move//signs_mov_separ_signers/Brady_15151.mov","MOV")</f>
        <v>21</v>
      </c>
    </row>
    <row r="3507" s="2" customFormat="1" ht="13.5" customHeight="1">
      <c r="B3507" t="s" s="8">
        <v>1202</v>
      </c>
      <c r="C3507" t="s" s="9">
        <v>14</v>
      </c>
      <c r="D3507" t="s" s="8">
        <v>14</v>
      </c>
      <c r="E3507" t="s" s="9">
        <v>14</v>
      </c>
      <c r="F3507" t="s" s="10">
        <v>14</v>
      </c>
      <c r="G3507" t="s" s="11">
        <v>14</v>
      </c>
      <c r="H3507" t="s" s="10">
        <v>14</v>
      </c>
      <c r="I3507" t="s" s="11">
        <v>14</v>
      </c>
      <c r="J3507" t="s" s="11">
        <v>14</v>
      </c>
      <c r="K3507" t="s" s="12">
        <v>14</v>
      </c>
      <c r="L3507" t="s" s="12">
        <v>14</v>
      </c>
      <c r="M3507" t="s" s="10">
        <v>14</v>
      </c>
      <c r="N3507" t="s" s="11">
        <v>14</v>
      </c>
      <c r="O3507" t="s" s="8">
        <v>14</v>
      </c>
      <c r="P3507" t="s" s="8">
        <v>14</v>
      </c>
      <c r="Q3507" t="s" s="12">
        <v>14</v>
      </c>
      <c r="R3507" t="s" s="12">
        <v>14</v>
      </c>
    </row>
    <row r="3508" s="2" customFormat="1" ht="13.5" customHeight="1">
      <c r="B3508" s="13"/>
      <c r="C3508" t="s" s="9">
        <v>16</v>
      </c>
      <c r="D3508" t="s" s="8">
        <v>1202</v>
      </c>
      <c r="E3508" t="s" s="9">
        <v>1203</v>
      </c>
      <c r="F3508" t="s" s="10">
        <v>68</v>
      </c>
      <c r="G3508" t="s" s="11">
        <v>109</v>
      </c>
      <c r="H3508" s="19">
        <v>1</v>
      </c>
      <c r="I3508" t="s" s="11">
        <v>109</v>
      </c>
      <c r="J3508" t="s" s="11">
        <v>20</v>
      </c>
      <c r="K3508" s="15"/>
      <c r="L3508" t="s" s="16">
        <f>HYPERLINK("http://csr.bu.edu/ftp/asl/asllvd/demos/verify_start_end_handshape_annotations//test_auto_move//signs_mov_separ_signers/Liz_737.mov","MOV")</f>
        <v>21</v>
      </c>
      <c r="M3508" t="s" s="10">
        <v>84</v>
      </c>
      <c r="N3508" s="17">
        <v>24</v>
      </c>
      <c r="O3508" s="18">
        <v>3135</v>
      </c>
      <c r="P3508" s="18">
        <v>3210</v>
      </c>
      <c r="Q3508" s="15"/>
      <c r="R3508" t="s" s="16">
        <f>HYPERLINK("http://secrets.rutgers.edu:8080/data/asl-ftp/asllvd/demos/verify_start_end_handshape_annotations//test_auto_move//signs_mov_separ_signers/Liz_737.mov","MOV")</f>
        <v>21</v>
      </c>
    </row>
    <row r="3509" s="2" customFormat="1" ht="13.5" customHeight="1">
      <c r="B3509" s="13"/>
      <c r="C3509" t="s" s="9">
        <v>23</v>
      </c>
      <c r="D3509" t="s" s="8">
        <v>1202</v>
      </c>
      <c r="E3509" t="s" s="9">
        <v>1203</v>
      </c>
      <c r="F3509" t="s" s="10">
        <v>68</v>
      </c>
      <c r="G3509" t="s" s="11">
        <v>109</v>
      </c>
      <c r="H3509" s="19">
        <v>1</v>
      </c>
      <c r="I3509" t="s" s="11">
        <v>109</v>
      </c>
      <c r="J3509" t="s" s="11">
        <v>20</v>
      </c>
      <c r="K3509" t="s" s="16">
        <f>HYPERLINK("http://csr.bu.edu/ftp/asl/asllvd/demos/verify_start_end_handshape_annotations//test_auto_move//signs_mov/737.mov","MOV")</f>
        <v>21</v>
      </c>
      <c r="L3509" t="s" s="16">
        <f>HYPERLINK("http://csr.bu.edu/ftp/asl/asllvd/demos/verify_start_end_handshape_annotations//test_auto_move//signs_mov_separ_signers/Tyler_737.mov","MOV")</f>
        <v>21</v>
      </c>
      <c r="M3509" t="s" s="10">
        <v>92</v>
      </c>
      <c r="N3509" s="17">
        <v>5</v>
      </c>
      <c r="O3509" s="18">
        <v>436</v>
      </c>
      <c r="P3509" s="18">
        <v>495</v>
      </c>
      <c r="Q3509" t="s" s="16">
        <f>HYPERLINK("http://secrets.rutgers.edu:8080/data/asl-ftp/asllvd/demos/verify_start_end_handshape_annotations//test_auto_move//signs_mov/737.mov","MOV")</f>
        <v>21</v>
      </c>
      <c r="R3509" t="s" s="16">
        <f>HYPERLINK("http://secrets.rutgers.edu:8080/data/asl-ftp/asllvd/demos/verify_start_end_handshape_annotations//test_auto_move//signs_mov_separ_signers/Tyler_737.mov","MOV")</f>
        <v>21</v>
      </c>
    </row>
    <row r="3510" s="2" customFormat="1" ht="13.5" customHeight="1">
      <c r="B3510" s="13"/>
      <c r="C3510" t="s" s="9">
        <v>27</v>
      </c>
      <c r="D3510" t="s" s="8">
        <v>1202</v>
      </c>
      <c r="E3510" t="s" s="9">
        <v>1203</v>
      </c>
      <c r="F3510" t="s" s="10">
        <v>68</v>
      </c>
      <c r="G3510" t="s" s="11">
        <v>109</v>
      </c>
      <c r="H3510" s="19">
        <v>1</v>
      </c>
      <c r="I3510" t="s" s="11">
        <v>109</v>
      </c>
      <c r="J3510" t="s" s="11">
        <v>20</v>
      </c>
      <c r="K3510" s="15"/>
      <c r="L3510" t="s" s="16">
        <f>HYPERLINK("http://csr.bu.edu/ftp/asl/asllvd/demos/verify_start_end_handshape_annotations//test_auto_move//signs_mov_separ_signers/Naomi_737.mov","MOV")</f>
        <v>21</v>
      </c>
      <c r="M3510" t="s" s="10">
        <v>86</v>
      </c>
      <c r="N3510" s="17">
        <v>24</v>
      </c>
      <c r="O3510" s="18">
        <v>1806</v>
      </c>
      <c r="P3510" s="18">
        <v>1870</v>
      </c>
      <c r="Q3510" s="15"/>
      <c r="R3510" t="s" s="16">
        <f>HYPERLINK("http://secrets.rutgers.edu:8080/data/asl-ftp/asllvd/demos/verify_start_end_handshape_annotations//test_auto_move//signs_mov_separ_signers/Naomi_737.mov","MOV")</f>
        <v>21</v>
      </c>
    </row>
    <row r="3511" s="2" customFormat="1" ht="13.5" customHeight="1">
      <c r="B3511" s="13"/>
      <c r="C3511" t="s" s="9">
        <v>30</v>
      </c>
      <c r="D3511" t="s" s="8">
        <v>1202</v>
      </c>
      <c r="E3511" t="s" s="9">
        <v>1203</v>
      </c>
      <c r="F3511" t="s" s="10">
        <v>68</v>
      </c>
      <c r="G3511" t="s" s="11">
        <v>73</v>
      </c>
      <c r="H3511" s="19">
        <v>1</v>
      </c>
      <c r="I3511" t="s" s="11">
        <v>73</v>
      </c>
      <c r="J3511" t="s" s="11">
        <v>20</v>
      </c>
      <c r="K3511" s="15"/>
      <c r="L3511" t="s" s="16">
        <f>HYPERLINK("http://csr.bu.edu/ftp/asl/asllvd/demos/verify_start_end_handshape_annotations//test_auto_move//signs_mov_separ_signers/Brady_737.mov","MOV")</f>
        <v>21</v>
      </c>
      <c r="M3511" t="s" s="10">
        <v>39</v>
      </c>
      <c r="N3511" s="17">
        <v>7</v>
      </c>
      <c r="O3511" s="18">
        <v>3945</v>
      </c>
      <c r="P3511" s="18">
        <v>3991</v>
      </c>
      <c r="Q3511" s="15"/>
      <c r="R3511" t="s" s="16">
        <f>HYPERLINK("http://secrets.rutgers.edu:8080/data/asl-ftp/asllvd/demos/verify_start_end_handshape_annotations//test_auto_move//signs_mov_separ_signers/Brady_737.mov","MOV")</f>
        <v>21</v>
      </c>
    </row>
    <row r="3512" s="2" customFormat="1" ht="13.5" customHeight="1">
      <c r="B3512" t="s" s="8">
        <v>52</v>
      </c>
      <c r="C3512" t="s" s="9">
        <v>53</v>
      </c>
      <c r="D3512" t="s" s="8">
        <v>53</v>
      </c>
      <c r="E3512" t="s" s="9">
        <v>53</v>
      </c>
      <c r="F3512" t="s" s="10">
        <v>53</v>
      </c>
      <c r="G3512" t="s" s="11">
        <v>53</v>
      </c>
      <c r="H3512" t="s" s="10">
        <v>53</v>
      </c>
      <c r="I3512" t="s" s="11">
        <v>53</v>
      </c>
      <c r="J3512" t="s" s="11">
        <v>53</v>
      </c>
      <c r="K3512" t="s" s="12">
        <v>53</v>
      </c>
      <c r="L3512" t="s" s="12">
        <v>53</v>
      </c>
      <c r="M3512" t="s" s="10">
        <v>53</v>
      </c>
      <c r="N3512" t="s" s="11">
        <v>53</v>
      </c>
      <c r="O3512" t="s" s="8">
        <v>53</v>
      </c>
      <c r="P3512" t="s" s="8">
        <v>53</v>
      </c>
      <c r="Q3512" t="s" s="12">
        <v>53</v>
      </c>
      <c r="R3512" t="s" s="12">
        <v>53</v>
      </c>
    </row>
    <row r="3513" s="2" customFormat="1" ht="13.5" customHeight="1">
      <c r="B3513" s="13"/>
      <c r="C3513" t="s" s="9">
        <v>16</v>
      </c>
      <c r="D3513" t="s" s="8">
        <v>1202</v>
      </c>
      <c r="E3513" t="s" s="9">
        <v>1204</v>
      </c>
      <c r="F3513" t="s" s="10">
        <v>68</v>
      </c>
      <c r="G3513" s="14"/>
      <c r="H3513" s="19">
        <v>1</v>
      </c>
      <c r="I3513" s="14"/>
      <c r="J3513" t="s" s="11">
        <v>20</v>
      </c>
      <c r="K3513" s="15"/>
      <c r="L3513" t="s" s="16">
        <f>HYPERLINK("http://csr.bu.edu/ftp/asl/asllvd/demos/verify_start_end_handshape_annotations//test_auto_move//signs_mov_separ_signers/Liz_3366.mov","MOV")</f>
        <v>21</v>
      </c>
      <c r="M3513" t="s" s="10">
        <v>84</v>
      </c>
      <c r="N3513" s="17">
        <v>25</v>
      </c>
      <c r="O3513" s="18">
        <v>480</v>
      </c>
      <c r="P3513" s="18">
        <v>511</v>
      </c>
      <c r="Q3513" s="15"/>
      <c r="R3513" t="s" s="16">
        <f>HYPERLINK("http://secrets.rutgers.edu:8080/data/asl-ftp/asllvd/demos/verify_start_end_handshape_annotations//test_auto_move//signs_mov_separ_signers/Liz_3366.mov","MOV")</f>
        <v>21</v>
      </c>
    </row>
    <row r="3514" s="2" customFormat="1" ht="13.5" customHeight="1">
      <c r="B3514" s="13"/>
      <c r="C3514" t="s" s="9">
        <v>23</v>
      </c>
      <c r="D3514" t="s" s="8">
        <v>1202</v>
      </c>
      <c r="E3514" t="s" s="9">
        <v>1205</v>
      </c>
      <c r="F3514" t="s" s="10">
        <v>68</v>
      </c>
      <c r="G3514" s="14"/>
      <c r="H3514" s="19">
        <v>1</v>
      </c>
      <c r="I3514" s="14"/>
      <c r="J3514" t="s" s="11">
        <v>20</v>
      </c>
      <c r="K3514" s="15"/>
      <c r="L3514" t="s" s="16">
        <f>HYPERLINK("http://csr.bu.edu/ftp/asl/asllvd/demos/verify_start_end_handshape_annotations//test_auto_move//signs_mov_separ_signers/Tyler_3366.mov","MOV")</f>
        <v>21</v>
      </c>
      <c r="M3514" t="s" s="10">
        <v>92</v>
      </c>
      <c r="N3514" s="17">
        <v>4</v>
      </c>
      <c r="O3514" s="18">
        <v>2470</v>
      </c>
      <c r="P3514" s="18">
        <v>2517</v>
      </c>
      <c r="Q3514" s="15"/>
      <c r="R3514" t="s" s="16">
        <f>HYPERLINK("http://secrets.rutgers.edu:8080/data/asl-ftp/asllvd/demos/verify_start_end_handshape_annotations//test_auto_move//signs_mov_separ_signers/Tyler_3366.mov","MOV")</f>
        <v>21</v>
      </c>
    </row>
    <row r="3515" s="2" customFormat="1" ht="13.5" customHeight="1">
      <c r="B3515" s="13"/>
      <c r="C3515" t="s" s="9">
        <v>27</v>
      </c>
      <c r="D3515" t="s" s="8">
        <v>1202</v>
      </c>
      <c r="E3515" t="s" s="9">
        <v>1204</v>
      </c>
      <c r="F3515" t="s" s="10">
        <v>68</v>
      </c>
      <c r="G3515" s="14"/>
      <c r="H3515" s="19">
        <v>1</v>
      </c>
      <c r="I3515" s="14"/>
      <c r="J3515" t="s" s="11">
        <v>20</v>
      </c>
      <c r="K3515" t="s" s="16">
        <f>HYPERLINK("http://csr.bu.edu/ftp/asl/asllvd/demos/verify_start_end_handshape_annotations//test_auto_move//signs_mov/3366_5644_merged.mov","MOV")</f>
        <v>21</v>
      </c>
      <c r="L3515" t="s" s="16">
        <f>HYPERLINK("http://csr.bu.edu/ftp/asl/asllvd/demos/verify_start_end_handshape_annotations//test_auto_move//signs_mov_separ_signers/Naomi_3366.mov","MOV")</f>
        <v>21</v>
      </c>
      <c r="M3515" t="s" s="10">
        <v>86</v>
      </c>
      <c r="N3515" s="17">
        <v>25</v>
      </c>
      <c r="O3515" s="18">
        <v>275</v>
      </c>
      <c r="P3515" s="18">
        <v>305</v>
      </c>
      <c r="Q3515" t="s" s="16">
        <f>HYPERLINK("http://secrets.rutgers.edu:8080/data/asl-ftp/asllvd/demos/verify_start_end_handshape_annotations//test_auto_move//signs_mov/3366_5644_merged.mov","MOV")</f>
        <v>21</v>
      </c>
      <c r="R3515" t="s" s="16">
        <f>HYPERLINK("http://secrets.rutgers.edu:8080/data/asl-ftp/asllvd/demos/verify_start_end_handshape_annotations//test_auto_move//signs_mov_separ_signers/Naomi_3366.mov","MOV")</f>
        <v>21</v>
      </c>
    </row>
    <row r="3516" s="2" customFormat="1" ht="13.5" customHeight="1">
      <c r="B3516" s="13"/>
      <c r="C3516" t="s" s="9">
        <v>30</v>
      </c>
      <c r="D3516" t="s" s="8">
        <v>1202</v>
      </c>
      <c r="E3516" t="s" s="9">
        <v>1204</v>
      </c>
      <c r="F3516" t="s" s="10">
        <v>68</v>
      </c>
      <c r="G3516" s="14"/>
      <c r="H3516" s="19">
        <v>1</v>
      </c>
      <c r="I3516" s="14"/>
      <c r="J3516" t="s" s="11">
        <v>20</v>
      </c>
      <c r="K3516" s="15"/>
      <c r="L3516" t="s" s="16">
        <f>HYPERLINK("http://csr.bu.edu/ftp/asl/asllvd/demos/verify_start_end_handshape_annotations//test_auto_move//signs_mov_separ_signers/Brady_3366.mov","MOV")</f>
        <v>21</v>
      </c>
      <c r="M3516" t="s" s="10">
        <v>39</v>
      </c>
      <c r="N3516" s="17">
        <v>7</v>
      </c>
      <c r="O3516" s="18">
        <v>5295</v>
      </c>
      <c r="P3516" s="18">
        <v>5323</v>
      </c>
      <c r="Q3516" s="15"/>
      <c r="R3516" t="s" s="16">
        <f>HYPERLINK("http://secrets.rutgers.edu:8080/data/asl-ftp/asllvd/demos/verify_start_end_handshape_annotations//test_auto_move//signs_mov_separ_signers/Brady_3366.mov","MOV")</f>
        <v>21</v>
      </c>
    </row>
    <row r="3517" s="2" customFormat="1" ht="13.5" customHeight="1">
      <c r="B3517" s="13"/>
      <c r="C3517" t="s" s="9">
        <v>30</v>
      </c>
      <c r="D3517" t="s" s="8">
        <v>1202</v>
      </c>
      <c r="E3517" t="s" s="9">
        <v>1204</v>
      </c>
      <c r="F3517" t="s" s="10">
        <v>68</v>
      </c>
      <c r="G3517" s="14"/>
      <c r="H3517" t="s" s="10">
        <v>268</v>
      </c>
      <c r="I3517" s="14"/>
      <c r="J3517" t="s" s="11">
        <v>20</v>
      </c>
      <c r="K3517" s="15"/>
      <c r="L3517" t="s" s="16">
        <f>HYPERLINK("http://csr.bu.edu/ftp/asl/asllvd/demos/verify_start_end_handshape_annotations//test_auto_move//signs_mov_separ_signers/Brady_5644.mov","MOV")</f>
        <v>21</v>
      </c>
      <c r="M3517" t="s" s="10">
        <v>60</v>
      </c>
      <c r="N3517" s="17">
        <v>42</v>
      </c>
      <c r="O3517" s="18">
        <v>1273</v>
      </c>
      <c r="P3517" s="18">
        <v>1290</v>
      </c>
      <c r="Q3517" s="15"/>
      <c r="R3517" t="s" s="16">
        <f>HYPERLINK("http://secrets.rutgers.edu:8080/data/asl-ftp/asllvd/demos/verify_start_end_handshape_annotations//test_auto_move//signs_mov_separ_signers/Brady_5644.mov","MOV")</f>
        <v>21</v>
      </c>
    </row>
    <row r="3518" s="2" customFormat="1" ht="13.5" customHeight="1">
      <c r="B3518" t="s" s="8">
        <v>52</v>
      </c>
      <c r="C3518" t="s" s="9">
        <v>53</v>
      </c>
      <c r="D3518" t="s" s="8">
        <v>53</v>
      </c>
      <c r="E3518" t="s" s="9">
        <v>53</v>
      </c>
      <c r="F3518" t="s" s="10">
        <v>53</v>
      </c>
      <c r="G3518" t="s" s="11">
        <v>53</v>
      </c>
      <c r="H3518" t="s" s="10">
        <v>53</v>
      </c>
      <c r="I3518" t="s" s="11">
        <v>53</v>
      </c>
      <c r="J3518" t="s" s="11">
        <v>53</v>
      </c>
      <c r="K3518" t="s" s="12">
        <v>53</v>
      </c>
      <c r="L3518" t="s" s="12">
        <v>53</v>
      </c>
      <c r="M3518" t="s" s="10">
        <v>53</v>
      </c>
      <c r="N3518" t="s" s="11">
        <v>53</v>
      </c>
      <c r="O3518" t="s" s="8">
        <v>53</v>
      </c>
      <c r="P3518" t="s" s="8">
        <v>53</v>
      </c>
      <c r="Q3518" t="s" s="12">
        <v>53</v>
      </c>
      <c r="R3518" t="s" s="12">
        <v>53</v>
      </c>
    </row>
    <row r="3519" s="2" customFormat="1" ht="13.5" customHeight="1">
      <c r="B3519" s="13"/>
      <c r="C3519" t="s" s="9">
        <v>16</v>
      </c>
      <c r="D3519" t="s" s="8">
        <v>1202</v>
      </c>
      <c r="E3519" t="s" s="9">
        <v>1206</v>
      </c>
      <c r="F3519" t="s" s="10">
        <v>70</v>
      </c>
      <c r="G3519" t="s" s="11">
        <v>68</v>
      </c>
      <c r="H3519" s="19">
        <v>1</v>
      </c>
      <c r="I3519" s="17">
        <v>1</v>
      </c>
      <c r="J3519" t="s" s="11">
        <v>20</v>
      </c>
      <c r="K3519" t="s" s="16">
        <f>HYPERLINK("http://csr.bu.edu/ftp/asl/asllvd/demos/verify_start_end_handshape_annotations//test_auto_move//signs_mov/5925.mov","MOV")</f>
        <v>21</v>
      </c>
      <c r="L3519" t="s" s="16">
        <f>HYPERLINK("http://csr.bu.edu/ftp/asl/asllvd/demos/verify_start_end_handshape_annotations//test_auto_move//signs_mov_separ_signers/Liz_5925.mov","MOV")</f>
        <v>21</v>
      </c>
      <c r="M3519" t="s" s="10">
        <v>36</v>
      </c>
      <c r="N3519" s="17">
        <v>5</v>
      </c>
      <c r="O3519" s="18">
        <v>2526</v>
      </c>
      <c r="P3519" s="18">
        <v>2567</v>
      </c>
      <c r="Q3519" t="s" s="16">
        <f>HYPERLINK("http://secrets.rutgers.edu:8080/data/asl-ftp/asllvd/demos/verify_start_end_handshape_annotations//test_auto_move//signs_mov/5925.mov","MOV")</f>
        <v>21</v>
      </c>
      <c r="R3519" t="s" s="16">
        <f>HYPERLINK("http://secrets.rutgers.edu:8080/data/asl-ftp/asllvd/demos/verify_start_end_handshape_annotations//test_auto_move//signs_mov_separ_signers/Liz_5925.mov","MOV")</f>
        <v>21</v>
      </c>
    </row>
    <row r="3520" s="2" customFormat="1" ht="13.5" customHeight="1">
      <c r="B3520" s="13"/>
      <c r="C3520" t="s" s="9">
        <v>30</v>
      </c>
      <c r="D3520" t="s" s="8">
        <v>1202</v>
      </c>
      <c r="E3520" t="s" s="9">
        <v>1206</v>
      </c>
      <c r="F3520" t="s" s="10">
        <v>68</v>
      </c>
      <c r="G3520" t="s" s="11">
        <v>68</v>
      </c>
      <c r="H3520" s="19">
        <v>1</v>
      </c>
      <c r="I3520" t="s" s="11">
        <v>268</v>
      </c>
      <c r="J3520" t="s" s="11">
        <v>20</v>
      </c>
      <c r="K3520" s="15"/>
      <c r="L3520" t="s" s="16">
        <f>HYPERLINK("http://csr.bu.edu/ftp/asl/asllvd/demos/verify_start_end_handshape_annotations//test_auto_move//signs_mov_separ_signers/Brady_5925.mov","MOV")</f>
        <v>21</v>
      </c>
      <c r="M3520" t="s" s="10">
        <v>40</v>
      </c>
      <c r="N3520" s="17">
        <v>50</v>
      </c>
      <c r="O3520" s="18">
        <v>1600</v>
      </c>
      <c r="P3520" s="18">
        <v>1651</v>
      </c>
      <c r="Q3520" s="15"/>
      <c r="R3520" t="s" s="16">
        <f>HYPERLINK("http://secrets.rutgers.edu:8080/data/asl-ftp/asllvd/demos/verify_start_end_handshape_annotations//test_auto_move//signs_mov_separ_signers/Brady_5925.mov","MOV")</f>
        <v>21</v>
      </c>
    </row>
    <row r="3521" s="2" customFormat="1" ht="13.5" customHeight="1">
      <c r="B3521" t="s" s="8">
        <v>1207</v>
      </c>
      <c r="C3521" t="s" s="9">
        <v>14</v>
      </c>
      <c r="D3521" t="s" s="8">
        <v>14</v>
      </c>
      <c r="E3521" t="s" s="9">
        <v>14</v>
      </c>
      <c r="F3521" t="s" s="10">
        <v>14</v>
      </c>
      <c r="G3521" t="s" s="11">
        <v>14</v>
      </c>
      <c r="H3521" t="s" s="10">
        <v>14</v>
      </c>
      <c r="I3521" t="s" s="11">
        <v>14</v>
      </c>
      <c r="J3521" t="s" s="11">
        <v>14</v>
      </c>
      <c r="K3521" t="s" s="12">
        <v>14</v>
      </c>
      <c r="L3521" t="s" s="12">
        <v>14</v>
      </c>
      <c r="M3521" t="s" s="10">
        <v>14</v>
      </c>
      <c r="N3521" t="s" s="11">
        <v>14</v>
      </c>
      <c r="O3521" t="s" s="8">
        <v>14</v>
      </c>
      <c r="P3521" t="s" s="8">
        <v>14</v>
      </c>
      <c r="Q3521" t="s" s="12">
        <v>14</v>
      </c>
      <c r="R3521" t="s" s="12">
        <v>14</v>
      </c>
    </row>
    <row r="3522" s="2" customFormat="1" ht="13.5" customHeight="1">
      <c r="B3522" s="13"/>
      <c r="C3522" t="s" s="9">
        <v>16</v>
      </c>
      <c r="D3522" t="s" s="8">
        <v>1207</v>
      </c>
      <c r="E3522" t="s" s="9">
        <v>1207</v>
      </c>
      <c r="F3522" t="s" s="10">
        <v>68</v>
      </c>
      <c r="G3522" t="s" s="11">
        <v>68</v>
      </c>
      <c r="H3522" s="19">
        <v>5</v>
      </c>
      <c r="I3522" s="17">
        <v>5</v>
      </c>
      <c r="J3522" t="s" s="11">
        <v>20</v>
      </c>
      <c r="K3522" s="15"/>
      <c r="L3522" t="s" s="16">
        <f>HYPERLINK("http://csr.bu.edu/ftp/asl/asllvd/demos/verify_start_end_handshape_annotations//test_auto_move//signs_mov_separ_signers/Liz_740.mov","MOV")</f>
        <v>21</v>
      </c>
      <c r="M3522" t="s" s="10">
        <v>84</v>
      </c>
      <c r="N3522" s="17">
        <v>25</v>
      </c>
      <c r="O3522" s="18">
        <v>285</v>
      </c>
      <c r="P3522" s="18">
        <v>310</v>
      </c>
      <c r="Q3522" s="15"/>
      <c r="R3522" t="s" s="16">
        <f>HYPERLINK("http://secrets.rutgers.edu:8080/data/asl-ftp/asllvd/demos/verify_start_end_handshape_annotations//test_auto_move//signs_mov_separ_signers/Liz_740.mov","MOV")</f>
        <v>21</v>
      </c>
    </row>
    <row r="3523" s="2" customFormat="1" ht="13.5" customHeight="1">
      <c r="B3523" s="13"/>
      <c r="C3523" t="s" s="9">
        <v>16</v>
      </c>
      <c r="D3523" t="s" s="8">
        <v>1207</v>
      </c>
      <c r="E3523" t="s" s="9">
        <v>1207</v>
      </c>
      <c r="F3523" t="s" s="10">
        <v>119</v>
      </c>
      <c r="G3523" t="s" s="11">
        <v>119</v>
      </c>
      <c r="H3523" s="19">
        <v>5</v>
      </c>
      <c r="I3523" s="17">
        <v>5</v>
      </c>
      <c r="J3523" t="s" s="11">
        <v>20</v>
      </c>
      <c r="K3523" s="15"/>
      <c r="L3523" t="s" s="16">
        <f>HYPERLINK("http://csr.bu.edu/ftp/asl/asllvd/demos/verify_start_end_handshape_annotations//test_auto_move//signs_mov_separ_signers/Liz_5168.mov","MOV")</f>
        <v>21</v>
      </c>
      <c r="M3523" t="s" s="10">
        <v>36</v>
      </c>
      <c r="N3523" s="17">
        <v>3</v>
      </c>
      <c r="O3523" s="18">
        <v>715</v>
      </c>
      <c r="P3523" s="18">
        <v>770</v>
      </c>
      <c r="Q3523" s="15"/>
      <c r="R3523" t="s" s="16">
        <f>HYPERLINK("http://secrets.rutgers.edu:8080/data/asl-ftp/asllvd/demos/verify_start_end_handshape_annotations//test_auto_move//signs_mov_separ_signers/Liz_5168.mov","MOV")</f>
        <v>21</v>
      </c>
    </row>
    <row r="3524" s="2" customFormat="1" ht="13.5" customHeight="1">
      <c r="B3524" s="13"/>
      <c r="C3524" t="s" s="9">
        <v>27</v>
      </c>
      <c r="D3524" t="s" s="8">
        <v>1207</v>
      </c>
      <c r="E3524" t="s" s="9">
        <v>1207</v>
      </c>
      <c r="F3524" t="s" s="10">
        <v>68</v>
      </c>
      <c r="G3524" t="s" s="11">
        <v>68</v>
      </c>
      <c r="H3524" s="19">
        <v>5</v>
      </c>
      <c r="I3524" s="17">
        <v>5</v>
      </c>
      <c r="J3524" t="s" s="11">
        <v>20</v>
      </c>
      <c r="K3524" t="s" s="16">
        <f>HYPERLINK("http://csr.bu.edu/ftp/asl/asllvd/demos/verify_start_end_handshape_annotations//test_auto_move//signs_mov/740_5168_15030_merged.mov","MOV")</f>
        <v>21</v>
      </c>
      <c r="L3524" t="s" s="16">
        <f>HYPERLINK("http://csr.bu.edu/ftp/asl/asllvd/demos/verify_start_end_handshape_annotations//test_auto_move//signs_mov_separ_signers/Naomi_740.mov","MOV")</f>
        <v>21</v>
      </c>
      <c r="M3524" t="s" s="10">
        <v>86</v>
      </c>
      <c r="N3524" s="17">
        <v>24</v>
      </c>
      <c r="O3524" s="18">
        <v>2740</v>
      </c>
      <c r="P3524" s="18">
        <v>2755</v>
      </c>
      <c r="Q3524" t="s" s="16">
        <f>HYPERLINK("http://secrets.rutgers.edu:8080/data/asl-ftp/asllvd/demos/verify_start_end_handshape_annotations//test_auto_move//signs_mov/740_5168_15030_merged.mov","MOV")</f>
        <v>21</v>
      </c>
      <c r="R3524" t="s" s="16">
        <f>HYPERLINK("http://secrets.rutgers.edu:8080/data/asl-ftp/asllvd/demos/verify_start_end_handshape_annotations//test_auto_move//signs_mov_separ_signers/Naomi_740.mov","MOV")</f>
        <v>21</v>
      </c>
    </row>
    <row r="3525" s="2" customFormat="1" ht="13.5" customHeight="1">
      <c r="B3525" s="13"/>
      <c r="C3525" t="s" s="9">
        <v>30</v>
      </c>
      <c r="D3525" t="s" s="8">
        <v>1207</v>
      </c>
      <c r="E3525" t="s" s="9">
        <v>1207</v>
      </c>
      <c r="F3525" t="s" s="10">
        <v>68</v>
      </c>
      <c r="G3525" t="s" s="11">
        <v>68</v>
      </c>
      <c r="H3525" s="19">
        <v>5</v>
      </c>
      <c r="I3525" s="17">
        <v>5</v>
      </c>
      <c r="J3525" t="s" s="11">
        <v>20</v>
      </c>
      <c r="K3525" s="15"/>
      <c r="L3525" t="s" s="16">
        <f>HYPERLINK("http://csr.bu.edu/ftp/asl/asllvd/demos/verify_start_end_handshape_annotations//test_auto_move//signs_mov_separ_signers/Brady_740.mov","MOV")</f>
        <v>21</v>
      </c>
      <c r="M3525" t="s" s="10">
        <v>39</v>
      </c>
      <c r="N3525" s="17">
        <v>7</v>
      </c>
      <c r="O3525" s="18">
        <v>5017</v>
      </c>
      <c r="P3525" s="18">
        <v>5037</v>
      </c>
      <c r="Q3525" s="15"/>
      <c r="R3525" t="s" s="16">
        <f>HYPERLINK("http://secrets.rutgers.edu:8080/data/asl-ftp/asllvd/demos/verify_start_end_handshape_annotations//test_auto_move//signs_mov_separ_signers/Brady_740.mov","MOV")</f>
        <v>21</v>
      </c>
    </row>
    <row r="3526" s="2" customFormat="1" ht="13.5" customHeight="1">
      <c r="B3526" s="13"/>
      <c r="C3526" t="s" s="9">
        <v>30</v>
      </c>
      <c r="D3526" t="s" s="8">
        <v>1207</v>
      </c>
      <c r="E3526" t="s" s="9">
        <v>1207</v>
      </c>
      <c r="F3526" t="s" s="10">
        <v>119</v>
      </c>
      <c r="G3526" t="s" s="11">
        <v>119</v>
      </c>
      <c r="H3526" s="19">
        <v>5</v>
      </c>
      <c r="I3526" s="17">
        <v>5</v>
      </c>
      <c r="J3526" t="s" s="11">
        <v>20</v>
      </c>
      <c r="K3526" s="15"/>
      <c r="L3526" t="s" s="16">
        <f>HYPERLINK("http://csr.bu.edu/ftp/asl/asllvd/demos/verify_start_end_handshape_annotations//test_auto_move//signs_mov_separ_signers/Brady_5168.mov","MOV")</f>
        <v>21</v>
      </c>
      <c r="M3526" t="s" s="10">
        <v>40</v>
      </c>
      <c r="N3526" s="17">
        <v>47</v>
      </c>
      <c r="O3526" s="18">
        <v>5728</v>
      </c>
      <c r="P3526" s="18">
        <v>5745</v>
      </c>
      <c r="Q3526" s="15"/>
      <c r="R3526" t="s" s="16">
        <f>HYPERLINK("http://secrets.rutgers.edu:8080/data/asl-ftp/asllvd/demos/verify_start_end_handshape_annotations//test_auto_move//signs_mov_separ_signers/Brady_5168.mov","MOV")</f>
        <v>21</v>
      </c>
    </row>
    <row r="3527" s="2" customFormat="1" ht="13.5" customHeight="1">
      <c r="B3527" s="13"/>
      <c r="C3527" t="s" s="9">
        <v>30</v>
      </c>
      <c r="D3527" t="s" s="8">
        <v>1207</v>
      </c>
      <c r="E3527" t="s" s="9">
        <v>1207</v>
      </c>
      <c r="F3527" t="s" s="10">
        <v>68</v>
      </c>
      <c r="G3527" t="s" s="11">
        <v>68</v>
      </c>
      <c r="H3527" s="19">
        <v>5</v>
      </c>
      <c r="I3527" s="17">
        <v>5</v>
      </c>
      <c r="J3527" t="s" s="11">
        <v>20</v>
      </c>
      <c r="K3527" s="15"/>
      <c r="L3527" t="s" s="16">
        <f>HYPERLINK("http://csr.bu.edu/ftp/asl/asllvd/demos/verify_start_end_handshape_annotations//test_auto_move//signs_mov_separ_signers/Brady_15030.mov","MOV")</f>
        <v>21</v>
      </c>
      <c r="M3527" t="s" s="10">
        <v>40</v>
      </c>
      <c r="N3527" s="17">
        <v>47</v>
      </c>
      <c r="O3527" s="18">
        <v>5952</v>
      </c>
      <c r="P3527" s="18">
        <v>5966</v>
      </c>
      <c r="Q3527" s="15"/>
      <c r="R3527" t="s" s="16">
        <f>HYPERLINK("http://secrets.rutgers.edu:8080/data/asl-ftp/asllvd/demos/verify_start_end_handshape_annotations//test_auto_move//signs_mov_separ_signers/Brady_15030.mov","MOV")</f>
        <v>21</v>
      </c>
    </row>
    <row r="3528" s="2" customFormat="1" ht="13.5" customHeight="1">
      <c r="B3528" t="s" s="8">
        <v>52</v>
      </c>
      <c r="C3528" t="s" s="9">
        <v>53</v>
      </c>
      <c r="D3528" t="s" s="8">
        <v>53</v>
      </c>
      <c r="E3528" t="s" s="9">
        <v>53</v>
      </c>
      <c r="F3528" t="s" s="10">
        <v>53</v>
      </c>
      <c r="G3528" t="s" s="11">
        <v>53</v>
      </c>
      <c r="H3528" t="s" s="10">
        <v>53</v>
      </c>
      <c r="I3528" t="s" s="11">
        <v>53</v>
      </c>
      <c r="J3528" t="s" s="11">
        <v>53</v>
      </c>
      <c r="K3528" t="s" s="12">
        <v>53</v>
      </c>
      <c r="L3528" t="s" s="12">
        <v>53</v>
      </c>
      <c r="M3528" t="s" s="10">
        <v>53</v>
      </c>
      <c r="N3528" t="s" s="11">
        <v>53</v>
      </c>
      <c r="O3528" t="s" s="8">
        <v>53</v>
      </c>
      <c r="P3528" t="s" s="8">
        <v>53</v>
      </c>
      <c r="Q3528" t="s" s="12">
        <v>53</v>
      </c>
      <c r="R3528" t="s" s="12">
        <v>53</v>
      </c>
    </row>
    <row r="3529" s="2" customFormat="1" ht="13.5" customHeight="1">
      <c r="B3529" s="13"/>
      <c r="C3529" t="s" s="9">
        <v>23</v>
      </c>
      <c r="D3529" t="s" s="8">
        <v>1207</v>
      </c>
      <c r="E3529" t="s" s="9">
        <v>1208</v>
      </c>
      <c r="F3529" t="s" s="10">
        <v>68</v>
      </c>
      <c r="G3529" s="14"/>
      <c r="H3529" s="19">
        <v>5</v>
      </c>
      <c r="I3529" s="14"/>
      <c r="J3529" t="s" s="11">
        <v>20</v>
      </c>
      <c r="K3529" t="s" s="16">
        <f>HYPERLINK("http://csr.bu.edu/ftp/asl/asllvd/demos/verify_start_end_handshape_annotations//test_auto_move//signs_mov/15045.mov","MOV")</f>
        <v>21</v>
      </c>
      <c r="L3529" t="s" s="16">
        <f>HYPERLINK("http://csr.bu.edu/ftp/asl/asllvd/demos/verify_start_end_handshape_annotations//test_auto_move//signs_mov_separ_signers/Tyler_15045.mov","MOV")</f>
        <v>21</v>
      </c>
      <c r="M3529" t="s" s="10">
        <v>92</v>
      </c>
      <c r="N3529" s="17">
        <v>4</v>
      </c>
      <c r="O3529" s="18">
        <v>3775</v>
      </c>
      <c r="P3529" s="18">
        <v>3805</v>
      </c>
      <c r="Q3529" t="s" s="16">
        <f>HYPERLINK("http://secrets.rutgers.edu:8080/data/asl-ftp/asllvd/demos/verify_start_end_handshape_annotations//test_auto_move//signs_mov/15045.mov","MOV")</f>
        <v>21</v>
      </c>
      <c r="R3529" t="s" s="16">
        <f>HYPERLINK("http://secrets.rutgers.edu:8080/data/asl-ftp/asllvd/demos/verify_start_end_handshape_annotations//test_auto_move//signs_mov_separ_signers/Tyler_15045.mov","MOV")</f>
        <v>21</v>
      </c>
    </row>
    <row r="3530" s="2" customFormat="1" ht="13.5" customHeight="1">
      <c r="B3530" t="s" s="8">
        <v>1209</v>
      </c>
      <c r="C3530" t="s" s="9">
        <v>14</v>
      </c>
      <c r="D3530" t="s" s="8">
        <v>14</v>
      </c>
      <c r="E3530" t="s" s="9">
        <v>14</v>
      </c>
      <c r="F3530" t="s" s="10">
        <v>14</v>
      </c>
      <c r="G3530" t="s" s="11">
        <v>14</v>
      </c>
      <c r="H3530" t="s" s="10">
        <v>14</v>
      </c>
      <c r="I3530" t="s" s="11">
        <v>14</v>
      </c>
      <c r="J3530" t="s" s="11">
        <v>14</v>
      </c>
      <c r="K3530" t="s" s="12">
        <v>14</v>
      </c>
      <c r="L3530" t="s" s="12">
        <v>14</v>
      </c>
      <c r="M3530" t="s" s="10">
        <v>14</v>
      </c>
      <c r="N3530" t="s" s="11">
        <v>14</v>
      </c>
      <c r="O3530" t="s" s="8">
        <v>14</v>
      </c>
      <c r="P3530" t="s" s="8">
        <v>14</v>
      </c>
      <c r="Q3530" t="s" s="12">
        <v>14</v>
      </c>
      <c r="R3530" t="s" s="12">
        <v>14</v>
      </c>
    </row>
    <row r="3531" s="2" customFormat="1" ht="13.5" customHeight="1">
      <c r="B3531" s="13"/>
      <c r="C3531" t="s" s="9">
        <v>16</v>
      </c>
      <c r="D3531" t="s" s="8">
        <v>1209</v>
      </c>
      <c r="E3531" t="s" s="9">
        <v>1209</v>
      </c>
      <c r="F3531" s="19">
        <v>10</v>
      </c>
      <c r="G3531" t="s" s="11">
        <v>73</v>
      </c>
      <c r="H3531" s="19">
        <v>10</v>
      </c>
      <c r="I3531" t="s" s="11">
        <v>73</v>
      </c>
      <c r="J3531" t="s" s="11">
        <v>20</v>
      </c>
      <c r="K3531" s="15"/>
      <c r="L3531" t="s" s="16">
        <f>HYPERLINK("http://csr.bu.edu/ftp/asl/asllvd/demos/verify_start_end_handshape_annotations//test_auto_move//signs_mov_separ_signers/Liz_742.mov","MOV")</f>
        <v>21</v>
      </c>
      <c r="M3531" t="s" s="10">
        <v>84</v>
      </c>
      <c r="N3531" s="17">
        <v>25</v>
      </c>
      <c r="O3531" s="18">
        <v>955</v>
      </c>
      <c r="P3531" s="18">
        <v>981</v>
      </c>
      <c r="Q3531" s="15"/>
      <c r="R3531" t="s" s="16">
        <f>HYPERLINK("http://secrets.rutgers.edu:8080/data/asl-ftp/asllvd/demos/verify_start_end_handshape_annotations//test_auto_move//signs_mov_separ_signers/Liz_742.mov","MOV")</f>
        <v>21</v>
      </c>
    </row>
    <row r="3532" s="2" customFormat="1" ht="13.5" customHeight="1">
      <c r="B3532" s="13"/>
      <c r="C3532" t="s" s="9">
        <v>23</v>
      </c>
      <c r="D3532" t="s" s="8">
        <v>1209</v>
      </c>
      <c r="E3532" t="s" s="9">
        <v>1209</v>
      </c>
      <c r="F3532" s="19">
        <v>10</v>
      </c>
      <c r="G3532" t="s" s="11">
        <v>73</v>
      </c>
      <c r="H3532" s="19">
        <v>10</v>
      </c>
      <c r="I3532" t="s" s="11">
        <v>73</v>
      </c>
      <c r="J3532" t="s" s="11">
        <v>20</v>
      </c>
      <c r="K3532" t="s" s="16">
        <f>HYPERLINK("http://csr.bu.edu/ftp/asl/asllvd/demos/verify_start_end_handshape_annotations//test_auto_move//signs_mov/742.mov","MOV")</f>
        <v>21</v>
      </c>
      <c r="L3532" t="s" s="16">
        <f>HYPERLINK("http://csr.bu.edu/ftp/asl/asllvd/demos/verify_start_end_handshape_annotations//test_auto_move//signs_mov_separ_signers/Tyler_742.mov","MOV")</f>
        <v>21</v>
      </c>
      <c r="M3532" t="s" s="10">
        <v>92</v>
      </c>
      <c r="N3532" s="17">
        <v>5</v>
      </c>
      <c r="O3532" s="18">
        <v>975</v>
      </c>
      <c r="P3532" s="18">
        <v>1025</v>
      </c>
      <c r="Q3532" t="s" s="16">
        <f>HYPERLINK("http://secrets.rutgers.edu:8080/data/asl-ftp/asllvd/demos/verify_start_end_handshape_annotations//test_auto_move//signs_mov/742.mov","MOV")</f>
        <v>21</v>
      </c>
      <c r="R3532" t="s" s="16">
        <f>HYPERLINK("http://secrets.rutgers.edu:8080/data/asl-ftp/asllvd/demos/verify_start_end_handshape_annotations//test_auto_move//signs_mov_separ_signers/Tyler_742.mov","MOV")</f>
        <v>21</v>
      </c>
    </row>
    <row r="3533" s="2" customFormat="1" ht="13.5" customHeight="1">
      <c r="B3533" s="13"/>
      <c r="C3533" t="s" s="9">
        <v>27</v>
      </c>
      <c r="D3533" t="s" s="8">
        <v>1209</v>
      </c>
      <c r="E3533" t="s" s="9">
        <v>1209</v>
      </c>
      <c r="F3533" s="19">
        <v>10</v>
      </c>
      <c r="G3533" t="s" s="11">
        <v>73</v>
      </c>
      <c r="H3533" s="19">
        <v>10</v>
      </c>
      <c r="I3533" t="s" s="11">
        <v>73</v>
      </c>
      <c r="J3533" t="s" s="11">
        <v>20</v>
      </c>
      <c r="K3533" s="15"/>
      <c r="L3533" t="s" s="16">
        <f>HYPERLINK("http://csr.bu.edu/ftp/asl/asllvd/demos/verify_start_end_handshape_annotations//test_auto_move//signs_mov_separ_signers/Naomi_742.mov","MOV")</f>
        <v>21</v>
      </c>
      <c r="M3533" t="s" s="10">
        <v>86</v>
      </c>
      <c r="N3533" s="17">
        <v>25</v>
      </c>
      <c r="O3533" s="18">
        <v>1195</v>
      </c>
      <c r="P3533" s="18">
        <v>1235</v>
      </c>
      <c r="Q3533" s="15"/>
      <c r="R3533" t="s" s="16">
        <f>HYPERLINK("http://secrets.rutgers.edu:8080/data/asl-ftp/asllvd/demos/verify_start_end_handshape_annotations//test_auto_move//signs_mov_separ_signers/Naomi_742.mov","MOV")</f>
        <v>21</v>
      </c>
    </row>
    <row r="3534" s="2" customFormat="1" ht="13.5" customHeight="1">
      <c r="B3534" s="13"/>
      <c r="C3534" t="s" s="9">
        <v>30</v>
      </c>
      <c r="D3534" t="s" s="8">
        <v>1209</v>
      </c>
      <c r="E3534" t="s" s="9">
        <v>1209</v>
      </c>
      <c r="F3534" s="19">
        <v>10</v>
      </c>
      <c r="G3534" t="s" s="11">
        <v>73</v>
      </c>
      <c r="H3534" s="19">
        <v>10</v>
      </c>
      <c r="I3534" t="s" s="11">
        <v>73</v>
      </c>
      <c r="J3534" t="s" s="11">
        <v>20</v>
      </c>
      <c r="K3534" s="15"/>
      <c r="L3534" t="s" s="16">
        <f>HYPERLINK("http://csr.bu.edu/ftp/asl/asllvd/demos/verify_start_end_handshape_annotations//test_auto_move//signs_mov_separ_signers/Brady_742.mov","MOV")</f>
        <v>21</v>
      </c>
      <c r="M3534" t="s" s="10">
        <v>39</v>
      </c>
      <c r="N3534" s="17">
        <v>7</v>
      </c>
      <c r="O3534" s="18">
        <v>5653</v>
      </c>
      <c r="P3534" s="18">
        <v>5671</v>
      </c>
      <c r="Q3534" s="15"/>
      <c r="R3534" t="s" s="16">
        <f>HYPERLINK("http://secrets.rutgers.edu:8080/data/asl-ftp/asllvd/demos/verify_start_end_handshape_annotations//test_auto_move//signs_mov_separ_signers/Brady_742.mov","MOV")</f>
        <v>21</v>
      </c>
    </row>
    <row r="3535" s="2" customFormat="1" ht="13.5" customHeight="1">
      <c r="B3535" t="s" s="8">
        <v>52</v>
      </c>
      <c r="C3535" t="s" s="9">
        <v>53</v>
      </c>
      <c r="D3535" t="s" s="8">
        <v>53</v>
      </c>
      <c r="E3535" t="s" s="9">
        <v>53</v>
      </c>
      <c r="F3535" t="s" s="10">
        <v>53</v>
      </c>
      <c r="G3535" t="s" s="11">
        <v>53</v>
      </c>
      <c r="H3535" t="s" s="10">
        <v>53</v>
      </c>
      <c r="I3535" t="s" s="11">
        <v>53</v>
      </c>
      <c r="J3535" t="s" s="11">
        <v>53</v>
      </c>
      <c r="K3535" t="s" s="12">
        <v>53</v>
      </c>
      <c r="L3535" t="s" s="12">
        <v>53</v>
      </c>
      <c r="M3535" t="s" s="10">
        <v>53</v>
      </c>
      <c r="N3535" t="s" s="11">
        <v>53</v>
      </c>
      <c r="O3535" t="s" s="8">
        <v>53</v>
      </c>
      <c r="P3535" t="s" s="8">
        <v>53</v>
      </c>
      <c r="Q3535" t="s" s="12">
        <v>53</v>
      </c>
      <c r="R3535" t="s" s="12">
        <v>53</v>
      </c>
    </row>
    <row r="3536" s="2" customFormat="1" ht="13.5" customHeight="1">
      <c r="B3536" s="13"/>
      <c r="C3536" t="s" s="9">
        <v>16</v>
      </c>
      <c r="D3536" t="s" s="8">
        <v>1209</v>
      </c>
      <c r="E3536" t="s" s="9">
        <v>1210</v>
      </c>
      <c r="F3536" t="s" s="10">
        <v>229</v>
      </c>
      <c r="G3536" s="17">
        <v>5</v>
      </c>
      <c r="H3536" t="s" s="10">
        <v>229</v>
      </c>
      <c r="I3536" s="17">
        <v>5</v>
      </c>
      <c r="J3536" t="s" s="11">
        <v>20</v>
      </c>
      <c r="K3536" t="s" s="16">
        <f>HYPERLINK("http://csr.bu.edu/ftp/asl/asllvd/demos/verify_start_end_handshape_annotations//test_auto_move//signs_mov/3619.mov","MOV")</f>
        <v>21</v>
      </c>
      <c r="L3536" t="s" s="16">
        <f>HYPERLINK("http://csr.bu.edu/ftp/asl/asllvd/demos/verify_start_end_handshape_annotations//test_auto_move//signs_mov_separ_signers/Liz_3619.mov","MOV")</f>
        <v>21</v>
      </c>
      <c r="M3536" t="s" s="10">
        <v>84</v>
      </c>
      <c r="N3536" s="17">
        <v>25</v>
      </c>
      <c r="O3536" s="18">
        <v>685</v>
      </c>
      <c r="P3536" s="18">
        <v>726</v>
      </c>
      <c r="Q3536" t="s" s="16">
        <f>HYPERLINK("http://secrets.rutgers.edu:8080/data/asl-ftp/asllvd/demos/verify_start_end_handshape_annotations//test_auto_move//signs_mov/3619.mov","MOV")</f>
        <v>21</v>
      </c>
      <c r="R3536" t="s" s="16">
        <f>HYPERLINK("http://secrets.rutgers.edu:8080/data/asl-ftp/asllvd/demos/verify_start_end_handshape_annotations//test_auto_move//signs_mov_separ_signers/Liz_3619.mov","MOV")</f>
        <v>21</v>
      </c>
    </row>
    <row r="3537" s="2" customFormat="1" ht="13.5" customHeight="1">
      <c r="B3537" s="13"/>
      <c r="C3537" t="s" s="9">
        <v>27</v>
      </c>
      <c r="D3537" t="s" s="8">
        <v>1209</v>
      </c>
      <c r="E3537" t="s" s="9">
        <v>1210</v>
      </c>
      <c r="F3537" t="s" s="10">
        <v>229</v>
      </c>
      <c r="G3537" s="17">
        <v>5</v>
      </c>
      <c r="H3537" t="s" s="10">
        <v>229</v>
      </c>
      <c r="I3537" s="17">
        <v>5</v>
      </c>
      <c r="J3537" t="s" s="11">
        <v>20</v>
      </c>
      <c r="K3537" s="15"/>
      <c r="L3537" t="s" s="16">
        <f>HYPERLINK("http://csr.bu.edu/ftp/asl/asllvd/demos/verify_start_end_handshape_annotations//test_auto_move//signs_mov_separ_signers/Naomi_3619.mov","MOV")</f>
        <v>21</v>
      </c>
      <c r="M3537" t="s" s="10">
        <v>86</v>
      </c>
      <c r="N3537" s="17">
        <v>25</v>
      </c>
      <c r="O3537" s="18">
        <v>822</v>
      </c>
      <c r="P3537" s="18">
        <v>840</v>
      </c>
      <c r="Q3537" s="15"/>
      <c r="R3537" t="s" s="16">
        <f>HYPERLINK("http://secrets.rutgers.edu:8080/data/asl-ftp/asllvd/demos/verify_start_end_handshape_annotations//test_auto_move//signs_mov_separ_signers/Naomi_3619.mov","MOV")</f>
        <v>21</v>
      </c>
    </row>
    <row r="3538" s="2" customFormat="1" ht="13.5" customHeight="1">
      <c r="B3538" t="s" s="8">
        <v>1211</v>
      </c>
      <c r="C3538" t="s" s="9">
        <v>14</v>
      </c>
      <c r="D3538" t="s" s="8">
        <v>14</v>
      </c>
      <c r="E3538" t="s" s="9">
        <v>14</v>
      </c>
      <c r="F3538" t="s" s="10">
        <v>14</v>
      </c>
      <c r="G3538" t="s" s="11">
        <v>14</v>
      </c>
      <c r="H3538" t="s" s="10">
        <v>14</v>
      </c>
      <c r="I3538" t="s" s="11">
        <v>14</v>
      </c>
      <c r="J3538" t="s" s="11">
        <v>14</v>
      </c>
      <c r="K3538" t="s" s="12">
        <v>14</v>
      </c>
      <c r="L3538" t="s" s="12">
        <v>14</v>
      </c>
      <c r="M3538" t="s" s="10">
        <v>14</v>
      </c>
      <c r="N3538" t="s" s="11">
        <v>14</v>
      </c>
      <c r="O3538" t="s" s="8">
        <v>14</v>
      </c>
      <c r="P3538" t="s" s="8">
        <v>14</v>
      </c>
      <c r="Q3538" t="s" s="12">
        <v>14</v>
      </c>
      <c r="R3538" t="s" s="12">
        <v>14</v>
      </c>
    </row>
    <row r="3539" s="2" customFormat="1" ht="13.5" customHeight="1">
      <c r="B3539" s="13"/>
      <c r="C3539" t="s" s="9">
        <v>16</v>
      </c>
      <c r="D3539" t="s" s="8">
        <v>1211</v>
      </c>
      <c r="E3539" t="s" s="9">
        <v>1211</v>
      </c>
      <c r="F3539" s="19">
        <v>25</v>
      </c>
      <c r="G3539" t="s" s="11">
        <v>73</v>
      </c>
      <c r="H3539" s="19">
        <v>25</v>
      </c>
      <c r="I3539" t="s" s="11">
        <v>73</v>
      </c>
      <c r="J3539" t="s" s="11">
        <v>20</v>
      </c>
      <c r="K3539" s="15"/>
      <c r="L3539" t="s" s="16">
        <f>HYPERLINK("http://csr.bu.edu/ftp/asl/asllvd/demos/verify_start_end_handshape_annotations//test_auto_move//signs_mov_separ_signers/Liz_745.mov","MOV")</f>
        <v>21</v>
      </c>
      <c r="M3539" t="s" s="10">
        <v>84</v>
      </c>
      <c r="N3539" s="17">
        <v>25</v>
      </c>
      <c r="O3539" s="18">
        <v>1396</v>
      </c>
      <c r="P3539" s="18">
        <v>1467</v>
      </c>
      <c r="Q3539" s="15"/>
      <c r="R3539" t="s" s="16">
        <f>HYPERLINK("http://secrets.rutgers.edu:8080/data/asl-ftp/asllvd/demos/verify_start_end_handshape_annotations//test_auto_move//signs_mov_separ_signers/Liz_745.mov","MOV")</f>
        <v>21</v>
      </c>
    </row>
    <row r="3540" s="2" customFormat="1" ht="13.5" customHeight="1">
      <c r="B3540" s="13"/>
      <c r="C3540" t="s" s="9">
        <v>16</v>
      </c>
      <c r="D3540" t="s" s="8">
        <v>1211</v>
      </c>
      <c r="E3540" t="s" s="9">
        <v>1211</v>
      </c>
      <c r="F3540" s="19">
        <v>25</v>
      </c>
      <c r="G3540" t="s" s="11">
        <v>73</v>
      </c>
      <c r="H3540" s="19">
        <v>25</v>
      </c>
      <c r="I3540" t="s" s="11">
        <v>73</v>
      </c>
      <c r="J3540" t="s" s="11">
        <v>20</v>
      </c>
      <c r="K3540" s="15"/>
      <c r="L3540" t="s" s="16">
        <f>HYPERLINK("http://csr.bu.edu/ftp/asl/asllvd/demos/verify_start_end_handshape_annotations//test_auto_move//signs_mov_separ_signers/Liz_3680.mov","MOV")</f>
        <v>21</v>
      </c>
      <c r="M3540" t="s" s="10">
        <v>88</v>
      </c>
      <c r="N3540" s="17">
        <v>1</v>
      </c>
      <c r="O3540" s="18">
        <v>4470</v>
      </c>
      <c r="P3540" s="18">
        <v>4515</v>
      </c>
      <c r="Q3540" s="15"/>
      <c r="R3540" t="s" s="16">
        <f>HYPERLINK("http://secrets.rutgers.edu:8080/data/asl-ftp/asllvd/demos/verify_start_end_handshape_annotations//test_auto_move//signs_mov_separ_signers/Liz_3680.mov","MOV")</f>
        <v>21</v>
      </c>
    </row>
    <row r="3541" s="2" customFormat="1" ht="13.5" customHeight="1">
      <c r="B3541" s="13"/>
      <c r="C3541" t="s" s="9">
        <v>23</v>
      </c>
      <c r="D3541" t="s" s="8">
        <v>1211</v>
      </c>
      <c r="E3541" t="s" s="9">
        <v>1211</v>
      </c>
      <c r="F3541" s="19">
        <v>25</v>
      </c>
      <c r="G3541" t="s" s="11">
        <v>73</v>
      </c>
      <c r="H3541" s="19">
        <v>25</v>
      </c>
      <c r="I3541" t="s" s="11">
        <v>73</v>
      </c>
      <c r="J3541" t="s" s="11">
        <v>20</v>
      </c>
      <c r="K3541" s="15"/>
      <c r="L3541" t="s" s="16">
        <f>HYPERLINK("http://csr.bu.edu/ftp/asl/asllvd/demos/verify_start_end_handshape_annotations//test_auto_move//signs_mov_separ_signers/Tyler_745.mov","MOV")</f>
        <v>21</v>
      </c>
      <c r="M3541" t="s" s="10">
        <v>92</v>
      </c>
      <c r="N3541" s="17">
        <v>5</v>
      </c>
      <c r="O3541" s="18">
        <v>2300</v>
      </c>
      <c r="P3541" s="18">
        <v>2340</v>
      </c>
      <c r="Q3541" s="15"/>
      <c r="R3541" t="s" s="16">
        <f>HYPERLINK("http://secrets.rutgers.edu:8080/data/asl-ftp/asllvd/demos/verify_start_end_handshape_annotations//test_auto_move//signs_mov_separ_signers/Tyler_745.mov","MOV")</f>
        <v>21</v>
      </c>
    </row>
    <row r="3542" s="2" customFormat="1" ht="13.5" customHeight="1">
      <c r="B3542" s="13"/>
      <c r="C3542" t="s" s="9">
        <v>23</v>
      </c>
      <c r="D3542" t="s" s="8">
        <v>1211</v>
      </c>
      <c r="E3542" t="s" s="9">
        <v>1211</v>
      </c>
      <c r="F3542" s="19">
        <v>25</v>
      </c>
      <c r="G3542" t="s" s="11">
        <v>73</v>
      </c>
      <c r="H3542" s="19">
        <v>25</v>
      </c>
      <c r="I3542" t="s" s="11">
        <v>73</v>
      </c>
      <c r="J3542" t="s" s="11">
        <v>20</v>
      </c>
      <c r="K3542" s="15"/>
      <c r="L3542" t="s" s="16">
        <f>HYPERLINK("http://csr.bu.edu/ftp/asl/asllvd/demos/verify_start_end_handshape_annotations//test_auto_move//signs_mov_separ_signers/Tyler_3680.mov","MOV")</f>
        <v>21</v>
      </c>
      <c r="M3542" t="s" s="10">
        <v>47</v>
      </c>
      <c r="N3542" s="17">
        <v>11</v>
      </c>
      <c r="O3542" s="18">
        <v>2386</v>
      </c>
      <c r="P3542" s="18">
        <v>2440</v>
      </c>
      <c r="Q3542" s="15"/>
      <c r="R3542" t="s" s="16">
        <f>HYPERLINK("http://secrets.rutgers.edu:8080/data/asl-ftp/asllvd/demos/verify_start_end_handshape_annotations//test_auto_move//signs_mov_separ_signers/Tyler_3680.mov","MOV")</f>
        <v>21</v>
      </c>
    </row>
    <row r="3543" s="2" customFormat="1" ht="13.5" customHeight="1">
      <c r="B3543" s="13"/>
      <c r="C3543" t="s" s="9">
        <v>27</v>
      </c>
      <c r="D3543" t="s" s="8">
        <v>1211</v>
      </c>
      <c r="E3543" t="s" s="9">
        <v>1211</v>
      </c>
      <c r="F3543" s="19">
        <v>25</v>
      </c>
      <c r="G3543" t="s" s="11">
        <v>73</v>
      </c>
      <c r="H3543" s="19">
        <v>25</v>
      </c>
      <c r="I3543" t="s" s="11">
        <v>73</v>
      </c>
      <c r="J3543" t="s" s="11">
        <v>20</v>
      </c>
      <c r="K3543" t="s" s="16">
        <f>HYPERLINK("http://csr.bu.edu/ftp/asl/asllvd/demos/verify_start_end_handshape_annotations//test_auto_move//signs_mov/745_3680_merged.mov","MOV")</f>
        <v>21</v>
      </c>
      <c r="L3543" t="s" s="16">
        <f>HYPERLINK("http://csr.bu.edu/ftp/asl/asllvd/demos/verify_start_end_handshape_annotations//test_auto_move//signs_mov_separ_signers/Naomi_745.mov","MOV")</f>
        <v>21</v>
      </c>
      <c r="M3543" t="s" s="10">
        <v>86</v>
      </c>
      <c r="N3543" s="17">
        <v>25</v>
      </c>
      <c r="O3543" s="18">
        <v>1880</v>
      </c>
      <c r="P3543" s="18">
        <v>1920</v>
      </c>
      <c r="Q3543" t="s" s="16">
        <f>HYPERLINK("http://secrets.rutgers.edu:8080/data/asl-ftp/asllvd/demos/verify_start_end_handshape_annotations//test_auto_move//signs_mov/745_3680_merged.mov","MOV")</f>
        <v>21</v>
      </c>
      <c r="R3543" t="s" s="16">
        <f>HYPERLINK("http://secrets.rutgers.edu:8080/data/asl-ftp/asllvd/demos/verify_start_end_handshape_annotations//test_auto_move//signs_mov_separ_signers/Naomi_745.mov","MOV")</f>
        <v>21</v>
      </c>
    </row>
    <row r="3544" s="2" customFormat="1" ht="13.5" customHeight="1">
      <c r="B3544" s="13"/>
      <c r="C3544" t="s" s="9">
        <v>30</v>
      </c>
      <c r="D3544" t="s" s="8">
        <v>1211</v>
      </c>
      <c r="E3544" t="s" s="9">
        <v>1211</v>
      </c>
      <c r="F3544" s="19">
        <v>25</v>
      </c>
      <c r="G3544" t="s" s="11">
        <v>73</v>
      </c>
      <c r="H3544" s="19">
        <v>25</v>
      </c>
      <c r="I3544" t="s" s="11">
        <v>73</v>
      </c>
      <c r="J3544" t="s" s="11">
        <v>20</v>
      </c>
      <c r="K3544" s="15"/>
      <c r="L3544" t="s" s="16">
        <f>HYPERLINK("http://csr.bu.edu/ftp/asl/asllvd/demos/verify_start_end_handshape_annotations//test_auto_move//signs_mov_separ_signers/Brady_745.mov","MOV")</f>
        <v>21</v>
      </c>
      <c r="M3544" t="s" s="10">
        <v>39</v>
      </c>
      <c r="N3544" s="17">
        <v>7</v>
      </c>
      <c r="O3544" s="18">
        <v>6691</v>
      </c>
      <c r="P3544" s="18">
        <v>6730</v>
      </c>
      <c r="Q3544" s="15"/>
      <c r="R3544" t="s" s="16">
        <f>HYPERLINK("http://secrets.rutgers.edu:8080/data/asl-ftp/asllvd/demos/verify_start_end_handshape_annotations//test_auto_move//signs_mov_separ_signers/Brady_745.mov","MOV")</f>
        <v>21</v>
      </c>
    </row>
    <row r="3545" s="2" customFormat="1" ht="13.5" customHeight="1">
      <c r="B3545" s="13"/>
      <c r="C3545" t="s" s="9">
        <v>30</v>
      </c>
      <c r="D3545" t="s" s="8">
        <v>1211</v>
      </c>
      <c r="E3545" t="s" s="9">
        <v>1211</v>
      </c>
      <c r="F3545" s="19">
        <v>25</v>
      </c>
      <c r="G3545" t="s" s="11">
        <v>73</v>
      </c>
      <c r="H3545" s="19">
        <v>25</v>
      </c>
      <c r="I3545" t="s" s="11">
        <v>73</v>
      </c>
      <c r="J3545" t="s" s="11">
        <v>20</v>
      </c>
      <c r="K3545" s="15"/>
      <c r="L3545" t="s" s="16">
        <f>HYPERLINK("http://csr.bu.edu/ftp/asl/asllvd/demos/verify_start_end_handshape_annotations//test_auto_move//signs_mov_separ_signers/Brady_3680.mov","MOV")</f>
        <v>21</v>
      </c>
      <c r="M3545" t="s" s="10">
        <v>39</v>
      </c>
      <c r="N3545" s="17">
        <v>55</v>
      </c>
      <c r="O3545" s="18">
        <v>6456</v>
      </c>
      <c r="P3545" s="18">
        <v>6496</v>
      </c>
      <c r="Q3545" s="15"/>
      <c r="R3545" t="s" s="16">
        <f>HYPERLINK("http://secrets.rutgers.edu:8080/data/asl-ftp/asllvd/demos/verify_start_end_handshape_annotations//test_auto_move//signs_mov_separ_signers/Brady_3680.mov","MOV")</f>
        <v>21</v>
      </c>
    </row>
    <row r="3546" s="2" customFormat="1" ht="13.5" customHeight="1">
      <c r="B3546" s="13"/>
      <c r="C3546" t="s" s="9">
        <v>41</v>
      </c>
      <c r="D3546" t="s" s="8">
        <v>1211</v>
      </c>
      <c r="E3546" t="s" s="9">
        <v>1211</v>
      </c>
      <c r="F3546" s="19">
        <v>25</v>
      </c>
      <c r="G3546" t="s" s="11">
        <v>73</v>
      </c>
      <c r="H3546" s="19">
        <v>25</v>
      </c>
      <c r="I3546" t="s" s="11">
        <v>73</v>
      </c>
      <c r="J3546" t="s" s="11">
        <v>20</v>
      </c>
      <c r="K3546" s="15"/>
      <c r="L3546" t="s" s="16">
        <f>HYPERLINK("http://csr.bu.edu/ftp/asl/asllvd/demos/verify_start_end_handshape_annotations//test_auto_move//signs_mov_separ_signers/Lana_745.mov","MOV")</f>
        <v>21</v>
      </c>
      <c r="M3546" t="s" s="10">
        <v>42</v>
      </c>
      <c r="N3546" s="17">
        <v>18</v>
      </c>
      <c r="O3546" s="18">
        <v>273</v>
      </c>
      <c r="P3546" s="18">
        <v>310</v>
      </c>
      <c r="Q3546" s="15"/>
      <c r="R3546" t="s" s="16">
        <f>HYPERLINK("http://secrets.rutgers.edu:8080/data/asl-ftp/asllvd/demos/verify_start_end_handshape_annotations//test_auto_move//signs_mov_separ_signers/Lana_745.mov","MOV")</f>
        <v>21</v>
      </c>
    </row>
    <row r="3547" s="2" customFormat="1" ht="13.5" customHeight="1">
      <c r="B3547" s="13"/>
      <c r="C3547" t="s" s="9">
        <v>43</v>
      </c>
      <c r="D3547" t="s" s="8">
        <v>1211</v>
      </c>
      <c r="E3547" t="s" s="9">
        <v>1211</v>
      </c>
      <c r="F3547" s="19">
        <v>25</v>
      </c>
      <c r="G3547" t="s" s="11">
        <v>73</v>
      </c>
      <c r="H3547" s="19">
        <v>25</v>
      </c>
      <c r="I3547" t="s" s="11">
        <v>73</v>
      </c>
      <c r="J3547" t="s" s="11">
        <v>20</v>
      </c>
      <c r="K3547" s="15"/>
      <c r="L3547" t="s" s="16">
        <f>HYPERLINK("http://csr.bu.edu/ftp/asl/asllvd/demos/verify_start_end_handshape_annotations//test_auto_move//signs_mov_separ_signers/Dana_745.mov","MOV")</f>
        <v>21</v>
      </c>
      <c r="M3547" t="s" s="10">
        <v>44</v>
      </c>
      <c r="N3547" s="17">
        <v>20</v>
      </c>
      <c r="O3547" s="18">
        <v>280</v>
      </c>
      <c r="P3547" s="18">
        <v>330</v>
      </c>
      <c r="Q3547" s="15"/>
      <c r="R3547" t="s" s="16">
        <f>HYPERLINK("http://secrets.rutgers.edu:8080/data/asl-ftp/asllvd/demos/verify_start_end_handshape_annotations//test_auto_move//signs_mov_separ_signers/Dana_745.mov","MOV")</f>
        <v>21</v>
      </c>
    </row>
    <row r="3548" s="2" customFormat="1" ht="13.5" customHeight="1">
      <c r="B3548" t="s" s="8">
        <v>1212</v>
      </c>
      <c r="C3548" t="s" s="9">
        <v>14</v>
      </c>
      <c r="D3548" t="s" s="8">
        <v>14</v>
      </c>
      <c r="E3548" t="s" s="9">
        <v>14</v>
      </c>
      <c r="F3548" t="s" s="10">
        <v>14</v>
      </c>
      <c r="G3548" t="s" s="11">
        <v>14</v>
      </c>
      <c r="H3548" t="s" s="10">
        <v>14</v>
      </c>
      <c r="I3548" t="s" s="11">
        <v>14</v>
      </c>
      <c r="J3548" t="s" s="11">
        <v>14</v>
      </c>
      <c r="K3548" t="s" s="12">
        <v>14</v>
      </c>
      <c r="L3548" t="s" s="12">
        <v>14</v>
      </c>
      <c r="M3548" t="s" s="10">
        <v>14</v>
      </c>
      <c r="N3548" t="s" s="11">
        <v>14</v>
      </c>
      <c r="O3548" t="s" s="8">
        <v>14</v>
      </c>
      <c r="P3548" t="s" s="8">
        <v>14</v>
      </c>
      <c r="Q3548" t="s" s="12">
        <v>14</v>
      </c>
      <c r="R3548" t="s" s="12">
        <v>14</v>
      </c>
    </row>
    <row r="3549" s="2" customFormat="1" ht="13.5" customHeight="1">
      <c r="B3549" s="13"/>
      <c r="C3549" t="s" s="9">
        <v>16</v>
      </c>
      <c r="D3549" t="s" s="8">
        <v>1212</v>
      </c>
      <c r="E3549" t="s" s="9">
        <v>1212</v>
      </c>
      <c r="F3549" s="19">
        <v>25</v>
      </c>
      <c r="G3549" t="s" s="11">
        <v>150</v>
      </c>
      <c r="H3549" s="19">
        <v>25</v>
      </c>
      <c r="I3549" t="s" s="11">
        <v>150</v>
      </c>
      <c r="J3549" t="s" s="11">
        <v>20</v>
      </c>
      <c r="K3549" s="15"/>
      <c r="L3549" t="s" s="16">
        <f>HYPERLINK("http://csr.bu.edu/ftp/asl/asllvd/demos/verify_start_end_handshape_annotations//test_auto_move//signs_mov_separ_signers/Liz_15942.mov","MOV")</f>
        <v>21</v>
      </c>
      <c r="M3549" t="s" s="10">
        <v>36</v>
      </c>
      <c r="N3549" s="17">
        <v>17</v>
      </c>
      <c r="O3549" s="18">
        <v>545</v>
      </c>
      <c r="P3549" s="18">
        <v>585</v>
      </c>
      <c r="Q3549" s="15"/>
      <c r="R3549" t="s" s="16">
        <f>HYPERLINK("http://secrets.rutgers.edu:8080/data/asl-ftp/asllvd/demos/verify_start_end_handshape_annotations//test_auto_move//signs_mov_separ_signers/Liz_15942.mov","MOV")</f>
        <v>21</v>
      </c>
    </row>
    <row r="3550" s="2" customFormat="1" ht="13.5" customHeight="1">
      <c r="B3550" s="13"/>
      <c r="C3550" t="s" s="9">
        <v>16</v>
      </c>
      <c r="D3550" t="s" s="8">
        <v>1212</v>
      </c>
      <c r="E3550" t="s" s="9">
        <v>1213</v>
      </c>
      <c r="F3550" s="19">
        <v>25</v>
      </c>
      <c r="G3550" t="s" s="11">
        <v>73</v>
      </c>
      <c r="H3550" s="19">
        <v>25</v>
      </c>
      <c r="I3550" t="s" s="11">
        <v>73</v>
      </c>
      <c r="J3550" t="s" s="11">
        <v>20</v>
      </c>
      <c r="K3550" t="s" s="16">
        <f>HYPERLINK("http://csr.bu.edu/ftp/asl/asllvd/demos/verify_start_end_handshape_annotations//test_auto_move//signs_mov/15942_15974_merged.mov","MOV")</f>
        <v>21</v>
      </c>
      <c r="L3550" t="s" s="16">
        <f>HYPERLINK("http://csr.bu.edu/ftp/asl/asllvd/demos/verify_start_end_handshape_annotations//test_auto_move//signs_mov_separ_signers/Liz_15974.mov","MOV")</f>
        <v>21</v>
      </c>
      <c r="M3550" t="s" s="10">
        <v>59</v>
      </c>
      <c r="N3550" s="17">
        <v>4</v>
      </c>
      <c r="O3550" s="18">
        <v>1722</v>
      </c>
      <c r="P3550" s="18">
        <v>1755</v>
      </c>
      <c r="Q3550" t="s" s="16">
        <f>HYPERLINK("http://secrets.rutgers.edu:8080/data/asl-ftp/asllvd/demos/verify_start_end_handshape_annotations//test_auto_move//signs_mov/15942_15974_merged.mov","MOV")</f>
        <v>21</v>
      </c>
      <c r="R3550" t="s" s="16">
        <f>HYPERLINK("http://secrets.rutgers.edu:8080/data/asl-ftp/asllvd/demos/verify_start_end_handshape_annotations//test_auto_move//signs_mov_separ_signers/Liz_15974.mov","MOV")</f>
        <v>21</v>
      </c>
    </row>
    <row r="3551" s="2" customFormat="1" ht="13.5" customHeight="1">
      <c r="B3551" s="13"/>
      <c r="C3551" t="s" s="9">
        <v>30</v>
      </c>
      <c r="D3551" t="s" s="8">
        <v>1212</v>
      </c>
      <c r="E3551" t="s" s="9">
        <v>1212</v>
      </c>
      <c r="F3551" s="19">
        <v>25</v>
      </c>
      <c r="G3551" t="s" s="11">
        <v>73</v>
      </c>
      <c r="H3551" s="19">
        <v>25</v>
      </c>
      <c r="I3551" t="s" s="11">
        <v>73</v>
      </c>
      <c r="J3551" t="s" s="11">
        <v>20</v>
      </c>
      <c r="K3551" s="15"/>
      <c r="L3551" t="s" s="16">
        <f>HYPERLINK("http://csr.bu.edu/ftp/asl/asllvd/demos/verify_start_end_handshape_annotations//test_auto_move//signs_mov_separ_signers/Brady_15942.mov","MOV")</f>
        <v>21</v>
      </c>
      <c r="M3551" t="s" s="10">
        <v>40</v>
      </c>
      <c r="N3551" s="17">
        <v>61</v>
      </c>
      <c r="O3551" s="18">
        <v>673</v>
      </c>
      <c r="P3551" s="18">
        <v>689</v>
      </c>
      <c r="Q3551" s="15"/>
      <c r="R3551" t="s" s="16">
        <f>HYPERLINK("http://secrets.rutgers.edu:8080/data/asl-ftp/asllvd/demos/verify_start_end_handshape_annotations//test_auto_move//signs_mov_separ_signers/Brady_15942.mov","MOV")</f>
        <v>21</v>
      </c>
    </row>
    <row r="3552" s="2" customFormat="1" ht="13.5" customHeight="1">
      <c r="B3552" t="s" s="8">
        <v>1214</v>
      </c>
      <c r="C3552" t="s" s="9">
        <v>14</v>
      </c>
      <c r="D3552" t="s" s="8">
        <v>14</v>
      </c>
      <c r="E3552" t="s" s="9">
        <v>14</v>
      </c>
      <c r="F3552" t="s" s="10">
        <v>14</v>
      </c>
      <c r="G3552" t="s" s="11">
        <v>14</v>
      </c>
      <c r="H3552" t="s" s="10">
        <v>14</v>
      </c>
      <c r="I3552" t="s" s="11">
        <v>14</v>
      </c>
      <c r="J3552" t="s" s="11">
        <v>14</v>
      </c>
      <c r="K3552" t="s" s="12">
        <v>14</v>
      </c>
      <c r="L3552" t="s" s="12">
        <v>14</v>
      </c>
      <c r="M3552" t="s" s="10">
        <v>14</v>
      </c>
      <c r="N3552" t="s" s="11">
        <v>14</v>
      </c>
      <c r="O3552" t="s" s="8">
        <v>14</v>
      </c>
      <c r="P3552" t="s" s="8">
        <v>14</v>
      </c>
      <c r="Q3552" t="s" s="12">
        <v>14</v>
      </c>
      <c r="R3552" t="s" s="12">
        <v>14</v>
      </c>
    </row>
    <row r="3553" s="2" customFormat="1" ht="13.5" customHeight="1">
      <c r="B3553" s="13"/>
      <c r="C3553" t="s" s="9">
        <v>16</v>
      </c>
      <c r="D3553" t="s" s="8">
        <v>1214</v>
      </c>
      <c r="E3553" t="s" s="9">
        <v>1215</v>
      </c>
      <c r="F3553" t="s" s="10">
        <v>63</v>
      </c>
      <c r="G3553" t="s" s="11">
        <v>63</v>
      </c>
      <c r="H3553" t="s" s="10">
        <v>63</v>
      </c>
      <c r="I3553" t="s" s="11">
        <v>63</v>
      </c>
      <c r="J3553" t="s" s="11">
        <v>20</v>
      </c>
      <c r="K3553" s="15"/>
      <c r="L3553" t="s" s="16">
        <f>HYPERLINK("http://csr.bu.edu/ftp/asl/asllvd/demos/verify_start_end_handshape_annotations//test_auto_move//signs_mov_separ_signers/Liz_746.mov","MOV")</f>
        <v>21</v>
      </c>
      <c r="M3553" t="s" s="10">
        <v>84</v>
      </c>
      <c r="N3553" s="17">
        <v>25</v>
      </c>
      <c r="O3553" s="18">
        <v>1602</v>
      </c>
      <c r="P3553" s="18">
        <v>1655</v>
      </c>
      <c r="Q3553" s="15"/>
      <c r="R3553" t="s" s="16">
        <f>HYPERLINK("http://secrets.rutgers.edu:8080/data/asl-ftp/asllvd/demos/verify_start_end_handshape_annotations//test_auto_move//signs_mov_separ_signers/Liz_746.mov","MOV")</f>
        <v>21</v>
      </c>
    </row>
    <row r="3554" s="2" customFormat="1" ht="13.5" customHeight="1">
      <c r="B3554" s="13"/>
      <c r="C3554" t="s" s="9">
        <v>23</v>
      </c>
      <c r="D3554" t="s" s="8">
        <v>1214</v>
      </c>
      <c r="E3554" t="s" s="9">
        <v>1216</v>
      </c>
      <c r="F3554" t="s" s="10">
        <v>65</v>
      </c>
      <c r="G3554" t="s" s="11">
        <v>65</v>
      </c>
      <c r="H3554" t="s" s="10">
        <v>65</v>
      </c>
      <c r="I3554" t="s" s="11">
        <v>65</v>
      </c>
      <c r="J3554" t="s" s="11">
        <v>20</v>
      </c>
      <c r="K3554" t="s" s="16">
        <f>HYPERLINK("http://csr.bu.edu/ftp/asl/asllvd/demos/verify_start_end_handshape_annotations//test_auto_move//signs_mov/746.mov","MOV")</f>
        <v>21</v>
      </c>
      <c r="L3554" t="s" s="16">
        <f>HYPERLINK("http://csr.bu.edu/ftp/asl/asllvd/demos/verify_start_end_handshape_annotations//test_auto_move//signs_mov_separ_signers/Tyler_746.mov","MOV")</f>
        <v>21</v>
      </c>
      <c r="M3554" t="s" s="10">
        <v>92</v>
      </c>
      <c r="N3554" s="17">
        <v>5</v>
      </c>
      <c r="O3554" s="18">
        <v>2511</v>
      </c>
      <c r="P3554" s="18">
        <v>2565</v>
      </c>
      <c r="Q3554" t="s" s="16">
        <f>HYPERLINK("http://secrets.rutgers.edu:8080/data/asl-ftp/asllvd/demos/verify_start_end_handshape_annotations//test_auto_move//signs_mov/746.mov","MOV")</f>
        <v>21</v>
      </c>
      <c r="R3554" t="s" s="16">
        <f>HYPERLINK("http://secrets.rutgers.edu:8080/data/asl-ftp/asllvd/demos/verify_start_end_handshape_annotations//test_auto_move//signs_mov_separ_signers/Tyler_746.mov","MOV")</f>
        <v>21</v>
      </c>
    </row>
    <row r="3555" s="2" customFormat="1" ht="13.5" customHeight="1">
      <c r="B3555" s="13"/>
      <c r="C3555" t="s" s="9">
        <v>27</v>
      </c>
      <c r="D3555" t="s" s="8">
        <v>1214</v>
      </c>
      <c r="E3555" t="s" s="9">
        <v>1217</v>
      </c>
      <c r="F3555" t="s" s="10">
        <v>65</v>
      </c>
      <c r="G3555" t="s" s="11">
        <v>65</v>
      </c>
      <c r="H3555" t="s" s="10">
        <v>65</v>
      </c>
      <c r="I3555" t="s" s="11">
        <v>65</v>
      </c>
      <c r="J3555" t="s" s="11">
        <v>20</v>
      </c>
      <c r="K3555" s="15"/>
      <c r="L3555" t="s" s="16">
        <f>HYPERLINK("http://csr.bu.edu/ftp/asl/asllvd/demos/verify_start_end_handshape_annotations//test_auto_move//signs_mov_separ_signers/Naomi_746.mov","MOV")</f>
        <v>21</v>
      </c>
      <c r="M3555" t="s" s="10">
        <v>86</v>
      </c>
      <c r="N3555" s="17">
        <v>25</v>
      </c>
      <c r="O3555" s="18">
        <v>2435</v>
      </c>
      <c r="P3555" s="18">
        <v>2480</v>
      </c>
      <c r="Q3555" s="15"/>
      <c r="R3555" t="s" s="16">
        <f>HYPERLINK("http://secrets.rutgers.edu:8080/data/asl-ftp/asllvd/demos/verify_start_end_handshape_annotations//test_auto_move//signs_mov_separ_signers/Naomi_746.mov","MOV")</f>
        <v>21</v>
      </c>
    </row>
    <row r="3556" s="2" customFormat="1" ht="13.5" customHeight="1">
      <c r="B3556" s="13"/>
      <c r="C3556" t="s" s="9">
        <v>30</v>
      </c>
      <c r="D3556" t="s" s="8">
        <v>1214</v>
      </c>
      <c r="E3556" t="s" s="9">
        <v>1215</v>
      </c>
      <c r="F3556" t="s" s="10">
        <v>65</v>
      </c>
      <c r="G3556" t="s" s="11">
        <v>65</v>
      </c>
      <c r="H3556" t="s" s="10">
        <v>65</v>
      </c>
      <c r="I3556" t="s" s="11">
        <v>65</v>
      </c>
      <c r="J3556" t="s" s="11">
        <v>20</v>
      </c>
      <c r="K3556" s="15"/>
      <c r="L3556" t="s" s="16">
        <f>HYPERLINK("http://csr.bu.edu/ftp/asl/asllvd/demos/verify_start_end_handshape_annotations//test_auto_move//signs_mov_separ_signers/Brady_746.mov","MOV")</f>
        <v>21</v>
      </c>
      <c r="M3556" t="s" s="10">
        <v>39</v>
      </c>
      <c r="N3556" s="17">
        <v>7</v>
      </c>
      <c r="O3556" s="18">
        <v>7956</v>
      </c>
      <c r="P3556" s="18">
        <v>8000</v>
      </c>
      <c r="Q3556" s="15"/>
      <c r="R3556" t="s" s="16">
        <f>HYPERLINK("http://secrets.rutgers.edu:8080/data/asl-ftp/asllvd/demos/verify_start_end_handshape_annotations//test_auto_move//signs_mov_separ_signers/Brady_746.mov","MOV")</f>
        <v>21</v>
      </c>
    </row>
    <row r="3557" s="2" customFormat="1" ht="13.5" customHeight="1">
      <c r="B3557" t="s" s="8">
        <v>1218</v>
      </c>
      <c r="C3557" t="s" s="9">
        <v>14</v>
      </c>
      <c r="D3557" t="s" s="8">
        <v>14</v>
      </c>
      <c r="E3557" t="s" s="9">
        <v>14</v>
      </c>
      <c r="F3557" t="s" s="10">
        <v>14</v>
      </c>
      <c r="G3557" t="s" s="11">
        <v>14</v>
      </c>
      <c r="H3557" t="s" s="10">
        <v>14</v>
      </c>
      <c r="I3557" t="s" s="11">
        <v>14</v>
      </c>
      <c r="J3557" t="s" s="11">
        <v>14</v>
      </c>
      <c r="K3557" t="s" s="12">
        <v>14</v>
      </c>
      <c r="L3557" t="s" s="12">
        <v>14</v>
      </c>
      <c r="M3557" t="s" s="10">
        <v>14</v>
      </c>
      <c r="N3557" t="s" s="11">
        <v>14</v>
      </c>
      <c r="O3557" t="s" s="8">
        <v>14</v>
      </c>
      <c r="P3557" t="s" s="8">
        <v>14</v>
      </c>
      <c r="Q3557" t="s" s="12">
        <v>14</v>
      </c>
      <c r="R3557" t="s" s="12">
        <v>14</v>
      </c>
    </row>
    <row r="3558" s="2" customFormat="1" ht="13.5" customHeight="1">
      <c r="B3558" s="13"/>
      <c r="C3558" t="s" s="9">
        <v>16</v>
      </c>
      <c r="D3558" t="s" s="8">
        <v>1218</v>
      </c>
      <c r="E3558" t="s" s="9">
        <v>1219</v>
      </c>
      <c r="F3558" t="s" s="10">
        <v>65</v>
      </c>
      <c r="G3558" t="s" s="11">
        <v>65</v>
      </c>
      <c r="H3558" t="s" s="10">
        <v>65</v>
      </c>
      <c r="I3558" t="s" s="11">
        <v>65</v>
      </c>
      <c r="J3558" t="s" s="11">
        <v>20</v>
      </c>
      <c r="K3558" t="s" s="16">
        <f>HYPERLINK("http://csr.bu.edu/ftp/asl/asllvd/demos/verify_start_end_handshape_annotations//test_auto_move//signs_mov/15950.mov","MOV")</f>
        <v>21</v>
      </c>
      <c r="L3558" t="s" s="16">
        <f>HYPERLINK("http://csr.bu.edu/ftp/asl/asllvd/demos/verify_start_end_handshape_annotations//test_auto_move//signs_mov_separ_signers/Liz_15950.mov","MOV")</f>
        <v>21</v>
      </c>
      <c r="M3558" t="s" s="10">
        <v>59</v>
      </c>
      <c r="N3558" s="17">
        <v>46</v>
      </c>
      <c r="O3558" s="18">
        <v>2480</v>
      </c>
      <c r="P3558" s="18">
        <v>2546</v>
      </c>
      <c r="Q3558" t="s" s="16">
        <f>HYPERLINK("http://secrets.rutgers.edu:8080/data/asl-ftp/asllvd/demos/verify_start_end_handshape_annotations//test_auto_move//signs_mov/15950.mov","MOV")</f>
        <v>21</v>
      </c>
      <c r="R3558" t="s" s="16">
        <f>HYPERLINK("http://secrets.rutgers.edu:8080/data/asl-ftp/asllvd/demos/verify_start_end_handshape_annotations//test_auto_move//signs_mov_separ_signers/Liz_15950.mov","MOV")</f>
        <v>21</v>
      </c>
    </row>
    <row r="3559" s="2" customFormat="1" ht="13.5" customHeight="1">
      <c r="B3559" s="13"/>
      <c r="C3559" t="s" s="9">
        <v>30</v>
      </c>
      <c r="D3559" t="s" s="8">
        <v>1218</v>
      </c>
      <c r="E3559" t="s" s="9">
        <v>1220</v>
      </c>
      <c r="F3559" t="s" s="10">
        <v>65</v>
      </c>
      <c r="G3559" t="s" s="11">
        <v>65</v>
      </c>
      <c r="H3559" t="s" s="10">
        <v>65</v>
      </c>
      <c r="I3559" t="s" s="11">
        <v>65</v>
      </c>
      <c r="J3559" t="s" s="11">
        <v>20</v>
      </c>
      <c r="K3559" s="15"/>
      <c r="L3559" t="s" s="16">
        <f>HYPERLINK("http://csr.bu.edu/ftp/asl/asllvd/demos/verify_start_end_handshape_annotations//test_auto_move//signs_mov_separ_signers/Brady_15950.mov","MOV")</f>
        <v>21</v>
      </c>
      <c r="M3559" t="s" s="10">
        <v>60</v>
      </c>
      <c r="N3559" s="17">
        <v>35</v>
      </c>
      <c r="O3559" s="18">
        <v>120</v>
      </c>
      <c r="P3559" s="18">
        <v>174</v>
      </c>
      <c r="Q3559" s="15"/>
      <c r="R3559" t="s" s="16">
        <f>HYPERLINK("http://secrets.rutgers.edu:8080/data/asl-ftp/asllvd/demos/verify_start_end_handshape_annotations//test_auto_move//signs_mov_separ_signers/Brady_15950.mov","MOV")</f>
        <v>21</v>
      </c>
    </row>
    <row r="3560" s="2" customFormat="1" ht="13.5" customHeight="1">
      <c r="B3560" t="s" s="8">
        <v>1221</v>
      </c>
      <c r="C3560" t="s" s="9">
        <v>14</v>
      </c>
      <c r="D3560" t="s" s="8">
        <v>14</v>
      </c>
      <c r="E3560" t="s" s="9">
        <v>14</v>
      </c>
      <c r="F3560" t="s" s="10">
        <v>14</v>
      </c>
      <c r="G3560" t="s" s="11">
        <v>14</v>
      </c>
      <c r="H3560" t="s" s="10">
        <v>14</v>
      </c>
      <c r="I3560" t="s" s="11">
        <v>14</v>
      </c>
      <c r="J3560" t="s" s="11">
        <v>14</v>
      </c>
      <c r="K3560" t="s" s="12">
        <v>14</v>
      </c>
      <c r="L3560" t="s" s="12">
        <v>14</v>
      </c>
      <c r="M3560" t="s" s="10">
        <v>14</v>
      </c>
      <c r="N3560" t="s" s="11">
        <v>14</v>
      </c>
      <c r="O3560" t="s" s="8">
        <v>14</v>
      </c>
      <c r="P3560" t="s" s="8">
        <v>14</v>
      </c>
      <c r="Q3560" t="s" s="12">
        <v>14</v>
      </c>
      <c r="R3560" t="s" s="12">
        <v>14</v>
      </c>
    </row>
    <row r="3561" s="2" customFormat="1" ht="13.5" customHeight="1">
      <c r="B3561" s="13"/>
      <c r="C3561" t="s" s="9">
        <v>16</v>
      </c>
      <c r="D3561" t="s" s="8">
        <v>1221</v>
      </c>
      <c r="E3561" t="s" s="9">
        <v>1221</v>
      </c>
      <c r="F3561" t="s" s="10">
        <v>63</v>
      </c>
      <c r="G3561" s="14"/>
      <c r="H3561" t="s" s="10">
        <v>63</v>
      </c>
      <c r="I3561" s="14"/>
      <c r="J3561" t="s" s="11">
        <v>20</v>
      </c>
      <c r="K3561" s="15"/>
      <c r="L3561" t="s" s="16">
        <f>HYPERLINK("http://csr.bu.edu/ftp/asl/asllvd/demos/verify_start_end_handshape_annotations//test_auto_move//signs_mov_separ_signers/Liz_747.mov","MOV")</f>
        <v>21</v>
      </c>
      <c r="M3561" t="s" s="10">
        <v>84</v>
      </c>
      <c r="N3561" s="17">
        <v>25</v>
      </c>
      <c r="O3561" s="18">
        <v>1810</v>
      </c>
      <c r="P3561" s="18">
        <v>1837</v>
      </c>
      <c r="Q3561" s="15"/>
      <c r="R3561" t="s" s="16">
        <f>HYPERLINK("http://secrets.rutgers.edu:8080/data/asl-ftp/asllvd/demos/verify_start_end_handshape_annotations//test_auto_move//signs_mov_separ_signers/Liz_747.mov","MOV")</f>
        <v>21</v>
      </c>
    </row>
    <row r="3562" s="2" customFormat="1" ht="13.5" customHeight="1">
      <c r="B3562" s="13"/>
      <c r="C3562" t="s" s="9">
        <v>23</v>
      </c>
      <c r="D3562" t="s" s="8">
        <v>1221</v>
      </c>
      <c r="E3562" t="s" s="9">
        <v>1221</v>
      </c>
      <c r="F3562" s="19">
        <v>10</v>
      </c>
      <c r="G3562" s="14"/>
      <c r="H3562" s="19">
        <v>10</v>
      </c>
      <c r="I3562" s="14"/>
      <c r="J3562" t="s" s="11">
        <v>20</v>
      </c>
      <c r="K3562" s="15"/>
      <c r="L3562" t="s" s="16">
        <f>HYPERLINK("http://csr.bu.edu/ftp/asl/asllvd/demos/verify_start_end_handshape_annotations//test_auto_move//signs_mov_separ_signers/Tyler_747.mov","MOV")</f>
        <v>21</v>
      </c>
      <c r="M3562" t="s" s="10">
        <v>26</v>
      </c>
      <c r="N3562" s="17">
        <v>9</v>
      </c>
      <c r="O3562" s="18">
        <v>761</v>
      </c>
      <c r="P3562" s="18">
        <v>785</v>
      </c>
      <c r="Q3562" s="15"/>
      <c r="R3562" t="s" s="16">
        <f>HYPERLINK("http://secrets.rutgers.edu:8080/data/asl-ftp/asllvd/demos/verify_start_end_handshape_annotations//test_auto_move//signs_mov_separ_signers/Tyler_747.mov","MOV")</f>
        <v>21</v>
      </c>
    </row>
    <row r="3563" s="2" customFormat="1" ht="13.5" customHeight="1">
      <c r="B3563" s="13"/>
      <c r="C3563" t="s" s="9">
        <v>23</v>
      </c>
      <c r="D3563" t="s" s="8">
        <v>1221</v>
      </c>
      <c r="E3563" t="s" s="9">
        <v>1221</v>
      </c>
      <c r="F3563" s="19">
        <v>10</v>
      </c>
      <c r="G3563" s="14"/>
      <c r="H3563" s="19">
        <v>10</v>
      </c>
      <c r="I3563" s="14"/>
      <c r="J3563" t="s" s="11">
        <v>20</v>
      </c>
      <c r="K3563" s="15"/>
      <c r="L3563" t="s" s="16">
        <f>HYPERLINK("http://csr.bu.edu/ftp/asl/asllvd/demos/verify_start_end_handshape_annotations//test_auto_move//signs_mov_separ_signers/Tyler_3304.mov","MOV")</f>
        <v>21</v>
      </c>
      <c r="M3563" t="s" s="10">
        <v>92</v>
      </c>
      <c r="N3563" s="17">
        <v>5</v>
      </c>
      <c r="O3563" s="18">
        <v>2710</v>
      </c>
      <c r="P3563" s="18">
        <v>2741</v>
      </c>
      <c r="Q3563" s="15"/>
      <c r="R3563" t="s" s="16">
        <f>HYPERLINK("http://secrets.rutgers.edu:8080/data/asl-ftp/asllvd/demos/verify_start_end_handshape_annotations//test_auto_move//signs_mov_separ_signers/Tyler_3304.mov","MOV")</f>
        <v>21</v>
      </c>
    </row>
    <row r="3564" s="2" customFormat="1" ht="13.5" customHeight="1">
      <c r="B3564" s="13"/>
      <c r="C3564" t="s" s="9">
        <v>27</v>
      </c>
      <c r="D3564" t="s" s="8">
        <v>1221</v>
      </c>
      <c r="E3564" t="s" s="9">
        <v>1221</v>
      </c>
      <c r="F3564" s="19">
        <v>10</v>
      </c>
      <c r="G3564" s="14"/>
      <c r="H3564" s="19">
        <v>10</v>
      </c>
      <c r="I3564" s="14"/>
      <c r="J3564" t="s" s="11">
        <v>20</v>
      </c>
      <c r="K3564" t="s" s="16">
        <f>HYPERLINK("http://csr.bu.edu/ftp/asl/asllvd/demos/verify_start_end_handshape_annotations//test_auto_move//signs_mov/747_3304_merged.mov","MOV")</f>
        <v>21</v>
      </c>
      <c r="L3564" t="s" s="16">
        <f>HYPERLINK("http://csr.bu.edu/ftp/asl/asllvd/demos/verify_start_end_handshape_annotations//test_auto_move//signs_mov_separ_signers/Naomi_747.mov","MOV")</f>
        <v>21</v>
      </c>
      <c r="M3564" t="s" s="10">
        <v>86</v>
      </c>
      <c r="N3564" s="17">
        <v>25</v>
      </c>
      <c r="O3564" s="18">
        <v>2680</v>
      </c>
      <c r="P3564" s="18">
        <v>2720</v>
      </c>
      <c r="Q3564" t="s" s="16">
        <f>HYPERLINK("http://secrets.rutgers.edu:8080/data/asl-ftp/asllvd/demos/verify_start_end_handshape_annotations//test_auto_move//signs_mov/747_3304_merged.mov","MOV")</f>
        <v>21</v>
      </c>
      <c r="R3564" t="s" s="16">
        <f>HYPERLINK("http://secrets.rutgers.edu:8080/data/asl-ftp/asllvd/demos/verify_start_end_handshape_annotations//test_auto_move//signs_mov_separ_signers/Naomi_747.mov","MOV")</f>
        <v>21</v>
      </c>
    </row>
    <row r="3565" s="2" customFormat="1" ht="13.5" customHeight="1">
      <c r="B3565" s="13"/>
      <c r="C3565" t="s" s="9">
        <v>30</v>
      </c>
      <c r="D3565" t="s" s="8">
        <v>1221</v>
      </c>
      <c r="E3565" t="s" s="9">
        <v>1221</v>
      </c>
      <c r="F3565" t="s" s="10">
        <v>63</v>
      </c>
      <c r="G3565" s="14"/>
      <c r="H3565" t="s" s="10">
        <v>63</v>
      </c>
      <c r="I3565" s="14"/>
      <c r="J3565" t="s" s="11">
        <v>20</v>
      </c>
      <c r="K3565" s="15"/>
      <c r="L3565" t="s" s="16">
        <f>HYPERLINK("http://csr.bu.edu/ftp/asl/asllvd/demos/verify_start_end_handshape_annotations//test_auto_move//signs_mov_separ_signers/Brady_747.mov","MOV")</f>
        <v>21</v>
      </c>
      <c r="M3565" t="s" s="10">
        <v>39</v>
      </c>
      <c r="N3565" s="17">
        <v>7</v>
      </c>
      <c r="O3565" s="18">
        <v>7050</v>
      </c>
      <c r="P3565" s="18">
        <v>7072</v>
      </c>
      <c r="Q3565" s="15"/>
      <c r="R3565" t="s" s="16">
        <f>HYPERLINK("http://secrets.rutgers.edu:8080/data/asl-ftp/asllvd/demos/verify_start_end_handshape_annotations//test_auto_move//signs_mov_separ_signers/Brady_747.mov","MOV")</f>
        <v>21</v>
      </c>
    </row>
    <row r="3566" s="2" customFormat="1" ht="13.5" customHeight="1">
      <c r="B3566" s="13"/>
      <c r="C3566" t="s" s="9">
        <v>41</v>
      </c>
      <c r="D3566" t="s" s="8">
        <v>1221</v>
      </c>
      <c r="E3566" t="s" s="9">
        <v>1221</v>
      </c>
      <c r="F3566" s="19">
        <v>10</v>
      </c>
      <c r="G3566" s="14"/>
      <c r="H3566" s="19">
        <v>10</v>
      </c>
      <c r="I3566" s="14"/>
      <c r="J3566" t="s" s="11">
        <v>20</v>
      </c>
      <c r="K3566" s="15"/>
      <c r="L3566" t="s" s="16">
        <f>HYPERLINK("http://csr.bu.edu/ftp/asl/asllvd/demos/verify_start_end_handshape_annotations//test_auto_move//signs_mov_separ_signers/Lana_747.mov","MOV")</f>
        <v>21</v>
      </c>
      <c r="M3566" t="s" s="10">
        <v>42</v>
      </c>
      <c r="N3566" s="17">
        <v>7</v>
      </c>
      <c r="O3566" s="18">
        <v>2651</v>
      </c>
      <c r="P3566" s="18">
        <v>2670</v>
      </c>
      <c r="Q3566" s="15"/>
      <c r="R3566" t="s" s="16">
        <f>HYPERLINK("http://secrets.rutgers.edu:8080/data/asl-ftp/asllvd/demos/verify_start_end_handshape_annotations//test_auto_move//signs_mov_separ_signers/Lana_747.mov","MOV")</f>
        <v>21</v>
      </c>
    </row>
    <row r="3567" s="2" customFormat="1" ht="13.5" customHeight="1">
      <c r="B3567" s="13"/>
      <c r="C3567" t="s" s="9">
        <v>43</v>
      </c>
      <c r="D3567" t="s" s="8">
        <v>1221</v>
      </c>
      <c r="E3567" t="s" s="9">
        <v>1221</v>
      </c>
      <c r="F3567" s="19">
        <v>10</v>
      </c>
      <c r="G3567" s="14"/>
      <c r="H3567" s="19">
        <v>10</v>
      </c>
      <c r="I3567" s="14"/>
      <c r="J3567" t="s" s="11">
        <v>20</v>
      </c>
      <c r="K3567" s="15"/>
      <c r="L3567" t="s" s="16">
        <f>HYPERLINK("http://csr.bu.edu/ftp/asl/asllvd/demos/verify_start_end_handshape_annotations//test_auto_move//signs_mov_separ_signers/Dana_747.mov","MOV")</f>
        <v>21</v>
      </c>
      <c r="M3567" t="s" s="10">
        <v>44</v>
      </c>
      <c r="N3567" s="17">
        <v>11</v>
      </c>
      <c r="O3567" s="18">
        <v>2851</v>
      </c>
      <c r="P3567" s="18">
        <v>2881</v>
      </c>
      <c r="Q3567" s="15"/>
      <c r="R3567" t="s" s="16">
        <f>HYPERLINK("http://secrets.rutgers.edu:8080/data/asl-ftp/asllvd/demos/verify_start_end_handshape_annotations//test_auto_move//signs_mov_separ_signers/Dana_747.mov","MOV")</f>
        <v>21</v>
      </c>
    </row>
    <row r="3568" s="2" customFormat="1" ht="13.5" customHeight="1">
      <c r="B3568" t="s" s="8">
        <v>1222</v>
      </c>
      <c r="C3568" t="s" s="9">
        <v>14</v>
      </c>
      <c r="D3568" t="s" s="8">
        <v>14</v>
      </c>
      <c r="E3568" t="s" s="9">
        <v>14</v>
      </c>
      <c r="F3568" t="s" s="10">
        <v>14</v>
      </c>
      <c r="G3568" t="s" s="11">
        <v>14</v>
      </c>
      <c r="H3568" t="s" s="10">
        <v>14</v>
      </c>
      <c r="I3568" t="s" s="11">
        <v>14</v>
      </c>
      <c r="J3568" t="s" s="11">
        <v>14</v>
      </c>
      <c r="K3568" t="s" s="12">
        <v>14</v>
      </c>
      <c r="L3568" t="s" s="12">
        <v>14</v>
      </c>
      <c r="M3568" t="s" s="10">
        <v>14</v>
      </c>
      <c r="N3568" t="s" s="11">
        <v>14</v>
      </c>
      <c r="O3568" t="s" s="8">
        <v>14</v>
      </c>
      <c r="P3568" t="s" s="8">
        <v>14</v>
      </c>
      <c r="Q3568" t="s" s="12">
        <v>14</v>
      </c>
      <c r="R3568" t="s" s="12">
        <v>14</v>
      </c>
    </row>
    <row r="3569" s="2" customFormat="1" ht="13.5" customHeight="1">
      <c r="B3569" s="13"/>
      <c r="C3569" t="s" s="9">
        <v>16</v>
      </c>
      <c r="D3569" t="s" s="8">
        <v>1222</v>
      </c>
      <c r="E3569" t="s" s="9">
        <v>1222</v>
      </c>
      <c r="F3569" s="19">
        <v>1</v>
      </c>
      <c r="G3569" s="14"/>
      <c r="H3569" t="s" s="10">
        <v>255</v>
      </c>
      <c r="I3569" s="14"/>
      <c r="J3569" t="s" s="11">
        <v>20</v>
      </c>
      <c r="K3569" s="15"/>
      <c r="L3569" t="s" s="16">
        <f>HYPERLINK("http://csr.bu.edu/ftp/asl/asllvd/demos/verify_start_end_handshape_annotations//test_auto_move//signs_mov_separ_signers/Liz_748.mov","MOV")</f>
        <v>21</v>
      </c>
      <c r="M3569" t="s" s="10">
        <v>84</v>
      </c>
      <c r="N3569" s="17">
        <v>25</v>
      </c>
      <c r="O3569" s="18">
        <v>2035</v>
      </c>
      <c r="P3569" s="18">
        <v>2080</v>
      </c>
      <c r="Q3569" s="15"/>
      <c r="R3569" t="s" s="16">
        <f>HYPERLINK("http://secrets.rutgers.edu:8080/data/asl-ftp/asllvd/demos/verify_start_end_handshape_annotations//test_auto_move//signs_mov_separ_signers/Liz_748.mov","MOV")</f>
        <v>21</v>
      </c>
    </row>
    <row r="3570" s="2" customFormat="1" ht="13.5" customHeight="1">
      <c r="B3570" s="13"/>
      <c r="C3570" t="s" s="9">
        <v>16</v>
      </c>
      <c r="D3570" t="s" s="8">
        <v>1222</v>
      </c>
      <c r="E3570" t="s" s="9">
        <v>1223</v>
      </c>
      <c r="F3570" t="s" s="10">
        <v>51</v>
      </c>
      <c r="G3570" s="14"/>
      <c r="H3570" t="s" s="10">
        <v>255</v>
      </c>
      <c r="I3570" s="14"/>
      <c r="J3570" t="s" s="11">
        <v>20</v>
      </c>
      <c r="K3570" s="15"/>
      <c r="L3570" t="s" s="16">
        <f>HYPERLINK("http://csr.bu.edu/ftp/asl/asllvd/demos/verify_start_end_handshape_annotations//test_auto_move//signs_mov_separ_signers/Liz_3620.mov","MOV")</f>
        <v>21</v>
      </c>
      <c r="M3570" t="s" s="10">
        <v>84</v>
      </c>
      <c r="N3570" s="17">
        <v>26</v>
      </c>
      <c r="O3570" s="18">
        <v>265</v>
      </c>
      <c r="P3570" s="18">
        <v>298</v>
      </c>
      <c r="Q3570" s="15"/>
      <c r="R3570" t="s" s="16">
        <f>HYPERLINK("http://secrets.rutgers.edu:8080/data/asl-ftp/asllvd/demos/verify_start_end_handshape_annotations//test_auto_move//signs_mov_separ_signers/Liz_3620.mov","MOV")</f>
        <v>21</v>
      </c>
    </row>
    <row r="3571" s="2" customFormat="1" ht="13.5" customHeight="1">
      <c r="B3571" s="13"/>
      <c r="C3571" t="s" s="9">
        <v>23</v>
      </c>
      <c r="D3571" t="s" s="8">
        <v>1222</v>
      </c>
      <c r="E3571" t="s" s="9">
        <v>1222</v>
      </c>
      <c r="F3571" s="19">
        <v>1</v>
      </c>
      <c r="G3571" s="14"/>
      <c r="H3571" t="s" s="10">
        <v>255</v>
      </c>
      <c r="I3571" s="14"/>
      <c r="J3571" t="s" s="11">
        <v>20</v>
      </c>
      <c r="K3571" s="15"/>
      <c r="L3571" t="s" s="16">
        <f>HYPERLINK("http://csr.bu.edu/ftp/asl/asllvd/demos/verify_start_end_handshape_annotations//test_auto_move//signs_mov_separ_signers/Tyler_748.mov","MOV")</f>
        <v>21</v>
      </c>
      <c r="M3571" t="s" s="10">
        <v>92</v>
      </c>
      <c r="N3571" s="17">
        <v>5</v>
      </c>
      <c r="O3571" s="18">
        <v>2930</v>
      </c>
      <c r="P3571" s="18">
        <v>2971</v>
      </c>
      <c r="Q3571" s="15"/>
      <c r="R3571" t="s" s="16">
        <f>HYPERLINK("http://secrets.rutgers.edu:8080/data/asl-ftp/asllvd/demos/verify_start_end_handshape_annotations//test_auto_move//signs_mov_separ_signers/Tyler_748.mov","MOV")</f>
        <v>21</v>
      </c>
    </row>
    <row r="3572" s="2" customFormat="1" ht="13.5" customHeight="1">
      <c r="B3572" s="13"/>
      <c r="C3572" t="s" s="9">
        <v>23</v>
      </c>
      <c r="D3572" t="s" s="8">
        <v>1222</v>
      </c>
      <c r="E3572" t="s" s="9">
        <v>1224</v>
      </c>
      <c r="F3572" s="19">
        <v>1</v>
      </c>
      <c r="G3572" s="14"/>
      <c r="H3572" t="s" s="10">
        <v>255</v>
      </c>
      <c r="I3572" s="14"/>
      <c r="J3572" t="s" s="11">
        <v>20</v>
      </c>
      <c r="K3572" s="15"/>
      <c r="L3572" t="s" s="16">
        <f>HYPERLINK("http://csr.bu.edu/ftp/asl/asllvd/demos/verify_start_end_handshape_annotations//test_auto_move//signs_mov_separ_signers/Tyler_3620.mov","MOV")</f>
        <v>21</v>
      </c>
      <c r="M3572" t="s" s="10">
        <v>92</v>
      </c>
      <c r="N3572" s="17">
        <v>5</v>
      </c>
      <c r="O3572" s="18">
        <v>4300</v>
      </c>
      <c r="P3572" s="18">
        <v>4355</v>
      </c>
      <c r="Q3572" s="15"/>
      <c r="R3572" t="s" s="16">
        <f>HYPERLINK("http://secrets.rutgers.edu:8080/data/asl-ftp/asllvd/demos/verify_start_end_handshape_annotations//test_auto_move//signs_mov_separ_signers/Tyler_3620.mov","MOV")</f>
        <v>21</v>
      </c>
    </row>
    <row r="3573" s="2" customFormat="1" ht="13.5" customHeight="1">
      <c r="B3573" s="13"/>
      <c r="C3573" t="s" s="9">
        <v>27</v>
      </c>
      <c r="D3573" t="s" s="8">
        <v>1222</v>
      </c>
      <c r="E3573" t="s" s="9">
        <v>1222</v>
      </c>
      <c r="F3573" s="19">
        <v>1</v>
      </c>
      <c r="G3573" s="14"/>
      <c r="H3573" t="s" s="10">
        <v>255</v>
      </c>
      <c r="I3573" s="14"/>
      <c r="J3573" t="s" s="11">
        <v>20</v>
      </c>
      <c r="K3573" t="s" s="16">
        <f>HYPERLINK("http://csr.bu.edu/ftp/asl/asllvd/demos/verify_start_end_handshape_annotations//test_auto_move//signs_mov/748_3620_merged.mov","MOV")</f>
        <v>21</v>
      </c>
      <c r="L3573" t="s" s="16">
        <f>HYPERLINK("http://csr.bu.edu/ftp/asl/asllvd/demos/verify_start_end_handshape_annotations//test_auto_move//signs_mov_separ_signers/Naomi_748.mov","MOV")</f>
        <v>21</v>
      </c>
      <c r="M3573" t="s" s="10">
        <v>86</v>
      </c>
      <c r="N3573" s="17">
        <v>25</v>
      </c>
      <c r="O3573" s="18">
        <v>2896</v>
      </c>
      <c r="P3573" s="18">
        <v>2940</v>
      </c>
      <c r="Q3573" t="s" s="16">
        <f>HYPERLINK("http://secrets.rutgers.edu:8080/data/asl-ftp/asllvd/demos/verify_start_end_handshape_annotations//test_auto_move//signs_mov/748_3620_merged.mov","MOV")</f>
        <v>21</v>
      </c>
      <c r="R3573" t="s" s="16">
        <f>HYPERLINK("http://secrets.rutgers.edu:8080/data/asl-ftp/asllvd/demos/verify_start_end_handshape_annotations//test_auto_move//signs_mov_separ_signers/Naomi_748.mov","MOV")</f>
        <v>21</v>
      </c>
    </row>
    <row r="3574" s="2" customFormat="1" ht="13.5" customHeight="1">
      <c r="B3574" s="13"/>
      <c r="C3574" t="s" s="9">
        <v>27</v>
      </c>
      <c r="D3574" t="s" s="8">
        <v>1222</v>
      </c>
      <c r="E3574" t="s" s="9">
        <v>1223</v>
      </c>
      <c r="F3574" s="19">
        <v>1</v>
      </c>
      <c r="G3574" s="14"/>
      <c r="H3574" t="s" s="10">
        <v>255</v>
      </c>
      <c r="I3574" s="14"/>
      <c r="J3574" t="s" s="11">
        <v>20</v>
      </c>
      <c r="K3574" s="15"/>
      <c r="L3574" t="s" s="16">
        <f>HYPERLINK("http://csr.bu.edu/ftp/asl/asllvd/demos/verify_start_end_handshape_annotations//test_auto_move//signs_mov_separ_signers/Naomi_3620.mov","MOV")</f>
        <v>21</v>
      </c>
      <c r="M3574" t="s" s="10">
        <v>86</v>
      </c>
      <c r="N3574" s="17">
        <v>25</v>
      </c>
      <c r="O3574" s="18">
        <v>3541</v>
      </c>
      <c r="P3574" s="18">
        <v>3565</v>
      </c>
      <c r="Q3574" s="15"/>
      <c r="R3574" t="s" s="16">
        <f>HYPERLINK("http://secrets.rutgers.edu:8080/data/asl-ftp/asllvd/demos/verify_start_end_handshape_annotations//test_auto_move//signs_mov_separ_signers/Naomi_3620.mov","MOV")</f>
        <v>21</v>
      </c>
    </row>
    <row r="3575" s="2" customFormat="1" ht="13.5" customHeight="1">
      <c r="B3575" s="13"/>
      <c r="C3575" t="s" s="9">
        <v>30</v>
      </c>
      <c r="D3575" t="s" s="8">
        <v>1222</v>
      </c>
      <c r="E3575" t="s" s="9">
        <v>1222</v>
      </c>
      <c r="F3575" s="19">
        <v>1</v>
      </c>
      <c r="G3575" s="14"/>
      <c r="H3575" t="s" s="10">
        <v>68</v>
      </c>
      <c r="I3575" s="14"/>
      <c r="J3575" t="s" s="11">
        <v>20</v>
      </c>
      <c r="K3575" s="15"/>
      <c r="L3575" t="s" s="16">
        <f>HYPERLINK("http://csr.bu.edu/ftp/asl/asllvd/demos/verify_start_end_handshape_annotations//test_auto_move//signs_mov_separ_signers/Brady_748.mov","MOV")</f>
        <v>21</v>
      </c>
      <c r="M3575" t="s" s="10">
        <v>39</v>
      </c>
      <c r="N3575" s="17">
        <v>8</v>
      </c>
      <c r="O3575" s="18">
        <v>400</v>
      </c>
      <c r="P3575" s="18">
        <v>423</v>
      </c>
      <c r="Q3575" s="15"/>
      <c r="R3575" t="s" s="16">
        <f>HYPERLINK("http://secrets.rutgers.edu:8080/data/asl-ftp/asllvd/demos/verify_start_end_handshape_annotations//test_auto_move//signs_mov_separ_signers/Brady_748.mov","MOV")</f>
        <v>21</v>
      </c>
    </row>
    <row r="3576" s="2" customFormat="1" ht="13.5" customHeight="1">
      <c r="B3576" s="13"/>
      <c r="C3576" t="s" s="9">
        <v>41</v>
      </c>
      <c r="D3576" t="s" s="8">
        <v>1222</v>
      </c>
      <c r="E3576" t="s" s="9">
        <v>1222</v>
      </c>
      <c r="F3576" s="19">
        <v>1</v>
      </c>
      <c r="G3576" s="14"/>
      <c r="H3576" t="s" s="10">
        <v>255</v>
      </c>
      <c r="I3576" s="14"/>
      <c r="J3576" t="s" s="11">
        <v>20</v>
      </c>
      <c r="K3576" s="15"/>
      <c r="L3576" t="s" s="16">
        <f>HYPERLINK("http://csr.bu.edu/ftp/asl/asllvd/demos/verify_start_end_handshape_annotations//test_auto_move//signs_mov_separ_signers/Lana_748.mov","MOV")</f>
        <v>21</v>
      </c>
      <c r="M3576" t="s" s="10">
        <v>42</v>
      </c>
      <c r="N3576" s="17">
        <v>8</v>
      </c>
      <c r="O3576" s="18">
        <v>360</v>
      </c>
      <c r="P3576" s="18">
        <v>416</v>
      </c>
      <c r="Q3576" s="15"/>
      <c r="R3576" t="s" s="16">
        <f>HYPERLINK("http://secrets.rutgers.edu:8080/data/asl-ftp/asllvd/demos/verify_start_end_handshape_annotations//test_auto_move//signs_mov_separ_signers/Lana_748.mov","MOV")</f>
        <v>21</v>
      </c>
    </row>
    <row r="3577" s="2" customFormat="1" ht="13.5" customHeight="1">
      <c r="B3577" s="13"/>
      <c r="C3577" t="s" s="9">
        <v>43</v>
      </c>
      <c r="D3577" t="s" s="8">
        <v>1222</v>
      </c>
      <c r="E3577" t="s" s="9">
        <v>1222</v>
      </c>
      <c r="F3577" s="19">
        <v>1</v>
      </c>
      <c r="G3577" s="14"/>
      <c r="H3577" t="s" s="10">
        <v>255</v>
      </c>
      <c r="I3577" s="14"/>
      <c r="J3577" t="s" s="11">
        <v>20</v>
      </c>
      <c r="K3577" s="15"/>
      <c r="L3577" t="s" s="16">
        <f>HYPERLINK("http://csr.bu.edu/ftp/asl/asllvd/demos/verify_start_end_handshape_annotations//test_auto_move//signs_mov_separ_signers/Dana_748.mov","MOV")</f>
        <v>21</v>
      </c>
      <c r="M3577" t="s" s="10">
        <v>44</v>
      </c>
      <c r="N3577" s="17">
        <v>12</v>
      </c>
      <c r="O3577" s="18">
        <v>323</v>
      </c>
      <c r="P3577" s="18">
        <v>380</v>
      </c>
      <c r="Q3577" s="15"/>
      <c r="R3577" t="s" s="16">
        <f>HYPERLINK("http://secrets.rutgers.edu:8080/data/asl-ftp/asllvd/demos/verify_start_end_handshape_annotations//test_auto_move//signs_mov_separ_signers/Dana_748.mov","MOV")</f>
        <v>21</v>
      </c>
    </row>
    <row r="3578" s="2" customFormat="1" ht="13.5" customHeight="1">
      <c r="B3578" t="s" s="8">
        <v>1225</v>
      </c>
      <c r="C3578" t="s" s="9">
        <v>14</v>
      </c>
      <c r="D3578" t="s" s="8">
        <v>14</v>
      </c>
      <c r="E3578" t="s" s="9">
        <v>14</v>
      </c>
      <c r="F3578" t="s" s="10">
        <v>14</v>
      </c>
      <c r="G3578" t="s" s="11">
        <v>14</v>
      </c>
      <c r="H3578" t="s" s="10">
        <v>14</v>
      </c>
      <c r="I3578" t="s" s="11">
        <v>14</v>
      </c>
      <c r="J3578" t="s" s="11">
        <v>14</v>
      </c>
      <c r="K3578" t="s" s="12">
        <v>14</v>
      </c>
      <c r="L3578" t="s" s="12">
        <v>14</v>
      </c>
      <c r="M3578" t="s" s="10">
        <v>14</v>
      </c>
      <c r="N3578" t="s" s="11">
        <v>14</v>
      </c>
      <c r="O3578" t="s" s="8">
        <v>14</v>
      </c>
      <c r="P3578" t="s" s="8">
        <v>14</v>
      </c>
      <c r="Q3578" t="s" s="12">
        <v>14</v>
      </c>
      <c r="R3578" t="s" s="12">
        <v>14</v>
      </c>
    </row>
    <row r="3579" s="2" customFormat="1" ht="13.5" customHeight="1">
      <c r="B3579" s="13"/>
      <c r="C3579" t="s" s="9">
        <v>16</v>
      </c>
      <c r="D3579" t="s" s="8">
        <v>1225</v>
      </c>
      <c r="E3579" t="s" s="9">
        <v>1226</v>
      </c>
      <c r="F3579" s="19">
        <v>1</v>
      </c>
      <c r="G3579" s="14"/>
      <c r="H3579" t="s" s="10">
        <v>255</v>
      </c>
      <c r="I3579" s="14"/>
      <c r="J3579" t="s" s="11">
        <v>20</v>
      </c>
      <c r="K3579" t="s" s="16">
        <f>HYPERLINK("http://csr.bu.edu/ftp/asl/asllvd/demos/verify_start_end_handshape_annotations//test_auto_move//signs_mov/15373.mov","MOV")</f>
        <v>21</v>
      </c>
      <c r="L3579" t="s" s="16">
        <f>HYPERLINK("http://csr.bu.edu/ftp/asl/asllvd/demos/verify_start_end_handshape_annotations//test_auto_move//signs_mov_separ_signers/Liz_15373.mov","MOV")</f>
        <v>21</v>
      </c>
      <c r="M3579" t="s" s="10">
        <v>77</v>
      </c>
      <c r="N3579" s="17">
        <v>12</v>
      </c>
      <c r="O3579" s="18">
        <v>531</v>
      </c>
      <c r="P3579" s="18">
        <v>592</v>
      </c>
      <c r="Q3579" t="s" s="16">
        <f>HYPERLINK("http://secrets.rutgers.edu:8080/data/asl-ftp/asllvd/demos/verify_start_end_handshape_annotations//test_auto_move//signs_mov/15373.mov","MOV")</f>
        <v>21</v>
      </c>
      <c r="R3579" t="s" s="16">
        <f>HYPERLINK("http://secrets.rutgers.edu:8080/data/asl-ftp/asllvd/demos/verify_start_end_handshape_annotations//test_auto_move//signs_mov_separ_signers/Liz_15373.mov","MOV")</f>
        <v>21</v>
      </c>
    </row>
    <row r="3580" s="2" customFormat="1" ht="13.5" customHeight="1">
      <c r="B3580" s="13"/>
      <c r="C3580" t="s" s="9">
        <v>30</v>
      </c>
      <c r="D3580" t="s" s="8">
        <v>1225</v>
      </c>
      <c r="E3580" t="s" s="9">
        <v>1226</v>
      </c>
      <c r="F3580" s="19">
        <v>1</v>
      </c>
      <c r="G3580" s="14"/>
      <c r="H3580" t="s" s="10">
        <v>255</v>
      </c>
      <c r="I3580" s="14"/>
      <c r="J3580" t="s" s="11">
        <v>20</v>
      </c>
      <c r="K3580" s="15"/>
      <c r="L3580" t="s" s="16">
        <f>HYPERLINK("http://csr.bu.edu/ftp/asl/asllvd/demos/verify_start_end_handshape_annotations//test_auto_move//signs_mov_separ_signers/Brady_15373.mov","MOV")</f>
        <v>21</v>
      </c>
      <c r="M3580" t="s" s="10">
        <v>31</v>
      </c>
      <c r="N3580" s="17">
        <v>26</v>
      </c>
      <c r="O3580" s="18">
        <v>5104</v>
      </c>
      <c r="P3580" s="18">
        <v>5135</v>
      </c>
      <c r="Q3580" s="15"/>
      <c r="R3580" t="s" s="16">
        <f>HYPERLINK("http://secrets.rutgers.edu:8080/data/asl-ftp/asllvd/demos/verify_start_end_handshape_annotations//test_auto_move//signs_mov_separ_signers/Brady_15373.mov","MOV")</f>
        <v>21</v>
      </c>
    </row>
    <row r="3581" s="2" customFormat="1" ht="13.5" customHeight="1">
      <c r="B3581" t="s" s="8">
        <v>1227</v>
      </c>
      <c r="C3581" t="s" s="9">
        <v>14</v>
      </c>
      <c r="D3581" t="s" s="8">
        <v>14</v>
      </c>
      <c r="E3581" t="s" s="9">
        <v>14</v>
      </c>
      <c r="F3581" t="s" s="10">
        <v>14</v>
      </c>
      <c r="G3581" t="s" s="11">
        <v>14</v>
      </c>
      <c r="H3581" t="s" s="10">
        <v>14</v>
      </c>
      <c r="I3581" t="s" s="11">
        <v>14</v>
      </c>
      <c r="J3581" t="s" s="11">
        <v>14</v>
      </c>
      <c r="K3581" t="s" s="12">
        <v>14</v>
      </c>
      <c r="L3581" t="s" s="12">
        <v>14</v>
      </c>
      <c r="M3581" t="s" s="10">
        <v>14</v>
      </c>
      <c r="N3581" t="s" s="11">
        <v>14</v>
      </c>
      <c r="O3581" t="s" s="8">
        <v>14</v>
      </c>
      <c r="P3581" t="s" s="8">
        <v>14</v>
      </c>
      <c r="Q3581" t="s" s="12">
        <v>14</v>
      </c>
      <c r="R3581" t="s" s="12">
        <v>14</v>
      </c>
    </row>
    <row r="3582" s="2" customFormat="1" ht="13.5" customHeight="1">
      <c r="B3582" s="13"/>
      <c r="C3582" t="s" s="9">
        <v>16</v>
      </c>
      <c r="D3582" t="s" s="8">
        <v>1227</v>
      </c>
      <c r="E3582" t="s" s="9">
        <v>1227</v>
      </c>
      <c r="F3582" t="s" s="10">
        <v>19</v>
      </c>
      <c r="G3582" s="14"/>
      <c r="H3582" t="s" s="10">
        <v>25</v>
      </c>
      <c r="I3582" s="14"/>
      <c r="J3582" t="s" s="11">
        <v>20</v>
      </c>
      <c r="K3582" t="s" s="16">
        <f>HYPERLINK("http://csr.bu.edu/ftp/asl/asllvd/demos/verify_start_end_handshape_annotations//test_auto_move//signs_mov/751.mov","MOV")</f>
        <v>21</v>
      </c>
      <c r="L3582" t="s" s="16">
        <f>HYPERLINK("http://csr.bu.edu/ftp/asl/asllvd/demos/verify_start_end_handshape_annotations//test_auto_move//signs_mov_separ_signers/Liz_751.mov","MOV")</f>
        <v>21</v>
      </c>
      <c r="M3582" t="s" s="10">
        <v>84</v>
      </c>
      <c r="N3582" s="17">
        <v>26</v>
      </c>
      <c r="O3582" s="18">
        <v>696</v>
      </c>
      <c r="P3582" s="18">
        <v>730</v>
      </c>
      <c r="Q3582" t="s" s="16">
        <f>HYPERLINK("http://secrets.rutgers.edu:8080/data/asl-ftp/asllvd/demos/verify_start_end_handshape_annotations//test_auto_move//signs_mov/751.mov","MOV")</f>
        <v>21</v>
      </c>
      <c r="R3582" t="s" s="16">
        <f>HYPERLINK("http://secrets.rutgers.edu:8080/data/asl-ftp/asllvd/demos/verify_start_end_handshape_annotations//test_auto_move//signs_mov_separ_signers/Liz_751.mov","MOV")</f>
        <v>21</v>
      </c>
    </row>
    <row r="3583" s="2" customFormat="1" ht="13.5" customHeight="1">
      <c r="B3583" t="s" s="8">
        <v>1228</v>
      </c>
      <c r="C3583" t="s" s="9">
        <v>14</v>
      </c>
      <c r="D3583" t="s" s="8">
        <v>14</v>
      </c>
      <c r="E3583" t="s" s="9">
        <v>14</v>
      </c>
      <c r="F3583" t="s" s="10">
        <v>14</v>
      </c>
      <c r="G3583" t="s" s="11">
        <v>14</v>
      </c>
      <c r="H3583" t="s" s="10">
        <v>14</v>
      </c>
      <c r="I3583" t="s" s="11">
        <v>14</v>
      </c>
      <c r="J3583" t="s" s="11">
        <v>14</v>
      </c>
      <c r="K3583" t="s" s="12">
        <v>14</v>
      </c>
      <c r="L3583" t="s" s="12">
        <v>14</v>
      </c>
      <c r="M3583" t="s" s="10">
        <v>14</v>
      </c>
      <c r="N3583" t="s" s="11">
        <v>14</v>
      </c>
      <c r="O3583" t="s" s="8">
        <v>14</v>
      </c>
      <c r="P3583" t="s" s="8">
        <v>14</v>
      </c>
      <c r="Q3583" t="s" s="12">
        <v>14</v>
      </c>
      <c r="R3583" t="s" s="12">
        <v>14</v>
      </c>
    </row>
    <row r="3584" s="2" customFormat="1" ht="13.5" customHeight="1">
      <c r="B3584" s="13"/>
      <c r="C3584" t="s" s="9">
        <v>16</v>
      </c>
      <c r="D3584" t="s" s="8">
        <v>1228</v>
      </c>
      <c r="E3584" t="s" s="9">
        <v>1228</v>
      </c>
      <c r="F3584" s="19">
        <v>1</v>
      </c>
      <c r="G3584" s="17">
        <v>1</v>
      </c>
      <c r="H3584" s="19">
        <v>1</v>
      </c>
      <c r="I3584" s="17">
        <v>1</v>
      </c>
      <c r="J3584" t="s" s="11">
        <v>20</v>
      </c>
      <c r="K3584" t="s" s="16">
        <f>HYPERLINK("http://csr.bu.edu/ftp/asl/asllvd/demos/verify_start_end_handshape_annotations//test_auto_move//signs_mov/753.mov","MOV")</f>
        <v>21</v>
      </c>
      <c r="L3584" t="s" s="16">
        <f>HYPERLINK("http://csr.bu.edu/ftp/asl/asllvd/demos/verify_start_end_handshape_annotations//test_auto_move//signs_mov_separ_signers/Liz_753.mov","MOV")</f>
        <v>21</v>
      </c>
      <c r="M3584" t="s" s="10">
        <v>84</v>
      </c>
      <c r="N3584" s="17">
        <v>26</v>
      </c>
      <c r="O3584" s="18">
        <v>1121</v>
      </c>
      <c r="P3584" s="18">
        <v>1155</v>
      </c>
      <c r="Q3584" t="s" s="16">
        <f>HYPERLINK("http://secrets.rutgers.edu:8080/data/asl-ftp/asllvd/demos/verify_start_end_handshape_annotations//test_auto_move//signs_mov/753.mov","MOV")</f>
        <v>21</v>
      </c>
      <c r="R3584" t="s" s="16">
        <f>HYPERLINK("http://secrets.rutgers.edu:8080/data/asl-ftp/asllvd/demos/verify_start_end_handshape_annotations//test_auto_move//signs_mov_separ_signers/Liz_753.mov","MOV")</f>
        <v>21</v>
      </c>
    </row>
    <row r="3585" s="2" customFormat="1" ht="13.5" customHeight="1">
      <c r="B3585" s="13"/>
      <c r="C3585" t="s" s="9">
        <v>30</v>
      </c>
      <c r="D3585" t="s" s="8">
        <v>1228</v>
      </c>
      <c r="E3585" t="s" s="9">
        <v>1228</v>
      </c>
      <c r="F3585" s="19">
        <v>1</v>
      </c>
      <c r="G3585" s="17">
        <v>1</v>
      </c>
      <c r="H3585" s="19">
        <v>1</v>
      </c>
      <c r="I3585" s="17">
        <v>1</v>
      </c>
      <c r="J3585" t="s" s="11">
        <v>20</v>
      </c>
      <c r="K3585" s="15"/>
      <c r="L3585" t="s" s="16">
        <f>HYPERLINK("http://csr.bu.edu/ftp/asl/asllvd/demos/verify_start_end_handshape_annotations//test_auto_move//signs_mov_separ_signers/Brady_753.mov","MOV")</f>
        <v>21</v>
      </c>
      <c r="M3585" t="s" s="10">
        <v>39</v>
      </c>
      <c r="N3585" s="17">
        <v>9</v>
      </c>
      <c r="O3585" s="18">
        <v>658</v>
      </c>
      <c r="P3585" s="18">
        <v>676</v>
      </c>
      <c r="Q3585" s="15"/>
      <c r="R3585" t="s" s="16">
        <f>HYPERLINK("http://secrets.rutgers.edu:8080/data/asl-ftp/asllvd/demos/verify_start_end_handshape_annotations//test_auto_move//signs_mov_separ_signers/Brady_753.mov","MOV")</f>
        <v>21</v>
      </c>
    </row>
    <row r="3586" s="2" customFormat="1" ht="13.5" customHeight="1">
      <c r="B3586" t="s" s="8">
        <v>1229</v>
      </c>
      <c r="C3586" t="s" s="9">
        <v>14</v>
      </c>
      <c r="D3586" t="s" s="8">
        <v>14</v>
      </c>
      <c r="E3586" t="s" s="9">
        <v>14</v>
      </c>
      <c r="F3586" t="s" s="10">
        <v>14</v>
      </c>
      <c r="G3586" t="s" s="11">
        <v>14</v>
      </c>
      <c r="H3586" t="s" s="10">
        <v>14</v>
      </c>
      <c r="I3586" t="s" s="11">
        <v>14</v>
      </c>
      <c r="J3586" t="s" s="11">
        <v>14</v>
      </c>
      <c r="K3586" t="s" s="12">
        <v>14</v>
      </c>
      <c r="L3586" t="s" s="12">
        <v>14</v>
      </c>
      <c r="M3586" t="s" s="10">
        <v>14</v>
      </c>
      <c r="N3586" t="s" s="11">
        <v>14</v>
      </c>
      <c r="O3586" t="s" s="8">
        <v>14</v>
      </c>
      <c r="P3586" t="s" s="8">
        <v>14</v>
      </c>
      <c r="Q3586" t="s" s="12">
        <v>14</v>
      </c>
      <c r="R3586" t="s" s="12">
        <v>14</v>
      </c>
    </row>
    <row r="3587" s="2" customFormat="1" ht="13.5" customHeight="1">
      <c r="B3587" s="13"/>
      <c r="C3587" t="s" s="9">
        <v>16</v>
      </c>
      <c r="D3587" t="s" s="8">
        <v>1229</v>
      </c>
      <c r="E3587" t="s" s="9">
        <v>1229</v>
      </c>
      <c r="F3587" s="19">
        <v>1</v>
      </c>
      <c r="G3587" s="17">
        <v>1</v>
      </c>
      <c r="H3587" s="19">
        <v>1</v>
      </c>
      <c r="I3587" s="17">
        <v>1</v>
      </c>
      <c r="J3587" t="s" s="11">
        <v>20</v>
      </c>
      <c r="K3587" s="15"/>
      <c r="L3587" t="s" s="16">
        <f>HYPERLINK("http://csr.bu.edu/ftp/asl/asllvd/demos/verify_start_end_handshape_annotations//test_auto_move//signs_mov_separ_signers/Liz_16178.mov","MOV")</f>
        <v>21</v>
      </c>
      <c r="M3587" t="s" s="10">
        <v>88</v>
      </c>
      <c r="N3587" s="17">
        <v>31</v>
      </c>
      <c r="O3587" s="18">
        <v>280</v>
      </c>
      <c r="P3587" s="18">
        <v>327</v>
      </c>
      <c r="Q3587" s="15"/>
      <c r="R3587" t="s" s="16">
        <f>HYPERLINK("http://secrets.rutgers.edu:8080/data/asl-ftp/asllvd/demos/verify_start_end_handshape_annotations//test_auto_move//signs_mov_separ_signers/Liz_16178.mov","MOV")</f>
        <v>21</v>
      </c>
    </row>
    <row r="3588" s="2" customFormat="1" ht="13.5" customHeight="1">
      <c r="B3588" s="13"/>
      <c r="C3588" t="s" s="9">
        <v>27</v>
      </c>
      <c r="D3588" t="s" s="8">
        <v>1229</v>
      </c>
      <c r="E3588" t="s" s="9">
        <v>1229</v>
      </c>
      <c r="F3588" t="s" s="10">
        <v>268</v>
      </c>
      <c r="G3588" t="s" s="11">
        <v>268</v>
      </c>
      <c r="H3588" t="s" s="10">
        <v>268</v>
      </c>
      <c r="I3588" t="s" s="11">
        <v>268</v>
      </c>
      <c r="J3588" t="s" s="11">
        <v>20</v>
      </c>
      <c r="K3588" t="s" s="16">
        <f>HYPERLINK("http://csr.bu.edu/ftp/asl/asllvd/demos/verify_start_end_handshape_annotations//test_auto_move//signs_mov/16178.mov","MOV")</f>
        <v>21</v>
      </c>
      <c r="L3588" t="s" s="16">
        <f>HYPERLINK("http://csr.bu.edu/ftp/asl/asllvd/demos/verify_start_end_handshape_annotations//test_auto_move//signs_mov_separ_signers/Naomi_16178.mov","MOV")</f>
        <v>21</v>
      </c>
      <c r="M3588" t="s" s="10">
        <v>86</v>
      </c>
      <c r="N3588" s="17">
        <v>26</v>
      </c>
      <c r="O3588" s="18">
        <v>1695</v>
      </c>
      <c r="P3588" s="18">
        <v>1720</v>
      </c>
      <c r="Q3588" t="s" s="16">
        <f>HYPERLINK("http://secrets.rutgers.edu:8080/data/asl-ftp/asllvd/demos/verify_start_end_handshape_annotations//test_auto_move//signs_mov/16178.mov","MOV")</f>
        <v>21</v>
      </c>
      <c r="R3588" t="s" s="16">
        <f>HYPERLINK("http://secrets.rutgers.edu:8080/data/asl-ftp/asllvd/demos/verify_start_end_handshape_annotations//test_auto_move//signs_mov_separ_signers/Naomi_16178.mov","MOV")</f>
        <v>21</v>
      </c>
    </row>
    <row r="3589" s="2" customFormat="1" ht="13.5" customHeight="1">
      <c r="B3589" s="13"/>
      <c r="C3589" t="s" s="9">
        <v>30</v>
      </c>
      <c r="D3589" t="s" s="8">
        <v>1229</v>
      </c>
      <c r="E3589" t="s" s="9">
        <v>1229</v>
      </c>
      <c r="F3589" s="19">
        <v>1</v>
      </c>
      <c r="G3589" s="17">
        <v>1</v>
      </c>
      <c r="H3589" s="19">
        <v>1</v>
      </c>
      <c r="I3589" s="17">
        <v>1</v>
      </c>
      <c r="J3589" t="s" s="11">
        <v>20</v>
      </c>
      <c r="K3589" s="15"/>
      <c r="L3589" t="s" s="16">
        <f>HYPERLINK("http://csr.bu.edu/ftp/asl/asllvd/demos/verify_start_end_handshape_annotations//test_auto_move//signs_mov_separ_signers/Brady_16178.mov","MOV")</f>
        <v>21</v>
      </c>
      <c r="M3589" t="s" s="10">
        <v>40</v>
      </c>
      <c r="N3589" s="17">
        <v>25</v>
      </c>
      <c r="O3589" s="18">
        <v>2719</v>
      </c>
      <c r="P3589" s="18">
        <v>2741</v>
      </c>
      <c r="Q3589" s="15"/>
      <c r="R3589" t="s" s="16">
        <f>HYPERLINK("http://secrets.rutgers.edu:8080/data/asl-ftp/asllvd/demos/verify_start_end_handshape_annotations//test_auto_move//signs_mov_separ_signers/Brady_16178.mov","MOV")</f>
        <v>21</v>
      </c>
    </row>
    <row r="3590" s="2" customFormat="1" ht="13.5" customHeight="1">
      <c r="B3590" t="s" s="8">
        <v>1230</v>
      </c>
      <c r="C3590" t="s" s="9">
        <v>14</v>
      </c>
      <c r="D3590" t="s" s="8">
        <v>14</v>
      </c>
      <c r="E3590" t="s" s="9">
        <v>14</v>
      </c>
      <c r="F3590" t="s" s="10">
        <v>14</v>
      </c>
      <c r="G3590" t="s" s="11">
        <v>14</v>
      </c>
      <c r="H3590" t="s" s="10">
        <v>14</v>
      </c>
      <c r="I3590" t="s" s="11">
        <v>14</v>
      </c>
      <c r="J3590" t="s" s="11">
        <v>14</v>
      </c>
      <c r="K3590" t="s" s="12">
        <v>14</v>
      </c>
      <c r="L3590" t="s" s="12">
        <v>14</v>
      </c>
      <c r="M3590" t="s" s="10">
        <v>14</v>
      </c>
      <c r="N3590" t="s" s="11">
        <v>14</v>
      </c>
      <c r="O3590" t="s" s="8">
        <v>14</v>
      </c>
      <c r="P3590" t="s" s="8">
        <v>14</v>
      </c>
      <c r="Q3590" t="s" s="12">
        <v>14</v>
      </c>
      <c r="R3590" t="s" s="12">
        <v>14</v>
      </c>
    </row>
    <row r="3591" s="2" customFormat="1" ht="13.5" customHeight="1">
      <c r="B3591" s="13"/>
      <c r="C3591" t="s" s="9">
        <v>16</v>
      </c>
      <c r="D3591" t="s" s="8">
        <v>1230</v>
      </c>
      <c r="E3591" t="s" s="9">
        <v>1231</v>
      </c>
      <c r="F3591" t="s" s="10">
        <v>282</v>
      </c>
      <c r="G3591" t="s" s="11">
        <v>282</v>
      </c>
      <c r="H3591" t="s" s="10">
        <v>282</v>
      </c>
      <c r="I3591" t="s" s="11">
        <v>282</v>
      </c>
      <c r="J3591" t="s" s="11">
        <v>20</v>
      </c>
      <c r="K3591" s="15"/>
      <c r="L3591" t="s" s="16">
        <f>HYPERLINK("http://csr.bu.edu/ftp/asl/asllvd/demos/verify_start_end_handshape_annotations//test_auto_move//signs_mov_separ_signers/Liz_756.mov","MOV")</f>
        <v>21</v>
      </c>
      <c r="M3591" t="s" s="10">
        <v>84</v>
      </c>
      <c r="N3591" s="17">
        <v>26</v>
      </c>
      <c r="O3591" s="18">
        <v>1832</v>
      </c>
      <c r="P3591" s="18">
        <v>1905</v>
      </c>
      <c r="Q3591" s="15"/>
      <c r="R3591" t="s" s="16">
        <f>HYPERLINK("http://secrets.rutgers.edu:8080/data/asl-ftp/asllvd/demos/verify_start_end_handshape_annotations//test_auto_move//signs_mov_separ_signers/Liz_756.mov","MOV")</f>
        <v>21</v>
      </c>
    </row>
    <row r="3592" s="2" customFormat="1" ht="13.5" customHeight="1">
      <c r="B3592" s="13"/>
      <c r="C3592" t="s" s="9">
        <v>27</v>
      </c>
      <c r="D3592" t="s" s="8">
        <v>1230</v>
      </c>
      <c r="E3592" t="s" s="9">
        <v>1231</v>
      </c>
      <c r="F3592" t="s" s="10">
        <v>282</v>
      </c>
      <c r="G3592" t="s" s="11">
        <v>282</v>
      </c>
      <c r="H3592" t="s" s="10">
        <v>282</v>
      </c>
      <c r="I3592" t="s" s="11">
        <v>282</v>
      </c>
      <c r="J3592" t="s" s="11">
        <v>20</v>
      </c>
      <c r="K3592" t="s" s="16">
        <f>HYPERLINK("http://csr.bu.edu/ftp/asl/asllvd/demos/verify_start_end_handshape_annotations//test_auto_move//signs_mov/756.mov","MOV")</f>
        <v>21</v>
      </c>
      <c r="L3592" t="s" s="16">
        <f>HYPERLINK("http://csr.bu.edu/ftp/asl/asllvd/demos/verify_start_end_handshape_annotations//test_auto_move//signs_mov_separ_signers/Naomi_756.mov","MOV")</f>
        <v>21</v>
      </c>
      <c r="M3592" t="s" s="10">
        <v>86</v>
      </c>
      <c r="N3592" s="17">
        <v>26</v>
      </c>
      <c r="O3592" s="18">
        <v>2691</v>
      </c>
      <c r="P3592" s="18">
        <v>2747</v>
      </c>
      <c r="Q3592" t="s" s="16">
        <f>HYPERLINK("http://secrets.rutgers.edu:8080/data/asl-ftp/asllvd/demos/verify_start_end_handshape_annotations//test_auto_move//signs_mov/756.mov","MOV")</f>
        <v>21</v>
      </c>
      <c r="R3592" t="s" s="16">
        <f>HYPERLINK("http://secrets.rutgers.edu:8080/data/asl-ftp/asllvd/demos/verify_start_end_handshape_annotations//test_auto_move//signs_mov_separ_signers/Naomi_756.mov","MOV")</f>
        <v>21</v>
      </c>
    </row>
    <row r="3593" s="2" customFormat="1" ht="13.5" customHeight="1">
      <c r="B3593" s="13"/>
      <c r="C3593" t="s" s="9">
        <v>30</v>
      </c>
      <c r="D3593" t="s" s="8">
        <v>1230</v>
      </c>
      <c r="E3593" t="s" s="9">
        <v>1231</v>
      </c>
      <c r="F3593" t="s" s="10">
        <v>593</v>
      </c>
      <c r="G3593" t="s" s="11">
        <v>593</v>
      </c>
      <c r="H3593" t="s" s="10">
        <v>593</v>
      </c>
      <c r="I3593" t="s" s="11">
        <v>593</v>
      </c>
      <c r="J3593" t="s" s="11">
        <v>20</v>
      </c>
      <c r="K3593" s="15"/>
      <c r="L3593" t="s" s="16">
        <f>HYPERLINK("http://csr.bu.edu/ftp/asl/asllvd/demos/verify_start_end_handshape_annotations//test_auto_move//signs_mov_separ_signers/Brady_756.mov","MOV")</f>
        <v>21</v>
      </c>
      <c r="M3593" t="s" s="10">
        <v>39</v>
      </c>
      <c r="N3593" s="17">
        <v>9</v>
      </c>
      <c r="O3593" s="18">
        <v>2149</v>
      </c>
      <c r="P3593" s="18">
        <v>2184</v>
      </c>
      <c r="Q3593" s="15"/>
      <c r="R3593" t="s" s="16">
        <f>HYPERLINK("http://secrets.rutgers.edu:8080/data/asl-ftp/asllvd/demos/verify_start_end_handshape_annotations//test_auto_move//signs_mov_separ_signers/Brady_756.mov","MOV")</f>
        <v>21</v>
      </c>
    </row>
    <row r="3594" s="2" customFormat="1" ht="13.5" customHeight="1">
      <c r="B3594" t="s" s="8">
        <v>115</v>
      </c>
      <c r="C3594" t="s" s="9">
        <v>14</v>
      </c>
      <c r="D3594" t="s" s="8">
        <v>14</v>
      </c>
      <c r="E3594" t="s" s="9">
        <v>14</v>
      </c>
      <c r="F3594" t="s" s="10">
        <v>14</v>
      </c>
      <c r="G3594" t="s" s="11">
        <v>14</v>
      </c>
      <c r="H3594" t="s" s="10">
        <v>14</v>
      </c>
      <c r="I3594" t="s" s="11">
        <v>14</v>
      </c>
      <c r="J3594" t="s" s="11">
        <v>14</v>
      </c>
      <c r="K3594" t="s" s="12">
        <v>14</v>
      </c>
      <c r="L3594" t="s" s="12">
        <v>14</v>
      </c>
      <c r="M3594" t="s" s="10">
        <v>14</v>
      </c>
      <c r="N3594" t="s" s="11">
        <v>14</v>
      </c>
      <c r="O3594" t="s" s="8">
        <v>14</v>
      </c>
      <c r="P3594" t="s" s="8">
        <v>14</v>
      </c>
      <c r="Q3594" t="s" s="12">
        <v>14</v>
      </c>
      <c r="R3594" t="s" s="12">
        <v>14</v>
      </c>
    </row>
    <row r="3595" s="2" customFormat="1" ht="13.5" customHeight="1">
      <c r="B3595" s="13"/>
      <c r="C3595" t="s" s="9">
        <v>16</v>
      </c>
      <c r="D3595" t="s" s="8">
        <v>115</v>
      </c>
      <c r="E3595" t="s" s="9">
        <v>115</v>
      </c>
      <c r="F3595" t="s" s="10">
        <v>115</v>
      </c>
      <c r="G3595" s="14"/>
      <c r="H3595" t="s" s="10">
        <v>115</v>
      </c>
      <c r="I3595" s="14"/>
      <c r="J3595" t="s" s="11">
        <v>20</v>
      </c>
      <c r="K3595" s="15"/>
      <c r="L3595" t="s" s="16">
        <f>HYPERLINK("http://csr.bu.edu/ftp/asl/asllvd/demos/verify_start_end_handshape_annotations//test_auto_move//signs_mov_separ_signers/Liz_757.mov","MOV")</f>
        <v>21</v>
      </c>
      <c r="M3595" t="s" s="10">
        <v>84</v>
      </c>
      <c r="N3595" s="17">
        <v>26</v>
      </c>
      <c r="O3595" s="18">
        <v>2070</v>
      </c>
      <c r="P3595" s="18">
        <v>2130</v>
      </c>
      <c r="Q3595" s="15"/>
      <c r="R3595" t="s" s="16">
        <f>HYPERLINK("http://secrets.rutgers.edu:8080/data/asl-ftp/asllvd/demos/verify_start_end_handshape_annotations//test_auto_move//signs_mov_separ_signers/Liz_757.mov","MOV")</f>
        <v>21</v>
      </c>
    </row>
    <row r="3596" s="2" customFormat="1" ht="13.5" customHeight="1">
      <c r="B3596" s="13"/>
      <c r="C3596" t="s" s="9">
        <v>27</v>
      </c>
      <c r="D3596" t="s" s="8">
        <v>115</v>
      </c>
      <c r="E3596" t="s" s="9">
        <v>115</v>
      </c>
      <c r="F3596" t="s" s="10">
        <v>115</v>
      </c>
      <c r="G3596" s="14"/>
      <c r="H3596" t="s" s="10">
        <v>115</v>
      </c>
      <c r="I3596" s="14"/>
      <c r="J3596" t="s" s="11">
        <v>20</v>
      </c>
      <c r="K3596" t="s" s="16">
        <f>HYPERLINK("http://csr.bu.edu/ftp/asl/asllvd/demos/verify_start_end_handshape_annotations//test_auto_move//signs_mov/757.mov","MOV")</f>
        <v>21</v>
      </c>
      <c r="L3596" t="s" s="16">
        <f>HYPERLINK("http://csr.bu.edu/ftp/asl/asllvd/demos/verify_start_end_handshape_annotations//test_auto_move//signs_mov_separ_signers/Naomi_757.mov","MOV")</f>
        <v>21</v>
      </c>
      <c r="M3596" t="s" s="10">
        <v>86</v>
      </c>
      <c r="N3596" s="17">
        <v>26</v>
      </c>
      <c r="O3596" s="18">
        <v>2960</v>
      </c>
      <c r="P3596" s="18">
        <v>3007</v>
      </c>
      <c r="Q3596" t="s" s="16">
        <f>HYPERLINK("http://secrets.rutgers.edu:8080/data/asl-ftp/asllvd/demos/verify_start_end_handshape_annotations//test_auto_move//signs_mov/757.mov","MOV")</f>
        <v>21</v>
      </c>
      <c r="R3596" t="s" s="16">
        <f>HYPERLINK("http://secrets.rutgers.edu:8080/data/asl-ftp/asllvd/demos/verify_start_end_handshape_annotations//test_auto_move//signs_mov_separ_signers/Naomi_757.mov","MOV")</f>
        <v>21</v>
      </c>
    </row>
    <row r="3597" s="2" customFormat="1" ht="13.5" customHeight="1">
      <c r="B3597" s="13"/>
      <c r="C3597" t="s" s="9">
        <v>30</v>
      </c>
      <c r="D3597" t="s" s="8">
        <v>115</v>
      </c>
      <c r="E3597" t="s" s="9">
        <v>115</v>
      </c>
      <c r="F3597" t="s" s="10">
        <v>115</v>
      </c>
      <c r="G3597" s="14"/>
      <c r="H3597" t="s" s="10">
        <v>115</v>
      </c>
      <c r="I3597" s="14"/>
      <c r="J3597" t="s" s="11">
        <v>20</v>
      </c>
      <c r="K3597" s="15"/>
      <c r="L3597" t="s" s="16">
        <f>HYPERLINK("http://csr.bu.edu/ftp/asl/asllvd/demos/verify_start_end_handshape_annotations//test_auto_move//signs_mov_separ_signers/Brady_757.mov","MOV")</f>
        <v>21</v>
      </c>
      <c r="M3597" t="s" s="10">
        <v>39</v>
      </c>
      <c r="N3597" s="17">
        <v>9</v>
      </c>
      <c r="O3597" s="18">
        <v>2520</v>
      </c>
      <c r="P3597" s="18">
        <v>2552</v>
      </c>
      <c r="Q3597" s="15"/>
      <c r="R3597" t="s" s="16">
        <f>HYPERLINK("http://secrets.rutgers.edu:8080/data/asl-ftp/asllvd/demos/verify_start_end_handshape_annotations//test_auto_move//signs_mov_separ_signers/Brady_757.mov","MOV")</f>
        <v>21</v>
      </c>
    </row>
    <row r="3598" s="2" customFormat="1" ht="13.5" customHeight="1">
      <c r="B3598" t="s" s="8">
        <v>1232</v>
      </c>
      <c r="C3598" t="s" s="9">
        <v>14</v>
      </c>
      <c r="D3598" t="s" s="8">
        <v>14</v>
      </c>
      <c r="E3598" t="s" s="9">
        <v>14</v>
      </c>
      <c r="F3598" t="s" s="10">
        <v>14</v>
      </c>
      <c r="G3598" t="s" s="11">
        <v>14</v>
      </c>
      <c r="H3598" t="s" s="10">
        <v>14</v>
      </c>
      <c r="I3598" t="s" s="11">
        <v>14</v>
      </c>
      <c r="J3598" t="s" s="11">
        <v>14</v>
      </c>
      <c r="K3598" t="s" s="12">
        <v>14</v>
      </c>
      <c r="L3598" t="s" s="12">
        <v>14</v>
      </c>
      <c r="M3598" t="s" s="10">
        <v>14</v>
      </c>
      <c r="N3598" t="s" s="11">
        <v>14</v>
      </c>
      <c r="O3598" t="s" s="8">
        <v>14</v>
      </c>
      <c r="P3598" t="s" s="8">
        <v>14</v>
      </c>
      <c r="Q3598" t="s" s="12">
        <v>14</v>
      </c>
      <c r="R3598" t="s" s="12">
        <v>14</v>
      </c>
    </row>
    <row r="3599" s="2" customFormat="1" ht="13.5" customHeight="1">
      <c r="B3599" s="13"/>
      <c r="C3599" t="s" s="9">
        <v>27</v>
      </c>
      <c r="D3599" t="s" s="8">
        <v>1232</v>
      </c>
      <c r="E3599" t="s" s="9">
        <v>1232</v>
      </c>
      <c r="F3599" t="s" s="10">
        <v>85</v>
      </c>
      <c r="G3599" t="s" s="11">
        <v>185</v>
      </c>
      <c r="H3599" t="s" s="10">
        <v>85</v>
      </c>
      <c r="I3599" t="s" s="11">
        <v>185</v>
      </c>
      <c r="J3599" t="s" s="11">
        <v>20</v>
      </c>
      <c r="K3599" t="s" s="16">
        <f>HYPERLINK("http://csr.bu.edu/ftp/asl/asllvd/demos/verify_start_end_handshape_annotations//test_auto_move//signs_mov/758.mov","MOV")</f>
        <v>21</v>
      </c>
      <c r="L3599" t="s" s="16">
        <f>HYPERLINK("http://csr.bu.edu/ftp/asl/asllvd/demos/verify_start_end_handshape_annotations//test_auto_move//signs_mov_separ_signers/Naomi_758.mov","MOV")</f>
        <v>21</v>
      </c>
      <c r="M3599" t="s" s="10">
        <v>86</v>
      </c>
      <c r="N3599" s="17">
        <v>26</v>
      </c>
      <c r="O3599" s="18">
        <v>3325</v>
      </c>
      <c r="P3599" s="18">
        <v>3345</v>
      </c>
      <c r="Q3599" t="s" s="16">
        <f>HYPERLINK("http://secrets.rutgers.edu:8080/data/asl-ftp/asllvd/demos/verify_start_end_handshape_annotations//test_auto_move//signs_mov/758.mov","MOV")</f>
        <v>21</v>
      </c>
      <c r="R3599" t="s" s="16">
        <f>HYPERLINK("http://secrets.rutgers.edu:8080/data/asl-ftp/asllvd/demos/verify_start_end_handshape_annotations//test_auto_move//signs_mov_separ_signers/Naomi_758.mov","MOV")</f>
        <v>21</v>
      </c>
    </row>
    <row r="3600" s="2" customFormat="1" ht="13.5" customHeight="1">
      <c r="B3600" t="s" s="8">
        <v>52</v>
      </c>
      <c r="C3600" t="s" s="9">
        <v>53</v>
      </c>
      <c r="D3600" t="s" s="8">
        <v>53</v>
      </c>
      <c r="E3600" t="s" s="9">
        <v>53</v>
      </c>
      <c r="F3600" t="s" s="10">
        <v>53</v>
      </c>
      <c r="G3600" t="s" s="11">
        <v>53</v>
      </c>
      <c r="H3600" t="s" s="10">
        <v>53</v>
      </c>
      <c r="I3600" t="s" s="11">
        <v>53</v>
      </c>
      <c r="J3600" t="s" s="11">
        <v>53</v>
      </c>
      <c r="K3600" t="s" s="12">
        <v>53</v>
      </c>
      <c r="L3600" t="s" s="12">
        <v>53</v>
      </c>
      <c r="M3600" t="s" s="10">
        <v>53</v>
      </c>
      <c r="N3600" t="s" s="11">
        <v>53</v>
      </c>
      <c r="O3600" t="s" s="8">
        <v>53</v>
      </c>
      <c r="P3600" t="s" s="8">
        <v>53</v>
      </c>
      <c r="Q3600" t="s" s="12">
        <v>53</v>
      </c>
      <c r="R3600" t="s" s="12">
        <v>53</v>
      </c>
    </row>
    <row r="3601" s="2" customFormat="1" ht="13.5" customHeight="1">
      <c r="B3601" s="13"/>
      <c r="C3601" t="s" s="9">
        <v>30</v>
      </c>
      <c r="D3601" t="s" s="8">
        <v>1232</v>
      </c>
      <c r="E3601" t="s" s="9">
        <v>1233</v>
      </c>
      <c r="F3601" s="19">
        <v>1</v>
      </c>
      <c r="G3601" t="s" s="11">
        <v>185</v>
      </c>
      <c r="H3601" s="19">
        <v>1</v>
      </c>
      <c r="I3601" t="s" s="11">
        <v>185</v>
      </c>
      <c r="J3601" t="s" s="11">
        <v>20</v>
      </c>
      <c r="K3601" t="s" s="16">
        <f>HYPERLINK("http://csr.bu.edu/ftp/asl/asllvd/demos/verify_start_end_handshape_annotations//test_auto_move//signs_mov/3961.mov","MOV")</f>
        <v>21</v>
      </c>
      <c r="L3601" t="s" s="16">
        <f>HYPERLINK("http://csr.bu.edu/ftp/asl/asllvd/demos/verify_start_end_handshape_annotations//test_auto_move//signs_mov_separ_signers/Brady_3961.mov","MOV")</f>
        <v>21</v>
      </c>
      <c r="M3601" t="s" s="10">
        <v>39</v>
      </c>
      <c r="N3601" s="17">
        <v>9</v>
      </c>
      <c r="O3601" s="18">
        <v>3103</v>
      </c>
      <c r="P3601" s="18">
        <v>3115</v>
      </c>
      <c r="Q3601" t="s" s="16">
        <f>HYPERLINK("http://secrets.rutgers.edu:8080/data/asl-ftp/asllvd/demos/verify_start_end_handshape_annotations//test_auto_move//signs_mov/3961.mov","MOV")</f>
        <v>21</v>
      </c>
      <c r="R3601" t="s" s="16">
        <f>HYPERLINK("http://secrets.rutgers.edu:8080/data/asl-ftp/asllvd/demos/verify_start_end_handshape_annotations//test_auto_move//signs_mov_separ_signers/Brady_3961.mov","MOV")</f>
        <v>21</v>
      </c>
    </row>
    <row r="3602" s="2" customFormat="1" ht="13.5" customHeight="1">
      <c r="B3602" t="s" s="8">
        <v>1232</v>
      </c>
      <c r="C3602" t="s" s="9">
        <v>14</v>
      </c>
      <c r="D3602" t="s" s="8">
        <v>14</v>
      </c>
      <c r="E3602" t="s" s="9">
        <v>14</v>
      </c>
      <c r="F3602" t="s" s="10">
        <v>14</v>
      </c>
      <c r="G3602" t="s" s="11">
        <v>14</v>
      </c>
      <c r="H3602" t="s" s="10">
        <v>14</v>
      </c>
      <c r="I3602" t="s" s="11">
        <v>14</v>
      </c>
      <c r="J3602" t="s" s="11">
        <v>14</v>
      </c>
      <c r="K3602" t="s" s="12">
        <v>14</v>
      </c>
      <c r="L3602" t="s" s="12">
        <v>14</v>
      </c>
      <c r="M3602" t="s" s="10">
        <v>14</v>
      </c>
      <c r="N3602" t="s" s="11">
        <v>14</v>
      </c>
      <c r="O3602" t="s" s="8">
        <v>14</v>
      </c>
      <c r="P3602" t="s" s="8">
        <v>14</v>
      </c>
      <c r="Q3602" t="s" s="12">
        <v>14</v>
      </c>
      <c r="R3602" t="s" s="12">
        <v>14</v>
      </c>
    </row>
    <row r="3603" s="2" customFormat="1" ht="13.5" customHeight="1">
      <c r="B3603" s="13"/>
      <c r="C3603" t="s" s="9">
        <v>16</v>
      </c>
      <c r="D3603" t="s" s="8">
        <v>1234</v>
      </c>
      <c r="E3603" t="s" s="9">
        <v>1234</v>
      </c>
      <c r="F3603" t="s" s="10">
        <v>70</v>
      </c>
      <c r="G3603" t="s" s="11">
        <v>105</v>
      </c>
      <c r="H3603" s="19">
        <v>1</v>
      </c>
      <c r="I3603" t="s" s="11">
        <v>105</v>
      </c>
      <c r="J3603" t="s" s="11">
        <v>20</v>
      </c>
      <c r="K3603" t="s" s="16">
        <f>HYPERLINK("http://csr.bu.edu/ftp/asl/asllvd/demos/verify_start_end_handshape_annotations//test_auto_move//signs_mov/15046.mov","MOV")</f>
        <v>21</v>
      </c>
      <c r="L3603" t="s" s="16">
        <f>HYPERLINK("http://csr.bu.edu/ftp/asl/asllvd/demos/verify_start_end_handshape_annotations//test_auto_move//signs_mov_separ_signers/Liz_15046.mov","MOV")</f>
        <v>21</v>
      </c>
      <c r="M3603" t="s" s="10">
        <v>77</v>
      </c>
      <c r="N3603" s="17">
        <v>11</v>
      </c>
      <c r="O3603" s="18">
        <v>650</v>
      </c>
      <c r="P3603" s="18">
        <v>700</v>
      </c>
      <c r="Q3603" t="s" s="16">
        <f>HYPERLINK("http://secrets.rutgers.edu:8080/data/asl-ftp/asllvd/demos/verify_start_end_handshape_annotations//test_auto_move//signs_mov/15046.mov","MOV")</f>
        <v>21</v>
      </c>
      <c r="R3603" t="s" s="16">
        <f>HYPERLINK("http://secrets.rutgers.edu:8080/data/asl-ftp/asllvd/demos/verify_start_end_handshape_annotations//test_auto_move//signs_mov_separ_signers/Liz_15046.mov","MOV")</f>
        <v>21</v>
      </c>
    </row>
    <row r="3604" s="2" customFormat="1" ht="13.5" customHeight="1">
      <c r="B3604" t="s" s="8">
        <v>1232</v>
      </c>
      <c r="C3604" t="s" s="9">
        <v>14</v>
      </c>
      <c r="D3604" t="s" s="8">
        <v>14</v>
      </c>
      <c r="E3604" t="s" s="9">
        <v>14</v>
      </c>
      <c r="F3604" t="s" s="10">
        <v>14</v>
      </c>
      <c r="G3604" t="s" s="11">
        <v>14</v>
      </c>
      <c r="H3604" t="s" s="10">
        <v>14</v>
      </c>
      <c r="I3604" t="s" s="11">
        <v>14</v>
      </c>
      <c r="J3604" t="s" s="11">
        <v>14</v>
      </c>
      <c r="K3604" t="s" s="12">
        <v>14</v>
      </c>
      <c r="L3604" t="s" s="12">
        <v>14</v>
      </c>
      <c r="M3604" t="s" s="10">
        <v>14</v>
      </c>
      <c r="N3604" t="s" s="11">
        <v>14</v>
      </c>
      <c r="O3604" t="s" s="8">
        <v>14</v>
      </c>
      <c r="P3604" t="s" s="8">
        <v>14</v>
      </c>
      <c r="Q3604" t="s" s="12">
        <v>14</v>
      </c>
      <c r="R3604" t="s" s="12">
        <v>14</v>
      </c>
    </row>
    <row r="3605" s="2" customFormat="1" ht="13.5" customHeight="1">
      <c r="B3605" s="13"/>
      <c r="C3605" t="s" s="9">
        <v>16</v>
      </c>
      <c r="D3605" t="s" s="8">
        <v>1235</v>
      </c>
      <c r="E3605" t="s" s="9">
        <v>1235</v>
      </c>
      <c r="F3605" t="s" s="10">
        <v>115</v>
      </c>
      <c r="G3605" s="17">
        <v>1</v>
      </c>
      <c r="H3605" t="s" s="10">
        <v>115</v>
      </c>
      <c r="I3605" s="17">
        <v>1</v>
      </c>
      <c r="J3605" t="s" s="11">
        <v>20</v>
      </c>
      <c r="K3605" t="s" s="16">
        <f>HYPERLINK("http://csr.bu.edu/ftp/asl/asllvd/demos/verify_start_end_handshape_annotations//test_auto_move//signs_mov/15047.mov","MOV")</f>
        <v>21</v>
      </c>
      <c r="L3605" t="s" s="16">
        <f>HYPERLINK("http://csr.bu.edu/ftp/asl/asllvd/demos/verify_start_end_handshape_annotations//test_auto_move//signs_mov_separ_signers/Liz_15047.mov","MOV")</f>
        <v>21</v>
      </c>
      <c r="M3605" t="s" s="10">
        <v>84</v>
      </c>
      <c r="N3605" s="17">
        <v>26</v>
      </c>
      <c r="O3605" s="18">
        <v>2426</v>
      </c>
      <c r="P3605" s="18">
        <v>2455</v>
      </c>
      <c r="Q3605" t="s" s="16">
        <f>HYPERLINK("http://secrets.rutgers.edu:8080/data/asl-ftp/asllvd/demos/verify_start_end_handshape_annotations//test_auto_move//signs_mov/15047.mov","MOV")</f>
        <v>21</v>
      </c>
      <c r="R3605" t="s" s="16">
        <f>HYPERLINK("http://secrets.rutgers.edu:8080/data/asl-ftp/asllvd/demos/verify_start_end_handshape_annotations//test_auto_move//signs_mov_separ_signers/Liz_15047.mov","MOV")</f>
        <v>21</v>
      </c>
    </row>
    <row r="3606" s="2" customFormat="1" ht="13.5" customHeight="1">
      <c r="B3606" s="13"/>
      <c r="C3606" t="s" s="9">
        <v>30</v>
      </c>
      <c r="D3606" t="s" s="8">
        <v>1235</v>
      </c>
      <c r="E3606" t="s" s="9">
        <v>1235</v>
      </c>
      <c r="F3606" t="s" s="10">
        <v>115</v>
      </c>
      <c r="G3606" s="17">
        <v>1</v>
      </c>
      <c r="H3606" t="s" s="10">
        <v>115</v>
      </c>
      <c r="I3606" s="17">
        <v>1</v>
      </c>
      <c r="J3606" t="s" s="11">
        <v>20</v>
      </c>
      <c r="K3606" s="15"/>
      <c r="L3606" t="s" s="16">
        <f>HYPERLINK("http://csr.bu.edu/ftp/asl/asllvd/demos/verify_start_end_handshape_annotations//test_auto_move//signs_mov_separ_signers/Brady_15047.mov","MOV")</f>
        <v>21</v>
      </c>
      <c r="M3606" t="s" s="10">
        <v>39</v>
      </c>
      <c r="N3606" s="17">
        <v>9</v>
      </c>
      <c r="O3606" s="18">
        <v>2855</v>
      </c>
      <c r="P3606" s="18">
        <v>2871</v>
      </c>
      <c r="Q3606" s="15"/>
      <c r="R3606" t="s" s="16">
        <f>HYPERLINK("http://secrets.rutgers.edu:8080/data/asl-ftp/asllvd/demos/verify_start_end_handshape_annotations//test_auto_move//signs_mov_separ_signers/Brady_15047.mov","MOV")</f>
        <v>21</v>
      </c>
    </row>
    <row r="3607" s="2" customFormat="1" ht="13.5" customHeight="1">
      <c r="B3607" t="s" s="8">
        <v>1236</v>
      </c>
      <c r="C3607" t="s" s="9">
        <v>14</v>
      </c>
      <c r="D3607" t="s" s="8">
        <v>14</v>
      </c>
      <c r="E3607" t="s" s="9">
        <v>14</v>
      </c>
      <c r="F3607" t="s" s="10">
        <v>14</v>
      </c>
      <c r="G3607" t="s" s="11">
        <v>14</v>
      </c>
      <c r="H3607" t="s" s="10">
        <v>14</v>
      </c>
      <c r="I3607" t="s" s="11">
        <v>14</v>
      </c>
      <c r="J3607" t="s" s="11">
        <v>14</v>
      </c>
      <c r="K3607" t="s" s="12">
        <v>14</v>
      </c>
      <c r="L3607" t="s" s="12">
        <v>14</v>
      </c>
      <c r="M3607" t="s" s="10">
        <v>14</v>
      </c>
      <c r="N3607" t="s" s="11">
        <v>14</v>
      </c>
      <c r="O3607" t="s" s="8">
        <v>14</v>
      </c>
      <c r="P3607" t="s" s="8">
        <v>14</v>
      </c>
      <c r="Q3607" t="s" s="12">
        <v>14</v>
      </c>
      <c r="R3607" t="s" s="12">
        <v>14</v>
      </c>
    </row>
    <row r="3608" s="2" customFormat="1" ht="13.5" customHeight="1">
      <c r="B3608" s="13"/>
      <c r="C3608" t="s" s="9">
        <v>16</v>
      </c>
      <c r="D3608" t="s" s="8">
        <v>1236</v>
      </c>
      <c r="E3608" t="s" s="9">
        <v>1236</v>
      </c>
      <c r="F3608" s="19">
        <v>10</v>
      </c>
      <c r="G3608" s="17">
        <v>10</v>
      </c>
      <c r="H3608" s="19">
        <v>10</v>
      </c>
      <c r="I3608" s="17">
        <v>10</v>
      </c>
      <c r="J3608" t="s" s="11">
        <v>20</v>
      </c>
      <c r="K3608" s="15"/>
      <c r="L3608" t="s" s="16">
        <f>HYPERLINK("http://csr.bu.edu/ftp/asl/asllvd/demos/verify_start_end_handshape_annotations//test_auto_move//signs_mov_separ_signers/Liz_759.mov","MOV")</f>
        <v>21</v>
      </c>
      <c r="M3608" t="s" s="10">
        <v>84</v>
      </c>
      <c r="N3608" s="17">
        <v>26</v>
      </c>
      <c r="O3608" s="18">
        <v>2670</v>
      </c>
      <c r="P3608" s="18">
        <v>2695</v>
      </c>
      <c r="Q3608" s="15"/>
      <c r="R3608" t="s" s="16">
        <f>HYPERLINK("http://secrets.rutgers.edu:8080/data/asl-ftp/asllvd/demos/verify_start_end_handshape_annotations//test_auto_move//signs_mov_separ_signers/Liz_759.mov","MOV")</f>
        <v>21</v>
      </c>
    </row>
    <row r="3609" s="2" customFormat="1" ht="13.5" customHeight="1">
      <c r="B3609" s="13"/>
      <c r="C3609" t="s" s="9">
        <v>27</v>
      </c>
      <c r="D3609" t="s" s="8">
        <v>1236</v>
      </c>
      <c r="E3609" t="s" s="9">
        <v>1236</v>
      </c>
      <c r="F3609" s="19">
        <v>10</v>
      </c>
      <c r="G3609" s="17">
        <v>10</v>
      </c>
      <c r="H3609" s="19">
        <v>10</v>
      </c>
      <c r="I3609" s="17">
        <v>10</v>
      </c>
      <c r="J3609" t="s" s="11">
        <v>20</v>
      </c>
      <c r="K3609" t="s" s="16">
        <f>HYPERLINK("http://csr.bu.edu/ftp/asl/asllvd/demos/verify_start_end_handshape_annotations//test_auto_move//signs_mov/759.mov","MOV")</f>
        <v>21</v>
      </c>
      <c r="L3609" t="s" s="16">
        <f>HYPERLINK("http://csr.bu.edu/ftp/asl/asllvd/demos/verify_start_end_handshape_annotations//test_auto_move//signs_mov_separ_signers/Naomi_759.mov","MOV")</f>
        <v>21</v>
      </c>
      <c r="M3609" t="s" s="10">
        <v>86</v>
      </c>
      <c r="N3609" s="17">
        <v>26</v>
      </c>
      <c r="O3609" s="18">
        <v>4240</v>
      </c>
      <c r="P3609" s="18">
        <v>4271</v>
      </c>
      <c r="Q3609" t="s" s="16">
        <f>HYPERLINK("http://secrets.rutgers.edu:8080/data/asl-ftp/asllvd/demos/verify_start_end_handshape_annotations//test_auto_move//signs_mov/759.mov","MOV")</f>
        <v>21</v>
      </c>
      <c r="R3609" t="s" s="16">
        <f>HYPERLINK("http://secrets.rutgers.edu:8080/data/asl-ftp/asllvd/demos/verify_start_end_handshape_annotations//test_auto_move//signs_mov_separ_signers/Naomi_759.mov","MOV")</f>
        <v>21</v>
      </c>
    </row>
    <row r="3610" s="2" customFormat="1" ht="13.5" customHeight="1">
      <c r="B3610" s="13"/>
      <c r="C3610" t="s" s="9">
        <v>30</v>
      </c>
      <c r="D3610" t="s" s="8">
        <v>1236</v>
      </c>
      <c r="E3610" t="s" s="9">
        <v>1237</v>
      </c>
      <c r="F3610" s="19">
        <v>10</v>
      </c>
      <c r="G3610" s="17">
        <v>10</v>
      </c>
      <c r="H3610" s="19">
        <v>10</v>
      </c>
      <c r="I3610" s="17">
        <v>10</v>
      </c>
      <c r="J3610" t="s" s="11">
        <v>20</v>
      </c>
      <c r="K3610" s="15"/>
      <c r="L3610" t="s" s="16">
        <f>HYPERLINK("http://csr.bu.edu/ftp/asl/asllvd/demos/verify_start_end_handshape_annotations//test_auto_move//signs_mov_separ_signers/Brady_759.mov","MOV")</f>
        <v>21</v>
      </c>
      <c r="M3610" t="s" s="10">
        <v>39</v>
      </c>
      <c r="N3610" s="17">
        <v>9</v>
      </c>
      <c r="O3610" s="18">
        <v>3503</v>
      </c>
      <c r="P3610" s="18">
        <v>3537</v>
      </c>
      <c r="Q3610" s="15"/>
      <c r="R3610" t="s" s="16">
        <f>HYPERLINK("http://secrets.rutgers.edu:8080/data/asl-ftp/asllvd/demos/verify_start_end_handshape_annotations//test_auto_move//signs_mov_separ_signers/Brady_759.mov","MOV")</f>
        <v>21</v>
      </c>
    </row>
    <row r="3611" s="2" customFormat="1" ht="13.5" customHeight="1">
      <c r="B3611" t="s" s="8">
        <v>1238</v>
      </c>
      <c r="C3611" t="s" s="9">
        <v>14</v>
      </c>
      <c r="D3611" t="s" s="8">
        <v>14</v>
      </c>
      <c r="E3611" t="s" s="9">
        <v>14</v>
      </c>
      <c r="F3611" t="s" s="10">
        <v>14</v>
      </c>
      <c r="G3611" t="s" s="11">
        <v>14</v>
      </c>
      <c r="H3611" t="s" s="10">
        <v>14</v>
      </c>
      <c r="I3611" t="s" s="11">
        <v>14</v>
      </c>
      <c r="J3611" t="s" s="11">
        <v>14</v>
      </c>
      <c r="K3611" t="s" s="12">
        <v>14</v>
      </c>
      <c r="L3611" t="s" s="12">
        <v>14</v>
      </c>
      <c r="M3611" t="s" s="10">
        <v>14</v>
      </c>
      <c r="N3611" t="s" s="11">
        <v>14</v>
      </c>
      <c r="O3611" t="s" s="8">
        <v>14</v>
      </c>
      <c r="P3611" t="s" s="8">
        <v>14</v>
      </c>
      <c r="Q3611" t="s" s="12">
        <v>14</v>
      </c>
      <c r="R3611" t="s" s="12">
        <v>14</v>
      </c>
    </row>
    <row r="3612" s="2" customFormat="1" ht="13.5" customHeight="1">
      <c r="B3612" s="13"/>
      <c r="C3612" t="s" s="9">
        <v>16</v>
      </c>
      <c r="D3612" t="s" s="8">
        <v>1238</v>
      </c>
      <c r="E3612" t="s" s="9">
        <v>1239</v>
      </c>
      <c r="F3612" t="s" s="10">
        <v>73</v>
      </c>
      <c r="G3612" t="s" s="11">
        <v>73</v>
      </c>
      <c r="H3612" t="s" s="10">
        <v>73</v>
      </c>
      <c r="I3612" t="s" s="11">
        <v>73</v>
      </c>
      <c r="J3612" t="s" s="11">
        <v>20</v>
      </c>
      <c r="K3612" t="s" s="16">
        <f>HYPERLINK("http://csr.bu.edu/ftp/asl/asllvd/demos/verify_start_end_handshape_annotations//test_auto_move//signs_mov/760.mov","MOV")</f>
        <v>21</v>
      </c>
      <c r="L3612" t="s" s="16">
        <f>HYPERLINK("http://csr.bu.edu/ftp/asl/asllvd/demos/verify_start_end_handshape_annotations//test_auto_move//signs_mov_separ_signers/Liz_760.mov","MOV")</f>
        <v>21</v>
      </c>
      <c r="M3612" t="s" s="10">
        <v>84</v>
      </c>
      <c r="N3612" s="17">
        <v>27</v>
      </c>
      <c r="O3612" s="18">
        <v>261</v>
      </c>
      <c r="P3612" s="18">
        <v>325</v>
      </c>
      <c r="Q3612" t="s" s="16">
        <f>HYPERLINK("http://secrets.rutgers.edu:8080/data/asl-ftp/asllvd/demos/verify_start_end_handshape_annotations//test_auto_move//signs_mov/760.mov","MOV")</f>
        <v>21</v>
      </c>
      <c r="R3612" t="s" s="16">
        <f>HYPERLINK("http://secrets.rutgers.edu:8080/data/asl-ftp/asllvd/demos/verify_start_end_handshape_annotations//test_auto_move//signs_mov_separ_signers/Liz_760.mov","MOV")</f>
        <v>21</v>
      </c>
    </row>
    <row r="3613" s="2" customFormat="1" ht="13.5" customHeight="1">
      <c r="B3613" s="13"/>
      <c r="C3613" t="s" s="9">
        <v>27</v>
      </c>
      <c r="D3613" t="s" s="8">
        <v>1238</v>
      </c>
      <c r="E3613" t="s" s="9">
        <v>1240</v>
      </c>
      <c r="F3613" t="s" s="10">
        <v>73</v>
      </c>
      <c r="G3613" t="s" s="11">
        <v>73</v>
      </c>
      <c r="H3613" t="s" s="10">
        <v>73</v>
      </c>
      <c r="I3613" t="s" s="11">
        <v>73</v>
      </c>
      <c r="J3613" t="s" s="11">
        <v>20</v>
      </c>
      <c r="K3613" s="15"/>
      <c r="L3613" t="s" s="16">
        <f>HYPERLINK("http://csr.bu.edu/ftp/asl/asllvd/demos/verify_start_end_handshape_annotations//test_auto_move//signs_mov_separ_signers/Naomi_760.mov","MOV")</f>
        <v>21</v>
      </c>
      <c r="M3613" t="s" s="10">
        <v>86</v>
      </c>
      <c r="N3613" s="17">
        <v>26</v>
      </c>
      <c r="O3613" s="18">
        <v>4555</v>
      </c>
      <c r="P3613" s="18">
        <v>4596</v>
      </c>
      <c r="Q3613" s="15"/>
      <c r="R3613" t="s" s="16">
        <f>HYPERLINK("http://secrets.rutgers.edu:8080/data/asl-ftp/asllvd/demos/verify_start_end_handshape_annotations//test_auto_move//signs_mov_separ_signers/Naomi_760.mov","MOV")</f>
        <v>21</v>
      </c>
    </row>
    <row r="3614" s="2" customFormat="1" ht="13.5" customHeight="1">
      <c r="B3614" t="s" s="8">
        <v>1241</v>
      </c>
      <c r="C3614" t="s" s="9">
        <v>14</v>
      </c>
      <c r="D3614" t="s" s="8">
        <v>14</v>
      </c>
      <c r="E3614" t="s" s="9">
        <v>14</v>
      </c>
      <c r="F3614" t="s" s="10">
        <v>14</v>
      </c>
      <c r="G3614" t="s" s="11">
        <v>14</v>
      </c>
      <c r="H3614" t="s" s="10">
        <v>14</v>
      </c>
      <c r="I3614" t="s" s="11">
        <v>14</v>
      </c>
      <c r="J3614" t="s" s="11">
        <v>14</v>
      </c>
      <c r="K3614" t="s" s="12">
        <v>14</v>
      </c>
      <c r="L3614" t="s" s="12">
        <v>14</v>
      </c>
      <c r="M3614" t="s" s="10">
        <v>14</v>
      </c>
      <c r="N3614" t="s" s="11">
        <v>14</v>
      </c>
      <c r="O3614" t="s" s="8">
        <v>14</v>
      </c>
      <c r="P3614" t="s" s="8">
        <v>14</v>
      </c>
      <c r="Q3614" t="s" s="12">
        <v>14</v>
      </c>
      <c r="R3614" t="s" s="12">
        <v>14</v>
      </c>
    </row>
    <row r="3615" s="2" customFormat="1" ht="13.5" customHeight="1">
      <c r="B3615" s="13"/>
      <c r="C3615" t="s" s="9">
        <v>16</v>
      </c>
      <c r="D3615" t="s" s="8">
        <v>1242</v>
      </c>
      <c r="E3615" t="s" s="9">
        <v>1243</v>
      </c>
      <c r="F3615" t="s" s="10">
        <v>63</v>
      </c>
      <c r="G3615" s="14"/>
      <c r="H3615" t="s" s="10">
        <v>63</v>
      </c>
      <c r="I3615" s="14"/>
      <c r="J3615" t="s" s="11">
        <v>20</v>
      </c>
      <c r="K3615" s="15"/>
      <c r="L3615" t="s" s="16">
        <f>HYPERLINK("http://csr.bu.edu/ftp/asl/asllvd/demos/verify_start_end_handshape_annotations//test_auto_move//signs_mov_separ_signers/Liz_762.mov","MOV")</f>
        <v>21</v>
      </c>
      <c r="M3615" t="s" s="10">
        <v>22</v>
      </c>
      <c r="N3615" s="17">
        <v>43</v>
      </c>
      <c r="O3615" s="18">
        <v>915</v>
      </c>
      <c r="P3615" s="18">
        <v>966</v>
      </c>
      <c r="Q3615" s="15"/>
      <c r="R3615" t="s" s="16">
        <f>HYPERLINK("http://secrets.rutgers.edu:8080/data/asl-ftp/asllvd/demos/verify_start_end_handshape_annotations//test_auto_move//signs_mov_separ_signers/Liz_762.mov","MOV")</f>
        <v>21</v>
      </c>
    </row>
    <row r="3616" s="2" customFormat="1" ht="13.5" customHeight="1">
      <c r="B3616" s="13"/>
      <c r="C3616" t="s" s="9">
        <v>16</v>
      </c>
      <c r="D3616" t="s" s="8">
        <v>1242</v>
      </c>
      <c r="E3616" t="s" s="9">
        <v>1243</v>
      </c>
      <c r="F3616" t="s" s="10">
        <v>63</v>
      </c>
      <c r="G3616" s="14"/>
      <c r="H3616" t="s" s="10">
        <v>63</v>
      </c>
      <c r="I3616" s="14"/>
      <c r="J3616" t="s" s="11">
        <v>20</v>
      </c>
      <c r="K3616" s="15"/>
      <c r="L3616" t="s" s="16">
        <f>HYPERLINK("http://csr.bu.edu/ftp/asl/asllvd/demos/verify_start_end_handshape_annotations//test_auto_move//signs_mov_separ_signers/Liz_15029.mov","MOV")</f>
        <v>21</v>
      </c>
      <c r="M3616" t="s" s="10">
        <v>84</v>
      </c>
      <c r="N3616" s="17">
        <v>27</v>
      </c>
      <c r="O3616" s="18">
        <v>720</v>
      </c>
      <c r="P3616" s="18">
        <v>772</v>
      </c>
      <c r="Q3616" s="15"/>
      <c r="R3616" t="s" s="16">
        <f>HYPERLINK("http://secrets.rutgers.edu:8080/data/asl-ftp/asllvd/demos/verify_start_end_handshape_annotations//test_auto_move//signs_mov_separ_signers/Liz_15029.mov","MOV")</f>
        <v>21</v>
      </c>
    </row>
    <row r="3617" s="2" customFormat="1" ht="13.5" customHeight="1">
      <c r="B3617" s="13"/>
      <c r="C3617" t="s" s="9">
        <v>23</v>
      </c>
      <c r="D3617" t="s" s="8">
        <v>1242</v>
      </c>
      <c r="E3617" t="s" s="9">
        <v>1242</v>
      </c>
      <c r="F3617" t="s" s="10">
        <v>28</v>
      </c>
      <c r="G3617" s="14"/>
      <c r="H3617" t="s" s="10">
        <v>28</v>
      </c>
      <c r="I3617" s="14"/>
      <c r="J3617" t="s" s="11">
        <v>20</v>
      </c>
      <c r="K3617" t="s" s="16">
        <f>HYPERLINK("http://csr.bu.edu/ftp/asl/asllvd/demos/verify_start_end_handshape_annotations//test_auto_move//signs_mov/762_15029_merged.mov","MOV")</f>
        <v>21</v>
      </c>
      <c r="L3617" t="s" s="16">
        <f>HYPERLINK("http://csr.bu.edu/ftp/asl/asllvd/demos/verify_start_end_handshape_annotations//test_auto_move//signs_mov_separ_signers/Tyler_762.mov","MOV")</f>
        <v>21</v>
      </c>
      <c r="M3617" t="s" s="10">
        <v>92</v>
      </c>
      <c r="N3617" s="17">
        <v>7</v>
      </c>
      <c r="O3617" s="18">
        <v>425</v>
      </c>
      <c r="P3617" s="18">
        <v>466</v>
      </c>
      <c r="Q3617" t="s" s="16">
        <f>HYPERLINK("http://secrets.rutgers.edu:8080/data/asl-ftp/asllvd/demos/verify_start_end_handshape_annotations//test_auto_move//signs_mov/762_15029_merged.mov","MOV")</f>
        <v>21</v>
      </c>
      <c r="R3617" t="s" s="16">
        <f>HYPERLINK("http://secrets.rutgers.edu:8080/data/asl-ftp/asllvd/demos/verify_start_end_handshape_annotations//test_auto_move//signs_mov_separ_signers/Tyler_762.mov","MOV")</f>
        <v>21</v>
      </c>
    </row>
    <row r="3618" s="2" customFormat="1" ht="13.5" customHeight="1">
      <c r="B3618" s="13"/>
      <c r="C3618" t="s" s="9">
        <v>27</v>
      </c>
      <c r="D3618" t="s" s="8">
        <v>1242</v>
      </c>
      <c r="E3618" t="s" s="9">
        <v>1242</v>
      </c>
      <c r="F3618" t="s" s="10">
        <v>28</v>
      </c>
      <c r="G3618" s="14"/>
      <c r="H3618" t="s" s="10">
        <v>28</v>
      </c>
      <c r="I3618" s="14"/>
      <c r="J3618" t="s" s="11">
        <v>20</v>
      </c>
      <c r="K3618" s="15"/>
      <c r="L3618" t="s" s="16">
        <f>HYPERLINK("http://csr.bu.edu/ftp/asl/asllvd/demos/verify_start_end_handshape_annotations//test_auto_move//signs_mov_separ_signers/Naomi_762.mov","MOV")</f>
        <v>21</v>
      </c>
      <c r="M3618" t="s" s="10">
        <v>86</v>
      </c>
      <c r="N3618" s="17">
        <v>27</v>
      </c>
      <c r="O3618" s="18">
        <v>397</v>
      </c>
      <c r="P3618" s="18">
        <v>422</v>
      </c>
      <c r="Q3618" s="15"/>
      <c r="R3618" t="s" s="16">
        <f>HYPERLINK("http://secrets.rutgers.edu:8080/data/asl-ftp/asllvd/demos/verify_start_end_handshape_annotations//test_auto_move//signs_mov_separ_signers/Naomi_762.mov","MOV")</f>
        <v>21</v>
      </c>
    </row>
    <row r="3619" s="2" customFormat="1" ht="13.5" customHeight="1">
      <c r="B3619" s="13"/>
      <c r="C3619" t="s" s="9">
        <v>30</v>
      </c>
      <c r="D3619" t="s" s="8">
        <v>1242</v>
      </c>
      <c r="E3619" t="s" s="9">
        <v>1242</v>
      </c>
      <c r="F3619" t="s" s="10">
        <v>63</v>
      </c>
      <c r="G3619" s="14"/>
      <c r="H3619" t="s" s="10">
        <v>63</v>
      </c>
      <c r="I3619" s="14"/>
      <c r="J3619" t="s" s="11">
        <v>20</v>
      </c>
      <c r="K3619" s="15"/>
      <c r="L3619" t="s" s="16">
        <f>HYPERLINK("http://csr.bu.edu/ftp/asl/asllvd/demos/verify_start_end_handshape_annotations//test_auto_move//signs_mov_separ_signers/Brady_762.mov","MOV")</f>
        <v>21</v>
      </c>
      <c r="M3619" t="s" s="10">
        <v>39</v>
      </c>
      <c r="N3619" s="17">
        <v>9</v>
      </c>
      <c r="O3619" s="18">
        <v>4310</v>
      </c>
      <c r="P3619" s="18">
        <v>4346</v>
      </c>
      <c r="Q3619" s="15"/>
      <c r="R3619" t="s" s="16">
        <f>HYPERLINK("http://secrets.rutgers.edu:8080/data/asl-ftp/asllvd/demos/verify_start_end_handshape_annotations//test_auto_move//signs_mov_separ_signers/Brady_762.mov","MOV")</f>
        <v>21</v>
      </c>
    </row>
    <row r="3620" s="2" customFormat="1" ht="13.5" customHeight="1">
      <c r="B3620" t="s" s="8">
        <v>1244</v>
      </c>
      <c r="C3620" t="s" s="9">
        <v>14</v>
      </c>
      <c r="D3620" t="s" s="8">
        <v>14</v>
      </c>
      <c r="E3620" t="s" s="9">
        <v>14</v>
      </c>
      <c r="F3620" t="s" s="10">
        <v>14</v>
      </c>
      <c r="G3620" t="s" s="11">
        <v>14</v>
      </c>
      <c r="H3620" t="s" s="10">
        <v>14</v>
      </c>
      <c r="I3620" t="s" s="11">
        <v>14</v>
      </c>
      <c r="J3620" t="s" s="11">
        <v>14</v>
      </c>
      <c r="K3620" t="s" s="12">
        <v>14</v>
      </c>
      <c r="L3620" t="s" s="12">
        <v>14</v>
      </c>
      <c r="M3620" t="s" s="10">
        <v>14</v>
      </c>
      <c r="N3620" t="s" s="11">
        <v>14</v>
      </c>
      <c r="O3620" t="s" s="8">
        <v>14</v>
      </c>
      <c r="P3620" t="s" s="8">
        <v>14</v>
      </c>
      <c r="Q3620" t="s" s="12">
        <v>14</v>
      </c>
      <c r="R3620" t="s" s="12">
        <v>14</v>
      </c>
    </row>
    <row r="3621" s="2" customFormat="1" ht="13.5" customHeight="1">
      <c r="B3621" s="13"/>
      <c r="C3621" t="s" s="9">
        <v>16</v>
      </c>
      <c r="D3621" t="s" s="8">
        <v>1244</v>
      </c>
      <c r="E3621" t="s" s="9">
        <v>1244</v>
      </c>
      <c r="F3621" t="s" s="10">
        <v>187</v>
      </c>
      <c r="G3621" t="s" s="11">
        <v>187</v>
      </c>
      <c r="H3621" t="s" s="10">
        <v>187</v>
      </c>
      <c r="I3621" t="s" s="11">
        <v>187</v>
      </c>
      <c r="J3621" t="s" s="11">
        <v>20</v>
      </c>
      <c r="K3621" s="15"/>
      <c r="L3621" t="s" s="16">
        <f>HYPERLINK("http://csr.bu.edu/ftp/asl/asllvd/demos/verify_start_end_handshape_annotations//test_auto_move//signs_mov_separ_signers/Liz_767.mov","MOV")</f>
        <v>21</v>
      </c>
      <c r="M3621" t="s" s="10">
        <v>84</v>
      </c>
      <c r="N3621" s="17">
        <v>27</v>
      </c>
      <c r="O3621" s="18">
        <v>1907</v>
      </c>
      <c r="P3621" s="18">
        <v>1960</v>
      </c>
      <c r="Q3621" s="15"/>
      <c r="R3621" t="s" s="16">
        <f>HYPERLINK("http://secrets.rutgers.edu:8080/data/asl-ftp/asllvd/demos/verify_start_end_handshape_annotations//test_auto_move//signs_mov_separ_signers/Liz_767.mov","MOV")</f>
        <v>21</v>
      </c>
    </row>
    <row r="3622" s="2" customFormat="1" ht="13.5" customHeight="1">
      <c r="B3622" s="13"/>
      <c r="C3622" t="s" s="9">
        <v>23</v>
      </c>
      <c r="D3622" t="s" s="8">
        <v>1244</v>
      </c>
      <c r="E3622" t="s" s="9">
        <v>1244</v>
      </c>
      <c r="F3622" t="s" s="10">
        <v>72</v>
      </c>
      <c r="G3622" t="s" s="11">
        <v>72</v>
      </c>
      <c r="H3622" t="s" s="10">
        <v>187</v>
      </c>
      <c r="I3622" t="s" s="11">
        <v>187</v>
      </c>
      <c r="J3622" t="s" s="11">
        <v>20</v>
      </c>
      <c r="K3622" t="s" s="16">
        <f>HYPERLINK("http://csr.bu.edu/ftp/asl/asllvd/demos/verify_start_end_handshape_annotations//test_auto_move//signs_mov/767.mov","MOV")</f>
        <v>21</v>
      </c>
      <c r="L3622" t="s" s="16">
        <f>HYPERLINK("http://csr.bu.edu/ftp/asl/asllvd/demos/verify_start_end_handshape_annotations//test_auto_move//signs_mov_separ_signers/Tyler_767.mov","MOV")</f>
        <v>21</v>
      </c>
      <c r="M3622" t="s" s="10">
        <v>92</v>
      </c>
      <c r="N3622" s="17">
        <v>7</v>
      </c>
      <c r="O3622" s="18">
        <v>2310</v>
      </c>
      <c r="P3622" s="18">
        <v>2350</v>
      </c>
      <c r="Q3622" t="s" s="16">
        <f>HYPERLINK("http://secrets.rutgers.edu:8080/data/asl-ftp/asllvd/demos/verify_start_end_handshape_annotations//test_auto_move//signs_mov/767.mov","MOV")</f>
        <v>21</v>
      </c>
      <c r="R3622" t="s" s="16">
        <f>HYPERLINK("http://secrets.rutgers.edu:8080/data/asl-ftp/asllvd/demos/verify_start_end_handshape_annotations//test_auto_move//signs_mov_separ_signers/Tyler_767.mov","MOV")</f>
        <v>21</v>
      </c>
    </row>
    <row r="3623" s="2" customFormat="1" ht="13.5" customHeight="1">
      <c r="B3623" s="13"/>
      <c r="C3623" t="s" s="9">
        <v>27</v>
      </c>
      <c r="D3623" t="s" s="8">
        <v>1244</v>
      </c>
      <c r="E3623" t="s" s="9">
        <v>1244</v>
      </c>
      <c r="F3623" t="s" s="10">
        <v>187</v>
      </c>
      <c r="G3623" t="s" s="11">
        <v>187</v>
      </c>
      <c r="H3623" t="s" s="10">
        <v>187</v>
      </c>
      <c r="I3623" t="s" s="11">
        <v>187</v>
      </c>
      <c r="J3623" t="s" s="11">
        <v>20</v>
      </c>
      <c r="K3623" s="15"/>
      <c r="L3623" t="s" s="16">
        <f>HYPERLINK("http://csr.bu.edu/ftp/asl/asllvd/demos/verify_start_end_handshape_annotations//test_auto_move//signs_mov_separ_signers/Naomi_767.mov","MOV")</f>
        <v>21</v>
      </c>
      <c r="M3623" t="s" s="10">
        <v>86</v>
      </c>
      <c r="N3623" s="17">
        <v>27</v>
      </c>
      <c r="O3623" s="18">
        <v>2697</v>
      </c>
      <c r="P3623" s="18">
        <v>2725</v>
      </c>
      <c r="Q3623" s="15"/>
      <c r="R3623" t="s" s="16">
        <f>HYPERLINK("http://secrets.rutgers.edu:8080/data/asl-ftp/asllvd/demos/verify_start_end_handshape_annotations//test_auto_move//signs_mov_separ_signers/Naomi_767.mov","MOV")</f>
        <v>21</v>
      </c>
    </row>
    <row r="3624" s="2" customFormat="1" ht="13.5" customHeight="1">
      <c r="B3624" s="13"/>
      <c r="C3624" t="s" s="9">
        <v>30</v>
      </c>
      <c r="D3624" t="s" s="8">
        <v>1244</v>
      </c>
      <c r="E3624" t="s" s="9">
        <v>1244</v>
      </c>
      <c r="F3624" t="s" s="10">
        <v>72</v>
      </c>
      <c r="G3624" t="s" s="11">
        <v>72</v>
      </c>
      <c r="H3624" t="s" s="10">
        <v>72</v>
      </c>
      <c r="I3624" t="s" s="11">
        <v>72</v>
      </c>
      <c r="J3624" t="s" s="11">
        <v>20</v>
      </c>
      <c r="K3624" s="15"/>
      <c r="L3624" t="s" s="16">
        <f>HYPERLINK("http://csr.bu.edu/ftp/asl/asllvd/demos/verify_start_end_handshape_annotations//test_auto_move//signs_mov_separ_signers/Brady_767.mov","MOV")</f>
        <v>21</v>
      </c>
      <c r="M3624" t="s" s="10">
        <v>39</v>
      </c>
      <c r="N3624" s="17">
        <v>9</v>
      </c>
      <c r="O3624" s="18">
        <v>5876</v>
      </c>
      <c r="P3624" s="18">
        <v>5900</v>
      </c>
      <c r="Q3624" s="15"/>
      <c r="R3624" t="s" s="16">
        <f>HYPERLINK("http://secrets.rutgers.edu:8080/data/asl-ftp/asllvd/demos/verify_start_end_handshape_annotations//test_auto_move//signs_mov_separ_signers/Brady_767.mov","MOV")</f>
        <v>21</v>
      </c>
    </row>
    <row r="3625" s="2" customFormat="1" ht="13.5" customHeight="1">
      <c r="B3625" t="s" s="8">
        <v>1245</v>
      </c>
      <c r="C3625" t="s" s="9">
        <v>14</v>
      </c>
      <c r="D3625" t="s" s="8">
        <v>14</v>
      </c>
      <c r="E3625" t="s" s="9">
        <v>14</v>
      </c>
      <c r="F3625" t="s" s="10">
        <v>14</v>
      </c>
      <c r="G3625" t="s" s="11">
        <v>14</v>
      </c>
      <c r="H3625" t="s" s="10">
        <v>14</v>
      </c>
      <c r="I3625" t="s" s="11">
        <v>14</v>
      </c>
      <c r="J3625" t="s" s="11">
        <v>14</v>
      </c>
      <c r="K3625" t="s" s="12">
        <v>14</v>
      </c>
      <c r="L3625" t="s" s="12">
        <v>14</v>
      </c>
      <c r="M3625" t="s" s="10">
        <v>14</v>
      </c>
      <c r="N3625" t="s" s="11">
        <v>14</v>
      </c>
      <c r="O3625" t="s" s="8">
        <v>14</v>
      </c>
      <c r="P3625" t="s" s="8">
        <v>14</v>
      </c>
      <c r="Q3625" t="s" s="12">
        <v>14</v>
      </c>
      <c r="R3625" t="s" s="12">
        <v>14</v>
      </c>
    </row>
    <row r="3626" s="2" customFormat="1" ht="13.5" customHeight="1">
      <c r="B3626" s="13"/>
      <c r="C3626" t="s" s="9">
        <v>16</v>
      </c>
      <c r="D3626" t="s" s="8">
        <v>1245</v>
      </c>
      <c r="E3626" t="s" s="9">
        <v>1245</v>
      </c>
      <c r="F3626" t="s" s="10">
        <v>18</v>
      </c>
      <c r="G3626" t="s" s="11">
        <v>18</v>
      </c>
      <c r="H3626" t="s" s="10">
        <v>28</v>
      </c>
      <c r="I3626" t="s" s="11">
        <v>28</v>
      </c>
      <c r="J3626" t="s" s="11">
        <v>20</v>
      </c>
      <c r="K3626" s="15"/>
      <c r="L3626" t="s" s="16">
        <f>HYPERLINK("http://csr.bu.edu/ftp/asl/asllvd/demos/verify_start_end_handshape_annotations//test_auto_move//signs_mov_separ_signers/Liz_768.mov","MOV")</f>
        <v>21</v>
      </c>
      <c r="M3626" t="s" s="10">
        <v>84</v>
      </c>
      <c r="N3626" s="17">
        <v>27</v>
      </c>
      <c r="O3626" s="18">
        <v>2161</v>
      </c>
      <c r="P3626" s="18">
        <v>2201</v>
      </c>
      <c r="Q3626" s="15"/>
      <c r="R3626" t="s" s="16">
        <f>HYPERLINK("http://secrets.rutgers.edu:8080/data/asl-ftp/asllvd/demos/verify_start_end_handshape_annotations//test_auto_move//signs_mov_separ_signers/Liz_768.mov","MOV")</f>
        <v>21</v>
      </c>
    </row>
    <row r="3627" s="2" customFormat="1" ht="13.5" customHeight="1">
      <c r="B3627" s="13"/>
      <c r="C3627" t="s" s="9">
        <v>23</v>
      </c>
      <c r="D3627" t="s" s="8">
        <v>1245</v>
      </c>
      <c r="E3627" t="s" s="9">
        <v>1245</v>
      </c>
      <c r="F3627" t="s" s="10">
        <v>18</v>
      </c>
      <c r="G3627" t="s" s="11">
        <v>18</v>
      </c>
      <c r="H3627" t="s" s="10">
        <v>28</v>
      </c>
      <c r="I3627" t="s" s="11">
        <v>28</v>
      </c>
      <c r="J3627" t="s" s="11">
        <v>20</v>
      </c>
      <c r="K3627" t="s" s="16">
        <f>HYPERLINK("http://csr.bu.edu/ftp/asl/asllvd/demos/verify_start_end_handshape_annotations//test_auto_move//signs_mov/768.mov","MOV")</f>
        <v>21</v>
      </c>
      <c r="L3627" t="s" s="16">
        <f>HYPERLINK("http://csr.bu.edu/ftp/asl/asllvd/demos/verify_start_end_handshape_annotations//test_auto_move//signs_mov_separ_signers/Tyler_768.mov","MOV")</f>
        <v>21</v>
      </c>
      <c r="M3627" t="s" s="10">
        <v>92</v>
      </c>
      <c r="N3627" s="17">
        <v>7</v>
      </c>
      <c r="O3627" s="18">
        <v>2670</v>
      </c>
      <c r="P3627" s="18">
        <v>2697</v>
      </c>
      <c r="Q3627" t="s" s="16">
        <f>HYPERLINK("http://secrets.rutgers.edu:8080/data/asl-ftp/asllvd/demos/verify_start_end_handshape_annotations//test_auto_move//signs_mov/768.mov","MOV")</f>
        <v>21</v>
      </c>
      <c r="R3627" t="s" s="16">
        <f>HYPERLINK("http://secrets.rutgers.edu:8080/data/asl-ftp/asllvd/demos/verify_start_end_handshape_annotations//test_auto_move//signs_mov_separ_signers/Tyler_768.mov","MOV")</f>
        <v>21</v>
      </c>
    </row>
    <row r="3628" s="2" customFormat="1" ht="13.5" customHeight="1">
      <c r="B3628" s="13"/>
      <c r="C3628" t="s" s="9">
        <v>27</v>
      </c>
      <c r="D3628" t="s" s="8">
        <v>1245</v>
      </c>
      <c r="E3628" t="s" s="9">
        <v>1245</v>
      </c>
      <c r="F3628" t="s" s="10">
        <v>28</v>
      </c>
      <c r="G3628" t="s" s="11">
        <v>28</v>
      </c>
      <c r="H3628" t="s" s="10">
        <v>28</v>
      </c>
      <c r="I3628" t="s" s="11">
        <v>28</v>
      </c>
      <c r="J3628" t="s" s="11">
        <v>20</v>
      </c>
      <c r="K3628" s="15"/>
      <c r="L3628" t="s" s="16">
        <f>HYPERLINK("http://csr.bu.edu/ftp/asl/asllvd/demos/verify_start_end_handshape_annotations//test_auto_move//signs_mov_separ_signers/Naomi_768.mov","MOV")</f>
        <v>21</v>
      </c>
      <c r="M3628" t="s" s="10">
        <v>86</v>
      </c>
      <c r="N3628" s="17">
        <v>27</v>
      </c>
      <c r="O3628" s="18">
        <v>2960</v>
      </c>
      <c r="P3628" s="18">
        <v>2990</v>
      </c>
      <c r="Q3628" s="15"/>
      <c r="R3628" t="s" s="16">
        <f>HYPERLINK("http://secrets.rutgers.edu:8080/data/asl-ftp/asllvd/demos/verify_start_end_handshape_annotations//test_auto_move//signs_mov_separ_signers/Naomi_768.mov","MOV")</f>
        <v>21</v>
      </c>
    </row>
    <row r="3629" s="2" customFormat="1" ht="13.5" customHeight="1">
      <c r="B3629" s="13"/>
      <c r="C3629" t="s" s="9">
        <v>30</v>
      </c>
      <c r="D3629" t="s" s="8">
        <v>1245</v>
      </c>
      <c r="E3629" t="s" s="9">
        <v>1245</v>
      </c>
      <c r="F3629" t="s" s="10">
        <v>255</v>
      </c>
      <c r="G3629" t="s" s="11">
        <v>255</v>
      </c>
      <c r="H3629" t="s" s="10">
        <v>255</v>
      </c>
      <c r="I3629" t="s" s="11">
        <v>255</v>
      </c>
      <c r="J3629" t="s" s="11">
        <v>20</v>
      </c>
      <c r="K3629" s="15"/>
      <c r="L3629" t="s" s="16">
        <f>HYPERLINK("http://csr.bu.edu/ftp/asl/asllvd/demos/verify_start_end_handshape_annotations//test_auto_move//signs_mov_separ_signers/Brady_768.mov","MOV")</f>
        <v>21</v>
      </c>
      <c r="M3629" t="s" s="10">
        <v>39</v>
      </c>
      <c r="N3629" s="17">
        <v>9</v>
      </c>
      <c r="O3629" s="18">
        <v>6156</v>
      </c>
      <c r="P3629" s="18">
        <v>6183</v>
      </c>
      <c r="Q3629" s="15"/>
      <c r="R3629" t="s" s="16">
        <f>HYPERLINK("http://secrets.rutgers.edu:8080/data/asl-ftp/asllvd/demos/verify_start_end_handshape_annotations//test_auto_move//signs_mov_separ_signers/Brady_768.mov","MOV")</f>
        <v>21</v>
      </c>
    </row>
    <row r="3630" s="2" customFormat="1" ht="13.5" customHeight="1">
      <c r="B3630" t="s" s="8">
        <v>1246</v>
      </c>
      <c r="C3630" t="s" s="9">
        <v>14</v>
      </c>
      <c r="D3630" t="s" s="8">
        <v>14</v>
      </c>
      <c r="E3630" t="s" s="9">
        <v>14</v>
      </c>
      <c r="F3630" t="s" s="10">
        <v>14</v>
      </c>
      <c r="G3630" t="s" s="11">
        <v>14</v>
      </c>
      <c r="H3630" t="s" s="10">
        <v>14</v>
      </c>
      <c r="I3630" t="s" s="11">
        <v>14</v>
      </c>
      <c r="J3630" t="s" s="11">
        <v>14</v>
      </c>
      <c r="K3630" t="s" s="12">
        <v>14</v>
      </c>
      <c r="L3630" t="s" s="12">
        <v>14</v>
      </c>
      <c r="M3630" t="s" s="10">
        <v>14</v>
      </c>
      <c r="N3630" t="s" s="11">
        <v>14</v>
      </c>
      <c r="O3630" t="s" s="8">
        <v>14</v>
      </c>
      <c r="P3630" t="s" s="8">
        <v>14</v>
      </c>
      <c r="Q3630" t="s" s="12">
        <v>14</v>
      </c>
      <c r="R3630" t="s" s="12">
        <v>14</v>
      </c>
    </row>
    <row r="3631" s="2" customFormat="1" ht="13.5" customHeight="1">
      <c r="B3631" s="13"/>
      <c r="C3631" t="s" s="9">
        <v>16</v>
      </c>
      <c r="D3631" t="s" s="8">
        <v>1246</v>
      </c>
      <c r="E3631" t="s" s="9">
        <v>1246</v>
      </c>
      <c r="F3631" t="s" s="10">
        <v>430</v>
      </c>
      <c r="G3631" t="s" s="11">
        <v>55</v>
      </c>
      <c r="H3631" t="s" s="10">
        <v>430</v>
      </c>
      <c r="I3631" t="s" s="11">
        <v>55</v>
      </c>
      <c r="J3631" t="s" s="11">
        <v>20</v>
      </c>
      <c r="K3631" s="15"/>
      <c r="L3631" t="s" s="16">
        <f>HYPERLINK("http://csr.bu.edu/ftp/asl/asllvd/demos/verify_start_end_handshape_annotations//test_auto_move//signs_mov_separ_signers/Liz_769.mov","MOV")</f>
        <v>21</v>
      </c>
      <c r="M3631" t="s" s="10">
        <v>84</v>
      </c>
      <c r="N3631" s="17">
        <v>27</v>
      </c>
      <c r="O3631" s="18">
        <v>2426</v>
      </c>
      <c r="P3631" s="18">
        <v>2489</v>
      </c>
      <c r="Q3631" s="15"/>
      <c r="R3631" t="s" s="16">
        <f>HYPERLINK("http://secrets.rutgers.edu:8080/data/asl-ftp/asllvd/demos/verify_start_end_handshape_annotations//test_auto_move//signs_mov_separ_signers/Liz_769.mov","MOV")</f>
        <v>21</v>
      </c>
    </row>
    <row r="3632" s="2" customFormat="1" ht="13.5" customHeight="1">
      <c r="B3632" s="13"/>
      <c r="C3632" t="s" s="9">
        <v>23</v>
      </c>
      <c r="D3632" t="s" s="8">
        <v>1246</v>
      </c>
      <c r="E3632" t="s" s="9">
        <v>1246</v>
      </c>
      <c r="F3632" t="s" s="10">
        <v>430</v>
      </c>
      <c r="G3632" t="s" s="11">
        <v>55</v>
      </c>
      <c r="H3632" t="s" s="10">
        <v>430</v>
      </c>
      <c r="I3632" t="s" s="11">
        <v>55</v>
      </c>
      <c r="J3632" t="s" s="11">
        <v>20</v>
      </c>
      <c r="K3632" s="15"/>
      <c r="L3632" t="s" s="16">
        <f>HYPERLINK("http://csr.bu.edu/ftp/asl/asllvd/demos/verify_start_end_handshape_annotations//test_auto_move//signs_mov_separ_signers/Tyler_769.mov","MOV")</f>
        <v>21</v>
      </c>
      <c r="M3632" t="s" s="10">
        <v>92</v>
      </c>
      <c r="N3632" s="17">
        <v>7</v>
      </c>
      <c r="O3632" s="18">
        <v>2886</v>
      </c>
      <c r="P3632" s="18">
        <v>2932</v>
      </c>
      <c r="Q3632" s="15"/>
      <c r="R3632" t="s" s="16">
        <f>HYPERLINK("http://secrets.rutgers.edu:8080/data/asl-ftp/asllvd/demos/verify_start_end_handshape_annotations//test_auto_move//signs_mov_separ_signers/Tyler_769.mov","MOV")</f>
        <v>21</v>
      </c>
    </row>
    <row r="3633" s="2" customFormat="1" ht="13.5" customHeight="1">
      <c r="B3633" s="13"/>
      <c r="C3633" t="s" s="9">
        <v>27</v>
      </c>
      <c r="D3633" t="s" s="8">
        <v>1246</v>
      </c>
      <c r="E3633" t="s" s="9">
        <v>1246</v>
      </c>
      <c r="F3633" t="s" s="10">
        <v>430</v>
      </c>
      <c r="G3633" t="s" s="11">
        <v>55</v>
      </c>
      <c r="H3633" t="s" s="10">
        <v>430</v>
      </c>
      <c r="I3633" t="s" s="11">
        <v>55</v>
      </c>
      <c r="J3633" t="s" s="11">
        <v>20</v>
      </c>
      <c r="K3633" t="s" s="16">
        <f>HYPERLINK("http://csr.bu.edu/ftp/asl/asllvd/demos/verify_start_end_handshape_annotations//test_auto_move//signs_mov/769.mov","MOV")</f>
        <v>21</v>
      </c>
      <c r="L3633" t="s" s="16">
        <f>HYPERLINK("http://csr.bu.edu/ftp/asl/asllvd/demos/verify_start_end_handshape_annotations//test_auto_move//signs_mov_separ_signers/Naomi_769.mov","MOV")</f>
        <v>21</v>
      </c>
      <c r="M3633" t="s" s="10">
        <v>86</v>
      </c>
      <c r="N3633" s="17">
        <v>27</v>
      </c>
      <c r="O3633" s="18">
        <v>3211</v>
      </c>
      <c r="P3633" s="18">
        <v>3235</v>
      </c>
      <c r="Q3633" t="s" s="16">
        <f>HYPERLINK("http://secrets.rutgers.edu:8080/data/asl-ftp/asllvd/demos/verify_start_end_handshape_annotations//test_auto_move//signs_mov/769.mov","MOV")</f>
        <v>21</v>
      </c>
      <c r="R3633" t="s" s="16">
        <f>HYPERLINK("http://secrets.rutgers.edu:8080/data/asl-ftp/asllvd/demos/verify_start_end_handshape_annotations//test_auto_move//signs_mov_separ_signers/Naomi_769.mov","MOV")</f>
        <v>21</v>
      </c>
    </row>
    <row r="3634" s="2" customFormat="1" ht="13.5" customHeight="1">
      <c r="B3634" s="13"/>
      <c r="C3634" t="s" s="9">
        <v>30</v>
      </c>
      <c r="D3634" t="s" s="8">
        <v>1246</v>
      </c>
      <c r="E3634" t="s" s="9">
        <v>1246</v>
      </c>
      <c r="F3634" s="19">
        <v>25</v>
      </c>
      <c r="G3634" t="s" s="11">
        <v>68</v>
      </c>
      <c r="H3634" s="19">
        <v>25</v>
      </c>
      <c r="I3634" t="s" s="11">
        <v>68</v>
      </c>
      <c r="J3634" t="s" s="11">
        <v>20</v>
      </c>
      <c r="K3634" s="15"/>
      <c r="L3634" t="s" s="16">
        <f>HYPERLINK("http://csr.bu.edu/ftp/asl/asllvd/demos/verify_start_end_handshape_annotations//test_auto_move//signs_mov_separ_signers/Brady_769.mov","MOV")</f>
        <v>21</v>
      </c>
      <c r="M3634" t="s" s="10">
        <v>39</v>
      </c>
      <c r="N3634" s="17">
        <v>9</v>
      </c>
      <c r="O3634" s="18">
        <v>6403</v>
      </c>
      <c r="P3634" s="18">
        <v>6442</v>
      </c>
      <c r="Q3634" s="15"/>
      <c r="R3634" t="s" s="16">
        <f>HYPERLINK("http://secrets.rutgers.edu:8080/data/asl-ftp/asllvd/demos/verify_start_end_handshape_annotations//test_auto_move//signs_mov_separ_signers/Brady_769.mov","MOV")</f>
        <v>21</v>
      </c>
    </row>
    <row r="3635" s="2" customFormat="1" ht="13.5" customHeight="1">
      <c r="B3635" s="13"/>
      <c r="C3635" t="s" s="9">
        <v>41</v>
      </c>
      <c r="D3635" t="s" s="8">
        <v>1246</v>
      </c>
      <c r="E3635" t="s" s="9">
        <v>1246</v>
      </c>
      <c r="F3635" t="s" s="10">
        <v>430</v>
      </c>
      <c r="G3635" t="s" s="11">
        <v>68</v>
      </c>
      <c r="H3635" t="s" s="10">
        <v>430</v>
      </c>
      <c r="I3635" t="s" s="11">
        <v>68</v>
      </c>
      <c r="J3635" t="s" s="11">
        <v>20</v>
      </c>
      <c r="K3635" s="15"/>
      <c r="L3635" t="s" s="16">
        <f>HYPERLINK("http://csr.bu.edu/ftp/asl/asllvd/demos/verify_start_end_handshape_annotations//test_auto_move//signs_mov_separ_signers/Lana_769.mov","MOV")</f>
        <v>21</v>
      </c>
      <c r="M3635" t="s" s="10">
        <v>42</v>
      </c>
      <c r="N3635" s="17">
        <v>8</v>
      </c>
      <c r="O3635" s="18">
        <v>775</v>
      </c>
      <c r="P3635" s="18">
        <v>820</v>
      </c>
      <c r="Q3635" s="15"/>
      <c r="R3635" t="s" s="16">
        <f>HYPERLINK("http://secrets.rutgers.edu:8080/data/asl-ftp/asllvd/demos/verify_start_end_handshape_annotations//test_auto_move//signs_mov_separ_signers/Lana_769.mov","MOV")</f>
        <v>21</v>
      </c>
    </row>
    <row r="3636" s="2" customFormat="1" ht="13.5" customHeight="1">
      <c r="B3636" s="13"/>
      <c r="C3636" t="s" s="9">
        <v>43</v>
      </c>
      <c r="D3636" t="s" s="8">
        <v>1246</v>
      </c>
      <c r="E3636" t="s" s="9">
        <v>1246</v>
      </c>
      <c r="F3636" t="s" s="10">
        <v>430</v>
      </c>
      <c r="G3636" t="s" s="11">
        <v>73</v>
      </c>
      <c r="H3636" t="s" s="10">
        <v>430</v>
      </c>
      <c r="I3636" t="s" s="11">
        <v>73</v>
      </c>
      <c r="J3636" t="s" s="11">
        <v>20</v>
      </c>
      <c r="K3636" s="15"/>
      <c r="L3636" t="s" s="16">
        <f>HYPERLINK("http://csr.bu.edu/ftp/asl/asllvd/demos/verify_start_end_handshape_annotations//test_auto_move//signs_mov_separ_signers/Dana_769.mov","MOV")</f>
        <v>21</v>
      </c>
      <c r="M3636" t="s" s="10">
        <v>44</v>
      </c>
      <c r="N3636" s="17">
        <v>12</v>
      </c>
      <c r="O3636" s="18">
        <v>707</v>
      </c>
      <c r="P3636" s="18">
        <v>775</v>
      </c>
      <c r="Q3636" s="15"/>
      <c r="R3636" t="s" s="16">
        <f>HYPERLINK("http://secrets.rutgers.edu:8080/data/asl-ftp/asllvd/demos/verify_start_end_handshape_annotations//test_auto_move//signs_mov_separ_signers/Dana_769.mov","MOV")</f>
        <v>21</v>
      </c>
    </row>
    <row r="3637" s="2" customFormat="1" ht="13.5" customHeight="1">
      <c r="B3637" t="s" s="8">
        <v>1247</v>
      </c>
      <c r="C3637" t="s" s="9">
        <v>14</v>
      </c>
      <c r="D3637" t="s" s="8">
        <v>14</v>
      </c>
      <c r="E3637" t="s" s="9">
        <v>14</v>
      </c>
      <c r="F3637" t="s" s="10">
        <v>14</v>
      </c>
      <c r="G3637" t="s" s="11">
        <v>14</v>
      </c>
      <c r="H3637" t="s" s="10">
        <v>14</v>
      </c>
      <c r="I3637" t="s" s="11">
        <v>14</v>
      </c>
      <c r="J3637" t="s" s="11">
        <v>14</v>
      </c>
      <c r="K3637" t="s" s="12">
        <v>14</v>
      </c>
      <c r="L3637" t="s" s="12">
        <v>14</v>
      </c>
      <c r="M3637" t="s" s="10">
        <v>14</v>
      </c>
      <c r="N3637" t="s" s="11">
        <v>14</v>
      </c>
      <c r="O3637" t="s" s="8">
        <v>14</v>
      </c>
      <c r="P3637" t="s" s="8">
        <v>14</v>
      </c>
      <c r="Q3637" t="s" s="12">
        <v>14</v>
      </c>
      <c r="R3637" t="s" s="12">
        <v>14</v>
      </c>
    </row>
    <row r="3638" s="2" customFormat="1" ht="13.5" customHeight="1">
      <c r="B3638" s="13"/>
      <c r="C3638" t="s" s="9">
        <v>16</v>
      </c>
      <c r="D3638" t="s" s="8">
        <v>1247</v>
      </c>
      <c r="E3638" t="s" s="9">
        <v>1247</v>
      </c>
      <c r="F3638" t="s" s="10">
        <v>115</v>
      </c>
      <c r="G3638" s="14"/>
      <c r="H3638" t="s" s="10">
        <v>115</v>
      </c>
      <c r="I3638" s="14"/>
      <c r="J3638" t="s" s="11">
        <v>20</v>
      </c>
      <c r="K3638" s="15"/>
      <c r="L3638" t="s" s="16">
        <f>HYPERLINK("http://csr.bu.edu/ftp/asl/asllvd/demos/verify_start_end_handshape_annotations//test_auto_move//signs_mov_separ_signers/Liz_771.mov","MOV")</f>
        <v>21</v>
      </c>
      <c r="M3638" t="s" s="10">
        <v>84</v>
      </c>
      <c r="N3638" s="17">
        <v>28</v>
      </c>
      <c r="O3638" s="18">
        <v>935</v>
      </c>
      <c r="P3638" s="18">
        <v>965</v>
      </c>
      <c r="Q3638" s="15"/>
      <c r="R3638" t="s" s="16">
        <f>HYPERLINK("http://secrets.rutgers.edu:8080/data/asl-ftp/asllvd/demos/verify_start_end_handshape_annotations//test_auto_move//signs_mov_separ_signers/Liz_771.mov","MOV")</f>
        <v>21</v>
      </c>
    </row>
    <row r="3639" s="2" customFormat="1" ht="13.5" customHeight="1">
      <c r="B3639" s="13"/>
      <c r="C3639" t="s" s="9">
        <v>23</v>
      </c>
      <c r="D3639" t="s" s="8">
        <v>1247</v>
      </c>
      <c r="E3639" t="s" s="9">
        <v>1247</v>
      </c>
      <c r="F3639" t="s" s="10">
        <v>117</v>
      </c>
      <c r="G3639" s="14"/>
      <c r="H3639" t="s" s="10">
        <v>117</v>
      </c>
      <c r="I3639" s="14"/>
      <c r="J3639" t="s" s="11">
        <v>20</v>
      </c>
      <c r="K3639" s="15"/>
      <c r="L3639" t="s" s="16">
        <f>HYPERLINK("http://csr.bu.edu/ftp/asl/asllvd/demos/verify_start_end_handshape_annotations//test_auto_move//signs_mov_separ_signers/Tyler_771.mov","MOV")</f>
        <v>21</v>
      </c>
      <c r="M3639" t="s" s="10">
        <v>92</v>
      </c>
      <c r="N3639" s="17">
        <v>8</v>
      </c>
      <c r="O3639" s="18">
        <v>272</v>
      </c>
      <c r="P3639" s="18">
        <v>295</v>
      </c>
      <c r="Q3639" s="15"/>
      <c r="R3639" t="s" s="16">
        <f>HYPERLINK("http://secrets.rutgers.edu:8080/data/asl-ftp/asllvd/demos/verify_start_end_handshape_annotations//test_auto_move//signs_mov_separ_signers/Tyler_771.mov","MOV")</f>
        <v>21</v>
      </c>
    </row>
    <row r="3640" s="2" customFormat="1" ht="13.5" customHeight="1">
      <c r="B3640" s="13"/>
      <c r="C3640" t="s" s="9">
        <v>27</v>
      </c>
      <c r="D3640" t="s" s="8">
        <v>1247</v>
      </c>
      <c r="E3640" t="s" s="9">
        <v>1247</v>
      </c>
      <c r="F3640" t="s" s="10">
        <v>115</v>
      </c>
      <c r="G3640" s="14"/>
      <c r="H3640" t="s" s="10">
        <v>115</v>
      </c>
      <c r="I3640" s="14"/>
      <c r="J3640" t="s" s="11">
        <v>20</v>
      </c>
      <c r="K3640" t="s" s="16">
        <f>HYPERLINK("http://csr.bu.edu/ftp/asl/asllvd/demos/verify_start_end_handshape_annotations//test_auto_move//signs_mov/771.mov","MOV")</f>
        <v>21</v>
      </c>
      <c r="L3640" t="s" s="16">
        <f>HYPERLINK("http://csr.bu.edu/ftp/asl/asllvd/demos/verify_start_end_handshape_annotations//test_auto_move//signs_mov_separ_signers/Naomi_771.mov","MOV")</f>
        <v>21</v>
      </c>
      <c r="M3640" t="s" s="10">
        <v>86</v>
      </c>
      <c r="N3640" s="17">
        <v>28</v>
      </c>
      <c r="O3640" s="18">
        <v>230</v>
      </c>
      <c r="P3640" s="18">
        <v>250</v>
      </c>
      <c r="Q3640" t="s" s="16">
        <f>HYPERLINK("http://secrets.rutgers.edu:8080/data/asl-ftp/asllvd/demos/verify_start_end_handshape_annotations//test_auto_move//signs_mov/771.mov","MOV")</f>
        <v>21</v>
      </c>
      <c r="R3640" t="s" s="16">
        <f>HYPERLINK("http://secrets.rutgers.edu:8080/data/asl-ftp/asllvd/demos/verify_start_end_handshape_annotations//test_auto_move//signs_mov_separ_signers/Naomi_771.mov","MOV")</f>
        <v>21</v>
      </c>
    </row>
    <row r="3641" s="2" customFormat="1" ht="13.5" customHeight="1">
      <c r="B3641" s="13"/>
      <c r="C3641" t="s" s="9">
        <v>30</v>
      </c>
      <c r="D3641" t="s" s="8">
        <v>1247</v>
      </c>
      <c r="E3641" t="s" s="9">
        <v>1247</v>
      </c>
      <c r="F3641" t="s" s="10">
        <v>115</v>
      </c>
      <c r="G3641" s="14"/>
      <c r="H3641" t="s" s="10">
        <v>115</v>
      </c>
      <c r="I3641" s="14"/>
      <c r="J3641" t="s" s="11">
        <v>20</v>
      </c>
      <c r="K3641" s="15"/>
      <c r="L3641" t="s" s="16">
        <f>HYPERLINK("http://csr.bu.edu/ftp/asl/asllvd/demos/verify_start_end_handshape_annotations//test_auto_move//signs_mov_separ_signers/Brady_771.mov","MOV")</f>
        <v>21</v>
      </c>
      <c r="M3641" t="s" s="10">
        <v>39</v>
      </c>
      <c r="N3641" s="17">
        <v>9</v>
      </c>
      <c r="O3641" s="18">
        <v>6956</v>
      </c>
      <c r="P3641" s="18">
        <v>6980</v>
      </c>
      <c r="Q3641" s="15"/>
      <c r="R3641" t="s" s="16">
        <f>HYPERLINK("http://secrets.rutgers.edu:8080/data/asl-ftp/asllvd/demos/verify_start_end_handshape_annotations//test_auto_move//signs_mov_separ_signers/Brady_771.mov","MOV")</f>
        <v>21</v>
      </c>
    </row>
    <row r="3642" s="2" customFormat="1" ht="13.5" customHeight="1">
      <c r="B3642" s="13"/>
      <c r="C3642" t="s" s="9">
        <v>41</v>
      </c>
      <c r="D3642" t="s" s="8">
        <v>1247</v>
      </c>
      <c r="E3642" t="s" s="9">
        <v>1247</v>
      </c>
      <c r="F3642" t="s" s="10">
        <v>115</v>
      </c>
      <c r="G3642" s="14"/>
      <c r="H3642" t="s" s="10">
        <v>115</v>
      </c>
      <c r="I3642" s="14"/>
      <c r="J3642" t="s" s="11">
        <v>20</v>
      </c>
      <c r="K3642" s="15"/>
      <c r="L3642" t="s" s="16">
        <f>HYPERLINK("http://csr.bu.edu/ftp/asl/asllvd/demos/verify_start_end_handshape_annotations//test_auto_move//signs_mov_separ_signers/Lana_771.mov","MOV")</f>
        <v>21</v>
      </c>
      <c r="M3642" t="s" s="10">
        <v>42</v>
      </c>
      <c r="N3642" s="17">
        <v>8</v>
      </c>
      <c r="O3642" s="18">
        <v>1055</v>
      </c>
      <c r="P3642" s="18">
        <v>1071</v>
      </c>
      <c r="Q3642" s="15"/>
      <c r="R3642" t="s" s="16">
        <f>HYPERLINK("http://secrets.rutgers.edu:8080/data/asl-ftp/asllvd/demos/verify_start_end_handshape_annotations//test_auto_move//signs_mov_separ_signers/Lana_771.mov","MOV")</f>
        <v>21</v>
      </c>
    </row>
    <row r="3643" s="2" customFormat="1" ht="13.5" customHeight="1">
      <c r="B3643" s="13"/>
      <c r="C3643" t="s" s="9">
        <v>43</v>
      </c>
      <c r="D3643" t="s" s="8">
        <v>1247</v>
      </c>
      <c r="E3643" t="s" s="9">
        <v>1247</v>
      </c>
      <c r="F3643" t="s" s="10">
        <v>115</v>
      </c>
      <c r="G3643" s="14"/>
      <c r="H3643" t="s" s="10">
        <v>115</v>
      </c>
      <c r="I3643" s="14"/>
      <c r="J3643" t="s" s="11">
        <v>20</v>
      </c>
      <c r="K3643" s="15"/>
      <c r="L3643" t="s" s="16">
        <f>HYPERLINK("http://csr.bu.edu/ftp/asl/asllvd/demos/verify_start_end_handshape_annotations//test_auto_move//signs_mov_separ_signers/Dana_771.mov","MOV")</f>
        <v>21</v>
      </c>
      <c r="M3643" t="s" s="10">
        <v>44</v>
      </c>
      <c r="N3643" s="17">
        <v>12</v>
      </c>
      <c r="O3643" s="18">
        <v>1000</v>
      </c>
      <c r="P3643" s="18">
        <v>1042</v>
      </c>
      <c r="Q3643" s="15"/>
      <c r="R3643" t="s" s="16">
        <f>HYPERLINK("http://secrets.rutgers.edu:8080/data/asl-ftp/asllvd/demos/verify_start_end_handshape_annotations//test_auto_move//signs_mov_separ_signers/Dana_771.mov","MOV")</f>
        <v>21</v>
      </c>
    </row>
    <row r="3644" s="2" customFormat="1" ht="13.5" customHeight="1">
      <c r="B3644" t="s" s="8">
        <v>1248</v>
      </c>
      <c r="C3644" t="s" s="9">
        <v>14</v>
      </c>
      <c r="D3644" t="s" s="8">
        <v>14</v>
      </c>
      <c r="E3644" t="s" s="9">
        <v>14</v>
      </c>
      <c r="F3644" t="s" s="10">
        <v>14</v>
      </c>
      <c r="G3644" t="s" s="11">
        <v>14</v>
      </c>
      <c r="H3644" t="s" s="10">
        <v>14</v>
      </c>
      <c r="I3644" t="s" s="11">
        <v>14</v>
      </c>
      <c r="J3644" t="s" s="11">
        <v>14</v>
      </c>
      <c r="K3644" t="s" s="12">
        <v>14</v>
      </c>
      <c r="L3644" t="s" s="12">
        <v>14</v>
      </c>
      <c r="M3644" t="s" s="10">
        <v>14</v>
      </c>
      <c r="N3644" t="s" s="11">
        <v>14</v>
      </c>
      <c r="O3644" t="s" s="8">
        <v>14</v>
      </c>
      <c r="P3644" t="s" s="8">
        <v>14</v>
      </c>
      <c r="Q3644" t="s" s="12">
        <v>14</v>
      </c>
      <c r="R3644" t="s" s="12">
        <v>14</v>
      </c>
    </row>
    <row r="3645" s="2" customFormat="1" ht="13.5" customHeight="1">
      <c r="B3645" s="13"/>
      <c r="C3645" t="s" s="9">
        <v>16</v>
      </c>
      <c r="D3645" t="s" s="8">
        <v>1248</v>
      </c>
      <c r="E3645" t="s" s="9">
        <v>1249</v>
      </c>
      <c r="F3645" t="s" s="10">
        <v>119</v>
      </c>
      <c r="G3645" s="14"/>
      <c r="H3645" t="s" s="10">
        <v>119</v>
      </c>
      <c r="I3645" s="14"/>
      <c r="J3645" t="s" s="11">
        <v>20</v>
      </c>
      <c r="K3645" s="15"/>
      <c r="L3645" t="s" s="16">
        <f>HYPERLINK("http://csr.bu.edu/ftp/asl/asllvd/demos/verify_start_end_handshape_annotations//test_auto_move//signs_mov_separ_signers/Liz_774.mov","MOV")</f>
        <v>21</v>
      </c>
      <c r="M3645" t="s" s="10">
        <v>84</v>
      </c>
      <c r="N3645" s="17">
        <v>28</v>
      </c>
      <c r="O3645" s="18">
        <v>1552</v>
      </c>
      <c r="P3645" s="18">
        <v>1590</v>
      </c>
      <c r="Q3645" s="15"/>
      <c r="R3645" t="s" s="16">
        <f>HYPERLINK("http://secrets.rutgers.edu:8080/data/asl-ftp/asllvd/demos/verify_start_end_handshape_annotations//test_auto_move//signs_mov_separ_signers/Liz_774.mov","MOV")</f>
        <v>21</v>
      </c>
    </row>
    <row r="3646" s="2" customFormat="1" ht="13.5" customHeight="1">
      <c r="B3646" s="13"/>
      <c r="C3646" t="s" s="9">
        <v>23</v>
      </c>
      <c r="D3646" t="s" s="8">
        <v>1248</v>
      </c>
      <c r="E3646" t="s" s="9">
        <v>1250</v>
      </c>
      <c r="F3646" t="s" s="10">
        <v>119</v>
      </c>
      <c r="G3646" s="14"/>
      <c r="H3646" t="s" s="10">
        <v>119</v>
      </c>
      <c r="I3646" s="14"/>
      <c r="J3646" t="s" s="11">
        <v>20</v>
      </c>
      <c r="K3646" s="15"/>
      <c r="L3646" t="s" s="16">
        <f>HYPERLINK("http://csr.bu.edu/ftp/asl/asllvd/demos/verify_start_end_handshape_annotations//test_auto_move//signs_mov_separ_signers/Tyler_774.mov","MOV")</f>
        <v>21</v>
      </c>
      <c r="M3646" t="s" s="10">
        <v>92</v>
      </c>
      <c r="N3646" s="17">
        <v>8</v>
      </c>
      <c r="O3646" s="18">
        <v>850</v>
      </c>
      <c r="P3646" s="18">
        <v>895</v>
      </c>
      <c r="Q3646" s="15"/>
      <c r="R3646" t="s" s="16">
        <f>HYPERLINK("http://secrets.rutgers.edu:8080/data/asl-ftp/asllvd/demos/verify_start_end_handshape_annotations//test_auto_move//signs_mov_separ_signers/Tyler_774.mov","MOV")</f>
        <v>21</v>
      </c>
    </row>
    <row r="3647" s="2" customFormat="1" ht="13.5" customHeight="1">
      <c r="B3647" s="13"/>
      <c r="C3647" t="s" s="9">
        <v>27</v>
      </c>
      <c r="D3647" t="s" s="8">
        <v>1248</v>
      </c>
      <c r="E3647" t="s" s="9">
        <v>1249</v>
      </c>
      <c r="F3647" t="s" s="10">
        <v>119</v>
      </c>
      <c r="G3647" s="14"/>
      <c r="H3647" t="s" s="10">
        <v>119</v>
      </c>
      <c r="I3647" s="14"/>
      <c r="J3647" t="s" s="11">
        <v>20</v>
      </c>
      <c r="K3647" s="15"/>
      <c r="L3647" t="s" s="16">
        <f>HYPERLINK("http://csr.bu.edu/ftp/asl/asllvd/demos/verify_start_end_handshape_annotations//test_auto_move//signs_mov_separ_signers/Naomi_774.mov","MOV")</f>
        <v>21</v>
      </c>
      <c r="M3647" t="s" s="10">
        <v>86</v>
      </c>
      <c r="N3647" s="17">
        <v>28</v>
      </c>
      <c r="O3647" s="18">
        <v>916</v>
      </c>
      <c r="P3647" s="18">
        <v>942</v>
      </c>
      <c r="Q3647" s="15"/>
      <c r="R3647" t="s" s="16">
        <f>HYPERLINK("http://secrets.rutgers.edu:8080/data/asl-ftp/asllvd/demos/verify_start_end_handshape_annotations//test_auto_move//signs_mov_separ_signers/Naomi_774.mov","MOV")</f>
        <v>21</v>
      </c>
    </row>
    <row r="3648" s="2" customFormat="1" ht="13.5" customHeight="1">
      <c r="B3648" s="13"/>
      <c r="C3648" t="s" s="9">
        <v>30</v>
      </c>
      <c r="D3648" t="s" s="8">
        <v>1248</v>
      </c>
      <c r="E3648" t="s" s="9">
        <v>1249</v>
      </c>
      <c r="F3648" t="s" s="10">
        <v>119</v>
      </c>
      <c r="G3648" s="14"/>
      <c r="H3648" t="s" s="10">
        <v>119</v>
      </c>
      <c r="I3648" s="14"/>
      <c r="J3648" t="s" s="11">
        <v>20</v>
      </c>
      <c r="K3648" t="s" s="16">
        <f>HYPERLINK("http://csr.bu.edu/ftp/asl/asllvd/demos/verify_start_end_handshape_annotations//test_auto_move//signs_mov/774_5082_merged.mov","MOV")</f>
        <v>21</v>
      </c>
      <c r="L3648" t="s" s="16">
        <f>HYPERLINK("http://csr.bu.edu/ftp/asl/asllvd/demos/verify_start_end_handshape_annotations//test_auto_move//signs_mov_separ_signers/Brady_774.mov","MOV")</f>
        <v>21</v>
      </c>
      <c r="M3648" t="s" s="10">
        <v>39</v>
      </c>
      <c r="N3648" s="17">
        <v>9</v>
      </c>
      <c r="O3648" s="18">
        <v>7760</v>
      </c>
      <c r="P3648" s="18">
        <v>7790</v>
      </c>
      <c r="Q3648" t="s" s="16">
        <f>HYPERLINK("http://secrets.rutgers.edu:8080/data/asl-ftp/asllvd/demos/verify_start_end_handshape_annotations//test_auto_move//signs_mov/774_5082_merged.mov","MOV")</f>
        <v>21</v>
      </c>
      <c r="R3648" t="s" s="16">
        <f>HYPERLINK("http://secrets.rutgers.edu:8080/data/asl-ftp/asllvd/demos/verify_start_end_handshape_annotations//test_auto_move//signs_mov_separ_signers/Brady_774.mov","MOV")</f>
        <v>21</v>
      </c>
    </row>
    <row r="3649" s="2" customFormat="1" ht="13.5" customHeight="1">
      <c r="B3649" s="13"/>
      <c r="C3649" t="s" s="9">
        <v>41</v>
      </c>
      <c r="D3649" t="s" s="8">
        <v>1248</v>
      </c>
      <c r="E3649" t="s" s="9">
        <v>1249</v>
      </c>
      <c r="F3649" t="s" s="10">
        <v>119</v>
      </c>
      <c r="G3649" s="14"/>
      <c r="H3649" t="s" s="10">
        <v>119</v>
      </c>
      <c r="I3649" s="14"/>
      <c r="J3649" t="s" s="11">
        <v>20</v>
      </c>
      <c r="K3649" s="15"/>
      <c r="L3649" t="s" s="16">
        <f>HYPERLINK("http://csr.bu.edu/ftp/asl/asllvd/demos/verify_start_end_handshape_annotations//test_auto_move//signs_mov_separ_signers/Lana_774.mov","MOV")</f>
        <v>21</v>
      </c>
      <c r="M3649" t="s" s="10">
        <v>42</v>
      </c>
      <c r="N3649" s="17">
        <v>8</v>
      </c>
      <c r="O3649" s="18">
        <v>1742</v>
      </c>
      <c r="P3649" s="18">
        <v>1776</v>
      </c>
      <c r="Q3649" s="15"/>
      <c r="R3649" t="s" s="16">
        <f>HYPERLINK("http://secrets.rutgers.edu:8080/data/asl-ftp/asllvd/demos/verify_start_end_handshape_annotations//test_auto_move//signs_mov_separ_signers/Lana_774.mov","MOV")</f>
        <v>21</v>
      </c>
    </row>
    <row r="3650" s="2" customFormat="1" ht="13.5" customHeight="1">
      <c r="B3650" s="13"/>
      <c r="C3650" t="s" s="9">
        <v>41</v>
      </c>
      <c r="D3650" t="s" s="8">
        <v>1248</v>
      </c>
      <c r="E3650" t="s" s="9">
        <v>1249</v>
      </c>
      <c r="F3650" t="s" s="10">
        <v>119</v>
      </c>
      <c r="G3650" s="14"/>
      <c r="H3650" t="s" s="10">
        <v>119</v>
      </c>
      <c r="I3650" s="14"/>
      <c r="J3650" t="s" s="11">
        <v>20</v>
      </c>
      <c r="K3650" s="15"/>
      <c r="L3650" t="s" s="16">
        <f>HYPERLINK("http://csr.bu.edu/ftp/asl/asllvd/demos/verify_start_end_handshape_annotations//test_auto_move//signs_mov_separ_signers/Lana_5082.mov","MOV")</f>
        <v>21</v>
      </c>
      <c r="M3650" t="s" s="10">
        <v>42</v>
      </c>
      <c r="N3650" s="17">
        <v>11</v>
      </c>
      <c r="O3650" s="18">
        <v>1200</v>
      </c>
      <c r="P3650" s="18">
        <v>1219</v>
      </c>
      <c r="Q3650" s="15"/>
      <c r="R3650" t="s" s="16">
        <f>HYPERLINK("http://secrets.rutgers.edu:8080/data/asl-ftp/asllvd/demos/verify_start_end_handshape_annotations//test_auto_move//signs_mov_separ_signers/Lana_5082.mov","MOV")</f>
        <v>21</v>
      </c>
    </row>
    <row r="3651" s="2" customFormat="1" ht="13.5" customHeight="1">
      <c r="B3651" s="13"/>
      <c r="C3651" t="s" s="9">
        <v>43</v>
      </c>
      <c r="D3651" t="s" s="8">
        <v>1248</v>
      </c>
      <c r="E3651" t="s" s="9">
        <v>1251</v>
      </c>
      <c r="F3651" t="s" s="10">
        <v>119</v>
      </c>
      <c r="G3651" s="14"/>
      <c r="H3651" t="s" s="10">
        <v>119</v>
      </c>
      <c r="I3651" s="14"/>
      <c r="J3651" t="s" s="11">
        <v>20</v>
      </c>
      <c r="K3651" s="15"/>
      <c r="L3651" t="s" s="16">
        <f>HYPERLINK("http://csr.bu.edu/ftp/asl/asllvd/demos/verify_start_end_handshape_annotations//test_auto_move//signs_mov_separ_signers/Dana_774.mov","MOV")</f>
        <v>21</v>
      </c>
      <c r="M3651" t="s" s="10">
        <v>44</v>
      </c>
      <c r="N3651" s="17">
        <v>14</v>
      </c>
      <c r="O3651" s="18">
        <v>1155</v>
      </c>
      <c r="P3651" s="18">
        <v>1204</v>
      </c>
      <c r="Q3651" s="15"/>
      <c r="R3651" t="s" s="16">
        <f>HYPERLINK("http://secrets.rutgers.edu:8080/data/asl-ftp/asllvd/demos/verify_start_end_handshape_annotations//test_auto_move//signs_mov_separ_signers/Dana_774.mov","MOV")</f>
        <v>21</v>
      </c>
    </row>
    <row r="3652" s="2" customFormat="1" ht="13.5" customHeight="1">
      <c r="B3652" t="s" s="8">
        <v>52</v>
      </c>
      <c r="C3652" t="s" s="9">
        <v>53</v>
      </c>
      <c r="D3652" t="s" s="8">
        <v>53</v>
      </c>
      <c r="E3652" t="s" s="9">
        <v>53</v>
      </c>
      <c r="F3652" t="s" s="10">
        <v>53</v>
      </c>
      <c r="G3652" t="s" s="11">
        <v>53</v>
      </c>
      <c r="H3652" t="s" s="10">
        <v>53</v>
      </c>
      <c r="I3652" t="s" s="11">
        <v>53</v>
      </c>
      <c r="J3652" t="s" s="11">
        <v>53</v>
      </c>
      <c r="K3652" t="s" s="12">
        <v>53</v>
      </c>
      <c r="L3652" t="s" s="12">
        <v>53</v>
      </c>
      <c r="M3652" t="s" s="10">
        <v>53</v>
      </c>
      <c r="N3652" t="s" s="11">
        <v>53</v>
      </c>
      <c r="O3652" t="s" s="8">
        <v>53</v>
      </c>
      <c r="P3652" t="s" s="8">
        <v>53</v>
      </c>
      <c r="Q3652" t="s" s="12">
        <v>53</v>
      </c>
      <c r="R3652" t="s" s="12">
        <v>53</v>
      </c>
    </row>
    <row r="3653" s="2" customFormat="1" ht="13.5" customHeight="1">
      <c r="B3653" s="13"/>
      <c r="C3653" t="s" s="9">
        <v>16</v>
      </c>
      <c r="D3653" t="s" s="8">
        <v>1248</v>
      </c>
      <c r="E3653" t="s" s="9">
        <v>1252</v>
      </c>
      <c r="F3653" t="s" s="10">
        <v>119</v>
      </c>
      <c r="G3653" t="s" s="11">
        <v>119</v>
      </c>
      <c r="H3653" t="s" s="10">
        <v>119</v>
      </c>
      <c r="I3653" t="s" s="11">
        <v>119</v>
      </c>
      <c r="J3653" t="s" s="11">
        <v>20</v>
      </c>
      <c r="K3653" s="15"/>
      <c r="L3653" t="s" s="16">
        <f>HYPERLINK("http://csr.bu.edu/ftp/asl/asllvd/demos/verify_start_end_handshape_annotations//test_auto_move//signs_mov_separ_signers/Liz_5475.mov","MOV")</f>
        <v>21</v>
      </c>
      <c r="M3653" t="s" s="10">
        <v>84</v>
      </c>
      <c r="N3653" s="17">
        <v>40</v>
      </c>
      <c r="O3653" s="18">
        <v>240</v>
      </c>
      <c r="P3653" s="18">
        <v>300</v>
      </c>
      <c r="Q3653" s="15"/>
      <c r="R3653" t="s" s="16">
        <f>HYPERLINK("http://secrets.rutgers.edu:8080/data/asl-ftp/asllvd/demos/verify_start_end_handshape_annotations//test_auto_move//signs_mov_separ_signers/Liz_5475.mov","MOV")</f>
        <v>21</v>
      </c>
    </row>
    <row r="3654" s="2" customFormat="1" ht="13.5" customHeight="1">
      <c r="B3654" s="13"/>
      <c r="C3654" t="s" s="9">
        <v>16</v>
      </c>
      <c r="D3654" t="s" s="8">
        <v>1248</v>
      </c>
      <c r="E3654" t="s" s="9">
        <v>1252</v>
      </c>
      <c r="F3654" t="s" s="10">
        <v>119</v>
      </c>
      <c r="G3654" t="s" s="11">
        <v>119</v>
      </c>
      <c r="H3654" t="s" s="10">
        <v>119</v>
      </c>
      <c r="I3654" t="s" s="11">
        <v>119</v>
      </c>
      <c r="J3654" t="s" s="11">
        <v>20</v>
      </c>
      <c r="K3654" s="15"/>
      <c r="L3654" t="s" s="16">
        <f>HYPERLINK("http://csr.bu.edu/ftp/asl/asllvd/demos/verify_start_end_handshape_annotations//test_auto_move//signs_mov_separ_signers/Liz_5476.mov","MOV")</f>
        <v>21</v>
      </c>
      <c r="M3654" t="s" s="10">
        <v>77</v>
      </c>
      <c r="N3654" s="17">
        <v>7</v>
      </c>
      <c r="O3654" s="18">
        <v>1497</v>
      </c>
      <c r="P3654" s="18">
        <v>1556</v>
      </c>
      <c r="Q3654" s="15"/>
      <c r="R3654" t="s" s="16">
        <f>HYPERLINK("http://secrets.rutgers.edu:8080/data/asl-ftp/asllvd/demos/verify_start_end_handshape_annotations//test_auto_move//signs_mov_separ_signers/Liz_5476.mov","MOV")</f>
        <v>21</v>
      </c>
    </row>
    <row r="3655" s="2" customFormat="1" ht="13.5" customHeight="1">
      <c r="B3655" s="13"/>
      <c r="C3655" t="s" s="9">
        <v>16</v>
      </c>
      <c r="D3655" t="s" s="8">
        <v>1248</v>
      </c>
      <c r="E3655" t="s" s="9">
        <v>1253</v>
      </c>
      <c r="F3655" t="s" s="10">
        <v>119</v>
      </c>
      <c r="G3655" t="s" s="11">
        <v>119</v>
      </c>
      <c r="H3655" t="s" s="10">
        <v>119</v>
      </c>
      <c r="I3655" t="s" s="11">
        <v>119</v>
      </c>
      <c r="J3655" t="s" s="11">
        <v>20</v>
      </c>
      <c r="K3655" s="15"/>
      <c r="L3655" t="s" s="16">
        <f>HYPERLINK("http://csr.bu.edu/ftp/asl/asllvd/demos/verify_start_end_handshape_annotations//test_auto_move//signs_mov_separ_signers/Liz_5537.mov","MOV")</f>
        <v>21</v>
      </c>
      <c r="M3655" t="s" s="10">
        <v>77</v>
      </c>
      <c r="N3655" s="17">
        <v>24</v>
      </c>
      <c r="O3655" s="18">
        <v>987</v>
      </c>
      <c r="P3655" s="18">
        <v>1032</v>
      </c>
      <c r="Q3655" s="15"/>
      <c r="R3655" t="s" s="16">
        <f>HYPERLINK("http://secrets.rutgers.edu:8080/data/asl-ftp/asllvd/demos/verify_start_end_handshape_annotations//test_auto_move//signs_mov_separ_signers/Liz_5537.mov","MOV")</f>
        <v>21</v>
      </c>
    </row>
    <row r="3656" s="2" customFormat="1" ht="13.5" customHeight="1">
      <c r="B3656" s="13"/>
      <c r="C3656" t="s" s="9">
        <v>23</v>
      </c>
      <c r="D3656" t="s" s="8">
        <v>1248</v>
      </c>
      <c r="E3656" t="s" s="9">
        <v>1252</v>
      </c>
      <c r="F3656" t="s" s="10">
        <v>119</v>
      </c>
      <c r="G3656" t="s" s="11">
        <v>119</v>
      </c>
      <c r="H3656" t="s" s="10">
        <v>119</v>
      </c>
      <c r="I3656" t="s" s="11">
        <v>119</v>
      </c>
      <c r="J3656" t="s" s="11">
        <v>20</v>
      </c>
      <c r="K3656" t="s" s="16">
        <f>HYPERLINK("http://csr.bu.edu/ftp/asl/asllvd/demos/verify_start_end_handshape_annotations//test_auto_move//signs_mov/5475_5476_5537_merged.mov","MOV")</f>
        <v>21</v>
      </c>
      <c r="L3656" t="s" s="16">
        <f>HYPERLINK("http://csr.bu.edu/ftp/asl/asllvd/demos/verify_start_end_handshape_annotations//test_auto_move//signs_mov_separ_signers/Tyler_5475.mov","MOV")</f>
        <v>21</v>
      </c>
      <c r="M3656" t="s" s="10">
        <v>92</v>
      </c>
      <c r="N3656" s="17">
        <v>19</v>
      </c>
      <c r="O3656" s="18">
        <v>4660</v>
      </c>
      <c r="P3656" s="18">
        <v>4712</v>
      </c>
      <c r="Q3656" t="s" s="16">
        <f>HYPERLINK("http://secrets.rutgers.edu:8080/data/asl-ftp/asllvd/demos/verify_start_end_handshape_annotations//test_auto_move//signs_mov/5475_5476_5537_merged.mov","MOV")</f>
        <v>21</v>
      </c>
      <c r="R3656" t="s" s="16">
        <f>HYPERLINK("http://secrets.rutgers.edu:8080/data/asl-ftp/asllvd/demos/verify_start_end_handshape_annotations//test_auto_move//signs_mov_separ_signers/Tyler_5475.mov","MOV")</f>
        <v>21</v>
      </c>
    </row>
    <row r="3657" s="2" customFormat="1" ht="13.5" customHeight="1">
      <c r="B3657" s="13"/>
      <c r="C3657" t="s" s="9">
        <v>27</v>
      </c>
      <c r="D3657" t="s" s="8">
        <v>1248</v>
      </c>
      <c r="E3657" t="s" s="9">
        <v>1252</v>
      </c>
      <c r="F3657" t="s" s="10">
        <v>119</v>
      </c>
      <c r="G3657" t="s" s="11">
        <v>119</v>
      </c>
      <c r="H3657" t="s" s="10">
        <v>119</v>
      </c>
      <c r="I3657" t="s" s="11">
        <v>119</v>
      </c>
      <c r="J3657" t="s" s="11">
        <v>20</v>
      </c>
      <c r="K3657" s="15"/>
      <c r="L3657" t="s" s="16">
        <f>HYPERLINK("http://csr.bu.edu/ftp/asl/asllvd/demos/verify_start_end_handshape_annotations//test_auto_move//signs_mov_separ_signers/Naomi_5475.mov","MOV")</f>
        <v>21</v>
      </c>
      <c r="M3657" t="s" s="10">
        <v>86</v>
      </c>
      <c r="N3657" s="17">
        <v>39</v>
      </c>
      <c r="O3657" s="18">
        <v>2500</v>
      </c>
      <c r="P3657" s="18">
        <v>2550</v>
      </c>
      <c r="Q3657" s="15"/>
      <c r="R3657" t="s" s="16">
        <f>HYPERLINK("http://secrets.rutgers.edu:8080/data/asl-ftp/asllvd/demos/verify_start_end_handshape_annotations//test_auto_move//signs_mov_separ_signers/Naomi_5475.mov","MOV")</f>
        <v>21</v>
      </c>
    </row>
    <row r="3658" s="2" customFormat="1" ht="13.5" customHeight="1">
      <c r="B3658" s="13"/>
      <c r="C3658" t="s" s="9">
        <v>30</v>
      </c>
      <c r="D3658" t="s" s="8">
        <v>1248</v>
      </c>
      <c r="E3658" t="s" s="9">
        <v>1254</v>
      </c>
      <c r="F3658" t="s" s="10">
        <v>119</v>
      </c>
      <c r="G3658" t="s" s="11">
        <v>119</v>
      </c>
      <c r="H3658" t="s" s="10">
        <v>119</v>
      </c>
      <c r="I3658" t="s" s="11">
        <v>119</v>
      </c>
      <c r="J3658" t="s" s="11">
        <v>20</v>
      </c>
      <c r="K3658" s="15"/>
      <c r="L3658" t="s" s="16">
        <f>HYPERLINK("http://csr.bu.edu/ftp/asl/asllvd/demos/verify_start_end_handshape_annotations//test_auto_move//signs_mov_separ_signers/Brady_5475.mov","MOV")</f>
        <v>21</v>
      </c>
      <c r="M3658" t="s" s="10">
        <v>31</v>
      </c>
      <c r="N3658" s="17">
        <v>16</v>
      </c>
      <c r="O3658" s="18">
        <v>4981</v>
      </c>
      <c r="P3658" s="18">
        <v>5021</v>
      </c>
      <c r="Q3658" s="15"/>
      <c r="R3658" t="s" s="16">
        <f>HYPERLINK("http://secrets.rutgers.edu:8080/data/asl-ftp/asllvd/demos/verify_start_end_handshape_annotations//test_auto_move//signs_mov_separ_signers/Brady_5475.mov","MOV")</f>
        <v>21</v>
      </c>
    </row>
    <row r="3659" s="2" customFormat="1" ht="13.5" customHeight="1">
      <c r="B3659" s="13"/>
      <c r="C3659" t="s" s="9">
        <v>30</v>
      </c>
      <c r="D3659" t="s" s="8">
        <v>1248</v>
      </c>
      <c r="E3659" t="s" s="9">
        <v>1252</v>
      </c>
      <c r="F3659" t="s" s="10">
        <v>119</v>
      </c>
      <c r="G3659" t="s" s="11">
        <v>119</v>
      </c>
      <c r="H3659" t="s" s="10">
        <v>119</v>
      </c>
      <c r="I3659" t="s" s="11">
        <v>119</v>
      </c>
      <c r="J3659" t="s" s="11">
        <v>20</v>
      </c>
      <c r="K3659" s="15"/>
      <c r="L3659" t="s" s="16">
        <f>HYPERLINK("http://csr.bu.edu/ftp/asl/asllvd/demos/verify_start_end_handshape_annotations//test_auto_move//signs_mov_separ_signers/Brady_5476.mov","MOV")</f>
        <v>21</v>
      </c>
      <c r="M3659" t="s" s="10">
        <v>39</v>
      </c>
      <c r="N3659" s="17">
        <v>17</v>
      </c>
      <c r="O3659" s="18">
        <v>576</v>
      </c>
      <c r="P3659" s="18">
        <v>609</v>
      </c>
      <c r="Q3659" s="15"/>
      <c r="R3659" t="s" s="16">
        <f>HYPERLINK("http://secrets.rutgers.edu:8080/data/asl-ftp/asllvd/demos/verify_start_end_handshape_annotations//test_auto_move//signs_mov_separ_signers/Brady_5476.mov","MOV")</f>
        <v>21</v>
      </c>
    </row>
    <row r="3660" s="2" customFormat="1" ht="13.5" customHeight="1">
      <c r="B3660" t="s" s="8">
        <v>52</v>
      </c>
      <c r="C3660" t="s" s="9">
        <v>53</v>
      </c>
      <c r="D3660" t="s" s="8">
        <v>53</v>
      </c>
      <c r="E3660" t="s" s="9">
        <v>53</v>
      </c>
      <c r="F3660" t="s" s="10">
        <v>53</v>
      </c>
      <c r="G3660" t="s" s="11">
        <v>53</v>
      </c>
      <c r="H3660" t="s" s="10">
        <v>53</v>
      </c>
      <c r="I3660" t="s" s="11">
        <v>53</v>
      </c>
      <c r="J3660" t="s" s="11">
        <v>53</v>
      </c>
      <c r="K3660" t="s" s="12">
        <v>53</v>
      </c>
      <c r="L3660" t="s" s="12">
        <v>53</v>
      </c>
      <c r="M3660" t="s" s="10">
        <v>53</v>
      </c>
      <c r="N3660" t="s" s="11">
        <v>53</v>
      </c>
      <c r="O3660" t="s" s="8">
        <v>53</v>
      </c>
      <c r="P3660" t="s" s="8">
        <v>53</v>
      </c>
      <c r="Q3660" t="s" s="12">
        <v>53</v>
      </c>
      <c r="R3660" t="s" s="12">
        <v>53</v>
      </c>
    </row>
    <row r="3661" s="2" customFormat="1" ht="13.5" customHeight="1">
      <c r="B3661" s="13"/>
      <c r="C3661" t="s" s="9">
        <v>43</v>
      </c>
      <c r="D3661" t="s" s="8">
        <v>1248</v>
      </c>
      <c r="E3661" t="s" s="9">
        <v>1255</v>
      </c>
      <c r="F3661" t="s" s="10">
        <v>119</v>
      </c>
      <c r="G3661" s="14"/>
      <c r="H3661" t="s" s="10">
        <v>119</v>
      </c>
      <c r="I3661" s="14"/>
      <c r="J3661" t="s" s="11">
        <v>20</v>
      </c>
      <c r="K3661" t="s" s="16">
        <f>HYPERLINK("http://csr.bu.edu/ftp/asl/asllvd/demos/verify_start_end_handshape_annotations//test_auto_move//signs_mov/16341.mov","MOV")</f>
        <v>21</v>
      </c>
      <c r="L3661" t="s" s="16">
        <f>HYPERLINK("http://csr.bu.edu/ftp/asl/asllvd/demos/verify_start_end_handshape_annotations//test_auto_move//signs_mov_separ_signers/Dana_16341.mov","MOV")</f>
        <v>21</v>
      </c>
      <c r="M3661" t="s" s="10">
        <v>44</v>
      </c>
      <c r="N3661" s="17">
        <v>12</v>
      </c>
      <c r="O3661" s="18">
        <v>1689</v>
      </c>
      <c r="P3661" s="18">
        <v>1720</v>
      </c>
      <c r="Q3661" t="s" s="16">
        <f>HYPERLINK("http://secrets.rutgers.edu:8080/data/asl-ftp/asllvd/demos/verify_start_end_handshape_annotations//test_auto_move//signs_mov/16341.mov","MOV")</f>
        <v>21</v>
      </c>
      <c r="R3661" t="s" s="16">
        <f>HYPERLINK("http://secrets.rutgers.edu:8080/data/asl-ftp/asllvd/demos/verify_start_end_handshape_annotations//test_auto_move//signs_mov_separ_signers/Dana_16341.mov","MOV")</f>
        <v>21</v>
      </c>
    </row>
    <row r="3662" s="2" customFormat="1" ht="13.5" customHeight="1">
      <c r="B3662" t="s" s="8">
        <v>1256</v>
      </c>
      <c r="C3662" t="s" s="9">
        <v>14</v>
      </c>
      <c r="D3662" t="s" s="8">
        <v>14</v>
      </c>
      <c r="E3662" t="s" s="9">
        <v>14</v>
      </c>
      <c r="F3662" t="s" s="10">
        <v>14</v>
      </c>
      <c r="G3662" t="s" s="11">
        <v>14</v>
      </c>
      <c r="H3662" t="s" s="10">
        <v>14</v>
      </c>
      <c r="I3662" t="s" s="11">
        <v>14</v>
      </c>
      <c r="J3662" t="s" s="11">
        <v>14</v>
      </c>
      <c r="K3662" t="s" s="12">
        <v>14</v>
      </c>
      <c r="L3662" t="s" s="12">
        <v>14</v>
      </c>
      <c r="M3662" t="s" s="10">
        <v>14</v>
      </c>
      <c r="N3662" t="s" s="11">
        <v>14</v>
      </c>
      <c r="O3662" t="s" s="8">
        <v>14</v>
      </c>
      <c r="P3662" t="s" s="8">
        <v>14</v>
      </c>
      <c r="Q3662" t="s" s="12">
        <v>14</v>
      </c>
      <c r="R3662" t="s" s="12">
        <v>14</v>
      </c>
    </row>
    <row r="3663" s="2" customFormat="1" ht="13.5" customHeight="1">
      <c r="B3663" s="13"/>
      <c r="C3663" t="s" s="9">
        <v>16</v>
      </c>
      <c r="D3663" t="s" s="8">
        <v>1256</v>
      </c>
      <c r="E3663" t="s" s="9">
        <v>1257</v>
      </c>
      <c r="F3663" t="s" s="10">
        <v>115</v>
      </c>
      <c r="G3663" t="s" s="11">
        <v>73</v>
      </c>
      <c r="H3663" t="s" s="10">
        <v>115</v>
      </c>
      <c r="I3663" t="s" s="11">
        <v>73</v>
      </c>
      <c r="J3663" t="s" s="11">
        <v>20</v>
      </c>
      <c r="K3663" s="15"/>
      <c r="L3663" t="s" s="16">
        <f>HYPERLINK("http://csr.bu.edu/ftp/asl/asllvd/demos/verify_start_end_handshape_annotations//test_auto_move//signs_mov_separ_signers/Liz_775.mov","MOV")</f>
        <v>21</v>
      </c>
      <c r="M3663" t="s" s="10">
        <v>84</v>
      </c>
      <c r="N3663" s="17">
        <v>28</v>
      </c>
      <c r="O3663" s="18">
        <v>1795</v>
      </c>
      <c r="P3663" s="18">
        <v>1835</v>
      </c>
      <c r="Q3663" s="15"/>
      <c r="R3663" t="s" s="16">
        <f>HYPERLINK("http://secrets.rutgers.edu:8080/data/asl-ftp/asllvd/demos/verify_start_end_handshape_annotations//test_auto_move//signs_mov_separ_signers/Liz_775.mov","MOV")</f>
        <v>21</v>
      </c>
    </row>
    <row r="3664" s="2" customFormat="1" ht="13.5" customHeight="1">
      <c r="B3664" s="13"/>
      <c r="C3664" t="s" s="9">
        <v>23</v>
      </c>
      <c r="D3664" t="s" s="8">
        <v>1256</v>
      </c>
      <c r="E3664" t="s" s="9">
        <v>1258</v>
      </c>
      <c r="F3664" t="s" s="10">
        <v>117</v>
      </c>
      <c r="G3664" t="s" s="11">
        <v>73</v>
      </c>
      <c r="H3664" t="s" s="10">
        <v>117</v>
      </c>
      <c r="I3664" t="s" s="11">
        <v>73</v>
      </c>
      <c r="J3664" t="s" s="11">
        <v>20</v>
      </c>
      <c r="K3664" t="s" s="16">
        <f>HYPERLINK("http://csr.bu.edu/ftp/asl/asllvd/demos/verify_start_end_handshape_annotations//test_auto_move//signs_mov/775.mov","MOV")</f>
        <v>21</v>
      </c>
      <c r="L3664" t="s" s="16">
        <f>HYPERLINK("http://csr.bu.edu/ftp/asl/asllvd/demos/verify_start_end_handshape_annotations//test_auto_move//signs_mov_separ_signers/Tyler_775.mov","MOV")</f>
        <v>21</v>
      </c>
      <c r="M3664" t="s" s="10">
        <v>92</v>
      </c>
      <c r="N3664" s="17">
        <v>8</v>
      </c>
      <c r="O3664" s="18">
        <v>1022</v>
      </c>
      <c r="P3664" s="18">
        <v>1060</v>
      </c>
      <c r="Q3664" t="s" s="16">
        <f>HYPERLINK("http://secrets.rutgers.edu:8080/data/asl-ftp/asllvd/demos/verify_start_end_handshape_annotations//test_auto_move//signs_mov/775.mov","MOV")</f>
        <v>21</v>
      </c>
      <c r="R3664" t="s" s="16">
        <f>HYPERLINK("http://secrets.rutgers.edu:8080/data/asl-ftp/asllvd/demos/verify_start_end_handshape_annotations//test_auto_move//signs_mov_separ_signers/Tyler_775.mov","MOV")</f>
        <v>21</v>
      </c>
    </row>
    <row r="3665" s="2" customFormat="1" ht="13.5" customHeight="1">
      <c r="B3665" s="13"/>
      <c r="C3665" t="s" s="9">
        <v>27</v>
      </c>
      <c r="D3665" t="s" s="8">
        <v>1256</v>
      </c>
      <c r="E3665" t="s" s="9">
        <v>1257</v>
      </c>
      <c r="F3665" t="s" s="10">
        <v>115</v>
      </c>
      <c r="G3665" t="s" s="11">
        <v>73</v>
      </c>
      <c r="H3665" t="s" s="10">
        <v>115</v>
      </c>
      <c r="I3665" t="s" s="11">
        <v>73</v>
      </c>
      <c r="J3665" t="s" s="11">
        <v>20</v>
      </c>
      <c r="K3665" s="15"/>
      <c r="L3665" t="s" s="16">
        <f>HYPERLINK("http://csr.bu.edu/ftp/asl/asllvd/demos/verify_start_end_handshape_annotations//test_auto_move//signs_mov_separ_signers/Naomi_775.mov","MOV")</f>
        <v>21</v>
      </c>
      <c r="M3665" t="s" s="10">
        <v>86</v>
      </c>
      <c r="N3665" s="17">
        <v>28</v>
      </c>
      <c r="O3665" s="18">
        <v>1305</v>
      </c>
      <c r="P3665" s="18">
        <v>1332</v>
      </c>
      <c r="Q3665" s="15"/>
      <c r="R3665" t="s" s="16">
        <f>HYPERLINK("http://secrets.rutgers.edu:8080/data/asl-ftp/asllvd/demos/verify_start_end_handshape_annotations//test_auto_move//signs_mov_separ_signers/Naomi_775.mov","MOV")</f>
        <v>21</v>
      </c>
    </row>
    <row r="3666" s="2" customFormat="1" ht="13.5" customHeight="1">
      <c r="B3666" s="13"/>
      <c r="C3666" t="s" s="9">
        <v>30</v>
      </c>
      <c r="D3666" t="s" s="8">
        <v>1256</v>
      </c>
      <c r="E3666" t="s" s="9">
        <v>1257</v>
      </c>
      <c r="F3666" t="s" s="10">
        <v>115</v>
      </c>
      <c r="G3666" t="s" s="11">
        <v>73</v>
      </c>
      <c r="H3666" t="s" s="10">
        <v>115</v>
      </c>
      <c r="I3666" t="s" s="11">
        <v>73</v>
      </c>
      <c r="J3666" t="s" s="11">
        <v>20</v>
      </c>
      <c r="K3666" s="15"/>
      <c r="L3666" t="s" s="16">
        <f>HYPERLINK("http://csr.bu.edu/ftp/asl/asllvd/demos/verify_start_end_handshape_annotations//test_auto_move//signs_mov_separ_signers/Brady_775.mov","MOV")</f>
        <v>21</v>
      </c>
      <c r="M3666" t="s" s="10">
        <v>39</v>
      </c>
      <c r="N3666" s="17">
        <v>10</v>
      </c>
      <c r="O3666" s="18">
        <v>189</v>
      </c>
      <c r="P3666" s="18">
        <v>210</v>
      </c>
      <c r="Q3666" s="15"/>
      <c r="R3666" t="s" s="16">
        <f>HYPERLINK("http://secrets.rutgers.edu:8080/data/asl-ftp/asllvd/demos/verify_start_end_handshape_annotations//test_auto_move//signs_mov_separ_signers/Brady_775.mov","MOV")</f>
        <v>21</v>
      </c>
    </row>
    <row r="3667" s="2" customFormat="1" ht="13.5" customHeight="1">
      <c r="B3667" t="s" s="8">
        <v>1259</v>
      </c>
      <c r="C3667" t="s" s="9">
        <v>14</v>
      </c>
      <c r="D3667" t="s" s="8">
        <v>14</v>
      </c>
      <c r="E3667" t="s" s="9">
        <v>14</v>
      </c>
      <c r="F3667" t="s" s="10">
        <v>14</v>
      </c>
      <c r="G3667" t="s" s="11">
        <v>14</v>
      </c>
      <c r="H3667" t="s" s="10">
        <v>14</v>
      </c>
      <c r="I3667" t="s" s="11">
        <v>14</v>
      </c>
      <c r="J3667" t="s" s="11">
        <v>14</v>
      </c>
      <c r="K3667" t="s" s="12">
        <v>14</v>
      </c>
      <c r="L3667" t="s" s="12">
        <v>14</v>
      </c>
      <c r="M3667" t="s" s="10">
        <v>14</v>
      </c>
      <c r="N3667" t="s" s="11">
        <v>14</v>
      </c>
      <c r="O3667" t="s" s="8">
        <v>14</v>
      </c>
      <c r="P3667" t="s" s="8">
        <v>14</v>
      </c>
      <c r="Q3667" t="s" s="12">
        <v>14</v>
      </c>
      <c r="R3667" t="s" s="12">
        <v>14</v>
      </c>
    </row>
    <row r="3668" s="2" customFormat="1" ht="13.5" customHeight="1">
      <c r="B3668" s="13"/>
      <c r="C3668" t="s" s="9">
        <v>16</v>
      </c>
      <c r="D3668" t="s" s="8">
        <v>1259</v>
      </c>
      <c r="E3668" t="s" s="9">
        <v>1260</v>
      </c>
      <c r="F3668" t="s" s="10">
        <v>282</v>
      </c>
      <c r="G3668" t="s" s="11">
        <v>73</v>
      </c>
      <c r="H3668" t="s" s="10">
        <v>282</v>
      </c>
      <c r="I3668" t="s" s="11">
        <v>73</v>
      </c>
      <c r="J3668" t="s" s="11">
        <v>20</v>
      </c>
      <c r="K3668" s="15"/>
      <c r="L3668" t="s" s="16">
        <f>HYPERLINK("http://csr.bu.edu/ftp/asl/asllvd/demos/verify_start_end_handshape_annotations//test_auto_move//signs_mov_separ_signers/Liz_16057.mov","MOV")</f>
        <v>21</v>
      </c>
      <c r="M3668" t="s" s="10">
        <v>84</v>
      </c>
      <c r="N3668" s="17">
        <v>41</v>
      </c>
      <c r="O3668" s="18">
        <v>1601</v>
      </c>
      <c r="P3668" s="18">
        <v>1636</v>
      </c>
      <c r="Q3668" s="15"/>
      <c r="R3668" t="s" s="16">
        <f>HYPERLINK("http://secrets.rutgers.edu:8080/data/asl-ftp/asllvd/demos/verify_start_end_handshape_annotations//test_auto_move//signs_mov_separ_signers/Liz_16057.mov","MOV")</f>
        <v>21</v>
      </c>
    </row>
    <row r="3669" s="2" customFormat="1" ht="13.5" customHeight="1">
      <c r="B3669" s="13"/>
      <c r="C3669" t="s" s="9">
        <v>23</v>
      </c>
      <c r="D3669" t="s" s="8">
        <v>1259</v>
      </c>
      <c r="E3669" t="s" s="9">
        <v>1261</v>
      </c>
      <c r="F3669" t="s" s="10">
        <v>282</v>
      </c>
      <c r="G3669" t="s" s="11">
        <v>73</v>
      </c>
      <c r="H3669" t="s" s="10">
        <v>282</v>
      </c>
      <c r="I3669" t="s" s="11">
        <v>73</v>
      </c>
      <c r="J3669" t="s" s="11">
        <v>20</v>
      </c>
      <c r="K3669" t="s" s="16">
        <f>HYPERLINK("http://csr.bu.edu/ftp/asl/asllvd/demos/verify_start_end_handshape_annotations//test_auto_move//signs_mov/16057.mov","MOV")</f>
        <v>21</v>
      </c>
      <c r="L3669" t="s" s="16">
        <f>HYPERLINK("http://csr.bu.edu/ftp/asl/asllvd/demos/verify_start_end_handshape_annotations//test_auto_move//signs_mov_separ_signers/Tyler_16057.mov","MOV")</f>
        <v>21</v>
      </c>
      <c r="M3669" t="s" s="10">
        <v>92</v>
      </c>
      <c r="N3669" s="17">
        <v>21</v>
      </c>
      <c r="O3669" s="18">
        <v>1321</v>
      </c>
      <c r="P3669" s="18">
        <v>1357</v>
      </c>
      <c r="Q3669" t="s" s="16">
        <f>HYPERLINK("http://secrets.rutgers.edu:8080/data/asl-ftp/asllvd/demos/verify_start_end_handshape_annotations//test_auto_move//signs_mov/16057.mov","MOV")</f>
        <v>21</v>
      </c>
      <c r="R3669" t="s" s="16">
        <f>HYPERLINK("http://secrets.rutgers.edu:8080/data/asl-ftp/asllvd/demos/verify_start_end_handshape_annotations//test_auto_move//signs_mov_separ_signers/Tyler_16057.mov","MOV")</f>
        <v>21</v>
      </c>
    </row>
    <row r="3670" s="2" customFormat="1" ht="13.5" customHeight="1">
      <c r="B3670" s="13"/>
      <c r="C3670" t="s" s="9">
        <v>27</v>
      </c>
      <c r="D3670" t="s" s="8">
        <v>1259</v>
      </c>
      <c r="E3670" t="s" s="9">
        <v>1260</v>
      </c>
      <c r="F3670" t="s" s="10">
        <v>282</v>
      </c>
      <c r="G3670" t="s" s="11">
        <v>73</v>
      </c>
      <c r="H3670" t="s" s="10">
        <v>282</v>
      </c>
      <c r="I3670" t="s" s="11">
        <v>73</v>
      </c>
      <c r="J3670" t="s" s="11">
        <v>20</v>
      </c>
      <c r="K3670" s="15"/>
      <c r="L3670" t="s" s="16">
        <f>HYPERLINK("http://csr.bu.edu/ftp/asl/asllvd/demos/verify_start_end_handshape_annotations//test_auto_move//signs_mov_separ_signers/Naomi_16057.mov","MOV")</f>
        <v>21</v>
      </c>
      <c r="M3670" t="s" s="10">
        <v>86</v>
      </c>
      <c r="N3670" s="17">
        <v>41</v>
      </c>
      <c r="O3670" s="18">
        <v>1390</v>
      </c>
      <c r="P3670" s="18">
        <v>1420</v>
      </c>
      <c r="Q3670" s="15"/>
      <c r="R3670" t="s" s="16">
        <f>HYPERLINK("http://secrets.rutgers.edu:8080/data/asl-ftp/asllvd/demos/verify_start_end_handshape_annotations//test_auto_move//signs_mov_separ_signers/Naomi_16057.mov","MOV")</f>
        <v>21</v>
      </c>
    </row>
    <row r="3671" s="2" customFormat="1" ht="13.5" customHeight="1">
      <c r="B3671" s="13"/>
      <c r="C3671" t="s" s="9">
        <v>30</v>
      </c>
      <c r="D3671" t="s" s="8">
        <v>1259</v>
      </c>
      <c r="E3671" t="s" s="9">
        <v>1260</v>
      </c>
      <c r="F3671" t="s" s="10">
        <v>282</v>
      </c>
      <c r="G3671" t="s" s="11">
        <v>73</v>
      </c>
      <c r="H3671" t="s" s="10">
        <v>282</v>
      </c>
      <c r="I3671" t="s" s="11">
        <v>73</v>
      </c>
      <c r="J3671" t="s" s="11">
        <v>20</v>
      </c>
      <c r="K3671" s="15"/>
      <c r="L3671" t="s" s="16">
        <f>HYPERLINK("http://csr.bu.edu/ftp/asl/asllvd/demos/verify_start_end_handshape_annotations//test_auto_move//signs_mov_separ_signers/Brady_16057.mov","MOV")</f>
        <v>21</v>
      </c>
      <c r="M3671" t="s" s="10">
        <v>39</v>
      </c>
      <c r="N3671" s="17">
        <v>18</v>
      </c>
      <c r="O3671" s="18">
        <v>2215</v>
      </c>
      <c r="P3671" s="18">
        <v>2240</v>
      </c>
      <c r="Q3671" s="15"/>
      <c r="R3671" t="s" s="16">
        <f>HYPERLINK("http://secrets.rutgers.edu:8080/data/asl-ftp/asllvd/demos/verify_start_end_handshape_annotations//test_auto_move//signs_mov_separ_signers/Brady_16057.mov","MOV")</f>
        <v>21</v>
      </c>
    </row>
    <row r="3672" s="2" customFormat="1" ht="13.5" customHeight="1">
      <c r="B3672" t="s" s="8">
        <v>1262</v>
      </c>
      <c r="C3672" t="s" s="9">
        <v>14</v>
      </c>
      <c r="D3672" t="s" s="8">
        <v>14</v>
      </c>
      <c r="E3672" t="s" s="9">
        <v>14</v>
      </c>
      <c r="F3672" t="s" s="10">
        <v>14</v>
      </c>
      <c r="G3672" t="s" s="11">
        <v>14</v>
      </c>
      <c r="H3672" t="s" s="10">
        <v>14</v>
      </c>
      <c r="I3672" t="s" s="11">
        <v>14</v>
      </c>
      <c r="J3672" t="s" s="11">
        <v>14</v>
      </c>
      <c r="K3672" t="s" s="12">
        <v>14</v>
      </c>
      <c r="L3672" t="s" s="12">
        <v>14</v>
      </c>
      <c r="M3672" t="s" s="10">
        <v>14</v>
      </c>
      <c r="N3672" t="s" s="11">
        <v>14</v>
      </c>
      <c r="O3672" t="s" s="8">
        <v>14</v>
      </c>
      <c r="P3672" t="s" s="8">
        <v>14</v>
      </c>
      <c r="Q3672" t="s" s="12">
        <v>14</v>
      </c>
      <c r="R3672" t="s" s="12">
        <v>14</v>
      </c>
    </row>
    <row r="3673" s="2" customFormat="1" ht="13.5" customHeight="1">
      <c r="B3673" s="13"/>
      <c r="C3673" t="s" s="9">
        <v>16</v>
      </c>
      <c r="D3673" t="s" s="8">
        <v>1262</v>
      </c>
      <c r="E3673" t="s" s="9">
        <v>1262</v>
      </c>
      <c r="F3673" t="s" s="10">
        <v>85</v>
      </c>
      <c r="G3673" t="s" s="11">
        <v>55</v>
      </c>
      <c r="H3673" t="s" s="10">
        <v>85</v>
      </c>
      <c r="I3673" t="s" s="11">
        <v>55</v>
      </c>
      <c r="J3673" t="s" s="11">
        <v>20</v>
      </c>
      <c r="K3673" t="s" s="16">
        <f>HYPERLINK("http://csr.bu.edu/ftp/asl/asllvd/demos/verify_start_end_handshape_annotations//test_auto_move//signs_mov/776.mov","MOV")</f>
        <v>21</v>
      </c>
      <c r="L3673" t="s" s="16">
        <f>HYPERLINK("http://csr.bu.edu/ftp/asl/asllvd/demos/verify_start_end_handshape_annotations//test_auto_move//signs_mov_separ_signers/Liz_776.mov","MOV")</f>
        <v>21</v>
      </c>
      <c r="M3673" t="s" s="10">
        <v>84</v>
      </c>
      <c r="N3673" s="17">
        <v>28</v>
      </c>
      <c r="O3673" s="18">
        <v>2090</v>
      </c>
      <c r="P3673" s="18">
        <v>2130</v>
      </c>
      <c r="Q3673" t="s" s="16">
        <f>HYPERLINK("http://secrets.rutgers.edu:8080/data/asl-ftp/asllvd/demos/verify_start_end_handshape_annotations//test_auto_move//signs_mov/776.mov","MOV")</f>
        <v>21</v>
      </c>
      <c r="R3673" t="s" s="16">
        <f>HYPERLINK("http://secrets.rutgers.edu:8080/data/asl-ftp/asllvd/demos/verify_start_end_handshape_annotations//test_auto_move//signs_mov_separ_signers/Liz_776.mov","MOV")</f>
        <v>21</v>
      </c>
    </row>
    <row r="3674" s="2" customFormat="1" ht="13.5" customHeight="1">
      <c r="B3674" t="s" s="8">
        <v>1263</v>
      </c>
      <c r="C3674" t="s" s="9">
        <v>14</v>
      </c>
      <c r="D3674" t="s" s="8">
        <v>14</v>
      </c>
      <c r="E3674" t="s" s="9">
        <v>14</v>
      </c>
      <c r="F3674" t="s" s="10">
        <v>14</v>
      </c>
      <c r="G3674" t="s" s="11">
        <v>14</v>
      </c>
      <c r="H3674" t="s" s="10">
        <v>14</v>
      </c>
      <c r="I3674" t="s" s="11">
        <v>14</v>
      </c>
      <c r="J3674" t="s" s="11">
        <v>14</v>
      </c>
      <c r="K3674" t="s" s="12">
        <v>14</v>
      </c>
      <c r="L3674" t="s" s="12">
        <v>14</v>
      </c>
      <c r="M3674" t="s" s="10">
        <v>14</v>
      </c>
      <c r="N3674" t="s" s="11">
        <v>14</v>
      </c>
      <c r="O3674" t="s" s="8">
        <v>14</v>
      </c>
      <c r="P3674" t="s" s="8">
        <v>14</v>
      </c>
      <c r="Q3674" t="s" s="12">
        <v>14</v>
      </c>
      <c r="R3674" t="s" s="12">
        <v>14</v>
      </c>
    </row>
    <row r="3675" s="2" customFormat="1" ht="13.5" customHeight="1">
      <c r="B3675" s="13"/>
      <c r="C3675" t="s" s="9">
        <v>16</v>
      </c>
      <c r="D3675" t="s" s="8">
        <v>1263</v>
      </c>
      <c r="E3675" t="s" s="9">
        <v>1263</v>
      </c>
      <c r="F3675" t="s" s="10">
        <v>287</v>
      </c>
      <c r="G3675" s="14"/>
      <c r="H3675" t="s" s="10">
        <v>287</v>
      </c>
      <c r="I3675" s="14"/>
      <c r="J3675" t="s" s="11">
        <v>20</v>
      </c>
      <c r="K3675" t="s" s="16">
        <f>HYPERLINK("http://csr.bu.edu/ftp/asl/asllvd/demos/verify_start_end_handshape_annotations//test_auto_move//signs_mov/780.mov","MOV")</f>
        <v>21</v>
      </c>
      <c r="L3675" t="s" s="16">
        <f>HYPERLINK("http://csr.bu.edu/ftp/asl/asllvd/demos/verify_start_end_handshape_annotations//test_auto_move//signs_mov_separ_signers/Liz_780.mov","MOV")</f>
        <v>21</v>
      </c>
      <c r="M3675" t="s" s="10">
        <v>84</v>
      </c>
      <c r="N3675" s="17">
        <v>29</v>
      </c>
      <c r="O3675" s="18">
        <v>267</v>
      </c>
      <c r="P3675" s="18">
        <v>300</v>
      </c>
      <c r="Q3675" t="s" s="16">
        <f>HYPERLINK("http://secrets.rutgers.edu:8080/data/asl-ftp/asllvd/demos/verify_start_end_handshape_annotations//test_auto_move//signs_mov/780.mov","MOV")</f>
        <v>21</v>
      </c>
      <c r="R3675" t="s" s="16">
        <f>HYPERLINK("http://secrets.rutgers.edu:8080/data/asl-ftp/asllvd/demos/verify_start_end_handshape_annotations//test_auto_move//signs_mov_separ_signers/Liz_780.mov","MOV")</f>
        <v>21</v>
      </c>
    </row>
    <row r="3676" s="2" customFormat="1" ht="13.5" customHeight="1">
      <c r="B3676" s="13"/>
      <c r="C3676" t="s" s="9">
        <v>27</v>
      </c>
      <c r="D3676" t="s" s="8">
        <v>1263</v>
      </c>
      <c r="E3676" t="s" s="9">
        <v>1263</v>
      </c>
      <c r="F3676" t="s" s="10">
        <v>287</v>
      </c>
      <c r="G3676" s="14"/>
      <c r="H3676" t="s" s="10">
        <v>287</v>
      </c>
      <c r="I3676" s="14"/>
      <c r="J3676" t="s" s="11">
        <v>20</v>
      </c>
      <c r="K3676" s="15"/>
      <c r="L3676" t="s" s="16">
        <f>HYPERLINK("http://csr.bu.edu/ftp/asl/asllvd/demos/verify_start_end_handshape_annotations//test_auto_move//signs_mov_separ_signers/Naomi_780.mov","MOV")</f>
        <v>21</v>
      </c>
      <c r="M3676" t="s" s="10">
        <v>86</v>
      </c>
      <c r="N3676" s="17">
        <v>28</v>
      </c>
      <c r="O3676" s="18">
        <v>3715</v>
      </c>
      <c r="P3676" s="18">
        <v>3730</v>
      </c>
      <c r="Q3676" s="15"/>
      <c r="R3676" t="s" s="16">
        <f>HYPERLINK("http://secrets.rutgers.edu:8080/data/asl-ftp/asllvd/demos/verify_start_end_handshape_annotations//test_auto_move//signs_mov_separ_signers/Naomi_780.mov","MOV")</f>
        <v>21</v>
      </c>
    </row>
    <row r="3677" s="2" customFormat="1" ht="13.5" customHeight="1">
      <c r="B3677" t="s" s="8">
        <v>52</v>
      </c>
      <c r="C3677" t="s" s="9">
        <v>53</v>
      </c>
      <c r="D3677" t="s" s="8">
        <v>53</v>
      </c>
      <c r="E3677" t="s" s="9">
        <v>53</v>
      </c>
      <c r="F3677" t="s" s="10">
        <v>53</v>
      </c>
      <c r="G3677" t="s" s="11">
        <v>53</v>
      </c>
      <c r="H3677" t="s" s="10">
        <v>53</v>
      </c>
      <c r="I3677" t="s" s="11">
        <v>53</v>
      </c>
      <c r="J3677" t="s" s="11">
        <v>53</v>
      </c>
      <c r="K3677" t="s" s="12">
        <v>53</v>
      </c>
      <c r="L3677" t="s" s="12">
        <v>53</v>
      </c>
      <c r="M3677" t="s" s="10">
        <v>53</v>
      </c>
      <c r="N3677" t="s" s="11">
        <v>53</v>
      </c>
      <c r="O3677" t="s" s="8">
        <v>53</v>
      </c>
      <c r="P3677" t="s" s="8">
        <v>53</v>
      </c>
      <c r="Q3677" t="s" s="12">
        <v>53</v>
      </c>
      <c r="R3677" t="s" s="12">
        <v>53</v>
      </c>
    </row>
    <row r="3678" s="2" customFormat="1" ht="13.5" customHeight="1">
      <c r="B3678" s="13"/>
      <c r="C3678" t="s" s="9">
        <v>30</v>
      </c>
      <c r="D3678" t="s" s="8">
        <v>1263</v>
      </c>
      <c r="E3678" t="s" s="9">
        <v>1264</v>
      </c>
      <c r="F3678" t="s" s="10">
        <v>287</v>
      </c>
      <c r="G3678" t="s" s="11">
        <v>287</v>
      </c>
      <c r="H3678" t="s" s="10">
        <v>287</v>
      </c>
      <c r="I3678" t="s" s="11">
        <v>287</v>
      </c>
      <c r="J3678" t="s" s="11">
        <v>20</v>
      </c>
      <c r="K3678" t="s" s="16">
        <f>HYPERLINK("http://csr.bu.edu/ftp/asl/asllvd/demos/verify_start_end_handshape_annotations//test_auto_move//signs_mov/15049.mov","MOV")</f>
        <v>21</v>
      </c>
      <c r="L3678" t="s" s="16">
        <f>HYPERLINK("http://csr.bu.edu/ftp/asl/asllvd/demos/verify_start_end_handshape_annotations//test_auto_move//signs_mov_separ_signers/Brady_15049.mov","MOV")</f>
        <v>21</v>
      </c>
      <c r="M3678" t="s" s="10">
        <v>39</v>
      </c>
      <c r="N3678" s="17">
        <v>10</v>
      </c>
      <c r="O3678" s="18">
        <v>5573</v>
      </c>
      <c r="P3678" s="18">
        <v>5600</v>
      </c>
      <c r="Q3678" t="s" s="16">
        <f>HYPERLINK("http://secrets.rutgers.edu:8080/data/asl-ftp/asllvd/demos/verify_start_end_handshape_annotations//test_auto_move//signs_mov/15049.mov","MOV")</f>
        <v>21</v>
      </c>
      <c r="R3678" t="s" s="16">
        <f>HYPERLINK("http://secrets.rutgers.edu:8080/data/asl-ftp/asllvd/demos/verify_start_end_handshape_annotations//test_auto_move//signs_mov_separ_signers/Brady_15049.mov","MOV")</f>
        <v>21</v>
      </c>
    </row>
    <row r="3679" s="2" customFormat="1" ht="13.5" customHeight="1">
      <c r="B3679" t="s" s="8">
        <v>1265</v>
      </c>
      <c r="C3679" t="s" s="9">
        <v>14</v>
      </c>
      <c r="D3679" t="s" s="8">
        <v>14</v>
      </c>
      <c r="E3679" t="s" s="9">
        <v>14</v>
      </c>
      <c r="F3679" t="s" s="10">
        <v>14</v>
      </c>
      <c r="G3679" t="s" s="11">
        <v>14</v>
      </c>
      <c r="H3679" t="s" s="10">
        <v>14</v>
      </c>
      <c r="I3679" t="s" s="11">
        <v>14</v>
      </c>
      <c r="J3679" t="s" s="11">
        <v>14</v>
      </c>
      <c r="K3679" t="s" s="12">
        <v>14</v>
      </c>
      <c r="L3679" t="s" s="12">
        <v>14</v>
      </c>
      <c r="M3679" t="s" s="10">
        <v>14</v>
      </c>
      <c r="N3679" t="s" s="11">
        <v>14</v>
      </c>
      <c r="O3679" t="s" s="8">
        <v>14</v>
      </c>
      <c r="P3679" t="s" s="8">
        <v>14</v>
      </c>
      <c r="Q3679" t="s" s="12">
        <v>14</v>
      </c>
      <c r="R3679" t="s" s="12">
        <v>14</v>
      </c>
    </row>
    <row r="3680" s="2" customFormat="1" ht="13.5" customHeight="1">
      <c r="B3680" s="13"/>
      <c r="C3680" t="s" s="9">
        <v>16</v>
      </c>
      <c r="D3680" t="s" s="8">
        <v>1265</v>
      </c>
      <c r="E3680" t="s" s="9">
        <v>1265</v>
      </c>
      <c r="F3680" t="s" s="10">
        <v>255</v>
      </c>
      <c r="G3680" s="14"/>
      <c r="H3680" t="s" s="10">
        <v>255</v>
      </c>
      <c r="I3680" s="14"/>
      <c r="J3680" t="s" s="11">
        <v>20</v>
      </c>
      <c r="K3680" s="15"/>
      <c r="L3680" t="s" s="16">
        <f>HYPERLINK("http://csr.bu.edu/ftp/asl/asllvd/demos/verify_start_end_handshape_annotations//test_auto_move//signs_mov_separ_signers/Liz_782.mov","MOV")</f>
        <v>21</v>
      </c>
      <c r="M3680" t="s" s="10">
        <v>84</v>
      </c>
      <c r="N3680" s="17">
        <v>29</v>
      </c>
      <c r="O3680" s="18">
        <v>670</v>
      </c>
      <c r="P3680" s="18">
        <v>706</v>
      </c>
      <c r="Q3680" s="15"/>
      <c r="R3680" t="s" s="16">
        <f>HYPERLINK("http://secrets.rutgers.edu:8080/data/asl-ftp/asllvd/demos/verify_start_end_handshape_annotations//test_auto_move//signs_mov_separ_signers/Liz_782.mov","MOV")</f>
        <v>21</v>
      </c>
    </row>
    <row r="3681" s="2" customFormat="1" ht="13.5" customHeight="1">
      <c r="B3681" s="13"/>
      <c r="C3681" t="s" s="9">
        <v>16</v>
      </c>
      <c r="D3681" t="s" s="8">
        <v>1265</v>
      </c>
      <c r="E3681" t="s" s="9">
        <v>1265</v>
      </c>
      <c r="F3681" t="s" s="10">
        <v>255</v>
      </c>
      <c r="G3681" s="14"/>
      <c r="H3681" t="s" s="10">
        <v>255</v>
      </c>
      <c r="I3681" s="14"/>
      <c r="J3681" t="s" s="11">
        <v>20</v>
      </c>
      <c r="K3681" s="15"/>
      <c r="L3681" t="s" s="16">
        <f>HYPERLINK("http://csr.bu.edu/ftp/asl/asllvd/demos/verify_start_end_handshape_annotations//test_auto_move//signs_mov_separ_signers/Liz_3622.mov","MOV")</f>
        <v>21</v>
      </c>
      <c r="M3681" t="s" s="10">
        <v>84</v>
      </c>
      <c r="N3681" s="17">
        <v>29</v>
      </c>
      <c r="O3681" s="18">
        <v>855</v>
      </c>
      <c r="P3681" s="18">
        <v>890</v>
      </c>
      <c r="Q3681" s="15"/>
      <c r="R3681" t="s" s="16">
        <f>HYPERLINK("http://secrets.rutgers.edu:8080/data/asl-ftp/asllvd/demos/verify_start_end_handshape_annotations//test_auto_move//signs_mov_separ_signers/Liz_3622.mov","MOV")</f>
        <v>21</v>
      </c>
    </row>
    <row r="3682" s="2" customFormat="1" ht="13.5" customHeight="1">
      <c r="B3682" s="13"/>
      <c r="C3682" t="s" s="9">
        <v>23</v>
      </c>
      <c r="D3682" t="s" s="8">
        <v>1265</v>
      </c>
      <c r="E3682" t="s" s="9">
        <v>1265</v>
      </c>
      <c r="F3682" t="s" s="10">
        <v>255</v>
      </c>
      <c r="G3682" s="14"/>
      <c r="H3682" t="s" s="10">
        <v>255</v>
      </c>
      <c r="I3682" s="14"/>
      <c r="J3682" t="s" s="11">
        <v>20</v>
      </c>
      <c r="K3682" s="15"/>
      <c r="L3682" t="s" s="16">
        <f>HYPERLINK("http://csr.bu.edu/ftp/asl/asllvd/demos/verify_start_end_handshape_annotations//test_auto_move//signs_mov_separ_signers/Tyler_782.mov","MOV")</f>
        <v>21</v>
      </c>
      <c r="M3682" t="s" s="10">
        <v>92</v>
      </c>
      <c r="N3682" s="17">
        <v>9</v>
      </c>
      <c r="O3682" s="18">
        <v>885</v>
      </c>
      <c r="P3682" s="18">
        <v>930</v>
      </c>
      <c r="Q3682" s="15"/>
      <c r="R3682" t="s" s="16">
        <f>HYPERLINK("http://secrets.rutgers.edu:8080/data/asl-ftp/asllvd/demos/verify_start_end_handshape_annotations//test_auto_move//signs_mov_separ_signers/Tyler_782.mov","MOV")</f>
        <v>21</v>
      </c>
    </row>
    <row r="3683" s="2" customFormat="1" ht="13.5" customHeight="1">
      <c r="B3683" s="13"/>
      <c r="C3683" t="s" s="9">
        <v>23</v>
      </c>
      <c r="D3683" t="s" s="8">
        <v>1265</v>
      </c>
      <c r="E3683" t="s" s="9">
        <v>1265</v>
      </c>
      <c r="F3683" t="s" s="10">
        <v>255</v>
      </c>
      <c r="G3683" s="14"/>
      <c r="H3683" t="s" s="10">
        <v>255</v>
      </c>
      <c r="I3683" s="14"/>
      <c r="J3683" t="s" s="11">
        <v>20</v>
      </c>
      <c r="K3683" t="s" s="16">
        <f>HYPERLINK("http://csr.bu.edu/ftp/asl/asllvd/demos/verify_start_end_handshape_annotations//test_auto_move//signs_mov/782_3622_merged.mov","MOV")</f>
        <v>21</v>
      </c>
      <c r="L3683" t="s" s="16">
        <f>HYPERLINK("http://csr.bu.edu/ftp/asl/asllvd/demos/verify_start_end_handshape_annotations//test_auto_move//signs_mov_separ_signers/Tyler_3622.mov","MOV")</f>
        <v>21</v>
      </c>
      <c r="M3683" t="s" s="10">
        <v>92</v>
      </c>
      <c r="N3683" s="17">
        <v>9</v>
      </c>
      <c r="O3683" s="18">
        <v>1135</v>
      </c>
      <c r="P3683" s="18">
        <v>1175</v>
      </c>
      <c r="Q3683" t="s" s="16">
        <f>HYPERLINK("http://secrets.rutgers.edu:8080/data/asl-ftp/asllvd/demos/verify_start_end_handshape_annotations//test_auto_move//signs_mov/782_3622_merged.mov","MOV")</f>
        <v>21</v>
      </c>
      <c r="R3683" t="s" s="16">
        <f>HYPERLINK("http://secrets.rutgers.edu:8080/data/asl-ftp/asllvd/demos/verify_start_end_handshape_annotations//test_auto_move//signs_mov_separ_signers/Tyler_3622.mov","MOV")</f>
        <v>21</v>
      </c>
    </row>
    <row r="3684" s="2" customFormat="1" ht="13.5" customHeight="1">
      <c r="B3684" s="13"/>
      <c r="C3684" t="s" s="9">
        <v>27</v>
      </c>
      <c r="D3684" t="s" s="8">
        <v>1265</v>
      </c>
      <c r="E3684" t="s" s="9">
        <v>1265</v>
      </c>
      <c r="F3684" t="s" s="10">
        <v>292</v>
      </c>
      <c r="G3684" s="14"/>
      <c r="H3684" t="s" s="10">
        <v>292</v>
      </c>
      <c r="I3684" s="14"/>
      <c r="J3684" t="s" s="11">
        <v>20</v>
      </c>
      <c r="K3684" s="15"/>
      <c r="L3684" t="s" s="16">
        <f>HYPERLINK("http://csr.bu.edu/ftp/asl/asllvd/demos/verify_start_end_handshape_annotations//test_auto_move//signs_mov_separ_signers/Naomi_782.mov","MOV")</f>
        <v>21</v>
      </c>
      <c r="M3684" t="s" s="10">
        <v>86</v>
      </c>
      <c r="N3684" s="17">
        <v>29</v>
      </c>
      <c r="O3684" s="18">
        <v>480</v>
      </c>
      <c r="P3684" s="18">
        <v>505</v>
      </c>
      <c r="Q3684" s="15"/>
      <c r="R3684" t="s" s="16">
        <f>HYPERLINK("http://secrets.rutgers.edu:8080/data/asl-ftp/asllvd/demos/verify_start_end_handshape_annotations//test_auto_move//signs_mov_separ_signers/Naomi_782.mov","MOV")</f>
        <v>21</v>
      </c>
    </row>
    <row r="3685" s="2" customFormat="1" ht="13.5" customHeight="1">
      <c r="B3685" s="13"/>
      <c r="C3685" t="s" s="9">
        <v>27</v>
      </c>
      <c r="D3685" t="s" s="8">
        <v>1265</v>
      </c>
      <c r="E3685" t="s" s="9">
        <v>1265</v>
      </c>
      <c r="F3685" t="s" s="10">
        <v>292</v>
      </c>
      <c r="G3685" s="14"/>
      <c r="H3685" t="s" s="10">
        <v>292</v>
      </c>
      <c r="I3685" s="14"/>
      <c r="J3685" t="s" s="11">
        <v>20</v>
      </c>
      <c r="K3685" s="15"/>
      <c r="L3685" t="s" s="16">
        <f>HYPERLINK("http://csr.bu.edu/ftp/asl/asllvd/demos/verify_start_end_handshape_annotations//test_auto_move//signs_mov_separ_signers/Naomi_3622.mov","MOV")</f>
        <v>21</v>
      </c>
      <c r="M3685" t="s" s="10">
        <v>86</v>
      </c>
      <c r="N3685" s="17">
        <v>29</v>
      </c>
      <c r="O3685" s="18">
        <v>832</v>
      </c>
      <c r="P3685" s="18">
        <v>850</v>
      </c>
      <c r="Q3685" s="15"/>
      <c r="R3685" t="s" s="16">
        <f>HYPERLINK("http://secrets.rutgers.edu:8080/data/asl-ftp/asllvd/demos/verify_start_end_handshape_annotations//test_auto_move//signs_mov_separ_signers/Naomi_3622.mov","MOV")</f>
        <v>21</v>
      </c>
    </row>
    <row r="3686" s="2" customFormat="1" ht="13.5" customHeight="1">
      <c r="B3686" s="13"/>
      <c r="C3686" t="s" s="9">
        <v>30</v>
      </c>
      <c r="D3686" t="s" s="8">
        <v>1265</v>
      </c>
      <c r="E3686" t="s" s="9">
        <v>1265</v>
      </c>
      <c r="F3686" t="s" s="10">
        <v>255</v>
      </c>
      <c r="G3686" s="14"/>
      <c r="H3686" t="s" s="10">
        <v>255</v>
      </c>
      <c r="I3686" s="14"/>
      <c r="J3686" t="s" s="11">
        <v>20</v>
      </c>
      <c r="K3686" s="15"/>
      <c r="L3686" t="s" s="16">
        <f>HYPERLINK("http://csr.bu.edu/ftp/asl/asllvd/demos/verify_start_end_handshape_annotations//test_auto_move//signs_mov_separ_signers/Brady_782.mov","MOV")</f>
        <v>21</v>
      </c>
      <c r="M3686" t="s" s="10">
        <v>39</v>
      </c>
      <c r="N3686" s="17">
        <v>10</v>
      </c>
      <c r="O3686" s="18">
        <v>6580</v>
      </c>
      <c r="P3686" s="18">
        <v>6601</v>
      </c>
      <c r="Q3686" s="15"/>
      <c r="R3686" t="s" s="16">
        <f>HYPERLINK("http://secrets.rutgers.edu:8080/data/asl-ftp/asllvd/demos/verify_start_end_handshape_annotations//test_auto_move//signs_mov_separ_signers/Brady_782.mov","MOV")</f>
        <v>21</v>
      </c>
    </row>
    <row r="3687" s="2" customFormat="1" ht="13.5" customHeight="1">
      <c r="B3687" s="13"/>
      <c r="C3687" t="s" s="9">
        <v>30</v>
      </c>
      <c r="D3687" t="s" s="8">
        <v>1265</v>
      </c>
      <c r="E3687" t="s" s="9">
        <v>1265</v>
      </c>
      <c r="F3687" t="s" s="10">
        <v>255</v>
      </c>
      <c r="G3687" s="14"/>
      <c r="H3687" t="s" s="10">
        <v>255</v>
      </c>
      <c r="I3687" s="14"/>
      <c r="J3687" t="s" s="11">
        <v>20</v>
      </c>
      <c r="K3687" s="15"/>
      <c r="L3687" t="s" s="16">
        <f>HYPERLINK("http://csr.bu.edu/ftp/asl/asllvd/demos/verify_start_end_handshape_annotations//test_auto_move//signs_mov_separ_signers/Brady_3622.mov","MOV")</f>
        <v>21</v>
      </c>
      <c r="M3687" t="s" s="10">
        <v>39</v>
      </c>
      <c r="N3687" s="17">
        <v>10</v>
      </c>
      <c r="O3687" s="18">
        <v>6922</v>
      </c>
      <c r="P3687" s="18">
        <v>6950</v>
      </c>
      <c r="Q3687" s="15"/>
      <c r="R3687" t="s" s="16">
        <f>HYPERLINK("http://secrets.rutgers.edu:8080/data/asl-ftp/asllvd/demos/verify_start_end_handshape_annotations//test_auto_move//signs_mov_separ_signers/Brady_3622.mov","MOV")</f>
        <v>21</v>
      </c>
    </row>
    <row r="3688" s="2" customFormat="1" ht="13.5" customHeight="1">
      <c r="B3688" t="s" s="8">
        <v>1266</v>
      </c>
      <c r="C3688" t="s" s="9">
        <v>14</v>
      </c>
      <c r="D3688" t="s" s="8">
        <v>14</v>
      </c>
      <c r="E3688" t="s" s="9">
        <v>14</v>
      </c>
      <c r="F3688" t="s" s="10">
        <v>14</v>
      </c>
      <c r="G3688" t="s" s="11">
        <v>14</v>
      </c>
      <c r="H3688" t="s" s="10">
        <v>14</v>
      </c>
      <c r="I3688" t="s" s="11">
        <v>14</v>
      </c>
      <c r="J3688" t="s" s="11">
        <v>14</v>
      </c>
      <c r="K3688" t="s" s="12">
        <v>14</v>
      </c>
      <c r="L3688" t="s" s="12">
        <v>14</v>
      </c>
      <c r="M3688" t="s" s="10">
        <v>14</v>
      </c>
      <c r="N3688" t="s" s="11">
        <v>14</v>
      </c>
      <c r="O3688" t="s" s="8">
        <v>14</v>
      </c>
      <c r="P3688" t="s" s="8">
        <v>14</v>
      </c>
      <c r="Q3688" t="s" s="12">
        <v>14</v>
      </c>
      <c r="R3688" t="s" s="12">
        <v>14</v>
      </c>
    </row>
    <row r="3689" s="2" customFormat="1" ht="13.5" customHeight="1">
      <c r="B3689" s="13"/>
      <c r="C3689" t="s" s="9">
        <v>16</v>
      </c>
      <c r="D3689" t="s" s="8">
        <v>1266</v>
      </c>
      <c r="E3689" t="s" s="9">
        <v>1266</v>
      </c>
      <c r="F3689" t="s" s="10">
        <v>115</v>
      </c>
      <c r="G3689" s="14"/>
      <c r="H3689" t="s" s="10">
        <v>115</v>
      </c>
      <c r="I3689" s="14"/>
      <c r="J3689" t="s" s="11">
        <v>20</v>
      </c>
      <c r="K3689" s="15"/>
      <c r="L3689" t="s" s="16">
        <f>HYPERLINK("http://csr.bu.edu/ftp/asl/asllvd/demos/verify_start_end_handshape_annotations//test_auto_move//signs_mov_separ_signers/Liz_786.mov","MOV")</f>
        <v>21</v>
      </c>
      <c r="M3689" t="s" s="10">
        <v>84</v>
      </c>
      <c r="N3689" s="17">
        <v>29</v>
      </c>
      <c r="O3689" s="18">
        <v>2550</v>
      </c>
      <c r="P3689" s="18">
        <v>2587</v>
      </c>
      <c r="Q3689" s="15"/>
      <c r="R3689" t="s" s="16">
        <f>HYPERLINK("http://secrets.rutgers.edu:8080/data/asl-ftp/asllvd/demos/verify_start_end_handshape_annotations//test_auto_move//signs_mov_separ_signers/Liz_786.mov","MOV")</f>
        <v>21</v>
      </c>
    </row>
    <row r="3690" s="2" customFormat="1" ht="13.5" customHeight="1">
      <c r="B3690" s="13"/>
      <c r="C3690" t="s" s="9">
        <v>23</v>
      </c>
      <c r="D3690" t="s" s="8">
        <v>1266</v>
      </c>
      <c r="E3690" t="s" s="9">
        <v>1266</v>
      </c>
      <c r="F3690" t="s" s="10">
        <v>115</v>
      </c>
      <c r="G3690" s="14"/>
      <c r="H3690" t="s" s="10">
        <v>115</v>
      </c>
      <c r="I3690" s="14"/>
      <c r="J3690" t="s" s="11">
        <v>20</v>
      </c>
      <c r="K3690" t="s" s="16">
        <f>HYPERLINK("http://csr.bu.edu/ftp/asl/asllvd/demos/verify_start_end_handshape_annotations//test_auto_move//signs_mov/786.mov","MOV")</f>
        <v>21</v>
      </c>
      <c r="L3690" t="s" s="16">
        <f>HYPERLINK("http://csr.bu.edu/ftp/asl/asllvd/demos/verify_start_end_handshape_annotations//test_auto_move//signs_mov_separ_signers/Tyler_786.mov","MOV")</f>
        <v>21</v>
      </c>
      <c r="M3690" t="s" s="10">
        <v>92</v>
      </c>
      <c r="N3690" s="17">
        <v>9</v>
      </c>
      <c r="O3690" s="18">
        <v>1885</v>
      </c>
      <c r="P3690" s="18">
        <v>1921</v>
      </c>
      <c r="Q3690" t="s" s="16">
        <f>HYPERLINK("http://secrets.rutgers.edu:8080/data/asl-ftp/asllvd/demos/verify_start_end_handshape_annotations//test_auto_move//signs_mov/786.mov","MOV")</f>
        <v>21</v>
      </c>
      <c r="R3690" t="s" s="16">
        <f>HYPERLINK("http://secrets.rutgers.edu:8080/data/asl-ftp/asllvd/demos/verify_start_end_handshape_annotations//test_auto_move//signs_mov_separ_signers/Tyler_786.mov","MOV")</f>
        <v>21</v>
      </c>
    </row>
    <row r="3691" s="2" customFormat="1" ht="13.5" customHeight="1">
      <c r="B3691" s="13"/>
      <c r="C3691" t="s" s="9">
        <v>30</v>
      </c>
      <c r="D3691" t="s" s="8">
        <v>1266</v>
      </c>
      <c r="E3691" t="s" s="9">
        <v>1266</v>
      </c>
      <c r="F3691" t="s" s="10">
        <v>115</v>
      </c>
      <c r="G3691" s="14"/>
      <c r="H3691" t="s" s="10">
        <v>115</v>
      </c>
      <c r="I3691" s="14"/>
      <c r="J3691" t="s" s="11">
        <v>20</v>
      </c>
      <c r="K3691" s="15"/>
      <c r="L3691" t="s" s="16">
        <f>HYPERLINK("http://csr.bu.edu/ftp/asl/asllvd/demos/verify_start_end_handshape_annotations//test_auto_move//signs_mov_separ_signers/Brady_786.mov","MOV")</f>
        <v>21</v>
      </c>
      <c r="M3691" t="s" s="10">
        <v>39</v>
      </c>
      <c r="N3691" s="17">
        <v>11</v>
      </c>
      <c r="O3691" s="18">
        <v>387</v>
      </c>
      <c r="P3691" s="18">
        <v>420</v>
      </c>
      <c r="Q3691" s="15"/>
      <c r="R3691" t="s" s="16">
        <f>HYPERLINK("http://secrets.rutgers.edu:8080/data/asl-ftp/asllvd/demos/verify_start_end_handshape_annotations//test_auto_move//signs_mov_separ_signers/Brady_786.mov","MOV")</f>
        <v>21</v>
      </c>
    </row>
    <row r="3692" s="2" customFormat="1" ht="13.5" customHeight="1">
      <c r="B3692" t="s" s="8">
        <v>1267</v>
      </c>
      <c r="C3692" t="s" s="9">
        <v>14</v>
      </c>
      <c r="D3692" t="s" s="8">
        <v>14</v>
      </c>
      <c r="E3692" t="s" s="9">
        <v>14</v>
      </c>
      <c r="F3692" t="s" s="10">
        <v>14</v>
      </c>
      <c r="G3692" t="s" s="11">
        <v>14</v>
      </c>
      <c r="H3692" t="s" s="10">
        <v>14</v>
      </c>
      <c r="I3692" t="s" s="11">
        <v>14</v>
      </c>
      <c r="J3692" t="s" s="11">
        <v>14</v>
      </c>
      <c r="K3692" t="s" s="12">
        <v>14</v>
      </c>
      <c r="L3692" t="s" s="12">
        <v>14</v>
      </c>
      <c r="M3692" t="s" s="10">
        <v>14</v>
      </c>
      <c r="N3692" t="s" s="11">
        <v>14</v>
      </c>
      <c r="O3692" t="s" s="8">
        <v>14</v>
      </c>
      <c r="P3692" t="s" s="8">
        <v>14</v>
      </c>
      <c r="Q3692" t="s" s="12">
        <v>14</v>
      </c>
      <c r="R3692" t="s" s="12">
        <v>14</v>
      </c>
    </row>
    <row r="3693" s="2" customFormat="1" ht="13.5" customHeight="1">
      <c r="B3693" s="13"/>
      <c r="C3693" t="s" s="9">
        <v>16</v>
      </c>
      <c r="D3693" t="s" s="8">
        <v>1267</v>
      </c>
      <c r="E3693" t="s" s="9">
        <v>1268</v>
      </c>
      <c r="F3693" s="19">
        <v>1</v>
      </c>
      <c r="G3693" t="s" s="11">
        <v>105</v>
      </c>
      <c r="H3693" s="19">
        <v>1</v>
      </c>
      <c r="I3693" t="s" s="11">
        <v>105</v>
      </c>
      <c r="J3693" t="s" s="11">
        <v>136</v>
      </c>
      <c r="K3693" s="15"/>
      <c r="L3693" t="s" s="16">
        <f>HYPERLINK("http://csr.bu.edu/ftp/asl/asllvd/demos/verify_start_end_handshape_annotations//test_auto_move//signs_mov_separ_signers/Liz_788.mov","MOV")</f>
        <v>21</v>
      </c>
      <c r="M3693" t="s" s="10">
        <v>84</v>
      </c>
      <c r="N3693" s="17">
        <v>29</v>
      </c>
      <c r="O3693" s="18">
        <v>3102</v>
      </c>
      <c r="P3693" s="18">
        <v>3125</v>
      </c>
      <c r="Q3693" s="15"/>
      <c r="R3693" t="s" s="16">
        <f>HYPERLINK("http://secrets.rutgers.edu:8080/data/asl-ftp/asllvd/demos/verify_start_end_handshape_annotations//test_auto_move//signs_mov_separ_signers/Liz_788.mov","MOV")</f>
        <v>21</v>
      </c>
    </row>
    <row r="3694" s="2" customFormat="1" ht="13.5" customHeight="1">
      <c r="B3694" s="13"/>
      <c r="C3694" t="s" s="9">
        <v>23</v>
      </c>
      <c r="D3694" t="s" s="8">
        <v>1267</v>
      </c>
      <c r="E3694" t="s" s="9">
        <v>1268</v>
      </c>
      <c r="F3694" t="s" s="10">
        <v>626</v>
      </c>
      <c r="G3694" t="s" s="11">
        <v>105</v>
      </c>
      <c r="H3694" t="s" s="10">
        <v>626</v>
      </c>
      <c r="I3694" t="s" s="11">
        <v>105</v>
      </c>
      <c r="J3694" t="s" s="11">
        <v>136</v>
      </c>
      <c r="K3694" t="s" s="16">
        <f>HYPERLINK("http://csr.bu.edu/ftp/asl/asllvd/demos/verify_start_end_handshape_annotations//test_auto_move//signs_mov/788.mov","MOV")</f>
        <v>21</v>
      </c>
      <c r="L3694" t="s" s="16">
        <f>HYPERLINK("http://csr.bu.edu/ftp/asl/asllvd/demos/verify_start_end_handshape_annotations//test_auto_move//signs_mov_separ_signers/Tyler_788.mov","MOV")</f>
        <v>21</v>
      </c>
      <c r="M3694" t="s" s="10">
        <v>92</v>
      </c>
      <c r="N3694" s="17">
        <v>9</v>
      </c>
      <c r="O3694" s="18">
        <v>2380</v>
      </c>
      <c r="P3694" s="18">
        <v>2415</v>
      </c>
      <c r="Q3694" t="s" s="16">
        <f>HYPERLINK("http://secrets.rutgers.edu:8080/data/asl-ftp/asllvd/demos/verify_start_end_handshape_annotations//test_auto_move//signs_mov/788.mov","MOV")</f>
        <v>21</v>
      </c>
      <c r="R3694" t="s" s="16">
        <f>HYPERLINK("http://secrets.rutgers.edu:8080/data/asl-ftp/asllvd/demos/verify_start_end_handshape_annotations//test_auto_move//signs_mov_separ_signers/Tyler_788.mov","MOV")</f>
        <v>21</v>
      </c>
    </row>
    <row r="3695" s="2" customFormat="1" ht="13.5" customHeight="1">
      <c r="B3695" s="13"/>
      <c r="C3695" t="s" s="9">
        <v>27</v>
      </c>
      <c r="D3695" t="s" s="8">
        <v>1267</v>
      </c>
      <c r="E3695" t="s" s="9">
        <v>1268</v>
      </c>
      <c r="F3695" t="s" s="10">
        <v>268</v>
      </c>
      <c r="G3695" t="s" s="11">
        <v>105</v>
      </c>
      <c r="H3695" t="s" s="10">
        <v>268</v>
      </c>
      <c r="I3695" t="s" s="11">
        <v>105</v>
      </c>
      <c r="J3695" t="s" s="11">
        <v>136</v>
      </c>
      <c r="K3695" s="15"/>
      <c r="L3695" t="s" s="16">
        <f>HYPERLINK("http://csr.bu.edu/ftp/asl/asllvd/demos/verify_start_end_handshape_annotations//test_auto_move//signs_mov_separ_signers/Naomi_788.mov","MOV")</f>
        <v>21</v>
      </c>
      <c r="M3695" t="s" s="10">
        <v>86</v>
      </c>
      <c r="N3695" s="17">
        <v>29</v>
      </c>
      <c r="O3695" s="18">
        <v>2620</v>
      </c>
      <c r="P3695" s="18">
        <v>2650</v>
      </c>
      <c r="Q3695" s="15"/>
      <c r="R3695" t="s" s="16">
        <f>HYPERLINK("http://secrets.rutgers.edu:8080/data/asl-ftp/asllvd/demos/verify_start_end_handshape_annotations//test_auto_move//signs_mov_separ_signers/Naomi_788.mov","MOV")</f>
        <v>21</v>
      </c>
    </row>
    <row r="3696" s="2" customFormat="1" ht="13.5" customHeight="1">
      <c r="B3696" s="13"/>
      <c r="C3696" t="s" s="9">
        <v>30</v>
      </c>
      <c r="D3696" t="s" s="8">
        <v>1267</v>
      </c>
      <c r="E3696" t="s" s="9">
        <v>1269</v>
      </c>
      <c r="F3696" s="19">
        <v>1</v>
      </c>
      <c r="G3696" t="s" s="11">
        <v>105</v>
      </c>
      <c r="H3696" s="19">
        <v>1</v>
      </c>
      <c r="I3696" t="s" s="11">
        <v>105</v>
      </c>
      <c r="J3696" t="s" s="11">
        <v>136</v>
      </c>
      <c r="K3696" s="15"/>
      <c r="L3696" t="s" s="16">
        <f>HYPERLINK("http://csr.bu.edu/ftp/asl/asllvd/demos/verify_start_end_handshape_annotations//test_auto_move//signs_mov_separ_signers/Brady_788.mov","MOV")</f>
        <v>21</v>
      </c>
      <c r="M3696" t="s" s="10">
        <v>39</v>
      </c>
      <c r="N3696" s="17">
        <v>11</v>
      </c>
      <c r="O3696" s="18">
        <v>1086</v>
      </c>
      <c r="P3696" s="18">
        <v>1118</v>
      </c>
      <c r="Q3696" s="15"/>
      <c r="R3696" t="s" s="16">
        <f>HYPERLINK("http://secrets.rutgers.edu:8080/data/asl-ftp/asllvd/demos/verify_start_end_handshape_annotations//test_auto_move//signs_mov_separ_signers/Brady_788.mov","MOV")</f>
        <v>21</v>
      </c>
    </row>
    <row r="3697" s="2" customFormat="1" ht="13.5" customHeight="1">
      <c r="B3697" t="s" s="8">
        <v>1270</v>
      </c>
      <c r="C3697" t="s" s="9">
        <v>14</v>
      </c>
      <c r="D3697" t="s" s="8">
        <v>14</v>
      </c>
      <c r="E3697" t="s" s="9">
        <v>14</v>
      </c>
      <c r="F3697" t="s" s="10">
        <v>14</v>
      </c>
      <c r="G3697" t="s" s="11">
        <v>14</v>
      </c>
      <c r="H3697" t="s" s="10">
        <v>14</v>
      </c>
      <c r="I3697" t="s" s="11">
        <v>14</v>
      </c>
      <c r="J3697" t="s" s="11">
        <v>14</v>
      </c>
      <c r="K3697" t="s" s="12">
        <v>14</v>
      </c>
      <c r="L3697" t="s" s="12">
        <v>14</v>
      </c>
      <c r="M3697" t="s" s="10">
        <v>14</v>
      </c>
      <c r="N3697" t="s" s="11">
        <v>14</v>
      </c>
      <c r="O3697" t="s" s="8">
        <v>14</v>
      </c>
      <c r="P3697" t="s" s="8">
        <v>14</v>
      </c>
      <c r="Q3697" t="s" s="12">
        <v>14</v>
      </c>
      <c r="R3697" t="s" s="12">
        <v>14</v>
      </c>
    </row>
    <row r="3698" s="2" customFormat="1" ht="13.5" customHeight="1">
      <c r="B3698" s="13"/>
      <c r="C3698" t="s" s="9">
        <v>16</v>
      </c>
      <c r="D3698" t="s" s="8">
        <v>1270</v>
      </c>
      <c r="E3698" t="s" s="9">
        <v>1270</v>
      </c>
      <c r="F3698" t="s" s="10">
        <v>18</v>
      </c>
      <c r="G3698" t="s" s="11">
        <v>68</v>
      </c>
      <c r="H3698" t="s" s="10">
        <v>18</v>
      </c>
      <c r="I3698" t="s" s="11">
        <v>68</v>
      </c>
      <c r="J3698" t="s" s="11">
        <v>136</v>
      </c>
      <c r="K3698" t="s" s="16">
        <f>HYPERLINK("http://csr.bu.edu/ftp/asl/asllvd/demos/verify_start_end_handshape_annotations//test_auto_move//signs_mov/16215.mov","MOV")</f>
        <v>21</v>
      </c>
      <c r="L3698" t="s" s="16">
        <f>HYPERLINK("http://csr.bu.edu/ftp/asl/asllvd/demos/verify_start_end_handshape_annotations//test_auto_move//signs_mov_separ_signers/Liz_16215.mov","MOV")</f>
        <v>21</v>
      </c>
      <c r="M3698" t="s" s="10">
        <v>88</v>
      </c>
      <c r="N3698" s="17">
        <v>32</v>
      </c>
      <c r="O3698" s="18">
        <v>2171</v>
      </c>
      <c r="P3698" s="18">
        <v>2230</v>
      </c>
      <c r="Q3698" t="s" s="16">
        <f>HYPERLINK("http://secrets.rutgers.edu:8080/data/asl-ftp/asllvd/demos/verify_start_end_handshape_annotations//test_auto_move//signs_mov/16215.mov","MOV")</f>
        <v>21</v>
      </c>
      <c r="R3698" t="s" s="16">
        <f>HYPERLINK("http://secrets.rutgers.edu:8080/data/asl-ftp/asllvd/demos/verify_start_end_handshape_annotations//test_auto_move//signs_mov_separ_signers/Liz_16215.mov","MOV")</f>
        <v>21</v>
      </c>
    </row>
    <row r="3699" s="2" customFormat="1" ht="13.5" customHeight="1">
      <c r="B3699" s="13"/>
      <c r="C3699" t="s" s="9">
        <v>30</v>
      </c>
      <c r="D3699" t="s" s="8">
        <v>1270</v>
      </c>
      <c r="E3699" t="s" s="9">
        <v>1270</v>
      </c>
      <c r="F3699" t="s" s="10">
        <v>292</v>
      </c>
      <c r="G3699" t="s" s="11">
        <v>68</v>
      </c>
      <c r="H3699" t="s" s="10">
        <v>292</v>
      </c>
      <c r="I3699" t="s" s="11">
        <v>68</v>
      </c>
      <c r="J3699" t="s" s="11">
        <v>136</v>
      </c>
      <c r="K3699" s="15"/>
      <c r="L3699" t="s" s="16">
        <f>HYPERLINK("http://csr.bu.edu/ftp/asl/asllvd/demos/verify_start_end_handshape_annotations//test_auto_move//signs_mov_separ_signers/Brady_16215.mov","MOV")</f>
        <v>21</v>
      </c>
      <c r="M3699" t="s" s="10">
        <v>40</v>
      </c>
      <c r="N3699" s="17">
        <v>27</v>
      </c>
      <c r="O3699" s="18">
        <v>1814</v>
      </c>
      <c r="P3699" s="18">
        <v>1854</v>
      </c>
      <c r="Q3699" s="15"/>
      <c r="R3699" t="s" s="16">
        <f>HYPERLINK("http://secrets.rutgers.edu:8080/data/asl-ftp/asllvd/demos/verify_start_end_handshape_annotations//test_auto_move//signs_mov_separ_signers/Brady_16215.mov","MOV")</f>
        <v>21</v>
      </c>
    </row>
    <row r="3700" s="2" customFormat="1" ht="13.5" customHeight="1">
      <c r="B3700" t="s" s="8">
        <v>1271</v>
      </c>
      <c r="C3700" t="s" s="9">
        <v>14</v>
      </c>
      <c r="D3700" t="s" s="8">
        <v>14</v>
      </c>
      <c r="E3700" t="s" s="9">
        <v>14</v>
      </c>
      <c r="F3700" t="s" s="10">
        <v>14</v>
      </c>
      <c r="G3700" t="s" s="11">
        <v>14</v>
      </c>
      <c r="H3700" t="s" s="10">
        <v>14</v>
      </c>
      <c r="I3700" t="s" s="11">
        <v>14</v>
      </c>
      <c r="J3700" t="s" s="11">
        <v>14</v>
      </c>
      <c r="K3700" t="s" s="12">
        <v>14</v>
      </c>
      <c r="L3700" t="s" s="12">
        <v>14</v>
      </c>
      <c r="M3700" t="s" s="10">
        <v>14</v>
      </c>
      <c r="N3700" t="s" s="11">
        <v>14</v>
      </c>
      <c r="O3700" t="s" s="8">
        <v>14</v>
      </c>
      <c r="P3700" t="s" s="8">
        <v>14</v>
      </c>
      <c r="Q3700" t="s" s="12">
        <v>14</v>
      </c>
      <c r="R3700" t="s" s="12">
        <v>14</v>
      </c>
    </row>
    <row r="3701" s="2" customFormat="1" ht="13.5" customHeight="1">
      <c r="B3701" s="13"/>
      <c r="C3701" t="s" s="9">
        <v>16</v>
      </c>
      <c r="D3701" t="s" s="8">
        <v>1271</v>
      </c>
      <c r="E3701" t="s" s="9">
        <v>1272</v>
      </c>
      <c r="F3701" t="s" s="10">
        <v>255</v>
      </c>
      <c r="G3701" t="s" s="11">
        <v>255</v>
      </c>
      <c r="H3701" t="s" s="10">
        <v>255</v>
      </c>
      <c r="I3701" t="s" s="11">
        <v>255</v>
      </c>
      <c r="J3701" t="s" s="11">
        <v>20</v>
      </c>
      <c r="K3701" s="15"/>
      <c r="L3701" t="s" s="16">
        <f>HYPERLINK("http://csr.bu.edu/ftp/asl/asllvd/demos/verify_start_end_handshape_annotations//test_auto_move//signs_mov_separ_signers/Liz_790.mov","MOV")</f>
        <v>21</v>
      </c>
      <c r="M3701" t="s" s="10">
        <v>84</v>
      </c>
      <c r="N3701" s="17">
        <v>30</v>
      </c>
      <c r="O3701" s="18">
        <v>272</v>
      </c>
      <c r="P3701" s="18">
        <v>320</v>
      </c>
      <c r="Q3701" s="15"/>
      <c r="R3701" t="s" s="16">
        <f>HYPERLINK("http://secrets.rutgers.edu:8080/data/asl-ftp/asllvd/demos/verify_start_end_handshape_annotations//test_auto_move//signs_mov_separ_signers/Liz_790.mov","MOV")</f>
        <v>21</v>
      </c>
    </row>
    <row r="3702" s="2" customFormat="1" ht="13.5" customHeight="1">
      <c r="B3702" s="13"/>
      <c r="C3702" t="s" s="9">
        <v>23</v>
      </c>
      <c r="D3702" t="s" s="8">
        <v>1271</v>
      </c>
      <c r="E3702" t="s" s="9">
        <v>1273</v>
      </c>
      <c r="F3702" t="s" s="10">
        <v>255</v>
      </c>
      <c r="G3702" t="s" s="11">
        <v>255</v>
      </c>
      <c r="H3702" t="s" s="10">
        <v>255</v>
      </c>
      <c r="I3702" t="s" s="11">
        <v>255</v>
      </c>
      <c r="J3702" t="s" s="11">
        <v>20</v>
      </c>
      <c r="K3702" s="15"/>
      <c r="L3702" t="s" s="16">
        <f>HYPERLINK("http://csr.bu.edu/ftp/asl/asllvd/demos/verify_start_end_handshape_annotations//test_auto_move//signs_mov_separ_signers/Tyler_790.mov","MOV")</f>
        <v>21</v>
      </c>
      <c r="M3702" t="s" s="10">
        <v>92</v>
      </c>
      <c r="N3702" s="17">
        <v>9</v>
      </c>
      <c r="O3702" s="18">
        <v>2065</v>
      </c>
      <c r="P3702" s="18">
        <v>2106</v>
      </c>
      <c r="Q3702" s="15"/>
      <c r="R3702" t="s" s="16">
        <f>HYPERLINK("http://secrets.rutgers.edu:8080/data/asl-ftp/asllvd/demos/verify_start_end_handshape_annotations//test_auto_move//signs_mov_separ_signers/Tyler_790.mov","MOV")</f>
        <v>21</v>
      </c>
    </row>
    <row r="3703" s="2" customFormat="1" ht="13.5" customHeight="1">
      <c r="B3703" s="13"/>
      <c r="C3703" t="s" s="9">
        <v>23</v>
      </c>
      <c r="D3703" t="s" s="8">
        <v>1271</v>
      </c>
      <c r="E3703" t="s" s="9">
        <v>1273</v>
      </c>
      <c r="F3703" t="s" s="10">
        <v>255</v>
      </c>
      <c r="G3703" t="s" s="11">
        <v>255</v>
      </c>
      <c r="H3703" t="s" s="10">
        <v>255</v>
      </c>
      <c r="I3703" t="s" s="11">
        <v>255</v>
      </c>
      <c r="J3703" t="s" s="11">
        <v>20</v>
      </c>
      <c r="K3703" t="s" s="16">
        <f>HYPERLINK("http://csr.bu.edu/ftp/asl/asllvd/demos/verify_start_end_handshape_annotations//test_auto_move//signs_mov/790_3518_merged.mov","MOV")</f>
        <v>21</v>
      </c>
      <c r="L3703" t="s" s="16">
        <f>HYPERLINK("http://csr.bu.edu/ftp/asl/asllvd/demos/verify_start_end_handshape_annotations//test_auto_move//signs_mov_separ_signers/Tyler_3518.mov","MOV")</f>
        <v>21</v>
      </c>
      <c r="M3703" t="s" s="10">
        <v>92</v>
      </c>
      <c r="N3703" s="17">
        <v>9</v>
      </c>
      <c r="O3703" s="18">
        <v>2886</v>
      </c>
      <c r="P3703" s="18">
        <v>2925</v>
      </c>
      <c r="Q3703" t="s" s="16">
        <f>HYPERLINK("http://secrets.rutgers.edu:8080/data/asl-ftp/asllvd/demos/verify_start_end_handshape_annotations//test_auto_move//signs_mov/790_3518_merged.mov","MOV")</f>
        <v>21</v>
      </c>
      <c r="R3703" t="s" s="16">
        <f>HYPERLINK("http://secrets.rutgers.edu:8080/data/asl-ftp/asllvd/demos/verify_start_end_handshape_annotations//test_auto_move//signs_mov_separ_signers/Tyler_3518.mov","MOV")</f>
        <v>21</v>
      </c>
    </row>
    <row r="3704" s="2" customFormat="1" ht="13.5" customHeight="1">
      <c r="B3704" s="13"/>
      <c r="C3704" t="s" s="9">
        <v>27</v>
      </c>
      <c r="D3704" t="s" s="8">
        <v>1271</v>
      </c>
      <c r="E3704" t="s" s="9">
        <v>1272</v>
      </c>
      <c r="F3704" t="s" s="10">
        <v>292</v>
      </c>
      <c r="G3704" t="s" s="11">
        <v>292</v>
      </c>
      <c r="H3704" t="s" s="10">
        <v>292</v>
      </c>
      <c r="I3704" t="s" s="11">
        <v>292</v>
      </c>
      <c r="J3704" t="s" s="11">
        <v>20</v>
      </c>
      <c r="K3704" s="15"/>
      <c r="L3704" t="s" s="16">
        <f>HYPERLINK("http://csr.bu.edu/ftp/asl/asllvd/demos/verify_start_end_handshape_annotations//test_auto_move//signs_mov_separ_signers/Naomi_790.mov","MOV")</f>
        <v>21</v>
      </c>
      <c r="M3704" t="s" s="10">
        <v>86</v>
      </c>
      <c r="N3704" s="17">
        <v>29</v>
      </c>
      <c r="O3704" s="18">
        <v>3155</v>
      </c>
      <c r="P3704" s="18">
        <v>3190</v>
      </c>
      <c r="Q3704" s="15"/>
      <c r="R3704" t="s" s="16">
        <f>HYPERLINK("http://secrets.rutgers.edu:8080/data/asl-ftp/asllvd/demos/verify_start_end_handshape_annotations//test_auto_move//signs_mov_separ_signers/Naomi_790.mov","MOV")</f>
        <v>21</v>
      </c>
    </row>
    <row r="3705" s="2" customFormat="1" ht="13.5" customHeight="1">
      <c r="B3705" s="13"/>
      <c r="C3705" t="s" s="9">
        <v>30</v>
      </c>
      <c r="D3705" t="s" s="8">
        <v>1271</v>
      </c>
      <c r="E3705" t="s" s="9">
        <v>1272</v>
      </c>
      <c r="F3705" t="s" s="10">
        <v>255</v>
      </c>
      <c r="G3705" t="s" s="11">
        <v>255</v>
      </c>
      <c r="H3705" t="s" s="10">
        <v>255</v>
      </c>
      <c r="I3705" t="s" s="11">
        <v>255</v>
      </c>
      <c r="J3705" t="s" s="11">
        <v>20</v>
      </c>
      <c r="K3705" s="15"/>
      <c r="L3705" t="s" s="16">
        <f>HYPERLINK("http://csr.bu.edu/ftp/asl/asllvd/demos/verify_start_end_handshape_annotations//test_auto_move//signs_mov_separ_signers/Brady_790.mov","MOV")</f>
        <v>21</v>
      </c>
      <c r="M3705" t="s" s="10">
        <v>39</v>
      </c>
      <c r="N3705" s="17">
        <v>11</v>
      </c>
      <c r="O3705" s="18">
        <v>1695</v>
      </c>
      <c r="P3705" s="18">
        <v>1725</v>
      </c>
      <c r="Q3705" s="15"/>
      <c r="R3705" t="s" s="16">
        <f>HYPERLINK("http://secrets.rutgers.edu:8080/data/asl-ftp/asllvd/demos/verify_start_end_handshape_annotations//test_auto_move//signs_mov_separ_signers/Brady_790.mov","MOV")</f>
        <v>21</v>
      </c>
    </row>
    <row r="3706" s="2" customFormat="1" ht="13.5" customHeight="1">
      <c r="B3706" s="13"/>
      <c r="C3706" t="s" s="9">
        <v>41</v>
      </c>
      <c r="D3706" t="s" s="8">
        <v>1271</v>
      </c>
      <c r="E3706" t="s" s="9">
        <v>1272</v>
      </c>
      <c r="F3706" t="s" s="10">
        <v>255</v>
      </c>
      <c r="G3706" t="s" s="11">
        <v>255</v>
      </c>
      <c r="H3706" t="s" s="10">
        <v>255</v>
      </c>
      <c r="I3706" t="s" s="11">
        <v>255</v>
      </c>
      <c r="J3706" t="s" s="11">
        <v>20</v>
      </c>
      <c r="K3706" s="15"/>
      <c r="L3706" t="s" s="16">
        <f>HYPERLINK("http://csr.bu.edu/ftp/asl/asllvd/demos/verify_start_end_handshape_annotations//test_auto_move//signs_mov_separ_signers/Lana_790.mov","MOV")</f>
        <v>21</v>
      </c>
      <c r="M3706" t="s" s="10">
        <v>42</v>
      </c>
      <c r="N3706" s="17">
        <v>3</v>
      </c>
      <c r="O3706" s="18">
        <v>1714</v>
      </c>
      <c r="P3706" s="18">
        <v>1740</v>
      </c>
      <c r="Q3706" s="15"/>
      <c r="R3706" t="s" s="16">
        <f>HYPERLINK("http://secrets.rutgers.edu:8080/data/asl-ftp/asllvd/demos/verify_start_end_handshape_annotations//test_auto_move//signs_mov_separ_signers/Lana_790.mov","MOV")</f>
        <v>21</v>
      </c>
    </row>
    <row r="3707" s="2" customFormat="1" ht="13.5" customHeight="1">
      <c r="B3707" t="s" s="8">
        <v>52</v>
      </c>
      <c r="C3707" t="s" s="9">
        <v>53</v>
      </c>
      <c r="D3707" t="s" s="8">
        <v>53</v>
      </c>
      <c r="E3707" t="s" s="9">
        <v>53</v>
      </c>
      <c r="F3707" t="s" s="10">
        <v>53</v>
      </c>
      <c r="G3707" t="s" s="11">
        <v>53</v>
      </c>
      <c r="H3707" t="s" s="10">
        <v>53</v>
      </c>
      <c r="I3707" t="s" s="11">
        <v>53</v>
      </c>
      <c r="J3707" t="s" s="11">
        <v>53</v>
      </c>
      <c r="K3707" t="s" s="12">
        <v>53</v>
      </c>
      <c r="L3707" t="s" s="12">
        <v>53</v>
      </c>
      <c r="M3707" t="s" s="10">
        <v>53</v>
      </c>
      <c r="N3707" t="s" s="11">
        <v>53</v>
      </c>
      <c r="O3707" t="s" s="8">
        <v>53</v>
      </c>
      <c r="P3707" t="s" s="8">
        <v>53</v>
      </c>
      <c r="Q3707" t="s" s="12">
        <v>53</v>
      </c>
      <c r="R3707" t="s" s="12">
        <v>53</v>
      </c>
    </row>
    <row r="3708" s="2" customFormat="1" ht="13.5" customHeight="1">
      <c r="B3708" s="13"/>
      <c r="C3708" t="s" s="9">
        <v>43</v>
      </c>
      <c r="D3708" t="s" s="8">
        <v>1271</v>
      </c>
      <c r="E3708" t="s" s="9">
        <v>1274</v>
      </c>
      <c r="F3708" t="s" s="10">
        <v>115</v>
      </c>
      <c r="G3708" t="s" s="11">
        <v>115</v>
      </c>
      <c r="H3708" t="s" s="10">
        <v>115</v>
      </c>
      <c r="I3708" t="s" s="11">
        <v>115</v>
      </c>
      <c r="J3708" t="s" s="11">
        <v>20</v>
      </c>
      <c r="K3708" t="s" s="16">
        <f>HYPERLINK("http://csr.bu.edu/ftp/asl/asllvd/demos/verify_start_end_handshape_annotations//test_auto_move//signs_mov/15050.mov","MOV")</f>
        <v>21</v>
      </c>
      <c r="L3708" t="s" s="16">
        <f>HYPERLINK("http://csr.bu.edu/ftp/asl/asllvd/demos/verify_start_end_handshape_annotations//test_auto_move//signs_mov_separ_signers/Dana_15050.mov","MOV")</f>
        <v>21</v>
      </c>
      <c r="M3708" t="s" s="10">
        <v>44</v>
      </c>
      <c r="N3708" s="17">
        <v>7</v>
      </c>
      <c r="O3708" s="18">
        <v>1705</v>
      </c>
      <c r="P3708" s="18">
        <v>1761</v>
      </c>
      <c r="Q3708" t="s" s="16">
        <f>HYPERLINK("http://secrets.rutgers.edu:8080/data/asl-ftp/asllvd/demos/verify_start_end_handshape_annotations//test_auto_move//signs_mov/15050.mov","MOV")</f>
        <v>21</v>
      </c>
      <c r="R3708" t="s" s="16">
        <f>HYPERLINK("http://secrets.rutgers.edu:8080/data/asl-ftp/asllvd/demos/verify_start_end_handshape_annotations//test_auto_move//signs_mov_separ_signers/Dana_15050.mov","MOV")</f>
        <v>21</v>
      </c>
    </row>
    <row r="3709" s="2" customFormat="1" ht="13.5" customHeight="1">
      <c r="B3709" t="s" s="8">
        <v>1275</v>
      </c>
      <c r="C3709" t="s" s="9">
        <v>14</v>
      </c>
      <c r="D3709" t="s" s="8">
        <v>14</v>
      </c>
      <c r="E3709" t="s" s="9">
        <v>14</v>
      </c>
      <c r="F3709" t="s" s="10">
        <v>14</v>
      </c>
      <c r="G3709" t="s" s="11">
        <v>14</v>
      </c>
      <c r="H3709" t="s" s="10">
        <v>14</v>
      </c>
      <c r="I3709" t="s" s="11">
        <v>14</v>
      </c>
      <c r="J3709" t="s" s="11">
        <v>14</v>
      </c>
      <c r="K3709" t="s" s="12">
        <v>14</v>
      </c>
      <c r="L3709" t="s" s="12">
        <v>14</v>
      </c>
      <c r="M3709" t="s" s="10">
        <v>14</v>
      </c>
      <c r="N3709" t="s" s="11">
        <v>14</v>
      </c>
      <c r="O3709" t="s" s="8">
        <v>14</v>
      </c>
      <c r="P3709" t="s" s="8">
        <v>14</v>
      </c>
      <c r="Q3709" t="s" s="12">
        <v>14</v>
      </c>
      <c r="R3709" t="s" s="12">
        <v>14</v>
      </c>
    </row>
    <row r="3710" s="2" customFormat="1" ht="13.5" customHeight="1">
      <c r="B3710" s="13"/>
      <c r="C3710" t="s" s="9">
        <v>16</v>
      </c>
      <c r="D3710" t="s" s="8">
        <v>1275</v>
      </c>
      <c r="E3710" t="s" s="9">
        <v>1276</v>
      </c>
      <c r="F3710" t="s" s="10">
        <v>65</v>
      </c>
      <c r="G3710" t="s" s="11">
        <v>65</v>
      </c>
      <c r="H3710" t="s" s="10">
        <v>65</v>
      </c>
      <c r="I3710" t="s" s="11">
        <v>65</v>
      </c>
      <c r="J3710" t="s" s="11">
        <v>20</v>
      </c>
      <c r="K3710" s="15"/>
      <c r="L3710" t="s" s="16">
        <f>HYPERLINK("http://csr.bu.edu/ftp/asl/asllvd/demos/verify_start_end_handshape_annotations//test_auto_move//signs_mov_separ_signers/Liz_15470.mov","MOV")</f>
        <v>21</v>
      </c>
      <c r="M3710" t="s" s="10">
        <v>84</v>
      </c>
      <c r="N3710" s="17">
        <v>29</v>
      </c>
      <c r="O3710" s="18">
        <v>2816</v>
      </c>
      <c r="P3710" s="18">
        <v>2880</v>
      </c>
      <c r="Q3710" s="15"/>
      <c r="R3710" t="s" s="16">
        <f>HYPERLINK("http://secrets.rutgers.edu:8080/data/asl-ftp/asllvd/demos/verify_start_end_handshape_annotations//test_auto_move//signs_mov_separ_signers/Liz_15470.mov","MOV")</f>
        <v>21</v>
      </c>
    </row>
    <row r="3711" s="2" customFormat="1" ht="13.5" customHeight="1">
      <c r="B3711" s="13"/>
      <c r="C3711" t="s" s="9">
        <v>27</v>
      </c>
      <c r="D3711" t="s" s="8">
        <v>1275</v>
      </c>
      <c r="E3711" t="s" s="9">
        <v>1276</v>
      </c>
      <c r="F3711" t="s" s="10">
        <v>65</v>
      </c>
      <c r="G3711" t="s" s="11">
        <v>65</v>
      </c>
      <c r="H3711" t="s" s="10">
        <v>65</v>
      </c>
      <c r="I3711" t="s" s="11">
        <v>65</v>
      </c>
      <c r="J3711" t="s" s="11">
        <v>20</v>
      </c>
      <c r="K3711" t="s" s="16">
        <f>HYPERLINK("http://csr.bu.edu/ftp/asl/asllvd/demos/verify_start_end_handshape_annotations//test_auto_move//signs_mov/15470.mov","MOV")</f>
        <v>21</v>
      </c>
      <c r="L3711" t="s" s="16">
        <f>HYPERLINK("http://csr.bu.edu/ftp/asl/asllvd/demos/verify_start_end_handshape_annotations//test_auto_move//signs_mov_separ_signers/Naomi_15470.mov","MOV")</f>
        <v>21</v>
      </c>
      <c r="M3711" t="s" s="10">
        <v>86</v>
      </c>
      <c r="N3711" s="17">
        <v>29</v>
      </c>
      <c r="O3711" s="18">
        <v>2071</v>
      </c>
      <c r="P3711" s="18">
        <v>2112</v>
      </c>
      <c r="Q3711" t="s" s="16">
        <f>HYPERLINK("http://secrets.rutgers.edu:8080/data/asl-ftp/asllvd/demos/verify_start_end_handshape_annotations//test_auto_move//signs_mov/15470.mov","MOV")</f>
        <v>21</v>
      </c>
      <c r="R3711" t="s" s="16">
        <f>HYPERLINK("http://secrets.rutgers.edu:8080/data/asl-ftp/asllvd/demos/verify_start_end_handshape_annotations//test_auto_move//signs_mov_separ_signers/Naomi_15470.mov","MOV")</f>
        <v>21</v>
      </c>
    </row>
    <row r="3712" s="2" customFormat="1" ht="13.5" customHeight="1">
      <c r="B3712" s="13"/>
      <c r="C3712" t="s" s="9">
        <v>30</v>
      </c>
      <c r="D3712" t="s" s="8">
        <v>1275</v>
      </c>
      <c r="E3712" t="s" s="9">
        <v>1277</v>
      </c>
      <c r="F3712" t="s" s="10">
        <v>255</v>
      </c>
      <c r="G3712" t="s" s="11">
        <v>255</v>
      </c>
      <c r="H3712" t="s" s="10">
        <v>255</v>
      </c>
      <c r="I3712" t="s" s="11">
        <v>255</v>
      </c>
      <c r="J3712" t="s" s="11">
        <v>20</v>
      </c>
      <c r="K3712" s="15"/>
      <c r="L3712" t="s" s="16">
        <f>HYPERLINK("http://csr.bu.edu/ftp/asl/asllvd/demos/verify_start_end_handshape_annotations//test_auto_move//signs_mov_separ_signers/Brady_15470.mov","MOV")</f>
        <v>21</v>
      </c>
      <c r="M3712" t="s" s="10">
        <v>39</v>
      </c>
      <c r="N3712" s="17">
        <v>11</v>
      </c>
      <c r="O3712" s="18">
        <v>826</v>
      </c>
      <c r="P3712" s="18">
        <v>862</v>
      </c>
      <c r="Q3712" s="15"/>
      <c r="R3712" t="s" s="16">
        <f>HYPERLINK("http://secrets.rutgers.edu:8080/data/asl-ftp/asllvd/demos/verify_start_end_handshape_annotations//test_auto_move//signs_mov_separ_signers/Brady_15470.mov","MOV")</f>
        <v>21</v>
      </c>
    </row>
    <row r="3713" s="2" customFormat="1" ht="13.5" customHeight="1">
      <c r="B3713" t="s" s="8">
        <v>1278</v>
      </c>
      <c r="C3713" t="s" s="9">
        <v>14</v>
      </c>
      <c r="D3713" t="s" s="8">
        <v>14</v>
      </c>
      <c r="E3713" t="s" s="9">
        <v>14</v>
      </c>
      <c r="F3713" t="s" s="10">
        <v>14</v>
      </c>
      <c r="G3713" t="s" s="11">
        <v>14</v>
      </c>
      <c r="H3713" t="s" s="10">
        <v>14</v>
      </c>
      <c r="I3713" t="s" s="11">
        <v>14</v>
      </c>
      <c r="J3713" t="s" s="11">
        <v>14</v>
      </c>
      <c r="K3713" t="s" s="12">
        <v>14</v>
      </c>
      <c r="L3713" t="s" s="12">
        <v>14</v>
      </c>
      <c r="M3713" t="s" s="10">
        <v>14</v>
      </c>
      <c r="N3713" t="s" s="11">
        <v>14</v>
      </c>
      <c r="O3713" t="s" s="8">
        <v>14</v>
      </c>
      <c r="P3713" t="s" s="8">
        <v>14</v>
      </c>
      <c r="Q3713" t="s" s="12">
        <v>14</v>
      </c>
      <c r="R3713" t="s" s="12">
        <v>14</v>
      </c>
    </row>
    <row r="3714" s="2" customFormat="1" ht="13.5" customHeight="1">
      <c r="B3714" s="13"/>
      <c r="C3714" t="s" s="9">
        <v>16</v>
      </c>
      <c r="D3714" t="s" s="8">
        <v>1278</v>
      </c>
      <c r="E3714" t="s" s="9">
        <v>1278</v>
      </c>
      <c r="F3714" t="s" s="10">
        <v>55</v>
      </c>
      <c r="G3714" s="14"/>
      <c r="H3714" t="s" s="10">
        <v>55</v>
      </c>
      <c r="I3714" s="14"/>
      <c r="J3714" t="s" s="11">
        <v>20</v>
      </c>
      <c r="K3714" s="15"/>
      <c r="L3714" t="s" s="16">
        <f>HYPERLINK("http://csr.bu.edu/ftp/asl/asllvd/demos/verify_start_end_handshape_annotations//test_auto_move//signs_mov_separ_signers/Liz_793.mov","MOV")</f>
        <v>21</v>
      </c>
      <c r="M3714" t="s" s="10">
        <v>84</v>
      </c>
      <c r="N3714" s="17">
        <v>30</v>
      </c>
      <c r="O3714" s="18">
        <v>906</v>
      </c>
      <c r="P3714" s="18">
        <v>955</v>
      </c>
      <c r="Q3714" s="15"/>
      <c r="R3714" t="s" s="16">
        <f>HYPERLINK("http://secrets.rutgers.edu:8080/data/asl-ftp/asllvd/demos/verify_start_end_handshape_annotations//test_auto_move//signs_mov_separ_signers/Liz_793.mov","MOV")</f>
        <v>21</v>
      </c>
    </row>
    <row r="3715" s="2" customFormat="1" ht="13.5" customHeight="1">
      <c r="B3715" s="13"/>
      <c r="C3715" t="s" s="9">
        <v>23</v>
      </c>
      <c r="D3715" t="s" s="8">
        <v>1278</v>
      </c>
      <c r="E3715" t="s" s="9">
        <v>1278</v>
      </c>
      <c r="F3715" t="s" s="10">
        <v>109</v>
      </c>
      <c r="G3715" s="14"/>
      <c r="H3715" t="s" s="10">
        <v>109</v>
      </c>
      <c r="I3715" s="14"/>
      <c r="J3715" t="s" s="11">
        <v>20</v>
      </c>
      <c r="K3715" t="s" s="16">
        <f>HYPERLINK("http://csr.bu.edu/ftp/asl/asllvd/demos/verify_start_end_handshape_annotations//test_auto_move//signs_mov/793.mov","MOV")</f>
        <v>21</v>
      </c>
      <c r="L3715" t="s" s="16">
        <f>HYPERLINK("http://csr.bu.edu/ftp/asl/asllvd/demos/verify_start_end_handshape_annotations//test_auto_move//signs_mov_separ_signers/Tyler_793.mov","MOV")</f>
        <v>21</v>
      </c>
      <c r="M3715" t="s" s="10">
        <v>92</v>
      </c>
      <c r="N3715" s="17">
        <v>10</v>
      </c>
      <c r="O3715" s="18">
        <v>633</v>
      </c>
      <c r="P3715" s="18">
        <v>677</v>
      </c>
      <c r="Q3715" t="s" s="16">
        <f>HYPERLINK("http://secrets.rutgers.edu:8080/data/asl-ftp/asllvd/demos/verify_start_end_handshape_annotations//test_auto_move//signs_mov/793.mov","MOV")</f>
        <v>21</v>
      </c>
      <c r="R3715" t="s" s="16">
        <f>HYPERLINK("http://secrets.rutgers.edu:8080/data/asl-ftp/asllvd/demos/verify_start_end_handshape_annotations//test_auto_move//signs_mov_separ_signers/Tyler_793.mov","MOV")</f>
        <v>21</v>
      </c>
    </row>
    <row r="3716" s="2" customFormat="1" ht="13.5" customHeight="1">
      <c r="B3716" s="13"/>
      <c r="C3716" t="s" s="9">
        <v>27</v>
      </c>
      <c r="D3716" t="s" s="8">
        <v>1278</v>
      </c>
      <c r="E3716" t="s" s="9">
        <v>1278</v>
      </c>
      <c r="F3716" t="s" s="10">
        <v>460</v>
      </c>
      <c r="G3716" s="14"/>
      <c r="H3716" t="s" s="10">
        <v>109</v>
      </c>
      <c r="I3716" s="14"/>
      <c r="J3716" t="s" s="11">
        <v>20</v>
      </c>
      <c r="K3716" s="15"/>
      <c r="L3716" t="s" s="16">
        <f>HYPERLINK("http://csr.bu.edu/ftp/asl/asllvd/demos/verify_start_end_handshape_annotations//test_auto_move//signs_mov_separ_signers/Naomi_793.mov","MOV")</f>
        <v>21</v>
      </c>
      <c r="M3716" t="s" s="10">
        <v>86</v>
      </c>
      <c r="N3716" s="17">
        <v>30</v>
      </c>
      <c r="O3716" s="18">
        <v>808</v>
      </c>
      <c r="P3716" s="18">
        <v>833</v>
      </c>
      <c r="Q3716" s="15"/>
      <c r="R3716" t="s" s="16">
        <f>HYPERLINK("http://secrets.rutgers.edu:8080/data/asl-ftp/asllvd/demos/verify_start_end_handshape_annotations//test_auto_move//signs_mov_separ_signers/Naomi_793.mov","MOV")</f>
        <v>21</v>
      </c>
    </row>
    <row r="3717" s="2" customFormat="1" ht="13.5" customHeight="1">
      <c r="B3717" s="13"/>
      <c r="C3717" t="s" s="9">
        <v>30</v>
      </c>
      <c r="D3717" t="s" s="8">
        <v>1278</v>
      </c>
      <c r="E3717" t="s" s="9">
        <v>1278</v>
      </c>
      <c r="F3717" t="s" s="10">
        <v>55</v>
      </c>
      <c r="G3717" s="14"/>
      <c r="H3717" t="s" s="10">
        <v>55</v>
      </c>
      <c r="I3717" s="14"/>
      <c r="J3717" t="s" s="11">
        <v>20</v>
      </c>
      <c r="K3717" s="15"/>
      <c r="L3717" t="s" s="16">
        <f>HYPERLINK("http://csr.bu.edu/ftp/asl/asllvd/demos/verify_start_end_handshape_annotations//test_auto_move//signs_mov_separ_signers/Brady_793.mov","MOV")</f>
        <v>21</v>
      </c>
      <c r="M3717" t="s" s="10">
        <v>39</v>
      </c>
      <c r="N3717" s="17">
        <v>11</v>
      </c>
      <c r="O3717" s="18">
        <v>2484</v>
      </c>
      <c r="P3717" s="18">
        <v>2509</v>
      </c>
      <c r="Q3717" s="15"/>
      <c r="R3717" t="s" s="16">
        <f>HYPERLINK("http://secrets.rutgers.edu:8080/data/asl-ftp/asllvd/demos/verify_start_end_handshape_annotations//test_auto_move//signs_mov_separ_signers/Brady_793.mov","MOV")</f>
        <v>21</v>
      </c>
    </row>
    <row r="3718" s="2" customFormat="1" ht="13.5" customHeight="1">
      <c r="B3718" t="s" s="8">
        <v>1279</v>
      </c>
      <c r="C3718" t="s" s="9">
        <v>14</v>
      </c>
      <c r="D3718" t="s" s="8">
        <v>14</v>
      </c>
      <c r="E3718" t="s" s="9">
        <v>14</v>
      </c>
      <c r="F3718" t="s" s="10">
        <v>14</v>
      </c>
      <c r="G3718" t="s" s="11">
        <v>14</v>
      </c>
      <c r="H3718" t="s" s="10">
        <v>14</v>
      </c>
      <c r="I3718" t="s" s="11">
        <v>14</v>
      </c>
      <c r="J3718" t="s" s="11">
        <v>14</v>
      </c>
      <c r="K3718" t="s" s="12">
        <v>14</v>
      </c>
      <c r="L3718" t="s" s="12">
        <v>14</v>
      </c>
      <c r="M3718" t="s" s="10">
        <v>14</v>
      </c>
      <c r="N3718" t="s" s="11">
        <v>14</v>
      </c>
      <c r="O3718" t="s" s="8">
        <v>14</v>
      </c>
      <c r="P3718" t="s" s="8">
        <v>14</v>
      </c>
      <c r="Q3718" t="s" s="12">
        <v>14</v>
      </c>
      <c r="R3718" t="s" s="12">
        <v>14</v>
      </c>
    </row>
    <row r="3719" s="2" customFormat="1" ht="13.5" customHeight="1">
      <c r="B3719" s="13"/>
      <c r="C3719" t="s" s="9">
        <v>16</v>
      </c>
      <c r="D3719" t="s" s="8">
        <v>1279</v>
      </c>
      <c r="E3719" t="s" s="9">
        <v>1279</v>
      </c>
      <c r="F3719" t="s" s="10">
        <v>117</v>
      </c>
      <c r="G3719" t="s" s="11">
        <v>73</v>
      </c>
      <c r="H3719" t="s" s="10">
        <v>117</v>
      </c>
      <c r="I3719" t="s" s="11">
        <v>73</v>
      </c>
      <c r="J3719" t="s" s="11">
        <v>20</v>
      </c>
      <c r="K3719" s="15"/>
      <c r="L3719" t="s" s="16">
        <f>HYPERLINK("http://csr.bu.edu/ftp/asl/asllvd/demos/verify_start_end_handshape_annotations//test_auto_move//signs_mov_separ_signers/Liz_794.mov","MOV")</f>
        <v>21</v>
      </c>
      <c r="M3719" t="s" s="10">
        <v>84</v>
      </c>
      <c r="N3719" s="17">
        <v>30</v>
      </c>
      <c r="O3719" s="18">
        <v>1090</v>
      </c>
      <c r="P3719" s="18">
        <v>1131</v>
      </c>
      <c r="Q3719" s="15"/>
      <c r="R3719" t="s" s="16">
        <f>HYPERLINK("http://secrets.rutgers.edu:8080/data/asl-ftp/asllvd/demos/verify_start_end_handshape_annotations//test_auto_move//signs_mov_separ_signers/Liz_794.mov","MOV")</f>
        <v>21</v>
      </c>
    </row>
    <row r="3720" s="2" customFormat="1" ht="13.5" customHeight="1">
      <c r="B3720" s="13"/>
      <c r="C3720" t="s" s="9">
        <v>23</v>
      </c>
      <c r="D3720" t="s" s="8">
        <v>1279</v>
      </c>
      <c r="E3720" t="s" s="9">
        <v>1279</v>
      </c>
      <c r="F3720" t="s" s="10">
        <v>117</v>
      </c>
      <c r="G3720" t="s" s="11">
        <v>73</v>
      </c>
      <c r="H3720" t="s" s="10">
        <v>117</v>
      </c>
      <c r="I3720" t="s" s="11">
        <v>73</v>
      </c>
      <c r="J3720" t="s" s="11">
        <v>20</v>
      </c>
      <c r="K3720" s="15"/>
      <c r="L3720" t="s" s="16">
        <f>HYPERLINK("http://csr.bu.edu/ftp/asl/asllvd/demos/verify_start_end_handshape_annotations//test_auto_move//signs_mov_separ_signers/Tyler_794.mov","MOV")</f>
        <v>21</v>
      </c>
      <c r="M3720" t="s" s="10">
        <v>92</v>
      </c>
      <c r="N3720" s="17">
        <v>10</v>
      </c>
      <c r="O3720" s="18">
        <v>822</v>
      </c>
      <c r="P3720" s="18">
        <v>865</v>
      </c>
      <c r="Q3720" s="15"/>
      <c r="R3720" t="s" s="16">
        <f>HYPERLINK("http://secrets.rutgers.edu:8080/data/asl-ftp/asllvd/demos/verify_start_end_handshape_annotations//test_auto_move//signs_mov_separ_signers/Tyler_794.mov","MOV")</f>
        <v>21</v>
      </c>
    </row>
    <row r="3721" s="2" customFormat="1" ht="13.5" customHeight="1">
      <c r="B3721" s="13"/>
      <c r="C3721" t="s" s="9">
        <v>27</v>
      </c>
      <c r="D3721" t="s" s="8">
        <v>1279</v>
      </c>
      <c r="E3721" t="s" s="9">
        <v>1279</v>
      </c>
      <c r="F3721" t="s" s="10">
        <v>117</v>
      </c>
      <c r="G3721" t="s" s="11">
        <v>73</v>
      </c>
      <c r="H3721" t="s" s="10">
        <v>117</v>
      </c>
      <c r="I3721" t="s" s="11">
        <v>73</v>
      </c>
      <c r="J3721" t="s" s="11">
        <v>20</v>
      </c>
      <c r="K3721" t="s" s="16">
        <f>HYPERLINK("http://csr.bu.edu/ftp/asl/asllvd/demos/verify_start_end_handshape_annotations//test_auto_move//signs_mov/794.mov","MOV")</f>
        <v>21</v>
      </c>
      <c r="L3721" t="s" s="16">
        <f>HYPERLINK("http://csr.bu.edu/ftp/asl/asllvd/demos/verify_start_end_handshape_annotations//test_auto_move//signs_mov_separ_signers/Naomi_794.mov","MOV")</f>
        <v>21</v>
      </c>
      <c r="M3721" t="s" s="10">
        <v>86</v>
      </c>
      <c r="N3721" s="17">
        <v>30</v>
      </c>
      <c r="O3721" s="18">
        <v>1095</v>
      </c>
      <c r="P3721" s="18">
        <v>1130</v>
      </c>
      <c r="Q3721" t="s" s="16">
        <f>HYPERLINK("http://secrets.rutgers.edu:8080/data/asl-ftp/asllvd/demos/verify_start_end_handshape_annotations//test_auto_move//signs_mov/794.mov","MOV")</f>
        <v>21</v>
      </c>
      <c r="R3721" t="s" s="16">
        <f>HYPERLINK("http://secrets.rutgers.edu:8080/data/asl-ftp/asllvd/demos/verify_start_end_handshape_annotations//test_auto_move//signs_mov_separ_signers/Naomi_794.mov","MOV")</f>
        <v>21</v>
      </c>
    </row>
    <row r="3722" s="2" customFormat="1" ht="13.5" customHeight="1">
      <c r="B3722" s="13"/>
      <c r="C3722" t="s" s="9">
        <v>30</v>
      </c>
      <c r="D3722" t="s" s="8">
        <v>1279</v>
      </c>
      <c r="E3722" t="s" s="9">
        <v>1280</v>
      </c>
      <c r="F3722" t="s" s="10">
        <v>115</v>
      </c>
      <c r="G3722" t="s" s="11">
        <v>109</v>
      </c>
      <c r="H3722" t="s" s="10">
        <v>115</v>
      </c>
      <c r="I3722" t="s" s="11">
        <v>109</v>
      </c>
      <c r="J3722" t="s" s="11">
        <v>20</v>
      </c>
      <c r="K3722" s="15"/>
      <c r="L3722" t="s" s="16">
        <f>HYPERLINK("http://csr.bu.edu/ftp/asl/asllvd/demos/verify_start_end_handshape_annotations//test_auto_move//signs_mov_separ_signers/Brady_794.mov","MOV")</f>
        <v>21</v>
      </c>
      <c r="M3722" t="s" s="10">
        <v>39</v>
      </c>
      <c r="N3722" s="17">
        <v>11</v>
      </c>
      <c r="O3722" s="18">
        <v>2748</v>
      </c>
      <c r="P3722" s="18">
        <v>2782</v>
      </c>
      <c r="Q3722" s="15"/>
      <c r="R3722" t="s" s="16">
        <f>HYPERLINK("http://secrets.rutgers.edu:8080/data/asl-ftp/asllvd/demos/verify_start_end_handshape_annotations//test_auto_move//signs_mov_separ_signers/Brady_794.mov","MOV")</f>
        <v>21</v>
      </c>
    </row>
    <row r="3723" s="2" customFormat="1" ht="13.5" customHeight="1">
      <c r="B3723" s="13"/>
      <c r="C3723" t="s" s="9">
        <v>41</v>
      </c>
      <c r="D3723" t="s" s="8">
        <v>1279</v>
      </c>
      <c r="E3723" t="s" s="9">
        <v>1280</v>
      </c>
      <c r="F3723" t="s" s="10">
        <v>115</v>
      </c>
      <c r="G3723" t="s" s="11">
        <v>73</v>
      </c>
      <c r="H3723" t="s" s="10">
        <v>115</v>
      </c>
      <c r="I3723" t="s" s="11">
        <v>73</v>
      </c>
      <c r="J3723" t="s" s="11">
        <v>20</v>
      </c>
      <c r="K3723" s="15"/>
      <c r="L3723" t="s" s="16">
        <f>HYPERLINK("http://csr.bu.edu/ftp/asl/asllvd/demos/verify_start_end_handshape_annotations//test_auto_move//signs_mov_separ_signers/Lana_794.mov","MOV")</f>
        <v>21</v>
      </c>
      <c r="M3723" t="s" s="10">
        <v>42</v>
      </c>
      <c r="N3723" s="17">
        <v>8</v>
      </c>
      <c r="O3723" s="18">
        <v>1596</v>
      </c>
      <c r="P3723" s="18">
        <v>1655</v>
      </c>
      <c r="Q3723" s="15"/>
      <c r="R3723" t="s" s="16">
        <f>HYPERLINK("http://secrets.rutgers.edu:8080/data/asl-ftp/asllvd/demos/verify_start_end_handshape_annotations//test_auto_move//signs_mov_separ_signers/Lana_794.mov","MOV")</f>
        <v>21</v>
      </c>
    </row>
    <row r="3724" s="2" customFormat="1" ht="13.5" customHeight="1">
      <c r="B3724" t="s" s="8">
        <v>52</v>
      </c>
      <c r="C3724" t="s" s="9">
        <v>53</v>
      </c>
      <c r="D3724" t="s" s="8">
        <v>53</v>
      </c>
      <c r="E3724" t="s" s="9">
        <v>53</v>
      </c>
      <c r="F3724" t="s" s="10">
        <v>53</v>
      </c>
      <c r="G3724" t="s" s="11">
        <v>53</v>
      </c>
      <c r="H3724" t="s" s="10">
        <v>53</v>
      </c>
      <c r="I3724" t="s" s="11">
        <v>53</v>
      </c>
      <c r="J3724" t="s" s="11">
        <v>53</v>
      </c>
      <c r="K3724" t="s" s="12">
        <v>53</v>
      </c>
      <c r="L3724" t="s" s="12">
        <v>53</v>
      </c>
      <c r="M3724" t="s" s="10">
        <v>53</v>
      </c>
      <c r="N3724" t="s" s="11">
        <v>53</v>
      </c>
      <c r="O3724" t="s" s="8">
        <v>53</v>
      </c>
      <c r="P3724" t="s" s="8">
        <v>53</v>
      </c>
      <c r="Q3724" t="s" s="12">
        <v>53</v>
      </c>
      <c r="R3724" t="s" s="12">
        <v>53</v>
      </c>
    </row>
    <row r="3725" s="2" customFormat="1" ht="13.5" customHeight="1">
      <c r="B3725" s="13"/>
      <c r="C3725" t="s" s="9">
        <v>43</v>
      </c>
      <c r="D3725" t="s" s="8">
        <v>1279</v>
      </c>
      <c r="E3725" t="s" s="9">
        <v>1281</v>
      </c>
      <c r="F3725" t="s" s="10">
        <v>115</v>
      </c>
      <c r="G3725" s="17">
        <v>1</v>
      </c>
      <c r="H3725" t="s" s="10">
        <v>115</v>
      </c>
      <c r="I3725" s="17">
        <v>1</v>
      </c>
      <c r="J3725" t="s" s="11">
        <v>20</v>
      </c>
      <c r="K3725" t="s" s="16">
        <f>HYPERLINK("http://csr.bu.edu/ftp/asl/asllvd/demos/verify_start_end_handshape_annotations//test_auto_move//signs_mov/5613.mov","MOV")</f>
        <v>21</v>
      </c>
      <c r="L3725" t="s" s="16">
        <f>HYPERLINK("http://csr.bu.edu/ftp/asl/asllvd/demos/verify_start_end_handshape_annotations//test_auto_move//signs_mov_separ_signers/Dana_5613.mov","MOV")</f>
        <v>21</v>
      </c>
      <c r="M3725" t="s" s="10">
        <v>44</v>
      </c>
      <c r="N3725" s="17">
        <v>12</v>
      </c>
      <c r="O3725" s="18">
        <v>1529</v>
      </c>
      <c r="P3725" s="18">
        <v>1604</v>
      </c>
      <c r="Q3725" t="s" s="16">
        <f>HYPERLINK("http://secrets.rutgers.edu:8080/data/asl-ftp/asllvd/demos/verify_start_end_handshape_annotations//test_auto_move//signs_mov/5613.mov","MOV")</f>
        <v>21</v>
      </c>
      <c r="R3725" t="s" s="16">
        <f>HYPERLINK("http://secrets.rutgers.edu:8080/data/asl-ftp/asllvd/demos/verify_start_end_handshape_annotations//test_auto_move//signs_mov_separ_signers/Dana_5613.mov","MOV")</f>
        <v>21</v>
      </c>
    </row>
    <row r="3726" s="2" customFormat="1" ht="13.5" customHeight="1">
      <c r="B3726" t="s" s="8">
        <v>1282</v>
      </c>
      <c r="C3726" t="s" s="9">
        <v>14</v>
      </c>
      <c r="D3726" t="s" s="8">
        <v>14</v>
      </c>
      <c r="E3726" t="s" s="9">
        <v>14</v>
      </c>
      <c r="F3726" t="s" s="10">
        <v>14</v>
      </c>
      <c r="G3726" t="s" s="11">
        <v>14</v>
      </c>
      <c r="H3726" t="s" s="10">
        <v>14</v>
      </c>
      <c r="I3726" t="s" s="11">
        <v>14</v>
      </c>
      <c r="J3726" t="s" s="11">
        <v>14</v>
      </c>
      <c r="K3726" t="s" s="12">
        <v>14</v>
      </c>
      <c r="L3726" t="s" s="12">
        <v>14</v>
      </c>
      <c r="M3726" t="s" s="10">
        <v>14</v>
      </c>
      <c r="N3726" t="s" s="11">
        <v>14</v>
      </c>
      <c r="O3726" t="s" s="8">
        <v>14</v>
      </c>
      <c r="P3726" t="s" s="8">
        <v>14</v>
      </c>
      <c r="Q3726" t="s" s="12">
        <v>14</v>
      </c>
      <c r="R3726" t="s" s="12">
        <v>14</v>
      </c>
    </row>
    <row r="3727" s="2" customFormat="1" ht="13.5" customHeight="1">
      <c r="B3727" s="13"/>
      <c r="C3727" t="s" s="9">
        <v>23</v>
      </c>
      <c r="D3727" t="s" s="8">
        <v>1282</v>
      </c>
      <c r="E3727" t="s" s="9">
        <v>1282</v>
      </c>
      <c r="F3727" t="s" s="10">
        <v>70</v>
      </c>
      <c r="G3727" s="14"/>
      <c r="H3727" s="19">
        <v>10</v>
      </c>
      <c r="I3727" s="14"/>
      <c r="J3727" t="s" s="11">
        <v>20</v>
      </c>
      <c r="K3727" s="15"/>
      <c r="L3727" t="s" s="16">
        <f>HYPERLINK("http://csr.bu.edu/ftp/asl/asllvd/demos/verify_start_end_handshape_annotations//test_auto_move//signs_mov_separ_signers/Tyler_795.mov","MOV")</f>
        <v>21</v>
      </c>
      <c r="M3727" t="s" s="10">
        <v>92</v>
      </c>
      <c r="N3727" s="17">
        <v>10</v>
      </c>
      <c r="O3727" s="18">
        <v>1222</v>
      </c>
      <c r="P3727" s="18">
        <v>1256</v>
      </c>
      <c r="Q3727" s="15"/>
      <c r="R3727" t="s" s="16">
        <f>HYPERLINK("http://secrets.rutgers.edu:8080/data/asl-ftp/asllvd/demos/verify_start_end_handshape_annotations//test_auto_move//signs_mov_separ_signers/Tyler_795.mov","MOV")</f>
        <v>21</v>
      </c>
    </row>
    <row r="3728" s="2" customFormat="1" ht="13.5" customHeight="1">
      <c r="B3728" s="13"/>
      <c r="C3728" t="s" s="9">
        <v>27</v>
      </c>
      <c r="D3728" t="s" s="8">
        <v>1282</v>
      </c>
      <c r="E3728" t="s" s="9">
        <v>1282</v>
      </c>
      <c r="F3728" t="s" s="10">
        <v>70</v>
      </c>
      <c r="G3728" s="14"/>
      <c r="H3728" s="19">
        <v>10</v>
      </c>
      <c r="I3728" s="14"/>
      <c r="J3728" t="s" s="11">
        <v>20</v>
      </c>
      <c r="K3728" t="s" s="16">
        <f>HYPERLINK("http://csr.bu.edu/ftp/asl/asllvd/demos/verify_start_end_handshape_annotations//test_auto_move//signs_mov/795.mov","MOV")</f>
        <v>21</v>
      </c>
      <c r="L3728" t="s" s="16">
        <f>HYPERLINK("http://csr.bu.edu/ftp/asl/asllvd/demos/verify_start_end_handshape_annotations//test_auto_move//signs_mov_separ_signers/Naomi_795.mov","MOV")</f>
        <v>21</v>
      </c>
      <c r="M3728" t="s" s="10">
        <v>86</v>
      </c>
      <c r="N3728" s="17">
        <v>30</v>
      </c>
      <c r="O3728" s="18">
        <v>1502</v>
      </c>
      <c r="P3728" s="18">
        <v>1522</v>
      </c>
      <c r="Q3728" t="s" s="16">
        <f>HYPERLINK("http://secrets.rutgers.edu:8080/data/asl-ftp/asllvd/demos/verify_start_end_handshape_annotations//test_auto_move//signs_mov/795.mov","MOV")</f>
        <v>21</v>
      </c>
      <c r="R3728" t="s" s="16">
        <f>HYPERLINK("http://secrets.rutgers.edu:8080/data/asl-ftp/asllvd/demos/verify_start_end_handshape_annotations//test_auto_move//signs_mov_separ_signers/Naomi_795.mov","MOV")</f>
        <v>21</v>
      </c>
    </row>
    <row r="3729" s="2" customFormat="1" ht="13.5" customHeight="1">
      <c r="B3729" s="13"/>
      <c r="C3729" t="s" s="9">
        <v>30</v>
      </c>
      <c r="D3729" t="s" s="8">
        <v>1282</v>
      </c>
      <c r="E3729" t="s" s="9">
        <v>1282</v>
      </c>
      <c r="F3729" t="s" s="10">
        <v>65</v>
      </c>
      <c r="G3729" s="14"/>
      <c r="H3729" s="19">
        <v>10</v>
      </c>
      <c r="I3729" s="14"/>
      <c r="J3729" t="s" s="11">
        <v>20</v>
      </c>
      <c r="K3729" s="15"/>
      <c r="L3729" t="s" s="16">
        <f>HYPERLINK("http://csr.bu.edu/ftp/asl/asllvd/demos/verify_start_end_handshape_annotations//test_auto_move//signs_mov_separ_signers/Brady_795.mov","MOV")</f>
        <v>21</v>
      </c>
      <c r="M3729" t="s" s="10">
        <v>60</v>
      </c>
      <c r="N3729" s="17">
        <v>39</v>
      </c>
      <c r="O3729" s="18">
        <v>3784</v>
      </c>
      <c r="P3729" s="18">
        <v>3808</v>
      </c>
      <c r="Q3729" s="15"/>
      <c r="R3729" t="s" s="16">
        <f>HYPERLINK("http://secrets.rutgers.edu:8080/data/asl-ftp/asllvd/demos/verify_start_end_handshape_annotations//test_auto_move//signs_mov_separ_signers/Brady_795.mov","MOV")</f>
        <v>21</v>
      </c>
    </row>
    <row r="3730" s="2" customFormat="1" ht="13.5" customHeight="1">
      <c r="B3730" t="s" s="8">
        <v>52</v>
      </c>
      <c r="C3730" t="s" s="9">
        <v>53</v>
      </c>
      <c r="D3730" t="s" s="8">
        <v>53</v>
      </c>
      <c r="E3730" t="s" s="9">
        <v>53</v>
      </c>
      <c r="F3730" t="s" s="10">
        <v>53</v>
      </c>
      <c r="G3730" t="s" s="11">
        <v>53</v>
      </c>
      <c r="H3730" t="s" s="10">
        <v>53</v>
      </c>
      <c r="I3730" t="s" s="11">
        <v>53</v>
      </c>
      <c r="J3730" t="s" s="11">
        <v>53</v>
      </c>
      <c r="K3730" t="s" s="12">
        <v>53</v>
      </c>
      <c r="L3730" t="s" s="12">
        <v>53</v>
      </c>
      <c r="M3730" t="s" s="10">
        <v>53</v>
      </c>
      <c r="N3730" t="s" s="11">
        <v>53</v>
      </c>
      <c r="O3730" t="s" s="8">
        <v>53</v>
      </c>
      <c r="P3730" t="s" s="8">
        <v>53</v>
      </c>
      <c r="Q3730" t="s" s="12">
        <v>53</v>
      </c>
      <c r="R3730" t="s" s="12">
        <v>53</v>
      </c>
    </row>
    <row r="3731" s="2" customFormat="1" ht="13.5" customHeight="1">
      <c r="B3731" s="13"/>
      <c r="C3731" t="s" s="9">
        <v>16</v>
      </c>
      <c r="D3731" t="s" s="8">
        <v>1282</v>
      </c>
      <c r="E3731" t="s" s="9">
        <v>1283</v>
      </c>
      <c r="F3731" t="s" s="10">
        <v>70</v>
      </c>
      <c r="G3731" s="17">
        <v>1</v>
      </c>
      <c r="H3731" s="19">
        <v>10</v>
      </c>
      <c r="I3731" s="17">
        <v>1</v>
      </c>
      <c r="J3731" t="s" s="11">
        <v>20</v>
      </c>
      <c r="K3731" t="s" s="16">
        <f>HYPERLINK("http://csr.bu.edu/ftp/asl/asllvd/demos/verify_start_end_handshape_annotations//test_auto_move//signs_mov/3739.mov","MOV")</f>
        <v>21</v>
      </c>
      <c r="L3731" t="s" s="16">
        <f>HYPERLINK("http://csr.bu.edu/ftp/asl/asllvd/demos/verify_start_end_handshape_annotations//test_auto_move//signs_mov_separ_signers/Liz_3739.mov","MOV")</f>
        <v>21</v>
      </c>
      <c r="M3731" t="s" s="10">
        <v>84</v>
      </c>
      <c r="N3731" s="17">
        <v>30</v>
      </c>
      <c r="O3731" s="18">
        <v>1291</v>
      </c>
      <c r="P3731" s="18">
        <v>1310</v>
      </c>
      <c r="Q3731" t="s" s="16">
        <f>HYPERLINK("http://secrets.rutgers.edu:8080/data/asl-ftp/asllvd/demos/verify_start_end_handshape_annotations//test_auto_move//signs_mov/3739.mov","MOV")</f>
        <v>21</v>
      </c>
      <c r="R3731" t="s" s="16">
        <f>HYPERLINK("http://secrets.rutgers.edu:8080/data/asl-ftp/asllvd/demos/verify_start_end_handshape_annotations//test_auto_move//signs_mov_separ_signers/Liz_3739.mov","MOV")</f>
        <v>21</v>
      </c>
    </row>
    <row r="3732" s="2" customFormat="1" ht="13.5" customHeight="1">
      <c r="B3732" s="13"/>
      <c r="C3732" t="s" s="9">
        <v>30</v>
      </c>
      <c r="D3732" t="s" s="8">
        <v>1282</v>
      </c>
      <c r="E3732" t="s" s="9">
        <v>1283</v>
      </c>
      <c r="F3732" t="s" s="10">
        <v>70</v>
      </c>
      <c r="G3732" s="17">
        <v>1</v>
      </c>
      <c r="H3732" s="19">
        <v>10</v>
      </c>
      <c r="I3732" t="s" s="11">
        <v>105</v>
      </c>
      <c r="J3732" t="s" s="11">
        <v>20</v>
      </c>
      <c r="K3732" s="15"/>
      <c r="L3732" t="s" s="16">
        <f>HYPERLINK("http://csr.bu.edu/ftp/asl/asllvd/demos/verify_start_end_handshape_annotations//test_auto_move//signs_mov_separ_signers/Brady_3739.mov","MOV")</f>
        <v>21</v>
      </c>
      <c r="M3732" t="s" s="10">
        <v>39</v>
      </c>
      <c r="N3732" s="17">
        <v>11</v>
      </c>
      <c r="O3732" s="18">
        <v>3304</v>
      </c>
      <c r="P3732" s="18">
        <v>3324</v>
      </c>
      <c r="Q3732" s="15"/>
      <c r="R3732" t="s" s="16">
        <f>HYPERLINK("http://secrets.rutgers.edu:8080/data/asl-ftp/asllvd/demos/verify_start_end_handshape_annotations//test_auto_move//signs_mov_separ_signers/Brady_3739.mov","MOV")</f>
        <v>21</v>
      </c>
    </row>
    <row r="3733" s="2" customFormat="1" ht="13.5" customHeight="1">
      <c r="B3733" t="s" s="8">
        <v>1284</v>
      </c>
      <c r="C3733" t="s" s="9">
        <v>14</v>
      </c>
      <c r="D3733" t="s" s="8">
        <v>14</v>
      </c>
      <c r="E3733" t="s" s="9">
        <v>14</v>
      </c>
      <c r="F3733" t="s" s="10">
        <v>14</v>
      </c>
      <c r="G3733" t="s" s="11">
        <v>14</v>
      </c>
      <c r="H3733" t="s" s="10">
        <v>14</v>
      </c>
      <c r="I3733" t="s" s="11">
        <v>14</v>
      </c>
      <c r="J3733" t="s" s="11">
        <v>14</v>
      </c>
      <c r="K3733" t="s" s="12">
        <v>14</v>
      </c>
      <c r="L3733" t="s" s="12">
        <v>14</v>
      </c>
      <c r="M3733" t="s" s="10">
        <v>14</v>
      </c>
      <c r="N3733" t="s" s="11">
        <v>14</v>
      </c>
      <c r="O3733" t="s" s="8">
        <v>14</v>
      </c>
      <c r="P3733" t="s" s="8">
        <v>14</v>
      </c>
      <c r="Q3733" t="s" s="12">
        <v>14</v>
      </c>
      <c r="R3733" t="s" s="12">
        <v>14</v>
      </c>
    </row>
    <row r="3734" s="2" customFormat="1" ht="13.5" customHeight="1">
      <c r="B3734" s="13"/>
      <c r="C3734" t="s" s="9">
        <v>16</v>
      </c>
      <c r="D3734" t="s" s="8">
        <v>1284</v>
      </c>
      <c r="E3734" t="s" s="9">
        <v>1285</v>
      </c>
      <c r="F3734" s="19">
        <v>5</v>
      </c>
      <c r="G3734" s="17">
        <v>5</v>
      </c>
      <c r="H3734" s="19">
        <v>5</v>
      </c>
      <c r="I3734" s="17">
        <v>5</v>
      </c>
      <c r="J3734" t="s" s="11">
        <v>20</v>
      </c>
      <c r="K3734" s="15"/>
      <c r="L3734" t="s" s="16">
        <f>HYPERLINK("http://csr.bu.edu/ftp/asl/asllvd/demos/verify_start_end_handshape_annotations//test_auto_move//signs_mov_separ_signers/Liz_796.mov","MOV")</f>
        <v>21</v>
      </c>
      <c r="M3734" t="s" s="10">
        <v>84</v>
      </c>
      <c r="N3734" s="17">
        <v>30</v>
      </c>
      <c r="O3734" s="18">
        <v>1472</v>
      </c>
      <c r="P3734" s="18">
        <v>1536</v>
      </c>
      <c r="Q3734" s="15"/>
      <c r="R3734" t="s" s="16">
        <f>HYPERLINK("http://secrets.rutgers.edu:8080/data/asl-ftp/asllvd/demos/verify_start_end_handshape_annotations//test_auto_move//signs_mov_separ_signers/Liz_796.mov","MOV")</f>
        <v>21</v>
      </c>
    </row>
    <row r="3735" s="2" customFormat="1" ht="13.5" customHeight="1">
      <c r="B3735" s="13"/>
      <c r="C3735" t="s" s="9">
        <v>23</v>
      </c>
      <c r="D3735" t="s" s="8">
        <v>1284</v>
      </c>
      <c r="E3735" t="s" s="9">
        <v>1285</v>
      </c>
      <c r="F3735" s="19">
        <v>5</v>
      </c>
      <c r="G3735" s="17">
        <v>5</v>
      </c>
      <c r="H3735" s="19">
        <v>5</v>
      </c>
      <c r="I3735" s="17">
        <v>5</v>
      </c>
      <c r="J3735" t="s" s="11">
        <v>20</v>
      </c>
      <c r="K3735" s="15"/>
      <c r="L3735" t="s" s="16">
        <f>HYPERLINK("http://csr.bu.edu/ftp/asl/asllvd/demos/verify_start_end_handshape_annotations//test_auto_move//signs_mov_separ_signers/Tyler_796.mov","MOV")</f>
        <v>21</v>
      </c>
      <c r="M3735" t="s" s="10">
        <v>92</v>
      </c>
      <c r="N3735" s="17">
        <v>10</v>
      </c>
      <c r="O3735" s="18">
        <v>1680</v>
      </c>
      <c r="P3735" s="18">
        <v>1720</v>
      </c>
      <c r="Q3735" s="15"/>
      <c r="R3735" t="s" s="16">
        <f>HYPERLINK("http://secrets.rutgers.edu:8080/data/asl-ftp/asllvd/demos/verify_start_end_handshape_annotations//test_auto_move//signs_mov_separ_signers/Tyler_796.mov","MOV")</f>
        <v>21</v>
      </c>
    </row>
    <row r="3736" s="2" customFormat="1" ht="13.5" customHeight="1">
      <c r="B3736" s="13"/>
      <c r="C3736" t="s" s="9">
        <v>27</v>
      </c>
      <c r="D3736" t="s" s="8">
        <v>1284</v>
      </c>
      <c r="E3736" t="s" s="9">
        <v>1285</v>
      </c>
      <c r="F3736" s="19">
        <v>5</v>
      </c>
      <c r="G3736" s="17">
        <v>5</v>
      </c>
      <c r="H3736" s="19">
        <v>5</v>
      </c>
      <c r="I3736" s="17">
        <v>5</v>
      </c>
      <c r="J3736" t="s" s="11">
        <v>20</v>
      </c>
      <c r="K3736" s="15"/>
      <c r="L3736" t="s" s="16">
        <f>HYPERLINK("http://csr.bu.edu/ftp/asl/asllvd/demos/verify_start_end_handshape_annotations//test_auto_move//signs_mov_separ_signers/Naomi_796.mov","MOV")</f>
        <v>21</v>
      </c>
      <c r="M3736" t="s" s="10">
        <v>86</v>
      </c>
      <c r="N3736" s="17">
        <v>30</v>
      </c>
      <c r="O3736" s="18">
        <v>1756</v>
      </c>
      <c r="P3736" s="18">
        <v>1797</v>
      </c>
      <c r="Q3736" s="15"/>
      <c r="R3736" t="s" s="16">
        <f>HYPERLINK("http://secrets.rutgers.edu:8080/data/asl-ftp/asllvd/demos/verify_start_end_handshape_annotations//test_auto_move//signs_mov_separ_signers/Naomi_796.mov","MOV")</f>
        <v>21</v>
      </c>
    </row>
    <row r="3737" s="2" customFormat="1" ht="13.5" customHeight="1">
      <c r="B3737" s="13"/>
      <c r="C3737" t="s" s="9">
        <v>30</v>
      </c>
      <c r="D3737" t="s" s="8">
        <v>1284</v>
      </c>
      <c r="E3737" t="s" s="9">
        <v>1285</v>
      </c>
      <c r="F3737" s="19">
        <v>5</v>
      </c>
      <c r="G3737" s="17">
        <v>5</v>
      </c>
      <c r="H3737" s="19">
        <v>5</v>
      </c>
      <c r="I3737" s="17">
        <v>5</v>
      </c>
      <c r="J3737" t="s" s="11">
        <v>20</v>
      </c>
      <c r="K3737" t="s" s="16">
        <f>HYPERLINK("http://csr.bu.edu/ftp/asl/asllvd/demos/verify_start_end_handshape_annotations//test_auto_move//signs_mov/796_15458_merged.mov","MOV")</f>
        <v>21</v>
      </c>
      <c r="L3737" t="s" s="16">
        <f>HYPERLINK("http://csr.bu.edu/ftp/asl/asllvd/demos/verify_start_end_handshape_annotations//test_auto_move//signs_mov_separ_signers/Brady_796.mov","MOV")</f>
        <v>21</v>
      </c>
      <c r="M3737" t="s" s="10">
        <v>39</v>
      </c>
      <c r="N3737" s="17">
        <v>11</v>
      </c>
      <c r="O3737" s="18">
        <v>3663</v>
      </c>
      <c r="P3737" s="18">
        <v>3707</v>
      </c>
      <c r="Q3737" t="s" s="16">
        <f>HYPERLINK("http://secrets.rutgers.edu:8080/data/asl-ftp/asllvd/demos/verify_start_end_handshape_annotations//test_auto_move//signs_mov/796_15458_merged.mov","MOV")</f>
        <v>21</v>
      </c>
      <c r="R3737" t="s" s="16">
        <f>HYPERLINK("http://secrets.rutgers.edu:8080/data/asl-ftp/asllvd/demos/verify_start_end_handshape_annotations//test_auto_move//signs_mov_separ_signers/Brady_796.mov","MOV")</f>
        <v>21</v>
      </c>
    </row>
    <row r="3738" s="2" customFormat="1" ht="13.5" customHeight="1">
      <c r="B3738" s="13"/>
      <c r="C3738" t="s" s="9">
        <v>30</v>
      </c>
      <c r="D3738" t="s" s="8">
        <v>1284</v>
      </c>
      <c r="E3738" t="s" s="9">
        <v>1285</v>
      </c>
      <c r="F3738" s="19">
        <v>5</v>
      </c>
      <c r="G3738" s="17">
        <v>5</v>
      </c>
      <c r="H3738" s="19">
        <v>5</v>
      </c>
      <c r="I3738" s="17">
        <v>5</v>
      </c>
      <c r="J3738" t="s" s="11">
        <v>20</v>
      </c>
      <c r="K3738" s="15"/>
      <c r="L3738" t="s" s="16">
        <f>HYPERLINK("http://csr.bu.edu/ftp/asl/asllvd/demos/verify_start_end_handshape_annotations//test_auto_move//signs_mov_separ_signers/Brady_15458.mov","MOV")</f>
        <v>21</v>
      </c>
      <c r="M3738" t="s" s="10">
        <v>60</v>
      </c>
      <c r="N3738" s="17">
        <v>39</v>
      </c>
      <c r="O3738" s="18">
        <v>351</v>
      </c>
      <c r="P3738" s="18">
        <v>411</v>
      </c>
      <c r="Q3738" s="15"/>
      <c r="R3738" t="s" s="16">
        <f>HYPERLINK("http://secrets.rutgers.edu:8080/data/asl-ftp/asllvd/demos/verify_start_end_handshape_annotations//test_auto_move//signs_mov_separ_signers/Brady_15458.mov","MOV")</f>
        <v>21</v>
      </c>
    </row>
    <row r="3739" s="2" customFormat="1" ht="13.5" customHeight="1">
      <c r="B3739" s="13"/>
      <c r="C3739" t="s" s="9">
        <v>41</v>
      </c>
      <c r="D3739" t="s" s="8">
        <v>1284</v>
      </c>
      <c r="E3739" t="s" s="9">
        <v>1285</v>
      </c>
      <c r="F3739" s="19">
        <v>5</v>
      </c>
      <c r="G3739" s="17">
        <v>5</v>
      </c>
      <c r="H3739" s="19">
        <v>5</v>
      </c>
      <c r="I3739" s="17">
        <v>5</v>
      </c>
      <c r="J3739" t="s" s="11">
        <v>20</v>
      </c>
      <c r="K3739" s="15"/>
      <c r="L3739" t="s" s="16">
        <f>HYPERLINK("http://csr.bu.edu/ftp/asl/asllvd/demos/verify_start_end_handshape_annotations//test_auto_move//signs_mov_separ_signers/Lana_796.mov","MOV")</f>
        <v>21</v>
      </c>
      <c r="M3739" t="s" s="10">
        <v>42</v>
      </c>
      <c r="N3739" s="17">
        <v>8</v>
      </c>
      <c r="O3739" s="18">
        <v>1860</v>
      </c>
      <c r="P3739" s="18">
        <v>1914</v>
      </c>
      <c r="Q3739" s="15"/>
      <c r="R3739" t="s" s="16">
        <f>HYPERLINK("http://secrets.rutgers.edu:8080/data/asl-ftp/asllvd/demos/verify_start_end_handshape_annotations//test_auto_move//signs_mov_separ_signers/Lana_796.mov","MOV")</f>
        <v>21</v>
      </c>
    </row>
    <row r="3740" s="2" customFormat="1" ht="13.5" customHeight="1">
      <c r="B3740" s="13"/>
      <c r="C3740" t="s" s="9">
        <v>43</v>
      </c>
      <c r="D3740" t="s" s="8">
        <v>1284</v>
      </c>
      <c r="E3740" t="s" s="9">
        <v>1285</v>
      </c>
      <c r="F3740" s="19">
        <v>5</v>
      </c>
      <c r="G3740" s="17">
        <v>5</v>
      </c>
      <c r="H3740" s="19">
        <v>5</v>
      </c>
      <c r="I3740" s="17">
        <v>5</v>
      </c>
      <c r="J3740" t="s" s="11">
        <v>20</v>
      </c>
      <c r="K3740" s="15"/>
      <c r="L3740" t="s" s="16">
        <f>HYPERLINK("http://csr.bu.edu/ftp/asl/asllvd/demos/verify_start_end_handshape_annotations//test_auto_move//signs_mov_separ_signers/Dana_796.mov","MOV")</f>
        <v>21</v>
      </c>
      <c r="M3740" t="s" s="10">
        <v>44</v>
      </c>
      <c r="N3740" s="17">
        <v>12</v>
      </c>
      <c r="O3740" s="18">
        <v>1827</v>
      </c>
      <c r="P3740" s="18">
        <v>1905</v>
      </c>
      <c r="Q3740" s="15"/>
      <c r="R3740" t="s" s="16">
        <f>HYPERLINK("http://secrets.rutgers.edu:8080/data/asl-ftp/asllvd/demos/verify_start_end_handshape_annotations//test_auto_move//signs_mov_separ_signers/Dana_796.mov","MOV")</f>
        <v>21</v>
      </c>
    </row>
    <row r="3741" s="2" customFormat="1" ht="13.5" customHeight="1">
      <c r="B3741" t="s" s="8">
        <v>1286</v>
      </c>
      <c r="C3741" t="s" s="9">
        <v>14</v>
      </c>
      <c r="D3741" t="s" s="8">
        <v>14</v>
      </c>
      <c r="E3741" t="s" s="9">
        <v>14</v>
      </c>
      <c r="F3741" t="s" s="10">
        <v>14</v>
      </c>
      <c r="G3741" t="s" s="11">
        <v>14</v>
      </c>
      <c r="H3741" t="s" s="10">
        <v>14</v>
      </c>
      <c r="I3741" t="s" s="11">
        <v>14</v>
      </c>
      <c r="J3741" t="s" s="11">
        <v>14</v>
      </c>
      <c r="K3741" t="s" s="12">
        <v>14</v>
      </c>
      <c r="L3741" t="s" s="12">
        <v>14</v>
      </c>
      <c r="M3741" t="s" s="10">
        <v>14</v>
      </c>
      <c r="N3741" t="s" s="11">
        <v>14</v>
      </c>
      <c r="O3741" t="s" s="8">
        <v>14</v>
      </c>
      <c r="P3741" t="s" s="8">
        <v>14</v>
      </c>
      <c r="Q3741" t="s" s="12">
        <v>14</v>
      </c>
      <c r="R3741" t="s" s="12">
        <v>14</v>
      </c>
    </row>
    <row r="3742" s="2" customFormat="1" ht="13.5" customHeight="1">
      <c r="B3742" s="13"/>
      <c r="C3742" t="s" s="9">
        <v>23</v>
      </c>
      <c r="D3742" t="s" s="8">
        <v>1286</v>
      </c>
      <c r="E3742" t="s" s="9">
        <v>1286</v>
      </c>
      <c r="F3742" t="s" s="10">
        <v>260</v>
      </c>
      <c r="G3742" t="s" s="11">
        <v>260</v>
      </c>
      <c r="H3742" s="19">
        <v>5</v>
      </c>
      <c r="I3742" s="17">
        <v>5</v>
      </c>
      <c r="J3742" t="s" s="11">
        <v>20</v>
      </c>
      <c r="K3742" t="s" s="16">
        <f>HYPERLINK("http://csr.bu.edu/ftp/asl/asllvd/demos/verify_start_end_handshape_annotations//test_auto_move//signs_mov/15459.mov","MOV")</f>
        <v>21</v>
      </c>
      <c r="L3742" t="s" s="16">
        <f>HYPERLINK("http://csr.bu.edu/ftp/asl/asllvd/demos/verify_start_end_handshape_annotations//test_auto_move//signs_mov_separ_signers/Tyler_15459.mov","MOV")</f>
        <v>21</v>
      </c>
      <c r="M3742" t="s" s="10">
        <v>26</v>
      </c>
      <c r="N3742" s="17">
        <v>30</v>
      </c>
      <c r="O3742" s="18">
        <v>1740</v>
      </c>
      <c r="P3742" s="18">
        <v>1780</v>
      </c>
      <c r="Q3742" t="s" s="16">
        <f>HYPERLINK("http://secrets.rutgers.edu:8080/data/asl-ftp/asllvd/demos/verify_start_end_handshape_annotations//test_auto_move//signs_mov/15459.mov","MOV")</f>
        <v>21</v>
      </c>
      <c r="R3742" t="s" s="16">
        <f>HYPERLINK("http://secrets.rutgers.edu:8080/data/asl-ftp/asllvd/demos/verify_start_end_handshape_annotations//test_auto_move//signs_mov_separ_signers/Tyler_15459.mov","MOV")</f>
        <v>21</v>
      </c>
    </row>
    <row r="3743" s="2" customFormat="1" ht="13.5" customHeight="1">
      <c r="B3743" s="13"/>
      <c r="C3743" t="s" s="9">
        <v>30</v>
      </c>
      <c r="D3743" t="s" s="8">
        <v>1286</v>
      </c>
      <c r="E3743" t="s" s="9">
        <v>1286</v>
      </c>
      <c r="F3743" t="s" s="10">
        <v>119</v>
      </c>
      <c r="G3743" t="s" s="11">
        <v>119</v>
      </c>
      <c r="H3743" s="19">
        <v>5</v>
      </c>
      <c r="I3743" s="17">
        <v>5</v>
      </c>
      <c r="J3743" t="s" s="11">
        <v>20</v>
      </c>
      <c r="K3743" s="15"/>
      <c r="L3743" t="s" s="16">
        <f>HYPERLINK("http://csr.bu.edu/ftp/asl/asllvd/demos/verify_start_end_handshape_annotations//test_auto_move//signs_mov_separ_signers/Brady_15459.mov","MOV")</f>
        <v>21</v>
      </c>
      <c r="M3743" t="s" s="10">
        <v>31</v>
      </c>
      <c r="N3743" s="17">
        <v>22</v>
      </c>
      <c r="O3743" s="18">
        <v>4886</v>
      </c>
      <c r="P3743" s="18">
        <v>4929</v>
      </c>
      <c r="Q3743" s="15"/>
      <c r="R3743" t="s" s="16">
        <f>HYPERLINK("http://secrets.rutgers.edu:8080/data/asl-ftp/asllvd/demos/verify_start_end_handshape_annotations//test_auto_move//signs_mov_separ_signers/Brady_15459.mov","MOV")</f>
        <v>21</v>
      </c>
    </row>
    <row r="3744" s="2" customFormat="1" ht="13.5" customHeight="1">
      <c r="B3744" t="s" s="8">
        <v>1287</v>
      </c>
      <c r="C3744" t="s" s="9">
        <v>14</v>
      </c>
      <c r="D3744" t="s" s="8">
        <v>14</v>
      </c>
      <c r="E3744" t="s" s="9">
        <v>14</v>
      </c>
      <c r="F3744" t="s" s="10">
        <v>14</v>
      </c>
      <c r="G3744" t="s" s="11">
        <v>14</v>
      </c>
      <c r="H3744" t="s" s="10">
        <v>14</v>
      </c>
      <c r="I3744" t="s" s="11">
        <v>14</v>
      </c>
      <c r="J3744" t="s" s="11">
        <v>14</v>
      </c>
      <c r="K3744" t="s" s="12">
        <v>14</v>
      </c>
      <c r="L3744" t="s" s="12">
        <v>14</v>
      </c>
      <c r="M3744" t="s" s="10">
        <v>14</v>
      </c>
      <c r="N3744" t="s" s="11">
        <v>14</v>
      </c>
      <c r="O3744" t="s" s="8">
        <v>14</v>
      </c>
      <c r="P3744" t="s" s="8">
        <v>14</v>
      </c>
      <c r="Q3744" t="s" s="12">
        <v>14</v>
      </c>
      <c r="R3744" t="s" s="12">
        <v>14</v>
      </c>
    </row>
    <row r="3745" s="2" customFormat="1" ht="13.5" customHeight="1">
      <c r="B3745" s="13"/>
      <c r="C3745" t="s" s="9">
        <v>16</v>
      </c>
      <c r="D3745" t="s" s="8">
        <v>1287</v>
      </c>
      <c r="E3745" t="s" s="9">
        <v>1288</v>
      </c>
      <c r="F3745" t="s" s="10">
        <v>115</v>
      </c>
      <c r="G3745" s="14"/>
      <c r="H3745" t="s" s="10">
        <v>115</v>
      </c>
      <c r="I3745" s="14"/>
      <c r="J3745" t="s" s="11">
        <v>20</v>
      </c>
      <c r="K3745" s="15"/>
      <c r="L3745" t="s" s="16">
        <f>HYPERLINK("http://csr.bu.edu/ftp/asl/asllvd/demos/verify_start_end_handshape_annotations//test_auto_move//signs_mov_separ_signers/Liz_797.mov","MOV")</f>
        <v>21</v>
      </c>
      <c r="M3745" t="s" s="10">
        <v>84</v>
      </c>
      <c r="N3745" s="17">
        <v>30</v>
      </c>
      <c r="O3745" s="18">
        <v>1652</v>
      </c>
      <c r="P3745" s="18">
        <v>1695</v>
      </c>
      <c r="Q3745" s="15"/>
      <c r="R3745" t="s" s="16">
        <f>HYPERLINK("http://secrets.rutgers.edu:8080/data/asl-ftp/asllvd/demos/verify_start_end_handshape_annotations//test_auto_move//signs_mov_separ_signers/Liz_797.mov","MOV")</f>
        <v>21</v>
      </c>
    </row>
    <row r="3746" s="2" customFormat="1" ht="13.5" customHeight="1">
      <c r="B3746" s="13"/>
      <c r="C3746" t="s" s="9">
        <v>27</v>
      </c>
      <c r="D3746" t="s" s="8">
        <v>1287</v>
      </c>
      <c r="E3746" t="s" s="9">
        <v>1289</v>
      </c>
      <c r="F3746" t="s" s="10">
        <v>117</v>
      </c>
      <c r="G3746" s="14"/>
      <c r="H3746" t="s" s="10">
        <v>117</v>
      </c>
      <c r="I3746" s="14"/>
      <c r="J3746" t="s" s="11">
        <v>20</v>
      </c>
      <c r="K3746" t="s" s="16">
        <f>HYPERLINK("http://csr.bu.edu/ftp/asl/asllvd/demos/verify_start_end_handshape_annotations//test_auto_move//signs_mov/797.mov","MOV")</f>
        <v>21</v>
      </c>
      <c r="L3746" t="s" s="16">
        <f>HYPERLINK("http://csr.bu.edu/ftp/asl/asllvd/demos/verify_start_end_handshape_annotations//test_auto_move//signs_mov_separ_signers/Naomi_797.mov","MOV")</f>
        <v>21</v>
      </c>
      <c r="M3746" t="s" s="10">
        <v>86</v>
      </c>
      <c r="N3746" s="17">
        <v>30</v>
      </c>
      <c r="O3746" s="18">
        <v>1985</v>
      </c>
      <c r="P3746" s="18">
        <v>2010</v>
      </c>
      <c r="Q3746" t="s" s="16">
        <f>HYPERLINK("http://secrets.rutgers.edu:8080/data/asl-ftp/asllvd/demos/verify_start_end_handshape_annotations//test_auto_move//signs_mov/797.mov","MOV")</f>
        <v>21</v>
      </c>
      <c r="R3746" t="s" s="16">
        <f>HYPERLINK("http://secrets.rutgers.edu:8080/data/asl-ftp/asllvd/demos/verify_start_end_handshape_annotations//test_auto_move//signs_mov_separ_signers/Naomi_797.mov","MOV")</f>
        <v>21</v>
      </c>
    </row>
    <row r="3747" s="2" customFormat="1" ht="13.5" customHeight="1">
      <c r="B3747" s="13"/>
      <c r="C3747" t="s" s="9">
        <v>30</v>
      </c>
      <c r="D3747" t="s" s="8">
        <v>1287</v>
      </c>
      <c r="E3747" t="s" s="9">
        <v>1288</v>
      </c>
      <c r="F3747" t="s" s="10">
        <v>115</v>
      </c>
      <c r="G3747" s="14"/>
      <c r="H3747" t="s" s="10">
        <v>115</v>
      </c>
      <c r="I3747" s="14"/>
      <c r="J3747" t="s" s="11">
        <v>20</v>
      </c>
      <c r="K3747" s="15"/>
      <c r="L3747" t="s" s="16">
        <f>HYPERLINK("http://csr.bu.edu/ftp/asl/asllvd/demos/verify_start_end_handshape_annotations//test_auto_move//signs_mov_separ_signers/Brady_797.mov","MOV")</f>
        <v>21</v>
      </c>
      <c r="M3747" t="s" s="10">
        <v>39</v>
      </c>
      <c r="N3747" s="17">
        <v>11</v>
      </c>
      <c r="O3747" s="18">
        <v>7085</v>
      </c>
      <c r="P3747" s="18">
        <v>7124</v>
      </c>
      <c r="Q3747" s="15"/>
      <c r="R3747" t="s" s="16">
        <f>HYPERLINK("http://secrets.rutgers.edu:8080/data/asl-ftp/asllvd/demos/verify_start_end_handshape_annotations//test_auto_move//signs_mov_separ_signers/Brady_797.mov","MOV")</f>
        <v>21</v>
      </c>
    </row>
    <row r="3748" s="2" customFormat="1" ht="13.5" customHeight="1">
      <c r="B3748" t="s" s="8">
        <v>52</v>
      </c>
      <c r="C3748" t="s" s="9">
        <v>53</v>
      </c>
      <c r="D3748" t="s" s="8">
        <v>53</v>
      </c>
      <c r="E3748" t="s" s="9">
        <v>53</v>
      </c>
      <c r="F3748" t="s" s="10">
        <v>53</v>
      </c>
      <c r="G3748" t="s" s="11">
        <v>53</v>
      </c>
      <c r="H3748" t="s" s="10">
        <v>53</v>
      </c>
      <c r="I3748" t="s" s="11">
        <v>53</v>
      </c>
      <c r="J3748" t="s" s="11">
        <v>53</v>
      </c>
      <c r="K3748" t="s" s="12">
        <v>53</v>
      </c>
      <c r="L3748" t="s" s="12">
        <v>53</v>
      </c>
      <c r="M3748" t="s" s="10">
        <v>53</v>
      </c>
      <c r="N3748" t="s" s="11">
        <v>53</v>
      </c>
      <c r="O3748" t="s" s="8">
        <v>53</v>
      </c>
      <c r="P3748" t="s" s="8">
        <v>53</v>
      </c>
      <c r="Q3748" t="s" s="12">
        <v>53</v>
      </c>
      <c r="R3748" t="s" s="12">
        <v>53</v>
      </c>
    </row>
    <row r="3749" s="2" customFormat="1" ht="13.5" customHeight="1">
      <c r="B3749" s="13"/>
      <c r="C3749" t="s" s="9">
        <v>23</v>
      </c>
      <c r="D3749" t="s" s="8">
        <v>1287</v>
      </c>
      <c r="E3749" t="s" s="9">
        <v>1290</v>
      </c>
      <c r="F3749" t="s" s="10">
        <v>117</v>
      </c>
      <c r="G3749" t="s" s="11">
        <v>117</v>
      </c>
      <c r="H3749" t="s" s="10">
        <v>117</v>
      </c>
      <c r="I3749" t="s" s="11">
        <v>117</v>
      </c>
      <c r="J3749" t="s" s="11">
        <v>20</v>
      </c>
      <c r="K3749" t="s" s="16">
        <f>HYPERLINK("http://csr.bu.edu/ftp/asl/asllvd/demos/verify_start_end_handshape_annotations//test_auto_move//signs_mov/5171_15778_merged.mov","MOV")</f>
        <v>21</v>
      </c>
      <c r="L3749" t="s" s="16">
        <f>HYPERLINK("http://csr.bu.edu/ftp/asl/asllvd/demos/verify_start_end_handshape_annotations//test_auto_move//signs_mov_separ_signers/Tyler_5171.mov","MOV")</f>
        <v>21</v>
      </c>
      <c r="M3749" t="s" s="10">
        <v>92</v>
      </c>
      <c r="N3749" s="17">
        <v>8</v>
      </c>
      <c r="O3749" s="18">
        <v>470</v>
      </c>
      <c r="P3749" s="18">
        <v>531</v>
      </c>
      <c r="Q3749" t="s" s="16">
        <f>HYPERLINK("http://secrets.rutgers.edu:8080/data/asl-ftp/asllvd/demos/verify_start_end_handshape_annotations//test_auto_move//signs_mov/5171_15778_merged.mov","MOV")</f>
        <v>21</v>
      </c>
      <c r="R3749" t="s" s="16">
        <f>HYPERLINK("http://secrets.rutgers.edu:8080/data/asl-ftp/asllvd/demos/verify_start_end_handshape_annotations//test_auto_move//signs_mov_separ_signers/Tyler_5171.mov","MOV")</f>
        <v>21</v>
      </c>
    </row>
    <row r="3750" s="2" customFormat="1" ht="13.5" customHeight="1">
      <c r="B3750" s="13"/>
      <c r="C3750" t="s" s="9">
        <v>23</v>
      </c>
      <c r="D3750" t="s" s="8">
        <v>1287</v>
      </c>
      <c r="E3750" t="s" s="9">
        <v>1290</v>
      </c>
      <c r="F3750" t="s" s="10">
        <v>117</v>
      </c>
      <c r="G3750" t="s" s="11">
        <v>117</v>
      </c>
      <c r="H3750" t="s" s="10">
        <v>117</v>
      </c>
      <c r="I3750" t="s" s="11">
        <v>117</v>
      </c>
      <c r="J3750" t="s" s="11">
        <v>20</v>
      </c>
      <c r="K3750" s="15"/>
      <c r="L3750" t="s" s="16">
        <f>HYPERLINK("http://csr.bu.edu/ftp/asl/asllvd/demos/verify_start_end_handshape_annotations//test_auto_move//signs_mov_separ_signers/Tyler_15778.mov","MOV")</f>
        <v>21</v>
      </c>
      <c r="M3750" t="s" s="10">
        <v>92</v>
      </c>
      <c r="N3750" s="17">
        <v>10</v>
      </c>
      <c r="O3750" s="18">
        <v>1897</v>
      </c>
      <c r="P3750" s="18">
        <v>1935</v>
      </c>
      <c r="Q3750" s="15"/>
      <c r="R3750" t="s" s="16">
        <f>HYPERLINK("http://secrets.rutgers.edu:8080/data/asl-ftp/asllvd/demos/verify_start_end_handshape_annotations//test_auto_move//signs_mov_separ_signers/Tyler_15778.mov","MOV")</f>
        <v>21</v>
      </c>
    </row>
    <row r="3751" s="2" customFormat="1" ht="13.5" customHeight="1">
      <c r="B3751" t="s" s="8">
        <v>1291</v>
      </c>
      <c r="C3751" t="s" s="9">
        <v>14</v>
      </c>
      <c r="D3751" t="s" s="8">
        <v>14</v>
      </c>
      <c r="E3751" t="s" s="9">
        <v>14</v>
      </c>
      <c r="F3751" t="s" s="10">
        <v>14</v>
      </c>
      <c r="G3751" t="s" s="11">
        <v>14</v>
      </c>
      <c r="H3751" t="s" s="10">
        <v>14</v>
      </c>
      <c r="I3751" t="s" s="11">
        <v>14</v>
      </c>
      <c r="J3751" t="s" s="11">
        <v>14</v>
      </c>
      <c r="K3751" t="s" s="12">
        <v>14</v>
      </c>
      <c r="L3751" t="s" s="12">
        <v>14</v>
      </c>
      <c r="M3751" t="s" s="10">
        <v>14</v>
      </c>
      <c r="N3751" t="s" s="11">
        <v>14</v>
      </c>
      <c r="O3751" t="s" s="8">
        <v>14</v>
      </c>
      <c r="P3751" t="s" s="8">
        <v>14</v>
      </c>
      <c r="Q3751" t="s" s="12">
        <v>14</v>
      </c>
      <c r="R3751" t="s" s="12">
        <v>14</v>
      </c>
    </row>
    <row r="3752" s="2" customFormat="1" ht="13.5" customHeight="1">
      <c r="B3752" s="13"/>
      <c r="C3752" t="s" s="9">
        <v>16</v>
      </c>
      <c r="D3752" t="s" s="8">
        <v>1291</v>
      </c>
      <c r="E3752" t="s" s="9">
        <v>1291</v>
      </c>
      <c r="F3752" t="s" s="10">
        <v>115</v>
      </c>
      <c r="G3752" t="s" s="11">
        <v>115</v>
      </c>
      <c r="H3752" t="s" s="10">
        <v>115</v>
      </c>
      <c r="I3752" t="s" s="11">
        <v>115</v>
      </c>
      <c r="J3752" t="s" s="11">
        <v>20</v>
      </c>
      <c r="K3752" t="s" s="16">
        <f>HYPERLINK("http://csr.bu.edu/ftp/asl/asllvd/demos/verify_start_end_handshape_annotations//test_auto_move//signs_mov/15779.mov","MOV")</f>
        <v>21</v>
      </c>
      <c r="L3752" t="s" s="16">
        <f>HYPERLINK("http://csr.bu.edu/ftp/asl/asllvd/demos/verify_start_end_handshape_annotations//test_auto_move//signs_mov_separ_signers/Liz_15779.mov","MOV")</f>
        <v>21</v>
      </c>
      <c r="M3752" t="s" s="10">
        <v>84</v>
      </c>
      <c r="N3752" s="17">
        <v>28</v>
      </c>
      <c r="O3752" s="18">
        <v>1125</v>
      </c>
      <c r="P3752" s="18">
        <v>1156</v>
      </c>
      <c r="Q3752" t="s" s="16">
        <f>HYPERLINK("http://secrets.rutgers.edu:8080/data/asl-ftp/asllvd/demos/verify_start_end_handshape_annotations//test_auto_move//signs_mov/15779.mov","MOV")</f>
        <v>21</v>
      </c>
      <c r="R3752" t="s" s="16">
        <f>HYPERLINK("http://secrets.rutgers.edu:8080/data/asl-ftp/asllvd/demos/verify_start_end_handshape_annotations//test_auto_move//signs_mov_separ_signers/Liz_15779.mov","MOV")</f>
        <v>21</v>
      </c>
    </row>
    <row r="3753" s="2" customFormat="1" ht="13.5" customHeight="1">
      <c r="B3753" s="13"/>
      <c r="C3753" t="s" s="9">
        <v>27</v>
      </c>
      <c r="D3753" t="s" s="8">
        <v>1291</v>
      </c>
      <c r="E3753" t="s" s="9">
        <v>1291</v>
      </c>
      <c r="F3753" t="s" s="10">
        <v>115</v>
      </c>
      <c r="G3753" t="s" s="11">
        <v>115</v>
      </c>
      <c r="H3753" t="s" s="10">
        <v>115</v>
      </c>
      <c r="I3753" t="s" s="11">
        <v>115</v>
      </c>
      <c r="J3753" t="s" s="11">
        <v>20</v>
      </c>
      <c r="K3753" s="15"/>
      <c r="L3753" t="s" s="16">
        <f>HYPERLINK("http://csr.bu.edu/ftp/asl/asllvd/demos/verify_start_end_handshape_annotations//test_auto_move//signs_mov_separ_signers/Naomi_15779.mov","MOV")</f>
        <v>21</v>
      </c>
      <c r="M3753" t="s" s="10">
        <v>86</v>
      </c>
      <c r="N3753" s="17">
        <v>28</v>
      </c>
      <c r="O3753" s="18">
        <v>471</v>
      </c>
      <c r="P3753" s="18">
        <v>495</v>
      </c>
      <c r="Q3753" s="15"/>
      <c r="R3753" t="s" s="16">
        <f>HYPERLINK("http://secrets.rutgers.edu:8080/data/asl-ftp/asllvd/demos/verify_start_end_handshape_annotations//test_auto_move//signs_mov_separ_signers/Naomi_15779.mov","MOV")</f>
        <v>21</v>
      </c>
    </row>
    <row r="3754" s="2" customFormat="1" ht="13.5" customHeight="1">
      <c r="B3754" t="s" s="8">
        <v>52</v>
      </c>
      <c r="C3754" t="s" s="9">
        <v>53</v>
      </c>
      <c r="D3754" t="s" s="8">
        <v>53</v>
      </c>
      <c r="E3754" t="s" s="9">
        <v>53</v>
      </c>
      <c r="F3754" t="s" s="10">
        <v>53</v>
      </c>
      <c r="G3754" t="s" s="11">
        <v>53</v>
      </c>
      <c r="H3754" t="s" s="10">
        <v>53</v>
      </c>
      <c r="I3754" t="s" s="11">
        <v>53</v>
      </c>
      <c r="J3754" t="s" s="11">
        <v>53</v>
      </c>
      <c r="K3754" t="s" s="12">
        <v>53</v>
      </c>
      <c r="L3754" t="s" s="12">
        <v>53</v>
      </c>
      <c r="M3754" t="s" s="10">
        <v>53</v>
      </c>
      <c r="N3754" t="s" s="11">
        <v>53</v>
      </c>
      <c r="O3754" t="s" s="8">
        <v>53</v>
      </c>
      <c r="P3754" t="s" s="8">
        <v>53</v>
      </c>
      <c r="Q3754" t="s" s="12">
        <v>53</v>
      </c>
      <c r="R3754" t="s" s="12">
        <v>53</v>
      </c>
    </row>
    <row r="3755" s="2" customFormat="1" ht="13.5" customHeight="1">
      <c r="B3755" s="13"/>
      <c r="C3755" t="s" s="9">
        <v>30</v>
      </c>
      <c r="D3755" t="s" s="8">
        <v>1291</v>
      </c>
      <c r="E3755" t="s" s="9">
        <v>1292</v>
      </c>
      <c r="F3755" t="s" s="10">
        <v>115</v>
      </c>
      <c r="G3755" t="s" s="11">
        <v>115</v>
      </c>
      <c r="H3755" t="s" s="10">
        <v>115</v>
      </c>
      <c r="I3755" t="s" s="11">
        <v>115</v>
      </c>
      <c r="J3755" t="s" s="11">
        <v>20</v>
      </c>
      <c r="K3755" t="s" s="16">
        <f>HYPERLINK("http://csr.bu.edu/ftp/asl/asllvd/demos/verify_start_end_handshape_annotations//test_auto_move//signs_mov/16002.mov","MOV")</f>
        <v>21</v>
      </c>
      <c r="L3755" t="s" s="16">
        <f>HYPERLINK("http://csr.bu.edu/ftp/asl/asllvd/demos/verify_start_end_handshape_annotations//test_auto_move//signs_mov_separ_signers/Brady_16002.mov","MOV")</f>
        <v>21</v>
      </c>
      <c r="M3755" t="s" s="10">
        <v>39</v>
      </c>
      <c r="N3755" s="17">
        <v>9</v>
      </c>
      <c r="O3755" s="18">
        <v>7202</v>
      </c>
      <c r="P3755" s="18">
        <v>7235</v>
      </c>
      <c r="Q3755" t="s" s="16">
        <f>HYPERLINK("http://secrets.rutgers.edu:8080/data/asl-ftp/asllvd/demos/verify_start_end_handshape_annotations//test_auto_move//signs_mov/16002.mov","MOV")</f>
        <v>21</v>
      </c>
      <c r="R3755" t="s" s="16">
        <f>HYPERLINK("http://secrets.rutgers.edu:8080/data/asl-ftp/asllvd/demos/verify_start_end_handshape_annotations//test_auto_move//signs_mov_separ_signers/Brady_16002.mov","MOV")</f>
        <v>21</v>
      </c>
    </row>
    <row r="3756" s="2" customFormat="1" ht="13.5" customHeight="1">
      <c r="B3756" t="s" s="8">
        <v>52</v>
      </c>
      <c r="C3756" t="s" s="9">
        <v>53</v>
      </c>
      <c r="D3756" t="s" s="8">
        <v>53</v>
      </c>
      <c r="E3756" t="s" s="9">
        <v>53</v>
      </c>
      <c r="F3756" t="s" s="10">
        <v>53</v>
      </c>
      <c r="G3756" t="s" s="11">
        <v>53</v>
      </c>
      <c r="H3756" t="s" s="10">
        <v>53</v>
      </c>
      <c r="I3756" t="s" s="11">
        <v>53</v>
      </c>
      <c r="J3756" t="s" s="11">
        <v>53</v>
      </c>
      <c r="K3756" t="s" s="12">
        <v>53</v>
      </c>
      <c r="L3756" t="s" s="12">
        <v>53</v>
      </c>
      <c r="M3756" t="s" s="10">
        <v>53</v>
      </c>
      <c r="N3756" t="s" s="11">
        <v>53</v>
      </c>
      <c r="O3756" t="s" s="8">
        <v>53</v>
      </c>
      <c r="P3756" t="s" s="8">
        <v>53</v>
      </c>
      <c r="Q3756" t="s" s="12">
        <v>53</v>
      </c>
      <c r="R3756" t="s" s="12">
        <v>53</v>
      </c>
    </row>
    <row r="3757" s="2" customFormat="1" ht="13.5" customHeight="1">
      <c r="B3757" s="13"/>
      <c r="C3757" t="s" s="9">
        <v>41</v>
      </c>
      <c r="D3757" t="s" s="8">
        <v>1291</v>
      </c>
      <c r="E3757" t="s" s="9">
        <v>1293</v>
      </c>
      <c r="F3757" t="s" s="10">
        <v>115</v>
      </c>
      <c r="G3757" s="14"/>
      <c r="H3757" t="s" s="10">
        <v>115</v>
      </c>
      <c r="I3757" s="14"/>
      <c r="J3757" t="s" s="11">
        <v>20</v>
      </c>
      <c r="K3757" t="s" s="16">
        <f>HYPERLINK("http://csr.bu.edu/ftp/asl/asllvd/demos/verify_start_end_handshape_annotations//test_auto_move//signs_mov/16003.mov","MOV")</f>
        <v>21</v>
      </c>
      <c r="L3757" t="s" s="16">
        <f>HYPERLINK("http://csr.bu.edu/ftp/asl/asllvd/demos/verify_start_end_handshape_annotations//test_auto_move//signs_mov_separ_signers/Lana_16003.mov","MOV")</f>
        <v>21</v>
      </c>
      <c r="M3757" t="s" s="10">
        <v>42</v>
      </c>
      <c r="N3757" s="17">
        <v>8</v>
      </c>
      <c r="O3757" s="18">
        <v>1340</v>
      </c>
      <c r="P3757" s="18">
        <v>1364</v>
      </c>
      <c r="Q3757" t="s" s="16">
        <f>HYPERLINK("http://secrets.rutgers.edu:8080/data/asl-ftp/asllvd/demos/verify_start_end_handshape_annotations//test_auto_move//signs_mov/16003.mov","MOV")</f>
        <v>21</v>
      </c>
      <c r="R3757" t="s" s="16">
        <f>HYPERLINK("http://secrets.rutgers.edu:8080/data/asl-ftp/asllvd/demos/verify_start_end_handshape_annotations//test_auto_move//signs_mov_separ_signers/Lana_16003.mov","MOV")</f>
        <v>21</v>
      </c>
    </row>
    <row r="3758" s="2" customFormat="1" ht="13.5" customHeight="1">
      <c r="B3758" t="s" s="8">
        <v>1294</v>
      </c>
      <c r="C3758" t="s" s="9">
        <v>14</v>
      </c>
      <c r="D3758" t="s" s="8">
        <v>14</v>
      </c>
      <c r="E3758" t="s" s="9">
        <v>14</v>
      </c>
      <c r="F3758" t="s" s="10">
        <v>14</v>
      </c>
      <c r="G3758" t="s" s="11">
        <v>14</v>
      </c>
      <c r="H3758" t="s" s="10">
        <v>14</v>
      </c>
      <c r="I3758" t="s" s="11">
        <v>14</v>
      </c>
      <c r="J3758" t="s" s="11">
        <v>14</v>
      </c>
      <c r="K3758" t="s" s="12">
        <v>14</v>
      </c>
      <c r="L3758" t="s" s="12">
        <v>14</v>
      </c>
      <c r="M3758" t="s" s="10">
        <v>14</v>
      </c>
      <c r="N3758" t="s" s="11">
        <v>14</v>
      </c>
      <c r="O3758" t="s" s="8">
        <v>14</v>
      </c>
      <c r="P3758" t="s" s="8">
        <v>14</v>
      </c>
      <c r="Q3758" t="s" s="12">
        <v>14</v>
      </c>
      <c r="R3758" t="s" s="12">
        <v>14</v>
      </c>
    </row>
    <row r="3759" s="2" customFormat="1" ht="13.5" customHeight="1">
      <c r="B3759" s="13"/>
      <c r="C3759" t="s" s="9">
        <v>23</v>
      </c>
      <c r="D3759" t="s" s="8">
        <v>1294</v>
      </c>
      <c r="E3759" t="s" s="9">
        <v>1295</v>
      </c>
      <c r="F3759" t="s" s="10">
        <v>117</v>
      </c>
      <c r="G3759" t="s" s="11">
        <v>117</v>
      </c>
      <c r="H3759" t="s" s="10">
        <v>117</v>
      </c>
      <c r="I3759" t="s" s="11">
        <v>117</v>
      </c>
      <c r="J3759" t="s" s="11">
        <v>20</v>
      </c>
      <c r="K3759" t="s" s="16">
        <f>HYPERLINK("http://csr.bu.edu/ftp/asl/asllvd/demos/verify_start_end_handshape_annotations//test_auto_move//signs_mov/16342.mov","MOV")</f>
        <v>21</v>
      </c>
      <c r="L3759" t="s" s="16">
        <f>HYPERLINK("http://csr.bu.edu/ftp/asl/asllvd/demos/verify_start_end_handshape_annotations//test_auto_move//signs_mov_separ_signers/Tyler_16342.mov","MOV")</f>
        <v>21</v>
      </c>
      <c r="M3759" t="s" s="10">
        <v>92</v>
      </c>
      <c r="N3759" s="17">
        <v>10</v>
      </c>
      <c r="O3759" s="18">
        <v>2330</v>
      </c>
      <c r="P3759" s="18">
        <v>2386</v>
      </c>
      <c r="Q3759" t="s" s="16">
        <f>HYPERLINK("http://secrets.rutgers.edu:8080/data/asl-ftp/asllvd/demos/verify_start_end_handshape_annotations//test_auto_move//signs_mov/16342.mov","MOV")</f>
        <v>21</v>
      </c>
      <c r="R3759" t="s" s="16">
        <f>HYPERLINK("http://secrets.rutgers.edu:8080/data/asl-ftp/asllvd/demos/verify_start_end_handshape_annotations//test_auto_move//signs_mov_separ_signers/Tyler_16342.mov","MOV")</f>
        <v>21</v>
      </c>
    </row>
    <row r="3760" s="2" customFormat="1" ht="13.5" customHeight="1">
      <c r="B3760" t="s" s="8">
        <v>52</v>
      </c>
      <c r="C3760" t="s" s="9">
        <v>53</v>
      </c>
      <c r="D3760" t="s" s="8">
        <v>53</v>
      </c>
      <c r="E3760" t="s" s="9">
        <v>53</v>
      </c>
      <c r="F3760" t="s" s="10">
        <v>53</v>
      </c>
      <c r="G3760" t="s" s="11">
        <v>53</v>
      </c>
      <c r="H3760" t="s" s="10">
        <v>53</v>
      </c>
      <c r="I3760" t="s" s="11">
        <v>53</v>
      </c>
      <c r="J3760" t="s" s="11">
        <v>53</v>
      </c>
      <c r="K3760" t="s" s="12">
        <v>53</v>
      </c>
      <c r="L3760" t="s" s="12">
        <v>53</v>
      </c>
      <c r="M3760" t="s" s="10">
        <v>53</v>
      </c>
      <c r="N3760" t="s" s="11">
        <v>53</v>
      </c>
      <c r="O3760" t="s" s="8">
        <v>53</v>
      </c>
      <c r="P3760" t="s" s="8">
        <v>53</v>
      </c>
      <c r="Q3760" t="s" s="12">
        <v>53</v>
      </c>
      <c r="R3760" t="s" s="12">
        <v>53</v>
      </c>
    </row>
    <row r="3761" s="2" customFormat="1" ht="13.5" customHeight="1">
      <c r="B3761" s="13"/>
      <c r="C3761" t="s" s="9">
        <v>16</v>
      </c>
      <c r="D3761" t="s" s="8">
        <v>1294</v>
      </c>
      <c r="E3761" t="s" s="9">
        <v>1296</v>
      </c>
      <c r="F3761" t="s" s="10">
        <v>115</v>
      </c>
      <c r="G3761" t="s" s="11">
        <v>115</v>
      </c>
      <c r="H3761" t="s" s="10">
        <v>115</v>
      </c>
      <c r="I3761" t="s" s="11">
        <v>115</v>
      </c>
      <c r="J3761" t="s" s="11">
        <v>20</v>
      </c>
      <c r="K3761" s="15"/>
      <c r="L3761" t="s" s="16">
        <f>HYPERLINK("http://csr.bu.edu/ftp/asl/asllvd/demos/verify_start_end_handshape_annotations//test_auto_move//signs_mov_separ_signers/Liz_16520.mov","MOV")</f>
        <v>21</v>
      </c>
      <c r="M3761" t="s" s="10">
        <v>84</v>
      </c>
      <c r="N3761" s="17">
        <v>30</v>
      </c>
      <c r="O3761" s="18">
        <v>1906</v>
      </c>
      <c r="P3761" s="18">
        <v>1960</v>
      </c>
      <c r="Q3761" s="15"/>
      <c r="R3761" t="s" s="16">
        <f>HYPERLINK("http://secrets.rutgers.edu:8080/data/asl-ftp/asllvd/demos/verify_start_end_handshape_annotations//test_auto_move//signs_mov_separ_signers/Liz_16520.mov","MOV")</f>
        <v>21</v>
      </c>
    </row>
    <row r="3762" s="2" customFormat="1" ht="13.5" customHeight="1">
      <c r="B3762" s="13"/>
      <c r="C3762" t="s" s="9">
        <v>27</v>
      </c>
      <c r="D3762" t="s" s="8">
        <v>1294</v>
      </c>
      <c r="E3762" t="s" s="9">
        <v>1296</v>
      </c>
      <c r="F3762" t="s" s="10">
        <v>117</v>
      </c>
      <c r="G3762" t="s" s="11">
        <v>117</v>
      </c>
      <c r="H3762" t="s" s="10">
        <v>117</v>
      </c>
      <c r="I3762" t="s" s="11">
        <v>117</v>
      </c>
      <c r="J3762" t="s" s="11">
        <v>20</v>
      </c>
      <c r="K3762" t="s" s="16">
        <f>HYPERLINK("http://csr.bu.edu/ftp/asl/asllvd/demos/verify_start_end_handshape_annotations//test_auto_move//signs_mov/16520.mov","MOV")</f>
        <v>21</v>
      </c>
      <c r="L3762" t="s" s="16">
        <f>HYPERLINK("http://csr.bu.edu/ftp/asl/asllvd/demos/verify_start_end_handshape_annotations//test_auto_move//signs_mov_separ_signers/Naomi_16520.mov","MOV")</f>
        <v>21</v>
      </c>
      <c r="M3762" t="s" s="10">
        <v>86</v>
      </c>
      <c r="N3762" s="17">
        <v>30</v>
      </c>
      <c r="O3762" s="18">
        <v>2235</v>
      </c>
      <c r="P3762" s="18">
        <v>2286</v>
      </c>
      <c r="Q3762" t="s" s="16">
        <f>HYPERLINK("http://secrets.rutgers.edu:8080/data/asl-ftp/asllvd/demos/verify_start_end_handshape_annotations//test_auto_move//signs_mov/16520.mov","MOV")</f>
        <v>21</v>
      </c>
      <c r="R3762" t="s" s="16">
        <f>HYPERLINK("http://secrets.rutgers.edu:8080/data/asl-ftp/asllvd/demos/verify_start_end_handshape_annotations//test_auto_move//signs_mov_separ_signers/Naomi_16520.mov","MOV")</f>
        <v>21</v>
      </c>
    </row>
    <row r="3763" s="2" customFormat="1" ht="13.5" customHeight="1">
      <c r="B3763" s="13"/>
      <c r="C3763" t="s" s="9">
        <v>30</v>
      </c>
      <c r="D3763" t="s" s="8">
        <v>1294</v>
      </c>
      <c r="E3763" t="s" s="9">
        <v>1296</v>
      </c>
      <c r="F3763" t="s" s="10">
        <v>115</v>
      </c>
      <c r="G3763" t="s" s="11">
        <v>115</v>
      </c>
      <c r="H3763" t="s" s="10">
        <v>115</v>
      </c>
      <c r="I3763" t="s" s="11">
        <v>115</v>
      </c>
      <c r="J3763" t="s" s="11">
        <v>20</v>
      </c>
      <c r="K3763" s="15"/>
      <c r="L3763" t="s" s="16">
        <f>HYPERLINK("http://csr.bu.edu/ftp/asl/asllvd/demos/verify_start_end_handshape_annotations//test_auto_move//signs_mov_separ_signers/Brady_16520.mov","MOV")</f>
        <v>21</v>
      </c>
      <c r="M3763" t="s" s="10">
        <v>39</v>
      </c>
      <c r="N3763" s="17">
        <v>11</v>
      </c>
      <c r="O3763" s="18">
        <v>7452</v>
      </c>
      <c r="P3763" s="18">
        <v>7489</v>
      </c>
      <c r="Q3763" s="15"/>
      <c r="R3763" t="s" s="16">
        <f>HYPERLINK("http://secrets.rutgers.edu:8080/data/asl-ftp/asllvd/demos/verify_start_end_handshape_annotations//test_auto_move//signs_mov_separ_signers/Brady_16520.mov","MOV")</f>
        <v>21</v>
      </c>
    </row>
    <row r="3764" s="2" customFormat="1" ht="13.5" customHeight="1">
      <c r="B3764" t="s" s="8">
        <v>1297</v>
      </c>
      <c r="C3764" t="s" s="9">
        <v>14</v>
      </c>
      <c r="D3764" t="s" s="8">
        <v>14</v>
      </c>
      <c r="E3764" t="s" s="9">
        <v>14</v>
      </c>
      <c r="F3764" t="s" s="10">
        <v>14</v>
      </c>
      <c r="G3764" t="s" s="11">
        <v>14</v>
      </c>
      <c r="H3764" t="s" s="10">
        <v>14</v>
      </c>
      <c r="I3764" t="s" s="11">
        <v>14</v>
      </c>
      <c r="J3764" t="s" s="11">
        <v>14</v>
      </c>
      <c r="K3764" t="s" s="12">
        <v>14</v>
      </c>
      <c r="L3764" t="s" s="12">
        <v>14</v>
      </c>
      <c r="M3764" t="s" s="10">
        <v>14</v>
      </c>
      <c r="N3764" t="s" s="11">
        <v>14</v>
      </c>
      <c r="O3764" t="s" s="8">
        <v>14</v>
      </c>
      <c r="P3764" t="s" s="8">
        <v>14</v>
      </c>
      <c r="Q3764" t="s" s="12">
        <v>14</v>
      </c>
      <c r="R3764" t="s" s="12">
        <v>14</v>
      </c>
    </row>
    <row r="3765" s="2" customFormat="1" ht="13.5" customHeight="1">
      <c r="B3765" s="13"/>
      <c r="C3765" t="s" s="9">
        <v>16</v>
      </c>
      <c r="D3765" t="s" s="8">
        <v>1297</v>
      </c>
      <c r="E3765" t="s" s="9">
        <v>1297</v>
      </c>
      <c r="F3765" t="s" s="10">
        <v>115</v>
      </c>
      <c r="G3765" t="s" s="11">
        <v>68</v>
      </c>
      <c r="H3765" t="s" s="10">
        <v>115</v>
      </c>
      <c r="I3765" t="s" s="11">
        <v>68</v>
      </c>
      <c r="J3765" t="s" s="11">
        <v>136</v>
      </c>
      <c r="K3765" s="15"/>
      <c r="L3765" t="s" s="16">
        <f>HYPERLINK("http://csr.bu.edu/ftp/asl/asllvd/demos/verify_start_end_handshape_annotations//test_auto_move//signs_mov_separ_signers/Liz_806.mov","MOV")</f>
        <v>21</v>
      </c>
      <c r="M3765" t="s" s="10">
        <v>84</v>
      </c>
      <c r="N3765" s="17">
        <v>31</v>
      </c>
      <c r="O3765" s="18">
        <v>1745</v>
      </c>
      <c r="P3765" s="18">
        <v>1776</v>
      </c>
      <c r="Q3765" s="15"/>
      <c r="R3765" t="s" s="16">
        <f>HYPERLINK("http://secrets.rutgers.edu:8080/data/asl-ftp/asllvd/demos/verify_start_end_handshape_annotations//test_auto_move//signs_mov_separ_signers/Liz_806.mov","MOV")</f>
        <v>21</v>
      </c>
    </row>
    <row r="3766" s="2" customFormat="1" ht="13.5" customHeight="1">
      <c r="B3766" s="13"/>
      <c r="C3766" t="s" s="9">
        <v>23</v>
      </c>
      <c r="D3766" t="s" s="8">
        <v>1297</v>
      </c>
      <c r="E3766" t="s" s="9">
        <v>1297</v>
      </c>
      <c r="F3766" t="s" s="10">
        <v>115</v>
      </c>
      <c r="G3766" t="s" s="11">
        <v>68</v>
      </c>
      <c r="H3766" t="s" s="10">
        <v>115</v>
      </c>
      <c r="I3766" t="s" s="11">
        <v>68</v>
      </c>
      <c r="J3766" t="s" s="11">
        <v>136</v>
      </c>
      <c r="K3766" t="s" s="16">
        <f>HYPERLINK("http://csr.bu.edu/ftp/asl/asllvd/demos/verify_start_end_handshape_annotations//test_auto_move//signs_mov/806.mov","MOV")</f>
        <v>21</v>
      </c>
      <c r="L3766" t="s" s="16">
        <f>HYPERLINK("http://csr.bu.edu/ftp/asl/asllvd/demos/verify_start_end_handshape_annotations//test_auto_move//signs_mov_separ_signers/Tyler_806.mov","MOV")</f>
        <v>21</v>
      </c>
      <c r="M3766" t="s" s="10">
        <v>92</v>
      </c>
      <c r="N3766" s="17">
        <v>11</v>
      </c>
      <c r="O3766" s="18">
        <v>2112</v>
      </c>
      <c r="P3766" s="18">
        <v>2160</v>
      </c>
      <c r="Q3766" t="s" s="16">
        <f>HYPERLINK("http://secrets.rutgers.edu:8080/data/asl-ftp/asllvd/demos/verify_start_end_handshape_annotations//test_auto_move//signs_mov/806.mov","MOV")</f>
        <v>21</v>
      </c>
      <c r="R3766" t="s" s="16">
        <f>HYPERLINK("http://secrets.rutgers.edu:8080/data/asl-ftp/asllvd/demos/verify_start_end_handshape_annotations//test_auto_move//signs_mov_separ_signers/Tyler_806.mov","MOV")</f>
        <v>21</v>
      </c>
    </row>
    <row r="3767" s="2" customFormat="1" ht="13.5" customHeight="1">
      <c r="B3767" s="13"/>
      <c r="C3767" t="s" s="9">
        <v>27</v>
      </c>
      <c r="D3767" t="s" s="8">
        <v>1297</v>
      </c>
      <c r="E3767" t="s" s="9">
        <v>1297</v>
      </c>
      <c r="F3767" t="s" s="10">
        <v>115</v>
      </c>
      <c r="G3767" t="s" s="11">
        <v>68</v>
      </c>
      <c r="H3767" t="s" s="10">
        <v>115</v>
      </c>
      <c r="I3767" t="s" s="11">
        <v>68</v>
      </c>
      <c r="J3767" t="s" s="11">
        <v>136</v>
      </c>
      <c r="K3767" s="15"/>
      <c r="L3767" t="s" s="16">
        <f>HYPERLINK("http://csr.bu.edu/ftp/asl/asllvd/demos/verify_start_end_handshape_annotations//test_auto_move//signs_mov_separ_signers/Naomi_806.mov","MOV")</f>
        <v>21</v>
      </c>
      <c r="M3767" t="s" s="10">
        <v>86</v>
      </c>
      <c r="N3767" s="17">
        <v>31</v>
      </c>
      <c r="O3767" s="18">
        <v>2180</v>
      </c>
      <c r="P3767" s="18">
        <v>2210</v>
      </c>
      <c r="Q3767" s="15"/>
      <c r="R3767" t="s" s="16">
        <f>HYPERLINK("http://secrets.rutgers.edu:8080/data/asl-ftp/asllvd/demos/verify_start_end_handshape_annotations//test_auto_move//signs_mov_separ_signers/Naomi_806.mov","MOV")</f>
        <v>21</v>
      </c>
    </row>
    <row r="3768" s="2" customFormat="1" ht="13.5" customHeight="1">
      <c r="B3768" s="13"/>
      <c r="C3768" t="s" s="9">
        <v>30</v>
      </c>
      <c r="D3768" t="s" s="8">
        <v>1297</v>
      </c>
      <c r="E3768" t="s" s="9">
        <v>1297</v>
      </c>
      <c r="F3768" t="s" s="10">
        <v>115</v>
      </c>
      <c r="G3768" t="s" s="11">
        <v>68</v>
      </c>
      <c r="H3768" t="s" s="10">
        <v>115</v>
      </c>
      <c r="I3768" t="s" s="11">
        <v>68</v>
      </c>
      <c r="J3768" t="s" s="11">
        <v>136</v>
      </c>
      <c r="K3768" s="15"/>
      <c r="L3768" t="s" s="16">
        <f>HYPERLINK("http://csr.bu.edu/ftp/asl/asllvd/demos/verify_start_end_handshape_annotations//test_auto_move//signs_mov_separ_signers/Brady_806.mov","MOV")</f>
        <v>21</v>
      </c>
      <c r="M3768" t="s" s="10">
        <v>39</v>
      </c>
      <c r="N3768" s="17">
        <v>12</v>
      </c>
      <c r="O3768" s="18">
        <v>842</v>
      </c>
      <c r="P3768" s="18">
        <v>863</v>
      </c>
      <c r="Q3768" s="15"/>
      <c r="R3768" t="s" s="16">
        <f>HYPERLINK("http://secrets.rutgers.edu:8080/data/asl-ftp/asllvd/demos/verify_start_end_handshape_annotations//test_auto_move//signs_mov_separ_signers/Brady_806.mov","MOV")</f>
        <v>21</v>
      </c>
    </row>
    <row r="3769" s="2" customFormat="1" ht="13.5" customHeight="1">
      <c r="B3769" t="s" s="8">
        <v>1298</v>
      </c>
      <c r="C3769" t="s" s="9">
        <v>14</v>
      </c>
      <c r="D3769" t="s" s="8">
        <v>14</v>
      </c>
      <c r="E3769" t="s" s="9">
        <v>14</v>
      </c>
      <c r="F3769" t="s" s="10">
        <v>14</v>
      </c>
      <c r="G3769" t="s" s="11">
        <v>14</v>
      </c>
      <c r="H3769" t="s" s="10">
        <v>14</v>
      </c>
      <c r="I3769" t="s" s="11">
        <v>14</v>
      </c>
      <c r="J3769" t="s" s="11">
        <v>14</v>
      </c>
      <c r="K3769" t="s" s="12">
        <v>14</v>
      </c>
      <c r="L3769" t="s" s="12">
        <v>14</v>
      </c>
      <c r="M3769" t="s" s="10">
        <v>14</v>
      </c>
      <c r="N3769" t="s" s="11">
        <v>14</v>
      </c>
      <c r="O3769" t="s" s="8">
        <v>14</v>
      </c>
      <c r="P3769" t="s" s="8">
        <v>14</v>
      </c>
      <c r="Q3769" t="s" s="12">
        <v>14</v>
      </c>
      <c r="R3769" t="s" s="12">
        <v>14</v>
      </c>
    </row>
    <row r="3770" s="2" customFormat="1" ht="13.5" customHeight="1">
      <c r="B3770" s="13"/>
      <c r="C3770" t="s" s="9">
        <v>16</v>
      </c>
      <c r="D3770" t="s" s="8">
        <v>1298</v>
      </c>
      <c r="E3770" t="s" s="9">
        <v>1298</v>
      </c>
      <c r="F3770" s="19">
        <v>10</v>
      </c>
      <c r="G3770" t="s" s="11">
        <v>63</v>
      </c>
      <c r="H3770" s="19">
        <v>10</v>
      </c>
      <c r="I3770" t="s" s="11">
        <v>63</v>
      </c>
      <c r="J3770" t="s" s="11">
        <v>136</v>
      </c>
      <c r="K3770" s="15"/>
      <c r="L3770" t="s" s="16">
        <f>HYPERLINK("http://csr.bu.edu/ftp/asl/asllvd/demos/verify_start_end_handshape_annotations//test_auto_move//signs_mov_separ_signers/Liz_15433.mov","MOV")</f>
        <v>21</v>
      </c>
      <c r="M3770" t="s" s="10">
        <v>22</v>
      </c>
      <c r="N3770" s="17">
        <v>26</v>
      </c>
      <c r="O3770" s="18">
        <v>1140</v>
      </c>
      <c r="P3770" s="18">
        <v>1170</v>
      </c>
      <c r="Q3770" s="15"/>
      <c r="R3770" t="s" s="16">
        <f>HYPERLINK("http://secrets.rutgers.edu:8080/data/asl-ftp/asllvd/demos/verify_start_end_handshape_annotations//test_auto_move//signs_mov_separ_signers/Liz_15433.mov","MOV")</f>
        <v>21</v>
      </c>
    </row>
    <row r="3771" s="2" customFormat="1" ht="13.5" customHeight="1">
      <c r="B3771" s="13"/>
      <c r="C3771" t="s" s="9">
        <v>23</v>
      </c>
      <c r="D3771" t="s" s="8">
        <v>1298</v>
      </c>
      <c r="E3771" t="s" s="9">
        <v>1298</v>
      </c>
      <c r="F3771" t="s" s="10">
        <v>63</v>
      </c>
      <c r="G3771" t="s" s="11">
        <v>63</v>
      </c>
      <c r="H3771" t="s" s="10">
        <v>63</v>
      </c>
      <c r="I3771" t="s" s="11">
        <v>63</v>
      </c>
      <c r="J3771" t="s" s="11">
        <v>136</v>
      </c>
      <c r="K3771" t="s" s="16">
        <f>HYPERLINK("http://csr.bu.edu/ftp/asl/asllvd/demos/verify_start_end_handshape_annotations//test_auto_move//signs_mov/15433.mov","MOV")</f>
        <v>21</v>
      </c>
      <c r="L3771" t="s" s="16">
        <f>HYPERLINK("http://csr.bu.edu/ftp/asl/asllvd/demos/verify_start_end_handshape_annotations//test_auto_move//signs_mov_separ_signers/Tyler_15433.mov","MOV")</f>
        <v>21</v>
      </c>
      <c r="M3771" t="s" s="10">
        <v>26</v>
      </c>
      <c r="N3771" s="17">
        <v>17</v>
      </c>
      <c r="O3771" s="18">
        <v>1827</v>
      </c>
      <c r="P3771" s="18">
        <v>1851</v>
      </c>
      <c r="Q3771" t="s" s="16">
        <f>HYPERLINK("http://secrets.rutgers.edu:8080/data/asl-ftp/asllvd/demos/verify_start_end_handshape_annotations//test_auto_move//signs_mov/15433.mov","MOV")</f>
        <v>21</v>
      </c>
      <c r="R3771" t="s" s="16">
        <f>HYPERLINK("http://secrets.rutgers.edu:8080/data/asl-ftp/asllvd/demos/verify_start_end_handshape_annotations//test_auto_move//signs_mov_separ_signers/Tyler_15433.mov","MOV")</f>
        <v>21</v>
      </c>
    </row>
    <row r="3772" s="2" customFormat="1" ht="13.5" customHeight="1">
      <c r="B3772" s="13"/>
      <c r="C3772" t="s" s="9">
        <v>27</v>
      </c>
      <c r="D3772" t="s" s="8">
        <v>1298</v>
      </c>
      <c r="E3772" t="s" s="9">
        <v>1298</v>
      </c>
      <c r="F3772" s="19">
        <v>10</v>
      </c>
      <c r="G3772" t="s" s="11">
        <v>63</v>
      </c>
      <c r="H3772" s="19">
        <v>10</v>
      </c>
      <c r="I3772" t="s" s="11">
        <v>63</v>
      </c>
      <c r="J3772" t="s" s="11">
        <v>136</v>
      </c>
      <c r="K3772" s="15"/>
      <c r="L3772" t="s" s="16">
        <f>HYPERLINK("http://csr.bu.edu/ftp/asl/asllvd/demos/verify_start_end_handshape_annotations//test_auto_move//signs_mov_separ_signers/Naomi_15433.mov","MOV")</f>
        <v>21</v>
      </c>
      <c r="M3772" t="s" s="10">
        <v>29</v>
      </c>
      <c r="N3772" s="17">
        <v>17</v>
      </c>
      <c r="O3772" s="18">
        <v>1710</v>
      </c>
      <c r="P3772" s="18">
        <v>1737</v>
      </c>
      <c r="Q3772" s="15"/>
      <c r="R3772" t="s" s="16">
        <f>HYPERLINK("http://secrets.rutgers.edu:8080/data/asl-ftp/asllvd/demos/verify_start_end_handshape_annotations//test_auto_move//signs_mov_separ_signers/Naomi_15433.mov","MOV")</f>
        <v>21</v>
      </c>
    </row>
    <row r="3773" s="2" customFormat="1" ht="13.5" customHeight="1">
      <c r="B3773" s="13"/>
      <c r="C3773" t="s" s="9">
        <v>30</v>
      </c>
      <c r="D3773" t="s" s="8">
        <v>1298</v>
      </c>
      <c r="E3773" t="s" s="9">
        <v>1298</v>
      </c>
      <c r="F3773" t="s" s="10">
        <v>63</v>
      </c>
      <c r="G3773" t="s" s="11">
        <v>63</v>
      </c>
      <c r="H3773" t="s" s="10">
        <v>63</v>
      </c>
      <c r="I3773" t="s" s="11">
        <v>63</v>
      </c>
      <c r="J3773" t="s" s="11">
        <v>136</v>
      </c>
      <c r="K3773" s="15"/>
      <c r="L3773" t="s" s="16">
        <f>HYPERLINK("http://csr.bu.edu/ftp/asl/asllvd/demos/verify_start_end_handshape_annotations//test_auto_move//signs_mov_separ_signers/Brady_15433.mov","MOV")</f>
        <v>21</v>
      </c>
      <c r="M3773" t="s" s="10">
        <v>31</v>
      </c>
      <c r="N3773" s="17">
        <v>14</v>
      </c>
      <c r="O3773" s="18">
        <v>2479</v>
      </c>
      <c r="P3773" s="18">
        <v>2504</v>
      </c>
      <c r="Q3773" s="15"/>
      <c r="R3773" t="s" s="16">
        <f>HYPERLINK("http://secrets.rutgers.edu:8080/data/asl-ftp/asllvd/demos/verify_start_end_handshape_annotations//test_auto_move//signs_mov_separ_signers/Brady_15433.mov","MOV")</f>
        <v>21</v>
      </c>
    </row>
    <row r="3774" s="2" customFormat="1" ht="13.5" customHeight="1">
      <c r="B3774" t="s" s="8">
        <v>1299</v>
      </c>
      <c r="C3774" t="s" s="9">
        <v>14</v>
      </c>
      <c r="D3774" t="s" s="8">
        <v>14</v>
      </c>
      <c r="E3774" t="s" s="9">
        <v>14</v>
      </c>
      <c r="F3774" t="s" s="10">
        <v>14</v>
      </c>
      <c r="G3774" t="s" s="11">
        <v>14</v>
      </c>
      <c r="H3774" t="s" s="10">
        <v>14</v>
      </c>
      <c r="I3774" t="s" s="11">
        <v>14</v>
      </c>
      <c r="J3774" t="s" s="11">
        <v>14</v>
      </c>
      <c r="K3774" t="s" s="12">
        <v>14</v>
      </c>
      <c r="L3774" t="s" s="12">
        <v>14</v>
      </c>
      <c r="M3774" t="s" s="10">
        <v>14</v>
      </c>
      <c r="N3774" t="s" s="11">
        <v>14</v>
      </c>
      <c r="O3774" t="s" s="8">
        <v>14</v>
      </c>
      <c r="P3774" t="s" s="8">
        <v>14</v>
      </c>
      <c r="Q3774" t="s" s="12">
        <v>14</v>
      </c>
      <c r="R3774" t="s" s="12">
        <v>14</v>
      </c>
    </row>
    <row r="3775" s="2" customFormat="1" ht="13.5" customHeight="1">
      <c r="B3775" s="13"/>
      <c r="C3775" t="s" s="9">
        <v>16</v>
      </c>
      <c r="D3775" t="s" s="8">
        <v>1299</v>
      </c>
      <c r="E3775" t="s" s="9">
        <v>1299</v>
      </c>
      <c r="F3775" t="s" s="10">
        <v>152</v>
      </c>
      <c r="G3775" t="s" s="11">
        <v>68</v>
      </c>
      <c r="H3775" t="s" s="10">
        <v>152</v>
      </c>
      <c r="I3775" t="s" s="11">
        <v>68</v>
      </c>
      <c r="J3775" t="s" s="11">
        <v>136</v>
      </c>
      <c r="K3775" t="s" s="16">
        <f>HYPERLINK("http://csr.bu.edu/ftp/asl/asllvd/demos/verify_start_end_handshape_annotations//test_auto_move//signs_mov/15643.mov","MOV")</f>
        <v>21</v>
      </c>
      <c r="L3775" t="s" s="16">
        <f>HYPERLINK("http://csr.bu.edu/ftp/asl/asllvd/demos/verify_start_end_handshape_annotations//test_auto_move//signs_mov_separ_signers/Liz_15643.mov","MOV")</f>
        <v>21</v>
      </c>
      <c r="M3775" t="s" s="10">
        <v>88</v>
      </c>
      <c r="N3775" s="17">
        <v>46</v>
      </c>
      <c r="O3775" s="18">
        <v>286</v>
      </c>
      <c r="P3775" s="18">
        <v>330</v>
      </c>
      <c r="Q3775" t="s" s="16">
        <f>HYPERLINK("http://secrets.rutgers.edu:8080/data/asl-ftp/asllvd/demos/verify_start_end_handshape_annotations//test_auto_move//signs_mov/15643.mov","MOV")</f>
        <v>21</v>
      </c>
      <c r="R3775" t="s" s="16">
        <f>HYPERLINK("http://secrets.rutgers.edu:8080/data/asl-ftp/asllvd/demos/verify_start_end_handshape_annotations//test_auto_move//signs_mov_separ_signers/Liz_15643.mov","MOV")</f>
        <v>21</v>
      </c>
    </row>
    <row r="3776" s="2" customFormat="1" ht="13.5" customHeight="1">
      <c r="B3776" s="13"/>
      <c r="C3776" t="s" s="9">
        <v>30</v>
      </c>
      <c r="D3776" t="s" s="8">
        <v>1299</v>
      </c>
      <c r="E3776" t="s" s="9">
        <v>1299</v>
      </c>
      <c r="F3776" t="s" s="10">
        <v>55</v>
      </c>
      <c r="G3776" t="s" s="11">
        <v>68</v>
      </c>
      <c r="H3776" t="s" s="10">
        <v>55</v>
      </c>
      <c r="I3776" t="s" s="11">
        <v>68</v>
      </c>
      <c r="J3776" t="s" s="11">
        <v>136</v>
      </c>
      <c r="K3776" s="15"/>
      <c r="L3776" t="s" s="16">
        <f>HYPERLINK("http://csr.bu.edu/ftp/asl/asllvd/demos/verify_start_end_handshape_annotations//test_auto_move//signs_mov_separ_signers/Brady_15643.mov","MOV")</f>
        <v>21</v>
      </c>
      <c r="M3776" t="s" s="10">
        <v>40</v>
      </c>
      <c r="N3776" s="17">
        <v>40</v>
      </c>
      <c r="O3776" s="18">
        <v>805</v>
      </c>
      <c r="P3776" s="18">
        <v>822</v>
      </c>
      <c r="Q3776" s="15"/>
      <c r="R3776" t="s" s="16">
        <f>HYPERLINK("http://secrets.rutgers.edu:8080/data/asl-ftp/asllvd/demos/verify_start_end_handshape_annotations//test_auto_move//signs_mov_separ_signers/Brady_15643.mov","MOV")</f>
        <v>21</v>
      </c>
    </row>
    <row r="3777" s="2" customFormat="1" ht="13.5" customHeight="1">
      <c r="B3777" t="s" s="8">
        <v>1300</v>
      </c>
      <c r="C3777" t="s" s="9">
        <v>14</v>
      </c>
      <c r="D3777" t="s" s="8">
        <v>14</v>
      </c>
      <c r="E3777" t="s" s="9">
        <v>14</v>
      </c>
      <c r="F3777" t="s" s="10">
        <v>14</v>
      </c>
      <c r="G3777" t="s" s="11">
        <v>14</v>
      </c>
      <c r="H3777" t="s" s="10">
        <v>14</v>
      </c>
      <c r="I3777" t="s" s="11">
        <v>14</v>
      </c>
      <c r="J3777" t="s" s="11">
        <v>14</v>
      </c>
      <c r="K3777" t="s" s="12">
        <v>14</v>
      </c>
      <c r="L3777" t="s" s="12">
        <v>14</v>
      </c>
      <c r="M3777" t="s" s="10">
        <v>14</v>
      </c>
      <c r="N3777" t="s" s="11">
        <v>14</v>
      </c>
      <c r="O3777" t="s" s="8">
        <v>14</v>
      </c>
      <c r="P3777" t="s" s="8">
        <v>14</v>
      </c>
      <c r="Q3777" t="s" s="12">
        <v>14</v>
      </c>
      <c r="R3777" t="s" s="12">
        <v>14</v>
      </c>
    </row>
    <row r="3778" s="2" customFormat="1" ht="13.5" customHeight="1">
      <c r="B3778" s="13"/>
      <c r="C3778" t="s" s="9">
        <v>16</v>
      </c>
      <c r="D3778" t="s" s="8">
        <v>1300</v>
      </c>
      <c r="E3778" t="s" s="9">
        <v>1300</v>
      </c>
      <c r="F3778" t="s" s="10">
        <v>72</v>
      </c>
      <c r="G3778" t="s" s="11">
        <v>68</v>
      </c>
      <c r="H3778" t="s" s="10">
        <v>72</v>
      </c>
      <c r="I3778" t="s" s="11">
        <v>68</v>
      </c>
      <c r="J3778" t="s" s="11">
        <v>136</v>
      </c>
      <c r="K3778" t="s" s="16">
        <f>HYPERLINK("http://csr.bu.edu/ftp/asl/asllvd/demos/verify_start_end_handshape_annotations//test_auto_move//signs_mov/15682.mov","MOV")</f>
        <v>21</v>
      </c>
      <c r="L3778" t="s" s="16">
        <f>HYPERLINK("http://csr.bu.edu/ftp/asl/asllvd/demos/verify_start_end_handshape_annotations//test_auto_move//signs_mov_separ_signers/Liz_15682.mov","MOV")</f>
        <v>21</v>
      </c>
      <c r="M3778" t="s" s="10">
        <v>88</v>
      </c>
      <c r="N3778" s="17">
        <v>45</v>
      </c>
      <c r="O3778" s="18">
        <v>3895</v>
      </c>
      <c r="P3778" s="18">
        <v>3941</v>
      </c>
      <c r="Q3778" t="s" s="16">
        <f>HYPERLINK("http://secrets.rutgers.edu:8080/data/asl-ftp/asllvd/demos/verify_start_end_handshape_annotations//test_auto_move//signs_mov/15682.mov","MOV")</f>
        <v>21</v>
      </c>
      <c r="R3778" t="s" s="16">
        <f>HYPERLINK("http://secrets.rutgers.edu:8080/data/asl-ftp/asllvd/demos/verify_start_end_handshape_annotations//test_auto_move//signs_mov_separ_signers/Liz_15682.mov","MOV")</f>
        <v>21</v>
      </c>
    </row>
    <row r="3779" s="2" customFormat="1" ht="13.5" customHeight="1">
      <c r="B3779" s="13"/>
      <c r="C3779" t="s" s="9">
        <v>30</v>
      </c>
      <c r="D3779" t="s" s="8">
        <v>1300</v>
      </c>
      <c r="E3779" t="s" s="9">
        <v>1300</v>
      </c>
      <c r="F3779" t="s" s="10">
        <v>150</v>
      </c>
      <c r="G3779" t="s" s="11">
        <v>68</v>
      </c>
      <c r="H3779" t="s" s="10">
        <v>150</v>
      </c>
      <c r="I3779" t="s" s="11">
        <v>68</v>
      </c>
      <c r="J3779" t="s" s="11">
        <v>136</v>
      </c>
      <c r="K3779" s="15"/>
      <c r="L3779" t="s" s="16">
        <f>HYPERLINK("http://csr.bu.edu/ftp/asl/asllvd/demos/verify_start_end_handshape_annotations//test_auto_move//signs_mov_separ_signers/Brady_15682.mov","MOV")</f>
        <v>21</v>
      </c>
      <c r="M3779" t="s" s="10">
        <v>40</v>
      </c>
      <c r="N3779" s="17">
        <v>40</v>
      </c>
      <c r="O3779" s="18">
        <v>439</v>
      </c>
      <c r="P3779" s="18">
        <v>458</v>
      </c>
      <c r="Q3779" s="15"/>
      <c r="R3779" t="s" s="16">
        <f>HYPERLINK("http://secrets.rutgers.edu:8080/data/asl-ftp/asllvd/demos/verify_start_end_handshape_annotations//test_auto_move//signs_mov_separ_signers/Brady_15682.mov","MOV")</f>
        <v>21</v>
      </c>
    </row>
    <row r="3780" s="2" customFormat="1" ht="13.5" customHeight="1">
      <c r="B3780" t="s" s="8">
        <v>1301</v>
      </c>
      <c r="C3780" t="s" s="9">
        <v>14</v>
      </c>
      <c r="D3780" t="s" s="8">
        <v>14</v>
      </c>
      <c r="E3780" t="s" s="9">
        <v>14</v>
      </c>
      <c r="F3780" t="s" s="10">
        <v>14</v>
      </c>
      <c r="G3780" t="s" s="11">
        <v>14</v>
      </c>
      <c r="H3780" t="s" s="10">
        <v>14</v>
      </c>
      <c r="I3780" t="s" s="11">
        <v>14</v>
      </c>
      <c r="J3780" t="s" s="11">
        <v>14</v>
      </c>
      <c r="K3780" t="s" s="12">
        <v>14</v>
      </c>
      <c r="L3780" t="s" s="12">
        <v>14</v>
      </c>
      <c r="M3780" t="s" s="10">
        <v>14</v>
      </c>
      <c r="N3780" t="s" s="11">
        <v>14</v>
      </c>
      <c r="O3780" t="s" s="8">
        <v>14</v>
      </c>
      <c r="P3780" t="s" s="8">
        <v>14</v>
      </c>
      <c r="Q3780" t="s" s="12">
        <v>14</v>
      </c>
      <c r="R3780" t="s" s="12">
        <v>14</v>
      </c>
    </row>
    <row r="3781" s="2" customFormat="1" ht="13.5" customHeight="1">
      <c r="B3781" s="13"/>
      <c r="C3781" t="s" s="9">
        <v>16</v>
      </c>
      <c r="D3781" t="s" s="8">
        <v>1301</v>
      </c>
      <c r="E3781" t="s" s="9">
        <v>1301</v>
      </c>
      <c r="F3781" t="s" s="10">
        <v>150</v>
      </c>
      <c r="G3781" t="s" s="11">
        <v>55</v>
      </c>
      <c r="H3781" t="s" s="10">
        <v>150</v>
      </c>
      <c r="I3781" t="s" s="11">
        <v>55</v>
      </c>
      <c r="J3781" t="s" s="11">
        <v>20</v>
      </c>
      <c r="K3781" s="15"/>
      <c r="L3781" t="s" s="16">
        <f>HYPERLINK("http://csr.bu.edu/ftp/asl/asllvd/demos/verify_start_end_handshape_annotations//test_auto_move//signs_mov_separ_signers/Liz_811.mov","MOV")</f>
        <v>21</v>
      </c>
      <c r="M3781" t="s" s="10">
        <v>84</v>
      </c>
      <c r="N3781" s="17">
        <v>32</v>
      </c>
      <c r="O3781" s="18">
        <v>525</v>
      </c>
      <c r="P3781" s="18">
        <v>565</v>
      </c>
      <c r="Q3781" s="15"/>
      <c r="R3781" t="s" s="16">
        <f>HYPERLINK("http://secrets.rutgers.edu:8080/data/asl-ftp/asllvd/demos/verify_start_end_handshape_annotations//test_auto_move//signs_mov_separ_signers/Liz_811.mov","MOV")</f>
        <v>21</v>
      </c>
    </row>
    <row r="3782" s="2" customFormat="1" ht="13.5" customHeight="1">
      <c r="B3782" s="13"/>
      <c r="C3782" t="s" s="9">
        <v>23</v>
      </c>
      <c r="D3782" t="s" s="8">
        <v>1301</v>
      </c>
      <c r="E3782" t="s" s="9">
        <v>1301</v>
      </c>
      <c r="F3782" t="s" s="10">
        <v>150</v>
      </c>
      <c r="G3782" t="s" s="11">
        <v>55</v>
      </c>
      <c r="H3782" t="s" s="10">
        <v>150</v>
      </c>
      <c r="I3782" t="s" s="11">
        <v>55</v>
      </c>
      <c r="J3782" t="s" s="11">
        <v>20</v>
      </c>
      <c r="K3782" s="15"/>
      <c r="L3782" t="s" s="16">
        <f>HYPERLINK("http://csr.bu.edu/ftp/asl/asllvd/demos/verify_start_end_handshape_annotations//test_auto_move//signs_mov_separ_signers/Tyler_811.mov","MOV")</f>
        <v>21</v>
      </c>
      <c r="M3782" t="s" s="10">
        <v>92</v>
      </c>
      <c r="N3782" s="17">
        <v>12</v>
      </c>
      <c r="O3782" s="18">
        <v>292</v>
      </c>
      <c r="P3782" s="18">
        <v>330</v>
      </c>
      <c r="Q3782" s="15"/>
      <c r="R3782" t="s" s="16">
        <f>HYPERLINK("http://secrets.rutgers.edu:8080/data/asl-ftp/asllvd/demos/verify_start_end_handshape_annotations//test_auto_move//signs_mov_separ_signers/Tyler_811.mov","MOV")</f>
        <v>21</v>
      </c>
    </row>
    <row r="3783" s="2" customFormat="1" ht="13.5" customHeight="1">
      <c r="B3783" s="13"/>
      <c r="C3783" t="s" s="9">
        <v>27</v>
      </c>
      <c r="D3783" t="s" s="8">
        <v>1301</v>
      </c>
      <c r="E3783" t="s" s="9">
        <v>1301</v>
      </c>
      <c r="F3783" t="s" s="10">
        <v>150</v>
      </c>
      <c r="G3783" t="s" s="11">
        <v>55</v>
      </c>
      <c r="H3783" t="s" s="10">
        <v>150</v>
      </c>
      <c r="I3783" t="s" s="11">
        <v>55</v>
      </c>
      <c r="J3783" t="s" s="11">
        <v>20</v>
      </c>
      <c r="K3783" t="s" s="16">
        <f>HYPERLINK("http://csr.bu.edu/ftp/asl/asllvd/demos/verify_start_end_handshape_annotations//test_auto_move//signs_mov/811.mov","MOV")</f>
        <v>21</v>
      </c>
      <c r="L3783" t="s" s="16">
        <f>HYPERLINK("http://csr.bu.edu/ftp/asl/asllvd/demos/verify_start_end_handshape_annotations//test_auto_move//signs_mov_separ_signers/Naomi_811.mov","MOV")</f>
        <v>21</v>
      </c>
      <c r="M3783" t="s" s="10">
        <v>86</v>
      </c>
      <c r="N3783" s="17">
        <v>32</v>
      </c>
      <c r="O3783" s="18">
        <v>215</v>
      </c>
      <c r="P3783" s="18">
        <v>236</v>
      </c>
      <c r="Q3783" t="s" s="16">
        <f>HYPERLINK("http://secrets.rutgers.edu:8080/data/asl-ftp/asllvd/demos/verify_start_end_handshape_annotations//test_auto_move//signs_mov/811.mov","MOV")</f>
        <v>21</v>
      </c>
      <c r="R3783" t="s" s="16">
        <f>HYPERLINK("http://secrets.rutgers.edu:8080/data/asl-ftp/asllvd/demos/verify_start_end_handshape_annotations//test_auto_move//signs_mov_separ_signers/Naomi_811.mov","MOV")</f>
        <v>21</v>
      </c>
    </row>
    <row r="3784" s="2" customFormat="1" ht="13.5" customHeight="1">
      <c r="B3784" s="13"/>
      <c r="C3784" t="s" s="9">
        <v>30</v>
      </c>
      <c r="D3784" t="s" s="8">
        <v>1301</v>
      </c>
      <c r="E3784" t="s" s="9">
        <v>1301</v>
      </c>
      <c r="F3784" t="s" s="10">
        <v>80</v>
      </c>
      <c r="G3784" t="s" s="11">
        <v>80</v>
      </c>
      <c r="H3784" t="s" s="10">
        <v>80</v>
      </c>
      <c r="I3784" t="s" s="11">
        <v>80</v>
      </c>
      <c r="J3784" t="s" s="11">
        <v>20</v>
      </c>
      <c r="K3784" s="15"/>
      <c r="L3784" t="s" s="16">
        <f>HYPERLINK("http://csr.bu.edu/ftp/asl/asllvd/demos/verify_start_end_handshape_annotations//test_auto_move//signs_mov_separ_signers/Brady_811.mov","MOV")</f>
        <v>21</v>
      </c>
      <c r="M3784" t="s" s="10">
        <v>39</v>
      </c>
      <c r="N3784" s="17">
        <v>12</v>
      </c>
      <c r="O3784" s="18">
        <v>4869</v>
      </c>
      <c r="P3784" s="18">
        <v>4897</v>
      </c>
      <c r="Q3784" s="15"/>
      <c r="R3784" t="s" s="16">
        <f>HYPERLINK("http://secrets.rutgers.edu:8080/data/asl-ftp/asllvd/demos/verify_start_end_handshape_annotations//test_auto_move//signs_mov_separ_signers/Brady_811.mov","MOV")</f>
        <v>21</v>
      </c>
    </row>
    <row r="3785" s="2" customFormat="1" ht="13.5" customHeight="1">
      <c r="B3785" s="13"/>
      <c r="C3785" t="s" s="9">
        <v>41</v>
      </c>
      <c r="D3785" t="s" s="8">
        <v>1301</v>
      </c>
      <c r="E3785" t="s" s="9">
        <v>1301</v>
      </c>
      <c r="F3785" t="s" s="10">
        <v>185</v>
      </c>
      <c r="G3785" t="s" s="11">
        <v>109</v>
      </c>
      <c r="H3785" t="s" s="10">
        <v>185</v>
      </c>
      <c r="I3785" t="s" s="11">
        <v>109</v>
      </c>
      <c r="J3785" t="s" s="11">
        <v>20</v>
      </c>
      <c r="K3785" s="15"/>
      <c r="L3785" t="s" s="16">
        <f>HYPERLINK("http://csr.bu.edu/ftp/asl/asllvd/demos/verify_start_end_handshape_annotations//test_auto_move//signs_mov_separ_signers/Lana_811.mov","MOV")</f>
        <v>21</v>
      </c>
      <c r="M3785" t="s" s="10">
        <v>42</v>
      </c>
      <c r="N3785" s="17">
        <v>8</v>
      </c>
      <c r="O3785" s="18">
        <v>2151</v>
      </c>
      <c r="P3785" s="18">
        <v>2165</v>
      </c>
      <c r="Q3785" s="15"/>
      <c r="R3785" t="s" s="16">
        <f>HYPERLINK("http://secrets.rutgers.edu:8080/data/asl-ftp/asllvd/demos/verify_start_end_handshape_annotations//test_auto_move//signs_mov_separ_signers/Lana_811.mov","MOV")</f>
        <v>21</v>
      </c>
    </row>
    <row r="3786" s="2" customFormat="1" ht="13.5" customHeight="1">
      <c r="B3786" s="13"/>
      <c r="C3786" t="s" s="9">
        <v>43</v>
      </c>
      <c r="D3786" t="s" s="8">
        <v>1301</v>
      </c>
      <c r="E3786" t="s" s="9">
        <v>1301</v>
      </c>
      <c r="F3786" t="s" s="10">
        <v>150</v>
      </c>
      <c r="G3786" t="s" s="11">
        <v>260</v>
      </c>
      <c r="H3786" t="s" s="10">
        <v>150</v>
      </c>
      <c r="I3786" t="s" s="11">
        <v>260</v>
      </c>
      <c r="J3786" t="s" s="11">
        <v>20</v>
      </c>
      <c r="K3786" s="15"/>
      <c r="L3786" t="s" s="16">
        <f>HYPERLINK("http://csr.bu.edu/ftp/asl/asllvd/demos/verify_start_end_handshape_annotations//test_auto_move//signs_mov_separ_signers/Dana_811.mov","MOV")</f>
        <v>21</v>
      </c>
      <c r="M3786" t="s" s="10">
        <v>44</v>
      </c>
      <c r="N3786" s="17">
        <v>12</v>
      </c>
      <c r="O3786" s="18">
        <v>2128</v>
      </c>
      <c r="P3786" s="18">
        <v>2174</v>
      </c>
      <c r="Q3786" s="15"/>
      <c r="R3786" t="s" s="16">
        <f>HYPERLINK("http://secrets.rutgers.edu:8080/data/asl-ftp/asllvd/demos/verify_start_end_handshape_annotations//test_auto_move//signs_mov_separ_signers/Dana_811.mov","MOV")</f>
        <v>21</v>
      </c>
    </row>
    <row r="3787" s="2" customFormat="1" ht="13.5" customHeight="1">
      <c r="B3787" t="s" s="8">
        <v>1302</v>
      </c>
      <c r="C3787" t="s" s="9">
        <v>14</v>
      </c>
      <c r="D3787" t="s" s="8">
        <v>14</v>
      </c>
      <c r="E3787" t="s" s="9">
        <v>14</v>
      </c>
      <c r="F3787" t="s" s="10">
        <v>14</v>
      </c>
      <c r="G3787" t="s" s="11">
        <v>14</v>
      </c>
      <c r="H3787" t="s" s="10">
        <v>14</v>
      </c>
      <c r="I3787" t="s" s="11">
        <v>14</v>
      </c>
      <c r="J3787" t="s" s="11">
        <v>14</v>
      </c>
      <c r="K3787" t="s" s="12">
        <v>14</v>
      </c>
      <c r="L3787" t="s" s="12">
        <v>14</v>
      </c>
      <c r="M3787" t="s" s="10">
        <v>14</v>
      </c>
      <c r="N3787" t="s" s="11">
        <v>14</v>
      </c>
      <c r="O3787" t="s" s="8">
        <v>14</v>
      </c>
      <c r="P3787" t="s" s="8">
        <v>14</v>
      </c>
      <c r="Q3787" t="s" s="12">
        <v>14</v>
      </c>
      <c r="R3787" t="s" s="12">
        <v>14</v>
      </c>
    </row>
    <row r="3788" s="2" customFormat="1" ht="13.5" customHeight="1">
      <c r="B3788" s="13"/>
      <c r="C3788" t="s" s="9">
        <v>16</v>
      </c>
      <c r="D3788" t="s" s="8">
        <v>1302</v>
      </c>
      <c r="E3788" t="s" s="9">
        <v>1302</v>
      </c>
      <c r="F3788" t="s" s="10">
        <v>292</v>
      </c>
      <c r="G3788" s="14"/>
      <c r="H3788" t="s" s="10">
        <v>292</v>
      </c>
      <c r="I3788" s="14"/>
      <c r="J3788" t="s" s="11">
        <v>20</v>
      </c>
      <c r="K3788" s="15"/>
      <c r="L3788" t="s" s="16">
        <f>HYPERLINK("http://csr.bu.edu/ftp/asl/asllvd/demos/verify_start_end_handshape_annotations//test_auto_move//signs_mov_separ_signers/Liz_812.mov","MOV")</f>
        <v>21</v>
      </c>
      <c r="M3788" t="s" s="10">
        <v>84</v>
      </c>
      <c r="N3788" s="17">
        <v>32</v>
      </c>
      <c r="O3788" s="18">
        <v>821</v>
      </c>
      <c r="P3788" s="18">
        <v>855</v>
      </c>
      <c r="Q3788" s="15"/>
      <c r="R3788" t="s" s="16">
        <f>HYPERLINK("http://secrets.rutgers.edu:8080/data/asl-ftp/asllvd/demos/verify_start_end_handshape_annotations//test_auto_move//signs_mov_separ_signers/Liz_812.mov","MOV")</f>
        <v>21</v>
      </c>
    </row>
    <row r="3789" s="2" customFormat="1" ht="13.5" customHeight="1">
      <c r="B3789" s="13"/>
      <c r="C3789" t="s" s="9">
        <v>27</v>
      </c>
      <c r="D3789" t="s" s="8">
        <v>1302</v>
      </c>
      <c r="E3789" t="s" s="9">
        <v>1302</v>
      </c>
      <c r="F3789" t="s" s="10">
        <v>292</v>
      </c>
      <c r="G3789" s="14"/>
      <c r="H3789" t="s" s="10">
        <v>292</v>
      </c>
      <c r="I3789" s="14"/>
      <c r="J3789" t="s" s="11">
        <v>20</v>
      </c>
      <c r="K3789" t="s" s="16">
        <f>HYPERLINK("http://csr.bu.edu/ftp/asl/asllvd/demos/verify_start_end_handshape_annotations//test_auto_move//signs_mov/812.mov","MOV")</f>
        <v>21</v>
      </c>
      <c r="L3789" t="s" s="16">
        <f>HYPERLINK("http://csr.bu.edu/ftp/asl/asllvd/demos/verify_start_end_handshape_annotations//test_auto_move//signs_mov_separ_signers/Naomi_812.mov","MOV")</f>
        <v>21</v>
      </c>
      <c r="M3789" t="s" s="10">
        <v>86</v>
      </c>
      <c r="N3789" s="17">
        <v>32</v>
      </c>
      <c r="O3789" s="18">
        <v>385</v>
      </c>
      <c r="P3789" s="18">
        <v>405</v>
      </c>
      <c r="Q3789" t="s" s="16">
        <f>HYPERLINK("http://secrets.rutgers.edu:8080/data/asl-ftp/asllvd/demos/verify_start_end_handshape_annotations//test_auto_move//signs_mov/812.mov","MOV")</f>
        <v>21</v>
      </c>
      <c r="R3789" t="s" s="16">
        <f>HYPERLINK("http://secrets.rutgers.edu:8080/data/asl-ftp/asllvd/demos/verify_start_end_handshape_annotations//test_auto_move//signs_mov_separ_signers/Naomi_812.mov","MOV")</f>
        <v>21</v>
      </c>
    </row>
    <row r="3790" s="2" customFormat="1" ht="13.5" customHeight="1">
      <c r="B3790" s="13"/>
      <c r="C3790" t="s" s="9">
        <v>30</v>
      </c>
      <c r="D3790" t="s" s="8">
        <v>1302</v>
      </c>
      <c r="E3790" t="s" s="9">
        <v>1302</v>
      </c>
      <c r="F3790" t="s" s="10">
        <v>292</v>
      </c>
      <c r="G3790" s="14"/>
      <c r="H3790" t="s" s="10">
        <v>292</v>
      </c>
      <c r="I3790" s="14"/>
      <c r="J3790" t="s" s="11">
        <v>20</v>
      </c>
      <c r="K3790" s="15"/>
      <c r="L3790" t="s" s="16">
        <f>HYPERLINK("http://csr.bu.edu/ftp/asl/asllvd/demos/verify_start_end_handshape_annotations//test_auto_move//signs_mov_separ_signers/Brady_812.mov","MOV")</f>
        <v>21</v>
      </c>
      <c r="M3790" t="s" s="10">
        <v>39</v>
      </c>
      <c r="N3790" s="17">
        <v>12</v>
      </c>
      <c r="O3790" s="18">
        <v>5088</v>
      </c>
      <c r="P3790" s="18">
        <v>5120</v>
      </c>
      <c r="Q3790" s="15"/>
      <c r="R3790" t="s" s="16">
        <f>HYPERLINK("http://secrets.rutgers.edu:8080/data/asl-ftp/asllvd/demos/verify_start_end_handshape_annotations//test_auto_move//signs_mov_separ_signers/Brady_812.mov","MOV")</f>
        <v>21</v>
      </c>
    </row>
    <row r="3791" s="2" customFormat="1" ht="13.5" customHeight="1">
      <c r="B3791" t="s" s="8">
        <v>1303</v>
      </c>
      <c r="C3791" t="s" s="9">
        <v>14</v>
      </c>
      <c r="D3791" t="s" s="8">
        <v>14</v>
      </c>
      <c r="E3791" t="s" s="9">
        <v>14</v>
      </c>
      <c r="F3791" t="s" s="10">
        <v>14</v>
      </c>
      <c r="G3791" t="s" s="11">
        <v>14</v>
      </c>
      <c r="H3791" t="s" s="10">
        <v>14</v>
      </c>
      <c r="I3791" t="s" s="11">
        <v>14</v>
      </c>
      <c r="J3791" t="s" s="11">
        <v>14</v>
      </c>
      <c r="K3791" t="s" s="12">
        <v>14</v>
      </c>
      <c r="L3791" t="s" s="12">
        <v>14</v>
      </c>
      <c r="M3791" t="s" s="10">
        <v>14</v>
      </c>
      <c r="N3791" t="s" s="11">
        <v>14</v>
      </c>
      <c r="O3791" t="s" s="8">
        <v>14</v>
      </c>
      <c r="P3791" t="s" s="8">
        <v>14</v>
      </c>
      <c r="Q3791" t="s" s="12">
        <v>14</v>
      </c>
      <c r="R3791" t="s" s="12">
        <v>14</v>
      </c>
    </row>
    <row r="3792" s="2" customFormat="1" ht="13.5" customHeight="1">
      <c r="B3792" s="13"/>
      <c r="C3792" t="s" s="9">
        <v>23</v>
      </c>
      <c r="D3792" t="s" s="8">
        <v>1304</v>
      </c>
      <c r="E3792" t="s" s="9">
        <v>1305</v>
      </c>
      <c r="F3792" t="s" s="10">
        <v>73</v>
      </c>
      <c r="G3792" t="s" s="11">
        <v>73</v>
      </c>
      <c r="H3792" t="s" s="10">
        <v>73</v>
      </c>
      <c r="I3792" t="s" s="11">
        <v>73</v>
      </c>
      <c r="J3792" t="s" s="11">
        <v>20</v>
      </c>
      <c r="K3792" t="s" s="16">
        <f>HYPERLINK("http://csr.bu.edu/ftp/asl/asllvd/demos/verify_start_end_handshape_annotations//test_auto_move//signs_mov/813.mov","MOV")</f>
        <v>21</v>
      </c>
      <c r="L3792" t="s" s="16">
        <f>HYPERLINK("http://csr.bu.edu/ftp/asl/asllvd/demos/verify_start_end_handshape_annotations//test_auto_move//signs_mov_separ_signers/Tyler_813.mov","MOV")</f>
        <v>21</v>
      </c>
      <c r="M3792" t="s" s="10">
        <v>92</v>
      </c>
      <c r="N3792" s="17">
        <v>12</v>
      </c>
      <c r="O3792" s="18">
        <v>1131</v>
      </c>
      <c r="P3792" s="18">
        <v>1205</v>
      </c>
      <c r="Q3792" t="s" s="16">
        <f>HYPERLINK("http://secrets.rutgers.edu:8080/data/asl-ftp/asllvd/demos/verify_start_end_handshape_annotations//test_auto_move//signs_mov/813.mov","MOV")</f>
        <v>21</v>
      </c>
      <c r="R3792" t="s" s="16">
        <f>HYPERLINK("http://secrets.rutgers.edu:8080/data/asl-ftp/asllvd/demos/verify_start_end_handshape_annotations//test_auto_move//signs_mov_separ_signers/Tyler_813.mov","MOV")</f>
        <v>21</v>
      </c>
    </row>
    <row r="3793" s="2" customFormat="1" ht="13.5" customHeight="1">
      <c r="B3793" t="s" s="8">
        <v>52</v>
      </c>
      <c r="C3793" t="s" s="9">
        <v>53</v>
      </c>
      <c r="D3793" t="s" s="8">
        <v>53</v>
      </c>
      <c r="E3793" t="s" s="9">
        <v>53</v>
      </c>
      <c r="F3793" t="s" s="10">
        <v>53</v>
      </c>
      <c r="G3793" t="s" s="11">
        <v>53</v>
      </c>
      <c r="H3793" t="s" s="10">
        <v>53</v>
      </c>
      <c r="I3793" t="s" s="11">
        <v>53</v>
      </c>
      <c r="J3793" t="s" s="11">
        <v>53</v>
      </c>
      <c r="K3793" t="s" s="12">
        <v>53</v>
      </c>
      <c r="L3793" t="s" s="12">
        <v>53</v>
      </c>
      <c r="M3793" t="s" s="10">
        <v>53</v>
      </c>
      <c r="N3793" t="s" s="11">
        <v>53</v>
      </c>
      <c r="O3793" t="s" s="8">
        <v>53</v>
      </c>
      <c r="P3793" t="s" s="8">
        <v>53</v>
      </c>
      <c r="Q3793" t="s" s="12">
        <v>53</v>
      </c>
      <c r="R3793" t="s" s="12">
        <v>53</v>
      </c>
    </row>
    <row r="3794" s="2" customFormat="1" ht="13.5" customHeight="1">
      <c r="B3794" s="13"/>
      <c r="C3794" t="s" s="9">
        <v>16</v>
      </c>
      <c r="D3794" t="s" s="8">
        <v>1304</v>
      </c>
      <c r="E3794" t="s" s="9">
        <v>1306</v>
      </c>
      <c r="F3794" t="s" s="10">
        <v>73</v>
      </c>
      <c r="G3794" s="14"/>
      <c r="H3794" t="s" s="10">
        <v>73</v>
      </c>
      <c r="I3794" s="14"/>
      <c r="J3794" t="s" s="11">
        <v>20</v>
      </c>
      <c r="K3794" s="15"/>
      <c r="L3794" t="s" s="16">
        <f>HYPERLINK("http://csr.bu.edu/ftp/asl/asllvd/demos/verify_start_end_handshape_annotations//test_auto_move//signs_mov_separ_signers/Liz_5172.mov","MOV")</f>
        <v>21</v>
      </c>
      <c r="M3794" t="s" s="10">
        <v>84</v>
      </c>
      <c r="N3794" s="17">
        <v>32</v>
      </c>
      <c r="O3794" s="18">
        <v>1080</v>
      </c>
      <c r="P3794" s="18">
        <v>1172</v>
      </c>
      <c r="Q3794" s="15"/>
      <c r="R3794" t="s" s="16">
        <f>HYPERLINK("http://secrets.rutgers.edu:8080/data/asl-ftp/asllvd/demos/verify_start_end_handshape_annotations//test_auto_move//signs_mov_separ_signers/Liz_5172.mov","MOV")</f>
        <v>21</v>
      </c>
    </row>
    <row r="3795" s="2" customFormat="1" ht="13.5" customHeight="1">
      <c r="B3795" s="13"/>
      <c r="C3795" t="s" s="9">
        <v>16</v>
      </c>
      <c r="D3795" t="s" s="8">
        <v>1304</v>
      </c>
      <c r="E3795" t="s" s="9">
        <v>1306</v>
      </c>
      <c r="F3795" t="s" s="10">
        <v>73</v>
      </c>
      <c r="G3795" s="14"/>
      <c r="H3795" t="s" s="10">
        <v>73</v>
      </c>
      <c r="I3795" s="14"/>
      <c r="J3795" t="s" s="11">
        <v>20</v>
      </c>
      <c r="K3795" s="15"/>
      <c r="L3795" t="s" s="16">
        <f>HYPERLINK("http://csr.bu.edu/ftp/asl/asllvd/demos/verify_start_end_handshape_annotations//test_auto_move//signs_mov_separ_signers/Liz_15960.mov","MOV")</f>
        <v>21</v>
      </c>
      <c r="M3795" t="s" s="10">
        <v>88</v>
      </c>
      <c r="N3795" s="17">
        <v>42</v>
      </c>
      <c r="O3795" s="18">
        <v>1461</v>
      </c>
      <c r="P3795" s="18">
        <v>1524</v>
      </c>
      <c r="Q3795" s="15"/>
      <c r="R3795" t="s" s="16">
        <f>HYPERLINK("http://secrets.rutgers.edu:8080/data/asl-ftp/asllvd/demos/verify_start_end_handshape_annotations//test_auto_move//signs_mov_separ_signers/Liz_15960.mov","MOV")</f>
        <v>21</v>
      </c>
    </row>
    <row r="3796" s="2" customFormat="1" ht="13.5" customHeight="1">
      <c r="B3796" s="13"/>
      <c r="C3796" t="s" s="9">
        <v>27</v>
      </c>
      <c r="D3796" t="s" s="8">
        <v>1304</v>
      </c>
      <c r="E3796" t="s" s="9">
        <v>1306</v>
      </c>
      <c r="F3796" t="s" s="10">
        <v>73</v>
      </c>
      <c r="G3796" s="14"/>
      <c r="H3796" t="s" s="10">
        <v>73</v>
      </c>
      <c r="I3796" s="14"/>
      <c r="J3796" t="s" s="11">
        <v>20</v>
      </c>
      <c r="K3796" s="15"/>
      <c r="L3796" t="s" s="16">
        <f>HYPERLINK("http://csr.bu.edu/ftp/asl/asllvd/demos/verify_start_end_handshape_annotations//test_auto_move//signs_mov_separ_signers/Naomi_5172.mov","MOV")</f>
        <v>21</v>
      </c>
      <c r="M3796" t="s" s="10">
        <v>86</v>
      </c>
      <c r="N3796" s="17">
        <v>32</v>
      </c>
      <c r="O3796" s="18">
        <v>595</v>
      </c>
      <c r="P3796" s="18">
        <v>650</v>
      </c>
      <c r="Q3796" s="15"/>
      <c r="R3796" t="s" s="16">
        <f>HYPERLINK("http://secrets.rutgers.edu:8080/data/asl-ftp/asllvd/demos/verify_start_end_handshape_annotations//test_auto_move//signs_mov_separ_signers/Naomi_5172.mov","MOV")</f>
        <v>21</v>
      </c>
    </row>
    <row r="3797" s="2" customFormat="1" ht="13.5" customHeight="1">
      <c r="B3797" s="13"/>
      <c r="C3797" t="s" s="9">
        <v>30</v>
      </c>
      <c r="D3797" t="s" s="8">
        <v>1304</v>
      </c>
      <c r="E3797" t="s" s="9">
        <v>1306</v>
      </c>
      <c r="F3797" t="s" s="10">
        <v>73</v>
      </c>
      <c r="G3797" s="14"/>
      <c r="H3797" t="s" s="10">
        <v>73</v>
      </c>
      <c r="I3797" s="14"/>
      <c r="J3797" t="s" s="11">
        <v>20</v>
      </c>
      <c r="K3797" t="s" s="16">
        <f>HYPERLINK("http://csr.bu.edu/ftp/asl/asllvd/demos/verify_start_end_handshape_annotations//test_auto_move//signs_mov/5172_15960_merged.mov","MOV")</f>
        <v>21</v>
      </c>
      <c r="L3797" t="s" s="16">
        <f>HYPERLINK("http://csr.bu.edu/ftp/asl/asllvd/demos/verify_start_end_handshape_annotations//test_auto_move//signs_mov_separ_signers/Brady_5172.mov","MOV")</f>
        <v>21</v>
      </c>
      <c r="M3797" t="s" s="10">
        <v>39</v>
      </c>
      <c r="N3797" s="17">
        <v>12</v>
      </c>
      <c r="O3797" s="18">
        <v>5350</v>
      </c>
      <c r="P3797" s="18">
        <v>5404</v>
      </c>
      <c r="Q3797" t="s" s="16">
        <f>HYPERLINK("http://secrets.rutgers.edu:8080/data/asl-ftp/asllvd/demos/verify_start_end_handshape_annotations//test_auto_move//signs_mov/5172_15960_merged.mov","MOV")</f>
        <v>21</v>
      </c>
      <c r="R3797" t="s" s="16">
        <f>HYPERLINK("http://secrets.rutgers.edu:8080/data/asl-ftp/asllvd/demos/verify_start_end_handshape_annotations//test_auto_move//signs_mov_separ_signers/Brady_5172.mov","MOV")</f>
        <v>21</v>
      </c>
    </row>
    <row r="3798" s="2" customFormat="1" ht="13.5" customHeight="1">
      <c r="B3798" s="13"/>
      <c r="C3798" t="s" s="9">
        <v>30</v>
      </c>
      <c r="D3798" t="s" s="8">
        <v>1304</v>
      </c>
      <c r="E3798" t="s" s="9">
        <v>1306</v>
      </c>
      <c r="F3798" t="s" s="10">
        <v>73</v>
      </c>
      <c r="G3798" s="14"/>
      <c r="H3798" t="s" s="10">
        <v>73</v>
      </c>
      <c r="I3798" s="14"/>
      <c r="J3798" t="s" s="11">
        <v>20</v>
      </c>
      <c r="K3798" s="15"/>
      <c r="L3798" t="s" s="16">
        <f>HYPERLINK("http://csr.bu.edu/ftp/asl/asllvd/demos/verify_start_end_handshape_annotations//test_auto_move//signs_mov_separ_signers/Brady_15960.mov","MOV")</f>
        <v>21</v>
      </c>
      <c r="M3798" t="s" s="10">
        <v>40</v>
      </c>
      <c r="N3798" s="17">
        <v>36</v>
      </c>
      <c r="O3798" s="18">
        <v>2035</v>
      </c>
      <c r="P3798" s="18">
        <v>2079</v>
      </c>
      <c r="Q3798" s="15"/>
      <c r="R3798" t="s" s="16">
        <f>HYPERLINK("http://secrets.rutgers.edu:8080/data/asl-ftp/asllvd/demos/verify_start_end_handshape_annotations//test_auto_move//signs_mov_separ_signers/Brady_15960.mov","MOV")</f>
        <v>21</v>
      </c>
    </row>
    <row r="3799" s="2" customFormat="1" ht="13.5" customHeight="1">
      <c r="B3799" s="13"/>
      <c r="C3799" t="s" s="9">
        <v>41</v>
      </c>
      <c r="D3799" t="s" s="8">
        <v>1304</v>
      </c>
      <c r="E3799" t="s" s="9">
        <v>1304</v>
      </c>
      <c r="F3799" t="s" s="10">
        <v>73</v>
      </c>
      <c r="G3799" s="14"/>
      <c r="H3799" t="s" s="10">
        <v>73</v>
      </c>
      <c r="I3799" s="14"/>
      <c r="J3799" t="s" s="11">
        <v>20</v>
      </c>
      <c r="K3799" s="15"/>
      <c r="L3799" t="s" s="16">
        <f>HYPERLINK("http://csr.bu.edu/ftp/asl/asllvd/demos/verify_start_end_handshape_annotations//test_auto_move//signs_mov_separ_signers/Lana_5172.mov","MOV")</f>
        <v>21</v>
      </c>
      <c r="M3799" t="s" s="10">
        <v>42</v>
      </c>
      <c r="N3799" s="17">
        <v>21</v>
      </c>
      <c r="O3799" s="18">
        <v>1624</v>
      </c>
      <c r="P3799" s="18">
        <v>1661</v>
      </c>
      <c r="Q3799" s="15"/>
      <c r="R3799" t="s" s="16">
        <f>HYPERLINK("http://secrets.rutgers.edu:8080/data/asl-ftp/asllvd/demos/verify_start_end_handshape_annotations//test_auto_move//signs_mov_separ_signers/Lana_5172.mov","MOV")</f>
        <v>21</v>
      </c>
    </row>
    <row r="3800" s="2" customFormat="1" ht="13.5" customHeight="1">
      <c r="B3800" s="13"/>
      <c r="C3800" t="s" s="9">
        <v>43</v>
      </c>
      <c r="D3800" t="s" s="8">
        <v>1304</v>
      </c>
      <c r="E3800" t="s" s="9">
        <v>1306</v>
      </c>
      <c r="F3800" t="s" s="10">
        <v>73</v>
      </c>
      <c r="G3800" s="14"/>
      <c r="H3800" t="s" s="10">
        <v>73</v>
      </c>
      <c r="I3800" s="14"/>
      <c r="J3800" t="s" s="11">
        <v>20</v>
      </c>
      <c r="K3800" s="15"/>
      <c r="L3800" t="s" s="16">
        <f>HYPERLINK("http://csr.bu.edu/ftp/asl/asllvd/demos/verify_start_end_handshape_annotations//test_auto_move//signs_mov_separ_signers/Dana_5172.mov","MOV")</f>
        <v>21</v>
      </c>
      <c r="M3800" t="s" s="10">
        <v>44</v>
      </c>
      <c r="N3800" s="17">
        <v>23</v>
      </c>
      <c r="O3800" s="18">
        <v>1743</v>
      </c>
      <c r="P3800" s="18">
        <v>1816</v>
      </c>
      <c r="Q3800" s="15"/>
      <c r="R3800" t="s" s="16">
        <f>HYPERLINK("http://secrets.rutgers.edu:8080/data/asl-ftp/asllvd/demos/verify_start_end_handshape_annotations//test_auto_move//signs_mov_separ_signers/Dana_5172.mov","MOV")</f>
        <v>21</v>
      </c>
    </row>
    <row r="3801" s="2" customFormat="1" ht="13.5" customHeight="1">
      <c r="B3801" t="s" s="8">
        <v>1307</v>
      </c>
      <c r="C3801" t="s" s="9">
        <v>14</v>
      </c>
      <c r="D3801" t="s" s="8">
        <v>14</v>
      </c>
      <c r="E3801" t="s" s="9">
        <v>14</v>
      </c>
      <c r="F3801" t="s" s="10">
        <v>14</v>
      </c>
      <c r="G3801" t="s" s="11">
        <v>14</v>
      </c>
      <c r="H3801" t="s" s="10">
        <v>14</v>
      </c>
      <c r="I3801" t="s" s="11">
        <v>14</v>
      </c>
      <c r="J3801" t="s" s="11">
        <v>14</v>
      </c>
      <c r="K3801" t="s" s="12">
        <v>14</v>
      </c>
      <c r="L3801" t="s" s="12">
        <v>14</v>
      </c>
      <c r="M3801" t="s" s="10">
        <v>14</v>
      </c>
      <c r="N3801" t="s" s="11">
        <v>14</v>
      </c>
      <c r="O3801" t="s" s="8">
        <v>14</v>
      </c>
      <c r="P3801" t="s" s="8">
        <v>14</v>
      </c>
      <c r="Q3801" t="s" s="12">
        <v>14</v>
      </c>
      <c r="R3801" t="s" s="12">
        <v>14</v>
      </c>
    </row>
    <row r="3802" s="2" customFormat="1" ht="13.5" customHeight="1">
      <c r="B3802" s="13"/>
      <c r="C3802" t="s" s="9">
        <v>16</v>
      </c>
      <c r="D3802" t="s" s="8">
        <v>1307</v>
      </c>
      <c r="E3802" t="s" s="9">
        <v>1308</v>
      </c>
      <c r="F3802" t="s" s="10">
        <v>73</v>
      </c>
      <c r="G3802" t="s" s="11">
        <v>73</v>
      </c>
      <c r="H3802" t="s" s="10">
        <v>73</v>
      </c>
      <c r="I3802" t="s" s="11">
        <v>73</v>
      </c>
      <c r="J3802" t="s" s="11">
        <v>20</v>
      </c>
      <c r="K3802" s="15"/>
      <c r="L3802" t="s" s="16">
        <f>HYPERLINK("http://csr.bu.edu/ftp/asl/asllvd/demos/verify_start_end_handshape_annotations//test_auto_move//signs_mov_separ_signers/Liz_15972.mov","MOV")</f>
        <v>21</v>
      </c>
      <c r="M3802" t="s" s="10">
        <v>34</v>
      </c>
      <c r="N3802" s="17">
        <v>37</v>
      </c>
      <c r="O3802" s="18">
        <v>3391</v>
      </c>
      <c r="P3802" s="18">
        <v>3445</v>
      </c>
      <c r="Q3802" s="15"/>
      <c r="R3802" t="s" s="16">
        <f>HYPERLINK("http://secrets.rutgers.edu:8080/data/asl-ftp/asllvd/demos/verify_start_end_handshape_annotations//test_auto_move//signs_mov_separ_signers/Liz_15972.mov","MOV")</f>
        <v>21</v>
      </c>
    </row>
    <row r="3803" s="2" customFormat="1" ht="13.5" customHeight="1">
      <c r="B3803" s="13"/>
      <c r="C3803" t="s" s="9">
        <v>27</v>
      </c>
      <c r="D3803" t="s" s="8">
        <v>1307</v>
      </c>
      <c r="E3803" t="s" s="9">
        <v>1308</v>
      </c>
      <c r="F3803" t="s" s="10">
        <v>73</v>
      </c>
      <c r="G3803" t="s" s="11">
        <v>73</v>
      </c>
      <c r="H3803" t="s" s="10">
        <v>73</v>
      </c>
      <c r="I3803" t="s" s="11">
        <v>73</v>
      </c>
      <c r="J3803" t="s" s="11">
        <v>20</v>
      </c>
      <c r="K3803" t="s" s="16">
        <f>HYPERLINK("http://csr.bu.edu/ftp/asl/asllvd/demos/verify_start_end_handshape_annotations//test_auto_move//signs_mov/15972.mov","MOV")</f>
        <v>21</v>
      </c>
      <c r="L3803" t="s" s="16">
        <f>HYPERLINK("http://csr.bu.edu/ftp/asl/asllvd/demos/verify_start_end_handshape_annotations//test_auto_move//signs_mov_separ_signers/Naomi_15972.mov","MOV")</f>
        <v>21</v>
      </c>
      <c r="M3803" t="s" s="10">
        <v>38</v>
      </c>
      <c r="N3803" s="17">
        <v>31</v>
      </c>
      <c r="O3803" s="18">
        <v>3870</v>
      </c>
      <c r="P3803" s="18">
        <v>3925</v>
      </c>
      <c r="Q3803" t="s" s="16">
        <f>HYPERLINK("http://secrets.rutgers.edu:8080/data/asl-ftp/asllvd/demos/verify_start_end_handshape_annotations//test_auto_move//signs_mov/15972.mov","MOV")</f>
        <v>21</v>
      </c>
      <c r="R3803" t="s" s="16">
        <f>HYPERLINK("http://secrets.rutgers.edu:8080/data/asl-ftp/asllvd/demos/verify_start_end_handshape_annotations//test_auto_move//signs_mov_separ_signers/Naomi_15972.mov","MOV")</f>
        <v>21</v>
      </c>
    </row>
    <row r="3804" s="2" customFormat="1" ht="13.5" customHeight="1">
      <c r="B3804" s="13"/>
      <c r="C3804" t="s" s="9">
        <v>30</v>
      </c>
      <c r="D3804" t="s" s="8">
        <v>1307</v>
      </c>
      <c r="E3804" t="s" s="9">
        <v>1308</v>
      </c>
      <c r="F3804" t="s" s="10">
        <v>73</v>
      </c>
      <c r="G3804" t="s" s="11">
        <v>73</v>
      </c>
      <c r="H3804" t="s" s="10">
        <v>73</v>
      </c>
      <c r="I3804" t="s" s="11">
        <v>73</v>
      </c>
      <c r="J3804" t="s" s="11">
        <v>20</v>
      </c>
      <c r="K3804" s="15"/>
      <c r="L3804" t="s" s="16">
        <f>HYPERLINK("http://csr.bu.edu/ftp/asl/asllvd/demos/verify_start_end_handshape_annotations//test_auto_move//signs_mov_separ_signers/Brady_15972.mov","MOV")</f>
        <v>21</v>
      </c>
      <c r="M3804" t="s" s="10">
        <v>39</v>
      </c>
      <c r="N3804" s="17">
        <v>43</v>
      </c>
      <c r="O3804" s="18">
        <v>6359</v>
      </c>
      <c r="P3804" s="18">
        <v>6389</v>
      </c>
      <c r="Q3804" s="15"/>
      <c r="R3804" t="s" s="16">
        <f>HYPERLINK("http://secrets.rutgers.edu:8080/data/asl-ftp/asllvd/demos/verify_start_end_handshape_annotations//test_auto_move//signs_mov_separ_signers/Brady_15972.mov","MOV")</f>
        <v>21</v>
      </c>
    </row>
    <row r="3805" s="2" customFormat="1" ht="13.5" customHeight="1">
      <c r="B3805" t="s" s="8">
        <v>52</v>
      </c>
      <c r="C3805" t="s" s="9">
        <v>53</v>
      </c>
      <c r="D3805" t="s" s="8">
        <v>53</v>
      </c>
      <c r="E3805" t="s" s="9">
        <v>53</v>
      </c>
      <c r="F3805" t="s" s="10">
        <v>53</v>
      </c>
      <c r="G3805" t="s" s="11">
        <v>53</v>
      </c>
      <c r="H3805" t="s" s="10">
        <v>53</v>
      </c>
      <c r="I3805" t="s" s="11">
        <v>53</v>
      </c>
      <c r="J3805" t="s" s="11">
        <v>53</v>
      </c>
      <c r="K3805" t="s" s="12">
        <v>53</v>
      </c>
      <c r="L3805" t="s" s="12">
        <v>53</v>
      </c>
      <c r="M3805" t="s" s="10">
        <v>53</v>
      </c>
      <c r="N3805" t="s" s="11">
        <v>53</v>
      </c>
      <c r="O3805" t="s" s="8">
        <v>53</v>
      </c>
      <c r="P3805" t="s" s="8">
        <v>53</v>
      </c>
      <c r="Q3805" t="s" s="12">
        <v>53</v>
      </c>
      <c r="R3805" t="s" s="12">
        <v>53</v>
      </c>
    </row>
    <row r="3806" s="2" customFormat="1" ht="13.5" customHeight="1">
      <c r="B3806" s="13"/>
      <c r="C3806" t="s" s="9">
        <v>16</v>
      </c>
      <c r="D3806" t="s" s="8">
        <v>1307</v>
      </c>
      <c r="E3806" t="s" s="9">
        <v>1309</v>
      </c>
      <c r="F3806" t="s" s="10">
        <v>73</v>
      </c>
      <c r="G3806" s="14"/>
      <c r="H3806" t="s" s="10">
        <v>73</v>
      </c>
      <c r="I3806" s="14"/>
      <c r="J3806" t="s" s="11">
        <v>20</v>
      </c>
      <c r="K3806" s="15"/>
      <c r="L3806" t="s" s="16">
        <f>HYPERLINK("http://csr.bu.edu/ftp/asl/asllvd/demos/verify_start_end_handshape_annotations//test_auto_move//signs_mov_separ_signers/Liz_15989.mov","MOV")</f>
        <v>21</v>
      </c>
      <c r="M3806" t="s" s="10">
        <v>34</v>
      </c>
      <c r="N3806" s="17">
        <v>18</v>
      </c>
      <c r="O3806" s="18">
        <v>2245</v>
      </c>
      <c r="P3806" s="18">
        <v>2297</v>
      </c>
      <c r="Q3806" s="15"/>
      <c r="R3806" t="s" s="16">
        <f>HYPERLINK("http://secrets.rutgers.edu:8080/data/asl-ftp/asllvd/demos/verify_start_end_handshape_annotations//test_auto_move//signs_mov_separ_signers/Liz_15989.mov","MOV")</f>
        <v>21</v>
      </c>
    </row>
    <row r="3807" s="2" customFormat="1" ht="13.5" customHeight="1">
      <c r="B3807" s="13"/>
      <c r="C3807" t="s" s="9">
        <v>16</v>
      </c>
      <c r="D3807" t="s" s="8">
        <v>1307</v>
      </c>
      <c r="E3807" t="s" s="9">
        <v>1309</v>
      </c>
      <c r="F3807" t="s" s="10">
        <v>73</v>
      </c>
      <c r="G3807" s="14"/>
      <c r="H3807" t="s" s="10">
        <v>73</v>
      </c>
      <c r="I3807" s="14"/>
      <c r="J3807" t="s" s="11">
        <v>20</v>
      </c>
      <c r="K3807" s="15"/>
      <c r="L3807" t="s" s="16">
        <f>HYPERLINK("http://csr.bu.edu/ftp/asl/asllvd/demos/verify_start_end_handshape_annotations//test_auto_move//signs_mov_separ_signers/Liz_16004.mov","MOV")</f>
        <v>21</v>
      </c>
      <c r="M3807" t="s" s="10">
        <v>59</v>
      </c>
      <c r="N3807" s="17">
        <v>27</v>
      </c>
      <c r="O3807" s="18">
        <v>3620</v>
      </c>
      <c r="P3807" s="18">
        <v>3677</v>
      </c>
      <c r="Q3807" s="15"/>
      <c r="R3807" t="s" s="16">
        <f>HYPERLINK("http://secrets.rutgers.edu:8080/data/asl-ftp/asllvd/demos/verify_start_end_handshape_annotations//test_auto_move//signs_mov_separ_signers/Liz_16004.mov","MOV")</f>
        <v>21</v>
      </c>
    </row>
    <row r="3808" s="2" customFormat="1" ht="13.5" customHeight="1">
      <c r="B3808" s="13"/>
      <c r="C3808" t="s" s="9">
        <v>23</v>
      </c>
      <c r="D3808" t="s" s="8">
        <v>1307</v>
      </c>
      <c r="E3808" t="s" s="9">
        <v>1309</v>
      </c>
      <c r="F3808" t="s" s="10">
        <v>73</v>
      </c>
      <c r="G3808" s="14"/>
      <c r="H3808" t="s" s="10">
        <v>73</v>
      </c>
      <c r="I3808" s="14"/>
      <c r="J3808" t="s" s="11">
        <v>20</v>
      </c>
      <c r="K3808" s="15"/>
      <c r="L3808" t="s" s="16">
        <f>HYPERLINK("http://csr.bu.edu/ftp/asl/asllvd/demos/verify_start_end_handshape_annotations//test_auto_move//signs_mov_separ_signers/Tyler_15989.mov","MOV")</f>
        <v>21</v>
      </c>
      <c r="M3808" t="s" s="10">
        <v>92</v>
      </c>
      <c r="N3808" s="17">
        <v>46</v>
      </c>
      <c r="O3808" s="18">
        <v>880</v>
      </c>
      <c r="P3808" s="18">
        <v>930</v>
      </c>
      <c r="Q3808" s="15"/>
      <c r="R3808" t="s" s="16">
        <f>HYPERLINK("http://secrets.rutgers.edu:8080/data/asl-ftp/asllvd/demos/verify_start_end_handshape_annotations//test_auto_move//signs_mov_separ_signers/Tyler_15989.mov","MOV")</f>
        <v>21</v>
      </c>
    </row>
    <row r="3809" s="2" customFormat="1" ht="13.5" customHeight="1">
      <c r="B3809" s="13"/>
      <c r="C3809" t="s" s="9">
        <v>27</v>
      </c>
      <c r="D3809" t="s" s="8">
        <v>1307</v>
      </c>
      <c r="E3809" t="s" s="9">
        <v>1310</v>
      </c>
      <c r="F3809" t="s" s="10">
        <v>73</v>
      </c>
      <c r="G3809" s="14"/>
      <c r="H3809" t="s" s="10">
        <v>73</v>
      </c>
      <c r="I3809" s="14"/>
      <c r="J3809" t="s" s="11">
        <v>20</v>
      </c>
      <c r="K3809" t="s" s="16">
        <f>HYPERLINK("http://csr.bu.edu/ftp/asl/asllvd/demos/verify_start_end_handshape_annotations//test_auto_move//signs_mov/15989_16004_merged.mov","MOV")</f>
        <v>21</v>
      </c>
      <c r="L3809" t="s" s="16">
        <f>HYPERLINK("http://csr.bu.edu/ftp/asl/asllvd/demos/verify_start_end_handshape_annotations//test_auto_move//signs_mov_separ_signers/Naomi_15989.mov","MOV")</f>
        <v>21</v>
      </c>
      <c r="M3809" t="s" s="10">
        <v>38</v>
      </c>
      <c r="N3809" s="17">
        <v>14</v>
      </c>
      <c r="O3809" s="18">
        <v>1192</v>
      </c>
      <c r="P3809" s="18">
        <v>1235</v>
      </c>
      <c r="Q3809" t="s" s="16">
        <f>HYPERLINK("http://secrets.rutgers.edu:8080/data/asl-ftp/asllvd/demos/verify_start_end_handshape_annotations//test_auto_move//signs_mov/15989_16004_merged.mov","MOV")</f>
        <v>21</v>
      </c>
      <c r="R3809" t="s" s="16">
        <f>HYPERLINK("http://secrets.rutgers.edu:8080/data/asl-ftp/asllvd/demos/verify_start_end_handshape_annotations//test_auto_move//signs_mov_separ_signers/Naomi_15989.mov","MOV")</f>
        <v>21</v>
      </c>
    </row>
    <row r="3810" s="2" customFormat="1" ht="13.5" customHeight="1">
      <c r="B3810" s="13"/>
      <c r="C3810" t="s" s="9">
        <v>30</v>
      </c>
      <c r="D3810" t="s" s="8">
        <v>1307</v>
      </c>
      <c r="E3810" t="s" s="9">
        <v>1309</v>
      </c>
      <c r="F3810" t="s" s="10">
        <v>73</v>
      </c>
      <c r="G3810" s="14"/>
      <c r="H3810" t="s" s="10">
        <v>73</v>
      </c>
      <c r="I3810" s="14"/>
      <c r="J3810" t="s" s="11">
        <v>20</v>
      </c>
      <c r="K3810" s="15"/>
      <c r="L3810" t="s" s="16">
        <f>HYPERLINK("http://csr.bu.edu/ftp/asl/asllvd/demos/verify_start_end_handshape_annotations//test_auto_move//signs_mov_separ_signers/Brady_15989.mov","MOV")</f>
        <v>21</v>
      </c>
      <c r="M3810" t="s" s="10">
        <v>39</v>
      </c>
      <c r="N3810" s="17">
        <v>31</v>
      </c>
      <c r="O3810" s="18">
        <v>6750</v>
      </c>
      <c r="P3810" s="18">
        <v>6779</v>
      </c>
      <c r="Q3810" s="15"/>
      <c r="R3810" t="s" s="16">
        <f>HYPERLINK("http://secrets.rutgers.edu:8080/data/asl-ftp/asllvd/demos/verify_start_end_handshape_annotations//test_auto_move//signs_mov_separ_signers/Brady_15989.mov","MOV")</f>
        <v>21</v>
      </c>
    </row>
    <row r="3811" s="2" customFormat="1" ht="13.5" customHeight="1">
      <c r="B3811" s="13"/>
      <c r="C3811" t="s" s="9">
        <v>30</v>
      </c>
      <c r="D3811" t="s" s="8">
        <v>1307</v>
      </c>
      <c r="E3811" t="s" s="9">
        <v>1311</v>
      </c>
      <c r="F3811" t="s" s="10">
        <v>73</v>
      </c>
      <c r="G3811" s="14"/>
      <c r="H3811" t="s" s="10">
        <v>73</v>
      </c>
      <c r="I3811" s="14"/>
      <c r="J3811" t="s" s="11">
        <v>20</v>
      </c>
      <c r="K3811" s="15"/>
      <c r="L3811" t="s" s="16">
        <f>HYPERLINK("http://csr.bu.edu/ftp/asl/asllvd/demos/verify_start_end_handshape_annotations//test_auto_move//signs_mov_separ_signers/Brady_16004.mov","MOV")</f>
        <v>21</v>
      </c>
      <c r="M3811" t="s" s="10">
        <v>60</v>
      </c>
      <c r="N3811" s="17">
        <v>16</v>
      </c>
      <c r="O3811" s="18">
        <v>2646</v>
      </c>
      <c r="P3811" s="18">
        <v>2721</v>
      </c>
      <c r="Q3811" s="15"/>
      <c r="R3811" t="s" s="16">
        <f>HYPERLINK("http://secrets.rutgers.edu:8080/data/asl-ftp/asllvd/demos/verify_start_end_handshape_annotations//test_auto_move//signs_mov_separ_signers/Brady_16004.mov","MOV")</f>
        <v>21</v>
      </c>
    </row>
    <row r="3812" s="2" customFormat="1" ht="13.5" customHeight="1">
      <c r="B3812" s="13"/>
      <c r="C3812" t="s" s="9">
        <v>41</v>
      </c>
      <c r="D3812" t="s" s="8">
        <v>1307</v>
      </c>
      <c r="E3812" t="s" s="9">
        <v>1309</v>
      </c>
      <c r="F3812" t="s" s="10">
        <v>73</v>
      </c>
      <c r="G3812" s="14"/>
      <c r="H3812" t="s" s="10">
        <v>73</v>
      </c>
      <c r="I3812" s="14"/>
      <c r="J3812" t="s" s="11">
        <v>20</v>
      </c>
      <c r="K3812" s="15"/>
      <c r="L3812" t="s" s="16">
        <f>HYPERLINK("http://csr.bu.edu/ftp/asl/asllvd/demos/verify_start_end_handshape_annotations//test_auto_move//signs_mov_separ_signers/Lana_15989.mov","MOV")</f>
        <v>21</v>
      </c>
      <c r="M3812" t="s" s="10">
        <v>42</v>
      </c>
      <c r="N3812" s="17">
        <v>14</v>
      </c>
      <c r="O3812" s="18">
        <v>386</v>
      </c>
      <c r="P3812" s="18">
        <v>422</v>
      </c>
      <c r="Q3812" s="15"/>
      <c r="R3812" t="s" s="16">
        <f>HYPERLINK("http://secrets.rutgers.edu:8080/data/asl-ftp/asllvd/demos/verify_start_end_handshape_annotations//test_auto_move//signs_mov_separ_signers/Lana_15989.mov","MOV")</f>
        <v>21</v>
      </c>
    </row>
    <row r="3813" s="2" customFormat="1" ht="13.5" customHeight="1">
      <c r="B3813" s="13"/>
      <c r="C3813" t="s" s="9">
        <v>43</v>
      </c>
      <c r="D3813" t="s" s="8">
        <v>1307</v>
      </c>
      <c r="E3813" t="s" s="9">
        <v>1309</v>
      </c>
      <c r="F3813" t="s" s="10">
        <v>73</v>
      </c>
      <c r="G3813" s="14"/>
      <c r="H3813" t="s" s="10">
        <v>73</v>
      </c>
      <c r="I3813" s="14"/>
      <c r="J3813" t="s" s="11">
        <v>20</v>
      </c>
      <c r="K3813" s="15"/>
      <c r="L3813" t="s" s="16">
        <f>HYPERLINK("http://csr.bu.edu/ftp/asl/asllvd/demos/verify_start_end_handshape_annotations//test_auto_move//signs_mov_separ_signers/Dana_15989.mov","MOV")</f>
        <v>21</v>
      </c>
      <c r="M3813" t="s" s="10">
        <v>44</v>
      </c>
      <c r="N3813" s="17">
        <v>17</v>
      </c>
      <c r="O3813" s="18">
        <v>774</v>
      </c>
      <c r="P3813" s="18">
        <v>834</v>
      </c>
      <c r="Q3813" s="15"/>
      <c r="R3813" t="s" s="16">
        <f>HYPERLINK("http://secrets.rutgers.edu:8080/data/asl-ftp/asllvd/demos/verify_start_end_handshape_annotations//test_auto_move//signs_mov_separ_signers/Dana_15989.mov","MOV")</f>
        <v>21</v>
      </c>
    </row>
    <row r="3814" s="2" customFormat="1" ht="13.5" customHeight="1">
      <c r="B3814" t="s" s="8">
        <v>1312</v>
      </c>
      <c r="C3814" t="s" s="9">
        <v>14</v>
      </c>
      <c r="D3814" t="s" s="8">
        <v>14</v>
      </c>
      <c r="E3814" t="s" s="9">
        <v>14</v>
      </c>
      <c r="F3814" t="s" s="10">
        <v>14</v>
      </c>
      <c r="G3814" t="s" s="11">
        <v>14</v>
      </c>
      <c r="H3814" t="s" s="10">
        <v>14</v>
      </c>
      <c r="I3814" t="s" s="11">
        <v>14</v>
      </c>
      <c r="J3814" t="s" s="11">
        <v>14</v>
      </c>
      <c r="K3814" t="s" s="12">
        <v>14</v>
      </c>
      <c r="L3814" t="s" s="12">
        <v>14</v>
      </c>
      <c r="M3814" t="s" s="10">
        <v>14</v>
      </c>
      <c r="N3814" t="s" s="11">
        <v>14</v>
      </c>
      <c r="O3814" t="s" s="8">
        <v>14</v>
      </c>
      <c r="P3814" t="s" s="8">
        <v>14</v>
      </c>
      <c r="Q3814" t="s" s="12">
        <v>14</v>
      </c>
      <c r="R3814" t="s" s="12">
        <v>14</v>
      </c>
    </row>
    <row r="3815" s="2" customFormat="1" ht="13.5" customHeight="1">
      <c r="B3815" s="13"/>
      <c r="C3815" t="s" s="9">
        <v>16</v>
      </c>
      <c r="D3815" t="s" s="8">
        <v>1312</v>
      </c>
      <c r="E3815" t="s" s="9">
        <v>1313</v>
      </c>
      <c r="F3815" s="19">
        <v>5</v>
      </c>
      <c r="G3815" t="s" s="11">
        <v>68</v>
      </c>
      <c r="H3815" s="19">
        <v>5</v>
      </c>
      <c r="I3815" t="s" s="11">
        <v>68</v>
      </c>
      <c r="J3815" t="s" s="11">
        <v>20</v>
      </c>
      <c r="K3815" s="15"/>
      <c r="L3815" t="s" s="16">
        <f>HYPERLINK("http://csr.bu.edu/ftp/asl/asllvd/demos/verify_start_end_handshape_annotations//test_auto_move//signs_mov_separ_signers/Liz_814.mov","MOV")</f>
        <v>21</v>
      </c>
      <c r="M3815" t="s" s="10">
        <v>84</v>
      </c>
      <c r="N3815" s="17">
        <v>32</v>
      </c>
      <c r="O3815" s="18">
        <v>1385</v>
      </c>
      <c r="P3815" s="18">
        <v>1420</v>
      </c>
      <c r="Q3815" s="15"/>
      <c r="R3815" t="s" s="16">
        <f>HYPERLINK("http://secrets.rutgers.edu:8080/data/asl-ftp/asllvd/demos/verify_start_end_handshape_annotations//test_auto_move//signs_mov_separ_signers/Liz_814.mov","MOV")</f>
        <v>21</v>
      </c>
    </row>
    <row r="3816" s="2" customFormat="1" ht="13.5" customHeight="1">
      <c r="B3816" s="13"/>
      <c r="C3816" t="s" s="9">
        <v>23</v>
      </c>
      <c r="D3816" t="s" s="8">
        <v>1312</v>
      </c>
      <c r="E3816" t="s" s="9">
        <v>1313</v>
      </c>
      <c r="F3816" s="19">
        <v>5</v>
      </c>
      <c r="G3816" t="s" s="11">
        <v>68</v>
      </c>
      <c r="H3816" s="19">
        <v>5</v>
      </c>
      <c r="I3816" t="s" s="11">
        <v>68</v>
      </c>
      <c r="J3816" t="s" s="11">
        <v>20</v>
      </c>
      <c r="K3816" s="15"/>
      <c r="L3816" t="s" s="16">
        <f>HYPERLINK("http://csr.bu.edu/ftp/asl/asllvd/demos/verify_start_end_handshape_annotations//test_auto_move//signs_mov_separ_signers/Tyler_814.mov","MOV")</f>
        <v>21</v>
      </c>
      <c r="M3816" t="s" s="10">
        <v>92</v>
      </c>
      <c r="N3816" s="17">
        <v>12</v>
      </c>
      <c r="O3816" s="18">
        <v>1335</v>
      </c>
      <c r="P3816" s="18">
        <v>1370</v>
      </c>
      <c r="Q3816" s="15"/>
      <c r="R3816" t="s" s="16">
        <f>HYPERLINK("http://secrets.rutgers.edu:8080/data/asl-ftp/asllvd/demos/verify_start_end_handshape_annotations//test_auto_move//signs_mov_separ_signers/Tyler_814.mov","MOV")</f>
        <v>21</v>
      </c>
    </row>
    <row r="3817" s="2" customFormat="1" ht="13.5" customHeight="1">
      <c r="B3817" s="13"/>
      <c r="C3817" t="s" s="9">
        <v>27</v>
      </c>
      <c r="D3817" t="s" s="8">
        <v>1312</v>
      </c>
      <c r="E3817" t="s" s="9">
        <v>1313</v>
      </c>
      <c r="F3817" s="19">
        <v>5</v>
      </c>
      <c r="G3817" t="s" s="11">
        <v>68</v>
      </c>
      <c r="H3817" s="19">
        <v>5</v>
      </c>
      <c r="I3817" t="s" s="11">
        <v>68</v>
      </c>
      <c r="J3817" t="s" s="11">
        <v>20</v>
      </c>
      <c r="K3817" t="s" s="16">
        <f>HYPERLINK("http://csr.bu.edu/ftp/asl/asllvd/demos/verify_start_end_handshape_annotations//test_auto_move//signs_mov/814.mov","MOV")</f>
        <v>21</v>
      </c>
      <c r="L3817" t="s" s="16">
        <f>HYPERLINK("http://csr.bu.edu/ftp/asl/asllvd/demos/verify_start_end_handshape_annotations//test_auto_move//signs_mov_separ_signers/Naomi_814.mov","MOV")</f>
        <v>21</v>
      </c>
      <c r="M3817" t="s" s="10">
        <v>86</v>
      </c>
      <c r="N3817" s="17">
        <v>32</v>
      </c>
      <c r="O3817" s="18">
        <v>820</v>
      </c>
      <c r="P3817" s="18">
        <v>845</v>
      </c>
      <c r="Q3817" t="s" s="16">
        <f>HYPERLINK("http://secrets.rutgers.edu:8080/data/asl-ftp/asllvd/demos/verify_start_end_handshape_annotations//test_auto_move//signs_mov/814.mov","MOV")</f>
        <v>21</v>
      </c>
      <c r="R3817" t="s" s="16">
        <f>HYPERLINK("http://secrets.rutgers.edu:8080/data/asl-ftp/asllvd/demos/verify_start_end_handshape_annotations//test_auto_move//signs_mov_separ_signers/Naomi_814.mov","MOV")</f>
        <v>21</v>
      </c>
    </row>
    <row r="3818" s="2" customFormat="1" ht="13.5" customHeight="1">
      <c r="B3818" s="13"/>
      <c r="C3818" t="s" s="9">
        <v>30</v>
      </c>
      <c r="D3818" t="s" s="8">
        <v>1312</v>
      </c>
      <c r="E3818" t="s" s="9">
        <v>1313</v>
      </c>
      <c r="F3818" s="19">
        <v>5</v>
      </c>
      <c r="G3818" t="s" s="11">
        <v>68</v>
      </c>
      <c r="H3818" s="19">
        <v>5</v>
      </c>
      <c r="I3818" t="s" s="11">
        <v>68</v>
      </c>
      <c r="J3818" t="s" s="11">
        <v>20</v>
      </c>
      <c r="K3818" s="15"/>
      <c r="L3818" t="s" s="16">
        <f>HYPERLINK("http://csr.bu.edu/ftp/asl/asllvd/demos/verify_start_end_handshape_annotations//test_auto_move//signs_mov_separ_signers/Brady_814.mov","MOV")</f>
        <v>21</v>
      </c>
      <c r="M3818" t="s" s="10">
        <v>39</v>
      </c>
      <c r="N3818" s="17">
        <v>12</v>
      </c>
      <c r="O3818" s="18">
        <v>5575</v>
      </c>
      <c r="P3818" s="18">
        <v>5600</v>
      </c>
      <c r="Q3818" s="15"/>
      <c r="R3818" t="s" s="16">
        <f>HYPERLINK("http://secrets.rutgers.edu:8080/data/asl-ftp/asllvd/demos/verify_start_end_handshape_annotations//test_auto_move//signs_mov_separ_signers/Brady_814.mov","MOV")</f>
        <v>21</v>
      </c>
    </row>
    <row r="3819" s="2" customFormat="1" ht="13.5" customHeight="1">
      <c r="B3819" s="13"/>
      <c r="C3819" t="s" s="9">
        <v>41</v>
      </c>
      <c r="D3819" t="s" s="8">
        <v>1312</v>
      </c>
      <c r="E3819" t="s" s="9">
        <v>1313</v>
      </c>
      <c r="F3819" s="19">
        <v>5</v>
      </c>
      <c r="G3819" t="s" s="11">
        <v>68</v>
      </c>
      <c r="H3819" s="19">
        <v>5</v>
      </c>
      <c r="I3819" t="s" s="11">
        <v>68</v>
      </c>
      <c r="J3819" t="s" s="11">
        <v>20</v>
      </c>
      <c r="K3819" s="15"/>
      <c r="L3819" t="s" s="16">
        <f>HYPERLINK("http://csr.bu.edu/ftp/asl/asllvd/demos/verify_start_end_handshape_annotations//test_auto_move//signs_mov_separ_signers/Lana_814.mov","MOV")</f>
        <v>21</v>
      </c>
      <c r="M3819" t="s" s="10">
        <v>42</v>
      </c>
      <c r="N3819" s="17">
        <v>8</v>
      </c>
      <c r="O3819" s="18">
        <v>2318</v>
      </c>
      <c r="P3819" s="18">
        <v>2352</v>
      </c>
      <c r="Q3819" s="15"/>
      <c r="R3819" t="s" s="16">
        <f>HYPERLINK("http://secrets.rutgers.edu:8080/data/asl-ftp/asllvd/demos/verify_start_end_handshape_annotations//test_auto_move//signs_mov_separ_signers/Lana_814.mov","MOV")</f>
        <v>21</v>
      </c>
    </row>
    <row r="3820" s="2" customFormat="1" ht="13.5" customHeight="1">
      <c r="B3820" s="13"/>
      <c r="C3820" t="s" s="9">
        <v>43</v>
      </c>
      <c r="D3820" t="s" s="8">
        <v>1312</v>
      </c>
      <c r="E3820" t="s" s="9">
        <v>1313</v>
      </c>
      <c r="F3820" s="19">
        <v>5</v>
      </c>
      <c r="G3820" t="s" s="11">
        <v>68</v>
      </c>
      <c r="H3820" s="19">
        <v>5</v>
      </c>
      <c r="I3820" t="s" s="11">
        <v>68</v>
      </c>
      <c r="J3820" t="s" s="11">
        <v>20</v>
      </c>
      <c r="K3820" s="15"/>
      <c r="L3820" t="s" s="16">
        <f>HYPERLINK("http://csr.bu.edu/ftp/asl/asllvd/demos/verify_start_end_handshape_annotations//test_auto_move//signs_mov_separ_signers/Dana_814.mov","MOV")</f>
        <v>21</v>
      </c>
      <c r="M3820" t="s" s="10">
        <v>44</v>
      </c>
      <c r="N3820" s="17">
        <v>12</v>
      </c>
      <c r="O3820" s="18">
        <v>2260</v>
      </c>
      <c r="P3820" s="18">
        <v>2301</v>
      </c>
      <c r="Q3820" s="15"/>
      <c r="R3820" t="s" s="16">
        <f>HYPERLINK("http://secrets.rutgers.edu:8080/data/asl-ftp/asllvd/demos/verify_start_end_handshape_annotations//test_auto_move//signs_mov_separ_signers/Dana_814.mov","MOV")</f>
        <v>21</v>
      </c>
    </row>
    <row r="3821" s="2" customFormat="1" ht="13.5" customHeight="1">
      <c r="B3821" t="s" s="8">
        <v>1314</v>
      </c>
      <c r="C3821" t="s" s="9">
        <v>14</v>
      </c>
      <c r="D3821" t="s" s="8">
        <v>14</v>
      </c>
      <c r="E3821" t="s" s="9">
        <v>14</v>
      </c>
      <c r="F3821" t="s" s="10">
        <v>14</v>
      </c>
      <c r="G3821" t="s" s="11">
        <v>14</v>
      </c>
      <c r="H3821" t="s" s="10">
        <v>14</v>
      </c>
      <c r="I3821" t="s" s="11">
        <v>14</v>
      </c>
      <c r="J3821" t="s" s="11">
        <v>14</v>
      </c>
      <c r="K3821" t="s" s="12">
        <v>14</v>
      </c>
      <c r="L3821" t="s" s="12">
        <v>14</v>
      </c>
      <c r="M3821" t="s" s="10">
        <v>14</v>
      </c>
      <c r="N3821" t="s" s="11">
        <v>14</v>
      </c>
      <c r="O3821" t="s" s="8">
        <v>14</v>
      </c>
      <c r="P3821" t="s" s="8">
        <v>14</v>
      </c>
      <c r="Q3821" t="s" s="12">
        <v>14</v>
      </c>
      <c r="R3821" t="s" s="12">
        <v>14</v>
      </c>
    </row>
    <row r="3822" s="2" customFormat="1" ht="13.5" customHeight="1">
      <c r="B3822" s="13"/>
      <c r="C3822" t="s" s="9">
        <v>16</v>
      </c>
      <c r="D3822" t="s" s="8">
        <v>1314</v>
      </c>
      <c r="E3822" t="s" s="9">
        <v>1314</v>
      </c>
      <c r="F3822" t="s" s="10">
        <v>73</v>
      </c>
      <c r="G3822" t="s" s="11">
        <v>68</v>
      </c>
      <c r="H3822" t="s" s="10">
        <v>73</v>
      </c>
      <c r="I3822" t="s" s="11">
        <v>68</v>
      </c>
      <c r="J3822" t="s" s="11">
        <v>20</v>
      </c>
      <c r="K3822" s="15"/>
      <c r="L3822" t="s" s="16">
        <f>HYPERLINK("http://csr.bu.edu/ftp/asl/asllvd/demos/verify_start_end_handshape_annotations//test_auto_move//signs_mov_separ_signers/Liz_15646.mov","MOV")</f>
        <v>21</v>
      </c>
      <c r="M3822" t="s" s="10">
        <v>88</v>
      </c>
      <c r="N3822" s="17">
        <v>42</v>
      </c>
      <c r="O3822" s="18">
        <v>1671</v>
      </c>
      <c r="P3822" s="18">
        <v>1701</v>
      </c>
      <c r="Q3822" s="15"/>
      <c r="R3822" t="s" s="16">
        <f>HYPERLINK("http://secrets.rutgers.edu:8080/data/asl-ftp/asllvd/demos/verify_start_end_handshape_annotations//test_auto_move//signs_mov_separ_signers/Liz_15646.mov","MOV")</f>
        <v>21</v>
      </c>
    </row>
    <row r="3823" s="2" customFormat="1" ht="13.5" customHeight="1">
      <c r="B3823" s="13"/>
      <c r="C3823" t="s" s="9">
        <v>30</v>
      </c>
      <c r="D3823" t="s" s="8">
        <v>1314</v>
      </c>
      <c r="E3823" t="s" s="9">
        <v>1314</v>
      </c>
      <c r="F3823" s="19">
        <v>5</v>
      </c>
      <c r="G3823" t="s" s="11">
        <v>68</v>
      </c>
      <c r="H3823" s="19">
        <v>5</v>
      </c>
      <c r="I3823" t="s" s="11">
        <v>68</v>
      </c>
      <c r="J3823" t="s" s="11">
        <v>20</v>
      </c>
      <c r="K3823" t="s" s="16">
        <f>HYPERLINK("http://csr.bu.edu/ftp/asl/asllvd/demos/verify_start_end_handshape_annotations//test_auto_move//signs_mov/15646.mov","MOV")</f>
        <v>21</v>
      </c>
      <c r="L3823" t="s" s="16">
        <f>HYPERLINK("http://csr.bu.edu/ftp/asl/asllvd/demos/verify_start_end_handshape_annotations//test_auto_move//signs_mov_separ_signers/Brady_15646.mov","MOV")</f>
        <v>21</v>
      </c>
      <c r="M3823" t="s" s="10">
        <v>40</v>
      </c>
      <c r="N3823" s="17">
        <v>36</v>
      </c>
      <c r="O3823" s="18">
        <v>2321</v>
      </c>
      <c r="P3823" s="18">
        <v>2362</v>
      </c>
      <c r="Q3823" t="s" s="16">
        <f>HYPERLINK("http://secrets.rutgers.edu:8080/data/asl-ftp/asllvd/demos/verify_start_end_handshape_annotations//test_auto_move//signs_mov/15646.mov","MOV")</f>
        <v>21</v>
      </c>
      <c r="R3823" t="s" s="16">
        <f>HYPERLINK("http://secrets.rutgers.edu:8080/data/asl-ftp/asllvd/demos/verify_start_end_handshape_annotations//test_auto_move//signs_mov_separ_signers/Brady_15646.mov","MOV")</f>
        <v>21</v>
      </c>
    </row>
    <row r="3824" s="2" customFormat="1" ht="13.5" customHeight="1">
      <c r="B3824" s="13"/>
      <c r="C3824" t="s" s="9">
        <v>41</v>
      </c>
      <c r="D3824" t="s" s="8">
        <v>1314</v>
      </c>
      <c r="E3824" t="s" s="9">
        <v>1314</v>
      </c>
      <c r="F3824" s="19">
        <v>5</v>
      </c>
      <c r="G3824" t="s" s="11">
        <v>68</v>
      </c>
      <c r="H3824" s="19">
        <v>5</v>
      </c>
      <c r="I3824" t="s" s="11">
        <v>68</v>
      </c>
      <c r="J3824" t="s" s="11">
        <v>20</v>
      </c>
      <c r="K3824" s="15"/>
      <c r="L3824" t="s" s="16">
        <f>HYPERLINK("http://csr.bu.edu/ftp/asl/asllvd/demos/verify_start_end_handshape_annotations//test_auto_move//signs_mov_separ_signers/Lana_15646.mov","MOV")</f>
        <v>21</v>
      </c>
      <c r="M3824" t="s" s="10">
        <v>42</v>
      </c>
      <c r="N3824" s="17">
        <v>21</v>
      </c>
      <c r="O3824" s="18">
        <v>1152</v>
      </c>
      <c r="P3824" s="18">
        <v>1173</v>
      </c>
      <c r="Q3824" s="15"/>
      <c r="R3824" t="s" s="16">
        <f>HYPERLINK("http://secrets.rutgers.edu:8080/data/asl-ftp/asllvd/demos/verify_start_end_handshape_annotations//test_auto_move//signs_mov_separ_signers/Lana_15646.mov","MOV")</f>
        <v>21</v>
      </c>
    </row>
    <row r="3825" s="2" customFormat="1" ht="13.5" customHeight="1">
      <c r="B3825" s="13"/>
      <c r="C3825" t="s" s="9">
        <v>43</v>
      </c>
      <c r="D3825" t="s" s="8">
        <v>1314</v>
      </c>
      <c r="E3825" t="s" s="9">
        <v>1314</v>
      </c>
      <c r="F3825" s="19">
        <v>5</v>
      </c>
      <c r="G3825" t="s" s="11">
        <v>68</v>
      </c>
      <c r="H3825" s="19">
        <v>5</v>
      </c>
      <c r="I3825" t="s" s="11">
        <v>68</v>
      </c>
      <c r="J3825" t="s" s="11">
        <v>20</v>
      </c>
      <c r="K3825" s="15"/>
      <c r="L3825" t="s" s="16">
        <f>HYPERLINK("http://csr.bu.edu/ftp/asl/asllvd/demos/verify_start_end_handshape_annotations//test_auto_move//signs_mov_separ_signers/Dana_15646.mov","MOV")</f>
        <v>21</v>
      </c>
      <c r="M3825" t="s" s="10">
        <v>44</v>
      </c>
      <c r="N3825" s="17">
        <v>23</v>
      </c>
      <c r="O3825" s="18">
        <v>1064</v>
      </c>
      <c r="P3825" s="18">
        <v>1115</v>
      </c>
      <c r="Q3825" s="15"/>
      <c r="R3825" t="s" s="16">
        <f>HYPERLINK("http://secrets.rutgers.edu:8080/data/asl-ftp/asllvd/demos/verify_start_end_handshape_annotations//test_auto_move//signs_mov_separ_signers/Dana_15646.mov","MOV")</f>
        <v>21</v>
      </c>
    </row>
    <row r="3826" s="2" customFormat="1" ht="13.5" customHeight="1">
      <c r="B3826" t="s" s="8">
        <v>1315</v>
      </c>
      <c r="C3826" t="s" s="9">
        <v>14</v>
      </c>
      <c r="D3826" t="s" s="8">
        <v>14</v>
      </c>
      <c r="E3826" t="s" s="9">
        <v>14</v>
      </c>
      <c r="F3826" t="s" s="10">
        <v>14</v>
      </c>
      <c r="G3826" t="s" s="11">
        <v>14</v>
      </c>
      <c r="H3826" t="s" s="10">
        <v>14</v>
      </c>
      <c r="I3826" t="s" s="11">
        <v>14</v>
      </c>
      <c r="J3826" t="s" s="11">
        <v>14</v>
      </c>
      <c r="K3826" t="s" s="12">
        <v>14</v>
      </c>
      <c r="L3826" t="s" s="12">
        <v>14</v>
      </c>
      <c r="M3826" t="s" s="10">
        <v>14</v>
      </c>
      <c r="N3826" t="s" s="11">
        <v>14</v>
      </c>
      <c r="O3826" t="s" s="8">
        <v>14</v>
      </c>
      <c r="P3826" t="s" s="8">
        <v>14</v>
      </c>
      <c r="Q3826" t="s" s="12">
        <v>14</v>
      </c>
      <c r="R3826" t="s" s="12">
        <v>14</v>
      </c>
    </row>
    <row r="3827" s="2" customFormat="1" ht="13.5" customHeight="1">
      <c r="B3827" s="13"/>
      <c r="C3827" t="s" s="9">
        <v>16</v>
      </c>
      <c r="D3827" t="s" s="8">
        <v>1315</v>
      </c>
      <c r="E3827" t="s" s="9">
        <v>1315</v>
      </c>
      <c r="F3827" t="s" s="10">
        <v>73</v>
      </c>
      <c r="G3827" t="s" s="11">
        <v>68</v>
      </c>
      <c r="H3827" t="s" s="10">
        <v>73</v>
      </c>
      <c r="I3827" t="s" s="11">
        <v>68</v>
      </c>
      <c r="J3827" t="s" s="11">
        <v>20</v>
      </c>
      <c r="K3827" s="15"/>
      <c r="L3827" t="s" s="16">
        <f>HYPERLINK("http://csr.bu.edu/ftp/asl/asllvd/demos/verify_start_end_handshape_annotations//test_auto_move//signs_mov_separ_signers/Liz_15663.mov","MOV")</f>
        <v>21</v>
      </c>
      <c r="M3827" t="s" s="10">
        <v>84</v>
      </c>
      <c r="N3827" s="17">
        <v>2</v>
      </c>
      <c r="O3827" s="18">
        <v>775</v>
      </c>
      <c r="P3827" s="18">
        <v>810</v>
      </c>
      <c r="Q3827" s="15"/>
      <c r="R3827" t="s" s="16">
        <f>HYPERLINK("http://secrets.rutgers.edu:8080/data/asl-ftp/asllvd/demos/verify_start_end_handshape_annotations//test_auto_move//signs_mov_separ_signers/Liz_15663.mov","MOV")</f>
        <v>21</v>
      </c>
    </row>
    <row r="3828" s="2" customFormat="1" ht="13.5" customHeight="1">
      <c r="B3828" s="13"/>
      <c r="C3828" t="s" s="9">
        <v>16</v>
      </c>
      <c r="D3828" t="s" s="8">
        <v>1315</v>
      </c>
      <c r="E3828" t="s" s="9">
        <v>1315</v>
      </c>
      <c r="F3828" s="19">
        <v>5</v>
      </c>
      <c r="G3828" t="s" s="11">
        <v>68</v>
      </c>
      <c r="H3828" s="19">
        <v>5</v>
      </c>
      <c r="I3828" t="s" s="11">
        <v>68</v>
      </c>
      <c r="J3828" t="s" s="11">
        <v>20</v>
      </c>
      <c r="K3828" s="15"/>
      <c r="L3828" t="s" s="16">
        <f>HYPERLINK("http://csr.bu.edu/ftp/asl/asllvd/demos/verify_start_end_handshape_annotations//test_auto_move//signs_mov_separ_signers/Liz_15681.mov","MOV")</f>
        <v>21</v>
      </c>
      <c r="M3828" t="s" s="10">
        <v>34</v>
      </c>
      <c r="N3828" s="17">
        <v>1</v>
      </c>
      <c r="O3828" s="18">
        <v>575</v>
      </c>
      <c r="P3828" s="18">
        <v>620</v>
      </c>
      <c r="Q3828" s="15"/>
      <c r="R3828" t="s" s="16">
        <f>HYPERLINK("http://secrets.rutgers.edu:8080/data/asl-ftp/asllvd/demos/verify_start_end_handshape_annotations//test_auto_move//signs_mov_separ_signers/Liz_15681.mov","MOV")</f>
        <v>21</v>
      </c>
    </row>
    <row r="3829" s="2" customFormat="1" ht="13.5" customHeight="1">
      <c r="B3829" s="13"/>
      <c r="C3829" t="s" s="9">
        <v>23</v>
      </c>
      <c r="D3829" t="s" s="8">
        <v>1315</v>
      </c>
      <c r="E3829" t="s" s="9">
        <v>1315</v>
      </c>
      <c r="F3829" s="19">
        <v>5</v>
      </c>
      <c r="G3829" t="s" s="11">
        <v>68</v>
      </c>
      <c r="H3829" s="19">
        <v>5</v>
      </c>
      <c r="I3829" t="s" s="11">
        <v>68</v>
      </c>
      <c r="J3829" t="s" s="11">
        <v>20</v>
      </c>
      <c r="K3829" s="15"/>
      <c r="L3829" t="s" s="16">
        <f>HYPERLINK("http://csr.bu.edu/ftp/asl/asllvd/demos/verify_start_end_handshape_annotations//test_auto_move//signs_mov_separ_signers/Tyler_15663.mov","MOV")</f>
        <v>21</v>
      </c>
      <c r="M3829" t="s" s="10">
        <v>125</v>
      </c>
      <c r="N3829" s="17">
        <v>2</v>
      </c>
      <c r="O3829" s="18">
        <v>570</v>
      </c>
      <c r="P3829" s="18">
        <v>595</v>
      </c>
      <c r="Q3829" s="15"/>
      <c r="R3829" t="s" s="16">
        <f>HYPERLINK("http://secrets.rutgers.edu:8080/data/asl-ftp/asllvd/demos/verify_start_end_handshape_annotations//test_auto_move//signs_mov_separ_signers/Tyler_15663.mov","MOV")</f>
        <v>21</v>
      </c>
    </row>
    <row r="3830" s="2" customFormat="1" ht="13.5" customHeight="1">
      <c r="B3830" s="13"/>
      <c r="C3830" t="s" s="9">
        <v>23</v>
      </c>
      <c r="D3830" t="s" s="8">
        <v>1315</v>
      </c>
      <c r="E3830" t="s" s="9">
        <v>1315</v>
      </c>
      <c r="F3830" s="19">
        <v>5</v>
      </c>
      <c r="G3830" t="s" s="11">
        <v>68</v>
      </c>
      <c r="H3830" s="19">
        <v>5</v>
      </c>
      <c r="I3830" t="s" s="11">
        <v>68</v>
      </c>
      <c r="J3830" t="s" s="11">
        <v>20</v>
      </c>
      <c r="K3830" t="s" s="16">
        <f>HYPERLINK("http://csr.bu.edu/ftp/asl/asllvd/demos/verify_start_end_handshape_annotations//test_auto_move//signs_mov/15663_15681_merged.mov","MOV")</f>
        <v>21</v>
      </c>
      <c r="L3830" t="s" s="16">
        <f>HYPERLINK("http://csr.bu.edu/ftp/asl/asllvd/demos/verify_start_end_handshape_annotations//test_auto_move//signs_mov_separ_signers/Tyler_15681.mov","MOV")</f>
        <v>21</v>
      </c>
      <c r="M3830" t="s" s="10">
        <v>92</v>
      </c>
      <c r="N3830" s="17">
        <v>32</v>
      </c>
      <c r="O3830" s="18">
        <v>466</v>
      </c>
      <c r="P3830" s="18">
        <v>490</v>
      </c>
      <c r="Q3830" t="s" s="16">
        <f>HYPERLINK("http://secrets.rutgers.edu:8080/data/asl-ftp/asllvd/demos/verify_start_end_handshape_annotations//test_auto_move//signs_mov/15663_15681_merged.mov","MOV")</f>
        <v>21</v>
      </c>
      <c r="R3830" t="s" s="16">
        <f>HYPERLINK("http://secrets.rutgers.edu:8080/data/asl-ftp/asllvd/demos/verify_start_end_handshape_annotations//test_auto_move//signs_mov_separ_signers/Tyler_15681.mov","MOV")</f>
        <v>21</v>
      </c>
    </row>
    <row r="3831" s="2" customFormat="1" ht="13.5" customHeight="1">
      <c r="B3831" s="13"/>
      <c r="C3831" t="s" s="9">
        <v>27</v>
      </c>
      <c r="D3831" t="s" s="8">
        <v>1315</v>
      </c>
      <c r="E3831" t="s" s="9">
        <v>1315</v>
      </c>
      <c r="F3831" t="s" s="10">
        <v>73</v>
      </c>
      <c r="G3831" t="s" s="11">
        <v>68</v>
      </c>
      <c r="H3831" t="s" s="10">
        <v>73</v>
      </c>
      <c r="I3831" t="s" s="11">
        <v>68</v>
      </c>
      <c r="J3831" t="s" s="11">
        <v>20</v>
      </c>
      <c r="K3831" s="15"/>
      <c r="L3831" t="s" s="16">
        <f>HYPERLINK("http://csr.bu.edu/ftp/asl/asllvd/demos/verify_start_end_handshape_annotations//test_auto_move//signs_mov_separ_signers/Naomi_15663.mov","MOV")</f>
        <v>21</v>
      </c>
      <c r="M3831" t="s" s="10">
        <v>86</v>
      </c>
      <c r="N3831" s="17">
        <v>2</v>
      </c>
      <c r="O3831" s="18">
        <v>525</v>
      </c>
      <c r="P3831" s="18">
        <v>551</v>
      </c>
      <c r="Q3831" s="15"/>
      <c r="R3831" t="s" s="16">
        <f>HYPERLINK("http://secrets.rutgers.edu:8080/data/asl-ftp/asllvd/demos/verify_start_end_handshape_annotations//test_auto_move//signs_mov_separ_signers/Naomi_15663.mov","MOV")</f>
        <v>21</v>
      </c>
    </row>
    <row r="3832" s="2" customFormat="1" ht="13.5" customHeight="1">
      <c r="B3832" s="13"/>
      <c r="C3832" t="s" s="9">
        <v>27</v>
      </c>
      <c r="D3832" t="s" s="8">
        <v>1315</v>
      </c>
      <c r="E3832" t="s" s="9">
        <v>1315</v>
      </c>
      <c r="F3832" t="s" s="10">
        <v>73</v>
      </c>
      <c r="G3832" t="s" s="11">
        <v>68</v>
      </c>
      <c r="H3832" t="s" s="10">
        <v>73</v>
      </c>
      <c r="I3832" t="s" s="11">
        <v>68</v>
      </c>
      <c r="J3832" t="s" s="11">
        <v>20</v>
      </c>
      <c r="K3832" s="15"/>
      <c r="L3832" t="s" s="16">
        <f>HYPERLINK("http://csr.bu.edu/ftp/asl/asllvd/demos/verify_start_end_handshape_annotations//test_auto_move//signs_mov_separ_signers/Naomi_15681.mov","MOV")</f>
        <v>21</v>
      </c>
      <c r="M3832" t="s" s="10">
        <v>38</v>
      </c>
      <c r="N3832" s="17">
        <v>1</v>
      </c>
      <c r="O3832" s="18">
        <v>665</v>
      </c>
      <c r="P3832" s="18">
        <v>688</v>
      </c>
      <c r="Q3832" s="15"/>
      <c r="R3832" t="s" s="16">
        <f>HYPERLINK("http://secrets.rutgers.edu:8080/data/asl-ftp/asllvd/demos/verify_start_end_handshape_annotations//test_auto_move//signs_mov_separ_signers/Naomi_15681.mov","MOV")</f>
        <v>21</v>
      </c>
    </row>
    <row r="3833" s="2" customFormat="1" ht="13.5" customHeight="1">
      <c r="B3833" s="13"/>
      <c r="C3833" t="s" s="9">
        <v>30</v>
      </c>
      <c r="D3833" t="s" s="8">
        <v>1315</v>
      </c>
      <c r="E3833" t="s" s="9">
        <v>1315</v>
      </c>
      <c r="F3833" s="19">
        <v>5</v>
      </c>
      <c r="G3833" t="s" s="11">
        <v>68</v>
      </c>
      <c r="H3833" s="19">
        <v>5</v>
      </c>
      <c r="I3833" t="s" s="11">
        <v>68</v>
      </c>
      <c r="J3833" t="s" s="11">
        <v>20</v>
      </c>
      <c r="K3833" s="15"/>
      <c r="L3833" t="s" s="16">
        <f>HYPERLINK("http://csr.bu.edu/ftp/asl/asllvd/demos/verify_start_end_handshape_annotations//test_auto_move//signs_mov_separ_signers/Brady_15663.mov","MOV")</f>
        <v>21</v>
      </c>
      <c r="M3833" t="s" s="10">
        <v>31</v>
      </c>
      <c r="N3833" s="17">
        <v>29</v>
      </c>
      <c r="O3833" s="18">
        <v>6349</v>
      </c>
      <c r="P3833" s="18">
        <v>6365</v>
      </c>
      <c r="Q3833" s="15"/>
      <c r="R3833" t="s" s="16">
        <f>HYPERLINK("http://secrets.rutgers.edu:8080/data/asl-ftp/asllvd/demos/verify_start_end_handshape_annotations//test_auto_move//signs_mov_separ_signers/Brady_15663.mov","MOV")</f>
        <v>21</v>
      </c>
    </row>
    <row r="3834" s="2" customFormat="1" ht="13.5" customHeight="1">
      <c r="B3834" s="13"/>
      <c r="C3834" t="s" s="9">
        <v>30</v>
      </c>
      <c r="D3834" t="s" s="8">
        <v>1315</v>
      </c>
      <c r="E3834" t="s" s="9">
        <v>1315</v>
      </c>
      <c r="F3834" s="19">
        <v>5</v>
      </c>
      <c r="G3834" t="s" s="11">
        <v>68</v>
      </c>
      <c r="H3834" s="19">
        <v>5</v>
      </c>
      <c r="I3834" t="s" s="11">
        <v>68</v>
      </c>
      <c r="J3834" t="s" s="11">
        <v>20</v>
      </c>
      <c r="K3834" s="15"/>
      <c r="L3834" t="s" s="16">
        <f>HYPERLINK("http://csr.bu.edu/ftp/asl/asllvd/demos/verify_start_end_handshape_annotations//test_auto_move//signs_mov_separ_signers/Brady_15681.mov","MOV")</f>
        <v>21</v>
      </c>
      <c r="M3834" t="s" s="10">
        <v>39</v>
      </c>
      <c r="N3834" s="17">
        <v>23</v>
      </c>
      <c r="O3834" s="18">
        <v>5329</v>
      </c>
      <c r="P3834" s="18">
        <v>5346</v>
      </c>
      <c r="Q3834" s="15"/>
      <c r="R3834" t="s" s="16">
        <f>HYPERLINK("http://secrets.rutgers.edu:8080/data/asl-ftp/asllvd/demos/verify_start_end_handshape_annotations//test_auto_move//signs_mov_separ_signers/Brady_15681.mov","MOV")</f>
        <v>21</v>
      </c>
    </row>
    <row r="3835" s="2" customFormat="1" ht="13.5" customHeight="1">
      <c r="B3835" t="s" s="8">
        <v>1316</v>
      </c>
      <c r="C3835" t="s" s="9">
        <v>14</v>
      </c>
      <c r="D3835" t="s" s="8">
        <v>14</v>
      </c>
      <c r="E3835" t="s" s="9">
        <v>14</v>
      </c>
      <c r="F3835" t="s" s="10">
        <v>14</v>
      </c>
      <c r="G3835" t="s" s="11">
        <v>14</v>
      </c>
      <c r="H3835" t="s" s="10">
        <v>14</v>
      </c>
      <c r="I3835" t="s" s="11">
        <v>14</v>
      </c>
      <c r="J3835" t="s" s="11">
        <v>14</v>
      </c>
      <c r="K3835" t="s" s="12">
        <v>14</v>
      </c>
      <c r="L3835" t="s" s="12">
        <v>14</v>
      </c>
      <c r="M3835" t="s" s="10">
        <v>14</v>
      </c>
      <c r="N3835" t="s" s="11">
        <v>14</v>
      </c>
      <c r="O3835" t="s" s="8">
        <v>14</v>
      </c>
      <c r="P3835" t="s" s="8">
        <v>14</v>
      </c>
      <c r="Q3835" t="s" s="12">
        <v>14</v>
      </c>
      <c r="R3835" t="s" s="12">
        <v>14</v>
      </c>
    </row>
    <row r="3836" s="2" customFormat="1" ht="13.5" customHeight="1">
      <c r="B3836" s="13"/>
      <c r="C3836" t="s" s="9">
        <v>16</v>
      </c>
      <c r="D3836" t="s" s="8">
        <v>1316</v>
      </c>
      <c r="E3836" t="s" s="9">
        <v>1317</v>
      </c>
      <c r="F3836" t="s" s="10">
        <v>80</v>
      </c>
      <c r="G3836" t="s" s="11">
        <v>80</v>
      </c>
      <c r="H3836" t="s" s="10">
        <v>80</v>
      </c>
      <c r="I3836" t="s" s="11">
        <v>80</v>
      </c>
      <c r="J3836" t="s" s="11">
        <v>20</v>
      </c>
      <c r="K3836" s="15"/>
      <c r="L3836" t="s" s="16">
        <f>HYPERLINK("http://csr.bu.edu/ftp/asl/asllvd/demos/verify_start_end_handshape_annotations//test_auto_move//signs_mov_separ_signers/Liz_818.mov","MOV")</f>
        <v>21</v>
      </c>
      <c r="M3836" t="s" s="10">
        <v>84</v>
      </c>
      <c r="N3836" s="17">
        <v>32</v>
      </c>
      <c r="O3836" s="18">
        <v>2246</v>
      </c>
      <c r="P3836" s="18">
        <v>2290</v>
      </c>
      <c r="Q3836" s="15"/>
      <c r="R3836" t="s" s="16">
        <f>HYPERLINK("http://secrets.rutgers.edu:8080/data/asl-ftp/asllvd/demos/verify_start_end_handshape_annotations//test_auto_move//signs_mov_separ_signers/Liz_818.mov","MOV")</f>
        <v>21</v>
      </c>
    </row>
    <row r="3837" s="2" customFormat="1" ht="13.5" customHeight="1">
      <c r="B3837" s="13"/>
      <c r="C3837" t="s" s="9">
        <v>23</v>
      </c>
      <c r="D3837" t="s" s="8">
        <v>1316</v>
      </c>
      <c r="E3837" t="s" s="9">
        <v>1318</v>
      </c>
      <c r="F3837" t="s" s="10">
        <v>80</v>
      </c>
      <c r="G3837" t="s" s="11">
        <v>80</v>
      </c>
      <c r="H3837" t="s" s="10">
        <v>80</v>
      </c>
      <c r="I3837" t="s" s="11">
        <v>80</v>
      </c>
      <c r="J3837" t="s" s="11">
        <v>20</v>
      </c>
      <c r="K3837" t="s" s="16">
        <f>HYPERLINK("http://csr.bu.edu/ftp/asl/asllvd/demos/verify_start_end_handshape_annotations//test_auto_move//signs_mov/818.mov","MOV")</f>
        <v>21</v>
      </c>
      <c r="L3837" t="s" s="16">
        <f>HYPERLINK("http://csr.bu.edu/ftp/asl/asllvd/demos/verify_start_end_handshape_annotations//test_auto_move//signs_mov_separ_signers/Tyler_818.mov","MOV")</f>
        <v>21</v>
      </c>
      <c r="M3837" t="s" s="10">
        <v>92</v>
      </c>
      <c r="N3837" s="17">
        <v>12</v>
      </c>
      <c r="O3837" s="18">
        <v>2922</v>
      </c>
      <c r="P3837" s="18">
        <v>2955</v>
      </c>
      <c r="Q3837" t="s" s="16">
        <f>HYPERLINK("http://secrets.rutgers.edu:8080/data/asl-ftp/asllvd/demos/verify_start_end_handshape_annotations//test_auto_move//signs_mov/818.mov","MOV")</f>
        <v>21</v>
      </c>
      <c r="R3837" t="s" s="16">
        <f>HYPERLINK("http://secrets.rutgers.edu:8080/data/asl-ftp/asllvd/demos/verify_start_end_handshape_annotations//test_auto_move//signs_mov_separ_signers/Tyler_818.mov","MOV")</f>
        <v>21</v>
      </c>
    </row>
    <row r="3838" s="2" customFormat="1" ht="13.5" customHeight="1">
      <c r="B3838" s="13"/>
      <c r="C3838" t="s" s="9">
        <v>27</v>
      </c>
      <c r="D3838" t="s" s="8">
        <v>1316</v>
      </c>
      <c r="E3838" t="s" s="9">
        <v>1317</v>
      </c>
      <c r="F3838" t="s" s="10">
        <v>85</v>
      </c>
      <c r="G3838" t="s" s="11">
        <v>85</v>
      </c>
      <c r="H3838" t="s" s="10">
        <v>85</v>
      </c>
      <c r="I3838" t="s" s="11">
        <v>85</v>
      </c>
      <c r="J3838" t="s" s="11">
        <v>20</v>
      </c>
      <c r="K3838" s="15"/>
      <c r="L3838" t="s" s="16">
        <f>HYPERLINK("http://csr.bu.edu/ftp/asl/asllvd/demos/verify_start_end_handshape_annotations//test_auto_move//signs_mov_separ_signers/Naomi_818.mov","MOV")</f>
        <v>21</v>
      </c>
      <c r="M3838" t="s" s="10">
        <v>86</v>
      </c>
      <c r="N3838" s="17">
        <v>32</v>
      </c>
      <c r="O3838" s="18">
        <v>2461</v>
      </c>
      <c r="P3838" s="18">
        <v>2487</v>
      </c>
      <c r="Q3838" s="15"/>
      <c r="R3838" t="s" s="16">
        <f>HYPERLINK("http://secrets.rutgers.edu:8080/data/asl-ftp/asllvd/demos/verify_start_end_handshape_annotations//test_auto_move//signs_mov_separ_signers/Naomi_818.mov","MOV")</f>
        <v>21</v>
      </c>
    </row>
    <row r="3839" s="2" customFormat="1" ht="13.5" customHeight="1">
      <c r="B3839" s="13"/>
      <c r="C3839" t="s" s="9">
        <v>30</v>
      </c>
      <c r="D3839" t="s" s="8">
        <v>1316</v>
      </c>
      <c r="E3839" t="s" s="9">
        <v>1317</v>
      </c>
      <c r="F3839" t="s" s="10">
        <v>85</v>
      </c>
      <c r="G3839" t="s" s="11">
        <v>85</v>
      </c>
      <c r="H3839" t="s" s="10">
        <v>85</v>
      </c>
      <c r="I3839" t="s" s="11">
        <v>85</v>
      </c>
      <c r="J3839" t="s" s="11">
        <v>20</v>
      </c>
      <c r="K3839" s="15"/>
      <c r="L3839" t="s" s="16">
        <f>HYPERLINK("http://csr.bu.edu/ftp/asl/asllvd/demos/verify_start_end_handshape_annotations//test_auto_move//signs_mov_separ_signers/Brady_818.mov","MOV")</f>
        <v>21</v>
      </c>
      <c r="M3839" t="s" s="10">
        <v>39</v>
      </c>
      <c r="N3839" s="17">
        <v>12</v>
      </c>
      <c r="O3839" s="18">
        <v>6719</v>
      </c>
      <c r="P3839" s="18">
        <v>6738</v>
      </c>
      <c r="Q3839" s="15"/>
      <c r="R3839" t="s" s="16">
        <f>HYPERLINK("http://secrets.rutgers.edu:8080/data/asl-ftp/asllvd/demos/verify_start_end_handshape_annotations//test_auto_move//signs_mov_separ_signers/Brady_818.mov","MOV")</f>
        <v>21</v>
      </c>
    </row>
    <row r="3840" s="2" customFormat="1" ht="13.5" customHeight="1">
      <c r="B3840" t="s" s="8">
        <v>1319</v>
      </c>
      <c r="C3840" t="s" s="9">
        <v>14</v>
      </c>
      <c r="D3840" t="s" s="8">
        <v>14</v>
      </c>
      <c r="E3840" t="s" s="9">
        <v>14</v>
      </c>
      <c r="F3840" t="s" s="10">
        <v>14</v>
      </c>
      <c r="G3840" t="s" s="11">
        <v>14</v>
      </c>
      <c r="H3840" t="s" s="10">
        <v>14</v>
      </c>
      <c r="I3840" t="s" s="11">
        <v>14</v>
      </c>
      <c r="J3840" t="s" s="11">
        <v>14</v>
      </c>
      <c r="K3840" t="s" s="12">
        <v>14</v>
      </c>
      <c r="L3840" t="s" s="12">
        <v>14</v>
      </c>
      <c r="M3840" t="s" s="10">
        <v>14</v>
      </c>
      <c r="N3840" t="s" s="11">
        <v>14</v>
      </c>
      <c r="O3840" t="s" s="8">
        <v>14</v>
      </c>
      <c r="P3840" t="s" s="8">
        <v>14</v>
      </c>
      <c r="Q3840" t="s" s="12">
        <v>14</v>
      </c>
      <c r="R3840" t="s" s="12">
        <v>14</v>
      </c>
    </row>
    <row r="3841" s="2" customFormat="1" ht="13.5" customHeight="1">
      <c r="B3841" s="13"/>
      <c r="C3841" t="s" s="9">
        <v>16</v>
      </c>
      <c r="D3841" t="s" s="8">
        <v>1319</v>
      </c>
      <c r="E3841" t="s" s="9">
        <v>1319</v>
      </c>
      <c r="F3841" t="s" s="10">
        <v>115</v>
      </c>
      <c r="G3841" t="s" s="11">
        <v>73</v>
      </c>
      <c r="H3841" t="s" s="10">
        <v>115</v>
      </c>
      <c r="I3841" t="s" s="11">
        <v>73</v>
      </c>
      <c r="J3841" t="s" s="11">
        <v>20</v>
      </c>
      <c r="K3841" s="15"/>
      <c r="L3841" t="s" s="16">
        <f>HYPERLINK("http://csr.bu.edu/ftp/asl/asllvd/demos/verify_start_end_handshape_annotations//test_auto_move//signs_mov_separ_signers/Liz_819.mov","MOV")</f>
        <v>21</v>
      </c>
      <c r="M3841" t="s" s="10">
        <v>84</v>
      </c>
      <c r="N3841" s="17">
        <v>32</v>
      </c>
      <c r="O3841" s="18">
        <v>2535</v>
      </c>
      <c r="P3841" s="18">
        <v>2585</v>
      </c>
      <c r="Q3841" s="15"/>
      <c r="R3841" t="s" s="16">
        <f>HYPERLINK("http://secrets.rutgers.edu:8080/data/asl-ftp/asllvd/demos/verify_start_end_handshape_annotations//test_auto_move//signs_mov_separ_signers/Liz_819.mov","MOV")</f>
        <v>21</v>
      </c>
    </row>
    <row r="3842" s="2" customFormat="1" ht="13.5" customHeight="1">
      <c r="B3842" s="13"/>
      <c r="C3842" t="s" s="9">
        <v>27</v>
      </c>
      <c r="D3842" t="s" s="8">
        <v>1319</v>
      </c>
      <c r="E3842" t="s" s="9">
        <v>1319</v>
      </c>
      <c r="F3842" t="s" s="10">
        <v>115</v>
      </c>
      <c r="G3842" t="s" s="11">
        <v>73</v>
      </c>
      <c r="H3842" t="s" s="10">
        <v>115</v>
      </c>
      <c r="I3842" t="s" s="11">
        <v>73</v>
      </c>
      <c r="J3842" t="s" s="11">
        <v>20</v>
      </c>
      <c r="K3842" t="s" s="16">
        <f>HYPERLINK("http://csr.bu.edu/ftp/asl/asllvd/demos/verify_start_end_handshape_annotations//test_auto_move//signs_mov/819.mov","MOV")</f>
        <v>21</v>
      </c>
      <c r="L3842" t="s" s="16">
        <f>HYPERLINK("http://csr.bu.edu/ftp/asl/asllvd/demos/verify_start_end_handshape_annotations//test_auto_move//signs_mov_separ_signers/Naomi_819.mov","MOV")</f>
        <v>21</v>
      </c>
      <c r="M3842" t="s" s="10">
        <v>86</v>
      </c>
      <c r="N3842" s="17">
        <v>32</v>
      </c>
      <c r="O3842" s="18">
        <v>2801</v>
      </c>
      <c r="P3842" s="18">
        <v>2820</v>
      </c>
      <c r="Q3842" t="s" s="16">
        <f>HYPERLINK("http://secrets.rutgers.edu:8080/data/asl-ftp/asllvd/demos/verify_start_end_handshape_annotations//test_auto_move//signs_mov/819.mov","MOV")</f>
        <v>21</v>
      </c>
      <c r="R3842" t="s" s="16">
        <f>HYPERLINK("http://secrets.rutgers.edu:8080/data/asl-ftp/asllvd/demos/verify_start_end_handshape_annotations//test_auto_move//signs_mov_separ_signers/Naomi_819.mov","MOV")</f>
        <v>21</v>
      </c>
    </row>
    <row r="3843" s="2" customFormat="1" ht="13.5" customHeight="1">
      <c r="B3843" s="13"/>
      <c r="C3843" t="s" s="9">
        <v>30</v>
      </c>
      <c r="D3843" t="s" s="8">
        <v>1319</v>
      </c>
      <c r="E3843" t="s" s="9">
        <v>1319</v>
      </c>
      <c r="F3843" t="s" s="10">
        <v>115</v>
      </c>
      <c r="G3843" t="s" s="11">
        <v>73</v>
      </c>
      <c r="H3843" t="s" s="10">
        <v>115</v>
      </c>
      <c r="I3843" t="s" s="11">
        <v>73</v>
      </c>
      <c r="J3843" t="s" s="11">
        <v>20</v>
      </c>
      <c r="K3843" s="15"/>
      <c r="L3843" t="s" s="16">
        <f>HYPERLINK("http://csr.bu.edu/ftp/asl/asllvd/demos/verify_start_end_handshape_annotations//test_auto_move//signs_mov_separ_signers/Brady_819.mov","MOV")</f>
        <v>21</v>
      </c>
      <c r="M3843" t="s" s="10">
        <v>39</v>
      </c>
      <c r="N3843" s="17">
        <v>12</v>
      </c>
      <c r="O3843" s="18">
        <v>6980</v>
      </c>
      <c r="P3843" s="18">
        <v>7004</v>
      </c>
      <c r="Q3843" s="15"/>
      <c r="R3843" t="s" s="16">
        <f>HYPERLINK("http://secrets.rutgers.edu:8080/data/asl-ftp/asllvd/demos/verify_start_end_handshape_annotations//test_auto_move//signs_mov_separ_signers/Brady_819.mov","MOV")</f>
        <v>21</v>
      </c>
    </row>
    <row r="3844" s="2" customFormat="1" ht="13.5" customHeight="1">
      <c r="B3844" t="s" s="8">
        <v>52</v>
      </c>
      <c r="C3844" t="s" s="9">
        <v>53</v>
      </c>
      <c r="D3844" t="s" s="8">
        <v>53</v>
      </c>
      <c r="E3844" t="s" s="9">
        <v>53</v>
      </c>
      <c r="F3844" t="s" s="10">
        <v>53</v>
      </c>
      <c r="G3844" t="s" s="11">
        <v>53</v>
      </c>
      <c r="H3844" t="s" s="10">
        <v>53</v>
      </c>
      <c r="I3844" t="s" s="11">
        <v>53</v>
      </c>
      <c r="J3844" t="s" s="11">
        <v>53</v>
      </c>
      <c r="K3844" t="s" s="12">
        <v>53</v>
      </c>
      <c r="L3844" t="s" s="12">
        <v>53</v>
      </c>
      <c r="M3844" t="s" s="10">
        <v>53</v>
      </c>
      <c r="N3844" t="s" s="11">
        <v>53</v>
      </c>
      <c r="O3844" t="s" s="8">
        <v>53</v>
      </c>
      <c r="P3844" t="s" s="8">
        <v>53</v>
      </c>
      <c r="Q3844" t="s" s="12">
        <v>53</v>
      </c>
      <c r="R3844" t="s" s="12">
        <v>53</v>
      </c>
    </row>
    <row r="3845" s="2" customFormat="1" ht="13.5" customHeight="1">
      <c r="B3845" s="13"/>
      <c r="C3845" t="s" s="9">
        <v>23</v>
      </c>
      <c r="D3845" t="s" s="8">
        <v>1319</v>
      </c>
      <c r="E3845" t="s" s="9">
        <v>1320</v>
      </c>
      <c r="F3845" t="s" s="10">
        <v>117</v>
      </c>
      <c r="G3845" t="s" s="11">
        <v>117</v>
      </c>
      <c r="H3845" t="s" s="10">
        <v>117</v>
      </c>
      <c r="I3845" t="s" s="11">
        <v>117</v>
      </c>
      <c r="J3845" t="s" s="11">
        <v>20</v>
      </c>
      <c r="K3845" t="s" s="16">
        <f>HYPERLINK("http://csr.bu.edu/ftp/asl/asllvd/demos/verify_start_end_handshape_annotations//test_auto_move//signs_mov/5173.mov","MOV")</f>
        <v>21</v>
      </c>
      <c r="L3845" t="s" s="16">
        <f>HYPERLINK("http://csr.bu.edu/ftp/asl/asllvd/demos/verify_start_end_handshape_annotations//test_auto_move//signs_mov_separ_signers/Tyler_5173.mov","MOV")</f>
        <v>21</v>
      </c>
      <c r="M3845" t="s" s="10">
        <v>92</v>
      </c>
      <c r="N3845" s="17">
        <v>12</v>
      </c>
      <c r="O3845" s="18">
        <v>3155</v>
      </c>
      <c r="P3845" s="18">
        <v>3200</v>
      </c>
      <c r="Q3845" t="s" s="16">
        <f>HYPERLINK("http://secrets.rutgers.edu:8080/data/asl-ftp/asllvd/demos/verify_start_end_handshape_annotations//test_auto_move//signs_mov/5173.mov","MOV")</f>
        <v>21</v>
      </c>
      <c r="R3845" t="s" s="16">
        <f>HYPERLINK("http://secrets.rutgers.edu:8080/data/asl-ftp/asllvd/demos/verify_start_end_handshape_annotations//test_auto_move//signs_mov_separ_signers/Tyler_5173.mov","MOV")</f>
        <v>21</v>
      </c>
    </row>
    <row r="3846" s="2" customFormat="1" ht="13.5" customHeight="1">
      <c r="B3846" t="s" s="8">
        <v>1321</v>
      </c>
      <c r="C3846" t="s" s="9">
        <v>14</v>
      </c>
      <c r="D3846" t="s" s="8">
        <v>14</v>
      </c>
      <c r="E3846" t="s" s="9">
        <v>14</v>
      </c>
      <c r="F3846" t="s" s="10">
        <v>14</v>
      </c>
      <c r="G3846" t="s" s="11">
        <v>14</v>
      </c>
      <c r="H3846" t="s" s="10">
        <v>14</v>
      </c>
      <c r="I3846" t="s" s="11">
        <v>14</v>
      </c>
      <c r="J3846" t="s" s="11">
        <v>14</v>
      </c>
      <c r="K3846" t="s" s="12">
        <v>14</v>
      </c>
      <c r="L3846" t="s" s="12">
        <v>14</v>
      </c>
      <c r="M3846" t="s" s="10">
        <v>14</v>
      </c>
      <c r="N3846" t="s" s="11">
        <v>14</v>
      </c>
      <c r="O3846" t="s" s="8">
        <v>14</v>
      </c>
      <c r="P3846" t="s" s="8">
        <v>14</v>
      </c>
      <c r="Q3846" t="s" s="12">
        <v>14</v>
      </c>
      <c r="R3846" t="s" s="12">
        <v>14</v>
      </c>
    </row>
    <row r="3847" s="2" customFormat="1" ht="13.5" customHeight="1">
      <c r="B3847" s="13"/>
      <c r="C3847" t="s" s="9">
        <v>16</v>
      </c>
      <c r="D3847" t="s" s="8">
        <v>1321</v>
      </c>
      <c r="E3847" t="s" s="9">
        <v>1321</v>
      </c>
      <c r="F3847" t="s" s="10">
        <v>25</v>
      </c>
      <c r="G3847" t="s" s="11">
        <v>25</v>
      </c>
      <c r="H3847" t="s" s="10">
        <v>292</v>
      </c>
      <c r="I3847" t="s" s="11">
        <v>626</v>
      </c>
      <c r="J3847" t="s" s="11">
        <v>20</v>
      </c>
      <c r="K3847" s="15"/>
      <c r="L3847" t="s" s="16">
        <f>HYPERLINK("http://csr.bu.edu/ftp/asl/asllvd/demos/verify_start_end_handshape_annotations//test_auto_move//signs_mov_separ_signers/Liz_824.mov","MOV")</f>
        <v>21</v>
      </c>
      <c r="M3847" t="s" s="10">
        <v>84</v>
      </c>
      <c r="N3847" s="17">
        <v>33</v>
      </c>
      <c r="O3847" s="18">
        <v>1075</v>
      </c>
      <c r="P3847" s="18">
        <v>1105</v>
      </c>
      <c r="Q3847" s="15"/>
      <c r="R3847" t="s" s="16">
        <f>HYPERLINK("http://secrets.rutgers.edu:8080/data/asl-ftp/asllvd/demos/verify_start_end_handshape_annotations//test_auto_move//signs_mov_separ_signers/Liz_824.mov","MOV")</f>
        <v>21</v>
      </c>
    </row>
    <row r="3848" s="2" customFormat="1" ht="13.5" customHeight="1">
      <c r="B3848" s="13"/>
      <c r="C3848" t="s" s="9">
        <v>27</v>
      </c>
      <c r="D3848" t="s" s="8">
        <v>1321</v>
      </c>
      <c r="E3848" t="s" s="9">
        <v>1321</v>
      </c>
      <c r="F3848" t="s" s="10">
        <v>25</v>
      </c>
      <c r="G3848" t="s" s="11">
        <v>25</v>
      </c>
      <c r="H3848" t="s" s="10">
        <v>626</v>
      </c>
      <c r="I3848" t="s" s="11">
        <v>626</v>
      </c>
      <c r="J3848" t="s" s="11">
        <v>20</v>
      </c>
      <c r="K3848" t="s" s="16">
        <f>HYPERLINK("http://csr.bu.edu/ftp/asl/asllvd/demos/verify_start_end_handshape_annotations//test_auto_move//signs_mov/824.mov","MOV")</f>
        <v>21</v>
      </c>
      <c r="L3848" t="s" s="16">
        <f>HYPERLINK("http://csr.bu.edu/ftp/asl/asllvd/demos/verify_start_end_handshape_annotations//test_auto_move//signs_mov_separ_signers/Naomi_824.mov","MOV")</f>
        <v>21</v>
      </c>
      <c r="M3848" t="s" s="10">
        <v>86</v>
      </c>
      <c r="N3848" s="17">
        <v>33</v>
      </c>
      <c r="O3848" s="18">
        <v>960</v>
      </c>
      <c r="P3848" s="18">
        <v>985</v>
      </c>
      <c r="Q3848" t="s" s="16">
        <f>HYPERLINK("http://secrets.rutgers.edu:8080/data/asl-ftp/asllvd/demos/verify_start_end_handshape_annotations//test_auto_move//signs_mov/824.mov","MOV")</f>
        <v>21</v>
      </c>
      <c r="R3848" t="s" s="16">
        <f>HYPERLINK("http://secrets.rutgers.edu:8080/data/asl-ftp/asllvd/demos/verify_start_end_handshape_annotations//test_auto_move//signs_mov_separ_signers/Naomi_824.mov","MOV")</f>
        <v>21</v>
      </c>
    </row>
    <row r="3849" s="2" customFormat="1" ht="13.5" customHeight="1">
      <c r="B3849" s="13"/>
      <c r="C3849" t="s" s="9">
        <v>30</v>
      </c>
      <c r="D3849" t="s" s="8">
        <v>1321</v>
      </c>
      <c r="E3849" t="s" s="9">
        <v>1321</v>
      </c>
      <c r="F3849" t="s" s="10">
        <v>25</v>
      </c>
      <c r="G3849" t="s" s="11">
        <v>25</v>
      </c>
      <c r="H3849" t="s" s="10">
        <v>626</v>
      </c>
      <c r="I3849" t="s" s="11">
        <v>626</v>
      </c>
      <c r="J3849" t="s" s="11">
        <v>20</v>
      </c>
      <c r="K3849" s="15"/>
      <c r="L3849" t="s" s="16">
        <f>HYPERLINK("http://csr.bu.edu/ftp/asl/asllvd/demos/verify_start_end_handshape_annotations//test_auto_move//signs_mov_separ_signers/Brady_824.mov","MOV")</f>
        <v>21</v>
      </c>
      <c r="M3849" t="s" s="10">
        <v>39</v>
      </c>
      <c r="N3849" s="17">
        <v>13</v>
      </c>
      <c r="O3849" s="18">
        <v>360</v>
      </c>
      <c r="P3849" s="18">
        <v>384</v>
      </c>
      <c r="Q3849" s="15"/>
      <c r="R3849" t="s" s="16">
        <f>HYPERLINK("http://secrets.rutgers.edu:8080/data/asl-ftp/asllvd/demos/verify_start_end_handshape_annotations//test_auto_move//signs_mov_separ_signers/Brady_824.mov","MOV")</f>
        <v>21</v>
      </c>
    </row>
    <row r="3850" s="2" customFormat="1" ht="13.5" customHeight="1">
      <c r="B3850" t="s" s="8">
        <v>1322</v>
      </c>
      <c r="C3850" t="s" s="9">
        <v>14</v>
      </c>
      <c r="D3850" t="s" s="8">
        <v>14</v>
      </c>
      <c r="E3850" t="s" s="9">
        <v>14</v>
      </c>
      <c r="F3850" t="s" s="10">
        <v>14</v>
      </c>
      <c r="G3850" t="s" s="11">
        <v>14</v>
      </c>
      <c r="H3850" t="s" s="10">
        <v>14</v>
      </c>
      <c r="I3850" t="s" s="11">
        <v>14</v>
      </c>
      <c r="J3850" t="s" s="11">
        <v>14</v>
      </c>
      <c r="K3850" t="s" s="12">
        <v>14</v>
      </c>
      <c r="L3850" t="s" s="12">
        <v>14</v>
      </c>
      <c r="M3850" t="s" s="10">
        <v>14</v>
      </c>
      <c r="N3850" t="s" s="11">
        <v>14</v>
      </c>
      <c r="O3850" t="s" s="8">
        <v>14</v>
      </c>
      <c r="P3850" t="s" s="8">
        <v>14</v>
      </c>
      <c r="Q3850" t="s" s="12">
        <v>14</v>
      </c>
      <c r="R3850" t="s" s="12">
        <v>14</v>
      </c>
    </row>
    <row r="3851" s="2" customFormat="1" ht="13.5" customHeight="1">
      <c r="B3851" s="13"/>
      <c r="C3851" t="s" s="9">
        <v>16</v>
      </c>
      <c r="D3851" t="s" s="8">
        <v>1322</v>
      </c>
      <c r="E3851" t="s" s="9">
        <v>1322</v>
      </c>
      <c r="F3851" t="s" s="10">
        <v>115</v>
      </c>
      <c r="G3851" s="14"/>
      <c r="H3851" t="s" s="10">
        <v>115</v>
      </c>
      <c r="I3851" s="14"/>
      <c r="J3851" t="s" s="11">
        <v>20</v>
      </c>
      <c r="K3851" s="15"/>
      <c r="L3851" t="s" s="16">
        <f>HYPERLINK("http://csr.bu.edu/ftp/asl/asllvd/demos/verify_start_end_handshape_annotations//test_auto_move//signs_mov_separ_signers/Liz_825.mov","MOV")</f>
        <v>21</v>
      </c>
      <c r="M3851" t="s" s="10">
        <v>84</v>
      </c>
      <c r="N3851" s="17">
        <v>33</v>
      </c>
      <c r="O3851" s="18">
        <v>1270</v>
      </c>
      <c r="P3851" s="18">
        <v>1316</v>
      </c>
      <c r="Q3851" s="15"/>
      <c r="R3851" t="s" s="16">
        <f>HYPERLINK("http://secrets.rutgers.edu:8080/data/asl-ftp/asllvd/demos/verify_start_end_handshape_annotations//test_auto_move//signs_mov_separ_signers/Liz_825.mov","MOV")</f>
        <v>21</v>
      </c>
    </row>
    <row r="3852" s="2" customFormat="1" ht="13.5" customHeight="1">
      <c r="B3852" s="13"/>
      <c r="C3852" t="s" s="9">
        <v>23</v>
      </c>
      <c r="D3852" t="s" s="8">
        <v>1322</v>
      </c>
      <c r="E3852" t="s" s="9">
        <v>1322</v>
      </c>
      <c r="F3852" t="s" s="10">
        <v>115</v>
      </c>
      <c r="G3852" s="14"/>
      <c r="H3852" t="s" s="10">
        <v>115</v>
      </c>
      <c r="I3852" s="14"/>
      <c r="J3852" t="s" s="11">
        <v>20</v>
      </c>
      <c r="K3852" s="15"/>
      <c r="L3852" t="s" s="16">
        <f>HYPERLINK("http://csr.bu.edu/ftp/asl/asllvd/demos/verify_start_end_handshape_annotations//test_auto_move//signs_mov_separ_signers/Tyler_825.mov","MOV")</f>
        <v>21</v>
      </c>
      <c r="M3852" t="s" s="10">
        <v>92</v>
      </c>
      <c r="N3852" s="17">
        <v>13</v>
      </c>
      <c r="O3852" s="18">
        <v>3045</v>
      </c>
      <c r="P3852" s="18">
        <v>3080</v>
      </c>
      <c r="Q3852" s="15"/>
      <c r="R3852" t="s" s="16">
        <f>HYPERLINK("http://secrets.rutgers.edu:8080/data/asl-ftp/asllvd/demos/verify_start_end_handshape_annotations//test_auto_move//signs_mov_separ_signers/Tyler_825.mov","MOV")</f>
        <v>21</v>
      </c>
    </row>
    <row r="3853" s="2" customFormat="1" ht="13.5" customHeight="1">
      <c r="B3853" s="13"/>
      <c r="C3853" t="s" s="9">
        <v>27</v>
      </c>
      <c r="D3853" t="s" s="8">
        <v>1322</v>
      </c>
      <c r="E3853" t="s" s="9">
        <v>1322</v>
      </c>
      <c r="F3853" t="s" s="10">
        <v>115</v>
      </c>
      <c r="G3853" s="14"/>
      <c r="H3853" t="s" s="10">
        <v>115</v>
      </c>
      <c r="I3853" s="14"/>
      <c r="J3853" t="s" s="11">
        <v>20</v>
      </c>
      <c r="K3853" t="s" s="16">
        <f>HYPERLINK("http://csr.bu.edu/ftp/asl/asllvd/demos/verify_start_end_handshape_annotations//test_auto_move//signs_mov/825.mov","MOV")</f>
        <v>21</v>
      </c>
      <c r="L3853" t="s" s="16">
        <f>HYPERLINK("http://csr.bu.edu/ftp/asl/asllvd/demos/verify_start_end_handshape_annotations//test_auto_move//signs_mov_separ_signers/Naomi_825.mov","MOV")</f>
        <v>21</v>
      </c>
      <c r="M3853" t="s" s="10">
        <v>86</v>
      </c>
      <c r="N3853" s="17">
        <v>33</v>
      </c>
      <c r="O3853" s="18">
        <v>1205</v>
      </c>
      <c r="P3853" s="18">
        <v>1236</v>
      </c>
      <c r="Q3853" t="s" s="16">
        <f>HYPERLINK("http://secrets.rutgers.edu:8080/data/asl-ftp/asllvd/demos/verify_start_end_handshape_annotations//test_auto_move//signs_mov/825.mov","MOV")</f>
        <v>21</v>
      </c>
      <c r="R3853" t="s" s="16">
        <f>HYPERLINK("http://secrets.rutgers.edu:8080/data/asl-ftp/asllvd/demos/verify_start_end_handshape_annotations//test_auto_move//signs_mov_separ_signers/Naomi_825.mov","MOV")</f>
        <v>21</v>
      </c>
    </row>
    <row r="3854" s="2" customFormat="1" ht="13.5" customHeight="1">
      <c r="B3854" s="13"/>
      <c r="C3854" t="s" s="9">
        <v>30</v>
      </c>
      <c r="D3854" t="s" s="8">
        <v>1322</v>
      </c>
      <c r="E3854" t="s" s="9">
        <v>1322</v>
      </c>
      <c r="F3854" t="s" s="10">
        <v>115</v>
      </c>
      <c r="G3854" s="14"/>
      <c r="H3854" t="s" s="10">
        <v>115</v>
      </c>
      <c r="I3854" s="14"/>
      <c r="J3854" t="s" s="11">
        <v>20</v>
      </c>
      <c r="K3854" s="15"/>
      <c r="L3854" t="s" s="16">
        <f>HYPERLINK("http://csr.bu.edu/ftp/asl/asllvd/demos/verify_start_end_handshape_annotations//test_auto_move//signs_mov_separ_signers/Brady_825.mov","MOV")</f>
        <v>21</v>
      </c>
      <c r="M3854" t="s" s="10">
        <v>39</v>
      </c>
      <c r="N3854" s="17">
        <v>13</v>
      </c>
      <c r="O3854" s="18">
        <v>578</v>
      </c>
      <c r="P3854" s="18">
        <v>607</v>
      </c>
      <c r="Q3854" s="15"/>
      <c r="R3854" t="s" s="16">
        <f>HYPERLINK("http://secrets.rutgers.edu:8080/data/asl-ftp/asllvd/demos/verify_start_end_handshape_annotations//test_auto_move//signs_mov_separ_signers/Brady_825.mov","MOV")</f>
        <v>21</v>
      </c>
    </row>
    <row r="3855" s="2" customFormat="1" ht="13.5" customHeight="1">
      <c r="B3855" s="13"/>
      <c r="C3855" t="s" s="9">
        <v>41</v>
      </c>
      <c r="D3855" t="s" s="8">
        <v>1322</v>
      </c>
      <c r="E3855" t="s" s="9">
        <v>1322</v>
      </c>
      <c r="F3855" t="s" s="10">
        <v>115</v>
      </c>
      <c r="G3855" s="14"/>
      <c r="H3855" t="s" s="10">
        <v>115</v>
      </c>
      <c r="I3855" s="14"/>
      <c r="J3855" t="s" s="11">
        <v>20</v>
      </c>
      <c r="K3855" s="15"/>
      <c r="L3855" t="s" s="16">
        <f>HYPERLINK("http://csr.bu.edu/ftp/asl/asllvd/demos/verify_start_end_handshape_annotations//test_auto_move//signs_mov_separ_signers/Lana_825.mov","MOV")</f>
        <v>21</v>
      </c>
      <c r="M3855" t="s" s="10">
        <v>42</v>
      </c>
      <c r="N3855" s="17">
        <v>8</v>
      </c>
      <c r="O3855" s="18">
        <v>2007</v>
      </c>
      <c r="P3855" s="18">
        <v>2058</v>
      </c>
      <c r="Q3855" s="15"/>
      <c r="R3855" t="s" s="16">
        <f>HYPERLINK("http://secrets.rutgers.edu:8080/data/asl-ftp/asllvd/demos/verify_start_end_handshape_annotations//test_auto_move//signs_mov_separ_signers/Lana_825.mov","MOV")</f>
        <v>21</v>
      </c>
    </row>
    <row r="3856" s="2" customFormat="1" ht="13.5" customHeight="1">
      <c r="B3856" t="s" s="8">
        <v>52</v>
      </c>
      <c r="C3856" t="s" s="9">
        <v>53</v>
      </c>
      <c r="D3856" t="s" s="8">
        <v>53</v>
      </c>
      <c r="E3856" t="s" s="9">
        <v>53</v>
      </c>
      <c r="F3856" t="s" s="10">
        <v>53</v>
      </c>
      <c r="G3856" t="s" s="11">
        <v>53</v>
      </c>
      <c r="H3856" t="s" s="10">
        <v>53</v>
      </c>
      <c r="I3856" t="s" s="11">
        <v>53</v>
      </c>
      <c r="J3856" t="s" s="11">
        <v>53</v>
      </c>
      <c r="K3856" t="s" s="12">
        <v>53</v>
      </c>
      <c r="L3856" t="s" s="12">
        <v>53</v>
      </c>
      <c r="M3856" t="s" s="10">
        <v>53</v>
      </c>
      <c r="N3856" t="s" s="11">
        <v>53</v>
      </c>
      <c r="O3856" t="s" s="8">
        <v>53</v>
      </c>
      <c r="P3856" t="s" s="8">
        <v>53</v>
      </c>
      <c r="Q3856" t="s" s="12">
        <v>53</v>
      </c>
      <c r="R3856" t="s" s="12">
        <v>53</v>
      </c>
    </row>
    <row r="3857" s="2" customFormat="1" ht="13.5" customHeight="1">
      <c r="B3857" s="13"/>
      <c r="C3857" t="s" s="9">
        <v>43</v>
      </c>
      <c r="D3857" t="s" s="8">
        <v>1322</v>
      </c>
      <c r="E3857" t="s" s="9">
        <v>1323</v>
      </c>
      <c r="F3857" t="s" s="10">
        <v>115</v>
      </c>
      <c r="G3857" s="14"/>
      <c r="H3857" t="s" s="10">
        <v>115</v>
      </c>
      <c r="I3857" s="14"/>
      <c r="J3857" t="s" s="11">
        <v>20</v>
      </c>
      <c r="K3857" t="s" s="16">
        <f>HYPERLINK("http://csr.bu.edu/ftp/asl/asllvd/demos/verify_start_end_handshape_annotations//test_auto_move//signs_mov/16412.mov","MOV")</f>
        <v>21</v>
      </c>
      <c r="L3857" t="s" s="16">
        <f>HYPERLINK("http://csr.bu.edu/ftp/asl/asllvd/demos/verify_start_end_handshape_annotations//test_auto_move//signs_mov_separ_signers/Dana_16412.mov","MOV")</f>
        <v>21</v>
      </c>
      <c r="M3857" t="s" s="10">
        <v>44</v>
      </c>
      <c r="N3857" s="17">
        <v>12</v>
      </c>
      <c r="O3857" s="18">
        <v>1982</v>
      </c>
      <c r="P3857" s="18">
        <v>2036</v>
      </c>
      <c r="Q3857" t="s" s="16">
        <f>HYPERLINK("http://secrets.rutgers.edu:8080/data/asl-ftp/asllvd/demos/verify_start_end_handshape_annotations//test_auto_move//signs_mov/16412.mov","MOV")</f>
        <v>21</v>
      </c>
      <c r="R3857" t="s" s="16">
        <f>HYPERLINK("http://secrets.rutgers.edu:8080/data/asl-ftp/asllvd/demos/verify_start_end_handshape_annotations//test_auto_move//signs_mov_separ_signers/Dana_16412.mov","MOV")</f>
        <v>21</v>
      </c>
    </row>
    <row r="3858" s="2" customFormat="1" ht="13.5" customHeight="1">
      <c r="B3858" t="s" s="8">
        <v>1324</v>
      </c>
      <c r="C3858" t="s" s="9">
        <v>14</v>
      </c>
      <c r="D3858" t="s" s="8">
        <v>14</v>
      </c>
      <c r="E3858" t="s" s="9">
        <v>14</v>
      </c>
      <c r="F3858" t="s" s="10">
        <v>14</v>
      </c>
      <c r="G3858" t="s" s="11">
        <v>14</v>
      </c>
      <c r="H3858" t="s" s="10">
        <v>14</v>
      </c>
      <c r="I3858" t="s" s="11">
        <v>14</v>
      </c>
      <c r="J3858" t="s" s="11">
        <v>14</v>
      </c>
      <c r="K3858" t="s" s="12">
        <v>14</v>
      </c>
      <c r="L3858" t="s" s="12">
        <v>14</v>
      </c>
      <c r="M3858" t="s" s="10">
        <v>14</v>
      </c>
      <c r="N3858" t="s" s="11">
        <v>14</v>
      </c>
      <c r="O3858" t="s" s="8">
        <v>14</v>
      </c>
      <c r="P3858" t="s" s="8">
        <v>14</v>
      </c>
      <c r="Q3858" t="s" s="12">
        <v>14</v>
      </c>
      <c r="R3858" t="s" s="12">
        <v>14</v>
      </c>
    </row>
    <row r="3859" s="2" customFormat="1" ht="13.5" customHeight="1">
      <c r="B3859" s="13"/>
      <c r="C3859" t="s" s="9">
        <v>16</v>
      </c>
      <c r="D3859" t="s" s="8">
        <v>1324</v>
      </c>
      <c r="E3859" t="s" s="9">
        <v>1324</v>
      </c>
      <c r="F3859" t="s" s="10">
        <v>85</v>
      </c>
      <c r="G3859" t="s" s="11">
        <v>55</v>
      </c>
      <c r="H3859" t="s" s="10">
        <v>85</v>
      </c>
      <c r="I3859" t="s" s="11">
        <v>55</v>
      </c>
      <c r="J3859" t="s" s="11">
        <v>136</v>
      </c>
      <c r="K3859" s="15"/>
      <c r="L3859" t="s" s="16">
        <f>HYPERLINK("http://csr.bu.edu/ftp/asl/asllvd/demos/verify_start_end_handshape_annotations//test_auto_move//signs_mov_separ_signers/Liz_827.mov","MOV")</f>
        <v>21</v>
      </c>
      <c r="M3859" t="s" s="10">
        <v>84</v>
      </c>
      <c r="N3859" s="17">
        <v>33</v>
      </c>
      <c r="O3859" s="18">
        <v>1766</v>
      </c>
      <c r="P3859" s="18">
        <v>1797</v>
      </c>
      <c r="Q3859" s="15"/>
      <c r="R3859" t="s" s="16">
        <f>HYPERLINK("http://secrets.rutgers.edu:8080/data/asl-ftp/asllvd/demos/verify_start_end_handshape_annotations//test_auto_move//signs_mov_separ_signers/Liz_827.mov","MOV")</f>
        <v>21</v>
      </c>
    </row>
    <row r="3860" s="2" customFormat="1" ht="13.5" customHeight="1">
      <c r="B3860" s="13"/>
      <c r="C3860" t="s" s="9">
        <v>27</v>
      </c>
      <c r="D3860" t="s" s="8">
        <v>1324</v>
      </c>
      <c r="E3860" t="s" s="9">
        <v>1324</v>
      </c>
      <c r="F3860" t="s" s="10">
        <v>80</v>
      </c>
      <c r="G3860" t="s" s="11">
        <v>55</v>
      </c>
      <c r="H3860" t="s" s="10">
        <v>80</v>
      </c>
      <c r="I3860" t="s" s="11">
        <v>55</v>
      </c>
      <c r="J3860" t="s" s="11">
        <v>136</v>
      </c>
      <c r="K3860" t="s" s="16">
        <f>HYPERLINK("http://csr.bu.edu/ftp/asl/asllvd/demos/verify_start_end_handshape_annotations//test_auto_move//signs_mov/827.mov","MOV")</f>
        <v>21</v>
      </c>
      <c r="L3860" t="s" s="16">
        <f>HYPERLINK("http://csr.bu.edu/ftp/asl/asllvd/demos/verify_start_end_handshape_annotations//test_auto_move//signs_mov_separ_signers/Naomi_827.mov","MOV")</f>
        <v>21</v>
      </c>
      <c r="M3860" t="s" s="10">
        <v>86</v>
      </c>
      <c r="N3860" s="17">
        <v>28</v>
      </c>
      <c r="O3860" s="18">
        <v>1585</v>
      </c>
      <c r="P3860" s="18">
        <v>1610</v>
      </c>
      <c r="Q3860" t="s" s="16">
        <f>HYPERLINK("http://secrets.rutgers.edu:8080/data/asl-ftp/asllvd/demos/verify_start_end_handshape_annotations//test_auto_move//signs_mov/827.mov","MOV")</f>
        <v>21</v>
      </c>
      <c r="R3860" t="s" s="16">
        <f>HYPERLINK("http://secrets.rutgers.edu:8080/data/asl-ftp/asllvd/demos/verify_start_end_handshape_annotations//test_auto_move//signs_mov_separ_signers/Naomi_827.mov","MOV")</f>
        <v>21</v>
      </c>
    </row>
    <row r="3861" s="2" customFormat="1" ht="13.5" customHeight="1">
      <c r="B3861" s="13"/>
      <c r="C3861" t="s" s="9">
        <v>30</v>
      </c>
      <c r="D3861" t="s" s="8">
        <v>1324</v>
      </c>
      <c r="E3861" t="s" s="9">
        <v>1324</v>
      </c>
      <c r="F3861" t="s" s="10">
        <v>260</v>
      </c>
      <c r="G3861" t="s" s="11">
        <v>260</v>
      </c>
      <c r="H3861" t="s" s="10">
        <v>260</v>
      </c>
      <c r="I3861" t="s" s="11">
        <v>260</v>
      </c>
      <c r="J3861" t="s" s="11">
        <v>20</v>
      </c>
      <c r="K3861" s="15"/>
      <c r="L3861" t="s" s="16">
        <f>HYPERLINK("http://csr.bu.edu/ftp/asl/asllvd/demos/verify_start_end_handshape_annotations//test_auto_move//signs_mov_separ_signers/Brady_827.mov","MOV")</f>
        <v>21</v>
      </c>
      <c r="M3861" t="s" s="10">
        <v>39</v>
      </c>
      <c r="N3861" s="17">
        <v>13</v>
      </c>
      <c r="O3861" s="18">
        <v>1479</v>
      </c>
      <c r="P3861" s="18">
        <v>1502</v>
      </c>
      <c r="Q3861" s="15"/>
      <c r="R3861" t="s" s="16">
        <f>HYPERLINK("http://secrets.rutgers.edu:8080/data/asl-ftp/asllvd/demos/verify_start_end_handshape_annotations//test_auto_move//signs_mov_separ_signers/Brady_827.mov","MOV")</f>
        <v>21</v>
      </c>
    </row>
    <row r="3862" s="2" customFormat="1" ht="13.5" customHeight="1">
      <c r="B3862" t="s" s="8">
        <v>1325</v>
      </c>
      <c r="C3862" t="s" s="9">
        <v>14</v>
      </c>
      <c r="D3862" t="s" s="8">
        <v>14</v>
      </c>
      <c r="E3862" t="s" s="9">
        <v>14</v>
      </c>
      <c r="F3862" t="s" s="10">
        <v>14</v>
      </c>
      <c r="G3862" t="s" s="11">
        <v>14</v>
      </c>
      <c r="H3862" t="s" s="10">
        <v>14</v>
      </c>
      <c r="I3862" t="s" s="11">
        <v>14</v>
      </c>
      <c r="J3862" t="s" s="11">
        <v>14</v>
      </c>
      <c r="K3862" t="s" s="12">
        <v>14</v>
      </c>
      <c r="L3862" t="s" s="12">
        <v>14</v>
      </c>
      <c r="M3862" t="s" s="10">
        <v>14</v>
      </c>
      <c r="N3862" t="s" s="11">
        <v>14</v>
      </c>
      <c r="O3862" t="s" s="8">
        <v>14</v>
      </c>
      <c r="P3862" t="s" s="8">
        <v>14</v>
      </c>
      <c r="Q3862" t="s" s="12">
        <v>14</v>
      </c>
      <c r="R3862" t="s" s="12">
        <v>14</v>
      </c>
    </row>
    <row r="3863" s="2" customFormat="1" ht="13.5" customHeight="1">
      <c r="B3863" s="13"/>
      <c r="C3863" t="s" s="9">
        <v>16</v>
      </c>
      <c r="D3863" t="s" s="8">
        <v>1325</v>
      </c>
      <c r="E3863" t="s" s="9">
        <v>1325</v>
      </c>
      <c r="F3863" s="19">
        <v>10</v>
      </c>
      <c r="G3863" s="14"/>
      <c r="H3863" s="19">
        <v>10</v>
      </c>
      <c r="I3863" s="14"/>
      <c r="J3863" t="s" s="11">
        <v>20</v>
      </c>
      <c r="K3863" s="15"/>
      <c r="L3863" t="s" s="16">
        <f>HYPERLINK("http://csr.bu.edu/ftp/asl/asllvd/demos/verify_start_end_handshape_annotations//test_auto_move//signs_mov_separ_signers/Liz_837.mov","MOV")</f>
        <v>21</v>
      </c>
      <c r="M3863" t="s" s="10">
        <v>84</v>
      </c>
      <c r="N3863" s="17">
        <v>34</v>
      </c>
      <c r="O3863" s="18">
        <v>2547</v>
      </c>
      <c r="P3863" s="18">
        <v>2590</v>
      </c>
      <c r="Q3863" s="15"/>
      <c r="R3863" t="s" s="16">
        <f>HYPERLINK("http://secrets.rutgers.edu:8080/data/asl-ftp/asllvd/demos/verify_start_end_handshape_annotations//test_auto_move//signs_mov_separ_signers/Liz_837.mov","MOV")</f>
        <v>21</v>
      </c>
    </row>
    <row r="3864" s="2" customFormat="1" ht="13.5" customHeight="1">
      <c r="B3864" s="13"/>
      <c r="C3864" t="s" s="9">
        <v>23</v>
      </c>
      <c r="D3864" t="s" s="8">
        <v>1325</v>
      </c>
      <c r="E3864" t="s" s="9">
        <v>1325</v>
      </c>
      <c r="F3864" s="19">
        <v>10</v>
      </c>
      <c r="G3864" s="14"/>
      <c r="H3864" s="19">
        <v>10</v>
      </c>
      <c r="I3864" s="14"/>
      <c r="J3864" t="s" s="11">
        <v>20</v>
      </c>
      <c r="K3864" s="15"/>
      <c r="L3864" t="s" s="16">
        <f>HYPERLINK("http://csr.bu.edu/ftp/asl/asllvd/demos/verify_start_end_handshape_annotations//test_auto_move//signs_mov_separ_signers/Tyler_837.mov","MOV")</f>
        <v>21</v>
      </c>
      <c r="M3864" t="s" s="10">
        <v>92</v>
      </c>
      <c r="N3864" s="17">
        <v>14</v>
      </c>
      <c r="O3864" s="18">
        <v>1790</v>
      </c>
      <c r="P3864" s="18">
        <v>1832</v>
      </c>
      <c r="Q3864" s="15"/>
      <c r="R3864" t="s" s="16">
        <f>HYPERLINK("http://secrets.rutgers.edu:8080/data/asl-ftp/asllvd/demos/verify_start_end_handshape_annotations//test_auto_move//signs_mov_separ_signers/Tyler_837.mov","MOV")</f>
        <v>21</v>
      </c>
    </row>
    <row r="3865" s="2" customFormat="1" ht="13.5" customHeight="1">
      <c r="B3865" s="13"/>
      <c r="C3865" t="s" s="9">
        <v>27</v>
      </c>
      <c r="D3865" t="s" s="8">
        <v>1325</v>
      </c>
      <c r="E3865" t="s" s="9">
        <v>1325</v>
      </c>
      <c r="F3865" t="s" s="10">
        <v>63</v>
      </c>
      <c r="G3865" s="14"/>
      <c r="H3865" s="19">
        <v>10</v>
      </c>
      <c r="I3865" s="14"/>
      <c r="J3865" t="s" s="11">
        <v>20</v>
      </c>
      <c r="K3865" t="s" s="16">
        <f>HYPERLINK("http://csr.bu.edu/ftp/asl/asllvd/demos/verify_start_end_handshape_annotations//test_auto_move//signs_mov/837.mov","MOV")</f>
        <v>21</v>
      </c>
      <c r="L3865" t="s" s="16">
        <f>HYPERLINK("http://csr.bu.edu/ftp/asl/asllvd/demos/verify_start_end_handshape_annotations//test_auto_move//signs_mov_separ_signers/Naomi_837.mov","MOV")</f>
        <v>21</v>
      </c>
      <c r="M3865" t="s" s="10">
        <v>86</v>
      </c>
      <c r="N3865" s="17">
        <v>34</v>
      </c>
      <c r="O3865" s="18">
        <v>1537</v>
      </c>
      <c r="P3865" s="18">
        <v>1590</v>
      </c>
      <c r="Q3865" t="s" s="16">
        <f>HYPERLINK("http://secrets.rutgers.edu:8080/data/asl-ftp/asllvd/demos/verify_start_end_handshape_annotations//test_auto_move//signs_mov/837.mov","MOV")</f>
        <v>21</v>
      </c>
      <c r="R3865" t="s" s="16">
        <f>HYPERLINK("http://secrets.rutgers.edu:8080/data/asl-ftp/asllvd/demos/verify_start_end_handshape_annotations//test_auto_move//signs_mov_separ_signers/Naomi_837.mov","MOV")</f>
        <v>21</v>
      </c>
    </row>
    <row r="3866" s="2" customFormat="1" ht="13.5" customHeight="1">
      <c r="B3866" s="13"/>
      <c r="C3866" t="s" s="9">
        <v>30</v>
      </c>
      <c r="D3866" t="s" s="8">
        <v>1325</v>
      </c>
      <c r="E3866" t="s" s="9">
        <v>1325</v>
      </c>
      <c r="F3866" s="19">
        <v>10</v>
      </c>
      <c r="G3866" s="14"/>
      <c r="H3866" s="19">
        <v>10</v>
      </c>
      <c r="I3866" s="14"/>
      <c r="J3866" t="s" s="11">
        <v>20</v>
      </c>
      <c r="K3866" s="15"/>
      <c r="L3866" t="s" s="16">
        <f>HYPERLINK("http://csr.bu.edu/ftp/asl/asllvd/demos/verify_start_end_handshape_annotations//test_auto_move//signs_mov_separ_signers/Brady_837.mov","MOV")</f>
        <v>21</v>
      </c>
      <c r="M3866" t="s" s="10">
        <v>39</v>
      </c>
      <c r="N3866" s="17">
        <v>13</v>
      </c>
      <c r="O3866" s="18">
        <v>4950</v>
      </c>
      <c r="P3866" s="18">
        <v>4983</v>
      </c>
      <c r="Q3866" s="15"/>
      <c r="R3866" t="s" s="16">
        <f>HYPERLINK("http://secrets.rutgers.edu:8080/data/asl-ftp/asllvd/demos/verify_start_end_handshape_annotations//test_auto_move//signs_mov_separ_signers/Brady_837.mov","MOV")</f>
        <v>21</v>
      </c>
    </row>
    <row r="3867" s="2" customFormat="1" ht="13.5" customHeight="1">
      <c r="B3867" s="13"/>
      <c r="C3867" t="s" s="9">
        <v>41</v>
      </c>
      <c r="D3867" t="s" s="8">
        <v>1325</v>
      </c>
      <c r="E3867" t="s" s="9">
        <v>1325</v>
      </c>
      <c r="F3867" s="19">
        <v>10</v>
      </c>
      <c r="G3867" s="14"/>
      <c r="H3867" s="19">
        <v>10</v>
      </c>
      <c r="I3867" s="14"/>
      <c r="J3867" t="s" s="11">
        <v>20</v>
      </c>
      <c r="K3867" s="15"/>
      <c r="L3867" t="s" s="16">
        <f>HYPERLINK("http://csr.bu.edu/ftp/asl/asllvd/demos/verify_start_end_handshape_annotations//test_auto_move//signs_mov_separ_signers/Lana_837.mov","MOV")</f>
        <v>21</v>
      </c>
      <c r="M3867" t="s" s="10">
        <v>42</v>
      </c>
      <c r="N3867" s="17">
        <v>8</v>
      </c>
      <c r="O3867" s="18">
        <v>2460</v>
      </c>
      <c r="P3867" s="18">
        <v>2503</v>
      </c>
      <c r="Q3867" s="15"/>
      <c r="R3867" t="s" s="16">
        <f>HYPERLINK("http://secrets.rutgers.edu:8080/data/asl-ftp/asllvd/demos/verify_start_end_handshape_annotations//test_auto_move//signs_mov_separ_signers/Lana_837.mov","MOV")</f>
        <v>21</v>
      </c>
    </row>
    <row r="3868" s="2" customFormat="1" ht="13.5" customHeight="1">
      <c r="B3868" s="13"/>
      <c r="C3868" t="s" s="9">
        <v>43</v>
      </c>
      <c r="D3868" t="s" s="8">
        <v>1325</v>
      </c>
      <c r="E3868" t="s" s="9">
        <v>1325</v>
      </c>
      <c r="F3868" s="19">
        <v>10</v>
      </c>
      <c r="G3868" s="14"/>
      <c r="H3868" s="19">
        <v>10</v>
      </c>
      <c r="I3868" s="14"/>
      <c r="J3868" t="s" s="11">
        <v>20</v>
      </c>
      <c r="K3868" s="15"/>
      <c r="L3868" t="s" s="16">
        <f>HYPERLINK("http://csr.bu.edu/ftp/asl/asllvd/demos/verify_start_end_handshape_annotations//test_auto_move//signs_mov_separ_signers/Dana_837.mov","MOV")</f>
        <v>21</v>
      </c>
      <c r="M3868" t="s" s="10">
        <v>44</v>
      </c>
      <c r="N3868" s="17">
        <v>12</v>
      </c>
      <c r="O3868" s="18">
        <v>2396</v>
      </c>
      <c r="P3868" s="18">
        <v>2433</v>
      </c>
      <c r="Q3868" s="15"/>
      <c r="R3868" t="s" s="16">
        <f>HYPERLINK("http://secrets.rutgers.edu:8080/data/asl-ftp/asllvd/demos/verify_start_end_handshape_annotations//test_auto_move//signs_mov_separ_signers/Dana_837.mov","MOV")</f>
        <v>21</v>
      </c>
    </row>
    <row r="3869" s="2" customFormat="1" ht="13.5" customHeight="1">
      <c r="B3869" t="s" s="8">
        <v>1326</v>
      </c>
      <c r="C3869" t="s" s="9">
        <v>14</v>
      </c>
      <c r="D3869" t="s" s="8">
        <v>14</v>
      </c>
      <c r="E3869" t="s" s="9">
        <v>14</v>
      </c>
      <c r="F3869" t="s" s="10">
        <v>14</v>
      </c>
      <c r="G3869" t="s" s="11">
        <v>14</v>
      </c>
      <c r="H3869" t="s" s="10">
        <v>14</v>
      </c>
      <c r="I3869" t="s" s="11">
        <v>14</v>
      </c>
      <c r="J3869" t="s" s="11">
        <v>14</v>
      </c>
      <c r="K3869" t="s" s="12">
        <v>14</v>
      </c>
      <c r="L3869" t="s" s="12">
        <v>14</v>
      </c>
      <c r="M3869" t="s" s="10">
        <v>14</v>
      </c>
      <c r="N3869" t="s" s="11">
        <v>14</v>
      </c>
      <c r="O3869" t="s" s="8">
        <v>14</v>
      </c>
      <c r="P3869" t="s" s="8">
        <v>14</v>
      </c>
      <c r="Q3869" t="s" s="12">
        <v>14</v>
      </c>
      <c r="R3869" t="s" s="12">
        <v>14</v>
      </c>
    </row>
    <row r="3870" s="2" customFormat="1" ht="13.5" customHeight="1">
      <c r="B3870" s="13"/>
      <c r="C3870" t="s" s="9">
        <v>16</v>
      </c>
      <c r="D3870" t="s" s="8">
        <v>1326</v>
      </c>
      <c r="E3870" t="s" s="9">
        <v>1326</v>
      </c>
      <c r="F3870" s="19">
        <v>10</v>
      </c>
      <c r="G3870" s="14"/>
      <c r="H3870" s="19">
        <v>10</v>
      </c>
      <c r="I3870" s="14"/>
      <c r="J3870" t="s" s="11">
        <v>20</v>
      </c>
      <c r="K3870" t="s" s="16">
        <f>HYPERLINK("http://csr.bu.edu/ftp/asl/asllvd/demos/verify_start_end_handshape_annotations//test_auto_move//signs_mov/15737.mov","MOV")</f>
        <v>21</v>
      </c>
      <c r="L3870" t="s" s="16">
        <f>HYPERLINK("http://csr.bu.edu/ftp/asl/asllvd/demos/verify_start_end_handshape_annotations//test_auto_move//signs_mov_separ_signers/Liz_15737.mov","MOV")</f>
        <v>21</v>
      </c>
      <c r="M3870" t="s" s="10">
        <v>59</v>
      </c>
      <c r="N3870" s="17">
        <v>19</v>
      </c>
      <c r="O3870" s="18">
        <v>2731</v>
      </c>
      <c r="P3870" s="18">
        <v>2757</v>
      </c>
      <c r="Q3870" t="s" s="16">
        <f>HYPERLINK("http://secrets.rutgers.edu:8080/data/asl-ftp/asllvd/demos/verify_start_end_handshape_annotations//test_auto_move//signs_mov/15737.mov","MOV")</f>
        <v>21</v>
      </c>
      <c r="R3870" t="s" s="16">
        <f>HYPERLINK("http://secrets.rutgers.edu:8080/data/asl-ftp/asllvd/demos/verify_start_end_handshape_annotations//test_auto_move//signs_mov_separ_signers/Liz_15737.mov","MOV")</f>
        <v>21</v>
      </c>
    </row>
    <row r="3871" s="2" customFormat="1" ht="13.5" customHeight="1">
      <c r="B3871" s="13"/>
      <c r="C3871" t="s" s="9">
        <v>30</v>
      </c>
      <c r="D3871" t="s" s="8">
        <v>1326</v>
      </c>
      <c r="E3871" t="s" s="9">
        <v>1326</v>
      </c>
      <c r="F3871" s="19">
        <v>10</v>
      </c>
      <c r="G3871" s="14"/>
      <c r="H3871" s="19">
        <v>10</v>
      </c>
      <c r="I3871" s="14"/>
      <c r="J3871" t="s" s="11">
        <v>20</v>
      </c>
      <c r="K3871" s="15"/>
      <c r="L3871" t="s" s="16">
        <f>HYPERLINK("http://csr.bu.edu/ftp/asl/asllvd/demos/verify_start_end_handshape_annotations//test_auto_move//signs_mov_separ_signers/Brady_15737.mov","MOV")</f>
        <v>21</v>
      </c>
      <c r="M3871" t="s" s="10">
        <v>60</v>
      </c>
      <c r="N3871" s="17">
        <v>7</v>
      </c>
      <c r="O3871" s="18">
        <v>2654</v>
      </c>
      <c r="P3871" s="18">
        <v>2669</v>
      </c>
      <c r="Q3871" s="15"/>
      <c r="R3871" t="s" s="16">
        <f>HYPERLINK("http://secrets.rutgers.edu:8080/data/asl-ftp/asllvd/demos/verify_start_end_handshape_annotations//test_auto_move//signs_mov_separ_signers/Brady_15737.mov","MOV")</f>
        <v>21</v>
      </c>
    </row>
    <row r="3872" s="2" customFormat="1" ht="13.5" customHeight="1">
      <c r="B3872" t="s" s="8">
        <v>1327</v>
      </c>
      <c r="C3872" t="s" s="9">
        <v>14</v>
      </c>
      <c r="D3872" t="s" s="8">
        <v>14</v>
      </c>
      <c r="E3872" t="s" s="9">
        <v>14</v>
      </c>
      <c r="F3872" t="s" s="10">
        <v>14</v>
      </c>
      <c r="G3872" t="s" s="11">
        <v>14</v>
      </c>
      <c r="H3872" t="s" s="10">
        <v>14</v>
      </c>
      <c r="I3872" t="s" s="11">
        <v>14</v>
      </c>
      <c r="J3872" t="s" s="11">
        <v>14</v>
      </c>
      <c r="K3872" t="s" s="12">
        <v>14</v>
      </c>
      <c r="L3872" t="s" s="12">
        <v>14</v>
      </c>
      <c r="M3872" t="s" s="10">
        <v>14</v>
      </c>
      <c r="N3872" t="s" s="11">
        <v>14</v>
      </c>
      <c r="O3872" t="s" s="8">
        <v>14</v>
      </c>
      <c r="P3872" t="s" s="8">
        <v>14</v>
      </c>
      <c r="Q3872" t="s" s="12">
        <v>14</v>
      </c>
      <c r="R3872" t="s" s="12">
        <v>14</v>
      </c>
    </row>
    <row r="3873" s="2" customFormat="1" ht="13.5" customHeight="1">
      <c r="B3873" s="13"/>
      <c r="C3873" t="s" s="9">
        <v>16</v>
      </c>
      <c r="D3873" t="s" s="8">
        <v>1327</v>
      </c>
      <c r="E3873" t="s" s="9">
        <v>1327</v>
      </c>
      <c r="F3873" s="19">
        <v>10</v>
      </c>
      <c r="G3873" s="14"/>
      <c r="H3873" s="19">
        <v>10</v>
      </c>
      <c r="I3873" s="14"/>
      <c r="J3873" t="s" s="11">
        <v>20</v>
      </c>
      <c r="K3873" s="15"/>
      <c r="L3873" t="s" s="16">
        <f>HYPERLINK("http://csr.bu.edu/ftp/asl/asllvd/demos/verify_start_end_handshape_annotations//test_auto_move//signs_mov_separ_signers/Liz_15832.mov","MOV")</f>
        <v>21</v>
      </c>
      <c r="M3873" t="s" s="10">
        <v>59</v>
      </c>
      <c r="N3873" s="17">
        <v>47</v>
      </c>
      <c r="O3873" s="18">
        <v>2795</v>
      </c>
      <c r="P3873" s="18">
        <v>2832</v>
      </c>
      <c r="Q3873" s="15"/>
      <c r="R3873" t="s" s="16">
        <f>HYPERLINK("http://secrets.rutgers.edu:8080/data/asl-ftp/asllvd/demos/verify_start_end_handshape_annotations//test_auto_move//signs_mov_separ_signers/Liz_15832.mov","MOV")</f>
        <v>21</v>
      </c>
    </row>
    <row r="3874" s="2" customFormat="1" ht="13.5" customHeight="1">
      <c r="B3874" s="13"/>
      <c r="C3874" t="s" s="9">
        <v>30</v>
      </c>
      <c r="D3874" t="s" s="8">
        <v>1327</v>
      </c>
      <c r="E3874" t="s" s="9">
        <v>1327</v>
      </c>
      <c r="F3874" s="19">
        <v>10</v>
      </c>
      <c r="G3874" s="14"/>
      <c r="H3874" s="19">
        <v>10</v>
      </c>
      <c r="I3874" s="14"/>
      <c r="J3874" t="s" s="11">
        <v>20</v>
      </c>
      <c r="K3874" t="s" s="16">
        <f>HYPERLINK("http://csr.bu.edu/ftp/asl/asllvd/demos/verify_start_end_handshape_annotations//test_auto_move//signs_mov/15832.mov","MOV")</f>
        <v>21</v>
      </c>
      <c r="L3874" t="s" s="16">
        <f>HYPERLINK("http://csr.bu.edu/ftp/asl/asllvd/demos/verify_start_end_handshape_annotations//test_auto_move//signs_mov_separ_signers/Brady_15832.mov","MOV")</f>
        <v>21</v>
      </c>
      <c r="M3874" t="s" s="10">
        <v>60</v>
      </c>
      <c r="N3874" s="17">
        <v>35</v>
      </c>
      <c r="O3874" s="18">
        <v>2950</v>
      </c>
      <c r="P3874" s="18">
        <v>2975</v>
      </c>
      <c r="Q3874" t="s" s="16">
        <f>HYPERLINK("http://secrets.rutgers.edu:8080/data/asl-ftp/asllvd/demos/verify_start_end_handshape_annotations//test_auto_move//signs_mov/15832.mov","MOV")</f>
        <v>21</v>
      </c>
      <c r="R3874" t="s" s="16">
        <f>HYPERLINK("http://secrets.rutgers.edu:8080/data/asl-ftp/asllvd/demos/verify_start_end_handshape_annotations//test_auto_move//signs_mov_separ_signers/Brady_15832.mov","MOV")</f>
        <v>21</v>
      </c>
    </row>
    <row r="3875" s="2" customFormat="1" ht="13.5" customHeight="1">
      <c r="B3875" s="13"/>
      <c r="C3875" t="s" s="9">
        <v>41</v>
      </c>
      <c r="D3875" t="s" s="8">
        <v>1327</v>
      </c>
      <c r="E3875" t="s" s="9">
        <v>1327</v>
      </c>
      <c r="F3875" s="19">
        <v>10</v>
      </c>
      <c r="G3875" s="14"/>
      <c r="H3875" s="19">
        <v>10</v>
      </c>
      <c r="I3875" s="14"/>
      <c r="J3875" t="s" s="11">
        <v>20</v>
      </c>
      <c r="K3875" s="15"/>
      <c r="L3875" t="s" s="16">
        <f>HYPERLINK("http://csr.bu.edu/ftp/asl/asllvd/demos/verify_start_end_handshape_annotations//test_auto_move//signs_mov_separ_signers/Lana_15832.mov","MOV")</f>
        <v>21</v>
      </c>
      <c r="M3875" t="s" s="10">
        <v>245</v>
      </c>
      <c r="N3875" s="17">
        <v>22</v>
      </c>
      <c r="O3875" s="18">
        <v>3582</v>
      </c>
      <c r="P3875" s="18">
        <v>3633</v>
      </c>
      <c r="Q3875" s="15"/>
      <c r="R3875" t="s" s="16">
        <f>HYPERLINK("http://secrets.rutgers.edu:8080/data/asl-ftp/asllvd/demos/verify_start_end_handshape_annotations//test_auto_move//signs_mov_separ_signers/Lana_15832.mov","MOV")</f>
        <v>21</v>
      </c>
    </row>
    <row r="3876" s="2" customFormat="1" ht="13.5" customHeight="1">
      <c r="B3876" t="s" s="8">
        <v>1328</v>
      </c>
      <c r="C3876" t="s" s="9">
        <v>14</v>
      </c>
      <c r="D3876" t="s" s="8">
        <v>14</v>
      </c>
      <c r="E3876" t="s" s="9">
        <v>14</v>
      </c>
      <c r="F3876" t="s" s="10">
        <v>14</v>
      </c>
      <c r="G3876" t="s" s="11">
        <v>14</v>
      </c>
      <c r="H3876" t="s" s="10">
        <v>14</v>
      </c>
      <c r="I3876" t="s" s="11">
        <v>14</v>
      </c>
      <c r="J3876" t="s" s="11">
        <v>14</v>
      </c>
      <c r="K3876" t="s" s="12">
        <v>14</v>
      </c>
      <c r="L3876" t="s" s="12">
        <v>14</v>
      </c>
      <c r="M3876" t="s" s="10">
        <v>14</v>
      </c>
      <c r="N3876" t="s" s="11">
        <v>14</v>
      </c>
      <c r="O3876" t="s" s="8">
        <v>14</v>
      </c>
      <c r="P3876" t="s" s="8">
        <v>14</v>
      </c>
      <c r="Q3876" t="s" s="12">
        <v>14</v>
      </c>
      <c r="R3876" t="s" s="12">
        <v>14</v>
      </c>
    </row>
    <row r="3877" s="2" customFormat="1" ht="13.5" customHeight="1">
      <c r="B3877" s="13"/>
      <c r="C3877" t="s" s="9">
        <v>16</v>
      </c>
      <c r="D3877" t="s" s="8">
        <v>1328</v>
      </c>
      <c r="E3877" t="s" s="9">
        <v>1328</v>
      </c>
      <c r="F3877" t="s" s="10">
        <v>292</v>
      </c>
      <c r="G3877" t="s" s="11">
        <v>65</v>
      </c>
      <c r="H3877" t="s" s="10">
        <v>65</v>
      </c>
      <c r="I3877" t="s" s="11">
        <v>65</v>
      </c>
      <c r="J3877" t="s" s="11">
        <v>20</v>
      </c>
      <c r="K3877" s="15"/>
      <c r="L3877" t="s" s="16">
        <f>HYPERLINK("http://csr.bu.edu/ftp/asl/asllvd/demos/verify_start_end_handshape_annotations//test_auto_move//signs_mov_separ_signers/Liz_842.mov","MOV")</f>
        <v>21</v>
      </c>
      <c r="M3877" t="s" s="10">
        <v>84</v>
      </c>
      <c r="N3877" s="17">
        <v>35</v>
      </c>
      <c r="O3877" s="18">
        <v>685</v>
      </c>
      <c r="P3877" s="18">
        <v>720</v>
      </c>
      <c r="Q3877" s="15"/>
      <c r="R3877" t="s" s="16">
        <f>HYPERLINK("http://secrets.rutgers.edu:8080/data/asl-ftp/asllvd/demos/verify_start_end_handshape_annotations//test_auto_move//signs_mov_separ_signers/Liz_842.mov","MOV")</f>
        <v>21</v>
      </c>
    </row>
    <row r="3878" s="2" customFormat="1" ht="13.5" customHeight="1">
      <c r="B3878" s="13"/>
      <c r="C3878" t="s" s="9">
        <v>16</v>
      </c>
      <c r="D3878" t="s" s="8">
        <v>1328</v>
      </c>
      <c r="E3878" t="s" s="9">
        <v>1328</v>
      </c>
      <c r="F3878" t="s" s="10">
        <v>65</v>
      </c>
      <c r="G3878" t="s" s="11">
        <v>65</v>
      </c>
      <c r="H3878" t="s" s="10">
        <v>65</v>
      </c>
      <c r="I3878" t="s" s="11">
        <v>65</v>
      </c>
      <c r="J3878" t="s" s="11">
        <v>20</v>
      </c>
      <c r="K3878" s="15"/>
      <c r="L3878" t="s" s="16">
        <f>HYPERLINK("http://csr.bu.edu/ftp/asl/asllvd/demos/verify_start_end_handshape_annotations//test_auto_move//signs_mov_separ_signers/Liz_3627.mov","MOV")</f>
        <v>21</v>
      </c>
      <c r="M3878" t="s" s="10">
        <v>77</v>
      </c>
      <c r="N3878" s="17">
        <v>23</v>
      </c>
      <c r="O3878" s="18">
        <v>658</v>
      </c>
      <c r="P3878" s="18">
        <v>720</v>
      </c>
      <c r="Q3878" s="15"/>
      <c r="R3878" t="s" s="16">
        <f>HYPERLINK("http://secrets.rutgers.edu:8080/data/asl-ftp/asllvd/demos/verify_start_end_handshape_annotations//test_auto_move//signs_mov_separ_signers/Liz_3627.mov","MOV")</f>
        <v>21</v>
      </c>
    </row>
    <row r="3879" s="2" customFormat="1" ht="13.5" customHeight="1">
      <c r="B3879" s="13"/>
      <c r="C3879" t="s" s="9">
        <v>23</v>
      </c>
      <c r="D3879" t="s" s="8">
        <v>1328</v>
      </c>
      <c r="E3879" t="s" s="9">
        <v>1328</v>
      </c>
      <c r="F3879" t="s" s="10">
        <v>65</v>
      </c>
      <c r="G3879" t="s" s="11">
        <v>65</v>
      </c>
      <c r="H3879" t="s" s="10">
        <v>65</v>
      </c>
      <c r="I3879" t="s" s="11">
        <v>65</v>
      </c>
      <c r="J3879" t="s" s="11">
        <v>20</v>
      </c>
      <c r="K3879" t="s" s="16">
        <f>HYPERLINK("http://csr.bu.edu/ftp/asl/asllvd/demos/verify_start_end_handshape_annotations//test_auto_move//signs_mov/842_3627_merged.mov","MOV")</f>
        <v>21</v>
      </c>
      <c r="L3879" t="s" s="16">
        <f>HYPERLINK("http://csr.bu.edu/ftp/asl/asllvd/demos/verify_start_end_handshape_annotations//test_auto_move//signs_mov_separ_signers/Tyler_842.mov","MOV")</f>
        <v>21</v>
      </c>
      <c r="M3879" t="s" s="10">
        <v>92</v>
      </c>
      <c r="N3879" s="17">
        <v>15</v>
      </c>
      <c r="O3879" s="18">
        <v>470</v>
      </c>
      <c r="P3879" s="18">
        <v>506</v>
      </c>
      <c r="Q3879" t="s" s="16">
        <f>HYPERLINK("http://secrets.rutgers.edu:8080/data/asl-ftp/asllvd/demos/verify_start_end_handshape_annotations//test_auto_move//signs_mov/842_3627_merged.mov","MOV")</f>
        <v>21</v>
      </c>
      <c r="R3879" t="s" s="16">
        <f>HYPERLINK("http://secrets.rutgers.edu:8080/data/asl-ftp/asllvd/demos/verify_start_end_handshape_annotations//test_auto_move//signs_mov_separ_signers/Tyler_842.mov","MOV")</f>
        <v>21</v>
      </c>
    </row>
    <row r="3880" s="2" customFormat="1" ht="13.5" customHeight="1">
      <c r="B3880" s="13"/>
      <c r="C3880" t="s" s="9">
        <v>23</v>
      </c>
      <c r="D3880" t="s" s="8">
        <v>1328</v>
      </c>
      <c r="E3880" t="s" s="9">
        <v>1328</v>
      </c>
      <c r="F3880" t="s" s="10">
        <v>65</v>
      </c>
      <c r="G3880" t="s" s="11">
        <v>65</v>
      </c>
      <c r="H3880" t="s" s="10">
        <v>65</v>
      </c>
      <c r="I3880" t="s" s="11">
        <v>65</v>
      </c>
      <c r="J3880" t="s" s="11">
        <v>20</v>
      </c>
      <c r="K3880" s="15"/>
      <c r="L3880" t="s" s="16">
        <f>HYPERLINK("http://csr.bu.edu/ftp/asl/asllvd/demos/verify_start_end_handshape_annotations//test_auto_move//signs_mov_separ_signers/Tyler_3627.mov","MOV")</f>
        <v>21</v>
      </c>
      <c r="M3880" t="s" s="10">
        <v>92</v>
      </c>
      <c r="N3880" s="17">
        <v>15</v>
      </c>
      <c r="O3880" s="18">
        <v>705</v>
      </c>
      <c r="P3880" s="18">
        <v>740</v>
      </c>
      <c r="Q3880" s="15"/>
      <c r="R3880" t="s" s="16">
        <f>HYPERLINK("http://secrets.rutgers.edu:8080/data/asl-ftp/asllvd/demos/verify_start_end_handshape_annotations//test_auto_move//signs_mov_separ_signers/Tyler_3627.mov","MOV")</f>
        <v>21</v>
      </c>
    </row>
    <row r="3881" s="2" customFormat="1" ht="13.5" customHeight="1">
      <c r="B3881" s="13"/>
      <c r="C3881" t="s" s="9">
        <v>27</v>
      </c>
      <c r="D3881" t="s" s="8">
        <v>1328</v>
      </c>
      <c r="E3881" t="s" s="9">
        <v>1328</v>
      </c>
      <c r="F3881" t="s" s="10">
        <v>65</v>
      </c>
      <c r="G3881" t="s" s="11">
        <v>65</v>
      </c>
      <c r="H3881" t="s" s="10">
        <v>65</v>
      </c>
      <c r="I3881" t="s" s="11">
        <v>65</v>
      </c>
      <c r="J3881" t="s" s="11">
        <v>20</v>
      </c>
      <c r="K3881" s="15"/>
      <c r="L3881" t="s" s="16">
        <f>HYPERLINK("http://csr.bu.edu/ftp/asl/asllvd/demos/verify_start_end_handshape_annotations//test_auto_move//signs_mov_separ_signers/Naomi_842.mov","MOV")</f>
        <v>21</v>
      </c>
      <c r="M3881" t="s" s="10">
        <v>86</v>
      </c>
      <c r="N3881" s="17">
        <v>35</v>
      </c>
      <c r="O3881" s="18">
        <v>601</v>
      </c>
      <c r="P3881" s="18">
        <v>627</v>
      </c>
      <c r="Q3881" s="15"/>
      <c r="R3881" t="s" s="16">
        <f>HYPERLINK("http://secrets.rutgers.edu:8080/data/asl-ftp/asllvd/demos/verify_start_end_handshape_annotations//test_auto_move//signs_mov_separ_signers/Naomi_842.mov","MOV")</f>
        <v>21</v>
      </c>
    </row>
    <row r="3882" s="2" customFormat="1" ht="13.5" customHeight="1">
      <c r="B3882" s="13"/>
      <c r="C3882" t="s" s="9">
        <v>30</v>
      </c>
      <c r="D3882" t="s" s="8">
        <v>1328</v>
      </c>
      <c r="E3882" t="s" s="9">
        <v>1328</v>
      </c>
      <c r="F3882" t="s" s="10">
        <v>65</v>
      </c>
      <c r="G3882" t="s" s="11">
        <v>65</v>
      </c>
      <c r="H3882" t="s" s="10">
        <v>65</v>
      </c>
      <c r="I3882" t="s" s="11">
        <v>65</v>
      </c>
      <c r="J3882" t="s" s="11">
        <v>20</v>
      </c>
      <c r="K3882" s="15"/>
      <c r="L3882" t="s" s="16">
        <f>HYPERLINK("http://csr.bu.edu/ftp/asl/asllvd/demos/verify_start_end_handshape_annotations//test_auto_move//signs_mov_separ_signers/Brady_842.mov","MOV")</f>
        <v>21</v>
      </c>
      <c r="M3882" t="s" s="10">
        <v>39</v>
      </c>
      <c r="N3882" s="17">
        <v>14</v>
      </c>
      <c r="O3882" s="18">
        <v>972</v>
      </c>
      <c r="P3882" s="18">
        <v>994</v>
      </c>
      <c r="Q3882" s="15"/>
      <c r="R3882" t="s" s="16">
        <f>HYPERLINK("http://secrets.rutgers.edu:8080/data/asl-ftp/asllvd/demos/verify_start_end_handshape_annotations//test_auto_move//signs_mov_separ_signers/Brady_842.mov","MOV")</f>
        <v>21</v>
      </c>
    </row>
    <row r="3883" s="2" customFormat="1" ht="13.5" customHeight="1">
      <c r="B3883" t="s" s="8">
        <v>52</v>
      </c>
      <c r="C3883" t="s" s="9">
        <v>53</v>
      </c>
      <c r="D3883" t="s" s="8">
        <v>53</v>
      </c>
      <c r="E3883" t="s" s="9">
        <v>53</v>
      </c>
      <c r="F3883" t="s" s="10">
        <v>53</v>
      </c>
      <c r="G3883" t="s" s="11">
        <v>53</v>
      </c>
      <c r="H3883" t="s" s="10">
        <v>53</v>
      </c>
      <c r="I3883" t="s" s="11">
        <v>53</v>
      </c>
      <c r="J3883" t="s" s="11">
        <v>53</v>
      </c>
      <c r="K3883" t="s" s="12">
        <v>53</v>
      </c>
      <c r="L3883" t="s" s="12">
        <v>53</v>
      </c>
      <c r="M3883" t="s" s="10">
        <v>53</v>
      </c>
      <c r="N3883" t="s" s="11">
        <v>53</v>
      </c>
      <c r="O3883" t="s" s="8">
        <v>53</v>
      </c>
      <c r="P3883" t="s" s="8">
        <v>53</v>
      </c>
      <c r="Q3883" t="s" s="12">
        <v>53</v>
      </c>
      <c r="R3883" t="s" s="12">
        <v>53</v>
      </c>
    </row>
    <row r="3884" s="2" customFormat="1" ht="13.5" customHeight="1">
      <c r="B3884" s="13"/>
      <c r="C3884" t="s" s="9">
        <v>27</v>
      </c>
      <c r="D3884" t="s" s="8">
        <v>1328</v>
      </c>
      <c r="E3884" t="s" s="9">
        <v>1329</v>
      </c>
      <c r="F3884" t="s" s="10">
        <v>65</v>
      </c>
      <c r="G3884" t="s" s="11">
        <v>65</v>
      </c>
      <c r="H3884" t="s" s="10">
        <v>65</v>
      </c>
      <c r="I3884" t="s" s="11">
        <v>65</v>
      </c>
      <c r="J3884" t="s" s="11">
        <v>20</v>
      </c>
      <c r="K3884" t="s" s="16">
        <f>HYPERLINK("http://csr.bu.edu/ftp/asl/asllvd/demos/verify_start_end_handshape_annotations//test_auto_move//signs_mov/3895.mov","MOV")</f>
        <v>21</v>
      </c>
      <c r="L3884" t="s" s="16">
        <f>HYPERLINK("http://csr.bu.edu/ftp/asl/asllvd/demos/verify_start_end_handshape_annotations//test_auto_move//signs_mov_separ_signers/Naomi_3895.mov","MOV")</f>
        <v>21</v>
      </c>
      <c r="M3884" t="s" s="10">
        <v>86</v>
      </c>
      <c r="N3884" s="17">
        <v>35</v>
      </c>
      <c r="O3884" s="18">
        <v>360</v>
      </c>
      <c r="P3884" s="18">
        <v>390</v>
      </c>
      <c r="Q3884" t="s" s="16">
        <f>HYPERLINK("http://secrets.rutgers.edu:8080/data/asl-ftp/asllvd/demos/verify_start_end_handshape_annotations//test_auto_move//signs_mov/3895.mov","MOV")</f>
        <v>21</v>
      </c>
      <c r="R3884" t="s" s="16">
        <f>HYPERLINK("http://secrets.rutgers.edu:8080/data/asl-ftp/asllvd/demos/verify_start_end_handshape_annotations//test_auto_move//signs_mov_separ_signers/Naomi_3895.mov","MOV")</f>
        <v>21</v>
      </c>
    </row>
    <row r="3885" s="2" customFormat="1" ht="13.5" customHeight="1">
      <c r="B3885" t="s" s="8">
        <v>52</v>
      </c>
      <c r="C3885" t="s" s="9">
        <v>53</v>
      </c>
      <c r="D3885" t="s" s="8">
        <v>53</v>
      </c>
      <c r="E3885" t="s" s="9">
        <v>53</v>
      </c>
      <c r="F3885" t="s" s="10">
        <v>53</v>
      </c>
      <c r="G3885" t="s" s="11">
        <v>53</v>
      </c>
      <c r="H3885" t="s" s="10">
        <v>53</v>
      </c>
      <c r="I3885" t="s" s="11">
        <v>53</v>
      </c>
      <c r="J3885" t="s" s="11">
        <v>53</v>
      </c>
      <c r="K3885" t="s" s="12">
        <v>53</v>
      </c>
      <c r="L3885" t="s" s="12">
        <v>53</v>
      </c>
      <c r="M3885" t="s" s="10">
        <v>53</v>
      </c>
      <c r="N3885" t="s" s="11">
        <v>53</v>
      </c>
      <c r="O3885" t="s" s="8">
        <v>53</v>
      </c>
      <c r="P3885" t="s" s="8">
        <v>53</v>
      </c>
      <c r="Q3885" t="s" s="12">
        <v>53</v>
      </c>
      <c r="R3885" t="s" s="12">
        <v>53</v>
      </c>
    </row>
    <row r="3886" s="2" customFormat="1" ht="13.5" customHeight="1">
      <c r="B3886" s="13"/>
      <c r="C3886" t="s" s="9">
        <v>16</v>
      </c>
      <c r="D3886" t="s" s="8">
        <v>1328</v>
      </c>
      <c r="E3886" t="s" s="9">
        <v>1330</v>
      </c>
      <c r="F3886" t="s" s="10">
        <v>282</v>
      </c>
      <c r="G3886" t="s" s="11">
        <v>282</v>
      </c>
      <c r="H3886" t="s" s="10">
        <v>282</v>
      </c>
      <c r="I3886" t="s" s="11">
        <v>282</v>
      </c>
      <c r="J3886" t="s" s="11">
        <v>20</v>
      </c>
      <c r="K3886" t="s" s="16">
        <f>HYPERLINK("http://csr.bu.edu/ftp/asl/asllvd/demos/verify_start_end_handshape_annotations//test_auto_move//signs_mov/15735.mov","MOV")</f>
        <v>21</v>
      </c>
      <c r="L3886" t="s" s="16">
        <f>HYPERLINK("http://csr.bu.edu/ftp/asl/asllvd/demos/verify_start_end_handshape_annotations//test_auto_move//signs_mov_separ_signers/Liz_15735.mov","MOV")</f>
        <v>21</v>
      </c>
      <c r="M3886" t="s" s="10">
        <v>88</v>
      </c>
      <c r="N3886" s="17">
        <v>35</v>
      </c>
      <c r="O3886" s="18">
        <v>2220</v>
      </c>
      <c r="P3886" s="18">
        <v>2277</v>
      </c>
      <c r="Q3886" t="s" s="16">
        <f>HYPERLINK("http://secrets.rutgers.edu:8080/data/asl-ftp/asllvd/demos/verify_start_end_handshape_annotations//test_auto_move//signs_mov/15735.mov","MOV")</f>
        <v>21</v>
      </c>
      <c r="R3886" t="s" s="16">
        <f>HYPERLINK("http://secrets.rutgers.edu:8080/data/asl-ftp/asllvd/demos/verify_start_end_handshape_annotations//test_auto_move//signs_mov_separ_signers/Liz_15735.mov","MOV")</f>
        <v>21</v>
      </c>
    </row>
    <row r="3887" s="2" customFormat="1" ht="13.5" customHeight="1">
      <c r="B3887" t="s" s="8">
        <v>1331</v>
      </c>
      <c r="C3887" t="s" s="9">
        <v>14</v>
      </c>
      <c r="D3887" t="s" s="8">
        <v>14</v>
      </c>
      <c r="E3887" t="s" s="9">
        <v>14</v>
      </c>
      <c r="F3887" t="s" s="10">
        <v>14</v>
      </c>
      <c r="G3887" t="s" s="11">
        <v>14</v>
      </c>
      <c r="H3887" t="s" s="10">
        <v>14</v>
      </c>
      <c r="I3887" t="s" s="11">
        <v>14</v>
      </c>
      <c r="J3887" t="s" s="11">
        <v>14</v>
      </c>
      <c r="K3887" t="s" s="12">
        <v>14</v>
      </c>
      <c r="L3887" t="s" s="12">
        <v>14</v>
      </c>
      <c r="M3887" t="s" s="10">
        <v>14</v>
      </c>
      <c r="N3887" t="s" s="11">
        <v>14</v>
      </c>
      <c r="O3887" t="s" s="8">
        <v>14</v>
      </c>
      <c r="P3887" t="s" s="8">
        <v>14</v>
      </c>
      <c r="Q3887" t="s" s="12">
        <v>14</v>
      </c>
      <c r="R3887" t="s" s="12">
        <v>14</v>
      </c>
    </row>
    <row r="3888" s="2" customFormat="1" ht="13.5" customHeight="1">
      <c r="B3888" s="13"/>
      <c r="C3888" t="s" s="9">
        <v>16</v>
      </c>
      <c r="D3888" t="s" s="8">
        <v>1331</v>
      </c>
      <c r="E3888" t="s" s="9">
        <v>1331</v>
      </c>
      <c r="F3888" t="s" s="10">
        <v>282</v>
      </c>
      <c r="G3888" t="s" s="11">
        <v>282</v>
      </c>
      <c r="H3888" t="s" s="10">
        <v>282</v>
      </c>
      <c r="I3888" t="s" s="11">
        <v>282</v>
      </c>
      <c r="J3888" t="s" s="11">
        <v>20</v>
      </c>
      <c r="K3888" t="s" s="16">
        <f>HYPERLINK("http://csr.bu.edu/ftp/asl/asllvd/demos/verify_start_end_handshape_annotations//test_auto_move//signs_mov/15742.mov","MOV")</f>
        <v>21</v>
      </c>
      <c r="L3888" t="s" s="16">
        <f>HYPERLINK("http://csr.bu.edu/ftp/asl/asllvd/demos/verify_start_end_handshape_annotations//test_auto_move//signs_mov_separ_signers/Liz_15742.mov","MOV")</f>
        <v>21</v>
      </c>
      <c r="M3888" t="s" s="10">
        <v>88</v>
      </c>
      <c r="N3888" s="17">
        <v>35</v>
      </c>
      <c r="O3888" s="18">
        <v>2710</v>
      </c>
      <c r="P3888" s="18">
        <v>2755</v>
      </c>
      <c r="Q3888" t="s" s="16">
        <f>HYPERLINK("http://secrets.rutgers.edu:8080/data/asl-ftp/asllvd/demos/verify_start_end_handshape_annotations//test_auto_move//signs_mov/15742.mov","MOV")</f>
        <v>21</v>
      </c>
      <c r="R3888" t="s" s="16">
        <f>HYPERLINK("http://secrets.rutgers.edu:8080/data/asl-ftp/asllvd/demos/verify_start_end_handshape_annotations//test_auto_move//signs_mov_separ_signers/Liz_15742.mov","MOV")</f>
        <v>21</v>
      </c>
    </row>
    <row r="3889" s="2" customFormat="1" ht="13.5" customHeight="1">
      <c r="B3889" s="13"/>
      <c r="C3889" t="s" s="9">
        <v>30</v>
      </c>
      <c r="D3889" t="s" s="8">
        <v>1331</v>
      </c>
      <c r="E3889" t="s" s="9">
        <v>1331</v>
      </c>
      <c r="F3889" t="s" s="10">
        <v>282</v>
      </c>
      <c r="G3889" t="s" s="11">
        <v>282</v>
      </c>
      <c r="H3889" t="s" s="10">
        <v>282</v>
      </c>
      <c r="I3889" t="s" s="11">
        <v>282</v>
      </c>
      <c r="J3889" t="s" s="11">
        <v>20</v>
      </c>
      <c r="K3889" s="15"/>
      <c r="L3889" t="s" s="16">
        <f>HYPERLINK("http://csr.bu.edu/ftp/asl/asllvd/demos/verify_start_end_handshape_annotations//test_auto_move//signs_mov_separ_signers/Brady_15742.mov","MOV")</f>
        <v>21</v>
      </c>
      <c r="M3889" t="s" s="10">
        <v>40</v>
      </c>
      <c r="N3889" s="17">
        <v>30</v>
      </c>
      <c r="O3889" s="18">
        <v>735</v>
      </c>
      <c r="P3889" s="18">
        <v>767</v>
      </c>
      <c r="Q3889" s="15"/>
      <c r="R3889" t="s" s="16">
        <f>HYPERLINK("http://secrets.rutgers.edu:8080/data/asl-ftp/asllvd/demos/verify_start_end_handshape_annotations//test_auto_move//signs_mov_separ_signers/Brady_15742.mov","MOV")</f>
        <v>21</v>
      </c>
    </row>
    <row r="3890" s="2" customFormat="1" ht="13.5" customHeight="1">
      <c r="B3890" t="s" s="8">
        <v>52</v>
      </c>
      <c r="C3890" t="s" s="9">
        <v>53</v>
      </c>
      <c r="D3890" t="s" s="8">
        <v>53</v>
      </c>
      <c r="E3890" t="s" s="9">
        <v>53</v>
      </c>
      <c r="F3890" t="s" s="10">
        <v>53</v>
      </c>
      <c r="G3890" t="s" s="11">
        <v>53</v>
      </c>
      <c r="H3890" t="s" s="10">
        <v>53</v>
      </c>
      <c r="I3890" t="s" s="11">
        <v>53</v>
      </c>
      <c r="J3890" t="s" s="11">
        <v>53</v>
      </c>
      <c r="K3890" t="s" s="12">
        <v>53</v>
      </c>
      <c r="L3890" t="s" s="12">
        <v>53</v>
      </c>
      <c r="M3890" t="s" s="10">
        <v>53</v>
      </c>
      <c r="N3890" t="s" s="11">
        <v>53</v>
      </c>
      <c r="O3890" t="s" s="8">
        <v>53</v>
      </c>
      <c r="P3890" t="s" s="8">
        <v>53</v>
      </c>
      <c r="Q3890" t="s" s="12">
        <v>53</v>
      </c>
      <c r="R3890" t="s" s="12">
        <v>53</v>
      </c>
    </row>
    <row r="3891" s="2" customFormat="1" ht="13.5" customHeight="1">
      <c r="B3891" s="13"/>
      <c r="C3891" t="s" s="9">
        <v>16</v>
      </c>
      <c r="D3891" t="s" s="8">
        <v>1331</v>
      </c>
      <c r="E3891" t="s" s="9">
        <v>1332</v>
      </c>
      <c r="F3891" t="s" s="10">
        <v>220</v>
      </c>
      <c r="G3891" t="s" s="11">
        <v>220</v>
      </c>
      <c r="H3891" t="s" s="10">
        <v>220</v>
      </c>
      <c r="I3891" t="s" s="11">
        <v>220</v>
      </c>
      <c r="J3891" t="s" s="11">
        <v>20</v>
      </c>
      <c r="K3891" t="s" s="16">
        <f>HYPERLINK("http://csr.bu.edu/ftp/asl/asllvd/demos/verify_start_end_handshape_annotations//test_auto_move//signs_mov/16343.mov","MOV")</f>
        <v>21</v>
      </c>
      <c r="L3891" t="s" s="16">
        <f>HYPERLINK("http://csr.bu.edu/ftp/asl/asllvd/demos/verify_start_end_handshape_annotations//test_auto_move//signs_mov_separ_signers/Liz_16343.mov","MOV")</f>
        <v>21</v>
      </c>
      <c r="M3891" t="s" s="10">
        <v>88</v>
      </c>
      <c r="N3891" s="17">
        <v>35</v>
      </c>
      <c r="O3891" s="18">
        <v>2460</v>
      </c>
      <c r="P3891" s="18">
        <v>2512</v>
      </c>
      <c r="Q3891" t="s" s="16">
        <f>HYPERLINK("http://secrets.rutgers.edu:8080/data/asl-ftp/asllvd/demos/verify_start_end_handshape_annotations//test_auto_move//signs_mov/16343.mov","MOV")</f>
        <v>21</v>
      </c>
      <c r="R3891" t="s" s="16">
        <f>HYPERLINK("http://secrets.rutgers.edu:8080/data/asl-ftp/asllvd/demos/verify_start_end_handshape_annotations//test_auto_move//signs_mov_separ_signers/Liz_16343.mov","MOV")</f>
        <v>21</v>
      </c>
    </row>
    <row r="3892" s="2" customFormat="1" ht="13.5" customHeight="1">
      <c r="B3892" t="s" s="8">
        <v>1333</v>
      </c>
      <c r="C3892" t="s" s="9">
        <v>14</v>
      </c>
      <c r="D3892" t="s" s="8">
        <v>14</v>
      </c>
      <c r="E3892" t="s" s="9">
        <v>14</v>
      </c>
      <c r="F3892" t="s" s="10">
        <v>14</v>
      </c>
      <c r="G3892" t="s" s="11">
        <v>14</v>
      </c>
      <c r="H3892" t="s" s="10">
        <v>14</v>
      </c>
      <c r="I3892" t="s" s="11">
        <v>14</v>
      </c>
      <c r="J3892" t="s" s="11">
        <v>14</v>
      </c>
      <c r="K3892" t="s" s="12">
        <v>14</v>
      </c>
      <c r="L3892" t="s" s="12">
        <v>14</v>
      </c>
      <c r="M3892" t="s" s="10">
        <v>14</v>
      </c>
      <c r="N3892" t="s" s="11">
        <v>14</v>
      </c>
      <c r="O3892" t="s" s="8">
        <v>14</v>
      </c>
      <c r="P3892" t="s" s="8">
        <v>14</v>
      </c>
      <c r="Q3892" t="s" s="12">
        <v>14</v>
      </c>
      <c r="R3892" t="s" s="12">
        <v>14</v>
      </c>
    </row>
    <row r="3893" s="2" customFormat="1" ht="13.5" customHeight="1">
      <c r="B3893" s="13"/>
      <c r="C3893" t="s" s="9">
        <v>16</v>
      </c>
      <c r="D3893" t="s" s="8">
        <v>1333</v>
      </c>
      <c r="E3893" t="s" s="9">
        <v>1334</v>
      </c>
      <c r="F3893" t="s" s="10">
        <v>63</v>
      </c>
      <c r="G3893" t="s" s="11">
        <v>63</v>
      </c>
      <c r="H3893" t="s" s="10">
        <v>63</v>
      </c>
      <c r="I3893" t="s" s="11">
        <v>63</v>
      </c>
      <c r="J3893" t="s" s="11">
        <v>20</v>
      </c>
      <c r="K3893" s="15"/>
      <c r="L3893" t="s" s="16">
        <f>HYPERLINK("http://csr.bu.edu/ftp/asl/asllvd/demos/verify_start_end_handshape_annotations//test_auto_move//signs_mov_separ_signers/Liz_852.mov","MOV")</f>
        <v>21</v>
      </c>
      <c r="M3893" t="s" s="10">
        <v>84</v>
      </c>
      <c r="N3893" s="17">
        <v>36</v>
      </c>
      <c r="O3893" s="18">
        <v>501</v>
      </c>
      <c r="P3893" s="18">
        <v>552</v>
      </c>
      <c r="Q3893" s="15"/>
      <c r="R3893" t="s" s="16">
        <f>HYPERLINK("http://secrets.rutgers.edu:8080/data/asl-ftp/asllvd/demos/verify_start_end_handshape_annotations//test_auto_move//signs_mov_separ_signers/Liz_852.mov","MOV")</f>
        <v>21</v>
      </c>
    </row>
    <row r="3894" s="2" customFormat="1" ht="13.5" customHeight="1">
      <c r="B3894" s="13"/>
      <c r="C3894" t="s" s="9">
        <v>16</v>
      </c>
      <c r="D3894" t="s" s="8">
        <v>1333</v>
      </c>
      <c r="E3894" t="s" s="9">
        <v>1334</v>
      </c>
      <c r="F3894" t="s" s="10">
        <v>68</v>
      </c>
      <c r="G3894" t="s" s="11">
        <v>68</v>
      </c>
      <c r="H3894" t="s" s="10">
        <v>68</v>
      </c>
      <c r="I3894" t="s" s="11">
        <v>68</v>
      </c>
      <c r="J3894" t="s" s="11">
        <v>20</v>
      </c>
      <c r="K3894" s="15"/>
      <c r="L3894" t="s" s="16">
        <f>HYPERLINK("http://csr.bu.edu/ftp/asl/asllvd/demos/verify_start_end_handshape_annotations//test_auto_move//signs_mov_separ_signers/Liz_15076.mov","MOV")</f>
        <v>21</v>
      </c>
      <c r="M3894" t="s" s="10">
        <v>34</v>
      </c>
      <c r="N3894" s="17">
        <v>15</v>
      </c>
      <c r="O3894" s="18">
        <v>455</v>
      </c>
      <c r="P3894" s="18">
        <v>502</v>
      </c>
      <c r="Q3894" s="15"/>
      <c r="R3894" t="s" s="16">
        <f>HYPERLINK("http://secrets.rutgers.edu:8080/data/asl-ftp/asllvd/demos/verify_start_end_handshape_annotations//test_auto_move//signs_mov_separ_signers/Liz_15076.mov","MOV")</f>
        <v>21</v>
      </c>
    </row>
    <row r="3895" s="2" customFormat="1" ht="13.5" customHeight="1">
      <c r="B3895" s="13"/>
      <c r="C3895" t="s" s="9">
        <v>23</v>
      </c>
      <c r="D3895" t="s" s="8">
        <v>1333</v>
      </c>
      <c r="E3895" t="s" s="9">
        <v>1334</v>
      </c>
      <c r="F3895" t="s" s="10">
        <v>68</v>
      </c>
      <c r="G3895" t="s" s="11">
        <v>68</v>
      </c>
      <c r="H3895" t="s" s="10">
        <v>68</v>
      </c>
      <c r="I3895" t="s" s="11">
        <v>68</v>
      </c>
      <c r="J3895" t="s" s="11">
        <v>20</v>
      </c>
      <c r="K3895" s="15"/>
      <c r="L3895" t="s" s="16">
        <f>HYPERLINK("http://csr.bu.edu/ftp/asl/asllvd/demos/verify_start_end_handshape_annotations//test_auto_move//signs_mov_separ_signers/Tyler_852.mov","MOV")</f>
        <v>21</v>
      </c>
      <c r="M3895" t="s" s="10">
        <v>92</v>
      </c>
      <c r="N3895" s="17">
        <v>16</v>
      </c>
      <c r="O3895" s="18">
        <v>227</v>
      </c>
      <c r="P3895" s="18">
        <v>275</v>
      </c>
      <c r="Q3895" s="15"/>
      <c r="R3895" t="s" s="16">
        <f>HYPERLINK("http://secrets.rutgers.edu:8080/data/asl-ftp/asllvd/demos/verify_start_end_handshape_annotations//test_auto_move//signs_mov_separ_signers/Tyler_852.mov","MOV")</f>
        <v>21</v>
      </c>
    </row>
    <row r="3896" s="2" customFormat="1" ht="13.5" customHeight="1">
      <c r="B3896" s="13"/>
      <c r="C3896" t="s" s="9">
        <v>27</v>
      </c>
      <c r="D3896" t="s" s="8">
        <v>1333</v>
      </c>
      <c r="E3896" t="s" s="9">
        <v>1334</v>
      </c>
      <c r="F3896" t="s" s="10">
        <v>63</v>
      </c>
      <c r="G3896" t="s" s="11">
        <v>63</v>
      </c>
      <c r="H3896" t="s" s="10">
        <v>63</v>
      </c>
      <c r="I3896" t="s" s="11">
        <v>63</v>
      </c>
      <c r="J3896" t="s" s="11">
        <v>20</v>
      </c>
      <c r="K3896" t="s" s="16">
        <f>HYPERLINK("http://csr.bu.edu/ftp/asl/asllvd/demos/verify_start_end_handshape_annotations//test_auto_move//signs_mov/852_15076_merged.mov","MOV")</f>
        <v>21</v>
      </c>
      <c r="L3896" t="s" s="16">
        <f>HYPERLINK("http://csr.bu.edu/ftp/asl/asllvd/demos/verify_start_end_handshape_annotations//test_auto_move//signs_mov_separ_signers/Naomi_852.mov","MOV")</f>
        <v>21</v>
      </c>
      <c r="M3896" t="s" s="10">
        <v>38</v>
      </c>
      <c r="N3896" s="17">
        <v>12</v>
      </c>
      <c r="O3896" s="18">
        <v>345</v>
      </c>
      <c r="P3896" s="18">
        <v>380</v>
      </c>
      <c r="Q3896" t="s" s="16">
        <f>HYPERLINK("http://secrets.rutgers.edu:8080/data/asl-ftp/asllvd/demos/verify_start_end_handshape_annotations//test_auto_move//signs_mov/852_15076_merged.mov","MOV")</f>
        <v>21</v>
      </c>
      <c r="R3896" t="s" s="16">
        <f>HYPERLINK("http://secrets.rutgers.edu:8080/data/asl-ftp/asllvd/demos/verify_start_end_handshape_annotations//test_auto_move//signs_mov_separ_signers/Naomi_852.mov","MOV")</f>
        <v>21</v>
      </c>
    </row>
    <row r="3897" s="2" customFormat="1" ht="13.5" customHeight="1">
      <c r="B3897" s="13"/>
      <c r="C3897" t="s" s="9">
        <v>30</v>
      </c>
      <c r="D3897" t="s" s="8">
        <v>1333</v>
      </c>
      <c r="E3897" t="s" s="9">
        <v>1335</v>
      </c>
      <c r="F3897" t="s" s="10">
        <v>68</v>
      </c>
      <c r="G3897" t="s" s="11">
        <v>68</v>
      </c>
      <c r="H3897" t="s" s="10">
        <v>68</v>
      </c>
      <c r="I3897" t="s" s="11">
        <v>68</v>
      </c>
      <c r="J3897" t="s" s="11">
        <v>20</v>
      </c>
      <c r="K3897" s="15"/>
      <c r="L3897" t="s" s="16">
        <f>HYPERLINK("http://csr.bu.edu/ftp/asl/asllvd/demos/verify_start_end_handshape_annotations//test_auto_move//signs_mov_separ_signers/Brady_852.mov","MOV")</f>
        <v>21</v>
      </c>
      <c r="M3897" t="s" s="10">
        <v>39</v>
      </c>
      <c r="N3897" s="17">
        <v>14</v>
      </c>
      <c r="O3897" s="18">
        <v>4544</v>
      </c>
      <c r="P3897" s="18">
        <v>4576</v>
      </c>
      <c r="Q3897" s="15"/>
      <c r="R3897" t="s" s="16">
        <f>HYPERLINK("http://secrets.rutgers.edu:8080/data/asl-ftp/asllvd/demos/verify_start_end_handshape_annotations//test_auto_move//signs_mov_separ_signers/Brady_852.mov","MOV")</f>
        <v>21</v>
      </c>
    </row>
    <row r="3898" s="2" customFormat="1" ht="13.5" customHeight="1">
      <c r="B3898" s="13"/>
      <c r="C3898" t="s" s="9">
        <v>30</v>
      </c>
      <c r="D3898" t="s" s="8">
        <v>1333</v>
      </c>
      <c r="E3898" t="s" s="9">
        <v>1334</v>
      </c>
      <c r="F3898" t="s" s="10">
        <v>68</v>
      </c>
      <c r="G3898" t="s" s="11">
        <v>68</v>
      </c>
      <c r="H3898" t="s" s="10">
        <v>68</v>
      </c>
      <c r="I3898" t="s" s="11">
        <v>68</v>
      </c>
      <c r="J3898" t="s" s="11">
        <v>20</v>
      </c>
      <c r="K3898" s="15"/>
      <c r="L3898" t="s" s="16">
        <f>HYPERLINK("http://csr.bu.edu/ftp/asl/asllvd/demos/verify_start_end_handshape_annotations//test_auto_move//signs_mov_separ_signers/Brady_15076.mov","MOV")</f>
        <v>21</v>
      </c>
      <c r="M3898" t="s" s="10">
        <v>39</v>
      </c>
      <c r="N3898" s="17">
        <v>30</v>
      </c>
      <c r="O3898" s="18">
        <v>2687</v>
      </c>
      <c r="P3898" s="18">
        <v>2714</v>
      </c>
      <c r="Q3898" s="15"/>
      <c r="R3898" t="s" s="16">
        <f>HYPERLINK("http://secrets.rutgers.edu:8080/data/asl-ftp/asllvd/demos/verify_start_end_handshape_annotations//test_auto_move//signs_mov_separ_signers/Brady_15076.mov","MOV")</f>
        <v>21</v>
      </c>
    </row>
    <row r="3899" s="2" customFormat="1" ht="13.5" customHeight="1">
      <c r="B3899" s="13"/>
      <c r="C3899" t="s" s="9">
        <v>41</v>
      </c>
      <c r="D3899" t="s" s="8">
        <v>1333</v>
      </c>
      <c r="E3899" t="s" s="9">
        <v>1334</v>
      </c>
      <c r="F3899" t="s" s="10">
        <v>68</v>
      </c>
      <c r="G3899" t="s" s="11">
        <v>68</v>
      </c>
      <c r="H3899" t="s" s="10">
        <v>68</v>
      </c>
      <c r="I3899" t="s" s="11">
        <v>68</v>
      </c>
      <c r="J3899" t="s" s="11">
        <v>20</v>
      </c>
      <c r="K3899" s="15"/>
      <c r="L3899" t="s" s="16">
        <f>HYPERLINK("http://csr.bu.edu/ftp/asl/asllvd/demos/verify_start_end_handshape_annotations//test_auto_move//signs_mov_separ_signers/Lana_852.mov","MOV")</f>
        <v>21</v>
      </c>
      <c r="M3899" t="s" s="10">
        <v>42</v>
      </c>
      <c r="N3899" s="17">
        <v>9</v>
      </c>
      <c r="O3899" s="18">
        <v>791</v>
      </c>
      <c r="P3899" s="18">
        <v>836</v>
      </c>
      <c r="Q3899" s="15"/>
      <c r="R3899" t="s" s="16">
        <f>HYPERLINK("http://secrets.rutgers.edu:8080/data/asl-ftp/asllvd/demos/verify_start_end_handshape_annotations//test_auto_move//signs_mov_separ_signers/Lana_852.mov","MOV")</f>
        <v>21</v>
      </c>
    </row>
    <row r="3900" s="2" customFormat="1" ht="13.5" customHeight="1">
      <c r="B3900" t="s" s="8">
        <v>52</v>
      </c>
      <c r="C3900" t="s" s="9">
        <v>53</v>
      </c>
      <c r="D3900" t="s" s="8">
        <v>53</v>
      </c>
      <c r="E3900" t="s" s="9">
        <v>53</v>
      </c>
      <c r="F3900" t="s" s="10">
        <v>53</v>
      </c>
      <c r="G3900" t="s" s="11">
        <v>53</v>
      </c>
      <c r="H3900" t="s" s="10">
        <v>53</v>
      </c>
      <c r="I3900" t="s" s="11">
        <v>53</v>
      </c>
      <c r="J3900" t="s" s="11">
        <v>53</v>
      </c>
      <c r="K3900" t="s" s="12">
        <v>53</v>
      </c>
      <c r="L3900" t="s" s="12">
        <v>53</v>
      </c>
      <c r="M3900" t="s" s="10">
        <v>53</v>
      </c>
      <c r="N3900" t="s" s="11">
        <v>53</v>
      </c>
      <c r="O3900" t="s" s="8">
        <v>53</v>
      </c>
      <c r="P3900" t="s" s="8">
        <v>53</v>
      </c>
      <c r="Q3900" t="s" s="12">
        <v>53</v>
      </c>
      <c r="R3900" t="s" s="12">
        <v>53</v>
      </c>
    </row>
    <row r="3901" s="2" customFormat="1" ht="13.5" customHeight="1">
      <c r="B3901" s="13"/>
      <c r="C3901" t="s" s="9">
        <v>16</v>
      </c>
      <c r="D3901" t="s" s="8">
        <v>1333</v>
      </c>
      <c r="E3901" t="s" s="9">
        <v>1336</v>
      </c>
      <c r="F3901" t="s" s="10">
        <v>68</v>
      </c>
      <c r="G3901" t="s" s="11">
        <v>68</v>
      </c>
      <c r="H3901" t="s" s="10">
        <v>68</v>
      </c>
      <c r="I3901" t="s" s="11">
        <v>68</v>
      </c>
      <c r="J3901" t="s" s="11">
        <v>20</v>
      </c>
      <c r="K3901" s="15"/>
      <c r="L3901" t="s" s="16">
        <f>HYPERLINK("http://csr.bu.edu/ftp/asl/asllvd/demos/verify_start_end_handshape_annotations//test_auto_move//signs_mov_separ_signers/Liz_15088.mov","MOV")</f>
        <v>21</v>
      </c>
      <c r="M3901" t="s" s="10">
        <v>84</v>
      </c>
      <c r="N3901" s="17">
        <v>36</v>
      </c>
      <c r="O3901" s="18">
        <v>745</v>
      </c>
      <c r="P3901" s="18">
        <v>805</v>
      </c>
      <c r="Q3901" s="15"/>
      <c r="R3901" t="s" s="16">
        <f>HYPERLINK("http://secrets.rutgers.edu:8080/data/asl-ftp/asllvd/demos/verify_start_end_handshape_annotations//test_auto_move//signs_mov_separ_signers/Liz_15088.mov","MOV")</f>
        <v>21</v>
      </c>
    </row>
    <row r="3902" s="2" customFormat="1" ht="13.5" customHeight="1">
      <c r="B3902" s="13"/>
      <c r="C3902" t="s" s="9">
        <v>27</v>
      </c>
      <c r="D3902" t="s" s="8">
        <v>1333</v>
      </c>
      <c r="E3902" t="s" s="9">
        <v>1337</v>
      </c>
      <c r="F3902" t="s" s="10">
        <v>68</v>
      </c>
      <c r="G3902" t="s" s="11">
        <v>68</v>
      </c>
      <c r="H3902" t="s" s="10">
        <v>68</v>
      </c>
      <c r="I3902" t="s" s="11">
        <v>68</v>
      </c>
      <c r="J3902" t="s" s="11">
        <v>20</v>
      </c>
      <c r="K3902" t="s" s="16">
        <f>HYPERLINK("http://csr.bu.edu/ftp/asl/asllvd/demos/verify_start_end_handshape_annotations//test_auto_move//signs_mov/15088.mov","MOV")</f>
        <v>21</v>
      </c>
      <c r="L3902" t="s" s="16">
        <f>HYPERLINK("http://csr.bu.edu/ftp/asl/asllvd/demos/verify_start_end_handshape_annotations//test_auto_move//signs_mov_separ_signers/Naomi_15088.mov","MOV")</f>
        <v>21</v>
      </c>
      <c r="M3902" t="s" s="10">
        <v>86</v>
      </c>
      <c r="N3902" s="17">
        <v>36</v>
      </c>
      <c r="O3902" s="18">
        <v>155</v>
      </c>
      <c r="P3902" s="18">
        <v>205</v>
      </c>
      <c r="Q3902" t="s" s="16">
        <f>HYPERLINK("http://secrets.rutgers.edu:8080/data/asl-ftp/asllvd/demos/verify_start_end_handshape_annotations//test_auto_move//signs_mov/15088.mov","MOV")</f>
        <v>21</v>
      </c>
      <c r="R3902" t="s" s="16">
        <f>HYPERLINK("http://secrets.rutgers.edu:8080/data/asl-ftp/asllvd/demos/verify_start_end_handshape_annotations//test_auto_move//signs_mov_separ_signers/Naomi_15088.mov","MOV")</f>
        <v>21</v>
      </c>
    </row>
    <row r="3903" s="2" customFormat="1" ht="13.5" customHeight="1">
      <c r="B3903" s="13"/>
      <c r="C3903" t="s" s="9">
        <v>30</v>
      </c>
      <c r="D3903" t="s" s="8">
        <v>1333</v>
      </c>
      <c r="E3903" t="s" s="9">
        <v>1336</v>
      </c>
      <c r="F3903" t="s" s="10">
        <v>68</v>
      </c>
      <c r="G3903" t="s" s="11">
        <v>68</v>
      </c>
      <c r="H3903" t="s" s="10">
        <v>68</v>
      </c>
      <c r="I3903" t="s" s="11">
        <v>68</v>
      </c>
      <c r="J3903" t="s" s="11">
        <v>20</v>
      </c>
      <c r="K3903" s="15"/>
      <c r="L3903" t="s" s="16">
        <f>HYPERLINK("http://csr.bu.edu/ftp/asl/asllvd/demos/verify_start_end_handshape_annotations//test_auto_move//signs_mov_separ_signers/Brady_15088.mov","MOV")</f>
        <v>21</v>
      </c>
      <c r="M3903" t="s" s="10">
        <v>39</v>
      </c>
      <c r="N3903" s="17">
        <v>14</v>
      </c>
      <c r="O3903" s="18">
        <v>4813</v>
      </c>
      <c r="P3903" s="18">
        <v>4862</v>
      </c>
      <c r="Q3903" s="15"/>
      <c r="R3903" t="s" s="16">
        <f>HYPERLINK("http://secrets.rutgers.edu:8080/data/asl-ftp/asllvd/demos/verify_start_end_handshape_annotations//test_auto_move//signs_mov_separ_signers/Brady_15088.mov","MOV")</f>
        <v>21</v>
      </c>
    </row>
    <row r="3904" s="2" customFormat="1" ht="13.5" customHeight="1">
      <c r="B3904" s="13"/>
      <c r="C3904" t="s" s="9">
        <v>43</v>
      </c>
      <c r="D3904" t="s" s="8">
        <v>1333</v>
      </c>
      <c r="E3904" t="s" s="9">
        <v>1336</v>
      </c>
      <c r="F3904" t="s" s="10">
        <v>68</v>
      </c>
      <c r="G3904" t="s" s="11">
        <v>68</v>
      </c>
      <c r="H3904" t="s" s="10">
        <v>68</v>
      </c>
      <c r="I3904" t="s" s="11">
        <v>68</v>
      </c>
      <c r="J3904" t="s" s="11">
        <v>20</v>
      </c>
      <c r="K3904" s="15"/>
      <c r="L3904" t="s" s="16">
        <f>HYPERLINK("http://csr.bu.edu/ftp/asl/asllvd/demos/verify_start_end_handshape_annotations//test_auto_move//signs_mov_separ_signers/Dana_15088.mov","MOV")</f>
        <v>21</v>
      </c>
      <c r="M3904" t="s" s="10">
        <v>44</v>
      </c>
      <c r="N3904" s="17">
        <v>13</v>
      </c>
      <c r="O3904" s="18">
        <v>823</v>
      </c>
      <c r="P3904" s="18">
        <v>894</v>
      </c>
      <c r="Q3904" s="15"/>
      <c r="R3904" t="s" s="16">
        <f>HYPERLINK("http://secrets.rutgers.edu:8080/data/asl-ftp/asllvd/demos/verify_start_end_handshape_annotations//test_auto_move//signs_mov_separ_signers/Dana_15088.mov","MOV")</f>
        <v>21</v>
      </c>
    </row>
    <row r="3905" s="2" customFormat="1" ht="13.5" customHeight="1">
      <c r="B3905" t="s" s="8">
        <v>1338</v>
      </c>
      <c r="C3905" t="s" s="9">
        <v>14</v>
      </c>
      <c r="D3905" t="s" s="8">
        <v>14</v>
      </c>
      <c r="E3905" t="s" s="9">
        <v>14</v>
      </c>
      <c r="F3905" t="s" s="10">
        <v>14</v>
      </c>
      <c r="G3905" t="s" s="11">
        <v>14</v>
      </c>
      <c r="H3905" t="s" s="10">
        <v>14</v>
      </c>
      <c r="I3905" t="s" s="11">
        <v>14</v>
      </c>
      <c r="J3905" t="s" s="11">
        <v>14</v>
      </c>
      <c r="K3905" t="s" s="12">
        <v>14</v>
      </c>
      <c r="L3905" t="s" s="12">
        <v>14</v>
      </c>
      <c r="M3905" t="s" s="10">
        <v>14</v>
      </c>
      <c r="N3905" t="s" s="11">
        <v>14</v>
      </c>
      <c r="O3905" t="s" s="8">
        <v>14</v>
      </c>
      <c r="P3905" t="s" s="8">
        <v>14</v>
      </c>
      <c r="Q3905" t="s" s="12">
        <v>14</v>
      </c>
      <c r="R3905" t="s" s="12">
        <v>14</v>
      </c>
    </row>
    <row r="3906" s="2" customFormat="1" ht="13.5" customHeight="1">
      <c r="B3906" s="13"/>
      <c r="C3906" t="s" s="9">
        <v>16</v>
      </c>
      <c r="D3906" t="s" s="8">
        <v>1338</v>
      </c>
      <c r="E3906" t="s" s="9">
        <v>1338</v>
      </c>
      <c r="F3906" t="s" s="10">
        <v>68</v>
      </c>
      <c r="G3906" t="s" s="11">
        <v>68</v>
      </c>
      <c r="H3906" t="s" s="10">
        <v>72</v>
      </c>
      <c r="I3906" t="s" s="11">
        <v>72</v>
      </c>
      <c r="J3906" t="s" s="11">
        <v>20</v>
      </c>
      <c r="K3906" s="15"/>
      <c r="L3906" t="s" s="16">
        <f>HYPERLINK("http://csr.bu.edu/ftp/asl/asllvd/demos/verify_start_end_handshape_annotations//test_auto_move//signs_mov_separ_signers/Liz_853.mov","MOV")</f>
        <v>21</v>
      </c>
      <c r="M3906" t="s" s="10">
        <v>84</v>
      </c>
      <c r="N3906" s="17">
        <v>36</v>
      </c>
      <c r="O3906" s="18">
        <v>961</v>
      </c>
      <c r="P3906" s="18">
        <v>996</v>
      </c>
      <c r="Q3906" s="15"/>
      <c r="R3906" t="s" s="16">
        <f>HYPERLINK("http://secrets.rutgers.edu:8080/data/asl-ftp/asllvd/demos/verify_start_end_handshape_annotations//test_auto_move//signs_mov_separ_signers/Liz_853.mov","MOV")</f>
        <v>21</v>
      </c>
    </row>
    <row r="3907" s="2" customFormat="1" ht="13.5" customHeight="1">
      <c r="B3907" s="13"/>
      <c r="C3907" t="s" s="9">
        <v>23</v>
      </c>
      <c r="D3907" t="s" s="8">
        <v>1338</v>
      </c>
      <c r="E3907" t="s" s="9">
        <v>1338</v>
      </c>
      <c r="F3907" t="s" s="10">
        <v>68</v>
      </c>
      <c r="G3907" t="s" s="11">
        <v>68</v>
      </c>
      <c r="H3907" t="s" s="10">
        <v>72</v>
      </c>
      <c r="I3907" t="s" s="11">
        <v>72</v>
      </c>
      <c r="J3907" t="s" s="11">
        <v>20</v>
      </c>
      <c r="K3907" t="s" s="16">
        <f>HYPERLINK("http://csr.bu.edu/ftp/asl/asllvd/demos/verify_start_end_handshape_annotations//test_auto_move//signs_mov/853.mov","MOV")</f>
        <v>21</v>
      </c>
      <c r="L3907" t="s" s="16">
        <f>HYPERLINK("http://csr.bu.edu/ftp/asl/asllvd/demos/verify_start_end_handshape_annotations//test_auto_move//signs_mov_separ_signers/Tyler_853.mov","MOV")</f>
        <v>21</v>
      </c>
      <c r="M3907" t="s" s="10">
        <v>92</v>
      </c>
      <c r="N3907" s="17">
        <v>16</v>
      </c>
      <c r="O3907" s="18">
        <v>1080</v>
      </c>
      <c r="P3907" s="18">
        <v>1110</v>
      </c>
      <c r="Q3907" t="s" s="16">
        <f>HYPERLINK("http://secrets.rutgers.edu:8080/data/asl-ftp/asllvd/demos/verify_start_end_handshape_annotations//test_auto_move//signs_mov/853.mov","MOV")</f>
        <v>21</v>
      </c>
      <c r="R3907" t="s" s="16">
        <f>HYPERLINK("http://secrets.rutgers.edu:8080/data/asl-ftp/asllvd/demos/verify_start_end_handshape_annotations//test_auto_move//signs_mov_separ_signers/Tyler_853.mov","MOV")</f>
        <v>21</v>
      </c>
    </row>
    <row r="3908" s="2" customFormat="1" ht="13.5" customHeight="1">
      <c r="B3908" s="13"/>
      <c r="C3908" t="s" s="9">
        <v>27</v>
      </c>
      <c r="D3908" t="s" s="8">
        <v>1338</v>
      </c>
      <c r="E3908" t="s" s="9">
        <v>1338</v>
      </c>
      <c r="F3908" t="s" s="10">
        <v>68</v>
      </c>
      <c r="G3908" t="s" s="11">
        <v>68</v>
      </c>
      <c r="H3908" t="s" s="10">
        <v>72</v>
      </c>
      <c r="I3908" t="s" s="11">
        <v>72</v>
      </c>
      <c r="J3908" t="s" s="11">
        <v>20</v>
      </c>
      <c r="K3908" s="15"/>
      <c r="L3908" t="s" s="16">
        <f>HYPERLINK("http://csr.bu.edu/ftp/asl/asllvd/demos/verify_start_end_handshape_annotations//test_auto_move//signs_mov_separ_signers/Naomi_853.mov","MOV")</f>
        <v>21</v>
      </c>
      <c r="M3908" t="s" s="10">
        <v>86</v>
      </c>
      <c r="N3908" s="17">
        <v>36</v>
      </c>
      <c r="O3908" s="18">
        <v>1352</v>
      </c>
      <c r="P3908" s="18">
        <v>1385</v>
      </c>
      <c r="Q3908" s="15"/>
      <c r="R3908" t="s" s="16">
        <f>HYPERLINK("http://secrets.rutgers.edu:8080/data/asl-ftp/asllvd/demos/verify_start_end_handshape_annotations//test_auto_move//signs_mov_separ_signers/Naomi_853.mov","MOV")</f>
        <v>21</v>
      </c>
    </row>
    <row r="3909" s="2" customFormat="1" ht="13.5" customHeight="1">
      <c r="B3909" s="13"/>
      <c r="C3909" t="s" s="9">
        <v>30</v>
      </c>
      <c r="D3909" t="s" s="8">
        <v>1338</v>
      </c>
      <c r="E3909" t="s" s="9">
        <v>1338</v>
      </c>
      <c r="F3909" t="s" s="10">
        <v>68</v>
      </c>
      <c r="G3909" t="s" s="11">
        <v>68</v>
      </c>
      <c r="H3909" t="s" s="10">
        <v>72</v>
      </c>
      <c r="I3909" t="s" s="11">
        <v>72</v>
      </c>
      <c r="J3909" t="s" s="11">
        <v>20</v>
      </c>
      <c r="K3909" s="15"/>
      <c r="L3909" t="s" s="16">
        <f>HYPERLINK("http://csr.bu.edu/ftp/asl/asllvd/demos/verify_start_end_handshape_annotations//test_auto_move//signs_mov_separ_signers/Brady_853.mov","MOV")</f>
        <v>21</v>
      </c>
      <c r="M3909" t="s" s="10">
        <v>39</v>
      </c>
      <c r="N3909" s="17">
        <v>14</v>
      </c>
      <c r="O3909" s="18">
        <v>5075</v>
      </c>
      <c r="P3909" s="18">
        <v>5097</v>
      </c>
      <c r="Q3909" s="15"/>
      <c r="R3909" t="s" s="16">
        <f>HYPERLINK("http://secrets.rutgers.edu:8080/data/asl-ftp/asllvd/demos/verify_start_end_handshape_annotations//test_auto_move//signs_mov_separ_signers/Brady_853.mov","MOV")</f>
        <v>21</v>
      </c>
    </row>
    <row r="3910" s="2" customFormat="1" ht="13.5" customHeight="1">
      <c r="B3910" t="s" s="8">
        <v>1339</v>
      </c>
      <c r="C3910" t="s" s="9">
        <v>14</v>
      </c>
      <c r="D3910" t="s" s="8">
        <v>14</v>
      </c>
      <c r="E3910" t="s" s="9">
        <v>14</v>
      </c>
      <c r="F3910" t="s" s="10">
        <v>14</v>
      </c>
      <c r="G3910" t="s" s="11">
        <v>14</v>
      </c>
      <c r="H3910" t="s" s="10">
        <v>14</v>
      </c>
      <c r="I3910" t="s" s="11">
        <v>14</v>
      </c>
      <c r="J3910" t="s" s="11">
        <v>14</v>
      </c>
      <c r="K3910" t="s" s="12">
        <v>14</v>
      </c>
      <c r="L3910" t="s" s="12">
        <v>14</v>
      </c>
      <c r="M3910" t="s" s="10">
        <v>14</v>
      </c>
      <c r="N3910" t="s" s="11">
        <v>14</v>
      </c>
      <c r="O3910" t="s" s="8">
        <v>14</v>
      </c>
      <c r="P3910" t="s" s="8">
        <v>14</v>
      </c>
      <c r="Q3910" t="s" s="12">
        <v>14</v>
      </c>
      <c r="R3910" t="s" s="12">
        <v>14</v>
      </c>
    </row>
    <row r="3911" s="2" customFormat="1" ht="13.5" customHeight="1">
      <c r="B3911" s="13"/>
      <c r="C3911" t="s" s="9">
        <v>16</v>
      </c>
      <c r="D3911" t="s" s="8">
        <v>1339</v>
      </c>
      <c r="E3911" t="s" s="9">
        <v>1340</v>
      </c>
      <c r="F3911" s="19">
        <v>5</v>
      </c>
      <c r="G3911" s="14"/>
      <c r="H3911" t="s" s="10">
        <v>119</v>
      </c>
      <c r="I3911" s="14"/>
      <c r="J3911" t="s" s="11">
        <v>20</v>
      </c>
      <c r="K3911" s="15"/>
      <c r="L3911" t="s" s="16">
        <f>HYPERLINK("http://csr.bu.edu/ftp/asl/asllvd/demos/verify_start_end_handshape_annotations//test_auto_move//signs_mov_separ_signers/Liz_855.mov","MOV")</f>
        <v>21</v>
      </c>
      <c r="M3911" t="s" s="10">
        <v>84</v>
      </c>
      <c r="N3911" s="17">
        <v>36</v>
      </c>
      <c r="O3911" s="18">
        <v>1365</v>
      </c>
      <c r="P3911" s="18">
        <v>1410</v>
      </c>
      <c r="Q3911" s="15"/>
      <c r="R3911" t="s" s="16">
        <f>HYPERLINK("http://secrets.rutgers.edu:8080/data/asl-ftp/asllvd/demos/verify_start_end_handshape_annotations//test_auto_move//signs_mov_separ_signers/Liz_855.mov","MOV")</f>
        <v>21</v>
      </c>
    </row>
    <row r="3912" s="2" customFormat="1" ht="13.5" customHeight="1">
      <c r="B3912" s="13"/>
      <c r="C3912" t="s" s="9">
        <v>23</v>
      </c>
      <c r="D3912" t="s" s="8">
        <v>1339</v>
      </c>
      <c r="E3912" t="s" s="9">
        <v>1341</v>
      </c>
      <c r="F3912" s="19">
        <v>5</v>
      </c>
      <c r="G3912" s="14"/>
      <c r="H3912" t="s" s="10">
        <v>119</v>
      </c>
      <c r="I3912" s="14"/>
      <c r="J3912" t="s" s="11">
        <v>20</v>
      </c>
      <c r="K3912" s="15"/>
      <c r="L3912" t="s" s="16">
        <f>HYPERLINK("http://csr.bu.edu/ftp/asl/asllvd/demos/verify_start_end_handshape_annotations//test_auto_move//signs_mov_separ_signers/Tyler_855.mov","MOV")</f>
        <v>21</v>
      </c>
      <c r="M3912" t="s" s="10">
        <v>92</v>
      </c>
      <c r="N3912" s="17">
        <v>16</v>
      </c>
      <c r="O3912" s="18">
        <v>1525</v>
      </c>
      <c r="P3912" s="18">
        <v>1585</v>
      </c>
      <c r="Q3912" s="15"/>
      <c r="R3912" t="s" s="16">
        <f>HYPERLINK("http://secrets.rutgers.edu:8080/data/asl-ftp/asllvd/demos/verify_start_end_handshape_annotations//test_auto_move//signs_mov_separ_signers/Tyler_855.mov","MOV")</f>
        <v>21</v>
      </c>
    </row>
    <row r="3913" s="2" customFormat="1" ht="13.5" customHeight="1">
      <c r="B3913" s="13"/>
      <c r="C3913" t="s" s="9">
        <v>27</v>
      </c>
      <c r="D3913" t="s" s="8">
        <v>1339</v>
      </c>
      <c r="E3913" t="s" s="9">
        <v>1340</v>
      </c>
      <c r="F3913" t="s" s="10">
        <v>72</v>
      </c>
      <c r="G3913" s="14"/>
      <c r="H3913" t="s" s="10">
        <v>119</v>
      </c>
      <c r="I3913" s="14"/>
      <c r="J3913" t="s" s="11">
        <v>20</v>
      </c>
      <c r="K3913" t="s" s="16">
        <f>HYPERLINK("http://csr.bu.edu/ftp/asl/asllvd/demos/verify_start_end_handshape_annotations//test_auto_move//signs_mov/855.mov","MOV")</f>
        <v>21</v>
      </c>
      <c r="L3913" t="s" s="16">
        <f>HYPERLINK("http://csr.bu.edu/ftp/asl/asllvd/demos/verify_start_end_handshape_annotations//test_auto_move//signs_mov_separ_signers/Naomi_855.mov","MOV")</f>
        <v>21</v>
      </c>
      <c r="M3913" t="s" s="10">
        <v>86</v>
      </c>
      <c r="N3913" s="17">
        <v>36</v>
      </c>
      <c r="O3913" s="18">
        <v>1801</v>
      </c>
      <c r="P3913" s="18">
        <v>1832</v>
      </c>
      <c r="Q3913" t="s" s="16">
        <f>HYPERLINK("http://secrets.rutgers.edu:8080/data/asl-ftp/asllvd/demos/verify_start_end_handshape_annotations//test_auto_move//signs_mov/855.mov","MOV")</f>
        <v>21</v>
      </c>
      <c r="R3913" t="s" s="16">
        <f>HYPERLINK("http://secrets.rutgers.edu:8080/data/asl-ftp/asllvd/demos/verify_start_end_handshape_annotations//test_auto_move//signs_mov_separ_signers/Naomi_855.mov","MOV")</f>
        <v>21</v>
      </c>
    </row>
    <row r="3914" s="2" customFormat="1" ht="13.5" customHeight="1">
      <c r="B3914" s="13"/>
      <c r="C3914" t="s" s="9">
        <v>30</v>
      </c>
      <c r="D3914" t="s" s="8">
        <v>1339</v>
      </c>
      <c r="E3914" t="s" s="9">
        <v>1340</v>
      </c>
      <c r="F3914" s="19">
        <v>5</v>
      </c>
      <c r="G3914" s="14"/>
      <c r="H3914" t="s" s="10">
        <v>119</v>
      </c>
      <c r="I3914" s="14"/>
      <c r="J3914" t="s" s="11">
        <v>20</v>
      </c>
      <c r="K3914" s="15"/>
      <c r="L3914" t="s" s="16">
        <f>HYPERLINK("http://csr.bu.edu/ftp/asl/asllvd/demos/verify_start_end_handshape_annotations//test_auto_move//signs_mov_separ_signers/Brady_855.mov","MOV")</f>
        <v>21</v>
      </c>
      <c r="M3914" t="s" s="10">
        <v>39</v>
      </c>
      <c r="N3914" s="17">
        <v>14</v>
      </c>
      <c r="O3914" s="18">
        <v>5936</v>
      </c>
      <c r="P3914" s="18">
        <v>5969</v>
      </c>
      <c r="Q3914" s="15"/>
      <c r="R3914" t="s" s="16">
        <f>HYPERLINK("http://secrets.rutgers.edu:8080/data/asl-ftp/asllvd/demos/verify_start_end_handshape_annotations//test_auto_move//signs_mov_separ_signers/Brady_855.mov","MOV")</f>
        <v>21</v>
      </c>
    </row>
    <row r="3915" s="2" customFormat="1" ht="13.5" customHeight="1">
      <c r="B3915" s="13"/>
      <c r="C3915" t="s" s="9">
        <v>41</v>
      </c>
      <c r="D3915" t="s" s="8">
        <v>1339</v>
      </c>
      <c r="E3915" t="s" s="9">
        <v>1340</v>
      </c>
      <c r="F3915" s="19">
        <v>5</v>
      </c>
      <c r="G3915" s="14"/>
      <c r="H3915" t="s" s="10">
        <v>119</v>
      </c>
      <c r="I3915" s="14"/>
      <c r="J3915" t="s" s="11">
        <v>20</v>
      </c>
      <c r="K3915" s="15"/>
      <c r="L3915" t="s" s="16">
        <f>HYPERLINK("http://csr.bu.edu/ftp/asl/asllvd/demos/verify_start_end_handshape_annotations//test_auto_move//signs_mov_separ_signers/Lana_855.mov","MOV")</f>
        <v>21</v>
      </c>
      <c r="M3915" t="s" s="10">
        <v>42</v>
      </c>
      <c r="N3915" s="17">
        <v>8</v>
      </c>
      <c r="O3915" s="18">
        <v>2725</v>
      </c>
      <c r="P3915" s="18">
        <v>2755</v>
      </c>
      <c r="Q3915" s="15"/>
      <c r="R3915" t="s" s="16">
        <f>HYPERLINK("http://secrets.rutgers.edu:8080/data/asl-ftp/asllvd/demos/verify_start_end_handshape_annotations//test_auto_move//signs_mov_separ_signers/Lana_855.mov","MOV")</f>
        <v>21</v>
      </c>
    </row>
    <row r="3916" s="2" customFormat="1" ht="13.5" customHeight="1">
      <c r="B3916" s="13"/>
      <c r="C3916" t="s" s="9">
        <v>43</v>
      </c>
      <c r="D3916" t="s" s="8">
        <v>1339</v>
      </c>
      <c r="E3916" t="s" s="9">
        <v>1340</v>
      </c>
      <c r="F3916" s="19">
        <v>5</v>
      </c>
      <c r="G3916" s="14"/>
      <c r="H3916" t="s" s="10">
        <v>119</v>
      </c>
      <c r="I3916" s="14"/>
      <c r="J3916" t="s" s="11">
        <v>20</v>
      </c>
      <c r="K3916" s="15"/>
      <c r="L3916" t="s" s="16">
        <f>HYPERLINK("http://csr.bu.edu/ftp/asl/asllvd/demos/verify_start_end_handshape_annotations//test_auto_move//signs_mov_separ_signers/Dana_855.mov","MOV")</f>
        <v>21</v>
      </c>
      <c r="M3916" t="s" s="10">
        <v>44</v>
      </c>
      <c r="N3916" s="17">
        <v>12</v>
      </c>
      <c r="O3916" s="18">
        <v>2663</v>
      </c>
      <c r="P3916" s="18">
        <v>2715</v>
      </c>
      <c r="Q3916" s="15"/>
      <c r="R3916" t="s" s="16">
        <f>HYPERLINK("http://secrets.rutgers.edu:8080/data/asl-ftp/asllvd/demos/verify_start_end_handshape_annotations//test_auto_move//signs_mov_separ_signers/Dana_855.mov","MOV")</f>
        <v>21</v>
      </c>
    </row>
    <row r="3917" s="2" customFormat="1" ht="13.5" customHeight="1">
      <c r="B3917" t="s" s="8">
        <v>1342</v>
      </c>
      <c r="C3917" t="s" s="9">
        <v>14</v>
      </c>
      <c r="D3917" t="s" s="8">
        <v>14</v>
      </c>
      <c r="E3917" t="s" s="9">
        <v>14</v>
      </c>
      <c r="F3917" t="s" s="10">
        <v>14</v>
      </c>
      <c r="G3917" t="s" s="11">
        <v>14</v>
      </c>
      <c r="H3917" t="s" s="10">
        <v>14</v>
      </c>
      <c r="I3917" t="s" s="11">
        <v>14</v>
      </c>
      <c r="J3917" t="s" s="11">
        <v>14</v>
      </c>
      <c r="K3917" t="s" s="12">
        <v>14</v>
      </c>
      <c r="L3917" t="s" s="12">
        <v>14</v>
      </c>
      <c r="M3917" t="s" s="10">
        <v>14</v>
      </c>
      <c r="N3917" t="s" s="11">
        <v>14</v>
      </c>
      <c r="O3917" t="s" s="8">
        <v>14</v>
      </c>
      <c r="P3917" t="s" s="8">
        <v>14</v>
      </c>
      <c r="Q3917" t="s" s="12">
        <v>14</v>
      </c>
      <c r="R3917" t="s" s="12">
        <v>14</v>
      </c>
    </row>
    <row r="3918" s="2" customFormat="1" ht="13.5" customHeight="1">
      <c r="B3918" s="13"/>
      <c r="C3918" t="s" s="9">
        <v>16</v>
      </c>
      <c r="D3918" t="s" s="8">
        <v>1342</v>
      </c>
      <c r="E3918" t="s" s="9">
        <v>1343</v>
      </c>
      <c r="F3918" t="s" s="10">
        <v>148</v>
      </c>
      <c r="G3918" s="14"/>
      <c r="H3918" t="s" s="10">
        <v>119</v>
      </c>
      <c r="I3918" s="14"/>
      <c r="J3918" t="s" s="11">
        <v>20</v>
      </c>
      <c r="K3918" s="15"/>
      <c r="L3918" t="s" s="16">
        <f>HYPERLINK("http://csr.bu.edu/ftp/asl/asllvd/demos/verify_start_end_handshape_annotations//test_auto_move//signs_mov_separ_signers/Liz_15661.mov","MOV")</f>
        <v>21</v>
      </c>
      <c r="M3918" t="s" s="10">
        <v>88</v>
      </c>
      <c r="N3918" s="17">
        <v>33</v>
      </c>
      <c r="O3918" s="18">
        <v>1715</v>
      </c>
      <c r="P3918" s="18">
        <v>1747</v>
      </c>
      <c r="Q3918" s="15"/>
      <c r="R3918" t="s" s="16">
        <f>HYPERLINK("http://secrets.rutgers.edu:8080/data/asl-ftp/asllvd/demos/verify_start_end_handshape_annotations//test_auto_move//signs_mov_separ_signers/Liz_15661.mov","MOV")</f>
        <v>21</v>
      </c>
    </row>
    <row r="3919" s="2" customFormat="1" ht="13.5" customHeight="1">
      <c r="B3919" s="13"/>
      <c r="C3919" t="s" s="9">
        <v>30</v>
      </c>
      <c r="D3919" t="s" s="8">
        <v>1342</v>
      </c>
      <c r="E3919" t="s" s="9">
        <v>1343</v>
      </c>
      <c r="F3919" t="s" s="10">
        <v>148</v>
      </c>
      <c r="G3919" s="14"/>
      <c r="H3919" t="s" s="10">
        <v>119</v>
      </c>
      <c r="I3919" s="14"/>
      <c r="J3919" t="s" s="11">
        <v>20</v>
      </c>
      <c r="K3919" t="s" s="16">
        <f>HYPERLINK("http://csr.bu.edu/ftp/asl/asllvd/demos/verify_start_end_handshape_annotations//test_auto_move//signs_mov/15661.mov","MOV")</f>
        <v>21</v>
      </c>
      <c r="L3919" t="s" s="16">
        <f>HYPERLINK("http://csr.bu.edu/ftp/asl/asllvd/demos/verify_start_end_handshape_annotations//test_auto_move//signs_mov_separ_signers/Brady_15661.mov","MOV")</f>
        <v>21</v>
      </c>
      <c r="M3919" t="s" s="10">
        <v>40</v>
      </c>
      <c r="N3919" s="17">
        <v>28</v>
      </c>
      <c r="O3919" s="18">
        <v>1511</v>
      </c>
      <c r="P3919" s="18">
        <v>1546</v>
      </c>
      <c r="Q3919" t="s" s="16">
        <f>HYPERLINK("http://secrets.rutgers.edu:8080/data/asl-ftp/asllvd/demos/verify_start_end_handshape_annotations//test_auto_move//signs_mov/15661.mov","MOV")</f>
        <v>21</v>
      </c>
      <c r="R3919" t="s" s="16">
        <f>HYPERLINK("http://secrets.rutgers.edu:8080/data/asl-ftp/asllvd/demos/verify_start_end_handshape_annotations//test_auto_move//signs_mov_separ_signers/Brady_15661.mov","MOV")</f>
        <v>21</v>
      </c>
    </row>
    <row r="3920" s="2" customFormat="1" ht="13.5" customHeight="1">
      <c r="B3920" s="13"/>
      <c r="C3920" t="s" s="9">
        <v>41</v>
      </c>
      <c r="D3920" t="s" s="8">
        <v>1342</v>
      </c>
      <c r="E3920" t="s" s="9">
        <v>1343</v>
      </c>
      <c r="F3920" t="s" s="10">
        <v>148</v>
      </c>
      <c r="G3920" s="14"/>
      <c r="H3920" t="s" s="10">
        <v>119</v>
      </c>
      <c r="I3920" s="14"/>
      <c r="J3920" t="s" s="11">
        <v>20</v>
      </c>
      <c r="K3920" s="15"/>
      <c r="L3920" t="s" s="16">
        <f>HYPERLINK("http://csr.bu.edu/ftp/asl/asllvd/demos/verify_start_end_handshape_annotations//test_auto_move//signs_mov_separ_signers/Lana_15661.mov","MOV")</f>
        <v>21</v>
      </c>
      <c r="M3920" t="s" s="10">
        <v>42</v>
      </c>
      <c r="N3920" s="17">
        <v>20</v>
      </c>
      <c r="O3920" s="18">
        <v>2627</v>
      </c>
      <c r="P3920" s="18">
        <v>2660</v>
      </c>
      <c r="Q3920" s="15"/>
      <c r="R3920" t="s" s="16">
        <f>HYPERLINK("http://secrets.rutgers.edu:8080/data/asl-ftp/asllvd/demos/verify_start_end_handshape_annotations//test_auto_move//signs_mov_separ_signers/Lana_15661.mov","MOV")</f>
        <v>21</v>
      </c>
    </row>
    <row r="3921" s="2" customFormat="1" ht="13.5" customHeight="1">
      <c r="B3921" s="13"/>
      <c r="C3921" t="s" s="9">
        <v>43</v>
      </c>
      <c r="D3921" t="s" s="8">
        <v>1342</v>
      </c>
      <c r="E3921" t="s" s="9">
        <v>1343</v>
      </c>
      <c r="F3921" t="s" s="10">
        <v>148</v>
      </c>
      <c r="G3921" s="14"/>
      <c r="H3921" t="s" s="10">
        <v>119</v>
      </c>
      <c r="I3921" s="14"/>
      <c r="J3921" t="s" s="11">
        <v>20</v>
      </c>
      <c r="K3921" s="15"/>
      <c r="L3921" t="s" s="16">
        <f>HYPERLINK("http://csr.bu.edu/ftp/asl/asllvd/demos/verify_start_end_handshape_annotations//test_auto_move//signs_mov_separ_signers/Dana_15661.mov","MOV")</f>
        <v>21</v>
      </c>
      <c r="M3921" t="s" s="10">
        <v>44</v>
      </c>
      <c r="N3921" s="17">
        <v>22</v>
      </c>
      <c r="O3921" s="18">
        <v>2652</v>
      </c>
      <c r="P3921" s="18">
        <v>2696</v>
      </c>
      <c r="Q3921" s="15"/>
      <c r="R3921" t="s" s="16">
        <f>HYPERLINK("http://secrets.rutgers.edu:8080/data/asl-ftp/asllvd/demos/verify_start_end_handshape_annotations//test_auto_move//signs_mov_separ_signers/Dana_15661.mov","MOV")</f>
        <v>21</v>
      </c>
    </row>
    <row r="3922" s="2" customFormat="1" ht="13.5" customHeight="1">
      <c r="B3922" t="s" s="8">
        <v>1344</v>
      </c>
      <c r="C3922" t="s" s="9">
        <v>14</v>
      </c>
      <c r="D3922" t="s" s="8">
        <v>14</v>
      </c>
      <c r="E3922" t="s" s="9">
        <v>14</v>
      </c>
      <c r="F3922" t="s" s="10">
        <v>14</v>
      </c>
      <c r="G3922" t="s" s="11">
        <v>14</v>
      </c>
      <c r="H3922" t="s" s="10">
        <v>14</v>
      </c>
      <c r="I3922" t="s" s="11">
        <v>14</v>
      </c>
      <c r="J3922" t="s" s="11">
        <v>14</v>
      </c>
      <c r="K3922" t="s" s="12">
        <v>14</v>
      </c>
      <c r="L3922" t="s" s="12">
        <v>14</v>
      </c>
      <c r="M3922" t="s" s="10">
        <v>14</v>
      </c>
      <c r="N3922" t="s" s="11">
        <v>14</v>
      </c>
      <c r="O3922" t="s" s="8">
        <v>14</v>
      </c>
      <c r="P3922" t="s" s="8">
        <v>14</v>
      </c>
      <c r="Q3922" t="s" s="12">
        <v>14</v>
      </c>
      <c r="R3922" t="s" s="12">
        <v>14</v>
      </c>
    </row>
    <row r="3923" s="2" customFormat="1" ht="13.5" customHeight="1">
      <c r="B3923" s="13"/>
      <c r="C3923" t="s" s="9">
        <v>16</v>
      </c>
      <c r="D3923" t="s" s="8">
        <v>1344</v>
      </c>
      <c r="E3923" t="s" s="9">
        <v>1345</v>
      </c>
      <c r="F3923" t="s" s="10">
        <v>117</v>
      </c>
      <c r="G3923" t="s" s="11">
        <v>117</v>
      </c>
      <c r="H3923" t="s" s="10">
        <v>117</v>
      </c>
      <c r="I3923" t="s" s="11">
        <v>117</v>
      </c>
      <c r="J3923" t="s" s="11">
        <v>20</v>
      </c>
      <c r="K3923" s="15"/>
      <c r="L3923" t="s" s="16">
        <f>HYPERLINK("http://csr.bu.edu/ftp/asl/asllvd/demos/verify_start_end_handshape_annotations//test_auto_move//signs_mov_separ_signers/Liz_856.mov","MOV")</f>
        <v>21</v>
      </c>
      <c r="M3923" t="s" s="10">
        <v>84</v>
      </c>
      <c r="N3923" s="17">
        <v>36</v>
      </c>
      <c r="O3923" s="18">
        <v>1582</v>
      </c>
      <c r="P3923" s="18">
        <v>1650</v>
      </c>
      <c r="Q3923" s="15"/>
      <c r="R3923" t="s" s="16">
        <f>HYPERLINK("http://secrets.rutgers.edu:8080/data/asl-ftp/asllvd/demos/verify_start_end_handshape_annotations//test_auto_move//signs_mov_separ_signers/Liz_856.mov","MOV")</f>
        <v>21</v>
      </c>
    </row>
    <row r="3924" s="2" customFormat="1" ht="13.5" customHeight="1">
      <c r="B3924" s="13"/>
      <c r="C3924" t="s" s="9">
        <v>23</v>
      </c>
      <c r="D3924" t="s" s="8">
        <v>1344</v>
      </c>
      <c r="E3924" t="s" s="9">
        <v>1345</v>
      </c>
      <c r="F3924" t="s" s="10">
        <v>117</v>
      </c>
      <c r="G3924" t="s" s="11">
        <v>117</v>
      </c>
      <c r="H3924" t="s" s="10">
        <v>117</v>
      </c>
      <c r="I3924" t="s" s="11">
        <v>117</v>
      </c>
      <c r="J3924" t="s" s="11">
        <v>20</v>
      </c>
      <c r="K3924" s="15"/>
      <c r="L3924" t="s" s="16">
        <f>HYPERLINK("http://csr.bu.edu/ftp/asl/asllvd/demos/verify_start_end_handshape_annotations//test_auto_move//signs_mov_separ_signers/Tyler_856.mov","MOV")</f>
        <v>21</v>
      </c>
      <c r="M3924" t="s" s="10">
        <v>92</v>
      </c>
      <c r="N3924" s="17">
        <v>13</v>
      </c>
      <c r="O3924" s="18">
        <v>3275</v>
      </c>
      <c r="P3924" s="18">
        <v>3325</v>
      </c>
      <c r="Q3924" s="15"/>
      <c r="R3924" t="s" s="16">
        <f>HYPERLINK("http://secrets.rutgers.edu:8080/data/asl-ftp/asllvd/demos/verify_start_end_handshape_annotations//test_auto_move//signs_mov_separ_signers/Tyler_856.mov","MOV")</f>
        <v>21</v>
      </c>
    </row>
    <row r="3925" s="2" customFormat="1" ht="13.5" customHeight="1">
      <c r="B3925" s="13"/>
      <c r="C3925" t="s" s="9">
        <v>23</v>
      </c>
      <c r="D3925" t="s" s="8">
        <v>1344</v>
      </c>
      <c r="E3925" t="s" s="9">
        <v>1345</v>
      </c>
      <c r="F3925" t="s" s="10">
        <v>115</v>
      </c>
      <c r="G3925" t="s" s="11">
        <v>115</v>
      </c>
      <c r="H3925" t="s" s="10">
        <v>115</v>
      </c>
      <c r="I3925" t="s" s="11">
        <v>115</v>
      </c>
      <c r="J3925" t="s" s="11">
        <v>20</v>
      </c>
      <c r="K3925" t="s" s="16">
        <f>HYPERLINK("http://csr.bu.edu/ftp/asl/asllvd/demos/verify_start_end_handshape_annotations//test_auto_move//signs_mov/856_3521_merged.mov","MOV")</f>
        <v>21</v>
      </c>
      <c r="L3925" t="s" s="16">
        <f>HYPERLINK("http://csr.bu.edu/ftp/asl/asllvd/demos/verify_start_end_handshape_annotations//test_auto_move//signs_mov_separ_signers/Tyler_3521.mov","MOV")</f>
        <v>21</v>
      </c>
      <c r="M3925" t="s" s="10">
        <v>92</v>
      </c>
      <c r="N3925" s="17">
        <v>16</v>
      </c>
      <c r="O3925" s="18">
        <v>1780</v>
      </c>
      <c r="P3925" s="18">
        <v>1835</v>
      </c>
      <c r="Q3925" t="s" s="16">
        <f>HYPERLINK("http://secrets.rutgers.edu:8080/data/asl-ftp/asllvd/demos/verify_start_end_handshape_annotations//test_auto_move//signs_mov/856_3521_merged.mov","MOV")</f>
        <v>21</v>
      </c>
      <c r="R3925" t="s" s="16">
        <f>HYPERLINK("http://secrets.rutgers.edu:8080/data/asl-ftp/asllvd/demos/verify_start_end_handshape_annotations//test_auto_move//signs_mov_separ_signers/Tyler_3521.mov","MOV")</f>
        <v>21</v>
      </c>
    </row>
    <row r="3926" s="2" customFormat="1" ht="13.5" customHeight="1">
      <c r="B3926" s="13"/>
      <c r="C3926" t="s" s="9">
        <v>27</v>
      </c>
      <c r="D3926" t="s" s="8">
        <v>1344</v>
      </c>
      <c r="E3926" t="s" s="9">
        <v>1345</v>
      </c>
      <c r="F3926" t="s" s="10">
        <v>117</v>
      </c>
      <c r="G3926" t="s" s="11">
        <v>117</v>
      </c>
      <c r="H3926" t="s" s="10">
        <v>117</v>
      </c>
      <c r="I3926" t="s" s="11">
        <v>117</v>
      </c>
      <c r="J3926" t="s" s="11">
        <v>20</v>
      </c>
      <c r="K3926" s="15"/>
      <c r="L3926" t="s" s="16">
        <f>HYPERLINK("http://csr.bu.edu/ftp/asl/asllvd/demos/verify_start_end_handshape_annotations//test_auto_move//signs_mov_separ_signers/Naomi_856.mov","MOV")</f>
        <v>21</v>
      </c>
      <c r="M3926" t="s" s="10">
        <v>86</v>
      </c>
      <c r="N3926" s="17">
        <v>36</v>
      </c>
      <c r="O3926" s="18">
        <v>2037</v>
      </c>
      <c r="P3926" s="18">
        <v>2085</v>
      </c>
      <c r="Q3926" s="15"/>
      <c r="R3926" t="s" s="16">
        <f>HYPERLINK("http://secrets.rutgers.edu:8080/data/asl-ftp/asllvd/demos/verify_start_end_handshape_annotations//test_auto_move//signs_mov_separ_signers/Naomi_856.mov","MOV")</f>
        <v>21</v>
      </c>
    </row>
    <row r="3927" s="2" customFormat="1" ht="13.5" customHeight="1">
      <c r="B3927" s="13"/>
      <c r="C3927" t="s" s="9">
        <v>30</v>
      </c>
      <c r="D3927" t="s" s="8">
        <v>1344</v>
      </c>
      <c r="E3927" t="s" s="9">
        <v>1345</v>
      </c>
      <c r="F3927" t="s" s="10">
        <v>115</v>
      </c>
      <c r="G3927" t="s" s="11">
        <v>115</v>
      </c>
      <c r="H3927" t="s" s="10">
        <v>115</v>
      </c>
      <c r="I3927" t="s" s="11">
        <v>115</v>
      </c>
      <c r="J3927" t="s" s="11">
        <v>20</v>
      </c>
      <c r="K3927" s="15"/>
      <c r="L3927" t="s" s="16">
        <f>HYPERLINK("http://csr.bu.edu/ftp/asl/asllvd/demos/verify_start_end_handshape_annotations//test_auto_move//signs_mov_separ_signers/Brady_856.mov","MOV")</f>
        <v>21</v>
      </c>
      <c r="M3927" t="s" s="10">
        <v>39</v>
      </c>
      <c r="N3927" s="17">
        <v>14</v>
      </c>
      <c r="O3927" s="18">
        <v>5620</v>
      </c>
      <c r="P3927" s="18">
        <v>5666</v>
      </c>
      <c r="Q3927" s="15"/>
      <c r="R3927" t="s" s="16">
        <f>HYPERLINK("http://secrets.rutgers.edu:8080/data/asl-ftp/asllvd/demos/verify_start_end_handshape_annotations//test_auto_move//signs_mov_separ_signers/Brady_856.mov","MOV")</f>
        <v>21</v>
      </c>
    </row>
    <row r="3928" s="2" customFormat="1" ht="13.5" customHeight="1">
      <c r="B3928" t="s" s="8">
        <v>1346</v>
      </c>
      <c r="C3928" t="s" s="9">
        <v>14</v>
      </c>
      <c r="D3928" t="s" s="8">
        <v>14</v>
      </c>
      <c r="E3928" t="s" s="9">
        <v>14</v>
      </c>
      <c r="F3928" t="s" s="10">
        <v>14</v>
      </c>
      <c r="G3928" t="s" s="11">
        <v>14</v>
      </c>
      <c r="H3928" t="s" s="10">
        <v>14</v>
      </c>
      <c r="I3928" t="s" s="11">
        <v>14</v>
      </c>
      <c r="J3928" t="s" s="11">
        <v>14</v>
      </c>
      <c r="K3928" t="s" s="12">
        <v>14</v>
      </c>
      <c r="L3928" t="s" s="12">
        <v>14</v>
      </c>
      <c r="M3928" t="s" s="10">
        <v>14</v>
      </c>
      <c r="N3928" t="s" s="11">
        <v>14</v>
      </c>
      <c r="O3928" t="s" s="8">
        <v>14</v>
      </c>
      <c r="P3928" t="s" s="8">
        <v>14</v>
      </c>
      <c r="Q3928" t="s" s="12">
        <v>14</v>
      </c>
      <c r="R3928" t="s" s="12">
        <v>14</v>
      </c>
    </row>
    <row r="3929" s="2" customFormat="1" ht="13.5" customHeight="1">
      <c r="B3929" s="13"/>
      <c r="C3929" t="s" s="9">
        <v>16</v>
      </c>
      <c r="D3929" t="s" s="8">
        <v>1346</v>
      </c>
      <c r="E3929" t="s" s="9">
        <v>1347</v>
      </c>
      <c r="F3929" t="s" s="10">
        <v>117</v>
      </c>
      <c r="G3929" t="s" s="11">
        <v>117</v>
      </c>
      <c r="H3929" t="s" s="10">
        <v>117</v>
      </c>
      <c r="I3929" t="s" s="11">
        <v>117</v>
      </c>
      <c r="J3929" t="s" s="11">
        <v>20</v>
      </c>
      <c r="K3929" s="15"/>
      <c r="L3929" t="s" s="16">
        <f>HYPERLINK("http://csr.bu.edu/ftp/asl/asllvd/demos/verify_start_end_handshape_annotations//test_auto_move//signs_mov_separ_signers/Liz_15471.mov","MOV")</f>
        <v>21</v>
      </c>
      <c r="M3929" t="s" s="10">
        <v>84</v>
      </c>
      <c r="N3929" s="17">
        <v>33</v>
      </c>
      <c r="O3929" s="18">
        <v>1515</v>
      </c>
      <c r="P3929" s="18">
        <v>1570</v>
      </c>
      <c r="Q3929" s="15"/>
      <c r="R3929" t="s" s="16">
        <f>HYPERLINK("http://secrets.rutgers.edu:8080/data/asl-ftp/asllvd/demos/verify_start_end_handshape_annotations//test_auto_move//signs_mov_separ_signers/Liz_15471.mov","MOV")</f>
        <v>21</v>
      </c>
    </row>
    <row r="3930" s="2" customFormat="1" ht="13.5" customHeight="1">
      <c r="B3930" s="13"/>
      <c r="C3930" t="s" s="9">
        <v>27</v>
      </c>
      <c r="D3930" t="s" s="8">
        <v>1346</v>
      </c>
      <c r="E3930" t="s" s="9">
        <v>1347</v>
      </c>
      <c r="F3930" t="s" s="10">
        <v>117</v>
      </c>
      <c r="G3930" t="s" s="11">
        <v>117</v>
      </c>
      <c r="H3930" t="s" s="10">
        <v>117</v>
      </c>
      <c r="I3930" t="s" s="11">
        <v>117</v>
      </c>
      <c r="J3930" t="s" s="11">
        <v>20</v>
      </c>
      <c r="K3930" t="s" s="16">
        <f>HYPERLINK("http://csr.bu.edu/ftp/asl/asllvd/demos/verify_start_end_handshape_annotations//test_auto_move//signs_mov/15471.mov","MOV")</f>
        <v>21</v>
      </c>
      <c r="L3930" t="s" s="16">
        <f>HYPERLINK("http://csr.bu.edu/ftp/asl/asllvd/demos/verify_start_end_handshape_annotations//test_auto_move//signs_mov_separ_signers/Naomi_15471.mov","MOV")</f>
        <v>21</v>
      </c>
      <c r="M3930" t="s" s="10">
        <v>86</v>
      </c>
      <c r="N3930" s="17">
        <v>33</v>
      </c>
      <c r="O3930" s="18">
        <v>1430</v>
      </c>
      <c r="P3930" s="18">
        <v>1471</v>
      </c>
      <c r="Q3930" t="s" s="16">
        <f>HYPERLINK("http://secrets.rutgers.edu:8080/data/asl-ftp/asllvd/demos/verify_start_end_handshape_annotations//test_auto_move//signs_mov/15471.mov","MOV")</f>
        <v>21</v>
      </c>
      <c r="R3930" t="s" s="16">
        <f>HYPERLINK("http://secrets.rutgers.edu:8080/data/asl-ftp/asllvd/demos/verify_start_end_handshape_annotations//test_auto_move//signs_mov_separ_signers/Naomi_15471.mov","MOV")</f>
        <v>21</v>
      </c>
    </row>
    <row r="3931" s="2" customFormat="1" ht="13.5" customHeight="1">
      <c r="B3931" s="13"/>
      <c r="C3931" t="s" s="9">
        <v>30</v>
      </c>
      <c r="D3931" t="s" s="8">
        <v>1346</v>
      </c>
      <c r="E3931" t="s" s="9">
        <v>1347</v>
      </c>
      <c r="F3931" t="s" s="10">
        <v>115</v>
      </c>
      <c r="G3931" t="s" s="11">
        <v>115</v>
      </c>
      <c r="H3931" t="s" s="10">
        <v>115</v>
      </c>
      <c r="I3931" t="s" s="11">
        <v>115</v>
      </c>
      <c r="J3931" t="s" s="11">
        <v>20</v>
      </c>
      <c r="K3931" s="15"/>
      <c r="L3931" t="s" s="16">
        <f>HYPERLINK("http://csr.bu.edu/ftp/asl/asllvd/demos/verify_start_end_handshape_annotations//test_auto_move//signs_mov_separ_signers/Brady_15471.mov","MOV")</f>
        <v>21</v>
      </c>
      <c r="M3931" t="s" s="10">
        <v>39</v>
      </c>
      <c r="N3931" s="17">
        <v>13</v>
      </c>
      <c r="O3931" s="18">
        <v>798</v>
      </c>
      <c r="P3931" s="18">
        <v>833</v>
      </c>
      <c r="Q3931" s="15"/>
      <c r="R3931" t="s" s="16">
        <f>HYPERLINK("http://secrets.rutgers.edu:8080/data/asl-ftp/asllvd/demos/verify_start_end_handshape_annotations//test_auto_move//signs_mov_separ_signers/Brady_15471.mov","MOV")</f>
        <v>21</v>
      </c>
    </row>
    <row r="3932" s="2" customFormat="1" ht="13.5" customHeight="1">
      <c r="B3932" t="s" s="8">
        <v>1348</v>
      </c>
      <c r="C3932" t="s" s="9">
        <v>14</v>
      </c>
      <c r="D3932" t="s" s="8">
        <v>14</v>
      </c>
      <c r="E3932" t="s" s="9">
        <v>14</v>
      </c>
      <c r="F3932" t="s" s="10">
        <v>14</v>
      </c>
      <c r="G3932" t="s" s="11">
        <v>14</v>
      </c>
      <c r="H3932" t="s" s="10">
        <v>14</v>
      </c>
      <c r="I3932" t="s" s="11">
        <v>14</v>
      </c>
      <c r="J3932" t="s" s="11">
        <v>14</v>
      </c>
      <c r="K3932" t="s" s="12">
        <v>14</v>
      </c>
      <c r="L3932" t="s" s="12">
        <v>14</v>
      </c>
      <c r="M3932" t="s" s="10">
        <v>14</v>
      </c>
      <c r="N3932" t="s" s="11">
        <v>14</v>
      </c>
      <c r="O3932" t="s" s="8">
        <v>14</v>
      </c>
      <c r="P3932" t="s" s="8">
        <v>14</v>
      </c>
      <c r="Q3932" t="s" s="12">
        <v>14</v>
      </c>
      <c r="R3932" t="s" s="12">
        <v>14</v>
      </c>
    </row>
    <row r="3933" s="2" customFormat="1" ht="13.5" customHeight="1">
      <c r="B3933" s="13"/>
      <c r="C3933" t="s" s="9">
        <v>16</v>
      </c>
      <c r="D3933" t="s" s="8">
        <v>1348</v>
      </c>
      <c r="E3933" t="s" s="9">
        <v>1348</v>
      </c>
      <c r="F3933" t="s" s="10">
        <v>63</v>
      </c>
      <c r="G3933" t="s" s="11">
        <v>63</v>
      </c>
      <c r="H3933" s="19">
        <v>5</v>
      </c>
      <c r="I3933" s="17">
        <v>5</v>
      </c>
      <c r="J3933" t="s" s="11">
        <v>20</v>
      </c>
      <c r="K3933" s="15"/>
      <c r="L3933" t="s" s="16">
        <f>HYPERLINK("http://csr.bu.edu/ftp/asl/asllvd/demos/verify_start_end_handshape_annotations//test_auto_move//signs_mov_separ_signers/Liz_859.mov","MOV")</f>
        <v>21</v>
      </c>
      <c r="M3933" t="s" s="10">
        <v>84</v>
      </c>
      <c r="N3933" s="17">
        <v>36</v>
      </c>
      <c r="O3933" s="18">
        <v>2442</v>
      </c>
      <c r="P3933" s="18">
        <v>2480</v>
      </c>
      <c r="Q3933" s="15"/>
      <c r="R3933" t="s" s="16">
        <f>HYPERLINK("http://secrets.rutgers.edu:8080/data/asl-ftp/asllvd/demos/verify_start_end_handshape_annotations//test_auto_move//signs_mov_separ_signers/Liz_859.mov","MOV")</f>
        <v>21</v>
      </c>
    </row>
    <row r="3934" s="2" customFormat="1" ht="13.5" customHeight="1">
      <c r="B3934" s="13"/>
      <c r="C3934" t="s" s="9">
        <v>23</v>
      </c>
      <c r="D3934" t="s" s="8">
        <v>1348</v>
      </c>
      <c r="E3934" t="s" s="9">
        <v>1348</v>
      </c>
      <c r="F3934" t="s" s="10">
        <v>68</v>
      </c>
      <c r="G3934" t="s" s="11">
        <v>68</v>
      </c>
      <c r="H3934" t="s" s="10">
        <v>72</v>
      </c>
      <c r="I3934" t="s" s="11">
        <v>72</v>
      </c>
      <c r="J3934" t="s" s="11">
        <v>20</v>
      </c>
      <c r="K3934" t="s" s="16">
        <f>HYPERLINK("http://csr.bu.edu/ftp/asl/asllvd/demos/verify_start_end_handshape_annotations//test_auto_move//signs_mov/859.mov","MOV")</f>
        <v>21</v>
      </c>
      <c r="L3934" t="s" s="16">
        <f>HYPERLINK("http://csr.bu.edu/ftp/asl/asllvd/demos/verify_start_end_handshape_annotations//test_auto_move//signs_mov_separ_signers/Tyler_859.mov","MOV")</f>
        <v>21</v>
      </c>
      <c r="M3934" t="s" s="10">
        <v>92</v>
      </c>
      <c r="N3934" s="17">
        <v>16</v>
      </c>
      <c r="O3934" s="18">
        <v>2560</v>
      </c>
      <c r="P3934" s="18">
        <v>2590</v>
      </c>
      <c r="Q3934" t="s" s="16">
        <f>HYPERLINK("http://secrets.rutgers.edu:8080/data/asl-ftp/asllvd/demos/verify_start_end_handshape_annotations//test_auto_move//signs_mov/859.mov","MOV")</f>
        <v>21</v>
      </c>
      <c r="R3934" t="s" s="16">
        <f>HYPERLINK("http://secrets.rutgers.edu:8080/data/asl-ftp/asllvd/demos/verify_start_end_handshape_annotations//test_auto_move//signs_mov_separ_signers/Tyler_859.mov","MOV")</f>
        <v>21</v>
      </c>
    </row>
    <row r="3935" s="2" customFormat="1" ht="13.5" customHeight="1">
      <c r="B3935" s="13"/>
      <c r="C3935" t="s" s="9">
        <v>27</v>
      </c>
      <c r="D3935" t="s" s="8">
        <v>1348</v>
      </c>
      <c r="E3935" t="s" s="9">
        <v>1348</v>
      </c>
      <c r="F3935" t="s" s="10">
        <v>63</v>
      </c>
      <c r="G3935" t="s" s="11">
        <v>63</v>
      </c>
      <c r="H3935" t="s" s="10">
        <v>72</v>
      </c>
      <c r="I3935" t="s" s="11">
        <v>72</v>
      </c>
      <c r="J3935" t="s" s="11">
        <v>20</v>
      </c>
      <c r="K3935" s="15"/>
      <c r="L3935" t="s" s="16">
        <f>HYPERLINK("http://csr.bu.edu/ftp/asl/asllvd/demos/verify_start_end_handshape_annotations//test_auto_move//signs_mov_separ_signers/Naomi_859.mov","MOV")</f>
        <v>21</v>
      </c>
      <c r="M3935" t="s" s="10">
        <v>86</v>
      </c>
      <c r="N3935" s="17">
        <v>36</v>
      </c>
      <c r="O3935" s="18">
        <v>2750</v>
      </c>
      <c r="P3935" s="18">
        <v>2785</v>
      </c>
      <c r="Q3935" s="15"/>
      <c r="R3935" t="s" s="16">
        <f>HYPERLINK("http://secrets.rutgers.edu:8080/data/asl-ftp/asllvd/demos/verify_start_end_handshape_annotations//test_auto_move//signs_mov_separ_signers/Naomi_859.mov","MOV")</f>
        <v>21</v>
      </c>
    </row>
    <row r="3936" s="2" customFormat="1" ht="13.5" customHeight="1">
      <c r="B3936" s="13"/>
      <c r="C3936" t="s" s="9">
        <v>30</v>
      </c>
      <c r="D3936" t="s" s="8">
        <v>1348</v>
      </c>
      <c r="E3936" t="s" s="9">
        <v>1348</v>
      </c>
      <c r="F3936" t="s" s="10">
        <v>63</v>
      </c>
      <c r="G3936" t="s" s="11">
        <v>63</v>
      </c>
      <c r="H3936" s="19">
        <v>5</v>
      </c>
      <c r="I3936" s="17">
        <v>5</v>
      </c>
      <c r="J3936" t="s" s="11">
        <v>20</v>
      </c>
      <c r="K3936" s="15"/>
      <c r="L3936" t="s" s="16">
        <f>HYPERLINK("http://csr.bu.edu/ftp/asl/asllvd/demos/verify_start_end_handshape_annotations//test_auto_move//signs_mov_separ_signers/Brady_859.mov","MOV")</f>
        <v>21</v>
      </c>
      <c r="M3936" t="s" s="10">
        <v>39</v>
      </c>
      <c r="N3936" s="17">
        <v>15</v>
      </c>
      <c r="O3936" s="18">
        <v>620</v>
      </c>
      <c r="P3936" s="18">
        <v>638</v>
      </c>
      <c r="Q3936" s="15"/>
      <c r="R3936" t="s" s="16">
        <f>HYPERLINK("http://secrets.rutgers.edu:8080/data/asl-ftp/asllvd/demos/verify_start_end_handshape_annotations//test_auto_move//signs_mov_separ_signers/Brady_859.mov","MOV")</f>
        <v>21</v>
      </c>
    </row>
    <row r="3937" s="2" customFormat="1" ht="13.5" customHeight="1">
      <c r="B3937" t="s" s="8">
        <v>1349</v>
      </c>
      <c r="C3937" t="s" s="9">
        <v>14</v>
      </c>
      <c r="D3937" t="s" s="8">
        <v>14</v>
      </c>
      <c r="E3937" t="s" s="9">
        <v>14</v>
      </c>
      <c r="F3937" t="s" s="10">
        <v>14</v>
      </c>
      <c r="G3937" t="s" s="11">
        <v>14</v>
      </c>
      <c r="H3937" t="s" s="10">
        <v>14</v>
      </c>
      <c r="I3937" t="s" s="11">
        <v>14</v>
      </c>
      <c r="J3937" t="s" s="11">
        <v>14</v>
      </c>
      <c r="K3937" t="s" s="12">
        <v>14</v>
      </c>
      <c r="L3937" t="s" s="12">
        <v>14</v>
      </c>
      <c r="M3937" t="s" s="10">
        <v>14</v>
      </c>
      <c r="N3937" t="s" s="11">
        <v>14</v>
      </c>
      <c r="O3937" t="s" s="8">
        <v>14</v>
      </c>
      <c r="P3937" t="s" s="8">
        <v>14</v>
      </c>
      <c r="Q3937" t="s" s="12">
        <v>14</v>
      </c>
      <c r="R3937" t="s" s="12">
        <v>14</v>
      </c>
    </row>
    <row r="3938" s="2" customFormat="1" ht="13.5" customHeight="1">
      <c r="B3938" s="13"/>
      <c r="C3938" t="s" s="9">
        <v>16</v>
      </c>
      <c r="D3938" t="s" s="8">
        <v>1349</v>
      </c>
      <c r="E3938" t="s" s="9">
        <v>1349</v>
      </c>
      <c r="F3938" t="s" s="10">
        <v>63</v>
      </c>
      <c r="G3938" s="14"/>
      <c r="H3938" s="19">
        <v>5</v>
      </c>
      <c r="I3938" s="14"/>
      <c r="J3938" t="s" s="11">
        <v>20</v>
      </c>
      <c r="K3938" s="15"/>
      <c r="L3938" t="s" s="16">
        <f>HYPERLINK("http://csr.bu.edu/ftp/asl/asllvd/demos/verify_start_end_handshape_annotations//test_auto_move//signs_mov_separ_signers/Liz_3718.mov","MOV")</f>
        <v>21</v>
      </c>
      <c r="M3938" t="s" s="10">
        <v>88</v>
      </c>
      <c r="N3938" s="17">
        <v>43</v>
      </c>
      <c r="O3938" s="18">
        <v>642</v>
      </c>
      <c r="P3938" s="18">
        <v>688</v>
      </c>
      <c r="Q3938" s="15"/>
      <c r="R3938" t="s" s="16">
        <f>HYPERLINK("http://secrets.rutgers.edu:8080/data/asl-ftp/asllvd/demos/verify_start_end_handshape_annotations//test_auto_move//signs_mov_separ_signers/Liz_3718.mov","MOV")</f>
        <v>21</v>
      </c>
    </row>
    <row r="3939" s="2" customFormat="1" ht="13.5" customHeight="1">
      <c r="B3939" s="13"/>
      <c r="C3939" t="s" s="9">
        <v>30</v>
      </c>
      <c r="D3939" t="s" s="8">
        <v>1349</v>
      </c>
      <c r="E3939" t="s" s="9">
        <v>1349</v>
      </c>
      <c r="F3939" t="s" s="10">
        <v>63</v>
      </c>
      <c r="G3939" s="14"/>
      <c r="H3939" s="19">
        <v>5</v>
      </c>
      <c r="I3939" s="14"/>
      <c r="J3939" t="s" s="11">
        <v>20</v>
      </c>
      <c r="K3939" t="s" s="16">
        <f>HYPERLINK("http://csr.bu.edu/ftp/asl/asllvd/demos/verify_start_end_handshape_annotations//test_auto_move//signs_mov/3718_5918_merged.mov","MOV")</f>
        <v>21</v>
      </c>
      <c r="L3939" t="s" s="16">
        <f>HYPERLINK("http://csr.bu.edu/ftp/asl/asllvd/demos/verify_start_end_handshape_annotations//test_auto_move//signs_mov_separ_signers/Brady_3718.mov","MOV")</f>
        <v>21</v>
      </c>
      <c r="M3939" t="s" s="10">
        <v>40</v>
      </c>
      <c r="N3939" s="17">
        <v>37</v>
      </c>
      <c r="O3939" s="18">
        <v>682</v>
      </c>
      <c r="P3939" s="18">
        <v>711</v>
      </c>
      <c r="Q3939" t="s" s="16">
        <f>HYPERLINK("http://secrets.rutgers.edu:8080/data/asl-ftp/asllvd/demos/verify_start_end_handshape_annotations//test_auto_move//signs_mov/3718_5918_merged.mov","MOV")</f>
        <v>21</v>
      </c>
      <c r="R3939" t="s" s="16">
        <f>HYPERLINK("http://secrets.rutgers.edu:8080/data/asl-ftp/asllvd/demos/verify_start_end_handshape_annotations//test_auto_move//signs_mov_separ_signers/Brady_3718.mov","MOV")</f>
        <v>21</v>
      </c>
    </row>
    <row r="3940" s="2" customFormat="1" ht="13.5" customHeight="1">
      <c r="B3940" s="13"/>
      <c r="C3940" t="s" s="9">
        <v>30</v>
      </c>
      <c r="D3940" t="s" s="8">
        <v>1349</v>
      </c>
      <c r="E3940" t="s" s="9">
        <v>1349</v>
      </c>
      <c r="F3940" t="s" s="10">
        <v>68</v>
      </c>
      <c r="G3940" s="14"/>
      <c r="H3940" s="19">
        <v>5</v>
      </c>
      <c r="I3940" s="14"/>
      <c r="J3940" t="s" s="11">
        <v>20</v>
      </c>
      <c r="K3940" s="15"/>
      <c r="L3940" t="s" s="16">
        <f>HYPERLINK("http://csr.bu.edu/ftp/asl/asllvd/demos/verify_start_end_handshape_annotations//test_auto_move//signs_mov_separ_signers/Brady_5918.mov","MOV")</f>
        <v>21</v>
      </c>
      <c r="M3940" t="s" s="10">
        <v>60</v>
      </c>
      <c r="N3940" s="17">
        <v>50</v>
      </c>
      <c r="O3940" s="18">
        <v>148</v>
      </c>
      <c r="P3940" s="18">
        <v>183</v>
      </c>
      <c r="Q3940" s="15"/>
      <c r="R3940" t="s" s="16">
        <f>HYPERLINK("http://secrets.rutgers.edu:8080/data/asl-ftp/asllvd/demos/verify_start_end_handshape_annotations//test_auto_move//signs_mov_separ_signers/Brady_5918.mov","MOV")</f>
        <v>21</v>
      </c>
    </row>
    <row r="3941" s="2" customFormat="1" ht="13.5" customHeight="1">
      <c r="B3941" t="s" s="8">
        <v>1350</v>
      </c>
      <c r="C3941" t="s" s="9">
        <v>14</v>
      </c>
      <c r="D3941" t="s" s="8">
        <v>14</v>
      </c>
      <c r="E3941" t="s" s="9">
        <v>14</v>
      </c>
      <c r="F3941" t="s" s="10">
        <v>14</v>
      </c>
      <c r="G3941" t="s" s="11">
        <v>14</v>
      </c>
      <c r="H3941" t="s" s="10">
        <v>14</v>
      </c>
      <c r="I3941" t="s" s="11">
        <v>14</v>
      </c>
      <c r="J3941" t="s" s="11">
        <v>14</v>
      </c>
      <c r="K3941" t="s" s="12">
        <v>14</v>
      </c>
      <c r="L3941" t="s" s="12">
        <v>14</v>
      </c>
      <c r="M3941" t="s" s="10">
        <v>14</v>
      </c>
      <c r="N3941" t="s" s="11">
        <v>14</v>
      </c>
      <c r="O3941" t="s" s="8">
        <v>14</v>
      </c>
      <c r="P3941" t="s" s="8">
        <v>14</v>
      </c>
      <c r="Q3941" t="s" s="12">
        <v>14</v>
      </c>
      <c r="R3941" t="s" s="12">
        <v>14</v>
      </c>
    </row>
    <row r="3942" s="2" customFormat="1" ht="13.5" customHeight="1">
      <c r="B3942" s="13"/>
      <c r="C3942" t="s" s="9">
        <v>16</v>
      </c>
      <c r="D3942" t="s" s="8">
        <v>1350</v>
      </c>
      <c r="E3942" t="s" s="9">
        <v>1350</v>
      </c>
      <c r="F3942" s="19">
        <v>1</v>
      </c>
      <c r="G3942" s="14"/>
      <c r="H3942" s="19">
        <v>1</v>
      </c>
      <c r="I3942" s="14"/>
      <c r="J3942" t="s" s="11">
        <v>20</v>
      </c>
      <c r="K3942" s="15"/>
      <c r="L3942" t="s" s="16">
        <f>HYPERLINK("http://csr.bu.edu/ftp/asl/asllvd/demos/verify_start_end_handshape_annotations//test_auto_move//signs_mov_separ_signers/Liz_860.mov","MOV")</f>
        <v>21</v>
      </c>
      <c r="M3942" t="s" s="10">
        <v>84</v>
      </c>
      <c r="N3942" s="17">
        <v>37</v>
      </c>
      <c r="O3942" s="18">
        <v>320</v>
      </c>
      <c r="P3942" s="18">
        <v>360</v>
      </c>
      <c r="Q3942" s="15"/>
      <c r="R3942" t="s" s="16">
        <f>HYPERLINK("http://secrets.rutgers.edu:8080/data/asl-ftp/asllvd/demos/verify_start_end_handshape_annotations//test_auto_move//signs_mov_separ_signers/Liz_860.mov","MOV")</f>
        <v>21</v>
      </c>
    </row>
    <row r="3943" s="2" customFormat="1" ht="13.5" customHeight="1">
      <c r="B3943" s="13"/>
      <c r="C3943" t="s" s="9">
        <v>23</v>
      </c>
      <c r="D3943" t="s" s="8">
        <v>1350</v>
      </c>
      <c r="E3943" t="s" s="9">
        <v>1350</v>
      </c>
      <c r="F3943" t="s" s="10">
        <v>25</v>
      </c>
      <c r="G3943" s="14"/>
      <c r="H3943" t="s" s="10">
        <v>25</v>
      </c>
      <c r="I3943" s="14"/>
      <c r="J3943" t="s" s="11">
        <v>20</v>
      </c>
      <c r="K3943" t="s" s="16">
        <f>HYPERLINK("http://csr.bu.edu/ftp/asl/asllvd/demos/verify_start_end_handshape_annotations//test_auto_move//signs_mov/860.mov","MOV")</f>
        <v>21</v>
      </c>
      <c r="L3943" t="s" s="16">
        <f>HYPERLINK("http://csr.bu.edu/ftp/asl/asllvd/demos/verify_start_end_handshape_annotations//test_auto_move//signs_mov_separ_signers/Tyler_860.mov","MOV")</f>
        <v>21</v>
      </c>
      <c r="M3943" t="s" s="10">
        <v>92</v>
      </c>
      <c r="N3943" s="17">
        <v>16</v>
      </c>
      <c r="O3943" s="18">
        <v>2800</v>
      </c>
      <c r="P3943" s="18">
        <v>2865</v>
      </c>
      <c r="Q3943" t="s" s="16">
        <f>HYPERLINK("http://secrets.rutgers.edu:8080/data/asl-ftp/asllvd/demos/verify_start_end_handshape_annotations//test_auto_move//signs_mov/860.mov","MOV")</f>
        <v>21</v>
      </c>
      <c r="R3943" t="s" s="16">
        <f>HYPERLINK("http://secrets.rutgers.edu:8080/data/asl-ftp/asllvd/demos/verify_start_end_handshape_annotations//test_auto_move//signs_mov_separ_signers/Tyler_860.mov","MOV")</f>
        <v>21</v>
      </c>
    </row>
    <row r="3944" s="2" customFormat="1" ht="13.5" customHeight="1">
      <c r="B3944" s="13"/>
      <c r="C3944" t="s" s="9">
        <v>27</v>
      </c>
      <c r="D3944" t="s" s="8">
        <v>1350</v>
      </c>
      <c r="E3944" t="s" s="9">
        <v>1350</v>
      </c>
      <c r="F3944" s="19">
        <v>1</v>
      </c>
      <c r="G3944" s="14"/>
      <c r="H3944" s="19">
        <v>1</v>
      </c>
      <c r="I3944" s="14"/>
      <c r="J3944" t="s" s="11">
        <v>20</v>
      </c>
      <c r="K3944" s="15"/>
      <c r="L3944" t="s" s="16">
        <f>HYPERLINK("http://csr.bu.edu/ftp/asl/asllvd/demos/verify_start_end_handshape_annotations//test_auto_move//signs_mov_separ_signers/Naomi_860.mov","MOV")</f>
        <v>21</v>
      </c>
      <c r="M3944" t="s" s="10">
        <v>86</v>
      </c>
      <c r="N3944" s="17">
        <v>36</v>
      </c>
      <c r="O3944" s="18">
        <v>3045</v>
      </c>
      <c r="P3944" s="18">
        <v>3081</v>
      </c>
      <c r="Q3944" s="15"/>
      <c r="R3944" t="s" s="16">
        <f>HYPERLINK("http://secrets.rutgers.edu:8080/data/asl-ftp/asllvd/demos/verify_start_end_handshape_annotations//test_auto_move//signs_mov_separ_signers/Naomi_860.mov","MOV")</f>
        <v>21</v>
      </c>
    </row>
    <row r="3945" s="2" customFormat="1" ht="13.5" customHeight="1">
      <c r="B3945" s="13"/>
      <c r="C3945" t="s" s="9">
        <v>30</v>
      </c>
      <c r="D3945" t="s" s="8">
        <v>1350</v>
      </c>
      <c r="E3945" t="s" s="9">
        <v>1350</v>
      </c>
      <c r="F3945" s="19">
        <v>1</v>
      </c>
      <c r="G3945" s="14"/>
      <c r="H3945" s="19">
        <v>1</v>
      </c>
      <c r="I3945" s="14"/>
      <c r="J3945" t="s" s="11">
        <v>20</v>
      </c>
      <c r="K3945" s="15"/>
      <c r="L3945" t="s" s="16">
        <f>HYPERLINK("http://csr.bu.edu/ftp/asl/asllvd/demos/verify_start_end_handshape_annotations//test_auto_move//signs_mov_separ_signers/Brady_860.mov","MOV")</f>
        <v>21</v>
      </c>
      <c r="M3945" t="s" s="10">
        <v>39</v>
      </c>
      <c r="N3945" s="17">
        <v>15</v>
      </c>
      <c r="O3945" s="18">
        <v>900</v>
      </c>
      <c r="P3945" s="18">
        <v>930</v>
      </c>
      <c r="Q3945" s="15"/>
      <c r="R3945" t="s" s="16">
        <f>HYPERLINK("http://secrets.rutgers.edu:8080/data/asl-ftp/asllvd/demos/verify_start_end_handshape_annotations//test_auto_move//signs_mov_separ_signers/Brady_860.mov","MOV")</f>
        <v>21</v>
      </c>
    </row>
    <row r="3946" s="2" customFormat="1" ht="13.5" customHeight="1">
      <c r="B3946" t="s" s="8">
        <v>1351</v>
      </c>
      <c r="C3946" t="s" s="9">
        <v>14</v>
      </c>
      <c r="D3946" t="s" s="8">
        <v>14</v>
      </c>
      <c r="E3946" t="s" s="9">
        <v>14</v>
      </c>
      <c r="F3946" t="s" s="10">
        <v>14</v>
      </c>
      <c r="G3946" t="s" s="11">
        <v>14</v>
      </c>
      <c r="H3946" t="s" s="10">
        <v>14</v>
      </c>
      <c r="I3946" t="s" s="11">
        <v>14</v>
      </c>
      <c r="J3946" t="s" s="11">
        <v>14</v>
      </c>
      <c r="K3946" t="s" s="12">
        <v>14</v>
      </c>
      <c r="L3946" t="s" s="12">
        <v>14</v>
      </c>
      <c r="M3946" t="s" s="10">
        <v>14</v>
      </c>
      <c r="N3946" t="s" s="11">
        <v>14</v>
      </c>
      <c r="O3946" t="s" s="8">
        <v>14</v>
      </c>
      <c r="P3946" t="s" s="8">
        <v>14</v>
      </c>
      <c r="Q3946" t="s" s="12">
        <v>14</v>
      </c>
      <c r="R3946" t="s" s="12">
        <v>14</v>
      </c>
    </row>
    <row r="3947" s="2" customFormat="1" ht="13.5" customHeight="1">
      <c r="B3947" s="13"/>
      <c r="C3947" t="s" s="9">
        <v>16</v>
      </c>
      <c r="D3947" t="s" s="8">
        <v>1351</v>
      </c>
      <c r="E3947" t="s" s="9">
        <v>1351</v>
      </c>
      <c r="F3947" t="s" s="10">
        <v>1352</v>
      </c>
      <c r="G3947" t="s" s="11">
        <v>1352</v>
      </c>
      <c r="H3947" s="19">
        <v>4</v>
      </c>
      <c r="I3947" s="17">
        <v>4</v>
      </c>
      <c r="J3947" t="s" s="11">
        <v>20</v>
      </c>
      <c r="K3947" s="15"/>
      <c r="L3947" t="s" s="16">
        <f>HYPERLINK("http://csr.bu.edu/ftp/asl/asllvd/demos/verify_start_end_handshape_annotations//test_auto_move//signs_mov_separ_signers/Liz_861.mov","MOV")</f>
        <v>21</v>
      </c>
      <c r="M3947" t="s" s="10">
        <v>84</v>
      </c>
      <c r="N3947" s="17">
        <v>37</v>
      </c>
      <c r="O3947" s="18">
        <v>527</v>
      </c>
      <c r="P3947" s="18">
        <v>545</v>
      </c>
      <c r="Q3947" s="15"/>
      <c r="R3947" t="s" s="16">
        <f>HYPERLINK("http://secrets.rutgers.edu:8080/data/asl-ftp/asllvd/demos/verify_start_end_handshape_annotations//test_auto_move//signs_mov_separ_signers/Liz_861.mov","MOV")</f>
        <v>21</v>
      </c>
    </row>
    <row r="3948" s="2" customFormat="1" ht="13.5" customHeight="1">
      <c r="B3948" s="13"/>
      <c r="C3948" t="s" s="9">
        <v>23</v>
      </c>
      <c r="D3948" t="s" s="8">
        <v>1351</v>
      </c>
      <c r="E3948" t="s" s="9">
        <v>1351</v>
      </c>
      <c r="F3948" t="s" s="10">
        <v>1352</v>
      </c>
      <c r="G3948" t="s" s="11">
        <v>1352</v>
      </c>
      <c r="H3948" s="19">
        <v>4</v>
      </c>
      <c r="I3948" s="17">
        <v>4</v>
      </c>
      <c r="J3948" t="s" s="11">
        <v>20</v>
      </c>
      <c r="K3948" t="s" s="16">
        <f>HYPERLINK("http://csr.bu.edu/ftp/asl/asllvd/demos/verify_start_end_handshape_annotations//test_auto_move//signs_mov/861.mov","MOV")</f>
        <v>21</v>
      </c>
      <c r="L3948" t="s" s="16">
        <f>HYPERLINK("http://csr.bu.edu/ftp/asl/asllvd/demos/verify_start_end_handshape_annotations//test_auto_move//signs_mov_separ_signers/Tyler_861.mov","MOV")</f>
        <v>21</v>
      </c>
      <c r="M3948" t="s" s="10">
        <v>92</v>
      </c>
      <c r="N3948" s="17">
        <v>17</v>
      </c>
      <c r="O3948" s="18">
        <v>255</v>
      </c>
      <c r="P3948" s="18">
        <v>280</v>
      </c>
      <c r="Q3948" t="s" s="16">
        <f>HYPERLINK("http://secrets.rutgers.edu:8080/data/asl-ftp/asllvd/demos/verify_start_end_handshape_annotations//test_auto_move//signs_mov/861.mov","MOV")</f>
        <v>21</v>
      </c>
      <c r="R3948" t="s" s="16">
        <f>HYPERLINK("http://secrets.rutgers.edu:8080/data/asl-ftp/asllvd/demos/verify_start_end_handshape_annotations//test_auto_move//signs_mov_separ_signers/Tyler_861.mov","MOV")</f>
        <v>21</v>
      </c>
    </row>
    <row r="3949" s="2" customFormat="1" ht="13.5" customHeight="1">
      <c r="B3949" s="13"/>
      <c r="C3949" t="s" s="9">
        <v>27</v>
      </c>
      <c r="D3949" t="s" s="8">
        <v>1351</v>
      </c>
      <c r="E3949" t="s" s="9">
        <v>1351</v>
      </c>
      <c r="F3949" s="19">
        <v>4</v>
      </c>
      <c r="G3949" s="17">
        <v>4</v>
      </c>
      <c r="H3949" s="19">
        <v>4</v>
      </c>
      <c r="I3949" s="17">
        <v>4</v>
      </c>
      <c r="J3949" t="s" s="11">
        <v>20</v>
      </c>
      <c r="K3949" s="15"/>
      <c r="L3949" t="s" s="16">
        <f>HYPERLINK("http://csr.bu.edu/ftp/asl/asllvd/demos/verify_start_end_handshape_annotations//test_auto_move//signs_mov_separ_signers/Naomi_861.mov","MOV")</f>
        <v>21</v>
      </c>
      <c r="M3949" t="s" s="10">
        <v>86</v>
      </c>
      <c r="N3949" s="17">
        <v>37</v>
      </c>
      <c r="O3949" s="18">
        <v>215</v>
      </c>
      <c r="P3949" s="18">
        <v>245</v>
      </c>
      <c r="Q3949" s="15"/>
      <c r="R3949" t="s" s="16">
        <f>HYPERLINK("http://secrets.rutgers.edu:8080/data/asl-ftp/asllvd/demos/verify_start_end_handshape_annotations//test_auto_move//signs_mov_separ_signers/Naomi_861.mov","MOV")</f>
        <v>21</v>
      </c>
    </row>
    <row r="3950" s="2" customFormat="1" ht="13.5" customHeight="1">
      <c r="B3950" s="13"/>
      <c r="C3950" t="s" s="9">
        <v>30</v>
      </c>
      <c r="D3950" t="s" s="8">
        <v>1351</v>
      </c>
      <c r="E3950" t="s" s="9">
        <v>1351</v>
      </c>
      <c r="F3950" s="19">
        <v>4</v>
      </c>
      <c r="G3950" s="17">
        <v>4</v>
      </c>
      <c r="H3950" s="19">
        <v>4</v>
      </c>
      <c r="I3950" s="17">
        <v>4</v>
      </c>
      <c r="J3950" t="s" s="11">
        <v>20</v>
      </c>
      <c r="K3950" s="15"/>
      <c r="L3950" t="s" s="16">
        <f>HYPERLINK("http://csr.bu.edu/ftp/asl/asllvd/demos/verify_start_end_handshape_annotations//test_auto_move//signs_mov_separ_signers/Brady_861.mov","MOV")</f>
        <v>21</v>
      </c>
      <c r="M3950" t="s" s="10">
        <v>39</v>
      </c>
      <c r="N3950" s="17">
        <v>15</v>
      </c>
      <c r="O3950" s="18">
        <v>1129</v>
      </c>
      <c r="P3950" s="18">
        <v>1146</v>
      </c>
      <c r="Q3950" s="15"/>
      <c r="R3950" t="s" s="16">
        <f>HYPERLINK("http://secrets.rutgers.edu:8080/data/asl-ftp/asllvd/demos/verify_start_end_handshape_annotations//test_auto_move//signs_mov_separ_signers/Brady_861.mov","MOV")</f>
        <v>21</v>
      </c>
    </row>
    <row r="3951" s="2" customFormat="1" ht="13.5" customHeight="1">
      <c r="B3951" t="s" s="8">
        <v>1353</v>
      </c>
      <c r="C3951" t="s" s="9">
        <v>14</v>
      </c>
      <c r="D3951" t="s" s="8">
        <v>14</v>
      </c>
      <c r="E3951" t="s" s="9">
        <v>14</v>
      </c>
      <c r="F3951" t="s" s="10">
        <v>14</v>
      </c>
      <c r="G3951" t="s" s="11">
        <v>14</v>
      </c>
      <c r="H3951" t="s" s="10">
        <v>14</v>
      </c>
      <c r="I3951" t="s" s="11">
        <v>14</v>
      </c>
      <c r="J3951" t="s" s="11">
        <v>14</v>
      </c>
      <c r="K3951" t="s" s="12">
        <v>14</v>
      </c>
      <c r="L3951" t="s" s="12">
        <v>14</v>
      </c>
      <c r="M3951" t="s" s="10">
        <v>14</v>
      </c>
      <c r="N3951" t="s" s="11">
        <v>14</v>
      </c>
      <c r="O3951" t="s" s="8">
        <v>14</v>
      </c>
      <c r="P3951" t="s" s="8">
        <v>14</v>
      </c>
      <c r="Q3951" t="s" s="12">
        <v>14</v>
      </c>
      <c r="R3951" t="s" s="12">
        <v>14</v>
      </c>
    </row>
    <row r="3952" s="2" customFormat="1" ht="13.5" customHeight="1">
      <c r="B3952" s="13"/>
      <c r="C3952" t="s" s="9">
        <v>16</v>
      </c>
      <c r="D3952" t="s" s="8">
        <v>1353</v>
      </c>
      <c r="E3952" t="s" s="9">
        <v>1353</v>
      </c>
      <c r="F3952" t="s" s="10">
        <v>268</v>
      </c>
      <c r="G3952" s="14"/>
      <c r="H3952" t="s" s="10">
        <v>268</v>
      </c>
      <c r="I3952" s="14"/>
      <c r="J3952" t="s" s="11">
        <v>20</v>
      </c>
      <c r="K3952" s="15"/>
      <c r="L3952" t="s" s="16">
        <f>HYPERLINK("http://csr.bu.edu/ftp/asl/asllvd/demos/verify_start_end_handshape_annotations//test_auto_move//signs_mov_separ_signers/Liz_862.mov","MOV")</f>
        <v>21</v>
      </c>
      <c r="M3952" t="s" s="10">
        <v>84</v>
      </c>
      <c r="N3952" s="17">
        <v>37</v>
      </c>
      <c r="O3952" s="18">
        <v>705</v>
      </c>
      <c r="P3952" s="18">
        <v>735</v>
      </c>
      <c r="Q3952" s="15"/>
      <c r="R3952" t="s" s="16">
        <f>HYPERLINK("http://secrets.rutgers.edu:8080/data/asl-ftp/asllvd/demos/verify_start_end_handshape_annotations//test_auto_move//signs_mov_separ_signers/Liz_862.mov","MOV")</f>
        <v>21</v>
      </c>
    </row>
    <row r="3953" s="2" customFormat="1" ht="13.5" customHeight="1">
      <c r="B3953" s="13"/>
      <c r="C3953" t="s" s="9">
        <v>23</v>
      </c>
      <c r="D3953" t="s" s="8">
        <v>1353</v>
      </c>
      <c r="E3953" t="s" s="9">
        <v>1353</v>
      </c>
      <c r="F3953" t="s" s="10">
        <v>268</v>
      </c>
      <c r="G3953" s="14"/>
      <c r="H3953" t="s" s="10">
        <v>268</v>
      </c>
      <c r="I3953" s="14"/>
      <c r="J3953" t="s" s="11">
        <v>20</v>
      </c>
      <c r="K3953" t="s" s="16">
        <f>HYPERLINK("http://csr.bu.edu/ftp/asl/asllvd/demos/verify_start_end_handshape_annotations//test_auto_move//signs_mov/862.mov","MOV")</f>
        <v>21</v>
      </c>
      <c r="L3953" t="s" s="16">
        <f>HYPERLINK("http://csr.bu.edu/ftp/asl/asllvd/demos/verify_start_end_handshape_annotations//test_auto_move//signs_mov_separ_signers/Tyler_862.mov","MOV")</f>
        <v>21</v>
      </c>
      <c r="M3953" t="s" s="10">
        <v>92</v>
      </c>
      <c r="N3953" s="17">
        <v>17</v>
      </c>
      <c r="O3953" s="18">
        <v>425</v>
      </c>
      <c r="P3953" s="18">
        <v>455</v>
      </c>
      <c r="Q3953" t="s" s="16">
        <f>HYPERLINK("http://secrets.rutgers.edu:8080/data/asl-ftp/asllvd/demos/verify_start_end_handshape_annotations//test_auto_move//signs_mov/862.mov","MOV")</f>
        <v>21</v>
      </c>
      <c r="R3953" t="s" s="16">
        <f>HYPERLINK("http://secrets.rutgers.edu:8080/data/asl-ftp/asllvd/demos/verify_start_end_handshape_annotations//test_auto_move//signs_mov_separ_signers/Tyler_862.mov","MOV")</f>
        <v>21</v>
      </c>
    </row>
    <row r="3954" s="2" customFormat="1" ht="13.5" customHeight="1">
      <c r="B3954" s="13"/>
      <c r="C3954" t="s" s="9">
        <v>27</v>
      </c>
      <c r="D3954" t="s" s="8">
        <v>1353</v>
      </c>
      <c r="E3954" t="s" s="9">
        <v>1353</v>
      </c>
      <c r="F3954" t="s" s="10">
        <v>268</v>
      </c>
      <c r="G3954" s="14"/>
      <c r="H3954" t="s" s="10">
        <v>268</v>
      </c>
      <c r="I3954" s="14"/>
      <c r="J3954" t="s" s="11">
        <v>20</v>
      </c>
      <c r="K3954" s="15"/>
      <c r="L3954" t="s" s="16">
        <f>HYPERLINK("http://csr.bu.edu/ftp/asl/asllvd/demos/verify_start_end_handshape_annotations//test_auto_move//signs_mov_separ_signers/Naomi_862.mov","MOV")</f>
        <v>21</v>
      </c>
      <c r="M3954" t="s" s="10">
        <v>86</v>
      </c>
      <c r="N3954" s="17">
        <v>37</v>
      </c>
      <c r="O3954" s="18">
        <v>441</v>
      </c>
      <c r="P3954" s="18">
        <v>470</v>
      </c>
      <c r="Q3954" s="15"/>
      <c r="R3954" t="s" s="16">
        <f>HYPERLINK("http://secrets.rutgers.edu:8080/data/asl-ftp/asllvd/demos/verify_start_end_handshape_annotations//test_auto_move//signs_mov_separ_signers/Naomi_862.mov","MOV")</f>
        <v>21</v>
      </c>
    </row>
    <row r="3955" s="2" customFormat="1" ht="13.5" customHeight="1">
      <c r="B3955" s="13"/>
      <c r="C3955" t="s" s="9">
        <v>30</v>
      </c>
      <c r="D3955" t="s" s="8">
        <v>1353</v>
      </c>
      <c r="E3955" t="s" s="9">
        <v>1353</v>
      </c>
      <c r="F3955" s="19">
        <v>1</v>
      </c>
      <c r="G3955" s="14"/>
      <c r="H3955" s="19">
        <v>1</v>
      </c>
      <c r="I3955" s="14"/>
      <c r="J3955" t="s" s="11">
        <v>20</v>
      </c>
      <c r="K3955" s="15"/>
      <c r="L3955" t="s" s="16">
        <f>HYPERLINK("http://csr.bu.edu/ftp/asl/asllvd/demos/verify_start_end_handshape_annotations//test_auto_move//signs_mov_separ_signers/Brady_862.mov","MOV")</f>
        <v>21</v>
      </c>
      <c r="M3955" t="s" s="10">
        <v>39</v>
      </c>
      <c r="N3955" s="17">
        <v>15</v>
      </c>
      <c r="O3955" s="18">
        <v>1411</v>
      </c>
      <c r="P3955" s="18">
        <v>1433</v>
      </c>
      <c r="Q3955" s="15"/>
      <c r="R3955" t="s" s="16">
        <f>HYPERLINK("http://secrets.rutgers.edu:8080/data/asl-ftp/asllvd/demos/verify_start_end_handshape_annotations//test_auto_move//signs_mov_separ_signers/Brady_862.mov","MOV")</f>
        <v>21</v>
      </c>
    </row>
    <row r="3956" s="2" customFormat="1" ht="13.5" customHeight="1">
      <c r="B3956" t="s" s="8">
        <v>1354</v>
      </c>
      <c r="C3956" t="s" s="9">
        <v>14</v>
      </c>
      <c r="D3956" t="s" s="8">
        <v>14</v>
      </c>
      <c r="E3956" t="s" s="9">
        <v>14</v>
      </c>
      <c r="F3956" t="s" s="10">
        <v>14</v>
      </c>
      <c r="G3956" t="s" s="11">
        <v>14</v>
      </c>
      <c r="H3956" t="s" s="10">
        <v>14</v>
      </c>
      <c r="I3956" t="s" s="11">
        <v>14</v>
      </c>
      <c r="J3956" t="s" s="11">
        <v>14</v>
      </c>
      <c r="K3956" t="s" s="12">
        <v>14</v>
      </c>
      <c r="L3956" t="s" s="12">
        <v>14</v>
      </c>
      <c r="M3956" t="s" s="10">
        <v>14</v>
      </c>
      <c r="N3956" t="s" s="11">
        <v>14</v>
      </c>
      <c r="O3956" t="s" s="8">
        <v>14</v>
      </c>
      <c r="P3956" t="s" s="8">
        <v>14</v>
      </c>
      <c r="Q3956" t="s" s="12">
        <v>14</v>
      </c>
      <c r="R3956" t="s" s="12">
        <v>14</v>
      </c>
    </row>
    <row r="3957" s="2" customFormat="1" ht="13.5" customHeight="1">
      <c r="B3957" s="13"/>
      <c r="C3957" t="s" s="9">
        <v>16</v>
      </c>
      <c r="D3957" t="s" s="8">
        <v>1354</v>
      </c>
      <c r="E3957" t="s" s="9">
        <v>1354</v>
      </c>
      <c r="F3957" t="s" s="10">
        <v>282</v>
      </c>
      <c r="G3957" s="14"/>
      <c r="H3957" t="s" s="10">
        <v>282</v>
      </c>
      <c r="I3957" s="14"/>
      <c r="J3957" t="s" s="11">
        <v>20</v>
      </c>
      <c r="K3957" s="15"/>
      <c r="L3957" t="s" s="16">
        <f>HYPERLINK("http://csr.bu.edu/ftp/asl/asllvd/demos/verify_start_end_handshape_annotations//test_auto_move//signs_mov_separ_signers/Liz_863.mov","MOV")</f>
        <v>21</v>
      </c>
      <c r="M3957" t="s" s="10">
        <v>84</v>
      </c>
      <c r="N3957" s="17">
        <v>37</v>
      </c>
      <c r="O3957" s="18">
        <v>932</v>
      </c>
      <c r="P3957" s="18">
        <v>945</v>
      </c>
      <c r="Q3957" s="15"/>
      <c r="R3957" t="s" s="16">
        <f>HYPERLINK("http://secrets.rutgers.edu:8080/data/asl-ftp/asllvd/demos/verify_start_end_handshape_annotations//test_auto_move//signs_mov_separ_signers/Liz_863.mov","MOV")</f>
        <v>21</v>
      </c>
    </row>
    <row r="3958" s="2" customFormat="1" ht="13.5" customHeight="1">
      <c r="B3958" s="13"/>
      <c r="C3958" t="s" s="9">
        <v>23</v>
      </c>
      <c r="D3958" t="s" s="8">
        <v>1354</v>
      </c>
      <c r="E3958" t="s" s="9">
        <v>1354</v>
      </c>
      <c r="F3958" t="s" s="10">
        <v>282</v>
      </c>
      <c r="G3958" s="14"/>
      <c r="H3958" t="s" s="10">
        <v>282</v>
      </c>
      <c r="I3958" s="14"/>
      <c r="J3958" t="s" s="11">
        <v>20</v>
      </c>
      <c r="K3958" t="s" s="16">
        <f>HYPERLINK("http://csr.bu.edu/ftp/asl/asllvd/demos/verify_start_end_handshape_annotations//test_auto_move//signs_mov/863.mov","MOV")</f>
        <v>21</v>
      </c>
      <c r="L3958" t="s" s="16">
        <f>HYPERLINK("http://csr.bu.edu/ftp/asl/asllvd/demos/verify_start_end_handshape_annotations//test_auto_move//signs_mov_separ_signers/Tyler_863.mov","MOV")</f>
        <v>21</v>
      </c>
      <c r="M3958" t="s" s="10">
        <v>92</v>
      </c>
      <c r="N3958" s="17">
        <v>17</v>
      </c>
      <c r="O3958" s="18">
        <v>651</v>
      </c>
      <c r="P3958" s="18">
        <v>685</v>
      </c>
      <c r="Q3958" t="s" s="16">
        <f>HYPERLINK("http://secrets.rutgers.edu:8080/data/asl-ftp/asllvd/demos/verify_start_end_handshape_annotations//test_auto_move//signs_mov/863.mov","MOV")</f>
        <v>21</v>
      </c>
      <c r="R3958" t="s" s="16">
        <f>HYPERLINK("http://secrets.rutgers.edu:8080/data/asl-ftp/asllvd/demos/verify_start_end_handshape_annotations//test_auto_move//signs_mov_separ_signers/Tyler_863.mov","MOV")</f>
        <v>21</v>
      </c>
    </row>
    <row r="3959" s="2" customFormat="1" ht="13.5" customHeight="1">
      <c r="B3959" s="13"/>
      <c r="C3959" t="s" s="9">
        <v>27</v>
      </c>
      <c r="D3959" t="s" s="8">
        <v>1354</v>
      </c>
      <c r="E3959" t="s" s="9">
        <v>1354</v>
      </c>
      <c r="F3959" t="s" s="10">
        <v>282</v>
      </c>
      <c r="G3959" s="14"/>
      <c r="H3959" t="s" s="10">
        <v>282</v>
      </c>
      <c r="I3959" s="14"/>
      <c r="J3959" t="s" s="11">
        <v>20</v>
      </c>
      <c r="K3959" s="15"/>
      <c r="L3959" t="s" s="16">
        <f>HYPERLINK("http://csr.bu.edu/ftp/asl/asllvd/demos/verify_start_end_handshape_annotations//test_auto_move//signs_mov_separ_signers/Naomi_863.mov","MOV")</f>
        <v>21</v>
      </c>
      <c r="M3959" t="s" s="10">
        <v>86</v>
      </c>
      <c r="N3959" s="17">
        <v>37</v>
      </c>
      <c r="O3959" s="18">
        <v>710</v>
      </c>
      <c r="P3959" s="18">
        <v>755</v>
      </c>
      <c r="Q3959" s="15"/>
      <c r="R3959" t="s" s="16">
        <f>HYPERLINK("http://secrets.rutgers.edu:8080/data/asl-ftp/asllvd/demos/verify_start_end_handshape_annotations//test_auto_move//signs_mov_separ_signers/Naomi_863.mov","MOV")</f>
        <v>21</v>
      </c>
    </row>
    <row r="3960" s="2" customFormat="1" ht="13.5" customHeight="1">
      <c r="B3960" s="13"/>
      <c r="C3960" t="s" s="9">
        <v>30</v>
      </c>
      <c r="D3960" t="s" s="8">
        <v>1354</v>
      </c>
      <c r="E3960" t="s" s="9">
        <v>1354</v>
      </c>
      <c r="F3960" t="s" s="10">
        <v>282</v>
      </c>
      <c r="G3960" s="14"/>
      <c r="H3960" t="s" s="10">
        <v>282</v>
      </c>
      <c r="I3960" s="14"/>
      <c r="J3960" t="s" s="11">
        <v>20</v>
      </c>
      <c r="K3960" s="15"/>
      <c r="L3960" t="s" s="16">
        <f>HYPERLINK("http://csr.bu.edu/ftp/asl/asllvd/demos/verify_start_end_handshape_annotations//test_auto_move//signs_mov_separ_signers/Brady_863.mov","MOV")</f>
        <v>21</v>
      </c>
      <c r="M3960" t="s" s="10">
        <v>39</v>
      </c>
      <c r="N3960" s="17">
        <v>15</v>
      </c>
      <c r="O3960" s="18">
        <v>2188</v>
      </c>
      <c r="P3960" s="18">
        <v>2300</v>
      </c>
      <c r="Q3960" s="15"/>
      <c r="R3960" t="s" s="16">
        <f>HYPERLINK("http://secrets.rutgers.edu:8080/data/asl-ftp/asllvd/demos/verify_start_end_handshape_annotations//test_auto_move//signs_mov_separ_signers/Brady_863.mov","MOV")</f>
        <v>21</v>
      </c>
    </row>
    <row r="3961" s="2" customFormat="1" ht="13.5" customHeight="1">
      <c r="B3961" t="s" s="8">
        <v>1355</v>
      </c>
      <c r="C3961" t="s" s="9">
        <v>14</v>
      </c>
      <c r="D3961" t="s" s="8">
        <v>14</v>
      </c>
      <c r="E3961" t="s" s="9">
        <v>14</v>
      </c>
      <c r="F3961" t="s" s="10">
        <v>14</v>
      </c>
      <c r="G3961" t="s" s="11">
        <v>14</v>
      </c>
      <c r="H3961" t="s" s="10">
        <v>14</v>
      </c>
      <c r="I3961" t="s" s="11">
        <v>14</v>
      </c>
      <c r="J3961" t="s" s="11">
        <v>14</v>
      </c>
      <c r="K3961" t="s" s="12">
        <v>14</v>
      </c>
      <c r="L3961" t="s" s="12">
        <v>14</v>
      </c>
      <c r="M3961" t="s" s="10">
        <v>14</v>
      </c>
      <c r="N3961" t="s" s="11">
        <v>14</v>
      </c>
      <c r="O3961" t="s" s="8">
        <v>14</v>
      </c>
      <c r="P3961" t="s" s="8">
        <v>14</v>
      </c>
      <c r="Q3961" t="s" s="12">
        <v>14</v>
      </c>
      <c r="R3961" t="s" s="12">
        <v>14</v>
      </c>
    </row>
    <row r="3962" s="2" customFormat="1" ht="13.5" customHeight="1">
      <c r="B3962" s="13"/>
      <c r="C3962" t="s" s="9">
        <v>16</v>
      </c>
      <c r="D3962" t="s" s="8">
        <v>1355</v>
      </c>
      <c r="E3962" t="s" s="9">
        <v>1356</v>
      </c>
      <c r="F3962" s="19">
        <v>3</v>
      </c>
      <c r="G3962" s="17">
        <v>3</v>
      </c>
      <c r="H3962" t="s" s="10">
        <v>341</v>
      </c>
      <c r="I3962" t="s" s="11">
        <v>341</v>
      </c>
      <c r="J3962" t="s" s="11">
        <v>20</v>
      </c>
      <c r="K3962" s="15"/>
      <c r="L3962" t="s" s="16">
        <f>HYPERLINK("http://csr.bu.edu/ftp/asl/asllvd/demos/verify_start_end_handshape_annotations//test_auto_move//signs_mov_separ_signers/Liz_864.mov","MOV")</f>
        <v>21</v>
      </c>
      <c r="M3962" t="s" s="10">
        <v>84</v>
      </c>
      <c r="N3962" s="17">
        <v>37</v>
      </c>
      <c r="O3962" s="18">
        <v>1115</v>
      </c>
      <c r="P3962" s="18">
        <v>1160</v>
      </c>
      <c r="Q3962" s="15"/>
      <c r="R3962" t="s" s="16">
        <f>HYPERLINK("http://secrets.rutgers.edu:8080/data/asl-ftp/asllvd/demos/verify_start_end_handshape_annotations//test_auto_move//signs_mov_separ_signers/Liz_864.mov","MOV")</f>
        <v>21</v>
      </c>
    </row>
    <row r="3963" s="2" customFormat="1" ht="13.5" customHeight="1">
      <c r="B3963" s="13"/>
      <c r="C3963" t="s" s="9">
        <v>23</v>
      </c>
      <c r="D3963" t="s" s="8">
        <v>1355</v>
      </c>
      <c r="E3963" t="s" s="9">
        <v>1356</v>
      </c>
      <c r="F3963" t="s" s="10">
        <v>229</v>
      </c>
      <c r="G3963" t="s" s="11">
        <v>229</v>
      </c>
      <c r="H3963" t="s" s="10">
        <v>240</v>
      </c>
      <c r="I3963" t="s" s="11">
        <v>240</v>
      </c>
      <c r="J3963" t="s" s="11">
        <v>20</v>
      </c>
      <c r="K3963" t="s" s="16">
        <f>HYPERLINK("http://csr.bu.edu/ftp/asl/asllvd/demos/verify_start_end_handshape_annotations//test_auto_move//signs_mov/864.mov","MOV")</f>
        <v>21</v>
      </c>
      <c r="L3963" t="s" s="16">
        <f>HYPERLINK("http://csr.bu.edu/ftp/asl/asllvd/demos/verify_start_end_handshape_annotations//test_auto_move//signs_mov_separ_signers/Tyler_864.mov","MOV")</f>
        <v>21</v>
      </c>
      <c r="M3963" t="s" s="10">
        <v>92</v>
      </c>
      <c r="N3963" s="17">
        <v>17</v>
      </c>
      <c r="O3963" s="18">
        <v>1611</v>
      </c>
      <c r="P3963" s="18">
        <v>1660</v>
      </c>
      <c r="Q3963" t="s" s="16">
        <f>HYPERLINK("http://secrets.rutgers.edu:8080/data/asl-ftp/asllvd/demos/verify_start_end_handshape_annotations//test_auto_move//signs_mov/864.mov","MOV")</f>
        <v>21</v>
      </c>
      <c r="R3963" t="s" s="16">
        <f>HYPERLINK("http://secrets.rutgers.edu:8080/data/asl-ftp/asllvd/demos/verify_start_end_handshape_annotations//test_auto_move//signs_mov_separ_signers/Tyler_864.mov","MOV")</f>
        <v>21</v>
      </c>
    </row>
    <row r="3964" s="2" customFormat="1" ht="13.5" customHeight="1">
      <c r="B3964" s="13"/>
      <c r="C3964" t="s" s="9">
        <v>27</v>
      </c>
      <c r="D3964" t="s" s="8">
        <v>1355</v>
      </c>
      <c r="E3964" t="s" s="9">
        <v>1356</v>
      </c>
      <c r="F3964" t="s" s="10">
        <v>229</v>
      </c>
      <c r="G3964" t="s" s="11">
        <v>229</v>
      </c>
      <c r="H3964" t="s" s="10">
        <v>240</v>
      </c>
      <c r="I3964" t="s" s="11">
        <v>240</v>
      </c>
      <c r="J3964" t="s" s="11">
        <v>20</v>
      </c>
      <c r="K3964" s="15"/>
      <c r="L3964" t="s" s="16">
        <f>HYPERLINK("http://csr.bu.edu/ftp/asl/asllvd/demos/verify_start_end_handshape_annotations//test_auto_move//signs_mov_separ_signers/Naomi_864.mov","MOV")</f>
        <v>21</v>
      </c>
      <c r="M3964" t="s" s="10">
        <v>86</v>
      </c>
      <c r="N3964" s="17">
        <v>37</v>
      </c>
      <c r="O3964" s="18">
        <v>1017</v>
      </c>
      <c r="P3964" s="18">
        <v>1062</v>
      </c>
      <c r="Q3964" s="15"/>
      <c r="R3964" t="s" s="16">
        <f>HYPERLINK("http://secrets.rutgers.edu:8080/data/asl-ftp/asllvd/demos/verify_start_end_handshape_annotations//test_auto_move//signs_mov_separ_signers/Naomi_864.mov","MOV")</f>
        <v>21</v>
      </c>
    </row>
    <row r="3965" s="2" customFormat="1" ht="13.5" customHeight="1">
      <c r="B3965" s="13"/>
      <c r="C3965" t="s" s="9">
        <v>30</v>
      </c>
      <c r="D3965" t="s" s="8">
        <v>1355</v>
      </c>
      <c r="E3965" t="s" s="9">
        <v>1356</v>
      </c>
      <c r="F3965" t="s" s="10">
        <v>229</v>
      </c>
      <c r="G3965" t="s" s="11">
        <v>229</v>
      </c>
      <c r="H3965" t="s" s="10">
        <v>240</v>
      </c>
      <c r="I3965" t="s" s="11">
        <v>240</v>
      </c>
      <c r="J3965" t="s" s="11">
        <v>20</v>
      </c>
      <c r="K3965" s="15"/>
      <c r="L3965" t="s" s="16">
        <f>HYPERLINK("http://csr.bu.edu/ftp/asl/asllvd/demos/verify_start_end_handshape_annotations//test_auto_move//signs_mov_separ_signers/Brady_864.mov","MOV")</f>
        <v>21</v>
      </c>
      <c r="M3965" t="s" s="10">
        <v>39</v>
      </c>
      <c r="N3965" s="17">
        <v>15</v>
      </c>
      <c r="O3965" s="18">
        <v>2676</v>
      </c>
      <c r="P3965" s="18">
        <v>2703</v>
      </c>
      <c r="Q3965" s="15"/>
      <c r="R3965" t="s" s="16">
        <f>HYPERLINK("http://secrets.rutgers.edu:8080/data/asl-ftp/asllvd/demos/verify_start_end_handshape_annotations//test_auto_move//signs_mov_separ_signers/Brady_864.mov","MOV")</f>
        <v>21</v>
      </c>
    </row>
    <row r="3966" s="2" customFormat="1" ht="13.5" customHeight="1">
      <c r="B3966" t="s" s="8">
        <v>1357</v>
      </c>
      <c r="C3966" t="s" s="9">
        <v>14</v>
      </c>
      <c r="D3966" t="s" s="8">
        <v>14</v>
      </c>
      <c r="E3966" t="s" s="9">
        <v>14</v>
      </c>
      <c r="F3966" t="s" s="10">
        <v>14</v>
      </c>
      <c r="G3966" t="s" s="11">
        <v>14</v>
      </c>
      <c r="H3966" t="s" s="10">
        <v>14</v>
      </c>
      <c r="I3966" t="s" s="11">
        <v>14</v>
      </c>
      <c r="J3966" t="s" s="11">
        <v>14</v>
      </c>
      <c r="K3966" t="s" s="12">
        <v>14</v>
      </c>
      <c r="L3966" t="s" s="12">
        <v>14</v>
      </c>
      <c r="M3966" t="s" s="10">
        <v>14</v>
      </c>
      <c r="N3966" t="s" s="11">
        <v>14</v>
      </c>
      <c r="O3966" t="s" s="8">
        <v>14</v>
      </c>
      <c r="P3966" t="s" s="8">
        <v>14</v>
      </c>
      <c r="Q3966" t="s" s="12">
        <v>14</v>
      </c>
      <c r="R3966" t="s" s="12">
        <v>14</v>
      </c>
    </row>
    <row r="3967" s="2" customFormat="1" ht="13.5" customHeight="1">
      <c r="B3967" s="13"/>
      <c r="C3967" t="s" s="9">
        <v>16</v>
      </c>
      <c r="D3967" t="s" s="8">
        <v>1357</v>
      </c>
      <c r="E3967" t="s" s="9">
        <v>1358</v>
      </c>
      <c r="F3967" s="19">
        <v>1</v>
      </c>
      <c r="G3967" s="14"/>
      <c r="H3967" s="19">
        <v>1</v>
      </c>
      <c r="I3967" s="14"/>
      <c r="J3967" t="s" s="11">
        <v>20</v>
      </c>
      <c r="K3967" s="15"/>
      <c r="L3967" t="s" s="16">
        <f>HYPERLINK("http://csr.bu.edu/ftp/asl/asllvd/demos/verify_start_end_handshape_annotations//test_auto_move//signs_mov_separ_signers/Liz_865.mov","MOV")</f>
        <v>21</v>
      </c>
      <c r="M3967" t="s" s="10">
        <v>84</v>
      </c>
      <c r="N3967" s="17">
        <v>37</v>
      </c>
      <c r="O3967" s="18">
        <v>1320</v>
      </c>
      <c r="P3967" s="18">
        <v>1371</v>
      </c>
      <c r="Q3967" s="15"/>
      <c r="R3967" t="s" s="16">
        <f>HYPERLINK("http://secrets.rutgers.edu:8080/data/asl-ftp/asllvd/demos/verify_start_end_handshape_annotations//test_auto_move//signs_mov_separ_signers/Liz_865.mov","MOV")</f>
        <v>21</v>
      </c>
    </row>
    <row r="3968" s="2" customFormat="1" ht="13.5" customHeight="1">
      <c r="B3968" s="13"/>
      <c r="C3968" t="s" s="9">
        <v>16</v>
      </c>
      <c r="D3968" t="s" s="8">
        <v>1357</v>
      </c>
      <c r="E3968" t="s" s="9">
        <v>1358</v>
      </c>
      <c r="F3968" s="19">
        <v>1</v>
      </c>
      <c r="G3968" s="14"/>
      <c r="H3968" s="19">
        <v>1</v>
      </c>
      <c r="I3968" s="14"/>
      <c r="J3968" t="s" s="11">
        <v>20</v>
      </c>
      <c r="K3968" s="15"/>
      <c r="L3968" t="s" s="16">
        <f>HYPERLINK("http://csr.bu.edu/ftp/asl/asllvd/demos/verify_start_end_handshape_annotations//test_auto_move//signs_mov_separ_signers/Liz_3676.mov","MOV")</f>
        <v>21</v>
      </c>
      <c r="M3968" t="s" s="10">
        <v>34</v>
      </c>
      <c r="N3968" s="17">
        <v>53</v>
      </c>
      <c r="O3968" s="18">
        <v>4475</v>
      </c>
      <c r="P3968" s="18">
        <v>4525</v>
      </c>
      <c r="Q3968" s="15"/>
      <c r="R3968" t="s" s="16">
        <f>HYPERLINK("http://secrets.rutgers.edu:8080/data/asl-ftp/asllvd/demos/verify_start_end_handshape_annotations//test_auto_move//signs_mov_separ_signers/Liz_3676.mov","MOV")</f>
        <v>21</v>
      </c>
    </row>
    <row r="3969" s="2" customFormat="1" ht="13.5" customHeight="1">
      <c r="B3969" s="13"/>
      <c r="C3969" t="s" s="9">
        <v>23</v>
      </c>
      <c r="D3969" t="s" s="8">
        <v>1357</v>
      </c>
      <c r="E3969" t="s" s="9">
        <v>1358</v>
      </c>
      <c r="F3969" s="19">
        <v>1</v>
      </c>
      <c r="G3969" s="14"/>
      <c r="H3969" s="19">
        <v>1</v>
      </c>
      <c r="I3969" s="14"/>
      <c r="J3969" t="s" s="11">
        <v>20</v>
      </c>
      <c r="K3969" s="15"/>
      <c r="L3969" t="s" s="16">
        <f>HYPERLINK("http://csr.bu.edu/ftp/asl/asllvd/demos/verify_start_end_handshape_annotations//test_auto_move//signs_mov_separ_signers/Tyler_865.mov","MOV")</f>
        <v>21</v>
      </c>
      <c r="M3969" t="s" s="10">
        <v>92</v>
      </c>
      <c r="N3969" s="17">
        <v>17</v>
      </c>
      <c r="O3969" s="18">
        <v>1990</v>
      </c>
      <c r="P3969" s="18">
        <v>2050</v>
      </c>
      <c r="Q3969" s="15"/>
      <c r="R3969" t="s" s="16">
        <f>HYPERLINK("http://secrets.rutgers.edu:8080/data/asl-ftp/asllvd/demos/verify_start_end_handshape_annotations//test_auto_move//signs_mov_separ_signers/Tyler_865.mov","MOV")</f>
        <v>21</v>
      </c>
    </row>
    <row r="3970" s="2" customFormat="1" ht="13.5" customHeight="1">
      <c r="B3970" s="13"/>
      <c r="C3970" t="s" s="9">
        <v>27</v>
      </c>
      <c r="D3970" t="s" s="8">
        <v>1357</v>
      </c>
      <c r="E3970" t="s" s="9">
        <v>1357</v>
      </c>
      <c r="F3970" s="19">
        <v>1</v>
      </c>
      <c r="G3970" s="14"/>
      <c r="H3970" s="19">
        <v>1</v>
      </c>
      <c r="I3970" s="14"/>
      <c r="J3970" t="s" s="11">
        <v>20</v>
      </c>
      <c r="K3970" t="s" s="16">
        <f>HYPERLINK("http://csr.bu.edu/ftp/asl/asllvd/demos/verify_start_end_handshape_annotations//test_auto_move//signs_mov/865_3676_merged.mov","MOV")</f>
        <v>21</v>
      </c>
      <c r="L3970" t="s" s="16">
        <f>HYPERLINK("http://csr.bu.edu/ftp/asl/asllvd/demos/verify_start_end_handshape_annotations//test_auto_move//signs_mov_separ_signers/Naomi_865.mov","MOV")</f>
        <v>21</v>
      </c>
      <c r="M3970" t="s" s="10">
        <v>86</v>
      </c>
      <c r="N3970" s="17">
        <v>37</v>
      </c>
      <c r="O3970" s="18">
        <v>1255</v>
      </c>
      <c r="P3970" s="18">
        <v>1285</v>
      </c>
      <c r="Q3970" t="s" s="16">
        <f>HYPERLINK("http://secrets.rutgers.edu:8080/data/asl-ftp/asllvd/demos/verify_start_end_handshape_annotations//test_auto_move//signs_mov/865_3676_merged.mov","MOV")</f>
        <v>21</v>
      </c>
      <c r="R3970" t="s" s="16">
        <f>HYPERLINK("http://secrets.rutgers.edu:8080/data/asl-ftp/asllvd/demos/verify_start_end_handshape_annotations//test_auto_move//signs_mov_separ_signers/Naomi_865.mov","MOV")</f>
        <v>21</v>
      </c>
    </row>
    <row r="3971" s="2" customFormat="1" ht="13.5" customHeight="1">
      <c r="B3971" s="13"/>
      <c r="C3971" t="s" s="9">
        <v>27</v>
      </c>
      <c r="D3971" t="s" s="8">
        <v>1357</v>
      </c>
      <c r="E3971" t="s" s="9">
        <v>1357</v>
      </c>
      <c r="F3971" s="19">
        <v>1</v>
      </c>
      <c r="G3971" s="14"/>
      <c r="H3971" s="19">
        <v>1</v>
      </c>
      <c r="I3971" s="14"/>
      <c r="J3971" t="s" s="11">
        <v>20</v>
      </c>
      <c r="K3971" s="15"/>
      <c r="L3971" t="s" s="16">
        <f>HYPERLINK("http://csr.bu.edu/ftp/asl/asllvd/demos/verify_start_end_handshape_annotations//test_auto_move//signs_mov_separ_signers/Naomi_3676.mov","MOV")</f>
        <v>21</v>
      </c>
      <c r="M3971" t="s" s="10">
        <v>48</v>
      </c>
      <c r="N3971" s="17">
        <v>8</v>
      </c>
      <c r="O3971" s="18">
        <v>2972</v>
      </c>
      <c r="P3971" s="18">
        <v>3001</v>
      </c>
      <c r="Q3971" s="15"/>
      <c r="R3971" t="s" s="16">
        <f>HYPERLINK("http://secrets.rutgers.edu:8080/data/asl-ftp/asllvd/demos/verify_start_end_handshape_annotations//test_auto_move//signs_mov_separ_signers/Naomi_3676.mov","MOV")</f>
        <v>21</v>
      </c>
    </row>
    <row r="3972" s="2" customFormat="1" ht="13.5" customHeight="1">
      <c r="B3972" s="13"/>
      <c r="C3972" t="s" s="9">
        <v>30</v>
      </c>
      <c r="D3972" t="s" s="8">
        <v>1357</v>
      </c>
      <c r="E3972" t="s" s="9">
        <v>1358</v>
      </c>
      <c r="F3972" s="19">
        <v>1</v>
      </c>
      <c r="G3972" s="14"/>
      <c r="H3972" s="19">
        <v>1</v>
      </c>
      <c r="I3972" s="14"/>
      <c r="J3972" t="s" s="11">
        <v>20</v>
      </c>
      <c r="K3972" s="15"/>
      <c r="L3972" t="s" s="16">
        <f>HYPERLINK("http://csr.bu.edu/ftp/asl/asllvd/demos/verify_start_end_handshape_annotations//test_auto_move//signs_mov_separ_signers/Brady_865.mov","MOV")</f>
        <v>21</v>
      </c>
      <c r="M3972" t="s" s="10">
        <v>39</v>
      </c>
      <c r="N3972" s="17">
        <v>15</v>
      </c>
      <c r="O3972" s="18">
        <v>3316</v>
      </c>
      <c r="P3972" s="18">
        <v>3360</v>
      </c>
      <c r="Q3972" s="15"/>
      <c r="R3972" t="s" s="16">
        <f>HYPERLINK("http://secrets.rutgers.edu:8080/data/asl-ftp/asllvd/demos/verify_start_end_handshape_annotations//test_auto_move//signs_mov_separ_signers/Brady_865.mov","MOV")</f>
        <v>21</v>
      </c>
    </row>
    <row r="3973" s="2" customFormat="1" ht="13.5" customHeight="1">
      <c r="B3973" s="13"/>
      <c r="C3973" t="s" s="9">
        <v>30</v>
      </c>
      <c r="D3973" t="s" s="8">
        <v>1357</v>
      </c>
      <c r="E3973" t="s" s="9">
        <v>1358</v>
      </c>
      <c r="F3973" s="19">
        <v>1</v>
      </c>
      <c r="G3973" s="14"/>
      <c r="H3973" s="19">
        <v>1</v>
      </c>
      <c r="I3973" s="14"/>
      <c r="J3973" t="s" s="11">
        <v>20</v>
      </c>
      <c r="K3973" s="15"/>
      <c r="L3973" t="s" s="16">
        <f>HYPERLINK("http://csr.bu.edu/ftp/asl/asllvd/demos/verify_start_end_handshape_annotations//test_auto_move//signs_mov_separ_signers/Brady_3676.mov","MOV")</f>
        <v>21</v>
      </c>
      <c r="M3973" t="s" s="10">
        <v>39</v>
      </c>
      <c r="N3973" s="17">
        <v>51</v>
      </c>
      <c r="O3973" s="18">
        <v>4535</v>
      </c>
      <c r="P3973" s="18">
        <v>4575</v>
      </c>
      <c r="Q3973" s="15"/>
      <c r="R3973" t="s" s="16">
        <f>HYPERLINK("http://secrets.rutgers.edu:8080/data/asl-ftp/asllvd/demos/verify_start_end_handshape_annotations//test_auto_move//signs_mov_separ_signers/Brady_3676.mov","MOV")</f>
        <v>21</v>
      </c>
    </row>
    <row r="3974" s="2" customFormat="1" ht="13.5" customHeight="1">
      <c r="B3974" t="s" s="8">
        <v>52</v>
      </c>
      <c r="C3974" t="s" s="9">
        <v>53</v>
      </c>
      <c r="D3974" t="s" s="8">
        <v>53</v>
      </c>
      <c r="E3974" t="s" s="9">
        <v>53</v>
      </c>
      <c r="F3974" t="s" s="10">
        <v>53</v>
      </c>
      <c r="G3974" t="s" s="11">
        <v>53</v>
      </c>
      <c r="H3974" t="s" s="10">
        <v>53</v>
      </c>
      <c r="I3974" t="s" s="11">
        <v>53</v>
      </c>
      <c r="J3974" t="s" s="11">
        <v>53</v>
      </c>
      <c r="K3974" t="s" s="12">
        <v>53</v>
      </c>
      <c r="L3974" t="s" s="12">
        <v>53</v>
      </c>
      <c r="M3974" t="s" s="10">
        <v>53</v>
      </c>
      <c r="N3974" t="s" s="11">
        <v>53</v>
      </c>
      <c r="O3974" t="s" s="8">
        <v>53</v>
      </c>
      <c r="P3974" t="s" s="8">
        <v>53</v>
      </c>
      <c r="Q3974" t="s" s="12">
        <v>53</v>
      </c>
      <c r="R3974" t="s" s="12">
        <v>53</v>
      </c>
    </row>
    <row r="3975" s="2" customFormat="1" ht="13.5" customHeight="1">
      <c r="B3975" s="13"/>
      <c r="C3975" t="s" s="9">
        <v>16</v>
      </c>
      <c r="D3975" t="s" s="8">
        <v>1357</v>
      </c>
      <c r="E3975" t="s" s="9">
        <v>1359</v>
      </c>
      <c r="F3975" s="19">
        <v>5</v>
      </c>
      <c r="G3975" s="14"/>
      <c r="H3975" s="19">
        <v>5</v>
      </c>
      <c r="I3975" s="14"/>
      <c r="J3975" t="s" s="11">
        <v>20</v>
      </c>
      <c r="K3975" s="15"/>
      <c r="L3975" t="s" s="16">
        <f>HYPERLINK("http://csr.bu.edu/ftp/asl/asllvd/demos/verify_start_end_handshape_annotations//test_auto_move//signs_mov_separ_signers/Liz_15924.mov","MOV")</f>
        <v>21</v>
      </c>
      <c r="M3975" t="s" s="10">
        <v>34</v>
      </c>
      <c r="N3975" s="17">
        <v>53</v>
      </c>
      <c r="O3975" s="18">
        <v>4165</v>
      </c>
      <c r="P3975" s="18">
        <v>4225</v>
      </c>
      <c r="Q3975" s="15"/>
      <c r="R3975" t="s" s="16">
        <f>HYPERLINK("http://secrets.rutgers.edu:8080/data/asl-ftp/asllvd/demos/verify_start_end_handshape_annotations//test_auto_move//signs_mov_separ_signers/Liz_15924.mov","MOV")</f>
        <v>21</v>
      </c>
    </row>
    <row r="3976" s="2" customFormat="1" ht="13.5" customHeight="1">
      <c r="B3976" s="13"/>
      <c r="C3976" t="s" s="9">
        <v>23</v>
      </c>
      <c r="D3976" t="s" s="8">
        <v>1357</v>
      </c>
      <c r="E3976" t="s" s="9">
        <v>1359</v>
      </c>
      <c r="F3976" s="19">
        <v>5</v>
      </c>
      <c r="G3976" s="14"/>
      <c r="H3976" s="19">
        <v>5</v>
      </c>
      <c r="I3976" s="14"/>
      <c r="J3976" t="s" s="11">
        <v>20</v>
      </c>
      <c r="K3976" t="s" s="16">
        <f>HYPERLINK("http://csr.bu.edu/ftp/asl/asllvd/demos/verify_start_end_handshape_annotations//test_auto_move//signs_mov/15924.mov","MOV")</f>
        <v>21</v>
      </c>
      <c r="L3976" t="s" s="16">
        <f>HYPERLINK("http://csr.bu.edu/ftp/asl/asllvd/demos/verify_start_end_handshape_annotations//test_auto_move//signs_mov_separ_signers/Tyler_15924.mov","MOV")</f>
        <v>21</v>
      </c>
      <c r="M3976" t="s" s="10">
        <v>47</v>
      </c>
      <c r="N3976" s="17">
        <v>5</v>
      </c>
      <c r="O3976" s="18">
        <v>2645</v>
      </c>
      <c r="P3976" s="18">
        <v>2687</v>
      </c>
      <c r="Q3976" t="s" s="16">
        <f>HYPERLINK("http://secrets.rutgers.edu:8080/data/asl-ftp/asllvd/demos/verify_start_end_handshape_annotations//test_auto_move//signs_mov/15924.mov","MOV")</f>
        <v>21</v>
      </c>
      <c r="R3976" t="s" s="16">
        <f>HYPERLINK("http://secrets.rutgers.edu:8080/data/asl-ftp/asllvd/demos/verify_start_end_handshape_annotations//test_auto_move//signs_mov_separ_signers/Tyler_15924.mov","MOV")</f>
        <v>21</v>
      </c>
    </row>
    <row r="3977" s="2" customFormat="1" ht="13.5" customHeight="1">
      <c r="B3977" s="13"/>
      <c r="C3977" t="s" s="9">
        <v>27</v>
      </c>
      <c r="D3977" t="s" s="8">
        <v>1357</v>
      </c>
      <c r="E3977" t="s" s="9">
        <v>1359</v>
      </c>
      <c r="F3977" s="19">
        <v>5</v>
      </c>
      <c r="G3977" s="14"/>
      <c r="H3977" s="19">
        <v>5</v>
      </c>
      <c r="I3977" s="14"/>
      <c r="J3977" t="s" s="11">
        <v>20</v>
      </c>
      <c r="K3977" s="15"/>
      <c r="L3977" t="s" s="16">
        <f>HYPERLINK("http://csr.bu.edu/ftp/asl/asllvd/demos/verify_start_end_handshape_annotations//test_auto_move//signs_mov_separ_signers/Naomi_15924.mov","MOV")</f>
        <v>21</v>
      </c>
      <c r="M3977" t="s" s="10">
        <v>48</v>
      </c>
      <c r="N3977" s="17">
        <v>8</v>
      </c>
      <c r="O3977" s="18">
        <v>2665</v>
      </c>
      <c r="P3977" s="18">
        <v>2725</v>
      </c>
      <c r="Q3977" s="15"/>
      <c r="R3977" t="s" s="16">
        <f>HYPERLINK("http://secrets.rutgers.edu:8080/data/asl-ftp/asllvd/demos/verify_start_end_handshape_annotations//test_auto_move//signs_mov_separ_signers/Naomi_15924.mov","MOV")</f>
        <v>21</v>
      </c>
    </row>
    <row r="3978" s="2" customFormat="1" ht="13.5" customHeight="1">
      <c r="B3978" s="13"/>
      <c r="C3978" t="s" s="9">
        <v>30</v>
      </c>
      <c r="D3978" t="s" s="8">
        <v>1357</v>
      </c>
      <c r="E3978" t="s" s="9">
        <v>1359</v>
      </c>
      <c r="F3978" s="19">
        <v>5</v>
      </c>
      <c r="G3978" s="14"/>
      <c r="H3978" s="19">
        <v>5</v>
      </c>
      <c r="I3978" s="14"/>
      <c r="J3978" t="s" s="11">
        <v>20</v>
      </c>
      <c r="K3978" s="15"/>
      <c r="L3978" t="s" s="16">
        <f>HYPERLINK("http://csr.bu.edu/ftp/asl/asllvd/demos/verify_start_end_handshape_annotations//test_auto_move//signs_mov_separ_signers/Brady_15924.mov","MOV")</f>
        <v>21</v>
      </c>
      <c r="M3978" t="s" s="10">
        <v>39</v>
      </c>
      <c r="N3978" s="17">
        <v>51</v>
      </c>
      <c r="O3978" s="18">
        <v>4310</v>
      </c>
      <c r="P3978" s="18">
        <v>4351</v>
      </c>
      <c r="Q3978" s="15"/>
      <c r="R3978" t="s" s="16">
        <f>HYPERLINK("http://secrets.rutgers.edu:8080/data/asl-ftp/asllvd/demos/verify_start_end_handshape_annotations//test_auto_move//signs_mov_separ_signers/Brady_15924.mov","MOV")</f>
        <v>21</v>
      </c>
    </row>
    <row r="3979" s="2" customFormat="1" ht="13.5" customHeight="1">
      <c r="B3979" t="s" s="8">
        <v>1360</v>
      </c>
      <c r="C3979" t="s" s="9">
        <v>14</v>
      </c>
      <c r="D3979" t="s" s="8">
        <v>14</v>
      </c>
      <c r="E3979" t="s" s="9">
        <v>14</v>
      </c>
      <c r="F3979" t="s" s="10">
        <v>14</v>
      </c>
      <c r="G3979" t="s" s="11">
        <v>14</v>
      </c>
      <c r="H3979" t="s" s="10">
        <v>14</v>
      </c>
      <c r="I3979" t="s" s="11">
        <v>14</v>
      </c>
      <c r="J3979" t="s" s="11">
        <v>14</v>
      </c>
      <c r="K3979" t="s" s="12">
        <v>14</v>
      </c>
      <c r="L3979" t="s" s="12">
        <v>14</v>
      </c>
      <c r="M3979" t="s" s="10">
        <v>14</v>
      </c>
      <c r="N3979" t="s" s="11">
        <v>14</v>
      </c>
      <c r="O3979" t="s" s="8">
        <v>14</v>
      </c>
      <c r="P3979" t="s" s="8">
        <v>14</v>
      </c>
      <c r="Q3979" t="s" s="12">
        <v>14</v>
      </c>
      <c r="R3979" t="s" s="12">
        <v>14</v>
      </c>
    </row>
    <row r="3980" s="2" customFormat="1" ht="13.5" customHeight="1">
      <c r="B3980" s="13"/>
      <c r="C3980" t="s" s="9">
        <v>16</v>
      </c>
      <c r="D3980" t="s" s="8">
        <v>1360</v>
      </c>
      <c r="E3980" t="s" s="9">
        <v>1361</v>
      </c>
      <c r="F3980" t="s" s="10">
        <v>65</v>
      </c>
      <c r="G3980" t="s" s="11">
        <v>65</v>
      </c>
      <c r="H3980" t="s" s="10">
        <v>65</v>
      </c>
      <c r="I3980" t="s" s="11">
        <v>65</v>
      </c>
      <c r="J3980" t="s" s="11">
        <v>20</v>
      </c>
      <c r="K3980" s="15"/>
      <c r="L3980" t="s" s="16">
        <f>HYPERLINK("http://csr.bu.edu/ftp/asl/asllvd/demos/verify_start_end_handshape_annotations//test_auto_move//signs_mov_separ_signers/Liz_866.mov","MOV")</f>
        <v>21</v>
      </c>
      <c r="M3980" t="s" s="10">
        <v>84</v>
      </c>
      <c r="N3980" s="17">
        <v>37</v>
      </c>
      <c r="O3980" s="18">
        <v>1555</v>
      </c>
      <c r="P3980" s="18">
        <v>1597</v>
      </c>
      <c r="Q3980" s="15"/>
      <c r="R3980" t="s" s="16">
        <f>HYPERLINK("http://secrets.rutgers.edu:8080/data/asl-ftp/asllvd/demos/verify_start_end_handshape_annotations//test_auto_move//signs_mov_separ_signers/Liz_866.mov","MOV")</f>
        <v>21</v>
      </c>
    </row>
    <row r="3981" s="2" customFormat="1" ht="13.5" customHeight="1">
      <c r="B3981" s="13"/>
      <c r="C3981" t="s" s="9">
        <v>23</v>
      </c>
      <c r="D3981" t="s" s="8">
        <v>1360</v>
      </c>
      <c r="E3981" t="s" s="9">
        <v>1361</v>
      </c>
      <c r="F3981" t="s" s="10">
        <v>255</v>
      </c>
      <c r="G3981" t="s" s="11">
        <v>255</v>
      </c>
      <c r="H3981" t="s" s="10">
        <v>255</v>
      </c>
      <c r="I3981" t="s" s="11">
        <v>255</v>
      </c>
      <c r="J3981" t="s" s="11">
        <v>20</v>
      </c>
      <c r="K3981" s="15"/>
      <c r="L3981" t="s" s="16">
        <f>HYPERLINK("http://csr.bu.edu/ftp/asl/asllvd/demos/verify_start_end_handshape_annotations//test_auto_move//signs_mov_separ_signers/Tyler_866.mov","MOV")</f>
        <v>21</v>
      </c>
      <c r="M3981" t="s" s="10">
        <v>92</v>
      </c>
      <c r="N3981" s="17">
        <v>17</v>
      </c>
      <c r="O3981" s="18">
        <v>2240</v>
      </c>
      <c r="P3981" s="18">
        <v>2285</v>
      </c>
      <c r="Q3981" s="15"/>
      <c r="R3981" t="s" s="16">
        <f>HYPERLINK("http://secrets.rutgers.edu:8080/data/asl-ftp/asllvd/demos/verify_start_end_handshape_annotations//test_auto_move//signs_mov_separ_signers/Tyler_866.mov","MOV")</f>
        <v>21</v>
      </c>
    </row>
    <row r="3982" s="2" customFormat="1" ht="13.5" customHeight="1">
      <c r="B3982" s="13"/>
      <c r="C3982" t="s" s="9">
        <v>27</v>
      </c>
      <c r="D3982" t="s" s="8">
        <v>1360</v>
      </c>
      <c r="E3982" t="s" s="9">
        <v>1361</v>
      </c>
      <c r="F3982" t="s" s="10">
        <v>65</v>
      </c>
      <c r="G3982" t="s" s="11">
        <v>65</v>
      </c>
      <c r="H3982" t="s" s="10">
        <v>65</v>
      </c>
      <c r="I3982" t="s" s="11">
        <v>65</v>
      </c>
      <c r="J3982" t="s" s="11">
        <v>20</v>
      </c>
      <c r="K3982" t="s" s="16">
        <f>HYPERLINK("http://csr.bu.edu/ftp/asl/asllvd/demos/verify_start_end_handshape_annotations//test_auto_move//signs_mov/866_16382_merged.mov","MOV")</f>
        <v>21</v>
      </c>
      <c r="L3982" t="s" s="16">
        <f>HYPERLINK("http://csr.bu.edu/ftp/asl/asllvd/demos/verify_start_end_handshape_annotations//test_auto_move//signs_mov_separ_signers/Naomi_866.mov","MOV")</f>
        <v>21</v>
      </c>
      <c r="M3982" t="s" s="10">
        <v>86</v>
      </c>
      <c r="N3982" s="17">
        <v>37</v>
      </c>
      <c r="O3982" s="18">
        <v>1470</v>
      </c>
      <c r="P3982" s="18">
        <v>1507</v>
      </c>
      <c r="Q3982" t="s" s="16">
        <f>HYPERLINK("http://secrets.rutgers.edu:8080/data/asl-ftp/asllvd/demos/verify_start_end_handshape_annotations//test_auto_move//signs_mov/866_16382_merged.mov","MOV")</f>
        <v>21</v>
      </c>
      <c r="R3982" t="s" s="16">
        <f>HYPERLINK("http://secrets.rutgers.edu:8080/data/asl-ftp/asllvd/demos/verify_start_end_handshape_annotations//test_auto_move//signs_mov_separ_signers/Naomi_866.mov","MOV")</f>
        <v>21</v>
      </c>
    </row>
    <row r="3983" s="2" customFormat="1" ht="13.5" customHeight="1">
      <c r="B3983" s="13"/>
      <c r="C3983" t="s" s="9">
        <v>30</v>
      </c>
      <c r="D3983" t="s" s="8">
        <v>1360</v>
      </c>
      <c r="E3983" t="s" s="9">
        <v>1361</v>
      </c>
      <c r="F3983" t="s" s="10">
        <v>65</v>
      </c>
      <c r="G3983" t="s" s="11">
        <v>65</v>
      </c>
      <c r="H3983" t="s" s="10">
        <v>65</v>
      </c>
      <c r="I3983" t="s" s="11">
        <v>65</v>
      </c>
      <c r="J3983" t="s" s="11">
        <v>20</v>
      </c>
      <c r="K3983" s="15"/>
      <c r="L3983" t="s" s="16">
        <f>HYPERLINK("http://csr.bu.edu/ftp/asl/asllvd/demos/verify_start_end_handshape_annotations//test_auto_move//signs_mov_separ_signers/Brady_866.mov","MOV")</f>
        <v>21</v>
      </c>
      <c r="M3983" t="s" s="10">
        <v>39</v>
      </c>
      <c r="N3983" s="17">
        <v>15</v>
      </c>
      <c r="O3983" s="18">
        <v>4761</v>
      </c>
      <c r="P3983" s="18">
        <v>4802</v>
      </c>
      <c r="Q3983" s="15"/>
      <c r="R3983" t="s" s="16">
        <f>HYPERLINK("http://secrets.rutgers.edu:8080/data/asl-ftp/asllvd/demos/verify_start_end_handshape_annotations//test_auto_move//signs_mov_separ_signers/Brady_866.mov","MOV")</f>
        <v>21</v>
      </c>
    </row>
    <row r="3984" s="2" customFormat="1" ht="13.5" customHeight="1">
      <c r="B3984" s="13"/>
      <c r="C3984" t="s" s="9">
        <v>30</v>
      </c>
      <c r="D3984" t="s" s="8">
        <v>1360</v>
      </c>
      <c r="E3984" t="s" s="9">
        <v>1360</v>
      </c>
      <c r="F3984" t="s" s="10">
        <v>255</v>
      </c>
      <c r="G3984" t="s" s="11">
        <v>255</v>
      </c>
      <c r="H3984" t="s" s="10">
        <v>255</v>
      </c>
      <c r="I3984" t="s" s="11">
        <v>255</v>
      </c>
      <c r="J3984" t="s" s="11">
        <v>20</v>
      </c>
      <c r="K3984" s="15"/>
      <c r="L3984" t="s" s="16">
        <f>HYPERLINK("http://csr.bu.edu/ftp/asl/asllvd/demos/verify_start_end_handshape_annotations//test_auto_move//signs_mov_separ_signers/Brady_16382.mov","MOV")</f>
        <v>21</v>
      </c>
      <c r="M3984" t="s" s="10">
        <v>39</v>
      </c>
      <c r="N3984" s="17">
        <v>42</v>
      </c>
      <c r="O3984" s="18">
        <v>7441</v>
      </c>
      <c r="P3984" s="18">
        <v>7492</v>
      </c>
      <c r="Q3984" s="15"/>
      <c r="R3984" t="s" s="16">
        <f>HYPERLINK("http://secrets.rutgers.edu:8080/data/asl-ftp/asllvd/demos/verify_start_end_handshape_annotations//test_auto_move//signs_mov_separ_signers/Brady_16382.mov","MOV")</f>
        <v>21</v>
      </c>
    </row>
    <row r="3985" s="2" customFormat="1" ht="13.5" customHeight="1">
      <c r="B3985" t="s" s="8">
        <v>1362</v>
      </c>
      <c r="C3985" t="s" s="9">
        <v>14</v>
      </c>
      <c r="D3985" t="s" s="8">
        <v>14</v>
      </c>
      <c r="E3985" t="s" s="9">
        <v>14</v>
      </c>
      <c r="F3985" t="s" s="10">
        <v>14</v>
      </c>
      <c r="G3985" t="s" s="11">
        <v>14</v>
      </c>
      <c r="H3985" t="s" s="10">
        <v>14</v>
      </c>
      <c r="I3985" t="s" s="11">
        <v>14</v>
      </c>
      <c r="J3985" t="s" s="11">
        <v>14</v>
      </c>
      <c r="K3985" t="s" s="12">
        <v>14</v>
      </c>
      <c r="L3985" t="s" s="12">
        <v>14</v>
      </c>
      <c r="M3985" t="s" s="10">
        <v>14</v>
      </c>
      <c r="N3985" t="s" s="11">
        <v>14</v>
      </c>
      <c r="O3985" t="s" s="8">
        <v>14</v>
      </c>
      <c r="P3985" t="s" s="8">
        <v>14</v>
      </c>
      <c r="Q3985" t="s" s="12">
        <v>14</v>
      </c>
      <c r="R3985" t="s" s="12">
        <v>14</v>
      </c>
    </row>
    <row r="3986" s="2" customFormat="1" ht="13.5" customHeight="1">
      <c r="B3986" s="13"/>
      <c r="C3986" t="s" s="9">
        <v>16</v>
      </c>
      <c r="D3986" t="s" s="8">
        <v>1362</v>
      </c>
      <c r="E3986" t="s" s="9">
        <v>1362</v>
      </c>
      <c r="F3986" s="19">
        <v>5</v>
      </c>
      <c r="G3986" s="14"/>
      <c r="H3986" s="19">
        <v>5</v>
      </c>
      <c r="I3986" s="14"/>
      <c r="J3986" t="s" s="11">
        <v>20</v>
      </c>
      <c r="K3986" s="15"/>
      <c r="L3986" t="s" s="16">
        <f>HYPERLINK("http://csr.bu.edu/ftp/asl/asllvd/demos/verify_start_end_handshape_annotations//test_auto_move//signs_mov_separ_signers/Liz_868.mov","MOV")</f>
        <v>21</v>
      </c>
      <c r="M3986" t="s" s="10">
        <v>84</v>
      </c>
      <c r="N3986" s="17">
        <v>37</v>
      </c>
      <c r="O3986" s="18">
        <v>2175</v>
      </c>
      <c r="P3986" s="18">
        <v>2200</v>
      </c>
      <c r="Q3986" s="15"/>
      <c r="R3986" t="s" s="16">
        <f>HYPERLINK("http://secrets.rutgers.edu:8080/data/asl-ftp/asllvd/demos/verify_start_end_handshape_annotations//test_auto_move//signs_mov_separ_signers/Liz_868.mov","MOV")</f>
        <v>21</v>
      </c>
    </row>
    <row r="3987" s="2" customFormat="1" ht="13.5" customHeight="1">
      <c r="B3987" s="13"/>
      <c r="C3987" t="s" s="9">
        <v>23</v>
      </c>
      <c r="D3987" t="s" s="8">
        <v>1362</v>
      </c>
      <c r="E3987" t="s" s="9">
        <v>1362</v>
      </c>
      <c r="F3987" s="19">
        <v>5</v>
      </c>
      <c r="G3987" s="14"/>
      <c r="H3987" s="19">
        <v>5</v>
      </c>
      <c r="I3987" s="14"/>
      <c r="J3987" t="s" s="11">
        <v>20</v>
      </c>
      <c r="K3987" t="s" s="16">
        <f>HYPERLINK("http://csr.bu.edu/ftp/asl/asllvd/demos/verify_start_end_handshape_annotations//test_auto_move//signs_mov/868.mov","MOV")</f>
        <v>21</v>
      </c>
      <c r="L3987" t="s" s="16">
        <f>HYPERLINK("http://csr.bu.edu/ftp/asl/asllvd/demos/verify_start_end_handshape_annotations//test_auto_move//signs_mov_separ_signers/Tyler_868.mov","MOV")</f>
        <v>21</v>
      </c>
      <c r="M3987" t="s" s="10">
        <v>92</v>
      </c>
      <c r="N3987" s="17">
        <v>17</v>
      </c>
      <c r="O3987" s="18">
        <v>2805</v>
      </c>
      <c r="P3987" s="18">
        <v>2840</v>
      </c>
      <c r="Q3987" t="s" s="16">
        <f>HYPERLINK("http://secrets.rutgers.edu:8080/data/asl-ftp/asllvd/demos/verify_start_end_handshape_annotations//test_auto_move//signs_mov/868.mov","MOV")</f>
        <v>21</v>
      </c>
      <c r="R3987" t="s" s="16">
        <f>HYPERLINK("http://secrets.rutgers.edu:8080/data/asl-ftp/asllvd/demos/verify_start_end_handshape_annotations//test_auto_move//signs_mov_separ_signers/Tyler_868.mov","MOV")</f>
        <v>21</v>
      </c>
    </row>
    <row r="3988" s="2" customFormat="1" ht="13.5" customHeight="1">
      <c r="B3988" s="13"/>
      <c r="C3988" t="s" s="9">
        <v>27</v>
      </c>
      <c r="D3988" t="s" s="8">
        <v>1362</v>
      </c>
      <c r="E3988" t="s" s="9">
        <v>1362</v>
      </c>
      <c r="F3988" s="19">
        <v>5</v>
      </c>
      <c r="G3988" s="14"/>
      <c r="H3988" s="19">
        <v>5</v>
      </c>
      <c r="I3988" s="14"/>
      <c r="J3988" t="s" s="11">
        <v>20</v>
      </c>
      <c r="K3988" s="15"/>
      <c r="L3988" t="s" s="16">
        <f>HYPERLINK("http://csr.bu.edu/ftp/asl/asllvd/demos/verify_start_end_handshape_annotations//test_auto_move//signs_mov_separ_signers/Naomi_868.mov","MOV")</f>
        <v>21</v>
      </c>
      <c r="M3988" t="s" s="10">
        <v>86</v>
      </c>
      <c r="N3988" s="17">
        <v>37</v>
      </c>
      <c r="O3988" s="18">
        <v>2295</v>
      </c>
      <c r="P3988" s="18">
        <v>2325</v>
      </c>
      <c r="Q3988" s="15"/>
      <c r="R3988" t="s" s="16">
        <f>HYPERLINK("http://secrets.rutgers.edu:8080/data/asl-ftp/asllvd/demos/verify_start_end_handshape_annotations//test_auto_move//signs_mov_separ_signers/Naomi_868.mov","MOV")</f>
        <v>21</v>
      </c>
    </row>
    <row r="3989" s="2" customFormat="1" ht="13.5" customHeight="1">
      <c r="B3989" s="13"/>
      <c r="C3989" t="s" s="9">
        <v>30</v>
      </c>
      <c r="D3989" t="s" s="8">
        <v>1362</v>
      </c>
      <c r="E3989" t="s" s="9">
        <v>1362</v>
      </c>
      <c r="F3989" s="19">
        <v>5</v>
      </c>
      <c r="G3989" s="14"/>
      <c r="H3989" s="19">
        <v>5</v>
      </c>
      <c r="I3989" s="14"/>
      <c r="J3989" t="s" s="11">
        <v>20</v>
      </c>
      <c r="K3989" s="15"/>
      <c r="L3989" t="s" s="16">
        <f>HYPERLINK("http://csr.bu.edu/ftp/asl/asllvd/demos/verify_start_end_handshape_annotations//test_auto_move//signs_mov_separ_signers/Brady_868.mov","MOV")</f>
        <v>21</v>
      </c>
      <c r="M3989" t="s" s="10">
        <v>39</v>
      </c>
      <c r="N3989" s="17">
        <v>15</v>
      </c>
      <c r="O3989" s="18">
        <v>6346</v>
      </c>
      <c r="P3989" s="18">
        <v>6382</v>
      </c>
      <c r="Q3989" s="15"/>
      <c r="R3989" t="s" s="16">
        <f>HYPERLINK("http://secrets.rutgers.edu:8080/data/asl-ftp/asllvd/demos/verify_start_end_handshape_annotations//test_auto_move//signs_mov_separ_signers/Brady_868.mov","MOV")</f>
        <v>21</v>
      </c>
    </row>
    <row r="3990" s="2" customFormat="1" ht="13.5" customHeight="1">
      <c r="B3990" t="s" s="8">
        <v>1363</v>
      </c>
      <c r="C3990" t="s" s="9">
        <v>14</v>
      </c>
      <c r="D3990" t="s" s="8">
        <v>14</v>
      </c>
      <c r="E3990" t="s" s="9">
        <v>14</v>
      </c>
      <c r="F3990" t="s" s="10">
        <v>14</v>
      </c>
      <c r="G3990" t="s" s="11">
        <v>14</v>
      </c>
      <c r="H3990" t="s" s="10">
        <v>14</v>
      </c>
      <c r="I3990" t="s" s="11">
        <v>14</v>
      </c>
      <c r="J3990" t="s" s="11">
        <v>14</v>
      </c>
      <c r="K3990" t="s" s="12">
        <v>14</v>
      </c>
      <c r="L3990" t="s" s="12">
        <v>14</v>
      </c>
      <c r="M3990" t="s" s="10">
        <v>14</v>
      </c>
      <c r="N3990" t="s" s="11">
        <v>14</v>
      </c>
      <c r="O3990" t="s" s="8">
        <v>14</v>
      </c>
      <c r="P3990" t="s" s="8">
        <v>14</v>
      </c>
      <c r="Q3990" t="s" s="12">
        <v>14</v>
      </c>
      <c r="R3990" t="s" s="12">
        <v>14</v>
      </c>
    </row>
    <row r="3991" s="2" customFormat="1" ht="13.5" customHeight="1">
      <c r="B3991" s="13"/>
      <c r="C3991" t="s" s="9">
        <v>16</v>
      </c>
      <c r="D3991" t="s" s="8">
        <v>1363</v>
      </c>
      <c r="E3991" t="s" s="9">
        <v>1364</v>
      </c>
      <c r="F3991" s="19">
        <v>1</v>
      </c>
      <c r="G3991" t="s" s="11">
        <v>109</v>
      </c>
      <c r="H3991" s="19">
        <v>1</v>
      </c>
      <c r="I3991" t="s" s="11">
        <v>109</v>
      </c>
      <c r="J3991" t="s" s="11">
        <v>20</v>
      </c>
      <c r="K3991" s="15"/>
      <c r="L3991" t="s" s="16">
        <f>HYPERLINK("http://csr.bu.edu/ftp/asl/asllvd/demos/verify_start_end_handshape_annotations//test_auto_move//signs_mov_separ_signers/Liz_870.mov","MOV")</f>
        <v>21</v>
      </c>
      <c r="M3991" t="s" s="10">
        <v>84</v>
      </c>
      <c r="N3991" s="17">
        <v>38</v>
      </c>
      <c r="O3991" s="18">
        <v>271</v>
      </c>
      <c r="P3991" s="18">
        <v>307</v>
      </c>
      <c r="Q3991" s="15"/>
      <c r="R3991" t="s" s="16">
        <f>HYPERLINK("http://secrets.rutgers.edu:8080/data/asl-ftp/asllvd/demos/verify_start_end_handshape_annotations//test_auto_move//signs_mov_separ_signers/Liz_870.mov","MOV")</f>
        <v>21</v>
      </c>
    </row>
    <row r="3992" s="2" customFormat="1" ht="13.5" customHeight="1">
      <c r="B3992" s="13"/>
      <c r="C3992" t="s" s="9">
        <v>23</v>
      </c>
      <c r="D3992" t="s" s="8">
        <v>1363</v>
      </c>
      <c r="E3992" t="s" s="9">
        <v>1365</v>
      </c>
      <c r="F3992" s="19">
        <v>1</v>
      </c>
      <c r="G3992" t="s" s="11">
        <v>73</v>
      </c>
      <c r="H3992" s="19">
        <v>1</v>
      </c>
      <c r="I3992" t="s" s="11">
        <v>73</v>
      </c>
      <c r="J3992" t="s" s="11">
        <v>20</v>
      </c>
      <c r="K3992" t="s" s="16">
        <f>HYPERLINK("http://csr.bu.edu/ftp/asl/asllvd/demos/verify_start_end_handshape_annotations//test_auto_move//signs_mov/870.mov","MOV")</f>
        <v>21</v>
      </c>
      <c r="L3992" t="s" s="16">
        <f>HYPERLINK("http://csr.bu.edu/ftp/asl/asllvd/demos/verify_start_end_handshape_annotations//test_auto_move//signs_mov_separ_signers/Tyler_870.mov","MOV")</f>
        <v>21</v>
      </c>
      <c r="M3992" t="s" s="10">
        <v>92</v>
      </c>
      <c r="N3992" s="17">
        <v>17</v>
      </c>
      <c r="O3992" s="18">
        <v>3890</v>
      </c>
      <c r="P3992" s="18">
        <v>3931</v>
      </c>
      <c r="Q3992" t="s" s="16">
        <f>HYPERLINK("http://secrets.rutgers.edu:8080/data/asl-ftp/asllvd/demos/verify_start_end_handshape_annotations//test_auto_move//signs_mov/870.mov","MOV")</f>
        <v>21</v>
      </c>
      <c r="R3992" t="s" s="16">
        <f>HYPERLINK("http://secrets.rutgers.edu:8080/data/asl-ftp/asllvd/demos/verify_start_end_handshape_annotations//test_auto_move//signs_mov_separ_signers/Tyler_870.mov","MOV")</f>
        <v>21</v>
      </c>
    </row>
    <row r="3993" s="2" customFormat="1" ht="13.5" customHeight="1">
      <c r="B3993" s="13"/>
      <c r="C3993" t="s" s="9">
        <v>27</v>
      </c>
      <c r="D3993" t="s" s="8">
        <v>1363</v>
      </c>
      <c r="E3993" t="s" s="9">
        <v>1363</v>
      </c>
      <c r="F3993" s="19">
        <v>1</v>
      </c>
      <c r="G3993" t="s" s="11">
        <v>73</v>
      </c>
      <c r="H3993" s="19">
        <v>1</v>
      </c>
      <c r="I3993" t="s" s="11">
        <v>73</v>
      </c>
      <c r="J3993" t="s" s="11">
        <v>20</v>
      </c>
      <c r="K3993" s="15"/>
      <c r="L3993" t="s" s="16">
        <f>HYPERLINK("http://csr.bu.edu/ftp/asl/asllvd/demos/verify_start_end_handshape_annotations//test_auto_move//signs_mov_separ_signers/Naomi_870.mov","MOV")</f>
        <v>21</v>
      </c>
      <c r="M3993" t="s" s="10">
        <v>86</v>
      </c>
      <c r="N3993" s="17">
        <v>37</v>
      </c>
      <c r="O3993" s="18">
        <v>3661</v>
      </c>
      <c r="P3993" s="18">
        <v>3700</v>
      </c>
      <c r="Q3993" s="15"/>
      <c r="R3993" t="s" s="16">
        <f>HYPERLINK("http://secrets.rutgers.edu:8080/data/asl-ftp/asllvd/demos/verify_start_end_handshape_annotations//test_auto_move//signs_mov_separ_signers/Naomi_870.mov","MOV")</f>
        <v>21</v>
      </c>
    </row>
    <row r="3994" s="2" customFormat="1" ht="13.5" customHeight="1">
      <c r="B3994" s="13"/>
      <c r="C3994" t="s" s="9">
        <v>30</v>
      </c>
      <c r="D3994" t="s" s="8">
        <v>1363</v>
      </c>
      <c r="E3994" t="s" s="9">
        <v>1363</v>
      </c>
      <c r="F3994" s="19">
        <v>1</v>
      </c>
      <c r="G3994" t="s" s="11">
        <v>73</v>
      </c>
      <c r="H3994" s="19">
        <v>1</v>
      </c>
      <c r="I3994" t="s" s="11">
        <v>73</v>
      </c>
      <c r="J3994" t="s" s="11">
        <v>20</v>
      </c>
      <c r="K3994" s="15"/>
      <c r="L3994" t="s" s="16">
        <f>HYPERLINK("http://csr.bu.edu/ftp/asl/asllvd/demos/verify_start_end_handshape_annotations//test_auto_move//signs_mov_separ_signers/Brady_870.mov","MOV")</f>
        <v>21</v>
      </c>
      <c r="M3994" t="s" s="10">
        <v>39</v>
      </c>
      <c r="N3994" s="17">
        <v>15</v>
      </c>
      <c r="O3994" s="18">
        <v>7833</v>
      </c>
      <c r="P3994" s="18">
        <v>7871</v>
      </c>
      <c r="Q3994" s="15"/>
      <c r="R3994" t="s" s="16">
        <f>HYPERLINK("http://secrets.rutgers.edu:8080/data/asl-ftp/asllvd/demos/verify_start_end_handshape_annotations//test_auto_move//signs_mov_separ_signers/Brady_870.mov","MOV")</f>
        <v>21</v>
      </c>
    </row>
    <row r="3995" s="2" customFormat="1" ht="13.5" customHeight="1">
      <c r="B3995" t="s" s="8">
        <v>1366</v>
      </c>
      <c r="C3995" t="s" s="9">
        <v>14</v>
      </c>
      <c r="D3995" t="s" s="8">
        <v>14</v>
      </c>
      <c r="E3995" t="s" s="9">
        <v>14</v>
      </c>
      <c r="F3995" t="s" s="10">
        <v>14</v>
      </c>
      <c r="G3995" t="s" s="11">
        <v>14</v>
      </c>
      <c r="H3995" t="s" s="10">
        <v>14</v>
      </c>
      <c r="I3995" t="s" s="11">
        <v>14</v>
      </c>
      <c r="J3995" t="s" s="11">
        <v>14</v>
      </c>
      <c r="K3995" t="s" s="12">
        <v>14</v>
      </c>
      <c r="L3995" t="s" s="12">
        <v>14</v>
      </c>
      <c r="M3995" t="s" s="10">
        <v>14</v>
      </c>
      <c r="N3995" t="s" s="11">
        <v>14</v>
      </c>
      <c r="O3995" t="s" s="8">
        <v>14</v>
      </c>
      <c r="P3995" t="s" s="8">
        <v>14</v>
      </c>
      <c r="Q3995" t="s" s="12">
        <v>14</v>
      </c>
      <c r="R3995" t="s" s="12">
        <v>14</v>
      </c>
    </row>
    <row r="3996" s="2" customFormat="1" ht="13.5" customHeight="1">
      <c r="B3996" s="13"/>
      <c r="C3996" t="s" s="9">
        <v>41</v>
      </c>
      <c r="D3996" t="s" s="8">
        <v>1366</v>
      </c>
      <c r="E3996" t="s" s="9">
        <v>1366</v>
      </c>
      <c r="F3996" t="s" s="10">
        <v>229</v>
      </c>
      <c r="G3996" t="s" s="11">
        <v>73</v>
      </c>
      <c r="H3996" t="s" s="10">
        <v>229</v>
      </c>
      <c r="I3996" t="s" s="11">
        <v>73</v>
      </c>
      <c r="J3996" t="s" s="11">
        <v>20</v>
      </c>
      <c r="K3996" t="s" s="16">
        <f>HYPERLINK("http://csr.bu.edu/ftp/asl/asllvd/demos/verify_start_end_handshape_annotations//test_auto_move//signs_mov/871.mov","MOV")</f>
        <v>21</v>
      </c>
      <c r="L3996" t="s" s="16">
        <f>HYPERLINK("http://csr.bu.edu/ftp/asl/asllvd/demos/verify_start_end_handshape_annotations//test_auto_move//signs_mov_separ_signers/Lana_871.mov","MOV")</f>
        <v>21</v>
      </c>
      <c r="M3996" t="s" s="10">
        <v>42</v>
      </c>
      <c r="N3996" s="17">
        <v>9</v>
      </c>
      <c r="O3996" s="18">
        <v>1472</v>
      </c>
      <c r="P3996" s="18">
        <v>1490</v>
      </c>
      <c r="Q3996" t="s" s="16">
        <f>HYPERLINK("http://secrets.rutgers.edu:8080/data/asl-ftp/asllvd/demos/verify_start_end_handshape_annotations//test_auto_move//signs_mov/871.mov","MOV")</f>
        <v>21</v>
      </c>
      <c r="R3996" t="s" s="16">
        <f>HYPERLINK("http://secrets.rutgers.edu:8080/data/asl-ftp/asllvd/demos/verify_start_end_handshape_annotations//test_auto_move//signs_mov_separ_signers/Lana_871.mov","MOV")</f>
        <v>21</v>
      </c>
    </row>
    <row r="3997" s="2" customFormat="1" ht="13.5" customHeight="1">
      <c r="B3997" t="s" s="8">
        <v>52</v>
      </c>
      <c r="C3997" t="s" s="9">
        <v>53</v>
      </c>
      <c r="D3997" t="s" s="8">
        <v>53</v>
      </c>
      <c r="E3997" t="s" s="9">
        <v>53</v>
      </c>
      <c r="F3997" t="s" s="10">
        <v>53</v>
      </c>
      <c r="G3997" t="s" s="11">
        <v>53</v>
      </c>
      <c r="H3997" t="s" s="10">
        <v>53</v>
      </c>
      <c r="I3997" t="s" s="11">
        <v>53</v>
      </c>
      <c r="J3997" t="s" s="11">
        <v>53</v>
      </c>
      <c r="K3997" t="s" s="12">
        <v>53</v>
      </c>
      <c r="L3997" t="s" s="12">
        <v>53</v>
      </c>
      <c r="M3997" t="s" s="10">
        <v>53</v>
      </c>
      <c r="N3997" t="s" s="11">
        <v>53</v>
      </c>
      <c r="O3997" t="s" s="8">
        <v>53</v>
      </c>
      <c r="P3997" t="s" s="8">
        <v>53</v>
      </c>
      <c r="Q3997" t="s" s="12">
        <v>53</v>
      </c>
      <c r="R3997" t="s" s="12">
        <v>53</v>
      </c>
    </row>
    <row r="3998" s="2" customFormat="1" ht="13.5" customHeight="1">
      <c r="B3998" s="13"/>
      <c r="C3998" t="s" s="9">
        <v>23</v>
      </c>
      <c r="D3998" t="s" s="8">
        <v>1366</v>
      </c>
      <c r="E3998" t="s" s="9">
        <v>1367</v>
      </c>
      <c r="F3998" t="s" s="10">
        <v>229</v>
      </c>
      <c r="G3998" s="14"/>
      <c r="H3998" t="s" s="10">
        <v>229</v>
      </c>
      <c r="I3998" s="14"/>
      <c r="J3998" t="s" s="11">
        <v>20</v>
      </c>
      <c r="K3998" t="s" s="16">
        <f>HYPERLINK("http://csr.bu.edu/ftp/asl/asllvd/demos/verify_start_end_handshape_annotations//test_auto_move//signs_mov/3984.mov","MOV")</f>
        <v>21</v>
      </c>
      <c r="L3998" t="s" s="16">
        <f>HYPERLINK("http://csr.bu.edu/ftp/asl/asllvd/demos/verify_start_end_handshape_annotations//test_auto_move//signs_mov_separ_signers/Tyler_3984.mov","MOV")</f>
        <v>21</v>
      </c>
      <c r="M3998" t="s" s="10">
        <v>92</v>
      </c>
      <c r="N3998" s="17">
        <v>18</v>
      </c>
      <c r="O3998" s="18">
        <v>366</v>
      </c>
      <c r="P3998" s="18">
        <v>400</v>
      </c>
      <c r="Q3998" t="s" s="16">
        <f>HYPERLINK("http://secrets.rutgers.edu:8080/data/asl-ftp/asllvd/demos/verify_start_end_handshape_annotations//test_auto_move//signs_mov/3984.mov","MOV")</f>
        <v>21</v>
      </c>
      <c r="R3998" t="s" s="16">
        <f>HYPERLINK("http://secrets.rutgers.edu:8080/data/asl-ftp/asllvd/demos/verify_start_end_handshape_annotations//test_auto_move//signs_mov_separ_signers/Tyler_3984.mov","MOV")</f>
        <v>21</v>
      </c>
    </row>
    <row r="3999" s="2" customFormat="1" ht="13.5" customHeight="1">
      <c r="B3999" t="s" s="8">
        <v>52</v>
      </c>
      <c r="C3999" t="s" s="9">
        <v>53</v>
      </c>
      <c r="D3999" t="s" s="8">
        <v>53</v>
      </c>
      <c r="E3999" t="s" s="9">
        <v>53</v>
      </c>
      <c r="F3999" t="s" s="10">
        <v>53</v>
      </c>
      <c r="G3999" t="s" s="11">
        <v>53</v>
      </c>
      <c r="H3999" t="s" s="10">
        <v>53</v>
      </c>
      <c r="I3999" t="s" s="11">
        <v>53</v>
      </c>
      <c r="J3999" t="s" s="11">
        <v>53</v>
      </c>
      <c r="K3999" t="s" s="12">
        <v>53</v>
      </c>
      <c r="L3999" t="s" s="12">
        <v>53</v>
      </c>
      <c r="M3999" t="s" s="10">
        <v>53</v>
      </c>
      <c r="N3999" t="s" s="11">
        <v>53</v>
      </c>
      <c r="O3999" t="s" s="8">
        <v>53</v>
      </c>
      <c r="P3999" t="s" s="8">
        <v>53</v>
      </c>
      <c r="Q3999" t="s" s="12">
        <v>53</v>
      </c>
      <c r="R3999" t="s" s="12">
        <v>53</v>
      </c>
    </row>
    <row r="4000" s="2" customFormat="1" ht="13.5" customHeight="1">
      <c r="B4000" s="13"/>
      <c r="C4000" t="s" s="9">
        <v>16</v>
      </c>
      <c r="D4000" t="s" s="8">
        <v>1366</v>
      </c>
      <c r="E4000" t="s" s="9">
        <v>1368</v>
      </c>
      <c r="F4000" t="s" s="10">
        <v>229</v>
      </c>
      <c r="G4000" t="s" s="11">
        <v>73</v>
      </c>
      <c r="H4000" t="s" s="10">
        <v>229</v>
      </c>
      <c r="I4000" t="s" s="11">
        <v>73</v>
      </c>
      <c r="J4000" t="s" s="11">
        <v>20</v>
      </c>
      <c r="K4000" s="15"/>
      <c r="L4000" t="s" s="16">
        <f>HYPERLINK("http://csr.bu.edu/ftp/asl/asllvd/demos/verify_start_end_handshape_annotations//test_auto_move//signs_mov_separ_signers/Liz_5177.mov","MOV")</f>
        <v>21</v>
      </c>
      <c r="M4000" t="s" s="10">
        <v>84</v>
      </c>
      <c r="N4000" s="17">
        <v>38</v>
      </c>
      <c r="O4000" s="18">
        <v>467</v>
      </c>
      <c r="P4000" s="18">
        <v>497</v>
      </c>
      <c r="Q4000" s="15"/>
      <c r="R4000" t="s" s="16">
        <f>HYPERLINK("http://secrets.rutgers.edu:8080/data/asl-ftp/asllvd/demos/verify_start_end_handshape_annotations//test_auto_move//signs_mov_separ_signers/Liz_5177.mov","MOV")</f>
        <v>21</v>
      </c>
    </row>
    <row r="4001" s="2" customFormat="1" ht="13.5" customHeight="1">
      <c r="B4001" s="13"/>
      <c r="C4001" t="s" s="9">
        <v>27</v>
      </c>
      <c r="D4001" t="s" s="8">
        <v>1366</v>
      </c>
      <c r="E4001" t="s" s="9">
        <v>1368</v>
      </c>
      <c r="F4001" t="s" s="10">
        <v>229</v>
      </c>
      <c r="G4001" t="s" s="11">
        <v>73</v>
      </c>
      <c r="H4001" t="s" s="10">
        <v>229</v>
      </c>
      <c r="I4001" t="s" s="11">
        <v>73</v>
      </c>
      <c r="J4001" t="s" s="11">
        <v>20</v>
      </c>
      <c r="K4001" t="s" s="16">
        <f>HYPERLINK("http://csr.bu.edu/ftp/asl/asllvd/demos/verify_start_end_handshape_annotations//test_auto_move//signs_mov/5177.mov","MOV")</f>
        <v>21</v>
      </c>
      <c r="L4001" t="s" s="16">
        <f>HYPERLINK("http://csr.bu.edu/ftp/asl/asllvd/demos/verify_start_end_handshape_annotations//test_auto_move//signs_mov_separ_signers/Naomi_5177.mov","MOV")</f>
        <v>21</v>
      </c>
      <c r="M4001" t="s" s="10">
        <v>86</v>
      </c>
      <c r="N4001" s="17">
        <v>38</v>
      </c>
      <c r="O4001" s="18">
        <v>125</v>
      </c>
      <c r="P4001" s="18">
        <v>155</v>
      </c>
      <c r="Q4001" t="s" s="16">
        <f>HYPERLINK("http://secrets.rutgers.edu:8080/data/asl-ftp/asllvd/demos/verify_start_end_handshape_annotations//test_auto_move//signs_mov/5177.mov","MOV")</f>
        <v>21</v>
      </c>
      <c r="R4001" t="s" s="16">
        <f>HYPERLINK("http://secrets.rutgers.edu:8080/data/asl-ftp/asllvd/demos/verify_start_end_handshape_annotations//test_auto_move//signs_mov_separ_signers/Naomi_5177.mov","MOV")</f>
        <v>21</v>
      </c>
    </row>
    <row r="4002" s="2" customFormat="1" ht="13.5" customHeight="1">
      <c r="B4002" s="13"/>
      <c r="C4002" t="s" s="9">
        <v>30</v>
      </c>
      <c r="D4002" t="s" s="8">
        <v>1366</v>
      </c>
      <c r="E4002" t="s" s="9">
        <v>1368</v>
      </c>
      <c r="F4002" t="s" s="10">
        <v>229</v>
      </c>
      <c r="G4002" t="s" s="11">
        <v>73</v>
      </c>
      <c r="H4002" t="s" s="10">
        <v>229</v>
      </c>
      <c r="I4002" t="s" s="11">
        <v>73</v>
      </c>
      <c r="J4002" t="s" s="11">
        <v>20</v>
      </c>
      <c r="K4002" s="15"/>
      <c r="L4002" t="s" s="16">
        <f>HYPERLINK("http://csr.bu.edu/ftp/asl/asllvd/demos/verify_start_end_handshape_annotations//test_auto_move//signs_mov_separ_signers/Brady_5177.mov","MOV")</f>
        <v>21</v>
      </c>
      <c r="M4002" t="s" s="10">
        <v>39</v>
      </c>
      <c r="N4002" s="17">
        <v>15</v>
      </c>
      <c r="O4002" s="18">
        <v>7606</v>
      </c>
      <c r="P4002" s="18">
        <v>7638</v>
      </c>
      <c r="Q4002" s="15"/>
      <c r="R4002" t="s" s="16">
        <f>HYPERLINK("http://secrets.rutgers.edu:8080/data/asl-ftp/asllvd/demos/verify_start_end_handshape_annotations//test_auto_move//signs_mov_separ_signers/Brady_5177.mov","MOV")</f>
        <v>21</v>
      </c>
    </row>
    <row r="4003" s="2" customFormat="1" ht="13.5" customHeight="1">
      <c r="B4003" t="s" s="8">
        <v>52</v>
      </c>
      <c r="C4003" t="s" s="9">
        <v>53</v>
      </c>
      <c r="D4003" t="s" s="8">
        <v>53</v>
      </c>
      <c r="E4003" t="s" s="9">
        <v>53</v>
      </c>
      <c r="F4003" t="s" s="10">
        <v>53</v>
      </c>
      <c r="G4003" t="s" s="11">
        <v>53</v>
      </c>
      <c r="H4003" t="s" s="10">
        <v>53</v>
      </c>
      <c r="I4003" t="s" s="11">
        <v>53</v>
      </c>
      <c r="J4003" t="s" s="11">
        <v>53</v>
      </c>
      <c r="K4003" t="s" s="12">
        <v>53</v>
      </c>
      <c r="L4003" t="s" s="12">
        <v>53</v>
      </c>
      <c r="M4003" t="s" s="10">
        <v>53</v>
      </c>
      <c r="N4003" t="s" s="11">
        <v>53</v>
      </c>
      <c r="O4003" t="s" s="8">
        <v>53</v>
      </c>
      <c r="P4003" t="s" s="8">
        <v>53</v>
      </c>
      <c r="Q4003" t="s" s="12">
        <v>53</v>
      </c>
      <c r="R4003" t="s" s="12">
        <v>53</v>
      </c>
    </row>
    <row r="4004" s="2" customFormat="1" ht="13.5" customHeight="1">
      <c r="B4004" s="13"/>
      <c r="C4004" t="s" s="9">
        <v>43</v>
      </c>
      <c r="D4004" t="s" s="8">
        <v>1366</v>
      </c>
      <c r="E4004" t="s" s="9">
        <v>1369</v>
      </c>
      <c r="F4004" t="s" s="10">
        <v>229</v>
      </c>
      <c r="G4004" t="s" s="11">
        <v>105</v>
      </c>
      <c r="H4004" t="s" s="10">
        <v>229</v>
      </c>
      <c r="I4004" t="s" s="11">
        <v>73</v>
      </c>
      <c r="J4004" t="s" s="11">
        <v>20</v>
      </c>
      <c r="K4004" t="s" s="16">
        <f>HYPERLINK("http://csr.bu.edu/ftp/asl/asllvd/demos/verify_start_end_handshape_annotations//test_auto_move//signs_mov/15216.mov","MOV")</f>
        <v>21</v>
      </c>
      <c r="L4004" t="s" s="16">
        <f>HYPERLINK("http://csr.bu.edu/ftp/asl/asllvd/demos/verify_start_end_handshape_annotations//test_auto_move//signs_mov_separ_signers/Dana_15216.mov","MOV")</f>
        <v>21</v>
      </c>
      <c r="M4004" t="s" s="10">
        <v>44</v>
      </c>
      <c r="N4004" s="17">
        <v>13</v>
      </c>
      <c r="O4004" s="18">
        <v>1564</v>
      </c>
      <c r="P4004" s="18">
        <v>1632</v>
      </c>
      <c r="Q4004" t="s" s="16">
        <f>HYPERLINK("http://secrets.rutgers.edu:8080/data/asl-ftp/asllvd/demos/verify_start_end_handshape_annotations//test_auto_move//signs_mov/15216.mov","MOV")</f>
        <v>21</v>
      </c>
      <c r="R4004" t="s" s="16">
        <f>HYPERLINK("http://secrets.rutgers.edu:8080/data/asl-ftp/asllvd/demos/verify_start_end_handshape_annotations//test_auto_move//signs_mov_separ_signers/Dana_15216.mov","MOV")</f>
        <v>21</v>
      </c>
    </row>
    <row r="4005" s="2" customFormat="1" ht="13.5" customHeight="1">
      <c r="B4005" t="b" s="18">
        <v>0</v>
      </c>
      <c r="C4005" t="s" s="9">
        <v>14</v>
      </c>
      <c r="D4005" t="s" s="8">
        <v>14</v>
      </c>
      <c r="E4005" t="s" s="9">
        <v>14</v>
      </c>
      <c r="F4005" t="s" s="10">
        <v>14</v>
      </c>
      <c r="G4005" t="s" s="11">
        <v>14</v>
      </c>
      <c r="H4005" t="s" s="10">
        <v>14</v>
      </c>
      <c r="I4005" t="s" s="11">
        <v>14</v>
      </c>
      <c r="J4005" t="s" s="11">
        <v>14</v>
      </c>
      <c r="K4005" t="s" s="12">
        <v>14</v>
      </c>
      <c r="L4005" t="s" s="12">
        <v>14</v>
      </c>
      <c r="M4005" t="s" s="10">
        <v>14</v>
      </c>
      <c r="N4005" t="s" s="11">
        <v>14</v>
      </c>
      <c r="O4005" t="s" s="8">
        <v>14</v>
      </c>
      <c r="P4005" t="s" s="8">
        <v>14</v>
      </c>
      <c r="Q4005" t="s" s="12">
        <v>14</v>
      </c>
      <c r="R4005" t="s" s="12">
        <v>14</v>
      </c>
    </row>
    <row r="4006" s="2" customFormat="1" ht="13.5" customHeight="1">
      <c r="B4006" s="13"/>
      <c r="C4006" t="s" s="9">
        <v>16</v>
      </c>
      <c r="D4006" t="b" s="18">
        <v>0</v>
      </c>
      <c r="E4006" t="s" s="9">
        <v>1370</v>
      </c>
      <c r="F4006" s="19">
        <v>1</v>
      </c>
      <c r="G4006" s="14"/>
      <c r="H4006" s="19">
        <v>1</v>
      </c>
      <c r="I4006" s="14"/>
      <c r="J4006" t="s" s="11">
        <v>20</v>
      </c>
      <c r="K4006" s="15"/>
      <c r="L4006" t="s" s="16">
        <f>HYPERLINK("http://csr.bu.edu/ftp/asl/asllvd/demos/verify_start_end_handshape_annotations//test_auto_move//signs_mov_separ_signers/Liz_872.mov","MOV")</f>
        <v>21</v>
      </c>
      <c r="M4006" t="s" s="10">
        <v>84</v>
      </c>
      <c r="N4006" s="17">
        <v>38</v>
      </c>
      <c r="O4006" s="18">
        <v>662</v>
      </c>
      <c r="P4006" s="18">
        <v>702</v>
      </c>
      <c r="Q4006" s="15"/>
      <c r="R4006" t="s" s="16">
        <f>HYPERLINK("http://secrets.rutgers.edu:8080/data/asl-ftp/asllvd/demos/verify_start_end_handshape_annotations//test_auto_move//signs_mov_separ_signers/Liz_872.mov","MOV")</f>
        <v>21</v>
      </c>
    </row>
    <row r="4007" s="2" customFormat="1" ht="13.5" customHeight="1">
      <c r="B4007" s="13"/>
      <c r="C4007" t="s" s="9">
        <v>23</v>
      </c>
      <c r="D4007" t="b" s="18">
        <v>0</v>
      </c>
      <c r="E4007" t="b" s="21">
        <v>0</v>
      </c>
      <c r="F4007" s="19">
        <v>1</v>
      </c>
      <c r="G4007" s="14"/>
      <c r="H4007" s="19">
        <v>1</v>
      </c>
      <c r="I4007" s="14"/>
      <c r="J4007" t="s" s="11">
        <v>20</v>
      </c>
      <c r="K4007" s="15"/>
      <c r="L4007" t="s" s="16">
        <f>HYPERLINK("http://csr.bu.edu/ftp/asl/asllvd/demos/verify_start_end_handshape_annotations//test_auto_move//signs_mov_separ_signers/Tyler_872.mov","MOV")</f>
        <v>21</v>
      </c>
      <c r="M4007" t="s" s="10">
        <v>92</v>
      </c>
      <c r="N4007" s="17">
        <v>18</v>
      </c>
      <c r="O4007" s="18">
        <v>560</v>
      </c>
      <c r="P4007" s="18">
        <v>585</v>
      </c>
      <c r="Q4007" s="15"/>
      <c r="R4007" t="s" s="16">
        <f>HYPERLINK("http://secrets.rutgers.edu:8080/data/asl-ftp/asllvd/demos/verify_start_end_handshape_annotations//test_auto_move//signs_mov_separ_signers/Tyler_872.mov","MOV")</f>
        <v>21</v>
      </c>
    </row>
    <row r="4008" s="2" customFormat="1" ht="13.5" customHeight="1">
      <c r="B4008" s="13"/>
      <c r="C4008" t="s" s="9">
        <v>27</v>
      </c>
      <c r="D4008" t="b" s="18">
        <v>0</v>
      </c>
      <c r="E4008" t="s" s="9">
        <v>1370</v>
      </c>
      <c r="F4008" s="19">
        <v>1</v>
      </c>
      <c r="G4008" s="14"/>
      <c r="H4008" s="19">
        <v>1</v>
      </c>
      <c r="I4008" s="14"/>
      <c r="J4008" t="s" s="11">
        <v>20</v>
      </c>
      <c r="K4008" t="s" s="16">
        <f>HYPERLINK("http://csr.bu.edu/ftp/asl/asllvd/demos/verify_start_end_handshape_annotations//test_auto_move//signs_mov/872_3993_5016_merged.mov","MOV")</f>
        <v>21</v>
      </c>
      <c r="L4008" t="s" s="16">
        <f>HYPERLINK("http://csr.bu.edu/ftp/asl/asllvd/demos/verify_start_end_handshape_annotations//test_auto_move//signs_mov_separ_signers/Naomi_872.mov","MOV")</f>
        <v>21</v>
      </c>
      <c r="M4008" t="s" s="10">
        <v>86</v>
      </c>
      <c r="N4008" s="17">
        <v>38</v>
      </c>
      <c r="O4008" s="18">
        <v>320</v>
      </c>
      <c r="P4008" s="18">
        <v>345</v>
      </c>
      <c r="Q4008" t="s" s="16">
        <f>HYPERLINK("http://secrets.rutgers.edu:8080/data/asl-ftp/asllvd/demos/verify_start_end_handshape_annotations//test_auto_move//signs_mov/872_3993_5016_merged.mov","MOV")</f>
        <v>21</v>
      </c>
      <c r="R4008" t="s" s="16">
        <f>HYPERLINK("http://secrets.rutgers.edu:8080/data/asl-ftp/asllvd/demos/verify_start_end_handshape_annotations//test_auto_move//signs_mov_separ_signers/Naomi_872.mov","MOV")</f>
        <v>21</v>
      </c>
    </row>
    <row r="4009" s="2" customFormat="1" ht="13.5" customHeight="1">
      <c r="B4009" s="13"/>
      <c r="C4009" t="s" s="9">
        <v>30</v>
      </c>
      <c r="D4009" t="b" s="18">
        <v>0</v>
      </c>
      <c r="E4009" t="s" s="9">
        <v>1370</v>
      </c>
      <c r="F4009" s="19">
        <v>1</v>
      </c>
      <c r="G4009" s="14"/>
      <c r="H4009" s="19">
        <v>1</v>
      </c>
      <c r="I4009" s="14"/>
      <c r="J4009" t="s" s="11">
        <v>20</v>
      </c>
      <c r="K4009" s="15"/>
      <c r="L4009" t="s" s="16">
        <f>HYPERLINK("http://csr.bu.edu/ftp/asl/asllvd/demos/verify_start_end_handshape_annotations//test_auto_move//signs_mov_separ_signers/Brady_872.mov","MOV")</f>
        <v>21</v>
      </c>
      <c r="M4009" t="s" s="10">
        <v>31</v>
      </c>
      <c r="N4009" s="17">
        <v>13</v>
      </c>
      <c r="O4009" s="18">
        <v>4090</v>
      </c>
      <c r="P4009" s="18">
        <v>4115</v>
      </c>
      <c r="Q4009" s="15"/>
      <c r="R4009" t="s" s="16">
        <f>HYPERLINK("http://secrets.rutgers.edu:8080/data/asl-ftp/asllvd/demos/verify_start_end_handshape_annotations//test_auto_move//signs_mov_separ_signers/Brady_872.mov","MOV")</f>
        <v>21</v>
      </c>
    </row>
    <row r="4010" s="2" customFormat="1" ht="13.5" customHeight="1">
      <c r="B4010" s="13"/>
      <c r="C4010" t="s" s="9">
        <v>30</v>
      </c>
      <c r="D4010" t="b" s="18">
        <v>0</v>
      </c>
      <c r="E4010" t="s" s="9">
        <v>1370</v>
      </c>
      <c r="F4010" s="19">
        <v>1</v>
      </c>
      <c r="G4010" s="14"/>
      <c r="H4010" s="19">
        <v>1</v>
      </c>
      <c r="I4010" s="14"/>
      <c r="J4010" t="s" s="11">
        <v>20</v>
      </c>
      <c r="K4010" s="15"/>
      <c r="L4010" t="s" s="16">
        <f>HYPERLINK("http://csr.bu.edu/ftp/asl/asllvd/demos/verify_start_end_handshape_annotations//test_auto_move//signs_mov_separ_signers/Brady_3993.mov","MOV")</f>
        <v>21</v>
      </c>
      <c r="M4010" t="s" s="10">
        <v>39</v>
      </c>
      <c r="N4010" s="17">
        <v>15</v>
      </c>
      <c r="O4010" s="18">
        <v>8090</v>
      </c>
      <c r="P4010" s="18">
        <v>8129</v>
      </c>
      <c r="Q4010" s="15"/>
      <c r="R4010" t="s" s="16">
        <f>HYPERLINK("http://secrets.rutgers.edu:8080/data/asl-ftp/asllvd/demos/verify_start_end_handshape_annotations//test_auto_move//signs_mov_separ_signers/Brady_3993.mov","MOV")</f>
        <v>21</v>
      </c>
    </row>
    <row r="4011" s="2" customFormat="1" ht="13.5" customHeight="1">
      <c r="B4011" s="13"/>
      <c r="C4011" t="s" s="9">
        <v>30</v>
      </c>
      <c r="D4011" t="b" s="18">
        <v>0</v>
      </c>
      <c r="E4011" t="s" s="9">
        <v>1370</v>
      </c>
      <c r="F4011" s="19">
        <v>1</v>
      </c>
      <c r="G4011" s="14"/>
      <c r="H4011" s="19">
        <v>1</v>
      </c>
      <c r="I4011" s="14"/>
      <c r="J4011" t="s" s="11">
        <v>20</v>
      </c>
      <c r="K4011" s="15"/>
      <c r="L4011" t="s" s="16">
        <f>HYPERLINK("http://csr.bu.edu/ftp/asl/asllvd/demos/verify_start_end_handshape_annotations//test_auto_move//signs_mov_separ_signers/Brady_5016.mov","MOV")</f>
        <v>21</v>
      </c>
      <c r="M4011" t="s" s="10">
        <v>39</v>
      </c>
      <c r="N4011" s="17">
        <v>17</v>
      </c>
      <c r="O4011" s="18">
        <v>4601</v>
      </c>
      <c r="P4011" s="18">
        <v>4630</v>
      </c>
      <c r="Q4011" s="15"/>
      <c r="R4011" t="s" s="16">
        <f>HYPERLINK("http://secrets.rutgers.edu:8080/data/asl-ftp/asllvd/demos/verify_start_end_handshape_annotations//test_auto_move//signs_mov_separ_signers/Brady_5016.mov","MOV")</f>
        <v>21</v>
      </c>
    </row>
    <row r="4012" s="2" customFormat="1" ht="13.5" customHeight="1">
      <c r="B4012" t="s" s="8">
        <v>1371</v>
      </c>
      <c r="C4012" t="s" s="9">
        <v>14</v>
      </c>
      <c r="D4012" t="s" s="8">
        <v>14</v>
      </c>
      <c r="E4012" t="s" s="9">
        <v>14</v>
      </c>
      <c r="F4012" t="s" s="10">
        <v>14</v>
      </c>
      <c r="G4012" t="s" s="11">
        <v>14</v>
      </c>
      <c r="H4012" t="s" s="10">
        <v>14</v>
      </c>
      <c r="I4012" t="s" s="11">
        <v>14</v>
      </c>
      <c r="J4012" t="s" s="11">
        <v>14</v>
      </c>
      <c r="K4012" t="s" s="12">
        <v>14</v>
      </c>
      <c r="L4012" t="s" s="12">
        <v>14</v>
      </c>
      <c r="M4012" t="s" s="10">
        <v>14</v>
      </c>
      <c r="N4012" t="s" s="11">
        <v>14</v>
      </c>
      <c r="O4012" t="s" s="8">
        <v>14</v>
      </c>
      <c r="P4012" t="s" s="8">
        <v>14</v>
      </c>
      <c r="Q4012" t="s" s="12">
        <v>14</v>
      </c>
      <c r="R4012" t="s" s="12">
        <v>14</v>
      </c>
    </row>
    <row r="4013" s="2" customFormat="1" ht="13.5" customHeight="1">
      <c r="B4013" s="13"/>
      <c r="C4013" t="s" s="9">
        <v>16</v>
      </c>
      <c r="D4013" t="s" s="8">
        <v>1371</v>
      </c>
      <c r="E4013" t="s" s="9">
        <v>1371</v>
      </c>
      <c r="F4013" t="s" s="10">
        <v>268</v>
      </c>
      <c r="G4013" s="14"/>
      <c r="H4013" t="s" s="10">
        <v>268</v>
      </c>
      <c r="I4013" s="14"/>
      <c r="J4013" t="s" s="11">
        <v>20</v>
      </c>
      <c r="K4013" s="15"/>
      <c r="L4013" t="s" s="16">
        <f>HYPERLINK("http://csr.bu.edu/ftp/asl/asllvd/demos/verify_start_end_handshape_annotations//test_auto_move//signs_mov_separ_signers/Liz_15536.mov","MOV")</f>
        <v>21</v>
      </c>
      <c r="M4013" t="s" s="10">
        <v>34</v>
      </c>
      <c r="N4013" s="17">
        <v>48</v>
      </c>
      <c r="O4013" s="18">
        <v>560</v>
      </c>
      <c r="P4013" s="18">
        <v>597</v>
      </c>
      <c r="Q4013" s="15"/>
      <c r="R4013" t="s" s="16">
        <f>HYPERLINK("http://secrets.rutgers.edu:8080/data/asl-ftp/asllvd/demos/verify_start_end_handshape_annotations//test_auto_move//signs_mov_separ_signers/Liz_15536.mov","MOV")</f>
        <v>21</v>
      </c>
    </row>
    <row r="4014" s="2" customFormat="1" ht="13.5" customHeight="1">
      <c r="B4014" s="13"/>
      <c r="C4014" t="s" s="9">
        <v>16</v>
      </c>
      <c r="D4014" t="s" s="8">
        <v>1371</v>
      </c>
      <c r="E4014" t="s" s="9">
        <v>1371</v>
      </c>
      <c r="F4014" t="s" s="10">
        <v>268</v>
      </c>
      <c r="G4014" s="14"/>
      <c r="H4014" t="s" s="10">
        <v>268</v>
      </c>
      <c r="I4014" s="14"/>
      <c r="J4014" t="s" s="11">
        <v>20</v>
      </c>
      <c r="K4014" t="s" s="16">
        <f>HYPERLINK("http://csr.bu.edu/ftp/asl/asllvd/demos/verify_start_end_handshape_annotations//test_auto_move//signs_mov/15536_15619_merged.mov","MOV")</f>
        <v>21</v>
      </c>
      <c r="L4014" t="s" s="16">
        <f>HYPERLINK("http://csr.bu.edu/ftp/asl/asllvd/demos/verify_start_end_handshape_annotations//test_auto_move//signs_mov_separ_signers/Liz_15619.mov","MOV")</f>
        <v>21</v>
      </c>
      <c r="M4014" t="s" s="10">
        <v>34</v>
      </c>
      <c r="N4014" s="17">
        <v>48</v>
      </c>
      <c r="O4014" s="18">
        <v>3770</v>
      </c>
      <c r="P4014" s="18">
        <v>3800</v>
      </c>
      <c r="Q4014" t="s" s="16">
        <f>HYPERLINK("http://secrets.rutgers.edu:8080/data/asl-ftp/asllvd/demos/verify_start_end_handshape_annotations//test_auto_move//signs_mov/15536_15619_merged.mov","MOV")</f>
        <v>21</v>
      </c>
      <c r="R4014" t="s" s="16">
        <f>HYPERLINK("http://secrets.rutgers.edu:8080/data/asl-ftp/asllvd/demos/verify_start_end_handshape_annotations//test_auto_move//signs_mov_separ_signers/Liz_15619.mov","MOV")</f>
        <v>21</v>
      </c>
    </row>
    <row r="4015" s="2" customFormat="1" ht="13.5" customHeight="1">
      <c r="B4015" s="13"/>
      <c r="C4015" t="s" s="9">
        <v>27</v>
      </c>
      <c r="D4015" t="s" s="8">
        <v>1371</v>
      </c>
      <c r="E4015" t="s" s="9">
        <v>1371</v>
      </c>
      <c r="F4015" t="s" s="10">
        <v>268</v>
      </c>
      <c r="G4015" s="14"/>
      <c r="H4015" t="s" s="10">
        <v>268</v>
      </c>
      <c r="I4015" s="14"/>
      <c r="J4015" t="s" s="11">
        <v>20</v>
      </c>
      <c r="K4015" s="15"/>
      <c r="L4015" t="s" s="16">
        <f>HYPERLINK("http://csr.bu.edu/ftp/asl/asllvd/demos/verify_start_end_handshape_annotations//test_auto_move//signs_mov_separ_signers/Naomi_15536.mov","MOV")</f>
        <v>21</v>
      </c>
      <c r="M4015" t="s" s="10">
        <v>48</v>
      </c>
      <c r="N4015" s="17">
        <v>3</v>
      </c>
      <c r="O4015" s="18">
        <v>740</v>
      </c>
      <c r="P4015" s="18">
        <v>755</v>
      </c>
      <c r="Q4015" s="15"/>
      <c r="R4015" t="s" s="16">
        <f>HYPERLINK("http://secrets.rutgers.edu:8080/data/asl-ftp/asllvd/demos/verify_start_end_handshape_annotations//test_auto_move//signs_mov_separ_signers/Naomi_15536.mov","MOV")</f>
        <v>21</v>
      </c>
    </row>
    <row r="4016" s="2" customFormat="1" ht="13.5" customHeight="1">
      <c r="B4016" s="13"/>
      <c r="C4016" t="s" s="9">
        <v>27</v>
      </c>
      <c r="D4016" t="s" s="8">
        <v>1371</v>
      </c>
      <c r="E4016" t="s" s="9">
        <v>1371</v>
      </c>
      <c r="F4016" t="s" s="10">
        <v>268</v>
      </c>
      <c r="G4016" s="14"/>
      <c r="H4016" t="s" s="10">
        <v>268</v>
      </c>
      <c r="I4016" s="14"/>
      <c r="J4016" t="s" s="11">
        <v>20</v>
      </c>
      <c r="K4016" s="15"/>
      <c r="L4016" t="s" s="16">
        <f>HYPERLINK("http://csr.bu.edu/ftp/asl/asllvd/demos/verify_start_end_handshape_annotations//test_auto_move//signs_mov_separ_signers/Naomi_15619.mov","MOV")</f>
        <v>21</v>
      </c>
      <c r="M4016" t="s" s="10">
        <v>48</v>
      </c>
      <c r="N4016" s="17">
        <v>3</v>
      </c>
      <c r="O4016" s="18">
        <v>3437</v>
      </c>
      <c r="P4016" s="18">
        <v>3460</v>
      </c>
      <c r="Q4016" s="15"/>
      <c r="R4016" t="s" s="16">
        <f>HYPERLINK("http://secrets.rutgers.edu:8080/data/asl-ftp/asllvd/demos/verify_start_end_handshape_annotations//test_auto_move//signs_mov_separ_signers/Naomi_15619.mov","MOV")</f>
        <v>21</v>
      </c>
    </row>
    <row r="4017" s="2" customFormat="1" ht="13.5" customHeight="1">
      <c r="B4017" t="s" s="8">
        <v>1372</v>
      </c>
      <c r="C4017" t="s" s="9">
        <v>14</v>
      </c>
      <c r="D4017" t="s" s="8">
        <v>14</v>
      </c>
      <c r="E4017" t="s" s="9">
        <v>14</v>
      </c>
      <c r="F4017" t="s" s="10">
        <v>14</v>
      </c>
      <c r="G4017" t="s" s="11">
        <v>14</v>
      </c>
      <c r="H4017" t="s" s="10">
        <v>14</v>
      </c>
      <c r="I4017" t="s" s="11">
        <v>14</v>
      </c>
      <c r="J4017" t="s" s="11">
        <v>14</v>
      </c>
      <c r="K4017" t="s" s="12">
        <v>14</v>
      </c>
      <c r="L4017" t="s" s="12">
        <v>14</v>
      </c>
      <c r="M4017" t="s" s="10">
        <v>14</v>
      </c>
      <c r="N4017" t="s" s="11">
        <v>14</v>
      </c>
      <c r="O4017" t="s" s="8">
        <v>14</v>
      </c>
      <c r="P4017" t="s" s="8">
        <v>14</v>
      </c>
      <c r="Q4017" t="s" s="12">
        <v>14</v>
      </c>
      <c r="R4017" t="s" s="12">
        <v>14</v>
      </c>
    </row>
    <row r="4018" s="2" customFormat="1" ht="13.5" customHeight="1">
      <c r="B4018" s="13"/>
      <c r="C4018" t="s" s="9">
        <v>16</v>
      </c>
      <c r="D4018" t="s" s="8">
        <v>1372</v>
      </c>
      <c r="E4018" t="s" s="9">
        <v>1372</v>
      </c>
      <c r="F4018" t="s" s="10">
        <v>460</v>
      </c>
      <c r="G4018" s="14"/>
      <c r="H4018" t="s" s="10">
        <v>460</v>
      </c>
      <c r="I4018" s="14"/>
      <c r="J4018" t="s" s="11">
        <v>20</v>
      </c>
      <c r="K4018" s="15"/>
      <c r="L4018" t="s" s="16">
        <f>HYPERLINK("http://csr.bu.edu/ftp/asl/asllvd/demos/verify_start_end_handshape_annotations//test_auto_move//signs_mov_separ_signers/Liz_15620.mov","MOV")</f>
        <v>21</v>
      </c>
      <c r="M4018" t="s" s="10">
        <v>34</v>
      </c>
      <c r="N4018" s="17">
        <v>48</v>
      </c>
      <c r="O4018" s="18">
        <v>910</v>
      </c>
      <c r="P4018" s="18">
        <v>930</v>
      </c>
      <c r="Q4018" s="15"/>
      <c r="R4018" t="s" s="16">
        <f>HYPERLINK("http://secrets.rutgers.edu:8080/data/asl-ftp/asllvd/demos/verify_start_end_handshape_annotations//test_auto_move//signs_mov_separ_signers/Liz_15620.mov","MOV")</f>
        <v>21</v>
      </c>
    </row>
    <row r="4019" s="2" customFormat="1" ht="13.5" customHeight="1">
      <c r="B4019" s="13"/>
      <c r="C4019" t="s" s="9">
        <v>16</v>
      </c>
      <c r="D4019" t="s" s="8">
        <v>1372</v>
      </c>
      <c r="E4019" t="s" s="9">
        <v>1372</v>
      </c>
      <c r="F4019" t="s" s="10">
        <v>460</v>
      </c>
      <c r="G4019" s="14"/>
      <c r="H4019" t="s" s="10">
        <v>460</v>
      </c>
      <c r="I4019" s="14"/>
      <c r="J4019" t="s" s="11">
        <v>20</v>
      </c>
      <c r="K4019" s="15"/>
      <c r="L4019" t="s" s="16">
        <f>HYPERLINK("http://csr.bu.edu/ftp/asl/asllvd/demos/verify_start_end_handshape_annotations//test_auto_move//signs_mov_separ_signers/Liz_15694.mov","MOV")</f>
        <v>21</v>
      </c>
      <c r="M4019" t="s" s="10">
        <v>34</v>
      </c>
      <c r="N4019" s="17">
        <v>49</v>
      </c>
      <c r="O4019" s="18">
        <v>505</v>
      </c>
      <c r="P4019" s="18">
        <v>531</v>
      </c>
      <c r="Q4019" s="15"/>
      <c r="R4019" t="s" s="16">
        <f>HYPERLINK("http://secrets.rutgers.edu:8080/data/asl-ftp/asllvd/demos/verify_start_end_handshape_annotations//test_auto_move//signs_mov_separ_signers/Liz_15694.mov","MOV")</f>
        <v>21</v>
      </c>
    </row>
    <row r="4020" s="2" customFormat="1" ht="13.5" customHeight="1">
      <c r="B4020" s="13"/>
      <c r="C4020" t="s" s="9">
        <v>23</v>
      </c>
      <c r="D4020" t="s" s="8">
        <v>1372</v>
      </c>
      <c r="E4020" t="s" s="9">
        <v>1372</v>
      </c>
      <c r="F4020" t="s" s="10">
        <v>460</v>
      </c>
      <c r="G4020" s="14"/>
      <c r="H4020" t="s" s="10">
        <v>460</v>
      </c>
      <c r="I4020" s="14"/>
      <c r="J4020" t="s" s="11">
        <v>20</v>
      </c>
      <c r="K4020" s="15"/>
      <c r="L4020" t="s" s="16">
        <f>HYPERLINK("http://csr.bu.edu/ftp/asl/asllvd/demos/verify_start_end_handshape_annotations//test_auto_move//signs_mov_separ_signers/Tyler_15620.mov","MOV")</f>
        <v>21</v>
      </c>
      <c r="M4020" t="s" s="10">
        <v>37</v>
      </c>
      <c r="N4020" s="17">
        <v>20</v>
      </c>
      <c r="O4020" s="18">
        <v>485</v>
      </c>
      <c r="P4020" s="18">
        <v>507</v>
      </c>
      <c r="Q4020" s="15"/>
      <c r="R4020" t="s" s="16">
        <f>HYPERLINK("http://secrets.rutgers.edu:8080/data/asl-ftp/asllvd/demos/verify_start_end_handshape_annotations//test_auto_move//signs_mov_separ_signers/Tyler_15620.mov","MOV")</f>
        <v>21</v>
      </c>
    </row>
    <row r="4021" s="2" customFormat="1" ht="13.5" customHeight="1">
      <c r="B4021" s="13"/>
      <c r="C4021" t="s" s="9">
        <v>23</v>
      </c>
      <c r="D4021" t="s" s="8">
        <v>1372</v>
      </c>
      <c r="E4021" t="s" s="9">
        <v>1372</v>
      </c>
      <c r="F4021" t="s" s="10">
        <v>460</v>
      </c>
      <c r="G4021" s="14"/>
      <c r="H4021" t="s" s="10">
        <v>460</v>
      </c>
      <c r="I4021" s="14"/>
      <c r="J4021" t="s" s="11">
        <v>20</v>
      </c>
      <c r="K4021" t="s" s="16">
        <f>HYPERLINK("http://csr.bu.edu/ftp/asl/asllvd/demos/verify_start_end_handshape_annotations//test_auto_move//signs_mov/15620_15694_merged.mov","MOV")</f>
        <v>21</v>
      </c>
      <c r="L4021" t="s" s="16">
        <f>HYPERLINK("http://csr.bu.edu/ftp/asl/asllvd/demos/verify_start_end_handshape_annotations//test_auto_move//signs_mov_separ_signers/Tyler_15694.mov","MOV")</f>
        <v>21</v>
      </c>
      <c r="M4021" t="s" s="10">
        <v>37</v>
      </c>
      <c r="N4021" s="17">
        <v>20</v>
      </c>
      <c r="O4021" s="18">
        <v>2667</v>
      </c>
      <c r="P4021" s="18">
        <v>2685</v>
      </c>
      <c r="Q4021" t="s" s="16">
        <f>HYPERLINK("http://secrets.rutgers.edu:8080/data/asl-ftp/asllvd/demos/verify_start_end_handshape_annotations//test_auto_move//signs_mov/15620_15694_merged.mov","MOV")</f>
        <v>21</v>
      </c>
      <c r="R4021" t="s" s="16">
        <f>HYPERLINK("http://secrets.rutgers.edu:8080/data/asl-ftp/asllvd/demos/verify_start_end_handshape_annotations//test_auto_move//signs_mov_separ_signers/Tyler_15694.mov","MOV")</f>
        <v>21</v>
      </c>
    </row>
    <row r="4022" s="2" customFormat="1" ht="13.5" customHeight="1">
      <c r="B4022" s="13"/>
      <c r="C4022" t="s" s="9">
        <v>27</v>
      </c>
      <c r="D4022" t="s" s="8">
        <v>1372</v>
      </c>
      <c r="E4022" t="s" s="9">
        <v>1372</v>
      </c>
      <c r="F4022" t="s" s="10">
        <v>460</v>
      </c>
      <c r="G4022" s="14"/>
      <c r="H4022" t="s" s="10">
        <v>460</v>
      </c>
      <c r="I4022" s="14"/>
      <c r="J4022" t="s" s="11">
        <v>20</v>
      </c>
      <c r="K4022" s="15"/>
      <c r="L4022" t="s" s="16">
        <f>HYPERLINK("http://csr.bu.edu/ftp/asl/asllvd/demos/verify_start_end_handshape_annotations//test_auto_move//signs_mov_separ_signers/Naomi_15620.mov","MOV")</f>
        <v>21</v>
      </c>
      <c r="M4022" t="s" s="10">
        <v>48</v>
      </c>
      <c r="N4022" s="17">
        <v>3</v>
      </c>
      <c r="O4022" s="18">
        <v>970</v>
      </c>
      <c r="P4022" s="18">
        <v>986</v>
      </c>
      <c r="Q4022" s="15"/>
      <c r="R4022" t="s" s="16">
        <f>HYPERLINK("http://secrets.rutgers.edu:8080/data/asl-ftp/asllvd/demos/verify_start_end_handshape_annotations//test_auto_move//signs_mov_separ_signers/Naomi_15620.mov","MOV")</f>
        <v>21</v>
      </c>
    </row>
    <row r="4023" s="2" customFormat="1" ht="13.5" customHeight="1">
      <c r="B4023" s="13"/>
      <c r="C4023" t="s" s="9">
        <v>27</v>
      </c>
      <c r="D4023" t="s" s="8">
        <v>1372</v>
      </c>
      <c r="E4023" t="s" s="9">
        <v>1372</v>
      </c>
      <c r="F4023" t="s" s="10">
        <v>460</v>
      </c>
      <c r="G4023" s="14"/>
      <c r="H4023" t="s" s="10">
        <v>460</v>
      </c>
      <c r="I4023" s="14"/>
      <c r="J4023" t="s" s="11">
        <v>20</v>
      </c>
      <c r="K4023" s="15"/>
      <c r="L4023" t="s" s="16">
        <f>HYPERLINK("http://csr.bu.edu/ftp/asl/asllvd/demos/verify_start_end_handshape_annotations//test_auto_move//signs_mov_separ_signers/Naomi_15694.mov","MOV")</f>
        <v>21</v>
      </c>
      <c r="M4023" t="s" s="10">
        <v>48</v>
      </c>
      <c r="N4023" s="17">
        <v>3</v>
      </c>
      <c r="O4023" s="18">
        <v>3750</v>
      </c>
      <c r="P4023" s="18">
        <v>3765</v>
      </c>
      <c r="Q4023" s="15"/>
      <c r="R4023" t="s" s="16">
        <f>HYPERLINK("http://secrets.rutgers.edu:8080/data/asl-ftp/asllvd/demos/verify_start_end_handshape_annotations//test_auto_move//signs_mov_separ_signers/Naomi_15694.mov","MOV")</f>
        <v>21</v>
      </c>
    </row>
    <row r="4024" s="2" customFormat="1" ht="13.5" customHeight="1">
      <c r="B4024" s="13"/>
      <c r="C4024" t="s" s="9">
        <v>30</v>
      </c>
      <c r="D4024" t="s" s="8">
        <v>1372</v>
      </c>
      <c r="E4024" t="s" s="9">
        <v>1372</v>
      </c>
      <c r="F4024" t="s" s="10">
        <v>80</v>
      </c>
      <c r="G4024" s="14"/>
      <c r="H4024" t="s" s="10">
        <v>80</v>
      </c>
      <c r="I4024" s="14"/>
      <c r="J4024" t="s" s="11">
        <v>20</v>
      </c>
      <c r="K4024" s="15"/>
      <c r="L4024" t="s" s="16">
        <f>HYPERLINK("http://csr.bu.edu/ftp/asl/asllvd/demos/verify_start_end_handshape_annotations//test_auto_move//signs_mov_separ_signers/Brady_15620.mov","MOV")</f>
        <v>21</v>
      </c>
      <c r="M4024" t="s" s="10">
        <v>39</v>
      </c>
      <c r="N4024" s="17">
        <v>48</v>
      </c>
      <c r="O4024" s="18">
        <v>5084</v>
      </c>
      <c r="P4024" s="18">
        <v>5095</v>
      </c>
      <c r="Q4024" s="15"/>
      <c r="R4024" t="s" s="16">
        <f>HYPERLINK("http://secrets.rutgers.edu:8080/data/asl-ftp/asllvd/demos/verify_start_end_handshape_annotations//test_auto_move//signs_mov_separ_signers/Brady_15620.mov","MOV")</f>
        <v>21</v>
      </c>
    </row>
    <row r="4025" s="2" customFormat="1" ht="13.5" customHeight="1">
      <c r="B4025" t="s" s="8">
        <v>52</v>
      </c>
      <c r="C4025" t="s" s="9">
        <v>53</v>
      </c>
      <c r="D4025" t="s" s="8">
        <v>53</v>
      </c>
      <c r="E4025" t="s" s="9">
        <v>53</v>
      </c>
      <c r="F4025" t="s" s="10">
        <v>53</v>
      </c>
      <c r="G4025" t="s" s="11">
        <v>53</v>
      </c>
      <c r="H4025" t="s" s="10">
        <v>53</v>
      </c>
      <c r="I4025" t="s" s="11">
        <v>53</v>
      </c>
      <c r="J4025" t="s" s="11">
        <v>53</v>
      </c>
      <c r="K4025" t="s" s="12">
        <v>53</v>
      </c>
      <c r="L4025" t="s" s="12">
        <v>53</v>
      </c>
      <c r="M4025" t="s" s="10">
        <v>53</v>
      </c>
      <c r="N4025" t="s" s="11">
        <v>53</v>
      </c>
      <c r="O4025" t="s" s="8">
        <v>53</v>
      </c>
      <c r="P4025" t="s" s="8">
        <v>53</v>
      </c>
      <c r="Q4025" t="s" s="12">
        <v>53</v>
      </c>
      <c r="R4025" t="s" s="12">
        <v>53</v>
      </c>
    </row>
    <row r="4026" s="2" customFormat="1" ht="13.5" customHeight="1">
      <c r="B4026" s="13"/>
      <c r="C4026" t="s" s="9">
        <v>41</v>
      </c>
      <c r="D4026" t="s" s="8">
        <v>1372</v>
      </c>
      <c r="E4026" t="s" s="9">
        <v>1373</v>
      </c>
      <c r="F4026" t="s" s="10">
        <v>152</v>
      </c>
      <c r="G4026" s="14"/>
      <c r="H4026" t="s" s="10">
        <v>152</v>
      </c>
      <c r="I4026" s="14"/>
      <c r="J4026" t="s" s="11">
        <v>20</v>
      </c>
      <c r="K4026" t="s" s="16">
        <f>HYPERLINK("http://csr.bu.edu/ftp/asl/asllvd/demos/verify_start_end_handshape_annotations//test_auto_move//signs_mov/16344.mov","MOV")</f>
        <v>21</v>
      </c>
      <c r="L4026" t="s" s="16">
        <f>HYPERLINK("http://csr.bu.edu/ftp/asl/asllvd/demos/verify_start_end_handshape_annotations//test_auto_move//signs_mov_separ_signers/Lana_16344.mov","MOV")</f>
        <v>21</v>
      </c>
      <c r="M4026" t="s" s="10">
        <v>442</v>
      </c>
      <c r="N4026" s="17">
        <v>61</v>
      </c>
      <c r="O4026" s="18">
        <v>1971</v>
      </c>
      <c r="P4026" s="18">
        <v>1993</v>
      </c>
      <c r="Q4026" t="s" s="16">
        <f>HYPERLINK("http://secrets.rutgers.edu:8080/data/asl-ftp/asllvd/demos/verify_start_end_handshape_annotations//test_auto_move//signs_mov/16344.mov","MOV")</f>
        <v>21</v>
      </c>
      <c r="R4026" t="s" s="16">
        <f>HYPERLINK("http://secrets.rutgers.edu:8080/data/asl-ftp/asllvd/demos/verify_start_end_handshape_annotations//test_auto_move//signs_mov_separ_signers/Lana_16344.mov","MOV")</f>
        <v>21</v>
      </c>
    </row>
    <row r="4027" s="2" customFormat="1" ht="13.5" customHeight="1">
      <c r="B4027" t="s" s="8">
        <v>1374</v>
      </c>
      <c r="C4027" t="s" s="9">
        <v>14</v>
      </c>
      <c r="D4027" t="s" s="8">
        <v>14</v>
      </c>
      <c r="E4027" t="s" s="9">
        <v>14</v>
      </c>
      <c r="F4027" t="s" s="10">
        <v>14</v>
      </c>
      <c r="G4027" t="s" s="11">
        <v>14</v>
      </c>
      <c r="H4027" t="s" s="10">
        <v>14</v>
      </c>
      <c r="I4027" t="s" s="11">
        <v>14</v>
      </c>
      <c r="J4027" t="s" s="11">
        <v>14</v>
      </c>
      <c r="K4027" t="s" s="12">
        <v>14</v>
      </c>
      <c r="L4027" t="s" s="12">
        <v>14</v>
      </c>
      <c r="M4027" t="s" s="10">
        <v>14</v>
      </c>
      <c r="N4027" t="s" s="11">
        <v>14</v>
      </c>
      <c r="O4027" t="s" s="8">
        <v>14</v>
      </c>
      <c r="P4027" t="s" s="8">
        <v>14</v>
      </c>
      <c r="Q4027" t="s" s="12">
        <v>14</v>
      </c>
      <c r="R4027" t="s" s="12">
        <v>14</v>
      </c>
    </row>
    <row r="4028" s="2" customFormat="1" ht="13.5" customHeight="1">
      <c r="B4028" s="13"/>
      <c r="C4028" t="s" s="9">
        <v>16</v>
      </c>
      <c r="D4028" t="s" s="8">
        <v>1374</v>
      </c>
      <c r="E4028" t="s" s="9">
        <v>1374</v>
      </c>
      <c r="F4028" t="s" s="10">
        <v>282</v>
      </c>
      <c r="G4028" t="s" s="11">
        <v>282</v>
      </c>
      <c r="H4028" t="s" s="10">
        <v>282</v>
      </c>
      <c r="I4028" t="s" s="11">
        <v>282</v>
      </c>
      <c r="J4028" t="s" s="11">
        <v>20</v>
      </c>
      <c r="K4028" s="15"/>
      <c r="L4028" t="s" s="16">
        <f>HYPERLINK("http://csr.bu.edu/ftp/asl/asllvd/demos/verify_start_end_handshape_annotations//test_auto_move//signs_mov_separ_signers/Liz_873.mov","MOV")</f>
        <v>21</v>
      </c>
      <c r="M4028" t="s" s="10">
        <v>84</v>
      </c>
      <c r="N4028" s="17">
        <v>38</v>
      </c>
      <c r="O4028" s="18">
        <v>875</v>
      </c>
      <c r="P4028" s="18">
        <v>912</v>
      </c>
      <c r="Q4028" s="15"/>
      <c r="R4028" t="s" s="16">
        <f>HYPERLINK("http://secrets.rutgers.edu:8080/data/asl-ftp/asllvd/demos/verify_start_end_handshape_annotations//test_auto_move//signs_mov_separ_signers/Liz_873.mov","MOV")</f>
        <v>21</v>
      </c>
    </row>
    <row r="4029" s="2" customFormat="1" ht="13.5" customHeight="1">
      <c r="B4029" s="13"/>
      <c r="C4029" t="s" s="9">
        <v>23</v>
      </c>
      <c r="D4029" t="s" s="8">
        <v>1374</v>
      </c>
      <c r="E4029" t="s" s="9">
        <v>1374</v>
      </c>
      <c r="F4029" t="s" s="10">
        <v>282</v>
      </c>
      <c r="G4029" t="s" s="11">
        <v>282</v>
      </c>
      <c r="H4029" t="s" s="10">
        <v>282</v>
      </c>
      <c r="I4029" t="s" s="11">
        <v>282</v>
      </c>
      <c r="J4029" t="s" s="11">
        <v>20</v>
      </c>
      <c r="K4029" s="15"/>
      <c r="L4029" t="s" s="16">
        <f>HYPERLINK("http://csr.bu.edu/ftp/asl/asllvd/demos/verify_start_end_handshape_annotations//test_auto_move//signs_mov_separ_signers/Tyler_873.mov","MOV")</f>
        <v>21</v>
      </c>
      <c r="M4029" t="s" s="10">
        <v>92</v>
      </c>
      <c r="N4029" s="17">
        <v>18</v>
      </c>
      <c r="O4029" s="18">
        <v>1190</v>
      </c>
      <c r="P4029" s="18">
        <v>1250</v>
      </c>
      <c r="Q4029" s="15"/>
      <c r="R4029" t="s" s="16">
        <f>HYPERLINK("http://secrets.rutgers.edu:8080/data/asl-ftp/asllvd/demos/verify_start_end_handshape_annotations//test_auto_move//signs_mov_separ_signers/Tyler_873.mov","MOV")</f>
        <v>21</v>
      </c>
    </row>
    <row r="4030" s="2" customFormat="1" ht="13.5" customHeight="1">
      <c r="B4030" s="13"/>
      <c r="C4030" t="s" s="9">
        <v>27</v>
      </c>
      <c r="D4030" t="s" s="8">
        <v>1374</v>
      </c>
      <c r="E4030" t="s" s="9">
        <v>1374</v>
      </c>
      <c r="F4030" t="s" s="10">
        <v>282</v>
      </c>
      <c r="G4030" t="s" s="11">
        <v>282</v>
      </c>
      <c r="H4030" t="s" s="10">
        <v>282</v>
      </c>
      <c r="I4030" t="s" s="11">
        <v>282</v>
      </c>
      <c r="J4030" t="s" s="11">
        <v>20</v>
      </c>
      <c r="K4030" t="s" s="16">
        <f>HYPERLINK("http://csr.bu.edu/ftp/asl/asllvd/demos/verify_start_end_handshape_annotations//test_auto_move//signs_mov/873.mov","MOV")</f>
        <v>21</v>
      </c>
      <c r="L4030" t="s" s="16">
        <f>HYPERLINK("http://csr.bu.edu/ftp/asl/asllvd/demos/verify_start_end_handshape_annotations//test_auto_move//signs_mov_separ_signers/Naomi_873.mov","MOV")</f>
        <v>21</v>
      </c>
      <c r="M4030" t="s" s="10">
        <v>86</v>
      </c>
      <c r="N4030" s="17">
        <v>38</v>
      </c>
      <c r="O4030" s="18">
        <v>550</v>
      </c>
      <c r="P4030" s="18">
        <v>576</v>
      </c>
      <c r="Q4030" t="s" s="16">
        <f>HYPERLINK("http://secrets.rutgers.edu:8080/data/asl-ftp/asllvd/demos/verify_start_end_handshape_annotations//test_auto_move//signs_mov/873.mov","MOV")</f>
        <v>21</v>
      </c>
      <c r="R4030" t="s" s="16">
        <f>HYPERLINK("http://secrets.rutgers.edu:8080/data/asl-ftp/asllvd/demos/verify_start_end_handshape_annotations//test_auto_move//signs_mov_separ_signers/Naomi_873.mov","MOV")</f>
        <v>21</v>
      </c>
    </row>
    <row r="4031" s="2" customFormat="1" ht="13.5" customHeight="1">
      <c r="B4031" s="13"/>
      <c r="C4031" t="s" s="9">
        <v>30</v>
      </c>
      <c r="D4031" t="s" s="8">
        <v>1374</v>
      </c>
      <c r="E4031" t="s" s="9">
        <v>1374</v>
      </c>
      <c r="F4031" t="s" s="10">
        <v>282</v>
      </c>
      <c r="G4031" t="s" s="11">
        <v>282</v>
      </c>
      <c r="H4031" t="s" s="10">
        <v>282</v>
      </c>
      <c r="I4031" t="s" s="11">
        <v>282</v>
      </c>
      <c r="J4031" t="s" s="11">
        <v>20</v>
      </c>
      <c r="K4031" s="15"/>
      <c r="L4031" t="s" s="16">
        <f>HYPERLINK("http://csr.bu.edu/ftp/asl/asllvd/demos/verify_start_end_handshape_annotations//test_auto_move//signs_mov_separ_signers/Brady_873.mov","MOV")</f>
        <v>21</v>
      </c>
      <c r="M4031" t="s" s="10">
        <v>39</v>
      </c>
      <c r="N4031" s="17">
        <v>16</v>
      </c>
      <c r="O4031" s="18">
        <v>452</v>
      </c>
      <c r="P4031" s="18">
        <v>471</v>
      </c>
      <c r="Q4031" s="15"/>
      <c r="R4031" t="s" s="16">
        <f>HYPERLINK("http://secrets.rutgers.edu:8080/data/asl-ftp/asllvd/demos/verify_start_end_handshape_annotations//test_auto_move//signs_mov_separ_signers/Brady_873.mov","MOV")</f>
        <v>21</v>
      </c>
    </row>
    <row r="4032" s="2" customFormat="1" ht="13.5" customHeight="1">
      <c r="B4032" s="13"/>
      <c r="C4032" t="s" s="9">
        <v>41</v>
      </c>
      <c r="D4032" t="s" s="8">
        <v>1374</v>
      </c>
      <c r="E4032" t="s" s="9">
        <v>1374</v>
      </c>
      <c r="F4032" t="s" s="10">
        <v>282</v>
      </c>
      <c r="G4032" t="s" s="11">
        <v>282</v>
      </c>
      <c r="H4032" t="s" s="10">
        <v>282</v>
      </c>
      <c r="I4032" t="s" s="11">
        <v>282</v>
      </c>
      <c r="J4032" t="s" s="11">
        <v>20</v>
      </c>
      <c r="K4032" s="15"/>
      <c r="L4032" t="s" s="16">
        <f>HYPERLINK("http://csr.bu.edu/ftp/asl/asllvd/demos/verify_start_end_handshape_annotations//test_auto_move//signs_mov_separ_signers/Lana_873.mov","MOV")</f>
        <v>21</v>
      </c>
      <c r="M4032" t="s" s="10">
        <v>42</v>
      </c>
      <c r="N4032" s="17">
        <v>9</v>
      </c>
      <c r="O4032" s="18">
        <v>1602</v>
      </c>
      <c r="P4032" s="18">
        <v>1634</v>
      </c>
      <c r="Q4032" s="15"/>
      <c r="R4032" t="s" s="16">
        <f>HYPERLINK("http://secrets.rutgers.edu:8080/data/asl-ftp/asllvd/demos/verify_start_end_handshape_annotations//test_auto_move//signs_mov_separ_signers/Lana_873.mov","MOV")</f>
        <v>21</v>
      </c>
    </row>
    <row r="4033" s="2" customFormat="1" ht="13.5" customHeight="1">
      <c r="B4033" s="13"/>
      <c r="C4033" t="s" s="9">
        <v>43</v>
      </c>
      <c r="D4033" t="s" s="8">
        <v>1374</v>
      </c>
      <c r="E4033" t="s" s="9">
        <v>1374</v>
      </c>
      <c r="F4033" t="s" s="10">
        <v>282</v>
      </c>
      <c r="G4033" t="s" s="11">
        <v>282</v>
      </c>
      <c r="H4033" t="s" s="10">
        <v>282</v>
      </c>
      <c r="I4033" t="s" s="11">
        <v>282</v>
      </c>
      <c r="J4033" t="s" s="11">
        <v>20</v>
      </c>
      <c r="K4033" s="15"/>
      <c r="L4033" t="s" s="16">
        <f>HYPERLINK("http://csr.bu.edu/ftp/asl/asllvd/demos/verify_start_end_handshape_annotations//test_auto_move//signs_mov_separ_signers/Dana_873.mov","MOV")</f>
        <v>21</v>
      </c>
      <c r="M4033" t="s" s="10">
        <v>44</v>
      </c>
      <c r="N4033" s="17">
        <v>13</v>
      </c>
      <c r="O4033" s="18">
        <v>1724</v>
      </c>
      <c r="P4033" s="18">
        <v>1793</v>
      </c>
      <c r="Q4033" s="15"/>
      <c r="R4033" t="s" s="16">
        <f>HYPERLINK("http://secrets.rutgers.edu:8080/data/asl-ftp/asllvd/demos/verify_start_end_handshape_annotations//test_auto_move//signs_mov_separ_signers/Dana_873.mov","MOV")</f>
        <v>21</v>
      </c>
    </row>
    <row r="4034" s="2" customFormat="1" ht="13.5" customHeight="1">
      <c r="B4034" t="s" s="8">
        <v>1375</v>
      </c>
      <c r="C4034" t="s" s="9">
        <v>14</v>
      </c>
      <c r="D4034" t="s" s="8">
        <v>14</v>
      </c>
      <c r="E4034" t="s" s="9">
        <v>14</v>
      </c>
      <c r="F4034" t="s" s="10">
        <v>14</v>
      </c>
      <c r="G4034" t="s" s="11">
        <v>14</v>
      </c>
      <c r="H4034" t="s" s="10">
        <v>14</v>
      </c>
      <c r="I4034" t="s" s="11">
        <v>14</v>
      </c>
      <c r="J4034" t="s" s="11">
        <v>14</v>
      </c>
      <c r="K4034" t="s" s="12">
        <v>14</v>
      </c>
      <c r="L4034" t="s" s="12">
        <v>14</v>
      </c>
      <c r="M4034" t="s" s="10">
        <v>14</v>
      </c>
      <c r="N4034" t="s" s="11">
        <v>14</v>
      </c>
      <c r="O4034" t="s" s="8">
        <v>14</v>
      </c>
      <c r="P4034" t="s" s="8">
        <v>14</v>
      </c>
      <c r="Q4034" t="s" s="12">
        <v>14</v>
      </c>
      <c r="R4034" t="s" s="12">
        <v>14</v>
      </c>
    </row>
    <row r="4035" s="2" customFormat="1" ht="13.5" customHeight="1">
      <c r="B4035" s="13"/>
      <c r="C4035" t="s" s="9">
        <v>16</v>
      </c>
      <c r="D4035" t="s" s="8">
        <v>1375</v>
      </c>
      <c r="E4035" t="s" s="9">
        <v>1375</v>
      </c>
      <c r="F4035" t="s" s="10">
        <v>185</v>
      </c>
      <c r="G4035" t="s" s="11">
        <v>185</v>
      </c>
      <c r="H4035" t="s" s="10">
        <v>185</v>
      </c>
      <c r="I4035" t="s" s="11">
        <v>185</v>
      </c>
      <c r="J4035" t="s" s="11">
        <v>20</v>
      </c>
      <c r="K4035" t="s" s="16">
        <f>HYPERLINK("http://csr.bu.edu/ftp/asl/asllvd/demos/verify_start_end_handshape_annotations//test_auto_move//signs_mov/15905.mov","MOV")</f>
        <v>21</v>
      </c>
      <c r="L4035" t="s" s="16">
        <f>HYPERLINK("http://csr.bu.edu/ftp/asl/asllvd/demos/verify_start_end_handshape_annotations//test_auto_move//signs_mov_separ_signers/Liz_15905.mov","MOV")</f>
        <v>21</v>
      </c>
      <c r="M4035" t="s" s="10">
        <v>77</v>
      </c>
      <c r="N4035" s="17">
        <v>1</v>
      </c>
      <c r="O4035" s="18">
        <v>6215</v>
      </c>
      <c r="P4035" s="18">
        <v>6261</v>
      </c>
      <c r="Q4035" t="s" s="16">
        <f>HYPERLINK("http://secrets.rutgers.edu:8080/data/asl-ftp/asllvd/demos/verify_start_end_handshape_annotations//test_auto_move//signs_mov/15905.mov","MOV")</f>
        <v>21</v>
      </c>
      <c r="R4035" t="s" s="16">
        <f>HYPERLINK("http://secrets.rutgers.edu:8080/data/asl-ftp/asllvd/demos/verify_start_end_handshape_annotations//test_auto_move//signs_mov_separ_signers/Liz_15905.mov","MOV")</f>
        <v>21</v>
      </c>
    </row>
    <row r="4036" s="2" customFormat="1" ht="13.5" customHeight="1">
      <c r="B4036" s="13"/>
      <c r="C4036" t="s" s="9">
        <v>30</v>
      </c>
      <c r="D4036" t="s" s="8">
        <v>1375</v>
      </c>
      <c r="E4036" t="s" s="9">
        <v>1375</v>
      </c>
      <c r="F4036" t="s" s="10">
        <v>148</v>
      </c>
      <c r="G4036" t="s" s="11">
        <v>148</v>
      </c>
      <c r="H4036" t="s" s="10">
        <v>148</v>
      </c>
      <c r="I4036" t="s" s="11">
        <v>148</v>
      </c>
      <c r="J4036" t="s" s="11">
        <v>20</v>
      </c>
      <c r="K4036" s="15"/>
      <c r="L4036" t="s" s="16">
        <f>HYPERLINK("http://csr.bu.edu/ftp/asl/asllvd/demos/verify_start_end_handshape_annotations//test_auto_move//signs_mov_separ_signers/Brady_15905.mov","MOV")</f>
        <v>21</v>
      </c>
      <c r="M4036" t="s" s="10">
        <v>31</v>
      </c>
      <c r="N4036" s="17">
        <v>28</v>
      </c>
      <c r="O4036" s="18">
        <v>1248</v>
      </c>
      <c r="P4036" s="18">
        <v>1270</v>
      </c>
      <c r="Q4036" s="15"/>
      <c r="R4036" t="s" s="16">
        <f>HYPERLINK("http://secrets.rutgers.edu:8080/data/asl-ftp/asllvd/demos/verify_start_end_handshape_annotations//test_auto_move//signs_mov_separ_signers/Brady_15905.mov","MOV")</f>
        <v>21</v>
      </c>
    </row>
    <row r="4037" s="2" customFormat="1" ht="13.5" customHeight="1">
      <c r="B4037" t="s" s="8">
        <v>52</v>
      </c>
      <c r="C4037" t="s" s="9">
        <v>53</v>
      </c>
      <c r="D4037" t="s" s="8">
        <v>53</v>
      </c>
      <c r="E4037" t="s" s="9">
        <v>53</v>
      </c>
      <c r="F4037" t="s" s="10">
        <v>53</v>
      </c>
      <c r="G4037" t="s" s="11">
        <v>53</v>
      </c>
      <c r="H4037" t="s" s="10">
        <v>53</v>
      </c>
      <c r="I4037" t="s" s="11">
        <v>53</v>
      </c>
      <c r="J4037" t="s" s="11">
        <v>53</v>
      </c>
      <c r="K4037" t="s" s="12">
        <v>53</v>
      </c>
      <c r="L4037" t="s" s="12">
        <v>53</v>
      </c>
      <c r="M4037" t="s" s="10">
        <v>53</v>
      </c>
      <c r="N4037" t="s" s="11">
        <v>53</v>
      </c>
      <c r="O4037" t="s" s="8">
        <v>53</v>
      </c>
      <c r="P4037" t="s" s="8">
        <v>53</v>
      </c>
      <c r="Q4037" t="s" s="12">
        <v>53</v>
      </c>
      <c r="R4037" t="s" s="12">
        <v>53</v>
      </c>
    </row>
    <row r="4038" s="2" customFormat="1" ht="13.5" customHeight="1">
      <c r="B4038" s="13"/>
      <c r="C4038" t="s" s="9">
        <v>41</v>
      </c>
      <c r="D4038" t="s" s="8">
        <v>1375</v>
      </c>
      <c r="E4038" t="s" s="9">
        <v>1376</v>
      </c>
      <c r="F4038" t="s" s="10">
        <v>72</v>
      </c>
      <c r="G4038" t="s" s="11">
        <v>72</v>
      </c>
      <c r="H4038" t="s" s="10">
        <v>72</v>
      </c>
      <c r="I4038" t="s" s="11">
        <v>72</v>
      </c>
      <c r="J4038" t="s" s="11">
        <v>20</v>
      </c>
      <c r="K4038" t="s" s="16">
        <f>HYPERLINK("http://csr.bu.edu/ftp/asl/asllvd/demos/verify_start_end_handshape_annotations//test_auto_move//signs_mov/15916.mov","MOV")</f>
        <v>21</v>
      </c>
      <c r="L4038" t="s" s="16">
        <f>HYPERLINK("http://csr.bu.edu/ftp/asl/asllvd/demos/verify_start_end_handshape_annotations//test_auto_move//signs_mov_separ_signers/Lana_15916.mov","MOV")</f>
        <v>21</v>
      </c>
      <c r="M4038" t="s" s="10">
        <v>42</v>
      </c>
      <c r="N4038" s="17">
        <v>5</v>
      </c>
      <c r="O4038" s="18">
        <v>1860</v>
      </c>
      <c r="P4038" s="18">
        <v>1874</v>
      </c>
      <c r="Q4038" t="s" s="16">
        <f>HYPERLINK("http://secrets.rutgers.edu:8080/data/asl-ftp/asllvd/demos/verify_start_end_handshape_annotations//test_auto_move//signs_mov/15916.mov","MOV")</f>
        <v>21</v>
      </c>
      <c r="R4038" t="s" s="16">
        <f>HYPERLINK("http://secrets.rutgers.edu:8080/data/asl-ftp/asllvd/demos/verify_start_end_handshape_annotations//test_auto_move//signs_mov_separ_signers/Lana_15916.mov","MOV")</f>
        <v>21</v>
      </c>
    </row>
    <row r="4039" s="2" customFormat="1" ht="13.5" customHeight="1">
      <c r="B4039" s="13"/>
      <c r="C4039" t="s" s="9">
        <v>43</v>
      </c>
      <c r="D4039" t="s" s="8">
        <v>1375</v>
      </c>
      <c r="E4039" t="s" s="9">
        <v>1376</v>
      </c>
      <c r="F4039" t="s" s="10">
        <v>72</v>
      </c>
      <c r="G4039" t="s" s="11">
        <v>72</v>
      </c>
      <c r="H4039" t="s" s="10">
        <v>72</v>
      </c>
      <c r="I4039" t="s" s="11">
        <v>72</v>
      </c>
      <c r="J4039" t="s" s="11">
        <v>20</v>
      </c>
      <c r="K4039" s="15"/>
      <c r="L4039" t="s" s="16">
        <f>HYPERLINK("http://csr.bu.edu/ftp/asl/asllvd/demos/verify_start_end_handshape_annotations//test_auto_move//signs_mov_separ_signers/Dana_15916.mov","MOV")</f>
        <v>21</v>
      </c>
      <c r="M4039" t="s" s="10">
        <v>44</v>
      </c>
      <c r="N4039" s="17">
        <v>9</v>
      </c>
      <c r="O4039" s="18">
        <v>1982</v>
      </c>
      <c r="P4039" s="18">
        <v>2007</v>
      </c>
      <c r="Q4039" s="15"/>
      <c r="R4039" t="s" s="16">
        <f>HYPERLINK("http://secrets.rutgers.edu:8080/data/asl-ftp/asllvd/demos/verify_start_end_handshape_annotations//test_auto_move//signs_mov_separ_signers/Dana_15916.mov","MOV")</f>
        <v>21</v>
      </c>
    </row>
    <row r="4040" s="2" customFormat="1" ht="13.5" customHeight="1">
      <c r="B4040" t="s" s="8">
        <v>52</v>
      </c>
      <c r="C4040" t="s" s="9">
        <v>53</v>
      </c>
      <c r="D4040" t="s" s="8">
        <v>53</v>
      </c>
      <c r="E4040" t="s" s="9">
        <v>53</v>
      </c>
      <c r="F4040" t="s" s="10">
        <v>53</v>
      </c>
      <c r="G4040" t="s" s="11">
        <v>53</v>
      </c>
      <c r="H4040" t="s" s="10">
        <v>53</v>
      </c>
      <c r="I4040" t="s" s="11">
        <v>53</v>
      </c>
      <c r="J4040" t="s" s="11">
        <v>53</v>
      </c>
      <c r="K4040" t="s" s="12">
        <v>53</v>
      </c>
      <c r="L4040" t="s" s="12">
        <v>53</v>
      </c>
      <c r="M4040" t="s" s="10">
        <v>53</v>
      </c>
      <c r="N4040" t="s" s="11">
        <v>53</v>
      </c>
      <c r="O4040" t="s" s="8">
        <v>53</v>
      </c>
      <c r="P4040" t="s" s="8">
        <v>53</v>
      </c>
      <c r="Q4040" t="s" s="12">
        <v>53</v>
      </c>
      <c r="R4040" t="s" s="12">
        <v>53</v>
      </c>
    </row>
    <row r="4041" s="2" customFormat="1" ht="13.5" customHeight="1">
      <c r="B4041" s="13"/>
      <c r="C4041" t="s" s="9">
        <v>16</v>
      </c>
      <c r="D4041" t="s" s="8">
        <v>1375</v>
      </c>
      <c r="E4041" t="s" s="9">
        <v>1377</v>
      </c>
      <c r="F4041" t="s" s="10">
        <v>185</v>
      </c>
      <c r="G4041" t="s" s="11">
        <v>185</v>
      </c>
      <c r="H4041" t="s" s="10">
        <v>185</v>
      </c>
      <c r="I4041" t="s" s="11">
        <v>185</v>
      </c>
      <c r="J4041" t="s" s="11">
        <v>20</v>
      </c>
      <c r="K4041" t="s" s="16">
        <f>HYPERLINK("http://csr.bu.edu/ftp/asl/asllvd/demos/verify_start_end_handshape_annotations//test_auto_move//signs_mov/15919.mov","MOV")</f>
        <v>21</v>
      </c>
      <c r="L4041" t="s" s="16">
        <f>HYPERLINK("http://csr.bu.edu/ftp/asl/asllvd/demos/verify_start_end_handshape_annotations//test_auto_move//signs_mov_separ_signers/Liz_15919.mov","MOV")</f>
        <v>21</v>
      </c>
      <c r="M4041" t="s" s="10">
        <v>77</v>
      </c>
      <c r="N4041" s="17">
        <v>1</v>
      </c>
      <c r="O4041" s="18">
        <v>6370</v>
      </c>
      <c r="P4041" s="18">
        <v>6420</v>
      </c>
      <c r="Q4041" t="s" s="16">
        <f>HYPERLINK("http://secrets.rutgers.edu:8080/data/asl-ftp/asllvd/demos/verify_start_end_handshape_annotations//test_auto_move//signs_mov/15919.mov","MOV")</f>
        <v>21</v>
      </c>
      <c r="R4041" t="s" s="16">
        <f>HYPERLINK("http://secrets.rutgers.edu:8080/data/asl-ftp/asllvd/demos/verify_start_end_handshape_annotations//test_auto_move//signs_mov_separ_signers/Liz_15919.mov","MOV")</f>
        <v>21</v>
      </c>
    </row>
    <row r="4042" s="2" customFormat="1" ht="13.5" customHeight="1">
      <c r="B4042" s="13"/>
      <c r="C4042" t="s" s="9">
        <v>30</v>
      </c>
      <c r="D4042" t="s" s="8">
        <v>1375</v>
      </c>
      <c r="E4042" t="s" s="9">
        <v>1377</v>
      </c>
      <c r="F4042" t="s" s="10">
        <v>150</v>
      </c>
      <c r="G4042" t="s" s="11">
        <v>150</v>
      </c>
      <c r="H4042" t="s" s="10">
        <v>150</v>
      </c>
      <c r="I4042" t="s" s="11">
        <v>150</v>
      </c>
      <c r="J4042" t="s" s="11">
        <v>20</v>
      </c>
      <c r="K4042" s="15"/>
      <c r="L4042" t="s" s="16">
        <f>HYPERLINK("http://csr.bu.edu/ftp/asl/asllvd/demos/verify_start_end_handshape_annotations//test_auto_move//signs_mov_separ_signers/Brady_15919.mov","MOV")</f>
        <v>21</v>
      </c>
      <c r="M4042" t="s" s="10">
        <v>31</v>
      </c>
      <c r="N4042" s="17">
        <v>28</v>
      </c>
      <c r="O4042" s="18">
        <v>1516</v>
      </c>
      <c r="P4042" s="18">
        <v>1551</v>
      </c>
      <c r="Q4042" s="15"/>
      <c r="R4042" t="s" s="16">
        <f>HYPERLINK("http://secrets.rutgers.edu:8080/data/asl-ftp/asllvd/demos/verify_start_end_handshape_annotations//test_auto_move//signs_mov_separ_signers/Brady_15919.mov","MOV")</f>
        <v>21</v>
      </c>
    </row>
    <row r="4043" s="2" customFormat="1" ht="13.5" customHeight="1">
      <c r="B4043" t="s" s="8">
        <v>1378</v>
      </c>
      <c r="C4043" t="s" s="9">
        <v>14</v>
      </c>
      <c r="D4043" t="s" s="8">
        <v>14</v>
      </c>
      <c r="E4043" t="s" s="9">
        <v>14</v>
      </c>
      <c r="F4043" t="s" s="10">
        <v>14</v>
      </c>
      <c r="G4043" t="s" s="11">
        <v>14</v>
      </c>
      <c r="H4043" t="s" s="10">
        <v>14</v>
      </c>
      <c r="I4043" t="s" s="11">
        <v>14</v>
      </c>
      <c r="J4043" t="s" s="11">
        <v>14</v>
      </c>
      <c r="K4043" t="s" s="12">
        <v>14</v>
      </c>
      <c r="L4043" t="s" s="12">
        <v>14</v>
      </c>
      <c r="M4043" t="s" s="10">
        <v>14</v>
      </c>
      <c r="N4043" t="s" s="11">
        <v>14</v>
      </c>
      <c r="O4043" t="s" s="8">
        <v>14</v>
      </c>
      <c r="P4043" t="s" s="8">
        <v>14</v>
      </c>
      <c r="Q4043" t="s" s="12">
        <v>14</v>
      </c>
      <c r="R4043" t="s" s="12">
        <v>14</v>
      </c>
    </row>
    <row r="4044" s="2" customFormat="1" ht="13.5" customHeight="1">
      <c r="B4044" s="13"/>
      <c r="C4044" t="s" s="9">
        <v>16</v>
      </c>
      <c r="D4044" t="s" s="8">
        <v>1378</v>
      </c>
      <c r="E4044" t="s" s="9">
        <v>1378</v>
      </c>
      <c r="F4044" t="s" s="10">
        <v>386</v>
      </c>
      <c r="G4044" t="s" s="11">
        <v>386</v>
      </c>
      <c r="H4044" t="s" s="10">
        <v>386</v>
      </c>
      <c r="I4044" t="s" s="11">
        <v>386</v>
      </c>
      <c r="J4044" t="s" s="11">
        <v>20</v>
      </c>
      <c r="K4044" t="s" s="16">
        <f>HYPERLINK("http://csr.bu.edu/ftp/asl/asllvd/demos/verify_start_end_handshape_annotations//test_auto_move//signs_mov/15938.mov","MOV")</f>
        <v>21</v>
      </c>
      <c r="L4044" t="s" s="16">
        <f>HYPERLINK("http://csr.bu.edu/ftp/asl/asllvd/demos/verify_start_end_handshape_annotations//test_auto_move//signs_mov_separ_signers/Liz_15938.mov","MOV")</f>
        <v>21</v>
      </c>
      <c r="M4044" t="s" s="10">
        <v>59</v>
      </c>
      <c r="N4044" s="17">
        <v>6</v>
      </c>
      <c r="O4044" s="18">
        <v>1733</v>
      </c>
      <c r="P4044" s="18">
        <v>1765</v>
      </c>
      <c r="Q4044" t="s" s="16">
        <f>HYPERLINK("http://secrets.rutgers.edu:8080/data/asl-ftp/asllvd/demos/verify_start_end_handshape_annotations//test_auto_move//signs_mov/15938.mov","MOV")</f>
        <v>21</v>
      </c>
      <c r="R4044" t="s" s="16">
        <f>HYPERLINK("http://secrets.rutgers.edu:8080/data/asl-ftp/asllvd/demos/verify_start_end_handshape_annotations//test_auto_move//signs_mov_separ_signers/Liz_15938.mov","MOV")</f>
        <v>21</v>
      </c>
    </row>
    <row r="4045" s="2" customFormat="1" ht="13.5" customHeight="1">
      <c r="B4045" s="13"/>
      <c r="C4045" t="s" s="9">
        <v>30</v>
      </c>
      <c r="D4045" t="s" s="8">
        <v>1378</v>
      </c>
      <c r="E4045" t="s" s="9">
        <v>1378</v>
      </c>
      <c r="F4045" t="s" s="10">
        <v>386</v>
      </c>
      <c r="G4045" t="s" s="11">
        <v>386</v>
      </c>
      <c r="H4045" t="s" s="10">
        <v>386</v>
      </c>
      <c r="I4045" t="s" s="11">
        <v>386</v>
      </c>
      <c r="J4045" t="s" s="11">
        <v>20</v>
      </c>
      <c r="K4045" s="15"/>
      <c r="L4045" t="s" s="16">
        <f>HYPERLINK("http://csr.bu.edu/ftp/asl/asllvd/demos/verify_start_end_handshape_annotations//test_auto_move//signs_mov_separ_signers/Brady_15938.mov","MOV")</f>
        <v>21</v>
      </c>
      <c r="M4045" t="s" s="10">
        <v>40</v>
      </c>
      <c r="N4045" s="17">
        <v>110</v>
      </c>
      <c r="O4045" s="18">
        <v>2193</v>
      </c>
      <c r="P4045" s="18">
        <v>2212</v>
      </c>
      <c r="Q4045" s="15"/>
      <c r="R4045" t="s" s="16">
        <f>HYPERLINK("http://secrets.rutgers.edu:8080/data/asl-ftp/asllvd/demos/verify_start_end_handshape_annotations//test_auto_move//signs_mov_separ_signers/Brady_15938.mov","MOV")</f>
        <v>21</v>
      </c>
    </row>
    <row r="4046" s="2" customFormat="1" ht="13.5" customHeight="1">
      <c r="B4046" t="s" s="8">
        <v>1379</v>
      </c>
      <c r="C4046" t="s" s="9">
        <v>14</v>
      </c>
      <c r="D4046" t="s" s="8">
        <v>14</v>
      </c>
      <c r="E4046" t="s" s="9">
        <v>14</v>
      </c>
      <c r="F4046" t="s" s="10">
        <v>14</v>
      </c>
      <c r="G4046" t="s" s="11">
        <v>14</v>
      </c>
      <c r="H4046" t="s" s="10">
        <v>14</v>
      </c>
      <c r="I4046" t="s" s="11">
        <v>14</v>
      </c>
      <c r="J4046" t="s" s="11">
        <v>14</v>
      </c>
      <c r="K4046" t="s" s="12">
        <v>14</v>
      </c>
      <c r="L4046" t="s" s="12">
        <v>14</v>
      </c>
      <c r="M4046" t="s" s="10">
        <v>14</v>
      </c>
      <c r="N4046" t="s" s="11">
        <v>14</v>
      </c>
      <c r="O4046" t="s" s="8">
        <v>14</v>
      </c>
      <c r="P4046" t="s" s="8">
        <v>14</v>
      </c>
      <c r="Q4046" t="s" s="12">
        <v>14</v>
      </c>
      <c r="R4046" t="s" s="12">
        <v>14</v>
      </c>
    </row>
    <row r="4047" s="2" customFormat="1" ht="13.5" customHeight="1">
      <c r="B4047" s="13"/>
      <c r="C4047" t="s" s="9">
        <v>16</v>
      </c>
      <c r="D4047" t="s" s="8">
        <v>1379</v>
      </c>
      <c r="E4047" t="s" s="9">
        <v>1379</v>
      </c>
      <c r="F4047" t="s" s="10">
        <v>337</v>
      </c>
      <c r="G4047" t="s" s="11">
        <v>337</v>
      </c>
      <c r="H4047" t="s" s="10">
        <v>337</v>
      </c>
      <c r="I4047" t="s" s="11">
        <v>337</v>
      </c>
      <c r="J4047" t="s" s="11">
        <v>20</v>
      </c>
      <c r="K4047" s="15"/>
      <c r="L4047" t="s" s="16">
        <f>HYPERLINK("http://csr.bu.edu/ftp/asl/asllvd/demos/verify_start_end_handshape_annotations//test_auto_move//signs_mov_separ_signers/Liz_15944.mov","MOV")</f>
        <v>21</v>
      </c>
      <c r="M4047" t="s" s="10">
        <v>34</v>
      </c>
      <c r="N4047" s="17">
        <v>12</v>
      </c>
      <c r="O4047" s="18">
        <v>2150</v>
      </c>
      <c r="P4047" s="18">
        <v>2196</v>
      </c>
      <c r="Q4047" s="15"/>
      <c r="R4047" t="s" s="16">
        <f>HYPERLINK("http://secrets.rutgers.edu:8080/data/asl-ftp/asllvd/demos/verify_start_end_handshape_annotations//test_auto_move//signs_mov_separ_signers/Liz_15944.mov","MOV")</f>
        <v>21</v>
      </c>
    </row>
    <row r="4048" s="2" customFormat="1" ht="13.5" customHeight="1">
      <c r="B4048" s="13"/>
      <c r="C4048" t="s" s="9">
        <v>23</v>
      </c>
      <c r="D4048" t="s" s="8">
        <v>1379</v>
      </c>
      <c r="E4048" t="s" s="9">
        <v>1379</v>
      </c>
      <c r="F4048" t="s" s="10">
        <v>337</v>
      </c>
      <c r="G4048" t="s" s="11">
        <v>337</v>
      </c>
      <c r="H4048" t="s" s="10">
        <v>337</v>
      </c>
      <c r="I4048" t="s" s="11">
        <v>337</v>
      </c>
      <c r="J4048" t="s" s="11">
        <v>20</v>
      </c>
      <c r="K4048" t="s" s="16">
        <f>HYPERLINK("http://csr.bu.edu/ftp/asl/asllvd/demos/verify_start_end_handshape_annotations//test_auto_move//signs_mov/15944.mov","MOV")</f>
        <v>21</v>
      </c>
      <c r="L4048" t="s" s="16">
        <f>HYPERLINK("http://csr.bu.edu/ftp/asl/asllvd/demos/verify_start_end_handshape_annotations//test_auto_move//signs_mov_separ_signers/Tyler_15944.mov","MOV")</f>
        <v>21</v>
      </c>
      <c r="M4048" t="s" s="10">
        <v>92</v>
      </c>
      <c r="N4048" s="17">
        <v>42</v>
      </c>
      <c r="O4048" s="18">
        <v>2620</v>
      </c>
      <c r="P4048" s="18">
        <v>2645</v>
      </c>
      <c r="Q4048" t="s" s="16">
        <f>HYPERLINK("http://secrets.rutgers.edu:8080/data/asl-ftp/asllvd/demos/verify_start_end_handshape_annotations//test_auto_move//signs_mov/15944.mov","MOV")</f>
        <v>21</v>
      </c>
      <c r="R4048" t="s" s="16">
        <f>HYPERLINK("http://secrets.rutgers.edu:8080/data/asl-ftp/asllvd/demos/verify_start_end_handshape_annotations//test_auto_move//signs_mov_separ_signers/Tyler_15944.mov","MOV")</f>
        <v>21</v>
      </c>
    </row>
    <row r="4049" s="2" customFormat="1" ht="13.5" customHeight="1">
      <c r="B4049" s="13"/>
      <c r="C4049" t="s" s="9">
        <v>27</v>
      </c>
      <c r="D4049" t="s" s="8">
        <v>1379</v>
      </c>
      <c r="E4049" t="s" s="9">
        <v>1379</v>
      </c>
      <c r="F4049" t="s" s="10">
        <v>337</v>
      </c>
      <c r="G4049" t="s" s="11">
        <v>337</v>
      </c>
      <c r="H4049" t="s" s="10">
        <v>337</v>
      </c>
      <c r="I4049" t="s" s="11">
        <v>337</v>
      </c>
      <c r="J4049" t="s" s="11">
        <v>20</v>
      </c>
      <c r="K4049" s="15"/>
      <c r="L4049" t="s" s="16">
        <f>HYPERLINK("http://csr.bu.edu/ftp/asl/asllvd/demos/verify_start_end_handshape_annotations//test_auto_move//signs_mov_separ_signers/Naomi_15944.mov","MOV")</f>
        <v>21</v>
      </c>
      <c r="M4049" t="s" s="10">
        <v>38</v>
      </c>
      <c r="N4049" s="17">
        <v>10</v>
      </c>
      <c r="O4049" s="18">
        <v>6008</v>
      </c>
      <c r="P4049" s="18">
        <v>6040</v>
      </c>
      <c r="Q4049" s="15"/>
      <c r="R4049" t="s" s="16">
        <f>HYPERLINK("http://secrets.rutgers.edu:8080/data/asl-ftp/asllvd/demos/verify_start_end_handshape_annotations//test_auto_move//signs_mov_separ_signers/Naomi_15944.mov","MOV")</f>
        <v>21</v>
      </c>
    </row>
    <row r="4050" s="2" customFormat="1" ht="13.5" customHeight="1">
      <c r="B4050" s="13"/>
      <c r="C4050" t="s" s="9">
        <v>30</v>
      </c>
      <c r="D4050" t="s" s="8">
        <v>1379</v>
      </c>
      <c r="E4050" t="s" s="9">
        <v>1379</v>
      </c>
      <c r="F4050" t="s" s="10">
        <v>337</v>
      </c>
      <c r="G4050" t="s" s="11">
        <v>337</v>
      </c>
      <c r="H4050" t="s" s="10">
        <v>337</v>
      </c>
      <c r="I4050" t="s" s="11">
        <v>337</v>
      </c>
      <c r="J4050" t="s" s="11">
        <v>20</v>
      </c>
      <c r="K4050" s="15"/>
      <c r="L4050" t="s" s="16">
        <f>HYPERLINK("http://csr.bu.edu/ftp/asl/asllvd/demos/verify_start_end_handshape_annotations//test_auto_move//signs_mov_separ_signers/Brady_15944.mov","MOV")</f>
        <v>21</v>
      </c>
      <c r="M4050" t="s" s="10">
        <v>39</v>
      </c>
      <c r="N4050" s="17">
        <v>29</v>
      </c>
      <c r="O4050" s="18">
        <v>5578</v>
      </c>
      <c r="P4050" s="18">
        <v>5602</v>
      </c>
      <c r="Q4050" s="15"/>
      <c r="R4050" t="s" s="16">
        <f>HYPERLINK("http://secrets.rutgers.edu:8080/data/asl-ftp/asllvd/demos/verify_start_end_handshape_annotations//test_auto_move//signs_mov_separ_signers/Brady_15944.mov","MOV")</f>
        <v>21</v>
      </c>
    </row>
    <row r="4051" s="2" customFormat="1" ht="13.5" customHeight="1">
      <c r="B4051" t="s" s="8">
        <v>1380</v>
      </c>
      <c r="C4051" t="s" s="9">
        <v>14</v>
      </c>
      <c r="D4051" t="s" s="8">
        <v>14</v>
      </c>
      <c r="E4051" t="s" s="9">
        <v>14</v>
      </c>
      <c r="F4051" t="s" s="10">
        <v>14</v>
      </c>
      <c r="G4051" t="s" s="11">
        <v>14</v>
      </c>
      <c r="H4051" t="s" s="10">
        <v>14</v>
      </c>
      <c r="I4051" t="s" s="11">
        <v>14</v>
      </c>
      <c r="J4051" t="s" s="11">
        <v>14</v>
      </c>
      <c r="K4051" t="s" s="12">
        <v>14</v>
      </c>
      <c r="L4051" t="s" s="12">
        <v>14</v>
      </c>
      <c r="M4051" t="s" s="10">
        <v>14</v>
      </c>
      <c r="N4051" t="s" s="11">
        <v>14</v>
      </c>
      <c r="O4051" t="s" s="8">
        <v>14</v>
      </c>
      <c r="P4051" t="s" s="8">
        <v>14</v>
      </c>
      <c r="Q4051" t="s" s="12">
        <v>14</v>
      </c>
      <c r="R4051" t="s" s="12">
        <v>14</v>
      </c>
    </row>
    <row r="4052" s="2" customFormat="1" ht="13.5" customHeight="1">
      <c r="B4052" s="13"/>
      <c r="C4052" t="s" s="9">
        <v>16</v>
      </c>
      <c r="D4052" t="s" s="8">
        <v>1380</v>
      </c>
      <c r="E4052" t="s" s="9">
        <v>1380</v>
      </c>
      <c r="F4052" t="s" s="10">
        <v>72</v>
      </c>
      <c r="G4052" t="s" s="11">
        <v>72</v>
      </c>
      <c r="H4052" t="s" s="10">
        <v>72</v>
      </c>
      <c r="I4052" t="s" s="11">
        <v>72</v>
      </c>
      <c r="J4052" t="s" s="11">
        <v>20</v>
      </c>
      <c r="K4052" s="15"/>
      <c r="L4052" t="s" s="16">
        <f>HYPERLINK("http://csr.bu.edu/ftp/asl/asllvd/demos/verify_start_end_handshape_annotations//test_auto_move//signs_mov_separ_signers/Liz_15968.mov","MOV")</f>
        <v>21</v>
      </c>
      <c r="M4052" t="s" s="10">
        <v>34</v>
      </c>
      <c r="N4052" s="17">
        <v>12</v>
      </c>
      <c r="O4052" s="18">
        <v>2341</v>
      </c>
      <c r="P4052" s="18">
        <v>2377</v>
      </c>
      <c r="Q4052" s="15"/>
      <c r="R4052" t="s" s="16">
        <f>HYPERLINK("http://secrets.rutgers.edu:8080/data/asl-ftp/asllvd/demos/verify_start_end_handshape_annotations//test_auto_move//signs_mov_separ_signers/Liz_15968.mov","MOV")</f>
        <v>21</v>
      </c>
    </row>
    <row r="4053" s="2" customFormat="1" ht="13.5" customHeight="1">
      <c r="B4053" s="13"/>
      <c r="C4053" t="s" s="9">
        <v>23</v>
      </c>
      <c r="D4053" t="s" s="8">
        <v>1380</v>
      </c>
      <c r="E4053" t="s" s="9">
        <v>1380</v>
      </c>
      <c r="F4053" t="s" s="10">
        <v>185</v>
      </c>
      <c r="G4053" t="s" s="11">
        <v>185</v>
      </c>
      <c r="H4053" t="s" s="10">
        <v>185</v>
      </c>
      <c r="I4053" t="s" s="11">
        <v>185</v>
      </c>
      <c r="J4053" t="s" s="11">
        <v>20</v>
      </c>
      <c r="K4053" t="s" s="16">
        <f>HYPERLINK("http://csr.bu.edu/ftp/asl/asllvd/demos/verify_start_end_handshape_annotations//test_auto_move//signs_mov/15968_15976_merged.mov","MOV")</f>
        <v>21</v>
      </c>
      <c r="L4053" t="s" s="16">
        <f>HYPERLINK("http://csr.bu.edu/ftp/asl/asllvd/demos/verify_start_end_handshape_annotations//test_auto_move//signs_mov_separ_signers/Tyler_15968.mov","MOV")</f>
        <v>21</v>
      </c>
      <c r="M4053" t="s" s="10">
        <v>92</v>
      </c>
      <c r="N4053" s="17">
        <v>42</v>
      </c>
      <c r="O4053" s="18">
        <v>3090</v>
      </c>
      <c r="P4053" s="18">
        <v>3117</v>
      </c>
      <c r="Q4053" t="s" s="16">
        <f>HYPERLINK("http://secrets.rutgers.edu:8080/data/asl-ftp/asllvd/demos/verify_start_end_handshape_annotations//test_auto_move//signs_mov/15968_15976_merged.mov","MOV")</f>
        <v>21</v>
      </c>
      <c r="R4053" t="s" s="16">
        <f>HYPERLINK("http://secrets.rutgers.edu:8080/data/asl-ftp/asllvd/demos/verify_start_end_handshape_annotations//test_auto_move//signs_mov_separ_signers/Tyler_15968.mov","MOV")</f>
        <v>21</v>
      </c>
    </row>
    <row r="4054" s="2" customFormat="1" ht="13.5" customHeight="1">
      <c r="B4054" s="13"/>
      <c r="C4054" t="s" s="9">
        <v>27</v>
      </c>
      <c r="D4054" t="s" s="8">
        <v>1380</v>
      </c>
      <c r="E4054" t="s" s="9">
        <v>1380</v>
      </c>
      <c r="F4054" t="s" s="10">
        <v>72</v>
      </c>
      <c r="G4054" t="s" s="11">
        <v>72</v>
      </c>
      <c r="H4054" t="s" s="10">
        <v>72</v>
      </c>
      <c r="I4054" t="s" s="11">
        <v>72</v>
      </c>
      <c r="J4054" t="s" s="11">
        <v>20</v>
      </c>
      <c r="K4054" s="15"/>
      <c r="L4054" t="s" s="16">
        <f>HYPERLINK("http://csr.bu.edu/ftp/asl/asllvd/demos/verify_start_end_handshape_annotations//test_auto_move//signs_mov_separ_signers/Naomi_15968.mov","MOV")</f>
        <v>21</v>
      </c>
      <c r="M4054" t="s" s="10">
        <v>38</v>
      </c>
      <c r="N4054" s="17">
        <v>2</v>
      </c>
      <c r="O4054" s="18">
        <v>1574</v>
      </c>
      <c r="P4054" s="18">
        <v>1628</v>
      </c>
      <c r="Q4054" s="15"/>
      <c r="R4054" t="s" s="16">
        <f>HYPERLINK("http://secrets.rutgers.edu:8080/data/asl-ftp/asllvd/demos/verify_start_end_handshape_annotations//test_auto_move//signs_mov_separ_signers/Naomi_15968.mov","MOV")</f>
        <v>21</v>
      </c>
    </row>
    <row r="4055" s="2" customFormat="1" ht="13.5" customHeight="1">
      <c r="B4055" s="13"/>
      <c r="C4055" t="s" s="9">
        <v>27</v>
      </c>
      <c r="D4055" t="s" s="8">
        <v>1380</v>
      </c>
      <c r="E4055" t="s" s="9">
        <v>1380</v>
      </c>
      <c r="F4055" t="s" s="10">
        <v>72</v>
      </c>
      <c r="G4055" t="s" s="11">
        <v>72</v>
      </c>
      <c r="H4055" t="s" s="10">
        <v>72</v>
      </c>
      <c r="I4055" t="s" s="11">
        <v>72</v>
      </c>
      <c r="J4055" t="s" s="11">
        <v>20</v>
      </c>
      <c r="K4055" s="15"/>
      <c r="L4055" t="s" s="16">
        <f>HYPERLINK("http://csr.bu.edu/ftp/asl/asllvd/demos/verify_start_end_handshape_annotations//test_auto_move//signs_mov_separ_signers/Naomi_15976.mov","MOV")</f>
        <v>21</v>
      </c>
      <c r="M4055" t="s" s="10">
        <v>38</v>
      </c>
      <c r="N4055" s="17">
        <v>10</v>
      </c>
      <c r="O4055" s="18">
        <v>6777</v>
      </c>
      <c r="P4055" s="18">
        <v>6800</v>
      </c>
      <c r="Q4055" s="15"/>
      <c r="R4055" t="s" s="16">
        <f>HYPERLINK("http://secrets.rutgers.edu:8080/data/asl-ftp/asllvd/demos/verify_start_end_handshape_annotations//test_auto_move//signs_mov_separ_signers/Naomi_15976.mov","MOV")</f>
        <v>21</v>
      </c>
    </row>
    <row r="4056" s="2" customFormat="1" ht="13.5" customHeight="1">
      <c r="B4056" t="s" s="8">
        <v>1381</v>
      </c>
      <c r="C4056" t="s" s="9">
        <v>14</v>
      </c>
      <c r="D4056" t="s" s="8">
        <v>14</v>
      </c>
      <c r="E4056" t="s" s="9">
        <v>14</v>
      </c>
      <c r="F4056" t="s" s="10">
        <v>14</v>
      </c>
      <c r="G4056" t="s" s="11">
        <v>14</v>
      </c>
      <c r="H4056" t="s" s="10">
        <v>14</v>
      </c>
      <c r="I4056" t="s" s="11">
        <v>14</v>
      </c>
      <c r="J4056" t="s" s="11">
        <v>14</v>
      </c>
      <c r="K4056" t="s" s="12">
        <v>14</v>
      </c>
      <c r="L4056" t="s" s="12">
        <v>14</v>
      </c>
      <c r="M4056" t="s" s="10">
        <v>14</v>
      </c>
      <c r="N4056" t="s" s="11">
        <v>14</v>
      </c>
      <c r="O4056" t="s" s="8">
        <v>14</v>
      </c>
      <c r="P4056" t="s" s="8">
        <v>14</v>
      </c>
      <c r="Q4056" t="s" s="12">
        <v>14</v>
      </c>
      <c r="R4056" t="s" s="12">
        <v>14</v>
      </c>
    </row>
    <row r="4057" s="2" customFormat="1" ht="13.5" customHeight="1">
      <c r="B4057" s="13"/>
      <c r="C4057" t="s" s="9">
        <v>16</v>
      </c>
      <c r="D4057" t="s" s="8">
        <v>1381</v>
      </c>
      <c r="E4057" t="s" s="9">
        <v>1381</v>
      </c>
      <c r="F4057" t="s" s="10">
        <v>63</v>
      </c>
      <c r="G4057" t="s" s="11">
        <v>63</v>
      </c>
      <c r="H4057" t="s" s="10">
        <v>63</v>
      </c>
      <c r="I4057" t="s" s="11">
        <v>63</v>
      </c>
      <c r="J4057" t="s" s="11">
        <v>20</v>
      </c>
      <c r="K4057" s="15"/>
      <c r="L4057" t="s" s="16">
        <f>HYPERLINK("http://csr.bu.edu/ftp/asl/asllvd/demos/verify_start_end_handshape_annotations//test_auto_move//signs_mov_separ_signers/Liz_15978.mov","MOV")</f>
        <v>21</v>
      </c>
      <c r="M4057" t="s" s="10">
        <v>22</v>
      </c>
      <c r="N4057" s="17">
        <v>23</v>
      </c>
      <c r="O4057" s="18">
        <v>1305</v>
      </c>
      <c r="P4057" s="18">
        <v>1350</v>
      </c>
      <c r="Q4057" s="15"/>
      <c r="R4057" t="s" s="16">
        <f>HYPERLINK("http://secrets.rutgers.edu:8080/data/asl-ftp/asllvd/demos/verify_start_end_handshape_annotations//test_auto_move//signs_mov_separ_signers/Liz_15978.mov","MOV")</f>
        <v>21</v>
      </c>
    </row>
    <row r="4058" s="2" customFormat="1" ht="13.5" customHeight="1">
      <c r="B4058" s="13"/>
      <c r="C4058" t="s" s="9">
        <v>16</v>
      </c>
      <c r="D4058" t="s" s="8">
        <v>1381</v>
      </c>
      <c r="E4058" t="s" s="9">
        <v>1381</v>
      </c>
      <c r="F4058" t="s" s="10">
        <v>63</v>
      </c>
      <c r="G4058" t="s" s="11">
        <v>63</v>
      </c>
      <c r="H4058" t="s" s="10">
        <v>63</v>
      </c>
      <c r="I4058" t="s" s="11">
        <v>63</v>
      </c>
      <c r="J4058" t="s" s="11">
        <v>20</v>
      </c>
      <c r="K4058" s="15"/>
      <c r="L4058" t="s" s="16">
        <f>HYPERLINK("http://csr.bu.edu/ftp/asl/asllvd/demos/verify_start_end_handshape_annotations//test_auto_move//signs_mov_separ_signers/Liz_15984.mov","MOV")</f>
        <v>21</v>
      </c>
      <c r="M4058" t="s" s="10">
        <v>77</v>
      </c>
      <c r="N4058" s="17">
        <v>23</v>
      </c>
      <c r="O4058" s="18">
        <v>998</v>
      </c>
      <c r="P4058" s="18">
        <v>1065</v>
      </c>
      <c r="Q4058" s="15"/>
      <c r="R4058" t="s" s="16">
        <f>HYPERLINK("http://secrets.rutgers.edu:8080/data/asl-ftp/asllvd/demos/verify_start_end_handshape_annotations//test_auto_move//signs_mov_separ_signers/Liz_15984.mov","MOV")</f>
        <v>21</v>
      </c>
    </row>
    <row r="4059" s="2" customFormat="1" ht="13.5" customHeight="1">
      <c r="B4059" s="13"/>
      <c r="C4059" t="s" s="9">
        <v>27</v>
      </c>
      <c r="D4059" t="s" s="8">
        <v>1381</v>
      </c>
      <c r="E4059" t="s" s="9">
        <v>1381</v>
      </c>
      <c r="F4059" s="19">
        <v>10</v>
      </c>
      <c r="G4059" s="17">
        <v>10</v>
      </c>
      <c r="H4059" s="19">
        <v>10</v>
      </c>
      <c r="I4059" s="17">
        <v>10</v>
      </c>
      <c r="J4059" t="s" s="11">
        <v>20</v>
      </c>
      <c r="K4059" t="s" s="16">
        <f>HYPERLINK("http://csr.bu.edu/ftp/asl/asllvd/demos/verify_start_end_handshape_annotations//test_auto_move//signs_mov/15978_15984_merged.mov","MOV")</f>
        <v>21</v>
      </c>
      <c r="L4059" t="s" s="16">
        <f>HYPERLINK("http://csr.bu.edu/ftp/asl/asllvd/demos/verify_start_end_handshape_annotations//test_auto_move//signs_mov_separ_signers/Naomi_15978.mov","MOV")</f>
        <v>21</v>
      </c>
      <c r="M4059" t="s" s="10">
        <v>29</v>
      </c>
      <c r="N4059" s="17">
        <v>15</v>
      </c>
      <c r="O4059" s="18">
        <v>3142</v>
      </c>
      <c r="P4059" s="18">
        <v>3165</v>
      </c>
      <c r="Q4059" t="s" s="16">
        <f>HYPERLINK("http://secrets.rutgers.edu:8080/data/asl-ftp/asllvd/demos/verify_start_end_handshape_annotations//test_auto_move//signs_mov/15978_15984_merged.mov","MOV")</f>
        <v>21</v>
      </c>
      <c r="R4059" t="s" s="16">
        <f>HYPERLINK("http://secrets.rutgers.edu:8080/data/asl-ftp/asllvd/demos/verify_start_end_handshape_annotations//test_auto_move//signs_mov_separ_signers/Naomi_15978.mov","MOV")</f>
        <v>21</v>
      </c>
    </row>
    <row r="4060" s="2" customFormat="1" ht="13.5" customHeight="1">
      <c r="B4060" s="13"/>
      <c r="C4060" t="s" s="9">
        <v>30</v>
      </c>
      <c r="D4060" t="s" s="8">
        <v>1381</v>
      </c>
      <c r="E4060" t="s" s="9">
        <v>1381</v>
      </c>
      <c r="F4060" t="s" s="10">
        <v>63</v>
      </c>
      <c r="G4060" t="s" s="11">
        <v>63</v>
      </c>
      <c r="H4060" t="s" s="10">
        <v>63</v>
      </c>
      <c r="I4060" t="s" s="11">
        <v>63</v>
      </c>
      <c r="J4060" t="s" s="11">
        <v>20</v>
      </c>
      <c r="K4060" s="15"/>
      <c r="L4060" t="s" s="16">
        <f>HYPERLINK("http://csr.bu.edu/ftp/asl/asllvd/demos/verify_start_end_handshape_annotations//test_auto_move//signs_mov_separ_signers/Brady_15978.mov","MOV")</f>
        <v>21</v>
      </c>
      <c r="M4060" t="s" s="10">
        <v>31</v>
      </c>
      <c r="N4060" s="17">
        <v>9</v>
      </c>
      <c r="O4060" s="18">
        <v>11571</v>
      </c>
      <c r="P4060" s="18">
        <v>11587</v>
      </c>
      <c r="Q4060" s="15"/>
      <c r="R4060" t="s" s="16">
        <f>HYPERLINK("http://secrets.rutgers.edu:8080/data/asl-ftp/asllvd/demos/verify_start_end_handshape_annotations//test_auto_move//signs_mov_separ_signers/Brady_15978.mov","MOV")</f>
        <v>21</v>
      </c>
    </row>
    <row r="4061" s="2" customFormat="1" ht="13.5" customHeight="1">
      <c r="B4061" s="13"/>
      <c r="C4061" t="s" s="9">
        <v>30</v>
      </c>
      <c r="D4061" t="s" s="8">
        <v>1381</v>
      </c>
      <c r="E4061" t="s" s="9">
        <v>1381</v>
      </c>
      <c r="F4061" t="s" s="10">
        <v>63</v>
      </c>
      <c r="G4061" t="s" s="11">
        <v>63</v>
      </c>
      <c r="H4061" t="s" s="10">
        <v>63</v>
      </c>
      <c r="I4061" t="s" s="11">
        <v>63</v>
      </c>
      <c r="J4061" t="s" s="11">
        <v>20</v>
      </c>
      <c r="K4061" s="15"/>
      <c r="L4061" t="s" s="16">
        <f>HYPERLINK("http://csr.bu.edu/ftp/asl/asllvd/demos/verify_start_end_handshape_annotations//test_auto_move//signs_mov_separ_signers/Brady_15984.mov","MOV")</f>
        <v>21</v>
      </c>
      <c r="M4061" t="s" s="10">
        <v>31</v>
      </c>
      <c r="N4061" s="17">
        <v>13</v>
      </c>
      <c r="O4061" s="18">
        <v>10210</v>
      </c>
      <c r="P4061" s="18">
        <v>10229</v>
      </c>
      <c r="Q4061" s="15"/>
      <c r="R4061" t="s" s="16">
        <f>HYPERLINK("http://secrets.rutgers.edu:8080/data/asl-ftp/asllvd/demos/verify_start_end_handshape_annotations//test_auto_move//signs_mov_separ_signers/Brady_15984.mov","MOV")</f>
        <v>21</v>
      </c>
    </row>
    <row r="4062" s="2" customFormat="1" ht="13.5" customHeight="1">
      <c r="B4062" t="s" s="8">
        <v>1382</v>
      </c>
      <c r="C4062" t="s" s="9">
        <v>14</v>
      </c>
      <c r="D4062" t="s" s="8">
        <v>14</v>
      </c>
      <c r="E4062" t="s" s="9">
        <v>14</v>
      </c>
      <c r="F4062" t="s" s="10">
        <v>14</v>
      </c>
      <c r="G4062" t="s" s="11">
        <v>14</v>
      </c>
      <c r="H4062" t="s" s="10">
        <v>14</v>
      </c>
      <c r="I4062" t="s" s="11">
        <v>14</v>
      </c>
      <c r="J4062" t="s" s="11">
        <v>14</v>
      </c>
      <c r="K4062" t="s" s="12">
        <v>14</v>
      </c>
      <c r="L4062" t="s" s="12">
        <v>14</v>
      </c>
      <c r="M4062" t="s" s="10">
        <v>14</v>
      </c>
      <c r="N4062" t="s" s="11">
        <v>14</v>
      </c>
      <c r="O4062" t="s" s="8">
        <v>14</v>
      </c>
      <c r="P4062" t="s" s="8">
        <v>14</v>
      </c>
      <c r="Q4062" t="s" s="12">
        <v>14</v>
      </c>
      <c r="R4062" t="s" s="12">
        <v>14</v>
      </c>
    </row>
    <row r="4063" s="2" customFormat="1" ht="13.5" customHeight="1">
      <c r="B4063" s="13"/>
      <c r="C4063" t="s" s="9">
        <v>16</v>
      </c>
      <c r="D4063" t="s" s="8">
        <v>1382</v>
      </c>
      <c r="E4063" t="s" s="9">
        <v>1382</v>
      </c>
      <c r="F4063" t="s" s="10">
        <v>68</v>
      </c>
      <c r="G4063" t="s" s="11">
        <v>68</v>
      </c>
      <c r="H4063" t="s" s="10">
        <v>68</v>
      </c>
      <c r="I4063" t="s" s="11">
        <v>68</v>
      </c>
      <c r="J4063" t="s" s="11">
        <v>20</v>
      </c>
      <c r="K4063" t="s" s="16">
        <f>HYPERLINK("http://csr.bu.edu/ftp/asl/asllvd/demos/verify_start_end_handshape_annotations//test_auto_move//signs_mov/15985.mov","MOV")</f>
        <v>21</v>
      </c>
      <c r="L4063" t="s" s="16">
        <f>HYPERLINK("http://csr.bu.edu/ftp/asl/asllvd/demos/verify_start_end_handshape_annotations//test_auto_move//signs_mov_separ_signers/Liz_15985.mov","MOV")</f>
        <v>21</v>
      </c>
      <c r="M4063" t="s" s="10">
        <v>36</v>
      </c>
      <c r="N4063" s="17">
        <v>37</v>
      </c>
      <c r="O4063" s="18">
        <v>1970</v>
      </c>
      <c r="P4063" s="18">
        <v>2015</v>
      </c>
      <c r="Q4063" t="s" s="16">
        <f>HYPERLINK("http://secrets.rutgers.edu:8080/data/asl-ftp/asllvd/demos/verify_start_end_handshape_annotations//test_auto_move//signs_mov/15985.mov","MOV")</f>
        <v>21</v>
      </c>
      <c r="R4063" t="s" s="16">
        <f>HYPERLINK("http://secrets.rutgers.edu:8080/data/asl-ftp/asllvd/demos/verify_start_end_handshape_annotations//test_auto_move//signs_mov_separ_signers/Liz_15985.mov","MOV")</f>
        <v>21</v>
      </c>
    </row>
    <row r="4064" s="2" customFormat="1" ht="13.5" customHeight="1">
      <c r="B4064" s="13"/>
      <c r="C4064" t="s" s="9">
        <v>30</v>
      </c>
      <c r="D4064" t="s" s="8">
        <v>1382</v>
      </c>
      <c r="E4064" t="s" s="9">
        <v>1382</v>
      </c>
      <c r="F4064" t="s" s="10">
        <v>68</v>
      </c>
      <c r="G4064" t="s" s="11">
        <v>68</v>
      </c>
      <c r="H4064" t="s" s="10">
        <v>68</v>
      </c>
      <c r="I4064" t="s" s="11">
        <v>68</v>
      </c>
      <c r="J4064" t="s" s="11">
        <v>20</v>
      </c>
      <c r="K4064" s="15"/>
      <c r="L4064" t="s" s="16">
        <f>HYPERLINK("http://csr.bu.edu/ftp/asl/asllvd/demos/verify_start_end_handshape_annotations//test_auto_move//signs_mov_separ_signers/Brady_15985.mov","MOV")</f>
        <v>21</v>
      </c>
      <c r="M4064" t="s" s="10">
        <v>40</v>
      </c>
      <c r="N4064" s="17">
        <v>89</v>
      </c>
      <c r="O4064" s="18">
        <v>2691</v>
      </c>
      <c r="P4064" s="18">
        <v>2712</v>
      </c>
      <c r="Q4064" s="15"/>
      <c r="R4064" t="s" s="16">
        <f>HYPERLINK("http://secrets.rutgers.edu:8080/data/asl-ftp/asllvd/demos/verify_start_end_handshape_annotations//test_auto_move//signs_mov_separ_signers/Brady_15985.mov","MOV")</f>
        <v>21</v>
      </c>
    </row>
    <row r="4065" s="2" customFormat="1" ht="13.5" customHeight="1">
      <c r="B4065" t="s" s="8">
        <v>1383</v>
      </c>
      <c r="C4065" t="s" s="9">
        <v>14</v>
      </c>
      <c r="D4065" t="s" s="8">
        <v>14</v>
      </c>
      <c r="E4065" t="s" s="9">
        <v>14</v>
      </c>
      <c r="F4065" t="s" s="10">
        <v>14</v>
      </c>
      <c r="G4065" t="s" s="11">
        <v>14</v>
      </c>
      <c r="H4065" t="s" s="10">
        <v>14</v>
      </c>
      <c r="I4065" t="s" s="11">
        <v>14</v>
      </c>
      <c r="J4065" t="s" s="11">
        <v>14</v>
      </c>
      <c r="K4065" t="s" s="12">
        <v>14</v>
      </c>
      <c r="L4065" t="s" s="12">
        <v>14</v>
      </c>
      <c r="M4065" t="s" s="10">
        <v>14</v>
      </c>
      <c r="N4065" t="s" s="11">
        <v>14</v>
      </c>
      <c r="O4065" t="s" s="8">
        <v>14</v>
      </c>
      <c r="P4065" t="s" s="8">
        <v>14</v>
      </c>
      <c r="Q4065" t="s" s="12">
        <v>14</v>
      </c>
      <c r="R4065" t="s" s="12">
        <v>14</v>
      </c>
    </row>
    <row r="4066" s="2" customFormat="1" ht="13.5" customHeight="1">
      <c r="B4066" s="13"/>
      <c r="C4066" t="s" s="9">
        <v>16</v>
      </c>
      <c r="D4066" t="s" s="8">
        <v>1383</v>
      </c>
      <c r="E4066" t="s" s="9">
        <v>1383</v>
      </c>
      <c r="F4066" t="s" s="10">
        <v>51</v>
      </c>
      <c r="G4066" t="s" s="11">
        <v>51</v>
      </c>
      <c r="H4066" t="s" s="10">
        <v>51</v>
      </c>
      <c r="I4066" t="s" s="11">
        <v>51</v>
      </c>
      <c r="J4066" t="s" s="11">
        <v>20</v>
      </c>
      <c r="K4066" s="15"/>
      <c r="L4066" t="s" s="16">
        <f>HYPERLINK("http://csr.bu.edu/ftp/asl/asllvd/demos/verify_start_end_handshape_annotations//test_auto_move//signs_mov_separ_signers/Liz_16034.mov","MOV")</f>
        <v>21</v>
      </c>
      <c r="M4066" t="s" s="10">
        <v>84</v>
      </c>
      <c r="N4066" s="17">
        <v>14</v>
      </c>
      <c r="O4066" s="18">
        <v>2200</v>
      </c>
      <c r="P4066" s="18">
        <v>2225</v>
      </c>
      <c r="Q4066" s="15"/>
      <c r="R4066" t="s" s="16">
        <f>HYPERLINK("http://secrets.rutgers.edu:8080/data/asl-ftp/asllvd/demos/verify_start_end_handshape_annotations//test_auto_move//signs_mov_separ_signers/Liz_16034.mov","MOV")</f>
        <v>21</v>
      </c>
    </row>
    <row r="4067" s="2" customFormat="1" ht="13.5" customHeight="1">
      <c r="B4067" s="13"/>
      <c r="C4067" t="s" s="9">
        <v>23</v>
      </c>
      <c r="D4067" t="s" s="8">
        <v>1383</v>
      </c>
      <c r="E4067" t="s" s="9">
        <v>1383</v>
      </c>
      <c r="F4067" t="s" s="10">
        <v>51</v>
      </c>
      <c r="G4067" t="s" s="11">
        <v>51</v>
      </c>
      <c r="H4067" t="s" s="10">
        <v>51</v>
      </c>
      <c r="I4067" t="s" s="11">
        <v>51</v>
      </c>
      <c r="J4067" t="s" s="11">
        <v>20</v>
      </c>
      <c r="K4067" t="s" s="16">
        <f>HYPERLINK("http://csr.bu.edu/ftp/asl/asllvd/demos/verify_start_end_handshape_annotations//test_auto_move//signs_mov/16034.mov","MOV")</f>
        <v>21</v>
      </c>
      <c r="L4067" t="s" s="16">
        <f>HYPERLINK("http://csr.bu.edu/ftp/asl/asllvd/demos/verify_start_end_handshape_annotations//test_auto_move//signs_mov_separ_signers/Tyler_16034.mov","MOV")</f>
        <v>21</v>
      </c>
      <c r="M4067" t="s" s="10">
        <v>125</v>
      </c>
      <c r="N4067" s="17">
        <v>14</v>
      </c>
      <c r="O4067" s="18">
        <v>2955</v>
      </c>
      <c r="P4067" s="18">
        <v>2985</v>
      </c>
      <c r="Q4067" t="s" s="16">
        <f>HYPERLINK("http://secrets.rutgers.edu:8080/data/asl-ftp/asllvd/demos/verify_start_end_handshape_annotations//test_auto_move//signs_mov/16034.mov","MOV")</f>
        <v>21</v>
      </c>
      <c r="R4067" t="s" s="16">
        <f>HYPERLINK("http://secrets.rutgers.edu:8080/data/asl-ftp/asllvd/demos/verify_start_end_handshape_annotations//test_auto_move//signs_mov_separ_signers/Tyler_16034.mov","MOV")</f>
        <v>21</v>
      </c>
    </row>
    <row r="4068" s="2" customFormat="1" ht="13.5" customHeight="1">
      <c r="B4068" s="13"/>
      <c r="C4068" t="s" s="9">
        <v>27</v>
      </c>
      <c r="D4068" t="s" s="8">
        <v>1383</v>
      </c>
      <c r="E4068" t="s" s="9">
        <v>1383</v>
      </c>
      <c r="F4068" t="s" s="10">
        <v>51</v>
      </c>
      <c r="G4068" t="s" s="11">
        <v>51</v>
      </c>
      <c r="H4068" t="s" s="10">
        <v>51</v>
      </c>
      <c r="I4068" t="s" s="11">
        <v>51</v>
      </c>
      <c r="J4068" t="s" s="11">
        <v>20</v>
      </c>
      <c r="K4068" s="15"/>
      <c r="L4068" t="s" s="16">
        <f>HYPERLINK("http://csr.bu.edu/ftp/asl/asllvd/demos/verify_start_end_handshape_annotations//test_auto_move//signs_mov_separ_signers/Naomi_16034.mov","MOV")</f>
        <v>21</v>
      </c>
      <c r="M4068" t="s" s="10">
        <v>86</v>
      </c>
      <c r="N4068" s="17">
        <v>14</v>
      </c>
      <c r="O4068" s="18">
        <v>3565</v>
      </c>
      <c r="P4068" s="18">
        <v>3585</v>
      </c>
      <c r="Q4068" s="15"/>
      <c r="R4068" t="s" s="16">
        <f>HYPERLINK("http://secrets.rutgers.edu:8080/data/asl-ftp/asllvd/demos/verify_start_end_handshape_annotations//test_auto_move//signs_mov_separ_signers/Naomi_16034.mov","MOV")</f>
        <v>21</v>
      </c>
    </row>
    <row r="4069" s="2" customFormat="1" ht="13.5" customHeight="1">
      <c r="B4069" s="13"/>
      <c r="C4069" t="s" s="9">
        <v>30</v>
      </c>
      <c r="D4069" t="s" s="8">
        <v>1383</v>
      </c>
      <c r="E4069" t="s" s="9">
        <v>1383</v>
      </c>
      <c r="F4069" t="s" s="10">
        <v>51</v>
      </c>
      <c r="G4069" t="s" s="11">
        <v>51</v>
      </c>
      <c r="H4069" t="s" s="10">
        <v>51</v>
      </c>
      <c r="I4069" t="s" s="11">
        <v>51</v>
      </c>
      <c r="J4069" t="s" s="11">
        <v>20</v>
      </c>
      <c r="K4069" s="15"/>
      <c r="L4069" t="s" s="16">
        <f>HYPERLINK("http://csr.bu.edu/ftp/asl/asllvd/demos/verify_start_end_handshape_annotations//test_auto_move//signs_mov_separ_signers/Brady_16034.mov","MOV")</f>
        <v>21</v>
      </c>
      <c r="M4069" t="s" s="10">
        <v>31</v>
      </c>
      <c r="N4069" s="17">
        <v>33</v>
      </c>
      <c r="O4069" s="18">
        <v>1115</v>
      </c>
      <c r="P4069" s="18">
        <v>1139</v>
      </c>
      <c r="Q4069" s="15"/>
      <c r="R4069" t="s" s="16">
        <f>HYPERLINK("http://secrets.rutgers.edu:8080/data/asl-ftp/asllvd/demos/verify_start_end_handshape_annotations//test_auto_move//signs_mov_separ_signers/Brady_16034.mov","MOV")</f>
        <v>21</v>
      </c>
    </row>
    <row r="4070" s="2" customFormat="1" ht="13.5" customHeight="1">
      <c r="B4070" t="s" s="8">
        <v>1384</v>
      </c>
      <c r="C4070" t="s" s="9">
        <v>14</v>
      </c>
      <c r="D4070" t="s" s="8">
        <v>14</v>
      </c>
      <c r="E4070" t="s" s="9">
        <v>14</v>
      </c>
      <c r="F4070" t="s" s="10">
        <v>14</v>
      </c>
      <c r="G4070" t="s" s="11">
        <v>14</v>
      </c>
      <c r="H4070" t="s" s="10">
        <v>14</v>
      </c>
      <c r="I4070" t="s" s="11">
        <v>14</v>
      </c>
      <c r="J4070" t="s" s="11">
        <v>14</v>
      </c>
      <c r="K4070" t="s" s="12">
        <v>14</v>
      </c>
      <c r="L4070" t="s" s="12">
        <v>14</v>
      </c>
      <c r="M4070" t="s" s="10">
        <v>14</v>
      </c>
      <c r="N4070" t="s" s="11">
        <v>14</v>
      </c>
      <c r="O4070" t="s" s="8">
        <v>14</v>
      </c>
      <c r="P4070" t="s" s="8">
        <v>14</v>
      </c>
      <c r="Q4070" t="s" s="12">
        <v>14</v>
      </c>
      <c r="R4070" t="s" s="12">
        <v>14</v>
      </c>
    </row>
    <row r="4071" s="2" customFormat="1" ht="13.5" customHeight="1">
      <c r="B4071" s="13"/>
      <c r="C4071" t="s" s="9">
        <v>16</v>
      </c>
      <c r="D4071" t="s" s="8">
        <v>1384</v>
      </c>
      <c r="E4071" t="s" s="9">
        <v>1384</v>
      </c>
      <c r="F4071" t="s" s="10">
        <v>158</v>
      </c>
      <c r="G4071" t="s" s="11">
        <v>158</v>
      </c>
      <c r="H4071" t="s" s="10">
        <v>158</v>
      </c>
      <c r="I4071" t="s" s="11">
        <v>158</v>
      </c>
      <c r="J4071" t="s" s="11">
        <v>20</v>
      </c>
      <c r="K4071" t="s" s="16">
        <f>HYPERLINK("http://csr.bu.edu/ftp/asl/asllvd/demos/verify_start_end_handshape_annotations//test_auto_move//signs_mov/16345.mov","MOV")</f>
        <v>21</v>
      </c>
      <c r="L4071" t="s" s="16">
        <f>HYPERLINK("http://csr.bu.edu/ftp/asl/asllvd/demos/verify_start_end_handshape_annotations//test_auto_move//signs_mov_separ_signers/Liz_16345.mov","MOV")</f>
        <v>21</v>
      </c>
      <c r="M4071" t="s" s="10">
        <v>88</v>
      </c>
      <c r="N4071" s="17">
        <v>27</v>
      </c>
      <c r="O4071" s="18">
        <v>3580</v>
      </c>
      <c r="P4071" s="18">
        <v>3625</v>
      </c>
      <c r="Q4071" t="s" s="16">
        <f>HYPERLINK("http://secrets.rutgers.edu:8080/data/asl-ftp/asllvd/demos/verify_start_end_handshape_annotations//test_auto_move//signs_mov/16345.mov","MOV")</f>
        <v>21</v>
      </c>
      <c r="R4071" t="s" s="16">
        <f>HYPERLINK("http://secrets.rutgers.edu:8080/data/asl-ftp/asllvd/demos/verify_start_end_handshape_annotations//test_auto_move//signs_mov_separ_signers/Liz_16345.mov","MOV")</f>
        <v>21</v>
      </c>
    </row>
    <row r="4072" s="2" customFormat="1" ht="13.5" customHeight="1">
      <c r="B4072" s="13"/>
      <c r="C4072" t="s" s="9">
        <v>30</v>
      </c>
      <c r="D4072" t="s" s="8">
        <v>1384</v>
      </c>
      <c r="E4072" t="s" s="9">
        <v>1384</v>
      </c>
      <c r="F4072" t="s" s="10">
        <v>158</v>
      </c>
      <c r="G4072" t="s" s="11">
        <v>158</v>
      </c>
      <c r="H4072" t="s" s="10">
        <v>158</v>
      </c>
      <c r="I4072" t="s" s="11">
        <v>158</v>
      </c>
      <c r="J4072" t="s" s="11">
        <v>20</v>
      </c>
      <c r="K4072" s="15"/>
      <c r="L4072" t="s" s="16">
        <f>HYPERLINK("http://csr.bu.edu/ftp/asl/asllvd/demos/verify_start_end_handshape_annotations//test_auto_move//signs_mov_separ_signers/Brady_16345.mov","MOV")</f>
        <v>21</v>
      </c>
      <c r="M4072" t="s" s="10">
        <v>40</v>
      </c>
      <c r="N4072" s="17">
        <v>22</v>
      </c>
      <c r="O4072" s="18">
        <v>2832</v>
      </c>
      <c r="P4072" s="18">
        <v>2851</v>
      </c>
      <c r="Q4072" s="15"/>
      <c r="R4072" t="s" s="16">
        <f>HYPERLINK("http://secrets.rutgers.edu:8080/data/asl-ftp/asllvd/demos/verify_start_end_handshape_annotations//test_auto_move//signs_mov_separ_signers/Brady_16345.mov","MOV")</f>
        <v>21</v>
      </c>
    </row>
    <row r="4073" s="2" customFormat="1" ht="13.5" customHeight="1">
      <c r="B4073" t="s" s="8">
        <v>1385</v>
      </c>
      <c r="C4073" t="s" s="9">
        <v>14</v>
      </c>
      <c r="D4073" t="s" s="8">
        <v>14</v>
      </c>
      <c r="E4073" t="s" s="9">
        <v>14</v>
      </c>
      <c r="F4073" t="s" s="10">
        <v>14</v>
      </c>
      <c r="G4073" t="s" s="11">
        <v>14</v>
      </c>
      <c r="H4073" t="s" s="10">
        <v>14</v>
      </c>
      <c r="I4073" t="s" s="11">
        <v>14</v>
      </c>
      <c r="J4073" t="s" s="11">
        <v>14</v>
      </c>
      <c r="K4073" t="s" s="12">
        <v>14</v>
      </c>
      <c r="L4073" t="s" s="12">
        <v>14</v>
      </c>
      <c r="M4073" t="s" s="10">
        <v>14</v>
      </c>
      <c r="N4073" t="s" s="11">
        <v>14</v>
      </c>
      <c r="O4073" t="s" s="8">
        <v>14</v>
      </c>
      <c r="P4073" t="s" s="8">
        <v>14</v>
      </c>
      <c r="Q4073" t="s" s="12">
        <v>14</v>
      </c>
      <c r="R4073" t="s" s="12">
        <v>14</v>
      </c>
    </row>
    <row r="4074" s="2" customFormat="1" ht="13.5" customHeight="1">
      <c r="B4074" s="13"/>
      <c r="C4074" t="s" s="9">
        <v>16</v>
      </c>
      <c r="D4074" t="s" s="8">
        <v>1385</v>
      </c>
      <c r="E4074" t="s" s="9">
        <v>1385</v>
      </c>
      <c r="F4074" s="19">
        <v>5</v>
      </c>
      <c r="G4074" s="14"/>
      <c r="H4074" s="19">
        <v>5</v>
      </c>
      <c r="I4074" s="14"/>
      <c r="J4074" t="s" s="11">
        <v>20</v>
      </c>
      <c r="K4074" s="15"/>
      <c r="L4074" t="s" s="16">
        <f>HYPERLINK("http://csr.bu.edu/ftp/asl/asllvd/demos/verify_start_end_handshape_annotations//test_auto_move//signs_mov_separ_signers/Liz_878.mov","MOV")</f>
        <v>21</v>
      </c>
      <c r="M4074" t="s" s="10">
        <v>84</v>
      </c>
      <c r="N4074" s="17">
        <v>38</v>
      </c>
      <c r="O4074" s="18">
        <v>1976</v>
      </c>
      <c r="P4074" s="18">
        <v>2005</v>
      </c>
      <c r="Q4074" s="15"/>
      <c r="R4074" t="s" s="16">
        <f>HYPERLINK("http://secrets.rutgers.edu:8080/data/asl-ftp/asllvd/demos/verify_start_end_handshape_annotations//test_auto_move//signs_mov_separ_signers/Liz_878.mov","MOV")</f>
        <v>21</v>
      </c>
    </row>
    <row r="4075" s="2" customFormat="1" ht="13.5" customHeight="1">
      <c r="B4075" s="13"/>
      <c r="C4075" t="s" s="9">
        <v>27</v>
      </c>
      <c r="D4075" t="s" s="8">
        <v>1385</v>
      </c>
      <c r="E4075" t="s" s="9">
        <v>1385</v>
      </c>
      <c r="F4075" s="19">
        <v>5</v>
      </c>
      <c r="G4075" s="14"/>
      <c r="H4075" s="19">
        <v>5</v>
      </c>
      <c r="I4075" s="14"/>
      <c r="J4075" t="s" s="11">
        <v>20</v>
      </c>
      <c r="K4075" t="s" s="16">
        <f>HYPERLINK("http://csr.bu.edu/ftp/asl/asllvd/demos/verify_start_end_handshape_annotations//test_auto_move//signs_mov/878.mov","MOV")</f>
        <v>21</v>
      </c>
      <c r="L4075" t="s" s="16">
        <f>HYPERLINK("http://csr.bu.edu/ftp/asl/asllvd/demos/verify_start_end_handshape_annotations//test_auto_move//signs_mov_separ_signers/Naomi_878.mov","MOV")</f>
        <v>21</v>
      </c>
      <c r="M4075" t="s" s="10">
        <v>86</v>
      </c>
      <c r="N4075" s="17">
        <v>38</v>
      </c>
      <c r="O4075" s="18">
        <v>2290</v>
      </c>
      <c r="P4075" s="18">
        <v>2315</v>
      </c>
      <c r="Q4075" t="s" s="16">
        <f>HYPERLINK("http://secrets.rutgers.edu:8080/data/asl-ftp/asllvd/demos/verify_start_end_handshape_annotations//test_auto_move//signs_mov/878.mov","MOV")</f>
        <v>21</v>
      </c>
      <c r="R4075" t="s" s="16">
        <f>HYPERLINK("http://secrets.rutgers.edu:8080/data/asl-ftp/asllvd/demos/verify_start_end_handshape_annotations//test_auto_move//signs_mov_separ_signers/Naomi_878.mov","MOV")</f>
        <v>21</v>
      </c>
    </row>
    <row r="4076" s="2" customFormat="1" ht="13.5" customHeight="1">
      <c r="B4076" s="13"/>
      <c r="C4076" t="s" s="9">
        <v>30</v>
      </c>
      <c r="D4076" t="s" s="8">
        <v>1385</v>
      </c>
      <c r="E4076" t="s" s="9">
        <v>1385</v>
      </c>
      <c r="F4076" s="19">
        <v>5</v>
      </c>
      <c r="G4076" s="14"/>
      <c r="H4076" s="19">
        <v>5</v>
      </c>
      <c r="I4076" s="14"/>
      <c r="J4076" t="s" s="11">
        <v>20</v>
      </c>
      <c r="K4076" s="15"/>
      <c r="L4076" t="s" s="16">
        <f>HYPERLINK("http://csr.bu.edu/ftp/asl/asllvd/demos/verify_start_end_handshape_annotations//test_auto_move//signs_mov_separ_signers/Brady_878.mov","MOV")</f>
        <v>21</v>
      </c>
      <c r="M4076" t="s" s="10">
        <v>39</v>
      </c>
      <c r="N4076" s="17">
        <v>16</v>
      </c>
      <c r="O4076" s="18">
        <v>3787</v>
      </c>
      <c r="P4076" s="18">
        <v>3817</v>
      </c>
      <c r="Q4076" s="15"/>
      <c r="R4076" t="s" s="16">
        <f>HYPERLINK("http://secrets.rutgers.edu:8080/data/asl-ftp/asllvd/demos/verify_start_end_handshape_annotations//test_auto_move//signs_mov_separ_signers/Brady_878.mov","MOV")</f>
        <v>21</v>
      </c>
    </row>
    <row r="4077" s="2" customFormat="1" ht="13.5" customHeight="1">
      <c r="B4077" t="s" s="8">
        <v>52</v>
      </c>
      <c r="C4077" t="s" s="9">
        <v>53</v>
      </c>
      <c r="D4077" t="s" s="8">
        <v>53</v>
      </c>
      <c r="E4077" t="s" s="9">
        <v>53</v>
      </c>
      <c r="F4077" t="s" s="10">
        <v>53</v>
      </c>
      <c r="G4077" t="s" s="11">
        <v>53</v>
      </c>
      <c r="H4077" t="s" s="10">
        <v>53</v>
      </c>
      <c r="I4077" t="s" s="11">
        <v>53</v>
      </c>
      <c r="J4077" t="s" s="11">
        <v>53</v>
      </c>
      <c r="K4077" t="s" s="12">
        <v>53</v>
      </c>
      <c r="L4077" t="s" s="12">
        <v>53</v>
      </c>
      <c r="M4077" t="s" s="10">
        <v>53</v>
      </c>
      <c r="N4077" t="s" s="11">
        <v>53</v>
      </c>
      <c r="O4077" t="s" s="8">
        <v>53</v>
      </c>
      <c r="P4077" t="s" s="8">
        <v>53</v>
      </c>
      <c r="Q4077" t="s" s="12">
        <v>53</v>
      </c>
      <c r="R4077" t="s" s="12">
        <v>53</v>
      </c>
    </row>
    <row r="4078" s="2" customFormat="1" ht="13.5" customHeight="1">
      <c r="B4078" s="13"/>
      <c r="C4078" t="s" s="9">
        <v>23</v>
      </c>
      <c r="D4078" t="s" s="8">
        <v>1385</v>
      </c>
      <c r="E4078" t="s" s="9">
        <v>1386</v>
      </c>
      <c r="F4078" s="19">
        <v>5</v>
      </c>
      <c r="G4078" s="14"/>
      <c r="H4078" s="19">
        <v>5</v>
      </c>
      <c r="I4078" s="14"/>
      <c r="J4078" t="s" s="11">
        <v>20</v>
      </c>
      <c r="K4078" t="s" s="16">
        <f>HYPERLINK("http://csr.bu.edu/ftp/asl/asllvd/demos/verify_start_end_handshape_annotations//test_auto_move//signs_mov/16346.mov","MOV")</f>
        <v>21</v>
      </c>
      <c r="L4078" t="s" s="16">
        <f>HYPERLINK("http://csr.bu.edu/ftp/asl/asllvd/demos/verify_start_end_handshape_annotations//test_auto_move//signs_mov_separ_signers/Tyler_16346.mov","MOV")</f>
        <v>21</v>
      </c>
      <c r="M4078" t="s" s="10">
        <v>92</v>
      </c>
      <c r="N4078" s="17">
        <v>18</v>
      </c>
      <c r="O4078" s="18">
        <v>2967</v>
      </c>
      <c r="P4078" s="18">
        <v>3000</v>
      </c>
      <c r="Q4078" t="s" s="16">
        <f>HYPERLINK("http://secrets.rutgers.edu:8080/data/asl-ftp/asllvd/demos/verify_start_end_handshape_annotations//test_auto_move//signs_mov/16346.mov","MOV")</f>
        <v>21</v>
      </c>
      <c r="R4078" t="s" s="16">
        <f>HYPERLINK("http://secrets.rutgers.edu:8080/data/asl-ftp/asllvd/demos/verify_start_end_handshape_annotations//test_auto_move//signs_mov_separ_signers/Tyler_16346.mov","MOV")</f>
        <v>21</v>
      </c>
    </row>
    <row r="4079" s="2" customFormat="1" ht="13.5" customHeight="1">
      <c r="B4079" s="13"/>
      <c r="C4079" t="s" s="9">
        <v>41</v>
      </c>
      <c r="D4079" t="s" s="8">
        <v>1385</v>
      </c>
      <c r="E4079" t="s" s="9">
        <v>1386</v>
      </c>
      <c r="F4079" s="19">
        <v>5</v>
      </c>
      <c r="G4079" s="14"/>
      <c r="H4079" s="19">
        <v>5</v>
      </c>
      <c r="I4079" s="14"/>
      <c r="J4079" t="s" s="11">
        <v>20</v>
      </c>
      <c r="K4079" s="15"/>
      <c r="L4079" t="s" s="16">
        <f>HYPERLINK("http://csr.bu.edu/ftp/asl/asllvd/demos/verify_start_end_handshape_annotations//test_auto_move//signs_mov_separ_signers/Lana_16346.mov","MOV")</f>
        <v>21</v>
      </c>
      <c r="M4079" t="s" s="10">
        <v>442</v>
      </c>
      <c r="N4079" s="17">
        <v>61</v>
      </c>
      <c r="O4079" s="18">
        <v>1213</v>
      </c>
      <c r="P4079" s="18">
        <v>1244</v>
      </c>
      <c r="Q4079" s="15"/>
      <c r="R4079" t="s" s="16">
        <f>HYPERLINK("http://secrets.rutgers.edu:8080/data/asl-ftp/asllvd/demos/verify_start_end_handshape_annotations//test_auto_move//signs_mov_separ_signers/Lana_16346.mov","MOV")</f>
        <v>21</v>
      </c>
    </row>
    <row r="4080" s="2" customFormat="1" ht="13.5" customHeight="1">
      <c r="B4080" t="s" s="8">
        <v>1387</v>
      </c>
      <c r="C4080" t="s" s="9">
        <v>14</v>
      </c>
      <c r="D4080" t="s" s="8">
        <v>14</v>
      </c>
      <c r="E4080" t="s" s="9">
        <v>14</v>
      </c>
      <c r="F4080" t="s" s="10">
        <v>14</v>
      </c>
      <c r="G4080" t="s" s="11">
        <v>14</v>
      </c>
      <c r="H4080" t="s" s="10">
        <v>14</v>
      </c>
      <c r="I4080" t="s" s="11">
        <v>14</v>
      </c>
      <c r="J4080" t="s" s="11">
        <v>14</v>
      </c>
      <c r="K4080" t="s" s="12">
        <v>14</v>
      </c>
      <c r="L4080" t="s" s="12">
        <v>14</v>
      </c>
      <c r="M4080" t="s" s="10">
        <v>14</v>
      </c>
      <c r="N4080" t="s" s="11">
        <v>14</v>
      </c>
      <c r="O4080" t="s" s="8">
        <v>14</v>
      </c>
      <c r="P4080" t="s" s="8">
        <v>14</v>
      </c>
      <c r="Q4080" t="s" s="12">
        <v>14</v>
      </c>
      <c r="R4080" t="s" s="12">
        <v>14</v>
      </c>
    </row>
    <row r="4081" s="2" customFormat="1" ht="13.5" customHeight="1">
      <c r="B4081" s="13"/>
      <c r="C4081" t="s" s="9">
        <v>41</v>
      </c>
      <c r="D4081" t="s" s="8">
        <v>1387</v>
      </c>
      <c r="E4081" t="s" s="9">
        <v>1387</v>
      </c>
      <c r="F4081" t="s" s="10">
        <v>65</v>
      </c>
      <c r="G4081" t="s" s="11">
        <v>65</v>
      </c>
      <c r="H4081" s="19">
        <v>10</v>
      </c>
      <c r="I4081" s="17">
        <v>10</v>
      </c>
      <c r="J4081" t="s" s="11">
        <v>20</v>
      </c>
      <c r="K4081" t="s" s="16">
        <f>HYPERLINK("http://csr.bu.edu/ftp/asl/asllvd/demos/verify_start_end_handshape_annotations//test_auto_move//signs_mov/880.mov","MOV")</f>
        <v>21</v>
      </c>
      <c r="L4081" t="s" s="16">
        <f>HYPERLINK("http://csr.bu.edu/ftp/asl/asllvd/demos/verify_start_end_handshape_annotations//test_auto_move//signs_mov_separ_signers/Lana_880.mov","MOV")</f>
        <v>21</v>
      </c>
      <c r="M4081" t="s" s="10">
        <v>42</v>
      </c>
      <c r="N4081" s="17">
        <v>9</v>
      </c>
      <c r="O4081" s="18">
        <v>2167</v>
      </c>
      <c r="P4081" s="18">
        <v>2180</v>
      </c>
      <c r="Q4081" t="s" s="16">
        <f>HYPERLINK("http://secrets.rutgers.edu:8080/data/asl-ftp/asllvd/demos/verify_start_end_handshape_annotations//test_auto_move//signs_mov/880.mov","MOV")</f>
        <v>21</v>
      </c>
      <c r="R4081" t="s" s="16">
        <f>HYPERLINK("http://secrets.rutgers.edu:8080/data/asl-ftp/asllvd/demos/verify_start_end_handshape_annotations//test_auto_move//signs_mov_separ_signers/Lana_880.mov","MOV")</f>
        <v>21</v>
      </c>
    </row>
    <row r="4082" s="2" customFormat="1" ht="13.5" customHeight="1">
      <c r="B4082" t="s" s="8">
        <v>52</v>
      </c>
      <c r="C4082" t="s" s="9">
        <v>53</v>
      </c>
      <c r="D4082" t="s" s="8">
        <v>53</v>
      </c>
      <c r="E4082" t="s" s="9">
        <v>53</v>
      </c>
      <c r="F4082" t="s" s="10">
        <v>53</v>
      </c>
      <c r="G4082" t="s" s="11">
        <v>53</v>
      </c>
      <c r="H4082" t="s" s="10">
        <v>53</v>
      </c>
      <c r="I4082" t="s" s="11">
        <v>53</v>
      </c>
      <c r="J4082" t="s" s="11">
        <v>53</v>
      </c>
      <c r="K4082" t="s" s="12">
        <v>53</v>
      </c>
      <c r="L4082" t="s" s="12">
        <v>53</v>
      </c>
      <c r="M4082" t="s" s="10">
        <v>53</v>
      </c>
      <c r="N4082" t="s" s="11">
        <v>53</v>
      </c>
      <c r="O4082" t="s" s="8">
        <v>53</v>
      </c>
      <c r="P4082" t="s" s="8">
        <v>53</v>
      </c>
      <c r="Q4082" t="s" s="12">
        <v>53</v>
      </c>
      <c r="R4082" t="s" s="12">
        <v>53</v>
      </c>
    </row>
    <row r="4083" s="2" customFormat="1" ht="13.5" customHeight="1">
      <c r="B4083" s="13"/>
      <c r="C4083" t="s" s="9">
        <v>16</v>
      </c>
      <c r="D4083" t="s" s="8">
        <v>1387</v>
      </c>
      <c r="E4083" t="s" s="9">
        <v>1388</v>
      </c>
      <c r="F4083" s="19">
        <v>1</v>
      </c>
      <c r="G4083" s="17">
        <v>1</v>
      </c>
      <c r="H4083" t="s" s="10">
        <v>63</v>
      </c>
      <c r="I4083" t="s" s="11">
        <v>63</v>
      </c>
      <c r="J4083" t="s" s="11">
        <v>20</v>
      </c>
      <c r="K4083" t="s" s="16">
        <f>HYPERLINK("http://csr.bu.edu/ftp/asl/asllvd/demos/verify_start_end_handshape_annotations//test_auto_move//signs_mov/5477.mov","MOV")</f>
        <v>21</v>
      </c>
      <c r="L4083" t="s" s="16">
        <f>HYPERLINK("http://csr.bu.edu/ftp/asl/asllvd/demos/verify_start_end_handshape_annotations//test_auto_move//signs_mov_separ_signers/Liz_5477.mov","MOV")</f>
        <v>21</v>
      </c>
      <c r="M4083" t="s" s="10">
        <v>77</v>
      </c>
      <c r="N4083" s="17">
        <v>23</v>
      </c>
      <c r="O4083" s="18">
        <v>149</v>
      </c>
      <c r="P4083" s="18">
        <v>183</v>
      </c>
      <c r="Q4083" t="s" s="16">
        <f>HYPERLINK("http://secrets.rutgers.edu:8080/data/asl-ftp/asllvd/demos/verify_start_end_handshape_annotations//test_auto_move//signs_mov/5477.mov","MOV")</f>
        <v>21</v>
      </c>
      <c r="R4083" t="s" s="16">
        <f>HYPERLINK("http://secrets.rutgers.edu:8080/data/asl-ftp/asllvd/demos/verify_start_end_handshape_annotations//test_auto_move//signs_mov_separ_signers/Liz_5477.mov","MOV")</f>
        <v>21</v>
      </c>
    </row>
    <row r="4084" s="2" customFormat="1" ht="13.5" customHeight="1">
      <c r="B4084" t="s" s="8">
        <v>1389</v>
      </c>
      <c r="C4084" t="s" s="9">
        <v>14</v>
      </c>
      <c r="D4084" t="s" s="8">
        <v>14</v>
      </c>
      <c r="E4084" t="s" s="9">
        <v>14</v>
      </c>
      <c r="F4084" t="s" s="10">
        <v>14</v>
      </c>
      <c r="G4084" t="s" s="11">
        <v>14</v>
      </c>
      <c r="H4084" t="s" s="10">
        <v>14</v>
      </c>
      <c r="I4084" t="s" s="11">
        <v>14</v>
      </c>
      <c r="J4084" t="s" s="11">
        <v>14</v>
      </c>
      <c r="K4084" t="s" s="12">
        <v>14</v>
      </c>
      <c r="L4084" t="s" s="12">
        <v>14</v>
      </c>
      <c r="M4084" t="s" s="10">
        <v>14</v>
      </c>
      <c r="N4084" t="s" s="11">
        <v>14</v>
      </c>
      <c r="O4084" t="s" s="8">
        <v>14</v>
      </c>
      <c r="P4084" t="s" s="8">
        <v>14</v>
      </c>
      <c r="Q4084" t="s" s="12">
        <v>14</v>
      </c>
      <c r="R4084" t="s" s="12">
        <v>14</v>
      </c>
    </row>
    <row r="4085" s="2" customFormat="1" ht="13.5" customHeight="1">
      <c r="B4085" s="13"/>
      <c r="C4085" t="s" s="9">
        <v>43</v>
      </c>
      <c r="D4085" t="s" s="8">
        <v>1389</v>
      </c>
      <c r="E4085" t="s" s="9">
        <v>1389</v>
      </c>
      <c r="F4085" s="19">
        <v>5</v>
      </c>
      <c r="G4085" s="17">
        <v>5</v>
      </c>
      <c r="H4085" t="s" s="10">
        <v>68</v>
      </c>
      <c r="I4085" t="s" s="11">
        <v>68</v>
      </c>
      <c r="J4085" t="s" s="11">
        <v>20</v>
      </c>
      <c r="K4085" t="s" s="16">
        <f>HYPERLINK("http://csr.bu.edu/ftp/asl/asllvd/demos/verify_start_end_handshape_annotations//test_auto_move//signs_mov/5538.mov","MOV")</f>
        <v>21</v>
      </c>
      <c r="L4085" t="s" s="16">
        <f>HYPERLINK("http://csr.bu.edu/ftp/asl/asllvd/demos/verify_start_end_handshape_annotations//test_auto_move//signs_mov_separ_signers/Dana_5538.mov","MOV")</f>
        <v>21</v>
      </c>
      <c r="M4085" t="s" s="10">
        <v>44</v>
      </c>
      <c r="N4085" s="17">
        <v>13</v>
      </c>
      <c r="O4085" s="18">
        <v>2507</v>
      </c>
      <c r="P4085" s="18">
        <v>2555</v>
      </c>
      <c r="Q4085" t="s" s="16">
        <f>HYPERLINK("http://secrets.rutgers.edu:8080/data/asl-ftp/asllvd/demos/verify_start_end_handshape_annotations//test_auto_move//signs_mov/5538.mov","MOV")</f>
        <v>21</v>
      </c>
      <c r="R4085" t="s" s="16">
        <f>HYPERLINK("http://secrets.rutgers.edu:8080/data/asl-ftp/asllvd/demos/verify_start_end_handshape_annotations//test_auto_move//signs_mov_separ_signers/Dana_5538.mov","MOV")</f>
        <v>21</v>
      </c>
    </row>
    <row r="4086" s="2" customFormat="1" ht="13.5" customHeight="1">
      <c r="B4086" t="s" s="8">
        <v>1387</v>
      </c>
      <c r="C4086" t="s" s="9">
        <v>14</v>
      </c>
      <c r="D4086" t="s" s="8">
        <v>14</v>
      </c>
      <c r="E4086" t="s" s="9">
        <v>14</v>
      </c>
      <c r="F4086" t="s" s="10">
        <v>14</v>
      </c>
      <c r="G4086" t="s" s="11">
        <v>14</v>
      </c>
      <c r="H4086" t="s" s="10">
        <v>14</v>
      </c>
      <c r="I4086" t="s" s="11">
        <v>14</v>
      </c>
      <c r="J4086" t="s" s="11">
        <v>14</v>
      </c>
      <c r="K4086" t="s" s="12">
        <v>14</v>
      </c>
      <c r="L4086" t="s" s="12">
        <v>14</v>
      </c>
      <c r="M4086" t="s" s="10">
        <v>14</v>
      </c>
      <c r="N4086" t="s" s="11">
        <v>14</v>
      </c>
      <c r="O4086" t="s" s="8">
        <v>14</v>
      </c>
      <c r="P4086" t="s" s="8">
        <v>14</v>
      </c>
      <c r="Q4086" t="s" s="12">
        <v>14</v>
      </c>
      <c r="R4086" t="s" s="12">
        <v>14</v>
      </c>
    </row>
    <row r="4087" s="2" customFormat="1" ht="13.5" customHeight="1">
      <c r="B4087" s="13"/>
      <c r="C4087" t="s" s="9">
        <v>16</v>
      </c>
      <c r="D4087" t="s" s="8">
        <v>1390</v>
      </c>
      <c r="E4087" t="s" s="9">
        <v>1390</v>
      </c>
      <c r="F4087" t="s" s="10">
        <v>25</v>
      </c>
      <c r="G4087" t="s" s="11">
        <v>25</v>
      </c>
      <c r="H4087" t="s" s="10">
        <v>292</v>
      </c>
      <c r="I4087" t="s" s="11">
        <v>292</v>
      </c>
      <c r="J4087" t="s" s="11">
        <v>20</v>
      </c>
      <c r="K4087" s="15"/>
      <c r="L4087" t="s" s="16">
        <f>HYPERLINK("http://csr.bu.edu/ftp/asl/asllvd/demos/verify_start_end_handshape_annotations//test_auto_move//signs_mov_separ_signers/Liz_16347.mov","MOV")</f>
        <v>21</v>
      </c>
      <c r="M4087" t="s" s="10">
        <v>84</v>
      </c>
      <c r="N4087" s="17">
        <v>39</v>
      </c>
      <c r="O4087" s="18">
        <v>267</v>
      </c>
      <c r="P4087" s="18">
        <v>280</v>
      </c>
      <c r="Q4087" s="15"/>
      <c r="R4087" t="s" s="16">
        <f>HYPERLINK("http://secrets.rutgers.edu:8080/data/asl-ftp/asllvd/demos/verify_start_end_handshape_annotations//test_auto_move//signs_mov_separ_signers/Liz_16347.mov","MOV")</f>
        <v>21</v>
      </c>
    </row>
    <row r="4088" s="2" customFormat="1" ht="13.5" customHeight="1">
      <c r="B4088" s="13"/>
      <c r="C4088" t="s" s="9">
        <v>23</v>
      </c>
      <c r="D4088" t="s" s="8">
        <v>1390</v>
      </c>
      <c r="E4088" t="s" s="9">
        <v>1390</v>
      </c>
      <c r="F4088" t="s" s="10">
        <v>25</v>
      </c>
      <c r="G4088" t="s" s="11">
        <v>25</v>
      </c>
      <c r="H4088" t="s" s="10">
        <v>292</v>
      </c>
      <c r="I4088" t="s" s="11">
        <v>292</v>
      </c>
      <c r="J4088" t="s" s="11">
        <v>20</v>
      </c>
      <c r="K4088" t="s" s="16">
        <f>HYPERLINK("http://csr.bu.edu/ftp/asl/asllvd/demos/verify_start_end_handshape_annotations//test_auto_move//signs_mov/16347.mov","MOV")</f>
        <v>21</v>
      </c>
      <c r="L4088" t="s" s="16">
        <f>HYPERLINK("http://csr.bu.edu/ftp/asl/asllvd/demos/verify_start_end_handshape_annotations//test_auto_move//signs_mov_separ_signers/Tyler_16347.mov","MOV")</f>
        <v>21</v>
      </c>
      <c r="M4088" t="s" s="10">
        <v>92</v>
      </c>
      <c r="N4088" s="17">
        <v>18</v>
      </c>
      <c r="O4088" s="18">
        <v>3385</v>
      </c>
      <c r="P4088" s="18">
        <v>3410</v>
      </c>
      <c r="Q4088" t="s" s="16">
        <f>HYPERLINK("http://secrets.rutgers.edu:8080/data/asl-ftp/asllvd/demos/verify_start_end_handshape_annotations//test_auto_move//signs_mov/16347.mov","MOV")</f>
        <v>21</v>
      </c>
      <c r="R4088" t="s" s="16">
        <f>HYPERLINK("http://secrets.rutgers.edu:8080/data/asl-ftp/asllvd/demos/verify_start_end_handshape_annotations//test_auto_move//signs_mov_separ_signers/Tyler_16347.mov","MOV")</f>
        <v>21</v>
      </c>
    </row>
    <row r="4089" s="2" customFormat="1" ht="13.5" customHeight="1">
      <c r="B4089" s="13"/>
      <c r="C4089" t="s" s="9">
        <v>27</v>
      </c>
      <c r="D4089" t="s" s="8">
        <v>1390</v>
      </c>
      <c r="E4089" t="s" s="9">
        <v>1390</v>
      </c>
      <c r="F4089" t="s" s="10">
        <v>25</v>
      </c>
      <c r="G4089" t="s" s="11">
        <v>25</v>
      </c>
      <c r="H4089" t="s" s="10">
        <v>292</v>
      </c>
      <c r="I4089" t="s" s="11">
        <v>292</v>
      </c>
      <c r="J4089" t="s" s="11">
        <v>20</v>
      </c>
      <c r="K4089" s="15"/>
      <c r="L4089" t="s" s="16">
        <f>HYPERLINK("http://csr.bu.edu/ftp/asl/asllvd/demos/verify_start_end_handshape_annotations//test_auto_move//signs_mov_separ_signers/Naomi_16347.mov","MOV")</f>
        <v>21</v>
      </c>
      <c r="M4089" t="s" s="10">
        <v>86</v>
      </c>
      <c r="N4089" s="17">
        <v>38</v>
      </c>
      <c r="O4089" s="18">
        <v>2796</v>
      </c>
      <c r="P4089" s="18">
        <v>2822</v>
      </c>
      <c r="Q4089" s="15"/>
      <c r="R4089" t="s" s="16">
        <f>HYPERLINK("http://secrets.rutgers.edu:8080/data/asl-ftp/asllvd/demos/verify_start_end_handshape_annotations//test_auto_move//signs_mov_separ_signers/Naomi_16347.mov","MOV")</f>
        <v>21</v>
      </c>
    </row>
    <row r="4090" s="2" customFormat="1" ht="13.5" customHeight="1">
      <c r="B4090" s="13"/>
      <c r="C4090" t="s" s="9">
        <v>30</v>
      </c>
      <c r="D4090" t="s" s="8">
        <v>1390</v>
      </c>
      <c r="E4090" t="s" s="9">
        <v>1390</v>
      </c>
      <c r="F4090" t="s" s="10">
        <v>25</v>
      </c>
      <c r="G4090" t="s" s="11">
        <v>25</v>
      </c>
      <c r="H4090" t="s" s="10">
        <v>292</v>
      </c>
      <c r="I4090" t="s" s="11">
        <v>292</v>
      </c>
      <c r="J4090" t="s" s="11">
        <v>20</v>
      </c>
      <c r="K4090" s="15"/>
      <c r="L4090" t="s" s="16">
        <f>HYPERLINK("http://csr.bu.edu/ftp/asl/asllvd/demos/verify_start_end_handshape_annotations//test_auto_move//signs_mov_separ_signers/Brady_16347.mov","MOV")</f>
        <v>21</v>
      </c>
      <c r="M4090" t="s" s="10">
        <v>39</v>
      </c>
      <c r="N4090" s="17">
        <v>16</v>
      </c>
      <c r="O4090" s="18">
        <v>4635</v>
      </c>
      <c r="P4090" s="18">
        <v>4652</v>
      </c>
      <c r="Q4090" s="15"/>
      <c r="R4090" t="s" s="16">
        <f>HYPERLINK("http://secrets.rutgers.edu:8080/data/asl-ftp/asllvd/demos/verify_start_end_handshape_annotations//test_auto_move//signs_mov_separ_signers/Brady_16347.mov","MOV")</f>
        <v>21</v>
      </c>
    </row>
    <row r="4091" s="2" customFormat="1" ht="13.5" customHeight="1">
      <c r="B4091" t="s" s="8">
        <v>1391</v>
      </c>
      <c r="C4091" t="s" s="9">
        <v>14</v>
      </c>
      <c r="D4091" t="s" s="8">
        <v>14</v>
      </c>
      <c r="E4091" t="s" s="9">
        <v>14</v>
      </c>
      <c r="F4091" t="s" s="10">
        <v>14</v>
      </c>
      <c r="G4091" t="s" s="11">
        <v>14</v>
      </c>
      <c r="H4091" t="s" s="10">
        <v>14</v>
      </c>
      <c r="I4091" t="s" s="11">
        <v>14</v>
      </c>
      <c r="J4091" t="s" s="11">
        <v>14</v>
      </c>
      <c r="K4091" t="s" s="12">
        <v>14</v>
      </c>
      <c r="L4091" t="s" s="12">
        <v>14</v>
      </c>
      <c r="M4091" t="s" s="10">
        <v>14</v>
      </c>
      <c r="N4091" t="s" s="11">
        <v>14</v>
      </c>
      <c r="O4091" t="s" s="8">
        <v>14</v>
      </c>
      <c r="P4091" t="s" s="8">
        <v>14</v>
      </c>
      <c r="Q4091" t="s" s="12">
        <v>14</v>
      </c>
      <c r="R4091" t="s" s="12">
        <v>14</v>
      </c>
    </row>
    <row r="4092" s="2" customFormat="1" ht="13.5" customHeight="1">
      <c r="B4092" s="13"/>
      <c r="C4092" t="s" s="9">
        <v>16</v>
      </c>
      <c r="D4092" t="s" s="8">
        <v>1391</v>
      </c>
      <c r="E4092" t="s" s="9">
        <v>1391</v>
      </c>
      <c r="F4092" t="s" s="10">
        <v>282</v>
      </c>
      <c r="G4092" s="14"/>
      <c r="H4092" t="s" s="10">
        <v>282</v>
      </c>
      <c r="I4092" s="14"/>
      <c r="J4092" t="s" s="11">
        <v>20</v>
      </c>
      <c r="K4092" s="15"/>
      <c r="L4092" t="s" s="16">
        <f>HYPERLINK("http://csr.bu.edu/ftp/asl/asllvd/demos/verify_start_end_handshape_annotations//test_auto_move//signs_mov_separ_signers/Liz_881.mov","MOV")</f>
        <v>21</v>
      </c>
      <c r="M4092" t="s" s="10">
        <v>84</v>
      </c>
      <c r="N4092" s="17">
        <v>39</v>
      </c>
      <c r="O4092" s="18">
        <v>435</v>
      </c>
      <c r="P4092" s="18">
        <v>467</v>
      </c>
      <c r="Q4092" s="15"/>
      <c r="R4092" t="s" s="16">
        <f>HYPERLINK("http://secrets.rutgers.edu:8080/data/asl-ftp/asllvd/demos/verify_start_end_handshape_annotations//test_auto_move//signs_mov_separ_signers/Liz_881.mov","MOV")</f>
        <v>21</v>
      </c>
    </row>
    <row r="4093" s="2" customFormat="1" ht="13.5" customHeight="1">
      <c r="B4093" s="13"/>
      <c r="C4093" t="s" s="9">
        <v>27</v>
      </c>
      <c r="D4093" t="s" s="8">
        <v>1391</v>
      </c>
      <c r="E4093" t="s" s="9">
        <v>1391</v>
      </c>
      <c r="F4093" t="s" s="10">
        <v>282</v>
      </c>
      <c r="G4093" s="14"/>
      <c r="H4093" t="s" s="10">
        <v>282</v>
      </c>
      <c r="I4093" s="14"/>
      <c r="J4093" t="s" s="11">
        <v>20</v>
      </c>
      <c r="K4093" t="s" s="16">
        <f>HYPERLINK("http://csr.bu.edu/ftp/asl/asllvd/demos/verify_start_end_handshape_annotations//test_auto_move//signs_mov/881.mov","MOV")</f>
        <v>21</v>
      </c>
      <c r="L4093" t="s" s="16">
        <f>HYPERLINK("http://csr.bu.edu/ftp/asl/asllvd/demos/verify_start_end_handshape_annotations//test_auto_move//signs_mov_separ_signers/Naomi_881.mov","MOV")</f>
        <v>21</v>
      </c>
      <c r="M4093" t="s" s="10">
        <v>86</v>
      </c>
      <c r="N4093" s="17">
        <v>39</v>
      </c>
      <c r="O4093" s="18">
        <v>210</v>
      </c>
      <c r="P4093" s="18">
        <v>240</v>
      </c>
      <c r="Q4093" t="s" s="16">
        <f>HYPERLINK("http://secrets.rutgers.edu:8080/data/asl-ftp/asllvd/demos/verify_start_end_handshape_annotations//test_auto_move//signs_mov/881.mov","MOV")</f>
        <v>21</v>
      </c>
      <c r="R4093" t="s" s="16">
        <f>HYPERLINK("http://secrets.rutgers.edu:8080/data/asl-ftp/asllvd/demos/verify_start_end_handshape_annotations//test_auto_move//signs_mov_separ_signers/Naomi_881.mov","MOV")</f>
        <v>21</v>
      </c>
    </row>
    <row r="4094" s="2" customFormat="1" ht="13.5" customHeight="1">
      <c r="B4094" s="13"/>
      <c r="C4094" t="s" s="9">
        <v>30</v>
      </c>
      <c r="D4094" t="s" s="8">
        <v>1391</v>
      </c>
      <c r="E4094" t="s" s="9">
        <v>1391</v>
      </c>
      <c r="F4094" t="s" s="10">
        <v>282</v>
      </c>
      <c r="G4094" s="14"/>
      <c r="H4094" t="s" s="10">
        <v>282</v>
      </c>
      <c r="I4094" s="14"/>
      <c r="J4094" t="s" s="11">
        <v>20</v>
      </c>
      <c r="K4094" s="15"/>
      <c r="L4094" t="s" s="16">
        <f>HYPERLINK("http://csr.bu.edu/ftp/asl/asllvd/demos/verify_start_end_handshape_annotations//test_auto_move//signs_mov_separ_signers/Brady_881.mov","MOV")</f>
        <v>21</v>
      </c>
      <c r="M4094" t="s" s="10">
        <v>39</v>
      </c>
      <c r="N4094" s="17">
        <v>16</v>
      </c>
      <c r="O4094" s="18">
        <v>4909</v>
      </c>
      <c r="P4094" s="18">
        <v>4938</v>
      </c>
      <c r="Q4094" s="15"/>
      <c r="R4094" t="s" s="16">
        <f>HYPERLINK("http://secrets.rutgers.edu:8080/data/asl-ftp/asllvd/demos/verify_start_end_handshape_annotations//test_auto_move//signs_mov_separ_signers/Brady_881.mov","MOV")</f>
        <v>21</v>
      </c>
    </row>
    <row r="4095" s="2" customFormat="1" ht="13.5" customHeight="1">
      <c r="B4095" t="s" s="8">
        <v>1392</v>
      </c>
      <c r="C4095" t="s" s="9">
        <v>14</v>
      </c>
      <c r="D4095" t="s" s="8">
        <v>14</v>
      </c>
      <c r="E4095" t="s" s="9">
        <v>14</v>
      </c>
      <c r="F4095" t="s" s="10">
        <v>14</v>
      </c>
      <c r="G4095" t="s" s="11">
        <v>14</v>
      </c>
      <c r="H4095" t="s" s="10">
        <v>14</v>
      </c>
      <c r="I4095" t="s" s="11">
        <v>14</v>
      </c>
      <c r="J4095" t="s" s="11">
        <v>14</v>
      </c>
      <c r="K4095" t="s" s="12">
        <v>14</v>
      </c>
      <c r="L4095" t="s" s="12">
        <v>14</v>
      </c>
      <c r="M4095" t="s" s="10">
        <v>14</v>
      </c>
      <c r="N4095" t="s" s="11">
        <v>14</v>
      </c>
      <c r="O4095" t="s" s="8">
        <v>14</v>
      </c>
      <c r="P4095" t="s" s="8">
        <v>14</v>
      </c>
      <c r="Q4095" t="s" s="12">
        <v>14</v>
      </c>
      <c r="R4095" t="s" s="12">
        <v>14</v>
      </c>
    </row>
    <row r="4096" s="2" customFormat="1" ht="13.5" customHeight="1">
      <c r="B4096" s="13"/>
      <c r="C4096" t="s" s="9">
        <v>16</v>
      </c>
      <c r="D4096" t="s" s="8">
        <v>1392</v>
      </c>
      <c r="E4096" t="s" s="9">
        <v>1392</v>
      </c>
      <c r="F4096" t="s" s="10">
        <v>72</v>
      </c>
      <c r="G4096" t="s" s="11">
        <v>72</v>
      </c>
      <c r="H4096" t="s" s="10">
        <v>72</v>
      </c>
      <c r="I4096" t="s" s="11">
        <v>72</v>
      </c>
      <c r="J4096" t="s" s="11">
        <v>20</v>
      </c>
      <c r="K4096" s="15"/>
      <c r="L4096" t="s" s="16">
        <f>HYPERLINK("http://csr.bu.edu/ftp/asl/asllvd/demos/verify_start_end_handshape_annotations//test_auto_move//signs_mov_separ_signers/Liz_883.mov","MOV")</f>
        <v>21</v>
      </c>
      <c r="M4096" t="s" s="10">
        <v>84</v>
      </c>
      <c r="N4096" s="17">
        <v>39</v>
      </c>
      <c r="O4096" s="18">
        <v>835</v>
      </c>
      <c r="P4096" s="18">
        <v>855</v>
      </c>
      <c r="Q4096" s="15"/>
      <c r="R4096" t="s" s="16">
        <f>HYPERLINK("http://secrets.rutgers.edu:8080/data/asl-ftp/asllvd/demos/verify_start_end_handshape_annotations//test_auto_move//signs_mov_separ_signers/Liz_883.mov","MOV")</f>
        <v>21</v>
      </c>
    </row>
    <row r="4097" s="2" customFormat="1" ht="13.5" customHeight="1">
      <c r="B4097" s="13"/>
      <c r="C4097" t="s" s="9">
        <v>27</v>
      </c>
      <c r="D4097" t="s" s="8">
        <v>1392</v>
      </c>
      <c r="E4097" t="s" s="9">
        <v>1392</v>
      </c>
      <c r="F4097" t="s" s="10">
        <v>72</v>
      </c>
      <c r="G4097" t="s" s="11">
        <v>72</v>
      </c>
      <c r="H4097" t="s" s="10">
        <v>72</v>
      </c>
      <c r="I4097" t="s" s="11">
        <v>72</v>
      </c>
      <c r="J4097" t="s" s="11">
        <v>20</v>
      </c>
      <c r="K4097" t="s" s="16">
        <f>HYPERLINK("http://csr.bu.edu/ftp/asl/asllvd/demos/verify_start_end_handshape_annotations//test_auto_move//signs_mov/883.mov","MOV")</f>
        <v>21</v>
      </c>
      <c r="L4097" t="s" s="16">
        <f>HYPERLINK("http://csr.bu.edu/ftp/asl/asllvd/demos/verify_start_end_handshape_annotations//test_auto_move//signs_mov_separ_signers/Naomi_883.mov","MOV")</f>
        <v>21</v>
      </c>
      <c r="M4097" t="s" s="10">
        <v>86</v>
      </c>
      <c r="N4097" s="17">
        <v>39</v>
      </c>
      <c r="O4097" s="18">
        <v>605</v>
      </c>
      <c r="P4097" s="18">
        <v>625</v>
      </c>
      <c r="Q4097" t="s" s="16">
        <f>HYPERLINK("http://secrets.rutgers.edu:8080/data/asl-ftp/asllvd/demos/verify_start_end_handshape_annotations//test_auto_move//signs_mov/883.mov","MOV")</f>
        <v>21</v>
      </c>
      <c r="R4097" t="s" s="16">
        <f>HYPERLINK("http://secrets.rutgers.edu:8080/data/asl-ftp/asllvd/demos/verify_start_end_handshape_annotations//test_auto_move//signs_mov_separ_signers/Naomi_883.mov","MOV")</f>
        <v>21</v>
      </c>
    </row>
    <row r="4098" s="2" customFormat="1" ht="13.5" customHeight="1">
      <c r="B4098" s="13"/>
      <c r="C4098" t="s" s="9">
        <v>30</v>
      </c>
      <c r="D4098" t="s" s="8">
        <v>1392</v>
      </c>
      <c r="E4098" t="s" s="9">
        <v>1392</v>
      </c>
      <c r="F4098" s="19">
        <v>5</v>
      </c>
      <c r="G4098" s="17">
        <v>5</v>
      </c>
      <c r="H4098" s="19">
        <v>5</v>
      </c>
      <c r="I4098" s="17">
        <v>5</v>
      </c>
      <c r="J4098" t="s" s="11">
        <v>20</v>
      </c>
      <c r="K4098" s="15"/>
      <c r="L4098" t="s" s="16">
        <f>HYPERLINK("http://csr.bu.edu/ftp/asl/asllvd/demos/verify_start_end_handshape_annotations//test_auto_move//signs_mov_separ_signers/Brady_883.mov","MOV")</f>
        <v>21</v>
      </c>
      <c r="M4098" t="s" s="10">
        <v>39</v>
      </c>
      <c r="N4098" s="17">
        <v>16</v>
      </c>
      <c r="O4098" s="18">
        <v>5387</v>
      </c>
      <c r="P4098" s="18">
        <v>5408</v>
      </c>
      <c r="Q4098" s="15"/>
      <c r="R4098" t="s" s="16">
        <f>HYPERLINK("http://secrets.rutgers.edu:8080/data/asl-ftp/asllvd/demos/verify_start_end_handshape_annotations//test_auto_move//signs_mov_separ_signers/Brady_883.mov","MOV")</f>
        <v>21</v>
      </c>
    </row>
    <row r="4099" s="2" customFormat="1" ht="13.5" customHeight="1">
      <c r="B4099" t="s" s="8">
        <v>52</v>
      </c>
      <c r="C4099" t="s" s="9">
        <v>53</v>
      </c>
      <c r="D4099" t="s" s="8">
        <v>53</v>
      </c>
      <c r="E4099" t="s" s="9">
        <v>53</v>
      </c>
      <c r="F4099" t="s" s="10">
        <v>53</v>
      </c>
      <c r="G4099" t="s" s="11">
        <v>53</v>
      </c>
      <c r="H4099" t="s" s="10">
        <v>53</v>
      </c>
      <c r="I4099" t="s" s="11">
        <v>53</v>
      </c>
      <c r="J4099" t="s" s="11">
        <v>53</v>
      </c>
      <c r="K4099" t="s" s="12">
        <v>53</v>
      </c>
      <c r="L4099" t="s" s="12">
        <v>53</v>
      </c>
      <c r="M4099" t="s" s="10">
        <v>53</v>
      </c>
      <c r="N4099" t="s" s="11">
        <v>53</v>
      </c>
      <c r="O4099" t="s" s="8">
        <v>53</v>
      </c>
      <c r="P4099" t="s" s="8">
        <v>53</v>
      </c>
      <c r="Q4099" t="s" s="12">
        <v>53</v>
      </c>
      <c r="R4099" t="s" s="12">
        <v>53</v>
      </c>
    </row>
    <row r="4100" s="2" customFormat="1" ht="13.5" customHeight="1">
      <c r="B4100" s="13"/>
      <c r="C4100" t="s" s="9">
        <v>23</v>
      </c>
      <c r="D4100" t="s" s="8">
        <v>1392</v>
      </c>
      <c r="E4100" t="s" s="9">
        <v>1393</v>
      </c>
      <c r="F4100" s="19">
        <v>5</v>
      </c>
      <c r="G4100" s="17">
        <v>5</v>
      </c>
      <c r="H4100" t="s" s="10">
        <v>72</v>
      </c>
      <c r="I4100" t="s" s="11">
        <v>72</v>
      </c>
      <c r="J4100" t="s" s="11">
        <v>20</v>
      </c>
      <c r="K4100" s="15"/>
      <c r="L4100" t="s" s="16">
        <f>HYPERLINK("http://csr.bu.edu/ftp/asl/asllvd/demos/verify_start_end_handshape_annotations//test_auto_move//signs_mov_separ_signers/Tyler_15103.mov","MOV")</f>
        <v>21</v>
      </c>
      <c r="M4100" t="s" s="10">
        <v>92</v>
      </c>
      <c r="N4100" s="17">
        <v>19</v>
      </c>
      <c r="O4100" s="18">
        <v>1490</v>
      </c>
      <c r="P4100" s="18">
        <v>1520</v>
      </c>
      <c r="Q4100" s="15"/>
      <c r="R4100" t="s" s="16">
        <f>HYPERLINK("http://secrets.rutgers.edu:8080/data/asl-ftp/asllvd/demos/verify_start_end_handshape_annotations//test_auto_move//signs_mov_separ_signers/Tyler_15103.mov","MOV")</f>
        <v>21</v>
      </c>
    </row>
    <row r="4101" s="2" customFormat="1" ht="13.5" customHeight="1">
      <c r="B4101" s="13"/>
      <c r="C4101" t="s" s="9">
        <v>41</v>
      </c>
      <c r="D4101" t="s" s="8">
        <v>1392</v>
      </c>
      <c r="E4101" t="s" s="9">
        <v>1393</v>
      </c>
      <c r="F4101" s="19">
        <v>5</v>
      </c>
      <c r="G4101" s="17">
        <v>5</v>
      </c>
      <c r="H4101" s="19">
        <v>5</v>
      </c>
      <c r="I4101" s="17">
        <v>5</v>
      </c>
      <c r="J4101" t="s" s="11">
        <v>20</v>
      </c>
      <c r="K4101" t="s" s="16">
        <f>HYPERLINK("http://csr.bu.edu/ftp/asl/asllvd/demos/verify_start_end_handshape_annotations//test_auto_move//signs_mov/15103.mov","MOV")</f>
        <v>21</v>
      </c>
      <c r="L4101" t="s" s="16">
        <f>HYPERLINK("http://csr.bu.edu/ftp/asl/asllvd/demos/verify_start_end_handshape_annotations//test_auto_move//signs_mov_separ_signers/Lana_15103.mov","MOV")</f>
        <v>21</v>
      </c>
      <c r="M4101" t="s" s="10">
        <v>42</v>
      </c>
      <c r="N4101" s="17">
        <v>19</v>
      </c>
      <c r="O4101" s="18">
        <v>2164</v>
      </c>
      <c r="P4101" s="18">
        <v>2176</v>
      </c>
      <c r="Q4101" t="s" s="16">
        <f>HYPERLINK("http://secrets.rutgers.edu:8080/data/asl-ftp/asllvd/demos/verify_start_end_handshape_annotations//test_auto_move//signs_mov/15103.mov","MOV")</f>
        <v>21</v>
      </c>
      <c r="R4101" t="s" s="16">
        <f>HYPERLINK("http://secrets.rutgers.edu:8080/data/asl-ftp/asllvd/demos/verify_start_end_handshape_annotations//test_auto_move//signs_mov_separ_signers/Lana_15103.mov","MOV")</f>
        <v>21</v>
      </c>
    </row>
    <row r="4102" s="2" customFormat="1" ht="13.5" customHeight="1">
      <c r="B4102" s="13"/>
      <c r="C4102" t="s" s="9">
        <v>43</v>
      </c>
      <c r="D4102" t="s" s="8">
        <v>1392</v>
      </c>
      <c r="E4102" t="s" s="9">
        <v>1393</v>
      </c>
      <c r="F4102" s="19">
        <v>5</v>
      </c>
      <c r="G4102" s="17">
        <v>5</v>
      </c>
      <c r="H4102" s="19">
        <v>5</v>
      </c>
      <c r="I4102" s="17">
        <v>5</v>
      </c>
      <c r="J4102" t="s" s="11">
        <v>20</v>
      </c>
      <c r="K4102" s="15"/>
      <c r="L4102" t="s" s="16">
        <f>HYPERLINK("http://csr.bu.edu/ftp/asl/asllvd/demos/verify_start_end_handshape_annotations//test_auto_move//signs_mov_separ_signers/Dana_15103.mov","MOV")</f>
        <v>21</v>
      </c>
      <c r="M4102" t="s" s="10">
        <v>44</v>
      </c>
      <c r="N4102" s="17">
        <v>21</v>
      </c>
      <c r="O4102" s="18">
        <v>2102</v>
      </c>
      <c r="P4102" s="18">
        <v>2130</v>
      </c>
      <c r="Q4102" s="15"/>
      <c r="R4102" t="s" s="16">
        <f>HYPERLINK("http://secrets.rutgers.edu:8080/data/asl-ftp/asllvd/demos/verify_start_end_handshape_annotations//test_auto_move//signs_mov_separ_signers/Dana_15103.mov","MOV")</f>
        <v>21</v>
      </c>
    </row>
    <row r="4103" s="2" customFormat="1" ht="13.5" customHeight="1">
      <c r="B4103" t="s" s="8">
        <v>1394</v>
      </c>
      <c r="C4103" t="s" s="9">
        <v>14</v>
      </c>
      <c r="D4103" t="s" s="8">
        <v>14</v>
      </c>
      <c r="E4103" t="s" s="9">
        <v>14</v>
      </c>
      <c r="F4103" t="s" s="10">
        <v>14</v>
      </c>
      <c r="G4103" t="s" s="11">
        <v>14</v>
      </c>
      <c r="H4103" t="s" s="10">
        <v>14</v>
      </c>
      <c r="I4103" t="s" s="11">
        <v>14</v>
      </c>
      <c r="J4103" t="s" s="11">
        <v>14</v>
      </c>
      <c r="K4103" t="s" s="12">
        <v>14</v>
      </c>
      <c r="L4103" t="s" s="12">
        <v>14</v>
      </c>
      <c r="M4103" t="s" s="10">
        <v>14</v>
      </c>
      <c r="N4103" t="s" s="11">
        <v>14</v>
      </c>
      <c r="O4103" t="s" s="8">
        <v>14</v>
      </c>
      <c r="P4103" t="s" s="8">
        <v>14</v>
      </c>
      <c r="Q4103" t="s" s="12">
        <v>14</v>
      </c>
      <c r="R4103" t="s" s="12">
        <v>14</v>
      </c>
    </row>
    <row r="4104" s="2" customFormat="1" ht="13.5" customHeight="1">
      <c r="B4104" s="13"/>
      <c r="C4104" t="s" s="9">
        <v>16</v>
      </c>
      <c r="D4104" t="s" s="8">
        <v>1394</v>
      </c>
      <c r="E4104" t="s" s="9">
        <v>1394</v>
      </c>
      <c r="F4104" s="19">
        <v>5</v>
      </c>
      <c r="G4104" s="17">
        <v>5</v>
      </c>
      <c r="H4104" s="19">
        <v>5</v>
      </c>
      <c r="I4104" s="17">
        <v>5</v>
      </c>
      <c r="J4104" t="s" s="11">
        <v>20</v>
      </c>
      <c r="K4104" s="15"/>
      <c r="L4104" t="s" s="16">
        <f>HYPERLINK("http://csr.bu.edu/ftp/asl/asllvd/demos/verify_start_end_handshape_annotations//test_auto_move//signs_mov_separ_signers/Liz_15472.mov","MOV")</f>
        <v>21</v>
      </c>
      <c r="M4104" t="s" s="10">
        <v>22</v>
      </c>
      <c r="N4104" s="17">
        <v>36</v>
      </c>
      <c r="O4104" s="18">
        <v>1045</v>
      </c>
      <c r="P4104" s="18">
        <v>1070</v>
      </c>
      <c r="Q4104" s="15"/>
      <c r="R4104" t="s" s="16">
        <f>HYPERLINK("http://secrets.rutgers.edu:8080/data/asl-ftp/asllvd/demos/verify_start_end_handshape_annotations//test_auto_move//signs_mov_separ_signers/Liz_15472.mov","MOV")</f>
        <v>21</v>
      </c>
    </row>
    <row r="4105" s="2" customFormat="1" ht="13.5" customHeight="1">
      <c r="B4105" s="13"/>
      <c r="C4105" t="s" s="9">
        <v>27</v>
      </c>
      <c r="D4105" t="s" s="8">
        <v>1394</v>
      </c>
      <c r="E4105" t="s" s="9">
        <v>1394</v>
      </c>
      <c r="F4105" t="s" s="10">
        <v>72</v>
      </c>
      <c r="G4105" t="s" s="11">
        <v>72</v>
      </c>
      <c r="H4105" t="s" s="10">
        <v>72</v>
      </c>
      <c r="I4105" t="s" s="11">
        <v>72</v>
      </c>
      <c r="J4105" t="s" s="11">
        <v>20</v>
      </c>
      <c r="K4105" t="s" s="16">
        <f>HYPERLINK("http://csr.bu.edu/ftp/asl/asllvd/demos/verify_start_end_handshape_annotations//test_auto_move//signs_mov/15472.mov","MOV")</f>
        <v>21</v>
      </c>
      <c r="L4105" t="s" s="16">
        <f>HYPERLINK("http://csr.bu.edu/ftp/asl/asllvd/demos/verify_start_end_handshape_annotations//test_auto_move//signs_mov_separ_signers/Naomi_15472.mov","MOV")</f>
        <v>21</v>
      </c>
      <c r="M4105" t="s" s="10">
        <v>29</v>
      </c>
      <c r="N4105" s="17">
        <v>24</v>
      </c>
      <c r="O4105" s="18">
        <v>1945</v>
      </c>
      <c r="P4105" s="18">
        <v>1962</v>
      </c>
      <c r="Q4105" t="s" s="16">
        <f>HYPERLINK("http://secrets.rutgers.edu:8080/data/asl-ftp/asllvd/demos/verify_start_end_handshape_annotations//test_auto_move//signs_mov/15472.mov","MOV")</f>
        <v>21</v>
      </c>
      <c r="R4105" t="s" s="16">
        <f>HYPERLINK("http://secrets.rutgers.edu:8080/data/asl-ftp/asllvd/demos/verify_start_end_handshape_annotations//test_auto_move//signs_mov_separ_signers/Naomi_15472.mov","MOV")</f>
        <v>21</v>
      </c>
    </row>
    <row r="4106" s="2" customFormat="1" ht="13.5" customHeight="1">
      <c r="B4106" s="13"/>
      <c r="C4106" t="s" s="9">
        <v>30</v>
      </c>
      <c r="D4106" t="s" s="8">
        <v>1394</v>
      </c>
      <c r="E4106" t="s" s="9">
        <v>1394</v>
      </c>
      <c r="F4106" s="19">
        <v>5</v>
      </c>
      <c r="G4106" s="17">
        <v>5</v>
      </c>
      <c r="H4106" s="19">
        <v>5</v>
      </c>
      <c r="I4106" s="17">
        <v>5</v>
      </c>
      <c r="J4106" t="s" s="11">
        <v>20</v>
      </c>
      <c r="K4106" s="15"/>
      <c r="L4106" t="s" s="16">
        <f>HYPERLINK("http://csr.bu.edu/ftp/asl/asllvd/demos/verify_start_end_handshape_annotations//test_auto_move//signs_mov_separ_signers/Brady_15472.mov","MOV")</f>
        <v>21</v>
      </c>
      <c r="M4106" t="s" s="10">
        <v>31</v>
      </c>
      <c r="N4106" s="17">
        <v>18</v>
      </c>
      <c r="O4106" s="18">
        <v>2839</v>
      </c>
      <c r="P4106" s="18">
        <v>2870</v>
      </c>
      <c r="Q4106" s="15"/>
      <c r="R4106" t="s" s="16">
        <f>HYPERLINK("http://secrets.rutgers.edu:8080/data/asl-ftp/asllvd/demos/verify_start_end_handshape_annotations//test_auto_move//signs_mov_separ_signers/Brady_15472.mov","MOV")</f>
        <v>21</v>
      </c>
    </row>
    <row r="4107" s="2" customFormat="1" ht="13.5" customHeight="1">
      <c r="B4107" t="s" s="8">
        <v>1395</v>
      </c>
      <c r="C4107" t="s" s="9">
        <v>14</v>
      </c>
      <c r="D4107" t="s" s="8">
        <v>14</v>
      </c>
      <c r="E4107" t="s" s="9">
        <v>14</v>
      </c>
      <c r="F4107" t="s" s="10">
        <v>14</v>
      </c>
      <c r="G4107" t="s" s="11">
        <v>14</v>
      </c>
      <c r="H4107" t="s" s="10">
        <v>14</v>
      </c>
      <c r="I4107" t="s" s="11">
        <v>14</v>
      </c>
      <c r="J4107" t="s" s="11">
        <v>14</v>
      </c>
      <c r="K4107" t="s" s="12">
        <v>14</v>
      </c>
      <c r="L4107" t="s" s="12">
        <v>14</v>
      </c>
      <c r="M4107" t="s" s="10">
        <v>14</v>
      </c>
      <c r="N4107" t="s" s="11">
        <v>14</v>
      </c>
      <c r="O4107" t="s" s="8">
        <v>14</v>
      </c>
      <c r="P4107" t="s" s="8">
        <v>14</v>
      </c>
      <c r="Q4107" t="s" s="12">
        <v>14</v>
      </c>
      <c r="R4107" t="s" s="12">
        <v>14</v>
      </c>
    </row>
    <row r="4108" s="2" customFormat="1" ht="13.5" customHeight="1">
      <c r="B4108" s="13"/>
      <c r="C4108" t="s" s="9">
        <v>16</v>
      </c>
      <c r="D4108" t="s" s="8">
        <v>1395</v>
      </c>
      <c r="E4108" t="s" s="9">
        <v>1396</v>
      </c>
      <c r="F4108" s="19">
        <v>25</v>
      </c>
      <c r="G4108" s="14"/>
      <c r="H4108" s="19">
        <v>25</v>
      </c>
      <c r="I4108" s="14"/>
      <c r="J4108" t="s" s="11">
        <v>20</v>
      </c>
      <c r="K4108" s="15"/>
      <c r="L4108" t="s" s="16">
        <f>HYPERLINK("http://csr.bu.edu/ftp/asl/asllvd/demos/verify_start_end_handshape_annotations//test_auto_move//signs_mov_separ_signers/Liz_887.mov","MOV")</f>
        <v>21</v>
      </c>
      <c r="M4108" t="s" s="10">
        <v>84</v>
      </c>
      <c r="N4108" s="17">
        <v>39</v>
      </c>
      <c r="O4108" s="18">
        <v>1745</v>
      </c>
      <c r="P4108" s="18">
        <v>1775</v>
      </c>
      <c r="Q4108" s="15"/>
      <c r="R4108" t="s" s="16">
        <f>HYPERLINK("http://secrets.rutgers.edu:8080/data/asl-ftp/asllvd/demos/verify_start_end_handshape_annotations//test_auto_move//signs_mov_separ_signers/Liz_887.mov","MOV")</f>
        <v>21</v>
      </c>
    </row>
    <row r="4109" s="2" customFormat="1" ht="13.5" customHeight="1">
      <c r="B4109" s="13"/>
      <c r="C4109" t="s" s="9">
        <v>16</v>
      </c>
      <c r="D4109" t="s" s="8">
        <v>1395</v>
      </c>
      <c r="E4109" t="s" s="9">
        <v>1395</v>
      </c>
      <c r="F4109" s="19">
        <v>25</v>
      </c>
      <c r="G4109" s="14"/>
      <c r="H4109" s="19">
        <v>25</v>
      </c>
      <c r="I4109" s="14"/>
      <c r="J4109" t="s" s="11">
        <v>20</v>
      </c>
      <c r="K4109" t="s" s="16">
        <f>HYPERLINK("http://csr.bu.edu/ftp/asl/asllvd/demos/verify_start_end_handshape_annotations//test_auto_move//signs_mov/887_3720_merged.mov","MOV")</f>
        <v>21</v>
      </c>
      <c r="L4109" t="s" s="16">
        <f>HYPERLINK("http://csr.bu.edu/ftp/asl/asllvd/demos/verify_start_end_handshape_annotations//test_auto_move//signs_mov_separ_signers/Liz_3720.mov","MOV")</f>
        <v>21</v>
      </c>
      <c r="M4109" t="s" s="10">
        <v>88</v>
      </c>
      <c r="N4109" s="17">
        <v>46</v>
      </c>
      <c r="O4109" s="18">
        <v>1660</v>
      </c>
      <c r="P4109" s="18">
        <v>1695</v>
      </c>
      <c r="Q4109" t="s" s="16">
        <f>HYPERLINK("http://secrets.rutgers.edu:8080/data/asl-ftp/asllvd/demos/verify_start_end_handshape_annotations//test_auto_move//signs_mov/887_3720_merged.mov","MOV")</f>
        <v>21</v>
      </c>
      <c r="R4109" t="s" s="16">
        <f>HYPERLINK("http://secrets.rutgers.edu:8080/data/asl-ftp/asllvd/demos/verify_start_end_handshape_annotations//test_auto_move//signs_mov_separ_signers/Liz_3720.mov","MOV")</f>
        <v>21</v>
      </c>
    </row>
    <row r="4110" s="2" customFormat="1" ht="13.5" customHeight="1">
      <c r="B4110" s="13"/>
      <c r="C4110" t="s" s="9">
        <v>23</v>
      </c>
      <c r="D4110" t="s" s="8">
        <v>1395</v>
      </c>
      <c r="E4110" t="s" s="9">
        <v>1397</v>
      </c>
      <c r="F4110" s="19">
        <v>25</v>
      </c>
      <c r="G4110" s="14"/>
      <c r="H4110" s="19">
        <v>25</v>
      </c>
      <c r="I4110" s="14"/>
      <c r="J4110" t="s" s="11">
        <v>20</v>
      </c>
      <c r="K4110" s="15"/>
      <c r="L4110" t="s" s="16">
        <f>HYPERLINK("http://csr.bu.edu/ftp/asl/asllvd/demos/verify_start_end_handshape_annotations//test_auto_move//signs_mov_separ_signers/Tyler_887.mov","MOV")</f>
        <v>21</v>
      </c>
      <c r="M4110" t="s" s="10">
        <v>92</v>
      </c>
      <c r="N4110" s="17">
        <v>19</v>
      </c>
      <c r="O4110" s="18">
        <v>2987</v>
      </c>
      <c r="P4110" s="18">
        <v>3012</v>
      </c>
      <c r="Q4110" s="15"/>
      <c r="R4110" t="s" s="16">
        <f>HYPERLINK("http://secrets.rutgers.edu:8080/data/asl-ftp/asllvd/demos/verify_start_end_handshape_annotations//test_auto_move//signs_mov_separ_signers/Tyler_887.mov","MOV")</f>
        <v>21</v>
      </c>
    </row>
    <row r="4111" s="2" customFormat="1" ht="13.5" customHeight="1">
      <c r="B4111" s="13"/>
      <c r="C4111" t="s" s="9">
        <v>27</v>
      </c>
      <c r="D4111" t="s" s="8">
        <v>1395</v>
      </c>
      <c r="E4111" t="s" s="9">
        <v>1397</v>
      </c>
      <c r="F4111" s="19">
        <v>25</v>
      </c>
      <c r="G4111" s="14"/>
      <c r="H4111" s="19">
        <v>25</v>
      </c>
      <c r="I4111" s="14"/>
      <c r="J4111" t="s" s="11">
        <v>20</v>
      </c>
      <c r="K4111" s="15"/>
      <c r="L4111" t="s" s="16">
        <f>HYPERLINK("http://csr.bu.edu/ftp/asl/asllvd/demos/verify_start_end_handshape_annotations//test_auto_move//signs_mov_separ_signers/Naomi_887.mov","MOV")</f>
        <v>21</v>
      </c>
      <c r="M4111" t="s" s="10">
        <v>86</v>
      </c>
      <c r="N4111" s="17">
        <v>39</v>
      </c>
      <c r="O4111" s="18">
        <v>1635</v>
      </c>
      <c r="P4111" s="18">
        <v>1670</v>
      </c>
      <c r="Q4111" s="15"/>
      <c r="R4111" t="s" s="16">
        <f>HYPERLINK("http://secrets.rutgers.edu:8080/data/asl-ftp/asllvd/demos/verify_start_end_handshape_annotations//test_auto_move//signs_mov_separ_signers/Naomi_887.mov","MOV")</f>
        <v>21</v>
      </c>
    </row>
    <row r="4112" s="2" customFormat="1" ht="13.5" customHeight="1">
      <c r="B4112" t="s" s="8">
        <v>1398</v>
      </c>
      <c r="C4112" t="s" s="9">
        <v>14</v>
      </c>
      <c r="D4112" t="s" s="8">
        <v>14</v>
      </c>
      <c r="E4112" t="s" s="9">
        <v>14</v>
      </c>
      <c r="F4112" t="s" s="10">
        <v>14</v>
      </c>
      <c r="G4112" t="s" s="11">
        <v>14</v>
      </c>
      <c r="H4112" t="s" s="10">
        <v>14</v>
      </c>
      <c r="I4112" t="s" s="11">
        <v>14</v>
      </c>
      <c r="J4112" t="s" s="11">
        <v>14</v>
      </c>
      <c r="K4112" t="s" s="12">
        <v>14</v>
      </c>
      <c r="L4112" t="s" s="12">
        <v>14</v>
      </c>
      <c r="M4112" t="s" s="10">
        <v>14</v>
      </c>
      <c r="N4112" t="s" s="11">
        <v>14</v>
      </c>
      <c r="O4112" t="s" s="8">
        <v>14</v>
      </c>
      <c r="P4112" t="s" s="8">
        <v>14</v>
      </c>
      <c r="Q4112" t="s" s="12">
        <v>14</v>
      </c>
      <c r="R4112" t="s" s="12">
        <v>14</v>
      </c>
    </row>
    <row r="4113" s="2" customFormat="1" ht="13.5" customHeight="1">
      <c r="B4113" s="13"/>
      <c r="C4113" t="s" s="9">
        <v>16</v>
      </c>
      <c r="D4113" t="s" s="8">
        <v>1398</v>
      </c>
      <c r="E4113" t="s" s="9">
        <v>1399</v>
      </c>
      <c r="F4113" s="19">
        <v>25</v>
      </c>
      <c r="G4113" s="14"/>
      <c r="H4113" s="19">
        <v>25</v>
      </c>
      <c r="I4113" s="14"/>
      <c r="J4113" t="s" s="11">
        <v>20</v>
      </c>
      <c r="K4113" s="15"/>
      <c r="L4113" t="s" s="16">
        <f>HYPERLINK("http://csr.bu.edu/ftp/asl/asllvd/demos/verify_start_end_handshape_annotations//test_auto_move//signs_mov_separ_signers/Liz_15925.mov","MOV")</f>
        <v>21</v>
      </c>
      <c r="M4113" t="s" s="10">
        <v>59</v>
      </c>
      <c r="N4113" s="17">
        <v>5</v>
      </c>
      <c r="O4113" s="18">
        <v>1795</v>
      </c>
      <c r="P4113" s="18">
        <v>1820</v>
      </c>
      <c r="Q4113" s="15"/>
      <c r="R4113" t="s" s="16">
        <f>HYPERLINK("http://secrets.rutgers.edu:8080/data/asl-ftp/asllvd/demos/verify_start_end_handshape_annotations//test_auto_move//signs_mov_separ_signers/Liz_15925.mov","MOV")</f>
        <v>21</v>
      </c>
    </row>
    <row r="4114" s="2" customFormat="1" ht="13.5" customHeight="1">
      <c r="B4114" s="13"/>
      <c r="C4114" t="s" s="9">
        <v>30</v>
      </c>
      <c r="D4114" t="s" s="8">
        <v>1398</v>
      </c>
      <c r="E4114" t="s" s="9">
        <v>1399</v>
      </c>
      <c r="F4114" s="19">
        <v>25</v>
      </c>
      <c r="G4114" s="14"/>
      <c r="H4114" s="19">
        <v>25</v>
      </c>
      <c r="I4114" s="14"/>
      <c r="J4114" t="s" s="11">
        <v>20</v>
      </c>
      <c r="K4114" t="s" s="16">
        <f>HYPERLINK("http://csr.bu.edu/ftp/asl/asllvd/demos/verify_start_end_handshape_annotations//test_auto_move//signs_mov/15925.mov","MOV")</f>
        <v>21</v>
      </c>
      <c r="L4114" t="s" s="16">
        <f>HYPERLINK("http://csr.bu.edu/ftp/asl/asllvd/demos/verify_start_end_handshape_annotations//test_auto_move//signs_mov_separ_signers/Brady_15925.mov","MOV")</f>
        <v>21</v>
      </c>
      <c r="M4114" t="s" s="10">
        <v>40</v>
      </c>
      <c r="N4114" s="17">
        <v>109</v>
      </c>
      <c r="O4114" s="18">
        <v>2812</v>
      </c>
      <c r="P4114" s="18">
        <v>2844</v>
      </c>
      <c r="Q4114" t="s" s="16">
        <f>HYPERLINK("http://secrets.rutgers.edu:8080/data/asl-ftp/asllvd/demos/verify_start_end_handshape_annotations//test_auto_move//signs_mov/15925.mov","MOV")</f>
        <v>21</v>
      </c>
      <c r="R4114" t="s" s="16">
        <f>HYPERLINK("http://secrets.rutgers.edu:8080/data/asl-ftp/asllvd/demos/verify_start_end_handshape_annotations//test_auto_move//signs_mov_separ_signers/Brady_15925.mov","MOV")</f>
        <v>21</v>
      </c>
    </row>
    <row r="4115" s="2" customFormat="1" ht="13.5" customHeight="1">
      <c r="B4115" s="13"/>
      <c r="C4115" t="s" s="9">
        <v>41</v>
      </c>
      <c r="D4115" t="s" s="8">
        <v>1398</v>
      </c>
      <c r="E4115" t="s" s="9">
        <v>1399</v>
      </c>
      <c r="F4115" s="19">
        <v>25</v>
      </c>
      <c r="G4115" s="14"/>
      <c r="H4115" s="19">
        <v>25</v>
      </c>
      <c r="I4115" s="14"/>
      <c r="J4115" t="s" s="11">
        <v>20</v>
      </c>
      <c r="K4115" s="15"/>
      <c r="L4115" t="s" s="16">
        <f>HYPERLINK("http://csr.bu.edu/ftp/asl/asllvd/demos/verify_start_end_handshape_annotations//test_auto_move//signs_mov_separ_signers/Lana_15925.mov","MOV")</f>
        <v>21</v>
      </c>
      <c r="M4115" t="s" s="10">
        <v>42</v>
      </c>
      <c r="N4115" s="17">
        <v>25</v>
      </c>
      <c r="O4115" s="18">
        <v>352</v>
      </c>
      <c r="P4115" s="18">
        <v>385</v>
      </c>
      <c r="Q4115" s="15"/>
      <c r="R4115" t="s" s="16">
        <f>HYPERLINK("http://secrets.rutgers.edu:8080/data/asl-ftp/asllvd/demos/verify_start_end_handshape_annotations//test_auto_move//signs_mov_separ_signers/Lana_15925.mov","MOV")</f>
        <v>21</v>
      </c>
    </row>
    <row r="4116" s="2" customFormat="1" ht="13.5" customHeight="1">
      <c r="B4116" s="13"/>
      <c r="C4116" t="s" s="9">
        <v>43</v>
      </c>
      <c r="D4116" t="s" s="8">
        <v>1398</v>
      </c>
      <c r="E4116" t="s" s="9">
        <v>1399</v>
      </c>
      <c r="F4116" s="19">
        <v>25</v>
      </c>
      <c r="G4116" s="14"/>
      <c r="H4116" s="19">
        <v>25</v>
      </c>
      <c r="I4116" s="14"/>
      <c r="J4116" t="s" s="11">
        <v>20</v>
      </c>
      <c r="K4116" s="15"/>
      <c r="L4116" t="s" s="16">
        <f>HYPERLINK("http://csr.bu.edu/ftp/asl/asllvd/demos/verify_start_end_handshape_annotations//test_auto_move//signs_mov_separ_signers/Dana_15925.mov","MOV")</f>
        <v>21</v>
      </c>
      <c r="M4116" t="s" s="10">
        <v>44</v>
      </c>
      <c r="N4116" s="17">
        <v>27</v>
      </c>
      <c r="O4116" s="18">
        <v>302</v>
      </c>
      <c r="P4116" s="18">
        <v>356</v>
      </c>
      <c r="Q4116" s="15"/>
      <c r="R4116" t="s" s="16">
        <f>HYPERLINK("http://secrets.rutgers.edu:8080/data/asl-ftp/asllvd/demos/verify_start_end_handshape_annotations//test_auto_move//signs_mov_separ_signers/Dana_15925.mov","MOV")</f>
        <v>21</v>
      </c>
    </row>
    <row r="4117" s="2" customFormat="1" ht="13.5" customHeight="1">
      <c r="B4117" t="s" s="8">
        <v>1400</v>
      </c>
      <c r="C4117" t="s" s="9">
        <v>14</v>
      </c>
      <c r="D4117" t="s" s="8">
        <v>14</v>
      </c>
      <c r="E4117" t="s" s="9">
        <v>14</v>
      </c>
      <c r="F4117" t="s" s="10">
        <v>14</v>
      </c>
      <c r="G4117" t="s" s="11">
        <v>14</v>
      </c>
      <c r="H4117" t="s" s="10">
        <v>14</v>
      </c>
      <c r="I4117" t="s" s="11">
        <v>14</v>
      </c>
      <c r="J4117" t="s" s="11">
        <v>14</v>
      </c>
      <c r="K4117" t="s" s="12">
        <v>14</v>
      </c>
      <c r="L4117" t="s" s="12">
        <v>14</v>
      </c>
      <c r="M4117" t="s" s="10">
        <v>14</v>
      </c>
      <c r="N4117" t="s" s="11">
        <v>14</v>
      </c>
      <c r="O4117" t="s" s="8">
        <v>14</v>
      </c>
      <c r="P4117" t="s" s="8">
        <v>14</v>
      </c>
      <c r="Q4117" t="s" s="12">
        <v>14</v>
      </c>
      <c r="R4117" t="s" s="12">
        <v>14</v>
      </c>
    </row>
    <row r="4118" s="2" customFormat="1" ht="13.5" customHeight="1">
      <c r="B4118" s="13"/>
      <c r="C4118" t="s" s="9">
        <v>23</v>
      </c>
      <c r="D4118" t="s" s="8">
        <v>1400</v>
      </c>
      <c r="E4118" t="s" s="9">
        <v>1400</v>
      </c>
      <c r="F4118" s="19">
        <v>8</v>
      </c>
      <c r="G4118" s="14"/>
      <c r="H4118" t="s" s="10">
        <v>430</v>
      </c>
      <c r="I4118" s="14"/>
      <c r="J4118" t="s" s="11">
        <v>20</v>
      </c>
      <c r="K4118" s="15"/>
      <c r="L4118" t="s" s="16">
        <f>HYPERLINK("http://csr.bu.edu/ftp/asl/asllvd/demos/verify_start_end_handshape_annotations//test_auto_move//signs_mov_separ_signers/Tyler_15943.mov","MOV")</f>
        <v>21</v>
      </c>
      <c r="M4118" t="s" s="10">
        <v>125</v>
      </c>
      <c r="N4118" s="17">
        <v>14</v>
      </c>
      <c r="O4118" s="18">
        <v>260</v>
      </c>
      <c r="P4118" s="18">
        <v>290</v>
      </c>
      <c r="Q4118" s="15"/>
      <c r="R4118" t="s" s="16">
        <f>HYPERLINK("http://secrets.rutgers.edu:8080/data/asl-ftp/asllvd/demos/verify_start_end_handshape_annotations//test_auto_move//signs_mov_separ_signers/Tyler_15943.mov","MOV")</f>
        <v>21</v>
      </c>
    </row>
    <row r="4119" s="2" customFormat="1" ht="13.5" customHeight="1">
      <c r="B4119" s="13"/>
      <c r="C4119" t="s" s="9">
        <v>27</v>
      </c>
      <c r="D4119" t="s" s="8">
        <v>1400</v>
      </c>
      <c r="E4119" t="s" s="9">
        <v>1400</v>
      </c>
      <c r="F4119" s="19">
        <v>8</v>
      </c>
      <c r="G4119" s="14"/>
      <c r="H4119" s="19">
        <v>8</v>
      </c>
      <c r="I4119" s="14"/>
      <c r="J4119" t="s" s="11">
        <v>20</v>
      </c>
      <c r="K4119" t="s" s="16">
        <f>HYPERLINK("http://csr.bu.edu/ftp/asl/asllvd/demos/verify_start_end_handshape_annotations//test_auto_move//signs_mov/15943.mov","MOV")</f>
        <v>21</v>
      </c>
      <c r="L4119" t="s" s="16">
        <f>HYPERLINK("http://csr.bu.edu/ftp/asl/asllvd/demos/verify_start_end_handshape_annotations//test_auto_move//signs_mov_separ_signers/Naomi_15943.mov","MOV")</f>
        <v>21</v>
      </c>
      <c r="M4119" t="s" s="10">
        <v>86</v>
      </c>
      <c r="N4119" s="17">
        <v>14</v>
      </c>
      <c r="O4119" s="18">
        <v>230</v>
      </c>
      <c r="P4119" s="18">
        <v>242</v>
      </c>
      <c r="Q4119" t="s" s="16">
        <f>HYPERLINK("http://secrets.rutgers.edu:8080/data/asl-ftp/asllvd/demos/verify_start_end_handshape_annotations//test_auto_move//signs_mov/15943.mov","MOV")</f>
        <v>21</v>
      </c>
      <c r="R4119" t="s" s="16">
        <f>HYPERLINK("http://secrets.rutgers.edu:8080/data/asl-ftp/asllvd/demos/verify_start_end_handshape_annotations//test_auto_move//signs_mov_separ_signers/Naomi_15943.mov","MOV")</f>
        <v>21</v>
      </c>
    </row>
    <row r="4120" s="2" customFormat="1" ht="13.5" customHeight="1">
      <c r="B4120" s="13"/>
      <c r="C4120" t="s" s="9">
        <v>41</v>
      </c>
      <c r="D4120" t="s" s="8">
        <v>1400</v>
      </c>
      <c r="E4120" t="s" s="9">
        <v>1400</v>
      </c>
      <c r="F4120" s="19">
        <v>8</v>
      </c>
      <c r="G4120" s="14"/>
      <c r="H4120" s="19">
        <v>8</v>
      </c>
      <c r="I4120" s="14"/>
      <c r="J4120" t="s" s="11">
        <v>20</v>
      </c>
      <c r="K4120" s="15"/>
      <c r="L4120" t="s" s="16">
        <f>HYPERLINK("http://csr.bu.edu/ftp/asl/asllvd/demos/verify_start_end_handshape_annotations//test_auto_move//signs_mov_separ_signers/Lana_15943.mov","MOV")</f>
        <v>21</v>
      </c>
      <c r="M4120" t="s" s="10">
        <v>42</v>
      </c>
      <c r="N4120" s="17">
        <v>6</v>
      </c>
      <c r="O4120" s="18">
        <v>2369</v>
      </c>
      <c r="P4120" s="18">
        <v>2384</v>
      </c>
      <c r="Q4120" s="15"/>
      <c r="R4120" t="s" s="16">
        <f>HYPERLINK("http://secrets.rutgers.edu:8080/data/asl-ftp/asllvd/demos/verify_start_end_handshape_annotations//test_auto_move//signs_mov_separ_signers/Lana_15943.mov","MOV")</f>
        <v>21</v>
      </c>
    </row>
    <row r="4121" s="2" customFormat="1" ht="13.5" customHeight="1">
      <c r="B4121" s="13"/>
      <c r="C4121" t="s" s="9">
        <v>43</v>
      </c>
      <c r="D4121" t="s" s="8">
        <v>1400</v>
      </c>
      <c r="E4121" t="s" s="9">
        <v>1400</v>
      </c>
      <c r="F4121" s="19">
        <v>8</v>
      </c>
      <c r="G4121" s="14"/>
      <c r="H4121" s="19">
        <v>8</v>
      </c>
      <c r="I4121" s="14"/>
      <c r="J4121" t="s" s="11">
        <v>20</v>
      </c>
      <c r="K4121" s="15"/>
      <c r="L4121" t="s" s="16">
        <f>HYPERLINK("http://csr.bu.edu/ftp/asl/asllvd/demos/verify_start_end_handshape_annotations//test_auto_move//signs_mov_separ_signers/Dana_15943.mov","MOV")</f>
        <v>21</v>
      </c>
      <c r="M4121" t="s" s="10">
        <v>44</v>
      </c>
      <c r="N4121" s="17">
        <v>10</v>
      </c>
      <c r="O4121" s="18">
        <v>2688</v>
      </c>
      <c r="P4121" s="18">
        <v>2738</v>
      </c>
      <c r="Q4121" s="15"/>
      <c r="R4121" t="s" s="16">
        <f>HYPERLINK("http://secrets.rutgers.edu:8080/data/asl-ftp/asllvd/demos/verify_start_end_handshape_annotations//test_auto_move//signs_mov_separ_signers/Dana_15943.mov","MOV")</f>
        <v>21</v>
      </c>
    </row>
    <row r="4122" s="2" customFormat="1" ht="13.5" customHeight="1">
      <c r="B4122" t="s" s="8">
        <v>52</v>
      </c>
      <c r="C4122" t="s" s="9">
        <v>53</v>
      </c>
      <c r="D4122" t="s" s="8">
        <v>53</v>
      </c>
      <c r="E4122" t="s" s="9">
        <v>53</v>
      </c>
      <c r="F4122" t="s" s="10">
        <v>53</v>
      </c>
      <c r="G4122" t="s" s="11">
        <v>53</v>
      </c>
      <c r="H4122" t="s" s="10">
        <v>53</v>
      </c>
      <c r="I4122" t="s" s="11">
        <v>53</v>
      </c>
      <c r="J4122" t="s" s="11">
        <v>53</v>
      </c>
      <c r="K4122" t="s" s="12">
        <v>53</v>
      </c>
      <c r="L4122" t="s" s="12">
        <v>53</v>
      </c>
      <c r="M4122" t="s" s="10">
        <v>53</v>
      </c>
      <c r="N4122" t="s" s="11">
        <v>53</v>
      </c>
      <c r="O4122" t="s" s="8">
        <v>53</v>
      </c>
      <c r="P4122" t="s" s="8">
        <v>53</v>
      </c>
      <c r="Q4122" t="s" s="12">
        <v>53</v>
      </c>
      <c r="R4122" t="s" s="12">
        <v>53</v>
      </c>
    </row>
    <row r="4123" s="2" customFormat="1" ht="13.5" customHeight="1">
      <c r="B4123" s="13"/>
      <c r="C4123" t="s" s="9">
        <v>16</v>
      </c>
      <c r="D4123" t="s" s="8">
        <v>1400</v>
      </c>
      <c r="E4123" t="s" s="9">
        <v>1401</v>
      </c>
      <c r="F4123" t="s" s="10">
        <v>430</v>
      </c>
      <c r="G4123" s="14"/>
      <c r="H4123" t="s" s="10">
        <v>63</v>
      </c>
      <c r="I4123" s="14"/>
      <c r="J4123" t="s" s="11">
        <v>20</v>
      </c>
      <c r="K4123" t="s" s="16">
        <f>HYPERLINK("http://csr.bu.edu/ftp/asl/asllvd/demos/verify_start_end_handshape_annotations//test_auto_move//signs_mov/15988.mov","MOV")</f>
        <v>21</v>
      </c>
      <c r="L4123" t="s" s="16">
        <f>HYPERLINK("http://csr.bu.edu/ftp/asl/asllvd/demos/verify_start_end_handshape_annotations//test_auto_move//signs_mov_separ_signers/Liz_15988.mov","MOV")</f>
        <v>21</v>
      </c>
      <c r="M4123" t="s" s="10">
        <v>84</v>
      </c>
      <c r="N4123" s="17">
        <v>14</v>
      </c>
      <c r="O4123" s="18">
        <v>460</v>
      </c>
      <c r="P4123" s="18">
        <v>485</v>
      </c>
      <c r="Q4123" t="s" s="16">
        <f>HYPERLINK("http://secrets.rutgers.edu:8080/data/asl-ftp/asllvd/demos/verify_start_end_handshape_annotations//test_auto_move//signs_mov/15988.mov","MOV")</f>
        <v>21</v>
      </c>
      <c r="R4123" t="s" s="16">
        <f>HYPERLINK("http://secrets.rutgers.edu:8080/data/asl-ftp/asllvd/demos/verify_start_end_handshape_annotations//test_auto_move//signs_mov_separ_signers/Liz_15988.mov","MOV")</f>
        <v>21</v>
      </c>
    </row>
    <row r="4124" s="2" customFormat="1" ht="13.5" customHeight="1">
      <c r="B4124" s="13"/>
      <c r="C4124" t="s" s="9">
        <v>30</v>
      </c>
      <c r="D4124" t="s" s="8">
        <v>1400</v>
      </c>
      <c r="E4124" t="s" s="9">
        <v>1401</v>
      </c>
      <c r="F4124" s="19">
        <v>8</v>
      </c>
      <c r="G4124" s="14"/>
      <c r="H4124" t="s" s="10">
        <v>65</v>
      </c>
      <c r="I4124" s="14"/>
      <c r="J4124" t="s" s="11">
        <v>20</v>
      </c>
      <c r="K4124" s="15"/>
      <c r="L4124" t="s" s="16">
        <f>HYPERLINK("http://csr.bu.edu/ftp/asl/asllvd/demos/verify_start_end_handshape_annotations//test_auto_move//signs_mov_separ_signers/Brady_15988.mov","MOV")</f>
        <v>21</v>
      </c>
      <c r="M4124" t="s" s="10">
        <v>31</v>
      </c>
      <c r="N4124" s="17">
        <v>32</v>
      </c>
      <c r="O4124" s="18">
        <v>14396</v>
      </c>
      <c r="P4124" s="18">
        <v>14415</v>
      </c>
      <c r="Q4124" s="15"/>
      <c r="R4124" t="s" s="16">
        <f>HYPERLINK("http://secrets.rutgers.edu:8080/data/asl-ftp/asllvd/demos/verify_start_end_handshape_annotations//test_auto_move//signs_mov_separ_signers/Brady_15988.mov","MOV")</f>
        <v>21</v>
      </c>
    </row>
    <row r="4125" s="2" customFormat="1" ht="13.5" customHeight="1">
      <c r="B4125" t="s" s="8">
        <v>1402</v>
      </c>
      <c r="C4125" t="s" s="9">
        <v>14</v>
      </c>
      <c r="D4125" t="s" s="8">
        <v>14</v>
      </c>
      <c r="E4125" t="s" s="9">
        <v>14</v>
      </c>
      <c r="F4125" t="s" s="10">
        <v>14</v>
      </c>
      <c r="G4125" t="s" s="11">
        <v>14</v>
      </c>
      <c r="H4125" t="s" s="10">
        <v>14</v>
      </c>
      <c r="I4125" t="s" s="11">
        <v>14</v>
      </c>
      <c r="J4125" t="s" s="11">
        <v>14</v>
      </c>
      <c r="K4125" t="s" s="12">
        <v>14</v>
      </c>
      <c r="L4125" t="s" s="12">
        <v>14</v>
      </c>
      <c r="M4125" t="s" s="10">
        <v>14</v>
      </c>
      <c r="N4125" t="s" s="11">
        <v>14</v>
      </c>
      <c r="O4125" t="s" s="8">
        <v>14</v>
      </c>
      <c r="P4125" t="s" s="8">
        <v>14</v>
      </c>
      <c r="Q4125" t="s" s="12">
        <v>14</v>
      </c>
      <c r="R4125" t="s" s="12">
        <v>14</v>
      </c>
    </row>
    <row r="4126" s="2" customFormat="1" ht="13.5" customHeight="1">
      <c r="B4126" s="13"/>
      <c r="C4126" t="s" s="9">
        <v>16</v>
      </c>
      <c r="D4126" t="s" s="8">
        <v>1402</v>
      </c>
      <c r="E4126" t="s" s="9">
        <v>1402</v>
      </c>
      <c r="F4126" s="19">
        <v>25</v>
      </c>
      <c r="G4126" s="14"/>
      <c r="H4126" s="19">
        <v>25</v>
      </c>
      <c r="I4126" s="14"/>
      <c r="J4126" t="s" s="11">
        <v>20</v>
      </c>
      <c r="K4126" s="15"/>
      <c r="L4126" t="s" s="16">
        <f>HYPERLINK("http://csr.bu.edu/ftp/asl/asllvd/demos/verify_start_end_handshape_annotations//test_auto_move//signs_mov_separ_signers/Liz_16516.mov","MOV")</f>
        <v>21</v>
      </c>
      <c r="M4126" t="s" s="10">
        <v>34</v>
      </c>
      <c r="N4126" s="17">
        <v>55</v>
      </c>
      <c r="O4126" s="18">
        <v>1510</v>
      </c>
      <c r="P4126" s="18">
        <v>1545</v>
      </c>
      <c r="Q4126" s="15"/>
      <c r="R4126" t="s" s="16">
        <f>HYPERLINK("http://secrets.rutgers.edu:8080/data/asl-ftp/asllvd/demos/verify_start_end_handshape_annotations//test_auto_move//signs_mov_separ_signers/Liz_16516.mov","MOV")</f>
        <v>21</v>
      </c>
    </row>
    <row r="4127" s="2" customFormat="1" ht="13.5" customHeight="1">
      <c r="B4127" s="13"/>
      <c r="C4127" t="s" s="9">
        <v>23</v>
      </c>
      <c r="D4127" t="s" s="8">
        <v>1402</v>
      </c>
      <c r="E4127" t="s" s="9">
        <v>1402</v>
      </c>
      <c r="F4127" s="19">
        <v>25</v>
      </c>
      <c r="G4127" s="14"/>
      <c r="H4127" s="19">
        <v>25</v>
      </c>
      <c r="I4127" s="14"/>
      <c r="J4127" t="s" s="11">
        <v>20</v>
      </c>
      <c r="K4127" t="s" s="16">
        <f>HYPERLINK("http://csr.bu.edu/ftp/asl/asllvd/demos/verify_start_end_handshape_annotations//test_auto_move//signs_mov/16516.mov","MOV")</f>
        <v>21</v>
      </c>
      <c r="L4127" t="s" s="16">
        <f>HYPERLINK("http://csr.bu.edu/ftp/asl/asllvd/demos/verify_start_end_handshape_annotations//test_auto_move//signs_mov_separ_signers/Tyler_16516.mov","MOV")</f>
        <v>21</v>
      </c>
      <c r="M4127" t="s" s="10">
        <v>47</v>
      </c>
      <c r="N4127" s="17">
        <v>7</v>
      </c>
      <c r="O4127" s="18">
        <v>1020</v>
      </c>
      <c r="P4127" s="18">
        <v>1045</v>
      </c>
      <c r="Q4127" t="s" s="16">
        <f>HYPERLINK("http://secrets.rutgers.edu:8080/data/asl-ftp/asllvd/demos/verify_start_end_handshape_annotations//test_auto_move//signs_mov/16516.mov","MOV")</f>
        <v>21</v>
      </c>
      <c r="R4127" t="s" s="16">
        <f>HYPERLINK("http://secrets.rutgers.edu:8080/data/asl-ftp/asllvd/demos/verify_start_end_handshape_annotations//test_auto_move//signs_mov_separ_signers/Tyler_16516.mov","MOV")</f>
        <v>21</v>
      </c>
    </row>
    <row r="4128" s="2" customFormat="1" ht="13.5" customHeight="1">
      <c r="B4128" s="13"/>
      <c r="C4128" t="s" s="9">
        <v>27</v>
      </c>
      <c r="D4128" t="s" s="8">
        <v>1402</v>
      </c>
      <c r="E4128" t="s" s="9">
        <v>1402</v>
      </c>
      <c r="F4128" s="19">
        <v>25</v>
      </c>
      <c r="G4128" s="14"/>
      <c r="H4128" s="19">
        <v>25</v>
      </c>
      <c r="I4128" s="14"/>
      <c r="J4128" t="s" s="11">
        <v>20</v>
      </c>
      <c r="K4128" s="15"/>
      <c r="L4128" t="s" s="16">
        <f>HYPERLINK("http://csr.bu.edu/ftp/asl/asllvd/demos/verify_start_end_handshape_annotations//test_auto_move//signs_mov_separ_signers/Naomi_16516.mov","MOV")</f>
        <v>21</v>
      </c>
      <c r="M4128" t="s" s="10">
        <v>48</v>
      </c>
      <c r="N4128" s="17">
        <v>10</v>
      </c>
      <c r="O4128" s="18">
        <v>1322</v>
      </c>
      <c r="P4128" s="18">
        <v>1337</v>
      </c>
      <c r="Q4128" s="15"/>
      <c r="R4128" t="s" s="16">
        <f>HYPERLINK("http://secrets.rutgers.edu:8080/data/asl-ftp/asllvd/demos/verify_start_end_handshape_annotations//test_auto_move//signs_mov_separ_signers/Naomi_16516.mov","MOV")</f>
        <v>21</v>
      </c>
    </row>
    <row r="4129" s="2" customFormat="1" ht="13.5" customHeight="1">
      <c r="B4129" s="13"/>
      <c r="C4129" t="s" s="9">
        <v>30</v>
      </c>
      <c r="D4129" t="s" s="8">
        <v>1402</v>
      </c>
      <c r="E4129" t="s" s="9">
        <v>1402</v>
      </c>
      <c r="F4129" s="19">
        <v>25</v>
      </c>
      <c r="G4129" s="14"/>
      <c r="H4129" s="19">
        <v>25</v>
      </c>
      <c r="I4129" s="14"/>
      <c r="J4129" t="s" s="11">
        <v>20</v>
      </c>
      <c r="K4129" s="15"/>
      <c r="L4129" t="s" s="16">
        <f>HYPERLINK("http://csr.bu.edu/ftp/asl/asllvd/demos/verify_start_end_handshape_annotations//test_auto_move//signs_mov_separ_signers/Brady_16516.mov","MOV")</f>
        <v>21</v>
      </c>
      <c r="M4129" t="s" s="10">
        <v>39</v>
      </c>
      <c r="N4129" s="17">
        <v>52</v>
      </c>
      <c r="O4129" s="18">
        <v>8039</v>
      </c>
      <c r="P4129" s="18">
        <v>8056</v>
      </c>
      <c r="Q4129" s="15"/>
      <c r="R4129" t="s" s="16">
        <f>HYPERLINK("http://secrets.rutgers.edu:8080/data/asl-ftp/asllvd/demos/verify_start_end_handshape_annotations//test_auto_move//signs_mov_separ_signers/Brady_16516.mov","MOV")</f>
        <v>21</v>
      </c>
    </row>
    <row r="4130" s="2" customFormat="1" ht="13.5" customHeight="1">
      <c r="B4130" t="s" s="8">
        <v>1403</v>
      </c>
      <c r="C4130" t="s" s="9">
        <v>14</v>
      </c>
      <c r="D4130" t="s" s="8">
        <v>14</v>
      </c>
      <c r="E4130" t="s" s="9">
        <v>14</v>
      </c>
      <c r="F4130" t="s" s="10">
        <v>14</v>
      </c>
      <c r="G4130" t="s" s="11">
        <v>14</v>
      </c>
      <c r="H4130" t="s" s="10">
        <v>14</v>
      </c>
      <c r="I4130" t="s" s="11">
        <v>14</v>
      </c>
      <c r="J4130" t="s" s="11">
        <v>14</v>
      </c>
      <c r="K4130" t="s" s="12">
        <v>14</v>
      </c>
      <c r="L4130" t="s" s="12">
        <v>14</v>
      </c>
      <c r="M4130" t="s" s="10">
        <v>14</v>
      </c>
      <c r="N4130" t="s" s="11">
        <v>14</v>
      </c>
      <c r="O4130" t="s" s="8">
        <v>14</v>
      </c>
      <c r="P4130" t="s" s="8">
        <v>14</v>
      </c>
      <c r="Q4130" t="s" s="12">
        <v>14</v>
      </c>
      <c r="R4130" t="s" s="12">
        <v>14</v>
      </c>
    </row>
    <row r="4131" s="2" customFormat="1" ht="13.5" customHeight="1">
      <c r="B4131" s="13"/>
      <c r="C4131" t="s" s="9">
        <v>16</v>
      </c>
      <c r="D4131" t="s" s="8">
        <v>1403</v>
      </c>
      <c r="E4131" t="s" s="9">
        <v>1403</v>
      </c>
      <c r="F4131" t="s" s="10">
        <v>85</v>
      </c>
      <c r="G4131" t="s" s="11">
        <v>73</v>
      </c>
      <c r="H4131" t="s" s="10">
        <v>55</v>
      </c>
      <c r="I4131" t="s" s="11">
        <v>73</v>
      </c>
      <c r="J4131" t="s" s="11">
        <v>20</v>
      </c>
      <c r="K4131" t="s" s="16">
        <f>HYPERLINK("http://csr.bu.edu/ftp/asl/asllvd/demos/verify_start_end_handshape_annotations//test_auto_move//signs_mov/888.mov","MOV")</f>
        <v>21</v>
      </c>
      <c r="L4131" t="s" s="16">
        <f>HYPERLINK("http://csr.bu.edu/ftp/asl/asllvd/demos/verify_start_end_handshape_annotations//test_auto_move//signs_mov_separ_signers/Liz_888.mov","MOV")</f>
        <v>21</v>
      </c>
      <c r="M4131" t="s" s="10">
        <v>84</v>
      </c>
      <c r="N4131" s="17">
        <v>39</v>
      </c>
      <c r="O4131" s="18">
        <v>1946</v>
      </c>
      <c r="P4131" s="18">
        <v>1975</v>
      </c>
      <c r="Q4131" t="s" s="16">
        <f>HYPERLINK("http://secrets.rutgers.edu:8080/data/asl-ftp/asllvd/demos/verify_start_end_handshape_annotations//test_auto_move//signs_mov/888.mov","MOV")</f>
        <v>21</v>
      </c>
      <c r="R4131" t="s" s="16">
        <f>HYPERLINK("http://secrets.rutgers.edu:8080/data/asl-ftp/asllvd/demos/verify_start_end_handshape_annotations//test_auto_move//signs_mov_separ_signers/Liz_888.mov","MOV")</f>
        <v>21</v>
      </c>
    </row>
    <row r="4132" s="2" customFormat="1" ht="13.5" customHeight="1">
      <c r="B4132" s="13"/>
      <c r="C4132" t="s" s="9">
        <v>30</v>
      </c>
      <c r="D4132" t="s" s="8">
        <v>1403</v>
      </c>
      <c r="E4132" t="s" s="9">
        <v>1403</v>
      </c>
      <c r="F4132" t="s" s="10">
        <v>85</v>
      </c>
      <c r="G4132" t="s" s="11">
        <v>85</v>
      </c>
      <c r="H4132" t="s" s="10">
        <v>55</v>
      </c>
      <c r="I4132" t="s" s="11">
        <v>85</v>
      </c>
      <c r="J4132" t="s" s="11">
        <v>20</v>
      </c>
      <c r="K4132" s="15"/>
      <c r="L4132" t="s" s="16">
        <f>HYPERLINK("http://csr.bu.edu/ftp/asl/asllvd/demos/verify_start_end_handshape_annotations//test_auto_move//signs_mov_separ_signers/Brady_888.mov","MOV")</f>
        <v>21</v>
      </c>
      <c r="M4132" t="s" s="10">
        <v>39</v>
      </c>
      <c r="N4132" s="17">
        <v>16</v>
      </c>
      <c r="O4132" s="18">
        <v>7286</v>
      </c>
      <c r="P4132" s="18">
        <v>7297</v>
      </c>
      <c r="Q4132" s="15"/>
      <c r="R4132" t="s" s="16">
        <f>HYPERLINK("http://secrets.rutgers.edu:8080/data/asl-ftp/asllvd/demos/verify_start_end_handshape_annotations//test_auto_move//signs_mov_separ_signers/Brady_888.mov","MOV")</f>
        <v>21</v>
      </c>
    </row>
    <row r="4133" s="2" customFormat="1" ht="13.5" customHeight="1">
      <c r="B4133" t="s" s="8">
        <v>52</v>
      </c>
      <c r="C4133" t="s" s="9">
        <v>53</v>
      </c>
      <c r="D4133" t="s" s="8">
        <v>53</v>
      </c>
      <c r="E4133" t="s" s="9">
        <v>53</v>
      </c>
      <c r="F4133" t="s" s="10">
        <v>53</v>
      </c>
      <c r="G4133" t="s" s="11">
        <v>53</v>
      </c>
      <c r="H4133" t="s" s="10">
        <v>53</v>
      </c>
      <c r="I4133" t="s" s="11">
        <v>53</v>
      </c>
      <c r="J4133" t="s" s="11">
        <v>53</v>
      </c>
      <c r="K4133" t="s" s="12">
        <v>53</v>
      </c>
      <c r="L4133" t="s" s="12">
        <v>53</v>
      </c>
      <c r="M4133" t="s" s="10">
        <v>53</v>
      </c>
      <c r="N4133" t="s" s="11">
        <v>53</v>
      </c>
      <c r="O4133" t="s" s="8">
        <v>53</v>
      </c>
      <c r="P4133" t="s" s="8">
        <v>53</v>
      </c>
      <c r="Q4133" t="s" s="12">
        <v>53</v>
      </c>
      <c r="R4133" t="s" s="12">
        <v>53</v>
      </c>
    </row>
    <row r="4134" s="2" customFormat="1" ht="13.5" customHeight="1">
      <c r="B4134" s="13"/>
      <c r="C4134" t="s" s="9">
        <v>27</v>
      </c>
      <c r="D4134" t="s" s="8">
        <v>1403</v>
      </c>
      <c r="E4134" t="s" s="9">
        <v>1404</v>
      </c>
      <c r="F4134" t="s" s="10">
        <v>73</v>
      </c>
      <c r="G4134" t="s" s="11">
        <v>1405</v>
      </c>
      <c r="H4134" t="s" s="10">
        <v>73</v>
      </c>
      <c r="I4134" t="s" s="11">
        <v>1405</v>
      </c>
      <c r="J4134" t="s" s="11">
        <v>20</v>
      </c>
      <c r="K4134" t="s" s="16">
        <f>HYPERLINK("http://csr.bu.edu/ftp/asl/asllvd/demos/verify_start_end_handshape_annotations//test_auto_move//signs_mov/5180.mov","MOV")</f>
        <v>21</v>
      </c>
      <c r="L4134" t="s" s="16">
        <f>HYPERLINK("http://csr.bu.edu/ftp/asl/asllvd/demos/verify_start_end_handshape_annotations//test_auto_move//signs_mov_separ_signers/Naomi_5180.mov","MOV")</f>
        <v>21</v>
      </c>
      <c r="M4134" t="s" s="10">
        <v>86</v>
      </c>
      <c r="N4134" s="17">
        <v>39</v>
      </c>
      <c r="O4134" s="18">
        <v>1970</v>
      </c>
      <c r="P4134" s="18">
        <v>1992</v>
      </c>
      <c r="Q4134" t="s" s="16">
        <f>HYPERLINK("http://secrets.rutgers.edu:8080/data/asl-ftp/asllvd/demos/verify_start_end_handshape_annotations//test_auto_move//signs_mov/5180.mov","MOV")</f>
        <v>21</v>
      </c>
      <c r="R4134" t="s" s="16">
        <f>HYPERLINK("http://secrets.rutgers.edu:8080/data/asl-ftp/asllvd/demos/verify_start_end_handshape_annotations//test_auto_move//signs_mov_separ_signers/Naomi_5180.mov","MOV")</f>
        <v>21</v>
      </c>
    </row>
    <row r="4135" s="2" customFormat="1" ht="13.5" customHeight="1">
      <c r="B4135" t="s" s="8">
        <v>1406</v>
      </c>
      <c r="C4135" t="s" s="9">
        <v>14</v>
      </c>
      <c r="D4135" t="s" s="8">
        <v>14</v>
      </c>
      <c r="E4135" t="s" s="9">
        <v>14</v>
      </c>
      <c r="F4135" t="s" s="10">
        <v>14</v>
      </c>
      <c r="G4135" t="s" s="11">
        <v>14</v>
      </c>
      <c r="H4135" t="s" s="10">
        <v>14</v>
      </c>
      <c r="I4135" t="s" s="11">
        <v>14</v>
      </c>
      <c r="J4135" t="s" s="11">
        <v>14</v>
      </c>
      <c r="K4135" t="s" s="12">
        <v>14</v>
      </c>
      <c r="L4135" t="s" s="12">
        <v>14</v>
      </c>
      <c r="M4135" t="s" s="10">
        <v>14</v>
      </c>
      <c r="N4135" t="s" s="11">
        <v>14</v>
      </c>
      <c r="O4135" t="s" s="8">
        <v>14</v>
      </c>
      <c r="P4135" t="s" s="8">
        <v>14</v>
      </c>
      <c r="Q4135" t="s" s="12">
        <v>14</v>
      </c>
      <c r="R4135" t="s" s="12">
        <v>14</v>
      </c>
    </row>
    <row r="4136" s="2" customFormat="1" ht="13.5" customHeight="1">
      <c r="B4136" s="13"/>
      <c r="C4136" t="s" s="9">
        <v>27</v>
      </c>
      <c r="D4136" t="s" s="8">
        <v>1406</v>
      </c>
      <c r="E4136" t="s" s="9">
        <v>1407</v>
      </c>
      <c r="F4136" t="s" s="10">
        <v>119</v>
      </c>
      <c r="G4136" t="s" s="11">
        <v>119</v>
      </c>
      <c r="H4136" t="s" s="10">
        <v>119</v>
      </c>
      <c r="I4136" t="s" s="11">
        <v>119</v>
      </c>
      <c r="J4136" t="s" s="11">
        <v>20</v>
      </c>
      <c r="K4136" s="15"/>
      <c r="L4136" t="s" s="16">
        <f>HYPERLINK("http://csr.bu.edu/ftp/asl/asllvd/demos/verify_start_end_handshape_annotations//test_auto_move//signs_mov_separ_signers/Naomi_892.mov","MOV")</f>
        <v>21</v>
      </c>
      <c r="M4136" t="s" s="10">
        <v>86</v>
      </c>
      <c r="N4136" s="17">
        <v>40</v>
      </c>
      <c r="O4136" s="18">
        <v>500</v>
      </c>
      <c r="P4136" s="18">
        <v>530</v>
      </c>
      <c r="Q4136" s="15"/>
      <c r="R4136" t="s" s="16">
        <f>HYPERLINK("http://secrets.rutgers.edu:8080/data/asl-ftp/asllvd/demos/verify_start_end_handshape_annotations//test_auto_move//signs_mov_separ_signers/Naomi_892.mov","MOV")</f>
        <v>21</v>
      </c>
    </row>
    <row r="4137" s="2" customFormat="1" ht="13.5" customHeight="1">
      <c r="B4137" s="13"/>
      <c r="C4137" t="s" s="9">
        <v>30</v>
      </c>
      <c r="D4137" t="s" s="8">
        <v>1406</v>
      </c>
      <c r="E4137" t="s" s="9">
        <v>1407</v>
      </c>
      <c r="F4137" t="s" s="10">
        <v>119</v>
      </c>
      <c r="G4137" t="s" s="11">
        <v>119</v>
      </c>
      <c r="H4137" t="s" s="10">
        <v>119</v>
      </c>
      <c r="I4137" t="s" s="11">
        <v>119</v>
      </c>
      <c r="J4137" t="s" s="11">
        <v>20</v>
      </c>
      <c r="K4137" t="s" s="16">
        <f>HYPERLINK("http://csr.bu.edu/ftp/asl/asllvd/demos/verify_start_end_handshape_annotations//test_auto_move//signs_mov/892.mov","MOV")</f>
        <v>21</v>
      </c>
      <c r="L4137" t="s" s="16">
        <f>HYPERLINK("http://csr.bu.edu/ftp/asl/asllvd/demos/verify_start_end_handshape_annotations//test_auto_move//signs_mov_separ_signers/Brady_892.mov","MOV")</f>
        <v>21</v>
      </c>
      <c r="M4137" t="s" s="10">
        <v>39</v>
      </c>
      <c r="N4137" s="17">
        <v>17</v>
      </c>
      <c r="O4137" s="18">
        <v>2326</v>
      </c>
      <c r="P4137" s="18">
        <v>2348</v>
      </c>
      <c r="Q4137" t="s" s="16">
        <f>HYPERLINK("http://secrets.rutgers.edu:8080/data/asl-ftp/asllvd/demos/verify_start_end_handshape_annotations//test_auto_move//signs_mov/892.mov","MOV")</f>
        <v>21</v>
      </c>
      <c r="R4137" t="s" s="16">
        <f>HYPERLINK("http://secrets.rutgers.edu:8080/data/asl-ftp/asllvd/demos/verify_start_end_handshape_annotations//test_auto_move//signs_mov_separ_signers/Brady_892.mov","MOV")</f>
        <v>21</v>
      </c>
    </row>
    <row r="4138" s="2" customFormat="1" ht="13.5" customHeight="1">
      <c r="B4138" s="13"/>
      <c r="C4138" t="s" s="9">
        <v>43</v>
      </c>
      <c r="D4138" t="s" s="8">
        <v>1406</v>
      </c>
      <c r="E4138" t="s" s="9">
        <v>1408</v>
      </c>
      <c r="F4138" t="s" s="10">
        <v>119</v>
      </c>
      <c r="G4138" t="s" s="11">
        <v>119</v>
      </c>
      <c r="H4138" t="s" s="10">
        <v>119</v>
      </c>
      <c r="I4138" t="s" s="11">
        <v>119</v>
      </c>
      <c r="J4138" t="s" s="11">
        <v>20</v>
      </c>
      <c r="K4138" s="15"/>
      <c r="L4138" t="s" s="16">
        <f>HYPERLINK("http://csr.bu.edu/ftp/asl/asllvd/demos/verify_start_end_handshape_annotations//test_auto_move//signs_mov_separ_signers/Dana_892.mov","MOV")</f>
        <v>21</v>
      </c>
      <c r="M4138" t="s" s="10">
        <v>44</v>
      </c>
      <c r="N4138" s="17">
        <v>13</v>
      </c>
      <c r="O4138" s="18">
        <v>1435</v>
      </c>
      <c r="P4138" s="18">
        <v>1489</v>
      </c>
      <c r="Q4138" s="15"/>
      <c r="R4138" t="s" s="16">
        <f>HYPERLINK("http://secrets.rutgers.edu:8080/data/asl-ftp/asllvd/demos/verify_start_end_handshape_annotations//test_auto_move//signs_mov_separ_signers/Dana_892.mov","MOV")</f>
        <v>21</v>
      </c>
    </row>
    <row r="4139" s="2" customFormat="1" ht="13.5" customHeight="1">
      <c r="B4139" t="s" s="8">
        <v>52</v>
      </c>
      <c r="C4139" t="s" s="9">
        <v>53</v>
      </c>
      <c r="D4139" t="s" s="8">
        <v>53</v>
      </c>
      <c r="E4139" t="s" s="9">
        <v>53</v>
      </c>
      <c r="F4139" t="s" s="10">
        <v>53</v>
      </c>
      <c r="G4139" t="s" s="11">
        <v>53</v>
      </c>
      <c r="H4139" t="s" s="10">
        <v>53</v>
      </c>
      <c r="I4139" t="s" s="11">
        <v>53</v>
      </c>
      <c r="J4139" t="s" s="11">
        <v>53</v>
      </c>
      <c r="K4139" t="s" s="12">
        <v>53</v>
      </c>
      <c r="L4139" t="s" s="12">
        <v>53</v>
      </c>
      <c r="M4139" t="s" s="10">
        <v>53</v>
      </c>
      <c r="N4139" t="s" s="11">
        <v>53</v>
      </c>
      <c r="O4139" t="s" s="8">
        <v>53</v>
      </c>
      <c r="P4139" t="s" s="8">
        <v>53</v>
      </c>
      <c r="Q4139" t="s" s="12">
        <v>53</v>
      </c>
      <c r="R4139" t="s" s="12">
        <v>53</v>
      </c>
    </row>
    <row r="4140" s="2" customFormat="1" ht="13.5" customHeight="1">
      <c r="B4140" s="13"/>
      <c r="C4140" t="s" s="9">
        <v>41</v>
      </c>
      <c r="D4140" t="s" s="8">
        <v>1406</v>
      </c>
      <c r="E4140" t="s" s="9">
        <v>1409</v>
      </c>
      <c r="F4140" t="s" s="10">
        <v>119</v>
      </c>
      <c r="G4140" s="14"/>
      <c r="H4140" t="s" s="10">
        <v>119</v>
      </c>
      <c r="I4140" s="14"/>
      <c r="J4140" t="s" s="11">
        <v>20</v>
      </c>
      <c r="K4140" t="s" s="16">
        <f>HYPERLINK("http://csr.bu.edu/ftp/asl/asllvd/demos/verify_start_end_handshape_annotations//test_auto_move//signs_mov/5852.mov","MOV")</f>
        <v>21</v>
      </c>
      <c r="L4140" t="s" s="16">
        <f>HYPERLINK("http://csr.bu.edu/ftp/asl/asllvd/demos/verify_start_end_handshape_annotations//test_auto_move//signs_mov_separ_signers/Lana_5852.mov","MOV")</f>
        <v>21</v>
      </c>
      <c r="M4140" t="s" s="10">
        <v>42</v>
      </c>
      <c r="N4140" s="17">
        <v>9</v>
      </c>
      <c r="O4140" s="18">
        <v>1354</v>
      </c>
      <c r="P4140" s="18">
        <v>1376</v>
      </c>
      <c r="Q4140" t="s" s="16">
        <f>HYPERLINK("http://secrets.rutgers.edu:8080/data/asl-ftp/asllvd/demos/verify_start_end_handshape_annotations//test_auto_move//signs_mov/5852.mov","MOV")</f>
        <v>21</v>
      </c>
      <c r="R4140" t="s" s="16">
        <f>HYPERLINK("http://secrets.rutgers.edu:8080/data/asl-ftp/asllvd/demos/verify_start_end_handshape_annotations//test_auto_move//signs_mov_separ_signers/Lana_5852.mov","MOV")</f>
        <v>21</v>
      </c>
    </row>
    <row r="4141" s="2" customFormat="1" ht="13.5" customHeight="1">
      <c r="B4141" t="s" s="8">
        <v>1410</v>
      </c>
      <c r="C4141" t="s" s="9">
        <v>14</v>
      </c>
      <c r="D4141" t="s" s="8">
        <v>14</v>
      </c>
      <c r="E4141" t="s" s="9">
        <v>14</v>
      </c>
      <c r="F4141" t="s" s="10">
        <v>14</v>
      </c>
      <c r="G4141" t="s" s="11">
        <v>14</v>
      </c>
      <c r="H4141" t="s" s="10">
        <v>14</v>
      </c>
      <c r="I4141" t="s" s="11">
        <v>14</v>
      </c>
      <c r="J4141" t="s" s="11">
        <v>14</v>
      </c>
      <c r="K4141" t="s" s="12">
        <v>14</v>
      </c>
      <c r="L4141" t="s" s="12">
        <v>14</v>
      </c>
      <c r="M4141" t="s" s="10">
        <v>14</v>
      </c>
      <c r="N4141" t="s" s="11">
        <v>14</v>
      </c>
      <c r="O4141" t="s" s="8">
        <v>14</v>
      </c>
      <c r="P4141" t="s" s="8">
        <v>14</v>
      </c>
      <c r="Q4141" t="s" s="12">
        <v>14</v>
      </c>
      <c r="R4141" t="s" s="12">
        <v>14</v>
      </c>
    </row>
    <row r="4142" s="2" customFormat="1" ht="13.5" customHeight="1">
      <c r="B4142" s="13"/>
      <c r="C4142" t="s" s="9">
        <v>23</v>
      </c>
      <c r="D4142" t="s" s="8">
        <v>1411</v>
      </c>
      <c r="E4142" t="s" s="9">
        <v>1412</v>
      </c>
      <c r="F4142" t="s" s="10">
        <v>119</v>
      </c>
      <c r="G4142" t="s" s="11">
        <v>119</v>
      </c>
      <c r="H4142" t="s" s="10">
        <v>63</v>
      </c>
      <c r="I4142" t="s" s="11">
        <v>63</v>
      </c>
      <c r="J4142" t="s" s="11">
        <v>20</v>
      </c>
      <c r="K4142" t="s" s="16">
        <f>HYPERLINK("http://csr.bu.edu/ftp/asl/asllvd/demos/verify_start_end_handshape_annotations//test_auto_move//signs_mov/15781.mov","MOV")</f>
        <v>21</v>
      </c>
      <c r="L4142" t="s" s="16">
        <f>HYPERLINK("http://csr.bu.edu/ftp/asl/asllvd/demos/verify_start_end_handshape_annotations//test_auto_move//signs_mov_separ_signers/Tyler_15781.mov","MOV")</f>
        <v>21</v>
      </c>
      <c r="M4142" t="s" s="10">
        <v>92</v>
      </c>
      <c r="N4142" s="17">
        <v>20</v>
      </c>
      <c r="O4142" s="18">
        <v>465</v>
      </c>
      <c r="P4142" s="18">
        <v>505</v>
      </c>
      <c r="Q4142" t="s" s="16">
        <f>HYPERLINK("http://secrets.rutgers.edu:8080/data/asl-ftp/asllvd/demos/verify_start_end_handshape_annotations//test_auto_move//signs_mov/15781.mov","MOV")</f>
        <v>21</v>
      </c>
      <c r="R4142" t="s" s="16">
        <f>HYPERLINK("http://secrets.rutgers.edu:8080/data/asl-ftp/asllvd/demos/verify_start_end_handshape_annotations//test_auto_move//signs_mov_separ_signers/Tyler_15781.mov","MOV")</f>
        <v>21</v>
      </c>
    </row>
    <row r="4143" s="2" customFormat="1" ht="13.5" customHeight="1">
      <c r="B4143" t="s" s="8">
        <v>1413</v>
      </c>
      <c r="C4143" t="s" s="9">
        <v>14</v>
      </c>
      <c r="D4143" t="s" s="8">
        <v>14</v>
      </c>
      <c r="E4143" t="s" s="9">
        <v>14</v>
      </c>
      <c r="F4143" t="s" s="10">
        <v>14</v>
      </c>
      <c r="G4143" t="s" s="11">
        <v>14</v>
      </c>
      <c r="H4143" t="s" s="10">
        <v>14</v>
      </c>
      <c r="I4143" t="s" s="11">
        <v>14</v>
      </c>
      <c r="J4143" t="s" s="11">
        <v>14</v>
      </c>
      <c r="K4143" t="s" s="12">
        <v>14</v>
      </c>
      <c r="L4143" t="s" s="12">
        <v>14</v>
      </c>
      <c r="M4143" t="s" s="10">
        <v>14</v>
      </c>
      <c r="N4143" t="s" s="11">
        <v>14</v>
      </c>
      <c r="O4143" t="s" s="8">
        <v>14</v>
      </c>
      <c r="P4143" t="s" s="8">
        <v>14</v>
      </c>
      <c r="Q4143" t="s" s="12">
        <v>14</v>
      </c>
      <c r="R4143" t="s" s="12">
        <v>14</v>
      </c>
    </row>
    <row r="4144" s="2" customFormat="1" ht="13.5" customHeight="1">
      <c r="B4144" s="13"/>
      <c r="C4144" t="s" s="9">
        <v>16</v>
      </c>
      <c r="D4144" t="s" s="8">
        <v>1413</v>
      </c>
      <c r="E4144" t="s" s="9">
        <v>1414</v>
      </c>
      <c r="F4144" s="19">
        <v>25</v>
      </c>
      <c r="G4144" s="14"/>
      <c r="H4144" s="19">
        <v>25</v>
      </c>
      <c r="I4144" s="14"/>
      <c r="J4144" t="s" s="11">
        <v>20</v>
      </c>
      <c r="K4144" s="15"/>
      <c r="L4144" t="s" s="16">
        <f>HYPERLINK("http://csr.bu.edu/ftp/asl/asllvd/demos/verify_start_end_handshape_annotations//test_auto_move//signs_mov_separ_signers/Liz_893.mov","MOV")</f>
        <v>21</v>
      </c>
      <c r="M4144" t="s" s="10">
        <v>84</v>
      </c>
      <c r="N4144" s="17">
        <v>40</v>
      </c>
      <c r="O4144" s="18">
        <v>765</v>
      </c>
      <c r="P4144" s="18">
        <v>801</v>
      </c>
      <c r="Q4144" s="15"/>
      <c r="R4144" t="s" s="16">
        <f>HYPERLINK("http://secrets.rutgers.edu:8080/data/asl-ftp/asllvd/demos/verify_start_end_handshape_annotations//test_auto_move//signs_mov_separ_signers/Liz_893.mov","MOV")</f>
        <v>21</v>
      </c>
    </row>
    <row r="4145" s="2" customFormat="1" ht="13.5" customHeight="1">
      <c r="B4145" s="13"/>
      <c r="C4145" t="s" s="9">
        <v>23</v>
      </c>
      <c r="D4145" t="s" s="8">
        <v>1413</v>
      </c>
      <c r="E4145" t="s" s="9">
        <v>1415</v>
      </c>
      <c r="F4145" s="19">
        <v>25</v>
      </c>
      <c r="G4145" s="14"/>
      <c r="H4145" s="19">
        <v>25</v>
      </c>
      <c r="I4145" s="14"/>
      <c r="J4145" t="s" s="11">
        <v>20</v>
      </c>
      <c r="K4145" s="15"/>
      <c r="L4145" t="s" s="16">
        <f>HYPERLINK("http://csr.bu.edu/ftp/asl/asllvd/demos/verify_start_end_handshape_annotations//test_auto_move//signs_mov_separ_signers/Tyler_893.mov","MOV")</f>
        <v>21</v>
      </c>
      <c r="M4145" t="s" s="10">
        <v>92</v>
      </c>
      <c r="N4145" s="17">
        <v>20</v>
      </c>
      <c r="O4145" s="18">
        <v>645</v>
      </c>
      <c r="P4145" s="18">
        <v>690</v>
      </c>
      <c r="Q4145" s="15"/>
      <c r="R4145" t="s" s="16">
        <f>HYPERLINK("http://secrets.rutgers.edu:8080/data/asl-ftp/asllvd/demos/verify_start_end_handshape_annotations//test_auto_move//signs_mov_separ_signers/Tyler_893.mov","MOV")</f>
        <v>21</v>
      </c>
    </row>
    <row r="4146" s="2" customFormat="1" ht="13.5" customHeight="1">
      <c r="B4146" s="13"/>
      <c r="C4146" t="s" s="9">
        <v>27</v>
      </c>
      <c r="D4146" t="s" s="8">
        <v>1413</v>
      </c>
      <c r="E4146" t="s" s="9">
        <v>1414</v>
      </c>
      <c r="F4146" s="19">
        <v>25</v>
      </c>
      <c r="G4146" s="14"/>
      <c r="H4146" s="19">
        <v>25</v>
      </c>
      <c r="I4146" s="14"/>
      <c r="J4146" t="s" s="11">
        <v>20</v>
      </c>
      <c r="K4146" t="s" s="16">
        <f>HYPERLINK("http://csr.bu.edu/ftp/asl/asllvd/demos/verify_start_end_handshape_annotations//test_auto_move//signs_mov/893.mov","MOV")</f>
        <v>21</v>
      </c>
      <c r="L4146" t="s" s="16">
        <f>HYPERLINK("http://csr.bu.edu/ftp/asl/asllvd/demos/verify_start_end_handshape_annotations//test_auto_move//signs_mov_separ_signers/Naomi_893.mov","MOV")</f>
        <v>21</v>
      </c>
      <c r="M4146" t="s" s="10">
        <v>86</v>
      </c>
      <c r="N4146" s="17">
        <v>40</v>
      </c>
      <c r="O4146" s="18">
        <v>705</v>
      </c>
      <c r="P4146" s="18">
        <v>741</v>
      </c>
      <c r="Q4146" t="s" s="16">
        <f>HYPERLINK("http://secrets.rutgers.edu:8080/data/asl-ftp/asllvd/demos/verify_start_end_handshape_annotations//test_auto_move//signs_mov/893.mov","MOV")</f>
        <v>21</v>
      </c>
      <c r="R4146" t="s" s="16">
        <f>HYPERLINK("http://secrets.rutgers.edu:8080/data/asl-ftp/asllvd/demos/verify_start_end_handshape_annotations//test_auto_move//signs_mov_separ_signers/Naomi_893.mov","MOV")</f>
        <v>21</v>
      </c>
    </row>
    <row r="4147" s="2" customFormat="1" ht="13.5" customHeight="1">
      <c r="B4147" s="13"/>
      <c r="C4147" t="s" s="9">
        <v>30</v>
      </c>
      <c r="D4147" t="s" s="8">
        <v>1413</v>
      </c>
      <c r="E4147" t="s" s="9">
        <v>1414</v>
      </c>
      <c r="F4147" s="19">
        <v>25</v>
      </c>
      <c r="G4147" s="14"/>
      <c r="H4147" s="19">
        <v>25</v>
      </c>
      <c r="I4147" s="14"/>
      <c r="J4147" t="s" s="11">
        <v>20</v>
      </c>
      <c r="K4147" s="15"/>
      <c r="L4147" t="s" s="16">
        <f>HYPERLINK("http://csr.bu.edu/ftp/asl/asllvd/demos/verify_start_end_handshape_annotations//test_auto_move//signs_mov_separ_signers/Brady_893.mov","MOV")</f>
        <v>21</v>
      </c>
      <c r="M4147" t="s" s="10">
        <v>39</v>
      </c>
      <c r="N4147" s="17">
        <v>17</v>
      </c>
      <c r="O4147" s="18">
        <v>2854</v>
      </c>
      <c r="P4147" s="18">
        <v>2877</v>
      </c>
      <c r="Q4147" s="15"/>
      <c r="R4147" t="s" s="16">
        <f>HYPERLINK("http://secrets.rutgers.edu:8080/data/asl-ftp/asllvd/demos/verify_start_end_handshape_annotations//test_auto_move//signs_mov_separ_signers/Brady_893.mov","MOV")</f>
        <v>21</v>
      </c>
    </row>
    <row r="4148" s="2" customFormat="1" ht="13.5" customHeight="1">
      <c r="B4148" s="13"/>
      <c r="C4148" t="s" s="9">
        <v>41</v>
      </c>
      <c r="D4148" t="s" s="8">
        <v>1413</v>
      </c>
      <c r="E4148" t="s" s="9">
        <v>1414</v>
      </c>
      <c r="F4148" s="19">
        <v>25</v>
      </c>
      <c r="G4148" s="14"/>
      <c r="H4148" s="19">
        <v>25</v>
      </c>
      <c r="I4148" s="14"/>
      <c r="J4148" t="s" s="11">
        <v>20</v>
      </c>
      <c r="K4148" s="15"/>
      <c r="L4148" t="s" s="16">
        <f>HYPERLINK("http://csr.bu.edu/ftp/asl/asllvd/demos/verify_start_end_handshape_annotations//test_auto_move//signs_mov_separ_signers/Lana_893.mov","MOV")</f>
        <v>21</v>
      </c>
      <c r="M4148" t="s" s="10">
        <v>42</v>
      </c>
      <c r="N4148" s="17">
        <v>9</v>
      </c>
      <c r="O4148" s="18">
        <v>1746</v>
      </c>
      <c r="P4148" s="18">
        <v>1774</v>
      </c>
      <c r="Q4148" s="15"/>
      <c r="R4148" t="s" s="16">
        <f>HYPERLINK("http://secrets.rutgers.edu:8080/data/asl-ftp/asllvd/demos/verify_start_end_handshape_annotations//test_auto_move//signs_mov_separ_signers/Lana_893.mov","MOV")</f>
        <v>21</v>
      </c>
    </row>
    <row r="4149" s="2" customFormat="1" ht="13.5" customHeight="1">
      <c r="B4149" s="13"/>
      <c r="C4149" t="s" s="9">
        <v>43</v>
      </c>
      <c r="D4149" t="s" s="8">
        <v>1413</v>
      </c>
      <c r="E4149" t="s" s="9">
        <v>1416</v>
      </c>
      <c r="F4149" s="19">
        <v>25</v>
      </c>
      <c r="G4149" s="14"/>
      <c r="H4149" s="19">
        <v>25</v>
      </c>
      <c r="I4149" s="14"/>
      <c r="J4149" t="s" s="11">
        <v>20</v>
      </c>
      <c r="K4149" s="15"/>
      <c r="L4149" t="s" s="16">
        <f>HYPERLINK("http://csr.bu.edu/ftp/asl/asllvd/demos/verify_start_end_handshape_annotations//test_auto_move//signs_mov_separ_signers/Dana_893.mov","MOV")</f>
        <v>21</v>
      </c>
      <c r="M4149" t="s" s="10">
        <v>44</v>
      </c>
      <c r="N4149" s="17">
        <v>13</v>
      </c>
      <c r="O4149" s="18">
        <v>1881</v>
      </c>
      <c r="P4149" s="18">
        <v>1957</v>
      </c>
      <c r="Q4149" s="15"/>
      <c r="R4149" t="s" s="16">
        <f>HYPERLINK("http://secrets.rutgers.edu:8080/data/asl-ftp/asllvd/demos/verify_start_end_handshape_annotations//test_auto_move//signs_mov_separ_signers/Dana_893.mov","MOV")</f>
        <v>21</v>
      </c>
    </row>
    <row r="4150" s="2" customFormat="1" ht="13.5" customHeight="1">
      <c r="B4150" t="s" s="8">
        <v>52</v>
      </c>
      <c r="C4150" t="s" s="9">
        <v>53</v>
      </c>
      <c r="D4150" t="s" s="8">
        <v>53</v>
      </c>
      <c r="E4150" t="s" s="9">
        <v>53</v>
      </c>
      <c r="F4150" t="s" s="10">
        <v>53</v>
      </c>
      <c r="G4150" t="s" s="11">
        <v>53</v>
      </c>
      <c r="H4150" t="s" s="10">
        <v>53</v>
      </c>
      <c r="I4150" t="s" s="11">
        <v>53</v>
      </c>
      <c r="J4150" t="s" s="11">
        <v>53</v>
      </c>
      <c r="K4150" t="s" s="12">
        <v>53</v>
      </c>
      <c r="L4150" t="s" s="12">
        <v>53</v>
      </c>
      <c r="M4150" t="s" s="10">
        <v>53</v>
      </c>
      <c r="N4150" t="s" s="11">
        <v>53</v>
      </c>
      <c r="O4150" t="s" s="8">
        <v>53</v>
      </c>
      <c r="P4150" t="s" s="8">
        <v>53</v>
      </c>
      <c r="Q4150" t="s" s="12">
        <v>53</v>
      </c>
      <c r="R4150" t="s" s="12">
        <v>53</v>
      </c>
    </row>
    <row r="4151" s="2" customFormat="1" ht="13.5" customHeight="1">
      <c r="B4151" s="13"/>
      <c r="C4151" t="s" s="9">
        <v>23</v>
      </c>
      <c r="D4151" t="s" s="8">
        <v>1413</v>
      </c>
      <c r="E4151" t="s" s="9">
        <v>1417</v>
      </c>
      <c r="F4151" s="19">
        <v>25</v>
      </c>
      <c r="G4151" s="17">
        <v>25</v>
      </c>
      <c r="H4151" s="19">
        <v>25</v>
      </c>
      <c r="I4151" s="17">
        <v>25</v>
      </c>
      <c r="J4151" t="s" s="11">
        <v>20</v>
      </c>
      <c r="K4151" t="s" s="16">
        <f>HYPERLINK("http://csr.bu.edu/ftp/asl/asllvd/demos/verify_start_end_handshape_annotations//test_auto_move//signs_mov/3504.mov","MOV")</f>
        <v>21</v>
      </c>
      <c r="L4151" t="s" s="16">
        <f>HYPERLINK("http://csr.bu.edu/ftp/asl/asllvd/demos/verify_start_end_handshape_annotations//test_auto_move//signs_mov_separ_signers/Tyler_3504.mov","MOV")</f>
        <v>21</v>
      </c>
      <c r="M4151" t="s" s="10">
        <v>92</v>
      </c>
      <c r="N4151" s="17">
        <v>13</v>
      </c>
      <c r="O4151" s="18">
        <v>3722</v>
      </c>
      <c r="P4151" s="18">
        <v>3755</v>
      </c>
      <c r="Q4151" t="s" s="16">
        <f>HYPERLINK("http://secrets.rutgers.edu:8080/data/asl-ftp/asllvd/demos/verify_start_end_handshape_annotations//test_auto_move//signs_mov/3504.mov","MOV")</f>
        <v>21</v>
      </c>
      <c r="R4151" t="s" s="16">
        <f>HYPERLINK("http://secrets.rutgers.edu:8080/data/asl-ftp/asllvd/demos/verify_start_end_handshape_annotations//test_auto_move//signs_mov_separ_signers/Tyler_3504.mov","MOV")</f>
        <v>21</v>
      </c>
    </row>
    <row r="4152" s="2" customFormat="1" ht="13.5" customHeight="1">
      <c r="B4152" t="s" s="8">
        <v>1418</v>
      </c>
      <c r="C4152" t="s" s="9">
        <v>14</v>
      </c>
      <c r="D4152" t="s" s="8">
        <v>14</v>
      </c>
      <c r="E4152" t="s" s="9">
        <v>14</v>
      </c>
      <c r="F4152" t="s" s="10">
        <v>14</v>
      </c>
      <c r="G4152" t="s" s="11">
        <v>14</v>
      </c>
      <c r="H4152" t="s" s="10">
        <v>14</v>
      </c>
      <c r="I4152" t="s" s="11">
        <v>14</v>
      </c>
      <c r="J4152" t="s" s="11">
        <v>14</v>
      </c>
      <c r="K4152" t="s" s="12">
        <v>14</v>
      </c>
      <c r="L4152" t="s" s="12">
        <v>14</v>
      </c>
      <c r="M4152" t="s" s="10">
        <v>14</v>
      </c>
      <c r="N4152" t="s" s="11">
        <v>14</v>
      </c>
      <c r="O4152" t="s" s="8">
        <v>14</v>
      </c>
      <c r="P4152" t="s" s="8">
        <v>14</v>
      </c>
      <c r="Q4152" t="s" s="12">
        <v>14</v>
      </c>
      <c r="R4152" t="s" s="12">
        <v>14</v>
      </c>
    </row>
    <row r="4153" s="2" customFormat="1" ht="13.5" customHeight="1">
      <c r="B4153" s="13"/>
      <c r="C4153" t="s" s="9">
        <v>16</v>
      </c>
      <c r="D4153" t="s" s="8">
        <v>1418</v>
      </c>
      <c r="E4153" t="s" s="9">
        <v>1418</v>
      </c>
      <c r="F4153" s="19">
        <v>25</v>
      </c>
      <c r="G4153" s="17">
        <v>25</v>
      </c>
      <c r="H4153" s="19">
        <v>25</v>
      </c>
      <c r="I4153" s="17">
        <v>25</v>
      </c>
      <c r="J4153" t="s" s="11">
        <v>20</v>
      </c>
      <c r="K4153" t="s" s="16">
        <f>HYPERLINK("http://csr.bu.edu/ftp/asl/asllvd/demos/verify_start_end_handshape_annotations//test_auto_move//signs_mov/15534.mov","MOV")</f>
        <v>21</v>
      </c>
      <c r="L4153" t="s" s="16">
        <f>HYPERLINK("http://csr.bu.edu/ftp/asl/asllvd/demos/verify_start_end_handshape_annotations//test_auto_move//signs_mov_separ_signers/Liz_15534.mov","MOV")</f>
        <v>21</v>
      </c>
      <c r="M4153" t="s" s="10">
        <v>59</v>
      </c>
      <c r="N4153" s="17">
        <v>7</v>
      </c>
      <c r="O4153" s="18">
        <v>2605</v>
      </c>
      <c r="P4153" s="18">
        <v>2645</v>
      </c>
      <c r="Q4153" t="s" s="16">
        <f>HYPERLINK("http://secrets.rutgers.edu:8080/data/asl-ftp/asllvd/demos/verify_start_end_handshape_annotations//test_auto_move//signs_mov/15534.mov","MOV")</f>
        <v>21</v>
      </c>
      <c r="R4153" t="s" s="16">
        <f>HYPERLINK("http://secrets.rutgers.edu:8080/data/asl-ftp/asllvd/demos/verify_start_end_handshape_annotations//test_auto_move//signs_mov_separ_signers/Liz_15534.mov","MOV")</f>
        <v>21</v>
      </c>
    </row>
    <row r="4154" s="2" customFormat="1" ht="13.5" customHeight="1">
      <c r="B4154" t="s" s="8">
        <v>52</v>
      </c>
      <c r="C4154" t="s" s="9">
        <v>53</v>
      </c>
      <c r="D4154" t="s" s="8">
        <v>53</v>
      </c>
      <c r="E4154" t="s" s="9">
        <v>53</v>
      </c>
      <c r="F4154" t="s" s="10">
        <v>53</v>
      </c>
      <c r="G4154" t="s" s="11">
        <v>53</v>
      </c>
      <c r="H4154" t="s" s="10">
        <v>53</v>
      </c>
      <c r="I4154" t="s" s="11">
        <v>53</v>
      </c>
      <c r="J4154" t="s" s="11">
        <v>53</v>
      </c>
      <c r="K4154" t="s" s="12">
        <v>53</v>
      </c>
      <c r="L4154" t="s" s="12">
        <v>53</v>
      </c>
      <c r="M4154" t="s" s="10">
        <v>53</v>
      </c>
      <c r="N4154" t="s" s="11">
        <v>53</v>
      </c>
      <c r="O4154" t="s" s="8">
        <v>53</v>
      </c>
      <c r="P4154" t="s" s="8">
        <v>53</v>
      </c>
      <c r="Q4154" t="s" s="12">
        <v>53</v>
      </c>
      <c r="R4154" t="s" s="12">
        <v>53</v>
      </c>
    </row>
    <row r="4155" s="2" customFormat="1" ht="13.5" customHeight="1">
      <c r="B4155" s="13"/>
      <c r="C4155" t="s" s="9">
        <v>30</v>
      </c>
      <c r="D4155" t="s" s="8">
        <v>1418</v>
      </c>
      <c r="E4155" t="s" s="9">
        <v>1419</v>
      </c>
      <c r="F4155" s="19">
        <v>25</v>
      </c>
      <c r="G4155" s="14"/>
      <c r="H4155" s="19">
        <v>25</v>
      </c>
      <c r="I4155" s="14"/>
      <c r="J4155" t="s" s="11">
        <v>20</v>
      </c>
      <c r="K4155" t="s" s="16">
        <f>HYPERLINK("http://csr.bu.edu/ftp/asl/asllvd/demos/verify_start_end_handshape_annotations//test_auto_move//signs_mov/15581.mov","MOV")</f>
        <v>21</v>
      </c>
      <c r="L4155" t="s" s="16">
        <f>HYPERLINK("http://csr.bu.edu/ftp/asl/asllvd/demos/verify_start_end_handshape_annotations//test_auto_move//signs_mov_separ_signers/Brady_15581.mov","MOV")</f>
        <v>21</v>
      </c>
      <c r="M4155" t="s" s="10">
        <v>40</v>
      </c>
      <c r="N4155" s="17">
        <v>112</v>
      </c>
      <c r="O4155" s="18">
        <v>494</v>
      </c>
      <c r="P4155" s="18">
        <v>509</v>
      </c>
      <c r="Q4155" t="s" s="16">
        <f>HYPERLINK("http://secrets.rutgers.edu:8080/data/asl-ftp/asllvd/demos/verify_start_end_handshape_annotations//test_auto_move//signs_mov/15581.mov","MOV")</f>
        <v>21</v>
      </c>
      <c r="R4155" t="s" s="16">
        <f>HYPERLINK("http://secrets.rutgers.edu:8080/data/asl-ftp/asllvd/demos/verify_start_end_handshape_annotations//test_auto_move//signs_mov_separ_signers/Brady_15581.mov","MOV")</f>
        <v>21</v>
      </c>
    </row>
    <row r="4156" s="2" customFormat="1" ht="13.5" customHeight="1">
      <c r="B4156" t="s" s="8">
        <v>1420</v>
      </c>
      <c r="C4156" t="s" s="9">
        <v>14</v>
      </c>
      <c r="D4156" t="s" s="8">
        <v>14</v>
      </c>
      <c r="E4156" t="s" s="9">
        <v>14</v>
      </c>
      <c r="F4156" t="s" s="10">
        <v>14</v>
      </c>
      <c r="G4156" t="s" s="11">
        <v>14</v>
      </c>
      <c r="H4156" t="s" s="10">
        <v>14</v>
      </c>
      <c r="I4156" t="s" s="11">
        <v>14</v>
      </c>
      <c r="J4156" t="s" s="11">
        <v>14</v>
      </c>
      <c r="K4156" t="s" s="12">
        <v>14</v>
      </c>
      <c r="L4156" t="s" s="12">
        <v>14</v>
      </c>
      <c r="M4156" t="s" s="10">
        <v>14</v>
      </c>
      <c r="N4156" t="s" s="11">
        <v>14</v>
      </c>
      <c r="O4156" t="s" s="8">
        <v>14</v>
      </c>
      <c r="P4156" t="s" s="8">
        <v>14</v>
      </c>
      <c r="Q4156" t="s" s="12">
        <v>14</v>
      </c>
      <c r="R4156" t="s" s="12">
        <v>14</v>
      </c>
    </row>
    <row r="4157" s="2" customFormat="1" ht="13.5" customHeight="1">
      <c r="B4157" s="13"/>
      <c r="C4157" t="s" s="9">
        <v>16</v>
      </c>
      <c r="D4157" t="s" s="8">
        <v>1420</v>
      </c>
      <c r="E4157" t="s" s="9">
        <v>1421</v>
      </c>
      <c r="F4157" s="19">
        <v>25</v>
      </c>
      <c r="G4157" s="17">
        <v>25</v>
      </c>
      <c r="H4157" s="19">
        <v>25</v>
      </c>
      <c r="I4157" s="17">
        <v>25</v>
      </c>
      <c r="J4157" t="s" s="11">
        <v>20</v>
      </c>
      <c r="K4157" s="15"/>
      <c r="L4157" t="s" s="16">
        <f>HYPERLINK("http://csr.bu.edu/ftp/asl/asllvd/demos/verify_start_end_handshape_annotations//test_auto_move//signs_mov_separ_signers/Liz_15589.mov","MOV")</f>
        <v>21</v>
      </c>
      <c r="M4157" t="s" s="10">
        <v>59</v>
      </c>
      <c r="N4157" s="17">
        <v>45</v>
      </c>
      <c r="O4157" s="18">
        <v>535</v>
      </c>
      <c r="P4157" s="18">
        <v>587</v>
      </c>
      <c r="Q4157" s="15"/>
      <c r="R4157" t="s" s="16">
        <f>HYPERLINK("http://secrets.rutgers.edu:8080/data/asl-ftp/asllvd/demos/verify_start_end_handshape_annotations//test_auto_move//signs_mov_separ_signers/Liz_15589.mov","MOV")</f>
        <v>21</v>
      </c>
    </row>
    <row r="4158" s="2" customFormat="1" ht="13.5" customHeight="1">
      <c r="B4158" s="13"/>
      <c r="C4158" t="s" s="9">
        <v>16</v>
      </c>
      <c r="D4158" t="s" s="8">
        <v>1420</v>
      </c>
      <c r="E4158" t="s" s="9">
        <v>1421</v>
      </c>
      <c r="F4158" s="19">
        <v>25</v>
      </c>
      <c r="G4158" s="17">
        <v>25</v>
      </c>
      <c r="H4158" s="19">
        <v>25</v>
      </c>
      <c r="I4158" s="17">
        <v>25</v>
      </c>
      <c r="J4158" t="s" s="11">
        <v>20</v>
      </c>
      <c r="K4158" s="15"/>
      <c r="L4158" t="s" s="16">
        <f>HYPERLINK("http://csr.bu.edu/ftp/asl/asllvd/demos/verify_start_end_handshape_annotations//test_auto_move//signs_mov_separ_signers/Liz_15596.mov","MOV")</f>
        <v>21</v>
      </c>
      <c r="M4158" t="s" s="10">
        <v>77</v>
      </c>
      <c r="N4158" s="17">
        <v>26</v>
      </c>
      <c r="O4158" s="18">
        <v>1315</v>
      </c>
      <c r="P4158" s="18">
        <v>1371</v>
      </c>
      <c r="Q4158" s="15"/>
      <c r="R4158" t="s" s="16">
        <f>HYPERLINK("http://secrets.rutgers.edu:8080/data/asl-ftp/asllvd/demos/verify_start_end_handshape_annotations//test_auto_move//signs_mov_separ_signers/Liz_15596.mov","MOV")</f>
        <v>21</v>
      </c>
    </row>
    <row r="4159" s="2" customFormat="1" ht="13.5" customHeight="1">
      <c r="B4159" s="13"/>
      <c r="C4159" t="s" s="9">
        <v>30</v>
      </c>
      <c r="D4159" t="s" s="8">
        <v>1420</v>
      </c>
      <c r="E4159" t="s" s="9">
        <v>1421</v>
      </c>
      <c r="F4159" s="19">
        <v>25</v>
      </c>
      <c r="G4159" s="17">
        <v>25</v>
      </c>
      <c r="H4159" s="19">
        <v>25</v>
      </c>
      <c r="I4159" s="17">
        <v>25</v>
      </c>
      <c r="J4159" t="s" s="11">
        <v>20</v>
      </c>
      <c r="K4159" t="s" s="16">
        <f>HYPERLINK("http://csr.bu.edu/ftp/asl/asllvd/demos/verify_start_end_handshape_annotations//test_auto_move//signs_mov/15589_15596_15621_merged.mov","MOV")</f>
        <v>21</v>
      </c>
      <c r="L4159" t="s" s="16">
        <f>HYPERLINK("http://csr.bu.edu/ftp/asl/asllvd/demos/verify_start_end_handshape_annotations//test_auto_move//signs_mov_separ_signers/Brady_15589.mov","MOV")</f>
        <v>21</v>
      </c>
      <c r="M4159" t="s" s="10">
        <v>31</v>
      </c>
      <c r="N4159" s="17">
        <v>29</v>
      </c>
      <c r="O4159" s="18">
        <v>8936</v>
      </c>
      <c r="P4159" s="18">
        <v>8973</v>
      </c>
      <c r="Q4159" t="s" s="16">
        <f>HYPERLINK("http://secrets.rutgers.edu:8080/data/asl-ftp/asllvd/demos/verify_start_end_handshape_annotations//test_auto_move//signs_mov/15589_15596_15621_merged.mov","MOV")</f>
        <v>21</v>
      </c>
      <c r="R4159" t="s" s="16">
        <f>HYPERLINK("http://secrets.rutgers.edu:8080/data/asl-ftp/asllvd/demos/verify_start_end_handshape_annotations//test_auto_move//signs_mov_separ_signers/Brady_15589.mov","MOV")</f>
        <v>21</v>
      </c>
    </row>
    <row r="4160" s="2" customFormat="1" ht="13.5" customHeight="1">
      <c r="B4160" s="13"/>
      <c r="C4160" t="s" s="9">
        <v>30</v>
      </c>
      <c r="D4160" t="s" s="8">
        <v>1420</v>
      </c>
      <c r="E4160" t="s" s="9">
        <v>1421</v>
      </c>
      <c r="F4160" s="19">
        <v>25</v>
      </c>
      <c r="G4160" s="17">
        <v>25</v>
      </c>
      <c r="H4160" s="19">
        <v>25</v>
      </c>
      <c r="I4160" s="17">
        <v>25</v>
      </c>
      <c r="J4160" t="s" s="11">
        <v>20</v>
      </c>
      <c r="K4160" s="15"/>
      <c r="L4160" t="s" s="16">
        <f>HYPERLINK("http://csr.bu.edu/ftp/asl/asllvd/demos/verify_start_end_handshape_annotations//test_auto_move//signs_mov_separ_signers/Brady_15596.mov","MOV")</f>
        <v>21</v>
      </c>
      <c r="M4160" t="s" s="10">
        <v>60</v>
      </c>
      <c r="N4160" s="17">
        <v>33</v>
      </c>
      <c r="O4160" s="18">
        <v>1325</v>
      </c>
      <c r="P4160" s="18">
        <v>1371</v>
      </c>
      <c r="Q4160" s="15"/>
      <c r="R4160" t="s" s="16">
        <f>HYPERLINK("http://secrets.rutgers.edu:8080/data/asl-ftp/asllvd/demos/verify_start_end_handshape_annotations//test_auto_move//signs_mov_separ_signers/Brady_15596.mov","MOV")</f>
        <v>21</v>
      </c>
    </row>
    <row r="4161" s="2" customFormat="1" ht="13.5" customHeight="1">
      <c r="B4161" s="13"/>
      <c r="C4161" t="s" s="9">
        <v>30</v>
      </c>
      <c r="D4161" t="s" s="8">
        <v>1420</v>
      </c>
      <c r="E4161" t="s" s="9">
        <v>1421</v>
      </c>
      <c r="F4161" s="19">
        <v>25</v>
      </c>
      <c r="G4161" s="17">
        <v>25</v>
      </c>
      <c r="H4161" s="19">
        <v>25</v>
      </c>
      <c r="I4161" s="17">
        <v>25</v>
      </c>
      <c r="J4161" t="s" s="11">
        <v>20</v>
      </c>
      <c r="K4161" s="15"/>
      <c r="L4161" t="s" s="16">
        <f>HYPERLINK("http://csr.bu.edu/ftp/asl/asllvd/demos/verify_start_end_handshape_annotations//test_auto_move//signs_mov_separ_signers/Brady_15621.mov","MOV")</f>
        <v>21</v>
      </c>
      <c r="M4161" t="s" s="10">
        <v>60</v>
      </c>
      <c r="N4161" s="17">
        <v>57</v>
      </c>
      <c r="O4161" s="18">
        <v>5408</v>
      </c>
      <c r="P4161" s="18">
        <v>5455</v>
      </c>
      <c r="Q4161" s="15"/>
      <c r="R4161" t="s" s="16">
        <f>HYPERLINK("http://secrets.rutgers.edu:8080/data/asl-ftp/asllvd/demos/verify_start_end_handshape_annotations//test_auto_move//signs_mov_separ_signers/Brady_15621.mov","MOV")</f>
        <v>21</v>
      </c>
    </row>
    <row r="4162" s="2" customFormat="1" ht="13.5" customHeight="1">
      <c r="B4162" t="s" s="8">
        <v>1422</v>
      </c>
      <c r="C4162" t="s" s="9">
        <v>14</v>
      </c>
      <c r="D4162" t="s" s="8">
        <v>14</v>
      </c>
      <c r="E4162" t="s" s="9">
        <v>14</v>
      </c>
      <c r="F4162" t="s" s="10">
        <v>14</v>
      </c>
      <c r="G4162" t="s" s="11">
        <v>14</v>
      </c>
      <c r="H4162" t="s" s="10">
        <v>14</v>
      </c>
      <c r="I4162" t="s" s="11">
        <v>14</v>
      </c>
      <c r="J4162" t="s" s="11">
        <v>14</v>
      </c>
      <c r="K4162" t="s" s="12">
        <v>14</v>
      </c>
      <c r="L4162" t="s" s="12">
        <v>14</v>
      </c>
      <c r="M4162" t="s" s="10">
        <v>14</v>
      </c>
      <c r="N4162" t="s" s="11">
        <v>14</v>
      </c>
      <c r="O4162" t="s" s="8">
        <v>14</v>
      </c>
      <c r="P4162" t="s" s="8">
        <v>14</v>
      </c>
      <c r="Q4162" t="s" s="12">
        <v>14</v>
      </c>
      <c r="R4162" t="s" s="12">
        <v>14</v>
      </c>
    </row>
    <row r="4163" s="2" customFormat="1" ht="13.5" customHeight="1">
      <c r="B4163" s="13"/>
      <c r="C4163" t="s" s="9">
        <v>16</v>
      </c>
      <c r="D4163" t="s" s="8">
        <v>1422</v>
      </c>
      <c r="E4163" t="s" s="9">
        <v>1423</v>
      </c>
      <c r="F4163" s="19">
        <v>25</v>
      </c>
      <c r="G4163" s="17">
        <v>25</v>
      </c>
      <c r="H4163" s="19">
        <v>25</v>
      </c>
      <c r="I4163" s="17">
        <v>25</v>
      </c>
      <c r="J4163" t="s" s="11">
        <v>20</v>
      </c>
      <c r="K4163" s="15"/>
      <c r="L4163" t="s" s="16">
        <f>HYPERLINK("http://csr.bu.edu/ftp/asl/asllvd/demos/verify_start_end_handshape_annotations//test_auto_move//signs_mov_separ_signers/Liz_15782.mov","MOV")</f>
        <v>21</v>
      </c>
      <c r="M4163" t="s" s="10">
        <v>84</v>
      </c>
      <c r="N4163" s="17">
        <v>35</v>
      </c>
      <c r="O4163" s="18">
        <v>2057</v>
      </c>
      <c r="P4163" s="18">
        <v>2112</v>
      </c>
      <c r="Q4163" s="15"/>
      <c r="R4163" t="s" s="16">
        <f>HYPERLINK("http://secrets.rutgers.edu:8080/data/asl-ftp/asllvd/demos/verify_start_end_handshape_annotations//test_auto_move//signs_mov_separ_signers/Liz_15782.mov","MOV")</f>
        <v>21</v>
      </c>
    </row>
    <row r="4164" s="2" customFormat="1" ht="13.5" customHeight="1">
      <c r="B4164" s="13"/>
      <c r="C4164" t="s" s="9">
        <v>23</v>
      </c>
      <c r="D4164" t="s" s="8">
        <v>1422</v>
      </c>
      <c r="E4164" t="s" s="9">
        <v>1423</v>
      </c>
      <c r="F4164" s="19">
        <v>25</v>
      </c>
      <c r="G4164" s="17">
        <v>25</v>
      </c>
      <c r="H4164" s="19">
        <v>25</v>
      </c>
      <c r="I4164" s="17">
        <v>25</v>
      </c>
      <c r="J4164" t="s" s="11">
        <v>20</v>
      </c>
      <c r="K4164" s="15"/>
      <c r="L4164" t="s" s="16">
        <f>HYPERLINK("http://csr.bu.edu/ftp/asl/asllvd/demos/verify_start_end_handshape_annotations//test_auto_move//signs_mov_separ_signers/Tyler_15782.mov","MOV")</f>
        <v>21</v>
      </c>
      <c r="M4164" t="s" s="10">
        <v>92</v>
      </c>
      <c r="N4164" s="17">
        <v>15</v>
      </c>
      <c r="O4164" s="18">
        <v>2717</v>
      </c>
      <c r="P4164" s="18">
        <v>2762</v>
      </c>
      <c r="Q4164" s="15"/>
      <c r="R4164" t="s" s="16">
        <f>HYPERLINK("http://secrets.rutgers.edu:8080/data/asl-ftp/asllvd/demos/verify_start_end_handshape_annotations//test_auto_move//signs_mov_separ_signers/Tyler_15782.mov","MOV")</f>
        <v>21</v>
      </c>
    </row>
    <row r="4165" s="2" customFormat="1" ht="13.5" customHeight="1">
      <c r="B4165" s="13"/>
      <c r="C4165" t="s" s="9">
        <v>27</v>
      </c>
      <c r="D4165" t="s" s="8">
        <v>1422</v>
      </c>
      <c r="E4165" t="s" s="9">
        <v>1423</v>
      </c>
      <c r="F4165" s="19">
        <v>25</v>
      </c>
      <c r="G4165" s="17">
        <v>25</v>
      </c>
      <c r="H4165" s="19">
        <v>25</v>
      </c>
      <c r="I4165" s="17">
        <v>25</v>
      </c>
      <c r="J4165" t="s" s="11">
        <v>20</v>
      </c>
      <c r="K4165" t="s" s="16">
        <f>HYPERLINK("http://csr.bu.edu/ftp/asl/asllvd/demos/verify_start_end_handshape_annotations//test_auto_move//signs_mov/15782.mov","MOV")</f>
        <v>21</v>
      </c>
      <c r="L4165" t="s" s="16">
        <f>HYPERLINK("http://csr.bu.edu/ftp/asl/asllvd/demos/verify_start_end_handshape_annotations//test_auto_move//signs_mov_separ_signers/Naomi_15782.mov","MOV")</f>
        <v>21</v>
      </c>
      <c r="M4165" t="s" s="10">
        <v>86</v>
      </c>
      <c r="N4165" s="17">
        <v>35</v>
      </c>
      <c r="O4165" s="18">
        <v>1870</v>
      </c>
      <c r="P4165" s="18">
        <v>1905</v>
      </c>
      <c r="Q4165" t="s" s="16">
        <f>HYPERLINK("http://secrets.rutgers.edu:8080/data/asl-ftp/asllvd/demos/verify_start_end_handshape_annotations//test_auto_move//signs_mov/15782.mov","MOV")</f>
        <v>21</v>
      </c>
      <c r="R4165" t="s" s="16">
        <f>HYPERLINK("http://secrets.rutgers.edu:8080/data/asl-ftp/asllvd/demos/verify_start_end_handshape_annotations//test_auto_move//signs_mov_separ_signers/Naomi_15782.mov","MOV")</f>
        <v>21</v>
      </c>
    </row>
    <row r="4166" s="2" customFormat="1" ht="13.5" customHeight="1">
      <c r="B4166" s="13"/>
      <c r="C4166" t="s" s="9">
        <v>30</v>
      </c>
      <c r="D4166" t="s" s="8">
        <v>1422</v>
      </c>
      <c r="E4166" t="s" s="9">
        <v>1423</v>
      </c>
      <c r="F4166" s="19">
        <v>25</v>
      </c>
      <c r="G4166" s="17">
        <v>25</v>
      </c>
      <c r="H4166" s="19">
        <v>25</v>
      </c>
      <c r="I4166" s="17">
        <v>25</v>
      </c>
      <c r="J4166" t="s" s="11">
        <v>20</v>
      </c>
      <c r="K4166" s="15"/>
      <c r="L4166" t="s" s="16">
        <f>HYPERLINK("http://csr.bu.edu/ftp/asl/asllvd/demos/verify_start_end_handshape_annotations//test_auto_move//signs_mov_separ_signers/Brady_15782.mov","MOV")</f>
        <v>21</v>
      </c>
      <c r="M4166" t="s" s="10">
        <v>39</v>
      </c>
      <c r="N4166" s="17">
        <v>14</v>
      </c>
      <c r="O4166" s="18">
        <v>3866</v>
      </c>
      <c r="P4166" s="18">
        <v>3895</v>
      </c>
      <c r="Q4166" s="15"/>
      <c r="R4166" t="s" s="16">
        <f>HYPERLINK("http://secrets.rutgers.edu:8080/data/asl-ftp/asllvd/demos/verify_start_end_handshape_annotations//test_auto_move//signs_mov_separ_signers/Brady_15782.mov","MOV")</f>
        <v>21</v>
      </c>
    </row>
    <row r="4167" s="2" customFormat="1" ht="13.5" customHeight="1">
      <c r="B4167" s="13"/>
      <c r="C4167" t="s" s="9">
        <v>41</v>
      </c>
      <c r="D4167" t="s" s="8">
        <v>1422</v>
      </c>
      <c r="E4167" t="s" s="9">
        <v>1423</v>
      </c>
      <c r="F4167" s="19">
        <v>25</v>
      </c>
      <c r="G4167" s="17">
        <v>25</v>
      </c>
      <c r="H4167" s="19">
        <v>25</v>
      </c>
      <c r="I4167" s="17">
        <v>25</v>
      </c>
      <c r="J4167" t="s" s="11">
        <v>20</v>
      </c>
      <c r="K4167" s="15"/>
      <c r="L4167" t="s" s="16">
        <f>HYPERLINK("http://csr.bu.edu/ftp/asl/asllvd/demos/verify_start_end_handshape_annotations//test_auto_move//signs_mov_separ_signers/Lana_15782.mov","MOV")</f>
        <v>21</v>
      </c>
      <c r="M4167" t="s" s="10">
        <v>42</v>
      </c>
      <c r="N4167" s="17">
        <v>9</v>
      </c>
      <c r="O4167" s="18">
        <v>168</v>
      </c>
      <c r="P4167" s="18">
        <v>205</v>
      </c>
      <c r="Q4167" s="15"/>
      <c r="R4167" t="s" s="16">
        <f>HYPERLINK("http://secrets.rutgers.edu:8080/data/asl-ftp/asllvd/demos/verify_start_end_handshape_annotations//test_auto_move//signs_mov_separ_signers/Lana_15782.mov","MOV")</f>
        <v>21</v>
      </c>
    </row>
    <row r="4168" s="2" customFormat="1" ht="13.5" customHeight="1">
      <c r="B4168" s="13"/>
      <c r="C4168" t="s" s="9">
        <v>43</v>
      </c>
      <c r="D4168" t="s" s="8">
        <v>1422</v>
      </c>
      <c r="E4168" t="s" s="9">
        <v>1423</v>
      </c>
      <c r="F4168" s="19">
        <v>25</v>
      </c>
      <c r="G4168" s="17">
        <v>25</v>
      </c>
      <c r="H4168" s="19">
        <v>25</v>
      </c>
      <c r="I4168" s="17">
        <v>25</v>
      </c>
      <c r="J4168" t="s" s="11">
        <v>20</v>
      </c>
      <c r="K4168" s="15"/>
      <c r="L4168" t="s" s="16">
        <f>HYPERLINK("http://csr.bu.edu/ftp/asl/asllvd/demos/verify_start_end_handshape_annotations//test_auto_move//signs_mov_separ_signers/Dana_15782.mov","MOV")</f>
        <v>21</v>
      </c>
      <c r="M4168" t="s" s="10">
        <v>44</v>
      </c>
      <c r="N4168" s="17">
        <v>13</v>
      </c>
      <c r="O4168" s="18">
        <v>187</v>
      </c>
      <c r="P4168" s="18">
        <v>254</v>
      </c>
      <c r="Q4168" s="15"/>
      <c r="R4168" t="s" s="16">
        <f>HYPERLINK("http://secrets.rutgers.edu:8080/data/asl-ftp/asllvd/demos/verify_start_end_handshape_annotations//test_auto_move//signs_mov_separ_signers/Dana_15782.mov","MOV")</f>
        <v>21</v>
      </c>
    </row>
    <row r="4169" s="2" customFormat="1" ht="13.5" customHeight="1">
      <c r="B4169" t="s" s="8">
        <v>1424</v>
      </c>
      <c r="C4169" t="s" s="9">
        <v>14</v>
      </c>
      <c r="D4169" t="s" s="8">
        <v>14</v>
      </c>
      <c r="E4169" t="s" s="9">
        <v>14</v>
      </c>
      <c r="F4169" t="s" s="10">
        <v>14</v>
      </c>
      <c r="G4169" t="s" s="11">
        <v>14</v>
      </c>
      <c r="H4169" t="s" s="10">
        <v>14</v>
      </c>
      <c r="I4169" t="s" s="11">
        <v>14</v>
      </c>
      <c r="J4169" t="s" s="11">
        <v>14</v>
      </c>
      <c r="K4169" t="s" s="12">
        <v>14</v>
      </c>
      <c r="L4169" t="s" s="12">
        <v>14</v>
      </c>
      <c r="M4169" t="s" s="10">
        <v>14</v>
      </c>
      <c r="N4169" t="s" s="11">
        <v>14</v>
      </c>
      <c r="O4169" t="s" s="8">
        <v>14</v>
      </c>
      <c r="P4169" t="s" s="8">
        <v>14</v>
      </c>
      <c r="Q4169" t="s" s="12">
        <v>14</v>
      </c>
      <c r="R4169" t="s" s="12">
        <v>14</v>
      </c>
    </row>
    <row r="4170" s="2" customFormat="1" ht="13.5" customHeight="1">
      <c r="B4170" s="13"/>
      <c r="C4170" t="s" s="9">
        <v>16</v>
      </c>
      <c r="D4170" t="s" s="8">
        <v>1424</v>
      </c>
      <c r="E4170" t="s" s="9">
        <v>1424</v>
      </c>
      <c r="F4170" s="19">
        <v>25</v>
      </c>
      <c r="G4170" s="17">
        <v>25</v>
      </c>
      <c r="H4170" s="19">
        <v>25</v>
      </c>
      <c r="I4170" s="17">
        <v>25</v>
      </c>
      <c r="J4170" t="s" s="11">
        <v>20</v>
      </c>
      <c r="K4170" s="15"/>
      <c r="L4170" t="s" s="16">
        <f>HYPERLINK("http://csr.bu.edu/ftp/asl/asllvd/demos/verify_start_end_handshape_annotations//test_auto_move//signs_mov_separ_signers/Liz_15853.mov","MOV")</f>
        <v>21</v>
      </c>
      <c r="M4170" t="s" s="10">
        <v>84</v>
      </c>
      <c r="N4170" s="17">
        <v>33</v>
      </c>
      <c r="O4170" s="18">
        <v>1951</v>
      </c>
      <c r="P4170" s="18">
        <v>1976</v>
      </c>
      <c r="Q4170" s="15"/>
      <c r="R4170" t="s" s="16">
        <f>HYPERLINK("http://secrets.rutgers.edu:8080/data/asl-ftp/asllvd/demos/verify_start_end_handshape_annotations//test_auto_move//signs_mov_separ_signers/Liz_15853.mov","MOV")</f>
        <v>21</v>
      </c>
    </row>
    <row r="4171" s="2" customFormat="1" ht="13.5" customHeight="1">
      <c r="B4171" s="13"/>
      <c r="C4171" t="s" s="9">
        <v>16</v>
      </c>
      <c r="D4171" t="s" s="8">
        <v>1424</v>
      </c>
      <c r="E4171" t="s" s="9">
        <v>1424</v>
      </c>
      <c r="F4171" s="19">
        <v>25</v>
      </c>
      <c r="G4171" s="17">
        <v>25</v>
      </c>
      <c r="H4171" s="19">
        <v>25</v>
      </c>
      <c r="I4171" s="17">
        <v>25</v>
      </c>
      <c r="J4171" t="s" s="11">
        <v>20</v>
      </c>
      <c r="K4171" s="15"/>
      <c r="L4171" t="s" s="16">
        <f>HYPERLINK("http://csr.bu.edu/ftp/asl/asllvd/demos/verify_start_end_handshape_annotations//test_auto_move//signs_mov_separ_signers/Liz_15880.mov","MOV")</f>
        <v>21</v>
      </c>
      <c r="M4171" t="s" s="10">
        <v>34</v>
      </c>
      <c r="N4171" s="17">
        <v>50</v>
      </c>
      <c r="O4171" s="18">
        <v>885</v>
      </c>
      <c r="P4171" s="18">
        <v>935</v>
      </c>
      <c r="Q4171" s="15"/>
      <c r="R4171" t="s" s="16">
        <f>HYPERLINK("http://secrets.rutgers.edu:8080/data/asl-ftp/asllvd/demos/verify_start_end_handshape_annotations//test_auto_move//signs_mov_separ_signers/Liz_15880.mov","MOV")</f>
        <v>21</v>
      </c>
    </row>
    <row r="4172" s="2" customFormat="1" ht="13.5" customHeight="1">
      <c r="B4172" s="13"/>
      <c r="C4172" t="s" s="9">
        <v>23</v>
      </c>
      <c r="D4172" t="s" s="8">
        <v>1424</v>
      </c>
      <c r="E4172" t="s" s="9">
        <v>1424</v>
      </c>
      <c r="F4172" s="19">
        <v>25</v>
      </c>
      <c r="G4172" s="17">
        <v>25</v>
      </c>
      <c r="H4172" s="19">
        <v>25</v>
      </c>
      <c r="I4172" s="17">
        <v>25</v>
      </c>
      <c r="J4172" t="s" s="11">
        <v>20</v>
      </c>
      <c r="K4172" s="15"/>
      <c r="L4172" t="s" s="16">
        <f>HYPERLINK("http://csr.bu.edu/ftp/asl/asllvd/demos/verify_start_end_handshape_annotations//test_auto_move//signs_mov_separ_signers/Tyler_15853.mov","MOV")</f>
        <v>21</v>
      </c>
      <c r="M4172" t="s" s="10">
        <v>37</v>
      </c>
      <c r="N4172" s="17">
        <v>11</v>
      </c>
      <c r="O4172" s="18">
        <v>3010</v>
      </c>
      <c r="P4172" s="18">
        <v>3027</v>
      </c>
      <c r="Q4172" s="15"/>
      <c r="R4172" t="s" s="16">
        <f>HYPERLINK("http://secrets.rutgers.edu:8080/data/asl-ftp/asllvd/demos/verify_start_end_handshape_annotations//test_auto_move//signs_mov_separ_signers/Tyler_15853.mov","MOV")</f>
        <v>21</v>
      </c>
    </row>
    <row r="4173" s="2" customFormat="1" ht="13.5" customHeight="1">
      <c r="B4173" s="13"/>
      <c r="C4173" t="s" s="9">
        <v>27</v>
      </c>
      <c r="D4173" t="s" s="8">
        <v>1424</v>
      </c>
      <c r="E4173" t="s" s="9">
        <v>1424</v>
      </c>
      <c r="F4173" s="19">
        <v>25</v>
      </c>
      <c r="G4173" s="17">
        <v>25</v>
      </c>
      <c r="H4173" s="19">
        <v>25</v>
      </c>
      <c r="I4173" s="17">
        <v>25</v>
      </c>
      <c r="J4173" t="s" s="11">
        <v>20</v>
      </c>
      <c r="K4173" t="s" s="16">
        <f>HYPERLINK("http://csr.bu.edu/ftp/asl/asllvd/demos/verify_start_end_handshape_annotations//test_auto_move//signs_mov/15853_15880_merged.mov","MOV")</f>
        <v>21</v>
      </c>
      <c r="L4173" t="s" s="16">
        <f>HYPERLINK("http://csr.bu.edu/ftp/asl/asllvd/demos/verify_start_end_handshape_annotations//test_auto_move//signs_mov_separ_signers/Naomi_15853.mov","MOV")</f>
        <v>21</v>
      </c>
      <c r="M4173" t="s" s="10">
        <v>86</v>
      </c>
      <c r="N4173" s="17">
        <v>33</v>
      </c>
      <c r="O4173" s="18">
        <v>1930</v>
      </c>
      <c r="P4173" s="18">
        <v>1962</v>
      </c>
      <c r="Q4173" t="s" s="16">
        <f>HYPERLINK("http://secrets.rutgers.edu:8080/data/asl-ftp/asllvd/demos/verify_start_end_handshape_annotations//test_auto_move//signs_mov/15853_15880_merged.mov","MOV")</f>
        <v>21</v>
      </c>
      <c r="R4173" t="s" s="16">
        <f>HYPERLINK("http://secrets.rutgers.edu:8080/data/asl-ftp/asllvd/demos/verify_start_end_handshape_annotations//test_auto_move//signs_mov_separ_signers/Naomi_15853.mov","MOV")</f>
        <v>21</v>
      </c>
    </row>
    <row r="4174" s="2" customFormat="1" ht="13.5" customHeight="1">
      <c r="B4174" s="13"/>
      <c r="C4174" t="s" s="9">
        <v>27</v>
      </c>
      <c r="D4174" t="s" s="8">
        <v>1424</v>
      </c>
      <c r="E4174" t="s" s="9">
        <v>1424</v>
      </c>
      <c r="F4174" s="19">
        <v>25</v>
      </c>
      <c r="G4174" s="17">
        <v>25</v>
      </c>
      <c r="H4174" s="19">
        <v>25</v>
      </c>
      <c r="I4174" s="17">
        <v>25</v>
      </c>
      <c r="J4174" t="s" s="11">
        <v>20</v>
      </c>
      <c r="K4174" s="15"/>
      <c r="L4174" t="s" s="16">
        <f>HYPERLINK("http://csr.bu.edu/ftp/asl/asllvd/demos/verify_start_end_handshape_annotations//test_auto_move//signs_mov_separ_signers/Naomi_15880.mov","MOV")</f>
        <v>21</v>
      </c>
      <c r="M4174" t="s" s="10">
        <v>48</v>
      </c>
      <c r="N4174" s="17">
        <v>5</v>
      </c>
      <c r="O4174" s="18">
        <v>380</v>
      </c>
      <c r="P4174" s="18">
        <v>405</v>
      </c>
      <c r="Q4174" s="15"/>
      <c r="R4174" t="s" s="16">
        <f>HYPERLINK("http://secrets.rutgers.edu:8080/data/asl-ftp/asllvd/demos/verify_start_end_handshape_annotations//test_auto_move//signs_mov_separ_signers/Naomi_15880.mov","MOV")</f>
        <v>21</v>
      </c>
    </row>
    <row r="4175" s="2" customFormat="1" ht="13.5" customHeight="1">
      <c r="B4175" s="13"/>
      <c r="C4175" t="s" s="9">
        <v>30</v>
      </c>
      <c r="D4175" t="s" s="8">
        <v>1424</v>
      </c>
      <c r="E4175" t="s" s="9">
        <v>1424</v>
      </c>
      <c r="F4175" s="19">
        <v>25</v>
      </c>
      <c r="G4175" s="17">
        <v>25</v>
      </c>
      <c r="H4175" s="19">
        <v>25</v>
      </c>
      <c r="I4175" s="17">
        <v>25</v>
      </c>
      <c r="J4175" t="s" s="11">
        <v>20</v>
      </c>
      <c r="K4175" s="15"/>
      <c r="L4175" t="s" s="16">
        <f>HYPERLINK("http://csr.bu.edu/ftp/asl/asllvd/demos/verify_start_end_handshape_annotations//test_auto_move//signs_mov_separ_signers/Brady_15853.mov","MOV")</f>
        <v>21</v>
      </c>
      <c r="M4175" t="s" s="10">
        <v>39</v>
      </c>
      <c r="N4175" s="17">
        <v>13</v>
      </c>
      <c r="O4175" s="18">
        <v>1729</v>
      </c>
      <c r="P4175" s="18">
        <v>1752</v>
      </c>
      <c r="Q4175" s="15"/>
      <c r="R4175" t="s" s="16">
        <f>HYPERLINK("http://secrets.rutgers.edu:8080/data/asl-ftp/asllvd/demos/verify_start_end_handshape_annotations//test_auto_move//signs_mov_separ_signers/Brady_15853.mov","MOV")</f>
        <v>21</v>
      </c>
    </row>
    <row r="4176" s="2" customFormat="1" ht="13.5" customHeight="1">
      <c r="B4176" s="13"/>
      <c r="C4176" t="s" s="9">
        <v>30</v>
      </c>
      <c r="D4176" t="s" s="8">
        <v>1424</v>
      </c>
      <c r="E4176" t="s" s="9">
        <v>1424</v>
      </c>
      <c r="F4176" s="19">
        <v>25</v>
      </c>
      <c r="G4176" s="17">
        <v>25</v>
      </c>
      <c r="H4176" s="19">
        <v>5</v>
      </c>
      <c r="I4176" s="17">
        <v>5</v>
      </c>
      <c r="J4176" t="s" s="11">
        <v>20</v>
      </c>
      <c r="K4176" s="15"/>
      <c r="L4176" t="s" s="16">
        <f>HYPERLINK("http://csr.bu.edu/ftp/asl/asllvd/demos/verify_start_end_handshape_annotations//test_auto_move//signs_mov_separ_signers/Brady_15880.mov","MOV")</f>
        <v>21</v>
      </c>
      <c r="M4176" t="s" s="10">
        <v>39</v>
      </c>
      <c r="N4176" s="17">
        <v>43</v>
      </c>
      <c r="O4176" s="18">
        <v>7574</v>
      </c>
      <c r="P4176" s="18">
        <v>7591</v>
      </c>
      <c r="Q4176" s="15"/>
      <c r="R4176" t="s" s="16">
        <f>HYPERLINK("http://secrets.rutgers.edu:8080/data/asl-ftp/asllvd/demos/verify_start_end_handshape_annotations//test_auto_move//signs_mov_separ_signers/Brady_15880.mov","MOV")</f>
        <v>21</v>
      </c>
    </row>
    <row r="4177" s="2" customFormat="1" ht="13.5" customHeight="1">
      <c r="B4177" t="s" s="8">
        <v>1425</v>
      </c>
      <c r="C4177" t="s" s="9">
        <v>14</v>
      </c>
      <c r="D4177" t="s" s="8">
        <v>14</v>
      </c>
      <c r="E4177" t="s" s="9">
        <v>14</v>
      </c>
      <c r="F4177" t="s" s="10">
        <v>14</v>
      </c>
      <c r="G4177" t="s" s="11">
        <v>14</v>
      </c>
      <c r="H4177" t="s" s="10">
        <v>14</v>
      </c>
      <c r="I4177" t="s" s="11">
        <v>14</v>
      </c>
      <c r="J4177" t="s" s="11">
        <v>14</v>
      </c>
      <c r="K4177" t="s" s="12">
        <v>14</v>
      </c>
      <c r="L4177" t="s" s="12">
        <v>14</v>
      </c>
      <c r="M4177" t="s" s="10">
        <v>14</v>
      </c>
      <c r="N4177" t="s" s="11">
        <v>14</v>
      </c>
      <c r="O4177" t="s" s="8">
        <v>14</v>
      </c>
      <c r="P4177" t="s" s="8">
        <v>14</v>
      </c>
      <c r="Q4177" t="s" s="12">
        <v>14</v>
      </c>
      <c r="R4177" t="s" s="12">
        <v>14</v>
      </c>
    </row>
    <row r="4178" s="2" customFormat="1" ht="13.5" customHeight="1">
      <c r="B4178" s="13"/>
      <c r="C4178" t="s" s="9">
        <v>23</v>
      </c>
      <c r="D4178" t="s" s="8">
        <v>1425</v>
      </c>
      <c r="E4178" t="s" s="9">
        <v>1426</v>
      </c>
      <c r="F4178" s="19">
        <v>25</v>
      </c>
      <c r="G4178" s="17">
        <v>25</v>
      </c>
      <c r="H4178" s="19">
        <v>25</v>
      </c>
      <c r="I4178" s="17">
        <v>25</v>
      </c>
      <c r="J4178" t="s" s="11">
        <v>20</v>
      </c>
      <c r="K4178" t="s" s="16">
        <f>HYPERLINK("http://csr.bu.edu/ftp/asl/asllvd/demos/verify_start_end_handshape_annotations//test_auto_move//signs_mov/15881.mov","MOV")</f>
        <v>21</v>
      </c>
      <c r="L4178" t="s" s="16">
        <f>HYPERLINK("http://csr.bu.edu/ftp/asl/asllvd/demos/verify_start_end_handshape_annotations//test_auto_move//signs_mov_separ_signers/Tyler_15881.mov","MOV")</f>
        <v>21</v>
      </c>
      <c r="M4178" t="s" s="10">
        <v>47</v>
      </c>
      <c r="N4178" s="17">
        <v>2</v>
      </c>
      <c r="O4178" s="18">
        <v>523</v>
      </c>
      <c r="P4178" s="18">
        <v>562</v>
      </c>
      <c r="Q4178" t="s" s="16">
        <f>HYPERLINK("http://secrets.rutgers.edu:8080/data/asl-ftp/asllvd/demos/verify_start_end_handshape_annotations//test_auto_move//signs_mov/15881.mov","MOV")</f>
        <v>21</v>
      </c>
      <c r="R4178" t="s" s="16">
        <f>HYPERLINK("http://secrets.rutgers.edu:8080/data/asl-ftp/asllvd/demos/verify_start_end_handshape_annotations//test_auto_move//signs_mov_separ_signers/Tyler_15881.mov","MOV")</f>
        <v>21</v>
      </c>
    </row>
    <row r="4179" s="2" customFormat="1" ht="13.5" customHeight="1">
      <c r="B4179" t="s" s="8">
        <v>1427</v>
      </c>
      <c r="C4179" t="s" s="9">
        <v>14</v>
      </c>
      <c r="D4179" t="s" s="8">
        <v>14</v>
      </c>
      <c r="E4179" t="s" s="9">
        <v>14</v>
      </c>
      <c r="F4179" t="s" s="10">
        <v>14</v>
      </c>
      <c r="G4179" t="s" s="11">
        <v>14</v>
      </c>
      <c r="H4179" t="s" s="10">
        <v>14</v>
      </c>
      <c r="I4179" t="s" s="11">
        <v>14</v>
      </c>
      <c r="J4179" t="s" s="11">
        <v>14</v>
      </c>
      <c r="K4179" t="s" s="12">
        <v>14</v>
      </c>
      <c r="L4179" t="s" s="12">
        <v>14</v>
      </c>
      <c r="M4179" t="s" s="10">
        <v>14</v>
      </c>
      <c r="N4179" t="s" s="11">
        <v>14</v>
      </c>
      <c r="O4179" t="s" s="8">
        <v>14</v>
      </c>
      <c r="P4179" t="s" s="8">
        <v>14</v>
      </c>
      <c r="Q4179" t="s" s="12">
        <v>14</v>
      </c>
      <c r="R4179" t="s" s="12">
        <v>14</v>
      </c>
    </row>
    <row r="4180" s="2" customFormat="1" ht="13.5" customHeight="1">
      <c r="B4180" s="13"/>
      <c r="C4180" t="s" s="9">
        <v>16</v>
      </c>
      <c r="D4180" t="s" s="8">
        <v>1427</v>
      </c>
      <c r="E4180" t="s" s="9">
        <v>1427</v>
      </c>
      <c r="F4180" s="19">
        <v>25</v>
      </c>
      <c r="G4180" s="17">
        <v>25</v>
      </c>
      <c r="H4180" s="19">
        <v>25</v>
      </c>
      <c r="I4180" s="17">
        <v>25</v>
      </c>
      <c r="J4180" t="s" s="11">
        <v>20</v>
      </c>
      <c r="K4180" s="15"/>
      <c r="L4180" t="s" s="16">
        <f>HYPERLINK("http://csr.bu.edu/ftp/asl/asllvd/demos/verify_start_end_handshape_annotations//test_auto_move//signs_mov_separ_signers/Liz_16005.mov","MOV")</f>
        <v>21</v>
      </c>
      <c r="M4180" t="s" s="10">
        <v>84</v>
      </c>
      <c r="N4180" s="17">
        <v>15</v>
      </c>
      <c r="O4180" s="18">
        <v>672</v>
      </c>
      <c r="P4180" s="18">
        <v>696</v>
      </c>
      <c r="Q4180" s="15"/>
      <c r="R4180" t="s" s="16">
        <f>HYPERLINK("http://secrets.rutgers.edu:8080/data/asl-ftp/asllvd/demos/verify_start_end_handshape_annotations//test_auto_move//signs_mov_separ_signers/Liz_16005.mov","MOV")</f>
        <v>21</v>
      </c>
    </row>
    <row r="4181" s="2" customFormat="1" ht="13.5" customHeight="1">
      <c r="B4181" s="13"/>
      <c r="C4181" t="s" s="9">
        <v>23</v>
      </c>
      <c r="D4181" t="s" s="8">
        <v>1427</v>
      </c>
      <c r="E4181" t="s" s="9">
        <v>1427</v>
      </c>
      <c r="F4181" s="19">
        <v>25</v>
      </c>
      <c r="G4181" s="17">
        <v>25</v>
      </c>
      <c r="H4181" s="19">
        <v>25</v>
      </c>
      <c r="I4181" s="17">
        <v>25</v>
      </c>
      <c r="J4181" t="s" s="11">
        <v>20</v>
      </c>
      <c r="K4181" s="15"/>
      <c r="L4181" t="s" s="16">
        <f>HYPERLINK("http://csr.bu.edu/ftp/asl/asllvd/demos/verify_start_end_handshape_annotations//test_auto_move//signs_mov_separ_signers/Tyler_16005.mov","MOV")</f>
        <v>21</v>
      </c>
      <c r="M4181" t="s" s="10">
        <v>125</v>
      </c>
      <c r="N4181" s="17">
        <v>15</v>
      </c>
      <c r="O4181" s="18">
        <v>350</v>
      </c>
      <c r="P4181" s="18">
        <v>385</v>
      </c>
      <c r="Q4181" s="15"/>
      <c r="R4181" t="s" s="16">
        <f>HYPERLINK("http://secrets.rutgers.edu:8080/data/asl-ftp/asllvd/demos/verify_start_end_handshape_annotations//test_auto_move//signs_mov_separ_signers/Tyler_16005.mov","MOV")</f>
        <v>21</v>
      </c>
    </row>
    <row r="4182" s="2" customFormat="1" ht="13.5" customHeight="1">
      <c r="B4182" s="13"/>
      <c r="C4182" t="s" s="9">
        <v>27</v>
      </c>
      <c r="D4182" t="s" s="8">
        <v>1427</v>
      </c>
      <c r="E4182" t="s" s="9">
        <v>1427</v>
      </c>
      <c r="F4182" s="19">
        <v>25</v>
      </c>
      <c r="G4182" s="17">
        <v>25</v>
      </c>
      <c r="H4182" s="19">
        <v>25</v>
      </c>
      <c r="I4182" s="17">
        <v>25</v>
      </c>
      <c r="J4182" t="s" s="11">
        <v>20</v>
      </c>
      <c r="K4182" s="15"/>
      <c r="L4182" t="s" s="16">
        <f>HYPERLINK("http://csr.bu.edu/ftp/asl/asllvd/demos/verify_start_end_handshape_annotations//test_auto_move//signs_mov_separ_signers/Naomi_16005.mov","MOV")</f>
        <v>21</v>
      </c>
      <c r="M4182" t="s" s="10">
        <v>86</v>
      </c>
      <c r="N4182" s="17">
        <v>15</v>
      </c>
      <c r="O4182" s="18">
        <v>235</v>
      </c>
      <c r="P4182" s="18">
        <v>262</v>
      </c>
      <c r="Q4182" s="15"/>
      <c r="R4182" t="s" s="16">
        <f>HYPERLINK("http://secrets.rutgers.edu:8080/data/asl-ftp/asllvd/demos/verify_start_end_handshape_annotations//test_auto_move//signs_mov_separ_signers/Naomi_16005.mov","MOV")</f>
        <v>21</v>
      </c>
    </row>
    <row r="4183" s="2" customFormat="1" ht="13.5" customHeight="1">
      <c r="B4183" s="13"/>
      <c r="C4183" t="s" s="9">
        <v>30</v>
      </c>
      <c r="D4183" t="s" s="8">
        <v>1427</v>
      </c>
      <c r="E4183" t="s" s="9">
        <v>1427</v>
      </c>
      <c r="F4183" s="19">
        <v>25</v>
      </c>
      <c r="G4183" s="17">
        <v>25</v>
      </c>
      <c r="H4183" s="19">
        <v>25</v>
      </c>
      <c r="I4183" s="17">
        <v>25</v>
      </c>
      <c r="J4183" t="s" s="11">
        <v>20</v>
      </c>
      <c r="K4183" t="s" s="16">
        <f>HYPERLINK("http://csr.bu.edu/ftp/asl/asllvd/demos/verify_start_end_handshape_annotations//test_auto_move//signs_mov/16005_16006_merged.mov","MOV")</f>
        <v>21</v>
      </c>
      <c r="L4183" t="s" s="16">
        <f>HYPERLINK("http://csr.bu.edu/ftp/asl/asllvd/demos/verify_start_end_handshape_annotations//test_auto_move//signs_mov_separ_signers/Brady_16005.mov","MOV")</f>
        <v>21</v>
      </c>
      <c r="M4183" t="s" s="10">
        <v>31</v>
      </c>
      <c r="N4183" s="17">
        <v>33</v>
      </c>
      <c r="O4183" s="18">
        <v>2204</v>
      </c>
      <c r="P4183" s="18">
        <v>2237</v>
      </c>
      <c r="Q4183" t="s" s="16">
        <f>HYPERLINK("http://secrets.rutgers.edu:8080/data/asl-ftp/asllvd/demos/verify_start_end_handshape_annotations//test_auto_move//signs_mov/16005_16006_merged.mov","MOV")</f>
        <v>21</v>
      </c>
      <c r="R4183" t="s" s="16">
        <f>HYPERLINK("http://secrets.rutgers.edu:8080/data/asl-ftp/asllvd/demos/verify_start_end_handshape_annotations//test_auto_move//signs_mov_separ_signers/Brady_16005.mov","MOV")</f>
        <v>21</v>
      </c>
    </row>
    <row r="4184" s="2" customFormat="1" ht="13.5" customHeight="1">
      <c r="B4184" s="13"/>
      <c r="C4184" t="s" s="9">
        <v>30</v>
      </c>
      <c r="D4184" t="s" s="8">
        <v>1427</v>
      </c>
      <c r="E4184" t="s" s="9">
        <v>1427</v>
      </c>
      <c r="F4184" s="19">
        <v>25</v>
      </c>
      <c r="G4184" s="17">
        <v>25</v>
      </c>
      <c r="H4184" s="19">
        <v>25</v>
      </c>
      <c r="I4184" s="17">
        <v>25</v>
      </c>
      <c r="J4184" t="s" s="11">
        <v>20</v>
      </c>
      <c r="K4184" s="15"/>
      <c r="L4184" t="s" s="16">
        <f>HYPERLINK("http://csr.bu.edu/ftp/asl/asllvd/demos/verify_start_end_handshape_annotations//test_auto_move//signs_mov_separ_signers/Brady_16006.mov","MOV")</f>
        <v>21</v>
      </c>
      <c r="M4184" t="s" s="10">
        <v>31</v>
      </c>
      <c r="N4184" s="17">
        <v>33</v>
      </c>
      <c r="O4184" s="18">
        <v>3586</v>
      </c>
      <c r="P4184" s="18">
        <v>3617</v>
      </c>
      <c r="Q4184" s="15"/>
      <c r="R4184" t="s" s="16">
        <f>HYPERLINK("http://secrets.rutgers.edu:8080/data/asl-ftp/asllvd/demos/verify_start_end_handshape_annotations//test_auto_move//signs_mov_separ_signers/Brady_16006.mov","MOV")</f>
        <v>21</v>
      </c>
    </row>
    <row r="4185" s="2" customFormat="1" ht="13.5" customHeight="1">
      <c r="B4185" s="13"/>
      <c r="C4185" t="s" s="9">
        <v>41</v>
      </c>
      <c r="D4185" t="s" s="8">
        <v>1427</v>
      </c>
      <c r="E4185" t="s" s="9">
        <v>1427</v>
      </c>
      <c r="F4185" s="19">
        <v>25</v>
      </c>
      <c r="G4185" s="17">
        <v>25</v>
      </c>
      <c r="H4185" s="19">
        <v>25</v>
      </c>
      <c r="I4185" s="17">
        <v>25</v>
      </c>
      <c r="J4185" t="s" s="11">
        <v>20</v>
      </c>
      <c r="K4185" s="15"/>
      <c r="L4185" t="s" s="16">
        <f>HYPERLINK("http://csr.bu.edu/ftp/asl/asllvd/demos/verify_start_end_handshape_annotations//test_auto_move//signs_mov_separ_signers/Lana_16005.mov","MOV")</f>
        <v>21</v>
      </c>
      <c r="M4185" t="s" s="10">
        <v>42</v>
      </c>
      <c r="N4185" s="17">
        <v>7</v>
      </c>
      <c r="O4185" s="18">
        <v>760</v>
      </c>
      <c r="P4185" s="18">
        <v>792</v>
      </c>
      <c r="Q4185" s="15"/>
      <c r="R4185" t="s" s="16">
        <f>HYPERLINK("http://secrets.rutgers.edu:8080/data/asl-ftp/asllvd/demos/verify_start_end_handshape_annotations//test_auto_move//signs_mov_separ_signers/Lana_16005.mov","MOV")</f>
        <v>21</v>
      </c>
    </row>
    <row r="4186" s="2" customFormat="1" ht="13.5" customHeight="1">
      <c r="B4186" s="13"/>
      <c r="C4186" t="s" s="9">
        <v>43</v>
      </c>
      <c r="D4186" t="s" s="8">
        <v>1427</v>
      </c>
      <c r="E4186" t="s" s="9">
        <v>1427</v>
      </c>
      <c r="F4186" s="19">
        <v>25</v>
      </c>
      <c r="G4186" s="17">
        <v>25</v>
      </c>
      <c r="H4186" s="19">
        <v>25</v>
      </c>
      <c r="I4186" s="17">
        <v>25</v>
      </c>
      <c r="J4186" t="s" s="11">
        <v>20</v>
      </c>
      <c r="K4186" s="15"/>
      <c r="L4186" t="s" s="16">
        <f>HYPERLINK("http://csr.bu.edu/ftp/asl/asllvd/demos/verify_start_end_handshape_annotations//test_auto_move//signs_mov_separ_signers/Dana_16005.mov","MOV")</f>
        <v>21</v>
      </c>
      <c r="M4186" t="s" s="10">
        <v>44</v>
      </c>
      <c r="N4186" s="17">
        <v>11</v>
      </c>
      <c r="O4186" s="18">
        <v>802</v>
      </c>
      <c r="P4186" s="18">
        <v>836</v>
      </c>
      <c r="Q4186" s="15"/>
      <c r="R4186" t="s" s="16">
        <f>HYPERLINK("http://secrets.rutgers.edu:8080/data/asl-ftp/asllvd/demos/verify_start_end_handshape_annotations//test_auto_move//signs_mov_separ_signers/Dana_16005.mov","MOV")</f>
        <v>21</v>
      </c>
    </row>
    <row r="4187" s="2" customFormat="1" ht="13.5" customHeight="1">
      <c r="B4187" t="s" s="8">
        <v>52</v>
      </c>
      <c r="C4187" t="s" s="9">
        <v>53</v>
      </c>
      <c r="D4187" t="s" s="8">
        <v>53</v>
      </c>
      <c r="E4187" t="s" s="9">
        <v>53</v>
      </c>
      <c r="F4187" t="s" s="10">
        <v>53</v>
      </c>
      <c r="G4187" t="s" s="11">
        <v>53</v>
      </c>
      <c r="H4187" t="s" s="10">
        <v>53</v>
      </c>
      <c r="I4187" t="s" s="11">
        <v>53</v>
      </c>
      <c r="J4187" t="s" s="11">
        <v>53</v>
      </c>
      <c r="K4187" t="s" s="12">
        <v>53</v>
      </c>
      <c r="L4187" t="s" s="12">
        <v>53</v>
      </c>
      <c r="M4187" t="s" s="10">
        <v>53</v>
      </c>
      <c r="N4187" t="s" s="11">
        <v>53</v>
      </c>
      <c r="O4187" t="s" s="8">
        <v>53</v>
      </c>
      <c r="P4187" t="s" s="8">
        <v>53</v>
      </c>
      <c r="Q4187" t="s" s="12">
        <v>53</v>
      </c>
      <c r="R4187" t="s" s="12">
        <v>53</v>
      </c>
    </row>
    <row r="4188" s="2" customFormat="1" ht="13.5" customHeight="1">
      <c r="B4188" s="13"/>
      <c r="C4188" t="s" s="9">
        <v>16</v>
      </c>
      <c r="D4188" t="s" s="8">
        <v>1427</v>
      </c>
      <c r="E4188" t="s" s="9">
        <v>1428</v>
      </c>
      <c r="F4188" t="s" s="10">
        <v>51</v>
      </c>
      <c r="G4188" t="s" s="11">
        <v>51</v>
      </c>
      <c r="H4188" t="s" s="10">
        <v>51</v>
      </c>
      <c r="I4188" t="s" s="11">
        <v>51</v>
      </c>
      <c r="J4188" t="s" s="11">
        <v>20</v>
      </c>
      <c r="K4188" s="15"/>
      <c r="L4188" t="s" s="16">
        <f>HYPERLINK("http://csr.bu.edu/ftp/asl/asllvd/demos/verify_start_end_handshape_annotations//test_auto_move//signs_mov_separ_signers/Liz_16046.mov","MOV")</f>
        <v>21</v>
      </c>
      <c r="M4188" t="s" s="10">
        <v>84</v>
      </c>
      <c r="N4188" s="17">
        <v>15</v>
      </c>
      <c r="O4188" s="18">
        <v>885</v>
      </c>
      <c r="P4188" s="18">
        <v>912</v>
      </c>
      <c r="Q4188" s="15"/>
      <c r="R4188" t="s" s="16">
        <f>HYPERLINK("http://secrets.rutgers.edu:8080/data/asl-ftp/asllvd/demos/verify_start_end_handshape_annotations//test_auto_move//signs_mov_separ_signers/Liz_16046.mov","MOV")</f>
        <v>21</v>
      </c>
    </row>
    <row r="4189" s="2" customFormat="1" ht="13.5" customHeight="1">
      <c r="B4189" s="13"/>
      <c r="C4189" t="s" s="9">
        <v>23</v>
      </c>
      <c r="D4189" t="s" s="8">
        <v>1427</v>
      </c>
      <c r="E4189" t="s" s="9">
        <v>1428</v>
      </c>
      <c r="F4189" t="s" s="10">
        <v>51</v>
      </c>
      <c r="G4189" t="s" s="11">
        <v>51</v>
      </c>
      <c r="H4189" t="s" s="10">
        <v>51</v>
      </c>
      <c r="I4189" t="s" s="11">
        <v>51</v>
      </c>
      <c r="J4189" t="s" s="11">
        <v>20</v>
      </c>
      <c r="K4189" t="s" s="16">
        <f>HYPERLINK("http://csr.bu.edu/ftp/asl/asllvd/demos/verify_start_end_handshape_annotations//test_auto_move//signs_mov/16046.mov","MOV")</f>
        <v>21</v>
      </c>
      <c r="L4189" t="s" s="16">
        <f>HYPERLINK("http://csr.bu.edu/ftp/asl/asllvd/demos/verify_start_end_handshape_annotations//test_auto_move//signs_mov_separ_signers/Tyler_16046.mov","MOV")</f>
        <v>21</v>
      </c>
      <c r="M4189" t="s" s="10">
        <v>125</v>
      </c>
      <c r="N4189" s="17">
        <v>15</v>
      </c>
      <c r="O4189" s="18">
        <v>562</v>
      </c>
      <c r="P4189" s="18">
        <v>595</v>
      </c>
      <c r="Q4189" t="s" s="16">
        <f>HYPERLINK("http://secrets.rutgers.edu:8080/data/asl-ftp/asllvd/demos/verify_start_end_handshape_annotations//test_auto_move//signs_mov/16046.mov","MOV")</f>
        <v>21</v>
      </c>
      <c r="R4189" t="s" s="16">
        <f>HYPERLINK("http://secrets.rutgers.edu:8080/data/asl-ftp/asllvd/demos/verify_start_end_handshape_annotations//test_auto_move//signs_mov_separ_signers/Tyler_16046.mov","MOV")</f>
        <v>21</v>
      </c>
    </row>
    <row r="4190" s="2" customFormat="1" ht="13.5" customHeight="1">
      <c r="B4190" s="13"/>
      <c r="C4190" t="s" s="9">
        <v>27</v>
      </c>
      <c r="D4190" t="s" s="8">
        <v>1427</v>
      </c>
      <c r="E4190" t="s" s="9">
        <v>1428</v>
      </c>
      <c r="F4190" t="s" s="10">
        <v>51</v>
      </c>
      <c r="G4190" t="s" s="11">
        <v>51</v>
      </c>
      <c r="H4190" t="s" s="10">
        <v>51</v>
      </c>
      <c r="I4190" t="s" s="11">
        <v>51</v>
      </c>
      <c r="J4190" t="s" s="11">
        <v>20</v>
      </c>
      <c r="K4190" s="15"/>
      <c r="L4190" t="s" s="16">
        <f>HYPERLINK("http://csr.bu.edu/ftp/asl/asllvd/demos/verify_start_end_handshape_annotations//test_auto_move//signs_mov_separ_signers/Naomi_16046.mov","MOV")</f>
        <v>21</v>
      </c>
      <c r="M4190" t="s" s="10">
        <v>86</v>
      </c>
      <c r="N4190" s="17">
        <v>15</v>
      </c>
      <c r="O4190" s="18">
        <v>492</v>
      </c>
      <c r="P4190" s="18">
        <v>535</v>
      </c>
      <c r="Q4190" s="15"/>
      <c r="R4190" t="s" s="16">
        <f>HYPERLINK("http://secrets.rutgers.edu:8080/data/asl-ftp/asllvd/demos/verify_start_end_handshape_annotations//test_auto_move//signs_mov_separ_signers/Naomi_16046.mov","MOV")</f>
        <v>21</v>
      </c>
    </row>
    <row r="4191" s="2" customFormat="1" ht="13.5" customHeight="1">
      <c r="B4191" t="s" s="8">
        <v>1429</v>
      </c>
      <c r="C4191" t="s" s="9">
        <v>14</v>
      </c>
      <c r="D4191" t="s" s="8">
        <v>14</v>
      </c>
      <c r="E4191" t="s" s="9">
        <v>14</v>
      </c>
      <c r="F4191" t="s" s="10">
        <v>14</v>
      </c>
      <c r="G4191" t="s" s="11">
        <v>14</v>
      </c>
      <c r="H4191" t="s" s="10">
        <v>14</v>
      </c>
      <c r="I4191" t="s" s="11">
        <v>14</v>
      </c>
      <c r="J4191" t="s" s="11">
        <v>14</v>
      </c>
      <c r="K4191" t="s" s="12">
        <v>14</v>
      </c>
      <c r="L4191" t="s" s="12">
        <v>14</v>
      </c>
      <c r="M4191" t="s" s="10">
        <v>14</v>
      </c>
      <c r="N4191" t="s" s="11">
        <v>14</v>
      </c>
      <c r="O4191" t="s" s="8">
        <v>14</v>
      </c>
      <c r="P4191" t="s" s="8">
        <v>14</v>
      </c>
      <c r="Q4191" t="s" s="12">
        <v>14</v>
      </c>
      <c r="R4191" t="s" s="12">
        <v>14</v>
      </c>
    </row>
    <row r="4192" s="2" customFormat="1" ht="13.5" customHeight="1">
      <c r="B4192" s="13"/>
      <c r="C4192" t="s" s="9">
        <v>16</v>
      </c>
      <c r="D4192" t="s" s="8">
        <v>1429</v>
      </c>
      <c r="E4192" t="s" s="9">
        <v>1429</v>
      </c>
      <c r="F4192" s="19">
        <v>25</v>
      </c>
      <c r="G4192" s="14"/>
      <c r="H4192" s="19">
        <v>25</v>
      </c>
      <c r="I4192" s="14"/>
      <c r="J4192" t="s" s="11">
        <v>20</v>
      </c>
      <c r="K4192" t="s" s="16">
        <f>HYPERLINK("http://csr.bu.edu/ftp/asl/asllvd/demos/verify_start_end_handshape_annotations//test_auto_move//signs_mov/16570.mov","MOV")</f>
        <v>21</v>
      </c>
      <c r="L4192" t="s" s="16">
        <f>HYPERLINK("http://csr.bu.edu/ftp/asl/asllvd/demos/verify_start_end_handshape_annotations//test_auto_move//signs_mov_separ_signers/Liz_16570.mov","MOV")</f>
        <v>21</v>
      </c>
      <c r="M4192" t="s" s="10">
        <v>36</v>
      </c>
      <c r="N4192" s="17">
        <v>26</v>
      </c>
      <c r="O4192" s="18">
        <v>2040</v>
      </c>
      <c r="P4192" s="18">
        <v>2071</v>
      </c>
      <c r="Q4192" t="s" s="16">
        <f>HYPERLINK("http://secrets.rutgers.edu:8080/data/asl-ftp/asllvd/demos/verify_start_end_handshape_annotations//test_auto_move//signs_mov/16570.mov","MOV")</f>
        <v>21</v>
      </c>
      <c r="R4192" t="s" s="16">
        <f>HYPERLINK("http://secrets.rutgers.edu:8080/data/asl-ftp/asllvd/demos/verify_start_end_handshape_annotations//test_auto_move//signs_mov_separ_signers/Liz_16570.mov","MOV")</f>
        <v>21</v>
      </c>
    </row>
    <row r="4193" s="2" customFormat="1" ht="13.5" customHeight="1">
      <c r="B4193" s="13"/>
      <c r="C4193" t="s" s="9">
        <v>30</v>
      </c>
      <c r="D4193" t="s" s="8">
        <v>1429</v>
      </c>
      <c r="E4193" t="s" s="9">
        <v>1429</v>
      </c>
      <c r="F4193" s="19">
        <v>25</v>
      </c>
      <c r="G4193" s="14"/>
      <c r="H4193" s="19">
        <v>25</v>
      </c>
      <c r="I4193" s="14"/>
      <c r="J4193" t="s" s="11">
        <v>20</v>
      </c>
      <c r="K4193" s="15"/>
      <c r="L4193" t="s" s="16">
        <f>HYPERLINK("http://csr.bu.edu/ftp/asl/asllvd/demos/verify_start_end_handshape_annotations//test_auto_move//signs_mov_separ_signers/Brady_16570.mov","MOV")</f>
        <v>21</v>
      </c>
      <c r="M4193" t="s" s="10">
        <v>40</v>
      </c>
      <c r="N4193" s="17">
        <v>77</v>
      </c>
      <c r="O4193" s="18">
        <v>158</v>
      </c>
      <c r="P4193" s="18">
        <v>175</v>
      </c>
      <c r="Q4193" s="15"/>
      <c r="R4193" t="s" s="16">
        <f>HYPERLINK("http://secrets.rutgers.edu:8080/data/asl-ftp/asllvd/demos/verify_start_end_handshape_annotations//test_auto_move//signs_mov_separ_signers/Brady_16570.mov","MOV")</f>
        <v>21</v>
      </c>
    </row>
    <row r="4194" s="2" customFormat="1" ht="13.5" customHeight="1">
      <c r="B4194" t="s" s="8">
        <v>1430</v>
      </c>
      <c r="C4194" t="s" s="9">
        <v>14</v>
      </c>
      <c r="D4194" t="s" s="8">
        <v>14</v>
      </c>
      <c r="E4194" t="s" s="9">
        <v>14</v>
      </c>
      <c r="F4194" t="s" s="10">
        <v>14</v>
      </c>
      <c r="G4194" t="s" s="11">
        <v>14</v>
      </c>
      <c r="H4194" t="s" s="10">
        <v>14</v>
      </c>
      <c r="I4194" t="s" s="11">
        <v>14</v>
      </c>
      <c r="J4194" t="s" s="11">
        <v>14</v>
      </c>
      <c r="K4194" t="s" s="12">
        <v>14</v>
      </c>
      <c r="L4194" t="s" s="12">
        <v>14</v>
      </c>
      <c r="M4194" t="s" s="10">
        <v>14</v>
      </c>
      <c r="N4194" t="s" s="11">
        <v>14</v>
      </c>
      <c r="O4194" t="s" s="8">
        <v>14</v>
      </c>
      <c r="P4194" t="s" s="8">
        <v>14</v>
      </c>
      <c r="Q4194" t="s" s="12">
        <v>14</v>
      </c>
      <c r="R4194" t="s" s="12">
        <v>14</v>
      </c>
    </row>
    <row r="4195" s="2" customFormat="1" ht="13.5" customHeight="1">
      <c r="B4195" s="13"/>
      <c r="C4195" t="s" s="9">
        <v>16</v>
      </c>
      <c r="D4195" t="s" s="8">
        <v>1430</v>
      </c>
      <c r="E4195" t="s" s="9">
        <v>1430</v>
      </c>
      <c r="F4195" s="19">
        <v>4</v>
      </c>
      <c r="G4195" s="17">
        <v>4</v>
      </c>
      <c r="H4195" s="19">
        <v>4</v>
      </c>
      <c r="I4195" s="17">
        <v>4</v>
      </c>
      <c r="J4195" t="s" s="11">
        <v>20</v>
      </c>
      <c r="K4195" s="15"/>
      <c r="L4195" t="s" s="16">
        <f>HYPERLINK("http://csr.bu.edu/ftp/asl/asllvd/demos/verify_start_end_handshape_annotations//test_auto_move//signs_mov_separ_signers/Liz_896.mov","MOV")</f>
        <v>21</v>
      </c>
      <c r="M4195" t="s" s="10">
        <v>84</v>
      </c>
      <c r="N4195" s="17">
        <v>40</v>
      </c>
      <c r="O4195" s="18">
        <v>1367</v>
      </c>
      <c r="P4195" s="18">
        <v>1395</v>
      </c>
      <c r="Q4195" s="15"/>
      <c r="R4195" t="s" s="16">
        <f>HYPERLINK("http://secrets.rutgers.edu:8080/data/asl-ftp/asllvd/demos/verify_start_end_handshape_annotations//test_auto_move//signs_mov_separ_signers/Liz_896.mov","MOV")</f>
        <v>21</v>
      </c>
    </row>
    <row r="4196" s="2" customFormat="1" ht="13.5" customHeight="1">
      <c r="B4196" s="13"/>
      <c r="C4196" t="s" s="9">
        <v>16</v>
      </c>
      <c r="D4196" t="s" s="8">
        <v>1430</v>
      </c>
      <c r="E4196" t="s" s="9">
        <v>1430</v>
      </c>
      <c r="F4196" s="19">
        <v>4</v>
      </c>
      <c r="G4196" s="17">
        <v>4</v>
      </c>
      <c r="H4196" s="19">
        <v>4</v>
      </c>
      <c r="I4196" s="17">
        <v>4</v>
      </c>
      <c r="J4196" t="s" s="11">
        <v>20</v>
      </c>
      <c r="K4196" s="15"/>
      <c r="L4196" t="s" s="16">
        <f>HYPERLINK("http://csr.bu.edu/ftp/asl/asllvd/demos/verify_start_end_handshape_annotations//test_auto_move//signs_mov_separ_signers/Liz_3433.mov","MOV")</f>
        <v>21</v>
      </c>
      <c r="M4196" t="s" s="10">
        <v>88</v>
      </c>
      <c r="N4196" s="17">
        <v>17</v>
      </c>
      <c r="O4196" s="18">
        <v>2721</v>
      </c>
      <c r="P4196" s="18">
        <v>2785</v>
      </c>
      <c r="Q4196" s="15"/>
      <c r="R4196" t="s" s="16">
        <f>HYPERLINK("http://secrets.rutgers.edu:8080/data/asl-ftp/asllvd/demos/verify_start_end_handshape_annotations//test_auto_move//signs_mov_separ_signers/Liz_3433.mov","MOV")</f>
        <v>21</v>
      </c>
    </row>
    <row r="4197" s="2" customFormat="1" ht="13.5" customHeight="1">
      <c r="B4197" s="13"/>
      <c r="C4197" t="s" s="9">
        <v>23</v>
      </c>
      <c r="D4197" t="s" s="8">
        <v>1430</v>
      </c>
      <c r="E4197" t="s" s="9">
        <v>1430</v>
      </c>
      <c r="F4197" s="19">
        <v>4</v>
      </c>
      <c r="G4197" s="17">
        <v>4</v>
      </c>
      <c r="H4197" s="19">
        <v>4</v>
      </c>
      <c r="I4197" s="17">
        <v>4</v>
      </c>
      <c r="J4197" t="s" s="11">
        <v>20</v>
      </c>
      <c r="K4197" t="s" s="16">
        <f>HYPERLINK("http://csr.bu.edu/ftp/asl/asllvd/demos/verify_start_end_handshape_annotations//test_auto_move//signs_mov/896_3433_merged.mov","MOV")</f>
        <v>21</v>
      </c>
      <c r="L4197" t="s" s="16">
        <f>HYPERLINK("http://csr.bu.edu/ftp/asl/asllvd/demos/verify_start_end_handshape_annotations//test_auto_move//signs_mov_separ_signers/Tyler_896.mov","MOV")</f>
        <v>21</v>
      </c>
      <c r="M4197" t="s" s="10">
        <v>92</v>
      </c>
      <c r="N4197" s="17">
        <v>20</v>
      </c>
      <c r="O4197" s="18">
        <v>2057</v>
      </c>
      <c r="P4197" s="18">
        <v>2090</v>
      </c>
      <c r="Q4197" t="s" s="16">
        <f>HYPERLINK("http://secrets.rutgers.edu:8080/data/asl-ftp/asllvd/demos/verify_start_end_handshape_annotations//test_auto_move//signs_mov/896_3433_merged.mov","MOV")</f>
        <v>21</v>
      </c>
      <c r="R4197" t="s" s="16">
        <f>HYPERLINK("http://secrets.rutgers.edu:8080/data/asl-ftp/asllvd/demos/verify_start_end_handshape_annotations//test_auto_move//signs_mov_separ_signers/Tyler_896.mov","MOV")</f>
        <v>21</v>
      </c>
    </row>
    <row r="4198" s="2" customFormat="1" ht="13.5" customHeight="1">
      <c r="B4198" s="13"/>
      <c r="C4198" t="s" s="9">
        <v>27</v>
      </c>
      <c r="D4198" t="s" s="8">
        <v>1430</v>
      </c>
      <c r="E4198" t="s" s="9">
        <v>1430</v>
      </c>
      <c r="F4198" s="19">
        <v>4</v>
      </c>
      <c r="G4198" s="17">
        <v>4</v>
      </c>
      <c r="H4198" s="19">
        <v>4</v>
      </c>
      <c r="I4198" s="17">
        <v>4</v>
      </c>
      <c r="J4198" t="s" s="11">
        <v>20</v>
      </c>
      <c r="K4198" s="15"/>
      <c r="L4198" t="s" s="16">
        <f>HYPERLINK("http://csr.bu.edu/ftp/asl/asllvd/demos/verify_start_end_handshape_annotations//test_auto_move//signs_mov_separ_signers/Naomi_896.mov","MOV")</f>
        <v>21</v>
      </c>
      <c r="M4198" t="s" s="10">
        <v>86</v>
      </c>
      <c r="N4198" s="17">
        <v>40</v>
      </c>
      <c r="O4198" s="18">
        <v>2182</v>
      </c>
      <c r="P4198" s="18">
        <v>2200</v>
      </c>
      <c r="Q4198" s="15"/>
      <c r="R4198" t="s" s="16">
        <f>HYPERLINK("http://secrets.rutgers.edu:8080/data/asl-ftp/asllvd/demos/verify_start_end_handshape_annotations//test_auto_move//signs_mov_separ_signers/Naomi_896.mov","MOV")</f>
        <v>21</v>
      </c>
    </row>
    <row r="4199" s="2" customFormat="1" ht="13.5" customHeight="1">
      <c r="B4199" s="13"/>
      <c r="C4199" t="s" s="9">
        <v>30</v>
      </c>
      <c r="D4199" t="s" s="8">
        <v>1430</v>
      </c>
      <c r="E4199" t="s" s="9">
        <v>1430</v>
      </c>
      <c r="F4199" s="19">
        <v>4</v>
      </c>
      <c r="G4199" s="17">
        <v>4</v>
      </c>
      <c r="H4199" s="19">
        <v>4</v>
      </c>
      <c r="I4199" s="17">
        <v>4</v>
      </c>
      <c r="J4199" t="s" s="11">
        <v>20</v>
      </c>
      <c r="K4199" s="15"/>
      <c r="L4199" t="s" s="16">
        <f>HYPERLINK("http://csr.bu.edu/ftp/asl/asllvd/demos/verify_start_end_handshape_annotations//test_auto_move//signs_mov_separ_signers/Brady_896.mov","MOV")</f>
        <v>21</v>
      </c>
      <c r="M4199" t="s" s="10">
        <v>39</v>
      </c>
      <c r="N4199" s="17">
        <v>17</v>
      </c>
      <c r="O4199" s="18">
        <v>3877</v>
      </c>
      <c r="P4199" s="18">
        <v>3891</v>
      </c>
      <c r="Q4199" s="15"/>
      <c r="R4199" t="s" s="16">
        <f>HYPERLINK("http://secrets.rutgers.edu:8080/data/asl-ftp/asllvd/demos/verify_start_end_handshape_annotations//test_auto_move//signs_mov_separ_signers/Brady_896.mov","MOV")</f>
        <v>21</v>
      </c>
    </row>
    <row r="4200" s="2" customFormat="1" ht="13.5" customHeight="1">
      <c r="B4200" s="13"/>
      <c r="C4200" t="s" s="9">
        <v>30</v>
      </c>
      <c r="D4200" t="s" s="8">
        <v>1430</v>
      </c>
      <c r="E4200" t="s" s="9">
        <v>1430</v>
      </c>
      <c r="F4200" s="19">
        <v>4</v>
      </c>
      <c r="G4200" s="17">
        <v>4</v>
      </c>
      <c r="H4200" s="19">
        <v>4</v>
      </c>
      <c r="I4200" s="17">
        <v>4</v>
      </c>
      <c r="J4200" t="s" s="11">
        <v>20</v>
      </c>
      <c r="K4200" s="15"/>
      <c r="L4200" t="s" s="16">
        <f>HYPERLINK("http://csr.bu.edu/ftp/asl/asllvd/demos/verify_start_end_handshape_annotations//test_auto_move//signs_mov_separ_signers/Brady_3433.mov","MOV")</f>
        <v>21</v>
      </c>
      <c r="M4200" t="s" s="10">
        <v>60</v>
      </c>
      <c r="N4200" s="17">
        <v>48</v>
      </c>
      <c r="O4200" s="18">
        <v>1871</v>
      </c>
      <c r="P4200" s="18">
        <v>1905</v>
      </c>
      <c r="Q4200" s="15"/>
      <c r="R4200" t="s" s="16">
        <f>HYPERLINK("http://secrets.rutgers.edu:8080/data/asl-ftp/asllvd/demos/verify_start_end_handshape_annotations//test_auto_move//signs_mov_separ_signers/Brady_3433.mov","MOV")</f>
        <v>21</v>
      </c>
    </row>
    <row r="4201" s="2" customFormat="1" ht="13.5" customHeight="1">
      <c r="B4201" t="s" s="8">
        <v>1431</v>
      </c>
      <c r="C4201" t="s" s="9">
        <v>14</v>
      </c>
      <c r="D4201" t="s" s="8">
        <v>14</v>
      </c>
      <c r="E4201" t="s" s="9">
        <v>14</v>
      </c>
      <c r="F4201" t="s" s="10">
        <v>14</v>
      </c>
      <c r="G4201" t="s" s="11">
        <v>14</v>
      </c>
      <c r="H4201" t="s" s="10">
        <v>14</v>
      </c>
      <c r="I4201" t="s" s="11">
        <v>14</v>
      </c>
      <c r="J4201" t="s" s="11">
        <v>14</v>
      </c>
      <c r="K4201" t="s" s="12">
        <v>14</v>
      </c>
      <c r="L4201" t="s" s="12">
        <v>14</v>
      </c>
      <c r="M4201" t="s" s="10">
        <v>14</v>
      </c>
      <c r="N4201" t="s" s="11">
        <v>14</v>
      </c>
      <c r="O4201" t="s" s="8">
        <v>14</v>
      </c>
      <c r="P4201" t="s" s="8">
        <v>14</v>
      </c>
      <c r="Q4201" t="s" s="12">
        <v>14</v>
      </c>
      <c r="R4201" t="s" s="12">
        <v>14</v>
      </c>
    </row>
    <row r="4202" s="2" customFormat="1" ht="13.5" customHeight="1">
      <c r="B4202" s="13"/>
      <c r="C4202" t="s" s="9">
        <v>16</v>
      </c>
      <c r="D4202" t="s" s="8">
        <v>1431</v>
      </c>
      <c r="E4202" t="s" s="9">
        <v>1431</v>
      </c>
      <c r="F4202" s="19">
        <v>4</v>
      </c>
      <c r="G4202" s="17">
        <v>4</v>
      </c>
      <c r="H4202" s="19">
        <v>4</v>
      </c>
      <c r="I4202" s="17">
        <v>4</v>
      </c>
      <c r="J4202" t="s" s="11">
        <v>20</v>
      </c>
      <c r="K4202" t="s" s="16">
        <f>HYPERLINK("http://csr.bu.edu/ftp/asl/asllvd/demos/verify_start_end_handshape_annotations//test_auto_move//signs_mov/15205.mov","MOV")</f>
        <v>21</v>
      </c>
      <c r="L4202" t="s" s="16">
        <f>HYPERLINK("http://csr.bu.edu/ftp/asl/asllvd/demos/verify_start_end_handshape_annotations//test_auto_move//signs_mov_separ_signers/Liz_15205.mov","MOV")</f>
        <v>21</v>
      </c>
      <c r="M4202" t="s" s="10">
        <v>88</v>
      </c>
      <c r="N4202" s="17">
        <v>17</v>
      </c>
      <c r="O4202" s="18">
        <v>2990</v>
      </c>
      <c r="P4202" s="18">
        <v>3065</v>
      </c>
      <c r="Q4202" t="s" s="16">
        <f>HYPERLINK("http://secrets.rutgers.edu:8080/data/asl-ftp/asllvd/demos/verify_start_end_handshape_annotations//test_auto_move//signs_mov/15205.mov","MOV")</f>
        <v>21</v>
      </c>
      <c r="R4202" t="s" s="16">
        <f>HYPERLINK("http://secrets.rutgers.edu:8080/data/asl-ftp/asllvd/demos/verify_start_end_handshape_annotations//test_auto_move//signs_mov_separ_signers/Liz_15205.mov","MOV")</f>
        <v>21</v>
      </c>
    </row>
    <row r="4203" s="2" customFormat="1" ht="13.5" customHeight="1">
      <c r="B4203" s="13"/>
      <c r="C4203" t="s" s="9">
        <v>30</v>
      </c>
      <c r="D4203" t="s" s="8">
        <v>1431</v>
      </c>
      <c r="E4203" t="s" s="9">
        <v>1431</v>
      </c>
      <c r="F4203" s="19">
        <v>4</v>
      </c>
      <c r="G4203" s="17">
        <v>4</v>
      </c>
      <c r="H4203" s="19">
        <v>4</v>
      </c>
      <c r="I4203" s="17">
        <v>4</v>
      </c>
      <c r="J4203" t="s" s="11">
        <v>20</v>
      </c>
      <c r="K4203" s="15"/>
      <c r="L4203" t="s" s="16">
        <f>HYPERLINK("http://csr.bu.edu/ftp/asl/asllvd/demos/verify_start_end_handshape_annotations//test_auto_move//signs_mov_separ_signers/Brady_15205.mov","MOV")</f>
        <v>21</v>
      </c>
      <c r="M4203" t="s" s="10">
        <v>60</v>
      </c>
      <c r="N4203" s="17">
        <v>48</v>
      </c>
      <c r="O4203" s="18">
        <v>1626</v>
      </c>
      <c r="P4203" s="18">
        <v>1650</v>
      </c>
      <c r="Q4203" s="15"/>
      <c r="R4203" t="s" s="16">
        <f>HYPERLINK("http://secrets.rutgers.edu:8080/data/asl-ftp/asllvd/demos/verify_start_end_handshape_annotations//test_auto_move//signs_mov_separ_signers/Brady_15205.mov","MOV")</f>
        <v>21</v>
      </c>
    </row>
    <row r="4204" s="2" customFormat="1" ht="13.5" customHeight="1">
      <c r="B4204" t="s" s="8">
        <v>1432</v>
      </c>
      <c r="C4204" t="s" s="9">
        <v>14</v>
      </c>
      <c r="D4204" t="s" s="8">
        <v>14</v>
      </c>
      <c r="E4204" t="s" s="9">
        <v>14</v>
      </c>
      <c r="F4204" t="s" s="10">
        <v>14</v>
      </c>
      <c r="G4204" t="s" s="11">
        <v>14</v>
      </c>
      <c r="H4204" t="s" s="10">
        <v>14</v>
      </c>
      <c r="I4204" t="s" s="11">
        <v>14</v>
      </c>
      <c r="J4204" t="s" s="11">
        <v>14</v>
      </c>
      <c r="K4204" t="s" s="12">
        <v>14</v>
      </c>
      <c r="L4204" t="s" s="12">
        <v>14</v>
      </c>
      <c r="M4204" t="s" s="10">
        <v>14</v>
      </c>
      <c r="N4204" t="s" s="11">
        <v>14</v>
      </c>
      <c r="O4204" t="s" s="8">
        <v>14</v>
      </c>
      <c r="P4204" t="s" s="8">
        <v>14</v>
      </c>
      <c r="Q4204" t="s" s="12">
        <v>14</v>
      </c>
      <c r="R4204" t="s" s="12">
        <v>14</v>
      </c>
    </row>
    <row r="4205" s="2" customFormat="1" ht="13.5" customHeight="1">
      <c r="B4205" s="13"/>
      <c r="C4205" t="s" s="9">
        <v>16</v>
      </c>
      <c r="D4205" t="s" s="8">
        <v>1432</v>
      </c>
      <c r="E4205" t="s" s="9">
        <v>1433</v>
      </c>
      <c r="F4205" t="s" s="10">
        <v>68</v>
      </c>
      <c r="G4205" t="s" s="11">
        <v>68</v>
      </c>
      <c r="H4205" t="s" s="10">
        <v>68</v>
      </c>
      <c r="I4205" t="s" s="11">
        <v>68</v>
      </c>
      <c r="J4205" t="s" s="11">
        <v>20</v>
      </c>
      <c r="K4205" s="15"/>
      <c r="L4205" t="s" s="16">
        <f>HYPERLINK("http://csr.bu.edu/ftp/asl/asllvd/demos/verify_start_end_handshape_annotations//test_auto_move//signs_mov_separ_signers/Liz_899.mov","MOV")</f>
        <v>21</v>
      </c>
      <c r="M4205" t="s" s="10">
        <v>84</v>
      </c>
      <c r="N4205" s="17">
        <v>40</v>
      </c>
      <c r="O4205" s="18">
        <v>1805</v>
      </c>
      <c r="P4205" s="18">
        <v>1845</v>
      </c>
      <c r="Q4205" s="15"/>
      <c r="R4205" t="s" s="16">
        <f>HYPERLINK("http://secrets.rutgers.edu:8080/data/asl-ftp/asllvd/demos/verify_start_end_handshape_annotations//test_auto_move//signs_mov_separ_signers/Liz_899.mov","MOV")</f>
        <v>21</v>
      </c>
    </row>
    <row r="4206" s="2" customFormat="1" ht="13.5" customHeight="1">
      <c r="B4206" s="13"/>
      <c r="C4206" t="s" s="9">
        <v>16</v>
      </c>
      <c r="D4206" t="s" s="8">
        <v>1432</v>
      </c>
      <c r="E4206" t="s" s="9">
        <v>1432</v>
      </c>
      <c r="F4206" t="s" s="10">
        <v>68</v>
      </c>
      <c r="G4206" t="s" s="11">
        <v>68</v>
      </c>
      <c r="H4206" t="s" s="10">
        <v>68</v>
      </c>
      <c r="I4206" t="s" s="11">
        <v>68</v>
      </c>
      <c r="J4206" t="s" s="11">
        <v>20</v>
      </c>
      <c r="K4206" s="15"/>
      <c r="L4206" t="s" s="16">
        <f>HYPERLINK("http://csr.bu.edu/ftp/asl/asllvd/demos/verify_start_end_handshape_annotations//test_auto_move//signs_mov_separ_signers/Liz_3522.mov","MOV")</f>
        <v>21</v>
      </c>
      <c r="M4206" t="s" s="10">
        <v>84</v>
      </c>
      <c r="N4206" s="17">
        <v>40</v>
      </c>
      <c r="O4206" s="18">
        <v>2025</v>
      </c>
      <c r="P4206" s="18">
        <v>2052</v>
      </c>
      <c r="Q4206" s="15"/>
      <c r="R4206" t="s" s="16">
        <f>HYPERLINK("http://secrets.rutgers.edu:8080/data/asl-ftp/asllvd/demos/verify_start_end_handshape_annotations//test_auto_move//signs_mov_separ_signers/Liz_3522.mov","MOV")</f>
        <v>21</v>
      </c>
    </row>
    <row r="4207" s="2" customFormat="1" ht="13.5" customHeight="1">
      <c r="B4207" s="13"/>
      <c r="C4207" t="s" s="9">
        <v>16</v>
      </c>
      <c r="D4207" t="s" s="8">
        <v>1432</v>
      </c>
      <c r="E4207" t="s" s="9">
        <v>1432</v>
      </c>
      <c r="F4207" t="s" s="10">
        <v>68</v>
      </c>
      <c r="G4207" t="s" s="11">
        <v>68</v>
      </c>
      <c r="H4207" t="s" s="10">
        <v>68</v>
      </c>
      <c r="I4207" t="s" s="11">
        <v>68</v>
      </c>
      <c r="J4207" t="s" s="11">
        <v>20</v>
      </c>
      <c r="K4207" t="s" s="16">
        <f>HYPERLINK("http://csr.bu.edu/ftp/asl/asllvd/demos/verify_start_end_handshape_annotations//test_auto_move//signs_mov/899_3522_5323_merged.mov","MOV")</f>
        <v>21</v>
      </c>
      <c r="L4207" t="s" s="16">
        <f>HYPERLINK("http://csr.bu.edu/ftp/asl/asllvd/demos/verify_start_end_handshape_annotations//test_auto_move//signs_mov_separ_signers/Liz_5323.mov","MOV")</f>
        <v>21</v>
      </c>
      <c r="M4207" t="s" s="10">
        <v>36</v>
      </c>
      <c r="N4207" s="17">
        <v>11</v>
      </c>
      <c r="O4207" s="18">
        <v>390</v>
      </c>
      <c r="P4207" s="18">
        <v>460</v>
      </c>
      <c r="Q4207" t="s" s="16">
        <f>HYPERLINK("http://secrets.rutgers.edu:8080/data/asl-ftp/asllvd/demos/verify_start_end_handshape_annotations//test_auto_move//signs_mov/899_3522_5323_merged.mov","MOV")</f>
        <v>21</v>
      </c>
      <c r="R4207" t="s" s="16">
        <f>HYPERLINK("http://secrets.rutgers.edu:8080/data/asl-ftp/asllvd/demos/verify_start_end_handshape_annotations//test_auto_move//signs_mov_separ_signers/Liz_5323.mov","MOV")</f>
        <v>21</v>
      </c>
    </row>
    <row r="4208" s="2" customFormat="1" ht="13.5" customHeight="1">
      <c r="B4208" s="13"/>
      <c r="C4208" t="s" s="9">
        <v>23</v>
      </c>
      <c r="D4208" t="s" s="8">
        <v>1432</v>
      </c>
      <c r="E4208" t="s" s="9">
        <v>1432</v>
      </c>
      <c r="F4208" t="s" s="10">
        <v>68</v>
      </c>
      <c r="G4208" t="s" s="11">
        <v>68</v>
      </c>
      <c r="H4208" t="s" s="10">
        <v>68</v>
      </c>
      <c r="I4208" t="s" s="11">
        <v>68</v>
      </c>
      <c r="J4208" t="s" s="11">
        <v>20</v>
      </c>
      <c r="K4208" s="15"/>
      <c r="L4208" t="s" s="16">
        <f>HYPERLINK("http://csr.bu.edu/ftp/asl/asllvd/demos/verify_start_end_handshape_annotations//test_auto_move//signs_mov_separ_signers/Tyler_899.mov","MOV")</f>
        <v>21</v>
      </c>
      <c r="M4208" t="s" s="10">
        <v>92</v>
      </c>
      <c r="N4208" s="17">
        <v>20</v>
      </c>
      <c r="O4208" s="18">
        <v>3275</v>
      </c>
      <c r="P4208" s="18">
        <v>3300</v>
      </c>
      <c r="Q4208" s="15"/>
      <c r="R4208" t="s" s="16">
        <f>HYPERLINK("http://secrets.rutgers.edu:8080/data/asl-ftp/asllvd/demos/verify_start_end_handshape_annotations//test_auto_move//signs_mov_separ_signers/Tyler_899.mov","MOV")</f>
        <v>21</v>
      </c>
    </row>
    <row r="4209" s="2" customFormat="1" ht="13.5" customHeight="1">
      <c r="B4209" s="13"/>
      <c r="C4209" t="s" s="9">
        <v>27</v>
      </c>
      <c r="D4209" t="s" s="8">
        <v>1432</v>
      </c>
      <c r="E4209" t="s" s="9">
        <v>1433</v>
      </c>
      <c r="F4209" t="s" s="10">
        <v>68</v>
      </c>
      <c r="G4209" t="s" s="11">
        <v>68</v>
      </c>
      <c r="H4209" t="s" s="10">
        <v>68</v>
      </c>
      <c r="I4209" t="s" s="11">
        <v>68</v>
      </c>
      <c r="J4209" t="s" s="11">
        <v>20</v>
      </c>
      <c r="K4209" s="15"/>
      <c r="L4209" t="s" s="16">
        <f>HYPERLINK("http://csr.bu.edu/ftp/asl/asllvd/demos/verify_start_end_handshape_annotations//test_auto_move//signs_mov_separ_signers/Naomi_899.mov","MOV")</f>
        <v>21</v>
      </c>
      <c r="M4209" t="s" s="10">
        <v>86</v>
      </c>
      <c r="N4209" s="17">
        <v>40</v>
      </c>
      <c r="O4209" s="18">
        <v>2690</v>
      </c>
      <c r="P4209" s="18">
        <v>2725</v>
      </c>
      <c r="Q4209" s="15"/>
      <c r="R4209" t="s" s="16">
        <f>HYPERLINK("http://secrets.rutgers.edu:8080/data/asl-ftp/asllvd/demos/verify_start_end_handshape_annotations//test_auto_move//signs_mov_separ_signers/Naomi_899.mov","MOV")</f>
        <v>21</v>
      </c>
    </row>
    <row r="4210" s="2" customFormat="1" ht="13.5" customHeight="1">
      <c r="B4210" s="13"/>
      <c r="C4210" t="s" s="9">
        <v>27</v>
      </c>
      <c r="D4210" t="s" s="8">
        <v>1432</v>
      </c>
      <c r="E4210" t="s" s="9">
        <v>1432</v>
      </c>
      <c r="F4210" t="s" s="10">
        <v>68</v>
      </c>
      <c r="G4210" t="s" s="11">
        <v>68</v>
      </c>
      <c r="H4210" t="s" s="10">
        <v>68</v>
      </c>
      <c r="I4210" t="s" s="11">
        <v>68</v>
      </c>
      <c r="J4210" t="s" s="11">
        <v>20</v>
      </c>
      <c r="K4210" s="15"/>
      <c r="L4210" t="s" s="16">
        <f>HYPERLINK("http://csr.bu.edu/ftp/asl/asllvd/demos/verify_start_end_handshape_annotations//test_auto_move//signs_mov_separ_signers/Naomi_3522.mov","MOV")</f>
        <v>21</v>
      </c>
      <c r="M4210" t="s" s="10">
        <v>86</v>
      </c>
      <c r="N4210" s="17">
        <v>40</v>
      </c>
      <c r="O4210" s="18">
        <v>3037</v>
      </c>
      <c r="P4210" s="18">
        <v>3057</v>
      </c>
      <c r="Q4210" s="15"/>
      <c r="R4210" t="s" s="16">
        <f>HYPERLINK("http://secrets.rutgers.edu:8080/data/asl-ftp/asllvd/demos/verify_start_end_handshape_annotations//test_auto_move//signs_mov_separ_signers/Naomi_3522.mov","MOV")</f>
        <v>21</v>
      </c>
    </row>
    <row r="4211" s="2" customFormat="1" ht="13.5" customHeight="1">
      <c r="B4211" t="s" s="8">
        <v>52</v>
      </c>
      <c r="C4211" t="s" s="9">
        <v>53</v>
      </c>
      <c r="D4211" t="s" s="8">
        <v>53</v>
      </c>
      <c r="E4211" t="s" s="9">
        <v>53</v>
      </c>
      <c r="F4211" t="s" s="10">
        <v>53</v>
      </c>
      <c r="G4211" t="s" s="11">
        <v>53</v>
      </c>
      <c r="H4211" t="s" s="10">
        <v>53</v>
      </c>
      <c r="I4211" t="s" s="11">
        <v>53</v>
      </c>
      <c r="J4211" t="s" s="11">
        <v>53</v>
      </c>
      <c r="K4211" t="s" s="12">
        <v>53</v>
      </c>
      <c r="L4211" t="s" s="12">
        <v>53</v>
      </c>
      <c r="M4211" t="s" s="10">
        <v>53</v>
      </c>
      <c r="N4211" t="s" s="11">
        <v>53</v>
      </c>
      <c r="O4211" t="s" s="8">
        <v>53</v>
      </c>
      <c r="P4211" t="s" s="8">
        <v>53</v>
      </c>
      <c r="Q4211" t="s" s="12">
        <v>53</v>
      </c>
      <c r="R4211" t="s" s="12">
        <v>53</v>
      </c>
    </row>
    <row r="4212" s="2" customFormat="1" ht="13.5" customHeight="1">
      <c r="B4212" s="13"/>
      <c r="C4212" t="s" s="9">
        <v>30</v>
      </c>
      <c r="D4212" t="s" s="8">
        <v>1432</v>
      </c>
      <c r="E4212" t="s" s="9">
        <v>1434</v>
      </c>
      <c r="F4212" t="s" s="10">
        <v>68</v>
      </c>
      <c r="G4212" t="s" s="11">
        <v>68</v>
      </c>
      <c r="H4212" t="s" s="10">
        <v>68</v>
      </c>
      <c r="I4212" t="s" s="11">
        <v>68</v>
      </c>
      <c r="J4212" t="s" s="11">
        <v>20</v>
      </c>
      <c r="K4212" t="s" s="16">
        <f>HYPERLINK("http://csr.bu.edu/ftp/asl/asllvd/demos/verify_start_end_handshape_annotations//test_auto_move//signs_mov/15190_15202_merged.mov","MOV")</f>
        <v>21</v>
      </c>
      <c r="L4212" t="s" s="16">
        <f>HYPERLINK("http://csr.bu.edu/ftp/asl/asllvd/demos/verify_start_end_handshape_annotations//test_auto_move//signs_mov_separ_signers/Brady_15190.mov","MOV")</f>
        <v>21</v>
      </c>
      <c r="M4212" t="s" s="10">
        <v>39</v>
      </c>
      <c r="N4212" s="17">
        <v>17</v>
      </c>
      <c r="O4212" s="18">
        <v>7421</v>
      </c>
      <c r="P4212" s="18">
        <v>7447</v>
      </c>
      <c r="Q4212" t="s" s="16">
        <f>HYPERLINK("http://secrets.rutgers.edu:8080/data/asl-ftp/asllvd/demos/verify_start_end_handshape_annotations//test_auto_move//signs_mov/15190_15202_merged.mov","MOV")</f>
        <v>21</v>
      </c>
      <c r="R4212" t="s" s="16">
        <f>HYPERLINK("http://secrets.rutgers.edu:8080/data/asl-ftp/asllvd/demos/verify_start_end_handshape_annotations//test_auto_move//signs_mov_separ_signers/Brady_15190.mov","MOV")</f>
        <v>21</v>
      </c>
    </row>
    <row r="4213" s="2" customFormat="1" ht="13.5" customHeight="1">
      <c r="B4213" s="13"/>
      <c r="C4213" t="s" s="9">
        <v>30</v>
      </c>
      <c r="D4213" t="s" s="8">
        <v>1432</v>
      </c>
      <c r="E4213" t="s" s="9">
        <v>1434</v>
      </c>
      <c r="F4213" t="s" s="10">
        <v>68</v>
      </c>
      <c r="G4213" t="s" s="11">
        <v>68</v>
      </c>
      <c r="H4213" t="s" s="10">
        <v>68</v>
      </c>
      <c r="I4213" t="s" s="11">
        <v>68</v>
      </c>
      <c r="J4213" t="s" s="11">
        <v>20</v>
      </c>
      <c r="K4213" s="15"/>
      <c r="L4213" t="s" s="16">
        <f>HYPERLINK("http://csr.bu.edu/ftp/asl/asllvd/demos/verify_start_end_handshape_annotations//test_auto_move//signs_mov_separ_signers/Brady_15202.mov","MOV")</f>
        <v>21</v>
      </c>
      <c r="M4213" t="s" s="10">
        <v>39</v>
      </c>
      <c r="N4213" s="17">
        <v>17</v>
      </c>
      <c r="O4213" s="18">
        <v>7724</v>
      </c>
      <c r="P4213" s="18">
        <v>7746</v>
      </c>
      <c r="Q4213" s="15"/>
      <c r="R4213" t="s" s="16">
        <f>HYPERLINK("http://secrets.rutgers.edu:8080/data/asl-ftp/asllvd/demos/verify_start_end_handshape_annotations//test_auto_move//signs_mov_separ_signers/Brady_15202.mov","MOV")</f>
        <v>21</v>
      </c>
    </row>
    <row r="4214" s="2" customFormat="1" ht="13.5" customHeight="1">
      <c r="B4214" t="s" s="8">
        <v>1435</v>
      </c>
      <c r="C4214" t="s" s="9">
        <v>14</v>
      </c>
      <c r="D4214" t="s" s="8">
        <v>14</v>
      </c>
      <c r="E4214" t="s" s="9">
        <v>14</v>
      </c>
      <c r="F4214" t="s" s="10">
        <v>14</v>
      </c>
      <c r="G4214" t="s" s="11">
        <v>14</v>
      </c>
      <c r="H4214" t="s" s="10">
        <v>14</v>
      </c>
      <c r="I4214" t="s" s="11">
        <v>14</v>
      </c>
      <c r="J4214" t="s" s="11">
        <v>14</v>
      </c>
      <c r="K4214" t="s" s="12">
        <v>14</v>
      </c>
      <c r="L4214" t="s" s="12">
        <v>14</v>
      </c>
      <c r="M4214" t="s" s="10">
        <v>14</v>
      </c>
      <c r="N4214" t="s" s="11">
        <v>14</v>
      </c>
      <c r="O4214" t="s" s="8">
        <v>14</v>
      </c>
      <c r="P4214" t="s" s="8">
        <v>14</v>
      </c>
      <c r="Q4214" t="s" s="12">
        <v>14</v>
      </c>
      <c r="R4214" t="s" s="12">
        <v>14</v>
      </c>
    </row>
    <row r="4215" s="2" customFormat="1" ht="13.5" customHeight="1">
      <c r="B4215" s="13"/>
      <c r="C4215" t="s" s="9">
        <v>16</v>
      </c>
      <c r="D4215" t="s" s="8">
        <v>1435</v>
      </c>
      <c r="E4215" t="s" s="9">
        <v>1436</v>
      </c>
      <c r="F4215" t="s" s="10">
        <v>68</v>
      </c>
      <c r="G4215" t="s" s="11">
        <v>68</v>
      </c>
      <c r="H4215" t="s" s="10">
        <v>68</v>
      </c>
      <c r="I4215" t="s" s="11">
        <v>68</v>
      </c>
      <c r="J4215" t="s" s="11">
        <v>20</v>
      </c>
      <c r="K4215" s="15"/>
      <c r="L4215" t="s" s="16">
        <f>HYPERLINK("http://csr.bu.edu/ftp/asl/asllvd/demos/verify_start_end_handshape_annotations//test_auto_move//signs_mov_separ_signers/Liz_15219.mov","MOV")</f>
        <v>21</v>
      </c>
      <c r="M4215" t="s" s="10">
        <v>22</v>
      </c>
      <c r="N4215" s="17">
        <v>52</v>
      </c>
      <c r="O4215" s="18">
        <v>1430</v>
      </c>
      <c r="P4215" s="18">
        <v>1495</v>
      </c>
      <c r="Q4215" s="15"/>
      <c r="R4215" t="s" s="16">
        <f>HYPERLINK("http://secrets.rutgers.edu:8080/data/asl-ftp/asllvd/demos/verify_start_end_handshape_annotations//test_auto_move//signs_mov_separ_signers/Liz_15219.mov","MOV")</f>
        <v>21</v>
      </c>
    </row>
    <row r="4216" s="2" customFormat="1" ht="13.5" customHeight="1">
      <c r="B4216" s="13"/>
      <c r="C4216" t="s" s="9">
        <v>23</v>
      </c>
      <c r="D4216" t="s" s="8">
        <v>1435</v>
      </c>
      <c r="E4216" t="s" s="9">
        <v>1437</v>
      </c>
      <c r="F4216" t="s" s="10">
        <v>68</v>
      </c>
      <c r="G4216" t="s" s="11">
        <v>68</v>
      </c>
      <c r="H4216" t="s" s="10">
        <v>68</v>
      </c>
      <c r="I4216" t="s" s="11">
        <v>68</v>
      </c>
      <c r="J4216" t="s" s="11">
        <v>20</v>
      </c>
      <c r="K4216" s="15"/>
      <c r="L4216" t="s" s="16">
        <f>HYPERLINK("http://csr.bu.edu/ftp/asl/asllvd/demos/verify_start_end_handshape_annotations//test_auto_move//signs_mov_separ_signers/Tyler_15219.mov","MOV")</f>
        <v>21</v>
      </c>
      <c r="M4216" t="s" s="10">
        <v>26</v>
      </c>
      <c r="N4216" s="17">
        <v>32</v>
      </c>
      <c r="O4216" s="18">
        <v>2356</v>
      </c>
      <c r="P4216" s="18">
        <v>2416</v>
      </c>
      <c r="Q4216" s="15"/>
      <c r="R4216" t="s" s="16">
        <f>HYPERLINK("http://secrets.rutgers.edu:8080/data/asl-ftp/asllvd/demos/verify_start_end_handshape_annotations//test_auto_move//signs_mov_separ_signers/Tyler_15219.mov","MOV")</f>
        <v>21</v>
      </c>
    </row>
    <row r="4217" s="2" customFormat="1" ht="13.5" customHeight="1">
      <c r="B4217" s="13"/>
      <c r="C4217" t="s" s="9">
        <v>27</v>
      </c>
      <c r="D4217" t="s" s="8">
        <v>1435</v>
      </c>
      <c r="E4217" t="s" s="9">
        <v>1436</v>
      </c>
      <c r="F4217" t="s" s="10">
        <v>68</v>
      </c>
      <c r="G4217" t="s" s="11">
        <v>68</v>
      </c>
      <c r="H4217" t="s" s="10">
        <v>68</v>
      </c>
      <c r="I4217" t="s" s="11">
        <v>68</v>
      </c>
      <c r="J4217" t="s" s="11">
        <v>20</v>
      </c>
      <c r="K4217" t="s" s="16">
        <f>HYPERLINK("http://csr.bu.edu/ftp/asl/asllvd/demos/verify_start_end_handshape_annotations//test_auto_move//signs_mov/15219_16348_16349_merged.mov","MOV")</f>
        <v>21</v>
      </c>
      <c r="L4217" t="s" s="16">
        <f>HYPERLINK("http://csr.bu.edu/ftp/asl/asllvd/demos/verify_start_end_handshape_annotations//test_auto_move//signs_mov_separ_signers/Naomi_15219.mov","MOV")</f>
        <v>21</v>
      </c>
      <c r="M4217" t="s" s="10">
        <v>29</v>
      </c>
      <c r="N4217" s="17">
        <v>33</v>
      </c>
      <c r="O4217" s="18">
        <v>3557</v>
      </c>
      <c r="P4217" s="18">
        <v>3607</v>
      </c>
      <c r="Q4217" t="s" s="16">
        <f>HYPERLINK("http://secrets.rutgers.edu:8080/data/asl-ftp/asllvd/demos/verify_start_end_handshape_annotations//test_auto_move//signs_mov/15219_16348_16349_merged.mov","MOV")</f>
        <v>21</v>
      </c>
      <c r="R4217" t="s" s="16">
        <f>HYPERLINK("http://secrets.rutgers.edu:8080/data/asl-ftp/asllvd/demos/verify_start_end_handshape_annotations//test_auto_move//signs_mov_separ_signers/Naomi_15219.mov","MOV")</f>
        <v>21</v>
      </c>
    </row>
    <row r="4218" s="2" customFormat="1" ht="13.5" customHeight="1">
      <c r="B4218" s="13"/>
      <c r="C4218" t="s" s="9">
        <v>30</v>
      </c>
      <c r="D4218" t="s" s="8">
        <v>1435</v>
      </c>
      <c r="E4218" t="s" s="9">
        <v>1436</v>
      </c>
      <c r="F4218" t="s" s="10">
        <v>68</v>
      </c>
      <c r="G4218" t="s" s="11">
        <v>68</v>
      </c>
      <c r="H4218" t="s" s="10">
        <v>68</v>
      </c>
      <c r="I4218" t="s" s="11">
        <v>68</v>
      </c>
      <c r="J4218" t="s" s="11">
        <v>20</v>
      </c>
      <c r="K4218" s="15"/>
      <c r="L4218" t="s" s="16">
        <f>HYPERLINK("http://csr.bu.edu/ftp/asl/asllvd/demos/verify_start_end_handshape_annotations//test_auto_move//signs_mov_separ_signers/Brady_15219.mov","MOV")</f>
        <v>21</v>
      </c>
      <c r="M4218" t="s" s="10">
        <v>31</v>
      </c>
      <c r="N4218" s="17">
        <v>22</v>
      </c>
      <c r="O4218" s="18">
        <v>27407</v>
      </c>
      <c r="P4218" s="18">
        <v>27451</v>
      </c>
      <c r="Q4218" s="15"/>
      <c r="R4218" t="s" s="16">
        <f>HYPERLINK("http://secrets.rutgers.edu:8080/data/asl-ftp/asllvd/demos/verify_start_end_handshape_annotations//test_auto_move//signs_mov_separ_signers/Brady_15219.mov","MOV")</f>
        <v>21</v>
      </c>
    </row>
    <row r="4219" s="2" customFormat="1" ht="13.5" customHeight="1">
      <c r="B4219" s="13"/>
      <c r="C4219" t="s" s="9">
        <v>30</v>
      </c>
      <c r="D4219" t="s" s="8">
        <v>1435</v>
      </c>
      <c r="E4219" t="s" s="9">
        <v>1436</v>
      </c>
      <c r="F4219" t="s" s="10">
        <v>68</v>
      </c>
      <c r="G4219" t="s" s="11">
        <v>68</v>
      </c>
      <c r="H4219" t="s" s="10">
        <v>68</v>
      </c>
      <c r="I4219" t="s" s="11">
        <v>68</v>
      </c>
      <c r="J4219" t="s" s="11">
        <v>20</v>
      </c>
      <c r="K4219" s="15"/>
      <c r="L4219" t="s" s="16">
        <f>HYPERLINK("http://csr.bu.edu/ftp/asl/asllvd/demos/verify_start_end_handshape_annotations//test_auto_move//signs_mov_separ_signers/Brady_16348.mov","MOV")</f>
        <v>21</v>
      </c>
      <c r="M4219" t="s" s="10">
        <v>31</v>
      </c>
      <c r="N4219" s="17">
        <v>22</v>
      </c>
      <c r="O4219" s="18">
        <v>27711</v>
      </c>
      <c r="P4219" s="18">
        <v>27751</v>
      </c>
      <c r="Q4219" s="15"/>
      <c r="R4219" t="s" s="16">
        <f>HYPERLINK("http://secrets.rutgers.edu:8080/data/asl-ftp/asllvd/demos/verify_start_end_handshape_annotations//test_auto_move//signs_mov_separ_signers/Brady_16348.mov","MOV")</f>
        <v>21</v>
      </c>
    </row>
    <row r="4220" s="2" customFormat="1" ht="13.5" customHeight="1">
      <c r="B4220" s="13"/>
      <c r="C4220" t="s" s="9">
        <v>30</v>
      </c>
      <c r="D4220" t="s" s="8">
        <v>1435</v>
      </c>
      <c r="E4220" t="s" s="9">
        <v>1436</v>
      </c>
      <c r="F4220" t="s" s="10">
        <v>68</v>
      </c>
      <c r="G4220" t="s" s="11">
        <v>68</v>
      </c>
      <c r="H4220" t="s" s="10">
        <v>68</v>
      </c>
      <c r="I4220" t="s" s="11">
        <v>68</v>
      </c>
      <c r="J4220" t="s" s="11">
        <v>20</v>
      </c>
      <c r="K4220" s="15"/>
      <c r="L4220" t="s" s="16">
        <f>HYPERLINK("http://csr.bu.edu/ftp/asl/asllvd/demos/verify_start_end_handshape_annotations//test_auto_move//signs_mov_separ_signers/Brady_16349.mov","MOV")</f>
        <v>21</v>
      </c>
      <c r="M4220" t="s" s="10">
        <v>39</v>
      </c>
      <c r="N4220" s="17">
        <v>7</v>
      </c>
      <c r="O4220" s="18">
        <v>4195</v>
      </c>
      <c r="P4220" s="18">
        <v>4227</v>
      </c>
      <c r="Q4220" s="15"/>
      <c r="R4220" t="s" s="16">
        <f>HYPERLINK("http://secrets.rutgers.edu:8080/data/asl-ftp/asllvd/demos/verify_start_end_handshape_annotations//test_auto_move//signs_mov_separ_signers/Brady_16349.mov","MOV")</f>
        <v>21</v>
      </c>
    </row>
    <row r="4221" s="2" customFormat="1" ht="13.5" customHeight="1">
      <c r="B4221" t="s" s="8">
        <v>52</v>
      </c>
      <c r="C4221" t="s" s="9">
        <v>53</v>
      </c>
      <c r="D4221" t="s" s="8">
        <v>53</v>
      </c>
      <c r="E4221" t="s" s="9">
        <v>53</v>
      </c>
      <c r="F4221" t="s" s="10">
        <v>53</v>
      </c>
      <c r="G4221" t="s" s="11">
        <v>53</v>
      </c>
      <c r="H4221" t="s" s="10">
        <v>53</v>
      </c>
      <c r="I4221" t="s" s="11">
        <v>53</v>
      </c>
      <c r="J4221" t="s" s="11">
        <v>53</v>
      </c>
      <c r="K4221" t="s" s="12">
        <v>53</v>
      </c>
      <c r="L4221" t="s" s="12">
        <v>53</v>
      </c>
      <c r="M4221" t="s" s="10">
        <v>53</v>
      </c>
      <c r="N4221" t="s" s="11">
        <v>53</v>
      </c>
      <c r="O4221" t="s" s="8">
        <v>53</v>
      </c>
      <c r="P4221" t="s" s="8">
        <v>53</v>
      </c>
      <c r="Q4221" t="s" s="12">
        <v>53</v>
      </c>
      <c r="R4221" t="s" s="12">
        <v>53</v>
      </c>
    </row>
    <row r="4222" s="2" customFormat="1" ht="13.5" customHeight="1">
      <c r="B4222" s="13"/>
      <c r="C4222" t="s" s="9">
        <v>16</v>
      </c>
      <c r="D4222" t="s" s="8">
        <v>1435</v>
      </c>
      <c r="E4222" t="s" s="9">
        <v>1438</v>
      </c>
      <c r="F4222" t="s" s="10">
        <v>68</v>
      </c>
      <c r="G4222" t="s" s="11">
        <v>68</v>
      </c>
      <c r="H4222" t="s" s="10">
        <v>68</v>
      </c>
      <c r="I4222" t="s" s="11">
        <v>68</v>
      </c>
      <c r="J4222" t="s" s="11">
        <v>20</v>
      </c>
      <c r="K4222" t="s" s="16">
        <f>HYPERLINK("http://csr.bu.edu/ftp/asl/asllvd/demos/verify_start_end_handshape_annotations//test_auto_move//signs_mov/16404.mov","MOV")</f>
        <v>21</v>
      </c>
      <c r="L4222" t="s" s="16">
        <f>HYPERLINK("http://csr.bu.edu/ftp/asl/asllvd/demos/verify_start_end_handshape_annotations//test_auto_move//signs_mov_separ_signers/Liz_16404.mov","MOV")</f>
        <v>21</v>
      </c>
      <c r="M4222" t="s" s="10">
        <v>22</v>
      </c>
      <c r="N4222" s="17">
        <v>52</v>
      </c>
      <c r="O4222" s="18">
        <v>1230</v>
      </c>
      <c r="P4222" s="18">
        <v>1280</v>
      </c>
      <c r="Q4222" t="s" s="16">
        <f>HYPERLINK("http://secrets.rutgers.edu:8080/data/asl-ftp/asllvd/demos/verify_start_end_handshape_annotations//test_auto_move//signs_mov/16404.mov","MOV")</f>
        <v>21</v>
      </c>
      <c r="R4222" t="s" s="16">
        <f>HYPERLINK("http://secrets.rutgers.edu:8080/data/asl-ftp/asllvd/demos/verify_start_end_handshape_annotations//test_auto_move//signs_mov_separ_signers/Liz_16404.mov","MOV")</f>
        <v>21</v>
      </c>
    </row>
    <row r="4223" s="2" customFormat="1" ht="13.5" customHeight="1">
      <c r="B4223" s="13"/>
      <c r="C4223" t="s" s="9">
        <v>27</v>
      </c>
      <c r="D4223" t="s" s="8">
        <v>1435</v>
      </c>
      <c r="E4223" t="s" s="9">
        <v>1438</v>
      </c>
      <c r="F4223" t="s" s="10">
        <v>68</v>
      </c>
      <c r="G4223" t="s" s="11">
        <v>68</v>
      </c>
      <c r="H4223" t="s" s="10">
        <v>68</v>
      </c>
      <c r="I4223" t="s" s="11">
        <v>68</v>
      </c>
      <c r="J4223" t="s" s="11">
        <v>20</v>
      </c>
      <c r="K4223" s="15"/>
      <c r="L4223" t="s" s="16">
        <f>HYPERLINK("http://csr.bu.edu/ftp/asl/asllvd/demos/verify_start_end_handshape_annotations//test_auto_move//signs_mov_separ_signers/Naomi_16404.mov","MOV")</f>
        <v>21</v>
      </c>
      <c r="M4223" t="s" s="10">
        <v>29</v>
      </c>
      <c r="N4223" s="17">
        <v>33</v>
      </c>
      <c r="O4223" s="18">
        <v>3268</v>
      </c>
      <c r="P4223" s="18">
        <v>3317</v>
      </c>
      <c r="Q4223" s="15"/>
      <c r="R4223" t="s" s="16">
        <f>HYPERLINK("http://secrets.rutgers.edu:8080/data/asl-ftp/asllvd/demos/verify_start_end_handshape_annotations//test_auto_move//signs_mov_separ_signers/Naomi_16404.mov","MOV")</f>
        <v>21</v>
      </c>
    </row>
    <row r="4224" s="2" customFormat="1" ht="13.5" customHeight="1">
      <c r="B4224" t="s" s="8">
        <v>1439</v>
      </c>
      <c r="C4224" t="s" s="9">
        <v>14</v>
      </c>
      <c r="D4224" t="s" s="8">
        <v>14</v>
      </c>
      <c r="E4224" t="s" s="9">
        <v>14</v>
      </c>
      <c r="F4224" t="s" s="10">
        <v>14</v>
      </c>
      <c r="G4224" t="s" s="11">
        <v>14</v>
      </c>
      <c r="H4224" t="s" s="10">
        <v>14</v>
      </c>
      <c r="I4224" t="s" s="11">
        <v>14</v>
      </c>
      <c r="J4224" t="s" s="11">
        <v>14</v>
      </c>
      <c r="K4224" t="s" s="12">
        <v>14</v>
      </c>
      <c r="L4224" t="s" s="12">
        <v>14</v>
      </c>
      <c r="M4224" t="s" s="10">
        <v>14</v>
      </c>
      <c r="N4224" t="s" s="11">
        <v>14</v>
      </c>
      <c r="O4224" t="s" s="8">
        <v>14</v>
      </c>
      <c r="P4224" t="s" s="8">
        <v>14</v>
      </c>
      <c r="Q4224" t="s" s="12">
        <v>14</v>
      </c>
      <c r="R4224" t="s" s="12">
        <v>14</v>
      </c>
    </row>
    <row r="4225" s="2" customFormat="1" ht="13.5" customHeight="1">
      <c r="B4225" s="13"/>
      <c r="C4225" t="s" s="9">
        <v>23</v>
      </c>
      <c r="D4225" t="s" s="8">
        <v>1439</v>
      </c>
      <c r="E4225" t="s" s="9">
        <v>1440</v>
      </c>
      <c r="F4225" t="s" s="10">
        <v>73</v>
      </c>
      <c r="G4225" t="s" s="11">
        <v>244</v>
      </c>
      <c r="H4225" t="s" s="10">
        <v>73</v>
      </c>
      <c r="I4225" t="s" s="11">
        <v>244</v>
      </c>
      <c r="J4225" t="s" s="11">
        <v>20</v>
      </c>
      <c r="K4225" t="s" s="16">
        <f>HYPERLINK("http://csr.bu.edu/ftp/asl/asllvd/demos/verify_start_end_handshape_annotations//test_auto_move//signs_mov/901_3632_merged.mov","MOV")</f>
        <v>21</v>
      </c>
      <c r="L4225" t="s" s="16">
        <f>HYPERLINK("http://csr.bu.edu/ftp/asl/asllvd/demos/verify_start_end_handshape_annotations//test_auto_move//signs_mov_separ_signers/Tyler_901.mov","MOV")</f>
        <v>21</v>
      </c>
      <c r="M4225" t="s" s="10">
        <v>92</v>
      </c>
      <c r="N4225" s="17">
        <v>21</v>
      </c>
      <c r="O4225" s="18">
        <v>350</v>
      </c>
      <c r="P4225" s="18">
        <v>400</v>
      </c>
      <c r="Q4225" t="s" s="16">
        <f>HYPERLINK("http://secrets.rutgers.edu:8080/data/asl-ftp/asllvd/demos/verify_start_end_handshape_annotations//test_auto_move//signs_mov/901_3632_merged.mov","MOV")</f>
        <v>21</v>
      </c>
      <c r="R4225" t="s" s="16">
        <f>HYPERLINK("http://secrets.rutgers.edu:8080/data/asl-ftp/asllvd/demos/verify_start_end_handshape_annotations//test_auto_move//signs_mov_separ_signers/Tyler_901.mov","MOV")</f>
        <v>21</v>
      </c>
    </row>
    <row r="4226" s="2" customFormat="1" ht="13.5" customHeight="1">
      <c r="B4226" s="13"/>
      <c r="C4226" t="s" s="9">
        <v>23</v>
      </c>
      <c r="D4226" t="s" s="8">
        <v>1439</v>
      </c>
      <c r="E4226" t="s" s="9">
        <v>1439</v>
      </c>
      <c r="F4226" t="s" s="10">
        <v>73</v>
      </c>
      <c r="G4226" t="s" s="11">
        <v>244</v>
      </c>
      <c r="H4226" t="s" s="10">
        <v>73</v>
      </c>
      <c r="I4226" t="s" s="11">
        <v>244</v>
      </c>
      <c r="J4226" t="s" s="11">
        <v>20</v>
      </c>
      <c r="K4226" s="15"/>
      <c r="L4226" t="s" s="16">
        <f>HYPERLINK("http://csr.bu.edu/ftp/asl/asllvd/demos/verify_start_end_handshape_annotations//test_auto_move//signs_mov_separ_signers/Tyler_3632.mov","MOV")</f>
        <v>21</v>
      </c>
      <c r="M4226" t="s" s="10">
        <v>92</v>
      </c>
      <c r="N4226" s="17">
        <v>21</v>
      </c>
      <c r="O4226" s="18">
        <v>597</v>
      </c>
      <c r="P4226" s="18">
        <v>626</v>
      </c>
      <c r="Q4226" s="15"/>
      <c r="R4226" t="s" s="16">
        <f>HYPERLINK("http://secrets.rutgers.edu:8080/data/asl-ftp/asllvd/demos/verify_start_end_handshape_annotations//test_auto_move//signs_mov_separ_signers/Tyler_3632.mov","MOV")</f>
        <v>21</v>
      </c>
    </row>
    <row r="4227" s="2" customFormat="1" ht="13.5" customHeight="1">
      <c r="B4227" t="s" s="8">
        <v>52</v>
      </c>
      <c r="C4227" t="s" s="9">
        <v>53</v>
      </c>
      <c r="D4227" t="s" s="8">
        <v>53</v>
      </c>
      <c r="E4227" t="s" s="9">
        <v>53</v>
      </c>
      <c r="F4227" t="s" s="10">
        <v>53</v>
      </c>
      <c r="G4227" t="s" s="11">
        <v>53</v>
      </c>
      <c r="H4227" t="s" s="10">
        <v>53</v>
      </c>
      <c r="I4227" t="s" s="11">
        <v>53</v>
      </c>
      <c r="J4227" t="s" s="11">
        <v>53</v>
      </c>
      <c r="K4227" t="s" s="12">
        <v>53</v>
      </c>
      <c r="L4227" t="s" s="12">
        <v>53</v>
      </c>
      <c r="M4227" t="s" s="10">
        <v>53</v>
      </c>
      <c r="N4227" t="s" s="11">
        <v>53</v>
      </c>
      <c r="O4227" t="s" s="8">
        <v>53</v>
      </c>
      <c r="P4227" t="s" s="8">
        <v>53</v>
      </c>
      <c r="Q4227" t="s" s="12">
        <v>53</v>
      </c>
      <c r="R4227" t="s" s="12">
        <v>53</v>
      </c>
    </row>
    <row r="4228" s="2" customFormat="1" ht="13.5" customHeight="1">
      <c r="B4228" s="13"/>
      <c r="C4228" t="s" s="9">
        <v>16</v>
      </c>
      <c r="D4228" t="s" s="8">
        <v>1439</v>
      </c>
      <c r="E4228" t="s" s="9">
        <v>1441</v>
      </c>
      <c r="F4228" t="s" s="10">
        <v>73</v>
      </c>
      <c r="G4228" t="s" s="11">
        <v>73</v>
      </c>
      <c r="H4228" t="s" s="10">
        <v>73</v>
      </c>
      <c r="I4228" t="s" s="11">
        <v>73</v>
      </c>
      <c r="J4228" t="s" s="11">
        <v>20</v>
      </c>
      <c r="K4228" t="s" s="16">
        <f>HYPERLINK("http://csr.bu.edu/ftp/asl/asllvd/demos/verify_start_end_handshape_annotations//test_auto_move//signs_mov/5182_5183_merged.mov","MOV")</f>
        <v>21</v>
      </c>
      <c r="L4228" t="s" s="16">
        <f>HYPERLINK("http://csr.bu.edu/ftp/asl/asllvd/demos/verify_start_end_handshape_annotations//test_auto_move//signs_mov_separ_signers/Liz_5182.mov","MOV")</f>
        <v>21</v>
      </c>
      <c r="M4228" t="s" s="10">
        <v>84</v>
      </c>
      <c r="N4228" s="17">
        <v>41</v>
      </c>
      <c r="O4228" s="18">
        <v>660</v>
      </c>
      <c r="P4228" s="18">
        <v>707</v>
      </c>
      <c r="Q4228" t="s" s="16">
        <f>HYPERLINK("http://secrets.rutgers.edu:8080/data/asl-ftp/asllvd/demos/verify_start_end_handshape_annotations//test_auto_move//signs_mov/5182_5183_merged.mov","MOV")</f>
        <v>21</v>
      </c>
      <c r="R4228" t="s" s="16">
        <f>HYPERLINK("http://secrets.rutgers.edu:8080/data/asl-ftp/asllvd/demos/verify_start_end_handshape_annotations//test_auto_move//signs_mov_separ_signers/Liz_5182.mov","MOV")</f>
        <v>21</v>
      </c>
    </row>
    <row r="4229" s="2" customFormat="1" ht="13.5" customHeight="1">
      <c r="B4229" s="13"/>
      <c r="C4229" t="s" s="9">
        <v>16</v>
      </c>
      <c r="D4229" t="s" s="8">
        <v>1439</v>
      </c>
      <c r="E4229" t="s" s="9">
        <v>1442</v>
      </c>
      <c r="F4229" t="s" s="10">
        <v>73</v>
      </c>
      <c r="G4229" t="s" s="11">
        <v>73</v>
      </c>
      <c r="H4229" t="s" s="10">
        <v>73</v>
      </c>
      <c r="I4229" t="s" s="11">
        <v>73</v>
      </c>
      <c r="J4229" t="s" s="11">
        <v>20</v>
      </c>
      <c r="K4229" s="15"/>
      <c r="L4229" t="s" s="16">
        <f>HYPERLINK("http://csr.bu.edu/ftp/asl/asllvd/demos/verify_start_end_handshape_annotations//test_auto_move//signs_mov_separ_signers/Liz_5183.mov","MOV")</f>
        <v>21</v>
      </c>
      <c r="M4229" t="s" s="10">
        <v>84</v>
      </c>
      <c r="N4229" s="17">
        <v>41</v>
      </c>
      <c r="O4229" s="18">
        <v>960</v>
      </c>
      <c r="P4229" s="18">
        <v>972</v>
      </c>
      <c r="Q4229" s="15"/>
      <c r="R4229" t="s" s="16">
        <f>HYPERLINK("http://secrets.rutgers.edu:8080/data/asl-ftp/asllvd/demos/verify_start_end_handshape_annotations//test_auto_move//signs_mov_separ_signers/Liz_5183.mov","MOV")</f>
        <v>21</v>
      </c>
    </row>
    <row r="4230" s="2" customFormat="1" ht="13.5" customHeight="1">
      <c r="B4230" t="s" s="8">
        <v>52</v>
      </c>
      <c r="C4230" t="s" s="9">
        <v>53</v>
      </c>
      <c r="D4230" t="s" s="8">
        <v>53</v>
      </c>
      <c r="E4230" t="s" s="9">
        <v>53</v>
      </c>
      <c r="F4230" t="s" s="10">
        <v>53</v>
      </c>
      <c r="G4230" t="s" s="11">
        <v>53</v>
      </c>
      <c r="H4230" t="s" s="10">
        <v>53</v>
      </c>
      <c r="I4230" t="s" s="11">
        <v>53</v>
      </c>
      <c r="J4230" t="s" s="11">
        <v>53</v>
      </c>
      <c r="K4230" t="s" s="12">
        <v>53</v>
      </c>
      <c r="L4230" t="s" s="12">
        <v>53</v>
      </c>
      <c r="M4230" t="s" s="10">
        <v>53</v>
      </c>
      <c r="N4230" t="s" s="11">
        <v>53</v>
      </c>
      <c r="O4230" t="s" s="8">
        <v>53</v>
      </c>
      <c r="P4230" t="s" s="8">
        <v>53</v>
      </c>
      <c r="Q4230" t="s" s="12">
        <v>53</v>
      </c>
      <c r="R4230" t="s" s="12">
        <v>53</v>
      </c>
    </row>
    <row r="4231" s="2" customFormat="1" ht="13.5" customHeight="1">
      <c r="B4231" s="13"/>
      <c r="C4231" t="s" s="9">
        <v>27</v>
      </c>
      <c r="D4231" t="s" s="8">
        <v>1439</v>
      </c>
      <c r="E4231" t="s" s="9">
        <v>1443</v>
      </c>
      <c r="F4231" t="s" s="10">
        <v>73</v>
      </c>
      <c r="G4231" t="s" s="11">
        <v>1405</v>
      </c>
      <c r="H4231" t="s" s="10">
        <v>73</v>
      </c>
      <c r="I4231" t="s" s="11">
        <v>1405</v>
      </c>
      <c r="J4231" t="s" s="11">
        <v>20</v>
      </c>
      <c r="K4231" s="15"/>
      <c r="L4231" t="s" s="16">
        <f>HYPERLINK("http://csr.bu.edu/ftp/asl/asllvd/demos/verify_start_end_handshape_annotations//test_auto_move//signs_mov_separ_signers/Naomi_15135.mov","MOV")</f>
        <v>21</v>
      </c>
      <c r="M4231" t="s" s="10">
        <v>86</v>
      </c>
      <c r="N4231" s="17">
        <v>41</v>
      </c>
      <c r="O4231" s="18">
        <v>237</v>
      </c>
      <c r="P4231" s="18">
        <v>260</v>
      </c>
      <c r="Q4231" s="15"/>
      <c r="R4231" t="s" s="16">
        <f>HYPERLINK("http://secrets.rutgers.edu:8080/data/asl-ftp/asllvd/demos/verify_start_end_handshape_annotations//test_auto_move//signs_mov_separ_signers/Naomi_15135.mov","MOV")</f>
        <v>21</v>
      </c>
    </row>
    <row r="4232" s="2" customFormat="1" ht="13.5" customHeight="1">
      <c r="B4232" s="13"/>
      <c r="C4232" t="s" s="9">
        <v>27</v>
      </c>
      <c r="D4232" t="s" s="8">
        <v>1439</v>
      </c>
      <c r="E4232" t="s" s="9">
        <v>1443</v>
      </c>
      <c r="F4232" t="s" s="10">
        <v>73</v>
      </c>
      <c r="G4232" t="s" s="11">
        <v>1405</v>
      </c>
      <c r="H4232" t="s" s="10">
        <v>73</v>
      </c>
      <c r="I4232" t="s" s="11">
        <v>1405</v>
      </c>
      <c r="J4232" t="s" s="11">
        <v>20</v>
      </c>
      <c r="K4232" t="s" s="16">
        <f>HYPERLINK("http://csr.bu.edu/ftp/asl/asllvd/demos/verify_start_end_handshape_annotations//test_auto_move//signs_mov/15135_15136_merged.mov","MOV")</f>
        <v>21</v>
      </c>
      <c r="L4232" t="s" s="16">
        <f>HYPERLINK("http://csr.bu.edu/ftp/asl/asllvd/demos/verify_start_end_handshape_annotations//test_auto_move//signs_mov_separ_signers/Naomi_15136.mov","MOV")</f>
        <v>21</v>
      </c>
      <c r="M4232" t="s" s="10">
        <v>86</v>
      </c>
      <c r="N4232" s="17">
        <v>41</v>
      </c>
      <c r="O4232" s="18">
        <v>500</v>
      </c>
      <c r="P4232" s="18">
        <v>525</v>
      </c>
      <c r="Q4232" t="s" s="16">
        <f>HYPERLINK("http://secrets.rutgers.edu:8080/data/asl-ftp/asllvd/demos/verify_start_end_handshape_annotations//test_auto_move//signs_mov/15135_15136_merged.mov","MOV")</f>
        <v>21</v>
      </c>
      <c r="R4232" t="s" s="16">
        <f>HYPERLINK("http://secrets.rutgers.edu:8080/data/asl-ftp/asllvd/demos/verify_start_end_handshape_annotations//test_auto_move//signs_mov_separ_signers/Naomi_15136.mov","MOV")</f>
        <v>21</v>
      </c>
    </row>
    <row r="4233" s="2" customFormat="1" ht="13.5" customHeight="1">
      <c r="B4233" s="13"/>
      <c r="C4233" t="s" s="9">
        <v>30</v>
      </c>
      <c r="D4233" t="s" s="8">
        <v>1439</v>
      </c>
      <c r="E4233" t="s" s="9">
        <v>1443</v>
      </c>
      <c r="F4233" t="s" s="10">
        <v>73</v>
      </c>
      <c r="G4233" s="17">
        <v>5</v>
      </c>
      <c r="H4233" t="s" s="10">
        <v>73</v>
      </c>
      <c r="I4233" s="17">
        <v>5</v>
      </c>
      <c r="J4233" t="s" s="11">
        <v>20</v>
      </c>
      <c r="K4233" s="15"/>
      <c r="L4233" t="s" s="16">
        <f>HYPERLINK("http://csr.bu.edu/ftp/asl/asllvd/demos/verify_start_end_handshape_annotations//test_auto_move//signs_mov_separ_signers/Brady_15135.mov","MOV")</f>
        <v>21</v>
      </c>
      <c r="M4233" t="s" s="10">
        <v>39</v>
      </c>
      <c r="N4233" s="17">
        <v>18</v>
      </c>
      <c r="O4233" s="18">
        <v>580</v>
      </c>
      <c r="P4233" s="18">
        <v>600</v>
      </c>
      <c r="Q4233" s="15"/>
      <c r="R4233" t="s" s="16">
        <f>HYPERLINK("http://secrets.rutgers.edu:8080/data/asl-ftp/asllvd/demos/verify_start_end_handshape_annotations//test_auto_move//signs_mov_separ_signers/Brady_15135.mov","MOV")</f>
        <v>21</v>
      </c>
    </row>
    <row r="4234" s="2" customFormat="1" ht="13.5" customHeight="1">
      <c r="B4234" s="13"/>
      <c r="C4234" t="s" s="9">
        <v>30</v>
      </c>
      <c r="D4234" t="s" s="8">
        <v>1439</v>
      </c>
      <c r="E4234" t="s" s="9">
        <v>1443</v>
      </c>
      <c r="F4234" t="s" s="10">
        <v>73</v>
      </c>
      <c r="G4234" s="17">
        <v>5</v>
      </c>
      <c r="H4234" t="s" s="10">
        <v>73</v>
      </c>
      <c r="I4234" s="17">
        <v>5</v>
      </c>
      <c r="J4234" t="s" s="11">
        <v>20</v>
      </c>
      <c r="K4234" s="15"/>
      <c r="L4234" t="s" s="16">
        <f>HYPERLINK("http://csr.bu.edu/ftp/asl/asllvd/demos/verify_start_end_handshape_annotations//test_auto_move//signs_mov_separ_signers/Brady_15136.mov","MOV")</f>
        <v>21</v>
      </c>
      <c r="M4234" t="s" s="10">
        <v>39</v>
      </c>
      <c r="N4234" s="17">
        <v>18</v>
      </c>
      <c r="O4234" s="18">
        <v>1298</v>
      </c>
      <c r="P4234" s="18">
        <v>1312</v>
      </c>
      <c r="Q4234" s="15"/>
      <c r="R4234" t="s" s="16">
        <f>HYPERLINK("http://secrets.rutgers.edu:8080/data/asl-ftp/asllvd/demos/verify_start_end_handshape_annotations//test_auto_move//signs_mov_separ_signers/Brady_15136.mov","MOV")</f>
        <v>21</v>
      </c>
    </row>
    <row r="4235" s="2" customFormat="1" ht="13.5" customHeight="1">
      <c r="B4235" t="s" s="8">
        <v>1444</v>
      </c>
      <c r="C4235" t="s" s="9">
        <v>14</v>
      </c>
      <c r="D4235" t="s" s="8">
        <v>14</v>
      </c>
      <c r="E4235" t="s" s="9">
        <v>14</v>
      </c>
      <c r="F4235" t="s" s="10">
        <v>14</v>
      </c>
      <c r="G4235" t="s" s="11">
        <v>14</v>
      </c>
      <c r="H4235" t="s" s="10">
        <v>14</v>
      </c>
      <c r="I4235" t="s" s="11">
        <v>14</v>
      </c>
      <c r="J4235" t="s" s="11">
        <v>14</v>
      </c>
      <c r="K4235" t="s" s="12">
        <v>14</v>
      </c>
      <c r="L4235" t="s" s="12">
        <v>14</v>
      </c>
      <c r="M4235" t="s" s="10">
        <v>14</v>
      </c>
      <c r="N4235" t="s" s="11">
        <v>14</v>
      </c>
      <c r="O4235" t="s" s="8">
        <v>14</v>
      </c>
      <c r="P4235" t="s" s="8">
        <v>14</v>
      </c>
      <c r="Q4235" t="s" s="12">
        <v>14</v>
      </c>
      <c r="R4235" t="s" s="12">
        <v>14</v>
      </c>
    </row>
    <row r="4236" s="2" customFormat="1" ht="13.5" customHeight="1">
      <c r="B4236" s="13"/>
      <c r="C4236" t="s" s="9">
        <v>16</v>
      </c>
      <c r="D4236" t="s" s="8">
        <v>1444</v>
      </c>
      <c r="E4236" t="s" s="9">
        <v>1444</v>
      </c>
      <c r="F4236" t="s" s="10">
        <v>55</v>
      </c>
      <c r="G4236" t="s" s="11">
        <v>1405</v>
      </c>
      <c r="H4236" t="s" s="10">
        <v>55</v>
      </c>
      <c r="I4236" t="s" s="11">
        <v>1405</v>
      </c>
      <c r="J4236" t="s" s="11">
        <v>20</v>
      </c>
      <c r="K4236" s="15"/>
      <c r="L4236" t="s" s="16">
        <f>HYPERLINK("http://csr.bu.edu/ftp/asl/asllvd/demos/verify_start_end_handshape_annotations//test_auto_move//signs_mov_separ_signers/Liz_16007.mov","MOV")</f>
        <v>21</v>
      </c>
      <c r="M4236" t="s" s="10">
        <v>22</v>
      </c>
      <c r="N4236" s="17">
        <v>55</v>
      </c>
      <c r="O4236" s="18">
        <v>650</v>
      </c>
      <c r="P4236" s="18">
        <v>690</v>
      </c>
      <c r="Q4236" s="15"/>
      <c r="R4236" t="s" s="16">
        <f>HYPERLINK("http://secrets.rutgers.edu:8080/data/asl-ftp/asllvd/demos/verify_start_end_handshape_annotations//test_auto_move//signs_mov_separ_signers/Liz_16007.mov","MOV")</f>
        <v>21</v>
      </c>
    </row>
    <row r="4237" s="2" customFormat="1" ht="13.5" customHeight="1">
      <c r="B4237" s="13"/>
      <c r="C4237" t="s" s="9">
        <v>23</v>
      </c>
      <c r="D4237" t="s" s="8">
        <v>1444</v>
      </c>
      <c r="E4237" t="s" s="9">
        <v>1444</v>
      </c>
      <c r="F4237" t="s" s="10">
        <v>55</v>
      </c>
      <c r="G4237" t="s" s="11">
        <v>1405</v>
      </c>
      <c r="H4237" t="s" s="10">
        <v>55</v>
      </c>
      <c r="I4237" t="s" s="11">
        <v>1405</v>
      </c>
      <c r="J4237" t="s" s="11">
        <v>20</v>
      </c>
      <c r="K4237" t="s" s="16">
        <f>HYPERLINK("http://csr.bu.edu/ftp/asl/asllvd/demos/verify_start_end_handshape_annotations//test_auto_move//signs_mov/16007.mov","MOV")</f>
        <v>21</v>
      </c>
      <c r="L4237" t="s" s="16">
        <f>HYPERLINK("http://csr.bu.edu/ftp/asl/asllvd/demos/verify_start_end_handshape_annotations//test_auto_move//signs_mov_separ_signers/Tyler_16007.mov","MOV")</f>
        <v>21</v>
      </c>
      <c r="M4237" t="s" s="10">
        <v>26</v>
      </c>
      <c r="N4237" s="17">
        <v>34</v>
      </c>
      <c r="O4237" s="18">
        <v>990</v>
      </c>
      <c r="P4237" s="18">
        <v>1022</v>
      </c>
      <c r="Q4237" t="s" s="16">
        <f>HYPERLINK("http://secrets.rutgers.edu:8080/data/asl-ftp/asllvd/demos/verify_start_end_handshape_annotations//test_auto_move//signs_mov/16007.mov","MOV")</f>
        <v>21</v>
      </c>
      <c r="R4237" t="s" s="16">
        <f>HYPERLINK("http://secrets.rutgers.edu:8080/data/asl-ftp/asllvd/demos/verify_start_end_handshape_annotations//test_auto_move//signs_mov_separ_signers/Tyler_16007.mov","MOV")</f>
        <v>21</v>
      </c>
    </row>
    <row r="4238" s="2" customFormat="1" ht="13.5" customHeight="1">
      <c r="B4238" s="13"/>
      <c r="C4238" t="s" s="9">
        <v>27</v>
      </c>
      <c r="D4238" t="s" s="8">
        <v>1444</v>
      </c>
      <c r="E4238" t="s" s="9">
        <v>1444</v>
      </c>
      <c r="F4238" t="s" s="10">
        <v>55</v>
      </c>
      <c r="G4238" t="s" s="11">
        <v>1405</v>
      </c>
      <c r="H4238" t="s" s="10">
        <v>55</v>
      </c>
      <c r="I4238" t="s" s="11">
        <v>1405</v>
      </c>
      <c r="J4238" t="s" s="11">
        <v>20</v>
      </c>
      <c r="K4238" s="15"/>
      <c r="L4238" t="s" s="16">
        <f>HYPERLINK("http://csr.bu.edu/ftp/asl/asllvd/demos/verify_start_end_handshape_annotations//test_auto_move//signs_mov_separ_signers/Naomi_16007.mov","MOV")</f>
        <v>21</v>
      </c>
      <c r="M4238" t="s" s="10">
        <v>29</v>
      </c>
      <c r="N4238" s="17">
        <v>35</v>
      </c>
      <c r="O4238" s="18">
        <v>1426</v>
      </c>
      <c r="P4238" s="18">
        <v>1452</v>
      </c>
      <c r="Q4238" s="15"/>
      <c r="R4238" t="s" s="16">
        <f>HYPERLINK("http://secrets.rutgers.edu:8080/data/asl-ftp/asllvd/demos/verify_start_end_handshape_annotations//test_auto_move//signs_mov_separ_signers/Naomi_16007.mov","MOV")</f>
        <v>21</v>
      </c>
    </row>
    <row r="4239" s="2" customFormat="1" ht="13.5" customHeight="1">
      <c r="B4239" s="13"/>
      <c r="C4239" t="s" s="9">
        <v>30</v>
      </c>
      <c r="D4239" t="s" s="8">
        <v>1444</v>
      </c>
      <c r="E4239" t="s" s="9">
        <v>1444</v>
      </c>
      <c r="F4239" t="s" s="10">
        <v>55</v>
      </c>
      <c r="G4239" t="s" s="11">
        <v>1405</v>
      </c>
      <c r="H4239" t="s" s="10">
        <v>55</v>
      </c>
      <c r="I4239" t="s" s="11">
        <v>1405</v>
      </c>
      <c r="J4239" t="s" s="11">
        <v>20</v>
      </c>
      <c r="K4239" s="15"/>
      <c r="L4239" t="s" s="16">
        <f>HYPERLINK("http://csr.bu.edu/ftp/asl/asllvd/demos/verify_start_end_handshape_annotations//test_auto_move//signs_mov_separ_signers/Brady_16007.mov","MOV")</f>
        <v>21</v>
      </c>
      <c r="M4239" t="s" s="10">
        <v>31</v>
      </c>
      <c r="N4239" s="17">
        <v>23</v>
      </c>
      <c r="O4239" s="18">
        <v>7837</v>
      </c>
      <c r="P4239" s="18">
        <v>7856</v>
      </c>
      <c r="Q4239" s="15"/>
      <c r="R4239" t="s" s="16">
        <f>HYPERLINK("http://secrets.rutgers.edu:8080/data/asl-ftp/asllvd/demos/verify_start_end_handshape_annotations//test_auto_move//signs_mov_separ_signers/Brady_16007.mov","MOV")</f>
        <v>21</v>
      </c>
    </row>
    <row r="4240" s="2" customFormat="1" ht="13.5" customHeight="1">
      <c r="B4240" t="s" s="8">
        <v>1445</v>
      </c>
      <c r="C4240" t="s" s="9">
        <v>14</v>
      </c>
      <c r="D4240" t="s" s="8">
        <v>14</v>
      </c>
      <c r="E4240" t="s" s="9">
        <v>14</v>
      </c>
      <c r="F4240" t="s" s="10">
        <v>14</v>
      </c>
      <c r="G4240" t="s" s="11">
        <v>14</v>
      </c>
      <c r="H4240" t="s" s="10">
        <v>14</v>
      </c>
      <c r="I4240" t="s" s="11">
        <v>14</v>
      </c>
      <c r="J4240" t="s" s="11">
        <v>14</v>
      </c>
      <c r="K4240" t="s" s="12">
        <v>14</v>
      </c>
      <c r="L4240" t="s" s="12">
        <v>14</v>
      </c>
      <c r="M4240" t="s" s="10">
        <v>14</v>
      </c>
      <c r="N4240" t="s" s="11">
        <v>14</v>
      </c>
      <c r="O4240" t="s" s="8">
        <v>14</v>
      </c>
      <c r="P4240" t="s" s="8">
        <v>14</v>
      </c>
      <c r="Q4240" t="s" s="12">
        <v>14</v>
      </c>
      <c r="R4240" t="s" s="12">
        <v>14</v>
      </c>
    </row>
    <row r="4241" s="2" customFormat="1" ht="13.5" customHeight="1">
      <c r="B4241" s="13"/>
      <c r="C4241" t="s" s="9">
        <v>16</v>
      </c>
      <c r="D4241" t="s" s="8">
        <v>1445</v>
      </c>
      <c r="E4241" t="s" s="9">
        <v>1445</v>
      </c>
      <c r="F4241" t="s" s="10">
        <v>437</v>
      </c>
      <c r="G4241" s="14"/>
      <c r="H4241" t="s" s="10">
        <v>282</v>
      </c>
      <c r="I4241" s="14"/>
      <c r="J4241" t="s" s="11">
        <v>20</v>
      </c>
      <c r="K4241" s="15"/>
      <c r="L4241" t="s" s="16">
        <f>HYPERLINK("http://csr.bu.edu/ftp/asl/asllvd/demos/verify_start_end_handshape_annotations//test_auto_move//signs_mov_separ_signers/Liz_906.mov","MOV")</f>
        <v>21</v>
      </c>
      <c r="M4241" t="s" s="10">
        <v>84</v>
      </c>
      <c r="N4241" s="17">
        <v>41</v>
      </c>
      <c r="O4241" s="18">
        <v>1806</v>
      </c>
      <c r="P4241" s="18">
        <v>1830</v>
      </c>
      <c r="Q4241" s="15"/>
      <c r="R4241" t="s" s="16">
        <f>HYPERLINK("http://secrets.rutgers.edu:8080/data/asl-ftp/asllvd/demos/verify_start_end_handshape_annotations//test_auto_move//signs_mov_separ_signers/Liz_906.mov","MOV")</f>
        <v>21</v>
      </c>
    </row>
    <row r="4242" s="2" customFormat="1" ht="13.5" customHeight="1">
      <c r="B4242" s="13"/>
      <c r="C4242" t="s" s="9">
        <v>23</v>
      </c>
      <c r="D4242" t="s" s="8">
        <v>1445</v>
      </c>
      <c r="E4242" t="s" s="9">
        <v>1445</v>
      </c>
      <c r="F4242" s="19">
        <v>5</v>
      </c>
      <c r="G4242" s="14"/>
      <c r="H4242" s="19">
        <v>8</v>
      </c>
      <c r="I4242" s="14"/>
      <c r="J4242" t="s" s="11">
        <v>20</v>
      </c>
      <c r="K4242" s="15"/>
      <c r="L4242" t="s" s="16">
        <f>HYPERLINK("http://csr.bu.edu/ftp/asl/asllvd/demos/verify_start_end_handshape_annotations//test_auto_move//signs_mov_separ_signers/Tyler_906.mov","MOV")</f>
        <v>21</v>
      </c>
      <c r="M4242" t="s" s="10">
        <v>92</v>
      </c>
      <c r="N4242" s="17">
        <v>21</v>
      </c>
      <c r="O4242" s="18">
        <v>1492</v>
      </c>
      <c r="P4242" s="18">
        <v>1520</v>
      </c>
      <c r="Q4242" s="15"/>
      <c r="R4242" t="s" s="16">
        <f>HYPERLINK("http://secrets.rutgers.edu:8080/data/asl-ftp/asllvd/demos/verify_start_end_handshape_annotations//test_auto_move//signs_mov_separ_signers/Tyler_906.mov","MOV")</f>
        <v>21</v>
      </c>
    </row>
    <row r="4243" s="2" customFormat="1" ht="13.5" customHeight="1">
      <c r="B4243" s="13"/>
      <c r="C4243" t="s" s="9">
        <v>27</v>
      </c>
      <c r="D4243" t="s" s="8">
        <v>1445</v>
      </c>
      <c r="E4243" t="s" s="9">
        <v>1445</v>
      </c>
      <c r="F4243" t="s" s="10">
        <v>437</v>
      </c>
      <c r="G4243" s="14"/>
      <c r="H4243" t="s" s="10">
        <v>282</v>
      </c>
      <c r="I4243" s="14"/>
      <c r="J4243" t="s" s="11">
        <v>20</v>
      </c>
      <c r="K4243" s="15"/>
      <c r="L4243" t="s" s="16">
        <f>HYPERLINK("http://csr.bu.edu/ftp/asl/asllvd/demos/verify_start_end_handshape_annotations//test_auto_move//signs_mov_separ_signers/Naomi_906.mov","MOV")</f>
        <v>21</v>
      </c>
      <c r="M4243" t="s" s="10">
        <v>29</v>
      </c>
      <c r="N4243" s="17">
        <v>48</v>
      </c>
      <c r="O4243" s="18">
        <v>1250</v>
      </c>
      <c r="P4243" s="18">
        <v>1275</v>
      </c>
      <c r="Q4243" s="15"/>
      <c r="R4243" t="s" s="16">
        <f>HYPERLINK("http://secrets.rutgers.edu:8080/data/asl-ftp/asllvd/demos/verify_start_end_handshape_annotations//test_auto_move//signs_mov_separ_signers/Naomi_906.mov","MOV")</f>
        <v>21</v>
      </c>
    </row>
    <row r="4244" s="2" customFormat="1" ht="13.5" customHeight="1">
      <c r="B4244" s="13"/>
      <c r="C4244" t="s" s="9">
        <v>27</v>
      </c>
      <c r="D4244" t="s" s="8">
        <v>1445</v>
      </c>
      <c r="E4244" t="s" s="9">
        <v>1445</v>
      </c>
      <c r="F4244" t="s" s="10">
        <v>437</v>
      </c>
      <c r="G4244" s="14"/>
      <c r="H4244" t="s" s="10">
        <v>282</v>
      </c>
      <c r="I4244" s="14"/>
      <c r="J4244" t="s" s="11">
        <v>20</v>
      </c>
      <c r="K4244" t="s" s="16">
        <f>HYPERLINK("http://csr.bu.edu/ftp/asl/asllvd/demos/verify_start_end_handshape_annotations//test_auto_move//signs_mov/906_5676_merged.mov","MOV")</f>
        <v>21</v>
      </c>
      <c r="L4244" t="s" s="16">
        <f>HYPERLINK("http://csr.bu.edu/ftp/asl/asllvd/demos/verify_start_end_handshape_annotations//test_auto_move//signs_mov_separ_signers/Naomi_5676.mov","MOV")</f>
        <v>21</v>
      </c>
      <c r="M4244" t="s" s="10">
        <v>86</v>
      </c>
      <c r="N4244" s="17">
        <v>41</v>
      </c>
      <c r="O4244" s="18">
        <v>1590</v>
      </c>
      <c r="P4244" s="18">
        <v>1610</v>
      </c>
      <c r="Q4244" t="s" s="16">
        <f>HYPERLINK("http://secrets.rutgers.edu:8080/data/asl-ftp/asllvd/demos/verify_start_end_handshape_annotations//test_auto_move//signs_mov/906_5676_merged.mov","MOV")</f>
        <v>21</v>
      </c>
      <c r="R4244" t="s" s="16">
        <f>HYPERLINK("http://secrets.rutgers.edu:8080/data/asl-ftp/asllvd/demos/verify_start_end_handshape_annotations//test_auto_move//signs_mov_separ_signers/Naomi_5676.mov","MOV")</f>
        <v>21</v>
      </c>
    </row>
    <row r="4245" s="2" customFormat="1" ht="13.5" customHeight="1">
      <c r="B4245" s="13"/>
      <c r="C4245" t="s" s="9">
        <v>30</v>
      </c>
      <c r="D4245" t="s" s="8">
        <v>1445</v>
      </c>
      <c r="E4245" t="s" s="9">
        <v>1445</v>
      </c>
      <c r="F4245" t="s" s="10">
        <v>430</v>
      </c>
      <c r="G4245" s="14"/>
      <c r="H4245" s="19">
        <v>8</v>
      </c>
      <c r="I4245" s="14"/>
      <c r="J4245" t="s" s="11">
        <v>20</v>
      </c>
      <c r="K4245" s="15"/>
      <c r="L4245" t="s" s="16">
        <f>HYPERLINK("http://csr.bu.edu/ftp/asl/asllvd/demos/verify_start_end_handshape_annotations//test_auto_move//signs_mov_separ_signers/Brady_906.mov","MOV")</f>
        <v>21</v>
      </c>
      <c r="M4245" t="s" s="10">
        <v>31</v>
      </c>
      <c r="N4245" s="17">
        <v>27</v>
      </c>
      <c r="O4245" s="18">
        <v>10346</v>
      </c>
      <c r="P4245" s="18">
        <v>10361</v>
      </c>
      <c r="Q4245" s="15"/>
      <c r="R4245" t="s" s="16">
        <f>HYPERLINK("http://secrets.rutgers.edu:8080/data/asl-ftp/asllvd/demos/verify_start_end_handshape_annotations//test_auto_move//signs_mov_separ_signers/Brady_906.mov","MOV")</f>
        <v>21</v>
      </c>
    </row>
    <row r="4246" s="2" customFormat="1" ht="13.5" customHeight="1">
      <c r="B4246" s="13"/>
      <c r="C4246" t="s" s="9">
        <v>30</v>
      </c>
      <c r="D4246" t="s" s="8">
        <v>1445</v>
      </c>
      <c r="E4246" t="s" s="9">
        <v>1445</v>
      </c>
      <c r="F4246" t="s" s="10">
        <v>437</v>
      </c>
      <c r="G4246" s="14"/>
      <c r="H4246" t="s" s="10">
        <v>282</v>
      </c>
      <c r="I4246" s="14"/>
      <c r="J4246" t="s" s="11">
        <v>20</v>
      </c>
      <c r="K4246" s="15"/>
      <c r="L4246" t="s" s="16">
        <f>HYPERLINK("http://csr.bu.edu/ftp/asl/asllvd/demos/verify_start_end_handshape_annotations//test_auto_move//signs_mov_separ_signers/Brady_5676.mov","MOV")</f>
        <v>21</v>
      </c>
      <c r="M4246" t="s" s="10">
        <v>31</v>
      </c>
      <c r="N4246" s="17">
        <v>27</v>
      </c>
      <c r="O4246" s="18">
        <v>11670</v>
      </c>
      <c r="P4246" s="18">
        <v>11690</v>
      </c>
      <c r="Q4246" s="15"/>
      <c r="R4246" t="s" s="16">
        <f>HYPERLINK("http://secrets.rutgers.edu:8080/data/asl-ftp/asllvd/demos/verify_start_end_handshape_annotations//test_auto_move//signs_mov_separ_signers/Brady_5676.mov","MOV")</f>
        <v>21</v>
      </c>
    </row>
    <row r="4247" s="2" customFormat="1" ht="13.5" customHeight="1">
      <c r="B4247" s="13"/>
      <c r="C4247" t="s" s="9">
        <v>41</v>
      </c>
      <c r="D4247" t="s" s="8">
        <v>1445</v>
      </c>
      <c r="E4247" t="s" s="9">
        <v>1445</v>
      </c>
      <c r="F4247" t="s" s="10">
        <v>430</v>
      </c>
      <c r="G4247" s="14"/>
      <c r="H4247" s="19">
        <v>8</v>
      </c>
      <c r="I4247" s="14"/>
      <c r="J4247" t="s" s="11">
        <v>20</v>
      </c>
      <c r="K4247" s="15"/>
      <c r="L4247" t="s" s="16">
        <f>HYPERLINK("http://csr.bu.edu/ftp/asl/asllvd/demos/verify_start_end_handshape_annotations//test_auto_move//signs_mov_separ_signers/Lana_906.mov","MOV")</f>
        <v>21</v>
      </c>
      <c r="M4247" t="s" s="10">
        <v>42</v>
      </c>
      <c r="N4247" s="17">
        <v>9</v>
      </c>
      <c r="O4247" s="18">
        <v>2035</v>
      </c>
      <c r="P4247" s="18">
        <v>2050</v>
      </c>
      <c r="Q4247" s="15"/>
      <c r="R4247" t="s" s="16">
        <f>HYPERLINK("http://secrets.rutgers.edu:8080/data/asl-ftp/asllvd/demos/verify_start_end_handshape_annotations//test_auto_move//signs_mov_separ_signers/Lana_906.mov","MOV")</f>
        <v>21</v>
      </c>
    </row>
    <row r="4248" s="2" customFormat="1" ht="13.5" customHeight="1">
      <c r="B4248" t="s" s="8">
        <v>1446</v>
      </c>
      <c r="C4248" t="s" s="9">
        <v>14</v>
      </c>
      <c r="D4248" t="s" s="8">
        <v>14</v>
      </c>
      <c r="E4248" t="s" s="9">
        <v>14</v>
      </c>
      <c r="F4248" t="s" s="10">
        <v>14</v>
      </c>
      <c r="G4248" t="s" s="11">
        <v>14</v>
      </c>
      <c r="H4248" t="s" s="10">
        <v>14</v>
      </c>
      <c r="I4248" t="s" s="11">
        <v>14</v>
      </c>
      <c r="J4248" t="s" s="11">
        <v>14</v>
      </c>
      <c r="K4248" t="s" s="12">
        <v>14</v>
      </c>
      <c r="L4248" t="s" s="12">
        <v>14</v>
      </c>
      <c r="M4248" t="s" s="10">
        <v>14</v>
      </c>
      <c r="N4248" t="s" s="11">
        <v>14</v>
      </c>
      <c r="O4248" t="s" s="8">
        <v>14</v>
      </c>
      <c r="P4248" t="s" s="8">
        <v>14</v>
      </c>
      <c r="Q4248" t="s" s="12">
        <v>14</v>
      </c>
      <c r="R4248" t="s" s="12">
        <v>14</v>
      </c>
    </row>
    <row r="4249" s="2" customFormat="1" ht="13.5" customHeight="1">
      <c r="B4249" s="13"/>
      <c r="C4249" t="s" s="9">
        <v>16</v>
      </c>
      <c r="D4249" t="s" s="8">
        <v>1446</v>
      </c>
      <c r="E4249" t="s" s="9">
        <v>1446</v>
      </c>
      <c r="F4249" t="s" s="10">
        <v>437</v>
      </c>
      <c r="G4249" s="14"/>
      <c r="H4249" t="s" s="10">
        <v>282</v>
      </c>
      <c r="I4249" s="14"/>
      <c r="J4249" t="s" s="11">
        <v>20</v>
      </c>
      <c r="K4249" s="15"/>
      <c r="L4249" t="s" s="16">
        <f>HYPERLINK("http://csr.bu.edu/ftp/asl/asllvd/demos/verify_start_end_handshape_annotations//test_auto_move//signs_mov_separ_signers/Liz_15129.mov","MOV")</f>
        <v>21</v>
      </c>
      <c r="M4249" t="s" s="10">
        <v>22</v>
      </c>
      <c r="N4249" s="17">
        <v>76</v>
      </c>
      <c r="O4249" s="18">
        <v>670</v>
      </c>
      <c r="P4249" s="18">
        <v>695</v>
      </c>
      <c r="Q4249" s="15"/>
      <c r="R4249" t="s" s="16">
        <f>HYPERLINK("http://secrets.rutgers.edu:8080/data/asl-ftp/asllvd/demos/verify_start_end_handshape_annotations//test_auto_move//signs_mov_separ_signers/Liz_15129.mov","MOV")</f>
        <v>21</v>
      </c>
    </row>
    <row r="4250" s="2" customFormat="1" ht="13.5" customHeight="1">
      <c r="B4250" s="13"/>
      <c r="C4250" t="s" s="9">
        <v>23</v>
      </c>
      <c r="D4250" t="s" s="8">
        <v>1446</v>
      </c>
      <c r="E4250" t="s" s="9">
        <v>1446</v>
      </c>
      <c r="F4250" t="s" s="10">
        <v>430</v>
      </c>
      <c r="G4250" s="14"/>
      <c r="H4250" s="19">
        <v>8</v>
      </c>
      <c r="I4250" s="14"/>
      <c r="J4250" t="s" s="11">
        <v>20</v>
      </c>
      <c r="K4250" t="s" s="16">
        <f>HYPERLINK("http://csr.bu.edu/ftp/asl/asllvd/demos/verify_start_end_handshape_annotations//test_auto_move//signs_mov/15129_16359_merged.mov","MOV")</f>
        <v>21</v>
      </c>
      <c r="L4250" t="s" s="16">
        <f>HYPERLINK("http://csr.bu.edu/ftp/asl/asllvd/demos/verify_start_end_handshape_annotations//test_auto_move//signs_mov_separ_signers/Tyler_15129.mov","MOV")</f>
        <v>21</v>
      </c>
      <c r="M4250" t="s" s="10">
        <v>26</v>
      </c>
      <c r="N4250" s="17">
        <v>45</v>
      </c>
      <c r="O4250" s="18">
        <v>3310</v>
      </c>
      <c r="P4250" s="18">
        <v>3340</v>
      </c>
      <c r="Q4250" t="s" s="16">
        <f>HYPERLINK("http://secrets.rutgers.edu:8080/data/asl-ftp/asllvd/demos/verify_start_end_handshape_annotations//test_auto_move//signs_mov/15129_16359_merged.mov","MOV")</f>
        <v>21</v>
      </c>
      <c r="R4250" t="s" s="16">
        <f>HYPERLINK("http://secrets.rutgers.edu:8080/data/asl-ftp/asllvd/demos/verify_start_end_handshape_annotations//test_auto_move//signs_mov_separ_signers/Tyler_15129.mov","MOV")</f>
        <v>21</v>
      </c>
    </row>
    <row r="4251" s="2" customFormat="1" ht="13.5" customHeight="1">
      <c r="B4251" s="13"/>
      <c r="C4251" t="s" s="9">
        <v>23</v>
      </c>
      <c r="D4251" t="s" s="8">
        <v>1446</v>
      </c>
      <c r="E4251" t="s" s="9">
        <v>1446</v>
      </c>
      <c r="F4251" s="19">
        <v>5</v>
      </c>
      <c r="G4251" s="14"/>
      <c r="H4251" s="19">
        <v>8</v>
      </c>
      <c r="I4251" s="14"/>
      <c r="J4251" t="s" s="11">
        <v>20</v>
      </c>
      <c r="K4251" s="15"/>
      <c r="L4251" t="s" s="16">
        <f>HYPERLINK("http://csr.bu.edu/ftp/asl/asllvd/demos/verify_start_end_handshape_annotations//test_auto_move//signs_mov_separ_signers/Tyler_16359.mov","MOV")</f>
        <v>21</v>
      </c>
      <c r="M4251" t="s" s="10">
        <v>26</v>
      </c>
      <c r="N4251" s="17">
        <v>46</v>
      </c>
      <c r="O4251" s="18">
        <v>990</v>
      </c>
      <c r="P4251" s="18">
        <v>1015</v>
      </c>
      <c r="Q4251" s="15"/>
      <c r="R4251" t="s" s="16">
        <f>HYPERLINK("http://secrets.rutgers.edu:8080/data/asl-ftp/asllvd/demos/verify_start_end_handshape_annotations//test_auto_move//signs_mov_separ_signers/Tyler_16359.mov","MOV")</f>
        <v>21</v>
      </c>
    </row>
    <row r="4252" s="2" customFormat="1" ht="13.5" customHeight="1">
      <c r="B4252" t="s" s="8">
        <v>1447</v>
      </c>
      <c r="C4252" t="s" s="9">
        <v>14</v>
      </c>
      <c r="D4252" t="s" s="8">
        <v>14</v>
      </c>
      <c r="E4252" t="s" s="9">
        <v>14</v>
      </c>
      <c r="F4252" t="s" s="10">
        <v>14</v>
      </c>
      <c r="G4252" t="s" s="11">
        <v>14</v>
      </c>
      <c r="H4252" t="s" s="10">
        <v>14</v>
      </c>
      <c r="I4252" t="s" s="11">
        <v>14</v>
      </c>
      <c r="J4252" t="s" s="11">
        <v>14</v>
      </c>
      <c r="K4252" t="s" s="12">
        <v>14</v>
      </c>
      <c r="L4252" t="s" s="12">
        <v>14</v>
      </c>
      <c r="M4252" t="s" s="10">
        <v>14</v>
      </c>
      <c r="N4252" t="s" s="11">
        <v>14</v>
      </c>
      <c r="O4252" t="s" s="8">
        <v>14</v>
      </c>
      <c r="P4252" t="s" s="8">
        <v>14</v>
      </c>
      <c r="Q4252" t="s" s="12">
        <v>14</v>
      </c>
      <c r="R4252" t="s" s="12">
        <v>14</v>
      </c>
    </row>
    <row r="4253" s="2" customFormat="1" ht="13.5" customHeight="1">
      <c r="B4253" s="13"/>
      <c r="C4253" t="s" s="9">
        <v>16</v>
      </c>
      <c r="D4253" t="s" s="8">
        <v>1447</v>
      </c>
      <c r="E4253" t="s" s="9">
        <v>1448</v>
      </c>
      <c r="F4253" s="19">
        <v>5</v>
      </c>
      <c r="G4253" s="14"/>
      <c r="H4253" s="19">
        <v>5</v>
      </c>
      <c r="I4253" s="14"/>
      <c r="J4253" t="s" s="11">
        <v>20</v>
      </c>
      <c r="K4253" s="15"/>
      <c r="L4253" t="s" s="16">
        <f>HYPERLINK("http://csr.bu.edu/ftp/asl/asllvd/demos/verify_start_end_handshape_annotations//test_auto_move//signs_mov_separ_signers/Liz_907.mov","MOV")</f>
        <v>21</v>
      </c>
      <c r="M4253" t="s" s="10">
        <v>84</v>
      </c>
      <c r="N4253" s="17">
        <v>41</v>
      </c>
      <c r="O4253" s="18">
        <v>1985</v>
      </c>
      <c r="P4253" s="18">
        <v>2020</v>
      </c>
      <c r="Q4253" s="15"/>
      <c r="R4253" t="s" s="16">
        <f>HYPERLINK("http://secrets.rutgers.edu:8080/data/asl-ftp/asllvd/demos/verify_start_end_handshape_annotations//test_auto_move//signs_mov_separ_signers/Liz_907.mov","MOV")</f>
        <v>21</v>
      </c>
    </row>
    <row r="4254" s="2" customFormat="1" ht="13.5" customHeight="1">
      <c r="B4254" s="13"/>
      <c r="C4254" t="s" s="9">
        <v>23</v>
      </c>
      <c r="D4254" t="s" s="8">
        <v>1447</v>
      </c>
      <c r="E4254" t="s" s="9">
        <v>1449</v>
      </c>
      <c r="F4254" s="19">
        <v>5</v>
      </c>
      <c r="G4254" s="14"/>
      <c r="H4254" s="19">
        <v>5</v>
      </c>
      <c r="I4254" s="14"/>
      <c r="J4254" t="s" s="11">
        <v>20</v>
      </c>
      <c r="K4254" s="15"/>
      <c r="L4254" t="s" s="16">
        <f>HYPERLINK("http://csr.bu.edu/ftp/asl/asllvd/demos/verify_start_end_handshape_annotations//test_auto_move//signs_mov_separ_signers/Tyler_907.mov","MOV")</f>
        <v>21</v>
      </c>
      <c r="M4254" t="s" s="10">
        <v>92</v>
      </c>
      <c r="N4254" s="17">
        <v>21</v>
      </c>
      <c r="O4254" s="18">
        <v>1695</v>
      </c>
      <c r="P4254" s="18">
        <v>1730</v>
      </c>
      <c r="Q4254" s="15"/>
      <c r="R4254" t="s" s="16">
        <f>HYPERLINK("http://secrets.rutgers.edu:8080/data/asl-ftp/asllvd/demos/verify_start_end_handshape_annotations//test_auto_move//signs_mov_separ_signers/Tyler_907.mov","MOV")</f>
        <v>21</v>
      </c>
    </row>
    <row r="4255" s="2" customFormat="1" ht="13.5" customHeight="1">
      <c r="B4255" s="13"/>
      <c r="C4255" t="s" s="9">
        <v>27</v>
      </c>
      <c r="D4255" t="s" s="8">
        <v>1447</v>
      </c>
      <c r="E4255" t="s" s="9">
        <v>1449</v>
      </c>
      <c r="F4255" s="19">
        <v>5</v>
      </c>
      <c r="G4255" s="14"/>
      <c r="H4255" s="19">
        <v>5</v>
      </c>
      <c r="I4255" s="14"/>
      <c r="J4255" t="s" s="11">
        <v>20</v>
      </c>
      <c r="K4255" t="s" s="16">
        <f>HYPERLINK("http://csr.bu.edu/ftp/asl/asllvd/demos/verify_start_end_handshape_annotations//test_auto_move//signs_mov/907.mov","MOV")</f>
        <v>21</v>
      </c>
      <c r="L4255" t="s" s="16">
        <f>HYPERLINK("http://csr.bu.edu/ftp/asl/asllvd/demos/verify_start_end_handshape_annotations//test_auto_move//signs_mov_separ_signers/Naomi_907.mov","MOV")</f>
        <v>21</v>
      </c>
      <c r="M4255" t="s" s="10">
        <v>86</v>
      </c>
      <c r="N4255" s="17">
        <v>41</v>
      </c>
      <c r="O4255" s="18">
        <v>1776</v>
      </c>
      <c r="P4255" s="18">
        <v>1815</v>
      </c>
      <c r="Q4255" t="s" s="16">
        <f>HYPERLINK("http://secrets.rutgers.edu:8080/data/asl-ftp/asllvd/demos/verify_start_end_handshape_annotations//test_auto_move//signs_mov/907.mov","MOV")</f>
        <v>21</v>
      </c>
      <c r="R4255" t="s" s="16">
        <f>HYPERLINK("http://secrets.rutgers.edu:8080/data/asl-ftp/asllvd/demos/verify_start_end_handshape_annotations//test_auto_move//signs_mov_separ_signers/Naomi_907.mov","MOV")</f>
        <v>21</v>
      </c>
    </row>
    <row r="4256" s="2" customFormat="1" ht="13.5" customHeight="1">
      <c r="B4256" s="13"/>
      <c r="C4256" t="s" s="9">
        <v>30</v>
      </c>
      <c r="D4256" t="s" s="8">
        <v>1447</v>
      </c>
      <c r="E4256" t="s" s="9">
        <v>1448</v>
      </c>
      <c r="F4256" s="19">
        <v>5</v>
      </c>
      <c r="G4256" s="14"/>
      <c r="H4256" s="19">
        <v>5</v>
      </c>
      <c r="I4256" s="14"/>
      <c r="J4256" t="s" s="11">
        <v>20</v>
      </c>
      <c r="K4256" s="15"/>
      <c r="L4256" t="s" s="16">
        <f>HYPERLINK("http://csr.bu.edu/ftp/asl/asllvd/demos/verify_start_end_handshape_annotations//test_auto_move//signs_mov_separ_signers/Brady_907.mov","MOV")</f>
        <v>21</v>
      </c>
      <c r="M4256" t="s" s="10">
        <v>39</v>
      </c>
      <c r="N4256" s="17">
        <v>18</v>
      </c>
      <c r="O4256" s="18">
        <v>2468</v>
      </c>
      <c r="P4256" s="18">
        <v>2502</v>
      </c>
      <c r="Q4256" s="15"/>
      <c r="R4256" t="s" s="16">
        <f>HYPERLINK("http://secrets.rutgers.edu:8080/data/asl-ftp/asllvd/demos/verify_start_end_handshape_annotations//test_auto_move//signs_mov_separ_signers/Brady_907.mov","MOV")</f>
        <v>21</v>
      </c>
    </row>
    <row r="4257" s="2" customFormat="1" ht="13.5" customHeight="1">
      <c r="B4257" s="13"/>
      <c r="C4257" t="s" s="9">
        <v>41</v>
      </c>
      <c r="D4257" t="s" s="8">
        <v>1447</v>
      </c>
      <c r="E4257" t="s" s="9">
        <v>1447</v>
      </c>
      <c r="F4257" s="19">
        <v>5</v>
      </c>
      <c r="G4257" s="14"/>
      <c r="H4257" s="19">
        <v>5</v>
      </c>
      <c r="I4257" s="14"/>
      <c r="J4257" t="s" s="11">
        <v>20</v>
      </c>
      <c r="K4257" s="15"/>
      <c r="L4257" t="s" s="16">
        <f>HYPERLINK("http://csr.bu.edu/ftp/asl/asllvd/demos/verify_start_end_handshape_annotations//test_auto_move//signs_mov_separ_signers/Lana_907.mov","MOV")</f>
        <v>21</v>
      </c>
      <c r="M4257" t="s" s="10">
        <v>42</v>
      </c>
      <c r="N4257" s="17">
        <v>9</v>
      </c>
      <c r="O4257" s="18">
        <v>2444</v>
      </c>
      <c r="P4257" s="18">
        <v>2469</v>
      </c>
      <c r="Q4257" s="15"/>
      <c r="R4257" t="s" s="16">
        <f>HYPERLINK("http://secrets.rutgers.edu:8080/data/asl-ftp/asllvd/demos/verify_start_end_handshape_annotations//test_auto_move//signs_mov_separ_signers/Lana_907.mov","MOV")</f>
        <v>21</v>
      </c>
    </row>
    <row r="4258" s="2" customFormat="1" ht="13.5" customHeight="1">
      <c r="B4258" s="13"/>
      <c r="C4258" t="s" s="9">
        <v>43</v>
      </c>
      <c r="D4258" t="s" s="8">
        <v>1447</v>
      </c>
      <c r="E4258" t="s" s="9">
        <v>1449</v>
      </c>
      <c r="F4258" s="19">
        <v>5</v>
      </c>
      <c r="G4258" s="14"/>
      <c r="H4258" s="19">
        <v>5</v>
      </c>
      <c r="I4258" s="14"/>
      <c r="J4258" t="s" s="11">
        <v>20</v>
      </c>
      <c r="K4258" s="15"/>
      <c r="L4258" t="s" s="16">
        <f>HYPERLINK("http://csr.bu.edu/ftp/asl/asllvd/demos/verify_start_end_handshape_annotations//test_auto_move//signs_mov_separ_signers/Dana_907.mov","MOV")</f>
        <v>21</v>
      </c>
      <c r="M4258" t="s" s="10">
        <v>44</v>
      </c>
      <c r="N4258" s="17">
        <v>13</v>
      </c>
      <c r="O4258" s="18">
        <v>2823</v>
      </c>
      <c r="P4258" s="18">
        <v>2870</v>
      </c>
      <c r="Q4258" s="15"/>
      <c r="R4258" t="s" s="16">
        <f>HYPERLINK("http://secrets.rutgers.edu:8080/data/asl-ftp/asllvd/demos/verify_start_end_handshape_annotations//test_auto_move//signs_mov_separ_signers/Dana_907.mov","MOV")</f>
        <v>21</v>
      </c>
    </row>
    <row r="4259" s="2" customFormat="1" ht="13.5" customHeight="1">
      <c r="B4259" t="s" s="8">
        <v>1450</v>
      </c>
      <c r="C4259" t="s" s="9">
        <v>14</v>
      </c>
      <c r="D4259" t="s" s="8">
        <v>14</v>
      </c>
      <c r="E4259" t="s" s="9">
        <v>14</v>
      </c>
      <c r="F4259" t="s" s="10">
        <v>14</v>
      </c>
      <c r="G4259" t="s" s="11">
        <v>14</v>
      </c>
      <c r="H4259" t="s" s="10">
        <v>14</v>
      </c>
      <c r="I4259" t="s" s="11">
        <v>14</v>
      </c>
      <c r="J4259" t="s" s="11">
        <v>14</v>
      </c>
      <c r="K4259" t="s" s="12">
        <v>14</v>
      </c>
      <c r="L4259" t="s" s="12">
        <v>14</v>
      </c>
      <c r="M4259" t="s" s="10">
        <v>14</v>
      </c>
      <c r="N4259" t="s" s="11">
        <v>14</v>
      </c>
      <c r="O4259" t="s" s="8">
        <v>14</v>
      </c>
      <c r="P4259" t="s" s="8">
        <v>14</v>
      </c>
      <c r="Q4259" t="s" s="12">
        <v>14</v>
      </c>
      <c r="R4259" t="s" s="12">
        <v>14</v>
      </c>
    </row>
    <row r="4260" s="2" customFormat="1" ht="13.5" customHeight="1">
      <c r="B4260" s="13"/>
      <c r="C4260" t="s" s="9">
        <v>16</v>
      </c>
      <c r="D4260" t="s" s="8">
        <v>1450</v>
      </c>
      <c r="E4260" t="s" s="9">
        <v>1451</v>
      </c>
      <c r="F4260" s="19">
        <v>5</v>
      </c>
      <c r="G4260" s="14"/>
      <c r="H4260" s="19">
        <v>5</v>
      </c>
      <c r="I4260" s="14"/>
      <c r="J4260" t="s" s="11">
        <v>20</v>
      </c>
      <c r="K4260" t="s" s="16">
        <f>HYPERLINK("http://csr.bu.edu/ftp/asl/asllvd/demos/verify_start_end_handshape_annotations//test_auto_move//signs_mov/15493.mov","MOV")</f>
        <v>21</v>
      </c>
      <c r="L4260" t="s" s="16">
        <f>HYPERLINK("http://csr.bu.edu/ftp/asl/asllvd/demos/verify_start_end_handshape_annotations//test_auto_move//signs_mov_separ_signers/Liz_15493.mov","MOV")</f>
        <v>21</v>
      </c>
      <c r="M4260" t="s" s="10">
        <v>88</v>
      </c>
      <c r="N4260" s="17">
        <v>44</v>
      </c>
      <c r="O4260" s="18">
        <v>615</v>
      </c>
      <c r="P4260" s="18">
        <v>661</v>
      </c>
      <c r="Q4260" t="s" s="16">
        <f>HYPERLINK("http://secrets.rutgers.edu:8080/data/asl-ftp/asllvd/demos/verify_start_end_handshape_annotations//test_auto_move//signs_mov/15493.mov","MOV")</f>
        <v>21</v>
      </c>
      <c r="R4260" t="s" s="16">
        <f>HYPERLINK("http://secrets.rutgers.edu:8080/data/asl-ftp/asllvd/demos/verify_start_end_handshape_annotations//test_auto_move//signs_mov_separ_signers/Liz_15493.mov","MOV")</f>
        <v>21</v>
      </c>
    </row>
    <row r="4261" s="2" customFormat="1" ht="13.5" customHeight="1">
      <c r="B4261" s="13"/>
      <c r="C4261" t="s" s="9">
        <v>30</v>
      </c>
      <c r="D4261" t="s" s="8">
        <v>1450</v>
      </c>
      <c r="E4261" t="s" s="9">
        <v>1450</v>
      </c>
      <c r="F4261" s="22"/>
      <c r="G4261" s="14"/>
      <c r="H4261" s="22"/>
      <c r="I4261" s="14"/>
      <c r="J4261" t="s" s="11">
        <v>20</v>
      </c>
      <c r="K4261" s="15"/>
      <c r="L4261" t="s" s="16">
        <f>HYPERLINK("http://csr.bu.edu/ftp/asl/asllvd/demos/verify_start_end_handshape_annotations//test_auto_move//signs_mov_separ_signers/Brady_15493.mov","MOV")</f>
        <v>21</v>
      </c>
      <c r="M4261" t="s" s="10">
        <v>40</v>
      </c>
      <c r="N4261" s="17">
        <v>38</v>
      </c>
      <c r="O4261" s="18">
        <v>375</v>
      </c>
      <c r="P4261" s="18">
        <v>404</v>
      </c>
      <c r="Q4261" s="15"/>
      <c r="R4261" t="s" s="16">
        <f>HYPERLINK("http://secrets.rutgers.edu:8080/data/asl-ftp/asllvd/demos/verify_start_end_handshape_annotations//test_auto_move//signs_mov_separ_signers/Brady_15493.mov","MOV")</f>
        <v>21</v>
      </c>
    </row>
    <row r="4262" s="2" customFormat="1" ht="13.5" customHeight="1">
      <c r="B4262" t="s" s="8">
        <v>1452</v>
      </c>
      <c r="C4262" t="s" s="9">
        <v>14</v>
      </c>
      <c r="D4262" t="s" s="8">
        <v>14</v>
      </c>
      <c r="E4262" t="s" s="9">
        <v>14</v>
      </c>
      <c r="F4262" t="s" s="10">
        <v>14</v>
      </c>
      <c r="G4262" t="s" s="11">
        <v>14</v>
      </c>
      <c r="H4262" t="s" s="10">
        <v>14</v>
      </c>
      <c r="I4262" t="s" s="11">
        <v>14</v>
      </c>
      <c r="J4262" t="s" s="11">
        <v>14</v>
      </c>
      <c r="K4262" t="s" s="12">
        <v>14</v>
      </c>
      <c r="L4262" t="s" s="12">
        <v>14</v>
      </c>
      <c r="M4262" t="s" s="10">
        <v>14</v>
      </c>
      <c r="N4262" t="s" s="11">
        <v>14</v>
      </c>
      <c r="O4262" t="s" s="8">
        <v>14</v>
      </c>
      <c r="P4262" t="s" s="8">
        <v>14</v>
      </c>
      <c r="Q4262" t="s" s="12">
        <v>14</v>
      </c>
      <c r="R4262" t="s" s="12">
        <v>14</v>
      </c>
    </row>
    <row r="4263" s="2" customFormat="1" ht="13.5" customHeight="1">
      <c r="B4263" s="13"/>
      <c r="C4263" t="s" s="9">
        <v>16</v>
      </c>
      <c r="D4263" t="s" s="8">
        <v>1452</v>
      </c>
      <c r="E4263" t="s" s="9">
        <v>1453</v>
      </c>
      <c r="F4263" s="19">
        <v>5</v>
      </c>
      <c r="G4263" s="14"/>
      <c r="H4263" s="19">
        <v>5</v>
      </c>
      <c r="I4263" s="14"/>
      <c r="J4263" t="s" s="11">
        <v>20</v>
      </c>
      <c r="K4263" s="15"/>
      <c r="L4263" t="s" s="16">
        <f>HYPERLINK("http://csr.bu.edu/ftp/asl/asllvd/demos/verify_start_end_handshape_annotations//test_auto_move//signs_mov_separ_signers/Liz_16056.mov","MOV")</f>
        <v>21</v>
      </c>
      <c r="M4263" t="s" s="10">
        <v>84</v>
      </c>
      <c r="N4263" s="17">
        <v>38</v>
      </c>
      <c r="O4263" s="18">
        <v>1325</v>
      </c>
      <c r="P4263" s="18">
        <v>1390</v>
      </c>
      <c r="Q4263" s="15"/>
      <c r="R4263" t="s" s="16">
        <f>HYPERLINK("http://secrets.rutgers.edu:8080/data/asl-ftp/asllvd/demos/verify_start_end_handshape_annotations//test_auto_move//signs_mov_separ_signers/Liz_16056.mov","MOV")</f>
        <v>21</v>
      </c>
    </row>
    <row r="4264" s="2" customFormat="1" ht="13.5" customHeight="1">
      <c r="B4264" s="13"/>
      <c r="C4264" t="s" s="9">
        <v>23</v>
      </c>
      <c r="D4264" t="s" s="8">
        <v>1452</v>
      </c>
      <c r="E4264" t="s" s="9">
        <v>1453</v>
      </c>
      <c r="F4264" s="19">
        <v>5</v>
      </c>
      <c r="G4264" s="14"/>
      <c r="H4264" s="19">
        <v>5</v>
      </c>
      <c r="I4264" s="14"/>
      <c r="J4264" t="s" s="11">
        <v>20</v>
      </c>
      <c r="K4264" s="15"/>
      <c r="L4264" t="s" s="16">
        <f>HYPERLINK("http://csr.bu.edu/ftp/asl/asllvd/demos/verify_start_end_handshape_annotations//test_auto_move//signs_mov_separ_signers/Tyler_16056.mov","MOV")</f>
        <v>21</v>
      </c>
      <c r="M4264" t="s" s="10">
        <v>92</v>
      </c>
      <c r="N4264" s="17">
        <v>18</v>
      </c>
      <c r="O4264" s="18">
        <v>2325</v>
      </c>
      <c r="P4264" s="18">
        <v>2390</v>
      </c>
      <c r="Q4264" s="15"/>
      <c r="R4264" t="s" s="16">
        <f>HYPERLINK("http://secrets.rutgers.edu:8080/data/asl-ftp/asllvd/demos/verify_start_end_handshape_annotations//test_auto_move//signs_mov_separ_signers/Tyler_16056.mov","MOV")</f>
        <v>21</v>
      </c>
    </row>
    <row r="4265" s="2" customFormat="1" ht="13.5" customHeight="1">
      <c r="B4265" s="13"/>
      <c r="C4265" t="s" s="9">
        <v>27</v>
      </c>
      <c r="D4265" t="s" s="8">
        <v>1452</v>
      </c>
      <c r="E4265" t="s" s="9">
        <v>1454</v>
      </c>
      <c r="F4265" s="19">
        <v>5</v>
      </c>
      <c r="G4265" s="14"/>
      <c r="H4265" s="19">
        <v>5</v>
      </c>
      <c r="I4265" s="14"/>
      <c r="J4265" t="s" s="11">
        <v>20</v>
      </c>
      <c r="K4265" t="s" s="16">
        <f>HYPERLINK("http://csr.bu.edu/ftp/asl/asllvd/demos/verify_start_end_handshape_annotations//test_auto_move//signs_mov/16056_16554_merged.mov","MOV")</f>
        <v>21</v>
      </c>
      <c r="L4265" t="s" s="16">
        <f>HYPERLINK("http://csr.bu.edu/ftp/asl/asllvd/demos/verify_start_end_handshape_annotations//test_auto_move//signs_mov_separ_signers/Naomi_16056.mov","MOV")</f>
        <v>21</v>
      </c>
      <c r="M4265" t="s" s="10">
        <v>86</v>
      </c>
      <c r="N4265" s="17">
        <v>38</v>
      </c>
      <c r="O4265" s="18">
        <v>1051</v>
      </c>
      <c r="P4265" s="18">
        <v>1095</v>
      </c>
      <c r="Q4265" t="s" s="16">
        <f>HYPERLINK("http://secrets.rutgers.edu:8080/data/asl-ftp/asllvd/demos/verify_start_end_handshape_annotations//test_auto_move//signs_mov/16056_16554_merged.mov","MOV")</f>
        <v>21</v>
      </c>
      <c r="R4265" t="s" s="16">
        <f>HYPERLINK("http://secrets.rutgers.edu:8080/data/asl-ftp/asllvd/demos/verify_start_end_handshape_annotations//test_auto_move//signs_mov_separ_signers/Naomi_16056.mov","MOV")</f>
        <v>21</v>
      </c>
    </row>
    <row r="4266" s="2" customFormat="1" ht="13.5" customHeight="1">
      <c r="B4266" s="13"/>
      <c r="C4266" t="s" s="9">
        <v>30</v>
      </c>
      <c r="D4266" t="s" s="8">
        <v>1452</v>
      </c>
      <c r="E4266" t="s" s="9">
        <v>1453</v>
      </c>
      <c r="F4266" s="19">
        <v>5</v>
      </c>
      <c r="G4266" s="14"/>
      <c r="H4266" s="19">
        <v>5</v>
      </c>
      <c r="I4266" s="14"/>
      <c r="J4266" t="s" s="11">
        <v>20</v>
      </c>
      <c r="K4266" s="15"/>
      <c r="L4266" t="s" s="16">
        <f>HYPERLINK("http://csr.bu.edu/ftp/asl/asllvd/demos/verify_start_end_handshape_annotations//test_auto_move//signs_mov_separ_signers/Brady_16056.mov","MOV")</f>
        <v>21</v>
      </c>
      <c r="M4266" t="s" s="10">
        <v>39</v>
      </c>
      <c r="N4266" s="17">
        <v>16</v>
      </c>
      <c r="O4266" s="18">
        <v>3032</v>
      </c>
      <c r="P4266" s="18">
        <v>3087</v>
      </c>
      <c r="Q4266" s="15"/>
      <c r="R4266" t="s" s="16">
        <f>HYPERLINK("http://secrets.rutgers.edu:8080/data/asl-ftp/asllvd/demos/verify_start_end_handshape_annotations//test_auto_move//signs_mov_separ_signers/Brady_16056.mov","MOV")</f>
        <v>21</v>
      </c>
    </row>
    <row r="4267" s="2" customFormat="1" ht="13.5" customHeight="1">
      <c r="B4267" s="13"/>
      <c r="C4267" t="s" s="9">
        <v>30</v>
      </c>
      <c r="D4267" t="s" s="8">
        <v>1452</v>
      </c>
      <c r="E4267" t="s" s="9">
        <v>1453</v>
      </c>
      <c r="F4267" s="19">
        <v>5</v>
      </c>
      <c r="G4267" s="14"/>
      <c r="H4267" s="19">
        <v>5</v>
      </c>
      <c r="I4267" s="14"/>
      <c r="J4267" t="s" s="11">
        <v>20</v>
      </c>
      <c r="K4267" s="15"/>
      <c r="L4267" t="s" s="16">
        <f>HYPERLINK("http://csr.bu.edu/ftp/asl/asllvd/demos/verify_start_end_handshape_annotations//test_auto_move//signs_mov_separ_signers/Brady_16554.mov","MOV")</f>
        <v>21</v>
      </c>
      <c r="M4267" t="s" s="10">
        <v>40</v>
      </c>
      <c r="N4267" s="17">
        <v>91</v>
      </c>
      <c r="O4267" s="18">
        <v>1092</v>
      </c>
      <c r="P4267" s="18">
        <v>1153</v>
      </c>
      <c r="Q4267" s="15"/>
      <c r="R4267" t="s" s="16">
        <f>HYPERLINK("http://secrets.rutgers.edu:8080/data/asl-ftp/asllvd/demos/verify_start_end_handshape_annotations//test_auto_move//signs_mov_separ_signers/Brady_16554.mov","MOV")</f>
        <v>21</v>
      </c>
    </row>
    <row r="4268" s="2" customFormat="1" ht="13.5" customHeight="1">
      <c r="B4268" t="s" s="8">
        <v>1455</v>
      </c>
      <c r="C4268" t="s" s="9">
        <v>14</v>
      </c>
      <c r="D4268" t="s" s="8">
        <v>14</v>
      </c>
      <c r="E4268" t="s" s="9">
        <v>14</v>
      </c>
      <c r="F4268" t="s" s="10">
        <v>14</v>
      </c>
      <c r="G4268" t="s" s="11">
        <v>14</v>
      </c>
      <c r="H4268" t="s" s="10">
        <v>14</v>
      </c>
      <c r="I4268" t="s" s="11">
        <v>14</v>
      </c>
      <c r="J4268" t="s" s="11">
        <v>14</v>
      </c>
      <c r="K4268" t="s" s="12">
        <v>14</v>
      </c>
      <c r="L4268" t="s" s="12">
        <v>14</v>
      </c>
      <c r="M4268" t="s" s="10">
        <v>14</v>
      </c>
      <c r="N4268" t="s" s="11">
        <v>14</v>
      </c>
      <c r="O4268" t="s" s="8">
        <v>14</v>
      </c>
      <c r="P4268" t="s" s="8">
        <v>14</v>
      </c>
      <c r="Q4268" t="s" s="12">
        <v>14</v>
      </c>
      <c r="R4268" t="s" s="12">
        <v>14</v>
      </c>
    </row>
    <row r="4269" s="2" customFormat="1" ht="13.5" customHeight="1">
      <c r="B4269" s="13"/>
      <c r="C4269" t="s" s="9">
        <v>16</v>
      </c>
      <c r="D4269" t="s" s="8">
        <v>1455</v>
      </c>
      <c r="E4269" t="s" s="9">
        <v>1455</v>
      </c>
      <c r="F4269" s="19">
        <v>1</v>
      </c>
      <c r="G4269" s="17">
        <v>1</v>
      </c>
      <c r="H4269" s="19">
        <v>1</v>
      </c>
      <c r="I4269" s="17">
        <v>1</v>
      </c>
      <c r="J4269" t="s" s="11">
        <v>20</v>
      </c>
      <c r="K4269" s="15"/>
      <c r="L4269" t="s" s="16">
        <f>HYPERLINK("http://csr.bu.edu/ftp/asl/asllvd/demos/verify_start_end_handshape_annotations//test_auto_move//signs_mov_separ_signers/Liz_908.mov","MOV")</f>
        <v>21</v>
      </c>
      <c r="M4269" t="s" s="10">
        <v>84</v>
      </c>
      <c r="N4269" s="17">
        <v>41</v>
      </c>
      <c r="O4269" s="18">
        <v>2335</v>
      </c>
      <c r="P4269" s="18">
        <v>2405</v>
      </c>
      <c r="Q4269" s="15"/>
      <c r="R4269" t="s" s="16">
        <f>HYPERLINK("http://secrets.rutgers.edu:8080/data/asl-ftp/asllvd/demos/verify_start_end_handshape_annotations//test_auto_move//signs_mov_separ_signers/Liz_908.mov","MOV")</f>
        <v>21</v>
      </c>
    </row>
    <row r="4270" s="2" customFormat="1" ht="13.5" customHeight="1">
      <c r="B4270" s="13"/>
      <c r="C4270" t="s" s="9">
        <v>23</v>
      </c>
      <c r="D4270" t="s" s="8">
        <v>1455</v>
      </c>
      <c r="E4270" t="s" s="9">
        <v>1455</v>
      </c>
      <c r="F4270" s="19">
        <v>1</v>
      </c>
      <c r="G4270" s="17">
        <v>1</v>
      </c>
      <c r="H4270" s="19">
        <v>1</v>
      </c>
      <c r="I4270" s="17">
        <v>1</v>
      </c>
      <c r="J4270" t="s" s="11">
        <v>20</v>
      </c>
      <c r="K4270" t="s" s="16">
        <f>HYPERLINK("http://csr.bu.edu/ftp/asl/asllvd/demos/verify_start_end_handshape_annotations//test_auto_move//signs_mov/908.mov","MOV")</f>
        <v>21</v>
      </c>
      <c r="L4270" t="s" s="16">
        <f>HYPERLINK("http://csr.bu.edu/ftp/asl/asllvd/demos/verify_start_end_handshape_annotations//test_auto_move//signs_mov_separ_signers/Tyler_908.mov","MOV")</f>
        <v>21</v>
      </c>
      <c r="M4270" t="s" s="10">
        <v>92</v>
      </c>
      <c r="N4270" s="17">
        <v>21</v>
      </c>
      <c r="O4270" s="18">
        <v>1956</v>
      </c>
      <c r="P4270" s="18">
        <v>2001</v>
      </c>
      <c r="Q4270" t="s" s="16">
        <f>HYPERLINK("http://secrets.rutgers.edu:8080/data/asl-ftp/asllvd/demos/verify_start_end_handshape_annotations//test_auto_move//signs_mov/908.mov","MOV")</f>
        <v>21</v>
      </c>
      <c r="R4270" t="s" s="16">
        <f>HYPERLINK("http://secrets.rutgers.edu:8080/data/asl-ftp/asllvd/demos/verify_start_end_handshape_annotations//test_auto_move//signs_mov_separ_signers/Tyler_908.mov","MOV")</f>
        <v>21</v>
      </c>
    </row>
    <row r="4271" s="2" customFormat="1" ht="13.5" customHeight="1">
      <c r="B4271" s="13"/>
      <c r="C4271" t="s" s="9">
        <v>27</v>
      </c>
      <c r="D4271" t="s" s="8">
        <v>1455</v>
      </c>
      <c r="E4271" t="s" s="9">
        <v>1455</v>
      </c>
      <c r="F4271" s="19">
        <v>1</v>
      </c>
      <c r="G4271" s="17">
        <v>1</v>
      </c>
      <c r="H4271" s="19">
        <v>1</v>
      </c>
      <c r="I4271" s="17">
        <v>1</v>
      </c>
      <c r="J4271" t="s" s="11">
        <v>20</v>
      </c>
      <c r="K4271" s="15"/>
      <c r="L4271" t="s" s="16">
        <f>HYPERLINK("http://csr.bu.edu/ftp/asl/asllvd/demos/verify_start_end_handshape_annotations//test_auto_move//signs_mov_separ_signers/Naomi_908.mov","MOV")</f>
        <v>21</v>
      </c>
      <c r="M4271" t="s" s="10">
        <v>86</v>
      </c>
      <c r="N4271" s="17">
        <v>41</v>
      </c>
      <c r="O4271" s="18">
        <v>2050</v>
      </c>
      <c r="P4271" s="18">
        <v>2090</v>
      </c>
      <c r="Q4271" s="15"/>
      <c r="R4271" t="s" s="16">
        <f>HYPERLINK("http://secrets.rutgers.edu:8080/data/asl-ftp/asllvd/demos/verify_start_end_handshape_annotations//test_auto_move//signs_mov_separ_signers/Naomi_908.mov","MOV")</f>
        <v>21</v>
      </c>
    </row>
    <row r="4272" s="2" customFormat="1" ht="13.5" customHeight="1">
      <c r="B4272" s="13"/>
      <c r="C4272" t="s" s="9">
        <v>30</v>
      </c>
      <c r="D4272" t="s" s="8">
        <v>1455</v>
      </c>
      <c r="E4272" t="s" s="9">
        <v>1455</v>
      </c>
      <c r="F4272" s="19">
        <v>1</v>
      </c>
      <c r="G4272" s="17">
        <v>1</v>
      </c>
      <c r="H4272" s="19">
        <v>1</v>
      </c>
      <c r="I4272" s="17">
        <v>1</v>
      </c>
      <c r="J4272" t="s" s="11">
        <v>20</v>
      </c>
      <c r="K4272" s="15"/>
      <c r="L4272" t="s" s="16">
        <f>HYPERLINK("http://csr.bu.edu/ftp/asl/asllvd/demos/verify_start_end_handshape_annotations//test_auto_move//signs_mov_separ_signers/Brady_908.mov","MOV")</f>
        <v>21</v>
      </c>
      <c r="M4272" t="s" s="10">
        <v>39</v>
      </c>
      <c r="N4272" s="17">
        <v>18</v>
      </c>
      <c r="O4272" s="18">
        <v>3577</v>
      </c>
      <c r="P4272" s="18">
        <v>3614</v>
      </c>
      <c r="Q4272" s="15"/>
      <c r="R4272" t="s" s="16">
        <f>HYPERLINK("http://secrets.rutgers.edu:8080/data/asl-ftp/asllvd/demos/verify_start_end_handshape_annotations//test_auto_move//signs_mov_separ_signers/Brady_908.mov","MOV")</f>
        <v>21</v>
      </c>
    </row>
    <row r="4273" s="2" customFormat="1" ht="13.5" customHeight="1">
      <c r="B4273" t="s" s="8">
        <v>1456</v>
      </c>
      <c r="C4273" t="s" s="9">
        <v>14</v>
      </c>
      <c r="D4273" t="s" s="8">
        <v>14</v>
      </c>
      <c r="E4273" t="s" s="9">
        <v>14</v>
      </c>
      <c r="F4273" t="s" s="10">
        <v>14</v>
      </c>
      <c r="G4273" t="s" s="11">
        <v>14</v>
      </c>
      <c r="H4273" t="s" s="10">
        <v>14</v>
      </c>
      <c r="I4273" t="s" s="11">
        <v>14</v>
      </c>
      <c r="J4273" t="s" s="11">
        <v>14</v>
      </c>
      <c r="K4273" t="s" s="12">
        <v>14</v>
      </c>
      <c r="L4273" t="s" s="12">
        <v>14</v>
      </c>
      <c r="M4273" t="s" s="10">
        <v>14</v>
      </c>
      <c r="N4273" t="s" s="11">
        <v>14</v>
      </c>
      <c r="O4273" t="s" s="8">
        <v>14</v>
      </c>
      <c r="P4273" t="s" s="8">
        <v>14</v>
      </c>
      <c r="Q4273" t="s" s="12">
        <v>14</v>
      </c>
      <c r="R4273" t="s" s="12">
        <v>14</v>
      </c>
    </row>
    <row r="4274" s="2" customFormat="1" ht="13.5" customHeight="1">
      <c r="B4274" s="13"/>
      <c r="C4274" t="s" s="9">
        <v>16</v>
      </c>
      <c r="D4274" t="s" s="8">
        <v>1456</v>
      </c>
      <c r="E4274" t="s" s="9">
        <v>1456</v>
      </c>
      <c r="F4274" s="19">
        <v>5</v>
      </c>
      <c r="G4274" s="17">
        <v>5</v>
      </c>
      <c r="H4274" s="19">
        <v>5</v>
      </c>
      <c r="I4274" s="17">
        <v>5</v>
      </c>
      <c r="J4274" t="s" s="11">
        <v>20</v>
      </c>
      <c r="K4274" s="15"/>
      <c r="L4274" t="s" s="16">
        <f>HYPERLINK("http://csr.bu.edu/ftp/asl/asllvd/demos/verify_start_end_handshape_annotations//test_auto_move//signs_mov_separ_signers/Liz_15078.mov","MOV")</f>
        <v>21</v>
      </c>
      <c r="M4274" t="s" s="10">
        <v>84</v>
      </c>
      <c r="N4274" s="17">
        <v>42</v>
      </c>
      <c r="O4274" s="18">
        <v>286</v>
      </c>
      <c r="P4274" s="18">
        <v>330</v>
      </c>
      <c r="Q4274" s="15"/>
      <c r="R4274" t="s" s="16">
        <f>HYPERLINK("http://secrets.rutgers.edu:8080/data/asl-ftp/asllvd/demos/verify_start_end_handshape_annotations//test_auto_move//signs_mov_separ_signers/Liz_15078.mov","MOV")</f>
        <v>21</v>
      </c>
    </row>
    <row r="4275" s="2" customFormat="1" ht="13.5" customHeight="1">
      <c r="B4275" s="13"/>
      <c r="C4275" t="s" s="9">
        <v>23</v>
      </c>
      <c r="D4275" t="s" s="8">
        <v>1456</v>
      </c>
      <c r="E4275" t="s" s="9">
        <v>1456</v>
      </c>
      <c r="F4275" s="19">
        <v>5</v>
      </c>
      <c r="G4275" s="17">
        <v>5</v>
      </c>
      <c r="H4275" s="19">
        <v>5</v>
      </c>
      <c r="I4275" s="17">
        <v>5</v>
      </c>
      <c r="J4275" t="s" s="11">
        <v>20</v>
      </c>
      <c r="K4275" t="s" s="16">
        <f>HYPERLINK("http://csr.bu.edu/ftp/asl/asllvd/demos/verify_start_end_handshape_annotations//test_auto_move//signs_mov/15078.mov","MOV")</f>
        <v>21</v>
      </c>
      <c r="L4275" t="s" s="16">
        <f>HYPERLINK("http://csr.bu.edu/ftp/asl/asllvd/demos/verify_start_end_handshape_annotations//test_auto_move//signs_mov_separ_signers/Tyler_15078.mov","MOV")</f>
        <v>21</v>
      </c>
      <c r="M4275" t="s" s="10">
        <v>92</v>
      </c>
      <c r="N4275" s="17">
        <v>21</v>
      </c>
      <c r="O4275" s="18">
        <v>2480</v>
      </c>
      <c r="P4275" s="18">
        <v>2505</v>
      </c>
      <c r="Q4275" t="s" s="16">
        <f>HYPERLINK("http://secrets.rutgers.edu:8080/data/asl-ftp/asllvd/demos/verify_start_end_handshape_annotations//test_auto_move//signs_mov/15078.mov","MOV")</f>
        <v>21</v>
      </c>
      <c r="R4275" t="s" s="16">
        <f>HYPERLINK("http://secrets.rutgers.edu:8080/data/asl-ftp/asllvd/demos/verify_start_end_handshape_annotations//test_auto_move//signs_mov_separ_signers/Tyler_15078.mov","MOV")</f>
        <v>21</v>
      </c>
    </row>
    <row r="4276" s="2" customFormat="1" ht="13.5" customHeight="1">
      <c r="B4276" s="13"/>
      <c r="C4276" t="s" s="9">
        <v>27</v>
      </c>
      <c r="D4276" t="s" s="8">
        <v>1456</v>
      </c>
      <c r="E4276" t="s" s="9">
        <v>1456</v>
      </c>
      <c r="F4276" s="19">
        <v>5</v>
      </c>
      <c r="G4276" s="17">
        <v>5</v>
      </c>
      <c r="H4276" s="19">
        <v>5</v>
      </c>
      <c r="I4276" s="17">
        <v>5</v>
      </c>
      <c r="J4276" t="s" s="11">
        <v>20</v>
      </c>
      <c r="K4276" s="15"/>
      <c r="L4276" t="s" s="16">
        <f>HYPERLINK("http://csr.bu.edu/ftp/asl/asllvd/demos/verify_start_end_handshape_annotations//test_auto_move//signs_mov_separ_signers/Naomi_15078.mov","MOV")</f>
        <v>21</v>
      </c>
      <c r="M4276" t="s" s="10">
        <v>86</v>
      </c>
      <c r="N4276" s="17">
        <v>41</v>
      </c>
      <c r="O4276" s="18">
        <v>2677</v>
      </c>
      <c r="P4276" s="18">
        <v>2700</v>
      </c>
      <c r="Q4276" s="15"/>
      <c r="R4276" t="s" s="16">
        <f>HYPERLINK("http://secrets.rutgers.edu:8080/data/asl-ftp/asllvd/demos/verify_start_end_handshape_annotations//test_auto_move//signs_mov_separ_signers/Naomi_15078.mov","MOV")</f>
        <v>21</v>
      </c>
    </row>
    <row r="4277" s="2" customFormat="1" ht="13.5" customHeight="1">
      <c r="B4277" s="13"/>
      <c r="C4277" t="s" s="9">
        <v>30</v>
      </c>
      <c r="D4277" t="s" s="8">
        <v>1456</v>
      </c>
      <c r="E4277" t="s" s="9">
        <v>1456</v>
      </c>
      <c r="F4277" s="19">
        <v>5</v>
      </c>
      <c r="G4277" s="17">
        <v>5</v>
      </c>
      <c r="H4277" s="19">
        <v>5</v>
      </c>
      <c r="I4277" s="17">
        <v>5</v>
      </c>
      <c r="J4277" t="s" s="11">
        <v>20</v>
      </c>
      <c r="K4277" s="15"/>
      <c r="L4277" t="s" s="16">
        <f>HYPERLINK("http://csr.bu.edu/ftp/asl/asllvd/demos/verify_start_end_handshape_annotations//test_auto_move//signs_mov_separ_signers/Brady_15078.mov","MOV")</f>
        <v>21</v>
      </c>
      <c r="M4277" t="s" s="10">
        <v>39</v>
      </c>
      <c r="N4277" s="17">
        <v>18</v>
      </c>
      <c r="O4277" s="18">
        <v>4222</v>
      </c>
      <c r="P4277" s="18">
        <v>4250</v>
      </c>
      <c r="Q4277" s="15"/>
      <c r="R4277" t="s" s="16">
        <f>HYPERLINK("http://secrets.rutgers.edu:8080/data/asl-ftp/asllvd/demos/verify_start_end_handshape_annotations//test_auto_move//signs_mov_separ_signers/Brady_15078.mov","MOV")</f>
        <v>21</v>
      </c>
    </row>
    <row r="4278" s="2" customFormat="1" ht="13.5" customHeight="1">
      <c r="B4278" t="s" s="8">
        <v>1457</v>
      </c>
      <c r="C4278" t="s" s="9">
        <v>14</v>
      </c>
      <c r="D4278" t="s" s="8">
        <v>14</v>
      </c>
      <c r="E4278" t="s" s="9">
        <v>14</v>
      </c>
      <c r="F4278" t="s" s="10">
        <v>14</v>
      </c>
      <c r="G4278" t="s" s="11">
        <v>14</v>
      </c>
      <c r="H4278" t="s" s="10">
        <v>14</v>
      </c>
      <c r="I4278" t="s" s="11">
        <v>14</v>
      </c>
      <c r="J4278" t="s" s="11">
        <v>14</v>
      </c>
      <c r="K4278" t="s" s="12">
        <v>14</v>
      </c>
      <c r="L4278" t="s" s="12">
        <v>14</v>
      </c>
      <c r="M4278" t="s" s="10">
        <v>14</v>
      </c>
      <c r="N4278" t="s" s="11">
        <v>14</v>
      </c>
      <c r="O4278" t="s" s="8">
        <v>14</v>
      </c>
      <c r="P4278" t="s" s="8">
        <v>14</v>
      </c>
      <c r="Q4278" t="s" s="12">
        <v>14</v>
      </c>
      <c r="R4278" t="s" s="12">
        <v>14</v>
      </c>
    </row>
    <row r="4279" s="2" customFormat="1" ht="13.5" customHeight="1">
      <c r="B4279" s="13"/>
      <c r="C4279" t="s" s="9">
        <v>16</v>
      </c>
      <c r="D4279" t="s" s="8">
        <v>1457</v>
      </c>
      <c r="E4279" t="s" s="9">
        <v>1457</v>
      </c>
      <c r="F4279" s="19">
        <v>5</v>
      </c>
      <c r="G4279" t="s" s="11">
        <v>73</v>
      </c>
      <c r="H4279" s="19">
        <v>5</v>
      </c>
      <c r="I4279" t="s" s="11">
        <v>73</v>
      </c>
      <c r="J4279" t="s" s="11">
        <v>20</v>
      </c>
      <c r="K4279" s="15"/>
      <c r="L4279" t="s" s="16">
        <f>HYPERLINK("http://csr.bu.edu/ftp/asl/asllvd/demos/verify_start_end_handshape_annotations//test_auto_move//signs_mov_separ_signers/Liz_909.mov","MOV")</f>
        <v>21</v>
      </c>
      <c r="M4279" t="s" s="10">
        <v>84</v>
      </c>
      <c r="N4279" s="17">
        <v>41</v>
      </c>
      <c r="O4279" s="18">
        <v>2601</v>
      </c>
      <c r="P4279" s="18">
        <v>2630</v>
      </c>
      <c r="Q4279" s="15"/>
      <c r="R4279" t="s" s="16">
        <f>HYPERLINK("http://secrets.rutgers.edu:8080/data/asl-ftp/asllvd/demos/verify_start_end_handshape_annotations//test_auto_move//signs_mov_separ_signers/Liz_909.mov","MOV")</f>
        <v>21</v>
      </c>
    </row>
    <row r="4280" s="2" customFormat="1" ht="13.5" customHeight="1">
      <c r="B4280" s="13"/>
      <c r="C4280" t="s" s="9">
        <v>27</v>
      </c>
      <c r="D4280" t="s" s="8">
        <v>1457</v>
      </c>
      <c r="E4280" t="s" s="9">
        <v>1457</v>
      </c>
      <c r="F4280" s="19">
        <v>5</v>
      </c>
      <c r="G4280" t="s" s="11">
        <v>73</v>
      </c>
      <c r="H4280" s="19">
        <v>5</v>
      </c>
      <c r="I4280" t="s" s="11">
        <v>73</v>
      </c>
      <c r="J4280" t="s" s="11">
        <v>20</v>
      </c>
      <c r="K4280" t="s" s="16">
        <f>HYPERLINK("http://csr.bu.edu/ftp/asl/asllvd/demos/verify_start_end_handshape_annotations//test_auto_move//signs_mov/909.mov","MOV")</f>
        <v>21</v>
      </c>
      <c r="L4280" t="s" s="16">
        <f>HYPERLINK("http://csr.bu.edu/ftp/asl/asllvd/demos/verify_start_end_handshape_annotations//test_auto_move//signs_mov_separ_signers/Naomi_909.mov","MOV")</f>
        <v>21</v>
      </c>
      <c r="M4280" t="s" s="10">
        <v>86</v>
      </c>
      <c r="N4280" s="17">
        <v>41</v>
      </c>
      <c r="O4280" s="18">
        <v>2325</v>
      </c>
      <c r="P4280" s="18">
        <v>2366</v>
      </c>
      <c r="Q4280" t="s" s="16">
        <f>HYPERLINK("http://secrets.rutgers.edu:8080/data/asl-ftp/asllvd/demos/verify_start_end_handshape_annotations//test_auto_move//signs_mov/909.mov","MOV")</f>
        <v>21</v>
      </c>
      <c r="R4280" t="s" s="16">
        <f>HYPERLINK("http://secrets.rutgers.edu:8080/data/asl-ftp/asllvd/demos/verify_start_end_handshape_annotations//test_auto_move//signs_mov_separ_signers/Naomi_909.mov","MOV")</f>
        <v>21</v>
      </c>
    </row>
    <row r="4281" s="2" customFormat="1" ht="13.5" customHeight="1">
      <c r="B4281" s="13"/>
      <c r="C4281" t="s" s="9">
        <v>30</v>
      </c>
      <c r="D4281" t="s" s="8">
        <v>1457</v>
      </c>
      <c r="E4281" t="s" s="9">
        <v>1457</v>
      </c>
      <c r="F4281" s="19">
        <v>5</v>
      </c>
      <c r="G4281" t="s" s="11">
        <v>73</v>
      </c>
      <c r="H4281" s="19">
        <v>5</v>
      </c>
      <c r="I4281" t="s" s="11">
        <v>73</v>
      </c>
      <c r="J4281" t="s" s="11">
        <v>20</v>
      </c>
      <c r="K4281" s="15"/>
      <c r="L4281" t="s" s="16">
        <f>HYPERLINK("http://csr.bu.edu/ftp/asl/asllvd/demos/verify_start_end_handshape_annotations//test_auto_move//signs_mov_separ_signers/Brady_909.mov","MOV")</f>
        <v>21</v>
      </c>
      <c r="M4281" t="s" s="10">
        <v>39</v>
      </c>
      <c r="N4281" s="17">
        <v>18</v>
      </c>
      <c r="O4281" s="18">
        <v>3990</v>
      </c>
      <c r="P4281" s="18">
        <v>4017</v>
      </c>
      <c r="Q4281" s="15"/>
      <c r="R4281" t="s" s="16">
        <f>HYPERLINK("http://secrets.rutgers.edu:8080/data/asl-ftp/asllvd/demos/verify_start_end_handshape_annotations//test_auto_move//signs_mov_separ_signers/Brady_909.mov","MOV")</f>
        <v>21</v>
      </c>
    </row>
    <row r="4282" s="2" customFormat="1" ht="13.5" customHeight="1">
      <c r="B4282" t="s" s="8">
        <v>52</v>
      </c>
      <c r="C4282" t="s" s="9">
        <v>53</v>
      </c>
      <c r="D4282" t="s" s="8">
        <v>53</v>
      </c>
      <c r="E4282" t="s" s="9">
        <v>53</v>
      </c>
      <c r="F4282" t="s" s="10">
        <v>53</v>
      </c>
      <c r="G4282" t="s" s="11">
        <v>53</v>
      </c>
      <c r="H4282" t="s" s="10">
        <v>53</v>
      </c>
      <c r="I4282" t="s" s="11">
        <v>53</v>
      </c>
      <c r="J4282" t="s" s="11">
        <v>53</v>
      </c>
      <c r="K4282" t="s" s="12">
        <v>53</v>
      </c>
      <c r="L4282" t="s" s="12">
        <v>53</v>
      </c>
      <c r="M4282" t="s" s="10">
        <v>53</v>
      </c>
      <c r="N4282" t="s" s="11">
        <v>53</v>
      </c>
      <c r="O4282" t="s" s="8">
        <v>53</v>
      </c>
      <c r="P4282" t="s" s="8">
        <v>53</v>
      </c>
      <c r="Q4282" t="s" s="12">
        <v>53</v>
      </c>
      <c r="R4282" t="s" s="12">
        <v>53</v>
      </c>
    </row>
    <row r="4283" s="2" customFormat="1" ht="13.5" customHeight="1">
      <c r="B4283" s="13"/>
      <c r="C4283" t="s" s="9">
        <v>23</v>
      </c>
      <c r="D4283" t="s" s="8">
        <v>1457</v>
      </c>
      <c r="E4283" t="s" s="9">
        <v>1458</v>
      </c>
      <c r="F4283" s="19">
        <v>1</v>
      </c>
      <c r="G4283" t="s" s="11">
        <v>73</v>
      </c>
      <c r="H4283" s="19">
        <v>1</v>
      </c>
      <c r="I4283" t="s" s="11">
        <v>73</v>
      </c>
      <c r="J4283" t="s" s="11">
        <v>20</v>
      </c>
      <c r="K4283" t="s" s="16">
        <f>HYPERLINK("http://csr.bu.edu/ftp/asl/asllvd/demos/verify_start_end_handshape_annotations//test_auto_move//signs_mov/5184.mov","MOV")</f>
        <v>21</v>
      </c>
      <c r="L4283" t="s" s="16">
        <f>HYPERLINK("http://csr.bu.edu/ftp/asl/asllvd/demos/verify_start_end_handshape_annotations//test_auto_move//signs_mov_separ_signers/Tyler_5184.mov","MOV")</f>
        <v>21</v>
      </c>
      <c r="M4283" t="s" s="10">
        <v>92</v>
      </c>
      <c r="N4283" s="17">
        <v>21</v>
      </c>
      <c r="O4283" s="18">
        <v>2205</v>
      </c>
      <c r="P4283" s="18">
        <v>2265</v>
      </c>
      <c r="Q4283" t="s" s="16">
        <f>HYPERLINK("http://secrets.rutgers.edu:8080/data/asl-ftp/asllvd/demos/verify_start_end_handshape_annotations//test_auto_move//signs_mov/5184.mov","MOV")</f>
        <v>21</v>
      </c>
      <c r="R4283" t="s" s="16">
        <f>HYPERLINK("http://secrets.rutgers.edu:8080/data/asl-ftp/asllvd/demos/verify_start_end_handshape_annotations//test_auto_move//signs_mov_separ_signers/Tyler_5184.mov","MOV")</f>
        <v>21</v>
      </c>
    </row>
    <row r="4284" s="2" customFormat="1" ht="13.5" customHeight="1">
      <c r="B4284" t="s" s="8">
        <v>1459</v>
      </c>
      <c r="C4284" t="s" s="9">
        <v>14</v>
      </c>
      <c r="D4284" t="s" s="8">
        <v>14</v>
      </c>
      <c r="E4284" t="s" s="9">
        <v>14</v>
      </c>
      <c r="F4284" t="s" s="10">
        <v>14</v>
      </c>
      <c r="G4284" t="s" s="11">
        <v>14</v>
      </c>
      <c r="H4284" t="s" s="10">
        <v>14</v>
      </c>
      <c r="I4284" t="s" s="11">
        <v>14</v>
      </c>
      <c r="J4284" t="s" s="11">
        <v>14</v>
      </c>
      <c r="K4284" t="s" s="12">
        <v>14</v>
      </c>
      <c r="L4284" t="s" s="12">
        <v>14</v>
      </c>
      <c r="M4284" t="s" s="10">
        <v>14</v>
      </c>
      <c r="N4284" t="s" s="11">
        <v>14</v>
      </c>
      <c r="O4284" t="s" s="8">
        <v>14</v>
      </c>
      <c r="P4284" t="s" s="8">
        <v>14</v>
      </c>
      <c r="Q4284" t="s" s="12">
        <v>14</v>
      </c>
      <c r="R4284" t="s" s="12">
        <v>14</v>
      </c>
    </row>
    <row r="4285" s="2" customFormat="1" ht="13.5" customHeight="1">
      <c r="B4285" s="13"/>
      <c r="C4285" t="s" s="9">
        <v>16</v>
      </c>
      <c r="D4285" t="s" s="8">
        <v>1459</v>
      </c>
      <c r="E4285" t="s" s="9">
        <v>1460</v>
      </c>
      <c r="F4285" t="s" s="10">
        <v>72</v>
      </c>
      <c r="G4285" s="14"/>
      <c r="H4285" t="s" s="10">
        <v>72</v>
      </c>
      <c r="I4285" s="14"/>
      <c r="J4285" t="s" s="11">
        <v>20</v>
      </c>
      <c r="K4285" s="15"/>
      <c r="L4285" t="s" s="16">
        <f>HYPERLINK("http://csr.bu.edu/ftp/asl/asllvd/demos/verify_start_end_handshape_annotations//test_auto_move//signs_mov_separ_signers/Liz_912.mov","MOV")</f>
        <v>21</v>
      </c>
      <c r="M4285" t="s" s="10">
        <v>22</v>
      </c>
      <c r="N4285" s="17">
        <v>66</v>
      </c>
      <c r="O4285" s="18">
        <v>555</v>
      </c>
      <c r="P4285" s="18">
        <v>595</v>
      </c>
      <c r="Q4285" s="15"/>
      <c r="R4285" t="s" s="16">
        <f>HYPERLINK("http://secrets.rutgers.edu:8080/data/asl-ftp/asllvd/demos/verify_start_end_handshape_annotations//test_auto_move//signs_mov_separ_signers/Liz_912.mov","MOV")</f>
        <v>21</v>
      </c>
    </row>
    <row r="4286" s="2" customFormat="1" ht="13.5" customHeight="1">
      <c r="B4286" s="13"/>
      <c r="C4286" t="s" s="9">
        <v>16</v>
      </c>
      <c r="D4286" t="s" s="8">
        <v>1459</v>
      </c>
      <c r="E4286" t="s" s="9">
        <v>1460</v>
      </c>
      <c r="F4286" s="19">
        <v>5</v>
      </c>
      <c r="G4286" s="14"/>
      <c r="H4286" s="19">
        <v>5</v>
      </c>
      <c r="I4286" s="14"/>
      <c r="J4286" t="s" s="11">
        <v>20</v>
      </c>
      <c r="K4286" s="15"/>
      <c r="L4286" t="s" s="16">
        <f>HYPERLINK("http://csr.bu.edu/ftp/asl/asllvd/demos/verify_start_end_handshape_annotations//test_auto_move//signs_mov_separ_signers/Liz_3523.mov","MOV")</f>
        <v>21</v>
      </c>
      <c r="M4286" t="s" s="10">
        <v>84</v>
      </c>
      <c r="N4286" s="17">
        <v>42</v>
      </c>
      <c r="O4286" s="18">
        <v>460</v>
      </c>
      <c r="P4286" s="18">
        <v>505</v>
      </c>
      <c r="Q4286" s="15"/>
      <c r="R4286" t="s" s="16">
        <f>HYPERLINK("http://secrets.rutgers.edu:8080/data/asl-ftp/asllvd/demos/verify_start_end_handshape_annotations//test_auto_move//signs_mov_separ_signers/Liz_3523.mov","MOV")</f>
        <v>21</v>
      </c>
    </row>
    <row r="4287" s="2" customFormat="1" ht="13.5" customHeight="1">
      <c r="B4287" s="13"/>
      <c r="C4287" t="s" s="9">
        <v>23</v>
      </c>
      <c r="D4287" t="s" s="8">
        <v>1459</v>
      </c>
      <c r="E4287" t="s" s="9">
        <v>1461</v>
      </c>
      <c r="F4287" s="19">
        <v>5</v>
      </c>
      <c r="G4287" s="14"/>
      <c r="H4287" s="19">
        <v>5</v>
      </c>
      <c r="I4287" s="14"/>
      <c r="J4287" t="s" s="11">
        <v>20</v>
      </c>
      <c r="K4287" s="15"/>
      <c r="L4287" t="s" s="16">
        <f>HYPERLINK("http://csr.bu.edu/ftp/asl/asllvd/demos/verify_start_end_handshape_annotations//test_auto_move//signs_mov_separ_signers/Tyler_912.mov","MOV")</f>
        <v>21</v>
      </c>
      <c r="M4287" t="s" s="10">
        <v>92</v>
      </c>
      <c r="N4287" s="17">
        <v>22</v>
      </c>
      <c r="O4287" s="18">
        <v>280</v>
      </c>
      <c r="P4287" s="18">
        <v>325</v>
      </c>
      <c r="Q4287" s="15"/>
      <c r="R4287" t="s" s="16">
        <f>HYPERLINK("http://secrets.rutgers.edu:8080/data/asl-ftp/asllvd/demos/verify_start_end_handshape_annotations//test_auto_move//signs_mov_separ_signers/Tyler_912.mov","MOV")</f>
        <v>21</v>
      </c>
    </row>
    <row r="4288" s="2" customFormat="1" ht="13.5" customHeight="1">
      <c r="B4288" s="13"/>
      <c r="C4288" t="s" s="9">
        <v>23</v>
      </c>
      <c r="D4288" t="s" s="8">
        <v>1459</v>
      </c>
      <c r="E4288" t="s" s="9">
        <v>1461</v>
      </c>
      <c r="F4288" s="19">
        <v>5</v>
      </c>
      <c r="G4288" s="14"/>
      <c r="H4288" s="19">
        <v>5</v>
      </c>
      <c r="I4288" s="14"/>
      <c r="J4288" t="s" s="11">
        <v>20</v>
      </c>
      <c r="K4288" s="15"/>
      <c r="L4288" t="s" s="16">
        <f>HYPERLINK("http://csr.bu.edu/ftp/asl/asllvd/demos/verify_start_end_handshape_annotations//test_auto_move//signs_mov_separ_signers/Tyler_3523.mov","MOV")</f>
        <v>21</v>
      </c>
      <c r="M4288" t="s" s="10">
        <v>92</v>
      </c>
      <c r="N4288" s="17">
        <v>22</v>
      </c>
      <c r="O4288" s="18">
        <v>765</v>
      </c>
      <c r="P4288" s="18">
        <v>816</v>
      </c>
      <c r="Q4288" s="15"/>
      <c r="R4288" t="s" s="16">
        <f>HYPERLINK("http://secrets.rutgers.edu:8080/data/asl-ftp/asllvd/demos/verify_start_end_handshape_annotations//test_auto_move//signs_mov_separ_signers/Tyler_3523.mov","MOV")</f>
        <v>21</v>
      </c>
    </row>
    <row r="4289" s="2" customFormat="1" ht="13.5" customHeight="1">
      <c r="B4289" s="13"/>
      <c r="C4289" t="s" s="9">
        <v>27</v>
      </c>
      <c r="D4289" t="s" s="8">
        <v>1459</v>
      </c>
      <c r="E4289" t="s" s="9">
        <v>1460</v>
      </c>
      <c r="F4289" s="19">
        <v>5</v>
      </c>
      <c r="G4289" s="14"/>
      <c r="H4289" s="19">
        <v>5</v>
      </c>
      <c r="I4289" s="14"/>
      <c r="J4289" t="s" s="11">
        <v>20</v>
      </c>
      <c r="K4289" t="s" s="16">
        <f>HYPERLINK("http://csr.bu.edu/ftp/asl/asllvd/demos/verify_start_end_handshape_annotations//test_auto_move//signs_mov/912_3523_5905_merged.mov","MOV")</f>
        <v>21</v>
      </c>
      <c r="L4289" t="s" s="16">
        <f>HYPERLINK("http://csr.bu.edu/ftp/asl/asllvd/demos/verify_start_end_handshape_annotations//test_auto_move//signs_mov_separ_signers/Naomi_912.mov","MOV")</f>
        <v>21</v>
      </c>
      <c r="M4289" t="s" s="10">
        <v>86</v>
      </c>
      <c r="N4289" s="17">
        <v>42</v>
      </c>
      <c r="O4289" s="18">
        <v>105</v>
      </c>
      <c r="P4289" s="18">
        <v>145</v>
      </c>
      <c r="Q4289" t="s" s="16">
        <f>HYPERLINK("http://secrets.rutgers.edu:8080/data/asl-ftp/asllvd/demos/verify_start_end_handshape_annotations//test_auto_move//signs_mov/912_3523_5905_merged.mov","MOV")</f>
        <v>21</v>
      </c>
      <c r="R4289" t="s" s="16">
        <f>HYPERLINK("http://secrets.rutgers.edu:8080/data/asl-ftp/asllvd/demos/verify_start_end_handshape_annotations//test_auto_move//signs_mov_separ_signers/Naomi_912.mov","MOV")</f>
        <v>21</v>
      </c>
    </row>
    <row r="4290" s="2" customFormat="1" ht="13.5" customHeight="1">
      <c r="B4290" s="13"/>
      <c r="C4290" t="s" s="9">
        <v>30</v>
      </c>
      <c r="D4290" t="s" s="8">
        <v>1459</v>
      </c>
      <c r="E4290" t="s" s="9">
        <v>1460</v>
      </c>
      <c r="F4290" t="s" s="10">
        <v>72</v>
      </c>
      <c r="G4290" s="14"/>
      <c r="H4290" t="s" s="10">
        <v>72</v>
      </c>
      <c r="I4290" s="14"/>
      <c r="J4290" t="s" s="11">
        <v>20</v>
      </c>
      <c r="K4290" s="15"/>
      <c r="L4290" t="s" s="16">
        <f>HYPERLINK("http://csr.bu.edu/ftp/asl/asllvd/demos/verify_start_end_handshape_annotations//test_auto_move//signs_mov_separ_signers/Brady_912.mov","MOV")</f>
        <v>21</v>
      </c>
      <c r="M4290" t="s" s="10">
        <v>31</v>
      </c>
      <c r="N4290" s="17">
        <v>25</v>
      </c>
      <c r="O4290" s="18">
        <v>20072</v>
      </c>
      <c r="P4290" s="18">
        <v>20111</v>
      </c>
      <c r="Q4290" s="15"/>
      <c r="R4290" t="s" s="16">
        <f>HYPERLINK("http://secrets.rutgers.edu:8080/data/asl-ftp/asllvd/demos/verify_start_end_handshape_annotations//test_auto_move//signs_mov_separ_signers/Brady_912.mov","MOV")</f>
        <v>21</v>
      </c>
    </row>
    <row r="4291" s="2" customFormat="1" ht="13.5" customHeight="1">
      <c r="B4291" s="13"/>
      <c r="C4291" t="s" s="9">
        <v>30</v>
      </c>
      <c r="D4291" t="s" s="8">
        <v>1459</v>
      </c>
      <c r="E4291" t="s" s="9">
        <v>1459</v>
      </c>
      <c r="F4291" s="19">
        <v>5</v>
      </c>
      <c r="G4291" s="14"/>
      <c r="H4291" s="19">
        <v>5</v>
      </c>
      <c r="I4291" s="14"/>
      <c r="J4291" t="s" s="11">
        <v>20</v>
      </c>
      <c r="K4291" s="15"/>
      <c r="L4291" t="s" s="16">
        <f>HYPERLINK("http://csr.bu.edu/ftp/asl/asllvd/demos/verify_start_end_handshape_annotations//test_auto_move//signs_mov_separ_signers/Brady_3523.mov","MOV")</f>
        <v>21</v>
      </c>
      <c r="M4291" t="s" s="10">
        <v>39</v>
      </c>
      <c r="N4291" s="17">
        <v>18</v>
      </c>
      <c r="O4291" s="18">
        <v>4484</v>
      </c>
      <c r="P4291" s="18">
        <v>4518</v>
      </c>
      <c r="Q4291" s="15"/>
      <c r="R4291" t="s" s="16">
        <f>HYPERLINK("http://secrets.rutgers.edu:8080/data/asl-ftp/asllvd/demos/verify_start_end_handshape_annotations//test_auto_move//signs_mov_separ_signers/Brady_3523.mov","MOV")</f>
        <v>21</v>
      </c>
    </row>
    <row r="4292" s="2" customFormat="1" ht="13.5" customHeight="1">
      <c r="B4292" s="13"/>
      <c r="C4292" t="s" s="9">
        <v>30</v>
      </c>
      <c r="D4292" t="s" s="8">
        <v>1459</v>
      </c>
      <c r="E4292" t="s" s="9">
        <v>1460</v>
      </c>
      <c r="F4292" s="19">
        <v>5</v>
      </c>
      <c r="G4292" s="14"/>
      <c r="H4292" s="19">
        <v>5</v>
      </c>
      <c r="I4292" s="14"/>
      <c r="J4292" t="s" s="11">
        <v>20</v>
      </c>
      <c r="K4292" s="15"/>
      <c r="L4292" t="s" s="16">
        <f>HYPERLINK("http://csr.bu.edu/ftp/asl/asllvd/demos/verify_start_end_handshape_annotations//test_auto_move//signs_mov_separ_signers/Brady_5905.mov","MOV")</f>
        <v>21</v>
      </c>
      <c r="M4292" t="s" s="10">
        <v>60</v>
      </c>
      <c r="N4292" s="17">
        <v>39</v>
      </c>
      <c r="O4292" s="18">
        <v>2337</v>
      </c>
      <c r="P4292" s="18">
        <v>2392</v>
      </c>
      <c r="Q4292" s="15"/>
      <c r="R4292" t="s" s="16">
        <f>HYPERLINK("http://secrets.rutgers.edu:8080/data/asl-ftp/asllvd/demos/verify_start_end_handshape_annotations//test_auto_move//signs_mov_separ_signers/Brady_5905.mov","MOV")</f>
        <v>21</v>
      </c>
    </row>
    <row r="4293" s="2" customFormat="1" ht="13.5" customHeight="1">
      <c r="B4293" s="13"/>
      <c r="C4293" t="s" s="9">
        <v>41</v>
      </c>
      <c r="D4293" t="s" s="8">
        <v>1459</v>
      </c>
      <c r="E4293" t="s" s="9">
        <v>1460</v>
      </c>
      <c r="F4293" s="19">
        <v>5</v>
      </c>
      <c r="G4293" s="14"/>
      <c r="H4293" s="19">
        <v>5</v>
      </c>
      <c r="I4293" s="14"/>
      <c r="J4293" t="s" s="11">
        <v>20</v>
      </c>
      <c r="K4293" s="15"/>
      <c r="L4293" t="s" s="16">
        <f>HYPERLINK("http://csr.bu.edu/ftp/asl/asllvd/demos/verify_start_end_handshape_annotations//test_auto_move//signs_mov_separ_signers/Lana_912.mov","MOV")</f>
        <v>21</v>
      </c>
      <c r="M4293" t="s" s="10">
        <v>42</v>
      </c>
      <c r="N4293" s="17">
        <v>9</v>
      </c>
      <c r="O4293" s="18">
        <v>2708</v>
      </c>
      <c r="P4293" s="18">
        <v>2750</v>
      </c>
      <c r="Q4293" s="15"/>
      <c r="R4293" t="s" s="16">
        <f>HYPERLINK("http://secrets.rutgers.edu:8080/data/asl-ftp/asllvd/demos/verify_start_end_handshape_annotations//test_auto_move//signs_mov_separ_signers/Lana_912.mov","MOV")</f>
        <v>21</v>
      </c>
    </row>
    <row r="4294" s="2" customFormat="1" ht="13.5" customHeight="1">
      <c r="B4294" s="13"/>
      <c r="C4294" t="s" s="9">
        <v>43</v>
      </c>
      <c r="D4294" t="s" s="8">
        <v>1459</v>
      </c>
      <c r="E4294" t="s" s="9">
        <v>1461</v>
      </c>
      <c r="F4294" s="19">
        <v>5</v>
      </c>
      <c r="G4294" s="14"/>
      <c r="H4294" s="19">
        <v>5</v>
      </c>
      <c r="I4294" s="14"/>
      <c r="J4294" t="s" s="11">
        <v>20</v>
      </c>
      <c r="K4294" s="15"/>
      <c r="L4294" t="s" s="16">
        <f>HYPERLINK("http://csr.bu.edu/ftp/asl/asllvd/demos/verify_start_end_handshape_annotations//test_auto_move//signs_mov_separ_signers/Dana_912.mov","MOV")</f>
        <v>21</v>
      </c>
      <c r="M4294" t="s" s="10">
        <v>44</v>
      </c>
      <c r="N4294" s="17">
        <v>13</v>
      </c>
      <c r="O4294" s="18">
        <v>3095</v>
      </c>
      <c r="P4294" s="18">
        <v>3174</v>
      </c>
      <c r="Q4294" s="15"/>
      <c r="R4294" t="s" s="16">
        <f>HYPERLINK("http://secrets.rutgers.edu:8080/data/asl-ftp/asllvd/demos/verify_start_end_handshape_annotations//test_auto_move//signs_mov_separ_signers/Dana_912.mov","MOV")</f>
        <v>21</v>
      </c>
    </row>
    <row r="4295" s="2" customFormat="1" ht="13.5" customHeight="1">
      <c r="B4295" t="s" s="8">
        <v>1462</v>
      </c>
      <c r="C4295" t="s" s="9">
        <v>14</v>
      </c>
      <c r="D4295" t="s" s="8">
        <v>14</v>
      </c>
      <c r="E4295" t="s" s="9">
        <v>14</v>
      </c>
      <c r="F4295" t="s" s="10">
        <v>14</v>
      </c>
      <c r="G4295" t="s" s="11">
        <v>14</v>
      </c>
      <c r="H4295" t="s" s="10">
        <v>14</v>
      </c>
      <c r="I4295" t="s" s="11">
        <v>14</v>
      </c>
      <c r="J4295" t="s" s="11">
        <v>14</v>
      </c>
      <c r="K4295" t="s" s="12">
        <v>14</v>
      </c>
      <c r="L4295" t="s" s="12">
        <v>14</v>
      </c>
      <c r="M4295" t="s" s="10">
        <v>14</v>
      </c>
      <c r="N4295" t="s" s="11">
        <v>14</v>
      </c>
      <c r="O4295" t="s" s="8">
        <v>14</v>
      </c>
      <c r="P4295" t="s" s="8">
        <v>14</v>
      </c>
      <c r="Q4295" t="s" s="12">
        <v>14</v>
      </c>
      <c r="R4295" t="s" s="12">
        <v>14</v>
      </c>
    </row>
    <row r="4296" s="2" customFormat="1" ht="13.5" customHeight="1">
      <c r="B4296" s="13"/>
      <c r="C4296" t="s" s="9">
        <v>16</v>
      </c>
      <c r="D4296" t="s" s="8">
        <v>1462</v>
      </c>
      <c r="E4296" t="s" s="9">
        <v>1462</v>
      </c>
      <c r="F4296" s="19">
        <v>5</v>
      </c>
      <c r="G4296" s="14"/>
      <c r="H4296" s="19">
        <v>5</v>
      </c>
      <c r="I4296" s="14"/>
      <c r="J4296" t="s" s="11">
        <v>20</v>
      </c>
      <c r="K4296" s="15"/>
      <c r="L4296" t="s" s="16">
        <f>HYPERLINK("http://csr.bu.edu/ftp/asl/asllvd/demos/verify_start_end_handshape_annotations//test_auto_move//signs_mov_separ_signers/Liz_5926.mov","MOV")</f>
        <v>21</v>
      </c>
      <c r="M4296" t="s" s="10">
        <v>84</v>
      </c>
      <c r="N4296" s="17">
        <v>42</v>
      </c>
      <c r="O4296" s="18">
        <v>652</v>
      </c>
      <c r="P4296" s="18">
        <v>672</v>
      </c>
      <c r="Q4296" s="15"/>
      <c r="R4296" t="s" s="16">
        <f>HYPERLINK("http://secrets.rutgers.edu:8080/data/asl-ftp/asllvd/demos/verify_start_end_handshape_annotations//test_auto_move//signs_mov_separ_signers/Liz_5926.mov","MOV")</f>
        <v>21</v>
      </c>
    </row>
    <row r="4297" s="2" customFormat="1" ht="13.5" customHeight="1">
      <c r="B4297" s="13"/>
      <c r="C4297" t="s" s="9">
        <v>27</v>
      </c>
      <c r="D4297" t="s" s="8">
        <v>1462</v>
      </c>
      <c r="E4297" t="s" s="9">
        <v>1462</v>
      </c>
      <c r="F4297" s="19">
        <v>5</v>
      </c>
      <c r="G4297" s="14"/>
      <c r="H4297" s="19">
        <v>5</v>
      </c>
      <c r="I4297" s="14"/>
      <c r="J4297" t="s" s="11">
        <v>20</v>
      </c>
      <c r="K4297" t="s" s="16">
        <f>HYPERLINK("http://csr.bu.edu/ftp/asl/asllvd/demos/verify_start_end_handshape_annotations//test_auto_move//signs_mov/5926.mov","MOV")</f>
        <v>21</v>
      </c>
      <c r="L4297" t="s" s="16">
        <f>HYPERLINK("http://csr.bu.edu/ftp/asl/asllvd/demos/verify_start_end_handshape_annotations//test_auto_move//signs_mov_separ_signers/Naomi_5926.mov","MOV")</f>
        <v>21</v>
      </c>
      <c r="M4297" t="s" s="10">
        <v>86</v>
      </c>
      <c r="N4297" s="17">
        <v>42</v>
      </c>
      <c r="O4297" s="18">
        <v>320</v>
      </c>
      <c r="P4297" s="18">
        <v>340</v>
      </c>
      <c r="Q4297" t="s" s="16">
        <f>HYPERLINK("http://secrets.rutgers.edu:8080/data/asl-ftp/asllvd/demos/verify_start_end_handshape_annotations//test_auto_move//signs_mov/5926.mov","MOV")</f>
        <v>21</v>
      </c>
      <c r="R4297" t="s" s="16">
        <f>HYPERLINK("http://secrets.rutgers.edu:8080/data/asl-ftp/asllvd/demos/verify_start_end_handshape_annotations//test_auto_move//signs_mov_separ_signers/Naomi_5926.mov","MOV")</f>
        <v>21</v>
      </c>
    </row>
    <row r="4298" s="2" customFormat="1" ht="13.5" customHeight="1">
      <c r="B4298" s="13"/>
      <c r="C4298" t="s" s="9">
        <v>30</v>
      </c>
      <c r="D4298" t="s" s="8">
        <v>1462</v>
      </c>
      <c r="E4298" t="s" s="9">
        <v>1462</v>
      </c>
      <c r="F4298" s="19">
        <v>5</v>
      </c>
      <c r="G4298" s="14"/>
      <c r="H4298" s="19">
        <v>5</v>
      </c>
      <c r="I4298" s="14"/>
      <c r="J4298" t="s" s="11">
        <v>20</v>
      </c>
      <c r="K4298" s="15"/>
      <c r="L4298" t="s" s="16">
        <f>HYPERLINK("http://csr.bu.edu/ftp/asl/asllvd/demos/verify_start_end_handshape_annotations//test_auto_move//signs_mov_separ_signers/Brady_5926.mov","MOV")</f>
        <v>21</v>
      </c>
      <c r="M4298" t="s" s="10">
        <v>39</v>
      </c>
      <c r="N4298" s="17">
        <v>18</v>
      </c>
      <c r="O4298" s="18">
        <v>4755</v>
      </c>
      <c r="P4298" s="18">
        <v>4777</v>
      </c>
      <c r="Q4298" s="15"/>
      <c r="R4298" t="s" s="16">
        <f>HYPERLINK("http://secrets.rutgers.edu:8080/data/asl-ftp/asllvd/demos/verify_start_end_handshape_annotations//test_auto_move//signs_mov_separ_signers/Brady_5926.mov","MOV")</f>
        <v>21</v>
      </c>
    </row>
    <row r="4299" s="2" customFormat="1" ht="13.5" customHeight="1">
      <c r="B4299" t="s" s="8">
        <v>1463</v>
      </c>
      <c r="C4299" t="s" s="9">
        <v>14</v>
      </c>
      <c r="D4299" t="s" s="8">
        <v>14</v>
      </c>
      <c r="E4299" t="s" s="9">
        <v>14</v>
      </c>
      <c r="F4299" t="s" s="10">
        <v>14</v>
      </c>
      <c r="G4299" t="s" s="11">
        <v>14</v>
      </c>
      <c r="H4299" t="s" s="10">
        <v>14</v>
      </c>
      <c r="I4299" t="s" s="11">
        <v>14</v>
      </c>
      <c r="J4299" t="s" s="11">
        <v>14</v>
      </c>
      <c r="K4299" t="s" s="12">
        <v>14</v>
      </c>
      <c r="L4299" t="s" s="12">
        <v>14</v>
      </c>
      <c r="M4299" t="s" s="10">
        <v>14</v>
      </c>
      <c r="N4299" t="s" s="11">
        <v>14</v>
      </c>
      <c r="O4299" t="s" s="8">
        <v>14</v>
      </c>
      <c r="P4299" t="s" s="8">
        <v>14</v>
      </c>
      <c r="Q4299" t="s" s="12">
        <v>14</v>
      </c>
      <c r="R4299" t="s" s="12">
        <v>14</v>
      </c>
    </row>
    <row r="4300" s="2" customFormat="1" ht="13.5" customHeight="1">
      <c r="B4300" s="13"/>
      <c r="C4300" t="s" s="9">
        <v>23</v>
      </c>
      <c r="D4300" t="s" s="8">
        <v>1463</v>
      </c>
      <c r="E4300" t="s" s="9">
        <v>1464</v>
      </c>
      <c r="F4300" t="s" s="10">
        <v>72</v>
      </c>
      <c r="G4300" s="14"/>
      <c r="H4300" t="s" s="10">
        <v>72</v>
      </c>
      <c r="I4300" s="14"/>
      <c r="J4300" t="s" s="11">
        <v>20</v>
      </c>
      <c r="K4300" t="s" s="16">
        <f>HYPERLINK("http://csr.bu.edu/ftp/asl/asllvd/demos/verify_start_end_handshape_annotations//test_auto_move//signs_mov/15746.mov","MOV")</f>
        <v>21</v>
      </c>
      <c r="L4300" t="s" s="16">
        <f>HYPERLINK("http://csr.bu.edu/ftp/asl/asllvd/demos/verify_start_end_handshape_annotations//test_auto_move//signs_mov_separ_signers/Tyler_15746.mov","MOV")</f>
        <v>21</v>
      </c>
      <c r="M4300" t="s" s="10">
        <v>26</v>
      </c>
      <c r="N4300" s="17">
        <v>41</v>
      </c>
      <c r="O4300" s="18">
        <v>890</v>
      </c>
      <c r="P4300" s="18">
        <v>938</v>
      </c>
      <c r="Q4300" t="s" s="16">
        <f>HYPERLINK("http://secrets.rutgers.edu:8080/data/asl-ftp/asllvd/demos/verify_start_end_handshape_annotations//test_auto_move//signs_mov/15746.mov","MOV")</f>
        <v>21</v>
      </c>
      <c r="R4300" t="s" s="16">
        <f>HYPERLINK("http://secrets.rutgers.edu:8080/data/asl-ftp/asllvd/demos/verify_start_end_handshape_annotations//test_auto_move//signs_mov_separ_signers/Tyler_15746.mov","MOV")</f>
        <v>21</v>
      </c>
    </row>
    <row r="4301" s="2" customFormat="1" ht="13.5" customHeight="1">
      <c r="B4301" s="13"/>
      <c r="C4301" t="s" s="9">
        <v>27</v>
      </c>
      <c r="D4301" t="s" s="8">
        <v>1463</v>
      </c>
      <c r="E4301" t="s" s="9">
        <v>1463</v>
      </c>
      <c r="F4301" t="s" s="10">
        <v>72</v>
      </c>
      <c r="G4301" s="14"/>
      <c r="H4301" t="s" s="10">
        <v>72</v>
      </c>
      <c r="I4301" s="14"/>
      <c r="J4301" t="s" s="11">
        <v>20</v>
      </c>
      <c r="K4301" s="15"/>
      <c r="L4301" t="s" s="16">
        <f>HYPERLINK("http://csr.bu.edu/ftp/asl/asllvd/demos/verify_start_end_handshape_annotations//test_auto_move//signs_mov_separ_signers/Naomi_15746.mov","MOV")</f>
        <v>21</v>
      </c>
      <c r="M4301" t="s" s="10">
        <v>29</v>
      </c>
      <c r="N4301" s="17">
        <v>42</v>
      </c>
      <c r="O4301" s="18">
        <v>1050</v>
      </c>
      <c r="P4301" s="18">
        <v>1115</v>
      </c>
      <c r="Q4301" s="15"/>
      <c r="R4301" t="s" s="16">
        <f>HYPERLINK("http://secrets.rutgers.edu:8080/data/asl-ftp/asllvd/demos/verify_start_end_handshape_annotations//test_auto_move//signs_mov_separ_signers/Naomi_15746.mov","MOV")</f>
        <v>21</v>
      </c>
    </row>
    <row r="4302" s="2" customFormat="1" ht="13.5" customHeight="1">
      <c r="B4302" t="s" s="8">
        <v>1465</v>
      </c>
      <c r="C4302" t="s" s="9">
        <v>14</v>
      </c>
      <c r="D4302" t="s" s="8">
        <v>14</v>
      </c>
      <c r="E4302" t="s" s="9">
        <v>14</v>
      </c>
      <c r="F4302" t="s" s="10">
        <v>14</v>
      </c>
      <c r="G4302" t="s" s="11">
        <v>14</v>
      </c>
      <c r="H4302" t="s" s="10">
        <v>14</v>
      </c>
      <c r="I4302" t="s" s="11">
        <v>14</v>
      </c>
      <c r="J4302" t="s" s="11">
        <v>14</v>
      </c>
      <c r="K4302" t="s" s="12">
        <v>14</v>
      </c>
      <c r="L4302" t="s" s="12">
        <v>14</v>
      </c>
      <c r="M4302" t="s" s="10">
        <v>14</v>
      </c>
      <c r="N4302" t="s" s="11">
        <v>14</v>
      </c>
      <c r="O4302" t="s" s="8">
        <v>14</v>
      </c>
      <c r="P4302" t="s" s="8">
        <v>14</v>
      </c>
      <c r="Q4302" t="s" s="12">
        <v>14</v>
      </c>
      <c r="R4302" t="s" s="12">
        <v>14</v>
      </c>
    </row>
    <row r="4303" s="2" customFormat="1" ht="13.5" customHeight="1">
      <c r="B4303" s="13"/>
      <c r="C4303" t="s" s="9">
        <v>16</v>
      </c>
      <c r="D4303" t="s" s="8">
        <v>1465</v>
      </c>
      <c r="E4303" t="s" s="9">
        <v>1466</v>
      </c>
      <c r="F4303" t="s" s="10">
        <v>72</v>
      </c>
      <c r="G4303" t="s" s="11">
        <v>73</v>
      </c>
      <c r="H4303" t="s" s="10">
        <v>72</v>
      </c>
      <c r="I4303" t="s" s="11">
        <v>73</v>
      </c>
      <c r="J4303" t="s" s="11">
        <v>20</v>
      </c>
      <c r="K4303" t="s" s="16">
        <f>HYPERLINK("http://csr.bu.edu/ftp/asl/asllvd/demos/verify_start_end_handshape_annotations//test_auto_move//signs_mov/15783.mov","MOV")</f>
        <v>21</v>
      </c>
      <c r="L4303" t="s" s="16">
        <f>HYPERLINK("http://csr.bu.edu/ftp/asl/asllvd/demos/verify_start_end_handshape_annotations//test_auto_move//signs_mov_separ_signers/Liz_15783.mov","MOV")</f>
        <v>21</v>
      </c>
      <c r="M4303" t="s" s="10">
        <v>77</v>
      </c>
      <c r="N4303" s="17">
        <v>25</v>
      </c>
      <c r="O4303" s="18">
        <v>1365</v>
      </c>
      <c r="P4303" s="18">
        <v>1426</v>
      </c>
      <c r="Q4303" t="s" s="16">
        <f>HYPERLINK("http://secrets.rutgers.edu:8080/data/asl-ftp/asllvd/demos/verify_start_end_handshape_annotations//test_auto_move//signs_mov/15783.mov","MOV")</f>
        <v>21</v>
      </c>
      <c r="R4303" t="s" s="16">
        <f>HYPERLINK("http://secrets.rutgers.edu:8080/data/asl-ftp/asllvd/demos/verify_start_end_handshape_annotations//test_auto_move//signs_mov_separ_signers/Liz_15783.mov","MOV")</f>
        <v>21</v>
      </c>
    </row>
    <row r="4304" s="2" customFormat="1" ht="13.5" customHeight="1">
      <c r="B4304" t="s" s="8">
        <v>1467</v>
      </c>
      <c r="C4304" t="s" s="9">
        <v>14</v>
      </c>
      <c r="D4304" t="s" s="8">
        <v>14</v>
      </c>
      <c r="E4304" t="s" s="9">
        <v>14</v>
      </c>
      <c r="F4304" t="s" s="10">
        <v>14</v>
      </c>
      <c r="G4304" t="s" s="11">
        <v>14</v>
      </c>
      <c r="H4304" t="s" s="10">
        <v>14</v>
      </c>
      <c r="I4304" t="s" s="11">
        <v>14</v>
      </c>
      <c r="J4304" t="s" s="11">
        <v>14</v>
      </c>
      <c r="K4304" t="s" s="12">
        <v>14</v>
      </c>
      <c r="L4304" t="s" s="12">
        <v>14</v>
      </c>
      <c r="M4304" t="s" s="10">
        <v>14</v>
      </c>
      <c r="N4304" t="s" s="11">
        <v>14</v>
      </c>
      <c r="O4304" t="s" s="8">
        <v>14</v>
      </c>
      <c r="P4304" t="s" s="8">
        <v>14</v>
      </c>
      <c r="Q4304" t="s" s="12">
        <v>14</v>
      </c>
      <c r="R4304" t="s" s="12">
        <v>14</v>
      </c>
    </row>
    <row r="4305" s="2" customFormat="1" ht="13.5" customHeight="1">
      <c r="B4305" s="13"/>
      <c r="C4305" t="s" s="9">
        <v>16</v>
      </c>
      <c r="D4305" t="s" s="8">
        <v>1467</v>
      </c>
      <c r="E4305" t="s" s="9">
        <v>1467</v>
      </c>
      <c r="F4305" s="19">
        <v>5</v>
      </c>
      <c r="G4305" s="17">
        <v>5</v>
      </c>
      <c r="H4305" s="19">
        <v>5</v>
      </c>
      <c r="I4305" s="17">
        <v>5</v>
      </c>
      <c r="J4305" t="s" s="11">
        <v>20</v>
      </c>
      <c r="K4305" s="15"/>
      <c r="L4305" t="s" s="16">
        <f>HYPERLINK("http://csr.bu.edu/ftp/asl/asllvd/demos/verify_start_end_handshape_annotations//test_auto_move//signs_mov_separ_signers/Liz_913.mov","MOV")</f>
        <v>21</v>
      </c>
      <c r="M4305" t="s" s="10">
        <v>84</v>
      </c>
      <c r="N4305" s="17">
        <v>42</v>
      </c>
      <c r="O4305" s="18">
        <v>825</v>
      </c>
      <c r="P4305" s="18">
        <v>851</v>
      </c>
      <c r="Q4305" s="15"/>
      <c r="R4305" t="s" s="16">
        <f>HYPERLINK("http://secrets.rutgers.edu:8080/data/asl-ftp/asllvd/demos/verify_start_end_handshape_annotations//test_auto_move//signs_mov_separ_signers/Liz_913.mov","MOV")</f>
        <v>21</v>
      </c>
    </row>
    <row r="4306" s="2" customFormat="1" ht="13.5" customHeight="1">
      <c r="B4306" s="13"/>
      <c r="C4306" t="s" s="9">
        <v>23</v>
      </c>
      <c r="D4306" t="s" s="8">
        <v>1467</v>
      </c>
      <c r="E4306" t="s" s="9">
        <v>1467</v>
      </c>
      <c r="F4306" s="19">
        <v>5</v>
      </c>
      <c r="G4306" s="17">
        <v>5</v>
      </c>
      <c r="H4306" s="19">
        <v>5</v>
      </c>
      <c r="I4306" s="17">
        <v>5</v>
      </c>
      <c r="J4306" t="s" s="11">
        <v>20</v>
      </c>
      <c r="K4306" s="15"/>
      <c r="L4306" t="s" s="16">
        <f>HYPERLINK("http://csr.bu.edu/ftp/asl/asllvd/demos/verify_start_end_handshape_annotations//test_auto_move//signs_mov_separ_signers/Tyler_913.mov","MOV")</f>
        <v>21</v>
      </c>
      <c r="M4306" t="s" s="10">
        <v>92</v>
      </c>
      <c r="N4306" s="17">
        <v>22</v>
      </c>
      <c r="O4306" s="18">
        <v>1325</v>
      </c>
      <c r="P4306" s="18">
        <v>1355</v>
      </c>
      <c r="Q4306" s="15"/>
      <c r="R4306" t="s" s="16">
        <f>HYPERLINK("http://secrets.rutgers.edu:8080/data/asl-ftp/asllvd/demos/verify_start_end_handshape_annotations//test_auto_move//signs_mov_separ_signers/Tyler_913.mov","MOV")</f>
        <v>21</v>
      </c>
    </row>
    <row r="4307" s="2" customFormat="1" ht="13.5" customHeight="1">
      <c r="B4307" s="13"/>
      <c r="C4307" t="s" s="9">
        <v>27</v>
      </c>
      <c r="D4307" t="s" s="8">
        <v>1467</v>
      </c>
      <c r="E4307" t="s" s="9">
        <v>1467</v>
      </c>
      <c r="F4307" s="19">
        <v>5</v>
      </c>
      <c r="G4307" s="17">
        <v>5</v>
      </c>
      <c r="H4307" s="19">
        <v>5</v>
      </c>
      <c r="I4307" s="17">
        <v>5</v>
      </c>
      <c r="J4307" t="s" s="11">
        <v>20</v>
      </c>
      <c r="K4307" t="s" s="16">
        <f>HYPERLINK("http://csr.bu.edu/ftp/asl/asllvd/demos/verify_start_end_handshape_annotations//test_auto_move//signs_mov/913.mov","MOV")</f>
        <v>21</v>
      </c>
      <c r="L4307" t="s" s="16">
        <f>HYPERLINK("http://csr.bu.edu/ftp/asl/asllvd/demos/verify_start_end_handshape_annotations//test_auto_move//signs_mov_separ_signers/Naomi_913.mov","MOV")</f>
        <v>21</v>
      </c>
      <c r="M4307" t="s" s="10">
        <v>86</v>
      </c>
      <c r="N4307" s="17">
        <v>42</v>
      </c>
      <c r="O4307" s="18">
        <v>515</v>
      </c>
      <c r="P4307" s="18">
        <v>545</v>
      </c>
      <c r="Q4307" t="s" s="16">
        <f>HYPERLINK("http://secrets.rutgers.edu:8080/data/asl-ftp/asllvd/demos/verify_start_end_handshape_annotations//test_auto_move//signs_mov/913.mov","MOV")</f>
        <v>21</v>
      </c>
      <c r="R4307" t="s" s="16">
        <f>HYPERLINK("http://secrets.rutgers.edu:8080/data/asl-ftp/asllvd/demos/verify_start_end_handshape_annotations//test_auto_move//signs_mov_separ_signers/Naomi_913.mov","MOV")</f>
        <v>21</v>
      </c>
    </row>
    <row r="4308" s="2" customFormat="1" ht="13.5" customHeight="1">
      <c r="B4308" s="13"/>
      <c r="C4308" t="s" s="9">
        <v>30</v>
      </c>
      <c r="D4308" t="s" s="8">
        <v>1467</v>
      </c>
      <c r="E4308" t="s" s="9">
        <v>1467</v>
      </c>
      <c r="F4308" s="19">
        <v>5</v>
      </c>
      <c r="G4308" s="17">
        <v>5</v>
      </c>
      <c r="H4308" s="19">
        <v>5</v>
      </c>
      <c r="I4308" s="17">
        <v>5</v>
      </c>
      <c r="J4308" t="s" s="11">
        <v>20</v>
      </c>
      <c r="K4308" s="15"/>
      <c r="L4308" t="s" s="16">
        <f>HYPERLINK("http://csr.bu.edu/ftp/asl/asllvd/demos/verify_start_end_handshape_annotations//test_auto_move//signs_mov_separ_signers/Brady_913.mov","MOV")</f>
        <v>21</v>
      </c>
      <c r="M4308" t="s" s="10">
        <v>39</v>
      </c>
      <c r="N4308" s="17">
        <v>18</v>
      </c>
      <c r="O4308" s="18">
        <v>5012</v>
      </c>
      <c r="P4308" s="18">
        <v>5027</v>
      </c>
      <c r="Q4308" s="15"/>
      <c r="R4308" t="s" s="16">
        <f>HYPERLINK("http://secrets.rutgers.edu:8080/data/asl-ftp/asllvd/demos/verify_start_end_handshape_annotations//test_auto_move//signs_mov_separ_signers/Brady_913.mov","MOV")</f>
        <v>21</v>
      </c>
    </row>
    <row r="4309" s="2" customFormat="1" ht="13.5" customHeight="1">
      <c r="B4309" s="13"/>
      <c r="C4309" t="s" s="9">
        <v>41</v>
      </c>
      <c r="D4309" t="s" s="8">
        <v>1467</v>
      </c>
      <c r="E4309" t="s" s="9">
        <v>1467</v>
      </c>
      <c r="F4309" s="19">
        <v>5</v>
      </c>
      <c r="G4309" s="17">
        <v>5</v>
      </c>
      <c r="H4309" s="19">
        <v>5</v>
      </c>
      <c r="I4309" s="17">
        <v>5</v>
      </c>
      <c r="J4309" t="s" s="11">
        <v>20</v>
      </c>
      <c r="K4309" s="15"/>
      <c r="L4309" t="s" s="16">
        <f>HYPERLINK("http://csr.bu.edu/ftp/asl/asllvd/demos/verify_start_end_handshape_annotations//test_auto_move//signs_mov_separ_signers/Lana_913.mov","MOV")</f>
        <v>21</v>
      </c>
      <c r="M4309" t="s" s="10">
        <v>245</v>
      </c>
      <c r="N4309" s="17">
        <v>22</v>
      </c>
      <c r="O4309" s="18">
        <v>1322</v>
      </c>
      <c r="P4309" s="18">
        <v>1359</v>
      </c>
      <c r="Q4309" s="15"/>
      <c r="R4309" t="s" s="16">
        <f>HYPERLINK("http://secrets.rutgers.edu:8080/data/asl-ftp/asllvd/demos/verify_start_end_handshape_annotations//test_auto_move//signs_mov_separ_signers/Lana_913.mov","MOV")</f>
        <v>21</v>
      </c>
    </row>
    <row r="4310" s="2" customFormat="1" ht="13.5" customHeight="1">
      <c r="B4310" t="s" s="8">
        <v>52</v>
      </c>
      <c r="C4310" t="s" s="9">
        <v>53</v>
      </c>
      <c r="D4310" t="s" s="8">
        <v>53</v>
      </c>
      <c r="E4310" t="s" s="9">
        <v>53</v>
      </c>
      <c r="F4310" t="s" s="10">
        <v>53</v>
      </c>
      <c r="G4310" t="s" s="11">
        <v>53</v>
      </c>
      <c r="H4310" t="s" s="10">
        <v>53</v>
      </c>
      <c r="I4310" t="s" s="11">
        <v>53</v>
      </c>
      <c r="J4310" t="s" s="11">
        <v>53</v>
      </c>
      <c r="K4310" t="s" s="12">
        <v>53</v>
      </c>
      <c r="L4310" t="s" s="12">
        <v>53</v>
      </c>
      <c r="M4310" t="s" s="10">
        <v>53</v>
      </c>
      <c r="N4310" t="s" s="11">
        <v>53</v>
      </c>
      <c r="O4310" t="s" s="8">
        <v>53</v>
      </c>
      <c r="P4310" t="s" s="8">
        <v>53</v>
      </c>
      <c r="Q4310" t="s" s="12">
        <v>53</v>
      </c>
      <c r="R4310" t="s" s="12">
        <v>53</v>
      </c>
    </row>
    <row r="4311" s="2" customFormat="1" ht="13.5" customHeight="1">
      <c r="B4311" s="13"/>
      <c r="C4311" t="s" s="9">
        <v>16</v>
      </c>
      <c r="D4311" t="s" s="8">
        <v>1467</v>
      </c>
      <c r="E4311" t="s" s="9">
        <v>1468</v>
      </c>
      <c r="F4311" s="19">
        <v>5</v>
      </c>
      <c r="G4311" s="14"/>
      <c r="H4311" s="19">
        <v>5</v>
      </c>
      <c r="I4311" s="14"/>
      <c r="J4311" t="s" s="11">
        <v>20</v>
      </c>
      <c r="K4311" t="s" s="16">
        <f>HYPERLINK("http://csr.bu.edu/ftp/asl/asllvd/demos/verify_start_end_handshape_annotations//test_auto_move//signs_mov/3771.mov","MOV")</f>
        <v>21</v>
      </c>
      <c r="L4311" t="s" s="16">
        <f>HYPERLINK("http://csr.bu.edu/ftp/asl/asllvd/demos/verify_start_end_handshape_annotations//test_auto_move//signs_mov_separ_signers/Liz_3771.mov","MOV")</f>
        <v>21</v>
      </c>
      <c r="M4311" t="s" s="10">
        <v>36</v>
      </c>
      <c r="N4311" s="17">
        <v>48</v>
      </c>
      <c r="O4311" s="18">
        <v>513</v>
      </c>
      <c r="P4311" s="18">
        <v>548</v>
      </c>
      <c r="Q4311" t="s" s="16">
        <f>HYPERLINK("http://secrets.rutgers.edu:8080/data/asl-ftp/asllvd/demos/verify_start_end_handshape_annotations//test_auto_move//signs_mov/3771.mov","MOV")</f>
        <v>21</v>
      </c>
      <c r="R4311" t="s" s="16">
        <f>HYPERLINK("http://secrets.rutgers.edu:8080/data/asl-ftp/asllvd/demos/verify_start_end_handshape_annotations//test_auto_move//signs_mov_separ_signers/Liz_3771.mov","MOV")</f>
        <v>21</v>
      </c>
    </row>
    <row r="4312" s="2" customFormat="1" ht="13.5" customHeight="1">
      <c r="B4312" s="13"/>
      <c r="C4312" t="s" s="9">
        <v>30</v>
      </c>
      <c r="D4312" t="s" s="8">
        <v>1467</v>
      </c>
      <c r="E4312" t="s" s="9">
        <v>1468</v>
      </c>
      <c r="F4312" s="19">
        <v>5</v>
      </c>
      <c r="G4312" s="14"/>
      <c r="H4312" s="19">
        <v>5</v>
      </c>
      <c r="I4312" s="14"/>
      <c r="J4312" t="s" s="11">
        <v>20</v>
      </c>
      <c r="K4312" s="15"/>
      <c r="L4312" t="s" s="16">
        <f>HYPERLINK("http://csr.bu.edu/ftp/asl/asllvd/demos/verify_start_end_handshape_annotations//test_auto_move//signs_mov_separ_signers/Brady_3771.mov","MOV")</f>
        <v>21</v>
      </c>
      <c r="M4312" t="s" s="10">
        <v>40</v>
      </c>
      <c r="N4312" s="17">
        <v>99</v>
      </c>
      <c r="O4312" s="18">
        <v>1565</v>
      </c>
      <c r="P4312" s="18">
        <v>1580</v>
      </c>
      <c r="Q4312" s="15"/>
      <c r="R4312" t="s" s="16">
        <f>HYPERLINK("http://secrets.rutgers.edu:8080/data/asl-ftp/asllvd/demos/verify_start_end_handshape_annotations//test_auto_move//signs_mov_separ_signers/Brady_3771.mov","MOV")</f>
        <v>21</v>
      </c>
    </row>
    <row r="4313" s="2" customFormat="1" ht="13.5" customHeight="1">
      <c r="B4313" t="s" s="8">
        <v>1469</v>
      </c>
      <c r="C4313" t="s" s="9">
        <v>14</v>
      </c>
      <c r="D4313" t="s" s="8">
        <v>14</v>
      </c>
      <c r="E4313" t="s" s="9">
        <v>14</v>
      </c>
      <c r="F4313" t="s" s="10">
        <v>14</v>
      </c>
      <c r="G4313" t="s" s="11">
        <v>14</v>
      </c>
      <c r="H4313" t="s" s="10">
        <v>14</v>
      </c>
      <c r="I4313" t="s" s="11">
        <v>14</v>
      </c>
      <c r="J4313" t="s" s="11">
        <v>14</v>
      </c>
      <c r="K4313" t="s" s="12">
        <v>14</v>
      </c>
      <c r="L4313" t="s" s="12">
        <v>14</v>
      </c>
      <c r="M4313" t="s" s="10">
        <v>14</v>
      </c>
      <c r="N4313" t="s" s="11">
        <v>14</v>
      </c>
      <c r="O4313" t="s" s="8">
        <v>14</v>
      </c>
      <c r="P4313" t="s" s="8">
        <v>14</v>
      </c>
      <c r="Q4313" t="s" s="12">
        <v>14</v>
      </c>
      <c r="R4313" t="s" s="12">
        <v>14</v>
      </c>
    </row>
    <row r="4314" s="2" customFormat="1" ht="13.5" customHeight="1">
      <c r="B4314" s="13"/>
      <c r="C4314" t="s" s="9">
        <v>16</v>
      </c>
      <c r="D4314" t="s" s="8">
        <v>1469</v>
      </c>
      <c r="E4314" t="s" s="9">
        <v>1469</v>
      </c>
      <c r="F4314" t="s" s="10">
        <v>255</v>
      </c>
      <c r="G4314" s="14"/>
      <c r="H4314" t="s" s="10">
        <v>255</v>
      </c>
      <c r="I4314" s="14"/>
      <c r="J4314" t="s" s="11">
        <v>20</v>
      </c>
      <c r="K4314" s="15"/>
      <c r="L4314" t="s" s="16">
        <f>HYPERLINK("http://csr.bu.edu/ftp/asl/asllvd/demos/verify_start_end_handshape_annotations//test_auto_move//signs_mov_separ_signers/Liz_914.mov","MOV")</f>
        <v>21</v>
      </c>
      <c r="M4314" t="s" s="10">
        <v>84</v>
      </c>
      <c r="N4314" s="17">
        <v>42</v>
      </c>
      <c r="O4314" s="18">
        <v>1342</v>
      </c>
      <c r="P4314" s="18">
        <v>1375</v>
      </c>
      <c r="Q4314" s="15"/>
      <c r="R4314" t="s" s="16">
        <f>HYPERLINK("http://secrets.rutgers.edu:8080/data/asl-ftp/asllvd/demos/verify_start_end_handshape_annotations//test_auto_move//signs_mov_separ_signers/Liz_914.mov","MOV")</f>
        <v>21</v>
      </c>
    </row>
    <row r="4315" s="2" customFormat="1" ht="13.5" customHeight="1">
      <c r="B4315" s="13"/>
      <c r="C4315" t="s" s="9">
        <v>27</v>
      </c>
      <c r="D4315" t="s" s="8">
        <v>1469</v>
      </c>
      <c r="E4315" t="s" s="9">
        <v>1469</v>
      </c>
      <c r="F4315" t="s" s="10">
        <v>255</v>
      </c>
      <c r="G4315" s="14"/>
      <c r="H4315" t="s" s="10">
        <v>255</v>
      </c>
      <c r="I4315" s="14"/>
      <c r="J4315" t="s" s="11">
        <v>20</v>
      </c>
      <c r="K4315" t="s" s="16">
        <f>HYPERLINK("http://csr.bu.edu/ftp/asl/asllvd/demos/verify_start_end_handshape_annotations//test_auto_move//signs_mov/914.mov","MOV")</f>
        <v>21</v>
      </c>
      <c r="L4315" t="s" s="16">
        <f>HYPERLINK("http://csr.bu.edu/ftp/asl/asllvd/demos/verify_start_end_handshape_annotations//test_auto_move//signs_mov_separ_signers/Naomi_914.mov","MOV")</f>
        <v>21</v>
      </c>
      <c r="M4315" t="s" s="10">
        <v>86</v>
      </c>
      <c r="N4315" s="17">
        <v>42</v>
      </c>
      <c r="O4315" s="18">
        <v>740</v>
      </c>
      <c r="P4315" s="18">
        <v>770</v>
      </c>
      <c r="Q4315" t="s" s="16">
        <f>HYPERLINK("http://secrets.rutgers.edu:8080/data/asl-ftp/asllvd/demos/verify_start_end_handshape_annotations//test_auto_move//signs_mov/914.mov","MOV")</f>
        <v>21</v>
      </c>
      <c r="R4315" t="s" s="16">
        <f>HYPERLINK("http://secrets.rutgers.edu:8080/data/asl-ftp/asllvd/demos/verify_start_end_handshape_annotations//test_auto_move//signs_mov_separ_signers/Naomi_914.mov","MOV")</f>
        <v>21</v>
      </c>
    </row>
    <row r="4316" s="2" customFormat="1" ht="13.5" customHeight="1">
      <c r="B4316" s="13"/>
      <c r="C4316" t="s" s="9">
        <v>30</v>
      </c>
      <c r="D4316" t="s" s="8">
        <v>1469</v>
      </c>
      <c r="E4316" t="s" s="9">
        <v>1469</v>
      </c>
      <c r="F4316" t="s" s="10">
        <v>255</v>
      </c>
      <c r="G4316" s="14"/>
      <c r="H4316" t="s" s="10">
        <v>255</v>
      </c>
      <c r="I4316" s="14"/>
      <c r="J4316" t="s" s="11">
        <v>20</v>
      </c>
      <c r="K4316" s="15"/>
      <c r="L4316" t="s" s="16">
        <f>HYPERLINK("http://csr.bu.edu/ftp/asl/asllvd/demos/verify_start_end_handshape_annotations//test_auto_move//signs_mov_separ_signers/Brady_914.mov","MOV")</f>
        <v>21</v>
      </c>
      <c r="M4316" t="s" s="10">
        <v>39</v>
      </c>
      <c r="N4316" s="17">
        <v>18</v>
      </c>
      <c r="O4316" s="18">
        <v>5899</v>
      </c>
      <c r="P4316" s="18">
        <v>5928</v>
      </c>
      <c r="Q4316" s="15"/>
      <c r="R4316" t="s" s="16">
        <f>HYPERLINK("http://secrets.rutgers.edu:8080/data/asl-ftp/asllvd/demos/verify_start_end_handshape_annotations//test_auto_move//signs_mov_separ_signers/Brady_914.mov","MOV")</f>
        <v>21</v>
      </c>
    </row>
    <row r="4317" s="2" customFormat="1" ht="13.5" customHeight="1">
      <c r="B4317" t="s" s="8">
        <v>1470</v>
      </c>
      <c r="C4317" t="s" s="9">
        <v>14</v>
      </c>
      <c r="D4317" t="s" s="8">
        <v>14</v>
      </c>
      <c r="E4317" t="s" s="9">
        <v>14</v>
      </c>
      <c r="F4317" t="s" s="10">
        <v>14</v>
      </c>
      <c r="G4317" t="s" s="11">
        <v>14</v>
      </c>
      <c r="H4317" t="s" s="10">
        <v>14</v>
      </c>
      <c r="I4317" t="s" s="11">
        <v>14</v>
      </c>
      <c r="J4317" t="s" s="11">
        <v>14</v>
      </c>
      <c r="K4317" t="s" s="12">
        <v>14</v>
      </c>
      <c r="L4317" t="s" s="12">
        <v>14</v>
      </c>
      <c r="M4317" t="s" s="10">
        <v>14</v>
      </c>
      <c r="N4317" t="s" s="11">
        <v>14</v>
      </c>
      <c r="O4317" t="s" s="8">
        <v>14</v>
      </c>
      <c r="P4317" t="s" s="8">
        <v>14</v>
      </c>
      <c r="Q4317" t="s" s="12">
        <v>14</v>
      </c>
      <c r="R4317" t="s" s="12">
        <v>14</v>
      </c>
    </row>
    <row r="4318" s="2" customFormat="1" ht="13.5" customHeight="1">
      <c r="B4318" s="13"/>
      <c r="C4318" t="s" s="9">
        <v>41</v>
      </c>
      <c r="D4318" t="s" s="8">
        <v>1470</v>
      </c>
      <c r="E4318" t="s" s="9">
        <v>1471</v>
      </c>
      <c r="F4318" t="s" s="10">
        <v>63</v>
      </c>
      <c r="G4318" t="s" s="11">
        <v>63</v>
      </c>
      <c r="H4318" s="19">
        <v>5</v>
      </c>
      <c r="I4318" s="17">
        <v>5</v>
      </c>
      <c r="J4318" t="s" s="11">
        <v>20</v>
      </c>
      <c r="K4318" t="s" s="16">
        <f>HYPERLINK("http://csr.bu.edu/ftp/asl/asllvd/demos/verify_start_end_handshape_annotations//test_auto_move//signs_mov/915.mov","MOV")</f>
        <v>21</v>
      </c>
      <c r="L4318" t="s" s="16">
        <f>HYPERLINK("http://csr.bu.edu/ftp/asl/asllvd/demos/verify_start_end_handshape_annotations//test_auto_move//signs_mov_separ_signers/Lana_915.mov","MOV")</f>
        <v>21</v>
      </c>
      <c r="M4318" t="s" s="10">
        <v>42</v>
      </c>
      <c r="N4318" s="17">
        <v>10</v>
      </c>
      <c r="O4318" s="18">
        <v>2646</v>
      </c>
      <c r="P4318" s="18">
        <v>2688</v>
      </c>
      <c r="Q4318" t="s" s="16">
        <f>HYPERLINK("http://secrets.rutgers.edu:8080/data/asl-ftp/asllvd/demos/verify_start_end_handshape_annotations//test_auto_move//signs_mov/915.mov","MOV")</f>
        <v>21</v>
      </c>
      <c r="R4318" t="s" s="16">
        <f>HYPERLINK("http://secrets.rutgers.edu:8080/data/asl-ftp/asllvd/demos/verify_start_end_handshape_annotations//test_auto_move//signs_mov_separ_signers/Lana_915.mov","MOV")</f>
        <v>21</v>
      </c>
    </row>
    <row r="4319" s="2" customFormat="1" ht="13.5" customHeight="1">
      <c r="B4319" s="13"/>
      <c r="C4319" t="s" s="9">
        <v>43</v>
      </c>
      <c r="D4319" t="s" s="8">
        <v>1470</v>
      </c>
      <c r="E4319" t="s" s="9">
        <v>1471</v>
      </c>
      <c r="F4319" s="19">
        <v>5</v>
      </c>
      <c r="G4319" s="17">
        <v>5</v>
      </c>
      <c r="H4319" s="19">
        <v>5</v>
      </c>
      <c r="I4319" s="17">
        <v>5</v>
      </c>
      <c r="J4319" t="s" s="11">
        <v>20</v>
      </c>
      <c r="K4319" s="15"/>
      <c r="L4319" t="s" s="16">
        <f>HYPERLINK("http://csr.bu.edu/ftp/asl/asllvd/demos/verify_start_end_handshape_annotations//test_auto_move//signs_mov_separ_signers/Dana_915.mov","MOV")</f>
        <v>21</v>
      </c>
      <c r="M4319" t="s" s="10">
        <v>44</v>
      </c>
      <c r="N4319" s="17">
        <v>13</v>
      </c>
      <c r="O4319" s="18">
        <v>2963</v>
      </c>
      <c r="P4319" s="18">
        <v>3014</v>
      </c>
      <c r="Q4319" s="15"/>
      <c r="R4319" t="s" s="16">
        <f>HYPERLINK("http://secrets.rutgers.edu:8080/data/asl-ftp/asllvd/demos/verify_start_end_handshape_annotations//test_auto_move//signs_mov_separ_signers/Dana_915.mov","MOV")</f>
        <v>21</v>
      </c>
    </row>
    <row r="4320" s="2" customFormat="1" ht="13.5" customHeight="1">
      <c r="B4320" t="s" s="8">
        <v>52</v>
      </c>
      <c r="C4320" t="s" s="9">
        <v>53</v>
      </c>
      <c r="D4320" t="s" s="8">
        <v>53</v>
      </c>
      <c r="E4320" t="s" s="9">
        <v>53</v>
      </c>
      <c r="F4320" t="s" s="10">
        <v>53</v>
      </c>
      <c r="G4320" t="s" s="11">
        <v>53</v>
      </c>
      <c r="H4320" t="s" s="10">
        <v>53</v>
      </c>
      <c r="I4320" t="s" s="11">
        <v>53</v>
      </c>
      <c r="J4320" t="s" s="11">
        <v>53</v>
      </c>
      <c r="K4320" t="s" s="12">
        <v>53</v>
      </c>
      <c r="L4320" t="s" s="12">
        <v>53</v>
      </c>
      <c r="M4320" t="s" s="10">
        <v>53</v>
      </c>
      <c r="N4320" t="s" s="11">
        <v>53</v>
      </c>
      <c r="O4320" t="s" s="8">
        <v>53</v>
      </c>
      <c r="P4320" t="s" s="8">
        <v>53</v>
      </c>
      <c r="Q4320" t="s" s="12">
        <v>53</v>
      </c>
      <c r="R4320" t="s" s="12">
        <v>53</v>
      </c>
    </row>
    <row r="4321" s="2" customFormat="1" ht="13.5" customHeight="1">
      <c r="B4321" s="13"/>
      <c r="C4321" t="s" s="9">
        <v>16</v>
      </c>
      <c r="D4321" t="s" s="8">
        <v>1470</v>
      </c>
      <c r="E4321" t="s" s="9">
        <v>1470</v>
      </c>
      <c r="F4321" t="s" s="10">
        <v>68</v>
      </c>
      <c r="G4321" t="s" s="11">
        <v>68</v>
      </c>
      <c r="H4321" s="19">
        <v>5</v>
      </c>
      <c r="I4321" s="17">
        <v>5</v>
      </c>
      <c r="J4321" t="s" s="11">
        <v>20</v>
      </c>
      <c r="K4321" s="15"/>
      <c r="L4321" t="s" s="16">
        <f>HYPERLINK("http://csr.bu.edu/ftp/asl/asllvd/demos/verify_start_end_handshape_annotations//test_auto_move//signs_mov_separ_signers/Liz_3314.mov","MOV")</f>
        <v>21</v>
      </c>
      <c r="M4321" t="s" s="10">
        <v>22</v>
      </c>
      <c r="N4321" s="17">
        <v>59</v>
      </c>
      <c r="O4321" s="18">
        <v>685</v>
      </c>
      <c r="P4321" s="18">
        <v>715</v>
      </c>
      <c r="Q4321" s="15"/>
      <c r="R4321" t="s" s="16">
        <f>HYPERLINK("http://secrets.rutgers.edu:8080/data/asl-ftp/asllvd/demos/verify_start_end_handshape_annotations//test_auto_move//signs_mov_separ_signers/Liz_3314.mov","MOV")</f>
        <v>21</v>
      </c>
    </row>
    <row r="4322" s="2" customFormat="1" ht="13.5" customHeight="1">
      <c r="B4322" s="13"/>
      <c r="C4322" t="s" s="9">
        <v>27</v>
      </c>
      <c r="D4322" t="s" s="8">
        <v>1470</v>
      </c>
      <c r="E4322" t="s" s="9">
        <v>1470</v>
      </c>
      <c r="F4322" t="s" s="10">
        <v>68</v>
      </c>
      <c r="G4322" t="s" s="11">
        <v>68</v>
      </c>
      <c r="H4322" s="19">
        <v>5</v>
      </c>
      <c r="I4322" s="17">
        <v>5</v>
      </c>
      <c r="J4322" t="s" s="11">
        <v>20</v>
      </c>
      <c r="K4322" t="s" s="16">
        <f>HYPERLINK("http://csr.bu.edu/ftp/asl/asllvd/demos/verify_start_end_handshape_annotations//test_auto_move//signs_mov/3314.mov","MOV")</f>
        <v>21</v>
      </c>
      <c r="L4322" t="s" s="16">
        <f>HYPERLINK("http://csr.bu.edu/ftp/asl/asllvd/demos/verify_start_end_handshape_annotations//test_auto_move//signs_mov_separ_signers/Naomi_3314.mov","MOV")</f>
        <v>21</v>
      </c>
      <c r="M4322" t="s" s="10">
        <v>29</v>
      </c>
      <c r="N4322" s="17">
        <v>37</v>
      </c>
      <c r="O4322" s="18">
        <v>2990</v>
      </c>
      <c r="P4322" s="18">
        <v>3015</v>
      </c>
      <c r="Q4322" t="s" s="16">
        <f>HYPERLINK("http://secrets.rutgers.edu:8080/data/asl-ftp/asllvd/demos/verify_start_end_handshape_annotations//test_auto_move//signs_mov/3314.mov","MOV")</f>
        <v>21</v>
      </c>
      <c r="R4322" t="s" s="16">
        <f>HYPERLINK("http://secrets.rutgers.edu:8080/data/asl-ftp/asllvd/demos/verify_start_end_handshape_annotations//test_auto_move//signs_mov_separ_signers/Naomi_3314.mov","MOV")</f>
        <v>21</v>
      </c>
    </row>
    <row r="4323" s="2" customFormat="1" ht="13.5" customHeight="1">
      <c r="B4323" s="13"/>
      <c r="C4323" t="s" s="9">
        <v>30</v>
      </c>
      <c r="D4323" t="s" s="8">
        <v>1470</v>
      </c>
      <c r="E4323" t="s" s="9">
        <v>1470</v>
      </c>
      <c r="F4323" t="s" s="10">
        <v>68</v>
      </c>
      <c r="G4323" t="s" s="11">
        <v>68</v>
      </c>
      <c r="H4323" s="19">
        <v>5</v>
      </c>
      <c r="I4323" s="17">
        <v>5</v>
      </c>
      <c r="J4323" t="s" s="11">
        <v>20</v>
      </c>
      <c r="K4323" s="15"/>
      <c r="L4323" t="s" s="16">
        <f>HYPERLINK("http://csr.bu.edu/ftp/asl/asllvd/demos/verify_start_end_handshape_annotations//test_auto_move//signs_mov_separ_signers/Brady_3314.mov","MOV")</f>
        <v>21</v>
      </c>
      <c r="M4323" t="s" s="10">
        <v>31</v>
      </c>
      <c r="N4323" s="17">
        <v>24</v>
      </c>
      <c r="O4323" s="18">
        <v>7217</v>
      </c>
      <c r="P4323" s="18">
        <v>7235</v>
      </c>
      <c r="Q4323" s="15"/>
      <c r="R4323" t="s" s="16">
        <f>HYPERLINK("http://secrets.rutgers.edu:8080/data/asl-ftp/asllvd/demos/verify_start_end_handshape_annotations//test_auto_move//signs_mov_separ_signers/Brady_3314.mov","MOV")</f>
        <v>21</v>
      </c>
    </row>
    <row r="4324" s="2" customFormat="1" ht="13.5" customHeight="1">
      <c r="B4324" t="s" s="8">
        <v>52</v>
      </c>
      <c r="C4324" t="s" s="9">
        <v>53</v>
      </c>
      <c r="D4324" t="s" s="8">
        <v>53</v>
      </c>
      <c r="E4324" t="s" s="9">
        <v>53</v>
      </c>
      <c r="F4324" t="s" s="10">
        <v>53</v>
      </c>
      <c r="G4324" t="s" s="11">
        <v>53</v>
      </c>
      <c r="H4324" t="s" s="10">
        <v>53</v>
      </c>
      <c r="I4324" t="s" s="11">
        <v>53</v>
      </c>
      <c r="J4324" t="s" s="11">
        <v>53</v>
      </c>
      <c r="K4324" t="s" s="12">
        <v>53</v>
      </c>
      <c r="L4324" t="s" s="12">
        <v>53</v>
      </c>
      <c r="M4324" t="s" s="10">
        <v>53</v>
      </c>
      <c r="N4324" t="s" s="11">
        <v>53</v>
      </c>
      <c r="O4324" t="s" s="8">
        <v>53</v>
      </c>
      <c r="P4324" t="s" s="8">
        <v>53</v>
      </c>
      <c r="Q4324" t="s" s="12">
        <v>53</v>
      </c>
      <c r="R4324" t="s" s="12">
        <v>53</v>
      </c>
    </row>
    <row r="4325" s="2" customFormat="1" ht="13.5" customHeight="1">
      <c r="B4325" s="13"/>
      <c r="C4325" t="s" s="9">
        <v>16</v>
      </c>
      <c r="D4325" t="s" s="8">
        <v>1470</v>
      </c>
      <c r="E4325" t="s" s="9">
        <v>1472</v>
      </c>
      <c r="F4325" s="19">
        <v>5</v>
      </c>
      <c r="G4325" s="17">
        <v>5</v>
      </c>
      <c r="H4325" s="19">
        <v>5</v>
      </c>
      <c r="I4325" s="17">
        <v>5</v>
      </c>
      <c r="J4325" t="s" s="11">
        <v>20</v>
      </c>
      <c r="K4325" s="15"/>
      <c r="L4325" t="s" s="16">
        <f>HYPERLINK("http://csr.bu.edu/ftp/asl/asllvd/demos/verify_start_end_handshape_annotations//test_auto_move//signs_mov_separ_signers/Liz_15340.mov","MOV")</f>
        <v>21</v>
      </c>
      <c r="M4325" t="s" s="10">
        <v>84</v>
      </c>
      <c r="N4325" s="17">
        <v>42</v>
      </c>
      <c r="O4325" s="18">
        <v>1545</v>
      </c>
      <c r="P4325" s="18">
        <v>1622</v>
      </c>
      <c r="Q4325" s="15"/>
      <c r="R4325" t="s" s="16">
        <f>HYPERLINK("http://secrets.rutgers.edu:8080/data/asl-ftp/asllvd/demos/verify_start_end_handshape_annotations//test_auto_move//signs_mov_separ_signers/Liz_15340.mov","MOV")</f>
        <v>21</v>
      </c>
    </row>
    <row r="4326" s="2" customFormat="1" ht="13.5" customHeight="1">
      <c r="B4326" s="13"/>
      <c r="C4326" t="s" s="9">
        <v>23</v>
      </c>
      <c r="D4326" t="s" s="8">
        <v>1470</v>
      </c>
      <c r="E4326" t="s" s="9">
        <v>1473</v>
      </c>
      <c r="F4326" s="19">
        <v>5</v>
      </c>
      <c r="G4326" s="17">
        <v>5</v>
      </c>
      <c r="H4326" s="19">
        <v>5</v>
      </c>
      <c r="I4326" s="17">
        <v>5</v>
      </c>
      <c r="J4326" t="s" s="11">
        <v>20</v>
      </c>
      <c r="K4326" s="15"/>
      <c r="L4326" t="s" s="16">
        <f>HYPERLINK("http://csr.bu.edu/ftp/asl/asllvd/demos/verify_start_end_handshape_annotations//test_auto_move//signs_mov_separ_signers/Tyler_15340.mov","MOV")</f>
        <v>21</v>
      </c>
      <c r="M4326" t="s" s="10">
        <v>26</v>
      </c>
      <c r="N4326" s="17">
        <v>36</v>
      </c>
      <c r="O4326" s="18">
        <v>3231</v>
      </c>
      <c r="P4326" s="18">
        <v>3275</v>
      </c>
      <c r="Q4326" s="15"/>
      <c r="R4326" t="s" s="16">
        <f>HYPERLINK("http://secrets.rutgers.edu:8080/data/asl-ftp/asllvd/demos/verify_start_end_handshape_annotations//test_auto_move//signs_mov_separ_signers/Tyler_15340.mov","MOV")</f>
        <v>21</v>
      </c>
    </row>
    <row r="4327" s="2" customFormat="1" ht="13.5" customHeight="1">
      <c r="B4327" s="13"/>
      <c r="C4327" t="s" s="9">
        <v>23</v>
      </c>
      <c r="D4327" t="s" s="8">
        <v>1470</v>
      </c>
      <c r="E4327" t="s" s="9">
        <v>1473</v>
      </c>
      <c r="F4327" s="19">
        <v>5</v>
      </c>
      <c r="G4327" s="17">
        <v>5</v>
      </c>
      <c r="H4327" s="19">
        <v>5</v>
      </c>
      <c r="I4327" s="17">
        <v>5</v>
      </c>
      <c r="J4327" t="s" s="11">
        <v>20</v>
      </c>
      <c r="K4327" t="s" s="16">
        <f>HYPERLINK("http://csr.bu.edu/ftp/asl/asllvd/demos/verify_start_end_handshape_annotations//test_auto_move//signs_mov/15340_16150_merged.mov","MOV")</f>
        <v>21</v>
      </c>
      <c r="L4327" t="s" s="16">
        <f>HYPERLINK("http://csr.bu.edu/ftp/asl/asllvd/demos/verify_start_end_handshape_annotations//test_auto_move//signs_mov_separ_signers/Tyler_16150.mov","MOV")</f>
        <v>21</v>
      </c>
      <c r="M4327" t="s" s="10">
        <v>92</v>
      </c>
      <c r="N4327" s="17">
        <v>22</v>
      </c>
      <c r="O4327" s="18">
        <v>2316</v>
      </c>
      <c r="P4327" s="18">
        <v>2370</v>
      </c>
      <c r="Q4327" t="s" s="16">
        <f>HYPERLINK("http://secrets.rutgers.edu:8080/data/asl-ftp/asllvd/demos/verify_start_end_handshape_annotations//test_auto_move//signs_mov/15340_16150_merged.mov","MOV")</f>
        <v>21</v>
      </c>
      <c r="R4327" t="s" s="16">
        <f>HYPERLINK("http://secrets.rutgers.edu:8080/data/asl-ftp/asllvd/demos/verify_start_end_handshape_annotations//test_auto_move//signs_mov_separ_signers/Tyler_16150.mov","MOV")</f>
        <v>21</v>
      </c>
    </row>
    <row r="4328" s="2" customFormat="1" ht="13.5" customHeight="1">
      <c r="B4328" s="13"/>
      <c r="C4328" t="s" s="9">
        <v>27</v>
      </c>
      <c r="D4328" t="s" s="8">
        <v>1470</v>
      </c>
      <c r="E4328" t="s" s="9">
        <v>1473</v>
      </c>
      <c r="F4328" s="19">
        <v>5</v>
      </c>
      <c r="G4328" s="17">
        <v>5</v>
      </c>
      <c r="H4328" s="19">
        <v>5</v>
      </c>
      <c r="I4328" s="17">
        <v>5</v>
      </c>
      <c r="J4328" t="s" s="11">
        <v>20</v>
      </c>
      <c r="K4328" s="15"/>
      <c r="L4328" t="s" s="16">
        <f>HYPERLINK("http://csr.bu.edu/ftp/asl/asllvd/demos/verify_start_end_handshape_annotations//test_auto_move//signs_mov_separ_signers/Naomi_15340.mov","MOV")</f>
        <v>21</v>
      </c>
      <c r="M4328" t="s" s="10">
        <v>86</v>
      </c>
      <c r="N4328" s="17">
        <v>42</v>
      </c>
      <c r="O4328" s="18">
        <v>995</v>
      </c>
      <c r="P4328" s="18">
        <v>1062</v>
      </c>
      <c r="Q4328" s="15"/>
      <c r="R4328" t="s" s="16">
        <f>HYPERLINK("http://secrets.rutgers.edu:8080/data/asl-ftp/asllvd/demos/verify_start_end_handshape_annotations//test_auto_move//signs_mov_separ_signers/Naomi_15340.mov","MOV")</f>
        <v>21</v>
      </c>
    </row>
    <row r="4329" s="2" customFormat="1" ht="13.5" customHeight="1">
      <c r="B4329" s="13"/>
      <c r="C4329" t="s" s="9">
        <v>30</v>
      </c>
      <c r="D4329" t="s" s="8">
        <v>1470</v>
      </c>
      <c r="E4329" t="s" s="9">
        <v>1473</v>
      </c>
      <c r="F4329" s="19">
        <v>5</v>
      </c>
      <c r="G4329" s="17">
        <v>5</v>
      </c>
      <c r="H4329" s="19">
        <v>5</v>
      </c>
      <c r="I4329" s="17">
        <v>5</v>
      </c>
      <c r="J4329" t="s" s="11">
        <v>20</v>
      </c>
      <c r="K4329" s="15"/>
      <c r="L4329" t="s" s="16">
        <f>HYPERLINK("http://csr.bu.edu/ftp/asl/asllvd/demos/verify_start_end_handshape_annotations//test_auto_move//signs_mov_separ_signers/Brady_15340.mov","MOV")</f>
        <v>21</v>
      </c>
      <c r="M4329" t="s" s="10">
        <v>39</v>
      </c>
      <c r="N4329" s="17">
        <v>18</v>
      </c>
      <c r="O4329" s="18">
        <v>6523</v>
      </c>
      <c r="P4329" s="18">
        <v>6568</v>
      </c>
      <c r="Q4329" s="15"/>
      <c r="R4329" t="s" s="16">
        <f>HYPERLINK("http://secrets.rutgers.edu:8080/data/asl-ftp/asllvd/demos/verify_start_end_handshape_annotations//test_auto_move//signs_mov_separ_signers/Brady_15340.mov","MOV")</f>
        <v>21</v>
      </c>
    </row>
    <row r="4330" s="2" customFormat="1" ht="13.5" customHeight="1">
      <c r="B4330" t="s" s="8">
        <v>1474</v>
      </c>
      <c r="C4330" t="s" s="9">
        <v>14</v>
      </c>
      <c r="D4330" t="s" s="8">
        <v>14</v>
      </c>
      <c r="E4330" t="s" s="9">
        <v>14</v>
      </c>
      <c r="F4330" t="s" s="10">
        <v>14</v>
      </c>
      <c r="G4330" t="s" s="11">
        <v>14</v>
      </c>
      <c r="H4330" t="s" s="10">
        <v>14</v>
      </c>
      <c r="I4330" t="s" s="11">
        <v>14</v>
      </c>
      <c r="J4330" t="s" s="11">
        <v>14</v>
      </c>
      <c r="K4330" t="s" s="12">
        <v>14</v>
      </c>
      <c r="L4330" t="s" s="12">
        <v>14</v>
      </c>
      <c r="M4330" t="s" s="10">
        <v>14</v>
      </c>
      <c r="N4330" t="s" s="11">
        <v>14</v>
      </c>
      <c r="O4330" t="s" s="8">
        <v>14</v>
      </c>
      <c r="P4330" t="s" s="8">
        <v>14</v>
      </c>
      <c r="Q4330" t="s" s="12">
        <v>14</v>
      </c>
      <c r="R4330" t="s" s="12">
        <v>14</v>
      </c>
    </row>
    <row r="4331" s="2" customFormat="1" ht="13.5" customHeight="1">
      <c r="B4331" s="13"/>
      <c r="C4331" t="s" s="9">
        <v>16</v>
      </c>
      <c r="D4331" t="s" s="8">
        <v>1474</v>
      </c>
      <c r="E4331" t="s" s="9">
        <v>1474</v>
      </c>
      <c r="F4331" t="s" s="10">
        <v>73</v>
      </c>
      <c r="G4331" t="s" s="11">
        <v>68</v>
      </c>
      <c r="H4331" t="s" s="10">
        <v>73</v>
      </c>
      <c r="I4331" t="s" s="11">
        <v>68</v>
      </c>
      <c r="J4331" t="s" s="11">
        <v>20</v>
      </c>
      <c r="K4331" s="15"/>
      <c r="L4331" t="s" s="16">
        <f>HYPERLINK("http://csr.bu.edu/ftp/asl/asllvd/demos/verify_start_end_handshape_annotations//test_auto_move//signs_mov_separ_signers/Liz_916.mov","MOV")</f>
        <v>21</v>
      </c>
      <c r="M4331" t="s" s="10">
        <v>84</v>
      </c>
      <c r="N4331" s="17">
        <v>42</v>
      </c>
      <c r="O4331" s="18">
        <v>1790</v>
      </c>
      <c r="P4331" s="18">
        <v>1815</v>
      </c>
      <c r="Q4331" s="15"/>
      <c r="R4331" t="s" s="16">
        <f>HYPERLINK("http://secrets.rutgers.edu:8080/data/asl-ftp/asllvd/demos/verify_start_end_handshape_annotations//test_auto_move//signs_mov_separ_signers/Liz_916.mov","MOV")</f>
        <v>21</v>
      </c>
    </row>
    <row r="4332" s="2" customFormat="1" ht="13.5" customHeight="1">
      <c r="B4332" s="13"/>
      <c r="C4332" t="s" s="9">
        <v>23</v>
      </c>
      <c r="D4332" t="s" s="8">
        <v>1474</v>
      </c>
      <c r="E4332" t="s" s="9">
        <v>1474</v>
      </c>
      <c r="F4332" t="s" s="10">
        <v>152</v>
      </c>
      <c r="G4332" t="s" s="11">
        <v>68</v>
      </c>
      <c r="H4332" t="s" s="10">
        <v>152</v>
      </c>
      <c r="I4332" t="s" s="11">
        <v>68</v>
      </c>
      <c r="J4332" t="s" s="11">
        <v>20</v>
      </c>
      <c r="K4332" t="s" s="16">
        <f>HYPERLINK("http://csr.bu.edu/ftp/asl/asllvd/demos/verify_start_end_handshape_annotations//test_auto_move//signs_mov/916.mov","MOV")</f>
        <v>21</v>
      </c>
      <c r="L4332" t="s" s="16">
        <f>HYPERLINK("http://csr.bu.edu/ftp/asl/asllvd/demos/verify_start_end_handshape_annotations//test_auto_move//signs_mov_separ_signers/Tyler_916.mov","MOV")</f>
        <v>21</v>
      </c>
      <c r="M4332" t="s" s="10">
        <v>92</v>
      </c>
      <c r="N4332" s="17">
        <v>22</v>
      </c>
      <c r="O4332" s="18">
        <v>2535</v>
      </c>
      <c r="P4332" s="18">
        <v>2560</v>
      </c>
      <c r="Q4332" t="s" s="16">
        <f>HYPERLINK("http://secrets.rutgers.edu:8080/data/asl-ftp/asllvd/demos/verify_start_end_handshape_annotations//test_auto_move//signs_mov/916.mov","MOV")</f>
        <v>21</v>
      </c>
      <c r="R4332" t="s" s="16">
        <f>HYPERLINK("http://secrets.rutgers.edu:8080/data/asl-ftp/asllvd/demos/verify_start_end_handshape_annotations//test_auto_move//signs_mov_separ_signers/Tyler_916.mov","MOV")</f>
        <v>21</v>
      </c>
    </row>
    <row r="4333" s="2" customFormat="1" ht="13.5" customHeight="1">
      <c r="B4333" s="13"/>
      <c r="C4333" t="s" s="9">
        <v>27</v>
      </c>
      <c r="D4333" t="s" s="8">
        <v>1474</v>
      </c>
      <c r="E4333" t="s" s="9">
        <v>1474</v>
      </c>
      <c r="F4333" t="s" s="10">
        <v>73</v>
      </c>
      <c r="G4333" t="s" s="11">
        <v>68</v>
      </c>
      <c r="H4333" t="s" s="10">
        <v>73</v>
      </c>
      <c r="I4333" t="s" s="11">
        <v>68</v>
      </c>
      <c r="J4333" t="s" s="11">
        <v>20</v>
      </c>
      <c r="K4333" s="15"/>
      <c r="L4333" t="s" s="16">
        <f>HYPERLINK("http://csr.bu.edu/ftp/asl/asllvd/demos/verify_start_end_handshape_annotations//test_auto_move//signs_mov_separ_signers/Naomi_916.mov","MOV")</f>
        <v>21</v>
      </c>
      <c r="M4333" t="s" s="10">
        <v>86</v>
      </c>
      <c r="N4333" s="17">
        <v>42</v>
      </c>
      <c r="O4333" s="18">
        <v>1207</v>
      </c>
      <c r="P4333" s="18">
        <v>1227</v>
      </c>
      <c r="Q4333" s="15"/>
      <c r="R4333" t="s" s="16">
        <f>HYPERLINK("http://secrets.rutgers.edu:8080/data/asl-ftp/asllvd/demos/verify_start_end_handshape_annotations//test_auto_move//signs_mov_separ_signers/Naomi_916.mov","MOV")</f>
        <v>21</v>
      </c>
    </row>
    <row r="4334" s="2" customFormat="1" ht="13.5" customHeight="1">
      <c r="B4334" s="13"/>
      <c r="C4334" t="s" s="9">
        <v>30</v>
      </c>
      <c r="D4334" t="s" s="8">
        <v>1474</v>
      </c>
      <c r="E4334" t="s" s="9">
        <v>1474</v>
      </c>
      <c r="F4334" t="s" s="10">
        <v>55</v>
      </c>
      <c r="G4334" t="s" s="11">
        <v>68</v>
      </c>
      <c r="H4334" t="s" s="10">
        <v>55</v>
      </c>
      <c r="I4334" t="s" s="11">
        <v>68</v>
      </c>
      <c r="J4334" t="s" s="11">
        <v>20</v>
      </c>
      <c r="K4334" s="15"/>
      <c r="L4334" t="s" s="16">
        <f>HYPERLINK("http://csr.bu.edu/ftp/asl/asllvd/demos/verify_start_end_handshape_annotations//test_auto_move//signs_mov_separ_signers/Brady_916.mov","MOV")</f>
        <v>21</v>
      </c>
      <c r="M4334" t="s" s="10">
        <v>39</v>
      </c>
      <c r="N4334" s="17">
        <v>18</v>
      </c>
      <c r="O4334" s="18">
        <v>6722</v>
      </c>
      <c r="P4334" s="18">
        <v>6740</v>
      </c>
      <c r="Q4334" s="15"/>
      <c r="R4334" t="s" s="16">
        <f>HYPERLINK("http://secrets.rutgers.edu:8080/data/asl-ftp/asllvd/demos/verify_start_end_handshape_annotations//test_auto_move//signs_mov_separ_signers/Brady_916.mov","MOV")</f>
        <v>21</v>
      </c>
    </row>
    <row r="4335" s="2" customFormat="1" ht="13.5" customHeight="1">
      <c r="B4335" t="s" s="8">
        <v>52</v>
      </c>
      <c r="C4335" t="s" s="9">
        <v>53</v>
      </c>
      <c r="D4335" t="s" s="8">
        <v>53</v>
      </c>
      <c r="E4335" t="s" s="9">
        <v>53</v>
      </c>
      <c r="F4335" t="s" s="10">
        <v>53</v>
      </c>
      <c r="G4335" t="s" s="11">
        <v>53</v>
      </c>
      <c r="H4335" t="s" s="10">
        <v>53</v>
      </c>
      <c r="I4335" t="s" s="11">
        <v>53</v>
      </c>
      <c r="J4335" t="s" s="11">
        <v>53</v>
      </c>
      <c r="K4335" t="s" s="12">
        <v>53</v>
      </c>
      <c r="L4335" t="s" s="12">
        <v>53</v>
      </c>
      <c r="M4335" t="s" s="10">
        <v>53</v>
      </c>
      <c r="N4335" t="s" s="11">
        <v>53</v>
      </c>
      <c r="O4335" t="s" s="8">
        <v>53</v>
      </c>
      <c r="P4335" t="s" s="8">
        <v>53</v>
      </c>
      <c r="Q4335" t="s" s="12">
        <v>53</v>
      </c>
      <c r="R4335" t="s" s="12">
        <v>53</v>
      </c>
    </row>
    <row r="4336" s="2" customFormat="1" ht="13.5" customHeight="1">
      <c r="B4336" s="13"/>
      <c r="C4336" t="s" s="9">
        <v>41</v>
      </c>
      <c r="D4336" t="s" s="8">
        <v>1474</v>
      </c>
      <c r="E4336" t="s" s="9">
        <v>1475</v>
      </c>
      <c r="F4336" t="s" s="10">
        <v>73</v>
      </c>
      <c r="G4336" t="s" s="11">
        <v>55</v>
      </c>
      <c r="H4336" t="s" s="10">
        <v>73</v>
      </c>
      <c r="I4336" t="s" s="11">
        <v>55</v>
      </c>
      <c r="J4336" t="s" s="11">
        <v>20</v>
      </c>
      <c r="K4336" t="s" s="16">
        <f>HYPERLINK("http://csr.bu.edu/ftp/asl/asllvd/demos/verify_start_end_handshape_annotations//test_auto_move//signs_mov/15104_16365_merged.mov","MOV")</f>
        <v>21</v>
      </c>
      <c r="L4336" t="s" s="16">
        <f>HYPERLINK("http://csr.bu.edu/ftp/asl/asllvd/demos/verify_start_end_handshape_annotations//test_auto_move//signs_mov_separ_signers/Lana_15104.mov","MOV")</f>
        <v>21</v>
      </c>
      <c r="M4336" t="s" s="10">
        <v>42</v>
      </c>
      <c r="N4336" s="17">
        <v>9</v>
      </c>
      <c r="O4336" s="18">
        <v>2579</v>
      </c>
      <c r="P4336" s="18">
        <v>2595</v>
      </c>
      <c r="Q4336" t="s" s="16">
        <f>HYPERLINK("http://secrets.rutgers.edu:8080/data/asl-ftp/asllvd/demos/verify_start_end_handshape_annotations//test_auto_move//signs_mov/15104_16365_merged.mov","MOV")</f>
        <v>21</v>
      </c>
      <c r="R4336" t="s" s="16">
        <f>HYPERLINK("http://secrets.rutgers.edu:8080/data/asl-ftp/asllvd/demos/verify_start_end_handshape_annotations//test_auto_move//signs_mov_separ_signers/Lana_15104.mov","MOV")</f>
        <v>21</v>
      </c>
    </row>
    <row r="4337" s="2" customFormat="1" ht="13.5" customHeight="1">
      <c r="B4337" s="13"/>
      <c r="C4337" t="s" s="9">
        <v>41</v>
      </c>
      <c r="D4337" t="s" s="8">
        <v>1474</v>
      </c>
      <c r="E4337" t="s" s="9">
        <v>1475</v>
      </c>
      <c r="F4337" t="s" s="10">
        <v>73</v>
      </c>
      <c r="G4337" t="s" s="11">
        <v>55</v>
      </c>
      <c r="H4337" t="s" s="10">
        <v>73</v>
      </c>
      <c r="I4337" t="s" s="11">
        <v>55</v>
      </c>
      <c r="J4337" t="s" s="11">
        <v>20</v>
      </c>
      <c r="K4337" s="15"/>
      <c r="L4337" t="s" s="16">
        <f>HYPERLINK("http://csr.bu.edu/ftp/asl/asllvd/demos/verify_start_end_handshape_annotations//test_auto_move//signs_mov_separ_signers/Lana_16365.mov","MOV")</f>
        <v>21</v>
      </c>
      <c r="M4337" t="s" s="10">
        <v>42</v>
      </c>
      <c r="N4337" s="17">
        <v>15</v>
      </c>
      <c r="O4337" s="18">
        <v>2529</v>
      </c>
      <c r="P4337" s="18">
        <v>2544</v>
      </c>
      <c r="Q4337" s="15"/>
      <c r="R4337" t="s" s="16">
        <f>HYPERLINK("http://secrets.rutgers.edu:8080/data/asl-ftp/asllvd/demos/verify_start_end_handshape_annotations//test_auto_move//signs_mov_separ_signers/Lana_16365.mov","MOV")</f>
        <v>21</v>
      </c>
    </row>
    <row r="4338" s="2" customFormat="1" ht="13.5" customHeight="1">
      <c r="B4338" t="s" s="8">
        <v>1476</v>
      </c>
      <c r="C4338" t="s" s="9">
        <v>14</v>
      </c>
      <c r="D4338" t="s" s="8">
        <v>14</v>
      </c>
      <c r="E4338" t="s" s="9">
        <v>14</v>
      </c>
      <c r="F4338" t="s" s="10">
        <v>14</v>
      </c>
      <c r="G4338" t="s" s="11">
        <v>14</v>
      </c>
      <c r="H4338" t="s" s="10">
        <v>14</v>
      </c>
      <c r="I4338" t="s" s="11">
        <v>14</v>
      </c>
      <c r="J4338" t="s" s="11">
        <v>14</v>
      </c>
      <c r="K4338" t="s" s="12">
        <v>14</v>
      </c>
      <c r="L4338" t="s" s="12">
        <v>14</v>
      </c>
      <c r="M4338" t="s" s="10">
        <v>14</v>
      </c>
      <c r="N4338" t="s" s="11">
        <v>14</v>
      </c>
      <c r="O4338" t="s" s="8">
        <v>14</v>
      </c>
      <c r="P4338" t="s" s="8">
        <v>14</v>
      </c>
      <c r="Q4338" t="s" s="12">
        <v>14</v>
      </c>
      <c r="R4338" t="s" s="12">
        <v>14</v>
      </c>
    </row>
    <row r="4339" s="2" customFormat="1" ht="13.5" customHeight="1">
      <c r="B4339" s="13"/>
      <c r="C4339" t="s" s="9">
        <v>16</v>
      </c>
      <c r="D4339" t="s" s="8">
        <v>1476</v>
      </c>
      <c r="E4339" t="s" s="9">
        <v>1476</v>
      </c>
      <c r="F4339" t="s" s="10">
        <v>55</v>
      </c>
      <c r="G4339" s="14"/>
      <c r="H4339" t="s" s="10">
        <v>55</v>
      </c>
      <c r="I4339" s="14"/>
      <c r="J4339" t="s" s="11">
        <v>20</v>
      </c>
      <c r="K4339" s="15"/>
      <c r="L4339" t="s" s="16">
        <f>HYPERLINK("http://csr.bu.edu/ftp/asl/asllvd/demos/verify_start_end_handshape_annotations//test_auto_move//signs_mov_separ_signers/Liz_917.mov","MOV")</f>
        <v>21</v>
      </c>
      <c r="M4339" t="s" s="10">
        <v>84</v>
      </c>
      <c r="N4339" s="17">
        <v>42</v>
      </c>
      <c r="O4339" s="18">
        <v>2025</v>
      </c>
      <c r="P4339" s="18">
        <v>2065</v>
      </c>
      <c r="Q4339" s="15"/>
      <c r="R4339" t="s" s="16">
        <f>HYPERLINK("http://secrets.rutgers.edu:8080/data/asl-ftp/asllvd/demos/verify_start_end_handshape_annotations//test_auto_move//signs_mov_separ_signers/Liz_917.mov","MOV")</f>
        <v>21</v>
      </c>
    </row>
    <row r="4340" s="2" customFormat="1" ht="13.5" customHeight="1">
      <c r="B4340" s="13"/>
      <c r="C4340" t="s" s="9">
        <v>23</v>
      </c>
      <c r="D4340" t="s" s="8">
        <v>1476</v>
      </c>
      <c r="E4340" t="s" s="9">
        <v>1476</v>
      </c>
      <c r="F4340" t="s" s="10">
        <v>152</v>
      </c>
      <c r="G4340" s="14"/>
      <c r="H4340" t="s" s="10">
        <v>152</v>
      </c>
      <c r="I4340" s="14"/>
      <c r="J4340" t="s" s="11">
        <v>20</v>
      </c>
      <c r="K4340" t="s" s="16">
        <f>HYPERLINK("http://csr.bu.edu/ftp/asl/asllvd/demos/verify_start_end_handshape_annotations//test_auto_move//signs_mov/917.mov","MOV")</f>
        <v>21</v>
      </c>
      <c r="L4340" t="s" s="16">
        <f>HYPERLINK("http://csr.bu.edu/ftp/asl/asllvd/demos/verify_start_end_handshape_annotations//test_auto_move//signs_mov_separ_signers/Tyler_917.mov","MOV")</f>
        <v>21</v>
      </c>
      <c r="M4340" t="s" s="10">
        <v>92</v>
      </c>
      <c r="N4340" s="17">
        <v>22</v>
      </c>
      <c r="O4340" s="18">
        <v>2745</v>
      </c>
      <c r="P4340" s="18">
        <v>2781</v>
      </c>
      <c r="Q4340" t="s" s="16">
        <f>HYPERLINK("http://secrets.rutgers.edu:8080/data/asl-ftp/asllvd/demos/verify_start_end_handshape_annotations//test_auto_move//signs_mov/917.mov","MOV")</f>
        <v>21</v>
      </c>
      <c r="R4340" t="s" s="16">
        <f>HYPERLINK("http://secrets.rutgers.edu:8080/data/asl-ftp/asllvd/demos/verify_start_end_handshape_annotations//test_auto_move//signs_mov_separ_signers/Tyler_917.mov","MOV")</f>
        <v>21</v>
      </c>
    </row>
    <row r="4341" s="2" customFormat="1" ht="13.5" customHeight="1">
      <c r="B4341" s="13"/>
      <c r="C4341" t="s" s="9">
        <v>27</v>
      </c>
      <c r="D4341" t="s" s="8">
        <v>1476</v>
      </c>
      <c r="E4341" t="s" s="9">
        <v>1476</v>
      </c>
      <c r="F4341" t="s" s="10">
        <v>55</v>
      </c>
      <c r="G4341" s="14"/>
      <c r="H4341" t="s" s="10">
        <v>55</v>
      </c>
      <c r="I4341" s="14"/>
      <c r="J4341" t="s" s="11">
        <v>20</v>
      </c>
      <c r="K4341" s="15"/>
      <c r="L4341" t="s" s="16">
        <f>HYPERLINK("http://csr.bu.edu/ftp/asl/asllvd/demos/verify_start_end_handshape_annotations//test_auto_move//signs_mov_separ_signers/Naomi_917.mov","MOV")</f>
        <v>21</v>
      </c>
      <c r="M4341" t="s" s="10">
        <v>86</v>
      </c>
      <c r="N4341" s="17">
        <v>42</v>
      </c>
      <c r="O4341" s="18">
        <v>1425</v>
      </c>
      <c r="P4341" s="18">
        <v>1448</v>
      </c>
      <c r="Q4341" s="15"/>
      <c r="R4341" t="s" s="16">
        <f>HYPERLINK("http://secrets.rutgers.edu:8080/data/asl-ftp/asllvd/demos/verify_start_end_handshape_annotations//test_auto_move//signs_mov_separ_signers/Naomi_917.mov","MOV")</f>
        <v>21</v>
      </c>
    </row>
    <row r="4342" s="2" customFormat="1" ht="13.5" customHeight="1">
      <c r="B4342" s="13"/>
      <c r="C4342" t="s" s="9">
        <v>30</v>
      </c>
      <c r="D4342" t="s" s="8">
        <v>1476</v>
      </c>
      <c r="E4342" t="s" s="9">
        <v>1476</v>
      </c>
      <c r="F4342" t="s" s="10">
        <v>55</v>
      </c>
      <c r="G4342" s="14"/>
      <c r="H4342" t="s" s="10">
        <v>55</v>
      </c>
      <c r="I4342" s="14"/>
      <c r="J4342" t="s" s="11">
        <v>20</v>
      </c>
      <c r="K4342" s="15"/>
      <c r="L4342" t="s" s="16">
        <f>HYPERLINK("http://csr.bu.edu/ftp/asl/asllvd/demos/verify_start_end_handshape_annotations//test_auto_move//signs_mov_separ_signers/Brady_917.mov","MOV")</f>
        <v>21</v>
      </c>
      <c r="M4342" t="s" s="10">
        <v>39</v>
      </c>
      <c r="N4342" s="17">
        <v>18</v>
      </c>
      <c r="O4342" s="18">
        <v>6943</v>
      </c>
      <c r="P4342" s="18">
        <v>6975</v>
      </c>
      <c r="Q4342" s="15"/>
      <c r="R4342" t="s" s="16">
        <f>HYPERLINK("http://secrets.rutgers.edu:8080/data/asl-ftp/asllvd/demos/verify_start_end_handshape_annotations//test_auto_move//signs_mov_separ_signers/Brady_917.mov","MOV")</f>
        <v>21</v>
      </c>
    </row>
    <row r="4343" s="2" customFormat="1" ht="13.5" customHeight="1">
      <c r="B4343" t="s" s="8">
        <v>1477</v>
      </c>
      <c r="C4343" t="s" s="9">
        <v>14</v>
      </c>
      <c r="D4343" t="s" s="8">
        <v>14</v>
      </c>
      <c r="E4343" t="s" s="9">
        <v>14</v>
      </c>
      <c r="F4343" t="s" s="10">
        <v>14</v>
      </c>
      <c r="G4343" t="s" s="11">
        <v>14</v>
      </c>
      <c r="H4343" t="s" s="10">
        <v>14</v>
      </c>
      <c r="I4343" t="s" s="11">
        <v>14</v>
      </c>
      <c r="J4343" t="s" s="11">
        <v>14</v>
      </c>
      <c r="K4343" t="s" s="12">
        <v>14</v>
      </c>
      <c r="L4343" t="s" s="12">
        <v>14</v>
      </c>
      <c r="M4343" t="s" s="10">
        <v>14</v>
      </c>
      <c r="N4343" t="s" s="11">
        <v>14</v>
      </c>
      <c r="O4343" t="s" s="8">
        <v>14</v>
      </c>
      <c r="P4343" t="s" s="8">
        <v>14</v>
      </c>
      <c r="Q4343" t="s" s="12">
        <v>14</v>
      </c>
      <c r="R4343" t="s" s="12">
        <v>14</v>
      </c>
    </row>
    <row r="4344" s="2" customFormat="1" ht="13.5" customHeight="1">
      <c r="B4344" s="13"/>
      <c r="C4344" t="s" s="9">
        <v>16</v>
      </c>
      <c r="D4344" t="s" s="8">
        <v>1477</v>
      </c>
      <c r="E4344" t="s" s="9">
        <v>1477</v>
      </c>
      <c r="F4344" t="s" s="10">
        <v>73</v>
      </c>
      <c r="G4344" t="s" s="11">
        <v>25</v>
      </c>
      <c r="H4344" t="s" s="10">
        <v>73</v>
      </c>
      <c r="I4344" t="s" s="11">
        <v>25</v>
      </c>
      <c r="J4344" t="s" s="11">
        <v>20</v>
      </c>
      <c r="K4344" t="s" s="16">
        <f>HYPERLINK("http://csr.bu.edu/ftp/asl/asllvd/demos/verify_start_end_handshape_annotations//test_auto_move//signs_mov/920.mov","MOV")</f>
        <v>21</v>
      </c>
      <c r="L4344" t="s" s="16">
        <f>HYPERLINK("http://csr.bu.edu/ftp/asl/asllvd/demos/verify_start_end_handshape_annotations//test_auto_move//signs_mov_separ_signers/Liz_920.mov","MOV")</f>
        <v>21</v>
      </c>
      <c r="M4344" t="s" s="10">
        <v>84</v>
      </c>
      <c r="N4344" s="17">
        <v>43</v>
      </c>
      <c r="O4344" s="18">
        <v>260</v>
      </c>
      <c r="P4344" s="18">
        <v>295</v>
      </c>
      <c r="Q4344" t="s" s="16">
        <f>HYPERLINK("http://secrets.rutgers.edu:8080/data/asl-ftp/asllvd/demos/verify_start_end_handshape_annotations//test_auto_move//signs_mov/920.mov","MOV")</f>
        <v>21</v>
      </c>
      <c r="R4344" t="s" s="16">
        <f>HYPERLINK("http://secrets.rutgers.edu:8080/data/asl-ftp/asllvd/demos/verify_start_end_handshape_annotations//test_auto_move//signs_mov_separ_signers/Liz_920.mov","MOV")</f>
        <v>21</v>
      </c>
    </row>
    <row r="4345" s="2" customFormat="1" ht="13.5" customHeight="1">
      <c r="B4345" s="13"/>
      <c r="C4345" t="s" s="9">
        <v>30</v>
      </c>
      <c r="D4345" t="s" s="8">
        <v>1477</v>
      </c>
      <c r="E4345" t="s" s="9">
        <v>1477</v>
      </c>
      <c r="F4345" t="s" s="10">
        <v>73</v>
      </c>
      <c r="G4345" s="17">
        <v>1</v>
      </c>
      <c r="H4345" t="s" s="10">
        <v>73</v>
      </c>
      <c r="I4345" s="17">
        <v>1</v>
      </c>
      <c r="J4345" t="s" s="11">
        <v>20</v>
      </c>
      <c r="K4345" s="15"/>
      <c r="L4345" t="s" s="16">
        <f>HYPERLINK("http://csr.bu.edu/ftp/asl/asllvd/demos/verify_start_end_handshape_annotations//test_auto_move//signs_mov_separ_signers/Brady_920.mov","MOV")</f>
        <v>21</v>
      </c>
      <c r="M4345" t="s" s="10">
        <v>39</v>
      </c>
      <c r="N4345" s="17">
        <v>19</v>
      </c>
      <c r="O4345" s="18">
        <v>914</v>
      </c>
      <c r="P4345" s="18">
        <v>944</v>
      </c>
      <c r="Q4345" s="15"/>
      <c r="R4345" t="s" s="16">
        <f>HYPERLINK("http://secrets.rutgers.edu:8080/data/asl-ftp/asllvd/demos/verify_start_end_handshape_annotations//test_auto_move//signs_mov_separ_signers/Brady_920.mov","MOV")</f>
        <v>21</v>
      </c>
    </row>
    <row r="4346" s="2" customFormat="1" ht="13.5" customHeight="1">
      <c r="B4346" t="s" s="8">
        <v>52</v>
      </c>
      <c r="C4346" t="s" s="9">
        <v>53</v>
      </c>
      <c r="D4346" t="s" s="8">
        <v>53</v>
      </c>
      <c r="E4346" t="s" s="9">
        <v>53</v>
      </c>
      <c r="F4346" t="s" s="10">
        <v>53</v>
      </c>
      <c r="G4346" t="s" s="11">
        <v>53</v>
      </c>
      <c r="H4346" t="s" s="10">
        <v>53</v>
      </c>
      <c r="I4346" t="s" s="11">
        <v>53</v>
      </c>
      <c r="J4346" t="s" s="11">
        <v>53</v>
      </c>
      <c r="K4346" t="s" s="12">
        <v>53</v>
      </c>
      <c r="L4346" t="s" s="12">
        <v>53</v>
      </c>
      <c r="M4346" t="s" s="10">
        <v>53</v>
      </c>
      <c r="N4346" t="s" s="11">
        <v>53</v>
      </c>
      <c r="O4346" t="s" s="8">
        <v>53</v>
      </c>
      <c r="P4346" t="s" s="8">
        <v>53</v>
      </c>
      <c r="Q4346" t="s" s="12">
        <v>53</v>
      </c>
      <c r="R4346" t="s" s="12">
        <v>53</v>
      </c>
    </row>
    <row r="4347" s="2" customFormat="1" ht="13.5" customHeight="1">
      <c r="B4347" s="13"/>
      <c r="C4347" t="s" s="9">
        <v>16</v>
      </c>
      <c r="D4347" t="s" s="8">
        <v>1477</v>
      </c>
      <c r="E4347" t="s" s="9">
        <v>1478</v>
      </c>
      <c r="F4347" t="s" s="10">
        <v>73</v>
      </c>
      <c r="G4347" s="14"/>
      <c r="H4347" t="s" s="10">
        <v>73</v>
      </c>
      <c r="I4347" s="14"/>
      <c r="J4347" t="s" s="11">
        <v>20</v>
      </c>
      <c r="K4347" s="15"/>
      <c r="L4347" t="s" s="16">
        <f>HYPERLINK("http://csr.bu.edu/ftp/asl/asllvd/demos/verify_start_end_handshape_annotations//test_auto_move//signs_mov_separ_signers/Liz_3357.mov","MOV")</f>
        <v>21</v>
      </c>
      <c r="M4347" t="s" s="10">
        <v>77</v>
      </c>
      <c r="N4347" s="17">
        <v>11</v>
      </c>
      <c r="O4347" s="18">
        <v>3745</v>
      </c>
      <c r="P4347" s="18">
        <v>3790</v>
      </c>
      <c r="Q4347" s="15"/>
      <c r="R4347" t="s" s="16">
        <f>HYPERLINK("http://secrets.rutgers.edu:8080/data/asl-ftp/asllvd/demos/verify_start_end_handshape_annotations//test_auto_move//signs_mov_separ_signers/Liz_3357.mov","MOV")</f>
        <v>21</v>
      </c>
    </row>
    <row r="4348" s="2" customFormat="1" ht="13.5" customHeight="1">
      <c r="B4348" s="13"/>
      <c r="C4348" t="s" s="9">
        <v>27</v>
      </c>
      <c r="D4348" t="s" s="8">
        <v>1477</v>
      </c>
      <c r="E4348" t="s" s="9">
        <v>1478</v>
      </c>
      <c r="F4348" t="s" s="10">
        <v>73</v>
      </c>
      <c r="G4348" s="14"/>
      <c r="H4348" t="s" s="10">
        <v>73</v>
      </c>
      <c r="I4348" s="14"/>
      <c r="J4348" t="s" s="11">
        <v>20</v>
      </c>
      <c r="K4348" t="s" s="16">
        <f>HYPERLINK("http://csr.bu.edu/ftp/asl/asllvd/demos/verify_start_end_handshape_annotations//test_auto_move//signs_mov/3357.mov","MOV")</f>
        <v>21</v>
      </c>
      <c r="L4348" t="s" s="16">
        <f>HYPERLINK("http://csr.bu.edu/ftp/asl/asllvd/demos/verify_start_end_handshape_annotations//test_auto_move//signs_mov_separ_signers/Naomi_3357.mov","MOV")</f>
        <v>21</v>
      </c>
      <c r="M4348" t="s" s="10">
        <v>86</v>
      </c>
      <c r="N4348" s="17">
        <v>42</v>
      </c>
      <c r="O4348" s="18">
        <v>2676</v>
      </c>
      <c r="P4348" s="18">
        <v>2695</v>
      </c>
      <c r="Q4348" t="s" s="16">
        <f>HYPERLINK("http://secrets.rutgers.edu:8080/data/asl-ftp/asllvd/demos/verify_start_end_handshape_annotations//test_auto_move//signs_mov/3357.mov","MOV")</f>
        <v>21</v>
      </c>
      <c r="R4348" t="s" s="16">
        <f>HYPERLINK("http://secrets.rutgers.edu:8080/data/asl-ftp/asllvd/demos/verify_start_end_handshape_annotations//test_auto_move//signs_mov_separ_signers/Naomi_3357.mov","MOV")</f>
        <v>21</v>
      </c>
    </row>
    <row r="4349" s="2" customFormat="1" ht="13.5" customHeight="1">
      <c r="B4349" s="13"/>
      <c r="C4349" t="s" s="9">
        <v>30</v>
      </c>
      <c r="D4349" t="s" s="8">
        <v>1477</v>
      </c>
      <c r="E4349" t="s" s="9">
        <v>1478</v>
      </c>
      <c r="F4349" t="s" s="10">
        <v>73</v>
      </c>
      <c r="G4349" s="14"/>
      <c r="H4349" t="s" s="10">
        <v>73</v>
      </c>
      <c r="I4349" s="14"/>
      <c r="J4349" t="s" s="11">
        <v>20</v>
      </c>
      <c r="K4349" s="15"/>
      <c r="L4349" t="s" s="16">
        <f>HYPERLINK("http://csr.bu.edu/ftp/asl/asllvd/demos/verify_start_end_handshape_annotations//test_auto_move//signs_mov_separ_signers/Brady_3357.mov","MOV")</f>
        <v>21</v>
      </c>
      <c r="M4349" t="s" s="10">
        <v>39</v>
      </c>
      <c r="N4349" s="17">
        <v>19</v>
      </c>
      <c r="O4349" s="18">
        <v>683</v>
      </c>
      <c r="P4349" s="18">
        <v>713</v>
      </c>
      <c r="Q4349" s="15"/>
      <c r="R4349" t="s" s="16">
        <f>HYPERLINK("http://secrets.rutgers.edu:8080/data/asl-ftp/asllvd/demos/verify_start_end_handshape_annotations//test_auto_move//signs_mov_separ_signers/Brady_3357.mov","MOV")</f>
        <v>21</v>
      </c>
    </row>
    <row r="4350" s="2" customFormat="1" ht="13.5" customHeight="1">
      <c r="B4350" t="s" s="8">
        <v>1479</v>
      </c>
      <c r="C4350" t="s" s="9">
        <v>14</v>
      </c>
      <c r="D4350" t="s" s="8">
        <v>14</v>
      </c>
      <c r="E4350" t="s" s="9">
        <v>14</v>
      </c>
      <c r="F4350" t="s" s="10">
        <v>14</v>
      </c>
      <c r="G4350" t="s" s="11">
        <v>14</v>
      </c>
      <c r="H4350" t="s" s="10">
        <v>14</v>
      </c>
      <c r="I4350" t="s" s="11">
        <v>14</v>
      </c>
      <c r="J4350" t="s" s="11">
        <v>14</v>
      </c>
      <c r="K4350" t="s" s="12">
        <v>14</v>
      </c>
      <c r="L4350" t="s" s="12">
        <v>14</v>
      </c>
      <c r="M4350" t="s" s="10">
        <v>14</v>
      </c>
      <c r="N4350" t="s" s="11">
        <v>14</v>
      </c>
      <c r="O4350" t="s" s="8">
        <v>14</v>
      </c>
      <c r="P4350" t="s" s="8">
        <v>14</v>
      </c>
      <c r="Q4350" t="s" s="12">
        <v>14</v>
      </c>
      <c r="R4350" t="s" s="12">
        <v>14</v>
      </c>
    </row>
    <row r="4351" s="2" customFormat="1" ht="13.5" customHeight="1">
      <c r="B4351" s="13"/>
      <c r="C4351" t="s" s="9">
        <v>23</v>
      </c>
      <c r="D4351" t="s" s="8">
        <v>1479</v>
      </c>
      <c r="E4351" t="s" s="9">
        <v>1479</v>
      </c>
      <c r="F4351" t="s" s="10">
        <v>68</v>
      </c>
      <c r="G4351" s="14"/>
      <c r="H4351" t="s" s="10">
        <v>68</v>
      </c>
      <c r="I4351" s="14"/>
      <c r="J4351" t="s" s="11">
        <v>20</v>
      </c>
      <c r="K4351" t="s" s="16">
        <f>HYPERLINK("http://csr.bu.edu/ftp/asl/asllvd/demos/verify_start_end_handshape_annotations//test_auto_move//signs_mov/922.mov","MOV")</f>
        <v>21</v>
      </c>
      <c r="L4351" t="s" s="16">
        <f>HYPERLINK("http://csr.bu.edu/ftp/asl/asllvd/demos/verify_start_end_handshape_annotations//test_auto_move//signs_mov_separ_signers/Tyler_922.mov","MOV")</f>
        <v>21</v>
      </c>
      <c r="M4351" t="s" s="10">
        <v>92</v>
      </c>
      <c r="N4351" s="17">
        <v>23</v>
      </c>
      <c r="O4351" s="18">
        <v>572</v>
      </c>
      <c r="P4351" s="18">
        <v>600</v>
      </c>
      <c r="Q4351" t="s" s="16">
        <f>HYPERLINK("http://secrets.rutgers.edu:8080/data/asl-ftp/asllvd/demos/verify_start_end_handshape_annotations//test_auto_move//signs_mov/922.mov","MOV")</f>
        <v>21</v>
      </c>
      <c r="R4351" t="s" s="16">
        <f>HYPERLINK("http://secrets.rutgers.edu:8080/data/asl-ftp/asllvd/demos/verify_start_end_handshape_annotations//test_auto_move//signs_mov_separ_signers/Tyler_922.mov","MOV")</f>
        <v>21</v>
      </c>
    </row>
    <row r="4352" s="2" customFormat="1" ht="13.5" customHeight="1">
      <c r="B4352" s="13"/>
      <c r="C4352" t="s" s="9">
        <v>27</v>
      </c>
      <c r="D4352" t="s" s="8">
        <v>1479</v>
      </c>
      <c r="E4352" t="s" s="9">
        <v>1479</v>
      </c>
      <c r="F4352" t="s" s="10">
        <v>68</v>
      </c>
      <c r="G4352" s="14"/>
      <c r="H4352" t="s" s="10">
        <v>68</v>
      </c>
      <c r="I4352" s="14"/>
      <c r="J4352" t="s" s="11">
        <v>20</v>
      </c>
      <c r="K4352" s="15"/>
      <c r="L4352" t="s" s="16">
        <f>HYPERLINK("http://csr.bu.edu/ftp/asl/asllvd/demos/verify_start_end_handshape_annotations//test_auto_move//signs_mov_separ_signers/Naomi_922.mov","MOV")</f>
        <v>21</v>
      </c>
      <c r="M4352" t="s" s="10">
        <v>86</v>
      </c>
      <c r="N4352" s="17">
        <v>43</v>
      </c>
      <c r="O4352" s="18">
        <v>685</v>
      </c>
      <c r="P4352" s="18">
        <v>712</v>
      </c>
      <c r="Q4352" s="15"/>
      <c r="R4352" t="s" s="16">
        <f>HYPERLINK("http://secrets.rutgers.edu:8080/data/asl-ftp/asllvd/demos/verify_start_end_handshape_annotations//test_auto_move//signs_mov_separ_signers/Naomi_922.mov","MOV")</f>
        <v>21</v>
      </c>
    </row>
    <row r="4353" s="2" customFormat="1" ht="13.5" customHeight="1">
      <c r="B4353" t="s" s="8">
        <v>1480</v>
      </c>
      <c r="C4353" t="s" s="9">
        <v>14</v>
      </c>
      <c r="D4353" t="s" s="8">
        <v>14</v>
      </c>
      <c r="E4353" t="s" s="9">
        <v>14</v>
      </c>
      <c r="F4353" t="s" s="10">
        <v>14</v>
      </c>
      <c r="G4353" t="s" s="11">
        <v>14</v>
      </c>
      <c r="H4353" t="s" s="10">
        <v>14</v>
      </c>
      <c r="I4353" t="s" s="11">
        <v>14</v>
      </c>
      <c r="J4353" t="s" s="11">
        <v>14</v>
      </c>
      <c r="K4353" t="s" s="12">
        <v>14</v>
      </c>
      <c r="L4353" t="s" s="12">
        <v>14</v>
      </c>
      <c r="M4353" t="s" s="10">
        <v>14</v>
      </c>
      <c r="N4353" t="s" s="11">
        <v>14</v>
      </c>
      <c r="O4353" t="s" s="8">
        <v>14</v>
      </c>
      <c r="P4353" t="s" s="8">
        <v>14</v>
      </c>
      <c r="Q4353" t="s" s="12">
        <v>14</v>
      </c>
      <c r="R4353" t="s" s="12">
        <v>14</v>
      </c>
    </row>
    <row r="4354" s="2" customFormat="1" ht="13.5" customHeight="1">
      <c r="B4354" s="13"/>
      <c r="C4354" t="s" s="9">
        <v>16</v>
      </c>
      <c r="D4354" t="s" s="8">
        <v>1480</v>
      </c>
      <c r="E4354" t="s" s="9">
        <v>1480</v>
      </c>
      <c r="F4354" t="s" s="10">
        <v>68</v>
      </c>
      <c r="G4354" s="14"/>
      <c r="H4354" t="s" s="10">
        <v>68</v>
      </c>
      <c r="I4354" s="14"/>
      <c r="J4354" t="s" s="11">
        <v>20</v>
      </c>
      <c r="K4354" t="s" s="16">
        <f>HYPERLINK("http://csr.bu.edu/ftp/asl/asllvd/demos/verify_start_end_handshape_annotations//test_auto_move//signs_mov/16366.mov","MOV")</f>
        <v>21</v>
      </c>
      <c r="L4354" t="s" s="16">
        <f>HYPERLINK("http://csr.bu.edu/ftp/asl/asllvd/demos/verify_start_end_handshape_annotations//test_auto_move//signs_mov_separ_signers/Liz_16366.mov","MOV")</f>
        <v>21</v>
      </c>
      <c r="M4354" t="s" s="10">
        <v>84</v>
      </c>
      <c r="N4354" s="17">
        <v>43</v>
      </c>
      <c r="O4354" s="18">
        <v>712</v>
      </c>
      <c r="P4354" s="18">
        <v>731</v>
      </c>
      <c r="Q4354" t="s" s="16">
        <f>HYPERLINK("http://secrets.rutgers.edu:8080/data/asl-ftp/asllvd/demos/verify_start_end_handshape_annotations//test_auto_move//signs_mov/16366.mov","MOV")</f>
        <v>21</v>
      </c>
      <c r="R4354" t="s" s="16">
        <f>HYPERLINK("http://secrets.rutgers.edu:8080/data/asl-ftp/asllvd/demos/verify_start_end_handshape_annotations//test_auto_move//signs_mov_separ_signers/Liz_16366.mov","MOV")</f>
        <v>21</v>
      </c>
    </row>
    <row r="4355" s="2" customFormat="1" ht="13.5" customHeight="1">
      <c r="B4355" s="13"/>
      <c r="C4355" t="s" s="9">
        <v>30</v>
      </c>
      <c r="D4355" t="s" s="8">
        <v>1480</v>
      </c>
      <c r="E4355" t="s" s="9">
        <v>1480</v>
      </c>
      <c r="F4355" t="s" s="10">
        <v>68</v>
      </c>
      <c r="G4355" s="14"/>
      <c r="H4355" t="s" s="10">
        <v>68</v>
      </c>
      <c r="I4355" s="14"/>
      <c r="J4355" t="s" s="11">
        <v>20</v>
      </c>
      <c r="K4355" s="15"/>
      <c r="L4355" t="s" s="16">
        <f>HYPERLINK("http://csr.bu.edu/ftp/asl/asllvd/demos/verify_start_end_handshape_annotations//test_auto_move//signs_mov_separ_signers/Brady_16366.mov","MOV")</f>
        <v>21</v>
      </c>
      <c r="M4355" t="s" s="10">
        <v>39</v>
      </c>
      <c r="N4355" s="17">
        <v>19</v>
      </c>
      <c r="O4355" s="18">
        <v>1437</v>
      </c>
      <c r="P4355" s="18">
        <v>1464</v>
      </c>
      <c r="Q4355" s="15"/>
      <c r="R4355" t="s" s="16">
        <f>HYPERLINK("http://secrets.rutgers.edu:8080/data/asl-ftp/asllvd/demos/verify_start_end_handshape_annotations//test_auto_move//signs_mov_separ_signers/Brady_16366.mov","MOV")</f>
        <v>21</v>
      </c>
    </row>
    <row r="4356" s="2" customFormat="1" ht="13.5" customHeight="1">
      <c r="B4356" t="s" s="8">
        <v>1481</v>
      </c>
      <c r="C4356" t="s" s="9">
        <v>14</v>
      </c>
      <c r="D4356" t="s" s="8">
        <v>14</v>
      </c>
      <c r="E4356" t="s" s="9">
        <v>14</v>
      </c>
      <c r="F4356" t="s" s="10">
        <v>14</v>
      </c>
      <c r="G4356" t="s" s="11">
        <v>14</v>
      </c>
      <c r="H4356" t="s" s="10">
        <v>14</v>
      </c>
      <c r="I4356" t="s" s="11">
        <v>14</v>
      </c>
      <c r="J4356" t="s" s="11">
        <v>14</v>
      </c>
      <c r="K4356" t="s" s="12">
        <v>14</v>
      </c>
      <c r="L4356" t="s" s="12">
        <v>14</v>
      </c>
      <c r="M4356" t="s" s="10">
        <v>14</v>
      </c>
      <c r="N4356" t="s" s="11">
        <v>14</v>
      </c>
      <c r="O4356" t="s" s="8">
        <v>14</v>
      </c>
      <c r="P4356" t="s" s="8">
        <v>14</v>
      </c>
      <c r="Q4356" t="s" s="12">
        <v>14</v>
      </c>
      <c r="R4356" t="s" s="12">
        <v>14</v>
      </c>
    </row>
    <row r="4357" s="2" customFormat="1" ht="13.5" customHeight="1">
      <c r="B4357" s="13"/>
      <c r="C4357" t="s" s="9">
        <v>16</v>
      </c>
      <c r="D4357" t="s" s="8">
        <v>1481</v>
      </c>
      <c r="E4357" t="s" s="9">
        <v>1481</v>
      </c>
      <c r="F4357" t="s" s="10">
        <v>72</v>
      </c>
      <c r="G4357" s="17">
        <v>1</v>
      </c>
      <c r="H4357" t="s" s="10">
        <v>72</v>
      </c>
      <c r="I4357" s="17">
        <v>1</v>
      </c>
      <c r="J4357" t="s" s="11">
        <v>20</v>
      </c>
      <c r="K4357" s="15"/>
      <c r="L4357" t="s" s="16">
        <f>HYPERLINK("http://csr.bu.edu/ftp/asl/asllvd/demos/verify_start_end_handshape_annotations//test_auto_move//signs_mov_separ_signers/Liz_930.mov","MOV")</f>
        <v>21</v>
      </c>
      <c r="M4357" t="s" s="10">
        <v>84</v>
      </c>
      <c r="N4357" s="17">
        <v>44</v>
      </c>
      <c r="O4357" s="18">
        <v>490</v>
      </c>
      <c r="P4357" s="18">
        <v>520</v>
      </c>
      <c r="Q4357" s="15"/>
      <c r="R4357" t="s" s="16">
        <f>HYPERLINK("http://secrets.rutgers.edu:8080/data/asl-ftp/asllvd/demos/verify_start_end_handshape_annotations//test_auto_move//signs_mov_separ_signers/Liz_930.mov","MOV")</f>
        <v>21</v>
      </c>
    </row>
    <row r="4358" s="2" customFormat="1" ht="13.5" customHeight="1">
      <c r="B4358" s="13"/>
      <c r="C4358" t="s" s="9">
        <v>23</v>
      </c>
      <c r="D4358" t="s" s="8">
        <v>1481</v>
      </c>
      <c r="E4358" t="s" s="9">
        <v>1481</v>
      </c>
      <c r="F4358" t="s" s="10">
        <v>148</v>
      </c>
      <c r="G4358" t="s" s="11">
        <v>51</v>
      </c>
      <c r="H4358" t="s" s="10">
        <v>148</v>
      </c>
      <c r="I4358" t="s" s="11">
        <v>51</v>
      </c>
      <c r="J4358" t="s" s="11">
        <v>20</v>
      </c>
      <c r="K4358" t="s" s="16">
        <f>HYPERLINK("http://csr.bu.edu/ftp/asl/asllvd/demos/verify_start_end_handshape_annotations//test_auto_move//signs_mov/930.mov","MOV")</f>
        <v>21</v>
      </c>
      <c r="L4358" t="s" s="16">
        <f>HYPERLINK("http://csr.bu.edu/ftp/asl/asllvd/demos/verify_start_end_handshape_annotations//test_auto_move//signs_mov_separ_signers/Tyler_930.mov","MOV")</f>
        <v>21</v>
      </c>
      <c r="M4358" t="s" s="10">
        <v>92</v>
      </c>
      <c r="N4358" s="17">
        <v>24</v>
      </c>
      <c r="O4358" s="18">
        <v>355</v>
      </c>
      <c r="P4358" s="18">
        <v>390</v>
      </c>
      <c r="Q4358" t="s" s="16">
        <f>HYPERLINK("http://secrets.rutgers.edu:8080/data/asl-ftp/asllvd/demos/verify_start_end_handshape_annotations//test_auto_move//signs_mov/930.mov","MOV")</f>
        <v>21</v>
      </c>
      <c r="R4358" t="s" s="16">
        <f>HYPERLINK("http://secrets.rutgers.edu:8080/data/asl-ftp/asllvd/demos/verify_start_end_handshape_annotations//test_auto_move//signs_mov_separ_signers/Tyler_930.mov","MOV")</f>
        <v>21</v>
      </c>
    </row>
    <row r="4359" s="2" customFormat="1" ht="13.5" customHeight="1">
      <c r="B4359" s="13"/>
      <c r="C4359" t="s" s="9">
        <v>27</v>
      </c>
      <c r="D4359" t="s" s="8">
        <v>1481</v>
      </c>
      <c r="E4359" t="s" s="9">
        <v>1481</v>
      </c>
      <c r="F4359" t="s" s="10">
        <v>148</v>
      </c>
      <c r="G4359" s="17">
        <v>1</v>
      </c>
      <c r="H4359" t="s" s="10">
        <v>148</v>
      </c>
      <c r="I4359" s="17">
        <v>1</v>
      </c>
      <c r="J4359" t="s" s="11">
        <v>20</v>
      </c>
      <c r="K4359" s="15"/>
      <c r="L4359" t="s" s="16">
        <f>HYPERLINK("http://csr.bu.edu/ftp/asl/asllvd/demos/verify_start_end_handshape_annotations//test_auto_move//signs_mov_separ_signers/Naomi_930.mov","MOV")</f>
        <v>21</v>
      </c>
      <c r="M4359" t="s" s="10">
        <v>86</v>
      </c>
      <c r="N4359" s="17">
        <v>44</v>
      </c>
      <c r="O4359" s="18">
        <v>211</v>
      </c>
      <c r="P4359" s="18">
        <v>235</v>
      </c>
      <c r="Q4359" s="15"/>
      <c r="R4359" t="s" s="16">
        <f>HYPERLINK("http://secrets.rutgers.edu:8080/data/asl-ftp/asllvd/demos/verify_start_end_handshape_annotations//test_auto_move//signs_mov_separ_signers/Naomi_930.mov","MOV")</f>
        <v>21</v>
      </c>
    </row>
    <row r="4360" s="2" customFormat="1" ht="13.5" customHeight="1">
      <c r="B4360" s="13"/>
      <c r="C4360" t="s" s="9">
        <v>30</v>
      </c>
      <c r="D4360" t="s" s="8">
        <v>1481</v>
      </c>
      <c r="E4360" t="s" s="9">
        <v>1481</v>
      </c>
      <c r="F4360" t="s" s="10">
        <v>148</v>
      </c>
      <c r="G4360" s="17">
        <v>1</v>
      </c>
      <c r="H4360" t="s" s="10">
        <v>148</v>
      </c>
      <c r="I4360" s="17">
        <v>1</v>
      </c>
      <c r="J4360" t="s" s="11">
        <v>20</v>
      </c>
      <c r="K4360" s="15"/>
      <c r="L4360" t="s" s="16">
        <f>HYPERLINK("http://csr.bu.edu/ftp/asl/asllvd/demos/verify_start_end_handshape_annotations//test_auto_move//signs_mov_separ_signers/Brady_930.mov","MOV")</f>
        <v>21</v>
      </c>
      <c r="M4360" t="s" s="10">
        <v>39</v>
      </c>
      <c r="N4360" s="17">
        <v>19</v>
      </c>
      <c r="O4360" s="18">
        <v>5936</v>
      </c>
      <c r="P4360" s="18">
        <v>5959</v>
      </c>
      <c r="Q4360" s="15"/>
      <c r="R4360" t="s" s="16">
        <f>HYPERLINK("http://secrets.rutgers.edu:8080/data/asl-ftp/asllvd/demos/verify_start_end_handshape_annotations//test_auto_move//signs_mov_separ_signers/Brady_930.mov","MOV")</f>
        <v>21</v>
      </c>
    </row>
    <row r="4361" s="2" customFormat="1" ht="13.5" customHeight="1">
      <c r="B4361" t="s" s="8">
        <v>1482</v>
      </c>
      <c r="C4361" t="s" s="9">
        <v>14</v>
      </c>
      <c r="D4361" t="s" s="8">
        <v>14</v>
      </c>
      <c r="E4361" t="s" s="9">
        <v>14</v>
      </c>
      <c r="F4361" t="s" s="10">
        <v>14</v>
      </c>
      <c r="G4361" t="s" s="11">
        <v>14</v>
      </c>
      <c r="H4361" t="s" s="10">
        <v>14</v>
      </c>
      <c r="I4361" t="s" s="11">
        <v>14</v>
      </c>
      <c r="J4361" t="s" s="11">
        <v>14</v>
      </c>
      <c r="K4361" t="s" s="12">
        <v>14</v>
      </c>
      <c r="L4361" t="s" s="12">
        <v>14</v>
      </c>
      <c r="M4361" t="s" s="10">
        <v>14</v>
      </c>
      <c r="N4361" t="s" s="11">
        <v>14</v>
      </c>
      <c r="O4361" t="s" s="8">
        <v>14</v>
      </c>
      <c r="P4361" t="s" s="8">
        <v>14</v>
      </c>
      <c r="Q4361" t="s" s="12">
        <v>14</v>
      </c>
      <c r="R4361" t="s" s="12">
        <v>14</v>
      </c>
    </row>
    <row r="4362" s="2" customFormat="1" ht="13.5" customHeight="1">
      <c r="B4362" s="13"/>
      <c r="C4362" t="s" s="9">
        <v>16</v>
      </c>
      <c r="D4362" t="s" s="8">
        <v>1482</v>
      </c>
      <c r="E4362" t="s" s="9">
        <v>1483</v>
      </c>
      <c r="F4362" t="s" s="10">
        <v>292</v>
      </c>
      <c r="G4362" s="14"/>
      <c r="H4362" t="s" s="10">
        <v>292</v>
      </c>
      <c r="I4362" s="14"/>
      <c r="J4362" t="s" s="11">
        <v>20</v>
      </c>
      <c r="K4362" s="15"/>
      <c r="L4362" t="s" s="16">
        <f>HYPERLINK("http://csr.bu.edu/ftp/asl/asllvd/demos/verify_start_end_handshape_annotations//test_auto_move//signs_mov_separ_signers/Liz_3633.mov","MOV")</f>
        <v>21</v>
      </c>
      <c r="M4362" t="s" s="10">
        <v>84</v>
      </c>
      <c r="N4362" s="17">
        <v>44</v>
      </c>
      <c r="O4362" s="18">
        <v>265</v>
      </c>
      <c r="P4362" s="18">
        <v>330</v>
      </c>
      <c r="Q4362" s="15"/>
      <c r="R4362" t="s" s="16">
        <f>HYPERLINK("http://secrets.rutgers.edu:8080/data/asl-ftp/asllvd/demos/verify_start_end_handshape_annotations//test_auto_move//signs_mov_separ_signers/Liz_3633.mov","MOV")</f>
        <v>21</v>
      </c>
    </row>
    <row r="4363" s="2" customFormat="1" ht="13.5" customHeight="1">
      <c r="B4363" s="13"/>
      <c r="C4363" t="s" s="9">
        <v>27</v>
      </c>
      <c r="D4363" t="s" s="8">
        <v>1482</v>
      </c>
      <c r="E4363" t="s" s="9">
        <v>1483</v>
      </c>
      <c r="F4363" t="s" s="10">
        <v>292</v>
      </c>
      <c r="G4363" s="14"/>
      <c r="H4363" t="s" s="10">
        <v>292</v>
      </c>
      <c r="I4363" s="14"/>
      <c r="J4363" t="s" s="11">
        <v>20</v>
      </c>
      <c r="K4363" t="s" s="16">
        <f>HYPERLINK("http://csr.bu.edu/ftp/asl/asllvd/demos/verify_start_end_handshape_annotations//test_auto_move//signs_mov/3633.mov","MOV")</f>
        <v>21</v>
      </c>
      <c r="L4363" t="s" s="16">
        <f>HYPERLINK("http://csr.bu.edu/ftp/asl/asllvd/demos/verify_start_end_handshape_annotations//test_auto_move//signs_mov_separ_signers/Naomi_3633.mov","MOV")</f>
        <v>21</v>
      </c>
      <c r="M4363" t="s" s="10">
        <v>86</v>
      </c>
      <c r="N4363" s="17">
        <v>43</v>
      </c>
      <c r="O4363" s="18">
        <v>2870</v>
      </c>
      <c r="P4363" s="18">
        <v>2921</v>
      </c>
      <c r="Q4363" t="s" s="16">
        <f>HYPERLINK("http://secrets.rutgers.edu:8080/data/asl-ftp/asllvd/demos/verify_start_end_handshape_annotations//test_auto_move//signs_mov/3633.mov","MOV")</f>
        <v>21</v>
      </c>
      <c r="R4363" t="s" s="16">
        <f>HYPERLINK("http://secrets.rutgers.edu:8080/data/asl-ftp/asllvd/demos/verify_start_end_handshape_annotations//test_auto_move//signs_mov_separ_signers/Naomi_3633.mov","MOV")</f>
        <v>21</v>
      </c>
    </row>
    <row r="4364" s="2" customFormat="1" ht="13.5" customHeight="1">
      <c r="B4364" s="13"/>
      <c r="C4364" t="s" s="9">
        <v>30</v>
      </c>
      <c r="D4364" t="s" s="8">
        <v>1482</v>
      </c>
      <c r="E4364" t="s" s="9">
        <v>1483</v>
      </c>
      <c r="F4364" t="s" s="10">
        <v>292</v>
      </c>
      <c r="G4364" s="14"/>
      <c r="H4364" t="s" s="10">
        <v>292</v>
      </c>
      <c r="I4364" s="14"/>
      <c r="J4364" t="s" s="11">
        <v>20</v>
      </c>
      <c r="K4364" s="15"/>
      <c r="L4364" t="s" s="16">
        <f>HYPERLINK("http://csr.bu.edu/ftp/asl/asllvd/demos/verify_start_end_handshape_annotations//test_auto_move//signs_mov_separ_signers/Brady_3633.mov","MOV")</f>
        <v>21</v>
      </c>
      <c r="M4364" t="s" s="10">
        <v>39</v>
      </c>
      <c r="N4364" s="17">
        <v>19</v>
      </c>
      <c r="O4364" s="18">
        <v>5696</v>
      </c>
      <c r="P4364" s="18">
        <v>5757</v>
      </c>
      <c r="Q4364" s="15"/>
      <c r="R4364" t="s" s="16">
        <f>HYPERLINK("http://secrets.rutgers.edu:8080/data/asl-ftp/asllvd/demos/verify_start_end_handshape_annotations//test_auto_move//signs_mov_separ_signers/Brady_3633.mov","MOV")</f>
        <v>21</v>
      </c>
    </row>
    <row r="4365" s="2" customFormat="1" ht="13.5" customHeight="1">
      <c r="B4365" t="s" s="8">
        <v>1482</v>
      </c>
      <c r="C4365" t="s" s="9">
        <v>14</v>
      </c>
      <c r="D4365" t="s" s="8">
        <v>14</v>
      </c>
      <c r="E4365" t="s" s="9">
        <v>14</v>
      </c>
      <c r="F4365" t="s" s="10">
        <v>14</v>
      </c>
      <c r="G4365" t="s" s="11">
        <v>14</v>
      </c>
      <c r="H4365" t="s" s="10">
        <v>14</v>
      </c>
      <c r="I4365" t="s" s="11">
        <v>14</v>
      </c>
      <c r="J4365" t="s" s="11">
        <v>14</v>
      </c>
      <c r="K4365" t="s" s="12">
        <v>14</v>
      </c>
      <c r="L4365" t="s" s="12">
        <v>14</v>
      </c>
      <c r="M4365" t="s" s="10">
        <v>14</v>
      </c>
      <c r="N4365" t="s" s="11">
        <v>14</v>
      </c>
      <c r="O4365" t="s" s="8">
        <v>14</v>
      </c>
      <c r="P4365" t="s" s="8">
        <v>14</v>
      </c>
      <c r="Q4365" t="s" s="12">
        <v>14</v>
      </c>
      <c r="R4365" t="s" s="12">
        <v>14</v>
      </c>
    </row>
    <row r="4366" s="2" customFormat="1" ht="13.5" customHeight="1">
      <c r="B4366" s="13"/>
      <c r="C4366" t="s" s="9">
        <v>23</v>
      </c>
      <c r="D4366" t="s" s="8">
        <v>1484</v>
      </c>
      <c r="E4366" t="s" s="9">
        <v>1485</v>
      </c>
      <c r="F4366" t="s" s="10">
        <v>75</v>
      </c>
      <c r="G4366" s="14"/>
      <c r="H4366" t="s" s="10">
        <v>187</v>
      </c>
      <c r="I4366" s="14"/>
      <c r="J4366" t="s" s="11">
        <v>20</v>
      </c>
      <c r="K4366" t="s" s="16">
        <f>HYPERLINK("http://csr.bu.edu/ftp/asl/asllvd/demos/verify_start_end_handshape_annotations//test_auto_move//signs_mov/5185.mov","MOV")</f>
        <v>21</v>
      </c>
      <c r="L4366" t="s" s="16">
        <f>HYPERLINK("http://csr.bu.edu/ftp/asl/asllvd/demos/verify_start_end_handshape_annotations//test_auto_move//signs_mov_separ_signers/Tyler_5185.mov","MOV")</f>
        <v>21</v>
      </c>
      <c r="M4366" t="s" s="10">
        <v>92</v>
      </c>
      <c r="N4366" s="17">
        <v>23</v>
      </c>
      <c r="O4366" s="18">
        <v>3205</v>
      </c>
      <c r="P4366" s="18">
        <v>3261</v>
      </c>
      <c r="Q4366" t="s" s="16">
        <f>HYPERLINK("http://secrets.rutgers.edu:8080/data/asl-ftp/asllvd/demos/verify_start_end_handshape_annotations//test_auto_move//signs_mov/5185.mov","MOV")</f>
        <v>21</v>
      </c>
      <c r="R4366" t="s" s="16">
        <f>HYPERLINK("http://secrets.rutgers.edu:8080/data/asl-ftp/asllvd/demos/verify_start_end_handshape_annotations//test_auto_move//signs_mov_separ_signers/Tyler_5185.mov","MOV")</f>
        <v>21</v>
      </c>
    </row>
    <row r="4367" s="2" customFormat="1" ht="13.5" customHeight="1">
      <c r="B4367" t="s" s="8">
        <v>1486</v>
      </c>
      <c r="C4367" t="s" s="9">
        <v>14</v>
      </c>
      <c r="D4367" t="s" s="8">
        <v>14</v>
      </c>
      <c r="E4367" t="s" s="9">
        <v>14</v>
      </c>
      <c r="F4367" t="s" s="10">
        <v>14</v>
      </c>
      <c r="G4367" t="s" s="11">
        <v>14</v>
      </c>
      <c r="H4367" t="s" s="10">
        <v>14</v>
      </c>
      <c r="I4367" t="s" s="11">
        <v>14</v>
      </c>
      <c r="J4367" t="s" s="11">
        <v>14</v>
      </c>
      <c r="K4367" t="s" s="12">
        <v>14</v>
      </c>
      <c r="L4367" t="s" s="12">
        <v>14</v>
      </c>
      <c r="M4367" t="s" s="10">
        <v>14</v>
      </c>
      <c r="N4367" t="s" s="11">
        <v>14</v>
      </c>
      <c r="O4367" t="s" s="8">
        <v>14</v>
      </c>
      <c r="P4367" t="s" s="8">
        <v>14</v>
      </c>
      <c r="Q4367" t="s" s="12">
        <v>14</v>
      </c>
      <c r="R4367" t="s" s="12">
        <v>14</v>
      </c>
    </row>
    <row r="4368" s="2" customFormat="1" ht="13.5" customHeight="1">
      <c r="B4368" s="13"/>
      <c r="C4368" t="s" s="9">
        <v>16</v>
      </c>
      <c r="D4368" t="s" s="8">
        <v>1486</v>
      </c>
      <c r="E4368" t="s" s="9">
        <v>1487</v>
      </c>
      <c r="F4368" t="s" s="10">
        <v>119</v>
      </c>
      <c r="G4368" t="s" s="11">
        <v>119</v>
      </c>
      <c r="H4368" t="s" s="10">
        <v>119</v>
      </c>
      <c r="I4368" t="s" s="11">
        <v>119</v>
      </c>
      <c r="J4368" t="s" s="11">
        <v>20</v>
      </c>
      <c r="K4368" s="15"/>
      <c r="L4368" t="s" s="16">
        <f>HYPERLINK("http://csr.bu.edu/ftp/asl/asllvd/demos/verify_start_end_handshape_annotations//test_auto_move//signs_mov_separ_signers/Liz_934.mov","MOV")</f>
        <v>21</v>
      </c>
      <c r="M4368" t="s" s="10">
        <v>84</v>
      </c>
      <c r="N4368" s="17">
        <v>44</v>
      </c>
      <c r="O4368" s="18">
        <v>1076</v>
      </c>
      <c r="P4368" s="18">
        <v>1145</v>
      </c>
      <c r="Q4368" s="15"/>
      <c r="R4368" t="s" s="16">
        <f>HYPERLINK("http://secrets.rutgers.edu:8080/data/asl-ftp/asllvd/demos/verify_start_end_handshape_annotations//test_auto_move//signs_mov_separ_signers/Liz_934.mov","MOV")</f>
        <v>21</v>
      </c>
    </row>
    <row r="4369" s="2" customFormat="1" ht="13.5" customHeight="1">
      <c r="B4369" s="13"/>
      <c r="C4369" t="s" s="9">
        <v>30</v>
      </c>
      <c r="D4369" t="s" s="8">
        <v>1486</v>
      </c>
      <c r="E4369" t="s" s="9">
        <v>1487</v>
      </c>
      <c r="F4369" t="s" s="10">
        <v>119</v>
      </c>
      <c r="G4369" t="s" s="11">
        <v>119</v>
      </c>
      <c r="H4369" t="s" s="10">
        <v>119</v>
      </c>
      <c r="I4369" t="s" s="11">
        <v>119</v>
      </c>
      <c r="J4369" t="s" s="11">
        <v>20</v>
      </c>
      <c r="K4369" t="s" s="16">
        <f>HYPERLINK("http://csr.bu.edu/ftp/asl/asllvd/demos/verify_start_end_handshape_annotations//test_auto_move//signs_mov/934_5811_15187_merged.mov","MOV")</f>
        <v>21</v>
      </c>
      <c r="L4369" t="s" s="16">
        <f>HYPERLINK("http://csr.bu.edu/ftp/asl/asllvd/demos/verify_start_end_handshape_annotations//test_auto_move//signs_mov_separ_signers/Brady_934.mov","MOV")</f>
        <v>21</v>
      </c>
      <c r="M4369" t="s" s="10">
        <v>39</v>
      </c>
      <c r="N4369" s="17">
        <v>19</v>
      </c>
      <c r="O4369" s="18">
        <v>6657</v>
      </c>
      <c r="P4369" s="18">
        <v>6697</v>
      </c>
      <c r="Q4369" t="s" s="16">
        <f>HYPERLINK("http://secrets.rutgers.edu:8080/data/asl-ftp/asllvd/demos/verify_start_end_handshape_annotations//test_auto_move//signs_mov/934_5811_15187_merged.mov","MOV")</f>
        <v>21</v>
      </c>
      <c r="R4369" t="s" s="16">
        <f>HYPERLINK("http://secrets.rutgers.edu:8080/data/asl-ftp/asllvd/demos/verify_start_end_handshape_annotations//test_auto_move//signs_mov_separ_signers/Brady_934.mov","MOV")</f>
        <v>21</v>
      </c>
    </row>
    <row r="4370" s="2" customFormat="1" ht="13.5" customHeight="1">
      <c r="B4370" s="13"/>
      <c r="C4370" t="s" s="9">
        <v>30</v>
      </c>
      <c r="D4370" t="s" s="8">
        <v>1486</v>
      </c>
      <c r="E4370" t="s" s="9">
        <v>1488</v>
      </c>
      <c r="F4370" t="s" s="10">
        <v>119</v>
      </c>
      <c r="G4370" t="s" s="11">
        <v>119</v>
      </c>
      <c r="H4370" t="s" s="10">
        <v>119</v>
      </c>
      <c r="I4370" t="s" s="11">
        <v>119</v>
      </c>
      <c r="J4370" t="s" s="11">
        <v>20</v>
      </c>
      <c r="K4370" s="15"/>
      <c r="L4370" t="s" s="16">
        <f>HYPERLINK("http://csr.bu.edu/ftp/asl/asllvd/demos/verify_start_end_handshape_annotations//test_auto_move//signs_mov_separ_signers/Brady_5811.mov","MOV")</f>
        <v>21</v>
      </c>
      <c r="M4370" t="s" s="10">
        <v>39</v>
      </c>
      <c r="N4370" s="17">
        <v>52</v>
      </c>
      <c r="O4370" s="18">
        <v>562</v>
      </c>
      <c r="P4370" s="18">
        <v>628</v>
      </c>
      <c r="Q4370" s="15"/>
      <c r="R4370" t="s" s="16">
        <f>HYPERLINK("http://secrets.rutgers.edu:8080/data/asl-ftp/asllvd/demos/verify_start_end_handshape_annotations//test_auto_move//signs_mov_separ_signers/Brady_5811.mov","MOV")</f>
        <v>21</v>
      </c>
    </row>
    <row r="4371" s="2" customFormat="1" ht="13.5" customHeight="1">
      <c r="B4371" s="13"/>
      <c r="C4371" t="s" s="9">
        <v>30</v>
      </c>
      <c r="D4371" t="s" s="8">
        <v>1486</v>
      </c>
      <c r="E4371" t="s" s="9">
        <v>1488</v>
      </c>
      <c r="F4371" t="s" s="10">
        <v>119</v>
      </c>
      <c r="G4371" t="s" s="11">
        <v>119</v>
      </c>
      <c r="H4371" t="s" s="10">
        <v>119</v>
      </c>
      <c r="I4371" t="s" s="11">
        <v>119</v>
      </c>
      <c r="J4371" t="s" s="11">
        <v>20</v>
      </c>
      <c r="K4371" s="15"/>
      <c r="L4371" t="s" s="16">
        <f>HYPERLINK("http://csr.bu.edu/ftp/asl/asllvd/demos/verify_start_end_handshape_annotations//test_auto_move//signs_mov_separ_signers/Brady_15187.mov","MOV")</f>
        <v>21</v>
      </c>
      <c r="M4371" t="s" s="10">
        <v>60</v>
      </c>
      <c r="N4371" s="17">
        <v>43</v>
      </c>
      <c r="O4371" s="18">
        <v>408</v>
      </c>
      <c r="P4371" s="18">
        <v>469</v>
      </c>
      <c r="Q4371" s="15"/>
      <c r="R4371" t="s" s="16">
        <f>HYPERLINK("http://secrets.rutgers.edu:8080/data/asl-ftp/asllvd/demos/verify_start_end_handshape_annotations//test_auto_move//signs_mov_separ_signers/Brady_15187.mov","MOV")</f>
        <v>21</v>
      </c>
    </row>
    <row r="4372" s="2" customFormat="1" ht="13.5" customHeight="1">
      <c r="B4372" t="s" s="8">
        <v>1489</v>
      </c>
      <c r="C4372" t="s" s="9">
        <v>14</v>
      </c>
      <c r="D4372" t="s" s="8">
        <v>14</v>
      </c>
      <c r="E4372" t="s" s="9">
        <v>14</v>
      </c>
      <c r="F4372" t="s" s="10">
        <v>14</v>
      </c>
      <c r="G4372" t="s" s="11">
        <v>14</v>
      </c>
      <c r="H4372" t="s" s="10">
        <v>14</v>
      </c>
      <c r="I4372" t="s" s="11">
        <v>14</v>
      </c>
      <c r="J4372" t="s" s="11">
        <v>14</v>
      </c>
      <c r="K4372" t="s" s="12">
        <v>14</v>
      </c>
      <c r="L4372" t="s" s="12">
        <v>14</v>
      </c>
      <c r="M4372" t="s" s="10">
        <v>14</v>
      </c>
      <c r="N4372" t="s" s="11">
        <v>14</v>
      </c>
      <c r="O4372" t="s" s="8">
        <v>14</v>
      </c>
      <c r="P4372" t="s" s="8">
        <v>14</v>
      </c>
      <c r="Q4372" t="s" s="12">
        <v>14</v>
      </c>
      <c r="R4372" t="s" s="12">
        <v>14</v>
      </c>
    </row>
    <row r="4373" s="2" customFormat="1" ht="13.5" customHeight="1">
      <c r="B4373" s="13"/>
      <c r="C4373" t="s" s="9">
        <v>16</v>
      </c>
      <c r="D4373" t="s" s="8">
        <v>1489</v>
      </c>
      <c r="E4373" t="s" s="9">
        <v>1490</v>
      </c>
      <c r="F4373" t="s" s="10">
        <v>109</v>
      </c>
      <c r="G4373" t="s" s="11">
        <v>119</v>
      </c>
      <c r="H4373" t="s" s="10">
        <v>109</v>
      </c>
      <c r="I4373" t="s" s="11">
        <v>119</v>
      </c>
      <c r="J4373" t="s" s="11">
        <v>20</v>
      </c>
      <c r="K4373" t="s" s="16">
        <f>HYPERLINK("http://csr.bu.edu/ftp/asl/asllvd/demos/verify_start_end_handshape_annotations//test_auto_move//signs_mov/15428.mov","MOV")</f>
        <v>21</v>
      </c>
      <c r="L4373" t="s" s="16">
        <f>HYPERLINK("http://csr.bu.edu/ftp/asl/asllvd/demos/verify_start_end_handshape_annotations//test_auto_move//signs_mov_separ_signers/Liz_15428.mov","MOV")</f>
        <v>21</v>
      </c>
      <c r="M4373" t="s" s="10">
        <v>84</v>
      </c>
      <c r="N4373" s="17">
        <v>44</v>
      </c>
      <c r="O4373" s="18">
        <v>1310</v>
      </c>
      <c r="P4373" s="18">
        <v>1370</v>
      </c>
      <c r="Q4373" t="s" s="16">
        <f>HYPERLINK("http://secrets.rutgers.edu:8080/data/asl-ftp/asllvd/demos/verify_start_end_handshape_annotations//test_auto_move//signs_mov/15428.mov","MOV")</f>
        <v>21</v>
      </c>
      <c r="R4373" t="s" s="16">
        <f>HYPERLINK("http://secrets.rutgers.edu:8080/data/asl-ftp/asllvd/demos/verify_start_end_handshape_annotations//test_auto_move//signs_mov_separ_signers/Liz_15428.mov","MOV")</f>
        <v>21</v>
      </c>
    </row>
    <row r="4374" s="2" customFormat="1" ht="13.5" customHeight="1">
      <c r="B4374" s="13"/>
      <c r="C4374" t="s" s="9">
        <v>27</v>
      </c>
      <c r="D4374" t="s" s="8">
        <v>1489</v>
      </c>
      <c r="E4374" t="s" s="9">
        <v>1489</v>
      </c>
      <c r="F4374" t="s" s="10">
        <v>73</v>
      </c>
      <c r="G4374" t="s" s="11">
        <v>119</v>
      </c>
      <c r="H4374" t="s" s="10">
        <v>73</v>
      </c>
      <c r="I4374" t="s" s="11">
        <v>119</v>
      </c>
      <c r="J4374" t="s" s="11">
        <v>20</v>
      </c>
      <c r="K4374" s="15"/>
      <c r="L4374" t="s" s="16">
        <f>HYPERLINK("http://csr.bu.edu/ftp/asl/asllvd/demos/verify_start_end_handshape_annotations//test_auto_move//signs_mov_separ_signers/Naomi_15428.mov","MOV")</f>
        <v>21</v>
      </c>
      <c r="M4374" t="s" s="10">
        <v>86</v>
      </c>
      <c r="N4374" s="17">
        <v>44</v>
      </c>
      <c r="O4374" s="18">
        <v>1015</v>
      </c>
      <c r="P4374" s="18">
        <v>1051</v>
      </c>
      <c r="Q4374" s="15"/>
      <c r="R4374" t="s" s="16">
        <f>HYPERLINK("http://secrets.rutgers.edu:8080/data/asl-ftp/asllvd/demos/verify_start_end_handshape_annotations//test_auto_move//signs_mov_separ_signers/Naomi_15428.mov","MOV")</f>
        <v>21</v>
      </c>
    </row>
    <row r="4375" s="2" customFormat="1" ht="13.5" customHeight="1">
      <c r="B4375" t="s" s="8">
        <v>52</v>
      </c>
      <c r="C4375" t="s" s="9">
        <v>53</v>
      </c>
      <c r="D4375" t="s" s="8">
        <v>53</v>
      </c>
      <c r="E4375" t="s" s="9">
        <v>53</v>
      </c>
      <c r="F4375" t="s" s="10">
        <v>53</v>
      </c>
      <c r="G4375" t="s" s="11">
        <v>53</v>
      </c>
      <c r="H4375" t="s" s="10">
        <v>53</v>
      </c>
      <c r="I4375" t="s" s="11">
        <v>53</v>
      </c>
      <c r="J4375" t="s" s="11">
        <v>53</v>
      </c>
      <c r="K4375" t="s" s="12">
        <v>53</v>
      </c>
      <c r="L4375" t="s" s="12">
        <v>53</v>
      </c>
      <c r="M4375" t="s" s="10">
        <v>53</v>
      </c>
      <c r="N4375" t="s" s="11">
        <v>53</v>
      </c>
      <c r="O4375" t="s" s="8">
        <v>53</v>
      </c>
      <c r="P4375" t="s" s="8">
        <v>53</v>
      </c>
      <c r="Q4375" t="s" s="12">
        <v>53</v>
      </c>
      <c r="R4375" t="s" s="12">
        <v>53</v>
      </c>
    </row>
    <row r="4376" s="2" customFormat="1" ht="13.5" customHeight="1">
      <c r="B4376" s="13"/>
      <c r="C4376" t="s" s="9">
        <v>23</v>
      </c>
      <c r="D4376" t="s" s="8">
        <v>1489</v>
      </c>
      <c r="E4376" t="s" s="9">
        <v>1491</v>
      </c>
      <c r="F4376" t="s" s="10">
        <v>119</v>
      </c>
      <c r="G4376" t="s" s="11">
        <v>55</v>
      </c>
      <c r="H4376" t="s" s="10">
        <v>119</v>
      </c>
      <c r="I4376" t="s" s="11">
        <v>55</v>
      </c>
      <c r="J4376" t="s" s="11">
        <v>20</v>
      </c>
      <c r="K4376" t="s" s="16">
        <f>HYPERLINK("http://csr.bu.edu/ftp/asl/asllvd/demos/verify_start_end_handshape_annotations//test_auto_move//signs_mov/15653.mov","MOV")</f>
        <v>21</v>
      </c>
      <c r="L4376" t="s" s="16">
        <f>HYPERLINK("http://csr.bu.edu/ftp/asl/asllvd/demos/verify_start_end_handshape_annotations//test_auto_move//signs_mov_separ_signers/Tyler_15653.mov","MOV")</f>
        <v>21</v>
      </c>
      <c r="M4376" t="s" s="10">
        <v>92</v>
      </c>
      <c r="N4376" s="17">
        <v>24</v>
      </c>
      <c r="O4376" s="18">
        <v>1130</v>
      </c>
      <c r="P4376" s="18">
        <v>1175</v>
      </c>
      <c r="Q4376" t="s" s="16">
        <f>HYPERLINK("http://secrets.rutgers.edu:8080/data/asl-ftp/asllvd/demos/verify_start_end_handshape_annotations//test_auto_move//signs_mov/15653.mov","MOV")</f>
        <v>21</v>
      </c>
      <c r="R4376" t="s" s="16">
        <f>HYPERLINK("http://secrets.rutgers.edu:8080/data/asl-ftp/asllvd/demos/verify_start_end_handshape_annotations//test_auto_move//signs_mov_separ_signers/Tyler_15653.mov","MOV")</f>
        <v>21</v>
      </c>
    </row>
    <row r="4377" s="2" customFormat="1" ht="13.5" customHeight="1">
      <c r="B4377" s="13"/>
      <c r="C4377" t="s" s="9">
        <v>30</v>
      </c>
      <c r="D4377" t="s" s="8">
        <v>1489</v>
      </c>
      <c r="E4377" t="s" s="9">
        <v>1491</v>
      </c>
      <c r="F4377" t="s" s="10">
        <v>119</v>
      </c>
      <c r="G4377" t="s" s="11">
        <v>73</v>
      </c>
      <c r="H4377" t="s" s="10">
        <v>119</v>
      </c>
      <c r="I4377" t="s" s="11">
        <v>73</v>
      </c>
      <c r="J4377" t="s" s="11">
        <v>20</v>
      </c>
      <c r="K4377" s="15"/>
      <c r="L4377" t="s" s="16">
        <f>HYPERLINK("http://csr.bu.edu/ftp/asl/asllvd/demos/verify_start_end_handshape_annotations//test_auto_move//signs_mov_separ_signers/Brady_15653.mov","MOV")</f>
        <v>21</v>
      </c>
      <c r="M4377" t="s" s="10">
        <v>60</v>
      </c>
      <c r="N4377" s="17">
        <v>43</v>
      </c>
      <c r="O4377" s="18">
        <v>288</v>
      </c>
      <c r="P4377" s="18">
        <v>328</v>
      </c>
      <c r="Q4377" s="15"/>
      <c r="R4377" t="s" s="16">
        <f>HYPERLINK("http://secrets.rutgers.edu:8080/data/asl-ftp/asllvd/demos/verify_start_end_handshape_annotations//test_auto_move//signs_mov_separ_signers/Brady_15653.mov","MOV")</f>
        <v>21</v>
      </c>
    </row>
    <row r="4378" s="2" customFormat="1" ht="13.5" customHeight="1">
      <c r="B4378" t="s" s="8">
        <v>1492</v>
      </c>
      <c r="C4378" t="s" s="9">
        <v>14</v>
      </c>
      <c r="D4378" t="s" s="8">
        <v>14</v>
      </c>
      <c r="E4378" t="s" s="9">
        <v>14</v>
      </c>
      <c r="F4378" t="s" s="10">
        <v>14</v>
      </c>
      <c r="G4378" t="s" s="11">
        <v>14</v>
      </c>
      <c r="H4378" t="s" s="10">
        <v>14</v>
      </c>
      <c r="I4378" t="s" s="11">
        <v>14</v>
      </c>
      <c r="J4378" t="s" s="11">
        <v>14</v>
      </c>
      <c r="K4378" t="s" s="12">
        <v>14</v>
      </c>
      <c r="L4378" t="s" s="12">
        <v>14</v>
      </c>
      <c r="M4378" t="s" s="10">
        <v>14</v>
      </c>
      <c r="N4378" t="s" s="11">
        <v>14</v>
      </c>
      <c r="O4378" t="s" s="8">
        <v>14</v>
      </c>
      <c r="P4378" t="s" s="8">
        <v>14</v>
      </c>
      <c r="Q4378" t="s" s="12">
        <v>14</v>
      </c>
      <c r="R4378" t="s" s="12">
        <v>14</v>
      </c>
    </row>
    <row r="4379" s="2" customFormat="1" ht="13.5" customHeight="1">
      <c r="B4379" s="13"/>
      <c r="C4379" t="s" s="9">
        <v>16</v>
      </c>
      <c r="D4379" t="s" s="8">
        <v>1492</v>
      </c>
      <c r="E4379" t="s" s="9">
        <v>1492</v>
      </c>
      <c r="F4379" t="s" s="10">
        <v>244</v>
      </c>
      <c r="G4379" t="s" s="11">
        <v>73</v>
      </c>
      <c r="H4379" t="s" s="10">
        <v>244</v>
      </c>
      <c r="I4379" t="s" s="11">
        <v>73</v>
      </c>
      <c r="J4379" t="s" s="11">
        <v>20</v>
      </c>
      <c r="K4379" s="15"/>
      <c r="L4379" t="s" s="16">
        <f>HYPERLINK("http://csr.bu.edu/ftp/asl/asllvd/demos/verify_start_end_handshape_annotations//test_auto_move//signs_mov_separ_signers/Liz_15695.mov","MOV")</f>
        <v>21</v>
      </c>
      <c r="M4379" t="s" s="10">
        <v>34</v>
      </c>
      <c r="N4379" s="17">
        <v>13</v>
      </c>
      <c r="O4379" s="18">
        <v>1485</v>
      </c>
      <c r="P4379" s="18">
        <v>1537</v>
      </c>
      <c r="Q4379" s="15"/>
      <c r="R4379" t="s" s="16">
        <f>HYPERLINK("http://secrets.rutgers.edu:8080/data/asl-ftp/asllvd/demos/verify_start_end_handshape_annotations//test_auto_move//signs_mov_separ_signers/Liz_15695.mov","MOV")</f>
        <v>21</v>
      </c>
    </row>
    <row r="4380" s="2" customFormat="1" ht="13.5" customHeight="1">
      <c r="B4380" s="13"/>
      <c r="C4380" t="s" s="9">
        <v>27</v>
      </c>
      <c r="D4380" t="s" s="8">
        <v>1492</v>
      </c>
      <c r="E4380" t="s" s="9">
        <v>1492</v>
      </c>
      <c r="F4380" s="19">
        <v>10</v>
      </c>
      <c r="G4380" t="s" s="11">
        <v>73</v>
      </c>
      <c r="H4380" s="19">
        <v>10</v>
      </c>
      <c r="I4380" t="s" s="11">
        <v>73</v>
      </c>
      <c r="J4380" t="s" s="11">
        <v>20</v>
      </c>
      <c r="K4380" t="s" s="16">
        <f>HYPERLINK("http://csr.bu.edu/ftp/asl/asllvd/demos/verify_start_end_handshape_annotations//test_auto_move//signs_mov/15695.mov","MOV")</f>
        <v>21</v>
      </c>
      <c r="L4380" t="s" s="16">
        <f>HYPERLINK("http://csr.bu.edu/ftp/asl/asllvd/demos/verify_start_end_handshape_annotations//test_auto_move//signs_mov_separ_signers/Naomi_15695.mov","MOV")</f>
        <v>21</v>
      </c>
      <c r="M4380" t="s" s="10">
        <v>38</v>
      </c>
      <c r="N4380" s="17">
        <v>11</v>
      </c>
      <c r="O4380" s="18">
        <v>1689</v>
      </c>
      <c r="P4380" s="18">
        <v>1720</v>
      </c>
      <c r="Q4380" t="s" s="16">
        <f>HYPERLINK("http://secrets.rutgers.edu:8080/data/asl-ftp/asllvd/demos/verify_start_end_handshape_annotations//test_auto_move//signs_mov/15695.mov","MOV")</f>
        <v>21</v>
      </c>
      <c r="R4380" t="s" s="16">
        <f>HYPERLINK("http://secrets.rutgers.edu:8080/data/asl-ftp/asllvd/demos/verify_start_end_handshape_annotations//test_auto_move//signs_mov_separ_signers/Naomi_15695.mov","MOV")</f>
        <v>21</v>
      </c>
    </row>
    <row r="4381" s="2" customFormat="1" ht="13.5" customHeight="1">
      <c r="B4381" s="13"/>
      <c r="C4381" t="s" s="9">
        <v>30</v>
      </c>
      <c r="D4381" t="s" s="8">
        <v>1492</v>
      </c>
      <c r="E4381" t="s" s="9">
        <v>1492</v>
      </c>
      <c r="F4381" t="s" s="10">
        <v>244</v>
      </c>
      <c r="G4381" t="s" s="11">
        <v>73</v>
      </c>
      <c r="H4381" t="s" s="10">
        <v>244</v>
      </c>
      <c r="I4381" t="s" s="11">
        <v>73</v>
      </c>
      <c r="J4381" t="s" s="11">
        <v>20</v>
      </c>
      <c r="K4381" s="15"/>
      <c r="L4381" t="s" s="16">
        <f>HYPERLINK("http://csr.bu.edu/ftp/asl/asllvd/demos/verify_start_end_handshape_annotations//test_auto_move//signs_mov_separ_signers/Brady_15695.mov","MOV")</f>
        <v>21</v>
      </c>
      <c r="M4381" t="s" s="10">
        <v>39</v>
      </c>
      <c r="N4381" s="17">
        <v>29</v>
      </c>
      <c r="O4381" s="18">
        <v>7234</v>
      </c>
      <c r="P4381" s="18">
        <v>7266</v>
      </c>
      <c r="Q4381" s="15"/>
      <c r="R4381" t="s" s="16">
        <f>HYPERLINK("http://secrets.rutgers.edu:8080/data/asl-ftp/asllvd/demos/verify_start_end_handshape_annotations//test_auto_move//signs_mov_separ_signers/Brady_15695.mov","MOV")</f>
        <v>21</v>
      </c>
    </row>
    <row r="4382" s="2" customFormat="1" ht="13.5" customHeight="1">
      <c r="B4382" t="s" s="8">
        <v>52</v>
      </c>
      <c r="C4382" t="s" s="9">
        <v>53</v>
      </c>
      <c r="D4382" t="s" s="8">
        <v>53</v>
      </c>
      <c r="E4382" t="s" s="9">
        <v>53</v>
      </c>
      <c r="F4382" t="s" s="10">
        <v>53</v>
      </c>
      <c r="G4382" t="s" s="11">
        <v>53</v>
      </c>
      <c r="H4382" t="s" s="10">
        <v>53</v>
      </c>
      <c r="I4382" t="s" s="11">
        <v>53</v>
      </c>
      <c r="J4382" t="s" s="11">
        <v>53</v>
      </c>
      <c r="K4382" t="s" s="12">
        <v>53</v>
      </c>
      <c r="L4382" t="s" s="12">
        <v>53</v>
      </c>
      <c r="M4382" t="s" s="10">
        <v>53</v>
      </c>
      <c r="N4382" t="s" s="11">
        <v>53</v>
      </c>
      <c r="O4382" t="s" s="8">
        <v>53</v>
      </c>
      <c r="P4382" t="s" s="8">
        <v>53</v>
      </c>
      <c r="Q4382" t="s" s="12">
        <v>53</v>
      </c>
      <c r="R4382" t="s" s="12">
        <v>53</v>
      </c>
    </row>
    <row r="4383" s="2" customFormat="1" ht="13.5" customHeight="1">
      <c r="B4383" s="13"/>
      <c r="C4383" t="s" s="9">
        <v>23</v>
      </c>
      <c r="D4383" t="s" s="8">
        <v>1492</v>
      </c>
      <c r="E4383" t="s" s="9">
        <v>1493</v>
      </c>
      <c r="F4383" s="19">
        <v>8</v>
      </c>
      <c r="G4383" t="s" s="11">
        <v>73</v>
      </c>
      <c r="H4383" s="19">
        <v>8</v>
      </c>
      <c r="I4383" t="s" s="11">
        <v>73</v>
      </c>
      <c r="J4383" t="s" s="11">
        <v>20</v>
      </c>
      <c r="K4383" t="s" s="16">
        <f>HYPERLINK("http://csr.bu.edu/ftp/asl/asllvd/demos/verify_start_end_handshape_annotations//test_auto_move//signs_mov/15696.mov","MOV")</f>
        <v>21</v>
      </c>
      <c r="L4383" t="s" s="16">
        <f>HYPERLINK("http://csr.bu.edu/ftp/asl/asllvd/demos/verify_start_end_handshape_annotations//test_auto_move//signs_mov_separ_signers/Tyler_15696.mov","MOV")</f>
        <v>21</v>
      </c>
      <c r="M4383" t="s" s="10">
        <v>92</v>
      </c>
      <c r="N4383" s="17">
        <v>43</v>
      </c>
      <c r="O4383" s="18">
        <v>1525</v>
      </c>
      <c r="P4383" s="18">
        <v>1577</v>
      </c>
      <c r="Q4383" t="s" s="16">
        <f>HYPERLINK("http://secrets.rutgers.edu:8080/data/asl-ftp/asllvd/demos/verify_start_end_handshape_annotations//test_auto_move//signs_mov/15696.mov","MOV")</f>
        <v>21</v>
      </c>
      <c r="R4383" t="s" s="16">
        <f>HYPERLINK("http://secrets.rutgers.edu:8080/data/asl-ftp/asllvd/demos/verify_start_end_handshape_annotations//test_auto_move//signs_mov_separ_signers/Tyler_15696.mov","MOV")</f>
        <v>21</v>
      </c>
    </row>
    <row r="4384" s="2" customFormat="1" ht="13.5" customHeight="1">
      <c r="B4384" t="s" s="8">
        <v>1494</v>
      </c>
      <c r="C4384" t="s" s="9">
        <v>14</v>
      </c>
      <c r="D4384" t="s" s="8">
        <v>14</v>
      </c>
      <c r="E4384" t="s" s="9">
        <v>14</v>
      </c>
      <c r="F4384" t="s" s="10">
        <v>14</v>
      </c>
      <c r="G4384" t="s" s="11">
        <v>14</v>
      </c>
      <c r="H4384" t="s" s="10">
        <v>14</v>
      </c>
      <c r="I4384" t="s" s="11">
        <v>14</v>
      </c>
      <c r="J4384" t="s" s="11">
        <v>14</v>
      </c>
      <c r="K4384" t="s" s="12">
        <v>14</v>
      </c>
      <c r="L4384" t="s" s="12">
        <v>14</v>
      </c>
      <c r="M4384" t="s" s="10">
        <v>14</v>
      </c>
      <c r="N4384" t="s" s="11">
        <v>14</v>
      </c>
      <c r="O4384" t="s" s="8">
        <v>14</v>
      </c>
      <c r="P4384" t="s" s="8">
        <v>14</v>
      </c>
      <c r="Q4384" t="s" s="12">
        <v>14</v>
      </c>
      <c r="R4384" t="s" s="12">
        <v>14</v>
      </c>
    </row>
    <row r="4385" s="2" customFormat="1" ht="13.5" customHeight="1">
      <c r="B4385" s="13"/>
      <c r="C4385" t="s" s="9">
        <v>16</v>
      </c>
      <c r="D4385" t="s" s="8">
        <v>1494</v>
      </c>
      <c r="E4385" t="s" s="9">
        <v>1495</v>
      </c>
      <c r="F4385" s="19">
        <v>1</v>
      </c>
      <c r="G4385" t="s" s="11">
        <v>119</v>
      </c>
      <c r="H4385" s="19">
        <v>1</v>
      </c>
      <c r="I4385" t="s" s="11">
        <v>119</v>
      </c>
      <c r="J4385" t="s" s="11">
        <v>20</v>
      </c>
      <c r="K4385" t="s" s="16">
        <f>HYPERLINK("http://csr.bu.edu/ftp/asl/asllvd/demos/verify_start_end_handshape_annotations//test_auto_move//signs_mov/16202.mov","MOV")</f>
        <v>21</v>
      </c>
      <c r="L4385" t="s" s="16">
        <f>HYPERLINK("http://csr.bu.edu/ftp/asl/asllvd/demos/verify_start_end_handshape_annotations//test_auto_move//signs_mov_separ_signers/Liz_16202.mov","MOV")</f>
        <v>21</v>
      </c>
      <c r="M4385" t="s" s="10">
        <v>34</v>
      </c>
      <c r="N4385" s="17">
        <v>53</v>
      </c>
      <c r="O4385" s="18">
        <v>4775</v>
      </c>
      <c r="P4385" s="18">
        <v>4840</v>
      </c>
      <c r="Q4385" t="s" s="16">
        <f>HYPERLINK("http://secrets.rutgers.edu:8080/data/asl-ftp/asllvd/demos/verify_start_end_handshape_annotations//test_auto_move//signs_mov/16202.mov","MOV")</f>
        <v>21</v>
      </c>
      <c r="R4385" t="s" s="16">
        <f>HYPERLINK("http://secrets.rutgers.edu:8080/data/asl-ftp/asllvd/demos/verify_start_end_handshape_annotations//test_auto_move//signs_mov_separ_signers/Liz_16202.mov","MOV")</f>
        <v>21</v>
      </c>
    </row>
    <row r="4386" s="2" customFormat="1" ht="13.5" customHeight="1">
      <c r="B4386" s="13"/>
      <c r="C4386" t="s" s="9">
        <v>27</v>
      </c>
      <c r="D4386" t="s" s="8">
        <v>1494</v>
      </c>
      <c r="E4386" t="s" s="9">
        <v>1495</v>
      </c>
      <c r="F4386" s="19">
        <v>1</v>
      </c>
      <c r="G4386" t="s" s="11">
        <v>119</v>
      </c>
      <c r="H4386" s="19">
        <v>1</v>
      </c>
      <c r="I4386" t="s" s="11">
        <v>119</v>
      </c>
      <c r="J4386" t="s" s="11">
        <v>20</v>
      </c>
      <c r="K4386" s="15"/>
      <c r="L4386" t="s" s="16">
        <f>HYPERLINK("http://csr.bu.edu/ftp/asl/asllvd/demos/verify_start_end_handshape_annotations//test_auto_move//signs_mov_separ_signers/Naomi_16202.mov","MOV")</f>
        <v>21</v>
      </c>
      <c r="M4386" t="s" s="10">
        <v>48</v>
      </c>
      <c r="N4386" s="17">
        <v>8</v>
      </c>
      <c r="O4386" s="18">
        <v>3440</v>
      </c>
      <c r="P4386" s="18">
        <v>3500</v>
      </c>
      <c r="Q4386" s="15"/>
      <c r="R4386" t="s" s="16">
        <f>HYPERLINK("http://secrets.rutgers.edu:8080/data/asl-ftp/asllvd/demos/verify_start_end_handshape_annotations//test_auto_move//signs_mov_separ_signers/Naomi_16202.mov","MOV")</f>
        <v>21</v>
      </c>
    </row>
    <row r="4387" s="2" customFormat="1" ht="13.5" customHeight="1">
      <c r="B4387" t="s" s="8">
        <v>1496</v>
      </c>
      <c r="C4387" t="s" s="9">
        <v>14</v>
      </c>
      <c r="D4387" t="s" s="8">
        <v>14</v>
      </c>
      <c r="E4387" t="s" s="9">
        <v>14</v>
      </c>
      <c r="F4387" t="s" s="10">
        <v>14</v>
      </c>
      <c r="G4387" t="s" s="11">
        <v>14</v>
      </c>
      <c r="H4387" t="s" s="10">
        <v>14</v>
      </c>
      <c r="I4387" t="s" s="11">
        <v>14</v>
      </c>
      <c r="J4387" t="s" s="11">
        <v>14</v>
      </c>
      <c r="K4387" t="s" s="12">
        <v>14</v>
      </c>
      <c r="L4387" t="s" s="12">
        <v>14</v>
      </c>
      <c r="M4387" t="s" s="10">
        <v>14</v>
      </c>
      <c r="N4387" t="s" s="11">
        <v>14</v>
      </c>
      <c r="O4387" t="s" s="8">
        <v>14</v>
      </c>
      <c r="P4387" t="s" s="8">
        <v>14</v>
      </c>
      <c r="Q4387" t="s" s="12">
        <v>14</v>
      </c>
      <c r="R4387" t="s" s="12">
        <v>14</v>
      </c>
    </row>
    <row r="4388" s="2" customFormat="1" ht="13.5" customHeight="1">
      <c r="B4388" s="13"/>
      <c r="C4388" t="s" s="9">
        <v>27</v>
      </c>
      <c r="D4388" t="s" s="8">
        <v>1496</v>
      </c>
      <c r="E4388" t="s" s="9">
        <v>1496</v>
      </c>
      <c r="F4388" t="s" s="10">
        <v>119</v>
      </c>
      <c r="G4388" s="14"/>
      <c r="H4388" t="s" s="10">
        <v>119</v>
      </c>
      <c r="I4388" s="14"/>
      <c r="J4388" t="s" s="11">
        <v>20</v>
      </c>
      <c r="K4388" t="s" s="16">
        <f>HYPERLINK("http://csr.bu.edu/ftp/asl/asllvd/demos/verify_start_end_handshape_annotations//test_auto_move//signs_mov/936.mov","MOV")</f>
        <v>21</v>
      </c>
      <c r="L4388" t="s" s="16">
        <f>HYPERLINK("http://csr.bu.edu/ftp/asl/asllvd/demos/verify_start_end_handshape_annotations//test_auto_move//signs_mov_separ_signers/Naomi_936.mov","MOV")</f>
        <v>21</v>
      </c>
      <c r="M4388" t="s" s="10">
        <v>86</v>
      </c>
      <c r="N4388" s="17">
        <v>44</v>
      </c>
      <c r="O4388" s="18">
        <v>2057</v>
      </c>
      <c r="P4388" s="18">
        <v>2085</v>
      </c>
      <c r="Q4388" t="s" s="16">
        <f>HYPERLINK("http://secrets.rutgers.edu:8080/data/asl-ftp/asllvd/demos/verify_start_end_handshape_annotations//test_auto_move//signs_mov/936.mov","MOV")</f>
        <v>21</v>
      </c>
      <c r="R4388" t="s" s="16">
        <f>HYPERLINK("http://secrets.rutgers.edu:8080/data/asl-ftp/asllvd/demos/verify_start_end_handshape_annotations//test_auto_move//signs_mov_separ_signers/Naomi_936.mov","MOV")</f>
        <v>21</v>
      </c>
    </row>
    <row r="4389" s="2" customFormat="1" ht="13.5" customHeight="1">
      <c r="B4389" t="s" s="8">
        <v>1497</v>
      </c>
      <c r="C4389" t="s" s="9">
        <v>14</v>
      </c>
      <c r="D4389" t="s" s="8">
        <v>14</v>
      </c>
      <c r="E4389" t="s" s="9">
        <v>14</v>
      </c>
      <c r="F4389" t="s" s="10">
        <v>14</v>
      </c>
      <c r="G4389" t="s" s="11">
        <v>14</v>
      </c>
      <c r="H4389" t="s" s="10">
        <v>14</v>
      </c>
      <c r="I4389" t="s" s="11">
        <v>14</v>
      </c>
      <c r="J4389" t="s" s="11">
        <v>14</v>
      </c>
      <c r="K4389" t="s" s="12">
        <v>14</v>
      </c>
      <c r="L4389" t="s" s="12">
        <v>14</v>
      </c>
      <c r="M4389" t="s" s="10">
        <v>14</v>
      </c>
      <c r="N4389" t="s" s="11">
        <v>14</v>
      </c>
      <c r="O4389" t="s" s="8">
        <v>14</v>
      </c>
      <c r="P4389" t="s" s="8">
        <v>14</v>
      </c>
      <c r="Q4389" t="s" s="12">
        <v>14</v>
      </c>
      <c r="R4389" t="s" s="12">
        <v>14</v>
      </c>
    </row>
    <row r="4390" s="2" customFormat="1" ht="13.5" customHeight="1">
      <c r="B4390" s="13"/>
      <c r="C4390" t="s" s="9">
        <v>16</v>
      </c>
      <c r="D4390" t="s" s="8">
        <v>1497</v>
      </c>
      <c r="E4390" t="s" s="9">
        <v>1497</v>
      </c>
      <c r="F4390" t="s" s="10">
        <v>119</v>
      </c>
      <c r="G4390" t="s" s="11">
        <v>73</v>
      </c>
      <c r="H4390" t="s" s="10">
        <v>119</v>
      </c>
      <c r="I4390" t="s" s="11">
        <v>73</v>
      </c>
      <c r="J4390" t="s" s="11">
        <v>20</v>
      </c>
      <c r="K4390" s="15"/>
      <c r="L4390" t="s" s="16">
        <f>HYPERLINK("http://csr.bu.edu/ftp/asl/asllvd/demos/verify_start_end_handshape_annotations//test_auto_move//signs_mov_separ_signers/Liz_937.mov","MOV")</f>
        <v>21</v>
      </c>
      <c r="M4390" t="s" s="10">
        <v>84</v>
      </c>
      <c r="N4390" s="17">
        <v>44</v>
      </c>
      <c r="O4390" s="18">
        <v>1781</v>
      </c>
      <c r="P4390" s="18">
        <v>1840</v>
      </c>
      <c r="Q4390" s="15"/>
      <c r="R4390" t="s" s="16">
        <f>HYPERLINK("http://secrets.rutgers.edu:8080/data/asl-ftp/asllvd/demos/verify_start_end_handshape_annotations//test_auto_move//signs_mov_separ_signers/Liz_937.mov","MOV")</f>
        <v>21</v>
      </c>
    </row>
    <row r="4391" s="2" customFormat="1" ht="13.5" customHeight="1">
      <c r="B4391" s="13"/>
      <c r="C4391" t="s" s="9">
        <v>27</v>
      </c>
      <c r="D4391" t="s" s="8">
        <v>1497</v>
      </c>
      <c r="E4391" t="s" s="9">
        <v>1497</v>
      </c>
      <c r="F4391" t="s" s="10">
        <v>119</v>
      </c>
      <c r="G4391" t="s" s="11">
        <v>73</v>
      </c>
      <c r="H4391" t="s" s="10">
        <v>119</v>
      </c>
      <c r="I4391" t="s" s="11">
        <v>73</v>
      </c>
      <c r="J4391" t="s" s="11">
        <v>20</v>
      </c>
      <c r="K4391" t="s" s="16">
        <f>HYPERLINK("http://csr.bu.edu/ftp/asl/asllvd/demos/verify_start_end_handshape_annotations//test_auto_move//signs_mov/937_5305_merged.mov","MOV")</f>
        <v>21</v>
      </c>
      <c r="L4391" t="s" s="16">
        <f>HYPERLINK("http://csr.bu.edu/ftp/asl/asllvd/demos/verify_start_end_handshape_annotations//test_auto_move//signs_mov_separ_signers/Naomi_937.mov","MOV")</f>
        <v>21</v>
      </c>
      <c r="M4391" t="s" s="10">
        <v>86</v>
      </c>
      <c r="N4391" s="17">
        <v>44</v>
      </c>
      <c r="O4391" s="18">
        <v>2307</v>
      </c>
      <c r="P4391" s="18">
        <v>2340</v>
      </c>
      <c r="Q4391" t="s" s="16">
        <f>HYPERLINK("http://secrets.rutgers.edu:8080/data/asl-ftp/asllvd/demos/verify_start_end_handshape_annotations//test_auto_move//signs_mov/937_5305_merged.mov","MOV")</f>
        <v>21</v>
      </c>
      <c r="R4391" t="s" s="16">
        <f>HYPERLINK("http://secrets.rutgers.edu:8080/data/asl-ftp/asllvd/demos/verify_start_end_handshape_annotations//test_auto_move//signs_mov_separ_signers/Naomi_937.mov","MOV")</f>
        <v>21</v>
      </c>
    </row>
    <row r="4392" s="2" customFormat="1" ht="13.5" customHeight="1">
      <c r="B4392" s="13"/>
      <c r="C4392" t="s" s="9">
        <v>30</v>
      </c>
      <c r="D4392" t="s" s="8">
        <v>1497</v>
      </c>
      <c r="E4392" t="s" s="9">
        <v>1497</v>
      </c>
      <c r="F4392" t="s" s="10">
        <v>119</v>
      </c>
      <c r="G4392" t="s" s="11">
        <v>73</v>
      </c>
      <c r="H4392" t="s" s="10">
        <v>119</v>
      </c>
      <c r="I4392" t="s" s="11">
        <v>73</v>
      </c>
      <c r="J4392" t="s" s="11">
        <v>20</v>
      </c>
      <c r="K4392" s="15"/>
      <c r="L4392" t="s" s="16">
        <f>HYPERLINK("http://csr.bu.edu/ftp/asl/asllvd/demos/verify_start_end_handshape_annotations//test_auto_move//signs_mov_separ_signers/Brady_937.mov","MOV")</f>
        <v>21</v>
      </c>
      <c r="M4392" t="s" s="10">
        <v>39</v>
      </c>
      <c r="N4392" s="17">
        <v>20</v>
      </c>
      <c r="O4392" s="18">
        <v>416</v>
      </c>
      <c r="P4392" s="18">
        <v>455</v>
      </c>
      <c r="Q4392" s="15"/>
      <c r="R4392" t="s" s="16">
        <f>HYPERLINK("http://secrets.rutgers.edu:8080/data/asl-ftp/asllvd/demos/verify_start_end_handshape_annotations//test_auto_move//signs_mov_separ_signers/Brady_937.mov","MOV")</f>
        <v>21</v>
      </c>
    </row>
    <row r="4393" s="2" customFormat="1" ht="13.5" customHeight="1">
      <c r="B4393" s="13"/>
      <c r="C4393" t="s" s="9">
        <v>30</v>
      </c>
      <c r="D4393" t="s" s="8">
        <v>1497</v>
      </c>
      <c r="E4393" t="s" s="9">
        <v>1497</v>
      </c>
      <c r="F4393" t="s" s="10">
        <v>119</v>
      </c>
      <c r="G4393" t="s" s="11">
        <v>73</v>
      </c>
      <c r="H4393" t="s" s="10">
        <v>119</v>
      </c>
      <c r="I4393" t="s" s="11">
        <v>73</v>
      </c>
      <c r="J4393" t="s" s="11">
        <v>20</v>
      </c>
      <c r="K4393" s="15"/>
      <c r="L4393" t="s" s="16">
        <f>HYPERLINK("http://csr.bu.edu/ftp/asl/asllvd/demos/verify_start_end_handshape_annotations//test_auto_move//signs_mov_separ_signers/Brady_5305.mov","MOV")</f>
        <v>21</v>
      </c>
      <c r="M4393" t="s" s="10">
        <v>39</v>
      </c>
      <c r="N4393" s="17">
        <v>20</v>
      </c>
      <c r="O4393" s="18">
        <v>881</v>
      </c>
      <c r="P4393" s="18">
        <v>915</v>
      </c>
      <c r="Q4393" s="15"/>
      <c r="R4393" t="s" s="16">
        <f>HYPERLINK("http://secrets.rutgers.edu:8080/data/asl-ftp/asllvd/demos/verify_start_end_handshape_annotations//test_auto_move//signs_mov_separ_signers/Brady_5305.mov","MOV")</f>
        <v>21</v>
      </c>
    </row>
    <row r="4394" s="2" customFormat="1" ht="13.5" customHeight="1">
      <c r="B4394" t="s" s="8">
        <v>1497</v>
      </c>
      <c r="C4394" t="s" s="9">
        <v>14</v>
      </c>
      <c r="D4394" t="s" s="8">
        <v>14</v>
      </c>
      <c r="E4394" t="s" s="9">
        <v>14</v>
      </c>
      <c r="F4394" t="s" s="10">
        <v>14</v>
      </c>
      <c r="G4394" t="s" s="11">
        <v>14</v>
      </c>
      <c r="H4394" t="s" s="10">
        <v>14</v>
      </c>
      <c r="I4394" t="s" s="11">
        <v>14</v>
      </c>
      <c r="J4394" t="s" s="11">
        <v>14</v>
      </c>
      <c r="K4394" t="s" s="12">
        <v>14</v>
      </c>
      <c r="L4394" t="s" s="12">
        <v>14</v>
      </c>
      <c r="M4394" t="s" s="10">
        <v>14</v>
      </c>
      <c r="N4394" t="s" s="11">
        <v>14</v>
      </c>
      <c r="O4394" t="s" s="8">
        <v>14</v>
      </c>
      <c r="P4394" t="s" s="8">
        <v>14</v>
      </c>
      <c r="Q4394" t="s" s="12">
        <v>14</v>
      </c>
      <c r="R4394" t="s" s="12">
        <v>14</v>
      </c>
    </row>
    <row r="4395" s="2" customFormat="1" ht="13.5" customHeight="1">
      <c r="B4395" s="13"/>
      <c r="C4395" t="s" s="9">
        <v>23</v>
      </c>
      <c r="D4395" t="s" s="8">
        <v>1498</v>
      </c>
      <c r="E4395" t="s" s="9">
        <v>1498</v>
      </c>
      <c r="F4395" t="s" s="10">
        <v>119</v>
      </c>
      <c r="G4395" t="s" s="11">
        <v>73</v>
      </c>
      <c r="H4395" t="s" s="10">
        <v>119</v>
      </c>
      <c r="I4395" t="s" s="11">
        <v>73</v>
      </c>
      <c r="J4395" t="s" s="11">
        <v>20</v>
      </c>
      <c r="K4395" t="s" s="16">
        <f>HYPERLINK("http://csr.bu.edu/ftp/asl/asllvd/demos/verify_start_end_handshape_annotations//test_auto_move//signs_mov/5637.mov","MOV")</f>
        <v>21</v>
      </c>
      <c r="L4395" t="s" s="16">
        <f>HYPERLINK("http://csr.bu.edu/ftp/asl/asllvd/demos/verify_start_end_handshape_annotations//test_auto_move//signs_mov_separ_signers/Tyler_5637.mov","MOV")</f>
        <v>21</v>
      </c>
      <c r="M4395" t="s" s="10">
        <v>92</v>
      </c>
      <c r="N4395" s="17">
        <v>24</v>
      </c>
      <c r="O4395" s="18">
        <v>2711</v>
      </c>
      <c r="P4395" s="18">
        <v>2750</v>
      </c>
      <c r="Q4395" t="s" s="16">
        <f>HYPERLINK("http://secrets.rutgers.edu:8080/data/asl-ftp/asllvd/demos/verify_start_end_handshape_annotations//test_auto_move//signs_mov/5637.mov","MOV")</f>
        <v>21</v>
      </c>
      <c r="R4395" t="s" s="16">
        <f>HYPERLINK("http://secrets.rutgers.edu:8080/data/asl-ftp/asllvd/demos/verify_start_end_handshape_annotations//test_auto_move//signs_mov_separ_signers/Tyler_5637.mov","MOV")</f>
        <v>21</v>
      </c>
    </row>
    <row r="4396" s="2" customFormat="1" ht="13.5" customHeight="1">
      <c r="B4396" t="s" s="8">
        <v>1499</v>
      </c>
      <c r="C4396" t="s" s="9">
        <v>14</v>
      </c>
      <c r="D4396" t="s" s="8">
        <v>14</v>
      </c>
      <c r="E4396" t="s" s="9">
        <v>14</v>
      </c>
      <c r="F4396" t="s" s="10">
        <v>14</v>
      </c>
      <c r="G4396" t="s" s="11">
        <v>14</v>
      </c>
      <c r="H4396" t="s" s="10">
        <v>14</v>
      </c>
      <c r="I4396" t="s" s="11">
        <v>14</v>
      </c>
      <c r="J4396" t="s" s="11">
        <v>14</v>
      </c>
      <c r="K4396" t="s" s="12">
        <v>14</v>
      </c>
      <c r="L4396" t="s" s="12">
        <v>14</v>
      </c>
      <c r="M4396" t="s" s="10">
        <v>14</v>
      </c>
      <c r="N4396" t="s" s="11">
        <v>14</v>
      </c>
      <c r="O4396" t="s" s="8">
        <v>14</v>
      </c>
      <c r="P4396" t="s" s="8">
        <v>14</v>
      </c>
      <c r="Q4396" t="s" s="12">
        <v>14</v>
      </c>
      <c r="R4396" t="s" s="12">
        <v>14</v>
      </c>
    </row>
    <row r="4397" s="2" customFormat="1" ht="13.5" customHeight="1">
      <c r="B4397" s="13"/>
      <c r="C4397" t="s" s="9">
        <v>23</v>
      </c>
      <c r="D4397" t="s" s="8">
        <v>1499</v>
      </c>
      <c r="E4397" t="s" s="9">
        <v>1499</v>
      </c>
      <c r="F4397" s="19">
        <v>5</v>
      </c>
      <c r="G4397" s="17">
        <v>5</v>
      </c>
      <c r="H4397" s="19">
        <v>5</v>
      </c>
      <c r="I4397" s="17">
        <v>5</v>
      </c>
      <c r="J4397" t="s" s="11">
        <v>20</v>
      </c>
      <c r="K4397" t="s" s="16">
        <f>HYPERLINK("http://csr.bu.edu/ftp/asl/asllvd/demos/verify_start_end_handshape_annotations//test_auto_move//signs_mov/941.mov","MOV")</f>
        <v>21</v>
      </c>
      <c r="L4397" t="s" s="16">
        <f>HYPERLINK("http://csr.bu.edu/ftp/asl/asllvd/demos/verify_start_end_handshape_annotations//test_auto_move//signs_mov_separ_signers/Tyler_941.mov","MOV")</f>
        <v>21</v>
      </c>
      <c r="M4397" t="s" s="10">
        <v>92</v>
      </c>
      <c r="N4397" s="17">
        <v>25</v>
      </c>
      <c r="O4397" s="18">
        <v>265</v>
      </c>
      <c r="P4397" s="18">
        <v>307</v>
      </c>
      <c r="Q4397" t="s" s="16">
        <f>HYPERLINK("http://secrets.rutgers.edu:8080/data/asl-ftp/asllvd/demos/verify_start_end_handshape_annotations//test_auto_move//signs_mov/941.mov","MOV")</f>
        <v>21</v>
      </c>
      <c r="R4397" t="s" s="16">
        <f>HYPERLINK("http://secrets.rutgers.edu:8080/data/asl-ftp/asllvd/demos/verify_start_end_handshape_annotations//test_auto_move//signs_mov_separ_signers/Tyler_941.mov","MOV")</f>
        <v>21</v>
      </c>
    </row>
    <row r="4398" s="2" customFormat="1" ht="13.5" customHeight="1">
      <c r="B4398" s="13"/>
      <c r="C4398" t="s" s="9">
        <v>30</v>
      </c>
      <c r="D4398" t="s" s="8">
        <v>1499</v>
      </c>
      <c r="E4398" t="s" s="9">
        <v>1499</v>
      </c>
      <c r="F4398" s="19">
        <v>5</v>
      </c>
      <c r="G4398" s="17">
        <v>5</v>
      </c>
      <c r="H4398" s="19">
        <v>5</v>
      </c>
      <c r="I4398" s="17">
        <v>5</v>
      </c>
      <c r="J4398" t="s" s="11">
        <v>20</v>
      </c>
      <c r="K4398" s="15"/>
      <c r="L4398" t="s" s="16">
        <f>HYPERLINK("http://csr.bu.edu/ftp/asl/asllvd/demos/verify_start_end_handshape_annotations//test_auto_move//signs_mov_separ_signers/Brady_941.mov","MOV")</f>
        <v>21</v>
      </c>
      <c r="M4398" t="s" s="10">
        <v>39</v>
      </c>
      <c r="N4398" s="17">
        <v>20</v>
      </c>
      <c r="O4398" s="18">
        <v>2425</v>
      </c>
      <c r="P4398" s="18">
        <v>2456</v>
      </c>
      <c r="Q4398" s="15"/>
      <c r="R4398" t="s" s="16">
        <f>HYPERLINK("http://secrets.rutgers.edu:8080/data/asl-ftp/asllvd/demos/verify_start_end_handshape_annotations//test_auto_move//signs_mov_separ_signers/Brady_941.mov","MOV")</f>
        <v>21</v>
      </c>
    </row>
    <row r="4399" s="2" customFormat="1" ht="13.5" customHeight="1">
      <c r="B4399" t="s" s="8">
        <v>1500</v>
      </c>
      <c r="C4399" t="s" s="9">
        <v>14</v>
      </c>
      <c r="D4399" t="s" s="8">
        <v>14</v>
      </c>
      <c r="E4399" t="s" s="9">
        <v>14</v>
      </c>
      <c r="F4399" t="s" s="10">
        <v>14</v>
      </c>
      <c r="G4399" t="s" s="11">
        <v>14</v>
      </c>
      <c r="H4399" t="s" s="10">
        <v>14</v>
      </c>
      <c r="I4399" t="s" s="11">
        <v>14</v>
      </c>
      <c r="J4399" t="s" s="11">
        <v>14</v>
      </c>
      <c r="K4399" t="s" s="12">
        <v>14</v>
      </c>
      <c r="L4399" t="s" s="12">
        <v>14</v>
      </c>
      <c r="M4399" t="s" s="10">
        <v>14</v>
      </c>
      <c r="N4399" t="s" s="11">
        <v>14</v>
      </c>
      <c r="O4399" t="s" s="8">
        <v>14</v>
      </c>
      <c r="P4399" t="s" s="8">
        <v>14</v>
      </c>
      <c r="Q4399" t="s" s="12">
        <v>14</v>
      </c>
      <c r="R4399" t="s" s="12">
        <v>14</v>
      </c>
    </row>
    <row r="4400" s="2" customFormat="1" ht="13.5" customHeight="1">
      <c r="B4400" s="13"/>
      <c r="C4400" t="s" s="9">
        <v>16</v>
      </c>
      <c r="D4400" t="s" s="8">
        <v>1500</v>
      </c>
      <c r="E4400" t="s" s="9">
        <v>1501</v>
      </c>
      <c r="F4400" s="19">
        <v>5</v>
      </c>
      <c r="G4400" s="17">
        <v>5</v>
      </c>
      <c r="H4400" s="19">
        <v>5</v>
      </c>
      <c r="I4400" s="17">
        <v>5</v>
      </c>
      <c r="J4400" t="s" s="11">
        <v>20</v>
      </c>
      <c r="K4400" s="15"/>
      <c r="L4400" t="s" s="16">
        <f>HYPERLINK("http://csr.bu.edu/ftp/asl/asllvd/demos/verify_start_end_handshape_annotations//test_auto_move//signs_mov_separ_signers/Liz_15756.mov","MOV")</f>
        <v>21</v>
      </c>
      <c r="M4400" t="s" s="10">
        <v>84</v>
      </c>
      <c r="N4400" s="17">
        <v>45</v>
      </c>
      <c r="O4400" s="18">
        <v>375</v>
      </c>
      <c r="P4400" s="18">
        <v>465</v>
      </c>
      <c r="Q4400" s="15"/>
      <c r="R4400" t="s" s="16">
        <f>HYPERLINK("http://secrets.rutgers.edu:8080/data/asl-ftp/asllvd/demos/verify_start_end_handshape_annotations//test_auto_move//signs_mov_separ_signers/Liz_15756.mov","MOV")</f>
        <v>21</v>
      </c>
    </row>
    <row r="4401" s="2" customFormat="1" ht="13.5" customHeight="1">
      <c r="B4401" s="13"/>
      <c r="C4401" t="s" s="9">
        <v>23</v>
      </c>
      <c r="D4401" t="s" s="8">
        <v>1500</v>
      </c>
      <c r="E4401" t="s" s="9">
        <v>1501</v>
      </c>
      <c r="F4401" s="19">
        <v>5</v>
      </c>
      <c r="G4401" s="17">
        <v>5</v>
      </c>
      <c r="H4401" s="19">
        <v>5</v>
      </c>
      <c r="I4401" s="17">
        <v>5</v>
      </c>
      <c r="J4401" t="s" s="11">
        <v>20</v>
      </c>
      <c r="K4401" s="15"/>
      <c r="L4401" t="s" s="16">
        <f>HYPERLINK("http://csr.bu.edu/ftp/asl/asllvd/demos/verify_start_end_handshape_annotations//test_auto_move//signs_mov_separ_signers/Tyler_15756.mov","MOV")</f>
        <v>21</v>
      </c>
      <c r="M4401" t="s" s="10">
        <v>92</v>
      </c>
      <c r="N4401" s="17">
        <v>24</v>
      </c>
      <c r="O4401" s="18">
        <v>3785</v>
      </c>
      <c r="P4401" s="18">
        <v>3835</v>
      </c>
      <c r="Q4401" s="15"/>
      <c r="R4401" t="s" s="16">
        <f>HYPERLINK("http://secrets.rutgers.edu:8080/data/asl-ftp/asllvd/demos/verify_start_end_handshape_annotations//test_auto_move//signs_mov_separ_signers/Tyler_15756.mov","MOV")</f>
        <v>21</v>
      </c>
    </row>
    <row r="4402" s="2" customFormat="1" ht="13.5" customHeight="1">
      <c r="B4402" s="13"/>
      <c r="C4402" t="s" s="9">
        <v>27</v>
      </c>
      <c r="D4402" t="s" s="8">
        <v>1500</v>
      </c>
      <c r="E4402" t="s" s="9">
        <v>1501</v>
      </c>
      <c r="F4402" s="19">
        <v>5</v>
      </c>
      <c r="G4402" s="17">
        <v>5</v>
      </c>
      <c r="H4402" s="19">
        <v>5</v>
      </c>
      <c r="I4402" s="17">
        <v>5</v>
      </c>
      <c r="J4402" t="s" s="11">
        <v>20</v>
      </c>
      <c r="K4402" t="s" s="16">
        <f>HYPERLINK("http://csr.bu.edu/ftp/asl/asllvd/demos/verify_start_end_handshape_annotations//test_auto_move//signs_mov/15756_15759_merged.mov","MOV")</f>
        <v>21</v>
      </c>
      <c r="L4402" t="s" s="16">
        <f>HYPERLINK("http://csr.bu.edu/ftp/asl/asllvd/demos/verify_start_end_handshape_annotations//test_auto_move//signs_mov_separ_signers/Naomi_15756.mov","MOV")</f>
        <v>21</v>
      </c>
      <c r="M4402" t="s" s="10">
        <v>86</v>
      </c>
      <c r="N4402" s="17">
        <v>44</v>
      </c>
      <c r="O4402" s="18">
        <v>3245</v>
      </c>
      <c r="P4402" s="18">
        <v>3325</v>
      </c>
      <c r="Q4402" t="s" s="16">
        <f>HYPERLINK("http://secrets.rutgers.edu:8080/data/asl-ftp/asllvd/demos/verify_start_end_handshape_annotations//test_auto_move//signs_mov/15756_15759_merged.mov","MOV")</f>
        <v>21</v>
      </c>
      <c r="R4402" t="s" s="16">
        <f>HYPERLINK("http://secrets.rutgers.edu:8080/data/asl-ftp/asllvd/demos/verify_start_end_handshape_annotations//test_auto_move//signs_mov_separ_signers/Naomi_15756.mov","MOV")</f>
        <v>21</v>
      </c>
    </row>
    <row r="4403" s="2" customFormat="1" ht="13.5" customHeight="1">
      <c r="B4403" s="13"/>
      <c r="C4403" t="s" s="9">
        <v>30</v>
      </c>
      <c r="D4403" t="s" s="8">
        <v>1500</v>
      </c>
      <c r="E4403" t="s" s="9">
        <v>1501</v>
      </c>
      <c r="F4403" s="19">
        <v>5</v>
      </c>
      <c r="G4403" s="14"/>
      <c r="H4403" s="19">
        <v>5</v>
      </c>
      <c r="I4403" s="14"/>
      <c r="J4403" t="s" s="11">
        <v>20</v>
      </c>
      <c r="K4403" s="15"/>
      <c r="L4403" t="s" s="16">
        <f>HYPERLINK("http://csr.bu.edu/ftp/asl/asllvd/demos/verify_start_end_handshape_annotations//test_auto_move//signs_mov_separ_signers/Brady_15756.mov","MOV")</f>
        <v>21</v>
      </c>
      <c r="M4403" t="s" s="10">
        <v>39</v>
      </c>
      <c r="N4403" s="17">
        <v>20</v>
      </c>
      <c r="O4403" s="18">
        <v>1770</v>
      </c>
      <c r="P4403" s="18">
        <v>1820</v>
      </c>
      <c r="Q4403" s="15"/>
      <c r="R4403" t="s" s="16">
        <f>HYPERLINK("http://secrets.rutgers.edu:8080/data/asl-ftp/asllvd/demos/verify_start_end_handshape_annotations//test_auto_move//signs_mov_separ_signers/Brady_15756.mov","MOV")</f>
        <v>21</v>
      </c>
    </row>
    <row r="4404" s="2" customFormat="1" ht="13.5" customHeight="1">
      <c r="B4404" s="13"/>
      <c r="C4404" t="s" s="9">
        <v>30</v>
      </c>
      <c r="D4404" t="s" s="8">
        <v>1500</v>
      </c>
      <c r="E4404" t="s" s="9">
        <v>1501</v>
      </c>
      <c r="F4404" s="19">
        <v>5</v>
      </c>
      <c r="G4404" s="17">
        <v>5</v>
      </c>
      <c r="H4404" s="19">
        <v>5</v>
      </c>
      <c r="I4404" s="17">
        <v>5</v>
      </c>
      <c r="J4404" t="s" s="11">
        <v>20</v>
      </c>
      <c r="K4404" s="15"/>
      <c r="L4404" t="s" s="16">
        <f>HYPERLINK("http://csr.bu.edu/ftp/asl/asllvd/demos/verify_start_end_handshape_annotations//test_auto_move//signs_mov_separ_signers/Brady_15759.mov","MOV")</f>
        <v>21</v>
      </c>
      <c r="M4404" t="s" s="10">
        <v>60</v>
      </c>
      <c r="N4404" s="17">
        <v>43</v>
      </c>
      <c r="O4404" s="18">
        <v>715</v>
      </c>
      <c r="P4404" s="18">
        <v>807</v>
      </c>
      <c r="Q4404" s="15"/>
      <c r="R4404" t="s" s="16">
        <f>HYPERLINK("http://secrets.rutgers.edu:8080/data/asl-ftp/asllvd/demos/verify_start_end_handshape_annotations//test_auto_move//signs_mov_separ_signers/Brady_15759.mov","MOV")</f>
        <v>21</v>
      </c>
    </row>
    <row r="4405" s="2" customFormat="1" ht="13.5" customHeight="1">
      <c r="B4405" t="s" s="8">
        <v>1502</v>
      </c>
      <c r="C4405" t="s" s="9">
        <v>14</v>
      </c>
      <c r="D4405" t="s" s="8">
        <v>14</v>
      </c>
      <c r="E4405" t="s" s="9">
        <v>14</v>
      </c>
      <c r="F4405" t="s" s="10">
        <v>14</v>
      </c>
      <c r="G4405" t="s" s="11">
        <v>14</v>
      </c>
      <c r="H4405" t="s" s="10">
        <v>14</v>
      </c>
      <c r="I4405" t="s" s="11">
        <v>14</v>
      </c>
      <c r="J4405" t="s" s="11">
        <v>14</v>
      </c>
      <c r="K4405" t="s" s="12">
        <v>14</v>
      </c>
      <c r="L4405" t="s" s="12">
        <v>14</v>
      </c>
      <c r="M4405" t="s" s="10">
        <v>14</v>
      </c>
      <c r="N4405" t="s" s="11">
        <v>14</v>
      </c>
      <c r="O4405" t="s" s="8">
        <v>14</v>
      </c>
      <c r="P4405" t="s" s="8">
        <v>14</v>
      </c>
      <c r="Q4405" t="s" s="12">
        <v>14</v>
      </c>
      <c r="R4405" t="s" s="12">
        <v>14</v>
      </c>
    </row>
    <row r="4406" s="2" customFormat="1" ht="13.5" customHeight="1">
      <c r="B4406" s="13"/>
      <c r="C4406" t="s" s="9">
        <v>23</v>
      </c>
      <c r="D4406" t="s" s="8">
        <v>1502</v>
      </c>
      <c r="E4406" t="s" s="9">
        <v>1503</v>
      </c>
      <c r="F4406" s="19">
        <v>4</v>
      </c>
      <c r="G4406" s="17">
        <v>4</v>
      </c>
      <c r="H4406" s="19">
        <v>4</v>
      </c>
      <c r="I4406" s="17">
        <v>4</v>
      </c>
      <c r="J4406" t="s" s="11">
        <v>20</v>
      </c>
      <c r="K4406" t="s" s="16">
        <f>HYPERLINK("http://csr.bu.edu/ftp/asl/asllvd/demos/verify_start_end_handshape_annotations//test_auto_move//signs_mov/943.mov","MOV")</f>
        <v>21</v>
      </c>
      <c r="L4406" t="s" s="16">
        <f>HYPERLINK("http://csr.bu.edu/ftp/asl/asllvd/demos/verify_start_end_handshape_annotations//test_auto_move//signs_mov_separ_signers/Tyler_943.mov","MOV")</f>
        <v>21</v>
      </c>
      <c r="M4406" t="s" s="10">
        <v>92</v>
      </c>
      <c r="N4406" s="17">
        <v>25</v>
      </c>
      <c r="O4406" s="18">
        <v>730</v>
      </c>
      <c r="P4406" s="18">
        <v>790</v>
      </c>
      <c r="Q4406" t="s" s="16">
        <f>HYPERLINK("http://secrets.rutgers.edu:8080/data/asl-ftp/asllvd/demos/verify_start_end_handshape_annotations//test_auto_move//signs_mov/943.mov","MOV")</f>
        <v>21</v>
      </c>
      <c r="R4406" t="s" s="16">
        <f>HYPERLINK("http://secrets.rutgers.edu:8080/data/asl-ftp/asllvd/demos/verify_start_end_handshape_annotations//test_auto_move//signs_mov_separ_signers/Tyler_943.mov","MOV")</f>
        <v>21</v>
      </c>
    </row>
    <row r="4407" s="2" customFormat="1" ht="13.5" customHeight="1">
      <c r="B4407" s="13"/>
      <c r="C4407" t="s" s="9">
        <v>30</v>
      </c>
      <c r="D4407" t="s" s="8">
        <v>1502</v>
      </c>
      <c r="E4407" t="s" s="9">
        <v>1504</v>
      </c>
      <c r="F4407" s="19">
        <v>4</v>
      </c>
      <c r="G4407" s="17">
        <v>4</v>
      </c>
      <c r="H4407" s="19">
        <v>4</v>
      </c>
      <c r="I4407" s="17">
        <v>4</v>
      </c>
      <c r="J4407" t="s" s="11">
        <v>20</v>
      </c>
      <c r="K4407" s="15"/>
      <c r="L4407" t="s" s="16">
        <f>HYPERLINK("http://csr.bu.edu/ftp/asl/asllvd/demos/verify_start_end_handshape_annotations//test_auto_move//signs_mov_separ_signers/Brady_943.mov","MOV")</f>
        <v>21</v>
      </c>
      <c r="M4407" t="s" s="10">
        <v>39</v>
      </c>
      <c r="N4407" s="17">
        <v>20</v>
      </c>
      <c r="O4407" s="18">
        <v>3219</v>
      </c>
      <c r="P4407" s="18">
        <v>3266</v>
      </c>
      <c r="Q4407" s="15"/>
      <c r="R4407" t="s" s="16">
        <f>HYPERLINK("http://secrets.rutgers.edu:8080/data/asl-ftp/asllvd/demos/verify_start_end_handshape_annotations//test_auto_move//signs_mov_separ_signers/Brady_943.mov","MOV")</f>
        <v>21</v>
      </c>
    </row>
    <row r="4408" s="2" customFormat="1" ht="13.5" customHeight="1">
      <c r="B4408" t="s" s="8">
        <v>1505</v>
      </c>
      <c r="C4408" t="s" s="9">
        <v>14</v>
      </c>
      <c r="D4408" t="s" s="8">
        <v>14</v>
      </c>
      <c r="E4408" t="s" s="9">
        <v>14</v>
      </c>
      <c r="F4408" t="s" s="10">
        <v>14</v>
      </c>
      <c r="G4408" t="s" s="11">
        <v>14</v>
      </c>
      <c r="H4408" t="s" s="10">
        <v>14</v>
      </c>
      <c r="I4408" t="s" s="11">
        <v>14</v>
      </c>
      <c r="J4408" t="s" s="11">
        <v>14</v>
      </c>
      <c r="K4408" t="s" s="12">
        <v>14</v>
      </c>
      <c r="L4408" t="s" s="12">
        <v>14</v>
      </c>
      <c r="M4408" t="s" s="10">
        <v>14</v>
      </c>
      <c r="N4408" t="s" s="11">
        <v>14</v>
      </c>
      <c r="O4408" t="s" s="8">
        <v>14</v>
      </c>
      <c r="P4408" t="s" s="8">
        <v>14</v>
      </c>
      <c r="Q4408" t="s" s="12">
        <v>14</v>
      </c>
      <c r="R4408" t="s" s="12">
        <v>14</v>
      </c>
    </row>
    <row r="4409" s="2" customFormat="1" ht="13.5" customHeight="1">
      <c r="B4409" s="13"/>
      <c r="C4409" t="s" s="9">
        <v>16</v>
      </c>
      <c r="D4409" t="s" s="8">
        <v>1505</v>
      </c>
      <c r="E4409" t="s" s="9">
        <v>1505</v>
      </c>
      <c r="F4409" t="s" s="10">
        <v>229</v>
      </c>
      <c r="G4409" t="s" s="11">
        <v>73</v>
      </c>
      <c r="H4409" t="s" s="10">
        <v>229</v>
      </c>
      <c r="I4409" t="s" s="11">
        <v>73</v>
      </c>
      <c r="J4409" t="s" s="11">
        <v>20</v>
      </c>
      <c r="K4409" s="15"/>
      <c r="L4409" t="s" s="16">
        <f>HYPERLINK("http://csr.bu.edu/ftp/asl/asllvd/demos/verify_start_end_handshape_annotations//test_auto_move//signs_mov_separ_signers/Liz_946.mov","MOV")</f>
        <v>21</v>
      </c>
      <c r="M4409" t="s" s="10">
        <v>84</v>
      </c>
      <c r="N4409" s="17">
        <v>45</v>
      </c>
      <c r="O4409" s="18">
        <v>1845</v>
      </c>
      <c r="P4409" s="18">
        <v>1865</v>
      </c>
      <c r="Q4409" s="15"/>
      <c r="R4409" t="s" s="16">
        <f>HYPERLINK("http://secrets.rutgers.edu:8080/data/asl-ftp/asllvd/demos/verify_start_end_handshape_annotations//test_auto_move//signs_mov_separ_signers/Liz_946.mov","MOV")</f>
        <v>21</v>
      </c>
    </row>
    <row r="4410" s="2" customFormat="1" ht="13.5" customHeight="1">
      <c r="B4410" s="13"/>
      <c r="C4410" t="s" s="9">
        <v>16</v>
      </c>
      <c r="D4410" t="s" s="8">
        <v>1505</v>
      </c>
      <c r="E4410" t="s" s="9">
        <v>1505</v>
      </c>
      <c r="F4410" t="s" s="10">
        <v>229</v>
      </c>
      <c r="G4410" t="s" s="11">
        <v>73</v>
      </c>
      <c r="H4410" t="s" s="10">
        <v>229</v>
      </c>
      <c r="I4410" t="s" s="11">
        <v>73</v>
      </c>
      <c r="J4410" t="s" s="11">
        <v>20</v>
      </c>
      <c r="K4410" s="15"/>
      <c r="L4410" t="s" s="16">
        <f>HYPERLINK("http://csr.bu.edu/ftp/asl/asllvd/demos/verify_start_end_handshape_annotations//test_auto_move//signs_mov_separ_signers/Liz_3903.mov","MOV")</f>
        <v>21</v>
      </c>
      <c r="M4410" t="s" s="10">
        <v>77</v>
      </c>
      <c r="N4410" s="17">
        <v>27</v>
      </c>
      <c r="O4410" s="18">
        <v>1721</v>
      </c>
      <c r="P4410" s="18">
        <v>1782</v>
      </c>
      <c r="Q4410" s="15"/>
      <c r="R4410" t="s" s="16">
        <f>HYPERLINK("http://secrets.rutgers.edu:8080/data/asl-ftp/asllvd/demos/verify_start_end_handshape_annotations//test_auto_move//signs_mov_separ_signers/Liz_3903.mov","MOV")</f>
        <v>21</v>
      </c>
    </row>
    <row r="4411" s="2" customFormat="1" ht="13.5" customHeight="1">
      <c r="B4411" s="13"/>
      <c r="C4411" t="s" s="9">
        <v>23</v>
      </c>
      <c r="D4411" t="s" s="8">
        <v>1505</v>
      </c>
      <c r="E4411" t="s" s="9">
        <v>1505</v>
      </c>
      <c r="F4411" t="s" s="10">
        <v>220</v>
      </c>
      <c r="G4411" t="s" s="11">
        <v>73</v>
      </c>
      <c r="H4411" t="s" s="10">
        <v>220</v>
      </c>
      <c r="I4411" t="s" s="11">
        <v>73</v>
      </c>
      <c r="J4411" t="s" s="11">
        <v>20</v>
      </c>
      <c r="K4411" t="s" s="16">
        <f>HYPERLINK("http://csr.bu.edu/ftp/asl/asllvd/demos/verify_start_end_handshape_annotations//test_auto_move//signs_mov/946_3903_merged.mov","MOV")</f>
        <v>21</v>
      </c>
      <c r="L4411" t="s" s="16">
        <f>HYPERLINK("http://csr.bu.edu/ftp/asl/asllvd/demos/verify_start_end_handshape_annotations//test_auto_move//signs_mov_separ_signers/Tyler_946.mov","MOV")</f>
        <v>21</v>
      </c>
      <c r="M4411" t="s" s="10">
        <v>92</v>
      </c>
      <c r="N4411" s="17">
        <v>25</v>
      </c>
      <c r="O4411" s="18">
        <v>2132</v>
      </c>
      <c r="P4411" s="18">
        <v>2155</v>
      </c>
      <c r="Q4411" t="s" s="16">
        <f>HYPERLINK("http://secrets.rutgers.edu:8080/data/asl-ftp/asllvd/demos/verify_start_end_handshape_annotations//test_auto_move//signs_mov/946_3903_merged.mov","MOV")</f>
        <v>21</v>
      </c>
      <c r="R4411" t="s" s="16">
        <f>HYPERLINK("http://secrets.rutgers.edu:8080/data/asl-ftp/asllvd/demos/verify_start_end_handshape_annotations//test_auto_move//signs_mov_separ_signers/Tyler_946.mov","MOV")</f>
        <v>21</v>
      </c>
    </row>
    <row r="4412" s="2" customFormat="1" ht="13.5" customHeight="1">
      <c r="B4412" s="13"/>
      <c r="C4412" t="s" s="9">
        <v>27</v>
      </c>
      <c r="D4412" t="s" s="8">
        <v>1505</v>
      </c>
      <c r="E4412" t="s" s="9">
        <v>1505</v>
      </c>
      <c r="F4412" t="s" s="10">
        <v>220</v>
      </c>
      <c r="G4412" t="s" s="11">
        <v>73</v>
      </c>
      <c r="H4412" t="s" s="10">
        <v>220</v>
      </c>
      <c r="I4412" t="s" s="11">
        <v>73</v>
      </c>
      <c r="J4412" t="s" s="11">
        <v>20</v>
      </c>
      <c r="K4412" s="15"/>
      <c r="L4412" t="s" s="16">
        <f>HYPERLINK("http://csr.bu.edu/ftp/asl/asllvd/demos/verify_start_end_handshape_annotations//test_auto_move//signs_mov_separ_signers/Naomi_946.mov","MOV")</f>
        <v>21</v>
      </c>
      <c r="M4412" t="s" s="10">
        <v>86</v>
      </c>
      <c r="N4412" s="17">
        <v>45</v>
      </c>
      <c r="O4412" s="18">
        <v>2197</v>
      </c>
      <c r="P4412" s="18">
        <v>2220</v>
      </c>
      <c r="Q4412" s="15"/>
      <c r="R4412" t="s" s="16">
        <f>HYPERLINK("http://secrets.rutgers.edu:8080/data/asl-ftp/asllvd/demos/verify_start_end_handshape_annotations//test_auto_move//signs_mov_separ_signers/Naomi_946.mov","MOV")</f>
        <v>21</v>
      </c>
    </row>
    <row r="4413" s="2" customFormat="1" ht="13.5" customHeight="1">
      <c r="B4413" s="13"/>
      <c r="C4413" t="s" s="9">
        <v>30</v>
      </c>
      <c r="D4413" t="s" s="8">
        <v>1505</v>
      </c>
      <c r="E4413" t="s" s="9">
        <v>1505</v>
      </c>
      <c r="F4413" t="s" s="10">
        <v>220</v>
      </c>
      <c r="G4413" t="s" s="11">
        <v>73</v>
      </c>
      <c r="H4413" t="s" s="10">
        <v>220</v>
      </c>
      <c r="I4413" t="s" s="11">
        <v>73</v>
      </c>
      <c r="J4413" t="s" s="11">
        <v>20</v>
      </c>
      <c r="K4413" s="15"/>
      <c r="L4413" t="s" s="16">
        <f>HYPERLINK("http://csr.bu.edu/ftp/asl/asllvd/demos/verify_start_end_handshape_annotations//test_auto_move//signs_mov_separ_signers/Brady_946.mov","MOV")</f>
        <v>21</v>
      </c>
      <c r="M4413" t="s" s="10">
        <v>39</v>
      </c>
      <c r="N4413" s="17">
        <v>15</v>
      </c>
      <c r="O4413" s="18">
        <v>5634</v>
      </c>
      <c r="P4413" s="18">
        <v>5649</v>
      </c>
      <c r="Q4413" s="15"/>
      <c r="R4413" t="s" s="16">
        <f>HYPERLINK("http://secrets.rutgers.edu:8080/data/asl-ftp/asllvd/demos/verify_start_end_handshape_annotations//test_auto_move//signs_mov_separ_signers/Brady_946.mov","MOV")</f>
        <v>21</v>
      </c>
    </row>
    <row r="4414" s="2" customFormat="1" ht="13.5" customHeight="1">
      <c r="B4414" s="13"/>
      <c r="C4414" t="s" s="9">
        <v>30</v>
      </c>
      <c r="D4414" t="s" s="8">
        <v>1505</v>
      </c>
      <c r="E4414" t="s" s="9">
        <v>1505</v>
      </c>
      <c r="F4414" t="s" s="10">
        <v>220</v>
      </c>
      <c r="G4414" t="s" s="11">
        <v>73</v>
      </c>
      <c r="H4414" t="s" s="10">
        <v>220</v>
      </c>
      <c r="I4414" t="s" s="11">
        <v>73</v>
      </c>
      <c r="J4414" t="s" s="11">
        <v>20</v>
      </c>
      <c r="K4414" s="15"/>
      <c r="L4414" t="s" s="16">
        <f>HYPERLINK("http://csr.bu.edu/ftp/asl/asllvd/demos/verify_start_end_handshape_annotations//test_auto_move//signs_mov_separ_signers/Brady_3903.mov","MOV")</f>
        <v>21</v>
      </c>
      <c r="M4414" t="s" s="10">
        <v>39</v>
      </c>
      <c r="N4414" s="17">
        <v>20</v>
      </c>
      <c r="O4414" s="18">
        <v>4761</v>
      </c>
      <c r="P4414" s="18">
        <v>4775</v>
      </c>
      <c r="Q4414" s="15"/>
      <c r="R4414" t="s" s="16">
        <f>HYPERLINK("http://secrets.rutgers.edu:8080/data/asl-ftp/asllvd/demos/verify_start_end_handshape_annotations//test_auto_move//signs_mov_separ_signers/Brady_3903.mov","MOV")</f>
        <v>21</v>
      </c>
    </row>
    <row r="4415" s="2" customFormat="1" ht="13.5" customHeight="1">
      <c r="B4415" t="s" s="8">
        <v>1506</v>
      </c>
      <c r="C4415" t="s" s="9">
        <v>14</v>
      </c>
      <c r="D4415" t="s" s="8">
        <v>14</v>
      </c>
      <c r="E4415" t="s" s="9">
        <v>14</v>
      </c>
      <c r="F4415" t="s" s="10">
        <v>14</v>
      </c>
      <c r="G4415" t="s" s="11">
        <v>14</v>
      </c>
      <c r="H4415" t="s" s="10">
        <v>14</v>
      </c>
      <c r="I4415" t="s" s="11">
        <v>14</v>
      </c>
      <c r="J4415" t="s" s="11">
        <v>14</v>
      </c>
      <c r="K4415" t="s" s="12">
        <v>14</v>
      </c>
      <c r="L4415" t="s" s="12">
        <v>14</v>
      </c>
      <c r="M4415" t="s" s="10">
        <v>14</v>
      </c>
      <c r="N4415" t="s" s="11">
        <v>14</v>
      </c>
      <c r="O4415" t="s" s="8">
        <v>14</v>
      </c>
      <c r="P4415" t="s" s="8">
        <v>14</v>
      </c>
      <c r="Q4415" t="s" s="12">
        <v>14</v>
      </c>
      <c r="R4415" t="s" s="12">
        <v>14</v>
      </c>
    </row>
    <row r="4416" s="2" customFormat="1" ht="13.5" customHeight="1">
      <c r="B4416" s="13"/>
      <c r="C4416" t="s" s="9">
        <v>16</v>
      </c>
      <c r="D4416" t="s" s="8">
        <v>1506</v>
      </c>
      <c r="E4416" t="s" s="9">
        <v>1506</v>
      </c>
      <c r="F4416" t="s" s="10">
        <v>282</v>
      </c>
      <c r="G4416" t="s" s="11">
        <v>73</v>
      </c>
      <c r="H4416" t="s" s="10">
        <v>282</v>
      </c>
      <c r="I4416" t="s" s="11">
        <v>73</v>
      </c>
      <c r="J4416" t="s" s="11">
        <v>20</v>
      </c>
      <c r="K4416" s="15"/>
      <c r="L4416" t="s" s="16">
        <f>HYPERLINK("http://csr.bu.edu/ftp/asl/asllvd/demos/verify_start_end_handshape_annotations//test_auto_move//signs_mov_separ_signers/Liz_15169.mov","MOV")</f>
        <v>21</v>
      </c>
      <c r="M4416" t="s" s="10">
        <v>84</v>
      </c>
      <c r="N4416" s="17">
        <v>45</v>
      </c>
      <c r="O4416" s="18">
        <v>1580</v>
      </c>
      <c r="P4416" s="18">
        <v>1610</v>
      </c>
      <c r="Q4416" s="15"/>
      <c r="R4416" t="s" s="16">
        <f>HYPERLINK("http://secrets.rutgers.edu:8080/data/asl-ftp/asllvd/demos/verify_start_end_handshape_annotations//test_auto_move//signs_mov_separ_signers/Liz_15169.mov","MOV")</f>
        <v>21</v>
      </c>
    </row>
    <row r="4417" s="2" customFormat="1" ht="13.5" customHeight="1">
      <c r="B4417" s="13"/>
      <c r="C4417" t="s" s="9">
        <v>27</v>
      </c>
      <c r="D4417" t="s" s="8">
        <v>1506</v>
      </c>
      <c r="E4417" t="s" s="9">
        <v>1506</v>
      </c>
      <c r="F4417" t="s" s="10">
        <v>282</v>
      </c>
      <c r="G4417" t="s" s="11">
        <v>73</v>
      </c>
      <c r="H4417" t="s" s="10">
        <v>282</v>
      </c>
      <c r="I4417" t="s" s="11">
        <v>73</v>
      </c>
      <c r="J4417" t="s" s="11">
        <v>20</v>
      </c>
      <c r="K4417" t="s" s="16">
        <f>HYPERLINK("http://csr.bu.edu/ftp/asl/asllvd/demos/verify_start_end_handshape_annotations//test_auto_move//signs_mov/15169.mov","MOV")</f>
        <v>21</v>
      </c>
      <c r="L4417" t="s" s="16">
        <f>HYPERLINK("http://csr.bu.edu/ftp/asl/asllvd/demos/verify_start_end_handshape_annotations//test_auto_move//signs_mov_separ_signers/Naomi_15169.mov","MOV")</f>
        <v>21</v>
      </c>
      <c r="M4417" t="s" s="10">
        <v>86</v>
      </c>
      <c r="N4417" s="17">
        <v>45</v>
      </c>
      <c r="O4417" s="18">
        <v>1960</v>
      </c>
      <c r="P4417" s="18">
        <v>1976</v>
      </c>
      <c r="Q4417" t="s" s="16">
        <f>HYPERLINK("http://secrets.rutgers.edu:8080/data/asl-ftp/asllvd/demos/verify_start_end_handshape_annotations//test_auto_move//signs_mov/15169.mov","MOV")</f>
        <v>21</v>
      </c>
      <c r="R4417" t="s" s="16">
        <f>HYPERLINK("http://secrets.rutgers.edu:8080/data/asl-ftp/asllvd/demos/verify_start_end_handshape_annotations//test_auto_move//signs_mov_separ_signers/Naomi_15169.mov","MOV")</f>
        <v>21</v>
      </c>
    </row>
    <row r="4418" s="2" customFormat="1" ht="13.5" customHeight="1">
      <c r="B4418" s="13"/>
      <c r="C4418" t="s" s="9">
        <v>30</v>
      </c>
      <c r="D4418" t="s" s="8">
        <v>1506</v>
      </c>
      <c r="E4418" t="s" s="9">
        <v>1506</v>
      </c>
      <c r="F4418" t="s" s="10">
        <v>282</v>
      </c>
      <c r="G4418" t="s" s="11">
        <v>73</v>
      </c>
      <c r="H4418" t="s" s="10">
        <v>282</v>
      </c>
      <c r="I4418" t="s" s="11">
        <v>73</v>
      </c>
      <c r="J4418" t="s" s="11">
        <v>20</v>
      </c>
      <c r="K4418" s="15"/>
      <c r="L4418" t="s" s="16">
        <f>HYPERLINK("http://csr.bu.edu/ftp/asl/asllvd/demos/verify_start_end_handshape_annotations//test_auto_move//signs_mov_separ_signers/Brady_15169.mov","MOV")</f>
        <v>21</v>
      </c>
      <c r="M4418" t="s" s="10">
        <v>39</v>
      </c>
      <c r="N4418" s="17">
        <v>20</v>
      </c>
      <c r="O4418" s="18">
        <v>4051</v>
      </c>
      <c r="P4418" s="18">
        <v>4072</v>
      </c>
      <c r="Q4418" s="15"/>
      <c r="R4418" t="s" s="16">
        <f>HYPERLINK("http://secrets.rutgers.edu:8080/data/asl-ftp/asllvd/demos/verify_start_end_handshape_annotations//test_auto_move//signs_mov_separ_signers/Brady_15169.mov","MOV")</f>
        <v>21</v>
      </c>
    </row>
    <row r="4419" s="2" customFormat="1" ht="13.5" customHeight="1">
      <c r="B4419" t="s" s="8">
        <v>1507</v>
      </c>
      <c r="C4419" t="s" s="9">
        <v>14</v>
      </c>
      <c r="D4419" t="s" s="8">
        <v>14</v>
      </c>
      <c r="E4419" t="s" s="9">
        <v>14</v>
      </c>
      <c r="F4419" t="s" s="10">
        <v>14</v>
      </c>
      <c r="G4419" t="s" s="11">
        <v>14</v>
      </c>
      <c r="H4419" t="s" s="10">
        <v>14</v>
      </c>
      <c r="I4419" t="s" s="11">
        <v>14</v>
      </c>
      <c r="J4419" t="s" s="11">
        <v>14</v>
      </c>
      <c r="K4419" t="s" s="12">
        <v>14</v>
      </c>
      <c r="L4419" t="s" s="12">
        <v>14</v>
      </c>
      <c r="M4419" t="s" s="10">
        <v>14</v>
      </c>
      <c r="N4419" t="s" s="11">
        <v>14</v>
      </c>
      <c r="O4419" t="s" s="8">
        <v>14</v>
      </c>
      <c r="P4419" t="s" s="8">
        <v>14</v>
      </c>
      <c r="Q4419" t="s" s="12">
        <v>14</v>
      </c>
      <c r="R4419" t="s" s="12">
        <v>14</v>
      </c>
    </row>
    <row r="4420" s="2" customFormat="1" ht="13.5" customHeight="1">
      <c r="B4420" s="13"/>
      <c r="C4420" t="s" s="9">
        <v>27</v>
      </c>
      <c r="D4420" t="s" s="8">
        <v>1507</v>
      </c>
      <c r="E4420" t="s" s="9">
        <v>1507</v>
      </c>
      <c r="F4420" t="s" s="10">
        <v>437</v>
      </c>
      <c r="G4420" s="17">
        <v>5</v>
      </c>
      <c r="H4420" t="s" s="10">
        <v>282</v>
      </c>
      <c r="I4420" s="17">
        <v>5</v>
      </c>
      <c r="J4420" t="s" s="11">
        <v>20</v>
      </c>
      <c r="K4420" t="s" s="16">
        <f>HYPERLINK("http://csr.bu.edu/ftp/asl/asllvd/demos/verify_start_end_handshape_annotations//test_auto_move//signs_mov/16047.mov","MOV")</f>
        <v>21</v>
      </c>
      <c r="L4420" t="s" s="16">
        <f>HYPERLINK("http://csr.bu.edu/ftp/asl/asllvd/demos/verify_start_end_handshape_annotations//test_auto_move//signs_mov_separ_signers/Naomi_16047.mov","MOV")</f>
        <v>21</v>
      </c>
      <c r="M4420" t="s" s="10">
        <v>29</v>
      </c>
      <c r="N4420" s="17">
        <v>13</v>
      </c>
      <c r="O4420" s="18">
        <v>545</v>
      </c>
      <c r="P4420" s="18">
        <v>572</v>
      </c>
      <c r="Q4420" t="s" s="16">
        <f>HYPERLINK("http://secrets.rutgers.edu:8080/data/asl-ftp/asllvd/demos/verify_start_end_handshape_annotations//test_auto_move//signs_mov/16047.mov","MOV")</f>
        <v>21</v>
      </c>
      <c r="R4420" t="s" s="16">
        <f>HYPERLINK("http://secrets.rutgers.edu:8080/data/asl-ftp/asllvd/demos/verify_start_end_handshape_annotations//test_auto_move//signs_mov_separ_signers/Naomi_16047.mov","MOV")</f>
        <v>21</v>
      </c>
    </row>
    <row r="4421" s="2" customFormat="1" ht="13.5" customHeight="1">
      <c r="B4421" t="s" s="8">
        <v>1508</v>
      </c>
      <c r="C4421" t="s" s="9">
        <v>14</v>
      </c>
      <c r="D4421" t="s" s="8">
        <v>14</v>
      </c>
      <c r="E4421" t="s" s="9">
        <v>14</v>
      </c>
      <c r="F4421" t="s" s="10">
        <v>14</v>
      </c>
      <c r="G4421" t="s" s="11">
        <v>14</v>
      </c>
      <c r="H4421" t="s" s="10">
        <v>14</v>
      </c>
      <c r="I4421" t="s" s="11">
        <v>14</v>
      </c>
      <c r="J4421" t="s" s="11">
        <v>14</v>
      </c>
      <c r="K4421" t="s" s="12">
        <v>14</v>
      </c>
      <c r="L4421" t="s" s="12">
        <v>14</v>
      </c>
      <c r="M4421" t="s" s="10">
        <v>14</v>
      </c>
      <c r="N4421" t="s" s="11">
        <v>14</v>
      </c>
      <c r="O4421" t="s" s="8">
        <v>14</v>
      </c>
      <c r="P4421" t="s" s="8">
        <v>14</v>
      </c>
      <c r="Q4421" t="s" s="12">
        <v>14</v>
      </c>
      <c r="R4421" t="s" s="12">
        <v>14</v>
      </c>
    </row>
    <row r="4422" s="2" customFormat="1" ht="13.5" customHeight="1">
      <c r="B4422" s="13"/>
      <c r="C4422" t="s" s="9">
        <v>23</v>
      </c>
      <c r="D4422" t="s" s="8">
        <v>1508</v>
      </c>
      <c r="E4422" t="s" s="9">
        <v>1508</v>
      </c>
      <c r="F4422" t="s" s="10">
        <v>72</v>
      </c>
      <c r="G4422" t="s" s="11">
        <v>72</v>
      </c>
      <c r="H4422" t="s" s="10">
        <v>72</v>
      </c>
      <c r="I4422" t="s" s="11">
        <v>72</v>
      </c>
      <c r="J4422" t="s" s="11">
        <v>20</v>
      </c>
      <c r="K4422" s="15"/>
      <c r="L4422" t="s" s="16">
        <f>HYPERLINK("http://csr.bu.edu/ftp/asl/asllvd/demos/verify_start_end_handshape_annotations//test_auto_move//signs_mov_separ_signers/Tyler_947.mov","MOV")</f>
        <v>21</v>
      </c>
      <c r="M4422" t="s" s="10">
        <v>92</v>
      </c>
      <c r="N4422" s="17">
        <v>25</v>
      </c>
      <c r="O4422" s="18">
        <v>2452</v>
      </c>
      <c r="P4422" s="18">
        <v>2485</v>
      </c>
      <c r="Q4422" s="15"/>
      <c r="R4422" t="s" s="16">
        <f>HYPERLINK("http://secrets.rutgers.edu:8080/data/asl-ftp/asllvd/demos/verify_start_end_handshape_annotations//test_auto_move//signs_mov_separ_signers/Tyler_947.mov","MOV")</f>
        <v>21</v>
      </c>
    </row>
    <row r="4423" s="2" customFormat="1" ht="13.5" customHeight="1">
      <c r="B4423" s="13"/>
      <c r="C4423" t="s" s="9">
        <v>27</v>
      </c>
      <c r="D4423" t="s" s="8">
        <v>1508</v>
      </c>
      <c r="E4423" t="s" s="9">
        <v>1508</v>
      </c>
      <c r="F4423" t="s" s="10">
        <v>72</v>
      </c>
      <c r="G4423" t="s" s="11">
        <v>72</v>
      </c>
      <c r="H4423" t="s" s="10">
        <v>72</v>
      </c>
      <c r="I4423" t="s" s="11">
        <v>72</v>
      </c>
      <c r="J4423" t="s" s="11">
        <v>20</v>
      </c>
      <c r="K4423" t="s" s="16">
        <f>HYPERLINK("http://csr.bu.edu/ftp/asl/asllvd/demos/verify_start_end_handshape_annotations//test_auto_move//signs_mov/947.mov","MOV")</f>
        <v>21</v>
      </c>
      <c r="L4423" t="s" s="16">
        <f>HYPERLINK("http://csr.bu.edu/ftp/asl/asllvd/demos/verify_start_end_handshape_annotations//test_auto_move//signs_mov_separ_signers/Naomi_947.mov","MOV")</f>
        <v>21</v>
      </c>
      <c r="M4423" t="s" s="10">
        <v>86</v>
      </c>
      <c r="N4423" s="17">
        <v>45</v>
      </c>
      <c r="O4423" s="18">
        <v>2495</v>
      </c>
      <c r="P4423" s="18">
        <v>2525</v>
      </c>
      <c r="Q4423" t="s" s="16">
        <f>HYPERLINK("http://secrets.rutgers.edu:8080/data/asl-ftp/asllvd/demos/verify_start_end_handshape_annotations//test_auto_move//signs_mov/947.mov","MOV")</f>
        <v>21</v>
      </c>
      <c r="R4423" t="s" s="16">
        <f>HYPERLINK("http://secrets.rutgers.edu:8080/data/asl-ftp/asllvd/demos/verify_start_end_handshape_annotations//test_auto_move//signs_mov_separ_signers/Naomi_947.mov","MOV")</f>
        <v>21</v>
      </c>
    </row>
    <row r="4424" s="2" customFormat="1" ht="13.5" customHeight="1">
      <c r="B4424" s="13"/>
      <c r="C4424" t="s" s="9">
        <v>30</v>
      </c>
      <c r="D4424" t="s" s="8">
        <v>1508</v>
      </c>
      <c r="E4424" t="s" s="9">
        <v>1508</v>
      </c>
      <c r="F4424" t="s" s="10">
        <v>187</v>
      </c>
      <c r="G4424" t="s" s="11">
        <v>187</v>
      </c>
      <c r="H4424" t="s" s="10">
        <v>187</v>
      </c>
      <c r="I4424" t="s" s="11">
        <v>72</v>
      </c>
      <c r="J4424" t="s" s="11">
        <v>20</v>
      </c>
      <c r="K4424" s="15"/>
      <c r="L4424" t="s" s="16">
        <f>HYPERLINK("http://csr.bu.edu/ftp/asl/asllvd/demos/verify_start_end_handshape_annotations//test_auto_move//signs_mov_separ_signers/Brady_947.mov","MOV")</f>
        <v>21</v>
      </c>
      <c r="M4424" t="s" s="10">
        <v>60</v>
      </c>
      <c r="N4424" s="17">
        <v>12</v>
      </c>
      <c r="O4424" s="18">
        <v>667</v>
      </c>
      <c r="P4424" s="18">
        <v>715</v>
      </c>
      <c r="Q4424" s="15"/>
      <c r="R4424" t="s" s="16">
        <f>HYPERLINK("http://secrets.rutgers.edu:8080/data/asl-ftp/asllvd/demos/verify_start_end_handshape_annotations//test_auto_move//signs_mov_separ_signers/Brady_947.mov","MOV")</f>
        <v>21</v>
      </c>
    </row>
    <row r="4425" s="2" customFormat="1" ht="13.5" customHeight="1">
      <c r="B4425" t="s" s="8">
        <v>52</v>
      </c>
      <c r="C4425" t="s" s="9">
        <v>53</v>
      </c>
      <c r="D4425" t="s" s="8">
        <v>53</v>
      </c>
      <c r="E4425" t="s" s="9">
        <v>53</v>
      </c>
      <c r="F4425" t="s" s="10">
        <v>53</v>
      </c>
      <c r="G4425" t="s" s="11">
        <v>53</v>
      </c>
      <c r="H4425" t="s" s="10">
        <v>53</v>
      </c>
      <c r="I4425" t="s" s="11">
        <v>53</v>
      </c>
      <c r="J4425" t="s" s="11">
        <v>53</v>
      </c>
      <c r="K4425" t="s" s="12">
        <v>53</v>
      </c>
      <c r="L4425" t="s" s="12">
        <v>53</v>
      </c>
      <c r="M4425" t="s" s="10">
        <v>53</v>
      </c>
      <c r="N4425" t="s" s="11">
        <v>53</v>
      </c>
      <c r="O4425" t="s" s="8">
        <v>53</v>
      </c>
      <c r="P4425" t="s" s="8">
        <v>53</v>
      </c>
      <c r="Q4425" t="s" s="12">
        <v>53</v>
      </c>
      <c r="R4425" t="s" s="12">
        <v>53</v>
      </c>
    </row>
    <row r="4426" s="2" customFormat="1" ht="13.5" customHeight="1">
      <c r="B4426" s="13"/>
      <c r="C4426" t="s" s="9">
        <v>16</v>
      </c>
      <c r="D4426" t="s" s="8">
        <v>1508</v>
      </c>
      <c r="E4426" t="s" s="9">
        <v>1509</v>
      </c>
      <c r="F4426" t="s" s="10">
        <v>72</v>
      </c>
      <c r="G4426" t="s" s="11">
        <v>72</v>
      </c>
      <c r="H4426" t="s" s="10">
        <v>72</v>
      </c>
      <c r="I4426" t="s" s="11">
        <v>72</v>
      </c>
      <c r="J4426" t="s" s="11">
        <v>20</v>
      </c>
      <c r="K4426" t="s" s="16">
        <f>HYPERLINK("http://csr.bu.edu/ftp/asl/asllvd/demos/verify_start_end_handshape_annotations//test_auto_move//signs_mov/16300.mov","MOV")</f>
        <v>21</v>
      </c>
      <c r="L4426" t="s" s="16">
        <f>HYPERLINK("http://csr.bu.edu/ftp/asl/asllvd/demos/verify_start_end_handshape_annotations//test_auto_move//signs_mov_separ_signers/Liz_16300.mov","MOV")</f>
        <v>21</v>
      </c>
      <c r="M4426" t="s" s="10">
        <v>84</v>
      </c>
      <c r="N4426" s="17">
        <v>45</v>
      </c>
      <c r="O4426" s="18">
        <v>2135</v>
      </c>
      <c r="P4426" s="18">
        <v>2175</v>
      </c>
      <c r="Q4426" t="s" s="16">
        <f>HYPERLINK("http://secrets.rutgers.edu:8080/data/asl-ftp/asllvd/demos/verify_start_end_handshape_annotations//test_auto_move//signs_mov/16300.mov","MOV")</f>
        <v>21</v>
      </c>
      <c r="R4426" t="s" s="16">
        <f>HYPERLINK("http://secrets.rutgers.edu:8080/data/asl-ftp/asllvd/demos/verify_start_end_handshape_annotations//test_auto_move//signs_mov_separ_signers/Liz_16300.mov","MOV")</f>
        <v>21</v>
      </c>
    </row>
    <row r="4427" s="2" customFormat="1" ht="13.5" customHeight="1">
      <c r="B4427" s="13"/>
      <c r="C4427" t="s" s="9">
        <v>30</v>
      </c>
      <c r="D4427" t="s" s="8">
        <v>1508</v>
      </c>
      <c r="E4427" t="s" s="9">
        <v>1509</v>
      </c>
      <c r="F4427" t="s" s="10">
        <v>72</v>
      </c>
      <c r="G4427" t="s" s="11">
        <v>72</v>
      </c>
      <c r="H4427" t="s" s="10">
        <v>72</v>
      </c>
      <c r="I4427" t="s" s="11">
        <v>72</v>
      </c>
      <c r="J4427" t="s" s="11">
        <v>20</v>
      </c>
      <c r="K4427" s="15"/>
      <c r="L4427" t="s" s="16">
        <f>HYPERLINK("http://csr.bu.edu/ftp/asl/asllvd/demos/verify_start_end_handshape_annotations//test_auto_move//signs_mov_separ_signers/Brady_16300.mov","MOV")</f>
        <v>21</v>
      </c>
      <c r="M4427" t="s" s="10">
        <v>39</v>
      </c>
      <c r="N4427" s="17">
        <v>20</v>
      </c>
      <c r="O4427" s="18">
        <v>4314</v>
      </c>
      <c r="P4427" s="18">
        <v>4345</v>
      </c>
      <c r="Q4427" s="15"/>
      <c r="R4427" t="s" s="16">
        <f>HYPERLINK("http://secrets.rutgers.edu:8080/data/asl-ftp/asllvd/demos/verify_start_end_handshape_annotations//test_auto_move//signs_mov_separ_signers/Brady_16300.mov","MOV")</f>
        <v>21</v>
      </c>
    </row>
    <row r="4428" s="2" customFormat="1" ht="13.5" customHeight="1">
      <c r="B4428" t="s" s="8">
        <v>1510</v>
      </c>
      <c r="C4428" t="s" s="9">
        <v>14</v>
      </c>
      <c r="D4428" t="s" s="8">
        <v>14</v>
      </c>
      <c r="E4428" t="s" s="9">
        <v>14</v>
      </c>
      <c r="F4428" t="s" s="10">
        <v>14</v>
      </c>
      <c r="G4428" t="s" s="11">
        <v>14</v>
      </c>
      <c r="H4428" t="s" s="10">
        <v>14</v>
      </c>
      <c r="I4428" t="s" s="11">
        <v>14</v>
      </c>
      <c r="J4428" t="s" s="11">
        <v>14</v>
      </c>
      <c r="K4428" t="s" s="12">
        <v>14</v>
      </c>
      <c r="L4428" t="s" s="12">
        <v>14</v>
      </c>
      <c r="M4428" t="s" s="10">
        <v>14</v>
      </c>
      <c r="N4428" t="s" s="11">
        <v>14</v>
      </c>
      <c r="O4428" t="s" s="8">
        <v>14</v>
      </c>
      <c r="P4428" t="s" s="8">
        <v>14</v>
      </c>
      <c r="Q4428" t="s" s="12">
        <v>14</v>
      </c>
      <c r="R4428" t="s" s="12">
        <v>14</v>
      </c>
    </row>
    <row r="4429" s="2" customFormat="1" ht="13.5" customHeight="1">
      <c r="B4429" s="13"/>
      <c r="C4429" t="s" s="9">
        <v>16</v>
      </c>
      <c r="D4429" t="s" s="8">
        <v>1510</v>
      </c>
      <c r="E4429" t="s" s="9">
        <v>1510</v>
      </c>
      <c r="F4429" t="s" s="10">
        <v>255</v>
      </c>
      <c r="G4429" t="s" s="11">
        <v>255</v>
      </c>
      <c r="H4429" t="s" s="10">
        <v>255</v>
      </c>
      <c r="I4429" t="s" s="11">
        <v>255</v>
      </c>
      <c r="J4429" t="s" s="11">
        <v>20</v>
      </c>
      <c r="K4429" t="s" s="16">
        <f>HYPERLINK("http://csr.bu.edu/ftp/asl/asllvd/demos/verify_start_end_handshape_annotations//test_auto_move//signs_mov/948.mov","MOV")</f>
        <v>21</v>
      </c>
      <c r="L4429" t="s" s="16">
        <f>HYPERLINK("http://csr.bu.edu/ftp/asl/asllvd/demos/verify_start_end_handshape_annotations//test_auto_move//signs_mov_separ_signers/Liz_948.mov","MOV")</f>
        <v>21</v>
      </c>
      <c r="M4429" t="s" s="10">
        <v>84</v>
      </c>
      <c r="N4429" s="17">
        <v>45</v>
      </c>
      <c r="O4429" s="18">
        <v>2370</v>
      </c>
      <c r="P4429" s="18">
        <v>2437</v>
      </c>
      <c r="Q4429" t="s" s="16">
        <f>HYPERLINK("http://secrets.rutgers.edu:8080/data/asl-ftp/asllvd/demos/verify_start_end_handshape_annotations//test_auto_move//signs_mov/948.mov","MOV")</f>
        <v>21</v>
      </c>
      <c r="R4429" t="s" s="16">
        <f>HYPERLINK("http://secrets.rutgers.edu:8080/data/asl-ftp/asllvd/demos/verify_start_end_handshape_annotations//test_auto_move//signs_mov_separ_signers/Liz_948.mov","MOV")</f>
        <v>21</v>
      </c>
    </row>
    <row r="4430" s="2" customFormat="1" ht="13.5" customHeight="1">
      <c r="B4430" s="13"/>
      <c r="C4430" t="s" s="9">
        <v>27</v>
      </c>
      <c r="D4430" t="s" s="8">
        <v>1510</v>
      </c>
      <c r="E4430" t="s" s="9">
        <v>1510</v>
      </c>
      <c r="F4430" t="s" s="10">
        <v>65</v>
      </c>
      <c r="G4430" t="s" s="11">
        <v>65</v>
      </c>
      <c r="H4430" t="s" s="10">
        <v>65</v>
      </c>
      <c r="I4430" t="s" s="11">
        <v>65</v>
      </c>
      <c r="J4430" t="s" s="11">
        <v>20</v>
      </c>
      <c r="K4430" s="15"/>
      <c r="L4430" t="s" s="16">
        <f>HYPERLINK("http://csr.bu.edu/ftp/asl/asllvd/demos/verify_start_end_handshape_annotations//test_auto_move//signs_mov_separ_signers/Naomi_948.mov","MOV")</f>
        <v>21</v>
      </c>
      <c r="M4430" t="s" s="10">
        <v>86</v>
      </c>
      <c r="N4430" s="17">
        <v>45</v>
      </c>
      <c r="O4430" s="18">
        <v>2810</v>
      </c>
      <c r="P4430" s="18">
        <v>2872</v>
      </c>
      <c r="Q4430" s="15"/>
      <c r="R4430" t="s" s="16">
        <f>HYPERLINK("http://secrets.rutgers.edu:8080/data/asl-ftp/asllvd/demos/verify_start_end_handshape_annotations//test_auto_move//signs_mov_separ_signers/Naomi_948.mov","MOV")</f>
        <v>21</v>
      </c>
    </row>
    <row r="4431" s="2" customFormat="1" ht="13.5" customHeight="1">
      <c r="B4431" t="s" s="8">
        <v>1511</v>
      </c>
      <c r="C4431" t="s" s="9">
        <v>14</v>
      </c>
      <c r="D4431" t="s" s="8">
        <v>14</v>
      </c>
      <c r="E4431" t="s" s="9">
        <v>14</v>
      </c>
      <c r="F4431" t="s" s="10">
        <v>14</v>
      </c>
      <c r="G4431" t="s" s="11">
        <v>14</v>
      </c>
      <c r="H4431" t="s" s="10">
        <v>14</v>
      </c>
      <c r="I4431" t="s" s="11">
        <v>14</v>
      </c>
      <c r="J4431" t="s" s="11">
        <v>14</v>
      </c>
      <c r="K4431" t="s" s="12">
        <v>14</v>
      </c>
      <c r="L4431" t="s" s="12">
        <v>14</v>
      </c>
      <c r="M4431" t="s" s="10">
        <v>14</v>
      </c>
      <c r="N4431" t="s" s="11">
        <v>14</v>
      </c>
      <c r="O4431" t="s" s="8">
        <v>14</v>
      </c>
      <c r="P4431" t="s" s="8">
        <v>14</v>
      </c>
      <c r="Q4431" t="s" s="12">
        <v>14</v>
      </c>
      <c r="R4431" t="s" s="12">
        <v>14</v>
      </c>
    </row>
    <row r="4432" s="2" customFormat="1" ht="13.5" customHeight="1">
      <c r="B4432" s="13"/>
      <c r="C4432" t="s" s="9">
        <v>23</v>
      </c>
      <c r="D4432" t="s" s="8">
        <v>1511</v>
      </c>
      <c r="E4432" t="s" s="9">
        <v>1511</v>
      </c>
      <c r="F4432" t="s" s="10">
        <v>73</v>
      </c>
      <c r="G4432" t="s" s="11">
        <v>73</v>
      </c>
      <c r="H4432" t="s" s="10">
        <v>80</v>
      </c>
      <c r="I4432" t="s" s="11">
        <v>80</v>
      </c>
      <c r="J4432" t="s" s="11">
        <v>20</v>
      </c>
      <c r="K4432" t="s" s="16">
        <f>HYPERLINK("http://csr.bu.edu/ftp/asl/asllvd/demos/verify_start_end_handshape_annotations//test_auto_move//signs_mov/950.mov","MOV")</f>
        <v>21</v>
      </c>
      <c r="L4432" t="s" s="16">
        <f>HYPERLINK("http://csr.bu.edu/ftp/asl/asllvd/demos/verify_start_end_handshape_annotations//test_auto_move//signs_mov_separ_signers/Tyler_950.mov","MOV")</f>
        <v>21</v>
      </c>
      <c r="M4432" t="s" s="10">
        <v>92</v>
      </c>
      <c r="N4432" s="17">
        <v>25</v>
      </c>
      <c r="O4432" s="18">
        <v>3432</v>
      </c>
      <c r="P4432" s="18">
        <v>3470</v>
      </c>
      <c r="Q4432" t="s" s="16">
        <f>HYPERLINK("http://secrets.rutgers.edu:8080/data/asl-ftp/asllvd/demos/verify_start_end_handshape_annotations//test_auto_move//signs_mov/950.mov","MOV")</f>
        <v>21</v>
      </c>
      <c r="R4432" t="s" s="16">
        <f>HYPERLINK("http://secrets.rutgers.edu:8080/data/asl-ftp/asllvd/demos/verify_start_end_handshape_annotations//test_auto_move//signs_mov_separ_signers/Tyler_950.mov","MOV")</f>
        <v>21</v>
      </c>
    </row>
    <row r="4433" s="2" customFormat="1" ht="13.5" customHeight="1">
      <c r="B4433" t="s" s="8">
        <v>1512</v>
      </c>
      <c r="C4433" t="s" s="9">
        <v>14</v>
      </c>
      <c r="D4433" t="s" s="8">
        <v>14</v>
      </c>
      <c r="E4433" t="s" s="9">
        <v>14</v>
      </c>
      <c r="F4433" t="s" s="10">
        <v>14</v>
      </c>
      <c r="G4433" t="s" s="11">
        <v>14</v>
      </c>
      <c r="H4433" t="s" s="10">
        <v>14</v>
      </c>
      <c r="I4433" t="s" s="11">
        <v>14</v>
      </c>
      <c r="J4433" t="s" s="11">
        <v>14</v>
      </c>
      <c r="K4433" t="s" s="12">
        <v>14</v>
      </c>
      <c r="L4433" t="s" s="12">
        <v>14</v>
      </c>
      <c r="M4433" t="s" s="10">
        <v>14</v>
      </c>
      <c r="N4433" t="s" s="11">
        <v>14</v>
      </c>
      <c r="O4433" t="s" s="8">
        <v>14</v>
      </c>
      <c r="P4433" t="s" s="8">
        <v>14</v>
      </c>
      <c r="Q4433" t="s" s="12">
        <v>14</v>
      </c>
      <c r="R4433" t="s" s="12">
        <v>14</v>
      </c>
    </row>
    <row r="4434" s="2" customFormat="1" ht="13.5" customHeight="1">
      <c r="B4434" s="13"/>
      <c r="C4434" t="s" s="9">
        <v>16</v>
      </c>
      <c r="D4434" t="s" s="8">
        <v>1512</v>
      </c>
      <c r="E4434" t="s" s="9">
        <v>1513</v>
      </c>
      <c r="F4434" t="s" s="10">
        <v>80</v>
      </c>
      <c r="G4434" t="s" s="11">
        <v>80</v>
      </c>
      <c r="H4434" t="s" s="10">
        <v>80</v>
      </c>
      <c r="I4434" t="s" s="11">
        <v>80</v>
      </c>
      <c r="J4434" t="s" s="11">
        <v>20</v>
      </c>
      <c r="K4434" s="15"/>
      <c r="L4434" t="s" s="16">
        <f>HYPERLINK("http://csr.bu.edu/ftp/asl/asllvd/demos/verify_start_end_handshape_annotations//test_auto_move//signs_mov_separ_signers/Liz_15353.mov","MOV")</f>
        <v>21</v>
      </c>
      <c r="M4434" t="s" s="10">
        <v>22</v>
      </c>
      <c r="N4434" s="17">
        <v>14</v>
      </c>
      <c r="O4434" s="18">
        <v>1195</v>
      </c>
      <c r="P4434" s="18">
        <v>1235</v>
      </c>
      <c r="Q4434" s="15"/>
      <c r="R4434" t="s" s="16">
        <f>HYPERLINK("http://secrets.rutgers.edu:8080/data/asl-ftp/asllvd/demos/verify_start_end_handshape_annotations//test_auto_move//signs_mov_separ_signers/Liz_15353.mov","MOV")</f>
        <v>21</v>
      </c>
    </row>
    <row r="4435" s="2" customFormat="1" ht="13.5" customHeight="1">
      <c r="B4435" s="13"/>
      <c r="C4435" t="s" s="9">
        <v>16</v>
      </c>
      <c r="D4435" t="s" s="8">
        <v>1512</v>
      </c>
      <c r="E4435" t="s" s="9">
        <v>1513</v>
      </c>
      <c r="F4435" t="s" s="10">
        <v>80</v>
      </c>
      <c r="G4435" t="s" s="11">
        <v>80</v>
      </c>
      <c r="H4435" t="s" s="10">
        <v>73</v>
      </c>
      <c r="I4435" t="s" s="11">
        <v>73</v>
      </c>
      <c r="J4435" t="s" s="11">
        <v>20</v>
      </c>
      <c r="K4435" s="15"/>
      <c r="L4435" t="s" s="16">
        <f>HYPERLINK("http://csr.bu.edu/ftp/asl/asllvd/demos/verify_start_end_handshape_annotations//test_auto_move//signs_mov_separ_signers/Liz_16367.mov","MOV")</f>
        <v>21</v>
      </c>
      <c r="M4435" t="s" s="10">
        <v>84</v>
      </c>
      <c r="N4435" s="17">
        <v>46</v>
      </c>
      <c r="O4435" s="18">
        <v>400</v>
      </c>
      <c r="P4435" s="18">
        <v>485</v>
      </c>
      <c r="Q4435" s="15"/>
      <c r="R4435" t="s" s="16">
        <f>HYPERLINK("http://secrets.rutgers.edu:8080/data/asl-ftp/asllvd/demos/verify_start_end_handshape_annotations//test_auto_move//signs_mov_separ_signers/Liz_16367.mov","MOV")</f>
        <v>21</v>
      </c>
    </row>
    <row r="4436" s="2" customFormat="1" ht="13.5" customHeight="1">
      <c r="B4436" s="13"/>
      <c r="C4436" t="s" s="9">
        <v>23</v>
      </c>
      <c r="D4436" t="s" s="8">
        <v>1512</v>
      </c>
      <c r="E4436" t="s" s="9">
        <v>1513</v>
      </c>
      <c r="F4436" t="s" s="10">
        <v>80</v>
      </c>
      <c r="G4436" t="s" s="11">
        <v>80</v>
      </c>
      <c r="H4436" t="s" s="10">
        <v>80</v>
      </c>
      <c r="I4436" t="s" s="11">
        <v>80</v>
      </c>
      <c r="J4436" t="s" s="11">
        <v>20</v>
      </c>
      <c r="K4436" s="15"/>
      <c r="L4436" t="s" s="16">
        <f>HYPERLINK("http://csr.bu.edu/ftp/asl/asllvd/demos/verify_start_end_handshape_annotations//test_auto_move//signs_mov_separ_signers/Tyler_15353.mov","MOV")</f>
        <v>21</v>
      </c>
      <c r="M4436" t="s" s="10">
        <v>26</v>
      </c>
      <c r="N4436" s="17">
        <v>11</v>
      </c>
      <c r="O4436" s="18">
        <v>1760</v>
      </c>
      <c r="P4436" s="18">
        <v>1790</v>
      </c>
      <c r="Q4436" s="15"/>
      <c r="R4436" t="s" s="16">
        <f>HYPERLINK("http://secrets.rutgers.edu:8080/data/asl-ftp/asllvd/demos/verify_start_end_handshape_annotations//test_auto_move//signs_mov_separ_signers/Tyler_15353.mov","MOV")</f>
        <v>21</v>
      </c>
    </row>
    <row r="4437" s="2" customFormat="1" ht="13.5" customHeight="1">
      <c r="B4437" s="13"/>
      <c r="C4437" t="s" s="9">
        <v>27</v>
      </c>
      <c r="D4437" t="s" s="8">
        <v>1512</v>
      </c>
      <c r="E4437" t="s" s="9">
        <v>1513</v>
      </c>
      <c r="F4437" t="s" s="10">
        <v>80</v>
      </c>
      <c r="G4437" t="s" s="11">
        <v>80</v>
      </c>
      <c r="H4437" t="s" s="10">
        <v>73</v>
      </c>
      <c r="I4437" t="s" s="11">
        <v>73</v>
      </c>
      <c r="J4437" t="s" s="11">
        <v>20</v>
      </c>
      <c r="K4437" t="s" s="16">
        <f>HYPERLINK("http://csr.bu.edu/ftp/asl/asllvd/demos/verify_start_end_handshape_annotations//test_auto_move//signs_mov/15353_16367_merged.mov","MOV")</f>
        <v>21</v>
      </c>
      <c r="L4437" t="s" s="16">
        <f>HYPERLINK("http://csr.bu.edu/ftp/asl/asllvd/demos/verify_start_end_handshape_annotations//test_auto_move//signs_mov_separ_signers/Naomi_15353.mov","MOV")</f>
        <v>21</v>
      </c>
      <c r="M4437" t="s" s="10">
        <v>29</v>
      </c>
      <c r="N4437" s="17">
        <v>10</v>
      </c>
      <c r="O4437" s="18">
        <v>2048</v>
      </c>
      <c r="P4437" s="18">
        <v>2082</v>
      </c>
      <c r="Q4437" t="s" s="16">
        <f>HYPERLINK("http://secrets.rutgers.edu:8080/data/asl-ftp/asllvd/demos/verify_start_end_handshape_annotations//test_auto_move//signs_mov/15353_16367_merged.mov","MOV")</f>
        <v>21</v>
      </c>
      <c r="R4437" t="s" s="16">
        <f>HYPERLINK("http://secrets.rutgers.edu:8080/data/asl-ftp/asllvd/demos/verify_start_end_handshape_annotations//test_auto_move//signs_mov_separ_signers/Naomi_15353.mov","MOV")</f>
        <v>21</v>
      </c>
    </row>
    <row r="4438" s="2" customFormat="1" ht="13.5" customHeight="1">
      <c r="B4438" s="13"/>
      <c r="C4438" t="s" s="9">
        <v>27</v>
      </c>
      <c r="D4438" t="s" s="8">
        <v>1512</v>
      </c>
      <c r="E4438" t="s" s="9">
        <v>1513</v>
      </c>
      <c r="F4438" t="s" s="10">
        <v>150</v>
      </c>
      <c r="G4438" t="s" s="11">
        <v>150</v>
      </c>
      <c r="H4438" t="s" s="10">
        <v>73</v>
      </c>
      <c r="I4438" t="s" s="11">
        <v>150</v>
      </c>
      <c r="J4438" t="s" s="11">
        <v>20</v>
      </c>
      <c r="K4438" s="15"/>
      <c r="L4438" t="s" s="16">
        <f>HYPERLINK("http://csr.bu.edu/ftp/asl/asllvd/demos/verify_start_end_handshape_annotations//test_auto_move//signs_mov_separ_signers/Naomi_16367.mov","MOV")</f>
        <v>21</v>
      </c>
      <c r="M4438" t="s" s="10">
        <v>86</v>
      </c>
      <c r="N4438" s="17">
        <v>45</v>
      </c>
      <c r="O4438" s="18">
        <v>3295</v>
      </c>
      <c r="P4438" s="18">
        <v>3337</v>
      </c>
      <c r="Q4438" s="15"/>
      <c r="R4438" t="s" s="16">
        <f>HYPERLINK("http://secrets.rutgers.edu:8080/data/asl-ftp/asllvd/demos/verify_start_end_handshape_annotations//test_auto_move//signs_mov_separ_signers/Naomi_16367.mov","MOV")</f>
        <v>21</v>
      </c>
    </row>
    <row r="4439" s="2" customFormat="1" ht="13.5" customHeight="1">
      <c r="B4439" s="13"/>
      <c r="C4439" t="s" s="9">
        <v>30</v>
      </c>
      <c r="D4439" t="s" s="8">
        <v>1512</v>
      </c>
      <c r="E4439" t="s" s="9">
        <v>1512</v>
      </c>
      <c r="F4439" t="s" s="10">
        <v>80</v>
      </c>
      <c r="G4439" t="s" s="11">
        <v>80</v>
      </c>
      <c r="H4439" t="s" s="10">
        <v>73</v>
      </c>
      <c r="I4439" t="s" s="11">
        <v>73</v>
      </c>
      <c r="J4439" t="s" s="11">
        <v>20</v>
      </c>
      <c r="K4439" s="15"/>
      <c r="L4439" t="s" s="16">
        <f>HYPERLINK("http://csr.bu.edu/ftp/asl/asllvd/demos/verify_start_end_handshape_annotations//test_auto_move//signs_mov_separ_signers/Brady_15353.mov","MOV")</f>
        <v>21</v>
      </c>
      <c r="M4439" t="s" s="10">
        <v>31</v>
      </c>
      <c r="N4439" s="17">
        <v>11</v>
      </c>
      <c r="O4439" s="18">
        <v>11033</v>
      </c>
      <c r="P4439" s="18">
        <v>11061</v>
      </c>
      <c r="Q4439" s="15"/>
      <c r="R4439" t="s" s="16">
        <f>HYPERLINK("http://secrets.rutgers.edu:8080/data/asl-ftp/asllvd/demos/verify_start_end_handshape_annotations//test_auto_move//signs_mov_separ_signers/Brady_15353.mov","MOV")</f>
        <v>21</v>
      </c>
    </row>
    <row r="4440" s="2" customFormat="1" ht="13.5" customHeight="1">
      <c r="B4440" s="13"/>
      <c r="C4440" t="s" s="9">
        <v>30</v>
      </c>
      <c r="D4440" t="s" s="8">
        <v>1512</v>
      </c>
      <c r="E4440" t="s" s="9">
        <v>1512</v>
      </c>
      <c r="F4440" t="s" s="10">
        <v>85</v>
      </c>
      <c r="G4440" t="s" s="11">
        <v>85</v>
      </c>
      <c r="H4440" t="s" s="10">
        <v>73</v>
      </c>
      <c r="I4440" t="s" s="11">
        <v>73</v>
      </c>
      <c r="J4440" t="s" s="11">
        <v>20</v>
      </c>
      <c r="K4440" s="15"/>
      <c r="L4440" t="s" s="16">
        <f>HYPERLINK("http://csr.bu.edu/ftp/asl/asllvd/demos/verify_start_end_handshape_annotations//test_auto_move//signs_mov_separ_signers/Brady_16367.mov","MOV")</f>
        <v>21</v>
      </c>
      <c r="M4440" t="s" s="10">
        <v>39</v>
      </c>
      <c r="N4440" s="17">
        <v>20</v>
      </c>
      <c r="O4440" s="18">
        <v>5430</v>
      </c>
      <c r="P4440" s="18">
        <v>5464</v>
      </c>
      <c r="Q4440" s="15"/>
      <c r="R4440" t="s" s="16">
        <f>HYPERLINK("http://secrets.rutgers.edu:8080/data/asl-ftp/asllvd/demos/verify_start_end_handshape_annotations//test_auto_move//signs_mov_separ_signers/Brady_16367.mov","MOV")</f>
        <v>21</v>
      </c>
    </row>
    <row r="4441" s="2" customFormat="1" ht="13.5" customHeight="1">
      <c r="B4441" t="s" s="8">
        <v>1514</v>
      </c>
      <c r="C4441" t="s" s="9">
        <v>14</v>
      </c>
      <c r="D4441" t="s" s="8">
        <v>14</v>
      </c>
      <c r="E4441" t="s" s="9">
        <v>14</v>
      </c>
      <c r="F4441" t="s" s="10">
        <v>14</v>
      </c>
      <c r="G4441" t="s" s="11">
        <v>14</v>
      </c>
      <c r="H4441" t="s" s="10">
        <v>14</v>
      </c>
      <c r="I4441" t="s" s="11">
        <v>14</v>
      </c>
      <c r="J4441" t="s" s="11">
        <v>14</v>
      </c>
      <c r="K4441" t="s" s="12">
        <v>14</v>
      </c>
      <c r="L4441" t="s" s="12">
        <v>14</v>
      </c>
      <c r="M4441" t="s" s="10">
        <v>14</v>
      </c>
      <c r="N4441" t="s" s="11">
        <v>14</v>
      </c>
      <c r="O4441" t="s" s="8">
        <v>14</v>
      </c>
      <c r="P4441" t="s" s="8">
        <v>14</v>
      </c>
      <c r="Q4441" t="s" s="12">
        <v>14</v>
      </c>
      <c r="R4441" t="s" s="12">
        <v>14</v>
      </c>
    </row>
    <row r="4442" s="2" customFormat="1" ht="13.5" customHeight="1">
      <c r="B4442" s="13"/>
      <c r="C4442" t="s" s="9">
        <v>16</v>
      </c>
      <c r="D4442" t="s" s="8">
        <v>1514</v>
      </c>
      <c r="E4442" t="s" s="9">
        <v>1514</v>
      </c>
      <c r="F4442" t="s" s="10">
        <v>268</v>
      </c>
      <c r="G4442" s="14"/>
      <c r="H4442" t="s" s="10">
        <v>268</v>
      </c>
      <c r="I4442" s="14"/>
      <c r="J4442" t="s" s="11">
        <v>20</v>
      </c>
      <c r="K4442" s="15"/>
      <c r="L4442" t="s" s="16">
        <f>HYPERLINK("http://csr.bu.edu/ftp/asl/asllvd/demos/verify_start_end_handshape_annotations//test_auto_move//signs_mov_separ_signers/Liz_958.mov","MOV")</f>
        <v>21</v>
      </c>
      <c r="M4442" t="s" s="10">
        <v>84</v>
      </c>
      <c r="N4442" s="17">
        <v>46</v>
      </c>
      <c r="O4442" s="18">
        <v>2635</v>
      </c>
      <c r="P4442" s="18">
        <v>2656</v>
      </c>
      <c r="Q4442" s="15"/>
      <c r="R4442" t="s" s="16">
        <f>HYPERLINK("http://secrets.rutgers.edu:8080/data/asl-ftp/asllvd/demos/verify_start_end_handshape_annotations//test_auto_move//signs_mov_separ_signers/Liz_958.mov","MOV")</f>
        <v>21</v>
      </c>
    </row>
    <row r="4443" s="2" customFormat="1" ht="13.5" customHeight="1">
      <c r="B4443" s="13"/>
      <c r="C4443" t="s" s="9">
        <v>27</v>
      </c>
      <c r="D4443" t="s" s="8">
        <v>1514</v>
      </c>
      <c r="E4443" t="s" s="9">
        <v>1514</v>
      </c>
      <c r="F4443" t="s" s="10">
        <v>268</v>
      </c>
      <c r="G4443" s="14"/>
      <c r="H4443" t="s" s="10">
        <v>268</v>
      </c>
      <c r="I4443" s="14"/>
      <c r="J4443" t="s" s="11">
        <v>20</v>
      </c>
      <c r="K4443" t="s" s="16">
        <f>HYPERLINK("http://csr.bu.edu/ftp/asl/asllvd/demos/verify_start_end_handshape_annotations//test_auto_move//signs_mov/958.mov","MOV")</f>
        <v>21</v>
      </c>
      <c r="L4443" t="s" s="16">
        <f>HYPERLINK("http://csr.bu.edu/ftp/asl/asllvd/demos/verify_start_end_handshape_annotations//test_auto_move//signs_mov_separ_signers/Naomi_958.mov","MOV")</f>
        <v>21</v>
      </c>
      <c r="M4443" t="s" s="10">
        <v>86</v>
      </c>
      <c r="N4443" s="17">
        <v>46</v>
      </c>
      <c r="O4443" s="18">
        <v>2675</v>
      </c>
      <c r="P4443" s="18">
        <v>2705</v>
      </c>
      <c r="Q4443" t="s" s="16">
        <f>HYPERLINK("http://secrets.rutgers.edu:8080/data/asl-ftp/asllvd/demos/verify_start_end_handshape_annotations//test_auto_move//signs_mov/958.mov","MOV")</f>
        <v>21</v>
      </c>
      <c r="R4443" t="s" s="16">
        <f>HYPERLINK("http://secrets.rutgers.edu:8080/data/asl-ftp/asllvd/demos/verify_start_end_handshape_annotations//test_auto_move//signs_mov_separ_signers/Naomi_958.mov","MOV")</f>
        <v>21</v>
      </c>
    </row>
    <row r="4444" s="2" customFormat="1" ht="13.5" customHeight="1">
      <c r="B4444" s="13"/>
      <c r="C4444" t="s" s="9">
        <v>30</v>
      </c>
      <c r="D4444" t="s" s="8">
        <v>1514</v>
      </c>
      <c r="E4444" t="s" s="9">
        <v>1514</v>
      </c>
      <c r="F4444" t="s" s="10">
        <v>68</v>
      </c>
      <c r="G4444" s="14"/>
      <c r="H4444" t="s" s="10">
        <v>268</v>
      </c>
      <c r="I4444" s="14"/>
      <c r="J4444" t="s" s="11">
        <v>20</v>
      </c>
      <c r="K4444" s="15"/>
      <c r="L4444" t="s" s="16">
        <f>HYPERLINK("http://csr.bu.edu/ftp/asl/asllvd/demos/verify_start_end_handshape_annotations//test_auto_move//signs_mov_separ_signers/Brady_958.mov","MOV")</f>
        <v>21</v>
      </c>
      <c r="M4444" t="s" s="10">
        <v>39</v>
      </c>
      <c r="N4444" s="17">
        <v>21</v>
      </c>
      <c r="O4444" s="18">
        <v>2801</v>
      </c>
      <c r="P4444" s="18">
        <v>2821</v>
      </c>
      <c r="Q4444" s="15"/>
      <c r="R4444" t="s" s="16">
        <f>HYPERLINK("http://secrets.rutgers.edu:8080/data/asl-ftp/asllvd/demos/verify_start_end_handshape_annotations//test_auto_move//signs_mov_separ_signers/Brady_958.mov","MOV")</f>
        <v>21</v>
      </c>
    </row>
    <row r="4445" s="2" customFormat="1" ht="13.5" customHeight="1">
      <c r="B4445" t="s" s="8">
        <v>52</v>
      </c>
      <c r="C4445" t="s" s="9">
        <v>53</v>
      </c>
      <c r="D4445" t="s" s="8">
        <v>53</v>
      </c>
      <c r="E4445" t="s" s="9">
        <v>53</v>
      </c>
      <c r="F4445" t="s" s="10">
        <v>53</v>
      </c>
      <c r="G4445" t="s" s="11">
        <v>53</v>
      </c>
      <c r="H4445" t="s" s="10">
        <v>53</v>
      </c>
      <c r="I4445" t="s" s="11">
        <v>53</v>
      </c>
      <c r="J4445" t="s" s="11">
        <v>53</v>
      </c>
      <c r="K4445" t="s" s="12">
        <v>53</v>
      </c>
      <c r="L4445" t="s" s="12">
        <v>53</v>
      </c>
      <c r="M4445" t="s" s="10">
        <v>53</v>
      </c>
      <c r="N4445" t="s" s="11">
        <v>53</v>
      </c>
      <c r="O4445" t="s" s="8">
        <v>53</v>
      </c>
      <c r="P4445" t="s" s="8">
        <v>53</v>
      </c>
      <c r="Q4445" t="s" s="12">
        <v>53</v>
      </c>
      <c r="R4445" t="s" s="12">
        <v>53</v>
      </c>
    </row>
    <row r="4446" s="2" customFormat="1" ht="13.5" customHeight="1">
      <c r="B4446" s="13"/>
      <c r="C4446" t="s" s="9">
        <v>16</v>
      </c>
      <c r="D4446" t="s" s="8">
        <v>1514</v>
      </c>
      <c r="E4446" t="s" s="9">
        <v>1515</v>
      </c>
      <c r="F4446" t="s" s="10">
        <v>268</v>
      </c>
      <c r="G4446" s="14"/>
      <c r="H4446" t="s" s="10">
        <v>268</v>
      </c>
      <c r="I4446" s="14"/>
      <c r="J4446" t="s" s="11">
        <v>20</v>
      </c>
      <c r="K4446" s="15"/>
      <c r="L4446" t="s" s="16">
        <f>HYPERLINK("http://csr.bu.edu/ftp/asl/asllvd/demos/verify_start_end_handshape_annotations//test_auto_move//signs_mov_separ_signers/Liz_5188.mov","MOV")</f>
        <v>21</v>
      </c>
      <c r="M4446" t="s" s="10">
        <v>84</v>
      </c>
      <c r="N4446" s="17">
        <v>40</v>
      </c>
      <c r="O4446" s="18">
        <v>956</v>
      </c>
      <c r="P4446" s="18">
        <v>990</v>
      </c>
      <c r="Q4446" s="15"/>
      <c r="R4446" t="s" s="16">
        <f>HYPERLINK("http://secrets.rutgers.edu:8080/data/asl-ftp/asllvd/demos/verify_start_end_handshape_annotations//test_auto_move//signs_mov_separ_signers/Liz_5188.mov","MOV")</f>
        <v>21</v>
      </c>
    </row>
    <row r="4447" s="2" customFormat="1" ht="13.5" customHeight="1">
      <c r="B4447" s="13"/>
      <c r="C4447" t="s" s="9">
        <v>27</v>
      </c>
      <c r="D4447" t="s" s="8">
        <v>1514</v>
      </c>
      <c r="E4447" t="s" s="9">
        <v>1515</v>
      </c>
      <c r="F4447" t="s" s="10">
        <v>268</v>
      </c>
      <c r="G4447" s="14"/>
      <c r="H4447" t="s" s="10">
        <v>268</v>
      </c>
      <c r="I4447" s="14"/>
      <c r="J4447" t="s" s="11">
        <v>20</v>
      </c>
      <c r="K4447" t="s" s="16">
        <f>HYPERLINK("http://csr.bu.edu/ftp/asl/asllvd/demos/verify_start_end_handshape_annotations//test_auto_move//signs_mov/5188.mov","MOV")</f>
        <v>21</v>
      </c>
      <c r="L4447" t="s" s="16">
        <f>HYPERLINK("http://csr.bu.edu/ftp/asl/asllvd/demos/verify_start_end_handshape_annotations//test_auto_move//signs_mov_separ_signers/Naomi_5188.mov","MOV")</f>
        <v>21</v>
      </c>
      <c r="M4447" t="s" s="10">
        <v>86</v>
      </c>
      <c r="N4447" s="17">
        <v>40</v>
      </c>
      <c r="O4447" s="18">
        <v>1176</v>
      </c>
      <c r="P4447" s="18">
        <v>1200</v>
      </c>
      <c r="Q4447" t="s" s="16">
        <f>HYPERLINK("http://secrets.rutgers.edu:8080/data/asl-ftp/asllvd/demos/verify_start_end_handshape_annotations//test_auto_move//signs_mov/5188.mov","MOV")</f>
        <v>21</v>
      </c>
      <c r="R4447" t="s" s="16">
        <f>HYPERLINK("http://secrets.rutgers.edu:8080/data/asl-ftp/asllvd/demos/verify_start_end_handshape_annotations//test_auto_move//signs_mov_separ_signers/Naomi_5188.mov","MOV")</f>
        <v>21</v>
      </c>
    </row>
    <row r="4448" s="2" customFormat="1" ht="13.5" customHeight="1">
      <c r="B4448" s="13"/>
      <c r="C4448" t="s" s="9">
        <v>30</v>
      </c>
      <c r="D4448" t="s" s="8">
        <v>1514</v>
      </c>
      <c r="E4448" t="s" s="9">
        <v>1515</v>
      </c>
      <c r="F4448" s="19">
        <v>1</v>
      </c>
      <c r="G4448" s="14"/>
      <c r="H4448" s="19">
        <v>1</v>
      </c>
      <c r="I4448" s="14"/>
      <c r="J4448" t="s" s="11">
        <v>20</v>
      </c>
      <c r="K4448" s="15"/>
      <c r="L4448" t="s" s="16">
        <f>HYPERLINK("http://csr.bu.edu/ftp/asl/asllvd/demos/verify_start_end_handshape_annotations//test_auto_move//signs_mov_separ_signers/Brady_5188.mov","MOV")</f>
        <v>21</v>
      </c>
      <c r="M4448" t="s" s="10">
        <v>39</v>
      </c>
      <c r="N4448" s="17">
        <v>17</v>
      </c>
      <c r="O4448" s="18">
        <v>3271</v>
      </c>
      <c r="P4448" s="18">
        <v>3292</v>
      </c>
      <c r="Q4448" s="15"/>
      <c r="R4448" t="s" s="16">
        <f>HYPERLINK("http://secrets.rutgers.edu:8080/data/asl-ftp/asllvd/demos/verify_start_end_handshape_annotations//test_auto_move//signs_mov_separ_signers/Brady_5188.mov","MOV")</f>
        <v>21</v>
      </c>
    </row>
    <row r="4449" s="2" customFormat="1" ht="13.5" customHeight="1">
      <c r="B4449" t="s" s="8">
        <v>1514</v>
      </c>
      <c r="C4449" t="s" s="9">
        <v>14</v>
      </c>
      <c r="D4449" t="s" s="8">
        <v>14</v>
      </c>
      <c r="E4449" t="s" s="9">
        <v>14</v>
      </c>
      <c r="F4449" t="s" s="10">
        <v>14</v>
      </c>
      <c r="G4449" t="s" s="11">
        <v>14</v>
      </c>
      <c r="H4449" t="s" s="10">
        <v>14</v>
      </c>
      <c r="I4449" t="s" s="11">
        <v>14</v>
      </c>
      <c r="J4449" t="s" s="11">
        <v>14</v>
      </c>
      <c r="K4449" t="s" s="12">
        <v>14</v>
      </c>
      <c r="L4449" t="s" s="12">
        <v>14</v>
      </c>
      <c r="M4449" t="s" s="10">
        <v>14</v>
      </c>
      <c r="N4449" t="s" s="11">
        <v>14</v>
      </c>
      <c r="O4449" t="s" s="8">
        <v>14</v>
      </c>
      <c r="P4449" t="s" s="8">
        <v>14</v>
      </c>
      <c r="Q4449" t="s" s="12">
        <v>14</v>
      </c>
      <c r="R4449" t="s" s="12">
        <v>14</v>
      </c>
    </row>
    <row r="4450" s="2" customFormat="1" ht="13.5" customHeight="1">
      <c r="B4450" s="13"/>
      <c r="C4450" t="s" s="9">
        <v>23</v>
      </c>
      <c r="D4450" t="s" s="8">
        <v>1516</v>
      </c>
      <c r="E4450" t="s" s="9">
        <v>1516</v>
      </c>
      <c r="F4450" s="19">
        <v>5</v>
      </c>
      <c r="G4450" s="14"/>
      <c r="H4450" s="19">
        <v>5</v>
      </c>
      <c r="I4450" s="14"/>
      <c r="J4450" t="s" s="11">
        <v>20</v>
      </c>
      <c r="K4450" t="s" s="16">
        <f>HYPERLINK("http://csr.bu.edu/ftp/asl/asllvd/demos/verify_start_end_handshape_annotations//test_auto_move//signs_mov/15507.mov","MOV")</f>
        <v>21</v>
      </c>
      <c r="L4450" t="s" s="16">
        <f>HYPERLINK("http://csr.bu.edu/ftp/asl/asllvd/demos/verify_start_end_handshape_annotations//test_auto_move//signs_mov_separ_signers/Tyler_15507.mov","MOV")</f>
        <v>21</v>
      </c>
      <c r="M4450" t="s" s="10">
        <v>92</v>
      </c>
      <c r="N4450" s="17">
        <v>26</v>
      </c>
      <c r="O4450" s="18">
        <v>1645</v>
      </c>
      <c r="P4450" s="18">
        <v>1686</v>
      </c>
      <c r="Q4450" t="s" s="16">
        <f>HYPERLINK("http://secrets.rutgers.edu:8080/data/asl-ftp/asllvd/demos/verify_start_end_handshape_annotations//test_auto_move//signs_mov/15507.mov","MOV")</f>
        <v>21</v>
      </c>
      <c r="R4450" t="s" s="16">
        <f>HYPERLINK("http://secrets.rutgers.edu:8080/data/asl-ftp/asllvd/demos/verify_start_end_handshape_annotations//test_auto_move//signs_mov_separ_signers/Tyler_15507.mov","MOV")</f>
        <v>21</v>
      </c>
    </row>
    <row r="4451" s="2" customFormat="1" ht="13.5" customHeight="1">
      <c r="B4451" t="s" s="8">
        <v>52</v>
      </c>
      <c r="C4451" t="s" s="9">
        <v>53</v>
      </c>
      <c r="D4451" t="s" s="8">
        <v>53</v>
      </c>
      <c r="E4451" t="s" s="9">
        <v>53</v>
      </c>
      <c r="F4451" t="s" s="10">
        <v>53</v>
      </c>
      <c r="G4451" t="s" s="11">
        <v>53</v>
      </c>
      <c r="H4451" t="s" s="10">
        <v>53</v>
      </c>
      <c r="I4451" t="s" s="11">
        <v>53</v>
      </c>
      <c r="J4451" t="s" s="11">
        <v>53</v>
      </c>
      <c r="K4451" t="s" s="12">
        <v>53</v>
      </c>
      <c r="L4451" t="s" s="12">
        <v>53</v>
      </c>
      <c r="M4451" t="s" s="10">
        <v>53</v>
      </c>
      <c r="N4451" t="s" s="11">
        <v>53</v>
      </c>
      <c r="O4451" t="s" s="8">
        <v>53</v>
      </c>
      <c r="P4451" t="s" s="8">
        <v>53</v>
      </c>
      <c r="Q4451" t="s" s="12">
        <v>53</v>
      </c>
      <c r="R4451" t="s" s="12">
        <v>53</v>
      </c>
    </row>
    <row r="4452" s="2" customFormat="1" ht="13.5" customHeight="1">
      <c r="B4452" s="13"/>
      <c r="C4452" t="s" s="9">
        <v>23</v>
      </c>
      <c r="D4452" t="s" s="8">
        <v>1516</v>
      </c>
      <c r="E4452" t="s" s="9">
        <v>1517</v>
      </c>
      <c r="F4452" s="19">
        <v>5</v>
      </c>
      <c r="G4452" s="17">
        <v>5</v>
      </c>
      <c r="H4452" s="19">
        <v>5</v>
      </c>
      <c r="I4452" s="17">
        <v>5</v>
      </c>
      <c r="J4452" t="s" s="11">
        <v>20</v>
      </c>
      <c r="K4452" t="s" s="16">
        <f>HYPERLINK("http://csr.bu.edu/ftp/asl/asllvd/demos/verify_start_end_handshape_annotations//test_auto_move//signs_mov/15517.mov","MOV")</f>
        <v>21</v>
      </c>
      <c r="L4452" t="s" s="16">
        <f>HYPERLINK("http://csr.bu.edu/ftp/asl/asllvd/demos/verify_start_end_handshape_annotations//test_auto_move//signs_mov_separ_signers/Tyler_15517.mov","MOV")</f>
        <v>21</v>
      </c>
      <c r="M4452" t="s" s="10">
        <v>92</v>
      </c>
      <c r="N4452" s="17">
        <v>20</v>
      </c>
      <c r="O4452" s="18">
        <v>1210</v>
      </c>
      <c r="P4452" s="18">
        <v>1270</v>
      </c>
      <c r="Q4452" t="s" s="16">
        <f>HYPERLINK("http://secrets.rutgers.edu:8080/data/asl-ftp/asllvd/demos/verify_start_end_handshape_annotations//test_auto_move//signs_mov/15517.mov","MOV")</f>
        <v>21</v>
      </c>
      <c r="R4452" t="s" s="16">
        <f>HYPERLINK("http://secrets.rutgers.edu:8080/data/asl-ftp/asllvd/demos/verify_start_end_handshape_annotations//test_auto_move//signs_mov_separ_signers/Tyler_15517.mov","MOV")</f>
        <v>21</v>
      </c>
    </row>
    <row r="4453" s="2" customFormat="1" ht="13.5" customHeight="1">
      <c r="B4453" t="s" s="8">
        <v>1518</v>
      </c>
      <c r="C4453" t="s" s="9">
        <v>14</v>
      </c>
      <c r="D4453" t="s" s="8">
        <v>14</v>
      </c>
      <c r="E4453" t="s" s="9">
        <v>14</v>
      </c>
      <c r="F4453" t="s" s="10">
        <v>14</v>
      </c>
      <c r="G4453" t="s" s="11">
        <v>14</v>
      </c>
      <c r="H4453" t="s" s="10">
        <v>14</v>
      </c>
      <c r="I4453" t="s" s="11">
        <v>14</v>
      </c>
      <c r="J4453" t="s" s="11">
        <v>14</v>
      </c>
      <c r="K4453" t="s" s="12">
        <v>14</v>
      </c>
      <c r="L4453" t="s" s="12">
        <v>14</v>
      </c>
      <c r="M4453" t="s" s="10">
        <v>14</v>
      </c>
      <c r="N4453" t="s" s="11">
        <v>14</v>
      </c>
      <c r="O4453" t="s" s="8">
        <v>14</v>
      </c>
      <c r="P4453" t="s" s="8">
        <v>14</v>
      </c>
      <c r="Q4453" t="s" s="12">
        <v>14</v>
      </c>
      <c r="R4453" t="s" s="12">
        <v>14</v>
      </c>
    </row>
    <row r="4454" s="2" customFormat="1" ht="13.5" customHeight="1">
      <c r="B4454" s="13"/>
      <c r="C4454" t="s" s="9">
        <v>16</v>
      </c>
      <c r="D4454" t="s" s="8">
        <v>1518</v>
      </c>
      <c r="E4454" t="s" s="9">
        <v>1518</v>
      </c>
      <c r="F4454" t="s" s="10">
        <v>150</v>
      </c>
      <c r="G4454" t="s" s="11">
        <v>55</v>
      </c>
      <c r="H4454" t="s" s="10">
        <v>55</v>
      </c>
      <c r="I4454" t="s" s="11">
        <v>55</v>
      </c>
      <c r="J4454" t="s" s="11">
        <v>20</v>
      </c>
      <c r="K4454" s="15"/>
      <c r="L4454" t="s" s="16">
        <f>HYPERLINK("http://csr.bu.edu/ftp/asl/asllvd/demos/verify_start_end_handshape_annotations//test_auto_move//signs_mov_separ_signers/Liz_15518.mov","MOV")</f>
        <v>21</v>
      </c>
      <c r="M4454" t="s" s="10">
        <v>84</v>
      </c>
      <c r="N4454" s="17">
        <v>47</v>
      </c>
      <c r="O4454" s="18">
        <v>307</v>
      </c>
      <c r="P4454" s="18">
        <v>355</v>
      </c>
      <c r="Q4454" s="15"/>
      <c r="R4454" t="s" s="16">
        <f>HYPERLINK("http://secrets.rutgers.edu:8080/data/asl-ftp/asllvd/demos/verify_start_end_handshape_annotations//test_auto_move//signs_mov_separ_signers/Liz_15518.mov","MOV")</f>
        <v>21</v>
      </c>
    </row>
    <row r="4455" s="2" customFormat="1" ht="13.5" customHeight="1">
      <c r="B4455" s="13"/>
      <c r="C4455" t="s" s="9">
        <v>23</v>
      </c>
      <c r="D4455" t="s" s="8">
        <v>1518</v>
      </c>
      <c r="E4455" t="s" s="9">
        <v>1519</v>
      </c>
      <c r="F4455" t="s" s="10">
        <v>73</v>
      </c>
      <c r="G4455" t="s" s="11">
        <v>73</v>
      </c>
      <c r="H4455" t="s" s="10">
        <v>73</v>
      </c>
      <c r="I4455" t="s" s="11">
        <v>73</v>
      </c>
      <c r="J4455" t="s" s="11">
        <v>20</v>
      </c>
      <c r="K4455" t="s" s="16">
        <f>HYPERLINK("http://csr.bu.edu/ftp/asl/asllvd/demos/verify_start_end_handshape_annotations//test_auto_move//signs_mov/15518.mov","MOV")</f>
        <v>21</v>
      </c>
      <c r="L4455" t="s" s="16">
        <f>HYPERLINK("http://csr.bu.edu/ftp/asl/asllvd/demos/verify_start_end_handshape_annotations//test_auto_move//signs_mov_separ_signers/Tyler_15518.mov","MOV")</f>
        <v>21</v>
      </c>
      <c r="M4455" t="s" s="10">
        <v>92</v>
      </c>
      <c r="N4455" s="17">
        <v>26</v>
      </c>
      <c r="O4455" s="18">
        <v>2276</v>
      </c>
      <c r="P4455" s="18">
        <v>2325</v>
      </c>
      <c r="Q4455" t="s" s="16">
        <f>HYPERLINK("http://secrets.rutgers.edu:8080/data/asl-ftp/asllvd/demos/verify_start_end_handshape_annotations//test_auto_move//signs_mov/15518.mov","MOV")</f>
        <v>21</v>
      </c>
      <c r="R4455" t="s" s="16">
        <f>HYPERLINK("http://secrets.rutgers.edu:8080/data/asl-ftp/asllvd/demos/verify_start_end_handshape_annotations//test_auto_move//signs_mov_separ_signers/Tyler_15518.mov","MOV")</f>
        <v>21</v>
      </c>
    </row>
    <row r="4456" s="2" customFormat="1" ht="13.5" customHeight="1">
      <c r="B4456" s="13"/>
      <c r="C4456" t="s" s="9">
        <v>27</v>
      </c>
      <c r="D4456" t="s" s="8">
        <v>1518</v>
      </c>
      <c r="E4456" t="s" s="9">
        <v>1518</v>
      </c>
      <c r="F4456" t="s" s="10">
        <v>73</v>
      </c>
      <c r="G4456" t="s" s="11">
        <v>73</v>
      </c>
      <c r="H4456" t="s" s="10">
        <v>73</v>
      </c>
      <c r="I4456" t="s" s="11">
        <v>73</v>
      </c>
      <c r="J4456" t="s" s="11">
        <v>20</v>
      </c>
      <c r="K4456" s="15"/>
      <c r="L4456" t="s" s="16">
        <f>HYPERLINK("http://csr.bu.edu/ftp/asl/asllvd/demos/verify_start_end_handshape_annotations//test_auto_move//signs_mov_separ_signers/Naomi_15518.mov","MOV")</f>
        <v>21</v>
      </c>
      <c r="M4456" t="s" s="10">
        <v>86</v>
      </c>
      <c r="N4456" s="17">
        <v>46</v>
      </c>
      <c r="O4456" s="18">
        <v>3255</v>
      </c>
      <c r="P4456" s="18">
        <v>3300</v>
      </c>
      <c r="Q4456" s="15"/>
      <c r="R4456" t="s" s="16">
        <f>HYPERLINK("http://secrets.rutgers.edu:8080/data/asl-ftp/asllvd/demos/verify_start_end_handshape_annotations//test_auto_move//signs_mov_separ_signers/Naomi_15518.mov","MOV")</f>
        <v>21</v>
      </c>
    </row>
    <row r="4457" s="2" customFormat="1" ht="13.5" customHeight="1">
      <c r="B4457" s="13"/>
      <c r="C4457" t="s" s="9">
        <v>30</v>
      </c>
      <c r="D4457" t="s" s="8">
        <v>1518</v>
      </c>
      <c r="E4457" t="s" s="9">
        <v>1519</v>
      </c>
      <c r="F4457" t="s" s="10">
        <v>73</v>
      </c>
      <c r="G4457" t="s" s="11">
        <v>73</v>
      </c>
      <c r="H4457" t="s" s="10">
        <v>73</v>
      </c>
      <c r="I4457" t="s" s="11">
        <v>73</v>
      </c>
      <c r="J4457" t="s" s="11">
        <v>20</v>
      </c>
      <c r="K4457" s="15"/>
      <c r="L4457" t="s" s="16">
        <f>HYPERLINK("http://csr.bu.edu/ftp/asl/asllvd/demos/verify_start_end_handshape_annotations//test_auto_move//signs_mov_separ_signers/Brady_15518.mov","MOV")</f>
        <v>21</v>
      </c>
      <c r="M4457" t="s" s="10">
        <v>39</v>
      </c>
      <c r="N4457" s="17">
        <v>21</v>
      </c>
      <c r="O4457" s="18">
        <v>3325</v>
      </c>
      <c r="P4457" s="18">
        <v>3371</v>
      </c>
      <c r="Q4457" s="15"/>
      <c r="R4457" t="s" s="16">
        <f>HYPERLINK("http://secrets.rutgers.edu:8080/data/asl-ftp/asllvd/demos/verify_start_end_handshape_annotations//test_auto_move//signs_mov_separ_signers/Brady_15518.mov","MOV")</f>
        <v>21</v>
      </c>
    </row>
    <row r="4458" s="2" customFormat="1" ht="13.5" customHeight="1">
      <c r="B4458" t="s" s="8">
        <v>1520</v>
      </c>
      <c r="C4458" t="s" s="9">
        <v>14</v>
      </c>
      <c r="D4458" t="s" s="8">
        <v>14</v>
      </c>
      <c r="E4458" t="s" s="9">
        <v>14</v>
      </c>
      <c r="F4458" t="s" s="10">
        <v>14</v>
      </c>
      <c r="G4458" t="s" s="11">
        <v>14</v>
      </c>
      <c r="H4458" t="s" s="10">
        <v>14</v>
      </c>
      <c r="I4458" t="s" s="11">
        <v>14</v>
      </c>
      <c r="J4458" t="s" s="11">
        <v>14</v>
      </c>
      <c r="K4458" t="s" s="12">
        <v>14</v>
      </c>
      <c r="L4458" t="s" s="12">
        <v>14</v>
      </c>
      <c r="M4458" t="s" s="10">
        <v>14</v>
      </c>
      <c r="N4458" t="s" s="11">
        <v>14</v>
      </c>
      <c r="O4458" t="s" s="8">
        <v>14</v>
      </c>
      <c r="P4458" t="s" s="8">
        <v>14</v>
      </c>
      <c r="Q4458" t="s" s="12">
        <v>14</v>
      </c>
      <c r="R4458" t="s" s="12">
        <v>14</v>
      </c>
    </row>
    <row r="4459" s="2" customFormat="1" ht="13.5" customHeight="1">
      <c r="B4459" s="13"/>
      <c r="C4459" t="s" s="9">
        <v>16</v>
      </c>
      <c r="D4459" t="s" s="8">
        <v>1520</v>
      </c>
      <c r="E4459" t="s" s="9">
        <v>1521</v>
      </c>
      <c r="F4459" t="s" s="10">
        <v>80</v>
      </c>
      <c r="G4459" t="s" s="11">
        <v>150</v>
      </c>
      <c r="H4459" t="s" s="10">
        <v>80</v>
      </c>
      <c r="I4459" t="s" s="11">
        <v>73</v>
      </c>
      <c r="J4459" t="s" s="11">
        <v>20</v>
      </c>
      <c r="K4459" s="15"/>
      <c r="L4459" t="s" s="16">
        <f>HYPERLINK("http://csr.bu.edu/ftp/asl/asllvd/demos/verify_start_end_handshape_annotations//test_auto_move//signs_mov_separ_signers/Liz_15697.mov","MOV")</f>
        <v>21</v>
      </c>
      <c r="M4459" t="s" s="10">
        <v>34</v>
      </c>
      <c r="N4459" s="17">
        <v>22</v>
      </c>
      <c r="O4459" s="18">
        <v>2036</v>
      </c>
      <c r="P4459" s="18">
        <v>2120</v>
      </c>
      <c r="Q4459" s="15"/>
      <c r="R4459" t="s" s="16">
        <f>HYPERLINK("http://secrets.rutgers.edu:8080/data/asl-ftp/asllvd/demos/verify_start_end_handshape_annotations//test_auto_move//signs_mov_separ_signers/Liz_15697.mov","MOV")</f>
        <v>21</v>
      </c>
    </row>
    <row r="4460" s="2" customFormat="1" ht="13.5" customHeight="1">
      <c r="B4460" s="13"/>
      <c r="C4460" t="s" s="9">
        <v>16</v>
      </c>
      <c r="D4460" t="s" s="8">
        <v>1520</v>
      </c>
      <c r="E4460" t="s" s="9">
        <v>1521</v>
      </c>
      <c r="F4460" t="s" s="10">
        <v>73</v>
      </c>
      <c r="G4460" t="s" s="11">
        <v>73</v>
      </c>
      <c r="H4460" t="s" s="10">
        <v>73</v>
      </c>
      <c r="I4460" t="s" s="11">
        <v>73</v>
      </c>
      <c r="J4460" t="s" s="11">
        <v>20</v>
      </c>
      <c r="K4460" s="15"/>
      <c r="L4460" t="s" s="16">
        <f>HYPERLINK("http://csr.bu.edu/ftp/asl/asllvd/demos/verify_start_end_handshape_annotations//test_auto_move//signs_mov_separ_signers/Liz_15964.mov","MOV")</f>
        <v>21</v>
      </c>
      <c r="M4460" t="s" s="10">
        <v>59</v>
      </c>
      <c r="N4460" s="17">
        <v>34</v>
      </c>
      <c r="O4460" s="18">
        <v>2145</v>
      </c>
      <c r="P4460" s="18">
        <v>2200</v>
      </c>
      <c r="Q4460" s="15"/>
      <c r="R4460" t="s" s="16">
        <f>HYPERLINK("http://secrets.rutgers.edu:8080/data/asl-ftp/asllvd/demos/verify_start_end_handshape_annotations//test_auto_move//signs_mov_separ_signers/Liz_15964.mov","MOV")</f>
        <v>21</v>
      </c>
    </row>
    <row r="4461" s="2" customFormat="1" ht="13.5" customHeight="1">
      <c r="B4461" s="13"/>
      <c r="C4461" t="s" s="9">
        <v>27</v>
      </c>
      <c r="D4461" t="s" s="8">
        <v>1520</v>
      </c>
      <c r="E4461" t="s" s="9">
        <v>1521</v>
      </c>
      <c r="F4461" t="s" s="10">
        <v>73</v>
      </c>
      <c r="G4461" t="s" s="11">
        <v>73</v>
      </c>
      <c r="H4461" t="s" s="10">
        <v>73</v>
      </c>
      <c r="I4461" t="s" s="11">
        <v>73</v>
      </c>
      <c r="J4461" t="s" s="11">
        <v>20</v>
      </c>
      <c r="K4461" t="s" s="16">
        <f>HYPERLINK("http://csr.bu.edu/ftp/asl/asllvd/demos/verify_start_end_handshape_annotations//test_auto_move//signs_mov/15697_15964_15980_merged.mov","MOV")</f>
        <v>21</v>
      </c>
      <c r="L4461" t="s" s="16">
        <f>HYPERLINK("http://csr.bu.edu/ftp/asl/asllvd/demos/verify_start_end_handshape_annotations//test_auto_move//signs_mov_separ_signers/Naomi_15697.mov","MOV")</f>
        <v>21</v>
      </c>
      <c r="M4461" t="s" s="10">
        <v>38</v>
      </c>
      <c r="N4461" s="17">
        <v>18</v>
      </c>
      <c r="O4461" s="18">
        <v>3690</v>
      </c>
      <c r="P4461" s="18">
        <v>3768</v>
      </c>
      <c r="Q4461" t="s" s="16">
        <f>HYPERLINK("http://secrets.rutgers.edu:8080/data/asl-ftp/asllvd/demos/verify_start_end_handshape_annotations//test_auto_move//signs_mov/15697_15964_15980_merged.mov","MOV")</f>
        <v>21</v>
      </c>
      <c r="R4461" t="s" s="16">
        <f>HYPERLINK("http://secrets.rutgers.edu:8080/data/asl-ftp/asllvd/demos/verify_start_end_handshape_annotations//test_auto_move//signs_mov_separ_signers/Naomi_15697.mov","MOV")</f>
        <v>21</v>
      </c>
    </row>
    <row r="4462" s="2" customFormat="1" ht="13.5" customHeight="1">
      <c r="B4462" s="13"/>
      <c r="C4462" t="s" s="9">
        <v>30</v>
      </c>
      <c r="D4462" t="s" s="8">
        <v>1520</v>
      </c>
      <c r="E4462" t="s" s="9">
        <v>1521</v>
      </c>
      <c r="F4462" t="s" s="10">
        <v>73</v>
      </c>
      <c r="G4462" t="s" s="11">
        <v>73</v>
      </c>
      <c r="H4462" t="s" s="10">
        <v>73</v>
      </c>
      <c r="I4462" t="s" s="11">
        <v>73</v>
      </c>
      <c r="J4462" t="s" s="11">
        <v>20</v>
      </c>
      <c r="K4462" s="15"/>
      <c r="L4462" t="s" s="16">
        <f>HYPERLINK("http://csr.bu.edu/ftp/asl/asllvd/demos/verify_start_end_handshape_annotations//test_auto_move//signs_mov_separ_signers/Brady_15697.mov","MOV")</f>
        <v>21</v>
      </c>
      <c r="M4462" t="s" s="10">
        <v>39</v>
      </c>
      <c r="N4462" s="17">
        <v>34</v>
      </c>
      <c r="O4462" s="18">
        <v>2607</v>
      </c>
      <c r="P4462" s="18">
        <v>2666</v>
      </c>
      <c r="Q4462" s="15"/>
      <c r="R4462" t="s" s="16">
        <f>HYPERLINK("http://secrets.rutgers.edu:8080/data/asl-ftp/asllvd/demos/verify_start_end_handshape_annotations//test_auto_move//signs_mov_separ_signers/Brady_15697.mov","MOV")</f>
        <v>21</v>
      </c>
    </row>
    <row r="4463" s="2" customFormat="1" ht="13.5" customHeight="1">
      <c r="B4463" s="13"/>
      <c r="C4463" t="s" s="9">
        <v>30</v>
      </c>
      <c r="D4463" t="s" s="8">
        <v>1520</v>
      </c>
      <c r="E4463" t="s" s="9">
        <v>1521</v>
      </c>
      <c r="F4463" t="s" s="10">
        <v>73</v>
      </c>
      <c r="G4463" t="s" s="11">
        <v>73</v>
      </c>
      <c r="H4463" t="s" s="10">
        <v>73</v>
      </c>
      <c r="I4463" t="s" s="11">
        <v>73</v>
      </c>
      <c r="J4463" t="s" s="11">
        <v>20</v>
      </c>
      <c r="K4463" s="15"/>
      <c r="L4463" t="s" s="16">
        <f>HYPERLINK("http://csr.bu.edu/ftp/asl/asllvd/demos/verify_start_end_handshape_annotations//test_auto_move//signs_mov_separ_signers/Brady_15964.mov","MOV")</f>
        <v>21</v>
      </c>
      <c r="M4463" t="s" s="10">
        <v>60</v>
      </c>
      <c r="N4463" s="17">
        <v>22</v>
      </c>
      <c r="O4463" s="18">
        <v>2216</v>
      </c>
      <c r="P4463" s="18">
        <v>2277</v>
      </c>
      <c r="Q4463" s="15"/>
      <c r="R4463" t="s" s="16">
        <f>HYPERLINK("http://secrets.rutgers.edu:8080/data/asl-ftp/asllvd/demos/verify_start_end_handshape_annotations//test_auto_move//signs_mov_separ_signers/Brady_15964.mov","MOV")</f>
        <v>21</v>
      </c>
    </row>
    <row r="4464" s="2" customFormat="1" ht="13.5" customHeight="1">
      <c r="B4464" s="13"/>
      <c r="C4464" t="s" s="9">
        <v>30</v>
      </c>
      <c r="D4464" t="s" s="8">
        <v>1520</v>
      </c>
      <c r="E4464" t="s" s="9">
        <v>1521</v>
      </c>
      <c r="F4464" t="s" s="10">
        <v>73</v>
      </c>
      <c r="G4464" t="s" s="11">
        <v>73</v>
      </c>
      <c r="H4464" t="s" s="10">
        <v>73</v>
      </c>
      <c r="I4464" t="s" s="11">
        <v>73</v>
      </c>
      <c r="J4464" t="s" s="11">
        <v>20</v>
      </c>
      <c r="K4464" s="15"/>
      <c r="L4464" t="s" s="16">
        <f>HYPERLINK("http://csr.bu.edu/ftp/asl/asllvd/demos/verify_start_end_handshape_annotations//test_auto_move//signs_mov_separ_signers/Brady_15980.mov","MOV")</f>
        <v>21</v>
      </c>
      <c r="M4464" t="s" s="10">
        <v>60</v>
      </c>
      <c r="N4464" s="17">
        <v>44</v>
      </c>
      <c r="O4464" s="18">
        <v>2033</v>
      </c>
      <c r="P4464" s="18">
        <v>2080</v>
      </c>
      <c r="Q4464" s="15"/>
      <c r="R4464" t="s" s="16">
        <f>HYPERLINK("http://secrets.rutgers.edu:8080/data/asl-ftp/asllvd/demos/verify_start_end_handshape_annotations//test_auto_move//signs_mov_separ_signers/Brady_15980.mov","MOV")</f>
        <v>21</v>
      </c>
    </row>
    <row r="4465" s="2" customFormat="1" ht="13.5" customHeight="1">
      <c r="B4465" t="s" s="8">
        <v>52</v>
      </c>
      <c r="C4465" t="s" s="9">
        <v>53</v>
      </c>
      <c r="D4465" t="s" s="8">
        <v>53</v>
      </c>
      <c r="E4465" t="s" s="9">
        <v>53</v>
      </c>
      <c r="F4465" t="s" s="10">
        <v>53</v>
      </c>
      <c r="G4465" t="s" s="11">
        <v>53</v>
      </c>
      <c r="H4465" t="s" s="10">
        <v>53</v>
      </c>
      <c r="I4465" t="s" s="11">
        <v>53</v>
      </c>
      <c r="J4465" t="s" s="11">
        <v>53</v>
      </c>
      <c r="K4465" t="s" s="12">
        <v>53</v>
      </c>
      <c r="L4465" t="s" s="12">
        <v>53</v>
      </c>
      <c r="M4465" t="s" s="10">
        <v>53</v>
      </c>
      <c r="N4465" t="s" s="11">
        <v>53</v>
      </c>
      <c r="O4465" t="s" s="8">
        <v>53</v>
      </c>
      <c r="P4465" t="s" s="8">
        <v>53</v>
      </c>
      <c r="Q4465" t="s" s="12">
        <v>53</v>
      </c>
      <c r="R4465" t="s" s="12">
        <v>53</v>
      </c>
    </row>
    <row r="4466" s="2" customFormat="1" ht="13.5" customHeight="1">
      <c r="B4466" s="13"/>
      <c r="C4466" t="s" s="9">
        <v>16</v>
      </c>
      <c r="D4466" t="s" s="8">
        <v>1520</v>
      </c>
      <c r="E4466" t="s" s="9">
        <v>1522</v>
      </c>
      <c r="F4466" s="19">
        <v>3</v>
      </c>
      <c r="G4466" s="17">
        <v>3</v>
      </c>
      <c r="H4466" s="19">
        <v>3</v>
      </c>
      <c r="I4466" s="17">
        <v>3</v>
      </c>
      <c r="J4466" t="s" s="11">
        <v>20</v>
      </c>
      <c r="K4466" s="15"/>
      <c r="L4466" t="s" s="16">
        <f>HYPERLINK("http://csr.bu.edu/ftp/asl/asllvd/demos/verify_start_end_handshape_annotations//test_auto_move//signs_mov_separ_signers/Liz_15981.mov","MOV")</f>
        <v>21</v>
      </c>
      <c r="M4466" t="s" s="10">
        <v>59</v>
      </c>
      <c r="N4466" s="17">
        <v>34</v>
      </c>
      <c r="O4466" s="18">
        <v>2365</v>
      </c>
      <c r="P4466" s="18">
        <v>2425</v>
      </c>
      <c r="Q4466" s="15"/>
      <c r="R4466" t="s" s="16">
        <f>HYPERLINK("http://secrets.rutgers.edu:8080/data/asl-ftp/asllvd/demos/verify_start_end_handshape_annotations//test_auto_move//signs_mov_separ_signers/Liz_15981.mov","MOV")</f>
        <v>21</v>
      </c>
    </row>
    <row r="4467" s="2" customFormat="1" ht="13.5" customHeight="1">
      <c r="B4467" s="13"/>
      <c r="C4467" t="s" s="9">
        <v>23</v>
      </c>
      <c r="D4467" t="s" s="8">
        <v>1520</v>
      </c>
      <c r="E4467" t="s" s="9">
        <v>1522</v>
      </c>
      <c r="F4467" s="19">
        <v>3</v>
      </c>
      <c r="G4467" s="17">
        <v>3</v>
      </c>
      <c r="H4467" s="19">
        <v>3</v>
      </c>
      <c r="I4467" s="17">
        <v>3</v>
      </c>
      <c r="J4467" t="s" s="11">
        <v>20</v>
      </c>
      <c r="K4467" t="s" s="16">
        <f>HYPERLINK("http://csr.bu.edu/ftp/asl/asllvd/demos/verify_start_end_handshape_annotations//test_auto_move//signs_mov/15981_16009_merged.mov","MOV")</f>
        <v>21</v>
      </c>
      <c r="L4467" t="s" s="16">
        <f>HYPERLINK("http://csr.bu.edu/ftp/asl/asllvd/demos/verify_start_end_handshape_annotations//test_auto_move//signs_mov_separ_signers/Tyler_15981.mov","MOV")</f>
        <v>21</v>
      </c>
      <c r="M4467" t="s" s="10">
        <v>92</v>
      </c>
      <c r="N4467" s="17">
        <v>50</v>
      </c>
      <c r="O4467" s="18">
        <v>1540</v>
      </c>
      <c r="P4467" s="18">
        <v>1591</v>
      </c>
      <c r="Q4467" t="s" s="16">
        <f>HYPERLINK("http://secrets.rutgers.edu:8080/data/asl-ftp/asllvd/demos/verify_start_end_handshape_annotations//test_auto_move//signs_mov/15981_16009_merged.mov","MOV")</f>
        <v>21</v>
      </c>
      <c r="R4467" t="s" s="16">
        <f>HYPERLINK("http://secrets.rutgers.edu:8080/data/asl-ftp/asllvd/demos/verify_start_end_handshape_annotations//test_auto_move//signs_mov_separ_signers/Tyler_15981.mov","MOV")</f>
        <v>21</v>
      </c>
    </row>
    <row r="4468" s="2" customFormat="1" ht="13.5" customHeight="1">
      <c r="B4468" s="13"/>
      <c r="C4468" t="s" s="9">
        <v>30</v>
      </c>
      <c r="D4468" t="s" s="8">
        <v>1520</v>
      </c>
      <c r="E4468" t="s" s="9">
        <v>1522</v>
      </c>
      <c r="F4468" s="19">
        <v>3</v>
      </c>
      <c r="G4468" s="17">
        <v>3</v>
      </c>
      <c r="H4468" s="19">
        <v>3</v>
      </c>
      <c r="I4468" s="17">
        <v>3</v>
      </c>
      <c r="J4468" t="s" s="11">
        <v>20</v>
      </c>
      <c r="K4468" s="15"/>
      <c r="L4468" t="s" s="16">
        <f>HYPERLINK("http://csr.bu.edu/ftp/asl/asllvd/demos/verify_start_end_handshape_annotations//test_auto_move//signs_mov_separ_signers/Brady_15981.mov","MOV")</f>
        <v>21</v>
      </c>
      <c r="M4468" t="s" s="10">
        <v>39</v>
      </c>
      <c r="N4468" s="17">
        <v>34</v>
      </c>
      <c r="O4468" s="18">
        <v>2379</v>
      </c>
      <c r="P4468" s="18">
        <v>2437</v>
      </c>
      <c r="Q4468" s="15"/>
      <c r="R4468" t="s" s="16">
        <f>HYPERLINK("http://secrets.rutgers.edu:8080/data/asl-ftp/asllvd/demos/verify_start_end_handshape_annotations//test_auto_move//signs_mov_separ_signers/Brady_15981.mov","MOV")</f>
        <v>21</v>
      </c>
    </row>
    <row r="4469" s="2" customFormat="1" ht="13.5" customHeight="1">
      <c r="B4469" s="13"/>
      <c r="C4469" t="s" s="9">
        <v>30</v>
      </c>
      <c r="D4469" t="s" s="8">
        <v>1520</v>
      </c>
      <c r="E4469" t="s" s="9">
        <v>1523</v>
      </c>
      <c r="F4469" s="19">
        <v>3</v>
      </c>
      <c r="G4469" s="17">
        <v>3</v>
      </c>
      <c r="H4469" s="19">
        <v>3</v>
      </c>
      <c r="I4469" s="17">
        <v>3</v>
      </c>
      <c r="J4469" t="s" s="11">
        <v>20</v>
      </c>
      <c r="K4469" s="15"/>
      <c r="L4469" t="s" s="16">
        <f>HYPERLINK("http://csr.bu.edu/ftp/asl/asllvd/demos/verify_start_end_handshape_annotations//test_auto_move//signs_mov_separ_signers/Brady_16009.mov","MOV")</f>
        <v>21</v>
      </c>
      <c r="M4469" t="s" s="10">
        <v>60</v>
      </c>
      <c r="N4469" s="17">
        <v>22</v>
      </c>
      <c r="O4469" s="18">
        <v>2423</v>
      </c>
      <c r="P4469" s="18">
        <v>2493</v>
      </c>
      <c r="Q4469" s="15"/>
      <c r="R4469" t="s" s="16">
        <f>HYPERLINK("http://secrets.rutgers.edu:8080/data/asl-ftp/asllvd/demos/verify_start_end_handshape_annotations//test_auto_move//signs_mov_separ_signers/Brady_16009.mov","MOV")</f>
        <v>21</v>
      </c>
    </row>
    <row r="4470" s="2" customFormat="1" ht="13.5" customHeight="1">
      <c r="B4470" t="s" s="8">
        <v>1524</v>
      </c>
      <c r="C4470" t="s" s="9">
        <v>14</v>
      </c>
      <c r="D4470" t="s" s="8">
        <v>14</v>
      </c>
      <c r="E4470" t="s" s="9">
        <v>14</v>
      </c>
      <c r="F4470" t="s" s="10">
        <v>14</v>
      </c>
      <c r="G4470" t="s" s="11">
        <v>14</v>
      </c>
      <c r="H4470" t="s" s="10">
        <v>14</v>
      </c>
      <c r="I4470" t="s" s="11">
        <v>14</v>
      </c>
      <c r="J4470" t="s" s="11">
        <v>14</v>
      </c>
      <c r="K4470" t="s" s="12">
        <v>14</v>
      </c>
      <c r="L4470" t="s" s="12">
        <v>14</v>
      </c>
      <c r="M4470" t="s" s="10">
        <v>14</v>
      </c>
      <c r="N4470" t="s" s="11">
        <v>14</v>
      </c>
      <c r="O4470" t="s" s="8">
        <v>14</v>
      </c>
      <c r="P4470" t="s" s="8">
        <v>14</v>
      </c>
      <c r="Q4470" t="s" s="12">
        <v>14</v>
      </c>
      <c r="R4470" t="s" s="12">
        <v>14</v>
      </c>
    </row>
    <row r="4471" s="2" customFormat="1" ht="13.5" customHeight="1">
      <c r="B4471" s="13"/>
      <c r="C4471" t="s" s="9">
        <v>16</v>
      </c>
      <c r="D4471" t="s" s="8">
        <v>1524</v>
      </c>
      <c r="E4471" t="s" s="9">
        <v>1525</v>
      </c>
      <c r="F4471" t="s" s="10">
        <v>73</v>
      </c>
      <c r="G4471" t="s" s="11">
        <v>73</v>
      </c>
      <c r="H4471" t="s" s="10">
        <v>73</v>
      </c>
      <c r="I4471" t="s" s="11">
        <v>73</v>
      </c>
      <c r="J4471" t="s" s="11">
        <v>20</v>
      </c>
      <c r="K4471" t="s" s="16">
        <f>HYPERLINK("http://csr.bu.edu/ftp/asl/asllvd/demos/verify_start_end_handshape_annotations//test_auto_move//signs_mov/16010.mov","MOV")</f>
        <v>21</v>
      </c>
      <c r="L4471" t="s" s="16">
        <f>HYPERLINK("http://csr.bu.edu/ftp/asl/asllvd/demos/verify_start_end_handshape_annotations//test_auto_move//signs_mov_separ_signers/Liz_16010.mov","MOV")</f>
        <v>21</v>
      </c>
      <c r="M4471" t="s" s="10">
        <v>59</v>
      </c>
      <c r="N4471" s="17">
        <v>5</v>
      </c>
      <c r="O4471" s="18">
        <v>357</v>
      </c>
      <c r="P4471" s="18">
        <v>405</v>
      </c>
      <c r="Q4471" t="s" s="16">
        <f>HYPERLINK("http://secrets.rutgers.edu:8080/data/asl-ftp/asllvd/demos/verify_start_end_handshape_annotations//test_auto_move//signs_mov/16010.mov","MOV")</f>
        <v>21</v>
      </c>
      <c r="R4471" t="s" s="16">
        <f>HYPERLINK("http://secrets.rutgers.edu:8080/data/asl-ftp/asllvd/demos/verify_start_end_handshape_annotations//test_auto_move//signs_mov_separ_signers/Liz_16010.mov","MOV")</f>
        <v>21</v>
      </c>
    </row>
    <row r="4472" s="2" customFormat="1" ht="13.5" customHeight="1">
      <c r="B4472" s="13"/>
      <c r="C4472" t="s" s="9">
        <v>30</v>
      </c>
      <c r="D4472" t="s" s="8">
        <v>1524</v>
      </c>
      <c r="E4472" t="s" s="9">
        <v>1525</v>
      </c>
      <c r="F4472" t="s" s="10">
        <v>73</v>
      </c>
      <c r="G4472" t="s" s="11">
        <v>73</v>
      </c>
      <c r="H4472" t="s" s="10">
        <v>73</v>
      </c>
      <c r="I4472" t="s" s="11">
        <v>73</v>
      </c>
      <c r="J4472" t="s" s="11">
        <v>20</v>
      </c>
      <c r="K4472" s="15"/>
      <c r="L4472" t="s" s="16">
        <f>HYPERLINK("http://csr.bu.edu/ftp/asl/asllvd/demos/verify_start_end_handshape_annotations//test_auto_move//signs_mov_separ_signers/Brady_16010.mov","MOV")</f>
        <v>21</v>
      </c>
      <c r="M4472" t="s" s="10">
        <v>40</v>
      </c>
      <c r="N4472" s="17">
        <v>109</v>
      </c>
      <c r="O4472" s="18">
        <v>1966</v>
      </c>
      <c r="P4472" s="18">
        <v>2029</v>
      </c>
      <c r="Q4472" s="15"/>
      <c r="R4472" t="s" s="16">
        <f>HYPERLINK("http://secrets.rutgers.edu:8080/data/asl-ftp/asllvd/demos/verify_start_end_handshape_annotations//test_auto_move//signs_mov_separ_signers/Brady_16010.mov","MOV")</f>
        <v>21</v>
      </c>
    </row>
    <row r="4473" s="2" customFormat="1" ht="13.5" customHeight="1">
      <c r="B4473" t="s" s="8">
        <v>1526</v>
      </c>
      <c r="C4473" t="s" s="9">
        <v>14</v>
      </c>
      <c r="D4473" t="s" s="8">
        <v>14</v>
      </c>
      <c r="E4473" t="s" s="9">
        <v>14</v>
      </c>
      <c r="F4473" t="s" s="10">
        <v>14</v>
      </c>
      <c r="G4473" t="s" s="11">
        <v>14</v>
      </c>
      <c r="H4473" t="s" s="10">
        <v>14</v>
      </c>
      <c r="I4473" t="s" s="11">
        <v>14</v>
      </c>
      <c r="J4473" t="s" s="11">
        <v>14</v>
      </c>
      <c r="K4473" t="s" s="12">
        <v>14</v>
      </c>
      <c r="L4473" t="s" s="12">
        <v>14</v>
      </c>
      <c r="M4473" t="s" s="10">
        <v>14</v>
      </c>
      <c r="N4473" t="s" s="11">
        <v>14</v>
      </c>
      <c r="O4473" t="s" s="8">
        <v>14</v>
      </c>
      <c r="P4473" t="s" s="8">
        <v>14</v>
      </c>
      <c r="Q4473" t="s" s="12">
        <v>14</v>
      </c>
      <c r="R4473" t="s" s="12">
        <v>14</v>
      </c>
    </row>
    <row r="4474" s="2" customFormat="1" ht="13.5" customHeight="1">
      <c r="B4474" s="13"/>
      <c r="C4474" t="s" s="9">
        <v>16</v>
      </c>
      <c r="D4474" t="s" s="8">
        <v>1526</v>
      </c>
      <c r="E4474" t="s" s="9">
        <v>1527</v>
      </c>
      <c r="F4474" t="s" s="10">
        <v>73</v>
      </c>
      <c r="G4474" t="s" s="11">
        <v>73</v>
      </c>
      <c r="H4474" t="s" s="10">
        <v>73</v>
      </c>
      <c r="I4474" t="s" s="11">
        <v>73</v>
      </c>
      <c r="J4474" t="s" s="11">
        <v>20</v>
      </c>
      <c r="K4474" s="15"/>
      <c r="L4474" t="s" s="16">
        <f>HYPERLINK("http://csr.bu.edu/ftp/asl/asllvd/demos/verify_start_end_handshape_annotations//test_auto_move//signs_mov_separ_signers/Liz_16106.mov","MOV")</f>
        <v>21</v>
      </c>
      <c r="M4474" t="s" s="10">
        <v>22</v>
      </c>
      <c r="N4474" s="17">
        <v>30</v>
      </c>
      <c r="O4474" s="18">
        <v>815</v>
      </c>
      <c r="P4474" s="18">
        <v>885</v>
      </c>
      <c r="Q4474" s="15"/>
      <c r="R4474" t="s" s="16">
        <f>HYPERLINK("http://secrets.rutgers.edu:8080/data/asl-ftp/asllvd/demos/verify_start_end_handshape_annotations//test_auto_move//signs_mov_separ_signers/Liz_16106.mov","MOV")</f>
        <v>21</v>
      </c>
    </row>
    <row r="4475" s="2" customFormat="1" ht="13.5" customHeight="1">
      <c r="B4475" s="13"/>
      <c r="C4475" t="s" s="9">
        <v>23</v>
      </c>
      <c r="D4475" t="s" s="8">
        <v>1526</v>
      </c>
      <c r="E4475" t="s" s="9">
        <v>1527</v>
      </c>
      <c r="F4475" t="s" s="10">
        <v>73</v>
      </c>
      <c r="G4475" t="s" s="11">
        <v>73</v>
      </c>
      <c r="H4475" t="s" s="10">
        <v>73</v>
      </c>
      <c r="I4475" t="s" s="11">
        <v>73</v>
      </c>
      <c r="J4475" t="s" s="11">
        <v>20</v>
      </c>
      <c r="K4475" t="s" s="16">
        <f>HYPERLINK("http://csr.bu.edu/ftp/asl/asllvd/demos/verify_start_end_handshape_annotations//test_auto_move//signs_mov/16106.mov","MOV")</f>
        <v>21</v>
      </c>
      <c r="L4475" t="s" s="16">
        <f>HYPERLINK("http://csr.bu.edu/ftp/asl/asllvd/demos/verify_start_end_handshape_annotations//test_auto_move//signs_mov_separ_signers/Tyler_16106.mov","MOV")</f>
        <v>21</v>
      </c>
      <c r="M4475" t="s" s="10">
        <v>26</v>
      </c>
      <c r="N4475" s="17">
        <v>19</v>
      </c>
      <c r="O4475" s="18">
        <v>4366</v>
      </c>
      <c r="P4475" s="18">
        <v>4445</v>
      </c>
      <c r="Q4475" t="s" s="16">
        <f>HYPERLINK("http://secrets.rutgers.edu:8080/data/asl-ftp/asllvd/demos/verify_start_end_handshape_annotations//test_auto_move//signs_mov/16106.mov","MOV")</f>
        <v>21</v>
      </c>
      <c r="R4475" t="s" s="16">
        <f>HYPERLINK("http://secrets.rutgers.edu:8080/data/asl-ftp/asllvd/demos/verify_start_end_handshape_annotations//test_auto_move//signs_mov_separ_signers/Tyler_16106.mov","MOV")</f>
        <v>21</v>
      </c>
    </row>
    <row r="4476" s="2" customFormat="1" ht="13.5" customHeight="1">
      <c r="B4476" s="13"/>
      <c r="C4476" t="s" s="9">
        <v>27</v>
      </c>
      <c r="D4476" t="s" s="8">
        <v>1526</v>
      </c>
      <c r="E4476" t="s" s="9">
        <v>1527</v>
      </c>
      <c r="F4476" t="s" s="10">
        <v>73</v>
      </c>
      <c r="G4476" t="s" s="11">
        <v>73</v>
      </c>
      <c r="H4476" t="s" s="10">
        <v>73</v>
      </c>
      <c r="I4476" t="s" s="11">
        <v>73</v>
      </c>
      <c r="J4476" t="s" s="11">
        <v>20</v>
      </c>
      <c r="K4476" s="15"/>
      <c r="L4476" t="s" s="16">
        <f>HYPERLINK("http://csr.bu.edu/ftp/asl/asllvd/demos/verify_start_end_handshape_annotations//test_auto_move//signs_mov_separ_signers/Naomi_16106.mov","MOV")</f>
        <v>21</v>
      </c>
      <c r="M4476" t="s" s="10">
        <v>29</v>
      </c>
      <c r="N4476" s="17">
        <v>19</v>
      </c>
      <c r="O4476" s="18">
        <v>2717</v>
      </c>
      <c r="P4476" s="18">
        <v>2770</v>
      </c>
      <c r="Q4476" s="15"/>
      <c r="R4476" t="s" s="16">
        <f>HYPERLINK("http://secrets.rutgers.edu:8080/data/asl-ftp/asllvd/demos/verify_start_end_handshape_annotations//test_auto_move//signs_mov_separ_signers/Naomi_16106.mov","MOV")</f>
        <v>21</v>
      </c>
    </row>
    <row r="4477" s="2" customFormat="1" ht="13.5" customHeight="1">
      <c r="B4477" s="13"/>
      <c r="C4477" t="s" s="9">
        <v>30</v>
      </c>
      <c r="D4477" t="s" s="8">
        <v>1526</v>
      </c>
      <c r="E4477" t="s" s="9">
        <v>1527</v>
      </c>
      <c r="F4477" t="s" s="10">
        <v>73</v>
      </c>
      <c r="G4477" t="s" s="11">
        <v>73</v>
      </c>
      <c r="H4477" t="s" s="10">
        <v>73</v>
      </c>
      <c r="I4477" t="s" s="11">
        <v>73</v>
      </c>
      <c r="J4477" t="s" s="11">
        <v>20</v>
      </c>
      <c r="K4477" s="15"/>
      <c r="L4477" t="s" s="16">
        <f>HYPERLINK("http://csr.bu.edu/ftp/asl/asllvd/demos/verify_start_end_handshape_annotations//test_auto_move//signs_mov_separ_signers/Brady_16106.mov","MOV")</f>
        <v>21</v>
      </c>
      <c r="M4477" t="s" s="10">
        <v>31</v>
      </c>
      <c r="N4477" s="17">
        <v>15</v>
      </c>
      <c r="O4477" s="18">
        <v>6736</v>
      </c>
      <c r="P4477" s="18">
        <v>6777</v>
      </c>
      <c r="Q4477" s="15"/>
      <c r="R4477" t="s" s="16">
        <f>HYPERLINK("http://secrets.rutgers.edu:8080/data/asl-ftp/asllvd/demos/verify_start_end_handshape_annotations//test_auto_move//signs_mov_separ_signers/Brady_16106.mov","MOV")</f>
        <v>21</v>
      </c>
    </row>
    <row r="4478" s="2" customFormat="1" ht="13.5" customHeight="1">
      <c r="B4478" t="s" s="8">
        <v>1528</v>
      </c>
      <c r="C4478" t="s" s="9">
        <v>14</v>
      </c>
      <c r="D4478" t="s" s="8">
        <v>14</v>
      </c>
      <c r="E4478" t="s" s="9">
        <v>14</v>
      </c>
      <c r="F4478" t="s" s="10">
        <v>14</v>
      </c>
      <c r="G4478" t="s" s="11">
        <v>14</v>
      </c>
      <c r="H4478" t="s" s="10">
        <v>14</v>
      </c>
      <c r="I4478" t="s" s="11">
        <v>14</v>
      </c>
      <c r="J4478" t="s" s="11">
        <v>14</v>
      </c>
      <c r="K4478" t="s" s="12">
        <v>14</v>
      </c>
      <c r="L4478" t="s" s="12">
        <v>14</v>
      </c>
      <c r="M4478" t="s" s="10">
        <v>14</v>
      </c>
      <c r="N4478" t="s" s="11">
        <v>14</v>
      </c>
      <c r="O4478" t="s" s="8">
        <v>14</v>
      </c>
      <c r="P4478" t="s" s="8">
        <v>14</v>
      </c>
      <c r="Q4478" t="s" s="12">
        <v>14</v>
      </c>
      <c r="R4478" t="s" s="12">
        <v>14</v>
      </c>
    </row>
    <row r="4479" s="2" customFormat="1" ht="13.5" customHeight="1">
      <c r="B4479" s="13"/>
      <c r="C4479" t="s" s="9">
        <v>16</v>
      </c>
      <c r="D4479" t="s" s="8">
        <v>1528</v>
      </c>
      <c r="E4479" t="s" s="9">
        <v>1529</v>
      </c>
      <c r="F4479" t="s" s="10">
        <v>55</v>
      </c>
      <c r="G4479" t="s" s="11">
        <v>55</v>
      </c>
      <c r="H4479" t="s" s="10">
        <v>55</v>
      </c>
      <c r="I4479" t="s" s="11">
        <v>55</v>
      </c>
      <c r="J4479" t="s" s="11">
        <v>20</v>
      </c>
      <c r="K4479" t="s" s="16">
        <f>HYPERLINK("http://csr.bu.edu/ftp/asl/asllvd/demos/verify_start_end_handshape_annotations//test_auto_move//signs_mov/16151.mov","MOV")</f>
        <v>21</v>
      </c>
      <c r="L4479" t="s" s="16">
        <f>HYPERLINK("http://csr.bu.edu/ftp/asl/asllvd/demos/verify_start_end_handshape_annotations//test_auto_move//signs_mov_separ_signers/Liz_16151.mov","MOV")</f>
        <v>21</v>
      </c>
      <c r="M4479" t="s" s="10">
        <v>59</v>
      </c>
      <c r="N4479" s="17">
        <v>5</v>
      </c>
      <c r="O4479" s="18">
        <v>152</v>
      </c>
      <c r="P4479" s="18">
        <v>195</v>
      </c>
      <c r="Q4479" t="s" s="16">
        <f>HYPERLINK("http://secrets.rutgers.edu:8080/data/asl-ftp/asllvd/demos/verify_start_end_handshape_annotations//test_auto_move//signs_mov/16151.mov","MOV")</f>
        <v>21</v>
      </c>
      <c r="R4479" t="s" s="16">
        <f>HYPERLINK("http://secrets.rutgers.edu:8080/data/asl-ftp/asllvd/demos/verify_start_end_handshape_annotations//test_auto_move//signs_mov_separ_signers/Liz_16151.mov","MOV")</f>
        <v>21</v>
      </c>
    </row>
    <row r="4480" s="2" customFormat="1" ht="13.5" customHeight="1">
      <c r="B4480" t="s" s="8">
        <v>1530</v>
      </c>
      <c r="C4480" t="s" s="9">
        <v>14</v>
      </c>
      <c r="D4480" t="s" s="8">
        <v>14</v>
      </c>
      <c r="E4480" t="s" s="9">
        <v>14</v>
      </c>
      <c r="F4480" t="s" s="10">
        <v>14</v>
      </c>
      <c r="G4480" t="s" s="11">
        <v>14</v>
      </c>
      <c r="H4480" t="s" s="10">
        <v>14</v>
      </c>
      <c r="I4480" t="s" s="11">
        <v>14</v>
      </c>
      <c r="J4480" t="s" s="11">
        <v>14</v>
      </c>
      <c r="K4480" t="s" s="12">
        <v>14</v>
      </c>
      <c r="L4480" t="s" s="12">
        <v>14</v>
      </c>
      <c r="M4480" t="s" s="10">
        <v>14</v>
      </c>
      <c r="N4480" t="s" s="11">
        <v>14</v>
      </c>
      <c r="O4480" t="s" s="8">
        <v>14</v>
      </c>
      <c r="P4480" t="s" s="8">
        <v>14</v>
      </c>
      <c r="Q4480" t="s" s="12">
        <v>14</v>
      </c>
      <c r="R4480" t="s" s="12">
        <v>14</v>
      </c>
    </row>
    <row r="4481" s="2" customFormat="1" ht="13.5" customHeight="1">
      <c r="B4481" s="13"/>
      <c r="C4481" t="s" s="9">
        <v>30</v>
      </c>
      <c r="D4481" t="s" s="8">
        <v>1530</v>
      </c>
      <c r="E4481" t="s" s="9">
        <v>1530</v>
      </c>
      <c r="F4481" t="s" s="10">
        <v>282</v>
      </c>
      <c r="G4481" s="14"/>
      <c r="H4481" t="s" s="10">
        <v>386</v>
      </c>
      <c r="I4481" s="14"/>
      <c r="J4481" t="s" s="11">
        <v>20</v>
      </c>
      <c r="K4481" t="s" s="16">
        <f>HYPERLINK("http://csr.bu.edu/ftp/asl/asllvd/demos/verify_start_end_handshape_annotations//test_auto_move//signs_mov/16152.mov","MOV")</f>
        <v>21</v>
      </c>
      <c r="L4481" t="s" s="16">
        <f>HYPERLINK("http://csr.bu.edu/ftp/asl/asllvd/demos/verify_start_end_handshape_annotations//test_auto_move//signs_mov_separ_signers/Brady_16152.mov","MOV")</f>
        <v>21</v>
      </c>
      <c r="M4481" t="s" s="10">
        <v>39</v>
      </c>
      <c r="N4481" s="17">
        <v>17</v>
      </c>
      <c r="O4481" s="18">
        <v>3464</v>
      </c>
      <c r="P4481" s="18">
        <v>3489</v>
      </c>
      <c r="Q4481" t="s" s="16">
        <f>HYPERLINK("http://secrets.rutgers.edu:8080/data/asl-ftp/asllvd/demos/verify_start_end_handshape_annotations//test_auto_move//signs_mov/16152.mov","MOV")</f>
        <v>21</v>
      </c>
      <c r="R4481" t="s" s="16">
        <f>HYPERLINK("http://secrets.rutgers.edu:8080/data/asl-ftp/asllvd/demos/verify_start_end_handshape_annotations//test_auto_move//signs_mov_separ_signers/Brady_16152.mov","MOV")</f>
        <v>21</v>
      </c>
    </row>
    <row r="4482" s="2" customFormat="1" ht="13.5" customHeight="1">
      <c r="B4482" t="s" s="8">
        <v>1531</v>
      </c>
      <c r="C4482" t="s" s="9">
        <v>14</v>
      </c>
      <c r="D4482" t="s" s="8">
        <v>14</v>
      </c>
      <c r="E4482" t="s" s="9">
        <v>14</v>
      </c>
      <c r="F4482" t="s" s="10">
        <v>14</v>
      </c>
      <c r="G4482" t="s" s="11">
        <v>14</v>
      </c>
      <c r="H4482" t="s" s="10">
        <v>14</v>
      </c>
      <c r="I4482" t="s" s="11">
        <v>14</v>
      </c>
      <c r="J4482" t="s" s="11">
        <v>14</v>
      </c>
      <c r="K4482" t="s" s="12">
        <v>14</v>
      </c>
      <c r="L4482" t="s" s="12">
        <v>14</v>
      </c>
      <c r="M4482" t="s" s="10">
        <v>14</v>
      </c>
      <c r="N4482" t="s" s="11">
        <v>14</v>
      </c>
      <c r="O4482" t="s" s="8">
        <v>14</v>
      </c>
      <c r="P4482" t="s" s="8">
        <v>14</v>
      </c>
      <c r="Q4482" t="s" s="12">
        <v>14</v>
      </c>
      <c r="R4482" t="s" s="12">
        <v>14</v>
      </c>
    </row>
    <row r="4483" s="2" customFormat="1" ht="13.5" customHeight="1">
      <c r="B4483" s="13"/>
      <c r="C4483" t="s" s="9">
        <v>16</v>
      </c>
      <c r="D4483" t="s" s="8">
        <v>1531</v>
      </c>
      <c r="E4483" t="s" s="9">
        <v>1531</v>
      </c>
      <c r="F4483" s="19">
        <v>1</v>
      </c>
      <c r="G4483" s="14"/>
      <c r="H4483" s="19">
        <v>1</v>
      </c>
      <c r="I4483" s="14"/>
      <c r="J4483" t="s" s="11">
        <v>20</v>
      </c>
      <c r="K4483" s="15"/>
      <c r="L4483" t="s" s="16">
        <f>HYPERLINK("http://csr.bu.edu/ftp/asl/asllvd/demos/verify_start_end_handshape_annotations//test_auto_move//signs_mov_separ_signers/Liz_961.mov","MOV")</f>
        <v>21</v>
      </c>
      <c r="M4483" t="s" s="10">
        <v>84</v>
      </c>
      <c r="N4483" s="17">
        <v>47</v>
      </c>
      <c r="O4483" s="18">
        <v>521</v>
      </c>
      <c r="P4483" s="18">
        <v>545</v>
      </c>
      <c r="Q4483" s="15"/>
      <c r="R4483" t="s" s="16">
        <f>HYPERLINK("http://secrets.rutgers.edu:8080/data/asl-ftp/asllvd/demos/verify_start_end_handshape_annotations//test_auto_move//signs_mov_separ_signers/Liz_961.mov","MOV")</f>
        <v>21</v>
      </c>
    </row>
    <row r="4484" s="2" customFormat="1" ht="13.5" customHeight="1">
      <c r="B4484" s="13"/>
      <c r="C4484" t="s" s="9">
        <v>23</v>
      </c>
      <c r="D4484" t="s" s="8">
        <v>1531</v>
      </c>
      <c r="E4484" t="s" s="9">
        <v>1531</v>
      </c>
      <c r="F4484" s="19">
        <v>1</v>
      </c>
      <c r="G4484" s="14"/>
      <c r="H4484" s="19">
        <v>1</v>
      </c>
      <c r="I4484" s="14"/>
      <c r="J4484" t="s" s="11">
        <v>20</v>
      </c>
      <c r="K4484" t="s" s="16">
        <f>HYPERLINK("http://csr.bu.edu/ftp/asl/asllvd/demos/verify_start_end_handshape_annotations//test_auto_move//signs_mov/961.mov","MOV")</f>
        <v>21</v>
      </c>
      <c r="L4484" t="s" s="16">
        <f>HYPERLINK("http://csr.bu.edu/ftp/asl/asllvd/demos/verify_start_end_handshape_annotations//test_auto_move//signs_mov_separ_signers/Tyler_961.mov","MOV")</f>
        <v>21</v>
      </c>
      <c r="M4484" t="s" s="10">
        <v>92</v>
      </c>
      <c r="N4484" s="17">
        <v>27</v>
      </c>
      <c r="O4484" s="18">
        <v>310</v>
      </c>
      <c r="P4484" s="18">
        <v>326</v>
      </c>
      <c r="Q4484" t="s" s="16">
        <f>HYPERLINK("http://secrets.rutgers.edu:8080/data/asl-ftp/asllvd/demos/verify_start_end_handshape_annotations//test_auto_move//signs_mov/961.mov","MOV")</f>
        <v>21</v>
      </c>
      <c r="R4484" t="s" s="16">
        <f>HYPERLINK("http://secrets.rutgers.edu:8080/data/asl-ftp/asllvd/demos/verify_start_end_handshape_annotations//test_auto_move//signs_mov_separ_signers/Tyler_961.mov","MOV")</f>
        <v>21</v>
      </c>
    </row>
    <row r="4485" s="2" customFormat="1" ht="13.5" customHeight="1">
      <c r="B4485" s="13"/>
      <c r="C4485" t="s" s="9">
        <v>27</v>
      </c>
      <c r="D4485" t="s" s="8">
        <v>1531</v>
      </c>
      <c r="E4485" t="s" s="9">
        <v>1531</v>
      </c>
      <c r="F4485" s="19">
        <v>1</v>
      </c>
      <c r="G4485" s="14"/>
      <c r="H4485" s="19">
        <v>1</v>
      </c>
      <c r="I4485" s="14"/>
      <c r="J4485" t="s" s="11">
        <v>20</v>
      </c>
      <c r="K4485" s="15"/>
      <c r="L4485" t="s" s="16">
        <f>HYPERLINK("http://csr.bu.edu/ftp/asl/asllvd/demos/verify_start_end_handshape_annotations//test_auto_move//signs_mov_separ_signers/Naomi_961.mov","MOV")</f>
        <v>21</v>
      </c>
      <c r="M4485" t="s" s="10">
        <v>86</v>
      </c>
      <c r="N4485" s="17">
        <v>47</v>
      </c>
      <c r="O4485" s="18">
        <v>185</v>
      </c>
      <c r="P4485" s="18">
        <v>200</v>
      </c>
      <c r="Q4485" s="15"/>
      <c r="R4485" t="s" s="16">
        <f>HYPERLINK("http://secrets.rutgers.edu:8080/data/asl-ftp/asllvd/demos/verify_start_end_handshape_annotations//test_auto_move//signs_mov_separ_signers/Naomi_961.mov","MOV")</f>
        <v>21</v>
      </c>
    </row>
    <row r="4486" s="2" customFormat="1" ht="13.5" customHeight="1">
      <c r="B4486" s="13"/>
      <c r="C4486" t="s" s="9">
        <v>41</v>
      </c>
      <c r="D4486" t="s" s="8">
        <v>1531</v>
      </c>
      <c r="E4486" t="s" s="9">
        <v>1531</v>
      </c>
      <c r="F4486" s="19">
        <v>1</v>
      </c>
      <c r="G4486" s="14"/>
      <c r="H4486" s="19">
        <v>1</v>
      </c>
      <c r="I4486" s="14"/>
      <c r="J4486" t="s" s="11">
        <v>20</v>
      </c>
      <c r="K4486" s="15"/>
      <c r="L4486" t="s" s="16">
        <f>HYPERLINK("http://csr.bu.edu/ftp/asl/asllvd/demos/verify_start_end_handshape_annotations//test_auto_move//signs_mov_separ_signers/Lana_961.mov","MOV")</f>
        <v>21</v>
      </c>
      <c r="M4486" t="s" s="10">
        <v>42</v>
      </c>
      <c r="N4486" s="17">
        <v>11</v>
      </c>
      <c r="O4486" s="18">
        <v>1450</v>
      </c>
      <c r="P4486" s="18">
        <v>1458</v>
      </c>
      <c r="Q4486" s="15"/>
      <c r="R4486" t="s" s="16">
        <f>HYPERLINK("http://secrets.rutgers.edu:8080/data/asl-ftp/asllvd/demos/verify_start_end_handshape_annotations//test_auto_move//signs_mov_separ_signers/Lana_961.mov","MOV")</f>
        <v>21</v>
      </c>
    </row>
    <row r="4487" s="2" customFormat="1" ht="13.5" customHeight="1">
      <c r="B4487" t="s" s="8">
        <v>1532</v>
      </c>
      <c r="C4487" t="s" s="9">
        <v>14</v>
      </c>
      <c r="D4487" t="s" s="8">
        <v>14</v>
      </c>
      <c r="E4487" t="s" s="9">
        <v>14</v>
      </c>
      <c r="F4487" t="s" s="10">
        <v>14</v>
      </c>
      <c r="G4487" t="s" s="11">
        <v>14</v>
      </c>
      <c r="H4487" t="s" s="10">
        <v>14</v>
      </c>
      <c r="I4487" t="s" s="11">
        <v>14</v>
      </c>
      <c r="J4487" t="s" s="11">
        <v>14</v>
      </c>
      <c r="K4487" t="s" s="12">
        <v>14</v>
      </c>
      <c r="L4487" t="s" s="12">
        <v>14</v>
      </c>
      <c r="M4487" t="s" s="10">
        <v>14</v>
      </c>
      <c r="N4487" t="s" s="11">
        <v>14</v>
      </c>
      <c r="O4487" t="s" s="8">
        <v>14</v>
      </c>
      <c r="P4487" t="s" s="8">
        <v>14</v>
      </c>
      <c r="Q4487" t="s" s="12">
        <v>14</v>
      </c>
      <c r="R4487" t="s" s="12">
        <v>14</v>
      </c>
    </row>
    <row r="4488" s="2" customFormat="1" ht="13.5" customHeight="1">
      <c r="B4488" s="13"/>
      <c r="C4488" t="s" s="9">
        <v>16</v>
      </c>
      <c r="D4488" t="s" s="8">
        <v>1532</v>
      </c>
      <c r="E4488" t="s" s="9">
        <v>1533</v>
      </c>
      <c r="F4488" s="19">
        <v>1</v>
      </c>
      <c r="G4488" s="14"/>
      <c r="H4488" s="19">
        <v>1</v>
      </c>
      <c r="I4488" s="14"/>
      <c r="J4488" t="s" s="11">
        <v>20</v>
      </c>
      <c r="K4488" s="15"/>
      <c r="L4488" t="s" s="16">
        <f>HYPERLINK("http://csr.bu.edu/ftp/asl/asllvd/demos/verify_start_end_handshape_annotations//test_auto_move//signs_mov_separ_signers/Liz_16362.mov","MOV")</f>
        <v>21</v>
      </c>
      <c r="M4488" t="s" s="10">
        <v>59</v>
      </c>
      <c r="N4488" s="17">
        <v>39</v>
      </c>
      <c r="O4488" s="18">
        <v>1036</v>
      </c>
      <c r="P4488" s="18">
        <v>1062</v>
      </c>
      <c r="Q4488" s="15"/>
      <c r="R4488" t="s" s="16">
        <f>HYPERLINK("http://secrets.rutgers.edu:8080/data/asl-ftp/asllvd/demos/verify_start_end_handshape_annotations//test_auto_move//signs_mov_separ_signers/Liz_16362.mov","MOV")</f>
        <v>21</v>
      </c>
    </row>
    <row r="4489" s="2" customFormat="1" ht="13.5" customHeight="1">
      <c r="B4489" s="13"/>
      <c r="C4489" t="s" s="9">
        <v>30</v>
      </c>
      <c r="D4489" t="s" s="8">
        <v>1532</v>
      </c>
      <c r="E4489" t="s" s="9">
        <v>1533</v>
      </c>
      <c r="F4489" s="19">
        <v>1</v>
      </c>
      <c r="G4489" s="14"/>
      <c r="H4489" s="19">
        <v>1</v>
      </c>
      <c r="I4489" s="14"/>
      <c r="J4489" t="s" s="11">
        <v>20</v>
      </c>
      <c r="K4489" t="s" s="16">
        <f>HYPERLINK("http://csr.bu.edu/ftp/asl/asllvd/demos/verify_start_end_handshape_annotations//test_auto_move//signs_mov/16362_16371_merged.mov","MOV")</f>
        <v>21</v>
      </c>
      <c r="L4489" t="s" s="16">
        <f>HYPERLINK("http://csr.bu.edu/ftp/asl/asllvd/demos/verify_start_end_handshape_annotations//test_auto_move//signs_mov_separ_signers/Brady_16362.mov","MOV")</f>
        <v>21</v>
      </c>
      <c r="M4489" t="s" s="10">
        <v>39</v>
      </c>
      <c r="N4489" s="17">
        <v>21</v>
      </c>
      <c r="O4489" s="18">
        <v>3556</v>
      </c>
      <c r="P4489" s="18">
        <v>3581</v>
      </c>
      <c r="Q4489" t="s" s="16">
        <f>HYPERLINK("http://secrets.rutgers.edu:8080/data/asl-ftp/asllvd/demos/verify_start_end_handshape_annotations//test_auto_move//signs_mov/16362_16371_merged.mov","MOV")</f>
        <v>21</v>
      </c>
      <c r="R4489" t="s" s="16">
        <f>HYPERLINK("http://secrets.rutgers.edu:8080/data/asl-ftp/asllvd/demos/verify_start_end_handshape_annotations//test_auto_move//signs_mov_separ_signers/Brady_16362.mov","MOV")</f>
        <v>21</v>
      </c>
    </row>
    <row r="4490" s="2" customFormat="1" ht="13.5" customHeight="1">
      <c r="B4490" s="13"/>
      <c r="C4490" t="s" s="9">
        <v>30</v>
      </c>
      <c r="D4490" t="s" s="8">
        <v>1532</v>
      </c>
      <c r="E4490" t="s" s="9">
        <v>1533</v>
      </c>
      <c r="F4490" s="19">
        <v>1</v>
      </c>
      <c r="G4490" s="14"/>
      <c r="H4490" s="19">
        <v>1</v>
      </c>
      <c r="I4490" s="14"/>
      <c r="J4490" t="s" s="11">
        <v>20</v>
      </c>
      <c r="K4490" s="15"/>
      <c r="L4490" t="s" s="16">
        <f>HYPERLINK("http://csr.bu.edu/ftp/asl/asllvd/demos/verify_start_end_handshape_annotations//test_auto_move//signs_mov_separ_signers/Brady_16371.mov","MOV")</f>
        <v>21</v>
      </c>
      <c r="M4490" t="s" s="10">
        <v>60</v>
      </c>
      <c r="N4490" s="17">
        <v>28</v>
      </c>
      <c r="O4490" s="18">
        <v>185</v>
      </c>
      <c r="P4490" s="18">
        <v>225</v>
      </c>
      <c r="Q4490" s="15"/>
      <c r="R4490" t="s" s="16">
        <f>HYPERLINK("http://secrets.rutgers.edu:8080/data/asl-ftp/asllvd/demos/verify_start_end_handshape_annotations//test_auto_move//signs_mov_separ_signers/Brady_16371.mov","MOV")</f>
        <v>21</v>
      </c>
    </row>
    <row r="4491" s="2" customFormat="1" ht="13.5" customHeight="1">
      <c r="B4491" t="s" s="8">
        <v>1534</v>
      </c>
      <c r="C4491" t="s" s="9">
        <v>14</v>
      </c>
      <c r="D4491" t="s" s="8">
        <v>14</v>
      </c>
      <c r="E4491" t="s" s="9">
        <v>14</v>
      </c>
      <c r="F4491" t="s" s="10">
        <v>14</v>
      </c>
      <c r="G4491" t="s" s="11">
        <v>14</v>
      </c>
      <c r="H4491" t="s" s="10">
        <v>14</v>
      </c>
      <c r="I4491" t="s" s="11">
        <v>14</v>
      </c>
      <c r="J4491" t="s" s="11">
        <v>14</v>
      </c>
      <c r="K4491" t="s" s="12">
        <v>14</v>
      </c>
      <c r="L4491" t="s" s="12">
        <v>14</v>
      </c>
      <c r="M4491" t="s" s="10">
        <v>14</v>
      </c>
      <c r="N4491" t="s" s="11">
        <v>14</v>
      </c>
      <c r="O4491" t="s" s="8">
        <v>14</v>
      </c>
      <c r="P4491" t="s" s="8">
        <v>14</v>
      </c>
      <c r="Q4491" t="s" s="12">
        <v>14</v>
      </c>
      <c r="R4491" t="s" s="12">
        <v>14</v>
      </c>
    </row>
    <row r="4492" s="2" customFormat="1" ht="13.5" customHeight="1">
      <c r="B4492" s="13"/>
      <c r="C4492" t="s" s="9">
        <v>16</v>
      </c>
      <c r="D4492" t="s" s="8">
        <v>1534</v>
      </c>
      <c r="E4492" t="s" s="9">
        <v>1534</v>
      </c>
      <c r="F4492" t="s" s="10">
        <v>25</v>
      </c>
      <c r="G4492" t="s" s="11">
        <v>73</v>
      </c>
      <c r="H4492" t="s" s="10">
        <v>25</v>
      </c>
      <c r="I4492" t="s" s="11">
        <v>73</v>
      </c>
      <c r="J4492" t="s" s="11">
        <v>20</v>
      </c>
      <c r="K4492" s="15"/>
      <c r="L4492" t="s" s="16">
        <f>HYPERLINK("http://csr.bu.edu/ftp/asl/asllvd/demos/verify_start_end_handshape_annotations//test_auto_move//signs_mov_separ_signers/Liz_962.mov","MOV")</f>
        <v>21</v>
      </c>
      <c r="M4492" t="s" s="10">
        <v>84</v>
      </c>
      <c r="N4492" s="17">
        <v>47</v>
      </c>
      <c r="O4492" s="18">
        <v>730</v>
      </c>
      <c r="P4492" s="18">
        <v>752</v>
      </c>
      <c r="Q4492" s="15"/>
      <c r="R4492" t="s" s="16">
        <f>HYPERLINK("http://secrets.rutgers.edu:8080/data/asl-ftp/asllvd/demos/verify_start_end_handshape_annotations//test_auto_move//signs_mov_separ_signers/Liz_962.mov","MOV")</f>
        <v>21</v>
      </c>
    </row>
    <row r="4493" s="2" customFormat="1" ht="13.5" customHeight="1">
      <c r="B4493" s="13"/>
      <c r="C4493" t="s" s="9">
        <v>16</v>
      </c>
      <c r="D4493" t="s" s="8">
        <v>1534</v>
      </c>
      <c r="E4493" t="s" s="9">
        <v>1534</v>
      </c>
      <c r="F4493" t="s" s="10">
        <v>25</v>
      </c>
      <c r="G4493" t="s" s="11">
        <v>73</v>
      </c>
      <c r="H4493" t="s" s="10">
        <v>25</v>
      </c>
      <c r="I4493" t="s" s="11">
        <v>73</v>
      </c>
      <c r="J4493" t="s" s="11">
        <v>20</v>
      </c>
      <c r="K4493" s="15"/>
      <c r="L4493" t="s" s="16">
        <f>HYPERLINK("http://csr.bu.edu/ftp/asl/asllvd/demos/verify_start_end_handshape_annotations//test_auto_move//signs_mov_separ_signers/Liz_3418.mov","MOV")</f>
        <v>21</v>
      </c>
      <c r="M4493" t="s" s="10">
        <v>77</v>
      </c>
      <c r="N4493" s="17">
        <v>5</v>
      </c>
      <c r="O4493" s="18">
        <v>895</v>
      </c>
      <c r="P4493" s="18">
        <v>954</v>
      </c>
      <c r="Q4493" s="15"/>
      <c r="R4493" t="s" s="16">
        <f>HYPERLINK("http://secrets.rutgers.edu:8080/data/asl-ftp/asllvd/demos/verify_start_end_handshape_annotations//test_auto_move//signs_mov_separ_signers/Liz_3418.mov","MOV")</f>
        <v>21</v>
      </c>
    </row>
    <row r="4494" s="2" customFormat="1" ht="13.5" customHeight="1">
      <c r="B4494" s="13"/>
      <c r="C4494" t="s" s="9">
        <v>16</v>
      </c>
      <c r="D4494" t="s" s="8">
        <v>1534</v>
      </c>
      <c r="E4494" t="s" s="9">
        <v>1534</v>
      </c>
      <c r="F4494" t="s" s="10">
        <v>25</v>
      </c>
      <c r="G4494" t="s" s="11">
        <v>73</v>
      </c>
      <c r="H4494" t="s" s="10">
        <v>25</v>
      </c>
      <c r="I4494" t="s" s="11">
        <v>73</v>
      </c>
      <c r="J4494" t="s" s="11">
        <v>20</v>
      </c>
      <c r="K4494" s="15"/>
      <c r="L4494" t="s" s="16">
        <f>HYPERLINK("http://csr.bu.edu/ftp/asl/asllvd/demos/verify_start_end_handshape_annotations//test_auto_move//signs_mov_separ_signers/Liz_3906.mov","MOV")</f>
        <v>21</v>
      </c>
      <c r="M4494" t="s" s="10">
        <v>77</v>
      </c>
      <c r="N4494" s="17">
        <v>30</v>
      </c>
      <c r="O4494" s="18">
        <v>2090</v>
      </c>
      <c r="P4494" s="18">
        <v>2145</v>
      </c>
      <c r="Q4494" s="15"/>
      <c r="R4494" t="s" s="16">
        <f>HYPERLINK("http://secrets.rutgers.edu:8080/data/asl-ftp/asllvd/demos/verify_start_end_handshape_annotations//test_auto_move//signs_mov_separ_signers/Liz_3906.mov","MOV")</f>
        <v>21</v>
      </c>
    </row>
    <row r="4495" s="2" customFormat="1" ht="13.5" customHeight="1">
      <c r="B4495" s="13"/>
      <c r="C4495" t="s" s="9">
        <v>23</v>
      </c>
      <c r="D4495" t="s" s="8">
        <v>1534</v>
      </c>
      <c r="E4495" t="s" s="9">
        <v>1534</v>
      </c>
      <c r="F4495" t="s" s="10">
        <v>25</v>
      </c>
      <c r="G4495" t="s" s="11">
        <v>73</v>
      </c>
      <c r="H4495" t="s" s="10">
        <v>25</v>
      </c>
      <c r="I4495" t="s" s="11">
        <v>73</v>
      </c>
      <c r="J4495" t="s" s="11">
        <v>20</v>
      </c>
      <c r="K4495" t="s" s="16">
        <f>HYPERLINK("http://csr.bu.edu/ftp/asl/asllvd/demos/verify_start_end_handshape_annotations//test_auto_move//signs_mov/962_3418_3906_merged.mov","MOV")</f>
        <v>21</v>
      </c>
      <c r="L4495" t="s" s="16">
        <f>HYPERLINK("http://csr.bu.edu/ftp/asl/asllvd/demos/verify_start_end_handshape_annotations//test_auto_move//signs_mov_separ_signers/Tyler_962.mov","MOV")</f>
        <v>21</v>
      </c>
      <c r="M4495" t="s" s="10">
        <v>92</v>
      </c>
      <c r="N4495" s="17">
        <v>27</v>
      </c>
      <c r="O4495" s="18">
        <v>521</v>
      </c>
      <c r="P4495" s="18">
        <v>545</v>
      </c>
      <c r="Q4495" t="s" s="16">
        <f>HYPERLINK("http://secrets.rutgers.edu:8080/data/asl-ftp/asllvd/demos/verify_start_end_handshape_annotations//test_auto_move//signs_mov/962_3418_3906_merged.mov","MOV")</f>
        <v>21</v>
      </c>
      <c r="R4495" t="s" s="16">
        <f>HYPERLINK("http://secrets.rutgers.edu:8080/data/asl-ftp/asllvd/demos/verify_start_end_handshape_annotations//test_auto_move//signs_mov_separ_signers/Tyler_962.mov","MOV")</f>
        <v>21</v>
      </c>
    </row>
    <row r="4496" s="2" customFormat="1" ht="13.5" customHeight="1">
      <c r="B4496" s="13"/>
      <c r="C4496" t="s" s="9">
        <v>27</v>
      </c>
      <c r="D4496" t="s" s="8">
        <v>1534</v>
      </c>
      <c r="E4496" t="s" s="9">
        <v>1534</v>
      </c>
      <c r="F4496" t="s" s="10">
        <v>25</v>
      </c>
      <c r="G4496" t="s" s="11">
        <v>73</v>
      </c>
      <c r="H4496" t="s" s="10">
        <v>25</v>
      </c>
      <c r="I4496" t="s" s="11">
        <v>73</v>
      </c>
      <c r="J4496" t="s" s="11">
        <v>20</v>
      </c>
      <c r="K4496" s="15"/>
      <c r="L4496" t="s" s="16">
        <f>HYPERLINK("http://csr.bu.edu/ftp/asl/asllvd/demos/verify_start_end_handshape_annotations//test_auto_move//signs_mov_separ_signers/Naomi_962.mov","MOV")</f>
        <v>21</v>
      </c>
      <c r="M4496" t="s" s="10">
        <v>86</v>
      </c>
      <c r="N4496" s="17">
        <v>47</v>
      </c>
      <c r="O4496" s="18">
        <v>492</v>
      </c>
      <c r="P4496" s="18">
        <v>515</v>
      </c>
      <c r="Q4496" s="15"/>
      <c r="R4496" t="s" s="16">
        <f>HYPERLINK("http://secrets.rutgers.edu:8080/data/asl-ftp/asllvd/demos/verify_start_end_handshape_annotations//test_auto_move//signs_mov_separ_signers/Naomi_962.mov","MOV")</f>
        <v>21</v>
      </c>
    </row>
    <row r="4497" s="2" customFormat="1" ht="13.5" customHeight="1">
      <c r="B4497" s="13"/>
      <c r="C4497" t="s" s="9">
        <v>30</v>
      </c>
      <c r="D4497" t="s" s="8">
        <v>1534</v>
      </c>
      <c r="E4497" t="s" s="9">
        <v>1534</v>
      </c>
      <c r="F4497" t="s" s="10">
        <v>25</v>
      </c>
      <c r="G4497" t="s" s="11">
        <v>73</v>
      </c>
      <c r="H4497" t="s" s="10">
        <v>25</v>
      </c>
      <c r="I4497" t="s" s="11">
        <v>73</v>
      </c>
      <c r="J4497" t="s" s="11">
        <v>20</v>
      </c>
      <c r="K4497" s="15"/>
      <c r="L4497" t="s" s="16">
        <f>HYPERLINK("http://csr.bu.edu/ftp/asl/asllvd/demos/verify_start_end_handshape_annotations//test_auto_move//signs_mov_separ_signers/Brady_962.mov","MOV")</f>
        <v>21</v>
      </c>
      <c r="M4497" t="s" s="10">
        <v>39</v>
      </c>
      <c r="N4497" s="17">
        <v>21</v>
      </c>
      <c r="O4497" s="18">
        <v>4745</v>
      </c>
      <c r="P4497" s="18">
        <v>4770</v>
      </c>
      <c r="Q4497" s="15"/>
      <c r="R4497" t="s" s="16">
        <f>HYPERLINK("http://secrets.rutgers.edu:8080/data/asl-ftp/asllvd/demos/verify_start_end_handshape_annotations//test_auto_move//signs_mov_separ_signers/Brady_962.mov","MOV")</f>
        <v>21</v>
      </c>
    </row>
    <row r="4498" s="2" customFormat="1" ht="13.5" customHeight="1">
      <c r="B4498" s="13"/>
      <c r="C4498" t="s" s="9">
        <v>30</v>
      </c>
      <c r="D4498" t="s" s="8">
        <v>1534</v>
      </c>
      <c r="E4498" t="s" s="9">
        <v>1534</v>
      </c>
      <c r="F4498" t="s" s="10">
        <v>25</v>
      </c>
      <c r="G4498" t="s" s="11">
        <v>73</v>
      </c>
      <c r="H4498" t="s" s="10">
        <v>25</v>
      </c>
      <c r="I4498" t="s" s="11">
        <v>73</v>
      </c>
      <c r="J4498" t="s" s="11">
        <v>20</v>
      </c>
      <c r="K4498" s="15"/>
      <c r="L4498" t="s" s="16">
        <f>HYPERLINK("http://csr.bu.edu/ftp/asl/asllvd/demos/verify_start_end_handshape_annotations//test_auto_move//signs_mov_separ_signers/Brady_3418.mov","MOV")</f>
        <v>21</v>
      </c>
      <c r="M4498" t="s" s="10">
        <v>39</v>
      </c>
      <c r="N4498" s="17">
        <v>39</v>
      </c>
      <c r="O4498" s="18">
        <v>588</v>
      </c>
      <c r="P4498" s="18">
        <v>613</v>
      </c>
      <c r="Q4498" s="15"/>
      <c r="R4498" t="s" s="16">
        <f>HYPERLINK("http://secrets.rutgers.edu:8080/data/asl-ftp/asllvd/demos/verify_start_end_handshape_annotations//test_auto_move//signs_mov_separ_signers/Brady_3418.mov","MOV")</f>
        <v>21</v>
      </c>
    </row>
    <row r="4499" s="2" customFormat="1" ht="13.5" customHeight="1">
      <c r="B4499" t="s" s="8">
        <v>1535</v>
      </c>
      <c r="C4499" t="s" s="9">
        <v>14</v>
      </c>
      <c r="D4499" t="s" s="8">
        <v>14</v>
      </c>
      <c r="E4499" t="s" s="9">
        <v>14</v>
      </c>
      <c r="F4499" t="s" s="10">
        <v>14</v>
      </c>
      <c r="G4499" t="s" s="11">
        <v>14</v>
      </c>
      <c r="H4499" t="s" s="10">
        <v>14</v>
      </c>
      <c r="I4499" t="s" s="11">
        <v>14</v>
      </c>
      <c r="J4499" t="s" s="11">
        <v>14</v>
      </c>
      <c r="K4499" t="s" s="12">
        <v>14</v>
      </c>
      <c r="L4499" t="s" s="12">
        <v>14</v>
      </c>
      <c r="M4499" t="s" s="10">
        <v>14</v>
      </c>
      <c r="N4499" t="s" s="11">
        <v>14</v>
      </c>
      <c r="O4499" t="s" s="8">
        <v>14</v>
      </c>
      <c r="P4499" t="s" s="8">
        <v>14</v>
      </c>
      <c r="Q4499" t="s" s="12">
        <v>14</v>
      </c>
      <c r="R4499" t="s" s="12">
        <v>14</v>
      </c>
    </row>
    <row r="4500" s="2" customFormat="1" ht="13.5" customHeight="1">
      <c r="B4500" s="13"/>
      <c r="C4500" t="s" s="9">
        <v>16</v>
      </c>
      <c r="D4500" t="s" s="8">
        <v>1535</v>
      </c>
      <c r="E4500" t="s" s="9">
        <v>1535</v>
      </c>
      <c r="F4500" t="s" s="10">
        <v>185</v>
      </c>
      <c r="G4500" t="s" s="11">
        <v>105</v>
      </c>
      <c r="H4500" t="s" s="10">
        <v>185</v>
      </c>
      <c r="I4500" t="s" s="11">
        <v>105</v>
      </c>
      <c r="J4500" t="s" s="11">
        <v>136</v>
      </c>
      <c r="K4500" s="15"/>
      <c r="L4500" t="s" s="16">
        <f>HYPERLINK("http://csr.bu.edu/ftp/asl/asllvd/demos/verify_start_end_handshape_annotations//test_auto_move//signs_mov_separ_signers/Liz_963.mov","MOV")</f>
        <v>21</v>
      </c>
      <c r="M4500" t="s" s="10">
        <v>77</v>
      </c>
      <c r="N4500" s="17">
        <v>11</v>
      </c>
      <c r="O4500" s="18">
        <v>3886</v>
      </c>
      <c r="P4500" s="18">
        <v>3911</v>
      </c>
      <c r="Q4500" s="15"/>
      <c r="R4500" t="s" s="16">
        <f>HYPERLINK("http://secrets.rutgers.edu:8080/data/asl-ftp/asllvd/demos/verify_start_end_handshape_annotations//test_auto_move//signs_mov_separ_signers/Liz_963.mov","MOV")</f>
        <v>21</v>
      </c>
    </row>
    <row r="4501" s="2" customFormat="1" ht="13.5" customHeight="1">
      <c r="B4501" s="13"/>
      <c r="C4501" t="s" s="9">
        <v>23</v>
      </c>
      <c r="D4501" t="s" s="8">
        <v>1535</v>
      </c>
      <c r="E4501" t="s" s="9">
        <v>1535</v>
      </c>
      <c r="F4501" t="s" s="10">
        <v>185</v>
      </c>
      <c r="G4501" t="s" s="11">
        <v>105</v>
      </c>
      <c r="H4501" t="s" s="10">
        <v>185</v>
      </c>
      <c r="I4501" t="s" s="11">
        <v>105</v>
      </c>
      <c r="J4501" t="s" s="11">
        <v>136</v>
      </c>
      <c r="K4501" t="s" s="16">
        <f>HYPERLINK("http://csr.bu.edu/ftp/asl/asllvd/demos/verify_start_end_handshape_annotations//test_auto_move//signs_mov/963.mov","MOV")</f>
        <v>21</v>
      </c>
      <c r="L4501" t="s" s="16">
        <f>HYPERLINK("http://csr.bu.edu/ftp/asl/asllvd/demos/verify_start_end_handshape_annotations//test_auto_move//signs_mov_separ_signers/Tyler_963.mov","MOV")</f>
        <v>21</v>
      </c>
      <c r="M4501" t="s" s="10">
        <v>92</v>
      </c>
      <c r="N4501" s="17">
        <v>27</v>
      </c>
      <c r="O4501" s="18">
        <v>717</v>
      </c>
      <c r="P4501" s="18">
        <v>742</v>
      </c>
      <c r="Q4501" t="s" s="16">
        <f>HYPERLINK("http://secrets.rutgers.edu:8080/data/asl-ftp/asllvd/demos/verify_start_end_handshape_annotations//test_auto_move//signs_mov/963.mov","MOV")</f>
        <v>21</v>
      </c>
      <c r="R4501" t="s" s="16">
        <f>HYPERLINK("http://secrets.rutgers.edu:8080/data/asl-ftp/asllvd/demos/verify_start_end_handshape_annotations//test_auto_move//signs_mov_separ_signers/Tyler_963.mov","MOV")</f>
        <v>21</v>
      </c>
    </row>
    <row r="4502" s="2" customFormat="1" ht="13.5" customHeight="1">
      <c r="B4502" s="13"/>
      <c r="C4502" t="s" s="9">
        <v>27</v>
      </c>
      <c r="D4502" t="s" s="8">
        <v>1535</v>
      </c>
      <c r="E4502" t="s" s="9">
        <v>1535</v>
      </c>
      <c r="F4502" t="s" s="10">
        <v>185</v>
      </c>
      <c r="G4502" t="s" s="11">
        <v>105</v>
      </c>
      <c r="H4502" t="s" s="10">
        <v>185</v>
      </c>
      <c r="I4502" t="s" s="11">
        <v>105</v>
      </c>
      <c r="J4502" t="s" s="11">
        <v>136</v>
      </c>
      <c r="K4502" s="15"/>
      <c r="L4502" t="s" s="16">
        <f>HYPERLINK("http://csr.bu.edu/ftp/asl/asllvd/demos/verify_start_end_handshape_annotations//test_auto_move//signs_mov_separ_signers/Naomi_963.mov","MOV")</f>
        <v>21</v>
      </c>
      <c r="M4502" t="s" s="10">
        <v>86</v>
      </c>
      <c r="N4502" s="17">
        <v>47</v>
      </c>
      <c r="O4502" s="18">
        <v>745</v>
      </c>
      <c r="P4502" s="18">
        <v>771</v>
      </c>
      <c r="Q4502" s="15"/>
      <c r="R4502" t="s" s="16">
        <f>HYPERLINK("http://secrets.rutgers.edu:8080/data/asl-ftp/asllvd/demos/verify_start_end_handshape_annotations//test_auto_move//signs_mov_separ_signers/Naomi_963.mov","MOV")</f>
        <v>21</v>
      </c>
    </row>
    <row r="4503" s="2" customFormat="1" ht="13.5" customHeight="1">
      <c r="B4503" t="s" s="8">
        <v>52</v>
      </c>
      <c r="C4503" t="s" s="9">
        <v>53</v>
      </c>
      <c r="D4503" t="s" s="8">
        <v>53</v>
      </c>
      <c r="E4503" t="s" s="9">
        <v>53</v>
      </c>
      <c r="F4503" t="s" s="10">
        <v>53</v>
      </c>
      <c r="G4503" t="s" s="11">
        <v>53</v>
      </c>
      <c r="H4503" t="s" s="10">
        <v>53</v>
      </c>
      <c r="I4503" t="s" s="11">
        <v>53</v>
      </c>
      <c r="J4503" t="s" s="11">
        <v>53</v>
      </c>
      <c r="K4503" t="s" s="12">
        <v>53</v>
      </c>
      <c r="L4503" t="s" s="12">
        <v>53</v>
      </c>
      <c r="M4503" t="s" s="10">
        <v>53</v>
      </c>
      <c r="N4503" t="s" s="11">
        <v>53</v>
      </c>
      <c r="O4503" t="s" s="8">
        <v>53</v>
      </c>
      <c r="P4503" t="s" s="8">
        <v>53</v>
      </c>
      <c r="Q4503" t="s" s="12">
        <v>53</v>
      </c>
      <c r="R4503" t="s" s="12">
        <v>53</v>
      </c>
    </row>
    <row r="4504" s="2" customFormat="1" ht="13.5" customHeight="1">
      <c r="B4504" s="13"/>
      <c r="C4504" t="s" s="9">
        <v>30</v>
      </c>
      <c r="D4504" t="s" s="8">
        <v>1535</v>
      </c>
      <c r="E4504" t="s" s="9">
        <v>1536</v>
      </c>
      <c r="F4504" t="s" s="10">
        <v>185</v>
      </c>
      <c r="G4504" s="17">
        <v>1</v>
      </c>
      <c r="H4504" t="s" s="10">
        <v>185</v>
      </c>
      <c r="I4504" s="17">
        <v>1</v>
      </c>
      <c r="J4504" t="s" s="11">
        <v>20</v>
      </c>
      <c r="K4504" t="s" s="16">
        <f>HYPERLINK("http://csr.bu.edu/ftp/asl/asllvd/demos/verify_start_end_handshape_annotations//test_auto_move//signs_mov/3878.mov","MOV")</f>
        <v>21</v>
      </c>
      <c r="L4504" t="s" s="16">
        <f>HYPERLINK("http://csr.bu.edu/ftp/asl/asllvd/demos/verify_start_end_handshape_annotations//test_auto_move//signs_mov_separ_signers/Brady_3878.mov","MOV")</f>
        <v>21</v>
      </c>
      <c r="M4504" t="s" s="10">
        <v>39</v>
      </c>
      <c r="N4504" s="17">
        <v>21</v>
      </c>
      <c r="O4504" s="18">
        <v>5330</v>
      </c>
      <c r="P4504" s="18">
        <v>5341</v>
      </c>
      <c r="Q4504" t="s" s="16">
        <f>HYPERLINK("http://secrets.rutgers.edu:8080/data/asl-ftp/asllvd/demos/verify_start_end_handshape_annotations//test_auto_move//signs_mov/3878.mov","MOV")</f>
        <v>21</v>
      </c>
      <c r="R4504" t="s" s="16">
        <f>HYPERLINK("http://secrets.rutgers.edu:8080/data/asl-ftp/asllvd/demos/verify_start_end_handshape_annotations//test_auto_move//signs_mov_separ_signers/Brady_3878.mov","MOV")</f>
        <v>21</v>
      </c>
    </row>
    <row r="4505" s="2" customFormat="1" ht="13.5" customHeight="1">
      <c r="B4505" t="s" s="8">
        <v>52</v>
      </c>
      <c r="C4505" t="s" s="9">
        <v>53</v>
      </c>
      <c r="D4505" t="s" s="8">
        <v>53</v>
      </c>
      <c r="E4505" t="s" s="9">
        <v>53</v>
      </c>
      <c r="F4505" t="s" s="10">
        <v>53</v>
      </c>
      <c r="G4505" t="s" s="11">
        <v>53</v>
      </c>
      <c r="H4505" t="s" s="10">
        <v>53</v>
      </c>
      <c r="I4505" t="s" s="11">
        <v>53</v>
      </c>
      <c r="J4505" t="s" s="11">
        <v>53</v>
      </c>
      <c r="K4505" t="s" s="12">
        <v>53</v>
      </c>
      <c r="L4505" t="s" s="12">
        <v>53</v>
      </c>
      <c r="M4505" t="s" s="10">
        <v>53</v>
      </c>
      <c r="N4505" t="s" s="11">
        <v>53</v>
      </c>
      <c r="O4505" t="s" s="8">
        <v>53</v>
      </c>
      <c r="P4505" t="s" s="8">
        <v>53</v>
      </c>
      <c r="Q4505" t="s" s="12">
        <v>53</v>
      </c>
      <c r="R4505" t="s" s="12">
        <v>53</v>
      </c>
    </row>
    <row r="4506" s="2" customFormat="1" ht="13.5" customHeight="1">
      <c r="B4506" s="13"/>
      <c r="C4506" t="s" s="9">
        <v>16</v>
      </c>
      <c r="D4506" t="s" s="8">
        <v>1535</v>
      </c>
      <c r="E4506" t="s" s="9">
        <v>1537</v>
      </c>
      <c r="F4506" t="s" s="10">
        <v>185</v>
      </c>
      <c r="G4506" s="14"/>
      <c r="H4506" t="s" s="10">
        <v>185</v>
      </c>
      <c r="I4506" s="14"/>
      <c r="J4506" t="s" s="11">
        <v>20</v>
      </c>
      <c r="K4506" t="s" s="16">
        <f>HYPERLINK("http://csr.bu.edu/ftp/asl/asllvd/demos/verify_start_end_handshape_annotations//test_auto_move//signs_mov/5307.mov","MOV")</f>
        <v>21</v>
      </c>
      <c r="L4506" t="s" s="16">
        <f>HYPERLINK("http://csr.bu.edu/ftp/asl/asllvd/demos/verify_start_end_handshape_annotations//test_auto_move//signs_mov_separ_signers/Liz_5307.mov","MOV")</f>
        <v>21</v>
      </c>
      <c r="M4506" t="s" s="10">
        <v>84</v>
      </c>
      <c r="N4506" s="17">
        <v>47</v>
      </c>
      <c r="O4506" s="18">
        <v>921</v>
      </c>
      <c r="P4506" s="18">
        <v>946</v>
      </c>
      <c r="Q4506" t="s" s="16">
        <f>HYPERLINK("http://secrets.rutgers.edu:8080/data/asl-ftp/asllvd/demos/verify_start_end_handshape_annotations//test_auto_move//signs_mov/5307.mov","MOV")</f>
        <v>21</v>
      </c>
      <c r="R4506" t="s" s="16">
        <f>HYPERLINK("http://secrets.rutgers.edu:8080/data/asl-ftp/asllvd/demos/verify_start_end_handshape_annotations//test_auto_move//signs_mov_separ_signers/Liz_5307.mov","MOV")</f>
        <v>21</v>
      </c>
    </row>
    <row r="4507" s="2" customFormat="1" ht="13.5" customHeight="1">
      <c r="B4507" s="13"/>
      <c r="C4507" t="s" s="9">
        <v>30</v>
      </c>
      <c r="D4507" t="s" s="8">
        <v>1535</v>
      </c>
      <c r="E4507" t="s" s="9">
        <v>1537</v>
      </c>
      <c r="F4507" t="s" s="10">
        <v>185</v>
      </c>
      <c r="G4507" s="14"/>
      <c r="H4507" t="s" s="10">
        <v>185</v>
      </c>
      <c r="I4507" s="14"/>
      <c r="J4507" t="s" s="11">
        <v>20</v>
      </c>
      <c r="K4507" s="15"/>
      <c r="L4507" t="s" s="16">
        <f>HYPERLINK("http://csr.bu.edu/ftp/asl/asllvd/demos/verify_start_end_handshape_annotations//test_auto_move//signs_mov_separ_signers/Brady_5307.mov","MOV")</f>
        <v>21</v>
      </c>
      <c r="M4507" t="s" s="10">
        <v>39</v>
      </c>
      <c r="N4507" s="17">
        <v>21</v>
      </c>
      <c r="O4507" s="18">
        <v>5727</v>
      </c>
      <c r="P4507" s="18">
        <v>5755</v>
      </c>
      <c r="Q4507" s="15"/>
      <c r="R4507" t="s" s="16">
        <f>HYPERLINK("http://secrets.rutgers.edu:8080/data/asl-ftp/asllvd/demos/verify_start_end_handshape_annotations//test_auto_move//signs_mov_separ_signers/Brady_5307.mov","MOV")</f>
        <v>21</v>
      </c>
    </row>
    <row r="4508" s="2" customFormat="1" ht="13.5" customHeight="1">
      <c r="B4508" t="s" s="8">
        <v>1538</v>
      </c>
      <c r="C4508" t="s" s="9">
        <v>14</v>
      </c>
      <c r="D4508" t="s" s="8">
        <v>14</v>
      </c>
      <c r="E4508" t="s" s="9">
        <v>14</v>
      </c>
      <c r="F4508" t="s" s="10">
        <v>14</v>
      </c>
      <c r="G4508" t="s" s="11">
        <v>14</v>
      </c>
      <c r="H4508" t="s" s="10">
        <v>14</v>
      </c>
      <c r="I4508" t="s" s="11">
        <v>14</v>
      </c>
      <c r="J4508" t="s" s="11">
        <v>14</v>
      </c>
      <c r="K4508" t="s" s="12">
        <v>14</v>
      </c>
      <c r="L4508" t="s" s="12">
        <v>14</v>
      </c>
      <c r="M4508" t="s" s="10">
        <v>14</v>
      </c>
      <c r="N4508" t="s" s="11">
        <v>14</v>
      </c>
      <c r="O4508" t="s" s="8">
        <v>14</v>
      </c>
      <c r="P4508" t="s" s="8">
        <v>14</v>
      </c>
      <c r="Q4508" t="s" s="12">
        <v>14</v>
      </c>
      <c r="R4508" t="s" s="12">
        <v>14</v>
      </c>
    </row>
    <row r="4509" s="2" customFormat="1" ht="13.5" customHeight="1">
      <c r="B4509" s="13"/>
      <c r="C4509" t="s" s="9">
        <v>30</v>
      </c>
      <c r="D4509" t="s" s="8">
        <v>1538</v>
      </c>
      <c r="E4509" t="s" s="9">
        <v>1538</v>
      </c>
      <c r="F4509" t="s" s="10">
        <v>75</v>
      </c>
      <c r="G4509" s="14"/>
      <c r="H4509" t="s" s="10">
        <v>75</v>
      </c>
      <c r="I4509" s="14"/>
      <c r="J4509" t="s" s="11">
        <v>20</v>
      </c>
      <c r="K4509" t="s" s="16">
        <f>HYPERLINK("http://csr.bu.edu/ftp/asl/asllvd/demos/verify_start_end_handshape_annotations//test_auto_move//signs_mov/4764.mov","MOV")</f>
        <v>21</v>
      </c>
      <c r="L4509" t="s" s="16">
        <f>HYPERLINK("http://csr.bu.edu/ftp/asl/asllvd/demos/verify_start_end_handshape_annotations//test_auto_move//signs_mov_separ_signers/Brady_4764.mov","MOV")</f>
        <v>21</v>
      </c>
      <c r="M4509" t="s" s="10">
        <v>39</v>
      </c>
      <c r="N4509" s="17">
        <v>21</v>
      </c>
      <c r="O4509" s="18">
        <v>3925</v>
      </c>
      <c r="P4509" s="18">
        <v>3945</v>
      </c>
      <c r="Q4509" t="s" s="16">
        <f>HYPERLINK("http://secrets.rutgers.edu:8080/data/asl-ftp/asllvd/demos/verify_start_end_handshape_annotations//test_auto_move//signs_mov/4764.mov","MOV")</f>
        <v>21</v>
      </c>
      <c r="R4509" t="s" s="16">
        <f>HYPERLINK("http://secrets.rutgers.edu:8080/data/asl-ftp/asllvd/demos/verify_start_end_handshape_annotations//test_auto_move//signs_mov_separ_signers/Brady_4764.mov","MOV")</f>
        <v>21</v>
      </c>
    </row>
    <row r="4510" s="2" customFormat="1" ht="13.5" customHeight="1">
      <c r="B4510" t="s" s="8">
        <v>1539</v>
      </c>
      <c r="C4510" t="s" s="9">
        <v>14</v>
      </c>
      <c r="D4510" t="s" s="8">
        <v>14</v>
      </c>
      <c r="E4510" t="s" s="9">
        <v>14</v>
      </c>
      <c r="F4510" t="s" s="10">
        <v>14</v>
      </c>
      <c r="G4510" t="s" s="11">
        <v>14</v>
      </c>
      <c r="H4510" t="s" s="10">
        <v>14</v>
      </c>
      <c r="I4510" t="s" s="11">
        <v>14</v>
      </c>
      <c r="J4510" t="s" s="11">
        <v>14</v>
      </c>
      <c r="K4510" t="s" s="12">
        <v>14</v>
      </c>
      <c r="L4510" t="s" s="12">
        <v>14</v>
      </c>
      <c r="M4510" t="s" s="10">
        <v>14</v>
      </c>
      <c r="N4510" t="s" s="11">
        <v>14</v>
      </c>
      <c r="O4510" t="s" s="8">
        <v>14</v>
      </c>
      <c r="P4510" t="s" s="8">
        <v>14</v>
      </c>
      <c r="Q4510" t="s" s="12">
        <v>14</v>
      </c>
      <c r="R4510" t="s" s="12">
        <v>14</v>
      </c>
    </row>
    <row r="4511" s="2" customFormat="1" ht="13.5" customHeight="1">
      <c r="B4511" s="13"/>
      <c r="C4511" t="s" s="9">
        <v>16</v>
      </c>
      <c r="D4511" t="s" s="8">
        <v>1539</v>
      </c>
      <c r="E4511" t="s" s="9">
        <v>1539</v>
      </c>
      <c r="F4511" s="19">
        <v>1</v>
      </c>
      <c r="G4511" s="14"/>
      <c r="H4511" s="19">
        <v>1</v>
      </c>
      <c r="I4511" s="14"/>
      <c r="J4511" t="s" s="11">
        <v>20</v>
      </c>
      <c r="K4511" s="15"/>
      <c r="L4511" t="s" s="16">
        <f>HYPERLINK("http://csr.bu.edu/ftp/asl/asllvd/demos/verify_start_end_handshape_annotations//test_auto_move//signs_mov_separ_signers/Liz_964.mov","MOV")</f>
        <v>21</v>
      </c>
      <c r="M4511" t="s" s="10">
        <v>84</v>
      </c>
      <c r="N4511" s="17">
        <v>47</v>
      </c>
      <c r="O4511" s="18">
        <v>1167</v>
      </c>
      <c r="P4511" s="18">
        <v>1195</v>
      </c>
      <c r="Q4511" s="15"/>
      <c r="R4511" t="s" s="16">
        <f>HYPERLINK("http://secrets.rutgers.edu:8080/data/asl-ftp/asllvd/demos/verify_start_end_handshape_annotations//test_auto_move//signs_mov_separ_signers/Liz_964.mov","MOV")</f>
        <v>21</v>
      </c>
    </row>
    <row r="4512" s="2" customFormat="1" ht="13.5" customHeight="1">
      <c r="B4512" s="13"/>
      <c r="C4512" t="s" s="9">
        <v>27</v>
      </c>
      <c r="D4512" t="s" s="8">
        <v>1539</v>
      </c>
      <c r="E4512" t="s" s="9">
        <v>1539</v>
      </c>
      <c r="F4512" s="19">
        <v>1</v>
      </c>
      <c r="G4512" s="14"/>
      <c r="H4512" s="19">
        <v>1</v>
      </c>
      <c r="I4512" s="14"/>
      <c r="J4512" t="s" s="11">
        <v>20</v>
      </c>
      <c r="K4512" t="s" s="16">
        <f>HYPERLINK("http://csr.bu.edu/ftp/asl/asllvd/demos/verify_start_end_handshape_annotations//test_auto_move//signs_mov/964.mov","MOV")</f>
        <v>21</v>
      </c>
      <c r="L4512" t="s" s="16">
        <f>HYPERLINK("http://csr.bu.edu/ftp/asl/asllvd/demos/verify_start_end_handshape_annotations//test_auto_move//signs_mov_separ_signers/Naomi_964.mov","MOV")</f>
        <v>21</v>
      </c>
      <c r="M4512" t="s" s="10">
        <v>86</v>
      </c>
      <c r="N4512" s="17">
        <v>47</v>
      </c>
      <c r="O4512" s="18">
        <v>1060</v>
      </c>
      <c r="P4512" s="18">
        <v>1102</v>
      </c>
      <c r="Q4512" t="s" s="16">
        <f>HYPERLINK("http://secrets.rutgers.edu:8080/data/asl-ftp/asllvd/demos/verify_start_end_handshape_annotations//test_auto_move//signs_mov/964.mov","MOV")</f>
        <v>21</v>
      </c>
      <c r="R4512" t="s" s="16">
        <f>HYPERLINK("http://secrets.rutgers.edu:8080/data/asl-ftp/asllvd/demos/verify_start_end_handshape_annotations//test_auto_move//signs_mov_separ_signers/Naomi_964.mov","MOV")</f>
        <v>21</v>
      </c>
    </row>
    <row r="4513" s="2" customFormat="1" ht="13.5" customHeight="1">
      <c r="B4513" s="13"/>
      <c r="C4513" t="s" s="9">
        <v>30</v>
      </c>
      <c r="D4513" t="s" s="8">
        <v>1539</v>
      </c>
      <c r="E4513" t="s" s="9">
        <v>1539</v>
      </c>
      <c r="F4513" s="19">
        <v>1</v>
      </c>
      <c r="G4513" s="14"/>
      <c r="H4513" s="19">
        <v>1</v>
      </c>
      <c r="I4513" s="14"/>
      <c r="J4513" t="s" s="11">
        <v>20</v>
      </c>
      <c r="K4513" s="15"/>
      <c r="L4513" t="s" s="16">
        <f>HYPERLINK("http://csr.bu.edu/ftp/asl/asllvd/demos/verify_start_end_handshape_annotations//test_auto_move//signs_mov_separ_signers/Brady_964.mov","MOV")</f>
        <v>21</v>
      </c>
      <c r="M4513" t="s" s="10">
        <v>39</v>
      </c>
      <c r="N4513" s="17">
        <v>21</v>
      </c>
      <c r="O4513" s="18">
        <v>5926</v>
      </c>
      <c r="P4513" s="18">
        <v>5957</v>
      </c>
      <c r="Q4513" s="15"/>
      <c r="R4513" t="s" s="16">
        <f>HYPERLINK("http://secrets.rutgers.edu:8080/data/asl-ftp/asllvd/demos/verify_start_end_handshape_annotations//test_auto_move//signs_mov_separ_signers/Brady_964.mov","MOV")</f>
        <v>21</v>
      </c>
    </row>
    <row r="4514" s="2" customFormat="1" ht="13.5" customHeight="1">
      <c r="B4514" t="s" s="8">
        <v>52</v>
      </c>
      <c r="C4514" t="s" s="9">
        <v>53</v>
      </c>
      <c r="D4514" t="s" s="8">
        <v>53</v>
      </c>
      <c r="E4514" t="s" s="9">
        <v>53</v>
      </c>
      <c r="F4514" t="s" s="10">
        <v>53</v>
      </c>
      <c r="G4514" t="s" s="11">
        <v>53</v>
      </c>
      <c r="H4514" t="s" s="10">
        <v>53</v>
      </c>
      <c r="I4514" t="s" s="11">
        <v>53</v>
      </c>
      <c r="J4514" t="s" s="11">
        <v>53</v>
      </c>
      <c r="K4514" t="s" s="12">
        <v>53</v>
      </c>
      <c r="L4514" t="s" s="12">
        <v>53</v>
      </c>
      <c r="M4514" t="s" s="10">
        <v>53</v>
      </c>
      <c r="N4514" t="s" s="11">
        <v>53</v>
      </c>
      <c r="O4514" t="s" s="8">
        <v>53</v>
      </c>
      <c r="P4514" t="s" s="8">
        <v>53</v>
      </c>
      <c r="Q4514" t="s" s="12">
        <v>53</v>
      </c>
      <c r="R4514" t="s" s="12">
        <v>53</v>
      </c>
    </row>
    <row r="4515" s="2" customFormat="1" ht="13.5" customHeight="1">
      <c r="B4515" s="13"/>
      <c r="C4515" t="s" s="9">
        <v>23</v>
      </c>
      <c r="D4515" t="s" s="8">
        <v>1539</v>
      </c>
      <c r="E4515" t="s" s="9">
        <v>1540</v>
      </c>
      <c r="F4515" t="s" s="10">
        <v>80</v>
      </c>
      <c r="G4515" s="14"/>
      <c r="H4515" t="s" s="10">
        <v>80</v>
      </c>
      <c r="I4515" s="14"/>
      <c r="J4515" t="s" s="11">
        <v>20</v>
      </c>
      <c r="K4515" t="s" s="16">
        <f>HYPERLINK("http://csr.bu.edu/ftp/asl/asllvd/demos/verify_start_end_handshape_annotations//test_auto_move//signs_mov/5189.mov","MOV")</f>
        <v>21</v>
      </c>
      <c r="L4515" t="s" s="16">
        <f>HYPERLINK("http://csr.bu.edu/ftp/asl/asllvd/demos/verify_start_end_handshape_annotations//test_auto_move//signs_mov_separ_signers/Tyler_5189.mov","MOV")</f>
        <v>21</v>
      </c>
      <c r="M4515" t="s" s="10">
        <v>92</v>
      </c>
      <c r="N4515" s="17">
        <v>27</v>
      </c>
      <c r="O4515" s="18">
        <v>1020</v>
      </c>
      <c r="P4515" s="18">
        <v>1080</v>
      </c>
      <c r="Q4515" t="s" s="16">
        <f>HYPERLINK("http://secrets.rutgers.edu:8080/data/asl-ftp/asllvd/demos/verify_start_end_handshape_annotations//test_auto_move//signs_mov/5189.mov","MOV")</f>
        <v>21</v>
      </c>
      <c r="R4515" t="s" s="16">
        <f>HYPERLINK("http://secrets.rutgers.edu:8080/data/asl-ftp/asllvd/demos/verify_start_end_handshape_annotations//test_auto_move//signs_mov_separ_signers/Tyler_5189.mov","MOV")</f>
        <v>21</v>
      </c>
    </row>
    <row r="4516" s="2" customFormat="1" ht="13.5" customHeight="1">
      <c r="B4516" t="s" s="8">
        <v>1541</v>
      </c>
      <c r="C4516" t="s" s="9">
        <v>14</v>
      </c>
      <c r="D4516" t="s" s="8">
        <v>14</v>
      </c>
      <c r="E4516" t="s" s="9">
        <v>14</v>
      </c>
      <c r="F4516" t="s" s="10">
        <v>14</v>
      </c>
      <c r="G4516" t="s" s="11">
        <v>14</v>
      </c>
      <c r="H4516" t="s" s="10">
        <v>14</v>
      </c>
      <c r="I4516" t="s" s="11">
        <v>14</v>
      </c>
      <c r="J4516" t="s" s="11">
        <v>14</v>
      </c>
      <c r="K4516" t="s" s="12">
        <v>14</v>
      </c>
      <c r="L4516" t="s" s="12">
        <v>14</v>
      </c>
      <c r="M4516" t="s" s="10">
        <v>14</v>
      </c>
      <c r="N4516" t="s" s="11">
        <v>14</v>
      </c>
      <c r="O4516" t="s" s="8">
        <v>14</v>
      </c>
      <c r="P4516" t="s" s="8">
        <v>14</v>
      </c>
      <c r="Q4516" t="s" s="12">
        <v>14</v>
      </c>
      <c r="R4516" t="s" s="12">
        <v>14</v>
      </c>
    </row>
    <row r="4517" s="2" customFormat="1" ht="13.5" customHeight="1">
      <c r="B4517" s="13"/>
      <c r="C4517" t="s" s="9">
        <v>16</v>
      </c>
      <c r="D4517" t="s" s="8">
        <v>1541</v>
      </c>
      <c r="E4517" t="s" s="9">
        <v>1541</v>
      </c>
      <c r="F4517" t="s" s="10">
        <v>73</v>
      </c>
      <c r="G4517" s="14"/>
      <c r="H4517" s="19">
        <v>10</v>
      </c>
      <c r="I4517" s="14"/>
      <c r="J4517" t="s" s="11">
        <v>20</v>
      </c>
      <c r="K4517" s="15"/>
      <c r="L4517" t="s" s="16">
        <f>HYPERLINK("http://csr.bu.edu/ftp/asl/asllvd/demos/verify_start_end_handshape_annotations//test_auto_move//signs_mov_separ_signers/Liz_968.mov","MOV")</f>
        <v>21</v>
      </c>
      <c r="M4517" t="s" s="10">
        <v>84</v>
      </c>
      <c r="N4517" s="17">
        <v>47</v>
      </c>
      <c r="O4517" s="18">
        <v>2170</v>
      </c>
      <c r="P4517" s="18">
        <v>2200</v>
      </c>
      <c r="Q4517" s="15"/>
      <c r="R4517" t="s" s="16">
        <f>HYPERLINK("http://secrets.rutgers.edu:8080/data/asl-ftp/asllvd/demos/verify_start_end_handshape_annotations//test_auto_move//signs_mov_separ_signers/Liz_968.mov","MOV")</f>
        <v>21</v>
      </c>
    </row>
    <row r="4518" s="2" customFormat="1" ht="13.5" customHeight="1">
      <c r="B4518" s="13"/>
      <c r="C4518" t="s" s="9">
        <v>23</v>
      </c>
      <c r="D4518" t="s" s="8">
        <v>1541</v>
      </c>
      <c r="E4518" t="s" s="9">
        <v>1541</v>
      </c>
      <c r="F4518" t="s" s="10">
        <v>73</v>
      </c>
      <c r="G4518" s="14"/>
      <c r="H4518" s="19">
        <v>10</v>
      </c>
      <c r="I4518" s="14"/>
      <c r="J4518" t="s" s="11">
        <v>20</v>
      </c>
      <c r="K4518" s="15"/>
      <c r="L4518" t="s" s="16">
        <f>HYPERLINK("http://csr.bu.edu/ftp/asl/asllvd/demos/verify_start_end_handshape_annotations//test_auto_move//signs_mov_separ_signers/Tyler_968.mov","MOV")</f>
        <v>21</v>
      </c>
      <c r="M4518" t="s" s="10">
        <v>92</v>
      </c>
      <c r="N4518" s="17">
        <v>27</v>
      </c>
      <c r="O4518" s="18">
        <v>2355</v>
      </c>
      <c r="P4518" s="18">
        <v>2375</v>
      </c>
      <c r="Q4518" s="15"/>
      <c r="R4518" t="s" s="16">
        <f>HYPERLINK("http://secrets.rutgers.edu:8080/data/asl-ftp/asllvd/demos/verify_start_end_handshape_annotations//test_auto_move//signs_mov_separ_signers/Tyler_968.mov","MOV")</f>
        <v>21</v>
      </c>
    </row>
    <row r="4519" s="2" customFormat="1" ht="13.5" customHeight="1">
      <c r="B4519" s="13"/>
      <c r="C4519" t="s" s="9">
        <v>27</v>
      </c>
      <c r="D4519" t="s" s="8">
        <v>1541</v>
      </c>
      <c r="E4519" t="s" s="9">
        <v>1541</v>
      </c>
      <c r="F4519" t="s" s="10">
        <v>73</v>
      </c>
      <c r="G4519" s="14"/>
      <c r="H4519" s="19">
        <v>10</v>
      </c>
      <c r="I4519" s="14"/>
      <c r="J4519" t="s" s="11">
        <v>20</v>
      </c>
      <c r="K4519" t="s" s="16">
        <f>HYPERLINK("http://csr.bu.edu/ftp/asl/asllvd/demos/verify_start_end_handshape_annotations//test_auto_move//signs_mov/968.mov","MOV")</f>
        <v>21</v>
      </c>
      <c r="L4519" t="s" s="16">
        <f>HYPERLINK("http://csr.bu.edu/ftp/asl/asllvd/demos/verify_start_end_handshape_annotations//test_auto_move//signs_mov_separ_signers/Naomi_968.mov","MOV")</f>
        <v>21</v>
      </c>
      <c r="M4519" t="s" s="10">
        <v>86</v>
      </c>
      <c r="N4519" s="17">
        <v>47</v>
      </c>
      <c r="O4519" s="18">
        <v>2431</v>
      </c>
      <c r="P4519" s="18">
        <v>2450</v>
      </c>
      <c r="Q4519" t="s" s="16">
        <f>HYPERLINK("http://secrets.rutgers.edu:8080/data/asl-ftp/asllvd/demos/verify_start_end_handshape_annotations//test_auto_move//signs_mov/968.mov","MOV")</f>
        <v>21</v>
      </c>
      <c r="R4519" t="s" s="16">
        <f>HYPERLINK("http://secrets.rutgers.edu:8080/data/asl-ftp/asllvd/demos/verify_start_end_handshape_annotations//test_auto_move//signs_mov_separ_signers/Naomi_968.mov","MOV")</f>
        <v>21</v>
      </c>
    </row>
    <row r="4520" s="2" customFormat="1" ht="13.5" customHeight="1">
      <c r="B4520" s="13"/>
      <c r="C4520" t="s" s="9">
        <v>30</v>
      </c>
      <c r="D4520" t="s" s="8">
        <v>1541</v>
      </c>
      <c r="E4520" t="s" s="9">
        <v>1541</v>
      </c>
      <c r="F4520" t="s" s="10">
        <v>73</v>
      </c>
      <c r="G4520" s="14"/>
      <c r="H4520" s="19">
        <v>10</v>
      </c>
      <c r="I4520" s="14"/>
      <c r="J4520" t="s" s="11">
        <v>20</v>
      </c>
      <c r="K4520" s="15"/>
      <c r="L4520" t="s" s="16">
        <f>HYPERLINK("http://csr.bu.edu/ftp/asl/asllvd/demos/verify_start_end_handshape_annotations//test_auto_move//signs_mov_separ_signers/Brady_968.mov","MOV")</f>
        <v>21</v>
      </c>
      <c r="M4520" t="s" s="10">
        <v>39</v>
      </c>
      <c r="N4520" s="17">
        <v>21</v>
      </c>
      <c r="O4520" s="18">
        <v>7100</v>
      </c>
      <c r="P4520" s="18">
        <v>7111</v>
      </c>
      <c r="Q4520" s="15"/>
      <c r="R4520" t="s" s="16">
        <f>HYPERLINK("http://secrets.rutgers.edu:8080/data/asl-ftp/asllvd/demos/verify_start_end_handshape_annotations//test_auto_move//signs_mov_separ_signers/Brady_968.mov","MOV")</f>
        <v>21</v>
      </c>
    </row>
    <row r="4521" s="2" customFormat="1" ht="13.5" customHeight="1">
      <c r="B4521" s="13"/>
      <c r="C4521" t="s" s="9">
        <v>41</v>
      </c>
      <c r="D4521" t="s" s="8">
        <v>1541</v>
      </c>
      <c r="E4521" t="s" s="9">
        <v>1541</v>
      </c>
      <c r="F4521" t="s" s="10">
        <v>73</v>
      </c>
      <c r="G4521" s="14"/>
      <c r="H4521" s="19">
        <v>10</v>
      </c>
      <c r="I4521" s="14"/>
      <c r="J4521" t="s" s="11">
        <v>20</v>
      </c>
      <c r="K4521" s="15"/>
      <c r="L4521" t="s" s="16">
        <f>HYPERLINK("http://csr.bu.edu/ftp/asl/asllvd/demos/verify_start_end_handshape_annotations//test_auto_move//signs_mov_separ_signers/Lana_968.mov","MOV")</f>
        <v>21</v>
      </c>
      <c r="M4521" t="s" s="10">
        <v>42</v>
      </c>
      <c r="N4521" s="17">
        <v>11</v>
      </c>
      <c r="O4521" s="18">
        <v>1823</v>
      </c>
      <c r="P4521" s="18">
        <v>1832</v>
      </c>
      <c r="Q4521" s="15"/>
      <c r="R4521" t="s" s="16">
        <f>HYPERLINK("http://secrets.rutgers.edu:8080/data/asl-ftp/asllvd/demos/verify_start_end_handshape_annotations//test_auto_move//signs_mov_separ_signers/Lana_968.mov","MOV")</f>
        <v>21</v>
      </c>
    </row>
    <row r="4522" s="2" customFormat="1" ht="13.5" customHeight="1">
      <c r="B4522" s="13"/>
      <c r="C4522" t="s" s="9">
        <v>43</v>
      </c>
      <c r="D4522" t="s" s="8">
        <v>1541</v>
      </c>
      <c r="E4522" t="s" s="9">
        <v>1541</v>
      </c>
      <c r="F4522" t="s" s="10">
        <v>73</v>
      </c>
      <c r="G4522" s="14"/>
      <c r="H4522" s="19">
        <v>10</v>
      </c>
      <c r="I4522" s="14"/>
      <c r="J4522" t="s" s="11">
        <v>20</v>
      </c>
      <c r="K4522" s="15"/>
      <c r="L4522" t="s" s="16">
        <f>HYPERLINK("http://csr.bu.edu/ftp/asl/asllvd/demos/verify_start_end_handshape_annotations//test_auto_move//signs_mov_separ_signers/Dana_968.mov","MOV")</f>
        <v>21</v>
      </c>
      <c r="M4522" t="s" s="10">
        <v>44</v>
      </c>
      <c r="N4522" s="17">
        <v>15</v>
      </c>
      <c r="O4522" s="18">
        <v>1752</v>
      </c>
      <c r="P4522" s="18">
        <v>1785</v>
      </c>
      <c r="Q4522" s="15"/>
      <c r="R4522" t="s" s="16">
        <f>HYPERLINK("http://secrets.rutgers.edu:8080/data/asl-ftp/asllvd/demos/verify_start_end_handshape_annotations//test_auto_move//signs_mov_separ_signers/Dana_968.mov","MOV")</f>
        <v>21</v>
      </c>
    </row>
    <row r="4523" s="2" customFormat="1" ht="13.5" customHeight="1">
      <c r="B4523" t="s" s="8">
        <v>1542</v>
      </c>
      <c r="C4523" t="s" s="9">
        <v>14</v>
      </c>
      <c r="D4523" t="s" s="8">
        <v>14</v>
      </c>
      <c r="E4523" t="s" s="9">
        <v>14</v>
      </c>
      <c r="F4523" t="s" s="10">
        <v>14</v>
      </c>
      <c r="G4523" t="s" s="11">
        <v>14</v>
      </c>
      <c r="H4523" t="s" s="10">
        <v>14</v>
      </c>
      <c r="I4523" t="s" s="11">
        <v>14</v>
      </c>
      <c r="J4523" t="s" s="11">
        <v>14</v>
      </c>
      <c r="K4523" t="s" s="12">
        <v>14</v>
      </c>
      <c r="L4523" t="s" s="12">
        <v>14</v>
      </c>
      <c r="M4523" t="s" s="10">
        <v>14</v>
      </c>
      <c r="N4523" t="s" s="11">
        <v>14</v>
      </c>
      <c r="O4523" t="s" s="8">
        <v>14</v>
      </c>
      <c r="P4523" t="s" s="8">
        <v>14</v>
      </c>
      <c r="Q4523" t="s" s="12">
        <v>14</v>
      </c>
      <c r="R4523" t="s" s="12">
        <v>14</v>
      </c>
    </row>
    <row r="4524" s="2" customFormat="1" ht="13.5" customHeight="1">
      <c r="B4524" s="13"/>
      <c r="C4524" t="s" s="9">
        <v>16</v>
      </c>
      <c r="D4524" t="s" s="8">
        <v>1542</v>
      </c>
      <c r="E4524" t="s" s="9">
        <v>1542</v>
      </c>
      <c r="F4524" s="19">
        <v>25</v>
      </c>
      <c r="G4524" s="14"/>
      <c r="H4524" s="19">
        <v>25</v>
      </c>
      <c r="I4524" s="14"/>
      <c r="J4524" t="s" s="11">
        <v>20</v>
      </c>
      <c r="K4524" s="15"/>
      <c r="L4524" t="s" s="16">
        <f>HYPERLINK("http://csr.bu.edu/ftp/asl/asllvd/demos/verify_start_end_handshape_annotations//test_auto_move//signs_mov_separ_signers/Liz_15805.mov","MOV")</f>
        <v>21</v>
      </c>
      <c r="M4524" t="s" s="10">
        <v>22</v>
      </c>
      <c r="N4524" s="17">
        <v>45</v>
      </c>
      <c r="O4524" s="18">
        <v>1230</v>
      </c>
      <c r="P4524" s="18">
        <v>1250</v>
      </c>
      <c r="Q4524" s="15"/>
      <c r="R4524" t="s" s="16">
        <f>HYPERLINK("http://secrets.rutgers.edu:8080/data/asl-ftp/asllvd/demos/verify_start_end_handshape_annotations//test_auto_move//signs_mov_separ_signers/Liz_15805.mov","MOV")</f>
        <v>21</v>
      </c>
    </row>
    <row r="4525" s="2" customFormat="1" ht="13.5" customHeight="1">
      <c r="B4525" s="13"/>
      <c r="C4525" t="s" s="9">
        <v>27</v>
      </c>
      <c r="D4525" t="s" s="8">
        <v>1542</v>
      </c>
      <c r="E4525" t="s" s="9">
        <v>1542</v>
      </c>
      <c r="F4525" s="19">
        <v>25</v>
      </c>
      <c r="G4525" s="14"/>
      <c r="H4525" s="19">
        <v>25</v>
      </c>
      <c r="I4525" s="14"/>
      <c r="J4525" t="s" s="11">
        <v>20</v>
      </c>
      <c r="K4525" t="s" s="16">
        <f>HYPERLINK("http://csr.bu.edu/ftp/asl/asllvd/demos/verify_start_end_handshape_annotations//test_auto_move//signs_mov/15805.mov","MOV")</f>
        <v>21</v>
      </c>
      <c r="L4525" t="s" s="16">
        <f>HYPERLINK("http://csr.bu.edu/ftp/asl/asllvd/demos/verify_start_end_handshape_annotations//test_auto_move//signs_mov_separ_signers/Naomi_15805.mov","MOV")</f>
        <v>21</v>
      </c>
      <c r="M4525" t="s" s="10">
        <v>29</v>
      </c>
      <c r="N4525" s="17">
        <v>29</v>
      </c>
      <c r="O4525" s="18">
        <v>2033</v>
      </c>
      <c r="P4525" s="18">
        <v>2058</v>
      </c>
      <c r="Q4525" t="s" s="16">
        <f>HYPERLINK("http://secrets.rutgers.edu:8080/data/asl-ftp/asllvd/demos/verify_start_end_handshape_annotations//test_auto_move//signs_mov/15805.mov","MOV")</f>
        <v>21</v>
      </c>
      <c r="R4525" t="s" s="16">
        <f>HYPERLINK("http://secrets.rutgers.edu:8080/data/asl-ftp/asllvd/demos/verify_start_end_handshape_annotations//test_auto_move//signs_mov_separ_signers/Naomi_15805.mov","MOV")</f>
        <v>21</v>
      </c>
    </row>
    <row r="4526" s="2" customFormat="1" ht="13.5" customHeight="1">
      <c r="B4526" s="13"/>
      <c r="C4526" t="s" s="9">
        <v>30</v>
      </c>
      <c r="D4526" t="s" s="8">
        <v>1542</v>
      </c>
      <c r="E4526" t="s" s="9">
        <v>1542</v>
      </c>
      <c r="F4526" s="19">
        <v>25</v>
      </c>
      <c r="G4526" s="14"/>
      <c r="H4526" s="19">
        <v>25</v>
      </c>
      <c r="I4526" s="14"/>
      <c r="J4526" t="s" s="11">
        <v>20</v>
      </c>
      <c r="K4526" s="15"/>
      <c r="L4526" t="s" s="16">
        <f>HYPERLINK("http://csr.bu.edu/ftp/asl/asllvd/demos/verify_start_end_handshape_annotations//test_auto_move//signs_mov_separ_signers/Brady_15805.mov","MOV")</f>
        <v>21</v>
      </c>
      <c r="M4526" t="s" s="10">
        <v>31</v>
      </c>
      <c r="N4526" s="17">
        <v>21</v>
      </c>
      <c r="O4526" s="18">
        <v>10707</v>
      </c>
      <c r="P4526" s="18">
        <v>10727</v>
      </c>
      <c r="Q4526" s="15"/>
      <c r="R4526" t="s" s="16">
        <f>HYPERLINK("http://secrets.rutgers.edu:8080/data/asl-ftp/asllvd/demos/verify_start_end_handshape_annotations//test_auto_move//signs_mov_separ_signers/Brady_15805.mov","MOV")</f>
        <v>21</v>
      </c>
    </row>
    <row r="4527" s="2" customFormat="1" ht="13.5" customHeight="1">
      <c r="B4527" t="s" s="8">
        <v>1543</v>
      </c>
      <c r="C4527" t="s" s="9">
        <v>14</v>
      </c>
      <c r="D4527" t="s" s="8">
        <v>14</v>
      </c>
      <c r="E4527" t="s" s="9">
        <v>14</v>
      </c>
      <c r="F4527" t="s" s="10">
        <v>14</v>
      </c>
      <c r="G4527" t="s" s="11">
        <v>14</v>
      </c>
      <c r="H4527" t="s" s="10">
        <v>14</v>
      </c>
      <c r="I4527" t="s" s="11">
        <v>14</v>
      </c>
      <c r="J4527" t="s" s="11">
        <v>14</v>
      </c>
      <c r="K4527" t="s" s="12">
        <v>14</v>
      </c>
      <c r="L4527" t="s" s="12">
        <v>14</v>
      </c>
      <c r="M4527" t="s" s="10">
        <v>14</v>
      </c>
      <c r="N4527" t="s" s="11">
        <v>14</v>
      </c>
      <c r="O4527" t="s" s="8">
        <v>14</v>
      </c>
      <c r="P4527" t="s" s="8">
        <v>14</v>
      </c>
      <c r="Q4527" t="s" s="12">
        <v>14</v>
      </c>
      <c r="R4527" t="s" s="12">
        <v>14</v>
      </c>
    </row>
    <row r="4528" s="2" customFormat="1" ht="13.5" customHeight="1">
      <c r="B4528" s="13"/>
      <c r="C4528" t="s" s="9">
        <v>16</v>
      </c>
      <c r="D4528" t="s" s="8">
        <v>1543</v>
      </c>
      <c r="E4528" t="s" s="9">
        <v>1544</v>
      </c>
      <c r="F4528" t="s" s="10">
        <v>229</v>
      </c>
      <c r="G4528" t="s" s="11">
        <v>73</v>
      </c>
      <c r="H4528" t="s" s="10">
        <v>229</v>
      </c>
      <c r="I4528" t="s" s="11">
        <v>73</v>
      </c>
      <c r="J4528" t="s" s="11">
        <v>20</v>
      </c>
      <c r="K4528" s="15"/>
      <c r="L4528" t="s" s="16">
        <f>HYPERLINK("http://csr.bu.edu/ftp/asl/asllvd/demos/verify_start_end_handshape_annotations//test_auto_move//signs_mov_separ_signers/Liz_971.mov","MOV")</f>
        <v>21</v>
      </c>
      <c r="M4528" t="s" s="10">
        <v>84</v>
      </c>
      <c r="N4528" s="17">
        <v>48</v>
      </c>
      <c r="O4528" s="18">
        <v>509</v>
      </c>
      <c r="P4528" s="18">
        <v>571</v>
      </c>
      <c r="Q4528" s="15"/>
      <c r="R4528" t="s" s="16">
        <f>HYPERLINK("http://secrets.rutgers.edu:8080/data/asl-ftp/asllvd/demos/verify_start_end_handshape_annotations//test_auto_move//signs_mov_separ_signers/Liz_971.mov","MOV")</f>
        <v>21</v>
      </c>
    </row>
    <row r="4529" s="2" customFormat="1" ht="13.5" customHeight="1">
      <c r="B4529" s="13"/>
      <c r="C4529" t="s" s="9">
        <v>27</v>
      </c>
      <c r="D4529" t="s" s="8">
        <v>1543</v>
      </c>
      <c r="E4529" t="s" s="9">
        <v>1544</v>
      </c>
      <c r="F4529" t="s" s="10">
        <v>229</v>
      </c>
      <c r="G4529" t="s" s="11">
        <v>73</v>
      </c>
      <c r="H4529" t="s" s="10">
        <v>229</v>
      </c>
      <c r="I4529" t="s" s="11">
        <v>73</v>
      </c>
      <c r="J4529" t="s" s="11">
        <v>20</v>
      </c>
      <c r="K4529" t="s" s="16">
        <f>HYPERLINK("http://csr.bu.edu/ftp/asl/asllvd/demos/verify_start_end_handshape_annotations//test_auto_move//signs_mov/971_3639_merged.mov","MOV")</f>
        <v>21</v>
      </c>
      <c r="L4529" t="s" s="16">
        <f>HYPERLINK("http://csr.bu.edu/ftp/asl/asllvd/demos/verify_start_end_handshape_annotations//test_auto_move//signs_mov_separ_signers/Naomi_971.mov","MOV")</f>
        <v>21</v>
      </c>
      <c r="M4529" t="s" s="10">
        <v>86</v>
      </c>
      <c r="N4529" s="17">
        <v>48</v>
      </c>
      <c r="O4529" s="18">
        <v>138</v>
      </c>
      <c r="P4529" s="18">
        <v>163</v>
      </c>
      <c r="Q4529" t="s" s="16">
        <f>HYPERLINK("http://secrets.rutgers.edu:8080/data/asl-ftp/asllvd/demos/verify_start_end_handshape_annotations//test_auto_move//signs_mov/971_3639_merged.mov","MOV")</f>
        <v>21</v>
      </c>
      <c r="R4529" t="s" s="16">
        <f>HYPERLINK("http://secrets.rutgers.edu:8080/data/asl-ftp/asllvd/demos/verify_start_end_handshape_annotations//test_auto_move//signs_mov_separ_signers/Naomi_971.mov","MOV")</f>
        <v>21</v>
      </c>
    </row>
    <row r="4530" s="2" customFormat="1" ht="13.5" customHeight="1">
      <c r="B4530" s="13"/>
      <c r="C4530" t="s" s="9">
        <v>30</v>
      </c>
      <c r="D4530" t="s" s="8">
        <v>1543</v>
      </c>
      <c r="E4530" t="s" s="9">
        <v>1544</v>
      </c>
      <c r="F4530" t="s" s="10">
        <v>229</v>
      </c>
      <c r="G4530" t="s" s="11">
        <v>73</v>
      </c>
      <c r="H4530" t="s" s="10">
        <v>229</v>
      </c>
      <c r="I4530" t="s" s="11">
        <v>73</v>
      </c>
      <c r="J4530" t="s" s="11">
        <v>20</v>
      </c>
      <c r="K4530" s="15"/>
      <c r="L4530" t="s" s="16">
        <f>HYPERLINK("http://csr.bu.edu/ftp/asl/asllvd/demos/verify_start_end_handshape_annotations//test_auto_move//signs_mov_separ_signers/Brady_971.mov","MOV")</f>
        <v>21</v>
      </c>
      <c r="M4530" t="s" s="10">
        <v>39</v>
      </c>
      <c r="N4530" s="17">
        <v>22</v>
      </c>
      <c r="O4530" s="18">
        <v>355</v>
      </c>
      <c r="P4530" s="18">
        <v>380</v>
      </c>
      <c r="Q4530" s="15"/>
      <c r="R4530" t="s" s="16">
        <f>HYPERLINK("http://secrets.rutgers.edu:8080/data/asl-ftp/asllvd/demos/verify_start_end_handshape_annotations//test_auto_move//signs_mov_separ_signers/Brady_971.mov","MOV")</f>
        <v>21</v>
      </c>
    </row>
    <row r="4531" s="2" customFormat="1" ht="13.5" customHeight="1">
      <c r="B4531" s="13"/>
      <c r="C4531" t="s" s="9">
        <v>30</v>
      </c>
      <c r="D4531" t="s" s="8">
        <v>1543</v>
      </c>
      <c r="E4531" t="s" s="9">
        <v>1544</v>
      </c>
      <c r="F4531" t="s" s="10">
        <v>229</v>
      </c>
      <c r="G4531" t="s" s="11">
        <v>73</v>
      </c>
      <c r="H4531" t="s" s="10">
        <v>229</v>
      </c>
      <c r="I4531" t="s" s="11">
        <v>73</v>
      </c>
      <c r="J4531" t="s" s="11">
        <v>20</v>
      </c>
      <c r="K4531" s="15"/>
      <c r="L4531" t="s" s="16">
        <f>HYPERLINK("http://csr.bu.edu/ftp/asl/asllvd/demos/verify_start_end_handshape_annotations//test_auto_move//signs_mov_separ_signers/Brady_3639.mov","MOV")</f>
        <v>21</v>
      </c>
      <c r="M4531" t="s" s="10">
        <v>39</v>
      </c>
      <c r="N4531" s="17">
        <v>22</v>
      </c>
      <c r="O4531" s="18">
        <v>1030</v>
      </c>
      <c r="P4531" s="18">
        <v>1049</v>
      </c>
      <c r="Q4531" s="15"/>
      <c r="R4531" t="s" s="16">
        <f>HYPERLINK("http://secrets.rutgers.edu:8080/data/asl-ftp/asllvd/demos/verify_start_end_handshape_annotations//test_auto_move//signs_mov_separ_signers/Brady_3639.mov","MOV")</f>
        <v>21</v>
      </c>
    </row>
    <row r="4532" s="2" customFormat="1" ht="13.5" customHeight="1">
      <c r="B4532" t="s" s="8">
        <v>52</v>
      </c>
      <c r="C4532" t="s" s="9">
        <v>53</v>
      </c>
      <c r="D4532" t="s" s="8">
        <v>53</v>
      </c>
      <c r="E4532" t="s" s="9">
        <v>53</v>
      </c>
      <c r="F4532" t="s" s="10">
        <v>53</v>
      </c>
      <c r="G4532" t="s" s="11">
        <v>53</v>
      </c>
      <c r="H4532" t="s" s="10">
        <v>53</v>
      </c>
      <c r="I4532" t="s" s="11">
        <v>53</v>
      </c>
      <c r="J4532" t="s" s="11">
        <v>53</v>
      </c>
      <c r="K4532" t="s" s="12">
        <v>53</v>
      </c>
      <c r="L4532" t="s" s="12">
        <v>53</v>
      </c>
      <c r="M4532" t="s" s="10">
        <v>53</v>
      </c>
      <c r="N4532" t="s" s="11">
        <v>53</v>
      </c>
      <c r="O4532" t="s" s="8">
        <v>53</v>
      </c>
      <c r="P4532" t="s" s="8">
        <v>53</v>
      </c>
      <c r="Q4532" t="s" s="12">
        <v>53</v>
      </c>
      <c r="R4532" t="s" s="12">
        <v>53</v>
      </c>
    </row>
    <row r="4533" s="2" customFormat="1" ht="13.5" customHeight="1">
      <c r="B4533" s="13"/>
      <c r="C4533" t="s" s="9">
        <v>16</v>
      </c>
      <c r="D4533" t="s" s="8">
        <v>1543</v>
      </c>
      <c r="E4533" t="s" s="9">
        <v>1545</v>
      </c>
      <c r="F4533" t="s" s="10">
        <v>229</v>
      </c>
      <c r="G4533" t="s" s="11">
        <v>73</v>
      </c>
      <c r="H4533" t="s" s="10">
        <v>229</v>
      </c>
      <c r="I4533" t="s" s="11">
        <v>73</v>
      </c>
      <c r="J4533" t="s" s="11">
        <v>20</v>
      </c>
      <c r="K4533" t="s" s="16">
        <f>HYPERLINK("http://csr.bu.edu/ftp/asl/asllvd/demos/verify_start_end_handshape_annotations//test_auto_move//signs_mov/5539.mov","MOV")</f>
        <v>21</v>
      </c>
      <c r="L4533" t="s" s="16">
        <f>HYPERLINK("http://csr.bu.edu/ftp/asl/asllvd/demos/verify_start_end_handshape_annotations//test_auto_move//signs_mov_separ_signers/Liz_5539.mov","MOV")</f>
        <v>21</v>
      </c>
      <c r="M4533" t="s" s="10">
        <v>84</v>
      </c>
      <c r="N4533" s="17">
        <v>48</v>
      </c>
      <c r="O4533" s="18">
        <v>840</v>
      </c>
      <c r="P4533" s="18">
        <v>885</v>
      </c>
      <c r="Q4533" t="s" s="16">
        <f>HYPERLINK("http://secrets.rutgers.edu:8080/data/asl-ftp/asllvd/demos/verify_start_end_handshape_annotations//test_auto_move//signs_mov/5539.mov","MOV")</f>
        <v>21</v>
      </c>
      <c r="R4533" t="s" s="16">
        <f>HYPERLINK("http://secrets.rutgers.edu:8080/data/asl-ftp/asllvd/demos/verify_start_end_handshape_annotations//test_auto_move//signs_mov_separ_signers/Liz_5539.mov","MOV")</f>
        <v>21</v>
      </c>
    </row>
    <row r="4534" s="2" customFormat="1" ht="13.5" customHeight="1">
      <c r="B4534" s="13"/>
      <c r="C4534" t="s" s="9">
        <v>27</v>
      </c>
      <c r="D4534" t="s" s="8">
        <v>1543</v>
      </c>
      <c r="E4534" t="s" s="9">
        <v>1545</v>
      </c>
      <c r="F4534" t="s" s="10">
        <v>229</v>
      </c>
      <c r="G4534" t="s" s="11">
        <v>73</v>
      </c>
      <c r="H4534" t="s" s="10">
        <v>229</v>
      </c>
      <c r="I4534" t="s" s="11">
        <v>73</v>
      </c>
      <c r="J4534" t="s" s="11">
        <v>20</v>
      </c>
      <c r="K4534" s="15"/>
      <c r="L4534" t="s" s="16">
        <f>HYPERLINK("http://csr.bu.edu/ftp/asl/asllvd/demos/verify_start_end_handshape_annotations//test_auto_move//signs_mov_separ_signers/Naomi_5539.mov","MOV")</f>
        <v>21</v>
      </c>
      <c r="M4534" t="s" s="10">
        <v>86</v>
      </c>
      <c r="N4534" s="17">
        <v>48</v>
      </c>
      <c r="O4534" s="18">
        <v>374</v>
      </c>
      <c r="P4534" s="18">
        <v>405</v>
      </c>
      <c r="Q4534" s="15"/>
      <c r="R4534" t="s" s="16">
        <f>HYPERLINK("http://secrets.rutgers.edu:8080/data/asl-ftp/asllvd/demos/verify_start_end_handshape_annotations//test_auto_move//signs_mov_separ_signers/Naomi_5539.mov","MOV")</f>
        <v>21</v>
      </c>
    </row>
    <row r="4535" s="2" customFormat="1" ht="13.5" customHeight="1">
      <c r="B4535" t="s" s="8">
        <v>1546</v>
      </c>
      <c r="C4535" t="s" s="9">
        <v>14</v>
      </c>
      <c r="D4535" t="s" s="8">
        <v>14</v>
      </c>
      <c r="E4535" t="s" s="9">
        <v>14</v>
      </c>
      <c r="F4535" t="s" s="10">
        <v>14</v>
      </c>
      <c r="G4535" t="s" s="11">
        <v>14</v>
      </c>
      <c r="H4535" t="s" s="10">
        <v>14</v>
      </c>
      <c r="I4535" t="s" s="11">
        <v>14</v>
      </c>
      <c r="J4535" t="s" s="11">
        <v>14</v>
      </c>
      <c r="K4535" t="s" s="12">
        <v>14</v>
      </c>
      <c r="L4535" t="s" s="12">
        <v>14</v>
      </c>
      <c r="M4535" t="s" s="10">
        <v>14</v>
      </c>
      <c r="N4535" t="s" s="11">
        <v>14</v>
      </c>
      <c r="O4535" t="s" s="8">
        <v>14</v>
      </c>
      <c r="P4535" t="s" s="8">
        <v>14</v>
      </c>
      <c r="Q4535" t="s" s="12">
        <v>14</v>
      </c>
      <c r="R4535" t="s" s="12">
        <v>14</v>
      </c>
    </row>
    <row r="4536" s="2" customFormat="1" ht="13.5" customHeight="1">
      <c r="B4536" s="13"/>
      <c r="C4536" t="s" s="9">
        <v>23</v>
      </c>
      <c r="D4536" t="s" s="8">
        <v>1546</v>
      </c>
      <c r="E4536" t="s" s="9">
        <v>1546</v>
      </c>
      <c r="F4536" t="s" s="10">
        <v>240</v>
      </c>
      <c r="G4536" t="s" s="11">
        <v>73</v>
      </c>
      <c r="H4536" t="s" s="10">
        <v>240</v>
      </c>
      <c r="I4536" t="s" s="11">
        <v>73</v>
      </c>
      <c r="J4536" t="s" s="11">
        <v>20</v>
      </c>
      <c r="K4536" t="s" s="16">
        <f>HYPERLINK("http://csr.bu.edu/ftp/asl/asllvd/demos/verify_start_end_handshape_annotations//test_auto_move//signs_mov/16107.mov","MOV")</f>
        <v>21</v>
      </c>
      <c r="L4536" t="s" s="16">
        <f>HYPERLINK("http://csr.bu.edu/ftp/asl/asllvd/demos/verify_start_end_handshape_annotations//test_auto_move//signs_mov_separ_signers/Tyler_16107.mov","MOV")</f>
        <v>21</v>
      </c>
      <c r="M4536" t="s" s="10">
        <v>92</v>
      </c>
      <c r="N4536" s="17">
        <v>28</v>
      </c>
      <c r="O4536" s="18">
        <v>295</v>
      </c>
      <c r="P4536" s="18">
        <v>332</v>
      </c>
      <c r="Q4536" t="s" s="16">
        <f>HYPERLINK("http://secrets.rutgers.edu:8080/data/asl-ftp/asllvd/demos/verify_start_end_handshape_annotations//test_auto_move//signs_mov/16107.mov","MOV")</f>
        <v>21</v>
      </c>
      <c r="R4536" t="s" s="16">
        <f>HYPERLINK("http://secrets.rutgers.edu:8080/data/asl-ftp/asllvd/demos/verify_start_end_handshape_annotations//test_auto_move//signs_mov_separ_signers/Tyler_16107.mov","MOV")</f>
        <v>21</v>
      </c>
    </row>
    <row r="4537" s="2" customFormat="1" ht="13.5" customHeight="1">
      <c r="B4537" s="13"/>
      <c r="C4537" t="s" s="9">
        <v>30</v>
      </c>
      <c r="D4537" t="s" s="8">
        <v>1546</v>
      </c>
      <c r="E4537" t="s" s="9">
        <v>1546</v>
      </c>
      <c r="F4537" t="s" s="10">
        <v>229</v>
      </c>
      <c r="G4537" t="s" s="11">
        <v>73</v>
      </c>
      <c r="H4537" t="s" s="10">
        <v>229</v>
      </c>
      <c r="I4537" t="s" s="11">
        <v>73</v>
      </c>
      <c r="J4537" t="s" s="11">
        <v>20</v>
      </c>
      <c r="K4537" s="15"/>
      <c r="L4537" t="s" s="16">
        <f>HYPERLINK("http://csr.bu.edu/ftp/asl/asllvd/demos/verify_start_end_handshape_annotations//test_auto_move//signs_mov_separ_signers/Brady_16107.mov","MOV")</f>
        <v>21</v>
      </c>
      <c r="M4537" t="s" s="10">
        <v>39</v>
      </c>
      <c r="N4537" s="17">
        <v>22</v>
      </c>
      <c r="O4537" s="18">
        <v>781</v>
      </c>
      <c r="P4537" s="18">
        <v>800</v>
      </c>
      <c r="Q4537" s="15"/>
      <c r="R4537" t="s" s="16">
        <f>HYPERLINK("http://secrets.rutgers.edu:8080/data/asl-ftp/asllvd/demos/verify_start_end_handshape_annotations//test_auto_move//signs_mov_separ_signers/Brady_16107.mov","MOV")</f>
        <v>21</v>
      </c>
    </row>
    <row r="4538" s="2" customFormat="1" ht="13.5" customHeight="1">
      <c r="B4538" t="s" s="8">
        <v>1547</v>
      </c>
      <c r="C4538" t="s" s="9">
        <v>14</v>
      </c>
      <c r="D4538" t="s" s="8">
        <v>14</v>
      </c>
      <c r="E4538" t="s" s="9">
        <v>14</v>
      </c>
      <c r="F4538" t="s" s="10">
        <v>14</v>
      </c>
      <c r="G4538" t="s" s="11">
        <v>14</v>
      </c>
      <c r="H4538" t="s" s="10">
        <v>14</v>
      </c>
      <c r="I4538" t="s" s="11">
        <v>14</v>
      </c>
      <c r="J4538" t="s" s="11">
        <v>14</v>
      </c>
      <c r="K4538" t="s" s="12">
        <v>14</v>
      </c>
      <c r="L4538" t="s" s="12">
        <v>14</v>
      </c>
      <c r="M4538" t="s" s="10">
        <v>14</v>
      </c>
      <c r="N4538" t="s" s="11">
        <v>14</v>
      </c>
      <c r="O4538" t="s" s="8">
        <v>14</v>
      </c>
      <c r="P4538" t="s" s="8">
        <v>14</v>
      </c>
      <c r="Q4538" t="s" s="12">
        <v>14</v>
      </c>
      <c r="R4538" t="s" s="12">
        <v>14</v>
      </c>
    </row>
    <row r="4539" s="2" customFormat="1" ht="13.5" customHeight="1">
      <c r="B4539" s="13"/>
      <c r="C4539" t="s" s="9">
        <v>16</v>
      </c>
      <c r="D4539" t="s" s="8">
        <v>1547</v>
      </c>
      <c r="E4539" t="s" s="9">
        <v>1547</v>
      </c>
      <c r="F4539" t="s" s="10">
        <v>282</v>
      </c>
      <c r="G4539" t="s" s="11">
        <v>73</v>
      </c>
      <c r="H4539" t="s" s="10">
        <v>406</v>
      </c>
      <c r="I4539" t="s" s="11">
        <v>73</v>
      </c>
      <c r="J4539" t="s" s="11">
        <v>20</v>
      </c>
      <c r="K4539" t="s" s="16">
        <f>HYPERLINK("http://csr.bu.edu/ftp/asl/asllvd/demos/verify_start_end_handshape_annotations//test_auto_move//signs_mov/975.mov","MOV")</f>
        <v>21</v>
      </c>
      <c r="L4539" t="s" s="16">
        <f>HYPERLINK("http://csr.bu.edu/ftp/asl/asllvd/demos/verify_start_end_handshape_annotations//test_auto_move//signs_mov_separ_signers/Liz_975.mov","MOV")</f>
        <v>21</v>
      </c>
      <c r="M4539" t="s" s="10">
        <v>84</v>
      </c>
      <c r="N4539" s="17">
        <v>48</v>
      </c>
      <c r="O4539" s="18">
        <v>1665</v>
      </c>
      <c r="P4539" s="18">
        <v>1700</v>
      </c>
      <c r="Q4539" t="s" s="16">
        <f>HYPERLINK("http://secrets.rutgers.edu:8080/data/asl-ftp/asllvd/demos/verify_start_end_handshape_annotations//test_auto_move//signs_mov/975.mov","MOV")</f>
        <v>21</v>
      </c>
      <c r="R4539" t="s" s="16">
        <f>HYPERLINK("http://secrets.rutgers.edu:8080/data/asl-ftp/asllvd/demos/verify_start_end_handshape_annotations//test_auto_move//signs_mov_separ_signers/Liz_975.mov","MOV")</f>
        <v>21</v>
      </c>
    </row>
    <row r="4540" s="2" customFormat="1" ht="13.5" customHeight="1">
      <c r="B4540" t="s" s="8">
        <v>1548</v>
      </c>
      <c r="C4540" t="s" s="9">
        <v>14</v>
      </c>
      <c r="D4540" t="s" s="8">
        <v>14</v>
      </c>
      <c r="E4540" t="s" s="9">
        <v>14</v>
      </c>
      <c r="F4540" t="s" s="10">
        <v>14</v>
      </c>
      <c r="G4540" t="s" s="11">
        <v>14</v>
      </c>
      <c r="H4540" t="s" s="10">
        <v>14</v>
      </c>
      <c r="I4540" t="s" s="11">
        <v>14</v>
      </c>
      <c r="J4540" t="s" s="11">
        <v>14</v>
      </c>
      <c r="K4540" t="s" s="12">
        <v>14</v>
      </c>
      <c r="L4540" t="s" s="12">
        <v>14</v>
      </c>
      <c r="M4540" t="s" s="10">
        <v>14</v>
      </c>
      <c r="N4540" t="s" s="11">
        <v>14</v>
      </c>
      <c r="O4540" t="s" s="8">
        <v>14</v>
      </c>
      <c r="P4540" t="s" s="8">
        <v>14</v>
      </c>
      <c r="Q4540" t="s" s="12">
        <v>14</v>
      </c>
      <c r="R4540" t="s" s="12">
        <v>14</v>
      </c>
    </row>
    <row r="4541" s="2" customFormat="1" ht="13.5" customHeight="1">
      <c r="B4541" s="13"/>
      <c r="C4541" t="s" s="9">
        <v>23</v>
      </c>
      <c r="D4541" t="s" s="8">
        <v>1548</v>
      </c>
      <c r="E4541" t="s" s="9">
        <v>1548</v>
      </c>
      <c r="F4541" t="s" s="10">
        <v>593</v>
      </c>
      <c r="G4541" s="14"/>
      <c r="H4541" t="s" s="10">
        <v>51</v>
      </c>
      <c r="I4541" s="14"/>
      <c r="J4541" t="s" s="11">
        <v>20</v>
      </c>
      <c r="K4541" t="s" s="16">
        <f>HYPERLINK("http://csr.bu.edu/ftp/asl/asllvd/demos/verify_start_end_handshape_annotations//test_auto_move//signs_mov/3247.mov","MOV")</f>
        <v>21</v>
      </c>
      <c r="L4541" t="s" s="16">
        <f>HYPERLINK("http://csr.bu.edu/ftp/asl/asllvd/demos/verify_start_end_handshape_annotations//test_auto_move//signs_mov_separ_signers/Tyler_3247.mov","MOV")</f>
        <v>21</v>
      </c>
      <c r="M4541" t="s" s="10">
        <v>92</v>
      </c>
      <c r="N4541" s="17">
        <v>28</v>
      </c>
      <c r="O4541" s="18">
        <v>1515</v>
      </c>
      <c r="P4541" s="18">
        <v>1545</v>
      </c>
      <c r="Q4541" t="s" s="16">
        <f>HYPERLINK("http://secrets.rutgers.edu:8080/data/asl-ftp/asllvd/demos/verify_start_end_handshape_annotations//test_auto_move//signs_mov/3247.mov","MOV")</f>
        <v>21</v>
      </c>
      <c r="R4541" t="s" s="16">
        <f>HYPERLINK("http://secrets.rutgers.edu:8080/data/asl-ftp/asllvd/demos/verify_start_end_handshape_annotations//test_auto_move//signs_mov_separ_signers/Tyler_3247.mov","MOV")</f>
        <v>21</v>
      </c>
    </row>
    <row r="4542" s="2" customFormat="1" ht="13.5" customHeight="1">
      <c r="B4542" t="s" s="8">
        <v>1549</v>
      </c>
      <c r="C4542" t="s" s="9">
        <v>14</v>
      </c>
      <c r="D4542" t="s" s="8">
        <v>14</v>
      </c>
      <c r="E4542" t="s" s="9">
        <v>14</v>
      </c>
      <c r="F4542" t="s" s="10">
        <v>14</v>
      </c>
      <c r="G4542" t="s" s="11">
        <v>14</v>
      </c>
      <c r="H4542" t="s" s="10">
        <v>14</v>
      </c>
      <c r="I4542" t="s" s="11">
        <v>14</v>
      </c>
      <c r="J4542" t="s" s="11">
        <v>14</v>
      </c>
      <c r="K4542" t="s" s="12">
        <v>14</v>
      </c>
      <c r="L4542" t="s" s="12">
        <v>14</v>
      </c>
      <c r="M4542" t="s" s="10">
        <v>14</v>
      </c>
      <c r="N4542" t="s" s="11">
        <v>14</v>
      </c>
      <c r="O4542" t="s" s="8">
        <v>14</v>
      </c>
      <c r="P4542" t="s" s="8">
        <v>14</v>
      </c>
      <c r="Q4542" t="s" s="12">
        <v>14</v>
      </c>
      <c r="R4542" t="s" s="12">
        <v>14</v>
      </c>
    </row>
    <row r="4543" s="2" customFormat="1" ht="13.5" customHeight="1">
      <c r="B4543" s="13"/>
      <c r="C4543" t="s" s="9">
        <v>23</v>
      </c>
      <c r="D4543" t="s" s="8">
        <v>1549</v>
      </c>
      <c r="E4543" t="s" s="9">
        <v>1549</v>
      </c>
      <c r="F4543" t="s" s="10">
        <v>68</v>
      </c>
      <c r="G4543" t="s" s="11">
        <v>73</v>
      </c>
      <c r="H4543" t="s" s="10">
        <v>68</v>
      </c>
      <c r="I4543" t="s" s="11">
        <v>73</v>
      </c>
      <c r="J4543" t="s" s="11">
        <v>136</v>
      </c>
      <c r="K4543" s="15"/>
      <c r="L4543" t="s" s="16">
        <f>HYPERLINK("http://csr.bu.edu/ftp/asl/asllvd/demos/verify_start_end_handshape_annotations//test_auto_move//signs_mov_separ_signers/Tyler_978.mov","MOV")</f>
        <v>21</v>
      </c>
      <c r="M4543" t="s" s="10">
        <v>92</v>
      </c>
      <c r="N4543" s="17">
        <v>28</v>
      </c>
      <c r="O4543" s="18">
        <v>3070</v>
      </c>
      <c r="P4543" s="18">
        <v>3107</v>
      </c>
      <c r="Q4543" s="15"/>
      <c r="R4543" t="s" s="16">
        <f>HYPERLINK("http://secrets.rutgers.edu:8080/data/asl-ftp/asllvd/demos/verify_start_end_handshape_annotations//test_auto_move//signs_mov_separ_signers/Tyler_978.mov","MOV")</f>
        <v>21</v>
      </c>
    </row>
    <row r="4544" s="2" customFormat="1" ht="13.5" customHeight="1">
      <c r="B4544" s="13"/>
      <c r="C4544" t="s" s="9">
        <v>27</v>
      </c>
      <c r="D4544" t="s" s="8">
        <v>1549</v>
      </c>
      <c r="E4544" t="s" s="9">
        <v>1549</v>
      </c>
      <c r="F4544" t="s" s="10">
        <v>68</v>
      </c>
      <c r="G4544" t="s" s="11">
        <v>68</v>
      </c>
      <c r="H4544" t="s" s="10">
        <v>68</v>
      </c>
      <c r="I4544" t="s" s="11">
        <v>68</v>
      </c>
      <c r="J4544" t="s" s="11">
        <v>136</v>
      </c>
      <c r="K4544" t="s" s="16">
        <f>HYPERLINK("http://csr.bu.edu/ftp/asl/asllvd/demos/verify_start_end_handshape_annotations//test_auto_move//signs_mov/978.mov","MOV")</f>
        <v>21</v>
      </c>
      <c r="L4544" t="s" s="16">
        <f>HYPERLINK("http://csr.bu.edu/ftp/asl/asllvd/demos/verify_start_end_handshape_annotations//test_auto_move//signs_mov_separ_signers/Naomi_978.mov","MOV")</f>
        <v>21</v>
      </c>
      <c r="M4544" t="s" s="10">
        <v>86</v>
      </c>
      <c r="N4544" s="17">
        <v>48</v>
      </c>
      <c r="O4544" s="18">
        <v>3671</v>
      </c>
      <c r="P4544" s="18">
        <v>3720</v>
      </c>
      <c r="Q4544" t="s" s="16">
        <f>HYPERLINK("http://secrets.rutgers.edu:8080/data/asl-ftp/asllvd/demos/verify_start_end_handshape_annotations//test_auto_move//signs_mov/978.mov","MOV")</f>
        <v>21</v>
      </c>
      <c r="R4544" t="s" s="16">
        <f>HYPERLINK("http://secrets.rutgers.edu:8080/data/asl-ftp/asllvd/demos/verify_start_end_handshape_annotations//test_auto_move//signs_mov_separ_signers/Naomi_978.mov","MOV")</f>
        <v>21</v>
      </c>
    </row>
    <row r="4545" s="2" customFormat="1" ht="13.5" customHeight="1">
      <c r="B4545" s="13"/>
      <c r="C4545" t="s" s="9">
        <v>30</v>
      </c>
      <c r="D4545" t="s" s="8">
        <v>1549</v>
      </c>
      <c r="E4545" t="s" s="9">
        <v>1549</v>
      </c>
      <c r="F4545" t="s" s="10">
        <v>68</v>
      </c>
      <c r="G4545" t="s" s="11">
        <v>68</v>
      </c>
      <c r="H4545" t="s" s="10">
        <v>68</v>
      </c>
      <c r="I4545" t="s" s="11">
        <v>68</v>
      </c>
      <c r="J4545" t="s" s="11">
        <v>136</v>
      </c>
      <c r="K4545" s="15"/>
      <c r="L4545" t="s" s="16">
        <f>HYPERLINK("http://csr.bu.edu/ftp/asl/asllvd/demos/verify_start_end_handshape_annotations//test_auto_move//signs_mov_separ_signers/Brady_978.mov","MOV")</f>
        <v>21</v>
      </c>
      <c r="M4545" t="s" s="10">
        <v>39</v>
      </c>
      <c r="N4545" s="17">
        <v>22</v>
      </c>
      <c r="O4545" s="18">
        <v>3660</v>
      </c>
      <c r="P4545" s="18">
        <v>3690</v>
      </c>
      <c r="Q4545" s="15"/>
      <c r="R4545" t="s" s="16">
        <f>HYPERLINK("http://secrets.rutgers.edu:8080/data/asl-ftp/asllvd/demos/verify_start_end_handshape_annotations//test_auto_move//signs_mov_separ_signers/Brady_978.mov","MOV")</f>
        <v>21</v>
      </c>
    </row>
    <row r="4546" s="2" customFormat="1" ht="13.5" customHeight="1">
      <c r="B4546" t="s" s="8">
        <v>52</v>
      </c>
      <c r="C4546" t="s" s="9">
        <v>53</v>
      </c>
      <c r="D4546" t="s" s="8">
        <v>53</v>
      </c>
      <c r="E4546" t="s" s="9">
        <v>53</v>
      </c>
      <c r="F4546" t="s" s="10">
        <v>53</v>
      </c>
      <c r="G4546" t="s" s="11">
        <v>53</v>
      </c>
      <c r="H4546" t="s" s="10">
        <v>53</v>
      </c>
      <c r="I4546" t="s" s="11">
        <v>53</v>
      </c>
      <c r="J4546" t="s" s="11">
        <v>53</v>
      </c>
      <c r="K4546" t="s" s="12">
        <v>53</v>
      </c>
      <c r="L4546" t="s" s="12">
        <v>53</v>
      </c>
      <c r="M4546" t="s" s="10">
        <v>53</v>
      </c>
      <c r="N4546" t="s" s="11">
        <v>53</v>
      </c>
      <c r="O4546" t="s" s="8">
        <v>53</v>
      </c>
      <c r="P4546" t="s" s="8">
        <v>53</v>
      </c>
      <c r="Q4546" t="s" s="12">
        <v>53</v>
      </c>
      <c r="R4546" t="s" s="12">
        <v>53</v>
      </c>
    </row>
    <row r="4547" s="2" customFormat="1" ht="13.5" customHeight="1">
      <c r="B4547" s="13"/>
      <c r="C4547" t="s" s="9">
        <v>16</v>
      </c>
      <c r="D4547" t="s" s="8">
        <v>1549</v>
      </c>
      <c r="E4547" t="s" s="9">
        <v>1550</v>
      </c>
      <c r="F4547" t="s" s="10">
        <v>68</v>
      </c>
      <c r="G4547" t="s" s="11">
        <v>68</v>
      </c>
      <c r="H4547" t="s" s="10">
        <v>68</v>
      </c>
      <c r="I4547" t="s" s="11">
        <v>68</v>
      </c>
      <c r="J4547" t="s" s="11">
        <v>136</v>
      </c>
      <c r="K4547" t="s" s="16">
        <f>HYPERLINK("http://csr.bu.edu/ftp/asl/asllvd/demos/verify_start_end_handshape_annotations//test_auto_move//signs_mov/16203.mov","MOV")</f>
        <v>21</v>
      </c>
      <c r="L4547" t="s" s="16">
        <f>HYPERLINK("http://csr.bu.edu/ftp/asl/asllvd/demos/verify_start_end_handshape_annotations//test_auto_move//signs_mov_separ_signers/Liz_16203.mov","MOV")</f>
        <v>21</v>
      </c>
      <c r="M4547" t="s" s="10">
        <v>84</v>
      </c>
      <c r="N4547" s="17">
        <v>48</v>
      </c>
      <c r="O4547" s="18">
        <v>2420</v>
      </c>
      <c r="P4547" s="18">
        <v>2460</v>
      </c>
      <c r="Q4547" t="s" s="16">
        <f>HYPERLINK("http://secrets.rutgers.edu:8080/data/asl-ftp/asllvd/demos/verify_start_end_handshape_annotations//test_auto_move//signs_mov/16203.mov","MOV")</f>
        <v>21</v>
      </c>
      <c r="R4547" t="s" s="16">
        <f>HYPERLINK("http://secrets.rutgers.edu:8080/data/asl-ftp/asllvd/demos/verify_start_end_handshape_annotations//test_auto_move//signs_mov_separ_signers/Liz_16203.mov","MOV")</f>
        <v>21</v>
      </c>
    </row>
    <row r="4548" s="2" customFormat="1" ht="13.5" customHeight="1">
      <c r="B4548" t="s" s="8">
        <v>1551</v>
      </c>
      <c r="C4548" t="s" s="9">
        <v>14</v>
      </c>
      <c r="D4548" t="s" s="8">
        <v>14</v>
      </c>
      <c r="E4548" t="s" s="9">
        <v>14</v>
      </c>
      <c r="F4548" t="s" s="10">
        <v>14</v>
      </c>
      <c r="G4548" t="s" s="11">
        <v>14</v>
      </c>
      <c r="H4548" t="s" s="10">
        <v>14</v>
      </c>
      <c r="I4548" t="s" s="11">
        <v>14</v>
      </c>
      <c r="J4548" t="s" s="11">
        <v>14</v>
      </c>
      <c r="K4548" t="s" s="12">
        <v>14</v>
      </c>
      <c r="L4548" t="s" s="12">
        <v>14</v>
      </c>
      <c r="M4548" t="s" s="10">
        <v>14</v>
      </c>
      <c r="N4548" t="s" s="11">
        <v>14</v>
      </c>
      <c r="O4548" t="s" s="8">
        <v>14</v>
      </c>
      <c r="P4548" t="s" s="8">
        <v>14</v>
      </c>
      <c r="Q4548" t="s" s="12">
        <v>14</v>
      </c>
      <c r="R4548" t="s" s="12">
        <v>14</v>
      </c>
    </row>
    <row r="4549" s="2" customFormat="1" ht="13.5" customHeight="1">
      <c r="B4549" s="13"/>
      <c r="C4549" t="s" s="9">
        <v>16</v>
      </c>
      <c r="D4549" t="s" s="8">
        <v>1551</v>
      </c>
      <c r="E4549" t="s" s="9">
        <v>1551</v>
      </c>
      <c r="F4549" t="s" s="10">
        <v>68</v>
      </c>
      <c r="G4549" t="s" s="11">
        <v>70</v>
      </c>
      <c r="H4549" s="19">
        <v>5</v>
      </c>
      <c r="I4549" s="17">
        <v>5</v>
      </c>
      <c r="J4549" t="s" s="11">
        <v>20</v>
      </c>
      <c r="K4549" s="15"/>
      <c r="L4549" t="s" s="16">
        <f>HYPERLINK("http://csr.bu.edu/ftp/asl/asllvd/demos/verify_start_end_handshape_annotations//test_auto_move//signs_mov_separ_signers/Liz_979.mov","MOV")</f>
        <v>21</v>
      </c>
      <c r="M4549" t="s" s="10">
        <v>84</v>
      </c>
      <c r="N4549" s="17">
        <v>48</v>
      </c>
      <c r="O4549" s="18">
        <v>2830</v>
      </c>
      <c r="P4549" s="18">
        <v>2886</v>
      </c>
      <c r="Q4549" s="15"/>
      <c r="R4549" t="s" s="16">
        <f>HYPERLINK("http://secrets.rutgers.edu:8080/data/asl-ftp/asllvd/demos/verify_start_end_handshape_annotations//test_auto_move//signs_mov_separ_signers/Liz_979.mov","MOV")</f>
        <v>21</v>
      </c>
    </row>
    <row r="4550" s="2" customFormat="1" ht="13.5" customHeight="1">
      <c r="B4550" s="13"/>
      <c r="C4550" t="s" s="9">
        <v>23</v>
      </c>
      <c r="D4550" t="s" s="8">
        <v>1551</v>
      </c>
      <c r="E4550" t="s" s="9">
        <v>1551</v>
      </c>
      <c r="F4550" t="s" s="10">
        <v>119</v>
      </c>
      <c r="G4550" t="s" s="11">
        <v>119</v>
      </c>
      <c r="H4550" s="19">
        <v>5</v>
      </c>
      <c r="I4550" s="17">
        <v>5</v>
      </c>
      <c r="J4550" t="s" s="11">
        <v>20</v>
      </c>
      <c r="K4550" t="s" s="16">
        <f>HYPERLINK("http://csr.bu.edu/ftp/asl/asllvd/demos/verify_start_end_handshape_annotations//test_auto_move//signs_mov/979.mov","MOV")</f>
        <v>21</v>
      </c>
      <c r="L4550" t="s" s="16">
        <f>HYPERLINK("http://csr.bu.edu/ftp/asl/asllvd/demos/verify_start_end_handshape_annotations//test_auto_move//signs_mov_separ_signers/Tyler_979.mov","MOV")</f>
        <v>21</v>
      </c>
      <c r="M4550" t="s" s="10">
        <v>92</v>
      </c>
      <c r="N4550" s="17">
        <v>28</v>
      </c>
      <c r="O4550" s="18">
        <v>3390</v>
      </c>
      <c r="P4550" s="18">
        <v>3425</v>
      </c>
      <c r="Q4550" t="s" s="16">
        <f>HYPERLINK("http://secrets.rutgers.edu:8080/data/asl-ftp/asllvd/demos/verify_start_end_handshape_annotations//test_auto_move//signs_mov/979.mov","MOV")</f>
        <v>21</v>
      </c>
      <c r="R4550" t="s" s="16">
        <f>HYPERLINK("http://secrets.rutgers.edu:8080/data/asl-ftp/asllvd/demos/verify_start_end_handshape_annotations//test_auto_move//signs_mov_separ_signers/Tyler_979.mov","MOV")</f>
        <v>21</v>
      </c>
    </row>
    <row r="4551" s="2" customFormat="1" ht="13.5" customHeight="1">
      <c r="B4551" s="13"/>
      <c r="C4551" t="s" s="9">
        <v>27</v>
      </c>
      <c r="D4551" t="s" s="8">
        <v>1551</v>
      </c>
      <c r="E4551" t="s" s="9">
        <v>1551</v>
      </c>
      <c r="F4551" t="s" s="10">
        <v>65</v>
      </c>
      <c r="G4551" t="s" s="11">
        <v>65</v>
      </c>
      <c r="H4551" s="19">
        <v>5</v>
      </c>
      <c r="I4551" s="17">
        <v>5</v>
      </c>
      <c r="J4551" t="s" s="11">
        <v>20</v>
      </c>
      <c r="K4551" s="15"/>
      <c r="L4551" t="s" s="16">
        <f>HYPERLINK("http://csr.bu.edu/ftp/asl/asllvd/demos/verify_start_end_handshape_annotations//test_auto_move//signs_mov_separ_signers/Naomi_979.mov","MOV")</f>
        <v>21</v>
      </c>
      <c r="M4551" t="s" s="10">
        <v>86</v>
      </c>
      <c r="N4551" s="17">
        <v>48</v>
      </c>
      <c r="O4551" s="18">
        <v>4020</v>
      </c>
      <c r="P4551" s="18">
        <v>4070</v>
      </c>
      <c r="Q4551" s="15"/>
      <c r="R4551" t="s" s="16">
        <f>HYPERLINK("http://secrets.rutgers.edu:8080/data/asl-ftp/asllvd/demos/verify_start_end_handshape_annotations//test_auto_move//signs_mov_separ_signers/Naomi_979.mov","MOV")</f>
        <v>21</v>
      </c>
    </row>
    <row r="4552" s="2" customFormat="1" ht="13.5" customHeight="1">
      <c r="B4552" s="13"/>
      <c r="C4552" t="s" s="9">
        <v>30</v>
      </c>
      <c r="D4552" t="s" s="8">
        <v>1551</v>
      </c>
      <c r="E4552" t="s" s="9">
        <v>1551</v>
      </c>
      <c r="F4552" t="s" s="10">
        <v>63</v>
      </c>
      <c r="G4552" t="s" s="11">
        <v>63</v>
      </c>
      <c r="H4552" s="19">
        <v>5</v>
      </c>
      <c r="I4552" s="17">
        <v>5</v>
      </c>
      <c r="J4552" t="s" s="11">
        <v>20</v>
      </c>
      <c r="K4552" s="15"/>
      <c r="L4552" t="s" s="16">
        <f>HYPERLINK("http://csr.bu.edu/ftp/asl/asllvd/demos/verify_start_end_handshape_annotations//test_auto_move//signs_mov_separ_signers/Brady_979.mov","MOV")</f>
        <v>21</v>
      </c>
      <c r="M4552" t="s" s="10">
        <v>39</v>
      </c>
      <c r="N4552" s="17">
        <v>22</v>
      </c>
      <c r="O4552" s="18">
        <v>4041</v>
      </c>
      <c r="P4552" s="18">
        <v>4073</v>
      </c>
      <c r="Q4552" s="15"/>
      <c r="R4552" t="s" s="16">
        <f>HYPERLINK("http://secrets.rutgers.edu:8080/data/asl-ftp/asllvd/demos/verify_start_end_handshape_annotations//test_auto_move//signs_mov_separ_signers/Brady_979.mov","MOV")</f>
        <v>21</v>
      </c>
    </row>
    <row r="4553" s="2" customFormat="1" ht="13.5" customHeight="1">
      <c r="B4553" t="s" s="8">
        <v>1552</v>
      </c>
      <c r="C4553" t="s" s="9">
        <v>14</v>
      </c>
      <c r="D4553" t="s" s="8">
        <v>14</v>
      </c>
      <c r="E4553" t="s" s="9">
        <v>14</v>
      </c>
      <c r="F4553" t="s" s="10">
        <v>14</v>
      </c>
      <c r="G4553" t="s" s="11">
        <v>14</v>
      </c>
      <c r="H4553" t="s" s="10">
        <v>14</v>
      </c>
      <c r="I4553" t="s" s="11">
        <v>14</v>
      </c>
      <c r="J4553" t="s" s="11">
        <v>14</v>
      </c>
      <c r="K4553" t="s" s="12">
        <v>14</v>
      </c>
      <c r="L4553" t="s" s="12">
        <v>14</v>
      </c>
      <c r="M4553" t="s" s="10">
        <v>14</v>
      </c>
      <c r="N4553" t="s" s="11">
        <v>14</v>
      </c>
      <c r="O4553" t="s" s="8">
        <v>14</v>
      </c>
      <c r="P4553" t="s" s="8">
        <v>14</v>
      </c>
      <c r="Q4553" t="s" s="12">
        <v>14</v>
      </c>
      <c r="R4553" t="s" s="12">
        <v>14</v>
      </c>
    </row>
    <row r="4554" s="2" customFormat="1" ht="13.5" customHeight="1">
      <c r="B4554" s="13"/>
      <c r="C4554" t="s" s="9">
        <v>16</v>
      </c>
      <c r="D4554" t="s" s="8">
        <v>1552</v>
      </c>
      <c r="E4554" t="s" s="9">
        <v>1553</v>
      </c>
      <c r="F4554" t="s" s="10">
        <v>282</v>
      </c>
      <c r="G4554" s="14"/>
      <c r="H4554" t="s" s="10">
        <v>282</v>
      </c>
      <c r="I4554" s="14"/>
      <c r="J4554" t="s" s="11">
        <v>20</v>
      </c>
      <c r="K4554" s="15"/>
      <c r="L4554" t="s" s="16">
        <f>HYPERLINK("http://csr.bu.edu/ftp/asl/asllvd/demos/verify_start_end_handshape_annotations//test_auto_move//signs_mov_separ_signers/Liz_980.mov","MOV")</f>
        <v>21</v>
      </c>
      <c r="M4554" t="s" s="10">
        <v>84</v>
      </c>
      <c r="N4554" s="17">
        <v>49</v>
      </c>
      <c r="O4554" s="18">
        <v>350</v>
      </c>
      <c r="P4554" s="18">
        <v>385</v>
      </c>
      <c r="Q4554" s="15"/>
      <c r="R4554" t="s" s="16">
        <f>HYPERLINK("http://secrets.rutgers.edu:8080/data/asl-ftp/asllvd/demos/verify_start_end_handshape_annotations//test_auto_move//signs_mov_separ_signers/Liz_980.mov","MOV")</f>
        <v>21</v>
      </c>
    </row>
    <row r="4555" s="2" customFormat="1" ht="13.5" customHeight="1">
      <c r="B4555" s="13"/>
      <c r="C4555" t="s" s="9">
        <v>23</v>
      </c>
      <c r="D4555" t="s" s="8">
        <v>1552</v>
      </c>
      <c r="E4555" t="s" s="9">
        <v>1552</v>
      </c>
      <c r="F4555" t="s" s="10">
        <v>282</v>
      </c>
      <c r="G4555" s="14"/>
      <c r="H4555" t="s" s="10">
        <v>282</v>
      </c>
      <c r="I4555" s="14"/>
      <c r="J4555" t="s" s="11">
        <v>20</v>
      </c>
      <c r="K4555" t="s" s="16">
        <f>HYPERLINK("http://csr.bu.edu/ftp/asl/asllvd/demos/verify_start_end_handshape_annotations//test_auto_move//signs_mov/980.mov","MOV")</f>
        <v>21</v>
      </c>
      <c r="L4555" t="s" s="16">
        <f>HYPERLINK("http://csr.bu.edu/ftp/asl/asllvd/demos/verify_start_end_handshape_annotations//test_auto_move//signs_mov_separ_signers/Tyler_980.mov","MOV")</f>
        <v>21</v>
      </c>
      <c r="M4555" t="s" s="10">
        <v>92</v>
      </c>
      <c r="N4555" s="17">
        <v>28</v>
      </c>
      <c r="O4555" s="18">
        <v>3700</v>
      </c>
      <c r="P4555" s="18">
        <v>3735</v>
      </c>
      <c r="Q4555" t="s" s="16">
        <f>HYPERLINK("http://secrets.rutgers.edu:8080/data/asl-ftp/asllvd/demos/verify_start_end_handshape_annotations//test_auto_move//signs_mov/980.mov","MOV")</f>
        <v>21</v>
      </c>
      <c r="R4555" t="s" s="16">
        <f>HYPERLINK("http://secrets.rutgers.edu:8080/data/asl-ftp/asllvd/demos/verify_start_end_handshape_annotations//test_auto_move//signs_mov_separ_signers/Tyler_980.mov","MOV")</f>
        <v>21</v>
      </c>
    </row>
    <row r="4556" s="2" customFormat="1" ht="13.5" customHeight="1">
      <c r="B4556" s="13"/>
      <c r="C4556" t="s" s="9">
        <v>27</v>
      </c>
      <c r="D4556" t="s" s="8">
        <v>1552</v>
      </c>
      <c r="E4556" t="s" s="9">
        <v>1552</v>
      </c>
      <c r="F4556" t="s" s="10">
        <v>593</v>
      </c>
      <c r="G4556" s="14"/>
      <c r="H4556" t="s" s="10">
        <v>593</v>
      </c>
      <c r="I4556" s="14"/>
      <c r="J4556" t="s" s="11">
        <v>20</v>
      </c>
      <c r="K4556" s="15"/>
      <c r="L4556" t="s" s="16">
        <f>HYPERLINK("http://csr.bu.edu/ftp/asl/asllvd/demos/verify_start_end_handshape_annotations//test_auto_move//signs_mov_separ_signers/Naomi_980.mov","MOV")</f>
        <v>21</v>
      </c>
      <c r="M4556" t="s" s="10">
        <v>86</v>
      </c>
      <c r="N4556" s="17">
        <v>48</v>
      </c>
      <c r="O4556" s="18">
        <v>4285</v>
      </c>
      <c r="P4556" s="18">
        <v>4301</v>
      </c>
      <c r="Q4556" s="15"/>
      <c r="R4556" t="s" s="16">
        <f>HYPERLINK("http://secrets.rutgers.edu:8080/data/asl-ftp/asllvd/demos/verify_start_end_handshape_annotations//test_auto_move//signs_mov_separ_signers/Naomi_980.mov","MOV")</f>
        <v>21</v>
      </c>
    </row>
    <row r="4557" s="2" customFormat="1" ht="13.5" customHeight="1">
      <c r="B4557" s="13"/>
      <c r="C4557" t="s" s="9">
        <v>30</v>
      </c>
      <c r="D4557" t="s" s="8">
        <v>1552</v>
      </c>
      <c r="E4557" t="s" s="9">
        <v>1552</v>
      </c>
      <c r="F4557" t="s" s="10">
        <v>593</v>
      </c>
      <c r="G4557" s="14"/>
      <c r="H4557" t="s" s="10">
        <v>593</v>
      </c>
      <c r="I4557" s="14"/>
      <c r="J4557" t="s" s="11">
        <v>20</v>
      </c>
      <c r="K4557" s="15"/>
      <c r="L4557" t="s" s="16">
        <f>HYPERLINK("http://csr.bu.edu/ftp/asl/asllvd/demos/verify_start_end_handshape_annotations//test_auto_move//signs_mov_separ_signers/Brady_980.mov","MOV")</f>
        <v>21</v>
      </c>
      <c r="M4557" t="s" s="10">
        <v>39</v>
      </c>
      <c r="N4557" s="17">
        <v>22</v>
      </c>
      <c r="O4557" s="18">
        <v>5016</v>
      </c>
      <c r="P4557" s="18">
        <v>5050</v>
      </c>
      <c r="Q4557" s="15"/>
      <c r="R4557" t="s" s="16">
        <f>HYPERLINK("http://secrets.rutgers.edu:8080/data/asl-ftp/asllvd/demos/verify_start_end_handshape_annotations//test_auto_move//signs_mov_separ_signers/Brady_980.mov","MOV")</f>
        <v>21</v>
      </c>
    </row>
    <row r="4558" s="2" customFormat="1" ht="13.5" customHeight="1">
      <c r="B4558" t="s" s="8">
        <v>1554</v>
      </c>
      <c r="C4558" t="s" s="9">
        <v>14</v>
      </c>
      <c r="D4558" t="s" s="8">
        <v>14</v>
      </c>
      <c r="E4558" t="s" s="9">
        <v>14</v>
      </c>
      <c r="F4558" t="s" s="10">
        <v>14</v>
      </c>
      <c r="G4558" t="s" s="11">
        <v>14</v>
      </c>
      <c r="H4558" t="s" s="10">
        <v>14</v>
      </c>
      <c r="I4558" t="s" s="11">
        <v>14</v>
      </c>
      <c r="J4558" t="s" s="11">
        <v>14</v>
      </c>
      <c r="K4558" t="s" s="12">
        <v>14</v>
      </c>
      <c r="L4558" t="s" s="12">
        <v>14</v>
      </c>
      <c r="M4558" t="s" s="10">
        <v>14</v>
      </c>
      <c r="N4558" t="s" s="11">
        <v>14</v>
      </c>
      <c r="O4558" t="s" s="8">
        <v>14</v>
      </c>
      <c r="P4558" t="s" s="8">
        <v>14</v>
      </c>
      <c r="Q4558" t="s" s="12">
        <v>14</v>
      </c>
      <c r="R4558" t="s" s="12">
        <v>14</v>
      </c>
    </row>
    <row r="4559" s="2" customFormat="1" ht="13.5" customHeight="1">
      <c r="B4559" s="13"/>
      <c r="C4559" t="s" s="9">
        <v>16</v>
      </c>
      <c r="D4559" t="s" s="8">
        <v>1554</v>
      </c>
      <c r="E4559" t="s" s="9">
        <v>1554</v>
      </c>
      <c r="F4559" t="s" s="10">
        <v>148</v>
      </c>
      <c r="G4559" s="14"/>
      <c r="H4559" t="s" s="10">
        <v>119</v>
      </c>
      <c r="I4559" s="14"/>
      <c r="J4559" t="s" s="11">
        <v>20</v>
      </c>
      <c r="K4559" t="s" s="16">
        <f>HYPERLINK("http://csr.bu.edu/ftp/asl/asllvd/demos/verify_start_end_handshape_annotations//test_auto_move//signs_mov/15844.mov","MOV")</f>
        <v>21</v>
      </c>
      <c r="L4559" t="s" s="16">
        <f>HYPERLINK("http://csr.bu.edu/ftp/asl/asllvd/demos/verify_start_end_handshape_annotations//test_auto_move//signs_mov_separ_signers/Liz_15844.mov","MOV")</f>
        <v>21</v>
      </c>
      <c r="M4559" t="s" s="10">
        <v>77</v>
      </c>
      <c r="N4559" s="17">
        <v>4</v>
      </c>
      <c r="O4559" s="18">
        <v>1048</v>
      </c>
      <c r="P4559" s="18">
        <v>1085</v>
      </c>
      <c r="Q4559" t="s" s="16">
        <f>HYPERLINK("http://secrets.rutgers.edu:8080/data/asl-ftp/asllvd/demos/verify_start_end_handshape_annotations//test_auto_move//signs_mov/15844.mov","MOV")</f>
        <v>21</v>
      </c>
      <c r="R4559" t="s" s="16">
        <f>HYPERLINK("http://secrets.rutgers.edu:8080/data/asl-ftp/asllvd/demos/verify_start_end_handshape_annotations//test_auto_move//signs_mov_separ_signers/Liz_15844.mov","MOV")</f>
        <v>21</v>
      </c>
    </row>
    <row r="4560" s="2" customFormat="1" ht="13.5" customHeight="1">
      <c r="B4560" s="13"/>
      <c r="C4560" t="s" s="9">
        <v>30</v>
      </c>
      <c r="D4560" t="s" s="8">
        <v>1554</v>
      </c>
      <c r="E4560" t="s" s="9">
        <v>1554</v>
      </c>
      <c r="F4560" t="s" s="10">
        <v>72</v>
      </c>
      <c r="G4560" s="14"/>
      <c r="H4560" t="s" s="10">
        <v>119</v>
      </c>
      <c r="I4560" s="14"/>
      <c r="J4560" t="s" s="11">
        <v>20</v>
      </c>
      <c r="K4560" s="15"/>
      <c r="L4560" t="s" s="16">
        <f>HYPERLINK("http://csr.bu.edu/ftp/asl/asllvd/demos/verify_start_end_handshape_annotations//test_auto_move//signs_mov_separ_signers/Brady_15844.mov","MOV")</f>
        <v>21</v>
      </c>
      <c r="M4560" t="s" s="10">
        <v>60</v>
      </c>
      <c r="N4560" s="17">
        <v>32</v>
      </c>
      <c r="O4560" s="18">
        <v>662</v>
      </c>
      <c r="P4560" s="18">
        <v>682</v>
      </c>
      <c r="Q4560" s="15"/>
      <c r="R4560" t="s" s="16">
        <f>HYPERLINK("http://secrets.rutgers.edu:8080/data/asl-ftp/asllvd/demos/verify_start_end_handshape_annotations//test_auto_move//signs_mov_separ_signers/Brady_15844.mov","MOV")</f>
        <v>21</v>
      </c>
    </row>
    <row r="4561" s="2" customFormat="1" ht="13.5" customHeight="1">
      <c r="B4561" t="s" s="8">
        <v>1555</v>
      </c>
      <c r="C4561" t="s" s="9">
        <v>14</v>
      </c>
      <c r="D4561" t="s" s="8">
        <v>14</v>
      </c>
      <c r="E4561" t="s" s="9">
        <v>14</v>
      </c>
      <c r="F4561" t="s" s="10">
        <v>14</v>
      </c>
      <c r="G4561" t="s" s="11">
        <v>14</v>
      </c>
      <c r="H4561" t="s" s="10">
        <v>14</v>
      </c>
      <c r="I4561" t="s" s="11">
        <v>14</v>
      </c>
      <c r="J4561" t="s" s="11">
        <v>14</v>
      </c>
      <c r="K4561" t="s" s="12">
        <v>14</v>
      </c>
      <c r="L4561" t="s" s="12">
        <v>14</v>
      </c>
      <c r="M4561" t="s" s="10">
        <v>14</v>
      </c>
      <c r="N4561" t="s" s="11">
        <v>14</v>
      </c>
      <c r="O4561" t="s" s="8">
        <v>14</v>
      </c>
      <c r="P4561" t="s" s="8">
        <v>14</v>
      </c>
      <c r="Q4561" t="s" s="12">
        <v>14</v>
      </c>
      <c r="R4561" t="s" s="12">
        <v>14</v>
      </c>
    </row>
    <row r="4562" s="2" customFormat="1" ht="13.5" customHeight="1">
      <c r="B4562" s="13"/>
      <c r="C4562" t="s" s="9">
        <v>16</v>
      </c>
      <c r="D4562" t="s" s="8">
        <v>1555</v>
      </c>
      <c r="E4562" t="s" s="9">
        <v>1555</v>
      </c>
      <c r="F4562" t="s" s="10">
        <v>282</v>
      </c>
      <c r="G4562" s="14"/>
      <c r="H4562" t="s" s="10">
        <v>282</v>
      </c>
      <c r="I4562" s="14"/>
      <c r="J4562" t="s" s="11">
        <v>20</v>
      </c>
      <c r="K4562" s="15"/>
      <c r="L4562" t="s" s="16">
        <f>HYPERLINK("http://csr.bu.edu/ftp/asl/asllvd/demos/verify_start_end_handshape_annotations//test_auto_move//signs_mov_separ_signers/Liz_982.mov","MOV")</f>
        <v>21</v>
      </c>
      <c r="M4562" t="s" s="10">
        <v>84</v>
      </c>
      <c r="N4562" s="17">
        <v>49</v>
      </c>
      <c r="O4562" s="18">
        <v>840</v>
      </c>
      <c r="P4562" s="18">
        <v>865</v>
      </c>
      <c r="Q4562" s="15"/>
      <c r="R4562" t="s" s="16">
        <f>HYPERLINK("http://secrets.rutgers.edu:8080/data/asl-ftp/asllvd/demos/verify_start_end_handshape_annotations//test_auto_move//signs_mov_separ_signers/Liz_982.mov","MOV")</f>
        <v>21</v>
      </c>
    </row>
    <row r="4563" s="2" customFormat="1" ht="13.5" customHeight="1">
      <c r="B4563" s="13"/>
      <c r="C4563" t="s" s="9">
        <v>23</v>
      </c>
      <c r="D4563" t="s" s="8">
        <v>1555</v>
      </c>
      <c r="E4563" t="s" s="9">
        <v>1555</v>
      </c>
      <c r="F4563" t="s" s="10">
        <v>282</v>
      </c>
      <c r="G4563" s="14"/>
      <c r="H4563" t="s" s="10">
        <v>282</v>
      </c>
      <c r="I4563" s="14"/>
      <c r="J4563" t="s" s="11">
        <v>20</v>
      </c>
      <c r="K4563" t="s" s="16">
        <f>HYPERLINK("http://csr.bu.edu/ftp/asl/asllvd/demos/verify_start_end_handshape_annotations//test_auto_move//signs_mov/982.mov","MOV")</f>
        <v>21</v>
      </c>
      <c r="L4563" t="s" s="16">
        <f>HYPERLINK("http://csr.bu.edu/ftp/asl/asllvd/demos/verify_start_end_handshape_annotations//test_auto_move//signs_mov_separ_signers/Tyler_982.mov","MOV")</f>
        <v>21</v>
      </c>
      <c r="M4563" t="s" s="10">
        <v>92</v>
      </c>
      <c r="N4563" s="17">
        <v>30</v>
      </c>
      <c r="O4563" s="18">
        <v>612</v>
      </c>
      <c r="P4563" s="18">
        <v>640</v>
      </c>
      <c r="Q4563" t="s" s="16">
        <f>HYPERLINK("http://secrets.rutgers.edu:8080/data/asl-ftp/asllvd/demos/verify_start_end_handshape_annotations//test_auto_move//signs_mov/982.mov","MOV")</f>
        <v>21</v>
      </c>
      <c r="R4563" t="s" s="16">
        <f>HYPERLINK("http://secrets.rutgers.edu:8080/data/asl-ftp/asllvd/demos/verify_start_end_handshape_annotations//test_auto_move//signs_mov_separ_signers/Tyler_982.mov","MOV")</f>
        <v>21</v>
      </c>
    </row>
    <row r="4564" s="2" customFormat="1" ht="13.5" customHeight="1">
      <c r="B4564" s="13"/>
      <c r="C4564" t="s" s="9">
        <v>27</v>
      </c>
      <c r="D4564" t="s" s="8">
        <v>1555</v>
      </c>
      <c r="E4564" t="s" s="9">
        <v>1555</v>
      </c>
      <c r="F4564" t="s" s="10">
        <v>282</v>
      </c>
      <c r="G4564" s="14"/>
      <c r="H4564" t="s" s="10">
        <v>282</v>
      </c>
      <c r="I4564" s="14"/>
      <c r="J4564" t="s" s="11">
        <v>20</v>
      </c>
      <c r="K4564" s="15"/>
      <c r="L4564" t="s" s="16">
        <f>HYPERLINK("http://csr.bu.edu/ftp/asl/asllvd/demos/verify_start_end_handshape_annotations//test_auto_move//signs_mov_separ_signers/Naomi_982.mov","MOV")</f>
        <v>21</v>
      </c>
      <c r="M4564" t="s" s="10">
        <v>86</v>
      </c>
      <c r="N4564" s="17">
        <v>49</v>
      </c>
      <c r="O4564" s="18">
        <v>370</v>
      </c>
      <c r="P4564" s="18">
        <v>395</v>
      </c>
      <c r="Q4564" s="15"/>
      <c r="R4564" t="s" s="16">
        <f>HYPERLINK("http://secrets.rutgers.edu:8080/data/asl-ftp/asllvd/demos/verify_start_end_handshape_annotations//test_auto_move//signs_mov_separ_signers/Naomi_982.mov","MOV")</f>
        <v>21</v>
      </c>
    </row>
    <row r="4565" s="2" customFormat="1" ht="13.5" customHeight="1">
      <c r="B4565" t="s" s="8">
        <v>1556</v>
      </c>
      <c r="C4565" t="s" s="9">
        <v>14</v>
      </c>
      <c r="D4565" t="s" s="8">
        <v>14</v>
      </c>
      <c r="E4565" t="s" s="9">
        <v>14</v>
      </c>
      <c r="F4565" t="s" s="10">
        <v>14</v>
      </c>
      <c r="G4565" t="s" s="11">
        <v>14</v>
      </c>
      <c r="H4565" t="s" s="10">
        <v>14</v>
      </c>
      <c r="I4565" t="s" s="11">
        <v>14</v>
      </c>
      <c r="J4565" t="s" s="11">
        <v>14</v>
      </c>
      <c r="K4565" t="s" s="12">
        <v>14</v>
      </c>
      <c r="L4565" t="s" s="12">
        <v>14</v>
      </c>
      <c r="M4565" t="s" s="10">
        <v>14</v>
      </c>
      <c r="N4565" t="s" s="11">
        <v>14</v>
      </c>
      <c r="O4565" t="s" s="8">
        <v>14</v>
      </c>
      <c r="P4565" t="s" s="8">
        <v>14</v>
      </c>
      <c r="Q4565" t="s" s="12">
        <v>14</v>
      </c>
      <c r="R4565" t="s" s="12">
        <v>14</v>
      </c>
    </row>
    <row r="4566" s="2" customFormat="1" ht="13.5" customHeight="1">
      <c r="B4566" s="13"/>
      <c r="C4566" t="s" s="9">
        <v>23</v>
      </c>
      <c r="D4566" t="s" s="8">
        <v>1556</v>
      </c>
      <c r="E4566" t="s" s="9">
        <v>1556</v>
      </c>
      <c r="F4566" t="s" s="10">
        <v>187</v>
      </c>
      <c r="G4566" t="s" s="11">
        <v>187</v>
      </c>
      <c r="H4566" t="s" s="10">
        <v>187</v>
      </c>
      <c r="I4566" t="s" s="11">
        <v>187</v>
      </c>
      <c r="J4566" t="s" s="11">
        <v>20</v>
      </c>
      <c r="K4566" s="15"/>
      <c r="L4566" t="s" s="16">
        <f>HYPERLINK("http://csr.bu.edu/ftp/asl/asllvd/demos/verify_start_end_handshape_annotations//test_auto_move//signs_mov_separ_signers/Tyler_983.mov","MOV")</f>
        <v>21</v>
      </c>
      <c r="M4566" t="s" s="10">
        <v>92</v>
      </c>
      <c r="N4566" s="17">
        <v>30</v>
      </c>
      <c r="O4566" s="18">
        <v>950</v>
      </c>
      <c r="P4566" s="18">
        <v>995</v>
      </c>
      <c r="Q4566" s="15"/>
      <c r="R4566" t="s" s="16">
        <f>HYPERLINK("http://secrets.rutgers.edu:8080/data/asl-ftp/asllvd/demos/verify_start_end_handshape_annotations//test_auto_move//signs_mov_separ_signers/Tyler_983.mov","MOV")</f>
        <v>21</v>
      </c>
    </row>
    <row r="4567" s="2" customFormat="1" ht="13.5" customHeight="1">
      <c r="B4567" s="13"/>
      <c r="C4567" t="s" s="9">
        <v>27</v>
      </c>
      <c r="D4567" t="s" s="8">
        <v>1556</v>
      </c>
      <c r="E4567" t="s" s="9">
        <v>1556</v>
      </c>
      <c r="F4567" t="s" s="10">
        <v>187</v>
      </c>
      <c r="G4567" t="s" s="11">
        <v>187</v>
      </c>
      <c r="H4567" t="s" s="10">
        <v>187</v>
      </c>
      <c r="I4567" t="s" s="11">
        <v>187</v>
      </c>
      <c r="J4567" t="s" s="11">
        <v>20</v>
      </c>
      <c r="K4567" s="15"/>
      <c r="L4567" t="s" s="16">
        <f>HYPERLINK("http://csr.bu.edu/ftp/asl/asllvd/demos/verify_start_end_handshape_annotations//test_auto_move//signs_mov_separ_signers/Naomi_983.mov","MOV")</f>
        <v>21</v>
      </c>
      <c r="M4567" t="s" s="10">
        <v>86</v>
      </c>
      <c r="N4567" s="17">
        <v>49</v>
      </c>
      <c r="O4567" s="18">
        <v>675</v>
      </c>
      <c r="P4567" s="18">
        <v>695</v>
      </c>
      <c r="Q4567" s="15"/>
      <c r="R4567" t="s" s="16">
        <f>HYPERLINK("http://secrets.rutgers.edu:8080/data/asl-ftp/asllvd/demos/verify_start_end_handshape_annotations//test_auto_move//signs_mov_separ_signers/Naomi_983.mov","MOV")</f>
        <v>21</v>
      </c>
    </row>
    <row r="4568" s="2" customFormat="1" ht="13.5" customHeight="1">
      <c r="B4568" s="13"/>
      <c r="C4568" t="s" s="9">
        <v>30</v>
      </c>
      <c r="D4568" t="s" s="8">
        <v>1556</v>
      </c>
      <c r="E4568" t="s" s="9">
        <v>1556</v>
      </c>
      <c r="F4568" t="s" s="10">
        <v>185</v>
      </c>
      <c r="G4568" t="s" s="11">
        <v>185</v>
      </c>
      <c r="H4568" t="s" s="10">
        <v>185</v>
      </c>
      <c r="I4568" t="s" s="11">
        <v>185</v>
      </c>
      <c r="J4568" t="s" s="11">
        <v>20</v>
      </c>
      <c r="K4568" t="s" s="16">
        <f>HYPERLINK("http://csr.bu.edu/ftp/asl/asllvd/demos/verify_start_end_handshape_annotations//test_auto_move//signs_mov/983_5190_15221_merged.mov","MOV")</f>
        <v>21</v>
      </c>
      <c r="L4568" t="s" s="16">
        <f>HYPERLINK("http://csr.bu.edu/ftp/asl/asllvd/demos/verify_start_end_handshape_annotations//test_auto_move//signs_mov_separ_signers/Brady_983.mov","MOV")</f>
        <v>21</v>
      </c>
      <c r="M4568" t="s" s="10">
        <v>39</v>
      </c>
      <c r="N4568" s="17">
        <v>22</v>
      </c>
      <c r="O4568" s="18">
        <v>6459</v>
      </c>
      <c r="P4568" s="18">
        <v>6478</v>
      </c>
      <c r="Q4568" t="s" s="16">
        <f>HYPERLINK("http://secrets.rutgers.edu:8080/data/asl-ftp/asllvd/demos/verify_start_end_handshape_annotations//test_auto_move//signs_mov/983_5190_15221_merged.mov","MOV")</f>
        <v>21</v>
      </c>
      <c r="R4568" t="s" s="16">
        <f>HYPERLINK("http://secrets.rutgers.edu:8080/data/asl-ftp/asllvd/demos/verify_start_end_handshape_annotations//test_auto_move//signs_mov_separ_signers/Brady_983.mov","MOV")</f>
        <v>21</v>
      </c>
    </row>
    <row r="4569" s="2" customFormat="1" ht="13.5" customHeight="1">
      <c r="B4569" s="13"/>
      <c r="C4569" t="s" s="9">
        <v>30</v>
      </c>
      <c r="D4569" t="s" s="8">
        <v>1556</v>
      </c>
      <c r="E4569" t="s" s="9">
        <v>1556</v>
      </c>
      <c r="F4569" t="s" s="10">
        <v>72</v>
      </c>
      <c r="G4569" t="s" s="11">
        <v>72</v>
      </c>
      <c r="H4569" t="s" s="10">
        <v>72</v>
      </c>
      <c r="I4569" t="s" s="11">
        <v>72</v>
      </c>
      <c r="J4569" t="s" s="11">
        <v>20</v>
      </c>
      <c r="K4569" s="15"/>
      <c r="L4569" t="s" s="16">
        <f>HYPERLINK("http://csr.bu.edu/ftp/asl/asllvd/demos/verify_start_end_handshape_annotations//test_auto_move//signs_mov_separ_signers/Brady_5190.mov","MOV")</f>
        <v>21</v>
      </c>
      <c r="M4569" t="s" s="10">
        <v>40</v>
      </c>
      <c r="N4569" s="17">
        <v>33</v>
      </c>
      <c r="O4569" s="18">
        <v>1113</v>
      </c>
      <c r="P4569" s="18">
        <v>1134</v>
      </c>
      <c r="Q4569" s="15"/>
      <c r="R4569" t="s" s="16">
        <f>HYPERLINK("http://secrets.rutgers.edu:8080/data/asl-ftp/asllvd/demos/verify_start_end_handshape_annotations//test_auto_move//signs_mov_separ_signers/Brady_5190.mov","MOV")</f>
        <v>21</v>
      </c>
    </row>
    <row r="4570" s="2" customFormat="1" ht="13.5" customHeight="1">
      <c r="B4570" s="13"/>
      <c r="C4570" t="s" s="9">
        <v>30</v>
      </c>
      <c r="D4570" t="s" s="8">
        <v>1556</v>
      </c>
      <c r="E4570" t="s" s="9">
        <v>1556</v>
      </c>
      <c r="F4570" t="s" s="10">
        <v>72</v>
      </c>
      <c r="G4570" t="s" s="11">
        <v>72</v>
      </c>
      <c r="H4570" t="s" s="10">
        <v>72</v>
      </c>
      <c r="I4570" t="s" s="11">
        <v>72</v>
      </c>
      <c r="J4570" t="s" s="11">
        <v>20</v>
      </c>
      <c r="K4570" s="15"/>
      <c r="L4570" t="s" s="16">
        <f>HYPERLINK("http://csr.bu.edu/ftp/asl/asllvd/demos/verify_start_end_handshape_annotations//test_auto_move//signs_mov_separ_signers/Brady_15221.mov","MOV")</f>
        <v>21</v>
      </c>
      <c r="M4570" t="s" s="10">
        <v>60</v>
      </c>
      <c r="N4570" s="17">
        <v>36</v>
      </c>
      <c r="O4570" s="18">
        <v>4129</v>
      </c>
      <c r="P4570" s="18">
        <v>4161</v>
      </c>
      <c r="Q4570" s="15"/>
      <c r="R4570" t="s" s="16">
        <f>HYPERLINK("http://secrets.rutgers.edu:8080/data/asl-ftp/asllvd/demos/verify_start_end_handshape_annotations//test_auto_move//signs_mov_separ_signers/Brady_15221.mov","MOV")</f>
        <v>21</v>
      </c>
    </row>
    <row r="4571" s="2" customFormat="1" ht="13.5" customHeight="1">
      <c r="B4571" t="s" s="8">
        <v>52</v>
      </c>
      <c r="C4571" t="s" s="9">
        <v>53</v>
      </c>
      <c r="D4571" t="s" s="8">
        <v>53</v>
      </c>
      <c r="E4571" t="s" s="9">
        <v>53</v>
      </c>
      <c r="F4571" t="s" s="10">
        <v>53</v>
      </c>
      <c r="G4571" t="s" s="11">
        <v>53</v>
      </c>
      <c r="H4571" t="s" s="10">
        <v>53</v>
      </c>
      <c r="I4571" t="s" s="11">
        <v>53</v>
      </c>
      <c r="J4571" t="s" s="11">
        <v>53</v>
      </c>
      <c r="K4571" t="s" s="12">
        <v>53</v>
      </c>
      <c r="L4571" t="s" s="12">
        <v>53</v>
      </c>
      <c r="M4571" t="s" s="10">
        <v>53</v>
      </c>
      <c r="N4571" t="s" s="11">
        <v>53</v>
      </c>
      <c r="O4571" t="s" s="8">
        <v>53</v>
      </c>
      <c r="P4571" t="s" s="8">
        <v>53</v>
      </c>
      <c r="Q4571" t="s" s="12">
        <v>53</v>
      </c>
      <c r="R4571" t="s" s="12">
        <v>53</v>
      </c>
    </row>
    <row r="4572" s="2" customFormat="1" ht="13.5" customHeight="1">
      <c r="B4572" s="13"/>
      <c r="C4572" t="s" s="9">
        <v>16</v>
      </c>
      <c r="D4572" t="s" s="8">
        <v>1556</v>
      </c>
      <c r="E4572" t="s" s="9">
        <v>1557</v>
      </c>
      <c r="F4572" t="s" s="10">
        <v>72</v>
      </c>
      <c r="G4572" s="14"/>
      <c r="H4572" t="s" s="10">
        <v>72</v>
      </c>
      <c r="I4572" s="14"/>
      <c r="J4572" t="s" s="11">
        <v>20</v>
      </c>
      <c r="K4572" t="s" s="16">
        <f>HYPERLINK("http://csr.bu.edu/ftp/asl/asllvd/demos/verify_start_end_handshape_annotations//test_auto_move//signs_mov/15622.mov","MOV")</f>
        <v>21</v>
      </c>
      <c r="L4572" t="s" s="16">
        <f>HYPERLINK("http://csr.bu.edu/ftp/asl/asllvd/demos/verify_start_end_handshape_annotations//test_auto_move//signs_mov_separ_signers/Liz_15622.mov","MOV")</f>
        <v>21</v>
      </c>
      <c r="M4572" t="s" s="10">
        <v>84</v>
      </c>
      <c r="N4572" s="17">
        <v>49</v>
      </c>
      <c r="O4572" s="18">
        <v>1220</v>
      </c>
      <c r="P4572" s="18">
        <v>1265</v>
      </c>
      <c r="Q4572" t="s" s="16">
        <f>HYPERLINK("http://secrets.rutgers.edu:8080/data/asl-ftp/asllvd/demos/verify_start_end_handshape_annotations//test_auto_move//signs_mov/15622.mov","MOV")</f>
        <v>21</v>
      </c>
      <c r="R4572" t="s" s="16">
        <f>HYPERLINK("http://secrets.rutgers.edu:8080/data/asl-ftp/asllvd/demos/verify_start_end_handshape_annotations//test_auto_move//signs_mov_separ_signers/Liz_15622.mov","MOV")</f>
        <v>21</v>
      </c>
    </row>
    <row r="4573" s="2" customFormat="1" ht="13.5" customHeight="1">
      <c r="B4573" t="s" s="8">
        <v>1558</v>
      </c>
      <c r="C4573" t="s" s="9">
        <v>14</v>
      </c>
      <c r="D4573" t="s" s="8">
        <v>14</v>
      </c>
      <c r="E4573" t="s" s="9">
        <v>14</v>
      </c>
      <c r="F4573" t="s" s="10">
        <v>14</v>
      </c>
      <c r="G4573" t="s" s="11">
        <v>14</v>
      </c>
      <c r="H4573" t="s" s="10">
        <v>14</v>
      </c>
      <c r="I4573" t="s" s="11">
        <v>14</v>
      </c>
      <c r="J4573" t="s" s="11">
        <v>14</v>
      </c>
      <c r="K4573" t="s" s="12">
        <v>14</v>
      </c>
      <c r="L4573" t="s" s="12">
        <v>14</v>
      </c>
      <c r="M4573" t="s" s="10">
        <v>14</v>
      </c>
      <c r="N4573" t="s" s="11">
        <v>14</v>
      </c>
      <c r="O4573" t="s" s="8">
        <v>14</v>
      </c>
      <c r="P4573" t="s" s="8">
        <v>14</v>
      </c>
      <c r="Q4573" t="s" s="12">
        <v>14</v>
      </c>
      <c r="R4573" t="s" s="12">
        <v>14</v>
      </c>
    </row>
    <row r="4574" s="2" customFormat="1" ht="13.5" customHeight="1">
      <c r="B4574" s="13"/>
      <c r="C4574" t="s" s="9">
        <v>16</v>
      </c>
      <c r="D4574" t="s" s="8">
        <v>1558</v>
      </c>
      <c r="E4574" t="s" s="9">
        <v>1559</v>
      </c>
      <c r="F4574" t="s" s="10">
        <v>75</v>
      </c>
      <c r="G4574" t="s" s="11">
        <v>75</v>
      </c>
      <c r="H4574" t="s" s="10">
        <v>72</v>
      </c>
      <c r="I4574" t="s" s="11">
        <v>72</v>
      </c>
      <c r="J4574" t="s" s="11">
        <v>20</v>
      </c>
      <c r="K4574" t="s" s="16">
        <f>HYPERLINK("http://csr.bu.edu/ftp/asl/asllvd/demos/verify_start_end_handshape_annotations//test_auto_move//signs_mov/15698.mov","MOV")</f>
        <v>21</v>
      </c>
      <c r="L4574" t="s" s="16">
        <f>HYPERLINK("http://csr.bu.edu/ftp/asl/asllvd/demos/verify_start_end_handshape_annotations//test_auto_move//signs_mov_separ_signers/Liz_15698.mov","MOV")</f>
        <v>21</v>
      </c>
      <c r="M4574" t="s" s="10">
        <v>88</v>
      </c>
      <c r="N4574" s="17">
        <v>39</v>
      </c>
      <c r="O4574" s="18">
        <v>966</v>
      </c>
      <c r="P4574" s="18">
        <v>1017</v>
      </c>
      <c r="Q4574" t="s" s="16">
        <f>HYPERLINK("http://secrets.rutgers.edu:8080/data/asl-ftp/asllvd/demos/verify_start_end_handshape_annotations//test_auto_move//signs_mov/15698.mov","MOV")</f>
        <v>21</v>
      </c>
      <c r="R4574" t="s" s="16">
        <f>HYPERLINK("http://secrets.rutgers.edu:8080/data/asl-ftp/asllvd/demos/verify_start_end_handshape_annotations//test_auto_move//signs_mov_separ_signers/Liz_15698.mov","MOV")</f>
        <v>21</v>
      </c>
    </row>
    <row r="4575" s="2" customFormat="1" ht="13.5" customHeight="1">
      <c r="B4575" t="s" s="8">
        <v>1560</v>
      </c>
      <c r="C4575" t="s" s="9">
        <v>14</v>
      </c>
      <c r="D4575" t="s" s="8">
        <v>14</v>
      </c>
      <c r="E4575" t="s" s="9">
        <v>14</v>
      </c>
      <c r="F4575" t="s" s="10">
        <v>14</v>
      </c>
      <c r="G4575" t="s" s="11">
        <v>14</v>
      </c>
      <c r="H4575" t="s" s="10">
        <v>14</v>
      </c>
      <c r="I4575" t="s" s="11">
        <v>14</v>
      </c>
      <c r="J4575" t="s" s="11">
        <v>14</v>
      </c>
      <c r="K4575" t="s" s="12">
        <v>14</v>
      </c>
      <c r="L4575" t="s" s="12">
        <v>14</v>
      </c>
      <c r="M4575" t="s" s="10">
        <v>14</v>
      </c>
      <c r="N4575" t="s" s="11">
        <v>14</v>
      </c>
      <c r="O4575" t="s" s="8">
        <v>14</v>
      </c>
      <c r="P4575" t="s" s="8">
        <v>14</v>
      </c>
      <c r="Q4575" t="s" s="12">
        <v>14</v>
      </c>
      <c r="R4575" t="s" s="12">
        <v>14</v>
      </c>
    </row>
    <row r="4576" s="2" customFormat="1" ht="13.5" customHeight="1">
      <c r="B4576" s="13"/>
      <c r="C4576" t="s" s="9">
        <v>16</v>
      </c>
      <c r="D4576" t="s" s="8">
        <v>1560</v>
      </c>
      <c r="E4576" t="s" s="9">
        <v>1560</v>
      </c>
      <c r="F4576" t="s" s="10">
        <v>75</v>
      </c>
      <c r="G4576" t="s" s="11">
        <v>75</v>
      </c>
      <c r="H4576" t="s" s="10">
        <v>75</v>
      </c>
      <c r="I4576" t="s" s="11">
        <v>75</v>
      </c>
      <c r="J4576" t="s" s="11">
        <v>20</v>
      </c>
      <c r="K4576" s="15"/>
      <c r="L4576" t="s" s="16">
        <f>HYPERLINK("http://csr.bu.edu/ftp/asl/asllvd/demos/verify_start_end_handshape_annotations//test_auto_move//signs_mov_separ_signers/Liz_15882.mov","MOV")</f>
        <v>21</v>
      </c>
      <c r="M4576" t="s" s="10">
        <v>88</v>
      </c>
      <c r="N4576" s="17">
        <v>1</v>
      </c>
      <c r="O4576" s="18">
        <v>3350</v>
      </c>
      <c r="P4576" s="18">
        <v>3405</v>
      </c>
      <c r="Q4576" s="15"/>
      <c r="R4576" t="s" s="16">
        <f>HYPERLINK("http://secrets.rutgers.edu:8080/data/asl-ftp/asllvd/demos/verify_start_end_handshape_annotations//test_auto_move//signs_mov_separ_signers/Liz_15882.mov","MOV")</f>
        <v>21</v>
      </c>
    </row>
    <row r="4577" s="2" customFormat="1" ht="13.5" customHeight="1">
      <c r="B4577" s="13"/>
      <c r="C4577" t="s" s="9">
        <v>23</v>
      </c>
      <c r="D4577" t="s" s="8">
        <v>1560</v>
      </c>
      <c r="E4577" t="s" s="9">
        <v>1560</v>
      </c>
      <c r="F4577" t="s" s="10">
        <v>75</v>
      </c>
      <c r="G4577" t="s" s="11">
        <v>75</v>
      </c>
      <c r="H4577" t="s" s="10">
        <v>75</v>
      </c>
      <c r="I4577" t="s" s="11">
        <v>75</v>
      </c>
      <c r="J4577" t="s" s="11">
        <v>20</v>
      </c>
      <c r="K4577" t="s" s="16">
        <f>HYPERLINK("http://csr.bu.edu/ftp/asl/asllvd/demos/verify_start_end_handshape_annotations//test_auto_move//signs_mov/15882.mov","MOV")</f>
        <v>21</v>
      </c>
      <c r="L4577" t="s" s="16">
        <f>HYPERLINK("http://csr.bu.edu/ftp/asl/asllvd/demos/verify_start_end_handshape_annotations//test_auto_move//signs_mov_separ_signers/Tyler_15882.mov","MOV")</f>
        <v>21</v>
      </c>
      <c r="M4577" t="s" s="10">
        <v>47</v>
      </c>
      <c r="N4577" s="17">
        <v>11</v>
      </c>
      <c r="O4577" s="18">
        <v>1473</v>
      </c>
      <c r="P4577" s="18">
        <v>1515</v>
      </c>
      <c r="Q4577" t="s" s="16">
        <f>HYPERLINK("http://secrets.rutgers.edu:8080/data/asl-ftp/asllvd/demos/verify_start_end_handshape_annotations//test_auto_move//signs_mov/15882.mov","MOV")</f>
        <v>21</v>
      </c>
      <c r="R4577" t="s" s="16">
        <f>HYPERLINK("http://secrets.rutgers.edu:8080/data/asl-ftp/asllvd/demos/verify_start_end_handshape_annotations//test_auto_move//signs_mov_separ_signers/Tyler_15882.mov","MOV")</f>
        <v>21</v>
      </c>
    </row>
    <row r="4578" s="2" customFormat="1" ht="13.5" customHeight="1">
      <c r="B4578" s="13"/>
      <c r="C4578" t="s" s="9">
        <v>30</v>
      </c>
      <c r="D4578" t="s" s="8">
        <v>1560</v>
      </c>
      <c r="E4578" t="s" s="9">
        <v>1560</v>
      </c>
      <c r="F4578" t="s" s="10">
        <v>75</v>
      </c>
      <c r="G4578" t="s" s="11">
        <v>75</v>
      </c>
      <c r="H4578" t="s" s="10">
        <v>75</v>
      </c>
      <c r="I4578" t="s" s="11">
        <v>75</v>
      </c>
      <c r="J4578" t="s" s="11">
        <v>20</v>
      </c>
      <c r="K4578" s="15"/>
      <c r="L4578" t="s" s="16">
        <f>HYPERLINK("http://csr.bu.edu/ftp/asl/asllvd/demos/verify_start_end_handshape_annotations//test_auto_move//signs_mov_separ_signers/Brady_15882.mov","MOV")</f>
        <v>21</v>
      </c>
      <c r="M4578" t="s" s="10">
        <v>39</v>
      </c>
      <c r="N4578" s="17">
        <v>55</v>
      </c>
      <c r="O4578" s="18">
        <v>4670</v>
      </c>
      <c r="P4578" s="18">
        <v>4705</v>
      </c>
      <c r="Q4578" s="15"/>
      <c r="R4578" t="s" s="16">
        <f>HYPERLINK("http://secrets.rutgers.edu:8080/data/asl-ftp/asllvd/demos/verify_start_end_handshape_annotations//test_auto_move//signs_mov_separ_signers/Brady_15882.mov","MOV")</f>
        <v>21</v>
      </c>
    </row>
    <row r="4579" s="2" customFormat="1" ht="13.5" customHeight="1">
      <c r="B4579" t="s" s="8">
        <v>1561</v>
      </c>
      <c r="C4579" t="s" s="9">
        <v>14</v>
      </c>
      <c r="D4579" t="s" s="8">
        <v>14</v>
      </c>
      <c r="E4579" t="s" s="9">
        <v>14</v>
      </c>
      <c r="F4579" t="s" s="10">
        <v>14</v>
      </c>
      <c r="G4579" t="s" s="11">
        <v>14</v>
      </c>
      <c r="H4579" t="s" s="10">
        <v>14</v>
      </c>
      <c r="I4579" t="s" s="11">
        <v>14</v>
      </c>
      <c r="J4579" t="s" s="11">
        <v>14</v>
      </c>
      <c r="K4579" t="s" s="12">
        <v>14</v>
      </c>
      <c r="L4579" t="s" s="12">
        <v>14</v>
      </c>
      <c r="M4579" t="s" s="10">
        <v>14</v>
      </c>
      <c r="N4579" t="s" s="11">
        <v>14</v>
      </c>
      <c r="O4579" t="s" s="8">
        <v>14</v>
      </c>
      <c r="P4579" t="s" s="8">
        <v>14</v>
      </c>
      <c r="Q4579" t="s" s="12">
        <v>14</v>
      </c>
      <c r="R4579" t="s" s="12">
        <v>14</v>
      </c>
    </row>
    <row r="4580" s="2" customFormat="1" ht="13.5" customHeight="1">
      <c r="B4580" s="13"/>
      <c r="C4580" t="s" s="9">
        <v>16</v>
      </c>
      <c r="D4580" t="s" s="8">
        <v>1561</v>
      </c>
      <c r="E4580" t="s" s="9">
        <v>1561</v>
      </c>
      <c r="F4580" t="s" s="10">
        <v>187</v>
      </c>
      <c r="G4580" t="s" s="11">
        <v>187</v>
      </c>
      <c r="H4580" t="s" s="10">
        <v>187</v>
      </c>
      <c r="I4580" t="s" s="11">
        <v>187</v>
      </c>
      <c r="J4580" t="s" s="11">
        <v>20</v>
      </c>
      <c r="K4580" t="s" s="16">
        <f>HYPERLINK("http://csr.bu.edu/ftp/asl/asllvd/demos/verify_start_end_handshape_annotations//test_auto_move//signs_mov/15883.mov","MOV")</f>
        <v>21</v>
      </c>
      <c r="L4580" t="s" s="16">
        <f>HYPERLINK("http://csr.bu.edu/ftp/asl/asllvd/demos/verify_start_end_handshape_annotations//test_auto_move//signs_mov_separ_signers/Liz_15883.mov","MOV")</f>
        <v>21</v>
      </c>
      <c r="M4580" t="s" s="10">
        <v>88</v>
      </c>
      <c r="N4580" s="17">
        <v>12</v>
      </c>
      <c r="O4580" s="18">
        <v>1515</v>
      </c>
      <c r="P4580" s="18">
        <v>1560</v>
      </c>
      <c r="Q4580" t="s" s="16">
        <f>HYPERLINK("http://secrets.rutgers.edu:8080/data/asl-ftp/asllvd/demos/verify_start_end_handshape_annotations//test_auto_move//signs_mov/15883.mov","MOV")</f>
        <v>21</v>
      </c>
      <c r="R4580" t="s" s="16">
        <f>HYPERLINK("http://secrets.rutgers.edu:8080/data/asl-ftp/asllvd/demos/verify_start_end_handshape_annotations//test_auto_move//signs_mov_separ_signers/Liz_15883.mov","MOV")</f>
        <v>21</v>
      </c>
    </row>
    <row r="4581" s="2" customFormat="1" ht="13.5" customHeight="1">
      <c r="B4581" t="s" s="8">
        <v>1562</v>
      </c>
      <c r="C4581" t="s" s="9">
        <v>14</v>
      </c>
      <c r="D4581" t="s" s="8">
        <v>14</v>
      </c>
      <c r="E4581" t="s" s="9">
        <v>14</v>
      </c>
      <c r="F4581" t="s" s="10">
        <v>14</v>
      </c>
      <c r="G4581" t="s" s="11">
        <v>14</v>
      </c>
      <c r="H4581" t="s" s="10">
        <v>14</v>
      </c>
      <c r="I4581" t="s" s="11">
        <v>14</v>
      </c>
      <c r="J4581" t="s" s="11">
        <v>14</v>
      </c>
      <c r="K4581" t="s" s="12">
        <v>14</v>
      </c>
      <c r="L4581" t="s" s="12">
        <v>14</v>
      </c>
      <c r="M4581" t="s" s="10">
        <v>14</v>
      </c>
      <c r="N4581" t="s" s="11">
        <v>14</v>
      </c>
      <c r="O4581" t="s" s="8">
        <v>14</v>
      </c>
      <c r="P4581" t="s" s="8">
        <v>14</v>
      </c>
      <c r="Q4581" t="s" s="12">
        <v>14</v>
      </c>
      <c r="R4581" t="s" s="12">
        <v>14</v>
      </c>
    </row>
    <row r="4582" s="2" customFormat="1" ht="13.5" customHeight="1">
      <c r="B4582" s="13"/>
      <c r="C4582" t="s" s="9">
        <v>23</v>
      </c>
      <c r="D4582" t="s" s="8">
        <v>1562</v>
      </c>
      <c r="E4582" t="s" s="9">
        <v>1562</v>
      </c>
      <c r="F4582" t="s" s="10">
        <v>187</v>
      </c>
      <c r="G4582" t="s" s="11">
        <v>187</v>
      </c>
      <c r="H4582" t="s" s="10">
        <v>187</v>
      </c>
      <c r="I4582" t="s" s="11">
        <v>187</v>
      </c>
      <c r="J4582" t="s" s="11">
        <v>20</v>
      </c>
      <c r="K4582" s="15"/>
      <c r="L4582" t="s" s="16">
        <f>HYPERLINK("http://csr.bu.edu/ftp/asl/asllvd/demos/verify_start_end_handshape_annotations//test_auto_move//signs_mov_separ_signers/Tyler_15884.mov","MOV")</f>
        <v>21</v>
      </c>
      <c r="M4582" t="s" s="10">
        <v>26</v>
      </c>
      <c r="N4582" s="17">
        <v>23</v>
      </c>
      <c r="O4582" s="18">
        <v>416</v>
      </c>
      <c r="P4582" s="18">
        <v>455</v>
      </c>
      <c r="Q4582" s="15"/>
      <c r="R4582" t="s" s="16">
        <f>HYPERLINK("http://secrets.rutgers.edu:8080/data/asl-ftp/asllvd/demos/verify_start_end_handshape_annotations//test_auto_move//signs_mov_separ_signers/Tyler_15884.mov","MOV")</f>
        <v>21</v>
      </c>
    </row>
    <row r="4583" s="2" customFormat="1" ht="13.5" customHeight="1">
      <c r="B4583" s="13"/>
      <c r="C4583" t="s" s="9">
        <v>27</v>
      </c>
      <c r="D4583" t="s" s="8">
        <v>1562</v>
      </c>
      <c r="E4583" t="s" s="9">
        <v>1562</v>
      </c>
      <c r="F4583" t="s" s="10">
        <v>187</v>
      </c>
      <c r="G4583" t="s" s="11">
        <v>187</v>
      </c>
      <c r="H4583" t="s" s="10">
        <v>187</v>
      </c>
      <c r="I4583" t="s" s="11">
        <v>187</v>
      </c>
      <c r="J4583" t="s" s="11">
        <v>20</v>
      </c>
      <c r="K4583" t="s" s="16">
        <f>HYPERLINK("http://csr.bu.edu/ftp/asl/asllvd/demos/verify_start_end_handshape_annotations//test_auto_move//signs_mov/15884.mov","MOV")</f>
        <v>21</v>
      </c>
      <c r="L4583" t="s" s="16">
        <f>HYPERLINK("http://csr.bu.edu/ftp/asl/asllvd/demos/verify_start_end_handshape_annotations//test_auto_move//signs_mov_separ_signers/Naomi_15884.mov","MOV")</f>
        <v>21</v>
      </c>
      <c r="M4583" t="s" s="10">
        <v>29</v>
      </c>
      <c r="N4583" s="17">
        <v>24</v>
      </c>
      <c r="O4583" s="18">
        <v>336</v>
      </c>
      <c r="P4583" s="18">
        <v>352</v>
      </c>
      <c r="Q4583" t="s" s="16">
        <f>HYPERLINK("http://secrets.rutgers.edu:8080/data/asl-ftp/asllvd/demos/verify_start_end_handshape_annotations//test_auto_move//signs_mov/15884.mov","MOV")</f>
        <v>21</v>
      </c>
      <c r="R4583" t="s" s="16">
        <f>HYPERLINK("http://secrets.rutgers.edu:8080/data/asl-ftp/asllvd/demos/verify_start_end_handshape_annotations//test_auto_move//signs_mov_separ_signers/Naomi_15884.mov","MOV")</f>
        <v>21</v>
      </c>
    </row>
    <row r="4584" s="2" customFormat="1" ht="13.5" customHeight="1">
      <c r="B4584" s="13"/>
      <c r="C4584" t="s" s="9">
        <v>30</v>
      </c>
      <c r="D4584" t="s" s="8">
        <v>1562</v>
      </c>
      <c r="E4584" t="s" s="9">
        <v>1562</v>
      </c>
      <c r="F4584" t="s" s="10">
        <v>187</v>
      </c>
      <c r="G4584" t="s" s="11">
        <v>187</v>
      </c>
      <c r="H4584" t="s" s="10">
        <v>187</v>
      </c>
      <c r="I4584" t="s" s="11">
        <v>187</v>
      </c>
      <c r="J4584" t="s" s="11">
        <v>20</v>
      </c>
      <c r="K4584" s="15"/>
      <c r="L4584" t="s" s="16">
        <f>HYPERLINK("http://csr.bu.edu/ftp/asl/asllvd/demos/verify_start_end_handshape_annotations//test_auto_move//signs_mov_separ_signers/Brady_15884.mov","MOV")</f>
        <v>21</v>
      </c>
      <c r="M4584" t="s" s="10">
        <v>31</v>
      </c>
      <c r="N4584" s="17">
        <v>17</v>
      </c>
      <c r="O4584" s="18">
        <v>10158</v>
      </c>
      <c r="P4584" s="18">
        <v>10173</v>
      </c>
      <c r="Q4584" s="15"/>
      <c r="R4584" t="s" s="16">
        <f>HYPERLINK("http://secrets.rutgers.edu:8080/data/asl-ftp/asllvd/demos/verify_start_end_handshape_annotations//test_auto_move//signs_mov_separ_signers/Brady_15884.mov","MOV")</f>
        <v>21</v>
      </c>
    </row>
    <row r="4585" s="2" customFormat="1" ht="13.5" customHeight="1">
      <c r="B4585" t="s" s="8">
        <v>1563</v>
      </c>
      <c r="C4585" t="s" s="9">
        <v>14</v>
      </c>
      <c r="D4585" t="s" s="8">
        <v>14</v>
      </c>
      <c r="E4585" t="s" s="9">
        <v>14</v>
      </c>
      <c r="F4585" t="s" s="10">
        <v>14</v>
      </c>
      <c r="G4585" t="s" s="11">
        <v>14</v>
      </c>
      <c r="H4585" t="s" s="10">
        <v>14</v>
      </c>
      <c r="I4585" t="s" s="11">
        <v>14</v>
      </c>
      <c r="J4585" t="s" s="11">
        <v>14</v>
      </c>
      <c r="K4585" t="s" s="12">
        <v>14</v>
      </c>
      <c r="L4585" t="s" s="12">
        <v>14</v>
      </c>
      <c r="M4585" t="s" s="10">
        <v>14</v>
      </c>
      <c r="N4585" t="s" s="11">
        <v>14</v>
      </c>
      <c r="O4585" t="s" s="8">
        <v>14</v>
      </c>
      <c r="P4585" t="s" s="8">
        <v>14</v>
      </c>
      <c r="Q4585" t="s" s="12">
        <v>14</v>
      </c>
      <c r="R4585" t="s" s="12">
        <v>14</v>
      </c>
    </row>
    <row r="4586" s="2" customFormat="1" ht="13.5" customHeight="1">
      <c r="B4586" s="13"/>
      <c r="C4586" t="s" s="9">
        <v>16</v>
      </c>
      <c r="D4586" t="s" s="8">
        <v>1563</v>
      </c>
      <c r="E4586" t="s" s="9">
        <v>1563</v>
      </c>
      <c r="F4586" t="s" s="10">
        <v>282</v>
      </c>
      <c r="G4586" t="s" s="11">
        <v>282</v>
      </c>
      <c r="H4586" t="s" s="10">
        <v>282</v>
      </c>
      <c r="I4586" t="s" s="11">
        <v>282</v>
      </c>
      <c r="J4586" t="s" s="11">
        <v>20</v>
      </c>
      <c r="K4586" s="15"/>
      <c r="L4586" t="s" s="16">
        <f>HYPERLINK("http://csr.bu.edu/ftp/asl/asllvd/demos/verify_start_end_handshape_annotations//test_auto_move//signs_mov_separ_signers/Liz_984.mov","MOV")</f>
        <v>21</v>
      </c>
      <c r="M4586" t="s" s="10">
        <v>84</v>
      </c>
      <c r="N4586" s="17">
        <v>49</v>
      </c>
      <c r="O4586" s="18">
        <v>1405</v>
      </c>
      <c r="P4586" s="18">
        <v>1435</v>
      </c>
      <c r="Q4586" s="15"/>
      <c r="R4586" t="s" s="16">
        <f>HYPERLINK("http://secrets.rutgers.edu:8080/data/asl-ftp/asllvd/demos/verify_start_end_handshape_annotations//test_auto_move//signs_mov_separ_signers/Liz_984.mov","MOV")</f>
        <v>21</v>
      </c>
    </row>
    <row r="4587" s="2" customFormat="1" ht="13.5" customHeight="1">
      <c r="B4587" s="13"/>
      <c r="C4587" t="s" s="9">
        <v>23</v>
      </c>
      <c r="D4587" t="s" s="8">
        <v>1563</v>
      </c>
      <c r="E4587" t="s" s="9">
        <v>1563</v>
      </c>
      <c r="F4587" t="s" s="10">
        <v>282</v>
      </c>
      <c r="G4587" t="s" s="11">
        <v>282</v>
      </c>
      <c r="H4587" t="s" s="10">
        <v>282</v>
      </c>
      <c r="I4587" t="s" s="11">
        <v>282</v>
      </c>
      <c r="J4587" t="s" s="11">
        <v>20</v>
      </c>
      <c r="K4587" s="15"/>
      <c r="L4587" t="s" s="16">
        <f>HYPERLINK("http://csr.bu.edu/ftp/asl/asllvd/demos/verify_start_end_handshape_annotations//test_auto_move//signs_mov_separ_signers/Tyler_984.mov","MOV")</f>
        <v>21</v>
      </c>
      <c r="M4587" t="s" s="10">
        <v>92</v>
      </c>
      <c r="N4587" s="17">
        <v>30</v>
      </c>
      <c r="O4587" s="18">
        <v>1165</v>
      </c>
      <c r="P4587" s="18">
        <v>1196</v>
      </c>
      <c r="Q4587" s="15"/>
      <c r="R4587" t="s" s="16">
        <f>HYPERLINK("http://secrets.rutgers.edu:8080/data/asl-ftp/asllvd/demos/verify_start_end_handshape_annotations//test_auto_move//signs_mov_separ_signers/Tyler_984.mov","MOV")</f>
        <v>21</v>
      </c>
    </row>
    <row r="4588" s="2" customFormat="1" ht="13.5" customHeight="1">
      <c r="B4588" s="13"/>
      <c r="C4588" t="s" s="9">
        <v>27</v>
      </c>
      <c r="D4588" t="s" s="8">
        <v>1563</v>
      </c>
      <c r="E4588" t="s" s="9">
        <v>1563</v>
      </c>
      <c r="F4588" t="s" s="10">
        <v>282</v>
      </c>
      <c r="G4588" t="s" s="11">
        <v>282</v>
      </c>
      <c r="H4588" t="s" s="10">
        <v>282</v>
      </c>
      <c r="I4588" t="s" s="11">
        <v>282</v>
      </c>
      <c r="J4588" t="s" s="11">
        <v>20</v>
      </c>
      <c r="K4588" t="s" s="16">
        <f>HYPERLINK("http://csr.bu.edu/ftp/asl/asllvd/demos/verify_start_end_handshape_annotations//test_auto_move//signs_mov/984.mov","MOV")</f>
        <v>21</v>
      </c>
      <c r="L4588" t="s" s="16">
        <f>HYPERLINK("http://csr.bu.edu/ftp/asl/asllvd/demos/verify_start_end_handshape_annotations//test_auto_move//signs_mov_separ_signers/Naomi_984.mov","MOV")</f>
        <v>21</v>
      </c>
      <c r="M4588" t="s" s="10">
        <v>86</v>
      </c>
      <c r="N4588" s="17">
        <v>49</v>
      </c>
      <c r="O4588" s="18">
        <v>895</v>
      </c>
      <c r="P4588" s="18">
        <v>930</v>
      </c>
      <c r="Q4588" t="s" s="16">
        <f>HYPERLINK("http://secrets.rutgers.edu:8080/data/asl-ftp/asllvd/demos/verify_start_end_handshape_annotations//test_auto_move//signs_mov/984.mov","MOV")</f>
        <v>21</v>
      </c>
      <c r="R4588" t="s" s="16">
        <f>HYPERLINK("http://secrets.rutgers.edu:8080/data/asl-ftp/asllvd/demos/verify_start_end_handshape_annotations//test_auto_move//signs_mov_separ_signers/Naomi_984.mov","MOV")</f>
        <v>21</v>
      </c>
    </row>
    <row r="4589" s="2" customFormat="1" ht="13.5" customHeight="1">
      <c r="B4589" s="13"/>
      <c r="C4589" t="s" s="9">
        <v>30</v>
      </c>
      <c r="D4589" t="s" s="8">
        <v>1563</v>
      </c>
      <c r="E4589" t="s" s="9">
        <v>1563</v>
      </c>
      <c r="F4589" t="s" s="10">
        <v>282</v>
      </c>
      <c r="G4589" t="s" s="11">
        <v>282</v>
      </c>
      <c r="H4589" t="s" s="10">
        <v>282</v>
      </c>
      <c r="I4589" t="s" s="11">
        <v>282</v>
      </c>
      <c r="J4589" t="s" s="11">
        <v>20</v>
      </c>
      <c r="K4589" s="15"/>
      <c r="L4589" t="s" s="16">
        <f>HYPERLINK("http://csr.bu.edu/ftp/asl/asllvd/demos/verify_start_end_handshape_annotations//test_auto_move//signs_mov_separ_signers/Brady_984.mov","MOV")</f>
        <v>21</v>
      </c>
      <c r="M4589" t="s" s="10">
        <v>39</v>
      </c>
      <c r="N4589" s="17">
        <v>22</v>
      </c>
      <c r="O4589" s="18">
        <v>6941</v>
      </c>
      <c r="P4589" s="18">
        <v>6956</v>
      </c>
      <c r="Q4589" s="15"/>
      <c r="R4589" t="s" s="16">
        <f>HYPERLINK("http://secrets.rutgers.edu:8080/data/asl-ftp/asllvd/demos/verify_start_end_handshape_annotations//test_auto_move//signs_mov_separ_signers/Brady_984.mov","MOV")</f>
        <v>21</v>
      </c>
    </row>
    <row r="4590" s="2" customFormat="1" ht="13.5" customHeight="1">
      <c r="B4590" s="13"/>
      <c r="C4590" t="s" s="9">
        <v>41</v>
      </c>
      <c r="D4590" t="s" s="8">
        <v>1563</v>
      </c>
      <c r="E4590" t="s" s="9">
        <v>1563</v>
      </c>
      <c r="F4590" t="s" s="10">
        <v>282</v>
      </c>
      <c r="G4590" t="s" s="11">
        <v>282</v>
      </c>
      <c r="H4590" t="s" s="10">
        <v>282</v>
      </c>
      <c r="I4590" t="s" s="11">
        <v>282</v>
      </c>
      <c r="J4590" t="s" s="11">
        <v>20</v>
      </c>
      <c r="K4590" s="15"/>
      <c r="L4590" t="s" s="16">
        <f>HYPERLINK("http://csr.bu.edu/ftp/asl/asllvd/demos/verify_start_end_handshape_annotations//test_auto_move//signs_mov_separ_signers/Lana_984.mov","MOV")</f>
        <v>21</v>
      </c>
      <c r="M4590" t="s" s="10">
        <v>42</v>
      </c>
      <c r="N4590" s="17">
        <v>11</v>
      </c>
      <c r="O4590" s="18">
        <v>1085</v>
      </c>
      <c r="P4590" s="18">
        <v>1104</v>
      </c>
      <c r="Q4590" s="15"/>
      <c r="R4590" t="s" s="16">
        <f>HYPERLINK("http://secrets.rutgers.edu:8080/data/asl-ftp/asllvd/demos/verify_start_end_handshape_annotations//test_auto_move//signs_mov_separ_signers/Lana_984.mov","MOV")</f>
        <v>21</v>
      </c>
    </row>
    <row r="4591" s="2" customFormat="1" ht="13.5" customHeight="1">
      <c r="B4591" s="13"/>
      <c r="C4591" t="s" s="9">
        <v>43</v>
      </c>
      <c r="D4591" t="s" s="8">
        <v>1563</v>
      </c>
      <c r="E4591" t="s" s="9">
        <v>1563</v>
      </c>
      <c r="F4591" t="s" s="10">
        <v>282</v>
      </c>
      <c r="G4591" t="s" s="11">
        <v>282</v>
      </c>
      <c r="H4591" t="s" s="10">
        <v>282</v>
      </c>
      <c r="I4591" t="s" s="11">
        <v>282</v>
      </c>
      <c r="J4591" t="s" s="11">
        <v>20</v>
      </c>
      <c r="K4591" s="15"/>
      <c r="L4591" t="s" s="16">
        <f>HYPERLINK("http://csr.bu.edu/ftp/asl/asllvd/demos/verify_start_end_handshape_annotations//test_auto_move//signs_mov_separ_signers/Dana_984.mov","MOV")</f>
        <v>21</v>
      </c>
      <c r="M4591" t="s" s="10">
        <v>44</v>
      </c>
      <c r="N4591" s="17">
        <v>14</v>
      </c>
      <c r="O4591" s="18">
        <v>1022</v>
      </c>
      <c r="P4591" s="18">
        <v>1056</v>
      </c>
      <c r="Q4591" s="15"/>
      <c r="R4591" t="s" s="16">
        <f>HYPERLINK("http://secrets.rutgers.edu:8080/data/asl-ftp/asllvd/demos/verify_start_end_handshape_annotations//test_auto_move//signs_mov_separ_signers/Dana_984.mov","MOV")</f>
        <v>21</v>
      </c>
    </row>
    <row r="4592" s="2" customFormat="1" ht="13.5" customHeight="1">
      <c r="B4592" t="s" s="8">
        <v>1564</v>
      </c>
      <c r="C4592" t="s" s="9">
        <v>14</v>
      </c>
      <c r="D4592" t="s" s="8">
        <v>14</v>
      </c>
      <c r="E4592" t="s" s="9">
        <v>14</v>
      </c>
      <c r="F4592" t="s" s="10">
        <v>14</v>
      </c>
      <c r="G4592" t="s" s="11">
        <v>14</v>
      </c>
      <c r="H4592" t="s" s="10">
        <v>14</v>
      </c>
      <c r="I4592" t="s" s="11">
        <v>14</v>
      </c>
      <c r="J4592" t="s" s="11">
        <v>14</v>
      </c>
      <c r="K4592" t="s" s="12">
        <v>14</v>
      </c>
      <c r="L4592" t="s" s="12">
        <v>14</v>
      </c>
      <c r="M4592" t="s" s="10">
        <v>14</v>
      </c>
      <c r="N4592" t="s" s="11">
        <v>14</v>
      </c>
      <c r="O4592" t="s" s="8">
        <v>14</v>
      </c>
      <c r="P4592" t="s" s="8">
        <v>14</v>
      </c>
      <c r="Q4592" t="s" s="12">
        <v>14</v>
      </c>
      <c r="R4592" t="s" s="12">
        <v>14</v>
      </c>
    </row>
    <row r="4593" s="2" customFormat="1" ht="13.5" customHeight="1">
      <c r="B4593" s="13"/>
      <c r="C4593" t="s" s="9">
        <v>16</v>
      </c>
      <c r="D4593" t="s" s="8">
        <v>1564</v>
      </c>
      <c r="E4593" t="s" s="9">
        <v>1564</v>
      </c>
      <c r="F4593" t="s" s="10">
        <v>287</v>
      </c>
      <c r="G4593" t="s" s="11">
        <v>287</v>
      </c>
      <c r="H4593" t="s" s="10">
        <v>287</v>
      </c>
      <c r="I4593" t="s" s="11">
        <v>287</v>
      </c>
      <c r="J4593" t="s" s="11">
        <v>20</v>
      </c>
      <c r="K4593" s="15"/>
      <c r="L4593" t="s" s="16">
        <f>HYPERLINK("http://csr.bu.edu/ftp/asl/asllvd/demos/verify_start_end_handshape_annotations//test_auto_move//signs_mov_separ_signers/Liz_15728.mov","MOV")</f>
        <v>21</v>
      </c>
      <c r="M4593" t="s" s="10">
        <v>34</v>
      </c>
      <c r="N4593" s="17">
        <v>31</v>
      </c>
      <c r="O4593" s="18">
        <v>265</v>
      </c>
      <c r="P4593" s="18">
        <v>305</v>
      </c>
      <c r="Q4593" s="15"/>
      <c r="R4593" t="s" s="16">
        <f>HYPERLINK("http://secrets.rutgers.edu:8080/data/asl-ftp/asllvd/demos/verify_start_end_handshape_annotations//test_auto_move//signs_mov_separ_signers/Liz_15728.mov","MOV")</f>
        <v>21</v>
      </c>
    </row>
    <row r="4594" s="2" customFormat="1" ht="13.5" customHeight="1">
      <c r="B4594" s="13"/>
      <c r="C4594" t="s" s="9">
        <v>23</v>
      </c>
      <c r="D4594" t="s" s="8">
        <v>1564</v>
      </c>
      <c r="E4594" t="s" s="9">
        <v>1564</v>
      </c>
      <c r="F4594" t="s" s="10">
        <v>287</v>
      </c>
      <c r="G4594" t="s" s="11">
        <v>287</v>
      </c>
      <c r="H4594" t="s" s="10">
        <v>287</v>
      </c>
      <c r="I4594" t="s" s="11">
        <v>287</v>
      </c>
      <c r="J4594" t="s" s="11">
        <v>20</v>
      </c>
      <c r="K4594" t="s" s="16">
        <f>HYPERLINK("http://csr.bu.edu/ftp/asl/asllvd/demos/verify_start_end_handshape_annotations//test_auto_move//signs_mov/15728.mov","MOV")</f>
        <v>21</v>
      </c>
      <c r="L4594" t="s" s="16">
        <f>HYPERLINK("http://csr.bu.edu/ftp/asl/asllvd/demos/verify_start_end_handshape_annotations//test_auto_move//signs_mov_separ_signers/Tyler_15728.mov","MOV")</f>
        <v>21</v>
      </c>
      <c r="M4594" t="s" s="10">
        <v>37</v>
      </c>
      <c r="N4594" s="17">
        <v>5</v>
      </c>
      <c r="O4594" s="18">
        <v>2280</v>
      </c>
      <c r="P4594" s="18">
        <v>2305</v>
      </c>
      <c r="Q4594" t="s" s="16">
        <f>HYPERLINK("http://secrets.rutgers.edu:8080/data/asl-ftp/asllvd/demos/verify_start_end_handshape_annotations//test_auto_move//signs_mov/15728.mov","MOV")</f>
        <v>21</v>
      </c>
      <c r="R4594" t="s" s="16">
        <f>HYPERLINK("http://secrets.rutgers.edu:8080/data/asl-ftp/asllvd/demos/verify_start_end_handshape_annotations//test_auto_move//signs_mov_separ_signers/Tyler_15728.mov","MOV")</f>
        <v>21</v>
      </c>
    </row>
    <row r="4595" s="2" customFormat="1" ht="13.5" customHeight="1">
      <c r="B4595" s="13"/>
      <c r="C4595" t="s" s="9">
        <v>27</v>
      </c>
      <c r="D4595" t="s" s="8">
        <v>1564</v>
      </c>
      <c r="E4595" t="s" s="9">
        <v>1564</v>
      </c>
      <c r="F4595" t="s" s="10">
        <v>287</v>
      </c>
      <c r="G4595" t="s" s="11">
        <v>287</v>
      </c>
      <c r="H4595" t="s" s="10">
        <v>287</v>
      </c>
      <c r="I4595" t="s" s="11">
        <v>287</v>
      </c>
      <c r="J4595" t="s" s="11">
        <v>20</v>
      </c>
      <c r="K4595" s="15"/>
      <c r="L4595" t="s" s="16">
        <f>HYPERLINK("http://csr.bu.edu/ftp/asl/asllvd/demos/verify_start_end_handshape_annotations//test_auto_move//signs_mov_separ_signers/Naomi_15728.mov","MOV")</f>
        <v>21</v>
      </c>
      <c r="M4595" t="s" s="10">
        <v>38</v>
      </c>
      <c r="N4595" s="17">
        <v>25</v>
      </c>
      <c r="O4595" s="18">
        <v>4060</v>
      </c>
      <c r="P4595" s="18">
        <v>4081</v>
      </c>
      <c r="Q4595" s="15"/>
      <c r="R4595" t="s" s="16">
        <f>HYPERLINK("http://secrets.rutgers.edu:8080/data/asl-ftp/asllvd/demos/verify_start_end_handshape_annotations//test_auto_move//signs_mov_separ_signers/Naomi_15728.mov","MOV")</f>
        <v>21</v>
      </c>
    </row>
    <row r="4596" s="2" customFormat="1" ht="13.5" customHeight="1">
      <c r="B4596" s="13"/>
      <c r="C4596" t="s" s="9">
        <v>30</v>
      </c>
      <c r="D4596" t="s" s="8">
        <v>1564</v>
      </c>
      <c r="E4596" t="s" s="9">
        <v>1564</v>
      </c>
      <c r="F4596" t="s" s="10">
        <v>287</v>
      </c>
      <c r="G4596" t="s" s="11">
        <v>287</v>
      </c>
      <c r="H4596" t="s" s="10">
        <v>287</v>
      </c>
      <c r="I4596" t="s" s="11">
        <v>287</v>
      </c>
      <c r="J4596" t="s" s="11">
        <v>20</v>
      </c>
      <c r="K4596" s="15"/>
      <c r="L4596" t="s" s="16">
        <f>HYPERLINK("http://csr.bu.edu/ftp/asl/asllvd/demos/verify_start_end_handshape_annotations//test_auto_move//signs_mov_separ_signers/Brady_15728.mov","MOV")</f>
        <v>21</v>
      </c>
      <c r="M4596" t="s" s="10">
        <v>39</v>
      </c>
      <c r="N4596" s="17">
        <v>39</v>
      </c>
      <c r="O4596" s="18">
        <v>4235</v>
      </c>
      <c r="P4596" s="18">
        <v>4251</v>
      </c>
      <c r="Q4596" s="15"/>
      <c r="R4596" t="s" s="16">
        <f>HYPERLINK("http://secrets.rutgers.edu:8080/data/asl-ftp/asllvd/demos/verify_start_end_handshape_annotations//test_auto_move//signs_mov_separ_signers/Brady_15728.mov","MOV")</f>
        <v>21</v>
      </c>
    </row>
    <row r="4597" s="2" customFormat="1" ht="13.5" customHeight="1">
      <c r="B4597" t="s" s="8">
        <v>1565</v>
      </c>
      <c r="C4597" t="s" s="9">
        <v>14</v>
      </c>
      <c r="D4597" t="s" s="8">
        <v>14</v>
      </c>
      <c r="E4597" t="s" s="9">
        <v>14</v>
      </c>
      <c r="F4597" t="s" s="10">
        <v>14</v>
      </c>
      <c r="G4597" t="s" s="11">
        <v>14</v>
      </c>
      <c r="H4597" t="s" s="10">
        <v>14</v>
      </c>
      <c r="I4597" t="s" s="11">
        <v>14</v>
      </c>
      <c r="J4597" t="s" s="11">
        <v>14</v>
      </c>
      <c r="K4597" t="s" s="12">
        <v>14</v>
      </c>
      <c r="L4597" t="s" s="12">
        <v>14</v>
      </c>
      <c r="M4597" t="s" s="10">
        <v>14</v>
      </c>
      <c r="N4597" t="s" s="11">
        <v>14</v>
      </c>
      <c r="O4597" t="s" s="8">
        <v>14</v>
      </c>
      <c r="P4597" t="s" s="8">
        <v>14</v>
      </c>
      <c r="Q4597" t="s" s="12">
        <v>14</v>
      </c>
      <c r="R4597" t="s" s="12">
        <v>14</v>
      </c>
    </row>
    <row r="4598" s="2" customFormat="1" ht="13.5" customHeight="1">
      <c r="B4598" s="13"/>
      <c r="C4598" t="s" s="9">
        <v>16</v>
      </c>
      <c r="D4598" t="s" s="8">
        <v>1565</v>
      </c>
      <c r="E4598" t="s" s="9">
        <v>1565</v>
      </c>
      <c r="F4598" s="19">
        <v>5</v>
      </c>
      <c r="G4598" s="17">
        <v>5</v>
      </c>
      <c r="H4598" t="s" s="10">
        <v>187</v>
      </c>
      <c r="I4598" t="s" s="11">
        <v>187</v>
      </c>
      <c r="J4598" t="s" s="11">
        <v>20</v>
      </c>
      <c r="K4598" s="15"/>
      <c r="L4598" t="s" s="16">
        <f>HYPERLINK("http://csr.bu.edu/ftp/asl/asllvd/demos/verify_start_end_handshape_annotations//test_auto_move//signs_mov_separ_signers/Liz_985.mov","MOV")</f>
        <v>21</v>
      </c>
      <c r="M4598" t="s" s="10">
        <v>84</v>
      </c>
      <c r="N4598" s="17">
        <v>49</v>
      </c>
      <c r="O4598" s="18">
        <v>1567</v>
      </c>
      <c r="P4598" s="18">
        <v>1595</v>
      </c>
      <c r="Q4598" s="15"/>
      <c r="R4598" t="s" s="16">
        <f>HYPERLINK("http://secrets.rutgers.edu:8080/data/asl-ftp/asllvd/demos/verify_start_end_handshape_annotations//test_auto_move//signs_mov_separ_signers/Liz_985.mov","MOV")</f>
        <v>21</v>
      </c>
    </row>
    <row r="4599" s="2" customFormat="1" ht="13.5" customHeight="1">
      <c r="B4599" s="13"/>
      <c r="C4599" t="s" s="9">
        <v>23</v>
      </c>
      <c r="D4599" t="s" s="8">
        <v>1565</v>
      </c>
      <c r="E4599" t="s" s="9">
        <v>1565</v>
      </c>
      <c r="F4599" s="19">
        <v>5</v>
      </c>
      <c r="G4599" s="17">
        <v>5</v>
      </c>
      <c r="H4599" t="s" s="10">
        <v>187</v>
      </c>
      <c r="I4599" t="s" s="11">
        <v>187</v>
      </c>
      <c r="J4599" t="s" s="11">
        <v>20</v>
      </c>
      <c r="K4599" s="15"/>
      <c r="L4599" t="s" s="16">
        <f>HYPERLINK("http://csr.bu.edu/ftp/asl/asllvd/demos/verify_start_end_handshape_annotations//test_auto_move//signs_mov_separ_signers/Tyler_985.mov","MOV")</f>
        <v>21</v>
      </c>
      <c r="M4599" t="s" s="10">
        <v>92</v>
      </c>
      <c r="N4599" s="17">
        <v>30</v>
      </c>
      <c r="O4599" s="18">
        <v>1336</v>
      </c>
      <c r="P4599" s="18">
        <v>1365</v>
      </c>
      <c r="Q4599" s="15"/>
      <c r="R4599" t="s" s="16">
        <f>HYPERLINK("http://secrets.rutgers.edu:8080/data/asl-ftp/asllvd/demos/verify_start_end_handshape_annotations//test_auto_move//signs_mov_separ_signers/Tyler_985.mov","MOV")</f>
        <v>21</v>
      </c>
    </row>
    <row r="4600" s="2" customFormat="1" ht="13.5" customHeight="1">
      <c r="B4600" s="13"/>
      <c r="C4600" t="s" s="9">
        <v>27</v>
      </c>
      <c r="D4600" t="s" s="8">
        <v>1565</v>
      </c>
      <c r="E4600" t="s" s="9">
        <v>1565</v>
      </c>
      <c r="F4600" s="19">
        <v>5</v>
      </c>
      <c r="G4600" s="17">
        <v>5</v>
      </c>
      <c r="H4600" t="s" s="10">
        <v>187</v>
      </c>
      <c r="I4600" t="s" s="11">
        <v>187</v>
      </c>
      <c r="J4600" t="s" s="11">
        <v>20</v>
      </c>
      <c r="K4600" t="s" s="16">
        <f>HYPERLINK("http://csr.bu.edu/ftp/asl/asllvd/demos/verify_start_end_handshape_annotations//test_auto_move//signs_mov/985.mov","MOV")</f>
        <v>21</v>
      </c>
      <c r="L4600" t="s" s="16">
        <f>HYPERLINK("http://csr.bu.edu/ftp/asl/asllvd/demos/verify_start_end_handshape_annotations//test_auto_move//signs_mov_separ_signers/Naomi_985.mov","MOV")</f>
        <v>21</v>
      </c>
      <c r="M4600" t="s" s="10">
        <v>86</v>
      </c>
      <c r="N4600" s="17">
        <v>49</v>
      </c>
      <c r="O4600" s="18">
        <v>1115</v>
      </c>
      <c r="P4600" s="18">
        <v>1137</v>
      </c>
      <c r="Q4600" t="s" s="16">
        <f>HYPERLINK("http://secrets.rutgers.edu:8080/data/asl-ftp/asllvd/demos/verify_start_end_handshape_annotations//test_auto_move//signs_mov/985.mov","MOV")</f>
        <v>21</v>
      </c>
      <c r="R4600" t="s" s="16">
        <f>HYPERLINK("http://secrets.rutgers.edu:8080/data/asl-ftp/asllvd/demos/verify_start_end_handshape_annotations//test_auto_move//signs_mov_separ_signers/Naomi_985.mov","MOV")</f>
        <v>21</v>
      </c>
    </row>
    <row r="4601" s="2" customFormat="1" ht="13.5" customHeight="1">
      <c r="B4601" s="13"/>
      <c r="C4601" t="s" s="9">
        <v>30</v>
      </c>
      <c r="D4601" t="s" s="8">
        <v>1565</v>
      </c>
      <c r="E4601" t="s" s="9">
        <v>1565</v>
      </c>
      <c r="F4601" s="19">
        <v>5</v>
      </c>
      <c r="G4601" s="17">
        <v>5</v>
      </c>
      <c r="H4601" t="s" s="10">
        <v>187</v>
      </c>
      <c r="I4601" t="s" s="11">
        <v>187</v>
      </c>
      <c r="J4601" t="s" s="11">
        <v>20</v>
      </c>
      <c r="K4601" s="15"/>
      <c r="L4601" t="s" s="16">
        <f>HYPERLINK("http://csr.bu.edu/ftp/asl/asllvd/demos/verify_start_end_handshape_annotations//test_auto_move//signs_mov_separ_signers/Brady_985.mov","MOV")</f>
        <v>21</v>
      </c>
      <c r="M4601" t="s" s="10">
        <v>39</v>
      </c>
      <c r="N4601" s="17">
        <v>23</v>
      </c>
      <c r="O4601" s="18">
        <v>690</v>
      </c>
      <c r="P4601" s="18">
        <v>706</v>
      </c>
      <c r="Q4601" s="15"/>
      <c r="R4601" t="s" s="16">
        <f>HYPERLINK("http://secrets.rutgers.edu:8080/data/asl-ftp/asllvd/demos/verify_start_end_handshape_annotations//test_auto_move//signs_mov_separ_signers/Brady_985.mov","MOV")</f>
        <v>21</v>
      </c>
    </row>
    <row r="4602" s="2" customFormat="1" ht="13.5" customHeight="1">
      <c r="B4602" s="13"/>
      <c r="C4602" t="s" s="9">
        <v>41</v>
      </c>
      <c r="D4602" t="s" s="8">
        <v>1565</v>
      </c>
      <c r="E4602" t="s" s="9">
        <v>1565</v>
      </c>
      <c r="F4602" s="19">
        <v>5</v>
      </c>
      <c r="G4602" s="17">
        <v>5</v>
      </c>
      <c r="H4602" t="s" s="10">
        <v>187</v>
      </c>
      <c r="I4602" t="s" s="11">
        <v>187</v>
      </c>
      <c r="J4602" t="s" s="11">
        <v>20</v>
      </c>
      <c r="K4602" s="15"/>
      <c r="L4602" t="s" s="16">
        <f>HYPERLINK("http://csr.bu.edu/ftp/asl/asllvd/demos/verify_start_end_handshape_annotations//test_auto_move//signs_mov_separ_signers/Lana_985.mov","MOV")</f>
        <v>21</v>
      </c>
      <c r="M4602" t="s" s="10">
        <v>42</v>
      </c>
      <c r="N4602" s="17">
        <v>11</v>
      </c>
      <c r="O4602" s="18">
        <v>1308</v>
      </c>
      <c r="P4602" s="18">
        <v>1325</v>
      </c>
      <c r="Q4602" s="15"/>
      <c r="R4602" t="s" s="16">
        <f>HYPERLINK("http://secrets.rutgers.edu:8080/data/asl-ftp/asllvd/demos/verify_start_end_handshape_annotations//test_auto_move//signs_mov_separ_signers/Lana_985.mov","MOV")</f>
        <v>21</v>
      </c>
    </row>
    <row r="4603" s="2" customFormat="1" ht="13.5" customHeight="1">
      <c r="B4603" s="13"/>
      <c r="C4603" t="s" s="9">
        <v>43</v>
      </c>
      <c r="D4603" t="s" s="8">
        <v>1565</v>
      </c>
      <c r="E4603" t="s" s="9">
        <v>1565</v>
      </c>
      <c r="F4603" s="19">
        <v>5</v>
      </c>
      <c r="G4603" s="17">
        <v>5</v>
      </c>
      <c r="H4603" t="s" s="10">
        <v>187</v>
      </c>
      <c r="I4603" t="s" s="11">
        <v>187</v>
      </c>
      <c r="J4603" t="s" s="11">
        <v>20</v>
      </c>
      <c r="K4603" s="15"/>
      <c r="L4603" t="s" s="16">
        <f>HYPERLINK("http://csr.bu.edu/ftp/asl/asllvd/demos/verify_start_end_handshape_annotations//test_auto_move//signs_mov_separ_signers/Dana_985.mov","MOV")</f>
        <v>21</v>
      </c>
      <c r="M4603" t="s" s="10">
        <v>44</v>
      </c>
      <c r="N4603" s="17">
        <v>14</v>
      </c>
      <c r="O4603" s="18">
        <v>1290</v>
      </c>
      <c r="P4603" s="18">
        <v>1334</v>
      </c>
      <c r="Q4603" s="15"/>
      <c r="R4603" t="s" s="16">
        <f>HYPERLINK("http://secrets.rutgers.edu:8080/data/asl-ftp/asllvd/demos/verify_start_end_handshape_annotations//test_auto_move//signs_mov_separ_signers/Dana_985.mov","MOV")</f>
        <v>21</v>
      </c>
    </row>
    <row r="4604" s="2" customFormat="1" ht="13.5" customHeight="1">
      <c r="B4604" t="s" s="8">
        <v>1566</v>
      </c>
      <c r="C4604" t="s" s="9">
        <v>14</v>
      </c>
      <c r="D4604" t="s" s="8">
        <v>14</v>
      </c>
      <c r="E4604" t="s" s="9">
        <v>14</v>
      </c>
      <c r="F4604" t="s" s="10">
        <v>14</v>
      </c>
      <c r="G4604" t="s" s="11">
        <v>14</v>
      </c>
      <c r="H4604" t="s" s="10">
        <v>14</v>
      </c>
      <c r="I4604" t="s" s="11">
        <v>14</v>
      </c>
      <c r="J4604" t="s" s="11">
        <v>14</v>
      </c>
      <c r="K4604" t="s" s="12">
        <v>14</v>
      </c>
      <c r="L4604" t="s" s="12">
        <v>14</v>
      </c>
      <c r="M4604" t="s" s="10">
        <v>14</v>
      </c>
      <c r="N4604" t="s" s="11">
        <v>14</v>
      </c>
      <c r="O4604" t="s" s="8">
        <v>14</v>
      </c>
      <c r="P4604" t="s" s="8">
        <v>14</v>
      </c>
      <c r="Q4604" t="s" s="12">
        <v>14</v>
      </c>
      <c r="R4604" t="s" s="12">
        <v>14</v>
      </c>
    </row>
    <row r="4605" s="2" customFormat="1" ht="13.5" customHeight="1">
      <c r="B4605" s="13"/>
      <c r="C4605" t="s" s="9">
        <v>16</v>
      </c>
      <c r="D4605" t="s" s="8">
        <v>1566</v>
      </c>
      <c r="E4605" t="s" s="9">
        <v>1567</v>
      </c>
      <c r="F4605" t="s" s="10">
        <v>1568</v>
      </c>
      <c r="G4605" s="14"/>
      <c r="H4605" s="19">
        <v>7</v>
      </c>
      <c r="I4605" s="14"/>
      <c r="J4605" t="s" s="11">
        <v>20</v>
      </c>
      <c r="K4605" s="15"/>
      <c r="L4605" t="s" s="16">
        <f>HYPERLINK("http://csr.bu.edu/ftp/asl/asllvd/demos/verify_start_end_handshape_annotations//test_auto_move//signs_mov_separ_signers/Liz_987.mov","MOV")</f>
        <v>21</v>
      </c>
      <c r="M4605" t="s" s="10">
        <v>84</v>
      </c>
      <c r="N4605" s="17">
        <v>49</v>
      </c>
      <c r="O4605" s="18">
        <v>2335</v>
      </c>
      <c r="P4605" s="18">
        <v>2395</v>
      </c>
      <c r="Q4605" s="15"/>
      <c r="R4605" t="s" s="16">
        <f>HYPERLINK("http://secrets.rutgers.edu:8080/data/asl-ftp/asllvd/demos/verify_start_end_handshape_annotations//test_auto_move//signs_mov_separ_signers/Liz_987.mov","MOV")</f>
        <v>21</v>
      </c>
    </row>
    <row r="4606" s="2" customFormat="1" ht="13.5" customHeight="1">
      <c r="B4606" s="13"/>
      <c r="C4606" t="s" s="9">
        <v>27</v>
      </c>
      <c r="D4606" t="s" s="8">
        <v>1566</v>
      </c>
      <c r="E4606" t="s" s="9">
        <v>1569</v>
      </c>
      <c r="F4606" t="s" s="10">
        <v>1568</v>
      </c>
      <c r="G4606" s="14"/>
      <c r="H4606" s="19">
        <v>7</v>
      </c>
      <c r="I4606" s="14"/>
      <c r="J4606" t="s" s="11">
        <v>20</v>
      </c>
      <c r="K4606" t="s" s="16">
        <f>HYPERLINK("http://csr.bu.edu/ftp/asl/asllvd/demos/verify_start_end_handshape_annotations//test_auto_move//signs_mov/987.mov","MOV")</f>
        <v>21</v>
      </c>
      <c r="L4606" t="s" s="16">
        <f>HYPERLINK("http://csr.bu.edu/ftp/asl/asllvd/demos/verify_start_end_handshape_annotations//test_auto_move//signs_mov_separ_signers/Naomi_987.mov","MOV")</f>
        <v>21</v>
      </c>
      <c r="M4606" t="s" s="10">
        <v>86</v>
      </c>
      <c r="N4606" s="17">
        <v>49</v>
      </c>
      <c r="O4606" s="18">
        <v>1670</v>
      </c>
      <c r="P4606" s="18">
        <v>1705</v>
      </c>
      <c r="Q4606" t="s" s="16">
        <f>HYPERLINK("http://secrets.rutgers.edu:8080/data/asl-ftp/asllvd/demos/verify_start_end_handshape_annotations//test_auto_move//signs_mov/987.mov","MOV")</f>
        <v>21</v>
      </c>
      <c r="R4606" t="s" s="16">
        <f>HYPERLINK("http://secrets.rutgers.edu:8080/data/asl-ftp/asllvd/demos/verify_start_end_handshape_annotations//test_auto_move//signs_mov_separ_signers/Naomi_987.mov","MOV")</f>
        <v>21</v>
      </c>
    </row>
    <row r="4607" s="2" customFormat="1" ht="13.5" customHeight="1">
      <c r="B4607" s="13"/>
      <c r="C4607" t="s" s="9">
        <v>30</v>
      </c>
      <c r="D4607" t="s" s="8">
        <v>1566</v>
      </c>
      <c r="E4607" t="s" s="9">
        <v>1567</v>
      </c>
      <c r="F4607" s="19">
        <v>7</v>
      </c>
      <c r="G4607" s="14"/>
      <c r="H4607" s="19">
        <v>7</v>
      </c>
      <c r="I4607" s="14"/>
      <c r="J4607" t="s" s="11">
        <v>20</v>
      </c>
      <c r="K4607" s="15"/>
      <c r="L4607" t="s" s="16">
        <f>HYPERLINK("http://csr.bu.edu/ftp/asl/asllvd/demos/verify_start_end_handshape_annotations//test_auto_move//signs_mov_separ_signers/Brady_987.mov","MOV")</f>
        <v>21</v>
      </c>
      <c r="M4607" t="s" s="10">
        <v>39</v>
      </c>
      <c r="N4607" s="17">
        <v>23</v>
      </c>
      <c r="O4607" s="18">
        <v>1142</v>
      </c>
      <c r="P4607" s="18">
        <v>1164</v>
      </c>
      <c r="Q4607" s="15"/>
      <c r="R4607" t="s" s="16">
        <f>HYPERLINK("http://secrets.rutgers.edu:8080/data/asl-ftp/asllvd/demos/verify_start_end_handshape_annotations//test_auto_move//signs_mov_separ_signers/Brady_987.mov","MOV")</f>
        <v>21</v>
      </c>
    </row>
    <row r="4608" s="2" customFormat="1" ht="13.5" customHeight="1">
      <c r="B4608" t="s" s="8">
        <v>1566</v>
      </c>
      <c r="C4608" t="s" s="9">
        <v>14</v>
      </c>
      <c r="D4608" t="s" s="8">
        <v>14</v>
      </c>
      <c r="E4608" t="s" s="9">
        <v>14</v>
      </c>
      <c r="F4608" t="s" s="10">
        <v>14</v>
      </c>
      <c r="G4608" t="s" s="11">
        <v>14</v>
      </c>
      <c r="H4608" t="s" s="10">
        <v>14</v>
      </c>
      <c r="I4608" t="s" s="11">
        <v>14</v>
      </c>
      <c r="J4608" t="s" s="11">
        <v>14</v>
      </c>
      <c r="K4608" t="s" s="12">
        <v>14</v>
      </c>
      <c r="L4608" t="s" s="12">
        <v>14</v>
      </c>
      <c r="M4608" t="s" s="10">
        <v>14</v>
      </c>
      <c r="N4608" t="s" s="11">
        <v>14</v>
      </c>
      <c r="O4608" t="s" s="8">
        <v>14</v>
      </c>
      <c r="P4608" t="s" s="8">
        <v>14</v>
      </c>
      <c r="Q4608" t="s" s="12">
        <v>14</v>
      </c>
      <c r="R4608" t="s" s="12">
        <v>14</v>
      </c>
    </row>
    <row r="4609" s="2" customFormat="1" ht="13.5" customHeight="1">
      <c r="B4609" s="13"/>
      <c r="C4609" t="s" s="9">
        <v>16</v>
      </c>
      <c r="D4609" t="s" s="8">
        <v>1570</v>
      </c>
      <c r="E4609" t="s" s="9">
        <v>1571</v>
      </c>
      <c r="F4609" t="s" s="10">
        <v>1568</v>
      </c>
      <c r="G4609" t="s" s="11">
        <v>73</v>
      </c>
      <c r="H4609" t="s" s="10">
        <v>1568</v>
      </c>
      <c r="I4609" t="s" s="11">
        <v>73</v>
      </c>
      <c r="J4609" t="s" s="11">
        <v>20</v>
      </c>
      <c r="K4609" s="15"/>
      <c r="L4609" t="s" s="16">
        <f>HYPERLINK("http://csr.bu.edu/ftp/asl/asllvd/demos/verify_start_end_handshape_annotations//test_auto_move//signs_mov_separ_signers/Liz_3640.mov","MOV")</f>
        <v>21</v>
      </c>
      <c r="M4609" t="s" s="10">
        <v>84</v>
      </c>
      <c r="N4609" s="17">
        <v>49</v>
      </c>
      <c r="O4609" s="18">
        <v>2591</v>
      </c>
      <c r="P4609" s="18">
        <v>2631</v>
      </c>
      <c r="Q4609" s="15"/>
      <c r="R4609" t="s" s="16">
        <f>HYPERLINK("http://secrets.rutgers.edu:8080/data/asl-ftp/asllvd/demos/verify_start_end_handshape_annotations//test_auto_move//signs_mov_separ_signers/Liz_3640.mov","MOV")</f>
        <v>21</v>
      </c>
    </row>
    <row r="4610" s="2" customFormat="1" ht="13.5" customHeight="1">
      <c r="B4610" s="13"/>
      <c r="C4610" t="s" s="9">
        <v>23</v>
      </c>
      <c r="D4610" t="s" s="8">
        <v>1570</v>
      </c>
      <c r="E4610" t="s" s="9">
        <v>1572</v>
      </c>
      <c r="F4610" t="s" s="10">
        <v>1568</v>
      </c>
      <c r="G4610" t="s" s="11">
        <v>73</v>
      </c>
      <c r="H4610" t="s" s="10">
        <v>1568</v>
      </c>
      <c r="I4610" t="s" s="11">
        <v>73</v>
      </c>
      <c r="J4610" t="s" s="11">
        <v>20</v>
      </c>
      <c r="K4610" t="s" s="16">
        <f>HYPERLINK("http://csr.bu.edu/ftp/asl/asllvd/demos/verify_start_end_handshape_annotations//test_auto_move//signs_mov/3640.mov","MOV")</f>
        <v>21</v>
      </c>
      <c r="L4610" t="s" s="16">
        <f>HYPERLINK("http://csr.bu.edu/ftp/asl/asllvd/demos/verify_start_end_handshape_annotations//test_auto_move//signs_mov_separ_signers/Tyler_3640.mov","MOV")</f>
        <v>21</v>
      </c>
      <c r="M4610" t="s" s="10">
        <v>92</v>
      </c>
      <c r="N4610" s="17">
        <v>30</v>
      </c>
      <c r="O4610" s="18">
        <v>1885</v>
      </c>
      <c r="P4610" s="18">
        <v>1945</v>
      </c>
      <c r="Q4610" t="s" s="16">
        <f>HYPERLINK("http://secrets.rutgers.edu:8080/data/asl-ftp/asllvd/demos/verify_start_end_handshape_annotations//test_auto_move//signs_mov/3640.mov","MOV")</f>
        <v>21</v>
      </c>
      <c r="R4610" t="s" s="16">
        <f>HYPERLINK("http://secrets.rutgers.edu:8080/data/asl-ftp/asllvd/demos/verify_start_end_handshape_annotations//test_auto_move//signs_mov_separ_signers/Tyler_3640.mov","MOV")</f>
        <v>21</v>
      </c>
    </row>
    <row r="4611" s="2" customFormat="1" ht="13.5" customHeight="1">
      <c r="B4611" s="13"/>
      <c r="C4611" t="s" s="9">
        <v>30</v>
      </c>
      <c r="D4611" t="s" s="8">
        <v>1570</v>
      </c>
      <c r="E4611" t="s" s="9">
        <v>1571</v>
      </c>
      <c r="F4611" t="s" s="10">
        <v>1568</v>
      </c>
      <c r="G4611" t="s" s="11">
        <v>73</v>
      </c>
      <c r="H4611" t="s" s="10">
        <v>1568</v>
      </c>
      <c r="I4611" t="s" s="11">
        <v>73</v>
      </c>
      <c r="J4611" t="s" s="11">
        <v>20</v>
      </c>
      <c r="K4611" s="15"/>
      <c r="L4611" t="s" s="16">
        <f>HYPERLINK("http://csr.bu.edu/ftp/asl/asllvd/demos/verify_start_end_handshape_annotations//test_auto_move//signs_mov_separ_signers/Brady_3640.mov","MOV")</f>
        <v>21</v>
      </c>
      <c r="M4611" t="s" s="10">
        <v>39</v>
      </c>
      <c r="N4611" s="17">
        <v>23</v>
      </c>
      <c r="O4611" s="18">
        <v>1386</v>
      </c>
      <c r="P4611" s="18">
        <v>1414</v>
      </c>
      <c r="Q4611" s="15"/>
      <c r="R4611" t="s" s="16">
        <f>HYPERLINK("http://secrets.rutgers.edu:8080/data/asl-ftp/asllvd/demos/verify_start_end_handshape_annotations//test_auto_move//signs_mov_separ_signers/Brady_3640.mov","MOV")</f>
        <v>21</v>
      </c>
    </row>
    <row r="4612" s="2" customFormat="1" ht="13.5" customHeight="1">
      <c r="B4612" t="s" s="8">
        <v>52</v>
      </c>
      <c r="C4612" t="s" s="9">
        <v>53</v>
      </c>
      <c r="D4612" t="s" s="8">
        <v>53</v>
      </c>
      <c r="E4612" t="s" s="9">
        <v>53</v>
      </c>
      <c r="F4612" t="s" s="10">
        <v>53</v>
      </c>
      <c r="G4612" t="s" s="11">
        <v>53</v>
      </c>
      <c r="H4612" t="s" s="10">
        <v>53</v>
      </c>
      <c r="I4612" t="s" s="11">
        <v>53</v>
      </c>
      <c r="J4612" t="s" s="11">
        <v>53</v>
      </c>
      <c r="K4612" t="s" s="12">
        <v>53</v>
      </c>
      <c r="L4612" t="s" s="12">
        <v>53</v>
      </c>
      <c r="M4612" t="s" s="10">
        <v>53</v>
      </c>
      <c r="N4612" t="s" s="11">
        <v>53</v>
      </c>
      <c r="O4612" t="s" s="8">
        <v>53</v>
      </c>
      <c r="P4612" t="s" s="8">
        <v>53</v>
      </c>
      <c r="Q4612" t="s" s="12">
        <v>53</v>
      </c>
      <c r="R4612" t="s" s="12">
        <v>53</v>
      </c>
    </row>
    <row r="4613" s="2" customFormat="1" ht="13.5" customHeight="1">
      <c r="B4613" s="13"/>
      <c r="C4613" t="s" s="9">
        <v>27</v>
      </c>
      <c r="D4613" t="s" s="8">
        <v>1570</v>
      </c>
      <c r="E4613" t="s" s="9">
        <v>1573</v>
      </c>
      <c r="F4613" s="19">
        <v>5</v>
      </c>
      <c r="G4613" s="17">
        <v>5</v>
      </c>
      <c r="H4613" s="19">
        <v>5</v>
      </c>
      <c r="I4613" s="17">
        <v>5</v>
      </c>
      <c r="J4613" t="s" s="11">
        <v>20</v>
      </c>
      <c r="K4613" t="s" s="16">
        <f>HYPERLINK("http://csr.bu.edu/ftp/asl/asllvd/demos/verify_start_end_handshape_annotations//test_auto_move//signs_mov/3641.mov","MOV")</f>
        <v>21</v>
      </c>
      <c r="L4613" t="s" s="16">
        <f>HYPERLINK("http://csr.bu.edu/ftp/asl/asllvd/demos/verify_start_end_handshape_annotations//test_auto_move//signs_mov_separ_signers/Naomi_3641.mov","MOV")</f>
        <v>21</v>
      </c>
      <c r="M4613" t="s" s="10">
        <v>86</v>
      </c>
      <c r="N4613" s="17">
        <v>49</v>
      </c>
      <c r="O4613" s="18">
        <v>2416</v>
      </c>
      <c r="P4613" s="18">
        <v>2450</v>
      </c>
      <c r="Q4613" t="s" s="16">
        <f>HYPERLINK("http://secrets.rutgers.edu:8080/data/asl-ftp/asllvd/demos/verify_start_end_handshape_annotations//test_auto_move//signs_mov/3641.mov","MOV")</f>
        <v>21</v>
      </c>
      <c r="R4613" t="s" s="16">
        <f>HYPERLINK("http://secrets.rutgers.edu:8080/data/asl-ftp/asllvd/demos/verify_start_end_handshape_annotations//test_auto_move//signs_mov_separ_signers/Naomi_3641.mov","MOV")</f>
        <v>21</v>
      </c>
    </row>
    <row r="4614" s="2" customFormat="1" ht="13.5" customHeight="1">
      <c r="B4614" t="s" s="8">
        <v>1566</v>
      </c>
      <c r="C4614" t="s" s="9">
        <v>14</v>
      </c>
      <c r="D4614" t="s" s="8">
        <v>14</v>
      </c>
      <c r="E4614" t="s" s="9">
        <v>14</v>
      </c>
      <c r="F4614" t="s" s="10">
        <v>14</v>
      </c>
      <c r="G4614" t="s" s="11">
        <v>14</v>
      </c>
      <c r="H4614" t="s" s="10">
        <v>14</v>
      </c>
      <c r="I4614" t="s" s="11">
        <v>14</v>
      </c>
      <c r="J4614" t="s" s="11">
        <v>14</v>
      </c>
      <c r="K4614" t="s" s="12">
        <v>14</v>
      </c>
      <c r="L4614" t="s" s="12">
        <v>14</v>
      </c>
      <c r="M4614" t="s" s="10">
        <v>14</v>
      </c>
      <c r="N4614" t="s" s="11">
        <v>14</v>
      </c>
      <c r="O4614" t="s" s="8">
        <v>14</v>
      </c>
      <c r="P4614" t="s" s="8">
        <v>14</v>
      </c>
      <c r="Q4614" t="s" s="12">
        <v>14</v>
      </c>
      <c r="R4614" t="s" s="12">
        <v>14</v>
      </c>
    </row>
    <row r="4615" s="2" customFormat="1" ht="13.5" customHeight="1">
      <c r="B4615" s="13"/>
      <c r="C4615" t="s" s="9">
        <v>27</v>
      </c>
      <c r="D4615" t="s" s="8">
        <v>1574</v>
      </c>
      <c r="E4615" t="s" s="9">
        <v>1575</v>
      </c>
      <c r="F4615" s="19">
        <v>1</v>
      </c>
      <c r="G4615" s="17">
        <v>5</v>
      </c>
      <c r="H4615" s="19">
        <v>1</v>
      </c>
      <c r="I4615" s="17">
        <v>5</v>
      </c>
      <c r="J4615" t="s" s="11">
        <v>20</v>
      </c>
      <c r="K4615" t="s" s="16">
        <f>HYPERLINK("http://csr.bu.edu/ftp/asl/asllvd/demos/verify_start_end_handshape_annotations//test_auto_move//signs_mov/5191.mov","MOV")</f>
        <v>21</v>
      </c>
      <c r="L4615" t="s" s="16">
        <f>HYPERLINK("http://csr.bu.edu/ftp/asl/asllvd/demos/verify_start_end_handshape_annotations//test_auto_move//signs_mov_separ_signers/Naomi_5191.mov","MOV")</f>
        <v>21</v>
      </c>
      <c r="M4615" t="s" s="10">
        <v>86</v>
      </c>
      <c r="N4615" s="17">
        <v>49</v>
      </c>
      <c r="O4615" s="18">
        <v>2710</v>
      </c>
      <c r="P4615" s="18">
        <v>2746</v>
      </c>
      <c r="Q4615" t="s" s="16">
        <f>HYPERLINK("http://secrets.rutgers.edu:8080/data/asl-ftp/asllvd/demos/verify_start_end_handshape_annotations//test_auto_move//signs_mov/5191.mov","MOV")</f>
        <v>21</v>
      </c>
      <c r="R4615" t="s" s="16">
        <f>HYPERLINK("http://secrets.rutgers.edu:8080/data/asl-ftp/asllvd/demos/verify_start_end_handshape_annotations//test_auto_move//signs_mov_separ_signers/Naomi_5191.mov","MOV")</f>
        <v>21</v>
      </c>
    </row>
    <row r="4616" s="2" customFormat="1" ht="13.5" customHeight="1">
      <c r="B4616" s="13"/>
      <c r="C4616" t="s" s="9">
        <v>30</v>
      </c>
      <c r="D4616" t="s" s="8">
        <v>1574</v>
      </c>
      <c r="E4616" t="s" s="9">
        <v>1575</v>
      </c>
      <c r="F4616" s="19">
        <v>1</v>
      </c>
      <c r="G4616" s="17">
        <v>5</v>
      </c>
      <c r="H4616" s="19">
        <v>1</v>
      </c>
      <c r="I4616" s="17">
        <v>5</v>
      </c>
      <c r="J4616" t="s" s="11">
        <v>20</v>
      </c>
      <c r="K4616" s="15"/>
      <c r="L4616" t="s" s="16">
        <f>HYPERLINK("http://csr.bu.edu/ftp/asl/asllvd/demos/verify_start_end_handshape_annotations//test_auto_move//signs_mov_separ_signers/Brady_5191.mov","MOV")</f>
        <v>21</v>
      </c>
      <c r="M4616" t="s" s="10">
        <v>39</v>
      </c>
      <c r="N4616" s="17">
        <v>23</v>
      </c>
      <c r="O4616" s="18">
        <v>1709</v>
      </c>
      <c r="P4616" s="18">
        <v>1743</v>
      </c>
      <c r="Q4616" s="15"/>
      <c r="R4616" t="s" s="16">
        <f>HYPERLINK("http://secrets.rutgers.edu:8080/data/asl-ftp/asllvd/demos/verify_start_end_handshape_annotations//test_auto_move//signs_mov_separ_signers/Brady_5191.mov","MOV")</f>
        <v>21</v>
      </c>
    </row>
    <row r="4617" s="2" customFormat="1" ht="13.5" customHeight="1">
      <c r="B4617" t="s" s="8">
        <v>1566</v>
      </c>
      <c r="C4617" t="s" s="9">
        <v>14</v>
      </c>
      <c r="D4617" t="s" s="8">
        <v>14</v>
      </c>
      <c r="E4617" t="s" s="9">
        <v>14</v>
      </c>
      <c r="F4617" t="s" s="10">
        <v>14</v>
      </c>
      <c r="G4617" t="s" s="11">
        <v>14</v>
      </c>
      <c r="H4617" t="s" s="10">
        <v>14</v>
      </c>
      <c r="I4617" t="s" s="11">
        <v>14</v>
      </c>
      <c r="J4617" t="s" s="11">
        <v>14</v>
      </c>
      <c r="K4617" t="s" s="12">
        <v>14</v>
      </c>
      <c r="L4617" t="s" s="12">
        <v>14</v>
      </c>
      <c r="M4617" t="s" s="10">
        <v>14</v>
      </c>
      <c r="N4617" t="s" s="11">
        <v>14</v>
      </c>
      <c r="O4617" t="s" s="8">
        <v>14</v>
      </c>
      <c r="P4617" t="s" s="8">
        <v>14</v>
      </c>
      <c r="Q4617" t="s" s="12">
        <v>14</v>
      </c>
      <c r="R4617" t="s" s="12">
        <v>14</v>
      </c>
    </row>
    <row r="4618" s="2" customFormat="1" ht="13.5" customHeight="1">
      <c r="B4618" s="13"/>
      <c r="C4618" t="s" s="9">
        <v>16</v>
      </c>
      <c r="D4618" t="s" s="8">
        <v>1576</v>
      </c>
      <c r="E4618" t="s" s="9">
        <v>1576</v>
      </c>
      <c r="F4618" t="s" s="10">
        <v>1568</v>
      </c>
      <c r="G4618" s="17">
        <v>1</v>
      </c>
      <c r="H4618" t="s" s="10">
        <v>1568</v>
      </c>
      <c r="I4618" s="17">
        <v>1</v>
      </c>
      <c r="J4618" t="s" s="11">
        <v>20</v>
      </c>
      <c r="K4618" t="s" s="16">
        <f>HYPERLINK("http://csr.bu.edu/ftp/asl/asllvd/demos/verify_start_end_handshape_annotations//test_auto_move//signs_mov/5192.mov","MOV")</f>
        <v>21</v>
      </c>
      <c r="L4618" t="s" s="16">
        <f>HYPERLINK("http://csr.bu.edu/ftp/asl/asllvd/demos/verify_start_end_handshape_annotations//test_auto_move//signs_mov_separ_signers/Liz_5192.mov","MOV")</f>
        <v>21</v>
      </c>
      <c r="M4618" t="s" s="10">
        <v>84</v>
      </c>
      <c r="N4618" s="17">
        <v>49</v>
      </c>
      <c r="O4618" s="18">
        <v>2895</v>
      </c>
      <c r="P4618" s="18">
        <v>2935</v>
      </c>
      <c r="Q4618" t="s" s="16">
        <f>HYPERLINK("http://secrets.rutgers.edu:8080/data/asl-ftp/asllvd/demos/verify_start_end_handshape_annotations//test_auto_move//signs_mov/5192.mov","MOV")</f>
        <v>21</v>
      </c>
      <c r="R4618" t="s" s="16">
        <f>HYPERLINK("http://secrets.rutgers.edu:8080/data/asl-ftp/asllvd/demos/verify_start_end_handshape_annotations//test_auto_move//signs_mov_separ_signers/Liz_5192.mov","MOV")</f>
        <v>21</v>
      </c>
    </row>
    <row r="4619" s="2" customFormat="1" ht="13.5" customHeight="1">
      <c r="B4619" t="s" s="8">
        <v>1577</v>
      </c>
      <c r="C4619" t="s" s="9">
        <v>14</v>
      </c>
      <c r="D4619" t="s" s="8">
        <v>14</v>
      </c>
      <c r="E4619" t="s" s="9">
        <v>14</v>
      </c>
      <c r="F4619" t="s" s="10">
        <v>14</v>
      </c>
      <c r="G4619" t="s" s="11">
        <v>14</v>
      </c>
      <c r="H4619" t="s" s="10">
        <v>14</v>
      </c>
      <c r="I4619" t="s" s="11">
        <v>14</v>
      </c>
      <c r="J4619" t="s" s="11">
        <v>14</v>
      </c>
      <c r="K4619" t="s" s="12">
        <v>14</v>
      </c>
      <c r="L4619" t="s" s="12">
        <v>14</v>
      </c>
      <c r="M4619" t="s" s="10">
        <v>14</v>
      </c>
      <c r="N4619" t="s" s="11">
        <v>14</v>
      </c>
      <c r="O4619" t="s" s="8">
        <v>14</v>
      </c>
      <c r="P4619" t="s" s="8">
        <v>14</v>
      </c>
      <c r="Q4619" t="s" s="12">
        <v>14</v>
      </c>
      <c r="R4619" t="s" s="12">
        <v>14</v>
      </c>
    </row>
    <row r="4620" s="2" customFormat="1" ht="13.5" customHeight="1">
      <c r="B4620" s="13"/>
      <c r="C4620" t="s" s="9">
        <v>16</v>
      </c>
      <c r="D4620" t="s" s="8">
        <v>1577</v>
      </c>
      <c r="E4620" t="s" s="9">
        <v>1578</v>
      </c>
      <c r="F4620" t="s" s="10">
        <v>282</v>
      </c>
      <c r="G4620" s="14"/>
      <c r="H4620" t="s" s="10">
        <v>282</v>
      </c>
      <c r="I4620" s="14"/>
      <c r="J4620" t="s" s="11">
        <v>20</v>
      </c>
      <c r="K4620" s="15"/>
      <c r="L4620" t="s" s="16">
        <f>HYPERLINK("http://csr.bu.edu/ftp/asl/asllvd/demos/verify_start_end_handshape_annotations//test_auto_move//signs_mov_separ_signers/Liz_990.mov","MOV")</f>
        <v>21</v>
      </c>
      <c r="M4620" t="s" s="10">
        <v>84</v>
      </c>
      <c r="N4620" s="17">
        <v>50</v>
      </c>
      <c r="O4620" s="18">
        <v>255</v>
      </c>
      <c r="P4620" s="18">
        <v>301</v>
      </c>
      <c r="Q4620" s="15"/>
      <c r="R4620" t="s" s="16">
        <f>HYPERLINK("http://secrets.rutgers.edu:8080/data/asl-ftp/asllvd/demos/verify_start_end_handshape_annotations//test_auto_move//signs_mov_separ_signers/Liz_990.mov","MOV")</f>
        <v>21</v>
      </c>
    </row>
    <row r="4621" s="2" customFormat="1" ht="13.5" customHeight="1">
      <c r="B4621" s="13"/>
      <c r="C4621" t="s" s="9">
        <v>23</v>
      </c>
      <c r="D4621" t="s" s="8">
        <v>1577</v>
      </c>
      <c r="E4621" t="s" s="9">
        <v>1578</v>
      </c>
      <c r="F4621" t="s" s="10">
        <v>282</v>
      </c>
      <c r="G4621" s="14"/>
      <c r="H4621" t="s" s="10">
        <v>282</v>
      </c>
      <c r="I4621" s="14"/>
      <c r="J4621" t="s" s="11">
        <v>20</v>
      </c>
      <c r="K4621" s="15"/>
      <c r="L4621" t="s" s="16">
        <f>HYPERLINK("http://csr.bu.edu/ftp/asl/asllvd/demos/verify_start_end_handshape_annotations//test_auto_move//signs_mov_separ_signers/Tyler_990.mov","MOV")</f>
        <v>21</v>
      </c>
      <c r="M4621" t="s" s="10">
        <v>92</v>
      </c>
      <c r="N4621" s="17">
        <v>30</v>
      </c>
      <c r="O4621" s="18">
        <v>3775</v>
      </c>
      <c r="P4621" s="18">
        <v>3830</v>
      </c>
      <c r="Q4621" s="15"/>
      <c r="R4621" t="s" s="16">
        <f>HYPERLINK("http://secrets.rutgers.edu:8080/data/asl-ftp/asllvd/demos/verify_start_end_handshape_annotations//test_auto_move//signs_mov_separ_signers/Tyler_990.mov","MOV")</f>
        <v>21</v>
      </c>
    </row>
    <row r="4622" s="2" customFormat="1" ht="13.5" customHeight="1">
      <c r="B4622" s="13"/>
      <c r="C4622" t="s" s="9">
        <v>27</v>
      </c>
      <c r="D4622" t="s" s="8">
        <v>1577</v>
      </c>
      <c r="E4622" t="s" s="9">
        <v>1578</v>
      </c>
      <c r="F4622" t="s" s="10">
        <v>282</v>
      </c>
      <c r="G4622" s="14"/>
      <c r="H4622" t="s" s="10">
        <v>282</v>
      </c>
      <c r="I4622" s="14"/>
      <c r="J4622" t="s" s="11">
        <v>20</v>
      </c>
      <c r="K4622" t="s" s="16">
        <f>HYPERLINK("http://csr.bu.edu/ftp/asl/asllvd/demos/verify_start_end_handshape_annotations//test_auto_move//signs_mov/990.mov","MOV")</f>
        <v>21</v>
      </c>
      <c r="L4622" t="s" s="16">
        <f>HYPERLINK("http://csr.bu.edu/ftp/asl/asllvd/demos/verify_start_end_handshape_annotations//test_auto_move//signs_mov_separ_signers/Naomi_990.mov","MOV")</f>
        <v>21</v>
      </c>
      <c r="M4622" t="s" s="10">
        <v>86</v>
      </c>
      <c r="N4622" s="17">
        <v>49</v>
      </c>
      <c r="O4622" s="18">
        <v>2996</v>
      </c>
      <c r="P4622" s="18">
        <v>3030</v>
      </c>
      <c r="Q4622" t="s" s="16">
        <f>HYPERLINK("http://secrets.rutgers.edu:8080/data/asl-ftp/asllvd/demos/verify_start_end_handshape_annotations//test_auto_move//signs_mov/990.mov","MOV")</f>
        <v>21</v>
      </c>
      <c r="R4622" t="s" s="16">
        <f>HYPERLINK("http://secrets.rutgers.edu:8080/data/asl-ftp/asllvd/demos/verify_start_end_handshape_annotations//test_auto_move//signs_mov_separ_signers/Naomi_990.mov","MOV")</f>
        <v>21</v>
      </c>
    </row>
    <row r="4623" s="2" customFormat="1" ht="13.5" customHeight="1">
      <c r="B4623" s="13"/>
      <c r="C4623" t="s" s="9">
        <v>30</v>
      </c>
      <c r="D4623" t="s" s="8">
        <v>1577</v>
      </c>
      <c r="E4623" t="s" s="9">
        <v>1578</v>
      </c>
      <c r="F4623" t="s" s="10">
        <v>282</v>
      </c>
      <c r="G4623" s="14"/>
      <c r="H4623" t="s" s="10">
        <v>282</v>
      </c>
      <c r="I4623" s="14"/>
      <c r="J4623" t="s" s="11">
        <v>20</v>
      </c>
      <c r="K4623" s="15"/>
      <c r="L4623" t="s" s="16">
        <f>HYPERLINK("http://csr.bu.edu/ftp/asl/asllvd/demos/verify_start_end_handshape_annotations//test_auto_move//signs_mov_separ_signers/Brady_990.mov","MOV")</f>
        <v>21</v>
      </c>
      <c r="M4623" t="s" s="10">
        <v>39</v>
      </c>
      <c r="N4623" s="17">
        <v>23</v>
      </c>
      <c r="O4623" s="18">
        <v>1955</v>
      </c>
      <c r="P4623" s="18">
        <v>1986</v>
      </c>
      <c r="Q4623" s="15"/>
      <c r="R4623" t="s" s="16">
        <f>HYPERLINK("http://secrets.rutgers.edu:8080/data/asl-ftp/asllvd/demos/verify_start_end_handshape_annotations//test_auto_move//signs_mov_separ_signers/Brady_990.mov","MOV")</f>
        <v>21</v>
      </c>
    </row>
    <row r="4624" s="2" customFormat="1" ht="13.5" customHeight="1">
      <c r="B4624" s="13"/>
      <c r="C4624" t="s" s="9">
        <v>41</v>
      </c>
      <c r="D4624" t="s" s="8">
        <v>1577</v>
      </c>
      <c r="E4624" t="s" s="9">
        <v>1578</v>
      </c>
      <c r="F4624" t="s" s="10">
        <v>282</v>
      </c>
      <c r="G4624" s="14"/>
      <c r="H4624" t="s" s="10">
        <v>282</v>
      </c>
      <c r="I4624" s="14"/>
      <c r="J4624" t="s" s="11">
        <v>20</v>
      </c>
      <c r="K4624" s="15"/>
      <c r="L4624" t="s" s="16">
        <f>HYPERLINK("http://csr.bu.edu/ftp/asl/asllvd/demos/verify_start_end_handshape_annotations//test_auto_move//signs_mov_separ_signers/Lana_990.mov","MOV")</f>
        <v>21</v>
      </c>
      <c r="M4624" t="s" s="10">
        <v>42</v>
      </c>
      <c r="N4624" s="17">
        <v>11</v>
      </c>
      <c r="O4624" s="18">
        <v>2756</v>
      </c>
      <c r="P4624" s="18">
        <v>2797</v>
      </c>
      <c r="Q4624" s="15"/>
      <c r="R4624" t="s" s="16">
        <f>HYPERLINK("http://secrets.rutgers.edu:8080/data/asl-ftp/asllvd/demos/verify_start_end_handshape_annotations//test_auto_move//signs_mov_separ_signers/Lana_990.mov","MOV")</f>
        <v>21</v>
      </c>
    </row>
    <row r="4625" s="2" customFormat="1" ht="13.5" customHeight="1">
      <c r="B4625" s="13"/>
      <c r="C4625" t="s" s="9">
        <v>43</v>
      </c>
      <c r="D4625" t="s" s="8">
        <v>1577</v>
      </c>
      <c r="E4625" t="s" s="9">
        <v>1578</v>
      </c>
      <c r="F4625" t="s" s="10">
        <v>282</v>
      </c>
      <c r="G4625" s="14"/>
      <c r="H4625" t="s" s="10">
        <v>282</v>
      </c>
      <c r="I4625" s="14"/>
      <c r="J4625" t="s" s="11">
        <v>20</v>
      </c>
      <c r="K4625" s="15"/>
      <c r="L4625" t="s" s="16">
        <f>HYPERLINK("http://csr.bu.edu/ftp/asl/asllvd/demos/verify_start_end_handshape_annotations//test_auto_move//signs_mov_separ_signers/Dana_990.mov","MOV")</f>
        <v>21</v>
      </c>
      <c r="M4625" t="s" s="10">
        <v>44</v>
      </c>
      <c r="N4625" s="17">
        <v>15</v>
      </c>
      <c r="O4625" s="18">
        <v>2690</v>
      </c>
      <c r="P4625" s="18">
        <v>2763</v>
      </c>
      <c r="Q4625" s="15"/>
      <c r="R4625" t="s" s="16">
        <f>HYPERLINK("http://secrets.rutgers.edu:8080/data/asl-ftp/asllvd/demos/verify_start_end_handshape_annotations//test_auto_move//signs_mov_separ_signers/Dana_990.mov","MOV")</f>
        <v>21</v>
      </c>
    </row>
    <row r="4626" s="2" customFormat="1" ht="13.5" customHeight="1">
      <c r="B4626" t="s" s="8">
        <v>1579</v>
      </c>
      <c r="C4626" t="s" s="9">
        <v>14</v>
      </c>
      <c r="D4626" t="s" s="8">
        <v>14</v>
      </c>
      <c r="E4626" t="s" s="9">
        <v>14</v>
      </c>
      <c r="F4626" t="s" s="10">
        <v>14</v>
      </c>
      <c r="G4626" t="s" s="11">
        <v>14</v>
      </c>
      <c r="H4626" t="s" s="10">
        <v>14</v>
      </c>
      <c r="I4626" t="s" s="11">
        <v>14</v>
      </c>
      <c r="J4626" t="s" s="11">
        <v>14</v>
      </c>
      <c r="K4626" t="s" s="12">
        <v>14</v>
      </c>
      <c r="L4626" t="s" s="12">
        <v>14</v>
      </c>
      <c r="M4626" t="s" s="10">
        <v>14</v>
      </c>
      <c r="N4626" t="s" s="11">
        <v>14</v>
      </c>
      <c r="O4626" t="s" s="8">
        <v>14</v>
      </c>
      <c r="P4626" t="s" s="8">
        <v>14</v>
      </c>
      <c r="Q4626" t="s" s="12">
        <v>14</v>
      </c>
      <c r="R4626" t="s" s="12">
        <v>14</v>
      </c>
    </row>
    <row r="4627" s="2" customFormat="1" ht="13.5" customHeight="1">
      <c r="B4627" s="13"/>
      <c r="C4627" t="s" s="9">
        <v>16</v>
      </c>
      <c r="D4627" t="s" s="8">
        <v>1579</v>
      </c>
      <c r="E4627" t="s" s="9">
        <v>1579</v>
      </c>
      <c r="F4627" t="s" s="10">
        <v>282</v>
      </c>
      <c r="G4627" s="14"/>
      <c r="H4627" t="s" s="10">
        <v>282</v>
      </c>
      <c r="I4627" s="14"/>
      <c r="J4627" t="s" s="11">
        <v>20</v>
      </c>
      <c r="K4627" s="15"/>
      <c r="L4627" t="s" s="16">
        <f>HYPERLINK("http://csr.bu.edu/ftp/asl/asllvd/demos/verify_start_end_handshape_annotations//test_auto_move//signs_mov_separ_signers/Liz_15160.mov","MOV")</f>
        <v>21</v>
      </c>
      <c r="M4627" t="s" s="10">
        <v>84</v>
      </c>
      <c r="N4627" s="17">
        <v>33</v>
      </c>
      <c r="O4627" s="18">
        <v>2206</v>
      </c>
      <c r="P4627" s="18">
        <v>2235</v>
      </c>
      <c r="Q4627" s="15"/>
      <c r="R4627" t="s" s="16">
        <f>HYPERLINK("http://secrets.rutgers.edu:8080/data/asl-ftp/asllvd/demos/verify_start_end_handshape_annotations//test_auto_move//signs_mov_separ_signers/Liz_15160.mov","MOV")</f>
        <v>21</v>
      </c>
    </row>
    <row r="4628" s="2" customFormat="1" ht="13.5" customHeight="1">
      <c r="B4628" s="13"/>
      <c r="C4628" t="s" s="9">
        <v>23</v>
      </c>
      <c r="D4628" t="s" s="8">
        <v>1579</v>
      </c>
      <c r="E4628" t="s" s="9">
        <v>1579</v>
      </c>
      <c r="F4628" t="s" s="10">
        <v>593</v>
      </c>
      <c r="G4628" s="14"/>
      <c r="H4628" t="s" s="10">
        <v>593</v>
      </c>
      <c r="I4628" s="14"/>
      <c r="J4628" t="s" s="11">
        <v>20</v>
      </c>
      <c r="K4628" t="s" s="16">
        <f>HYPERLINK("http://csr.bu.edu/ftp/asl/asllvd/demos/verify_start_end_handshape_annotations//test_auto_move//signs_mov/15160.mov","MOV")</f>
        <v>21</v>
      </c>
      <c r="L4628" t="s" s="16">
        <f>HYPERLINK("http://csr.bu.edu/ftp/asl/asllvd/demos/verify_start_end_handshape_annotations//test_auto_move//signs_mov_separ_signers/Tyler_15160.mov","MOV")</f>
        <v>21</v>
      </c>
      <c r="M4628" t="s" s="10">
        <v>92</v>
      </c>
      <c r="N4628" s="17">
        <v>13</v>
      </c>
      <c r="O4628" s="18">
        <v>3980</v>
      </c>
      <c r="P4628" s="18">
        <v>4016</v>
      </c>
      <c r="Q4628" t="s" s="16">
        <f>HYPERLINK("http://secrets.rutgers.edu:8080/data/asl-ftp/asllvd/demos/verify_start_end_handshape_annotations//test_auto_move//signs_mov/15160.mov","MOV")</f>
        <v>21</v>
      </c>
      <c r="R4628" t="s" s="16">
        <f>HYPERLINK("http://secrets.rutgers.edu:8080/data/asl-ftp/asllvd/demos/verify_start_end_handshape_annotations//test_auto_move//signs_mov_separ_signers/Tyler_15160.mov","MOV")</f>
        <v>21</v>
      </c>
    </row>
    <row r="4629" s="2" customFormat="1" ht="13.5" customHeight="1">
      <c r="B4629" s="13"/>
      <c r="C4629" t="s" s="9">
        <v>27</v>
      </c>
      <c r="D4629" t="s" s="8">
        <v>1579</v>
      </c>
      <c r="E4629" t="s" s="9">
        <v>1579</v>
      </c>
      <c r="F4629" t="s" s="10">
        <v>593</v>
      </c>
      <c r="G4629" s="14"/>
      <c r="H4629" t="s" s="10">
        <v>593</v>
      </c>
      <c r="I4629" s="14"/>
      <c r="J4629" t="s" s="11">
        <v>20</v>
      </c>
      <c r="K4629" s="15"/>
      <c r="L4629" t="s" s="16">
        <f>HYPERLINK("http://csr.bu.edu/ftp/asl/asllvd/demos/verify_start_end_handshape_annotations//test_auto_move//signs_mov_separ_signers/Naomi_15160.mov","MOV")</f>
        <v>21</v>
      </c>
      <c r="M4629" t="s" s="10">
        <v>86</v>
      </c>
      <c r="N4629" s="17">
        <v>33</v>
      </c>
      <c r="O4629" s="18">
        <v>2130</v>
      </c>
      <c r="P4629" s="18">
        <v>2155</v>
      </c>
      <c r="Q4629" s="15"/>
      <c r="R4629" t="s" s="16">
        <f>HYPERLINK("http://secrets.rutgers.edu:8080/data/asl-ftp/asllvd/demos/verify_start_end_handshape_annotations//test_auto_move//signs_mov_separ_signers/Naomi_15160.mov","MOV")</f>
        <v>21</v>
      </c>
    </row>
    <row r="4630" s="2" customFormat="1" ht="13.5" customHeight="1">
      <c r="B4630" s="13"/>
      <c r="C4630" t="s" s="9">
        <v>30</v>
      </c>
      <c r="D4630" t="s" s="8">
        <v>1579</v>
      </c>
      <c r="E4630" t="s" s="9">
        <v>1579</v>
      </c>
      <c r="F4630" t="s" s="10">
        <v>282</v>
      </c>
      <c r="G4630" s="14"/>
      <c r="H4630" t="s" s="10">
        <v>282</v>
      </c>
      <c r="I4630" s="14"/>
      <c r="J4630" t="s" s="11">
        <v>20</v>
      </c>
      <c r="K4630" s="15"/>
      <c r="L4630" t="s" s="16">
        <f>HYPERLINK("http://csr.bu.edu/ftp/asl/asllvd/demos/verify_start_end_handshape_annotations//test_auto_move//signs_mov_separ_signers/Brady_15160.mov","MOV")</f>
        <v>21</v>
      </c>
      <c r="M4630" t="s" s="10">
        <v>39</v>
      </c>
      <c r="N4630" s="17">
        <v>13</v>
      </c>
      <c r="O4630" s="18">
        <v>3132</v>
      </c>
      <c r="P4630" s="18">
        <v>3158</v>
      </c>
      <c r="Q4630" s="15"/>
      <c r="R4630" t="s" s="16">
        <f>HYPERLINK("http://secrets.rutgers.edu:8080/data/asl-ftp/asllvd/demos/verify_start_end_handshape_annotations//test_auto_move//signs_mov_separ_signers/Brady_15160.mov","MOV")</f>
        <v>21</v>
      </c>
    </row>
    <row r="4631" s="2" customFormat="1" ht="13.5" customHeight="1">
      <c r="B4631" t="s" s="8">
        <v>1580</v>
      </c>
      <c r="C4631" t="s" s="9">
        <v>14</v>
      </c>
      <c r="D4631" t="s" s="8">
        <v>14</v>
      </c>
      <c r="E4631" t="s" s="9">
        <v>14</v>
      </c>
      <c r="F4631" t="s" s="10">
        <v>14</v>
      </c>
      <c r="G4631" t="s" s="11">
        <v>14</v>
      </c>
      <c r="H4631" t="s" s="10">
        <v>14</v>
      </c>
      <c r="I4631" t="s" s="11">
        <v>14</v>
      </c>
      <c r="J4631" t="s" s="11">
        <v>14</v>
      </c>
      <c r="K4631" t="s" s="12">
        <v>14</v>
      </c>
      <c r="L4631" t="s" s="12">
        <v>14</v>
      </c>
      <c r="M4631" t="s" s="10">
        <v>14</v>
      </c>
      <c r="N4631" t="s" s="11">
        <v>14</v>
      </c>
      <c r="O4631" t="s" s="8">
        <v>14</v>
      </c>
      <c r="P4631" t="s" s="8">
        <v>14</v>
      </c>
      <c r="Q4631" t="s" s="12">
        <v>14</v>
      </c>
      <c r="R4631" t="s" s="12">
        <v>14</v>
      </c>
    </row>
    <row r="4632" s="2" customFormat="1" ht="13.5" customHeight="1">
      <c r="B4632" s="13"/>
      <c r="C4632" t="s" s="9">
        <v>16</v>
      </c>
      <c r="D4632" t="s" s="8">
        <v>1580</v>
      </c>
      <c r="E4632" t="s" s="9">
        <v>1580</v>
      </c>
      <c r="F4632" s="19">
        <v>1</v>
      </c>
      <c r="G4632" s="17">
        <v>1</v>
      </c>
      <c r="H4632" s="19">
        <v>1</v>
      </c>
      <c r="I4632" s="17">
        <v>1</v>
      </c>
      <c r="J4632" t="s" s="11">
        <v>20</v>
      </c>
      <c r="K4632" s="15"/>
      <c r="L4632" t="s" s="16">
        <f>HYPERLINK("http://csr.bu.edu/ftp/asl/asllvd/demos/verify_start_end_handshape_annotations//test_auto_move//signs_mov_separ_signers/Liz_991.mov","MOV")</f>
        <v>21</v>
      </c>
      <c r="M4632" t="s" s="10">
        <v>84</v>
      </c>
      <c r="N4632" s="17">
        <v>50</v>
      </c>
      <c r="O4632" s="18">
        <v>455</v>
      </c>
      <c r="P4632" s="18">
        <v>490</v>
      </c>
      <c r="Q4632" s="15"/>
      <c r="R4632" t="s" s="16">
        <f>HYPERLINK("http://secrets.rutgers.edu:8080/data/asl-ftp/asllvd/demos/verify_start_end_handshape_annotations//test_auto_move//signs_mov_separ_signers/Liz_991.mov","MOV")</f>
        <v>21</v>
      </c>
    </row>
    <row r="4633" s="2" customFormat="1" ht="13.5" customHeight="1">
      <c r="B4633" s="13"/>
      <c r="C4633" t="s" s="9">
        <v>23</v>
      </c>
      <c r="D4633" t="s" s="8">
        <v>1580</v>
      </c>
      <c r="E4633" t="s" s="9">
        <v>1580</v>
      </c>
      <c r="F4633" s="19">
        <v>1</v>
      </c>
      <c r="G4633" s="17">
        <v>1</v>
      </c>
      <c r="H4633" s="19">
        <v>1</v>
      </c>
      <c r="I4633" s="17">
        <v>1</v>
      </c>
      <c r="J4633" t="s" s="11">
        <v>20</v>
      </c>
      <c r="K4633" s="15"/>
      <c r="L4633" t="s" s="16">
        <f>HYPERLINK("http://csr.bu.edu/ftp/asl/asllvd/demos/verify_start_end_handshape_annotations//test_auto_move//signs_mov_separ_signers/Tyler_991.mov","MOV")</f>
        <v>21</v>
      </c>
      <c r="M4633" t="s" s="10">
        <v>92</v>
      </c>
      <c r="N4633" s="17">
        <v>31</v>
      </c>
      <c r="O4633" s="18">
        <v>235</v>
      </c>
      <c r="P4633" s="18">
        <v>265</v>
      </c>
      <c r="Q4633" s="15"/>
      <c r="R4633" t="s" s="16">
        <f>HYPERLINK("http://secrets.rutgers.edu:8080/data/asl-ftp/asllvd/demos/verify_start_end_handshape_annotations//test_auto_move//signs_mov_separ_signers/Tyler_991.mov","MOV")</f>
        <v>21</v>
      </c>
    </row>
    <row r="4634" s="2" customFormat="1" ht="13.5" customHeight="1">
      <c r="B4634" s="13"/>
      <c r="C4634" t="s" s="9">
        <v>27</v>
      </c>
      <c r="D4634" t="s" s="8">
        <v>1580</v>
      </c>
      <c r="E4634" t="s" s="9">
        <v>1580</v>
      </c>
      <c r="F4634" t="s" s="10">
        <v>255</v>
      </c>
      <c r="G4634" t="s" s="11">
        <v>255</v>
      </c>
      <c r="H4634" t="s" s="10">
        <v>255</v>
      </c>
      <c r="I4634" t="s" s="11">
        <v>255</v>
      </c>
      <c r="J4634" t="s" s="11">
        <v>20</v>
      </c>
      <c r="K4634" t="s" s="16">
        <f>HYPERLINK("http://csr.bu.edu/ftp/asl/asllvd/demos/verify_start_end_handshape_annotations//test_auto_move//signs_mov/991.mov","MOV")</f>
        <v>21</v>
      </c>
      <c r="L4634" t="s" s="16">
        <f>HYPERLINK("http://csr.bu.edu/ftp/asl/asllvd/demos/verify_start_end_handshape_annotations//test_auto_move//signs_mov_separ_signers/Naomi_991.mov","MOV")</f>
        <v>21</v>
      </c>
      <c r="M4634" t="s" s="10">
        <v>86</v>
      </c>
      <c r="N4634" s="17">
        <v>50</v>
      </c>
      <c r="O4634" s="18">
        <v>105</v>
      </c>
      <c r="P4634" s="18">
        <v>130</v>
      </c>
      <c r="Q4634" t="s" s="16">
        <f>HYPERLINK("http://secrets.rutgers.edu:8080/data/asl-ftp/asllvd/demos/verify_start_end_handshape_annotations//test_auto_move//signs_mov/991.mov","MOV")</f>
        <v>21</v>
      </c>
      <c r="R4634" t="s" s="16">
        <f>HYPERLINK("http://secrets.rutgers.edu:8080/data/asl-ftp/asllvd/demos/verify_start_end_handshape_annotations//test_auto_move//signs_mov_separ_signers/Naomi_991.mov","MOV")</f>
        <v>21</v>
      </c>
    </row>
    <row r="4635" s="2" customFormat="1" ht="13.5" customHeight="1">
      <c r="B4635" s="13"/>
      <c r="C4635" t="s" s="9">
        <v>30</v>
      </c>
      <c r="D4635" t="s" s="8">
        <v>1580</v>
      </c>
      <c r="E4635" t="s" s="9">
        <v>1580</v>
      </c>
      <c r="F4635" s="19">
        <v>1</v>
      </c>
      <c r="G4635" s="17">
        <v>1</v>
      </c>
      <c r="H4635" s="19">
        <v>1</v>
      </c>
      <c r="I4635" s="17">
        <v>1</v>
      </c>
      <c r="J4635" t="s" s="11">
        <v>20</v>
      </c>
      <c r="K4635" s="15"/>
      <c r="L4635" t="s" s="16">
        <f>HYPERLINK("http://csr.bu.edu/ftp/asl/asllvd/demos/verify_start_end_handshape_annotations//test_auto_move//signs_mov_separ_signers/Brady_991.mov","MOV")</f>
        <v>21</v>
      </c>
      <c r="M4635" t="s" s="10">
        <v>39</v>
      </c>
      <c r="N4635" s="17">
        <v>23</v>
      </c>
      <c r="O4635" s="18">
        <v>2547</v>
      </c>
      <c r="P4635" s="18">
        <v>2575</v>
      </c>
      <c r="Q4635" s="15"/>
      <c r="R4635" t="s" s="16">
        <f>HYPERLINK("http://secrets.rutgers.edu:8080/data/asl-ftp/asllvd/demos/verify_start_end_handshape_annotations//test_auto_move//signs_mov_separ_signers/Brady_991.mov","MOV")</f>
        <v>21</v>
      </c>
    </row>
    <row r="4636" s="2" customFormat="1" ht="13.5" customHeight="1">
      <c r="B4636" s="13"/>
      <c r="C4636" t="s" s="9">
        <v>41</v>
      </c>
      <c r="D4636" t="s" s="8">
        <v>1580</v>
      </c>
      <c r="E4636" t="s" s="9">
        <v>1580</v>
      </c>
      <c r="F4636" s="19">
        <v>1</v>
      </c>
      <c r="G4636" s="17">
        <v>1</v>
      </c>
      <c r="H4636" t="s" s="10">
        <v>255</v>
      </c>
      <c r="I4636" t="s" s="11">
        <v>255</v>
      </c>
      <c r="J4636" t="s" s="11">
        <v>20</v>
      </c>
      <c r="K4636" s="15"/>
      <c r="L4636" t="s" s="16">
        <f>HYPERLINK("http://csr.bu.edu/ftp/asl/asllvd/demos/verify_start_end_handshape_annotations//test_auto_move//signs_mov_separ_signers/Lana_991.mov","MOV")</f>
        <v>21</v>
      </c>
      <c r="M4636" t="s" s="10">
        <v>42</v>
      </c>
      <c r="N4636" s="17">
        <v>11</v>
      </c>
      <c r="O4636" s="18">
        <v>1694</v>
      </c>
      <c r="P4636" s="18">
        <v>1721</v>
      </c>
      <c r="Q4636" s="15"/>
      <c r="R4636" t="s" s="16">
        <f>HYPERLINK("http://secrets.rutgers.edu:8080/data/asl-ftp/asllvd/demos/verify_start_end_handshape_annotations//test_auto_move//signs_mov_separ_signers/Lana_991.mov","MOV")</f>
        <v>21</v>
      </c>
    </row>
    <row r="4637" s="2" customFormat="1" ht="13.5" customHeight="1">
      <c r="B4637" s="13"/>
      <c r="C4637" t="s" s="9">
        <v>43</v>
      </c>
      <c r="D4637" t="s" s="8">
        <v>1580</v>
      </c>
      <c r="E4637" t="s" s="9">
        <v>1580</v>
      </c>
      <c r="F4637" t="s" s="10">
        <v>255</v>
      </c>
      <c r="G4637" t="s" s="11">
        <v>255</v>
      </c>
      <c r="H4637" t="s" s="10">
        <v>255</v>
      </c>
      <c r="I4637" t="s" s="11">
        <v>255</v>
      </c>
      <c r="J4637" t="s" s="11">
        <v>20</v>
      </c>
      <c r="K4637" s="15"/>
      <c r="L4637" t="s" s="16">
        <f>HYPERLINK("http://csr.bu.edu/ftp/asl/asllvd/demos/verify_start_end_handshape_annotations//test_auto_move//signs_mov_separ_signers/Dana_991.mov","MOV")</f>
        <v>21</v>
      </c>
      <c r="M4637" t="s" s="10">
        <v>44</v>
      </c>
      <c r="N4637" s="17">
        <v>15</v>
      </c>
      <c r="O4637" s="18">
        <v>1612</v>
      </c>
      <c r="P4637" s="18">
        <v>1671</v>
      </c>
      <c r="Q4637" s="15"/>
      <c r="R4637" t="s" s="16">
        <f>HYPERLINK("http://secrets.rutgers.edu:8080/data/asl-ftp/asllvd/demos/verify_start_end_handshape_annotations//test_auto_move//signs_mov_separ_signers/Dana_991.mov","MOV")</f>
        <v>21</v>
      </c>
    </row>
    <row r="4638" s="2" customFormat="1" ht="13.5" customHeight="1">
      <c r="B4638" t="s" s="8">
        <v>1581</v>
      </c>
      <c r="C4638" t="s" s="9">
        <v>14</v>
      </c>
      <c r="D4638" t="s" s="8">
        <v>14</v>
      </c>
      <c r="E4638" t="s" s="9">
        <v>14</v>
      </c>
      <c r="F4638" t="s" s="10">
        <v>14</v>
      </c>
      <c r="G4638" t="s" s="11">
        <v>14</v>
      </c>
      <c r="H4638" t="s" s="10">
        <v>14</v>
      </c>
      <c r="I4638" t="s" s="11">
        <v>14</v>
      </c>
      <c r="J4638" t="s" s="11">
        <v>14</v>
      </c>
      <c r="K4638" t="s" s="12">
        <v>14</v>
      </c>
      <c r="L4638" t="s" s="12">
        <v>14</v>
      </c>
      <c r="M4638" t="s" s="10">
        <v>14</v>
      </c>
      <c r="N4638" t="s" s="11">
        <v>14</v>
      </c>
      <c r="O4638" t="s" s="8">
        <v>14</v>
      </c>
      <c r="P4638" t="s" s="8">
        <v>14</v>
      </c>
      <c r="Q4638" t="s" s="12">
        <v>14</v>
      </c>
      <c r="R4638" t="s" s="12">
        <v>14</v>
      </c>
    </row>
    <row r="4639" s="2" customFormat="1" ht="13.5" customHeight="1">
      <c r="B4639" s="13"/>
      <c r="C4639" t="s" s="9">
        <v>16</v>
      </c>
      <c r="D4639" t="s" s="8">
        <v>1581</v>
      </c>
      <c r="E4639" t="s" s="9">
        <v>1581</v>
      </c>
      <c r="F4639" t="s" s="10">
        <v>255</v>
      </c>
      <c r="G4639" t="s" s="11">
        <v>255</v>
      </c>
      <c r="H4639" t="s" s="10">
        <v>255</v>
      </c>
      <c r="I4639" t="s" s="11">
        <v>255</v>
      </c>
      <c r="J4639" t="s" s="11">
        <v>20</v>
      </c>
      <c r="K4639" s="15"/>
      <c r="L4639" t="s" s="16">
        <f>HYPERLINK("http://csr.bu.edu/ftp/asl/asllvd/demos/verify_start_end_handshape_annotations//test_auto_move//signs_mov_separ_signers/Liz_15251.mov","MOV")</f>
        <v>21</v>
      </c>
      <c r="M4639" t="s" s="10">
        <v>34</v>
      </c>
      <c r="N4639" s="17">
        <v>8</v>
      </c>
      <c r="O4639" s="18">
        <v>2446</v>
      </c>
      <c r="P4639" s="18">
        <v>2500</v>
      </c>
      <c r="Q4639" s="15"/>
      <c r="R4639" t="s" s="16">
        <f>HYPERLINK("http://secrets.rutgers.edu:8080/data/asl-ftp/asllvd/demos/verify_start_end_handshape_annotations//test_auto_move//signs_mov_separ_signers/Liz_15251.mov","MOV")</f>
        <v>21</v>
      </c>
    </row>
    <row r="4640" s="2" customFormat="1" ht="13.5" customHeight="1">
      <c r="B4640" s="13"/>
      <c r="C4640" t="s" s="9">
        <v>27</v>
      </c>
      <c r="D4640" t="s" s="8">
        <v>1581</v>
      </c>
      <c r="E4640" t="s" s="9">
        <v>1581</v>
      </c>
      <c r="F4640" t="s" s="10">
        <v>255</v>
      </c>
      <c r="G4640" t="s" s="11">
        <v>255</v>
      </c>
      <c r="H4640" t="s" s="10">
        <v>255</v>
      </c>
      <c r="I4640" t="s" s="11">
        <v>255</v>
      </c>
      <c r="J4640" t="s" s="11">
        <v>20</v>
      </c>
      <c r="K4640" t="s" s="16">
        <f>HYPERLINK("http://csr.bu.edu/ftp/asl/asllvd/demos/verify_start_end_handshape_annotations//test_auto_move//signs_mov/15251.mov","MOV")</f>
        <v>21</v>
      </c>
      <c r="L4640" t="s" s="16">
        <f>HYPERLINK("http://csr.bu.edu/ftp/asl/asllvd/demos/verify_start_end_handshape_annotations//test_auto_move//signs_mov_separ_signers/Naomi_15251.mov","MOV")</f>
        <v>21</v>
      </c>
      <c r="M4640" t="s" s="10">
        <v>38</v>
      </c>
      <c r="N4640" s="17">
        <v>7</v>
      </c>
      <c r="O4640" s="18">
        <v>3347</v>
      </c>
      <c r="P4640" s="18">
        <v>3376</v>
      </c>
      <c r="Q4640" t="s" s="16">
        <f>HYPERLINK("http://secrets.rutgers.edu:8080/data/asl-ftp/asllvd/demos/verify_start_end_handshape_annotations//test_auto_move//signs_mov/15251.mov","MOV")</f>
        <v>21</v>
      </c>
      <c r="R4640" t="s" s="16">
        <f>HYPERLINK("http://secrets.rutgers.edu:8080/data/asl-ftp/asllvd/demos/verify_start_end_handshape_annotations//test_auto_move//signs_mov_separ_signers/Naomi_15251.mov","MOV")</f>
        <v>21</v>
      </c>
    </row>
    <row r="4641" s="2" customFormat="1" ht="13.5" customHeight="1">
      <c r="B4641" s="13"/>
      <c r="C4641" t="s" s="9">
        <v>30</v>
      </c>
      <c r="D4641" t="s" s="8">
        <v>1581</v>
      </c>
      <c r="E4641" t="s" s="9">
        <v>1581</v>
      </c>
      <c r="F4641" t="s" s="10">
        <v>255</v>
      </c>
      <c r="G4641" t="s" s="11">
        <v>255</v>
      </c>
      <c r="H4641" t="s" s="10">
        <v>255</v>
      </c>
      <c r="I4641" t="s" s="11">
        <v>255</v>
      </c>
      <c r="J4641" t="s" s="11">
        <v>20</v>
      </c>
      <c r="K4641" s="15"/>
      <c r="L4641" t="s" s="16">
        <f>HYPERLINK("http://csr.bu.edu/ftp/asl/asllvd/demos/verify_start_end_handshape_annotations//test_auto_move//signs_mov_separ_signers/Brady_15251.mov","MOV")</f>
        <v>21</v>
      </c>
      <c r="M4641" t="s" s="10">
        <v>39</v>
      </c>
      <c r="N4641" s="17">
        <v>27</v>
      </c>
      <c r="O4641" s="18">
        <v>3791</v>
      </c>
      <c r="P4641" s="18">
        <v>3814</v>
      </c>
      <c r="Q4641" s="15"/>
      <c r="R4641" t="s" s="16">
        <f>HYPERLINK("http://secrets.rutgers.edu:8080/data/asl-ftp/asllvd/demos/verify_start_end_handshape_annotations//test_auto_move//signs_mov_separ_signers/Brady_15251.mov","MOV")</f>
        <v>21</v>
      </c>
    </row>
    <row r="4642" s="2" customFormat="1" ht="13.5" customHeight="1">
      <c r="B4642" t="s" s="8">
        <v>1581</v>
      </c>
      <c r="C4642" t="s" s="9">
        <v>14</v>
      </c>
      <c r="D4642" t="s" s="8">
        <v>14</v>
      </c>
      <c r="E4642" t="s" s="9">
        <v>14</v>
      </c>
      <c r="F4642" t="s" s="10">
        <v>14</v>
      </c>
      <c r="G4642" t="s" s="11">
        <v>14</v>
      </c>
      <c r="H4642" t="s" s="10">
        <v>14</v>
      </c>
      <c r="I4642" t="s" s="11">
        <v>14</v>
      </c>
      <c r="J4642" t="s" s="11">
        <v>14</v>
      </c>
      <c r="K4642" t="s" s="12">
        <v>14</v>
      </c>
      <c r="L4642" t="s" s="12">
        <v>14</v>
      </c>
      <c r="M4642" t="s" s="10">
        <v>14</v>
      </c>
      <c r="N4642" t="s" s="11">
        <v>14</v>
      </c>
      <c r="O4642" t="s" s="8">
        <v>14</v>
      </c>
      <c r="P4642" t="s" s="8">
        <v>14</v>
      </c>
      <c r="Q4642" t="s" s="12">
        <v>14</v>
      </c>
      <c r="R4642" t="s" s="12">
        <v>14</v>
      </c>
    </row>
    <row r="4643" s="2" customFormat="1" ht="13.5" customHeight="1">
      <c r="B4643" s="13"/>
      <c r="C4643" t="s" s="9">
        <v>23</v>
      </c>
      <c r="D4643" t="s" s="8">
        <v>1582</v>
      </c>
      <c r="E4643" t="s" s="9">
        <v>1582</v>
      </c>
      <c r="F4643" t="s" s="10">
        <v>251</v>
      </c>
      <c r="G4643" s="14"/>
      <c r="H4643" t="s" s="10">
        <v>251</v>
      </c>
      <c r="I4643" s="14"/>
      <c r="J4643" t="s" s="11">
        <v>20</v>
      </c>
      <c r="K4643" t="s" s="16">
        <f>HYPERLINK("http://csr.bu.edu/ftp/asl/asllvd/demos/verify_start_end_handshape_annotations//test_auto_move//signs_mov/15267.mov","MOV")</f>
        <v>21</v>
      </c>
      <c r="L4643" t="s" s="16">
        <f>HYPERLINK("http://csr.bu.edu/ftp/asl/asllvd/demos/verify_start_end_handshape_annotations//test_auto_move//signs_mov_separ_signers/Tyler_15267.mov","MOV")</f>
        <v>21</v>
      </c>
      <c r="M4643" t="s" s="10">
        <v>92</v>
      </c>
      <c r="N4643" s="17">
        <v>39</v>
      </c>
      <c r="O4643" s="18">
        <v>2110</v>
      </c>
      <c r="P4643" s="18">
        <v>2145</v>
      </c>
      <c r="Q4643" t="s" s="16">
        <f>HYPERLINK("http://secrets.rutgers.edu:8080/data/asl-ftp/asllvd/demos/verify_start_end_handshape_annotations//test_auto_move//signs_mov/15267.mov","MOV")</f>
        <v>21</v>
      </c>
      <c r="R4643" t="s" s="16">
        <f>HYPERLINK("http://secrets.rutgers.edu:8080/data/asl-ftp/asllvd/demos/verify_start_end_handshape_annotations//test_auto_move//signs_mov_separ_signers/Tyler_15267.mov","MOV")</f>
        <v>21</v>
      </c>
    </row>
    <row r="4644" s="2" customFormat="1" ht="13.5" customHeight="1">
      <c r="B4644" s="13"/>
      <c r="C4644" t="s" s="9">
        <v>30</v>
      </c>
      <c r="D4644" t="s" s="8">
        <v>1582</v>
      </c>
      <c r="E4644" t="s" s="9">
        <v>1582</v>
      </c>
      <c r="F4644" t="s" s="10">
        <v>251</v>
      </c>
      <c r="G4644" s="14"/>
      <c r="H4644" t="s" s="10">
        <v>251</v>
      </c>
      <c r="I4644" s="14"/>
      <c r="J4644" t="s" s="11">
        <v>20</v>
      </c>
      <c r="K4644" s="15"/>
      <c r="L4644" t="s" s="16">
        <f>HYPERLINK("http://csr.bu.edu/ftp/asl/asllvd/demos/verify_start_end_handshape_annotations//test_auto_move//signs_mov_separ_signers/Brady_15267.mov","MOV")</f>
        <v>21</v>
      </c>
      <c r="M4644" t="s" s="10">
        <v>39</v>
      </c>
      <c r="N4644" s="17">
        <v>27</v>
      </c>
      <c r="O4644" s="18">
        <v>3886</v>
      </c>
      <c r="P4644" s="18">
        <v>3901</v>
      </c>
      <c r="Q4644" s="15"/>
      <c r="R4644" t="s" s="16">
        <f>HYPERLINK("http://secrets.rutgers.edu:8080/data/asl-ftp/asllvd/demos/verify_start_end_handshape_annotations//test_auto_move//signs_mov_separ_signers/Brady_15267.mov","MOV")</f>
        <v>21</v>
      </c>
    </row>
    <row r="4645" s="2" customFormat="1" ht="13.5" customHeight="1">
      <c r="B4645" t="s" s="8">
        <v>1583</v>
      </c>
      <c r="C4645" t="s" s="9">
        <v>14</v>
      </c>
      <c r="D4645" t="s" s="8">
        <v>14</v>
      </c>
      <c r="E4645" t="s" s="9">
        <v>14</v>
      </c>
      <c r="F4645" t="s" s="10">
        <v>14</v>
      </c>
      <c r="G4645" t="s" s="11">
        <v>14</v>
      </c>
      <c r="H4645" t="s" s="10">
        <v>14</v>
      </c>
      <c r="I4645" t="s" s="11">
        <v>14</v>
      </c>
      <c r="J4645" t="s" s="11">
        <v>14</v>
      </c>
      <c r="K4645" t="s" s="12">
        <v>14</v>
      </c>
      <c r="L4645" t="s" s="12">
        <v>14</v>
      </c>
      <c r="M4645" t="s" s="10">
        <v>14</v>
      </c>
      <c r="N4645" t="s" s="11">
        <v>14</v>
      </c>
      <c r="O4645" t="s" s="8">
        <v>14</v>
      </c>
      <c r="P4645" t="s" s="8">
        <v>14</v>
      </c>
      <c r="Q4645" t="s" s="12">
        <v>14</v>
      </c>
      <c r="R4645" t="s" s="12">
        <v>14</v>
      </c>
    </row>
    <row r="4646" s="2" customFormat="1" ht="13.5" customHeight="1">
      <c r="B4646" s="13"/>
      <c r="C4646" t="s" s="9">
        <v>16</v>
      </c>
      <c r="D4646" t="s" s="8">
        <v>1583</v>
      </c>
      <c r="E4646" t="s" s="9">
        <v>1583</v>
      </c>
      <c r="F4646" s="19">
        <v>1</v>
      </c>
      <c r="G4646" s="17">
        <v>1</v>
      </c>
      <c r="H4646" s="19">
        <v>1</v>
      </c>
      <c r="I4646" s="17">
        <v>1</v>
      </c>
      <c r="J4646" t="s" s="11">
        <v>20</v>
      </c>
      <c r="K4646" t="s" s="16">
        <f>HYPERLINK("http://csr.bu.edu/ftp/asl/asllvd/demos/verify_start_end_handshape_annotations//test_auto_move//signs_mov/15425.mov","MOV")</f>
        <v>21</v>
      </c>
      <c r="L4646" t="s" s="16">
        <f>HYPERLINK("http://csr.bu.edu/ftp/asl/asllvd/demos/verify_start_end_handshape_annotations//test_auto_move//signs_mov_separ_signers/Liz_15425.mov","MOV")</f>
        <v>21</v>
      </c>
      <c r="M4646" t="s" s="10">
        <v>36</v>
      </c>
      <c r="N4646" s="17">
        <v>9</v>
      </c>
      <c r="O4646" s="18">
        <v>2775</v>
      </c>
      <c r="P4646" s="18">
        <v>2835</v>
      </c>
      <c r="Q4646" t="s" s="16">
        <f>HYPERLINK("http://secrets.rutgers.edu:8080/data/asl-ftp/asllvd/demos/verify_start_end_handshape_annotations//test_auto_move//signs_mov/15425.mov","MOV")</f>
        <v>21</v>
      </c>
      <c r="R4646" t="s" s="16">
        <f>HYPERLINK("http://secrets.rutgers.edu:8080/data/asl-ftp/asllvd/demos/verify_start_end_handshape_annotations//test_auto_move//signs_mov_separ_signers/Liz_15425.mov","MOV")</f>
        <v>21</v>
      </c>
    </row>
    <row r="4647" s="2" customFormat="1" ht="13.5" customHeight="1">
      <c r="B4647" s="13"/>
      <c r="C4647" t="s" s="9">
        <v>30</v>
      </c>
      <c r="D4647" t="s" s="8">
        <v>1583</v>
      </c>
      <c r="E4647" t="s" s="9">
        <v>1583</v>
      </c>
      <c r="F4647" s="19">
        <v>1</v>
      </c>
      <c r="G4647" s="17">
        <v>1</v>
      </c>
      <c r="H4647" s="19">
        <v>1</v>
      </c>
      <c r="I4647" s="17">
        <v>1</v>
      </c>
      <c r="J4647" t="s" s="11">
        <v>20</v>
      </c>
      <c r="K4647" s="15"/>
      <c r="L4647" t="s" s="16">
        <f>HYPERLINK("http://csr.bu.edu/ftp/asl/asllvd/demos/verify_start_end_handshape_annotations//test_auto_move//signs_mov_separ_signers/Brady_15425.mov","MOV")</f>
        <v>21</v>
      </c>
      <c r="M4647" t="s" s="10">
        <v>40</v>
      </c>
      <c r="N4647" s="17">
        <v>54</v>
      </c>
      <c r="O4647" s="18">
        <v>2709</v>
      </c>
      <c r="P4647" s="18">
        <v>2753</v>
      </c>
      <c r="Q4647" s="15"/>
      <c r="R4647" t="s" s="16">
        <f>HYPERLINK("http://secrets.rutgers.edu:8080/data/asl-ftp/asllvd/demos/verify_start_end_handshape_annotations//test_auto_move//signs_mov_separ_signers/Brady_15425.mov","MOV")</f>
        <v>21</v>
      </c>
    </row>
    <row r="4648" s="2" customFormat="1" ht="13.5" customHeight="1">
      <c r="B4648" t="s" s="8">
        <v>52</v>
      </c>
      <c r="C4648" t="s" s="9">
        <v>53</v>
      </c>
      <c r="D4648" t="s" s="8">
        <v>53</v>
      </c>
      <c r="E4648" t="s" s="9">
        <v>53</v>
      </c>
      <c r="F4648" t="s" s="10">
        <v>53</v>
      </c>
      <c r="G4648" t="s" s="11">
        <v>53</v>
      </c>
      <c r="H4648" t="s" s="10">
        <v>53</v>
      </c>
      <c r="I4648" t="s" s="11">
        <v>53</v>
      </c>
      <c r="J4648" t="s" s="11">
        <v>53</v>
      </c>
      <c r="K4648" t="s" s="12">
        <v>53</v>
      </c>
      <c r="L4648" t="s" s="12">
        <v>53</v>
      </c>
      <c r="M4648" t="s" s="10">
        <v>53</v>
      </c>
      <c r="N4648" t="s" s="11">
        <v>53</v>
      </c>
      <c r="O4648" t="s" s="8">
        <v>53</v>
      </c>
      <c r="P4648" t="s" s="8">
        <v>53</v>
      </c>
      <c r="Q4648" t="s" s="12">
        <v>53</v>
      </c>
      <c r="R4648" t="s" s="12">
        <v>53</v>
      </c>
    </row>
    <row r="4649" s="2" customFormat="1" ht="13.5" customHeight="1">
      <c r="B4649" s="13"/>
      <c r="C4649" t="s" s="9">
        <v>16</v>
      </c>
      <c r="D4649" t="s" s="8">
        <v>1583</v>
      </c>
      <c r="E4649" t="s" s="9">
        <v>1584</v>
      </c>
      <c r="F4649" t="s" s="10">
        <v>251</v>
      </c>
      <c r="G4649" t="s" s="11">
        <v>251</v>
      </c>
      <c r="H4649" t="s" s="10">
        <v>251</v>
      </c>
      <c r="I4649" t="s" s="11">
        <v>251</v>
      </c>
      <c r="J4649" t="s" s="11">
        <v>20</v>
      </c>
      <c r="K4649" t="s" s="16">
        <f>HYPERLINK("http://csr.bu.edu/ftp/asl/asllvd/demos/verify_start_end_handshape_annotations//test_auto_move//signs_mov/15456.mov","MOV")</f>
        <v>21</v>
      </c>
      <c r="L4649" t="s" s="16">
        <f>HYPERLINK("http://csr.bu.edu/ftp/asl/asllvd/demos/verify_start_end_handshape_annotations//test_auto_move//signs_mov_separ_signers/Liz_15456.mov","MOV")</f>
        <v>21</v>
      </c>
      <c r="M4649" t="s" s="10">
        <v>36</v>
      </c>
      <c r="N4649" s="17">
        <v>9</v>
      </c>
      <c r="O4649" s="18">
        <v>2521</v>
      </c>
      <c r="P4649" s="18">
        <v>2565</v>
      </c>
      <c r="Q4649" t="s" s="16">
        <f>HYPERLINK("http://secrets.rutgers.edu:8080/data/asl-ftp/asllvd/demos/verify_start_end_handshape_annotations//test_auto_move//signs_mov/15456.mov","MOV")</f>
        <v>21</v>
      </c>
      <c r="R4649" t="s" s="16">
        <f>HYPERLINK("http://secrets.rutgers.edu:8080/data/asl-ftp/asllvd/demos/verify_start_end_handshape_annotations//test_auto_move//signs_mov_separ_signers/Liz_15456.mov","MOV")</f>
        <v>21</v>
      </c>
    </row>
    <row r="4650" s="2" customFormat="1" ht="13.5" customHeight="1">
      <c r="B4650" s="13"/>
      <c r="C4650" t="s" s="9">
        <v>30</v>
      </c>
      <c r="D4650" t="s" s="8">
        <v>1583</v>
      </c>
      <c r="E4650" t="s" s="9">
        <v>1584</v>
      </c>
      <c r="F4650" t="s" s="10">
        <v>251</v>
      </c>
      <c r="G4650" t="s" s="11">
        <v>251</v>
      </c>
      <c r="H4650" t="s" s="10">
        <v>251</v>
      </c>
      <c r="I4650" t="s" s="11">
        <v>251</v>
      </c>
      <c r="J4650" t="s" s="11">
        <v>20</v>
      </c>
      <c r="K4650" s="15"/>
      <c r="L4650" t="s" s="16">
        <f>HYPERLINK("http://csr.bu.edu/ftp/asl/asllvd/demos/verify_start_end_handshape_annotations//test_auto_move//signs_mov_separ_signers/Brady_15456.mov","MOV")</f>
        <v>21</v>
      </c>
      <c r="M4650" t="s" s="10">
        <v>40</v>
      </c>
      <c r="N4650" s="17">
        <v>54</v>
      </c>
      <c r="O4650" s="18">
        <v>2488</v>
      </c>
      <c r="P4650" s="18">
        <v>2516</v>
      </c>
      <c r="Q4650" s="15"/>
      <c r="R4650" t="s" s="16">
        <f>HYPERLINK("http://secrets.rutgers.edu:8080/data/asl-ftp/asllvd/demos/verify_start_end_handshape_annotations//test_auto_move//signs_mov_separ_signers/Brady_15456.mov","MOV")</f>
        <v>21</v>
      </c>
    </row>
    <row r="4651" s="2" customFormat="1" ht="13.5" customHeight="1">
      <c r="B4651" t="s" s="8">
        <v>1585</v>
      </c>
      <c r="C4651" t="s" s="9">
        <v>14</v>
      </c>
      <c r="D4651" t="s" s="8">
        <v>14</v>
      </c>
      <c r="E4651" t="s" s="9">
        <v>14</v>
      </c>
      <c r="F4651" t="s" s="10">
        <v>14</v>
      </c>
      <c r="G4651" t="s" s="11">
        <v>14</v>
      </c>
      <c r="H4651" t="s" s="10">
        <v>14</v>
      </c>
      <c r="I4651" t="s" s="11">
        <v>14</v>
      </c>
      <c r="J4651" t="s" s="11">
        <v>14</v>
      </c>
      <c r="K4651" t="s" s="12">
        <v>14</v>
      </c>
      <c r="L4651" t="s" s="12">
        <v>14</v>
      </c>
      <c r="M4651" t="s" s="10">
        <v>14</v>
      </c>
      <c r="N4651" t="s" s="11">
        <v>14</v>
      </c>
      <c r="O4651" t="s" s="8">
        <v>14</v>
      </c>
      <c r="P4651" t="s" s="8">
        <v>14</v>
      </c>
      <c r="Q4651" t="s" s="12">
        <v>14</v>
      </c>
      <c r="R4651" t="s" s="12">
        <v>14</v>
      </c>
    </row>
    <row r="4652" s="2" customFormat="1" ht="13.5" customHeight="1">
      <c r="B4652" s="13"/>
      <c r="C4652" t="s" s="9">
        <v>16</v>
      </c>
      <c r="D4652" t="s" s="8">
        <v>1585</v>
      </c>
      <c r="E4652" t="s" s="9">
        <v>1586</v>
      </c>
      <c r="F4652" t="s" s="10">
        <v>68</v>
      </c>
      <c r="G4652" s="14"/>
      <c r="H4652" t="s" s="10">
        <v>229</v>
      </c>
      <c r="I4652" s="14"/>
      <c r="J4652" t="s" s="11">
        <v>20</v>
      </c>
      <c r="K4652" s="15"/>
      <c r="L4652" t="s" s="16">
        <f>HYPERLINK("http://csr.bu.edu/ftp/asl/asllvd/demos/verify_start_end_handshape_annotations//test_auto_move//signs_mov_separ_signers/Liz_992.mov","MOV")</f>
        <v>21</v>
      </c>
      <c r="M4652" t="s" s="10">
        <v>84</v>
      </c>
      <c r="N4652" s="17">
        <v>50</v>
      </c>
      <c r="O4652" s="18">
        <v>704</v>
      </c>
      <c r="P4652" s="18">
        <v>741</v>
      </c>
      <c r="Q4652" s="15"/>
      <c r="R4652" t="s" s="16">
        <f>HYPERLINK("http://secrets.rutgers.edu:8080/data/asl-ftp/asllvd/demos/verify_start_end_handshape_annotations//test_auto_move//signs_mov_separ_signers/Liz_992.mov","MOV")</f>
        <v>21</v>
      </c>
    </row>
    <row r="4653" s="2" customFormat="1" ht="13.5" customHeight="1">
      <c r="B4653" s="13"/>
      <c r="C4653" t="s" s="9">
        <v>23</v>
      </c>
      <c r="D4653" t="s" s="8">
        <v>1585</v>
      </c>
      <c r="E4653" t="s" s="9">
        <v>1586</v>
      </c>
      <c r="F4653" t="s" s="10">
        <v>517</v>
      </c>
      <c r="G4653" s="14"/>
      <c r="H4653" t="s" s="10">
        <v>229</v>
      </c>
      <c r="I4653" s="14"/>
      <c r="J4653" t="s" s="11">
        <v>20</v>
      </c>
      <c r="K4653" t="s" s="16">
        <f>HYPERLINK("http://csr.bu.edu/ftp/asl/asllvd/demos/verify_start_end_handshape_annotations//test_auto_move//signs_mov/992.mov","MOV")</f>
        <v>21</v>
      </c>
      <c r="L4653" t="s" s="16">
        <f>HYPERLINK("http://csr.bu.edu/ftp/asl/asllvd/demos/verify_start_end_handshape_annotations//test_auto_move//signs_mov_separ_signers/Tyler_992.mov","MOV")</f>
        <v>21</v>
      </c>
      <c r="M4653" t="s" s="10">
        <v>92</v>
      </c>
      <c r="N4653" s="17">
        <v>31</v>
      </c>
      <c r="O4653" s="18">
        <v>416</v>
      </c>
      <c r="P4653" s="18">
        <v>457</v>
      </c>
      <c r="Q4653" t="s" s="16">
        <f>HYPERLINK("http://secrets.rutgers.edu:8080/data/asl-ftp/asllvd/demos/verify_start_end_handshape_annotations//test_auto_move//signs_mov/992.mov","MOV")</f>
        <v>21</v>
      </c>
      <c r="R4653" t="s" s="16">
        <f>HYPERLINK("http://secrets.rutgers.edu:8080/data/asl-ftp/asllvd/demos/verify_start_end_handshape_annotations//test_auto_move//signs_mov_separ_signers/Tyler_992.mov","MOV")</f>
        <v>21</v>
      </c>
    </row>
    <row r="4654" s="2" customFormat="1" ht="13.5" customHeight="1">
      <c r="B4654" s="13"/>
      <c r="C4654" t="s" s="9">
        <v>27</v>
      </c>
      <c r="D4654" t="s" s="8">
        <v>1585</v>
      </c>
      <c r="E4654" t="s" s="9">
        <v>1585</v>
      </c>
      <c r="F4654" t="s" s="10">
        <v>68</v>
      </c>
      <c r="G4654" s="14"/>
      <c r="H4654" t="s" s="10">
        <v>229</v>
      </c>
      <c r="I4654" s="14"/>
      <c r="J4654" t="s" s="11">
        <v>20</v>
      </c>
      <c r="K4654" s="15"/>
      <c r="L4654" t="s" s="16">
        <f>HYPERLINK("http://csr.bu.edu/ftp/asl/asllvd/demos/verify_start_end_handshape_annotations//test_auto_move//signs_mov_separ_signers/Naomi_992.mov","MOV")</f>
        <v>21</v>
      </c>
      <c r="M4654" t="s" s="10">
        <v>86</v>
      </c>
      <c r="N4654" s="17">
        <v>50</v>
      </c>
      <c r="O4654" s="18">
        <v>325</v>
      </c>
      <c r="P4654" s="18">
        <v>346</v>
      </c>
      <c r="Q4654" s="15"/>
      <c r="R4654" t="s" s="16">
        <f>HYPERLINK("http://secrets.rutgers.edu:8080/data/asl-ftp/asllvd/demos/verify_start_end_handshape_annotations//test_auto_move//signs_mov_separ_signers/Naomi_992.mov","MOV")</f>
        <v>21</v>
      </c>
    </row>
    <row r="4655" s="2" customFormat="1" ht="13.5" customHeight="1">
      <c r="B4655" s="13"/>
      <c r="C4655" t="s" s="9">
        <v>30</v>
      </c>
      <c r="D4655" t="s" s="8">
        <v>1585</v>
      </c>
      <c r="E4655" t="s" s="9">
        <v>1586</v>
      </c>
      <c r="F4655" t="s" s="10">
        <v>68</v>
      </c>
      <c r="G4655" s="14"/>
      <c r="H4655" t="s" s="10">
        <v>229</v>
      </c>
      <c r="I4655" s="14"/>
      <c r="J4655" t="s" s="11">
        <v>20</v>
      </c>
      <c r="K4655" s="15"/>
      <c r="L4655" t="s" s="16">
        <f>HYPERLINK("http://csr.bu.edu/ftp/asl/asllvd/demos/verify_start_end_handshape_annotations//test_auto_move//signs_mov_separ_signers/Brady_992.mov","MOV")</f>
        <v>21</v>
      </c>
      <c r="M4655" t="s" s="10">
        <v>39</v>
      </c>
      <c r="N4655" s="17">
        <v>23</v>
      </c>
      <c r="O4655" s="18">
        <v>2798</v>
      </c>
      <c r="P4655" s="18">
        <v>2822</v>
      </c>
      <c r="Q4655" s="15"/>
      <c r="R4655" t="s" s="16">
        <f>HYPERLINK("http://secrets.rutgers.edu:8080/data/asl-ftp/asllvd/demos/verify_start_end_handshape_annotations//test_auto_move//signs_mov_separ_signers/Brady_992.mov","MOV")</f>
        <v>21</v>
      </c>
    </row>
    <row r="4656" s="2" customFormat="1" ht="13.5" customHeight="1">
      <c r="B4656" t="s" s="8">
        <v>1587</v>
      </c>
      <c r="C4656" t="s" s="9">
        <v>14</v>
      </c>
      <c r="D4656" t="s" s="8">
        <v>14</v>
      </c>
      <c r="E4656" t="s" s="9">
        <v>14</v>
      </c>
      <c r="F4656" t="s" s="10">
        <v>14</v>
      </c>
      <c r="G4656" t="s" s="11">
        <v>14</v>
      </c>
      <c r="H4656" t="s" s="10">
        <v>14</v>
      </c>
      <c r="I4656" t="s" s="11">
        <v>14</v>
      </c>
      <c r="J4656" t="s" s="11">
        <v>14</v>
      </c>
      <c r="K4656" t="s" s="12">
        <v>14</v>
      </c>
      <c r="L4656" t="s" s="12">
        <v>14</v>
      </c>
      <c r="M4656" t="s" s="10">
        <v>14</v>
      </c>
      <c r="N4656" t="s" s="11">
        <v>14</v>
      </c>
      <c r="O4656" t="s" s="8">
        <v>14</v>
      </c>
      <c r="P4656" t="s" s="8">
        <v>14</v>
      </c>
      <c r="Q4656" t="s" s="12">
        <v>14</v>
      </c>
      <c r="R4656" t="s" s="12">
        <v>14</v>
      </c>
    </row>
    <row r="4657" s="2" customFormat="1" ht="13.5" customHeight="1">
      <c r="B4657" s="13"/>
      <c r="C4657" t="s" s="9">
        <v>16</v>
      </c>
      <c r="D4657" t="s" s="8">
        <v>1587</v>
      </c>
      <c r="E4657" t="s" s="9">
        <v>1587</v>
      </c>
      <c r="F4657" t="s" s="10">
        <v>255</v>
      </c>
      <c r="G4657" s="17">
        <v>1</v>
      </c>
      <c r="H4657" t="s" s="10">
        <v>255</v>
      </c>
      <c r="I4657" s="17">
        <v>1</v>
      </c>
      <c r="J4657" t="s" s="11">
        <v>20</v>
      </c>
      <c r="K4657" s="15"/>
      <c r="L4657" t="s" s="16">
        <f>HYPERLINK("http://csr.bu.edu/ftp/asl/asllvd/demos/verify_start_end_handshape_annotations//test_auto_move//signs_mov_separ_signers/Liz_993.mov","MOV")</f>
        <v>21</v>
      </c>
      <c r="M4657" t="s" s="10">
        <v>84</v>
      </c>
      <c r="N4657" s="17">
        <v>50</v>
      </c>
      <c r="O4657" s="18">
        <v>916</v>
      </c>
      <c r="P4657" s="18">
        <v>945</v>
      </c>
      <c r="Q4657" s="15"/>
      <c r="R4657" t="s" s="16">
        <f>HYPERLINK("http://secrets.rutgers.edu:8080/data/asl-ftp/asllvd/demos/verify_start_end_handshape_annotations//test_auto_move//signs_mov_separ_signers/Liz_993.mov","MOV")</f>
        <v>21</v>
      </c>
    </row>
    <row r="4658" s="2" customFormat="1" ht="13.5" customHeight="1">
      <c r="B4658" s="13"/>
      <c r="C4658" t="s" s="9">
        <v>23</v>
      </c>
      <c r="D4658" t="s" s="8">
        <v>1587</v>
      </c>
      <c r="E4658" t="s" s="9">
        <v>1587</v>
      </c>
      <c r="F4658" s="19">
        <v>1</v>
      </c>
      <c r="G4658" s="17">
        <v>1</v>
      </c>
      <c r="H4658" t="s" s="10">
        <v>255</v>
      </c>
      <c r="I4658" s="17">
        <v>1</v>
      </c>
      <c r="J4658" t="s" s="11">
        <v>20</v>
      </c>
      <c r="K4658" t="s" s="16">
        <f>HYPERLINK("http://csr.bu.edu/ftp/asl/asllvd/demos/verify_start_end_handshape_annotations//test_auto_move//signs_mov/993.mov","MOV")</f>
        <v>21</v>
      </c>
      <c r="L4658" t="s" s="16">
        <f>HYPERLINK("http://csr.bu.edu/ftp/asl/asllvd/demos/verify_start_end_handshape_annotations//test_auto_move//signs_mov_separ_signers/Tyler_993.mov","MOV")</f>
        <v>21</v>
      </c>
      <c r="M4658" t="s" s="10">
        <v>92</v>
      </c>
      <c r="N4658" s="17">
        <v>31</v>
      </c>
      <c r="O4658" s="18">
        <v>595</v>
      </c>
      <c r="P4658" s="18">
        <v>615</v>
      </c>
      <c r="Q4658" t="s" s="16">
        <f>HYPERLINK("http://secrets.rutgers.edu:8080/data/asl-ftp/asllvd/demos/verify_start_end_handshape_annotations//test_auto_move//signs_mov/993.mov","MOV")</f>
        <v>21</v>
      </c>
      <c r="R4658" t="s" s="16">
        <f>HYPERLINK("http://secrets.rutgers.edu:8080/data/asl-ftp/asllvd/demos/verify_start_end_handshape_annotations//test_auto_move//signs_mov_separ_signers/Tyler_993.mov","MOV")</f>
        <v>21</v>
      </c>
    </row>
    <row r="4659" s="2" customFormat="1" ht="13.5" customHeight="1">
      <c r="B4659" s="13"/>
      <c r="C4659" t="s" s="9">
        <v>27</v>
      </c>
      <c r="D4659" t="s" s="8">
        <v>1587</v>
      </c>
      <c r="E4659" t="s" s="9">
        <v>1587</v>
      </c>
      <c r="F4659" s="19">
        <v>1</v>
      </c>
      <c r="G4659" t="s" s="11">
        <v>51</v>
      </c>
      <c r="H4659" t="s" s="10">
        <v>255</v>
      </c>
      <c r="I4659" t="s" s="11">
        <v>51</v>
      </c>
      <c r="J4659" t="s" s="11">
        <v>20</v>
      </c>
      <c r="K4659" s="15"/>
      <c r="L4659" t="s" s="16">
        <f>HYPERLINK("http://csr.bu.edu/ftp/asl/asllvd/demos/verify_start_end_handshape_annotations//test_auto_move//signs_mov_separ_signers/Naomi_993.mov","MOV")</f>
        <v>21</v>
      </c>
      <c r="M4659" t="s" s="10">
        <v>86</v>
      </c>
      <c r="N4659" s="17">
        <v>50</v>
      </c>
      <c r="O4659" s="18">
        <v>565</v>
      </c>
      <c r="P4659" s="18">
        <v>591</v>
      </c>
      <c r="Q4659" s="15"/>
      <c r="R4659" t="s" s="16">
        <f>HYPERLINK("http://secrets.rutgers.edu:8080/data/asl-ftp/asllvd/demos/verify_start_end_handshape_annotations//test_auto_move//signs_mov_separ_signers/Naomi_993.mov","MOV")</f>
        <v>21</v>
      </c>
    </row>
    <row r="4660" s="2" customFormat="1" ht="13.5" customHeight="1">
      <c r="B4660" s="13"/>
      <c r="C4660" t="s" s="9">
        <v>30</v>
      </c>
      <c r="D4660" t="s" s="8">
        <v>1587</v>
      </c>
      <c r="E4660" t="s" s="9">
        <v>1587</v>
      </c>
      <c r="F4660" s="19">
        <v>1</v>
      </c>
      <c r="G4660" s="17">
        <v>1</v>
      </c>
      <c r="H4660" t="s" s="10">
        <v>255</v>
      </c>
      <c r="I4660" s="17">
        <v>1</v>
      </c>
      <c r="J4660" t="s" s="11">
        <v>20</v>
      </c>
      <c r="K4660" s="15"/>
      <c r="L4660" t="s" s="16">
        <f>HYPERLINK("http://csr.bu.edu/ftp/asl/asllvd/demos/verify_start_end_handshape_annotations//test_auto_move//signs_mov_separ_signers/Brady_993.mov","MOV")</f>
        <v>21</v>
      </c>
      <c r="M4660" t="s" s="10">
        <v>39</v>
      </c>
      <c r="N4660" s="17">
        <v>23</v>
      </c>
      <c r="O4660" s="18">
        <v>3049</v>
      </c>
      <c r="P4660" s="18">
        <v>3059</v>
      </c>
      <c r="Q4660" s="15"/>
      <c r="R4660" t="s" s="16">
        <f>HYPERLINK("http://secrets.rutgers.edu:8080/data/asl-ftp/asllvd/demos/verify_start_end_handshape_annotations//test_auto_move//signs_mov_separ_signers/Brady_993.mov","MOV")</f>
        <v>21</v>
      </c>
    </row>
    <row r="4661" s="2" customFormat="1" ht="13.5" customHeight="1">
      <c r="B4661" t="s" s="8">
        <v>1588</v>
      </c>
      <c r="C4661" t="s" s="9">
        <v>14</v>
      </c>
      <c r="D4661" t="s" s="8">
        <v>14</v>
      </c>
      <c r="E4661" t="s" s="9">
        <v>14</v>
      </c>
      <c r="F4661" t="s" s="10">
        <v>14</v>
      </c>
      <c r="G4661" t="s" s="11">
        <v>14</v>
      </c>
      <c r="H4661" t="s" s="10">
        <v>14</v>
      </c>
      <c r="I4661" t="s" s="11">
        <v>14</v>
      </c>
      <c r="J4661" t="s" s="11">
        <v>14</v>
      </c>
      <c r="K4661" t="s" s="12">
        <v>14</v>
      </c>
      <c r="L4661" t="s" s="12">
        <v>14</v>
      </c>
      <c r="M4661" t="s" s="10">
        <v>14</v>
      </c>
      <c r="N4661" t="s" s="11">
        <v>14</v>
      </c>
      <c r="O4661" t="s" s="8">
        <v>14</v>
      </c>
      <c r="P4661" t="s" s="8">
        <v>14</v>
      </c>
      <c r="Q4661" t="s" s="12">
        <v>14</v>
      </c>
      <c r="R4661" t="s" s="12">
        <v>14</v>
      </c>
    </row>
    <row r="4662" s="2" customFormat="1" ht="13.5" customHeight="1">
      <c r="B4662" s="13"/>
      <c r="C4662" t="s" s="9">
        <v>23</v>
      </c>
      <c r="D4662" t="s" s="8">
        <v>1588</v>
      </c>
      <c r="E4662" t="s" s="9">
        <v>1589</v>
      </c>
      <c r="F4662" t="s" s="10">
        <v>73</v>
      </c>
      <c r="G4662" s="14"/>
      <c r="H4662" t="s" s="10">
        <v>73</v>
      </c>
      <c r="I4662" s="14"/>
      <c r="J4662" t="s" s="11">
        <v>20</v>
      </c>
      <c r="K4662" t="s" s="16">
        <f>HYPERLINK("http://csr.bu.edu/ftp/asl/asllvd/demos/verify_start_end_handshape_annotations//test_auto_move//signs_mov/995.mov","MOV")</f>
        <v>21</v>
      </c>
      <c r="L4662" t="s" s="16">
        <f>HYPERLINK("http://csr.bu.edu/ftp/asl/asllvd/demos/verify_start_end_handshape_annotations//test_auto_move//signs_mov_separ_signers/Tyler_995.mov","MOV")</f>
        <v>21</v>
      </c>
      <c r="M4662" t="s" s="10">
        <v>92</v>
      </c>
      <c r="N4662" s="17">
        <v>31</v>
      </c>
      <c r="O4662" s="18">
        <v>970</v>
      </c>
      <c r="P4662" s="18">
        <v>1005</v>
      </c>
      <c r="Q4662" t="s" s="16">
        <f>HYPERLINK("http://secrets.rutgers.edu:8080/data/asl-ftp/asllvd/demos/verify_start_end_handshape_annotations//test_auto_move//signs_mov/995.mov","MOV")</f>
        <v>21</v>
      </c>
      <c r="R4662" t="s" s="16">
        <f>HYPERLINK("http://secrets.rutgers.edu:8080/data/asl-ftp/asllvd/demos/verify_start_end_handshape_annotations//test_auto_move//signs_mov_separ_signers/Tyler_995.mov","MOV")</f>
        <v>21</v>
      </c>
    </row>
    <row r="4663" s="2" customFormat="1" ht="13.5" customHeight="1">
      <c r="B4663" t="s" s="8">
        <v>1590</v>
      </c>
      <c r="C4663" t="s" s="9">
        <v>14</v>
      </c>
      <c r="D4663" t="s" s="8">
        <v>14</v>
      </c>
      <c r="E4663" t="s" s="9">
        <v>14</v>
      </c>
      <c r="F4663" t="s" s="10">
        <v>14</v>
      </c>
      <c r="G4663" t="s" s="11">
        <v>14</v>
      </c>
      <c r="H4663" t="s" s="10">
        <v>14</v>
      </c>
      <c r="I4663" t="s" s="11">
        <v>14</v>
      </c>
      <c r="J4663" t="s" s="11">
        <v>14</v>
      </c>
      <c r="K4663" t="s" s="12">
        <v>14</v>
      </c>
      <c r="L4663" t="s" s="12">
        <v>14</v>
      </c>
      <c r="M4663" t="s" s="10">
        <v>14</v>
      </c>
      <c r="N4663" t="s" s="11">
        <v>14</v>
      </c>
      <c r="O4663" t="s" s="8">
        <v>14</v>
      </c>
      <c r="P4663" t="s" s="8">
        <v>14</v>
      </c>
      <c r="Q4663" t="s" s="12">
        <v>14</v>
      </c>
      <c r="R4663" t="s" s="12">
        <v>14</v>
      </c>
    </row>
    <row r="4664" s="2" customFormat="1" ht="13.5" customHeight="1">
      <c r="B4664" s="13"/>
      <c r="C4664" t="s" s="9">
        <v>16</v>
      </c>
      <c r="D4664" t="s" s="8">
        <v>1590</v>
      </c>
      <c r="E4664" t="s" s="9">
        <v>1590</v>
      </c>
      <c r="F4664" t="s" s="10">
        <v>73</v>
      </c>
      <c r="G4664" s="14"/>
      <c r="H4664" t="s" s="10">
        <v>73</v>
      </c>
      <c r="I4664" s="14"/>
      <c r="J4664" t="s" s="11">
        <v>20</v>
      </c>
      <c r="K4664" t="s" s="16">
        <f>HYPERLINK("http://csr.bu.edu/ftp/asl/asllvd/demos/verify_start_end_handshape_annotations//test_auto_move//signs_mov/4762.mov","MOV")</f>
        <v>21</v>
      </c>
      <c r="L4664" t="s" s="16">
        <f>HYPERLINK("http://csr.bu.edu/ftp/asl/asllvd/demos/verify_start_end_handshape_annotations//test_auto_move//signs_mov_separ_signers/Liz_4762.mov","MOV")</f>
        <v>21</v>
      </c>
      <c r="M4664" t="s" s="10">
        <v>84</v>
      </c>
      <c r="N4664" s="17">
        <v>50</v>
      </c>
      <c r="O4664" s="18">
        <v>1330</v>
      </c>
      <c r="P4664" s="18">
        <v>1350</v>
      </c>
      <c r="Q4664" t="s" s="16">
        <f>HYPERLINK("http://secrets.rutgers.edu:8080/data/asl-ftp/asllvd/demos/verify_start_end_handshape_annotations//test_auto_move//signs_mov/4762.mov","MOV")</f>
        <v>21</v>
      </c>
      <c r="R4664" t="s" s="16">
        <f>HYPERLINK("http://secrets.rutgers.edu:8080/data/asl-ftp/asllvd/demos/verify_start_end_handshape_annotations//test_auto_move//signs_mov_separ_signers/Liz_4762.mov","MOV")</f>
        <v>21</v>
      </c>
    </row>
    <row r="4665" s="2" customFormat="1" ht="13.5" customHeight="1">
      <c r="B4665" s="13"/>
      <c r="C4665" t="s" s="9">
        <v>27</v>
      </c>
      <c r="D4665" t="s" s="8">
        <v>1590</v>
      </c>
      <c r="E4665" t="s" s="9">
        <v>1590</v>
      </c>
      <c r="F4665" t="s" s="10">
        <v>73</v>
      </c>
      <c r="G4665" s="14"/>
      <c r="H4665" t="s" s="10">
        <v>73</v>
      </c>
      <c r="I4665" s="14"/>
      <c r="J4665" t="s" s="11">
        <v>20</v>
      </c>
      <c r="K4665" s="15"/>
      <c r="L4665" t="s" s="16">
        <f>HYPERLINK("http://csr.bu.edu/ftp/asl/asllvd/demos/verify_start_end_handshape_annotations//test_auto_move//signs_mov_separ_signers/Naomi_4762.mov","MOV")</f>
        <v>21</v>
      </c>
      <c r="M4665" t="s" s="10">
        <v>86</v>
      </c>
      <c r="N4665" s="17">
        <v>50</v>
      </c>
      <c r="O4665" s="18">
        <v>1020</v>
      </c>
      <c r="P4665" s="18">
        <v>1045</v>
      </c>
      <c r="Q4665" s="15"/>
      <c r="R4665" t="s" s="16">
        <f>HYPERLINK("http://secrets.rutgers.edu:8080/data/asl-ftp/asllvd/demos/verify_start_end_handshape_annotations//test_auto_move//signs_mov_separ_signers/Naomi_4762.mov","MOV")</f>
        <v>21</v>
      </c>
    </row>
    <row r="4666" s="2" customFormat="1" ht="13.5" customHeight="1">
      <c r="B4666" t="s" s="8">
        <v>1591</v>
      </c>
      <c r="C4666" t="s" s="9">
        <v>14</v>
      </c>
      <c r="D4666" t="s" s="8">
        <v>14</v>
      </c>
      <c r="E4666" t="s" s="9">
        <v>14</v>
      </c>
      <c r="F4666" t="s" s="10">
        <v>14</v>
      </c>
      <c r="G4666" t="s" s="11">
        <v>14</v>
      </c>
      <c r="H4666" t="s" s="10">
        <v>14</v>
      </c>
      <c r="I4666" t="s" s="11">
        <v>14</v>
      </c>
      <c r="J4666" t="s" s="11">
        <v>14</v>
      </c>
      <c r="K4666" t="s" s="12">
        <v>14</v>
      </c>
      <c r="L4666" t="s" s="12">
        <v>14</v>
      </c>
      <c r="M4666" t="s" s="10">
        <v>14</v>
      </c>
      <c r="N4666" t="s" s="11">
        <v>14</v>
      </c>
      <c r="O4666" t="s" s="8">
        <v>14</v>
      </c>
      <c r="P4666" t="s" s="8">
        <v>14</v>
      </c>
      <c r="Q4666" t="s" s="12">
        <v>14</v>
      </c>
      <c r="R4666" t="s" s="12">
        <v>14</v>
      </c>
    </row>
    <row r="4667" s="2" customFormat="1" ht="13.5" customHeight="1">
      <c r="B4667" s="13"/>
      <c r="C4667" t="s" s="9">
        <v>30</v>
      </c>
      <c r="D4667" t="s" s="8">
        <v>1591</v>
      </c>
      <c r="E4667" t="s" s="9">
        <v>1591</v>
      </c>
      <c r="F4667" t="s" s="10">
        <v>73</v>
      </c>
      <c r="G4667" s="14"/>
      <c r="H4667" t="s" s="10">
        <v>73</v>
      </c>
      <c r="I4667" s="14"/>
      <c r="J4667" t="s" s="11">
        <v>20</v>
      </c>
      <c r="K4667" t="s" s="16">
        <f>HYPERLINK("http://csr.bu.edu/ftp/asl/asllvd/demos/verify_start_end_handshape_annotations//test_auto_move//signs_mov/4763.mov","MOV")</f>
        <v>21</v>
      </c>
      <c r="L4667" t="s" s="16">
        <f>HYPERLINK("http://csr.bu.edu/ftp/asl/asllvd/demos/verify_start_end_handshape_annotations//test_auto_move//signs_mov_separ_signers/Brady_4763.mov","MOV")</f>
        <v>21</v>
      </c>
      <c r="M4667" t="s" s="10">
        <v>39</v>
      </c>
      <c r="N4667" s="17">
        <v>23</v>
      </c>
      <c r="O4667" s="18">
        <v>3547</v>
      </c>
      <c r="P4667" s="18">
        <v>3577</v>
      </c>
      <c r="Q4667" t="s" s="16">
        <f>HYPERLINK("http://secrets.rutgers.edu:8080/data/asl-ftp/asllvd/demos/verify_start_end_handshape_annotations//test_auto_move//signs_mov/4763.mov","MOV")</f>
        <v>21</v>
      </c>
      <c r="R4667" t="s" s="16">
        <f>HYPERLINK("http://secrets.rutgers.edu:8080/data/asl-ftp/asllvd/demos/verify_start_end_handshape_annotations//test_auto_move//signs_mov_separ_signers/Brady_4763.mov","MOV")</f>
        <v>21</v>
      </c>
    </row>
    <row r="4668" s="2" customFormat="1" ht="13.5" customHeight="1">
      <c r="B4668" t="s" s="8">
        <v>1592</v>
      </c>
      <c r="C4668" t="s" s="9">
        <v>14</v>
      </c>
      <c r="D4668" t="s" s="8">
        <v>14</v>
      </c>
      <c r="E4668" t="s" s="9">
        <v>14</v>
      </c>
      <c r="F4668" t="s" s="10">
        <v>14</v>
      </c>
      <c r="G4668" t="s" s="11">
        <v>14</v>
      </c>
      <c r="H4668" t="s" s="10">
        <v>14</v>
      </c>
      <c r="I4668" t="s" s="11">
        <v>14</v>
      </c>
      <c r="J4668" t="s" s="11">
        <v>14</v>
      </c>
      <c r="K4668" t="s" s="12">
        <v>14</v>
      </c>
      <c r="L4668" t="s" s="12">
        <v>14</v>
      </c>
      <c r="M4668" t="s" s="10">
        <v>14</v>
      </c>
      <c r="N4668" t="s" s="11">
        <v>14</v>
      </c>
      <c r="O4668" t="s" s="8">
        <v>14</v>
      </c>
      <c r="P4668" t="s" s="8">
        <v>14</v>
      </c>
      <c r="Q4668" t="s" s="12">
        <v>14</v>
      </c>
      <c r="R4668" t="s" s="12">
        <v>14</v>
      </c>
    </row>
    <row r="4669" s="2" customFormat="1" ht="13.5" customHeight="1">
      <c r="B4669" s="13"/>
      <c r="C4669" t="s" s="9">
        <v>16</v>
      </c>
      <c r="D4669" t="s" s="8">
        <v>1592</v>
      </c>
      <c r="E4669" t="s" s="9">
        <v>1592</v>
      </c>
      <c r="F4669" s="19">
        <v>1</v>
      </c>
      <c r="G4669" s="17">
        <v>1</v>
      </c>
      <c r="H4669" t="s" s="10">
        <v>255</v>
      </c>
      <c r="I4669" t="s" s="11">
        <v>255</v>
      </c>
      <c r="J4669" t="s" s="11">
        <v>20</v>
      </c>
      <c r="K4669" s="15"/>
      <c r="L4669" t="s" s="16">
        <f>HYPERLINK("http://csr.bu.edu/ftp/asl/asllvd/demos/verify_start_end_handshape_annotations//test_auto_move//signs_mov_separ_signers/Liz_997.mov","MOV")</f>
        <v>21</v>
      </c>
      <c r="M4669" t="s" s="10">
        <v>84</v>
      </c>
      <c r="N4669" s="17">
        <v>50</v>
      </c>
      <c r="O4669" s="18">
        <v>1751</v>
      </c>
      <c r="P4669" s="18">
        <v>1772</v>
      </c>
      <c r="Q4669" s="15"/>
      <c r="R4669" t="s" s="16">
        <f>HYPERLINK("http://secrets.rutgers.edu:8080/data/asl-ftp/asllvd/demos/verify_start_end_handshape_annotations//test_auto_move//signs_mov_separ_signers/Liz_997.mov","MOV")</f>
        <v>21</v>
      </c>
    </row>
    <row r="4670" s="2" customFormat="1" ht="13.5" customHeight="1">
      <c r="B4670" s="13"/>
      <c r="C4670" t="s" s="9">
        <v>23</v>
      </c>
      <c r="D4670" t="s" s="8">
        <v>1592</v>
      </c>
      <c r="E4670" t="s" s="9">
        <v>1592</v>
      </c>
      <c r="F4670" s="19">
        <v>1</v>
      </c>
      <c r="G4670" s="17">
        <v>1</v>
      </c>
      <c r="H4670" t="s" s="10">
        <v>255</v>
      </c>
      <c r="I4670" t="s" s="11">
        <v>255</v>
      </c>
      <c r="J4670" t="s" s="11">
        <v>20</v>
      </c>
      <c r="K4670" t="s" s="16">
        <f>HYPERLINK("http://csr.bu.edu/ftp/asl/asllvd/demos/verify_start_end_handshape_annotations//test_auto_move//signs_mov/997.mov","MOV")</f>
        <v>21</v>
      </c>
      <c r="L4670" t="s" s="16">
        <f>HYPERLINK("http://csr.bu.edu/ftp/asl/asllvd/demos/verify_start_end_handshape_annotations//test_auto_move//signs_mov_separ_signers/Tyler_997.mov","MOV")</f>
        <v>21</v>
      </c>
      <c r="M4670" t="s" s="10">
        <v>92</v>
      </c>
      <c r="N4670" s="17">
        <v>31</v>
      </c>
      <c r="O4670" s="18">
        <v>1530</v>
      </c>
      <c r="P4670" s="18">
        <v>1545</v>
      </c>
      <c r="Q4670" t="s" s="16">
        <f>HYPERLINK("http://secrets.rutgers.edu:8080/data/asl-ftp/asllvd/demos/verify_start_end_handshape_annotations//test_auto_move//signs_mov/997.mov","MOV")</f>
        <v>21</v>
      </c>
      <c r="R4670" t="s" s="16">
        <f>HYPERLINK("http://secrets.rutgers.edu:8080/data/asl-ftp/asllvd/demos/verify_start_end_handshape_annotations//test_auto_move//signs_mov_separ_signers/Tyler_997.mov","MOV")</f>
        <v>21</v>
      </c>
    </row>
    <row r="4671" s="2" customFormat="1" ht="13.5" customHeight="1">
      <c r="B4671" s="13"/>
      <c r="C4671" t="s" s="9">
        <v>27</v>
      </c>
      <c r="D4671" t="s" s="8">
        <v>1592</v>
      </c>
      <c r="E4671" t="s" s="9">
        <v>1592</v>
      </c>
      <c r="F4671" s="19">
        <v>1</v>
      </c>
      <c r="G4671" s="17">
        <v>1</v>
      </c>
      <c r="H4671" t="s" s="10">
        <v>255</v>
      </c>
      <c r="I4671" t="s" s="11">
        <v>255</v>
      </c>
      <c r="J4671" t="s" s="11">
        <v>20</v>
      </c>
      <c r="K4671" s="15"/>
      <c r="L4671" t="s" s="16">
        <f>HYPERLINK("http://csr.bu.edu/ftp/asl/asllvd/demos/verify_start_end_handshape_annotations//test_auto_move//signs_mov_separ_signers/Naomi_997.mov","MOV")</f>
        <v>21</v>
      </c>
      <c r="M4671" t="s" s="10">
        <v>86</v>
      </c>
      <c r="N4671" s="17">
        <v>50</v>
      </c>
      <c r="O4671" s="18">
        <v>1706</v>
      </c>
      <c r="P4671" s="18">
        <v>1725</v>
      </c>
      <c r="Q4671" s="15"/>
      <c r="R4671" t="s" s="16">
        <f>HYPERLINK("http://secrets.rutgers.edu:8080/data/asl-ftp/asllvd/demos/verify_start_end_handshape_annotations//test_auto_move//signs_mov_separ_signers/Naomi_997.mov","MOV")</f>
        <v>21</v>
      </c>
    </row>
    <row r="4672" s="2" customFormat="1" ht="13.5" customHeight="1">
      <c r="B4672" s="13"/>
      <c r="C4672" t="s" s="9">
        <v>30</v>
      </c>
      <c r="D4672" t="s" s="8">
        <v>1592</v>
      </c>
      <c r="E4672" t="s" s="9">
        <v>1592</v>
      </c>
      <c r="F4672" s="19">
        <v>1</v>
      </c>
      <c r="G4672" s="17">
        <v>1</v>
      </c>
      <c r="H4672" t="s" s="10">
        <v>255</v>
      </c>
      <c r="I4672" t="s" s="11">
        <v>255</v>
      </c>
      <c r="J4672" t="s" s="11">
        <v>20</v>
      </c>
      <c r="K4672" s="15"/>
      <c r="L4672" t="s" s="16">
        <f>HYPERLINK("http://csr.bu.edu/ftp/asl/asllvd/demos/verify_start_end_handshape_annotations//test_auto_move//signs_mov_separ_signers/Brady_997.mov","MOV")</f>
        <v>21</v>
      </c>
      <c r="M4672" t="s" s="10">
        <v>39</v>
      </c>
      <c r="N4672" s="17">
        <v>23</v>
      </c>
      <c r="O4672" s="18">
        <v>4073</v>
      </c>
      <c r="P4672" s="18">
        <v>4100</v>
      </c>
      <c r="Q4672" s="15"/>
      <c r="R4672" t="s" s="16">
        <f>HYPERLINK("http://secrets.rutgers.edu:8080/data/asl-ftp/asllvd/demos/verify_start_end_handshape_annotations//test_auto_move//signs_mov_separ_signers/Brady_997.mov","MOV")</f>
        <v>21</v>
      </c>
    </row>
    <row r="4673" s="2" customFormat="1" ht="13.5" customHeight="1">
      <c r="B4673" t="s" s="8">
        <v>1593</v>
      </c>
      <c r="C4673" t="s" s="9">
        <v>14</v>
      </c>
      <c r="D4673" t="s" s="8">
        <v>14</v>
      </c>
      <c r="E4673" t="s" s="9">
        <v>14</v>
      </c>
      <c r="F4673" t="s" s="10">
        <v>14</v>
      </c>
      <c r="G4673" t="s" s="11">
        <v>14</v>
      </c>
      <c r="H4673" t="s" s="10">
        <v>14</v>
      </c>
      <c r="I4673" t="s" s="11">
        <v>14</v>
      </c>
      <c r="J4673" t="s" s="11">
        <v>14</v>
      </c>
      <c r="K4673" t="s" s="12">
        <v>14</v>
      </c>
      <c r="L4673" t="s" s="12">
        <v>14</v>
      </c>
      <c r="M4673" t="s" s="10">
        <v>14</v>
      </c>
      <c r="N4673" t="s" s="11">
        <v>14</v>
      </c>
      <c r="O4673" t="s" s="8">
        <v>14</v>
      </c>
      <c r="P4673" t="s" s="8">
        <v>14</v>
      </c>
      <c r="Q4673" t="s" s="12">
        <v>14</v>
      </c>
      <c r="R4673" t="s" s="12">
        <v>14</v>
      </c>
    </row>
    <row r="4674" s="2" customFormat="1" ht="13.5" customHeight="1">
      <c r="B4674" s="13"/>
      <c r="C4674" t="s" s="9">
        <v>16</v>
      </c>
      <c r="D4674" t="s" s="8">
        <v>1593</v>
      </c>
      <c r="E4674" t="s" s="9">
        <v>1594</v>
      </c>
      <c r="F4674" t="s" s="10">
        <v>282</v>
      </c>
      <c r="G4674" s="14"/>
      <c r="H4674" t="s" s="10">
        <v>282</v>
      </c>
      <c r="I4674" s="14"/>
      <c r="J4674" t="s" s="11">
        <v>20</v>
      </c>
      <c r="K4674" s="15"/>
      <c r="L4674" t="s" s="16">
        <f>HYPERLINK("http://csr.bu.edu/ftp/asl/asllvd/demos/verify_start_end_handshape_annotations//test_auto_move//signs_mov_separ_signers/Liz_998.mov","MOV")</f>
        <v>21</v>
      </c>
      <c r="M4674" t="s" s="10">
        <v>84</v>
      </c>
      <c r="N4674" s="17">
        <v>50</v>
      </c>
      <c r="O4674" s="18">
        <v>1957</v>
      </c>
      <c r="P4674" s="18">
        <v>1980</v>
      </c>
      <c r="Q4674" s="15"/>
      <c r="R4674" t="s" s="16">
        <f>HYPERLINK("http://secrets.rutgers.edu:8080/data/asl-ftp/asllvd/demos/verify_start_end_handshape_annotations//test_auto_move//signs_mov_separ_signers/Liz_998.mov","MOV")</f>
        <v>21</v>
      </c>
    </row>
    <row r="4675" s="2" customFormat="1" ht="13.5" customHeight="1">
      <c r="B4675" s="13"/>
      <c r="C4675" t="s" s="9">
        <v>23</v>
      </c>
      <c r="D4675" t="s" s="8">
        <v>1593</v>
      </c>
      <c r="E4675" t="s" s="9">
        <v>1595</v>
      </c>
      <c r="F4675" t="s" s="10">
        <v>282</v>
      </c>
      <c r="G4675" s="14"/>
      <c r="H4675" t="s" s="10">
        <v>282</v>
      </c>
      <c r="I4675" s="14"/>
      <c r="J4675" t="s" s="11">
        <v>20</v>
      </c>
      <c r="K4675" t="s" s="16">
        <f>HYPERLINK("http://csr.bu.edu/ftp/asl/asllvd/demos/verify_start_end_handshape_annotations//test_auto_move//signs_mov/998.mov","MOV")</f>
        <v>21</v>
      </c>
      <c r="L4675" t="s" s="16">
        <f>HYPERLINK("http://csr.bu.edu/ftp/asl/asllvd/demos/verify_start_end_handshape_annotations//test_auto_move//signs_mov_separ_signers/Tyler_998.mov","MOV")</f>
        <v>21</v>
      </c>
      <c r="M4675" t="s" s="10">
        <v>92</v>
      </c>
      <c r="N4675" s="17">
        <v>31</v>
      </c>
      <c r="O4675" s="18">
        <v>1795</v>
      </c>
      <c r="P4675" s="18">
        <v>1855</v>
      </c>
      <c r="Q4675" t="s" s="16">
        <f>HYPERLINK("http://secrets.rutgers.edu:8080/data/asl-ftp/asllvd/demos/verify_start_end_handshape_annotations//test_auto_move//signs_mov/998.mov","MOV")</f>
        <v>21</v>
      </c>
      <c r="R4675" t="s" s="16">
        <f>HYPERLINK("http://secrets.rutgers.edu:8080/data/asl-ftp/asllvd/demos/verify_start_end_handshape_annotations//test_auto_move//signs_mov_separ_signers/Tyler_998.mov","MOV")</f>
        <v>21</v>
      </c>
    </row>
    <row r="4676" s="2" customFormat="1" ht="13.5" customHeight="1">
      <c r="B4676" s="13"/>
      <c r="C4676" t="s" s="9">
        <v>27</v>
      </c>
      <c r="D4676" t="s" s="8">
        <v>1593</v>
      </c>
      <c r="E4676" t="s" s="9">
        <v>1594</v>
      </c>
      <c r="F4676" t="s" s="10">
        <v>282</v>
      </c>
      <c r="G4676" s="14"/>
      <c r="H4676" t="s" s="10">
        <v>282</v>
      </c>
      <c r="I4676" s="14"/>
      <c r="J4676" t="s" s="11">
        <v>20</v>
      </c>
      <c r="K4676" s="15"/>
      <c r="L4676" t="s" s="16">
        <f>HYPERLINK("http://csr.bu.edu/ftp/asl/asllvd/demos/verify_start_end_handshape_annotations//test_auto_move//signs_mov_separ_signers/Naomi_998.mov","MOV")</f>
        <v>21</v>
      </c>
      <c r="M4676" t="s" s="10">
        <v>86</v>
      </c>
      <c r="N4676" s="17">
        <v>50</v>
      </c>
      <c r="O4676" s="18">
        <v>1980</v>
      </c>
      <c r="P4676" s="18">
        <v>2002</v>
      </c>
      <c r="Q4676" s="15"/>
      <c r="R4676" t="s" s="16">
        <f>HYPERLINK("http://secrets.rutgers.edu:8080/data/asl-ftp/asllvd/demos/verify_start_end_handshape_annotations//test_auto_move//signs_mov_separ_signers/Naomi_998.mov","MOV")</f>
        <v>21</v>
      </c>
    </row>
    <row r="4677" s="2" customFormat="1" ht="13.5" customHeight="1">
      <c r="B4677" s="13"/>
      <c r="C4677" t="s" s="9">
        <v>30</v>
      </c>
      <c r="D4677" t="s" s="8">
        <v>1593</v>
      </c>
      <c r="E4677" t="s" s="9">
        <v>1593</v>
      </c>
      <c r="F4677" t="s" s="10">
        <v>282</v>
      </c>
      <c r="G4677" s="14"/>
      <c r="H4677" t="s" s="10">
        <v>282</v>
      </c>
      <c r="I4677" s="14"/>
      <c r="J4677" t="s" s="11">
        <v>20</v>
      </c>
      <c r="K4677" s="15"/>
      <c r="L4677" t="s" s="16">
        <f>HYPERLINK("http://csr.bu.edu/ftp/asl/asllvd/demos/verify_start_end_handshape_annotations//test_auto_move//signs_mov_separ_signers/Brady_998.mov","MOV")</f>
        <v>21</v>
      </c>
      <c r="M4677" t="s" s="10">
        <v>39</v>
      </c>
      <c r="N4677" s="17">
        <v>23</v>
      </c>
      <c r="O4677" s="18">
        <v>4315</v>
      </c>
      <c r="P4677" s="18">
        <v>4340</v>
      </c>
      <c r="Q4677" s="15"/>
      <c r="R4677" t="s" s="16">
        <f>HYPERLINK("http://secrets.rutgers.edu:8080/data/asl-ftp/asllvd/demos/verify_start_end_handshape_annotations//test_auto_move//signs_mov_separ_signers/Brady_998.mov","MOV")</f>
        <v>21</v>
      </c>
    </row>
    <row r="4678" s="2" customFormat="1" ht="13.5" customHeight="1">
      <c r="B4678" t="s" s="8">
        <v>1596</v>
      </c>
      <c r="C4678" t="s" s="9">
        <v>14</v>
      </c>
      <c r="D4678" t="s" s="8">
        <v>14</v>
      </c>
      <c r="E4678" t="s" s="9">
        <v>14</v>
      </c>
      <c r="F4678" t="s" s="10">
        <v>14</v>
      </c>
      <c r="G4678" t="s" s="11">
        <v>14</v>
      </c>
      <c r="H4678" t="s" s="10">
        <v>14</v>
      </c>
      <c r="I4678" t="s" s="11">
        <v>14</v>
      </c>
      <c r="J4678" t="s" s="11">
        <v>14</v>
      </c>
      <c r="K4678" t="s" s="12">
        <v>14</v>
      </c>
      <c r="L4678" t="s" s="12">
        <v>14</v>
      </c>
      <c r="M4678" t="s" s="10">
        <v>14</v>
      </c>
      <c r="N4678" t="s" s="11">
        <v>14</v>
      </c>
      <c r="O4678" t="s" s="8">
        <v>14</v>
      </c>
      <c r="P4678" t="s" s="8">
        <v>14</v>
      </c>
      <c r="Q4678" t="s" s="12">
        <v>14</v>
      </c>
      <c r="R4678" t="s" s="12">
        <v>14</v>
      </c>
    </row>
    <row r="4679" s="2" customFormat="1" ht="13.5" customHeight="1">
      <c r="B4679" s="13"/>
      <c r="C4679" t="s" s="9">
        <v>23</v>
      </c>
      <c r="D4679" t="s" s="8">
        <v>1596</v>
      </c>
      <c r="E4679" t="s" s="9">
        <v>1597</v>
      </c>
      <c r="F4679" t="s" s="10">
        <v>55</v>
      </c>
      <c r="G4679" s="14"/>
      <c r="H4679" t="s" s="10">
        <v>55</v>
      </c>
      <c r="I4679" s="14"/>
      <c r="J4679" t="s" s="11">
        <v>20</v>
      </c>
      <c r="K4679" s="15"/>
      <c r="L4679" t="s" s="16">
        <f>HYPERLINK("http://csr.bu.edu/ftp/asl/asllvd/demos/verify_start_end_handshape_annotations//test_auto_move//signs_mov_separ_signers/Tyler_999.mov","MOV")</f>
        <v>21</v>
      </c>
      <c r="M4679" t="s" s="10">
        <v>92</v>
      </c>
      <c r="N4679" s="17">
        <v>31</v>
      </c>
      <c r="O4679" s="18">
        <v>2057</v>
      </c>
      <c r="P4679" s="18">
        <v>2115</v>
      </c>
      <c r="Q4679" s="15"/>
      <c r="R4679" t="s" s="16">
        <f>HYPERLINK("http://secrets.rutgers.edu:8080/data/asl-ftp/asllvd/demos/verify_start_end_handshape_annotations//test_auto_move//signs_mov_separ_signers/Tyler_999.mov","MOV")</f>
        <v>21</v>
      </c>
    </row>
    <row r="4680" s="2" customFormat="1" ht="13.5" customHeight="1">
      <c r="B4680" s="13"/>
      <c r="C4680" t="s" s="9">
        <v>30</v>
      </c>
      <c r="D4680" t="s" s="8">
        <v>1596</v>
      </c>
      <c r="E4680" t="s" s="9">
        <v>1598</v>
      </c>
      <c r="F4680" t="s" s="10">
        <v>55</v>
      </c>
      <c r="G4680" s="14"/>
      <c r="H4680" t="s" s="10">
        <v>55</v>
      </c>
      <c r="I4680" s="14"/>
      <c r="J4680" t="s" s="11">
        <v>20</v>
      </c>
      <c r="K4680" t="s" s="16">
        <f>HYPERLINK("http://csr.bu.edu/ftp/asl/asllvd/demos/verify_start_end_handshape_annotations//test_auto_move//signs_mov/999_5310_merged.mov","MOV")</f>
        <v>21</v>
      </c>
      <c r="L4680" t="s" s="16">
        <f>HYPERLINK("http://csr.bu.edu/ftp/asl/asllvd/demos/verify_start_end_handshape_annotations//test_auto_move//signs_mov_separ_signers/Brady_999.mov","MOV")</f>
        <v>21</v>
      </c>
      <c r="M4680" t="s" s="10">
        <v>39</v>
      </c>
      <c r="N4680" s="17">
        <v>23</v>
      </c>
      <c r="O4680" s="18">
        <v>4593</v>
      </c>
      <c r="P4680" s="18">
        <v>4612</v>
      </c>
      <c r="Q4680" t="s" s="16">
        <f>HYPERLINK("http://secrets.rutgers.edu:8080/data/asl-ftp/asllvd/demos/verify_start_end_handshape_annotations//test_auto_move//signs_mov/999_5310_merged.mov","MOV")</f>
        <v>21</v>
      </c>
      <c r="R4680" t="s" s="16">
        <f>HYPERLINK("http://secrets.rutgers.edu:8080/data/asl-ftp/asllvd/demos/verify_start_end_handshape_annotations//test_auto_move//signs_mov_separ_signers/Brady_999.mov","MOV")</f>
        <v>21</v>
      </c>
    </row>
    <row r="4681" s="2" customFormat="1" ht="13.5" customHeight="1">
      <c r="B4681" s="13"/>
      <c r="C4681" t="s" s="9">
        <v>30</v>
      </c>
      <c r="D4681" t="s" s="8">
        <v>1596</v>
      </c>
      <c r="E4681" t="s" s="9">
        <v>1598</v>
      </c>
      <c r="F4681" t="s" s="10">
        <v>55</v>
      </c>
      <c r="G4681" s="14"/>
      <c r="H4681" t="s" s="10">
        <v>55</v>
      </c>
      <c r="I4681" s="14"/>
      <c r="J4681" t="s" s="11">
        <v>20</v>
      </c>
      <c r="K4681" s="15"/>
      <c r="L4681" t="s" s="16">
        <f>HYPERLINK("http://csr.bu.edu/ftp/asl/asllvd/demos/verify_start_end_handshape_annotations//test_auto_move//signs_mov_separ_signers/Brady_5310.mov","MOV")</f>
        <v>21</v>
      </c>
      <c r="M4681" t="s" s="10">
        <v>39</v>
      </c>
      <c r="N4681" s="17">
        <v>23</v>
      </c>
      <c r="O4681" s="18">
        <v>4857</v>
      </c>
      <c r="P4681" s="18">
        <v>4886</v>
      </c>
      <c r="Q4681" s="15"/>
      <c r="R4681" t="s" s="16">
        <f>HYPERLINK("http://secrets.rutgers.edu:8080/data/asl-ftp/asllvd/demos/verify_start_end_handshape_annotations//test_auto_move//signs_mov_separ_signers/Brady_5310.mov","MOV")</f>
        <v>21</v>
      </c>
    </row>
    <row r="4682" s="2" customFormat="1" ht="13.5" customHeight="1">
      <c r="B4682" t="s" s="8">
        <v>1599</v>
      </c>
      <c r="C4682" t="s" s="9">
        <v>14</v>
      </c>
      <c r="D4682" t="s" s="8">
        <v>14</v>
      </c>
      <c r="E4682" t="s" s="9">
        <v>14</v>
      </c>
      <c r="F4682" t="s" s="10">
        <v>14</v>
      </c>
      <c r="G4682" t="s" s="11">
        <v>14</v>
      </c>
      <c r="H4682" t="s" s="10">
        <v>14</v>
      </c>
      <c r="I4682" t="s" s="11">
        <v>14</v>
      </c>
      <c r="J4682" t="s" s="11">
        <v>14</v>
      </c>
      <c r="K4682" t="s" s="12">
        <v>14</v>
      </c>
      <c r="L4682" t="s" s="12">
        <v>14</v>
      </c>
      <c r="M4682" t="s" s="10">
        <v>14</v>
      </c>
      <c r="N4682" t="s" s="11">
        <v>14</v>
      </c>
      <c r="O4682" t="s" s="8">
        <v>14</v>
      </c>
      <c r="P4682" t="s" s="8">
        <v>14</v>
      </c>
      <c r="Q4682" t="s" s="12">
        <v>14</v>
      </c>
      <c r="R4682" t="s" s="12">
        <v>14</v>
      </c>
    </row>
    <row r="4683" s="2" customFormat="1" ht="13.5" customHeight="1">
      <c r="B4683" s="13"/>
      <c r="C4683" t="s" s="9">
        <v>16</v>
      </c>
      <c r="D4683" t="s" s="8">
        <v>1599</v>
      </c>
      <c r="E4683" t="s" s="9">
        <v>1599</v>
      </c>
      <c r="F4683" t="s" s="10">
        <v>55</v>
      </c>
      <c r="G4683" s="14"/>
      <c r="H4683" t="s" s="10">
        <v>55</v>
      </c>
      <c r="I4683" s="14"/>
      <c r="J4683" t="s" s="11">
        <v>20</v>
      </c>
      <c r="K4683" t="s" s="16">
        <f>HYPERLINK("http://csr.bu.edu/ftp/asl/asllvd/demos/verify_start_end_handshape_annotations//test_auto_move//signs_mov/16373.mov","MOV")</f>
        <v>21</v>
      </c>
      <c r="L4683" t="s" s="16">
        <f>HYPERLINK("http://csr.bu.edu/ftp/asl/asllvd/demos/verify_start_end_handshape_annotations//test_auto_move//signs_mov_separ_signers/Liz_16373.mov","MOV")</f>
        <v>21</v>
      </c>
      <c r="M4683" t="s" s="10">
        <v>84</v>
      </c>
      <c r="N4683" s="17">
        <v>50</v>
      </c>
      <c r="O4683" s="18">
        <v>2140</v>
      </c>
      <c r="P4683" s="18">
        <v>2157</v>
      </c>
      <c r="Q4683" t="s" s="16">
        <f>HYPERLINK("http://secrets.rutgers.edu:8080/data/asl-ftp/asllvd/demos/verify_start_end_handshape_annotations//test_auto_move//signs_mov/16373.mov","MOV")</f>
        <v>21</v>
      </c>
      <c r="R4683" t="s" s="16">
        <f>HYPERLINK("http://secrets.rutgers.edu:8080/data/asl-ftp/asllvd/demos/verify_start_end_handshape_annotations//test_auto_move//signs_mov_separ_signers/Liz_16373.mov","MOV")</f>
        <v>21</v>
      </c>
    </row>
    <row r="4684" s="2" customFormat="1" ht="13.5" customHeight="1">
      <c r="B4684" s="13"/>
      <c r="C4684" t="s" s="9">
        <v>27</v>
      </c>
      <c r="D4684" t="s" s="8">
        <v>1599</v>
      </c>
      <c r="E4684" t="s" s="9">
        <v>1599</v>
      </c>
      <c r="F4684" t="s" s="10">
        <v>55</v>
      </c>
      <c r="G4684" s="14"/>
      <c r="H4684" t="s" s="10">
        <v>55</v>
      </c>
      <c r="I4684" s="14"/>
      <c r="J4684" t="s" s="11">
        <v>20</v>
      </c>
      <c r="K4684" s="15"/>
      <c r="L4684" t="s" s="16">
        <f>HYPERLINK("http://csr.bu.edu/ftp/asl/asllvd/demos/verify_start_end_handshape_annotations//test_auto_move//signs_mov_separ_signers/Naomi_16373.mov","MOV")</f>
        <v>21</v>
      </c>
      <c r="M4684" t="s" s="10">
        <v>86</v>
      </c>
      <c r="N4684" s="17">
        <v>50</v>
      </c>
      <c r="O4684" s="18">
        <v>2221</v>
      </c>
      <c r="P4684" s="18">
        <v>2230</v>
      </c>
      <c r="Q4684" s="15"/>
      <c r="R4684" t="s" s="16">
        <f>HYPERLINK("http://secrets.rutgers.edu:8080/data/asl-ftp/asllvd/demos/verify_start_end_handshape_annotations//test_auto_move//signs_mov_separ_signers/Naomi_16373.mov","MOV")</f>
        <v>21</v>
      </c>
    </row>
    <row r="4685" s="2" customFormat="1" ht="13.5" customHeight="1">
      <c r="B4685" t="s" s="8">
        <v>1600</v>
      </c>
      <c r="C4685" t="s" s="9">
        <v>14</v>
      </c>
      <c r="D4685" t="s" s="8">
        <v>14</v>
      </c>
      <c r="E4685" t="s" s="9">
        <v>14</v>
      </c>
      <c r="F4685" t="s" s="10">
        <v>14</v>
      </c>
      <c r="G4685" t="s" s="11">
        <v>14</v>
      </c>
      <c r="H4685" t="s" s="10">
        <v>14</v>
      </c>
      <c r="I4685" t="s" s="11">
        <v>14</v>
      </c>
      <c r="J4685" t="s" s="11">
        <v>14</v>
      </c>
      <c r="K4685" t="s" s="12">
        <v>14</v>
      </c>
      <c r="L4685" t="s" s="12">
        <v>14</v>
      </c>
      <c r="M4685" t="s" s="10">
        <v>14</v>
      </c>
      <c r="N4685" t="s" s="11">
        <v>14</v>
      </c>
      <c r="O4685" t="s" s="8">
        <v>14</v>
      </c>
      <c r="P4685" t="s" s="8">
        <v>14</v>
      </c>
      <c r="Q4685" t="s" s="12">
        <v>14</v>
      </c>
      <c r="R4685" t="s" s="12">
        <v>14</v>
      </c>
    </row>
    <row r="4686" s="2" customFormat="1" ht="13.5" customHeight="1">
      <c r="B4686" s="13"/>
      <c r="C4686" t="s" s="9">
        <v>16</v>
      </c>
      <c r="D4686" t="s" s="8">
        <v>1600</v>
      </c>
      <c r="E4686" t="s" s="9">
        <v>1600</v>
      </c>
      <c r="F4686" t="s" s="10">
        <v>240</v>
      </c>
      <c r="G4686" t="s" s="11">
        <v>240</v>
      </c>
      <c r="H4686" t="s" s="10">
        <v>240</v>
      </c>
      <c r="I4686" t="s" s="11">
        <v>240</v>
      </c>
      <c r="J4686" t="s" s="11">
        <v>20</v>
      </c>
      <c r="K4686" s="15"/>
      <c r="L4686" t="s" s="16">
        <f>HYPERLINK("http://csr.bu.edu/ftp/asl/asllvd/demos/verify_start_end_handshape_annotations//test_auto_move//signs_mov_separ_signers/Liz_1004.mov","MOV")</f>
        <v>21</v>
      </c>
      <c r="M4686" t="s" s="10">
        <v>34</v>
      </c>
      <c r="N4686" s="17">
        <v>1</v>
      </c>
      <c r="O4686" s="18">
        <v>1660</v>
      </c>
      <c r="P4686" s="18">
        <v>1700</v>
      </c>
      <c r="Q4686" s="15"/>
      <c r="R4686" t="s" s="16">
        <f>HYPERLINK("http://secrets.rutgers.edu:8080/data/asl-ftp/asllvd/demos/verify_start_end_handshape_annotations//test_auto_move//signs_mov_separ_signers/Liz_1004.mov","MOV")</f>
        <v>21</v>
      </c>
    </row>
    <row r="4687" s="2" customFormat="1" ht="13.5" customHeight="1">
      <c r="B4687" s="13"/>
      <c r="C4687" t="s" s="9">
        <v>23</v>
      </c>
      <c r="D4687" t="s" s="8">
        <v>1600</v>
      </c>
      <c r="E4687" t="s" s="9">
        <v>1600</v>
      </c>
      <c r="F4687" t="s" s="10">
        <v>240</v>
      </c>
      <c r="G4687" t="s" s="11">
        <v>240</v>
      </c>
      <c r="H4687" t="s" s="10">
        <v>240</v>
      </c>
      <c r="I4687" t="s" s="11">
        <v>240</v>
      </c>
      <c r="J4687" t="s" s="11">
        <v>20</v>
      </c>
      <c r="K4687" t="s" s="16">
        <f>HYPERLINK("http://csr.bu.edu/ftp/asl/asllvd/demos/verify_start_end_handshape_annotations//test_auto_move//signs_mov/1004.mov","MOV")</f>
        <v>21</v>
      </c>
      <c r="L4687" t="s" s="16">
        <f>HYPERLINK("http://csr.bu.edu/ftp/asl/asllvd/demos/verify_start_end_handshape_annotations//test_auto_move//signs_mov_separ_signers/Tyler_1004.mov","MOV")</f>
        <v>21</v>
      </c>
      <c r="M4687" t="s" s="10">
        <v>92</v>
      </c>
      <c r="N4687" s="17">
        <v>33</v>
      </c>
      <c r="O4687" s="18">
        <v>1100</v>
      </c>
      <c r="P4687" s="18">
        <v>1125</v>
      </c>
      <c r="Q4687" t="s" s="16">
        <f>HYPERLINK("http://secrets.rutgers.edu:8080/data/asl-ftp/asllvd/demos/verify_start_end_handshape_annotations//test_auto_move//signs_mov/1004.mov","MOV")</f>
        <v>21</v>
      </c>
      <c r="R4687" t="s" s="16">
        <f>HYPERLINK("http://secrets.rutgers.edu:8080/data/asl-ftp/asllvd/demos/verify_start_end_handshape_annotations//test_auto_move//signs_mov_separ_signers/Tyler_1004.mov","MOV")</f>
        <v>21</v>
      </c>
    </row>
    <row r="4688" s="2" customFormat="1" ht="13.5" customHeight="1">
      <c r="B4688" s="13"/>
      <c r="C4688" t="s" s="9">
        <v>27</v>
      </c>
      <c r="D4688" t="s" s="8">
        <v>1600</v>
      </c>
      <c r="E4688" t="s" s="9">
        <v>1600</v>
      </c>
      <c r="F4688" t="s" s="10">
        <v>240</v>
      </c>
      <c r="G4688" t="s" s="11">
        <v>240</v>
      </c>
      <c r="H4688" t="s" s="10">
        <v>240</v>
      </c>
      <c r="I4688" t="s" s="11">
        <v>240</v>
      </c>
      <c r="J4688" t="s" s="11">
        <v>20</v>
      </c>
      <c r="K4688" s="15"/>
      <c r="L4688" t="s" s="16">
        <f>HYPERLINK("http://csr.bu.edu/ftp/asl/asllvd/demos/verify_start_end_handshape_annotations//test_auto_move//signs_mov_separ_signers/Naomi_1004.mov","MOV")</f>
        <v>21</v>
      </c>
      <c r="M4688" t="s" s="10">
        <v>38</v>
      </c>
      <c r="N4688" s="17">
        <v>1</v>
      </c>
      <c r="O4688" s="18">
        <v>1875</v>
      </c>
      <c r="P4688" s="18">
        <v>1898</v>
      </c>
      <c r="Q4688" s="15"/>
      <c r="R4688" t="s" s="16">
        <f>HYPERLINK("http://secrets.rutgers.edu:8080/data/asl-ftp/asllvd/demos/verify_start_end_handshape_annotations//test_auto_move//signs_mov_separ_signers/Naomi_1004.mov","MOV")</f>
        <v>21</v>
      </c>
    </row>
    <row r="4689" s="2" customFormat="1" ht="13.5" customHeight="1">
      <c r="B4689" s="13"/>
      <c r="C4689" t="s" s="9">
        <v>30</v>
      </c>
      <c r="D4689" t="s" s="8">
        <v>1600</v>
      </c>
      <c r="E4689" t="s" s="9">
        <v>1600</v>
      </c>
      <c r="F4689" t="s" s="10">
        <v>240</v>
      </c>
      <c r="G4689" t="s" s="11">
        <v>240</v>
      </c>
      <c r="H4689" t="s" s="10">
        <v>240</v>
      </c>
      <c r="I4689" t="s" s="11">
        <v>240</v>
      </c>
      <c r="J4689" t="s" s="11">
        <v>20</v>
      </c>
      <c r="K4689" s="15"/>
      <c r="L4689" t="s" s="16">
        <f>HYPERLINK("http://csr.bu.edu/ftp/asl/asllvd/demos/verify_start_end_handshape_annotations//test_auto_move//signs_mov_separ_signers/Brady_1004.mov","MOV")</f>
        <v>21</v>
      </c>
      <c r="M4689" t="s" s="10">
        <v>39</v>
      </c>
      <c r="N4689" s="17">
        <v>24</v>
      </c>
      <c r="O4689" s="18">
        <v>1390</v>
      </c>
      <c r="P4689" s="18">
        <v>1408</v>
      </c>
      <c r="Q4689" s="15"/>
      <c r="R4689" t="s" s="16">
        <f>HYPERLINK("http://secrets.rutgers.edu:8080/data/asl-ftp/asllvd/demos/verify_start_end_handshape_annotations//test_auto_move//signs_mov_separ_signers/Brady_1004.mov","MOV")</f>
        <v>21</v>
      </c>
    </row>
    <row r="4690" s="2" customFormat="1" ht="13.5" customHeight="1">
      <c r="B4690" t="s" s="8">
        <v>1601</v>
      </c>
      <c r="C4690" t="s" s="9">
        <v>14</v>
      </c>
      <c r="D4690" t="s" s="8">
        <v>14</v>
      </c>
      <c r="E4690" t="s" s="9">
        <v>14</v>
      </c>
      <c r="F4690" t="s" s="10">
        <v>14</v>
      </c>
      <c r="G4690" t="s" s="11">
        <v>14</v>
      </c>
      <c r="H4690" t="s" s="10">
        <v>14</v>
      </c>
      <c r="I4690" t="s" s="11">
        <v>14</v>
      </c>
      <c r="J4690" t="s" s="11">
        <v>14</v>
      </c>
      <c r="K4690" t="s" s="12">
        <v>14</v>
      </c>
      <c r="L4690" t="s" s="12">
        <v>14</v>
      </c>
      <c r="M4690" t="s" s="10">
        <v>14</v>
      </c>
      <c r="N4690" t="s" s="11">
        <v>14</v>
      </c>
      <c r="O4690" t="s" s="8">
        <v>14</v>
      </c>
      <c r="P4690" t="s" s="8">
        <v>14</v>
      </c>
      <c r="Q4690" t="s" s="12">
        <v>14</v>
      </c>
      <c r="R4690" t="s" s="12">
        <v>14</v>
      </c>
    </row>
    <row r="4691" s="2" customFormat="1" ht="13.5" customHeight="1">
      <c r="B4691" s="13"/>
      <c r="C4691" t="s" s="9">
        <v>16</v>
      </c>
      <c r="D4691" t="s" s="8">
        <v>1601</v>
      </c>
      <c r="E4691" t="s" s="9">
        <v>1602</v>
      </c>
      <c r="F4691" t="s" s="10">
        <v>341</v>
      </c>
      <c r="G4691" s="14"/>
      <c r="H4691" s="19">
        <v>10</v>
      </c>
      <c r="I4691" s="14"/>
      <c r="J4691" t="s" s="11">
        <v>20</v>
      </c>
      <c r="K4691" s="15"/>
      <c r="L4691" t="s" s="16">
        <f>HYPERLINK("http://csr.bu.edu/ftp/asl/asllvd/demos/verify_start_end_handshape_annotations//test_auto_move//signs_mov_separ_signers/Liz_15424.mov","MOV")</f>
        <v>21</v>
      </c>
      <c r="M4691" t="s" s="10">
        <v>34</v>
      </c>
      <c r="N4691" s="17">
        <v>1</v>
      </c>
      <c r="O4691" s="18">
        <v>2506</v>
      </c>
      <c r="P4691" s="18">
        <v>2540</v>
      </c>
      <c r="Q4691" s="15"/>
      <c r="R4691" t="s" s="16">
        <f>HYPERLINK("http://secrets.rutgers.edu:8080/data/asl-ftp/asllvd/demos/verify_start_end_handshape_annotations//test_auto_move//signs_mov_separ_signers/Liz_15424.mov","MOV")</f>
        <v>21</v>
      </c>
    </row>
    <row r="4692" s="2" customFormat="1" ht="13.5" customHeight="1">
      <c r="B4692" s="13"/>
      <c r="C4692" t="s" s="9">
        <v>16</v>
      </c>
      <c r="D4692" t="s" s="8">
        <v>1601</v>
      </c>
      <c r="E4692" t="s" s="9">
        <v>1603</v>
      </c>
      <c r="F4692" t="s" s="10">
        <v>341</v>
      </c>
      <c r="G4692" s="14"/>
      <c r="H4692" s="19">
        <v>10</v>
      </c>
      <c r="I4692" s="14"/>
      <c r="J4692" t="s" s="11">
        <v>20</v>
      </c>
      <c r="K4692" s="15"/>
      <c r="L4692" t="s" s="16">
        <f>HYPERLINK("http://csr.bu.edu/ftp/asl/asllvd/demos/verify_start_end_handshape_annotations//test_auto_move//signs_mov_separ_signers/Liz_15442.mov","MOV")</f>
        <v>21</v>
      </c>
      <c r="M4692" t="s" s="10">
        <v>77</v>
      </c>
      <c r="N4692" s="17">
        <v>30</v>
      </c>
      <c r="O4692" s="18">
        <v>770</v>
      </c>
      <c r="P4692" s="18">
        <v>825</v>
      </c>
      <c r="Q4692" s="15"/>
      <c r="R4692" t="s" s="16">
        <f>HYPERLINK("http://secrets.rutgers.edu:8080/data/asl-ftp/asllvd/demos/verify_start_end_handshape_annotations//test_auto_move//signs_mov_separ_signers/Liz_15442.mov","MOV")</f>
        <v>21</v>
      </c>
    </row>
    <row r="4693" s="2" customFormat="1" ht="13.5" customHeight="1">
      <c r="B4693" s="13"/>
      <c r="C4693" t="s" s="9">
        <v>23</v>
      </c>
      <c r="D4693" t="s" s="8">
        <v>1601</v>
      </c>
      <c r="E4693" t="s" s="9">
        <v>1603</v>
      </c>
      <c r="F4693" t="s" s="10">
        <v>341</v>
      </c>
      <c r="G4693" s="14"/>
      <c r="H4693" s="19">
        <v>10</v>
      </c>
      <c r="I4693" s="14"/>
      <c r="J4693" t="s" s="11">
        <v>20</v>
      </c>
      <c r="K4693" s="15"/>
      <c r="L4693" t="s" s="16">
        <f>HYPERLINK("http://csr.bu.edu/ftp/asl/asllvd/demos/verify_start_end_handshape_annotations//test_auto_move//signs_mov_separ_signers/Tyler_15424.mov","MOV")</f>
        <v>21</v>
      </c>
      <c r="M4693" t="s" s="10">
        <v>92</v>
      </c>
      <c r="N4693" s="17">
        <v>33</v>
      </c>
      <c r="O4693" s="18">
        <v>1737</v>
      </c>
      <c r="P4693" s="18">
        <v>1780</v>
      </c>
      <c r="Q4693" s="15"/>
      <c r="R4693" t="s" s="16">
        <f>HYPERLINK("http://secrets.rutgers.edu:8080/data/asl-ftp/asllvd/demos/verify_start_end_handshape_annotations//test_auto_move//signs_mov_separ_signers/Tyler_15424.mov","MOV")</f>
        <v>21</v>
      </c>
    </row>
    <row r="4694" s="2" customFormat="1" ht="13.5" customHeight="1">
      <c r="B4694" s="13"/>
      <c r="C4694" t="s" s="9">
        <v>27</v>
      </c>
      <c r="D4694" t="s" s="8">
        <v>1601</v>
      </c>
      <c r="E4694" t="s" s="9">
        <v>1602</v>
      </c>
      <c r="F4694" t="s" s="10">
        <v>341</v>
      </c>
      <c r="G4694" s="14"/>
      <c r="H4694" s="19">
        <v>10</v>
      </c>
      <c r="I4694" s="14"/>
      <c r="J4694" t="s" s="11">
        <v>20</v>
      </c>
      <c r="K4694" t="s" s="16">
        <f>HYPERLINK("http://csr.bu.edu/ftp/asl/asllvd/demos/verify_start_end_handshape_annotations//test_auto_move//signs_mov/15424_15442_merged.mov","MOV")</f>
        <v>21</v>
      </c>
      <c r="L4694" t="s" s="16">
        <f>HYPERLINK("http://csr.bu.edu/ftp/asl/asllvd/demos/verify_start_end_handshape_annotations//test_auto_move//signs_mov_separ_signers/Naomi_15424.mov","MOV")</f>
        <v>21</v>
      </c>
      <c r="M4694" t="s" s="10">
        <v>38</v>
      </c>
      <c r="N4694" s="17">
        <v>1</v>
      </c>
      <c r="O4694" s="18">
        <v>2787</v>
      </c>
      <c r="P4694" s="18">
        <v>2817</v>
      </c>
      <c r="Q4694" t="s" s="16">
        <f>HYPERLINK("http://secrets.rutgers.edu:8080/data/asl-ftp/asllvd/demos/verify_start_end_handshape_annotations//test_auto_move//signs_mov/15424_15442_merged.mov","MOV")</f>
        <v>21</v>
      </c>
      <c r="R4694" t="s" s="16">
        <f>HYPERLINK("http://secrets.rutgers.edu:8080/data/asl-ftp/asllvd/demos/verify_start_end_handshape_annotations//test_auto_move//signs_mov_separ_signers/Naomi_15424.mov","MOV")</f>
        <v>21</v>
      </c>
    </row>
    <row r="4695" s="2" customFormat="1" ht="13.5" customHeight="1">
      <c r="B4695" s="13"/>
      <c r="C4695" t="s" s="9">
        <v>30</v>
      </c>
      <c r="D4695" t="s" s="8">
        <v>1601</v>
      </c>
      <c r="E4695" t="s" s="9">
        <v>1602</v>
      </c>
      <c r="F4695" t="s" s="10">
        <v>341</v>
      </c>
      <c r="G4695" s="14"/>
      <c r="H4695" s="19">
        <v>10</v>
      </c>
      <c r="I4695" s="14"/>
      <c r="J4695" t="s" s="11">
        <v>20</v>
      </c>
      <c r="K4695" s="15"/>
      <c r="L4695" t="s" s="16">
        <f>HYPERLINK("http://csr.bu.edu/ftp/asl/asllvd/demos/verify_start_end_handshape_annotations//test_auto_move//signs_mov_separ_signers/Brady_15424.mov","MOV")</f>
        <v>21</v>
      </c>
      <c r="M4695" t="s" s="10">
        <v>39</v>
      </c>
      <c r="N4695" s="17">
        <v>24</v>
      </c>
      <c r="O4695" s="18">
        <v>2830</v>
      </c>
      <c r="P4695" s="18">
        <v>2858</v>
      </c>
      <c r="Q4695" s="15"/>
      <c r="R4695" t="s" s="16">
        <f>HYPERLINK("http://secrets.rutgers.edu:8080/data/asl-ftp/asllvd/demos/verify_start_end_handshape_annotations//test_auto_move//signs_mov_separ_signers/Brady_15424.mov","MOV")</f>
        <v>21</v>
      </c>
    </row>
    <row r="4696" s="2" customFormat="1" ht="13.5" customHeight="1">
      <c r="B4696" s="13"/>
      <c r="C4696" t="s" s="9">
        <v>30</v>
      </c>
      <c r="D4696" t="s" s="8">
        <v>1601</v>
      </c>
      <c r="E4696" t="s" s="9">
        <v>1602</v>
      </c>
      <c r="F4696" t="s" s="10">
        <v>341</v>
      </c>
      <c r="G4696" s="14"/>
      <c r="H4696" t="s" s="10">
        <v>341</v>
      </c>
      <c r="I4696" s="14"/>
      <c r="J4696" t="s" s="11">
        <v>20</v>
      </c>
      <c r="K4696" s="15"/>
      <c r="L4696" t="s" s="16">
        <f>HYPERLINK("http://csr.bu.edu/ftp/asl/asllvd/demos/verify_start_end_handshape_annotations//test_auto_move//signs_mov_separ_signers/Brady_15442.mov","MOV")</f>
        <v>21</v>
      </c>
      <c r="M4696" t="s" s="10">
        <v>39</v>
      </c>
      <c r="N4696" s="17">
        <v>37</v>
      </c>
      <c r="O4696" s="18">
        <v>8021</v>
      </c>
      <c r="P4696" s="18">
        <v>8043</v>
      </c>
      <c r="Q4696" s="15"/>
      <c r="R4696" t="s" s="16">
        <f>HYPERLINK("http://secrets.rutgers.edu:8080/data/asl-ftp/asllvd/demos/verify_start_end_handshape_annotations//test_auto_move//signs_mov_separ_signers/Brady_15442.mov","MOV")</f>
        <v>21</v>
      </c>
    </row>
    <row r="4697" s="2" customFormat="1" ht="13.5" customHeight="1">
      <c r="B4697" s="13"/>
      <c r="C4697" t="s" s="9">
        <v>41</v>
      </c>
      <c r="D4697" t="s" s="8">
        <v>1601</v>
      </c>
      <c r="E4697" t="s" s="9">
        <v>1601</v>
      </c>
      <c r="F4697" t="s" s="10">
        <v>341</v>
      </c>
      <c r="G4697" s="14"/>
      <c r="H4697" t="s" s="10">
        <v>341</v>
      </c>
      <c r="I4697" s="14"/>
      <c r="J4697" t="s" s="11">
        <v>20</v>
      </c>
      <c r="K4697" s="15"/>
      <c r="L4697" t="s" s="16">
        <f>HYPERLINK("http://csr.bu.edu/ftp/asl/asllvd/demos/verify_start_end_handshape_annotations//test_auto_move//signs_mov_separ_signers/Lana_15424.mov","MOV")</f>
        <v>21</v>
      </c>
      <c r="M4697" t="s" s="10">
        <v>442</v>
      </c>
      <c r="N4697" s="17">
        <v>61</v>
      </c>
      <c r="O4697" s="18">
        <v>1322</v>
      </c>
      <c r="P4697" s="18">
        <v>1353</v>
      </c>
      <c r="Q4697" s="15"/>
      <c r="R4697" t="s" s="16">
        <f>HYPERLINK("http://secrets.rutgers.edu:8080/data/asl-ftp/asllvd/demos/verify_start_end_handshape_annotations//test_auto_move//signs_mov_separ_signers/Lana_15424.mov","MOV")</f>
        <v>21</v>
      </c>
    </row>
    <row r="4698" s="2" customFormat="1" ht="13.5" customHeight="1">
      <c r="B4698" t="s" s="8">
        <v>1604</v>
      </c>
      <c r="C4698" t="s" s="9">
        <v>14</v>
      </c>
      <c r="D4698" t="s" s="8">
        <v>14</v>
      </c>
      <c r="E4698" t="s" s="9">
        <v>14</v>
      </c>
      <c r="F4698" t="s" s="10">
        <v>14</v>
      </c>
      <c r="G4698" t="s" s="11">
        <v>14</v>
      </c>
      <c r="H4698" t="s" s="10">
        <v>14</v>
      </c>
      <c r="I4698" t="s" s="11">
        <v>14</v>
      </c>
      <c r="J4698" t="s" s="11">
        <v>14</v>
      </c>
      <c r="K4698" t="s" s="12">
        <v>14</v>
      </c>
      <c r="L4698" t="s" s="12">
        <v>14</v>
      </c>
      <c r="M4698" t="s" s="10">
        <v>14</v>
      </c>
      <c r="N4698" t="s" s="11">
        <v>14</v>
      </c>
      <c r="O4698" t="s" s="8">
        <v>14</v>
      </c>
      <c r="P4698" t="s" s="8">
        <v>14</v>
      </c>
      <c r="Q4698" t="s" s="12">
        <v>14</v>
      </c>
      <c r="R4698" t="s" s="12">
        <v>14</v>
      </c>
    </row>
    <row r="4699" s="2" customFormat="1" ht="13.5" customHeight="1">
      <c r="B4699" s="13"/>
      <c r="C4699" t="s" s="9">
        <v>16</v>
      </c>
      <c r="D4699" t="s" s="8">
        <v>1604</v>
      </c>
      <c r="E4699" t="s" s="9">
        <v>1605</v>
      </c>
      <c r="F4699" t="s" s="10">
        <v>282</v>
      </c>
      <c r="G4699" t="s" s="11">
        <v>73</v>
      </c>
      <c r="H4699" t="s" s="10">
        <v>282</v>
      </c>
      <c r="I4699" t="s" s="11">
        <v>73</v>
      </c>
      <c r="J4699" t="s" s="11">
        <v>20</v>
      </c>
      <c r="K4699" t="s" s="16">
        <f>HYPERLINK("http://csr.bu.edu/ftp/asl/asllvd/demos/verify_start_end_handshape_annotations//test_auto_move//signs_mov/1005_3891_merged.mov","MOV")</f>
        <v>21</v>
      </c>
      <c r="L4699" t="s" s="16">
        <f>HYPERLINK("http://csr.bu.edu/ftp/asl/asllvd/demos/verify_start_end_handshape_annotations//test_auto_move//signs_mov_separ_signers/Liz_1005.mov","MOV")</f>
        <v>21</v>
      </c>
      <c r="M4699" t="s" s="10">
        <v>34</v>
      </c>
      <c r="N4699" s="17">
        <v>1</v>
      </c>
      <c r="O4699" s="18">
        <v>1956</v>
      </c>
      <c r="P4699" s="18">
        <v>2005</v>
      </c>
      <c r="Q4699" t="s" s="16">
        <f>HYPERLINK("http://secrets.rutgers.edu:8080/data/asl-ftp/asllvd/demos/verify_start_end_handshape_annotations//test_auto_move//signs_mov/1005_3891_merged.mov","MOV")</f>
        <v>21</v>
      </c>
      <c r="R4699" t="s" s="16">
        <f>HYPERLINK("http://secrets.rutgers.edu:8080/data/asl-ftp/asllvd/demos/verify_start_end_handshape_annotations//test_auto_move//signs_mov_separ_signers/Liz_1005.mov","MOV")</f>
        <v>21</v>
      </c>
    </row>
    <row r="4700" s="2" customFormat="1" ht="13.5" customHeight="1">
      <c r="B4700" s="13"/>
      <c r="C4700" t="s" s="9">
        <v>16</v>
      </c>
      <c r="D4700" t="s" s="8">
        <v>1604</v>
      </c>
      <c r="E4700" t="s" s="9">
        <v>1605</v>
      </c>
      <c r="F4700" t="s" s="10">
        <v>282</v>
      </c>
      <c r="G4700" t="s" s="11">
        <v>55</v>
      </c>
      <c r="H4700" t="s" s="10">
        <v>282</v>
      </c>
      <c r="I4700" t="s" s="11">
        <v>55</v>
      </c>
      <c r="J4700" t="s" s="11">
        <v>20</v>
      </c>
      <c r="K4700" s="15"/>
      <c r="L4700" t="s" s="16">
        <f>HYPERLINK("http://csr.bu.edu/ftp/asl/asllvd/demos/verify_start_end_handshape_annotations//test_auto_move//signs_mov_separ_signers/Liz_3891.mov","MOV")</f>
        <v>21</v>
      </c>
      <c r="M4700" t="s" s="10">
        <v>77</v>
      </c>
      <c r="N4700" s="17">
        <v>18</v>
      </c>
      <c r="O4700" s="18">
        <v>2906</v>
      </c>
      <c r="P4700" s="18">
        <v>2957</v>
      </c>
      <c r="Q4700" s="15"/>
      <c r="R4700" t="s" s="16">
        <f>HYPERLINK("http://secrets.rutgers.edu:8080/data/asl-ftp/asllvd/demos/verify_start_end_handshape_annotations//test_auto_move//signs_mov_separ_signers/Liz_3891.mov","MOV")</f>
        <v>21</v>
      </c>
    </row>
    <row r="4701" s="2" customFormat="1" ht="13.5" customHeight="1">
      <c r="B4701" t="s" s="8">
        <v>52</v>
      </c>
      <c r="C4701" t="s" s="9">
        <v>53</v>
      </c>
      <c r="D4701" t="s" s="8">
        <v>53</v>
      </c>
      <c r="E4701" t="s" s="9">
        <v>53</v>
      </c>
      <c r="F4701" t="s" s="10">
        <v>53</v>
      </c>
      <c r="G4701" t="s" s="11">
        <v>53</v>
      </c>
      <c r="H4701" t="s" s="10">
        <v>53</v>
      </c>
      <c r="I4701" t="s" s="11">
        <v>53</v>
      </c>
      <c r="J4701" t="s" s="11">
        <v>53</v>
      </c>
      <c r="K4701" t="s" s="12">
        <v>53</v>
      </c>
      <c r="L4701" t="s" s="12">
        <v>53</v>
      </c>
      <c r="M4701" t="s" s="10">
        <v>53</v>
      </c>
      <c r="N4701" t="s" s="11">
        <v>53</v>
      </c>
      <c r="O4701" t="s" s="8">
        <v>53</v>
      </c>
      <c r="P4701" t="s" s="8">
        <v>53</v>
      </c>
      <c r="Q4701" t="s" s="12">
        <v>53</v>
      </c>
      <c r="R4701" t="s" s="12">
        <v>53</v>
      </c>
    </row>
    <row r="4702" s="2" customFormat="1" ht="13.5" customHeight="1">
      <c r="B4702" s="13"/>
      <c r="C4702" t="s" s="9">
        <v>23</v>
      </c>
      <c r="D4702" t="s" s="8">
        <v>1604</v>
      </c>
      <c r="E4702" t="s" s="9">
        <v>1606</v>
      </c>
      <c r="F4702" t="s" s="10">
        <v>282</v>
      </c>
      <c r="G4702" s="17">
        <v>1</v>
      </c>
      <c r="H4702" t="s" s="10">
        <v>282</v>
      </c>
      <c r="I4702" s="17">
        <v>1</v>
      </c>
      <c r="J4702" t="s" s="11">
        <v>20</v>
      </c>
      <c r="K4702" s="15"/>
      <c r="L4702" t="s" s="16">
        <f>HYPERLINK("http://csr.bu.edu/ftp/asl/asllvd/demos/verify_start_end_handshape_annotations//test_auto_move//signs_mov_separ_signers/Tyler_5325.mov","MOV")</f>
        <v>21</v>
      </c>
      <c r="M4702" t="s" s="10">
        <v>92</v>
      </c>
      <c r="N4702" s="17">
        <v>33</v>
      </c>
      <c r="O4702" s="18">
        <v>1315</v>
      </c>
      <c r="P4702" s="18">
        <v>1360</v>
      </c>
      <c r="Q4702" s="15"/>
      <c r="R4702" t="s" s="16">
        <f>HYPERLINK("http://secrets.rutgers.edu:8080/data/asl-ftp/asllvd/demos/verify_start_end_handshape_annotations//test_auto_move//signs_mov_separ_signers/Tyler_5325.mov","MOV")</f>
        <v>21</v>
      </c>
    </row>
    <row r="4703" s="2" customFormat="1" ht="13.5" customHeight="1">
      <c r="B4703" s="13"/>
      <c r="C4703" t="s" s="9">
        <v>30</v>
      </c>
      <c r="D4703" t="s" s="8">
        <v>1604</v>
      </c>
      <c r="E4703" t="s" s="9">
        <v>1607</v>
      </c>
      <c r="F4703" t="s" s="10">
        <v>282</v>
      </c>
      <c r="G4703" s="17">
        <v>1</v>
      </c>
      <c r="H4703" t="s" s="10">
        <v>282</v>
      </c>
      <c r="I4703" s="17">
        <v>1</v>
      </c>
      <c r="J4703" t="s" s="11">
        <v>20</v>
      </c>
      <c r="K4703" t="s" s="16">
        <f>HYPERLINK("http://csr.bu.edu/ftp/asl/asllvd/demos/verify_start_end_handshape_annotations//test_auto_move//signs_mov/5325_15222_merged.mov","MOV")</f>
        <v>21</v>
      </c>
      <c r="L4703" t="s" s="16">
        <f>HYPERLINK("http://csr.bu.edu/ftp/asl/asllvd/demos/verify_start_end_handshape_annotations//test_auto_move//signs_mov_separ_signers/Brady_5325.mov","MOV")</f>
        <v>21</v>
      </c>
      <c r="M4703" t="s" s="10">
        <v>39</v>
      </c>
      <c r="N4703" s="17">
        <v>24</v>
      </c>
      <c r="O4703" s="18">
        <v>350</v>
      </c>
      <c r="P4703" s="18">
        <v>371</v>
      </c>
      <c r="Q4703" t="s" s="16">
        <f>HYPERLINK("http://secrets.rutgers.edu:8080/data/asl-ftp/asllvd/demos/verify_start_end_handshape_annotations//test_auto_move//signs_mov/5325_15222_merged.mov","MOV")</f>
        <v>21</v>
      </c>
      <c r="R4703" t="s" s="16">
        <f>HYPERLINK("http://secrets.rutgers.edu:8080/data/asl-ftp/asllvd/demos/verify_start_end_handshape_annotations//test_auto_move//signs_mov_separ_signers/Brady_5325.mov","MOV")</f>
        <v>21</v>
      </c>
    </row>
    <row r="4704" s="2" customFormat="1" ht="13.5" customHeight="1">
      <c r="B4704" s="13"/>
      <c r="C4704" t="s" s="9">
        <v>30</v>
      </c>
      <c r="D4704" t="s" s="8">
        <v>1604</v>
      </c>
      <c r="E4704" t="s" s="9">
        <v>1607</v>
      </c>
      <c r="F4704" t="s" s="10">
        <v>282</v>
      </c>
      <c r="G4704" s="17">
        <v>1</v>
      </c>
      <c r="H4704" t="s" s="10">
        <v>282</v>
      </c>
      <c r="I4704" s="17">
        <v>1</v>
      </c>
      <c r="J4704" t="s" s="11">
        <v>20</v>
      </c>
      <c r="K4704" s="15"/>
      <c r="L4704" t="s" s="16">
        <f>HYPERLINK("http://csr.bu.edu/ftp/asl/asllvd/demos/verify_start_end_handshape_annotations//test_auto_move//signs_mov_separ_signers/Brady_15222.mov","MOV")</f>
        <v>21</v>
      </c>
      <c r="M4704" t="s" s="10">
        <v>39</v>
      </c>
      <c r="N4704" s="17">
        <v>24</v>
      </c>
      <c r="O4704" s="18">
        <v>2006</v>
      </c>
      <c r="P4704" s="18">
        <v>2030</v>
      </c>
      <c r="Q4704" s="15"/>
      <c r="R4704" t="s" s="16">
        <f>HYPERLINK("http://secrets.rutgers.edu:8080/data/asl-ftp/asllvd/demos/verify_start_end_handshape_annotations//test_auto_move//signs_mov_separ_signers/Brady_15222.mov","MOV")</f>
        <v>21</v>
      </c>
    </row>
    <row r="4705" s="2" customFormat="1" ht="13.5" customHeight="1">
      <c r="B4705" t="s" s="8">
        <v>52</v>
      </c>
      <c r="C4705" t="s" s="9">
        <v>53</v>
      </c>
      <c r="D4705" t="s" s="8">
        <v>53</v>
      </c>
      <c r="E4705" t="s" s="9">
        <v>53</v>
      </c>
      <c r="F4705" t="s" s="10">
        <v>53</v>
      </c>
      <c r="G4705" t="s" s="11">
        <v>53</v>
      </c>
      <c r="H4705" t="s" s="10">
        <v>53</v>
      </c>
      <c r="I4705" t="s" s="11">
        <v>53</v>
      </c>
      <c r="J4705" t="s" s="11">
        <v>53</v>
      </c>
      <c r="K4705" t="s" s="12">
        <v>53</v>
      </c>
      <c r="L4705" t="s" s="12">
        <v>53</v>
      </c>
      <c r="M4705" t="s" s="10">
        <v>53</v>
      </c>
      <c r="N4705" t="s" s="11">
        <v>53</v>
      </c>
      <c r="O4705" t="s" s="8">
        <v>53</v>
      </c>
      <c r="P4705" t="s" s="8">
        <v>53</v>
      </c>
      <c r="Q4705" t="s" s="12">
        <v>53</v>
      </c>
      <c r="R4705" t="s" s="12">
        <v>53</v>
      </c>
    </row>
    <row r="4706" s="2" customFormat="1" ht="13.5" customHeight="1">
      <c r="B4706" s="13"/>
      <c r="C4706" t="s" s="9">
        <v>27</v>
      </c>
      <c r="D4706" t="s" s="8">
        <v>1604</v>
      </c>
      <c r="E4706" t="s" s="9">
        <v>1608</v>
      </c>
      <c r="F4706" t="s" s="10">
        <v>282</v>
      </c>
      <c r="G4706" t="s" s="11">
        <v>68</v>
      </c>
      <c r="H4706" t="s" s="10">
        <v>282</v>
      </c>
      <c r="I4706" t="s" s="11">
        <v>68</v>
      </c>
      <c r="J4706" t="s" s="11">
        <v>20</v>
      </c>
      <c r="K4706" t="s" s="16">
        <f>HYPERLINK("http://csr.bu.edu/ftp/asl/asllvd/demos/verify_start_end_handshape_annotations//test_auto_move//signs_mov/16205.mov","MOV")</f>
        <v>21</v>
      </c>
      <c r="L4706" t="s" s="16">
        <f>HYPERLINK("http://csr.bu.edu/ftp/asl/asllvd/demos/verify_start_end_handshape_annotations//test_auto_move//signs_mov_separ_signers/Naomi_16205.mov","MOV")</f>
        <v>21</v>
      </c>
      <c r="M4706" t="s" s="10">
        <v>38</v>
      </c>
      <c r="N4706" s="17">
        <v>1</v>
      </c>
      <c r="O4706" s="18">
        <v>2155</v>
      </c>
      <c r="P4706" s="18">
        <v>2192</v>
      </c>
      <c r="Q4706" t="s" s="16">
        <f>HYPERLINK("http://secrets.rutgers.edu:8080/data/asl-ftp/asllvd/demos/verify_start_end_handshape_annotations//test_auto_move//signs_mov/16205.mov","MOV")</f>
        <v>21</v>
      </c>
      <c r="R4706" t="s" s="16">
        <f>HYPERLINK("http://secrets.rutgers.edu:8080/data/asl-ftp/asllvd/demos/verify_start_end_handshape_annotations//test_auto_move//signs_mov_separ_signers/Naomi_16205.mov","MOV")</f>
        <v>21</v>
      </c>
    </row>
    <row r="4707" s="2" customFormat="1" ht="13.5" customHeight="1">
      <c r="B4707" t="s" s="8">
        <v>1609</v>
      </c>
      <c r="C4707" t="s" s="9">
        <v>14</v>
      </c>
      <c r="D4707" t="s" s="8">
        <v>14</v>
      </c>
      <c r="E4707" t="s" s="9">
        <v>14</v>
      </c>
      <c r="F4707" t="s" s="10">
        <v>14</v>
      </c>
      <c r="G4707" t="s" s="11">
        <v>14</v>
      </c>
      <c r="H4707" t="s" s="10">
        <v>14</v>
      </c>
      <c r="I4707" t="s" s="11">
        <v>14</v>
      </c>
      <c r="J4707" t="s" s="11">
        <v>14</v>
      </c>
      <c r="K4707" t="s" s="12">
        <v>14</v>
      </c>
      <c r="L4707" t="s" s="12">
        <v>14</v>
      </c>
      <c r="M4707" t="s" s="10">
        <v>14</v>
      </c>
      <c r="N4707" t="s" s="11">
        <v>14</v>
      </c>
      <c r="O4707" t="s" s="8">
        <v>14</v>
      </c>
      <c r="P4707" t="s" s="8">
        <v>14</v>
      </c>
      <c r="Q4707" t="s" s="12">
        <v>14</v>
      </c>
      <c r="R4707" t="s" s="12">
        <v>14</v>
      </c>
    </row>
    <row r="4708" s="2" customFormat="1" ht="13.5" customHeight="1">
      <c r="B4708" s="13"/>
      <c r="C4708" t="s" s="9">
        <v>16</v>
      </c>
      <c r="D4708" t="s" s="8">
        <v>1609</v>
      </c>
      <c r="E4708" t="s" s="9">
        <v>1610</v>
      </c>
      <c r="F4708" t="s" s="10">
        <v>229</v>
      </c>
      <c r="G4708" t="s" s="11">
        <v>229</v>
      </c>
      <c r="H4708" t="s" s="10">
        <v>229</v>
      </c>
      <c r="I4708" t="s" s="11">
        <v>229</v>
      </c>
      <c r="J4708" t="s" s="11">
        <v>20</v>
      </c>
      <c r="K4708" s="15"/>
      <c r="L4708" t="s" s="16">
        <f>HYPERLINK("http://csr.bu.edu/ftp/asl/asllvd/demos/verify_start_end_handshape_annotations//test_auto_move//signs_mov_separ_signers/Liz_1006.mov","MOV")</f>
        <v>21</v>
      </c>
      <c r="M4708" t="s" s="10">
        <v>34</v>
      </c>
      <c r="N4708" s="17">
        <v>1</v>
      </c>
      <c r="O4708" s="18">
        <v>2221</v>
      </c>
      <c r="P4708" s="18">
        <v>2275</v>
      </c>
      <c r="Q4708" s="15"/>
      <c r="R4708" t="s" s="16">
        <f>HYPERLINK("http://secrets.rutgers.edu:8080/data/asl-ftp/asllvd/demos/verify_start_end_handshape_annotations//test_auto_move//signs_mov_separ_signers/Liz_1006.mov","MOV")</f>
        <v>21</v>
      </c>
    </row>
    <row r="4709" s="2" customFormat="1" ht="13.5" customHeight="1">
      <c r="B4709" s="13"/>
      <c r="C4709" t="s" s="9">
        <v>23</v>
      </c>
      <c r="D4709" t="s" s="8">
        <v>1609</v>
      </c>
      <c r="E4709" t="s" s="9">
        <v>1610</v>
      </c>
      <c r="F4709" t="s" s="10">
        <v>229</v>
      </c>
      <c r="G4709" t="s" s="11">
        <v>229</v>
      </c>
      <c r="H4709" t="s" s="10">
        <v>229</v>
      </c>
      <c r="I4709" t="s" s="11">
        <v>229</v>
      </c>
      <c r="J4709" t="s" s="11">
        <v>20</v>
      </c>
      <c r="K4709" t="s" s="16">
        <f>HYPERLINK("http://csr.bu.edu/ftp/asl/asllvd/demos/verify_start_end_handshape_annotations//test_auto_move//signs_mov/1006.mov","MOV")</f>
        <v>21</v>
      </c>
      <c r="L4709" t="s" s="16">
        <f>HYPERLINK("http://csr.bu.edu/ftp/asl/asllvd/demos/verify_start_end_handshape_annotations//test_auto_move//signs_mov_separ_signers/Tyler_1006.mov","MOV")</f>
        <v>21</v>
      </c>
      <c r="M4709" t="s" s="10">
        <v>92</v>
      </c>
      <c r="N4709" s="17">
        <v>33</v>
      </c>
      <c r="O4709" s="18">
        <v>1501</v>
      </c>
      <c r="P4709" s="18">
        <v>1545</v>
      </c>
      <c r="Q4709" t="s" s="16">
        <f>HYPERLINK("http://secrets.rutgers.edu:8080/data/asl-ftp/asllvd/demos/verify_start_end_handshape_annotations//test_auto_move//signs_mov/1006.mov","MOV")</f>
        <v>21</v>
      </c>
      <c r="R4709" t="s" s="16">
        <f>HYPERLINK("http://secrets.rutgers.edu:8080/data/asl-ftp/asllvd/demos/verify_start_end_handshape_annotations//test_auto_move//signs_mov_separ_signers/Tyler_1006.mov","MOV")</f>
        <v>21</v>
      </c>
    </row>
    <row r="4710" s="2" customFormat="1" ht="13.5" customHeight="1">
      <c r="B4710" s="13"/>
      <c r="C4710" t="s" s="9">
        <v>30</v>
      </c>
      <c r="D4710" t="s" s="8">
        <v>1609</v>
      </c>
      <c r="E4710" t="s" s="9">
        <v>1610</v>
      </c>
      <c r="F4710" t="s" s="10">
        <v>229</v>
      </c>
      <c r="G4710" t="s" s="11">
        <v>229</v>
      </c>
      <c r="H4710" t="s" s="10">
        <v>229</v>
      </c>
      <c r="I4710" t="s" s="11">
        <v>229</v>
      </c>
      <c r="J4710" t="s" s="11">
        <v>20</v>
      </c>
      <c r="K4710" s="15"/>
      <c r="L4710" t="s" s="16">
        <f>HYPERLINK("http://csr.bu.edu/ftp/asl/asllvd/demos/verify_start_end_handshape_annotations//test_auto_move//signs_mov_separ_signers/Brady_1006.mov","MOV")</f>
        <v>21</v>
      </c>
      <c r="M4710" t="s" s="10">
        <v>39</v>
      </c>
      <c r="N4710" s="17">
        <v>24</v>
      </c>
      <c r="O4710" s="18">
        <v>2538</v>
      </c>
      <c r="P4710" s="18">
        <v>2564</v>
      </c>
      <c r="Q4710" s="15"/>
      <c r="R4710" t="s" s="16">
        <f>HYPERLINK("http://secrets.rutgers.edu:8080/data/asl-ftp/asllvd/demos/verify_start_end_handshape_annotations//test_auto_move//signs_mov_separ_signers/Brady_1006.mov","MOV")</f>
        <v>21</v>
      </c>
    </row>
    <row r="4711" s="2" customFormat="1" ht="13.5" customHeight="1">
      <c r="B4711" t="s" s="8">
        <v>1611</v>
      </c>
      <c r="C4711" t="s" s="9">
        <v>14</v>
      </c>
      <c r="D4711" t="s" s="8">
        <v>14</v>
      </c>
      <c r="E4711" t="s" s="9">
        <v>14</v>
      </c>
      <c r="F4711" t="s" s="10">
        <v>14</v>
      </c>
      <c r="G4711" t="s" s="11">
        <v>14</v>
      </c>
      <c r="H4711" t="s" s="10">
        <v>14</v>
      </c>
      <c r="I4711" t="s" s="11">
        <v>14</v>
      </c>
      <c r="J4711" t="s" s="11">
        <v>14</v>
      </c>
      <c r="K4711" t="s" s="12">
        <v>14</v>
      </c>
      <c r="L4711" t="s" s="12">
        <v>14</v>
      </c>
      <c r="M4711" t="s" s="10">
        <v>14</v>
      </c>
      <c r="N4711" t="s" s="11">
        <v>14</v>
      </c>
      <c r="O4711" t="s" s="8">
        <v>14</v>
      </c>
      <c r="P4711" t="s" s="8">
        <v>14</v>
      </c>
      <c r="Q4711" t="s" s="12">
        <v>14</v>
      </c>
      <c r="R4711" t="s" s="12">
        <v>14</v>
      </c>
    </row>
    <row r="4712" s="2" customFormat="1" ht="13.5" customHeight="1">
      <c r="B4712" s="13"/>
      <c r="C4712" t="s" s="9">
        <v>16</v>
      </c>
      <c r="D4712" t="s" s="8">
        <v>1611</v>
      </c>
      <c r="E4712" t="s" s="9">
        <v>1611</v>
      </c>
      <c r="F4712" t="s" s="10">
        <v>282</v>
      </c>
      <c r="G4712" s="14"/>
      <c r="H4712" t="s" s="10">
        <v>282</v>
      </c>
      <c r="I4712" s="14"/>
      <c r="J4712" t="s" s="11">
        <v>20</v>
      </c>
      <c r="K4712" s="15"/>
      <c r="L4712" t="s" s="16">
        <f>HYPERLINK("http://csr.bu.edu/ftp/asl/asllvd/demos/verify_start_end_handshape_annotations//test_auto_move//signs_mov_separ_signers/Liz_1008.mov","MOV")</f>
        <v>21</v>
      </c>
      <c r="M4712" t="s" s="10">
        <v>34</v>
      </c>
      <c r="N4712" s="17">
        <v>1</v>
      </c>
      <c r="O4712" s="18">
        <v>2780</v>
      </c>
      <c r="P4712" s="18">
        <v>2830</v>
      </c>
      <c r="Q4712" s="15"/>
      <c r="R4712" t="s" s="16">
        <f>HYPERLINK("http://secrets.rutgers.edu:8080/data/asl-ftp/asllvd/demos/verify_start_end_handshape_annotations//test_auto_move//signs_mov_separ_signers/Liz_1008.mov","MOV")</f>
        <v>21</v>
      </c>
    </row>
    <row r="4713" s="2" customFormat="1" ht="13.5" customHeight="1">
      <c r="B4713" s="13"/>
      <c r="C4713" t="s" s="9">
        <v>27</v>
      </c>
      <c r="D4713" t="s" s="8">
        <v>1611</v>
      </c>
      <c r="E4713" t="s" s="9">
        <v>1611</v>
      </c>
      <c r="F4713" t="s" s="10">
        <v>282</v>
      </c>
      <c r="G4713" s="14"/>
      <c r="H4713" t="s" s="10">
        <v>282</v>
      </c>
      <c r="I4713" s="14"/>
      <c r="J4713" t="s" s="11">
        <v>20</v>
      </c>
      <c r="K4713" t="s" s="16">
        <f>HYPERLINK("http://csr.bu.edu/ftp/asl/asllvd/demos/verify_start_end_handshape_annotations//test_auto_move//signs_mov/1008.mov","MOV")</f>
        <v>21</v>
      </c>
      <c r="L4713" t="s" s="16">
        <f>HYPERLINK("http://csr.bu.edu/ftp/asl/asllvd/demos/verify_start_end_handshape_annotations//test_auto_move//signs_mov_separ_signers/Naomi_1008.mov","MOV")</f>
        <v>21</v>
      </c>
      <c r="M4713" t="s" s="10">
        <v>38</v>
      </c>
      <c r="N4713" s="17">
        <v>1</v>
      </c>
      <c r="O4713" s="18">
        <v>3297</v>
      </c>
      <c r="P4713" s="18">
        <v>3320</v>
      </c>
      <c r="Q4713" t="s" s="16">
        <f>HYPERLINK("http://secrets.rutgers.edu:8080/data/asl-ftp/asllvd/demos/verify_start_end_handshape_annotations//test_auto_move//signs_mov/1008.mov","MOV")</f>
        <v>21</v>
      </c>
      <c r="R4713" t="s" s="16">
        <f>HYPERLINK("http://secrets.rutgers.edu:8080/data/asl-ftp/asllvd/demos/verify_start_end_handshape_annotations//test_auto_move//signs_mov_separ_signers/Naomi_1008.mov","MOV")</f>
        <v>21</v>
      </c>
    </row>
    <row r="4714" s="2" customFormat="1" ht="13.5" customHeight="1">
      <c r="B4714" s="13"/>
      <c r="C4714" t="s" s="9">
        <v>30</v>
      </c>
      <c r="D4714" t="s" s="8">
        <v>1611</v>
      </c>
      <c r="E4714" t="s" s="9">
        <v>1611</v>
      </c>
      <c r="F4714" t="s" s="10">
        <v>282</v>
      </c>
      <c r="G4714" s="14"/>
      <c r="H4714" t="s" s="10">
        <v>282</v>
      </c>
      <c r="I4714" s="14"/>
      <c r="J4714" t="s" s="11">
        <v>20</v>
      </c>
      <c r="K4714" s="15"/>
      <c r="L4714" t="s" s="16">
        <f>HYPERLINK("http://csr.bu.edu/ftp/asl/asllvd/demos/verify_start_end_handshape_annotations//test_auto_move//signs_mov_separ_signers/Brady_1008.mov","MOV")</f>
        <v>21</v>
      </c>
      <c r="M4714" t="s" s="10">
        <v>39</v>
      </c>
      <c r="N4714" s="17">
        <v>24</v>
      </c>
      <c r="O4714" s="18">
        <v>3082</v>
      </c>
      <c r="P4714" s="18">
        <v>3112</v>
      </c>
      <c r="Q4714" s="15"/>
      <c r="R4714" t="s" s="16">
        <f>HYPERLINK("http://secrets.rutgers.edu:8080/data/asl-ftp/asllvd/demos/verify_start_end_handshape_annotations//test_auto_move//signs_mov_separ_signers/Brady_1008.mov","MOV")</f>
        <v>21</v>
      </c>
    </row>
    <row r="4715" s="2" customFormat="1" ht="13.5" customHeight="1">
      <c r="B4715" t="s" s="8">
        <v>52</v>
      </c>
      <c r="C4715" t="s" s="9">
        <v>53</v>
      </c>
      <c r="D4715" t="s" s="8">
        <v>53</v>
      </c>
      <c r="E4715" t="s" s="9">
        <v>53</v>
      </c>
      <c r="F4715" t="s" s="10">
        <v>53</v>
      </c>
      <c r="G4715" t="s" s="11">
        <v>53</v>
      </c>
      <c r="H4715" t="s" s="10">
        <v>53</v>
      </c>
      <c r="I4715" t="s" s="11">
        <v>53</v>
      </c>
      <c r="J4715" t="s" s="11">
        <v>53</v>
      </c>
      <c r="K4715" t="s" s="12">
        <v>53</v>
      </c>
      <c r="L4715" t="s" s="12">
        <v>53</v>
      </c>
      <c r="M4715" t="s" s="10">
        <v>53</v>
      </c>
      <c r="N4715" t="s" s="11">
        <v>53</v>
      </c>
      <c r="O4715" t="s" s="8">
        <v>53</v>
      </c>
      <c r="P4715" t="s" s="8">
        <v>53</v>
      </c>
      <c r="Q4715" t="s" s="12">
        <v>53</v>
      </c>
      <c r="R4715" t="s" s="12">
        <v>53</v>
      </c>
    </row>
    <row r="4716" s="2" customFormat="1" ht="13.5" customHeight="1">
      <c r="B4716" s="13"/>
      <c r="C4716" t="s" s="9">
        <v>23</v>
      </c>
      <c r="D4716" t="s" s="8">
        <v>1611</v>
      </c>
      <c r="E4716" t="s" s="9">
        <v>1612</v>
      </c>
      <c r="F4716" t="s" s="10">
        <v>282</v>
      </c>
      <c r="G4716" t="s" s="11">
        <v>282</v>
      </c>
      <c r="H4716" t="s" s="10">
        <v>282</v>
      </c>
      <c r="I4716" t="s" s="11">
        <v>282</v>
      </c>
      <c r="J4716" t="s" s="11">
        <v>20</v>
      </c>
      <c r="K4716" t="s" s="16">
        <f>HYPERLINK("http://csr.bu.edu/ftp/asl/asllvd/demos/verify_start_end_handshape_annotations//test_auto_move//signs_mov/5193.mov","MOV")</f>
        <v>21</v>
      </c>
      <c r="L4716" t="s" s="16">
        <f>HYPERLINK("http://csr.bu.edu/ftp/asl/asllvd/demos/verify_start_end_handshape_annotations//test_auto_move//signs_mov_separ_signers/Tyler_5193.mov","MOV")</f>
        <v>21</v>
      </c>
      <c r="M4716" t="s" s="10">
        <v>92</v>
      </c>
      <c r="N4716" s="17">
        <v>33</v>
      </c>
      <c r="O4716" s="18">
        <v>2130</v>
      </c>
      <c r="P4716" s="18">
        <v>2170</v>
      </c>
      <c r="Q4716" t="s" s="16">
        <f>HYPERLINK("http://secrets.rutgers.edu:8080/data/asl-ftp/asllvd/demos/verify_start_end_handshape_annotations//test_auto_move//signs_mov/5193.mov","MOV")</f>
        <v>21</v>
      </c>
      <c r="R4716" t="s" s="16">
        <f>HYPERLINK("http://secrets.rutgers.edu:8080/data/asl-ftp/asllvd/demos/verify_start_end_handshape_annotations//test_auto_move//signs_mov_separ_signers/Tyler_5193.mov","MOV")</f>
        <v>21</v>
      </c>
    </row>
    <row r="4717" s="2" customFormat="1" ht="13.5" customHeight="1">
      <c r="B4717" t="s" s="8">
        <v>1613</v>
      </c>
      <c r="C4717" t="s" s="9">
        <v>14</v>
      </c>
      <c r="D4717" t="s" s="8">
        <v>14</v>
      </c>
      <c r="E4717" t="s" s="9">
        <v>14</v>
      </c>
      <c r="F4717" t="s" s="10">
        <v>14</v>
      </c>
      <c r="G4717" t="s" s="11">
        <v>14</v>
      </c>
      <c r="H4717" t="s" s="10">
        <v>14</v>
      </c>
      <c r="I4717" t="s" s="11">
        <v>14</v>
      </c>
      <c r="J4717" t="s" s="11">
        <v>14</v>
      </c>
      <c r="K4717" t="s" s="12">
        <v>14</v>
      </c>
      <c r="L4717" t="s" s="12">
        <v>14</v>
      </c>
      <c r="M4717" t="s" s="10">
        <v>14</v>
      </c>
      <c r="N4717" t="s" s="11">
        <v>14</v>
      </c>
      <c r="O4717" t="s" s="8">
        <v>14</v>
      </c>
      <c r="P4717" t="s" s="8">
        <v>14</v>
      </c>
      <c r="Q4717" t="s" s="12">
        <v>14</v>
      </c>
      <c r="R4717" t="s" s="12">
        <v>14</v>
      </c>
    </row>
    <row r="4718" s="2" customFormat="1" ht="13.5" customHeight="1">
      <c r="B4718" s="13"/>
      <c r="C4718" t="s" s="9">
        <v>16</v>
      </c>
      <c r="D4718" t="s" s="8">
        <v>1613</v>
      </c>
      <c r="E4718" t="s" s="9">
        <v>1613</v>
      </c>
      <c r="F4718" t="s" s="10">
        <v>73</v>
      </c>
      <c r="G4718" s="14"/>
      <c r="H4718" t="s" s="10">
        <v>73</v>
      </c>
      <c r="I4718" s="14"/>
      <c r="J4718" t="s" s="11">
        <v>20</v>
      </c>
      <c r="K4718" s="15"/>
      <c r="L4718" t="s" s="16">
        <f>HYPERLINK("http://csr.bu.edu/ftp/asl/asllvd/demos/verify_start_end_handshape_annotations//test_auto_move//signs_mov_separ_signers/Liz_1009.mov","MOV")</f>
        <v>21</v>
      </c>
      <c r="M4718" t="s" s="10">
        <v>34</v>
      </c>
      <c r="N4718" s="17">
        <v>1</v>
      </c>
      <c r="O4718" s="18">
        <v>3106</v>
      </c>
      <c r="P4718" s="18">
        <v>3151</v>
      </c>
      <c r="Q4718" s="15"/>
      <c r="R4718" t="s" s="16">
        <f>HYPERLINK("http://secrets.rutgers.edu:8080/data/asl-ftp/asllvd/demos/verify_start_end_handshape_annotations//test_auto_move//signs_mov_separ_signers/Liz_1009.mov","MOV")</f>
        <v>21</v>
      </c>
    </row>
    <row r="4719" s="2" customFormat="1" ht="13.5" customHeight="1">
      <c r="B4719" s="13"/>
      <c r="C4719" t="s" s="9">
        <v>16</v>
      </c>
      <c r="D4719" t="s" s="8">
        <v>1613</v>
      </c>
      <c r="E4719" t="s" s="9">
        <v>1613</v>
      </c>
      <c r="F4719" t="s" s="10">
        <v>73</v>
      </c>
      <c r="G4719" s="14"/>
      <c r="H4719" t="s" s="10">
        <v>73</v>
      </c>
      <c r="I4719" s="14"/>
      <c r="J4719" t="s" s="11">
        <v>20</v>
      </c>
      <c r="K4719" s="15"/>
      <c r="L4719" t="s" s="16">
        <f>HYPERLINK("http://csr.bu.edu/ftp/asl/asllvd/demos/verify_start_end_handshape_annotations//test_auto_move//signs_mov_separ_signers/Liz_3669.mov","MOV")</f>
        <v>21</v>
      </c>
      <c r="M4719" t="s" s="10">
        <v>59</v>
      </c>
      <c r="N4719" s="17">
        <v>42</v>
      </c>
      <c r="O4719" s="18">
        <v>1676</v>
      </c>
      <c r="P4719" s="18">
        <v>1710</v>
      </c>
      <c r="Q4719" s="15"/>
      <c r="R4719" t="s" s="16">
        <f>HYPERLINK("http://secrets.rutgers.edu:8080/data/asl-ftp/asllvd/demos/verify_start_end_handshape_annotations//test_auto_move//signs_mov_separ_signers/Liz_3669.mov","MOV")</f>
        <v>21</v>
      </c>
    </row>
    <row r="4720" s="2" customFormat="1" ht="13.5" customHeight="1">
      <c r="B4720" s="13"/>
      <c r="C4720" t="s" s="9">
        <v>27</v>
      </c>
      <c r="D4720" t="s" s="8">
        <v>1613</v>
      </c>
      <c r="E4720" t="s" s="9">
        <v>1613</v>
      </c>
      <c r="F4720" t="s" s="10">
        <v>73</v>
      </c>
      <c r="G4720" s="14"/>
      <c r="H4720" t="s" s="10">
        <v>73</v>
      </c>
      <c r="I4720" s="14"/>
      <c r="J4720" t="s" s="11">
        <v>20</v>
      </c>
      <c r="K4720" s="15"/>
      <c r="L4720" t="s" s="16">
        <f>HYPERLINK("http://csr.bu.edu/ftp/asl/asllvd/demos/verify_start_end_handshape_annotations//test_auto_move//signs_mov_separ_signers/Naomi_1009.mov","MOV")</f>
        <v>21</v>
      </c>
      <c r="M4720" t="s" s="10">
        <v>38</v>
      </c>
      <c r="N4720" s="17">
        <v>1</v>
      </c>
      <c r="O4720" s="18">
        <v>3568</v>
      </c>
      <c r="P4720" s="18">
        <v>3605</v>
      </c>
      <c r="Q4720" s="15"/>
      <c r="R4720" t="s" s="16">
        <f>HYPERLINK("http://secrets.rutgers.edu:8080/data/asl-ftp/asllvd/demos/verify_start_end_handshape_annotations//test_auto_move//signs_mov_separ_signers/Naomi_1009.mov","MOV")</f>
        <v>21</v>
      </c>
    </row>
    <row r="4721" s="2" customFormat="1" ht="13.5" customHeight="1">
      <c r="B4721" s="13"/>
      <c r="C4721" t="s" s="9">
        <v>30</v>
      </c>
      <c r="D4721" t="s" s="8">
        <v>1613</v>
      </c>
      <c r="E4721" t="s" s="9">
        <v>1613</v>
      </c>
      <c r="F4721" t="s" s="10">
        <v>73</v>
      </c>
      <c r="G4721" s="14"/>
      <c r="H4721" t="s" s="10">
        <v>73</v>
      </c>
      <c r="I4721" s="14"/>
      <c r="J4721" t="s" s="11">
        <v>20</v>
      </c>
      <c r="K4721" t="s" s="16">
        <f>HYPERLINK("http://csr.bu.edu/ftp/asl/asllvd/demos/verify_start_end_handshape_annotations//test_auto_move//signs_mov/1009_3669_merged.mov","MOV")</f>
        <v>21</v>
      </c>
      <c r="L4721" t="s" s="16">
        <f>HYPERLINK("http://csr.bu.edu/ftp/asl/asllvd/demos/verify_start_end_handshape_annotations//test_auto_move//signs_mov_separ_signers/Brady_1009.mov","MOV")</f>
        <v>21</v>
      </c>
      <c r="M4721" t="s" s="10">
        <v>60</v>
      </c>
      <c r="N4721" s="17">
        <v>30</v>
      </c>
      <c r="O4721" s="18">
        <v>1594</v>
      </c>
      <c r="P4721" s="18">
        <v>1611</v>
      </c>
      <c r="Q4721" t="s" s="16">
        <f>HYPERLINK("http://secrets.rutgers.edu:8080/data/asl-ftp/asllvd/demos/verify_start_end_handshape_annotations//test_auto_move//signs_mov/1009_3669_merged.mov","MOV")</f>
        <v>21</v>
      </c>
      <c r="R4721" t="s" s="16">
        <f>HYPERLINK("http://secrets.rutgers.edu:8080/data/asl-ftp/asllvd/demos/verify_start_end_handshape_annotations//test_auto_move//signs_mov_separ_signers/Brady_1009.mov","MOV")</f>
        <v>21</v>
      </c>
    </row>
    <row r="4722" s="2" customFormat="1" ht="13.5" customHeight="1">
      <c r="B4722" s="13"/>
      <c r="C4722" t="s" s="9">
        <v>30</v>
      </c>
      <c r="D4722" t="s" s="8">
        <v>1613</v>
      </c>
      <c r="E4722" t="s" s="9">
        <v>1613</v>
      </c>
      <c r="F4722" t="s" s="10">
        <v>55</v>
      </c>
      <c r="G4722" s="14"/>
      <c r="H4722" t="s" s="10">
        <v>55</v>
      </c>
      <c r="I4722" s="14"/>
      <c r="J4722" t="s" s="11">
        <v>20</v>
      </c>
      <c r="K4722" s="15"/>
      <c r="L4722" t="s" s="16">
        <f>HYPERLINK("http://csr.bu.edu/ftp/asl/asllvd/demos/verify_start_end_handshape_annotations//test_auto_move//signs_mov_separ_signers/Brady_3669.mov","MOV")</f>
        <v>21</v>
      </c>
      <c r="M4722" t="s" s="10">
        <v>60</v>
      </c>
      <c r="N4722" s="17">
        <v>48</v>
      </c>
      <c r="O4722" s="18">
        <v>4301</v>
      </c>
      <c r="P4722" s="18">
        <v>4322</v>
      </c>
      <c r="Q4722" s="15"/>
      <c r="R4722" t="s" s="16">
        <f>HYPERLINK("http://secrets.rutgers.edu:8080/data/asl-ftp/asllvd/demos/verify_start_end_handshape_annotations//test_auto_move//signs_mov_separ_signers/Brady_3669.mov","MOV")</f>
        <v>21</v>
      </c>
    </row>
    <row r="4723" s="2" customFormat="1" ht="13.5" customHeight="1">
      <c r="B4723" s="13"/>
      <c r="C4723" t="s" s="9">
        <v>41</v>
      </c>
      <c r="D4723" t="s" s="8">
        <v>1613</v>
      </c>
      <c r="E4723" t="s" s="9">
        <v>1613</v>
      </c>
      <c r="F4723" t="s" s="10">
        <v>73</v>
      </c>
      <c r="G4723" s="14"/>
      <c r="H4723" t="s" s="10">
        <v>73</v>
      </c>
      <c r="I4723" s="14"/>
      <c r="J4723" t="s" s="11">
        <v>20</v>
      </c>
      <c r="K4723" s="15"/>
      <c r="L4723" t="s" s="16">
        <f>HYPERLINK("http://csr.bu.edu/ftp/asl/asllvd/demos/verify_start_end_handshape_annotations//test_auto_move//signs_mov_separ_signers/Lana_1009.mov","MOV")</f>
        <v>21</v>
      </c>
      <c r="M4723" t="s" s="10">
        <v>42</v>
      </c>
      <c r="N4723" s="17">
        <v>9</v>
      </c>
      <c r="O4723" s="18">
        <v>630</v>
      </c>
      <c r="P4723" s="18">
        <v>658</v>
      </c>
      <c r="Q4723" s="15"/>
      <c r="R4723" t="s" s="16">
        <f>HYPERLINK("http://secrets.rutgers.edu:8080/data/asl-ftp/asllvd/demos/verify_start_end_handshape_annotations//test_auto_move//signs_mov_separ_signers/Lana_1009.mov","MOV")</f>
        <v>21</v>
      </c>
    </row>
    <row r="4724" s="2" customFormat="1" ht="13.5" customHeight="1">
      <c r="B4724" s="13"/>
      <c r="C4724" t="s" s="9">
        <v>43</v>
      </c>
      <c r="D4724" t="s" s="8">
        <v>1613</v>
      </c>
      <c r="E4724" t="s" s="9">
        <v>1613</v>
      </c>
      <c r="F4724" s="19">
        <v>5</v>
      </c>
      <c r="G4724" s="14"/>
      <c r="H4724" s="19">
        <v>5</v>
      </c>
      <c r="I4724" s="14"/>
      <c r="J4724" t="s" s="11">
        <v>20</v>
      </c>
      <c r="K4724" s="15"/>
      <c r="L4724" t="s" s="16">
        <f>HYPERLINK("http://csr.bu.edu/ftp/asl/asllvd/demos/verify_start_end_handshape_annotations//test_auto_move//signs_mov_separ_signers/Dana_1009.mov","MOV")</f>
        <v>21</v>
      </c>
      <c r="M4724" t="s" s="10">
        <v>44</v>
      </c>
      <c r="N4724" s="17">
        <v>13</v>
      </c>
      <c r="O4724" s="18">
        <v>665</v>
      </c>
      <c r="P4724" s="18">
        <v>719</v>
      </c>
      <c r="Q4724" s="15"/>
      <c r="R4724" t="s" s="16">
        <f>HYPERLINK("http://secrets.rutgers.edu:8080/data/asl-ftp/asllvd/demos/verify_start_end_handshape_annotations//test_auto_move//signs_mov_separ_signers/Dana_1009.mov","MOV")</f>
        <v>21</v>
      </c>
    </row>
    <row r="4725" s="2" customFormat="1" ht="13.5" customHeight="1">
      <c r="B4725" t="s" s="8">
        <v>52</v>
      </c>
      <c r="C4725" t="s" s="9">
        <v>53</v>
      </c>
      <c r="D4725" t="s" s="8">
        <v>53</v>
      </c>
      <c r="E4725" t="s" s="9">
        <v>53</v>
      </c>
      <c r="F4725" t="s" s="10">
        <v>53</v>
      </c>
      <c r="G4725" t="s" s="11">
        <v>53</v>
      </c>
      <c r="H4725" t="s" s="10">
        <v>53</v>
      </c>
      <c r="I4725" t="s" s="11">
        <v>53</v>
      </c>
      <c r="J4725" t="s" s="11">
        <v>53</v>
      </c>
      <c r="K4725" t="s" s="12">
        <v>53</v>
      </c>
      <c r="L4725" t="s" s="12">
        <v>53</v>
      </c>
      <c r="M4725" t="s" s="10">
        <v>53</v>
      </c>
      <c r="N4725" t="s" s="11">
        <v>53</v>
      </c>
      <c r="O4725" t="s" s="8">
        <v>53</v>
      </c>
      <c r="P4725" t="s" s="8">
        <v>53</v>
      </c>
      <c r="Q4725" t="s" s="12">
        <v>53</v>
      </c>
      <c r="R4725" t="s" s="12">
        <v>53</v>
      </c>
    </row>
    <row r="4726" s="2" customFormat="1" ht="13.5" customHeight="1">
      <c r="B4726" s="13"/>
      <c r="C4726" t="s" s="9">
        <v>23</v>
      </c>
      <c r="D4726" t="s" s="8">
        <v>1613</v>
      </c>
      <c r="E4726" t="s" s="9">
        <v>1614</v>
      </c>
      <c r="F4726" t="s" s="10">
        <v>282</v>
      </c>
      <c r="G4726" s="14"/>
      <c r="H4726" t="s" s="10">
        <v>282</v>
      </c>
      <c r="I4726" s="14"/>
      <c r="J4726" t="s" s="11">
        <v>20</v>
      </c>
      <c r="K4726" t="s" s="16">
        <f>HYPERLINK("http://csr.bu.edu/ftp/asl/asllvd/demos/verify_start_end_handshape_annotations//test_auto_move//signs_mov/3823.mov","MOV")</f>
        <v>21</v>
      </c>
      <c r="L4726" t="s" s="16">
        <f>HYPERLINK("http://csr.bu.edu/ftp/asl/asllvd/demos/verify_start_end_handshape_annotations//test_auto_move//signs_mov_separ_signers/Tyler_3823.mov","MOV")</f>
        <v>21</v>
      </c>
      <c r="M4726" t="s" s="10">
        <v>92</v>
      </c>
      <c r="N4726" s="17">
        <v>33</v>
      </c>
      <c r="O4726" s="18">
        <v>2860</v>
      </c>
      <c r="P4726" s="18">
        <v>2905</v>
      </c>
      <c r="Q4726" t="s" s="16">
        <f>HYPERLINK("http://secrets.rutgers.edu:8080/data/asl-ftp/asllvd/demos/verify_start_end_handshape_annotations//test_auto_move//signs_mov/3823.mov","MOV")</f>
        <v>21</v>
      </c>
      <c r="R4726" t="s" s="16">
        <f>HYPERLINK("http://secrets.rutgers.edu:8080/data/asl-ftp/asllvd/demos/verify_start_end_handshape_annotations//test_auto_move//signs_mov_separ_signers/Tyler_3823.mov","MOV")</f>
        <v>21</v>
      </c>
    </row>
    <row r="4727" s="2" customFormat="1" ht="13.5" customHeight="1">
      <c r="B4727" t="s" s="8">
        <v>1615</v>
      </c>
      <c r="C4727" t="s" s="9">
        <v>14</v>
      </c>
      <c r="D4727" t="s" s="8">
        <v>14</v>
      </c>
      <c r="E4727" t="s" s="9">
        <v>14</v>
      </c>
      <c r="F4727" t="s" s="10">
        <v>14</v>
      </c>
      <c r="G4727" t="s" s="11">
        <v>14</v>
      </c>
      <c r="H4727" t="s" s="10">
        <v>14</v>
      </c>
      <c r="I4727" t="s" s="11">
        <v>14</v>
      </c>
      <c r="J4727" t="s" s="11">
        <v>14</v>
      </c>
      <c r="K4727" t="s" s="12">
        <v>14</v>
      </c>
      <c r="L4727" t="s" s="12">
        <v>14</v>
      </c>
      <c r="M4727" t="s" s="10">
        <v>14</v>
      </c>
      <c r="N4727" t="s" s="11">
        <v>14</v>
      </c>
      <c r="O4727" t="s" s="8">
        <v>14</v>
      </c>
      <c r="P4727" t="s" s="8">
        <v>14</v>
      </c>
      <c r="Q4727" t="s" s="12">
        <v>14</v>
      </c>
      <c r="R4727" t="s" s="12">
        <v>14</v>
      </c>
    </row>
    <row r="4728" s="2" customFormat="1" ht="13.5" customHeight="1">
      <c r="B4728" s="13"/>
      <c r="C4728" t="s" s="9">
        <v>16</v>
      </c>
      <c r="D4728" t="s" s="8">
        <v>1616</v>
      </c>
      <c r="E4728" t="s" s="9">
        <v>1616</v>
      </c>
      <c r="F4728" t="s" s="10">
        <v>25</v>
      </c>
      <c r="G4728" s="14"/>
      <c r="H4728" t="s" s="10">
        <v>25</v>
      </c>
      <c r="I4728" s="14"/>
      <c r="J4728" t="s" s="11">
        <v>20</v>
      </c>
      <c r="K4728" s="15"/>
      <c r="L4728" t="s" s="16">
        <f>HYPERLINK("http://csr.bu.edu/ftp/asl/asllvd/demos/verify_start_end_handshape_annotations//test_auto_move//signs_mov_separ_signers/Liz_5194.mov","MOV")</f>
        <v>21</v>
      </c>
      <c r="M4728" t="s" s="10">
        <v>34</v>
      </c>
      <c r="N4728" s="17">
        <v>44</v>
      </c>
      <c r="O4728" s="18">
        <v>1385</v>
      </c>
      <c r="P4728" s="18">
        <v>1410</v>
      </c>
      <c r="Q4728" s="15"/>
      <c r="R4728" t="s" s="16">
        <f>HYPERLINK("http://secrets.rutgers.edu:8080/data/asl-ftp/asllvd/demos/verify_start_end_handshape_annotations//test_auto_move//signs_mov_separ_signers/Liz_5194.mov","MOV")</f>
        <v>21</v>
      </c>
    </row>
    <row r="4729" s="2" customFormat="1" ht="13.5" customHeight="1">
      <c r="B4729" s="13"/>
      <c r="C4729" t="s" s="9">
        <v>27</v>
      </c>
      <c r="D4729" t="s" s="8">
        <v>1616</v>
      </c>
      <c r="E4729" t="s" s="9">
        <v>1616</v>
      </c>
      <c r="F4729" t="s" s="10">
        <v>25</v>
      </c>
      <c r="G4729" s="14"/>
      <c r="H4729" t="s" s="10">
        <v>25</v>
      </c>
      <c r="I4729" s="14"/>
      <c r="J4729" t="s" s="11">
        <v>20</v>
      </c>
      <c r="K4729" t="s" s="16">
        <f>HYPERLINK("http://csr.bu.edu/ftp/asl/asllvd/demos/verify_start_end_handshape_annotations//test_auto_move//signs_mov/5194.mov","MOV")</f>
        <v>21</v>
      </c>
      <c r="L4729" t="s" s="16">
        <f>HYPERLINK("http://csr.bu.edu/ftp/asl/asllvd/demos/verify_start_end_handshape_annotations//test_auto_move//signs_mov_separ_signers/Naomi_5194.mov","MOV")</f>
        <v>21</v>
      </c>
      <c r="M4729" t="s" s="10">
        <v>38</v>
      </c>
      <c r="N4729" s="17">
        <v>37</v>
      </c>
      <c r="O4729" s="18">
        <v>3630</v>
      </c>
      <c r="P4729" s="18">
        <v>3652</v>
      </c>
      <c r="Q4729" t="s" s="16">
        <f>HYPERLINK("http://secrets.rutgers.edu:8080/data/asl-ftp/asllvd/demos/verify_start_end_handshape_annotations//test_auto_move//signs_mov/5194.mov","MOV")</f>
        <v>21</v>
      </c>
      <c r="R4729" t="s" s="16">
        <f>HYPERLINK("http://secrets.rutgers.edu:8080/data/asl-ftp/asllvd/demos/verify_start_end_handshape_annotations//test_auto_move//signs_mov_separ_signers/Naomi_5194.mov","MOV")</f>
        <v>21</v>
      </c>
    </row>
    <row r="4730" s="2" customFormat="1" ht="13.5" customHeight="1">
      <c r="B4730" s="13"/>
      <c r="C4730" t="s" s="9">
        <v>30</v>
      </c>
      <c r="D4730" t="s" s="8">
        <v>1616</v>
      </c>
      <c r="E4730" t="s" s="9">
        <v>1616</v>
      </c>
      <c r="F4730" t="s" s="10">
        <v>25</v>
      </c>
      <c r="G4730" s="14"/>
      <c r="H4730" t="s" s="10">
        <v>25</v>
      </c>
      <c r="I4730" s="14"/>
      <c r="J4730" t="s" s="11">
        <v>20</v>
      </c>
      <c r="K4730" s="15"/>
      <c r="L4730" t="s" s="16">
        <f>HYPERLINK("http://csr.bu.edu/ftp/asl/asllvd/demos/verify_start_end_handshape_annotations//test_auto_move//signs_mov_separ_signers/Brady_5194.mov","MOV")</f>
        <v>21</v>
      </c>
      <c r="M4730" t="s" s="10">
        <v>39</v>
      </c>
      <c r="N4730" s="17">
        <v>47</v>
      </c>
      <c r="O4730" s="18">
        <v>1295</v>
      </c>
      <c r="P4730" s="18">
        <v>1330</v>
      </c>
      <c r="Q4730" s="15"/>
      <c r="R4730" t="s" s="16">
        <f>HYPERLINK("http://secrets.rutgers.edu:8080/data/asl-ftp/asllvd/demos/verify_start_end_handshape_annotations//test_auto_move//signs_mov_separ_signers/Brady_5194.mov","MOV")</f>
        <v>21</v>
      </c>
    </row>
    <row r="4731" s="2" customFormat="1" ht="13.5" customHeight="1">
      <c r="B4731" t="s" s="8">
        <v>1617</v>
      </c>
      <c r="C4731" t="s" s="9">
        <v>14</v>
      </c>
      <c r="D4731" t="s" s="8">
        <v>14</v>
      </c>
      <c r="E4731" t="s" s="9">
        <v>14</v>
      </c>
      <c r="F4731" t="s" s="10">
        <v>14</v>
      </c>
      <c r="G4731" t="s" s="11">
        <v>14</v>
      </c>
      <c r="H4731" t="s" s="10">
        <v>14</v>
      </c>
      <c r="I4731" t="s" s="11">
        <v>14</v>
      </c>
      <c r="J4731" t="s" s="11">
        <v>14</v>
      </c>
      <c r="K4731" t="s" s="12">
        <v>14</v>
      </c>
      <c r="L4731" t="s" s="12">
        <v>14</v>
      </c>
      <c r="M4731" t="s" s="10">
        <v>14</v>
      </c>
      <c r="N4731" t="s" s="11">
        <v>14</v>
      </c>
      <c r="O4731" t="s" s="8">
        <v>14</v>
      </c>
      <c r="P4731" t="s" s="8">
        <v>14</v>
      </c>
      <c r="Q4731" t="s" s="12">
        <v>14</v>
      </c>
      <c r="R4731" t="s" s="12">
        <v>14</v>
      </c>
    </row>
    <row r="4732" s="2" customFormat="1" ht="13.5" customHeight="1">
      <c r="B4732" s="13"/>
      <c r="C4732" t="s" s="9">
        <v>16</v>
      </c>
      <c r="D4732" t="s" s="8">
        <v>1617</v>
      </c>
      <c r="E4732" t="s" s="9">
        <v>1617</v>
      </c>
      <c r="F4732" t="s" s="10">
        <v>406</v>
      </c>
      <c r="G4732" s="14"/>
      <c r="H4732" t="s" s="10">
        <v>25</v>
      </c>
      <c r="I4732" s="14"/>
      <c r="J4732" t="s" s="11">
        <v>20</v>
      </c>
      <c r="K4732" t="s" s="16">
        <f>HYPERLINK("http://csr.bu.edu/ftp/asl/asllvd/demos/verify_start_end_handshape_annotations//test_auto_move//signs_mov/15223.mov","MOV")</f>
        <v>21</v>
      </c>
      <c r="L4732" t="s" s="16">
        <f>HYPERLINK("http://csr.bu.edu/ftp/asl/asllvd/demos/verify_start_end_handshape_annotations//test_auto_move//signs_mov_separ_signers/Liz_15223.mov","MOV")</f>
        <v>21</v>
      </c>
      <c r="M4732" t="s" s="10">
        <v>59</v>
      </c>
      <c r="N4732" s="17">
        <v>42</v>
      </c>
      <c r="O4732" s="18">
        <v>1368</v>
      </c>
      <c r="P4732" s="18">
        <v>1397</v>
      </c>
      <c r="Q4732" t="s" s="16">
        <f>HYPERLINK("http://secrets.rutgers.edu:8080/data/asl-ftp/asllvd/demos/verify_start_end_handshape_annotations//test_auto_move//signs_mov/15223.mov","MOV")</f>
        <v>21</v>
      </c>
      <c r="R4732" t="s" s="16">
        <f>HYPERLINK("http://secrets.rutgers.edu:8080/data/asl-ftp/asllvd/demos/verify_start_end_handshape_annotations//test_auto_move//signs_mov_separ_signers/Liz_15223.mov","MOV")</f>
        <v>21</v>
      </c>
    </row>
    <row r="4733" s="2" customFormat="1" ht="13.5" customHeight="1">
      <c r="B4733" s="13"/>
      <c r="C4733" t="s" s="9">
        <v>30</v>
      </c>
      <c r="D4733" t="s" s="8">
        <v>1617</v>
      </c>
      <c r="E4733" t="s" s="9">
        <v>1617</v>
      </c>
      <c r="F4733" t="s" s="10">
        <v>406</v>
      </c>
      <c r="G4733" s="14"/>
      <c r="H4733" t="s" s="10">
        <v>25</v>
      </c>
      <c r="I4733" s="14"/>
      <c r="J4733" t="s" s="11">
        <v>20</v>
      </c>
      <c r="K4733" s="15"/>
      <c r="L4733" t="s" s="16">
        <f>HYPERLINK("http://csr.bu.edu/ftp/asl/asllvd/demos/verify_start_end_handshape_annotations//test_auto_move//signs_mov_separ_signers/Brady_15223.mov","MOV")</f>
        <v>21</v>
      </c>
      <c r="M4733" t="s" s="10">
        <v>60</v>
      </c>
      <c r="N4733" s="17">
        <v>30</v>
      </c>
      <c r="O4733" s="18">
        <v>1345</v>
      </c>
      <c r="P4733" s="18">
        <v>1374</v>
      </c>
      <c r="Q4733" s="15"/>
      <c r="R4733" t="s" s="16">
        <f>HYPERLINK("http://secrets.rutgers.edu:8080/data/asl-ftp/asllvd/demos/verify_start_end_handshape_annotations//test_auto_move//signs_mov_separ_signers/Brady_15223.mov","MOV")</f>
        <v>21</v>
      </c>
    </row>
    <row r="4734" s="2" customFormat="1" ht="13.5" customHeight="1">
      <c r="B4734" t="s" s="8">
        <v>1618</v>
      </c>
      <c r="C4734" t="s" s="9">
        <v>14</v>
      </c>
      <c r="D4734" t="s" s="8">
        <v>14</v>
      </c>
      <c r="E4734" t="s" s="9">
        <v>14</v>
      </c>
      <c r="F4734" t="s" s="10">
        <v>14</v>
      </c>
      <c r="G4734" t="s" s="11">
        <v>14</v>
      </c>
      <c r="H4734" t="s" s="10">
        <v>14</v>
      </c>
      <c r="I4734" t="s" s="11">
        <v>14</v>
      </c>
      <c r="J4734" t="s" s="11">
        <v>14</v>
      </c>
      <c r="K4734" t="s" s="12">
        <v>14</v>
      </c>
      <c r="L4734" t="s" s="12">
        <v>14</v>
      </c>
      <c r="M4734" t="s" s="10">
        <v>14</v>
      </c>
      <c r="N4734" t="s" s="11">
        <v>14</v>
      </c>
      <c r="O4734" t="s" s="8">
        <v>14</v>
      </c>
      <c r="P4734" t="s" s="8">
        <v>14</v>
      </c>
      <c r="Q4734" t="s" s="12">
        <v>14</v>
      </c>
      <c r="R4734" t="s" s="12">
        <v>14</v>
      </c>
    </row>
    <row r="4735" s="2" customFormat="1" ht="13.5" customHeight="1">
      <c r="B4735" s="13"/>
      <c r="C4735" t="s" s="9">
        <v>16</v>
      </c>
      <c r="D4735" t="s" s="8">
        <v>1618</v>
      </c>
      <c r="E4735" t="s" s="9">
        <v>1618</v>
      </c>
      <c r="F4735" t="s" s="10">
        <v>337</v>
      </c>
      <c r="G4735" s="14"/>
      <c r="H4735" t="s" s="10">
        <v>337</v>
      </c>
      <c r="I4735" s="14"/>
      <c r="J4735" t="s" s="11">
        <v>20</v>
      </c>
      <c r="K4735" s="15"/>
      <c r="L4735" t="s" s="16">
        <f>HYPERLINK("http://csr.bu.edu/ftp/asl/asllvd/demos/verify_start_end_handshape_annotations//test_auto_move//signs_mov_separ_signers/Liz_1010.mov","MOV")</f>
        <v>21</v>
      </c>
      <c r="M4735" t="s" s="10">
        <v>34</v>
      </c>
      <c r="N4735" s="17">
        <v>2</v>
      </c>
      <c r="O4735" s="18">
        <v>401</v>
      </c>
      <c r="P4735" s="18">
        <v>455</v>
      </c>
      <c r="Q4735" s="15"/>
      <c r="R4735" t="s" s="16">
        <f>HYPERLINK("http://secrets.rutgers.edu:8080/data/asl-ftp/asllvd/demos/verify_start_end_handshape_annotations//test_auto_move//signs_mov_separ_signers/Liz_1010.mov","MOV")</f>
        <v>21</v>
      </c>
    </row>
    <row r="4736" s="2" customFormat="1" ht="13.5" customHeight="1">
      <c r="B4736" s="13"/>
      <c r="C4736" t="s" s="9">
        <v>23</v>
      </c>
      <c r="D4736" t="s" s="8">
        <v>1618</v>
      </c>
      <c r="E4736" t="s" s="9">
        <v>1618</v>
      </c>
      <c r="F4736" t="s" s="10">
        <v>337</v>
      </c>
      <c r="G4736" s="14"/>
      <c r="H4736" t="s" s="10">
        <v>337</v>
      </c>
      <c r="I4736" s="14"/>
      <c r="J4736" t="s" s="11">
        <v>20</v>
      </c>
      <c r="K4736" t="s" s="16">
        <f>HYPERLINK("http://csr.bu.edu/ftp/asl/asllvd/demos/verify_start_end_handshape_annotations//test_auto_move//signs_mov/1010.mov","MOV")</f>
        <v>21</v>
      </c>
      <c r="L4736" t="s" s="16">
        <f>HYPERLINK("http://csr.bu.edu/ftp/asl/asllvd/demos/verify_start_end_handshape_annotations//test_auto_move//signs_mov_separ_signers/Tyler_1010.mov","MOV")</f>
        <v>21</v>
      </c>
      <c r="M4736" t="s" s="10">
        <v>92</v>
      </c>
      <c r="N4736" s="17">
        <v>33</v>
      </c>
      <c r="O4736" s="18">
        <v>3165</v>
      </c>
      <c r="P4736" s="18">
        <v>3220</v>
      </c>
      <c r="Q4736" t="s" s="16">
        <f>HYPERLINK("http://secrets.rutgers.edu:8080/data/asl-ftp/asllvd/demos/verify_start_end_handshape_annotations//test_auto_move//signs_mov/1010.mov","MOV")</f>
        <v>21</v>
      </c>
      <c r="R4736" t="s" s="16">
        <f>HYPERLINK("http://secrets.rutgers.edu:8080/data/asl-ftp/asllvd/demos/verify_start_end_handshape_annotations//test_auto_move//signs_mov_separ_signers/Tyler_1010.mov","MOV")</f>
        <v>21</v>
      </c>
    </row>
    <row r="4737" s="2" customFormat="1" ht="13.5" customHeight="1">
      <c r="B4737" s="13"/>
      <c r="C4737" t="s" s="9">
        <v>27</v>
      </c>
      <c r="D4737" t="s" s="8">
        <v>1618</v>
      </c>
      <c r="E4737" t="s" s="9">
        <v>1618</v>
      </c>
      <c r="F4737" t="s" s="10">
        <v>337</v>
      </c>
      <c r="G4737" s="14"/>
      <c r="H4737" t="s" s="10">
        <v>337</v>
      </c>
      <c r="I4737" s="14"/>
      <c r="J4737" t="s" s="11">
        <v>20</v>
      </c>
      <c r="K4737" s="15"/>
      <c r="L4737" t="s" s="16">
        <f>HYPERLINK("http://csr.bu.edu/ftp/asl/asllvd/demos/verify_start_end_handshape_annotations//test_auto_move//signs_mov_separ_signers/Naomi_1010.mov","MOV")</f>
        <v>21</v>
      </c>
      <c r="M4737" t="s" s="10">
        <v>38</v>
      </c>
      <c r="N4737" s="17">
        <v>1</v>
      </c>
      <c r="O4737" s="18">
        <v>3898</v>
      </c>
      <c r="P4737" s="18">
        <v>3922</v>
      </c>
      <c r="Q4737" s="15"/>
      <c r="R4737" t="s" s="16">
        <f>HYPERLINK("http://secrets.rutgers.edu:8080/data/asl-ftp/asllvd/demos/verify_start_end_handshape_annotations//test_auto_move//signs_mov_separ_signers/Naomi_1010.mov","MOV")</f>
        <v>21</v>
      </c>
    </row>
    <row r="4738" s="2" customFormat="1" ht="13.5" customHeight="1">
      <c r="B4738" s="13"/>
      <c r="C4738" t="s" s="9">
        <v>30</v>
      </c>
      <c r="D4738" t="s" s="8">
        <v>1618</v>
      </c>
      <c r="E4738" t="s" s="9">
        <v>1618</v>
      </c>
      <c r="F4738" t="s" s="10">
        <v>337</v>
      </c>
      <c r="G4738" s="14"/>
      <c r="H4738" t="s" s="10">
        <v>337</v>
      </c>
      <c r="I4738" s="14"/>
      <c r="J4738" t="s" s="11">
        <v>20</v>
      </c>
      <c r="K4738" s="15"/>
      <c r="L4738" t="s" s="16">
        <f>HYPERLINK("http://csr.bu.edu/ftp/asl/asllvd/demos/verify_start_end_handshape_annotations//test_auto_move//signs_mov_separ_signers/Brady_1010.mov","MOV")</f>
        <v>21</v>
      </c>
      <c r="M4738" t="s" s="10">
        <v>39</v>
      </c>
      <c r="N4738" s="17">
        <v>24</v>
      </c>
      <c r="O4738" s="18">
        <v>4682</v>
      </c>
      <c r="P4738" s="18">
        <v>4705</v>
      </c>
      <c r="Q4738" s="15"/>
      <c r="R4738" t="s" s="16">
        <f>HYPERLINK("http://secrets.rutgers.edu:8080/data/asl-ftp/asllvd/demos/verify_start_end_handshape_annotations//test_auto_move//signs_mov_separ_signers/Brady_1010.mov","MOV")</f>
        <v>21</v>
      </c>
    </row>
    <row r="4739" s="2" customFormat="1" ht="13.5" customHeight="1">
      <c r="B4739" t="s" s="8">
        <v>1619</v>
      </c>
      <c r="C4739" t="s" s="9">
        <v>14</v>
      </c>
      <c r="D4739" t="s" s="8">
        <v>14</v>
      </c>
      <c r="E4739" t="s" s="9">
        <v>14</v>
      </c>
      <c r="F4739" t="s" s="10">
        <v>14</v>
      </c>
      <c r="G4739" t="s" s="11">
        <v>14</v>
      </c>
      <c r="H4739" t="s" s="10">
        <v>14</v>
      </c>
      <c r="I4739" t="s" s="11">
        <v>14</v>
      </c>
      <c r="J4739" t="s" s="11">
        <v>14</v>
      </c>
      <c r="K4739" t="s" s="12">
        <v>14</v>
      </c>
      <c r="L4739" t="s" s="12">
        <v>14</v>
      </c>
      <c r="M4739" t="s" s="10">
        <v>14</v>
      </c>
      <c r="N4739" t="s" s="11">
        <v>14</v>
      </c>
      <c r="O4739" t="s" s="8">
        <v>14</v>
      </c>
      <c r="P4739" t="s" s="8">
        <v>14</v>
      </c>
      <c r="Q4739" t="s" s="12">
        <v>14</v>
      </c>
      <c r="R4739" t="s" s="12">
        <v>14</v>
      </c>
    </row>
    <row r="4740" s="2" customFormat="1" ht="13.5" customHeight="1">
      <c r="B4740" s="13"/>
      <c r="C4740" t="s" s="9">
        <v>16</v>
      </c>
      <c r="D4740" t="s" s="8">
        <v>1619</v>
      </c>
      <c r="E4740" t="s" s="9">
        <v>1619</v>
      </c>
      <c r="F4740" t="s" s="10">
        <v>68</v>
      </c>
      <c r="G4740" s="14"/>
      <c r="H4740" s="19">
        <v>5</v>
      </c>
      <c r="I4740" s="14"/>
      <c r="J4740" t="s" s="11">
        <v>20</v>
      </c>
      <c r="K4740" s="15"/>
      <c r="L4740" t="s" s="16">
        <f>HYPERLINK("http://csr.bu.edu/ftp/asl/asllvd/demos/verify_start_end_handshape_annotations//test_auto_move//signs_mov_separ_signers/Liz_1012.mov","MOV")</f>
        <v>21</v>
      </c>
      <c r="M4740" t="s" s="10">
        <v>34</v>
      </c>
      <c r="N4740" s="17">
        <v>2</v>
      </c>
      <c r="O4740" s="18">
        <v>810</v>
      </c>
      <c r="P4740" s="18">
        <v>855</v>
      </c>
      <c r="Q4740" s="15"/>
      <c r="R4740" t="s" s="16">
        <f>HYPERLINK("http://secrets.rutgers.edu:8080/data/asl-ftp/asllvd/demos/verify_start_end_handshape_annotations//test_auto_move//signs_mov_separ_signers/Liz_1012.mov","MOV")</f>
        <v>21</v>
      </c>
    </row>
    <row r="4741" s="2" customFormat="1" ht="13.5" customHeight="1">
      <c r="B4741" s="13"/>
      <c r="C4741" t="s" s="9">
        <v>16</v>
      </c>
      <c r="D4741" t="s" s="8">
        <v>1619</v>
      </c>
      <c r="E4741" t="s" s="9">
        <v>1619</v>
      </c>
      <c r="F4741" t="s" s="10">
        <v>63</v>
      </c>
      <c r="G4741" s="14"/>
      <c r="H4741" s="19">
        <v>5</v>
      </c>
      <c r="I4741" s="14"/>
      <c r="J4741" t="s" s="11">
        <v>20</v>
      </c>
      <c r="K4741" s="15"/>
      <c r="L4741" t="s" s="16">
        <f>HYPERLINK("http://csr.bu.edu/ftp/asl/asllvd/demos/verify_start_end_handshape_annotations//test_auto_move//signs_mov_separ_signers/Liz_3565.mov","MOV")</f>
        <v>21</v>
      </c>
      <c r="M4741" t="s" s="10">
        <v>77</v>
      </c>
      <c r="N4741" s="17">
        <v>27</v>
      </c>
      <c r="O4741" s="18">
        <v>650</v>
      </c>
      <c r="P4741" s="18">
        <v>700</v>
      </c>
      <c r="Q4741" s="15"/>
      <c r="R4741" t="s" s="16">
        <f>HYPERLINK("http://secrets.rutgers.edu:8080/data/asl-ftp/asllvd/demos/verify_start_end_handshape_annotations//test_auto_move//signs_mov_separ_signers/Liz_3565.mov","MOV")</f>
        <v>21</v>
      </c>
    </row>
    <row r="4742" s="2" customFormat="1" ht="13.5" customHeight="1">
      <c r="B4742" s="13"/>
      <c r="C4742" t="s" s="9">
        <v>23</v>
      </c>
      <c r="D4742" t="s" s="8">
        <v>1619</v>
      </c>
      <c r="E4742" t="s" s="9">
        <v>1619</v>
      </c>
      <c r="F4742" t="s" s="10">
        <v>68</v>
      </c>
      <c r="G4742" s="14"/>
      <c r="H4742" s="19">
        <v>5</v>
      </c>
      <c r="I4742" s="14"/>
      <c r="J4742" t="s" s="11">
        <v>20</v>
      </c>
      <c r="K4742" t="s" s="16">
        <f>HYPERLINK("http://csr.bu.edu/ftp/asl/asllvd/demos/verify_start_end_handshape_annotations//test_auto_move//signs_mov/1012_3565_merged.mov","MOV")</f>
        <v>21</v>
      </c>
      <c r="L4742" t="s" s="16">
        <f>HYPERLINK("http://csr.bu.edu/ftp/asl/asllvd/demos/verify_start_end_handshape_annotations//test_auto_move//signs_mov_separ_signers/Tyler_1012.mov","MOV")</f>
        <v>21</v>
      </c>
      <c r="M4742" t="s" s="10">
        <v>92</v>
      </c>
      <c r="N4742" s="17">
        <v>34</v>
      </c>
      <c r="O4742" s="18">
        <v>395</v>
      </c>
      <c r="P4742" s="18">
        <v>430</v>
      </c>
      <c r="Q4742" t="s" s="16">
        <f>HYPERLINK("http://secrets.rutgers.edu:8080/data/asl-ftp/asllvd/demos/verify_start_end_handshape_annotations//test_auto_move//signs_mov/1012_3565_merged.mov","MOV")</f>
        <v>21</v>
      </c>
      <c r="R4742" t="s" s="16">
        <f>HYPERLINK("http://secrets.rutgers.edu:8080/data/asl-ftp/asllvd/demos/verify_start_end_handshape_annotations//test_auto_move//signs_mov_separ_signers/Tyler_1012.mov","MOV")</f>
        <v>21</v>
      </c>
    </row>
    <row r="4743" s="2" customFormat="1" ht="13.5" customHeight="1">
      <c r="B4743" s="13"/>
      <c r="C4743" t="s" s="9">
        <v>27</v>
      </c>
      <c r="D4743" t="s" s="8">
        <v>1619</v>
      </c>
      <c r="E4743" t="s" s="9">
        <v>1619</v>
      </c>
      <c r="F4743" t="s" s="10">
        <v>63</v>
      </c>
      <c r="G4743" s="14"/>
      <c r="H4743" s="19">
        <v>5</v>
      </c>
      <c r="I4743" s="14"/>
      <c r="J4743" t="s" s="11">
        <v>20</v>
      </c>
      <c r="K4743" s="15"/>
      <c r="L4743" t="s" s="16">
        <f>HYPERLINK("http://csr.bu.edu/ftp/asl/asllvd/demos/verify_start_end_handshape_annotations//test_auto_move//signs_mov_separ_signers/Naomi_1012.mov","MOV")</f>
        <v>21</v>
      </c>
      <c r="M4743" t="s" s="10">
        <v>38</v>
      </c>
      <c r="N4743" s="17">
        <v>2</v>
      </c>
      <c r="O4743" s="18">
        <v>556</v>
      </c>
      <c r="P4743" s="18">
        <v>590</v>
      </c>
      <c r="Q4743" s="15"/>
      <c r="R4743" t="s" s="16">
        <f>HYPERLINK("http://secrets.rutgers.edu:8080/data/asl-ftp/asllvd/demos/verify_start_end_handshape_annotations//test_auto_move//signs_mov_separ_signers/Naomi_1012.mov","MOV")</f>
        <v>21</v>
      </c>
    </row>
    <row r="4744" s="2" customFormat="1" ht="13.5" customHeight="1">
      <c r="B4744" s="13"/>
      <c r="C4744" t="s" s="9">
        <v>30</v>
      </c>
      <c r="D4744" t="s" s="8">
        <v>1619</v>
      </c>
      <c r="E4744" t="s" s="9">
        <v>1619</v>
      </c>
      <c r="F4744" t="s" s="10">
        <v>68</v>
      </c>
      <c r="G4744" s="14"/>
      <c r="H4744" s="19">
        <v>5</v>
      </c>
      <c r="I4744" s="14"/>
      <c r="J4744" t="s" s="11">
        <v>20</v>
      </c>
      <c r="K4744" s="15"/>
      <c r="L4744" t="s" s="16">
        <f>HYPERLINK("http://csr.bu.edu/ftp/asl/asllvd/demos/verify_start_end_handshape_annotations//test_auto_move//signs_mov_separ_signers/Brady_1012.mov","MOV")</f>
        <v>21</v>
      </c>
      <c r="M4744" t="s" s="10">
        <v>31</v>
      </c>
      <c r="N4744" s="17">
        <v>34</v>
      </c>
      <c r="O4744" s="18">
        <v>1062</v>
      </c>
      <c r="P4744" s="18">
        <v>1082</v>
      </c>
      <c r="Q4744" s="15"/>
      <c r="R4744" t="s" s="16">
        <f>HYPERLINK("http://secrets.rutgers.edu:8080/data/asl-ftp/asllvd/demos/verify_start_end_handshape_annotations//test_auto_move//signs_mov_separ_signers/Brady_1012.mov","MOV")</f>
        <v>21</v>
      </c>
    </row>
    <row r="4745" s="2" customFormat="1" ht="13.5" customHeight="1">
      <c r="B4745" s="13"/>
      <c r="C4745" t="s" s="9">
        <v>30</v>
      </c>
      <c r="D4745" t="s" s="8">
        <v>1619</v>
      </c>
      <c r="E4745" t="s" s="9">
        <v>1619</v>
      </c>
      <c r="F4745" t="s" s="10">
        <v>68</v>
      </c>
      <c r="G4745" s="14"/>
      <c r="H4745" s="19">
        <v>5</v>
      </c>
      <c r="I4745" s="14"/>
      <c r="J4745" t="s" s="11">
        <v>20</v>
      </c>
      <c r="K4745" s="15"/>
      <c r="L4745" t="s" s="16">
        <f>HYPERLINK("http://csr.bu.edu/ftp/asl/asllvd/demos/verify_start_end_handshape_annotations//test_auto_move//signs_mov_separ_signers/Brady_3565.mov","MOV")</f>
        <v>21</v>
      </c>
      <c r="M4745" t="s" s="10">
        <v>39</v>
      </c>
      <c r="N4745" s="17">
        <v>24</v>
      </c>
      <c r="O4745" s="18">
        <v>5490</v>
      </c>
      <c r="P4745" s="18">
        <v>5510</v>
      </c>
      <c r="Q4745" s="15"/>
      <c r="R4745" t="s" s="16">
        <f>HYPERLINK("http://secrets.rutgers.edu:8080/data/asl-ftp/asllvd/demos/verify_start_end_handshape_annotations//test_auto_move//signs_mov_separ_signers/Brady_3565.mov","MOV")</f>
        <v>21</v>
      </c>
    </row>
    <row r="4746" s="2" customFormat="1" ht="13.5" customHeight="1">
      <c r="B4746" t="s" s="8">
        <v>1620</v>
      </c>
      <c r="C4746" t="s" s="9">
        <v>14</v>
      </c>
      <c r="D4746" t="s" s="8">
        <v>14</v>
      </c>
      <c r="E4746" t="s" s="9">
        <v>14</v>
      </c>
      <c r="F4746" t="s" s="10">
        <v>14</v>
      </c>
      <c r="G4746" t="s" s="11">
        <v>14</v>
      </c>
      <c r="H4746" t="s" s="10">
        <v>14</v>
      </c>
      <c r="I4746" t="s" s="11">
        <v>14</v>
      </c>
      <c r="J4746" t="s" s="11">
        <v>14</v>
      </c>
      <c r="K4746" t="s" s="12">
        <v>14</v>
      </c>
      <c r="L4746" t="s" s="12">
        <v>14</v>
      </c>
      <c r="M4746" t="s" s="10">
        <v>14</v>
      </c>
      <c r="N4746" t="s" s="11">
        <v>14</v>
      </c>
      <c r="O4746" t="s" s="8">
        <v>14</v>
      </c>
      <c r="P4746" t="s" s="8">
        <v>14</v>
      </c>
      <c r="Q4746" t="s" s="12">
        <v>14</v>
      </c>
      <c r="R4746" t="s" s="12">
        <v>14</v>
      </c>
    </row>
    <row r="4747" s="2" customFormat="1" ht="13.5" customHeight="1">
      <c r="B4747" s="13"/>
      <c r="C4747" t="s" s="9">
        <v>16</v>
      </c>
      <c r="D4747" t="s" s="8">
        <v>1620</v>
      </c>
      <c r="E4747" t="s" s="9">
        <v>1621</v>
      </c>
      <c r="F4747" t="s" s="10">
        <v>68</v>
      </c>
      <c r="G4747" s="14"/>
      <c r="H4747" t="s" s="10">
        <v>68</v>
      </c>
      <c r="I4747" s="14"/>
      <c r="J4747" t="s" s="11">
        <v>20</v>
      </c>
      <c r="K4747" s="15"/>
      <c r="L4747" t="s" s="16">
        <f>HYPERLINK("http://csr.bu.edu/ftp/asl/asllvd/demos/verify_start_end_handshape_annotations//test_auto_move//signs_mov_separ_signers/Liz_1014.mov","MOV")</f>
        <v>21</v>
      </c>
      <c r="M4747" t="s" s="10">
        <v>34</v>
      </c>
      <c r="N4747" s="17">
        <v>2</v>
      </c>
      <c r="O4747" s="18">
        <v>1286</v>
      </c>
      <c r="P4747" s="18">
        <v>1350</v>
      </c>
      <c r="Q4747" s="15"/>
      <c r="R4747" t="s" s="16">
        <f>HYPERLINK("http://secrets.rutgers.edu:8080/data/asl-ftp/asllvd/demos/verify_start_end_handshape_annotations//test_auto_move//signs_mov_separ_signers/Liz_1014.mov","MOV")</f>
        <v>21</v>
      </c>
    </row>
    <row r="4748" s="2" customFormat="1" ht="13.5" customHeight="1">
      <c r="B4748" s="13"/>
      <c r="C4748" t="s" s="9">
        <v>23</v>
      </c>
      <c r="D4748" t="s" s="8">
        <v>1620</v>
      </c>
      <c r="E4748" t="s" s="9">
        <v>1622</v>
      </c>
      <c r="F4748" s="19">
        <v>10</v>
      </c>
      <c r="G4748" s="14"/>
      <c r="H4748" s="19">
        <v>10</v>
      </c>
      <c r="I4748" s="14"/>
      <c r="J4748" t="s" s="11">
        <v>20</v>
      </c>
      <c r="K4748" t="s" s="16">
        <f>HYPERLINK("http://csr.bu.edu/ftp/asl/asllvd/demos/verify_start_end_handshape_annotations//test_auto_move//signs_mov/1014.mov","MOV")</f>
        <v>21</v>
      </c>
      <c r="L4748" t="s" s="16">
        <f>HYPERLINK("http://csr.bu.edu/ftp/asl/asllvd/demos/verify_start_end_handshape_annotations//test_auto_move//signs_mov_separ_signers/Tyler_1014.mov","MOV")</f>
        <v>21</v>
      </c>
      <c r="M4748" t="s" s="10">
        <v>92</v>
      </c>
      <c r="N4748" s="17">
        <v>34</v>
      </c>
      <c r="O4748" s="18">
        <v>740</v>
      </c>
      <c r="P4748" s="18">
        <v>796</v>
      </c>
      <c r="Q4748" t="s" s="16">
        <f>HYPERLINK("http://secrets.rutgers.edu:8080/data/asl-ftp/asllvd/demos/verify_start_end_handshape_annotations//test_auto_move//signs_mov/1014.mov","MOV")</f>
        <v>21</v>
      </c>
      <c r="R4748" t="s" s="16">
        <f>HYPERLINK("http://secrets.rutgers.edu:8080/data/asl-ftp/asllvd/demos/verify_start_end_handshape_annotations//test_auto_move//signs_mov_separ_signers/Tyler_1014.mov","MOV")</f>
        <v>21</v>
      </c>
    </row>
    <row r="4749" s="2" customFormat="1" ht="13.5" customHeight="1">
      <c r="B4749" s="13"/>
      <c r="C4749" t="s" s="9">
        <v>27</v>
      </c>
      <c r="D4749" t="s" s="8">
        <v>1620</v>
      </c>
      <c r="E4749" t="s" s="9">
        <v>1621</v>
      </c>
      <c r="F4749" s="19">
        <v>10</v>
      </c>
      <c r="G4749" s="14"/>
      <c r="H4749" s="19">
        <v>10</v>
      </c>
      <c r="I4749" s="14"/>
      <c r="J4749" t="s" s="11">
        <v>20</v>
      </c>
      <c r="K4749" s="15"/>
      <c r="L4749" t="s" s="16">
        <f>HYPERLINK("http://csr.bu.edu/ftp/asl/asllvd/demos/verify_start_end_handshape_annotations//test_auto_move//signs_mov_separ_signers/Naomi_1014.mov","MOV")</f>
        <v>21</v>
      </c>
      <c r="M4749" t="s" s="10">
        <v>38</v>
      </c>
      <c r="N4749" s="17">
        <v>2</v>
      </c>
      <c r="O4749" s="18">
        <v>1081</v>
      </c>
      <c r="P4749" s="18">
        <v>1115</v>
      </c>
      <c r="Q4749" s="15"/>
      <c r="R4749" t="s" s="16">
        <f>HYPERLINK("http://secrets.rutgers.edu:8080/data/asl-ftp/asllvd/demos/verify_start_end_handshape_annotations//test_auto_move//signs_mov_separ_signers/Naomi_1014.mov","MOV")</f>
        <v>21</v>
      </c>
    </row>
    <row r="4750" s="2" customFormat="1" ht="13.5" customHeight="1">
      <c r="B4750" s="13"/>
      <c r="C4750" t="s" s="9">
        <v>30</v>
      </c>
      <c r="D4750" t="s" s="8">
        <v>1620</v>
      </c>
      <c r="E4750" t="s" s="9">
        <v>1621</v>
      </c>
      <c r="F4750" t="s" s="10">
        <v>68</v>
      </c>
      <c r="G4750" s="14"/>
      <c r="H4750" t="s" s="10">
        <v>68</v>
      </c>
      <c r="I4750" s="14"/>
      <c r="J4750" t="s" s="11">
        <v>20</v>
      </c>
      <c r="K4750" s="15"/>
      <c r="L4750" t="s" s="16">
        <f>HYPERLINK("http://csr.bu.edu/ftp/asl/asllvd/demos/verify_start_end_handshape_annotations//test_auto_move//signs_mov_separ_signers/Brady_1014.mov","MOV")</f>
        <v>21</v>
      </c>
      <c r="M4750" t="s" s="10">
        <v>39</v>
      </c>
      <c r="N4750" s="17">
        <v>24</v>
      </c>
      <c r="O4750" s="18">
        <v>6182</v>
      </c>
      <c r="P4750" s="18">
        <v>6211</v>
      </c>
      <c r="Q4750" s="15"/>
      <c r="R4750" t="s" s="16">
        <f>HYPERLINK("http://secrets.rutgers.edu:8080/data/asl-ftp/asllvd/demos/verify_start_end_handshape_annotations//test_auto_move//signs_mov_separ_signers/Brady_1014.mov","MOV")</f>
        <v>21</v>
      </c>
    </row>
    <row r="4751" s="2" customFormat="1" ht="13.5" customHeight="1">
      <c r="B4751" t="s" s="8">
        <v>1623</v>
      </c>
      <c r="C4751" t="s" s="9">
        <v>14</v>
      </c>
      <c r="D4751" t="s" s="8">
        <v>14</v>
      </c>
      <c r="E4751" t="s" s="9">
        <v>14</v>
      </c>
      <c r="F4751" t="s" s="10">
        <v>14</v>
      </c>
      <c r="G4751" t="s" s="11">
        <v>14</v>
      </c>
      <c r="H4751" t="s" s="10">
        <v>14</v>
      </c>
      <c r="I4751" t="s" s="11">
        <v>14</v>
      </c>
      <c r="J4751" t="s" s="11">
        <v>14</v>
      </c>
      <c r="K4751" t="s" s="12">
        <v>14</v>
      </c>
      <c r="L4751" t="s" s="12">
        <v>14</v>
      </c>
      <c r="M4751" t="s" s="10">
        <v>14</v>
      </c>
      <c r="N4751" t="s" s="11">
        <v>14</v>
      </c>
      <c r="O4751" t="s" s="8">
        <v>14</v>
      </c>
      <c r="P4751" t="s" s="8">
        <v>14</v>
      </c>
      <c r="Q4751" t="s" s="12">
        <v>14</v>
      </c>
      <c r="R4751" t="s" s="12">
        <v>14</v>
      </c>
    </row>
    <row r="4752" s="2" customFormat="1" ht="13.5" customHeight="1">
      <c r="B4752" s="13"/>
      <c r="C4752" t="s" s="9">
        <v>16</v>
      </c>
      <c r="D4752" t="s" s="8">
        <v>1623</v>
      </c>
      <c r="E4752" t="s" s="9">
        <v>1624</v>
      </c>
      <c r="F4752" s="19">
        <v>3</v>
      </c>
      <c r="G4752" t="s" s="11">
        <v>73</v>
      </c>
      <c r="H4752" s="19">
        <v>3</v>
      </c>
      <c r="I4752" t="s" s="11">
        <v>73</v>
      </c>
      <c r="J4752" t="s" s="11">
        <v>20</v>
      </c>
      <c r="K4752" s="15"/>
      <c r="L4752" t="s" s="16">
        <f>HYPERLINK("http://csr.bu.edu/ftp/asl/asllvd/demos/verify_start_end_handshape_annotations//test_auto_move//signs_mov_separ_signers/Liz_1016.mov","MOV")</f>
        <v>21</v>
      </c>
      <c r="M4752" t="s" s="10">
        <v>34</v>
      </c>
      <c r="N4752" s="17">
        <v>2</v>
      </c>
      <c r="O4752" s="18">
        <v>2680</v>
      </c>
      <c r="P4752" s="18">
        <v>2740</v>
      </c>
      <c r="Q4752" s="15"/>
      <c r="R4752" t="s" s="16">
        <f>HYPERLINK("http://secrets.rutgers.edu:8080/data/asl-ftp/asllvd/demos/verify_start_end_handshape_annotations//test_auto_move//signs_mov_separ_signers/Liz_1016.mov","MOV")</f>
        <v>21</v>
      </c>
    </row>
    <row r="4753" s="2" customFormat="1" ht="13.5" customHeight="1">
      <c r="B4753" s="13"/>
      <c r="C4753" t="s" s="9">
        <v>16</v>
      </c>
      <c r="D4753" t="s" s="8">
        <v>1623</v>
      </c>
      <c r="E4753" t="s" s="9">
        <v>1624</v>
      </c>
      <c r="F4753" s="19">
        <v>3</v>
      </c>
      <c r="G4753" t="s" s="11">
        <v>73</v>
      </c>
      <c r="H4753" s="19">
        <v>3</v>
      </c>
      <c r="I4753" t="s" s="11">
        <v>73</v>
      </c>
      <c r="J4753" t="s" s="11">
        <v>20</v>
      </c>
      <c r="K4753" s="15"/>
      <c r="L4753" t="s" s="16">
        <f>HYPERLINK("http://csr.bu.edu/ftp/asl/asllvd/demos/verify_start_end_handshape_annotations//test_auto_move//signs_mov_separ_signers/Liz_15554.mov","MOV")</f>
        <v>21</v>
      </c>
      <c r="M4753" t="s" s="10">
        <v>36</v>
      </c>
      <c r="N4753" s="17">
        <v>51</v>
      </c>
      <c r="O4753" s="18">
        <v>1340</v>
      </c>
      <c r="P4753" s="18">
        <v>1397</v>
      </c>
      <c r="Q4753" s="15"/>
      <c r="R4753" t="s" s="16">
        <f>HYPERLINK("http://secrets.rutgers.edu:8080/data/asl-ftp/asllvd/demos/verify_start_end_handshape_annotations//test_auto_move//signs_mov_separ_signers/Liz_15554.mov","MOV")</f>
        <v>21</v>
      </c>
    </row>
    <row r="4754" s="2" customFormat="1" ht="13.5" customHeight="1">
      <c r="B4754" s="13"/>
      <c r="C4754" t="s" s="9">
        <v>23</v>
      </c>
      <c r="D4754" t="s" s="8">
        <v>1623</v>
      </c>
      <c r="E4754" t="s" s="9">
        <v>1623</v>
      </c>
      <c r="F4754" s="19">
        <v>3</v>
      </c>
      <c r="G4754" t="s" s="11">
        <v>80</v>
      </c>
      <c r="H4754" s="19">
        <v>3</v>
      </c>
      <c r="I4754" t="s" s="11">
        <v>80</v>
      </c>
      <c r="J4754" t="s" s="11">
        <v>20</v>
      </c>
      <c r="K4754" t="s" s="16">
        <f>HYPERLINK("http://csr.bu.edu/ftp/asl/asllvd/demos/verify_start_end_handshape_annotations//test_auto_move//signs_mov/1016_15554_merged.mov","MOV")</f>
        <v>21</v>
      </c>
      <c r="L4754" t="s" s="16">
        <f>HYPERLINK("http://csr.bu.edu/ftp/asl/asllvd/demos/verify_start_end_handshape_annotations//test_auto_move//signs_mov_separ_signers/Tyler_1016.mov","MOV")</f>
        <v>21</v>
      </c>
      <c r="M4754" t="s" s="10">
        <v>92</v>
      </c>
      <c r="N4754" s="17">
        <v>34</v>
      </c>
      <c r="O4754" s="18">
        <v>1320</v>
      </c>
      <c r="P4754" s="18">
        <v>1350</v>
      </c>
      <c r="Q4754" t="s" s="16">
        <f>HYPERLINK("http://secrets.rutgers.edu:8080/data/asl-ftp/asllvd/demos/verify_start_end_handshape_annotations//test_auto_move//signs_mov/1016_15554_merged.mov","MOV")</f>
        <v>21</v>
      </c>
      <c r="R4754" t="s" s="16">
        <f>HYPERLINK("http://secrets.rutgers.edu:8080/data/asl-ftp/asllvd/demos/verify_start_end_handshape_annotations//test_auto_move//signs_mov_separ_signers/Tyler_1016.mov","MOV")</f>
        <v>21</v>
      </c>
    </row>
    <row r="4755" s="2" customFormat="1" ht="13.5" customHeight="1">
      <c r="B4755" s="13"/>
      <c r="C4755" t="s" s="9">
        <v>27</v>
      </c>
      <c r="D4755" t="s" s="8">
        <v>1623</v>
      </c>
      <c r="E4755" t="s" s="9">
        <v>1624</v>
      </c>
      <c r="F4755" s="19">
        <v>3</v>
      </c>
      <c r="G4755" t="s" s="11">
        <v>73</v>
      </c>
      <c r="H4755" s="19">
        <v>3</v>
      </c>
      <c r="I4755" t="s" s="11">
        <v>73</v>
      </c>
      <c r="J4755" t="s" s="11">
        <v>20</v>
      </c>
      <c r="K4755" s="15"/>
      <c r="L4755" t="s" s="16">
        <f>HYPERLINK("http://csr.bu.edu/ftp/asl/asllvd/demos/verify_start_end_handshape_annotations//test_auto_move//signs_mov_separ_signers/Naomi_1016.mov","MOV")</f>
        <v>21</v>
      </c>
      <c r="M4755" t="s" s="10">
        <v>38</v>
      </c>
      <c r="N4755" s="17">
        <v>2</v>
      </c>
      <c r="O4755" s="18">
        <v>2060</v>
      </c>
      <c r="P4755" s="18">
        <v>2090</v>
      </c>
      <c r="Q4755" s="15"/>
      <c r="R4755" t="s" s="16">
        <f>HYPERLINK("http://secrets.rutgers.edu:8080/data/asl-ftp/asllvd/demos/verify_start_end_handshape_annotations//test_auto_move//signs_mov_separ_signers/Naomi_1016.mov","MOV")</f>
        <v>21</v>
      </c>
    </row>
    <row r="4756" s="2" customFormat="1" ht="13.5" customHeight="1">
      <c r="B4756" s="13"/>
      <c r="C4756" t="s" s="9">
        <v>30</v>
      </c>
      <c r="D4756" t="s" s="8">
        <v>1623</v>
      </c>
      <c r="E4756" t="s" s="9">
        <v>1625</v>
      </c>
      <c r="F4756" s="19">
        <v>3</v>
      </c>
      <c r="G4756" t="s" s="11">
        <v>85</v>
      </c>
      <c r="H4756" s="19">
        <v>3</v>
      </c>
      <c r="I4756" t="s" s="11">
        <v>85</v>
      </c>
      <c r="J4756" t="s" s="11">
        <v>20</v>
      </c>
      <c r="K4756" s="15"/>
      <c r="L4756" t="s" s="16">
        <f>HYPERLINK("http://csr.bu.edu/ftp/asl/asllvd/demos/verify_start_end_handshape_annotations//test_auto_move//signs_mov_separ_signers/Brady_1016.mov","MOV")</f>
        <v>21</v>
      </c>
      <c r="M4756" t="s" s="10">
        <v>40</v>
      </c>
      <c r="N4756" s="17">
        <v>102</v>
      </c>
      <c r="O4756" s="18">
        <v>2719</v>
      </c>
      <c r="P4756" s="18">
        <v>2759</v>
      </c>
      <c r="Q4756" s="15"/>
      <c r="R4756" t="s" s="16">
        <f>HYPERLINK("http://secrets.rutgers.edu:8080/data/asl-ftp/asllvd/demos/verify_start_end_handshape_annotations//test_auto_move//signs_mov_separ_signers/Brady_1016.mov","MOV")</f>
        <v>21</v>
      </c>
    </row>
    <row r="4757" s="2" customFormat="1" ht="13.5" customHeight="1">
      <c r="B4757" t="s" s="8">
        <v>1626</v>
      </c>
      <c r="C4757" t="s" s="9">
        <v>14</v>
      </c>
      <c r="D4757" t="s" s="8">
        <v>14</v>
      </c>
      <c r="E4757" t="s" s="9">
        <v>14</v>
      </c>
      <c r="F4757" t="s" s="10">
        <v>14</v>
      </c>
      <c r="G4757" t="s" s="11">
        <v>14</v>
      </c>
      <c r="H4757" t="s" s="10">
        <v>14</v>
      </c>
      <c r="I4757" t="s" s="11">
        <v>14</v>
      </c>
      <c r="J4757" t="s" s="11">
        <v>14</v>
      </c>
      <c r="K4757" t="s" s="12">
        <v>14</v>
      </c>
      <c r="L4757" t="s" s="12">
        <v>14</v>
      </c>
      <c r="M4757" t="s" s="10">
        <v>14</v>
      </c>
      <c r="N4757" t="s" s="11">
        <v>14</v>
      </c>
      <c r="O4757" t="s" s="8">
        <v>14</v>
      </c>
      <c r="P4757" t="s" s="8">
        <v>14</v>
      </c>
      <c r="Q4757" t="s" s="12">
        <v>14</v>
      </c>
      <c r="R4757" t="s" s="12">
        <v>14</v>
      </c>
    </row>
    <row r="4758" s="2" customFormat="1" ht="13.5" customHeight="1">
      <c r="B4758" s="13"/>
      <c r="C4758" t="s" s="9">
        <v>16</v>
      </c>
      <c r="D4758" t="s" s="8">
        <v>1626</v>
      </c>
      <c r="E4758" t="s" s="9">
        <v>1626</v>
      </c>
      <c r="F4758" s="19">
        <v>5</v>
      </c>
      <c r="G4758" s="17">
        <v>1</v>
      </c>
      <c r="H4758" s="19">
        <v>5</v>
      </c>
      <c r="I4758" s="17">
        <v>1</v>
      </c>
      <c r="J4758" t="s" s="11">
        <v>20</v>
      </c>
      <c r="K4758" t="s" s="16">
        <f>HYPERLINK("http://csr.bu.edu/ftp/asl/asllvd/demos/verify_start_end_handshape_annotations//test_auto_move//signs_mov/16156.mov","MOV")</f>
        <v>21</v>
      </c>
      <c r="L4758" t="s" s="16">
        <f>HYPERLINK("http://csr.bu.edu/ftp/asl/asllvd/demos/verify_start_end_handshape_annotations//test_auto_move//signs_mov_separ_signers/Liz_16156.mov","MOV")</f>
        <v>21</v>
      </c>
      <c r="M4758" t="s" s="10">
        <v>34</v>
      </c>
      <c r="N4758" s="17">
        <v>21</v>
      </c>
      <c r="O4758" s="18">
        <v>731</v>
      </c>
      <c r="P4758" s="18">
        <v>790</v>
      </c>
      <c r="Q4758" t="s" s="16">
        <f>HYPERLINK("http://secrets.rutgers.edu:8080/data/asl-ftp/asllvd/demos/verify_start_end_handshape_annotations//test_auto_move//signs_mov/16156.mov","MOV")</f>
        <v>21</v>
      </c>
      <c r="R4758" t="s" s="16">
        <f>HYPERLINK("http://secrets.rutgers.edu:8080/data/asl-ftp/asllvd/demos/verify_start_end_handshape_annotations//test_auto_move//signs_mov_separ_signers/Liz_16156.mov","MOV")</f>
        <v>21</v>
      </c>
    </row>
    <row r="4759" s="2" customFormat="1" ht="13.5" customHeight="1">
      <c r="B4759" s="13"/>
      <c r="C4759" t="s" s="9">
        <v>23</v>
      </c>
      <c r="D4759" t="s" s="8">
        <v>1626</v>
      </c>
      <c r="E4759" t="s" s="9">
        <v>1626</v>
      </c>
      <c r="F4759" s="19">
        <v>5</v>
      </c>
      <c r="G4759" s="17">
        <v>1</v>
      </c>
      <c r="H4759" s="19">
        <v>5</v>
      </c>
      <c r="I4759" s="17">
        <v>1</v>
      </c>
      <c r="J4759" t="s" s="11">
        <v>20</v>
      </c>
      <c r="K4759" s="15"/>
      <c r="L4759" t="s" s="16">
        <f>HYPERLINK("http://csr.bu.edu/ftp/asl/asllvd/demos/verify_start_end_handshape_annotations//test_auto_move//signs_mov_separ_signers/Tyler_16156.mov","MOV")</f>
        <v>21</v>
      </c>
      <c r="M4759" t="s" s="10">
        <v>92</v>
      </c>
      <c r="N4759" s="17">
        <v>49</v>
      </c>
      <c r="O4759" s="18">
        <v>261</v>
      </c>
      <c r="P4759" s="18">
        <v>307</v>
      </c>
      <c r="Q4759" s="15"/>
      <c r="R4759" t="s" s="16">
        <f>HYPERLINK("http://secrets.rutgers.edu:8080/data/asl-ftp/asllvd/demos/verify_start_end_handshape_annotations//test_auto_move//signs_mov_separ_signers/Tyler_16156.mov","MOV")</f>
        <v>21</v>
      </c>
    </row>
    <row r="4760" s="2" customFormat="1" ht="13.5" customHeight="1">
      <c r="B4760" t="s" s="8">
        <v>52</v>
      </c>
      <c r="C4760" t="s" s="9">
        <v>53</v>
      </c>
      <c r="D4760" t="s" s="8">
        <v>53</v>
      </c>
      <c r="E4760" t="s" s="9">
        <v>53</v>
      </c>
      <c r="F4760" t="s" s="10">
        <v>53</v>
      </c>
      <c r="G4760" t="s" s="11">
        <v>53</v>
      </c>
      <c r="H4760" t="s" s="10">
        <v>53</v>
      </c>
      <c r="I4760" t="s" s="11">
        <v>53</v>
      </c>
      <c r="J4760" t="s" s="11">
        <v>53</v>
      </c>
      <c r="K4760" t="s" s="12">
        <v>53</v>
      </c>
      <c r="L4760" t="s" s="12">
        <v>53</v>
      </c>
      <c r="M4760" t="s" s="10">
        <v>53</v>
      </c>
      <c r="N4760" t="s" s="11">
        <v>53</v>
      </c>
      <c r="O4760" t="s" s="8">
        <v>53</v>
      </c>
      <c r="P4760" t="s" s="8">
        <v>53</v>
      </c>
      <c r="Q4760" t="s" s="12">
        <v>53</v>
      </c>
      <c r="R4760" t="s" s="12">
        <v>53</v>
      </c>
    </row>
    <row r="4761" s="2" customFormat="1" ht="13.5" customHeight="1">
      <c r="B4761" s="13"/>
      <c r="C4761" t="s" s="9">
        <v>27</v>
      </c>
      <c r="D4761" t="s" s="8">
        <v>1626</v>
      </c>
      <c r="E4761" t="s" s="9">
        <v>1627</v>
      </c>
      <c r="F4761" s="19">
        <v>3</v>
      </c>
      <c r="G4761" s="17">
        <v>5</v>
      </c>
      <c r="H4761" s="19">
        <v>3</v>
      </c>
      <c r="I4761" s="17">
        <v>5</v>
      </c>
      <c r="J4761" t="s" s="11">
        <v>20</v>
      </c>
      <c r="K4761" t="s" s="16">
        <f>HYPERLINK("http://csr.bu.edu/ftp/asl/asllvd/demos/verify_start_end_handshape_annotations//test_auto_move//signs_mov/16168.mov","MOV")</f>
        <v>21</v>
      </c>
      <c r="L4761" t="s" s="16">
        <f>HYPERLINK("http://csr.bu.edu/ftp/asl/asllvd/demos/verify_start_end_handshape_annotations//test_auto_move//signs_mov_separ_signers/Naomi_16168.mov","MOV")</f>
        <v>21</v>
      </c>
      <c r="M4761" t="s" s="10">
        <v>38</v>
      </c>
      <c r="N4761" s="17">
        <v>17</v>
      </c>
      <c r="O4761" s="18">
        <v>571</v>
      </c>
      <c r="P4761" s="18">
        <v>596</v>
      </c>
      <c r="Q4761" t="s" s="16">
        <f>HYPERLINK("http://secrets.rutgers.edu:8080/data/asl-ftp/asllvd/demos/verify_start_end_handshape_annotations//test_auto_move//signs_mov/16168.mov","MOV")</f>
        <v>21</v>
      </c>
      <c r="R4761" t="s" s="16">
        <f>HYPERLINK("http://secrets.rutgers.edu:8080/data/asl-ftp/asllvd/demos/verify_start_end_handshape_annotations//test_auto_move//signs_mov_separ_signers/Naomi_16168.mov","MOV")</f>
        <v>21</v>
      </c>
    </row>
    <row r="4762" s="2" customFormat="1" ht="13.5" customHeight="1">
      <c r="B4762" s="13"/>
      <c r="C4762" t="s" s="9">
        <v>30</v>
      </c>
      <c r="D4762" t="s" s="8">
        <v>1626</v>
      </c>
      <c r="E4762" t="s" s="9">
        <v>1627</v>
      </c>
      <c r="F4762" s="19">
        <v>3</v>
      </c>
      <c r="G4762" s="17">
        <v>5</v>
      </c>
      <c r="H4762" s="19">
        <v>3</v>
      </c>
      <c r="I4762" s="17">
        <v>5</v>
      </c>
      <c r="J4762" t="s" s="11">
        <v>20</v>
      </c>
      <c r="K4762" s="15"/>
      <c r="L4762" t="s" s="16">
        <f>HYPERLINK("http://csr.bu.edu/ftp/asl/asllvd/demos/verify_start_end_handshape_annotations//test_auto_move//signs_mov_separ_signers/Brady_16168.mov","MOV")</f>
        <v>21</v>
      </c>
      <c r="M4762" t="s" s="10">
        <v>39</v>
      </c>
      <c r="N4762" s="17">
        <v>33</v>
      </c>
      <c r="O4762" s="18">
        <v>3228</v>
      </c>
      <c r="P4762" s="18">
        <v>3258</v>
      </c>
      <c r="Q4762" s="15"/>
      <c r="R4762" t="s" s="16">
        <f>HYPERLINK("http://secrets.rutgers.edu:8080/data/asl-ftp/asllvd/demos/verify_start_end_handshape_annotations//test_auto_move//signs_mov_separ_signers/Brady_16168.mov","MOV")</f>
        <v>21</v>
      </c>
    </row>
    <row r="4763" s="2" customFormat="1" ht="13.5" customHeight="1">
      <c r="B4763" t="s" s="8">
        <v>1628</v>
      </c>
      <c r="C4763" t="s" s="9">
        <v>14</v>
      </c>
      <c r="D4763" t="s" s="8">
        <v>14</v>
      </c>
      <c r="E4763" t="s" s="9">
        <v>14</v>
      </c>
      <c r="F4763" t="s" s="10">
        <v>14</v>
      </c>
      <c r="G4763" t="s" s="11">
        <v>14</v>
      </c>
      <c r="H4763" t="s" s="10">
        <v>14</v>
      </c>
      <c r="I4763" t="s" s="11">
        <v>14</v>
      </c>
      <c r="J4763" t="s" s="11">
        <v>14</v>
      </c>
      <c r="K4763" t="s" s="12">
        <v>14</v>
      </c>
      <c r="L4763" t="s" s="12">
        <v>14</v>
      </c>
      <c r="M4763" t="s" s="10">
        <v>14</v>
      </c>
      <c r="N4763" t="s" s="11">
        <v>14</v>
      </c>
      <c r="O4763" t="s" s="8">
        <v>14</v>
      </c>
      <c r="P4763" t="s" s="8">
        <v>14</v>
      </c>
      <c r="Q4763" t="s" s="12">
        <v>14</v>
      </c>
      <c r="R4763" t="s" s="12">
        <v>14</v>
      </c>
    </row>
    <row r="4764" s="2" customFormat="1" ht="13.5" customHeight="1">
      <c r="B4764" s="13"/>
      <c r="C4764" t="s" s="9">
        <v>16</v>
      </c>
      <c r="D4764" t="s" s="8">
        <v>1628</v>
      </c>
      <c r="E4764" t="s" s="9">
        <v>1628</v>
      </c>
      <c r="F4764" t="s" s="10">
        <v>337</v>
      </c>
      <c r="G4764" s="14"/>
      <c r="H4764" t="s" s="10">
        <v>337</v>
      </c>
      <c r="I4764" s="14"/>
      <c r="J4764" t="s" s="11">
        <v>20</v>
      </c>
      <c r="K4764" s="15"/>
      <c r="L4764" t="s" s="16">
        <f>HYPERLINK("http://csr.bu.edu/ftp/asl/asllvd/demos/verify_start_end_handshape_annotations//test_auto_move//signs_mov_separ_signers/Liz_1020.mov","MOV")</f>
        <v>21</v>
      </c>
      <c r="M4764" t="s" s="10">
        <v>34</v>
      </c>
      <c r="N4764" s="17">
        <v>3</v>
      </c>
      <c r="O4764" s="18">
        <v>295</v>
      </c>
      <c r="P4764" s="18">
        <v>340</v>
      </c>
      <c r="Q4764" s="15"/>
      <c r="R4764" t="s" s="16">
        <f>HYPERLINK("http://secrets.rutgers.edu:8080/data/asl-ftp/asllvd/demos/verify_start_end_handshape_annotations//test_auto_move//signs_mov_separ_signers/Liz_1020.mov","MOV")</f>
        <v>21</v>
      </c>
    </row>
    <row r="4765" s="2" customFormat="1" ht="13.5" customHeight="1">
      <c r="B4765" s="13"/>
      <c r="C4765" t="s" s="9">
        <v>23</v>
      </c>
      <c r="D4765" t="s" s="8">
        <v>1628</v>
      </c>
      <c r="E4765" t="s" s="9">
        <v>1628</v>
      </c>
      <c r="F4765" t="s" s="10">
        <v>337</v>
      </c>
      <c r="G4765" s="14"/>
      <c r="H4765" t="s" s="10">
        <v>337</v>
      </c>
      <c r="I4765" s="14"/>
      <c r="J4765" t="s" s="11">
        <v>20</v>
      </c>
      <c r="K4765" t="s" s="16">
        <f>HYPERLINK("http://csr.bu.edu/ftp/asl/asllvd/demos/verify_start_end_handshape_annotations//test_auto_move//signs_mov/1020.mov","MOV")</f>
        <v>21</v>
      </c>
      <c r="L4765" t="s" s="16">
        <f>HYPERLINK("http://csr.bu.edu/ftp/asl/asllvd/demos/verify_start_end_handshape_annotations//test_auto_move//signs_mov_separ_signers/Tyler_1020.mov","MOV")</f>
        <v>21</v>
      </c>
      <c r="M4765" t="s" s="10">
        <v>92</v>
      </c>
      <c r="N4765" s="17">
        <v>34</v>
      </c>
      <c r="O4765" s="18">
        <v>2360</v>
      </c>
      <c r="P4765" s="18">
        <v>2400</v>
      </c>
      <c r="Q4765" t="s" s="16">
        <f>HYPERLINK("http://secrets.rutgers.edu:8080/data/asl-ftp/asllvd/demos/verify_start_end_handshape_annotations//test_auto_move//signs_mov/1020.mov","MOV")</f>
        <v>21</v>
      </c>
      <c r="R4765" t="s" s="16">
        <f>HYPERLINK("http://secrets.rutgers.edu:8080/data/asl-ftp/asllvd/demos/verify_start_end_handshape_annotations//test_auto_move//signs_mov_separ_signers/Tyler_1020.mov","MOV")</f>
        <v>21</v>
      </c>
    </row>
    <row r="4766" s="2" customFormat="1" ht="13.5" customHeight="1">
      <c r="B4766" s="13"/>
      <c r="C4766" t="s" s="9">
        <v>27</v>
      </c>
      <c r="D4766" t="s" s="8">
        <v>1628</v>
      </c>
      <c r="E4766" t="s" s="9">
        <v>1628</v>
      </c>
      <c r="F4766" t="s" s="10">
        <v>337</v>
      </c>
      <c r="G4766" s="14"/>
      <c r="H4766" t="s" s="10">
        <v>337</v>
      </c>
      <c r="I4766" s="14"/>
      <c r="J4766" t="s" s="11">
        <v>20</v>
      </c>
      <c r="K4766" s="15"/>
      <c r="L4766" t="s" s="16">
        <f>HYPERLINK("http://csr.bu.edu/ftp/asl/asllvd/demos/verify_start_end_handshape_annotations//test_auto_move//signs_mov_separ_signers/Naomi_1020.mov","MOV")</f>
        <v>21</v>
      </c>
      <c r="M4766" t="s" s="10">
        <v>38</v>
      </c>
      <c r="N4766" s="17">
        <v>2</v>
      </c>
      <c r="O4766" s="18">
        <v>3668</v>
      </c>
      <c r="P4766" s="18">
        <v>3690</v>
      </c>
      <c r="Q4766" s="15"/>
      <c r="R4766" t="s" s="16">
        <f>HYPERLINK("http://secrets.rutgers.edu:8080/data/asl-ftp/asllvd/demos/verify_start_end_handshape_annotations//test_auto_move//signs_mov_separ_signers/Naomi_1020.mov","MOV")</f>
        <v>21</v>
      </c>
    </row>
    <row r="4767" s="2" customFormat="1" ht="13.5" customHeight="1">
      <c r="B4767" s="13"/>
      <c r="C4767" t="s" s="9">
        <v>30</v>
      </c>
      <c r="D4767" t="s" s="8">
        <v>1628</v>
      </c>
      <c r="E4767" t="s" s="9">
        <v>1628</v>
      </c>
      <c r="F4767" t="s" s="10">
        <v>337</v>
      </c>
      <c r="G4767" s="14"/>
      <c r="H4767" t="s" s="10">
        <v>337</v>
      </c>
      <c r="I4767" s="14"/>
      <c r="J4767" t="s" s="11">
        <v>20</v>
      </c>
      <c r="K4767" s="15"/>
      <c r="L4767" t="s" s="16">
        <f>HYPERLINK("http://csr.bu.edu/ftp/asl/asllvd/demos/verify_start_end_handshape_annotations//test_auto_move//signs_mov_separ_signers/Brady_1020.mov","MOV")</f>
        <v>21</v>
      </c>
      <c r="M4767" t="s" s="10">
        <v>39</v>
      </c>
      <c r="N4767" s="17">
        <v>24</v>
      </c>
      <c r="O4767" s="18">
        <v>9474</v>
      </c>
      <c r="P4767" s="18">
        <v>9493</v>
      </c>
      <c r="Q4767" s="15"/>
      <c r="R4767" t="s" s="16">
        <f>HYPERLINK("http://secrets.rutgers.edu:8080/data/asl-ftp/asllvd/demos/verify_start_end_handshape_annotations//test_auto_move//signs_mov_separ_signers/Brady_1020.mov","MOV")</f>
        <v>21</v>
      </c>
    </row>
    <row r="4768" s="2" customFormat="1" ht="13.5" customHeight="1">
      <c r="B4768" t="s" s="8">
        <v>1629</v>
      </c>
      <c r="C4768" t="s" s="9">
        <v>14</v>
      </c>
      <c r="D4768" t="s" s="8">
        <v>14</v>
      </c>
      <c r="E4768" t="s" s="9">
        <v>14</v>
      </c>
      <c r="F4768" t="s" s="10">
        <v>14</v>
      </c>
      <c r="G4768" t="s" s="11">
        <v>14</v>
      </c>
      <c r="H4768" t="s" s="10">
        <v>14</v>
      </c>
      <c r="I4768" t="s" s="11">
        <v>14</v>
      </c>
      <c r="J4768" t="s" s="11">
        <v>14</v>
      </c>
      <c r="K4768" t="s" s="12">
        <v>14</v>
      </c>
      <c r="L4768" t="s" s="12">
        <v>14</v>
      </c>
      <c r="M4768" t="s" s="10">
        <v>14</v>
      </c>
      <c r="N4768" t="s" s="11">
        <v>14</v>
      </c>
      <c r="O4768" t="s" s="8">
        <v>14</v>
      </c>
      <c r="P4768" t="s" s="8">
        <v>14</v>
      </c>
      <c r="Q4768" t="s" s="12">
        <v>14</v>
      </c>
      <c r="R4768" t="s" s="12">
        <v>14</v>
      </c>
    </row>
    <row r="4769" s="2" customFormat="1" ht="13.5" customHeight="1">
      <c r="B4769" s="13"/>
      <c r="C4769" t="s" s="9">
        <v>16</v>
      </c>
      <c r="D4769" t="s" s="8">
        <v>1629</v>
      </c>
      <c r="E4769" t="s" s="9">
        <v>1630</v>
      </c>
      <c r="F4769" t="s" s="10">
        <v>25</v>
      </c>
      <c r="G4769" s="14"/>
      <c r="H4769" t="s" s="10">
        <v>25</v>
      </c>
      <c r="I4769" s="14"/>
      <c r="J4769" t="s" s="11">
        <v>20</v>
      </c>
      <c r="K4769" s="15"/>
      <c r="L4769" t="s" s="16">
        <f>HYPERLINK("http://csr.bu.edu/ftp/asl/asllvd/demos/verify_start_end_handshape_annotations//test_auto_move//signs_mov_separ_signers/Liz_16517.mov","MOV")</f>
        <v>21</v>
      </c>
      <c r="M4769" t="s" s="10">
        <v>34</v>
      </c>
      <c r="N4769" s="17">
        <v>46</v>
      </c>
      <c r="O4769" s="18">
        <v>1630</v>
      </c>
      <c r="P4769" s="18">
        <v>1670</v>
      </c>
      <c r="Q4769" s="15"/>
      <c r="R4769" t="s" s="16">
        <f>HYPERLINK("http://secrets.rutgers.edu:8080/data/asl-ftp/asllvd/demos/verify_start_end_handshape_annotations//test_auto_move//signs_mov_separ_signers/Liz_16517.mov","MOV")</f>
        <v>21</v>
      </c>
    </row>
    <row r="4770" s="2" customFormat="1" ht="13.5" customHeight="1">
      <c r="B4770" s="13"/>
      <c r="C4770" t="s" s="9">
        <v>23</v>
      </c>
      <c r="D4770" t="s" s="8">
        <v>1629</v>
      </c>
      <c r="E4770" t="s" s="9">
        <v>1630</v>
      </c>
      <c r="F4770" t="s" s="10">
        <v>25</v>
      </c>
      <c r="G4770" s="14"/>
      <c r="H4770" t="s" s="10">
        <v>25</v>
      </c>
      <c r="I4770" s="14"/>
      <c r="J4770" t="s" s="11">
        <v>20</v>
      </c>
      <c r="K4770" t="s" s="16">
        <f>HYPERLINK("http://csr.bu.edu/ftp/asl/asllvd/demos/verify_start_end_handshape_annotations//test_auto_move//signs_mov/16517.mov","MOV")</f>
        <v>21</v>
      </c>
      <c r="L4770" t="s" s="16">
        <f>HYPERLINK("http://csr.bu.edu/ftp/asl/asllvd/demos/verify_start_end_handshape_annotations//test_auto_move//signs_mov_separ_signers/Tyler_16517.mov","MOV")</f>
        <v>21</v>
      </c>
      <c r="M4770" t="s" s="10">
        <v>37</v>
      </c>
      <c r="N4770" s="17">
        <v>19</v>
      </c>
      <c r="O4770" s="18">
        <v>1580</v>
      </c>
      <c r="P4770" s="18">
        <v>1620</v>
      </c>
      <c r="Q4770" t="s" s="16">
        <f>HYPERLINK("http://secrets.rutgers.edu:8080/data/asl-ftp/asllvd/demos/verify_start_end_handshape_annotations//test_auto_move//signs_mov/16517.mov","MOV")</f>
        <v>21</v>
      </c>
      <c r="R4770" t="s" s="16">
        <f>HYPERLINK("http://secrets.rutgers.edu:8080/data/asl-ftp/asllvd/demos/verify_start_end_handshape_annotations//test_auto_move//signs_mov_separ_signers/Tyler_16517.mov","MOV")</f>
        <v>21</v>
      </c>
    </row>
    <row r="4771" s="2" customFormat="1" ht="13.5" customHeight="1">
      <c r="B4771" s="13"/>
      <c r="C4771" t="s" s="9">
        <v>30</v>
      </c>
      <c r="D4771" t="s" s="8">
        <v>1629</v>
      </c>
      <c r="E4771" t="s" s="9">
        <v>1630</v>
      </c>
      <c r="F4771" t="s" s="10">
        <v>25</v>
      </c>
      <c r="G4771" s="14"/>
      <c r="H4771" t="s" s="10">
        <v>25</v>
      </c>
      <c r="I4771" s="14"/>
      <c r="J4771" t="s" s="11">
        <v>20</v>
      </c>
      <c r="K4771" s="15"/>
      <c r="L4771" t="s" s="16">
        <f>HYPERLINK("http://csr.bu.edu/ftp/asl/asllvd/demos/verify_start_end_handshape_annotations//test_auto_move//signs_mov_separ_signers/Brady_16517.mov","MOV")</f>
        <v>21</v>
      </c>
      <c r="M4771" t="s" s="10">
        <v>39</v>
      </c>
      <c r="N4771" s="17">
        <v>48</v>
      </c>
      <c r="O4771" s="18">
        <v>3068</v>
      </c>
      <c r="P4771" s="18">
        <v>3091</v>
      </c>
      <c r="Q4771" s="15"/>
      <c r="R4771" t="s" s="16">
        <f>HYPERLINK("http://secrets.rutgers.edu:8080/data/asl-ftp/asllvd/demos/verify_start_end_handshape_annotations//test_auto_move//signs_mov_separ_signers/Brady_16517.mov","MOV")</f>
        <v>21</v>
      </c>
    </row>
    <row r="4772" s="2" customFormat="1" ht="13.5" customHeight="1">
      <c r="B4772" t="s" s="8">
        <v>52</v>
      </c>
      <c r="C4772" t="s" s="9">
        <v>53</v>
      </c>
      <c r="D4772" t="s" s="8">
        <v>53</v>
      </c>
      <c r="E4772" t="s" s="9">
        <v>53</v>
      </c>
      <c r="F4772" t="s" s="10">
        <v>53</v>
      </c>
      <c r="G4772" t="s" s="11">
        <v>53</v>
      </c>
      <c r="H4772" t="s" s="10">
        <v>53</v>
      </c>
      <c r="I4772" t="s" s="11">
        <v>53</v>
      </c>
      <c r="J4772" t="s" s="11">
        <v>53</v>
      </c>
      <c r="K4772" t="s" s="12">
        <v>53</v>
      </c>
      <c r="L4772" t="s" s="12">
        <v>53</v>
      </c>
      <c r="M4772" t="s" s="10">
        <v>53</v>
      </c>
      <c r="N4772" t="s" s="11">
        <v>53</v>
      </c>
      <c r="O4772" t="s" s="8">
        <v>53</v>
      </c>
      <c r="P4772" t="s" s="8">
        <v>53</v>
      </c>
      <c r="Q4772" t="s" s="12">
        <v>53</v>
      </c>
      <c r="R4772" t="s" s="12">
        <v>53</v>
      </c>
    </row>
    <row r="4773" s="2" customFormat="1" ht="13.5" customHeight="1">
      <c r="B4773" s="13"/>
      <c r="C4773" t="s" s="9">
        <v>27</v>
      </c>
      <c r="D4773" t="s" s="8">
        <v>1629</v>
      </c>
      <c r="E4773" t="s" s="9">
        <v>1631</v>
      </c>
      <c r="F4773" t="s" s="10">
        <v>25</v>
      </c>
      <c r="G4773" s="14"/>
      <c r="H4773" t="s" s="10">
        <v>25</v>
      </c>
      <c r="I4773" s="14"/>
      <c r="J4773" t="s" s="11">
        <v>20</v>
      </c>
      <c r="K4773" t="s" s="16">
        <f>HYPERLINK("http://csr.bu.edu/ftp/asl/asllvd/demos/verify_start_end_handshape_annotations//test_auto_move//signs_mov/16523.mov","MOV")</f>
        <v>21</v>
      </c>
      <c r="L4773" t="s" s="16">
        <f>HYPERLINK("http://csr.bu.edu/ftp/asl/asllvd/demos/verify_start_end_handshape_annotations//test_auto_move//signs_mov_separ_signers/Naomi_16523.mov","MOV")</f>
        <v>21</v>
      </c>
      <c r="M4773" t="s" s="10">
        <v>48</v>
      </c>
      <c r="N4773" s="17">
        <v>2</v>
      </c>
      <c r="O4773" s="18">
        <v>1220</v>
      </c>
      <c r="P4773" s="18">
        <v>1255</v>
      </c>
      <c r="Q4773" t="s" s="16">
        <f>HYPERLINK("http://secrets.rutgers.edu:8080/data/asl-ftp/asllvd/demos/verify_start_end_handshape_annotations//test_auto_move//signs_mov/16523.mov","MOV")</f>
        <v>21</v>
      </c>
      <c r="R4773" t="s" s="16">
        <f>HYPERLINK("http://secrets.rutgers.edu:8080/data/asl-ftp/asllvd/demos/verify_start_end_handshape_annotations//test_auto_move//signs_mov_separ_signers/Naomi_16523.mov","MOV")</f>
        <v>21</v>
      </c>
    </row>
    <row r="4774" s="2" customFormat="1" ht="13.5" customHeight="1">
      <c r="B4774" t="s" s="8">
        <v>1632</v>
      </c>
      <c r="C4774" t="s" s="9">
        <v>14</v>
      </c>
      <c r="D4774" t="s" s="8">
        <v>14</v>
      </c>
      <c r="E4774" t="s" s="9">
        <v>14</v>
      </c>
      <c r="F4774" t="s" s="10">
        <v>14</v>
      </c>
      <c r="G4774" t="s" s="11">
        <v>14</v>
      </c>
      <c r="H4774" t="s" s="10">
        <v>14</v>
      </c>
      <c r="I4774" t="s" s="11">
        <v>14</v>
      </c>
      <c r="J4774" t="s" s="11">
        <v>14</v>
      </c>
      <c r="K4774" t="s" s="12">
        <v>14</v>
      </c>
      <c r="L4774" t="s" s="12">
        <v>14</v>
      </c>
      <c r="M4774" t="s" s="10">
        <v>14</v>
      </c>
      <c r="N4774" t="s" s="11">
        <v>14</v>
      </c>
      <c r="O4774" t="s" s="8">
        <v>14</v>
      </c>
      <c r="P4774" t="s" s="8">
        <v>14</v>
      </c>
      <c r="Q4774" t="s" s="12">
        <v>14</v>
      </c>
      <c r="R4774" t="s" s="12">
        <v>14</v>
      </c>
    </row>
    <row r="4775" s="2" customFormat="1" ht="13.5" customHeight="1">
      <c r="B4775" s="13"/>
      <c r="C4775" t="s" s="9">
        <v>16</v>
      </c>
      <c r="D4775" t="s" s="8">
        <v>1632</v>
      </c>
      <c r="E4775" t="s" s="9">
        <v>1632</v>
      </c>
      <c r="F4775" s="19">
        <v>5</v>
      </c>
      <c r="G4775" s="17">
        <v>5</v>
      </c>
      <c r="H4775" s="19">
        <v>5</v>
      </c>
      <c r="I4775" s="17">
        <v>5</v>
      </c>
      <c r="J4775" t="s" s="11">
        <v>20</v>
      </c>
      <c r="K4775" s="15"/>
      <c r="L4775" t="s" s="16">
        <f>HYPERLINK("http://csr.bu.edu/ftp/asl/asllvd/demos/verify_start_end_handshape_annotations//test_auto_move//signs_mov_separ_signers/Liz_1025.mov","MOV")</f>
        <v>21</v>
      </c>
      <c r="M4775" t="s" s="10">
        <v>34</v>
      </c>
      <c r="N4775" s="17">
        <v>3</v>
      </c>
      <c r="O4775" s="18">
        <v>1475</v>
      </c>
      <c r="P4775" s="18">
        <v>1520</v>
      </c>
      <c r="Q4775" s="15"/>
      <c r="R4775" t="s" s="16">
        <f>HYPERLINK("http://secrets.rutgers.edu:8080/data/asl-ftp/asllvd/demos/verify_start_end_handshape_annotations//test_auto_move//signs_mov_separ_signers/Liz_1025.mov","MOV")</f>
        <v>21</v>
      </c>
    </row>
    <row r="4776" s="2" customFormat="1" ht="13.5" customHeight="1">
      <c r="B4776" s="13"/>
      <c r="C4776" t="s" s="9">
        <v>27</v>
      </c>
      <c r="D4776" t="s" s="8">
        <v>1632</v>
      </c>
      <c r="E4776" t="s" s="9">
        <v>1632</v>
      </c>
      <c r="F4776" s="19">
        <v>5</v>
      </c>
      <c r="G4776" s="17">
        <v>5</v>
      </c>
      <c r="H4776" s="19">
        <v>5</v>
      </c>
      <c r="I4776" s="17">
        <v>5</v>
      </c>
      <c r="J4776" t="s" s="11">
        <v>20</v>
      </c>
      <c r="K4776" t="s" s="16">
        <f>HYPERLINK("http://csr.bu.edu/ftp/asl/asllvd/demos/verify_start_end_handshape_annotations//test_auto_move//signs_mov/1025.mov","MOV")</f>
        <v>21</v>
      </c>
      <c r="L4776" t="s" s="16">
        <f>HYPERLINK("http://csr.bu.edu/ftp/asl/asllvd/demos/verify_start_end_handshape_annotations//test_auto_move//signs_mov_separ_signers/Naomi_1025.mov","MOV")</f>
        <v>21</v>
      </c>
      <c r="M4776" t="s" s="10">
        <v>38</v>
      </c>
      <c r="N4776" s="17">
        <v>3</v>
      </c>
      <c r="O4776" s="18">
        <v>2413</v>
      </c>
      <c r="P4776" s="18">
        <v>2430</v>
      </c>
      <c r="Q4776" t="s" s="16">
        <f>HYPERLINK("http://secrets.rutgers.edu:8080/data/asl-ftp/asllvd/demos/verify_start_end_handshape_annotations//test_auto_move//signs_mov/1025.mov","MOV")</f>
        <v>21</v>
      </c>
      <c r="R4776" t="s" s="16">
        <f>HYPERLINK("http://secrets.rutgers.edu:8080/data/asl-ftp/asllvd/demos/verify_start_end_handshape_annotations//test_auto_move//signs_mov_separ_signers/Naomi_1025.mov","MOV")</f>
        <v>21</v>
      </c>
    </row>
    <row r="4777" s="2" customFormat="1" ht="13.5" customHeight="1">
      <c r="B4777" s="13"/>
      <c r="C4777" t="s" s="9">
        <v>30</v>
      </c>
      <c r="D4777" t="s" s="8">
        <v>1632</v>
      </c>
      <c r="E4777" t="s" s="9">
        <v>1632</v>
      </c>
      <c r="F4777" s="19">
        <v>5</v>
      </c>
      <c r="G4777" s="17">
        <v>5</v>
      </c>
      <c r="H4777" s="19">
        <v>5</v>
      </c>
      <c r="I4777" s="17">
        <v>5</v>
      </c>
      <c r="J4777" t="s" s="11">
        <v>20</v>
      </c>
      <c r="K4777" s="15"/>
      <c r="L4777" t="s" s="16">
        <f>HYPERLINK("http://csr.bu.edu/ftp/asl/asllvd/demos/verify_start_end_handshape_annotations//test_auto_move//signs_mov_separ_signers/Brady_1025.mov","MOV")</f>
        <v>21</v>
      </c>
      <c r="M4777" t="s" s="10">
        <v>39</v>
      </c>
      <c r="N4777" s="17">
        <v>25</v>
      </c>
      <c r="O4777" s="18">
        <v>670</v>
      </c>
      <c r="P4777" s="18">
        <v>700</v>
      </c>
      <c r="Q4777" s="15"/>
      <c r="R4777" t="s" s="16">
        <f>HYPERLINK("http://secrets.rutgers.edu:8080/data/asl-ftp/asllvd/demos/verify_start_end_handshape_annotations//test_auto_move//signs_mov_separ_signers/Brady_1025.mov","MOV")</f>
        <v>21</v>
      </c>
    </row>
    <row r="4778" s="2" customFormat="1" ht="13.5" customHeight="1">
      <c r="B4778" t="s" s="8">
        <v>1633</v>
      </c>
      <c r="C4778" t="s" s="9">
        <v>14</v>
      </c>
      <c r="D4778" t="s" s="8">
        <v>14</v>
      </c>
      <c r="E4778" t="s" s="9">
        <v>14</v>
      </c>
      <c r="F4778" t="s" s="10">
        <v>14</v>
      </c>
      <c r="G4778" t="s" s="11">
        <v>14</v>
      </c>
      <c r="H4778" t="s" s="10">
        <v>14</v>
      </c>
      <c r="I4778" t="s" s="11">
        <v>14</v>
      </c>
      <c r="J4778" t="s" s="11">
        <v>14</v>
      </c>
      <c r="K4778" t="s" s="12">
        <v>14</v>
      </c>
      <c r="L4778" t="s" s="12">
        <v>14</v>
      </c>
      <c r="M4778" t="s" s="10">
        <v>14</v>
      </c>
      <c r="N4778" t="s" s="11">
        <v>14</v>
      </c>
      <c r="O4778" t="s" s="8">
        <v>14</v>
      </c>
      <c r="P4778" t="s" s="8">
        <v>14</v>
      </c>
      <c r="Q4778" t="s" s="12">
        <v>14</v>
      </c>
      <c r="R4778" t="s" s="12">
        <v>14</v>
      </c>
    </row>
    <row r="4779" s="2" customFormat="1" ht="13.5" customHeight="1">
      <c r="B4779" s="13"/>
      <c r="C4779" t="s" s="9">
        <v>16</v>
      </c>
      <c r="D4779" t="s" s="8">
        <v>1633</v>
      </c>
      <c r="E4779" t="s" s="9">
        <v>1633</v>
      </c>
      <c r="F4779" s="19">
        <v>1</v>
      </c>
      <c r="G4779" s="14"/>
      <c r="H4779" s="19">
        <v>1</v>
      </c>
      <c r="I4779" s="14"/>
      <c r="J4779" t="s" s="11">
        <v>20</v>
      </c>
      <c r="K4779" s="15"/>
      <c r="L4779" t="s" s="16">
        <f>HYPERLINK("http://csr.bu.edu/ftp/asl/asllvd/demos/verify_start_end_handshape_annotations//test_auto_move//signs_mov_separ_signers/Liz_5037.mov","MOV")</f>
        <v>21</v>
      </c>
      <c r="M4779" t="s" s="10">
        <v>34</v>
      </c>
      <c r="N4779" s="17">
        <v>3</v>
      </c>
      <c r="O4779" s="18">
        <v>1700</v>
      </c>
      <c r="P4779" s="18">
        <v>1745</v>
      </c>
      <c r="Q4779" s="15"/>
      <c r="R4779" t="s" s="16">
        <f>HYPERLINK("http://secrets.rutgers.edu:8080/data/asl-ftp/asllvd/demos/verify_start_end_handshape_annotations//test_auto_move//signs_mov_separ_signers/Liz_5037.mov","MOV")</f>
        <v>21</v>
      </c>
    </row>
    <row r="4780" s="2" customFormat="1" ht="13.5" customHeight="1">
      <c r="B4780" s="13"/>
      <c r="C4780" t="s" s="9">
        <v>27</v>
      </c>
      <c r="D4780" t="s" s="8">
        <v>1633</v>
      </c>
      <c r="E4780" t="s" s="9">
        <v>1633</v>
      </c>
      <c r="F4780" s="19">
        <v>1</v>
      </c>
      <c r="G4780" s="14"/>
      <c r="H4780" s="19">
        <v>1</v>
      </c>
      <c r="I4780" s="14"/>
      <c r="J4780" t="s" s="11">
        <v>20</v>
      </c>
      <c r="K4780" t="s" s="16">
        <f>HYPERLINK("http://csr.bu.edu/ftp/asl/asllvd/demos/verify_start_end_handshape_annotations//test_auto_move//signs_mov/5037.mov","MOV")</f>
        <v>21</v>
      </c>
      <c r="L4780" t="s" s="16">
        <f>HYPERLINK("http://csr.bu.edu/ftp/asl/asllvd/demos/verify_start_end_handshape_annotations//test_auto_move//signs_mov_separ_signers/Naomi_5037.mov","MOV")</f>
        <v>21</v>
      </c>
      <c r="M4780" t="s" s="10">
        <v>38</v>
      </c>
      <c r="N4780" s="17">
        <v>3</v>
      </c>
      <c r="O4780" s="18">
        <v>2660</v>
      </c>
      <c r="P4780" s="18">
        <v>2687</v>
      </c>
      <c r="Q4780" t="s" s="16">
        <f>HYPERLINK("http://secrets.rutgers.edu:8080/data/asl-ftp/asllvd/demos/verify_start_end_handshape_annotations//test_auto_move//signs_mov/5037.mov","MOV")</f>
        <v>21</v>
      </c>
      <c r="R4780" t="s" s="16">
        <f>HYPERLINK("http://secrets.rutgers.edu:8080/data/asl-ftp/asllvd/demos/verify_start_end_handshape_annotations//test_auto_move//signs_mov_separ_signers/Naomi_5037.mov","MOV")</f>
        <v>21</v>
      </c>
    </row>
    <row r="4781" s="2" customFormat="1" ht="13.5" customHeight="1">
      <c r="B4781" s="13"/>
      <c r="C4781" t="s" s="9">
        <v>30</v>
      </c>
      <c r="D4781" t="s" s="8">
        <v>1633</v>
      </c>
      <c r="E4781" t="s" s="9">
        <v>1633</v>
      </c>
      <c r="F4781" s="19">
        <v>1</v>
      </c>
      <c r="G4781" s="14"/>
      <c r="H4781" s="19">
        <v>1</v>
      </c>
      <c r="I4781" s="14"/>
      <c r="J4781" t="s" s="11">
        <v>20</v>
      </c>
      <c r="K4781" s="15"/>
      <c r="L4781" t="s" s="16">
        <f>HYPERLINK("http://csr.bu.edu/ftp/asl/asllvd/demos/verify_start_end_handshape_annotations//test_auto_move//signs_mov_separ_signers/Brady_5037.mov","MOV")</f>
        <v>21</v>
      </c>
      <c r="M4781" t="s" s="10">
        <v>39</v>
      </c>
      <c r="N4781" s="17">
        <v>25</v>
      </c>
      <c r="O4781" s="18">
        <v>1575</v>
      </c>
      <c r="P4781" s="18">
        <v>1593</v>
      </c>
      <c r="Q4781" s="15"/>
      <c r="R4781" t="s" s="16">
        <f>HYPERLINK("http://secrets.rutgers.edu:8080/data/asl-ftp/asllvd/demos/verify_start_end_handshape_annotations//test_auto_move//signs_mov_separ_signers/Brady_5037.mov","MOV")</f>
        <v>21</v>
      </c>
    </row>
    <row r="4782" s="2" customFormat="1" ht="13.5" customHeight="1">
      <c r="B4782" t="s" s="8">
        <v>1634</v>
      </c>
      <c r="C4782" t="s" s="9">
        <v>14</v>
      </c>
      <c r="D4782" t="s" s="8">
        <v>14</v>
      </c>
      <c r="E4782" t="s" s="9">
        <v>14</v>
      </c>
      <c r="F4782" t="s" s="10">
        <v>14</v>
      </c>
      <c r="G4782" t="s" s="11">
        <v>14</v>
      </c>
      <c r="H4782" t="s" s="10">
        <v>14</v>
      </c>
      <c r="I4782" t="s" s="11">
        <v>14</v>
      </c>
      <c r="J4782" t="s" s="11">
        <v>14</v>
      </c>
      <c r="K4782" t="s" s="12">
        <v>14</v>
      </c>
      <c r="L4782" t="s" s="12">
        <v>14</v>
      </c>
      <c r="M4782" t="s" s="10">
        <v>14</v>
      </c>
      <c r="N4782" t="s" s="11">
        <v>14</v>
      </c>
      <c r="O4782" t="s" s="8">
        <v>14</v>
      </c>
      <c r="P4782" t="s" s="8">
        <v>14</v>
      </c>
      <c r="Q4782" t="s" s="12">
        <v>14</v>
      </c>
      <c r="R4782" t="s" s="12">
        <v>14</v>
      </c>
    </row>
    <row r="4783" s="2" customFormat="1" ht="13.5" customHeight="1">
      <c r="B4783" s="13"/>
      <c r="C4783" t="s" s="9">
        <v>16</v>
      </c>
      <c r="D4783" t="s" s="8">
        <v>1634</v>
      </c>
      <c r="E4783" t="s" s="9">
        <v>1634</v>
      </c>
      <c r="F4783" t="s" s="10">
        <v>344</v>
      </c>
      <c r="G4783" t="s" s="11">
        <v>185</v>
      </c>
      <c r="H4783" t="s" s="10">
        <v>344</v>
      </c>
      <c r="I4783" t="s" s="11">
        <v>185</v>
      </c>
      <c r="J4783" t="s" s="11">
        <v>20</v>
      </c>
      <c r="K4783" s="15"/>
      <c r="L4783" t="s" s="16">
        <f>HYPERLINK("http://csr.bu.edu/ftp/asl/asllvd/demos/verify_start_end_handshape_annotations//test_auto_move//signs_mov_separ_signers/Liz_1029.mov","MOV")</f>
        <v>21</v>
      </c>
      <c r="M4783" t="s" s="10">
        <v>34</v>
      </c>
      <c r="N4783" s="17">
        <v>3</v>
      </c>
      <c r="O4783" s="18">
        <v>2795</v>
      </c>
      <c r="P4783" s="18">
        <v>2861</v>
      </c>
      <c r="Q4783" s="15"/>
      <c r="R4783" t="s" s="16">
        <f>HYPERLINK("http://secrets.rutgers.edu:8080/data/asl-ftp/asllvd/demos/verify_start_end_handshape_annotations//test_auto_move//signs_mov_separ_signers/Liz_1029.mov","MOV")</f>
        <v>21</v>
      </c>
    </row>
    <row r="4784" s="2" customFormat="1" ht="13.5" customHeight="1">
      <c r="B4784" s="13"/>
      <c r="C4784" t="s" s="9">
        <v>27</v>
      </c>
      <c r="D4784" t="s" s="8">
        <v>1634</v>
      </c>
      <c r="E4784" t="s" s="9">
        <v>1634</v>
      </c>
      <c r="F4784" t="s" s="10">
        <v>344</v>
      </c>
      <c r="G4784" t="s" s="11">
        <v>185</v>
      </c>
      <c r="H4784" t="s" s="10">
        <v>344</v>
      </c>
      <c r="I4784" t="s" s="11">
        <v>185</v>
      </c>
      <c r="J4784" t="s" s="11">
        <v>20</v>
      </c>
      <c r="K4784" t="s" s="16">
        <f>HYPERLINK("http://csr.bu.edu/ftp/asl/asllvd/demos/verify_start_end_handshape_annotations//test_auto_move//signs_mov/1029.mov","MOV")</f>
        <v>21</v>
      </c>
      <c r="L4784" t="s" s="16">
        <f>HYPERLINK("http://csr.bu.edu/ftp/asl/asllvd/demos/verify_start_end_handshape_annotations//test_auto_move//signs_mov_separ_signers/Naomi_1029.mov","MOV")</f>
        <v>21</v>
      </c>
      <c r="M4784" t="s" s="10">
        <v>38</v>
      </c>
      <c r="N4784" s="17">
        <v>3</v>
      </c>
      <c r="O4784" s="18">
        <v>3595</v>
      </c>
      <c r="P4784" s="18">
        <v>3627</v>
      </c>
      <c r="Q4784" t="s" s="16">
        <f>HYPERLINK("http://secrets.rutgers.edu:8080/data/asl-ftp/asllvd/demos/verify_start_end_handshape_annotations//test_auto_move//signs_mov/1029.mov","MOV")</f>
        <v>21</v>
      </c>
      <c r="R4784" t="s" s="16">
        <f>HYPERLINK("http://secrets.rutgers.edu:8080/data/asl-ftp/asllvd/demos/verify_start_end_handshape_annotations//test_auto_move//signs_mov_separ_signers/Naomi_1029.mov","MOV")</f>
        <v>21</v>
      </c>
    </row>
    <row r="4785" s="2" customFormat="1" ht="13.5" customHeight="1">
      <c r="B4785" s="13"/>
      <c r="C4785" t="s" s="9">
        <v>30</v>
      </c>
      <c r="D4785" t="s" s="8">
        <v>1634</v>
      </c>
      <c r="E4785" t="s" s="9">
        <v>1634</v>
      </c>
      <c r="F4785" t="s" s="10">
        <v>344</v>
      </c>
      <c r="G4785" t="s" s="11">
        <v>158</v>
      </c>
      <c r="H4785" t="s" s="10">
        <v>344</v>
      </c>
      <c r="I4785" t="s" s="11">
        <v>158</v>
      </c>
      <c r="J4785" t="s" s="11">
        <v>20</v>
      </c>
      <c r="K4785" s="15"/>
      <c r="L4785" t="s" s="16">
        <f>HYPERLINK("http://csr.bu.edu/ftp/asl/asllvd/demos/verify_start_end_handshape_annotations//test_auto_move//signs_mov_separ_signers/Brady_1029.mov","MOV")</f>
        <v>21</v>
      </c>
      <c r="M4785" t="s" s="10">
        <v>39</v>
      </c>
      <c r="N4785" s="17">
        <v>25</v>
      </c>
      <c r="O4785" s="18">
        <v>2537</v>
      </c>
      <c r="P4785" s="18">
        <v>2575</v>
      </c>
      <c r="Q4785" s="15"/>
      <c r="R4785" t="s" s="16">
        <f>HYPERLINK("http://secrets.rutgers.edu:8080/data/asl-ftp/asllvd/demos/verify_start_end_handshape_annotations//test_auto_move//signs_mov_separ_signers/Brady_1029.mov","MOV")</f>
        <v>21</v>
      </c>
    </row>
    <row r="4786" s="2" customFormat="1" ht="13.5" customHeight="1">
      <c r="B4786" t="s" s="8">
        <v>1635</v>
      </c>
      <c r="C4786" t="s" s="9">
        <v>14</v>
      </c>
      <c r="D4786" t="s" s="8">
        <v>14</v>
      </c>
      <c r="E4786" t="s" s="9">
        <v>14</v>
      </c>
      <c r="F4786" t="s" s="10">
        <v>14</v>
      </c>
      <c r="G4786" t="s" s="11">
        <v>14</v>
      </c>
      <c r="H4786" t="s" s="10">
        <v>14</v>
      </c>
      <c r="I4786" t="s" s="11">
        <v>14</v>
      </c>
      <c r="J4786" t="s" s="11">
        <v>14</v>
      </c>
      <c r="K4786" t="s" s="12">
        <v>14</v>
      </c>
      <c r="L4786" t="s" s="12">
        <v>14</v>
      </c>
      <c r="M4786" t="s" s="10">
        <v>14</v>
      </c>
      <c r="N4786" t="s" s="11">
        <v>14</v>
      </c>
      <c r="O4786" t="s" s="8">
        <v>14</v>
      </c>
      <c r="P4786" t="s" s="8">
        <v>14</v>
      </c>
      <c r="Q4786" t="s" s="12">
        <v>14</v>
      </c>
      <c r="R4786" t="s" s="12">
        <v>14</v>
      </c>
    </row>
    <row r="4787" s="2" customFormat="1" ht="13.5" customHeight="1">
      <c r="B4787" s="13"/>
      <c r="C4787" t="s" s="9">
        <v>27</v>
      </c>
      <c r="D4787" t="s" s="8">
        <v>1635</v>
      </c>
      <c r="E4787" t="s" s="9">
        <v>1635</v>
      </c>
      <c r="F4787" t="s" s="10">
        <v>229</v>
      </c>
      <c r="G4787" t="s" s="11">
        <v>152</v>
      </c>
      <c r="H4787" t="s" s="10">
        <v>229</v>
      </c>
      <c r="I4787" t="s" s="11">
        <v>152</v>
      </c>
      <c r="J4787" t="s" s="11">
        <v>20</v>
      </c>
      <c r="K4787" t="s" s="16">
        <f>HYPERLINK("http://csr.bu.edu/ftp/asl/asllvd/demos/verify_start_end_handshape_annotations//test_auto_move//signs_mov/1030.mov","MOV")</f>
        <v>21</v>
      </c>
      <c r="L4787" t="s" s="16">
        <f>HYPERLINK("http://csr.bu.edu/ftp/asl/asllvd/demos/verify_start_end_handshape_annotations//test_auto_move//signs_mov_separ_signers/Naomi_1030.mov","MOV")</f>
        <v>21</v>
      </c>
      <c r="M4787" t="s" s="10">
        <v>38</v>
      </c>
      <c r="N4787" s="17">
        <v>3</v>
      </c>
      <c r="O4787" s="18">
        <v>3942</v>
      </c>
      <c r="P4787" s="18">
        <v>3977</v>
      </c>
      <c r="Q4787" t="s" s="16">
        <f>HYPERLINK("http://secrets.rutgers.edu:8080/data/asl-ftp/asllvd/demos/verify_start_end_handshape_annotations//test_auto_move//signs_mov/1030.mov","MOV")</f>
        <v>21</v>
      </c>
      <c r="R4787" t="s" s="16">
        <f>HYPERLINK("http://secrets.rutgers.edu:8080/data/asl-ftp/asllvd/demos/verify_start_end_handshape_annotations//test_auto_move//signs_mov_separ_signers/Naomi_1030.mov","MOV")</f>
        <v>21</v>
      </c>
    </row>
    <row r="4788" s="2" customFormat="1" ht="13.5" customHeight="1">
      <c r="B4788" s="13"/>
      <c r="C4788" t="s" s="9">
        <v>30</v>
      </c>
      <c r="D4788" t="s" s="8">
        <v>1635</v>
      </c>
      <c r="E4788" t="s" s="9">
        <v>1635</v>
      </c>
      <c r="F4788" s="19">
        <v>3</v>
      </c>
      <c r="G4788" t="s" s="11">
        <v>73</v>
      </c>
      <c r="H4788" s="19">
        <v>3</v>
      </c>
      <c r="I4788" t="s" s="11">
        <v>73</v>
      </c>
      <c r="J4788" t="s" s="11">
        <v>20</v>
      </c>
      <c r="K4788" s="15"/>
      <c r="L4788" t="s" s="16">
        <f>HYPERLINK("http://csr.bu.edu/ftp/asl/asllvd/demos/verify_start_end_handshape_annotations//test_auto_move//signs_mov_separ_signers/Brady_1030.mov","MOV")</f>
        <v>21</v>
      </c>
      <c r="M4788" t="s" s="10">
        <v>39</v>
      </c>
      <c r="N4788" s="17">
        <v>25</v>
      </c>
      <c r="O4788" s="18">
        <v>2773</v>
      </c>
      <c r="P4788" s="18">
        <v>2802</v>
      </c>
      <c r="Q4788" s="15"/>
      <c r="R4788" t="s" s="16">
        <f>HYPERLINK("http://secrets.rutgers.edu:8080/data/asl-ftp/asllvd/demos/verify_start_end_handshape_annotations//test_auto_move//signs_mov_separ_signers/Brady_1030.mov","MOV")</f>
        <v>21</v>
      </c>
    </row>
    <row r="4789" s="2" customFormat="1" ht="13.5" customHeight="1">
      <c r="B4789" t="s" s="8">
        <v>1636</v>
      </c>
      <c r="C4789" t="s" s="9">
        <v>14</v>
      </c>
      <c r="D4789" t="s" s="8">
        <v>14</v>
      </c>
      <c r="E4789" t="s" s="9">
        <v>14</v>
      </c>
      <c r="F4789" t="s" s="10">
        <v>14</v>
      </c>
      <c r="G4789" t="s" s="11">
        <v>14</v>
      </c>
      <c r="H4789" t="s" s="10">
        <v>14</v>
      </c>
      <c r="I4789" t="s" s="11">
        <v>14</v>
      </c>
      <c r="J4789" t="s" s="11">
        <v>14</v>
      </c>
      <c r="K4789" t="s" s="12">
        <v>14</v>
      </c>
      <c r="L4789" t="s" s="12">
        <v>14</v>
      </c>
      <c r="M4789" t="s" s="10">
        <v>14</v>
      </c>
      <c r="N4789" t="s" s="11">
        <v>14</v>
      </c>
      <c r="O4789" t="s" s="8">
        <v>14</v>
      </c>
      <c r="P4789" t="s" s="8">
        <v>14</v>
      </c>
      <c r="Q4789" t="s" s="12">
        <v>14</v>
      </c>
      <c r="R4789" t="s" s="12">
        <v>14</v>
      </c>
    </row>
    <row r="4790" s="2" customFormat="1" ht="13.5" customHeight="1">
      <c r="B4790" s="13"/>
      <c r="C4790" t="s" s="9">
        <v>16</v>
      </c>
      <c r="D4790" t="s" s="8">
        <v>1636</v>
      </c>
      <c r="E4790" t="s" s="9">
        <v>1636</v>
      </c>
      <c r="F4790" s="19">
        <v>8</v>
      </c>
      <c r="G4790" s="17">
        <v>8</v>
      </c>
      <c r="H4790" s="19">
        <v>8</v>
      </c>
      <c r="I4790" s="17">
        <v>8</v>
      </c>
      <c r="J4790" t="s" s="11">
        <v>20</v>
      </c>
      <c r="K4790" s="15"/>
      <c r="L4790" t="s" s="16">
        <f>HYPERLINK("http://csr.bu.edu/ftp/asl/asllvd/demos/verify_start_end_handshape_annotations//test_auto_move//signs_mov_separ_signers/Liz_1034.mov","MOV")</f>
        <v>21</v>
      </c>
      <c r="M4790" t="s" s="10">
        <v>34</v>
      </c>
      <c r="N4790" s="17">
        <v>4</v>
      </c>
      <c r="O4790" s="18">
        <v>1266</v>
      </c>
      <c r="P4790" s="18">
        <v>1311</v>
      </c>
      <c r="Q4790" s="15"/>
      <c r="R4790" t="s" s="16">
        <f>HYPERLINK("http://secrets.rutgers.edu:8080/data/asl-ftp/asllvd/demos/verify_start_end_handshape_annotations//test_auto_move//signs_mov_separ_signers/Liz_1034.mov","MOV")</f>
        <v>21</v>
      </c>
    </row>
    <row r="4791" s="2" customFormat="1" ht="13.5" customHeight="1">
      <c r="B4791" s="13"/>
      <c r="C4791" t="s" s="9">
        <v>16</v>
      </c>
      <c r="D4791" t="s" s="8">
        <v>1636</v>
      </c>
      <c r="E4791" t="s" s="9">
        <v>1636</v>
      </c>
      <c r="F4791" s="19">
        <v>8</v>
      </c>
      <c r="G4791" s="17">
        <v>8</v>
      </c>
      <c r="H4791" s="19">
        <v>8</v>
      </c>
      <c r="I4791" s="17">
        <v>8</v>
      </c>
      <c r="J4791" t="s" s="11">
        <v>20</v>
      </c>
      <c r="K4791" s="15"/>
      <c r="L4791" t="s" s="16">
        <f>HYPERLINK("http://csr.bu.edu/ftp/asl/asllvd/demos/verify_start_end_handshape_annotations//test_auto_move//signs_mov_separ_signers/Liz_3766.mov","MOV")</f>
        <v>21</v>
      </c>
      <c r="M4791" t="s" s="10">
        <v>36</v>
      </c>
      <c r="N4791" s="17">
        <v>39</v>
      </c>
      <c r="O4791" s="18">
        <v>1710</v>
      </c>
      <c r="P4791" s="18">
        <v>1745</v>
      </c>
      <c r="Q4791" s="15"/>
      <c r="R4791" t="s" s="16">
        <f>HYPERLINK("http://secrets.rutgers.edu:8080/data/asl-ftp/asllvd/demos/verify_start_end_handshape_annotations//test_auto_move//signs_mov_separ_signers/Liz_3766.mov","MOV")</f>
        <v>21</v>
      </c>
    </row>
    <row r="4792" s="2" customFormat="1" ht="13.5" customHeight="1">
      <c r="B4792" s="13"/>
      <c r="C4792" t="s" s="9">
        <v>27</v>
      </c>
      <c r="D4792" t="s" s="8">
        <v>1636</v>
      </c>
      <c r="E4792" t="s" s="9">
        <v>1636</v>
      </c>
      <c r="F4792" s="19">
        <v>8</v>
      </c>
      <c r="G4792" s="17">
        <v>8</v>
      </c>
      <c r="H4792" s="19">
        <v>8</v>
      </c>
      <c r="I4792" s="17">
        <v>8</v>
      </c>
      <c r="J4792" t="s" s="11">
        <v>20</v>
      </c>
      <c r="K4792" t="s" s="16">
        <f>HYPERLINK("http://csr.bu.edu/ftp/asl/asllvd/demos/verify_start_end_handshape_annotations//test_auto_move//signs_mov/1034_3766_merged.mov","MOV")</f>
        <v>21</v>
      </c>
      <c r="L4792" t="s" s="16">
        <f>HYPERLINK("http://csr.bu.edu/ftp/asl/asllvd/demos/verify_start_end_handshape_annotations//test_auto_move//signs_mov_separ_signers/Naomi_1034.mov","MOV")</f>
        <v>21</v>
      </c>
      <c r="M4792" t="s" s="10">
        <v>38</v>
      </c>
      <c r="N4792" s="17">
        <v>4</v>
      </c>
      <c r="O4792" s="18">
        <v>1763</v>
      </c>
      <c r="P4792" s="18">
        <v>1800</v>
      </c>
      <c r="Q4792" t="s" s="16">
        <f>HYPERLINK("http://secrets.rutgers.edu:8080/data/asl-ftp/asllvd/demos/verify_start_end_handshape_annotations//test_auto_move//signs_mov/1034_3766_merged.mov","MOV")</f>
        <v>21</v>
      </c>
      <c r="R4792" t="s" s="16">
        <f>HYPERLINK("http://secrets.rutgers.edu:8080/data/asl-ftp/asllvd/demos/verify_start_end_handshape_annotations//test_auto_move//signs_mov_separ_signers/Naomi_1034.mov","MOV")</f>
        <v>21</v>
      </c>
    </row>
    <row r="4793" s="2" customFormat="1" ht="13.5" customHeight="1">
      <c r="B4793" s="13"/>
      <c r="C4793" t="s" s="9">
        <v>30</v>
      </c>
      <c r="D4793" t="s" s="8">
        <v>1636</v>
      </c>
      <c r="E4793" t="s" s="9">
        <v>1636</v>
      </c>
      <c r="F4793" s="19">
        <v>8</v>
      </c>
      <c r="G4793" s="17">
        <v>8</v>
      </c>
      <c r="H4793" s="19">
        <v>8</v>
      </c>
      <c r="I4793" s="17">
        <v>8</v>
      </c>
      <c r="J4793" t="s" s="11">
        <v>20</v>
      </c>
      <c r="K4793" s="15"/>
      <c r="L4793" t="s" s="16">
        <f>HYPERLINK("http://csr.bu.edu/ftp/asl/asllvd/demos/verify_start_end_handshape_annotations//test_auto_move//signs_mov_separ_signers/Brady_1034.mov","MOV")</f>
        <v>21</v>
      </c>
      <c r="M4793" t="s" s="10">
        <v>39</v>
      </c>
      <c r="N4793" s="17">
        <v>25</v>
      </c>
      <c r="O4793" s="18">
        <v>4141</v>
      </c>
      <c r="P4793" s="18">
        <v>4181</v>
      </c>
      <c r="Q4793" s="15"/>
      <c r="R4793" t="s" s="16">
        <f>HYPERLINK("http://secrets.rutgers.edu:8080/data/asl-ftp/asllvd/demos/verify_start_end_handshape_annotations//test_auto_move//signs_mov_separ_signers/Brady_1034.mov","MOV")</f>
        <v>21</v>
      </c>
    </row>
    <row r="4794" s="2" customFormat="1" ht="13.5" customHeight="1">
      <c r="B4794" s="13"/>
      <c r="C4794" t="s" s="9">
        <v>30</v>
      </c>
      <c r="D4794" t="s" s="8">
        <v>1636</v>
      </c>
      <c r="E4794" t="s" s="9">
        <v>1636</v>
      </c>
      <c r="F4794" s="19">
        <v>8</v>
      </c>
      <c r="G4794" s="17">
        <v>8</v>
      </c>
      <c r="H4794" s="19">
        <v>8</v>
      </c>
      <c r="I4794" s="17">
        <v>8</v>
      </c>
      <c r="J4794" t="s" s="11">
        <v>20</v>
      </c>
      <c r="K4794" s="15"/>
      <c r="L4794" t="s" s="16">
        <f>HYPERLINK("http://csr.bu.edu/ftp/asl/asllvd/demos/verify_start_end_handshape_annotations//test_auto_move//signs_mov_separ_signers/Brady_3766.mov","MOV")</f>
        <v>21</v>
      </c>
      <c r="M4794" t="s" s="10">
        <v>40</v>
      </c>
      <c r="N4794" s="17">
        <v>91</v>
      </c>
      <c r="O4794" s="18">
        <v>2450</v>
      </c>
      <c r="P4794" s="18">
        <v>2494</v>
      </c>
      <c r="Q4794" s="15"/>
      <c r="R4794" t="s" s="16">
        <f>HYPERLINK("http://secrets.rutgers.edu:8080/data/asl-ftp/asllvd/demos/verify_start_end_handshape_annotations//test_auto_move//signs_mov_separ_signers/Brady_3766.mov","MOV")</f>
        <v>21</v>
      </c>
    </row>
    <row r="4795" s="2" customFormat="1" ht="13.5" customHeight="1">
      <c r="B4795" t="s" s="8">
        <v>52</v>
      </c>
      <c r="C4795" t="s" s="9">
        <v>53</v>
      </c>
      <c r="D4795" t="s" s="8">
        <v>53</v>
      </c>
      <c r="E4795" t="s" s="9">
        <v>53</v>
      </c>
      <c r="F4795" t="s" s="10">
        <v>53</v>
      </c>
      <c r="G4795" t="s" s="11">
        <v>53</v>
      </c>
      <c r="H4795" t="s" s="10">
        <v>53</v>
      </c>
      <c r="I4795" t="s" s="11">
        <v>53</v>
      </c>
      <c r="J4795" t="s" s="11">
        <v>53</v>
      </c>
      <c r="K4795" t="s" s="12">
        <v>53</v>
      </c>
      <c r="L4795" t="s" s="12">
        <v>53</v>
      </c>
      <c r="M4795" t="s" s="10">
        <v>53</v>
      </c>
      <c r="N4795" t="s" s="11">
        <v>53</v>
      </c>
      <c r="O4795" t="s" s="8">
        <v>53</v>
      </c>
      <c r="P4795" t="s" s="8">
        <v>53</v>
      </c>
      <c r="Q4795" t="s" s="12">
        <v>53</v>
      </c>
      <c r="R4795" t="s" s="12">
        <v>53</v>
      </c>
    </row>
    <row r="4796" s="2" customFormat="1" ht="13.5" customHeight="1">
      <c r="B4796" s="13"/>
      <c r="C4796" t="s" s="9">
        <v>16</v>
      </c>
      <c r="D4796" t="s" s="8">
        <v>1636</v>
      </c>
      <c r="E4796" t="s" s="9">
        <v>1637</v>
      </c>
      <c r="F4796" t="s" s="10">
        <v>282</v>
      </c>
      <c r="G4796" t="s" s="11">
        <v>158</v>
      </c>
      <c r="H4796" t="s" s="10">
        <v>282</v>
      </c>
      <c r="I4796" t="s" s="11">
        <v>158</v>
      </c>
      <c r="J4796" t="s" s="11">
        <v>20</v>
      </c>
      <c r="K4796" s="15"/>
      <c r="L4796" t="s" s="16">
        <f>HYPERLINK("http://csr.bu.edu/ftp/asl/asllvd/demos/verify_start_end_handshape_annotations//test_auto_move//signs_mov_separ_signers/Liz_15760.mov","MOV")</f>
        <v>21</v>
      </c>
      <c r="M4796" t="s" s="10">
        <v>77</v>
      </c>
      <c r="N4796" s="17">
        <v>11</v>
      </c>
      <c r="O4796" s="18">
        <v>4105</v>
      </c>
      <c r="P4796" s="18">
        <v>4151</v>
      </c>
      <c r="Q4796" s="15"/>
      <c r="R4796" t="s" s="16">
        <f>HYPERLINK("http://secrets.rutgers.edu:8080/data/asl-ftp/asllvd/demos/verify_start_end_handshape_annotations//test_auto_move//signs_mov_separ_signers/Liz_15760.mov","MOV")</f>
        <v>21</v>
      </c>
    </row>
    <row r="4797" s="2" customFormat="1" ht="13.5" customHeight="1">
      <c r="B4797" s="13"/>
      <c r="C4797" t="s" s="9">
        <v>23</v>
      </c>
      <c r="D4797" t="s" s="8">
        <v>1636</v>
      </c>
      <c r="E4797" t="s" s="9">
        <v>1637</v>
      </c>
      <c r="F4797" t="s" s="10">
        <v>282</v>
      </c>
      <c r="G4797" t="s" s="11">
        <v>158</v>
      </c>
      <c r="H4797" t="s" s="10">
        <v>282</v>
      </c>
      <c r="I4797" t="s" s="11">
        <v>158</v>
      </c>
      <c r="J4797" t="s" s="11">
        <v>20</v>
      </c>
      <c r="K4797" t="s" s="16">
        <f>HYPERLINK("http://csr.bu.edu/ftp/asl/asllvd/demos/verify_start_end_handshape_annotations//test_auto_move//signs_mov/15760.mov","MOV")</f>
        <v>21</v>
      </c>
      <c r="L4797" t="s" s="16">
        <f>HYPERLINK("http://csr.bu.edu/ftp/asl/asllvd/demos/verify_start_end_handshape_annotations//test_auto_move//signs_mov_separ_signers/Tyler_15760.mov","MOV")</f>
        <v>21</v>
      </c>
      <c r="M4797" t="s" s="10">
        <v>92</v>
      </c>
      <c r="N4797" s="17">
        <v>36</v>
      </c>
      <c r="O4797" s="18">
        <v>832</v>
      </c>
      <c r="P4797" s="18">
        <v>887</v>
      </c>
      <c r="Q4797" t="s" s="16">
        <f>HYPERLINK("http://secrets.rutgers.edu:8080/data/asl-ftp/asllvd/demos/verify_start_end_handshape_annotations//test_auto_move//signs_mov/15760.mov","MOV")</f>
        <v>21</v>
      </c>
      <c r="R4797" t="s" s="16">
        <f>HYPERLINK("http://secrets.rutgers.edu:8080/data/asl-ftp/asllvd/demos/verify_start_end_handshape_annotations//test_auto_move//signs_mov_separ_signers/Tyler_15760.mov","MOV")</f>
        <v>21</v>
      </c>
    </row>
    <row r="4798" s="2" customFormat="1" ht="13.5" customHeight="1">
      <c r="B4798" s="13"/>
      <c r="C4798" t="s" s="9">
        <v>30</v>
      </c>
      <c r="D4798" t="s" s="8">
        <v>1636</v>
      </c>
      <c r="E4798" t="s" s="9">
        <v>1637</v>
      </c>
      <c r="F4798" t="s" s="10">
        <v>282</v>
      </c>
      <c r="G4798" t="s" s="11">
        <v>158</v>
      </c>
      <c r="H4798" t="s" s="10">
        <v>282</v>
      </c>
      <c r="I4798" t="s" s="11">
        <v>158</v>
      </c>
      <c r="J4798" t="s" s="11">
        <v>20</v>
      </c>
      <c r="K4798" s="15"/>
      <c r="L4798" t="s" s="16">
        <f>HYPERLINK("http://csr.bu.edu/ftp/asl/asllvd/demos/verify_start_end_handshape_annotations//test_auto_move//signs_mov_separ_signers/Brady_15760.mov","MOV")</f>
        <v>21</v>
      </c>
      <c r="M4798" t="s" s="10">
        <v>39</v>
      </c>
      <c r="N4798" s="17">
        <v>25</v>
      </c>
      <c r="O4798" s="18">
        <v>4452</v>
      </c>
      <c r="P4798" s="18">
        <v>4490</v>
      </c>
      <c r="Q4798" s="15"/>
      <c r="R4798" t="s" s="16">
        <f>HYPERLINK("http://secrets.rutgers.edu:8080/data/asl-ftp/asllvd/demos/verify_start_end_handshape_annotations//test_auto_move//signs_mov_separ_signers/Brady_15760.mov","MOV")</f>
        <v>21</v>
      </c>
    </row>
    <row r="4799" s="2" customFormat="1" ht="13.5" customHeight="1">
      <c r="B4799" t="s" s="8">
        <v>1638</v>
      </c>
      <c r="C4799" t="s" s="9">
        <v>14</v>
      </c>
      <c r="D4799" t="s" s="8">
        <v>14</v>
      </c>
      <c r="E4799" t="s" s="9">
        <v>14</v>
      </c>
      <c r="F4799" t="s" s="10">
        <v>14</v>
      </c>
      <c r="G4799" t="s" s="11">
        <v>14</v>
      </c>
      <c r="H4799" t="s" s="10">
        <v>14</v>
      </c>
      <c r="I4799" t="s" s="11">
        <v>14</v>
      </c>
      <c r="J4799" t="s" s="11">
        <v>14</v>
      </c>
      <c r="K4799" t="s" s="12">
        <v>14</v>
      </c>
      <c r="L4799" t="s" s="12">
        <v>14</v>
      </c>
      <c r="M4799" t="s" s="10">
        <v>14</v>
      </c>
      <c r="N4799" t="s" s="11">
        <v>14</v>
      </c>
      <c r="O4799" t="s" s="8">
        <v>14</v>
      </c>
      <c r="P4799" t="s" s="8">
        <v>14</v>
      </c>
      <c r="Q4799" t="s" s="12">
        <v>14</v>
      </c>
      <c r="R4799" t="s" s="12">
        <v>14</v>
      </c>
    </row>
    <row r="4800" s="2" customFormat="1" ht="13.5" customHeight="1">
      <c r="B4800" s="13"/>
      <c r="C4800" t="s" s="9">
        <v>16</v>
      </c>
      <c r="D4800" t="s" s="8">
        <v>1638</v>
      </c>
      <c r="E4800" t="s" s="9">
        <v>1638</v>
      </c>
      <c r="F4800" t="s" s="10">
        <v>75</v>
      </c>
      <c r="G4800" s="14"/>
      <c r="H4800" t="s" s="10">
        <v>75</v>
      </c>
      <c r="I4800" s="14"/>
      <c r="J4800" t="s" s="11">
        <v>20</v>
      </c>
      <c r="K4800" s="15"/>
      <c r="L4800" t="s" s="16">
        <f>HYPERLINK("http://csr.bu.edu/ftp/asl/asllvd/demos/verify_start_end_handshape_annotations//test_auto_move//signs_mov_separ_signers/Liz_1037.mov","MOV")</f>
        <v>21</v>
      </c>
      <c r="M4800" t="s" s="10">
        <v>22</v>
      </c>
      <c r="N4800" s="17">
        <v>76</v>
      </c>
      <c r="O4800" s="18">
        <v>1375</v>
      </c>
      <c r="P4800" s="18">
        <v>1400</v>
      </c>
      <c r="Q4800" s="15"/>
      <c r="R4800" t="s" s="16">
        <f>HYPERLINK("http://secrets.rutgers.edu:8080/data/asl-ftp/asllvd/demos/verify_start_end_handshape_annotations//test_auto_move//signs_mov_separ_signers/Liz_1037.mov","MOV")</f>
        <v>21</v>
      </c>
    </row>
    <row r="4801" s="2" customFormat="1" ht="13.5" customHeight="1">
      <c r="B4801" s="13"/>
      <c r="C4801" t="s" s="9">
        <v>16</v>
      </c>
      <c r="D4801" t="s" s="8">
        <v>1638</v>
      </c>
      <c r="E4801" t="s" s="9">
        <v>1638</v>
      </c>
      <c r="F4801" t="s" s="10">
        <v>150</v>
      </c>
      <c r="G4801" s="14"/>
      <c r="H4801" t="s" s="10">
        <v>150</v>
      </c>
      <c r="I4801" s="14"/>
      <c r="J4801" t="s" s="11">
        <v>20</v>
      </c>
      <c r="K4801" s="15"/>
      <c r="L4801" t="s" s="16">
        <f>HYPERLINK("http://csr.bu.edu/ftp/asl/asllvd/demos/verify_start_end_handshape_annotations//test_auto_move//signs_mov_separ_signers/Liz_3347.mov","MOV")</f>
        <v>21</v>
      </c>
      <c r="M4801" t="s" s="10">
        <v>34</v>
      </c>
      <c r="N4801" s="17">
        <v>4</v>
      </c>
      <c r="O4801" s="18">
        <v>2125</v>
      </c>
      <c r="P4801" s="18">
        <v>2175</v>
      </c>
      <c r="Q4801" s="15"/>
      <c r="R4801" t="s" s="16">
        <f>HYPERLINK("http://secrets.rutgers.edu:8080/data/asl-ftp/asllvd/demos/verify_start_end_handshape_annotations//test_auto_move//signs_mov_separ_signers/Liz_3347.mov","MOV")</f>
        <v>21</v>
      </c>
    </row>
    <row r="4802" s="2" customFormat="1" ht="13.5" customHeight="1">
      <c r="B4802" s="13"/>
      <c r="C4802" t="s" s="9">
        <v>23</v>
      </c>
      <c r="D4802" t="s" s="8">
        <v>1638</v>
      </c>
      <c r="E4802" t="s" s="9">
        <v>1638</v>
      </c>
      <c r="F4802" t="s" s="10">
        <v>80</v>
      </c>
      <c r="G4802" s="14"/>
      <c r="H4802" t="s" s="10">
        <v>80</v>
      </c>
      <c r="I4802" s="14"/>
      <c r="J4802" t="s" s="11">
        <v>20</v>
      </c>
      <c r="K4802" s="15"/>
      <c r="L4802" t="s" s="16">
        <f>HYPERLINK("http://csr.bu.edu/ftp/asl/asllvd/demos/verify_start_end_handshape_annotations//test_auto_move//signs_mov_separ_signers/Tyler_1037.mov","MOV")</f>
        <v>21</v>
      </c>
      <c r="M4802" t="s" s="10">
        <v>92</v>
      </c>
      <c r="N4802" s="17">
        <v>36</v>
      </c>
      <c r="O4802" s="18">
        <v>1780</v>
      </c>
      <c r="P4802" s="18">
        <v>1811</v>
      </c>
      <c r="Q4802" s="15"/>
      <c r="R4802" t="s" s="16">
        <f>HYPERLINK("http://secrets.rutgers.edu:8080/data/asl-ftp/asllvd/demos/verify_start_end_handshape_annotations//test_auto_move//signs_mov_separ_signers/Tyler_1037.mov","MOV")</f>
        <v>21</v>
      </c>
    </row>
    <row r="4803" s="2" customFormat="1" ht="13.5" customHeight="1">
      <c r="B4803" s="13"/>
      <c r="C4803" t="s" s="9">
        <v>27</v>
      </c>
      <c r="D4803" t="s" s="8">
        <v>1638</v>
      </c>
      <c r="E4803" t="s" s="9">
        <v>1638</v>
      </c>
      <c r="F4803" t="s" s="10">
        <v>85</v>
      </c>
      <c r="G4803" s="14"/>
      <c r="H4803" t="s" s="10">
        <v>85</v>
      </c>
      <c r="I4803" s="14"/>
      <c r="J4803" t="s" s="11">
        <v>20</v>
      </c>
      <c r="K4803" t="s" s="16">
        <f>HYPERLINK("http://csr.bu.edu/ftp/asl/asllvd/demos/verify_start_end_handshape_annotations//test_auto_move//signs_mov/1037_3347_merged.mov","MOV")</f>
        <v>21</v>
      </c>
      <c r="L4803" t="s" s="16">
        <f>HYPERLINK("http://csr.bu.edu/ftp/asl/asllvd/demos/verify_start_end_handshape_annotations//test_auto_move//signs_mov_separ_signers/Naomi_1037.mov","MOV")</f>
        <v>21</v>
      </c>
      <c r="M4803" t="s" s="10">
        <v>29</v>
      </c>
      <c r="N4803" s="17">
        <v>48</v>
      </c>
      <c r="O4803" s="18">
        <v>2816</v>
      </c>
      <c r="P4803" s="18">
        <v>2846</v>
      </c>
      <c r="Q4803" t="s" s="16">
        <f>HYPERLINK("http://secrets.rutgers.edu:8080/data/asl-ftp/asllvd/demos/verify_start_end_handshape_annotations//test_auto_move//signs_mov/1037_3347_merged.mov","MOV")</f>
        <v>21</v>
      </c>
      <c r="R4803" t="s" s="16">
        <f>HYPERLINK("http://secrets.rutgers.edu:8080/data/asl-ftp/asllvd/demos/verify_start_end_handshape_annotations//test_auto_move//signs_mov_separ_signers/Naomi_1037.mov","MOV")</f>
        <v>21</v>
      </c>
    </row>
    <row r="4804" s="2" customFormat="1" ht="13.5" customHeight="1">
      <c r="B4804" s="13"/>
      <c r="C4804" t="s" s="9">
        <v>27</v>
      </c>
      <c r="D4804" t="s" s="8">
        <v>1638</v>
      </c>
      <c r="E4804" t="s" s="9">
        <v>1638</v>
      </c>
      <c r="F4804" t="s" s="10">
        <v>85</v>
      </c>
      <c r="G4804" s="14"/>
      <c r="H4804" t="s" s="10">
        <v>85</v>
      </c>
      <c r="I4804" s="14"/>
      <c r="J4804" t="s" s="11">
        <v>20</v>
      </c>
      <c r="K4804" s="15"/>
      <c r="L4804" t="s" s="16">
        <f>HYPERLINK("http://csr.bu.edu/ftp/asl/asllvd/demos/verify_start_end_handshape_annotations//test_auto_move//signs_mov_separ_signers/Naomi_3347.mov","MOV")</f>
        <v>21</v>
      </c>
      <c r="M4804" t="s" s="10">
        <v>38</v>
      </c>
      <c r="N4804" s="17">
        <v>4</v>
      </c>
      <c r="O4804" s="18">
        <v>3060</v>
      </c>
      <c r="P4804" s="18">
        <v>3080</v>
      </c>
      <c r="Q4804" s="15"/>
      <c r="R4804" t="s" s="16">
        <f>HYPERLINK("http://secrets.rutgers.edu:8080/data/asl-ftp/asllvd/demos/verify_start_end_handshape_annotations//test_auto_move//signs_mov_separ_signers/Naomi_3347.mov","MOV")</f>
        <v>21</v>
      </c>
    </row>
    <row r="4805" s="2" customFormat="1" ht="13.5" customHeight="1">
      <c r="B4805" s="13"/>
      <c r="C4805" t="s" s="9">
        <v>30</v>
      </c>
      <c r="D4805" t="s" s="8">
        <v>1638</v>
      </c>
      <c r="E4805" t="s" s="9">
        <v>1638</v>
      </c>
      <c r="F4805" t="s" s="10">
        <v>85</v>
      </c>
      <c r="G4805" s="14"/>
      <c r="H4805" t="s" s="10">
        <v>85</v>
      </c>
      <c r="I4805" s="14"/>
      <c r="J4805" t="s" s="11">
        <v>20</v>
      </c>
      <c r="K4805" s="15"/>
      <c r="L4805" t="s" s="16">
        <f>HYPERLINK("http://csr.bu.edu/ftp/asl/asllvd/demos/verify_start_end_handshape_annotations//test_auto_move//signs_mov_separ_signers/Brady_1037.mov","MOV")</f>
        <v>21</v>
      </c>
      <c r="M4805" t="s" s="10">
        <v>39</v>
      </c>
      <c r="N4805" s="17">
        <v>25</v>
      </c>
      <c r="O4805" s="18">
        <v>5433</v>
      </c>
      <c r="P4805" s="18">
        <v>5462</v>
      </c>
      <c r="Q4805" s="15"/>
      <c r="R4805" t="s" s="16">
        <f>HYPERLINK("http://secrets.rutgers.edu:8080/data/asl-ftp/asllvd/demos/verify_start_end_handshape_annotations//test_auto_move//signs_mov_separ_signers/Brady_1037.mov","MOV")</f>
        <v>21</v>
      </c>
    </row>
    <row r="4806" s="2" customFormat="1" ht="13.5" customHeight="1">
      <c r="B4806" s="13"/>
      <c r="C4806" t="s" s="9">
        <v>30</v>
      </c>
      <c r="D4806" t="s" s="8">
        <v>1638</v>
      </c>
      <c r="E4806" t="s" s="9">
        <v>1638</v>
      </c>
      <c r="F4806" t="s" s="10">
        <v>85</v>
      </c>
      <c r="G4806" s="14"/>
      <c r="H4806" t="s" s="10">
        <v>85</v>
      </c>
      <c r="I4806" s="14"/>
      <c r="J4806" t="s" s="11">
        <v>20</v>
      </c>
      <c r="K4806" s="15"/>
      <c r="L4806" t="s" s="16">
        <f>HYPERLINK("http://csr.bu.edu/ftp/asl/asllvd/demos/verify_start_end_handshape_annotations//test_auto_move//signs_mov_separ_signers/Brady_3347.mov","MOV")</f>
        <v>21</v>
      </c>
      <c r="M4806" t="s" s="10">
        <v>60</v>
      </c>
      <c r="N4806" s="17">
        <v>40</v>
      </c>
      <c r="O4806" s="18">
        <v>1323</v>
      </c>
      <c r="P4806" s="18">
        <v>1365</v>
      </c>
      <c r="Q4806" s="15"/>
      <c r="R4806" t="s" s="16">
        <f>HYPERLINK("http://secrets.rutgers.edu:8080/data/asl-ftp/asllvd/demos/verify_start_end_handshape_annotations//test_auto_move//signs_mov_separ_signers/Brady_3347.mov","MOV")</f>
        <v>21</v>
      </c>
    </row>
    <row r="4807" s="2" customFormat="1" ht="13.5" customHeight="1">
      <c r="B4807" t="s" s="8">
        <v>1639</v>
      </c>
      <c r="C4807" t="s" s="9">
        <v>14</v>
      </c>
      <c r="D4807" t="s" s="8">
        <v>14</v>
      </c>
      <c r="E4807" t="s" s="9">
        <v>14</v>
      </c>
      <c r="F4807" t="s" s="10">
        <v>14</v>
      </c>
      <c r="G4807" t="s" s="11">
        <v>14</v>
      </c>
      <c r="H4807" t="s" s="10">
        <v>14</v>
      </c>
      <c r="I4807" t="s" s="11">
        <v>14</v>
      </c>
      <c r="J4807" t="s" s="11">
        <v>14</v>
      </c>
      <c r="K4807" t="s" s="12">
        <v>14</v>
      </c>
      <c r="L4807" t="s" s="12">
        <v>14</v>
      </c>
      <c r="M4807" t="s" s="10">
        <v>14</v>
      </c>
      <c r="N4807" t="s" s="11">
        <v>14</v>
      </c>
      <c r="O4807" t="s" s="8">
        <v>14</v>
      </c>
      <c r="P4807" t="s" s="8">
        <v>14</v>
      </c>
      <c r="Q4807" t="s" s="12">
        <v>14</v>
      </c>
      <c r="R4807" t="s" s="12">
        <v>14</v>
      </c>
    </row>
    <row r="4808" s="2" customFormat="1" ht="13.5" customHeight="1">
      <c r="B4808" s="13"/>
      <c r="C4808" t="s" s="9">
        <v>16</v>
      </c>
      <c r="D4808" t="s" s="8">
        <v>1639</v>
      </c>
      <c r="E4808" t="s" s="9">
        <v>1640</v>
      </c>
      <c r="F4808" s="19">
        <v>10</v>
      </c>
      <c r="G4808" s="14"/>
      <c r="H4808" s="19">
        <v>10</v>
      </c>
      <c r="I4808" s="14"/>
      <c r="J4808" t="s" s="11">
        <v>20</v>
      </c>
      <c r="K4808" s="15"/>
      <c r="L4808" t="s" s="16">
        <f>HYPERLINK("http://csr.bu.edu/ftp/asl/asllvd/demos/verify_start_end_handshape_annotations//test_auto_move//signs_mov_separ_signers/Liz_1038.mov","MOV")</f>
        <v>21</v>
      </c>
      <c r="M4808" t="s" s="10">
        <v>34</v>
      </c>
      <c r="N4808" s="17">
        <v>4</v>
      </c>
      <c r="O4808" s="18">
        <v>2365</v>
      </c>
      <c r="P4808" s="18">
        <v>2395</v>
      </c>
      <c r="Q4808" s="15"/>
      <c r="R4808" t="s" s="16">
        <f>HYPERLINK("http://secrets.rutgers.edu:8080/data/asl-ftp/asllvd/demos/verify_start_end_handshape_annotations//test_auto_move//signs_mov_separ_signers/Liz_1038.mov","MOV")</f>
        <v>21</v>
      </c>
    </row>
    <row r="4809" s="2" customFormat="1" ht="13.5" customHeight="1">
      <c r="B4809" s="13"/>
      <c r="C4809" t="s" s="9">
        <v>23</v>
      </c>
      <c r="D4809" t="s" s="8">
        <v>1639</v>
      </c>
      <c r="E4809" t="s" s="9">
        <v>1641</v>
      </c>
      <c r="F4809" s="19">
        <v>10</v>
      </c>
      <c r="G4809" s="14"/>
      <c r="H4809" s="19">
        <v>10</v>
      </c>
      <c r="I4809" s="14"/>
      <c r="J4809" t="s" s="11">
        <v>20</v>
      </c>
      <c r="K4809" s="15"/>
      <c r="L4809" t="s" s="16">
        <f>HYPERLINK("http://csr.bu.edu/ftp/asl/asllvd/demos/verify_start_end_handshape_annotations//test_auto_move//signs_mov_separ_signers/Tyler_1038.mov","MOV")</f>
        <v>21</v>
      </c>
      <c r="M4809" t="s" s="10">
        <v>92</v>
      </c>
      <c r="N4809" s="17">
        <v>36</v>
      </c>
      <c r="O4809" s="18">
        <v>1970</v>
      </c>
      <c r="P4809" s="18">
        <v>2015</v>
      </c>
      <c r="Q4809" s="15"/>
      <c r="R4809" t="s" s="16">
        <f>HYPERLINK("http://secrets.rutgers.edu:8080/data/asl-ftp/asllvd/demos/verify_start_end_handshape_annotations//test_auto_move//signs_mov_separ_signers/Tyler_1038.mov","MOV")</f>
        <v>21</v>
      </c>
    </row>
    <row r="4810" s="2" customFormat="1" ht="13.5" customHeight="1">
      <c r="B4810" s="13"/>
      <c r="C4810" t="s" s="9">
        <v>27</v>
      </c>
      <c r="D4810" t="s" s="8">
        <v>1639</v>
      </c>
      <c r="E4810" t="s" s="9">
        <v>1640</v>
      </c>
      <c r="F4810" s="19">
        <v>10</v>
      </c>
      <c r="G4810" s="14"/>
      <c r="H4810" s="19">
        <v>10</v>
      </c>
      <c r="I4810" s="14"/>
      <c r="J4810" t="s" s="11">
        <v>20</v>
      </c>
      <c r="K4810" t="s" s="16">
        <f>HYPERLINK("http://csr.bu.edu/ftp/asl/asllvd/demos/verify_start_end_handshape_annotations//test_auto_move//signs_mov/1038.mov","MOV")</f>
        <v>21</v>
      </c>
      <c r="L4810" t="s" s="16">
        <f>HYPERLINK("http://csr.bu.edu/ftp/asl/asllvd/demos/verify_start_end_handshape_annotations//test_auto_move//signs_mov_separ_signers/Naomi_1038.mov","MOV")</f>
        <v>21</v>
      </c>
      <c r="M4810" t="s" s="10">
        <v>38</v>
      </c>
      <c r="N4810" s="17">
        <v>4</v>
      </c>
      <c r="O4810" s="18">
        <v>3343</v>
      </c>
      <c r="P4810" s="18">
        <v>3370</v>
      </c>
      <c r="Q4810" t="s" s="16">
        <f>HYPERLINK("http://secrets.rutgers.edu:8080/data/asl-ftp/asllvd/demos/verify_start_end_handshape_annotations//test_auto_move//signs_mov/1038.mov","MOV")</f>
        <v>21</v>
      </c>
      <c r="R4810" t="s" s="16">
        <f>HYPERLINK("http://secrets.rutgers.edu:8080/data/asl-ftp/asllvd/demos/verify_start_end_handshape_annotations//test_auto_move//signs_mov_separ_signers/Naomi_1038.mov","MOV")</f>
        <v>21</v>
      </c>
    </row>
    <row r="4811" s="2" customFormat="1" ht="13.5" customHeight="1">
      <c r="B4811" s="13"/>
      <c r="C4811" t="s" s="9">
        <v>30</v>
      </c>
      <c r="D4811" t="s" s="8">
        <v>1639</v>
      </c>
      <c r="E4811" t="s" s="9">
        <v>1640</v>
      </c>
      <c r="F4811" s="19">
        <v>10</v>
      </c>
      <c r="G4811" s="14"/>
      <c r="H4811" s="19">
        <v>10</v>
      </c>
      <c r="I4811" s="14"/>
      <c r="J4811" t="s" s="11">
        <v>20</v>
      </c>
      <c r="K4811" s="15"/>
      <c r="L4811" t="s" s="16">
        <f>HYPERLINK("http://csr.bu.edu/ftp/asl/asllvd/demos/verify_start_end_handshape_annotations//test_auto_move//signs_mov_separ_signers/Brady_1038.mov","MOV")</f>
        <v>21</v>
      </c>
      <c r="M4811" t="s" s="10">
        <v>39</v>
      </c>
      <c r="N4811" s="17">
        <v>26</v>
      </c>
      <c r="O4811" s="18">
        <v>274</v>
      </c>
      <c r="P4811" s="18">
        <v>297</v>
      </c>
      <c r="Q4811" s="15"/>
      <c r="R4811" t="s" s="16">
        <f>HYPERLINK("http://secrets.rutgers.edu:8080/data/asl-ftp/asllvd/demos/verify_start_end_handshape_annotations//test_auto_move//signs_mov_separ_signers/Brady_1038.mov","MOV")</f>
        <v>21</v>
      </c>
    </row>
    <row r="4812" s="2" customFormat="1" ht="13.5" customHeight="1">
      <c r="B4812" s="13"/>
      <c r="C4812" t="s" s="9">
        <v>41</v>
      </c>
      <c r="D4812" t="s" s="8">
        <v>1639</v>
      </c>
      <c r="E4812" t="s" s="9">
        <v>1640</v>
      </c>
      <c r="F4812" s="19">
        <v>10</v>
      </c>
      <c r="G4812" s="14"/>
      <c r="H4812" s="19">
        <v>10</v>
      </c>
      <c r="I4812" s="14"/>
      <c r="J4812" t="s" s="11">
        <v>20</v>
      </c>
      <c r="K4812" s="15"/>
      <c r="L4812" t="s" s="16">
        <f>HYPERLINK("http://csr.bu.edu/ftp/asl/asllvd/demos/verify_start_end_handshape_annotations//test_auto_move//signs_mov_separ_signers/Lana_1038.mov","MOV")</f>
        <v>21</v>
      </c>
      <c r="M4812" t="s" s="10">
        <v>42</v>
      </c>
      <c r="N4812" s="17">
        <v>12</v>
      </c>
      <c r="O4812" s="18">
        <v>443</v>
      </c>
      <c r="P4812" s="18">
        <v>470</v>
      </c>
      <c r="Q4812" s="15"/>
      <c r="R4812" t="s" s="16">
        <f>HYPERLINK("http://secrets.rutgers.edu:8080/data/asl-ftp/asllvd/demos/verify_start_end_handshape_annotations//test_auto_move//signs_mov_separ_signers/Lana_1038.mov","MOV")</f>
        <v>21</v>
      </c>
    </row>
    <row r="4813" s="2" customFormat="1" ht="13.5" customHeight="1">
      <c r="B4813" s="13"/>
      <c r="C4813" t="s" s="9">
        <v>43</v>
      </c>
      <c r="D4813" t="s" s="8">
        <v>1639</v>
      </c>
      <c r="E4813" t="s" s="9">
        <v>1640</v>
      </c>
      <c r="F4813" s="19">
        <v>10</v>
      </c>
      <c r="G4813" s="14"/>
      <c r="H4813" s="19">
        <v>10</v>
      </c>
      <c r="I4813" s="14"/>
      <c r="J4813" t="s" s="11">
        <v>20</v>
      </c>
      <c r="K4813" s="15"/>
      <c r="L4813" t="s" s="16">
        <f>HYPERLINK("http://csr.bu.edu/ftp/asl/asllvd/demos/verify_start_end_handshape_annotations//test_auto_move//signs_mov_separ_signers/Dana_1038.mov","MOV")</f>
        <v>21</v>
      </c>
      <c r="M4813" t="s" s="10">
        <v>44</v>
      </c>
      <c r="N4813" s="17">
        <v>16</v>
      </c>
      <c r="O4813" s="18">
        <v>308</v>
      </c>
      <c r="P4813" s="18">
        <v>362</v>
      </c>
      <c r="Q4813" s="15"/>
      <c r="R4813" t="s" s="16">
        <f>HYPERLINK("http://secrets.rutgers.edu:8080/data/asl-ftp/asllvd/demos/verify_start_end_handshape_annotations//test_auto_move//signs_mov_separ_signers/Dana_1038.mov","MOV")</f>
        <v>21</v>
      </c>
    </row>
    <row r="4814" s="2" customFormat="1" ht="13.5" customHeight="1">
      <c r="B4814" t="s" s="8">
        <v>1642</v>
      </c>
      <c r="C4814" t="s" s="9">
        <v>14</v>
      </c>
      <c r="D4814" t="s" s="8">
        <v>14</v>
      </c>
      <c r="E4814" t="s" s="9">
        <v>14</v>
      </c>
      <c r="F4814" t="s" s="10">
        <v>14</v>
      </c>
      <c r="G4814" t="s" s="11">
        <v>14</v>
      </c>
      <c r="H4814" t="s" s="10">
        <v>14</v>
      </c>
      <c r="I4814" t="s" s="11">
        <v>14</v>
      </c>
      <c r="J4814" t="s" s="11">
        <v>14</v>
      </c>
      <c r="K4814" t="s" s="12">
        <v>14</v>
      </c>
      <c r="L4814" t="s" s="12">
        <v>14</v>
      </c>
      <c r="M4814" t="s" s="10">
        <v>14</v>
      </c>
      <c r="N4814" t="s" s="11">
        <v>14</v>
      </c>
      <c r="O4814" t="s" s="8">
        <v>14</v>
      </c>
      <c r="P4814" t="s" s="8">
        <v>14</v>
      </c>
      <c r="Q4814" t="s" s="12">
        <v>14</v>
      </c>
      <c r="R4814" t="s" s="12">
        <v>14</v>
      </c>
    </row>
    <row r="4815" s="2" customFormat="1" ht="13.5" customHeight="1">
      <c r="B4815" s="13"/>
      <c r="C4815" t="s" s="9">
        <v>16</v>
      </c>
      <c r="D4815" t="s" s="8">
        <v>1642</v>
      </c>
      <c r="E4815" t="s" s="9">
        <v>1642</v>
      </c>
      <c r="F4815" t="s" s="10">
        <v>150</v>
      </c>
      <c r="G4815" t="s" s="11">
        <v>150</v>
      </c>
      <c r="H4815" t="s" s="10">
        <v>73</v>
      </c>
      <c r="I4815" t="s" s="11">
        <v>73</v>
      </c>
      <c r="J4815" t="s" s="11">
        <v>20</v>
      </c>
      <c r="K4815" s="15"/>
      <c r="L4815" t="s" s="16">
        <f>HYPERLINK("http://csr.bu.edu/ftp/asl/asllvd/demos/verify_start_end_handshape_annotations//test_auto_move//signs_mov_separ_signers/Liz_1041.mov","MOV")</f>
        <v>21</v>
      </c>
      <c r="M4815" t="s" s="10">
        <v>34</v>
      </c>
      <c r="N4815" s="17">
        <v>5</v>
      </c>
      <c r="O4815" s="18">
        <v>501</v>
      </c>
      <c r="P4815" s="18">
        <v>545</v>
      </c>
      <c r="Q4815" s="15"/>
      <c r="R4815" t="s" s="16">
        <f>HYPERLINK("http://secrets.rutgers.edu:8080/data/asl-ftp/asllvd/demos/verify_start_end_handshape_annotations//test_auto_move//signs_mov_separ_signers/Liz_1041.mov","MOV")</f>
        <v>21</v>
      </c>
    </row>
    <row r="4816" s="2" customFormat="1" ht="13.5" customHeight="1">
      <c r="B4816" s="13"/>
      <c r="C4816" t="s" s="9">
        <v>23</v>
      </c>
      <c r="D4816" t="s" s="8">
        <v>1642</v>
      </c>
      <c r="E4816" t="s" s="9">
        <v>1642</v>
      </c>
      <c r="F4816" t="s" s="10">
        <v>73</v>
      </c>
      <c r="G4816" t="s" s="11">
        <v>73</v>
      </c>
      <c r="H4816" t="s" s="10">
        <v>73</v>
      </c>
      <c r="I4816" t="s" s="11">
        <v>73</v>
      </c>
      <c r="J4816" t="s" s="11">
        <v>20</v>
      </c>
      <c r="K4816" s="15"/>
      <c r="L4816" t="s" s="16">
        <f>HYPERLINK("http://csr.bu.edu/ftp/asl/asllvd/demos/verify_start_end_handshape_annotations//test_auto_move//signs_mov_separ_signers/Tyler_1041.mov","MOV")</f>
        <v>21</v>
      </c>
      <c r="M4816" t="s" s="10">
        <v>92</v>
      </c>
      <c r="N4816" s="17">
        <v>37</v>
      </c>
      <c r="O4816" s="18">
        <v>326</v>
      </c>
      <c r="P4816" s="18">
        <v>355</v>
      </c>
      <c r="Q4816" s="15"/>
      <c r="R4816" t="s" s="16">
        <f>HYPERLINK("http://secrets.rutgers.edu:8080/data/asl-ftp/asllvd/demos/verify_start_end_handshape_annotations//test_auto_move//signs_mov_separ_signers/Tyler_1041.mov","MOV")</f>
        <v>21</v>
      </c>
    </row>
    <row r="4817" s="2" customFormat="1" ht="13.5" customHeight="1">
      <c r="B4817" s="13"/>
      <c r="C4817" t="s" s="9">
        <v>27</v>
      </c>
      <c r="D4817" t="s" s="8">
        <v>1642</v>
      </c>
      <c r="E4817" t="s" s="9">
        <v>1642</v>
      </c>
      <c r="F4817" t="s" s="10">
        <v>150</v>
      </c>
      <c r="G4817" t="s" s="11">
        <v>150</v>
      </c>
      <c r="H4817" t="s" s="10">
        <v>73</v>
      </c>
      <c r="I4817" t="s" s="11">
        <v>73</v>
      </c>
      <c r="J4817" t="s" s="11">
        <v>20</v>
      </c>
      <c r="K4817" t="s" s="16">
        <f>HYPERLINK("http://csr.bu.edu/ftp/asl/asllvd/demos/verify_start_end_handshape_annotations//test_auto_move//signs_mov/1041.mov","MOV")</f>
        <v>21</v>
      </c>
      <c r="L4817" t="s" s="16">
        <f>HYPERLINK("http://csr.bu.edu/ftp/asl/asllvd/demos/verify_start_end_handshape_annotations//test_auto_move//signs_mov_separ_signers/Naomi_1041.mov","MOV")</f>
        <v>21</v>
      </c>
      <c r="M4817" t="s" s="10">
        <v>38</v>
      </c>
      <c r="N4817" s="17">
        <v>5</v>
      </c>
      <c r="O4817" s="18">
        <v>232</v>
      </c>
      <c r="P4817" s="18">
        <v>260</v>
      </c>
      <c r="Q4817" t="s" s="16">
        <f>HYPERLINK("http://secrets.rutgers.edu:8080/data/asl-ftp/asllvd/demos/verify_start_end_handshape_annotations//test_auto_move//signs_mov/1041.mov","MOV")</f>
        <v>21</v>
      </c>
      <c r="R4817" t="s" s="16">
        <f>HYPERLINK("http://secrets.rutgers.edu:8080/data/asl-ftp/asllvd/demos/verify_start_end_handshape_annotations//test_auto_move//signs_mov_separ_signers/Naomi_1041.mov","MOV")</f>
        <v>21</v>
      </c>
    </row>
    <row r="4818" s="2" customFormat="1" ht="13.5" customHeight="1">
      <c r="B4818" s="13"/>
      <c r="C4818" t="s" s="9">
        <v>30</v>
      </c>
      <c r="D4818" t="s" s="8">
        <v>1642</v>
      </c>
      <c r="E4818" t="s" s="9">
        <v>1642</v>
      </c>
      <c r="F4818" t="s" s="10">
        <v>148</v>
      </c>
      <c r="G4818" t="s" s="11">
        <v>148</v>
      </c>
      <c r="H4818" t="s" s="10">
        <v>148</v>
      </c>
      <c r="I4818" t="s" s="11">
        <v>148</v>
      </c>
      <c r="J4818" t="s" s="11">
        <v>20</v>
      </c>
      <c r="K4818" s="15"/>
      <c r="L4818" t="s" s="16">
        <f>HYPERLINK("http://csr.bu.edu/ftp/asl/asllvd/demos/verify_start_end_handshape_annotations//test_auto_move//signs_mov_separ_signers/Brady_1041.mov","MOV")</f>
        <v>21</v>
      </c>
      <c r="M4818" t="s" s="10">
        <v>39</v>
      </c>
      <c r="N4818" s="17">
        <v>26</v>
      </c>
      <c r="O4818" s="18">
        <v>1530</v>
      </c>
      <c r="P4818" s="18">
        <v>1548</v>
      </c>
      <c r="Q4818" s="15"/>
      <c r="R4818" t="s" s="16">
        <f>HYPERLINK("http://secrets.rutgers.edu:8080/data/asl-ftp/asllvd/demos/verify_start_end_handshape_annotations//test_auto_move//signs_mov_separ_signers/Brady_1041.mov","MOV")</f>
        <v>21</v>
      </c>
    </row>
    <row r="4819" s="2" customFormat="1" ht="13.5" customHeight="1">
      <c r="B4819" s="13"/>
      <c r="C4819" t="s" s="9">
        <v>41</v>
      </c>
      <c r="D4819" t="s" s="8">
        <v>1642</v>
      </c>
      <c r="E4819" t="s" s="9">
        <v>1642</v>
      </c>
      <c r="F4819" t="s" s="10">
        <v>80</v>
      </c>
      <c r="G4819" t="s" s="11">
        <v>80</v>
      </c>
      <c r="H4819" t="s" s="10">
        <v>73</v>
      </c>
      <c r="I4819" t="s" s="11">
        <v>73</v>
      </c>
      <c r="J4819" t="s" s="11">
        <v>20</v>
      </c>
      <c r="K4819" s="15"/>
      <c r="L4819" t="s" s="16">
        <f>HYPERLINK("http://csr.bu.edu/ftp/asl/asllvd/demos/verify_start_end_handshape_annotations//test_auto_move//signs_mov_separ_signers/Lana_1041.mov","MOV")</f>
        <v>21</v>
      </c>
      <c r="M4819" t="s" s="10">
        <v>42</v>
      </c>
      <c r="N4819" s="17">
        <v>11</v>
      </c>
      <c r="O4819" s="18">
        <v>2884</v>
      </c>
      <c r="P4819" s="18">
        <v>2904</v>
      </c>
      <c r="Q4819" s="15"/>
      <c r="R4819" t="s" s="16">
        <f>HYPERLINK("http://secrets.rutgers.edu:8080/data/asl-ftp/asllvd/demos/verify_start_end_handshape_annotations//test_auto_move//signs_mov_separ_signers/Lana_1041.mov","MOV")</f>
        <v>21</v>
      </c>
    </row>
    <row r="4820" s="2" customFormat="1" ht="13.5" customHeight="1">
      <c r="B4820" s="13"/>
      <c r="C4820" t="s" s="9">
        <v>43</v>
      </c>
      <c r="D4820" t="s" s="8">
        <v>1642</v>
      </c>
      <c r="E4820" t="s" s="9">
        <v>1642</v>
      </c>
      <c r="F4820" t="s" s="10">
        <v>85</v>
      </c>
      <c r="G4820" t="s" s="11">
        <v>85</v>
      </c>
      <c r="H4820" t="s" s="10">
        <v>73</v>
      </c>
      <c r="I4820" t="s" s="11">
        <v>73</v>
      </c>
      <c r="J4820" t="s" s="11">
        <v>20</v>
      </c>
      <c r="K4820" s="15"/>
      <c r="L4820" t="s" s="16">
        <f>HYPERLINK("http://csr.bu.edu/ftp/asl/asllvd/demos/verify_start_end_handshape_annotations//test_auto_move//signs_mov_separ_signers/Dana_1041.mov","MOV")</f>
        <v>21</v>
      </c>
      <c r="M4820" t="s" s="10">
        <v>44</v>
      </c>
      <c r="N4820" s="17">
        <v>15</v>
      </c>
      <c r="O4820" s="18">
        <v>2822</v>
      </c>
      <c r="P4820" s="18">
        <v>2869</v>
      </c>
      <c r="Q4820" s="15"/>
      <c r="R4820" t="s" s="16">
        <f>HYPERLINK("http://secrets.rutgers.edu:8080/data/asl-ftp/asllvd/demos/verify_start_end_handshape_annotations//test_auto_move//signs_mov_separ_signers/Dana_1041.mov","MOV")</f>
        <v>21</v>
      </c>
    </row>
    <row r="4821" s="2" customFormat="1" ht="13.5" customHeight="1">
      <c r="B4821" t="s" s="8">
        <v>1643</v>
      </c>
      <c r="C4821" t="s" s="9">
        <v>14</v>
      </c>
      <c r="D4821" t="s" s="8">
        <v>14</v>
      </c>
      <c r="E4821" t="s" s="9">
        <v>14</v>
      </c>
      <c r="F4821" t="s" s="10">
        <v>14</v>
      </c>
      <c r="G4821" t="s" s="11">
        <v>14</v>
      </c>
      <c r="H4821" t="s" s="10">
        <v>14</v>
      </c>
      <c r="I4821" t="s" s="11">
        <v>14</v>
      </c>
      <c r="J4821" t="s" s="11">
        <v>14</v>
      </c>
      <c r="K4821" t="s" s="12">
        <v>14</v>
      </c>
      <c r="L4821" t="s" s="12">
        <v>14</v>
      </c>
      <c r="M4821" t="s" s="10">
        <v>14</v>
      </c>
      <c r="N4821" t="s" s="11">
        <v>14</v>
      </c>
      <c r="O4821" t="s" s="8">
        <v>14</v>
      </c>
      <c r="P4821" t="s" s="8">
        <v>14</v>
      </c>
      <c r="Q4821" t="s" s="12">
        <v>14</v>
      </c>
      <c r="R4821" t="s" s="12">
        <v>14</v>
      </c>
    </row>
    <row r="4822" s="2" customFormat="1" ht="13.5" customHeight="1">
      <c r="B4822" s="13"/>
      <c r="C4822" t="s" s="9">
        <v>16</v>
      </c>
      <c r="D4822" t="s" s="8">
        <v>1643</v>
      </c>
      <c r="E4822" t="s" s="9">
        <v>1643</v>
      </c>
      <c r="F4822" t="s" s="10">
        <v>255</v>
      </c>
      <c r="G4822" t="s" s="11">
        <v>255</v>
      </c>
      <c r="H4822" t="s" s="10">
        <v>255</v>
      </c>
      <c r="I4822" t="s" s="11">
        <v>255</v>
      </c>
      <c r="J4822" t="s" s="11">
        <v>20</v>
      </c>
      <c r="K4822" t="s" s="16">
        <f>HYPERLINK("http://csr.bu.edu/ftp/asl/asllvd/demos/verify_start_end_handshape_annotations//test_auto_move//signs_mov/1042.mov","MOV")</f>
        <v>21</v>
      </c>
      <c r="L4822" t="s" s="16">
        <f>HYPERLINK("http://csr.bu.edu/ftp/asl/asllvd/demos/verify_start_end_handshape_annotations//test_auto_move//signs_mov_separ_signers/Liz_1042.mov","MOV")</f>
        <v>21</v>
      </c>
      <c r="M4822" t="s" s="10">
        <v>88</v>
      </c>
      <c r="N4822" s="17">
        <v>47</v>
      </c>
      <c r="O4822" s="18">
        <v>1737</v>
      </c>
      <c r="P4822" s="18">
        <v>1770</v>
      </c>
      <c r="Q4822" t="s" s="16">
        <f>HYPERLINK("http://secrets.rutgers.edu:8080/data/asl-ftp/asllvd/demos/verify_start_end_handshape_annotations//test_auto_move//signs_mov/1042.mov","MOV")</f>
        <v>21</v>
      </c>
      <c r="R4822" t="s" s="16">
        <f>HYPERLINK("http://secrets.rutgers.edu:8080/data/asl-ftp/asllvd/demos/verify_start_end_handshape_annotations//test_auto_move//signs_mov_separ_signers/Liz_1042.mov","MOV")</f>
        <v>21</v>
      </c>
    </row>
    <row r="4823" s="2" customFormat="1" ht="13.5" customHeight="1">
      <c r="B4823" s="13"/>
      <c r="C4823" t="s" s="9">
        <v>30</v>
      </c>
      <c r="D4823" t="s" s="8">
        <v>1643</v>
      </c>
      <c r="E4823" t="s" s="9">
        <v>1643</v>
      </c>
      <c r="F4823" t="s" s="10">
        <v>255</v>
      </c>
      <c r="G4823" t="s" s="11">
        <v>255</v>
      </c>
      <c r="H4823" t="s" s="10">
        <v>255</v>
      </c>
      <c r="I4823" t="s" s="11">
        <v>255</v>
      </c>
      <c r="J4823" t="s" s="11">
        <v>20</v>
      </c>
      <c r="K4823" s="15"/>
      <c r="L4823" t="s" s="16">
        <f>HYPERLINK("http://csr.bu.edu/ftp/asl/asllvd/demos/verify_start_end_handshape_annotations//test_auto_move//signs_mov_separ_signers/Brady_1042.mov","MOV")</f>
        <v>21</v>
      </c>
      <c r="M4823" t="s" s="10">
        <v>40</v>
      </c>
      <c r="N4823" s="17">
        <v>41</v>
      </c>
      <c r="O4823" s="18">
        <v>2806</v>
      </c>
      <c r="P4823" s="18">
        <v>2820</v>
      </c>
      <c r="Q4823" s="15"/>
      <c r="R4823" t="s" s="16">
        <f>HYPERLINK("http://secrets.rutgers.edu:8080/data/asl-ftp/asllvd/demos/verify_start_end_handshape_annotations//test_auto_move//signs_mov_separ_signers/Brady_1042.mov","MOV")</f>
        <v>21</v>
      </c>
    </row>
    <row r="4824" s="2" customFormat="1" ht="13.5" customHeight="1">
      <c r="B4824" t="s" s="8">
        <v>52</v>
      </c>
      <c r="C4824" t="s" s="9">
        <v>53</v>
      </c>
      <c r="D4824" t="s" s="8">
        <v>53</v>
      </c>
      <c r="E4824" t="s" s="9">
        <v>53</v>
      </c>
      <c r="F4824" t="s" s="10">
        <v>53</v>
      </c>
      <c r="G4824" t="s" s="11">
        <v>53</v>
      </c>
      <c r="H4824" t="s" s="10">
        <v>53</v>
      </c>
      <c r="I4824" t="s" s="11">
        <v>53</v>
      </c>
      <c r="J4824" t="s" s="11">
        <v>53</v>
      </c>
      <c r="K4824" t="s" s="12">
        <v>53</v>
      </c>
      <c r="L4824" t="s" s="12">
        <v>53</v>
      </c>
      <c r="M4824" t="s" s="10">
        <v>53</v>
      </c>
      <c r="N4824" t="s" s="11">
        <v>53</v>
      </c>
      <c r="O4824" t="s" s="8">
        <v>53</v>
      </c>
      <c r="P4824" t="s" s="8">
        <v>53</v>
      </c>
      <c r="Q4824" t="s" s="12">
        <v>53</v>
      </c>
      <c r="R4824" t="s" s="12">
        <v>53</v>
      </c>
    </row>
    <row r="4825" s="2" customFormat="1" ht="13.5" customHeight="1">
      <c r="B4825" s="13"/>
      <c r="C4825" t="s" s="9">
        <v>16</v>
      </c>
      <c r="D4825" t="s" s="8">
        <v>1643</v>
      </c>
      <c r="E4825" t="s" s="9">
        <v>1644</v>
      </c>
      <c r="F4825" t="s" s="10">
        <v>65</v>
      </c>
      <c r="G4825" s="14"/>
      <c r="H4825" t="s" s="10">
        <v>65</v>
      </c>
      <c r="I4825" s="14"/>
      <c r="J4825" t="s" s="11">
        <v>20</v>
      </c>
      <c r="K4825" s="15"/>
      <c r="L4825" t="s" s="16">
        <f>HYPERLINK("http://csr.bu.edu/ftp/asl/asllvd/demos/verify_start_end_handshape_annotations//test_auto_move//signs_mov_separ_signers/Liz_3721.mov","MOV")</f>
        <v>21</v>
      </c>
      <c r="M4825" t="s" s="10">
        <v>34</v>
      </c>
      <c r="N4825" s="17">
        <v>5</v>
      </c>
      <c r="O4825" s="18">
        <v>770</v>
      </c>
      <c r="P4825" s="18">
        <v>800</v>
      </c>
      <c r="Q4825" s="15"/>
      <c r="R4825" t="s" s="16">
        <f>HYPERLINK("http://secrets.rutgers.edu:8080/data/asl-ftp/asllvd/demos/verify_start_end_handshape_annotations//test_auto_move//signs_mov_separ_signers/Liz_3721.mov","MOV")</f>
        <v>21</v>
      </c>
    </row>
    <row r="4826" s="2" customFormat="1" ht="13.5" customHeight="1">
      <c r="B4826" s="13"/>
      <c r="C4826" t="s" s="9">
        <v>23</v>
      </c>
      <c r="D4826" t="s" s="8">
        <v>1643</v>
      </c>
      <c r="E4826" t="s" s="9">
        <v>1644</v>
      </c>
      <c r="F4826" t="s" s="10">
        <v>255</v>
      </c>
      <c r="G4826" s="14"/>
      <c r="H4826" t="s" s="10">
        <v>255</v>
      </c>
      <c r="I4826" s="14"/>
      <c r="J4826" t="s" s="11">
        <v>20</v>
      </c>
      <c r="K4826" t="s" s="16">
        <f>HYPERLINK("http://csr.bu.edu/ftp/asl/asllvd/demos/verify_start_end_handshape_annotations//test_auto_move//signs_mov/3721.mov","MOV")</f>
        <v>21</v>
      </c>
      <c r="L4826" t="s" s="16">
        <f>HYPERLINK("http://csr.bu.edu/ftp/asl/asllvd/demos/verify_start_end_handshape_annotations//test_auto_move//signs_mov_separ_signers/Tyler_3721.mov","MOV")</f>
        <v>21</v>
      </c>
      <c r="M4826" t="s" s="10">
        <v>92</v>
      </c>
      <c r="N4826" s="17">
        <v>37</v>
      </c>
      <c r="O4826" s="18">
        <v>611</v>
      </c>
      <c r="P4826" s="18">
        <v>640</v>
      </c>
      <c r="Q4826" t="s" s="16">
        <f>HYPERLINK("http://secrets.rutgers.edu:8080/data/asl-ftp/asllvd/demos/verify_start_end_handshape_annotations//test_auto_move//signs_mov/3721.mov","MOV")</f>
        <v>21</v>
      </c>
      <c r="R4826" t="s" s="16">
        <f>HYPERLINK("http://secrets.rutgers.edu:8080/data/asl-ftp/asllvd/demos/verify_start_end_handshape_annotations//test_auto_move//signs_mov_separ_signers/Tyler_3721.mov","MOV")</f>
        <v>21</v>
      </c>
    </row>
    <row r="4827" s="2" customFormat="1" ht="13.5" customHeight="1">
      <c r="B4827" s="13"/>
      <c r="C4827" t="s" s="9">
        <v>27</v>
      </c>
      <c r="D4827" t="s" s="8">
        <v>1643</v>
      </c>
      <c r="E4827" t="s" s="9">
        <v>1644</v>
      </c>
      <c r="F4827" t="s" s="10">
        <v>255</v>
      </c>
      <c r="G4827" s="14"/>
      <c r="H4827" t="s" s="10">
        <v>255</v>
      </c>
      <c r="I4827" s="14"/>
      <c r="J4827" t="s" s="11">
        <v>20</v>
      </c>
      <c r="K4827" s="15"/>
      <c r="L4827" t="s" s="16">
        <f>HYPERLINK("http://csr.bu.edu/ftp/asl/asllvd/demos/verify_start_end_handshape_annotations//test_auto_move//signs_mov_separ_signers/Naomi_3721.mov","MOV")</f>
        <v>21</v>
      </c>
      <c r="M4827" t="s" s="10">
        <v>38</v>
      </c>
      <c r="N4827" s="17">
        <v>5</v>
      </c>
      <c r="O4827" s="18">
        <v>792</v>
      </c>
      <c r="P4827" s="18">
        <v>820</v>
      </c>
      <c r="Q4827" s="15"/>
      <c r="R4827" t="s" s="16">
        <f>HYPERLINK("http://secrets.rutgers.edu:8080/data/asl-ftp/asllvd/demos/verify_start_end_handshape_annotations//test_auto_move//signs_mov_separ_signers/Naomi_3721.mov","MOV")</f>
        <v>21</v>
      </c>
    </row>
    <row r="4828" s="2" customFormat="1" ht="13.5" customHeight="1">
      <c r="B4828" s="13"/>
      <c r="C4828" t="s" s="9">
        <v>30</v>
      </c>
      <c r="D4828" t="s" s="8">
        <v>1643</v>
      </c>
      <c r="E4828" t="s" s="9">
        <v>1644</v>
      </c>
      <c r="F4828" t="s" s="10">
        <v>65</v>
      </c>
      <c r="G4828" s="14"/>
      <c r="H4828" t="s" s="10">
        <v>65</v>
      </c>
      <c r="I4828" s="14"/>
      <c r="J4828" t="s" s="11">
        <v>20</v>
      </c>
      <c r="K4828" s="15"/>
      <c r="L4828" t="s" s="16">
        <f>HYPERLINK("http://csr.bu.edu/ftp/asl/asllvd/demos/verify_start_end_handshape_annotations//test_auto_move//signs_mov_separ_signers/Brady_3721.mov","MOV")</f>
        <v>21</v>
      </c>
      <c r="M4828" t="s" s="10">
        <v>39</v>
      </c>
      <c r="N4828" s="17">
        <v>26</v>
      </c>
      <c r="O4828" s="18">
        <v>830</v>
      </c>
      <c r="P4828" s="18">
        <v>847</v>
      </c>
      <c r="Q4828" s="15"/>
      <c r="R4828" t="s" s="16">
        <f>HYPERLINK("http://secrets.rutgers.edu:8080/data/asl-ftp/asllvd/demos/verify_start_end_handshape_annotations//test_auto_move//signs_mov_separ_signers/Brady_3721.mov","MOV")</f>
        <v>21</v>
      </c>
    </row>
    <row r="4829" s="2" customFormat="1" ht="13.5" customHeight="1">
      <c r="B4829" t="s" s="8">
        <v>1645</v>
      </c>
      <c r="C4829" t="s" s="9">
        <v>14</v>
      </c>
      <c r="D4829" t="s" s="8">
        <v>14</v>
      </c>
      <c r="E4829" t="s" s="9">
        <v>14</v>
      </c>
      <c r="F4829" t="s" s="10">
        <v>14</v>
      </c>
      <c r="G4829" t="s" s="11">
        <v>14</v>
      </c>
      <c r="H4829" t="s" s="10">
        <v>14</v>
      </c>
      <c r="I4829" t="s" s="11">
        <v>14</v>
      </c>
      <c r="J4829" t="s" s="11">
        <v>14</v>
      </c>
      <c r="K4829" t="s" s="12">
        <v>14</v>
      </c>
      <c r="L4829" t="s" s="12">
        <v>14</v>
      </c>
      <c r="M4829" t="s" s="10">
        <v>14</v>
      </c>
      <c r="N4829" t="s" s="11">
        <v>14</v>
      </c>
      <c r="O4829" t="s" s="8">
        <v>14</v>
      </c>
      <c r="P4829" t="s" s="8">
        <v>14</v>
      </c>
      <c r="Q4829" t="s" s="12">
        <v>14</v>
      </c>
      <c r="R4829" t="s" s="12">
        <v>14</v>
      </c>
    </row>
    <row r="4830" s="2" customFormat="1" ht="13.5" customHeight="1">
      <c r="B4830" s="13"/>
      <c r="C4830" t="s" s="9">
        <v>23</v>
      </c>
      <c r="D4830" t="s" s="8">
        <v>1645</v>
      </c>
      <c r="E4830" t="s" s="9">
        <v>1645</v>
      </c>
      <c r="F4830" t="s" s="10">
        <v>119</v>
      </c>
      <c r="G4830" s="14"/>
      <c r="H4830" t="s" s="10">
        <v>119</v>
      </c>
      <c r="I4830" s="14"/>
      <c r="J4830" t="s" s="11">
        <v>20</v>
      </c>
      <c r="K4830" s="15"/>
      <c r="L4830" t="s" s="16">
        <f>HYPERLINK("http://csr.bu.edu/ftp/asl/asllvd/demos/verify_start_end_handshape_annotations//test_auto_move//signs_mov_separ_signers/Tyler_1043.mov","MOV")</f>
        <v>21</v>
      </c>
      <c r="M4830" t="s" s="10">
        <v>92</v>
      </c>
      <c r="N4830" s="17">
        <v>37</v>
      </c>
      <c r="O4830" s="18">
        <v>842</v>
      </c>
      <c r="P4830" s="18">
        <v>866</v>
      </c>
      <c r="Q4830" s="15"/>
      <c r="R4830" t="s" s="16">
        <f>HYPERLINK("http://secrets.rutgers.edu:8080/data/asl-ftp/asllvd/demos/verify_start_end_handshape_annotations//test_auto_move//signs_mov_separ_signers/Tyler_1043.mov","MOV")</f>
        <v>21</v>
      </c>
    </row>
    <row r="4831" s="2" customFormat="1" ht="13.5" customHeight="1">
      <c r="B4831" s="13"/>
      <c r="C4831" t="s" s="9">
        <v>41</v>
      </c>
      <c r="D4831" t="s" s="8">
        <v>1645</v>
      </c>
      <c r="E4831" t="s" s="9">
        <v>1645</v>
      </c>
      <c r="F4831" t="s" s="10">
        <v>119</v>
      </c>
      <c r="G4831" s="14"/>
      <c r="H4831" t="s" s="10">
        <v>119</v>
      </c>
      <c r="I4831" s="14"/>
      <c r="J4831" t="s" s="11">
        <v>20</v>
      </c>
      <c r="K4831" t="s" s="16">
        <f>HYPERLINK("http://csr.bu.edu/ftp/asl/asllvd/demos/verify_start_end_handshape_annotations//test_auto_move//signs_mov/1043.mov","MOV")</f>
        <v>21</v>
      </c>
      <c r="L4831" t="s" s="16">
        <f>HYPERLINK("http://csr.bu.edu/ftp/asl/asllvd/demos/verify_start_end_handshape_annotations//test_auto_move//signs_mov_separ_signers/Lana_1043.mov","MOV")</f>
        <v>21</v>
      </c>
      <c r="M4831" t="s" s="10">
        <v>42</v>
      </c>
      <c r="N4831" s="17">
        <v>12</v>
      </c>
      <c r="O4831" s="18">
        <v>714</v>
      </c>
      <c r="P4831" s="18">
        <v>726</v>
      </c>
      <c r="Q4831" t="s" s="16">
        <f>HYPERLINK("http://secrets.rutgers.edu:8080/data/asl-ftp/asllvd/demos/verify_start_end_handshape_annotations//test_auto_move//signs_mov/1043.mov","MOV")</f>
        <v>21</v>
      </c>
      <c r="R4831" t="s" s="16">
        <f>HYPERLINK("http://secrets.rutgers.edu:8080/data/asl-ftp/asllvd/demos/verify_start_end_handshape_annotations//test_auto_move//signs_mov_separ_signers/Lana_1043.mov","MOV")</f>
        <v>21</v>
      </c>
    </row>
    <row r="4832" s="2" customFormat="1" ht="13.5" customHeight="1">
      <c r="B4832" s="13"/>
      <c r="C4832" t="s" s="9">
        <v>43</v>
      </c>
      <c r="D4832" t="s" s="8">
        <v>1645</v>
      </c>
      <c r="E4832" t="s" s="9">
        <v>1645</v>
      </c>
      <c r="F4832" t="s" s="10">
        <v>119</v>
      </c>
      <c r="G4832" s="14"/>
      <c r="H4832" t="s" s="10">
        <v>119</v>
      </c>
      <c r="I4832" s="14"/>
      <c r="J4832" t="s" s="11">
        <v>20</v>
      </c>
      <c r="K4832" s="15"/>
      <c r="L4832" t="s" s="16">
        <f>HYPERLINK("http://csr.bu.edu/ftp/asl/asllvd/demos/verify_start_end_handshape_annotations//test_auto_move//signs_mov_separ_signers/Dana_1043.mov","MOV")</f>
        <v>21</v>
      </c>
      <c r="M4832" t="s" s="10">
        <v>44</v>
      </c>
      <c r="N4832" s="17">
        <v>16</v>
      </c>
      <c r="O4832" s="18">
        <v>570</v>
      </c>
      <c r="P4832" s="18">
        <v>613</v>
      </c>
      <c r="Q4832" s="15"/>
      <c r="R4832" t="s" s="16">
        <f>HYPERLINK("http://secrets.rutgers.edu:8080/data/asl-ftp/asllvd/demos/verify_start_end_handshape_annotations//test_auto_move//signs_mov_separ_signers/Dana_1043.mov","MOV")</f>
        <v>21</v>
      </c>
    </row>
    <row r="4833" s="2" customFormat="1" ht="13.5" customHeight="1">
      <c r="B4833" t="s" s="8">
        <v>52</v>
      </c>
      <c r="C4833" t="s" s="9">
        <v>53</v>
      </c>
      <c r="D4833" t="s" s="8">
        <v>53</v>
      </c>
      <c r="E4833" t="s" s="9">
        <v>53</v>
      </c>
      <c r="F4833" t="s" s="10">
        <v>53</v>
      </c>
      <c r="G4833" t="s" s="11">
        <v>53</v>
      </c>
      <c r="H4833" t="s" s="10">
        <v>53</v>
      </c>
      <c r="I4833" t="s" s="11">
        <v>53</v>
      </c>
      <c r="J4833" t="s" s="11">
        <v>53</v>
      </c>
      <c r="K4833" t="s" s="12">
        <v>53</v>
      </c>
      <c r="L4833" t="s" s="12">
        <v>53</v>
      </c>
      <c r="M4833" t="s" s="10">
        <v>53</v>
      </c>
      <c r="N4833" t="s" s="11">
        <v>53</v>
      </c>
      <c r="O4833" t="s" s="8">
        <v>53</v>
      </c>
      <c r="P4833" t="s" s="8">
        <v>53</v>
      </c>
      <c r="Q4833" t="s" s="12">
        <v>53</v>
      </c>
      <c r="R4833" t="s" s="12">
        <v>53</v>
      </c>
    </row>
    <row r="4834" s="2" customFormat="1" ht="13.5" customHeight="1">
      <c r="B4834" s="13"/>
      <c r="C4834" t="s" s="9">
        <v>16</v>
      </c>
      <c r="D4834" t="s" s="8">
        <v>1645</v>
      </c>
      <c r="E4834" t="s" s="9">
        <v>1646</v>
      </c>
      <c r="F4834" t="s" s="10">
        <v>119</v>
      </c>
      <c r="G4834" t="s" s="11">
        <v>119</v>
      </c>
      <c r="H4834" t="s" s="10">
        <v>119</v>
      </c>
      <c r="I4834" t="s" s="11">
        <v>119</v>
      </c>
      <c r="J4834" t="s" s="11">
        <v>20</v>
      </c>
      <c r="K4834" s="15"/>
      <c r="L4834" t="s" s="16">
        <f>HYPERLINK("http://csr.bu.edu/ftp/asl/asllvd/demos/verify_start_end_handshape_annotations//test_auto_move//signs_mov_separ_signers/Liz_3847.mov","MOV")</f>
        <v>21</v>
      </c>
      <c r="M4834" t="s" s="10">
        <v>84</v>
      </c>
      <c r="N4834" s="17">
        <v>40</v>
      </c>
      <c r="O4834" s="18">
        <v>585</v>
      </c>
      <c r="P4834" s="18">
        <v>606</v>
      </c>
      <c r="Q4834" s="15"/>
      <c r="R4834" t="s" s="16">
        <f>HYPERLINK("http://secrets.rutgers.edu:8080/data/asl-ftp/asllvd/demos/verify_start_end_handshape_annotations//test_auto_move//signs_mov_separ_signers/Liz_3847.mov","MOV")</f>
        <v>21</v>
      </c>
    </row>
    <row r="4835" s="2" customFormat="1" ht="13.5" customHeight="1">
      <c r="B4835" s="13"/>
      <c r="C4835" t="s" s="9">
        <v>16</v>
      </c>
      <c r="D4835" t="s" s="8">
        <v>1645</v>
      </c>
      <c r="E4835" t="s" s="9">
        <v>1646</v>
      </c>
      <c r="F4835" t="s" s="10">
        <v>119</v>
      </c>
      <c r="G4835" t="s" s="11">
        <v>119</v>
      </c>
      <c r="H4835" t="s" s="10">
        <v>119</v>
      </c>
      <c r="I4835" t="s" s="11">
        <v>119</v>
      </c>
      <c r="J4835" t="s" s="11">
        <v>20</v>
      </c>
      <c r="K4835" t="s" s="16">
        <f>HYPERLINK("http://csr.bu.edu/ftp/asl/asllvd/demos/verify_start_end_handshape_annotations//test_auto_move//signs_mov/3847_5196_merged.mov","MOV")</f>
        <v>21</v>
      </c>
      <c r="L4835" t="s" s="16">
        <f>HYPERLINK("http://csr.bu.edu/ftp/asl/asllvd/demos/verify_start_end_handshape_annotations//test_auto_move//signs_mov_separ_signers/Liz_5196.mov","MOV")</f>
        <v>21</v>
      </c>
      <c r="M4835" t="s" s="10">
        <v>34</v>
      </c>
      <c r="N4835" s="17">
        <v>5</v>
      </c>
      <c r="O4835" s="18">
        <v>975</v>
      </c>
      <c r="P4835" s="18">
        <v>1005</v>
      </c>
      <c r="Q4835" t="s" s="16">
        <f>HYPERLINK("http://secrets.rutgers.edu:8080/data/asl-ftp/asllvd/demos/verify_start_end_handshape_annotations//test_auto_move//signs_mov/3847_5196_merged.mov","MOV")</f>
        <v>21</v>
      </c>
      <c r="R4835" t="s" s="16">
        <f>HYPERLINK("http://secrets.rutgers.edu:8080/data/asl-ftp/asllvd/demos/verify_start_end_handshape_annotations//test_auto_move//signs_mov_separ_signers/Liz_5196.mov","MOV")</f>
        <v>21</v>
      </c>
    </row>
    <row r="4836" s="2" customFormat="1" ht="13.5" customHeight="1">
      <c r="B4836" s="13"/>
      <c r="C4836" t="s" s="9">
        <v>27</v>
      </c>
      <c r="D4836" t="s" s="8">
        <v>1645</v>
      </c>
      <c r="E4836" t="s" s="9">
        <v>1646</v>
      </c>
      <c r="F4836" t="s" s="10">
        <v>119</v>
      </c>
      <c r="G4836" t="s" s="11">
        <v>119</v>
      </c>
      <c r="H4836" t="s" s="10">
        <v>119</v>
      </c>
      <c r="I4836" t="s" s="11">
        <v>119</v>
      </c>
      <c r="J4836" t="s" s="11">
        <v>20</v>
      </c>
      <c r="K4836" s="15"/>
      <c r="L4836" t="s" s="16">
        <f>HYPERLINK("http://csr.bu.edu/ftp/asl/asllvd/demos/verify_start_end_handshape_annotations//test_auto_move//signs_mov_separ_signers/Naomi_3847.mov","MOV")</f>
        <v>21</v>
      </c>
      <c r="M4836" t="s" s="10">
        <v>38</v>
      </c>
      <c r="N4836" s="17">
        <v>5</v>
      </c>
      <c r="O4836" s="18">
        <v>1138</v>
      </c>
      <c r="P4836" s="18">
        <v>1168</v>
      </c>
      <c r="Q4836" s="15"/>
      <c r="R4836" t="s" s="16">
        <f>HYPERLINK("http://secrets.rutgers.edu:8080/data/asl-ftp/asllvd/demos/verify_start_end_handshape_annotations//test_auto_move//signs_mov_separ_signers/Naomi_3847.mov","MOV")</f>
        <v>21</v>
      </c>
    </row>
    <row r="4837" s="2" customFormat="1" ht="13.5" customHeight="1">
      <c r="B4837" s="13"/>
      <c r="C4837" t="s" s="9">
        <v>30</v>
      </c>
      <c r="D4837" t="s" s="8">
        <v>1645</v>
      </c>
      <c r="E4837" t="s" s="9">
        <v>1646</v>
      </c>
      <c r="F4837" t="s" s="10">
        <v>119</v>
      </c>
      <c r="G4837" t="s" s="11">
        <v>119</v>
      </c>
      <c r="H4837" t="s" s="10">
        <v>119</v>
      </c>
      <c r="I4837" t="s" s="11">
        <v>119</v>
      </c>
      <c r="J4837" t="s" s="11">
        <v>20</v>
      </c>
      <c r="K4837" s="15"/>
      <c r="L4837" t="s" s="16">
        <f>HYPERLINK("http://csr.bu.edu/ftp/asl/asllvd/demos/verify_start_end_handshape_annotations//test_auto_move//signs_mov_separ_signers/Brady_3847.mov","MOV")</f>
        <v>21</v>
      </c>
      <c r="M4837" t="s" s="10">
        <v>39</v>
      </c>
      <c r="N4837" s="17">
        <v>26</v>
      </c>
      <c r="O4837" s="18">
        <v>1042</v>
      </c>
      <c r="P4837" s="18">
        <v>1058</v>
      </c>
      <c r="Q4837" s="15"/>
      <c r="R4837" t="s" s="16">
        <f>HYPERLINK("http://secrets.rutgers.edu:8080/data/asl-ftp/asllvd/demos/verify_start_end_handshape_annotations//test_auto_move//signs_mov_separ_signers/Brady_3847.mov","MOV")</f>
        <v>21</v>
      </c>
    </row>
    <row r="4838" s="2" customFormat="1" ht="13.5" customHeight="1">
      <c r="B4838" t="s" s="8">
        <v>52</v>
      </c>
      <c r="C4838" t="s" s="9">
        <v>53</v>
      </c>
      <c r="D4838" t="s" s="8">
        <v>53</v>
      </c>
      <c r="E4838" t="s" s="9">
        <v>53</v>
      </c>
      <c r="F4838" t="s" s="10">
        <v>53</v>
      </c>
      <c r="G4838" t="s" s="11">
        <v>53</v>
      </c>
      <c r="H4838" t="s" s="10">
        <v>53</v>
      </c>
      <c r="I4838" t="s" s="11">
        <v>53</v>
      </c>
      <c r="J4838" t="s" s="11">
        <v>53</v>
      </c>
      <c r="K4838" t="s" s="12">
        <v>53</v>
      </c>
      <c r="L4838" t="s" s="12">
        <v>53</v>
      </c>
      <c r="M4838" t="s" s="10">
        <v>53</v>
      </c>
      <c r="N4838" t="s" s="11">
        <v>53</v>
      </c>
      <c r="O4838" t="s" s="8">
        <v>53</v>
      </c>
      <c r="P4838" t="s" s="8">
        <v>53</v>
      </c>
      <c r="Q4838" t="s" s="12">
        <v>53</v>
      </c>
      <c r="R4838" t="s" s="12">
        <v>53</v>
      </c>
    </row>
    <row r="4839" s="2" customFormat="1" ht="13.5" customHeight="1">
      <c r="B4839" s="13"/>
      <c r="C4839" t="s" s="9">
        <v>16</v>
      </c>
      <c r="D4839" t="s" s="8">
        <v>1645</v>
      </c>
      <c r="E4839" t="s" s="9">
        <v>1647</v>
      </c>
      <c r="F4839" t="s" s="10">
        <v>119</v>
      </c>
      <c r="G4839" s="14"/>
      <c r="H4839" t="s" s="10">
        <v>119</v>
      </c>
      <c r="I4839" s="14"/>
      <c r="J4839" t="s" s="11">
        <v>20</v>
      </c>
      <c r="K4839" t="s" s="16">
        <f>HYPERLINK("http://csr.bu.edu/ftp/asl/asllvd/demos/verify_start_end_handshape_annotations//test_auto_move//signs_mov/5197.mov","MOV")</f>
        <v>21</v>
      </c>
      <c r="L4839" t="s" s="16">
        <f>HYPERLINK("http://csr.bu.edu/ftp/asl/asllvd/demos/verify_start_end_handshape_annotations//test_auto_move//signs_mov_separ_signers/Liz_5197.mov","MOV")</f>
        <v>21</v>
      </c>
      <c r="M4839" t="s" s="10">
        <v>84</v>
      </c>
      <c r="N4839" s="17">
        <v>44</v>
      </c>
      <c r="O4839" s="18">
        <v>1546</v>
      </c>
      <c r="P4839" s="18">
        <v>1586</v>
      </c>
      <c r="Q4839" t="s" s="16">
        <f>HYPERLINK("http://secrets.rutgers.edu:8080/data/asl-ftp/asllvd/demos/verify_start_end_handshape_annotations//test_auto_move//signs_mov/5197.mov","MOV")</f>
        <v>21</v>
      </c>
      <c r="R4839" t="s" s="16">
        <f>HYPERLINK("http://secrets.rutgers.edu:8080/data/asl-ftp/asllvd/demos/verify_start_end_handshape_annotations//test_auto_move//signs_mov_separ_signers/Liz_5197.mov","MOV")</f>
        <v>21</v>
      </c>
    </row>
    <row r="4840" s="2" customFormat="1" ht="13.5" customHeight="1">
      <c r="B4840" t="s" s="8">
        <v>1648</v>
      </c>
      <c r="C4840" t="s" s="9">
        <v>14</v>
      </c>
      <c r="D4840" t="s" s="8">
        <v>14</v>
      </c>
      <c r="E4840" t="s" s="9">
        <v>14</v>
      </c>
      <c r="F4840" t="s" s="10">
        <v>14</v>
      </c>
      <c r="G4840" t="s" s="11">
        <v>14</v>
      </c>
      <c r="H4840" t="s" s="10">
        <v>14</v>
      </c>
      <c r="I4840" t="s" s="11">
        <v>14</v>
      </c>
      <c r="J4840" t="s" s="11">
        <v>14</v>
      </c>
      <c r="K4840" t="s" s="12">
        <v>14</v>
      </c>
      <c r="L4840" t="s" s="12">
        <v>14</v>
      </c>
      <c r="M4840" t="s" s="10">
        <v>14</v>
      </c>
      <c r="N4840" t="s" s="11">
        <v>14</v>
      </c>
      <c r="O4840" t="s" s="8">
        <v>14</v>
      </c>
      <c r="P4840" t="s" s="8">
        <v>14</v>
      </c>
      <c r="Q4840" t="s" s="12">
        <v>14</v>
      </c>
      <c r="R4840" t="s" s="12">
        <v>14</v>
      </c>
    </row>
    <row r="4841" s="2" customFormat="1" ht="13.5" customHeight="1">
      <c r="B4841" s="13"/>
      <c r="C4841" t="s" s="9">
        <v>16</v>
      </c>
      <c r="D4841" t="s" s="8">
        <v>1648</v>
      </c>
      <c r="E4841" t="s" s="9">
        <v>1649</v>
      </c>
      <c r="F4841" t="s" s="10">
        <v>25</v>
      </c>
      <c r="G4841" t="s" s="11">
        <v>25</v>
      </c>
      <c r="H4841" t="s" s="10">
        <v>28</v>
      </c>
      <c r="I4841" t="s" s="11">
        <v>28</v>
      </c>
      <c r="J4841" t="s" s="11">
        <v>20</v>
      </c>
      <c r="K4841" t="s" s="16">
        <f>HYPERLINK("http://csr.bu.edu/ftp/asl/asllvd/demos/verify_start_end_handshape_annotations//test_auto_move//signs_mov/1048.mov","MOV")</f>
        <v>21</v>
      </c>
      <c r="L4841" t="s" s="16">
        <f>HYPERLINK("http://csr.bu.edu/ftp/asl/asllvd/demos/verify_start_end_handshape_annotations//test_auto_move//signs_mov_separ_signers/Liz_1048.mov","MOV")</f>
        <v>21</v>
      </c>
      <c r="M4841" t="s" s="10">
        <v>34</v>
      </c>
      <c r="N4841" s="17">
        <v>6</v>
      </c>
      <c r="O4841" s="18">
        <v>1295</v>
      </c>
      <c r="P4841" s="18">
        <v>1340</v>
      </c>
      <c r="Q4841" t="s" s="16">
        <f>HYPERLINK("http://secrets.rutgers.edu:8080/data/asl-ftp/asllvd/demos/verify_start_end_handshape_annotations//test_auto_move//signs_mov/1048.mov","MOV")</f>
        <v>21</v>
      </c>
      <c r="R4841" t="s" s="16">
        <f>HYPERLINK("http://secrets.rutgers.edu:8080/data/asl-ftp/asllvd/demos/verify_start_end_handshape_annotations//test_auto_move//signs_mov_separ_signers/Liz_1048.mov","MOV")</f>
        <v>21</v>
      </c>
    </row>
    <row r="4842" s="2" customFormat="1" ht="13.5" customHeight="1">
      <c r="B4842" s="13"/>
      <c r="C4842" t="s" s="9">
        <v>27</v>
      </c>
      <c r="D4842" t="s" s="8">
        <v>1648</v>
      </c>
      <c r="E4842" t="s" s="9">
        <v>1649</v>
      </c>
      <c r="F4842" t="s" s="10">
        <v>25</v>
      </c>
      <c r="G4842" t="s" s="11">
        <v>25</v>
      </c>
      <c r="H4842" t="s" s="10">
        <v>28</v>
      </c>
      <c r="I4842" t="s" s="11">
        <v>28</v>
      </c>
      <c r="J4842" t="s" s="11">
        <v>20</v>
      </c>
      <c r="K4842" s="15"/>
      <c r="L4842" t="s" s="16">
        <f>HYPERLINK("http://csr.bu.edu/ftp/asl/asllvd/demos/verify_start_end_handshape_annotations//test_auto_move//signs_mov_separ_signers/Naomi_1048.mov","MOV")</f>
        <v>21</v>
      </c>
      <c r="M4842" t="s" s="10">
        <v>38</v>
      </c>
      <c r="N4842" s="17">
        <v>5</v>
      </c>
      <c r="O4842" s="18">
        <v>3763</v>
      </c>
      <c r="P4842" s="18">
        <v>3795</v>
      </c>
      <c r="Q4842" s="15"/>
      <c r="R4842" t="s" s="16">
        <f>HYPERLINK("http://secrets.rutgers.edu:8080/data/asl-ftp/asllvd/demos/verify_start_end_handshape_annotations//test_auto_move//signs_mov_separ_signers/Naomi_1048.mov","MOV")</f>
        <v>21</v>
      </c>
    </row>
    <row r="4843" s="2" customFormat="1" ht="13.5" customHeight="1">
      <c r="B4843" t="s" s="8">
        <v>1648</v>
      </c>
      <c r="C4843" t="s" s="9">
        <v>14</v>
      </c>
      <c r="D4843" t="s" s="8">
        <v>14</v>
      </c>
      <c r="E4843" t="s" s="9">
        <v>14</v>
      </c>
      <c r="F4843" t="s" s="10">
        <v>14</v>
      </c>
      <c r="G4843" t="s" s="11">
        <v>14</v>
      </c>
      <c r="H4843" t="s" s="10">
        <v>14</v>
      </c>
      <c r="I4843" t="s" s="11">
        <v>14</v>
      </c>
      <c r="J4843" t="s" s="11">
        <v>14</v>
      </c>
      <c r="K4843" t="s" s="12">
        <v>14</v>
      </c>
      <c r="L4843" t="s" s="12">
        <v>14</v>
      </c>
      <c r="M4843" t="s" s="10">
        <v>14</v>
      </c>
      <c r="N4843" t="s" s="11">
        <v>14</v>
      </c>
      <c r="O4843" t="s" s="8">
        <v>14</v>
      </c>
      <c r="P4843" t="s" s="8">
        <v>14</v>
      </c>
      <c r="Q4843" t="s" s="12">
        <v>14</v>
      </c>
      <c r="R4843" t="s" s="12">
        <v>14</v>
      </c>
    </row>
    <row r="4844" s="2" customFormat="1" ht="13.5" customHeight="1">
      <c r="B4844" s="13"/>
      <c r="C4844" t="s" s="9">
        <v>30</v>
      </c>
      <c r="D4844" t="s" s="8">
        <v>1650</v>
      </c>
      <c r="E4844" t="s" s="9">
        <v>1651</v>
      </c>
      <c r="F4844" t="s" s="10">
        <v>292</v>
      </c>
      <c r="G4844" t="s" s="11">
        <v>292</v>
      </c>
      <c r="H4844" t="s" s="10">
        <v>292</v>
      </c>
      <c r="I4844" t="s" s="11">
        <v>292</v>
      </c>
      <c r="J4844" t="s" s="11">
        <v>20</v>
      </c>
      <c r="K4844" t="s" s="16">
        <f>HYPERLINK("http://csr.bu.edu/ftp/asl/asllvd/demos/verify_start_end_handshape_annotations//test_auto_move//signs_mov/15342.mov","MOV")</f>
        <v>21</v>
      </c>
      <c r="L4844" t="s" s="16">
        <f>HYPERLINK("http://csr.bu.edu/ftp/asl/asllvd/demos/verify_start_end_handshape_annotations//test_auto_move//signs_mov_separ_signers/Brady_15342.mov","MOV")</f>
        <v>21</v>
      </c>
      <c r="M4844" t="s" s="10">
        <v>39</v>
      </c>
      <c r="N4844" s="17">
        <v>26</v>
      </c>
      <c r="O4844" s="18">
        <v>2295</v>
      </c>
      <c r="P4844" s="18">
        <v>2317</v>
      </c>
      <c r="Q4844" t="s" s="16">
        <f>HYPERLINK("http://secrets.rutgers.edu:8080/data/asl-ftp/asllvd/demos/verify_start_end_handshape_annotations//test_auto_move//signs_mov/15342.mov","MOV")</f>
        <v>21</v>
      </c>
      <c r="R4844" t="s" s="16">
        <f>HYPERLINK("http://secrets.rutgers.edu:8080/data/asl-ftp/asllvd/demos/verify_start_end_handshape_annotations//test_auto_move//signs_mov_separ_signers/Brady_15342.mov","MOV")</f>
        <v>21</v>
      </c>
    </row>
    <row r="4845" s="2" customFormat="1" ht="13.5" customHeight="1">
      <c r="B4845" t="s" s="8">
        <v>1652</v>
      </c>
      <c r="C4845" t="s" s="9">
        <v>14</v>
      </c>
      <c r="D4845" t="s" s="8">
        <v>14</v>
      </c>
      <c r="E4845" t="s" s="9">
        <v>14</v>
      </c>
      <c r="F4845" t="s" s="10">
        <v>14</v>
      </c>
      <c r="G4845" t="s" s="11">
        <v>14</v>
      </c>
      <c r="H4845" t="s" s="10">
        <v>14</v>
      </c>
      <c r="I4845" t="s" s="11">
        <v>14</v>
      </c>
      <c r="J4845" t="s" s="11">
        <v>14</v>
      </c>
      <c r="K4845" t="s" s="12">
        <v>14</v>
      </c>
      <c r="L4845" t="s" s="12">
        <v>14</v>
      </c>
      <c r="M4845" t="s" s="10">
        <v>14</v>
      </c>
      <c r="N4845" t="s" s="11">
        <v>14</v>
      </c>
      <c r="O4845" t="s" s="8">
        <v>14</v>
      </c>
      <c r="P4845" t="s" s="8">
        <v>14</v>
      </c>
      <c r="Q4845" t="s" s="12">
        <v>14</v>
      </c>
      <c r="R4845" t="s" s="12">
        <v>14</v>
      </c>
    </row>
    <row r="4846" s="2" customFormat="1" ht="13.5" customHeight="1">
      <c r="B4846" s="13"/>
      <c r="C4846" t="s" s="9">
        <v>16</v>
      </c>
      <c r="D4846" t="s" s="8">
        <v>1652</v>
      </c>
      <c r="E4846" t="s" s="9">
        <v>1652</v>
      </c>
      <c r="F4846" t="s" s="10">
        <v>25</v>
      </c>
      <c r="G4846" s="14"/>
      <c r="H4846" t="s" s="10">
        <v>19</v>
      </c>
      <c r="I4846" s="14"/>
      <c r="J4846" t="s" s="11">
        <v>20</v>
      </c>
      <c r="K4846" s="15"/>
      <c r="L4846" t="s" s="16">
        <f>HYPERLINK("http://csr.bu.edu/ftp/asl/asllvd/demos/verify_start_end_handshape_annotations//test_auto_move//signs_mov_separ_signers/Liz_15784.mov","MOV")</f>
        <v>21</v>
      </c>
      <c r="M4846" t="s" s="10">
        <v>34</v>
      </c>
      <c r="N4846" s="17">
        <v>2</v>
      </c>
      <c r="O4846" s="18">
        <v>601</v>
      </c>
      <c r="P4846" s="18">
        <v>640</v>
      </c>
      <c r="Q4846" s="15"/>
      <c r="R4846" t="s" s="16">
        <f>HYPERLINK("http://secrets.rutgers.edu:8080/data/asl-ftp/asllvd/demos/verify_start_end_handshape_annotations//test_auto_move//signs_mov_separ_signers/Liz_15784.mov","MOV")</f>
        <v>21</v>
      </c>
    </row>
    <row r="4847" s="2" customFormat="1" ht="13.5" customHeight="1">
      <c r="B4847" s="13"/>
      <c r="C4847" t="s" s="9">
        <v>23</v>
      </c>
      <c r="D4847" t="s" s="8">
        <v>1652</v>
      </c>
      <c r="E4847" t="s" s="9">
        <v>1652</v>
      </c>
      <c r="F4847" t="s" s="10">
        <v>25</v>
      </c>
      <c r="G4847" s="14"/>
      <c r="H4847" t="s" s="10">
        <v>19</v>
      </c>
      <c r="I4847" s="14"/>
      <c r="J4847" t="s" s="11">
        <v>20</v>
      </c>
      <c r="K4847" t="s" s="16">
        <f>HYPERLINK("http://csr.bu.edu/ftp/asl/asllvd/demos/verify_start_end_handshape_annotations//test_auto_move//signs_mov/15784.mov","MOV")</f>
        <v>21</v>
      </c>
      <c r="L4847" t="s" s="16">
        <f>HYPERLINK("http://csr.bu.edu/ftp/asl/asllvd/demos/verify_start_end_handshape_annotations//test_auto_move//signs_mov_separ_signers/Tyler_15784.mov","MOV")</f>
        <v>21</v>
      </c>
      <c r="M4847" t="s" s="10">
        <v>92</v>
      </c>
      <c r="N4847" s="17">
        <v>34</v>
      </c>
      <c r="O4847" s="18">
        <v>220</v>
      </c>
      <c r="P4847" s="18">
        <v>236</v>
      </c>
      <c r="Q4847" t="s" s="16">
        <f>HYPERLINK("http://secrets.rutgers.edu:8080/data/asl-ftp/asllvd/demos/verify_start_end_handshape_annotations//test_auto_move//signs_mov/15784.mov","MOV")</f>
        <v>21</v>
      </c>
      <c r="R4847" t="s" s="16">
        <f>HYPERLINK("http://secrets.rutgers.edu:8080/data/asl-ftp/asllvd/demos/verify_start_end_handshape_annotations//test_auto_move//signs_mov_separ_signers/Tyler_15784.mov","MOV")</f>
        <v>21</v>
      </c>
    </row>
    <row r="4848" s="2" customFormat="1" ht="13.5" customHeight="1">
      <c r="B4848" s="13"/>
      <c r="C4848" t="s" s="9">
        <v>27</v>
      </c>
      <c r="D4848" t="s" s="8">
        <v>1652</v>
      </c>
      <c r="E4848" t="s" s="9">
        <v>1652</v>
      </c>
      <c r="F4848" t="s" s="10">
        <v>25</v>
      </c>
      <c r="G4848" s="14"/>
      <c r="H4848" t="s" s="10">
        <v>19</v>
      </c>
      <c r="I4848" s="14"/>
      <c r="J4848" t="s" s="11">
        <v>20</v>
      </c>
      <c r="K4848" s="15"/>
      <c r="L4848" t="s" s="16">
        <f>HYPERLINK("http://csr.bu.edu/ftp/asl/asllvd/demos/verify_start_end_handshape_annotations//test_auto_move//signs_mov_separ_signers/Naomi_15784.mov","MOV")</f>
        <v>21</v>
      </c>
      <c r="M4848" t="s" s="10">
        <v>38</v>
      </c>
      <c r="N4848" s="17">
        <v>2</v>
      </c>
      <c r="O4848" s="18">
        <v>275</v>
      </c>
      <c r="P4848" s="18">
        <v>290</v>
      </c>
      <c r="Q4848" s="15"/>
      <c r="R4848" t="s" s="16">
        <f>HYPERLINK("http://secrets.rutgers.edu:8080/data/asl-ftp/asllvd/demos/verify_start_end_handshape_annotations//test_auto_move//signs_mov_separ_signers/Naomi_15784.mov","MOV")</f>
        <v>21</v>
      </c>
    </row>
    <row r="4849" s="2" customFormat="1" ht="13.5" customHeight="1">
      <c r="B4849" s="13"/>
      <c r="C4849" t="s" s="9">
        <v>30</v>
      </c>
      <c r="D4849" t="s" s="8">
        <v>1652</v>
      </c>
      <c r="E4849" t="s" s="9">
        <v>1652</v>
      </c>
      <c r="F4849" t="s" s="10">
        <v>25</v>
      </c>
      <c r="G4849" s="14"/>
      <c r="H4849" t="s" s="10">
        <v>28</v>
      </c>
      <c r="I4849" s="14"/>
      <c r="J4849" t="s" s="11">
        <v>20</v>
      </c>
      <c r="K4849" s="15"/>
      <c r="L4849" t="s" s="16">
        <f>HYPERLINK("http://csr.bu.edu/ftp/asl/asllvd/demos/verify_start_end_handshape_annotations//test_auto_move//signs_mov_separ_signers/Brady_15784.mov","MOV")</f>
        <v>21</v>
      </c>
      <c r="M4849" t="s" s="10">
        <v>39</v>
      </c>
      <c r="N4849" s="17">
        <v>24</v>
      </c>
      <c r="O4849" s="18">
        <v>4955</v>
      </c>
      <c r="P4849" s="18">
        <v>4967</v>
      </c>
      <c r="Q4849" s="15"/>
      <c r="R4849" t="s" s="16">
        <f>HYPERLINK("http://secrets.rutgers.edu:8080/data/asl-ftp/asllvd/demos/verify_start_end_handshape_annotations//test_auto_move//signs_mov_separ_signers/Brady_15784.mov","MOV")</f>
        <v>21</v>
      </c>
    </row>
    <row r="4850" s="2" customFormat="1" ht="13.5" customHeight="1">
      <c r="B4850" t="s" s="8">
        <v>1653</v>
      </c>
      <c r="C4850" t="s" s="9">
        <v>14</v>
      </c>
      <c r="D4850" t="s" s="8">
        <v>14</v>
      </c>
      <c r="E4850" t="s" s="9">
        <v>14</v>
      </c>
      <c r="F4850" t="s" s="10">
        <v>14</v>
      </c>
      <c r="G4850" t="s" s="11">
        <v>14</v>
      </c>
      <c r="H4850" t="s" s="10">
        <v>14</v>
      </c>
      <c r="I4850" t="s" s="11">
        <v>14</v>
      </c>
      <c r="J4850" t="s" s="11">
        <v>14</v>
      </c>
      <c r="K4850" t="s" s="12">
        <v>14</v>
      </c>
      <c r="L4850" t="s" s="12">
        <v>14</v>
      </c>
      <c r="M4850" t="s" s="10">
        <v>14</v>
      </c>
      <c r="N4850" t="s" s="11">
        <v>14</v>
      </c>
      <c r="O4850" t="s" s="8">
        <v>14</v>
      </c>
      <c r="P4850" t="s" s="8">
        <v>14</v>
      </c>
      <c r="Q4850" t="s" s="12">
        <v>14</v>
      </c>
      <c r="R4850" t="s" s="12">
        <v>14</v>
      </c>
    </row>
    <row r="4851" s="2" customFormat="1" ht="13.5" customHeight="1">
      <c r="B4851" s="13"/>
      <c r="C4851" t="s" s="9">
        <v>23</v>
      </c>
      <c r="D4851" t="s" s="8">
        <v>1653</v>
      </c>
      <c r="E4851" t="s" s="9">
        <v>1653</v>
      </c>
      <c r="F4851" t="s" s="10">
        <v>18</v>
      </c>
      <c r="G4851" t="s" s="11">
        <v>18</v>
      </c>
      <c r="H4851" t="s" s="10">
        <v>28</v>
      </c>
      <c r="I4851" t="s" s="11">
        <v>28</v>
      </c>
      <c r="J4851" t="s" s="11">
        <v>20</v>
      </c>
      <c r="K4851" t="s" s="16">
        <f>HYPERLINK("http://csr.bu.edu/ftp/asl/asllvd/demos/verify_start_end_handshape_annotations//test_auto_move//signs_mov/16377.mov","MOV")</f>
        <v>21</v>
      </c>
      <c r="L4851" t="s" s="16">
        <f>HYPERLINK("http://csr.bu.edu/ftp/asl/asllvd/demos/verify_start_end_handshape_annotations//test_auto_move//signs_mov_separ_signers/Tyler_16377.mov","MOV")</f>
        <v>21</v>
      </c>
      <c r="M4851" t="s" s="10">
        <v>92</v>
      </c>
      <c r="N4851" s="17">
        <v>37</v>
      </c>
      <c r="O4851" s="18">
        <v>3735</v>
      </c>
      <c r="P4851" s="18">
        <v>3785</v>
      </c>
      <c r="Q4851" t="s" s="16">
        <f>HYPERLINK("http://secrets.rutgers.edu:8080/data/asl-ftp/asllvd/demos/verify_start_end_handshape_annotations//test_auto_move//signs_mov/16377.mov","MOV")</f>
        <v>21</v>
      </c>
      <c r="R4851" t="s" s="16">
        <f>HYPERLINK("http://secrets.rutgers.edu:8080/data/asl-ftp/asllvd/demos/verify_start_end_handshape_annotations//test_auto_move//signs_mov_separ_signers/Tyler_16377.mov","MOV")</f>
        <v>21</v>
      </c>
    </row>
    <row r="4852" s="2" customFormat="1" ht="13.5" customHeight="1">
      <c r="B4852" t="s" s="8">
        <v>1654</v>
      </c>
      <c r="C4852" t="s" s="9">
        <v>14</v>
      </c>
      <c r="D4852" t="s" s="8">
        <v>14</v>
      </c>
      <c r="E4852" t="s" s="9">
        <v>14</v>
      </c>
      <c r="F4852" t="s" s="10">
        <v>14</v>
      </c>
      <c r="G4852" t="s" s="11">
        <v>14</v>
      </c>
      <c r="H4852" t="s" s="10">
        <v>14</v>
      </c>
      <c r="I4852" t="s" s="11">
        <v>14</v>
      </c>
      <c r="J4852" t="s" s="11">
        <v>14</v>
      </c>
      <c r="K4852" t="s" s="12">
        <v>14</v>
      </c>
      <c r="L4852" t="s" s="12">
        <v>14</v>
      </c>
      <c r="M4852" t="s" s="10">
        <v>14</v>
      </c>
      <c r="N4852" t="s" s="11">
        <v>14</v>
      </c>
      <c r="O4852" t="s" s="8">
        <v>14</v>
      </c>
      <c r="P4852" t="s" s="8">
        <v>14</v>
      </c>
      <c r="Q4852" t="s" s="12">
        <v>14</v>
      </c>
      <c r="R4852" t="s" s="12">
        <v>14</v>
      </c>
    </row>
    <row r="4853" s="2" customFormat="1" ht="13.5" customHeight="1">
      <c r="B4853" s="13"/>
      <c r="C4853" t="s" s="9">
        <v>16</v>
      </c>
      <c r="D4853" t="s" s="8">
        <v>1654</v>
      </c>
      <c r="E4853" t="s" s="9">
        <v>1654</v>
      </c>
      <c r="F4853" t="s" s="10">
        <v>72</v>
      </c>
      <c r="G4853" t="s" s="11">
        <v>72</v>
      </c>
      <c r="H4853" t="s" s="10">
        <v>72</v>
      </c>
      <c r="I4853" t="s" s="11">
        <v>72</v>
      </c>
      <c r="J4853" t="s" s="11">
        <v>20</v>
      </c>
      <c r="K4853" s="15"/>
      <c r="L4853" t="s" s="16">
        <f>HYPERLINK("http://csr.bu.edu/ftp/asl/asllvd/demos/verify_start_end_handshape_annotations//test_auto_move//signs_mov_separ_signers/Liz_1049.mov","MOV")</f>
        <v>21</v>
      </c>
      <c r="M4853" t="s" s="10">
        <v>34</v>
      </c>
      <c r="N4853" s="17">
        <v>6</v>
      </c>
      <c r="O4853" s="18">
        <v>1666</v>
      </c>
      <c r="P4853" s="18">
        <v>1737</v>
      </c>
      <c r="Q4853" s="15"/>
      <c r="R4853" t="s" s="16">
        <f>HYPERLINK("http://secrets.rutgers.edu:8080/data/asl-ftp/asllvd/demos/verify_start_end_handshape_annotations//test_auto_move//signs_mov_separ_signers/Liz_1049.mov","MOV")</f>
        <v>21</v>
      </c>
    </row>
    <row r="4854" s="2" customFormat="1" ht="13.5" customHeight="1">
      <c r="B4854" s="13"/>
      <c r="C4854" t="s" s="9">
        <v>27</v>
      </c>
      <c r="D4854" t="s" s="8">
        <v>1654</v>
      </c>
      <c r="E4854" t="s" s="9">
        <v>1654</v>
      </c>
      <c r="F4854" t="s" s="10">
        <v>72</v>
      </c>
      <c r="G4854" t="s" s="11">
        <v>72</v>
      </c>
      <c r="H4854" t="s" s="10">
        <v>72</v>
      </c>
      <c r="I4854" t="s" s="11">
        <v>72</v>
      </c>
      <c r="J4854" t="s" s="11">
        <v>20</v>
      </c>
      <c r="K4854" t="s" s="16">
        <f>HYPERLINK("http://csr.bu.edu/ftp/asl/asllvd/demos/verify_start_end_handshape_annotations//test_auto_move//signs_mov/1049.mov","MOV")</f>
        <v>21</v>
      </c>
      <c r="L4854" t="s" s="16">
        <f>HYPERLINK("http://csr.bu.edu/ftp/asl/asllvd/demos/verify_start_end_handshape_annotations//test_auto_move//signs_mov_separ_signers/Naomi_1049.mov","MOV")</f>
        <v>21</v>
      </c>
      <c r="M4854" t="s" s="10">
        <v>38</v>
      </c>
      <c r="N4854" s="17">
        <v>5</v>
      </c>
      <c r="O4854" s="18">
        <v>4115</v>
      </c>
      <c r="P4854" s="18">
        <v>4145</v>
      </c>
      <c r="Q4854" t="s" s="16">
        <f>HYPERLINK("http://secrets.rutgers.edu:8080/data/asl-ftp/asllvd/demos/verify_start_end_handshape_annotations//test_auto_move//signs_mov/1049.mov","MOV")</f>
        <v>21</v>
      </c>
      <c r="R4854" t="s" s="16">
        <f>HYPERLINK("http://secrets.rutgers.edu:8080/data/asl-ftp/asllvd/demos/verify_start_end_handshape_annotations//test_auto_move//signs_mov_separ_signers/Naomi_1049.mov","MOV")</f>
        <v>21</v>
      </c>
    </row>
    <row r="4855" s="2" customFormat="1" ht="13.5" customHeight="1">
      <c r="B4855" s="13"/>
      <c r="C4855" t="s" s="9">
        <v>30</v>
      </c>
      <c r="D4855" t="s" s="8">
        <v>1654</v>
      </c>
      <c r="E4855" t="s" s="9">
        <v>1654</v>
      </c>
      <c r="F4855" t="s" s="10">
        <v>72</v>
      </c>
      <c r="G4855" t="s" s="11">
        <v>72</v>
      </c>
      <c r="H4855" t="s" s="10">
        <v>72</v>
      </c>
      <c r="I4855" t="s" s="11">
        <v>72</v>
      </c>
      <c r="J4855" t="s" s="11">
        <v>20</v>
      </c>
      <c r="K4855" s="15"/>
      <c r="L4855" t="s" s="16">
        <f>HYPERLINK("http://csr.bu.edu/ftp/asl/asllvd/demos/verify_start_end_handshape_annotations//test_auto_move//signs_mov_separ_signers/Brady_1049.mov","MOV")</f>
        <v>21</v>
      </c>
      <c r="M4855" t="s" s="10">
        <v>39</v>
      </c>
      <c r="N4855" s="17">
        <v>26</v>
      </c>
      <c r="O4855" s="18">
        <v>5575</v>
      </c>
      <c r="P4855" s="18">
        <v>5602</v>
      </c>
      <c r="Q4855" s="15"/>
      <c r="R4855" t="s" s="16">
        <f>HYPERLINK("http://secrets.rutgers.edu:8080/data/asl-ftp/asllvd/demos/verify_start_end_handshape_annotations//test_auto_move//signs_mov_separ_signers/Brady_1049.mov","MOV")</f>
        <v>21</v>
      </c>
    </row>
    <row r="4856" s="2" customFormat="1" ht="13.5" customHeight="1">
      <c r="B4856" t="s" s="8">
        <v>1655</v>
      </c>
      <c r="C4856" t="s" s="9">
        <v>14</v>
      </c>
      <c r="D4856" t="s" s="8">
        <v>14</v>
      </c>
      <c r="E4856" t="s" s="9">
        <v>14</v>
      </c>
      <c r="F4856" t="s" s="10">
        <v>14</v>
      </c>
      <c r="G4856" t="s" s="11">
        <v>14</v>
      </c>
      <c r="H4856" t="s" s="10">
        <v>14</v>
      </c>
      <c r="I4856" t="s" s="11">
        <v>14</v>
      </c>
      <c r="J4856" t="s" s="11">
        <v>14</v>
      </c>
      <c r="K4856" t="s" s="12">
        <v>14</v>
      </c>
      <c r="L4856" t="s" s="12">
        <v>14</v>
      </c>
      <c r="M4856" t="s" s="10">
        <v>14</v>
      </c>
      <c r="N4856" t="s" s="11">
        <v>14</v>
      </c>
      <c r="O4856" t="s" s="8">
        <v>14</v>
      </c>
      <c r="P4856" t="s" s="8">
        <v>14</v>
      </c>
      <c r="Q4856" t="s" s="12">
        <v>14</v>
      </c>
      <c r="R4856" t="s" s="12">
        <v>14</v>
      </c>
    </row>
    <row r="4857" s="2" customFormat="1" ht="13.5" customHeight="1">
      <c r="B4857" s="13"/>
      <c r="C4857" t="s" s="9">
        <v>23</v>
      </c>
      <c r="D4857" t="s" s="8">
        <v>1655</v>
      </c>
      <c r="E4857" t="s" s="9">
        <v>1655</v>
      </c>
      <c r="F4857" t="s" s="10">
        <v>430</v>
      </c>
      <c r="G4857" t="s" s="11">
        <v>105</v>
      </c>
      <c r="H4857" t="s" s="10">
        <v>72</v>
      </c>
      <c r="I4857" t="s" s="11">
        <v>148</v>
      </c>
      <c r="J4857" t="s" s="11">
        <v>20</v>
      </c>
      <c r="K4857" t="s" s="16">
        <f>HYPERLINK("http://csr.bu.edu/ftp/asl/asllvd/demos/verify_start_end_handshape_annotations//test_auto_move//signs_mov/5198.mov","MOV")</f>
        <v>21</v>
      </c>
      <c r="L4857" t="s" s="16">
        <f>HYPERLINK("http://csr.bu.edu/ftp/asl/asllvd/demos/verify_start_end_handshape_annotations//test_auto_move//signs_mov_separ_signers/Tyler_5198.mov","MOV")</f>
        <v>21</v>
      </c>
      <c r="M4857" t="s" s="10">
        <v>92</v>
      </c>
      <c r="N4857" s="17">
        <v>37</v>
      </c>
      <c r="O4857" s="18">
        <v>4186</v>
      </c>
      <c r="P4857" s="18">
        <v>4241</v>
      </c>
      <c r="Q4857" t="s" s="16">
        <f>HYPERLINK("http://secrets.rutgers.edu:8080/data/asl-ftp/asllvd/demos/verify_start_end_handshape_annotations//test_auto_move//signs_mov/5198.mov","MOV")</f>
        <v>21</v>
      </c>
      <c r="R4857" t="s" s="16">
        <f>HYPERLINK("http://secrets.rutgers.edu:8080/data/asl-ftp/asllvd/demos/verify_start_end_handshape_annotations//test_auto_move//signs_mov_separ_signers/Tyler_5198.mov","MOV")</f>
        <v>21</v>
      </c>
    </row>
    <row r="4858" s="2" customFormat="1" ht="13.5" customHeight="1">
      <c r="B4858" s="13"/>
      <c r="C4858" t="s" s="9">
        <v>30</v>
      </c>
      <c r="D4858" t="s" s="8">
        <v>1655</v>
      </c>
      <c r="E4858" t="s" s="9">
        <v>1655</v>
      </c>
      <c r="F4858" t="s" s="10">
        <v>430</v>
      </c>
      <c r="G4858" t="s" s="11">
        <v>105</v>
      </c>
      <c r="H4858" t="s" s="10">
        <v>72</v>
      </c>
      <c r="I4858" t="s" s="11">
        <v>105</v>
      </c>
      <c r="J4858" t="s" s="11">
        <v>20</v>
      </c>
      <c r="K4858" s="15"/>
      <c r="L4858" t="s" s="16">
        <f>HYPERLINK("http://csr.bu.edu/ftp/asl/asllvd/demos/verify_start_end_handshape_annotations//test_auto_move//signs_mov_separ_signers/Brady_5198.mov","MOV")</f>
        <v>21</v>
      </c>
      <c r="M4858" t="s" s="10">
        <v>39</v>
      </c>
      <c r="N4858" s="17">
        <v>26</v>
      </c>
      <c r="O4858" s="18">
        <v>5033</v>
      </c>
      <c r="P4858" s="18">
        <v>5089</v>
      </c>
      <c r="Q4858" s="15"/>
      <c r="R4858" t="s" s="16">
        <f>HYPERLINK("http://secrets.rutgers.edu:8080/data/asl-ftp/asllvd/demos/verify_start_end_handshape_annotations//test_auto_move//signs_mov_separ_signers/Brady_5198.mov","MOV")</f>
        <v>21</v>
      </c>
    </row>
    <row r="4859" s="2" customFormat="1" ht="13.5" customHeight="1">
      <c r="B4859" t="s" s="8">
        <v>1656</v>
      </c>
      <c r="C4859" t="s" s="9">
        <v>14</v>
      </c>
      <c r="D4859" t="s" s="8">
        <v>14</v>
      </c>
      <c r="E4859" t="s" s="9">
        <v>14</v>
      </c>
      <c r="F4859" t="s" s="10">
        <v>14</v>
      </c>
      <c r="G4859" t="s" s="11">
        <v>14</v>
      </c>
      <c r="H4859" t="s" s="10">
        <v>14</v>
      </c>
      <c r="I4859" t="s" s="11">
        <v>14</v>
      </c>
      <c r="J4859" t="s" s="11">
        <v>14</v>
      </c>
      <c r="K4859" t="s" s="12">
        <v>14</v>
      </c>
      <c r="L4859" t="s" s="12">
        <v>14</v>
      </c>
      <c r="M4859" t="s" s="10">
        <v>14</v>
      </c>
      <c r="N4859" t="s" s="11">
        <v>14</v>
      </c>
      <c r="O4859" t="s" s="8">
        <v>14</v>
      </c>
      <c r="P4859" t="s" s="8">
        <v>14</v>
      </c>
      <c r="Q4859" t="s" s="12">
        <v>14</v>
      </c>
      <c r="R4859" t="s" s="12">
        <v>14</v>
      </c>
    </row>
    <row r="4860" s="2" customFormat="1" ht="13.5" customHeight="1">
      <c r="B4860" s="13"/>
      <c r="C4860" t="s" s="9">
        <v>16</v>
      </c>
      <c r="D4860" t="s" s="8">
        <v>1656</v>
      </c>
      <c r="E4860" t="s" s="9">
        <v>1656</v>
      </c>
      <c r="F4860" s="19">
        <v>5</v>
      </c>
      <c r="G4860" t="s" s="11">
        <v>73</v>
      </c>
      <c r="H4860" s="19">
        <v>5</v>
      </c>
      <c r="I4860" t="s" s="11">
        <v>73</v>
      </c>
      <c r="J4860" t="s" s="11">
        <v>20</v>
      </c>
      <c r="K4860" t="s" s="16">
        <f>HYPERLINK("http://csr.bu.edu/ftp/asl/asllvd/demos/verify_start_end_handshape_annotations//test_auto_move//signs_mov/1050.mov","MOV")</f>
        <v>21</v>
      </c>
      <c r="L4860" t="s" s="16">
        <f>HYPERLINK("http://csr.bu.edu/ftp/asl/asllvd/demos/verify_start_end_handshape_annotations//test_auto_move//signs_mov_separ_signers/Liz_1050.mov","MOV")</f>
        <v>21</v>
      </c>
      <c r="M4860" t="s" s="10">
        <v>34</v>
      </c>
      <c r="N4860" s="17">
        <v>7</v>
      </c>
      <c r="O4860" s="18">
        <v>246</v>
      </c>
      <c r="P4860" s="18">
        <v>311</v>
      </c>
      <c r="Q4860" t="s" s="16">
        <f>HYPERLINK("http://secrets.rutgers.edu:8080/data/asl-ftp/asllvd/demos/verify_start_end_handshape_annotations//test_auto_move//signs_mov/1050.mov","MOV")</f>
        <v>21</v>
      </c>
      <c r="R4860" t="s" s="16">
        <f>HYPERLINK("http://secrets.rutgers.edu:8080/data/asl-ftp/asllvd/demos/verify_start_end_handshape_annotations//test_auto_move//signs_mov_separ_signers/Liz_1050.mov","MOV")</f>
        <v>21</v>
      </c>
    </row>
    <row r="4861" s="2" customFormat="1" ht="13.5" customHeight="1">
      <c r="B4861" t="s" s="8">
        <v>52</v>
      </c>
      <c r="C4861" t="s" s="9">
        <v>53</v>
      </c>
      <c r="D4861" t="s" s="8">
        <v>53</v>
      </c>
      <c r="E4861" t="s" s="9">
        <v>53</v>
      </c>
      <c r="F4861" t="s" s="10">
        <v>53</v>
      </c>
      <c r="G4861" t="s" s="11">
        <v>53</v>
      </c>
      <c r="H4861" t="s" s="10">
        <v>53</v>
      </c>
      <c r="I4861" t="s" s="11">
        <v>53</v>
      </c>
      <c r="J4861" t="s" s="11">
        <v>53</v>
      </c>
      <c r="K4861" t="s" s="12">
        <v>53</v>
      </c>
      <c r="L4861" t="s" s="12">
        <v>53</v>
      </c>
      <c r="M4861" t="s" s="10">
        <v>53</v>
      </c>
      <c r="N4861" t="s" s="11">
        <v>53</v>
      </c>
      <c r="O4861" t="s" s="8">
        <v>53</v>
      </c>
      <c r="P4861" t="s" s="8">
        <v>53</v>
      </c>
      <c r="Q4861" t="s" s="12">
        <v>53</v>
      </c>
      <c r="R4861" t="s" s="12">
        <v>53</v>
      </c>
    </row>
    <row r="4862" s="2" customFormat="1" ht="13.5" customHeight="1">
      <c r="B4862" s="13"/>
      <c r="C4862" t="s" s="9">
        <v>30</v>
      </c>
      <c r="D4862" t="s" s="8">
        <v>1656</v>
      </c>
      <c r="E4862" t="s" s="9">
        <v>1657</v>
      </c>
      <c r="F4862" s="19">
        <v>5</v>
      </c>
      <c r="G4862" s="17">
        <v>5</v>
      </c>
      <c r="H4862" s="19">
        <v>5</v>
      </c>
      <c r="I4862" s="17">
        <v>5</v>
      </c>
      <c r="J4862" t="s" s="11">
        <v>20</v>
      </c>
      <c r="K4862" t="s" s="16">
        <f>HYPERLINK("http://csr.bu.edu/ftp/asl/asllvd/demos/verify_start_end_handshape_annotations//test_auto_move//signs_mov/5064.mov","MOV")</f>
        <v>21</v>
      </c>
      <c r="L4862" t="s" s="16">
        <f>HYPERLINK("http://csr.bu.edu/ftp/asl/asllvd/demos/verify_start_end_handshape_annotations//test_auto_move//signs_mov_separ_signers/Brady_5064.mov","MOV")</f>
        <v>21</v>
      </c>
      <c r="M4862" t="s" s="10">
        <v>39</v>
      </c>
      <c r="N4862" s="17">
        <v>26</v>
      </c>
      <c r="O4862" s="18">
        <v>5825</v>
      </c>
      <c r="P4862" s="18">
        <v>5860</v>
      </c>
      <c r="Q4862" t="s" s="16">
        <f>HYPERLINK("http://secrets.rutgers.edu:8080/data/asl-ftp/asllvd/demos/verify_start_end_handshape_annotations//test_auto_move//signs_mov/5064.mov","MOV")</f>
        <v>21</v>
      </c>
      <c r="R4862" t="s" s="16">
        <f>HYPERLINK("http://secrets.rutgers.edu:8080/data/asl-ftp/asllvd/demos/verify_start_end_handshape_annotations//test_auto_move//signs_mov_separ_signers/Brady_5064.mov","MOV")</f>
        <v>21</v>
      </c>
    </row>
    <row r="4863" s="2" customFormat="1" ht="13.5" customHeight="1">
      <c r="B4863" t="s" s="8">
        <v>52</v>
      </c>
      <c r="C4863" t="s" s="9">
        <v>53</v>
      </c>
      <c r="D4863" t="s" s="8">
        <v>53</v>
      </c>
      <c r="E4863" t="s" s="9">
        <v>53</v>
      </c>
      <c r="F4863" t="s" s="10">
        <v>53</v>
      </c>
      <c r="G4863" t="s" s="11">
        <v>53</v>
      </c>
      <c r="H4863" t="s" s="10">
        <v>53</v>
      </c>
      <c r="I4863" t="s" s="11">
        <v>53</v>
      </c>
      <c r="J4863" t="s" s="11">
        <v>53</v>
      </c>
      <c r="K4863" t="s" s="12">
        <v>53</v>
      </c>
      <c r="L4863" t="s" s="12">
        <v>53</v>
      </c>
      <c r="M4863" t="s" s="10">
        <v>53</v>
      </c>
      <c r="N4863" t="s" s="11">
        <v>53</v>
      </c>
      <c r="O4863" t="s" s="8">
        <v>53</v>
      </c>
      <c r="P4863" t="s" s="8">
        <v>53</v>
      </c>
      <c r="Q4863" t="s" s="12">
        <v>53</v>
      </c>
      <c r="R4863" t="s" s="12">
        <v>53</v>
      </c>
    </row>
    <row r="4864" s="2" customFormat="1" ht="13.5" customHeight="1">
      <c r="B4864" s="13"/>
      <c r="C4864" t="s" s="9">
        <v>23</v>
      </c>
      <c r="D4864" t="s" s="8">
        <v>1656</v>
      </c>
      <c r="E4864" t="s" s="9">
        <v>1658</v>
      </c>
      <c r="F4864" s="19">
        <v>25</v>
      </c>
      <c r="G4864" t="s" s="11">
        <v>73</v>
      </c>
      <c r="H4864" s="19">
        <v>25</v>
      </c>
      <c r="I4864" t="s" s="11">
        <v>73</v>
      </c>
      <c r="J4864" t="s" s="11">
        <v>20</v>
      </c>
      <c r="K4864" t="s" s="16">
        <f>HYPERLINK("http://csr.bu.edu/ftp/asl/asllvd/demos/verify_start_end_handshape_annotations//test_auto_move//signs_mov/16206.mov","MOV")</f>
        <v>21</v>
      </c>
      <c r="L4864" t="s" s="16">
        <f>HYPERLINK("http://csr.bu.edu/ftp/asl/asllvd/demos/verify_start_end_handshape_annotations//test_auto_move//signs_mov_separ_signers/Tyler_16206.mov","MOV")</f>
        <v>21</v>
      </c>
      <c r="M4864" t="s" s="10">
        <v>92</v>
      </c>
      <c r="N4864" s="17">
        <v>37</v>
      </c>
      <c r="O4864" s="18">
        <v>4720</v>
      </c>
      <c r="P4864" s="18">
        <v>4752</v>
      </c>
      <c r="Q4864" t="s" s="16">
        <f>HYPERLINK("http://secrets.rutgers.edu:8080/data/asl-ftp/asllvd/demos/verify_start_end_handshape_annotations//test_auto_move//signs_mov/16206.mov","MOV")</f>
        <v>21</v>
      </c>
      <c r="R4864" t="s" s="16">
        <f>HYPERLINK("http://secrets.rutgers.edu:8080/data/asl-ftp/asllvd/demos/verify_start_end_handshape_annotations//test_auto_move//signs_mov_separ_signers/Tyler_16206.mov","MOV")</f>
        <v>21</v>
      </c>
    </row>
    <row r="4865" s="2" customFormat="1" ht="13.5" customHeight="1">
      <c r="B4865" s="13"/>
      <c r="C4865" t="s" s="9">
        <v>30</v>
      </c>
      <c r="D4865" t="s" s="8">
        <v>1656</v>
      </c>
      <c r="E4865" t="s" s="9">
        <v>1659</v>
      </c>
      <c r="F4865" s="19">
        <v>25</v>
      </c>
      <c r="G4865" t="s" s="11">
        <v>73</v>
      </c>
      <c r="H4865" s="19">
        <v>25</v>
      </c>
      <c r="I4865" t="s" s="11">
        <v>73</v>
      </c>
      <c r="J4865" t="s" s="11">
        <v>20</v>
      </c>
      <c r="K4865" s="15"/>
      <c r="L4865" t="s" s="16">
        <f>HYPERLINK("http://csr.bu.edu/ftp/asl/asllvd/demos/verify_start_end_handshape_annotations//test_auto_move//signs_mov_separ_signers/Brady_16206.mov","MOV")</f>
        <v>21</v>
      </c>
      <c r="M4865" t="s" s="10">
        <v>39</v>
      </c>
      <c r="N4865" s="17">
        <v>26</v>
      </c>
      <c r="O4865" s="18">
        <v>6394</v>
      </c>
      <c r="P4865" s="18">
        <v>6470</v>
      </c>
      <c r="Q4865" s="15"/>
      <c r="R4865" t="s" s="16">
        <f>HYPERLINK("http://secrets.rutgers.edu:8080/data/asl-ftp/asllvd/demos/verify_start_end_handshape_annotations//test_auto_move//signs_mov_separ_signers/Brady_16206.mov","MOV")</f>
        <v>21</v>
      </c>
    </row>
    <row r="4866" s="2" customFormat="1" ht="13.5" customHeight="1">
      <c r="B4866" t="s" s="8">
        <v>1660</v>
      </c>
      <c r="C4866" t="s" s="9">
        <v>14</v>
      </c>
      <c r="D4866" t="s" s="8">
        <v>14</v>
      </c>
      <c r="E4866" t="s" s="9">
        <v>14</v>
      </c>
      <c r="F4866" t="s" s="10">
        <v>14</v>
      </c>
      <c r="G4866" t="s" s="11">
        <v>14</v>
      </c>
      <c r="H4866" t="s" s="10">
        <v>14</v>
      </c>
      <c r="I4866" t="s" s="11">
        <v>14</v>
      </c>
      <c r="J4866" t="s" s="11">
        <v>14</v>
      </c>
      <c r="K4866" t="s" s="12">
        <v>14</v>
      </c>
      <c r="L4866" t="s" s="12">
        <v>14</v>
      </c>
      <c r="M4866" t="s" s="10">
        <v>14</v>
      </c>
      <c r="N4866" t="s" s="11">
        <v>14</v>
      </c>
      <c r="O4866" t="s" s="8">
        <v>14</v>
      </c>
      <c r="P4866" t="s" s="8">
        <v>14</v>
      </c>
      <c r="Q4866" t="s" s="12">
        <v>14</v>
      </c>
      <c r="R4866" t="s" s="12">
        <v>14</v>
      </c>
    </row>
    <row r="4867" s="2" customFormat="1" ht="13.5" customHeight="1">
      <c r="B4867" s="13"/>
      <c r="C4867" t="s" s="9">
        <v>16</v>
      </c>
      <c r="D4867" t="s" s="8">
        <v>1660</v>
      </c>
      <c r="E4867" t="s" s="9">
        <v>1660</v>
      </c>
      <c r="F4867" s="19">
        <v>5</v>
      </c>
      <c r="G4867" s="17">
        <v>5</v>
      </c>
      <c r="H4867" s="19">
        <v>5</v>
      </c>
      <c r="I4867" s="17">
        <v>5</v>
      </c>
      <c r="J4867" t="s" s="11">
        <v>20</v>
      </c>
      <c r="K4867" t="s" s="16">
        <f>HYPERLINK("http://csr.bu.edu/ftp/asl/asllvd/demos/verify_start_end_handshape_annotations//test_auto_move//signs_mov/1051.mov","MOV")</f>
        <v>21</v>
      </c>
      <c r="L4867" t="s" s="16">
        <f>HYPERLINK("http://csr.bu.edu/ftp/asl/asllvd/demos/verify_start_end_handshape_annotations//test_auto_move//signs_mov_separ_signers/Liz_1051.mov","MOV")</f>
        <v>21</v>
      </c>
      <c r="M4867" t="s" s="10">
        <v>34</v>
      </c>
      <c r="N4867" s="17">
        <v>7</v>
      </c>
      <c r="O4867" s="18">
        <v>500</v>
      </c>
      <c r="P4867" s="18">
        <v>580</v>
      </c>
      <c r="Q4867" t="s" s="16">
        <f>HYPERLINK("http://secrets.rutgers.edu:8080/data/asl-ftp/asllvd/demos/verify_start_end_handshape_annotations//test_auto_move//signs_mov/1051.mov","MOV")</f>
        <v>21</v>
      </c>
      <c r="R4867" t="s" s="16">
        <f>HYPERLINK("http://secrets.rutgers.edu:8080/data/asl-ftp/asllvd/demos/verify_start_end_handshape_annotations//test_auto_move//signs_mov_separ_signers/Liz_1051.mov","MOV")</f>
        <v>21</v>
      </c>
    </row>
    <row r="4868" s="2" customFormat="1" ht="13.5" customHeight="1">
      <c r="B4868" s="13"/>
      <c r="C4868" t="s" s="9">
        <v>30</v>
      </c>
      <c r="D4868" t="s" s="8">
        <v>1660</v>
      </c>
      <c r="E4868" t="s" s="9">
        <v>1660</v>
      </c>
      <c r="F4868" t="s" s="10">
        <v>68</v>
      </c>
      <c r="G4868" t="s" s="11">
        <v>68</v>
      </c>
      <c r="H4868" s="19">
        <v>5</v>
      </c>
      <c r="I4868" s="17">
        <v>5</v>
      </c>
      <c r="J4868" t="s" s="11">
        <v>20</v>
      </c>
      <c r="K4868" s="15"/>
      <c r="L4868" t="s" s="16">
        <f>HYPERLINK("http://csr.bu.edu/ftp/asl/asllvd/demos/verify_start_end_handshape_annotations//test_auto_move//signs_mov_separ_signers/Brady_1051.mov","MOV")</f>
        <v>21</v>
      </c>
      <c r="M4868" t="s" s="10">
        <v>39</v>
      </c>
      <c r="N4868" s="17">
        <v>26</v>
      </c>
      <c r="O4868" s="18">
        <v>7182</v>
      </c>
      <c r="P4868" s="18">
        <v>7227</v>
      </c>
      <c r="Q4868" s="15"/>
      <c r="R4868" t="s" s="16">
        <f>HYPERLINK("http://secrets.rutgers.edu:8080/data/asl-ftp/asllvd/demos/verify_start_end_handshape_annotations//test_auto_move//signs_mov_separ_signers/Brady_1051.mov","MOV")</f>
        <v>21</v>
      </c>
    </row>
    <row r="4869" s="2" customFormat="1" ht="13.5" customHeight="1">
      <c r="B4869" t="s" s="8">
        <v>1660</v>
      </c>
      <c r="C4869" t="s" s="9">
        <v>14</v>
      </c>
      <c r="D4869" t="s" s="8">
        <v>14</v>
      </c>
      <c r="E4869" t="s" s="9">
        <v>14</v>
      </c>
      <c r="F4869" t="s" s="10">
        <v>14</v>
      </c>
      <c r="G4869" t="s" s="11">
        <v>14</v>
      </c>
      <c r="H4869" t="s" s="10">
        <v>14</v>
      </c>
      <c r="I4869" t="s" s="11">
        <v>14</v>
      </c>
      <c r="J4869" t="s" s="11">
        <v>14</v>
      </c>
      <c r="K4869" t="s" s="12">
        <v>14</v>
      </c>
      <c r="L4869" t="s" s="12">
        <v>14</v>
      </c>
      <c r="M4869" t="s" s="10">
        <v>14</v>
      </c>
      <c r="N4869" t="s" s="11">
        <v>14</v>
      </c>
      <c r="O4869" t="s" s="8">
        <v>14</v>
      </c>
      <c r="P4869" t="s" s="8">
        <v>14</v>
      </c>
      <c r="Q4869" t="s" s="12">
        <v>14</v>
      </c>
      <c r="R4869" t="s" s="12">
        <v>14</v>
      </c>
    </row>
    <row r="4870" s="2" customFormat="1" ht="13.5" customHeight="1">
      <c r="B4870" s="13"/>
      <c r="C4870" t="s" s="9">
        <v>27</v>
      </c>
      <c r="D4870" t="s" s="8">
        <v>1661</v>
      </c>
      <c r="E4870" t="s" s="9">
        <v>1661</v>
      </c>
      <c r="F4870" s="19">
        <v>5</v>
      </c>
      <c r="G4870" s="17">
        <v>5</v>
      </c>
      <c r="H4870" s="19">
        <v>5</v>
      </c>
      <c r="I4870" s="17">
        <v>5</v>
      </c>
      <c r="J4870" t="s" s="11">
        <v>20</v>
      </c>
      <c r="K4870" t="s" s="16">
        <f>HYPERLINK("http://csr.bu.edu/ftp/asl/asllvd/demos/verify_start_end_handshape_annotations//test_auto_move//signs_mov/15324.mov","MOV")</f>
        <v>21</v>
      </c>
      <c r="L4870" t="s" s="16">
        <f>HYPERLINK("http://csr.bu.edu/ftp/asl/asllvd/demos/verify_start_end_handshape_annotations//test_auto_move//signs_mov_separ_signers/Naomi_15324.mov","MOV")</f>
        <v>21</v>
      </c>
      <c r="M4870" t="s" s="10">
        <v>38</v>
      </c>
      <c r="N4870" s="17">
        <v>6</v>
      </c>
      <c r="O4870" s="18">
        <v>267</v>
      </c>
      <c r="P4870" s="18">
        <v>317</v>
      </c>
      <c r="Q4870" t="s" s="16">
        <f>HYPERLINK("http://secrets.rutgers.edu:8080/data/asl-ftp/asllvd/demos/verify_start_end_handshape_annotations//test_auto_move//signs_mov/15324.mov","MOV")</f>
        <v>21</v>
      </c>
      <c r="R4870" t="s" s="16">
        <f>HYPERLINK("http://secrets.rutgers.edu:8080/data/asl-ftp/asllvd/demos/verify_start_end_handshape_annotations//test_auto_move//signs_mov_separ_signers/Naomi_15324.mov","MOV")</f>
        <v>21</v>
      </c>
    </row>
    <row r="4871" s="2" customFormat="1" ht="13.5" customHeight="1">
      <c r="B4871" t="s" s="8">
        <v>1662</v>
      </c>
      <c r="C4871" t="s" s="9">
        <v>14</v>
      </c>
      <c r="D4871" t="s" s="8">
        <v>14</v>
      </c>
      <c r="E4871" t="s" s="9">
        <v>14</v>
      </c>
      <c r="F4871" t="s" s="10">
        <v>14</v>
      </c>
      <c r="G4871" t="s" s="11">
        <v>14</v>
      </c>
      <c r="H4871" t="s" s="10">
        <v>14</v>
      </c>
      <c r="I4871" t="s" s="11">
        <v>14</v>
      </c>
      <c r="J4871" t="s" s="11">
        <v>14</v>
      </c>
      <c r="K4871" t="s" s="12">
        <v>14</v>
      </c>
      <c r="L4871" t="s" s="12">
        <v>14</v>
      </c>
      <c r="M4871" t="s" s="10">
        <v>14</v>
      </c>
      <c r="N4871" t="s" s="11">
        <v>14</v>
      </c>
      <c r="O4871" t="s" s="8">
        <v>14</v>
      </c>
      <c r="P4871" t="s" s="8">
        <v>14</v>
      </c>
      <c r="Q4871" t="s" s="12">
        <v>14</v>
      </c>
      <c r="R4871" t="s" s="12">
        <v>14</v>
      </c>
    </row>
    <row r="4872" s="2" customFormat="1" ht="13.5" customHeight="1">
      <c r="B4872" s="13"/>
      <c r="C4872" t="s" s="9">
        <v>23</v>
      </c>
      <c r="D4872" t="s" s="8">
        <v>1662</v>
      </c>
      <c r="E4872" t="s" s="9">
        <v>1662</v>
      </c>
      <c r="F4872" t="s" s="10">
        <v>72</v>
      </c>
      <c r="G4872" s="17">
        <v>5</v>
      </c>
      <c r="H4872" t="s" s="10">
        <v>150</v>
      </c>
      <c r="I4872" s="17">
        <v>5</v>
      </c>
      <c r="J4872" t="s" s="11">
        <v>20</v>
      </c>
      <c r="K4872" t="s" s="16">
        <f>HYPERLINK("http://csr.bu.edu/ftp/asl/asllvd/demos/verify_start_end_handshape_annotations//test_auto_move//signs_mov/15343.mov","MOV")</f>
        <v>21</v>
      </c>
      <c r="L4872" t="s" s="16">
        <f>HYPERLINK("http://csr.bu.edu/ftp/asl/asllvd/demos/verify_start_end_handshape_annotations//test_auto_move//signs_mov_separ_signers/Tyler_15343.mov","MOV")</f>
        <v>21</v>
      </c>
      <c r="M4872" t="s" s="10">
        <v>92</v>
      </c>
      <c r="N4872" s="17">
        <v>38</v>
      </c>
      <c r="O4872" s="18">
        <v>255</v>
      </c>
      <c r="P4872" s="18">
        <v>290</v>
      </c>
      <c r="Q4872" t="s" s="16">
        <f>HYPERLINK("http://secrets.rutgers.edu:8080/data/asl-ftp/asllvd/demos/verify_start_end_handshape_annotations//test_auto_move//signs_mov/15343.mov","MOV")</f>
        <v>21</v>
      </c>
      <c r="R4872" t="s" s="16">
        <f>HYPERLINK("http://secrets.rutgers.edu:8080/data/asl-ftp/asllvd/demos/verify_start_end_handshape_annotations//test_auto_move//signs_mov_separ_signers/Tyler_15343.mov","MOV")</f>
        <v>21</v>
      </c>
    </row>
    <row r="4873" s="2" customFormat="1" ht="13.5" customHeight="1">
      <c r="B4873" s="13"/>
      <c r="C4873" t="s" s="9">
        <v>30</v>
      </c>
      <c r="D4873" t="s" s="8">
        <v>1662</v>
      </c>
      <c r="E4873" t="s" s="9">
        <v>1662</v>
      </c>
      <c r="F4873" t="s" s="10">
        <v>72</v>
      </c>
      <c r="G4873" t="s" s="11">
        <v>72</v>
      </c>
      <c r="H4873" t="s" s="10">
        <v>150</v>
      </c>
      <c r="I4873" t="s" s="11">
        <v>150</v>
      </c>
      <c r="J4873" t="s" s="11">
        <v>20</v>
      </c>
      <c r="K4873" s="15"/>
      <c r="L4873" t="s" s="16">
        <f>HYPERLINK("http://csr.bu.edu/ftp/asl/asllvd/demos/verify_start_end_handshape_annotations//test_auto_move//signs_mov_separ_signers/Brady_15343.mov","MOV")</f>
        <v>21</v>
      </c>
      <c r="M4873" t="s" s="10">
        <v>39</v>
      </c>
      <c r="N4873" s="17">
        <v>26</v>
      </c>
      <c r="O4873" s="18">
        <v>7420</v>
      </c>
      <c r="P4873" s="18">
        <v>7460</v>
      </c>
      <c r="Q4873" s="15"/>
      <c r="R4873" t="s" s="16">
        <f>HYPERLINK("http://secrets.rutgers.edu:8080/data/asl-ftp/asllvd/demos/verify_start_end_handshape_annotations//test_auto_move//signs_mov_separ_signers/Brady_15343.mov","MOV")</f>
        <v>21</v>
      </c>
    </row>
    <row r="4874" s="2" customFormat="1" ht="13.5" customHeight="1">
      <c r="B4874" t="s" s="8">
        <v>1663</v>
      </c>
      <c r="C4874" t="s" s="9">
        <v>14</v>
      </c>
      <c r="D4874" t="s" s="8">
        <v>14</v>
      </c>
      <c r="E4874" t="s" s="9">
        <v>14</v>
      </c>
      <c r="F4874" t="s" s="10">
        <v>14</v>
      </c>
      <c r="G4874" t="s" s="11">
        <v>14</v>
      </c>
      <c r="H4874" t="s" s="10">
        <v>14</v>
      </c>
      <c r="I4874" t="s" s="11">
        <v>14</v>
      </c>
      <c r="J4874" t="s" s="11">
        <v>14</v>
      </c>
      <c r="K4874" t="s" s="12">
        <v>14</v>
      </c>
      <c r="L4874" t="s" s="12">
        <v>14</v>
      </c>
      <c r="M4874" t="s" s="10">
        <v>14</v>
      </c>
      <c r="N4874" t="s" s="11">
        <v>14</v>
      </c>
      <c r="O4874" t="s" s="8">
        <v>14</v>
      </c>
      <c r="P4874" t="s" s="8">
        <v>14</v>
      </c>
      <c r="Q4874" t="s" s="12">
        <v>14</v>
      </c>
      <c r="R4874" t="s" s="12">
        <v>14</v>
      </c>
    </row>
    <row r="4875" s="2" customFormat="1" ht="13.5" customHeight="1">
      <c r="B4875" s="13"/>
      <c r="C4875" t="s" s="9">
        <v>16</v>
      </c>
      <c r="D4875" t="s" s="8">
        <v>1663</v>
      </c>
      <c r="E4875" t="s" s="9">
        <v>1664</v>
      </c>
      <c r="F4875" t="s" s="10">
        <v>70</v>
      </c>
      <c r="G4875" t="s" s="11">
        <v>73</v>
      </c>
      <c r="H4875" t="s" s="10">
        <v>70</v>
      </c>
      <c r="I4875" t="s" s="11">
        <v>73</v>
      </c>
      <c r="J4875" t="s" s="11">
        <v>20</v>
      </c>
      <c r="K4875" s="15"/>
      <c r="L4875" t="s" s="16">
        <f>HYPERLINK("http://csr.bu.edu/ftp/asl/asllvd/demos/verify_start_end_handshape_annotations//test_auto_move//signs_mov_separ_signers/Liz_1052.mov","MOV")</f>
        <v>21</v>
      </c>
      <c r="M4875" t="s" s="10">
        <v>34</v>
      </c>
      <c r="N4875" s="17">
        <v>7</v>
      </c>
      <c r="O4875" s="18">
        <v>942</v>
      </c>
      <c r="P4875" s="18">
        <v>1027</v>
      </c>
      <c r="Q4875" s="15"/>
      <c r="R4875" t="s" s="16">
        <f>HYPERLINK("http://secrets.rutgers.edu:8080/data/asl-ftp/asllvd/demos/verify_start_end_handshape_annotations//test_auto_move//signs_mov_separ_signers/Liz_1052.mov","MOV")</f>
        <v>21</v>
      </c>
    </row>
    <row r="4876" s="2" customFormat="1" ht="13.5" customHeight="1">
      <c r="B4876" s="13"/>
      <c r="C4876" t="s" s="9">
        <v>16</v>
      </c>
      <c r="D4876" t="s" s="8">
        <v>1663</v>
      </c>
      <c r="E4876" t="s" s="9">
        <v>1663</v>
      </c>
      <c r="F4876" t="s" s="10">
        <v>70</v>
      </c>
      <c r="G4876" t="s" s="11">
        <v>73</v>
      </c>
      <c r="H4876" t="s" s="10">
        <v>70</v>
      </c>
      <c r="I4876" t="s" s="11">
        <v>73</v>
      </c>
      <c r="J4876" t="s" s="11">
        <v>20</v>
      </c>
      <c r="K4876" t="s" s="16">
        <f>HYPERLINK("http://csr.bu.edu/ftp/asl/asllvd/demos/verify_start_end_handshape_annotations//test_auto_move//signs_mov/1052_5063_merged.mov","MOV")</f>
        <v>21</v>
      </c>
      <c r="L4876" t="s" s="16">
        <f>HYPERLINK("http://csr.bu.edu/ftp/asl/asllvd/demos/verify_start_end_handshape_annotations//test_auto_move//signs_mov_separ_signers/Liz_5063.mov","MOV")</f>
        <v>21</v>
      </c>
      <c r="M4876" t="s" s="10">
        <v>34</v>
      </c>
      <c r="N4876" s="17">
        <v>7</v>
      </c>
      <c r="O4876" s="18">
        <v>1202</v>
      </c>
      <c r="P4876" s="18">
        <v>1251</v>
      </c>
      <c r="Q4876" t="s" s="16">
        <f>HYPERLINK("http://secrets.rutgers.edu:8080/data/asl-ftp/asllvd/demos/verify_start_end_handshape_annotations//test_auto_move//signs_mov/1052_5063_merged.mov","MOV")</f>
        <v>21</v>
      </c>
      <c r="R4876" t="s" s="16">
        <f>HYPERLINK("http://secrets.rutgers.edu:8080/data/asl-ftp/asllvd/demos/verify_start_end_handshape_annotations//test_auto_move//signs_mov_separ_signers/Liz_5063.mov","MOV")</f>
        <v>21</v>
      </c>
    </row>
    <row r="4877" s="2" customFormat="1" ht="13.5" customHeight="1">
      <c r="B4877" s="13"/>
      <c r="C4877" t="s" s="9">
        <v>27</v>
      </c>
      <c r="D4877" t="s" s="8">
        <v>1663</v>
      </c>
      <c r="E4877" t="s" s="9">
        <v>1664</v>
      </c>
      <c r="F4877" t="s" s="10">
        <v>65</v>
      </c>
      <c r="G4877" t="s" s="11">
        <v>73</v>
      </c>
      <c r="H4877" t="s" s="10">
        <v>65</v>
      </c>
      <c r="I4877" t="s" s="11">
        <v>73</v>
      </c>
      <c r="J4877" t="s" s="11">
        <v>20</v>
      </c>
      <c r="K4877" s="15"/>
      <c r="L4877" t="s" s="16">
        <f>HYPERLINK("http://csr.bu.edu/ftp/asl/asllvd/demos/verify_start_end_handshape_annotations//test_auto_move//signs_mov_separ_signers/Naomi_1052.mov","MOV")</f>
        <v>21</v>
      </c>
      <c r="M4877" t="s" s="10">
        <v>38</v>
      </c>
      <c r="N4877" s="17">
        <v>6</v>
      </c>
      <c r="O4877" s="18">
        <v>805</v>
      </c>
      <c r="P4877" s="18">
        <v>840</v>
      </c>
      <c r="Q4877" s="15"/>
      <c r="R4877" t="s" s="16">
        <f>HYPERLINK("http://secrets.rutgers.edu:8080/data/asl-ftp/asllvd/demos/verify_start_end_handshape_annotations//test_auto_move//signs_mov_separ_signers/Naomi_1052.mov","MOV")</f>
        <v>21</v>
      </c>
    </row>
    <row r="4878" s="2" customFormat="1" ht="13.5" customHeight="1">
      <c r="B4878" s="13"/>
      <c r="C4878" t="s" s="9">
        <v>27</v>
      </c>
      <c r="D4878" t="s" s="8">
        <v>1663</v>
      </c>
      <c r="E4878" t="s" s="9">
        <v>1663</v>
      </c>
      <c r="F4878" t="s" s="10">
        <v>65</v>
      </c>
      <c r="G4878" t="s" s="11">
        <v>73</v>
      </c>
      <c r="H4878" t="s" s="10">
        <v>65</v>
      </c>
      <c r="I4878" t="s" s="11">
        <v>73</v>
      </c>
      <c r="J4878" t="s" s="11">
        <v>20</v>
      </c>
      <c r="K4878" s="15"/>
      <c r="L4878" t="s" s="16">
        <f>HYPERLINK("http://csr.bu.edu/ftp/asl/asllvd/demos/verify_start_end_handshape_annotations//test_auto_move//signs_mov_separ_signers/Naomi_5063.mov","MOV")</f>
        <v>21</v>
      </c>
      <c r="M4878" t="s" s="10">
        <v>38</v>
      </c>
      <c r="N4878" s="17">
        <v>6</v>
      </c>
      <c r="O4878" s="18">
        <v>1101</v>
      </c>
      <c r="P4878" s="18">
        <v>1140</v>
      </c>
      <c r="Q4878" s="15"/>
      <c r="R4878" t="s" s="16">
        <f>HYPERLINK("http://secrets.rutgers.edu:8080/data/asl-ftp/asllvd/demos/verify_start_end_handshape_annotations//test_auto_move//signs_mov_separ_signers/Naomi_5063.mov","MOV")</f>
        <v>21</v>
      </c>
    </row>
    <row r="4879" s="2" customFormat="1" ht="13.5" customHeight="1">
      <c r="B4879" t="s" s="8">
        <v>52</v>
      </c>
      <c r="C4879" t="s" s="9">
        <v>53</v>
      </c>
      <c r="D4879" t="s" s="8">
        <v>53</v>
      </c>
      <c r="E4879" t="s" s="9">
        <v>53</v>
      </c>
      <c r="F4879" t="s" s="10">
        <v>53</v>
      </c>
      <c r="G4879" t="s" s="11">
        <v>53</v>
      </c>
      <c r="H4879" t="s" s="10">
        <v>53</v>
      </c>
      <c r="I4879" t="s" s="11">
        <v>53</v>
      </c>
      <c r="J4879" t="s" s="11">
        <v>53</v>
      </c>
      <c r="K4879" t="s" s="12">
        <v>53</v>
      </c>
      <c r="L4879" t="s" s="12">
        <v>53</v>
      </c>
      <c r="M4879" t="s" s="10">
        <v>53</v>
      </c>
      <c r="N4879" t="s" s="11">
        <v>53</v>
      </c>
      <c r="O4879" t="s" s="8">
        <v>53</v>
      </c>
      <c r="P4879" t="s" s="8">
        <v>53</v>
      </c>
      <c r="Q4879" t="s" s="12">
        <v>53</v>
      </c>
      <c r="R4879" t="s" s="12">
        <v>53</v>
      </c>
    </row>
    <row r="4880" s="2" customFormat="1" ht="13.5" customHeight="1">
      <c r="B4880" s="13"/>
      <c r="C4880" t="s" s="9">
        <v>23</v>
      </c>
      <c r="D4880" t="s" s="8">
        <v>1663</v>
      </c>
      <c r="E4880" t="s" s="9">
        <v>1665</v>
      </c>
      <c r="F4880" t="s" s="10">
        <v>337</v>
      </c>
      <c r="G4880" t="s" s="11">
        <v>73</v>
      </c>
      <c r="H4880" t="s" s="10">
        <v>337</v>
      </c>
      <c r="I4880" t="s" s="11">
        <v>73</v>
      </c>
      <c r="J4880" t="s" s="11">
        <v>20</v>
      </c>
      <c r="K4880" t="s" s="16">
        <f>HYPERLINK("http://csr.bu.edu/ftp/asl/asllvd/demos/verify_start_end_handshape_annotations//test_auto_move//signs_mov/5199_15224_merged.mov","MOV")</f>
        <v>21</v>
      </c>
      <c r="L4880" t="s" s="16">
        <f>HYPERLINK("http://csr.bu.edu/ftp/asl/asllvd/demos/verify_start_end_handshape_annotations//test_auto_move//signs_mov_separ_signers/Tyler_5199.mov","MOV")</f>
        <v>21</v>
      </c>
      <c r="M4880" t="s" s="10">
        <v>92</v>
      </c>
      <c r="N4880" s="17">
        <v>38</v>
      </c>
      <c r="O4880" s="18">
        <v>511</v>
      </c>
      <c r="P4880" s="18">
        <v>576</v>
      </c>
      <c r="Q4880" t="s" s="16">
        <f>HYPERLINK("http://secrets.rutgers.edu:8080/data/asl-ftp/asllvd/demos/verify_start_end_handshape_annotations//test_auto_move//signs_mov/5199_15224_merged.mov","MOV")</f>
        <v>21</v>
      </c>
      <c r="R4880" t="s" s="16">
        <f>HYPERLINK("http://secrets.rutgers.edu:8080/data/asl-ftp/asllvd/demos/verify_start_end_handshape_annotations//test_auto_move//signs_mov_separ_signers/Tyler_5199.mov","MOV")</f>
        <v>21</v>
      </c>
    </row>
    <row r="4881" s="2" customFormat="1" ht="13.5" customHeight="1">
      <c r="B4881" s="13"/>
      <c r="C4881" t="s" s="9">
        <v>23</v>
      </c>
      <c r="D4881" t="s" s="8">
        <v>1663</v>
      </c>
      <c r="E4881" t="s" s="9">
        <v>1665</v>
      </c>
      <c r="F4881" t="s" s="10">
        <v>337</v>
      </c>
      <c r="G4881" t="s" s="11">
        <v>73</v>
      </c>
      <c r="H4881" t="s" s="10">
        <v>337</v>
      </c>
      <c r="I4881" t="s" s="11">
        <v>73</v>
      </c>
      <c r="J4881" t="s" s="11">
        <v>20</v>
      </c>
      <c r="K4881" s="15"/>
      <c r="L4881" t="s" s="16">
        <f>HYPERLINK("http://csr.bu.edu/ftp/asl/asllvd/demos/verify_start_end_handshape_annotations//test_auto_move//signs_mov_separ_signers/Tyler_15224.mov","MOV")</f>
        <v>21</v>
      </c>
      <c r="M4881" t="s" s="10">
        <v>92</v>
      </c>
      <c r="N4881" s="17">
        <v>38</v>
      </c>
      <c r="O4881" s="18">
        <v>900</v>
      </c>
      <c r="P4881" s="18">
        <v>957</v>
      </c>
      <c r="Q4881" s="15"/>
      <c r="R4881" t="s" s="16">
        <f>HYPERLINK("http://secrets.rutgers.edu:8080/data/asl-ftp/asllvd/demos/verify_start_end_handshape_annotations//test_auto_move//signs_mov_separ_signers/Tyler_15224.mov","MOV")</f>
        <v>21</v>
      </c>
    </row>
    <row r="4882" s="2" customFormat="1" ht="13.5" customHeight="1">
      <c r="B4882" t="s" s="8">
        <v>1666</v>
      </c>
      <c r="C4882" t="s" s="9">
        <v>14</v>
      </c>
      <c r="D4882" t="s" s="8">
        <v>14</v>
      </c>
      <c r="E4882" t="s" s="9">
        <v>14</v>
      </c>
      <c r="F4882" t="s" s="10">
        <v>14</v>
      </c>
      <c r="G4882" t="s" s="11">
        <v>14</v>
      </c>
      <c r="H4882" t="s" s="10">
        <v>14</v>
      </c>
      <c r="I4882" t="s" s="11">
        <v>14</v>
      </c>
      <c r="J4882" t="s" s="11">
        <v>14</v>
      </c>
      <c r="K4882" t="s" s="12">
        <v>14</v>
      </c>
      <c r="L4882" t="s" s="12">
        <v>14</v>
      </c>
      <c r="M4882" t="s" s="10">
        <v>14</v>
      </c>
      <c r="N4882" t="s" s="11">
        <v>14</v>
      </c>
      <c r="O4882" t="s" s="8">
        <v>14</v>
      </c>
      <c r="P4882" t="s" s="8">
        <v>14</v>
      </c>
      <c r="Q4882" t="s" s="12">
        <v>14</v>
      </c>
      <c r="R4882" t="s" s="12">
        <v>14</v>
      </c>
    </row>
    <row r="4883" s="2" customFormat="1" ht="13.5" customHeight="1">
      <c r="B4883" s="13"/>
      <c r="C4883" t="s" s="9">
        <v>16</v>
      </c>
      <c r="D4883" t="s" s="8">
        <v>1666</v>
      </c>
      <c r="E4883" t="s" s="9">
        <v>1666</v>
      </c>
      <c r="F4883" s="19">
        <v>1</v>
      </c>
      <c r="G4883" s="17">
        <v>1</v>
      </c>
      <c r="H4883" s="19">
        <v>1</v>
      </c>
      <c r="I4883" s="17">
        <v>1</v>
      </c>
      <c r="J4883" t="s" s="11">
        <v>20</v>
      </c>
      <c r="K4883" s="15"/>
      <c r="L4883" t="s" s="16">
        <f>HYPERLINK("http://csr.bu.edu/ftp/asl/asllvd/demos/verify_start_end_handshape_annotations//test_auto_move//signs_mov_separ_signers/Liz_1062.mov","MOV")</f>
        <v>21</v>
      </c>
      <c r="M4883" t="s" s="10">
        <v>34</v>
      </c>
      <c r="N4883" s="17">
        <v>8</v>
      </c>
      <c r="O4883" s="18">
        <v>886</v>
      </c>
      <c r="P4883" s="18">
        <v>931</v>
      </c>
      <c r="Q4883" s="15"/>
      <c r="R4883" t="s" s="16">
        <f>HYPERLINK("http://secrets.rutgers.edu:8080/data/asl-ftp/asllvd/demos/verify_start_end_handshape_annotations//test_auto_move//signs_mov_separ_signers/Liz_1062.mov","MOV")</f>
        <v>21</v>
      </c>
    </row>
    <row r="4884" s="2" customFormat="1" ht="13.5" customHeight="1">
      <c r="B4884" s="13"/>
      <c r="C4884" t="s" s="9">
        <v>16</v>
      </c>
      <c r="D4884" t="s" s="8">
        <v>1666</v>
      </c>
      <c r="E4884" t="s" s="9">
        <v>1666</v>
      </c>
      <c r="F4884" s="19">
        <v>1</v>
      </c>
      <c r="G4884" s="17">
        <v>1</v>
      </c>
      <c r="H4884" s="19">
        <v>1</v>
      </c>
      <c r="I4884" s="17">
        <v>1</v>
      </c>
      <c r="J4884" t="s" s="11">
        <v>20</v>
      </c>
      <c r="K4884" s="15"/>
      <c r="L4884" t="s" s="16">
        <f>HYPERLINK("http://csr.bu.edu/ftp/asl/asllvd/demos/verify_start_end_handshape_annotations//test_auto_move//signs_mov_separ_signers/Liz_3800.mov","MOV")</f>
        <v>21</v>
      </c>
      <c r="M4884" t="s" s="10">
        <v>36</v>
      </c>
      <c r="N4884" s="17">
        <v>40</v>
      </c>
      <c r="O4884" s="18">
        <v>1585</v>
      </c>
      <c r="P4884" s="18">
        <v>1625</v>
      </c>
      <c r="Q4884" s="15"/>
      <c r="R4884" t="s" s="16">
        <f>HYPERLINK("http://secrets.rutgers.edu:8080/data/asl-ftp/asllvd/demos/verify_start_end_handshape_annotations//test_auto_move//signs_mov_separ_signers/Liz_3800.mov","MOV")</f>
        <v>21</v>
      </c>
    </row>
    <row r="4885" s="2" customFormat="1" ht="13.5" customHeight="1">
      <c r="B4885" s="13"/>
      <c r="C4885" t="s" s="9">
        <v>16</v>
      </c>
      <c r="D4885" t="s" s="8">
        <v>1666</v>
      </c>
      <c r="E4885" t="s" s="9">
        <v>1666</v>
      </c>
      <c r="F4885" s="19">
        <v>1</v>
      </c>
      <c r="G4885" s="17">
        <v>1</v>
      </c>
      <c r="H4885" s="19">
        <v>1</v>
      </c>
      <c r="I4885" s="17">
        <v>1</v>
      </c>
      <c r="J4885" t="s" s="11">
        <v>20</v>
      </c>
      <c r="K4885" s="15"/>
      <c r="L4885" t="s" s="16">
        <f>HYPERLINK("http://csr.bu.edu/ftp/asl/asllvd/demos/verify_start_end_handshape_annotations//test_auto_move//signs_mov_separ_signers/Liz_15736.mov","MOV")</f>
        <v>21</v>
      </c>
      <c r="M4885" t="s" s="10">
        <v>59</v>
      </c>
      <c r="N4885" s="17">
        <v>21</v>
      </c>
      <c r="O4885" s="18">
        <v>1545</v>
      </c>
      <c r="P4885" s="18">
        <v>1577</v>
      </c>
      <c r="Q4885" s="15"/>
      <c r="R4885" t="s" s="16">
        <f>HYPERLINK("http://secrets.rutgers.edu:8080/data/asl-ftp/asllvd/demos/verify_start_end_handshape_annotations//test_auto_move//signs_mov_separ_signers/Liz_15736.mov","MOV")</f>
        <v>21</v>
      </c>
    </row>
    <row r="4886" s="2" customFormat="1" ht="13.5" customHeight="1">
      <c r="B4886" s="13"/>
      <c r="C4886" t="s" s="9">
        <v>23</v>
      </c>
      <c r="D4886" t="s" s="8">
        <v>1666</v>
      </c>
      <c r="E4886" t="s" s="9">
        <v>1666</v>
      </c>
      <c r="F4886" s="19">
        <v>1</v>
      </c>
      <c r="G4886" s="17">
        <v>1</v>
      </c>
      <c r="H4886" s="19">
        <v>1</v>
      </c>
      <c r="I4886" s="17">
        <v>1</v>
      </c>
      <c r="J4886" t="s" s="11">
        <v>20</v>
      </c>
      <c r="K4886" t="s" s="16">
        <f>HYPERLINK("http://csr.bu.edu/ftp/asl/asllvd/demos/verify_start_end_handshape_annotations//test_auto_move//signs_mov/1062_3800_15736_merged.mov","MOV")</f>
        <v>21</v>
      </c>
      <c r="L4886" t="s" s="16">
        <f>HYPERLINK("http://csr.bu.edu/ftp/asl/asllvd/demos/verify_start_end_handshape_annotations//test_auto_move//signs_mov_separ_signers/Tyler_1062.mov","MOV")</f>
        <v>21</v>
      </c>
      <c r="M4886" t="s" s="10">
        <v>92</v>
      </c>
      <c r="N4886" s="17">
        <v>39</v>
      </c>
      <c r="O4886" s="18">
        <v>540</v>
      </c>
      <c r="P4886" s="18">
        <v>567</v>
      </c>
      <c r="Q4886" t="s" s="16">
        <f>HYPERLINK("http://secrets.rutgers.edu:8080/data/asl-ftp/asllvd/demos/verify_start_end_handshape_annotations//test_auto_move//signs_mov/1062_3800_15736_merged.mov","MOV")</f>
        <v>21</v>
      </c>
      <c r="R4886" t="s" s="16">
        <f>HYPERLINK("http://secrets.rutgers.edu:8080/data/asl-ftp/asllvd/demos/verify_start_end_handshape_annotations//test_auto_move//signs_mov_separ_signers/Tyler_1062.mov","MOV")</f>
        <v>21</v>
      </c>
    </row>
    <row r="4887" s="2" customFormat="1" ht="13.5" customHeight="1">
      <c r="B4887" s="13"/>
      <c r="C4887" t="s" s="9">
        <v>27</v>
      </c>
      <c r="D4887" t="s" s="8">
        <v>1666</v>
      </c>
      <c r="E4887" t="s" s="9">
        <v>1666</v>
      </c>
      <c r="F4887" s="19">
        <v>1</v>
      </c>
      <c r="G4887" t="s" s="11">
        <v>51</v>
      </c>
      <c r="H4887" s="19">
        <v>1</v>
      </c>
      <c r="I4887" t="s" s="11">
        <v>51</v>
      </c>
      <c r="J4887" t="s" s="11">
        <v>20</v>
      </c>
      <c r="K4887" s="15"/>
      <c r="L4887" t="s" s="16">
        <f>HYPERLINK("http://csr.bu.edu/ftp/asl/asllvd/demos/verify_start_end_handshape_annotations//test_auto_move//signs_mov_separ_signers/Naomi_1062.mov","MOV")</f>
        <v>21</v>
      </c>
      <c r="M4887" t="s" s="10">
        <v>38</v>
      </c>
      <c r="N4887" s="17">
        <v>7</v>
      </c>
      <c r="O4887" s="18">
        <v>1046</v>
      </c>
      <c r="P4887" s="18">
        <v>1075</v>
      </c>
      <c r="Q4887" s="15"/>
      <c r="R4887" t="s" s="16">
        <f>HYPERLINK("http://secrets.rutgers.edu:8080/data/asl-ftp/asllvd/demos/verify_start_end_handshape_annotations//test_auto_move//signs_mov_separ_signers/Naomi_1062.mov","MOV")</f>
        <v>21</v>
      </c>
    </row>
    <row r="4888" s="2" customFormat="1" ht="13.5" customHeight="1">
      <c r="B4888" s="13"/>
      <c r="C4888" t="s" s="9">
        <v>30</v>
      </c>
      <c r="D4888" t="s" s="8">
        <v>1666</v>
      </c>
      <c r="E4888" t="s" s="9">
        <v>1666</v>
      </c>
      <c r="F4888" s="19">
        <v>1</v>
      </c>
      <c r="G4888" s="17">
        <v>1</v>
      </c>
      <c r="H4888" s="19">
        <v>1</v>
      </c>
      <c r="I4888" s="17">
        <v>1</v>
      </c>
      <c r="J4888" t="s" s="11">
        <v>20</v>
      </c>
      <c r="K4888" s="15"/>
      <c r="L4888" t="s" s="16">
        <f>HYPERLINK("http://csr.bu.edu/ftp/asl/asllvd/demos/verify_start_end_handshape_annotations//test_auto_move//signs_mov_separ_signers/Brady_1062.mov","MOV")</f>
        <v>21</v>
      </c>
      <c r="M4888" t="s" s="10">
        <v>39</v>
      </c>
      <c r="N4888" s="17">
        <v>27</v>
      </c>
      <c r="O4888" s="18">
        <v>1856</v>
      </c>
      <c r="P4888" s="18">
        <v>1871</v>
      </c>
      <c r="Q4888" s="15"/>
      <c r="R4888" t="s" s="16">
        <f>HYPERLINK("http://secrets.rutgers.edu:8080/data/asl-ftp/asllvd/demos/verify_start_end_handshape_annotations//test_auto_move//signs_mov_separ_signers/Brady_1062.mov","MOV")</f>
        <v>21</v>
      </c>
    </row>
    <row r="4889" s="2" customFormat="1" ht="13.5" customHeight="1">
      <c r="B4889" s="13"/>
      <c r="C4889" t="s" s="9">
        <v>30</v>
      </c>
      <c r="D4889" t="s" s="8">
        <v>1666</v>
      </c>
      <c r="E4889" t="s" s="9">
        <v>1666</v>
      </c>
      <c r="F4889" s="19">
        <v>1</v>
      </c>
      <c r="G4889" s="17">
        <v>1</v>
      </c>
      <c r="H4889" s="19">
        <v>1</v>
      </c>
      <c r="I4889" s="17">
        <v>1</v>
      </c>
      <c r="J4889" t="s" s="11">
        <v>20</v>
      </c>
      <c r="K4889" s="15"/>
      <c r="L4889" t="s" s="16">
        <f>HYPERLINK("http://csr.bu.edu/ftp/asl/asllvd/demos/verify_start_end_handshape_annotations//test_auto_move//signs_mov_separ_signers/Brady_3800.mov","MOV")</f>
        <v>21</v>
      </c>
      <c r="M4889" t="s" s="10">
        <v>40</v>
      </c>
      <c r="N4889" s="17">
        <v>92</v>
      </c>
      <c r="O4889" s="18">
        <v>2894</v>
      </c>
      <c r="P4889" s="18">
        <v>2920</v>
      </c>
      <c r="Q4889" s="15"/>
      <c r="R4889" t="s" s="16">
        <f>HYPERLINK("http://secrets.rutgers.edu:8080/data/asl-ftp/asllvd/demos/verify_start_end_handshape_annotations//test_auto_move//signs_mov_separ_signers/Brady_3800.mov","MOV")</f>
        <v>21</v>
      </c>
    </row>
    <row r="4890" s="2" customFormat="1" ht="13.5" customHeight="1">
      <c r="B4890" s="13"/>
      <c r="C4890" t="s" s="9">
        <v>30</v>
      </c>
      <c r="D4890" t="s" s="8">
        <v>1666</v>
      </c>
      <c r="E4890" t="s" s="9">
        <v>1666</v>
      </c>
      <c r="F4890" s="19">
        <v>1</v>
      </c>
      <c r="G4890" s="17">
        <v>1</v>
      </c>
      <c r="H4890" s="19">
        <v>1</v>
      </c>
      <c r="I4890" s="17">
        <v>1</v>
      </c>
      <c r="J4890" t="s" s="11">
        <v>20</v>
      </c>
      <c r="K4890" s="15"/>
      <c r="L4890" t="s" s="16">
        <f>HYPERLINK("http://csr.bu.edu/ftp/asl/asllvd/demos/verify_start_end_handshape_annotations//test_auto_move//signs_mov_separ_signers/Brady_15736.mov","MOV")</f>
        <v>21</v>
      </c>
      <c r="M4890" t="s" s="10">
        <v>60</v>
      </c>
      <c r="N4890" s="17">
        <v>9</v>
      </c>
      <c r="O4890" s="18">
        <v>1316</v>
      </c>
      <c r="P4890" s="18">
        <v>1340</v>
      </c>
      <c r="Q4890" s="15"/>
      <c r="R4890" t="s" s="16">
        <f>HYPERLINK("http://secrets.rutgers.edu:8080/data/asl-ftp/asllvd/demos/verify_start_end_handshape_annotations//test_auto_move//signs_mov_separ_signers/Brady_15736.mov","MOV")</f>
        <v>21</v>
      </c>
    </row>
    <row r="4891" s="2" customFormat="1" ht="13.5" customHeight="1">
      <c r="B4891" t="s" s="8">
        <v>1667</v>
      </c>
      <c r="C4891" t="s" s="9">
        <v>14</v>
      </c>
      <c r="D4891" t="s" s="8">
        <v>14</v>
      </c>
      <c r="E4891" t="s" s="9">
        <v>14</v>
      </c>
      <c r="F4891" t="s" s="10">
        <v>14</v>
      </c>
      <c r="G4891" t="s" s="11">
        <v>14</v>
      </c>
      <c r="H4891" t="s" s="10">
        <v>14</v>
      </c>
      <c r="I4891" t="s" s="11">
        <v>14</v>
      </c>
      <c r="J4891" t="s" s="11">
        <v>14</v>
      </c>
      <c r="K4891" t="s" s="12">
        <v>14</v>
      </c>
      <c r="L4891" t="s" s="12">
        <v>14</v>
      </c>
      <c r="M4891" t="s" s="10">
        <v>14</v>
      </c>
      <c r="N4891" t="s" s="11">
        <v>14</v>
      </c>
      <c r="O4891" t="s" s="8">
        <v>14</v>
      </c>
      <c r="P4891" t="s" s="8">
        <v>14</v>
      </c>
      <c r="Q4891" t="s" s="12">
        <v>14</v>
      </c>
      <c r="R4891" t="s" s="12">
        <v>14</v>
      </c>
    </row>
    <row r="4892" s="2" customFormat="1" ht="13.5" customHeight="1">
      <c r="B4892" s="13"/>
      <c r="C4892" t="s" s="9">
        <v>16</v>
      </c>
      <c r="D4892" t="s" s="8">
        <v>1667</v>
      </c>
      <c r="E4892" t="s" s="9">
        <v>1667</v>
      </c>
      <c r="F4892" t="s" s="10">
        <v>517</v>
      </c>
      <c r="G4892" s="14"/>
      <c r="H4892" t="s" s="10">
        <v>229</v>
      </c>
      <c r="I4892" s="14"/>
      <c r="J4892" t="s" s="11">
        <v>20</v>
      </c>
      <c r="K4892" s="15"/>
      <c r="L4892" t="s" s="16">
        <f>HYPERLINK("http://csr.bu.edu/ftp/asl/asllvd/demos/verify_start_end_handshape_annotations//test_auto_move//signs_mov_separ_signers/Liz_1063.mov","MOV")</f>
        <v>21</v>
      </c>
      <c r="M4892" t="s" s="10">
        <v>34</v>
      </c>
      <c r="N4892" s="17">
        <v>8</v>
      </c>
      <c r="O4892" s="18">
        <v>1090</v>
      </c>
      <c r="P4892" s="18">
        <v>1127</v>
      </c>
      <c r="Q4892" s="15"/>
      <c r="R4892" t="s" s="16">
        <f>HYPERLINK("http://secrets.rutgers.edu:8080/data/asl-ftp/asllvd/demos/verify_start_end_handshape_annotations//test_auto_move//signs_mov_separ_signers/Liz_1063.mov","MOV")</f>
        <v>21</v>
      </c>
    </row>
    <row r="4893" s="2" customFormat="1" ht="13.5" customHeight="1">
      <c r="B4893" s="13"/>
      <c r="C4893" t="s" s="9">
        <v>23</v>
      </c>
      <c r="D4893" t="s" s="8">
        <v>1667</v>
      </c>
      <c r="E4893" t="s" s="9">
        <v>1667</v>
      </c>
      <c r="F4893" t="s" s="10">
        <v>517</v>
      </c>
      <c r="G4893" s="14"/>
      <c r="H4893" t="s" s="10">
        <v>229</v>
      </c>
      <c r="I4893" s="14"/>
      <c r="J4893" t="s" s="11">
        <v>20</v>
      </c>
      <c r="K4893" t="s" s="16">
        <f>HYPERLINK("http://csr.bu.edu/ftp/asl/asllvd/demos/verify_start_end_handshape_annotations//test_auto_move//signs_mov/1063.mov","MOV")</f>
        <v>21</v>
      </c>
      <c r="L4893" t="s" s="16">
        <f>HYPERLINK("http://csr.bu.edu/ftp/asl/asllvd/demos/verify_start_end_handshape_annotations//test_auto_move//signs_mov_separ_signers/Tyler_1063.mov","MOV")</f>
        <v>21</v>
      </c>
      <c r="M4893" t="s" s="10">
        <v>92</v>
      </c>
      <c r="N4893" s="17">
        <v>39</v>
      </c>
      <c r="O4893" s="18">
        <v>731</v>
      </c>
      <c r="P4893" s="18">
        <v>760</v>
      </c>
      <c r="Q4893" t="s" s="16">
        <f>HYPERLINK("http://secrets.rutgers.edu:8080/data/asl-ftp/asllvd/demos/verify_start_end_handshape_annotations//test_auto_move//signs_mov/1063.mov","MOV")</f>
        <v>21</v>
      </c>
      <c r="R4893" t="s" s="16">
        <f>HYPERLINK("http://secrets.rutgers.edu:8080/data/asl-ftp/asllvd/demos/verify_start_end_handshape_annotations//test_auto_move//signs_mov_separ_signers/Tyler_1063.mov","MOV")</f>
        <v>21</v>
      </c>
    </row>
    <row r="4894" s="2" customFormat="1" ht="13.5" customHeight="1">
      <c r="B4894" s="13"/>
      <c r="C4894" t="s" s="9">
        <v>30</v>
      </c>
      <c r="D4894" t="s" s="8">
        <v>1667</v>
      </c>
      <c r="E4894" t="s" s="9">
        <v>1667</v>
      </c>
      <c r="F4894" t="s" s="10">
        <v>20</v>
      </c>
      <c r="G4894" s="14"/>
      <c r="H4894" t="s" s="10">
        <v>229</v>
      </c>
      <c r="I4894" s="14"/>
      <c r="J4894" t="s" s="11">
        <v>20</v>
      </c>
      <c r="K4894" s="15"/>
      <c r="L4894" t="s" s="16">
        <f>HYPERLINK("http://csr.bu.edu/ftp/asl/asllvd/demos/verify_start_end_handshape_annotations//test_auto_move//signs_mov_separ_signers/Brady_1063.mov","MOV")</f>
        <v>21</v>
      </c>
      <c r="M4894" t="s" s="10">
        <v>39</v>
      </c>
      <c r="N4894" s="17">
        <v>27</v>
      </c>
      <c r="O4894" s="18">
        <v>2071</v>
      </c>
      <c r="P4894" s="18">
        <v>2092</v>
      </c>
      <c r="Q4894" s="15"/>
      <c r="R4894" t="s" s="16">
        <f>HYPERLINK("http://secrets.rutgers.edu:8080/data/asl-ftp/asllvd/demos/verify_start_end_handshape_annotations//test_auto_move//signs_mov_separ_signers/Brady_1063.mov","MOV")</f>
        <v>21</v>
      </c>
    </row>
    <row r="4895" s="2" customFormat="1" ht="13.5" customHeight="1">
      <c r="B4895" t="s" s="8">
        <v>1668</v>
      </c>
      <c r="C4895" t="s" s="9">
        <v>14</v>
      </c>
      <c r="D4895" t="s" s="8">
        <v>14</v>
      </c>
      <c r="E4895" t="s" s="9">
        <v>14</v>
      </c>
      <c r="F4895" t="s" s="10">
        <v>14</v>
      </c>
      <c r="G4895" t="s" s="11">
        <v>14</v>
      </c>
      <c r="H4895" t="s" s="10">
        <v>14</v>
      </c>
      <c r="I4895" t="s" s="11">
        <v>14</v>
      </c>
      <c r="J4895" t="s" s="11">
        <v>14</v>
      </c>
      <c r="K4895" t="s" s="12">
        <v>14</v>
      </c>
      <c r="L4895" t="s" s="12">
        <v>14</v>
      </c>
      <c r="M4895" t="s" s="10">
        <v>14</v>
      </c>
      <c r="N4895" t="s" s="11">
        <v>14</v>
      </c>
      <c r="O4895" t="s" s="8">
        <v>14</v>
      </c>
      <c r="P4895" t="s" s="8">
        <v>14</v>
      </c>
      <c r="Q4895" t="s" s="12">
        <v>14</v>
      </c>
      <c r="R4895" t="s" s="12">
        <v>14</v>
      </c>
    </row>
    <row r="4896" s="2" customFormat="1" ht="13.5" customHeight="1">
      <c r="B4896" s="13"/>
      <c r="C4896" t="s" s="9">
        <v>16</v>
      </c>
      <c r="D4896" t="s" s="8">
        <v>1668</v>
      </c>
      <c r="E4896" t="s" s="9">
        <v>1668</v>
      </c>
      <c r="F4896" t="s" s="10">
        <v>55</v>
      </c>
      <c r="G4896" s="14"/>
      <c r="H4896" t="s" s="10">
        <v>55</v>
      </c>
      <c r="I4896" s="14"/>
      <c r="J4896" t="s" s="11">
        <v>20</v>
      </c>
      <c r="K4896" s="15"/>
      <c r="L4896" t="s" s="16">
        <f>HYPERLINK("http://csr.bu.edu/ftp/asl/asllvd/demos/verify_start_end_handshape_annotations//test_auto_move//signs_mov_separ_signers/Liz_1064.mov","MOV")</f>
        <v>21</v>
      </c>
      <c r="M4896" t="s" s="10">
        <v>34</v>
      </c>
      <c r="N4896" s="17">
        <v>8</v>
      </c>
      <c r="O4896" s="18">
        <v>1305</v>
      </c>
      <c r="P4896" s="18">
        <v>1346</v>
      </c>
      <c r="Q4896" s="15"/>
      <c r="R4896" t="s" s="16">
        <f>HYPERLINK("http://secrets.rutgers.edu:8080/data/asl-ftp/asllvd/demos/verify_start_end_handshape_annotations//test_auto_move//signs_mov_separ_signers/Liz_1064.mov","MOV")</f>
        <v>21</v>
      </c>
    </row>
    <row r="4897" s="2" customFormat="1" ht="13.5" customHeight="1">
      <c r="B4897" s="13"/>
      <c r="C4897" t="s" s="9">
        <v>23</v>
      </c>
      <c r="D4897" t="s" s="8">
        <v>1668</v>
      </c>
      <c r="E4897" t="s" s="9">
        <v>1668</v>
      </c>
      <c r="F4897" t="s" s="10">
        <v>109</v>
      </c>
      <c r="G4897" s="14"/>
      <c r="H4897" t="s" s="10">
        <v>109</v>
      </c>
      <c r="I4897" s="14"/>
      <c r="J4897" t="s" s="11">
        <v>20</v>
      </c>
      <c r="K4897" t="s" s="16">
        <f>HYPERLINK("http://csr.bu.edu/ftp/asl/asllvd/demos/verify_start_end_handshape_annotations//test_auto_move//signs_mov/1064.mov","MOV")</f>
        <v>21</v>
      </c>
      <c r="L4897" t="s" s="16">
        <f>HYPERLINK("http://csr.bu.edu/ftp/asl/asllvd/demos/verify_start_end_handshape_annotations//test_auto_move//signs_mov_separ_signers/Tyler_1064.mov","MOV")</f>
        <v>21</v>
      </c>
      <c r="M4897" t="s" s="10">
        <v>92</v>
      </c>
      <c r="N4897" s="17">
        <v>39</v>
      </c>
      <c r="O4897" s="18">
        <v>925</v>
      </c>
      <c r="P4897" s="18">
        <v>950</v>
      </c>
      <c r="Q4897" t="s" s="16">
        <f>HYPERLINK("http://secrets.rutgers.edu:8080/data/asl-ftp/asllvd/demos/verify_start_end_handshape_annotations//test_auto_move//signs_mov/1064.mov","MOV")</f>
        <v>21</v>
      </c>
      <c r="R4897" t="s" s="16">
        <f>HYPERLINK("http://secrets.rutgers.edu:8080/data/asl-ftp/asllvd/demos/verify_start_end_handshape_annotations//test_auto_move//signs_mov_separ_signers/Tyler_1064.mov","MOV")</f>
        <v>21</v>
      </c>
    </row>
    <row r="4898" s="2" customFormat="1" ht="13.5" customHeight="1">
      <c r="B4898" s="13"/>
      <c r="C4898" t="s" s="9">
        <v>27</v>
      </c>
      <c r="D4898" t="s" s="8">
        <v>1668</v>
      </c>
      <c r="E4898" t="s" s="9">
        <v>1668</v>
      </c>
      <c r="F4898" t="s" s="10">
        <v>73</v>
      </c>
      <c r="G4898" s="14"/>
      <c r="H4898" t="s" s="10">
        <v>73</v>
      </c>
      <c r="I4898" s="14"/>
      <c r="J4898" t="s" s="11">
        <v>20</v>
      </c>
      <c r="K4898" s="15"/>
      <c r="L4898" t="s" s="16">
        <f>HYPERLINK("http://csr.bu.edu/ftp/asl/asllvd/demos/verify_start_end_handshape_annotations//test_auto_move//signs_mov_separ_signers/Naomi_1064.mov","MOV")</f>
        <v>21</v>
      </c>
      <c r="M4898" t="s" s="10">
        <v>38</v>
      </c>
      <c r="N4898" s="17">
        <v>7</v>
      </c>
      <c r="O4898" s="18">
        <v>1647</v>
      </c>
      <c r="P4898" s="18">
        <v>1670</v>
      </c>
      <c r="Q4898" s="15"/>
      <c r="R4898" t="s" s="16">
        <f>HYPERLINK("http://secrets.rutgers.edu:8080/data/asl-ftp/asllvd/demos/verify_start_end_handshape_annotations//test_auto_move//signs_mov_separ_signers/Naomi_1064.mov","MOV")</f>
        <v>21</v>
      </c>
    </row>
    <row r="4899" s="2" customFormat="1" ht="13.5" customHeight="1">
      <c r="B4899" s="13"/>
      <c r="C4899" t="s" s="9">
        <v>30</v>
      </c>
      <c r="D4899" t="s" s="8">
        <v>1668</v>
      </c>
      <c r="E4899" t="s" s="9">
        <v>1668</v>
      </c>
      <c r="F4899" t="s" s="10">
        <v>55</v>
      </c>
      <c r="G4899" s="14"/>
      <c r="H4899" t="s" s="10">
        <v>55</v>
      </c>
      <c r="I4899" s="14"/>
      <c r="J4899" t="s" s="11">
        <v>20</v>
      </c>
      <c r="K4899" s="15"/>
      <c r="L4899" t="s" s="16">
        <f>HYPERLINK("http://csr.bu.edu/ftp/asl/asllvd/demos/verify_start_end_handshape_annotations//test_auto_move//signs_mov_separ_signers/Brady_1064.mov","MOV")</f>
        <v>21</v>
      </c>
      <c r="M4899" t="s" s="10">
        <v>39</v>
      </c>
      <c r="N4899" s="17">
        <v>27</v>
      </c>
      <c r="O4899" s="18">
        <v>2525</v>
      </c>
      <c r="P4899" s="18">
        <v>2545</v>
      </c>
      <c r="Q4899" s="15"/>
      <c r="R4899" t="s" s="16">
        <f>HYPERLINK("http://secrets.rutgers.edu:8080/data/asl-ftp/asllvd/demos/verify_start_end_handshape_annotations//test_auto_move//signs_mov_separ_signers/Brady_1064.mov","MOV")</f>
        <v>21</v>
      </c>
    </row>
    <row r="4900" s="2" customFormat="1" ht="13.5" customHeight="1">
      <c r="B4900" t="s" s="8">
        <v>1669</v>
      </c>
      <c r="C4900" t="s" s="9">
        <v>14</v>
      </c>
      <c r="D4900" t="s" s="8">
        <v>14</v>
      </c>
      <c r="E4900" t="s" s="9">
        <v>14</v>
      </c>
      <c r="F4900" t="s" s="10">
        <v>14</v>
      </c>
      <c r="G4900" t="s" s="11">
        <v>14</v>
      </c>
      <c r="H4900" t="s" s="10">
        <v>14</v>
      </c>
      <c r="I4900" t="s" s="11">
        <v>14</v>
      </c>
      <c r="J4900" t="s" s="11">
        <v>14</v>
      </c>
      <c r="K4900" t="s" s="12">
        <v>14</v>
      </c>
      <c r="L4900" t="s" s="12">
        <v>14</v>
      </c>
      <c r="M4900" t="s" s="10">
        <v>14</v>
      </c>
      <c r="N4900" t="s" s="11">
        <v>14</v>
      </c>
      <c r="O4900" t="s" s="8">
        <v>14</v>
      </c>
      <c r="P4900" t="s" s="8">
        <v>14</v>
      </c>
      <c r="Q4900" t="s" s="12">
        <v>14</v>
      </c>
      <c r="R4900" t="s" s="12">
        <v>14</v>
      </c>
    </row>
    <row r="4901" s="2" customFormat="1" ht="13.5" customHeight="1">
      <c r="B4901" s="13"/>
      <c r="C4901" t="s" s="9">
        <v>16</v>
      </c>
      <c r="D4901" t="s" s="8">
        <v>1669</v>
      </c>
      <c r="E4901" t="s" s="9">
        <v>1669</v>
      </c>
      <c r="F4901" t="s" s="10">
        <v>63</v>
      </c>
      <c r="G4901" t="s" s="11">
        <v>65</v>
      </c>
      <c r="H4901" t="s" s="10">
        <v>63</v>
      </c>
      <c r="I4901" t="s" s="11">
        <v>65</v>
      </c>
      <c r="J4901" t="s" s="11">
        <v>20</v>
      </c>
      <c r="K4901" s="15"/>
      <c r="L4901" t="s" s="16">
        <f>HYPERLINK("http://csr.bu.edu/ftp/asl/asllvd/demos/verify_start_end_handshape_annotations//test_auto_move//signs_mov_separ_signers/Liz_1066.mov","MOV")</f>
        <v>21</v>
      </c>
      <c r="M4901" t="s" s="10">
        <v>34</v>
      </c>
      <c r="N4901" s="17">
        <v>8</v>
      </c>
      <c r="O4901" s="18">
        <v>1785</v>
      </c>
      <c r="P4901" s="18">
        <v>1842</v>
      </c>
      <c r="Q4901" s="15"/>
      <c r="R4901" t="s" s="16">
        <f>HYPERLINK("http://secrets.rutgers.edu:8080/data/asl-ftp/asllvd/demos/verify_start_end_handshape_annotations//test_auto_move//signs_mov_separ_signers/Liz_1066.mov","MOV")</f>
        <v>21</v>
      </c>
    </row>
    <row r="4902" s="2" customFormat="1" ht="13.5" customHeight="1">
      <c r="B4902" s="13"/>
      <c r="C4902" t="s" s="9">
        <v>23</v>
      </c>
      <c r="D4902" t="s" s="8">
        <v>1669</v>
      </c>
      <c r="E4902" t="s" s="9">
        <v>1669</v>
      </c>
      <c r="F4902" t="s" s="10">
        <v>65</v>
      </c>
      <c r="G4902" t="s" s="11">
        <v>65</v>
      </c>
      <c r="H4902" t="s" s="10">
        <v>65</v>
      </c>
      <c r="I4902" t="s" s="11">
        <v>65</v>
      </c>
      <c r="J4902" t="s" s="11">
        <v>20</v>
      </c>
      <c r="K4902" t="s" s="16">
        <f>HYPERLINK("http://csr.bu.edu/ftp/asl/asllvd/demos/verify_start_end_handshape_annotations//test_auto_move//signs_mov/1066.mov","MOV")</f>
        <v>21</v>
      </c>
      <c r="L4902" t="s" s="16">
        <f>HYPERLINK("http://csr.bu.edu/ftp/asl/asllvd/demos/verify_start_end_handshape_annotations//test_auto_move//signs_mov_separ_signers/Tyler_1066.mov","MOV")</f>
        <v>21</v>
      </c>
      <c r="M4902" t="s" s="10">
        <v>92</v>
      </c>
      <c r="N4902" s="17">
        <v>39</v>
      </c>
      <c r="O4902" s="18">
        <v>1390</v>
      </c>
      <c r="P4902" s="18">
        <v>1420</v>
      </c>
      <c r="Q4902" t="s" s="16">
        <f>HYPERLINK("http://secrets.rutgers.edu:8080/data/asl-ftp/asllvd/demos/verify_start_end_handshape_annotations//test_auto_move//signs_mov/1066.mov","MOV")</f>
        <v>21</v>
      </c>
      <c r="R4902" t="s" s="16">
        <f>HYPERLINK("http://secrets.rutgers.edu:8080/data/asl-ftp/asllvd/demos/verify_start_end_handshape_annotations//test_auto_move//signs_mov_separ_signers/Tyler_1066.mov","MOV")</f>
        <v>21</v>
      </c>
    </row>
    <row r="4903" s="2" customFormat="1" ht="13.5" customHeight="1">
      <c r="B4903" s="13"/>
      <c r="C4903" t="s" s="9">
        <v>27</v>
      </c>
      <c r="D4903" t="s" s="8">
        <v>1669</v>
      </c>
      <c r="E4903" t="s" s="9">
        <v>1669</v>
      </c>
      <c r="F4903" t="s" s="10">
        <v>65</v>
      </c>
      <c r="G4903" t="s" s="11">
        <v>63</v>
      </c>
      <c r="H4903" t="s" s="10">
        <v>65</v>
      </c>
      <c r="I4903" t="s" s="11">
        <v>63</v>
      </c>
      <c r="J4903" t="s" s="11">
        <v>20</v>
      </c>
      <c r="K4903" s="15"/>
      <c r="L4903" t="s" s="16">
        <f>HYPERLINK("http://csr.bu.edu/ftp/asl/asllvd/demos/verify_start_end_handshape_annotations//test_auto_move//signs_mov_separ_signers/Naomi_1066.mov","MOV")</f>
        <v>21</v>
      </c>
      <c r="M4903" t="s" s="10">
        <v>38</v>
      </c>
      <c r="N4903" s="17">
        <v>7</v>
      </c>
      <c r="O4903" s="18">
        <v>2352</v>
      </c>
      <c r="P4903" s="18">
        <v>2377</v>
      </c>
      <c r="Q4903" s="15"/>
      <c r="R4903" t="s" s="16">
        <f>HYPERLINK("http://secrets.rutgers.edu:8080/data/asl-ftp/asllvd/demos/verify_start_end_handshape_annotations//test_auto_move//signs_mov_separ_signers/Naomi_1066.mov","MOV")</f>
        <v>21</v>
      </c>
    </row>
    <row r="4904" s="2" customFormat="1" ht="13.5" customHeight="1">
      <c r="B4904" s="13"/>
      <c r="C4904" t="s" s="9">
        <v>30</v>
      </c>
      <c r="D4904" t="s" s="8">
        <v>1669</v>
      </c>
      <c r="E4904" t="s" s="9">
        <v>1669</v>
      </c>
      <c r="F4904" t="s" s="10">
        <v>65</v>
      </c>
      <c r="G4904" t="s" s="11">
        <v>65</v>
      </c>
      <c r="H4904" t="s" s="10">
        <v>65</v>
      </c>
      <c r="I4904" t="s" s="11">
        <v>65</v>
      </c>
      <c r="J4904" t="s" s="11">
        <v>20</v>
      </c>
      <c r="K4904" s="15"/>
      <c r="L4904" t="s" s="16">
        <f>HYPERLINK("http://csr.bu.edu/ftp/asl/asllvd/demos/verify_start_end_handshape_annotations//test_auto_move//signs_mov_separ_signers/Brady_1066.mov","MOV")</f>
        <v>21</v>
      </c>
      <c r="M4904" t="s" s="10">
        <v>39</v>
      </c>
      <c r="N4904" s="17">
        <v>27</v>
      </c>
      <c r="O4904" s="18">
        <v>3020</v>
      </c>
      <c r="P4904" s="18">
        <v>3044</v>
      </c>
      <c r="Q4904" s="15"/>
      <c r="R4904" t="s" s="16">
        <f>HYPERLINK("http://secrets.rutgers.edu:8080/data/asl-ftp/asllvd/demos/verify_start_end_handshape_annotations//test_auto_move//signs_mov_separ_signers/Brady_1066.mov","MOV")</f>
        <v>21</v>
      </c>
    </row>
    <row r="4905" s="2" customFormat="1" ht="13.5" customHeight="1">
      <c r="B4905" t="s" s="8">
        <v>1670</v>
      </c>
      <c r="C4905" t="s" s="9">
        <v>14</v>
      </c>
      <c r="D4905" t="s" s="8">
        <v>14</v>
      </c>
      <c r="E4905" t="s" s="9">
        <v>14</v>
      </c>
      <c r="F4905" t="s" s="10">
        <v>14</v>
      </c>
      <c r="G4905" t="s" s="11">
        <v>14</v>
      </c>
      <c r="H4905" t="s" s="10">
        <v>14</v>
      </c>
      <c r="I4905" t="s" s="11">
        <v>14</v>
      </c>
      <c r="J4905" t="s" s="11">
        <v>14</v>
      </c>
      <c r="K4905" t="s" s="12">
        <v>14</v>
      </c>
      <c r="L4905" t="s" s="12">
        <v>14</v>
      </c>
      <c r="M4905" t="s" s="10">
        <v>14</v>
      </c>
      <c r="N4905" t="s" s="11">
        <v>14</v>
      </c>
      <c r="O4905" t="s" s="8">
        <v>14</v>
      </c>
      <c r="P4905" t="s" s="8">
        <v>14</v>
      </c>
      <c r="Q4905" t="s" s="12">
        <v>14</v>
      </c>
      <c r="R4905" t="s" s="12">
        <v>14</v>
      </c>
    </row>
    <row r="4906" s="2" customFormat="1" ht="13.5" customHeight="1">
      <c r="B4906" s="13"/>
      <c r="C4906" t="s" s="9">
        <v>16</v>
      </c>
      <c r="D4906" t="s" s="8">
        <v>1670</v>
      </c>
      <c r="E4906" t="s" s="9">
        <v>1670</v>
      </c>
      <c r="F4906" s="19">
        <v>5</v>
      </c>
      <c r="G4906" s="17">
        <v>5</v>
      </c>
      <c r="H4906" t="s" s="10">
        <v>119</v>
      </c>
      <c r="I4906" t="s" s="11">
        <v>119</v>
      </c>
      <c r="J4906" t="s" s="11">
        <v>20</v>
      </c>
      <c r="K4906" s="15"/>
      <c r="L4906" t="s" s="16">
        <f>HYPERLINK("http://csr.bu.edu/ftp/asl/asllvd/demos/verify_start_end_handshape_annotations//test_auto_move//signs_mov_separ_signers/Liz_1067.mov","MOV")</f>
        <v>21</v>
      </c>
      <c r="M4906" t="s" s="10">
        <v>34</v>
      </c>
      <c r="N4906" s="17">
        <v>8</v>
      </c>
      <c r="O4906" s="18">
        <v>1987</v>
      </c>
      <c r="P4906" s="18">
        <v>2026</v>
      </c>
      <c r="Q4906" s="15"/>
      <c r="R4906" t="s" s="16">
        <f>HYPERLINK("http://secrets.rutgers.edu:8080/data/asl-ftp/asllvd/demos/verify_start_end_handshape_annotations//test_auto_move//signs_mov_separ_signers/Liz_1067.mov","MOV")</f>
        <v>21</v>
      </c>
    </row>
    <row r="4907" s="2" customFormat="1" ht="13.5" customHeight="1">
      <c r="B4907" s="13"/>
      <c r="C4907" t="s" s="9">
        <v>16</v>
      </c>
      <c r="D4907" t="s" s="8">
        <v>1670</v>
      </c>
      <c r="E4907" t="s" s="9">
        <v>1670</v>
      </c>
      <c r="F4907" t="s" s="10">
        <v>72</v>
      </c>
      <c r="G4907" t="s" s="11">
        <v>72</v>
      </c>
      <c r="H4907" t="s" s="10">
        <v>119</v>
      </c>
      <c r="I4907" t="s" s="11">
        <v>119</v>
      </c>
      <c r="J4907" t="s" s="11">
        <v>20</v>
      </c>
      <c r="K4907" s="15"/>
      <c r="L4907" t="s" s="16">
        <f>HYPERLINK("http://csr.bu.edu/ftp/asl/asllvd/demos/verify_start_end_handshape_annotations//test_auto_move//signs_mov_separ_signers/Liz_3419.mov","MOV")</f>
        <v>21</v>
      </c>
      <c r="M4907" t="s" s="10">
        <v>77</v>
      </c>
      <c r="N4907" s="17">
        <v>5</v>
      </c>
      <c r="O4907" s="18">
        <v>1273</v>
      </c>
      <c r="P4907" s="18">
        <v>1321</v>
      </c>
      <c r="Q4907" s="15"/>
      <c r="R4907" t="s" s="16">
        <f>HYPERLINK("http://secrets.rutgers.edu:8080/data/asl-ftp/asllvd/demos/verify_start_end_handshape_annotations//test_auto_move//signs_mov_separ_signers/Liz_3419.mov","MOV")</f>
        <v>21</v>
      </c>
    </row>
    <row r="4908" s="2" customFormat="1" ht="13.5" customHeight="1">
      <c r="B4908" s="13"/>
      <c r="C4908" t="s" s="9">
        <v>23</v>
      </c>
      <c r="D4908" t="s" s="8">
        <v>1670</v>
      </c>
      <c r="E4908" t="s" s="9">
        <v>1670</v>
      </c>
      <c r="F4908" s="19">
        <v>5</v>
      </c>
      <c r="G4908" t="s" s="11">
        <v>73</v>
      </c>
      <c r="H4908" t="s" s="10">
        <v>158</v>
      </c>
      <c r="I4908" t="s" s="11">
        <v>73</v>
      </c>
      <c r="J4908" t="s" s="11">
        <v>20</v>
      </c>
      <c r="K4908" t="s" s="16">
        <f>HYPERLINK("http://csr.bu.edu/ftp/asl/asllvd/demos/verify_start_end_handshape_annotations//test_auto_move//signs_mov/1067_3419_merged.mov","MOV")</f>
        <v>21</v>
      </c>
      <c r="L4908" t="s" s="16">
        <f>HYPERLINK("http://csr.bu.edu/ftp/asl/asllvd/demos/verify_start_end_handshape_annotations//test_auto_move//signs_mov_separ_signers/Tyler_1067.mov","MOV")</f>
        <v>21</v>
      </c>
      <c r="M4908" t="s" s="10">
        <v>92</v>
      </c>
      <c r="N4908" s="17">
        <v>39</v>
      </c>
      <c r="O4908" s="18">
        <v>1610</v>
      </c>
      <c r="P4908" s="18">
        <v>1646</v>
      </c>
      <c r="Q4908" t="s" s="16">
        <f>HYPERLINK("http://secrets.rutgers.edu:8080/data/asl-ftp/asllvd/demos/verify_start_end_handshape_annotations//test_auto_move//signs_mov/1067_3419_merged.mov","MOV")</f>
        <v>21</v>
      </c>
      <c r="R4908" t="s" s="16">
        <f>HYPERLINK("http://secrets.rutgers.edu:8080/data/asl-ftp/asllvd/demos/verify_start_end_handshape_annotations//test_auto_move//signs_mov_separ_signers/Tyler_1067.mov","MOV")</f>
        <v>21</v>
      </c>
    </row>
    <row r="4909" s="2" customFormat="1" ht="13.5" customHeight="1">
      <c r="B4909" s="13"/>
      <c r="C4909" t="s" s="9">
        <v>27</v>
      </c>
      <c r="D4909" t="s" s="8">
        <v>1670</v>
      </c>
      <c r="E4909" t="s" s="9">
        <v>1670</v>
      </c>
      <c r="F4909" s="19">
        <v>5</v>
      </c>
      <c r="G4909" t="s" s="11">
        <v>73</v>
      </c>
      <c r="H4909" t="s" s="10">
        <v>119</v>
      </c>
      <c r="I4909" t="s" s="11">
        <v>73</v>
      </c>
      <c r="J4909" t="s" s="11">
        <v>20</v>
      </c>
      <c r="K4909" s="15"/>
      <c r="L4909" t="s" s="16">
        <f>HYPERLINK("http://csr.bu.edu/ftp/asl/asllvd/demos/verify_start_end_handshape_annotations//test_auto_move//signs_mov_separ_signers/Naomi_1067.mov","MOV")</f>
        <v>21</v>
      </c>
      <c r="M4909" t="s" s="10">
        <v>38</v>
      </c>
      <c r="N4909" s="17">
        <v>7</v>
      </c>
      <c r="O4909" s="18">
        <v>2652</v>
      </c>
      <c r="P4909" s="18">
        <v>2673</v>
      </c>
      <c r="Q4909" s="15"/>
      <c r="R4909" t="s" s="16">
        <f>HYPERLINK("http://secrets.rutgers.edu:8080/data/asl-ftp/asllvd/demos/verify_start_end_handshape_annotations//test_auto_move//signs_mov_separ_signers/Naomi_1067.mov","MOV")</f>
        <v>21</v>
      </c>
    </row>
    <row r="4910" s="2" customFormat="1" ht="13.5" customHeight="1">
      <c r="B4910" s="13"/>
      <c r="C4910" t="s" s="9">
        <v>30</v>
      </c>
      <c r="D4910" t="s" s="8">
        <v>1670</v>
      </c>
      <c r="E4910" t="s" s="9">
        <v>1670</v>
      </c>
      <c r="F4910" s="19">
        <v>5</v>
      </c>
      <c r="G4910" s="17">
        <v>5</v>
      </c>
      <c r="H4910" t="s" s="10">
        <v>119</v>
      </c>
      <c r="I4910" s="17">
        <v>5</v>
      </c>
      <c r="J4910" t="s" s="11">
        <v>20</v>
      </c>
      <c r="K4910" s="15"/>
      <c r="L4910" t="s" s="16">
        <f>HYPERLINK("http://csr.bu.edu/ftp/asl/asllvd/demos/verify_start_end_handshape_annotations//test_auto_move//signs_mov_separ_signers/Brady_1067.mov","MOV")</f>
        <v>21</v>
      </c>
      <c r="M4910" t="s" s="10">
        <v>39</v>
      </c>
      <c r="N4910" s="17">
        <v>27</v>
      </c>
      <c r="O4910" s="18">
        <v>3280</v>
      </c>
      <c r="P4910" s="18">
        <v>3300</v>
      </c>
      <c r="Q4910" s="15"/>
      <c r="R4910" t="s" s="16">
        <f>HYPERLINK("http://secrets.rutgers.edu:8080/data/asl-ftp/asllvd/demos/verify_start_end_handshape_annotations//test_auto_move//signs_mov_separ_signers/Brady_1067.mov","MOV")</f>
        <v>21</v>
      </c>
    </row>
    <row r="4911" s="2" customFormat="1" ht="13.5" customHeight="1">
      <c r="B4911" s="13"/>
      <c r="C4911" t="s" s="9">
        <v>43</v>
      </c>
      <c r="D4911" t="s" s="8">
        <v>1670</v>
      </c>
      <c r="E4911" t="s" s="9">
        <v>1670</v>
      </c>
      <c r="F4911" t="s" s="10">
        <v>148</v>
      </c>
      <c r="G4911" s="17">
        <v>5</v>
      </c>
      <c r="H4911" t="s" s="10">
        <v>119</v>
      </c>
      <c r="I4911" s="17">
        <v>5</v>
      </c>
      <c r="J4911" t="s" s="11">
        <v>20</v>
      </c>
      <c r="K4911" s="15"/>
      <c r="L4911" t="s" s="16">
        <f>HYPERLINK("http://csr.bu.edu/ftp/asl/asllvd/demos/verify_start_end_handshape_annotations//test_auto_move//signs_mov_separ_signers/Dana_1067.mov","MOV")</f>
        <v>21</v>
      </c>
      <c r="M4911" t="s" s="10">
        <v>44</v>
      </c>
      <c r="N4911" s="17">
        <v>11</v>
      </c>
      <c r="O4911" s="18">
        <v>1660</v>
      </c>
      <c r="P4911" s="18">
        <v>1695</v>
      </c>
      <c r="Q4911" s="15"/>
      <c r="R4911" t="s" s="16">
        <f>HYPERLINK("http://secrets.rutgers.edu:8080/data/asl-ftp/asllvd/demos/verify_start_end_handshape_annotations//test_auto_move//signs_mov_separ_signers/Dana_1067.mov","MOV")</f>
        <v>21</v>
      </c>
    </row>
    <row r="4912" s="2" customFormat="1" ht="13.5" customHeight="1">
      <c r="B4912" t="s" s="8">
        <v>1671</v>
      </c>
      <c r="C4912" t="s" s="9">
        <v>14</v>
      </c>
      <c r="D4912" t="s" s="8">
        <v>14</v>
      </c>
      <c r="E4912" t="s" s="9">
        <v>14</v>
      </c>
      <c r="F4912" t="s" s="10">
        <v>14</v>
      </c>
      <c r="G4912" t="s" s="11">
        <v>14</v>
      </c>
      <c r="H4912" t="s" s="10">
        <v>14</v>
      </c>
      <c r="I4912" t="s" s="11">
        <v>14</v>
      </c>
      <c r="J4912" t="s" s="11">
        <v>14</v>
      </c>
      <c r="K4912" t="s" s="12">
        <v>14</v>
      </c>
      <c r="L4912" t="s" s="12">
        <v>14</v>
      </c>
      <c r="M4912" t="s" s="10">
        <v>14</v>
      </c>
      <c r="N4912" t="s" s="11">
        <v>14</v>
      </c>
      <c r="O4912" t="s" s="8">
        <v>14</v>
      </c>
      <c r="P4912" t="s" s="8">
        <v>14</v>
      </c>
      <c r="Q4912" t="s" s="12">
        <v>14</v>
      </c>
      <c r="R4912" t="s" s="12">
        <v>14</v>
      </c>
    </row>
    <row r="4913" s="2" customFormat="1" ht="13.5" customHeight="1">
      <c r="B4913" s="13"/>
      <c r="C4913" t="s" s="9">
        <v>16</v>
      </c>
      <c r="D4913" t="s" s="8">
        <v>1672</v>
      </c>
      <c r="E4913" t="s" s="9">
        <v>1672</v>
      </c>
      <c r="F4913" s="19">
        <v>10</v>
      </c>
      <c r="G4913" s="17">
        <v>10</v>
      </c>
      <c r="H4913" s="19">
        <v>10</v>
      </c>
      <c r="I4913" s="17">
        <v>10</v>
      </c>
      <c r="J4913" t="s" s="11">
        <v>20</v>
      </c>
      <c r="K4913" t="s" s="16">
        <f>HYPERLINK("http://csr.bu.edu/ftp/asl/asllvd/demos/verify_start_end_handshape_annotations//test_auto_move//signs_mov/1070.mov","MOV")</f>
        <v>21</v>
      </c>
      <c r="L4913" t="s" s="16">
        <f>HYPERLINK("http://csr.bu.edu/ftp/asl/asllvd/demos/verify_start_end_handshape_annotations//test_auto_move//signs_mov_separ_signers/Liz_1070.mov","MOV")</f>
        <v>21</v>
      </c>
      <c r="M4913" t="s" s="10">
        <v>34</v>
      </c>
      <c r="N4913" s="17">
        <v>9</v>
      </c>
      <c r="O4913" s="18">
        <v>240</v>
      </c>
      <c r="P4913" s="18">
        <v>292</v>
      </c>
      <c r="Q4913" t="s" s="16">
        <f>HYPERLINK("http://secrets.rutgers.edu:8080/data/asl-ftp/asllvd/demos/verify_start_end_handshape_annotations//test_auto_move//signs_mov/1070.mov","MOV")</f>
        <v>21</v>
      </c>
      <c r="R4913" t="s" s="16">
        <f>HYPERLINK("http://secrets.rutgers.edu:8080/data/asl-ftp/asllvd/demos/verify_start_end_handshape_annotations//test_auto_move//signs_mov_separ_signers/Liz_1070.mov","MOV")</f>
        <v>21</v>
      </c>
    </row>
    <row r="4914" s="2" customFormat="1" ht="13.5" customHeight="1">
      <c r="B4914" s="13"/>
      <c r="C4914" t="s" s="9">
        <v>27</v>
      </c>
      <c r="D4914" t="s" s="8">
        <v>1672</v>
      </c>
      <c r="E4914" t="s" s="9">
        <v>1672</v>
      </c>
      <c r="F4914" s="19">
        <v>10</v>
      </c>
      <c r="G4914" s="17">
        <v>10</v>
      </c>
      <c r="H4914" s="19">
        <v>10</v>
      </c>
      <c r="I4914" s="17">
        <v>10</v>
      </c>
      <c r="J4914" t="s" s="11">
        <v>20</v>
      </c>
      <c r="K4914" s="15"/>
      <c r="L4914" t="s" s="16">
        <f>HYPERLINK("http://csr.bu.edu/ftp/asl/asllvd/demos/verify_start_end_handshape_annotations//test_auto_move//signs_mov_separ_signers/Naomi_1070.mov","MOV")</f>
        <v>21</v>
      </c>
      <c r="M4914" t="s" s="10">
        <v>38</v>
      </c>
      <c r="N4914" s="17">
        <v>7</v>
      </c>
      <c r="O4914" s="18">
        <v>3722</v>
      </c>
      <c r="P4914" s="18">
        <v>3746</v>
      </c>
      <c r="Q4914" s="15"/>
      <c r="R4914" t="s" s="16">
        <f>HYPERLINK("http://secrets.rutgers.edu:8080/data/asl-ftp/asllvd/demos/verify_start_end_handshape_annotations//test_auto_move//signs_mov_separ_signers/Naomi_1070.mov","MOV")</f>
        <v>21</v>
      </c>
    </row>
    <row r="4915" s="2" customFormat="1" ht="13.5" customHeight="1">
      <c r="B4915" t="s" s="8">
        <v>1673</v>
      </c>
      <c r="C4915" t="s" s="9">
        <v>14</v>
      </c>
      <c r="D4915" t="s" s="8">
        <v>14</v>
      </c>
      <c r="E4915" t="s" s="9">
        <v>14</v>
      </c>
      <c r="F4915" t="s" s="10">
        <v>14</v>
      </c>
      <c r="G4915" t="s" s="11">
        <v>14</v>
      </c>
      <c r="H4915" t="s" s="10">
        <v>14</v>
      </c>
      <c r="I4915" t="s" s="11">
        <v>14</v>
      </c>
      <c r="J4915" t="s" s="11">
        <v>14</v>
      </c>
      <c r="K4915" t="s" s="12">
        <v>14</v>
      </c>
      <c r="L4915" t="s" s="12">
        <v>14</v>
      </c>
      <c r="M4915" t="s" s="10">
        <v>14</v>
      </c>
      <c r="N4915" t="s" s="11">
        <v>14</v>
      </c>
      <c r="O4915" t="s" s="8">
        <v>14</v>
      </c>
      <c r="P4915" t="s" s="8">
        <v>14</v>
      </c>
      <c r="Q4915" t="s" s="12">
        <v>14</v>
      </c>
      <c r="R4915" t="s" s="12">
        <v>14</v>
      </c>
    </row>
    <row r="4916" s="2" customFormat="1" ht="13.5" customHeight="1">
      <c r="B4916" s="13"/>
      <c r="C4916" t="s" s="9">
        <v>16</v>
      </c>
      <c r="D4916" t="s" s="8">
        <v>1673</v>
      </c>
      <c r="E4916" t="s" s="9">
        <v>1674</v>
      </c>
      <c r="F4916" t="s" s="10">
        <v>18</v>
      </c>
      <c r="G4916" t="s" s="11">
        <v>18</v>
      </c>
      <c r="H4916" t="s" s="10">
        <v>28</v>
      </c>
      <c r="I4916" t="s" s="11">
        <v>28</v>
      </c>
      <c r="J4916" t="s" s="11">
        <v>20</v>
      </c>
      <c r="K4916" s="15"/>
      <c r="L4916" t="s" s="16">
        <f>HYPERLINK("http://csr.bu.edu/ftp/asl/asllvd/demos/verify_start_end_handshape_annotations//test_auto_move//signs_mov_separ_signers/Liz_1075.mov","MOV")</f>
        <v>21</v>
      </c>
      <c r="M4916" t="s" s="10">
        <v>34</v>
      </c>
      <c r="N4916" s="17">
        <v>9</v>
      </c>
      <c r="O4916" s="18">
        <v>1390</v>
      </c>
      <c r="P4916" s="18">
        <v>1457</v>
      </c>
      <c r="Q4916" s="15"/>
      <c r="R4916" t="s" s="16">
        <f>HYPERLINK("http://secrets.rutgers.edu:8080/data/asl-ftp/asllvd/demos/verify_start_end_handshape_annotations//test_auto_move//signs_mov_separ_signers/Liz_1075.mov","MOV")</f>
        <v>21</v>
      </c>
    </row>
    <row r="4917" s="2" customFormat="1" ht="13.5" customHeight="1">
      <c r="B4917" s="13"/>
      <c r="C4917" t="s" s="9">
        <v>23</v>
      </c>
      <c r="D4917" t="s" s="8">
        <v>1673</v>
      </c>
      <c r="E4917" t="s" s="9">
        <v>1675</v>
      </c>
      <c r="F4917" t="s" s="10">
        <v>28</v>
      </c>
      <c r="G4917" t="s" s="11">
        <v>28</v>
      </c>
      <c r="H4917" t="s" s="10">
        <v>28</v>
      </c>
      <c r="I4917" t="s" s="11">
        <v>337</v>
      </c>
      <c r="J4917" t="s" s="11">
        <v>20</v>
      </c>
      <c r="K4917" s="15"/>
      <c r="L4917" t="s" s="16">
        <f>HYPERLINK("http://csr.bu.edu/ftp/asl/asllvd/demos/verify_start_end_handshape_annotations//test_auto_move//signs_mov_separ_signers/Tyler_1075.mov","MOV")</f>
        <v>21</v>
      </c>
      <c r="M4917" t="s" s="10">
        <v>92</v>
      </c>
      <c r="N4917" s="17">
        <v>40</v>
      </c>
      <c r="O4917" s="18">
        <v>1375</v>
      </c>
      <c r="P4917" s="18">
        <v>1412</v>
      </c>
      <c r="Q4917" s="15"/>
      <c r="R4917" t="s" s="16">
        <f>HYPERLINK("http://secrets.rutgers.edu:8080/data/asl-ftp/asllvd/demos/verify_start_end_handshape_annotations//test_auto_move//signs_mov_separ_signers/Tyler_1075.mov","MOV")</f>
        <v>21</v>
      </c>
    </row>
    <row r="4918" s="2" customFormat="1" ht="13.5" customHeight="1">
      <c r="B4918" s="13"/>
      <c r="C4918" t="s" s="9">
        <v>27</v>
      </c>
      <c r="D4918" t="s" s="8">
        <v>1673</v>
      </c>
      <c r="E4918" t="s" s="9">
        <v>1676</v>
      </c>
      <c r="F4918" t="s" s="10">
        <v>18</v>
      </c>
      <c r="G4918" t="s" s="11">
        <v>18</v>
      </c>
      <c r="H4918" t="s" s="10">
        <v>28</v>
      </c>
      <c r="I4918" t="s" s="11">
        <v>28</v>
      </c>
      <c r="J4918" t="s" s="11">
        <v>20</v>
      </c>
      <c r="K4918" t="s" s="16">
        <f>HYPERLINK("http://csr.bu.edu/ftp/asl/asllvd/demos/verify_start_end_handshape_annotations//test_auto_move//signs_mov/1075.mov","MOV")</f>
        <v>21</v>
      </c>
      <c r="L4918" t="s" s="16">
        <f>HYPERLINK("http://csr.bu.edu/ftp/asl/asllvd/demos/verify_start_end_handshape_annotations//test_auto_move//signs_mov_separ_signers/Naomi_1075.mov","MOV")</f>
        <v>21</v>
      </c>
      <c r="M4918" t="s" s="10">
        <v>38</v>
      </c>
      <c r="N4918" s="17">
        <v>8</v>
      </c>
      <c r="O4918" s="18">
        <v>1453</v>
      </c>
      <c r="P4918" s="18">
        <v>1500</v>
      </c>
      <c r="Q4918" t="s" s="16">
        <f>HYPERLINK("http://secrets.rutgers.edu:8080/data/asl-ftp/asllvd/demos/verify_start_end_handshape_annotations//test_auto_move//signs_mov/1075.mov","MOV")</f>
        <v>21</v>
      </c>
      <c r="R4918" t="s" s="16">
        <f>HYPERLINK("http://secrets.rutgers.edu:8080/data/asl-ftp/asllvd/demos/verify_start_end_handshape_annotations//test_auto_move//signs_mov_separ_signers/Naomi_1075.mov","MOV")</f>
        <v>21</v>
      </c>
    </row>
    <row r="4919" s="2" customFormat="1" ht="13.5" customHeight="1">
      <c r="B4919" s="13"/>
      <c r="C4919" t="s" s="9">
        <v>30</v>
      </c>
      <c r="D4919" t="s" s="8">
        <v>1673</v>
      </c>
      <c r="E4919" t="s" s="9">
        <v>1676</v>
      </c>
      <c r="F4919" t="s" s="10">
        <v>25</v>
      </c>
      <c r="G4919" t="s" s="11">
        <v>25</v>
      </c>
      <c r="H4919" t="s" s="10">
        <v>28</v>
      </c>
      <c r="I4919" t="s" s="11">
        <v>28</v>
      </c>
      <c r="J4919" t="s" s="11">
        <v>20</v>
      </c>
      <c r="K4919" s="15"/>
      <c r="L4919" t="s" s="16">
        <f>HYPERLINK("http://csr.bu.edu/ftp/asl/asllvd/demos/verify_start_end_handshape_annotations//test_auto_move//signs_mov_separ_signers/Brady_1075.mov","MOV")</f>
        <v>21</v>
      </c>
      <c r="M4919" t="s" s="10">
        <v>39</v>
      </c>
      <c r="N4919" s="17">
        <v>28</v>
      </c>
      <c r="O4919" s="18">
        <v>859</v>
      </c>
      <c r="P4919" s="18">
        <v>885</v>
      </c>
      <c r="Q4919" s="15"/>
      <c r="R4919" t="s" s="16">
        <f>HYPERLINK("http://secrets.rutgers.edu:8080/data/asl-ftp/asllvd/demos/verify_start_end_handshape_annotations//test_auto_move//signs_mov_separ_signers/Brady_1075.mov","MOV")</f>
        <v>21</v>
      </c>
    </row>
    <row r="4920" s="2" customFormat="1" ht="13.5" customHeight="1">
      <c r="B4920" s="13"/>
      <c r="C4920" t="s" s="9">
        <v>41</v>
      </c>
      <c r="D4920" t="s" s="8">
        <v>1673</v>
      </c>
      <c r="E4920" t="s" s="9">
        <v>1675</v>
      </c>
      <c r="F4920" t="s" s="10">
        <v>25</v>
      </c>
      <c r="G4920" t="s" s="11">
        <v>25</v>
      </c>
      <c r="H4920" t="s" s="10">
        <v>19</v>
      </c>
      <c r="I4920" t="s" s="11">
        <v>19</v>
      </c>
      <c r="J4920" t="s" s="11">
        <v>20</v>
      </c>
      <c r="K4920" s="15"/>
      <c r="L4920" t="s" s="16">
        <f>HYPERLINK("http://csr.bu.edu/ftp/asl/asllvd/demos/verify_start_end_handshape_annotations//test_auto_move//signs_mov_separ_signers/Lana_1075.mov","MOV")</f>
        <v>21</v>
      </c>
      <c r="M4920" t="s" s="10">
        <v>42</v>
      </c>
      <c r="N4920" s="17">
        <v>12</v>
      </c>
      <c r="O4920" s="18">
        <v>856</v>
      </c>
      <c r="P4920" s="18">
        <v>913</v>
      </c>
      <c r="Q4920" s="15"/>
      <c r="R4920" t="s" s="16">
        <f>HYPERLINK("http://secrets.rutgers.edu:8080/data/asl-ftp/asllvd/demos/verify_start_end_handshape_annotations//test_auto_move//signs_mov_separ_signers/Lana_1075.mov","MOV")</f>
        <v>21</v>
      </c>
    </row>
    <row r="4921" s="2" customFormat="1" ht="13.5" customHeight="1">
      <c r="B4921" s="13"/>
      <c r="C4921" t="s" s="9">
        <v>43</v>
      </c>
      <c r="D4921" t="s" s="8">
        <v>1673</v>
      </c>
      <c r="E4921" t="s" s="9">
        <v>1675</v>
      </c>
      <c r="F4921" t="s" s="10">
        <v>25</v>
      </c>
      <c r="G4921" t="s" s="11">
        <v>25</v>
      </c>
      <c r="H4921" t="s" s="10">
        <v>28</v>
      </c>
      <c r="I4921" t="s" s="11">
        <v>28</v>
      </c>
      <c r="J4921" t="s" s="11">
        <v>20</v>
      </c>
      <c r="K4921" s="15"/>
      <c r="L4921" t="s" s="16">
        <f>HYPERLINK("http://csr.bu.edu/ftp/asl/asllvd/demos/verify_start_end_handshape_annotations//test_auto_move//signs_mov_separ_signers/Dana_1075.mov","MOV")</f>
        <v>21</v>
      </c>
      <c r="M4921" t="s" s="10">
        <v>44</v>
      </c>
      <c r="N4921" s="17">
        <v>16</v>
      </c>
      <c r="O4921" s="18">
        <v>696</v>
      </c>
      <c r="P4921" s="18">
        <v>765</v>
      </c>
      <c r="Q4921" s="15"/>
      <c r="R4921" t="s" s="16">
        <f>HYPERLINK("http://secrets.rutgers.edu:8080/data/asl-ftp/asllvd/demos/verify_start_end_handshape_annotations//test_auto_move//signs_mov_separ_signers/Dana_1075.mov","MOV")</f>
        <v>21</v>
      </c>
    </row>
    <row r="4922" s="2" customFormat="1" ht="13.5" customHeight="1">
      <c r="B4922" t="s" s="8">
        <v>1677</v>
      </c>
      <c r="C4922" t="s" s="9">
        <v>14</v>
      </c>
      <c r="D4922" t="s" s="8">
        <v>14</v>
      </c>
      <c r="E4922" t="s" s="9">
        <v>14</v>
      </c>
      <c r="F4922" t="s" s="10">
        <v>14</v>
      </c>
      <c r="G4922" t="s" s="11">
        <v>14</v>
      </c>
      <c r="H4922" t="s" s="10">
        <v>14</v>
      </c>
      <c r="I4922" t="s" s="11">
        <v>14</v>
      </c>
      <c r="J4922" t="s" s="11">
        <v>14</v>
      </c>
      <c r="K4922" t="s" s="12">
        <v>14</v>
      </c>
      <c r="L4922" t="s" s="12">
        <v>14</v>
      </c>
      <c r="M4922" t="s" s="10">
        <v>14</v>
      </c>
      <c r="N4922" t="s" s="11">
        <v>14</v>
      </c>
      <c r="O4922" t="s" s="8">
        <v>14</v>
      </c>
      <c r="P4922" t="s" s="8">
        <v>14</v>
      </c>
      <c r="Q4922" t="s" s="12">
        <v>14</v>
      </c>
      <c r="R4922" t="s" s="12">
        <v>14</v>
      </c>
    </row>
    <row r="4923" s="2" customFormat="1" ht="13.5" customHeight="1">
      <c r="B4923" s="13"/>
      <c r="C4923" t="s" s="9">
        <v>16</v>
      </c>
      <c r="D4923" t="s" s="8">
        <v>1677</v>
      </c>
      <c r="E4923" t="s" s="9">
        <v>1677</v>
      </c>
      <c r="F4923" s="19">
        <v>5</v>
      </c>
      <c r="G4923" t="s" s="11">
        <v>73</v>
      </c>
      <c r="H4923" s="19">
        <v>10</v>
      </c>
      <c r="I4923" t="s" s="11">
        <v>73</v>
      </c>
      <c r="J4923" t="s" s="11">
        <v>20</v>
      </c>
      <c r="K4923" s="15"/>
      <c r="L4923" t="s" s="16">
        <f>HYPERLINK("http://csr.bu.edu/ftp/asl/asllvd/demos/verify_start_end_handshape_annotations//test_auto_move//signs_mov_separ_signers/Liz_1079.mov","MOV")</f>
        <v>21</v>
      </c>
      <c r="M4923" t="s" s="10">
        <v>34</v>
      </c>
      <c r="N4923" s="17">
        <v>10</v>
      </c>
      <c r="O4923" s="18">
        <v>1065</v>
      </c>
      <c r="P4923" s="18">
        <v>1112</v>
      </c>
      <c r="Q4923" s="15"/>
      <c r="R4923" t="s" s="16">
        <f>HYPERLINK("http://secrets.rutgers.edu:8080/data/asl-ftp/asllvd/demos/verify_start_end_handshape_annotations//test_auto_move//signs_mov_separ_signers/Liz_1079.mov","MOV")</f>
        <v>21</v>
      </c>
    </row>
    <row r="4924" s="2" customFormat="1" ht="13.5" customHeight="1">
      <c r="B4924" s="13"/>
      <c r="C4924" t="s" s="9">
        <v>23</v>
      </c>
      <c r="D4924" t="s" s="8">
        <v>1677</v>
      </c>
      <c r="E4924" t="s" s="9">
        <v>1677</v>
      </c>
      <c r="F4924" s="19">
        <v>5</v>
      </c>
      <c r="G4924" t="s" s="11">
        <v>73</v>
      </c>
      <c r="H4924" t="s" s="10">
        <v>68</v>
      </c>
      <c r="I4924" t="s" s="11">
        <v>73</v>
      </c>
      <c r="J4924" t="s" s="11">
        <v>20</v>
      </c>
      <c r="K4924" s="15"/>
      <c r="L4924" t="s" s="16">
        <f>HYPERLINK("http://csr.bu.edu/ftp/asl/asllvd/demos/verify_start_end_handshape_annotations//test_auto_move//signs_mov_separ_signers/Tyler_1079.mov","MOV")</f>
        <v>21</v>
      </c>
      <c r="M4924" t="s" s="10">
        <v>92</v>
      </c>
      <c r="N4924" s="17">
        <v>40</v>
      </c>
      <c r="O4924" s="18">
        <v>2420</v>
      </c>
      <c r="P4924" s="18">
        <v>2440</v>
      </c>
      <c r="Q4924" s="15"/>
      <c r="R4924" t="s" s="16">
        <f>HYPERLINK("http://secrets.rutgers.edu:8080/data/asl-ftp/asllvd/demos/verify_start_end_handshape_annotations//test_auto_move//signs_mov_separ_signers/Tyler_1079.mov","MOV")</f>
        <v>21</v>
      </c>
    </row>
    <row r="4925" s="2" customFormat="1" ht="13.5" customHeight="1">
      <c r="B4925" s="13"/>
      <c r="C4925" t="s" s="9">
        <v>27</v>
      </c>
      <c r="D4925" t="s" s="8">
        <v>1677</v>
      </c>
      <c r="E4925" t="s" s="9">
        <v>1677</v>
      </c>
      <c r="F4925" t="s" s="10">
        <v>72</v>
      </c>
      <c r="G4925" t="s" s="11">
        <v>73</v>
      </c>
      <c r="H4925" t="s" s="10">
        <v>63</v>
      </c>
      <c r="I4925" t="s" s="11">
        <v>73</v>
      </c>
      <c r="J4925" t="s" s="11">
        <v>20</v>
      </c>
      <c r="K4925" t="s" s="16">
        <f>HYPERLINK("http://csr.bu.edu/ftp/asl/asllvd/demos/verify_start_end_handshape_annotations//test_auto_move//signs_mov/1079_15120_merged.mov","MOV")</f>
        <v>21</v>
      </c>
      <c r="L4925" t="s" s="16">
        <f>HYPERLINK("http://csr.bu.edu/ftp/asl/asllvd/demos/verify_start_end_handshape_annotations//test_auto_move//signs_mov_separ_signers/Naomi_1079.mov","MOV")</f>
        <v>21</v>
      </c>
      <c r="M4925" t="s" s="10">
        <v>38</v>
      </c>
      <c r="N4925" s="17">
        <v>8</v>
      </c>
      <c r="O4925" s="18">
        <v>3282</v>
      </c>
      <c r="P4925" s="18">
        <v>3307</v>
      </c>
      <c r="Q4925" t="s" s="16">
        <f>HYPERLINK("http://secrets.rutgers.edu:8080/data/asl-ftp/asllvd/demos/verify_start_end_handshape_annotations//test_auto_move//signs_mov/1079_15120_merged.mov","MOV")</f>
        <v>21</v>
      </c>
      <c r="R4925" t="s" s="16">
        <f>HYPERLINK("http://secrets.rutgers.edu:8080/data/asl-ftp/asllvd/demos/verify_start_end_handshape_annotations//test_auto_move//signs_mov_separ_signers/Naomi_1079.mov","MOV")</f>
        <v>21</v>
      </c>
    </row>
    <row r="4926" s="2" customFormat="1" ht="13.5" customHeight="1">
      <c r="B4926" s="13"/>
      <c r="C4926" t="s" s="9">
        <v>30</v>
      </c>
      <c r="D4926" t="s" s="8">
        <v>1677</v>
      </c>
      <c r="E4926" t="s" s="9">
        <v>1677</v>
      </c>
      <c r="F4926" s="19">
        <v>5</v>
      </c>
      <c r="G4926" s="17">
        <v>5</v>
      </c>
      <c r="H4926" t="s" s="10">
        <v>63</v>
      </c>
      <c r="I4926" s="17">
        <v>5</v>
      </c>
      <c r="J4926" t="s" s="11">
        <v>20</v>
      </c>
      <c r="K4926" s="15"/>
      <c r="L4926" t="s" s="16">
        <f>HYPERLINK("http://csr.bu.edu/ftp/asl/asllvd/demos/verify_start_end_handshape_annotations//test_auto_move//signs_mov_separ_signers/Brady_1079.mov","MOV")</f>
        <v>21</v>
      </c>
      <c r="M4926" t="s" s="10">
        <v>39</v>
      </c>
      <c r="N4926" s="17">
        <v>28</v>
      </c>
      <c r="O4926" s="18">
        <v>2633</v>
      </c>
      <c r="P4926" s="18">
        <v>2651</v>
      </c>
      <c r="Q4926" s="15"/>
      <c r="R4926" t="s" s="16">
        <f>HYPERLINK("http://secrets.rutgers.edu:8080/data/asl-ftp/asllvd/demos/verify_start_end_handshape_annotations//test_auto_move//signs_mov_separ_signers/Brady_1079.mov","MOV")</f>
        <v>21</v>
      </c>
    </row>
    <row r="4927" s="2" customFormat="1" ht="13.5" customHeight="1">
      <c r="B4927" s="13"/>
      <c r="C4927" t="s" s="9">
        <v>30</v>
      </c>
      <c r="D4927" t="s" s="8">
        <v>1677</v>
      </c>
      <c r="E4927" t="s" s="9">
        <v>1677</v>
      </c>
      <c r="F4927" s="19">
        <v>5</v>
      </c>
      <c r="G4927" s="17">
        <v>5</v>
      </c>
      <c r="H4927" t="s" s="10">
        <v>63</v>
      </c>
      <c r="I4927" s="17">
        <v>5</v>
      </c>
      <c r="J4927" t="s" s="11">
        <v>20</v>
      </c>
      <c r="K4927" s="15"/>
      <c r="L4927" t="s" s="16">
        <f>HYPERLINK("http://csr.bu.edu/ftp/asl/asllvd/demos/verify_start_end_handshape_annotations//test_auto_move//signs_mov_separ_signers/Brady_15120.mov","MOV")</f>
        <v>21</v>
      </c>
      <c r="M4927" t="s" s="10">
        <v>39</v>
      </c>
      <c r="N4927" s="17">
        <v>28</v>
      </c>
      <c r="O4927" s="18">
        <v>4955</v>
      </c>
      <c r="P4927" s="18">
        <v>4978</v>
      </c>
      <c r="Q4927" s="15"/>
      <c r="R4927" t="s" s="16">
        <f>HYPERLINK("http://secrets.rutgers.edu:8080/data/asl-ftp/asllvd/demos/verify_start_end_handshape_annotations//test_auto_move//signs_mov_separ_signers/Brady_15120.mov","MOV")</f>
        <v>21</v>
      </c>
    </row>
    <row r="4928" s="2" customFormat="1" ht="13.5" customHeight="1">
      <c r="B4928" t="s" s="8">
        <v>1678</v>
      </c>
      <c r="C4928" t="s" s="9">
        <v>14</v>
      </c>
      <c r="D4928" t="s" s="8">
        <v>14</v>
      </c>
      <c r="E4928" t="s" s="9">
        <v>14</v>
      </c>
      <c r="F4928" t="s" s="10">
        <v>14</v>
      </c>
      <c r="G4928" t="s" s="11">
        <v>14</v>
      </c>
      <c r="H4928" t="s" s="10">
        <v>14</v>
      </c>
      <c r="I4928" t="s" s="11">
        <v>14</v>
      </c>
      <c r="J4928" t="s" s="11">
        <v>14</v>
      </c>
      <c r="K4928" t="s" s="12">
        <v>14</v>
      </c>
      <c r="L4928" t="s" s="12">
        <v>14</v>
      </c>
      <c r="M4928" t="s" s="10">
        <v>14</v>
      </c>
      <c r="N4928" t="s" s="11">
        <v>14</v>
      </c>
      <c r="O4928" t="s" s="8">
        <v>14</v>
      </c>
      <c r="P4928" t="s" s="8">
        <v>14</v>
      </c>
      <c r="Q4928" t="s" s="12">
        <v>14</v>
      </c>
      <c r="R4928" t="s" s="12">
        <v>14</v>
      </c>
    </row>
    <row r="4929" s="2" customFormat="1" ht="13.5" customHeight="1">
      <c r="B4929" s="13"/>
      <c r="C4929" t="s" s="9">
        <v>16</v>
      </c>
      <c r="D4929" t="s" s="8">
        <v>1678</v>
      </c>
      <c r="E4929" t="s" s="9">
        <v>1678</v>
      </c>
      <c r="F4929" s="19">
        <v>5</v>
      </c>
      <c r="G4929" t="s" s="11">
        <v>72</v>
      </c>
      <c r="H4929" t="s" s="10">
        <v>68</v>
      </c>
      <c r="I4929" t="s" s="11">
        <v>68</v>
      </c>
      <c r="J4929" t="s" s="11">
        <v>20</v>
      </c>
      <c r="K4929" t="s" s="16">
        <f>HYPERLINK("http://csr.bu.edu/ftp/asl/asllvd/demos/verify_start_end_handshape_annotations//test_auto_move//signs_mov/15829.mov","MOV")</f>
        <v>21</v>
      </c>
      <c r="L4929" t="s" s="16">
        <f>HYPERLINK("http://csr.bu.edu/ftp/asl/asllvd/demos/verify_start_end_handshape_annotations//test_auto_move//signs_mov_separ_signers/Liz_15829.mov","MOV")</f>
        <v>21</v>
      </c>
      <c r="M4929" t="s" s="10">
        <v>59</v>
      </c>
      <c r="N4929" s="17">
        <v>42</v>
      </c>
      <c r="O4929" s="18">
        <v>1905</v>
      </c>
      <c r="P4929" s="18">
        <v>1940</v>
      </c>
      <c r="Q4929" t="s" s="16">
        <f>HYPERLINK("http://secrets.rutgers.edu:8080/data/asl-ftp/asllvd/demos/verify_start_end_handshape_annotations//test_auto_move//signs_mov/15829.mov","MOV")</f>
        <v>21</v>
      </c>
      <c r="R4929" t="s" s="16">
        <f>HYPERLINK("http://secrets.rutgers.edu:8080/data/asl-ftp/asllvd/demos/verify_start_end_handshape_annotations//test_auto_move//signs_mov_separ_signers/Liz_15829.mov","MOV")</f>
        <v>21</v>
      </c>
    </row>
    <row r="4930" s="2" customFormat="1" ht="13.5" customHeight="1">
      <c r="B4930" s="13"/>
      <c r="C4930" t="s" s="9">
        <v>30</v>
      </c>
      <c r="D4930" t="s" s="8">
        <v>1678</v>
      </c>
      <c r="E4930" t="s" s="9">
        <v>1678</v>
      </c>
      <c r="F4930" t="s" s="10">
        <v>72</v>
      </c>
      <c r="G4930" t="s" s="11">
        <v>72</v>
      </c>
      <c r="H4930" t="s" s="10">
        <v>68</v>
      </c>
      <c r="I4930" t="s" s="11">
        <v>68</v>
      </c>
      <c r="J4930" t="s" s="11">
        <v>20</v>
      </c>
      <c r="K4930" s="15"/>
      <c r="L4930" t="s" s="16">
        <f>HYPERLINK("http://csr.bu.edu/ftp/asl/asllvd/demos/verify_start_end_handshape_annotations//test_auto_move//signs_mov_separ_signers/Brady_15829.mov","MOV")</f>
        <v>21</v>
      </c>
      <c r="M4930" t="s" s="10">
        <v>60</v>
      </c>
      <c r="N4930" s="17">
        <v>30</v>
      </c>
      <c r="O4930" s="18">
        <v>1821</v>
      </c>
      <c r="P4930" s="18">
        <v>1845</v>
      </c>
      <c r="Q4930" s="15"/>
      <c r="R4930" t="s" s="16">
        <f>HYPERLINK("http://secrets.rutgers.edu:8080/data/asl-ftp/asllvd/demos/verify_start_end_handshape_annotations//test_auto_move//signs_mov_separ_signers/Brady_15829.mov","MOV")</f>
        <v>21</v>
      </c>
    </row>
    <row r="4931" s="2" customFormat="1" ht="13.5" customHeight="1">
      <c r="B4931" t="s" s="8">
        <v>1679</v>
      </c>
      <c r="C4931" t="s" s="9">
        <v>14</v>
      </c>
      <c r="D4931" t="s" s="8">
        <v>14</v>
      </c>
      <c r="E4931" t="s" s="9">
        <v>14</v>
      </c>
      <c r="F4931" t="s" s="10">
        <v>14</v>
      </c>
      <c r="G4931" t="s" s="11">
        <v>14</v>
      </c>
      <c r="H4931" t="s" s="10">
        <v>14</v>
      </c>
      <c r="I4931" t="s" s="11">
        <v>14</v>
      </c>
      <c r="J4931" t="s" s="11">
        <v>14</v>
      </c>
      <c r="K4931" t="s" s="12">
        <v>14</v>
      </c>
      <c r="L4931" t="s" s="12">
        <v>14</v>
      </c>
      <c r="M4931" t="s" s="10">
        <v>14</v>
      </c>
      <c r="N4931" t="s" s="11">
        <v>14</v>
      </c>
      <c r="O4931" t="s" s="8">
        <v>14</v>
      </c>
      <c r="P4931" t="s" s="8">
        <v>14</v>
      </c>
      <c r="Q4931" t="s" s="12">
        <v>14</v>
      </c>
      <c r="R4931" t="s" s="12">
        <v>14</v>
      </c>
    </row>
    <row r="4932" s="2" customFormat="1" ht="13.5" customHeight="1">
      <c r="B4932" s="13"/>
      <c r="C4932" t="s" s="9">
        <v>16</v>
      </c>
      <c r="D4932" t="s" s="8">
        <v>1679</v>
      </c>
      <c r="E4932" t="s" s="9">
        <v>1679</v>
      </c>
      <c r="F4932" t="s" s="10">
        <v>337</v>
      </c>
      <c r="G4932" t="s" s="11">
        <v>73</v>
      </c>
      <c r="H4932" t="s" s="10">
        <v>337</v>
      </c>
      <c r="I4932" t="s" s="11">
        <v>73</v>
      </c>
      <c r="J4932" t="s" s="11">
        <v>20</v>
      </c>
      <c r="K4932" s="15"/>
      <c r="L4932" t="s" s="16">
        <f>HYPERLINK("http://csr.bu.edu/ftp/asl/asllvd/demos/verify_start_end_handshape_annotations//test_auto_move//signs_mov_separ_signers/Liz_1080.mov","MOV")</f>
        <v>21</v>
      </c>
      <c r="M4932" t="s" s="10">
        <v>34</v>
      </c>
      <c r="N4932" s="17">
        <v>11</v>
      </c>
      <c r="O4932" s="18">
        <v>257</v>
      </c>
      <c r="P4932" s="18">
        <v>330</v>
      </c>
      <c r="Q4932" s="15"/>
      <c r="R4932" t="s" s="16">
        <f>HYPERLINK("http://secrets.rutgers.edu:8080/data/asl-ftp/asllvd/demos/verify_start_end_handshape_annotations//test_auto_move//signs_mov_separ_signers/Liz_1080.mov","MOV")</f>
        <v>21</v>
      </c>
    </row>
    <row r="4933" s="2" customFormat="1" ht="13.5" customHeight="1">
      <c r="B4933" s="13"/>
      <c r="C4933" t="s" s="9">
        <v>23</v>
      </c>
      <c r="D4933" t="s" s="8">
        <v>1679</v>
      </c>
      <c r="E4933" t="s" s="9">
        <v>1679</v>
      </c>
      <c r="F4933" t="s" s="10">
        <v>337</v>
      </c>
      <c r="G4933" t="s" s="11">
        <v>73</v>
      </c>
      <c r="H4933" t="s" s="10">
        <v>337</v>
      </c>
      <c r="I4933" t="s" s="11">
        <v>73</v>
      </c>
      <c r="J4933" t="s" s="11">
        <v>20</v>
      </c>
      <c r="K4933" s="15"/>
      <c r="L4933" t="s" s="16">
        <f>HYPERLINK("http://csr.bu.edu/ftp/asl/asllvd/demos/verify_start_end_handshape_annotations//test_auto_move//signs_mov_separ_signers/Tyler_1080.mov","MOV")</f>
        <v>21</v>
      </c>
      <c r="M4933" t="s" s="10">
        <v>92</v>
      </c>
      <c r="N4933" s="17">
        <v>40</v>
      </c>
      <c r="O4933" s="18">
        <v>2640</v>
      </c>
      <c r="P4933" s="18">
        <v>2675</v>
      </c>
      <c r="Q4933" s="15"/>
      <c r="R4933" t="s" s="16">
        <f>HYPERLINK("http://secrets.rutgers.edu:8080/data/asl-ftp/asllvd/demos/verify_start_end_handshape_annotations//test_auto_move//signs_mov_separ_signers/Tyler_1080.mov","MOV")</f>
        <v>21</v>
      </c>
    </row>
    <row r="4934" s="2" customFormat="1" ht="13.5" customHeight="1">
      <c r="B4934" s="13"/>
      <c r="C4934" t="s" s="9">
        <v>27</v>
      </c>
      <c r="D4934" t="s" s="8">
        <v>1679</v>
      </c>
      <c r="E4934" t="s" s="9">
        <v>1679</v>
      </c>
      <c r="F4934" t="s" s="10">
        <v>626</v>
      </c>
      <c r="G4934" t="s" s="11">
        <v>73</v>
      </c>
      <c r="H4934" t="s" s="10">
        <v>626</v>
      </c>
      <c r="I4934" t="s" s="11">
        <v>73</v>
      </c>
      <c r="J4934" t="s" s="11">
        <v>20</v>
      </c>
      <c r="K4934" t="s" s="16">
        <f>HYPERLINK("http://csr.bu.edu/ftp/asl/asllvd/demos/verify_start_end_handshape_annotations//test_auto_move//signs_mov/1080.mov","MOV")</f>
        <v>21</v>
      </c>
      <c r="L4934" t="s" s="16">
        <f>HYPERLINK("http://csr.bu.edu/ftp/asl/asllvd/demos/verify_start_end_handshape_annotations//test_auto_move//signs_mov_separ_signers/Naomi_1080.mov","MOV")</f>
        <v>21</v>
      </c>
      <c r="M4934" t="s" s="10">
        <v>38</v>
      </c>
      <c r="N4934" s="17">
        <v>8</v>
      </c>
      <c r="O4934" s="18">
        <v>3638</v>
      </c>
      <c r="P4934" s="18">
        <v>3675</v>
      </c>
      <c r="Q4934" t="s" s="16">
        <f>HYPERLINK("http://secrets.rutgers.edu:8080/data/asl-ftp/asllvd/demos/verify_start_end_handshape_annotations//test_auto_move//signs_mov/1080.mov","MOV")</f>
        <v>21</v>
      </c>
      <c r="R4934" t="s" s="16">
        <f>HYPERLINK("http://secrets.rutgers.edu:8080/data/asl-ftp/asllvd/demos/verify_start_end_handshape_annotations//test_auto_move//signs_mov_separ_signers/Naomi_1080.mov","MOV")</f>
        <v>21</v>
      </c>
    </row>
    <row r="4935" s="2" customFormat="1" ht="13.5" customHeight="1">
      <c r="B4935" s="13"/>
      <c r="C4935" t="s" s="9">
        <v>30</v>
      </c>
      <c r="D4935" t="s" s="8">
        <v>1679</v>
      </c>
      <c r="E4935" t="s" s="9">
        <v>1679</v>
      </c>
      <c r="F4935" t="s" s="10">
        <v>337</v>
      </c>
      <c r="G4935" t="s" s="11">
        <v>73</v>
      </c>
      <c r="H4935" t="s" s="10">
        <v>337</v>
      </c>
      <c r="I4935" t="s" s="11">
        <v>73</v>
      </c>
      <c r="J4935" t="s" s="11">
        <v>20</v>
      </c>
      <c r="K4935" s="15"/>
      <c r="L4935" t="s" s="16">
        <f>HYPERLINK("http://csr.bu.edu/ftp/asl/asllvd/demos/verify_start_end_handshape_annotations//test_auto_move//signs_mov_separ_signers/Brady_1080.mov","MOV")</f>
        <v>21</v>
      </c>
      <c r="M4935" t="s" s="10">
        <v>39</v>
      </c>
      <c r="N4935" s="17">
        <v>28</v>
      </c>
      <c r="O4935" s="18">
        <v>7531</v>
      </c>
      <c r="P4935" s="18">
        <v>7574</v>
      </c>
      <c r="Q4935" s="15"/>
      <c r="R4935" t="s" s="16">
        <f>HYPERLINK("http://secrets.rutgers.edu:8080/data/asl-ftp/asllvd/demos/verify_start_end_handshape_annotations//test_auto_move//signs_mov_separ_signers/Brady_1080.mov","MOV")</f>
        <v>21</v>
      </c>
    </row>
    <row r="4936" s="2" customFormat="1" ht="13.5" customHeight="1">
      <c r="B4936" s="13"/>
      <c r="C4936" t="s" s="9">
        <v>41</v>
      </c>
      <c r="D4936" t="s" s="8">
        <v>1679</v>
      </c>
      <c r="E4936" t="s" s="9">
        <v>1679</v>
      </c>
      <c r="F4936" t="s" s="10">
        <v>337</v>
      </c>
      <c r="G4936" t="s" s="11">
        <v>73</v>
      </c>
      <c r="H4936" t="s" s="10">
        <v>337</v>
      </c>
      <c r="I4936" t="s" s="11">
        <v>73</v>
      </c>
      <c r="J4936" t="s" s="11">
        <v>20</v>
      </c>
      <c r="K4936" s="15"/>
      <c r="L4936" t="s" s="16">
        <f>HYPERLINK("http://csr.bu.edu/ftp/asl/asllvd/demos/verify_start_end_handshape_annotations//test_auto_move//signs_mov_separ_signers/Lana_1080.mov","MOV")</f>
        <v>21</v>
      </c>
      <c r="M4936" t="s" s="10">
        <v>42</v>
      </c>
      <c r="N4936" s="17">
        <v>12</v>
      </c>
      <c r="O4936" s="18">
        <v>1004</v>
      </c>
      <c r="P4936" s="18">
        <v>1042</v>
      </c>
      <c r="Q4936" s="15"/>
      <c r="R4936" t="s" s="16">
        <f>HYPERLINK("http://secrets.rutgers.edu:8080/data/asl-ftp/asllvd/demos/verify_start_end_handshape_annotations//test_auto_move//signs_mov_separ_signers/Lana_1080.mov","MOV")</f>
        <v>21</v>
      </c>
    </row>
    <row r="4937" s="2" customFormat="1" ht="13.5" customHeight="1">
      <c r="B4937" s="13"/>
      <c r="C4937" t="s" s="9">
        <v>43</v>
      </c>
      <c r="D4937" t="s" s="8">
        <v>1679</v>
      </c>
      <c r="E4937" t="s" s="9">
        <v>1679</v>
      </c>
      <c r="F4937" t="s" s="10">
        <v>501</v>
      </c>
      <c r="G4937" t="s" s="11">
        <v>73</v>
      </c>
      <c r="H4937" t="s" s="10">
        <v>501</v>
      </c>
      <c r="I4937" t="s" s="11">
        <v>73</v>
      </c>
      <c r="J4937" t="s" s="11">
        <v>20</v>
      </c>
      <c r="K4937" s="15"/>
      <c r="L4937" t="s" s="16">
        <f>HYPERLINK("http://csr.bu.edu/ftp/asl/asllvd/demos/verify_start_end_handshape_annotations//test_auto_move//signs_mov_separ_signers/Dana_1080.mov","MOV")</f>
        <v>21</v>
      </c>
      <c r="M4937" t="s" s="10">
        <v>44</v>
      </c>
      <c r="N4937" s="17">
        <v>16</v>
      </c>
      <c r="O4937" s="18">
        <v>851</v>
      </c>
      <c r="P4937" s="18">
        <v>892</v>
      </c>
      <c r="Q4937" s="15"/>
      <c r="R4937" t="s" s="16">
        <f>HYPERLINK("http://secrets.rutgers.edu:8080/data/asl-ftp/asllvd/demos/verify_start_end_handshape_annotations//test_auto_move//signs_mov_separ_signers/Dana_1080.mov","MOV")</f>
        <v>21</v>
      </c>
    </row>
    <row r="4938" s="2" customFormat="1" ht="13.5" customHeight="1">
      <c r="B4938" t="s" s="8">
        <v>1680</v>
      </c>
      <c r="C4938" t="s" s="9">
        <v>14</v>
      </c>
      <c r="D4938" t="s" s="8">
        <v>14</v>
      </c>
      <c r="E4938" t="s" s="9">
        <v>14</v>
      </c>
      <c r="F4938" t="s" s="10">
        <v>14</v>
      </c>
      <c r="G4938" t="s" s="11">
        <v>14</v>
      </c>
      <c r="H4938" t="s" s="10">
        <v>14</v>
      </c>
      <c r="I4938" t="s" s="11">
        <v>14</v>
      </c>
      <c r="J4938" t="s" s="11">
        <v>14</v>
      </c>
      <c r="K4938" t="s" s="12">
        <v>14</v>
      </c>
      <c r="L4938" t="s" s="12">
        <v>14</v>
      </c>
      <c r="M4938" t="s" s="10">
        <v>14</v>
      </c>
      <c r="N4938" t="s" s="11">
        <v>14</v>
      </c>
      <c r="O4938" t="s" s="8">
        <v>14</v>
      </c>
      <c r="P4938" t="s" s="8">
        <v>14</v>
      </c>
      <c r="Q4938" t="s" s="12">
        <v>14</v>
      </c>
      <c r="R4938" t="s" s="12">
        <v>14</v>
      </c>
    </row>
    <row r="4939" s="2" customFormat="1" ht="13.5" customHeight="1">
      <c r="B4939" s="13"/>
      <c r="C4939" t="s" s="9">
        <v>16</v>
      </c>
      <c r="D4939" t="s" s="8">
        <v>1680</v>
      </c>
      <c r="E4939" t="s" s="9">
        <v>1681</v>
      </c>
      <c r="F4939" t="s" s="10">
        <v>229</v>
      </c>
      <c r="G4939" t="s" s="11">
        <v>73</v>
      </c>
      <c r="H4939" t="s" s="10">
        <v>229</v>
      </c>
      <c r="I4939" t="s" s="11">
        <v>73</v>
      </c>
      <c r="J4939" t="s" s="11">
        <v>20</v>
      </c>
      <c r="K4939" s="15"/>
      <c r="L4939" t="s" s="16">
        <f>HYPERLINK("http://csr.bu.edu/ftp/asl/asllvd/demos/verify_start_end_handshape_annotations//test_auto_move//signs_mov_separ_signers/Liz_1081.mov","MOV")</f>
        <v>21</v>
      </c>
      <c r="M4939" t="s" s="10">
        <v>34</v>
      </c>
      <c r="N4939" s="17">
        <v>11</v>
      </c>
      <c r="O4939" s="18">
        <v>471</v>
      </c>
      <c r="P4939" s="18">
        <v>522</v>
      </c>
      <c r="Q4939" s="15"/>
      <c r="R4939" t="s" s="16">
        <f>HYPERLINK("http://secrets.rutgers.edu:8080/data/asl-ftp/asllvd/demos/verify_start_end_handshape_annotations//test_auto_move//signs_mov_separ_signers/Liz_1081.mov","MOV")</f>
        <v>21</v>
      </c>
    </row>
    <row r="4940" s="2" customFormat="1" ht="13.5" customHeight="1">
      <c r="B4940" s="13"/>
      <c r="C4940" t="s" s="9">
        <v>16</v>
      </c>
      <c r="D4940" t="s" s="8">
        <v>1680</v>
      </c>
      <c r="E4940" t="s" s="9">
        <v>1682</v>
      </c>
      <c r="F4940" t="s" s="10">
        <v>229</v>
      </c>
      <c r="G4940" t="s" s="11">
        <v>73</v>
      </c>
      <c r="H4940" t="s" s="10">
        <v>229</v>
      </c>
      <c r="I4940" t="s" s="11">
        <v>73</v>
      </c>
      <c r="J4940" t="s" s="11">
        <v>20</v>
      </c>
      <c r="K4940" s="15"/>
      <c r="L4940" t="s" s="16">
        <f>HYPERLINK("http://csr.bu.edu/ftp/asl/asllvd/demos/verify_start_end_handshape_annotations//test_auto_move//signs_mov_separ_signers/Liz_3407.mov","MOV")</f>
        <v>21</v>
      </c>
      <c r="M4940" t="s" s="10">
        <v>77</v>
      </c>
      <c r="N4940" s="17">
        <v>30</v>
      </c>
      <c r="O4940" s="18">
        <v>575</v>
      </c>
      <c r="P4940" s="18">
        <v>631</v>
      </c>
      <c r="Q4940" s="15"/>
      <c r="R4940" t="s" s="16">
        <f>HYPERLINK("http://secrets.rutgers.edu:8080/data/asl-ftp/asllvd/demos/verify_start_end_handshape_annotations//test_auto_move//signs_mov_separ_signers/Liz_3407.mov","MOV")</f>
        <v>21</v>
      </c>
    </row>
    <row r="4941" s="2" customFormat="1" ht="13.5" customHeight="1">
      <c r="B4941" s="13"/>
      <c r="C4941" t="s" s="9">
        <v>27</v>
      </c>
      <c r="D4941" t="s" s="8">
        <v>1680</v>
      </c>
      <c r="E4941" t="s" s="9">
        <v>1682</v>
      </c>
      <c r="F4941" t="s" s="10">
        <v>229</v>
      </c>
      <c r="G4941" t="s" s="11">
        <v>73</v>
      </c>
      <c r="H4941" t="s" s="10">
        <v>229</v>
      </c>
      <c r="I4941" t="s" s="11">
        <v>73</v>
      </c>
      <c r="J4941" t="s" s="11">
        <v>20</v>
      </c>
      <c r="K4941" t="s" s="16">
        <f>HYPERLINK("http://csr.bu.edu/ftp/asl/asllvd/demos/verify_start_end_handshape_annotations//test_auto_move//signs_mov/1081_3407_15131_merged.mov","MOV")</f>
        <v>21</v>
      </c>
      <c r="L4941" t="s" s="16">
        <f>HYPERLINK("http://csr.bu.edu/ftp/asl/asllvd/demos/verify_start_end_handshape_annotations//test_auto_move//signs_mov_separ_signers/Naomi_1081.mov","MOV")</f>
        <v>21</v>
      </c>
      <c r="M4941" t="s" s="10">
        <v>38</v>
      </c>
      <c r="N4941" s="17">
        <v>9</v>
      </c>
      <c r="O4941" s="18">
        <v>290</v>
      </c>
      <c r="P4941" s="18">
        <v>320</v>
      </c>
      <c r="Q4941" t="s" s="16">
        <f>HYPERLINK("http://secrets.rutgers.edu:8080/data/asl-ftp/asllvd/demos/verify_start_end_handshape_annotations//test_auto_move//signs_mov/1081_3407_15131_merged.mov","MOV")</f>
        <v>21</v>
      </c>
      <c r="R4941" t="s" s="16">
        <f>HYPERLINK("http://secrets.rutgers.edu:8080/data/asl-ftp/asllvd/demos/verify_start_end_handshape_annotations//test_auto_move//signs_mov_separ_signers/Naomi_1081.mov","MOV")</f>
        <v>21</v>
      </c>
    </row>
    <row r="4942" s="2" customFormat="1" ht="13.5" customHeight="1">
      <c r="B4942" s="13"/>
      <c r="C4942" t="s" s="9">
        <v>30</v>
      </c>
      <c r="D4942" t="s" s="8">
        <v>1680</v>
      </c>
      <c r="E4942" t="s" s="9">
        <v>1681</v>
      </c>
      <c r="F4942" t="s" s="10">
        <v>220</v>
      </c>
      <c r="G4942" t="s" s="11">
        <v>260</v>
      </c>
      <c r="H4942" t="s" s="10">
        <v>220</v>
      </c>
      <c r="I4942" t="s" s="11">
        <v>260</v>
      </c>
      <c r="J4942" t="s" s="11">
        <v>20</v>
      </c>
      <c r="K4942" s="15"/>
      <c r="L4942" t="s" s="16">
        <f>HYPERLINK("http://csr.bu.edu/ftp/asl/asllvd/demos/verify_start_end_handshape_annotations//test_auto_move//signs_mov_separ_signers/Brady_1081.mov","MOV")</f>
        <v>21</v>
      </c>
      <c r="M4942" t="s" s="10">
        <v>39</v>
      </c>
      <c r="N4942" s="17">
        <v>28</v>
      </c>
      <c r="O4942" s="18">
        <v>5397</v>
      </c>
      <c r="P4942" s="18">
        <v>5431</v>
      </c>
      <c r="Q4942" s="15"/>
      <c r="R4942" t="s" s="16">
        <f>HYPERLINK("http://secrets.rutgers.edu:8080/data/asl-ftp/asllvd/demos/verify_start_end_handshape_annotations//test_auto_move//signs_mov_separ_signers/Brady_1081.mov","MOV")</f>
        <v>21</v>
      </c>
    </row>
    <row r="4943" s="2" customFormat="1" ht="13.5" customHeight="1">
      <c r="B4943" s="13"/>
      <c r="C4943" t="s" s="9">
        <v>30</v>
      </c>
      <c r="D4943" t="s" s="8">
        <v>1680</v>
      </c>
      <c r="E4943" t="s" s="9">
        <v>1682</v>
      </c>
      <c r="F4943" t="s" s="10">
        <v>220</v>
      </c>
      <c r="G4943" t="s" s="11">
        <v>73</v>
      </c>
      <c r="H4943" t="s" s="10">
        <v>220</v>
      </c>
      <c r="I4943" t="s" s="11">
        <v>73</v>
      </c>
      <c r="J4943" t="s" s="11">
        <v>20</v>
      </c>
      <c r="K4943" s="15"/>
      <c r="L4943" t="s" s="16">
        <f>HYPERLINK("http://csr.bu.edu/ftp/asl/asllvd/demos/verify_start_end_handshape_annotations//test_auto_move//signs_mov_separ_signers/Brady_3407.mov","MOV")</f>
        <v>21</v>
      </c>
      <c r="M4943" t="s" s="10">
        <v>39</v>
      </c>
      <c r="N4943" s="17">
        <v>28</v>
      </c>
      <c r="O4943" s="18">
        <v>5694</v>
      </c>
      <c r="P4943" s="18">
        <v>5719</v>
      </c>
      <c r="Q4943" s="15"/>
      <c r="R4943" t="s" s="16">
        <f>HYPERLINK("http://secrets.rutgers.edu:8080/data/asl-ftp/asllvd/demos/verify_start_end_handshape_annotations//test_auto_move//signs_mov_separ_signers/Brady_3407.mov","MOV")</f>
        <v>21</v>
      </c>
    </row>
    <row r="4944" s="2" customFormat="1" ht="13.5" customHeight="1">
      <c r="B4944" s="13"/>
      <c r="C4944" t="s" s="9">
        <v>30</v>
      </c>
      <c r="D4944" t="s" s="8">
        <v>1680</v>
      </c>
      <c r="E4944" t="s" s="9">
        <v>1682</v>
      </c>
      <c r="F4944" t="s" s="10">
        <v>220</v>
      </c>
      <c r="G4944" t="s" s="11">
        <v>73</v>
      </c>
      <c r="H4944" t="s" s="10">
        <v>220</v>
      </c>
      <c r="I4944" t="s" s="11">
        <v>73</v>
      </c>
      <c r="J4944" t="s" s="11">
        <v>20</v>
      </c>
      <c r="K4944" s="15"/>
      <c r="L4944" t="s" s="16">
        <f>HYPERLINK("http://csr.bu.edu/ftp/asl/asllvd/demos/verify_start_end_handshape_annotations//test_auto_move//signs_mov_separ_signers/Brady_15131.mov","MOV")</f>
        <v>21</v>
      </c>
      <c r="M4944" t="s" s="10">
        <v>39</v>
      </c>
      <c r="N4944" s="17">
        <v>28</v>
      </c>
      <c r="O4944" s="18">
        <v>7752</v>
      </c>
      <c r="P4944" s="18">
        <v>7776</v>
      </c>
      <c r="Q4944" s="15"/>
      <c r="R4944" t="s" s="16">
        <f>HYPERLINK("http://secrets.rutgers.edu:8080/data/asl-ftp/asllvd/demos/verify_start_end_handshape_annotations//test_auto_move//signs_mov_separ_signers/Brady_15131.mov","MOV")</f>
        <v>21</v>
      </c>
    </row>
    <row r="4945" s="2" customFormat="1" ht="13.5" customHeight="1">
      <c r="B4945" t="s" s="8">
        <v>1683</v>
      </c>
      <c r="C4945" t="s" s="9">
        <v>14</v>
      </c>
      <c r="D4945" t="s" s="8">
        <v>14</v>
      </c>
      <c r="E4945" t="s" s="9">
        <v>14</v>
      </c>
      <c r="F4945" t="s" s="10">
        <v>14</v>
      </c>
      <c r="G4945" t="s" s="11">
        <v>14</v>
      </c>
      <c r="H4945" t="s" s="10">
        <v>14</v>
      </c>
      <c r="I4945" t="s" s="11">
        <v>14</v>
      </c>
      <c r="J4945" t="s" s="11">
        <v>14</v>
      </c>
      <c r="K4945" t="s" s="12">
        <v>14</v>
      </c>
      <c r="L4945" t="s" s="12">
        <v>14</v>
      </c>
      <c r="M4945" t="s" s="10">
        <v>14</v>
      </c>
      <c r="N4945" t="s" s="11">
        <v>14</v>
      </c>
      <c r="O4945" t="s" s="8">
        <v>14</v>
      </c>
      <c r="P4945" t="s" s="8">
        <v>14</v>
      </c>
      <c r="Q4945" t="s" s="12">
        <v>14</v>
      </c>
      <c r="R4945" t="s" s="12">
        <v>14</v>
      </c>
    </row>
    <row r="4946" s="2" customFormat="1" ht="13.5" customHeight="1">
      <c r="B4946" s="13"/>
      <c r="C4946" t="s" s="9">
        <v>16</v>
      </c>
      <c r="D4946" t="s" s="8">
        <v>1683</v>
      </c>
      <c r="E4946" t="s" s="9">
        <v>1683</v>
      </c>
      <c r="F4946" t="s" s="10">
        <v>337</v>
      </c>
      <c r="G4946" t="s" s="11">
        <v>337</v>
      </c>
      <c r="H4946" t="s" s="10">
        <v>337</v>
      </c>
      <c r="I4946" t="s" s="11">
        <v>337</v>
      </c>
      <c r="J4946" t="s" s="11">
        <v>20</v>
      </c>
      <c r="K4946" s="15"/>
      <c r="L4946" t="s" s="16">
        <f>HYPERLINK("http://csr.bu.edu/ftp/asl/asllvd/demos/verify_start_end_handshape_annotations//test_auto_move//signs_mov_separ_signers/Liz_1082.mov","MOV")</f>
        <v>21</v>
      </c>
      <c r="M4946" t="s" s="10">
        <v>34</v>
      </c>
      <c r="N4946" s="17">
        <v>11</v>
      </c>
      <c r="O4946" s="18">
        <v>740</v>
      </c>
      <c r="P4946" s="18">
        <v>792</v>
      </c>
      <c r="Q4946" s="15"/>
      <c r="R4946" t="s" s="16">
        <f>HYPERLINK("http://secrets.rutgers.edu:8080/data/asl-ftp/asllvd/demos/verify_start_end_handshape_annotations//test_auto_move//signs_mov_separ_signers/Liz_1082.mov","MOV")</f>
        <v>21</v>
      </c>
    </row>
    <row r="4947" s="2" customFormat="1" ht="13.5" customHeight="1">
      <c r="B4947" s="13"/>
      <c r="C4947" t="s" s="9">
        <v>23</v>
      </c>
      <c r="D4947" t="s" s="8">
        <v>1683</v>
      </c>
      <c r="E4947" t="s" s="9">
        <v>1683</v>
      </c>
      <c r="F4947" t="s" s="10">
        <v>337</v>
      </c>
      <c r="G4947" t="s" s="11">
        <v>337</v>
      </c>
      <c r="H4947" t="s" s="10">
        <v>337</v>
      </c>
      <c r="I4947" t="s" s="11">
        <v>337</v>
      </c>
      <c r="J4947" t="s" s="11">
        <v>20</v>
      </c>
      <c r="K4947" t="s" s="16">
        <f>HYPERLINK("http://csr.bu.edu/ftp/asl/asllvd/demos/verify_start_end_handshape_annotations//test_auto_move//signs_mov/1082.mov","MOV")</f>
        <v>21</v>
      </c>
      <c r="L4947" t="s" s="16">
        <f>HYPERLINK("http://csr.bu.edu/ftp/asl/asllvd/demos/verify_start_end_handshape_annotations//test_auto_move//signs_mov_separ_signers/Tyler_1082.mov","MOV")</f>
        <v>21</v>
      </c>
      <c r="M4947" t="s" s="10">
        <v>92</v>
      </c>
      <c r="N4947" s="17">
        <v>41</v>
      </c>
      <c r="O4947" s="18">
        <v>1535</v>
      </c>
      <c r="P4947" s="18">
        <v>1562</v>
      </c>
      <c r="Q4947" t="s" s="16">
        <f>HYPERLINK("http://secrets.rutgers.edu:8080/data/asl-ftp/asllvd/demos/verify_start_end_handshape_annotations//test_auto_move//signs_mov/1082.mov","MOV")</f>
        <v>21</v>
      </c>
      <c r="R4947" t="s" s="16">
        <f>HYPERLINK("http://secrets.rutgers.edu:8080/data/asl-ftp/asllvd/demos/verify_start_end_handshape_annotations//test_auto_move//signs_mov_separ_signers/Tyler_1082.mov","MOV")</f>
        <v>21</v>
      </c>
    </row>
    <row r="4948" s="2" customFormat="1" ht="13.5" customHeight="1">
      <c r="B4948" s="13"/>
      <c r="C4948" t="s" s="9">
        <v>27</v>
      </c>
      <c r="D4948" t="s" s="8">
        <v>1683</v>
      </c>
      <c r="E4948" t="s" s="9">
        <v>1683</v>
      </c>
      <c r="F4948" t="s" s="10">
        <v>626</v>
      </c>
      <c r="G4948" t="s" s="11">
        <v>626</v>
      </c>
      <c r="H4948" t="s" s="10">
        <v>626</v>
      </c>
      <c r="I4948" t="s" s="11">
        <v>626</v>
      </c>
      <c r="J4948" t="s" s="11">
        <v>20</v>
      </c>
      <c r="K4948" s="15"/>
      <c r="L4948" t="s" s="16">
        <f>HYPERLINK("http://csr.bu.edu/ftp/asl/asllvd/demos/verify_start_end_handshape_annotations//test_auto_move//signs_mov_separ_signers/Naomi_1082.mov","MOV")</f>
        <v>21</v>
      </c>
      <c r="M4948" t="s" s="10">
        <v>38</v>
      </c>
      <c r="N4948" s="17">
        <v>9</v>
      </c>
      <c r="O4948" s="18">
        <v>797</v>
      </c>
      <c r="P4948" s="18">
        <v>817</v>
      </c>
      <c r="Q4948" s="15"/>
      <c r="R4948" t="s" s="16">
        <f>HYPERLINK("http://secrets.rutgers.edu:8080/data/asl-ftp/asllvd/demos/verify_start_end_handshape_annotations//test_auto_move//signs_mov_separ_signers/Naomi_1082.mov","MOV")</f>
        <v>21</v>
      </c>
    </row>
    <row r="4949" s="2" customFormat="1" ht="13.5" customHeight="1">
      <c r="B4949" s="13"/>
      <c r="C4949" t="s" s="9">
        <v>30</v>
      </c>
      <c r="D4949" t="s" s="8">
        <v>1683</v>
      </c>
      <c r="E4949" t="s" s="9">
        <v>1683</v>
      </c>
      <c r="F4949" t="s" s="10">
        <v>337</v>
      </c>
      <c r="G4949" t="s" s="11">
        <v>337</v>
      </c>
      <c r="H4949" t="s" s="10">
        <v>337</v>
      </c>
      <c r="I4949" t="s" s="11">
        <v>337</v>
      </c>
      <c r="J4949" t="s" s="11">
        <v>20</v>
      </c>
      <c r="K4949" s="15"/>
      <c r="L4949" t="s" s="16">
        <f>HYPERLINK("http://csr.bu.edu/ftp/asl/asllvd/demos/verify_start_end_handshape_annotations//test_auto_move//signs_mov_separ_signers/Brady_1082.mov","MOV")</f>
        <v>21</v>
      </c>
      <c r="M4949" t="s" s="10">
        <v>39</v>
      </c>
      <c r="N4949" s="17">
        <v>28</v>
      </c>
      <c r="O4949" s="18">
        <v>7978</v>
      </c>
      <c r="P4949" s="18">
        <v>8008</v>
      </c>
      <c r="Q4949" s="15"/>
      <c r="R4949" t="s" s="16">
        <f>HYPERLINK("http://secrets.rutgers.edu:8080/data/asl-ftp/asllvd/demos/verify_start_end_handshape_annotations//test_auto_move//signs_mov_separ_signers/Brady_1082.mov","MOV")</f>
        <v>21</v>
      </c>
    </row>
    <row r="4950" s="2" customFormat="1" ht="13.5" customHeight="1">
      <c r="B4950" t="s" s="8">
        <v>1684</v>
      </c>
      <c r="C4950" t="s" s="9">
        <v>14</v>
      </c>
      <c r="D4950" t="s" s="8">
        <v>14</v>
      </c>
      <c r="E4950" t="s" s="9">
        <v>14</v>
      </c>
      <c r="F4950" t="s" s="10">
        <v>14</v>
      </c>
      <c r="G4950" t="s" s="11">
        <v>14</v>
      </c>
      <c r="H4950" t="s" s="10">
        <v>14</v>
      </c>
      <c r="I4950" t="s" s="11">
        <v>14</v>
      </c>
      <c r="J4950" t="s" s="11">
        <v>14</v>
      </c>
      <c r="K4950" t="s" s="12">
        <v>14</v>
      </c>
      <c r="L4950" t="s" s="12">
        <v>14</v>
      </c>
      <c r="M4950" t="s" s="10">
        <v>14</v>
      </c>
      <c r="N4950" t="s" s="11">
        <v>14</v>
      </c>
      <c r="O4950" t="s" s="8">
        <v>14</v>
      </c>
      <c r="P4950" t="s" s="8">
        <v>14</v>
      </c>
      <c r="Q4950" t="s" s="12">
        <v>14</v>
      </c>
      <c r="R4950" t="s" s="12">
        <v>14</v>
      </c>
    </row>
    <row r="4951" s="2" customFormat="1" ht="13.5" customHeight="1">
      <c r="B4951" s="13"/>
      <c r="C4951" t="s" s="9">
        <v>16</v>
      </c>
      <c r="D4951" t="s" s="8">
        <v>1684</v>
      </c>
      <c r="E4951" t="s" s="9">
        <v>1684</v>
      </c>
      <c r="F4951" s="19">
        <v>5</v>
      </c>
      <c r="G4951" s="14"/>
      <c r="H4951" s="19">
        <v>5</v>
      </c>
      <c r="I4951" s="14"/>
      <c r="J4951" t="s" s="11">
        <v>20</v>
      </c>
      <c r="K4951" s="15"/>
      <c r="L4951" t="s" s="16">
        <f>HYPERLINK("http://csr.bu.edu/ftp/asl/asllvd/demos/verify_start_end_handshape_annotations//test_auto_move//signs_mov_separ_signers/Liz_1084.mov","MOV")</f>
        <v>21</v>
      </c>
      <c r="M4951" t="s" s="10">
        <v>34</v>
      </c>
      <c r="N4951" s="17">
        <v>11</v>
      </c>
      <c r="O4951" s="18">
        <v>1215</v>
      </c>
      <c r="P4951" s="18">
        <v>1257</v>
      </c>
      <c r="Q4951" s="15"/>
      <c r="R4951" t="s" s="16">
        <f>HYPERLINK("http://secrets.rutgers.edu:8080/data/asl-ftp/asllvd/demos/verify_start_end_handshape_annotations//test_auto_move//signs_mov_separ_signers/Liz_1084.mov","MOV")</f>
        <v>21</v>
      </c>
    </row>
    <row r="4952" s="2" customFormat="1" ht="13.5" customHeight="1">
      <c r="B4952" s="13"/>
      <c r="C4952" t="s" s="9">
        <v>23</v>
      </c>
      <c r="D4952" t="s" s="8">
        <v>1684</v>
      </c>
      <c r="E4952" t="s" s="9">
        <v>1684</v>
      </c>
      <c r="F4952" s="19">
        <v>5</v>
      </c>
      <c r="G4952" s="14"/>
      <c r="H4952" s="19">
        <v>5</v>
      </c>
      <c r="I4952" s="14"/>
      <c r="J4952" t="s" s="11">
        <v>20</v>
      </c>
      <c r="K4952" s="15"/>
      <c r="L4952" t="s" s="16">
        <f>HYPERLINK("http://csr.bu.edu/ftp/asl/asllvd/demos/verify_start_end_handshape_annotations//test_auto_move//signs_mov_separ_signers/Tyler_1084.mov","MOV")</f>
        <v>21</v>
      </c>
      <c r="M4952" t="s" s="10">
        <v>92</v>
      </c>
      <c r="N4952" s="17">
        <v>41</v>
      </c>
      <c r="O4952" s="18">
        <v>1870</v>
      </c>
      <c r="P4952" s="18">
        <v>1901</v>
      </c>
      <c r="Q4952" s="15"/>
      <c r="R4952" t="s" s="16">
        <f>HYPERLINK("http://secrets.rutgers.edu:8080/data/asl-ftp/asllvd/demos/verify_start_end_handshape_annotations//test_auto_move//signs_mov_separ_signers/Tyler_1084.mov","MOV")</f>
        <v>21</v>
      </c>
    </row>
    <row r="4953" s="2" customFormat="1" ht="13.5" customHeight="1">
      <c r="B4953" s="13"/>
      <c r="C4953" t="s" s="9">
        <v>27</v>
      </c>
      <c r="D4953" t="s" s="8">
        <v>1684</v>
      </c>
      <c r="E4953" t="s" s="9">
        <v>1684</v>
      </c>
      <c r="F4953" s="19">
        <v>5</v>
      </c>
      <c r="G4953" s="14"/>
      <c r="H4953" t="s" s="10">
        <v>72</v>
      </c>
      <c r="I4953" s="14"/>
      <c r="J4953" t="s" s="11">
        <v>20</v>
      </c>
      <c r="K4953" t="s" s="16">
        <f>HYPERLINK("http://csr.bu.edu/ftp/asl/asllvd/demos/verify_start_end_handshape_annotations//test_auto_move//signs_mov/1084.mov","MOV")</f>
        <v>21</v>
      </c>
      <c r="L4953" t="s" s="16">
        <f>HYPERLINK("http://csr.bu.edu/ftp/asl/asllvd/demos/verify_start_end_handshape_annotations//test_auto_move//signs_mov_separ_signers/Naomi_1084.mov","MOV")</f>
        <v>21</v>
      </c>
      <c r="M4953" t="s" s="10">
        <v>38</v>
      </c>
      <c r="N4953" s="17">
        <v>9</v>
      </c>
      <c r="O4953" s="18">
        <v>1305</v>
      </c>
      <c r="P4953" s="18">
        <v>1332</v>
      </c>
      <c r="Q4953" t="s" s="16">
        <f>HYPERLINK("http://secrets.rutgers.edu:8080/data/asl-ftp/asllvd/demos/verify_start_end_handshape_annotations//test_auto_move//signs_mov/1084.mov","MOV")</f>
        <v>21</v>
      </c>
      <c r="R4953" t="s" s="16">
        <f>HYPERLINK("http://secrets.rutgers.edu:8080/data/asl-ftp/asllvd/demos/verify_start_end_handshape_annotations//test_auto_move//signs_mov_separ_signers/Naomi_1084.mov","MOV")</f>
        <v>21</v>
      </c>
    </row>
    <row r="4954" s="2" customFormat="1" ht="13.5" customHeight="1">
      <c r="B4954" s="13"/>
      <c r="C4954" t="s" s="9">
        <v>30</v>
      </c>
      <c r="D4954" t="s" s="8">
        <v>1684</v>
      </c>
      <c r="E4954" t="s" s="9">
        <v>1684</v>
      </c>
      <c r="F4954" s="19">
        <v>5</v>
      </c>
      <c r="G4954" s="14"/>
      <c r="H4954" s="19">
        <v>5</v>
      </c>
      <c r="I4954" s="14"/>
      <c r="J4954" t="s" s="11">
        <v>20</v>
      </c>
      <c r="K4954" s="15"/>
      <c r="L4954" t="s" s="16">
        <f>HYPERLINK("http://csr.bu.edu/ftp/asl/asllvd/demos/verify_start_end_handshape_annotations//test_auto_move//signs_mov_separ_signers/Brady_1084.mov","MOV")</f>
        <v>21</v>
      </c>
      <c r="M4954" t="s" s="10">
        <v>39</v>
      </c>
      <c r="N4954" s="17">
        <v>28</v>
      </c>
      <c r="O4954" s="18">
        <v>8994</v>
      </c>
      <c r="P4954" s="18">
        <v>9021</v>
      </c>
      <c r="Q4954" s="15"/>
      <c r="R4954" t="s" s="16">
        <f>HYPERLINK("http://secrets.rutgers.edu:8080/data/asl-ftp/asllvd/demos/verify_start_end_handshape_annotations//test_auto_move//signs_mov_separ_signers/Brady_1084.mov","MOV")</f>
        <v>21</v>
      </c>
    </row>
    <row r="4955" s="2" customFormat="1" ht="13.5" customHeight="1">
      <c r="B4955" s="13"/>
      <c r="C4955" t="s" s="9">
        <v>41</v>
      </c>
      <c r="D4955" t="s" s="8">
        <v>1684</v>
      </c>
      <c r="E4955" t="s" s="9">
        <v>1684</v>
      </c>
      <c r="F4955" s="19">
        <v>5</v>
      </c>
      <c r="G4955" s="14"/>
      <c r="H4955" s="19">
        <v>5</v>
      </c>
      <c r="I4955" s="14"/>
      <c r="J4955" t="s" s="11">
        <v>20</v>
      </c>
      <c r="K4955" s="15"/>
      <c r="L4955" t="s" s="16">
        <f>HYPERLINK("http://csr.bu.edu/ftp/asl/asllvd/demos/verify_start_end_handshape_annotations//test_auto_move//signs_mov_separ_signers/Lana_1084.mov","MOV")</f>
        <v>21</v>
      </c>
      <c r="M4955" t="s" s="10">
        <v>42</v>
      </c>
      <c r="N4955" s="17">
        <v>12</v>
      </c>
      <c r="O4955" s="18">
        <v>1842</v>
      </c>
      <c r="P4955" s="18">
        <v>1866</v>
      </c>
      <c r="Q4955" s="15"/>
      <c r="R4955" t="s" s="16">
        <f>HYPERLINK("http://secrets.rutgers.edu:8080/data/asl-ftp/asllvd/demos/verify_start_end_handshape_annotations//test_auto_move//signs_mov_separ_signers/Lana_1084.mov","MOV")</f>
        <v>21</v>
      </c>
    </row>
    <row r="4956" s="2" customFormat="1" ht="13.5" customHeight="1">
      <c r="B4956" s="13"/>
      <c r="C4956" t="s" s="9">
        <v>43</v>
      </c>
      <c r="D4956" t="s" s="8">
        <v>1684</v>
      </c>
      <c r="E4956" t="s" s="9">
        <v>1684</v>
      </c>
      <c r="F4956" s="19">
        <v>5</v>
      </c>
      <c r="G4956" s="14"/>
      <c r="H4956" s="19">
        <v>5</v>
      </c>
      <c r="I4956" s="14"/>
      <c r="J4956" t="s" s="11">
        <v>20</v>
      </c>
      <c r="K4956" s="15"/>
      <c r="L4956" t="s" s="16">
        <f>HYPERLINK("http://csr.bu.edu/ftp/asl/asllvd/demos/verify_start_end_handshape_annotations//test_auto_move//signs_mov_separ_signers/Dana_1084.mov","MOV")</f>
        <v>21</v>
      </c>
      <c r="M4956" t="s" s="10">
        <v>44</v>
      </c>
      <c r="N4956" s="17">
        <v>16</v>
      </c>
      <c r="O4956" s="18">
        <v>1693</v>
      </c>
      <c r="P4956" s="18">
        <v>1745</v>
      </c>
      <c r="Q4956" s="15"/>
      <c r="R4956" t="s" s="16">
        <f>HYPERLINK("http://secrets.rutgers.edu:8080/data/asl-ftp/asllvd/demos/verify_start_end_handshape_annotations//test_auto_move//signs_mov_separ_signers/Dana_1084.mov","MOV")</f>
        <v>21</v>
      </c>
    </row>
    <row r="4957" s="2" customFormat="1" ht="13.5" customHeight="1">
      <c r="B4957" t="s" s="8">
        <v>1685</v>
      </c>
      <c r="C4957" t="s" s="9">
        <v>14</v>
      </c>
      <c r="D4957" t="s" s="8">
        <v>14</v>
      </c>
      <c r="E4957" t="s" s="9">
        <v>14</v>
      </c>
      <c r="F4957" t="s" s="10">
        <v>14</v>
      </c>
      <c r="G4957" t="s" s="11">
        <v>14</v>
      </c>
      <c r="H4957" t="s" s="10">
        <v>14</v>
      </c>
      <c r="I4957" t="s" s="11">
        <v>14</v>
      </c>
      <c r="J4957" t="s" s="11">
        <v>14</v>
      </c>
      <c r="K4957" t="s" s="12">
        <v>14</v>
      </c>
      <c r="L4957" t="s" s="12">
        <v>14</v>
      </c>
      <c r="M4957" t="s" s="10">
        <v>14</v>
      </c>
      <c r="N4957" t="s" s="11">
        <v>14</v>
      </c>
      <c r="O4957" t="s" s="8">
        <v>14</v>
      </c>
      <c r="P4957" t="s" s="8">
        <v>14</v>
      </c>
      <c r="Q4957" t="s" s="12">
        <v>14</v>
      </c>
      <c r="R4957" t="s" s="12">
        <v>14</v>
      </c>
    </row>
    <row r="4958" s="2" customFormat="1" ht="13.5" customHeight="1">
      <c r="B4958" s="13"/>
      <c r="C4958" t="s" s="9">
        <v>16</v>
      </c>
      <c r="D4958" t="s" s="8">
        <v>1685</v>
      </c>
      <c r="E4958" t="s" s="9">
        <v>1685</v>
      </c>
      <c r="F4958" s="19">
        <v>5</v>
      </c>
      <c r="G4958" s="14"/>
      <c r="H4958" s="19">
        <v>5</v>
      </c>
      <c r="I4958" s="14"/>
      <c r="J4958" t="s" s="11">
        <v>20</v>
      </c>
      <c r="K4958" s="15"/>
      <c r="L4958" t="s" s="16">
        <f>HYPERLINK("http://csr.bu.edu/ftp/asl/asllvd/demos/verify_start_end_handshape_annotations//test_auto_move//signs_mov_separ_signers/Liz_15724.mov","MOV")</f>
        <v>21</v>
      </c>
      <c r="M4958" t="s" s="10">
        <v>34</v>
      </c>
      <c r="N4958" s="17">
        <v>11</v>
      </c>
      <c r="O4958" s="18">
        <v>965</v>
      </c>
      <c r="P4958" s="18">
        <v>1005</v>
      </c>
      <c r="Q4958" s="15"/>
      <c r="R4958" t="s" s="16">
        <f>HYPERLINK("http://secrets.rutgers.edu:8080/data/asl-ftp/asllvd/demos/verify_start_end_handshape_annotations//test_auto_move//signs_mov_separ_signers/Liz_15724.mov","MOV")</f>
        <v>21</v>
      </c>
    </row>
    <row r="4959" s="2" customFormat="1" ht="13.5" customHeight="1">
      <c r="B4959" s="13"/>
      <c r="C4959" t="s" s="9">
        <v>23</v>
      </c>
      <c r="D4959" t="s" s="8">
        <v>1685</v>
      </c>
      <c r="E4959" t="s" s="9">
        <v>1685</v>
      </c>
      <c r="F4959" s="19">
        <v>5</v>
      </c>
      <c r="G4959" s="14"/>
      <c r="H4959" s="19">
        <v>5</v>
      </c>
      <c r="I4959" s="14"/>
      <c r="J4959" t="s" s="11">
        <v>20</v>
      </c>
      <c r="K4959" s="15"/>
      <c r="L4959" t="s" s="16">
        <f>HYPERLINK("http://csr.bu.edu/ftp/asl/asllvd/demos/verify_start_end_handshape_annotations//test_auto_move//signs_mov_separ_signers/Tyler_15724.mov","MOV")</f>
        <v>21</v>
      </c>
      <c r="M4959" t="s" s="10">
        <v>92</v>
      </c>
      <c r="N4959" s="17">
        <v>41</v>
      </c>
      <c r="O4959" s="18">
        <v>1731</v>
      </c>
      <c r="P4959" s="18">
        <v>1761</v>
      </c>
      <c r="Q4959" s="15"/>
      <c r="R4959" t="s" s="16">
        <f>HYPERLINK("http://secrets.rutgers.edu:8080/data/asl-ftp/asllvd/demos/verify_start_end_handshape_annotations//test_auto_move//signs_mov_separ_signers/Tyler_15724.mov","MOV")</f>
        <v>21</v>
      </c>
    </row>
    <row r="4960" s="2" customFormat="1" ht="13.5" customHeight="1">
      <c r="B4960" s="13"/>
      <c r="C4960" t="s" s="9">
        <v>27</v>
      </c>
      <c r="D4960" t="s" s="8">
        <v>1685</v>
      </c>
      <c r="E4960" t="s" s="9">
        <v>1685</v>
      </c>
      <c r="F4960" t="s" s="10">
        <v>72</v>
      </c>
      <c r="G4960" s="14"/>
      <c r="H4960" t="s" s="10">
        <v>72</v>
      </c>
      <c r="I4960" s="14"/>
      <c r="J4960" t="s" s="11">
        <v>20</v>
      </c>
      <c r="K4960" t="s" s="16">
        <f>HYPERLINK("http://csr.bu.edu/ftp/asl/asllvd/demos/verify_start_end_handshape_annotations//test_auto_move//signs_mov/15724.mov","MOV")</f>
        <v>21</v>
      </c>
      <c r="L4960" t="s" s="16">
        <f>HYPERLINK("http://csr.bu.edu/ftp/asl/asllvd/demos/verify_start_end_handshape_annotations//test_auto_move//signs_mov_separ_signers/Naomi_15724.mov","MOV")</f>
        <v>21</v>
      </c>
      <c r="M4960" t="s" s="10">
        <v>38</v>
      </c>
      <c r="N4960" s="17">
        <v>9</v>
      </c>
      <c r="O4960" s="18">
        <v>1085</v>
      </c>
      <c r="P4960" s="18">
        <v>1110</v>
      </c>
      <c r="Q4960" t="s" s="16">
        <f>HYPERLINK("http://secrets.rutgers.edu:8080/data/asl-ftp/asllvd/demos/verify_start_end_handshape_annotations//test_auto_move//signs_mov/15724.mov","MOV")</f>
        <v>21</v>
      </c>
      <c r="R4960" t="s" s="16">
        <f>HYPERLINK("http://secrets.rutgers.edu:8080/data/asl-ftp/asllvd/demos/verify_start_end_handshape_annotations//test_auto_move//signs_mov_separ_signers/Naomi_15724.mov","MOV")</f>
        <v>21</v>
      </c>
    </row>
    <row r="4961" s="2" customFormat="1" ht="13.5" customHeight="1">
      <c r="B4961" s="13"/>
      <c r="C4961" t="s" s="9">
        <v>30</v>
      </c>
      <c r="D4961" t="s" s="8">
        <v>1685</v>
      </c>
      <c r="E4961" t="s" s="9">
        <v>1685</v>
      </c>
      <c r="F4961" s="19">
        <v>5</v>
      </c>
      <c r="G4961" s="14"/>
      <c r="H4961" s="19">
        <v>5</v>
      </c>
      <c r="I4961" s="14"/>
      <c r="J4961" t="s" s="11">
        <v>20</v>
      </c>
      <c r="K4961" s="15"/>
      <c r="L4961" t="s" s="16">
        <f>HYPERLINK("http://csr.bu.edu/ftp/asl/asllvd/demos/verify_start_end_handshape_annotations//test_auto_move//signs_mov_separ_signers/Brady_15724.mov","MOV")</f>
        <v>21</v>
      </c>
      <c r="M4961" t="s" s="10">
        <v>39</v>
      </c>
      <c r="N4961" s="17">
        <v>28</v>
      </c>
      <c r="O4961" s="18">
        <v>8600</v>
      </c>
      <c r="P4961" s="18">
        <v>8626</v>
      </c>
      <c r="Q4961" s="15"/>
      <c r="R4961" t="s" s="16">
        <f>HYPERLINK("http://secrets.rutgers.edu:8080/data/asl-ftp/asllvd/demos/verify_start_end_handshape_annotations//test_auto_move//signs_mov_separ_signers/Brady_15724.mov","MOV")</f>
        <v>21</v>
      </c>
    </row>
    <row r="4962" s="2" customFormat="1" ht="13.5" customHeight="1">
      <c r="B4962" s="13"/>
      <c r="C4962" t="s" s="9">
        <v>41</v>
      </c>
      <c r="D4962" t="s" s="8">
        <v>1685</v>
      </c>
      <c r="E4962" t="s" s="9">
        <v>1685</v>
      </c>
      <c r="F4962" s="19">
        <v>5</v>
      </c>
      <c r="G4962" s="14"/>
      <c r="H4962" s="19">
        <v>5</v>
      </c>
      <c r="I4962" s="14"/>
      <c r="J4962" t="s" s="11">
        <v>20</v>
      </c>
      <c r="K4962" s="15"/>
      <c r="L4962" t="s" s="16">
        <f>HYPERLINK("http://csr.bu.edu/ftp/asl/asllvd/demos/verify_start_end_handshape_annotations//test_auto_move//signs_mov_separ_signers/Lana_15724.mov","MOV")</f>
        <v>21</v>
      </c>
      <c r="M4962" t="s" s="10">
        <v>42</v>
      </c>
      <c r="N4962" s="17">
        <v>12</v>
      </c>
      <c r="O4962" s="18">
        <v>1433</v>
      </c>
      <c r="P4962" s="18">
        <v>1460</v>
      </c>
      <c r="Q4962" s="15"/>
      <c r="R4962" t="s" s="16">
        <f>HYPERLINK("http://secrets.rutgers.edu:8080/data/asl-ftp/asllvd/demos/verify_start_end_handshape_annotations//test_auto_move//signs_mov_separ_signers/Lana_15724.mov","MOV")</f>
        <v>21</v>
      </c>
    </row>
    <row r="4963" s="2" customFormat="1" ht="13.5" customHeight="1">
      <c r="B4963" s="13"/>
      <c r="C4963" t="s" s="9">
        <v>43</v>
      </c>
      <c r="D4963" t="s" s="8">
        <v>1685</v>
      </c>
      <c r="E4963" t="s" s="9">
        <v>1685</v>
      </c>
      <c r="F4963" s="19">
        <v>5</v>
      </c>
      <c r="G4963" s="14"/>
      <c r="H4963" s="19">
        <v>5</v>
      </c>
      <c r="I4963" s="14"/>
      <c r="J4963" t="s" s="11">
        <v>20</v>
      </c>
      <c r="K4963" s="15"/>
      <c r="L4963" t="s" s="16">
        <f>HYPERLINK("http://csr.bu.edu/ftp/asl/asllvd/demos/verify_start_end_handshape_annotations//test_auto_move//signs_mov_separ_signers/Dana_15724.mov","MOV")</f>
        <v>21</v>
      </c>
      <c r="M4963" t="s" s="10">
        <v>44</v>
      </c>
      <c r="N4963" s="17">
        <v>16</v>
      </c>
      <c r="O4963" s="18">
        <v>1272</v>
      </c>
      <c r="P4963" s="18">
        <v>1338</v>
      </c>
      <c r="Q4963" s="15"/>
      <c r="R4963" t="s" s="16">
        <f>HYPERLINK("http://secrets.rutgers.edu:8080/data/asl-ftp/asllvd/demos/verify_start_end_handshape_annotations//test_auto_move//signs_mov_separ_signers/Dana_15724.mov","MOV")</f>
        <v>21</v>
      </c>
    </row>
    <row r="4964" s="2" customFormat="1" ht="13.5" customHeight="1">
      <c r="B4964" t="s" s="8">
        <v>1686</v>
      </c>
      <c r="C4964" t="s" s="9">
        <v>14</v>
      </c>
      <c r="D4964" t="s" s="8">
        <v>14</v>
      </c>
      <c r="E4964" t="s" s="9">
        <v>14</v>
      </c>
      <c r="F4964" t="s" s="10">
        <v>14</v>
      </c>
      <c r="G4964" t="s" s="11">
        <v>14</v>
      </c>
      <c r="H4964" t="s" s="10">
        <v>14</v>
      </c>
      <c r="I4964" t="s" s="11">
        <v>14</v>
      </c>
      <c r="J4964" t="s" s="11">
        <v>14</v>
      </c>
      <c r="K4964" t="s" s="12">
        <v>14</v>
      </c>
      <c r="L4964" t="s" s="12">
        <v>14</v>
      </c>
      <c r="M4964" t="s" s="10">
        <v>14</v>
      </c>
      <c r="N4964" t="s" s="11">
        <v>14</v>
      </c>
      <c r="O4964" t="s" s="8">
        <v>14</v>
      </c>
      <c r="P4964" t="s" s="8">
        <v>14</v>
      </c>
      <c r="Q4964" t="s" s="12">
        <v>14</v>
      </c>
      <c r="R4964" t="s" s="12">
        <v>14</v>
      </c>
    </row>
    <row r="4965" s="2" customFormat="1" ht="13.5" customHeight="1">
      <c r="B4965" s="13"/>
      <c r="C4965" t="s" s="9">
        <v>16</v>
      </c>
      <c r="D4965" t="s" s="8">
        <v>1686</v>
      </c>
      <c r="E4965" t="s" s="9">
        <v>1687</v>
      </c>
      <c r="F4965" t="s" s="10">
        <v>72</v>
      </c>
      <c r="G4965" s="17">
        <v>5</v>
      </c>
      <c r="H4965" t="s" s="10">
        <v>72</v>
      </c>
      <c r="I4965" s="17">
        <v>5</v>
      </c>
      <c r="J4965" t="s" s="11">
        <v>20</v>
      </c>
      <c r="K4965" s="15"/>
      <c r="L4965" t="s" s="16">
        <f>HYPERLINK("http://csr.bu.edu/ftp/asl/asllvd/demos/verify_start_end_handshape_annotations//test_auto_move//signs_mov_separ_signers/Liz_1085.mov","MOV")</f>
        <v>21</v>
      </c>
      <c r="M4965" t="s" s="10">
        <v>34</v>
      </c>
      <c r="N4965" s="17">
        <v>11</v>
      </c>
      <c r="O4965" s="18">
        <v>1437</v>
      </c>
      <c r="P4965" s="18">
        <v>1486</v>
      </c>
      <c r="Q4965" s="15"/>
      <c r="R4965" t="s" s="16">
        <f>HYPERLINK("http://secrets.rutgers.edu:8080/data/asl-ftp/asllvd/demos/verify_start_end_handshape_annotations//test_auto_move//signs_mov_separ_signers/Liz_1085.mov","MOV")</f>
        <v>21</v>
      </c>
    </row>
    <row r="4966" s="2" customFormat="1" ht="13.5" customHeight="1">
      <c r="B4966" s="13"/>
      <c r="C4966" t="s" s="9">
        <v>23</v>
      </c>
      <c r="D4966" t="s" s="8">
        <v>1686</v>
      </c>
      <c r="E4966" t="s" s="9">
        <v>1688</v>
      </c>
      <c r="F4966" t="s" s="10">
        <v>72</v>
      </c>
      <c r="G4966" t="s" s="11">
        <v>150</v>
      </c>
      <c r="H4966" t="s" s="10">
        <v>72</v>
      </c>
      <c r="I4966" t="s" s="11">
        <v>150</v>
      </c>
      <c r="J4966" t="s" s="11">
        <v>20</v>
      </c>
      <c r="K4966" t="s" s="16">
        <f>HYPERLINK("http://csr.bu.edu/ftp/asl/asllvd/demos/verify_start_end_handshape_annotations//test_auto_move//signs_mov/1085.mov","MOV")</f>
        <v>21</v>
      </c>
      <c r="L4966" t="s" s="16">
        <f>HYPERLINK("http://csr.bu.edu/ftp/asl/asllvd/demos/verify_start_end_handshape_annotations//test_auto_move//signs_mov_separ_signers/Tyler_1085.mov","MOV")</f>
        <v>21</v>
      </c>
      <c r="M4966" t="s" s="10">
        <v>92</v>
      </c>
      <c r="N4966" s="17">
        <v>41</v>
      </c>
      <c r="O4966" s="18">
        <v>2050</v>
      </c>
      <c r="P4966" s="18">
        <v>2097</v>
      </c>
      <c r="Q4966" t="s" s="16">
        <f>HYPERLINK("http://secrets.rutgers.edu:8080/data/asl-ftp/asllvd/demos/verify_start_end_handshape_annotations//test_auto_move//signs_mov/1085.mov","MOV")</f>
        <v>21</v>
      </c>
      <c r="R4966" t="s" s="16">
        <f>HYPERLINK("http://secrets.rutgers.edu:8080/data/asl-ftp/asllvd/demos/verify_start_end_handshape_annotations//test_auto_move//signs_mov_separ_signers/Tyler_1085.mov","MOV")</f>
        <v>21</v>
      </c>
    </row>
    <row r="4967" s="2" customFormat="1" ht="13.5" customHeight="1">
      <c r="B4967" s="13"/>
      <c r="C4967" t="s" s="9">
        <v>27</v>
      </c>
      <c r="D4967" t="s" s="8">
        <v>1686</v>
      </c>
      <c r="E4967" t="s" s="9">
        <v>1687</v>
      </c>
      <c r="F4967" t="s" s="10">
        <v>187</v>
      </c>
      <c r="G4967" t="s" s="11">
        <v>72</v>
      </c>
      <c r="H4967" t="s" s="10">
        <v>187</v>
      </c>
      <c r="I4967" t="s" s="11">
        <v>72</v>
      </c>
      <c r="J4967" t="s" s="11">
        <v>20</v>
      </c>
      <c r="K4967" s="15"/>
      <c r="L4967" t="s" s="16">
        <f>HYPERLINK("http://csr.bu.edu/ftp/asl/asllvd/demos/verify_start_end_handshape_annotations//test_auto_move//signs_mov_separ_signers/Naomi_1085.mov","MOV")</f>
        <v>21</v>
      </c>
      <c r="M4967" t="s" s="10">
        <v>38</v>
      </c>
      <c r="N4967" s="17">
        <v>9</v>
      </c>
      <c r="O4967" s="18">
        <v>1647</v>
      </c>
      <c r="P4967" s="18">
        <v>1691</v>
      </c>
      <c r="Q4967" s="15"/>
      <c r="R4967" t="s" s="16">
        <f>HYPERLINK("http://secrets.rutgers.edu:8080/data/asl-ftp/asllvd/demos/verify_start_end_handshape_annotations//test_auto_move//signs_mov_separ_signers/Naomi_1085.mov","MOV")</f>
        <v>21</v>
      </c>
    </row>
    <row r="4968" s="2" customFormat="1" ht="13.5" customHeight="1">
      <c r="B4968" t="s" s="8">
        <v>52</v>
      </c>
      <c r="C4968" t="s" s="9">
        <v>53</v>
      </c>
      <c r="D4968" t="s" s="8">
        <v>53</v>
      </c>
      <c r="E4968" t="s" s="9">
        <v>53</v>
      </c>
      <c r="F4968" t="s" s="10">
        <v>53</v>
      </c>
      <c r="G4968" t="s" s="11">
        <v>53</v>
      </c>
      <c r="H4968" t="s" s="10">
        <v>53</v>
      </c>
      <c r="I4968" t="s" s="11">
        <v>53</v>
      </c>
      <c r="J4968" t="s" s="11">
        <v>53</v>
      </c>
      <c r="K4968" t="s" s="12">
        <v>53</v>
      </c>
      <c r="L4968" t="s" s="12">
        <v>53</v>
      </c>
      <c r="M4968" t="s" s="10">
        <v>53</v>
      </c>
      <c r="N4968" t="s" s="11">
        <v>53</v>
      </c>
      <c r="O4968" t="s" s="8">
        <v>53</v>
      </c>
      <c r="P4968" t="s" s="8">
        <v>53</v>
      </c>
      <c r="Q4968" t="s" s="12">
        <v>53</v>
      </c>
      <c r="R4968" t="s" s="12">
        <v>53</v>
      </c>
    </row>
    <row r="4969" s="2" customFormat="1" ht="13.5" customHeight="1">
      <c r="B4969" s="13"/>
      <c r="C4969" t="s" s="9">
        <v>30</v>
      </c>
      <c r="D4969" t="s" s="8">
        <v>1686</v>
      </c>
      <c r="E4969" t="s" s="9">
        <v>1689</v>
      </c>
      <c r="F4969" t="s" s="10">
        <v>187</v>
      </c>
      <c r="G4969" t="s" s="11">
        <v>73</v>
      </c>
      <c r="H4969" t="s" s="10">
        <v>187</v>
      </c>
      <c r="I4969" t="s" s="11">
        <v>73</v>
      </c>
      <c r="J4969" t="s" s="11">
        <v>20</v>
      </c>
      <c r="K4969" t="s" s="16">
        <f>HYPERLINK("http://csr.bu.edu/ftp/asl/asllvd/demos/verify_start_end_handshape_annotations//test_auto_move//signs_mov/16378.mov","MOV")</f>
        <v>21</v>
      </c>
      <c r="L4969" t="s" s="16">
        <f>HYPERLINK("http://csr.bu.edu/ftp/asl/asllvd/demos/verify_start_end_handshape_annotations//test_auto_move//signs_mov_separ_signers/Brady_16378.mov","MOV")</f>
        <v>21</v>
      </c>
      <c r="M4969" t="s" s="10">
        <v>39</v>
      </c>
      <c r="N4969" s="17">
        <v>28</v>
      </c>
      <c r="O4969" s="18">
        <v>9193</v>
      </c>
      <c r="P4969" s="18">
        <v>9213</v>
      </c>
      <c r="Q4969" t="s" s="16">
        <f>HYPERLINK("http://secrets.rutgers.edu:8080/data/asl-ftp/asllvd/demos/verify_start_end_handshape_annotations//test_auto_move//signs_mov/16378.mov","MOV")</f>
        <v>21</v>
      </c>
      <c r="R4969" t="s" s="16">
        <f>HYPERLINK("http://secrets.rutgers.edu:8080/data/asl-ftp/asllvd/demos/verify_start_end_handshape_annotations//test_auto_move//signs_mov_separ_signers/Brady_16378.mov","MOV")</f>
        <v>21</v>
      </c>
    </row>
    <row r="4970" s="2" customFormat="1" ht="13.5" customHeight="1">
      <c r="B4970" t="s" s="8">
        <v>1690</v>
      </c>
      <c r="C4970" t="s" s="9">
        <v>14</v>
      </c>
      <c r="D4970" t="s" s="8">
        <v>14</v>
      </c>
      <c r="E4970" t="s" s="9">
        <v>14</v>
      </c>
      <c r="F4970" t="s" s="10">
        <v>14</v>
      </c>
      <c r="G4970" t="s" s="11">
        <v>14</v>
      </c>
      <c r="H4970" t="s" s="10">
        <v>14</v>
      </c>
      <c r="I4970" t="s" s="11">
        <v>14</v>
      </c>
      <c r="J4970" t="s" s="11">
        <v>14</v>
      </c>
      <c r="K4970" t="s" s="12">
        <v>14</v>
      </c>
      <c r="L4970" t="s" s="12">
        <v>14</v>
      </c>
      <c r="M4970" t="s" s="10">
        <v>14</v>
      </c>
      <c r="N4970" t="s" s="11">
        <v>14</v>
      </c>
      <c r="O4970" t="s" s="8">
        <v>14</v>
      </c>
      <c r="P4970" t="s" s="8">
        <v>14</v>
      </c>
      <c r="Q4970" t="s" s="12">
        <v>14</v>
      </c>
      <c r="R4970" t="s" s="12">
        <v>14</v>
      </c>
    </row>
    <row r="4971" s="2" customFormat="1" ht="13.5" customHeight="1">
      <c r="B4971" s="13"/>
      <c r="C4971" t="s" s="9">
        <v>16</v>
      </c>
      <c r="D4971" t="s" s="8">
        <v>1690</v>
      </c>
      <c r="E4971" t="s" s="9">
        <v>1691</v>
      </c>
      <c r="F4971" t="s" s="10">
        <v>75</v>
      </c>
      <c r="G4971" s="14"/>
      <c r="H4971" t="s" s="10">
        <v>75</v>
      </c>
      <c r="I4971" s="14"/>
      <c r="J4971" t="s" s="11">
        <v>20</v>
      </c>
      <c r="K4971" s="15"/>
      <c r="L4971" t="s" s="16">
        <f>HYPERLINK("http://csr.bu.edu/ftp/asl/asllvd/demos/verify_start_end_handshape_annotations//test_auto_move//signs_mov_separ_signers/Liz_1086.mov","MOV")</f>
        <v>21</v>
      </c>
      <c r="M4971" t="s" s="10">
        <v>34</v>
      </c>
      <c r="N4971" s="17">
        <v>11</v>
      </c>
      <c r="O4971" s="18">
        <v>1690</v>
      </c>
      <c r="P4971" s="18">
        <v>1720</v>
      </c>
      <c r="Q4971" s="15"/>
      <c r="R4971" t="s" s="16">
        <f>HYPERLINK("http://secrets.rutgers.edu:8080/data/asl-ftp/asllvd/demos/verify_start_end_handshape_annotations//test_auto_move//signs_mov_separ_signers/Liz_1086.mov","MOV")</f>
        <v>21</v>
      </c>
    </row>
    <row r="4972" s="2" customFormat="1" ht="13.5" customHeight="1">
      <c r="B4972" s="13"/>
      <c r="C4972" t="s" s="9">
        <v>23</v>
      </c>
      <c r="D4972" t="s" s="8">
        <v>1690</v>
      </c>
      <c r="E4972" t="s" s="9">
        <v>1692</v>
      </c>
      <c r="F4972" t="s" s="10">
        <v>72</v>
      </c>
      <c r="G4972" s="14"/>
      <c r="H4972" t="s" s="10">
        <v>72</v>
      </c>
      <c r="I4972" s="14"/>
      <c r="J4972" t="s" s="11">
        <v>20</v>
      </c>
      <c r="K4972" s="15"/>
      <c r="L4972" t="s" s="16">
        <f>HYPERLINK("http://csr.bu.edu/ftp/asl/asllvd/demos/verify_start_end_handshape_annotations//test_auto_move//signs_mov_separ_signers/Tyler_1086.mov","MOV")</f>
        <v>21</v>
      </c>
      <c r="M4972" t="s" s="10">
        <v>92</v>
      </c>
      <c r="N4972" s="17">
        <v>41</v>
      </c>
      <c r="O4972" s="18">
        <v>2240</v>
      </c>
      <c r="P4972" s="18">
        <v>2285</v>
      </c>
      <c r="Q4972" s="15"/>
      <c r="R4972" t="s" s="16">
        <f>HYPERLINK("http://secrets.rutgers.edu:8080/data/asl-ftp/asllvd/demos/verify_start_end_handshape_annotations//test_auto_move//signs_mov_separ_signers/Tyler_1086.mov","MOV")</f>
        <v>21</v>
      </c>
    </row>
    <row r="4973" s="2" customFormat="1" ht="13.5" customHeight="1">
      <c r="B4973" s="13"/>
      <c r="C4973" t="s" s="9">
        <v>27</v>
      </c>
      <c r="D4973" t="s" s="8">
        <v>1690</v>
      </c>
      <c r="E4973" t="s" s="9">
        <v>1691</v>
      </c>
      <c r="F4973" t="s" s="10">
        <v>72</v>
      </c>
      <c r="G4973" s="14"/>
      <c r="H4973" t="s" s="10">
        <v>72</v>
      </c>
      <c r="I4973" s="14"/>
      <c r="J4973" t="s" s="11">
        <v>20</v>
      </c>
      <c r="K4973" t="s" s="16">
        <f>HYPERLINK("http://csr.bu.edu/ftp/asl/asllvd/demos/verify_start_end_handshape_annotations//test_auto_move//signs_mov/1086.mov","MOV")</f>
        <v>21</v>
      </c>
      <c r="L4973" t="s" s="16">
        <f>HYPERLINK("http://csr.bu.edu/ftp/asl/asllvd/demos/verify_start_end_handshape_annotations//test_auto_move//signs_mov_separ_signers/Naomi_1086.mov","MOV")</f>
        <v>21</v>
      </c>
      <c r="M4973" t="s" s="10">
        <v>38</v>
      </c>
      <c r="N4973" s="17">
        <v>9</v>
      </c>
      <c r="O4973" s="18">
        <v>1950</v>
      </c>
      <c r="P4973" s="18">
        <v>1975</v>
      </c>
      <c r="Q4973" t="s" s="16">
        <f>HYPERLINK("http://secrets.rutgers.edu:8080/data/asl-ftp/asllvd/demos/verify_start_end_handshape_annotations//test_auto_move//signs_mov/1086.mov","MOV")</f>
        <v>21</v>
      </c>
      <c r="R4973" t="s" s="16">
        <f>HYPERLINK("http://secrets.rutgers.edu:8080/data/asl-ftp/asllvd/demos/verify_start_end_handshape_annotations//test_auto_move//signs_mov_separ_signers/Naomi_1086.mov","MOV")</f>
        <v>21</v>
      </c>
    </row>
    <row r="4974" s="2" customFormat="1" ht="13.5" customHeight="1">
      <c r="B4974" s="13"/>
      <c r="C4974" t="s" s="9">
        <v>30</v>
      </c>
      <c r="D4974" t="s" s="8">
        <v>1690</v>
      </c>
      <c r="E4974" t="s" s="9">
        <v>1691</v>
      </c>
      <c r="F4974" t="s" s="10">
        <v>72</v>
      </c>
      <c r="G4974" s="14"/>
      <c r="H4974" t="s" s="10">
        <v>72</v>
      </c>
      <c r="I4974" s="14"/>
      <c r="J4974" t="s" s="11">
        <v>20</v>
      </c>
      <c r="K4974" s="15"/>
      <c r="L4974" t="s" s="16">
        <f>HYPERLINK("http://csr.bu.edu/ftp/asl/asllvd/demos/verify_start_end_handshape_annotations//test_auto_move//signs_mov_separ_signers/Brady_1086.mov","MOV")</f>
        <v>21</v>
      </c>
      <c r="M4974" t="s" s="10">
        <v>39</v>
      </c>
      <c r="N4974" s="17">
        <v>28</v>
      </c>
      <c r="O4974" s="18">
        <v>9605</v>
      </c>
      <c r="P4974" s="18">
        <v>9637</v>
      </c>
      <c r="Q4974" s="15"/>
      <c r="R4974" t="s" s="16">
        <f>HYPERLINK("http://secrets.rutgers.edu:8080/data/asl-ftp/asllvd/demos/verify_start_end_handshape_annotations//test_auto_move//signs_mov_separ_signers/Brady_1086.mov","MOV")</f>
        <v>21</v>
      </c>
    </row>
    <row r="4975" s="2" customFormat="1" ht="13.5" customHeight="1">
      <c r="B4975" s="13"/>
      <c r="C4975" t="s" s="9">
        <v>41</v>
      </c>
      <c r="D4975" t="s" s="8">
        <v>1690</v>
      </c>
      <c r="E4975" t="s" s="9">
        <v>1691</v>
      </c>
      <c r="F4975" t="s" s="10">
        <v>75</v>
      </c>
      <c r="G4975" s="14"/>
      <c r="H4975" t="s" s="10">
        <v>75</v>
      </c>
      <c r="I4975" s="14"/>
      <c r="J4975" t="s" s="11">
        <v>20</v>
      </c>
      <c r="K4975" s="15"/>
      <c r="L4975" t="s" s="16">
        <f>HYPERLINK("http://csr.bu.edu/ftp/asl/asllvd/demos/verify_start_end_handshape_annotations//test_auto_move//signs_mov_separ_signers/Lana_1086.mov","MOV")</f>
        <v>21</v>
      </c>
      <c r="M4975" t="s" s="10">
        <v>42</v>
      </c>
      <c r="N4975" s="17">
        <v>12</v>
      </c>
      <c r="O4975" s="18">
        <v>2104</v>
      </c>
      <c r="P4975" s="18">
        <v>2134</v>
      </c>
      <c r="Q4975" s="15"/>
      <c r="R4975" t="s" s="16">
        <f>HYPERLINK("http://secrets.rutgers.edu:8080/data/asl-ftp/asllvd/demos/verify_start_end_handshape_annotations//test_auto_move//signs_mov_separ_signers/Lana_1086.mov","MOV")</f>
        <v>21</v>
      </c>
    </row>
    <row r="4976" s="2" customFormat="1" ht="13.5" customHeight="1">
      <c r="B4976" s="13"/>
      <c r="C4976" t="s" s="9">
        <v>43</v>
      </c>
      <c r="D4976" t="s" s="8">
        <v>1690</v>
      </c>
      <c r="E4976" t="s" s="9">
        <v>1691</v>
      </c>
      <c r="F4976" s="19">
        <v>5</v>
      </c>
      <c r="G4976" s="14"/>
      <c r="H4976" s="19">
        <v>5</v>
      </c>
      <c r="I4976" s="14"/>
      <c r="J4976" t="s" s="11">
        <v>20</v>
      </c>
      <c r="K4976" s="15"/>
      <c r="L4976" t="s" s="16">
        <f>HYPERLINK("http://csr.bu.edu/ftp/asl/asllvd/demos/verify_start_end_handshape_annotations//test_auto_move//signs_mov_separ_signers/Dana_1086.mov","MOV")</f>
        <v>21</v>
      </c>
      <c r="M4976" t="s" s="10">
        <v>44</v>
      </c>
      <c r="N4976" s="17">
        <v>16</v>
      </c>
      <c r="O4976" s="18">
        <v>1979</v>
      </c>
      <c r="P4976" s="18">
        <v>2033</v>
      </c>
      <c r="Q4976" s="15"/>
      <c r="R4976" t="s" s="16">
        <f>HYPERLINK("http://secrets.rutgers.edu:8080/data/asl-ftp/asllvd/demos/verify_start_end_handshape_annotations//test_auto_move//signs_mov_separ_signers/Dana_1086.mov","MOV")</f>
        <v>21</v>
      </c>
    </row>
    <row r="4977" s="2" customFormat="1" ht="13.5" customHeight="1">
      <c r="B4977" t="s" s="8">
        <v>1693</v>
      </c>
      <c r="C4977" t="s" s="9">
        <v>14</v>
      </c>
      <c r="D4977" t="s" s="8">
        <v>14</v>
      </c>
      <c r="E4977" t="s" s="9">
        <v>14</v>
      </c>
      <c r="F4977" t="s" s="10">
        <v>14</v>
      </c>
      <c r="G4977" t="s" s="11">
        <v>14</v>
      </c>
      <c r="H4977" t="s" s="10">
        <v>14</v>
      </c>
      <c r="I4977" t="s" s="11">
        <v>14</v>
      </c>
      <c r="J4977" t="s" s="11">
        <v>14</v>
      </c>
      <c r="K4977" t="s" s="12">
        <v>14</v>
      </c>
      <c r="L4977" t="s" s="12">
        <v>14</v>
      </c>
      <c r="M4977" t="s" s="10">
        <v>14</v>
      </c>
      <c r="N4977" t="s" s="11">
        <v>14</v>
      </c>
      <c r="O4977" t="s" s="8">
        <v>14</v>
      </c>
      <c r="P4977" t="s" s="8">
        <v>14</v>
      </c>
      <c r="Q4977" t="s" s="12">
        <v>14</v>
      </c>
      <c r="R4977" t="s" s="12">
        <v>14</v>
      </c>
    </row>
    <row r="4978" s="2" customFormat="1" ht="13.5" customHeight="1">
      <c r="B4978" s="13"/>
      <c r="C4978" t="s" s="9">
        <v>16</v>
      </c>
      <c r="D4978" t="s" s="8">
        <v>1693</v>
      </c>
      <c r="E4978" t="s" s="9">
        <v>1694</v>
      </c>
      <c r="F4978" t="s" s="10">
        <v>430</v>
      </c>
      <c r="G4978" s="17">
        <v>5</v>
      </c>
      <c r="H4978" s="19">
        <v>8</v>
      </c>
      <c r="I4978" s="17">
        <v>5</v>
      </c>
      <c r="J4978" t="s" s="11">
        <v>20</v>
      </c>
      <c r="K4978" s="15"/>
      <c r="L4978" t="s" s="16">
        <f>HYPERLINK("http://csr.bu.edu/ftp/asl/asllvd/demos/verify_start_end_handshape_annotations//test_auto_move//signs_mov_separ_signers/Liz_1088.mov","MOV")</f>
        <v>21</v>
      </c>
      <c r="M4978" t="s" s="10">
        <v>34</v>
      </c>
      <c r="N4978" s="17">
        <v>11</v>
      </c>
      <c r="O4978" s="18">
        <v>2140</v>
      </c>
      <c r="P4978" s="18">
        <v>2182</v>
      </c>
      <c r="Q4978" s="15"/>
      <c r="R4978" t="s" s="16">
        <f>HYPERLINK("http://secrets.rutgers.edu:8080/data/asl-ftp/asllvd/demos/verify_start_end_handshape_annotations//test_auto_move//signs_mov_separ_signers/Liz_1088.mov","MOV")</f>
        <v>21</v>
      </c>
    </row>
    <row r="4979" s="2" customFormat="1" ht="13.5" customHeight="1">
      <c r="B4979" s="13"/>
      <c r="C4979" t="s" s="9">
        <v>23</v>
      </c>
      <c r="D4979" t="s" s="8">
        <v>1693</v>
      </c>
      <c r="E4979" t="s" s="9">
        <v>1694</v>
      </c>
      <c r="F4979" t="s" s="10">
        <v>430</v>
      </c>
      <c r="G4979" t="s" s="11">
        <v>73</v>
      </c>
      <c r="H4979" s="19">
        <v>8</v>
      </c>
      <c r="I4979" t="s" s="11">
        <v>73</v>
      </c>
      <c r="J4979" t="s" s="11">
        <v>20</v>
      </c>
      <c r="K4979" t="s" s="16">
        <f>HYPERLINK("http://csr.bu.edu/ftp/asl/asllvd/demos/verify_start_end_handshape_annotations//test_auto_move//signs_mov/1088.mov","MOV")</f>
        <v>21</v>
      </c>
      <c r="L4979" t="s" s="16">
        <f>HYPERLINK("http://csr.bu.edu/ftp/asl/asllvd/demos/verify_start_end_handshape_annotations//test_auto_move//signs_mov_separ_signers/Tyler_1088.mov","MOV")</f>
        <v>21</v>
      </c>
      <c r="M4979" t="s" s="10">
        <v>92</v>
      </c>
      <c r="N4979" s="17">
        <v>41</v>
      </c>
      <c r="O4979" s="18">
        <v>2950</v>
      </c>
      <c r="P4979" s="18">
        <v>2995</v>
      </c>
      <c r="Q4979" t="s" s="16">
        <f>HYPERLINK("http://secrets.rutgers.edu:8080/data/asl-ftp/asllvd/demos/verify_start_end_handshape_annotations//test_auto_move//signs_mov/1088.mov","MOV")</f>
        <v>21</v>
      </c>
      <c r="R4979" t="s" s="16">
        <f>HYPERLINK("http://secrets.rutgers.edu:8080/data/asl-ftp/asllvd/demos/verify_start_end_handshape_annotations//test_auto_move//signs_mov_separ_signers/Tyler_1088.mov","MOV")</f>
        <v>21</v>
      </c>
    </row>
    <row r="4980" s="2" customFormat="1" ht="13.5" customHeight="1">
      <c r="B4980" s="13"/>
      <c r="C4980" t="s" s="9">
        <v>27</v>
      </c>
      <c r="D4980" t="s" s="8">
        <v>1693</v>
      </c>
      <c r="E4980" t="s" s="9">
        <v>1694</v>
      </c>
      <c r="F4980" t="s" s="10">
        <v>430</v>
      </c>
      <c r="G4980" t="s" s="11">
        <v>73</v>
      </c>
      <c r="H4980" s="19">
        <v>8</v>
      </c>
      <c r="I4980" t="s" s="11">
        <v>73</v>
      </c>
      <c r="J4980" t="s" s="11">
        <v>20</v>
      </c>
      <c r="K4980" s="15"/>
      <c r="L4980" t="s" s="16">
        <f>HYPERLINK("http://csr.bu.edu/ftp/asl/asllvd/demos/verify_start_end_handshape_annotations//test_auto_move//signs_mov_separ_signers/Naomi_1088.mov","MOV")</f>
        <v>21</v>
      </c>
      <c r="M4980" t="s" s="10">
        <v>38</v>
      </c>
      <c r="N4980" s="17">
        <v>9</v>
      </c>
      <c r="O4980" s="18">
        <v>3060</v>
      </c>
      <c r="P4980" s="18">
        <v>3093</v>
      </c>
      <c r="Q4980" s="15"/>
      <c r="R4980" t="s" s="16">
        <f>HYPERLINK("http://secrets.rutgers.edu:8080/data/asl-ftp/asllvd/demos/verify_start_end_handshape_annotations//test_auto_move//signs_mov_separ_signers/Naomi_1088.mov","MOV")</f>
        <v>21</v>
      </c>
    </row>
    <row r="4981" s="2" customFormat="1" ht="13.5" customHeight="1">
      <c r="B4981" s="13"/>
      <c r="C4981" t="s" s="9">
        <v>30</v>
      </c>
      <c r="D4981" t="s" s="8">
        <v>1693</v>
      </c>
      <c r="E4981" t="s" s="9">
        <v>1694</v>
      </c>
      <c r="F4981" t="s" s="10">
        <v>430</v>
      </c>
      <c r="G4981" t="s" s="11">
        <v>73</v>
      </c>
      <c r="H4981" s="19">
        <v>8</v>
      </c>
      <c r="I4981" t="s" s="11">
        <v>73</v>
      </c>
      <c r="J4981" t="s" s="11">
        <v>20</v>
      </c>
      <c r="K4981" s="15"/>
      <c r="L4981" t="s" s="16">
        <f>HYPERLINK("http://csr.bu.edu/ftp/asl/asllvd/demos/verify_start_end_handshape_annotations//test_auto_move//signs_mov_separ_signers/Brady_1088.mov","MOV")</f>
        <v>21</v>
      </c>
      <c r="M4981" t="s" s="10">
        <v>39</v>
      </c>
      <c r="N4981" s="17">
        <v>28</v>
      </c>
      <c r="O4981" s="18">
        <v>10756</v>
      </c>
      <c r="P4981" s="18">
        <v>10785</v>
      </c>
      <c r="Q4981" s="15"/>
      <c r="R4981" t="s" s="16">
        <f>HYPERLINK("http://secrets.rutgers.edu:8080/data/asl-ftp/asllvd/demos/verify_start_end_handshape_annotations//test_auto_move//signs_mov_separ_signers/Brady_1088.mov","MOV")</f>
        <v>21</v>
      </c>
    </row>
    <row r="4982" s="2" customFormat="1" ht="13.5" customHeight="1">
      <c r="B4982" t="s" s="8">
        <v>1695</v>
      </c>
      <c r="C4982" t="s" s="9">
        <v>14</v>
      </c>
      <c r="D4982" t="s" s="8">
        <v>14</v>
      </c>
      <c r="E4982" t="s" s="9">
        <v>14</v>
      </c>
      <c r="F4982" t="s" s="10">
        <v>14</v>
      </c>
      <c r="G4982" t="s" s="11">
        <v>14</v>
      </c>
      <c r="H4982" t="s" s="10">
        <v>14</v>
      </c>
      <c r="I4982" t="s" s="11">
        <v>14</v>
      </c>
      <c r="J4982" t="s" s="11">
        <v>14</v>
      </c>
      <c r="K4982" t="s" s="12">
        <v>14</v>
      </c>
      <c r="L4982" t="s" s="12">
        <v>14</v>
      </c>
      <c r="M4982" t="s" s="10">
        <v>14</v>
      </c>
      <c r="N4982" t="s" s="11">
        <v>14</v>
      </c>
      <c r="O4982" t="s" s="8">
        <v>14</v>
      </c>
      <c r="P4982" t="s" s="8">
        <v>14</v>
      </c>
      <c r="Q4982" t="s" s="12">
        <v>14</v>
      </c>
      <c r="R4982" t="s" s="12">
        <v>14</v>
      </c>
    </row>
    <row r="4983" s="2" customFormat="1" ht="13.5" customHeight="1">
      <c r="B4983" s="13"/>
      <c r="C4983" t="s" s="9">
        <v>16</v>
      </c>
      <c r="D4983" t="s" s="8">
        <v>1695</v>
      </c>
      <c r="E4983" t="s" s="9">
        <v>1696</v>
      </c>
      <c r="F4983" s="19">
        <v>5</v>
      </c>
      <c r="G4983" s="17">
        <v>5</v>
      </c>
      <c r="H4983" s="19">
        <v>5</v>
      </c>
      <c r="I4983" s="17">
        <v>5</v>
      </c>
      <c r="J4983" t="s" s="11">
        <v>20</v>
      </c>
      <c r="K4983" s="15"/>
      <c r="L4983" t="s" s="16">
        <f>HYPERLINK("http://csr.bu.edu/ftp/asl/asllvd/demos/verify_start_end_handshape_annotations//test_auto_move//signs_mov_separ_signers/Liz_1089.mov","MOV")</f>
        <v>21</v>
      </c>
      <c r="M4983" t="s" s="10">
        <v>34</v>
      </c>
      <c r="N4983" s="17">
        <v>11</v>
      </c>
      <c r="O4983" s="18">
        <v>2796</v>
      </c>
      <c r="P4983" s="18">
        <v>2845</v>
      </c>
      <c r="Q4983" s="15"/>
      <c r="R4983" t="s" s="16">
        <f>HYPERLINK("http://secrets.rutgers.edu:8080/data/asl-ftp/asllvd/demos/verify_start_end_handshape_annotations//test_auto_move//signs_mov_separ_signers/Liz_1089.mov","MOV")</f>
        <v>21</v>
      </c>
    </row>
    <row r="4984" s="2" customFormat="1" ht="13.5" customHeight="1">
      <c r="B4984" s="13"/>
      <c r="C4984" t="s" s="9">
        <v>23</v>
      </c>
      <c r="D4984" t="s" s="8">
        <v>1695</v>
      </c>
      <c r="E4984" t="s" s="9">
        <v>1696</v>
      </c>
      <c r="F4984" s="19">
        <v>5</v>
      </c>
      <c r="G4984" s="17">
        <v>5</v>
      </c>
      <c r="H4984" s="19">
        <v>5</v>
      </c>
      <c r="I4984" s="17">
        <v>5</v>
      </c>
      <c r="J4984" t="s" s="11">
        <v>20</v>
      </c>
      <c r="K4984" t="s" s="16">
        <f>HYPERLINK("http://csr.bu.edu/ftp/asl/asllvd/demos/verify_start_end_handshape_annotations//test_auto_move//signs_mov/1089.mov","MOV")</f>
        <v>21</v>
      </c>
      <c r="L4984" t="s" s="16">
        <f>HYPERLINK("http://csr.bu.edu/ftp/asl/asllvd/demos/verify_start_end_handshape_annotations//test_auto_move//signs_mov_separ_signers/Tyler_1089.mov","MOV")</f>
        <v>21</v>
      </c>
      <c r="M4984" t="s" s="10">
        <v>92</v>
      </c>
      <c r="N4984" s="17">
        <v>41</v>
      </c>
      <c r="O4984" s="18">
        <v>4807</v>
      </c>
      <c r="P4984" s="18">
        <v>4865</v>
      </c>
      <c r="Q4984" t="s" s="16">
        <f>HYPERLINK("http://secrets.rutgers.edu:8080/data/asl-ftp/asllvd/demos/verify_start_end_handshape_annotations//test_auto_move//signs_mov/1089.mov","MOV")</f>
        <v>21</v>
      </c>
      <c r="R4984" t="s" s="16">
        <f>HYPERLINK("http://secrets.rutgers.edu:8080/data/asl-ftp/asllvd/demos/verify_start_end_handshape_annotations//test_auto_move//signs_mov_separ_signers/Tyler_1089.mov","MOV")</f>
        <v>21</v>
      </c>
    </row>
    <row r="4985" s="2" customFormat="1" ht="13.5" customHeight="1">
      <c r="B4985" s="13"/>
      <c r="C4985" t="s" s="9">
        <v>27</v>
      </c>
      <c r="D4985" t="s" s="8">
        <v>1695</v>
      </c>
      <c r="E4985" t="s" s="9">
        <v>1696</v>
      </c>
      <c r="F4985" s="19">
        <v>5</v>
      </c>
      <c r="G4985" s="17">
        <v>5</v>
      </c>
      <c r="H4985" s="19">
        <v>5</v>
      </c>
      <c r="I4985" s="17">
        <v>5</v>
      </c>
      <c r="J4985" t="s" s="11">
        <v>20</v>
      </c>
      <c r="K4985" s="15"/>
      <c r="L4985" t="s" s="16">
        <f>HYPERLINK("http://csr.bu.edu/ftp/asl/asllvd/demos/verify_start_end_handshape_annotations//test_auto_move//signs_mov_separ_signers/Naomi_1089.mov","MOV")</f>
        <v>21</v>
      </c>
      <c r="M4985" t="s" s="10">
        <v>38</v>
      </c>
      <c r="N4985" s="17">
        <v>10</v>
      </c>
      <c r="O4985" s="18">
        <v>62</v>
      </c>
      <c r="P4985" s="18">
        <v>123</v>
      </c>
      <c r="Q4985" s="15"/>
      <c r="R4985" t="s" s="16">
        <f>HYPERLINK("http://secrets.rutgers.edu:8080/data/asl-ftp/asllvd/demos/verify_start_end_handshape_annotations//test_auto_move//signs_mov_separ_signers/Naomi_1089.mov","MOV")</f>
        <v>21</v>
      </c>
    </row>
    <row r="4986" s="2" customFormat="1" ht="13.5" customHeight="1">
      <c r="B4986" s="13"/>
      <c r="C4986" t="s" s="9">
        <v>30</v>
      </c>
      <c r="D4986" t="s" s="8">
        <v>1695</v>
      </c>
      <c r="E4986" t="s" s="9">
        <v>1696</v>
      </c>
      <c r="F4986" s="19">
        <v>5</v>
      </c>
      <c r="G4986" s="17">
        <v>5</v>
      </c>
      <c r="H4986" s="19">
        <v>5</v>
      </c>
      <c r="I4986" s="17">
        <v>5</v>
      </c>
      <c r="J4986" t="s" s="11">
        <v>20</v>
      </c>
      <c r="K4986" s="15"/>
      <c r="L4986" t="s" s="16">
        <f>HYPERLINK("http://csr.bu.edu/ftp/asl/asllvd/demos/verify_start_end_handshape_annotations//test_auto_move//signs_mov_separ_signers/Brady_1089.mov","MOV")</f>
        <v>21</v>
      </c>
      <c r="M4986" t="s" s="10">
        <v>39</v>
      </c>
      <c r="N4986" s="17">
        <v>29</v>
      </c>
      <c r="O4986" s="18">
        <v>161</v>
      </c>
      <c r="P4986" s="18">
        <v>200</v>
      </c>
      <c r="Q4986" s="15"/>
      <c r="R4986" t="s" s="16">
        <f>HYPERLINK("http://secrets.rutgers.edu:8080/data/asl-ftp/asllvd/demos/verify_start_end_handshape_annotations//test_auto_move//signs_mov_separ_signers/Brady_1089.mov","MOV")</f>
        <v>21</v>
      </c>
    </row>
    <row r="4987" s="2" customFormat="1" ht="13.5" customHeight="1">
      <c r="B4987" t="s" s="8">
        <v>1697</v>
      </c>
      <c r="C4987" t="s" s="9">
        <v>14</v>
      </c>
      <c r="D4987" t="s" s="8">
        <v>14</v>
      </c>
      <c r="E4987" t="s" s="9">
        <v>14</v>
      </c>
      <c r="F4987" t="s" s="10">
        <v>14</v>
      </c>
      <c r="G4987" t="s" s="11">
        <v>14</v>
      </c>
      <c r="H4987" t="s" s="10">
        <v>14</v>
      </c>
      <c r="I4987" t="s" s="11">
        <v>14</v>
      </c>
      <c r="J4987" t="s" s="11">
        <v>14</v>
      </c>
      <c r="K4987" t="s" s="12">
        <v>14</v>
      </c>
      <c r="L4987" t="s" s="12">
        <v>14</v>
      </c>
      <c r="M4987" t="s" s="10">
        <v>14</v>
      </c>
      <c r="N4987" t="s" s="11">
        <v>14</v>
      </c>
      <c r="O4987" t="s" s="8">
        <v>14</v>
      </c>
      <c r="P4987" t="s" s="8">
        <v>14</v>
      </c>
      <c r="Q4987" t="s" s="12">
        <v>14</v>
      </c>
      <c r="R4987" t="s" s="12">
        <v>14</v>
      </c>
    </row>
    <row r="4988" s="2" customFormat="1" ht="13.5" customHeight="1">
      <c r="B4988" s="13"/>
      <c r="C4988" t="s" s="9">
        <v>16</v>
      </c>
      <c r="D4988" t="s" s="8">
        <v>1697</v>
      </c>
      <c r="E4988" t="s" s="9">
        <v>1697</v>
      </c>
      <c r="F4988" t="s" s="10">
        <v>337</v>
      </c>
      <c r="G4988" s="14"/>
      <c r="H4988" t="s" s="10">
        <v>337</v>
      </c>
      <c r="I4988" s="14"/>
      <c r="J4988" t="s" s="11">
        <v>20</v>
      </c>
      <c r="K4988" s="15"/>
      <c r="L4988" t="s" s="16">
        <f>HYPERLINK("http://csr.bu.edu/ftp/asl/asllvd/demos/verify_start_end_handshape_annotations//test_auto_move//signs_mov_separ_signers/Liz_1090.mov","MOV")</f>
        <v>21</v>
      </c>
      <c r="M4988" t="s" s="10">
        <v>34</v>
      </c>
      <c r="N4988" s="17">
        <v>11</v>
      </c>
      <c r="O4988" s="18">
        <v>3120</v>
      </c>
      <c r="P4988" s="18">
        <v>3150</v>
      </c>
      <c r="Q4988" s="15"/>
      <c r="R4988" t="s" s="16">
        <f>HYPERLINK("http://secrets.rutgers.edu:8080/data/asl-ftp/asllvd/demos/verify_start_end_handshape_annotations//test_auto_move//signs_mov_separ_signers/Liz_1090.mov","MOV")</f>
        <v>21</v>
      </c>
    </row>
    <row r="4989" s="2" customFormat="1" ht="13.5" customHeight="1">
      <c r="B4989" s="13"/>
      <c r="C4989" t="s" s="9">
        <v>27</v>
      </c>
      <c r="D4989" t="s" s="8">
        <v>1697</v>
      </c>
      <c r="E4989" t="s" s="9">
        <v>1697</v>
      </c>
      <c r="F4989" t="s" s="10">
        <v>337</v>
      </c>
      <c r="G4989" s="14"/>
      <c r="H4989" t="s" s="10">
        <v>337</v>
      </c>
      <c r="I4989" s="14"/>
      <c r="J4989" t="s" s="11">
        <v>20</v>
      </c>
      <c r="K4989" t="s" s="16">
        <f>HYPERLINK("http://csr.bu.edu/ftp/asl/asllvd/demos/verify_start_end_handshape_annotations//test_auto_move//signs_mov/1090.mov","MOV")</f>
        <v>21</v>
      </c>
      <c r="L4989" t="s" s="16">
        <f>HYPERLINK("http://csr.bu.edu/ftp/asl/asllvd/demos/verify_start_end_handshape_annotations//test_auto_move//signs_mov_separ_signers/Naomi_1090.mov","MOV")</f>
        <v>21</v>
      </c>
      <c r="M4989" t="s" s="10">
        <v>38</v>
      </c>
      <c r="N4989" s="17">
        <v>10</v>
      </c>
      <c r="O4989" s="18">
        <v>487</v>
      </c>
      <c r="P4989" s="18">
        <v>512</v>
      </c>
      <c r="Q4989" t="s" s="16">
        <f>HYPERLINK("http://secrets.rutgers.edu:8080/data/asl-ftp/asllvd/demos/verify_start_end_handshape_annotations//test_auto_move//signs_mov/1090.mov","MOV")</f>
        <v>21</v>
      </c>
      <c r="R4989" t="s" s="16">
        <f>HYPERLINK("http://secrets.rutgers.edu:8080/data/asl-ftp/asllvd/demos/verify_start_end_handshape_annotations//test_auto_move//signs_mov_separ_signers/Naomi_1090.mov","MOV")</f>
        <v>21</v>
      </c>
    </row>
    <row r="4990" s="2" customFormat="1" ht="13.5" customHeight="1">
      <c r="B4990" s="13"/>
      <c r="C4990" t="s" s="9">
        <v>30</v>
      </c>
      <c r="D4990" t="s" s="8">
        <v>1697</v>
      </c>
      <c r="E4990" t="s" s="9">
        <v>1697</v>
      </c>
      <c r="F4990" t="s" s="10">
        <v>337</v>
      </c>
      <c r="G4990" s="14"/>
      <c r="H4990" t="s" s="10">
        <v>337</v>
      </c>
      <c r="I4990" s="14"/>
      <c r="J4990" t="s" s="11">
        <v>20</v>
      </c>
      <c r="K4990" s="15"/>
      <c r="L4990" t="s" s="16">
        <f>HYPERLINK("http://csr.bu.edu/ftp/asl/asllvd/demos/verify_start_end_handshape_annotations//test_auto_move//signs_mov_separ_signers/Brady_1090.mov","MOV")</f>
        <v>21</v>
      </c>
      <c r="M4990" t="s" s="10">
        <v>39</v>
      </c>
      <c r="N4990" s="17">
        <v>29</v>
      </c>
      <c r="O4990" s="18">
        <v>528</v>
      </c>
      <c r="P4990" s="18">
        <v>560</v>
      </c>
      <c r="Q4990" s="15"/>
      <c r="R4990" t="s" s="16">
        <f>HYPERLINK("http://secrets.rutgers.edu:8080/data/asl-ftp/asllvd/demos/verify_start_end_handshape_annotations//test_auto_move//signs_mov_separ_signers/Brady_1090.mov","MOV")</f>
        <v>21</v>
      </c>
    </row>
    <row r="4991" s="2" customFormat="1" ht="13.5" customHeight="1">
      <c r="B4991" t="s" s="8">
        <v>1697</v>
      </c>
      <c r="C4991" t="s" s="9">
        <v>14</v>
      </c>
      <c r="D4991" t="s" s="8">
        <v>14</v>
      </c>
      <c r="E4991" t="s" s="9">
        <v>14</v>
      </c>
      <c r="F4991" t="s" s="10">
        <v>14</v>
      </c>
      <c r="G4991" t="s" s="11">
        <v>14</v>
      </c>
      <c r="H4991" t="s" s="10">
        <v>14</v>
      </c>
      <c r="I4991" t="s" s="11">
        <v>14</v>
      </c>
      <c r="J4991" t="s" s="11">
        <v>14</v>
      </c>
      <c r="K4991" t="s" s="12">
        <v>14</v>
      </c>
      <c r="L4991" t="s" s="12">
        <v>14</v>
      </c>
      <c r="M4991" t="s" s="10">
        <v>14</v>
      </c>
      <c r="N4991" t="s" s="11">
        <v>14</v>
      </c>
      <c r="O4991" t="s" s="8">
        <v>14</v>
      </c>
      <c r="P4991" t="s" s="8">
        <v>14</v>
      </c>
      <c r="Q4991" t="s" s="12">
        <v>14</v>
      </c>
      <c r="R4991" t="s" s="12">
        <v>14</v>
      </c>
    </row>
    <row r="4992" s="2" customFormat="1" ht="13.5" customHeight="1">
      <c r="B4992" s="13"/>
      <c r="C4992" t="s" s="9">
        <v>23</v>
      </c>
      <c r="D4992" t="s" s="8">
        <v>1698</v>
      </c>
      <c r="E4992" t="s" s="9">
        <v>1698</v>
      </c>
      <c r="F4992" t="s" s="10">
        <v>337</v>
      </c>
      <c r="G4992" s="14"/>
      <c r="H4992" t="s" s="10">
        <v>337</v>
      </c>
      <c r="I4992" s="14"/>
      <c r="J4992" t="s" s="11">
        <v>20</v>
      </c>
      <c r="K4992" t="s" s="16">
        <f>HYPERLINK("http://csr.bu.edu/ftp/asl/asllvd/demos/verify_start_end_handshape_annotations//test_auto_move//signs_mov/5203.mov","MOV")</f>
        <v>21</v>
      </c>
      <c r="L4992" t="s" s="16">
        <f>HYPERLINK("http://csr.bu.edu/ftp/asl/asllvd/demos/verify_start_end_handshape_annotations//test_auto_move//signs_mov_separ_signers/Tyler_5203.mov","MOV")</f>
        <v>21</v>
      </c>
      <c r="M4992" t="s" s="10">
        <v>92</v>
      </c>
      <c r="N4992" s="17">
        <v>41</v>
      </c>
      <c r="O4992" s="18">
        <v>5047</v>
      </c>
      <c r="P4992" s="18">
        <v>5080</v>
      </c>
      <c r="Q4992" t="s" s="16">
        <f>HYPERLINK("http://secrets.rutgers.edu:8080/data/asl-ftp/asllvd/demos/verify_start_end_handshape_annotations//test_auto_move//signs_mov/5203.mov","MOV")</f>
        <v>21</v>
      </c>
      <c r="R4992" t="s" s="16">
        <f>HYPERLINK("http://secrets.rutgers.edu:8080/data/asl-ftp/asllvd/demos/verify_start_end_handshape_annotations//test_auto_move//signs_mov_separ_signers/Tyler_5203.mov","MOV")</f>
        <v>21</v>
      </c>
    </row>
    <row r="4993" s="2" customFormat="1" ht="13.5" customHeight="1">
      <c r="B4993" t="s" s="8">
        <v>1699</v>
      </c>
      <c r="C4993" t="s" s="9">
        <v>14</v>
      </c>
      <c r="D4993" t="s" s="8">
        <v>14</v>
      </c>
      <c r="E4993" t="s" s="9">
        <v>14</v>
      </c>
      <c r="F4993" t="s" s="10">
        <v>14</v>
      </c>
      <c r="G4993" t="s" s="11">
        <v>14</v>
      </c>
      <c r="H4993" t="s" s="10">
        <v>14</v>
      </c>
      <c r="I4993" t="s" s="11">
        <v>14</v>
      </c>
      <c r="J4993" t="s" s="11">
        <v>14</v>
      </c>
      <c r="K4993" t="s" s="12">
        <v>14</v>
      </c>
      <c r="L4993" t="s" s="12">
        <v>14</v>
      </c>
      <c r="M4993" t="s" s="10">
        <v>14</v>
      </c>
      <c r="N4993" t="s" s="11">
        <v>14</v>
      </c>
      <c r="O4993" t="s" s="8">
        <v>14</v>
      </c>
      <c r="P4993" t="s" s="8">
        <v>14</v>
      </c>
      <c r="Q4993" t="s" s="12">
        <v>14</v>
      </c>
      <c r="R4993" t="s" s="12">
        <v>14</v>
      </c>
    </row>
    <row r="4994" s="2" customFormat="1" ht="13.5" customHeight="1">
      <c r="B4994" s="13"/>
      <c r="C4994" t="s" s="9">
        <v>16</v>
      </c>
      <c r="D4994" t="s" s="8">
        <v>1699</v>
      </c>
      <c r="E4994" t="s" s="9">
        <v>1699</v>
      </c>
      <c r="F4994" s="19">
        <v>1</v>
      </c>
      <c r="G4994" s="17">
        <v>1</v>
      </c>
      <c r="H4994" s="19">
        <v>1</v>
      </c>
      <c r="I4994" s="17">
        <v>1</v>
      </c>
      <c r="J4994" t="s" s="11">
        <v>20</v>
      </c>
      <c r="K4994" t="s" s="16">
        <f>HYPERLINK("http://csr.bu.edu/ftp/asl/asllvd/demos/verify_start_end_handshape_annotations//test_auto_move//signs_mov/5854.mov","MOV")</f>
        <v>21</v>
      </c>
      <c r="L4994" t="s" s="16">
        <f>HYPERLINK("http://csr.bu.edu/ftp/asl/asllvd/demos/verify_start_end_handshape_annotations//test_auto_move//signs_mov_separ_signers/Liz_5854.mov","MOV")</f>
        <v>21</v>
      </c>
      <c r="M4994" t="s" s="10">
        <v>34</v>
      </c>
      <c r="N4994" s="17">
        <v>12</v>
      </c>
      <c r="O4994" s="18">
        <v>290</v>
      </c>
      <c r="P4994" s="18">
        <v>350</v>
      </c>
      <c r="Q4994" t="s" s="16">
        <f>HYPERLINK("http://secrets.rutgers.edu:8080/data/asl-ftp/asllvd/demos/verify_start_end_handshape_annotations//test_auto_move//signs_mov/5854.mov","MOV")</f>
        <v>21</v>
      </c>
      <c r="R4994" t="s" s="16">
        <f>HYPERLINK("http://secrets.rutgers.edu:8080/data/asl-ftp/asllvd/demos/verify_start_end_handshape_annotations//test_auto_move//signs_mov_separ_signers/Liz_5854.mov","MOV")</f>
        <v>21</v>
      </c>
    </row>
    <row r="4995" s="2" customFormat="1" ht="13.5" customHeight="1">
      <c r="B4995" s="13"/>
      <c r="C4995" t="s" s="9">
        <v>30</v>
      </c>
      <c r="D4995" t="s" s="8">
        <v>1699</v>
      </c>
      <c r="E4995" t="s" s="9">
        <v>1699</v>
      </c>
      <c r="F4995" s="19">
        <v>1</v>
      </c>
      <c r="G4995" s="17">
        <v>1</v>
      </c>
      <c r="H4995" s="19">
        <v>1</v>
      </c>
      <c r="I4995" s="17">
        <v>1</v>
      </c>
      <c r="J4995" t="s" s="11">
        <v>20</v>
      </c>
      <c r="K4995" s="15"/>
      <c r="L4995" t="s" s="16">
        <f>HYPERLINK("http://csr.bu.edu/ftp/asl/asllvd/demos/verify_start_end_handshape_annotations//test_auto_move//signs_mov_separ_signers/Brady_5854.mov","MOV")</f>
        <v>21</v>
      </c>
      <c r="M4995" t="s" s="10">
        <v>39</v>
      </c>
      <c r="N4995" s="17">
        <v>29</v>
      </c>
      <c r="O4995" s="18">
        <v>1094</v>
      </c>
      <c r="P4995" s="18">
        <v>1123</v>
      </c>
      <c r="Q4995" s="15"/>
      <c r="R4995" t="s" s="16">
        <f>HYPERLINK("http://secrets.rutgers.edu:8080/data/asl-ftp/asllvd/demos/verify_start_end_handshape_annotations//test_auto_move//signs_mov_separ_signers/Brady_5854.mov","MOV")</f>
        <v>21</v>
      </c>
    </row>
    <row r="4996" s="2" customFormat="1" ht="13.5" customHeight="1">
      <c r="B4996" t="s" s="8">
        <v>1700</v>
      </c>
      <c r="C4996" t="s" s="9">
        <v>14</v>
      </c>
      <c r="D4996" t="s" s="8">
        <v>14</v>
      </c>
      <c r="E4996" t="s" s="9">
        <v>14</v>
      </c>
      <c r="F4996" t="s" s="10">
        <v>14</v>
      </c>
      <c r="G4996" t="s" s="11">
        <v>14</v>
      </c>
      <c r="H4996" t="s" s="10">
        <v>14</v>
      </c>
      <c r="I4996" t="s" s="11">
        <v>14</v>
      </c>
      <c r="J4996" t="s" s="11">
        <v>14</v>
      </c>
      <c r="K4996" t="s" s="12">
        <v>14</v>
      </c>
      <c r="L4996" t="s" s="12">
        <v>14</v>
      </c>
      <c r="M4996" t="s" s="10">
        <v>14</v>
      </c>
      <c r="N4996" t="s" s="11">
        <v>14</v>
      </c>
      <c r="O4996" t="s" s="8">
        <v>14</v>
      </c>
      <c r="P4996" t="s" s="8">
        <v>14</v>
      </c>
      <c r="Q4996" t="s" s="12">
        <v>14</v>
      </c>
      <c r="R4996" t="s" s="12">
        <v>14</v>
      </c>
    </row>
    <row r="4997" s="2" customFormat="1" ht="13.5" customHeight="1">
      <c r="B4997" s="13"/>
      <c r="C4997" t="s" s="9">
        <v>16</v>
      </c>
      <c r="D4997" t="s" s="8">
        <v>1700</v>
      </c>
      <c r="E4997" t="s" s="9">
        <v>1700</v>
      </c>
      <c r="F4997" t="s" s="10">
        <v>337</v>
      </c>
      <c r="G4997" s="14"/>
      <c r="H4997" t="s" s="10">
        <v>337</v>
      </c>
      <c r="I4997" s="14"/>
      <c r="J4997" t="s" s="11">
        <v>20</v>
      </c>
      <c r="K4997" s="15"/>
      <c r="L4997" t="s" s="16">
        <f>HYPERLINK("http://csr.bu.edu/ftp/asl/asllvd/demos/verify_start_end_handshape_annotations//test_auto_move//signs_mov_separ_signers/Liz_1092.mov","MOV")</f>
        <v>21</v>
      </c>
      <c r="M4997" t="s" s="10">
        <v>34</v>
      </c>
      <c r="N4997" s="17">
        <v>12</v>
      </c>
      <c r="O4997" s="18">
        <v>505</v>
      </c>
      <c r="P4997" s="18">
        <v>536</v>
      </c>
      <c r="Q4997" s="15"/>
      <c r="R4997" t="s" s="16">
        <f>HYPERLINK("http://secrets.rutgers.edu:8080/data/asl-ftp/asllvd/demos/verify_start_end_handshape_annotations//test_auto_move//signs_mov_separ_signers/Liz_1092.mov","MOV")</f>
        <v>21</v>
      </c>
    </row>
    <row r="4998" s="2" customFormat="1" ht="13.5" customHeight="1">
      <c r="B4998" s="13"/>
      <c r="C4998" t="s" s="9">
        <v>23</v>
      </c>
      <c r="D4998" t="s" s="8">
        <v>1700</v>
      </c>
      <c r="E4998" t="s" s="9">
        <v>1700</v>
      </c>
      <c r="F4998" t="s" s="10">
        <v>337</v>
      </c>
      <c r="G4998" s="14"/>
      <c r="H4998" t="s" s="10">
        <v>337</v>
      </c>
      <c r="I4998" s="14"/>
      <c r="J4998" t="s" s="11">
        <v>20</v>
      </c>
      <c r="K4998" s="15"/>
      <c r="L4998" t="s" s="16">
        <f>HYPERLINK("http://csr.bu.edu/ftp/asl/asllvd/demos/verify_start_end_handshape_annotations//test_auto_move//signs_mov_separ_signers/Tyler_1092.mov","MOV")</f>
        <v>21</v>
      </c>
      <c r="M4998" t="s" s="10">
        <v>92</v>
      </c>
      <c r="N4998" s="17">
        <v>42</v>
      </c>
      <c r="O4998" s="18">
        <v>990</v>
      </c>
      <c r="P4998" s="18">
        <v>1035</v>
      </c>
      <c r="Q4998" s="15"/>
      <c r="R4998" t="s" s="16">
        <f>HYPERLINK("http://secrets.rutgers.edu:8080/data/asl-ftp/asllvd/demos/verify_start_end_handshape_annotations//test_auto_move//signs_mov_separ_signers/Tyler_1092.mov","MOV")</f>
        <v>21</v>
      </c>
    </row>
    <row r="4999" s="2" customFormat="1" ht="13.5" customHeight="1">
      <c r="B4999" s="13"/>
      <c r="C4999" t="s" s="9">
        <v>27</v>
      </c>
      <c r="D4999" t="s" s="8">
        <v>1700</v>
      </c>
      <c r="E4999" t="s" s="9">
        <v>1700</v>
      </c>
      <c r="F4999" t="s" s="10">
        <v>626</v>
      </c>
      <c r="G4999" s="14"/>
      <c r="H4999" t="s" s="10">
        <v>626</v>
      </c>
      <c r="I4999" s="14"/>
      <c r="J4999" t="s" s="11">
        <v>20</v>
      </c>
      <c r="K4999" t="s" s="16">
        <f>HYPERLINK("http://csr.bu.edu/ftp/asl/asllvd/demos/verify_start_end_handshape_annotations//test_auto_move//signs_mov/1092.mov","MOV")</f>
        <v>21</v>
      </c>
      <c r="L4999" t="s" s="16">
        <f>HYPERLINK("http://csr.bu.edu/ftp/asl/asllvd/demos/verify_start_end_handshape_annotations//test_auto_move//signs_mov_separ_signers/Naomi_1092.mov","MOV")</f>
        <v>21</v>
      </c>
      <c r="M4999" t="s" s="10">
        <v>38</v>
      </c>
      <c r="N4999" s="17">
        <v>10</v>
      </c>
      <c r="O4999" s="18">
        <v>1490</v>
      </c>
      <c r="P4999" s="18">
        <v>1506</v>
      </c>
      <c r="Q4999" t="s" s="16">
        <f>HYPERLINK("http://secrets.rutgers.edu:8080/data/asl-ftp/asllvd/demos/verify_start_end_handshape_annotations//test_auto_move//signs_mov/1092.mov","MOV")</f>
        <v>21</v>
      </c>
      <c r="R4999" t="s" s="16">
        <f>HYPERLINK("http://secrets.rutgers.edu:8080/data/asl-ftp/asllvd/demos/verify_start_end_handshape_annotations//test_auto_move//signs_mov_separ_signers/Naomi_1092.mov","MOV")</f>
        <v>21</v>
      </c>
    </row>
    <row r="5000" s="2" customFormat="1" ht="13.5" customHeight="1">
      <c r="B5000" s="13"/>
      <c r="C5000" t="s" s="9">
        <v>30</v>
      </c>
      <c r="D5000" t="s" s="8">
        <v>1700</v>
      </c>
      <c r="E5000" t="s" s="9">
        <v>1700</v>
      </c>
      <c r="F5000" t="s" s="10">
        <v>626</v>
      </c>
      <c r="G5000" s="14"/>
      <c r="H5000" t="s" s="10">
        <v>626</v>
      </c>
      <c r="I5000" s="14"/>
      <c r="J5000" t="s" s="11">
        <v>20</v>
      </c>
      <c r="K5000" s="15"/>
      <c r="L5000" t="s" s="16">
        <f>HYPERLINK("http://csr.bu.edu/ftp/asl/asllvd/demos/verify_start_end_handshape_annotations//test_auto_move//signs_mov_separ_signers/Brady_1092.mov","MOV")</f>
        <v>21</v>
      </c>
      <c r="M5000" t="s" s="10">
        <v>39</v>
      </c>
      <c r="N5000" s="17">
        <v>29</v>
      </c>
      <c r="O5000" s="18">
        <v>2245</v>
      </c>
      <c r="P5000" s="18">
        <v>2280</v>
      </c>
      <c r="Q5000" s="15"/>
      <c r="R5000" t="s" s="16">
        <f>HYPERLINK("http://secrets.rutgers.edu:8080/data/asl-ftp/asllvd/demos/verify_start_end_handshape_annotations//test_auto_move//signs_mov_separ_signers/Brady_1092.mov","MOV")</f>
        <v>21</v>
      </c>
    </row>
    <row r="5001" s="2" customFormat="1" ht="13.5" customHeight="1">
      <c r="B5001" s="13"/>
      <c r="C5001" t="s" s="9">
        <v>41</v>
      </c>
      <c r="D5001" t="s" s="8">
        <v>1700</v>
      </c>
      <c r="E5001" t="s" s="9">
        <v>1700</v>
      </c>
      <c r="F5001" t="s" s="10">
        <v>337</v>
      </c>
      <c r="G5001" s="14"/>
      <c r="H5001" t="s" s="10">
        <v>337</v>
      </c>
      <c r="I5001" s="14"/>
      <c r="J5001" t="s" s="11">
        <v>20</v>
      </c>
      <c r="K5001" s="15"/>
      <c r="L5001" t="s" s="16">
        <f>HYPERLINK("http://csr.bu.edu/ftp/asl/asllvd/demos/verify_start_end_handshape_annotations//test_auto_move//signs_mov_separ_signers/Lana_1092.mov","MOV")</f>
        <v>21</v>
      </c>
      <c r="M5001" t="s" s="10">
        <v>42</v>
      </c>
      <c r="N5001" s="17">
        <v>12</v>
      </c>
      <c r="O5001" s="18">
        <v>2493</v>
      </c>
      <c r="P5001" s="18">
        <v>2514</v>
      </c>
      <c r="Q5001" s="15"/>
      <c r="R5001" t="s" s="16">
        <f>HYPERLINK("http://secrets.rutgers.edu:8080/data/asl-ftp/asllvd/demos/verify_start_end_handshape_annotations//test_auto_move//signs_mov_separ_signers/Lana_1092.mov","MOV")</f>
        <v>21</v>
      </c>
    </row>
    <row r="5002" s="2" customFormat="1" ht="13.5" customHeight="1">
      <c r="B5002" s="13"/>
      <c r="C5002" t="s" s="9">
        <v>43</v>
      </c>
      <c r="D5002" t="s" s="8">
        <v>1700</v>
      </c>
      <c r="E5002" t="s" s="9">
        <v>1700</v>
      </c>
      <c r="F5002" t="s" s="10">
        <v>501</v>
      </c>
      <c r="G5002" s="14"/>
      <c r="H5002" t="s" s="10">
        <v>501</v>
      </c>
      <c r="I5002" s="14"/>
      <c r="J5002" t="s" s="11">
        <v>20</v>
      </c>
      <c r="K5002" s="15"/>
      <c r="L5002" t="s" s="16">
        <f>HYPERLINK("http://csr.bu.edu/ftp/asl/asllvd/demos/verify_start_end_handshape_annotations//test_auto_move//signs_mov_separ_signers/Dana_1092.mov","MOV")</f>
        <v>21</v>
      </c>
      <c r="M5002" t="s" s="10">
        <v>44</v>
      </c>
      <c r="N5002" s="17">
        <v>16</v>
      </c>
      <c r="O5002" s="18">
        <v>2395</v>
      </c>
      <c r="P5002" s="18">
        <v>2441</v>
      </c>
      <c r="Q5002" s="15"/>
      <c r="R5002" t="s" s="16">
        <f>HYPERLINK("http://secrets.rutgers.edu:8080/data/asl-ftp/asllvd/demos/verify_start_end_handshape_annotations//test_auto_move//signs_mov_separ_signers/Dana_1092.mov","MOV")</f>
        <v>21</v>
      </c>
    </row>
    <row r="5003" s="2" customFormat="1" ht="13.5" customHeight="1">
      <c r="B5003" t="s" s="8">
        <v>1701</v>
      </c>
      <c r="C5003" t="s" s="9">
        <v>14</v>
      </c>
      <c r="D5003" t="s" s="8">
        <v>14</v>
      </c>
      <c r="E5003" t="s" s="9">
        <v>14</v>
      </c>
      <c r="F5003" t="s" s="10">
        <v>14</v>
      </c>
      <c r="G5003" t="s" s="11">
        <v>14</v>
      </c>
      <c r="H5003" t="s" s="10">
        <v>14</v>
      </c>
      <c r="I5003" t="s" s="11">
        <v>14</v>
      </c>
      <c r="J5003" t="s" s="11">
        <v>14</v>
      </c>
      <c r="K5003" t="s" s="12">
        <v>14</v>
      </c>
      <c r="L5003" t="s" s="12">
        <v>14</v>
      </c>
      <c r="M5003" t="s" s="10">
        <v>14</v>
      </c>
      <c r="N5003" t="s" s="11">
        <v>14</v>
      </c>
      <c r="O5003" t="s" s="8">
        <v>14</v>
      </c>
      <c r="P5003" t="s" s="8">
        <v>14</v>
      </c>
      <c r="Q5003" t="s" s="12">
        <v>14</v>
      </c>
      <c r="R5003" t="s" s="12">
        <v>14</v>
      </c>
    </row>
    <row r="5004" s="2" customFormat="1" ht="13.5" customHeight="1">
      <c r="B5004" s="13"/>
      <c r="C5004" t="s" s="9">
        <v>16</v>
      </c>
      <c r="D5004" t="s" s="8">
        <v>1701</v>
      </c>
      <c r="E5004" t="s" s="9">
        <v>1701</v>
      </c>
      <c r="F5004" t="s" s="10">
        <v>55</v>
      </c>
      <c r="G5004" s="14"/>
      <c r="H5004" t="s" s="10">
        <v>55</v>
      </c>
      <c r="I5004" s="14"/>
      <c r="J5004" t="s" s="11">
        <v>20</v>
      </c>
      <c r="K5004" s="15"/>
      <c r="L5004" t="s" s="16">
        <f>HYPERLINK("http://csr.bu.edu/ftp/asl/asllvd/demos/verify_start_end_handshape_annotations//test_auto_move//signs_mov_separ_signers/Liz_1093.mov","MOV")</f>
        <v>21</v>
      </c>
      <c r="M5004" t="s" s="10">
        <v>34</v>
      </c>
      <c r="N5004" s="17">
        <v>12</v>
      </c>
      <c r="O5004" s="18">
        <v>835</v>
      </c>
      <c r="P5004" s="18">
        <v>880</v>
      </c>
      <c r="Q5004" s="15"/>
      <c r="R5004" t="s" s="16">
        <f>HYPERLINK("http://secrets.rutgers.edu:8080/data/asl-ftp/asllvd/demos/verify_start_end_handshape_annotations//test_auto_move//signs_mov_separ_signers/Liz_1093.mov","MOV")</f>
        <v>21</v>
      </c>
    </row>
    <row r="5005" s="2" customFormat="1" ht="13.5" customHeight="1">
      <c r="B5005" s="13"/>
      <c r="C5005" t="s" s="9">
        <v>16</v>
      </c>
      <c r="D5005" t="s" s="8">
        <v>1701</v>
      </c>
      <c r="E5005" t="s" s="9">
        <v>1701</v>
      </c>
      <c r="F5005" t="s" s="10">
        <v>55</v>
      </c>
      <c r="G5005" s="14"/>
      <c r="H5005" t="s" s="10">
        <v>55</v>
      </c>
      <c r="I5005" s="14"/>
      <c r="J5005" t="s" s="11">
        <v>20</v>
      </c>
      <c r="K5005" s="15"/>
      <c r="L5005" t="s" s="16">
        <f>HYPERLINK("http://csr.bu.edu/ftp/asl/asllvd/demos/verify_start_end_handshape_annotations//test_auto_move//signs_mov_separ_signers/Liz_3654.mov","MOV")</f>
        <v>21</v>
      </c>
      <c r="M5005" t="s" s="10">
        <v>34</v>
      </c>
      <c r="N5005" s="17">
        <v>21</v>
      </c>
      <c r="O5005" s="18">
        <v>1160</v>
      </c>
      <c r="P5005" s="18">
        <v>1182</v>
      </c>
      <c r="Q5005" s="15"/>
      <c r="R5005" t="s" s="16">
        <f>HYPERLINK("http://secrets.rutgers.edu:8080/data/asl-ftp/asllvd/demos/verify_start_end_handshape_annotations//test_auto_move//signs_mov_separ_signers/Liz_3654.mov","MOV")</f>
        <v>21</v>
      </c>
    </row>
    <row r="5006" s="2" customFormat="1" ht="13.5" customHeight="1">
      <c r="B5006" s="13"/>
      <c r="C5006" t="s" s="9">
        <v>23</v>
      </c>
      <c r="D5006" t="s" s="8">
        <v>1701</v>
      </c>
      <c r="E5006" t="s" s="9">
        <v>1701</v>
      </c>
      <c r="F5006" t="s" s="10">
        <v>109</v>
      </c>
      <c r="G5006" s="14"/>
      <c r="H5006" t="s" s="10">
        <v>109</v>
      </c>
      <c r="I5006" s="14"/>
      <c r="J5006" t="s" s="11">
        <v>20</v>
      </c>
      <c r="K5006" s="15"/>
      <c r="L5006" t="s" s="16">
        <f>HYPERLINK("http://csr.bu.edu/ftp/asl/asllvd/demos/verify_start_end_handshape_annotations//test_auto_move//signs_mov_separ_signers/Tyler_1093.mov","MOV")</f>
        <v>21</v>
      </c>
      <c r="M5006" t="s" s="10">
        <v>92</v>
      </c>
      <c r="N5006" s="17">
        <v>49</v>
      </c>
      <c r="O5006" s="18">
        <v>700</v>
      </c>
      <c r="P5006" s="18">
        <v>717</v>
      </c>
      <c r="Q5006" s="15"/>
      <c r="R5006" t="s" s="16">
        <f>HYPERLINK("http://secrets.rutgers.edu:8080/data/asl-ftp/asllvd/demos/verify_start_end_handshape_annotations//test_auto_move//signs_mov_separ_signers/Tyler_1093.mov","MOV")</f>
        <v>21</v>
      </c>
    </row>
    <row r="5007" s="2" customFormat="1" ht="13.5" customHeight="1">
      <c r="B5007" s="13"/>
      <c r="C5007" t="s" s="9">
        <v>27</v>
      </c>
      <c r="D5007" t="s" s="8">
        <v>1701</v>
      </c>
      <c r="E5007" t="s" s="9">
        <v>1701</v>
      </c>
      <c r="F5007" t="s" s="10">
        <v>55</v>
      </c>
      <c r="G5007" s="14"/>
      <c r="H5007" t="s" s="10">
        <v>55</v>
      </c>
      <c r="I5007" s="14"/>
      <c r="J5007" t="s" s="11">
        <v>20</v>
      </c>
      <c r="K5007" s="15"/>
      <c r="L5007" t="s" s="16">
        <f>HYPERLINK("http://csr.bu.edu/ftp/asl/asllvd/demos/verify_start_end_handshape_annotations//test_auto_move//signs_mov_separ_signers/Naomi_1093.mov","MOV")</f>
        <v>21</v>
      </c>
      <c r="M5007" t="s" s="10">
        <v>38</v>
      </c>
      <c r="N5007" s="17">
        <v>10</v>
      </c>
      <c r="O5007" s="18">
        <v>1822</v>
      </c>
      <c r="P5007" s="18">
        <v>1842</v>
      </c>
      <c r="Q5007" s="15"/>
      <c r="R5007" t="s" s="16">
        <f>HYPERLINK("http://secrets.rutgers.edu:8080/data/asl-ftp/asllvd/demos/verify_start_end_handshape_annotations//test_auto_move//signs_mov_separ_signers/Naomi_1093.mov","MOV")</f>
        <v>21</v>
      </c>
    </row>
    <row r="5008" s="2" customFormat="1" ht="13.5" customHeight="1">
      <c r="B5008" s="13"/>
      <c r="C5008" t="s" s="9">
        <v>27</v>
      </c>
      <c r="D5008" t="s" s="8">
        <v>1701</v>
      </c>
      <c r="E5008" t="s" s="9">
        <v>1701</v>
      </c>
      <c r="F5008" t="s" s="10">
        <v>55</v>
      </c>
      <c r="G5008" s="14"/>
      <c r="H5008" t="s" s="10">
        <v>55</v>
      </c>
      <c r="I5008" s="14"/>
      <c r="J5008" t="s" s="11">
        <v>20</v>
      </c>
      <c r="K5008" t="s" s="16">
        <f>HYPERLINK("http://csr.bu.edu/ftp/asl/asllvd/demos/verify_start_end_handshape_annotations//test_auto_move//signs_mov/1093_3654_merged.mov","MOV")</f>
        <v>21</v>
      </c>
      <c r="L5008" t="s" s="16">
        <f>HYPERLINK("http://csr.bu.edu/ftp/asl/asllvd/demos/verify_start_end_handshape_annotations//test_auto_move//signs_mov_separ_signers/Naomi_3654.mov","MOV")</f>
        <v>21</v>
      </c>
      <c r="M5008" t="s" s="10">
        <v>38</v>
      </c>
      <c r="N5008" s="17">
        <v>17</v>
      </c>
      <c r="O5008" s="18">
        <v>1186</v>
      </c>
      <c r="P5008" s="18">
        <v>1205</v>
      </c>
      <c r="Q5008" t="s" s="16">
        <f>HYPERLINK("http://secrets.rutgers.edu:8080/data/asl-ftp/asllvd/demos/verify_start_end_handshape_annotations//test_auto_move//signs_mov/1093_3654_merged.mov","MOV")</f>
        <v>21</v>
      </c>
      <c r="R5008" t="s" s="16">
        <f>HYPERLINK("http://secrets.rutgers.edu:8080/data/asl-ftp/asllvd/demos/verify_start_end_handshape_annotations//test_auto_move//signs_mov_separ_signers/Naomi_3654.mov","MOV")</f>
        <v>21</v>
      </c>
    </row>
    <row r="5009" s="2" customFormat="1" ht="13.5" customHeight="1">
      <c r="B5009" s="13"/>
      <c r="C5009" t="s" s="9">
        <v>30</v>
      </c>
      <c r="D5009" t="s" s="8">
        <v>1701</v>
      </c>
      <c r="E5009" t="s" s="9">
        <v>1701</v>
      </c>
      <c r="F5009" t="s" s="10">
        <v>152</v>
      </c>
      <c r="G5009" s="14"/>
      <c r="H5009" t="s" s="10">
        <v>152</v>
      </c>
      <c r="I5009" s="14"/>
      <c r="J5009" t="s" s="11">
        <v>20</v>
      </c>
      <c r="K5009" s="15"/>
      <c r="L5009" t="s" s="16">
        <f>HYPERLINK("http://csr.bu.edu/ftp/asl/asllvd/demos/verify_start_end_handshape_annotations//test_auto_move//signs_mov_separ_signers/Brady_1093.mov","MOV")</f>
        <v>21</v>
      </c>
      <c r="M5009" t="s" s="10">
        <v>39</v>
      </c>
      <c r="N5009" s="17">
        <v>29</v>
      </c>
      <c r="O5009" s="18">
        <v>1865</v>
      </c>
      <c r="P5009" s="18">
        <v>1885</v>
      </c>
      <c r="Q5009" s="15"/>
      <c r="R5009" t="s" s="16">
        <f>HYPERLINK("http://secrets.rutgers.edu:8080/data/asl-ftp/asllvd/demos/verify_start_end_handshape_annotations//test_auto_move//signs_mov_separ_signers/Brady_1093.mov","MOV")</f>
        <v>21</v>
      </c>
    </row>
    <row r="5010" s="2" customFormat="1" ht="13.5" customHeight="1">
      <c r="B5010" s="13"/>
      <c r="C5010" t="s" s="9">
        <v>30</v>
      </c>
      <c r="D5010" t="s" s="8">
        <v>1701</v>
      </c>
      <c r="E5010" t="s" s="9">
        <v>1701</v>
      </c>
      <c r="F5010" t="s" s="10">
        <v>109</v>
      </c>
      <c r="G5010" s="14"/>
      <c r="H5010" t="s" s="10">
        <v>109</v>
      </c>
      <c r="I5010" s="14"/>
      <c r="J5010" t="s" s="11">
        <v>20</v>
      </c>
      <c r="K5010" s="15"/>
      <c r="L5010" t="s" s="16">
        <f>HYPERLINK("http://csr.bu.edu/ftp/asl/asllvd/demos/verify_start_end_handshape_annotations//test_auto_move//signs_mov_separ_signers/Brady_3654.mov","MOV")</f>
        <v>21</v>
      </c>
      <c r="M5010" t="s" s="10">
        <v>39</v>
      </c>
      <c r="N5010" s="17">
        <v>33</v>
      </c>
      <c r="O5010" s="18">
        <v>3755</v>
      </c>
      <c r="P5010" s="18">
        <v>3769</v>
      </c>
      <c r="Q5010" s="15"/>
      <c r="R5010" t="s" s="16">
        <f>HYPERLINK("http://secrets.rutgers.edu:8080/data/asl-ftp/asllvd/demos/verify_start_end_handshape_annotations//test_auto_move//signs_mov_separ_signers/Brady_3654.mov","MOV")</f>
        <v>21</v>
      </c>
    </row>
    <row r="5011" s="2" customFormat="1" ht="13.5" customHeight="1">
      <c r="B5011" s="13"/>
      <c r="C5011" t="s" s="9">
        <v>41</v>
      </c>
      <c r="D5011" t="s" s="8">
        <v>1701</v>
      </c>
      <c r="E5011" t="s" s="9">
        <v>1701</v>
      </c>
      <c r="F5011" t="s" s="10">
        <v>55</v>
      </c>
      <c r="G5011" s="14"/>
      <c r="H5011" t="s" s="10">
        <v>55</v>
      </c>
      <c r="I5011" s="14"/>
      <c r="J5011" t="s" s="11">
        <v>20</v>
      </c>
      <c r="K5011" s="15"/>
      <c r="L5011" t="s" s="16">
        <f>HYPERLINK("http://csr.bu.edu/ftp/asl/asllvd/demos/verify_start_end_handshape_annotations//test_auto_move//signs_mov_separ_signers/Lana_1093.mov","MOV")</f>
        <v>21</v>
      </c>
      <c r="M5011" t="s" s="10">
        <v>42</v>
      </c>
      <c r="N5011" s="17">
        <v>14</v>
      </c>
      <c r="O5011" s="18">
        <v>2040</v>
      </c>
      <c r="P5011" s="18">
        <v>2050</v>
      </c>
      <c r="Q5011" s="15"/>
      <c r="R5011" t="s" s="16">
        <f>HYPERLINK("http://secrets.rutgers.edu:8080/data/asl-ftp/asllvd/demos/verify_start_end_handshape_annotations//test_auto_move//signs_mov_separ_signers/Lana_1093.mov","MOV")</f>
        <v>21</v>
      </c>
    </row>
    <row r="5012" s="2" customFormat="1" ht="13.5" customHeight="1">
      <c r="B5012" s="13"/>
      <c r="C5012" t="s" s="9">
        <v>43</v>
      </c>
      <c r="D5012" t="s" s="8">
        <v>1701</v>
      </c>
      <c r="E5012" t="s" s="9">
        <v>1701</v>
      </c>
      <c r="F5012" t="s" s="10">
        <v>152</v>
      </c>
      <c r="G5012" s="14"/>
      <c r="H5012" t="s" s="10">
        <v>152</v>
      </c>
      <c r="I5012" s="14"/>
      <c r="J5012" t="s" s="11">
        <v>20</v>
      </c>
      <c r="K5012" s="15"/>
      <c r="L5012" t="s" s="16">
        <f>HYPERLINK("http://csr.bu.edu/ftp/asl/asllvd/demos/verify_start_end_handshape_annotations//test_auto_move//signs_mov_separ_signers/Dana_1093.mov","MOV")</f>
        <v>21</v>
      </c>
      <c r="M5012" t="s" s="10">
        <v>44</v>
      </c>
      <c r="N5012" s="17">
        <v>17</v>
      </c>
      <c r="O5012" s="18">
        <v>2369</v>
      </c>
      <c r="P5012" s="18">
        <v>2402</v>
      </c>
      <c r="Q5012" s="15"/>
      <c r="R5012" t="s" s="16">
        <f>HYPERLINK("http://secrets.rutgers.edu:8080/data/asl-ftp/asllvd/demos/verify_start_end_handshape_annotations//test_auto_move//signs_mov_separ_signers/Dana_1093.mov","MOV")</f>
        <v>21</v>
      </c>
    </row>
    <row r="5013" s="2" customFormat="1" ht="13.5" customHeight="1">
      <c r="B5013" t="s" s="8">
        <v>1702</v>
      </c>
      <c r="C5013" t="s" s="9">
        <v>14</v>
      </c>
      <c r="D5013" t="s" s="8">
        <v>14</v>
      </c>
      <c r="E5013" t="s" s="9">
        <v>14</v>
      </c>
      <c r="F5013" t="s" s="10">
        <v>14</v>
      </c>
      <c r="G5013" t="s" s="11">
        <v>14</v>
      </c>
      <c r="H5013" t="s" s="10">
        <v>14</v>
      </c>
      <c r="I5013" t="s" s="11">
        <v>14</v>
      </c>
      <c r="J5013" t="s" s="11">
        <v>14</v>
      </c>
      <c r="K5013" t="s" s="12">
        <v>14</v>
      </c>
      <c r="L5013" t="s" s="12">
        <v>14</v>
      </c>
      <c r="M5013" t="s" s="10">
        <v>14</v>
      </c>
      <c r="N5013" t="s" s="11">
        <v>14</v>
      </c>
      <c r="O5013" t="s" s="8">
        <v>14</v>
      </c>
      <c r="P5013" t="s" s="8">
        <v>14</v>
      </c>
      <c r="Q5013" t="s" s="12">
        <v>14</v>
      </c>
      <c r="R5013" t="s" s="12">
        <v>14</v>
      </c>
    </row>
    <row r="5014" s="2" customFormat="1" ht="13.5" customHeight="1">
      <c r="B5014" s="13"/>
      <c r="C5014" t="s" s="9">
        <v>16</v>
      </c>
      <c r="D5014" t="s" s="8">
        <v>1702</v>
      </c>
      <c r="E5014" t="s" s="9">
        <v>1702</v>
      </c>
      <c r="F5014" s="19">
        <v>5</v>
      </c>
      <c r="G5014" s="14"/>
      <c r="H5014" t="s" s="10">
        <v>68</v>
      </c>
      <c r="I5014" s="14"/>
      <c r="J5014" t="s" s="11">
        <v>20</v>
      </c>
      <c r="K5014" s="15"/>
      <c r="L5014" t="s" s="16">
        <f>HYPERLINK("http://csr.bu.edu/ftp/asl/asllvd/demos/verify_start_end_handshape_annotations//test_auto_move//signs_mov_separ_signers/Liz_1095.mov","MOV")</f>
        <v>21</v>
      </c>
      <c r="M5014" t="s" s="10">
        <v>34</v>
      </c>
      <c r="N5014" s="17">
        <v>12</v>
      </c>
      <c r="O5014" s="18">
        <v>1345</v>
      </c>
      <c r="P5014" s="18">
        <v>1385</v>
      </c>
      <c r="Q5014" s="15"/>
      <c r="R5014" t="s" s="16">
        <f>HYPERLINK("http://secrets.rutgers.edu:8080/data/asl-ftp/asllvd/demos/verify_start_end_handshape_annotations//test_auto_move//signs_mov_separ_signers/Liz_1095.mov","MOV")</f>
        <v>21</v>
      </c>
    </row>
    <row r="5015" s="2" customFormat="1" ht="13.5" customHeight="1">
      <c r="B5015" s="13"/>
      <c r="C5015" t="s" s="9">
        <v>23</v>
      </c>
      <c r="D5015" t="s" s="8">
        <v>1702</v>
      </c>
      <c r="E5015" t="s" s="9">
        <v>1702</v>
      </c>
      <c r="F5015" t="s" s="10">
        <v>187</v>
      </c>
      <c r="G5015" s="14"/>
      <c r="H5015" t="s" s="10">
        <v>68</v>
      </c>
      <c r="I5015" s="14"/>
      <c r="J5015" t="s" s="11">
        <v>20</v>
      </c>
      <c r="K5015" s="15"/>
      <c r="L5015" t="s" s="16">
        <f>HYPERLINK("http://csr.bu.edu/ftp/asl/asllvd/demos/verify_start_end_handshape_annotations//test_auto_move//signs_mov_separ_signers/Tyler_1095.mov","MOV")</f>
        <v>21</v>
      </c>
      <c r="M5015" t="s" s="10">
        <v>92</v>
      </c>
      <c r="N5015" s="17">
        <v>42</v>
      </c>
      <c r="O5015" s="18">
        <v>1904</v>
      </c>
      <c r="P5015" s="18">
        <v>1951</v>
      </c>
      <c r="Q5015" s="15"/>
      <c r="R5015" t="s" s="16">
        <f>HYPERLINK("http://secrets.rutgers.edu:8080/data/asl-ftp/asllvd/demos/verify_start_end_handshape_annotations//test_auto_move//signs_mov_separ_signers/Tyler_1095.mov","MOV")</f>
        <v>21</v>
      </c>
    </row>
    <row r="5016" s="2" customFormat="1" ht="13.5" customHeight="1">
      <c r="B5016" s="13"/>
      <c r="C5016" t="s" s="9">
        <v>27</v>
      </c>
      <c r="D5016" t="s" s="8">
        <v>1702</v>
      </c>
      <c r="E5016" t="s" s="9">
        <v>1702</v>
      </c>
      <c r="F5016" t="s" s="10">
        <v>72</v>
      </c>
      <c r="G5016" s="14"/>
      <c r="H5016" t="s" s="10">
        <v>68</v>
      </c>
      <c r="I5016" s="14"/>
      <c r="J5016" t="s" s="11">
        <v>20</v>
      </c>
      <c r="K5016" t="s" s="16">
        <f>HYPERLINK("http://csr.bu.edu/ftp/asl/asllvd/demos/verify_start_end_handshape_annotations//test_auto_move//signs_mov/1095_3655_merged.mov","MOV")</f>
        <v>21</v>
      </c>
      <c r="L5016" t="s" s="16">
        <f>HYPERLINK("http://csr.bu.edu/ftp/asl/asllvd/demos/verify_start_end_handshape_annotations//test_auto_move//signs_mov_separ_signers/Naomi_1095.mov","MOV")</f>
        <v>21</v>
      </c>
      <c r="M5016" t="s" s="10">
        <v>38</v>
      </c>
      <c r="N5016" s="17">
        <v>10</v>
      </c>
      <c r="O5016" s="18">
        <v>2877</v>
      </c>
      <c r="P5016" s="18">
        <v>2910</v>
      </c>
      <c r="Q5016" t="s" s="16">
        <f>HYPERLINK("http://secrets.rutgers.edu:8080/data/asl-ftp/asllvd/demos/verify_start_end_handshape_annotations//test_auto_move//signs_mov/1095_3655_merged.mov","MOV")</f>
        <v>21</v>
      </c>
      <c r="R5016" t="s" s="16">
        <f>HYPERLINK("http://secrets.rutgers.edu:8080/data/asl-ftp/asllvd/demos/verify_start_end_handshape_annotations//test_auto_move//signs_mov_separ_signers/Naomi_1095.mov","MOV")</f>
        <v>21</v>
      </c>
    </row>
    <row r="5017" s="2" customFormat="1" ht="13.5" customHeight="1">
      <c r="B5017" s="13"/>
      <c r="C5017" t="s" s="9">
        <v>27</v>
      </c>
      <c r="D5017" t="s" s="8">
        <v>1702</v>
      </c>
      <c r="E5017" t="s" s="9">
        <v>1702</v>
      </c>
      <c r="F5017" t="s" s="10">
        <v>148</v>
      </c>
      <c r="G5017" s="14"/>
      <c r="H5017" t="s" s="10">
        <v>68</v>
      </c>
      <c r="I5017" s="14"/>
      <c r="J5017" t="s" s="11">
        <v>20</v>
      </c>
      <c r="K5017" s="15"/>
      <c r="L5017" t="s" s="16">
        <f>HYPERLINK("http://csr.bu.edu/ftp/asl/asllvd/demos/verify_start_end_handshape_annotations//test_auto_move//signs_mov_separ_signers/Naomi_3655.mov","MOV")</f>
        <v>21</v>
      </c>
      <c r="M5017" t="s" s="10">
        <v>38</v>
      </c>
      <c r="N5017" s="17">
        <v>19</v>
      </c>
      <c r="O5017" s="18">
        <v>528</v>
      </c>
      <c r="P5017" s="18">
        <v>582</v>
      </c>
      <c r="Q5017" s="15"/>
      <c r="R5017" t="s" s="16">
        <f>HYPERLINK("http://secrets.rutgers.edu:8080/data/asl-ftp/asllvd/demos/verify_start_end_handshape_annotations//test_auto_move//signs_mov_separ_signers/Naomi_3655.mov","MOV")</f>
        <v>21</v>
      </c>
    </row>
    <row r="5018" s="2" customFormat="1" ht="13.5" customHeight="1">
      <c r="B5018" s="13"/>
      <c r="C5018" t="s" s="9">
        <v>30</v>
      </c>
      <c r="D5018" t="s" s="8">
        <v>1702</v>
      </c>
      <c r="E5018" t="s" s="9">
        <v>1702</v>
      </c>
      <c r="F5018" t="s" s="10">
        <v>150</v>
      </c>
      <c r="G5018" s="14"/>
      <c r="H5018" t="s" s="10">
        <v>68</v>
      </c>
      <c r="I5018" s="14"/>
      <c r="J5018" t="s" s="11">
        <v>20</v>
      </c>
      <c r="K5018" s="15"/>
      <c r="L5018" t="s" s="16">
        <f>HYPERLINK("http://csr.bu.edu/ftp/asl/asllvd/demos/verify_start_end_handshape_annotations//test_auto_move//signs_mov_separ_signers/Brady_1095.mov","MOV")</f>
        <v>21</v>
      </c>
      <c r="M5018" t="s" s="10">
        <v>39</v>
      </c>
      <c r="N5018" s="17">
        <v>29</v>
      </c>
      <c r="O5018" s="18">
        <v>4552</v>
      </c>
      <c r="P5018" s="18">
        <v>4575</v>
      </c>
      <c r="Q5018" s="15"/>
      <c r="R5018" t="s" s="16">
        <f>HYPERLINK("http://secrets.rutgers.edu:8080/data/asl-ftp/asllvd/demos/verify_start_end_handshape_annotations//test_auto_move//signs_mov_separ_signers/Brady_1095.mov","MOV")</f>
        <v>21</v>
      </c>
    </row>
    <row r="5019" s="2" customFormat="1" ht="13.5" customHeight="1">
      <c r="B5019" t="s" s="8">
        <v>1703</v>
      </c>
      <c r="C5019" t="s" s="9">
        <v>14</v>
      </c>
      <c r="D5019" t="s" s="8">
        <v>14</v>
      </c>
      <c r="E5019" t="s" s="9">
        <v>14</v>
      </c>
      <c r="F5019" t="s" s="10">
        <v>14</v>
      </c>
      <c r="G5019" t="s" s="11">
        <v>14</v>
      </c>
      <c r="H5019" t="s" s="10">
        <v>14</v>
      </c>
      <c r="I5019" t="s" s="11">
        <v>14</v>
      </c>
      <c r="J5019" t="s" s="11">
        <v>14</v>
      </c>
      <c r="K5019" t="s" s="12">
        <v>14</v>
      </c>
      <c r="L5019" t="s" s="12">
        <v>14</v>
      </c>
      <c r="M5019" t="s" s="10">
        <v>14</v>
      </c>
      <c r="N5019" t="s" s="11">
        <v>14</v>
      </c>
      <c r="O5019" t="s" s="8">
        <v>14</v>
      </c>
      <c r="P5019" t="s" s="8">
        <v>14</v>
      </c>
      <c r="Q5019" t="s" s="12">
        <v>14</v>
      </c>
      <c r="R5019" t="s" s="12">
        <v>14</v>
      </c>
    </row>
    <row r="5020" s="2" customFormat="1" ht="13.5" customHeight="1">
      <c r="B5020" s="13"/>
      <c r="C5020" t="s" s="9">
        <v>16</v>
      </c>
      <c r="D5020" t="s" s="8">
        <v>1703</v>
      </c>
      <c r="E5020" t="s" s="9">
        <v>1703</v>
      </c>
      <c r="F5020" t="s" s="10">
        <v>68</v>
      </c>
      <c r="G5020" s="14"/>
      <c r="H5020" t="s" s="10">
        <v>68</v>
      </c>
      <c r="I5020" s="14"/>
      <c r="J5020" t="s" s="11">
        <v>20</v>
      </c>
      <c r="K5020" s="15"/>
      <c r="L5020" t="s" s="16">
        <f>HYPERLINK("http://csr.bu.edu/ftp/asl/asllvd/demos/verify_start_end_handshape_annotations//test_auto_move//signs_mov_separ_signers/Liz_15723.mov","MOV")</f>
        <v>21</v>
      </c>
      <c r="M5020" t="s" s="10">
        <v>34</v>
      </c>
      <c r="N5020" s="17">
        <v>23</v>
      </c>
      <c r="O5020" s="18">
        <v>640</v>
      </c>
      <c r="P5020" s="18">
        <v>675</v>
      </c>
      <c r="Q5020" s="15"/>
      <c r="R5020" t="s" s="16">
        <f>HYPERLINK("http://secrets.rutgers.edu:8080/data/asl-ftp/asllvd/demos/verify_start_end_handshape_annotations//test_auto_move//signs_mov_separ_signers/Liz_15723.mov","MOV")</f>
        <v>21</v>
      </c>
    </row>
    <row r="5021" s="2" customFormat="1" ht="13.5" customHeight="1">
      <c r="B5021" s="13"/>
      <c r="C5021" t="s" s="9">
        <v>23</v>
      </c>
      <c r="D5021" t="s" s="8">
        <v>1703</v>
      </c>
      <c r="E5021" t="s" s="9">
        <v>1703</v>
      </c>
      <c r="F5021" t="s" s="10">
        <v>68</v>
      </c>
      <c r="G5021" s="14"/>
      <c r="H5021" t="s" s="10">
        <v>68</v>
      </c>
      <c r="I5021" s="14"/>
      <c r="J5021" t="s" s="11">
        <v>20</v>
      </c>
      <c r="K5021" t="s" s="16">
        <f>HYPERLINK("http://csr.bu.edu/ftp/asl/asllvd/demos/verify_start_end_handshape_annotations//test_auto_move//signs_mov/15723.mov","MOV")</f>
        <v>21</v>
      </c>
      <c r="L5021" t="s" s="16">
        <f>HYPERLINK("http://csr.bu.edu/ftp/asl/asllvd/demos/verify_start_end_handshape_annotations//test_auto_move//signs_mov_separ_signers/Tyler_15723.mov","MOV")</f>
        <v>21</v>
      </c>
      <c r="M5021" t="s" s="10">
        <v>92</v>
      </c>
      <c r="N5021" s="17">
        <v>51</v>
      </c>
      <c r="O5021" s="18">
        <v>730</v>
      </c>
      <c r="P5021" s="18">
        <v>767</v>
      </c>
      <c r="Q5021" t="s" s="16">
        <f>HYPERLINK("http://secrets.rutgers.edu:8080/data/asl-ftp/asllvd/demos/verify_start_end_handshape_annotations//test_auto_move//signs_mov/15723.mov","MOV")</f>
        <v>21</v>
      </c>
      <c r="R5021" t="s" s="16">
        <f>HYPERLINK("http://secrets.rutgers.edu:8080/data/asl-ftp/asllvd/demos/verify_start_end_handshape_annotations//test_auto_move//signs_mov_separ_signers/Tyler_15723.mov","MOV")</f>
        <v>21</v>
      </c>
    </row>
    <row r="5022" s="2" customFormat="1" ht="13.5" customHeight="1">
      <c r="B5022" s="13"/>
      <c r="C5022" t="s" s="9">
        <v>30</v>
      </c>
      <c r="D5022" t="s" s="8">
        <v>1703</v>
      </c>
      <c r="E5022" t="s" s="9">
        <v>1703</v>
      </c>
      <c r="F5022" t="s" s="10">
        <v>68</v>
      </c>
      <c r="G5022" s="14"/>
      <c r="H5022" t="s" s="10">
        <v>68</v>
      </c>
      <c r="I5022" s="14"/>
      <c r="J5022" t="s" s="11">
        <v>20</v>
      </c>
      <c r="K5022" s="15"/>
      <c r="L5022" t="s" s="16">
        <f>HYPERLINK("http://csr.bu.edu/ftp/asl/asllvd/demos/verify_start_end_handshape_annotations//test_auto_move//signs_mov_separ_signers/Brady_15723.mov","MOV")</f>
        <v>21</v>
      </c>
      <c r="M5022" t="s" s="10">
        <v>39</v>
      </c>
      <c r="N5022" s="17">
        <v>34</v>
      </c>
      <c r="O5022" s="18">
        <v>4758</v>
      </c>
      <c r="P5022" s="18">
        <v>4784</v>
      </c>
      <c r="Q5022" s="15"/>
      <c r="R5022" t="s" s="16">
        <f>HYPERLINK("http://secrets.rutgers.edu:8080/data/asl-ftp/asllvd/demos/verify_start_end_handshape_annotations//test_auto_move//signs_mov_separ_signers/Brady_15723.mov","MOV")</f>
        <v>21</v>
      </c>
    </row>
    <row r="5023" s="2" customFormat="1" ht="13.5" customHeight="1">
      <c r="B5023" t="s" s="8">
        <v>1704</v>
      </c>
      <c r="C5023" t="s" s="9">
        <v>14</v>
      </c>
      <c r="D5023" t="s" s="8">
        <v>14</v>
      </c>
      <c r="E5023" t="s" s="9">
        <v>14</v>
      </c>
      <c r="F5023" t="s" s="10">
        <v>14</v>
      </c>
      <c r="G5023" t="s" s="11">
        <v>14</v>
      </c>
      <c r="H5023" t="s" s="10">
        <v>14</v>
      </c>
      <c r="I5023" t="s" s="11">
        <v>14</v>
      </c>
      <c r="J5023" t="s" s="11">
        <v>14</v>
      </c>
      <c r="K5023" t="s" s="12">
        <v>14</v>
      </c>
      <c r="L5023" t="s" s="12">
        <v>14</v>
      </c>
      <c r="M5023" t="s" s="10">
        <v>14</v>
      </c>
      <c r="N5023" t="s" s="11">
        <v>14</v>
      </c>
      <c r="O5023" t="s" s="8">
        <v>14</v>
      </c>
      <c r="P5023" t="s" s="8">
        <v>14</v>
      </c>
      <c r="Q5023" t="s" s="12">
        <v>14</v>
      </c>
      <c r="R5023" t="s" s="12">
        <v>14</v>
      </c>
    </row>
    <row r="5024" s="2" customFormat="1" ht="13.5" customHeight="1">
      <c r="B5024" s="13"/>
      <c r="C5024" t="s" s="9">
        <v>16</v>
      </c>
      <c r="D5024" t="s" s="8">
        <v>1704</v>
      </c>
      <c r="E5024" t="s" s="9">
        <v>1704</v>
      </c>
      <c r="F5024" t="s" s="10">
        <v>119</v>
      </c>
      <c r="G5024" t="s" s="11">
        <v>185</v>
      </c>
      <c r="H5024" s="19">
        <v>5</v>
      </c>
      <c r="I5024" t="s" s="11">
        <v>185</v>
      </c>
      <c r="J5024" t="s" s="11">
        <v>20</v>
      </c>
      <c r="K5024" s="15"/>
      <c r="L5024" t="s" s="16">
        <f>HYPERLINK("http://csr.bu.edu/ftp/asl/asllvd/demos/verify_start_end_handshape_annotations//test_auto_move//signs_mov_separ_signers/Liz_1100.mov","MOV")</f>
        <v>21</v>
      </c>
      <c r="M5024" t="s" s="10">
        <v>34</v>
      </c>
      <c r="N5024" s="17">
        <v>13</v>
      </c>
      <c r="O5024" s="18">
        <v>246</v>
      </c>
      <c r="P5024" s="18">
        <v>290</v>
      </c>
      <c r="Q5024" s="15"/>
      <c r="R5024" t="s" s="16">
        <f>HYPERLINK("http://secrets.rutgers.edu:8080/data/asl-ftp/asllvd/demos/verify_start_end_handshape_annotations//test_auto_move//signs_mov_separ_signers/Liz_1100.mov","MOV")</f>
        <v>21</v>
      </c>
    </row>
    <row r="5025" s="2" customFormat="1" ht="13.5" customHeight="1">
      <c r="B5025" s="13"/>
      <c r="C5025" t="s" s="9">
        <v>16</v>
      </c>
      <c r="D5025" t="s" s="8">
        <v>1704</v>
      </c>
      <c r="E5025" t="s" s="9">
        <v>1705</v>
      </c>
      <c r="F5025" t="s" s="10">
        <v>119</v>
      </c>
      <c r="G5025" t="s" s="11">
        <v>185</v>
      </c>
      <c r="H5025" s="19">
        <v>5</v>
      </c>
      <c r="I5025" t="s" s="11">
        <v>185</v>
      </c>
      <c r="J5025" t="s" s="11">
        <v>20</v>
      </c>
      <c r="K5025" s="15"/>
      <c r="L5025" t="s" s="16">
        <f>HYPERLINK("http://csr.bu.edu/ftp/asl/asllvd/demos/verify_start_end_handshape_annotations//test_auto_move//signs_mov_separ_signers/Liz_5645.mov","MOV")</f>
        <v>21</v>
      </c>
      <c r="M5025" t="s" s="10">
        <v>36</v>
      </c>
      <c r="N5025" s="17">
        <v>41</v>
      </c>
      <c r="O5025" s="18">
        <v>2655</v>
      </c>
      <c r="P5025" s="18">
        <v>2690</v>
      </c>
      <c r="Q5025" s="15"/>
      <c r="R5025" t="s" s="16">
        <f>HYPERLINK("http://secrets.rutgers.edu:8080/data/asl-ftp/asllvd/demos/verify_start_end_handshape_annotations//test_auto_move//signs_mov_separ_signers/Liz_5645.mov","MOV")</f>
        <v>21</v>
      </c>
    </row>
    <row r="5026" s="2" customFormat="1" ht="13.5" customHeight="1">
      <c r="B5026" s="13"/>
      <c r="C5026" t="s" s="9">
        <v>23</v>
      </c>
      <c r="D5026" t="s" s="8">
        <v>1704</v>
      </c>
      <c r="E5026" t="s" s="9">
        <v>1704</v>
      </c>
      <c r="F5026" t="s" s="10">
        <v>119</v>
      </c>
      <c r="G5026" t="s" s="11">
        <v>185</v>
      </c>
      <c r="H5026" t="s" s="10">
        <v>72</v>
      </c>
      <c r="I5026" t="s" s="11">
        <v>185</v>
      </c>
      <c r="J5026" t="s" s="11">
        <v>20</v>
      </c>
      <c r="K5026" s="15"/>
      <c r="L5026" t="s" s="16">
        <f>HYPERLINK("http://csr.bu.edu/ftp/asl/asllvd/demos/verify_start_end_handshape_annotations//test_auto_move//signs_mov_separ_signers/Tyler_1100.mov","MOV")</f>
        <v>21</v>
      </c>
      <c r="M5026" t="s" s="10">
        <v>92</v>
      </c>
      <c r="N5026" s="17">
        <v>42</v>
      </c>
      <c r="O5026" s="18">
        <v>3360</v>
      </c>
      <c r="P5026" s="18">
        <v>3406</v>
      </c>
      <c r="Q5026" s="15"/>
      <c r="R5026" t="s" s="16">
        <f>HYPERLINK("http://secrets.rutgers.edu:8080/data/asl-ftp/asllvd/demos/verify_start_end_handshape_annotations//test_auto_move//signs_mov_separ_signers/Tyler_1100.mov","MOV")</f>
        <v>21</v>
      </c>
    </row>
    <row r="5027" s="2" customFormat="1" ht="13.5" customHeight="1">
      <c r="B5027" s="13"/>
      <c r="C5027" t="s" s="9">
        <v>27</v>
      </c>
      <c r="D5027" t="s" s="8">
        <v>1704</v>
      </c>
      <c r="E5027" t="s" s="9">
        <v>1704</v>
      </c>
      <c r="F5027" t="s" s="10">
        <v>119</v>
      </c>
      <c r="G5027" t="s" s="11">
        <v>185</v>
      </c>
      <c r="H5027" t="s" s="10">
        <v>148</v>
      </c>
      <c r="I5027" t="s" s="11">
        <v>72</v>
      </c>
      <c r="J5027" t="s" s="11">
        <v>20</v>
      </c>
      <c r="K5027" t="s" s="16">
        <f>HYPERLINK("http://csr.bu.edu/ftp/asl/asllvd/demos/verify_start_end_handshape_annotations//test_auto_move//signs_mov/1100_5645_merged.mov","MOV")</f>
        <v>21</v>
      </c>
      <c r="L5027" t="s" s="16">
        <f>HYPERLINK("http://csr.bu.edu/ftp/asl/asllvd/demos/verify_start_end_handshape_annotations//test_auto_move//signs_mov_separ_signers/Naomi_1100.mov","MOV")</f>
        <v>21</v>
      </c>
      <c r="M5027" t="s" s="10">
        <v>38</v>
      </c>
      <c r="N5027" s="17">
        <v>10</v>
      </c>
      <c r="O5027" s="18">
        <v>7435</v>
      </c>
      <c r="P5027" s="18">
        <v>7475</v>
      </c>
      <c r="Q5027" t="s" s="16">
        <f>HYPERLINK("http://secrets.rutgers.edu:8080/data/asl-ftp/asllvd/demos/verify_start_end_handshape_annotations//test_auto_move//signs_mov/1100_5645_merged.mov","MOV")</f>
        <v>21</v>
      </c>
      <c r="R5027" t="s" s="16">
        <f>HYPERLINK("http://secrets.rutgers.edu:8080/data/asl-ftp/asllvd/demos/verify_start_end_handshape_annotations//test_auto_move//signs_mov_separ_signers/Naomi_1100.mov","MOV")</f>
        <v>21</v>
      </c>
    </row>
    <row r="5028" s="2" customFormat="1" ht="13.5" customHeight="1">
      <c r="B5028" s="13"/>
      <c r="C5028" t="s" s="9">
        <v>30</v>
      </c>
      <c r="D5028" t="s" s="8">
        <v>1704</v>
      </c>
      <c r="E5028" t="s" s="9">
        <v>1704</v>
      </c>
      <c r="F5028" t="s" s="10">
        <v>119</v>
      </c>
      <c r="G5028" t="s" s="11">
        <v>185</v>
      </c>
      <c r="H5028" t="s" s="10">
        <v>148</v>
      </c>
      <c r="I5028" t="s" s="11">
        <v>185</v>
      </c>
      <c r="J5028" t="s" s="11">
        <v>20</v>
      </c>
      <c r="K5028" s="15"/>
      <c r="L5028" t="s" s="16">
        <f>HYPERLINK("http://csr.bu.edu/ftp/asl/asllvd/demos/verify_start_end_handshape_annotations//test_auto_move//signs_mov_separ_signers/Brady_1100.mov","MOV")</f>
        <v>21</v>
      </c>
      <c r="M5028" t="s" s="10">
        <v>39</v>
      </c>
      <c r="N5028" s="17">
        <v>29</v>
      </c>
      <c r="O5028" s="18">
        <v>6069</v>
      </c>
      <c r="P5028" s="18">
        <v>6108</v>
      </c>
      <c r="Q5028" s="15"/>
      <c r="R5028" t="s" s="16">
        <f>HYPERLINK("http://secrets.rutgers.edu:8080/data/asl-ftp/asllvd/demos/verify_start_end_handshape_annotations//test_auto_move//signs_mov_separ_signers/Brady_1100.mov","MOV")</f>
        <v>21</v>
      </c>
    </row>
    <row r="5029" s="2" customFormat="1" ht="13.5" customHeight="1">
      <c r="B5029" s="13"/>
      <c r="C5029" t="s" s="9">
        <v>30</v>
      </c>
      <c r="D5029" t="s" s="8">
        <v>1704</v>
      </c>
      <c r="E5029" t="s" s="9">
        <v>1705</v>
      </c>
      <c r="F5029" t="s" s="10">
        <v>68</v>
      </c>
      <c r="G5029" t="s" s="11">
        <v>185</v>
      </c>
      <c r="H5029" s="19">
        <v>5</v>
      </c>
      <c r="I5029" t="s" s="11">
        <v>185</v>
      </c>
      <c r="J5029" t="s" s="11">
        <v>20</v>
      </c>
      <c r="K5029" s="15"/>
      <c r="L5029" t="s" s="16">
        <f>HYPERLINK("http://csr.bu.edu/ftp/asl/asllvd/demos/verify_start_end_handshape_annotations//test_auto_move//signs_mov_separ_signers/Brady_5645.mov","MOV")</f>
        <v>21</v>
      </c>
      <c r="M5029" t="s" s="10">
        <v>40</v>
      </c>
      <c r="N5029" s="17">
        <v>94</v>
      </c>
      <c r="O5029" s="18">
        <v>892</v>
      </c>
      <c r="P5029" s="18">
        <v>932</v>
      </c>
      <c r="Q5029" s="15"/>
      <c r="R5029" t="s" s="16">
        <f>HYPERLINK("http://secrets.rutgers.edu:8080/data/asl-ftp/asllvd/demos/verify_start_end_handshape_annotations//test_auto_move//signs_mov_separ_signers/Brady_5645.mov","MOV")</f>
        <v>21</v>
      </c>
    </row>
    <row r="5030" s="2" customFormat="1" ht="13.5" customHeight="1">
      <c r="B5030" s="13"/>
      <c r="C5030" t="s" s="9">
        <v>41</v>
      </c>
      <c r="D5030" t="s" s="8">
        <v>1704</v>
      </c>
      <c r="E5030" t="s" s="9">
        <v>1704</v>
      </c>
      <c r="F5030" t="s" s="10">
        <v>119</v>
      </c>
      <c r="G5030" t="s" s="11">
        <v>150</v>
      </c>
      <c r="H5030" s="19">
        <v>5</v>
      </c>
      <c r="I5030" t="s" s="11">
        <v>150</v>
      </c>
      <c r="J5030" t="s" s="11">
        <v>20</v>
      </c>
      <c r="K5030" s="15"/>
      <c r="L5030" t="s" s="16">
        <f>HYPERLINK("http://csr.bu.edu/ftp/asl/asllvd/demos/verify_start_end_handshape_annotations//test_auto_move//signs_mov_separ_signers/Lana_1100.mov","MOV")</f>
        <v>21</v>
      </c>
      <c r="M5030" t="s" s="10">
        <v>42</v>
      </c>
      <c r="N5030" s="17">
        <v>25</v>
      </c>
      <c r="O5030" s="18">
        <v>2394</v>
      </c>
      <c r="P5030" s="18">
        <v>2424</v>
      </c>
      <c r="Q5030" s="15"/>
      <c r="R5030" t="s" s="16">
        <f>HYPERLINK("http://secrets.rutgers.edu:8080/data/asl-ftp/asllvd/demos/verify_start_end_handshape_annotations//test_auto_move//signs_mov_separ_signers/Lana_1100.mov","MOV")</f>
        <v>21</v>
      </c>
    </row>
    <row r="5031" s="2" customFormat="1" ht="13.5" customHeight="1">
      <c r="B5031" s="13"/>
      <c r="C5031" t="s" s="9">
        <v>43</v>
      </c>
      <c r="D5031" t="s" s="8">
        <v>1704</v>
      </c>
      <c r="E5031" t="s" s="9">
        <v>1704</v>
      </c>
      <c r="F5031" t="s" s="10">
        <v>119</v>
      </c>
      <c r="G5031" s="17">
        <v>5</v>
      </c>
      <c r="H5031" s="19">
        <v>5</v>
      </c>
      <c r="I5031" s="17">
        <v>5</v>
      </c>
      <c r="J5031" t="s" s="11">
        <v>20</v>
      </c>
      <c r="K5031" s="15"/>
      <c r="L5031" t="s" s="16">
        <f>HYPERLINK("http://csr.bu.edu/ftp/asl/asllvd/demos/verify_start_end_handshape_annotations//test_auto_move//signs_mov_separ_signers/Dana_1100.mov","MOV")</f>
        <v>21</v>
      </c>
      <c r="M5031" t="s" s="10">
        <v>44</v>
      </c>
      <c r="N5031" s="17">
        <v>27</v>
      </c>
      <c r="O5031" s="18">
        <v>2337</v>
      </c>
      <c r="P5031" s="18">
        <v>2391</v>
      </c>
      <c r="Q5031" s="15"/>
      <c r="R5031" t="s" s="16">
        <f>HYPERLINK("http://secrets.rutgers.edu:8080/data/asl-ftp/asllvd/demos/verify_start_end_handshape_annotations//test_auto_move//signs_mov_separ_signers/Dana_1100.mov","MOV")</f>
        <v>21</v>
      </c>
    </row>
    <row r="5032" s="2" customFormat="1" ht="13.5" customHeight="1">
      <c r="B5032" t="s" s="8">
        <v>1706</v>
      </c>
      <c r="C5032" t="s" s="9">
        <v>14</v>
      </c>
      <c r="D5032" t="s" s="8">
        <v>14</v>
      </c>
      <c r="E5032" t="s" s="9">
        <v>14</v>
      </c>
      <c r="F5032" t="s" s="10">
        <v>14</v>
      </c>
      <c r="G5032" t="s" s="11">
        <v>14</v>
      </c>
      <c r="H5032" t="s" s="10">
        <v>14</v>
      </c>
      <c r="I5032" t="s" s="11">
        <v>14</v>
      </c>
      <c r="J5032" t="s" s="11">
        <v>14</v>
      </c>
      <c r="K5032" t="s" s="12">
        <v>14</v>
      </c>
      <c r="L5032" t="s" s="12">
        <v>14</v>
      </c>
      <c r="M5032" t="s" s="10">
        <v>14</v>
      </c>
      <c r="N5032" t="s" s="11">
        <v>14</v>
      </c>
      <c r="O5032" t="s" s="8">
        <v>14</v>
      </c>
      <c r="P5032" t="s" s="8">
        <v>14</v>
      </c>
      <c r="Q5032" t="s" s="12">
        <v>14</v>
      </c>
      <c r="R5032" t="s" s="12">
        <v>14</v>
      </c>
    </row>
    <row r="5033" s="2" customFormat="1" ht="13.5" customHeight="1">
      <c r="B5033" s="13"/>
      <c r="C5033" t="s" s="9">
        <v>16</v>
      </c>
      <c r="D5033" t="s" s="8">
        <v>1706</v>
      </c>
      <c r="E5033" t="s" s="9">
        <v>1706</v>
      </c>
      <c r="F5033" s="19">
        <v>3</v>
      </c>
      <c r="G5033" t="s" s="11">
        <v>68</v>
      </c>
      <c r="H5033" s="19">
        <v>3</v>
      </c>
      <c r="I5033" t="s" s="11">
        <v>68</v>
      </c>
      <c r="J5033" t="s" s="11">
        <v>20</v>
      </c>
      <c r="K5033" s="15"/>
      <c r="L5033" t="s" s="16">
        <f>HYPERLINK("http://csr.bu.edu/ftp/asl/asllvd/demos/verify_start_end_handshape_annotations//test_auto_move//signs_mov_separ_signers/Liz_1102.mov","MOV")</f>
        <v>21</v>
      </c>
      <c r="M5033" t="s" s="10">
        <v>34</v>
      </c>
      <c r="N5033" s="17">
        <v>13</v>
      </c>
      <c r="O5033" s="18">
        <v>881</v>
      </c>
      <c r="P5033" s="18">
        <v>952</v>
      </c>
      <c r="Q5033" s="15"/>
      <c r="R5033" t="s" s="16">
        <f>HYPERLINK("http://secrets.rutgers.edu:8080/data/asl-ftp/asllvd/demos/verify_start_end_handshape_annotations//test_auto_move//signs_mov_separ_signers/Liz_1102.mov","MOV")</f>
        <v>21</v>
      </c>
    </row>
    <row r="5034" s="2" customFormat="1" ht="13.5" customHeight="1">
      <c r="B5034" s="13"/>
      <c r="C5034" t="s" s="9">
        <v>27</v>
      </c>
      <c r="D5034" t="s" s="8">
        <v>1706</v>
      </c>
      <c r="E5034" t="s" s="9">
        <v>1706</v>
      </c>
      <c r="F5034" s="19">
        <v>3</v>
      </c>
      <c r="G5034" t="s" s="11">
        <v>68</v>
      </c>
      <c r="H5034" s="19">
        <v>3</v>
      </c>
      <c r="I5034" t="s" s="11">
        <v>68</v>
      </c>
      <c r="J5034" t="s" s="11">
        <v>20</v>
      </c>
      <c r="K5034" t="s" s="16">
        <f>HYPERLINK("http://csr.bu.edu/ftp/asl/asllvd/demos/verify_start_end_handshape_annotations//test_auto_move//signs_mov/1102.mov","MOV")</f>
        <v>21</v>
      </c>
      <c r="L5034" t="s" s="16">
        <f>HYPERLINK("http://csr.bu.edu/ftp/asl/asllvd/demos/verify_start_end_handshape_annotations//test_auto_move//signs_mov_separ_signers/Naomi_1102.mov","MOV")</f>
        <v>21</v>
      </c>
      <c r="M5034" t="s" s="10">
        <v>38</v>
      </c>
      <c r="N5034" s="17">
        <v>11</v>
      </c>
      <c r="O5034" s="18">
        <v>737</v>
      </c>
      <c r="P5034" s="18">
        <v>765</v>
      </c>
      <c r="Q5034" t="s" s="16">
        <f>HYPERLINK("http://secrets.rutgers.edu:8080/data/asl-ftp/asllvd/demos/verify_start_end_handshape_annotations//test_auto_move//signs_mov/1102.mov","MOV")</f>
        <v>21</v>
      </c>
      <c r="R5034" t="s" s="16">
        <f>HYPERLINK("http://secrets.rutgers.edu:8080/data/asl-ftp/asllvd/demos/verify_start_end_handshape_annotations//test_auto_move//signs_mov_separ_signers/Naomi_1102.mov","MOV")</f>
        <v>21</v>
      </c>
    </row>
    <row r="5035" s="2" customFormat="1" ht="13.5" customHeight="1">
      <c r="B5035" s="13"/>
      <c r="C5035" t="s" s="9">
        <v>30</v>
      </c>
      <c r="D5035" t="s" s="8">
        <v>1706</v>
      </c>
      <c r="E5035" t="s" s="9">
        <v>1706</v>
      </c>
      <c r="F5035" s="19">
        <v>3</v>
      </c>
      <c r="G5035" t="s" s="11">
        <v>63</v>
      </c>
      <c r="H5035" s="19">
        <v>3</v>
      </c>
      <c r="I5035" t="s" s="11">
        <v>63</v>
      </c>
      <c r="J5035" t="s" s="11">
        <v>20</v>
      </c>
      <c r="K5035" s="15"/>
      <c r="L5035" t="s" s="16">
        <f>HYPERLINK("http://csr.bu.edu/ftp/asl/asllvd/demos/verify_start_end_handshape_annotations//test_auto_move//signs_mov_separ_signers/Brady_1102.mov","MOV")</f>
        <v>21</v>
      </c>
      <c r="M5035" t="s" s="10">
        <v>39</v>
      </c>
      <c r="N5035" s="17">
        <v>29</v>
      </c>
      <c r="O5035" s="18">
        <v>6676</v>
      </c>
      <c r="P5035" s="18">
        <v>6711</v>
      </c>
      <c r="Q5035" s="15"/>
      <c r="R5035" t="s" s="16">
        <f>HYPERLINK("http://secrets.rutgers.edu:8080/data/asl-ftp/asllvd/demos/verify_start_end_handshape_annotations//test_auto_move//signs_mov_separ_signers/Brady_1102.mov","MOV")</f>
        <v>21</v>
      </c>
    </row>
    <row r="5036" s="2" customFormat="1" ht="13.5" customHeight="1">
      <c r="B5036" t="s" s="8">
        <v>1707</v>
      </c>
      <c r="C5036" t="s" s="9">
        <v>14</v>
      </c>
      <c r="D5036" t="s" s="8">
        <v>14</v>
      </c>
      <c r="E5036" t="s" s="9">
        <v>14</v>
      </c>
      <c r="F5036" t="s" s="10">
        <v>14</v>
      </c>
      <c r="G5036" t="s" s="11">
        <v>14</v>
      </c>
      <c r="H5036" t="s" s="10">
        <v>14</v>
      </c>
      <c r="I5036" t="s" s="11">
        <v>14</v>
      </c>
      <c r="J5036" t="s" s="11">
        <v>14</v>
      </c>
      <c r="K5036" t="s" s="12">
        <v>14</v>
      </c>
      <c r="L5036" t="s" s="12">
        <v>14</v>
      </c>
      <c r="M5036" t="s" s="10">
        <v>14</v>
      </c>
      <c r="N5036" t="s" s="11">
        <v>14</v>
      </c>
      <c r="O5036" t="s" s="8">
        <v>14</v>
      </c>
      <c r="P5036" t="s" s="8">
        <v>14</v>
      </c>
      <c r="Q5036" t="s" s="12">
        <v>14</v>
      </c>
      <c r="R5036" t="s" s="12">
        <v>14</v>
      </c>
    </row>
    <row r="5037" s="2" customFormat="1" ht="13.5" customHeight="1">
      <c r="B5037" s="13"/>
      <c r="C5037" t="s" s="9">
        <v>16</v>
      </c>
      <c r="D5037" t="s" s="8">
        <v>1707</v>
      </c>
      <c r="E5037" t="s" s="9">
        <v>1707</v>
      </c>
      <c r="F5037" t="s" s="10">
        <v>72</v>
      </c>
      <c r="G5037" s="14"/>
      <c r="H5037" t="s" s="10">
        <v>68</v>
      </c>
      <c r="I5037" s="14"/>
      <c r="J5037" t="s" s="11">
        <v>20</v>
      </c>
      <c r="K5037" s="15"/>
      <c r="L5037" t="s" s="16">
        <f>HYPERLINK("http://csr.bu.edu/ftp/asl/asllvd/demos/verify_start_end_handshape_annotations//test_auto_move//signs_mov_separ_signers/Liz_1103.mov","MOV")</f>
        <v>21</v>
      </c>
      <c r="M5037" t="s" s="10">
        <v>34</v>
      </c>
      <c r="N5037" s="17">
        <v>13</v>
      </c>
      <c r="O5037" s="18">
        <v>1192</v>
      </c>
      <c r="P5037" s="18">
        <v>1236</v>
      </c>
      <c r="Q5037" s="15"/>
      <c r="R5037" t="s" s="16">
        <f>HYPERLINK("http://secrets.rutgers.edu:8080/data/asl-ftp/asllvd/demos/verify_start_end_handshape_annotations//test_auto_move//signs_mov_separ_signers/Liz_1103.mov","MOV")</f>
        <v>21</v>
      </c>
    </row>
    <row r="5038" s="2" customFormat="1" ht="13.5" customHeight="1">
      <c r="B5038" s="13"/>
      <c r="C5038" t="s" s="9">
        <v>23</v>
      </c>
      <c r="D5038" t="s" s="8">
        <v>1707</v>
      </c>
      <c r="E5038" t="s" s="9">
        <v>1707</v>
      </c>
      <c r="F5038" t="s" s="10">
        <v>72</v>
      </c>
      <c r="G5038" s="14"/>
      <c r="H5038" t="s" s="10">
        <v>68</v>
      </c>
      <c r="I5038" s="14"/>
      <c r="J5038" t="s" s="11">
        <v>20</v>
      </c>
      <c r="K5038" s="15"/>
      <c r="L5038" t="s" s="16">
        <f>HYPERLINK("http://csr.bu.edu/ftp/asl/asllvd/demos/verify_start_end_handshape_annotations//test_auto_move//signs_mov_separ_signers/Tyler_1103.mov","MOV")</f>
        <v>21</v>
      </c>
      <c r="M5038" t="s" s="10">
        <v>92</v>
      </c>
      <c r="N5038" s="17">
        <v>43</v>
      </c>
      <c r="O5038" s="18">
        <v>1285</v>
      </c>
      <c r="P5038" s="18">
        <v>1311</v>
      </c>
      <c r="Q5038" s="15"/>
      <c r="R5038" t="s" s="16">
        <f>HYPERLINK("http://secrets.rutgers.edu:8080/data/asl-ftp/asllvd/demos/verify_start_end_handshape_annotations//test_auto_move//signs_mov_separ_signers/Tyler_1103.mov","MOV")</f>
        <v>21</v>
      </c>
    </row>
    <row r="5039" s="2" customFormat="1" ht="13.5" customHeight="1">
      <c r="B5039" s="13"/>
      <c r="C5039" t="s" s="9">
        <v>23</v>
      </c>
      <c r="D5039" t="s" s="8">
        <v>1707</v>
      </c>
      <c r="E5039" t="s" s="9">
        <v>1707</v>
      </c>
      <c r="F5039" t="s" s="10">
        <v>72</v>
      </c>
      <c r="G5039" s="14"/>
      <c r="H5039" t="s" s="10">
        <v>68</v>
      </c>
      <c r="I5039" s="14"/>
      <c r="J5039" t="s" s="11">
        <v>20</v>
      </c>
      <c r="K5039" s="15"/>
      <c r="L5039" t="s" s="16">
        <f>HYPERLINK("http://csr.bu.edu/ftp/asl/asllvd/demos/verify_start_end_handshape_annotations//test_auto_move//signs_mov_separ_signers/Tyler_3340.mov","MOV")</f>
        <v>21</v>
      </c>
      <c r="M5039" t="s" s="10">
        <v>47</v>
      </c>
      <c r="N5039" s="17">
        <v>16</v>
      </c>
      <c r="O5039" s="18">
        <v>2607</v>
      </c>
      <c r="P5039" s="18">
        <v>2625</v>
      </c>
      <c r="Q5039" s="15"/>
      <c r="R5039" t="s" s="16">
        <f>HYPERLINK("http://secrets.rutgers.edu:8080/data/asl-ftp/asllvd/demos/verify_start_end_handshape_annotations//test_auto_move//signs_mov_separ_signers/Tyler_3340.mov","MOV")</f>
        <v>21</v>
      </c>
    </row>
    <row r="5040" s="2" customFormat="1" ht="13.5" customHeight="1">
      <c r="B5040" s="13"/>
      <c r="C5040" t="s" s="9">
        <v>27</v>
      </c>
      <c r="D5040" t="s" s="8">
        <v>1707</v>
      </c>
      <c r="E5040" t="s" s="9">
        <v>1707</v>
      </c>
      <c r="F5040" t="s" s="10">
        <v>72</v>
      </c>
      <c r="G5040" s="14"/>
      <c r="H5040" t="s" s="10">
        <v>68</v>
      </c>
      <c r="I5040" s="14"/>
      <c r="J5040" t="s" s="11">
        <v>20</v>
      </c>
      <c r="K5040" t="s" s="16">
        <f>HYPERLINK("http://csr.bu.edu/ftp/asl/asllvd/demos/verify_start_end_handshape_annotations//test_auto_move//signs_mov/1103_3340_merged.mov","MOV")</f>
        <v>21</v>
      </c>
      <c r="L5040" t="s" s="16">
        <f>HYPERLINK("http://csr.bu.edu/ftp/asl/asllvd/demos/verify_start_end_handshape_annotations//test_auto_move//signs_mov_separ_signers/Naomi_1103.mov","MOV")</f>
        <v>21</v>
      </c>
      <c r="M5040" t="s" s="10">
        <v>38</v>
      </c>
      <c r="N5040" s="17">
        <v>11</v>
      </c>
      <c r="O5040" s="18">
        <v>1335</v>
      </c>
      <c r="P5040" s="18">
        <v>1352</v>
      </c>
      <c r="Q5040" t="s" s="16">
        <f>HYPERLINK("http://secrets.rutgers.edu:8080/data/asl-ftp/asllvd/demos/verify_start_end_handshape_annotations//test_auto_move//signs_mov/1103_3340_merged.mov","MOV")</f>
        <v>21</v>
      </c>
      <c r="R5040" t="s" s="16">
        <f>HYPERLINK("http://secrets.rutgers.edu:8080/data/asl-ftp/asllvd/demos/verify_start_end_handshape_annotations//test_auto_move//signs_mov_separ_signers/Naomi_1103.mov","MOV")</f>
        <v>21</v>
      </c>
    </row>
    <row r="5041" s="2" customFormat="1" ht="13.5" customHeight="1">
      <c r="B5041" s="13"/>
      <c r="C5041" t="s" s="9">
        <v>30</v>
      </c>
      <c r="D5041" t="s" s="8">
        <v>1707</v>
      </c>
      <c r="E5041" t="s" s="9">
        <v>1707</v>
      </c>
      <c r="F5041" t="s" s="10">
        <v>72</v>
      </c>
      <c r="G5041" s="14"/>
      <c r="H5041" t="s" s="10">
        <v>68</v>
      </c>
      <c r="I5041" s="14"/>
      <c r="J5041" t="s" s="11">
        <v>20</v>
      </c>
      <c r="K5041" s="15"/>
      <c r="L5041" t="s" s="16">
        <f>HYPERLINK("http://csr.bu.edu/ftp/asl/asllvd/demos/verify_start_end_handshape_annotations//test_auto_move//signs_mov_separ_signers/Brady_1103.mov","MOV")</f>
        <v>21</v>
      </c>
      <c r="M5041" t="s" s="10">
        <v>39</v>
      </c>
      <c r="N5041" s="17">
        <v>29</v>
      </c>
      <c r="O5041" s="18">
        <v>6988</v>
      </c>
      <c r="P5041" s="18">
        <v>7006</v>
      </c>
      <c r="Q5041" s="15"/>
      <c r="R5041" t="s" s="16">
        <f>HYPERLINK("http://secrets.rutgers.edu:8080/data/asl-ftp/asllvd/demos/verify_start_end_handshape_annotations//test_auto_move//signs_mov_separ_signers/Brady_1103.mov","MOV")</f>
        <v>21</v>
      </c>
    </row>
    <row r="5042" s="2" customFormat="1" ht="13.5" customHeight="1">
      <c r="B5042" s="13"/>
      <c r="C5042" t="s" s="9">
        <v>41</v>
      </c>
      <c r="D5042" t="s" s="8">
        <v>1707</v>
      </c>
      <c r="E5042" t="s" s="9">
        <v>1707</v>
      </c>
      <c r="F5042" t="s" s="10">
        <v>72</v>
      </c>
      <c r="G5042" s="14"/>
      <c r="H5042" t="s" s="10">
        <v>68</v>
      </c>
      <c r="I5042" s="14"/>
      <c r="J5042" t="s" s="11">
        <v>20</v>
      </c>
      <c r="K5042" s="15"/>
      <c r="L5042" t="s" s="16">
        <f>HYPERLINK("http://csr.bu.edu/ftp/asl/asllvd/demos/verify_start_end_handshape_annotations//test_auto_move//signs_mov_separ_signers/Lana_1103.mov","MOV")</f>
        <v>21</v>
      </c>
      <c r="M5042" t="s" s="10">
        <v>42</v>
      </c>
      <c r="N5042" s="17">
        <v>18</v>
      </c>
      <c r="O5042" s="18">
        <v>2688</v>
      </c>
      <c r="P5042" s="18">
        <v>2704</v>
      </c>
      <c r="Q5042" s="15"/>
      <c r="R5042" t="s" s="16">
        <f>HYPERLINK("http://secrets.rutgers.edu:8080/data/asl-ftp/asllvd/demos/verify_start_end_handshape_annotations//test_auto_move//signs_mov_separ_signers/Lana_1103.mov","MOV")</f>
        <v>21</v>
      </c>
    </row>
    <row r="5043" s="2" customFormat="1" ht="13.5" customHeight="1">
      <c r="B5043" s="13"/>
      <c r="C5043" t="s" s="9">
        <v>43</v>
      </c>
      <c r="D5043" t="s" s="8">
        <v>1707</v>
      </c>
      <c r="E5043" t="s" s="9">
        <v>1707</v>
      </c>
      <c r="F5043" t="s" s="10">
        <v>72</v>
      </c>
      <c r="G5043" s="14"/>
      <c r="H5043" t="s" s="10">
        <v>68</v>
      </c>
      <c r="I5043" s="14"/>
      <c r="J5043" t="s" s="11">
        <v>20</v>
      </c>
      <c r="K5043" s="15"/>
      <c r="L5043" t="s" s="16">
        <f>HYPERLINK("http://csr.bu.edu/ftp/asl/asllvd/demos/verify_start_end_handshape_annotations//test_auto_move//signs_mov_separ_signers/Dana_1103.mov","MOV")</f>
        <v>21</v>
      </c>
      <c r="M5043" t="s" s="10">
        <v>44</v>
      </c>
      <c r="N5043" s="17">
        <v>20</v>
      </c>
      <c r="O5043" s="18">
        <v>2683</v>
      </c>
      <c r="P5043" s="18">
        <v>2703</v>
      </c>
      <c r="Q5043" s="15"/>
      <c r="R5043" t="s" s="16">
        <f>HYPERLINK("http://secrets.rutgers.edu:8080/data/asl-ftp/asllvd/demos/verify_start_end_handshape_annotations//test_auto_move//signs_mov_separ_signers/Dana_1103.mov","MOV")</f>
        <v>21</v>
      </c>
    </row>
    <row r="5044" s="2" customFormat="1" ht="13.5" customHeight="1">
      <c r="B5044" t="s" s="8">
        <v>1708</v>
      </c>
      <c r="C5044" t="s" s="9">
        <v>14</v>
      </c>
      <c r="D5044" t="s" s="8">
        <v>14</v>
      </c>
      <c r="E5044" t="s" s="9">
        <v>14</v>
      </c>
      <c r="F5044" t="s" s="10">
        <v>14</v>
      </c>
      <c r="G5044" t="s" s="11">
        <v>14</v>
      </c>
      <c r="H5044" t="s" s="10">
        <v>14</v>
      </c>
      <c r="I5044" t="s" s="11">
        <v>14</v>
      </c>
      <c r="J5044" t="s" s="11">
        <v>14</v>
      </c>
      <c r="K5044" t="s" s="12">
        <v>14</v>
      </c>
      <c r="L5044" t="s" s="12">
        <v>14</v>
      </c>
      <c r="M5044" t="s" s="10">
        <v>14</v>
      </c>
      <c r="N5044" t="s" s="11">
        <v>14</v>
      </c>
      <c r="O5044" t="s" s="8">
        <v>14</v>
      </c>
      <c r="P5044" t="s" s="8">
        <v>14</v>
      </c>
      <c r="Q5044" t="s" s="12">
        <v>14</v>
      </c>
      <c r="R5044" t="s" s="12">
        <v>14</v>
      </c>
    </row>
    <row r="5045" s="2" customFormat="1" ht="13.5" customHeight="1">
      <c r="B5045" s="13"/>
      <c r="C5045" t="s" s="9">
        <v>16</v>
      </c>
      <c r="D5045" t="s" s="8">
        <v>1708</v>
      </c>
      <c r="E5045" t="s" s="9">
        <v>1708</v>
      </c>
      <c r="F5045" t="s" s="10">
        <v>25</v>
      </c>
      <c r="G5045" s="14"/>
      <c r="H5045" t="s" s="10">
        <v>25</v>
      </c>
      <c r="I5045" s="14"/>
      <c r="J5045" t="s" s="11">
        <v>20</v>
      </c>
      <c r="K5045" s="15"/>
      <c r="L5045" t="s" s="16">
        <f>HYPERLINK("http://csr.bu.edu/ftp/asl/asllvd/demos/verify_start_end_handshape_annotations//test_auto_move//signs_mov_separ_signers/Liz_1108.mov","MOV")</f>
        <v>21</v>
      </c>
      <c r="M5045" t="s" s="10">
        <v>34</v>
      </c>
      <c r="N5045" s="17">
        <v>13</v>
      </c>
      <c r="O5045" s="18">
        <v>2765</v>
      </c>
      <c r="P5045" s="18">
        <v>2797</v>
      </c>
      <c r="Q5045" s="15"/>
      <c r="R5045" t="s" s="16">
        <f>HYPERLINK("http://secrets.rutgers.edu:8080/data/asl-ftp/asllvd/demos/verify_start_end_handshape_annotations//test_auto_move//signs_mov_separ_signers/Liz_1108.mov","MOV")</f>
        <v>21</v>
      </c>
    </row>
    <row r="5046" s="2" customFormat="1" ht="13.5" customHeight="1">
      <c r="B5046" s="13"/>
      <c r="C5046" t="s" s="9">
        <v>27</v>
      </c>
      <c r="D5046" t="s" s="8">
        <v>1708</v>
      </c>
      <c r="E5046" t="s" s="9">
        <v>1708</v>
      </c>
      <c r="F5046" t="s" s="10">
        <v>25</v>
      </c>
      <c r="G5046" s="14"/>
      <c r="H5046" t="s" s="10">
        <v>25</v>
      </c>
      <c r="I5046" s="14"/>
      <c r="J5046" t="s" s="11">
        <v>20</v>
      </c>
      <c r="K5046" t="s" s="16">
        <f>HYPERLINK("http://csr.bu.edu/ftp/asl/asllvd/demos/verify_start_end_handshape_annotations//test_auto_move//signs_mov/1108.mov","MOV")</f>
        <v>21</v>
      </c>
      <c r="L5046" t="s" s="16">
        <f>HYPERLINK("http://csr.bu.edu/ftp/asl/asllvd/demos/verify_start_end_handshape_annotations//test_auto_move//signs_mov_separ_signers/Naomi_1108.mov","MOV")</f>
        <v>21</v>
      </c>
      <c r="M5046" t="s" s="10">
        <v>38</v>
      </c>
      <c r="N5046" s="17">
        <v>11</v>
      </c>
      <c r="O5046" s="18">
        <v>2958</v>
      </c>
      <c r="P5046" s="18">
        <v>2993</v>
      </c>
      <c r="Q5046" t="s" s="16">
        <f>HYPERLINK("http://secrets.rutgers.edu:8080/data/asl-ftp/asllvd/demos/verify_start_end_handshape_annotations//test_auto_move//signs_mov/1108.mov","MOV")</f>
        <v>21</v>
      </c>
      <c r="R5046" t="s" s="16">
        <f>HYPERLINK("http://secrets.rutgers.edu:8080/data/asl-ftp/asllvd/demos/verify_start_end_handshape_annotations//test_auto_move//signs_mov_separ_signers/Naomi_1108.mov","MOV")</f>
        <v>21</v>
      </c>
    </row>
    <row r="5047" s="2" customFormat="1" ht="13.5" customHeight="1">
      <c r="B5047" s="13"/>
      <c r="C5047" t="s" s="9">
        <v>30</v>
      </c>
      <c r="D5047" t="s" s="8">
        <v>1708</v>
      </c>
      <c r="E5047" t="s" s="9">
        <v>1708</v>
      </c>
      <c r="F5047" t="s" s="10">
        <v>25</v>
      </c>
      <c r="G5047" s="14"/>
      <c r="H5047" t="s" s="10">
        <v>25</v>
      </c>
      <c r="I5047" s="14"/>
      <c r="J5047" t="s" s="11">
        <v>20</v>
      </c>
      <c r="K5047" s="15"/>
      <c r="L5047" t="s" s="16">
        <f>HYPERLINK("http://csr.bu.edu/ftp/asl/asllvd/demos/verify_start_end_handshape_annotations//test_auto_move//signs_mov_separ_signers/Brady_1108.mov","MOV")</f>
        <v>21</v>
      </c>
      <c r="M5047" t="s" s="10">
        <v>39</v>
      </c>
      <c r="N5047" s="17">
        <v>30</v>
      </c>
      <c r="O5047" s="18">
        <v>1065</v>
      </c>
      <c r="P5047" s="18">
        <v>1081</v>
      </c>
      <c r="Q5047" s="15"/>
      <c r="R5047" t="s" s="16">
        <f>HYPERLINK("http://secrets.rutgers.edu:8080/data/asl-ftp/asllvd/demos/verify_start_end_handshape_annotations//test_auto_move//signs_mov_separ_signers/Brady_1108.mov","MOV")</f>
        <v>21</v>
      </c>
    </row>
    <row r="5048" s="2" customFormat="1" ht="13.5" customHeight="1">
      <c r="B5048" t="s" s="8">
        <v>1709</v>
      </c>
      <c r="C5048" t="s" s="9">
        <v>14</v>
      </c>
      <c r="D5048" t="s" s="8">
        <v>14</v>
      </c>
      <c r="E5048" t="s" s="9">
        <v>14</v>
      </c>
      <c r="F5048" t="s" s="10">
        <v>14</v>
      </c>
      <c r="G5048" t="s" s="11">
        <v>14</v>
      </c>
      <c r="H5048" t="s" s="10">
        <v>14</v>
      </c>
      <c r="I5048" t="s" s="11">
        <v>14</v>
      </c>
      <c r="J5048" t="s" s="11">
        <v>14</v>
      </c>
      <c r="K5048" t="s" s="12">
        <v>14</v>
      </c>
      <c r="L5048" t="s" s="12">
        <v>14</v>
      </c>
      <c r="M5048" t="s" s="10">
        <v>14</v>
      </c>
      <c r="N5048" t="s" s="11">
        <v>14</v>
      </c>
      <c r="O5048" t="s" s="8">
        <v>14</v>
      </c>
      <c r="P5048" t="s" s="8">
        <v>14</v>
      </c>
      <c r="Q5048" t="s" s="12">
        <v>14</v>
      </c>
      <c r="R5048" t="s" s="12">
        <v>14</v>
      </c>
    </row>
    <row r="5049" s="2" customFormat="1" ht="13.5" customHeight="1">
      <c r="B5049" s="13"/>
      <c r="C5049" t="s" s="9">
        <v>16</v>
      </c>
      <c r="D5049" t="s" s="8">
        <v>1709</v>
      </c>
      <c r="E5049" t="s" s="9">
        <v>1709</v>
      </c>
      <c r="F5049" t="s" s="10">
        <v>25</v>
      </c>
      <c r="G5049" s="14"/>
      <c r="H5049" t="s" s="10">
        <v>25</v>
      </c>
      <c r="I5049" s="14"/>
      <c r="J5049" t="s" s="11">
        <v>20</v>
      </c>
      <c r="K5049" t="s" s="16">
        <f>HYPERLINK("http://csr.bu.edu/ftp/asl/asllvd/demos/verify_start_end_handshape_annotations//test_auto_move//signs_mov/15669.mov","MOV")</f>
        <v>21</v>
      </c>
      <c r="L5049" t="s" s="16">
        <f>HYPERLINK("http://csr.bu.edu/ftp/asl/asllvd/demos/verify_start_end_handshape_annotations//test_auto_move//signs_mov_separ_signers/Liz_15669.mov","MOV")</f>
        <v>21</v>
      </c>
      <c r="M5049" t="s" s="10">
        <v>36</v>
      </c>
      <c r="N5049" s="17">
        <v>29</v>
      </c>
      <c r="O5049" s="18">
        <v>2997</v>
      </c>
      <c r="P5049" s="18">
        <v>3045</v>
      </c>
      <c r="Q5049" t="s" s="16">
        <f>HYPERLINK("http://secrets.rutgers.edu:8080/data/asl-ftp/asllvd/demos/verify_start_end_handshape_annotations//test_auto_move//signs_mov/15669.mov","MOV")</f>
        <v>21</v>
      </c>
      <c r="R5049" t="s" s="16">
        <f>HYPERLINK("http://secrets.rutgers.edu:8080/data/asl-ftp/asllvd/demos/verify_start_end_handshape_annotations//test_auto_move//signs_mov_separ_signers/Liz_15669.mov","MOV")</f>
        <v>21</v>
      </c>
    </row>
    <row r="5050" s="2" customFormat="1" ht="13.5" customHeight="1">
      <c r="B5050" t="s" s="8">
        <v>52</v>
      </c>
      <c r="C5050" t="s" s="9">
        <v>53</v>
      </c>
      <c r="D5050" t="s" s="8">
        <v>53</v>
      </c>
      <c r="E5050" t="s" s="9">
        <v>53</v>
      </c>
      <c r="F5050" t="s" s="10">
        <v>53</v>
      </c>
      <c r="G5050" t="s" s="11">
        <v>53</v>
      </c>
      <c r="H5050" t="s" s="10">
        <v>53</v>
      </c>
      <c r="I5050" t="s" s="11">
        <v>53</v>
      </c>
      <c r="J5050" t="s" s="11">
        <v>53</v>
      </c>
      <c r="K5050" t="s" s="12">
        <v>53</v>
      </c>
      <c r="L5050" t="s" s="12">
        <v>53</v>
      </c>
      <c r="M5050" t="s" s="10">
        <v>53</v>
      </c>
      <c r="N5050" t="s" s="11">
        <v>53</v>
      </c>
      <c r="O5050" t="s" s="8">
        <v>53</v>
      </c>
      <c r="P5050" t="s" s="8">
        <v>53</v>
      </c>
      <c r="Q5050" t="s" s="12">
        <v>53</v>
      </c>
      <c r="R5050" t="s" s="12">
        <v>53</v>
      </c>
    </row>
    <row r="5051" s="2" customFormat="1" ht="13.5" customHeight="1">
      <c r="B5051" s="13"/>
      <c r="C5051" t="s" s="9">
        <v>23</v>
      </c>
      <c r="D5051" t="s" s="8">
        <v>1709</v>
      </c>
      <c r="E5051" t="s" s="9">
        <v>1710</v>
      </c>
      <c r="F5051" t="s" s="10">
        <v>25</v>
      </c>
      <c r="G5051" s="14"/>
      <c r="H5051" t="s" s="10">
        <v>25</v>
      </c>
      <c r="I5051" s="14"/>
      <c r="J5051" t="s" s="11">
        <v>20</v>
      </c>
      <c r="K5051" t="s" s="16">
        <f>HYPERLINK("http://csr.bu.edu/ftp/asl/asllvd/demos/verify_start_end_handshape_annotations//test_auto_move//signs_mov/15813.mov","MOV")</f>
        <v>21</v>
      </c>
      <c r="L5051" t="s" s="16">
        <f>HYPERLINK("http://csr.bu.edu/ftp/asl/asllvd/demos/verify_start_end_handshape_annotations//test_auto_move//signs_mov_separ_signers/Tyler_15813.mov","MOV")</f>
        <v>21</v>
      </c>
      <c r="M5051" t="s" s="10">
        <v>92</v>
      </c>
      <c r="N5051" s="17">
        <v>43</v>
      </c>
      <c r="O5051" s="18">
        <v>2461</v>
      </c>
      <c r="P5051" s="18">
        <v>2490</v>
      </c>
      <c r="Q5051" t="s" s="16">
        <f>HYPERLINK("http://secrets.rutgers.edu:8080/data/asl-ftp/asllvd/demos/verify_start_end_handshape_annotations//test_auto_move//signs_mov/15813.mov","MOV")</f>
        <v>21</v>
      </c>
      <c r="R5051" t="s" s="16">
        <f>HYPERLINK("http://secrets.rutgers.edu:8080/data/asl-ftp/asllvd/demos/verify_start_end_handshape_annotations//test_auto_move//signs_mov_separ_signers/Tyler_15813.mov","MOV")</f>
        <v>21</v>
      </c>
    </row>
    <row r="5052" s="2" customFormat="1" ht="13.5" customHeight="1">
      <c r="B5052" s="13"/>
      <c r="C5052" t="s" s="9">
        <v>30</v>
      </c>
      <c r="D5052" t="s" s="8">
        <v>1709</v>
      </c>
      <c r="E5052" t="s" s="9">
        <v>1710</v>
      </c>
      <c r="F5052" t="s" s="10">
        <v>25</v>
      </c>
      <c r="G5052" s="14"/>
      <c r="H5052" t="s" s="10">
        <v>25</v>
      </c>
      <c r="I5052" s="14"/>
      <c r="J5052" t="s" s="11">
        <v>20</v>
      </c>
      <c r="K5052" s="15"/>
      <c r="L5052" t="s" s="16">
        <f>HYPERLINK("http://csr.bu.edu/ftp/asl/asllvd/demos/verify_start_end_handshape_annotations//test_auto_move//signs_mov_separ_signers/Brady_15813.mov","MOV")</f>
        <v>21</v>
      </c>
      <c r="M5052" t="s" s="10">
        <v>40</v>
      </c>
      <c r="N5052" s="17">
        <v>81</v>
      </c>
      <c r="O5052" s="18">
        <v>162</v>
      </c>
      <c r="P5052" s="18">
        <v>188</v>
      </c>
      <c r="Q5052" s="15"/>
      <c r="R5052" t="s" s="16">
        <f>HYPERLINK("http://secrets.rutgers.edu:8080/data/asl-ftp/asllvd/demos/verify_start_end_handshape_annotations//test_auto_move//signs_mov_separ_signers/Brady_15813.mov","MOV")</f>
        <v>21</v>
      </c>
    </row>
    <row r="5053" s="2" customFormat="1" ht="13.5" customHeight="1">
      <c r="B5053" t="s" s="8">
        <v>1711</v>
      </c>
      <c r="C5053" t="s" s="9">
        <v>14</v>
      </c>
      <c r="D5053" t="s" s="8">
        <v>14</v>
      </c>
      <c r="E5053" t="s" s="9">
        <v>14</v>
      </c>
      <c r="F5053" t="s" s="10">
        <v>14</v>
      </c>
      <c r="G5053" t="s" s="11">
        <v>14</v>
      </c>
      <c r="H5053" t="s" s="10">
        <v>14</v>
      </c>
      <c r="I5053" t="s" s="11">
        <v>14</v>
      </c>
      <c r="J5053" t="s" s="11">
        <v>14</v>
      </c>
      <c r="K5053" t="s" s="12">
        <v>14</v>
      </c>
      <c r="L5053" t="s" s="12">
        <v>14</v>
      </c>
      <c r="M5053" t="s" s="10">
        <v>14</v>
      </c>
      <c r="N5053" t="s" s="11">
        <v>14</v>
      </c>
      <c r="O5053" t="s" s="8">
        <v>14</v>
      </c>
      <c r="P5053" t="s" s="8">
        <v>14</v>
      </c>
      <c r="Q5053" t="s" s="12">
        <v>14</v>
      </c>
      <c r="R5053" t="s" s="12">
        <v>14</v>
      </c>
    </row>
    <row r="5054" s="2" customFormat="1" ht="13.5" customHeight="1">
      <c r="B5054" s="13"/>
      <c r="C5054" t="s" s="9">
        <v>16</v>
      </c>
      <c r="D5054" t="s" s="8">
        <v>1711</v>
      </c>
      <c r="E5054" t="s" s="9">
        <v>1711</v>
      </c>
      <c r="F5054" t="s" s="10">
        <v>292</v>
      </c>
      <c r="G5054" t="s" s="11">
        <v>150</v>
      </c>
      <c r="H5054" t="s" s="10">
        <v>292</v>
      </c>
      <c r="I5054" t="s" s="11">
        <v>150</v>
      </c>
      <c r="J5054" t="s" s="11">
        <v>20</v>
      </c>
      <c r="K5054" t="s" s="16">
        <f>HYPERLINK("http://csr.bu.edu/ftp/asl/asllvd/demos/verify_start_end_handshape_annotations//test_auto_move//signs_mov/15839.mov","MOV")</f>
        <v>21</v>
      </c>
      <c r="L5054" t="s" s="16">
        <f>HYPERLINK("http://csr.bu.edu/ftp/asl/asllvd/demos/verify_start_end_handshape_annotations//test_auto_move//signs_mov_separ_signers/Liz_15839.mov","MOV")</f>
        <v>21</v>
      </c>
      <c r="M5054" t="s" s="10">
        <v>36</v>
      </c>
      <c r="N5054" s="17">
        <v>15</v>
      </c>
      <c r="O5054" s="18">
        <v>1832</v>
      </c>
      <c r="P5054" s="18">
        <v>1880</v>
      </c>
      <c r="Q5054" t="s" s="16">
        <f>HYPERLINK("http://secrets.rutgers.edu:8080/data/asl-ftp/asllvd/demos/verify_start_end_handshape_annotations//test_auto_move//signs_mov/15839.mov","MOV")</f>
        <v>21</v>
      </c>
      <c r="R5054" t="s" s="16">
        <f>HYPERLINK("http://secrets.rutgers.edu:8080/data/asl-ftp/asllvd/demos/verify_start_end_handshape_annotations//test_auto_move//signs_mov_separ_signers/Liz_15839.mov","MOV")</f>
        <v>21</v>
      </c>
    </row>
    <row r="5055" s="2" customFormat="1" ht="13.5" customHeight="1">
      <c r="B5055" s="13"/>
      <c r="C5055" t="s" s="9">
        <v>30</v>
      </c>
      <c r="D5055" t="s" s="8">
        <v>1711</v>
      </c>
      <c r="E5055" t="s" s="9">
        <v>1711</v>
      </c>
      <c r="F5055" t="s" s="10">
        <v>18</v>
      </c>
      <c r="G5055" t="s" s="11">
        <v>109</v>
      </c>
      <c r="H5055" t="s" s="10">
        <v>18</v>
      </c>
      <c r="I5055" t="s" s="11">
        <v>109</v>
      </c>
      <c r="J5055" t="s" s="11">
        <v>20</v>
      </c>
      <c r="K5055" s="15"/>
      <c r="L5055" t="s" s="16">
        <f>HYPERLINK("http://csr.bu.edu/ftp/asl/asllvd/demos/verify_start_end_handshape_annotations//test_auto_move//signs_mov_separ_signers/Brady_15839.mov","MOV")</f>
        <v>21</v>
      </c>
      <c r="M5055" t="s" s="10">
        <v>40</v>
      </c>
      <c r="N5055" s="17">
        <v>60</v>
      </c>
      <c r="O5055" s="18">
        <v>1447</v>
      </c>
      <c r="P5055" s="18">
        <v>1468</v>
      </c>
      <c r="Q5055" s="15"/>
      <c r="R5055" t="s" s="16">
        <f>HYPERLINK("http://secrets.rutgers.edu:8080/data/asl-ftp/asllvd/demos/verify_start_end_handshape_annotations//test_auto_move//signs_mov_separ_signers/Brady_15839.mov","MOV")</f>
        <v>21</v>
      </c>
    </row>
    <row r="5056" s="2" customFormat="1" ht="13.5" customHeight="1">
      <c r="B5056" t="s" s="8">
        <v>1711</v>
      </c>
      <c r="C5056" t="s" s="9">
        <v>14</v>
      </c>
      <c r="D5056" t="s" s="8">
        <v>14</v>
      </c>
      <c r="E5056" t="s" s="9">
        <v>14</v>
      </c>
      <c r="F5056" t="s" s="10">
        <v>14</v>
      </c>
      <c r="G5056" t="s" s="11">
        <v>14</v>
      </c>
      <c r="H5056" t="s" s="10">
        <v>14</v>
      </c>
      <c r="I5056" t="s" s="11">
        <v>14</v>
      </c>
      <c r="J5056" t="s" s="11">
        <v>14</v>
      </c>
      <c r="K5056" t="s" s="12">
        <v>14</v>
      </c>
      <c r="L5056" t="s" s="12">
        <v>14</v>
      </c>
      <c r="M5056" t="s" s="10">
        <v>14</v>
      </c>
      <c r="N5056" t="s" s="11">
        <v>14</v>
      </c>
      <c r="O5056" t="s" s="8">
        <v>14</v>
      </c>
      <c r="P5056" t="s" s="8">
        <v>14</v>
      </c>
      <c r="Q5056" t="s" s="12">
        <v>14</v>
      </c>
      <c r="R5056" t="s" s="12">
        <v>14</v>
      </c>
    </row>
    <row r="5057" s="2" customFormat="1" ht="13.5" customHeight="1">
      <c r="B5057" s="13"/>
      <c r="C5057" t="s" s="9">
        <v>16</v>
      </c>
      <c r="D5057" t="s" s="8">
        <v>1712</v>
      </c>
      <c r="E5057" t="s" s="9">
        <v>1712</v>
      </c>
      <c r="F5057" t="s" s="10">
        <v>25</v>
      </c>
      <c r="G5057" t="s" s="11">
        <v>25</v>
      </c>
      <c r="H5057" t="s" s="10">
        <v>25</v>
      </c>
      <c r="I5057" t="s" s="11">
        <v>25</v>
      </c>
      <c r="J5057" t="s" s="11">
        <v>20</v>
      </c>
      <c r="K5057" t="s" s="16">
        <f>HYPERLINK("http://csr.bu.edu/ftp/asl/asllvd/demos/verify_start_end_handshape_annotations//test_auto_move//signs_mov/15923.mov","MOV")</f>
        <v>21</v>
      </c>
      <c r="L5057" t="s" s="16">
        <f>HYPERLINK("http://csr.bu.edu/ftp/asl/asllvd/demos/verify_start_end_handshape_annotations//test_auto_move//signs_mov_separ_signers/Liz_15923.mov","MOV")</f>
        <v>21</v>
      </c>
      <c r="M5057" t="s" s="10">
        <v>36</v>
      </c>
      <c r="N5057" s="17">
        <v>15</v>
      </c>
      <c r="O5057" s="18">
        <v>1556</v>
      </c>
      <c r="P5057" s="18">
        <v>1595</v>
      </c>
      <c r="Q5057" t="s" s="16">
        <f>HYPERLINK("http://secrets.rutgers.edu:8080/data/asl-ftp/asllvd/demos/verify_start_end_handshape_annotations//test_auto_move//signs_mov/15923.mov","MOV")</f>
        <v>21</v>
      </c>
      <c r="R5057" t="s" s="16">
        <f>HYPERLINK("http://secrets.rutgers.edu:8080/data/asl-ftp/asllvd/demos/verify_start_end_handshape_annotations//test_auto_move//signs_mov_separ_signers/Liz_15923.mov","MOV")</f>
        <v>21</v>
      </c>
    </row>
    <row r="5058" s="2" customFormat="1" ht="13.5" customHeight="1">
      <c r="B5058" t="s" s="8">
        <v>1713</v>
      </c>
      <c r="C5058" t="s" s="9">
        <v>14</v>
      </c>
      <c r="D5058" t="s" s="8">
        <v>14</v>
      </c>
      <c r="E5058" t="s" s="9">
        <v>14</v>
      </c>
      <c r="F5058" t="s" s="10">
        <v>14</v>
      </c>
      <c r="G5058" t="s" s="11">
        <v>14</v>
      </c>
      <c r="H5058" t="s" s="10">
        <v>14</v>
      </c>
      <c r="I5058" t="s" s="11">
        <v>14</v>
      </c>
      <c r="J5058" t="s" s="11">
        <v>14</v>
      </c>
      <c r="K5058" t="s" s="12">
        <v>14</v>
      </c>
      <c r="L5058" t="s" s="12">
        <v>14</v>
      </c>
      <c r="M5058" t="s" s="10">
        <v>14</v>
      </c>
      <c r="N5058" t="s" s="11">
        <v>14</v>
      </c>
      <c r="O5058" t="s" s="8">
        <v>14</v>
      </c>
      <c r="P5058" t="s" s="8">
        <v>14</v>
      </c>
      <c r="Q5058" t="s" s="12">
        <v>14</v>
      </c>
      <c r="R5058" t="s" s="12">
        <v>14</v>
      </c>
    </row>
    <row r="5059" s="2" customFormat="1" ht="13.5" customHeight="1">
      <c r="B5059" s="13"/>
      <c r="C5059" t="s" s="9">
        <v>16</v>
      </c>
      <c r="D5059" t="s" s="8">
        <v>1713</v>
      </c>
      <c r="E5059" t="s" s="9">
        <v>1713</v>
      </c>
      <c r="F5059" t="s" s="10">
        <v>25</v>
      </c>
      <c r="G5059" t="s" s="11">
        <v>25</v>
      </c>
      <c r="H5059" t="s" s="10">
        <v>25</v>
      </c>
      <c r="I5059" t="s" s="11">
        <v>25</v>
      </c>
      <c r="J5059" t="s" s="11">
        <v>20</v>
      </c>
      <c r="K5059" t="s" s="16">
        <f>HYPERLINK("http://csr.bu.edu/ftp/asl/asllvd/demos/verify_start_end_handshape_annotations//test_auto_move//signs_mov/16251.mov","MOV")</f>
        <v>21</v>
      </c>
      <c r="L5059" t="s" s="16">
        <f>HYPERLINK("http://csr.bu.edu/ftp/asl/asllvd/demos/verify_start_end_handshape_annotations//test_auto_move//signs_mov_separ_signers/Liz_16251.mov","MOV")</f>
        <v>21</v>
      </c>
      <c r="M5059" t="s" s="10">
        <v>34</v>
      </c>
      <c r="N5059" s="17">
        <v>26</v>
      </c>
      <c r="O5059" s="18">
        <v>2957</v>
      </c>
      <c r="P5059" s="18">
        <v>2995</v>
      </c>
      <c r="Q5059" t="s" s="16">
        <f>HYPERLINK("http://secrets.rutgers.edu:8080/data/asl-ftp/asllvd/demos/verify_start_end_handshape_annotations//test_auto_move//signs_mov/16251.mov","MOV")</f>
        <v>21</v>
      </c>
      <c r="R5059" t="s" s="16">
        <f>HYPERLINK("http://secrets.rutgers.edu:8080/data/asl-ftp/asllvd/demos/verify_start_end_handshape_annotations//test_auto_move//signs_mov_separ_signers/Liz_16251.mov","MOV")</f>
        <v>21</v>
      </c>
    </row>
    <row r="5060" s="2" customFormat="1" ht="13.5" customHeight="1">
      <c r="B5060" s="13"/>
      <c r="C5060" t="s" s="9">
        <v>27</v>
      </c>
      <c r="D5060" t="s" s="8">
        <v>1713</v>
      </c>
      <c r="E5060" t="s" s="9">
        <v>1713</v>
      </c>
      <c r="F5060" t="s" s="10">
        <v>25</v>
      </c>
      <c r="G5060" t="s" s="11">
        <v>25</v>
      </c>
      <c r="H5060" t="s" s="10">
        <v>25</v>
      </c>
      <c r="I5060" t="s" s="11">
        <v>25</v>
      </c>
      <c r="J5060" t="s" s="11">
        <v>20</v>
      </c>
      <c r="K5060" s="15"/>
      <c r="L5060" t="s" s="16">
        <f>HYPERLINK("http://csr.bu.edu/ftp/asl/asllvd/demos/verify_start_end_handshape_annotations//test_auto_move//signs_mov_separ_signers/Naomi_16251.mov","MOV")</f>
        <v>21</v>
      </c>
      <c r="M5060" t="s" s="10">
        <v>38</v>
      </c>
      <c r="N5060" s="17">
        <v>22</v>
      </c>
      <c r="O5060" s="18">
        <v>4490</v>
      </c>
      <c r="P5060" s="18">
        <v>4528</v>
      </c>
      <c r="Q5060" s="15"/>
      <c r="R5060" t="s" s="16">
        <f>HYPERLINK("http://secrets.rutgers.edu:8080/data/asl-ftp/asllvd/demos/verify_start_end_handshape_annotations//test_auto_move//signs_mov_separ_signers/Naomi_16251.mov","MOV")</f>
        <v>21</v>
      </c>
    </row>
    <row r="5061" s="2" customFormat="1" ht="13.5" customHeight="1">
      <c r="B5061" t="s" s="8">
        <v>52</v>
      </c>
      <c r="C5061" t="s" s="9">
        <v>53</v>
      </c>
      <c r="D5061" t="s" s="8">
        <v>53</v>
      </c>
      <c r="E5061" t="s" s="9">
        <v>53</v>
      </c>
      <c r="F5061" t="s" s="10">
        <v>53</v>
      </c>
      <c r="G5061" t="s" s="11">
        <v>53</v>
      </c>
      <c r="H5061" t="s" s="10">
        <v>53</v>
      </c>
      <c r="I5061" t="s" s="11">
        <v>53</v>
      </c>
      <c r="J5061" t="s" s="11">
        <v>53</v>
      </c>
      <c r="K5061" t="s" s="12">
        <v>53</v>
      </c>
      <c r="L5061" t="s" s="12">
        <v>53</v>
      </c>
      <c r="M5061" t="s" s="10">
        <v>53</v>
      </c>
      <c r="N5061" t="s" s="11">
        <v>53</v>
      </c>
      <c r="O5061" t="s" s="8">
        <v>53</v>
      </c>
      <c r="P5061" t="s" s="8">
        <v>53</v>
      </c>
      <c r="Q5061" t="s" s="12">
        <v>53</v>
      </c>
      <c r="R5061" t="s" s="12">
        <v>53</v>
      </c>
    </row>
    <row r="5062" s="2" customFormat="1" ht="13.5" customHeight="1">
      <c r="B5062" s="13"/>
      <c r="C5062" t="s" s="9">
        <v>23</v>
      </c>
      <c r="D5062" t="s" s="8">
        <v>1713</v>
      </c>
      <c r="E5062" t="s" s="9">
        <v>1714</v>
      </c>
      <c r="F5062" t="s" s="10">
        <v>341</v>
      </c>
      <c r="G5062" t="s" s="11">
        <v>341</v>
      </c>
      <c r="H5062" t="s" s="10">
        <v>341</v>
      </c>
      <c r="I5062" t="s" s="11">
        <v>341</v>
      </c>
      <c r="J5062" t="s" s="11">
        <v>20</v>
      </c>
      <c r="K5062" t="s" s="16">
        <f>HYPERLINK("http://csr.bu.edu/ftp/asl/asllvd/demos/verify_start_end_handshape_annotations//test_auto_move//signs_mov/16252.mov","MOV")</f>
        <v>21</v>
      </c>
      <c r="L5062" t="s" s="16">
        <f>HYPERLINK("http://csr.bu.edu/ftp/asl/asllvd/demos/verify_start_end_handshape_annotations//test_auto_move//signs_mov_separ_signers/Tyler_16252.mov","MOV")</f>
        <v>21</v>
      </c>
      <c r="M5062" t="s" s="10">
        <v>37</v>
      </c>
      <c r="N5062" s="17">
        <v>2</v>
      </c>
      <c r="O5062" s="18">
        <v>2935</v>
      </c>
      <c r="P5062" s="18">
        <v>2972</v>
      </c>
      <c r="Q5062" t="s" s="16">
        <f>HYPERLINK("http://secrets.rutgers.edu:8080/data/asl-ftp/asllvd/demos/verify_start_end_handshape_annotations//test_auto_move//signs_mov/16252.mov","MOV")</f>
        <v>21</v>
      </c>
      <c r="R5062" t="s" s="16">
        <f>HYPERLINK("http://secrets.rutgers.edu:8080/data/asl-ftp/asllvd/demos/verify_start_end_handshape_annotations//test_auto_move//signs_mov_separ_signers/Tyler_16252.mov","MOV")</f>
        <v>21</v>
      </c>
    </row>
    <row r="5063" s="2" customFormat="1" ht="13.5" customHeight="1">
      <c r="B5063" s="13"/>
      <c r="C5063" t="s" s="9">
        <v>30</v>
      </c>
      <c r="D5063" t="s" s="8">
        <v>1713</v>
      </c>
      <c r="E5063" t="s" s="9">
        <v>1714</v>
      </c>
      <c r="F5063" t="s" s="10">
        <v>341</v>
      </c>
      <c r="G5063" t="s" s="11">
        <v>341</v>
      </c>
      <c r="H5063" t="s" s="10">
        <v>341</v>
      </c>
      <c r="I5063" t="s" s="11">
        <v>341</v>
      </c>
      <c r="J5063" t="s" s="11">
        <v>20</v>
      </c>
      <c r="K5063" s="15"/>
      <c r="L5063" t="s" s="16">
        <f>HYPERLINK("http://csr.bu.edu/ftp/asl/asllvd/demos/verify_start_end_handshape_annotations//test_auto_move//signs_mov_separ_signers/Brady_16252.mov","MOV")</f>
        <v>21</v>
      </c>
      <c r="M5063" t="s" s="10">
        <v>40</v>
      </c>
      <c r="N5063" s="17">
        <v>60</v>
      </c>
      <c r="O5063" s="18">
        <v>1183</v>
      </c>
      <c r="P5063" s="18">
        <v>1202</v>
      </c>
      <c r="Q5063" s="15"/>
      <c r="R5063" t="s" s="16">
        <f>HYPERLINK("http://secrets.rutgers.edu:8080/data/asl-ftp/asllvd/demos/verify_start_end_handshape_annotations//test_auto_move//signs_mov_separ_signers/Brady_16252.mov","MOV")</f>
        <v>21</v>
      </c>
    </row>
    <row r="5064" s="2" customFormat="1" ht="13.5" customHeight="1">
      <c r="B5064" t="s" s="8">
        <v>1715</v>
      </c>
      <c r="C5064" t="s" s="9">
        <v>14</v>
      </c>
      <c r="D5064" t="s" s="8">
        <v>14</v>
      </c>
      <c r="E5064" t="s" s="9">
        <v>14</v>
      </c>
      <c r="F5064" t="s" s="10">
        <v>14</v>
      </c>
      <c r="G5064" t="s" s="11">
        <v>14</v>
      </c>
      <c r="H5064" t="s" s="10">
        <v>14</v>
      </c>
      <c r="I5064" t="s" s="11">
        <v>14</v>
      </c>
      <c r="J5064" t="s" s="11">
        <v>14</v>
      </c>
      <c r="K5064" t="s" s="12">
        <v>14</v>
      </c>
      <c r="L5064" t="s" s="12">
        <v>14</v>
      </c>
      <c r="M5064" t="s" s="10">
        <v>14</v>
      </c>
      <c r="N5064" t="s" s="11">
        <v>14</v>
      </c>
      <c r="O5064" t="s" s="8">
        <v>14</v>
      </c>
      <c r="P5064" t="s" s="8">
        <v>14</v>
      </c>
      <c r="Q5064" t="s" s="12">
        <v>14</v>
      </c>
      <c r="R5064" t="s" s="12">
        <v>14</v>
      </c>
    </row>
    <row r="5065" s="2" customFormat="1" ht="13.5" customHeight="1">
      <c r="B5065" s="13"/>
      <c r="C5065" t="s" s="9">
        <v>16</v>
      </c>
      <c r="D5065" t="s" s="8">
        <v>1715</v>
      </c>
      <c r="E5065" t="s" s="9">
        <v>1716</v>
      </c>
      <c r="F5065" t="s" s="10">
        <v>65</v>
      </c>
      <c r="G5065" t="s" s="11">
        <v>65</v>
      </c>
      <c r="H5065" t="s" s="10">
        <v>65</v>
      </c>
      <c r="I5065" t="s" s="11">
        <v>65</v>
      </c>
      <c r="J5065" t="s" s="11">
        <v>20</v>
      </c>
      <c r="K5065" t="s" s="16">
        <f>HYPERLINK("http://csr.bu.edu/ftp/asl/asllvd/demos/verify_start_end_handshape_annotations//test_auto_move//signs_mov/1110.mov","MOV")</f>
        <v>21</v>
      </c>
      <c r="L5065" t="s" s="16">
        <f>HYPERLINK("http://csr.bu.edu/ftp/asl/asllvd/demos/verify_start_end_handshape_annotations//test_auto_move//signs_mov_separ_signers/Liz_1110.mov","MOV")</f>
        <v>21</v>
      </c>
      <c r="M5065" t="s" s="10">
        <v>34</v>
      </c>
      <c r="N5065" s="17">
        <v>15</v>
      </c>
      <c r="O5065" s="18">
        <v>240</v>
      </c>
      <c r="P5065" s="18">
        <v>290</v>
      </c>
      <c r="Q5065" t="s" s="16">
        <f>HYPERLINK("http://secrets.rutgers.edu:8080/data/asl-ftp/asllvd/demos/verify_start_end_handshape_annotations//test_auto_move//signs_mov/1110.mov","MOV")</f>
        <v>21</v>
      </c>
      <c r="R5065" t="s" s="16">
        <f>HYPERLINK("http://secrets.rutgers.edu:8080/data/asl-ftp/asllvd/demos/verify_start_end_handshape_annotations//test_auto_move//signs_mov_separ_signers/Liz_1110.mov","MOV")</f>
        <v>21</v>
      </c>
    </row>
    <row r="5066" s="2" customFormat="1" ht="13.5" customHeight="1">
      <c r="B5066" s="13"/>
      <c r="C5066" t="s" s="9">
        <v>27</v>
      </c>
      <c r="D5066" t="s" s="8">
        <v>1715</v>
      </c>
      <c r="E5066" t="s" s="9">
        <v>1716</v>
      </c>
      <c r="F5066" t="s" s="10">
        <v>65</v>
      </c>
      <c r="G5066" t="s" s="11">
        <v>65</v>
      </c>
      <c r="H5066" t="s" s="10">
        <v>65</v>
      </c>
      <c r="I5066" t="s" s="11">
        <v>65</v>
      </c>
      <c r="J5066" t="s" s="11">
        <v>20</v>
      </c>
      <c r="K5066" s="15"/>
      <c r="L5066" t="s" s="16">
        <f>HYPERLINK("http://csr.bu.edu/ftp/asl/asllvd/demos/verify_start_end_handshape_annotations//test_auto_move//signs_mov_separ_signers/Naomi_1110.mov","MOV")</f>
        <v>21</v>
      </c>
      <c r="M5066" t="s" s="10">
        <v>38</v>
      </c>
      <c r="N5066" s="17">
        <v>11</v>
      </c>
      <c r="O5066" s="18">
        <v>3670</v>
      </c>
      <c r="P5066" s="18">
        <v>3720</v>
      </c>
      <c r="Q5066" s="15"/>
      <c r="R5066" t="s" s="16">
        <f>HYPERLINK("http://secrets.rutgers.edu:8080/data/asl-ftp/asllvd/demos/verify_start_end_handshape_annotations//test_auto_move//signs_mov_separ_signers/Naomi_1110.mov","MOV")</f>
        <v>21</v>
      </c>
    </row>
    <row r="5067" s="2" customFormat="1" ht="13.5" customHeight="1">
      <c r="B5067" t="s" s="8">
        <v>52</v>
      </c>
      <c r="C5067" t="s" s="9">
        <v>53</v>
      </c>
      <c r="D5067" t="s" s="8">
        <v>53</v>
      </c>
      <c r="E5067" t="s" s="9">
        <v>53</v>
      </c>
      <c r="F5067" t="s" s="10">
        <v>53</v>
      </c>
      <c r="G5067" t="s" s="11">
        <v>53</v>
      </c>
      <c r="H5067" t="s" s="10">
        <v>53</v>
      </c>
      <c r="I5067" t="s" s="11">
        <v>53</v>
      </c>
      <c r="J5067" t="s" s="11">
        <v>53</v>
      </c>
      <c r="K5067" t="s" s="12">
        <v>53</v>
      </c>
      <c r="L5067" t="s" s="12">
        <v>53</v>
      </c>
      <c r="M5067" t="s" s="10">
        <v>53</v>
      </c>
      <c r="N5067" t="s" s="11">
        <v>53</v>
      </c>
      <c r="O5067" t="s" s="8">
        <v>53</v>
      </c>
      <c r="P5067" t="s" s="8">
        <v>53</v>
      </c>
      <c r="Q5067" t="s" s="12">
        <v>53</v>
      </c>
      <c r="R5067" t="s" s="12">
        <v>53</v>
      </c>
    </row>
    <row r="5068" s="2" customFormat="1" ht="13.5" customHeight="1">
      <c r="B5068" s="13"/>
      <c r="C5068" t="s" s="9">
        <v>23</v>
      </c>
      <c r="D5068" t="s" s="8">
        <v>1715</v>
      </c>
      <c r="E5068" t="s" s="9">
        <v>1717</v>
      </c>
      <c r="F5068" t="s" s="10">
        <v>337</v>
      </c>
      <c r="G5068" t="s" s="11">
        <v>337</v>
      </c>
      <c r="H5068" t="s" s="10">
        <v>337</v>
      </c>
      <c r="I5068" t="s" s="11">
        <v>337</v>
      </c>
      <c r="J5068" t="s" s="11">
        <v>20</v>
      </c>
      <c r="K5068" t="s" s="16">
        <f>HYPERLINK("http://csr.bu.edu/ftp/asl/asllvd/demos/verify_start_end_handshape_annotations//test_auto_move//signs_mov/3331.mov","MOV")</f>
        <v>21</v>
      </c>
      <c r="L5068" t="s" s="16">
        <f>HYPERLINK("http://csr.bu.edu/ftp/asl/asllvd/demos/verify_start_end_handshape_annotations//test_auto_move//signs_mov_separ_signers/Tyler_3331.mov","MOV")</f>
        <v>21</v>
      </c>
      <c r="M5068" t="s" s="10">
        <v>92</v>
      </c>
      <c r="N5068" s="17">
        <v>43</v>
      </c>
      <c r="O5068" s="18">
        <v>2751</v>
      </c>
      <c r="P5068" s="18">
        <v>2802</v>
      </c>
      <c r="Q5068" t="s" s="16">
        <f>HYPERLINK("http://secrets.rutgers.edu:8080/data/asl-ftp/asllvd/demos/verify_start_end_handshape_annotations//test_auto_move//signs_mov/3331.mov","MOV")</f>
        <v>21</v>
      </c>
      <c r="R5068" t="s" s="16">
        <f>HYPERLINK("http://secrets.rutgers.edu:8080/data/asl-ftp/asllvd/demos/verify_start_end_handshape_annotations//test_auto_move//signs_mov_separ_signers/Tyler_3331.mov","MOV")</f>
        <v>21</v>
      </c>
    </row>
    <row r="5069" s="2" customFormat="1" ht="13.5" customHeight="1">
      <c r="B5069" s="13"/>
      <c r="C5069" t="s" s="9">
        <v>30</v>
      </c>
      <c r="D5069" t="s" s="8">
        <v>1715</v>
      </c>
      <c r="E5069" t="s" s="9">
        <v>1718</v>
      </c>
      <c r="F5069" t="s" s="10">
        <v>337</v>
      </c>
      <c r="G5069" t="s" s="11">
        <v>337</v>
      </c>
      <c r="H5069" t="s" s="10">
        <v>337</v>
      </c>
      <c r="I5069" t="s" s="11">
        <v>337</v>
      </c>
      <c r="J5069" t="s" s="11">
        <v>20</v>
      </c>
      <c r="K5069" s="15"/>
      <c r="L5069" t="s" s="16">
        <f>HYPERLINK("http://csr.bu.edu/ftp/asl/asllvd/demos/verify_start_end_handshape_annotations//test_auto_move//signs_mov_separ_signers/Brady_3331.mov","MOV")</f>
        <v>21</v>
      </c>
      <c r="M5069" t="s" s="10">
        <v>39</v>
      </c>
      <c r="N5069" s="17">
        <v>30</v>
      </c>
      <c r="O5069" s="18">
        <v>1827</v>
      </c>
      <c r="P5069" s="18">
        <v>1842</v>
      </c>
      <c r="Q5069" s="15"/>
      <c r="R5069" t="s" s="16">
        <f>HYPERLINK("http://secrets.rutgers.edu:8080/data/asl-ftp/asllvd/demos/verify_start_end_handshape_annotations//test_auto_move//signs_mov_separ_signers/Brady_3331.mov","MOV")</f>
        <v>21</v>
      </c>
    </row>
    <row r="5070" s="2" customFormat="1" ht="13.5" customHeight="1">
      <c r="B5070" t="s" s="8">
        <v>52</v>
      </c>
      <c r="C5070" t="s" s="9">
        <v>53</v>
      </c>
      <c r="D5070" t="s" s="8">
        <v>53</v>
      </c>
      <c r="E5070" t="s" s="9">
        <v>53</v>
      </c>
      <c r="F5070" t="s" s="10">
        <v>53</v>
      </c>
      <c r="G5070" t="s" s="11">
        <v>53</v>
      </c>
      <c r="H5070" t="s" s="10">
        <v>53</v>
      </c>
      <c r="I5070" t="s" s="11">
        <v>53</v>
      </c>
      <c r="J5070" t="s" s="11">
        <v>53</v>
      </c>
      <c r="K5070" t="s" s="12">
        <v>53</v>
      </c>
      <c r="L5070" t="s" s="12">
        <v>53</v>
      </c>
      <c r="M5070" t="s" s="10">
        <v>53</v>
      </c>
      <c r="N5070" t="s" s="11">
        <v>53</v>
      </c>
      <c r="O5070" t="s" s="8">
        <v>53</v>
      </c>
      <c r="P5070" t="s" s="8">
        <v>53</v>
      </c>
      <c r="Q5070" t="s" s="12">
        <v>53</v>
      </c>
      <c r="R5070" t="s" s="12">
        <v>53</v>
      </c>
    </row>
    <row r="5071" s="2" customFormat="1" ht="13.5" customHeight="1">
      <c r="B5071" s="13"/>
      <c r="C5071" t="s" s="9">
        <v>23</v>
      </c>
      <c r="D5071" t="s" s="8">
        <v>1715</v>
      </c>
      <c r="E5071" t="s" s="9">
        <v>1719</v>
      </c>
      <c r="F5071" t="s" s="10">
        <v>18</v>
      </c>
      <c r="G5071" t="s" s="11">
        <v>18</v>
      </c>
      <c r="H5071" t="s" s="10">
        <v>18</v>
      </c>
      <c r="I5071" t="s" s="11">
        <v>18</v>
      </c>
      <c r="J5071" t="s" s="11">
        <v>20</v>
      </c>
      <c r="K5071" t="s" s="16">
        <f>HYPERLINK("http://csr.bu.edu/ftp/asl/asllvd/demos/verify_start_end_handshape_annotations//test_auto_move//signs_mov/5206.mov","MOV")</f>
        <v>21</v>
      </c>
      <c r="L5071" t="s" s="16">
        <f>HYPERLINK("http://csr.bu.edu/ftp/asl/asllvd/demos/verify_start_end_handshape_annotations//test_auto_move//signs_mov_separ_signers/Tyler_5206.mov","MOV")</f>
        <v>21</v>
      </c>
      <c r="M5071" t="s" s="10">
        <v>92</v>
      </c>
      <c r="N5071" s="17">
        <v>43</v>
      </c>
      <c r="O5071" s="18">
        <v>3081</v>
      </c>
      <c r="P5071" s="18">
        <v>3111</v>
      </c>
      <c r="Q5071" t="s" s="16">
        <f>HYPERLINK("http://secrets.rutgers.edu:8080/data/asl-ftp/asllvd/demos/verify_start_end_handshape_annotations//test_auto_move//signs_mov/5206.mov","MOV")</f>
        <v>21</v>
      </c>
      <c r="R5071" t="s" s="16">
        <f>HYPERLINK("http://secrets.rutgers.edu:8080/data/asl-ftp/asllvd/demos/verify_start_end_handshape_annotations//test_auto_move//signs_mov_separ_signers/Tyler_5206.mov","MOV")</f>
        <v>21</v>
      </c>
    </row>
    <row r="5072" s="2" customFormat="1" ht="13.5" customHeight="1">
      <c r="B5072" t="s" s="8">
        <v>1720</v>
      </c>
      <c r="C5072" t="s" s="9">
        <v>14</v>
      </c>
      <c r="D5072" t="s" s="8">
        <v>14</v>
      </c>
      <c r="E5072" t="s" s="9">
        <v>14</v>
      </c>
      <c r="F5072" t="s" s="10">
        <v>14</v>
      </c>
      <c r="G5072" t="s" s="11">
        <v>14</v>
      </c>
      <c r="H5072" t="s" s="10">
        <v>14</v>
      </c>
      <c r="I5072" t="s" s="11">
        <v>14</v>
      </c>
      <c r="J5072" t="s" s="11">
        <v>14</v>
      </c>
      <c r="K5072" t="s" s="12">
        <v>14</v>
      </c>
      <c r="L5072" t="s" s="12">
        <v>14</v>
      </c>
      <c r="M5072" t="s" s="10">
        <v>14</v>
      </c>
      <c r="N5072" t="s" s="11">
        <v>14</v>
      </c>
      <c r="O5072" t="s" s="8">
        <v>14</v>
      </c>
      <c r="P5072" t="s" s="8">
        <v>14</v>
      </c>
      <c r="Q5072" t="s" s="12">
        <v>14</v>
      </c>
      <c r="R5072" t="s" s="12">
        <v>14</v>
      </c>
    </row>
    <row r="5073" s="2" customFormat="1" ht="13.5" customHeight="1">
      <c r="B5073" s="13"/>
      <c r="C5073" t="s" s="9">
        <v>16</v>
      </c>
      <c r="D5073" t="s" s="8">
        <v>1720</v>
      </c>
      <c r="E5073" t="s" s="9">
        <v>1720</v>
      </c>
      <c r="F5073" t="s" s="10">
        <v>240</v>
      </c>
      <c r="G5073" s="14"/>
      <c r="H5073" t="s" s="10">
        <v>240</v>
      </c>
      <c r="I5073" s="14"/>
      <c r="J5073" t="s" s="11">
        <v>20</v>
      </c>
      <c r="K5073" s="15"/>
      <c r="L5073" t="s" s="16">
        <f>HYPERLINK("http://csr.bu.edu/ftp/asl/asllvd/demos/verify_start_end_handshape_annotations//test_auto_move//signs_mov_separ_signers/Liz_1112.mov","MOV")</f>
        <v>21</v>
      </c>
      <c r="M5073" t="s" s="10">
        <v>34</v>
      </c>
      <c r="N5073" s="17">
        <v>15</v>
      </c>
      <c r="O5073" s="18">
        <v>660</v>
      </c>
      <c r="P5073" s="18">
        <v>705</v>
      </c>
      <c r="Q5073" s="15"/>
      <c r="R5073" t="s" s="16">
        <f>HYPERLINK("http://secrets.rutgers.edu:8080/data/asl-ftp/asllvd/demos/verify_start_end_handshape_annotations//test_auto_move//signs_mov_separ_signers/Liz_1112.mov","MOV")</f>
        <v>21</v>
      </c>
    </row>
    <row r="5074" s="2" customFormat="1" ht="13.5" customHeight="1">
      <c r="B5074" s="13"/>
      <c r="C5074" t="s" s="9">
        <v>23</v>
      </c>
      <c r="D5074" t="s" s="8">
        <v>1720</v>
      </c>
      <c r="E5074" t="s" s="9">
        <v>1720</v>
      </c>
      <c r="F5074" t="s" s="10">
        <v>240</v>
      </c>
      <c r="G5074" s="14"/>
      <c r="H5074" t="s" s="10">
        <v>240</v>
      </c>
      <c r="I5074" s="14"/>
      <c r="J5074" t="s" s="11">
        <v>20</v>
      </c>
      <c r="K5074" t="s" s="16">
        <f>HYPERLINK("http://csr.bu.edu/ftp/asl/asllvd/demos/verify_start_end_handshape_annotations//test_auto_move//signs_mov/1112.mov","MOV")</f>
        <v>21</v>
      </c>
      <c r="L5074" t="s" s="16">
        <f>HYPERLINK("http://csr.bu.edu/ftp/asl/asllvd/demos/verify_start_end_handshape_annotations//test_auto_move//signs_mov_separ_signers/Tyler_1112.mov","MOV")</f>
        <v>21</v>
      </c>
      <c r="M5074" t="s" s="10">
        <v>92</v>
      </c>
      <c r="N5074" s="17">
        <v>44</v>
      </c>
      <c r="O5074" s="18">
        <v>565</v>
      </c>
      <c r="P5074" s="18">
        <v>620</v>
      </c>
      <c r="Q5074" t="s" s="16">
        <f>HYPERLINK("http://secrets.rutgers.edu:8080/data/asl-ftp/asllvd/demos/verify_start_end_handshape_annotations//test_auto_move//signs_mov/1112.mov","MOV")</f>
        <v>21</v>
      </c>
      <c r="R5074" t="s" s="16">
        <f>HYPERLINK("http://secrets.rutgers.edu:8080/data/asl-ftp/asllvd/demos/verify_start_end_handshape_annotations//test_auto_move//signs_mov_separ_signers/Tyler_1112.mov","MOV")</f>
        <v>21</v>
      </c>
    </row>
    <row r="5075" s="2" customFormat="1" ht="13.5" customHeight="1">
      <c r="B5075" s="13"/>
      <c r="C5075" t="s" s="9">
        <v>27</v>
      </c>
      <c r="D5075" t="s" s="8">
        <v>1720</v>
      </c>
      <c r="E5075" t="s" s="9">
        <v>1720</v>
      </c>
      <c r="F5075" t="s" s="10">
        <v>240</v>
      </c>
      <c r="G5075" s="14"/>
      <c r="H5075" t="s" s="10">
        <v>240</v>
      </c>
      <c r="I5075" s="14"/>
      <c r="J5075" t="s" s="11">
        <v>20</v>
      </c>
      <c r="K5075" s="15"/>
      <c r="L5075" t="s" s="16">
        <f>HYPERLINK("http://csr.bu.edu/ftp/asl/asllvd/demos/verify_start_end_handshape_annotations//test_auto_move//signs_mov_separ_signers/Naomi_1112.mov","MOV")</f>
        <v>21</v>
      </c>
      <c r="M5075" t="s" s="10">
        <v>38</v>
      </c>
      <c r="N5075" s="17">
        <v>12</v>
      </c>
      <c r="O5075" s="18">
        <v>652</v>
      </c>
      <c r="P5075" s="18">
        <v>703</v>
      </c>
      <c r="Q5075" s="15"/>
      <c r="R5075" t="s" s="16">
        <f>HYPERLINK("http://secrets.rutgers.edu:8080/data/asl-ftp/asllvd/demos/verify_start_end_handshape_annotations//test_auto_move//signs_mov_separ_signers/Naomi_1112.mov","MOV")</f>
        <v>21</v>
      </c>
    </row>
    <row r="5076" s="2" customFormat="1" ht="13.5" customHeight="1">
      <c r="B5076" s="13"/>
      <c r="C5076" t="s" s="9">
        <v>30</v>
      </c>
      <c r="D5076" t="s" s="8">
        <v>1720</v>
      </c>
      <c r="E5076" t="s" s="9">
        <v>1720</v>
      </c>
      <c r="F5076" t="s" s="10">
        <v>240</v>
      </c>
      <c r="G5076" s="14"/>
      <c r="H5076" t="s" s="10">
        <v>240</v>
      </c>
      <c r="I5076" s="14"/>
      <c r="J5076" t="s" s="11">
        <v>20</v>
      </c>
      <c r="K5076" s="15"/>
      <c r="L5076" t="s" s="16">
        <f>HYPERLINK("http://csr.bu.edu/ftp/asl/asllvd/demos/verify_start_end_handshape_annotations//test_auto_move//signs_mov_separ_signers/Brady_1112.mov","MOV")</f>
        <v>21</v>
      </c>
      <c r="M5076" t="s" s="10">
        <v>39</v>
      </c>
      <c r="N5076" s="17">
        <v>30</v>
      </c>
      <c r="O5076" s="18">
        <v>4798</v>
      </c>
      <c r="P5076" s="18">
        <v>4808</v>
      </c>
      <c r="Q5076" s="15"/>
      <c r="R5076" t="s" s="16">
        <f>HYPERLINK("http://secrets.rutgers.edu:8080/data/asl-ftp/asllvd/demos/verify_start_end_handshape_annotations//test_auto_move//signs_mov_separ_signers/Brady_1112.mov","MOV")</f>
        <v>21</v>
      </c>
    </row>
    <row r="5077" s="2" customFormat="1" ht="13.5" customHeight="1">
      <c r="B5077" t="s" s="8">
        <v>1721</v>
      </c>
      <c r="C5077" t="s" s="9">
        <v>14</v>
      </c>
      <c r="D5077" t="s" s="8">
        <v>14</v>
      </c>
      <c r="E5077" t="s" s="9">
        <v>14</v>
      </c>
      <c r="F5077" t="s" s="10">
        <v>14</v>
      </c>
      <c r="G5077" t="s" s="11">
        <v>14</v>
      </c>
      <c r="H5077" t="s" s="10">
        <v>14</v>
      </c>
      <c r="I5077" t="s" s="11">
        <v>14</v>
      </c>
      <c r="J5077" t="s" s="11">
        <v>14</v>
      </c>
      <c r="K5077" t="s" s="12">
        <v>14</v>
      </c>
      <c r="L5077" t="s" s="12">
        <v>14</v>
      </c>
      <c r="M5077" t="s" s="10">
        <v>14</v>
      </c>
      <c r="N5077" t="s" s="11">
        <v>14</v>
      </c>
      <c r="O5077" t="s" s="8">
        <v>14</v>
      </c>
      <c r="P5077" t="s" s="8">
        <v>14</v>
      </c>
      <c r="Q5077" t="s" s="12">
        <v>14</v>
      </c>
      <c r="R5077" t="s" s="12">
        <v>14</v>
      </c>
    </row>
    <row r="5078" s="2" customFormat="1" ht="13.5" customHeight="1">
      <c r="B5078" s="13"/>
      <c r="C5078" t="s" s="9">
        <v>16</v>
      </c>
      <c r="D5078" t="s" s="8">
        <v>1721</v>
      </c>
      <c r="E5078" t="s" s="9">
        <v>1721</v>
      </c>
      <c r="F5078" t="s" s="10">
        <v>68</v>
      </c>
      <c r="G5078" t="s" s="11">
        <v>68</v>
      </c>
      <c r="H5078" t="s" s="10">
        <v>68</v>
      </c>
      <c r="I5078" t="s" s="11">
        <v>68</v>
      </c>
      <c r="J5078" t="s" s="11">
        <v>20</v>
      </c>
      <c r="K5078" t="s" s="16">
        <f>HYPERLINK("http://csr.bu.edu/ftp/asl/asllvd/demos/verify_start_end_handshape_annotations//test_auto_move//signs_mov/1114.mov","MOV")</f>
        <v>21</v>
      </c>
      <c r="L5078" t="s" s="16">
        <f>HYPERLINK("http://csr.bu.edu/ftp/asl/asllvd/demos/verify_start_end_handshape_annotations//test_auto_move//signs_mov_separ_signers/Liz_1114.mov","MOV")</f>
        <v>21</v>
      </c>
      <c r="M5078" t="s" s="10">
        <v>34</v>
      </c>
      <c r="N5078" s="17">
        <v>15</v>
      </c>
      <c r="O5078" s="18">
        <v>991</v>
      </c>
      <c r="P5078" s="18">
        <v>1030</v>
      </c>
      <c r="Q5078" t="s" s="16">
        <f>HYPERLINK("http://secrets.rutgers.edu:8080/data/asl-ftp/asllvd/demos/verify_start_end_handshape_annotations//test_auto_move//signs_mov/1114.mov","MOV")</f>
        <v>21</v>
      </c>
      <c r="R5078" t="s" s="16">
        <f>HYPERLINK("http://secrets.rutgers.edu:8080/data/asl-ftp/asllvd/demos/verify_start_end_handshape_annotations//test_auto_move//signs_mov_separ_signers/Liz_1114.mov","MOV")</f>
        <v>21</v>
      </c>
    </row>
    <row r="5079" s="2" customFormat="1" ht="13.5" customHeight="1">
      <c r="B5079" t="s" s="8">
        <v>52</v>
      </c>
      <c r="C5079" t="s" s="9">
        <v>53</v>
      </c>
      <c r="D5079" t="s" s="8">
        <v>53</v>
      </c>
      <c r="E5079" t="s" s="9">
        <v>53</v>
      </c>
      <c r="F5079" t="s" s="10">
        <v>53</v>
      </c>
      <c r="G5079" t="s" s="11">
        <v>53</v>
      </c>
      <c r="H5079" t="s" s="10">
        <v>53</v>
      </c>
      <c r="I5079" t="s" s="11">
        <v>53</v>
      </c>
      <c r="J5079" t="s" s="11">
        <v>53</v>
      </c>
      <c r="K5079" t="s" s="12">
        <v>53</v>
      </c>
      <c r="L5079" t="s" s="12">
        <v>53</v>
      </c>
      <c r="M5079" t="s" s="10">
        <v>53</v>
      </c>
      <c r="N5079" t="s" s="11">
        <v>53</v>
      </c>
      <c r="O5079" t="s" s="8">
        <v>53</v>
      </c>
      <c r="P5079" t="s" s="8">
        <v>53</v>
      </c>
      <c r="Q5079" t="s" s="12">
        <v>53</v>
      </c>
      <c r="R5079" t="s" s="12">
        <v>53</v>
      </c>
    </row>
    <row r="5080" s="2" customFormat="1" ht="13.5" customHeight="1">
      <c r="B5080" s="13"/>
      <c r="C5080" t="s" s="9">
        <v>23</v>
      </c>
      <c r="D5080" t="s" s="8">
        <v>1721</v>
      </c>
      <c r="E5080" t="s" s="9">
        <v>1722</v>
      </c>
      <c r="F5080" t="s" s="10">
        <v>72</v>
      </c>
      <c r="G5080" t="s" s="11">
        <v>68</v>
      </c>
      <c r="H5080" t="s" s="10">
        <v>68</v>
      </c>
      <c r="I5080" t="s" s="11">
        <v>68</v>
      </c>
      <c r="J5080" t="s" s="11">
        <v>20</v>
      </c>
      <c r="K5080" t="s" s="16">
        <f>HYPERLINK("http://csr.bu.edu/ftp/asl/asllvd/demos/verify_start_end_handshape_annotations//test_auto_move//signs_mov/5207.mov","MOV")</f>
        <v>21</v>
      </c>
      <c r="L5080" t="s" s="16">
        <f>HYPERLINK("http://csr.bu.edu/ftp/asl/asllvd/demos/verify_start_end_handshape_annotations//test_auto_move//signs_mov_separ_signers/Tyler_5207.mov","MOV")</f>
        <v>21</v>
      </c>
      <c r="M5080" t="s" s="10">
        <v>92</v>
      </c>
      <c r="N5080" s="17">
        <v>44</v>
      </c>
      <c r="O5080" s="18">
        <v>1061</v>
      </c>
      <c r="P5080" s="18">
        <v>1090</v>
      </c>
      <c r="Q5080" t="s" s="16">
        <f>HYPERLINK("http://secrets.rutgers.edu:8080/data/asl-ftp/asllvd/demos/verify_start_end_handshape_annotations//test_auto_move//signs_mov/5207.mov","MOV")</f>
        <v>21</v>
      </c>
      <c r="R5080" t="s" s="16">
        <f>HYPERLINK("http://secrets.rutgers.edu:8080/data/asl-ftp/asllvd/demos/verify_start_end_handshape_annotations//test_auto_move//signs_mov_separ_signers/Tyler_5207.mov","MOV")</f>
        <v>21</v>
      </c>
    </row>
    <row r="5081" s="2" customFormat="1" ht="13.5" customHeight="1">
      <c r="B5081" t="s" s="8">
        <v>52</v>
      </c>
      <c r="C5081" t="s" s="9">
        <v>53</v>
      </c>
      <c r="D5081" t="s" s="8">
        <v>53</v>
      </c>
      <c r="E5081" t="s" s="9">
        <v>53</v>
      </c>
      <c r="F5081" t="s" s="10">
        <v>53</v>
      </c>
      <c r="G5081" t="s" s="11">
        <v>53</v>
      </c>
      <c r="H5081" t="s" s="10">
        <v>53</v>
      </c>
      <c r="I5081" t="s" s="11">
        <v>53</v>
      </c>
      <c r="J5081" t="s" s="11">
        <v>53</v>
      </c>
      <c r="K5081" t="s" s="12">
        <v>53</v>
      </c>
      <c r="L5081" t="s" s="12">
        <v>53</v>
      </c>
      <c r="M5081" t="s" s="10">
        <v>53</v>
      </c>
      <c r="N5081" t="s" s="11">
        <v>53</v>
      </c>
      <c r="O5081" t="s" s="8">
        <v>53</v>
      </c>
      <c r="P5081" t="s" s="8">
        <v>53</v>
      </c>
      <c r="Q5081" t="s" s="12">
        <v>53</v>
      </c>
      <c r="R5081" t="s" s="12">
        <v>53</v>
      </c>
    </row>
    <row r="5082" s="2" customFormat="1" ht="13.5" customHeight="1">
      <c r="B5082" s="13"/>
      <c r="C5082" t="s" s="9">
        <v>27</v>
      </c>
      <c r="D5082" t="s" s="8">
        <v>1721</v>
      </c>
      <c r="E5082" t="s" s="9">
        <v>1723</v>
      </c>
      <c r="F5082" t="s" s="10">
        <v>187</v>
      </c>
      <c r="G5082" t="s" s="11">
        <v>72</v>
      </c>
      <c r="H5082" t="s" s="10">
        <v>68</v>
      </c>
      <c r="I5082" t="s" s="11">
        <v>68</v>
      </c>
      <c r="J5082" t="s" s="11">
        <v>20</v>
      </c>
      <c r="K5082" t="s" s="16">
        <f>HYPERLINK("http://csr.bu.edu/ftp/asl/asllvd/demos/verify_start_end_handshape_annotations//test_auto_move//signs_mov/5208.mov","MOV")</f>
        <v>21</v>
      </c>
      <c r="L5082" t="s" s="16">
        <f>HYPERLINK("http://csr.bu.edu/ftp/asl/asllvd/demos/verify_start_end_handshape_annotations//test_auto_move//signs_mov_separ_signers/Naomi_5208.mov","MOV")</f>
        <v>21</v>
      </c>
      <c r="M5082" t="s" s="10">
        <v>38</v>
      </c>
      <c r="N5082" s="17">
        <v>12</v>
      </c>
      <c r="O5082" s="18">
        <v>1557</v>
      </c>
      <c r="P5082" s="18">
        <v>1590</v>
      </c>
      <c r="Q5082" t="s" s="16">
        <f>HYPERLINK("http://secrets.rutgers.edu:8080/data/asl-ftp/asllvd/demos/verify_start_end_handshape_annotations//test_auto_move//signs_mov/5208.mov","MOV")</f>
        <v>21</v>
      </c>
      <c r="R5082" t="s" s="16">
        <f>HYPERLINK("http://secrets.rutgers.edu:8080/data/asl-ftp/asllvd/demos/verify_start_end_handshape_annotations//test_auto_move//signs_mov_separ_signers/Naomi_5208.mov","MOV")</f>
        <v>21</v>
      </c>
    </row>
    <row r="5083" s="2" customFormat="1" ht="13.5" customHeight="1">
      <c r="B5083" s="13"/>
      <c r="C5083" t="s" s="9">
        <v>30</v>
      </c>
      <c r="D5083" t="s" s="8">
        <v>1721</v>
      </c>
      <c r="E5083" t="s" s="9">
        <v>1723</v>
      </c>
      <c r="F5083" t="s" s="10">
        <v>72</v>
      </c>
      <c r="G5083" t="s" s="11">
        <v>72</v>
      </c>
      <c r="H5083" t="s" s="10">
        <v>68</v>
      </c>
      <c r="I5083" t="s" s="11">
        <v>68</v>
      </c>
      <c r="J5083" t="s" s="11">
        <v>20</v>
      </c>
      <c r="K5083" s="15"/>
      <c r="L5083" t="s" s="16">
        <f>HYPERLINK("http://csr.bu.edu/ftp/asl/asllvd/demos/verify_start_end_handshape_annotations//test_auto_move//signs_mov_separ_signers/Brady_5208.mov","MOV")</f>
        <v>21</v>
      </c>
      <c r="M5083" t="s" s="10">
        <v>39</v>
      </c>
      <c r="N5083" s="17">
        <v>30</v>
      </c>
      <c r="O5083" s="18">
        <v>5491</v>
      </c>
      <c r="P5083" s="18">
        <v>5506</v>
      </c>
      <c r="Q5083" s="15"/>
      <c r="R5083" t="s" s="16">
        <f>HYPERLINK("http://secrets.rutgers.edu:8080/data/asl-ftp/asllvd/demos/verify_start_end_handshape_annotations//test_auto_move//signs_mov_separ_signers/Brady_5208.mov","MOV")</f>
        <v>21</v>
      </c>
    </row>
    <row r="5084" s="2" customFormat="1" ht="13.5" customHeight="1">
      <c r="B5084" t="s" s="8">
        <v>1724</v>
      </c>
      <c r="C5084" t="s" s="9">
        <v>14</v>
      </c>
      <c r="D5084" t="s" s="8">
        <v>14</v>
      </c>
      <c r="E5084" t="s" s="9">
        <v>14</v>
      </c>
      <c r="F5084" t="s" s="10">
        <v>14</v>
      </c>
      <c r="G5084" t="s" s="11">
        <v>14</v>
      </c>
      <c r="H5084" t="s" s="10">
        <v>14</v>
      </c>
      <c r="I5084" t="s" s="11">
        <v>14</v>
      </c>
      <c r="J5084" t="s" s="11">
        <v>14</v>
      </c>
      <c r="K5084" t="s" s="12">
        <v>14</v>
      </c>
      <c r="L5084" t="s" s="12">
        <v>14</v>
      </c>
      <c r="M5084" t="s" s="10">
        <v>14</v>
      </c>
      <c r="N5084" t="s" s="11">
        <v>14</v>
      </c>
      <c r="O5084" t="s" s="8">
        <v>14</v>
      </c>
      <c r="P5084" t="s" s="8">
        <v>14</v>
      </c>
      <c r="Q5084" t="s" s="12">
        <v>14</v>
      </c>
      <c r="R5084" t="s" s="12">
        <v>14</v>
      </c>
    </row>
    <row r="5085" s="2" customFormat="1" ht="13.5" customHeight="1">
      <c r="B5085" s="13"/>
      <c r="C5085" t="s" s="9">
        <v>16</v>
      </c>
      <c r="D5085" t="s" s="8">
        <v>1724</v>
      </c>
      <c r="E5085" t="s" s="9">
        <v>1724</v>
      </c>
      <c r="F5085" t="s" s="10">
        <v>240</v>
      </c>
      <c r="G5085" t="s" s="11">
        <v>68</v>
      </c>
      <c r="H5085" t="s" s="10">
        <v>240</v>
      </c>
      <c r="I5085" t="s" s="11">
        <v>68</v>
      </c>
      <c r="J5085" t="s" s="11">
        <v>20</v>
      </c>
      <c r="K5085" t="s" s="16">
        <f>HYPERLINK("http://csr.bu.edu/ftp/asl/asllvd/demos/verify_start_end_handshape_annotations//test_auto_move//signs_mov/15473.mov","MOV")</f>
        <v>21</v>
      </c>
      <c r="L5085" t="s" s="16">
        <f>HYPERLINK("http://csr.bu.edu/ftp/asl/asllvd/demos/verify_start_end_handshape_annotations//test_auto_move//signs_mov_separ_signers/Liz_15473.mov","MOV")</f>
        <v>21</v>
      </c>
      <c r="M5085" t="s" s="10">
        <v>59</v>
      </c>
      <c r="N5085" s="17">
        <v>29</v>
      </c>
      <c r="O5085" s="18">
        <v>2495</v>
      </c>
      <c r="P5085" s="18">
        <v>2530</v>
      </c>
      <c r="Q5085" t="s" s="16">
        <f>HYPERLINK("http://secrets.rutgers.edu:8080/data/asl-ftp/asllvd/demos/verify_start_end_handshape_annotations//test_auto_move//signs_mov/15473.mov","MOV")</f>
        <v>21</v>
      </c>
      <c r="R5085" t="s" s="16">
        <f>HYPERLINK("http://secrets.rutgers.edu:8080/data/asl-ftp/asllvd/demos/verify_start_end_handshape_annotations//test_auto_move//signs_mov_separ_signers/Liz_15473.mov","MOV")</f>
        <v>21</v>
      </c>
    </row>
    <row r="5086" s="2" customFormat="1" ht="13.5" customHeight="1">
      <c r="B5086" s="13"/>
      <c r="C5086" t="s" s="9">
        <v>30</v>
      </c>
      <c r="D5086" t="s" s="8">
        <v>1724</v>
      </c>
      <c r="E5086" t="s" s="9">
        <v>1724</v>
      </c>
      <c r="F5086" t="s" s="10">
        <v>240</v>
      </c>
      <c r="G5086" t="s" s="11">
        <v>68</v>
      </c>
      <c r="H5086" t="s" s="10">
        <v>240</v>
      </c>
      <c r="I5086" t="s" s="11">
        <v>68</v>
      </c>
      <c r="J5086" t="s" s="11">
        <v>20</v>
      </c>
      <c r="K5086" s="15"/>
      <c r="L5086" t="s" s="16">
        <f>HYPERLINK("http://csr.bu.edu/ftp/asl/asllvd/demos/verify_start_end_handshape_annotations//test_auto_move//signs_mov_separ_signers/Brady_15473.mov","MOV")</f>
        <v>21</v>
      </c>
      <c r="M5086" t="s" s="10">
        <v>60</v>
      </c>
      <c r="N5086" s="17">
        <v>18</v>
      </c>
      <c r="O5086" s="18">
        <v>415</v>
      </c>
      <c r="P5086" s="18">
        <v>438</v>
      </c>
      <c r="Q5086" s="15"/>
      <c r="R5086" t="s" s="16">
        <f>HYPERLINK("http://secrets.rutgers.edu:8080/data/asl-ftp/asllvd/demos/verify_start_end_handshape_annotations//test_auto_move//signs_mov_separ_signers/Brady_15473.mov","MOV")</f>
        <v>21</v>
      </c>
    </row>
    <row r="5087" s="2" customFormat="1" ht="13.5" customHeight="1">
      <c r="B5087" t="s" s="8">
        <v>1725</v>
      </c>
      <c r="C5087" t="s" s="9">
        <v>14</v>
      </c>
      <c r="D5087" t="s" s="8">
        <v>14</v>
      </c>
      <c r="E5087" t="s" s="9">
        <v>14</v>
      </c>
      <c r="F5087" t="s" s="10">
        <v>14</v>
      </c>
      <c r="G5087" t="s" s="11">
        <v>14</v>
      </c>
      <c r="H5087" t="s" s="10">
        <v>14</v>
      </c>
      <c r="I5087" t="s" s="11">
        <v>14</v>
      </c>
      <c r="J5087" t="s" s="11">
        <v>14</v>
      </c>
      <c r="K5087" t="s" s="12">
        <v>14</v>
      </c>
      <c r="L5087" t="s" s="12">
        <v>14</v>
      </c>
      <c r="M5087" t="s" s="10">
        <v>14</v>
      </c>
      <c r="N5087" t="s" s="11">
        <v>14</v>
      </c>
      <c r="O5087" t="s" s="8">
        <v>14</v>
      </c>
      <c r="P5087" t="s" s="8">
        <v>14</v>
      </c>
      <c r="Q5087" t="s" s="12">
        <v>14</v>
      </c>
      <c r="R5087" t="s" s="12">
        <v>14</v>
      </c>
    </row>
    <row r="5088" s="2" customFormat="1" ht="13.5" customHeight="1">
      <c r="B5088" s="13"/>
      <c r="C5088" t="s" s="9">
        <v>16</v>
      </c>
      <c r="D5088" t="s" s="8">
        <v>1725</v>
      </c>
      <c r="E5088" t="s" s="9">
        <v>1726</v>
      </c>
      <c r="F5088" t="s" s="10">
        <v>240</v>
      </c>
      <c r="G5088" t="s" s="11">
        <v>68</v>
      </c>
      <c r="H5088" t="s" s="10">
        <v>240</v>
      </c>
      <c r="I5088" t="s" s="11">
        <v>68</v>
      </c>
      <c r="J5088" t="s" s="11">
        <v>20</v>
      </c>
      <c r="K5088" t="s" s="16">
        <f>HYPERLINK("http://csr.bu.edu/ftp/asl/asllvd/demos/verify_start_end_handshape_annotations//test_auto_move//signs_mov/16146.mov","MOV")</f>
        <v>21</v>
      </c>
      <c r="L5088" t="s" s="16">
        <f>HYPERLINK("http://csr.bu.edu/ftp/asl/asllvd/demos/verify_start_end_handshape_annotations//test_auto_move//signs_mov_separ_signers/Liz_16146.mov","MOV")</f>
        <v>21</v>
      </c>
      <c r="M5088" t="s" s="10">
        <v>59</v>
      </c>
      <c r="N5088" s="17">
        <v>29</v>
      </c>
      <c r="O5088" s="18">
        <v>1765</v>
      </c>
      <c r="P5088" s="18">
        <v>1802</v>
      </c>
      <c r="Q5088" t="s" s="16">
        <f>HYPERLINK("http://secrets.rutgers.edu:8080/data/asl-ftp/asllvd/demos/verify_start_end_handshape_annotations//test_auto_move//signs_mov/16146.mov","MOV")</f>
        <v>21</v>
      </c>
      <c r="R5088" t="s" s="16">
        <f>HYPERLINK("http://secrets.rutgers.edu:8080/data/asl-ftp/asllvd/demos/verify_start_end_handshape_annotations//test_auto_move//signs_mov_separ_signers/Liz_16146.mov","MOV")</f>
        <v>21</v>
      </c>
    </row>
    <row r="5089" s="2" customFormat="1" ht="13.5" customHeight="1">
      <c r="B5089" t="s" s="8">
        <v>52</v>
      </c>
      <c r="C5089" t="s" s="9">
        <v>53</v>
      </c>
      <c r="D5089" t="s" s="8">
        <v>53</v>
      </c>
      <c r="E5089" t="s" s="9">
        <v>53</v>
      </c>
      <c r="F5089" t="s" s="10">
        <v>53</v>
      </c>
      <c r="G5089" t="s" s="11">
        <v>53</v>
      </c>
      <c r="H5089" t="s" s="10">
        <v>53</v>
      </c>
      <c r="I5089" t="s" s="11">
        <v>53</v>
      </c>
      <c r="J5089" t="s" s="11">
        <v>53</v>
      </c>
      <c r="K5089" t="s" s="12">
        <v>53</v>
      </c>
      <c r="L5089" t="s" s="12">
        <v>53</v>
      </c>
      <c r="M5089" t="s" s="10">
        <v>53</v>
      </c>
      <c r="N5089" t="s" s="11">
        <v>53</v>
      </c>
      <c r="O5089" t="s" s="8">
        <v>53</v>
      </c>
      <c r="P5089" t="s" s="8">
        <v>53</v>
      </c>
      <c r="Q5089" t="s" s="12">
        <v>53</v>
      </c>
      <c r="R5089" t="s" s="12">
        <v>53</v>
      </c>
    </row>
    <row r="5090" s="2" customFormat="1" ht="13.5" customHeight="1">
      <c r="B5090" s="13"/>
      <c r="C5090" t="s" s="9">
        <v>16</v>
      </c>
      <c r="D5090" t="s" s="8">
        <v>1725</v>
      </c>
      <c r="E5090" t="s" s="9">
        <v>1727</v>
      </c>
      <c r="F5090" t="s" s="10">
        <v>425</v>
      </c>
      <c r="G5090" t="s" s="11">
        <v>68</v>
      </c>
      <c r="H5090" t="s" s="10">
        <v>425</v>
      </c>
      <c r="I5090" t="s" s="11">
        <v>68</v>
      </c>
      <c r="J5090" t="s" s="11">
        <v>20</v>
      </c>
      <c r="K5090" s="15"/>
      <c r="L5090" t="s" s="16">
        <f>HYPERLINK("http://csr.bu.edu/ftp/asl/asllvd/demos/verify_start_end_handshape_annotations//test_auto_move//signs_mov_separ_signers/Liz_16147.mov","MOV")</f>
        <v>21</v>
      </c>
      <c r="M5090" t="s" s="10">
        <v>59</v>
      </c>
      <c r="N5090" s="17">
        <v>29</v>
      </c>
      <c r="O5090" s="18">
        <v>2025</v>
      </c>
      <c r="P5090" s="18">
        <v>2065</v>
      </c>
      <c r="Q5090" s="15"/>
      <c r="R5090" t="s" s="16">
        <f>HYPERLINK("http://secrets.rutgers.edu:8080/data/asl-ftp/asllvd/demos/verify_start_end_handshape_annotations//test_auto_move//signs_mov_separ_signers/Liz_16147.mov","MOV")</f>
        <v>21</v>
      </c>
    </row>
    <row r="5091" s="2" customFormat="1" ht="13.5" customHeight="1">
      <c r="B5091" s="13"/>
      <c r="C5091" t="s" s="9">
        <v>30</v>
      </c>
      <c r="D5091" t="s" s="8">
        <v>1725</v>
      </c>
      <c r="E5091" t="s" s="9">
        <v>1728</v>
      </c>
      <c r="F5091" t="s" s="10">
        <v>240</v>
      </c>
      <c r="G5091" t="s" s="11">
        <v>68</v>
      </c>
      <c r="H5091" t="s" s="10">
        <v>240</v>
      </c>
      <c r="I5091" t="s" s="11">
        <v>68</v>
      </c>
      <c r="J5091" t="s" s="11">
        <v>20</v>
      </c>
      <c r="K5091" t="s" s="16">
        <f>HYPERLINK("http://csr.bu.edu/ftp/asl/asllvd/demos/verify_start_end_handshape_annotations//test_auto_move//signs_mov/16147_16379_merged.mov","MOV")</f>
        <v>21</v>
      </c>
      <c r="L5091" t="s" s="16">
        <f>HYPERLINK("http://csr.bu.edu/ftp/asl/asllvd/demos/verify_start_end_handshape_annotations//test_auto_move//signs_mov_separ_signers/Brady_16147.mov","MOV")</f>
        <v>21</v>
      </c>
      <c r="M5091" t="s" s="10">
        <v>60</v>
      </c>
      <c r="N5091" s="17">
        <v>17</v>
      </c>
      <c r="O5091" s="18">
        <v>3336</v>
      </c>
      <c r="P5091" s="18">
        <v>3373</v>
      </c>
      <c r="Q5091" t="s" s="16">
        <f>HYPERLINK("http://secrets.rutgers.edu:8080/data/asl-ftp/asllvd/demos/verify_start_end_handshape_annotations//test_auto_move//signs_mov/16147_16379_merged.mov","MOV")</f>
        <v>21</v>
      </c>
      <c r="R5091" t="s" s="16">
        <f>HYPERLINK("http://secrets.rutgers.edu:8080/data/asl-ftp/asllvd/demos/verify_start_end_handshape_annotations//test_auto_move//signs_mov_separ_signers/Brady_16147.mov","MOV")</f>
        <v>21</v>
      </c>
    </row>
    <row r="5092" s="2" customFormat="1" ht="13.5" customHeight="1">
      <c r="B5092" s="13"/>
      <c r="C5092" t="s" s="9">
        <v>30</v>
      </c>
      <c r="D5092" t="s" s="8">
        <v>1725</v>
      </c>
      <c r="E5092" t="s" s="9">
        <v>1727</v>
      </c>
      <c r="F5092" t="s" s="10">
        <v>425</v>
      </c>
      <c r="G5092" t="s" s="11">
        <v>68</v>
      </c>
      <c r="H5092" t="s" s="10">
        <v>425</v>
      </c>
      <c r="I5092" t="s" s="11">
        <v>68</v>
      </c>
      <c r="J5092" t="s" s="11">
        <v>20</v>
      </c>
      <c r="K5092" s="15"/>
      <c r="L5092" t="s" s="16">
        <f>HYPERLINK("http://csr.bu.edu/ftp/asl/asllvd/demos/verify_start_end_handshape_annotations//test_auto_move//signs_mov_separ_signers/Brady_16379.mov","MOV")</f>
        <v>21</v>
      </c>
      <c r="M5092" t="s" s="10">
        <v>60</v>
      </c>
      <c r="N5092" s="17">
        <v>17</v>
      </c>
      <c r="O5092" s="18">
        <v>3564</v>
      </c>
      <c r="P5092" s="18">
        <v>3601</v>
      </c>
      <c r="Q5092" s="15"/>
      <c r="R5092" t="s" s="16">
        <f>HYPERLINK("http://secrets.rutgers.edu:8080/data/asl-ftp/asllvd/demos/verify_start_end_handshape_annotations//test_auto_move//signs_mov_separ_signers/Brady_16379.mov","MOV")</f>
        <v>21</v>
      </c>
    </row>
    <row r="5093" s="2" customFormat="1" ht="13.5" customHeight="1">
      <c r="B5093" t="s" s="8">
        <v>1729</v>
      </c>
      <c r="C5093" t="s" s="9">
        <v>14</v>
      </c>
      <c r="D5093" t="s" s="8">
        <v>14</v>
      </c>
      <c r="E5093" t="s" s="9">
        <v>14</v>
      </c>
      <c r="F5093" t="s" s="10">
        <v>14</v>
      </c>
      <c r="G5093" t="s" s="11">
        <v>14</v>
      </c>
      <c r="H5093" t="s" s="10">
        <v>14</v>
      </c>
      <c r="I5093" t="s" s="11">
        <v>14</v>
      </c>
      <c r="J5093" t="s" s="11">
        <v>14</v>
      </c>
      <c r="K5093" t="s" s="12">
        <v>14</v>
      </c>
      <c r="L5093" t="s" s="12">
        <v>14</v>
      </c>
      <c r="M5093" t="s" s="10">
        <v>14</v>
      </c>
      <c r="N5093" t="s" s="11">
        <v>14</v>
      </c>
      <c r="O5093" t="s" s="8">
        <v>14</v>
      </c>
      <c r="P5093" t="s" s="8">
        <v>14</v>
      </c>
      <c r="Q5093" t="s" s="12">
        <v>14</v>
      </c>
      <c r="R5093" t="s" s="12">
        <v>14</v>
      </c>
    </row>
    <row r="5094" s="2" customFormat="1" ht="13.5" customHeight="1">
      <c r="B5094" s="13"/>
      <c r="C5094" t="s" s="9">
        <v>16</v>
      </c>
      <c r="D5094" t="s" s="8">
        <v>1729</v>
      </c>
      <c r="E5094" t="s" s="9">
        <v>1729</v>
      </c>
      <c r="F5094" t="s" s="10">
        <v>282</v>
      </c>
      <c r="G5094" s="14"/>
      <c r="H5094" t="s" s="10">
        <v>282</v>
      </c>
      <c r="I5094" s="14"/>
      <c r="J5094" t="s" s="11">
        <v>20</v>
      </c>
      <c r="K5094" s="15"/>
      <c r="L5094" t="s" s="16">
        <f>HYPERLINK("http://csr.bu.edu/ftp/asl/asllvd/demos/verify_start_end_handshape_annotations//test_auto_move//signs_mov_separ_signers/Liz_1115.mov","MOV")</f>
        <v>21</v>
      </c>
      <c r="M5094" t="s" s="10">
        <v>34</v>
      </c>
      <c r="N5094" s="17">
        <v>15</v>
      </c>
      <c r="O5094" s="18">
        <v>1465</v>
      </c>
      <c r="P5094" s="18">
        <v>1500</v>
      </c>
      <c r="Q5094" s="15"/>
      <c r="R5094" t="s" s="16">
        <f>HYPERLINK("http://secrets.rutgers.edu:8080/data/asl-ftp/asllvd/demos/verify_start_end_handshape_annotations//test_auto_move//signs_mov_separ_signers/Liz_1115.mov","MOV")</f>
        <v>21</v>
      </c>
    </row>
    <row r="5095" s="2" customFormat="1" ht="13.5" customHeight="1">
      <c r="B5095" s="13"/>
      <c r="C5095" t="s" s="9">
        <v>23</v>
      </c>
      <c r="D5095" t="s" s="8">
        <v>1729</v>
      </c>
      <c r="E5095" t="s" s="9">
        <v>1729</v>
      </c>
      <c r="F5095" t="s" s="10">
        <v>282</v>
      </c>
      <c r="G5095" s="14"/>
      <c r="H5095" t="s" s="10">
        <v>282</v>
      </c>
      <c r="I5095" s="14"/>
      <c r="J5095" t="s" s="11">
        <v>20</v>
      </c>
      <c r="K5095" t="s" s="16">
        <f>HYPERLINK("http://csr.bu.edu/ftp/asl/asllvd/demos/verify_start_end_handshape_annotations//test_auto_move//signs_mov/1115.mov","MOV")</f>
        <v>21</v>
      </c>
      <c r="L5095" t="s" s="16">
        <f>HYPERLINK("http://csr.bu.edu/ftp/asl/asllvd/demos/verify_start_end_handshape_annotations//test_auto_move//signs_mov_separ_signers/Tyler_1115.mov","MOV")</f>
        <v>21</v>
      </c>
      <c r="M5095" t="s" s="10">
        <v>92</v>
      </c>
      <c r="N5095" s="17">
        <v>44</v>
      </c>
      <c r="O5095" s="18">
        <v>1237</v>
      </c>
      <c r="P5095" s="18">
        <v>1281</v>
      </c>
      <c r="Q5095" t="s" s="16">
        <f>HYPERLINK("http://secrets.rutgers.edu:8080/data/asl-ftp/asllvd/demos/verify_start_end_handshape_annotations//test_auto_move//signs_mov/1115.mov","MOV")</f>
        <v>21</v>
      </c>
      <c r="R5095" t="s" s="16">
        <f>HYPERLINK("http://secrets.rutgers.edu:8080/data/asl-ftp/asllvd/demos/verify_start_end_handshape_annotations//test_auto_move//signs_mov_separ_signers/Tyler_1115.mov","MOV")</f>
        <v>21</v>
      </c>
    </row>
    <row r="5096" s="2" customFormat="1" ht="13.5" customHeight="1">
      <c r="B5096" s="13"/>
      <c r="C5096" t="s" s="9">
        <v>27</v>
      </c>
      <c r="D5096" t="s" s="8">
        <v>1729</v>
      </c>
      <c r="E5096" t="s" s="9">
        <v>1729</v>
      </c>
      <c r="F5096" t="s" s="10">
        <v>282</v>
      </c>
      <c r="G5096" s="14"/>
      <c r="H5096" t="s" s="10">
        <v>282</v>
      </c>
      <c r="I5096" s="14"/>
      <c r="J5096" t="s" s="11">
        <v>20</v>
      </c>
      <c r="K5096" s="15"/>
      <c r="L5096" t="s" s="16">
        <f>HYPERLINK("http://csr.bu.edu/ftp/asl/asllvd/demos/verify_start_end_handshape_annotations//test_auto_move//signs_mov_separ_signers/Naomi_1115.mov","MOV")</f>
        <v>21</v>
      </c>
      <c r="M5096" t="s" s="10">
        <v>38</v>
      </c>
      <c r="N5096" s="17">
        <v>12</v>
      </c>
      <c r="O5096" s="18">
        <v>1852</v>
      </c>
      <c r="P5096" s="18">
        <v>1882</v>
      </c>
      <c r="Q5096" s="15"/>
      <c r="R5096" t="s" s="16">
        <f>HYPERLINK("http://secrets.rutgers.edu:8080/data/asl-ftp/asllvd/demos/verify_start_end_handshape_annotations//test_auto_move//signs_mov_separ_signers/Naomi_1115.mov","MOV")</f>
        <v>21</v>
      </c>
    </row>
    <row r="5097" s="2" customFormat="1" ht="13.5" customHeight="1">
      <c r="B5097" s="13"/>
      <c r="C5097" t="s" s="9">
        <v>30</v>
      </c>
      <c r="D5097" t="s" s="8">
        <v>1729</v>
      </c>
      <c r="E5097" t="s" s="9">
        <v>1729</v>
      </c>
      <c r="F5097" t="s" s="10">
        <v>282</v>
      </c>
      <c r="G5097" s="14"/>
      <c r="H5097" t="s" s="10">
        <v>282</v>
      </c>
      <c r="I5097" s="14"/>
      <c r="J5097" t="s" s="11">
        <v>20</v>
      </c>
      <c r="K5097" s="15"/>
      <c r="L5097" t="s" s="16">
        <f>HYPERLINK("http://csr.bu.edu/ftp/asl/asllvd/demos/verify_start_end_handshape_annotations//test_auto_move//signs_mov_separ_signers/Brady_1115.mov","MOV")</f>
        <v>21</v>
      </c>
      <c r="M5097" t="s" s="10">
        <v>39</v>
      </c>
      <c r="N5097" s="17">
        <v>30</v>
      </c>
      <c r="O5097" s="18">
        <v>6030</v>
      </c>
      <c r="P5097" s="18">
        <v>6045</v>
      </c>
      <c r="Q5097" s="15"/>
      <c r="R5097" t="s" s="16">
        <f>HYPERLINK("http://secrets.rutgers.edu:8080/data/asl-ftp/asllvd/demos/verify_start_end_handshape_annotations//test_auto_move//signs_mov_separ_signers/Brady_1115.mov","MOV")</f>
        <v>21</v>
      </c>
    </row>
    <row r="5098" s="2" customFormat="1" ht="13.5" customHeight="1">
      <c r="B5098" t="s" s="8">
        <v>1730</v>
      </c>
      <c r="C5098" t="s" s="9">
        <v>14</v>
      </c>
      <c r="D5098" t="s" s="8">
        <v>14</v>
      </c>
      <c r="E5098" t="s" s="9">
        <v>14</v>
      </c>
      <c r="F5098" t="s" s="10">
        <v>14</v>
      </c>
      <c r="G5098" t="s" s="11">
        <v>14</v>
      </c>
      <c r="H5098" t="s" s="10">
        <v>14</v>
      </c>
      <c r="I5098" t="s" s="11">
        <v>14</v>
      </c>
      <c r="J5098" t="s" s="11">
        <v>14</v>
      </c>
      <c r="K5098" t="s" s="12">
        <v>14</v>
      </c>
      <c r="L5098" t="s" s="12">
        <v>14</v>
      </c>
      <c r="M5098" t="s" s="10">
        <v>14</v>
      </c>
      <c r="N5098" t="s" s="11">
        <v>14</v>
      </c>
      <c r="O5098" t="s" s="8">
        <v>14</v>
      </c>
      <c r="P5098" t="s" s="8">
        <v>14</v>
      </c>
      <c r="Q5098" t="s" s="12">
        <v>14</v>
      </c>
      <c r="R5098" t="s" s="12">
        <v>14</v>
      </c>
    </row>
    <row r="5099" s="2" customFormat="1" ht="13.5" customHeight="1">
      <c r="B5099" s="13"/>
      <c r="C5099" t="s" s="9">
        <v>16</v>
      </c>
      <c r="D5099" t="s" s="8">
        <v>1730</v>
      </c>
      <c r="E5099" t="s" s="9">
        <v>1730</v>
      </c>
      <c r="F5099" t="s" s="10">
        <v>205</v>
      </c>
      <c r="G5099" t="s" s="11">
        <v>68</v>
      </c>
      <c r="H5099" t="s" s="10">
        <v>205</v>
      </c>
      <c r="I5099" t="s" s="11">
        <v>68</v>
      </c>
      <c r="J5099" t="s" s="11">
        <v>20</v>
      </c>
      <c r="K5099" t="s" s="16">
        <f>HYPERLINK("http://csr.bu.edu/ftp/asl/asllvd/demos/verify_start_end_handshape_annotations//test_auto_move//signs_mov/1117.mov","MOV")</f>
        <v>21</v>
      </c>
      <c r="L5099" t="s" s="16">
        <f>HYPERLINK("http://csr.bu.edu/ftp/asl/asllvd/demos/verify_start_end_handshape_annotations//test_auto_move//signs_mov_separ_signers/Liz_1117.mov","MOV")</f>
        <v>21</v>
      </c>
      <c r="M5099" t="s" s="10">
        <v>34</v>
      </c>
      <c r="N5099" s="17">
        <v>15</v>
      </c>
      <c r="O5099" s="18">
        <v>2010</v>
      </c>
      <c r="P5099" s="18">
        <v>2075</v>
      </c>
      <c r="Q5099" t="s" s="16">
        <f>HYPERLINK("http://secrets.rutgers.edu:8080/data/asl-ftp/asllvd/demos/verify_start_end_handshape_annotations//test_auto_move//signs_mov/1117.mov","MOV")</f>
        <v>21</v>
      </c>
      <c r="R5099" t="s" s="16">
        <f>HYPERLINK("http://secrets.rutgers.edu:8080/data/asl-ftp/asllvd/demos/verify_start_end_handshape_annotations//test_auto_move//signs_mov_separ_signers/Liz_1117.mov","MOV")</f>
        <v>21</v>
      </c>
    </row>
    <row r="5100" s="2" customFormat="1" ht="13.5" customHeight="1">
      <c r="B5100" t="s" s="8">
        <v>1731</v>
      </c>
      <c r="C5100" t="s" s="9">
        <v>14</v>
      </c>
      <c r="D5100" t="s" s="8">
        <v>14</v>
      </c>
      <c r="E5100" t="s" s="9">
        <v>14</v>
      </c>
      <c r="F5100" t="s" s="10">
        <v>14</v>
      </c>
      <c r="G5100" t="s" s="11">
        <v>14</v>
      </c>
      <c r="H5100" t="s" s="10">
        <v>14</v>
      </c>
      <c r="I5100" t="s" s="11">
        <v>14</v>
      </c>
      <c r="J5100" t="s" s="11">
        <v>14</v>
      </c>
      <c r="K5100" t="s" s="12">
        <v>14</v>
      </c>
      <c r="L5100" t="s" s="12">
        <v>14</v>
      </c>
      <c r="M5100" t="s" s="10">
        <v>14</v>
      </c>
      <c r="N5100" t="s" s="11">
        <v>14</v>
      </c>
      <c r="O5100" t="s" s="8">
        <v>14</v>
      </c>
      <c r="P5100" t="s" s="8">
        <v>14</v>
      </c>
      <c r="Q5100" t="s" s="12">
        <v>14</v>
      </c>
      <c r="R5100" t="s" s="12">
        <v>14</v>
      </c>
    </row>
    <row r="5101" s="2" customFormat="1" ht="13.5" customHeight="1">
      <c r="B5101" s="13"/>
      <c r="C5101" t="s" s="9">
        <v>16</v>
      </c>
      <c r="D5101" t="s" s="8">
        <v>1731</v>
      </c>
      <c r="E5101" t="s" s="9">
        <v>1731</v>
      </c>
      <c r="F5101" t="s" s="10">
        <v>240</v>
      </c>
      <c r="G5101" s="14"/>
      <c r="H5101" t="s" s="10">
        <v>287</v>
      </c>
      <c r="I5101" s="14"/>
      <c r="J5101" t="s" s="11">
        <v>20</v>
      </c>
      <c r="K5101" t="s" s="16">
        <f>HYPERLINK("http://csr.bu.edu/ftp/asl/asllvd/demos/verify_start_end_handshape_annotations//test_auto_move//signs_mov/5713.mov","MOV")</f>
        <v>21</v>
      </c>
      <c r="L5101" t="s" s="16">
        <f>HYPERLINK("http://csr.bu.edu/ftp/asl/asllvd/demos/verify_start_end_handshape_annotations//test_auto_move//signs_mov_separ_signers/Liz_5713.mov","MOV")</f>
        <v>21</v>
      </c>
      <c r="M5101" t="s" s="10">
        <v>34</v>
      </c>
      <c r="N5101" s="17">
        <v>15</v>
      </c>
      <c r="O5101" s="18">
        <v>1810</v>
      </c>
      <c r="P5101" s="18">
        <v>1836</v>
      </c>
      <c r="Q5101" t="s" s="16">
        <f>HYPERLINK("http://secrets.rutgers.edu:8080/data/asl-ftp/asllvd/demos/verify_start_end_handshape_annotations//test_auto_move//signs_mov/5713.mov","MOV")</f>
        <v>21</v>
      </c>
      <c r="R5101" t="s" s="16">
        <f>HYPERLINK("http://secrets.rutgers.edu:8080/data/asl-ftp/asllvd/demos/verify_start_end_handshape_annotations//test_auto_move//signs_mov_separ_signers/Liz_5713.mov","MOV")</f>
        <v>21</v>
      </c>
    </row>
    <row r="5102" s="2" customFormat="1" ht="13.5" customHeight="1">
      <c r="B5102" s="13"/>
      <c r="C5102" t="s" s="9">
        <v>30</v>
      </c>
      <c r="D5102" t="s" s="8">
        <v>1731</v>
      </c>
      <c r="E5102" t="s" s="9">
        <v>1731</v>
      </c>
      <c r="F5102" t="s" s="10">
        <v>240</v>
      </c>
      <c r="G5102" s="14"/>
      <c r="H5102" t="s" s="10">
        <v>287</v>
      </c>
      <c r="I5102" s="14"/>
      <c r="J5102" t="s" s="11">
        <v>20</v>
      </c>
      <c r="K5102" s="15"/>
      <c r="L5102" t="s" s="16">
        <f>HYPERLINK("http://csr.bu.edu/ftp/asl/asllvd/demos/verify_start_end_handshape_annotations//test_auto_move//signs_mov_separ_signers/Brady_5713.mov","MOV")</f>
        <v>21</v>
      </c>
      <c r="M5102" t="s" s="10">
        <v>39</v>
      </c>
      <c r="N5102" s="17">
        <v>30</v>
      </c>
      <c r="O5102" s="18">
        <v>6469</v>
      </c>
      <c r="P5102" s="18">
        <v>6485</v>
      </c>
      <c r="Q5102" s="15"/>
      <c r="R5102" t="s" s="16">
        <f>HYPERLINK("http://secrets.rutgers.edu:8080/data/asl-ftp/asllvd/demos/verify_start_end_handshape_annotations//test_auto_move//signs_mov_separ_signers/Brady_5713.mov","MOV")</f>
        <v>21</v>
      </c>
    </row>
    <row r="5103" s="2" customFormat="1" ht="13.5" customHeight="1">
      <c r="B5103" t="s" s="8">
        <v>1732</v>
      </c>
      <c r="C5103" t="s" s="9">
        <v>14</v>
      </c>
      <c r="D5103" t="s" s="8">
        <v>14</v>
      </c>
      <c r="E5103" t="s" s="9">
        <v>14</v>
      </c>
      <c r="F5103" t="s" s="10">
        <v>14</v>
      </c>
      <c r="G5103" t="s" s="11">
        <v>14</v>
      </c>
      <c r="H5103" t="s" s="10">
        <v>14</v>
      </c>
      <c r="I5103" t="s" s="11">
        <v>14</v>
      </c>
      <c r="J5103" t="s" s="11">
        <v>14</v>
      </c>
      <c r="K5103" t="s" s="12">
        <v>14</v>
      </c>
      <c r="L5103" t="s" s="12">
        <v>14</v>
      </c>
      <c r="M5103" t="s" s="10">
        <v>14</v>
      </c>
      <c r="N5103" t="s" s="11">
        <v>14</v>
      </c>
      <c r="O5103" t="s" s="8">
        <v>14</v>
      </c>
      <c r="P5103" t="s" s="8">
        <v>14</v>
      </c>
      <c r="Q5103" t="s" s="12">
        <v>14</v>
      </c>
      <c r="R5103" t="s" s="12">
        <v>14</v>
      </c>
    </row>
    <row r="5104" s="2" customFormat="1" ht="13.5" customHeight="1">
      <c r="B5104" s="13"/>
      <c r="C5104" t="s" s="9">
        <v>16</v>
      </c>
      <c r="D5104" t="s" s="8">
        <v>1732</v>
      </c>
      <c r="E5104" t="s" s="9">
        <v>1732</v>
      </c>
      <c r="F5104" t="s" s="10">
        <v>109</v>
      </c>
      <c r="G5104" t="s" s="11">
        <v>109</v>
      </c>
      <c r="H5104" t="s" s="10">
        <v>109</v>
      </c>
      <c r="I5104" t="s" s="11">
        <v>109</v>
      </c>
      <c r="J5104" t="s" s="11">
        <v>20</v>
      </c>
      <c r="K5104" s="15"/>
      <c r="L5104" t="s" s="16">
        <f>HYPERLINK("http://csr.bu.edu/ftp/asl/asllvd/demos/verify_start_end_handshape_annotations//test_auto_move//signs_mov_separ_signers/Liz_1121.mov","MOV")</f>
        <v>21</v>
      </c>
      <c r="M5104" t="s" s="10">
        <v>34</v>
      </c>
      <c r="N5104" s="17">
        <v>16</v>
      </c>
      <c r="O5104" s="18">
        <v>800</v>
      </c>
      <c r="P5104" s="18">
        <v>840</v>
      </c>
      <c r="Q5104" s="15"/>
      <c r="R5104" t="s" s="16">
        <f>HYPERLINK("http://secrets.rutgers.edu:8080/data/asl-ftp/asllvd/demos/verify_start_end_handshape_annotations//test_auto_move//signs_mov_separ_signers/Liz_1121.mov","MOV")</f>
        <v>21</v>
      </c>
    </row>
    <row r="5105" s="2" customFormat="1" ht="13.5" customHeight="1">
      <c r="B5105" s="13"/>
      <c r="C5105" t="s" s="9">
        <v>23</v>
      </c>
      <c r="D5105" t="s" s="8">
        <v>1732</v>
      </c>
      <c r="E5105" t="s" s="9">
        <v>1732</v>
      </c>
      <c r="F5105" t="s" s="10">
        <v>73</v>
      </c>
      <c r="G5105" t="s" s="11">
        <v>73</v>
      </c>
      <c r="H5105" t="s" s="10">
        <v>73</v>
      </c>
      <c r="I5105" t="s" s="11">
        <v>73</v>
      </c>
      <c r="J5105" t="s" s="11">
        <v>20</v>
      </c>
      <c r="K5105" t="s" s="16">
        <f>HYPERLINK("http://csr.bu.edu/ftp/asl/asllvd/demos/verify_start_end_handshape_annotations//test_auto_move//signs_mov/1121.mov","MOV")</f>
        <v>21</v>
      </c>
      <c r="L5105" t="s" s="16">
        <f>HYPERLINK("http://csr.bu.edu/ftp/asl/asllvd/demos/verify_start_end_handshape_annotations//test_auto_move//signs_mov_separ_signers/Tyler_1121.mov","MOV")</f>
        <v>21</v>
      </c>
      <c r="M5105" t="s" s="10">
        <v>92</v>
      </c>
      <c r="N5105" s="17">
        <v>44</v>
      </c>
      <c r="O5105" s="18">
        <v>4770</v>
      </c>
      <c r="P5105" s="18">
        <v>4800</v>
      </c>
      <c r="Q5105" t="s" s="16">
        <f>HYPERLINK("http://secrets.rutgers.edu:8080/data/asl-ftp/asllvd/demos/verify_start_end_handshape_annotations//test_auto_move//signs_mov/1121.mov","MOV")</f>
        <v>21</v>
      </c>
      <c r="R5105" t="s" s="16">
        <f>HYPERLINK("http://secrets.rutgers.edu:8080/data/asl-ftp/asllvd/demos/verify_start_end_handshape_annotations//test_auto_move//signs_mov_separ_signers/Tyler_1121.mov","MOV")</f>
        <v>21</v>
      </c>
    </row>
    <row r="5106" s="2" customFormat="1" ht="13.5" customHeight="1">
      <c r="B5106" s="13"/>
      <c r="C5106" t="s" s="9">
        <v>27</v>
      </c>
      <c r="D5106" t="s" s="8">
        <v>1732</v>
      </c>
      <c r="E5106" t="s" s="9">
        <v>1732</v>
      </c>
      <c r="F5106" t="s" s="10">
        <v>73</v>
      </c>
      <c r="G5106" t="s" s="11">
        <v>73</v>
      </c>
      <c r="H5106" t="s" s="10">
        <v>73</v>
      </c>
      <c r="I5106" t="s" s="11">
        <v>73</v>
      </c>
      <c r="J5106" t="s" s="11">
        <v>20</v>
      </c>
      <c r="K5106" s="15"/>
      <c r="L5106" t="s" s="16">
        <f>HYPERLINK("http://csr.bu.edu/ftp/asl/asllvd/demos/verify_start_end_handshape_annotations//test_auto_move//signs_mov_separ_signers/Naomi_1121.mov","MOV")</f>
        <v>21</v>
      </c>
      <c r="M5106" t="s" s="10">
        <v>38</v>
      </c>
      <c r="N5106" s="17">
        <v>13</v>
      </c>
      <c r="O5106" s="18">
        <v>272</v>
      </c>
      <c r="P5106" s="18">
        <v>295</v>
      </c>
      <c r="Q5106" s="15"/>
      <c r="R5106" t="s" s="16">
        <f>HYPERLINK("http://secrets.rutgers.edu:8080/data/asl-ftp/asllvd/demos/verify_start_end_handshape_annotations//test_auto_move//signs_mov_separ_signers/Naomi_1121.mov","MOV")</f>
        <v>21</v>
      </c>
    </row>
    <row r="5107" s="2" customFormat="1" ht="13.5" customHeight="1">
      <c r="B5107" s="13"/>
      <c r="C5107" t="s" s="9">
        <v>30</v>
      </c>
      <c r="D5107" t="s" s="8">
        <v>1732</v>
      </c>
      <c r="E5107" t="s" s="9">
        <v>1732</v>
      </c>
      <c r="F5107" t="s" s="10">
        <v>73</v>
      </c>
      <c r="G5107" t="s" s="11">
        <v>73</v>
      </c>
      <c r="H5107" t="s" s="10">
        <v>73</v>
      </c>
      <c r="I5107" t="s" s="11">
        <v>73</v>
      </c>
      <c r="J5107" t="s" s="11">
        <v>20</v>
      </c>
      <c r="K5107" s="15"/>
      <c r="L5107" t="s" s="16">
        <f>HYPERLINK("http://csr.bu.edu/ftp/asl/asllvd/demos/verify_start_end_handshape_annotations//test_auto_move//signs_mov_separ_signers/Brady_1121.mov","MOV")</f>
        <v>21</v>
      </c>
      <c r="M5107" t="s" s="10">
        <v>39</v>
      </c>
      <c r="N5107" s="17">
        <v>30</v>
      </c>
      <c r="O5107" s="18">
        <v>10203</v>
      </c>
      <c r="P5107" s="18">
        <v>10217</v>
      </c>
      <c r="Q5107" s="15"/>
      <c r="R5107" t="s" s="16">
        <f>HYPERLINK("http://secrets.rutgers.edu:8080/data/asl-ftp/asllvd/demos/verify_start_end_handshape_annotations//test_auto_move//signs_mov_separ_signers/Brady_1121.mov","MOV")</f>
        <v>21</v>
      </c>
    </row>
    <row r="5108" s="2" customFormat="1" ht="13.5" customHeight="1">
      <c r="B5108" t="s" s="8">
        <v>1733</v>
      </c>
      <c r="C5108" t="s" s="9">
        <v>14</v>
      </c>
      <c r="D5108" t="s" s="8">
        <v>14</v>
      </c>
      <c r="E5108" t="s" s="9">
        <v>14</v>
      </c>
      <c r="F5108" t="s" s="10">
        <v>14</v>
      </c>
      <c r="G5108" t="s" s="11">
        <v>14</v>
      </c>
      <c r="H5108" t="s" s="10">
        <v>14</v>
      </c>
      <c r="I5108" t="s" s="11">
        <v>14</v>
      </c>
      <c r="J5108" t="s" s="11">
        <v>14</v>
      </c>
      <c r="K5108" t="s" s="12">
        <v>14</v>
      </c>
      <c r="L5108" t="s" s="12">
        <v>14</v>
      </c>
      <c r="M5108" t="s" s="10">
        <v>14</v>
      </c>
      <c r="N5108" t="s" s="11">
        <v>14</v>
      </c>
      <c r="O5108" t="s" s="8">
        <v>14</v>
      </c>
      <c r="P5108" t="s" s="8">
        <v>14</v>
      </c>
      <c r="Q5108" t="s" s="12">
        <v>14</v>
      </c>
      <c r="R5108" t="s" s="12">
        <v>14</v>
      </c>
    </row>
    <row r="5109" s="2" customFormat="1" ht="13.5" customHeight="1">
      <c r="B5109" s="13"/>
      <c r="C5109" t="s" s="9">
        <v>16</v>
      </c>
      <c r="D5109" t="s" s="8">
        <v>1733</v>
      </c>
      <c r="E5109" t="s" s="9">
        <v>1733</v>
      </c>
      <c r="F5109" t="s" s="10">
        <v>240</v>
      </c>
      <c r="G5109" s="14"/>
      <c r="H5109" t="s" s="10">
        <v>25</v>
      </c>
      <c r="I5109" s="14"/>
      <c r="J5109" t="s" s="11">
        <v>20</v>
      </c>
      <c r="K5109" t="s" s="16">
        <f>HYPERLINK("http://csr.bu.edu/ftp/asl/asllvd/demos/verify_start_end_handshape_annotations//test_auto_move//signs_mov/15015.mov","MOV")</f>
        <v>21</v>
      </c>
      <c r="L5109" t="s" s="16">
        <f>HYPERLINK("http://csr.bu.edu/ftp/asl/asllvd/demos/verify_start_end_handshape_annotations//test_auto_move//signs_mov_separ_signers/Liz_15015.mov","MOV")</f>
        <v>21</v>
      </c>
      <c r="M5109" t="s" s="10">
        <v>34</v>
      </c>
      <c r="N5109" s="17">
        <v>16</v>
      </c>
      <c r="O5109" s="18">
        <v>502</v>
      </c>
      <c r="P5109" s="18">
        <v>545</v>
      </c>
      <c r="Q5109" t="s" s="16">
        <f>HYPERLINK("http://secrets.rutgers.edu:8080/data/asl-ftp/asllvd/demos/verify_start_end_handshape_annotations//test_auto_move//signs_mov/15015.mov","MOV")</f>
        <v>21</v>
      </c>
      <c r="R5109" t="s" s="16">
        <f>HYPERLINK("http://secrets.rutgers.edu:8080/data/asl-ftp/asllvd/demos/verify_start_end_handshape_annotations//test_auto_move//signs_mov_separ_signers/Liz_15015.mov","MOV")</f>
        <v>21</v>
      </c>
    </row>
    <row r="5110" s="2" customFormat="1" ht="13.5" customHeight="1">
      <c r="B5110" s="13"/>
      <c r="C5110" t="s" s="9">
        <v>30</v>
      </c>
      <c r="D5110" t="s" s="8">
        <v>1733</v>
      </c>
      <c r="E5110" t="s" s="9">
        <v>1733</v>
      </c>
      <c r="F5110" t="s" s="10">
        <v>240</v>
      </c>
      <c r="G5110" s="14"/>
      <c r="H5110" t="s" s="10">
        <v>25</v>
      </c>
      <c r="I5110" s="14"/>
      <c r="J5110" t="s" s="11">
        <v>20</v>
      </c>
      <c r="K5110" s="15"/>
      <c r="L5110" t="s" s="16">
        <f>HYPERLINK("http://csr.bu.edu/ftp/asl/asllvd/demos/verify_start_end_handshape_annotations//test_auto_move//signs_mov_separ_signers/Brady_15015.mov","MOV")</f>
        <v>21</v>
      </c>
      <c r="M5110" t="s" s="10">
        <v>39</v>
      </c>
      <c r="N5110" s="17">
        <v>30</v>
      </c>
      <c r="O5110" s="18">
        <v>8910</v>
      </c>
      <c r="P5110" s="18">
        <v>8927</v>
      </c>
      <c r="Q5110" s="15"/>
      <c r="R5110" t="s" s="16">
        <f>HYPERLINK("http://secrets.rutgers.edu:8080/data/asl-ftp/asllvd/demos/verify_start_end_handshape_annotations//test_auto_move//signs_mov_separ_signers/Brady_15015.mov","MOV")</f>
        <v>21</v>
      </c>
    </row>
    <row r="5111" s="2" customFormat="1" ht="13.5" customHeight="1">
      <c r="B5111" t="s" s="8">
        <v>1734</v>
      </c>
      <c r="C5111" t="s" s="9">
        <v>14</v>
      </c>
      <c r="D5111" t="s" s="8">
        <v>14</v>
      </c>
      <c r="E5111" t="s" s="9">
        <v>14</v>
      </c>
      <c r="F5111" t="s" s="10">
        <v>14</v>
      </c>
      <c r="G5111" t="s" s="11">
        <v>14</v>
      </c>
      <c r="H5111" t="s" s="10">
        <v>14</v>
      </c>
      <c r="I5111" t="s" s="11">
        <v>14</v>
      </c>
      <c r="J5111" t="s" s="11">
        <v>14</v>
      </c>
      <c r="K5111" t="s" s="12">
        <v>14</v>
      </c>
      <c r="L5111" t="s" s="12">
        <v>14</v>
      </c>
      <c r="M5111" t="s" s="10">
        <v>14</v>
      </c>
      <c r="N5111" t="s" s="11">
        <v>14</v>
      </c>
      <c r="O5111" t="s" s="8">
        <v>14</v>
      </c>
      <c r="P5111" t="s" s="8">
        <v>14</v>
      </c>
      <c r="Q5111" t="s" s="12">
        <v>14</v>
      </c>
      <c r="R5111" t="s" s="12">
        <v>14</v>
      </c>
    </row>
    <row r="5112" s="2" customFormat="1" ht="13.5" customHeight="1">
      <c r="B5112" s="13"/>
      <c r="C5112" t="s" s="9">
        <v>16</v>
      </c>
      <c r="D5112" t="s" s="8">
        <v>1734</v>
      </c>
      <c r="E5112" t="s" s="9">
        <v>1735</v>
      </c>
      <c r="F5112" t="s" s="10">
        <v>150</v>
      </c>
      <c r="G5112" t="s" s="11">
        <v>150</v>
      </c>
      <c r="H5112" t="s" s="10">
        <v>150</v>
      </c>
      <c r="I5112" t="s" s="11">
        <v>150</v>
      </c>
      <c r="J5112" t="s" s="11">
        <v>20</v>
      </c>
      <c r="K5112" s="15"/>
      <c r="L5112" t="s" s="16">
        <f>HYPERLINK("http://csr.bu.edu/ftp/asl/asllvd/demos/verify_start_end_handshape_annotations//test_auto_move//signs_mov_separ_signers/Liz_1123.mov","MOV")</f>
        <v>21</v>
      </c>
      <c r="M5112" t="s" s="10">
        <v>34</v>
      </c>
      <c r="N5112" s="17">
        <v>16</v>
      </c>
      <c r="O5112" s="18">
        <v>1000</v>
      </c>
      <c r="P5112" s="18">
        <v>1050</v>
      </c>
      <c r="Q5112" s="15"/>
      <c r="R5112" t="s" s="16">
        <f>HYPERLINK("http://secrets.rutgers.edu:8080/data/asl-ftp/asllvd/demos/verify_start_end_handshape_annotations//test_auto_move//signs_mov_separ_signers/Liz_1123.mov","MOV")</f>
        <v>21</v>
      </c>
    </row>
    <row r="5113" s="2" customFormat="1" ht="13.5" customHeight="1">
      <c r="B5113" s="13"/>
      <c r="C5113" t="s" s="9">
        <v>16</v>
      </c>
      <c r="D5113" t="s" s="8">
        <v>1734</v>
      </c>
      <c r="E5113" t="s" s="9">
        <v>1734</v>
      </c>
      <c r="F5113" t="s" s="10">
        <v>260</v>
      </c>
      <c r="G5113" t="s" s="11">
        <v>260</v>
      </c>
      <c r="H5113" t="s" s="10">
        <v>260</v>
      </c>
      <c r="I5113" t="s" s="11">
        <v>260</v>
      </c>
      <c r="J5113" t="s" s="11">
        <v>20</v>
      </c>
      <c r="K5113" s="15"/>
      <c r="L5113" t="s" s="16">
        <f>HYPERLINK("http://csr.bu.edu/ftp/asl/asllvd/demos/verify_start_end_handshape_annotations//test_auto_move//signs_mov_separ_signers/Liz_5721.mov","MOV")</f>
        <v>21</v>
      </c>
      <c r="M5113" t="s" s="10">
        <v>34</v>
      </c>
      <c r="N5113" s="17">
        <v>58</v>
      </c>
      <c r="O5113" s="18">
        <v>2470</v>
      </c>
      <c r="P5113" s="18">
        <v>2500</v>
      </c>
      <c r="Q5113" s="15"/>
      <c r="R5113" t="s" s="16">
        <f>HYPERLINK("http://secrets.rutgers.edu:8080/data/asl-ftp/asllvd/demos/verify_start_end_handshape_annotations//test_auto_move//signs_mov_separ_signers/Liz_5721.mov","MOV")</f>
        <v>21</v>
      </c>
    </row>
    <row r="5114" s="2" customFormat="1" ht="13.5" customHeight="1">
      <c r="B5114" s="13"/>
      <c r="C5114" t="s" s="9">
        <v>23</v>
      </c>
      <c r="D5114" t="s" s="8">
        <v>1734</v>
      </c>
      <c r="E5114" t="s" s="9">
        <v>1734</v>
      </c>
      <c r="F5114" t="s" s="10">
        <v>150</v>
      </c>
      <c r="G5114" t="s" s="11">
        <v>150</v>
      </c>
      <c r="H5114" t="s" s="10">
        <v>150</v>
      </c>
      <c r="I5114" t="s" s="11">
        <v>150</v>
      </c>
      <c r="J5114" t="s" s="11">
        <v>20</v>
      </c>
      <c r="K5114" s="15"/>
      <c r="L5114" t="s" s="16">
        <f>HYPERLINK("http://csr.bu.edu/ftp/asl/asllvd/demos/verify_start_end_handshape_annotations//test_auto_move//signs_mov_separ_signers/Tyler_1123.mov","MOV")</f>
        <v>21</v>
      </c>
      <c r="M5114" t="s" s="10">
        <v>47</v>
      </c>
      <c r="N5114" s="17">
        <v>10</v>
      </c>
      <c r="O5114" s="18">
        <v>2535</v>
      </c>
      <c r="P5114" s="18">
        <v>2558</v>
      </c>
      <c r="Q5114" s="15"/>
      <c r="R5114" t="s" s="16">
        <f>HYPERLINK("http://secrets.rutgers.edu:8080/data/asl-ftp/asllvd/demos/verify_start_end_handshape_annotations//test_auto_move//signs_mov_separ_signers/Tyler_1123.mov","MOV")</f>
        <v>21</v>
      </c>
    </row>
    <row r="5115" s="2" customFormat="1" ht="13.5" customHeight="1">
      <c r="B5115" s="13"/>
      <c r="C5115" t="s" s="9">
        <v>27</v>
      </c>
      <c r="D5115" t="s" s="8">
        <v>1734</v>
      </c>
      <c r="E5115" t="s" s="9">
        <v>1734</v>
      </c>
      <c r="F5115" t="s" s="10">
        <v>150</v>
      </c>
      <c r="G5115" t="s" s="11">
        <v>150</v>
      </c>
      <c r="H5115" t="s" s="10">
        <v>150</v>
      </c>
      <c r="I5115" t="s" s="11">
        <v>150</v>
      </c>
      <c r="J5115" t="s" s="11">
        <v>20</v>
      </c>
      <c r="K5115" t="s" s="16">
        <f>HYPERLINK("http://csr.bu.edu/ftp/asl/asllvd/demos/verify_start_end_handshape_annotations//test_auto_move//signs_mov/1123_5721_5733_merged.mov","MOV")</f>
        <v>21</v>
      </c>
      <c r="L5115" t="s" s="16">
        <f>HYPERLINK("http://csr.bu.edu/ftp/asl/asllvd/demos/verify_start_end_handshape_annotations//test_auto_move//signs_mov_separ_signers/Naomi_1123.mov","MOV")</f>
        <v>21</v>
      </c>
      <c r="M5115" t="s" s="10">
        <v>38</v>
      </c>
      <c r="N5115" s="17">
        <v>13</v>
      </c>
      <c r="O5115" s="18">
        <v>611</v>
      </c>
      <c r="P5115" s="18">
        <v>642</v>
      </c>
      <c r="Q5115" t="s" s="16">
        <f>HYPERLINK("http://secrets.rutgers.edu:8080/data/asl-ftp/asllvd/demos/verify_start_end_handshape_annotations//test_auto_move//signs_mov/1123_5721_5733_merged.mov","MOV")</f>
        <v>21</v>
      </c>
      <c r="R5115" t="s" s="16">
        <f>HYPERLINK("http://secrets.rutgers.edu:8080/data/asl-ftp/asllvd/demos/verify_start_end_handshape_annotations//test_auto_move//signs_mov_separ_signers/Naomi_1123.mov","MOV")</f>
        <v>21</v>
      </c>
    </row>
    <row r="5116" s="2" customFormat="1" ht="13.5" customHeight="1">
      <c r="B5116" s="13"/>
      <c r="C5116" t="s" s="9">
        <v>27</v>
      </c>
      <c r="D5116" t="s" s="8">
        <v>1734</v>
      </c>
      <c r="E5116" t="s" s="9">
        <v>1734</v>
      </c>
      <c r="F5116" t="s" s="10">
        <v>150</v>
      </c>
      <c r="G5116" t="s" s="11">
        <v>150</v>
      </c>
      <c r="H5116" t="s" s="10">
        <v>150</v>
      </c>
      <c r="I5116" t="s" s="11">
        <v>150</v>
      </c>
      <c r="J5116" t="s" s="11">
        <v>20</v>
      </c>
      <c r="K5116" s="15"/>
      <c r="L5116" t="s" s="16">
        <f>HYPERLINK("http://csr.bu.edu/ftp/asl/asllvd/demos/verify_start_end_handshape_annotations//test_auto_move//signs_mov_separ_signers/Naomi_5721.mov","MOV")</f>
        <v>21</v>
      </c>
      <c r="M5116" t="s" s="10">
        <v>48</v>
      </c>
      <c r="N5116" s="17">
        <v>13</v>
      </c>
      <c r="O5116" s="18">
        <v>1485</v>
      </c>
      <c r="P5116" s="18">
        <v>1510</v>
      </c>
      <c r="Q5116" s="15"/>
      <c r="R5116" t="s" s="16">
        <f>HYPERLINK("http://secrets.rutgers.edu:8080/data/asl-ftp/asllvd/demos/verify_start_end_handshape_annotations//test_auto_move//signs_mov_separ_signers/Naomi_5721.mov","MOV")</f>
        <v>21</v>
      </c>
    </row>
    <row r="5117" s="2" customFormat="1" ht="13.5" customHeight="1">
      <c r="B5117" s="13"/>
      <c r="C5117" t="s" s="9">
        <v>30</v>
      </c>
      <c r="D5117" t="s" s="8">
        <v>1734</v>
      </c>
      <c r="E5117" t="s" s="9">
        <v>1735</v>
      </c>
      <c r="F5117" t="s" s="10">
        <v>150</v>
      </c>
      <c r="G5117" t="s" s="11">
        <v>150</v>
      </c>
      <c r="H5117" t="s" s="10">
        <v>150</v>
      </c>
      <c r="I5117" t="s" s="11">
        <v>150</v>
      </c>
      <c r="J5117" t="s" s="11">
        <v>20</v>
      </c>
      <c r="K5117" s="15"/>
      <c r="L5117" t="s" s="16">
        <f>HYPERLINK("http://csr.bu.edu/ftp/asl/asllvd/demos/verify_start_end_handshape_annotations//test_auto_move//signs_mov_separ_signers/Brady_1123.mov","MOV")</f>
        <v>21</v>
      </c>
      <c r="M5117" t="s" s="10">
        <v>39</v>
      </c>
      <c r="N5117" s="17">
        <v>31</v>
      </c>
      <c r="O5117" s="18">
        <v>1883</v>
      </c>
      <c r="P5117" s="18">
        <v>1904</v>
      </c>
      <c r="Q5117" s="15"/>
      <c r="R5117" t="s" s="16">
        <f>HYPERLINK("http://secrets.rutgers.edu:8080/data/asl-ftp/asllvd/demos/verify_start_end_handshape_annotations//test_auto_move//signs_mov_separ_signers/Brady_1123.mov","MOV")</f>
        <v>21</v>
      </c>
    </row>
    <row r="5118" s="2" customFormat="1" ht="13.5" customHeight="1">
      <c r="B5118" s="13"/>
      <c r="C5118" t="s" s="9">
        <v>30</v>
      </c>
      <c r="D5118" t="s" s="8">
        <v>1734</v>
      </c>
      <c r="E5118" t="s" s="9">
        <v>1734</v>
      </c>
      <c r="F5118" t="s" s="10">
        <v>150</v>
      </c>
      <c r="G5118" t="s" s="11">
        <v>150</v>
      </c>
      <c r="H5118" t="s" s="10">
        <v>150</v>
      </c>
      <c r="I5118" t="s" s="11">
        <v>150</v>
      </c>
      <c r="J5118" t="s" s="11">
        <v>20</v>
      </c>
      <c r="K5118" s="15"/>
      <c r="L5118" t="s" s="16">
        <f>HYPERLINK("http://csr.bu.edu/ftp/asl/asllvd/demos/verify_start_end_handshape_annotations//test_auto_move//signs_mov_separ_signers/Brady_5721.mov","MOV")</f>
        <v>21</v>
      </c>
      <c r="M5118" t="s" s="10">
        <v>39</v>
      </c>
      <c r="N5118" s="17">
        <v>54</v>
      </c>
      <c r="O5118" s="18">
        <v>4874</v>
      </c>
      <c r="P5118" s="18">
        <v>4897</v>
      </c>
      <c r="Q5118" s="15"/>
      <c r="R5118" t="s" s="16">
        <f>HYPERLINK("http://secrets.rutgers.edu:8080/data/asl-ftp/asllvd/demos/verify_start_end_handshape_annotations//test_auto_move//signs_mov_separ_signers/Brady_5721.mov","MOV")</f>
        <v>21</v>
      </c>
    </row>
    <row r="5119" s="2" customFormat="1" ht="13.5" customHeight="1">
      <c r="B5119" s="13"/>
      <c r="C5119" t="s" s="9">
        <v>30</v>
      </c>
      <c r="D5119" t="s" s="8">
        <v>1734</v>
      </c>
      <c r="E5119" t="s" s="9">
        <v>1734</v>
      </c>
      <c r="F5119" t="s" s="10">
        <v>150</v>
      </c>
      <c r="G5119" t="s" s="11">
        <v>150</v>
      </c>
      <c r="H5119" t="s" s="10">
        <v>150</v>
      </c>
      <c r="I5119" t="s" s="11">
        <v>150</v>
      </c>
      <c r="J5119" t="s" s="11">
        <v>20</v>
      </c>
      <c r="K5119" s="15"/>
      <c r="L5119" t="s" s="16">
        <f>HYPERLINK("http://csr.bu.edu/ftp/asl/asllvd/demos/verify_start_end_handshape_annotations//test_auto_move//signs_mov_separ_signers/Brady_5733.mov","MOV")</f>
        <v>21</v>
      </c>
      <c r="M5119" t="s" s="10">
        <v>39</v>
      </c>
      <c r="N5119" s="17">
        <v>54</v>
      </c>
      <c r="O5119" s="18">
        <v>5170</v>
      </c>
      <c r="P5119" s="18">
        <v>5186</v>
      </c>
      <c r="Q5119" s="15"/>
      <c r="R5119" t="s" s="16">
        <f>HYPERLINK("http://secrets.rutgers.edu:8080/data/asl-ftp/asllvd/demos/verify_start_end_handshape_annotations//test_auto_move//signs_mov_separ_signers/Brady_5733.mov","MOV")</f>
        <v>21</v>
      </c>
    </row>
    <row r="5120" s="2" customFormat="1" ht="13.5" customHeight="1">
      <c r="B5120" t="s" s="8">
        <v>1734</v>
      </c>
      <c r="C5120" t="s" s="9">
        <v>14</v>
      </c>
      <c r="D5120" t="s" s="8">
        <v>14</v>
      </c>
      <c r="E5120" t="s" s="9">
        <v>14</v>
      </c>
      <c r="F5120" t="s" s="10">
        <v>14</v>
      </c>
      <c r="G5120" t="s" s="11">
        <v>14</v>
      </c>
      <c r="H5120" t="s" s="10">
        <v>14</v>
      </c>
      <c r="I5120" t="s" s="11">
        <v>14</v>
      </c>
      <c r="J5120" t="s" s="11">
        <v>14</v>
      </c>
      <c r="K5120" t="s" s="12">
        <v>14</v>
      </c>
      <c r="L5120" t="s" s="12">
        <v>14</v>
      </c>
      <c r="M5120" t="s" s="10">
        <v>14</v>
      </c>
      <c r="N5120" t="s" s="11">
        <v>14</v>
      </c>
      <c r="O5120" t="s" s="8">
        <v>14</v>
      </c>
      <c r="P5120" t="s" s="8">
        <v>14</v>
      </c>
      <c r="Q5120" t="s" s="12">
        <v>14</v>
      </c>
      <c r="R5120" t="s" s="12">
        <v>14</v>
      </c>
    </row>
    <row r="5121" s="2" customFormat="1" ht="13.5" customHeight="1">
      <c r="B5121" s="13"/>
      <c r="C5121" t="s" s="9">
        <v>16</v>
      </c>
      <c r="D5121" t="s" s="8">
        <v>1736</v>
      </c>
      <c r="E5121" t="s" s="9">
        <v>1737</v>
      </c>
      <c r="F5121" t="s" s="10">
        <v>229</v>
      </c>
      <c r="G5121" t="s" s="11">
        <v>229</v>
      </c>
      <c r="H5121" t="s" s="10">
        <v>229</v>
      </c>
      <c r="I5121" t="s" s="11">
        <v>229</v>
      </c>
      <c r="J5121" t="s" s="11">
        <v>20</v>
      </c>
      <c r="K5121" s="15"/>
      <c r="L5121" t="s" s="16">
        <f>HYPERLINK("http://csr.bu.edu/ftp/asl/asllvd/demos/verify_start_end_handshape_annotations//test_auto_move//signs_mov_separ_signers/Liz_5743.mov","MOV")</f>
        <v>21</v>
      </c>
      <c r="M5121" t="s" s="10">
        <v>34</v>
      </c>
      <c r="N5121" s="17">
        <v>16</v>
      </c>
      <c r="O5121" s="18">
        <v>1245</v>
      </c>
      <c r="P5121" s="18">
        <v>1285</v>
      </c>
      <c r="Q5121" s="15"/>
      <c r="R5121" t="s" s="16">
        <f>HYPERLINK("http://secrets.rutgers.edu:8080/data/asl-ftp/asllvd/demos/verify_start_end_handshape_annotations//test_auto_move//signs_mov_separ_signers/Liz_5743.mov","MOV")</f>
        <v>21</v>
      </c>
    </row>
    <row r="5122" s="2" customFormat="1" ht="13.5" customHeight="1">
      <c r="B5122" s="13"/>
      <c r="C5122" t="s" s="9">
        <v>27</v>
      </c>
      <c r="D5122" t="s" s="8">
        <v>1736</v>
      </c>
      <c r="E5122" t="s" s="9">
        <v>1736</v>
      </c>
      <c r="F5122" t="s" s="10">
        <v>229</v>
      </c>
      <c r="G5122" t="s" s="11">
        <v>229</v>
      </c>
      <c r="H5122" t="s" s="10">
        <v>240</v>
      </c>
      <c r="I5122" t="s" s="11">
        <v>240</v>
      </c>
      <c r="J5122" t="s" s="11">
        <v>20</v>
      </c>
      <c r="K5122" t="s" s="16">
        <f>HYPERLINK("http://csr.bu.edu/ftp/asl/asllvd/demos/verify_start_end_handshape_annotations//test_auto_move//signs_mov/5743.mov","MOV")</f>
        <v>21</v>
      </c>
      <c r="L5122" t="s" s="16">
        <f>HYPERLINK("http://csr.bu.edu/ftp/asl/asllvd/demos/verify_start_end_handshape_annotations//test_auto_move//signs_mov_separ_signers/Naomi_5743.mov","MOV")</f>
        <v>21</v>
      </c>
      <c r="M5122" t="s" s="10">
        <v>38</v>
      </c>
      <c r="N5122" s="17">
        <v>13</v>
      </c>
      <c r="O5122" s="18">
        <v>1140</v>
      </c>
      <c r="P5122" s="18">
        <v>1165</v>
      </c>
      <c r="Q5122" t="s" s="16">
        <f>HYPERLINK("http://secrets.rutgers.edu:8080/data/asl-ftp/asllvd/demos/verify_start_end_handshape_annotations//test_auto_move//signs_mov/5743.mov","MOV")</f>
        <v>21</v>
      </c>
      <c r="R5122" t="s" s="16">
        <f>HYPERLINK("http://secrets.rutgers.edu:8080/data/asl-ftp/asllvd/demos/verify_start_end_handshape_annotations//test_auto_move//signs_mov_separ_signers/Naomi_5743.mov","MOV")</f>
        <v>21</v>
      </c>
    </row>
    <row r="5123" s="2" customFormat="1" ht="13.5" customHeight="1">
      <c r="B5123" s="13"/>
      <c r="C5123" t="s" s="9">
        <v>30</v>
      </c>
      <c r="D5123" t="s" s="8">
        <v>1736</v>
      </c>
      <c r="E5123" t="s" s="9">
        <v>1737</v>
      </c>
      <c r="F5123" t="s" s="10">
        <v>229</v>
      </c>
      <c r="G5123" t="s" s="11">
        <v>229</v>
      </c>
      <c r="H5123" t="s" s="10">
        <v>240</v>
      </c>
      <c r="I5123" t="s" s="11">
        <v>240</v>
      </c>
      <c r="J5123" t="s" s="11">
        <v>20</v>
      </c>
      <c r="K5123" s="15"/>
      <c r="L5123" t="s" s="16">
        <f>HYPERLINK("http://csr.bu.edu/ftp/asl/asllvd/demos/verify_start_end_handshape_annotations//test_auto_move//signs_mov_separ_signers/Brady_5743.mov","MOV")</f>
        <v>21</v>
      </c>
      <c r="M5123" t="s" s="10">
        <v>39</v>
      </c>
      <c r="N5123" s="17">
        <v>31</v>
      </c>
      <c r="O5123" s="18">
        <v>2357</v>
      </c>
      <c r="P5123" s="18">
        <v>2387</v>
      </c>
      <c r="Q5123" s="15"/>
      <c r="R5123" t="s" s="16">
        <f>HYPERLINK("http://secrets.rutgers.edu:8080/data/asl-ftp/asllvd/demos/verify_start_end_handshape_annotations//test_auto_move//signs_mov_separ_signers/Brady_5743.mov","MOV")</f>
        <v>21</v>
      </c>
    </row>
    <row r="5124" s="2" customFormat="1" ht="13.5" customHeight="1">
      <c r="B5124" t="s" s="8">
        <v>1738</v>
      </c>
      <c r="C5124" t="s" s="9">
        <v>14</v>
      </c>
      <c r="D5124" t="s" s="8">
        <v>14</v>
      </c>
      <c r="E5124" t="s" s="9">
        <v>14</v>
      </c>
      <c r="F5124" t="s" s="10">
        <v>14</v>
      </c>
      <c r="G5124" t="s" s="11">
        <v>14</v>
      </c>
      <c r="H5124" t="s" s="10">
        <v>14</v>
      </c>
      <c r="I5124" t="s" s="11">
        <v>14</v>
      </c>
      <c r="J5124" t="s" s="11">
        <v>14</v>
      </c>
      <c r="K5124" t="s" s="12">
        <v>14</v>
      </c>
      <c r="L5124" t="s" s="12">
        <v>14</v>
      </c>
      <c r="M5124" t="s" s="10">
        <v>14</v>
      </c>
      <c r="N5124" t="s" s="11">
        <v>14</v>
      </c>
      <c r="O5124" t="s" s="8">
        <v>14</v>
      </c>
      <c r="P5124" t="s" s="8">
        <v>14</v>
      </c>
      <c r="Q5124" t="s" s="12">
        <v>14</v>
      </c>
      <c r="R5124" t="s" s="12">
        <v>14</v>
      </c>
    </row>
    <row r="5125" s="2" customFormat="1" ht="13.5" customHeight="1">
      <c r="B5125" s="13"/>
      <c r="C5125" t="s" s="9">
        <v>16</v>
      </c>
      <c r="D5125" t="s" s="8">
        <v>1738</v>
      </c>
      <c r="E5125" t="s" s="9">
        <v>1738</v>
      </c>
      <c r="F5125" t="s" s="10">
        <v>73</v>
      </c>
      <c r="G5125" s="14"/>
      <c r="H5125" t="s" s="10">
        <v>119</v>
      </c>
      <c r="I5125" s="14"/>
      <c r="J5125" t="s" s="11">
        <v>20</v>
      </c>
      <c r="K5125" t="s" s="16">
        <f>HYPERLINK("http://csr.bu.edu/ftp/asl/asllvd/demos/verify_start_end_handshape_annotations//test_auto_move//signs_mov/1124.mov","MOV")</f>
        <v>21</v>
      </c>
      <c r="L5125" t="s" s="16">
        <f>HYPERLINK("http://csr.bu.edu/ftp/asl/asllvd/demos/verify_start_end_handshape_annotations//test_auto_move//signs_mov_separ_signers/Liz_1124.mov","MOV")</f>
        <v>21</v>
      </c>
      <c r="M5125" t="s" s="10">
        <v>34</v>
      </c>
      <c r="N5125" s="17">
        <v>16</v>
      </c>
      <c r="O5125" s="18">
        <v>1465</v>
      </c>
      <c r="P5125" s="18">
        <v>1515</v>
      </c>
      <c r="Q5125" t="s" s="16">
        <f>HYPERLINK("http://secrets.rutgers.edu:8080/data/asl-ftp/asllvd/demos/verify_start_end_handshape_annotations//test_auto_move//signs_mov/1124.mov","MOV")</f>
        <v>21</v>
      </c>
      <c r="R5125" t="s" s="16">
        <f>HYPERLINK("http://secrets.rutgers.edu:8080/data/asl-ftp/asllvd/demos/verify_start_end_handshape_annotations//test_auto_move//signs_mov_separ_signers/Liz_1124.mov","MOV")</f>
        <v>21</v>
      </c>
    </row>
    <row r="5126" s="2" customFormat="1" ht="13.5" customHeight="1">
      <c r="B5126" t="s" s="8">
        <v>1739</v>
      </c>
      <c r="C5126" t="s" s="9">
        <v>14</v>
      </c>
      <c r="D5126" t="s" s="8">
        <v>14</v>
      </c>
      <c r="E5126" t="s" s="9">
        <v>14</v>
      </c>
      <c r="F5126" t="s" s="10">
        <v>14</v>
      </c>
      <c r="G5126" t="s" s="11">
        <v>14</v>
      </c>
      <c r="H5126" t="s" s="10">
        <v>14</v>
      </c>
      <c r="I5126" t="s" s="11">
        <v>14</v>
      </c>
      <c r="J5126" t="s" s="11">
        <v>14</v>
      </c>
      <c r="K5126" t="s" s="12">
        <v>14</v>
      </c>
      <c r="L5126" t="s" s="12">
        <v>14</v>
      </c>
      <c r="M5126" t="s" s="10">
        <v>14</v>
      </c>
      <c r="N5126" t="s" s="11">
        <v>14</v>
      </c>
      <c r="O5126" t="s" s="8">
        <v>14</v>
      </c>
      <c r="P5126" t="s" s="8">
        <v>14</v>
      </c>
      <c r="Q5126" t="s" s="12">
        <v>14</v>
      </c>
      <c r="R5126" t="s" s="12">
        <v>14</v>
      </c>
    </row>
    <row r="5127" s="2" customFormat="1" ht="13.5" customHeight="1">
      <c r="B5127" s="13"/>
      <c r="C5127" t="s" s="9">
        <v>16</v>
      </c>
      <c r="D5127" t="s" s="8">
        <v>1739</v>
      </c>
      <c r="E5127" t="s" s="9">
        <v>1739</v>
      </c>
      <c r="F5127" t="s" s="10">
        <v>65</v>
      </c>
      <c r="G5127" t="s" s="11">
        <v>68</v>
      </c>
      <c r="H5127" t="s" s="10">
        <v>65</v>
      </c>
      <c r="I5127" t="s" s="11">
        <v>68</v>
      </c>
      <c r="J5127" t="s" s="11">
        <v>20</v>
      </c>
      <c r="K5127" s="15"/>
      <c r="L5127" t="s" s="16">
        <f>HYPERLINK("http://csr.bu.edu/ftp/asl/asllvd/demos/verify_start_end_handshape_annotations//test_auto_move//signs_mov_separ_signers/Liz_1125.mov","MOV")</f>
        <v>21</v>
      </c>
      <c r="M5127" t="s" s="10">
        <v>34</v>
      </c>
      <c r="N5127" s="17">
        <v>16</v>
      </c>
      <c r="O5127" s="18">
        <v>1795</v>
      </c>
      <c r="P5127" s="18">
        <v>1850</v>
      </c>
      <c r="Q5127" s="15"/>
      <c r="R5127" t="s" s="16">
        <f>HYPERLINK("http://secrets.rutgers.edu:8080/data/asl-ftp/asllvd/demos/verify_start_end_handshape_annotations//test_auto_move//signs_mov_separ_signers/Liz_1125.mov","MOV")</f>
        <v>21</v>
      </c>
    </row>
    <row r="5128" s="2" customFormat="1" ht="13.5" customHeight="1">
      <c r="B5128" s="13"/>
      <c r="C5128" t="s" s="9">
        <v>27</v>
      </c>
      <c r="D5128" t="s" s="8">
        <v>1739</v>
      </c>
      <c r="E5128" t="s" s="9">
        <v>1739</v>
      </c>
      <c r="F5128" t="s" s="10">
        <v>65</v>
      </c>
      <c r="G5128" t="s" s="11">
        <v>65</v>
      </c>
      <c r="H5128" t="s" s="10">
        <v>65</v>
      </c>
      <c r="I5128" t="s" s="11">
        <v>65</v>
      </c>
      <c r="J5128" t="s" s="11">
        <v>20</v>
      </c>
      <c r="K5128" t="s" s="16">
        <f>HYPERLINK("http://csr.bu.edu/ftp/asl/asllvd/demos/verify_start_end_handshape_annotations//test_auto_move//signs_mov/1125_5209_merged.mov","MOV")</f>
        <v>21</v>
      </c>
      <c r="L5128" t="s" s="16">
        <f>HYPERLINK("http://csr.bu.edu/ftp/asl/asllvd/demos/verify_start_end_handshape_annotations//test_auto_move//signs_mov_separ_signers/Naomi_1125.mov","MOV")</f>
        <v>21</v>
      </c>
      <c r="M5128" t="s" s="10">
        <v>38</v>
      </c>
      <c r="N5128" s="17">
        <v>13</v>
      </c>
      <c r="O5128" s="18">
        <v>5931</v>
      </c>
      <c r="P5128" s="18">
        <v>5960</v>
      </c>
      <c r="Q5128" t="s" s="16">
        <f>HYPERLINK("http://secrets.rutgers.edu:8080/data/asl-ftp/asllvd/demos/verify_start_end_handshape_annotations//test_auto_move//signs_mov/1125_5209_merged.mov","MOV")</f>
        <v>21</v>
      </c>
      <c r="R5128" t="s" s="16">
        <f>HYPERLINK("http://secrets.rutgers.edu:8080/data/asl-ftp/asllvd/demos/verify_start_end_handshape_annotations//test_auto_move//signs_mov_separ_signers/Naomi_1125.mov","MOV")</f>
        <v>21</v>
      </c>
    </row>
    <row r="5129" s="2" customFormat="1" ht="13.5" customHeight="1">
      <c r="B5129" s="13"/>
      <c r="C5129" t="s" s="9">
        <v>30</v>
      </c>
      <c r="D5129" t="s" s="8">
        <v>1739</v>
      </c>
      <c r="E5129" t="s" s="9">
        <v>1739</v>
      </c>
      <c r="F5129" t="s" s="10">
        <v>65</v>
      </c>
      <c r="G5129" t="s" s="11">
        <v>63</v>
      </c>
      <c r="H5129" t="s" s="10">
        <v>65</v>
      </c>
      <c r="I5129" t="s" s="11">
        <v>63</v>
      </c>
      <c r="J5129" t="s" s="11">
        <v>20</v>
      </c>
      <c r="K5129" s="15"/>
      <c r="L5129" t="s" s="16">
        <f>HYPERLINK("http://csr.bu.edu/ftp/asl/asllvd/demos/verify_start_end_handshape_annotations//test_auto_move//signs_mov_separ_signers/Brady_1125.mov","MOV")</f>
        <v>21</v>
      </c>
      <c r="M5129" t="s" s="10">
        <v>31</v>
      </c>
      <c r="N5129" s="17">
        <v>25</v>
      </c>
      <c r="O5129" s="18">
        <v>18570</v>
      </c>
      <c r="P5129" s="18">
        <v>18609</v>
      </c>
      <c r="Q5129" s="15"/>
      <c r="R5129" t="s" s="16">
        <f>HYPERLINK("http://secrets.rutgers.edu:8080/data/asl-ftp/asllvd/demos/verify_start_end_handshape_annotations//test_auto_move//signs_mov_separ_signers/Brady_1125.mov","MOV")</f>
        <v>21</v>
      </c>
    </row>
    <row r="5130" s="2" customFormat="1" ht="13.5" customHeight="1">
      <c r="B5130" s="13"/>
      <c r="C5130" t="s" s="9">
        <v>30</v>
      </c>
      <c r="D5130" t="s" s="8">
        <v>1739</v>
      </c>
      <c r="E5130" t="s" s="9">
        <v>1739</v>
      </c>
      <c r="F5130" t="s" s="10">
        <v>63</v>
      </c>
      <c r="G5130" t="s" s="11">
        <v>63</v>
      </c>
      <c r="H5130" t="s" s="10">
        <v>63</v>
      </c>
      <c r="I5130" t="s" s="11">
        <v>63</v>
      </c>
      <c r="J5130" t="s" s="11">
        <v>20</v>
      </c>
      <c r="K5130" s="15"/>
      <c r="L5130" t="s" s="16">
        <f>HYPERLINK("http://csr.bu.edu/ftp/asl/asllvd/demos/verify_start_end_handshape_annotations//test_auto_move//signs_mov_separ_signers/Brady_5209.mov","MOV")</f>
        <v>21</v>
      </c>
      <c r="M5130" t="s" s="10">
        <v>39</v>
      </c>
      <c r="N5130" s="17">
        <v>31</v>
      </c>
      <c r="O5130" s="18">
        <v>4342</v>
      </c>
      <c r="P5130" s="18">
        <v>4372</v>
      </c>
      <c r="Q5130" s="15"/>
      <c r="R5130" t="s" s="16">
        <f>HYPERLINK("http://secrets.rutgers.edu:8080/data/asl-ftp/asllvd/demos/verify_start_end_handshape_annotations//test_auto_move//signs_mov_separ_signers/Brady_5209.mov","MOV")</f>
        <v>21</v>
      </c>
    </row>
    <row r="5131" s="2" customFormat="1" ht="13.5" customHeight="1">
      <c r="B5131" t="s" s="8">
        <v>52</v>
      </c>
      <c r="C5131" t="s" s="9">
        <v>53</v>
      </c>
      <c r="D5131" t="s" s="8">
        <v>53</v>
      </c>
      <c r="E5131" t="s" s="9">
        <v>53</v>
      </c>
      <c r="F5131" t="s" s="10">
        <v>53</v>
      </c>
      <c r="G5131" t="s" s="11">
        <v>53</v>
      </c>
      <c r="H5131" t="s" s="10">
        <v>53</v>
      </c>
      <c r="I5131" t="s" s="11">
        <v>53</v>
      </c>
      <c r="J5131" t="s" s="11">
        <v>53</v>
      </c>
      <c r="K5131" t="s" s="12">
        <v>53</v>
      </c>
      <c r="L5131" t="s" s="12">
        <v>53</v>
      </c>
      <c r="M5131" t="s" s="10">
        <v>53</v>
      </c>
      <c r="N5131" t="s" s="11">
        <v>53</v>
      </c>
      <c r="O5131" t="s" s="8">
        <v>53</v>
      </c>
      <c r="P5131" t="s" s="8">
        <v>53</v>
      </c>
      <c r="Q5131" t="s" s="12">
        <v>53</v>
      </c>
      <c r="R5131" t="s" s="12">
        <v>53</v>
      </c>
    </row>
    <row r="5132" s="2" customFormat="1" ht="13.5" customHeight="1">
      <c r="B5132" s="13"/>
      <c r="C5132" t="s" s="9">
        <v>23</v>
      </c>
      <c r="D5132" t="s" s="8">
        <v>1739</v>
      </c>
      <c r="E5132" t="s" s="9">
        <v>1740</v>
      </c>
      <c r="F5132" t="s" s="10">
        <v>65</v>
      </c>
      <c r="G5132" s="14"/>
      <c r="H5132" t="s" s="10">
        <v>65</v>
      </c>
      <c r="I5132" s="14"/>
      <c r="J5132" t="s" s="11">
        <v>20</v>
      </c>
      <c r="K5132" s="15"/>
      <c r="L5132" t="s" s="16">
        <f>HYPERLINK("http://csr.bu.edu/ftp/asl/asllvd/demos/verify_start_end_handshape_annotations//test_auto_move//signs_mov_separ_signers/Tyler_15758.mov","MOV")</f>
        <v>21</v>
      </c>
      <c r="M5132" t="s" s="10">
        <v>26</v>
      </c>
      <c r="N5132" s="17">
        <v>40</v>
      </c>
      <c r="O5132" s="18">
        <v>4330</v>
      </c>
      <c r="P5132" s="18">
        <v>4382</v>
      </c>
      <c r="Q5132" s="15"/>
      <c r="R5132" t="s" s="16">
        <f>HYPERLINK("http://secrets.rutgers.edu:8080/data/asl-ftp/asllvd/demos/verify_start_end_handshape_annotations//test_auto_move//signs_mov_separ_signers/Tyler_15758.mov","MOV")</f>
        <v>21</v>
      </c>
    </row>
    <row r="5133" s="2" customFormat="1" ht="13.5" customHeight="1">
      <c r="B5133" s="13"/>
      <c r="C5133" t="s" s="9">
        <v>23</v>
      </c>
      <c r="D5133" t="s" s="8">
        <v>1739</v>
      </c>
      <c r="E5133" t="s" s="9">
        <v>1740</v>
      </c>
      <c r="F5133" t="s" s="10">
        <v>65</v>
      </c>
      <c r="G5133" s="14"/>
      <c r="H5133" t="s" s="10">
        <v>65</v>
      </c>
      <c r="I5133" s="14"/>
      <c r="J5133" t="s" s="11">
        <v>20</v>
      </c>
      <c r="K5133" s="15"/>
      <c r="L5133" t="s" s="16">
        <f>HYPERLINK("http://csr.bu.edu/ftp/asl/asllvd/demos/verify_start_end_handshape_annotations//test_auto_move//signs_mov_separ_signers/Tyler_15786.mov","MOV")</f>
        <v>21</v>
      </c>
      <c r="M5133" t="s" s="10">
        <v>92</v>
      </c>
      <c r="N5133" s="17">
        <v>45</v>
      </c>
      <c r="O5133" s="18">
        <v>2365</v>
      </c>
      <c r="P5133" s="18">
        <v>2410</v>
      </c>
      <c r="Q5133" s="15"/>
      <c r="R5133" t="s" s="16">
        <f>HYPERLINK("http://secrets.rutgers.edu:8080/data/asl-ftp/asllvd/demos/verify_start_end_handshape_annotations//test_auto_move//signs_mov_separ_signers/Tyler_15786.mov","MOV")</f>
        <v>21</v>
      </c>
    </row>
    <row r="5134" s="2" customFormat="1" ht="13.5" customHeight="1">
      <c r="B5134" s="13"/>
      <c r="C5134" t="s" s="9">
        <v>30</v>
      </c>
      <c r="D5134" t="s" s="8">
        <v>1739</v>
      </c>
      <c r="E5134" t="s" s="9">
        <v>1741</v>
      </c>
      <c r="F5134" t="s" s="10">
        <v>65</v>
      </c>
      <c r="G5134" s="14"/>
      <c r="H5134" t="s" s="10">
        <v>65</v>
      </c>
      <c r="I5134" s="14"/>
      <c r="J5134" t="s" s="11">
        <v>20</v>
      </c>
      <c r="K5134" t="s" s="16">
        <f>HYPERLINK("http://csr.bu.edu/ftp/asl/asllvd/demos/verify_start_end_handshape_annotations//test_auto_move//signs_mov/15758_15786_merged.mov","MOV")</f>
        <v>21</v>
      </c>
      <c r="L5134" t="s" s="16">
        <f>HYPERLINK("http://csr.bu.edu/ftp/asl/asllvd/demos/verify_start_end_handshape_annotations//test_auto_move//signs_mov_separ_signers/Brady_15758.mov","MOV")</f>
        <v>21</v>
      </c>
      <c r="M5134" t="s" s="10">
        <v>60</v>
      </c>
      <c r="N5134" s="17">
        <v>46</v>
      </c>
      <c r="O5134" s="18">
        <v>560</v>
      </c>
      <c r="P5134" s="18">
        <v>614</v>
      </c>
      <c r="Q5134" t="s" s="16">
        <f>HYPERLINK("http://secrets.rutgers.edu:8080/data/asl-ftp/asllvd/demos/verify_start_end_handshape_annotations//test_auto_move//signs_mov/15758_15786_merged.mov","MOV")</f>
        <v>21</v>
      </c>
      <c r="R5134" t="s" s="16">
        <f>HYPERLINK("http://secrets.rutgers.edu:8080/data/asl-ftp/asllvd/demos/verify_start_end_handshape_annotations//test_auto_move//signs_mov_separ_signers/Brady_15758.mov","MOV")</f>
        <v>21</v>
      </c>
    </row>
    <row r="5135" s="2" customFormat="1" ht="13.5" customHeight="1">
      <c r="B5135" s="13"/>
      <c r="C5135" t="s" s="9">
        <v>41</v>
      </c>
      <c r="D5135" t="s" s="8">
        <v>1739</v>
      </c>
      <c r="E5135" t="s" s="9">
        <v>1742</v>
      </c>
      <c r="F5135" t="s" s="10">
        <v>65</v>
      </c>
      <c r="G5135" s="14"/>
      <c r="H5135" t="s" s="10">
        <v>65</v>
      </c>
      <c r="I5135" s="14"/>
      <c r="J5135" t="s" s="11">
        <v>20</v>
      </c>
      <c r="K5135" s="15"/>
      <c r="L5135" t="s" s="16">
        <f>HYPERLINK("http://csr.bu.edu/ftp/asl/asllvd/demos/verify_start_end_handshape_annotations//test_auto_move//signs_mov_separ_signers/Lana_15758.mov","MOV")</f>
        <v>21</v>
      </c>
      <c r="M5135" t="s" s="10">
        <v>42</v>
      </c>
      <c r="N5135" s="17">
        <v>12</v>
      </c>
      <c r="O5135" s="18">
        <v>2732</v>
      </c>
      <c r="P5135" s="18">
        <v>2766</v>
      </c>
      <c r="Q5135" s="15"/>
      <c r="R5135" t="s" s="16">
        <f>HYPERLINK("http://secrets.rutgers.edu:8080/data/asl-ftp/asllvd/demos/verify_start_end_handshape_annotations//test_auto_move//signs_mov_separ_signers/Lana_15758.mov","MOV")</f>
        <v>21</v>
      </c>
    </row>
    <row r="5136" s="2" customFormat="1" ht="13.5" customHeight="1">
      <c r="B5136" s="13"/>
      <c r="C5136" t="s" s="9">
        <v>43</v>
      </c>
      <c r="D5136" t="s" s="8">
        <v>1739</v>
      </c>
      <c r="E5136" t="s" s="9">
        <v>1742</v>
      </c>
      <c r="F5136" t="s" s="10">
        <v>65</v>
      </c>
      <c r="G5136" s="14"/>
      <c r="H5136" t="s" s="10">
        <v>65</v>
      </c>
      <c r="I5136" s="14"/>
      <c r="J5136" t="s" s="11">
        <v>20</v>
      </c>
      <c r="K5136" s="15"/>
      <c r="L5136" t="s" s="16">
        <f>HYPERLINK("http://csr.bu.edu/ftp/asl/asllvd/demos/verify_start_end_handshape_annotations//test_auto_move//signs_mov_separ_signers/Dana_15758.mov","MOV")</f>
        <v>21</v>
      </c>
      <c r="M5136" t="s" s="10">
        <v>44</v>
      </c>
      <c r="N5136" s="17">
        <v>16</v>
      </c>
      <c r="O5136" s="18">
        <v>2649</v>
      </c>
      <c r="P5136" s="18">
        <v>2697</v>
      </c>
      <c r="Q5136" s="15"/>
      <c r="R5136" t="s" s="16">
        <f>HYPERLINK("http://secrets.rutgers.edu:8080/data/asl-ftp/asllvd/demos/verify_start_end_handshape_annotations//test_auto_move//signs_mov_separ_signers/Dana_15758.mov","MOV")</f>
        <v>21</v>
      </c>
    </row>
    <row r="5137" s="2" customFormat="1" ht="13.5" customHeight="1">
      <c r="B5137" t="s" s="8">
        <v>1743</v>
      </c>
      <c r="C5137" t="s" s="9">
        <v>14</v>
      </c>
      <c r="D5137" t="s" s="8">
        <v>14</v>
      </c>
      <c r="E5137" t="s" s="9">
        <v>14</v>
      </c>
      <c r="F5137" t="s" s="10">
        <v>14</v>
      </c>
      <c r="G5137" t="s" s="11">
        <v>14</v>
      </c>
      <c r="H5137" t="s" s="10">
        <v>14</v>
      </c>
      <c r="I5137" t="s" s="11">
        <v>14</v>
      </c>
      <c r="J5137" t="s" s="11">
        <v>14</v>
      </c>
      <c r="K5137" t="s" s="12">
        <v>14</v>
      </c>
      <c r="L5137" t="s" s="12">
        <v>14</v>
      </c>
      <c r="M5137" t="s" s="10">
        <v>14</v>
      </c>
      <c r="N5137" t="s" s="11">
        <v>14</v>
      </c>
      <c r="O5137" t="s" s="8">
        <v>14</v>
      </c>
      <c r="P5137" t="s" s="8">
        <v>14</v>
      </c>
      <c r="Q5137" t="s" s="12">
        <v>14</v>
      </c>
      <c r="R5137" t="s" s="12">
        <v>14</v>
      </c>
    </row>
    <row r="5138" s="2" customFormat="1" ht="13.5" customHeight="1">
      <c r="B5138" s="13"/>
      <c r="C5138" t="s" s="9">
        <v>16</v>
      </c>
      <c r="D5138" t="s" s="8">
        <v>1743</v>
      </c>
      <c r="E5138" t="s" s="9">
        <v>1743</v>
      </c>
      <c r="F5138" t="s" s="10">
        <v>73</v>
      </c>
      <c r="G5138" t="s" s="11">
        <v>73</v>
      </c>
      <c r="H5138" t="s" s="10">
        <v>73</v>
      </c>
      <c r="I5138" t="s" s="11">
        <v>73</v>
      </c>
      <c r="J5138" t="s" s="11">
        <v>20</v>
      </c>
      <c r="K5138" s="15"/>
      <c r="L5138" t="s" s="16">
        <f>HYPERLINK("http://csr.bu.edu/ftp/asl/asllvd/demos/verify_start_end_handshape_annotations//test_auto_move//signs_mov_separ_signers/Liz_1127.mov","MOV")</f>
        <v>21</v>
      </c>
      <c r="M5138" t="s" s="10">
        <v>34</v>
      </c>
      <c r="N5138" s="17">
        <v>16</v>
      </c>
      <c r="O5138" s="18">
        <v>2326</v>
      </c>
      <c r="P5138" s="18">
        <v>2361</v>
      </c>
      <c r="Q5138" s="15"/>
      <c r="R5138" t="s" s="16">
        <f>HYPERLINK("http://secrets.rutgers.edu:8080/data/asl-ftp/asllvd/demos/verify_start_end_handshape_annotations//test_auto_move//signs_mov_separ_signers/Liz_1127.mov","MOV")</f>
        <v>21</v>
      </c>
    </row>
    <row r="5139" s="2" customFormat="1" ht="13.5" customHeight="1">
      <c r="B5139" s="13"/>
      <c r="C5139" t="s" s="9">
        <v>23</v>
      </c>
      <c r="D5139" t="s" s="8">
        <v>1743</v>
      </c>
      <c r="E5139" t="s" s="9">
        <v>1743</v>
      </c>
      <c r="F5139" t="s" s="10">
        <v>73</v>
      </c>
      <c r="G5139" t="s" s="11">
        <v>73</v>
      </c>
      <c r="H5139" t="s" s="10">
        <v>73</v>
      </c>
      <c r="I5139" t="s" s="11">
        <v>73</v>
      </c>
      <c r="J5139" t="s" s="11">
        <v>20</v>
      </c>
      <c r="K5139" t="s" s="16">
        <f>HYPERLINK("http://csr.bu.edu/ftp/asl/asllvd/demos/verify_start_end_handshape_annotations//test_auto_move//signs_mov/1127.mov","MOV")</f>
        <v>21</v>
      </c>
      <c r="L5139" t="s" s="16">
        <f>HYPERLINK("http://csr.bu.edu/ftp/asl/asllvd/demos/verify_start_end_handshape_annotations//test_auto_move//signs_mov_separ_signers/Tyler_1127.mov","MOV")</f>
        <v>21</v>
      </c>
      <c r="M5139" t="s" s="10">
        <v>92</v>
      </c>
      <c r="N5139" s="17">
        <v>45</v>
      </c>
      <c r="O5139" s="18">
        <v>3860</v>
      </c>
      <c r="P5139" s="18">
        <v>3895</v>
      </c>
      <c r="Q5139" t="s" s="16">
        <f>HYPERLINK("http://secrets.rutgers.edu:8080/data/asl-ftp/asllvd/demos/verify_start_end_handshape_annotations//test_auto_move//signs_mov/1127.mov","MOV")</f>
        <v>21</v>
      </c>
      <c r="R5139" t="s" s="16">
        <f>HYPERLINK("http://secrets.rutgers.edu:8080/data/asl-ftp/asllvd/demos/verify_start_end_handshape_annotations//test_auto_move//signs_mov_separ_signers/Tyler_1127.mov","MOV")</f>
        <v>21</v>
      </c>
    </row>
    <row r="5140" s="2" customFormat="1" ht="13.5" customHeight="1">
      <c r="B5140" s="13"/>
      <c r="C5140" t="s" s="9">
        <v>27</v>
      </c>
      <c r="D5140" t="s" s="8">
        <v>1743</v>
      </c>
      <c r="E5140" t="s" s="9">
        <v>1743</v>
      </c>
      <c r="F5140" t="s" s="10">
        <v>73</v>
      </c>
      <c r="G5140" t="s" s="11">
        <v>73</v>
      </c>
      <c r="H5140" t="s" s="10">
        <v>73</v>
      </c>
      <c r="I5140" t="s" s="11">
        <v>73</v>
      </c>
      <c r="J5140" t="s" s="11">
        <v>20</v>
      </c>
      <c r="K5140" s="15"/>
      <c r="L5140" t="s" s="16">
        <f>HYPERLINK("http://csr.bu.edu/ftp/asl/asllvd/demos/verify_start_end_handshape_annotations//test_auto_move//signs_mov_separ_signers/Naomi_1127.mov","MOV")</f>
        <v>21</v>
      </c>
      <c r="M5140" t="s" s="10">
        <v>38</v>
      </c>
      <c r="N5140" s="17">
        <v>13</v>
      </c>
      <c r="O5140" s="18">
        <v>6755</v>
      </c>
      <c r="P5140" s="18">
        <v>6787</v>
      </c>
      <c r="Q5140" s="15"/>
      <c r="R5140" t="s" s="16">
        <f>HYPERLINK("http://secrets.rutgers.edu:8080/data/asl-ftp/asllvd/demos/verify_start_end_handshape_annotations//test_auto_move//signs_mov_separ_signers/Naomi_1127.mov","MOV")</f>
        <v>21</v>
      </c>
    </row>
    <row r="5141" s="2" customFormat="1" ht="13.5" customHeight="1">
      <c r="B5141" s="13"/>
      <c r="C5141" t="s" s="9">
        <v>30</v>
      </c>
      <c r="D5141" t="s" s="8">
        <v>1743</v>
      </c>
      <c r="E5141" t="s" s="9">
        <v>1743</v>
      </c>
      <c r="F5141" t="s" s="10">
        <v>73</v>
      </c>
      <c r="G5141" t="s" s="11">
        <v>73</v>
      </c>
      <c r="H5141" t="s" s="10">
        <v>73</v>
      </c>
      <c r="I5141" t="s" s="11">
        <v>73</v>
      </c>
      <c r="J5141" t="s" s="11">
        <v>20</v>
      </c>
      <c r="K5141" s="15"/>
      <c r="L5141" t="s" s="16">
        <f>HYPERLINK("http://csr.bu.edu/ftp/asl/asllvd/demos/verify_start_end_handshape_annotations//test_auto_move//signs_mov_separ_signers/Brady_1127.mov","MOV")</f>
        <v>21</v>
      </c>
      <c r="M5141" t="s" s="10">
        <v>39</v>
      </c>
      <c r="N5141" s="17">
        <v>31</v>
      </c>
      <c r="O5141" s="18">
        <v>5096</v>
      </c>
      <c r="P5141" s="18">
        <v>5120</v>
      </c>
      <c r="Q5141" s="15"/>
      <c r="R5141" t="s" s="16">
        <f>HYPERLINK("http://secrets.rutgers.edu:8080/data/asl-ftp/asllvd/demos/verify_start_end_handshape_annotations//test_auto_move//signs_mov_separ_signers/Brady_1127.mov","MOV")</f>
        <v>21</v>
      </c>
    </row>
    <row r="5142" s="2" customFormat="1" ht="13.5" customHeight="1">
      <c r="B5142" t="s" s="8">
        <v>1744</v>
      </c>
      <c r="C5142" t="s" s="9">
        <v>14</v>
      </c>
      <c r="D5142" t="s" s="8">
        <v>14</v>
      </c>
      <c r="E5142" t="s" s="9">
        <v>14</v>
      </c>
      <c r="F5142" t="s" s="10">
        <v>14</v>
      </c>
      <c r="G5142" t="s" s="11">
        <v>14</v>
      </c>
      <c r="H5142" t="s" s="10">
        <v>14</v>
      </c>
      <c r="I5142" t="s" s="11">
        <v>14</v>
      </c>
      <c r="J5142" t="s" s="11">
        <v>14</v>
      </c>
      <c r="K5142" t="s" s="12">
        <v>14</v>
      </c>
      <c r="L5142" t="s" s="12">
        <v>14</v>
      </c>
      <c r="M5142" t="s" s="10">
        <v>14</v>
      </c>
      <c r="N5142" t="s" s="11">
        <v>14</v>
      </c>
      <c r="O5142" t="s" s="8">
        <v>14</v>
      </c>
      <c r="P5142" t="s" s="8">
        <v>14</v>
      </c>
      <c r="Q5142" t="s" s="12">
        <v>14</v>
      </c>
      <c r="R5142" t="s" s="12">
        <v>14</v>
      </c>
    </row>
    <row r="5143" s="2" customFormat="1" ht="13.5" customHeight="1">
      <c r="B5143" s="13"/>
      <c r="C5143" t="s" s="9">
        <v>16</v>
      </c>
      <c r="D5143" t="s" s="8">
        <v>1744</v>
      </c>
      <c r="E5143" t="s" s="9">
        <v>1744</v>
      </c>
      <c r="F5143" t="s" s="10">
        <v>255</v>
      </c>
      <c r="G5143" s="17">
        <v>1</v>
      </c>
      <c r="H5143" t="s" s="10">
        <v>255</v>
      </c>
      <c r="I5143" s="17">
        <v>1</v>
      </c>
      <c r="J5143" t="s" s="11">
        <v>20</v>
      </c>
      <c r="K5143" s="15"/>
      <c r="L5143" t="s" s="16">
        <f>HYPERLINK("http://csr.bu.edu/ftp/asl/asllvd/demos/verify_start_end_handshape_annotations//test_auto_move//signs_mov_separ_signers/Liz_1130.mov","MOV")</f>
        <v>21</v>
      </c>
      <c r="M5143" t="s" s="10">
        <v>34</v>
      </c>
      <c r="N5143" s="17">
        <v>18</v>
      </c>
      <c r="O5143" s="18">
        <v>1241</v>
      </c>
      <c r="P5143" s="18">
        <v>1305</v>
      </c>
      <c r="Q5143" s="15"/>
      <c r="R5143" t="s" s="16">
        <f>HYPERLINK("http://secrets.rutgers.edu:8080/data/asl-ftp/asllvd/demos/verify_start_end_handshape_annotations//test_auto_move//signs_mov_separ_signers/Liz_1130.mov","MOV")</f>
        <v>21</v>
      </c>
    </row>
    <row r="5144" s="2" customFormat="1" ht="13.5" customHeight="1">
      <c r="B5144" s="13"/>
      <c r="C5144" t="s" s="9">
        <v>16</v>
      </c>
      <c r="D5144" t="s" s="8">
        <v>1744</v>
      </c>
      <c r="E5144" t="s" s="9">
        <v>1745</v>
      </c>
      <c r="F5144" t="s" s="10">
        <v>255</v>
      </c>
      <c r="G5144" s="17">
        <v>1</v>
      </c>
      <c r="H5144" t="s" s="10">
        <v>255</v>
      </c>
      <c r="I5144" s="17">
        <v>1</v>
      </c>
      <c r="J5144" t="s" s="11">
        <v>20</v>
      </c>
      <c r="K5144" s="15"/>
      <c r="L5144" t="s" s="16">
        <f>HYPERLINK("http://csr.bu.edu/ftp/asl/asllvd/demos/verify_start_end_handshape_annotations//test_auto_move//signs_mov_separ_signers/Liz_3653.mov","MOV")</f>
        <v>21</v>
      </c>
      <c r="M5144" t="s" s="10">
        <v>34</v>
      </c>
      <c r="N5144" s="17">
        <v>18</v>
      </c>
      <c r="O5144" s="18">
        <v>1476</v>
      </c>
      <c r="P5144" s="18">
        <v>1550</v>
      </c>
      <c r="Q5144" s="15"/>
      <c r="R5144" t="s" s="16">
        <f>HYPERLINK("http://secrets.rutgers.edu:8080/data/asl-ftp/asllvd/demos/verify_start_end_handshape_annotations//test_auto_move//signs_mov_separ_signers/Liz_3653.mov","MOV")</f>
        <v>21</v>
      </c>
    </row>
    <row r="5145" s="2" customFormat="1" ht="13.5" customHeight="1">
      <c r="B5145" s="13"/>
      <c r="C5145" t="s" s="9">
        <v>23</v>
      </c>
      <c r="D5145" t="s" s="8">
        <v>1744</v>
      </c>
      <c r="E5145" t="s" s="9">
        <v>1744</v>
      </c>
      <c r="F5145" t="s" s="10">
        <v>255</v>
      </c>
      <c r="G5145" s="17">
        <v>1</v>
      </c>
      <c r="H5145" t="s" s="10">
        <v>255</v>
      </c>
      <c r="I5145" s="17">
        <v>1</v>
      </c>
      <c r="J5145" t="s" s="11">
        <v>20</v>
      </c>
      <c r="K5145" s="15"/>
      <c r="L5145" t="s" s="16">
        <f>HYPERLINK("http://csr.bu.edu/ftp/asl/asllvd/demos/verify_start_end_handshape_annotations//test_auto_move//signs_mov_separ_signers/Tyler_1130.mov","MOV")</f>
        <v>21</v>
      </c>
      <c r="M5145" t="s" s="10">
        <v>92</v>
      </c>
      <c r="N5145" s="17">
        <v>45</v>
      </c>
      <c r="O5145" s="18">
        <v>5025</v>
      </c>
      <c r="P5145" s="18">
        <v>5046</v>
      </c>
      <c r="Q5145" s="15"/>
      <c r="R5145" t="s" s="16">
        <f>HYPERLINK("http://secrets.rutgers.edu:8080/data/asl-ftp/asllvd/demos/verify_start_end_handshape_annotations//test_auto_move//signs_mov_separ_signers/Tyler_1130.mov","MOV")</f>
        <v>21</v>
      </c>
    </row>
    <row r="5146" s="2" customFormat="1" ht="13.5" customHeight="1">
      <c r="B5146" s="13"/>
      <c r="C5146" t="s" s="9">
        <v>23</v>
      </c>
      <c r="D5146" t="s" s="8">
        <v>1744</v>
      </c>
      <c r="E5146" t="s" s="9">
        <v>1745</v>
      </c>
      <c r="F5146" t="s" s="10">
        <v>255</v>
      </c>
      <c r="G5146" s="17">
        <v>1</v>
      </c>
      <c r="H5146" t="s" s="10">
        <v>255</v>
      </c>
      <c r="I5146" s="17">
        <v>1</v>
      </c>
      <c r="J5146" t="s" s="11">
        <v>20</v>
      </c>
      <c r="K5146" t="s" s="16">
        <f>HYPERLINK("http://csr.bu.edu/ftp/asl/asllvd/demos/verify_start_end_handshape_annotations//test_auto_move//signs_mov/1130_3653_merged.mov","MOV")</f>
        <v>21</v>
      </c>
      <c r="L5146" t="s" s="16">
        <f>HYPERLINK("http://csr.bu.edu/ftp/asl/asllvd/demos/verify_start_end_handshape_annotations//test_auto_move//signs_mov_separ_signers/Tyler_3653.mov","MOV")</f>
        <v>21</v>
      </c>
      <c r="M5146" t="s" s="10">
        <v>92</v>
      </c>
      <c r="N5146" s="17">
        <v>46</v>
      </c>
      <c r="O5146" s="18">
        <v>262</v>
      </c>
      <c r="P5146" s="18">
        <v>292</v>
      </c>
      <c r="Q5146" t="s" s="16">
        <f>HYPERLINK("http://secrets.rutgers.edu:8080/data/asl-ftp/asllvd/demos/verify_start_end_handshape_annotations//test_auto_move//signs_mov/1130_3653_merged.mov","MOV")</f>
        <v>21</v>
      </c>
      <c r="R5146" t="s" s="16">
        <f>HYPERLINK("http://secrets.rutgers.edu:8080/data/asl-ftp/asllvd/demos/verify_start_end_handshape_annotations//test_auto_move//signs_mov_separ_signers/Tyler_3653.mov","MOV")</f>
        <v>21</v>
      </c>
    </row>
    <row r="5147" s="2" customFormat="1" ht="13.5" customHeight="1">
      <c r="B5147" s="13"/>
      <c r="C5147" t="s" s="9">
        <v>27</v>
      </c>
      <c r="D5147" t="s" s="8">
        <v>1744</v>
      </c>
      <c r="E5147" t="s" s="9">
        <v>1744</v>
      </c>
      <c r="F5147" t="s" s="10">
        <v>255</v>
      </c>
      <c r="G5147" s="17">
        <v>1</v>
      </c>
      <c r="H5147" t="s" s="10">
        <v>255</v>
      </c>
      <c r="I5147" s="17">
        <v>1</v>
      </c>
      <c r="J5147" t="s" s="11">
        <v>20</v>
      </c>
      <c r="K5147" s="15"/>
      <c r="L5147" t="s" s="16">
        <f>HYPERLINK("http://csr.bu.edu/ftp/asl/asllvd/demos/verify_start_end_handshape_annotations//test_auto_move//signs_mov_separ_signers/Naomi_1130.mov","MOV")</f>
        <v>21</v>
      </c>
      <c r="M5147" t="s" s="10">
        <v>38</v>
      </c>
      <c r="N5147" s="17">
        <v>13</v>
      </c>
      <c r="O5147" s="18">
        <v>7956</v>
      </c>
      <c r="P5147" s="18">
        <v>7978</v>
      </c>
      <c r="Q5147" s="15"/>
      <c r="R5147" t="s" s="16">
        <f>HYPERLINK("http://secrets.rutgers.edu:8080/data/asl-ftp/asllvd/demos/verify_start_end_handshape_annotations//test_auto_move//signs_mov_separ_signers/Naomi_1130.mov","MOV")</f>
        <v>21</v>
      </c>
    </row>
    <row r="5148" s="2" customFormat="1" ht="13.5" customHeight="1">
      <c r="B5148" s="13"/>
      <c r="C5148" t="s" s="9">
        <v>27</v>
      </c>
      <c r="D5148" t="s" s="8">
        <v>1744</v>
      </c>
      <c r="E5148" t="s" s="9">
        <v>1746</v>
      </c>
      <c r="F5148" t="s" s="10">
        <v>255</v>
      </c>
      <c r="G5148" s="17">
        <v>1</v>
      </c>
      <c r="H5148" t="s" s="10">
        <v>255</v>
      </c>
      <c r="I5148" s="17">
        <v>1</v>
      </c>
      <c r="J5148" t="s" s="11">
        <v>20</v>
      </c>
      <c r="K5148" s="15"/>
      <c r="L5148" t="s" s="16">
        <f>HYPERLINK("http://csr.bu.edu/ftp/asl/asllvd/demos/verify_start_end_handshape_annotations//test_auto_move//signs_mov_separ_signers/Naomi_3653.mov","MOV")</f>
        <v>21</v>
      </c>
      <c r="M5148" t="s" s="10">
        <v>38</v>
      </c>
      <c r="N5148" s="17">
        <v>14</v>
      </c>
      <c r="O5148" s="18">
        <v>332</v>
      </c>
      <c r="P5148" s="18">
        <v>363</v>
      </c>
      <c r="Q5148" s="15"/>
      <c r="R5148" t="s" s="16">
        <f>HYPERLINK("http://secrets.rutgers.edu:8080/data/asl-ftp/asllvd/demos/verify_start_end_handshape_annotations//test_auto_move//signs_mov_separ_signers/Naomi_3653.mov","MOV")</f>
        <v>21</v>
      </c>
    </row>
    <row r="5149" s="2" customFormat="1" ht="13.5" customHeight="1">
      <c r="B5149" s="13"/>
      <c r="C5149" t="s" s="9">
        <v>30</v>
      </c>
      <c r="D5149" t="s" s="8">
        <v>1744</v>
      </c>
      <c r="E5149" t="s" s="9">
        <v>1745</v>
      </c>
      <c r="F5149" t="s" s="10">
        <v>255</v>
      </c>
      <c r="G5149" s="17">
        <v>1</v>
      </c>
      <c r="H5149" t="s" s="10">
        <v>255</v>
      </c>
      <c r="I5149" s="17">
        <v>1</v>
      </c>
      <c r="J5149" t="s" s="11">
        <v>20</v>
      </c>
      <c r="K5149" s="15"/>
      <c r="L5149" t="s" s="16">
        <f>HYPERLINK("http://csr.bu.edu/ftp/asl/asllvd/demos/verify_start_end_handshape_annotations//test_auto_move//signs_mov_separ_signers/Brady_1130.mov","MOV")</f>
        <v>21</v>
      </c>
      <c r="M5149" t="s" s="10">
        <v>39</v>
      </c>
      <c r="N5149" s="17">
        <v>31</v>
      </c>
      <c r="O5149" s="18">
        <v>6076</v>
      </c>
      <c r="P5149" s="18">
        <v>6101</v>
      </c>
      <c r="Q5149" s="15"/>
      <c r="R5149" t="s" s="16">
        <f>HYPERLINK("http://secrets.rutgers.edu:8080/data/asl-ftp/asllvd/demos/verify_start_end_handshape_annotations//test_auto_move//signs_mov_separ_signers/Brady_1130.mov","MOV")</f>
        <v>21</v>
      </c>
    </row>
    <row r="5150" s="2" customFormat="1" ht="13.5" customHeight="1">
      <c r="B5150" t="s" s="8">
        <v>52</v>
      </c>
      <c r="C5150" t="s" s="9">
        <v>53</v>
      </c>
      <c r="D5150" t="s" s="8">
        <v>53</v>
      </c>
      <c r="E5150" t="s" s="9">
        <v>53</v>
      </c>
      <c r="F5150" t="s" s="10">
        <v>53</v>
      </c>
      <c r="G5150" t="s" s="11">
        <v>53</v>
      </c>
      <c r="H5150" t="s" s="10">
        <v>53</v>
      </c>
      <c r="I5150" t="s" s="11">
        <v>53</v>
      </c>
      <c r="J5150" t="s" s="11">
        <v>53</v>
      </c>
      <c r="K5150" t="s" s="12">
        <v>53</v>
      </c>
      <c r="L5150" t="s" s="12">
        <v>53</v>
      </c>
      <c r="M5150" t="s" s="10">
        <v>53</v>
      </c>
      <c r="N5150" t="s" s="11">
        <v>53</v>
      </c>
      <c r="O5150" t="s" s="8">
        <v>53</v>
      </c>
      <c r="P5150" t="s" s="8">
        <v>53</v>
      </c>
      <c r="Q5150" t="s" s="12">
        <v>53</v>
      </c>
      <c r="R5150" t="s" s="12">
        <v>53</v>
      </c>
    </row>
    <row r="5151" s="2" customFormat="1" ht="13.5" customHeight="1">
      <c r="B5151" s="13"/>
      <c r="C5151" t="s" s="9">
        <v>30</v>
      </c>
      <c r="D5151" t="s" s="8">
        <v>1744</v>
      </c>
      <c r="E5151" t="s" s="9">
        <v>1747</v>
      </c>
      <c r="F5151" t="s" s="10">
        <v>255</v>
      </c>
      <c r="G5151" s="17">
        <v>1</v>
      </c>
      <c r="H5151" t="s" s="10">
        <v>255</v>
      </c>
      <c r="I5151" s="17">
        <v>1</v>
      </c>
      <c r="J5151" t="s" s="11">
        <v>20</v>
      </c>
      <c r="K5151" t="s" s="16">
        <f>HYPERLINK("http://csr.bu.edu/ftp/asl/asllvd/demos/verify_start_end_handshape_annotations//test_auto_move//signs_mov/16380.mov","MOV")</f>
        <v>21</v>
      </c>
      <c r="L5151" t="s" s="16">
        <f>HYPERLINK("http://csr.bu.edu/ftp/asl/asllvd/demos/verify_start_end_handshape_annotations//test_auto_move//signs_mov_separ_signers/Brady_16380.mov","MOV")</f>
        <v>21</v>
      </c>
      <c r="M5151" t="s" s="10">
        <v>39</v>
      </c>
      <c r="N5151" s="17">
        <v>31</v>
      </c>
      <c r="O5151" s="18">
        <v>5839</v>
      </c>
      <c r="P5151" s="18">
        <v>5873</v>
      </c>
      <c r="Q5151" t="s" s="16">
        <f>HYPERLINK("http://secrets.rutgers.edu:8080/data/asl-ftp/asllvd/demos/verify_start_end_handshape_annotations//test_auto_move//signs_mov/16380.mov","MOV")</f>
        <v>21</v>
      </c>
      <c r="R5151" t="s" s="16">
        <f>HYPERLINK("http://secrets.rutgers.edu:8080/data/asl-ftp/asllvd/demos/verify_start_end_handshape_annotations//test_auto_move//signs_mov_separ_signers/Brady_16380.mov","MOV")</f>
        <v>21</v>
      </c>
    </row>
    <row r="5152" s="2" customFormat="1" ht="13.5" customHeight="1">
      <c r="B5152" t="s" s="8">
        <v>1748</v>
      </c>
      <c r="C5152" t="s" s="9">
        <v>14</v>
      </c>
      <c r="D5152" t="s" s="8">
        <v>14</v>
      </c>
      <c r="E5152" t="s" s="9">
        <v>14</v>
      </c>
      <c r="F5152" t="s" s="10">
        <v>14</v>
      </c>
      <c r="G5152" t="s" s="11">
        <v>14</v>
      </c>
      <c r="H5152" t="s" s="10">
        <v>14</v>
      </c>
      <c r="I5152" t="s" s="11">
        <v>14</v>
      </c>
      <c r="J5152" t="s" s="11">
        <v>14</v>
      </c>
      <c r="K5152" t="s" s="12">
        <v>14</v>
      </c>
      <c r="L5152" t="s" s="12">
        <v>14</v>
      </c>
      <c r="M5152" t="s" s="10">
        <v>14</v>
      </c>
      <c r="N5152" t="s" s="11">
        <v>14</v>
      </c>
      <c r="O5152" t="s" s="8">
        <v>14</v>
      </c>
      <c r="P5152" t="s" s="8">
        <v>14</v>
      </c>
      <c r="Q5152" t="s" s="12">
        <v>14</v>
      </c>
      <c r="R5152" t="s" s="12">
        <v>14</v>
      </c>
    </row>
    <row r="5153" s="2" customFormat="1" ht="13.5" customHeight="1">
      <c r="B5153" s="13"/>
      <c r="C5153" t="s" s="9">
        <v>16</v>
      </c>
      <c r="D5153" t="s" s="8">
        <v>1748</v>
      </c>
      <c r="E5153" t="s" s="9">
        <v>1748</v>
      </c>
      <c r="F5153" s="19">
        <v>1</v>
      </c>
      <c r="G5153" s="17">
        <v>1</v>
      </c>
      <c r="H5153" s="19">
        <v>1</v>
      </c>
      <c r="I5153" s="17">
        <v>1</v>
      </c>
      <c r="J5153" t="s" s="11">
        <v>20</v>
      </c>
      <c r="K5153" s="15"/>
      <c r="L5153" t="s" s="16">
        <f>HYPERLINK("http://csr.bu.edu/ftp/asl/asllvd/demos/verify_start_end_handshape_annotations//test_auto_move//signs_mov_separ_signers/Liz_1133.mov","MOV")</f>
        <v>21</v>
      </c>
      <c r="M5153" t="s" s="10">
        <v>34</v>
      </c>
      <c r="N5153" s="17">
        <v>18</v>
      </c>
      <c r="O5153" s="18">
        <v>2005</v>
      </c>
      <c r="P5153" s="18">
        <v>2045</v>
      </c>
      <c r="Q5153" s="15"/>
      <c r="R5153" t="s" s="16">
        <f>HYPERLINK("http://secrets.rutgers.edu:8080/data/asl-ftp/asllvd/demos/verify_start_end_handshape_annotations//test_auto_move//signs_mov_separ_signers/Liz_1133.mov","MOV")</f>
        <v>21</v>
      </c>
    </row>
    <row r="5154" s="2" customFormat="1" ht="13.5" customHeight="1">
      <c r="B5154" s="13"/>
      <c r="C5154" t="s" s="9">
        <v>16</v>
      </c>
      <c r="D5154" t="s" s="8">
        <v>1748</v>
      </c>
      <c r="E5154" t="s" s="9">
        <v>1748</v>
      </c>
      <c r="F5154" s="19">
        <v>1</v>
      </c>
      <c r="G5154" s="17">
        <v>1</v>
      </c>
      <c r="H5154" s="19">
        <v>1</v>
      </c>
      <c r="I5154" s="17">
        <v>1</v>
      </c>
      <c r="J5154" t="s" s="11">
        <v>20</v>
      </c>
      <c r="K5154" s="15"/>
      <c r="L5154" t="s" s="16">
        <f>HYPERLINK("http://csr.bu.edu/ftp/asl/asllvd/demos/verify_start_end_handshape_annotations//test_auto_move//signs_mov_separ_signers/Liz_3816.mov","MOV")</f>
        <v>21</v>
      </c>
      <c r="M5154" t="s" s="10">
        <v>59</v>
      </c>
      <c r="N5154" s="17">
        <v>39</v>
      </c>
      <c r="O5154" s="18">
        <v>2343</v>
      </c>
      <c r="P5154" s="18">
        <v>2377</v>
      </c>
      <c r="Q5154" s="15"/>
      <c r="R5154" t="s" s="16">
        <f>HYPERLINK("http://secrets.rutgers.edu:8080/data/asl-ftp/asllvd/demos/verify_start_end_handshape_annotations//test_auto_move//signs_mov_separ_signers/Liz_3816.mov","MOV")</f>
        <v>21</v>
      </c>
    </row>
    <row r="5155" s="2" customFormat="1" ht="13.5" customHeight="1">
      <c r="B5155" s="13"/>
      <c r="C5155" t="s" s="9">
        <v>23</v>
      </c>
      <c r="D5155" t="s" s="8">
        <v>1748</v>
      </c>
      <c r="E5155" t="s" s="9">
        <v>1748</v>
      </c>
      <c r="F5155" s="19">
        <v>1</v>
      </c>
      <c r="G5155" s="17">
        <v>1</v>
      </c>
      <c r="H5155" s="19">
        <v>1</v>
      </c>
      <c r="I5155" s="17">
        <v>1</v>
      </c>
      <c r="J5155" t="s" s="11">
        <v>20</v>
      </c>
      <c r="K5155" s="15"/>
      <c r="L5155" t="s" s="16">
        <f>HYPERLINK("http://csr.bu.edu/ftp/asl/asllvd/demos/verify_start_end_handshape_annotations//test_auto_move//signs_mov_separ_signers/Tyler_1133.mov","MOV")</f>
        <v>21</v>
      </c>
      <c r="M5155" t="s" s="10">
        <v>92</v>
      </c>
      <c r="N5155" s="17">
        <v>46</v>
      </c>
      <c r="O5155" s="18">
        <v>697</v>
      </c>
      <c r="P5155" s="18">
        <v>725</v>
      </c>
      <c r="Q5155" s="15"/>
      <c r="R5155" t="s" s="16">
        <f>HYPERLINK("http://secrets.rutgers.edu:8080/data/asl-ftp/asllvd/demos/verify_start_end_handshape_annotations//test_auto_move//signs_mov_separ_signers/Tyler_1133.mov","MOV")</f>
        <v>21</v>
      </c>
    </row>
    <row r="5156" s="2" customFormat="1" ht="13.5" customHeight="1">
      <c r="B5156" s="13"/>
      <c r="C5156" t="s" s="9">
        <v>27</v>
      </c>
      <c r="D5156" t="s" s="8">
        <v>1748</v>
      </c>
      <c r="E5156" t="s" s="9">
        <v>1748</v>
      </c>
      <c r="F5156" s="19">
        <v>1</v>
      </c>
      <c r="G5156" s="17">
        <v>1</v>
      </c>
      <c r="H5156" s="19">
        <v>1</v>
      </c>
      <c r="I5156" s="17">
        <v>1</v>
      </c>
      <c r="J5156" t="s" s="11">
        <v>20</v>
      </c>
      <c r="K5156" t="s" s="16">
        <f>HYPERLINK("http://csr.bu.edu/ftp/asl/asllvd/demos/verify_start_end_handshape_annotations//test_auto_move//signs_mov/1133_3816_merged.mov","MOV")</f>
        <v>21</v>
      </c>
      <c r="L5156" t="s" s="16">
        <f>HYPERLINK("http://csr.bu.edu/ftp/asl/asllvd/demos/verify_start_end_handshape_annotations//test_auto_move//signs_mov_separ_signers/Naomi_1133.mov","MOV")</f>
        <v>21</v>
      </c>
      <c r="M5156" t="s" s="10">
        <v>38</v>
      </c>
      <c r="N5156" s="17">
        <v>14</v>
      </c>
      <c r="O5156" s="18">
        <v>920</v>
      </c>
      <c r="P5156" s="18">
        <v>933</v>
      </c>
      <c r="Q5156" t="s" s="16">
        <f>HYPERLINK("http://secrets.rutgers.edu:8080/data/asl-ftp/asllvd/demos/verify_start_end_handshape_annotations//test_auto_move//signs_mov/1133_3816_merged.mov","MOV")</f>
        <v>21</v>
      </c>
      <c r="R5156" t="s" s="16">
        <f>HYPERLINK("http://secrets.rutgers.edu:8080/data/asl-ftp/asllvd/demos/verify_start_end_handshape_annotations//test_auto_move//signs_mov_separ_signers/Naomi_1133.mov","MOV")</f>
        <v>21</v>
      </c>
    </row>
    <row r="5157" s="2" customFormat="1" ht="13.5" customHeight="1">
      <c r="B5157" s="13"/>
      <c r="C5157" t="s" s="9">
        <v>30</v>
      </c>
      <c r="D5157" t="s" s="8">
        <v>1748</v>
      </c>
      <c r="E5157" t="s" s="9">
        <v>1748</v>
      </c>
      <c r="F5157" s="19">
        <v>1</v>
      </c>
      <c r="G5157" s="17">
        <v>1</v>
      </c>
      <c r="H5157" s="19">
        <v>1</v>
      </c>
      <c r="I5157" s="17">
        <v>1</v>
      </c>
      <c r="J5157" t="s" s="11">
        <v>20</v>
      </c>
      <c r="K5157" s="15"/>
      <c r="L5157" t="s" s="16">
        <f>HYPERLINK("http://csr.bu.edu/ftp/asl/asllvd/demos/verify_start_end_handshape_annotations//test_auto_move//signs_mov_separ_signers/Brady_1133.mov","MOV")</f>
        <v>21</v>
      </c>
      <c r="M5157" t="s" s="10">
        <v>39</v>
      </c>
      <c r="N5157" s="17">
        <v>31</v>
      </c>
      <c r="O5157" s="18">
        <v>6530</v>
      </c>
      <c r="P5157" s="18">
        <v>6545</v>
      </c>
      <c r="Q5157" s="15"/>
      <c r="R5157" t="s" s="16">
        <f>HYPERLINK("http://secrets.rutgers.edu:8080/data/asl-ftp/asllvd/demos/verify_start_end_handshape_annotations//test_auto_move//signs_mov_separ_signers/Brady_1133.mov","MOV")</f>
        <v>21</v>
      </c>
    </row>
    <row r="5158" s="2" customFormat="1" ht="13.5" customHeight="1">
      <c r="B5158" s="13"/>
      <c r="C5158" t="s" s="9">
        <v>41</v>
      </c>
      <c r="D5158" t="s" s="8">
        <v>1748</v>
      </c>
      <c r="E5158" t="s" s="9">
        <v>1748</v>
      </c>
      <c r="F5158" s="19">
        <v>1</v>
      </c>
      <c r="G5158" s="17">
        <v>1</v>
      </c>
      <c r="H5158" s="19">
        <v>1</v>
      </c>
      <c r="I5158" s="17">
        <v>1</v>
      </c>
      <c r="J5158" t="s" s="11">
        <v>20</v>
      </c>
      <c r="K5158" s="15"/>
      <c r="L5158" t="s" s="16">
        <f>HYPERLINK("http://csr.bu.edu/ftp/asl/asllvd/demos/verify_start_end_handshape_annotations//test_auto_move//signs_mov_separ_signers/Lana_1133.mov","MOV")</f>
        <v>21</v>
      </c>
      <c r="M5158" t="s" s="10">
        <v>42</v>
      </c>
      <c r="N5158" s="17">
        <v>12</v>
      </c>
      <c r="O5158" s="18">
        <v>1566</v>
      </c>
      <c r="P5158" s="18">
        <v>1580</v>
      </c>
      <c r="Q5158" s="15"/>
      <c r="R5158" t="s" s="16">
        <f>HYPERLINK("http://secrets.rutgers.edu:8080/data/asl-ftp/asllvd/demos/verify_start_end_handshape_annotations//test_auto_move//signs_mov_separ_signers/Lana_1133.mov","MOV")</f>
        <v>21</v>
      </c>
    </row>
    <row r="5159" s="2" customFormat="1" ht="13.5" customHeight="1">
      <c r="B5159" s="13"/>
      <c r="C5159" t="s" s="9">
        <v>43</v>
      </c>
      <c r="D5159" t="s" s="8">
        <v>1748</v>
      </c>
      <c r="E5159" t="s" s="9">
        <v>1748</v>
      </c>
      <c r="F5159" s="19">
        <v>1</v>
      </c>
      <c r="G5159" s="17">
        <v>1</v>
      </c>
      <c r="H5159" s="19">
        <v>1</v>
      </c>
      <c r="I5159" s="17">
        <v>1</v>
      </c>
      <c r="J5159" t="s" s="11">
        <v>20</v>
      </c>
      <c r="K5159" s="15"/>
      <c r="L5159" t="s" s="16">
        <f>HYPERLINK("http://csr.bu.edu/ftp/asl/asllvd/demos/verify_start_end_handshape_annotations//test_auto_move//signs_mov_separ_signers/Dana_1133.mov","MOV")</f>
        <v>21</v>
      </c>
      <c r="M5159" t="s" s="10">
        <v>44</v>
      </c>
      <c r="N5159" s="17">
        <v>16</v>
      </c>
      <c r="O5159" s="18">
        <v>1424</v>
      </c>
      <c r="P5159" s="18">
        <v>1461</v>
      </c>
      <c r="Q5159" s="15"/>
      <c r="R5159" t="s" s="16">
        <f>HYPERLINK("http://secrets.rutgers.edu:8080/data/asl-ftp/asllvd/demos/verify_start_end_handshape_annotations//test_auto_move//signs_mov_separ_signers/Dana_1133.mov","MOV")</f>
        <v>21</v>
      </c>
    </row>
    <row r="5160" s="2" customFormat="1" ht="13.5" customHeight="1">
      <c r="B5160" t="s" s="8">
        <v>1749</v>
      </c>
      <c r="C5160" t="s" s="9">
        <v>14</v>
      </c>
      <c r="D5160" t="s" s="8">
        <v>14</v>
      </c>
      <c r="E5160" t="s" s="9">
        <v>14</v>
      </c>
      <c r="F5160" t="s" s="10">
        <v>14</v>
      </c>
      <c r="G5160" t="s" s="11">
        <v>14</v>
      </c>
      <c r="H5160" t="s" s="10">
        <v>14</v>
      </c>
      <c r="I5160" t="s" s="11">
        <v>14</v>
      </c>
      <c r="J5160" t="s" s="11">
        <v>14</v>
      </c>
      <c r="K5160" t="s" s="12">
        <v>14</v>
      </c>
      <c r="L5160" t="s" s="12">
        <v>14</v>
      </c>
      <c r="M5160" t="s" s="10">
        <v>14</v>
      </c>
      <c r="N5160" t="s" s="11">
        <v>14</v>
      </c>
      <c r="O5160" t="s" s="8">
        <v>14</v>
      </c>
      <c r="P5160" t="s" s="8">
        <v>14</v>
      </c>
      <c r="Q5160" t="s" s="12">
        <v>14</v>
      </c>
      <c r="R5160" t="s" s="12">
        <v>14</v>
      </c>
    </row>
    <row r="5161" s="2" customFormat="1" ht="13.5" customHeight="1">
      <c r="B5161" s="13"/>
      <c r="C5161" t="s" s="9">
        <v>16</v>
      </c>
      <c r="D5161" t="s" s="8">
        <v>1749</v>
      </c>
      <c r="E5161" t="s" s="9">
        <v>1749</v>
      </c>
      <c r="F5161" t="s" s="10">
        <v>240</v>
      </c>
      <c r="G5161" s="14"/>
      <c r="H5161" t="s" s="10">
        <v>240</v>
      </c>
      <c r="I5161" s="14"/>
      <c r="J5161" t="s" s="11">
        <v>20</v>
      </c>
      <c r="K5161" s="15"/>
      <c r="L5161" t="s" s="16">
        <f>HYPERLINK("http://csr.bu.edu/ftp/asl/asllvd/demos/verify_start_end_handshape_annotations//test_auto_move//signs_mov_separ_signers/Liz_1135.mov","MOV")</f>
        <v>21</v>
      </c>
      <c r="M5161" t="s" s="10">
        <v>34</v>
      </c>
      <c r="N5161" s="17">
        <v>18</v>
      </c>
      <c r="O5161" s="18">
        <v>2470</v>
      </c>
      <c r="P5161" s="18">
        <v>2516</v>
      </c>
      <c r="Q5161" s="15"/>
      <c r="R5161" t="s" s="16">
        <f>HYPERLINK("http://secrets.rutgers.edu:8080/data/asl-ftp/asllvd/demos/verify_start_end_handshape_annotations//test_auto_move//signs_mov_separ_signers/Liz_1135.mov","MOV")</f>
        <v>21</v>
      </c>
    </row>
    <row r="5162" s="2" customFormat="1" ht="13.5" customHeight="1">
      <c r="B5162" s="13"/>
      <c r="C5162" t="s" s="9">
        <v>23</v>
      </c>
      <c r="D5162" t="s" s="8">
        <v>1749</v>
      </c>
      <c r="E5162" t="s" s="9">
        <v>1749</v>
      </c>
      <c r="F5162" t="s" s="10">
        <v>240</v>
      </c>
      <c r="G5162" s="14"/>
      <c r="H5162" t="s" s="10">
        <v>240</v>
      </c>
      <c r="I5162" s="14"/>
      <c r="J5162" t="s" s="11">
        <v>20</v>
      </c>
      <c r="K5162" s="15"/>
      <c r="L5162" t="s" s="16">
        <f>HYPERLINK("http://csr.bu.edu/ftp/asl/asllvd/demos/verify_start_end_handshape_annotations//test_auto_move//signs_mov_separ_signers/Tyler_1135.mov","MOV")</f>
        <v>21</v>
      </c>
      <c r="M5162" t="s" s="10">
        <v>92</v>
      </c>
      <c r="N5162" s="17">
        <v>46</v>
      </c>
      <c r="O5162" s="18">
        <v>1196</v>
      </c>
      <c r="P5162" s="18">
        <v>1227</v>
      </c>
      <c r="Q5162" s="15"/>
      <c r="R5162" t="s" s="16">
        <f>HYPERLINK("http://secrets.rutgers.edu:8080/data/asl-ftp/asllvd/demos/verify_start_end_handshape_annotations//test_auto_move//signs_mov_separ_signers/Tyler_1135.mov","MOV")</f>
        <v>21</v>
      </c>
    </row>
    <row r="5163" s="2" customFormat="1" ht="13.5" customHeight="1">
      <c r="B5163" s="13"/>
      <c r="C5163" t="s" s="9">
        <v>27</v>
      </c>
      <c r="D5163" t="s" s="8">
        <v>1749</v>
      </c>
      <c r="E5163" t="s" s="9">
        <v>1749</v>
      </c>
      <c r="F5163" t="s" s="10">
        <v>240</v>
      </c>
      <c r="G5163" s="14"/>
      <c r="H5163" t="s" s="10">
        <v>240</v>
      </c>
      <c r="I5163" s="14"/>
      <c r="J5163" t="s" s="11">
        <v>20</v>
      </c>
      <c r="K5163" t="s" s="16">
        <f>HYPERLINK("http://csr.bu.edu/ftp/asl/asllvd/demos/verify_start_end_handshape_annotations//test_auto_move//signs_mov/1135.mov","MOV")</f>
        <v>21</v>
      </c>
      <c r="L5163" t="s" s="16">
        <f>HYPERLINK("http://csr.bu.edu/ftp/asl/asllvd/demos/verify_start_end_handshape_annotations//test_auto_move//signs_mov_separ_signers/Naomi_1135.mov","MOV")</f>
        <v>21</v>
      </c>
      <c r="M5163" t="s" s="10">
        <v>38</v>
      </c>
      <c r="N5163" s="17">
        <v>14</v>
      </c>
      <c r="O5163" s="18">
        <v>1495</v>
      </c>
      <c r="P5163" s="18">
        <v>1520</v>
      </c>
      <c r="Q5163" t="s" s="16">
        <f>HYPERLINK("http://secrets.rutgers.edu:8080/data/asl-ftp/asllvd/demos/verify_start_end_handshape_annotations//test_auto_move//signs_mov/1135.mov","MOV")</f>
        <v>21</v>
      </c>
      <c r="R5163" t="s" s="16">
        <f>HYPERLINK("http://secrets.rutgers.edu:8080/data/asl-ftp/asllvd/demos/verify_start_end_handshape_annotations//test_auto_move//signs_mov_separ_signers/Naomi_1135.mov","MOV")</f>
        <v>21</v>
      </c>
    </row>
    <row r="5164" s="2" customFormat="1" ht="13.5" customHeight="1">
      <c r="B5164" s="13"/>
      <c r="C5164" t="s" s="9">
        <v>30</v>
      </c>
      <c r="D5164" t="s" s="8">
        <v>1749</v>
      </c>
      <c r="E5164" t="s" s="9">
        <v>1749</v>
      </c>
      <c r="F5164" t="s" s="10">
        <v>240</v>
      </c>
      <c r="G5164" s="14"/>
      <c r="H5164" t="s" s="10">
        <v>240</v>
      </c>
      <c r="I5164" s="14"/>
      <c r="J5164" t="s" s="11">
        <v>20</v>
      </c>
      <c r="K5164" s="15"/>
      <c r="L5164" t="s" s="16">
        <f>HYPERLINK("http://csr.bu.edu/ftp/asl/asllvd/demos/verify_start_end_handshape_annotations//test_auto_move//signs_mov_separ_signers/Brady_1135.mov","MOV")</f>
        <v>21</v>
      </c>
      <c r="M5164" t="s" s="10">
        <v>39</v>
      </c>
      <c r="N5164" s="17">
        <v>32</v>
      </c>
      <c r="O5164" s="18">
        <v>678</v>
      </c>
      <c r="P5164" s="18">
        <v>706</v>
      </c>
      <c r="Q5164" s="15"/>
      <c r="R5164" t="s" s="16">
        <f>HYPERLINK("http://secrets.rutgers.edu:8080/data/asl-ftp/asllvd/demos/verify_start_end_handshape_annotations//test_auto_move//signs_mov_separ_signers/Brady_1135.mov","MOV")</f>
        <v>21</v>
      </c>
    </row>
    <row r="5165" s="2" customFormat="1" ht="13.5" customHeight="1">
      <c r="B5165" s="13"/>
      <c r="C5165" t="s" s="9">
        <v>41</v>
      </c>
      <c r="D5165" t="s" s="8">
        <v>1749</v>
      </c>
      <c r="E5165" t="s" s="9">
        <v>1749</v>
      </c>
      <c r="F5165" t="s" s="10">
        <v>240</v>
      </c>
      <c r="G5165" s="14"/>
      <c r="H5165" t="s" s="10">
        <v>240</v>
      </c>
      <c r="I5165" s="14"/>
      <c r="J5165" t="s" s="11">
        <v>20</v>
      </c>
      <c r="K5165" s="15"/>
      <c r="L5165" t="s" s="16">
        <f>HYPERLINK("http://csr.bu.edu/ftp/asl/asllvd/demos/verify_start_end_handshape_annotations//test_auto_move//signs_mov_separ_signers/Lana_1135.mov","MOV")</f>
        <v>21</v>
      </c>
      <c r="M5165" t="s" s="10">
        <v>42</v>
      </c>
      <c r="N5165" s="17">
        <v>14</v>
      </c>
      <c r="O5165" s="18">
        <v>645</v>
      </c>
      <c r="P5165" s="18">
        <v>670</v>
      </c>
      <c r="Q5165" s="15"/>
      <c r="R5165" t="s" s="16">
        <f>HYPERLINK("http://secrets.rutgers.edu:8080/data/asl-ftp/asllvd/demos/verify_start_end_handshape_annotations//test_auto_move//signs_mov_separ_signers/Lana_1135.mov","MOV")</f>
        <v>21</v>
      </c>
    </row>
    <row r="5166" s="2" customFormat="1" ht="13.5" customHeight="1">
      <c r="B5166" s="13"/>
      <c r="C5166" t="s" s="9">
        <v>43</v>
      </c>
      <c r="D5166" t="s" s="8">
        <v>1749</v>
      </c>
      <c r="E5166" t="s" s="9">
        <v>1749</v>
      </c>
      <c r="F5166" t="s" s="10">
        <v>240</v>
      </c>
      <c r="G5166" s="14"/>
      <c r="H5166" t="s" s="10">
        <v>240</v>
      </c>
      <c r="I5166" s="14"/>
      <c r="J5166" t="s" s="11">
        <v>20</v>
      </c>
      <c r="K5166" s="15"/>
      <c r="L5166" t="s" s="16">
        <f>HYPERLINK("http://csr.bu.edu/ftp/asl/asllvd/demos/verify_start_end_handshape_annotations//test_auto_move//signs_mov_separ_signers/Dana_1135.mov","MOV")</f>
        <v>21</v>
      </c>
      <c r="M5166" t="s" s="10">
        <v>44</v>
      </c>
      <c r="N5166" s="17">
        <v>17</v>
      </c>
      <c r="O5166" s="18">
        <v>1039</v>
      </c>
      <c r="P5166" s="18">
        <v>1081</v>
      </c>
      <c r="Q5166" s="15"/>
      <c r="R5166" t="s" s="16">
        <f>HYPERLINK("http://secrets.rutgers.edu:8080/data/asl-ftp/asllvd/demos/verify_start_end_handshape_annotations//test_auto_move//signs_mov_separ_signers/Dana_1135.mov","MOV")</f>
        <v>21</v>
      </c>
    </row>
    <row r="5167" s="2" customFormat="1" ht="13.5" customHeight="1">
      <c r="B5167" t="s" s="8">
        <v>1750</v>
      </c>
      <c r="C5167" t="s" s="9">
        <v>14</v>
      </c>
      <c r="D5167" t="s" s="8">
        <v>14</v>
      </c>
      <c r="E5167" t="s" s="9">
        <v>14</v>
      </c>
      <c r="F5167" t="s" s="10">
        <v>14</v>
      </c>
      <c r="G5167" t="s" s="11">
        <v>14</v>
      </c>
      <c r="H5167" t="s" s="10">
        <v>14</v>
      </c>
      <c r="I5167" t="s" s="11">
        <v>14</v>
      </c>
      <c r="J5167" t="s" s="11">
        <v>14</v>
      </c>
      <c r="K5167" t="s" s="12">
        <v>14</v>
      </c>
      <c r="L5167" t="s" s="12">
        <v>14</v>
      </c>
      <c r="M5167" t="s" s="10">
        <v>14</v>
      </c>
      <c r="N5167" t="s" s="11">
        <v>14</v>
      </c>
      <c r="O5167" t="s" s="8">
        <v>14</v>
      </c>
      <c r="P5167" t="s" s="8">
        <v>14</v>
      </c>
      <c r="Q5167" t="s" s="12">
        <v>14</v>
      </c>
      <c r="R5167" t="s" s="12">
        <v>14</v>
      </c>
    </row>
    <row r="5168" s="2" customFormat="1" ht="13.5" customHeight="1">
      <c r="B5168" s="13"/>
      <c r="C5168" t="s" s="9">
        <v>16</v>
      </c>
      <c r="D5168" t="s" s="8">
        <v>1750</v>
      </c>
      <c r="E5168" t="s" s="9">
        <v>1750</v>
      </c>
      <c r="F5168" t="s" s="10">
        <v>230</v>
      </c>
      <c r="G5168" t="s" s="11">
        <v>230</v>
      </c>
      <c r="H5168" t="s" s="10">
        <v>230</v>
      </c>
      <c r="I5168" t="s" s="11">
        <v>230</v>
      </c>
      <c r="J5168" t="s" s="11">
        <v>20</v>
      </c>
      <c r="K5168" s="15"/>
      <c r="L5168" t="s" s="16">
        <f>HYPERLINK("http://csr.bu.edu/ftp/asl/asllvd/demos/verify_start_end_handshape_annotations//test_auto_move//signs_mov_separ_signers/Liz_1136.mov","MOV")</f>
        <v>21</v>
      </c>
      <c r="M5168" t="s" s="10">
        <v>34</v>
      </c>
      <c r="N5168" s="17">
        <v>18</v>
      </c>
      <c r="O5168" s="18">
        <v>2655</v>
      </c>
      <c r="P5168" s="18">
        <v>2692</v>
      </c>
      <c r="Q5168" s="15"/>
      <c r="R5168" t="s" s="16">
        <f>HYPERLINK("http://secrets.rutgers.edu:8080/data/asl-ftp/asllvd/demos/verify_start_end_handshape_annotations//test_auto_move//signs_mov_separ_signers/Liz_1136.mov","MOV")</f>
        <v>21</v>
      </c>
    </row>
    <row r="5169" s="2" customFormat="1" ht="13.5" customHeight="1">
      <c r="B5169" s="13"/>
      <c r="C5169" t="s" s="9">
        <v>23</v>
      </c>
      <c r="D5169" t="s" s="8">
        <v>1750</v>
      </c>
      <c r="E5169" t="s" s="9">
        <v>1750</v>
      </c>
      <c r="F5169" t="s" s="10">
        <v>230</v>
      </c>
      <c r="G5169" t="s" s="11">
        <v>230</v>
      </c>
      <c r="H5169" t="s" s="10">
        <v>230</v>
      </c>
      <c r="I5169" t="s" s="11">
        <v>230</v>
      </c>
      <c r="J5169" t="s" s="11">
        <v>20</v>
      </c>
      <c r="K5169" s="15"/>
      <c r="L5169" t="s" s="16">
        <f>HYPERLINK("http://csr.bu.edu/ftp/asl/asllvd/demos/verify_start_end_handshape_annotations//test_auto_move//signs_mov_separ_signers/Tyler_1136.mov","MOV")</f>
        <v>21</v>
      </c>
      <c r="M5169" t="s" s="10">
        <v>92</v>
      </c>
      <c r="N5169" s="17">
        <v>46</v>
      </c>
      <c r="O5169" s="18">
        <v>1435</v>
      </c>
      <c r="P5169" s="18">
        <v>1457</v>
      </c>
      <c r="Q5169" s="15"/>
      <c r="R5169" t="s" s="16">
        <f>HYPERLINK("http://secrets.rutgers.edu:8080/data/asl-ftp/asllvd/demos/verify_start_end_handshape_annotations//test_auto_move//signs_mov_separ_signers/Tyler_1136.mov","MOV")</f>
        <v>21</v>
      </c>
    </row>
    <row r="5170" s="2" customFormat="1" ht="13.5" customHeight="1">
      <c r="B5170" s="13"/>
      <c r="C5170" t="s" s="9">
        <v>27</v>
      </c>
      <c r="D5170" t="s" s="8">
        <v>1750</v>
      </c>
      <c r="E5170" t="s" s="9">
        <v>1750</v>
      </c>
      <c r="F5170" t="s" s="10">
        <v>230</v>
      </c>
      <c r="G5170" t="s" s="11">
        <v>230</v>
      </c>
      <c r="H5170" t="s" s="10">
        <v>230</v>
      </c>
      <c r="I5170" t="s" s="11">
        <v>230</v>
      </c>
      <c r="J5170" t="s" s="11">
        <v>20</v>
      </c>
      <c r="K5170" t="s" s="16">
        <f>HYPERLINK("http://csr.bu.edu/ftp/asl/asllvd/demos/verify_start_end_handshape_annotations//test_auto_move//signs_mov/1136.mov","MOV")</f>
        <v>21</v>
      </c>
      <c r="L5170" t="s" s="16">
        <f>HYPERLINK("http://csr.bu.edu/ftp/asl/asllvd/demos/verify_start_end_handshape_annotations//test_auto_move//signs_mov_separ_signers/Naomi_1136.mov","MOV")</f>
        <v>21</v>
      </c>
      <c r="M5170" t="s" s="10">
        <v>38</v>
      </c>
      <c r="N5170" s="17">
        <v>14</v>
      </c>
      <c r="O5170" s="18">
        <v>1750</v>
      </c>
      <c r="P5170" s="18">
        <v>1773</v>
      </c>
      <c r="Q5170" t="s" s="16">
        <f>HYPERLINK("http://secrets.rutgers.edu:8080/data/asl-ftp/asllvd/demos/verify_start_end_handshape_annotations//test_auto_move//signs_mov/1136.mov","MOV")</f>
        <v>21</v>
      </c>
      <c r="R5170" t="s" s="16">
        <f>HYPERLINK("http://secrets.rutgers.edu:8080/data/asl-ftp/asllvd/demos/verify_start_end_handshape_annotations//test_auto_move//signs_mov_separ_signers/Naomi_1136.mov","MOV")</f>
        <v>21</v>
      </c>
    </row>
    <row r="5171" s="2" customFormat="1" ht="13.5" customHeight="1">
      <c r="B5171" s="13"/>
      <c r="C5171" t="s" s="9">
        <v>30</v>
      </c>
      <c r="D5171" t="s" s="8">
        <v>1750</v>
      </c>
      <c r="E5171" t="s" s="9">
        <v>1750</v>
      </c>
      <c r="F5171" t="s" s="10">
        <v>230</v>
      </c>
      <c r="G5171" t="s" s="11">
        <v>230</v>
      </c>
      <c r="H5171" t="s" s="10">
        <v>230</v>
      </c>
      <c r="I5171" t="s" s="11">
        <v>230</v>
      </c>
      <c r="J5171" t="s" s="11">
        <v>20</v>
      </c>
      <c r="K5171" s="15"/>
      <c r="L5171" t="s" s="16">
        <f>HYPERLINK("http://csr.bu.edu/ftp/asl/asllvd/demos/verify_start_end_handshape_annotations//test_auto_move//signs_mov_separ_signers/Brady_1136.mov","MOV")</f>
        <v>21</v>
      </c>
      <c r="M5171" t="s" s="10">
        <v>39</v>
      </c>
      <c r="N5171" s="17">
        <v>31</v>
      </c>
      <c r="O5171" s="18">
        <v>6952</v>
      </c>
      <c r="P5171" s="18">
        <v>6972</v>
      </c>
      <c r="Q5171" s="15"/>
      <c r="R5171" t="s" s="16">
        <f>HYPERLINK("http://secrets.rutgers.edu:8080/data/asl-ftp/asllvd/demos/verify_start_end_handshape_annotations//test_auto_move//signs_mov_separ_signers/Brady_1136.mov","MOV")</f>
        <v>21</v>
      </c>
    </row>
    <row r="5172" s="2" customFormat="1" ht="13.5" customHeight="1">
      <c r="B5172" s="13"/>
      <c r="C5172" t="s" s="9">
        <v>41</v>
      </c>
      <c r="D5172" t="s" s="8">
        <v>1750</v>
      </c>
      <c r="E5172" t="s" s="9">
        <v>1750</v>
      </c>
      <c r="F5172" t="s" s="10">
        <v>230</v>
      </c>
      <c r="G5172" t="s" s="11">
        <v>230</v>
      </c>
      <c r="H5172" t="s" s="10">
        <v>230</v>
      </c>
      <c r="I5172" t="s" s="11">
        <v>230</v>
      </c>
      <c r="J5172" t="s" s="11">
        <v>20</v>
      </c>
      <c r="K5172" s="15"/>
      <c r="L5172" t="s" s="16">
        <f>HYPERLINK("http://csr.bu.edu/ftp/asl/asllvd/demos/verify_start_end_handshape_annotations//test_auto_move//signs_mov_separ_signers/Lana_1136.mov","MOV")</f>
        <v>21</v>
      </c>
      <c r="M5172" t="s" s="10">
        <v>42</v>
      </c>
      <c r="N5172" s="17">
        <v>12</v>
      </c>
      <c r="O5172" s="18">
        <v>1705</v>
      </c>
      <c r="P5172" s="18">
        <v>1722</v>
      </c>
      <c r="Q5172" s="15"/>
      <c r="R5172" t="s" s="16">
        <f>HYPERLINK("http://secrets.rutgers.edu:8080/data/asl-ftp/asllvd/demos/verify_start_end_handshape_annotations//test_auto_move//signs_mov_separ_signers/Lana_1136.mov","MOV")</f>
        <v>21</v>
      </c>
    </row>
    <row r="5173" s="2" customFormat="1" ht="13.5" customHeight="1">
      <c r="B5173" s="13"/>
      <c r="C5173" t="s" s="9">
        <v>43</v>
      </c>
      <c r="D5173" t="s" s="8">
        <v>1750</v>
      </c>
      <c r="E5173" t="s" s="9">
        <v>1751</v>
      </c>
      <c r="F5173" t="s" s="10">
        <v>230</v>
      </c>
      <c r="G5173" t="s" s="11">
        <v>230</v>
      </c>
      <c r="H5173" t="s" s="10">
        <v>230</v>
      </c>
      <c r="I5173" t="s" s="11">
        <v>230</v>
      </c>
      <c r="J5173" t="s" s="11">
        <v>20</v>
      </c>
      <c r="K5173" s="15"/>
      <c r="L5173" t="s" s="16">
        <f>HYPERLINK("http://csr.bu.edu/ftp/asl/asllvd/demos/verify_start_end_handshape_annotations//test_auto_move//signs_mov_separ_signers/Dana_1136.mov","MOV")</f>
        <v>21</v>
      </c>
      <c r="M5173" t="s" s="10">
        <v>44</v>
      </c>
      <c r="N5173" s="17">
        <v>16</v>
      </c>
      <c r="O5173" s="18">
        <v>1548</v>
      </c>
      <c r="P5173" s="18">
        <v>1604</v>
      </c>
      <c r="Q5173" s="15"/>
      <c r="R5173" t="s" s="16">
        <f>HYPERLINK("http://secrets.rutgers.edu:8080/data/asl-ftp/asllvd/demos/verify_start_end_handshape_annotations//test_auto_move//signs_mov_separ_signers/Dana_1136.mov","MOV")</f>
        <v>21</v>
      </c>
    </row>
    <row r="5174" s="2" customFormat="1" ht="13.5" customHeight="1">
      <c r="B5174" t="s" s="8">
        <v>1752</v>
      </c>
      <c r="C5174" t="s" s="9">
        <v>14</v>
      </c>
      <c r="D5174" t="s" s="8">
        <v>14</v>
      </c>
      <c r="E5174" t="s" s="9">
        <v>14</v>
      </c>
      <c r="F5174" t="s" s="10">
        <v>14</v>
      </c>
      <c r="G5174" t="s" s="11">
        <v>14</v>
      </c>
      <c r="H5174" t="s" s="10">
        <v>14</v>
      </c>
      <c r="I5174" t="s" s="11">
        <v>14</v>
      </c>
      <c r="J5174" t="s" s="11">
        <v>14</v>
      </c>
      <c r="K5174" t="s" s="12">
        <v>14</v>
      </c>
      <c r="L5174" t="s" s="12">
        <v>14</v>
      </c>
      <c r="M5174" t="s" s="10">
        <v>14</v>
      </c>
      <c r="N5174" t="s" s="11">
        <v>14</v>
      </c>
      <c r="O5174" t="s" s="8">
        <v>14</v>
      </c>
      <c r="P5174" t="s" s="8">
        <v>14</v>
      </c>
      <c r="Q5174" t="s" s="12">
        <v>14</v>
      </c>
      <c r="R5174" t="s" s="12">
        <v>14</v>
      </c>
    </row>
    <row r="5175" s="2" customFormat="1" ht="13.5" customHeight="1">
      <c r="B5175" s="13"/>
      <c r="C5175" t="s" s="9">
        <v>16</v>
      </c>
      <c r="D5175" t="s" s="8">
        <v>1752</v>
      </c>
      <c r="E5175" t="s" s="9">
        <v>1753</v>
      </c>
      <c r="F5175" t="s" s="10">
        <v>230</v>
      </c>
      <c r="G5175" t="s" s="11">
        <v>230</v>
      </c>
      <c r="H5175" t="s" s="10">
        <v>230</v>
      </c>
      <c r="I5175" t="s" s="11">
        <v>230</v>
      </c>
      <c r="J5175" t="s" s="11">
        <v>20</v>
      </c>
      <c r="K5175" s="15"/>
      <c r="L5175" t="s" s="16">
        <f>HYPERLINK("http://csr.bu.edu/ftp/asl/asllvd/demos/verify_start_end_handshape_annotations//test_auto_move//signs_mov_separ_signers/Liz_15419.mov","MOV")</f>
        <v>21</v>
      </c>
      <c r="M5175" t="s" s="10">
        <v>84</v>
      </c>
      <c r="N5175" s="17">
        <v>17</v>
      </c>
      <c r="O5175" s="18">
        <v>1136</v>
      </c>
      <c r="P5175" s="18">
        <v>1190</v>
      </c>
      <c r="Q5175" s="15"/>
      <c r="R5175" t="s" s="16">
        <f>HYPERLINK("http://secrets.rutgers.edu:8080/data/asl-ftp/asllvd/demos/verify_start_end_handshape_annotations//test_auto_move//signs_mov_separ_signers/Liz_15419.mov","MOV")</f>
        <v>21</v>
      </c>
    </row>
    <row r="5176" s="2" customFormat="1" ht="13.5" customHeight="1">
      <c r="B5176" s="13"/>
      <c r="C5176" t="s" s="9">
        <v>16</v>
      </c>
      <c r="D5176" t="s" s="8">
        <v>1752</v>
      </c>
      <c r="E5176" t="s" s="9">
        <v>1753</v>
      </c>
      <c r="F5176" t="s" s="10">
        <v>230</v>
      </c>
      <c r="G5176" t="s" s="11">
        <v>230</v>
      </c>
      <c r="H5176" t="s" s="10">
        <v>230</v>
      </c>
      <c r="I5176" t="s" s="11">
        <v>230</v>
      </c>
      <c r="J5176" t="s" s="11">
        <v>20</v>
      </c>
      <c r="K5176" s="15"/>
      <c r="L5176" t="s" s="16">
        <f>HYPERLINK("http://csr.bu.edu/ftp/asl/asllvd/demos/verify_start_end_handshape_annotations//test_auto_move//signs_mov_separ_signers/Liz_15434.mov","MOV")</f>
        <v>21</v>
      </c>
      <c r="M5176" t="s" s="10">
        <v>88</v>
      </c>
      <c r="N5176" s="17">
        <v>49</v>
      </c>
      <c r="O5176" s="18">
        <v>1440</v>
      </c>
      <c r="P5176" s="18">
        <v>1485</v>
      </c>
      <c r="Q5176" s="15"/>
      <c r="R5176" t="s" s="16">
        <f>HYPERLINK("http://secrets.rutgers.edu:8080/data/asl-ftp/asllvd/demos/verify_start_end_handshape_annotations//test_auto_move//signs_mov_separ_signers/Liz_15434.mov","MOV")</f>
        <v>21</v>
      </c>
    </row>
    <row r="5177" s="2" customFormat="1" ht="13.5" customHeight="1">
      <c r="B5177" s="13"/>
      <c r="C5177" t="s" s="9">
        <v>16</v>
      </c>
      <c r="D5177" t="s" s="8">
        <v>1752</v>
      </c>
      <c r="E5177" t="s" s="9">
        <v>1752</v>
      </c>
      <c r="F5177" t="s" s="10">
        <v>230</v>
      </c>
      <c r="G5177" t="s" s="11">
        <v>230</v>
      </c>
      <c r="H5177" t="s" s="10">
        <v>230</v>
      </c>
      <c r="I5177" t="s" s="11">
        <v>230</v>
      </c>
      <c r="J5177" t="s" s="11">
        <v>20</v>
      </c>
      <c r="K5177" s="15"/>
      <c r="L5177" t="s" s="16">
        <f>HYPERLINK("http://csr.bu.edu/ftp/asl/asllvd/demos/verify_start_end_handshape_annotations//test_auto_move//signs_mov_separ_signers/Liz_15443.mov","MOV")</f>
        <v>21</v>
      </c>
      <c r="M5177" t="s" s="10">
        <v>59</v>
      </c>
      <c r="N5177" s="17">
        <v>21</v>
      </c>
      <c r="O5177" s="18">
        <v>1067</v>
      </c>
      <c r="P5177" s="18">
        <v>1094</v>
      </c>
      <c r="Q5177" s="15"/>
      <c r="R5177" t="s" s="16">
        <f>HYPERLINK("http://secrets.rutgers.edu:8080/data/asl-ftp/asllvd/demos/verify_start_end_handshape_annotations//test_auto_move//signs_mov_separ_signers/Liz_15443.mov","MOV")</f>
        <v>21</v>
      </c>
    </row>
    <row r="5178" s="2" customFormat="1" ht="13.5" customHeight="1">
      <c r="B5178" s="13"/>
      <c r="C5178" t="s" s="9">
        <v>23</v>
      </c>
      <c r="D5178" t="s" s="8">
        <v>1752</v>
      </c>
      <c r="E5178" t="s" s="9">
        <v>1752</v>
      </c>
      <c r="F5178" t="s" s="10">
        <v>230</v>
      </c>
      <c r="G5178" t="s" s="11">
        <v>230</v>
      </c>
      <c r="H5178" t="s" s="10">
        <v>230</v>
      </c>
      <c r="I5178" t="s" s="11">
        <v>230</v>
      </c>
      <c r="J5178" t="s" s="11">
        <v>20</v>
      </c>
      <c r="K5178" s="15"/>
      <c r="L5178" t="s" s="16">
        <f>HYPERLINK("http://csr.bu.edu/ftp/asl/asllvd/demos/verify_start_end_handshape_annotations//test_auto_move//signs_mov_separ_signers/Tyler_15419.mov","MOV")</f>
        <v>21</v>
      </c>
      <c r="M5178" t="s" s="10">
        <v>125</v>
      </c>
      <c r="N5178" s="17">
        <v>16</v>
      </c>
      <c r="O5178" s="18">
        <v>1461</v>
      </c>
      <c r="P5178" s="18">
        <v>1490</v>
      </c>
      <c r="Q5178" s="15"/>
      <c r="R5178" t="s" s="16">
        <f>HYPERLINK("http://secrets.rutgers.edu:8080/data/asl-ftp/asllvd/demos/verify_start_end_handshape_annotations//test_auto_move//signs_mov_separ_signers/Tyler_15419.mov","MOV")</f>
        <v>21</v>
      </c>
    </row>
    <row r="5179" s="2" customFormat="1" ht="13.5" customHeight="1">
      <c r="B5179" s="13"/>
      <c r="C5179" t="s" s="9">
        <v>23</v>
      </c>
      <c r="D5179" t="s" s="8">
        <v>1752</v>
      </c>
      <c r="E5179" t="s" s="9">
        <v>1752</v>
      </c>
      <c r="F5179" t="s" s="10">
        <v>230</v>
      </c>
      <c r="G5179" t="s" s="11">
        <v>230</v>
      </c>
      <c r="H5179" t="s" s="10">
        <v>230</v>
      </c>
      <c r="I5179" t="s" s="11">
        <v>230</v>
      </c>
      <c r="J5179" t="s" s="11">
        <v>20</v>
      </c>
      <c r="K5179" s="15"/>
      <c r="L5179" t="s" s="16">
        <f>HYPERLINK("http://csr.bu.edu/ftp/asl/asllvd/demos/verify_start_end_handshape_annotations//test_auto_move//signs_mov_separ_signers/Tyler_15434.mov","MOV")</f>
        <v>21</v>
      </c>
      <c r="M5179" t="s" s="10">
        <v>92</v>
      </c>
      <c r="N5179" s="17">
        <v>46</v>
      </c>
      <c r="O5179" s="18">
        <v>1740</v>
      </c>
      <c r="P5179" s="18">
        <v>1765</v>
      </c>
      <c r="Q5179" s="15"/>
      <c r="R5179" t="s" s="16">
        <f>HYPERLINK("http://secrets.rutgers.edu:8080/data/asl-ftp/asllvd/demos/verify_start_end_handshape_annotations//test_auto_move//signs_mov_separ_signers/Tyler_15434.mov","MOV")</f>
        <v>21</v>
      </c>
    </row>
    <row r="5180" s="2" customFormat="1" ht="13.5" customHeight="1">
      <c r="B5180" s="13"/>
      <c r="C5180" t="s" s="9">
        <v>27</v>
      </c>
      <c r="D5180" t="s" s="8">
        <v>1752</v>
      </c>
      <c r="E5180" t="s" s="9">
        <v>1752</v>
      </c>
      <c r="F5180" t="s" s="10">
        <v>230</v>
      </c>
      <c r="G5180" t="s" s="11">
        <v>230</v>
      </c>
      <c r="H5180" t="s" s="10">
        <v>230</v>
      </c>
      <c r="I5180" t="s" s="11">
        <v>230</v>
      </c>
      <c r="J5180" t="s" s="11">
        <v>20</v>
      </c>
      <c r="K5180" t="s" s="16">
        <f>HYPERLINK("http://csr.bu.edu/ftp/asl/asllvd/demos/verify_start_end_handshape_annotations//test_auto_move//signs_mov/15419_15434_15443_15445_merged.mov","MOV")</f>
        <v>21</v>
      </c>
      <c r="L5180" t="s" s="16">
        <f>HYPERLINK("http://csr.bu.edu/ftp/asl/asllvd/demos/verify_start_end_handshape_annotations//test_auto_move//signs_mov_separ_signers/Naomi_15419.mov","MOV")</f>
        <v>21</v>
      </c>
      <c r="M5180" t="s" s="10">
        <v>86</v>
      </c>
      <c r="N5180" s="17">
        <v>17</v>
      </c>
      <c r="O5180" s="18">
        <v>1755</v>
      </c>
      <c r="P5180" s="18">
        <v>1777</v>
      </c>
      <c r="Q5180" t="s" s="16">
        <f>HYPERLINK("http://secrets.rutgers.edu:8080/data/asl-ftp/asllvd/demos/verify_start_end_handshape_annotations//test_auto_move//signs_mov/15419_15434_15443_15445_merged.mov","MOV")</f>
        <v>21</v>
      </c>
      <c r="R5180" t="s" s="16">
        <f>HYPERLINK("http://secrets.rutgers.edu:8080/data/asl-ftp/asllvd/demos/verify_start_end_handshape_annotations//test_auto_move//signs_mov_separ_signers/Naomi_15419.mov","MOV")</f>
        <v>21</v>
      </c>
    </row>
    <row r="5181" s="2" customFormat="1" ht="13.5" customHeight="1">
      <c r="B5181" s="13"/>
      <c r="C5181" t="s" s="9">
        <v>27</v>
      </c>
      <c r="D5181" t="s" s="8">
        <v>1752</v>
      </c>
      <c r="E5181" t="s" s="9">
        <v>1754</v>
      </c>
      <c r="F5181" t="s" s="10">
        <v>230</v>
      </c>
      <c r="G5181" t="s" s="11">
        <v>230</v>
      </c>
      <c r="H5181" t="s" s="10">
        <v>230</v>
      </c>
      <c r="I5181" t="s" s="11">
        <v>230</v>
      </c>
      <c r="J5181" t="s" s="11">
        <v>20</v>
      </c>
      <c r="K5181" s="15"/>
      <c r="L5181" t="s" s="16">
        <f>HYPERLINK("http://csr.bu.edu/ftp/asl/asllvd/demos/verify_start_end_handshape_annotations//test_auto_move//signs_mov_separ_signers/Naomi_15434.mov","MOV")</f>
        <v>21</v>
      </c>
      <c r="M5181" t="s" s="10">
        <v>38</v>
      </c>
      <c r="N5181" s="17">
        <v>14</v>
      </c>
      <c r="O5181" s="18">
        <v>2115</v>
      </c>
      <c r="P5181" s="18">
        <v>2158</v>
      </c>
      <c r="Q5181" s="15"/>
      <c r="R5181" t="s" s="16">
        <f>HYPERLINK("http://secrets.rutgers.edu:8080/data/asl-ftp/asllvd/demos/verify_start_end_handshape_annotations//test_auto_move//signs_mov_separ_signers/Naomi_15434.mov","MOV")</f>
        <v>21</v>
      </c>
    </row>
    <row r="5182" s="2" customFormat="1" ht="13.5" customHeight="1">
      <c r="B5182" s="13"/>
      <c r="C5182" t="s" s="9">
        <v>30</v>
      </c>
      <c r="D5182" t="s" s="8">
        <v>1752</v>
      </c>
      <c r="E5182" t="s" s="9">
        <v>1754</v>
      </c>
      <c r="F5182" t="s" s="10">
        <v>230</v>
      </c>
      <c r="G5182" t="s" s="11">
        <v>230</v>
      </c>
      <c r="H5182" t="s" s="10">
        <v>230</v>
      </c>
      <c r="I5182" t="s" s="11">
        <v>230</v>
      </c>
      <c r="J5182" t="s" s="11">
        <v>20</v>
      </c>
      <c r="K5182" s="15"/>
      <c r="L5182" t="s" s="16">
        <f>HYPERLINK("http://csr.bu.edu/ftp/asl/asllvd/demos/verify_start_end_handshape_annotations//test_auto_move//signs_mov_separ_signers/Brady_15419.mov","MOV")</f>
        <v>21</v>
      </c>
      <c r="M5182" t="s" s="10">
        <v>31</v>
      </c>
      <c r="N5182" s="17">
        <v>34</v>
      </c>
      <c r="O5182" s="18">
        <v>3220</v>
      </c>
      <c r="P5182" s="18">
        <v>3258</v>
      </c>
      <c r="Q5182" s="15"/>
      <c r="R5182" t="s" s="16">
        <f>HYPERLINK("http://secrets.rutgers.edu:8080/data/asl-ftp/asllvd/demos/verify_start_end_handshape_annotations//test_auto_move//signs_mov_separ_signers/Brady_15419.mov","MOV")</f>
        <v>21</v>
      </c>
    </row>
    <row r="5183" s="2" customFormat="1" ht="13.5" customHeight="1">
      <c r="B5183" s="13"/>
      <c r="C5183" t="s" s="9">
        <v>30</v>
      </c>
      <c r="D5183" t="s" s="8">
        <v>1752</v>
      </c>
      <c r="E5183" t="s" s="9">
        <v>1754</v>
      </c>
      <c r="F5183" t="s" s="10">
        <v>230</v>
      </c>
      <c r="G5183" t="s" s="11">
        <v>230</v>
      </c>
      <c r="H5183" t="s" s="10">
        <v>230</v>
      </c>
      <c r="I5183" t="s" s="11">
        <v>230</v>
      </c>
      <c r="J5183" t="s" s="11">
        <v>20</v>
      </c>
      <c r="K5183" s="15"/>
      <c r="L5183" t="s" s="16">
        <f>HYPERLINK("http://csr.bu.edu/ftp/asl/asllvd/demos/verify_start_end_handshape_annotations//test_auto_move//signs_mov_separ_signers/Brady_15434.mov","MOV")</f>
        <v>21</v>
      </c>
      <c r="M5183" t="s" s="10">
        <v>39</v>
      </c>
      <c r="N5183" s="17">
        <v>31</v>
      </c>
      <c r="O5183" s="18">
        <v>7260</v>
      </c>
      <c r="P5183" s="18">
        <v>7293</v>
      </c>
      <c r="Q5183" s="15"/>
      <c r="R5183" t="s" s="16">
        <f>HYPERLINK("http://secrets.rutgers.edu:8080/data/asl-ftp/asllvd/demos/verify_start_end_handshape_annotations//test_auto_move//signs_mov_separ_signers/Brady_15434.mov","MOV")</f>
        <v>21</v>
      </c>
    </row>
    <row r="5184" s="2" customFormat="1" ht="13.5" customHeight="1">
      <c r="B5184" s="13"/>
      <c r="C5184" t="s" s="9">
        <v>30</v>
      </c>
      <c r="D5184" t="s" s="8">
        <v>1752</v>
      </c>
      <c r="E5184" t="s" s="9">
        <v>1754</v>
      </c>
      <c r="F5184" t="s" s="10">
        <v>230</v>
      </c>
      <c r="G5184" t="s" s="11">
        <v>230</v>
      </c>
      <c r="H5184" t="s" s="10">
        <v>230</v>
      </c>
      <c r="I5184" t="s" s="11">
        <v>230</v>
      </c>
      <c r="J5184" t="s" s="11">
        <v>20</v>
      </c>
      <c r="K5184" s="15"/>
      <c r="L5184" t="s" s="16">
        <f>HYPERLINK("http://csr.bu.edu/ftp/asl/asllvd/demos/verify_start_end_handshape_annotations//test_auto_move//signs_mov_separ_signers/Brady_15443.mov","MOV")</f>
        <v>21</v>
      </c>
      <c r="M5184" t="s" s="10">
        <v>40</v>
      </c>
      <c r="N5184" s="17">
        <v>43</v>
      </c>
      <c r="O5184" s="18">
        <v>2459</v>
      </c>
      <c r="P5184" s="18">
        <v>2501</v>
      </c>
      <c r="Q5184" s="15"/>
      <c r="R5184" t="s" s="16">
        <f>HYPERLINK("http://secrets.rutgers.edu:8080/data/asl-ftp/asllvd/demos/verify_start_end_handshape_annotations//test_auto_move//signs_mov_separ_signers/Brady_15443.mov","MOV")</f>
        <v>21</v>
      </c>
    </row>
    <row r="5185" s="2" customFormat="1" ht="13.5" customHeight="1">
      <c r="B5185" s="13"/>
      <c r="C5185" t="s" s="9">
        <v>30</v>
      </c>
      <c r="D5185" t="s" s="8">
        <v>1752</v>
      </c>
      <c r="E5185" t="s" s="9">
        <v>1752</v>
      </c>
      <c r="F5185" t="s" s="10">
        <v>230</v>
      </c>
      <c r="G5185" t="s" s="11">
        <v>230</v>
      </c>
      <c r="H5185" t="s" s="10">
        <v>230</v>
      </c>
      <c r="I5185" t="s" s="11">
        <v>230</v>
      </c>
      <c r="J5185" t="s" s="11">
        <v>20</v>
      </c>
      <c r="K5185" s="15"/>
      <c r="L5185" t="s" s="16">
        <f>HYPERLINK("http://csr.bu.edu/ftp/asl/asllvd/demos/verify_start_end_handshape_annotations//test_auto_move//signs_mov_separ_signers/Brady_15445.mov","MOV")</f>
        <v>21</v>
      </c>
      <c r="M5185" t="s" s="10">
        <v>60</v>
      </c>
      <c r="N5185" s="17">
        <v>9</v>
      </c>
      <c r="O5185" s="18">
        <v>794</v>
      </c>
      <c r="P5185" s="18">
        <v>820</v>
      </c>
      <c r="Q5185" s="15"/>
      <c r="R5185" t="s" s="16">
        <f>HYPERLINK("http://secrets.rutgers.edu:8080/data/asl-ftp/asllvd/demos/verify_start_end_handshape_annotations//test_auto_move//signs_mov_separ_signers/Brady_15445.mov","MOV")</f>
        <v>21</v>
      </c>
    </row>
    <row r="5186" s="2" customFormat="1" ht="13.5" customHeight="1">
      <c r="B5186" t="s" s="8">
        <v>1755</v>
      </c>
      <c r="C5186" t="s" s="9">
        <v>14</v>
      </c>
      <c r="D5186" t="s" s="8">
        <v>14</v>
      </c>
      <c r="E5186" t="s" s="9">
        <v>14</v>
      </c>
      <c r="F5186" t="s" s="10">
        <v>14</v>
      </c>
      <c r="G5186" t="s" s="11">
        <v>14</v>
      </c>
      <c r="H5186" t="s" s="10">
        <v>14</v>
      </c>
      <c r="I5186" t="s" s="11">
        <v>14</v>
      </c>
      <c r="J5186" t="s" s="11">
        <v>14</v>
      </c>
      <c r="K5186" t="s" s="12">
        <v>14</v>
      </c>
      <c r="L5186" t="s" s="12">
        <v>14</v>
      </c>
      <c r="M5186" t="s" s="10">
        <v>14</v>
      </c>
      <c r="N5186" t="s" s="11">
        <v>14</v>
      </c>
      <c r="O5186" t="s" s="8">
        <v>14</v>
      </c>
      <c r="P5186" t="s" s="8">
        <v>14</v>
      </c>
      <c r="Q5186" t="s" s="12">
        <v>14</v>
      </c>
      <c r="R5186" t="s" s="12">
        <v>14</v>
      </c>
    </row>
    <row r="5187" s="2" customFormat="1" ht="13.5" customHeight="1">
      <c r="B5187" s="13"/>
      <c r="C5187" t="s" s="9">
        <v>16</v>
      </c>
      <c r="D5187" t="s" s="8">
        <v>1755</v>
      </c>
      <c r="E5187" t="s" s="9">
        <v>1756</v>
      </c>
      <c r="F5187" t="s" s="10">
        <v>230</v>
      </c>
      <c r="G5187" t="s" s="11">
        <v>230</v>
      </c>
      <c r="H5187" t="s" s="10">
        <v>230</v>
      </c>
      <c r="I5187" t="s" s="11">
        <v>230</v>
      </c>
      <c r="J5187" t="s" s="11">
        <v>20</v>
      </c>
      <c r="K5187" s="15"/>
      <c r="L5187" t="s" s="16">
        <f>HYPERLINK("http://csr.bu.edu/ftp/asl/asllvd/demos/verify_start_end_handshape_annotations//test_auto_move//signs_mov_separ_signers/Liz_15446.mov","MOV")</f>
        <v>21</v>
      </c>
      <c r="M5187" t="s" s="10">
        <v>34</v>
      </c>
      <c r="N5187" s="17">
        <v>18</v>
      </c>
      <c r="O5187" s="18">
        <v>3052</v>
      </c>
      <c r="P5187" s="18">
        <v>3110</v>
      </c>
      <c r="Q5187" s="15"/>
      <c r="R5187" t="s" s="16">
        <f>HYPERLINK("http://secrets.rutgers.edu:8080/data/asl-ftp/asllvd/demos/verify_start_end_handshape_annotations//test_auto_move//signs_mov_separ_signers/Liz_15446.mov","MOV")</f>
        <v>21</v>
      </c>
    </row>
    <row r="5188" s="2" customFormat="1" ht="13.5" customHeight="1">
      <c r="B5188" s="13"/>
      <c r="C5188" t="s" s="9">
        <v>16</v>
      </c>
      <c r="D5188" t="s" s="8">
        <v>1755</v>
      </c>
      <c r="E5188" t="s" s="9">
        <v>1756</v>
      </c>
      <c r="F5188" t="s" s="10">
        <v>230</v>
      </c>
      <c r="G5188" t="s" s="11">
        <v>230</v>
      </c>
      <c r="H5188" t="s" s="10">
        <v>230</v>
      </c>
      <c r="I5188" t="s" s="11">
        <v>230</v>
      </c>
      <c r="J5188" t="s" s="11">
        <v>20</v>
      </c>
      <c r="K5188" s="15"/>
      <c r="L5188" t="s" s="16">
        <f>HYPERLINK("http://csr.bu.edu/ftp/asl/asllvd/demos/verify_start_end_handshape_annotations//test_auto_move//signs_mov_separ_signers/Liz_15457.mov","MOV")</f>
        <v>21</v>
      </c>
      <c r="M5188" t="s" s="10">
        <v>88</v>
      </c>
      <c r="N5188" s="17">
        <v>49</v>
      </c>
      <c r="O5188" s="18">
        <v>1205</v>
      </c>
      <c r="P5188" s="18">
        <v>1250</v>
      </c>
      <c r="Q5188" s="15"/>
      <c r="R5188" t="s" s="16">
        <f>HYPERLINK("http://secrets.rutgers.edu:8080/data/asl-ftp/asllvd/demos/verify_start_end_handshape_annotations//test_auto_move//signs_mov_separ_signers/Liz_15457.mov","MOV")</f>
        <v>21</v>
      </c>
    </row>
    <row r="5189" s="2" customFormat="1" ht="13.5" customHeight="1">
      <c r="B5189" s="13"/>
      <c r="C5189" t="s" s="9">
        <v>30</v>
      </c>
      <c r="D5189" t="s" s="8">
        <v>1755</v>
      </c>
      <c r="E5189" t="s" s="9">
        <v>1756</v>
      </c>
      <c r="F5189" t="s" s="10">
        <v>230</v>
      </c>
      <c r="G5189" t="s" s="11">
        <v>230</v>
      </c>
      <c r="H5189" t="s" s="10">
        <v>230</v>
      </c>
      <c r="I5189" t="s" s="11">
        <v>230</v>
      </c>
      <c r="J5189" t="s" s="11">
        <v>20</v>
      </c>
      <c r="K5189" t="s" s="16">
        <f>HYPERLINK("http://csr.bu.edu/ftp/asl/asllvd/demos/verify_start_end_handshape_annotations//test_auto_move//signs_mov/15446_15457_merged.mov","MOV")</f>
        <v>21</v>
      </c>
      <c r="L5189" t="s" s="16">
        <f>HYPERLINK("http://csr.bu.edu/ftp/asl/asllvd/demos/verify_start_end_handshape_annotations//test_auto_move//signs_mov_separ_signers/Brady_15446.mov","MOV")</f>
        <v>21</v>
      </c>
      <c r="M5189" t="s" s="10">
        <v>40</v>
      </c>
      <c r="N5189" s="17">
        <v>43</v>
      </c>
      <c r="O5189" s="18">
        <v>2229</v>
      </c>
      <c r="P5189" s="18">
        <v>2264</v>
      </c>
      <c r="Q5189" t="s" s="16">
        <f>HYPERLINK("http://secrets.rutgers.edu:8080/data/asl-ftp/asllvd/demos/verify_start_end_handshape_annotations//test_auto_move//signs_mov/15446_15457_merged.mov","MOV")</f>
        <v>21</v>
      </c>
      <c r="R5189" t="s" s="16">
        <f>HYPERLINK("http://secrets.rutgers.edu:8080/data/asl-ftp/asllvd/demos/verify_start_end_handshape_annotations//test_auto_move//signs_mov_separ_signers/Brady_15446.mov","MOV")</f>
        <v>21</v>
      </c>
    </row>
    <row r="5190" s="2" customFormat="1" ht="13.5" customHeight="1">
      <c r="B5190" s="13"/>
      <c r="C5190" t="s" s="9">
        <v>41</v>
      </c>
      <c r="D5190" t="s" s="8">
        <v>1755</v>
      </c>
      <c r="E5190" t="s" s="9">
        <v>1756</v>
      </c>
      <c r="F5190" t="s" s="10">
        <v>230</v>
      </c>
      <c r="G5190" t="s" s="11">
        <v>230</v>
      </c>
      <c r="H5190" t="s" s="10">
        <v>230</v>
      </c>
      <c r="I5190" t="s" s="11">
        <v>230</v>
      </c>
      <c r="J5190" t="s" s="11">
        <v>20</v>
      </c>
      <c r="K5190" s="15"/>
      <c r="L5190" t="s" s="16">
        <f>HYPERLINK("http://csr.bu.edu/ftp/asl/asllvd/demos/verify_start_end_handshape_annotations//test_auto_move//signs_mov_separ_signers/Lana_15446.mov","MOV")</f>
        <v>21</v>
      </c>
      <c r="M5190" t="s" s="10">
        <v>42</v>
      </c>
      <c r="N5190" s="17">
        <v>22</v>
      </c>
      <c r="O5190" s="18">
        <v>206</v>
      </c>
      <c r="P5190" s="18">
        <v>238</v>
      </c>
      <c r="Q5190" s="15"/>
      <c r="R5190" t="s" s="16">
        <f>HYPERLINK("http://secrets.rutgers.edu:8080/data/asl-ftp/asllvd/demos/verify_start_end_handshape_annotations//test_auto_move//signs_mov_separ_signers/Lana_15446.mov","MOV")</f>
        <v>21</v>
      </c>
    </row>
    <row r="5191" s="2" customFormat="1" ht="13.5" customHeight="1">
      <c r="B5191" s="13"/>
      <c r="C5191" t="s" s="9">
        <v>43</v>
      </c>
      <c r="D5191" t="s" s="8">
        <v>1755</v>
      </c>
      <c r="E5191" t="s" s="9">
        <v>1756</v>
      </c>
      <c r="F5191" t="s" s="10">
        <v>230</v>
      </c>
      <c r="G5191" t="s" s="11">
        <v>230</v>
      </c>
      <c r="H5191" t="s" s="10">
        <v>230</v>
      </c>
      <c r="I5191" t="s" s="11">
        <v>230</v>
      </c>
      <c r="J5191" t="s" s="11">
        <v>20</v>
      </c>
      <c r="K5191" s="15"/>
      <c r="L5191" t="s" s="16">
        <f>HYPERLINK("http://csr.bu.edu/ftp/asl/asllvd/demos/verify_start_end_handshape_annotations//test_auto_move//signs_mov_separ_signers/Dana_15446.mov","MOV")</f>
        <v>21</v>
      </c>
      <c r="M5191" t="s" s="10">
        <v>44</v>
      </c>
      <c r="N5191" s="17">
        <v>25</v>
      </c>
      <c r="O5191" s="18">
        <v>160</v>
      </c>
      <c r="P5191" s="18">
        <v>220</v>
      </c>
      <c r="Q5191" s="15"/>
      <c r="R5191" t="s" s="16">
        <f>HYPERLINK("http://secrets.rutgers.edu:8080/data/asl-ftp/asllvd/demos/verify_start_end_handshape_annotations//test_auto_move//signs_mov_separ_signers/Dana_15446.mov","MOV")</f>
        <v>21</v>
      </c>
    </row>
    <row r="5192" s="2" customFormat="1" ht="13.5" customHeight="1">
      <c r="B5192" t="s" s="8">
        <v>52</v>
      </c>
      <c r="C5192" t="s" s="9">
        <v>53</v>
      </c>
      <c r="D5192" t="s" s="8">
        <v>53</v>
      </c>
      <c r="E5192" t="s" s="9">
        <v>53</v>
      </c>
      <c r="F5192" t="s" s="10">
        <v>53</v>
      </c>
      <c r="G5192" t="s" s="11">
        <v>53</v>
      </c>
      <c r="H5192" t="s" s="10">
        <v>53</v>
      </c>
      <c r="I5192" t="s" s="11">
        <v>53</v>
      </c>
      <c r="J5192" t="s" s="11">
        <v>53</v>
      </c>
      <c r="K5192" t="s" s="12">
        <v>53</v>
      </c>
      <c r="L5192" t="s" s="12">
        <v>53</v>
      </c>
      <c r="M5192" t="s" s="10">
        <v>53</v>
      </c>
      <c r="N5192" t="s" s="11">
        <v>53</v>
      </c>
      <c r="O5192" t="s" s="8">
        <v>53</v>
      </c>
      <c r="P5192" t="s" s="8">
        <v>53</v>
      </c>
      <c r="Q5192" t="s" s="12">
        <v>53</v>
      </c>
      <c r="R5192" t="s" s="12">
        <v>53</v>
      </c>
    </row>
    <row r="5193" s="2" customFormat="1" ht="13.5" customHeight="1">
      <c r="B5193" s="13"/>
      <c r="C5193" t="s" s="9">
        <v>16</v>
      </c>
      <c r="D5193" t="s" s="8">
        <v>1755</v>
      </c>
      <c r="E5193" t="s" s="9">
        <v>1757</v>
      </c>
      <c r="F5193" t="s" s="10">
        <v>230</v>
      </c>
      <c r="G5193" t="s" s="11">
        <v>230</v>
      </c>
      <c r="H5193" t="s" s="10">
        <v>230</v>
      </c>
      <c r="I5193" t="s" s="11">
        <v>230</v>
      </c>
      <c r="J5193" t="s" s="11">
        <v>20</v>
      </c>
      <c r="K5193" t="s" s="16">
        <f>HYPERLINK("http://csr.bu.edu/ftp/asl/asllvd/demos/verify_start_end_handshape_annotations//test_auto_move//signs_mov/15474.mov","MOV")</f>
        <v>21</v>
      </c>
      <c r="L5193" t="s" s="16">
        <f>HYPERLINK("http://csr.bu.edu/ftp/asl/asllvd/demos/verify_start_end_handshape_annotations//test_auto_move//signs_mov_separ_signers/Liz_15474.mov","MOV")</f>
        <v>21</v>
      </c>
      <c r="M5193" t="s" s="10">
        <v>88</v>
      </c>
      <c r="N5193" s="17">
        <v>49</v>
      </c>
      <c r="O5193" s="18">
        <v>1050</v>
      </c>
      <c r="P5193" s="18">
        <v>1080</v>
      </c>
      <c r="Q5193" t="s" s="16">
        <f>HYPERLINK("http://secrets.rutgers.edu:8080/data/asl-ftp/asllvd/demos/verify_start_end_handshape_annotations//test_auto_move//signs_mov/15474.mov","MOV")</f>
        <v>21</v>
      </c>
      <c r="R5193" t="s" s="16">
        <f>HYPERLINK("http://secrets.rutgers.edu:8080/data/asl-ftp/asllvd/demos/verify_start_end_handshape_annotations//test_auto_move//signs_mov_separ_signers/Liz_15474.mov","MOV")</f>
        <v>21</v>
      </c>
    </row>
    <row r="5194" s="2" customFormat="1" ht="13.5" customHeight="1">
      <c r="B5194" s="13"/>
      <c r="C5194" t="s" s="9">
        <v>30</v>
      </c>
      <c r="D5194" t="s" s="8">
        <v>1755</v>
      </c>
      <c r="E5194" t="s" s="9">
        <v>1757</v>
      </c>
      <c r="F5194" t="s" s="10">
        <v>230</v>
      </c>
      <c r="G5194" t="s" s="11">
        <v>230</v>
      </c>
      <c r="H5194" t="s" s="10">
        <v>230</v>
      </c>
      <c r="I5194" t="s" s="11">
        <v>230</v>
      </c>
      <c r="J5194" t="s" s="11">
        <v>20</v>
      </c>
      <c r="K5194" s="15"/>
      <c r="L5194" t="s" s="16">
        <f>HYPERLINK("http://csr.bu.edu/ftp/asl/asllvd/demos/verify_start_end_handshape_annotations//test_auto_move//signs_mov_separ_signers/Brady_15474.mov","MOV")</f>
        <v>21</v>
      </c>
      <c r="M5194" t="s" s="10">
        <v>40</v>
      </c>
      <c r="N5194" s="17">
        <v>43</v>
      </c>
      <c r="O5194" s="18">
        <v>2019</v>
      </c>
      <c r="P5194" s="18">
        <v>2045</v>
      </c>
      <c r="Q5194" s="15"/>
      <c r="R5194" t="s" s="16">
        <f>HYPERLINK("http://secrets.rutgers.edu:8080/data/asl-ftp/asllvd/demos/verify_start_end_handshape_annotations//test_auto_move//signs_mov_separ_signers/Brady_15474.mov","MOV")</f>
        <v>21</v>
      </c>
    </row>
    <row r="5195" s="2" customFormat="1" ht="13.5" customHeight="1">
      <c r="B5195" t="s" s="8">
        <v>1758</v>
      </c>
      <c r="C5195" t="s" s="9">
        <v>14</v>
      </c>
      <c r="D5195" t="s" s="8">
        <v>14</v>
      </c>
      <c r="E5195" t="s" s="9">
        <v>14</v>
      </c>
      <c r="F5195" t="s" s="10">
        <v>14</v>
      </c>
      <c r="G5195" t="s" s="11">
        <v>14</v>
      </c>
      <c r="H5195" t="s" s="10">
        <v>14</v>
      </c>
      <c r="I5195" t="s" s="11">
        <v>14</v>
      </c>
      <c r="J5195" t="s" s="11">
        <v>14</v>
      </c>
      <c r="K5195" t="s" s="12">
        <v>14</v>
      </c>
      <c r="L5195" t="s" s="12">
        <v>14</v>
      </c>
      <c r="M5195" t="s" s="10">
        <v>14</v>
      </c>
      <c r="N5195" t="s" s="11">
        <v>14</v>
      </c>
      <c r="O5195" t="s" s="8">
        <v>14</v>
      </c>
      <c r="P5195" t="s" s="8">
        <v>14</v>
      </c>
      <c r="Q5195" t="s" s="12">
        <v>14</v>
      </c>
      <c r="R5195" t="s" s="12">
        <v>14</v>
      </c>
    </row>
    <row r="5196" s="2" customFormat="1" ht="13.5" customHeight="1">
      <c r="B5196" s="13"/>
      <c r="C5196" t="s" s="9">
        <v>16</v>
      </c>
      <c r="D5196" t="s" s="8">
        <v>1758</v>
      </c>
      <c r="E5196" t="s" s="9">
        <v>1759</v>
      </c>
      <c r="F5196" t="s" s="10">
        <v>230</v>
      </c>
      <c r="G5196" t="s" s="11">
        <v>230</v>
      </c>
      <c r="H5196" t="s" s="10">
        <v>230</v>
      </c>
      <c r="I5196" t="s" s="11">
        <v>230</v>
      </c>
      <c r="J5196" t="s" s="11">
        <v>20</v>
      </c>
      <c r="K5196" t="s" s="16">
        <f>HYPERLINK("http://csr.bu.edu/ftp/asl/asllvd/demos/verify_start_end_handshape_annotations//test_auto_move//signs_mov/16011.mov","MOV")</f>
        <v>21</v>
      </c>
      <c r="L5196" t="s" s="16">
        <f>HYPERLINK("http://csr.bu.edu/ftp/asl/asllvd/demos/verify_start_end_handshape_annotations//test_auto_move//signs_mov_separ_signers/Liz_16011.mov","MOV")</f>
        <v>21</v>
      </c>
      <c r="M5196" t="s" s="10">
        <v>88</v>
      </c>
      <c r="N5196" s="17">
        <v>37</v>
      </c>
      <c r="O5196" s="18">
        <v>3590</v>
      </c>
      <c r="P5196" s="18">
        <v>3652</v>
      </c>
      <c r="Q5196" t="s" s="16">
        <f>HYPERLINK("http://secrets.rutgers.edu:8080/data/asl-ftp/asllvd/demos/verify_start_end_handshape_annotations//test_auto_move//signs_mov/16011.mov","MOV")</f>
        <v>21</v>
      </c>
      <c r="R5196" t="s" s="16">
        <f>HYPERLINK("http://secrets.rutgers.edu:8080/data/asl-ftp/asllvd/demos/verify_start_end_handshape_annotations//test_auto_move//signs_mov_separ_signers/Liz_16011.mov","MOV")</f>
        <v>21</v>
      </c>
    </row>
    <row r="5197" s="2" customFormat="1" ht="13.5" customHeight="1">
      <c r="B5197" s="13"/>
      <c r="C5197" t="s" s="9">
        <v>30</v>
      </c>
      <c r="D5197" t="s" s="8">
        <v>1758</v>
      </c>
      <c r="E5197" t="s" s="9">
        <v>1759</v>
      </c>
      <c r="F5197" t="s" s="10">
        <v>230</v>
      </c>
      <c r="G5197" t="s" s="11">
        <v>230</v>
      </c>
      <c r="H5197" t="s" s="10">
        <v>230</v>
      </c>
      <c r="I5197" t="s" s="11">
        <v>230</v>
      </c>
      <c r="J5197" t="s" s="11">
        <v>20</v>
      </c>
      <c r="K5197" s="15"/>
      <c r="L5197" t="s" s="16">
        <f>HYPERLINK("http://csr.bu.edu/ftp/asl/asllvd/demos/verify_start_end_handshape_annotations//test_auto_move//signs_mov_separ_signers/Brady_16011.mov","MOV")</f>
        <v>21</v>
      </c>
      <c r="M5197" t="s" s="10">
        <v>40</v>
      </c>
      <c r="N5197" s="17">
        <v>31</v>
      </c>
      <c r="O5197" s="18">
        <v>2064</v>
      </c>
      <c r="P5197" s="18">
        <v>2089</v>
      </c>
      <c r="Q5197" s="15"/>
      <c r="R5197" t="s" s="16">
        <f>HYPERLINK("http://secrets.rutgers.edu:8080/data/asl-ftp/asllvd/demos/verify_start_end_handshape_annotations//test_auto_move//signs_mov_separ_signers/Brady_16011.mov","MOV")</f>
        <v>21</v>
      </c>
    </row>
    <row r="5198" s="2" customFormat="1" ht="13.5" customHeight="1">
      <c r="B5198" t="s" s="8">
        <v>1760</v>
      </c>
      <c r="C5198" t="s" s="9">
        <v>14</v>
      </c>
      <c r="D5198" t="s" s="8">
        <v>14</v>
      </c>
      <c r="E5198" t="s" s="9">
        <v>14</v>
      </c>
      <c r="F5198" t="s" s="10">
        <v>14</v>
      </c>
      <c r="G5198" t="s" s="11">
        <v>14</v>
      </c>
      <c r="H5198" t="s" s="10">
        <v>14</v>
      </c>
      <c r="I5198" t="s" s="11">
        <v>14</v>
      </c>
      <c r="J5198" t="s" s="11">
        <v>14</v>
      </c>
      <c r="K5198" t="s" s="12">
        <v>14</v>
      </c>
      <c r="L5198" t="s" s="12">
        <v>14</v>
      </c>
      <c r="M5198" t="s" s="10">
        <v>14</v>
      </c>
      <c r="N5198" t="s" s="11">
        <v>14</v>
      </c>
      <c r="O5198" t="s" s="8">
        <v>14</v>
      </c>
      <c r="P5198" t="s" s="8">
        <v>14</v>
      </c>
      <c r="Q5198" t="s" s="12">
        <v>14</v>
      </c>
      <c r="R5198" t="s" s="12">
        <v>14</v>
      </c>
    </row>
    <row r="5199" s="2" customFormat="1" ht="13.5" customHeight="1">
      <c r="B5199" s="13"/>
      <c r="C5199" t="s" s="9">
        <v>16</v>
      </c>
      <c r="D5199" t="s" s="8">
        <v>1760</v>
      </c>
      <c r="E5199" t="s" s="9">
        <v>1761</v>
      </c>
      <c r="F5199" t="s" s="10">
        <v>72</v>
      </c>
      <c r="G5199" t="s" s="11">
        <v>72</v>
      </c>
      <c r="H5199" t="s" s="10">
        <v>72</v>
      </c>
      <c r="I5199" t="s" s="11">
        <v>72</v>
      </c>
      <c r="J5199" t="s" s="11">
        <v>20</v>
      </c>
      <c r="K5199" t="s" s="16">
        <f>HYPERLINK("http://csr.bu.edu/ftp/asl/asllvd/demos/verify_start_end_handshape_annotations//test_auto_move//signs_mov/1138.mov","MOV")</f>
        <v>21</v>
      </c>
      <c r="L5199" t="s" s="16">
        <f>HYPERLINK("http://csr.bu.edu/ftp/asl/asllvd/demos/verify_start_end_handshape_annotations//test_auto_move//signs_mov_separ_signers/Liz_1138.mov","MOV")</f>
        <v>21</v>
      </c>
      <c r="M5199" t="s" s="10">
        <v>34</v>
      </c>
      <c r="N5199" s="17">
        <v>18</v>
      </c>
      <c r="O5199" s="18">
        <v>3411</v>
      </c>
      <c r="P5199" s="18">
        <v>3525</v>
      </c>
      <c r="Q5199" t="s" s="16">
        <f>HYPERLINK("http://secrets.rutgers.edu:8080/data/asl-ftp/asllvd/demos/verify_start_end_handshape_annotations//test_auto_move//signs_mov/1138.mov","MOV")</f>
        <v>21</v>
      </c>
      <c r="R5199" t="s" s="16">
        <f>HYPERLINK("http://secrets.rutgers.edu:8080/data/asl-ftp/asllvd/demos/verify_start_end_handshape_annotations//test_auto_move//signs_mov_separ_signers/Liz_1138.mov","MOV")</f>
        <v>21</v>
      </c>
    </row>
    <row r="5200" s="2" customFormat="1" ht="13.5" customHeight="1">
      <c r="B5200" s="13"/>
      <c r="C5200" t="s" s="9">
        <v>30</v>
      </c>
      <c r="D5200" t="s" s="8">
        <v>1760</v>
      </c>
      <c r="E5200" t="s" s="9">
        <v>1761</v>
      </c>
      <c r="F5200" s="19">
        <v>5</v>
      </c>
      <c r="G5200" s="17">
        <v>5</v>
      </c>
      <c r="H5200" s="19">
        <v>5</v>
      </c>
      <c r="I5200" s="17">
        <v>5</v>
      </c>
      <c r="J5200" t="s" s="11">
        <v>20</v>
      </c>
      <c r="K5200" s="15"/>
      <c r="L5200" t="s" s="16">
        <f>HYPERLINK("http://csr.bu.edu/ftp/asl/asllvd/demos/verify_start_end_handshape_annotations//test_auto_move//signs_mov_separ_signers/Brady_1138.mov","MOV")</f>
        <v>21</v>
      </c>
      <c r="M5200" t="s" s="10">
        <v>39</v>
      </c>
      <c r="N5200" s="17">
        <v>32</v>
      </c>
      <c r="O5200" s="18">
        <v>1278</v>
      </c>
      <c r="P5200" s="18">
        <v>1340</v>
      </c>
      <c r="Q5200" s="15"/>
      <c r="R5200" t="s" s="16">
        <f>HYPERLINK("http://secrets.rutgers.edu:8080/data/asl-ftp/asllvd/demos/verify_start_end_handshape_annotations//test_auto_move//signs_mov_separ_signers/Brady_1138.mov","MOV")</f>
        <v>21</v>
      </c>
    </row>
    <row r="5201" s="2" customFormat="1" ht="13.5" customHeight="1">
      <c r="B5201" t="s" s="8">
        <v>52</v>
      </c>
      <c r="C5201" t="s" s="9">
        <v>53</v>
      </c>
      <c r="D5201" t="s" s="8">
        <v>53</v>
      </c>
      <c r="E5201" t="s" s="9">
        <v>53</v>
      </c>
      <c r="F5201" t="s" s="10">
        <v>53</v>
      </c>
      <c r="G5201" t="s" s="11">
        <v>53</v>
      </c>
      <c r="H5201" t="s" s="10">
        <v>53</v>
      </c>
      <c r="I5201" t="s" s="11">
        <v>53</v>
      </c>
      <c r="J5201" t="s" s="11">
        <v>53</v>
      </c>
      <c r="K5201" t="s" s="12">
        <v>53</v>
      </c>
      <c r="L5201" t="s" s="12">
        <v>53</v>
      </c>
      <c r="M5201" t="s" s="10">
        <v>53</v>
      </c>
      <c r="N5201" t="s" s="11">
        <v>53</v>
      </c>
      <c r="O5201" t="s" s="8">
        <v>53</v>
      </c>
      <c r="P5201" t="s" s="8">
        <v>53</v>
      </c>
      <c r="Q5201" t="s" s="12">
        <v>53</v>
      </c>
      <c r="R5201" t="s" s="12">
        <v>53</v>
      </c>
    </row>
    <row r="5202" s="2" customFormat="1" ht="13.5" customHeight="1">
      <c r="B5202" s="13"/>
      <c r="C5202" t="s" s="9">
        <v>27</v>
      </c>
      <c r="D5202" t="s" s="8">
        <v>1760</v>
      </c>
      <c r="E5202" t="s" s="9">
        <v>1762</v>
      </c>
      <c r="F5202" t="s" s="10">
        <v>72</v>
      </c>
      <c r="G5202" t="s" s="11">
        <v>68</v>
      </c>
      <c r="H5202" t="s" s="10">
        <v>72</v>
      </c>
      <c r="I5202" t="s" s="11">
        <v>68</v>
      </c>
      <c r="J5202" t="s" s="11">
        <v>20</v>
      </c>
      <c r="K5202" t="s" s="16">
        <f>HYPERLINK("http://csr.bu.edu/ftp/asl/asllvd/demos/verify_start_end_handshape_annotations//test_auto_move//signs_mov/5211.mov","MOV")</f>
        <v>21</v>
      </c>
      <c r="L5202" t="s" s="16">
        <f>HYPERLINK("http://csr.bu.edu/ftp/asl/asllvd/demos/verify_start_end_handshape_annotations//test_auto_move//signs_mov_separ_signers/Naomi_5211.mov","MOV")</f>
        <v>21</v>
      </c>
      <c r="M5202" t="s" s="10">
        <v>38</v>
      </c>
      <c r="N5202" s="17">
        <v>14</v>
      </c>
      <c r="O5202" s="18">
        <v>2856</v>
      </c>
      <c r="P5202" s="18">
        <v>2922</v>
      </c>
      <c r="Q5202" t="s" s="16">
        <f>HYPERLINK("http://secrets.rutgers.edu:8080/data/asl-ftp/asllvd/demos/verify_start_end_handshape_annotations//test_auto_move//signs_mov/5211.mov","MOV")</f>
        <v>21</v>
      </c>
      <c r="R5202" t="s" s="16">
        <f>HYPERLINK("http://secrets.rutgers.edu:8080/data/asl-ftp/asllvd/demos/verify_start_end_handshape_annotations//test_auto_move//signs_mov_separ_signers/Naomi_5211.mov","MOV")</f>
        <v>21</v>
      </c>
    </row>
    <row r="5203" s="2" customFormat="1" ht="13.5" customHeight="1">
      <c r="B5203" t="s" s="8">
        <v>1763</v>
      </c>
      <c r="C5203" t="s" s="9">
        <v>14</v>
      </c>
      <c r="D5203" t="s" s="8">
        <v>14</v>
      </c>
      <c r="E5203" t="s" s="9">
        <v>14</v>
      </c>
      <c r="F5203" t="s" s="10">
        <v>14</v>
      </c>
      <c r="G5203" t="s" s="11">
        <v>14</v>
      </c>
      <c r="H5203" t="s" s="10">
        <v>14</v>
      </c>
      <c r="I5203" t="s" s="11">
        <v>14</v>
      </c>
      <c r="J5203" t="s" s="11">
        <v>14</v>
      </c>
      <c r="K5203" t="s" s="12">
        <v>14</v>
      </c>
      <c r="L5203" t="s" s="12">
        <v>14</v>
      </c>
      <c r="M5203" t="s" s="10">
        <v>14</v>
      </c>
      <c r="N5203" t="s" s="11">
        <v>14</v>
      </c>
      <c r="O5203" t="s" s="8">
        <v>14</v>
      </c>
      <c r="P5203" t="s" s="8">
        <v>14</v>
      </c>
      <c r="Q5203" t="s" s="12">
        <v>14</v>
      </c>
      <c r="R5203" t="s" s="12">
        <v>14</v>
      </c>
    </row>
    <row r="5204" s="2" customFormat="1" ht="13.5" customHeight="1">
      <c r="B5204" s="13"/>
      <c r="C5204" t="s" s="9">
        <v>16</v>
      </c>
      <c r="D5204" t="s" s="8">
        <v>1763</v>
      </c>
      <c r="E5204" t="s" s="9">
        <v>1763</v>
      </c>
      <c r="F5204" t="s" s="10">
        <v>148</v>
      </c>
      <c r="G5204" t="s" s="11">
        <v>148</v>
      </c>
      <c r="H5204" t="s" s="10">
        <v>68</v>
      </c>
      <c r="I5204" t="s" s="11">
        <v>68</v>
      </c>
      <c r="J5204" t="s" s="11">
        <v>20</v>
      </c>
      <c r="K5204" s="15"/>
      <c r="L5204" t="s" s="16">
        <f>HYPERLINK("http://csr.bu.edu/ftp/asl/asllvd/demos/verify_start_end_handshape_annotations//test_auto_move//signs_mov_separ_signers/Liz_1139.mov","MOV")</f>
        <v>21</v>
      </c>
      <c r="M5204" t="s" s="10">
        <v>34</v>
      </c>
      <c r="N5204" s="17">
        <v>18</v>
      </c>
      <c r="O5204" s="18">
        <v>3646</v>
      </c>
      <c r="P5204" s="18">
        <v>3678</v>
      </c>
      <c r="Q5204" s="15"/>
      <c r="R5204" t="s" s="16">
        <f>HYPERLINK("http://secrets.rutgers.edu:8080/data/asl-ftp/asllvd/demos/verify_start_end_handshape_annotations//test_auto_move//signs_mov_separ_signers/Liz_1139.mov","MOV")</f>
        <v>21</v>
      </c>
    </row>
    <row r="5205" s="2" customFormat="1" ht="13.5" customHeight="1">
      <c r="B5205" s="13"/>
      <c r="C5205" t="s" s="9">
        <v>23</v>
      </c>
      <c r="D5205" t="s" s="8">
        <v>1763</v>
      </c>
      <c r="E5205" t="s" s="9">
        <v>1763</v>
      </c>
      <c r="F5205" t="s" s="10">
        <v>72</v>
      </c>
      <c r="G5205" t="s" s="11">
        <v>72</v>
      </c>
      <c r="H5205" s="19">
        <v>10</v>
      </c>
      <c r="I5205" s="17">
        <v>10</v>
      </c>
      <c r="J5205" t="s" s="11">
        <v>20</v>
      </c>
      <c r="K5205" s="15"/>
      <c r="L5205" t="s" s="16">
        <f>HYPERLINK("http://csr.bu.edu/ftp/asl/asllvd/demos/verify_start_end_handshape_annotations//test_auto_move//signs_mov_separ_signers/Tyler_1139.mov","MOV")</f>
        <v>21</v>
      </c>
      <c r="M5205" t="s" s="10">
        <v>92</v>
      </c>
      <c r="N5205" s="17">
        <v>46</v>
      </c>
      <c r="O5205" s="18">
        <v>2691</v>
      </c>
      <c r="P5205" s="18">
        <v>2720</v>
      </c>
      <c r="Q5205" s="15"/>
      <c r="R5205" t="s" s="16">
        <f>HYPERLINK("http://secrets.rutgers.edu:8080/data/asl-ftp/asllvd/demos/verify_start_end_handshape_annotations//test_auto_move//signs_mov_separ_signers/Tyler_1139.mov","MOV")</f>
        <v>21</v>
      </c>
    </row>
    <row r="5206" s="2" customFormat="1" ht="13.5" customHeight="1">
      <c r="B5206" s="13"/>
      <c r="C5206" t="s" s="9">
        <v>27</v>
      </c>
      <c r="D5206" t="s" s="8">
        <v>1763</v>
      </c>
      <c r="E5206" t="s" s="9">
        <v>1763</v>
      </c>
      <c r="F5206" s="19">
        <v>5</v>
      </c>
      <c r="G5206" s="17">
        <v>5</v>
      </c>
      <c r="H5206" t="s" s="10">
        <v>63</v>
      </c>
      <c r="I5206" t="s" s="11">
        <v>63</v>
      </c>
      <c r="J5206" t="s" s="11">
        <v>20</v>
      </c>
      <c r="K5206" t="s" s="16">
        <f>HYPERLINK("http://csr.bu.edu/ftp/asl/asllvd/demos/verify_start_end_handshape_annotations//test_auto_move//signs_mov/1139.mov","MOV")</f>
        <v>21</v>
      </c>
      <c r="L5206" t="s" s="16">
        <f>HYPERLINK("http://csr.bu.edu/ftp/asl/asllvd/demos/verify_start_end_handshape_annotations//test_auto_move//signs_mov_separ_signers/Naomi_1139.mov","MOV")</f>
        <v>21</v>
      </c>
      <c r="M5206" t="s" s="10">
        <v>38</v>
      </c>
      <c r="N5206" s="17">
        <v>14</v>
      </c>
      <c r="O5206" s="18">
        <v>4148</v>
      </c>
      <c r="P5206" s="18">
        <v>4182</v>
      </c>
      <c r="Q5206" t="s" s="16">
        <f>HYPERLINK("http://secrets.rutgers.edu:8080/data/asl-ftp/asllvd/demos/verify_start_end_handshape_annotations//test_auto_move//signs_mov/1139.mov","MOV")</f>
        <v>21</v>
      </c>
      <c r="R5206" t="s" s="16">
        <f>HYPERLINK("http://secrets.rutgers.edu:8080/data/asl-ftp/asllvd/demos/verify_start_end_handshape_annotations//test_auto_move//signs_mov_separ_signers/Naomi_1139.mov","MOV")</f>
        <v>21</v>
      </c>
    </row>
    <row r="5207" s="2" customFormat="1" ht="13.5" customHeight="1">
      <c r="B5207" s="13"/>
      <c r="C5207" t="s" s="9">
        <v>30</v>
      </c>
      <c r="D5207" t="s" s="8">
        <v>1763</v>
      </c>
      <c r="E5207" t="s" s="9">
        <v>1763</v>
      </c>
      <c r="F5207" s="19">
        <v>5</v>
      </c>
      <c r="G5207" s="17">
        <v>5</v>
      </c>
      <c r="H5207" t="s" s="10">
        <v>63</v>
      </c>
      <c r="I5207" s="17">
        <v>10</v>
      </c>
      <c r="J5207" t="s" s="11">
        <v>20</v>
      </c>
      <c r="K5207" s="15"/>
      <c r="L5207" t="s" s="16">
        <f>HYPERLINK("http://csr.bu.edu/ftp/asl/asllvd/demos/verify_start_end_handshape_annotations//test_auto_move//signs_mov_separ_signers/Brady_1139.mov","MOV")</f>
        <v>21</v>
      </c>
      <c r="M5207" t="s" s="10">
        <v>39</v>
      </c>
      <c r="N5207" s="17">
        <v>32</v>
      </c>
      <c r="O5207" s="18">
        <v>1712</v>
      </c>
      <c r="P5207" s="18">
        <v>1733</v>
      </c>
      <c r="Q5207" s="15"/>
      <c r="R5207" t="s" s="16">
        <f>HYPERLINK("http://secrets.rutgers.edu:8080/data/asl-ftp/asllvd/demos/verify_start_end_handshape_annotations//test_auto_move//signs_mov_separ_signers/Brady_1139.mov","MOV")</f>
        <v>21</v>
      </c>
    </row>
    <row r="5208" s="2" customFormat="1" ht="13.5" customHeight="1">
      <c r="B5208" s="13"/>
      <c r="C5208" t="s" s="9">
        <v>41</v>
      </c>
      <c r="D5208" t="s" s="8">
        <v>1763</v>
      </c>
      <c r="E5208" t="s" s="9">
        <v>1763</v>
      </c>
      <c r="F5208" t="s" s="10">
        <v>72</v>
      </c>
      <c r="G5208" t="s" s="11">
        <v>72</v>
      </c>
      <c r="H5208" s="19">
        <v>10</v>
      </c>
      <c r="I5208" s="17">
        <v>10</v>
      </c>
      <c r="J5208" t="s" s="11">
        <v>20</v>
      </c>
      <c r="K5208" s="15"/>
      <c r="L5208" t="s" s="16">
        <f>HYPERLINK("http://csr.bu.edu/ftp/asl/asllvd/demos/verify_start_end_handshape_annotations//test_auto_move//signs_mov_separ_signers/Lana_1139.mov","MOV")</f>
        <v>21</v>
      </c>
      <c r="M5208" t="s" s="10">
        <v>42</v>
      </c>
      <c r="N5208" s="17">
        <v>6</v>
      </c>
      <c r="O5208" s="18">
        <v>1819</v>
      </c>
      <c r="P5208" s="18">
        <v>1844</v>
      </c>
      <c r="Q5208" s="15"/>
      <c r="R5208" t="s" s="16">
        <f>HYPERLINK("http://secrets.rutgers.edu:8080/data/asl-ftp/asllvd/demos/verify_start_end_handshape_annotations//test_auto_move//signs_mov_separ_signers/Lana_1139.mov","MOV")</f>
        <v>21</v>
      </c>
    </row>
    <row r="5209" s="2" customFormat="1" ht="13.5" customHeight="1">
      <c r="B5209" s="13"/>
      <c r="C5209" t="s" s="9">
        <v>43</v>
      </c>
      <c r="D5209" t="s" s="8">
        <v>1763</v>
      </c>
      <c r="E5209" t="s" s="9">
        <v>1763</v>
      </c>
      <c r="F5209" s="19">
        <v>5</v>
      </c>
      <c r="G5209" s="17">
        <v>5</v>
      </c>
      <c r="H5209" s="19">
        <v>10</v>
      </c>
      <c r="I5209" s="17">
        <v>10</v>
      </c>
      <c r="J5209" t="s" s="11">
        <v>20</v>
      </c>
      <c r="K5209" s="15"/>
      <c r="L5209" t="s" s="16">
        <f>HYPERLINK("http://csr.bu.edu/ftp/asl/asllvd/demos/verify_start_end_handshape_annotations//test_auto_move//signs_mov_separ_signers/Dana_1139.mov","MOV")</f>
        <v>21</v>
      </c>
      <c r="M5209" t="s" s="10">
        <v>44</v>
      </c>
      <c r="N5209" s="17">
        <v>10</v>
      </c>
      <c r="O5209" s="18">
        <v>2113</v>
      </c>
      <c r="P5209" s="18">
        <v>2154</v>
      </c>
      <c r="Q5209" s="15"/>
      <c r="R5209" t="s" s="16">
        <f>HYPERLINK("http://secrets.rutgers.edu:8080/data/asl-ftp/asllvd/demos/verify_start_end_handshape_annotations//test_auto_move//signs_mov_separ_signers/Dana_1139.mov","MOV")</f>
        <v>21</v>
      </c>
    </row>
    <row r="5210" s="2" customFormat="1" ht="13.5" customHeight="1">
      <c r="B5210" t="s" s="8">
        <v>1764</v>
      </c>
      <c r="C5210" t="s" s="9">
        <v>14</v>
      </c>
      <c r="D5210" t="s" s="8">
        <v>14</v>
      </c>
      <c r="E5210" t="s" s="9">
        <v>14</v>
      </c>
      <c r="F5210" t="s" s="10">
        <v>14</v>
      </c>
      <c r="G5210" t="s" s="11">
        <v>14</v>
      </c>
      <c r="H5210" t="s" s="10">
        <v>14</v>
      </c>
      <c r="I5210" t="s" s="11">
        <v>14</v>
      </c>
      <c r="J5210" t="s" s="11">
        <v>14</v>
      </c>
      <c r="K5210" t="s" s="12">
        <v>14</v>
      </c>
      <c r="L5210" t="s" s="12">
        <v>14</v>
      </c>
      <c r="M5210" t="s" s="10">
        <v>14</v>
      </c>
      <c r="N5210" t="s" s="11">
        <v>14</v>
      </c>
      <c r="O5210" t="s" s="8">
        <v>14</v>
      </c>
      <c r="P5210" t="s" s="8">
        <v>14</v>
      </c>
      <c r="Q5210" t="s" s="12">
        <v>14</v>
      </c>
      <c r="R5210" t="s" s="12">
        <v>14</v>
      </c>
    </row>
    <row r="5211" s="2" customFormat="1" ht="13.5" customHeight="1">
      <c r="B5211" s="13"/>
      <c r="C5211" t="s" s="9">
        <v>16</v>
      </c>
      <c r="D5211" t="s" s="8">
        <v>1764</v>
      </c>
      <c r="E5211" t="s" s="9">
        <v>1765</v>
      </c>
      <c r="F5211" t="s" s="10">
        <v>73</v>
      </c>
      <c r="G5211" s="14"/>
      <c r="H5211" t="s" s="10">
        <v>73</v>
      </c>
      <c r="I5211" s="14"/>
      <c r="J5211" t="s" s="11">
        <v>20</v>
      </c>
      <c r="K5211" s="15"/>
      <c r="L5211" t="s" s="16">
        <f>HYPERLINK("http://csr.bu.edu/ftp/asl/asllvd/demos/verify_start_end_handshape_annotations//test_auto_move//signs_mov_separ_signers/Liz_1141.mov","MOV")</f>
        <v>21</v>
      </c>
      <c r="M5211" t="s" s="10">
        <v>34</v>
      </c>
      <c r="N5211" s="17">
        <v>19</v>
      </c>
      <c r="O5211" s="18">
        <v>547</v>
      </c>
      <c r="P5211" s="18">
        <v>576</v>
      </c>
      <c r="Q5211" s="15"/>
      <c r="R5211" t="s" s="16">
        <f>HYPERLINK("http://secrets.rutgers.edu:8080/data/asl-ftp/asllvd/demos/verify_start_end_handshape_annotations//test_auto_move//signs_mov_separ_signers/Liz_1141.mov","MOV")</f>
        <v>21</v>
      </c>
    </row>
    <row r="5212" s="2" customFormat="1" ht="13.5" customHeight="1">
      <c r="B5212" s="13"/>
      <c r="C5212" t="s" s="9">
        <v>23</v>
      </c>
      <c r="D5212" t="s" s="8">
        <v>1764</v>
      </c>
      <c r="E5212" t="s" s="9">
        <v>1766</v>
      </c>
      <c r="F5212" s="19">
        <v>5</v>
      </c>
      <c r="G5212" s="14"/>
      <c r="H5212" s="19">
        <v>5</v>
      </c>
      <c r="I5212" s="14"/>
      <c r="J5212" t="s" s="11">
        <v>20</v>
      </c>
      <c r="K5212" t="s" s="16">
        <f>HYPERLINK("http://csr.bu.edu/ftp/asl/asllvd/demos/verify_start_end_handshape_annotations//test_auto_move//signs_mov/1141.mov","MOV")</f>
        <v>21</v>
      </c>
      <c r="L5212" t="s" s="16">
        <f>HYPERLINK("http://csr.bu.edu/ftp/asl/asllvd/demos/verify_start_end_handshape_annotations//test_auto_move//signs_mov_separ_signers/Tyler_1141.mov","MOV")</f>
        <v>21</v>
      </c>
      <c r="M5212" t="s" s="10">
        <v>92</v>
      </c>
      <c r="N5212" s="17">
        <v>47</v>
      </c>
      <c r="O5212" s="18">
        <v>2585</v>
      </c>
      <c r="P5212" s="18">
        <v>2626</v>
      </c>
      <c r="Q5212" t="s" s="16">
        <f>HYPERLINK("http://secrets.rutgers.edu:8080/data/asl-ftp/asllvd/demos/verify_start_end_handshape_annotations//test_auto_move//signs_mov/1141.mov","MOV")</f>
        <v>21</v>
      </c>
      <c r="R5212" t="s" s="16">
        <f>HYPERLINK("http://secrets.rutgers.edu:8080/data/asl-ftp/asllvd/demos/verify_start_end_handshape_annotations//test_auto_move//signs_mov_separ_signers/Tyler_1141.mov","MOV")</f>
        <v>21</v>
      </c>
    </row>
    <row r="5213" s="2" customFormat="1" ht="13.5" customHeight="1">
      <c r="B5213" s="13"/>
      <c r="C5213" t="s" s="9">
        <v>27</v>
      </c>
      <c r="D5213" t="s" s="8">
        <v>1764</v>
      </c>
      <c r="E5213" t="s" s="9">
        <v>1765</v>
      </c>
      <c r="F5213" t="s" s="10">
        <v>73</v>
      </c>
      <c r="G5213" s="14"/>
      <c r="H5213" t="s" s="10">
        <v>73</v>
      </c>
      <c r="I5213" s="14"/>
      <c r="J5213" t="s" s="11">
        <v>20</v>
      </c>
      <c r="K5213" s="15"/>
      <c r="L5213" t="s" s="16">
        <f>HYPERLINK("http://csr.bu.edu/ftp/asl/asllvd/demos/verify_start_end_handshape_annotations//test_auto_move//signs_mov_separ_signers/Naomi_1141.mov","MOV")</f>
        <v>21</v>
      </c>
      <c r="M5213" t="s" s="10">
        <v>38</v>
      </c>
      <c r="N5213" s="17">
        <v>15</v>
      </c>
      <c r="O5213" s="18">
        <v>387</v>
      </c>
      <c r="P5213" s="18">
        <v>430</v>
      </c>
      <c r="Q5213" s="15"/>
      <c r="R5213" t="s" s="16">
        <f>HYPERLINK("http://secrets.rutgers.edu:8080/data/asl-ftp/asllvd/demos/verify_start_end_handshape_annotations//test_auto_move//signs_mov_separ_signers/Naomi_1141.mov","MOV")</f>
        <v>21</v>
      </c>
    </row>
    <row r="5214" s="2" customFormat="1" ht="13.5" customHeight="1">
      <c r="B5214" s="13"/>
      <c r="C5214" t="s" s="9">
        <v>30</v>
      </c>
      <c r="D5214" t="s" s="8">
        <v>1764</v>
      </c>
      <c r="E5214" t="s" s="9">
        <v>1765</v>
      </c>
      <c r="F5214" t="s" s="10">
        <v>73</v>
      </c>
      <c r="G5214" s="14"/>
      <c r="H5214" t="s" s="10">
        <v>73</v>
      </c>
      <c r="I5214" s="14"/>
      <c r="J5214" t="s" s="11">
        <v>20</v>
      </c>
      <c r="K5214" s="15"/>
      <c r="L5214" t="s" s="16">
        <f>HYPERLINK("http://csr.bu.edu/ftp/asl/asllvd/demos/verify_start_end_handshape_annotations//test_auto_move//signs_mov_separ_signers/Brady_1141.mov","MOV")</f>
        <v>21</v>
      </c>
      <c r="M5214" t="s" s="10">
        <v>39</v>
      </c>
      <c r="N5214" s="17">
        <v>32</v>
      </c>
      <c r="O5214" s="18">
        <v>2525</v>
      </c>
      <c r="P5214" s="18">
        <v>2552</v>
      </c>
      <c r="Q5214" s="15"/>
      <c r="R5214" t="s" s="16">
        <f>HYPERLINK("http://secrets.rutgers.edu:8080/data/asl-ftp/asllvd/demos/verify_start_end_handshape_annotations//test_auto_move//signs_mov_separ_signers/Brady_1141.mov","MOV")</f>
        <v>21</v>
      </c>
    </row>
    <row r="5215" s="2" customFormat="1" ht="13.5" customHeight="1">
      <c r="B5215" t="s" s="8">
        <v>1767</v>
      </c>
      <c r="C5215" t="s" s="9">
        <v>14</v>
      </c>
      <c r="D5215" t="s" s="8">
        <v>14</v>
      </c>
      <c r="E5215" t="s" s="9">
        <v>14</v>
      </c>
      <c r="F5215" t="s" s="10">
        <v>14</v>
      </c>
      <c r="G5215" t="s" s="11">
        <v>14</v>
      </c>
      <c r="H5215" t="s" s="10">
        <v>14</v>
      </c>
      <c r="I5215" t="s" s="11">
        <v>14</v>
      </c>
      <c r="J5215" t="s" s="11">
        <v>14</v>
      </c>
      <c r="K5215" t="s" s="12">
        <v>14</v>
      </c>
      <c r="L5215" t="s" s="12">
        <v>14</v>
      </c>
      <c r="M5215" t="s" s="10">
        <v>14</v>
      </c>
      <c r="N5215" t="s" s="11">
        <v>14</v>
      </c>
      <c r="O5215" t="s" s="8">
        <v>14</v>
      </c>
      <c r="P5215" t="s" s="8">
        <v>14</v>
      </c>
      <c r="Q5215" t="s" s="12">
        <v>14</v>
      </c>
      <c r="R5215" t="s" s="12">
        <v>14</v>
      </c>
    </row>
    <row r="5216" s="2" customFormat="1" ht="13.5" customHeight="1">
      <c r="B5216" s="13"/>
      <c r="C5216" t="s" s="9">
        <v>16</v>
      </c>
      <c r="D5216" t="s" s="8">
        <v>1767</v>
      </c>
      <c r="E5216" t="s" s="9">
        <v>1767</v>
      </c>
      <c r="F5216" t="s" s="10">
        <v>277</v>
      </c>
      <c r="G5216" t="s" s="11">
        <v>277</v>
      </c>
      <c r="H5216" s="19">
        <v>5</v>
      </c>
      <c r="I5216" s="17">
        <v>5</v>
      </c>
      <c r="J5216" t="s" s="11">
        <v>20</v>
      </c>
      <c r="K5216" s="15"/>
      <c r="L5216" t="s" s="16">
        <f>HYPERLINK("http://csr.bu.edu/ftp/asl/asllvd/demos/verify_start_end_handshape_annotations//test_auto_move//signs_mov_separ_signers/Liz_1142.mov","MOV")</f>
        <v>21</v>
      </c>
      <c r="M5216" t="s" s="10">
        <v>34</v>
      </c>
      <c r="N5216" s="17">
        <v>19</v>
      </c>
      <c r="O5216" s="18">
        <v>715</v>
      </c>
      <c r="P5216" s="18">
        <v>736</v>
      </c>
      <c r="Q5216" s="15"/>
      <c r="R5216" t="s" s="16">
        <f>HYPERLINK("http://secrets.rutgers.edu:8080/data/asl-ftp/asllvd/demos/verify_start_end_handshape_annotations//test_auto_move//signs_mov_separ_signers/Liz_1142.mov","MOV")</f>
        <v>21</v>
      </c>
    </row>
    <row r="5217" s="2" customFormat="1" ht="13.5" customHeight="1">
      <c r="B5217" s="13"/>
      <c r="C5217" t="s" s="9">
        <v>23</v>
      </c>
      <c r="D5217" t="s" s="8">
        <v>1767</v>
      </c>
      <c r="E5217" t="s" s="9">
        <v>1767</v>
      </c>
      <c r="F5217" t="s" s="10">
        <v>277</v>
      </c>
      <c r="G5217" t="s" s="11">
        <v>277</v>
      </c>
      <c r="H5217" s="19">
        <v>5</v>
      </c>
      <c r="I5217" s="17">
        <v>5</v>
      </c>
      <c r="J5217" t="s" s="11">
        <v>20</v>
      </c>
      <c r="K5217" t="s" s="16">
        <f>HYPERLINK("http://csr.bu.edu/ftp/asl/asllvd/demos/verify_start_end_handshape_annotations//test_auto_move//signs_mov/1142.mov","MOV")</f>
        <v>21</v>
      </c>
      <c r="L5217" t="s" s="16">
        <f>HYPERLINK("http://csr.bu.edu/ftp/asl/asllvd/demos/verify_start_end_handshape_annotations//test_auto_move//signs_mov_separ_signers/Tyler_1142.mov","MOV")</f>
        <v>21</v>
      </c>
      <c r="M5217" t="s" s="10">
        <v>92</v>
      </c>
      <c r="N5217" s="17">
        <v>47</v>
      </c>
      <c r="O5217" s="18">
        <v>2785</v>
      </c>
      <c r="P5217" s="18">
        <v>2810</v>
      </c>
      <c r="Q5217" t="s" s="16">
        <f>HYPERLINK("http://secrets.rutgers.edu:8080/data/asl-ftp/asllvd/demos/verify_start_end_handshape_annotations//test_auto_move//signs_mov/1142.mov","MOV")</f>
        <v>21</v>
      </c>
      <c r="R5217" t="s" s="16">
        <f>HYPERLINK("http://secrets.rutgers.edu:8080/data/asl-ftp/asllvd/demos/verify_start_end_handshape_annotations//test_auto_move//signs_mov_separ_signers/Tyler_1142.mov","MOV")</f>
        <v>21</v>
      </c>
    </row>
    <row r="5218" s="2" customFormat="1" ht="13.5" customHeight="1">
      <c r="B5218" s="13"/>
      <c r="C5218" t="s" s="9">
        <v>27</v>
      </c>
      <c r="D5218" t="s" s="8">
        <v>1767</v>
      </c>
      <c r="E5218" t="s" s="9">
        <v>1767</v>
      </c>
      <c r="F5218" t="s" s="10">
        <v>277</v>
      </c>
      <c r="G5218" t="s" s="11">
        <v>277</v>
      </c>
      <c r="H5218" s="19">
        <v>5</v>
      </c>
      <c r="I5218" s="17">
        <v>5</v>
      </c>
      <c r="J5218" t="s" s="11">
        <v>20</v>
      </c>
      <c r="K5218" s="15"/>
      <c r="L5218" t="s" s="16">
        <f>HYPERLINK("http://csr.bu.edu/ftp/asl/asllvd/demos/verify_start_end_handshape_annotations//test_auto_move//signs_mov_separ_signers/Naomi_1142.mov","MOV")</f>
        <v>21</v>
      </c>
      <c r="M5218" t="s" s="10">
        <v>38</v>
      </c>
      <c r="N5218" s="17">
        <v>15</v>
      </c>
      <c r="O5218" s="18">
        <v>703</v>
      </c>
      <c r="P5218" s="18">
        <v>725</v>
      </c>
      <c r="Q5218" s="15"/>
      <c r="R5218" t="s" s="16">
        <f>HYPERLINK("http://secrets.rutgers.edu:8080/data/asl-ftp/asllvd/demos/verify_start_end_handshape_annotations//test_auto_move//signs_mov_separ_signers/Naomi_1142.mov","MOV")</f>
        <v>21</v>
      </c>
    </row>
    <row r="5219" s="2" customFormat="1" ht="13.5" customHeight="1">
      <c r="B5219" s="13"/>
      <c r="C5219" t="s" s="9">
        <v>30</v>
      </c>
      <c r="D5219" t="s" s="8">
        <v>1767</v>
      </c>
      <c r="E5219" t="s" s="9">
        <v>1767</v>
      </c>
      <c r="F5219" s="19">
        <v>8</v>
      </c>
      <c r="G5219" s="17">
        <v>8</v>
      </c>
      <c r="H5219" t="s" s="10">
        <v>148</v>
      </c>
      <c r="I5219" t="s" s="11">
        <v>148</v>
      </c>
      <c r="J5219" t="s" s="11">
        <v>20</v>
      </c>
      <c r="K5219" s="15"/>
      <c r="L5219" t="s" s="16">
        <f>HYPERLINK("http://csr.bu.edu/ftp/asl/asllvd/demos/verify_start_end_handshape_annotations//test_auto_move//signs_mov_separ_signers/Brady_1142.mov","MOV")</f>
        <v>21</v>
      </c>
      <c r="M5219" t="s" s="10">
        <v>39</v>
      </c>
      <c r="N5219" s="17">
        <v>32</v>
      </c>
      <c r="O5219" s="18">
        <v>2713</v>
      </c>
      <c r="P5219" s="18">
        <v>2731</v>
      </c>
      <c r="Q5219" s="15"/>
      <c r="R5219" t="s" s="16">
        <f>HYPERLINK("http://secrets.rutgers.edu:8080/data/asl-ftp/asllvd/demos/verify_start_end_handshape_annotations//test_auto_move//signs_mov_separ_signers/Brady_1142.mov","MOV")</f>
        <v>21</v>
      </c>
    </row>
    <row r="5220" s="2" customFormat="1" ht="13.5" customHeight="1">
      <c r="B5220" t="s" s="8">
        <v>1768</v>
      </c>
      <c r="C5220" t="s" s="9">
        <v>14</v>
      </c>
      <c r="D5220" t="s" s="8">
        <v>14</v>
      </c>
      <c r="E5220" t="s" s="9">
        <v>14</v>
      </c>
      <c r="F5220" t="s" s="10">
        <v>14</v>
      </c>
      <c r="G5220" t="s" s="11">
        <v>14</v>
      </c>
      <c r="H5220" t="s" s="10">
        <v>14</v>
      </c>
      <c r="I5220" t="s" s="11">
        <v>14</v>
      </c>
      <c r="J5220" t="s" s="11">
        <v>14</v>
      </c>
      <c r="K5220" t="s" s="12">
        <v>14</v>
      </c>
      <c r="L5220" t="s" s="12">
        <v>14</v>
      </c>
      <c r="M5220" t="s" s="10">
        <v>14</v>
      </c>
      <c r="N5220" t="s" s="11">
        <v>14</v>
      </c>
      <c r="O5220" t="s" s="8">
        <v>14</v>
      </c>
      <c r="P5220" t="s" s="8">
        <v>14</v>
      </c>
      <c r="Q5220" t="s" s="12">
        <v>14</v>
      </c>
      <c r="R5220" t="s" s="12">
        <v>14</v>
      </c>
    </row>
    <row r="5221" s="2" customFormat="1" ht="13.5" customHeight="1">
      <c r="B5221" s="13"/>
      <c r="C5221" t="s" s="9">
        <v>16</v>
      </c>
      <c r="D5221" t="s" s="8">
        <v>1768</v>
      </c>
      <c r="E5221" t="s" s="9">
        <v>1768</v>
      </c>
      <c r="F5221" t="s" s="10">
        <v>277</v>
      </c>
      <c r="G5221" t="s" s="11">
        <v>277</v>
      </c>
      <c r="H5221" s="19">
        <v>5</v>
      </c>
      <c r="I5221" s="17">
        <v>5</v>
      </c>
      <c r="J5221" t="s" s="11">
        <v>20</v>
      </c>
      <c r="K5221" s="15"/>
      <c r="L5221" t="s" s="16">
        <f>HYPERLINK("http://csr.bu.edu/ftp/asl/asllvd/demos/verify_start_end_handshape_annotations//test_auto_move//signs_mov_separ_signers/Liz_15146.mov","MOV")</f>
        <v>21</v>
      </c>
      <c r="M5221" t="s" s="10">
        <v>22</v>
      </c>
      <c r="N5221" s="17">
        <v>27</v>
      </c>
      <c r="O5221" s="18">
        <v>931</v>
      </c>
      <c r="P5221" s="18">
        <v>950</v>
      </c>
      <c r="Q5221" s="15"/>
      <c r="R5221" t="s" s="16">
        <f>HYPERLINK("http://secrets.rutgers.edu:8080/data/asl-ftp/asllvd/demos/verify_start_end_handshape_annotations//test_auto_move//signs_mov_separ_signers/Liz_15146.mov","MOV")</f>
        <v>21</v>
      </c>
    </row>
    <row r="5222" s="2" customFormat="1" ht="13.5" customHeight="1">
      <c r="B5222" s="13"/>
      <c r="C5222" t="s" s="9">
        <v>23</v>
      </c>
      <c r="D5222" t="s" s="8">
        <v>1768</v>
      </c>
      <c r="E5222" t="s" s="9">
        <v>1768</v>
      </c>
      <c r="F5222" t="s" s="10">
        <v>277</v>
      </c>
      <c r="G5222" t="s" s="11">
        <v>277</v>
      </c>
      <c r="H5222" s="19">
        <v>5</v>
      </c>
      <c r="I5222" s="17">
        <v>5</v>
      </c>
      <c r="J5222" t="s" s="11">
        <v>20</v>
      </c>
      <c r="K5222" t="s" s="16">
        <f>HYPERLINK("http://csr.bu.edu/ftp/asl/asllvd/demos/verify_start_end_handshape_annotations//test_auto_move//signs_mov/15146.mov","MOV")</f>
        <v>21</v>
      </c>
      <c r="L5222" t="s" s="16">
        <f>HYPERLINK("http://csr.bu.edu/ftp/asl/asllvd/demos/verify_start_end_handshape_annotations//test_auto_move//signs_mov_separ_signers/Tyler_15146.mov","MOV")</f>
        <v>21</v>
      </c>
      <c r="M5222" t="s" s="10">
        <v>26</v>
      </c>
      <c r="N5222" s="17">
        <v>17</v>
      </c>
      <c r="O5222" s="18">
        <v>3905</v>
      </c>
      <c r="P5222" s="18">
        <v>3926</v>
      </c>
      <c r="Q5222" t="s" s="16">
        <f>HYPERLINK("http://secrets.rutgers.edu:8080/data/asl-ftp/asllvd/demos/verify_start_end_handshape_annotations//test_auto_move//signs_mov/15146.mov","MOV")</f>
        <v>21</v>
      </c>
      <c r="R5222" t="s" s="16">
        <f>HYPERLINK("http://secrets.rutgers.edu:8080/data/asl-ftp/asllvd/demos/verify_start_end_handshape_annotations//test_auto_move//signs_mov_separ_signers/Tyler_15146.mov","MOV")</f>
        <v>21</v>
      </c>
    </row>
    <row r="5223" s="2" customFormat="1" ht="13.5" customHeight="1">
      <c r="B5223" s="13"/>
      <c r="C5223" t="s" s="9">
        <v>27</v>
      </c>
      <c r="D5223" t="s" s="8">
        <v>1768</v>
      </c>
      <c r="E5223" t="s" s="9">
        <v>1768</v>
      </c>
      <c r="F5223" t="s" s="10">
        <v>277</v>
      </c>
      <c r="G5223" t="s" s="11">
        <v>277</v>
      </c>
      <c r="H5223" s="19">
        <v>5</v>
      </c>
      <c r="I5223" s="17">
        <v>5</v>
      </c>
      <c r="J5223" t="s" s="11">
        <v>20</v>
      </c>
      <c r="K5223" s="15"/>
      <c r="L5223" t="s" s="16">
        <f>HYPERLINK("http://csr.bu.edu/ftp/asl/asllvd/demos/verify_start_end_handshape_annotations//test_auto_move//signs_mov_separ_signers/Naomi_15146.mov","MOV")</f>
        <v>21</v>
      </c>
      <c r="M5223" t="s" s="10">
        <v>29</v>
      </c>
      <c r="N5223" s="17">
        <v>17</v>
      </c>
      <c r="O5223" s="18">
        <v>3360</v>
      </c>
      <c r="P5223" s="18">
        <v>3380</v>
      </c>
      <c r="Q5223" s="15"/>
      <c r="R5223" t="s" s="16">
        <f>HYPERLINK("http://secrets.rutgers.edu:8080/data/asl-ftp/asllvd/demos/verify_start_end_handshape_annotations//test_auto_move//signs_mov_separ_signers/Naomi_15146.mov","MOV")</f>
        <v>21</v>
      </c>
    </row>
    <row r="5224" s="2" customFormat="1" ht="13.5" customHeight="1">
      <c r="B5224" s="13"/>
      <c r="C5224" t="s" s="9">
        <v>30</v>
      </c>
      <c r="D5224" t="s" s="8">
        <v>1768</v>
      </c>
      <c r="E5224" t="s" s="9">
        <v>1768</v>
      </c>
      <c r="F5224" t="s" s="10">
        <v>277</v>
      </c>
      <c r="G5224" t="s" s="11">
        <v>277</v>
      </c>
      <c r="H5224" s="19">
        <v>5</v>
      </c>
      <c r="I5224" s="17">
        <v>5</v>
      </c>
      <c r="J5224" t="s" s="11">
        <v>20</v>
      </c>
      <c r="K5224" s="15"/>
      <c r="L5224" t="s" s="16">
        <f>HYPERLINK("http://csr.bu.edu/ftp/asl/asllvd/demos/verify_start_end_handshape_annotations//test_auto_move//signs_mov_separ_signers/Brady_15146.mov","MOV")</f>
        <v>21</v>
      </c>
      <c r="M5224" t="s" s="10">
        <v>31</v>
      </c>
      <c r="N5224" s="17">
        <v>14</v>
      </c>
      <c r="O5224" s="18">
        <v>4092</v>
      </c>
      <c r="P5224" s="18">
        <v>4115</v>
      </c>
      <c r="Q5224" s="15"/>
      <c r="R5224" t="s" s="16">
        <f>HYPERLINK("http://secrets.rutgers.edu:8080/data/asl-ftp/asllvd/demos/verify_start_end_handshape_annotations//test_auto_move//signs_mov_separ_signers/Brady_15146.mov","MOV")</f>
        <v>21</v>
      </c>
    </row>
    <row r="5225" s="2" customFormat="1" ht="13.5" customHeight="1">
      <c r="B5225" t="s" s="8">
        <v>1769</v>
      </c>
      <c r="C5225" t="s" s="9">
        <v>14</v>
      </c>
      <c r="D5225" t="s" s="8">
        <v>14</v>
      </c>
      <c r="E5225" t="s" s="9">
        <v>14</v>
      </c>
      <c r="F5225" t="s" s="10">
        <v>14</v>
      </c>
      <c r="G5225" t="s" s="11">
        <v>14</v>
      </c>
      <c r="H5225" t="s" s="10">
        <v>14</v>
      </c>
      <c r="I5225" t="s" s="11">
        <v>14</v>
      </c>
      <c r="J5225" t="s" s="11">
        <v>14</v>
      </c>
      <c r="K5225" t="s" s="12">
        <v>14</v>
      </c>
      <c r="L5225" t="s" s="12">
        <v>14</v>
      </c>
      <c r="M5225" t="s" s="10">
        <v>14</v>
      </c>
      <c r="N5225" t="s" s="11">
        <v>14</v>
      </c>
      <c r="O5225" t="s" s="8">
        <v>14</v>
      </c>
      <c r="P5225" t="s" s="8">
        <v>14</v>
      </c>
      <c r="Q5225" t="s" s="12">
        <v>14</v>
      </c>
      <c r="R5225" t="s" s="12">
        <v>14</v>
      </c>
    </row>
    <row r="5226" s="2" customFormat="1" ht="13.5" customHeight="1">
      <c r="B5226" s="13"/>
      <c r="C5226" t="s" s="9">
        <v>16</v>
      </c>
      <c r="D5226" t="s" s="8">
        <v>1769</v>
      </c>
      <c r="E5226" t="s" s="9">
        <v>1769</v>
      </c>
      <c r="F5226" t="s" s="10">
        <v>80</v>
      </c>
      <c r="G5226" t="s" s="11">
        <v>80</v>
      </c>
      <c r="H5226" t="s" s="10">
        <v>80</v>
      </c>
      <c r="I5226" t="s" s="11">
        <v>80</v>
      </c>
      <c r="J5226" t="s" s="11">
        <v>20</v>
      </c>
      <c r="K5226" s="15"/>
      <c r="L5226" t="s" s="16">
        <f>HYPERLINK("http://csr.bu.edu/ftp/asl/asllvd/demos/verify_start_end_handshape_annotations//test_auto_move//signs_mov_separ_signers/Liz_1143.mov","MOV")</f>
        <v>21</v>
      </c>
      <c r="M5226" t="s" s="10">
        <v>34</v>
      </c>
      <c r="N5226" s="17">
        <v>19</v>
      </c>
      <c r="O5226" s="18">
        <v>900</v>
      </c>
      <c r="P5226" s="18">
        <v>940</v>
      </c>
      <c r="Q5226" s="15"/>
      <c r="R5226" t="s" s="16">
        <f>HYPERLINK("http://secrets.rutgers.edu:8080/data/asl-ftp/asllvd/demos/verify_start_end_handshape_annotations//test_auto_move//signs_mov_separ_signers/Liz_1143.mov","MOV")</f>
        <v>21</v>
      </c>
    </row>
    <row r="5227" s="2" customFormat="1" ht="13.5" customHeight="1">
      <c r="B5227" s="13"/>
      <c r="C5227" t="s" s="9">
        <v>23</v>
      </c>
      <c r="D5227" t="s" s="8">
        <v>1769</v>
      </c>
      <c r="E5227" t="s" s="9">
        <v>1769</v>
      </c>
      <c r="F5227" t="s" s="10">
        <v>80</v>
      </c>
      <c r="G5227" t="s" s="11">
        <v>80</v>
      </c>
      <c r="H5227" t="s" s="10">
        <v>80</v>
      </c>
      <c r="I5227" t="s" s="11">
        <v>80</v>
      </c>
      <c r="J5227" t="s" s="11">
        <v>20</v>
      </c>
      <c r="K5227" s="15"/>
      <c r="L5227" t="s" s="16">
        <f>HYPERLINK("http://csr.bu.edu/ftp/asl/asllvd/demos/verify_start_end_handshape_annotations//test_auto_move//signs_mov_separ_signers/Tyler_1143.mov","MOV")</f>
        <v>21</v>
      </c>
      <c r="M5227" t="s" s="10">
        <v>92</v>
      </c>
      <c r="N5227" s="17">
        <v>47</v>
      </c>
      <c r="O5227" s="18">
        <v>2966</v>
      </c>
      <c r="P5227" s="18">
        <v>2980</v>
      </c>
      <c r="Q5227" s="15"/>
      <c r="R5227" t="s" s="16">
        <f>HYPERLINK("http://secrets.rutgers.edu:8080/data/asl-ftp/asllvd/demos/verify_start_end_handshape_annotations//test_auto_move//signs_mov_separ_signers/Tyler_1143.mov","MOV")</f>
        <v>21</v>
      </c>
    </row>
    <row r="5228" s="2" customFormat="1" ht="13.5" customHeight="1">
      <c r="B5228" s="13"/>
      <c r="C5228" t="s" s="9">
        <v>27</v>
      </c>
      <c r="D5228" t="s" s="8">
        <v>1769</v>
      </c>
      <c r="E5228" t="s" s="9">
        <v>1769</v>
      </c>
      <c r="F5228" t="s" s="10">
        <v>80</v>
      </c>
      <c r="G5228" t="s" s="11">
        <v>80</v>
      </c>
      <c r="H5228" t="s" s="10">
        <v>80</v>
      </c>
      <c r="I5228" t="s" s="11">
        <v>80</v>
      </c>
      <c r="J5228" t="s" s="11">
        <v>20</v>
      </c>
      <c r="K5228" t="s" s="16">
        <f>HYPERLINK("http://csr.bu.edu/ftp/asl/asllvd/demos/verify_start_end_handshape_annotations//test_auto_move//signs_mov/1143.mov","MOV")</f>
        <v>21</v>
      </c>
      <c r="L5228" t="s" s="16">
        <f>HYPERLINK("http://csr.bu.edu/ftp/asl/asllvd/demos/verify_start_end_handshape_annotations//test_auto_move//signs_mov_separ_signers/Naomi_1143.mov","MOV")</f>
        <v>21</v>
      </c>
      <c r="M5228" t="s" s="10">
        <v>38</v>
      </c>
      <c r="N5228" s="17">
        <v>15</v>
      </c>
      <c r="O5228" s="18">
        <v>996</v>
      </c>
      <c r="P5228" s="18">
        <v>1015</v>
      </c>
      <c r="Q5228" t="s" s="16">
        <f>HYPERLINK("http://secrets.rutgers.edu:8080/data/asl-ftp/asllvd/demos/verify_start_end_handshape_annotations//test_auto_move//signs_mov/1143.mov","MOV")</f>
        <v>21</v>
      </c>
      <c r="R5228" t="s" s="16">
        <f>HYPERLINK("http://secrets.rutgers.edu:8080/data/asl-ftp/asllvd/demos/verify_start_end_handshape_annotations//test_auto_move//signs_mov_separ_signers/Naomi_1143.mov","MOV")</f>
        <v>21</v>
      </c>
    </row>
    <row r="5229" s="2" customFormat="1" ht="13.5" customHeight="1">
      <c r="B5229" s="13"/>
      <c r="C5229" t="s" s="9">
        <v>30</v>
      </c>
      <c r="D5229" t="s" s="8">
        <v>1769</v>
      </c>
      <c r="E5229" t="s" s="9">
        <v>1769</v>
      </c>
      <c r="F5229" t="s" s="10">
        <v>80</v>
      </c>
      <c r="G5229" t="s" s="11">
        <v>80</v>
      </c>
      <c r="H5229" t="s" s="10">
        <v>80</v>
      </c>
      <c r="I5229" t="s" s="11">
        <v>80</v>
      </c>
      <c r="J5229" t="s" s="11">
        <v>20</v>
      </c>
      <c r="K5229" s="15"/>
      <c r="L5229" t="s" s="16">
        <f>HYPERLINK("http://csr.bu.edu/ftp/asl/asllvd/demos/verify_start_end_handshape_annotations//test_auto_move//signs_mov_separ_signers/Brady_1143.mov","MOV")</f>
        <v>21</v>
      </c>
      <c r="M5229" t="s" s="10">
        <v>39</v>
      </c>
      <c r="N5229" s="17">
        <v>32</v>
      </c>
      <c r="O5229" s="18">
        <v>2921</v>
      </c>
      <c r="P5229" s="18">
        <v>2936</v>
      </c>
      <c r="Q5229" s="15"/>
      <c r="R5229" t="s" s="16">
        <f>HYPERLINK("http://secrets.rutgers.edu:8080/data/asl-ftp/asllvd/demos/verify_start_end_handshape_annotations//test_auto_move//signs_mov_separ_signers/Brady_1143.mov","MOV")</f>
        <v>21</v>
      </c>
    </row>
    <row r="5230" s="2" customFormat="1" ht="13.5" customHeight="1">
      <c r="B5230" s="13"/>
      <c r="C5230" t="s" s="9">
        <v>41</v>
      </c>
      <c r="D5230" t="s" s="8">
        <v>1769</v>
      </c>
      <c r="E5230" t="s" s="9">
        <v>1769</v>
      </c>
      <c r="F5230" t="s" s="10">
        <v>73</v>
      </c>
      <c r="G5230" t="s" s="11">
        <v>73</v>
      </c>
      <c r="H5230" t="s" s="10">
        <v>80</v>
      </c>
      <c r="I5230" t="s" s="11">
        <v>80</v>
      </c>
      <c r="J5230" t="s" s="11">
        <v>20</v>
      </c>
      <c r="K5230" s="15"/>
      <c r="L5230" t="s" s="16">
        <f>HYPERLINK("http://csr.bu.edu/ftp/asl/asllvd/demos/verify_start_end_handshape_annotations//test_auto_move//signs_mov_separ_signers/Lana_1143.mov","MOV")</f>
        <v>21</v>
      </c>
      <c r="M5230" t="s" s="10">
        <v>42</v>
      </c>
      <c r="N5230" s="17">
        <v>12</v>
      </c>
      <c r="O5230" s="18">
        <v>1964</v>
      </c>
      <c r="P5230" s="18">
        <v>1973</v>
      </c>
      <c r="Q5230" s="15"/>
      <c r="R5230" t="s" s="16">
        <f>HYPERLINK("http://secrets.rutgers.edu:8080/data/asl-ftp/asllvd/demos/verify_start_end_handshape_annotations//test_auto_move//signs_mov_separ_signers/Lana_1143.mov","MOV")</f>
        <v>21</v>
      </c>
    </row>
    <row r="5231" s="2" customFormat="1" ht="13.5" customHeight="1">
      <c r="B5231" s="13"/>
      <c r="C5231" t="s" s="9">
        <v>43</v>
      </c>
      <c r="D5231" t="s" s="8">
        <v>1769</v>
      </c>
      <c r="E5231" t="s" s="9">
        <v>1769</v>
      </c>
      <c r="F5231" t="s" s="10">
        <v>80</v>
      </c>
      <c r="G5231" t="s" s="11">
        <v>80</v>
      </c>
      <c r="H5231" t="s" s="10">
        <v>80</v>
      </c>
      <c r="I5231" t="s" s="11">
        <v>80</v>
      </c>
      <c r="J5231" t="s" s="11">
        <v>20</v>
      </c>
      <c r="K5231" s="15"/>
      <c r="L5231" t="s" s="16">
        <f>HYPERLINK("http://csr.bu.edu/ftp/asl/asllvd/demos/verify_start_end_handshape_annotations//test_auto_move//signs_mov_separ_signers/Dana_1143.mov","MOV")</f>
        <v>21</v>
      </c>
      <c r="M5231" t="s" s="10">
        <v>44</v>
      </c>
      <c r="N5231" s="17">
        <v>16</v>
      </c>
      <c r="O5231" s="18">
        <v>1824</v>
      </c>
      <c r="P5231" s="18">
        <v>1858</v>
      </c>
      <c r="Q5231" s="15"/>
      <c r="R5231" t="s" s="16">
        <f>HYPERLINK("http://secrets.rutgers.edu:8080/data/asl-ftp/asllvd/demos/verify_start_end_handshape_annotations//test_auto_move//signs_mov_separ_signers/Dana_1143.mov","MOV")</f>
        <v>21</v>
      </c>
    </row>
    <row r="5232" s="2" customFormat="1" ht="13.5" customHeight="1">
      <c r="B5232" t="s" s="8">
        <v>52</v>
      </c>
      <c r="C5232" t="s" s="9">
        <v>53</v>
      </c>
      <c r="D5232" t="s" s="8">
        <v>53</v>
      </c>
      <c r="E5232" t="s" s="9">
        <v>53</v>
      </c>
      <c r="F5232" t="s" s="10">
        <v>53</v>
      </c>
      <c r="G5232" t="s" s="11">
        <v>53</v>
      </c>
      <c r="H5232" t="s" s="10">
        <v>53</v>
      </c>
      <c r="I5232" t="s" s="11">
        <v>53</v>
      </c>
      <c r="J5232" t="s" s="11">
        <v>53</v>
      </c>
      <c r="K5232" t="s" s="12">
        <v>53</v>
      </c>
      <c r="L5232" t="s" s="12">
        <v>53</v>
      </c>
      <c r="M5232" t="s" s="10">
        <v>53</v>
      </c>
      <c r="N5232" t="s" s="11">
        <v>53</v>
      </c>
      <c r="O5232" t="s" s="8">
        <v>53</v>
      </c>
      <c r="P5232" t="s" s="8">
        <v>53</v>
      </c>
      <c r="Q5232" t="s" s="12">
        <v>53</v>
      </c>
      <c r="R5232" t="s" s="12">
        <v>53</v>
      </c>
    </row>
    <row r="5233" s="2" customFormat="1" ht="13.5" customHeight="1">
      <c r="B5233" s="13"/>
      <c r="C5233" t="s" s="9">
        <v>30</v>
      </c>
      <c r="D5233" t="s" s="8">
        <v>1769</v>
      </c>
      <c r="E5233" t="s" s="9">
        <v>1770</v>
      </c>
      <c r="F5233" t="s" s="10">
        <v>229</v>
      </c>
      <c r="G5233" t="s" s="11">
        <v>229</v>
      </c>
      <c r="H5233" t="s" s="10">
        <v>229</v>
      </c>
      <c r="I5233" t="s" s="11">
        <v>229</v>
      </c>
      <c r="J5233" t="s" s="11">
        <v>20</v>
      </c>
      <c r="K5233" t="s" s="16">
        <f>HYPERLINK("http://csr.bu.edu/ftp/asl/asllvd/demos/verify_start_end_handshape_annotations//test_auto_move//signs_mov/16030.mov","MOV")</f>
        <v>21</v>
      </c>
      <c r="L5233" t="s" s="16">
        <f>HYPERLINK("http://csr.bu.edu/ftp/asl/asllvd/demos/verify_start_end_handshape_annotations//test_auto_move//signs_mov_separ_signers/Brady_16030.mov","MOV")</f>
        <v>21</v>
      </c>
      <c r="M5233" t="s" s="10">
        <v>60</v>
      </c>
      <c r="N5233" s="17">
        <v>20</v>
      </c>
      <c r="O5233" s="18">
        <v>514</v>
      </c>
      <c r="P5233" s="18">
        <v>548</v>
      </c>
      <c r="Q5233" t="s" s="16">
        <f>HYPERLINK("http://secrets.rutgers.edu:8080/data/asl-ftp/asllvd/demos/verify_start_end_handshape_annotations//test_auto_move//signs_mov/16030.mov","MOV")</f>
        <v>21</v>
      </c>
      <c r="R5233" t="s" s="16">
        <f>HYPERLINK("http://secrets.rutgers.edu:8080/data/asl-ftp/asllvd/demos/verify_start_end_handshape_annotations//test_auto_move//signs_mov_separ_signers/Brady_16030.mov","MOV")</f>
        <v>21</v>
      </c>
    </row>
    <row r="5234" s="2" customFormat="1" ht="13.5" customHeight="1">
      <c r="B5234" t="s" s="8">
        <v>1771</v>
      </c>
      <c r="C5234" t="s" s="9">
        <v>14</v>
      </c>
      <c r="D5234" t="s" s="8">
        <v>14</v>
      </c>
      <c r="E5234" t="s" s="9">
        <v>14</v>
      </c>
      <c r="F5234" t="s" s="10">
        <v>14</v>
      </c>
      <c r="G5234" t="s" s="11">
        <v>14</v>
      </c>
      <c r="H5234" t="s" s="10">
        <v>14</v>
      </c>
      <c r="I5234" t="s" s="11">
        <v>14</v>
      </c>
      <c r="J5234" t="s" s="11">
        <v>14</v>
      </c>
      <c r="K5234" t="s" s="12">
        <v>14</v>
      </c>
      <c r="L5234" t="s" s="12">
        <v>14</v>
      </c>
      <c r="M5234" t="s" s="10">
        <v>14</v>
      </c>
      <c r="N5234" t="s" s="11">
        <v>14</v>
      </c>
      <c r="O5234" t="s" s="8">
        <v>14</v>
      </c>
      <c r="P5234" t="s" s="8">
        <v>14</v>
      </c>
      <c r="Q5234" t="s" s="12">
        <v>14</v>
      </c>
      <c r="R5234" t="s" s="12">
        <v>14</v>
      </c>
    </row>
    <row r="5235" s="2" customFormat="1" ht="13.5" customHeight="1">
      <c r="B5235" s="13"/>
      <c r="C5235" t="s" s="9">
        <v>16</v>
      </c>
      <c r="D5235" t="s" s="8">
        <v>1771</v>
      </c>
      <c r="E5235" t="s" s="9">
        <v>1771</v>
      </c>
      <c r="F5235" t="s" s="10">
        <v>80</v>
      </c>
      <c r="G5235" t="s" s="11">
        <v>80</v>
      </c>
      <c r="H5235" t="s" s="10">
        <v>80</v>
      </c>
      <c r="I5235" t="s" s="11">
        <v>80</v>
      </c>
      <c r="J5235" t="s" s="11">
        <v>20</v>
      </c>
      <c r="K5235" t="s" s="16">
        <f>HYPERLINK("http://csr.bu.edu/ftp/asl/asllvd/demos/verify_start_end_handshape_annotations//test_auto_move//signs_mov/16038.mov","MOV")</f>
        <v>21</v>
      </c>
      <c r="L5235" t="s" s="16">
        <f>HYPERLINK("http://csr.bu.edu/ftp/asl/asllvd/demos/verify_start_end_handshape_annotations//test_auto_move//signs_mov_separ_signers/Liz_16038.mov","MOV")</f>
        <v>21</v>
      </c>
      <c r="M5235" t="s" s="10">
        <v>59</v>
      </c>
      <c r="N5235" s="17">
        <v>18</v>
      </c>
      <c r="O5235" s="18">
        <v>2445</v>
      </c>
      <c r="P5235" s="18">
        <v>2495</v>
      </c>
      <c r="Q5235" t="s" s="16">
        <f>HYPERLINK("http://secrets.rutgers.edu:8080/data/asl-ftp/asllvd/demos/verify_start_end_handshape_annotations//test_auto_move//signs_mov/16038.mov","MOV")</f>
        <v>21</v>
      </c>
      <c r="R5235" t="s" s="16">
        <f>HYPERLINK("http://secrets.rutgers.edu:8080/data/asl-ftp/asllvd/demos/verify_start_end_handshape_annotations//test_auto_move//signs_mov_separ_signers/Liz_16038.mov","MOV")</f>
        <v>21</v>
      </c>
    </row>
    <row r="5236" s="2" customFormat="1" ht="13.5" customHeight="1">
      <c r="B5236" t="s" s="8">
        <v>52</v>
      </c>
      <c r="C5236" t="s" s="9">
        <v>53</v>
      </c>
      <c r="D5236" t="s" s="8">
        <v>53</v>
      </c>
      <c r="E5236" t="s" s="9">
        <v>53</v>
      </c>
      <c r="F5236" t="s" s="10">
        <v>53</v>
      </c>
      <c r="G5236" t="s" s="11">
        <v>53</v>
      </c>
      <c r="H5236" t="s" s="10">
        <v>53</v>
      </c>
      <c r="I5236" t="s" s="11">
        <v>53</v>
      </c>
      <c r="J5236" t="s" s="11">
        <v>53</v>
      </c>
      <c r="K5236" t="s" s="12">
        <v>53</v>
      </c>
      <c r="L5236" t="s" s="12">
        <v>53</v>
      </c>
      <c r="M5236" t="s" s="10">
        <v>53</v>
      </c>
      <c r="N5236" t="s" s="11">
        <v>53</v>
      </c>
      <c r="O5236" t="s" s="8">
        <v>53</v>
      </c>
      <c r="P5236" t="s" s="8">
        <v>53</v>
      </c>
      <c r="Q5236" t="s" s="12">
        <v>53</v>
      </c>
      <c r="R5236" t="s" s="12">
        <v>53</v>
      </c>
    </row>
    <row r="5237" s="2" customFormat="1" ht="13.5" customHeight="1">
      <c r="B5237" s="13"/>
      <c r="C5237" t="s" s="9">
        <v>30</v>
      </c>
      <c r="D5237" t="s" s="8">
        <v>1771</v>
      </c>
      <c r="E5237" t="s" s="9">
        <v>1772</v>
      </c>
      <c r="F5237" t="s" s="10">
        <v>85</v>
      </c>
      <c r="G5237" s="14"/>
      <c r="H5237" t="s" s="10">
        <v>85</v>
      </c>
      <c r="I5237" s="14"/>
      <c r="J5237" t="s" s="11">
        <v>20</v>
      </c>
      <c r="K5237" t="s" s="16">
        <f>HYPERLINK("http://csr.bu.edu/ftp/asl/asllvd/demos/verify_start_end_handshape_annotations//test_auto_move//signs_mov/16042.mov","MOV")</f>
        <v>21</v>
      </c>
      <c r="L5237" t="s" s="16">
        <f>HYPERLINK("http://csr.bu.edu/ftp/asl/asllvd/demos/verify_start_end_handshape_annotations//test_auto_move//signs_mov_separ_signers/Brady_16042.mov","MOV")</f>
        <v>21</v>
      </c>
      <c r="M5237" t="s" s="10">
        <v>39</v>
      </c>
      <c r="N5237" s="17">
        <v>16</v>
      </c>
      <c r="O5237" s="18">
        <v>6174</v>
      </c>
      <c r="P5237" s="18">
        <v>6199</v>
      </c>
      <c r="Q5237" t="s" s="16">
        <f>HYPERLINK("http://secrets.rutgers.edu:8080/data/asl-ftp/asllvd/demos/verify_start_end_handshape_annotations//test_auto_move//signs_mov/16042.mov","MOV")</f>
        <v>21</v>
      </c>
      <c r="R5237" t="s" s="16">
        <f>HYPERLINK("http://secrets.rutgers.edu:8080/data/asl-ftp/asllvd/demos/verify_start_end_handshape_annotations//test_auto_move//signs_mov_separ_signers/Brady_16042.mov","MOV")</f>
        <v>21</v>
      </c>
    </row>
    <row r="5238" s="2" customFormat="1" ht="13.5" customHeight="1">
      <c r="B5238" t="s" s="8">
        <v>1773</v>
      </c>
      <c r="C5238" t="s" s="9">
        <v>14</v>
      </c>
      <c r="D5238" t="s" s="8">
        <v>14</v>
      </c>
      <c r="E5238" t="s" s="9">
        <v>14</v>
      </c>
      <c r="F5238" t="s" s="10">
        <v>14</v>
      </c>
      <c r="G5238" t="s" s="11">
        <v>14</v>
      </c>
      <c r="H5238" t="s" s="10">
        <v>14</v>
      </c>
      <c r="I5238" t="s" s="11">
        <v>14</v>
      </c>
      <c r="J5238" t="s" s="11">
        <v>14</v>
      </c>
      <c r="K5238" t="s" s="12">
        <v>14</v>
      </c>
      <c r="L5238" t="s" s="12">
        <v>14</v>
      </c>
      <c r="M5238" t="s" s="10">
        <v>14</v>
      </c>
      <c r="N5238" t="s" s="11">
        <v>14</v>
      </c>
      <c r="O5238" t="s" s="8">
        <v>14</v>
      </c>
      <c r="P5238" t="s" s="8">
        <v>14</v>
      </c>
      <c r="Q5238" t="s" s="12">
        <v>14</v>
      </c>
      <c r="R5238" t="s" s="12">
        <v>14</v>
      </c>
    </row>
    <row r="5239" s="2" customFormat="1" ht="13.5" customHeight="1">
      <c r="B5239" s="13"/>
      <c r="C5239" t="s" s="9">
        <v>16</v>
      </c>
      <c r="D5239" t="s" s="8">
        <v>1773</v>
      </c>
      <c r="E5239" t="s" s="9">
        <v>1774</v>
      </c>
      <c r="F5239" t="s" s="10">
        <v>80</v>
      </c>
      <c r="G5239" t="s" s="11">
        <v>80</v>
      </c>
      <c r="H5239" t="s" s="10">
        <v>80</v>
      </c>
      <c r="I5239" t="s" s="11">
        <v>80</v>
      </c>
      <c r="J5239" t="s" s="11">
        <v>20</v>
      </c>
      <c r="K5239" t="s" s="16">
        <f>HYPERLINK("http://csr.bu.edu/ftp/asl/asllvd/demos/verify_start_end_handshape_annotations//test_auto_move//signs_mov/16048.mov","MOV")</f>
        <v>21</v>
      </c>
      <c r="L5239" t="s" s="16">
        <f>HYPERLINK("http://csr.bu.edu/ftp/asl/asllvd/demos/verify_start_end_handshape_annotations//test_auto_move//signs_mov_separ_signers/Liz_16048.mov","MOV")</f>
        <v>21</v>
      </c>
      <c r="M5239" t="s" s="10">
        <v>59</v>
      </c>
      <c r="N5239" s="17">
        <v>48</v>
      </c>
      <c r="O5239" s="18">
        <v>853</v>
      </c>
      <c r="P5239" s="18">
        <v>900</v>
      </c>
      <c r="Q5239" t="s" s="16">
        <f>HYPERLINK("http://secrets.rutgers.edu:8080/data/asl-ftp/asllvd/demos/verify_start_end_handshape_annotations//test_auto_move//signs_mov/16048.mov","MOV")</f>
        <v>21</v>
      </c>
      <c r="R5239" t="s" s="16">
        <f>HYPERLINK("http://secrets.rutgers.edu:8080/data/asl-ftp/asllvd/demos/verify_start_end_handshape_annotations//test_auto_move//signs_mov_separ_signers/Liz_16048.mov","MOV")</f>
        <v>21</v>
      </c>
    </row>
    <row r="5240" s="2" customFormat="1" ht="13.5" customHeight="1">
      <c r="B5240" s="13"/>
      <c r="C5240" t="s" s="9">
        <v>30</v>
      </c>
      <c r="D5240" t="s" s="8">
        <v>1773</v>
      </c>
      <c r="E5240" t="s" s="9">
        <v>1775</v>
      </c>
      <c r="F5240" t="s" s="10">
        <v>85</v>
      </c>
      <c r="G5240" t="s" s="11">
        <v>85</v>
      </c>
      <c r="H5240" t="s" s="10">
        <v>85</v>
      </c>
      <c r="I5240" t="s" s="11">
        <v>85</v>
      </c>
      <c r="J5240" t="s" s="11">
        <v>20</v>
      </c>
      <c r="K5240" s="15"/>
      <c r="L5240" t="s" s="16">
        <f>HYPERLINK("http://csr.bu.edu/ftp/asl/asllvd/demos/verify_start_end_handshape_annotations//test_auto_move//signs_mov_separ_signers/Brady_16048.mov","MOV")</f>
        <v>21</v>
      </c>
      <c r="M5240" t="s" s="10">
        <v>60</v>
      </c>
      <c r="N5240" s="17">
        <v>36</v>
      </c>
      <c r="O5240" s="18">
        <v>1135</v>
      </c>
      <c r="P5240" s="18">
        <v>1172</v>
      </c>
      <c r="Q5240" s="15"/>
      <c r="R5240" t="s" s="16">
        <f>HYPERLINK("http://secrets.rutgers.edu:8080/data/asl-ftp/asllvd/demos/verify_start_end_handshape_annotations//test_auto_move//signs_mov_separ_signers/Brady_16048.mov","MOV")</f>
        <v>21</v>
      </c>
    </row>
    <row r="5241" s="2" customFormat="1" ht="13.5" customHeight="1">
      <c r="B5241" t="s" s="8">
        <v>1776</v>
      </c>
      <c r="C5241" t="s" s="9">
        <v>14</v>
      </c>
      <c r="D5241" t="s" s="8">
        <v>14</v>
      </c>
      <c r="E5241" t="s" s="9">
        <v>14</v>
      </c>
      <c r="F5241" t="s" s="10">
        <v>14</v>
      </c>
      <c r="G5241" t="s" s="11">
        <v>14</v>
      </c>
      <c r="H5241" t="s" s="10">
        <v>14</v>
      </c>
      <c r="I5241" t="s" s="11">
        <v>14</v>
      </c>
      <c r="J5241" t="s" s="11">
        <v>14</v>
      </c>
      <c r="K5241" t="s" s="12">
        <v>14</v>
      </c>
      <c r="L5241" t="s" s="12">
        <v>14</v>
      </c>
      <c r="M5241" t="s" s="10">
        <v>14</v>
      </c>
      <c r="N5241" t="s" s="11">
        <v>14</v>
      </c>
      <c r="O5241" t="s" s="8">
        <v>14</v>
      </c>
      <c r="P5241" t="s" s="8">
        <v>14</v>
      </c>
      <c r="Q5241" t="s" s="12">
        <v>14</v>
      </c>
      <c r="R5241" t="s" s="12">
        <v>14</v>
      </c>
    </row>
    <row r="5242" s="2" customFormat="1" ht="13.5" customHeight="1">
      <c r="B5242" s="13"/>
      <c r="C5242" t="s" s="9">
        <v>16</v>
      </c>
      <c r="D5242" t="s" s="8">
        <v>1776</v>
      </c>
      <c r="E5242" t="s" s="9">
        <v>1777</v>
      </c>
      <c r="F5242" t="s" s="10">
        <v>80</v>
      </c>
      <c r="G5242" t="s" s="11">
        <v>80</v>
      </c>
      <c r="H5242" t="s" s="10">
        <v>80</v>
      </c>
      <c r="I5242" t="s" s="11">
        <v>80</v>
      </c>
      <c r="J5242" t="s" s="11">
        <v>20</v>
      </c>
      <c r="K5242" s="15"/>
      <c r="L5242" t="s" s="16">
        <f>HYPERLINK("http://csr.bu.edu/ftp/asl/asllvd/demos/verify_start_end_handshape_annotations//test_auto_move//signs_mov_separ_signers/Liz_16135.mov","MOV")</f>
        <v>21</v>
      </c>
      <c r="M5242" t="s" s="10">
        <v>22</v>
      </c>
      <c r="N5242" s="17">
        <v>14</v>
      </c>
      <c r="O5242" s="18">
        <v>1465</v>
      </c>
      <c r="P5242" s="18">
        <v>1510</v>
      </c>
      <c r="Q5242" s="15"/>
      <c r="R5242" t="s" s="16">
        <f>HYPERLINK("http://secrets.rutgers.edu:8080/data/asl-ftp/asllvd/demos/verify_start_end_handshape_annotations//test_auto_move//signs_mov_separ_signers/Liz_16135.mov","MOV")</f>
        <v>21</v>
      </c>
    </row>
    <row r="5243" s="2" customFormat="1" ht="13.5" customHeight="1">
      <c r="B5243" s="13"/>
      <c r="C5243" t="s" s="9">
        <v>23</v>
      </c>
      <c r="D5243" t="s" s="8">
        <v>1776</v>
      </c>
      <c r="E5243" t="s" s="9">
        <v>1778</v>
      </c>
      <c r="F5243" t="s" s="10">
        <v>80</v>
      </c>
      <c r="G5243" t="s" s="11">
        <v>80</v>
      </c>
      <c r="H5243" t="s" s="10">
        <v>80</v>
      </c>
      <c r="I5243" t="s" s="11">
        <v>80</v>
      </c>
      <c r="J5243" t="s" s="11">
        <v>20</v>
      </c>
      <c r="K5243" t="s" s="16">
        <f>HYPERLINK("http://csr.bu.edu/ftp/asl/asllvd/demos/verify_start_end_handshape_annotations//test_auto_move//signs_mov/16135.mov","MOV")</f>
        <v>21</v>
      </c>
      <c r="L5243" t="s" s="16">
        <f>HYPERLINK("http://csr.bu.edu/ftp/asl/asllvd/demos/verify_start_end_handshape_annotations//test_auto_move//signs_mov_separ_signers/Tyler_16135.mov","MOV")</f>
        <v>21</v>
      </c>
      <c r="M5243" t="s" s="10">
        <v>26</v>
      </c>
      <c r="N5243" s="17">
        <v>11</v>
      </c>
      <c r="O5243" s="18">
        <v>1965</v>
      </c>
      <c r="P5243" s="18">
        <v>2017</v>
      </c>
      <c r="Q5243" t="s" s="16">
        <f>HYPERLINK("http://secrets.rutgers.edu:8080/data/asl-ftp/asllvd/demos/verify_start_end_handshape_annotations//test_auto_move//signs_mov/16135.mov","MOV")</f>
        <v>21</v>
      </c>
      <c r="R5243" t="s" s="16">
        <f>HYPERLINK("http://secrets.rutgers.edu:8080/data/asl-ftp/asllvd/demos/verify_start_end_handshape_annotations//test_auto_move//signs_mov_separ_signers/Tyler_16135.mov","MOV")</f>
        <v>21</v>
      </c>
    </row>
    <row r="5244" s="2" customFormat="1" ht="13.5" customHeight="1">
      <c r="B5244" s="13"/>
      <c r="C5244" t="s" s="9">
        <v>27</v>
      </c>
      <c r="D5244" t="s" s="8">
        <v>1776</v>
      </c>
      <c r="E5244" t="s" s="9">
        <v>1777</v>
      </c>
      <c r="F5244" t="s" s="10">
        <v>80</v>
      </c>
      <c r="G5244" t="s" s="11">
        <v>80</v>
      </c>
      <c r="H5244" t="s" s="10">
        <v>80</v>
      </c>
      <c r="I5244" t="s" s="11">
        <v>80</v>
      </c>
      <c r="J5244" t="s" s="11">
        <v>20</v>
      </c>
      <c r="K5244" s="15"/>
      <c r="L5244" t="s" s="16">
        <f>HYPERLINK("http://csr.bu.edu/ftp/asl/asllvd/demos/verify_start_end_handshape_annotations//test_auto_move//signs_mov_separ_signers/Naomi_16135.mov","MOV")</f>
        <v>21</v>
      </c>
      <c r="M5244" t="s" s="10">
        <v>29</v>
      </c>
      <c r="N5244" s="17">
        <v>10</v>
      </c>
      <c r="O5244" s="18">
        <v>2285</v>
      </c>
      <c r="P5244" s="18">
        <v>2315</v>
      </c>
      <c r="Q5244" s="15"/>
      <c r="R5244" t="s" s="16">
        <f>HYPERLINK("http://secrets.rutgers.edu:8080/data/asl-ftp/asllvd/demos/verify_start_end_handshape_annotations//test_auto_move//signs_mov_separ_signers/Naomi_16135.mov","MOV")</f>
        <v>21</v>
      </c>
    </row>
    <row r="5245" s="2" customFormat="1" ht="13.5" customHeight="1">
      <c r="B5245" s="13"/>
      <c r="C5245" t="s" s="9">
        <v>30</v>
      </c>
      <c r="D5245" t="s" s="8">
        <v>1776</v>
      </c>
      <c r="E5245" t="s" s="9">
        <v>1778</v>
      </c>
      <c r="F5245" t="s" s="10">
        <v>80</v>
      </c>
      <c r="G5245" t="s" s="11">
        <v>80</v>
      </c>
      <c r="H5245" t="s" s="10">
        <v>80</v>
      </c>
      <c r="I5245" t="s" s="11">
        <v>80</v>
      </c>
      <c r="J5245" t="s" s="11">
        <v>20</v>
      </c>
      <c r="K5245" s="15"/>
      <c r="L5245" t="s" s="16">
        <f>HYPERLINK("http://csr.bu.edu/ftp/asl/asllvd/demos/verify_start_end_handshape_annotations//test_auto_move//signs_mov_separ_signers/Brady_16135.mov","MOV")</f>
        <v>21</v>
      </c>
      <c r="M5245" t="s" s="10">
        <v>31</v>
      </c>
      <c r="N5245" s="17">
        <v>11</v>
      </c>
      <c r="O5245" s="18">
        <v>11563</v>
      </c>
      <c r="P5245" s="18">
        <v>11597</v>
      </c>
      <c r="Q5245" s="15"/>
      <c r="R5245" t="s" s="16">
        <f>HYPERLINK("http://secrets.rutgers.edu:8080/data/asl-ftp/asllvd/demos/verify_start_end_handshape_annotations//test_auto_move//signs_mov_separ_signers/Brady_16135.mov","MOV")</f>
        <v>21</v>
      </c>
    </row>
    <row r="5246" s="2" customFormat="1" ht="13.5" customHeight="1">
      <c r="B5246" t="s" s="8">
        <v>1779</v>
      </c>
      <c r="C5246" t="s" s="9">
        <v>14</v>
      </c>
      <c r="D5246" t="s" s="8">
        <v>14</v>
      </c>
      <c r="E5246" t="s" s="9">
        <v>14</v>
      </c>
      <c r="F5246" t="s" s="10">
        <v>14</v>
      </c>
      <c r="G5246" t="s" s="11">
        <v>14</v>
      </c>
      <c r="H5246" t="s" s="10">
        <v>14</v>
      </c>
      <c r="I5246" t="s" s="11">
        <v>14</v>
      </c>
      <c r="J5246" t="s" s="11">
        <v>14</v>
      </c>
      <c r="K5246" t="s" s="12">
        <v>14</v>
      </c>
      <c r="L5246" t="s" s="12">
        <v>14</v>
      </c>
      <c r="M5246" t="s" s="10">
        <v>14</v>
      </c>
      <c r="N5246" t="s" s="11">
        <v>14</v>
      </c>
      <c r="O5246" t="s" s="8">
        <v>14</v>
      </c>
      <c r="P5246" t="s" s="8">
        <v>14</v>
      </c>
      <c r="Q5246" t="s" s="12">
        <v>14</v>
      </c>
      <c r="R5246" t="s" s="12">
        <v>14</v>
      </c>
    </row>
    <row r="5247" s="2" customFormat="1" ht="13.5" customHeight="1">
      <c r="B5247" s="13"/>
      <c r="C5247" t="s" s="9">
        <v>16</v>
      </c>
      <c r="D5247" t="s" s="8">
        <v>1779</v>
      </c>
      <c r="E5247" t="s" s="9">
        <v>1780</v>
      </c>
      <c r="F5247" t="s" s="10">
        <v>80</v>
      </c>
      <c r="G5247" t="s" s="11">
        <v>80</v>
      </c>
      <c r="H5247" t="s" s="10">
        <v>80</v>
      </c>
      <c r="I5247" t="s" s="11">
        <v>80</v>
      </c>
      <c r="J5247" t="s" s="11">
        <v>20</v>
      </c>
      <c r="K5247" s="15"/>
      <c r="L5247" t="s" s="16">
        <f>HYPERLINK("http://csr.bu.edu/ftp/asl/asllvd/demos/verify_start_end_handshape_annotations//test_auto_move//signs_mov_separ_signers/Liz_16138.mov","MOV")</f>
        <v>21</v>
      </c>
      <c r="M5247" t="s" s="10">
        <v>34</v>
      </c>
      <c r="N5247" s="17">
        <v>55</v>
      </c>
      <c r="O5247" s="18">
        <v>2560</v>
      </c>
      <c r="P5247" s="18">
        <v>2615</v>
      </c>
      <c r="Q5247" s="15"/>
      <c r="R5247" t="s" s="16">
        <f>HYPERLINK("http://secrets.rutgers.edu:8080/data/asl-ftp/asllvd/demos/verify_start_end_handshape_annotations//test_auto_move//signs_mov_separ_signers/Liz_16138.mov","MOV")</f>
        <v>21</v>
      </c>
    </row>
    <row r="5248" s="2" customFormat="1" ht="13.5" customHeight="1">
      <c r="B5248" s="13"/>
      <c r="C5248" t="s" s="9">
        <v>16</v>
      </c>
      <c r="D5248" t="s" s="8">
        <v>1779</v>
      </c>
      <c r="E5248" t="s" s="9">
        <v>1781</v>
      </c>
      <c r="F5248" t="s" s="10">
        <v>80</v>
      </c>
      <c r="G5248" t="s" s="11">
        <v>80</v>
      </c>
      <c r="H5248" t="s" s="10">
        <v>80</v>
      </c>
      <c r="I5248" t="s" s="11">
        <v>80</v>
      </c>
      <c r="J5248" t="s" s="11">
        <v>20</v>
      </c>
      <c r="K5248" s="15"/>
      <c r="L5248" t="s" s="16">
        <f>HYPERLINK("http://csr.bu.edu/ftp/asl/asllvd/demos/verify_start_end_handshape_annotations//test_auto_move//signs_mov_separ_signers/Liz_16139.mov","MOV")</f>
        <v>21</v>
      </c>
      <c r="M5248" t="s" s="10">
        <v>88</v>
      </c>
      <c r="N5248" s="17">
        <v>43</v>
      </c>
      <c r="O5248" s="18">
        <v>258</v>
      </c>
      <c r="P5248" s="18">
        <v>324</v>
      </c>
      <c r="Q5248" s="15"/>
      <c r="R5248" t="s" s="16">
        <f>HYPERLINK("http://secrets.rutgers.edu:8080/data/asl-ftp/asllvd/demos/verify_start_end_handshape_annotations//test_auto_move//signs_mov_separ_signers/Liz_16139.mov","MOV")</f>
        <v>21</v>
      </c>
    </row>
    <row r="5249" s="2" customFormat="1" ht="13.5" customHeight="1">
      <c r="B5249" s="13"/>
      <c r="C5249" t="s" s="9">
        <v>16</v>
      </c>
      <c r="D5249" t="s" s="8">
        <v>1779</v>
      </c>
      <c r="E5249" t="s" s="9">
        <v>1781</v>
      </c>
      <c r="F5249" t="s" s="10">
        <v>80</v>
      </c>
      <c r="G5249" t="s" s="11">
        <v>80</v>
      </c>
      <c r="H5249" t="s" s="10">
        <v>80</v>
      </c>
      <c r="I5249" t="s" s="11">
        <v>80</v>
      </c>
      <c r="J5249" t="s" s="11">
        <v>20</v>
      </c>
      <c r="K5249" s="15"/>
      <c r="L5249" t="s" s="16">
        <f>HYPERLINK("http://csr.bu.edu/ftp/asl/asllvd/demos/verify_start_end_handshape_annotations//test_auto_move//signs_mov_separ_signers/Liz_16148.mov","MOV")</f>
        <v>21</v>
      </c>
      <c r="M5249" t="s" s="10">
        <v>77</v>
      </c>
      <c r="N5249" s="17">
        <v>6</v>
      </c>
      <c r="O5249" s="18">
        <v>2206</v>
      </c>
      <c r="P5249" s="18">
        <v>2285</v>
      </c>
      <c r="Q5249" s="15"/>
      <c r="R5249" t="s" s="16">
        <f>HYPERLINK("http://secrets.rutgers.edu:8080/data/asl-ftp/asllvd/demos/verify_start_end_handshape_annotations//test_auto_move//signs_mov_separ_signers/Liz_16148.mov","MOV")</f>
        <v>21</v>
      </c>
    </row>
    <row r="5250" s="2" customFormat="1" ht="13.5" customHeight="1">
      <c r="B5250" s="13"/>
      <c r="C5250" t="s" s="9">
        <v>23</v>
      </c>
      <c r="D5250" t="s" s="8">
        <v>1779</v>
      </c>
      <c r="E5250" t="s" s="9">
        <v>1780</v>
      </c>
      <c r="F5250" t="s" s="10">
        <v>150</v>
      </c>
      <c r="G5250" t="s" s="11">
        <v>150</v>
      </c>
      <c r="H5250" t="s" s="10">
        <v>150</v>
      </c>
      <c r="I5250" t="s" s="11">
        <v>150</v>
      </c>
      <c r="J5250" t="s" s="11">
        <v>20</v>
      </c>
      <c r="K5250" t="s" s="16">
        <f>HYPERLINK("http://csr.bu.edu/ftp/asl/asllvd/demos/verify_start_end_handshape_annotations//test_auto_move//signs_mov/16138_16139_16148_merged.mov","MOV")</f>
        <v>21</v>
      </c>
      <c r="L5250" t="s" s="16">
        <f>HYPERLINK("http://csr.bu.edu/ftp/asl/asllvd/demos/verify_start_end_handshape_annotations//test_auto_move//signs_mov_separ_signers/Tyler_16138.mov","MOV")</f>
        <v>21</v>
      </c>
      <c r="M5250" t="s" s="10">
        <v>47</v>
      </c>
      <c r="N5250" s="17">
        <v>7</v>
      </c>
      <c r="O5250" s="18">
        <v>2058</v>
      </c>
      <c r="P5250" s="18">
        <v>2108</v>
      </c>
      <c r="Q5250" t="s" s="16">
        <f>HYPERLINK("http://secrets.rutgers.edu:8080/data/asl-ftp/asllvd/demos/verify_start_end_handshape_annotations//test_auto_move//signs_mov/16138_16139_16148_merged.mov","MOV")</f>
        <v>21</v>
      </c>
      <c r="R5250" t="s" s="16">
        <f>HYPERLINK("http://secrets.rutgers.edu:8080/data/asl-ftp/asllvd/demos/verify_start_end_handshape_annotations//test_auto_move//signs_mov_separ_signers/Tyler_16138.mov","MOV")</f>
        <v>21</v>
      </c>
    </row>
    <row r="5251" s="2" customFormat="1" ht="13.5" customHeight="1">
      <c r="B5251" s="13"/>
      <c r="C5251" t="s" s="9">
        <v>27</v>
      </c>
      <c r="D5251" t="s" s="8">
        <v>1779</v>
      </c>
      <c r="E5251" t="s" s="9">
        <v>1780</v>
      </c>
      <c r="F5251" t="s" s="10">
        <v>80</v>
      </c>
      <c r="G5251" t="s" s="11">
        <v>80</v>
      </c>
      <c r="H5251" t="s" s="10">
        <v>80</v>
      </c>
      <c r="I5251" t="s" s="11">
        <v>80</v>
      </c>
      <c r="J5251" t="s" s="11">
        <v>20</v>
      </c>
      <c r="K5251" s="15"/>
      <c r="L5251" t="s" s="16">
        <f>HYPERLINK("http://csr.bu.edu/ftp/asl/asllvd/demos/verify_start_end_handshape_annotations//test_auto_move//signs_mov_separ_signers/Naomi_16138.mov","MOV")</f>
        <v>21</v>
      </c>
      <c r="M5251" t="s" s="10">
        <v>48</v>
      </c>
      <c r="N5251" s="17">
        <v>10</v>
      </c>
      <c r="O5251" s="18">
        <v>3191</v>
      </c>
      <c r="P5251" s="18">
        <v>3240</v>
      </c>
      <c r="Q5251" s="15"/>
      <c r="R5251" t="s" s="16">
        <f>HYPERLINK("http://secrets.rutgers.edu:8080/data/asl-ftp/asllvd/demos/verify_start_end_handshape_annotations//test_auto_move//signs_mov_separ_signers/Naomi_16138.mov","MOV")</f>
        <v>21</v>
      </c>
    </row>
    <row r="5252" s="2" customFormat="1" ht="13.5" customHeight="1">
      <c r="B5252" s="13"/>
      <c r="C5252" t="s" s="9">
        <v>30</v>
      </c>
      <c r="D5252" t="s" s="8">
        <v>1779</v>
      </c>
      <c r="E5252" t="s" s="9">
        <v>1780</v>
      </c>
      <c r="F5252" t="s" s="10">
        <v>150</v>
      </c>
      <c r="G5252" t="s" s="11">
        <v>150</v>
      </c>
      <c r="H5252" t="s" s="10">
        <v>150</v>
      </c>
      <c r="I5252" t="s" s="11">
        <v>150</v>
      </c>
      <c r="J5252" t="s" s="11">
        <v>20</v>
      </c>
      <c r="K5252" s="15"/>
      <c r="L5252" t="s" s="16">
        <f>HYPERLINK("http://csr.bu.edu/ftp/asl/asllvd/demos/verify_start_end_handshape_annotations//test_auto_move//signs_mov_separ_signers/Brady_16138.mov","MOV")</f>
        <v>21</v>
      </c>
      <c r="M5252" t="s" s="10">
        <v>31</v>
      </c>
      <c r="N5252" s="17">
        <v>13</v>
      </c>
      <c r="O5252" s="18">
        <v>10466</v>
      </c>
      <c r="P5252" s="18">
        <v>10500</v>
      </c>
      <c r="Q5252" s="15"/>
      <c r="R5252" t="s" s="16">
        <f>HYPERLINK("http://secrets.rutgers.edu:8080/data/asl-ftp/asllvd/demos/verify_start_end_handshape_annotations//test_auto_move//signs_mov_separ_signers/Brady_16138.mov","MOV")</f>
        <v>21</v>
      </c>
    </row>
    <row r="5253" s="2" customFormat="1" ht="13.5" customHeight="1">
      <c r="B5253" s="13"/>
      <c r="C5253" t="s" s="9">
        <v>30</v>
      </c>
      <c r="D5253" t="s" s="8">
        <v>1779</v>
      </c>
      <c r="E5253" t="s" s="9">
        <v>1780</v>
      </c>
      <c r="F5253" t="s" s="10">
        <v>150</v>
      </c>
      <c r="G5253" t="s" s="11">
        <v>150</v>
      </c>
      <c r="H5253" t="s" s="10">
        <v>150</v>
      </c>
      <c r="I5253" t="s" s="11">
        <v>150</v>
      </c>
      <c r="J5253" t="s" s="11">
        <v>20</v>
      </c>
      <c r="K5253" s="15"/>
      <c r="L5253" t="s" s="16">
        <f>HYPERLINK("http://csr.bu.edu/ftp/asl/asllvd/demos/verify_start_end_handshape_annotations//test_auto_move//signs_mov_separ_signers/Brady_16139.mov","MOV")</f>
        <v>21</v>
      </c>
      <c r="M5253" t="s" s="10">
        <v>39</v>
      </c>
      <c r="N5253" s="17">
        <v>52</v>
      </c>
      <c r="O5253" s="18">
        <v>8692</v>
      </c>
      <c r="P5253" s="18">
        <v>8731</v>
      </c>
      <c r="Q5253" s="15"/>
      <c r="R5253" t="s" s="16">
        <f>HYPERLINK("http://secrets.rutgers.edu:8080/data/asl-ftp/asllvd/demos/verify_start_end_handshape_annotations//test_auto_move//signs_mov_separ_signers/Brady_16139.mov","MOV")</f>
        <v>21</v>
      </c>
    </row>
    <row r="5254" s="2" customFormat="1" ht="13.5" customHeight="1">
      <c r="B5254" s="13"/>
      <c r="C5254" t="s" s="9">
        <v>30</v>
      </c>
      <c r="D5254" t="s" s="8">
        <v>1779</v>
      </c>
      <c r="E5254" t="s" s="9">
        <v>1780</v>
      </c>
      <c r="F5254" t="s" s="10">
        <v>80</v>
      </c>
      <c r="G5254" t="s" s="11">
        <v>80</v>
      </c>
      <c r="H5254" t="s" s="10">
        <v>80</v>
      </c>
      <c r="I5254" t="s" s="11">
        <v>80</v>
      </c>
      <c r="J5254" t="s" s="11">
        <v>20</v>
      </c>
      <c r="K5254" s="15"/>
      <c r="L5254" t="s" s="16">
        <f>HYPERLINK("http://csr.bu.edu/ftp/asl/asllvd/demos/verify_start_end_handshape_annotations//test_auto_move//signs_mov_separ_signers/Brady_16148.mov","MOV")</f>
        <v>21</v>
      </c>
      <c r="M5254" t="s" s="10">
        <v>40</v>
      </c>
      <c r="N5254" s="17">
        <v>37</v>
      </c>
      <c r="O5254" s="18">
        <v>196</v>
      </c>
      <c r="P5254" s="18">
        <v>229</v>
      </c>
      <c r="Q5254" s="15"/>
      <c r="R5254" t="s" s="16">
        <f>HYPERLINK("http://secrets.rutgers.edu:8080/data/asl-ftp/asllvd/demos/verify_start_end_handshape_annotations//test_auto_move//signs_mov_separ_signers/Brady_16148.mov","MOV")</f>
        <v>21</v>
      </c>
    </row>
    <row r="5255" s="2" customFormat="1" ht="13.5" customHeight="1">
      <c r="B5255" t="s" s="8">
        <v>1782</v>
      </c>
      <c r="C5255" t="s" s="9">
        <v>14</v>
      </c>
      <c r="D5255" t="s" s="8">
        <v>14</v>
      </c>
      <c r="E5255" t="s" s="9">
        <v>14</v>
      </c>
      <c r="F5255" t="s" s="10">
        <v>14</v>
      </c>
      <c r="G5255" t="s" s="11">
        <v>14</v>
      </c>
      <c r="H5255" t="s" s="10">
        <v>14</v>
      </c>
      <c r="I5255" t="s" s="11">
        <v>14</v>
      </c>
      <c r="J5255" t="s" s="11">
        <v>14</v>
      </c>
      <c r="K5255" t="s" s="12">
        <v>14</v>
      </c>
      <c r="L5255" t="s" s="12">
        <v>14</v>
      </c>
      <c r="M5255" t="s" s="10">
        <v>14</v>
      </c>
      <c r="N5255" t="s" s="11">
        <v>14</v>
      </c>
      <c r="O5255" t="s" s="8">
        <v>14</v>
      </c>
      <c r="P5255" t="s" s="8">
        <v>14</v>
      </c>
      <c r="Q5255" t="s" s="12">
        <v>14</v>
      </c>
      <c r="R5255" t="s" s="12">
        <v>14</v>
      </c>
    </row>
    <row r="5256" s="2" customFormat="1" ht="13.5" customHeight="1">
      <c r="B5256" s="13"/>
      <c r="C5256" t="s" s="9">
        <v>16</v>
      </c>
      <c r="D5256" t="s" s="8">
        <v>1782</v>
      </c>
      <c r="E5256" t="s" s="9">
        <v>1783</v>
      </c>
      <c r="F5256" t="s" s="10">
        <v>220</v>
      </c>
      <c r="G5256" t="s" s="11">
        <v>220</v>
      </c>
      <c r="H5256" t="s" s="10">
        <v>220</v>
      </c>
      <c r="I5256" t="s" s="11">
        <v>220</v>
      </c>
      <c r="J5256" t="s" s="11">
        <v>20</v>
      </c>
      <c r="K5256" t="s" s="16">
        <f>HYPERLINK("http://csr.bu.edu/ftp/asl/asllvd/demos/verify_start_end_handshape_annotations//test_auto_move//signs_mov/16500.mov","MOV")</f>
        <v>21</v>
      </c>
      <c r="L5256" t="s" s="16">
        <f>HYPERLINK("http://csr.bu.edu/ftp/asl/asllvd/demos/verify_start_end_handshape_annotations//test_auto_move//signs_mov_separ_signers/Liz_16500.mov","MOV")</f>
        <v>21</v>
      </c>
      <c r="M5256" t="s" s="10">
        <v>88</v>
      </c>
      <c r="N5256" s="17">
        <v>42</v>
      </c>
      <c r="O5256" s="18">
        <v>3202</v>
      </c>
      <c r="P5256" s="18">
        <v>3268</v>
      </c>
      <c r="Q5256" t="s" s="16">
        <f>HYPERLINK("http://secrets.rutgers.edu:8080/data/asl-ftp/asllvd/demos/verify_start_end_handshape_annotations//test_auto_move//signs_mov/16500.mov","MOV")</f>
        <v>21</v>
      </c>
      <c r="R5256" t="s" s="16">
        <f>HYPERLINK("http://secrets.rutgers.edu:8080/data/asl-ftp/asllvd/demos/verify_start_end_handshape_annotations//test_auto_move//signs_mov_separ_signers/Liz_16500.mov","MOV")</f>
        <v>21</v>
      </c>
    </row>
    <row r="5257" s="2" customFormat="1" ht="13.5" customHeight="1">
      <c r="B5257" t="s" s="8">
        <v>1784</v>
      </c>
      <c r="C5257" t="s" s="9">
        <v>14</v>
      </c>
      <c r="D5257" t="s" s="8">
        <v>14</v>
      </c>
      <c r="E5257" t="s" s="9">
        <v>14</v>
      </c>
      <c r="F5257" t="s" s="10">
        <v>14</v>
      </c>
      <c r="G5257" t="s" s="11">
        <v>14</v>
      </c>
      <c r="H5257" t="s" s="10">
        <v>14</v>
      </c>
      <c r="I5257" t="s" s="11">
        <v>14</v>
      </c>
      <c r="J5257" t="s" s="11">
        <v>14</v>
      </c>
      <c r="K5257" t="s" s="12">
        <v>14</v>
      </c>
      <c r="L5257" t="s" s="12">
        <v>14</v>
      </c>
      <c r="M5257" t="s" s="10">
        <v>14</v>
      </c>
      <c r="N5257" t="s" s="11">
        <v>14</v>
      </c>
      <c r="O5257" t="s" s="8">
        <v>14</v>
      </c>
      <c r="P5257" t="s" s="8">
        <v>14</v>
      </c>
      <c r="Q5257" t="s" s="12">
        <v>14</v>
      </c>
      <c r="R5257" t="s" s="12">
        <v>14</v>
      </c>
    </row>
    <row r="5258" s="2" customFormat="1" ht="13.5" customHeight="1">
      <c r="B5258" s="13"/>
      <c r="C5258" t="s" s="9">
        <v>23</v>
      </c>
      <c r="D5258" t="s" s="8">
        <v>1784</v>
      </c>
      <c r="E5258" t="s" s="9">
        <v>1784</v>
      </c>
      <c r="F5258" t="s" s="10">
        <v>80</v>
      </c>
      <c r="G5258" t="s" s="11">
        <v>80</v>
      </c>
      <c r="H5258" s="19">
        <v>5</v>
      </c>
      <c r="I5258" s="17">
        <v>5</v>
      </c>
      <c r="J5258" t="s" s="11">
        <v>20</v>
      </c>
      <c r="K5258" s="15"/>
      <c r="L5258" t="s" s="16">
        <f>HYPERLINK("http://csr.bu.edu/ftp/asl/asllvd/demos/verify_start_end_handshape_annotations//test_auto_move//signs_mov_separ_signers/Tyler_1144.mov","MOV")</f>
        <v>21</v>
      </c>
      <c r="M5258" t="s" s="10">
        <v>92</v>
      </c>
      <c r="N5258" s="17">
        <v>47</v>
      </c>
      <c r="O5258" s="18">
        <v>3160</v>
      </c>
      <c r="P5258" s="18">
        <v>3195</v>
      </c>
      <c r="Q5258" s="15"/>
      <c r="R5258" t="s" s="16">
        <f>HYPERLINK("http://secrets.rutgers.edu:8080/data/asl-ftp/asllvd/demos/verify_start_end_handshape_annotations//test_auto_move//signs_mov_separ_signers/Tyler_1144.mov","MOV")</f>
        <v>21</v>
      </c>
    </row>
    <row r="5259" s="2" customFormat="1" ht="13.5" customHeight="1">
      <c r="B5259" s="13"/>
      <c r="C5259" t="s" s="9">
        <v>30</v>
      </c>
      <c r="D5259" t="s" s="8">
        <v>1784</v>
      </c>
      <c r="E5259" t="s" s="9">
        <v>1784</v>
      </c>
      <c r="F5259" t="s" s="10">
        <v>85</v>
      </c>
      <c r="G5259" t="s" s="11">
        <v>85</v>
      </c>
      <c r="H5259" s="19">
        <v>5</v>
      </c>
      <c r="I5259" s="17">
        <v>5</v>
      </c>
      <c r="J5259" t="s" s="11">
        <v>20</v>
      </c>
      <c r="K5259" t="s" s="16">
        <f>HYPERLINK("http://csr.bu.edu/ftp/asl/asllvd/demos/verify_start_end_handshape_annotations//test_auto_move//signs_mov/1144_5073_merged.mov","MOV")</f>
        <v>21</v>
      </c>
      <c r="L5259" t="s" s="16">
        <f>HYPERLINK("http://csr.bu.edu/ftp/asl/asllvd/demos/verify_start_end_handshape_annotations//test_auto_move//signs_mov_separ_signers/Brady_1144.mov","MOV")</f>
        <v>21</v>
      </c>
      <c r="M5259" t="s" s="10">
        <v>39</v>
      </c>
      <c r="N5259" s="17">
        <v>32</v>
      </c>
      <c r="O5259" s="18">
        <v>3518</v>
      </c>
      <c r="P5259" s="18">
        <v>3553</v>
      </c>
      <c r="Q5259" t="s" s="16">
        <f>HYPERLINK("http://secrets.rutgers.edu:8080/data/asl-ftp/asllvd/demos/verify_start_end_handshape_annotations//test_auto_move//signs_mov/1144_5073_merged.mov","MOV")</f>
        <v>21</v>
      </c>
      <c r="R5259" t="s" s="16">
        <f>HYPERLINK("http://secrets.rutgers.edu:8080/data/asl-ftp/asllvd/demos/verify_start_end_handshape_annotations//test_auto_move//signs_mov_separ_signers/Brady_1144.mov","MOV")</f>
        <v>21</v>
      </c>
    </row>
    <row r="5260" s="2" customFormat="1" ht="13.5" customHeight="1">
      <c r="B5260" s="13"/>
      <c r="C5260" t="s" s="9">
        <v>30</v>
      </c>
      <c r="D5260" t="s" s="8">
        <v>1784</v>
      </c>
      <c r="E5260" t="s" s="9">
        <v>1784</v>
      </c>
      <c r="F5260" t="s" s="10">
        <v>85</v>
      </c>
      <c r="G5260" t="s" s="11">
        <v>85</v>
      </c>
      <c r="H5260" s="19">
        <v>5</v>
      </c>
      <c r="I5260" s="17">
        <v>5</v>
      </c>
      <c r="J5260" t="s" s="11">
        <v>20</v>
      </c>
      <c r="K5260" s="15"/>
      <c r="L5260" t="s" s="16">
        <f>HYPERLINK("http://csr.bu.edu/ftp/asl/asllvd/demos/verify_start_end_handshape_annotations//test_auto_move//signs_mov_separ_signers/Brady_5073.mov","MOV")</f>
        <v>21</v>
      </c>
      <c r="M5260" t="s" s="10">
        <v>39</v>
      </c>
      <c r="N5260" s="17">
        <v>32</v>
      </c>
      <c r="O5260" s="18">
        <v>3769</v>
      </c>
      <c r="P5260" s="18">
        <v>3801</v>
      </c>
      <c r="Q5260" s="15"/>
      <c r="R5260" t="s" s="16">
        <f>HYPERLINK("http://secrets.rutgers.edu:8080/data/asl-ftp/asllvd/demos/verify_start_end_handshape_annotations//test_auto_move//signs_mov_separ_signers/Brady_5073.mov","MOV")</f>
        <v>21</v>
      </c>
    </row>
    <row r="5261" s="2" customFormat="1" ht="13.5" customHeight="1">
      <c r="B5261" t="s" s="8">
        <v>1785</v>
      </c>
      <c r="C5261" t="s" s="9">
        <v>14</v>
      </c>
      <c r="D5261" t="s" s="8">
        <v>14</v>
      </c>
      <c r="E5261" t="s" s="9">
        <v>14</v>
      </c>
      <c r="F5261" t="s" s="10">
        <v>14</v>
      </c>
      <c r="G5261" t="s" s="11">
        <v>14</v>
      </c>
      <c r="H5261" t="s" s="10">
        <v>14</v>
      </c>
      <c r="I5261" t="s" s="11">
        <v>14</v>
      </c>
      <c r="J5261" t="s" s="11">
        <v>14</v>
      </c>
      <c r="K5261" t="s" s="12">
        <v>14</v>
      </c>
      <c r="L5261" t="s" s="12">
        <v>14</v>
      </c>
      <c r="M5261" t="s" s="10">
        <v>14</v>
      </c>
      <c r="N5261" t="s" s="11">
        <v>14</v>
      </c>
      <c r="O5261" t="s" s="8">
        <v>14</v>
      </c>
      <c r="P5261" t="s" s="8">
        <v>14</v>
      </c>
      <c r="Q5261" t="s" s="12">
        <v>14</v>
      </c>
      <c r="R5261" t="s" s="12">
        <v>14</v>
      </c>
    </row>
    <row r="5262" s="2" customFormat="1" ht="27.75" customHeight="1">
      <c r="B5262" s="13"/>
      <c r="C5262" t="s" s="9">
        <v>16</v>
      </c>
      <c r="D5262" t="s" s="8">
        <v>1786</v>
      </c>
      <c r="E5262" t="s" s="9">
        <v>1787</v>
      </c>
      <c r="F5262" t="s" s="10">
        <v>240</v>
      </c>
      <c r="G5262" s="14"/>
      <c r="H5262" t="s" s="10">
        <v>240</v>
      </c>
      <c r="I5262" s="14"/>
      <c r="J5262" t="s" s="11">
        <v>20</v>
      </c>
      <c r="K5262" s="15"/>
      <c r="L5262" t="s" s="16">
        <f>HYPERLINK("http://csr.bu.edu/ftp/asl/asllvd/demos/verify_start_end_handshape_annotations//test_auto_move//signs_mov_separ_signers/Liz_3060.mov","MOV")</f>
        <v>21</v>
      </c>
      <c r="M5262" t="s" s="10">
        <v>34</v>
      </c>
      <c r="N5262" s="17">
        <v>19</v>
      </c>
      <c r="O5262" s="18">
        <v>1095</v>
      </c>
      <c r="P5262" s="18">
        <v>1157</v>
      </c>
      <c r="Q5262" s="15"/>
      <c r="R5262" t="s" s="16">
        <f>HYPERLINK("http://secrets.rutgers.edu:8080/data/asl-ftp/asllvd/demos/verify_start_end_handshape_annotations//test_auto_move//signs_mov_separ_signers/Liz_3060.mov","MOV")</f>
        <v>21</v>
      </c>
    </row>
    <row r="5263" s="2" customFormat="1" ht="27.75" customHeight="1">
      <c r="B5263" s="13"/>
      <c r="C5263" t="s" s="9">
        <v>23</v>
      </c>
      <c r="D5263" t="s" s="8">
        <v>1786</v>
      </c>
      <c r="E5263" t="s" s="9">
        <v>1787</v>
      </c>
      <c r="F5263" t="s" s="10">
        <v>240</v>
      </c>
      <c r="G5263" s="14"/>
      <c r="H5263" t="s" s="10">
        <v>240</v>
      </c>
      <c r="I5263" s="14"/>
      <c r="J5263" t="s" s="11">
        <v>20</v>
      </c>
      <c r="K5263" t="s" s="16">
        <f>HYPERLINK("http://csr.bu.edu/ftp/asl/asllvd/demos/verify_start_end_handshape_annotations//test_auto_move//signs_mov/3060.mov","MOV")</f>
        <v>21</v>
      </c>
      <c r="L5263" t="s" s="16">
        <f>HYPERLINK("http://csr.bu.edu/ftp/asl/asllvd/demos/verify_start_end_handshape_annotations//test_auto_move//signs_mov_separ_signers/Tyler_3060.mov","MOV")</f>
        <v>21</v>
      </c>
      <c r="M5263" t="s" s="10">
        <v>92</v>
      </c>
      <c r="N5263" s="17">
        <v>45</v>
      </c>
      <c r="O5263" s="18">
        <v>4090</v>
      </c>
      <c r="P5263" s="18">
        <v>4136</v>
      </c>
      <c r="Q5263" t="s" s="16">
        <f>HYPERLINK("http://secrets.rutgers.edu:8080/data/asl-ftp/asllvd/demos/verify_start_end_handshape_annotations//test_auto_move//signs_mov/3060.mov","MOV")</f>
        <v>21</v>
      </c>
      <c r="R5263" t="s" s="16">
        <f>HYPERLINK("http://secrets.rutgers.edu:8080/data/asl-ftp/asllvd/demos/verify_start_end_handshape_annotations//test_auto_move//signs_mov_separ_signers/Tyler_3060.mov","MOV")</f>
        <v>21</v>
      </c>
    </row>
    <row r="5264" s="2" customFormat="1" ht="27.75" customHeight="1">
      <c r="B5264" s="13"/>
      <c r="C5264" t="s" s="9">
        <v>27</v>
      </c>
      <c r="D5264" t="s" s="8">
        <v>1786</v>
      </c>
      <c r="E5264" t="s" s="9">
        <v>1787</v>
      </c>
      <c r="F5264" t="s" s="10">
        <v>240</v>
      </c>
      <c r="G5264" s="14"/>
      <c r="H5264" t="s" s="10">
        <v>240</v>
      </c>
      <c r="I5264" s="14"/>
      <c r="J5264" t="s" s="11">
        <v>20</v>
      </c>
      <c r="K5264" s="15"/>
      <c r="L5264" t="s" s="16">
        <f>HYPERLINK("http://csr.bu.edu/ftp/asl/asllvd/demos/verify_start_end_handshape_annotations//test_auto_move//signs_mov_separ_signers/Naomi_3060.mov","MOV")</f>
        <v>21</v>
      </c>
      <c r="M5264" t="s" s="10">
        <v>38</v>
      </c>
      <c r="N5264" s="17">
        <v>15</v>
      </c>
      <c r="O5264" s="18">
        <v>1312</v>
      </c>
      <c r="P5264" s="18">
        <v>1363</v>
      </c>
      <c r="Q5264" s="15"/>
      <c r="R5264" t="s" s="16">
        <f>HYPERLINK("http://secrets.rutgers.edu:8080/data/asl-ftp/asllvd/demos/verify_start_end_handshape_annotations//test_auto_move//signs_mov_separ_signers/Naomi_3060.mov","MOV")</f>
        <v>21</v>
      </c>
    </row>
    <row r="5265" s="2" customFormat="1" ht="13.5" customHeight="1">
      <c r="B5265" t="s" s="8">
        <v>1788</v>
      </c>
      <c r="C5265" t="s" s="9">
        <v>14</v>
      </c>
      <c r="D5265" t="s" s="8">
        <v>14</v>
      </c>
      <c r="E5265" t="s" s="9">
        <v>14</v>
      </c>
      <c r="F5265" t="s" s="10">
        <v>14</v>
      </c>
      <c r="G5265" t="s" s="11">
        <v>14</v>
      </c>
      <c r="H5265" t="s" s="10">
        <v>14</v>
      </c>
      <c r="I5265" t="s" s="11">
        <v>14</v>
      </c>
      <c r="J5265" t="s" s="11">
        <v>14</v>
      </c>
      <c r="K5265" t="s" s="12">
        <v>14</v>
      </c>
      <c r="L5265" t="s" s="12">
        <v>14</v>
      </c>
      <c r="M5265" t="s" s="10">
        <v>14</v>
      </c>
      <c r="N5265" t="s" s="11">
        <v>14</v>
      </c>
      <c r="O5265" t="s" s="8">
        <v>14</v>
      </c>
      <c r="P5265" t="s" s="8">
        <v>14</v>
      </c>
      <c r="Q5265" t="s" s="12">
        <v>14</v>
      </c>
      <c r="R5265" t="s" s="12">
        <v>14</v>
      </c>
    </row>
    <row r="5266" s="2" customFormat="1" ht="13.5" customHeight="1">
      <c r="B5266" s="13"/>
      <c r="C5266" t="s" s="9">
        <v>16</v>
      </c>
      <c r="D5266" t="s" s="8">
        <v>1789</v>
      </c>
      <c r="E5266" t="s" s="9">
        <v>1789</v>
      </c>
      <c r="F5266" s="19">
        <v>1</v>
      </c>
      <c r="G5266" s="14"/>
      <c r="H5266" s="19">
        <v>1</v>
      </c>
      <c r="I5266" s="14"/>
      <c r="J5266" t="s" s="11">
        <v>20</v>
      </c>
      <c r="K5266" s="15"/>
      <c r="L5266" t="s" s="16">
        <f>HYPERLINK("http://csr.bu.edu/ftp/asl/asllvd/demos/verify_start_end_handshape_annotations//test_auto_move//signs_mov_separ_signers/Liz_1145.mov","MOV")</f>
        <v>21</v>
      </c>
      <c r="M5266" t="s" s="10">
        <v>34</v>
      </c>
      <c r="N5266" s="17">
        <v>27</v>
      </c>
      <c r="O5266" s="18">
        <v>2335</v>
      </c>
      <c r="P5266" s="18">
        <v>2371</v>
      </c>
      <c r="Q5266" s="15"/>
      <c r="R5266" t="s" s="16">
        <f>HYPERLINK("http://secrets.rutgers.edu:8080/data/asl-ftp/asllvd/demos/verify_start_end_handshape_annotations//test_auto_move//signs_mov_separ_signers/Liz_1145.mov","MOV")</f>
        <v>21</v>
      </c>
    </row>
    <row r="5267" s="2" customFormat="1" ht="13.5" customHeight="1">
      <c r="B5267" s="13"/>
      <c r="C5267" t="s" s="9">
        <v>23</v>
      </c>
      <c r="D5267" t="s" s="8">
        <v>1789</v>
      </c>
      <c r="E5267" t="s" s="9">
        <v>1789</v>
      </c>
      <c r="F5267" s="19">
        <v>1</v>
      </c>
      <c r="G5267" s="14"/>
      <c r="H5267" s="19">
        <v>1</v>
      </c>
      <c r="I5267" s="14"/>
      <c r="J5267" t="s" s="11">
        <v>20</v>
      </c>
      <c r="K5267" t="s" s="16">
        <f>HYPERLINK("http://csr.bu.edu/ftp/asl/asllvd/demos/verify_start_end_handshape_annotations//test_auto_move//signs_mov/1145.mov","MOV")</f>
        <v>21</v>
      </c>
      <c r="L5267" t="s" s="16">
        <f>HYPERLINK("http://csr.bu.edu/ftp/asl/asllvd/demos/verify_start_end_handshape_annotations//test_auto_move//signs_mov_separ_signers/Tyler_1145.mov","MOV")</f>
        <v>21</v>
      </c>
      <c r="M5267" t="s" s="10">
        <v>37</v>
      </c>
      <c r="N5267" s="17">
        <v>3</v>
      </c>
      <c r="O5267" s="18">
        <v>1905</v>
      </c>
      <c r="P5267" s="18">
        <v>1940</v>
      </c>
      <c r="Q5267" t="s" s="16">
        <f>HYPERLINK("http://secrets.rutgers.edu:8080/data/asl-ftp/asllvd/demos/verify_start_end_handshape_annotations//test_auto_move//signs_mov/1145.mov","MOV")</f>
        <v>21</v>
      </c>
      <c r="R5267" t="s" s="16">
        <f>HYPERLINK("http://secrets.rutgers.edu:8080/data/asl-ftp/asllvd/demos/verify_start_end_handshape_annotations//test_auto_move//signs_mov_separ_signers/Tyler_1145.mov","MOV")</f>
        <v>21</v>
      </c>
    </row>
    <row r="5268" s="2" customFormat="1" ht="13.5" customHeight="1">
      <c r="B5268" s="13"/>
      <c r="C5268" t="s" s="9">
        <v>27</v>
      </c>
      <c r="D5268" t="s" s="8">
        <v>1789</v>
      </c>
      <c r="E5268" t="s" s="9">
        <v>1789</v>
      </c>
      <c r="F5268" s="19">
        <v>1</v>
      </c>
      <c r="G5268" s="14"/>
      <c r="H5268" s="19">
        <v>1</v>
      </c>
      <c r="I5268" s="14"/>
      <c r="J5268" t="s" s="11">
        <v>20</v>
      </c>
      <c r="K5268" s="15"/>
      <c r="L5268" t="s" s="16">
        <f>HYPERLINK("http://csr.bu.edu/ftp/asl/asllvd/demos/verify_start_end_handshape_annotations//test_auto_move//signs_mov_separ_signers/Naomi_1145.mov","MOV")</f>
        <v>21</v>
      </c>
      <c r="M5268" t="s" s="10">
        <v>38</v>
      </c>
      <c r="N5268" s="17">
        <v>23</v>
      </c>
      <c r="O5268" s="18">
        <v>2885</v>
      </c>
      <c r="P5268" s="18">
        <v>2922</v>
      </c>
      <c r="Q5268" s="15"/>
      <c r="R5268" t="s" s="16">
        <f>HYPERLINK("http://secrets.rutgers.edu:8080/data/asl-ftp/asllvd/demos/verify_start_end_handshape_annotations//test_auto_move//signs_mov_separ_signers/Naomi_1145.mov","MOV")</f>
        <v>21</v>
      </c>
    </row>
    <row r="5269" s="2" customFormat="1" ht="13.5" customHeight="1">
      <c r="B5269" t="s" s="8">
        <v>52</v>
      </c>
      <c r="C5269" t="s" s="9">
        <v>53</v>
      </c>
      <c r="D5269" t="s" s="8">
        <v>53</v>
      </c>
      <c r="E5269" t="s" s="9">
        <v>53</v>
      </c>
      <c r="F5269" t="s" s="10">
        <v>53</v>
      </c>
      <c r="G5269" t="s" s="11">
        <v>53</v>
      </c>
      <c r="H5269" t="s" s="10">
        <v>53</v>
      </c>
      <c r="I5269" t="s" s="11">
        <v>53</v>
      </c>
      <c r="J5269" t="s" s="11">
        <v>53</v>
      </c>
      <c r="K5269" t="s" s="12">
        <v>53</v>
      </c>
      <c r="L5269" t="s" s="12">
        <v>53</v>
      </c>
      <c r="M5269" t="s" s="10">
        <v>53</v>
      </c>
      <c r="N5269" t="s" s="11">
        <v>53</v>
      </c>
      <c r="O5269" t="s" s="8">
        <v>53</v>
      </c>
      <c r="P5269" t="s" s="8">
        <v>53</v>
      </c>
      <c r="Q5269" t="s" s="12">
        <v>53</v>
      </c>
      <c r="R5269" t="s" s="12">
        <v>53</v>
      </c>
    </row>
    <row r="5270" s="2" customFormat="1" ht="13.5" customHeight="1">
      <c r="B5270" s="13"/>
      <c r="C5270" t="s" s="9">
        <v>16</v>
      </c>
      <c r="D5270" t="s" s="8">
        <v>1789</v>
      </c>
      <c r="E5270" t="s" s="9">
        <v>1790</v>
      </c>
      <c r="F5270" s="19">
        <v>1</v>
      </c>
      <c r="G5270" s="14"/>
      <c r="H5270" s="19">
        <v>1</v>
      </c>
      <c r="I5270" s="14"/>
      <c r="J5270" t="s" s="11">
        <v>20</v>
      </c>
      <c r="K5270" t="s" s="16">
        <f>HYPERLINK("http://csr.bu.edu/ftp/asl/asllvd/demos/verify_start_end_handshape_annotations//test_auto_move//signs_mov/5212.mov","MOV")</f>
        <v>21</v>
      </c>
      <c r="L5270" t="s" s="16">
        <f>HYPERLINK("http://csr.bu.edu/ftp/asl/asllvd/demos/verify_start_end_handshape_annotations//test_auto_move//signs_mov_separ_signers/Liz_5212.mov","MOV")</f>
        <v>21</v>
      </c>
      <c r="M5270" t="s" s="10">
        <v>59</v>
      </c>
      <c r="N5270" s="17">
        <v>37</v>
      </c>
      <c r="O5270" s="18">
        <v>1891</v>
      </c>
      <c r="P5270" s="18">
        <v>1927</v>
      </c>
      <c r="Q5270" t="s" s="16">
        <f>HYPERLINK("http://secrets.rutgers.edu:8080/data/asl-ftp/asllvd/demos/verify_start_end_handshape_annotations//test_auto_move//signs_mov/5212.mov","MOV")</f>
        <v>21</v>
      </c>
      <c r="R5270" t="s" s="16">
        <f>HYPERLINK("http://secrets.rutgers.edu:8080/data/asl-ftp/asllvd/demos/verify_start_end_handshape_annotations//test_auto_move//signs_mov_separ_signers/Liz_5212.mov","MOV")</f>
        <v>21</v>
      </c>
    </row>
    <row r="5271" s="2" customFormat="1" ht="13.5" customHeight="1">
      <c r="B5271" s="13"/>
      <c r="C5271" t="s" s="9">
        <v>30</v>
      </c>
      <c r="D5271" t="s" s="8">
        <v>1789</v>
      </c>
      <c r="E5271" t="s" s="9">
        <v>1790</v>
      </c>
      <c r="F5271" s="19">
        <v>1</v>
      </c>
      <c r="G5271" s="14"/>
      <c r="H5271" s="19">
        <v>1</v>
      </c>
      <c r="I5271" s="14"/>
      <c r="J5271" t="s" s="11">
        <v>20</v>
      </c>
      <c r="K5271" s="15"/>
      <c r="L5271" t="s" s="16">
        <f>HYPERLINK("http://csr.bu.edu/ftp/asl/asllvd/demos/verify_start_end_handshape_annotations//test_auto_move//signs_mov_separ_signers/Brady_5212.mov","MOV")</f>
        <v>21</v>
      </c>
      <c r="M5271" t="s" s="10">
        <v>60</v>
      </c>
      <c r="N5271" s="17">
        <v>25</v>
      </c>
      <c r="O5271" s="18">
        <v>2649</v>
      </c>
      <c r="P5271" s="18">
        <v>2676</v>
      </c>
      <c r="Q5271" s="15"/>
      <c r="R5271" t="s" s="16">
        <f>HYPERLINK("http://secrets.rutgers.edu:8080/data/asl-ftp/asllvd/demos/verify_start_end_handshape_annotations//test_auto_move//signs_mov_separ_signers/Brady_5212.mov","MOV")</f>
        <v>21</v>
      </c>
    </row>
    <row r="5272" s="2" customFormat="1" ht="13.5" customHeight="1">
      <c r="B5272" t="s" s="8">
        <v>52</v>
      </c>
      <c r="C5272" t="s" s="9">
        <v>53</v>
      </c>
      <c r="D5272" t="s" s="8">
        <v>53</v>
      </c>
      <c r="E5272" t="s" s="9">
        <v>53</v>
      </c>
      <c r="F5272" t="s" s="10">
        <v>53</v>
      </c>
      <c r="G5272" t="s" s="11">
        <v>53</v>
      </c>
      <c r="H5272" t="s" s="10">
        <v>53</v>
      </c>
      <c r="I5272" t="s" s="11">
        <v>53</v>
      </c>
      <c r="J5272" t="s" s="11">
        <v>53</v>
      </c>
      <c r="K5272" t="s" s="12">
        <v>53</v>
      </c>
      <c r="L5272" t="s" s="12">
        <v>53</v>
      </c>
      <c r="M5272" t="s" s="10">
        <v>53</v>
      </c>
      <c r="N5272" t="s" s="11">
        <v>53</v>
      </c>
      <c r="O5272" t="s" s="8">
        <v>53</v>
      </c>
      <c r="P5272" t="s" s="8">
        <v>53</v>
      </c>
      <c r="Q5272" t="s" s="12">
        <v>53</v>
      </c>
      <c r="R5272" t="s" s="12">
        <v>53</v>
      </c>
    </row>
    <row r="5273" s="2" customFormat="1" ht="13.5" customHeight="1">
      <c r="B5273" s="13"/>
      <c r="C5273" t="s" s="9">
        <v>16</v>
      </c>
      <c r="D5273" t="s" s="8">
        <v>1789</v>
      </c>
      <c r="E5273" t="s" s="9">
        <v>1791</v>
      </c>
      <c r="F5273" t="s" s="10">
        <v>220</v>
      </c>
      <c r="G5273" s="14"/>
      <c r="H5273" t="s" s="10">
        <v>220</v>
      </c>
      <c r="I5273" s="14"/>
      <c r="J5273" t="s" s="11">
        <v>20</v>
      </c>
      <c r="K5273" t="s" s="16">
        <f>HYPERLINK("http://csr.bu.edu/ftp/asl/asllvd/demos/verify_start_end_handshape_annotations//test_auto_move//signs_mov/5418.mov","MOV")</f>
        <v>21</v>
      </c>
      <c r="L5273" t="s" s="16">
        <f>HYPERLINK("http://csr.bu.edu/ftp/asl/asllvd/demos/verify_start_end_handshape_annotations//test_auto_move//signs_mov_separ_signers/Liz_5418.mov","MOV")</f>
        <v>21</v>
      </c>
      <c r="M5273" t="s" s="10">
        <v>59</v>
      </c>
      <c r="N5273" s="17">
        <v>26</v>
      </c>
      <c r="O5273" s="18">
        <v>3035</v>
      </c>
      <c r="P5273" s="18">
        <v>3072</v>
      </c>
      <c r="Q5273" t="s" s="16">
        <f>HYPERLINK("http://secrets.rutgers.edu:8080/data/asl-ftp/asllvd/demos/verify_start_end_handshape_annotations//test_auto_move//signs_mov/5418.mov","MOV")</f>
        <v>21</v>
      </c>
      <c r="R5273" t="s" s="16">
        <f>HYPERLINK("http://secrets.rutgers.edu:8080/data/asl-ftp/asllvd/demos/verify_start_end_handshape_annotations//test_auto_move//signs_mov_separ_signers/Liz_5418.mov","MOV")</f>
        <v>21</v>
      </c>
    </row>
    <row r="5274" s="2" customFormat="1" ht="13.5" customHeight="1">
      <c r="B5274" s="13"/>
      <c r="C5274" t="s" s="9">
        <v>30</v>
      </c>
      <c r="D5274" t="s" s="8">
        <v>1789</v>
      </c>
      <c r="E5274" t="s" s="9">
        <v>1791</v>
      </c>
      <c r="F5274" t="s" s="10">
        <v>220</v>
      </c>
      <c r="G5274" s="14"/>
      <c r="H5274" t="s" s="10">
        <v>220</v>
      </c>
      <c r="I5274" s="14"/>
      <c r="J5274" t="s" s="11">
        <v>20</v>
      </c>
      <c r="K5274" s="15"/>
      <c r="L5274" t="s" s="16">
        <f>HYPERLINK("http://csr.bu.edu/ftp/asl/asllvd/demos/verify_start_end_handshape_annotations//test_auto_move//signs_mov_separ_signers/Brady_5418.mov","MOV")</f>
        <v>21</v>
      </c>
      <c r="M5274" t="s" s="10">
        <v>60</v>
      </c>
      <c r="N5274" s="17">
        <v>15</v>
      </c>
      <c r="O5274" s="18">
        <v>489</v>
      </c>
      <c r="P5274" s="18">
        <v>535</v>
      </c>
      <c r="Q5274" s="15"/>
      <c r="R5274" t="s" s="16">
        <f>HYPERLINK("http://secrets.rutgers.edu:8080/data/asl-ftp/asllvd/demos/verify_start_end_handshape_annotations//test_auto_move//signs_mov_separ_signers/Brady_5418.mov","MOV")</f>
        <v>21</v>
      </c>
    </row>
    <row r="5275" s="2" customFormat="1" ht="13.5" customHeight="1">
      <c r="B5275" t="s" s="8">
        <v>1788</v>
      </c>
      <c r="C5275" t="s" s="9">
        <v>14</v>
      </c>
      <c r="D5275" t="s" s="8">
        <v>14</v>
      </c>
      <c r="E5275" t="s" s="9">
        <v>14</v>
      </c>
      <c r="F5275" t="s" s="10">
        <v>14</v>
      </c>
      <c r="G5275" t="s" s="11">
        <v>14</v>
      </c>
      <c r="H5275" t="s" s="10">
        <v>14</v>
      </c>
      <c r="I5275" t="s" s="11">
        <v>14</v>
      </c>
      <c r="J5275" t="s" s="11">
        <v>14</v>
      </c>
      <c r="K5275" t="s" s="12">
        <v>14</v>
      </c>
      <c r="L5275" t="s" s="12">
        <v>14</v>
      </c>
      <c r="M5275" t="s" s="10">
        <v>14</v>
      </c>
      <c r="N5275" t="s" s="11">
        <v>14</v>
      </c>
      <c r="O5275" t="s" s="8">
        <v>14</v>
      </c>
      <c r="P5275" t="s" s="8">
        <v>14</v>
      </c>
      <c r="Q5275" t="s" s="12">
        <v>14</v>
      </c>
      <c r="R5275" t="s" s="12">
        <v>14</v>
      </c>
    </row>
    <row r="5276" s="2" customFormat="1" ht="13.5" customHeight="1">
      <c r="B5276" s="13"/>
      <c r="C5276" t="s" s="9">
        <v>16</v>
      </c>
      <c r="D5276" t="s" s="8">
        <v>1792</v>
      </c>
      <c r="E5276" t="s" s="9">
        <v>1792</v>
      </c>
      <c r="F5276" s="19">
        <v>1</v>
      </c>
      <c r="G5276" s="14"/>
      <c r="H5276" s="19">
        <v>1</v>
      </c>
      <c r="I5276" s="14"/>
      <c r="J5276" t="s" s="11">
        <v>20</v>
      </c>
      <c r="K5276" s="15"/>
      <c r="L5276" t="s" s="16">
        <f>HYPERLINK("http://csr.bu.edu/ftp/asl/asllvd/demos/verify_start_end_handshape_annotations//test_auto_move//signs_mov_separ_signers/Liz_5431.mov","MOV")</f>
        <v>21</v>
      </c>
      <c r="M5276" t="s" s="10">
        <v>34</v>
      </c>
      <c r="N5276" s="17">
        <v>19</v>
      </c>
      <c r="O5276" s="18">
        <v>1362</v>
      </c>
      <c r="P5276" s="18">
        <v>1400</v>
      </c>
      <c r="Q5276" s="15"/>
      <c r="R5276" t="s" s="16">
        <f>HYPERLINK("http://secrets.rutgers.edu:8080/data/asl-ftp/asllvd/demos/verify_start_end_handshape_annotations//test_auto_move//signs_mov_separ_signers/Liz_5431.mov","MOV")</f>
        <v>21</v>
      </c>
    </row>
    <row r="5277" s="2" customFormat="1" ht="13.5" customHeight="1">
      <c r="B5277" s="13"/>
      <c r="C5277" t="s" s="9">
        <v>16</v>
      </c>
      <c r="D5277" t="s" s="8">
        <v>1792</v>
      </c>
      <c r="E5277" t="s" s="9">
        <v>1792</v>
      </c>
      <c r="F5277" s="19">
        <v>1</v>
      </c>
      <c r="G5277" s="14"/>
      <c r="H5277" s="19">
        <v>1</v>
      </c>
      <c r="I5277" s="14"/>
      <c r="J5277" t="s" s="11">
        <v>20</v>
      </c>
      <c r="K5277" s="15"/>
      <c r="L5277" t="s" s="16">
        <f>HYPERLINK("http://csr.bu.edu/ftp/asl/asllvd/demos/verify_start_end_handshape_annotations//test_auto_move//signs_mov_separ_signers/Liz_5558.mov","MOV")</f>
        <v>21</v>
      </c>
      <c r="M5277" t="s" s="10">
        <v>88</v>
      </c>
      <c r="N5277" s="17">
        <v>43</v>
      </c>
      <c r="O5277" s="18">
        <v>1860</v>
      </c>
      <c r="P5277" s="18">
        <v>1894</v>
      </c>
      <c r="Q5277" s="15"/>
      <c r="R5277" t="s" s="16">
        <f>HYPERLINK("http://secrets.rutgers.edu:8080/data/asl-ftp/asllvd/demos/verify_start_end_handshape_annotations//test_auto_move//signs_mov_separ_signers/Liz_5558.mov","MOV")</f>
        <v>21</v>
      </c>
    </row>
    <row r="5278" s="2" customFormat="1" ht="13.5" customHeight="1">
      <c r="B5278" s="13"/>
      <c r="C5278" t="s" s="9">
        <v>16</v>
      </c>
      <c r="D5278" t="s" s="8">
        <v>1792</v>
      </c>
      <c r="E5278" t="s" s="9">
        <v>1792</v>
      </c>
      <c r="F5278" s="19">
        <v>1</v>
      </c>
      <c r="G5278" s="14"/>
      <c r="H5278" s="19">
        <v>1</v>
      </c>
      <c r="I5278" s="14"/>
      <c r="J5278" t="s" s="11">
        <v>20</v>
      </c>
      <c r="K5278" s="15"/>
      <c r="L5278" t="s" s="16">
        <f>HYPERLINK("http://csr.bu.edu/ftp/asl/asllvd/demos/verify_start_end_handshape_annotations//test_auto_move//signs_mov_separ_signers/Liz_5600.mov","MOV")</f>
        <v>21</v>
      </c>
      <c r="M5278" t="s" s="10">
        <v>59</v>
      </c>
      <c r="N5278" s="17">
        <v>9</v>
      </c>
      <c r="O5278" s="18">
        <v>2100</v>
      </c>
      <c r="P5278" s="18">
        <v>2122</v>
      </c>
      <c r="Q5278" s="15"/>
      <c r="R5278" t="s" s="16">
        <f>HYPERLINK("http://secrets.rutgers.edu:8080/data/asl-ftp/asllvd/demos/verify_start_end_handshape_annotations//test_auto_move//signs_mov_separ_signers/Liz_5600.mov","MOV")</f>
        <v>21</v>
      </c>
    </row>
    <row r="5279" s="2" customFormat="1" ht="13.5" customHeight="1">
      <c r="B5279" s="13"/>
      <c r="C5279" t="s" s="9">
        <v>23</v>
      </c>
      <c r="D5279" t="s" s="8">
        <v>1792</v>
      </c>
      <c r="E5279" t="s" s="9">
        <v>1792</v>
      </c>
      <c r="F5279" s="19">
        <v>1</v>
      </c>
      <c r="G5279" s="14"/>
      <c r="H5279" s="19">
        <v>1</v>
      </c>
      <c r="I5279" s="14"/>
      <c r="J5279" t="s" s="11">
        <v>20</v>
      </c>
      <c r="K5279" t="s" s="16">
        <f>HYPERLINK("http://csr.bu.edu/ftp/asl/asllvd/demos/verify_start_end_handshape_annotations//test_auto_move//signs_mov/5431_5558_5600_merged.mov","MOV")</f>
        <v>21</v>
      </c>
      <c r="L5279" t="s" s="16">
        <f>HYPERLINK("http://csr.bu.edu/ftp/asl/asllvd/demos/verify_start_end_handshape_annotations//test_auto_move//signs_mov_separ_signers/Tyler_5431.mov","MOV")</f>
        <v>21</v>
      </c>
      <c r="M5279" t="s" s="10">
        <v>92</v>
      </c>
      <c r="N5279" s="17">
        <v>47</v>
      </c>
      <c r="O5279" s="18">
        <v>3375</v>
      </c>
      <c r="P5279" s="18">
        <v>3395</v>
      </c>
      <c r="Q5279" t="s" s="16">
        <f>HYPERLINK("http://secrets.rutgers.edu:8080/data/asl-ftp/asllvd/demos/verify_start_end_handshape_annotations//test_auto_move//signs_mov/5431_5558_5600_merged.mov","MOV")</f>
        <v>21</v>
      </c>
      <c r="R5279" t="s" s="16">
        <f>HYPERLINK("http://secrets.rutgers.edu:8080/data/asl-ftp/asllvd/demos/verify_start_end_handshape_annotations//test_auto_move//signs_mov_separ_signers/Tyler_5431.mov","MOV")</f>
        <v>21</v>
      </c>
    </row>
    <row r="5280" s="2" customFormat="1" ht="13.5" customHeight="1">
      <c r="B5280" s="13"/>
      <c r="C5280" t="s" s="9">
        <v>27</v>
      </c>
      <c r="D5280" t="s" s="8">
        <v>1792</v>
      </c>
      <c r="E5280" t="s" s="9">
        <v>1792</v>
      </c>
      <c r="F5280" s="19">
        <v>1</v>
      </c>
      <c r="G5280" s="14"/>
      <c r="H5280" s="19">
        <v>1</v>
      </c>
      <c r="I5280" s="14"/>
      <c r="J5280" t="s" s="11">
        <v>20</v>
      </c>
      <c r="K5280" s="15"/>
      <c r="L5280" t="s" s="16">
        <f>HYPERLINK("http://csr.bu.edu/ftp/asl/asllvd/demos/verify_start_end_handshape_annotations//test_auto_move//signs_mov_separ_signers/Naomi_5431.mov","MOV")</f>
        <v>21</v>
      </c>
      <c r="M5280" t="s" s="10">
        <v>38</v>
      </c>
      <c r="N5280" s="17">
        <v>15</v>
      </c>
      <c r="O5280" s="18">
        <v>1652</v>
      </c>
      <c r="P5280" s="18">
        <v>1677</v>
      </c>
      <c r="Q5280" s="15"/>
      <c r="R5280" t="s" s="16">
        <f>HYPERLINK("http://secrets.rutgers.edu:8080/data/asl-ftp/asllvd/demos/verify_start_end_handshape_annotations//test_auto_move//signs_mov_separ_signers/Naomi_5431.mov","MOV")</f>
        <v>21</v>
      </c>
    </row>
    <row r="5281" s="2" customFormat="1" ht="13.5" customHeight="1">
      <c r="B5281" s="13"/>
      <c r="C5281" t="s" s="9">
        <v>30</v>
      </c>
      <c r="D5281" t="s" s="8">
        <v>1792</v>
      </c>
      <c r="E5281" t="s" s="9">
        <v>1792</v>
      </c>
      <c r="F5281" s="19">
        <v>1</v>
      </c>
      <c r="G5281" s="14"/>
      <c r="H5281" s="19">
        <v>1</v>
      </c>
      <c r="I5281" s="14"/>
      <c r="J5281" t="s" s="11">
        <v>20</v>
      </c>
      <c r="K5281" s="15"/>
      <c r="L5281" t="s" s="16">
        <f>HYPERLINK("http://csr.bu.edu/ftp/asl/asllvd/demos/verify_start_end_handshape_annotations//test_auto_move//signs_mov_separ_signers/Brady_5431.mov","MOV")</f>
        <v>21</v>
      </c>
      <c r="M5281" t="s" s="10">
        <v>39</v>
      </c>
      <c r="N5281" s="17">
        <v>32</v>
      </c>
      <c r="O5281" s="18">
        <v>3974</v>
      </c>
      <c r="P5281" s="18">
        <v>4001</v>
      </c>
      <c r="Q5281" s="15"/>
      <c r="R5281" t="s" s="16">
        <f>HYPERLINK("http://secrets.rutgers.edu:8080/data/asl-ftp/asllvd/demos/verify_start_end_handshape_annotations//test_auto_move//signs_mov_separ_signers/Brady_5431.mov","MOV")</f>
        <v>21</v>
      </c>
    </row>
    <row r="5282" s="2" customFormat="1" ht="13.5" customHeight="1">
      <c r="B5282" s="13"/>
      <c r="C5282" t="s" s="9">
        <v>30</v>
      </c>
      <c r="D5282" t="s" s="8">
        <v>1792</v>
      </c>
      <c r="E5282" t="s" s="9">
        <v>1792</v>
      </c>
      <c r="F5282" s="19">
        <v>1</v>
      </c>
      <c r="G5282" s="14"/>
      <c r="H5282" s="19">
        <v>1</v>
      </c>
      <c r="I5282" s="14"/>
      <c r="J5282" t="s" s="11">
        <v>20</v>
      </c>
      <c r="K5282" s="15"/>
      <c r="L5282" t="s" s="16">
        <f>HYPERLINK("http://csr.bu.edu/ftp/asl/asllvd/demos/verify_start_end_handshape_annotations//test_auto_move//signs_mov_separ_signers/Brady_5558.mov","MOV")</f>
        <v>21</v>
      </c>
      <c r="M5282" t="s" s="10">
        <v>40</v>
      </c>
      <c r="N5282" s="17">
        <v>37</v>
      </c>
      <c r="O5282" s="18">
        <v>1691</v>
      </c>
      <c r="P5282" s="18">
        <v>1719</v>
      </c>
      <c r="Q5282" s="15"/>
      <c r="R5282" t="s" s="16">
        <f>HYPERLINK("http://secrets.rutgers.edu:8080/data/asl-ftp/asllvd/demos/verify_start_end_handshape_annotations//test_auto_move//signs_mov_separ_signers/Brady_5558.mov","MOV")</f>
        <v>21</v>
      </c>
    </row>
    <row r="5283" s="2" customFormat="1" ht="13.5" customHeight="1">
      <c r="B5283" s="13"/>
      <c r="C5283" t="s" s="9">
        <v>30</v>
      </c>
      <c r="D5283" t="s" s="8">
        <v>1792</v>
      </c>
      <c r="E5283" t="s" s="9">
        <v>1792</v>
      </c>
      <c r="F5283" s="19">
        <v>1</v>
      </c>
      <c r="G5283" s="14"/>
      <c r="H5283" s="19">
        <v>1</v>
      </c>
      <c r="I5283" s="14"/>
      <c r="J5283" t="s" s="11">
        <v>20</v>
      </c>
      <c r="K5283" s="15"/>
      <c r="L5283" t="s" s="16">
        <f>HYPERLINK("http://csr.bu.edu/ftp/asl/asllvd/demos/verify_start_end_handshape_annotations//test_auto_move//signs_mov_separ_signers/Brady_5600.mov","MOV")</f>
        <v>21</v>
      </c>
      <c r="M5283" t="s" s="10">
        <v>40</v>
      </c>
      <c r="N5283" s="17">
        <v>114</v>
      </c>
      <c r="O5283" s="18">
        <v>119</v>
      </c>
      <c r="P5283" s="18">
        <v>139</v>
      </c>
      <c r="Q5283" s="15"/>
      <c r="R5283" t="s" s="16">
        <f>HYPERLINK("http://secrets.rutgers.edu:8080/data/asl-ftp/asllvd/demos/verify_start_end_handshape_annotations//test_auto_move//signs_mov_separ_signers/Brady_5600.mov","MOV")</f>
        <v>21</v>
      </c>
    </row>
    <row r="5284" s="2" customFormat="1" ht="13.5" customHeight="1">
      <c r="B5284" t="s" s="8">
        <v>52</v>
      </c>
      <c r="C5284" t="s" s="9">
        <v>53</v>
      </c>
      <c r="D5284" t="s" s="8">
        <v>53</v>
      </c>
      <c r="E5284" t="s" s="9">
        <v>53</v>
      </c>
      <c r="F5284" t="s" s="10">
        <v>53</v>
      </c>
      <c r="G5284" t="s" s="11">
        <v>53</v>
      </c>
      <c r="H5284" t="s" s="10">
        <v>53</v>
      </c>
      <c r="I5284" t="s" s="11">
        <v>53</v>
      </c>
      <c r="J5284" t="s" s="11">
        <v>53</v>
      </c>
      <c r="K5284" t="s" s="12">
        <v>53</v>
      </c>
      <c r="L5284" t="s" s="12">
        <v>53</v>
      </c>
      <c r="M5284" t="s" s="10">
        <v>53</v>
      </c>
      <c r="N5284" t="s" s="11">
        <v>53</v>
      </c>
      <c r="O5284" t="s" s="8">
        <v>53</v>
      </c>
      <c r="P5284" t="s" s="8">
        <v>53</v>
      </c>
      <c r="Q5284" t="s" s="12">
        <v>53</v>
      </c>
      <c r="R5284" t="s" s="12">
        <v>53</v>
      </c>
    </row>
    <row r="5285" s="2" customFormat="1" ht="13.5" customHeight="1">
      <c r="B5285" s="13"/>
      <c r="C5285" t="s" s="9">
        <v>16</v>
      </c>
      <c r="D5285" t="s" s="8">
        <v>1792</v>
      </c>
      <c r="E5285" t="s" s="9">
        <v>1793</v>
      </c>
      <c r="F5285" s="19">
        <v>1</v>
      </c>
      <c r="G5285" s="14"/>
      <c r="H5285" s="19">
        <v>1</v>
      </c>
      <c r="I5285" s="14"/>
      <c r="J5285" t="s" s="11">
        <v>20</v>
      </c>
      <c r="K5285" t="s" s="16">
        <f>HYPERLINK("http://csr.bu.edu/ftp/asl/asllvd/demos/verify_start_end_handshape_annotations//test_auto_move//signs_mov/5601.mov","MOV")</f>
        <v>21</v>
      </c>
      <c r="L5285" t="s" s="16">
        <f>HYPERLINK("http://csr.bu.edu/ftp/asl/asllvd/demos/verify_start_end_handshape_annotations//test_auto_move//signs_mov_separ_signers/Liz_5601.mov","MOV")</f>
        <v>21</v>
      </c>
      <c r="M5285" t="s" s="10">
        <v>59</v>
      </c>
      <c r="N5285" s="17">
        <v>10</v>
      </c>
      <c r="O5285" s="18">
        <v>1425</v>
      </c>
      <c r="P5285" s="18">
        <v>1472</v>
      </c>
      <c r="Q5285" t="s" s="16">
        <f>HYPERLINK("http://secrets.rutgers.edu:8080/data/asl-ftp/asllvd/demos/verify_start_end_handshape_annotations//test_auto_move//signs_mov/5601.mov","MOV")</f>
        <v>21</v>
      </c>
      <c r="R5285" t="s" s="16">
        <f>HYPERLINK("http://secrets.rutgers.edu:8080/data/asl-ftp/asllvd/demos/verify_start_end_handshape_annotations//test_auto_move//signs_mov_separ_signers/Liz_5601.mov","MOV")</f>
        <v>21</v>
      </c>
    </row>
    <row r="5286" s="2" customFormat="1" ht="13.5" customHeight="1">
      <c r="B5286" s="13"/>
      <c r="C5286" t="s" s="9">
        <v>30</v>
      </c>
      <c r="D5286" t="s" s="8">
        <v>1792</v>
      </c>
      <c r="E5286" t="s" s="9">
        <v>1793</v>
      </c>
      <c r="F5286" s="19">
        <v>1</v>
      </c>
      <c r="G5286" s="14"/>
      <c r="H5286" s="19">
        <v>1</v>
      </c>
      <c r="I5286" s="14"/>
      <c r="J5286" t="s" s="11">
        <v>20</v>
      </c>
      <c r="K5286" s="15"/>
      <c r="L5286" t="s" s="16">
        <f>HYPERLINK("http://csr.bu.edu/ftp/asl/asllvd/demos/verify_start_end_handshape_annotations//test_auto_move//signs_mov_separ_signers/Brady_5601.mov","MOV")</f>
        <v>21</v>
      </c>
      <c r="M5286" t="s" s="10">
        <v>40</v>
      </c>
      <c r="N5286" s="17">
        <v>114</v>
      </c>
      <c r="O5286" s="18">
        <v>1473</v>
      </c>
      <c r="P5286" s="18">
        <v>1488</v>
      </c>
      <c r="Q5286" s="15"/>
      <c r="R5286" t="s" s="16">
        <f>HYPERLINK("http://secrets.rutgers.edu:8080/data/asl-ftp/asllvd/demos/verify_start_end_handshape_annotations//test_auto_move//signs_mov_separ_signers/Brady_5601.mov","MOV")</f>
        <v>21</v>
      </c>
    </row>
    <row r="5287" s="2" customFormat="1" ht="13.5" customHeight="1">
      <c r="B5287" t="s" s="8">
        <v>52</v>
      </c>
      <c r="C5287" t="s" s="9">
        <v>53</v>
      </c>
      <c r="D5287" t="s" s="8">
        <v>53</v>
      </c>
      <c r="E5287" t="s" s="9">
        <v>53</v>
      </c>
      <c r="F5287" t="s" s="10">
        <v>53</v>
      </c>
      <c r="G5287" t="s" s="11">
        <v>53</v>
      </c>
      <c r="H5287" t="s" s="10">
        <v>53</v>
      </c>
      <c r="I5287" t="s" s="11">
        <v>53</v>
      </c>
      <c r="J5287" t="s" s="11">
        <v>53</v>
      </c>
      <c r="K5287" t="s" s="12">
        <v>53</v>
      </c>
      <c r="L5287" t="s" s="12">
        <v>53</v>
      </c>
      <c r="M5287" t="s" s="10">
        <v>53</v>
      </c>
      <c r="N5287" t="s" s="11">
        <v>53</v>
      </c>
      <c r="O5287" t="s" s="8">
        <v>53</v>
      </c>
      <c r="P5287" t="s" s="8">
        <v>53</v>
      </c>
      <c r="Q5287" t="s" s="12">
        <v>53</v>
      </c>
      <c r="R5287" t="s" s="12">
        <v>53</v>
      </c>
    </row>
    <row r="5288" s="2" customFormat="1" ht="13.5" customHeight="1">
      <c r="B5288" s="13"/>
      <c r="C5288" t="s" s="9">
        <v>16</v>
      </c>
      <c r="D5288" t="s" s="8">
        <v>1792</v>
      </c>
      <c r="E5288" t="s" s="9">
        <v>1794</v>
      </c>
      <c r="F5288" s="19">
        <v>3</v>
      </c>
      <c r="G5288" s="14"/>
      <c r="H5288" s="19">
        <v>3</v>
      </c>
      <c r="I5288" s="14"/>
      <c r="J5288" t="s" s="11">
        <v>20</v>
      </c>
      <c r="K5288" t="s" s="16">
        <f>HYPERLINK("http://csr.bu.edu/ftp/asl/asllvd/demos/verify_start_end_handshape_annotations//test_auto_move//signs_mov/5602.mov","MOV")</f>
        <v>21</v>
      </c>
      <c r="L5288" t="s" s="16">
        <f>HYPERLINK("http://csr.bu.edu/ftp/asl/asllvd/demos/verify_start_end_handshape_annotations//test_auto_move//signs_mov_separ_signers/Liz_5602.mov","MOV")</f>
        <v>21</v>
      </c>
      <c r="M5288" t="s" s="10">
        <v>59</v>
      </c>
      <c r="N5288" s="17">
        <v>15</v>
      </c>
      <c r="O5288" s="18">
        <v>895</v>
      </c>
      <c r="P5288" s="18">
        <v>930</v>
      </c>
      <c r="Q5288" t="s" s="16">
        <f>HYPERLINK("http://secrets.rutgers.edu:8080/data/asl-ftp/asllvd/demos/verify_start_end_handshape_annotations//test_auto_move//signs_mov/5602.mov","MOV")</f>
        <v>21</v>
      </c>
      <c r="R5288" t="s" s="16">
        <f>HYPERLINK("http://secrets.rutgers.edu:8080/data/asl-ftp/asllvd/demos/verify_start_end_handshape_annotations//test_auto_move//signs_mov_separ_signers/Liz_5602.mov","MOV")</f>
        <v>21</v>
      </c>
    </row>
    <row r="5289" s="2" customFormat="1" ht="13.5" customHeight="1">
      <c r="B5289" t="s" s="8">
        <v>1795</v>
      </c>
      <c r="C5289" t="s" s="9">
        <v>14</v>
      </c>
      <c r="D5289" t="s" s="8">
        <v>14</v>
      </c>
      <c r="E5289" t="s" s="9">
        <v>14</v>
      </c>
      <c r="F5289" t="s" s="10">
        <v>14</v>
      </c>
      <c r="G5289" t="s" s="11">
        <v>14</v>
      </c>
      <c r="H5289" t="s" s="10">
        <v>14</v>
      </c>
      <c r="I5289" t="s" s="11">
        <v>14</v>
      </c>
      <c r="J5289" t="s" s="11">
        <v>14</v>
      </c>
      <c r="K5289" t="s" s="12">
        <v>14</v>
      </c>
      <c r="L5289" t="s" s="12">
        <v>14</v>
      </c>
      <c r="M5289" t="s" s="10">
        <v>14</v>
      </c>
      <c r="N5289" t="s" s="11">
        <v>14</v>
      </c>
      <c r="O5289" t="s" s="8">
        <v>14</v>
      </c>
      <c r="P5289" t="s" s="8">
        <v>14</v>
      </c>
      <c r="Q5289" t="s" s="12">
        <v>14</v>
      </c>
      <c r="R5289" t="s" s="12">
        <v>14</v>
      </c>
    </row>
    <row r="5290" s="2" customFormat="1" ht="13.5" customHeight="1">
      <c r="B5290" s="13"/>
      <c r="C5290" t="s" s="9">
        <v>16</v>
      </c>
      <c r="D5290" t="s" s="8">
        <v>1796</v>
      </c>
      <c r="E5290" t="s" s="9">
        <v>1796</v>
      </c>
      <c r="F5290" t="s" s="10">
        <v>73</v>
      </c>
      <c r="G5290" s="14"/>
      <c r="H5290" t="s" s="10">
        <v>73</v>
      </c>
      <c r="I5290" s="14"/>
      <c r="J5290" t="s" s="11">
        <v>20</v>
      </c>
      <c r="K5290" t="s" s="16">
        <f>HYPERLINK("http://csr.bu.edu/ftp/asl/asllvd/demos/verify_start_end_handshape_annotations//test_auto_move//signs_mov/5603.mov","MOV")</f>
        <v>21</v>
      </c>
      <c r="L5290" t="s" s="16">
        <f>HYPERLINK("http://csr.bu.edu/ftp/asl/asllvd/demos/verify_start_end_handshape_annotations//test_auto_move//signs_mov_separ_signers/Liz_5603.mov","MOV")</f>
        <v>21</v>
      </c>
      <c r="M5290" t="s" s="10">
        <v>59</v>
      </c>
      <c r="N5290" s="17">
        <v>9</v>
      </c>
      <c r="O5290" s="18">
        <v>2325</v>
      </c>
      <c r="P5290" s="18">
        <v>2345</v>
      </c>
      <c r="Q5290" t="s" s="16">
        <f>HYPERLINK("http://secrets.rutgers.edu:8080/data/asl-ftp/asllvd/demos/verify_start_end_handshape_annotations//test_auto_move//signs_mov/5603.mov","MOV")</f>
        <v>21</v>
      </c>
      <c r="R5290" t="s" s="16">
        <f>HYPERLINK("http://secrets.rutgers.edu:8080/data/asl-ftp/asllvd/demos/verify_start_end_handshape_annotations//test_auto_move//signs_mov_separ_signers/Liz_5603.mov","MOV")</f>
        <v>21</v>
      </c>
    </row>
    <row r="5291" s="2" customFormat="1" ht="13.5" customHeight="1">
      <c r="B5291" s="13"/>
      <c r="C5291" t="s" s="9">
        <v>30</v>
      </c>
      <c r="D5291" t="s" s="8">
        <v>1796</v>
      </c>
      <c r="E5291" t="s" s="9">
        <v>1796</v>
      </c>
      <c r="F5291" t="s" s="10">
        <v>73</v>
      </c>
      <c r="G5291" s="14"/>
      <c r="H5291" t="s" s="10">
        <v>73</v>
      </c>
      <c r="I5291" s="14"/>
      <c r="J5291" t="s" s="11">
        <v>20</v>
      </c>
      <c r="K5291" s="15"/>
      <c r="L5291" t="s" s="16">
        <f>HYPERLINK("http://csr.bu.edu/ftp/asl/asllvd/demos/verify_start_end_handshape_annotations//test_auto_move//signs_mov_separ_signers/Brady_5603.mov","MOV")</f>
        <v>21</v>
      </c>
      <c r="M5291" t="s" s="10">
        <v>40</v>
      </c>
      <c r="N5291" s="17">
        <v>114</v>
      </c>
      <c r="O5291" s="18">
        <v>349</v>
      </c>
      <c r="P5291" s="18">
        <v>366</v>
      </c>
      <c r="Q5291" s="15"/>
      <c r="R5291" t="s" s="16">
        <f>HYPERLINK("http://secrets.rutgers.edu:8080/data/asl-ftp/asllvd/demos/verify_start_end_handshape_annotations//test_auto_move//signs_mov_separ_signers/Brady_5603.mov","MOV")</f>
        <v>21</v>
      </c>
    </row>
    <row r="5292" s="2" customFormat="1" ht="13.5" customHeight="1">
      <c r="B5292" t="s" s="8">
        <v>1788</v>
      </c>
      <c r="C5292" t="s" s="9">
        <v>14</v>
      </c>
      <c r="D5292" t="s" s="8">
        <v>14</v>
      </c>
      <c r="E5292" t="s" s="9">
        <v>14</v>
      </c>
      <c r="F5292" t="s" s="10">
        <v>14</v>
      </c>
      <c r="G5292" t="s" s="11">
        <v>14</v>
      </c>
      <c r="H5292" t="s" s="10">
        <v>14</v>
      </c>
      <c r="I5292" t="s" s="11">
        <v>14</v>
      </c>
      <c r="J5292" t="s" s="11">
        <v>14</v>
      </c>
      <c r="K5292" t="s" s="12">
        <v>14</v>
      </c>
      <c r="L5292" t="s" s="12">
        <v>14</v>
      </c>
      <c r="M5292" t="s" s="10">
        <v>14</v>
      </c>
      <c r="N5292" t="s" s="11">
        <v>14</v>
      </c>
      <c r="O5292" t="s" s="8">
        <v>14</v>
      </c>
      <c r="P5292" t="s" s="8">
        <v>14</v>
      </c>
      <c r="Q5292" t="s" s="12">
        <v>14</v>
      </c>
      <c r="R5292" t="s" s="12">
        <v>14</v>
      </c>
    </row>
    <row r="5293" s="2" customFormat="1" ht="13.5" customHeight="1">
      <c r="B5293" s="13"/>
      <c r="C5293" t="s" s="9">
        <v>16</v>
      </c>
      <c r="D5293" t="s" s="8">
        <v>1797</v>
      </c>
      <c r="E5293" t="s" s="9">
        <v>1798</v>
      </c>
      <c r="F5293" s="19">
        <v>1</v>
      </c>
      <c r="G5293" s="14"/>
      <c r="H5293" s="19">
        <v>1</v>
      </c>
      <c r="I5293" s="14"/>
      <c r="J5293" t="s" s="11">
        <v>20</v>
      </c>
      <c r="K5293" t="s" s="16">
        <f>HYPERLINK("http://csr.bu.edu/ftp/asl/asllvd/demos/verify_start_end_handshape_annotations//test_auto_move//signs_mov/5604.mov","MOV")</f>
        <v>21</v>
      </c>
      <c r="L5293" t="s" s="16">
        <f>HYPERLINK("http://csr.bu.edu/ftp/asl/asllvd/demos/verify_start_end_handshape_annotations//test_auto_move//signs_mov_separ_signers/Liz_5604.mov","MOV")</f>
        <v>21</v>
      </c>
      <c r="M5293" t="s" s="10">
        <v>59</v>
      </c>
      <c r="N5293" s="17">
        <v>48</v>
      </c>
      <c r="O5293" s="18">
        <v>630</v>
      </c>
      <c r="P5293" s="18">
        <v>657</v>
      </c>
      <c r="Q5293" t="s" s="16">
        <f>HYPERLINK("http://secrets.rutgers.edu:8080/data/asl-ftp/asllvd/demos/verify_start_end_handshape_annotations//test_auto_move//signs_mov/5604.mov","MOV")</f>
        <v>21</v>
      </c>
      <c r="R5293" t="s" s="16">
        <f>HYPERLINK("http://secrets.rutgers.edu:8080/data/asl-ftp/asllvd/demos/verify_start_end_handshape_annotations//test_auto_move//signs_mov_separ_signers/Liz_5604.mov","MOV")</f>
        <v>21</v>
      </c>
    </row>
    <row r="5294" s="2" customFormat="1" ht="13.5" customHeight="1">
      <c r="B5294" s="13"/>
      <c r="C5294" t="s" s="9">
        <v>30</v>
      </c>
      <c r="D5294" t="s" s="8">
        <v>1797</v>
      </c>
      <c r="E5294" t="s" s="9">
        <v>1798</v>
      </c>
      <c r="F5294" s="19">
        <v>1</v>
      </c>
      <c r="G5294" s="14"/>
      <c r="H5294" s="19">
        <v>1</v>
      </c>
      <c r="I5294" s="14"/>
      <c r="J5294" t="s" s="11">
        <v>20</v>
      </c>
      <c r="K5294" s="15"/>
      <c r="L5294" t="s" s="16">
        <f>HYPERLINK("http://csr.bu.edu/ftp/asl/asllvd/demos/verify_start_end_handshape_annotations//test_auto_move//signs_mov_separ_signers/Brady_5604.mov","MOV")</f>
        <v>21</v>
      </c>
      <c r="M5294" t="s" s="10">
        <v>60</v>
      </c>
      <c r="N5294" s="17">
        <v>36</v>
      </c>
      <c r="O5294" s="18">
        <v>892</v>
      </c>
      <c r="P5294" s="18">
        <v>908</v>
      </c>
      <c r="Q5294" s="15"/>
      <c r="R5294" t="s" s="16">
        <f>HYPERLINK("http://secrets.rutgers.edu:8080/data/asl-ftp/asllvd/demos/verify_start_end_handshape_annotations//test_auto_move//signs_mov_separ_signers/Brady_5604.mov","MOV")</f>
        <v>21</v>
      </c>
    </row>
    <row r="5295" s="2" customFormat="1" ht="13.5" customHeight="1">
      <c r="B5295" t="s" s="8">
        <v>52</v>
      </c>
      <c r="C5295" t="s" s="9">
        <v>53</v>
      </c>
      <c r="D5295" t="s" s="8">
        <v>53</v>
      </c>
      <c r="E5295" t="s" s="9">
        <v>53</v>
      </c>
      <c r="F5295" t="s" s="10">
        <v>53</v>
      </c>
      <c r="G5295" t="s" s="11">
        <v>53</v>
      </c>
      <c r="H5295" t="s" s="10">
        <v>53</v>
      </c>
      <c r="I5295" t="s" s="11">
        <v>53</v>
      </c>
      <c r="J5295" t="s" s="11">
        <v>53</v>
      </c>
      <c r="K5295" t="s" s="12">
        <v>53</v>
      </c>
      <c r="L5295" t="s" s="12">
        <v>53</v>
      </c>
      <c r="M5295" t="s" s="10">
        <v>53</v>
      </c>
      <c r="N5295" t="s" s="11">
        <v>53</v>
      </c>
      <c r="O5295" t="s" s="8">
        <v>53</v>
      </c>
      <c r="P5295" t="s" s="8">
        <v>53</v>
      </c>
      <c r="Q5295" t="s" s="12">
        <v>53</v>
      </c>
      <c r="R5295" t="s" s="12">
        <v>53</v>
      </c>
    </row>
    <row r="5296" s="2" customFormat="1" ht="13.5" customHeight="1">
      <c r="B5296" s="13"/>
      <c r="C5296" t="s" s="9">
        <v>16</v>
      </c>
      <c r="D5296" t="s" s="8">
        <v>1797</v>
      </c>
      <c r="E5296" t="s" s="9">
        <v>1797</v>
      </c>
      <c r="F5296" s="19">
        <v>1</v>
      </c>
      <c r="G5296" s="14"/>
      <c r="H5296" s="19">
        <v>1</v>
      </c>
      <c r="I5296" s="14"/>
      <c r="J5296" t="s" s="11">
        <v>20</v>
      </c>
      <c r="K5296" s="15"/>
      <c r="L5296" t="s" s="16">
        <f>HYPERLINK("http://csr.bu.edu/ftp/asl/asllvd/demos/verify_start_end_handshape_annotations//test_auto_move//signs_mov_separ_signers/Liz_5606.mov","MOV")</f>
        <v>21</v>
      </c>
      <c r="M5296" t="s" s="10">
        <v>59</v>
      </c>
      <c r="N5296" s="17">
        <v>15</v>
      </c>
      <c r="O5296" s="18">
        <v>675</v>
      </c>
      <c r="P5296" s="18">
        <v>717</v>
      </c>
      <c r="Q5296" s="15"/>
      <c r="R5296" t="s" s="16">
        <f>HYPERLINK("http://secrets.rutgers.edu:8080/data/asl-ftp/asllvd/demos/verify_start_end_handshape_annotations//test_auto_move//signs_mov_separ_signers/Liz_5606.mov","MOV")</f>
        <v>21</v>
      </c>
    </row>
    <row r="5297" s="2" customFormat="1" ht="13.5" customHeight="1">
      <c r="B5297" s="13"/>
      <c r="C5297" t="s" s="9">
        <v>16</v>
      </c>
      <c r="D5297" t="s" s="8">
        <v>1797</v>
      </c>
      <c r="E5297" t="s" s="9">
        <v>1797</v>
      </c>
      <c r="F5297" s="19">
        <v>1</v>
      </c>
      <c r="G5297" s="14"/>
      <c r="H5297" s="19">
        <v>1</v>
      </c>
      <c r="I5297" s="14"/>
      <c r="J5297" t="s" s="11">
        <v>20</v>
      </c>
      <c r="K5297" t="s" s="16">
        <f>HYPERLINK("http://csr.bu.edu/ftp/asl/asllvd/demos/verify_start_end_handshape_annotations//test_auto_move//signs_mov/5606_5607_merged.mov","MOV")</f>
        <v>21</v>
      </c>
      <c r="L5297" t="s" s="16">
        <f>HYPERLINK("http://csr.bu.edu/ftp/asl/asllvd/demos/verify_start_end_handshape_annotations//test_auto_move//signs_mov_separ_signers/Liz_5607.mov","MOV")</f>
        <v>21</v>
      </c>
      <c r="M5297" t="s" s="10">
        <v>59</v>
      </c>
      <c r="N5297" s="17">
        <v>48</v>
      </c>
      <c r="O5297" s="18">
        <v>355</v>
      </c>
      <c r="P5297" s="18">
        <v>405</v>
      </c>
      <c r="Q5297" t="s" s="16">
        <f>HYPERLINK("http://secrets.rutgers.edu:8080/data/asl-ftp/asllvd/demos/verify_start_end_handshape_annotations//test_auto_move//signs_mov/5606_5607_merged.mov","MOV")</f>
        <v>21</v>
      </c>
      <c r="R5297" t="s" s="16">
        <f>HYPERLINK("http://secrets.rutgers.edu:8080/data/asl-ftp/asllvd/demos/verify_start_end_handshape_annotations//test_auto_move//signs_mov_separ_signers/Liz_5607.mov","MOV")</f>
        <v>21</v>
      </c>
    </row>
    <row r="5298" s="2" customFormat="1" ht="13.5" customHeight="1">
      <c r="B5298" s="13"/>
      <c r="C5298" t="s" s="9">
        <v>30</v>
      </c>
      <c r="D5298" t="s" s="8">
        <v>1797</v>
      </c>
      <c r="E5298" t="s" s="9">
        <v>1797</v>
      </c>
      <c r="F5298" s="19">
        <v>1</v>
      </c>
      <c r="G5298" s="14"/>
      <c r="H5298" s="19">
        <v>1</v>
      </c>
      <c r="I5298" s="14"/>
      <c r="J5298" t="s" s="11">
        <v>20</v>
      </c>
      <c r="K5298" s="15"/>
      <c r="L5298" t="s" s="16">
        <f>HYPERLINK("http://csr.bu.edu/ftp/asl/asllvd/demos/verify_start_end_handshape_annotations//test_auto_move//signs_mov_separ_signers/Brady_5606.mov","MOV")</f>
        <v>21</v>
      </c>
      <c r="M5298" t="s" s="10">
        <v>40</v>
      </c>
      <c r="N5298" s="17">
        <v>116</v>
      </c>
      <c r="O5298" s="18">
        <v>100</v>
      </c>
      <c r="P5298" s="18">
        <v>127</v>
      </c>
      <c r="Q5298" s="15"/>
      <c r="R5298" t="s" s="16">
        <f>HYPERLINK("http://secrets.rutgers.edu:8080/data/asl-ftp/asllvd/demos/verify_start_end_handshape_annotations//test_auto_move//signs_mov_separ_signers/Brady_5606.mov","MOV")</f>
        <v>21</v>
      </c>
    </row>
    <row r="5299" s="2" customFormat="1" ht="13.5" customHeight="1">
      <c r="B5299" s="13"/>
      <c r="C5299" t="s" s="9">
        <v>30</v>
      </c>
      <c r="D5299" t="s" s="8">
        <v>1797</v>
      </c>
      <c r="E5299" t="s" s="9">
        <v>1797</v>
      </c>
      <c r="F5299" s="19">
        <v>1</v>
      </c>
      <c r="G5299" s="14"/>
      <c r="H5299" s="19">
        <v>1</v>
      </c>
      <c r="I5299" s="14"/>
      <c r="J5299" t="s" s="11">
        <v>20</v>
      </c>
      <c r="K5299" s="15"/>
      <c r="L5299" t="s" s="16">
        <f>HYPERLINK("http://csr.bu.edu/ftp/asl/asllvd/demos/verify_start_end_handshape_annotations//test_auto_move//signs_mov_separ_signers/Brady_5607.mov","MOV")</f>
        <v>21</v>
      </c>
      <c r="M5299" t="s" s="10">
        <v>60</v>
      </c>
      <c r="N5299" s="17">
        <v>36</v>
      </c>
      <c r="O5299" s="18">
        <v>1800</v>
      </c>
      <c r="P5299" s="18">
        <v>1829</v>
      </c>
      <c r="Q5299" s="15"/>
      <c r="R5299" t="s" s="16">
        <f>HYPERLINK("http://secrets.rutgers.edu:8080/data/asl-ftp/asllvd/demos/verify_start_end_handshape_annotations//test_auto_move//signs_mov_separ_signers/Brady_5607.mov","MOV")</f>
        <v>21</v>
      </c>
    </row>
    <row r="5300" s="2" customFormat="1" ht="13.5" customHeight="1">
      <c r="B5300" t="s" s="8">
        <v>1799</v>
      </c>
      <c r="C5300" t="s" s="9">
        <v>14</v>
      </c>
      <c r="D5300" t="s" s="8">
        <v>14</v>
      </c>
      <c r="E5300" t="s" s="9">
        <v>14</v>
      </c>
      <c r="F5300" t="s" s="10">
        <v>14</v>
      </c>
      <c r="G5300" t="s" s="11">
        <v>14</v>
      </c>
      <c r="H5300" t="s" s="10">
        <v>14</v>
      </c>
      <c r="I5300" t="s" s="11">
        <v>14</v>
      </c>
      <c r="J5300" t="s" s="11">
        <v>14</v>
      </c>
      <c r="K5300" t="s" s="12">
        <v>14</v>
      </c>
      <c r="L5300" t="s" s="12">
        <v>14</v>
      </c>
      <c r="M5300" t="s" s="10">
        <v>14</v>
      </c>
      <c r="N5300" t="s" s="11">
        <v>14</v>
      </c>
      <c r="O5300" t="s" s="8">
        <v>14</v>
      </c>
      <c r="P5300" t="s" s="8">
        <v>14</v>
      </c>
      <c r="Q5300" t="s" s="12">
        <v>14</v>
      </c>
      <c r="R5300" t="s" s="12">
        <v>14</v>
      </c>
    </row>
    <row r="5301" s="2" customFormat="1" ht="13.5" customHeight="1">
      <c r="B5301" s="13"/>
      <c r="C5301" t="s" s="9">
        <v>41</v>
      </c>
      <c r="D5301" t="s" s="8">
        <v>1800</v>
      </c>
      <c r="E5301" t="s" s="9">
        <v>1800</v>
      </c>
      <c r="F5301" s="19">
        <v>1</v>
      </c>
      <c r="G5301" s="14"/>
      <c r="H5301" s="19">
        <v>1</v>
      </c>
      <c r="I5301" s="14"/>
      <c r="J5301" t="s" s="11">
        <v>20</v>
      </c>
      <c r="K5301" t="s" s="16">
        <f>HYPERLINK("http://csr.bu.edu/ftp/asl/asllvd/demos/verify_start_end_handshape_annotations//test_auto_move//signs_mov/5634.mov","MOV")</f>
        <v>21</v>
      </c>
      <c r="L5301" t="s" s="16">
        <f>HYPERLINK("http://csr.bu.edu/ftp/asl/asllvd/demos/verify_start_end_handshape_annotations//test_auto_move//signs_mov_separ_signers/Lana_5634.mov","MOV")</f>
        <v>21</v>
      </c>
      <c r="M5301" t="s" s="10">
        <v>42</v>
      </c>
      <c r="N5301" s="17">
        <v>9</v>
      </c>
      <c r="O5301" s="18">
        <v>320</v>
      </c>
      <c r="P5301" s="18">
        <v>361</v>
      </c>
      <c r="Q5301" t="s" s="16">
        <f>HYPERLINK("http://secrets.rutgers.edu:8080/data/asl-ftp/asllvd/demos/verify_start_end_handshape_annotations//test_auto_move//signs_mov/5634.mov","MOV")</f>
        <v>21</v>
      </c>
      <c r="R5301" t="s" s="16">
        <f>HYPERLINK("http://secrets.rutgers.edu:8080/data/asl-ftp/asllvd/demos/verify_start_end_handshape_annotations//test_auto_move//signs_mov_separ_signers/Lana_5634.mov","MOV")</f>
        <v>21</v>
      </c>
    </row>
    <row r="5302" s="2" customFormat="1" ht="13.5" customHeight="1">
      <c r="B5302" s="13"/>
      <c r="C5302" t="s" s="9">
        <v>43</v>
      </c>
      <c r="D5302" t="s" s="8">
        <v>1800</v>
      </c>
      <c r="E5302" t="s" s="9">
        <v>1800</v>
      </c>
      <c r="F5302" s="19">
        <v>1</v>
      </c>
      <c r="G5302" s="14"/>
      <c r="H5302" s="19">
        <v>1</v>
      </c>
      <c r="I5302" s="14"/>
      <c r="J5302" t="s" s="11">
        <v>20</v>
      </c>
      <c r="K5302" s="15"/>
      <c r="L5302" t="s" s="16">
        <f>HYPERLINK("http://csr.bu.edu/ftp/asl/asllvd/demos/verify_start_end_handshape_annotations//test_auto_move//signs_mov_separ_signers/Dana_5634.mov","MOV")</f>
        <v>21</v>
      </c>
      <c r="M5302" t="s" s="10">
        <v>44</v>
      </c>
      <c r="N5302" s="17">
        <v>13</v>
      </c>
      <c r="O5302" s="18">
        <v>335</v>
      </c>
      <c r="P5302" s="18">
        <v>381</v>
      </c>
      <c r="Q5302" s="15"/>
      <c r="R5302" t="s" s="16">
        <f>HYPERLINK("http://secrets.rutgers.edu:8080/data/asl-ftp/asllvd/demos/verify_start_end_handshape_annotations//test_auto_move//signs_mov_separ_signers/Dana_5634.mov","MOV")</f>
        <v>21</v>
      </c>
    </row>
    <row r="5303" s="2" customFormat="1" ht="13.5" customHeight="1">
      <c r="B5303" t="s" s="8">
        <v>1801</v>
      </c>
      <c r="C5303" t="s" s="9">
        <v>14</v>
      </c>
      <c r="D5303" t="s" s="8">
        <v>14</v>
      </c>
      <c r="E5303" t="s" s="9">
        <v>14</v>
      </c>
      <c r="F5303" t="s" s="10">
        <v>14</v>
      </c>
      <c r="G5303" t="s" s="11">
        <v>14</v>
      </c>
      <c r="H5303" t="s" s="10">
        <v>14</v>
      </c>
      <c r="I5303" t="s" s="11">
        <v>14</v>
      </c>
      <c r="J5303" t="s" s="11">
        <v>14</v>
      </c>
      <c r="K5303" t="s" s="12">
        <v>14</v>
      </c>
      <c r="L5303" t="s" s="12">
        <v>14</v>
      </c>
      <c r="M5303" t="s" s="10">
        <v>14</v>
      </c>
      <c r="N5303" t="s" s="11">
        <v>14</v>
      </c>
      <c r="O5303" t="s" s="8">
        <v>14</v>
      </c>
      <c r="P5303" t="s" s="8">
        <v>14</v>
      </c>
      <c r="Q5303" t="s" s="12">
        <v>14</v>
      </c>
      <c r="R5303" t="s" s="12">
        <v>14</v>
      </c>
    </row>
    <row r="5304" s="2" customFormat="1" ht="13.5" customHeight="1">
      <c r="B5304" s="13"/>
      <c r="C5304" t="s" s="9">
        <v>16</v>
      </c>
      <c r="D5304" t="s" s="8">
        <v>1801</v>
      </c>
      <c r="E5304" t="s" s="9">
        <v>1801</v>
      </c>
      <c r="F5304" t="s" s="10">
        <v>85</v>
      </c>
      <c r="G5304" s="14"/>
      <c r="H5304" t="s" s="10">
        <v>85</v>
      </c>
      <c r="I5304" s="14"/>
      <c r="J5304" t="s" s="11">
        <v>20</v>
      </c>
      <c r="K5304" s="15"/>
      <c r="L5304" t="s" s="16">
        <f>HYPERLINK("http://csr.bu.edu/ftp/asl/asllvd/demos/verify_start_end_handshape_annotations//test_auto_move//signs_mov_separ_signers/Liz_1146.mov","MOV")</f>
        <v>21</v>
      </c>
      <c r="M5304" t="s" s="10">
        <v>34</v>
      </c>
      <c r="N5304" s="17">
        <v>19</v>
      </c>
      <c r="O5304" s="18">
        <v>1543</v>
      </c>
      <c r="P5304" s="18">
        <v>1582</v>
      </c>
      <c r="Q5304" s="15"/>
      <c r="R5304" t="s" s="16">
        <f>HYPERLINK("http://secrets.rutgers.edu:8080/data/asl-ftp/asllvd/demos/verify_start_end_handshape_annotations//test_auto_move//signs_mov_separ_signers/Liz_1146.mov","MOV")</f>
        <v>21</v>
      </c>
    </row>
    <row r="5305" s="2" customFormat="1" ht="13.5" customHeight="1">
      <c r="B5305" s="13"/>
      <c r="C5305" t="s" s="9">
        <v>23</v>
      </c>
      <c r="D5305" t="s" s="8">
        <v>1801</v>
      </c>
      <c r="E5305" t="s" s="9">
        <v>1801</v>
      </c>
      <c r="F5305" t="s" s="10">
        <v>80</v>
      </c>
      <c r="G5305" s="14"/>
      <c r="H5305" t="s" s="10">
        <v>80</v>
      </c>
      <c r="I5305" s="14"/>
      <c r="J5305" t="s" s="11">
        <v>20</v>
      </c>
      <c r="K5305" s="15"/>
      <c r="L5305" t="s" s="16">
        <f>HYPERLINK("http://csr.bu.edu/ftp/asl/asllvd/demos/verify_start_end_handshape_annotations//test_auto_move//signs_mov_separ_signers/Tyler_1146.mov","MOV")</f>
        <v>21</v>
      </c>
      <c r="M5305" t="s" s="10">
        <v>92</v>
      </c>
      <c r="N5305" s="17">
        <v>47</v>
      </c>
      <c r="O5305" s="18">
        <v>3600</v>
      </c>
      <c r="P5305" s="18">
        <v>3625</v>
      </c>
      <c r="Q5305" s="15"/>
      <c r="R5305" t="s" s="16">
        <f>HYPERLINK("http://secrets.rutgers.edu:8080/data/asl-ftp/asllvd/demos/verify_start_end_handshape_annotations//test_auto_move//signs_mov_separ_signers/Tyler_1146.mov","MOV")</f>
        <v>21</v>
      </c>
    </row>
    <row r="5306" s="2" customFormat="1" ht="13.5" customHeight="1">
      <c r="B5306" s="13"/>
      <c r="C5306" t="s" s="9">
        <v>27</v>
      </c>
      <c r="D5306" t="s" s="8">
        <v>1801</v>
      </c>
      <c r="E5306" t="s" s="9">
        <v>1801</v>
      </c>
      <c r="F5306" t="s" s="10">
        <v>80</v>
      </c>
      <c r="G5306" s="14"/>
      <c r="H5306" t="s" s="10">
        <v>80</v>
      </c>
      <c r="I5306" s="14"/>
      <c r="J5306" t="s" s="11">
        <v>20</v>
      </c>
      <c r="K5306" t="s" s="16">
        <f>HYPERLINK("http://csr.bu.edu/ftp/asl/asllvd/demos/verify_start_end_handshape_annotations//test_auto_move//signs_mov/1146.mov","MOV")</f>
        <v>21</v>
      </c>
      <c r="L5306" t="s" s="16">
        <f>HYPERLINK("http://csr.bu.edu/ftp/asl/asllvd/demos/verify_start_end_handshape_annotations//test_auto_move//signs_mov_separ_signers/Naomi_1146.mov","MOV")</f>
        <v>21</v>
      </c>
      <c r="M5306" t="s" s="10">
        <v>38</v>
      </c>
      <c r="N5306" s="17">
        <v>15</v>
      </c>
      <c r="O5306" s="18">
        <v>2301</v>
      </c>
      <c r="P5306" s="18">
        <v>2327</v>
      </c>
      <c r="Q5306" t="s" s="16">
        <f>HYPERLINK("http://secrets.rutgers.edu:8080/data/asl-ftp/asllvd/demos/verify_start_end_handshape_annotations//test_auto_move//signs_mov/1146.mov","MOV")</f>
        <v>21</v>
      </c>
      <c r="R5306" t="s" s="16">
        <f>HYPERLINK("http://secrets.rutgers.edu:8080/data/asl-ftp/asllvd/demos/verify_start_end_handshape_annotations//test_auto_move//signs_mov_separ_signers/Naomi_1146.mov","MOV")</f>
        <v>21</v>
      </c>
    </row>
    <row r="5307" s="2" customFormat="1" ht="13.5" customHeight="1">
      <c r="B5307" s="13"/>
      <c r="C5307" t="s" s="9">
        <v>30</v>
      </c>
      <c r="D5307" t="s" s="8">
        <v>1801</v>
      </c>
      <c r="E5307" t="s" s="9">
        <v>1801</v>
      </c>
      <c r="F5307" t="s" s="10">
        <v>185</v>
      </c>
      <c r="G5307" s="14"/>
      <c r="H5307" t="s" s="10">
        <v>80</v>
      </c>
      <c r="I5307" s="14"/>
      <c r="J5307" t="s" s="11">
        <v>20</v>
      </c>
      <c r="K5307" s="15"/>
      <c r="L5307" t="s" s="16">
        <f>HYPERLINK("http://csr.bu.edu/ftp/asl/asllvd/demos/verify_start_end_handshape_annotations//test_auto_move//signs_mov_separ_signers/Brady_1146.mov","MOV")</f>
        <v>21</v>
      </c>
      <c r="M5307" t="s" s="10">
        <v>39</v>
      </c>
      <c r="N5307" s="17">
        <v>32</v>
      </c>
      <c r="O5307" s="18">
        <v>4183</v>
      </c>
      <c r="P5307" s="18">
        <v>4203</v>
      </c>
      <c r="Q5307" s="15"/>
      <c r="R5307" t="s" s="16">
        <f>HYPERLINK("http://secrets.rutgers.edu:8080/data/asl-ftp/asllvd/demos/verify_start_end_handshape_annotations//test_auto_move//signs_mov_separ_signers/Brady_1146.mov","MOV")</f>
        <v>21</v>
      </c>
    </row>
    <row r="5308" s="2" customFormat="1" ht="13.5" customHeight="1">
      <c r="B5308" s="13"/>
      <c r="C5308" t="s" s="9">
        <v>41</v>
      </c>
      <c r="D5308" t="s" s="8">
        <v>1801</v>
      </c>
      <c r="E5308" t="s" s="9">
        <v>1801</v>
      </c>
      <c r="F5308" t="s" s="10">
        <v>80</v>
      </c>
      <c r="G5308" s="14"/>
      <c r="H5308" t="s" s="10">
        <v>80</v>
      </c>
      <c r="I5308" s="14"/>
      <c r="J5308" t="s" s="11">
        <v>20</v>
      </c>
      <c r="K5308" s="15"/>
      <c r="L5308" t="s" s="16">
        <f>HYPERLINK("http://csr.bu.edu/ftp/asl/asllvd/demos/verify_start_end_handshape_annotations//test_auto_move//signs_mov_separ_signers/Lana_1146.mov","MOV")</f>
        <v>21</v>
      </c>
      <c r="M5308" t="s" s="10">
        <v>42</v>
      </c>
      <c r="N5308" s="17">
        <v>14</v>
      </c>
      <c r="O5308" s="18">
        <v>1070</v>
      </c>
      <c r="P5308" s="18">
        <v>1090</v>
      </c>
      <c r="Q5308" s="15"/>
      <c r="R5308" t="s" s="16">
        <f>HYPERLINK("http://secrets.rutgers.edu:8080/data/asl-ftp/asllvd/demos/verify_start_end_handshape_annotations//test_auto_move//signs_mov_separ_signers/Lana_1146.mov","MOV")</f>
        <v>21</v>
      </c>
    </row>
    <row r="5309" s="2" customFormat="1" ht="13.5" customHeight="1">
      <c r="B5309" s="13"/>
      <c r="C5309" t="s" s="9">
        <v>43</v>
      </c>
      <c r="D5309" t="s" s="8">
        <v>1801</v>
      </c>
      <c r="E5309" t="s" s="9">
        <v>1801</v>
      </c>
      <c r="F5309" t="s" s="10">
        <v>85</v>
      </c>
      <c r="G5309" s="14"/>
      <c r="H5309" t="s" s="10">
        <v>85</v>
      </c>
      <c r="I5309" s="14"/>
      <c r="J5309" t="s" s="11">
        <v>20</v>
      </c>
      <c r="K5309" s="15"/>
      <c r="L5309" t="s" s="16">
        <f>HYPERLINK("http://csr.bu.edu/ftp/asl/asllvd/demos/verify_start_end_handshape_annotations//test_auto_move//signs_mov_separ_signers/Dana_1146.mov","MOV")</f>
        <v>21</v>
      </c>
      <c r="M5309" t="s" s="10">
        <v>44</v>
      </c>
      <c r="N5309" s="17">
        <v>17</v>
      </c>
      <c r="O5309" s="18">
        <v>1430</v>
      </c>
      <c r="P5309" s="18">
        <v>1467</v>
      </c>
      <c r="Q5309" s="15"/>
      <c r="R5309" t="s" s="16">
        <f>HYPERLINK("http://secrets.rutgers.edu:8080/data/asl-ftp/asllvd/demos/verify_start_end_handshape_annotations//test_auto_move//signs_mov_separ_signers/Dana_1146.mov","MOV")</f>
        <v>21</v>
      </c>
    </row>
    <row r="5310" s="2" customFormat="1" ht="13.5" customHeight="1">
      <c r="B5310" t="s" s="8">
        <v>1802</v>
      </c>
      <c r="C5310" t="s" s="9">
        <v>14</v>
      </c>
      <c r="D5310" t="s" s="8">
        <v>14</v>
      </c>
      <c r="E5310" t="s" s="9">
        <v>14</v>
      </c>
      <c r="F5310" t="s" s="10">
        <v>14</v>
      </c>
      <c r="G5310" t="s" s="11">
        <v>14</v>
      </c>
      <c r="H5310" t="s" s="10">
        <v>14</v>
      </c>
      <c r="I5310" t="s" s="11">
        <v>14</v>
      </c>
      <c r="J5310" t="s" s="11">
        <v>14</v>
      </c>
      <c r="K5310" t="s" s="12">
        <v>14</v>
      </c>
      <c r="L5310" t="s" s="12">
        <v>14</v>
      </c>
      <c r="M5310" t="s" s="10">
        <v>14</v>
      </c>
      <c r="N5310" t="s" s="11">
        <v>14</v>
      </c>
      <c r="O5310" t="s" s="8">
        <v>14</v>
      </c>
      <c r="P5310" t="s" s="8">
        <v>14</v>
      </c>
      <c r="Q5310" t="s" s="12">
        <v>14</v>
      </c>
      <c r="R5310" t="s" s="12">
        <v>14</v>
      </c>
    </row>
    <row r="5311" s="2" customFormat="1" ht="13.5" customHeight="1">
      <c r="B5311" s="13"/>
      <c r="C5311" t="s" s="9">
        <v>16</v>
      </c>
      <c r="D5311" t="s" s="8">
        <v>1802</v>
      </c>
      <c r="E5311" t="s" s="9">
        <v>1802</v>
      </c>
      <c r="F5311" t="s" s="10">
        <v>18</v>
      </c>
      <c r="G5311" s="14"/>
      <c r="H5311" t="s" s="10">
        <v>18</v>
      </c>
      <c r="I5311" s="14"/>
      <c r="J5311" t="s" s="11">
        <v>20</v>
      </c>
      <c r="K5311" s="15"/>
      <c r="L5311" t="s" s="16">
        <f>HYPERLINK("http://csr.bu.edu/ftp/asl/asllvd/demos/verify_start_end_handshape_annotations//test_auto_move//signs_mov_separ_signers/Liz_1148.mov","MOV")</f>
        <v>21</v>
      </c>
      <c r="M5311" t="s" s="10">
        <v>34</v>
      </c>
      <c r="N5311" s="17">
        <v>19</v>
      </c>
      <c r="O5311" s="18">
        <v>2220</v>
      </c>
      <c r="P5311" s="18">
        <v>2257</v>
      </c>
      <c r="Q5311" s="15"/>
      <c r="R5311" t="s" s="16">
        <f>HYPERLINK("http://secrets.rutgers.edu:8080/data/asl-ftp/asllvd/demos/verify_start_end_handshape_annotations//test_auto_move//signs_mov_separ_signers/Liz_1148.mov","MOV")</f>
        <v>21</v>
      </c>
    </row>
    <row r="5312" s="2" customFormat="1" ht="13.5" customHeight="1">
      <c r="B5312" s="13"/>
      <c r="C5312" t="s" s="9">
        <v>27</v>
      </c>
      <c r="D5312" t="s" s="8">
        <v>1802</v>
      </c>
      <c r="E5312" t="s" s="9">
        <v>1802</v>
      </c>
      <c r="F5312" t="s" s="10">
        <v>18</v>
      </c>
      <c r="G5312" s="14"/>
      <c r="H5312" t="s" s="10">
        <v>18</v>
      </c>
      <c r="I5312" s="14"/>
      <c r="J5312" t="s" s="11">
        <v>20</v>
      </c>
      <c r="K5312" t="s" s="16">
        <f>HYPERLINK("http://csr.bu.edu/ftp/asl/asllvd/demos/verify_start_end_handshape_annotations//test_auto_move//signs_mov/1148.mov","MOV")</f>
        <v>21</v>
      </c>
      <c r="L5312" t="s" s="16">
        <f>HYPERLINK("http://csr.bu.edu/ftp/asl/asllvd/demos/verify_start_end_handshape_annotations//test_auto_move//signs_mov_separ_signers/Naomi_1148.mov","MOV")</f>
        <v>21</v>
      </c>
      <c r="M5312" t="s" s="10">
        <v>38</v>
      </c>
      <c r="N5312" s="17">
        <v>15</v>
      </c>
      <c r="O5312" s="18">
        <v>2958</v>
      </c>
      <c r="P5312" s="18">
        <v>2990</v>
      </c>
      <c r="Q5312" t="s" s="16">
        <f>HYPERLINK("http://secrets.rutgers.edu:8080/data/asl-ftp/asllvd/demos/verify_start_end_handshape_annotations//test_auto_move//signs_mov/1148.mov","MOV")</f>
        <v>21</v>
      </c>
      <c r="R5312" t="s" s="16">
        <f>HYPERLINK("http://secrets.rutgers.edu:8080/data/asl-ftp/asllvd/demos/verify_start_end_handshape_annotations//test_auto_move//signs_mov_separ_signers/Naomi_1148.mov","MOV")</f>
        <v>21</v>
      </c>
    </row>
    <row r="5313" s="2" customFormat="1" ht="13.5" customHeight="1">
      <c r="B5313" s="13"/>
      <c r="C5313" t="s" s="9">
        <v>30</v>
      </c>
      <c r="D5313" t="s" s="8">
        <v>1802</v>
      </c>
      <c r="E5313" t="s" s="9">
        <v>1802</v>
      </c>
      <c r="F5313" t="s" s="10">
        <v>18</v>
      </c>
      <c r="G5313" s="14"/>
      <c r="H5313" t="s" s="10">
        <v>18</v>
      </c>
      <c r="I5313" s="14"/>
      <c r="J5313" t="s" s="11">
        <v>20</v>
      </c>
      <c r="K5313" s="15"/>
      <c r="L5313" t="s" s="16">
        <f>HYPERLINK("http://csr.bu.edu/ftp/asl/asllvd/demos/verify_start_end_handshape_annotations//test_auto_move//signs_mov_separ_signers/Brady_1148.mov","MOV")</f>
        <v>21</v>
      </c>
      <c r="M5313" t="s" s="10">
        <v>39</v>
      </c>
      <c r="N5313" s="17">
        <v>32</v>
      </c>
      <c r="O5313" s="18">
        <v>4610</v>
      </c>
      <c r="P5313" s="18">
        <v>4637</v>
      </c>
      <c r="Q5313" s="15"/>
      <c r="R5313" t="s" s="16">
        <f>HYPERLINK("http://secrets.rutgers.edu:8080/data/asl-ftp/asllvd/demos/verify_start_end_handshape_annotations//test_auto_move//signs_mov_separ_signers/Brady_1148.mov","MOV")</f>
        <v>21</v>
      </c>
    </row>
    <row r="5314" s="2" customFormat="1" ht="13.5" customHeight="1">
      <c r="B5314" t="s" s="8">
        <v>1803</v>
      </c>
      <c r="C5314" t="s" s="9">
        <v>14</v>
      </c>
      <c r="D5314" t="s" s="8">
        <v>14</v>
      </c>
      <c r="E5314" t="s" s="9">
        <v>14</v>
      </c>
      <c r="F5314" t="s" s="10">
        <v>14</v>
      </c>
      <c r="G5314" t="s" s="11">
        <v>14</v>
      </c>
      <c r="H5314" t="s" s="10">
        <v>14</v>
      </c>
      <c r="I5314" t="s" s="11">
        <v>14</v>
      </c>
      <c r="J5314" t="s" s="11">
        <v>14</v>
      </c>
      <c r="K5314" t="s" s="12">
        <v>14</v>
      </c>
      <c r="L5314" t="s" s="12">
        <v>14</v>
      </c>
      <c r="M5314" t="s" s="10">
        <v>14</v>
      </c>
      <c r="N5314" t="s" s="11">
        <v>14</v>
      </c>
      <c r="O5314" t="s" s="8">
        <v>14</v>
      </c>
      <c r="P5314" t="s" s="8">
        <v>14</v>
      </c>
      <c r="Q5314" t="s" s="12">
        <v>14</v>
      </c>
      <c r="R5314" t="s" s="12">
        <v>14</v>
      </c>
    </row>
    <row r="5315" s="2" customFormat="1" ht="13.5" customHeight="1">
      <c r="B5315" s="13"/>
      <c r="C5315" t="s" s="9">
        <v>16</v>
      </c>
      <c r="D5315" t="s" s="8">
        <v>1803</v>
      </c>
      <c r="E5315" t="s" s="9">
        <v>1804</v>
      </c>
      <c r="F5315" t="s" s="10">
        <v>255</v>
      </c>
      <c r="G5315" s="14"/>
      <c r="H5315" t="s" s="10">
        <v>255</v>
      </c>
      <c r="I5315" s="14"/>
      <c r="J5315" t="s" s="11">
        <v>20</v>
      </c>
      <c r="K5315" s="15"/>
      <c r="L5315" t="s" s="16">
        <f>HYPERLINK("http://csr.bu.edu/ftp/asl/asllvd/demos/verify_start_end_handshape_annotations//test_auto_move//signs_mov_separ_signers/Liz_1149.mov","MOV")</f>
        <v>21</v>
      </c>
      <c r="M5315" t="s" s="10">
        <v>34</v>
      </c>
      <c r="N5315" s="17">
        <v>19</v>
      </c>
      <c r="O5315" s="18">
        <v>2565</v>
      </c>
      <c r="P5315" s="18">
        <v>2595</v>
      </c>
      <c r="Q5315" s="15"/>
      <c r="R5315" t="s" s="16">
        <f>HYPERLINK("http://secrets.rutgers.edu:8080/data/asl-ftp/asllvd/demos/verify_start_end_handshape_annotations//test_auto_move//signs_mov_separ_signers/Liz_1149.mov","MOV")</f>
        <v>21</v>
      </c>
    </row>
    <row r="5316" s="2" customFormat="1" ht="13.5" customHeight="1">
      <c r="B5316" s="13"/>
      <c r="C5316" t="s" s="9">
        <v>23</v>
      </c>
      <c r="D5316" t="s" s="8">
        <v>1803</v>
      </c>
      <c r="E5316" t="s" s="9">
        <v>1805</v>
      </c>
      <c r="F5316" t="s" s="10">
        <v>255</v>
      </c>
      <c r="G5316" s="14"/>
      <c r="H5316" t="s" s="10">
        <v>255</v>
      </c>
      <c r="I5316" s="14"/>
      <c r="J5316" t="s" s="11">
        <v>20</v>
      </c>
      <c r="K5316" s="15"/>
      <c r="L5316" t="s" s="16">
        <f>HYPERLINK("http://csr.bu.edu/ftp/asl/asllvd/demos/verify_start_end_handshape_annotations//test_auto_move//signs_mov_separ_signers/Tyler_1149.mov","MOV")</f>
        <v>21</v>
      </c>
      <c r="M5316" t="s" s="10">
        <v>92</v>
      </c>
      <c r="N5316" s="17">
        <v>47</v>
      </c>
      <c r="O5316" s="18">
        <v>4870</v>
      </c>
      <c r="P5316" s="18">
        <v>4905</v>
      </c>
      <c r="Q5316" s="15"/>
      <c r="R5316" t="s" s="16">
        <f>HYPERLINK("http://secrets.rutgers.edu:8080/data/asl-ftp/asllvd/demos/verify_start_end_handshape_annotations//test_auto_move//signs_mov_separ_signers/Tyler_1149.mov","MOV")</f>
        <v>21</v>
      </c>
    </row>
    <row r="5317" s="2" customFormat="1" ht="13.5" customHeight="1">
      <c r="B5317" s="13"/>
      <c r="C5317" t="s" s="9">
        <v>27</v>
      </c>
      <c r="D5317" t="s" s="8">
        <v>1803</v>
      </c>
      <c r="E5317" t="s" s="9">
        <v>1804</v>
      </c>
      <c r="F5317" t="s" s="10">
        <v>255</v>
      </c>
      <c r="G5317" s="14"/>
      <c r="H5317" t="s" s="10">
        <v>255</v>
      </c>
      <c r="I5317" s="14"/>
      <c r="J5317" t="s" s="11">
        <v>20</v>
      </c>
      <c r="K5317" t="s" s="16">
        <f>HYPERLINK("http://csr.bu.edu/ftp/asl/asllvd/demos/verify_start_end_handshape_annotations//test_auto_move//signs_mov/1149.mov","MOV")</f>
        <v>21</v>
      </c>
      <c r="L5317" t="s" s="16">
        <f>HYPERLINK("http://csr.bu.edu/ftp/asl/asllvd/demos/verify_start_end_handshape_annotations//test_auto_move//signs_mov_separ_signers/Naomi_1149.mov","MOV")</f>
        <v>21</v>
      </c>
      <c r="M5317" t="s" s="10">
        <v>38</v>
      </c>
      <c r="N5317" s="17">
        <v>15</v>
      </c>
      <c r="O5317" s="18">
        <v>3250</v>
      </c>
      <c r="P5317" s="18">
        <v>3280</v>
      </c>
      <c r="Q5317" t="s" s="16">
        <f>HYPERLINK("http://secrets.rutgers.edu:8080/data/asl-ftp/asllvd/demos/verify_start_end_handshape_annotations//test_auto_move//signs_mov/1149.mov","MOV")</f>
        <v>21</v>
      </c>
      <c r="R5317" t="s" s="16">
        <f>HYPERLINK("http://secrets.rutgers.edu:8080/data/asl-ftp/asllvd/demos/verify_start_end_handshape_annotations//test_auto_move//signs_mov_separ_signers/Naomi_1149.mov","MOV")</f>
        <v>21</v>
      </c>
    </row>
    <row r="5318" s="2" customFormat="1" ht="13.5" customHeight="1">
      <c r="B5318" s="13"/>
      <c r="C5318" t="s" s="9">
        <v>30</v>
      </c>
      <c r="D5318" t="s" s="8">
        <v>1803</v>
      </c>
      <c r="E5318" t="s" s="9">
        <v>1804</v>
      </c>
      <c r="F5318" t="s" s="10">
        <v>255</v>
      </c>
      <c r="G5318" s="14"/>
      <c r="H5318" t="s" s="10">
        <v>255</v>
      </c>
      <c r="I5318" s="14"/>
      <c r="J5318" t="s" s="11">
        <v>20</v>
      </c>
      <c r="K5318" s="15"/>
      <c r="L5318" t="s" s="16">
        <f>HYPERLINK("http://csr.bu.edu/ftp/asl/asllvd/demos/verify_start_end_handshape_annotations//test_auto_move//signs_mov_separ_signers/Brady_1149.mov","MOV")</f>
        <v>21</v>
      </c>
      <c r="M5318" t="s" s="10">
        <v>39</v>
      </c>
      <c r="N5318" s="17">
        <v>32</v>
      </c>
      <c r="O5318" s="18">
        <v>4833</v>
      </c>
      <c r="P5318" s="18">
        <v>4861</v>
      </c>
      <c r="Q5318" s="15"/>
      <c r="R5318" t="s" s="16">
        <f>HYPERLINK("http://secrets.rutgers.edu:8080/data/asl-ftp/asllvd/demos/verify_start_end_handshape_annotations//test_auto_move//signs_mov_separ_signers/Brady_1149.mov","MOV")</f>
        <v>21</v>
      </c>
    </row>
    <row r="5319" s="2" customFormat="1" ht="13.5" customHeight="1">
      <c r="B5319" s="13"/>
      <c r="C5319" t="s" s="9">
        <v>41</v>
      </c>
      <c r="D5319" t="s" s="8">
        <v>1803</v>
      </c>
      <c r="E5319" t="s" s="9">
        <v>1804</v>
      </c>
      <c r="F5319" t="s" s="10">
        <v>255</v>
      </c>
      <c r="G5319" s="14"/>
      <c r="H5319" t="s" s="10">
        <v>255</v>
      </c>
      <c r="I5319" s="14"/>
      <c r="J5319" t="s" s="11">
        <v>20</v>
      </c>
      <c r="K5319" s="15"/>
      <c r="L5319" t="s" s="16">
        <f>HYPERLINK("http://csr.bu.edu/ftp/asl/asllvd/demos/verify_start_end_handshape_annotations//test_auto_move//signs_mov_separ_signers/Lana_1149.mov","MOV")</f>
        <v>21</v>
      </c>
      <c r="M5319" t="s" s="10">
        <v>42</v>
      </c>
      <c r="N5319" s="17">
        <v>14</v>
      </c>
      <c r="O5319" s="18">
        <v>1751</v>
      </c>
      <c r="P5319" s="18">
        <v>1774</v>
      </c>
      <c r="Q5319" s="15"/>
      <c r="R5319" t="s" s="16">
        <f>HYPERLINK("http://secrets.rutgers.edu:8080/data/asl-ftp/asllvd/demos/verify_start_end_handshape_annotations//test_auto_move//signs_mov_separ_signers/Lana_1149.mov","MOV")</f>
        <v>21</v>
      </c>
    </row>
    <row r="5320" s="2" customFormat="1" ht="13.5" customHeight="1">
      <c r="B5320" s="13"/>
      <c r="C5320" t="s" s="9">
        <v>43</v>
      </c>
      <c r="D5320" t="s" s="8">
        <v>1803</v>
      </c>
      <c r="E5320" t="s" s="9">
        <v>1804</v>
      </c>
      <c r="F5320" t="s" s="10">
        <v>255</v>
      </c>
      <c r="G5320" s="14"/>
      <c r="H5320" t="s" s="10">
        <v>255</v>
      </c>
      <c r="I5320" s="14"/>
      <c r="J5320" t="s" s="11">
        <v>20</v>
      </c>
      <c r="K5320" s="15"/>
      <c r="L5320" t="s" s="16">
        <f>HYPERLINK("http://csr.bu.edu/ftp/asl/asllvd/demos/verify_start_end_handshape_annotations//test_auto_move//signs_mov_separ_signers/Dana_1149.mov","MOV")</f>
        <v>21</v>
      </c>
      <c r="M5320" t="s" s="10">
        <v>44</v>
      </c>
      <c r="N5320" s="17">
        <v>17</v>
      </c>
      <c r="O5320" s="18">
        <v>2112</v>
      </c>
      <c r="P5320" s="18">
        <v>2154</v>
      </c>
      <c r="Q5320" s="15"/>
      <c r="R5320" t="s" s="16">
        <f>HYPERLINK("http://secrets.rutgers.edu:8080/data/asl-ftp/asllvd/demos/verify_start_end_handshape_annotations//test_auto_move//signs_mov_separ_signers/Dana_1149.mov","MOV")</f>
        <v>21</v>
      </c>
    </row>
    <row r="5321" s="2" customFormat="1" ht="13.5" customHeight="1">
      <c r="B5321" t="s" s="8">
        <v>1806</v>
      </c>
      <c r="C5321" t="s" s="9">
        <v>14</v>
      </c>
      <c r="D5321" t="s" s="8">
        <v>14</v>
      </c>
      <c r="E5321" t="s" s="9">
        <v>14</v>
      </c>
      <c r="F5321" t="s" s="10">
        <v>14</v>
      </c>
      <c r="G5321" t="s" s="11">
        <v>14</v>
      </c>
      <c r="H5321" t="s" s="10">
        <v>14</v>
      </c>
      <c r="I5321" t="s" s="11">
        <v>14</v>
      </c>
      <c r="J5321" t="s" s="11">
        <v>14</v>
      </c>
      <c r="K5321" t="s" s="12">
        <v>14</v>
      </c>
      <c r="L5321" t="s" s="12">
        <v>14</v>
      </c>
      <c r="M5321" t="s" s="10">
        <v>14</v>
      </c>
      <c r="N5321" t="s" s="11">
        <v>14</v>
      </c>
      <c r="O5321" t="s" s="8">
        <v>14</v>
      </c>
      <c r="P5321" t="s" s="8">
        <v>14</v>
      </c>
      <c r="Q5321" t="s" s="12">
        <v>14</v>
      </c>
      <c r="R5321" t="s" s="12">
        <v>14</v>
      </c>
    </row>
    <row r="5322" s="2" customFormat="1" ht="13.5" customHeight="1">
      <c r="B5322" s="13"/>
      <c r="C5322" t="s" s="9">
        <v>16</v>
      </c>
      <c r="D5322" t="s" s="8">
        <v>1806</v>
      </c>
      <c r="E5322" t="s" s="9">
        <v>1806</v>
      </c>
      <c r="F5322" t="s" s="10">
        <v>255</v>
      </c>
      <c r="G5322" s="14"/>
      <c r="H5322" t="s" s="10">
        <v>255</v>
      </c>
      <c r="I5322" s="14"/>
      <c r="J5322" t="s" s="11">
        <v>20</v>
      </c>
      <c r="K5322" t="s" s="16">
        <f>HYPERLINK("http://csr.bu.edu/ftp/asl/asllvd/demos/verify_start_end_handshape_annotations//test_auto_move//signs_mov/5070.mov","MOV")</f>
        <v>21</v>
      </c>
      <c r="L5322" t="s" s="16">
        <f>HYPERLINK("http://csr.bu.edu/ftp/asl/asllvd/demos/verify_start_end_handshape_annotations//test_auto_move//signs_mov_separ_signers/Liz_5070.mov","MOV")</f>
        <v>21</v>
      </c>
      <c r="M5322" t="s" s="10">
        <v>36</v>
      </c>
      <c r="N5322" s="17">
        <v>3</v>
      </c>
      <c r="O5322" s="18">
        <v>1590</v>
      </c>
      <c r="P5322" s="18">
        <v>1635</v>
      </c>
      <c r="Q5322" t="s" s="16">
        <f>HYPERLINK("http://secrets.rutgers.edu:8080/data/asl-ftp/asllvd/demos/verify_start_end_handshape_annotations//test_auto_move//signs_mov/5070.mov","MOV")</f>
        <v>21</v>
      </c>
      <c r="R5322" t="s" s="16">
        <f>HYPERLINK("http://secrets.rutgers.edu:8080/data/asl-ftp/asllvd/demos/verify_start_end_handshape_annotations//test_auto_move//signs_mov_separ_signers/Liz_5070.mov","MOV")</f>
        <v>21</v>
      </c>
    </row>
    <row r="5323" s="2" customFormat="1" ht="13.5" customHeight="1">
      <c r="B5323" s="13"/>
      <c r="C5323" t="s" s="9">
        <v>30</v>
      </c>
      <c r="D5323" t="s" s="8">
        <v>1806</v>
      </c>
      <c r="E5323" t="s" s="9">
        <v>1806</v>
      </c>
      <c r="F5323" t="s" s="10">
        <v>255</v>
      </c>
      <c r="G5323" s="14"/>
      <c r="H5323" t="s" s="10">
        <v>255</v>
      </c>
      <c r="I5323" s="14"/>
      <c r="J5323" t="s" s="11">
        <v>20</v>
      </c>
      <c r="K5323" s="15"/>
      <c r="L5323" t="s" s="16">
        <f>HYPERLINK("http://csr.bu.edu/ftp/asl/asllvd/demos/verify_start_end_handshape_annotations//test_auto_move//signs_mov_separ_signers/Brady_5070.mov","MOV")</f>
        <v>21</v>
      </c>
      <c r="M5323" t="s" s="10">
        <v>40</v>
      </c>
      <c r="N5323" s="17">
        <v>48</v>
      </c>
      <c r="O5323" s="18">
        <v>396</v>
      </c>
      <c r="P5323" s="18">
        <v>412</v>
      </c>
      <c r="Q5323" s="15"/>
      <c r="R5323" t="s" s="16">
        <f>HYPERLINK("http://secrets.rutgers.edu:8080/data/asl-ftp/asllvd/demos/verify_start_end_handshape_annotations//test_auto_move//signs_mov_separ_signers/Brady_5070.mov","MOV")</f>
        <v>21</v>
      </c>
    </row>
    <row r="5324" s="2" customFormat="1" ht="13.5" customHeight="1">
      <c r="B5324" t="s" s="8">
        <v>1807</v>
      </c>
      <c r="C5324" t="s" s="9">
        <v>14</v>
      </c>
      <c r="D5324" t="s" s="8">
        <v>14</v>
      </c>
      <c r="E5324" t="s" s="9">
        <v>14</v>
      </c>
      <c r="F5324" t="s" s="10">
        <v>14</v>
      </c>
      <c r="G5324" t="s" s="11">
        <v>14</v>
      </c>
      <c r="H5324" t="s" s="10">
        <v>14</v>
      </c>
      <c r="I5324" t="s" s="11">
        <v>14</v>
      </c>
      <c r="J5324" t="s" s="11">
        <v>14</v>
      </c>
      <c r="K5324" t="s" s="12">
        <v>14</v>
      </c>
      <c r="L5324" t="s" s="12">
        <v>14</v>
      </c>
      <c r="M5324" t="s" s="10">
        <v>14</v>
      </c>
      <c r="N5324" t="s" s="11">
        <v>14</v>
      </c>
      <c r="O5324" t="s" s="8">
        <v>14</v>
      </c>
      <c r="P5324" t="s" s="8">
        <v>14</v>
      </c>
      <c r="Q5324" t="s" s="12">
        <v>14</v>
      </c>
      <c r="R5324" t="s" s="12">
        <v>14</v>
      </c>
    </row>
    <row r="5325" s="2" customFormat="1" ht="13.5" customHeight="1">
      <c r="B5325" s="13"/>
      <c r="C5325" t="s" s="9">
        <v>16</v>
      </c>
      <c r="D5325" t="s" s="8">
        <v>1807</v>
      </c>
      <c r="E5325" t="s" s="9">
        <v>1808</v>
      </c>
      <c r="F5325" t="s" s="10">
        <v>65</v>
      </c>
      <c r="G5325" s="14"/>
      <c r="H5325" t="s" s="10">
        <v>65</v>
      </c>
      <c r="I5325" s="14"/>
      <c r="J5325" t="s" s="11">
        <v>20</v>
      </c>
      <c r="K5325" t="s" s="16">
        <f>HYPERLINK("http://csr.bu.edu/ftp/asl/asllvd/demos/verify_start_end_handshape_annotations//test_auto_move//signs_mov/5213.mov","MOV")</f>
        <v>21</v>
      </c>
      <c r="L5325" t="s" s="16">
        <f>HYPERLINK("http://csr.bu.edu/ftp/asl/asllvd/demos/verify_start_end_handshape_annotations//test_auto_move//signs_mov_separ_signers/Liz_5213.mov","MOV")</f>
        <v>21</v>
      </c>
      <c r="M5325" t="s" s="10">
        <v>34</v>
      </c>
      <c r="N5325" s="17">
        <v>20</v>
      </c>
      <c r="O5325" s="18">
        <v>305</v>
      </c>
      <c r="P5325" s="18">
        <v>362</v>
      </c>
      <c r="Q5325" t="s" s="16">
        <f>HYPERLINK("http://secrets.rutgers.edu:8080/data/asl-ftp/asllvd/demos/verify_start_end_handshape_annotations//test_auto_move//signs_mov/5213.mov","MOV")</f>
        <v>21</v>
      </c>
      <c r="R5325" t="s" s="16">
        <f>HYPERLINK("http://secrets.rutgers.edu:8080/data/asl-ftp/asllvd/demos/verify_start_end_handshape_annotations//test_auto_move//signs_mov_separ_signers/Liz_5213.mov","MOV")</f>
        <v>21</v>
      </c>
    </row>
    <row r="5326" s="2" customFormat="1" ht="13.5" customHeight="1">
      <c r="B5326" s="13"/>
      <c r="C5326" t="s" s="9">
        <v>30</v>
      </c>
      <c r="D5326" t="s" s="8">
        <v>1807</v>
      </c>
      <c r="E5326" t="s" s="9">
        <v>1808</v>
      </c>
      <c r="F5326" t="s" s="10">
        <v>65</v>
      </c>
      <c r="G5326" s="14"/>
      <c r="H5326" t="s" s="10">
        <v>65</v>
      </c>
      <c r="I5326" s="14"/>
      <c r="J5326" t="s" s="11">
        <v>20</v>
      </c>
      <c r="K5326" s="15"/>
      <c r="L5326" t="s" s="16">
        <f>HYPERLINK("http://csr.bu.edu/ftp/asl/asllvd/demos/verify_start_end_handshape_annotations//test_auto_move//signs_mov_separ_signers/Brady_5213.mov","MOV")</f>
        <v>21</v>
      </c>
      <c r="M5326" t="s" s="10">
        <v>39</v>
      </c>
      <c r="N5326" s="17">
        <v>32</v>
      </c>
      <c r="O5326" s="18">
        <v>5069</v>
      </c>
      <c r="P5326" s="18">
        <v>5105</v>
      </c>
      <c r="Q5326" s="15"/>
      <c r="R5326" t="s" s="16">
        <f>HYPERLINK("http://secrets.rutgers.edu:8080/data/asl-ftp/asllvd/demos/verify_start_end_handshape_annotations//test_auto_move//signs_mov_separ_signers/Brady_5213.mov","MOV")</f>
        <v>21</v>
      </c>
    </row>
    <row r="5327" s="2" customFormat="1" ht="13.5" customHeight="1">
      <c r="B5327" t="s" s="8">
        <v>1809</v>
      </c>
      <c r="C5327" t="s" s="9">
        <v>14</v>
      </c>
      <c r="D5327" t="s" s="8">
        <v>14</v>
      </c>
      <c r="E5327" t="s" s="9">
        <v>14</v>
      </c>
      <c r="F5327" t="s" s="10">
        <v>14</v>
      </c>
      <c r="G5327" t="s" s="11">
        <v>14</v>
      </c>
      <c r="H5327" t="s" s="10">
        <v>14</v>
      </c>
      <c r="I5327" t="s" s="11">
        <v>14</v>
      </c>
      <c r="J5327" t="s" s="11">
        <v>14</v>
      </c>
      <c r="K5327" t="s" s="12">
        <v>14</v>
      </c>
      <c r="L5327" t="s" s="12">
        <v>14</v>
      </c>
      <c r="M5327" t="s" s="10">
        <v>14</v>
      </c>
      <c r="N5327" t="s" s="11">
        <v>14</v>
      </c>
      <c r="O5327" t="s" s="8">
        <v>14</v>
      </c>
      <c r="P5327" t="s" s="8">
        <v>14</v>
      </c>
      <c r="Q5327" t="s" s="12">
        <v>14</v>
      </c>
      <c r="R5327" t="s" s="12">
        <v>14</v>
      </c>
    </row>
    <row r="5328" s="2" customFormat="1" ht="13.5" customHeight="1">
      <c r="B5328" s="13"/>
      <c r="C5328" t="s" s="9">
        <v>16</v>
      </c>
      <c r="D5328" t="s" s="8">
        <v>1809</v>
      </c>
      <c r="E5328" t="s" s="9">
        <v>1810</v>
      </c>
      <c r="F5328" s="19">
        <v>1</v>
      </c>
      <c r="G5328" s="14"/>
      <c r="H5328" s="19">
        <v>1</v>
      </c>
      <c r="I5328" s="14"/>
      <c r="J5328" t="s" s="11">
        <v>20</v>
      </c>
      <c r="K5328" s="15"/>
      <c r="L5328" t="s" s="16">
        <f>HYPERLINK("http://csr.bu.edu/ftp/asl/asllvd/demos/verify_start_end_handshape_annotations//test_auto_move//signs_mov_separ_signers/Liz_1151.mov","MOV")</f>
        <v>21</v>
      </c>
      <c r="M5328" t="s" s="10">
        <v>34</v>
      </c>
      <c r="N5328" s="17">
        <v>20</v>
      </c>
      <c r="O5328" s="18">
        <v>567</v>
      </c>
      <c r="P5328" s="18">
        <v>611</v>
      </c>
      <c r="Q5328" s="15"/>
      <c r="R5328" t="s" s="16">
        <f>HYPERLINK("http://secrets.rutgers.edu:8080/data/asl-ftp/asllvd/demos/verify_start_end_handshape_annotations//test_auto_move//signs_mov_separ_signers/Liz_1151.mov","MOV")</f>
        <v>21</v>
      </c>
    </row>
    <row r="5329" s="2" customFormat="1" ht="13.5" customHeight="1">
      <c r="B5329" s="13"/>
      <c r="C5329" t="s" s="9">
        <v>23</v>
      </c>
      <c r="D5329" t="s" s="8">
        <v>1809</v>
      </c>
      <c r="E5329" t="s" s="9">
        <v>1810</v>
      </c>
      <c r="F5329" s="19">
        <v>1</v>
      </c>
      <c r="G5329" s="14"/>
      <c r="H5329" s="19">
        <v>1</v>
      </c>
      <c r="I5329" s="14"/>
      <c r="J5329" t="s" s="11">
        <v>20</v>
      </c>
      <c r="K5329" s="15"/>
      <c r="L5329" t="s" s="16">
        <f>HYPERLINK("http://csr.bu.edu/ftp/asl/asllvd/demos/verify_start_end_handshape_annotations//test_auto_move//signs_mov_separ_signers/Tyler_1151.mov","MOV")</f>
        <v>21</v>
      </c>
      <c r="M5329" t="s" s="10">
        <v>92</v>
      </c>
      <c r="N5329" s="17">
        <v>48</v>
      </c>
      <c r="O5329" s="18">
        <v>290</v>
      </c>
      <c r="P5329" s="18">
        <v>335</v>
      </c>
      <c r="Q5329" s="15"/>
      <c r="R5329" t="s" s="16">
        <f>HYPERLINK("http://secrets.rutgers.edu:8080/data/asl-ftp/asllvd/demos/verify_start_end_handshape_annotations//test_auto_move//signs_mov_separ_signers/Tyler_1151.mov","MOV")</f>
        <v>21</v>
      </c>
    </row>
    <row r="5330" s="2" customFormat="1" ht="13.5" customHeight="1">
      <c r="B5330" s="13"/>
      <c r="C5330" t="s" s="9">
        <v>27</v>
      </c>
      <c r="D5330" t="s" s="8">
        <v>1809</v>
      </c>
      <c r="E5330" t="s" s="9">
        <v>1811</v>
      </c>
      <c r="F5330" s="19">
        <v>1</v>
      </c>
      <c r="G5330" s="14"/>
      <c r="H5330" s="19">
        <v>1</v>
      </c>
      <c r="I5330" s="14"/>
      <c r="J5330" t="s" s="11">
        <v>20</v>
      </c>
      <c r="K5330" s="15"/>
      <c r="L5330" t="s" s="16">
        <f>HYPERLINK("http://csr.bu.edu/ftp/asl/asllvd/demos/verify_start_end_handshape_annotations//test_auto_move//signs_mov_separ_signers/Naomi_1151.mov","MOV")</f>
        <v>21</v>
      </c>
      <c r="M5330" t="s" s="10">
        <v>38</v>
      </c>
      <c r="N5330" s="17">
        <v>16</v>
      </c>
      <c r="O5330" s="18">
        <v>380</v>
      </c>
      <c r="P5330" s="18">
        <v>411</v>
      </c>
      <c r="Q5330" s="15"/>
      <c r="R5330" t="s" s="16">
        <f>HYPERLINK("http://secrets.rutgers.edu:8080/data/asl-ftp/asllvd/demos/verify_start_end_handshape_annotations//test_auto_move//signs_mov_separ_signers/Naomi_1151.mov","MOV")</f>
        <v>21</v>
      </c>
    </row>
    <row r="5331" s="2" customFormat="1" ht="13.5" customHeight="1">
      <c r="B5331" s="13"/>
      <c r="C5331" t="s" s="9">
        <v>30</v>
      </c>
      <c r="D5331" t="s" s="8">
        <v>1809</v>
      </c>
      <c r="E5331" t="s" s="9">
        <v>1811</v>
      </c>
      <c r="F5331" s="19">
        <v>1</v>
      </c>
      <c r="G5331" s="14"/>
      <c r="H5331" s="19">
        <v>1</v>
      </c>
      <c r="I5331" s="14"/>
      <c r="J5331" t="s" s="11">
        <v>20</v>
      </c>
      <c r="K5331" t="s" s="16">
        <f>HYPERLINK("http://csr.bu.edu/ftp/asl/asllvd/demos/verify_start_end_handshape_annotations//test_auto_move//signs_mov/1151_5071_merged.mov","MOV")</f>
        <v>21</v>
      </c>
      <c r="L5331" t="s" s="16">
        <f>HYPERLINK("http://csr.bu.edu/ftp/asl/asllvd/demos/verify_start_end_handshape_annotations//test_auto_move//signs_mov_separ_signers/Brady_1151.mov","MOV")</f>
        <v>21</v>
      </c>
      <c r="M5331" t="s" s="10">
        <v>39</v>
      </c>
      <c r="N5331" s="17">
        <v>32</v>
      </c>
      <c r="O5331" s="18">
        <v>5545</v>
      </c>
      <c r="P5331" s="18">
        <v>5564</v>
      </c>
      <c r="Q5331" t="s" s="16">
        <f>HYPERLINK("http://secrets.rutgers.edu:8080/data/asl-ftp/asllvd/demos/verify_start_end_handshape_annotations//test_auto_move//signs_mov/1151_5071_merged.mov","MOV")</f>
        <v>21</v>
      </c>
      <c r="R5331" t="s" s="16">
        <f>HYPERLINK("http://secrets.rutgers.edu:8080/data/asl-ftp/asllvd/demos/verify_start_end_handshape_annotations//test_auto_move//signs_mov_separ_signers/Brady_1151.mov","MOV")</f>
        <v>21</v>
      </c>
    </row>
    <row r="5332" s="2" customFormat="1" ht="13.5" customHeight="1">
      <c r="B5332" s="13"/>
      <c r="C5332" t="s" s="9">
        <v>41</v>
      </c>
      <c r="D5332" t="s" s="8">
        <v>1809</v>
      </c>
      <c r="E5332" t="s" s="9">
        <v>1811</v>
      </c>
      <c r="F5332" s="19">
        <v>1</v>
      </c>
      <c r="G5332" s="14"/>
      <c r="H5332" s="19">
        <v>1</v>
      </c>
      <c r="I5332" s="14"/>
      <c r="J5332" t="s" s="11">
        <v>20</v>
      </c>
      <c r="K5332" s="15"/>
      <c r="L5332" t="s" s="16">
        <f>HYPERLINK("http://csr.bu.edu/ftp/asl/asllvd/demos/verify_start_end_handshape_annotations//test_auto_move//signs_mov_separ_signers/Lana_1151.mov","MOV")</f>
        <v>21</v>
      </c>
      <c r="M5332" t="s" s="10">
        <v>42</v>
      </c>
      <c r="N5332" s="17">
        <v>14</v>
      </c>
      <c r="O5332" s="18">
        <v>1336</v>
      </c>
      <c r="P5332" s="18">
        <v>1368</v>
      </c>
      <c r="Q5332" s="15"/>
      <c r="R5332" t="s" s="16">
        <f>HYPERLINK("http://secrets.rutgers.edu:8080/data/asl-ftp/asllvd/demos/verify_start_end_handshape_annotations//test_auto_move//signs_mov_separ_signers/Lana_1151.mov","MOV")</f>
        <v>21</v>
      </c>
    </row>
    <row r="5333" s="2" customFormat="1" ht="13.5" customHeight="1">
      <c r="B5333" s="13"/>
      <c r="C5333" t="s" s="9">
        <v>41</v>
      </c>
      <c r="D5333" t="s" s="8">
        <v>1809</v>
      </c>
      <c r="E5333" t="s" s="9">
        <v>1811</v>
      </c>
      <c r="F5333" s="19">
        <v>1</v>
      </c>
      <c r="G5333" s="14"/>
      <c r="H5333" s="19">
        <v>1</v>
      </c>
      <c r="I5333" s="14"/>
      <c r="J5333" t="s" s="11">
        <v>20</v>
      </c>
      <c r="K5333" s="15"/>
      <c r="L5333" t="s" s="16">
        <f>HYPERLINK("http://csr.bu.edu/ftp/asl/asllvd/demos/verify_start_end_handshape_annotations//test_auto_move//signs_mov_separ_signers/Lana_5071.mov","MOV")</f>
        <v>21</v>
      </c>
      <c r="M5333" t="s" s="10">
        <v>42</v>
      </c>
      <c r="N5333" s="17">
        <v>22</v>
      </c>
      <c r="O5333" s="18">
        <v>2474</v>
      </c>
      <c r="P5333" s="18">
        <v>2504</v>
      </c>
      <c r="Q5333" s="15"/>
      <c r="R5333" t="s" s="16">
        <f>HYPERLINK("http://secrets.rutgers.edu:8080/data/asl-ftp/asllvd/demos/verify_start_end_handshape_annotations//test_auto_move//signs_mov_separ_signers/Lana_5071.mov","MOV")</f>
        <v>21</v>
      </c>
    </row>
    <row r="5334" s="2" customFormat="1" ht="13.5" customHeight="1">
      <c r="B5334" s="13"/>
      <c r="C5334" t="s" s="9">
        <v>43</v>
      </c>
      <c r="D5334" t="s" s="8">
        <v>1809</v>
      </c>
      <c r="E5334" t="s" s="9">
        <v>1810</v>
      </c>
      <c r="F5334" s="19">
        <v>1</v>
      </c>
      <c r="G5334" s="14"/>
      <c r="H5334" s="19">
        <v>1</v>
      </c>
      <c r="I5334" s="14"/>
      <c r="J5334" t="s" s="11">
        <v>20</v>
      </c>
      <c r="K5334" s="15"/>
      <c r="L5334" t="s" s="16">
        <f>HYPERLINK("http://csr.bu.edu/ftp/asl/asllvd/demos/verify_start_end_handshape_annotations//test_auto_move//signs_mov_separ_signers/Dana_1151.mov","MOV")</f>
        <v>21</v>
      </c>
      <c r="M5334" t="s" s="10">
        <v>44</v>
      </c>
      <c r="N5334" s="17">
        <v>17</v>
      </c>
      <c r="O5334" s="18">
        <v>1705</v>
      </c>
      <c r="P5334" s="18">
        <v>1762</v>
      </c>
      <c r="Q5334" s="15"/>
      <c r="R5334" t="s" s="16">
        <f>HYPERLINK("http://secrets.rutgers.edu:8080/data/asl-ftp/asllvd/demos/verify_start_end_handshape_annotations//test_auto_move//signs_mov_separ_signers/Dana_1151.mov","MOV")</f>
        <v>21</v>
      </c>
    </row>
    <row r="5335" s="2" customFormat="1" ht="13.5" customHeight="1">
      <c r="B5335" t="s" s="8">
        <v>1812</v>
      </c>
      <c r="C5335" t="s" s="9">
        <v>14</v>
      </c>
      <c r="D5335" t="s" s="8">
        <v>14</v>
      </c>
      <c r="E5335" t="s" s="9">
        <v>14</v>
      </c>
      <c r="F5335" t="s" s="10">
        <v>14</v>
      </c>
      <c r="G5335" t="s" s="11">
        <v>14</v>
      </c>
      <c r="H5335" t="s" s="10">
        <v>14</v>
      </c>
      <c r="I5335" t="s" s="11">
        <v>14</v>
      </c>
      <c r="J5335" t="s" s="11">
        <v>14</v>
      </c>
      <c r="K5335" t="s" s="12">
        <v>14</v>
      </c>
      <c r="L5335" t="s" s="12">
        <v>14</v>
      </c>
      <c r="M5335" t="s" s="10">
        <v>14</v>
      </c>
      <c r="N5335" t="s" s="11">
        <v>14</v>
      </c>
      <c r="O5335" t="s" s="8">
        <v>14</v>
      </c>
      <c r="P5335" t="s" s="8">
        <v>14</v>
      </c>
      <c r="Q5335" t="s" s="12">
        <v>14</v>
      </c>
      <c r="R5335" t="s" s="12">
        <v>14</v>
      </c>
    </row>
    <row r="5336" s="2" customFormat="1" ht="13.5" customHeight="1">
      <c r="B5336" s="13"/>
      <c r="C5336" t="s" s="9">
        <v>16</v>
      </c>
      <c r="D5336" t="s" s="8">
        <v>1812</v>
      </c>
      <c r="E5336" t="s" s="9">
        <v>1813</v>
      </c>
      <c r="F5336" s="19">
        <v>25</v>
      </c>
      <c r="G5336" s="14"/>
      <c r="H5336" s="19">
        <v>25</v>
      </c>
      <c r="I5336" s="14"/>
      <c r="J5336" t="s" s="11">
        <v>20</v>
      </c>
      <c r="K5336" s="15"/>
      <c r="L5336" t="s" s="16">
        <f>HYPERLINK("http://csr.bu.edu/ftp/asl/asllvd/demos/verify_start_end_handshape_annotations//test_auto_move//signs_mov_separ_signers/Liz_1153.mov","MOV")</f>
        <v>21</v>
      </c>
      <c r="M5336" t="s" s="10">
        <v>34</v>
      </c>
      <c r="N5336" s="17">
        <v>20</v>
      </c>
      <c r="O5336" s="18">
        <v>1056</v>
      </c>
      <c r="P5336" s="18">
        <v>1107</v>
      </c>
      <c r="Q5336" s="15"/>
      <c r="R5336" t="s" s="16">
        <f>HYPERLINK("http://secrets.rutgers.edu:8080/data/asl-ftp/asllvd/demos/verify_start_end_handshape_annotations//test_auto_move//signs_mov_separ_signers/Liz_1153.mov","MOV")</f>
        <v>21</v>
      </c>
    </row>
    <row r="5337" s="2" customFormat="1" ht="13.5" customHeight="1">
      <c r="B5337" s="13"/>
      <c r="C5337" t="s" s="9">
        <v>23</v>
      </c>
      <c r="D5337" t="s" s="8">
        <v>1812</v>
      </c>
      <c r="E5337" t="s" s="9">
        <v>1814</v>
      </c>
      <c r="F5337" s="19">
        <v>25</v>
      </c>
      <c r="G5337" s="14"/>
      <c r="H5337" s="19">
        <v>25</v>
      </c>
      <c r="I5337" s="14"/>
      <c r="J5337" t="s" s="11">
        <v>20</v>
      </c>
      <c r="K5337" t="s" s="16">
        <f>HYPERLINK("http://csr.bu.edu/ftp/asl/asllvd/demos/verify_start_end_handshape_annotations//test_auto_move//signs_mov/1153.mov","MOV")</f>
        <v>21</v>
      </c>
      <c r="L5337" t="s" s="16">
        <f>HYPERLINK("http://csr.bu.edu/ftp/asl/asllvd/demos/verify_start_end_handshape_annotations//test_auto_move//signs_mov_separ_signers/Tyler_1153.mov","MOV")</f>
        <v>21</v>
      </c>
      <c r="M5337" t="s" s="10">
        <v>92</v>
      </c>
      <c r="N5337" s="17">
        <v>48</v>
      </c>
      <c r="O5337" s="18">
        <v>647</v>
      </c>
      <c r="P5337" s="18">
        <v>701</v>
      </c>
      <c r="Q5337" t="s" s="16">
        <f>HYPERLINK("http://secrets.rutgers.edu:8080/data/asl-ftp/asllvd/demos/verify_start_end_handshape_annotations//test_auto_move//signs_mov/1153.mov","MOV")</f>
        <v>21</v>
      </c>
      <c r="R5337" t="s" s="16">
        <f>HYPERLINK("http://secrets.rutgers.edu:8080/data/asl-ftp/asllvd/demos/verify_start_end_handshape_annotations//test_auto_move//signs_mov_separ_signers/Tyler_1153.mov","MOV")</f>
        <v>21</v>
      </c>
    </row>
    <row r="5338" s="2" customFormat="1" ht="13.5" customHeight="1">
      <c r="B5338" s="13"/>
      <c r="C5338" t="s" s="9">
        <v>27</v>
      </c>
      <c r="D5338" t="s" s="8">
        <v>1812</v>
      </c>
      <c r="E5338" t="s" s="9">
        <v>1813</v>
      </c>
      <c r="F5338" s="19">
        <v>25</v>
      </c>
      <c r="G5338" s="14"/>
      <c r="H5338" s="19">
        <v>25</v>
      </c>
      <c r="I5338" s="14"/>
      <c r="J5338" t="s" s="11">
        <v>20</v>
      </c>
      <c r="K5338" s="15"/>
      <c r="L5338" t="s" s="16">
        <f>HYPERLINK("http://csr.bu.edu/ftp/asl/asllvd/demos/verify_start_end_handshape_annotations//test_auto_move//signs_mov_separ_signers/Naomi_1153.mov","MOV")</f>
        <v>21</v>
      </c>
      <c r="M5338" t="s" s="10">
        <v>38</v>
      </c>
      <c r="N5338" s="17">
        <v>16</v>
      </c>
      <c r="O5338" s="18">
        <v>970</v>
      </c>
      <c r="P5338" s="18">
        <v>1010</v>
      </c>
      <c r="Q5338" s="15"/>
      <c r="R5338" t="s" s="16">
        <f>HYPERLINK("http://secrets.rutgers.edu:8080/data/asl-ftp/asllvd/demos/verify_start_end_handshape_annotations//test_auto_move//signs_mov_separ_signers/Naomi_1153.mov","MOV")</f>
        <v>21</v>
      </c>
    </row>
    <row r="5339" s="2" customFormat="1" ht="13.5" customHeight="1">
      <c r="B5339" s="13"/>
      <c r="C5339" t="s" s="9">
        <v>30</v>
      </c>
      <c r="D5339" t="s" s="8">
        <v>1812</v>
      </c>
      <c r="E5339" t="s" s="9">
        <v>1813</v>
      </c>
      <c r="F5339" s="19">
        <v>25</v>
      </c>
      <c r="G5339" s="14"/>
      <c r="H5339" s="19">
        <v>25</v>
      </c>
      <c r="I5339" s="14"/>
      <c r="J5339" t="s" s="11">
        <v>20</v>
      </c>
      <c r="K5339" s="15"/>
      <c r="L5339" t="s" s="16">
        <f>HYPERLINK("http://csr.bu.edu/ftp/asl/asllvd/demos/verify_start_end_handshape_annotations//test_auto_move//signs_mov_separ_signers/Brady_1153.mov","MOV")</f>
        <v>21</v>
      </c>
      <c r="M5339" t="s" s="10">
        <v>39</v>
      </c>
      <c r="N5339" s="17">
        <v>32</v>
      </c>
      <c r="O5339" s="18">
        <v>7525</v>
      </c>
      <c r="P5339" s="18">
        <v>7550</v>
      </c>
      <c r="Q5339" s="15"/>
      <c r="R5339" t="s" s="16">
        <f>HYPERLINK("http://secrets.rutgers.edu:8080/data/asl-ftp/asllvd/demos/verify_start_end_handshape_annotations//test_auto_move//signs_mov_separ_signers/Brady_1153.mov","MOV")</f>
        <v>21</v>
      </c>
    </row>
    <row r="5340" s="2" customFormat="1" ht="13.5" customHeight="1">
      <c r="B5340" t="s" s="8">
        <v>1815</v>
      </c>
      <c r="C5340" t="s" s="9">
        <v>14</v>
      </c>
      <c r="D5340" t="s" s="8">
        <v>14</v>
      </c>
      <c r="E5340" t="s" s="9">
        <v>14</v>
      </c>
      <c r="F5340" t="s" s="10">
        <v>14</v>
      </c>
      <c r="G5340" t="s" s="11">
        <v>14</v>
      </c>
      <c r="H5340" t="s" s="10">
        <v>14</v>
      </c>
      <c r="I5340" t="s" s="11">
        <v>14</v>
      </c>
      <c r="J5340" t="s" s="11">
        <v>14</v>
      </c>
      <c r="K5340" t="s" s="12">
        <v>14</v>
      </c>
      <c r="L5340" t="s" s="12">
        <v>14</v>
      </c>
      <c r="M5340" t="s" s="10">
        <v>14</v>
      </c>
      <c r="N5340" t="s" s="11">
        <v>14</v>
      </c>
      <c r="O5340" t="s" s="8">
        <v>14</v>
      </c>
      <c r="P5340" t="s" s="8">
        <v>14</v>
      </c>
      <c r="Q5340" t="s" s="12">
        <v>14</v>
      </c>
      <c r="R5340" t="s" s="12">
        <v>14</v>
      </c>
    </row>
    <row r="5341" s="2" customFormat="1" ht="13.5" customHeight="1">
      <c r="B5341" s="13"/>
      <c r="C5341" t="s" s="9">
        <v>16</v>
      </c>
      <c r="D5341" t="s" s="8">
        <v>1815</v>
      </c>
      <c r="E5341" t="s" s="9">
        <v>1815</v>
      </c>
      <c r="F5341" s="19">
        <v>25</v>
      </c>
      <c r="G5341" s="14"/>
      <c r="H5341" s="19">
        <v>25</v>
      </c>
      <c r="I5341" s="14"/>
      <c r="J5341" t="s" s="11">
        <v>20</v>
      </c>
      <c r="K5341" s="15"/>
      <c r="L5341" t="s" s="16">
        <f>HYPERLINK("http://csr.bu.edu/ftp/asl/asllvd/demos/verify_start_end_handshape_annotations//test_auto_move//signs_mov_separ_signers/Liz_5072.mov","MOV")</f>
        <v>21</v>
      </c>
      <c r="M5341" t="s" s="10">
        <v>34</v>
      </c>
      <c r="N5341" s="17">
        <v>27</v>
      </c>
      <c r="O5341" s="18">
        <v>847</v>
      </c>
      <c r="P5341" s="18">
        <v>901</v>
      </c>
      <c r="Q5341" s="15"/>
      <c r="R5341" t="s" s="16">
        <f>HYPERLINK("http://secrets.rutgers.edu:8080/data/asl-ftp/asllvd/demos/verify_start_end_handshape_annotations//test_auto_move//signs_mov_separ_signers/Liz_5072.mov","MOV")</f>
        <v>21</v>
      </c>
    </row>
    <row r="5342" s="2" customFormat="1" ht="13.5" customHeight="1">
      <c r="B5342" s="13"/>
      <c r="C5342" t="s" s="9">
        <v>23</v>
      </c>
      <c r="D5342" t="s" s="8">
        <v>1815</v>
      </c>
      <c r="E5342" t="s" s="9">
        <v>1815</v>
      </c>
      <c r="F5342" s="19">
        <v>25</v>
      </c>
      <c r="G5342" s="14"/>
      <c r="H5342" s="19">
        <v>25</v>
      </c>
      <c r="I5342" s="14"/>
      <c r="J5342" t="s" s="11">
        <v>20</v>
      </c>
      <c r="K5342" t="s" s="16">
        <f>HYPERLINK("http://csr.bu.edu/ftp/asl/asllvd/demos/verify_start_end_handshape_annotations//test_auto_move//signs_mov/5072.mov","MOV")</f>
        <v>21</v>
      </c>
      <c r="L5342" t="s" s="16">
        <f>HYPERLINK("http://csr.bu.edu/ftp/asl/asllvd/demos/verify_start_end_handshape_annotations//test_auto_move//signs_mov_separ_signers/Tyler_5072.mov","MOV")</f>
        <v>21</v>
      </c>
      <c r="M5342" t="s" s="10">
        <v>37</v>
      </c>
      <c r="N5342" s="17">
        <v>3</v>
      </c>
      <c r="O5342" s="18">
        <v>576</v>
      </c>
      <c r="P5342" s="18">
        <v>605</v>
      </c>
      <c r="Q5342" t="s" s="16">
        <f>HYPERLINK("http://secrets.rutgers.edu:8080/data/asl-ftp/asllvd/demos/verify_start_end_handshape_annotations//test_auto_move//signs_mov/5072.mov","MOV")</f>
        <v>21</v>
      </c>
      <c r="R5342" t="s" s="16">
        <f>HYPERLINK("http://secrets.rutgers.edu:8080/data/asl-ftp/asllvd/demos/verify_start_end_handshape_annotations//test_auto_move//signs_mov_separ_signers/Tyler_5072.mov","MOV")</f>
        <v>21</v>
      </c>
    </row>
    <row r="5343" s="2" customFormat="1" ht="13.5" customHeight="1">
      <c r="B5343" s="13"/>
      <c r="C5343" t="s" s="9">
        <v>27</v>
      </c>
      <c r="D5343" t="s" s="8">
        <v>1815</v>
      </c>
      <c r="E5343" t="s" s="9">
        <v>1815</v>
      </c>
      <c r="F5343" s="19">
        <v>25</v>
      </c>
      <c r="G5343" s="14"/>
      <c r="H5343" s="19">
        <v>25</v>
      </c>
      <c r="I5343" s="14"/>
      <c r="J5343" t="s" s="11">
        <v>20</v>
      </c>
      <c r="K5343" s="15"/>
      <c r="L5343" t="s" s="16">
        <f>HYPERLINK("http://csr.bu.edu/ftp/asl/asllvd/demos/verify_start_end_handshape_annotations//test_auto_move//signs_mov_separ_signers/Naomi_5072.mov","MOV")</f>
        <v>21</v>
      </c>
      <c r="M5343" t="s" s="10">
        <v>38</v>
      </c>
      <c r="N5343" s="17">
        <v>23</v>
      </c>
      <c r="O5343" s="18">
        <v>1010</v>
      </c>
      <c r="P5343" s="18">
        <v>1057</v>
      </c>
      <c r="Q5343" s="15"/>
      <c r="R5343" t="s" s="16">
        <f>HYPERLINK("http://secrets.rutgers.edu:8080/data/asl-ftp/asllvd/demos/verify_start_end_handshape_annotations//test_auto_move//signs_mov_separ_signers/Naomi_5072.mov","MOV")</f>
        <v>21</v>
      </c>
    </row>
    <row r="5344" s="2" customFormat="1" ht="13.5" customHeight="1">
      <c r="B5344" t="s" s="8">
        <v>1816</v>
      </c>
      <c r="C5344" t="s" s="9">
        <v>14</v>
      </c>
      <c r="D5344" t="s" s="8">
        <v>14</v>
      </c>
      <c r="E5344" t="s" s="9">
        <v>14</v>
      </c>
      <c r="F5344" t="s" s="10">
        <v>14</v>
      </c>
      <c r="G5344" t="s" s="11">
        <v>14</v>
      </c>
      <c r="H5344" t="s" s="10">
        <v>14</v>
      </c>
      <c r="I5344" t="s" s="11">
        <v>14</v>
      </c>
      <c r="J5344" t="s" s="11">
        <v>14</v>
      </c>
      <c r="K5344" t="s" s="12">
        <v>14</v>
      </c>
      <c r="L5344" t="s" s="12">
        <v>14</v>
      </c>
      <c r="M5344" t="s" s="10">
        <v>14</v>
      </c>
      <c r="N5344" t="s" s="11">
        <v>14</v>
      </c>
      <c r="O5344" t="s" s="8">
        <v>14</v>
      </c>
      <c r="P5344" t="s" s="8">
        <v>14</v>
      </c>
      <c r="Q5344" t="s" s="12">
        <v>14</v>
      </c>
      <c r="R5344" t="s" s="12">
        <v>14</v>
      </c>
    </row>
    <row r="5345" s="2" customFormat="1" ht="13.5" customHeight="1">
      <c r="B5345" s="13"/>
      <c r="C5345" t="s" s="9">
        <v>23</v>
      </c>
      <c r="D5345" t="s" s="8">
        <v>1816</v>
      </c>
      <c r="E5345" t="s" s="9">
        <v>1816</v>
      </c>
      <c r="F5345" s="19">
        <v>25</v>
      </c>
      <c r="G5345" s="17">
        <v>25</v>
      </c>
      <c r="H5345" s="19">
        <v>25</v>
      </c>
      <c r="I5345" s="17">
        <v>25</v>
      </c>
      <c r="J5345" t="s" s="11">
        <v>20</v>
      </c>
      <c r="K5345" t="s" s="16">
        <f>HYPERLINK("http://csr.bu.edu/ftp/asl/asllvd/demos/verify_start_end_handshape_annotations//test_auto_move//signs_mov/5074.mov","MOV")</f>
        <v>21</v>
      </c>
      <c r="L5345" t="s" s="16">
        <f>HYPERLINK("http://csr.bu.edu/ftp/asl/asllvd/demos/verify_start_end_handshape_annotations//test_auto_move//signs_mov_separ_signers/Tyler_5074.mov","MOV")</f>
        <v>21</v>
      </c>
      <c r="M5345" t="s" s="10">
        <v>92</v>
      </c>
      <c r="N5345" s="17">
        <v>48</v>
      </c>
      <c r="O5345" s="18">
        <v>1037</v>
      </c>
      <c r="P5345" s="18">
        <v>1075</v>
      </c>
      <c r="Q5345" t="s" s="16">
        <f>HYPERLINK("http://secrets.rutgers.edu:8080/data/asl-ftp/asllvd/demos/verify_start_end_handshape_annotations//test_auto_move//signs_mov/5074.mov","MOV")</f>
        <v>21</v>
      </c>
      <c r="R5345" t="s" s="16">
        <f>HYPERLINK("http://secrets.rutgers.edu:8080/data/asl-ftp/asllvd/demos/verify_start_end_handshape_annotations//test_auto_move//signs_mov_separ_signers/Tyler_5074.mov","MOV")</f>
        <v>21</v>
      </c>
    </row>
    <row r="5346" s="2" customFormat="1" ht="13.5" customHeight="1">
      <c r="B5346" s="13"/>
      <c r="C5346" t="s" s="9">
        <v>30</v>
      </c>
      <c r="D5346" t="s" s="8">
        <v>1816</v>
      </c>
      <c r="E5346" t="s" s="9">
        <v>1816</v>
      </c>
      <c r="F5346" s="19">
        <v>25</v>
      </c>
      <c r="G5346" s="17">
        <v>25</v>
      </c>
      <c r="H5346" s="19">
        <v>25</v>
      </c>
      <c r="I5346" s="17">
        <v>25</v>
      </c>
      <c r="J5346" t="s" s="11">
        <v>20</v>
      </c>
      <c r="K5346" s="15"/>
      <c r="L5346" t="s" s="16">
        <f>HYPERLINK("http://csr.bu.edu/ftp/asl/asllvd/demos/verify_start_end_handshape_annotations//test_auto_move//signs_mov_separ_signers/Brady_5074.mov","MOV")</f>
        <v>21</v>
      </c>
      <c r="M5346" t="s" s="10">
        <v>39</v>
      </c>
      <c r="N5346" s="17">
        <v>32</v>
      </c>
      <c r="O5346" s="18">
        <v>7809</v>
      </c>
      <c r="P5346" s="18">
        <v>7846</v>
      </c>
      <c r="Q5346" s="15"/>
      <c r="R5346" t="s" s="16">
        <f>HYPERLINK("http://secrets.rutgers.edu:8080/data/asl-ftp/asllvd/demos/verify_start_end_handshape_annotations//test_auto_move//signs_mov_separ_signers/Brady_5074.mov","MOV")</f>
        <v>21</v>
      </c>
    </row>
    <row r="5347" s="2" customFormat="1" ht="13.5" customHeight="1">
      <c r="B5347" t="s" s="8">
        <v>52</v>
      </c>
      <c r="C5347" t="s" s="9">
        <v>53</v>
      </c>
      <c r="D5347" t="s" s="8">
        <v>53</v>
      </c>
      <c r="E5347" t="s" s="9">
        <v>53</v>
      </c>
      <c r="F5347" t="s" s="10">
        <v>53</v>
      </c>
      <c r="G5347" t="s" s="11">
        <v>53</v>
      </c>
      <c r="H5347" t="s" s="10">
        <v>53</v>
      </c>
      <c r="I5347" t="s" s="11">
        <v>53</v>
      </c>
      <c r="J5347" t="s" s="11">
        <v>53</v>
      </c>
      <c r="K5347" t="s" s="12">
        <v>53</v>
      </c>
      <c r="L5347" t="s" s="12">
        <v>53</v>
      </c>
      <c r="M5347" t="s" s="10">
        <v>53</v>
      </c>
      <c r="N5347" t="s" s="11">
        <v>53</v>
      </c>
      <c r="O5347" t="s" s="8">
        <v>53</v>
      </c>
      <c r="P5347" t="s" s="8">
        <v>53</v>
      </c>
      <c r="Q5347" t="s" s="12">
        <v>53</v>
      </c>
      <c r="R5347" t="s" s="12">
        <v>53</v>
      </c>
    </row>
    <row r="5348" s="2" customFormat="1" ht="13.5" customHeight="1">
      <c r="B5348" s="13"/>
      <c r="C5348" t="s" s="9">
        <v>16</v>
      </c>
      <c r="D5348" t="s" s="8">
        <v>1816</v>
      </c>
      <c r="E5348" t="s" s="9">
        <v>1817</v>
      </c>
      <c r="F5348" s="19">
        <v>1</v>
      </c>
      <c r="G5348" s="17">
        <v>1</v>
      </c>
      <c r="H5348" s="19">
        <v>1</v>
      </c>
      <c r="I5348" s="17">
        <v>1</v>
      </c>
      <c r="J5348" t="s" s="11">
        <v>20</v>
      </c>
      <c r="K5348" s="15"/>
      <c r="L5348" t="s" s="16">
        <f>HYPERLINK("http://csr.bu.edu/ftp/asl/asllvd/demos/verify_start_end_handshape_annotations//test_auto_move//signs_mov_separ_signers/Liz_15107.mov","MOV")</f>
        <v>21</v>
      </c>
      <c r="M5348" t="s" s="10">
        <v>34</v>
      </c>
      <c r="N5348" s="17">
        <v>20</v>
      </c>
      <c r="O5348" s="18">
        <v>1335</v>
      </c>
      <c r="P5348" s="18">
        <v>1385</v>
      </c>
      <c r="Q5348" s="15"/>
      <c r="R5348" t="s" s="16">
        <f>HYPERLINK("http://secrets.rutgers.edu:8080/data/asl-ftp/asllvd/demos/verify_start_end_handshape_annotations//test_auto_move//signs_mov_separ_signers/Liz_15107.mov","MOV")</f>
        <v>21</v>
      </c>
    </row>
    <row r="5349" s="2" customFormat="1" ht="13.5" customHeight="1">
      <c r="B5349" s="13"/>
      <c r="C5349" t="s" s="9">
        <v>27</v>
      </c>
      <c r="D5349" t="s" s="8">
        <v>1816</v>
      </c>
      <c r="E5349" t="s" s="9">
        <v>1817</v>
      </c>
      <c r="F5349" s="19">
        <v>1</v>
      </c>
      <c r="G5349" s="17">
        <v>1</v>
      </c>
      <c r="H5349" s="19">
        <v>1</v>
      </c>
      <c r="I5349" s="17">
        <v>1</v>
      </c>
      <c r="J5349" t="s" s="11">
        <v>20</v>
      </c>
      <c r="K5349" t="s" s="16">
        <f>HYPERLINK("http://csr.bu.edu/ftp/asl/asllvd/demos/verify_start_end_handshape_annotations//test_auto_move//signs_mov/15107.mov","MOV")</f>
        <v>21</v>
      </c>
      <c r="L5349" t="s" s="16">
        <f>HYPERLINK("http://csr.bu.edu/ftp/asl/asllvd/demos/verify_start_end_handshape_annotations//test_auto_move//signs_mov_separ_signers/Naomi_15107.mov","MOV")</f>
        <v>21</v>
      </c>
      <c r="M5349" t="s" s="10">
        <v>38</v>
      </c>
      <c r="N5349" s="17">
        <v>16</v>
      </c>
      <c r="O5349" s="18">
        <v>2223</v>
      </c>
      <c r="P5349" s="18">
        <v>2252</v>
      </c>
      <c r="Q5349" t="s" s="16">
        <f>HYPERLINK("http://secrets.rutgers.edu:8080/data/asl-ftp/asllvd/demos/verify_start_end_handshape_annotations//test_auto_move//signs_mov/15107.mov","MOV")</f>
        <v>21</v>
      </c>
      <c r="R5349" t="s" s="16">
        <f>HYPERLINK("http://secrets.rutgers.edu:8080/data/asl-ftp/asllvd/demos/verify_start_end_handshape_annotations//test_auto_move//signs_mov_separ_signers/Naomi_15107.mov","MOV")</f>
        <v>21</v>
      </c>
    </row>
    <row r="5350" s="2" customFormat="1" ht="13.5" customHeight="1">
      <c r="B5350" s="13"/>
      <c r="C5350" t="s" s="9">
        <v>30</v>
      </c>
      <c r="D5350" t="s" s="8">
        <v>1816</v>
      </c>
      <c r="E5350" t="s" s="9">
        <v>1817</v>
      </c>
      <c r="F5350" s="19">
        <v>1</v>
      </c>
      <c r="G5350" s="17">
        <v>1</v>
      </c>
      <c r="H5350" s="19">
        <v>1</v>
      </c>
      <c r="I5350" s="17">
        <v>1</v>
      </c>
      <c r="J5350" t="s" s="11">
        <v>20</v>
      </c>
      <c r="K5350" s="15"/>
      <c r="L5350" t="s" s="16">
        <f>HYPERLINK("http://csr.bu.edu/ftp/asl/asllvd/demos/verify_start_end_handshape_annotations//test_auto_move//signs_mov_separ_signers/Brady_15107.mov","MOV")</f>
        <v>21</v>
      </c>
      <c r="M5350" t="s" s="10">
        <v>39</v>
      </c>
      <c r="N5350" s="17">
        <v>33</v>
      </c>
      <c r="O5350" s="18">
        <v>306</v>
      </c>
      <c r="P5350" s="18">
        <v>342</v>
      </c>
      <c r="Q5350" s="15"/>
      <c r="R5350" t="s" s="16">
        <f>HYPERLINK("http://secrets.rutgers.edu:8080/data/asl-ftp/asllvd/demos/verify_start_end_handshape_annotations//test_auto_move//signs_mov_separ_signers/Brady_15107.mov","MOV")</f>
        <v>21</v>
      </c>
    </row>
    <row r="5351" s="2" customFormat="1" ht="13.5" customHeight="1">
      <c r="B5351" t="s" s="8">
        <v>1818</v>
      </c>
      <c r="C5351" t="s" s="9">
        <v>14</v>
      </c>
      <c r="D5351" t="s" s="8">
        <v>14</v>
      </c>
      <c r="E5351" t="s" s="9">
        <v>14</v>
      </c>
      <c r="F5351" t="s" s="10">
        <v>14</v>
      </c>
      <c r="G5351" t="s" s="11">
        <v>14</v>
      </c>
      <c r="H5351" t="s" s="10">
        <v>14</v>
      </c>
      <c r="I5351" t="s" s="11">
        <v>14</v>
      </c>
      <c r="J5351" t="s" s="11">
        <v>14</v>
      </c>
      <c r="K5351" t="s" s="12">
        <v>14</v>
      </c>
      <c r="L5351" t="s" s="12">
        <v>14</v>
      </c>
      <c r="M5351" t="s" s="10">
        <v>14</v>
      </c>
      <c r="N5351" t="s" s="11">
        <v>14</v>
      </c>
      <c r="O5351" t="s" s="8">
        <v>14</v>
      </c>
      <c r="P5351" t="s" s="8">
        <v>14</v>
      </c>
      <c r="Q5351" t="s" s="12">
        <v>14</v>
      </c>
      <c r="R5351" t="s" s="12">
        <v>14</v>
      </c>
    </row>
    <row r="5352" s="2" customFormat="1" ht="13.5" customHeight="1">
      <c r="B5352" s="13"/>
      <c r="C5352" t="s" s="9">
        <v>16</v>
      </c>
      <c r="D5352" t="s" s="8">
        <v>1818</v>
      </c>
      <c r="E5352" t="s" s="9">
        <v>1818</v>
      </c>
      <c r="F5352" t="s" s="10">
        <v>73</v>
      </c>
      <c r="G5352" t="s" s="11">
        <v>73</v>
      </c>
      <c r="H5352" t="s" s="10">
        <v>80</v>
      </c>
      <c r="I5352" t="s" s="11">
        <v>80</v>
      </c>
      <c r="J5352" t="s" s="11">
        <v>20</v>
      </c>
      <c r="K5352" t="s" s="16">
        <f>HYPERLINK("http://csr.bu.edu/ftp/asl/asllvd/demos/verify_start_end_handshape_annotations//test_auto_move//signs_mov/1157.mov","MOV")</f>
        <v>21</v>
      </c>
      <c r="L5352" t="s" s="16">
        <f>HYPERLINK("http://csr.bu.edu/ftp/asl/asllvd/demos/verify_start_end_handshape_annotations//test_auto_move//signs_mov_separ_signers/Liz_1157.mov","MOV")</f>
        <v>21</v>
      </c>
      <c r="M5352" t="s" s="10">
        <v>34</v>
      </c>
      <c r="N5352" s="17">
        <v>20</v>
      </c>
      <c r="O5352" s="18">
        <v>2180</v>
      </c>
      <c r="P5352" s="18">
        <v>2235</v>
      </c>
      <c r="Q5352" t="s" s="16">
        <f>HYPERLINK("http://secrets.rutgers.edu:8080/data/asl-ftp/asllvd/demos/verify_start_end_handshape_annotations//test_auto_move//signs_mov/1157.mov","MOV")</f>
        <v>21</v>
      </c>
      <c r="R5352" t="s" s="16">
        <f>HYPERLINK("http://secrets.rutgers.edu:8080/data/asl-ftp/asllvd/demos/verify_start_end_handshape_annotations//test_auto_move//signs_mov_separ_signers/Liz_1157.mov","MOV")</f>
        <v>21</v>
      </c>
    </row>
    <row r="5353" s="2" customFormat="1" ht="13.5" customHeight="1">
      <c r="B5353" s="13"/>
      <c r="C5353" t="s" s="9">
        <v>30</v>
      </c>
      <c r="D5353" t="s" s="8">
        <v>1818</v>
      </c>
      <c r="E5353" t="s" s="9">
        <v>1818</v>
      </c>
      <c r="F5353" t="s" s="10">
        <v>185</v>
      </c>
      <c r="G5353" t="s" s="11">
        <v>185</v>
      </c>
      <c r="H5353" t="s" s="10">
        <v>80</v>
      </c>
      <c r="I5353" t="s" s="11">
        <v>80</v>
      </c>
      <c r="J5353" t="s" s="11">
        <v>20</v>
      </c>
      <c r="K5353" s="15"/>
      <c r="L5353" t="s" s="16">
        <f>HYPERLINK("http://csr.bu.edu/ftp/asl/asllvd/demos/verify_start_end_handshape_annotations//test_auto_move//signs_mov_separ_signers/Brady_1157.mov","MOV")</f>
        <v>21</v>
      </c>
      <c r="M5353" t="s" s="10">
        <v>39</v>
      </c>
      <c r="N5353" s="17">
        <v>33</v>
      </c>
      <c r="O5353" s="18">
        <v>1877</v>
      </c>
      <c r="P5353" s="18">
        <v>1913</v>
      </c>
      <c r="Q5353" s="15"/>
      <c r="R5353" t="s" s="16">
        <f>HYPERLINK("http://secrets.rutgers.edu:8080/data/asl-ftp/asllvd/demos/verify_start_end_handshape_annotations//test_auto_move//signs_mov_separ_signers/Brady_1157.mov","MOV")</f>
        <v>21</v>
      </c>
    </row>
    <row r="5354" s="2" customFormat="1" ht="13.5" customHeight="1">
      <c r="B5354" t="s" s="8">
        <v>1818</v>
      </c>
      <c r="C5354" t="s" s="9">
        <v>14</v>
      </c>
      <c r="D5354" t="s" s="8">
        <v>14</v>
      </c>
      <c r="E5354" t="s" s="9">
        <v>14</v>
      </c>
      <c r="F5354" t="s" s="10">
        <v>14</v>
      </c>
      <c r="G5354" t="s" s="11">
        <v>14</v>
      </c>
      <c r="H5354" t="s" s="10">
        <v>14</v>
      </c>
      <c r="I5354" t="s" s="11">
        <v>14</v>
      </c>
      <c r="J5354" t="s" s="11">
        <v>14</v>
      </c>
      <c r="K5354" t="s" s="12">
        <v>14</v>
      </c>
      <c r="L5354" t="s" s="12">
        <v>14</v>
      </c>
      <c r="M5354" t="s" s="10">
        <v>14</v>
      </c>
      <c r="N5354" t="s" s="11">
        <v>14</v>
      </c>
      <c r="O5354" t="s" s="8">
        <v>14</v>
      </c>
      <c r="P5354" t="s" s="8">
        <v>14</v>
      </c>
      <c r="Q5354" t="s" s="12">
        <v>14</v>
      </c>
      <c r="R5354" t="s" s="12">
        <v>14</v>
      </c>
    </row>
    <row r="5355" s="2" customFormat="1" ht="13.5" customHeight="1">
      <c r="B5355" s="13"/>
      <c r="C5355" t="s" s="9">
        <v>23</v>
      </c>
      <c r="D5355" t="s" s="8">
        <v>1819</v>
      </c>
      <c r="E5355" t="s" s="9">
        <v>1819</v>
      </c>
      <c r="F5355" t="s" s="10">
        <v>73</v>
      </c>
      <c r="G5355" t="s" s="11">
        <v>73</v>
      </c>
      <c r="H5355" t="s" s="10">
        <v>80</v>
      </c>
      <c r="I5355" t="s" s="11">
        <v>80</v>
      </c>
      <c r="J5355" t="s" s="11">
        <v>20</v>
      </c>
      <c r="K5355" t="s" s="16">
        <f>HYPERLINK("http://csr.bu.edu/ftp/asl/asllvd/demos/verify_start_end_handshape_annotations//test_auto_move//signs_mov/15787.mov","MOV")</f>
        <v>21</v>
      </c>
      <c r="L5355" t="s" s="16">
        <f>HYPERLINK("http://csr.bu.edu/ftp/asl/asllvd/demos/verify_start_end_handshape_annotations//test_auto_move//signs_mov_separ_signers/Tyler_15787.mov","MOV")</f>
        <v>21</v>
      </c>
      <c r="M5355" t="s" s="10">
        <v>92</v>
      </c>
      <c r="N5355" s="17">
        <v>48</v>
      </c>
      <c r="O5355" s="18">
        <v>1850</v>
      </c>
      <c r="P5355" s="18">
        <v>1890</v>
      </c>
      <c r="Q5355" t="s" s="16">
        <f>HYPERLINK("http://secrets.rutgers.edu:8080/data/asl-ftp/asllvd/demos/verify_start_end_handshape_annotations//test_auto_move//signs_mov/15787.mov","MOV")</f>
        <v>21</v>
      </c>
      <c r="R5355" t="s" s="16">
        <f>HYPERLINK("http://secrets.rutgers.edu:8080/data/asl-ftp/asllvd/demos/verify_start_end_handshape_annotations//test_auto_move//signs_mov_separ_signers/Tyler_15787.mov","MOV")</f>
        <v>21</v>
      </c>
    </row>
    <row r="5356" s="2" customFormat="1" ht="13.5" customHeight="1">
      <c r="B5356" t="s" s="8">
        <v>1818</v>
      </c>
      <c r="C5356" t="s" s="9">
        <v>14</v>
      </c>
      <c r="D5356" t="s" s="8">
        <v>14</v>
      </c>
      <c r="E5356" t="s" s="9">
        <v>14</v>
      </c>
      <c r="F5356" t="s" s="10">
        <v>14</v>
      </c>
      <c r="G5356" t="s" s="11">
        <v>14</v>
      </c>
      <c r="H5356" t="s" s="10">
        <v>14</v>
      </c>
      <c r="I5356" t="s" s="11">
        <v>14</v>
      </c>
      <c r="J5356" t="s" s="11">
        <v>14</v>
      </c>
      <c r="K5356" t="s" s="12">
        <v>14</v>
      </c>
      <c r="L5356" t="s" s="12">
        <v>14</v>
      </c>
      <c r="M5356" t="s" s="10">
        <v>14</v>
      </c>
      <c r="N5356" t="s" s="11">
        <v>14</v>
      </c>
      <c r="O5356" t="s" s="8">
        <v>14</v>
      </c>
      <c r="P5356" t="s" s="8">
        <v>14</v>
      </c>
      <c r="Q5356" t="s" s="12">
        <v>14</v>
      </c>
      <c r="R5356" t="s" s="12">
        <v>14</v>
      </c>
    </row>
    <row r="5357" s="2" customFormat="1" ht="13.5" customHeight="1">
      <c r="B5357" s="13"/>
      <c r="C5357" t="s" s="9">
        <v>27</v>
      </c>
      <c r="D5357" t="s" s="8">
        <v>1820</v>
      </c>
      <c r="E5357" t="s" s="9">
        <v>1820</v>
      </c>
      <c r="F5357" t="s" s="10">
        <v>73</v>
      </c>
      <c r="G5357" t="s" s="11">
        <v>150</v>
      </c>
      <c r="H5357" t="s" s="10">
        <v>150</v>
      </c>
      <c r="I5357" t="s" s="11">
        <v>150</v>
      </c>
      <c r="J5357" t="s" s="11">
        <v>20</v>
      </c>
      <c r="K5357" t="s" s="16">
        <f>HYPERLINK("http://csr.bu.edu/ftp/asl/asllvd/demos/verify_start_end_handshape_annotations//test_auto_move//signs_mov/15788.mov","MOV")</f>
        <v>21</v>
      </c>
      <c r="L5357" t="s" s="16">
        <f>HYPERLINK("http://csr.bu.edu/ftp/asl/asllvd/demos/verify_start_end_handshape_annotations//test_auto_move//signs_mov_separ_signers/Naomi_15788.mov","MOV")</f>
        <v>21</v>
      </c>
      <c r="M5357" t="s" s="10">
        <v>38</v>
      </c>
      <c r="N5357" s="17">
        <v>16</v>
      </c>
      <c r="O5357" s="18">
        <v>4558</v>
      </c>
      <c r="P5357" s="18">
        <v>4592</v>
      </c>
      <c r="Q5357" t="s" s="16">
        <f>HYPERLINK("http://secrets.rutgers.edu:8080/data/asl-ftp/asllvd/demos/verify_start_end_handshape_annotations//test_auto_move//signs_mov/15788.mov","MOV")</f>
        <v>21</v>
      </c>
      <c r="R5357" t="s" s="16">
        <f>HYPERLINK("http://secrets.rutgers.edu:8080/data/asl-ftp/asllvd/demos/verify_start_end_handshape_annotations//test_auto_move//signs_mov_separ_signers/Naomi_15788.mov","MOV")</f>
        <v>21</v>
      </c>
    </row>
    <row r="5358" s="2" customFormat="1" ht="13.5" customHeight="1">
      <c r="B5358" t="s" s="8">
        <v>1821</v>
      </c>
      <c r="C5358" t="s" s="9">
        <v>14</v>
      </c>
      <c r="D5358" t="s" s="8">
        <v>14</v>
      </c>
      <c r="E5358" t="s" s="9">
        <v>14</v>
      </c>
      <c r="F5358" t="s" s="10">
        <v>14</v>
      </c>
      <c r="G5358" t="s" s="11">
        <v>14</v>
      </c>
      <c r="H5358" t="s" s="10">
        <v>14</v>
      </c>
      <c r="I5358" t="s" s="11">
        <v>14</v>
      </c>
      <c r="J5358" t="s" s="11">
        <v>14</v>
      </c>
      <c r="K5358" t="s" s="12">
        <v>14</v>
      </c>
      <c r="L5358" t="s" s="12">
        <v>14</v>
      </c>
      <c r="M5358" t="s" s="10">
        <v>14</v>
      </c>
      <c r="N5358" t="s" s="11">
        <v>14</v>
      </c>
      <c r="O5358" t="s" s="8">
        <v>14</v>
      </c>
      <c r="P5358" t="s" s="8">
        <v>14</v>
      </c>
      <c r="Q5358" t="s" s="12">
        <v>14</v>
      </c>
      <c r="R5358" t="s" s="12">
        <v>14</v>
      </c>
    </row>
    <row r="5359" s="2" customFormat="1" ht="13.5" customHeight="1">
      <c r="B5359" s="13"/>
      <c r="C5359" t="s" s="9">
        <v>16</v>
      </c>
      <c r="D5359" t="s" s="8">
        <v>1821</v>
      </c>
      <c r="E5359" t="s" s="9">
        <v>1822</v>
      </c>
      <c r="F5359" t="s" s="10">
        <v>136</v>
      </c>
      <c r="G5359" t="s" s="11">
        <v>136</v>
      </c>
      <c r="H5359" t="s" s="10">
        <v>136</v>
      </c>
      <c r="I5359" t="s" s="11">
        <v>136</v>
      </c>
      <c r="J5359" t="s" s="11">
        <v>20</v>
      </c>
      <c r="K5359" t="s" s="16">
        <f>HYPERLINK("http://csr.bu.edu/ftp/asl/asllvd/demos/verify_start_end_handshape_annotations//test_auto_move//signs_mov/1159.mov","MOV")</f>
        <v>21</v>
      </c>
      <c r="L5359" t="s" s="16">
        <f>HYPERLINK("http://csr.bu.edu/ftp/asl/asllvd/demos/verify_start_end_handshape_annotations//test_auto_move//signs_mov_separ_signers/Liz_1159.mov","MOV")</f>
        <v>21</v>
      </c>
      <c r="M5359" t="s" s="10">
        <v>34</v>
      </c>
      <c r="N5359" s="17">
        <v>20</v>
      </c>
      <c r="O5359" s="18">
        <v>2716</v>
      </c>
      <c r="P5359" s="18">
        <v>2766</v>
      </c>
      <c r="Q5359" t="s" s="16">
        <f>HYPERLINK("http://secrets.rutgers.edu:8080/data/asl-ftp/asllvd/demos/verify_start_end_handshape_annotations//test_auto_move//signs_mov/1159.mov","MOV")</f>
        <v>21</v>
      </c>
      <c r="R5359" t="s" s="16">
        <f>HYPERLINK("http://secrets.rutgers.edu:8080/data/asl-ftp/asllvd/demos/verify_start_end_handshape_annotations//test_auto_move//signs_mov_separ_signers/Liz_1159.mov","MOV")</f>
        <v>21</v>
      </c>
    </row>
    <row r="5360" s="2" customFormat="1" ht="13.5" customHeight="1">
      <c r="B5360" s="13"/>
      <c r="C5360" t="s" s="9">
        <v>27</v>
      </c>
      <c r="D5360" t="s" s="8">
        <v>1821</v>
      </c>
      <c r="E5360" t="s" s="9">
        <v>1823</v>
      </c>
      <c r="F5360" t="s" s="10">
        <v>136</v>
      </c>
      <c r="G5360" t="s" s="11">
        <v>136</v>
      </c>
      <c r="H5360" t="s" s="10">
        <v>136</v>
      </c>
      <c r="I5360" t="s" s="11">
        <v>136</v>
      </c>
      <c r="J5360" t="s" s="11">
        <v>20</v>
      </c>
      <c r="K5360" s="15"/>
      <c r="L5360" t="s" s="16">
        <f>HYPERLINK("http://csr.bu.edu/ftp/asl/asllvd/demos/verify_start_end_handshape_annotations//test_auto_move//signs_mov_separ_signers/Naomi_1159.mov","MOV")</f>
        <v>21</v>
      </c>
      <c r="M5360" t="s" s="10">
        <v>38</v>
      </c>
      <c r="N5360" s="17">
        <v>16</v>
      </c>
      <c r="O5360" s="18">
        <v>5235</v>
      </c>
      <c r="P5360" s="18">
        <v>5271</v>
      </c>
      <c r="Q5360" s="15"/>
      <c r="R5360" t="s" s="16">
        <f>HYPERLINK("http://secrets.rutgers.edu:8080/data/asl-ftp/asllvd/demos/verify_start_end_handshape_annotations//test_auto_move//signs_mov_separ_signers/Naomi_1159.mov","MOV")</f>
        <v>21</v>
      </c>
    </row>
    <row r="5361" s="2" customFormat="1" ht="13.5" customHeight="1">
      <c r="B5361" t="s" s="8">
        <v>1821</v>
      </c>
      <c r="C5361" t="s" s="9">
        <v>14</v>
      </c>
      <c r="D5361" t="s" s="8">
        <v>14</v>
      </c>
      <c r="E5361" t="s" s="9">
        <v>14</v>
      </c>
      <c r="F5361" t="s" s="10">
        <v>14</v>
      </c>
      <c r="G5361" t="s" s="11">
        <v>14</v>
      </c>
      <c r="H5361" t="s" s="10">
        <v>14</v>
      </c>
      <c r="I5361" t="s" s="11">
        <v>14</v>
      </c>
      <c r="J5361" t="s" s="11">
        <v>14</v>
      </c>
      <c r="K5361" t="s" s="12">
        <v>14</v>
      </c>
      <c r="L5361" t="s" s="12">
        <v>14</v>
      </c>
      <c r="M5361" t="s" s="10">
        <v>14</v>
      </c>
      <c r="N5361" t="s" s="11">
        <v>14</v>
      </c>
      <c r="O5361" t="s" s="8">
        <v>14</v>
      </c>
      <c r="P5361" t="s" s="8">
        <v>14</v>
      </c>
      <c r="Q5361" t="s" s="12">
        <v>14</v>
      </c>
      <c r="R5361" t="s" s="12">
        <v>14</v>
      </c>
    </row>
    <row r="5362" s="2" customFormat="1" ht="13.5" customHeight="1">
      <c r="B5362" s="13"/>
      <c r="C5362" t="s" s="9">
        <v>16</v>
      </c>
      <c r="D5362" t="s" s="8">
        <v>1824</v>
      </c>
      <c r="E5362" t="s" s="9">
        <v>1825</v>
      </c>
      <c r="F5362" s="19">
        <v>1</v>
      </c>
      <c r="G5362" s="14"/>
      <c r="H5362" s="19">
        <v>1</v>
      </c>
      <c r="I5362" s="14"/>
      <c r="J5362" t="s" s="11">
        <v>20</v>
      </c>
      <c r="K5362" t="s" s="16">
        <f>HYPERLINK("http://csr.bu.edu/ftp/asl/asllvd/demos/verify_start_end_handshape_annotations//test_auto_move//signs_mov/1160.mov","MOV")</f>
        <v>21</v>
      </c>
      <c r="L5362" t="s" s="16">
        <f>HYPERLINK("http://csr.bu.edu/ftp/asl/asllvd/demos/verify_start_end_handshape_annotations//test_auto_move//signs_mov_separ_signers/Liz_1160.mov","MOV")</f>
        <v>21</v>
      </c>
      <c r="M5362" t="s" s="10">
        <v>34</v>
      </c>
      <c r="N5362" s="17">
        <v>21</v>
      </c>
      <c r="O5362" s="18">
        <v>460</v>
      </c>
      <c r="P5362" s="18">
        <v>520</v>
      </c>
      <c r="Q5362" t="s" s="16">
        <f>HYPERLINK("http://secrets.rutgers.edu:8080/data/asl-ftp/asllvd/demos/verify_start_end_handshape_annotations//test_auto_move//signs_mov/1160.mov","MOV")</f>
        <v>21</v>
      </c>
      <c r="R5362" t="s" s="16">
        <f>HYPERLINK("http://secrets.rutgers.edu:8080/data/asl-ftp/asllvd/demos/verify_start_end_handshape_annotations//test_auto_move//signs_mov_separ_signers/Liz_1160.mov","MOV")</f>
        <v>21</v>
      </c>
    </row>
    <row r="5363" s="2" customFormat="1" ht="13.5" customHeight="1">
      <c r="B5363" s="13"/>
      <c r="C5363" t="s" s="9">
        <v>27</v>
      </c>
      <c r="D5363" t="s" s="8">
        <v>1824</v>
      </c>
      <c r="E5363" t="s" s="9">
        <v>1825</v>
      </c>
      <c r="F5363" s="19">
        <v>1</v>
      </c>
      <c r="G5363" s="14"/>
      <c r="H5363" s="19">
        <v>1</v>
      </c>
      <c r="I5363" s="14"/>
      <c r="J5363" t="s" s="11">
        <v>20</v>
      </c>
      <c r="K5363" s="15"/>
      <c r="L5363" t="s" s="16">
        <f>HYPERLINK("http://csr.bu.edu/ftp/asl/asllvd/demos/verify_start_end_handshape_annotations//test_auto_move//signs_mov_separ_signers/Naomi_1160.mov","MOV")</f>
        <v>21</v>
      </c>
      <c r="M5363" t="s" s="10">
        <v>38</v>
      </c>
      <c r="N5363" s="17">
        <v>16</v>
      </c>
      <c r="O5363" s="18">
        <v>5471</v>
      </c>
      <c r="P5363" s="18">
        <v>5496</v>
      </c>
      <c r="Q5363" s="15"/>
      <c r="R5363" t="s" s="16">
        <f>HYPERLINK("http://secrets.rutgers.edu:8080/data/asl-ftp/asllvd/demos/verify_start_end_handshape_annotations//test_auto_move//signs_mov_separ_signers/Naomi_1160.mov","MOV")</f>
        <v>21</v>
      </c>
    </row>
    <row r="5364" s="2" customFormat="1" ht="13.5" customHeight="1">
      <c r="B5364" t="s" s="8">
        <v>1826</v>
      </c>
      <c r="C5364" t="s" s="9">
        <v>14</v>
      </c>
      <c r="D5364" t="s" s="8">
        <v>14</v>
      </c>
      <c r="E5364" t="s" s="9">
        <v>14</v>
      </c>
      <c r="F5364" t="s" s="10">
        <v>14</v>
      </c>
      <c r="G5364" t="s" s="11">
        <v>14</v>
      </c>
      <c r="H5364" t="s" s="10">
        <v>14</v>
      </c>
      <c r="I5364" t="s" s="11">
        <v>14</v>
      </c>
      <c r="J5364" t="s" s="11">
        <v>14</v>
      </c>
      <c r="K5364" t="s" s="12">
        <v>14</v>
      </c>
      <c r="L5364" t="s" s="12">
        <v>14</v>
      </c>
      <c r="M5364" t="s" s="10">
        <v>14</v>
      </c>
      <c r="N5364" t="s" s="11">
        <v>14</v>
      </c>
      <c r="O5364" t="s" s="8">
        <v>14</v>
      </c>
      <c r="P5364" t="s" s="8">
        <v>14</v>
      </c>
      <c r="Q5364" t="s" s="12">
        <v>14</v>
      </c>
      <c r="R5364" t="s" s="12">
        <v>14</v>
      </c>
    </row>
    <row r="5365" s="2" customFormat="1" ht="13.5" customHeight="1">
      <c r="B5365" s="13"/>
      <c r="C5365" t="s" s="9">
        <v>16</v>
      </c>
      <c r="D5365" t="s" s="8">
        <v>1826</v>
      </c>
      <c r="E5365" t="s" s="9">
        <v>1826</v>
      </c>
      <c r="F5365" t="s" s="10">
        <v>240</v>
      </c>
      <c r="G5365" s="14"/>
      <c r="H5365" t="s" s="10">
        <v>240</v>
      </c>
      <c r="I5365" s="14"/>
      <c r="J5365" t="s" s="11">
        <v>20</v>
      </c>
      <c r="K5365" s="15"/>
      <c r="L5365" t="s" s="16">
        <f>HYPERLINK("http://csr.bu.edu/ftp/asl/asllvd/demos/verify_start_end_handshape_annotations//test_auto_move//signs_mov_separ_signers/Liz_1162.mov","MOV")</f>
        <v>21</v>
      </c>
      <c r="M5365" t="s" s="10">
        <v>34</v>
      </c>
      <c r="N5365" s="17">
        <v>21</v>
      </c>
      <c r="O5365" s="18">
        <v>930</v>
      </c>
      <c r="P5365" s="18">
        <v>960</v>
      </c>
      <c r="Q5365" s="15"/>
      <c r="R5365" t="s" s="16">
        <f>HYPERLINK("http://secrets.rutgers.edu:8080/data/asl-ftp/asllvd/demos/verify_start_end_handshape_annotations//test_auto_move//signs_mov_separ_signers/Liz_1162.mov","MOV")</f>
        <v>21</v>
      </c>
    </row>
    <row r="5366" s="2" customFormat="1" ht="13.5" customHeight="1">
      <c r="B5366" s="13"/>
      <c r="C5366" t="s" s="9">
        <v>27</v>
      </c>
      <c r="D5366" t="s" s="8">
        <v>1826</v>
      </c>
      <c r="E5366" t="s" s="9">
        <v>1826</v>
      </c>
      <c r="F5366" t="s" s="10">
        <v>240</v>
      </c>
      <c r="G5366" s="14"/>
      <c r="H5366" t="s" s="10">
        <v>240</v>
      </c>
      <c r="I5366" s="14"/>
      <c r="J5366" t="s" s="11">
        <v>20</v>
      </c>
      <c r="K5366" t="s" s="16">
        <f>HYPERLINK("http://csr.bu.edu/ftp/asl/asllvd/demos/verify_start_end_handshape_annotations//test_auto_move//signs_mov/1162.mov","MOV")</f>
        <v>21</v>
      </c>
      <c r="L5366" t="s" s="16">
        <f>HYPERLINK("http://csr.bu.edu/ftp/asl/asllvd/demos/verify_start_end_handshape_annotations//test_auto_move//signs_mov_separ_signers/Naomi_1162.mov","MOV")</f>
        <v>21</v>
      </c>
      <c r="M5366" t="s" s="10">
        <v>38</v>
      </c>
      <c r="N5366" s="17">
        <v>17</v>
      </c>
      <c r="O5366" s="18">
        <v>915</v>
      </c>
      <c r="P5366" s="18">
        <v>937</v>
      </c>
      <c r="Q5366" t="s" s="16">
        <f>HYPERLINK("http://secrets.rutgers.edu:8080/data/asl-ftp/asllvd/demos/verify_start_end_handshape_annotations//test_auto_move//signs_mov/1162.mov","MOV")</f>
        <v>21</v>
      </c>
      <c r="R5366" t="s" s="16">
        <f>HYPERLINK("http://secrets.rutgers.edu:8080/data/asl-ftp/asllvd/demos/verify_start_end_handshape_annotations//test_auto_move//signs_mov_separ_signers/Naomi_1162.mov","MOV")</f>
        <v>21</v>
      </c>
    </row>
    <row r="5367" s="2" customFormat="1" ht="13.5" customHeight="1">
      <c r="B5367" s="13"/>
      <c r="C5367" t="s" s="9">
        <v>30</v>
      </c>
      <c r="D5367" t="s" s="8">
        <v>1826</v>
      </c>
      <c r="E5367" t="s" s="9">
        <v>1826</v>
      </c>
      <c r="F5367" t="s" s="10">
        <v>240</v>
      </c>
      <c r="G5367" s="14"/>
      <c r="H5367" t="s" s="10">
        <v>240</v>
      </c>
      <c r="I5367" s="14"/>
      <c r="J5367" t="s" s="11">
        <v>20</v>
      </c>
      <c r="K5367" s="15"/>
      <c r="L5367" t="s" s="16">
        <f>HYPERLINK("http://csr.bu.edu/ftp/asl/asllvd/demos/verify_start_end_handshape_annotations//test_auto_move//signs_mov_separ_signers/Brady_1162.mov","MOV")</f>
        <v>21</v>
      </c>
      <c r="M5367" t="s" s="10">
        <v>39</v>
      </c>
      <c r="N5367" s="17">
        <v>33</v>
      </c>
      <c r="O5367" s="18">
        <v>3500</v>
      </c>
      <c r="P5367" s="18">
        <v>3519</v>
      </c>
      <c r="Q5367" s="15"/>
      <c r="R5367" t="s" s="16">
        <f>HYPERLINK("http://secrets.rutgers.edu:8080/data/asl-ftp/asllvd/demos/verify_start_end_handshape_annotations//test_auto_move//signs_mov_separ_signers/Brady_1162.mov","MOV")</f>
        <v>21</v>
      </c>
    </row>
    <row r="5368" s="2" customFormat="1" ht="13.5" customHeight="1">
      <c r="B5368" t="s" s="8">
        <v>1827</v>
      </c>
      <c r="C5368" t="s" s="9">
        <v>14</v>
      </c>
      <c r="D5368" t="s" s="8">
        <v>14</v>
      </c>
      <c r="E5368" t="s" s="9">
        <v>14</v>
      </c>
      <c r="F5368" t="s" s="10">
        <v>14</v>
      </c>
      <c r="G5368" t="s" s="11">
        <v>14</v>
      </c>
      <c r="H5368" t="s" s="10">
        <v>14</v>
      </c>
      <c r="I5368" t="s" s="11">
        <v>14</v>
      </c>
      <c r="J5368" t="s" s="11">
        <v>14</v>
      </c>
      <c r="K5368" t="s" s="12">
        <v>14</v>
      </c>
      <c r="L5368" t="s" s="12">
        <v>14</v>
      </c>
      <c r="M5368" t="s" s="10">
        <v>14</v>
      </c>
      <c r="N5368" t="s" s="11">
        <v>14</v>
      </c>
      <c r="O5368" t="s" s="8">
        <v>14</v>
      </c>
      <c r="P5368" t="s" s="8">
        <v>14</v>
      </c>
      <c r="Q5368" t="s" s="12">
        <v>14</v>
      </c>
      <c r="R5368" t="s" s="12">
        <v>14</v>
      </c>
    </row>
    <row r="5369" s="2" customFormat="1" ht="13.5" customHeight="1">
      <c r="B5369" s="13"/>
      <c r="C5369" t="s" s="9">
        <v>23</v>
      </c>
      <c r="D5369" t="s" s="8">
        <v>1827</v>
      </c>
      <c r="E5369" t="s" s="9">
        <v>1827</v>
      </c>
      <c r="F5369" t="s" s="10">
        <v>240</v>
      </c>
      <c r="G5369" s="14"/>
      <c r="H5369" t="s" s="10">
        <v>25</v>
      </c>
      <c r="I5369" s="14"/>
      <c r="J5369" t="s" s="11">
        <v>20</v>
      </c>
      <c r="K5369" t="s" s="16">
        <f>HYPERLINK("http://csr.bu.edu/ftp/asl/asllvd/demos/verify_start_end_handshape_annotations//test_auto_move//signs_mov/15132.mov","MOV")</f>
        <v>21</v>
      </c>
      <c r="L5369" t="s" s="16">
        <f>HYPERLINK("http://csr.bu.edu/ftp/asl/asllvd/demos/verify_start_end_handshape_annotations//test_auto_move//signs_mov_separ_signers/Tyler_15132.mov","MOV")</f>
        <v>21</v>
      </c>
      <c r="M5369" t="s" s="10">
        <v>92</v>
      </c>
      <c r="N5369" s="17">
        <v>49</v>
      </c>
      <c r="O5369" s="18">
        <v>460</v>
      </c>
      <c r="P5369" s="18">
        <v>490</v>
      </c>
      <c r="Q5369" t="s" s="16">
        <f>HYPERLINK("http://secrets.rutgers.edu:8080/data/asl-ftp/asllvd/demos/verify_start_end_handshape_annotations//test_auto_move//signs_mov/15132.mov","MOV")</f>
        <v>21</v>
      </c>
      <c r="R5369" t="s" s="16">
        <f>HYPERLINK("http://secrets.rutgers.edu:8080/data/asl-ftp/asllvd/demos/verify_start_end_handshape_annotations//test_auto_move//signs_mov_separ_signers/Tyler_15132.mov","MOV")</f>
        <v>21</v>
      </c>
    </row>
    <row r="5370" s="2" customFormat="1" ht="13.5" customHeight="1">
      <c r="B5370" s="13"/>
      <c r="C5370" t="s" s="9">
        <v>30</v>
      </c>
      <c r="D5370" t="s" s="8">
        <v>1827</v>
      </c>
      <c r="E5370" t="s" s="9">
        <v>1827</v>
      </c>
      <c r="F5370" t="s" s="10">
        <v>240</v>
      </c>
      <c r="G5370" s="14"/>
      <c r="H5370" t="s" s="10">
        <v>25</v>
      </c>
      <c r="I5370" s="14"/>
      <c r="J5370" t="s" s="11">
        <v>20</v>
      </c>
      <c r="K5370" s="15"/>
      <c r="L5370" t="s" s="16">
        <f>HYPERLINK("http://csr.bu.edu/ftp/asl/asllvd/demos/verify_start_end_handshape_annotations//test_auto_move//signs_mov_separ_signers/Brady_15132.mov","MOV")</f>
        <v>21</v>
      </c>
      <c r="M5370" t="s" s="10">
        <v>39</v>
      </c>
      <c r="N5370" s="17">
        <v>33</v>
      </c>
      <c r="O5370" s="18">
        <v>4063</v>
      </c>
      <c r="P5370" s="18">
        <v>4077</v>
      </c>
      <c r="Q5370" s="15"/>
      <c r="R5370" t="s" s="16">
        <f>HYPERLINK("http://secrets.rutgers.edu:8080/data/asl-ftp/asllvd/demos/verify_start_end_handshape_annotations//test_auto_move//signs_mov_separ_signers/Brady_15132.mov","MOV")</f>
        <v>21</v>
      </c>
    </row>
    <row r="5371" s="2" customFormat="1" ht="13.5" customHeight="1">
      <c r="B5371" t="s" s="8">
        <v>1828</v>
      </c>
      <c r="C5371" t="s" s="9">
        <v>14</v>
      </c>
      <c r="D5371" t="s" s="8">
        <v>14</v>
      </c>
      <c r="E5371" t="s" s="9">
        <v>14</v>
      </c>
      <c r="F5371" t="s" s="10">
        <v>14</v>
      </c>
      <c r="G5371" t="s" s="11">
        <v>14</v>
      </c>
      <c r="H5371" t="s" s="10">
        <v>14</v>
      </c>
      <c r="I5371" t="s" s="11">
        <v>14</v>
      </c>
      <c r="J5371" t="s" s="11">
        <v>14</v>
      </c>
      <c r="K5371" t="s" s="12">
        <v>14</v>
      </c>
      <c r="L5371" t="s" s="12">
        <v>14</v>
      </c>
      <c r="M5371" t="s" s="10">
        <v>14</v>
      </c>
      <c r="N5371" t="s" s="11">
        <v>14</v>
      </c>
      <c r="O5371" t="s" s="8">
        <v>14</v>
      </c>
      <c r="P5371" t="s" s="8">
        <v>14</v>
      </c>
      <c r="Q5371" t="s" s="12">
        <v>14</v>
      </c>
      <c r="R5371" t="s" s="12">
        <v>14</v>
      </c>
    </row>
    <row r="5372" s="2" customFormat="1" ht="13.5" customHeight="1">
      <c r="B5372" s="13"/>
      <c r="C5372" t="s" s="9">
        <v>16</v>
      </c>
      <c r="D5372" t="s" s="8">
        <v>1829</v>
      </c>
      <c r="E5372" t="s" s="9">
        <v>1830</v>
      </c>
      <c r="F5372" t="s" s="10">
        <v>73</v>
      </c>
      <c r="G5372" s="14"/>
      <c r="H5372" t="s" s="10">
        <v>73</v>
      </c>
      <c r="I5372" s="14"/>
      <c r="J5372" t="s" s="11">
        <v>20</v>
      </c>
      <c r="K5372" s="15"/>
      <c r="L5372" t="s" s="16">
        <f>HYPERLINK("http://csr.bu.edu/ftp/asl/asllvd/demos/verify_start_end_handshape_annotations//test_auto_move//signs_mov_separ_signers/Liz_1167.mov","MOV")</f>
        <v>21</v>
      </c>
      <c r="M5372" t="s" s="10">
        <v>88</v>
      </c>
      <c r="N5372" s="17">
        <v>5</v>
      </c>
      <c r="O5372" s="18">
        <v>2386</v>
      </c>
      <c r="P5372" s="18">
        <v>2445</v>
      </c>
      <c r="Q5372" s="15"/>
      <c r="R5372" t="s" s="16">
        <f>HYPERLINK("http://secrets.rutgers.edu:8080/data/asl-ftp/asllvd/demos/verify_start_end_handshape_annotations//test_auto_move//signs_mov_separ_signers/Liz_1167.mov","MOV")</f>
        <v>21</v>
      </c>
    </row>
    <row r="5373" s="2" customFormat="1" ht="13.5" customHeight="1">
      <c r="B5373" s="13"/>
      <c r="C5373" t="s" s="9">
        <v>16</v>
      </c>
      <c r="D5373" t="s" s="8">
        <v>1829</v>
      </c>
      <c r="E5373" t="s" s="9">
        <v>1829</v>
      </c>
      <c r="F5373" t="s" s="10">
        <v>73</v>
      </c>
      <c r="G5373" s="14"/>
      <c r="H5373" t="s" s="10">
        <v>73</v>
      </c>
      <c r="I5373" s="14"/>
      <c r="J5373" t="s" s="11">
        <v>20</v>
      </c>
      <c r="K5373" s="15"/>
      <c r="L5373" t="s" s="16">
        <f>HYPERLINK("http://csr.bu.edu/ftp/asl/asllvd/demos/verify_start_end_handshape_annotations//test_auto_move//signs_mov_separ_signers/Liz_5394.mov","MOV")</f>
        <v>21</v>
      </c>
      <c r="M5373" t="s" s="10">
        <v>88</v>
      </c>
      <c r="N5373" s="17">
        <v>14</v>
      </c>
      <c r="O5373" s="18">
        <v>217</v>
      </c>
      <c r="P5373" s="18">
        <v>260</v>
      </c>
      <c r="Q5373" s="15"/>
      <c r="R5373" t="s" s="16">
        <f>HYPERLINK("http://secrets.rutgers.edu:8080/data/asl-ftp/asllvd/demos/verify_start_end_handshape_annotations//test_auto_move//signs_mov_separ_signers/Liz_5394.mov","MOV")</f>
        <v>21</v>
      </c>
    </row>
    <row r="5374" s="2" customFormat="1" ht="13.5" customHeight="1">
      <c r="B5374" s="13"/>
      <c r="C5374" t="s" s="9">
        <v>23</v>
      </c>
      <c r="D5374" t="s" s="8">
        <v>1829</v>
      </c>
      <c r="E5374" t="s" s="9">
        <v>1830</v>
      </c>
      <c r="F5374" t="s" s="10">
        <v>73</v>
      </c>
      <c r="G5374" s="14"/>
      <c r="H5374" t="s" s="10">
        <v>73</v>
      </c>
      <c r="I5374" s="14"/>
      <c r="J5374" t="s" s="11">
        <v>20</v>
      </c>
      <c r="K5374" t="s" s="16">
        <f>HYPERLINK("http://csr.bu.edu/ftp/asl/asllvd/demos/verify_start_end_handshape_annotations//test_auto_move//signs_mov/1167_5394_merged.mov","MOV")</f>
        <v>21</v>
      </c>
      <c r="L5374" t="s" s="16">
        <f>HYPERLINK("http://csr.bu.edu/ftp/asl/asllvd/demos/verify_start_end_handshape_annotations//test_auto_move//signs_mov_separ_signers/Tyler_1167.mov","MOV")</f>
        <v>21</v>
      </c>
      <c r="M5374" t="s" s="10">
        <v>47</v>
      </c>
      <c r="N5374" s="17">
        <v>21</v>
      </c>
      <c r="O5374" s="18">
        <v>3260</v>
      </c>
      <c r="P5374" s="18">
        <v>3288</v>
      </c>
      <c r="Q5374" t="s" s="16">
        <f>HYPERLINK("http://secrets.rutgers.edu:8080/data/asl-ftp/asllvd/demos/verify_start_end_handshape_annotations//test_auto_move//signs_mov/1167_5394_merged.mov","MOV")</f>
        <v>21</v>
      </c>
      <c r="R5374" t="s" s="16">
        <f>HYPERLINK("http://secrets.rutgers.edu:8080/data/asl-ftp/asllvd/demos/verify_start_end_handshape_annotations//test_auto_move//signs_mov_separ_signers/Tyler_1167.mov","MOV")</f>
        <v>21</v>
      </c>
    </row>
    <row r="5375" s="2" customFormat="1" ht="13.5" customHeight="1">
      <c r="B5375" s="13"/>
      <c r="C5375" t="s" s="9">
        <v>30</v>
      </c>
      <c r="D5375" t="s" s="8">
        <v>1829</v>
      </c>
      <c r="E5375" t="s" s="9">
        <v>1830</v>
      </c>
      <c r="F5375" t="s" s="10">
        <v>73</v>
      </c>
      <c r="G5375" s="14"/>
      <c r="H5375" t="s" s="10">
        <v>73</v>
      </c>
      <c r="I5375" s="14"/>
      <c r="J5375" t="s" s="11">
        <v>20</v>
      </c>
      <c r="K5375" s="15"/>
      <c r="L5375" t="s" s="16">
        <f>HYPERLINK("http://csr.bu.edu/ftp/asl/asllvd/demos/verify_start_end_handshape_annotations//test_auto_move//signs_mov_separ_signers/Brady_1167.mov","MOV")</f>
        <v>21</v>
      </c>
      <c r="M5375" t="s" s="10">
        <v>31</v>
      </c>
      <c r="N5375" s="17">
        <v>27</v>
      </c>
      <c r="O5375" s="18">
        <v>4924</v>
      </c>
      <c r="P5375" s="18">
        <v>4956</v>
      </c>
      <c r="Q5375" s="15"/>
      <c r="R5375" t="s" s="16">
        <f>HYPERLINK("http://secrets.rutgers.edu:8080/data/asl-ftp/asllvd/demos/verify_start_end_handshape_annotations//test_auto_move//signs_mov_separ_signers/Brady_1167.mov","MOV")</f>
        <v>21</v>
      </c>
    </row>
    <row r="5376" s="2" customFormat="1" ht="13.5" customHeight="1">
      <c r="B5376" s="13"/>
      <c r="C5376" t="s" s="9">
        <v>30</v>
      </c>
      <c r="D5376" t="s" s="8">
        <v>1829</v>
      </c>
      <c r="E5376" t="s" s="9">
        <v>1830</v>
      </c>
      <c r="F5376" t="s" s="10">
        <v>73</v>
      </c>
      <c r="G5376" s="14"/>
      <c r="H5376" t="s" s="10">
        <v>73</v>
      </c>
      <c r="I5376" s="14"/>
      <c r="J5376" t="s" s="11">
        <v>20</v>
      </c>
      <c r="K5376" s="15"/>
      <c r="L5376" t="s" s="16">
        <f>HYPERLINK("http://csr.bu.edu/ftp/asl/asllvd/demos/verify_start_end_handshape_annotations//test_auto_move//signs_mov_separ_signers/Brady_5394.mov","MOV")</f>
        <v>21</v>
      </c>
      <c r="M5376" t="s" s="10">
        <v>40</v>
      </c>
      <c r="N5376" s="17">
        <v>2</v>
      </c>
      <c r="O5376" s="18">
        <v>3054</v>
      </c>
      <c r="P5376" s="18">
        <v>3078</v>
      </c>
      <c r="Q5376" s="15"/>
      <c r="R5376" t="s" s="16">
        <f>HYPERLINK("http://secrets.rutgers.edu:8080/data/asl-ftp/asllvd/demos/verify_start_end_handshape_annotations//test_auto_move//signs_mov_separ_signers/Brady_5394.mov","MOV")</f>
        <v>21</v>
      </c>
    </row>
    <row r="5377" s="2" customFormat="1" ht="13.5" customHeight="1">
      <c r="B5377" t="s" s="8">
        <v>52</v>
      </c>
      <c r="C5377" t="s" s="9">
        <v>53</v>
      </c>
      <c r="D5377" t="s" s="8">
        <v>53</v>
      </c>
      <c r="E5377" t="s" s="9">
        <v>53</v>
      </c>
      <c r="F5377" t="s" s="10">
        <v>53</v>
      </c>
      <c r="G5377" t="s" s="11">
        <v>53</v>
      </c>
      <c r="H5377" t="s" s="10">
        <v>53</v>
      </c>
      <c r="I5377" t="s" s="11">
        <v>53</v>
      </c>
      <c r="J5377" t="s" s="11">
        <v>53</v>
      </c>
      <c r="K5377" t="s" s="12">
        <v>53</v>
      </c>
      <c r="L5377" t="s" s="12">
        <v>53</v>
      </c>
      <c r="M5377" t="s" s="10">
        <v>53</v>
      </c>
      <c r="N5377" t="s" s="11">
        <v>53</v>
      </c>
      <c r="O5377" t="s" s="8">
        <v>53</v>
      </c>
      <c r="P5377" t="s" s="8">
        <v>53</v>
      </c>
      <c r="Q5377" t="s" s="12">
        <v>53</v>
      </c>
      <c r="R5377" t="s" s="12">
        <v>53</v>
      </c>
    </row>
    <row r="5378" s="2" customFormat="1" ht="13.5" customHeight="1">
      <c r="B5378" s="13"/>
      <c r="C5378" t="s" s="9">
        <v>16</v>
      </c>
      <c r="D5378" t="s" s="8">
        <v>1829</v>
      </c>
      <c r="E5378" t="s" s="9">
        <v>1831</v>
      </c>
      <c r="F5378" t="s" s="10">
        <v>260</v>
      </c>
      <c r="G5378" s="14"/>
      <c r="H5378" t="s" s="10">
        <v>260</v>
      </c>
      <c r="I5378" s="14"/>
      <c r="J5378" t="s" s="11">
        <v>20</v>
      </c>
      <c r="K5378" s="15"/>
      <c r="L5378" t="s" s="16">
        <f>HYPERLINK("http://csr.bu.edu/ftp/asl/asllvd/demos/verify_start_end_handshape_annotations//test_auto_move//signs_mov_separ_signers/Liz_5403.mov","MOV")</f>
        <v>21</v>
      </c>
      <c r="M5378" t="s" s="10">
        <v>88</v>
      </c>
      <c r="N5378" s="17">
        <v>28</v>
      </c>
      <c r="O5378" s="18">
        <v>326</v>
      </c>
      <c r="P5378" s="18">
        <v>370</v>
      </c>
      <c r="Q5378" s="15"/>
      <c r="R5378" t="s" s="16">
        <f>HYPERLINK("http://secrets.rutgers.edu:8080/data/asl-ftp/asllvd/demos/verify_start_end_handshape_annotations//test_auto_move//signs_mov_separ_signers/Liz_5403.mov","MOV")</f>
        <v>21</v>
      </c>
    </row>
    <row r="5379" s="2" customFormat="1" ht="13.5" customHeight="1">
      <c r="B5379" s="13"/>
      <c r="C5379" t="s" s="9">
        <v>30</v>
      </c>
      <c r="D5379" t="s" s="8">
        <v>1829</v>
      </c>
      <c r="E5379" t="s" s="9">
        <v>1831</v>
      </c>
      <c r="F5379" t="s" s="10">
        <v>150</v>
      </c>
      <c r="G5379" s="14"/>
      <c r="H5379" t="s" s="10">
        <v>150</v>
      </c>
      <c r="I5379" s="14"/>
      <c r="J5379" t="s" s="11">
        <v>20</v>
      </c>
      <c r="K5379" t="s" s="16">
        <f>HYPERLINK("http://csr.bu.edu/ftp/asl/asllvd/demos/verify_start_end_handshape_annotations//test_auto_move//signs_mov/5403.mov","MOV")</f>
        <v>21</v>
      </c>
      <c r="L5379" t="s" s="16">
        <f>HYPERLINK("http://csr.bu.edu/ftp/asl/asllvd/demos/verify_start_end_handshape_annotations//test_auto_move//signs_mov_separ_signers/Brady_5403.mov","MOV")</f>
        <v>21</v>
      </c>
      <c r="M5379" t="s" s="10">
        <v>40</v>
      </c>
      <c r="N5379" s="17">
        <v>23</v>
      </c>
      <c r="O5379" s="18">
        <v>1922</v>
      </c>
      <c r="P5379" s="18">
        <v>1940</v>
      </c>
      <c r="Q5379" t="s" s="16">
        <f>HYPERLINK("http://secrets.rutgers.edu:8080/data/asl-ftp/asllvd/demos/verify_start_end_handshape_annotations//test_auto_move//signs_mov/5403.mov","MOV")</f>
        <v>21</v>
      </c>
      <c r="R5379" t="s" s="16">
        <f>HYPERLINK("http://secrets.rutgers.edu:8080/data/asl-ftp/asllvd/demos/verify_start_end_handshape_annotations//test_auto_move//signs_mov_separ_signers/Brady_5403.mov","MOV")</f>
        <v>21</v>
      </c>
    </row>
    <row r="5380" s="2" customFormat="1" ht="13.5" customHeight="1">
      <c r="B5380" s="13"/>
      <c r="C5380" t="s" s="9">
        <v>41</v>
      </c>
      <c r="D5380" t="s" s="8">
        <v>1829</v>
      </c>
      <c r="E5380" t="s" s="9">
        <v>1831</v>
      </c>
      <c r="F5380" t="s" s="10">
        <v>73</v>
      </c>
      <c r="G5380" s="14"/>
      <c r="H5380" t="s" s="10">
        <v>73</v>
      </c>
      <c r="I5380" s="14"/>
      <c r="J5380" t="s" s="11">
        <v>20</v>
      </c>
      <c r="K5380" s="15"/>
      <c r="L5380" t="s" s="16">
        <f>HYPERLINK("http://csr.bu.edu/ftp/asl/asllvd/demos/verify_start_end_handshape_annotations//test_auto_move//signs_mov_separ_signers/Lana_5403.mov","MOV")</f>
        <v>21</v>
      </c>
      <c r="M5380" t="s" s="10">
        <v>42</v>
      </c>
      <c r="N5380" s="17">
        <v>20</v>
      </c>
      <c r="O5380" s="18">
        <v>1980</v>
      </c>
      <c r="P5380" s="18">
        <v>1996</v>
      </c>
      <c r="Q5380" s="15"/>
      <c r="R5380" t="s" s="16">
        <f>HYPERLINK("http://secrets.rutgers.edu:8080/data/asl-ftp/asllvd/demos/verify_start_end_handshape_annotations//test_auto_move//signs_mov_separ_signers/Lana_5403.mov","MOV")</f>
        <v>21</v>
      </c>
    </row>
    <row r="5381" s="2" customFormat="1" ht="13.5" customHeight="1">
      <c r="B5381" s="13"/>
      <c r="C5381" t="s" s="9">
        <v>43</v>
      </c>
      <c r="D5381" t="s" s="8">
        <v>1829</v>
      </c>
      <c r="E5381" t="s" s="9">
        <v>1831</v>
      </c>
      <c r="F5381" t="s" s="10">
        <v>260</v>
      </c>
      <c r="G5381" s="14"/>
      <c r="H5381" t="s" s="10">
        <v>260</v>
      </c>
      <c r="I5381" s="14"/>
      <c r="J5381" t="s" s="11">
        <v>20</v>
      </c>
      <c r="K5381" s="15"/>
      <c r="L5381" t="s" s="16">
        <f>HYPERLINK("http://csr.bu.edu/ftp/asl/asllvd/demos/verify_start_end_handshape_annotations//test_auto_move//signs_mov_separ_signers/Dana_5403.mov","MOV")</f>
        <v>21</v>
      </c>
      <c r="M5381" t="s" s="10">
        <v>44</v>
      </c>
      <c r="N5381" s="17">
        <v>22</v>
      </c>
      <c r="O5381" s="18">
        <v>1930</v>
      </c>
      <c r="P5381" s="18">
        <v>1951</v>
      </c>
      <c r="Q5381" s="15"/>
      <c r="R5381" t="s" s="16">
        <f>HYPERLINK("http://secrets.rutgers.edu:8080/data/asl-ftp/asllvd/demos/verify_start_end_handshape_annotations//test_auto_move//signs_mov_separ_signers/Dana_5403.mov","MOV")</f>
        <v>21</v>
      </c>
    </row>
    <row r="5382" s="2" customFormat="1" ht="13.5" customHeight="1">
      <c r="B5382" t="s" s="8">
        <v>1828</v>
      </c>
      <c r="C5382" t="s" s="9">
        <v>14</v>
      </c>
      <c r="D5382" t="s" s="8">
        <v>14</v>
      </c>
      <c r="E5382" t="s" s="9">
        <v>14</v>
      </c>
      <c r="F5382" t="s" s="10">
        <v>14</v>
      </c>
      <c r="G5382" t="s" s="11">
        <v>14</v>
      </c>
      <c r="H5382" t="s" s="10">
        <v>14</v>
      </c>
      <c r="I5382" t="s" s="11">
        <v>14</v>
      </c>
      <c r="J5382" t="s" s="11">
        <v>14</v>
      </c>
      <c r="K5382" t="s" s="12">
        <v>14</v>
      </c>
      <c r="L5382" t="s" s="12">
        <v>14</v>
      </c>
      <c r="M5382" t="s" s="10">
        <v>14</v>
      </c>
      <c r="N5382" t="s" s="11">
        <v>14</v>
      </c>
      <c r="O5382" t="s" s="8">
        <v>14</v>
      </c>
      <c r="P5382" t="s" s="8">
        <v>14</v>
      </c>
      <c r="Q5382" t="s" s="12">
        <v>14</v>
      </c>
      <c r="R5382" t="s" s="12">
        <v>14</v>
      </c>
    </row>
    <row r="5383" s="2" customFormat="1" ht="13.5" customHeight="1">
      <c r="B5383" s="13"/>
      <c r="C5383" t="s" s="9">
        <v>16</v>
      </c>
      <c r="D5383" t="s" s="8">
        <v>1832</v>
      </c>
      <c r="E5383" t="s" s="9">
        <v>1832</v>
      </c>
      <c r="F5383" t="s" s="10">
        <v>73</v>
      </c>
      <c r="G5383" s="14"/>
      <c r="H5383" t="s" s="10">
        <v>73</v>
      </c>
      <c r="I5383" s="14"/>
      <c r="J5383" t="s" s="11">
        <v>20</v>
      </c>
      <c r="K5383" s="15"/>
      <c r="L5383" t="s" s="16">
        <f>HYPERLINK("http://csr.bu.edu/ftp/asl/asllvd/demos/verify_start_end_handshape_annotations//test_auto_move//signs_mov_separ_signers/Liz_5409.mov","MOV")</f>
        <v>21</v>
      </c>
      <c r="M5383" t="s" s="10">
        <v>34</v>
      </c>
      <c r="N5383" s="17">
        <v>21</v>
      </c>
      <c r="O5383" s="18">
        <v>2170</v>
      </c>
      <c r="P5383" s="18">
        <v>2206</v>
      </c>
      <c r="Q5383" s="15"/>
      <c r="R5383" t="s" s="16">
        <f>HYPERLINK("http://secrets.rutgers.edu:8080/data/asl-ftp/asllvd/demos/verify_start_end_handshape_annotations//test_auto_move//signs_mov_separ_signers/Liz_5409.mov","MOV")</f>
        <v>21</v>
      </c>
    </row>
    <row r="5384" s="2" customFormat="1" ht="13.5" customHeight="1">
      <c r="B5384" s="13"/>
      <c r="C5384" t="s" s="9">
        <v>16</v>
      </c>
      <c r="D5384" t="s" s="8">
        <v>1832</v>
      </c>
      <c r="E5384" t="s" s="9">
        <v>1832</v>
      </c>
      <c r="F5384" t="s" s="10">
        <v>73</v>
      </c>
      <c r="G5384" s="14"/>
      <c r="H5384" t="s" s="10">
        <v>73</v>
      </c>
      <c r="I5384" s="14"/>
      <c r="J5384" t="s" s="11">
        <v>20</v>
      </c>
      <c r="K5384" s="15"/>
      <c r="L5384" t="s" s="16">
        <f>HYPERLINK("http://csr.bu.edu/ftp/asl/asllvd/demos/verify_start_end_handshape_annotations//test_auto_move//signs_mov_separ_signers/Liz_5412.mov","MOV")</f>
        <v>21</v>
      </c>
      <c r="M5384" t="s" s="10">
        <v>34</v>
      </c>
      <c r="N5384" s="17">
        <v>22</v>
      </c>
      <c r="O5384" s="18">
        <v>215</v>
      </c>
      <c r="P5384" s="18">
        <v>257</v>
      </c>
      <c r="Q5384" s="15"/>
      <c r="R5384" t="s" s="16">
        <f>HYPERLINK("http://secrets.rutgers.edu:8080/data/asl-ftp/asllvd/demos/verify_start_end_handshape_annotations//test_auto_move//signs_mov_separ_signers/Liz_5412.mov","MOV")</f>
        <v>21</v>
      </c>
    </row>
    <row r="5385" s="2" customFormat="1" ht="13.5" customHeight="1">
      <c r="B5385" s="13"/>
      <c r="C5385" t="s" s="9">
        <v>23</v>
      </c>
      <c r="D5385" t="s" s="8">
        <v>1832</v>
      </c>
      <c r="E5385" t="s" s="9">
        <v>1833</v>
      </c>
      <c r="F5385" t="s" s="10">
        <v>73</v>
      </c>
      <c r="G5385" s="14"/>
      <c r="H5385" t="s" s="10">
        <v>73</v>
      </c>
      <c r="I5385" s="14"/>
      <c r="J5385" t="s" s="11">
        <v>20</v>
      </c>
      <c r="K5385" s="15"/>
      <c r="L5385" t="s" s="16">
        <f>HYPERLINK("http://csr.bu.edu/ftp/asl/asllvd/demos/verify_start_end_handshape_annotations//test_auto_move//signs_mov_separ_signers/Tyler_5409.mov","MOV")</f>
        <v>21</v>
      </c>
      <c r="M5385" t="s" s="10">
        <v>92</v>
      </c>
      <c r="N5385" s="17">
        <v>49</v>
      </c>
      <c r="O5385" s="18">
        <v>1516</v>
      </c>
      <c r="P5385" s="18">
        <v>1535</v>
      </c>
      <c r="Q5385" s="15"/>
      <c r="R5385" t="s" s="16">
        <f>HYPERLINK("http://secrets.rutgers.edu:8080/data/asl-ftp/asllvd/demos/verify_start_end_handshape_annotations//test_auto_move//signs_mov_separ_signers/Tyler_5409.mov","MOV")</f>
        <v>21</v>
      </c>
    </row>
    <row r="5386" s="2" customFormat="1" ht="13.5" customHeight="1">
      <c r="B5386" s="13"/>
      <c r="C5386" t="s" s="9">
        <v>23</v>
      </c>
      <c r="D5386" t="s" s="8">
        <v>1832</v>
      </c>
      <c r="E5386" t="s" s="9">
        <v>1832</v>
      </c>
      <c r="F5386" t="s" s="10">
        <v>73</v>
      </c>
      <c r="G5386" s="14"/>
      <c r="H5386" t="s" s="10">
        <v>73</v>
      </c>
      <c r="I5386" s="14"/>
      <c r="J5386" t="s" s="11">
        <v>20</v>
      </c>
      <c r="K5386" t="s" s="16">
        <f>HYPERLINK("http://csr.bu.edu/ftp/asl/asllvd/demos/verify_start_end_handshape_annotations//test_auto_move//signs_mov/5409_5412_merged.mov","MOV")</f>
        <v>21</v>
      </c>
      <c r="L5386" t="s" s="16">
        <f>HYPERLINK("http://csr.bu.edu/ftp/asl/asllvd/demos/verify_start_end_handshape_annotations//test_auto_move//signs_mov_separ_signers/Tyler_5412.mov","MOV")</f>
        <v>21</v>
      </c>
      <c r="M5386" t="s" s="10">
        <v>92</v>
      </c>
      <c r="N5386" s="17">
        <v>49</v>
      </c>
      <c r="O5386" s="18">
        <v>2645</v>
      </c>
      <c r="P5386" s="18">
        <v>2666</v>
      </c>
      <c r="Q5386" t="s" s="16">
        <f>HYPERLINK("http://secrets.rutgers.edu:8080/data/asl-ftp/asllvd/demos/verify_start_end_handshape_annotations//test_auto_move//signs_mov/5409_5412_merged.mov","MOV")</f>
        <v>21</v>
      </c>
      <c r="R5386" t="s" s="16">
        <f>HYPERLINK("http://secrets.rutgers.edu:8080/data/asl-ftp/asllvd/demos/verify_start_end_handshape_annotations//test_auto_move//signs_mov_separ_signers/Tyler_5412.mov","MOV")</f>
        <v>21</v>
      </c>
    </row>
    <row r="5387" s="2" customFormat="1" ht="13.5" customHeight="1">
      <c r="B5387" s="13"/>
      <c r="C5387" t="s" s="9">
        <v>27</v>
      </c>
      <c r="D5387" t="s" s="8">
        <v>1832</v>
      </c>
      <c r="E5387" t="s" s="9">
        <v>1833</v>
      </c>
      <c r="F5387" t="s" s="10">
        <v>73</v>
      </c>
      <c r="G5387" s="14"/>
      <c r="H5387" t="s" s="10">
        <v>73</v>
      </c>
      <c r="I5387" s="14"/>
      <c r="J5387" t="s" s="11">
        <v>20</v>
      </c>
      <c r="K5387" s="15"/>
      <c r="L5387" t="s" s="16">
        <f>HYPERLINK("http://csr.bu.edu/ftp/asl/asllvd/demos/verify_start_end_handshape_annotations//test_auto_move//signs_mov_separ_signers/Naomi_5409.mov","MOV")</f>
        <v>21</v>
      </c>
      <c r="M5387" t="s" s="10">
        <v>38</v>
      </c>
      <c r="N5387" s="17">
        <v>17</v>
      </c>
      <c r="O5387" s="18">
        <v>2225</v>
      </c>
      <c r="P5387" s="18">
        <v>2245</v>
      </c>
      <c r="Q5387" s="15"/>
      <c r="R5387" t="s" s="16">
        <f>HYPERLINK("http://secrets.rutgers.edu:8080/data/asl-ftp/asllvd/demos/verify_start_end_handshape_annotations//test_auto_move//signs_mov_separ_signers/Naomi_5409.mov","MOV")</f>
        <v>21</v>
      </c>
    </row>
    <row r="5388" s="2" customFormat="1" ht="13.5" customHeight="1">
      <c r="B5388" s="13"/>
      <c r="C5388" t="s" s="9">
        <v>27</v>
      </c>
      <c r="D5388" t="s" s="8">
        <v>1832</v>
      </c>
      <c r="E5388" t="s" s="9">
        <v>1832</v>
      </c>
      <c r="F5388" t="s" s="10">
        <v>73</v>
      </c>
      <c r="G5388" s="14"/>
      <c r="H5388" t="s" s="10">
        <v>73</v>
      </c>
      <c r="I5388" s="14"/>
      <c r="J5388" t="s" s="11">
        <v>20</v>
      </c>
      <c r="K5388" s="15"/>
      <c r="L5388" t="s" s="16">
        <f>HYPERLINK("http://csr.bu.edu/ftp/asl/asllvd/demos/verify_start_end_handshape_annotations//test_auto_move//signs_mov_separ_signers/Naomi_5412.mov","MOV")</f>
        <v>21</v>
      </c>
      <c r="M5388" t="s" s="10">
        <v>38</v>
      </c>
      <c r="N5388" s="17">
        <v>17</v>
      </c>
      <c r="O5388" s="18">
        <v>2925</v>
      </c>
      <c r="P5388" s="18">
        <v>2950</v>
      </c>
      <c r="Q5388" s="15"/>
      <c r="R5388" t="s" s="16">
        <f>HYPERLINK("http://secrets.rutgers.edu:8080/data/asl-ftp/asllvd/demos/verify_start_end_handshape_annotations//test_auto_move//signs_mov_separ_signers/Naomi_5412.mov","MOV")</f>
        <v>21</v>
      </c>
    </row>
    <row r="5389" s="2" customFormat="1" ht="13.5" customHeight="1">
      <c r="B5389" s="13"/>
      <c r="C5389" t="s" s="9">
        <v>30</v>
      </c>
      <c r="D5389" t="s" s="8">
        <v>1832</v>
      </c>
      <c r="E5389" t="s" s="9">
        <v>1832</v>
      </c>
      <c r="F5389" t="s" s="10">
        <v>73</v>
      </c>
      <c r="G5389" s="14"/>
      <c r="H5389" t="s" s="10">
        <v>73</v>
      </c>
      <c r="I5389" s="14"/>
      <c r="J5389" t="s" s="11">
        <v>20</v>
      </c>
      <c r="K5389" s="15"/>
      <c r="L5389" t="s" s="16">
        <f>HYPERLINK("http://csr.bu.edu/ftp/asl/asllvd/demos/verify_start_end_handshape_annotations//test_auto_move//signs_mov_separ_signers/Brady_5409.mov","MOV")</f>
        <v>21</v>
      </c>
      <c r="M5389" t="s" s="10">
        <v>39</v>
      </c>
      <c r="N5389" s="17">
        <v>33</v>
      </c>
      <c r="O5389" s="18">
        <v>4902</v>
      </c>
      <c r="P5389" s="18">
        <v>4925</v>
      </c>
      <c r="Q5389" s="15"/>
      <c r="R5389" t="s" s="16">
        <f>HYPERLINK("http://secrets.rutgers.edu:8080/data/asl-ftp/asllvd/demos/verify_start_end_handshape_annotations//test_auto_move//signs_mov_separ_signers/Brady_5409.mov","MOV")</f>
        <v>21</v>
      </c>
    </row>
    <row r="5390" s="2" customFormat="1" ht="13.5" customHeight="1">
      <c r="B5390" s="13"/>
      <c r="C5390" t="s" s="9">
        <v>30</v>
      </c>
      <c r="D5390" t="s" s="8">
        <v>1832</v>
      </c>
      <c r="E5390" t="s" s="9">
        <v>1833</v>
      </c>
      <c r="F5390" t="s" s="10">
        <v>73</v>
      </c>
      <c r="G5390" s="14"/>
      <c r="H5390" t="s" s="10">
        <v>73</v>
      </c>
      <c r="I5390" s="14"/>
      <c r="J5390" t="s" s="11">
        <v>20</v>
      </c>
      <c r="K5390" s="15"/>
      <c r="L5390" t="s" s="16">
        <f>HYPERLINK("http://csr.bu.edu/ftp/asl/asllvd/demos/verify_start_end_handshape_annotations//test_auto_move//signs_mov_separ_signers/Brady_5412.mov","MOV")</f>
        <v>21</v>
      </c>
      <c r="M5390" t="s" s="10">
        <v>39</v>
      </c>
      <c r="N5390" s="17">
        <v>34</v>
      </c>
      <c r="O5390" s="18">
        <v>759</v>
      </c>
      <c r="P5390" s="18">
        <v>775</v>
      </c>
      <c r="Q5390" s="15"/>
      <c r="R5390" t="s" s="16">
        <f>HYPERLINK("http://secrets.rutgers.edu:8080/data/asl-ftp/asllvd/demos/verify_start_end_handshape_annotations//test_auto_move//signs_mov_separ_signers/Brady_5412.mov","MOV")</f>
        <v>21</v>
      </c>
    </row>
    <row r="5391" s="2" customFormat="1" ht="13.5" customHeight="1">
      <c r="B5391" t="s" s="8">
        <v>52</v>
      </c>
      <c r="C5391" t="s" s="9">
        <v>53</v>
      </c>
      <c r="D5391" t="s" s="8">
        <v>53</v>
      </c>
      <c r="E5391" t="s" s="9">
        <v>53</v>
      </c>
      <c r="F5391" t="s" s="10">
        <v>53</v>
      </c>
      <c r="G5391" t="s" s="11">
        <v>53</v>
      </c>
      <c r="H5391" t="s" s="10">
        <v>53</v>
      </c>
      <c r="I5391" t="s" s="11">
        <v>53</v>
      </c>
      <c r="J5391" t="s" s="11">
        <v>53</v>
      </c>
      <c r="K5391" t="s" s="12">
        <v>53</v>
      </c>
      <c r="L5391" t="s" s="12">
        <v>53</v>
      </c>
      <c r="M5391" t="s" s="10">
        <v>53</v>
      </c>
      <c r="N5391" t="s" s="11">
        <v>53</v>
      </c>
      <c r="O5391" t="s" s="8">
        <v>53</v>
      </c>
      <c r="P5391" t="s" s="8">
        <v>53</v>
      </c>
      <c r="Q5391" t="s" s="12">
        <v>53</v>
      </c>
      <c r="R5391" t="s" s="12">
        <v>53</v>
      </c>
    </row>
    <row r="5392" s="2" customFormat="1" ht="13.5" customHeight="1">
      <c r="B5392" s="13"/>
      <c r="C5392" t="s" s="9">
        <v>16</v>
      </c>
      <c r="D5392" t="s" s="8">
        <v>1832</v>
      </c>
      <c r="E5392" t="s" s="9">
        <v>1834</v>
      </c>
      <c r="F5392" t="s" s="10">
        <v>73</v>
      </c>
      <c r="G5392" s="14"/>
      <c r="H5392" t="s" s="10">
        <v>73</v>
      </c>
      <c r="I5392" s="14"/>
      <c r="J5392" t="s" s="11">
        <v>20</v>
      </c>
      <c r="K5392" t="s" s="16">
        <f>HYPERLINK("http://csr.bu.edu/ftp/asl/asllvd/demos/verify_start_end_handshape_annotations//test_auto_move//signs_mov/5433.mov","MOV")</f>
        <v>21</v>
      </c>
      <c r="L5392" t="s" s="16">
        <f>HYPERLINK("http://csr.bu.edu/ftp/asl/asllvd/demos/verify_start_end_handshape_annotations//test_auto_move//signs_mov_separ_signers/Liz_5433.mov","MOV")</f>
        <v>21</v>
      </c>
      <c r="M5392" t="s" s="10">
        <v>59</v>
      </c>
      <c r="N5392" s="17">
        <v>9</v>
      </c>
      <c r="O5392" s="18">
        <v>1135</v>
      </c>
      <c r="P5392" s="18">
        <v>1166</v>
      </c>
      <c r="Q5392" t="s" s="16">
        <f>HYPERLINK("http://secrets.rutgers.edu:8080/data/asl-ftp/asllvd/demos/verify_start_end_handshape_annotations//test_auto_move//signs_mov/5433.mov","MOV")</f>
        <v>21</v>
      </c>
      <c r="R5392" t="s" s="16">
        <f>HYPERLINK("http://secrets.rutgers.edu:8080/data/asl-ftp/asllvd/demos/verify_start_end_handshape_annotations//test_auto_move//signs_mov_separ_signers/Liz_5433.mov","MOV")</f>
        <v>21</v>
      </c>
    </row>
    <row r="5393" s="2" customFormat="1" ht="13.5" customHeight="1">
      <c r="B5393" s="13"/>
      <c r="C5393" t="s" s="9">
        <v>30</v>
      </c>
      <c r="D5393" t="s" s="8">
        <v>1832</v>
      </c>
      <c r="E5393" t="s" s="9">
        <v>1835</v>
      </c>
      <c r="F5393" t="s" s="10">
        <v>73</v>
      </c>
      <c r="G5393" s="14"/>
      <c r="H5393" t="s" s="10">
        <v>73</v>
      </c>
      <c r="I5393" s="14"/>
      <c r="J5393" t="s" s="11">
        <v>20</v>
      </c>
      <c r="K5393" s="15"/>
      <c r="L5393" t="s" s="16">
        <f>HYPERLINK("http://csr.bu.edu/ftp/asl/asllvd/demos/verify_start_end_handshape_annotations//test_auto_move//signs_mov_separ_signers/Brady_5433.mov","MOV")</f>
        <v>21</v>
      </c>
      <c r="M5393" t="s" s="10">
        <v>40</v>
      </c>
      <c r="N5393" s="17">
        <v>113</v>
      </c>
      <c r="O5393" s="18">
        <v>4517</v>
      </c>
      <c r="P5393" s="18">
        <v>4576</v>
      </c>
      <c r="Q5393" s="15"/>
      <c r="R5393" t="s" s="16">
        <f>HYPERLINK("http://secrets.rutgers.edu:8080/data/asl-ftp/asllvd/demos/verify_start_end_handshape_annotations//test_auto_move//signs_mov_separ_signers/Brady_5433.mov","MOV")</f>
        <v>21</v>
      </c>
    </row>
    <row r="5394" s="2" customFormat="1" ht="13.5" customHeight="1">
      <c r="B5394" t="s" s="8">
        <v>52</v>
      </c>
      <c r="C5394" t="s" s="9">
        <v>53</v>
      </c>
      <c r="D5394" t="s" s="8">
        <v>53</v>
      </c>
      <c r="E5394" t="s" s="9">
        <v>53</v>
      </c>
      <c r="F5394" t="s" s="10">
        <v>53</v>
      </c>
      <c r="G5394" t="s" s="11">
        <v>53</v>
      </c>
      <c r="H5394" t="s" s="10">
        <v>53</v>
      </c>
      <c r="I5394" t="s" s="11">
        <v>53</v>
      </c>
      <c r="J5394" t="s" s="11">
        <v>53</v>
      </c>
      <c r="K5394" t="s" s="12">
        <v>53</v>
      </c>
      <c r="L5394" t="s" s="12">
        <v>53</v>
      </c>
      <c r="M5394" t="s" s="10">
        <v>53</v>
      </c>
      <c r="N5394" t="s" s="11">
        <v>53</v>
      </c>
      <c r="O5394" t="s" s="8">
        <v>53</v>
      </c>
      <c r="P5394" t="s" s="8">
        <v>53</v>
      </c>
      <c r="Q5394" t="s" s="12">
        <v>53</v>
      </c>
      <c r="R5394" t="s" s="12">
        <v>53</v>
      </c>
    </row>
    <row r="5395" s="2" customFormat="1" ht="13.5" customHeight="1">
      <c r="B5395" s="13"/>
      <c r="C5395" t="s" s="9">
        <v>16</v>
      </c>
      <c r="D5395" t="s" s="8">
        <v>1832</v>
      </c>
      <c r="E5395" t="s" s="9">
        <v>1836</v>
      </c>
      <c r="F5395" t="s" s="10">
        <v>73</v>
      </c>
      <c r="G5395" s="14"/>
      <c r="H5395" t="s" s="10">
        <v>73</v>
      </c>
      <c r="I5395" s="14"/>
      <c r="J5395" t="s" s="11">
        <v>20</v>
      </c>
      <c r="K5395" s="15"/>
      <c r="L5395" t="s" s="16">
        <f>HYPERLINK("http://csr.bu.edu/ftp/asl/asllvd/demos/verify_start_end_handshape_annotations//test_auto_move//signs_mov_separ_signers/Liz_5591.mov","MOV")</f>
        <v>21</v>
      </c>
      <c r="M5395" t="s" s="10">
        <v>59</v>
      </c>
      <c r="N5395" s="17">
        <v>9</v>
      </c>
      <c r="O5395" s="18">
        <v>915</v>
      </c>
      <c r="P5395" s="18">
        <v>945</v>
      </c>
      <c r="Q5395" s="15"/>
      <c r="R5395" t="s" s="16">
        <f>HYPERLINK("http://secrets.rutgers.edu:8080/data/asl-ftp/asllvd/demos/verify_start_end_handshape_annotations//test_auto_move//signs_mov_separ_signers/Liz_5591.mov","MOV")</f>
        <v>21</v>
      </c>
    </row>
    <row r="5396" s="2" customFormat="1" ht="13.5" customHeight="1">
      <c r="B5396" s="13"/>
      <c r="C5396" t="s" s="9">
        <v>16</v>
      </c>
      <c r="D5396" t="s" s="8">
        <v>1832</v>
      </c>
      <c r="E5396" t="s" s="9">
        <v>1836</v>
      </c>
      <c r="F5396" t="s" s="10">
        <v>73</v>
      </c>
      <c r="G5396" s="14"/>
      <c r="H5396" t="s" s="10">
        <v>73</v>
      </c>
      <c r="I5396" s="14"/>
      <c r="J5396" t="s" s="11">
        <v>20</v>
      </c>
      <c r="K5396" t="s" s="16">
        <f>HYPERLINK("http://csr.bu.edu/ftp/asl/asllvd/demos/verify_start_end_handshape_annotations//test_auto_move//signs_mov/5591_5593_merged.mov","MOV")</f>
        <v>21</v>
      </c>
      <c r="L5396" t="s" s="16">
        <f>HYPERLINK("http://csr.bu.edu/ftp/asl/asllvd/demos/verify_start_end_handshape_annotations//test_auto_move//signs_mov_separ_signers/Liz_5593.mov","MOV")</f>
        <v>21</v>
      </c>
      <c r="M5396" t="s" s="10">
        <v>59</v>
      </c>
      <c r="N5396" s="17">
        <v>48</v>
      </c>
      <c r="O5396" s="18">
        <v>1315</v>
      </c>
      <c r="P5396" s="18">
        <v>1370</v>
      </c>
      <c r="Q5396" t="s" s="16">
        <f>HYPERLINK("http://secrets.rutgers.edu:8080/data/asl-ftp/asllvd/demos/verify_start_end_handshape_annotations//test_auto_move//signs_mov/5591_5593_merged.mov","MOV")</f>
        <v>21</v>
      </c>
      <c r="R5396" t="s" s="16">
        <f>HYPERLINK("http://secrets.rutgers.edu:8080/data/asl-ftp/asllvd/demos/verify_start_end_handshape_annotations//test_auto_move//signs_mov_separ_signers/Liz_5593.mov","MOV")</f>
        <v>21</v>
      </c>
    </row>
    <row r="5397" s="2" customFormat="1" ht="13.5" customHeight="1">
      <c r="B5397" s="13"/>
      <c r="C5397" t="s" s="9">
        <v>30</v>
      </c>
      <c r="D5397" t="s" s="8">
        <v>1832</v>
      </c>
      <c r="E5397" t="s" s="9">
        <v>1836</v>
      </c>
      <c r="F5397" t="s" s="10">
        <v>73</v>
      </c>
      <c r="G5397" s="14"/>
      <c r="H5397" t="s" s="10">
        <v>73</v>
      </c>
      <c r="I5397" s="14"/>
      <c r="J5397" t="s" s="11">
        <v>20</v>
      </c>
      <c r="K5397" s="15"/>
      <c r="L5397" t="s" s="16">
        <f>HYPERLINK("http://csr.bu.edu/ftp/asl/asllvd/demos/verify_start_end_handshape_annotations//test_auto_move//signs_mov_separ_signers/Brady_5591.mov","MOV")</f>
        <v>21</v>
      </c>
      <c r="M5397" t="s" s="10">
        <v>40</v>
      </c>
      <c r="N5397" s="17">
        <v>113</v>
      </c>
      <c r="O5397" s="18">
        <v>4302</v>
      </c>
      <c r="P5397" s="18">
        <v>4328</v>
      </c>
      <c r="Q5397" s="15"/>
      <c r="R5397" t="s" s="16">
        <f>HYPERLINK("http://secrets.rutgers.edu:8080/data/asl-ftp/asllvd/demos/verify_start_end_handshape_annotations//test_auto_move//signs_mov_separ_signers/Brady_5591.mov","MOV")</f>
        <v>21</v>
      </c>
    </row>
    <row r="5398" s="2" customFormat="1" ht="13.5" customHeight="1">
      <c r="B5398" t="s" s="8">
        <v>1828</v>
      </c>
      <c r="C5398" t="s" s="9">
        <v>14</v>
      </c>
      <c r="D5398" t="s" s="8">
        <v>14</v>
      </c>
      <c r="E5398" t="s" s="9">
        <v>14</v>
      </c>
      <c r="F5398" t="s" s="10">
        <v>14</v>
      </c>
      <c r="G5398" t="s" s="11">
        <v>14</v>
      </c>
      <c r="H5398" t="s" s="10">
        <v>14</v>
      </c>
      <c r="I5398" t="s" s="11">
        <v>14</v>
      </c>
      <c r="J5398" t="s" s="11">
        <v>14</v>
      </c>
      <c r="K5398" t="s" s="12">
        <v>14</v>
      </c>
      <c r="L5398" t="s" s="12">
        <v>14</v>
      </c>
      <c r="M5398" t="s" s="10">
        <v>14</v>
      </c>
      <c r="N5398" t="s" s="11">
        <v>14</v>
      </c>
      <c r="O5398" t="s" s="8">
        <v>14</v>
      </c>
      <c r="P5398" t="s" s="8">
        <v>14</v>
      </c>
      <c r="Q5398" t="s" s="12">
        <v>14</v>
      </c>
      <c r="R5398" t="s" s="12">
        <v>14</v>
      </c>
    </row>
    <row r="5399" s="2" customFormat="1" ht="13.5" customHeight="1">
      <c r="B5399" s="13"/>
      <c r="C5399" t="s" s="9">
        <v>16</v>
      </c>
      <c r="D5399" t="s" s="8">
        <v>1837</v>
      </c>
      <c r="E5399" t="s" s="9">
        <v>1837</v>
      </c>
      <c r="F5399" t="s" s="10">
        <v>73</v>
      </c>
      <c r="G5399" s="14"/>
      <c r="H5399" t="s" s="10">
        <v>73</v>
      </c>
      <c r="I5399" s="14"/>
      <c r="J5399" t="s" s="11">
        <v>20</v>
      </c>
      <c r="K5399" t="s" s="16">
        <f>HYPERLINK("http://csr.bu.edu/ftp/asl/asllvd/demos/verify_start_end_handshape_annotations//test_auto_move//signs_mov/5597.mov","MOV")</f>
        <v>21</v>
      </c>
      <c r="L5399" t="s" s="16">
        <f>HYPERLINK("http://csr.bu.edu/ftp/asl/asllvd/demos/verify_start_end_handshape_annotations//test_auto_move//signs_mov_separ_signers/Liz_5597.mov","MOV")</f>
        <v>21</v>
      </c>
      <c r="M5399" t="s" s="10">
        <v>59</v>
      </c>
      <c r="N5399" s="17">
        <v>48</v>
      </c>
      <c r="O5399" s="18">
        <v>1095</v>
      </c>
      <c r="P5399" s="18">
        <v>1120</v>
      </c>
      <c r="Q5399" t="s" s="16">
        <f>HYPERLINK("http://secrets.rutgers.edu:8080/data/asl-ftp/asllvd/demos/verify_start_end_handshape_annotations//test_auto_move//signs_mov/5597.mov","MOV")</f>
        <v>21</v>
      </c>
      <c r="R5399" t="s" s="16">
        <f>HYPERLINK("http://secrets.rutgers.edu:8080/data/asl-ftp/asllvd/demos/verify_start_end_handshape_annotations//test_auto_move//signs_mov_separ_signers/Liz_5597.mov","MOV")</f>
        <v>21</v>
      </c>
    </row>
    <row r="5400" s="2" customFormat="1" ht="13.5" customHeight="1">
      <c r="B5400" s="13"/>
      <c r="C5400" t="s" s="9">
        <v>30</v>
      </c>
      <c r="D5400" t="s" s="8">
        <v>1837</v>
      </c>
      <c r="E5400" t="s" s="9">
        <v>1837</v>
      </c>
      <c r="F5400" t="s" s="10">
        <v>73</v>
      </c>
      <c r="G5400" s="14"/>
      <c r="H5400" t="s" s="10">
        <v>73</v>
      </c>
      <c r="I5400" s="14"/>
      <c r="J5400" t="s" s="11">
        <v>20</v>
      </c>
      <c r="K5400" s="15"/>
      <c r="L5400" t="s" s="16">
        <f>HYPERLINK("http://csr.bu.edu/ftp/asl/asllvd/demos/verify_start_end_handshape_annotations//test_auto_move//signs_mov_separ_signers/Brady_5597.mov","MOV")</f>
        <v>21</v>
      </c>
      <c r="M5400" t="s" s="10">
        <v>60</v>
      </c>
      <c r="N5400" s="17">
        <v>36</v>
      </c>
      <c r="O5400" s="18">
        <v>2481</v>
      </c>
      <c r="P5400" s="18">
        <v>2516</v>
      </c>
      <c r="Q5400" s="15"/>
      <c r="R5400" t="s" s="16">
        <f>HYPERLINK("http://secrets.rutgers.edu:8080/data/asl-ftp/asllvd/demos/verify_start_end_handshape_annotations//test_auto_move//signs_mov_separ_signers/Brady_5597.mov","MOV")</f>
        <v>21</v>
      </c>
    </row>
    <row r="5401" s="2" customFormat="1" ht="13.5" customHeight="1">
      <c r="B5401" t="s" s="8">
        <v>52</v>
      </c>
      <c r="C5401" t="s" s="9">
        <v>53</v>
      </c>
      <c r="D5401" t="s" s="8">
        <v>53</v>
      </c>
      <c r="E5401" t="s" s="9">
        <v>53</v>
      </c>
      <c r="F5401" t="s" s="10">
        <v>53</v>
      </c>
      <c r="G5401" t="s" s="11">
        <v>53</v>
      </c>
      <c r="H5401" t="s" s="10">
        <v>53</v>
      </c>
      <c r="I5401" t="s" s="11">
        <v>53</v>
      </c>
      <c r="J5401" t="s" s="11">
        <v>53</v>
      </c>
      <c r="K5401" t="s" s="12">
        <v>53</v>
      </c>
      <c r="L5401" t="s" s="12">
        <v>53</v>
      </c>
      <c r="M5401" t="s" s="10">
        <v>53</v>
      </c>
      <c r="N5401" t="s" s="11">
        <v>53</v>
      </c>
      <c r="O5401" t="s" s="8">
        <v>53</v>
      </c>
      <c r="P5401" t="s" s="8">
        <v>53</v>
      </c>
      <c r="Q5401" t="s" s="12">
        <v>53</v>
      </c>
      <c r="R5401" t="s" s="12">
        <v>53</v>
      </c>
    </row>
    <row r="5402" s="2" customFormat="1" ht="13.5" customHeight="1">
      <c r="B5402" s="13"/>
      <c r="C5402" t="s" s="9">
        <v>30</v>
      </c>
      <c r="D5402" t="s" s="8">
        <v>1837</v>
      </c>
      <c r="E5402" t="s" s="9">
        <v>1838</v>
      </c>
      <c r="F5402" t="s" s="10">
        <v>73</v>
      </c>
      <c r="G5402" s="14"/>
      <c r="H5402" t="s" s="10">
        <v>73</v>
      </c>
      <c r="I5402" s="14"/>
      <c r="J5402" t="s" s="11">
        <v>20</v>
      </c>
      <c r="K5402" t="s" s="16">
        <f>HYPERLINK("http://csr.bu.edu/ftp/asl/asllvd/demos/verify_start_end_handshape_annotations//test_auto_move//signs_mov/5856.mov","MOV")</f>
        <v>21</v>
      </c>
      <c r="L5402" t="s" s="16">
        <f>HYPERLINK("http://csr.bu.edu/ftp/asl/asllvd/demos/verify_start_end_handshape_annotations//test_auto_move//signs_mov_separ_signers/Brady_5856.mov","MOV")</f>
        <v>21</v>
      </c>
      <c r="M5402" t="s" s="10">
        <v>60</v>
      </c>
      <c r="N5402" s="17">
        <v>36</v>
      </c>
      <c r="O5402" s="18">
        <v>2736</v>
      </c>
      <c r="P5402" s="18">
        <v>2775</v>
      </c>
      <c r="Q5402" t="s" s="16">
        <f>HYPERLINK("http://secrets.rutgers.edu:8080/data/asl-ftp/asllvd/demos/verify_start_end_handshape_annotations//test_auto_move//signs_mov/5856.mov","MOV")</f>
        <v>21</v>
      </c>
      <c r="R5402" t="s" s="16">
        <f>HYPERLINK("http://secrets.rutgers.edu:8080/data/asl-ftp/asllvd/demos/verify_start_end_handshape_annotations//test_auto_move//signs_mov_separ_signers/Brady_5856.mov","MOV")</f>
        <v>21</v>
      </c>
    </row>
    <row r="5403" s="2" customFormat="1" ht="13.5" customHeight="1">
      <c r="B5403" t="s" s="8">
        <v>1839</v>
      </c>
      <c r="C5403" t="s" s="9">
        <v>14</v>
      </c>
      <c r="D5403" t="s" s="8">
        <v>14</v>
      </c>
      <c r="E5403" t="s" s="9">
        <v>14</v>
      </c>
      <c r="F5403" t="s" s="10">
        <v>14</v>
      </c>
      <c r="G5403" t="s" s="11">
        <v>14</v>
      </c>
      <c r="H5403" t="s" s="10">
        <v>14</v>
      </c>
      <c r="I5403" t="s" s="11">
        <v>14</v>
      </c>
      <c r="J5403" t="s" s="11">
        <v>14</v>
      </c>
      <c r="K5403" t="s" s="12">
        <v>14</v>
      </c>
      <c r="L5403" t="s" s="12">
        <v>14</v>
      </c>
      <c r="M5403" t="s" s="10">
        <v>14</v>
      </c>
      <c r="N5403" t="s" s="11">
        <v>14</v>
      </c>
      <c r="O5403" t="s" s="8">
        <v>14</v>
      </c>
      <c r="P5403" t="s" s="8">
        <v>14</v>
      </c>
      <c r="Q5403" t="s" s="12">
        <v>14</v>
      </c>
      <c r="R5403" t="s" s="12">
        <v>14</v>
      </c>
    </row>
    <row r="5404" s="2" customFormat="1" ht="13.5" customHeight="1">
      <c r="B5404" s="13"/>
      <c r="C5404" t="s" s="9">
        <v>16</v>
      </c>
      <c r="D5404" t="s" s="8">
        <v>1839</v>
      </c>
      <c r="E5404" t="s" s="9">
        <v>1839</v>
      </c>
      <c r="F5404" t="s" s="10">
        <v>240</v>
      </c>
      <c r="G5404" s="14"/>
      <c r="H5404" t="s" s="10">
        <v>240</v>
      </c>
      <c r="I5404" s="14"/>
      <c r="J5404" t="s" s="11">
        <v>20</v>
      </c>
      <c r="K5404" s="15"/>
      <c r="L5404" t="s" s="16">
        <f>HYPERLINK("http://csr.bu.edu/ftp/asl/asllvd/demos/verify_start_end_handshape_annotations//test_auto_move//signs_mov_separ_signers/Liz_1174.mov","MOV")</f>
        <v>21</v>
      </c>
      <c r="M5404" t="s" s="10">
        <v>34</v>
      </c>
      <c r="N5404" s="17">
        <v>22</v>
      </c>
      <c r="O5404" s="18">
        <v>1492</v>
      </c>
      <c r="P5404" s="18">
        <v>1531</v>
      </c>
      <c r="Q5404" s="15"/>
      <c r="R5404" t="s" s="16">
        <f>HYPERLINK("http://secrets.rutgers.edu:8080/data/asl-ftp/asllvd/demos/verify_start_end_handshape_annotations//test_auto_move//signs_mov_separ_signers/Liz_1174.mov","MOV")</f>
        <v>21</v>
      </c>
    </row>
    <row r="5405" s="2" customFormat="1" ht="13.5" customHeight="1">
      <c r="B5405" s="13"/>
      <c r="C5405" t="s" s="9">
        <v>23</v>
      </c>
      <c r="D5405" t="s" s="8">
        <v>1839</v>
      </c>
      <c r="E5405" t="s" s="9">
        <v>1839</v>
      </c>
      <c r="F5405" t="s" s="10">
        <v>240</v>
      </c>
      <c r="G5405" s="14"/>
      <c r="H5405" t="s" s="10">
        <v>240</v>
      </c>
      <c r="I5405" s="14"/>
      <c r="J5405" t="s" s="11">
        <v>20</v>
      </c>
      <c r="K5405" s="15"/>
      <c r="L5405" t="s" s="16">
        <f>HYPERLINK("http://csr.bu.edu/ftp/asl/asllvd/demos/verify_start_end_handshape_annotations//test_auto_move//signs_mov_separ_signers/Tyler_1174.mov","MOV")</f>
        <v>21</v>
      </c>
      <c r="M5405" t="s" s="10">
        <v>92</v>
      </c>
      <c r="N5405" s="17">
        <v>48</v>
      </c>
      <c r="O5405" s="18">
        <v>2295</v>
      </c>
      <c r="P5405" s="18">
        <v>2325</v>
      </c>
      <c r="Q5405" s="15"/>
      <c r="R5405" t="s" s="16">
        <f>HYPERLINK("http://secrets.rutgers.edu:8080/data/asl-ftp/asllvd/demos/verify_start_end_handshape_annotations//test_auto_move//signs_mov_separ_signers/Tyler_1174.mov","MOV")</f>
        <v>21</v>
      </c>
    </row>
    <row r="5406" s="2" customFormat="1" ht="13.5" customHeight="1">
      <c r="B5406" s="13"/>
      <c r="C5406" t="s" s="9">
        <v>23</v>
      </c>
      <c r="D5406" t="s" s="8">
        <v>1839</v>
      </c>
      <c r="E5406" t="s" s="9">
        <v>1839</v>
      </c>
      <c r="F5406" t="s" s="10">
        <v>240</v>
      </c>
      <c r="G5406" s="14"/>
      <c r="H5406" t="s" s="10">
        <v>240</v>
      </c>
      <c r="I5406" s="14"/>
      <c r="J5406" t="s" s="11">
        <v>20</v>
      </c>
      <c r="K5406" s="15"/>
      <c r="L5406" t="s" s="16">
        <f>HYPERLINK("http://csr.bu.edu/ftp/asl/asllvd/demos/verify_start_end_handshape_annotations//test_auto_move//signs_mov_separ_signers/Tyler_3332.mov","MOV")</f>
        <v>21</v>
      </c>
      <c r="M5406" t="s" s="10">
        <v>92</v>
      </c>
      <c r="N5406" s="17">
        <v>50</v>
      </c>
      <c r="O5406" s="18">
        <v>1080</v>
      </c>
      <c r="P5406" s="18">
        <v>1102</v>
      </c>
      <c r="Q5406" s="15"/>
      <c r="R5406" t="s" s="16">
        <f>HYPERLINK("http://secrets.rutgers.edu:8080/data/asl-ftp/asllvd/demos/verify_start_end_handshape_annotations//test_auto_move//signs_mov_separ_signers/Tyler_3332.mov","MOV")</f>
        <v>21</v>
      </c>
    </row>
    <row r="5407" s="2" customFormat="1" ht="13.5" customHeight="1">
      <c r="B5407" s="13"/>
      <c r="C5407" t="s" s="9">
        <v>27</v>
      </c>
      <c r="D5407" t="s" s="8">
        <v>1839</v>
      </c>
      <c r="E5407" t="s" s="9">
        <v>1839</v>
      </c>
      <c r="F5407" t="s" s="10">
        <v>240</v>
      </c>
      <c r="G5407" s="14"/>
      <c r="H5407" t="s" s="10">
        <v>240</v>
      </c>
      <c r="I5407" s="14"/>
      <c r="J5407" t="s" s="11">
        <v>20</v>
      </c>
      <c r="K5407" t="s" s="16">
        <f>HYPERLINK("http://csr.bu.edu/ftp/asl/asllvd/demos/verify_start_end_handshape_annotations//test_auto_move//signs_mov/1174_3332_merged.mov","MOV")</f>
        <v>21</v>
      </c>
      <c r="L5407" t="s" s="16">
        <f>HYPERLINK("http://csr.bu.edu/ftp/asl/asllvd/demos/verify_start_end_handshape_annotations//test_auto_move//signs_mov_separ_signers/Naomi_1174.mov","MOV")</f>
        <v>21</v>
      </c>
      <c r="M5407" t="s" s="10">
        <v>38</v>
      </c>
      <c r="N5407" s="17">
        <v>18</v>
      </c>
      <c r="O5407" s="18">
        <v>1840</v>
      </c>
      <c r="P5407" s="18">
        <v>1855</v>
      </c>
      <c r="Q5407" t="s" s="16">
        <f>HYPERLINK("http://secrets.rutgers.edu:8080/data/asl-ftp/asllvd/demos/verify_start_end_handshape_annotations//test_auto_move//signs_mov/1174_3332_merged.mov","MOV")</f>
        <v>21</v>
      </c>
      <c r="R5407" t="s" s="16">
        <f>HYPERLINK("http://secrets.rutgers.edu:8080/data/asl-ftp/asllvd/demos/verify_start_end_handshape_annotations//test_auto_move//signs_mov_separ_signers/Naomi_1174.mov","MOV")</f>
        <v>21</v>
      </c>
    </row>
    <row r="5408" s="2" customFormat="1" ht="13.5" customHeight="1">
      <c r="B5408" s="13"/>
      <c r="C5408" t="s" s="9">
        <v>30</v>
      </c>
      <c r="D5408" t="s" s="8">
        <v>1839</v>
      </c>
      <c r="E5408" t="s" s="9">
        <v>1839</v>
      </c>
      <c r="F5408" t="s" s="10">
        <v>240</v>
      </c>
      <c r="G5408" s="14"/>
      <c r="H5408" t="s" s="10">
        <v>240</v>
      </c>
      <c r="I5408" s="14"/>
      <c r="J5408" t="s" s="11">
        <v>20</v>
      </c>
      <c r="K5408" s="15"/>
      <c r="L5408" t="s" s="16">
        <f>HYPERLINK("http://csr.bu.edu/ftp/asl/asllvd/demos/verify_start_end_handshape_annotations//test_auto_move//signs_mov_separ_signers/Brady_1174.mov","MOV")</f>
        <v>21</v>
      </c>
      <c r="M5408" t="s" s="10">
        <v>39</v>
      </c>
      <c r="N5408" s="17">
        <v>34</v>
      </c>
      <c r="O5408" s="18">
        <v>1218</v>
      </c>
      <c r="P5408" s="18">
        <v>1234</v>
      </c>
      <c r="Q5408" s="15"/>
      <c r="R5408" t="s" s="16">
        <f>HYPERLINK("http://secrets.rutgers.edu:8080/data/asl-ftp/asllvd/demos/verify_start_end_handshape_annotations//test_auto_move//signs_mov_separ_signers/Brady_1174.mov","MOV")</f>
        <v>21</v>
      </c>
    </row>
    <row r="5409" s="2" customFormat="1" ht="13.5" customHeight="1">
      <c r="B5409" s="13"/>
      <c r="C5409" t="s" s="9">
        <v>41</v>
      </c>
      <c r="D5409" t="s" s="8">
        <v>1839</v>
      </c>
      <c r="E5409" t="s" s="9">
        <v>1839</v>
      </c>
      <c r="F5409" t="s" s="10">
        <v>240</v>
      </c>
      <c r="G5409" s="14"/>
      <c r="H5409" t="s" s="10">
        <v>240</v>
      </c>
      <c r="I5409" s="14"/>
      <c r="J5409" t="s" s="11">
        <v>20</v>
      </c>
      <c r="K5409" s="15"/>
      <c r="L5409" t="s" s="16">
        <f>HYPERLINK("http://csr.bu.edu/ftp/asl/asllvd/demos/verify_start_end_handshape_annotations//test_auto_move//signs_mov_separ_signers/Lana_1174.mov","MOV")</f>
        <v>21</v>
      </c>
      <c r="M5409" t="s" s="10">
        <v>42</v>
      </c>
      <c r="N5409" s="17">
        <v>14</v>
      </c>
      <c r="O5409" s="18">
        <v>2430</v>
      </c>
      <c r="P5409" s="18">
        <v>2458</v>
      </c>
      <c r="Q5409" s="15"/>
      <c r="R5409" t="s" s="16">
        <f>HYPERLINK("http://secrets.rutgers.edu:8080/data/asl-ftp/asllvd/demos/verify_start_end_handshape_annotations//test_auto_move//signs_mov_separ_signers/Lana_1174.mov","MOV")</f>
        <v>21</v>
      </c>
    </row>
    <row r="5410" s="2" customFormat="1" ht="13.5" customHeight="1">
      <c r="B5410" s="13"/>
      <c r="C5410" t="s" s="9">
        <v>43</v>
      </c>
      <c r="D5410" t="s" s="8">
        <v>1839</v>
      </c>
      <c r="E5410" t="s" s="9">
        <v>1839</v>
      </c>
      <c r="F5410" t="s" s="10">
        <v>240</v>
      </c>
      <c r="G5410" s="14"/>
      <c r="H5410" t="s" s="10">
        <v>240</v>
      </c>
      <c r="I5410" s="14"/>
      <c r="J5410" t="s" s="11">
        <v>20</v>
      </c>
      <c r="K5410" s="15"/>
      <c r="L5410" t="s" s="16">
        <f>HYPERLINK("http://csr.bu.edu/ftp/asl/asllvd/demos/verify_start_end_handshape_annotations//test_auto_move//signs_mov_separ_signers/Dana_1174.mov","MOV")</f>
        <v>21</v>
      </c>
      <c r="M5410" t="s" s="10">
        <v>44</v>
      </c>
      <c r="N5410" s="17">
        <v>17</v>
      </c>
      <c r="O5410" s="18">
        <v>2732</v>
      </c>
      <c r="P5410" s="18">
        <v>2766</v>
      </c>
      <c r="Q5410" s="15"/>
      <c r="R5410" t="s" s="16">
        <f>HYPERLINK("http://secrets.rutgers.edu:8080/data/asl-ftp/asllvd/demos/verify_start_end_handshape_annotations//test_auto_move//signs_mov_separ_signers/Dana_1174.mov","MOV")</f>
        <v>21</v>
      </c>
    </row>
    <row r="5411" s="2" customFormat="1" ht="13.5" customHeight="1">
      <c r="B5411" t="s" s="8">
        <v>1840</v>
      </c>
      <c r="C5411" t="s" s="9">
        <v>14</v>
      </c>
      <c r="D5411" t="s" s="8">
        <v>14</v>
      </c>
      <c r="E5411" t="s" s="9">
        <v>14</v>
      </c>
      <c r="F5411" t="s" s="10">
        <v>14</v>
      </c>
      <c r="G5411" t="s" s="11">
        <v>14</v>
      </c>
      <c r="H5411" t="s" s="10">
        <v>14</v>
      </c>
      <c r="I5411" t="s" s="11">
        <v>14</v>
      </c>
      <c r="J5411" t="s" s="11">
        <v>14</v>
      </c>
      <c r="K5411" t="s" s="12">
        <v>14</v>
      </c>
      <c r="L5411" t="s" s="12">
        <v>14</v>
      </c>
      <c r="M5411" t="s" s="10">
        <v>14</v>
      </c>
      <c r="N5411" t="s" s="11">
        <v>14</v>
      </c>
      <c r="O5411" t="s" s="8">
        <v>14</v>
      </c>
      <c r="P5411" t="s" s="8">
        <v>14</v>
      </c>
      <c r="Q5411" t="s" s="12">
        <v>14</v>
      </c>
      <c r="R5411" t="s" s="12">
        <v>14</v>
      </c>
    </row>
    <row r="5412" s="2" customFormat="1" ht="13.5" customHeight="1">
      <c r="B5412" s="13"/>
      <c r="C5412" t="s" s="9">
        <v>16</v>
      </c>
      <c r="D5412" t="s" s="8">
        <v>1840</v>
      </c>
      <c r="E5412" t="s" s="9">
        <v>1841</v>
      </c>
      <c r="F5412" t="s" s="10">
        <v>240</v>
      </c>
      <c r="G5412" t="s" s="11">
        <v>240</v>
      </c>
      <c r="H5412" t="s" s="10">
        <v>425</v>
      </c>
      <c r="I5412" t="s" s="11">
        <v>425</v>
      </c>
      <c r="J5412" t="s" s="11">
        <v>20</v>
      </c>
      <c r="K5412" s="15"/>
      <c r="L5412" t="s" s="16">
        <f>HYPERLINK("http://csr.bu.edu/ftp/asl/asllvd/demos/verify_start_end_handshape_annotations//test_auto_move//signs_mov_separ_signers/Liz_1175.mov","MOV")</f>
        <v>21</v>
      </c>
      <c r="M5412" t="s" s="10">
        <v>34</v>
      </c>
      <c r="N5412" s="17">
        <v>22</v>
      </c>
      <c r="O5412" s="18">
        <v>1771</v>
      </c>
      <c r="P5412" s="18">
        <v>1825</v>
      </c>
      <c r="Q5412" s="15"/>
      <c r="R5412" t="s" s="16">
        <f>HYPERLINK("http://secrets.rutgers.edu:8080/data/asl-ftp/asllvd/demos/verify_start_end_handshape_annotations//test_auto_move//signs_mov_separ_signers/Liz_1175.mov","MOV")</f>
        <v>21</v>
      </c>
    </row>
    <row r="5413" s="2" customFormat="1" ht="13.5" customHeight="1">
      <c r="B5413" s="13"/>
      <c r="C5413" t="s" s="9">
        <v>27</v>
      </c>
      <c r="D5413" t="s" s="8">
        <v>1840</v>
      </c>
      <c r="E5413" t="s" s="9">
        <v>1841</v>
      </c>
      <c r="F5413" t="s" s="10">
        <v>240</v>
      </c>
      <c r="G5413" t="s" s="11">
        <v>240</v>
      </c>
      <c r="H5413" t="s" s="10">
        <v>425</v>
      </c>
      <c r="I5413" t="s" s="11">
        <v>425</v>
      </c>
      <c r="J5413" t="s" s="11">
        <v>20</v>
      </c>
      <c r="K5413" t="s" s="16">
        <f>HYPERLINK("http://csr.bu.edu/ftp/asl/asllvd/demos/verify_start_end_handshape_annotations//test_auto_move//signs_mov/1175.mov","MOV")</f>
        <v>21</v>
      </c>
      <c r="L5413" t="s" s="16">
        <f>HYPERLINK("http://csr.bu.edu/ftp/asl/asllvd/demos/verify_start_end_handshape_annotations//test_auto_move//signs_mov_separ_signers/Naomi_1175.mov","MOV")</f>
        <v>21</v>
      </c>
      <c r="M5413" t="s" s="10">
        <v>38</v>
      </c>
      <c r="N5413" s="17">
        <v>18</v>
      </c>
      <c r="O5413" s="18">
        <v>2182</v>
      </c>
      <c r="P5413" s="18">
        <v>2202</v>
      </c>
      <c r="Q5413" t="s" s="16">
        <f>HYPERLINK("http://secrets.rutgers.edu:8080/data/asl-ftp/asllvd/demos/verify_start_end_handshape_annotations//test_auto_move//signs_mov/1175.mov","MOV")</f>
        <v>21</v>
      </c>
      <c r="R5413" t="s" s="16">
        <f>HYPERLINK("http://secrets.rutgers.edu:8080/data/asl-ftp/asllvd/demos/verify_start_end_handshape_annotations//test_auto_move//signs_mov_separ_signers/Naomi_1175.mov","MOV")</f>
        <v>21</v>
      </c>
    </row>
    <row r="5414" s="2" customFormat="1" ht="13.5" customHeight="1">
      <c r="B5414" s="13"/>
      <c r="C5414" t="s" s="9">
        <v>30</v>
      </c>
      <c r="D5414" t="s" s="8">
        <v>1840</v>
      </c>
      <c r="E5414" t="s" s="9">
        <v>1841</v>
      </c>
      <c r="F5414" t="s" s="10">
        <v>425</v>
      </c>
      <c r="G5414" t="s" s="11">
        <v>425</v>
      </c>
      <c r="H5414" t="s" s="10">
        <v>425</v>
      </c>
      <c r="I5414" t="s" s="11">
        <v>425</v>
      </c>
      <c r="J5414" t="s" s="11">
        <v>20</v>
      </c>
      <c r="K5414" s="15"/>
      <c r="L5414" t="s" s="16">
        <f>HYPERLINK("http://csr.bu.edu/ftp/asl/asllvd/demos/verify_start_end_handshape_annotations//test_auto_move//signs_mov_separ_signers/Brady_1175.mov","MOV")</f>
        <v>21</v>
      </c>
      <c r="M5414" t="s" s="10">
        <v>39</v>
      </c>
      <c r="N5414" s="17">
        <v>34</v>
      </c>
      <c r="O5414" s="18">
        <v>2119</v>
      </c>
      <c r="P5414" s="18">
        <v>2142</v>
      </c>
      <c r="Q5414" s="15"/>
      <c r="R5414" t="s" s="16">
        <f>HYPERLINK("http://secrets.rutgers.edu:8080/data/asl-ftp/asllvd/demos/verify_start_end_handshape_annotations//test_auto_move//signs_mov_separ_signers/Brady_1175.mov","MOV")</f>
        <v>21</v>
      </c>
    </row>
    <row r="5415" s="2" customFormat="1" ht="13.5" customHeight="1">
      <c r="B5415" t="s" s="8">
        <v>52</v>
      </c>
      <c r="C5415" t="s" s="9">
        <v>53</v>
      </c>
      <c r="D5415" t="s" s="8">
        <v>53</v>
      </c>
      <c r="E5415" t="s" s="9">
        <v>53</v>
      </c>
      <c r="F5415" t="s" s="10">
        <v>53</v>
      </c>
      <c r="G5415" t="s" s="11">
        <v>53</v>
      </c>
      <c r="H5415" t="s" s="10">
        <v>53</v>
      </c>
      <c r="I5415" t="s" s="11">
        <v>53</v>
      </c>
      <c r="J5415" t="s" s="11">
        <v>53</v>
      </c>
      <c r="K5415" t="s" s="12">
        <v>53</v>
      </c>
      <c r="L5415" t="s" s="12">
        <v>53</v>
      </c>
      <c r="M5415" t="s" s="10">
        <v>53</v>
      </c>
      <c r="N5415" t="s" s="11">
        <v>53</v>
      </c>
      <c r="O5415" t="s" s="8">
        <v>53</v>
      </c>
      <c r="P5415" t="s" s="8">
        <v>53</v>
      </c>
      <c r="Q5415" t="s" s="12">
        <v>53</v>
      </c>
      <c r="R5415" t="s" s="12">
        <v>53</v>
      </c>
    </row>
    <row r="5416" s="2" customFormat="1" ht="13.5" customHeight="1">
      <c r="B5416" s="13"/>
      <c r="C5416" t="s" s="9">
        <v>23</v>
      </c>
      <c r="D5416" t="s" s="8">
        <v>1840</v>
      </c>
      <c r="E5416" t="s" s="9">
        <v>1842</v>
      </c>
      <c r="F5416" t="s" s="10">
        <v>425</v>
      </c>
      <c r="G5416" t="s" s="11">
        <v>425</v>
      </c>
      <c r="H5416" t="s" s="10">
        <v>425</v>
      </c>
      <c r="I5416" t="s" s="11">
        <v>425</v>
      </c>
      <c r="J5416" t="s" s="11">
        <v>20</v>
      </c>
      <c r="K5416" t="s" s="16">
        <f>HYPERLINK("http://csr.bu.edu/ftp/asl/asllvd/demos/verify_start_end_handshape_annotations//test_auto_move//signs_mov/16384.mov","MOV")</f>
        <v>21</v>
      </c>
      <c r="L5416" t="s" s="16">
        <f>HYPERLINK("http://csr.bu.edu/ftp/asl/asllvd/demos/verify_start_end_handshape_annotations//test_auto_move//signs_mov_separ_signers/Tyler_16384.mov","MOV")</f>
        <v>21</v>
      </c>
      <c r="M5416" t="s" s="10">
        <v>92</v>
      </c>
      <c r="N5416" s="17">
        <v>50</v>
      </c>
      <c r="O5416" s="18">
        <v>1275</v>
      </c>
      <c r="P5416" s="18">
        <v>1317</v>
      </c>
      <c r="Q5416" t="s" s="16">
        <f>HYPERLINK("http://secrets.rutgers.edu:8080/data/asl-ftp/asllvd/demos/verify_start_end_handshape_annotations//test_auto_move//signs_mov/16384.mov","MOV")</f>
        <v>21</v>
      </c>
      <c r="R5416" t="s" s="16">
        <f>HYPERLINK("http://secrets.rutgers.edu:8080/data/asl-ftp/asllvd/demos/verify_start_end_handshape_annotations//test_auto_move//signs_mov_separ_signers/Tyler_16384.mov","MOV")</f>
        <v>21</v>
      </c>
    </row>
    <row r="5417" s="2" customFormat="1" ht="13.5" customHeight="1">
      <c r="B5417" t="s" s="8">
        <v>1843</v>
      </c>
      <c r="C5417" t="s" s="9">
        <v>14</v>
      </c>
      <c r="D5417" t="s" s="8">
        <v>14</v>
      </c>
      <c r="E5417" t="s" s="9">
        <v>14</v>
      </c>
      <c r="F5417" t="s" s="10">
        <v>14</v>
      </c>
      <c r="G5417" t="s" s="11">
        <v>14</v>
      </c>
      <c r="H5417" t="s" s="10">
        <v>14</v>
      </c>
      <c r="I5417" t="s" s="11">
        <v>14</v>
      </c>
      <c r="J5417" t="s" s="11">
        <v>14</v>
      </c>
      <c r="K5417" t="s" s="12">
        <v>14</v>
      </c>
      <c r="L5417" t="s" s="12">
        <v>14</v>
      </c>
      <c r="M5417" t="s" s="10">
        <v>14</v>
      </c>
      <c r="N5417" t="s" s="11">
        <v>14</v>
      </c>
      <c r="O5417" t="s" s="8">
        <v>14</v>
      </c>
      <c r="P5417" t="s" s="8">
        <v>14</v>
      </c>
      <c r="Q5417" t="s" s="12">
        <v>14</v>
      </c>
      <c r="R5417" t="s" s="12">
        <v>14</v>
      </c>
    </row>
    <row r="5418" s="2" customFormat="1" ht="13.5" customHeight="1">
      <c r="B5418" s="13"/>
      <c r="C5418" t="s" s="9">
        <v>16</v>
      </c>
      <c r="D5418" t="s" s="8">
        <v>1844</v>
      </c>
      <c r="E5418" t="s" s="9">
        <v>1845</v>
      </c>
      <c r="F5418" s="19">
        <v>10</v>
      </c>
      <c r="G5418" s="14"/>
      <c r="H5418" s="19">
        <v>10</v>
      </c>
      <c r="I5418" s="14"/>
      <c r="J5418" t="s" s="11">
        <v>20</v>
      </c>
      <c r="K5418" t="s" s="16">
        <f>HYPERLINK("http://csr.bu.edu/ftp/asl/asllvd/demos/verify_start_end_handshape_annotations//test_auto_move//signs_mov/1177.mov","MOV")</f>
        <v>21</v>
      </c>
      <c r="L5418" t="s" s="16">
        <f>HYPERLINK("http://csr.bu.edu/ftp/asl/asllvd/demos/verify_start_end_handshape_annotations//test_auto_move//signs_mov_separ_signers/Liz_1177.mov","MOV")</f>
        <v>21</v>
      </c>
      <c r="M5418" t="s" s="10">
        <v>88</v>
      </c>
      <c r="N5418" s="17">
        <v>14</v>
      </c>
      <c r="O5418" s="18">
        <v>1165</v>
      </c>
      <c r="P5418" s="18">
        <v>1210</v>
      </c>
      <c r="Q5418" t="s" s="16">
        <f>HYPERLINK("http://secrets.rutgers.edu:8080/data/asl-ftp/asllvd/demos/verify_start_end_handshape_annotations//test_auto_move//signs_mov/1177.mov","MOV")</f>
        <v>21</v>
      </c>
      <c r="R5418" t="s" s="16">
        <f>HYPERLINK("http://secrets.rutgers.edu:8080/data/asl-ftp/asllvd/demos/verify_start_end_handshape_annotations//test_auto_move//signs_mov_separ_signers/Liz_1177.mov","MOV")</f>
        <v>21</v>
      </c>
    </row>
    <row r="5419" s="2" customFormat="1" ht="13.5" customHeight="1">
      <c r="B5419" s="13"/>
      <c r="C5419" t="s" s="9">
        <v>23</v>
      </c>
      <c r="D5419" t="s" s="8">
        <v>1844</v>
      </c>
      <c r="E5419" t="s" s="9">
        <v>1846</v>
      </c>
      <c r="F5419" s="19">
        <v>10</v>
      </c>
      <c r="G5419" s="14"/>
      <c r="H5419" s="19">
        <v>10</v>
      </c>
      <c r="I5419" s="14"/>
      <c r="J5419" t="s" s="11">
        <v>20</v>
      </c>
      <c r="K5419" s="15"/>
      <c r="L5419" t="s" s="16">
        <f>HYPERLINK("http://csr.bu.edu/ftp/asl/asllvd/demos/verify_start_end_handshape_annotations//test_auto_move//signs_mov_separ_signers/Tyler_1177.mov","MOV")</f>
        <v>21</v>
      </c>
      <c r="M5419" t="s" s="10">
        <v>47</v>
      </c>
      <c r="N5419" s="17">
        <v>22</v>
      </c>
      <c r="O5419" s="18">
        <v>688</v>
      </c>
      <c r="P5419" s="18">
        <v>741</v>
      </c>
      <c r="Q5419" s="15"/>
      <c r="R5419" t="s" s="16">
        <f>HYPERLINK("http://secrets.rutgers.edu:8080/data/asl-ftp/asllvd/demos/verify_start_end_handshape_annotations//test_auto_move//signs_mov_separ_signers/Tyler_1177.mov","MOV")</f>
        <v>21</v>
      </c>
    </row>
    <row r="5420" s="2" customFormat="1" ht="13.5" customHeight="1">
      <c r="B5420" t="s" s="8">
        <v>52</v>
      </c>
      <c r="C5420" t="s" s="9">
        <v>53</v>
      </c>
      <c r="D5420" t="s" s="8">
        <v>53</v>
      </c>
      <c r="E5420" t="s" s="9">
        <v>53</v>
      </c>
      <c r="F5420" t="s" s="10">
        <v>53</v>
      </c>
      <c r="G5420" t="s" s="11">
        <v>53</v>
      </c>
      <c r="H5420" t="s" s="10">
        <v>53</v>
      </c>
      <c r="I5420" t="s" s="11">
        <v>53</v>
      </c>
      <c r="J5420" t="s" s="11">
        <v>53</v>
      </c>
      <c r="K5420" t="s" s="12">
        <v>53</v>
      </c>
      <c r="L5420" t="s" s="12">
        <v>53</v>
      </c>
      <c r="M5420" t="s" s="10">
        <v>53</v>
      </c>
      <c r="N5420" t="s" s="11">
        <v>53</v>
      </c>
      <c r="O5420" t="s" s="8">
        <v>53</v>
      </c>
      <c r="P5420" t="s" s="8">
        <v>53</v>
      </c>
      <c r="Q5420" t="s" s="12">
        <v>53</v>
      </c>
      <c r="R5420" t="s" s="12">
        <v>53</v>
      </c>
    </row>
    <row r="5421" s="2" customFormat="1" ht="13.5" customHeight="1">
      <c r="B5421" s="13"/>
      <c r="C5421" t="s" s="9">
        <v>16</v>
      </c>
      <c r="D5421" t="s" s="8">
        <v>1844</v>
      </c>
      <c r="E5421" t="s" s="9">
        <v>1847</v>
      </c>
      <c r="F5421" t="s" s="10">
        <v>63</v>
      </c>
      <c r="G5421" s="14"/>
      <c r="H5421" t="s" s="10">
        <v>63</v>
      </c>
      <c r="I5421" s="14"/>
      <c r="J5421" t="s" s="11">
        <v>20</v>
      </c>
      <c r="K5421" t="s" s="16">
        <f>HYPERLINK("http://csr.bu.edu/ftp/asl/asllvd/demos/verify_start_end_handshape_annotations//test_auto_move//signs_mov/5404.mov","MOV")</f>
        <v>21</v>
      </c>
      <c r="L5421" t="s" s="16">
        <f>HYPERLINK("http://csr.bu.edu/ftp/asl/asllvd/demos/verify_start_end_handshape_annotations//test_auto_move//signs_mov_separ_signers/Liz_5404.mov","MOV")</f>
        <v>21</v>
      </c>
      <c r="M5421" t="s" s="10">
        <v>88</v>
      </c>
      <c r="N5421" s="17">
        <v>14</v>
      </c>
      <c r="O5421" s="18">
        <v>966</v>
      </c>
      <c r="P5421" s="18">
        <v>1015</v>
      </c>
      <c r="Q5421" t="s" s="16">
        <f>HYPERLINK("http://secrets.rutgers.edu:8080/data/asl-ftp/asllvd/demos/verify_start_end_handshape_annotations//test_auto_move//signs_mov/5404.mov","MOV")</f>
        <v>21</v>
      </c>
      <c r="R5421" t="s" s="16">
        <f>HYPERLINK("http://secrets.rutgers.edu:8080/data/asl-ftp/asllvd/demos/verify_start_end_handshape_annotations//test_auto_move//signs_mov_separ_signers/Liz_5404.mov","MOV")</f>
        <v>21</v>
      </c>
    </row>
    <row r="5422" s="2" customFormat="1" ht="13.5" customHeight="1">
      <c r="B5422" t="s" s="8">
        <v>52</v>
      </c>
      <c r="C5422" t="s" s="9">
        <v>53</v>
      </c>
      <c r="D5422" t="s" s="8">
        <v>53</v>
      </c>
      <c r="E5422" t="s" s="9">
        <v>53</v>
      </c>
      <c r="F5422" t="s" s="10">
        <v>53</v>
      </c>
      <c r="G5422" t="s" s="11">
        <v>53</v>
      </c>
      <c r="H5422" t="s" s="10">
        <v>53</v>
      </c>
      <c r="I5422" t="s" s="11">
        <v>53</v>
      </c>
      <c r="J5422" t="s" s="11">
        <v>53</v>
      </c>
      <c r="K5422" t="s" s="12">
        <v>53</v>
      </c>
      <c r="L5422" t="s" s="12">
        <v>53</v>
      </c>
      <c r="M5422" t="s" s="10">
        <v>53</v>
      </c>
      <c r="N5422" t="s" s="11">
        <v>53</v>
      </c>
      <c r="O5422" t="s" s="8">
        <v>53</v>
      </c>
      <c r="P5422" t="s" s="8">
        <v>53</v>
      </c>
      <c r="Q5422" t="s" s="12">
        <v>53</v>
      </c>
      <c r="R5422" t="s" s="12">
        <v>53</v>
      </c>
    </row>
    <row r="5423" s="2" customFormat="1" ht="13.5" customHeight="1">
      <c r="B5423" s="13"/>
      <c r="C5423" t="s" s="9">
        <v>30</v>
      </c>
      <c r="D5423" t="s" s="8">
        <v>1844</v>
      </c>
      <c r="E5423" t="s" s="9">
        <v>1848</v>
      </c>
      <c r="F5423" s="19">
        <v>10</v>
      </c>
      <c r="G5423" s="14"/>
      <c r="H5423" s="19">
        <v>10</v>
      </c>
      <c r="I5423" s="14"/>
      <c r="J5423" t="s" s="11">
        <v>20</v>
      </c>
      <c r="K5423" t="s" s="16">
        <f>HYPERLINK("http://csr.bu.edu/ftp/asl/asllvd/demos/verify_start_end_handshape_annotations//test_auto_move//signs_mov/5406.mov","MOV")</f>
        <v>21</v>
      </c>
      <c r="L5423" t="s" s="16">
        <f>HYPERLINK("http://csr.bu.edu/ftp/asl/asllvd/demos/verify_start_end_handshape_annotations//test_auto_move//signs_mov_separ_signers/Brady_5406.mov","MOV")</f>
        <v>21</v>
      </c>
      <c r="M5423" t="s" s="10">
        <v>40</v>
      </c>
      <c r="N5423" s="17">
        <v>23</v>
      </c>
      <c r="O5423" s="18">
        <v>2340</v>
      </c>
      <c r="P5423" s="18">
        <v>2370</v>
      </c>
      <c r="Q5423" t="s" s="16">
        <f>HYPERLINK("http://secrets.rutgers.edu:8080/data/asl-ftp/asllvd/demos/verify_start_end_handshape_annotations//test_auto_move//signs_mov/5406.mov","MOV")</f>
        <v>21</v>
      </c>
      <c r="R5423" t="s" s="16">
        <f>HYPERLINK("http://secrets.rutgers.edu:8080/data/asl-ftp/asllvd/demos/verify_start_end_handshape_annotations//test_auto_move//signs_mov_separ_signers/Brady_5406.mov","MOV")</f>
        <v>21</v>
      </c>
    </row>
    <row r="5424" s="2" customFormat="1" ht="13.5" customHeight="1">
      <c r="B5424" t="s" s="8">
        <v>52</v>
      </c>
      <c r="C5424" t="s" s="9">
        <v>53</v>
      </c>
      <c r="D5424" t="s" s="8">
        <v>53</v>
      </c>
      <c r="E5424" t="s" s="9">
        <v>53</v>
      </c>
      <c r="F5424" t="s" s="10">
        <v>53</v>
      </c>
      <c r="G5424" t="s" s="11">
        <v>53</v>
      </c>
      <c r="H5424" t="s" s="10">
        <v>53</v>
      </c>
      <c r="I5424" t="s" s="11">
        <v>53</v>
      </c>
      <c r="J5424" t="s" s="11">
        <v>53</v>
      </c>
      <c r="K5424" t="s" s="12">
        <v>53</v>
      </c>
      <c r="L5424" t="s" s="12">
        <v>53</v>
      </c>
      <c r="M5424" t="s" s="10">
        <v>53</v>
      </c>
      <c r="N5424" t="s" s="11">
        <v>53</v>
      </c>
      <c r="O5424" t="s" s="8">
        <v>53</v>
      </c>
      <c r="P5424" t="s" s="8">
        <v>53</v>
      </c>
      <c r="Q5424" t="s" s="12">
        <v>53</v>
      </c>
      <c r="R5424" t="s" s="12">
        <v>53</v>
      </c>
    </row>
    <row r="5425" s="2" customFormat="1" ht="13.5" customHeight="1">
      <c r="B5425" s="13"/>
      <c r="C5425" t="s" s="9">
        <v>16</v>
      </c>
      <c r="D5425" t="s" s="8">
        <v>1844</v>
      </c>
      <c r="E5425" t="s" s="9">
        <v>1849</v>
      </c>
      <c r="F5425" t="s" s="10">
        <v>63</v>
      </c>
      <c r="G5425" s="14"/>
      <c r="H5425" s="19">
        <v>10</v>
      </c>
      <c r="I5425" s="14"/>
      <c r="J5425" t="s" s="11">
        <v>20</v>
      </c>
      <c r="K5425" t="s" s="16">
        <f>HYPERLINK("http://csr.bu.edu/ftp/asl/asllvd/demos/verify_start_end_handshape_annotations//test_auto_move//signs_mov/5413.mov","MOV")</f>
        <v>21</v>
      </c>
      <c r="L5425" t="s" s="16">
        <f>HYPERLINK("http://csr.bu.edu/ftp/asl/asllvd/demos/verify_start_end_handshape_annotations//test_auto_move//signs_mov_separ_signers/Liz_5413.mov","MOV")</f>
        <v>21</v>
      </c>
      <c r="M5425" t="s" s="10">
        <v>88</v>
      </c>
      <c r="N5425" s="17">
        <v>28</v>
      </c>
      <c r="O5425" s="18">
        <v>530</v>
      </c>
      <c r="P5425" s="18">
        <v>577</v>
      </c>
      <c r="Q5425" t="s" s="16">
        <f>HYPERLINK("http://secrets.rutgers.edu:8080/data/asl-ftp/asllvd/demos/verify_start_end_handshape_annotations//test_auto_move//signs_mov/5413.mov","MOV")</f>
        <v>21</v>
      </c>
      <c r="R5425" t="s" s="16">
        <f>HYPERLINK("http://secrets.rutgers.edu:8080/data/asl-ftp/asllvd/demos/verify_start_end_handshape_annotations//test_auto_move//signs_mov_separ_signers/Liz_5413.mov","MOV")</f>
        <v>21</v>
      </c>
    </row>
    <row r="5426" s="2" customFormat="1" ht="13.5" customHeight="1">
      <c r="B5426" t="s" s="8">
        <v>1843</v>
      </c>
      <c r="C5426" t="s" s="9">
        <v>14</v>
      </c>
      <c r="D5426" t="s" s="8">
        <v>14</v>
      </c>
      <c r="E5426" t="s" s="9">
        <v>14</v>
      </c>
      <c r="F5426" t="s" s="10">
        <v>14</v>
      </c>
      <c r="G5426" t="s" s="11">
        <v>14</v>
      </c>
      <c r="H5426" t="s" s="10">
        <v>14</v>
      </c>
      <c r="I5426" t="s" s="11">
        <v>14</v>
      </c>
      <c r="J5426" t="s" s="11">
        <v>14</v>
      </c>
      <c r="K5426" t="s" s="12">
        <v>14</v>
      </c>
      <c r="L5426" t="s" s="12">
        <v>14</v>
      </c>
      <c r="M5426" t="s" s="10">
        <v>14</v>
      </c>
      <c r="N5426" t="s" s="11">
        <v>14</v>
      </c>
      <c r="O5426" t="s" s="8">
        <v>14</v>
      </c>
      <c r="P5426" t="s" s="8">
        <v>14</v>
      </c>
      <c r="Q5426" t="s" s="12">
        <v>14</v>
      </c>
      <c r="R5426" t="s" s="12">
        <v>14</v>
      </c>
    </row>
    <row r="5427" s="2" customFormat="1" ht="13.5" customHeight="1">
      <c r="B5427" s="13"/>
      <c r="C5427" t="s" s="9">
        <v>16</v>
      </c>
      <c r="D5427" t="s" s="8">
        <v>1850</v>
      </c>
      <c r="E5427" t="s" s="9">
        <v>1850</v>
      </c>
      <c r="F5427" s="19">
        <v>10</v>
      </c>
      <c r="G5427" s="14"/>
      <c r="H5427" s="19">
        <v>10</v>
      </c>
      <c r="I5427" s="14"/>
      <c r="J5427" t="s" s="11">
        <v>20</v>
      </c>
      <c r="K5427" s="15"/>
      <c r="L5427" t="s" s="16">
        <f>HYPERLINK("http://csr.bu.edu/ftp/asl/asllvd/demos/verify_start_end_handshape_annotations//test_auto_move//signs_mov_separ_signers/Liz_5414.mov","MOV")</f>
        <v>21</v>
      </c>
      <c r="M5427" t="s" s="10">
        <v>34</v>
      </c>
      <c r="N5427" s="17">
        <v>22</v>
      </c>
      <c r="O5427" s="18">
        <v>2260</v>
      </c>
      <c r="P5427" s="18">
        <v>2301</v>
      </c>
      <c r="Q5427" s="15"/>
      <c r="R5427" t="s" s="16">
        <f>HYPERLINK("http://secrets.rutgers.edu:8080/data/asl-ftp/asllvd/demos/verify_start_end_handshape_annotations//test_auto_move//signs_mov_separ_signers/Liz_5414.mov","MOV")</f>
        <v>21</v>
      </c>
    </row>
    <row r="5428" s="2" customFormat="1" ht="13.5" customHeight="1">
      <c r="B5428" s="13"/>
      <c r="C5428" t="s" s="9">
        <v>16</v>
      </c>
      <c r="D5428" t="s" s="8">
        <v>1850</v>
      </c>
      <c r="E5428" t="s" s="9">
        <v>1850</v>
      </c>
      <c r="F5428" s="19">
        <v>10</v>
      </c>
      <c r="G5428" s="14"/>
      <c r="H5428" s="19">
        <v>10</v>
      </c>
      <c r="I5428" s="14"/>
      <c r="J5428" t="s" s="11">
        <v>20</v>
      </c>
      <c r="K5428" s="15"/>
      <c r="L5428" t="s" s="16">
        <f>HYPERLINK("http://csr.bu.edu/ftp/asl/asllvd/demos/verify_start_end_handshape_annotations//test_auto_move//signs_mov_separ_signers/Liz_5590.mov","MOV")</f>
        <v>21</v>
      </c>
      <c r="M5428" t="s" s="10">
        <v>36</v>
      </c>
      <c r="N5428" s="17">
        <v>25</v>
      </c>
      <c r="O5428" s="18">
        <v>3020</v>
      </c>
      <c r="P5428" s="18">
        <v>3037</v>
      </c>
      <c r="Q5428" s="15"/>
      <c r="R5428" t="s" s="16">
        <f>HYPERLINK("http://secrets.rutgers.edu:8080/data/asl-ftp/asllvd/demos/verify_start_end_handshape_annotations//test_auto_move//signs_mov_separ_signers/Liz_5590.mov","MOV")</f>
        <v>21</v>
      </c>
    </row>
    <row r="5429" s="2" customFormat="1" ht="13.5" customHeight="1">
      <c r="B5429" s="13"/>
      <c r="C5429" t="s" s="9">
        <v>23</v>
      </c>
      <c r="D5429" t="s" s="8">
        <v>1850</v>
      </c>
      <c r="E5429" t="s" s="9">
        <v>1851</v>
      </c>
      <c r="F5429" s="19">
        <v>10</v>
      </c>
      <c r="G5429" s="14"/>
      <c r="H5429" s="19">
        <v>10</v>
      </c>
      <c r="I5429" s="14"/>
      <c r="J5429" t="s" s="11">
        <v>20</v>
      </c>
      <c r="K5429" t="s" s="16">
        <f>HYPERLINK("http://csr.bu.edu/ftp/asl/asllvd/demos/verify_start_end_handshape_annotations//test_auto_move//signs_mov/5414_5590_merged.mov","MOV")</f>
        <v>21</v>
      </c>
      <c r="L5429" t="s" s="16">
        <f>HYPERLINK("http://csr.bu.edu/ftp/asl/asllvd/demos/verify_start_end_handshape_annotations//test_auto_move//signs_mov_separ_signers/Tyler_5414.mov","MOV")</f>
        <v>21</v>
      </c>
      <c r="M5429" t="s" s="10">
        <v>92</v>
      </c>
      <c r="N5429" s="17">
        <v>50</v>
      </c>
      <c r="O5429" s="18">
        <v>1775</v>
      </c>
      <c r="P5429" s="18">
        <v>1800</v>
      </c>
      <c r="Q5429" t="s" s="16">
        <f>HYPERLINK("http://secrets.rutgers.edu:8080/data/asl-ftp/asllvd/demos/verify_start_end_handshape_annotations//test_auto_move//signs_mov/5414_5590_merged.mov","MOV")</f>
        <v>21</v>
      </c>
      <c r="R5429" t="s" s="16">
        <f>HYPERLINK("http://secrets.rutgers.edu:8080/data/asl-ftp/asllvd/demos/verify_start_end_handshape_annotations//test_auto_move//signs_mov_separ_signers/Tyler_5414.mov","MOV")</f>
        <v>21</v>
      </c>
    </row>
    <row r="5430" s="2" customFormat="1" ht="13.5" customHeight="1">
      <c r="B5430" s="13"/>
      <c r="C5430" t="s" s="9">
        <v>27</v>
      </c>
      <c r="D5430" t="s" s="8">
        <v>1850</v>
      </c>
      <c r="E5430" t="s" s="9">
        <v>1850</v>
      </c>
      <c r="F5430" s="19">
        <v>10</v>
      </c>
      <c r="G5430" s="14"/>
      <c r="H5430" s="19">
        <v>10</v>
      </c>
      <c r="I5430" s="14"/>
      <c r="J5430" t="s" s="11">
        <v>20</v>
      </c>
      <c r="K5430" s="15"/>
      <c r="L5430" t="s" s="16">
        <f>HYPERLINK("http://csr.bu.edu/ftp/asl/asllvd/demos/verify_start_end_handshape_annotations//test_auto_move//signs_mov_separ_signers/Naomi_5414.mov","MOV")</f>
        <v>21</v>
      </c>
      <c r="M5430" t="s" s="10">
        <v>38</v>
      </c>
      <c r="N5430" s="17">
        <v>18</v>
      </c>
      <c r="O5430" s="18">
        <v>4030</v>
      </c>
      <c r="P5430" s="18">
        <v>4055</v>
      </c>
      <c r="Q5430" s="15"/>
      <c r="R5430" t="s" s="16">
        <f>HYPERLINK("http://secrets.rutgers.edu:8080/data/asl-ftp/asllvd/demos/verify_start_end_handshape_annotations//test_auto_move//signs_mov_separ_signers/Naomi_5414.mov","MOV")</f>
        <v>21</v>
      </c>
    </row>
    <row r="5431" s="2" customFormat="1" ht="13.5" customHeight="1">
      <c r="B5431" s="13"/>
      <c r="C5431" t="s" s="9">
        <v>30</v>
      </c>
      <c r="D5431" t="s" s="8">
        <v>1850</v>
      </c>
      <c r="E5431" t="s" s="9">
        <v>1850</v>
      </c>
      <c r="F5431" s="19">
        <v>10</v>
      </c>
      <c r="G5431" s="14"/>
      <c r="H5431" s="19">
        <v>10</v>
      </c>
      <c r="I5431" s="14"/>
      <c r="J5431" t="s" s="11">
        <v>20</v>
      </c>
      <c r="K5431" s="15"/>
      <c r="L5431" t="s" s="16">
        <f>HYPERLINK("http://csr.bu.edu/ftp/asl/asllvd/demos/verify_start_end_handshape_annotations//test_auto_move//signs_mov_separ_signers/Brady_5414.mov","MOV")</f>
        <v>21</v>
      </c>
      <c r="M5431" t="s" s="10">
        <v>39</v>
      </c>
      <c r="N5431" s="17">
        <v>34</v>
      </c>
      <c r="O5431" s="18">
        <v>3341</v>
      </c>
      <c r="P5431" s="18">
        <v>3369</v>
      </c>
      <c r="Q5431" s="15"/>
      <c r="R5431" t="s" s="16">
        <f>HYPERLINK("http://secrets.rutgers.edu:8080/data/asl-ftp/asllvd/demos/verify_start_end_handshape_annotations//test_auto_move//signs_mov_separ_signers/Brady_5414.mov","MOV")</f>
        <v>21</v>
      </c>
    </row>
    <row r="5432" s="2" customFormat="1" ht="13.5" customHeight="1">
      <c r="B5432" t="s" s="8">
        <v>52</v>
      </c>
      <c r="C5432" t="s" s="9">
        <v>53</v>
      </c>
      <c r="D5432" t="s" s="8">
        <v>53</v>
      </c>
      <c r="E5432" t="s" s="9">
        <v>53</v>
      </c>
      <c r="F5432" t="s" s="10">
        <v>53</v>
      </c>
      <c r="G5432" t="s" s="11">
        <v>53</v>
      </c>
      <c r="H5432" t="s" s="10">
        <v>53</v>
      </c>
      <c r="I5432" t="s" s="11">
        <v>53</v>
      </c>
      <c r="J5432" t="s" s="11">
        <v>53</v>
      </c>
      <c r="K5432" t="s" s="12">
        <v>53</v>
      </c>
      <c r="L5432" t="s" s="12">
        <v>53</v>
      </c>
      <c r="M5432" t="s" s="10">
        <v>53</v>
      </c>
      <c r="N5432" t="s" s="11">
        <v>53</v>
      </c>
      <c r="O5432" t="s" s="8">
        <v>53</v>
      </c>
      <c r="P5432" t="s" s="8">
        <v>53</v>
      </c>
      <c r="Q5432" t="s" s="12">
        <v>53</v>
      </c>
      <c r="R5432" t="s" s="12">
        <v>53</v>
      </c>
    </row>
    <row r="5433" s="2" customFormat="1" ht="13.5" customHeight="1">
      <c r="B5433" s="13"/>
      <c r="C5433" t="s" s="9">
        <v>16</v>
      </c>
      <c r="D5433" t="s" s="8">
        <v>1850</v>
      </c>
      <c r="E5433" t="s" s="9">
        <v>1852</v>
      </c>
      <c r="F5433" s="19">
        <v>10</v>
      </c>
      <c r="G5433" s="14"/>
      <c r="H5433" s="19">
        <v>10</v>
      </c>
      <c r="I5433" s="14"/>
      <c r="J5433" t="s" s="11">
        <v>20</v>
      </c>
      <c r="K5433" s="15"/>
      <c r="L5433" t="s" s="16">
        <f>HYPERLINK("http://csr.bu.edu/ftp/asl/asllvd/demos/verify_start_end_handshape_annotations//test_auto_move//signs_mov_separ_signers/Liz_5592.mov","MOV")</f>
        <v>21</v>
      </c>
      <c r="M5433" t="s" s="10">
        <v>59</v>
      </c>
      <c r="N5433" s="17">
        <v>9</v>
      </c>
      <c r="O5433" s="18">
        <v>1355</v>
      </c>
      <c r="P5433" s="18">
        <v>1390</v>
      </c>
      <c r="Q5433" s="15"/>
      <c r="R5433" t="s" s="16">
        <f>HYPERLINK("http://secrets.rutgers.edu:8080/data/asl-ftp/asllvd/demos/verify_start_end_handshape_annotations//test_auto_move//signs_mov_separ_signers/Liz_5592.mov","MOV")</f>
        <v>21</v>
      </c>
    </row>
    <row r="5434" s="2" customFormat="1" ht="13.5" customHeight="1">
      <c r="B5434" s="13"/>
      <c r="C5434" t="s" s="9">
        <v>16</v>
      </c>
      <c r="D5434" t="s" s="8">
        <v>1850</v>
      </c>
      <c r="E5434" t="s" s="9">
        <v>1853</v>
      </c>
      <c r="F5434" s="19">
        <v>10</v>
      </c>
      <c r="G5434" s="14"/>
      <c r="H5434" s="19">
        <v>10</v>
      </c>
      <c r="I5434" s="14"/>
      <c r="J5434" t="s" s="11">
        <v>20</v>
      </c>
      <c r="K5434" t="s" s="16">
        <f>HYPERLINK("http://csr.bu.edu/ftp/asl/asllvd/demos/verify_start_end_handshape_annotations//test_auto_move//signs_mov/5592_5594_merged.mov","MOV")</f>
        <v>21</v>
      </c>
      <c r="L5434" t="s" s="16">
        <f>HYPERLINK("http://csr.bu.edu/ftp/asl/asllvd/demos/verify_start_end_handshape_annotations//test_auto_move//signs_mov_separ_signers/Liz_5594.mov","MOV")</f>
        <v>21</v>
      </c>
      <c r="M5434" t="s" s="10">
        <v>59</v>
      </c>
      <c r="N5434" s="17">
        <v>48</v>
      </c>
      <c r="O5434" s="18">
        <v>1817</v>
      </c>
      <c r="P5434" s="18">
        <v>1870</v>
      </c>
      <c r="Q5434" t="s" s="16">
        <f>HYPERLINK("http://secrets.rutgers.edu:8080/data/asl-ftp/asllvd/demos/verify_start_end_handshape_annotations//test_auto_move//signs_mov/5592_5594_merged.mov","MOV")</f>
        <v>21</v>
      </c>
      <c r="R5434" t="s" s="16">
        <f>HYPERLINK("http://secrets.rutgers.edu:8080/data/asl-ftp/asllvd/demos/verify_start_end_handshape_annotations//test_auto_move//signs_mov_separ_signers/Liz_5594.mov","MOV")</f>
        <v>21</v>
      </c>
    </row>
    <row r="5435" s="2" customFormat="1" ht="13.5" customHeight="1">
      <c r="B5435" s="13"/>
      <c r="C5435" t="s" s="9">
        <v>30</v>
      </c>
      <c r="D5435" t="s" s="8">
        <v>1850</v>
      </c>
      <c r="E5435" t="s" s="9">
        <v>1854</v>
      </c>
      <c r="F5435" s="19">
        <v>10</v>
      </c>
      <c r="G5435" s="14"/>
      <c r="H5435" s="19">
        <v>10</v>
      </c>
      <c r="I5435" s="14"/>
      <c r="J5435" t="s" s="11">
        <v>20</v>
      </c>
      <c r="K5435" s="15"/>
      <c r="L5435" t="s" s="16">
        <f>HYPERLINK("http://csr.bu.edu/ftp/asl/asllvd/demos/verify_start_end_handshape_annotations//test_auto_move//signs_mov_separ_signers/Brady_5592.mov","MOV")</f>
        <v>21</v>
      </c>
      <c r="M5435" t="s" s="10">
        <v>40</v>
      </c>
      <c r="N5435" s="17">
        <v>113</v>
      </c>
      <c r="O5435" s="18">
        <v>4713</v>
      </c>
      <c r="P5435" s="18">
        <v>4755</v>
      </c>
      <c r="Q5435" s="15"/>
      <c r="R5435" t="s" s="16">
        <f>HYPERLINK("http://secrets.rutgers.edu:8080/data/asl-ftp/asllvd/demos/verify_start_end_handshape_annotations//test_auto_move//signs_mov_separ_signers/Brady_5592.mov","MOV")</f>
        <v>21</v>
      </c>
    </row>
    <row r="5436" s="2" customFormat="1" ht="13.5" customHeight="1">
      <c r="B5436" t="s" s="8">
        <v>1843</v>
      </c>
      <c r="C5436" t="s" s="9">
        <v>14</v>
      </c>
      <c r="D5436" t="s" s="8">
        <v>14</v>
      </c>
      <c r="E5436" t="s" s="9">
        <v>14</v>
      </c>
      <c r="F5436" t="s" s="10">
        <v>14</v>
      </c>
      <c r="G5436" t="s" s="11">
        <v>14</v>
      </c>
      <c r="H5436" t="s" s="10">
        <v>14</v>
      </c>
      <c r="I5436" t="s" s="11">
        <v>14</v>
      </c>
      <c r="J5436" t="s" s="11">
        <v>14</v>
      </c>
      <c r="K5436" t="s" s="12">
        <v>14</v>
      </c>
      <c r="L5436" t="s" s="12">
        <v>14</v>
      </c>
      <c r="M5436" t="s" s="10">
        <v>14</v>
      </c>
      <c r="N5436" t="s" s="11">
        <v>14</v>
      </c>
      <c r="O5436" t="s" s="8">
        <v>14</v>
      </c>
      <c r="P5436" t="s" s="8">
        <v>14</v>
      </c>
      <c r="Q5436" t="s" s="12">
        <v>14</v>
      </c>
      <c r="R5436" t="s" s="12">
        <v>14</v>
      </c>
    </row>
    <row r="5437" s="2" customFormat="1" ht="13.5" customHeight="1">
      <c r="B5437" s="13"/>
      <c r="C5437" t="s" s="9">
        <v>16</v>
      </c>
      <c r="D5437" t="s" s="8">
        <v>1855</v>
      </c>
      <c r="E5437" t="s" s="9">
        <v>1855</v>
      </c>
      <c r="F5437" s="19">
        <v>10</v>
      </c>
      <c r="G5437" s="14"/>
      <c r="H5437" s="19">
        <v>10</v>
      </c>
      <c r="I5437" s="14"/>
      <c r="J5437" t="s" s="11">
        <v>20</v>
      </c>
      <c r="K5437" s="15"/>
      <c r="L5437" t="s" s="16">
        <f>HYPERLINK("http://csr.bu.edu/ftp/asl/asllvd/demos/verify_start_end_handshape_annotations//test_auto_move//signs_mov_separ_signers/Liz_5616.mov","MOV")</f>
        <v>21</v>
      </c>
      <c r="M5437" t="s" s="10">
        <v>59</v>
      </c>
      <c r="N5437" s="17">
        <v>48</v>
      </c>
      <c r="O5437" s="18">
        <v>1571</v>
      </c>
      <c r="P5437" s="18">
        <v>1600</v>
      </c>
      <c r="Q5437" s="15"/>
      <c r="R5437" t="s" s="16">
        <f>HYPERLINK("http://secrets.rutgers.edu:8080/data/asl-ftp/asllvd/demos/verify_start_end_handshape_annotations//test_auto_move//signs_mov_separ_signers/Liz_5616.mov","MOV")</f>
        <v>21</v>
      </c>
    </row>
    <row r="5438" s="2" customFormat="1" ht="13.5" customHeight="1">
      <c r="B5438" s="13"/>
      <c r="C5438" t="s" s="9">
        <v>30</v>
      </c>
      <c r="D5438" t="s" s="8">
        <v>1855</v>
      </c>
      <c r="E5438" t="s" s="9">
        <v>1855</v>
      </c>
      <c r="F5438" s="19">
        <v>10</v>
      </c>
      <c r="G5438" s="14"/>
      <c r="H5438" s="19">
        <v>10</v>
      </c>
      <c r="I5438" s="14"/>
      <c r="J5438" t="s" s="11">
        <v>20</v>
      </c>
      <c r="K5438" t="s" s="16">
        <f>HYPERLINK("http://csr.bu.edu/ftp/asl/asllvd/demos/verify_start_end_handshape_annotations//test_auto_move//signs_mov/5616_5975_merged.mov","MOV")</f>
        <v>21</v>
      </c>
      <c r="L5438" t="s" s="16">
        <f>HYPERLINK("http://csr.bu.edu/ftp/asl/asllvd/demos/verify_start_end_handshape_annotations//test_auto_move//signs_mov_separ_signers/Brady_5616.mov","MOV")</f>
        <v>21</v>
      </c>
      <c r="M5438" t="s" s="10">
        <v>40</v>
      </c>
      <c r="N5438" s="17">
        <v>76</v>
      </c>
      <c r="O5438" s="18">
        <v>341</v>
      </c>
      <c r="P5438" s="18">
        <v>355</v>
      </c>
      <c r="Q5438" t="s" s="16">
        <f>HYPERLINK("http://secrets.rutgers.edu:8080/data/asl-ftp/asllvd/demos/verify_start_end_handshape_annotations//test_auto_move//signs_mov/5616_5975_merged.mov","MOV")</f>
        <v>21</v>
      </c>
      <c r="R5438" t="s" s="16">
        <f>HYPERLINK("http://secrets.rutgers.edu:8080/data/asl-ftp/asllvd/demos/verify_start_end_handshape_annotations//test_auto_move//signs_mov_separ_signers/Brady_5616.mov","MOV")</f>
        <v>21</v>
      </c>
    </row>
    <row r="5439" s="2" customFormat="1" ht="13.5" customHeight="1">
      <c r="B5439" s="13"/>
      <c r="C5439" t="s" s="9">
        <v>30</v>
      </c>
      <c r="D5439" t="s" s="8">
        <v>1855</v>
      </c>
      <c r="E5439" t="s" s="9">
        <v>1855</v>
      </c>
      <c r="F5439" s="19">
        <v>10</v>
      </c>
      <c r="G5439" s="14"/>
      <c r="H5439" s="19">
        <v>10</v>
      </c>
      <c r="I5439" s="14"/>
      <c r="J5439" t="s" s="11">
        <v>20</v>
      </c>
      <c r="K5439" s="15"/>
      <c r="L5439" t="s" s="16">
        <f>HYPERLINK("http://csr.bu.edu/ftp/asl/asllvd/demos/verify_start_end_handshape_annotations//test_auto_move//signs_mov_separ_signers/Brady_5975.mov","MOV")</f>
        <v>21</v>
      </c>
      <c r="M5439" t="s" s="10">
        <v>60</v>
      </c>
      <c r="N5439" s="17">
        <v>36</v>
      </c>
      <c r="O5439" s="18">
        <v>2984</v>
      </c>
      <c r="P5439" s="18">
        <v>2998</v>
      </c>
      <c r="Q5439" s="15"/>
      <c r="R5439" t="s" s="16">
        <f>HYPERLINK("http://secrets.rutgers.edu:8080/data/asl-ftp/asllvd/demos/verify_start_end_handshape_annotations//test_auto_move//signs_mov_separ_signers/Brady_5975.mov","MOV")</f>
        <v>21</v>
      </c>
    </row>
    <row r="5440" s="2" customFormat="1" ht="13.5" customHeight="1">
      <c r="B5440" t="s" s="8">
        <v>52</v>
      </c>
      <c r="C5440" t="s" s="9">
        <v>53</v>
      </c>
      <c r="D5440" t="s" s="8">
        <v>53</v>
      </c>
      <c r="E5440" t="s" s="9">
        <v>53</v>
      </c>
      <c r="F5440" t="s" s="10">
        <v>53</v>
      </c>
      <c r="G5440" t="s" s="11">
        <v>53</v>
      </c>
      <c r="H5440" t="s" s="10">
        <v>53</v>
      </c>
      <c r="I5440" t="s" s="11">
        <v>53</v>
      </c>
      <c r="J5440" t="s" s="11">
        <v>53</v>
      </c>
      <c r="K5440" t="s" s="12">
        <v>53</v>
      </c>
      <c r="L5440" t="s" s="12">
        <v>53</v>
      </c>
      <c r="M5440" t="s" s="10">
        <v>53</v>
      </c>
      <c r="N5440" t="s" s="11">
        <v>53</v>
      </c>
      <c r="O5440" t="s" s="8">
        <v>53</v>
      </c>
      <c r="P5440" t="s" s="8">
        <v>53</v>
      </c>
      <c r="Q5440" t="s" s="12">
        <v>53</v>
      </c>
      <c r="R5440" t="s" s="12">
        <v>53</v>
      </c>
    </row>
    <row r="5441" s="2" customFormat="1" ht="13.5" customHeight="1">
      <c r="B5441" s="13"/>
      <c r="C5441" t="s" s="9">
        <v>30</v>
      </c>
      <c r="D5441" t="s" s="8">
        <v>1855</v>
      </c>
      <c r="E5441" t="s" s="9">
        <v>1856</v>
      </c>
      <c r="F5441" s="19">
        <v>10</v>
      </c>
      <c r="G5441" s="14"/>
      <c r="H5441" s="19">
        <v>10</v>
      </c>
      <c r="I5441" s="14"/>
      <c r="J5441" t="s" s="11">
        <v>20</v>
      </c>
      <c r="K5441" t="s" s="16">
        <f>HYPERLINK("http://csr.bu.edu/ftp/asl/asllvd/demos/verify_start_end_handshape_annotations//test_auto_move//signs_mov/16441.mov","MOV")</f>
        <v>21</v>
      </c>
      <c r="L5441" t="s" s="16">
        <f>HYPERLINK("http://csr.bu.edu/ftp/asl/asllvd/demos/verify_start_end_handshape_annotations//test_auto_move//signs_mov_separ_signers/Brady_16441.mov","MOV")</f>
        <v>21</v>
      </c>
      <c r="M5441" t="s" s="10">
        <v>60</v>
      </c>
      <c r="N5441" s="17">
        <v>36</v>
      </c>
      <c r="O5441" s="18">
        <v>3209</v>
      </c>
      <c r="P5441" s="18">
        <v>3269</v>
      </c>
      <c r="Q5441" t="s" s="16">
        <f>HYPERLINK("http://secrets.rutgers.edu:8080/data/asl-ftp/asllvd/demos/verify_start_end_handshape_annotations//test_auto_move//signs_mov/16441.mov","MOV")</f>
        <v>21</v>
      </c>
      <c r="R5441" t="s" s="16">
        <f>HYPERLINK("http://secrets.rutgers.edu:8080/data/asl-ftp/asllvd/demos/verify_start_end_handshape_annotations//test_auto_move//signs_mov_separ_signers/Brady_16441.mov","MOV")</f>
        <v>21</v>
      </c>
    </row>
    <row r="5442" s="2" customFormat="1" ht="13.5" customHeight="1">
      <c r="B5442" t="s" s="8">
        <v>1857</v>
      </c>
      <c r="C5442" t="s" s="9">
        <v>14</v>
      </c>
      <c r="D5442" t="s" s="8">
        <v>14</v>
      </c>
      <c r="E5442" t="s" s="9">
        <v>14</v>
      </c>
      <c r="F5442" t="s" s="10">
        <v>14</v>
      </c>
      <c r="G5442" t="s" s="11">
        <v>14</v>
      </c>
      <c r="H5442" t="s" s="10">
        <v>14</v>
      </c>
      <c r="I5442" t="s" s="11">
        <v>14</v>
      </c>
      <c r="J5442" t="s" s="11">
        <v>14</v>
      </c>
      <c r="K5442" t="s" s="12">
        <v>14</v>
      </c>
      <c r="L5442" t="s" s="12">
        <v>14</v>
      </c>
      <c r="M5442" t="s" s="10">
        <v>14</v>
      </c>
      <c r="N5442" t="s" s="11">
        <v>14</v>
      </c>
      <c r="O5442" t="s" s="8">
        <v>14</v>
      </c>
      <c r="P5442" t="s" s="8">
        <v>14</v>
      </c>
      <c r="Q5442" t="s" s="12">
        <v>14</v>
      </c>
      <c r="R5442" t="s" s="12">
        <v>14</v>
      </c>
    </row>
    <row r="5443" s="2" customFormat="1" ht="13.5" customHeight="1">
      <c r="B5443" s="13"/>
      <c r="C5443" t="s" s="9">
        <v>16</v>
      </c>
      <c r="D5443" t="s" s="8">
        <v>1857</v>
      </c>
      <c r="E5443" t="s" s="9">
        <v>1858</v>
      </c>
      <c r="F5443" s="19">
        <v>5</v>
      </c>
      <c r="G5443" s="14"/>
      <c r="H5443" s="19">
        <v>5</v>
      </c>
      <c r="I5443" s="14"/>
      <c r="J5443" t="s" s="11">
        <v>20</v>
      </c>
      <c r="K5443" s="15"/>
      <c r="L5443" t="s" s="16">
        <f>HYPERLINK("http://csr.bu.edu/ftp/asl/asllvd/demos/verify_start_end_handshape_annotations//test_auto_move//signs_mov_separ_signers/Liz_1179.mov","MOV")</f>
        <v>21</v>
      </c>
      <c r="M5443" t="s" s="10">
        <v>34</v>
      </c>
      <c r="N5443" s="17">
        <v>52</v>
      </c>
      <c r="O5443" s="18">
        <v>1007</v>
      </c>
      <c r="P5443" s="18">
        <v>1091</v>
      </c>
      <c r="Q5443" s="15"/>
      <c r="R5443" t="s" s="16">
        <f>HYPERLINK("http://secrets.rutgers.edu:8080/data/asl-ftp/asllvd/demos/verify_start_end_handshape_annotations//test_auto_move//signs_mov_separ_signers/Liz_1179.mov","MOV")</f>
        <v>21</v>
      </c>
    </row>
    <row r="5444" s="2" customFormat="1" ht="13.5" customHeight="1">
      <c r="B5444" s="13"/>
      <c r="C5444" t="s" s="9">
        <v>23</v>
      </c>
      <c r="D5444" t="s" s="8">
        <v>1857</v>
      </c>
      <c r="E5444" t="s" s="9">
        <v>1857</v>
      </c>
      <c r="F5444" s="19">
        <v>5</v>
      </c>
      <c r="G5444" s="14"/>
      <c r="H5444" s="19">
        <v>5</v>
      </c>
      <c r="I5444" s="14"/>
      <c r="J5444" t="s" s="11">
        <v>20</v>
      </c>
      <c r="K5444" t="s" s="16">
        <f>HYPERLINK("http://csr.bu.edu/ftp/asl/asllvd/demos/verify_start_end_handshape_annotations//test_auto_move//signs_mov/1179.mov","MOV")</f>
        <v>21</v>
      </c>
      <c r="L5444" t="s" s="16">
        <f>HYPERLINK("http://csr.bu.edu/ftp/asl/asllvd/demos/verify_start_end_handshape_annotations//test_auto_move//signs_mov_separ_signers/Tyler_1179.mov","MOV")</f>
        <v>21</v>
      </c>
      <c r="M5444" t="s" s="10">
        <v>47</v>
      </c>
      <c r="N5444" s="17">
        <v>4</v>
      </c>
      <c r="O5444" s="18">
        <v>1052</v>
      </c>
      <c r="P5444" s="18">
        <v>1097</v>
      </c>
      <c r="Q5444" t="s" s="16">
        <f>HYPERLINK("http://secrets.rutgers.edu:8080/data/asl-ftp/asllvd/demos/verify_start_end_handshape_annotations//test_auto_move//signs_mov/1179.mov","MOV")</f>
        <v>21</v>
      </c>
      <c r="R5444" t="s" s="16">
        <f>HYPERLINK("http://secrets.rutgers.edu:8080/data/asl-ftp/asllvd/demos/verify_start_end_handshape_annotations//test_auto_move//signs_mov_separ_signers/Tyler_1179.mov","MOV")</f>
        <v>21</v>
      </c>
    </row>
    <row r="5445" s="2" customFormat="1" ht="13.5" customHeight="1">
      <c r="B5445" s="13"/>
      <c r="C5445" t="s" s="9">
        <v>27</v>
      </c>
      <c r="D5445" t="s" s="8">
        <v>1857</v>
      </c>
      <c r="E5445" t="s" s="9">
        <v>1858</v>
      </c>
      <c r="F5445" s="19">
        <v>5</v>
      </c>
      <c r="G5445" s="14"/>
      <c r="H5445" s="19">
        <v>5</v>
      </c>
      <c r="I5445" s="14"/>
      <c r="J5445" t="s" s="11">
        <v>20</v>
      </c>
      <c r="K5445" s="15"/>
      <c r="L5445" t="s" s="16">
        <f>HYPERLINK("http://csr.bu.edu/ftp/asl/asllvd/demos/verify_start_end_handshape_annotations//test_auto_move//signs_mov_separ_signers/Naomi_1179.mov","MOV")</f>
        <v>21</v>
      </c>
      <c r="M5445" t="s" s="10">
        <v>48</v>
      </c>
      <c r="N5445" s="17">
        <v>7</v>
      </c>
      <c r="O5445" s="18">
        <v>820</v>
      </c>
      <c r="P5445" s="18">
        <v>895</v>
      </c>
      <c r="Q5445" s="15"/>
      <c r="R5445" t="s" s="16">
        <f>HYPERLINK("http://secrets.rutgers.edu:8080/data/asl-ftp/asllvd/demos/verify_start_end_handshape_annotations//test_auto_move//signs_mov_separ_signers/Naomi_1179.mov","MOV")</f>
        <v>21</v>
      </c>
    </row>
    <row r="5446" s="2" customFormat="1" ht="13.5" customHeight="1">
      <c r="B5446" s="13"/>
      <c r="C5446" t="s" s="9">
        <v>30</v>
      </c>
      <c r="D5446" t="s" s="8">
        <v>1857</v>
      </c>
      <c r="E5446" t="s" s="9">
        <v>1858</v>
      </c>
      <c r="F5446" s="19">
        <v>5</v>
      </c>
      <c r="G5446" s="14"/>
      <c r="H5446" s="19">
        <v>5</v>
      </c>
      <c r="I5446" s="14"/>
      <c r="J5446" t="s" s="11">
        <v>20</v>
      </c>
      <c r="K5446" s="15"/>
      <c r="L5446" t="s" s="16">
        <f>HYPERLINK("http://csr.bu.edu/ftp/asl/asllvd/demos/verify_start_end_handshape_annotations//test_auto_move//signs_mov_separ_signers/Brady_1179.mov","MOV")</f>
        <v>21</v>
      </c>
      <c r="M5446" t="s" s="10">
        <v>39</v>
      </c>
      <c r="N5446" s="17">
        <v>51</v>
      </c>
      <c r="O5446" s="18">
        <v>800</v>
      </c>
      <c r="P5446" s="18">
        <v>859</v>
      </c>
      <c r="Q5446" s="15"/>
      <c r="R5446" t="s" s="16">
        <f>HYPERLINK("http://secrets.rutgers.edu:8080/data/asl-ftp/asllvd/demos/verify_start_end_handshape_annotations//test_auto_move//signs_mov_separ_signers/Brady_1179.mov","MOV")</f>
        <v>21</v>
      </c>
    </row>
    <row r="5447" s="2" customFormat="1" ht="13.5" customHeight="1">
      <c r="B5447" t="s" s="8">
        <v>52</v>
      </c>
      <c r="C5447" t="s" s="9">
        <v>53</v>
      </c>
      <c r="D5447" t="s" s="8">
        <v>53</v>
      </c>
      <c r="E5447" t="s" s="9">
        <v>53</v>
      </c>
      <c r="F5447" t="s" s="10">
        <v>53</v>
      </c>
      <c r="G5447" t="s" s="11">
        <v>53</v>
      </c>
      <c r="H5447" t="s" s="10">
        <v>53</v>
      </c>
      <c r="I5447" t="s" s="11">
        <v>53</v>
      </c>
      <c r="J5447" t="s" s="11">
        <v>53</v>
      </c>
      <c r="K5447" t="s" s="12">
        <v>53</v>
      </c>
      <c r="L5447" t="s" s="12">
        <v>53</v>
      </c>
      <c r="M5447" t="s" s="10">
        <v>53</v>
      </c>
      <c r="N5447" t="s" s="11">
        <v>53</v>
      </c>
      <c r="O5447" t="s" s="8">
        <v>53</v>
      </c>
      <c r="P5447" t="s" s="8">
        <v>53</v>
      </c>
      <c r="Q5447" t="s" s="12">
        <v>53</v>
      </c>
      <c r="R5447" t="s" s="12">
        <v>53</v>
      </c>
    </row>
    <row r="5448" s="2" customFormat="1" ht="13.5" customHeight="1">
      <c r="B5448" s="13"/>
      <c r="C5448" t="s" s="9">
        <v>16</v>
      </c>
      <c r="D5448" t="s" s="8">
        <v>1857</v>
      </c>
      <c r="E5448" t="s" s="9">
        <v>1859</v>
      </c>
      <c r="F5448" t="s" s="10">
        <v>73</v>
      </c>
      <c r="G5448" t="s" s="11">
        <v>73</v>
      </c>
      <c r="H5448" t="s" s="10">
        <v>73</v>
      </c>
      <c r="I5448" t="s" s="11">
        <v>73</v>
      </c>
      <c r="J5448" t="s" s="11">
        <v>20</v>
      </c>
      <c r="K5448" s="15"/>
      <c r="L5448" t="s" s="16">
        <f>HYPERLINK("http://csr.bu.edu/ftp/asl/asllvd/demos/verify_start_end_handshape_annotations//test_auto_move//signs_mov_separ_signers/Liz_3675.mov","MOV")</f>
        <v>21</v>
      </c>
      <c r="M5448" t="s" s="10">
        <v>34</v>
      </c>
      <c r="N5448" s="17">
        <v>22</v>
      </c>
      <c r="O5448" s="18">
        <v>2715</v>
      </c>
      <c r="P5448" s="18">
        <v>2800</v>
      </c>
      <c r="Q5448" s="15"/>
      <c r="R5448" t="s" s="16">
        <f>HYPERLINK("http://secrets.rutgers.edu:8080/data/asl-ftp/asllvd/demos/verify_start_end_handshape_annotations//test_auto_move//signs_mov_separ_signers/Liz_3675.mov","MOV")</f>
        <v>21</v>
      </c>
    </row>
    <row r="5449" s="2" customFormat="1" ht="13.5" customHeight="1">
      <c r="B5449" s="13"/>
      <c r="C5449" t="s" s="9">
        <v>23</v>
      </c>
      <c r="D5449" t="s" s="8">
        <v>1857</v>
      </c>
      <c r="E5449" t="s" s="9">
        <v>1859</v>
      </c>
      <c r="F5449" s="19">
        <v>5</v>
      </c>
      <c r="G5449" s="17">
        <v>5</v>
      </c>
      <c r="H5449" s="19">
        <v>5</v>
      </c>
      <c r="I5449" s="17">
        <v>5</v>
      </c>
      <c r="J5449" t="s" s="11">
        <v>20</v>
      </c>
      <c r="K5449" t="s" s="16">
        <f>HYPERLINK("http://csr.bu.edu/ftp/asl/asllvd/demos/verify_start_end_handshape_annotations//test_auto_move//signs_mov/3675.mov","MOV")</f>
        <v>21</v>
      </c>
      <c r="L5449" t="s" s="16">
        <f>HYPERLINK("http://csr.bu.edu/ftp/asl/asllvd/demos/verify_start_end_handshape_annotations//test_auto_move//signs_mov_separ_signers/Tyler_3675.mov","MOV")</f>
        <v>21</v>
      </c>
      <c r="M5449" t="s" s="10">
        <v>26</v>
      </c>
      <c r="N5449" s="17">
        <v>11</v>
      </c>
      <c r="O5449" s="18">
        <v>1280</v>
      </c>
      <c r="P5449" s="18">
        <v>1332</v>
      </c>
      <c r="Q5449" t="s" s="16">
        <f>HYPERLINK("http://secrets.rutgers.edu:8080/data/asl-ftp/asllvd/demos/verify_start_end_handshape_annotations//test_auto_move//signs_mov/3675.mov","MOV")</f>
        <v>21</v>
      </c>
      <c r="R5449" t="s" s="16">
        <f>HYPERLINK("http://secrets.rutgers.edu:8080/data/asl-ftp/asllvd/demos/verify_start_end_handshape_annotations//test_auto_move//signs_mov_separ_signers/Tyler_3675.mov","MOV")</f>
        <v>21</v>
      </c>
    </row>
    <row r="5450" s="2" customFormat="1" ht="13.5" customHeight="1">
      <c r="B5450" s="13"/>
      <c r="C5450" t="s" s="9">
        <v>27</v>
      </c>
      <c r="D5450" t="s" s="8">
        <v>1857</v>
      </c>
      <c r="E5450" t="s" s="9">
        <v>1859</v>
      </c>
      <c r="F5450" s="19">
        <v>5</v>
      </c>
      <c r="G5450" s="17">
        <v>5</v>
      </c>
      <c r="H5450" s="19">
        <v>5</v>
      </c>
      <c r="I5450" s="17">
        <v>5</v>
      </c>
      <c r="J5450" t="s" s="11">
        <v>20</v>
      </c>
      <c r="K5450" s="15"/>
      <c r="L5450" t="s" s="16">
        <f>HYPERLINK("http://csr.bu.edu/ftp/asl/asllvd/demos/verify_start_end_handshape_annotations//test_auto_move//signs_mov_separ_signers/Naomi_3675.mov","MOV")</f>
        <v>21</v>
      </c>
      <c r="M5450" t="s" s="10">
        <v>38</v>
      </c>
      <c r="N5450" s="17">
        <v>18</v>
      </c>
      <c r="O5450" s="18">
        <v>4617</v>
      </c>
      <c r="P5450" s="18">
        <v>4670</v>
      </c>
      <c r="Q5450" s="15"/>
      <c r="R5450" t="s" s="16">
        <f>HYPERLINK("http://secrets.rutgers.edu:8080/data/asl-ftp/asllvd/demos/verify_start_end_handshape_annotations//test_auto_move//signs_mov_separ_signers/Naomi_3675.mov","MOV")</f>
        <v>21</v>
      </c>
    </row>
    <row r="5451" s="2" customFormat="1" ht="13.5" customHeight="1">
      <c r="B5451" s="13"/>
      <c r="C5451" t="s" s="9">
        <v>30</v>
      </c>
      <c r="D5451" t="s" s="8">
        <v>1857</v>
      </c>
      <c r="E5451" t="s" s="9">
        <v>1859</v>
      </c>
      <c r="F5451" s="19">
        <v>5</v>
      </c>
      <c r="G5451" s="17">
        <v>5</v>
      </c>
      <c r="H5451" s="19">
        <v>5</v>
      </c>
      <c r="I5451" s="17">
        <v>5</v>
      </c>
      <c r="J5451" t="s" s="11">
        <v>20</v>
      </c>
      <c r="K5451" s="15"/>
      <c r="L5451" t="s" s="16">
        <f>HYPERLINK("http://csr.bu.edu/ftp/asl/asllvd/demos/verify_start_end_handshape_annotations//test_auto_move//signs_mov_separ_signers/Brady_3675.mov","MOV")</f>
        <v>21</v>
      </c>
      <c r="M5451" t="s" s="10">
        <v>39</v>
      </c>
      <c r="N5451" s="17">
        <v>34</v>
      </c>
      <c r="O5451" s="18">
        <v>3758</v>
      </c>
      <c r="P5451" s="18">
        <v>3811</v>
      </c>
      <c r="Q5451" s="15"/>
      <c r="R5451" t="s" s="16">
        <f>HYPERLINK("http://secrets.rutgers.edu:8080/data/asl-ftp/asllvd/demos/verify_start_end_handshape_annotations//test_auto_move//signs_mov_separ_signers/Brady_3675.mov","MOV")</f>
        <v>21</v>
      </c>
    </row>
    <row r="5452" s="2" customFormat="1" ht="13.5" customHeight="1">
      <c r="B5452" t="s" s="8">
        <v>1860</v>
      </c>
      <c r="C5452" t="s" s="9">
        <v>14</v>
      </c>
      <c r="D5452" t="s" s="8">
        <v>14</v>
      </c>
      <c r="E5452" t="s" s="9">
        <v>14</v>
      </c>
      <c r="F5452" t="s" s="10">
        <v>14</v>
      </c>
      <c r="G5452" t="s" s="11">
        <v>14</v>
      </c>
      <c r="H5452" t="s" s="10">
        <v>14</v>
      </c>
      <c r="I5452" t="s" s="11">
        <v>14</v>
      </c>
      <c r="J5452" t="s" s="11">
        <v>14</v>
      </c>
      <c r="K5452" t="s" s="12">
        <v>14</v>
      </c>
      <c r="L5452" t="s" s="12">
        <v>14</v>
      </c>
      <c r="M5452" t="s" s="10">
        <v>14</v>
      </c>
      <c r="N5452" t="s" s="11">
        <v>14</v>
      </c>
      <c r="O5452" t="s" s="8">
        <v>14</v>
      </c>
      <c r="P5452" t="s" s="8">
        <v>14</v>
      </c>
      <c r="Q5452" t="s" s="12">
        <v>14</v>
      </c>
      <c r="R5452" t="s" s="12">
        <v>14</v>
      </c>
    </row>
    <row r="5453" s="2" customFormat="1" ht="13.5" customHeight="1">
      <c r="B5453" s="13"/>
      <c r="C5453" t="s" s="9">
        <v>16</v>
      </c>
      <c r="D5453" t="s" s="8">
        <v>1860</v>
      </c>
      <c r="E5453" t="s" s="9">
        <v>1861</v>
      </c>
      <c r="F5453" t="s" s="10">
        <v>240</v>
      </c>
      <c r="G5453" s="14"/>
      <c r="H5453" t="s" s="10">
        <v>240</v>
      </c>
      <c r="I5453" s="14"/>
      <c r="J5453" t="s" s="11">
        <v>20</v>
      </c>
      <c r="K5453" s="15"/>
      <c r="L5453" t="s" s="16">
        <f>HYPERLINK("http://csr.bu.edu/ftp/asl/asllvd/demos/verify_start_end_handshape_annotations//test_auto_move//signs_mov_separ_signers/Liz_1180.mov","MOV")</f>
        <v>21</v>
      </c>
      <c r="M5453" t="s" s="10">
        <v>34</v>
      </c>
      <c r="N5453" s="17">
        <v>23</v>
      </c>
      <c r="O5453" s="18">
        <v>246</v>
      </c>
      <c r="P5453" s="18">
        <v>300</v>
      </c>
      <c r="Q5453" s="15"/>
      <c r="R5453" t="s" s="16">
        <f>HYPERLINK("http://secrets.rutgers.edu:8080/data/asl-ftp/asllvd/demos/verify_start_end_handshape_annotations//test_auto_move//signs_mov_separ_signers/Liz_1180.mov","MOV")</f>
        <v>21</v>
      </c>
    </row>
    <row r="5454" s="2" customFormat="1" ht="13.5" customHeight="1">
      <c r="B5454" s="13"/>
      <c r="C5454" t="s" s="9">
        <v>23</v>
      </c>
      <c r="D5454" t="s" s="8">
        <v>1860</v>
      </c>
      <c r="E5454" t="s" s="9">
        <v>1861</v>
      </c>
      <c r="F5454" t="s" s="10">
        <v>240</v>
      </c>
      <c r="G5454" s="14"/>
      <c r="H5454" t="s" s="10">
        <v>240</v>
      </c>
      <c r="I5454" s="14"/>
      <c r="J5454" t="s" s="11">
        <v>20</v>
      </c>
      <c r="K5454" s="15"/>
      <c r="L5454" t="s" s="16">
        <f>HYPERLINK("http://csr.bu.edu/ftp/asl/asllvd/demos/verify_start_end_handshape_annotations//test_auto_move//signs_mov_separ_signers/Tyler_1180.mov","MOV")</f>
        <v>21</v>
      </c>
      <c r="M5454" t="s" s="10">
        <v>92</v>
      </c>
      <c r="N5454" s="17">
        <v>50</v>
      </c>
      <c r="O5454" s="18">
        <v>2717</v>
      </c>
      <c r="P5454" s="18">
        <v>2760</v>
      </c>
      <c r="Q5454" s="15"/>
      <c r="R5454" t="s" s="16">
        <f>HYPERLINK("http://secrets.rutgers.edu:8080/data/asl-ftp/asllvd/demos/verify_start_end_handshape_annotations//test_auto_move//signs_mov_separ_signers/Tyler_1180.mov","MOV")</f>
        <v>21</v>
      </c>
    </row>
    <row r="5455" s="2" customFormat="1" ht="13.5" customHeight="1">
      <c r="B5455" s="13"/>
      <c r="C5455" t="s" s="9">
        <v>27</v>
      </c>
      <c r="D5455" t="s" s="8">
        <v>1860</v>
      </c>
      <c r="E5455" t="s" s="9">
        <v>1861</v>
      </c>
      <c r="F5455" t="s" s="10">
        <v>240</v>
      </c>
      <c r="G5455" s="14"/>
      <c r="H5455" t="s" s="10">
        <v>240</v>
      </c>
      <c r="I5455" s="14"/>
      <c r="J5455" t="s" s="11">
        <v>20</v>
      </c>
      <c r="K5455" t="s" s="16">
        <f>HYPERLINK("http://csr.bu.edu/ftp/asl/asllvd/demos/verify_start_end_handshape_annotations//test_auto_move//signs_mov/1180.mov","MOV")</f>
        <v>21</v>
      </c>
      <c r="L5455" t="s" s="16">
        <f>HYPERLINK("http://csr.bu.edu/ftp/asl/asllvd/demos/verify_start_end_handshape_annotations//test_auto_move//signs_mov_separ_signers/Naomi_1180.mov","MOV")</f>
        <v>21</v>
      </c>
      <c r="M5455" t="s" s="10">
        <v>38</v>
      </c>
      <c r="N5455" s="17">
        <v>18</v>
      </c>
      <c r="O5455" s="18">
        <v>4950</v>
      </c>
      <c r="P5455" s="18">
        <v>4995</v>
      </c>
      <c r="Q5455" t="s" s="16">
        <f>HYPERLINK("http://secrets.rutgers.edu:8080/data/asl-ftp/asllvd/demos/verify_start_end_handshape_annotations//test_auto_move//signs_mov/1180.mov","MOV")</f>
        <v>21</v>
      </c>
      <c r="R5455" t="s" s="16">
        <f>HYPERLINK("http://secrets.rutgers.edu:8080/data/asl-ftp/asllvd/demos/verify_start_end_handshape_annotations//test_auto_move//signs_mov_separ_signers/Naomi_1180.mov","MOV")</f>
        <v>21</v>
      </c>
    </row>
    <row r="5456" s="2" customFormat="1" ht="13.5" customHeight="1">
      <c r="B5456" s="13"/>
      <c r="C5456" t="s" s="9">
        <v>30</v>
      </c>
      <c r="D5456" t="s" s="8">
        <v>1860</v>
      </c>
      <c r="E5456" t="s" s="9">
        <v>1862</v>
      </c>
      <c r="F5456" t="s" s="10">
        <v>240</v>
      </c>
      <c r="G5456" s="14"/>
      <c r="H5456" t="s" s="10">
        <v>240</v>
      </c>
      <c r="I5456" s="14"/>
      <c r="J5456" t="s" s="11">
        <v>20</v>
      </c>
      <c r="K5456" s="15"/>
      <c r="L5456" t="s" s="16">
        <f>HYPERLINK("http://csr.bu.edu/ftp/asl/asllvd/demos/verify_start_end_handshape_annotations//test_auto_move//signs_mov_separ_signers/Brady_1180.mov","MOV")</f>
        <v>21</v>
      </c>
      <c r="M5456" t="s" s="10">
        <v>39</v>
      </c>
      <c r="N5456" s="17">
        <v>34</v>
      </c>
      <c r="O5456" s="18">
        <v>3991</v>
      </c>
      <c r="P5456" s="18">
        <v>4020</v>
      </c>
      <c r="Q5456" s="15"/>
      <c r="R5456" t="s" s="16">
        <f>HYPERLINK("http://secrets.rutgers.edu:8080/data/asl-ftp/asllvd/demos/verify_start_end_handshape_annotations//test_auto_move//signs_mov_separ_signers/Brady_1180.mov","MOV")</f>
        <v>21</v>
      </c>
    </row>
    <row r="5457" s="2" customFormat="1" ht="13.5" customHeight="1">
      <c r="B5457" s="13"/>
      <c r="C5457" t="s" s="9">
        <v>41</v>
      </c>
      <c r="D5457" t="s" s="8">
        <v>1860</v>
      </c>
      <c r="E5457" t="s" s="9">
        <v>1862</v>
      </c>
      <c r="F5457" t="s" s="10">
        <v>240</v>
      </c>
      <c r="G5457" s="14"/>
      <c r="H5457" t="s" s="10">
        <v>240</v>
      </c>
      <c r="I5457" s="14"/>
      <c r="J5457" t="s" s="11">
        <v>20</v>
      </c>
      <c r="K5457" s="15"/>
      <c r="L5457" t="s" s="16">
        <f>HYPERLINK("http://csr.bu.edu/ftp/asl/asllvd/demos/verify_start_end_handshape_annotations//test_auto_move//signs_mov_separ_signers/Lana_1180.mov","MOV")</f>
        <v>21</v>
      </c>
      <c r="M5457" t="s" s="10">
        <v>42</v>
      </c>
      <c r="N5457" s="17">
        <v>14</v>
      </c>
      <c r="O5457" s="18">
        <v>2724</v>
      </c>
      <c r="P5457" s="18">
        <v>2754</v>
      </c>
      <c r="Q5457" s="15"/>
      <c r="R5457" t="s" s="16">
        <f>HYPERLINK("http://secrets.rutgers.edu:8080/data/asl-ftp/asllvd/demos/verify_start_end_handshape_annotations//test_auto_move//signs_mov_separ_signers/Lana_1180.mov","MOV")</f>
        <v>21</v>
      </c>
    </row>
    <row r="5458" s="2" customFormat="1" ht="13.5" customHeight="1">
      <c r="B5458" s="13"/>
      <c r="C5458" t="s" s="9">
        <v>43</v>
      </c>
      <c r="D5458" t="s" s="8">
        <v>1860</v>
      </c>
      <c r="E5458" t="s" s="9">
        <v>1861</v>
      </c>
      <c r="F5458" t="s" s="10">
        <v>240</v>
      </c>
      <c r="G5458" s="14"/>
      <c r="H5458" t="s" s="10">
        <v>240</v>
      </c>
      <c r="I5458" s="14"/>
      <c r="J5458" t="s" s="11">
        <v>20</v>
      </c>
      <c r="K5458" s="15"/>
      <c r="L5458" t="s" s="16">
        <f>HYPERLINK("http://csr.bu.edu/ftp/asl/asllvd/demos/verify_start_end_handshape_annotations//test_auto_move//signs_mov_separ_signers/Dana_1180.mov","MOV")</f>
        <v>21</v>
      </c>
      <c r="M5458" t="s" s="10">
        <v>44</v>
      </c>
      <c r="N5458" s="17">
        <v>17</v>
      </c>
      <c r="O5458" s="18">
        <v>3004</v>
      </c>
      <c r="P5458" s="18">
        <v>3056</v>
      </c>
      <c r="Q5458" s="15"/>
      <c r="R5458" t="s" s="16">
        <f>HYPERLINK("http://secrets.rutgers.edu:8080/data/asl-ftp/asllvd/demos/verify_start_end_handshape_annotations//test_auto_move//signs_mov_separ_signers/Dana_1180.mov","MOV")</f>
        <v>21</v>
      </c>
    </row>
    <row r="5459" s="2" customFormat="1" ht="13.5" customHeight="1">
      <c r="B5459" t="s" s="8">
        <v>1863</v>
      </c>
      <c r="C5459" t="s" s="9">
        <v>14</v>
      </c>
      <c r="D5459" t="s" s="8">
        <v>14</v>
      </c>
      <c r="E5459" t="s" s="9">
        <v>14</v>
      </c>
      <c r="F5459" t="s" s="10">
        <v>14</v>
      </c>
      <c r="G5459" t="s" s="11">
        <v>14</v>
      </c>
      <c r="H5459" t="s" s="10">
        <v>14</v>
      </c>
      <c r="I5459" t="s" s="11">
        <v>14</v>
      </c>
      <c r="J5459" t="s" s="11">
        <v>14</v>
      </c>
      <c r="K5459" t="s" s="12">
        <v>14</v>
      </c>
      <c r="L5459" t="s" s="12">
        <v>14</v>
      </c>
      <c r="M5459" t="s" s="10">
        <v>14</v>
      </c>
      <c r="N5459" t="s" s="11">
        <v>14</v>
      </c>
      <c r="O5459" t="s" s="8">
        <v>14</v>
      </c>
      <c r="P5459" t="s" s="8">
        <v>14</v>
      </c>
      <c r="Q5459" t="s" s="12">
        <v>14</v>
      </c>
      <c r="R5459" t="s" s="12">
        <v>14</v>
      </c>
    </row>
    <row r="5460" s="2" customFormat="1" ht="13.5" customHeight="1">
      <c r="B5460" s="13"/>
      <c r="C5460" t="s" s="9">
        <v>16</v>
      </c>
      <c r="D5460" t="s" s="8">
        <v>1863</v>
      </c>
      <c r="E5460" t="s" s="9">
        <v>1863</v>
      </c>
      <c r="F5460" s="19">
        <v>1</v>
      </c>
      <c r="G5460" s="17">
        <v>1</v>
      </c>
      <c r="H5460" t="s" s="10">
        <v>255</v>
      </c>
      <c r="I5460" t="s" s="11">
        <v>255</v>
      </c>
      <c r="J5460" t="s" s="11">
        <v>20</v>
      </c>
      <c r="K5460" s="15"/>
      <c r="L5460" t="s" s="16">
        <f>HYPERLINK("http://csr.bu.edu/ftp/asl/asllvd/demos/verify_start_end_handshape_annotations//test_auto_move//signs_mov_separ_signers/Liz_1183.mov","MOV")</f>
        <v>21</v>
      </c>
      <c r="M5460" t="s" s="10">
        <v>34</v>
      </c>
      <c r="N5460" s="17">
        <v>23</v>
      </c>
      <c r="O5460" s="18">
        <v>820</v>
      </c>
      <c r="P5460" s="18">
        <v>877</v>
      </c>
      <c r="Q5460" s="15"/>
      <c r="R5460" t="s" s="16">
        <f>HYPERLINK("http://secrets.rutgers.edu:8080/data/asl-ftp/asllvd/demos/verify_start_end_handshape_annotations//test_auto_move//signs_mov_separ_signers/Liz_1183.mov","MOV")</f>
        <v>21</v>
      </c>
    </row>
    <row r="5461" s="2" customFormat="1" ht="13.5" customHeight="1">
      <c r="B5461" s="13"/>
      <c r="C5461" t="s" s="9">
        <v>23</v>
      </c>
      <c r="D5461" t="s" s="8">
        <v>1863</v>
      </c>
      <c r="E5461" t="s" s="9">
        <v>1863</v>
      </c>
      <c r="F5461" s="19">
        <v>1</v>
      </c>
      <c r="G5461" s="17">
        <v>1</v>
      </c>
      <c r="H5461" t="s" s="10">
        <v>255</v>
      </c>
      <c r="I5461" t="s" s="11">
        <v>255</v>
      </c>
      <c r="J5461" t="s" s="11">
        <v>20</v>
      </c>
      <c r="K5461" t="s" s="16">
        <f>HYPERLINK("http://csr.bu.edu/ftp/asl/asllvd/demos/verify_start_end_handshape_annotations//test_auto_move//signs_mov/1183.mov","MOV")</f>
        <v>21</v>
      </c>
      <c r="L5461" t="s" s="16">
        <f>HYPERLINK("http://csr.bu.edu/ftp/asl/asllvd/demos/verify_start_end_handshape_annotations//test_auto_move//signs_mov_separ_signers/Tyler_1183.mov","MOV")</f>
        <v>21</v>
      </c>
      <c r="M5461" t="s" s="10">
        <v>92</v>
      </c>
      <c r="N5461" s="17">
        <v>51</v>
      </c>
      <c r="O5461" s="18">
        <v>945</v>
      </c>
      <c r="P5461" s="18">
        <v>977</v>
      </c>
      <c r="Q5461" t="s" s="16">
        <f>HYPERLINK("http://secrets.rutgers.edu:8080/data/asl-ftp/asllvd/demos/verify_start_end_handshape_annotations//test_auto_move//signs_mov/1183.mov","MOV")</f>
        <v>21</v>
      </c>
      <c r="R5461" t="s" s="16">
        <f>HYPERLINK("http://secrets.rutgers.edu:8080/data/asl-ftp/asllvd/demos/verify_start_end_handshape_annotations//test_auto_move//signs_mov_separ_signers/Tyler_1183.mov","MOV")</f>
        <v>21</v>
      </c>
    </row>
    <row r="5462" s="2" customFormat="1" ht="13.5" customHeight="1">
      <c r="B5462" s="13"/>
      <c r="C5462" t="s" s="9">
        <v>27</v>
      </c>
      <c r="D5462" t="s" s="8">
        <v>1863</v>
      </c>
      <c r="E5462" t="s" s="9">
        <v>1863</v>
      </c>
      <c r="F5462" t="s" s="10">
        <v>25</v>
      </c>
      <c r="G5462" t="s" s="11">
        <v>25</v>
      </c>
      <c r="H5462" t="s" s="10">
        <v>292</v>
      </c>
      <c r="I5462" t="s" s="11">
        <v>292</v>
      </c>
      <c r="J5462" t="s" s="11">
        <v>20</v>
      </c>
      <c r="K5462" s="15"/>
      <c r="L5462" t="s" s="16">
        <f>HYPERLINK("http://csr.bu.edu/ftp/asl/asllvd/demos/verify_start_end_handshape_annotations//test_auto_move//signs_mov_separ_signers/Naomi_1183.mov","MOV")</f>
        <v>21</v>
      </c>
      <c r="M5462" t="s" s="10">
        <v>38</v>
      </c>
      <c r="N5462" s="17">
        <v>19</v>
      </c>
      <c r="O5462" s="18">
        <v>1118</v>
      </c>
      <c r="P5462" s="18">
        <v>1163</v>
      </c>
      <c r="Q5462" s="15"/>
      <c r="R5462" t="s" s="16">
        <f>HYPERLINK("http://secrets.rutgers.edu:8080/data/asl-ftp/asllvd/demos/verify_start_end_handshape_annotations//test_auto_move//signs_mov_separ_signers/Naomi_1183.mov","MOV")</f>
        <v>21</v>
      </c>
    </row>
    <row r="5463" s="2" customFormat="1" ht="13.5" customHeight="1">
      <c r="B5463" s="13"/>
      <c r="C5463" t="s" s="9">
        <v>30</v>
      </c>
      <c r="D5463" t="s" s="8">
        <v>1863</v>
      </c>
      <c r="E5463" t="s" s="9">
        <v>1863</v>
      </c>
      <c r="F5463" s="19">
        <v>1</v>
      </c>
      <c r="G5463" s="17">
        <v>1</v>
      </c>
      <c r="H5463" t="s" s="10">
        <v>255</v>
      </c>
      <c r="I5463" t="s" s="11">
        <v>255</v>
      </c>
      <c r="J5463" t="s" s="11">
        <v>20</v>
      </c>
      <c r="K5463" s="15"/>
      <c r="L5463" t="s" s="16">
        <f>HYPERLINK("http://csr.bu.edu/ftp/asl/asllvd/demos/verify_start_end_handshape_annotations//test_auto_move//signs_mov_separ_signers/Brady_1183.mov","MOV")</f>
        <v>21</v>
      </c>
      <c r="M5463" t="s" s="10">
        <v>39</v>
      </c>
      <c r="N5463" s="17">
        <v>34</v>
      </c>
      <c r="O5463" s="18">
        <v>4964</v>
      </c>
      <c r="P5463" s="18">
        <v>4998</v>
      </c>
      <c r="Q5463" s="15"/>
      <c r="R5463" t="s" s="16">
        <f>HYPERLINK("http://secrets.rutgers.edu:8080/data/asl-ftp/asllvd/demos/verify_start_end_handshape_annotations//test_auto_move//signs_mov_separ_signers/Brady_1183.mov","MOV")</f>
        <v>21</v>
      </c>
    </row>
    <row r="5464" s="2" customFormat="1" ht="13.5" customHeight="1">
      <c r="B5464" t="s" s="8">
        <v>1864</v>
      </c>
      <c r="C5464" t="s" s="9">
        <v>14</v>
      </c>
      <c r="D5464" t="s" s="8">
        <v>14</v>
      </c>
      <c r="E5464" t="s" s="9">
        <v>14</v>
      </c>
      <c r="F5464" t="s" s="10">
        <v>14</v>
      </c>
      <c r="G5464" t="s" s="11">
        <v>14</v>
      </c>
      <c r="H5464" t="s" s="10">
        <v>14</v>
      </c>
      <c r="I5464" t="s" s="11">
        <v>14</v>
      </c>
      <c r="J5464" t="s" s="11">
        <v>14</v>
      </c>
      <c r="K5464" t="s" s="12">
        <v>14</v>
      </c>
      <c r="L5464" t="s" s="12">
        <v>14</v>
      </c>
      <c r="M5464" t="s" s="10">
        <v>14</v>
      </c>
      <c r="N5464" t="s" s="11">
        <v>14</v>
      </c>
      <c r="O5464" t="s" s="8">
        <v>14</v>
      </c>
      <c r="P5464" t="s" s="8">
        <v>14</v>
      </c>
      <c r="Q5464" t="s" s="12">
        <v>14</v>
      </c>
      <c r="R5464" t="s" s="12">
        <v>14</v>
      </c>
    </row>
    <row r="5465" s="2" customFormat="1" ht="13.5" customHeight="1">
      <c r="B5465" s="13"/>
      <c r="C5465" t="s" s="9">
        <v>16</v>
      </c>
      <c r="D5465" t="s" s="8">
        <v>1864</v>
      </c>
      <c r="E5465" t="s" s="9">
        <v>1864</v>
      </c>
      <c r="F5465" t="s" s="10">
        <v>240</v>
      </c>
      <c r="G5465" t="s" s="11">
        <v>73</v>
      </c>
      <c r="H5465" t="s" s="10">
        <v>240</v>
      </c>
      <c r="I5465" t="s" s="11">
        <v>73</v>
      </c>
      <c r="J5465" t="s" s="11">
        <v>20</v>
      </c>
      <c r="K5465" t="s" s="16">
        <f>HYPERLINK("http://csr.bu.edu/ftp/asl/asllvd/demos/verify_start_end_handshape_annotations//test_auto_move//signs_mov/1187.mov","MOV")</f>
        <v>21</v>
      </c>
      <c r="L5465" t="s" s="16">
        <f>HYPERLINK("http://csr.bu.edu/ftp/asl/asllvd/demos/verify_start_end_handshape_annotations//test_auto_move//signs_mov_separ_signers/Liz_1187.mov","MOV")</f>
        <v>21</v>
      </c>
      <c r="M5465" t="s" s="10">
        <v>34</v>
      </c>
      <c r="N5465" s="17">
        <v>23</v>
      </c>
      <c r="O5465" s="18">
        <v>2027</v>
      </c>
      <c r="P5465" s="18">
        <v>2085</v>
      </c>
      <c r="Q5465" t="s" s="16">
        <f>HYPERLINK("http://secrets.rutgers.edu:8080/data/asl-ftp/asllvd/demos/verify_start_end_handshape_annotations//test_auto_move//signs_mov/1187.mov","MOV")</f>
        <v>21</v>
      </c>
      <c r="R5465" t="s" s="16">
        <f>HYPERLINK("http://secrets.rutgers.edu:8080/data/asl-ftp/asllvd/demos/verify_start_end_handshape_annotations//test_auto_move//signs_mov_separ_signers/Liz_1187.mov","MOV")</f>
        <v>21</v>
      </c>
    </row>
    <row r="5466" s="2" customFormat="1" ht="13.5" customHeight="1">
      <c r="B5466" s="13"/>
      <c r="C5466" t="s" s="9">
        <v>23</v>
      </c>
      <c r="D5466" t="s" s="8">
        <v>1864</v>
      </c>
      <c r="E5466" t="s" s="9">
        <v>1864</v>
      </c>
      <c r="F5466" t="s" s="10">
        <v>240</v>
      </c>
      <c r="G5466" t="s" s="11">
        <v>73</v>
      </c>
      <c r="H5466" t="s" s="10">
        <v>240</v>
      </c>
      <c r="I5466" t="s" s="11">
        <v>73</v>
      </c>
      <c r="J5466" t="s" s="11">
        <v>20</v>
      </c>
      <c r="K5466" s="15"/>
      <c r="L5466" t="s" s="16">
        <f>HYPERLINK("http://csr.bu.edu/ftp/asl/asllvd/demos/verify_start_end_handshape_annotations//test_auto_move//signs_mov_separ_signers/Tyler_1187.mov","MOV")</f>
        <v>21</v>
      </c>
      <c r="M5466" t="s" s="10">
        <v>92</v>
      </c>
      <c r="N5466" s="17">
        <v>51</v>
      </c>
      <c r="O5466" s="18">
        <v>2335</v>
      </c>
      <c r="P5466" s="18">
        <v>2370</v>
      </c>
      <c r="Q5466" s="15"/>
      <c r="R5466" t="s" s="16">
        <f>HYPERLINK("http://secrets.rutgers.edu:8080/data/asl-ftp/asllvd/demos/verify_start_end_handshape_annotations//test_auto_move//signs_mov_separ_signers/Tyler_1187.mov","MOV")</f>
        <v>21</v>
      </c>
    </row>
    <row r="5467" s="2" customFormat="1" ht="13.5" customHeight="1">
      <c r="B5467" t="s" s="8">
        <v>1865</v>
      </c>
      <c r="C5467" t="s" s="9">
        <v>14</v>
      </c>
      <c r="D5467" t="s" s="8">
        <v>14</v>
      </c>
      <c r="E5467" t="s" s="9">
        <v>14</v>
      </c>
      <c r="F5467" t="s" s="10">
        <v>14</v>
      </c>
      <c r="G5467" t="s" s="11">
        <v>14</v>
      </c>
      <c r="H5467" t="s" s="10">
        <v>14</v>
      </c>
      <c r="I5467" t="s" s="11">
        <v>14</v>
      </c>
      <c r="J5467" t="s" s="11">
        <v>14</v>
      </c>
      <c r="K5467" t="s" s="12">
        <v>14</v>
      </c>
      <c r="L5467" t="s" s="12">
        <v>14</v>
      </c>
      <c r="M5467" t="s" s="10">
        <v>14</v>
      </c>
      <c r="N5467" t="s" s="11">
        <v>14</v>
      </c>
      <c r="O5467" t="s" s="8">
        <v>14</v>
      </c>
      <c r="P5467" t="s" s="8">
        <v>14</v>
      </c>
      <c r="Q5467" t="s" s="12">
        <v>14</v>
      </c>
      <c r="R5467" t="s" s="12">
        <v>14</v>
      </c>
    </row>
    <row r="5468" s="2" customFormat="1" ht="13.5" customHeight="1">
      <c r="B5468" s="13"/>
      <c r="C5468" t="s" s="9">
        <v>30</v>
      </c>
      <c r="D5468" t="s" s="8">
        <v>1865</v>
      </c>
      <c r="E5468" t="s" s="9">
        <v>1865</v>
      </c>
      <c r="F5468" t="s" s="10">
        <v>240</v>
      </c>
      <c r="G5468" s="14"/>
      <c r="H5468" t="s" s="10">
        <v>136</v>
      </c>
      <c r="I5468" s="14"/>
      <c r="J5468" t="s" s="11">
        <v>20</v>
      </c>
      <c r="K5468" t="s" s="16">
        <f>HYPERLINK("http://csr.bu.edu/ftp/asl/asllvd/demos/verify_start_end_handshape_annotations//test_auto_move//signs_mov/15057.mov","MOV")</f>
        <v>21</v>
      </c>
      <c r="L5468" t="s" s="16">
        <f>HYPERLINK("http://csr.bu.edu/ftp/asl/asllvd/demos/verify_start_end_handshape_annotations//test_auto_move//signs_mov_separ_signers/Brady_15057.mov","MOV")</f>
        <v>21</v>
      </c>
      <c r="M5468" t="s" s="10">
        <v>39</v>
      </c>
      <c r="N5468" s="17">
        <v>35</v>
      </c>
      <c r="O5468" s="18">
        <v>2102</v>
      </c>
      <c r="P5468" s="18">
        <v>2125</v>
      </c>
      <c r="Q5468" t="s" s="16">
        <f>HYPERLINK("http://secrets.rutgers.edu:8080/data/asl-ftp/asllvd/demos/verify_start_end_handshape_annotations//test_auto_move//signs_mov/15057.mov","MOV")</f>
        <v>21</v>
      </c>
      <c r="R5468" t="s" s="16">
        <f>HYPERLINK("http://secrets.rutgers.edu:8080/data/asl-ftp/asllvd/demos/verify_start_end_handshape_annotations//test_auto_move//signs_mov_separ_signers/Brady_15057.mov","MOV")</f>
        <v>21</v>
      </c>
    </row>
    <row r="5469" s="2" customFormat="1" ht="13.5" customHeight="1">
      <c r="B5469" t="s" s="8">
        <v>1866</v>
      </c>
      <c r="C5469" t="s" s="9">
        <v>14</v>
      </c>
      <c r="D5469" t="s" s="8">
        <v>14</v>
      </c>
      <c r="E5469" t="s" s="9">
        <v>14</v>
      </c>
      <c r="F5469" t="s" s="10">
        <v>14</v>
      </c>
      <c r="G5469" t="s" s="11">
        <v>14</v>
      </c>
      <c r="H5469" t="s" s="10">
        <v>14</v>
      </c>
      <c r="I5469" t="s" s="11">
        <v>14</v>
      </c>
      <c r="J5469" t="s" s="11">
        <v>14</v>
      </c>
      <c r="K5469" t="s" s="12">
        <v>14</v>
      </c>
      <c r="L5469" t="s" s="12">
        <v>14</v>
      </c>
      <c r="M5469" t="s" s="10">
        <v>14</v>
      </c>
      <c r="N5469" t="s" s="11">
        <v>14</v>
      </c>
      <c r="O5469" t="s" s="8">
        <v>14</v>
      </c>
      <c r="P5469" t="s" s="8">
        <v>14</v>
      </c>
      <c r="Q5469" t="s" s="12">
        <v>14</v>
      </c>
      <c r="R5469" t="s" s="12">
        <v>14</v>
      </c>
    </row>
    <row r="5470" s="2" customFormat="1" ht="13.5" customHeight="1">
      <c r="B5470" s="13"/>
      <c r="C5470" t="s" s="9">
        <v>16</v>
      </c>
      <c r="D5470" t="s" s="8">
        <v>1866</v>
      </c>
      <c r="E5470" t="s" s="9">
        <v>1866</v>
      </c>
      <c r="F5470" t="s" s="10">
        <v>119</v>
      </c>
      <c r="G5470" s="14"/>
      <c r="H5470" t="s" s="10">
        <v>119</v>
      </c>
      <c r="I5470" s="14"/>
      <c r="J5470" t="s" s="11">
        <v>20</v>
      </c>
      <c r="K5470" s="15"/>
      <c r="L5470" t="s" s="16">
        <f>HYPERLINK("http://csr.bu.edu/ftp/asl/asllvd/demos/verify_start_end_handshape_annotations//test_auto_move//signs_mov_separ_signers/Liz_1188.mov","MOV")</f>
        <v>21</v>
      </c>
      <c r="M5470" t="s" s="10">
        <v>34</v>
      </c>
      <c r="N5470" s="17">
        <v>23</v>
      </c>
      <c r="O5470" s="18">
        <v>2780</v>
      </c>
      <c r="P5470" s="18">
        <v>2820</v>
      </c>
      <c r="Q5470" s="15"/>
      <c r="R5470" t="s" s="16">
        <f>HYPERLINK("http://secrets.rutgers.edu:8080/data/asl-ftp/asllvd/demos/verify_start_end_handshape_annotations//test_auto_move//signs_mov_separ_signers/Liz_1188.mov","MOV")</f>
        <v>21</v>
      </c>
    </row>
    <row r="5471" s="2" customFormat="1" ht="13.5" customHeight="1">
      <c r="B5471" s="13"/>
      <c r="C5471" t="s" s="9">
        <v>16</v>
      </c>
      <c r="D5471" t="s" s="8">
        <v>1866</v>
      </c>
      <c r="E5471" t="s" s="9">
        <v>1866</v>
      </c>
      <c r="F5471" t="s" s="10">
        <v>119</v>
      </c>
      <c r="G5471" s="14"/>
      <c r="H5471" t="s" s="10">
        <v>119</v>
      </c>
      <c r="I5471" s="14"/>
      <c r="J5471" t="s" s="11">
        <v>20</v>
      </c>
      <c r="K5471" s="15"/>
      <c r="L5471" t="s" s="16">
        <f>HYPERLINK("http://csr.bu.edu/ftp/asl/asllvd/demos/verify_start_end_handshape_annotations//test_auto_move//signs_mov_separ_signers/Liz_15271.mov","MOV")</f>
        <v>21</v>
      </c>
      <c r="M5471" t="s" s="10">
        <v>77</v>
      </c>
      <c r="N5471" s="17">
        <v>8</v>
      </c>
      <c r="O5471" s="18">
        <v>2130</v>
      </c>
      <c r="P5471" s="18">
        <v>2176</v>
      </c>
      <c r="Q5471" s="15"/>
      <c r="R5471" t="s" s="16">
        <f>HYPERLINK("http://secrets.rutgers.edu:8080/data/asl-ftp/asllvd/demos/verify_start_end_handshape_annotations//test_auto_move//signs_mov_separ_signers/Liz_15271.mov","MOV")</f>
        <v>21</v>
      </c>
    </row>
    <row r="5472" s="2" customFormat="1" ht="13.5" customHeight="1">
      <c r="B5472" s="13"/>
      <c r="C5472" t="s" s="9">
        <v>23</v>
      </c>
      <c r="D5472" t="s" s="8">
        <v>1866</v>
      </c>
      <c r="E5472" t="s" s="9">
        <v>1866</v>
      </c>
      <c r="F5472" t="s" s="10">
        <v>119</v>
      </c>
      <c r="G5472" s="14"/>
      <c r="H5472" t="s" s="10">
        <v>119</v>
      </c>
      <c r="I5472" s="14"/>
      <c r="J5472" t="s" s="11">
        <v>20</v>
      </c>
      <c r="K5472" s="15"/>
      <c r="L5472" t="s" s="16">
        <f>HYPERLINK("http://csr.bu.edu/ftp/asl/asllvd/demos/verify_start_end_handshape_annotations//test_auto_move//signs_mov_separ_signers/Tyler_1188.mov","MOV")</f>
        <v>21</v>
      </c>
      <c r="M5472" t="s" s="10">
        <v>92</v>
      </c>
      <c r="N5472" s="17">
        <v>51</v>
      </c>
      <c r="O5472" s="18">
        <v>2562</v>
      </c>
      <c r="P5472" s="18">
        <v>2585</v>
      </c>
      <c r="Q5472" s="15"/>
      <c r="R5472" t="s" s="16">
        <f>HYPERLINK("http://secrets.rutgers.edu:8080/data/asl-ftp/asllvd/demos/verify_start_end_handshape_annotations//test_auto_move//signs_mov_separ_signers/Tyler_1188.mov","MOV")</f>
        <v>21</v>
      </c>
    </row>
    <row r="5473" s="2" customFormat="1" ht="13.5" customHeight="1">
      <c r="B5473" s="13"/>
      <c r="C5473" t="s" s="9">
        <v>27</v>
      </c>
      <c r="D5473" t="s" s="8">
        <v>1866</v>
      </c>
      <c r="E5473" t="s" s="9">
        <v>1866</v>
      </c>
      <c r="F5473" t="s" s="10">
        <v>119</v>
      </c>
      <c r="G5473" s="14"/>
      <c r="H5473" t="s" s="10">
        <v>119</v>
      </c>
      <c r="I5473" s="14"/>
      <c r="J5473" t="s" s="11">
        <v>20</v>
      </c>
      <c r="K5473" t="s" s="16">
        <f>HYPERLINK("http://csr.bu.edu/ftp/asl/asllvd/demos/verify_start_end_handshape_annotations//test_auto_move//signs_mov/1188_15271_merged.mov","MOV")</f>
        <v>21</v>
      </c>
      <c r="L5473" t="s" s="16">
        <f>HYPERLINK("http://csr.bu.edu/ftp/asl/asllvd/demos/verify_start_end_handshape_annotations//test_auto_move//signs_mov_separ_signers/Naomi_1188.mov","MOV")</f>
        <v>21</v>
      </c>
      <c r="M5473" t="s" s="10">
        <v>38</v>
      </c>
      <c r="N5473" s="17">
        <v>19</v>
      </c>
      <c r="O5473" s="18">
        <v>4800</v>
      </c>
      <c r="P5473" s="18">
        <v>4822</v>
      </c>
      <c r="Q5473" t="s" s="16">
        <f>HYPERLINK("http://secrets.rutgers.edu:8080/data/asl-ftp/asllvd/demos/verify_start_end_handshape_annotations//test_auto_move//signs_mov/1188_15271_merged.mov","MOV")</f>
        <v>21</v>
      </c>
      <c r="R5473" t="s" s="16">
        <f>HYPERLINK("http://secrets.rutgers.edu:8080/data/asl-ftp/asllvd/demos/verify_start_end_handshape_annotations//test_auto_move//signs_mov_separ_signers/Naomi_1188.mov","MOV")</f>
        <v>21</v>
      </c>
    </row>
    <row r="5474" s="2" customFormat="1" ht="13.5" customHeight="1">
      <c r="B5474" s="13"/>
      <c r="C5474" t="s" s="9">
        <v>30</v>
      </c>
      <c r="D5474" t="s" s="8">
        <v>1866</v>
      </c>
      <c r="E5474" t="s" s="9">
        <v>1866</v>
      </c>
      <c r="F5474" t="s" s="10">
        <v>119</v>
      </c>
      <c r="G5474" s="14"/>
      <c r="H5474" t="s" s="10">
        <v>119</v>
      </c>
      <c r="I5474" s="14"/>
      <c r="J5474" t="s" s="11">
        <v>20</v>
      </c>
      <c r="K5474" s="15"/>
      <c r="L5474" t="s" s="16">
        <f>HYPERLINK("http://csr.bu.edu/ftp/asl/asllvd/demos/verify_start_end_handshape_annotations//test_auto_move//signs_mov_separ_signers/Brady_1188.mov","MOV")</f>
        <v>21</v>
      </c>
      <c r="M5474" t="s" s="10">
        <v>39</v>
      </c>
      <c r="N5474" s="17">
        <v>35</v>
      </c>
      <c r="O5474" s="18">
        <v>2469</v>
      </c>
      <c r="P5474" s="18">
        <v>2489</v>
      </c>
      <c r="Q5474" s="15"/>
      <c r="R5474" t="s" s="16">
        <f>HYPERLINK("http://secrets.rutgers.edu:8080/data/asl-ftp/asllvd/demos/verify_start_end_handshape_annotations//test_auto_move//signs_mov_separ_signers/Brady_1188.mov","MOV")</f>
        <v>21</v>
      </c>
    </row>
    <row r="5475" s="2" customFormat="1" ht="13.5" customHeight="1">
      <c r="B5475" s="13"/>
      <c r="C5475" t="s" s="9">
        <v>30</v>
      </c>
      <c r="D5475" t="s" s="8">
        <v>1866</v>
      </c>
      <c r="E5475" t="s" s="9">
        <v>1866</v>
      </c>
      <c r="F5475" t="s" s="10">
        <v>119</v>
      </c>
      <c r="G5475" s="14"/>
      <c r="H5475" t="s" s="10">
        <v>119</v>
      </c>
      <c r="I5475" s="14"/>
      <c r="J5475" t="s" s="11">
        <v>20</v>
      </c>
      <c r="K5475" s="15"/>
      <c r="L5475" t="s" s="16">
        <f>HYPERLINK("http://csr.bu.edu/ftp/asl/asllvd/demos/verify_start_end_handshape_annotations//test_auto_move//signs_mov_separ_signers/Brady_15271.mov","MOV")</f>
        <v>21</v>
      </c>
      <c r="M5475" t="s" s="10">
        <v>40</v>
      </c>
      <c r="N5475" s="17">
        <v>23</v>
      </c>
      <c r="O5475" s="18">
        <v>237</v>
      </c>
      <c r="P5475" s="18">
        <v>263</v>
      </c>
      <c r="Q5475" s="15"/>
      <c r="R5475" t="s" s="16">
        <f>HYPERLINK("http://secrets.rutgers.edu:8080/data/asl-ftp/asllvd/demos/verify_start_end_handshape_annotations//test_auto_move//signs_mov_separ_signers/Brady_15271.mov","MOV")</f>
        <v>21</v>
      </c>
    </row>
    <row r="5476" s="2" customFormat="1" ht="13.5" customHeight="1">
      <c r="B5476" s="13"/>
      <c r="C5476" t="s" s="9">
        <v>41</v>
      </c>
      <c r="D5476" t="s" s="8">
        <v>1866</v>
      </c>
      <c r="E5476" t="s" s="9">
        <v>1866</v>
      </c>
      <c r="F5476" t="s" s="10">
        <v>119</v>
      </c>
      <c r="G5476" s="14"/>
      <c r="H5476" t="s" s="10">
        <v>119</v>
      </c>
      <c r="I5476" s="14"/>
      <c r="J5476" t="s" s="11">
        <v>20</v>
      </c>
      <c r="K5476" s="15"/>
      <c r="L5476" t="s" s="16">
        <f>HYPERLINK("http://csr.bu.edu/ftp/asl/asllvd/demos/verify_start_end_handshape_annotations//test_auto_move//signs_mov_separ_signers/Lana_1188.mov","MOV")</f>
        <v>21</v>
      </c>
      <c r="M5476" t="s" s="10">
        <v>42</v>
      </c>
      <c r="N5476" s="17">
        <v>15</v>
      </c>
      <c r="O5476" s="18">
        <v>348</v>
      </c>
      <c r="P5476" s="18">
        <v>378</v>
      </c>
      <c r="Q5476" s="15"/>
      <c r="R5476" t="s" s="16">
        <f>HYPERLINK("http://secrets.rutgers.edu:8080/data/asl-ftp/asllvd/demos/verify_start_end_handshape_annotations//test_auto_move//signs_mov_separ_signers/Lana_1188.mov","MOV")</f>
        <v>21</v>
      </c>
    </row>
    <row r="5477" s="2" customFormat="1" ht="13.5" customHeight="1">
      <c r="B5477" s="13"/>
      <c r="C5477" t="s" s="9">
        <v>43</v>
      </c>
      <c r="D5477" t="s" s="8">
        <v>1866</v>
      </c>
      <c r="E5477" t="s" s="9">
        <v>1866</v>
      </c>
      <c r="F5477" t="s" s="10">
        <v>119</v>
      </c>
      <c r="G5477" s="14"/>
      <c r="H5477" t="s" s="10">
        <v>119</v>
      </c>
      <c r="I5477" s="14"/>
      <c r="J5477" t="s" s="11">
        <v>20</v>
      </c>
      <c r="K5477" s="15"/>
      <c r="L5477" t="s" s="16">
        <f>HYPERLINK("http://csr.bu.edu/ftp/asl/asllvd/demos/verify_start_end_handshape_annotations//test_auto_move//signs_mov_separ_signers/Dana_1188.mov","MOV")</f>
        <v>21</v>
      </c>
      <c r="M5477" t="s" s="10">
        <v>44</v>
      </c>
      <c r="N5477" s="17">
        <v>18</v>
      </c>
      <c r="O5477" s="18">
        <v>303</v>
      </c>
      <c r="P5477" s="18">
        <v>342</v>
      </c>
      <c r="Q5477" s="15"/>
      <c r="R5477" t="s" s="16">
        <f>HYPERLINK("http://secrets.rutgers.edu:8080/data/asl-ftp/asllvd/demos/verify_start_end_handshape_annotations//test_auto_move//signs_mov_separ_signers/Dana_1188.mov","MOV")</f>
        <v>21</v>
      </c>
    </row>
    <row r="5478" s="2" customFormat="1" ht="13.5" customHeight="1">
      <c r="B5478" t="s" s="8">
        <v>1867</v>
      </c>
      <c r="C5478" t="s" s="9">
        <v>14</v>
      </c>
      <c r="D5478" t="s" s="8">
        <v>14</v>
      </c>
      <c r="E5478" t="s" s="9">
        <v>14</v>
      </c>
      <c r="F5478" t="s" s="10">
        <v>14</v>
      </c>
      <c r="G5478" t="s" s="11">
        <v>14</v>
      </c>
      <c r="H5478" t="s" s="10">
        <v>14</v>
      </c>
      <c r="I5478" t="s" s="11">
        <v>14</v>
      </c>
      <c r="J5478" t="s" s="11">
        <v>14</v>
      </c>
      <c r="K5478" t="s" s="12">
        <v>14</v>
      </c>
      <c r="L5478" t="s" s="12">
        <v>14</v>
      </c>
      <c r="M5478" t="s" s="10">
        <v>14</v>
      </c>
      <c r="N5478" t="s" s="11">
        <v>14</v>
      </c>
      <c r="O5478" t="s" s="8">
        <v>14</v>
      </c>
      <c r="P5478" t="s" s="8">
        <v>14</v>
      </c>
      <c r="Q5478" t="s" s="12">
        <v>14</v>
      </c>
      <c r="R5478" t="s" s="12">
        <v>14</v>
      </c>
    </row>
    <row r="5479" s="2" customFormat="1" ht="13.5" customHeight="1">
      <c r="B5479" s="13"/>
      <c r="C5479" t="s" s="9">
        <v>16</v>
      </c>
      <c r="D5479" t="s" s="8">
        <v>1867</v>
      </c>
      <c r="E5479" t="s" s="9">
        <v>1867</v>
      </c>
      <c r="F5479" t="s" s="10">
        <v>51</v>
      </c>
      <c r="G5479" s="14"/>
      <c r="H5479" t="s" s="10">
        <v>51</v>
      </c>
      <c r="I5479" s="14"/>
      <c r="J5479" t="s" s="11">
        <v>20</v>
      </c>
      <c r="K5479" s="15"/>
      <c r="L5479" t="s" s="16">
        <f>HYPERLINK("http://csr.bu.edu/ftp/asl/asllvd/demos/verify_start_end_handshape_annotations//test_auto_move//signs_mov_separ_signers/Liz_15532.mov","MOV")</f>
        <v>21</v>
      </c>
      <c r="M5479" t="s" s="10">
        <v>84</v>
      </c>
      <c r="N5479" s="17">
        <v>22</v>
      </c>
      <c r="O5479" s="18">
        <v>1895</v>
      </c>
      <c r="P5479" s="18">
        <v>1925</v>
      </c>
      <c r="Q5479" s="15"/>
      <c r="R5479" t="s" s="16">
        <f>HYPERLINK("http://secrets.rutgers.edu:8080/data/asl-ftp/asllvd/demos/verify_start_end_handshape_annotations//test_auto_move//signs_mov_separ_signers/Liz_15532.mov","MOV")</f>
        <v>21</v>
      </c>
    </row>
    <row r="5480" s="2" customFormat="1" ht="13.5" customHeight="1">
      <c r="B5480" s="13"/>
      <c r="C5480" t="s" s="9">
        <v>23</v>
      </c>
      <c r="D5480" t="s" s="8">
        <v>1867</v>
      </c>
      <c r="E5480" t="s" s="9">
        <v>1867</v>
      </c>
      <c r="F5480" t="s" s="10">
        <v>51</v>
      </c>
      <c r="G5480" s="14"/>
      <c r="H5480" t="s" s="10">
        <v>51</v>
      </c>
      <c r="I5480" s="14"/>
      <c r="J5480" t="s" s="11">
        <v>20</v>
      </c>
      <c r="K5480" t="s" s="16">
        <f>HYPERLINK("http://csr.bu.edu/ftp/asl/asllvd/demos/verify_start_end_handshape_annotations//test_auto_move//signs_mov/15532.mov","MOV")</f>
        <v>21</v>
      </c>
      <c r="L5480" t="s" s="16">
        <f>HYPERLINK("http://csr.bu.edu/ftp/asl/asllvd/demos/verify_start_end_handshape_annotations//test_auto_move//signs_mov_separ_signers/Tyler_15532.mov","MOV")</f>
        <v>21</v>
      </c>
      <c r="M5480" t="s" s="10">
        <v>92</v>
      </c>
      <c r="N5480" s="17">
        <v>2</v>
      </c>
      <c r="O5480" s="18">
        <v>2906</v>
      </c>
      <c r="P5480" s="18">
        <v>2936</v>
      </c>
      <c r="Q5480" t="s" s="16">
        <f>HYPERLINK("http://secrets.rutgers.edu:8080/data/asl-ftp/asllvd/demos/verify_start_end_handshape_annotations//test_auto_move//signs_mov/15532.mov","MOV")</f>
        <v>21</v>
      </c>
      <c r="R5480" t="s" s="16">
        <f>HYPERLINK("http://secrets.rutgers.edu:8080/data/asl-ftp/asllvd/demos/verify_start_end_handshape_annotations//test_auto_move//signs_mov_separ_signers/Tyler_15532.mov","MOV")</f>
        <v>21</v>
      </c>
    </row>
    <row r="5481" s="2" customFormat="1" ht="13.5" customHeight="1">
      <c r="B5481" s="13"/>
      <c r="C5481" t="s" s="9">
        <v>27</v>
      </c>
      <c r="D5481" t="s" s="8">
        <v>1867</v>
      </c>
      <c r="E5481" t="s" s="9">
        <v>1867</v>
      </c>
      <c r="F5481" t="s" s="10">
        <v>51</v>
      </c>
      <c r="G5481" s="14"/>
      <c r="H5481" t="s" s="10">
        <v>51</v>
      </c>
      <c r="I5481" s="14"/>
      <c r="J5481" t="s" s="11">
        <v>20</v>
      </c>
      <c r="K5481" s="15"/>
      <c r="L5481" t="s" s="16">
        <f>HYPERLINK("http://csr.bu.edu/ftp/asl/asllvd/demos/verify_start_end_handshape_annotations//test_auto_move//signs_mov_separ_signers/Naomi_15532.mov","MOV")</f>
        <v>21</v>
      </c>
      <c r="M5481" t="s" s="10">
        <v>86</v>
      </c>
      <c r="N5481" s="17">
        <v>22</v>
      </c>
      <c r="O5481" s="18">
        <v>1917</v>
      </c>
      <c r="P5481" s="18">
        <v>1940</v>
      </c>
      <c r="Q5481" s="15"/>
      <c r="R5481" t="s" s="16">
        <f>HYPERLINK("http://secrets.rutgers.edu:8080/data/asl-ftp/asllvd/demos/verify_start_end_handshape_annotations//test_auto_move//signs_mov_separ_signers/Naomi_15532.mov","MOV")</f>
        <v>21</v>
      </c>
    </row>
    <row r="5482" s="2" customFormat="1" ht="13.5" customHeight="1">
      <c r="B5482" s="13"/>
      <c r="C5482" t="s" s="9">
        <v>30</v>
      </c>
      <c r="D5482" t="s" s="8">
        <v>1867</v>
      </c>
      <c r="E5482" t="s" s="9">
        <v>1867</v>
      </c>
      <c r="F5482" t="s" s="10">
        <v>51</v>
      </c>
      <c r="G5482" s="14"/>
      <c r="H5482" t="s" s="10">
        <v>51</v>
      </c>
      <c r="I5482" s="14"/>
      <c r="J5482" t="s" s="11">
        <v>20</v>
      </c>
      <c r="K5482" s="15"/>
      <c r="L5482" t="s" s="16">
        <f>HYPERLINK("http://csr.bu.edu/ftp/asl/asllvd/demos/verify_start_end_handshape_annotations//test_auto_move//signs_mov_separ_signers/Brady_15532.mov","MOV")</f>
        <v>21</v>
      </c>
      <c r="M5482" t="s" s="10">
        <v>39</v>
      </c>
      <c r="N5482" s="17">
        <v>6</v>
      </c>
      <c r="O5482" s="18">
        <v>2839</v>
      </c>
      <c r="P5482" s="18">
        <v>2864</v>
      </c>
      <c r="Q5482" s="15"/>
      <c r="R5482" t="s" s="16">
        <f>HYPERLINK("http://secrets.rutgers.edu:8080/data/asl-ftp/asllvd/demos/verify_start_end_handshape_annotations//test_auto_move//signs_mov_separ_signers/Brady_15532.mov","MOV")</f>
        <v>21</v>
      </c>
    </row>
    <row r="5483" s="2" customFormat="1" ht="13.5" customHeight="1">
      <c r="B5483" t="s" s="8">
        <v>1868</v>
      </c>
      <c r="C5483" t="s" s="9">
        <v>14</v>
      </c>
      <c r="D5483" t="s" s="8">
        <v>14</v>
      </c>
      <c r="E5483" t="s" s="9">
        <v>14</v>
      </c>
      <c r="F5483" t="s" s="10">
        <v>14</v>
      </c>
      <c r="G5483" t="s" s="11">
        <v>14</v>
      </c>
      <c r="H5483" t="s" s="10">
        <v>14</v>
      </c>
      <c r="I5483" t="s" s="11">
        <v>14</v>
      </c>
      <c r="J5483" t="s" s="11">
        <v>14</v>
      </c>
      <c r="K5483" t="s" s="12">
        <v>14</v>
      </c>
      <c r="L5483" t="s" s="12">
        <v>14</v>
      </c>
      <c r="M5483" t="s" s="10">
        <v>14</v>
      </c>
      <c r="N5483" t="s" s="11">
        <v>14</v>
      </c>
      <c r="O5483" t="s" s="8">
        <v>14</v>
      </c>
      <c r="P5483" t="s" s="8">
        <v>14</v>
      </c>
      <c r="Q5483" t="s" s="12">
        <v>14</v>
      </c>
      <c r="R5483" t="s" s="12">
        <v>14</v>
      </c>
    </row>
    <row r="5484" s="2" customFormat="1" ht="13.5" customHeight="1">
      <c r="B5484" s="13"/>
      <c r="C5484" t="s" s="9">
        <v>30</v>
      </c>
      <c r="D5484" t="s" s="8">
        <v>1868</v>
      </c>
      <c r="E5484" t="s" s="9">
        <v>1868</v>
      </c>
      <c r="F5484" s="19">
        <v>5</v>
      </c>
      <c r="G5484" t="s" s="11">
        <v>105</v>
      </c>
      <c r="H5484" t="s" s="10">
        <v>68</v>
      </c>
      <c r="I5484" t="s" s="11">
        <v>68</v>
      </c>
      <c r="J5484" t="s" s="11">
        <v>20</v>
      </c>
      <c r="K5484" t="s" s="16">
        <f>HYPERLINK("http://csr.bu.edu/ftp/asl/asllvd/demos/verify_start_end_handshape_annotations//test_auto_move//signs_mov/1189.mov","MOV")</f>
        <v>21</v>
      </c>
      <c r="L5484" t="s" s="16">
        <f>HYPERLINK("http://csr.bu.edu/ftp/asl/asllvd/demos/verify_start_end_handshape_annotations//test_auto_move//signs_mov_separ_signers/Brady_1189.mov","MOV")</f>
        <v>21</v>
      </c>
      <c r="M5484" t="s" s="10">
        <v>39</v>
      </c>
      <c r="N5484" s="17">
        <v>35</v>
      </c>
      <c r="O5484" s="18">
        <v>2718</v>
      </c>
      <c r="P5484" s="18">
        <v>2737</v>
      </c>
      <c r="Q5484" t="s" s="16">
        <f>HYPERLINK("http://secrets.rutgers.edu:8080/data/asl-ftp/asllvd/demos/verify_start_end_handshape_annotations//test_auto_move//signs_mov/1189.mov","MOV")</f>
        <v>21</v>
      </c>
      <c r="R5484" t="s" s="16">
        <f>HYPERLINK("http://secrets.rutgers.edu:8080/data/asl-ftp/asllvd/demos/verify_start_end_handshape_annotations//test_auto_move//signs_mov_separ_signers/Brady_1189.mov","MOV")</f>
        <v>21</v>
      </c>
    </row>
    <row r="5485" s="2" customFormat="1" ht="13.5" customHeight="1">
      <c r="B5485" t="s" s="8">
        <v>1869</v>
      </c>
      <c r="C5485" t="s" s="9">
        <v>14</v>
      </c>
      <c r="D5485" t="s" s="8">
        <v>14</v>
      </c>
      <c r="E5485" t="s" s="9">
        <v>14</v>
      </c>
      <c r="F5485" t="s" s="10">
        <v>14</v>
      </c>
      <c r="G5485" t="s" s="11">
        <v>14</v>
      </c>
      <c r="H5485" t="s" s="10">
        <v>14</v>
      </c>
      <c r="I5485" t="s" s="11">
        <v>14</v>
      </c>
      <c r="J5485" t="s" s="11">
        <v>14</v>
      </c>
      <c r="K5485" t="s" s="12">
        <v>14</v>
      </c>
      <c r="L5485" t="s" s="12">
        <v>14</v>
      </c>
      <c r="M5485" t="s" s="10">
        <v>14</v>
      </c>
      <c r="N5485" t="s" s="11">
        <v>14</v>
      </c>
      <c r="O5485" t="s" s="8">
        <v>14</v>
      </c>
      <c r="P5485" t="s" s="8">
        <v>14</v>
      </c>
      <c r="Q5485" t="s" s="12">
        <v>14</v>
      </c>
      <c r="R5485" t="s" s="12">
        <v>14</v>
      </c>
    </row>
    <row r="5486" s="2" customFormat="1" ht="13.5" customHeight="1">
      <c r="B5486" s="13"/>
      <c r="C5486" t="s" s="9">
        <v>16</v>
      </c>
      <c r="D5486" t="s" s="8">
        <v>1869</v>
      </c>
      <c r="E5486" t="s" s="9">
        <v>1870</v>
      </c>
      <c r="F5486" t="s" s="10">
        <v>119</v>
      </c>
      <c r="G5486" t="s" s="11">
        <v>68</v>
      </c>
      <c r="H5486" t="s" s="10">
        <v>68</v>
      </c>
      <c r="I5486" t="s" s="11">
        <v>68</v>
      </c>
      <c r="J5486" t="s" s="11">
        <v>20</v>
      </c>
      <c r="K5486" s="15"/>
      <c r="L5486" t="s" s="16">
        <f>HYPERLINK("http://csr.bu.edu/ftp/asl/asllvd/demos/verify_start_end_handshape_annotations//test_auto_move//signs_mov_separ_signers/Liz_5434.mov","MOV")</f>
        <v>21</v>
      </c>
      <c r="M5486" t="s" s="10">
        <v>34</v>
      </c>
      <c r="N5486" s="17">
        <v>23</v>
      </c>
      <c r="O5486" s="18">
        <v>3020</v>
      </c>
      <c r="P5486" s="18">
        <v>3071</v>
      </c>
      <c r="Q5486" s="15"/>
      <c r="R5486" t="s" s="16">
        <f>HYPERLINK("http://secrets.rutgers.edu:8080/data/asl-ftp/asllvd/demos/verify_start_end_handshape_annotations//test_auto_move//signs_mov_separ_signers/Liz_5434.mov","MOV")</f>
        <v>21</v>
      </c>
    </row>
    <row r="5487" s="2" customFormat="1" ht="13.5" customHeight="1">
      <c r="B5487" s="13"/>
      <c r="C5487" t="s" s="9">
        <v>23</v>
      </c>
      <c r="D5487" t="s" s="8">
        <v>1869</v>
      </c>
      <c r="E5487" t="s" s="9">
        <v>1870</v>
      </c>
      <c r="F5487" t="s" s="10">
        <v>158</v>
      </c>
      <c r="G5487" t="s" s="11">
        <v>68</v>
      </c>
      <c r="H5487" t="s" s="10">
        <v>68</v>
      </c>
      <c r="I5487" t="s" s="11">
        <v>68</v>
      </c>
      <c r="J5487" t="s" s="11">
        <v>20</v>
      </c>
      <c r="K5487" s="15"/>
      <c r="L5487" t="s" s="16">
        <f>HYPERLINK("http://csr.bu.edu/ftp/asl/asllvd/demos/verify_start_end_handshape_annotations//test_auto_move//signs_mov_separ_signers/Tyler_5434.mov","MOV")</f>
        <v>21</v>
      </c>
      <c r="M5487" t="s" s="10">
        <v>92</v>
      </c>
      <c r="N5487" s="17">
        <v>51</v>
      </c>
      <c r="O5487" s="18">
        <v>2750</v>
      </c>
      <c r="P5487" s="18">
        <v>2787</v>
      </c>
      <c r="Q5487" s="15"/>
      <c r="R5487" t="s" s="16">
        <f>HYPERLINK("http://secrets.rutgers.edu:8080/data/asl-ftp/asllvd/demos/verify_start_end_handshape_annotations//test_auto_move//signs_mov_separ_signers/Tyler_5434.mov","MOV")</f>
        <v>21</v>
      </c>
    </row>
    <row r="5488" s="2" customFormat="1" ht="13.5" customHeight="1">
      <c r="B5488" s="13"/>
      <c r="C5488" t="s" s="9">
        <v>27</v>
      </c>
      <c r="D5488" t="s" s="8">
        <v>1869</v>
      </c>
      <c r="E5488" t="s" s="9">
        <v>1869</v>
      </c>
      <c r="F5488" t="s" s="10">
        <v>119</v>
      </c>
      <c r="G5488" t="s" s="11">
        <v>68</v>
      </c>
      <c r="H5488" t="s" s="10">
        <v>68</v>
      </c>
      <c r="I5488" t="s" s="11">
        <v>68</v>
      </c>
      <c r="J5488" t="s" s="11">
        <v>20</v>
      </c>
      <c r="K5488" t="s" s="16">
        <f>HYPERLINK("http://csr.bu.edu/ftp/asl/asllvd/demos/verify_start_end_handshape_annotations//test_auto_move//signs_mov/5434.mov","MOV")</f>
        <v>21</v>
      </c>
      <c r="L5488" t="s" s="16">
        <f>HYPERLINK("http://csr.bu.edu/ftp/asl/asllvd/demos/verify_start_end_handshape_annotations//test_auto_move//signs_mov_separ_signers/Naomi_5434.mov","MOV")</f>
        <v>21</v>
      </c>
      <c r="M5488" t="s" s="10">
        <v>38</v>
      </c>
      <c r="N5488" s="17">
        <v>19</v>
      </c>
      <c r="O5488" s="18">
        <v>4985</v>
      </c>
      <c r="P5488" s="18">
        <v>5008</v>
      </c>
      <c r="Q5488" t="s" s="16">
        <f>HYPERLINK("http://secrets.rutgers.edu:8080/data/asl-ftp/asllvd/demos/verify_start_end_handshape_annotations//test_auto_move//signs_mov/5434.mov","MOV")</f>
        <v>21</v>
      </c>
      <c r="R5488" t="s" s="16">
        <f>HYPERLINK("http://secrets.rutgers.edu:8080/data/asl-ftp/asllvd/demos/verify_start_end_handshape_annotations//test_auto_move//signs_mov_separ_signers/Naomi_5434.mov","MOV")</f>
        <v>21</v>
      </c>
    </row>
    <row r="5489" s="2" customFormat="1" ht="13.5" customHeight="1">
      <c r="B5489" s="13"/>
      <c r="C5489" t="s" s="9">
        <v>41</v>
      </c>
      <c r="D5489" t="s" s="8">
        <v>1869</v>
      </c>
      <c r="E5489" t="s" s="9">
        <v>1870</v>
      </c>
      <c r="F5489" t="s" s="10">
        <v>119</v>
      </c>
      <c r="G5489" t="s" s="11">
        <v>68</v>
      </c>
      <c r="H5489" t="s" s="10">
        <v>68</v>
      </c>
      <c r="I5489" t="s" s="11">
        <v>68</v>
      </c>
      <c r="J5489" t="s" s="11">
        <v>20</v>
      </c>
      <c r="K5489" s="15"/>
      <c r="L5489" t="s" s="16">
        <f>HYPERLINK("http://csr.bu.edu/ftp/asl/asllvd/demos/verify_start_end_handshape_annotations//test_auto_move//signs_mov_separ_signers/Lana_5434.mov","MOV")</f>
        <v>21</v>
      </c>
      <c r="M5489" t="s" s="10">
        <v>42</v>
      </c>
      <c r="N5489" s="17">
        <v>14</v>
      </c>
      <c r="O5489" s="18">
        <v>932</v>
      </c>
      <c r="P5489" s="18">
        <v>985</v>
      </c>
      <c r="Q5489" s="15"/>
      <c r="R5489" t="s" s="16">
        <f>HYPERLINK("http://secrets.rutgers.edu:8080/data/asl-ftp/asllvd/demos/verify_start_end_handshape_annotations//test_auto_move//signs_mov_separ_signers/Lana_5434.mov","MOV")</f>
        <v>21</v>
      </c>
    </row>
    <row r="5490" s="2" customFormat="1" ht="13.5" customHeight="1">
      <c r="B5490" s="13"/>
      <c r="C5490" t="s" s="9">
        <v>43</v>
      </c>
      <c r="D5490" t="s" s="8">
        <v>1869</v>
      </c>
      <c r="E5490" t="s" s="9">
        <v>1869</v>
      </c>
      <c r="F5490" t="s" s="10">
        <v>119</v>
      </c>
      <c r="G5490" s="14"/>
      <c r="H5490" t="s" s="10">
        <v>68</v>
      </c>
      <c r="I5490" t="s" s="11">
        <v>68</v>
      </c>
      <c r="J5490" t="s" s="11">
        <v>20</v>
      </c>
      <c r="K5490" s="15"/>
      <c r="L5490" t="s" s="16">
        <f>HYPERLINK("http://csr.bu.edu/ftp/asl/asllvd/demos/verify_start_end_handshape_annotations//test_auto_move//signs_mov_separ_signers/Dana_5434.mov","MOV")</f>
        <v>21</v>
      </c>
      <c r="M5490" t="s" s="10">
        <v>44</v>
      </c>
      <c r="N5490" s="17">
        <v>17</v>
      </c>
      <c r="O5490" s="18">
        <v>1297</v>
      </c>
      <c r="P5490" s="18">
        <v>1350</v>
      </c>
      <c r="Q5490" s="15"/>
      <c r="R5490" t="s" s="16">
        <f>HYPERLINK("http://secrets.rutgers.edu:8080/data/asl-ftp/asllvd/demos/verify_start_end_handshape_annotations//test_auto_move//signs_mov_separ_signers/Dana_5434.mov","MOV")</f>
        <v>21</v>
      </c>
    </row>
    <row r="5491" s="2" customFormat="1" ht="13.5" customHeight="1">
      <c r="B5491" t="s" s="8">
        <v>1871</v>
      </c>
      <c r="C5491" t="s" s="9">
        <v>14</v>
      </c>
      <c r="D5491" t="s" s="8">
        <v>14</v>
      </c>
      <c r="E5491" t="s" s="9">
        <v>14</v>
      </c>
      <c r="F5491" t="s" s="10">
        <v>14</v>
      </c>
      <c r="G5491" t="s" s="11">
        <v>14</v>
      </c>
      <c r="H5491" t="s" s="10">
        <v>14</v>
      </c>
      <c r="I5491" t="s" s="11">
        <v>14</v>
      </c>
      <c r="J5491" t="s" s="11">
        <v>14</v>
      </c>
      <c r="K5491" t="s" s="12">
        <v>14</v>
      </c>
      <c r="L5491" t="s" s="12">
        <v>14</v>
      </c>
      <c r="M5491" t="s" s="10">
        <v>14</v>
      </c>
      <c r="N5491" t="s" s="11">
        <v>14</v>
      </c>
      <c r="O5491" t="s" s="8">
        <v>14</v>
      </c>
      <c r="P5491" t="s" s="8">
        <v>14</v>
      </c>
      <c r="Q5491" t="s" s="12">
        <v>14</v>
      </c>
      <c r="R5491" t="s" s="12">
        <v>14</v>
      </c>
    </row>
    <row r="5492" s="2" customFormat="1" ht="13.5" customHeight="1">
      <c r="B5492" s="13"/>
      <c r="C5492" t="s" s="9">
        <v>23</v>
      </c>
      <c r="D5492" t="s" s="8">
        <v>1871</v>
      </c>
      <c r="E5492" t="s" s="9">
        <v>1871</v>
      </c>
      <c r="F5492" t="s" s="10">
        <v>240</v>
      </c>
      <c r="G5492" s="14"/>
      <c r="H5492" t="s" s="10">
        <v>240</v>
      </c>
      <c r="I5492" s="14"/>
      <c r="J5492" t="s" s="11">
        <v>20</v>
      </c>
      <c r="K5492" t="s" s="16">
        <f>HYPERLINK("http://csr.bu.edu/ftp/asl/asllvd/demos/verify_start_end_handshape_annotations//test_auto_move//signs_mov/1191.mov","MOV")</f>
        <v>21</v>
      </c>
      <c r="L5492" t="s" s="16">
        <f>HYPERLINK("http://csr.bu.edu/ftp/asl/asllvd/demos/verify_start_end_handshape_annotations//test_auto_move//signs_mov_separ_signers/Tyler_1191.mov","MOV")</f>
        <v>21</v>
      </c>
      <c r="M5492" t="s" s="10">
        <v>92</v>
      </c>
      <c r="N5492" s="17">
        <v>51</v>
      </c>
      <c r="O5492" s="18">
        <v>3190</v>
      </c>
      <c r="P5492" s="18">
        <v>3215</v>
      </c>
      <c r="Q5492" t="s" s="16">
        <f>HYPERLINK("http://secrets.rutgers.edu:8080/data/asl-ftp/asllvd/demos/verify_start_end_handshape_annotations//test_auto_move//signs_mov/1191.mov","MOV")</f>
        <v>21</v>
      </c>
      <c r="R5492" t="s" s="16">
        <f>HYPERLINK("http://secrets.rutgers.edu:8080/data/asl-ftp/asllvd/demos/verify_start_end_handshape_annotations//test_auto_move//signs_mov_separ_signers/Tyler_1191.mov","MOV")</f>
        <v>21</v>
      </c>
    </row>
    <row r="5493" s="2" customFormat="1" ht="13.5" customHeight="1">
      <c r="B5493" s="13"/>
      <c r="C5493" t="s" s="9">
        <v>30</v>
      </c>
      <c r="D5493" t="s" s="8">
        <v>1871</v>
      </c>
      <c r="E5493" t="s" s="9">
        <v>1871</v>
      </c>
      <c r="F5493" t="s" s="10">
        <v>240</v>
      </c>
      <c r="G5493" s="14"/>
      <c r="H5493" t="s" s="10">
        <v>240</v>
      </c>
      <c r="I5493" s="14"/>
      <c r="J5493" t="s" s="11">
        <v>20</v>
      </c>
      <c r="K5493" s="15"/>
      <c r="L5493" t="s" s="16">
        <f>HYPERLINK("http://csr.bu.edu/ftp/asl/asllvd/demos/verify_start_end_handshape_annotations//test_auto_move//signs_mov_separ_signers/Brady_1191.mov","MOV")</f>
        <v>21</v>
      </c>
      <c r="M5493" t="s" s="10">
        <v>39</v>
      </c>
      <c r="N5493" s="17">
        <v>35</v>
      </c>
      <c r="O5493" s="18">
        <v>2956</v>
      </c>
      <c r="P5493" s="18">
        <v>2981</v>
      </c>
      <c r="Q5493" s="15"/>
      <c r="R5493" t="s" s="16">
        <f>HYPERLINK("http://secrets.rutgers.edu:8080/data/asl-ftp/asllvd/demos/verify_start_end_handshape_annotations//test_auto_move//signs_mov_separ_signers/Brady_1191.mov","MOV")</f>
        <v>21</v>
      </c>
    </row>
    <row r="5494" s="2" customFormat="1" ht="13.5" customHeight="1">
      <c r="B5494" t="s" s="8">
        <v>1872</v>
      </c>
      <c r="C5494" t="s" s="9">
        <v>14</v>
      </c>
      <c r="D5494" t="s" s="8">
        <v>14</v>
      </c>
      <c r="E5494" t="s" s="9">
        <v>14</v>
      </c>
      <c r="F5494" t="s" s="10">
        <v>14</v>
      </c>
      <c r="G5494" t="s" s="11">
        <v>14</v>
      </c>
      <c r="H5494" t="s" s="10">
        <v>14</v>
      </c>
      <c r="I5494" t="s" s="11">
        <v>14</v>
      </c>
      <c r="J5494" t="s" s="11">
        <v>14</v>
      </c>
      <c r="K5494" t="s" s="12">
        <v>14</v>
      </c>
      <c r="L5494" t="s" s="12">
        <v>14</v>
      </c>
      <c r="M5494" t="s" s="10">
        <v>14</v>
      </c>
      <c r="N5494" t="s" s="11">
        <v>14</v>
      </c>
      <c r="O5494" t="s" s="8">
        <v>14</v>
      </c>
      <c r="P5494" t="s" s="8">
        <v>14</v>
      </c>
      <c r="Q5494" t="s" s="12">
        <v>14</v>
      </c>
      <c r="R5494" t="s" s="12">
        <v>14</v>
      </c>
    </row>
    <row r="5495" s="2" customFormat="1" ht="13.5" customHeight="1">
      <c r="B5495" s="13"/>
      <c r="C5495" t="s" s="9">
        <v>16</v>
      </c>
      <c r="D5495" t="s" s="8">
        <v>1872</v>
      </c>
      <c r="E5495" t="s" s="9">
        <v>1872</v>
      </c>
      <c r="F5495" t="s" s="10">
        <v>117</v>
      </c>
      <c r="G5495" s="14"/>
      <c r="H5495" t="s" s="10">
        <v>72</v>
      </c>
      <c r="I5495" s="14"/>
      <c r="J5495" t="s" s="11">
        <v>20</v>
      </c>
      <c r="K5495" t="s" s="16">
        <f>HYPERLINK("http://csr.bu.edu/ftp/asl/asllvd/demos/verify_start_end_handshape_annotations//test_auto_move//signs_mov/1192.mov","MOV")</f>
        <v>21</v>
      </c>
      <c r="L5495" t="s" s="16">
        <f>HYPERLINK("http://csr.bu.edu/ftp/asl/asllvd/demos/verify_start_end_handshape_annotations//test_auto_move//signs_mov_separ_signers/Liz_1192.mov","MOV")</f>
        <v>21</v>
      </c>
      <c r="M5495" t="s" s="10">
        <v>34</v>
      </c>
      <c r="N5495" s="17">
        <v>24</v>
      </c>
      <c r="O5495" s="18">
        <v>692</v>
      </c>
      <c r="P5495" s="18">
        <v>719</v>
      </c>
      <c r="Q5495" t="s" s="16">
        <f>HYPERLINK("http://secrets.rutgers.edu:8080/data/asl-ftp/asllvd/demos/verify_start_end_handshape_annotations//test_auto_move//signs_mov/1192.mov","MOV")</f>
        <v>21</v>
      </c>
      <c r="R5495" t="s" s="16">
        <f>HYPERLINK("http://secrets.rutgers.edu:8080/data/asl-ftp/asllvd/demos/verify_start_end_handshape_annotations//test_auto_move//signs_mov_separ_signers/Liz_1192.mov","MOV")</f>
        <v>21</v>
      </c>
    </row>
    <row r="5496" s="2" customFormat="1" ht="13.5" customHeight="1">
      <c r="B5496" s="13"/>
      <c r="C5496" t="s" s="9">
        <v>30</v>
      </c>
      <c r="D5496" t="s" s="8">
        <v>1872</v>
      </c>
      <c r="E5496" t="s" s="9">
        <v>1872</v>
      </c>
      <c r="F5496" t="s" s="10">
        <v>68</v>
      </c>
      <c r="G5496" s="14"/>
      <c r="H5496" t="s" s="10">
        <v>72</v>
      </c>
      <c r="I5496" s="14"/>
      <c r="J5496" t="s" s="11">
        <v>20</v>
      </c>
      <c r="K5496" s="15"/>
      <c r="L5496" t="s" s="16">
        <f>HYPERLINK("http://csr.bu.edu/ftp/asl/asllvd/demos/verify_start_end_handshape_annotations//test_auto_move//signs_mov_separ_signers/Brady_1192.mov","MOV")</f>
        <v>21</v>
      </c>
      <c r="M5496" t="s" s="10">
        <v>39</v>
      </c>
      <c r="N5496" s="17">
        <v>35</v>
      </c>
      <c r="O5496" s="18">
        <v>3795</v>
      </c>
      <c r="P5496" s="18">
        <v>3819</v>
      </c>
      <c r="Q5496" s="15"/>
      <c r="R5496" t="s" s="16">
        <f>HYPERLINK("http://secrets.rutgers.edu:8080/data/asl-ftp/asllvd/demos/verify_start_end_handshape_annotations//test_auto_move//signs_mov_separ_signers/Brady_1192.mov","MOV")</f>
        <v>21</v>
      </c>
    </row>
    <row r="5497" s="2" customFormat="1" ht="13.5" customHeight="1">
      <c r="B5497" t="s" s="8">
        <v>1873</v>
      </c>
      <c r="C5497" t="s" s="9">
        <v>14</v>
      </c>
      <c r="D5497" t="s" s="8">
        <v>14</v>
      </c>
      <c r="E5497" t="s" s="9">
        <v>14</v>
      </c>
      <c r="F5497" t="s" s="10">
        <v>14</v>
      </c>
      <c r="G5497" t="s" s="11">
        <v>14</v>
      </c>
      <c r="H5497" t="s" s="10">
        <v>14</v>
      </c>
      <c r="I5497" t="s" s="11">
        <v>14</v>
      </c>
      <c r="J5497" t="s" s="11">
        <v>14</v>
      </c>
      <c r="K5497" t="s" s="12">
        <v>14</v>
      </c>
      <c r="L5497" t="s" s="12">
        <v>14</v>
      </c>
      <c r="M5497" t="s" s="10">
        <v>14</v>
      </c>
      <c r="N5497" t="s" s="11">
        <v>14</v>
      </c>
      <c r="O5497" t="s" s="8">
        <v>14</v>
      </c>
      <c r="P5497" t="s" s="8">
        <v>14</v>
      </c>
      <c r="Q5497" t="s" s="12">
        <v>14</v>
      </c>
      <c r="R5497" t="s" s="12">
        <v>14</v>
      </c>
    </row>
    <row r="5498" s="2" customFormat="1" ht="13.5" customHeight="1">
      <c r="B5498" s="13"/>
      <c r="C5498" t="s" s="9">
        <v>16</v>
      </c>
      <c r="D5498" t="s" s="8">
        <v>1873</v>
      </c>
      <c r="E5498" t="s" s="9">
        <v>1874</v>
      </c>
      <c r="F5498" s="19">
        <v>5</v>
      </c>
      <c r="G5498" t="s" s="11">
        <v>68</v>
      </c>
      <c r="H5498" s="19">
        <v>5</v>
      </c>
      <c r="I5498" t="s" s="11">
        <v>68</v>
      </c>
      <c r="J5498" t="s" s="11">
        <v>20</v>
      </c>
      <c r="K5498" s="15"/>
      <c r="L5498" t="s" s="16">
        <f>HYPERLINK("http://csr.bu.edu/ftp/asl/asllvd/demos/verify_start_end_handshape_annotations//test_auto_move//signs_mov_separ_signers/Liz_1193.mov","MOV")</f>
        <v>21</v>
      </c>
      <c r="M5498" t="s" s="10">
        <v>34</v>
      </c>
      <c r="N5498" s="17">
        <v>24</v>
      </c>
      <c r="O5498" s="18">
        <v>1002</v>
      </c>
      <c r="P5498" s="18">
        <v>1055</v>
      </c>
      <c r="Q5498" s="15"/>
      <c r="R5498" t="s" s="16">
        <f>HYPERLINK("http://secrets.rutgers.edu:8080/data/asl-ftp/asllvd/demos/verify_start_end_handshape_annotations//test_auto_move//signs_mov_separ_signers/Liz_1193.mov","MOV")</f>
        <v>21</v>
      </c>
    </row>
    <row r="5499" s="2" customFormat="1" ht="13.5" customHeight="1">
      <c r="B5499" s="13"/>
      <c r="C5499" t="s" s="9">
        <v>23</v>
      </c>
      <c r="D5499" t="s" s="8">
        <v>1873</v>
      </c>
      <c r="E5499" t="s" s="9">
        <v>1874</v>
      </c>
      <c r="F5499" s="19">
        <v>5</v>
      </c>
      <c r="G5499" t="s" s="11">
        <v>68</v>
      </c>
      <c r="H5499" s="19">
        <v>5</v>
      </c>
      <c r="I5499" t="s" s="11">
        <v>68</v>
      </c>
      <c r="J5499" t="s" s="11">
        <v>20</v>
      </c>
      <c r="K5499" t="s" s="16">
        <f>HYPERLINK("http://csr.bu.edu/ftp/asl/asllvd/demos/verify_start_end_handshape_annotations//test_auto_move//signs_mov/1193.mov","MOV")</f>
        <v>21</v>
      </c>
      <c r="L5499" t="s" s="16">
        <f>HYPERLINK("http://csr.bu.edu/ftp/asl/asllvd/demos/verify_start_end_handshape_annotations//test_auto_move//signs_mov_separ_signers/Tyler_1193.mov","MOV")</f>
        <v>21</v>
      </c>
      <c r="M5499" t="s" s="10">
        <v>92</v>
      </c>
      <c r="N5499" s="17">
        <v>52</v>
      </c>
      <c r="O5499" s="18">
        <v>1910</v>
      </c>
      <c r="P5499" s="18">
        <v>1950</v>
      </c>
      <c r="Q5499" t="s" s="16">
        <f>HYPERLINK("http://secrets.rutgers.edu:8080/data/asl-ftp/asllvd/demos/verify_start_end_handshape_annotations//test_auto_move//signs_mov/1193.mov","MOV")</f>
        <v>21</v>
      </c>
      <c r="R5499" t="s" s="16">
        <f>HYPERLINK("http://secrets.rutgers.edu:8080/data/asl-ftp/asllvd/demos/verify_start_end_handshape_annotations//test_auto_move//signs_mov_separ_signers/Tyler_1193.mov","MOV")</f>
        <v>21</v>
      </c>
    </row>
    <row r="5500" s="2" customFormat="1" ht="13.5" customHeight="1">
      <c r="B5500" s="13"/>
      <c r="C5500" t="s" s="9">
        <v>30</v>
      </c>
      <c r="D5500" t="s" s="8">
        <v>1873</v>
      </c>
      <c r="E5500" t="s" s="9">
        <v>1874</v>
      </c>
      <c r="F5500" s="19">
        <v>5</v>
      </c>
      <c r="G5500" t="s" s="11">
        <v>68</v>
      </c>
      <c r="H5500" s="19">
        <v>5</v>
      </c>
      <c r="I5500" t="s" s="11">
        <v>68</v>
      </c>
      <c r="J5500" t="s" s="11">
        <v>20</v>
      </c>
      <c r="K5500" s="15"/>
      <c r="L5500" t="s" s="16">
        <f>HYPERLINK("http://csr.bu.edu/ftp/asl/asllvd/demos/verify_start_end_handshape_annotations//test_auto_move//signs_mov_separ_signers/Brady_1193.mov","MOV")</f>
        <v>21</v>
      </c>
      <c r="M5500" t="s" s="10">
        <v>39</v>
      </c>
      <c r="N5500" s="17">
        <v>35</v>
      </c>
      <c r="O5500" s="18">
        <v>4128</v>
      </c>
      <c r="P5500" s="18">
        <v>4149</v>
      </c>
      <c r="Q5500" s="15"/>
      <c r="R5500" t="s" s="16">
        <f>HYPERLINK("http://secrets.rutgers.edu:8080/data/asl-ftp/asllvd/demos/verify_start_end_handshape_annotations//test_auto_move//signs_mov_separ_signers/Brady_1193.mov","MOV")</f>
        <v>21</v>
      </c>
    </row>
    <row r="5501" s="2" customFormat="1" ht="13.5" customHeight="1">
      <c r="B5501" t="s" s="8">
        <v>52</v>
      </c>
      <c r="C5501" t="s" s="9">
        <v>53</v>
      </c>
      <c r="D5501" t="s" s="8">
        <v>53</v>
      </c>
      <c r="E5501" t="s" s="9">
        <v>53</v>
      </c>
      <c r="F5501" t="s" s="10">
        <v>53</v>
      </c>
      <c r="G5501" t="s" s="11">
        <v>53</v>
      </c>
      <c r="H5501" t="s" s="10">
        <v>53</v>
      </c>
      <c r="I5501" t="s" s="11">
        <v>53</v>
      </c>
      <c r="J5501" t="s" s="11">
        <v>53</v>
      </c>
      <c r="K5501" t="s" s="12">
        <v>53</v>
      </c>
      <c r="L5501" t="s" s="12">
        <v>53</v>
      </c>
      <c r="M5501" t="s" s="10">
        <v>53</v>
      </c>
      <c r="N5501" t="s" s="11">
        <v>53</v>
      </c>
      <c r="O5501" t="s" s="8">
        <v>53</v>
      </c>
      <c r="P5501" t="s" s="8">
        <v>53</v>
      </c>
      <c r="Q5501" t="s" s="12">
        <v>53</v>
      </c>
      <c r="R5501" t="s" s="12">
        <v>53</v>
      </c>
    </row>
    <row r="5502" s="2" customFormat="1" ht="13.5" customHeight="1">
      <c r="B5502" s="13"/>
      <c r="C5502" t="s" s="9">
        <v>27</v>
      </c>
      <c r="D5502" t="s" s="8">
        <v>1873</v>
      </c>
      <c r="E5502" t="s" s="9">
        <v>1875</v>
      </c>
      <c r="F5502" s="19">
        <v>5</v>
      </c>
      <c r="G5502" t="s" s="11">
        <v>63</v>
      </c>
      <c r="H5502" s="19">
        <v>5</v>
      </c>
      <c r="I5502" t="s" s="11">
        <v>63</v>
      </c>
      <c r="J5502" t="s" s="11">
        <v>20</v>
      </c>
      <c r="K5502" t="s" s="16">
        <f>HYPERLINK("http://csr.bu.edu/ftp/asl/asllvd/demos/verify_start_end_handshape_annotations//test_auto_move//signs_mov/16272.mov","MOV")</f>
        <v>21</v>
      </c>
      <c r="L5502" t="s" s="16">
        <f>HYPERLINK("http://csr.bu.edu/ftp/asl/asllvd/demos/verify_start_end_handshape_annotations//test_auto_move//signs_mov_separ_signers/Naomi_16272.mov","MOV")</f>
        <v>21</v>
      </c>
      <c r="M5502" t="s" s="10">
        <v>38</v>
      </c>
      <c r="N5502" s="17">
        <v>20</v>
      </c>
      <c r="O5502" s="18">
        <v>2015</v>
      </c>
      <c r="P5502" s="18">
        <v>2053</v>
      </c>
      <c r="Q5502" t="s" s="16">
        <f>HYPERLINK("http://secrets.rutgers.edu:8080/data/asl-ftp/asllvd/demos/verify_start_end_handshape_annotations//test_auto_move//signs_mov/16272.mov","MOV")</f>
        <v>21</v>
      </c>
      <c r="R5502" t="s" s="16">
        <f>HYPERLINK("http://secrets.rutgers.edu:8080/data/asl-ftp/asllvd/demos/verify_start_end_handshape_annotations//test_auto_move//signs_mov_separ_signers/Naomi_16272.mov","MOV")</f>
        <v>21</v>
      </c>
    </row>
    <row r="5503" s="2" customFormat="1" ht="13.5" customHeight="1">
      <c r="B5503" t="s" s="8">
        <v>1876</v>
      </c>
      <c r="C5503" t="s" s="9">
        <v>14</v>
      </c>
      <c r="D5503" t="s" s="8">
        <v>14</v>
      </c>
      <c r="E5503" t="s" s="9">
        <v>14</v>
      </c>
      <c r="F5503" t="s" s="10">
        <v>14</v>
      </c>
      <c r="G5503" t="s" s="11">
        <v>14</v>
      </c>
      <c r="H5503" t="s" s="10">
        <v>14</v>
      </c>
      <c r="I5503" t="s" s="11">
        <v>14</v>
      </c>
      <c r="J5503" t="s" s="11">
        <v>14</v>
      </c>
      <c r="K5503" t="s" s="12">
        <v>14</v>
      </c>
      <c r="L5503" t="s" s="12">
        <v>14</v>
      </c>
      <c r="M5503" t="s" s="10">
        <v>14</v>
      </c>
      <c r="N5503" t="s" s="11">
        <v>14</v>
      </c>
      <c r="O5503" t="s" s="8">
        <v>14</v>
      </c>
      <c r="P5503" t="s" s="8">
        <v>14</v>
      </c>
      <c r="Q5503" t="s" s="12">
        <v>14</v>
      </c>
      <c r="R5503" t="s" s="12">
        <v>14</v>
      </c>
    </row>
    <row r="5504" s="2" customFormat="1" ht="13.5" customHeight="1">
      <c r="B5504" s="13"/>
      <c r="C5504" t="s" s="9">
        <v>23</v>
      </c>
      <c r="D5504" t="s" s="8">
        <v>1876</v>
      </c>
      <c r="E5504" t="s" s="9">
        <v>1876</v>
      </c>
      <c r="F5504" t="s" s="10">
        <v>240</v>
      </c>
      <c r="G5504" t="s" s="11">
        <v>240</v>
      </c>
      <c r="H5504" t="s" s="10">
        <v>240</v>
      </c>
      <c r="I5504" t="s" s="11">
        <v>240</v>
      </c>
      <c r="J5504" t="s" s="11">
        <v>20</v>
      </c>
      <c r="K5504" t="s" s="16">
        <f>HYPERLINK("http://csr.bu.edu/ftp/asl/asllvd/demos/verify_start_end_handshape_annotations//test_auto_move//signs_mov/1194.mov","MOV")</f>
        <v>21</v>
      </c>
      <c r="L5504" t="s" s="16">
        <f>HYPERLINK("http://csr.bu.edu/ftp/asl/asllvd/demos/verify_start_end_handshape_annotations//test_auto_move//signs_mov_separ_signers/Tyler_1194.mov","MOV")</f>
        <v>21</v>
      </c>
      <c r="M5504" t="s" s="10">
        <v>92</v>
      </c>
      <c r="N5504" s="17">
        <v>52</v>
      </c>
      <c r="O5504" s="18">
        <v>2156</v>
      </c>
      <c r="P5504" s="18">
        <v>2182</v>
      </c>
      <c r="Q5504" t="s" s="16">
        <f>HYPERLINK("http://secrets.rutgers.edu:8080/data/asl-ftp/asllvd/demos/verify_start_end_handshape_annotations//test_auto_move//signs_mov/1194.mov","MOV")</f>
        <v>21</v>
      </c>
      <c r="R5504" t="s" s="16">
        <f>HYPERLINK("http://secrets.rutgers.edu:8080/data/asl-ftp/asllvd/demos/verify_start_end_handshape_annotations//test_auto_move//signs_mov_separ_signers/Tyler_1194.mov","MOV")</f>
        <v>21</v>
      </c>
    </row>
    <row r="5505" s="2" customFormat="1" ht="13.5" customHeight="1">
      <c r="B5505" s="13"/>
      <c r="C5505" t="s" s="9">
        <v>27</v>
      </c>
      <c r="D5505" t="s" s="8">
        <v>1876</v>
      </c>
      <c r="E5505" t="s" s="9">
        <v>1876</v>
      </c>
      <c r="F5505" t="s" s="10">
        <v>240</v>
      </c>
      <c r="G5505" t="s" s="11">
        <v>240</v>
      </c>
      <c r="H5505" t="s" s="10">
        <v>240</v>
      </c>
      <c r="I5505" t="s" s="11">
        <v>240</v>
      </c>
      <c r="J5505" t="s" s="11">
        <v>20</v>
      </c>
      <c r="K5505" s="15"/>
      <c r="L5505" t="s" s="16">
        <f>HYPERLINK("http://csr.bu.edu/ftp/asl/asllvd/demos/verify_start_end_handshape_annotations//test_auto_move//signs_mov_separ_signers/Naomi_1194.mov","MOV")</f>
        <v>21</v>
      </c>
      <c r="M5505" t="s" s="10">
        <v>38</v>
      </c>
      <c r="N5505" s="17">
        <v>20</v>
      </c>
      <c r="O5505" s="18">
        <v>5096</v>
      </c>
      <c r="P5505" s="18">
        <v>5135</v>
      </c>
      <c r="Q5505" s="15"/>
      <c r="R5505" t="s" s="16">
        <f>HYPERLINK("http://secrets.rutgers.edu:8080/data/asl-ftp/asllvd/demos/verify_start_end_handshape_annotations//test_auto_move//signs_mov_separ_signers/Naomi_1194.mov","MOV")</f>
        <v>21</v>
      </c>
    </row>
    <row r="5506" s="2" customFormat="1" ht="13.5" customHeight="1">
      <c r="B5506" t="s" s="8">
        <v>52</v>
      </c>
      <c r="C5506" t="s" s="9">
        <v>53</v>
      </c>
      <c r="D5506" t="s" s="8">
        <v>53</v>
      </c>
      <c r="E5506" t="s" s="9">
        <v>53</v>
      </c>
      <c r="F5506" t="s" s="10">
        <v>53</v>
      </c>
      <c r="G5506" t="s" s="11">
        <v>53</v>
      </c>
      <c r="H5506" t="s" s="10">
        <v>53</v>
      </c>
      <c r="I5506" t="s" s="11">
        <v>53</v>
      </c>
      <c r="J5506" t="s" s="11">
        <v>53</v>
      </c>
      <c r="K5506" t="s" s="12">
        <v>53</v>
      </c>
      <c r="L5506" t="s" s="12">
        <v>53</v>
      </c>
      <c r="M5506" t="s" s="10">
        <v>53</v>
      </c>
      <c r="N5506" t="s" s="11">
        <v>53</v>
      </c>
      <c r="O5506" t="s" s="8">
        <v>53</v>
      </c>
      <c r="P5506" t="s" s="8">
        <v>53</v>
      </c>
      <c r="Q5506" t="s" s="12">
        <v>53</v>
      </c>
      <c r="R5506" t="s" s="12">
        <v>53</v>
      </c>
    </row>
    <row r="5507" s="2" customFormat="1" ht="13.5" customHeight="1">
      <c r="B5507" s="13"/>
      <c r="C5507" t="s" s="9">
        <v>16</v>
      </c>
      <c r="D5507" t="s" s="8">
        <v>1876</v>
      </c>
      <c r="E5507" t="s" s="9">
        <v>1877</v>
      </c>
      <c r="F5507" t="s" s="10">
        <v>240</v>
      </c>
      <c r="G5507" s="14"/>
      <c r="H5507" t="s" s="10">
        <v>240</v>
      </c>
      <c r="I5507" s="14"/>
      <c r="J5507" t="s" s="11">
        <v>20</v>
      </c>
      <c r="K5507" t="s" s="16">
        <f>HYPERLINK("http://csr.bu.edu/ftp/asl/asllvd/demos/verify_start_end_handshape_annotations//test_auto_move//signs_mov/5218.mov","MOV")</f>
        <v>21</v>
      </c>
      <c r="L5507" t="s" s="16">
        <f>HYPERLINK("http://csr.bu.edu/ftp/asl/asllvd/demos/verify_start_end_handshape_annotations//test_auto_move//signs_mov_separ_signers/Liz_5218.mov","MOV")</f>
        <v>21</v>
      </c>
      <c r="M5507" t="s" s="10">
        <v>34</v>
      </c>
      <c r="N5507" s="17">
        <v>24</v>
      </c>
      <c r="O5507" s="18">
        <v>1220</v>
      </c>
      <c r="P5507" s="18">
        <v>1255</v>
      </c>
      <c r="Q5507" t="s" s="16">
        <f>HYPERLINK("http://secrets.rutgers.edu:8080/data/asl-ftp/asllvd/demos/verify_start_end_handshape_annotations//test_auto_move//signs_mov/5218.mov","MOV")</f>
        <v>21</v>
      </c>
      <c r="R5507" t="s" s="16">
        <f>HYPERLINK("http://secrets.rutgers.edu:8080/data/asl-ftp/asllvd/demos/verify_start_end_handshape_annotations//test_auto_move//signs_mov_separ_signers/Liz_5218.mov","MOV")</f>
        <v>21</v>
      </c>
    </row>
    <row r="5508" s="2" customFormat="1" ht="13.5" customHeight="1">
      <c r="B5508" s="13"/>
      <c r="C5508" t="s" s="9">
        <v>30</v>
      </c>
      <c r="D5508" t="s" s="8">
        <v>1876</v>
      </c>
      <c r="E5508" t="s" s="9">
        <v>1877</v>
      </c>
      <c r="F5508" t="s" s="10">
        <v>240</v>
      </c>
      <c r="G5508" s="14"/>
      <c r="H5508" t="s" s="10">
        <v>240</v>
      </c>
      <c r="I5508" s="14"/>
      <c r="J5508" t="s" s="11">
        <v>20</v>
      </c>
      <c r="K5508" s="15"/>
      <c r="L5508" t="s" s="16">
        <f>HYPERLINK("http://csr.bu.edu/ftp/asl/asllvd/demos/verify_start_end_handshape_annotations//test_auto_move//signs_mov_separ_signers/Brady_5218.mov","MOV")</f>
        <v>21</v>
      </c>
      <c r="M5508" t="s" s="10">
        <v>39</v>
      </c>
      <c r="N5508" s="17">
        <v>35</v>
      </c>
      <c r="O5508" s="18">
        <v>4391</v>
      </c>
      <c r="P5508" s="18">
        <v>4413</v>
      </c>
      <c r="Q5508" s="15"/>
      <c r="R5508" t="s" s="16">
        <f>HYPERLINK("http://secrets.rutgers.edu:8080/data/asl-ftp/asllvd/demos/verify_start_end_handshape_annotations//test_auto_move//signs_mov_separ_signers/Brady_5218.mov","MOV")</f>
        <v>21</v>
      </c>
    </row>
    <row r="5509" s="2" customFormat="1" ht="13.5" customHeight="1">
      <c r="B5509" t="s" s="8">
        <v>1878</v>
      </c>
      <c r="C5509" t="s" s="9">
        <v>14</v>
      </c>
      <c r="D5509" t="s" s="8">
        <v>14</v>
      </c>
      <c r="E5509" t="s" s="9">
        <v>14</v>
      </c>
      <c r="F5509" t="s" s="10">
        <v>14</v>
      </c>
      <c r="G5509" t="s" s="11">
        <v>14</v>
      </c>
      <c r="H5509" t="s" s="10">
        <v>14</v>
      </c>
      <c r="I5509" t="s" s="11">
        <v>14</v>
      </c>
      <c r="J5509" t="s" s="11">
        <v>14</v>
      </c>
      <c r="K5509" t="s" s="12">
        <v>14</v>
      </c>
      <c r="L5509" t="s" s="12">
        <v>14</v>
      </c>
      <c r="M5509" t="s" s="10">
        <v>14</v>
      </c>
      <c r="N5509" t="s" s="11">
        <v>14</v>
      </c>
      <c r="O5509" t="s" s="8">
        <v>14</v>
      </c>
      <c r="P5509" t="s" s="8">
        <v>14</v>
      </c>
      <c r="Q5509" t="s" s="12">
        <v>14</v>
      </c>
      <c r="R5509" t="s" s="12">
        <v>14</v>
      </c>
    </row>
    <row r="5510" s="2" customFormat="1" ht="13.5" customHeight="1">
      <c r="B5510" s="13"/>
      <c r="C5510" t="s" s="9">
        <v>16</v>
      </c>
      <c r="D5510" t="s" s="8">
        <v>1878</v>
      </c>
      <c r="E5510" t="s" s="9">
        <v>1878</v>
      </c>
      <c r="F5510" t="s" s="10">
        <v>251</v>
      </c>
      <c r="G5510" t="s" s="11">
        <v>251</v>
      </c>
      <c r="H5510" t="s" s="10">
        <v>251</v>
      </c>
      <c r="I5510" t="s" s="11">
        <v>251</v>
      </c>
      <c r="J5510" t="s" s="11">
        <v>20</v>
      </c>
      <c r="K5510" t="s" s="16">
        <f>HYPERLINK("http://csr.bu.edu/ftp/asl/asllvd/demos/verify_start_end_handshape_annotations//test_auto_move//signs_mov/5902.mov","MOV")</f>
        <v>21</v>
      </c>
      <c r="L5510" t="s" s="16">
        <f>HYPERLINK("http://csr.bu.edu/ftp/asl/asllvd/demos/verify_start_end_handshape_annotations//test_auto_move//signs_mov_separ_signers/Liz_5902.mov","MOV")</f>
        <v>21</v>
      </c>
      <c r="M5510" t="s" s="10">
        <v>77</v>
      </c>
      <c r="N5510" s="17">
        <v>7</v>
      </c>
      <c r="O5510" s="18">
        <v>3210</v>
      </c>
      <c r="P5510" s="18">
        <v>3260</v>
      </c>
      <c r="Q5510" t="s" s="16">
        <f>HYPERLINK("http://secrets.rutgers.edu:8080/data/asl-ftp/asllvd/demos/verify_start_end_handshape_annotations//test_auto_move//signs_mov/5902.mov","MOV")</f>
        <v>21</v>
      </c>
      <c r="R5510" t="s" s="16">
        <f>HYPERLINK("http://secrets.rutgers.edu:8080/data/asl-ftp/asllvd/demos/verify_start_end_handshape_annotations//test_auto_move//signs_mov_separ_signers/Liz_5902.mov","MOV")</f>
        <v>21</v>
      </c>
    </row>
    <row r="5511" s="2" customFormat="1" ht="13.5" customHeight="1">
      <c r="B5511" s="13"/>
      <c r="C5511" t="s" s="9">
        <v>30</v>
      </c>
      <c r="D5511" t="s" s="8">
        <v>1878</v>
      </c>
      <c r="E5511" t="s" s="9">
        <v>1878</v>
      </c>
      <c r="F5511" t="s" s="10">
        <v>251</v>
      </c>
      <c r="G5511" t="s" s="11">
        <v>251</v>
      </c>
      <c r="H5511" t="s" s="10">
        <v>251</v>
      </c>
      <c r="I5511" t="s" s="11">
        <v>251</v>
      </c>
      <c r="J5511" t="s" s="11">
        <v>20</v>
      </c>
      <c r="K5511" s="15"/>
      <c r="L5511" t="s" s="16">
        <f>HYPERLINK("http://csr.bu.edu/ftp/asl/asllvd/demos/verify_start_end_handshape_annotations//test_auto_move//signs_mov_separ_signers/Brady_5902.mov","MOV")</f>
        <v>21</v>
      </c>
      <c r="M5511" t="s" s="10">
        <v>40</v>
      </c>
      <c r="N5511" s="17">
        <v>57</v>
      </c>
      <c r="O5511" s="18">
        <v>1822</v>
      </c>
      <c r="P5511" s="18">
        <v>1849</v>
      </c>
      <c r="Q5511" s="15"/>
      <c r="R5511" t="s" s="16">
        <f>HYPERLINK("http://secrets.rutgers.edu:8080/data/asl-ftp/asllvd/demos/verify_start_end_handshape_annotations//test_auto_move//signs_mov_separ_signers/Brady_5902.mov","MOV")</f>
        <v>21</v>
      </c>
    </row>
    <row r="5512" s="2" customFormat="1" ht="13.5" customHeight="1">
      <c r="B5512" t="s" s="8">
        <v>52</v>
      </c>
      <c r="C5512" t="s" s="9">
        <v>53</v>
      </c>
      <c r="D5512" t="s" s="8">
        <v>53</v>
      </c>
      <c r="E5512" t="s" s="9">
        <v>53</v>
      </c>
      <c r="F5512" t="s" s="10">
        <v>53</v>
      </c>
      <c r="G5512" t="s" s="11">
        <v>53</v>
      </c>
      <c r="H5512" t="s" s="10">
        <v>53</v>
      </c>
      <c r="I5512" t="s" s="11">
        <v>53</v>
      </c>
      <c r="J5512" t="s" s="11">
        <v>53</v>
      </c>
      <c r="K5512" t="s" s="12">
        <v>53</v>
      </c>
      <c r="L5512" t="s" s="12">
        <v>53</v>
      </c>
      <c r="M5512" t="s" s="10">
        <v>53</v>
      </c>
      <c r="N5512" t="s" s="11">
        <v>53</v>
      </c>
      <c r="O5512" t="s" s="8">
        <v>53</v>
      </c>
      <c r="P5512" t="s" s="8">
        <v>53</v>
      </c>
      <c r="Q5512" t="s" s="12">
        <v>53</v>
      </c>
      <c r="R5512" t="s" s="12">
        <v>53</v>
      </c>
    </row>
    <row r="5513" s="2" customFormat="1" ht="13.5" customHeight="1">
      <c r="B5513" s="13"/>
      <c r="C5513" t="s" s="9">
        <v>16</v>
      </c>
      <c r="D5513" t="s" s="8">
        <v>1878</v>
      </c>
      <c r="E5513" t="s" s="9">
        <v>1879</v>
      </c>
      <c r="F5513" t="s" s="10">
        <v>251</v>
      </c>
      <c r="G5513" s="14"/>
      <c r="H5513" t="s" s="10">
        <v>251</v>
      </c>
      <c r="I5513" s="14"/>
      <c r="J5513" t="s" s="11">
        <v>20</v>
      </c>
      <c r="K5513" t="s" s="16">
        <f>HYPERLINK("http://csr.bu.edu/ftp/asl/asllvd/demos/verify_start_end_handshape_annotations//test_auto_move//signs_mov/5958.mov","MOV")</f>
        <v>21</v>
      </c>
      <c r="L5513" t="s" s="16">
        <f>HYPERLINK("http://csr.bu.edu/ftp/asl/asllvd/demos/verify_start_end_handshape_annotations//test_auto_move//signs_mov_separ_signers/Liz_5958.mov","MOV")</f>
        <v>21</v>
      </c>
      <c r="M5513" t="s" s="10">
        <v>36</v>
      </c>
      <c r="N5513" s="17">
        <v>12</v>
      </c>
      <c r="O5513" s="18">
        <v>1815</v>
      </c>
      <c r="P5513" s="18">
        <v>1847</v>
      </c>
      <c r="Q5513" t="s" s="16">
        <f>HYPERLINK("http://secrets.rutgers.edu:8080/data/asl-ftp/asllvd/demos/verify_start_end_handshape_annotations//test_auto_move//signs_mov/5958.mov","MOV")</f>
        <v>21</v>
      </c>
      <c r="R5513" t="s" s="16">
        <f>HYPERLINK("http://secrets.rutgers.edu:8080/data/asl-ftp/asllvd/demos/verify_start_end_handshape_annotations//test_auto_move//signs_mov_separ_signers/Liz_5958.mov","MOV")</f>
        <v>21</v>
      </c>
    </row>
    <row r="5514" s="2" customFormat="1" ht="13.5" customHeight="1">
      <c r="B5514" s="13"/>
      <c r="C5514" t="s" s="9">
        <v>30</v>
      </c>
      <c r="D5514" t="s" s="8">
        <v>1878</v>
      </c>
      <c r="E5514" t="s" s="9">
        <v>1879</v>
      </c>
      <c r="F5514" t="s" s="10">
        <v>251</v>
      </c>
      <c r="G5514" s="14"/>
      <c r="H5514" t="s" s="10">
        <v>251</v>
      </c>
      <c r="I5514" s="14"/>
      <c r="J5514" t="s" s="11">
        <v>20</v>
      </c>
      <c r="K5514" s="15"/>
      <c r="L5514" t="s" s="16">
        <f>HYPERLINK("http://csr.bu.edu/ftp/asl/asllvd/demos/verify_start_end_handshape_annotations//test_auto_move//signs_mov_separ_signers/Brady_5958.mov","MOV")</f>
        <v>21</v>
      </c>
      <c r="M5514" t="s" s="10">
        <v>40</v>
      </c>
      <c r="N5514" s="17">
        <v>57</v>
      </c>
      <c r="O5514" s="18">
        <v>1626</v>
      </c>
      <c r="P5514" s="18">
        <v>1657</v>
      </c>
      <c r="Q5514" s="15"/>
      <c r="R5514" t="s" s="16">
        <f>HYPERLINK("http://secrets.rutgers.edu:8080/data/asl-ftp/asllvd/demos/verify_start_end_handshape_annotations//test_auto_move//signs_mov_separ_signers/Brady_5958.mov","MOV")</f>
        <v>21</v>
      </c>
    </row>
    <row r="5515" s="2" customFormat="1" ht="13.5" customHeight="1">
      <c r="B5515" t="s" s="8">
        <v>1880</v>
      </c>
      <c r="C5515" t="s" s="9">
        <v>14</v>
      </c>
      <c r="D5515" t="s" s="8">
        <v>14</v>
      </c>
      <c r="E5515" t="s" s="9">
        <v>14</v>
      </c>
      <c r="F5515" t="s" s="10">
        <v>14</v>
      </c>
      <c r="G5515" t="s" s="11">
        <v>14</v>
      </c>
      <c r="H5515" t="s" s="10">
        <v>14</v>
      </c>
      <c r="I5515" t="s" s="11">
        <v>14</v>
      </c>
      <c r="J5515" t="s" s="11">
        <v>14</v>
      </c>
      <c r="K5515" t="s" s="12">
        <v>14</v>
      </c>
      <c r="L5515" t="s" s="12">
        <v>14</v>
      </c>
      <c r="M5515" t="s" s="10">
        <v>14</v>
      </c>
      <c r="N5515" t="s" s="11">
        <v>14</v>
      </c>
      <c r="O5515" t="s" s="8">
        <v>14</v>
      </c>
      <c r="P5515" t="s" s="8">
        <v>14</v>
      </c>
      <c r="Q5515" t="s" s="12">
        <v>14</v>
      </c>
      <c r="R5515" t="s" s="12">
        <v>14</v>
      </c>
    </row>
    <row r="5516" s="2" customFormat="1" ht="13.5" customHeight="1">
      <c r="B5516" s="13"/>
      <c r="C5516" t="s" s="9">
        <v>16</v>
      </c>
      <c r="D5516" t="s" s="8">
        <v>1880</v>
      </c>
      <c r="E5516" t="s" s="9">
        <v>1881</v>
      </c>
      <c r="F5516" t="s" s="10">
        <v>73</v>
      </c>
      <c r="G5516" t="s" s="11">
        <v>73</v>
      </c>
      <c r="H5516" t="s" s="10">
        <v>80</v>
      </c>
      <c r="I5516" t="s" s="11">
        <v>80</v>
      </c>
      <c r="J5516" t="s" s="11">
        <v>20</v>
      </c>
      <c r="K5516" s="15"/>
      <c r="L5516" t="s" s="16">
        <f>HYPERLINK("http://csr.bu.edu/ftp/asl/asllvd/demos/verify_start_end_handshape_annotations//test_auto_move//signs_mov_separ_signers/Liz_1195.mov","MOV")</f>
        <v>21</v>
      </c>
      <c r="M5516" t="s" s="10">
        <v>34</v>
      </c>
      <c r="N5516" s="17">
        <v>24</v>
      </c>
      <c r="O5516" s="18">
        <v>1470</v>
      </c>
      <c r="P5516" s="18">
        <v>1500</v>
      </c>
      <c r="Q5516" s="15"/>
      <c r="R5516" t="s" s="16">
        <f>HYPERLINK("http://secrets.rutgers.edu:8080/data/asl-ftp/asllvd/demos/verify_start_end_handshape_annotations//test_auto_move//signs_mov_separ_signers/Liz_1195.mov","MOV")</f>
        <v>21</v>
      </c>
    </row>
    <row r="5517" s="2" customFormat="1" ht="13.5" customHeight="1">
      <c r="B5517" s="13"/>
      <c r="C5517" t="s" s="9">
        <v>23</v>
      </c>
      <c r="D5517" t="s" s="8">
        <v>1880</v>
      </c>
      <c r="E5517" t="s" s="9">
        <v>1881</v>
      </c>
      <c r="F5517" t="s" s="10">
        <v>73</v>
      </c>
      <c r="G5517" t="s" s="11">
        <v>73</v>
      </c>
      <c r="H5517" t="s" s="10">
        <v>80</v>
      </c>
      <c r="I5517" t="s" s="11">
        <v>80</v>
      </c>
      <c r="J5517" t="s" s="11">
        <v>20</v>
      </c>
      <c r="K5517" t="s" s="16">
        <f>HYPERLINK("http://csr.bu.edu/ftp/asl/asllvd/demos/verify_start_end_handshape_annotations//test_auto_move//signs_mov/1195.mov","MOV")</f>
        <v>21</v>
      </c>
      <c r="L5517" t="s" s="16">
        <f>HYPERLINK("http://csr.bu.edu/ftp/asl/asllvd/demos/verify_start_end_handshape_annotations//test_auto_move//signs_mov_separ_signers/Tyler_1195.mov","MOV")</f>
        <v>21</v>
      </c>
      <c r="M5517" t="s" s="10">
        <v>92</v>
      </c>
      <c r="N5517" s="17">
        <v>52</v>
      </c>
      <c r="O5517" s="18">
        <v>2355</v>
      </c>
      <c r="P5517" s="18">
        <v>2372</v>
      </c>
      <c r="Q5517" t="s" s="16">
        <f>HYPERLINK("http://secrets.rutgers.edu:8080/data/asl-ftp/asllvd/demos/verify_start_end_handshape_annotations//test_auto_move//signs_mov/1195.mov","MOV")</f>
        <v>21</v>
      </c>
      <c r="R5517" t="s" s="16">
        <f>HYPERLINK("http://secrets.rutgers.edu:8080/data/asl-ftp/asllvd/demos/verify_start_end_handshape_annotations//test_auto_move//signs_mov_separ_signers/Tyler_1195.mov","MOV")</f>
        <v>21</v>
      </c>
    </row>
    <row r="5518" s="2" customFormat="1" ht="13.5" customHeight="1">
      <c r="B5518" s="13"/>
      <c r="C5518" t="s" s="9">
        <v>27</v>
      </c>
      <c r="D5518" t="s" s="8">
        <v>1880</v>
      </c>
      <c r="E5518" t="s" s="9">
        <v>1881</v>
      </c>
      <c r="F5518" t="s" s="10">
        <v>73</v>
      </c>
      <c r="G5518" t="s" s="11">
        <v>73</v>
      </c>
      <c r="H5518" t="s" s="10">
        <v>80</v>
      </c>
      <c r="I5518" t="s" s="11">
        <v>80</v>
      </c>
      <c r="J5518" t="s" s="11">
        <v>20</v>
      </c>
      <c r="K5518" s="15"/>
      <c r="L5518" t="s" s="16">
        <f>HYPERLINK("http://csr.bu.edu/ftp/asl/asllvd/demos/verify_start_end_handshape_annotations//test_auto_move//signs_mov_separ_signers/Naomi_1195.mov","MOV")</f>
        <v>21</v>
      </c>
      <c r="M5518" t="s" s="10">
        <v>38</v>
      </c>
      <c r="N5518" s="17">
        <v>20</v>
      </c>
      <c r="O5518" s="18">
        <v>6005</v>
      </c>
      <c r="P5518" s="18">
        <v>6020</v>
      </c>
      <c r="Q5518" s="15"/>
      <c r="R5518" t="s" s="16">
        <f>HYPERLINK("http://secrets.rutgers.edu:8080/data/asl-ftp/asllvd/demos/verify_start_end_handshape_annotations//test_auto_move//signs_mov_separ_signers/Naomi_1195.mov","MOV")</f>
        <v>21</v>
      </c>
    </row>
    <row r="5519" s="2" customFormat="1" ht="13.5" customHeight="1">
      <c r="B5519" s="13"/>
      <c r="C5519" t="s" s="9">
        <v>30</v>
      </c>
      <c r="D5519" t="s" s="8">
        <v>1880</v>
      </c>
      <c r="E5519" t="s" s="9">
        <v>1881</v>
      </c>
      <c r="F5519" t="s" s="10">
        <v>73</v>
      </c>
      <c r="G5519" t="s" s="11">
        <v>73</v>
      </c>
      <c r="H5519" t="s" s="10">
        <v>80</v>
      </c>
      <c r="I5519" t="s" s="11">
        <v>80</v>
      </c>
      <c r="J5519" t="s" s="11">
        <v>20</v>
      </c>
      <c r="K5519" s="15"/>
      <c r="L5519" t="s" s="16">
        <f>HYPERLINK("http://csr.bu.edu/ftp/asl/asllvd/demos/verify_start_end_handshape_annotations//test_auto_move//signs_mov_separ_signers/Brady_1195.mov","MOV")</f>
        <v>21</v>
      </c>
      <c r="M5519" t="s" s="10">
        <v>39</v>
      </c>
      <c r="N5519" s="17">
        <v>35</v>
      </c>
      <c r="O5519" s="18">
        <v>4615</v>
      </c>
      <c r="P5519" s="18">
        <v>4635</v>
      </c>
      <c r="Q5519" s="15"/>
      <c r="R5519" t="s" s="16">
        <f>HYPERLINK("http://secrets.rutgers.edu:8080/data/asl-ftp/asllvd/demos/verify_start_end_handshape_annotations//test_auto_move//signs_mov_separ_signers/Brady_1195.mov","MOV")</f>
        <v>21</v>
      </c>
    </row>
    <row r="5520" s="2" customFormat="1" ht="13.5" customHeight="1">
      <c r="B5520" t="s" s="8">
        <v>1882</v>
      </c>
      <c r="C5520" t="s" s="9">
        <v>14</v>
      </c>
      <c r="D5520" t="s" s="8">
        <v>14</v>
      </c>
      <c r="E5520" t="s" s="9">
        <v>14</v>
      </c>
      <c r="F5520" t="s" s="10">
        <v>14</v>
      </c>
      <c r="G5520" t="s" s="11">
        <v>14</v>
      </c>
      <c r="H5520" t="s" s="10">
        <v>14</v>
      </c>
      <c r="I5520" t="s" s="11">
        <v>14</v>
      </c>
      <c r="J5520" t="s" s="11">
        <v>14</v>
      </c>
      <c r="K5520" t="s" s="12">
        <v>14</v>
      </c>
      <c r="L5520" t="s" s="12">
        <v>14</v>
      </c>
      <c r="M5520" t="s" s="10">
        <v>14</v>
      </c>
      <c r="N5520" t="s" s="11">
        <v>14</v>
      </c>
      <c r="O5520" t="s" s="8">
        <v>14</v>
      </c>
      <c r="P5520" t="s" s="8">
        <v>14</v>
      </c>
      <c r="Q5520" t="s" s="12">
        <v>14</v>
      </c>
      <c r="R5520" t="s" s="12">
        <v>14</v>
      </c>
    </row>
    <row r="5521" s="2" customFormat="1" ht="13.5" customHeight="1">
      <c r="B5521" s="13"/>
      <c r="C5521" t="s" s="9">
        <v>16</v>
      </c>
      <c r="D5521" t="s" s="8">
        <v>1882</v>
      </c>
      <c r="E5521" t="s" s="9">
        <v>1882</v>
      </c>
      <c r="F5521" t="s" s="10">
        <v>341</v>
      </c>
      <c r="G5521" s="14"/>
      <c r="H5521" t="s" s="10">
        <v>342</v>
      </c>
      <c r="I5521" s="14"/>
      <c r="J5521" t="s" s="11">
        <v>20</v>
      </c>
      <c r="K5521" s="15"/>
      <c r="L5521" t="s" s="16">
        <f>HYPERLINK("http://csr.bu.edu/ftp/asl/asllvd/demos/verify_start_end_handshape_annotations//test_auto_move//signs_mov_separ_signers/Liz_1199.mov","MOV")</f>
        <v>21</v>
      </c>
      <c r="M5521" t="s" s="10">
        <v>34</v>
      </c>
      <c r="N5521" s="17">
        <v>24</v>
      </c>
      <c r="O5521" s="18">
        <v>2460</v>
      </c>
      <c r="P5521" s="18">
        <v>2507</v>
      </c>
      <c r="Q5521" s="15"/>
      <c r="R5521" t="s" s="16">
        <f>HYPERLINK("http://secrets.rutgers.edu:8080/data/asl-ftp/asllvd/demos/verify_start_end_handshape_annotations//test_auto_move//signs_mov_separ_signers/Liz_1199.mov","MOV")</f>
        <v>21</v>
      </c>
    </row>
    <row r="5522" s="2" customFormat="1" ht="13.5" customHeight="1">
      <c r="B5522" s="13"/>
      <c r="C5522" t="s" s="9">
        <v>27</v>
      </c>
      <c r="D5522" t="s" s="8">
        <v>1882</v>
      </c>
      <c r="E5522" t="s" s="9">
        <v>1882</v>
      </c>
      <c r="F5522" t="s" s="10">
        <v>240</v>
      </c>
      <c r="G5522" s="14"/>
      <c r="H5522" t="s" s="10">
        <v>425</v>
      </c>
      <c r="I5522" s="14"/>
      <c r="J5522" t="s" s="11">
        <v>20</v>
      </c>
      <c r="K5522" s="15"/>
      <c r="L5522" t="s" s="16">
        <f>HYPERLINK("http://csr.bu.edu/ftp/asl/asllvd/demos/verify_start_end_handshape_annotations//test_auto_move//signs_mov_separ_signers/Naomi_1199.mov","MOV")</f>
        <v>21</v>
      </c>
      <c r="M5522" t="s" s="10">
        <v>38</v>
      </c>
      <c r="N5522" s="17">
        <v>20</v>
      </c>
      <c r="O5522" s="18">
        <v>7310</v>
      </c>
      <c r="P5522" s="18">
        <v>7340</v>
      </c>
      <c r="Q5522" s="15"/>
      <c r="R5522" t="s" s="16">
        <f>HYPERLINK("http://secrets.rutgers.edu:8080/data/asl-ftp/asllvd/demos/verify_start_end_handshape_annotations//test_auto_move//signs_mov_separ_signers/Naomi_1199.mov","MOV")</f>
        <v>21</v>
      </c>
    </row>
    <row r="5523" s="2" customFormat="1" ht="13.5" customHeight="1">
      <c r="B5523" s="13"/>
      <c r="C5523" t="s" s="9">
        <v>30</v>
      </c>
      <c r="D5523" t="s" s="8">
        <v>1882</v>
      </c>
      <c r="E5523" t="s" s="9">
        <v>1882</v>
      </c>
      <c r="F5523" t="s" s="10">
        <v>341</v>
      </c>
      <c r="G5523" s="14"/>
      <c r="H5523" t="s" s="10">
        <v>341</v>
      </c>
      <c r="I5523" s="14"/>
      <c r="J5523" t="s" s="11">
        <v>20</v>
      </c>
      <c r="K5523" t="s" s="16">
        <f>HYPERLINK("http://csr.bu.edu/ftp/asl/asllvd/demos/verify_start_end_handshape_annotations//test_auto_move//signs_mov/1199.mov","MOV")</f>
        <v>21</v>
      </c>
      <c r="L5523" t="s" s="16">
        <f>HYPERLINK("http://csr.bu.edu/ftp/asl/asllvd/demos/verify_start_end_handshape_annotations//test_auto_move//signs_mov_separ_signers/Brady_1199.mov","MOV")</f>
        <v>21</v>
      </c>
      <c r="M5523" t="s" s="10">
        <v>39</v>
      </c>
      <c r="N5523" s="17">
        <v>35</v>
      </c>
      <c r="O5523" s="18">
        <v>5571</v>
      </c>
      <c r="P5523" s="18">
        <v>5592</v>
      </c>
      <c r="Q5523" t="s" s="16">
        <f>HYPERLINK("http://secrets.rutgers.edu:8080/data/asl-ftp/asllvd/demos/verify_start_end_handshape_annotations//test_auto_move//signs_mov/1199.mov","MOV")</f>
        <v>21</v>
      </c>
      <c r="R5523" t="s" s="16">
        <f>HYPERLINK("http://secrets.rutgers.edu:8080/data/asl-ftp/asllvd/demos/verify_start_end_handshape_annotations//test_auto_move//signs_mov_separ_signers/Brady_1199.mov","MOV")</f>
        <v>21</v>
      </c>
    </row>
    <row r="5524" s="2" customFormat="1" ht="13.5" customHeight="1">
      <c r="B5524" s="13"/>
      <c r="C5524" t="s" s="9">
        <v>41</v>
      </c>
      <c r="D5524" t="s" s="8">
        <v>1882</v>
      </c>
      <c r="E5524" t="s" s="9">
        <v>1882</v>
      </c>
      <c r="F5524" t="s" s="10">
        <v>240</v>
      </c>
      <c r="G5524" s="14"/>
      <c r="H5524" t="s" s="10">
        <v>240</v>
      </c>
      <c r="I5524" s="14"/>
      <c r="J5524" t="s" s="11">
        <v>20</v>
      </c>
      <c r="K5524" s="15"/>
      <c r="L5524" t="s" s="16">
        <f>HYPERLINK("http://csr.bu.edu/ftp/asl/asllvd/demos/verify_start_end_handshape_annotations//test_auto_move//signs_mov_separ_signers/Lana_1199.mov","MOV")</f>
        <v>21</v>
      </c>
      <c r="M5524" t="s" s="10">
        <v>42</v>
      </c>
      <c r="N5524" s="17">
        <v>15</v>
      </c>
      <c r="O5524" s="18">
        <v>641</v>
      </c>
      <c r="P5524" s="18">
        <v>681</v>
      </c>
      <c r="Q5524" s="15"/>
      <c r="R5524" t="s" s="16">
        <f>HYPERLINK("http://secrets.rutgers.edu:8080/data/asl-ftp/asllvd/demos/verify_start_end_handshape_annotations//test_auto_move//signs_mov_separ_signers/Lana_1199.mov","MOV")</f>
        <v>21</v>
      </c>
    </row>
    <row r="5525" s="2" customFormat="1" ht="13.5" customHeight="1">
      <c r="B5525" s="13"/>
      <c r="C5525" t="s" s="9">
        <v>43</v>
      </c>
      <c r="D5525" t="s" s="8">
        <v>1882</v>
      </c>
      <c r="E5525" t="s" s="9">
        <v>1882</v>
      </c>
      <c r="F5525" t="s" s="10">
        <v>240</v>
      </c>
      <c r="G5525" s="14"/>
      <c r="H5525" t="s" s="10">
        <v>240</v>
      </c>
      <c r="I5525" s="14"/>
      <c r="J5525" t="s" s="11">
        <v>20</v>
      </c>
      <c r="K5525" s="15"/>
      <c r="L5525" t="s" s="16">
        <f>HYPERLINK("http://csr.bu.edu/ftp/asl/asllvd/demos/verify_start_end_handshape_annotations//test_auto_move//signs_mov_separ_signers/Dana_1199.mov","MOV")</f>
        <v>21</v>
      </c>
      <c r="M5525" t="s" s="10">
        <v>44</v>
      </c>
      <c r="N5525" s="17">
        <v>18</v>
      </c>
      <c r="O5525" s="18">
        <v>554</v>
      </c>
      <c r="P5525" s="18">
        <v>616</v>
      </c>
      <c r="Q5525" s="15"/>
      <c r="R5525" t="s" s="16">
        <f>HYPERLINK("http://secrets.rutgers.edu:8080/data/asl-ftp/asllvd/demos/verify_start_end_handshape_annotations//test_auto_move//signs_mov_separ_signers/Dana_1199.mov","MOV")</f>
        <v>21</v>
      </c>
    </row>
    <row r="5526" s="2" customFormat="1" ht="13.5" customHeight="1">
      <c r="B5526" t="s" s="8">
        <v>52</v>
      </c>
      <c r="C5526" t="s" s="9">
        <v>53</v>
      </c>
      <c r="D5526" t="s" s="8">
        <v>53</v>
      </c>
      <c r="E5526" t="s" s="9">
        <v>53</v>
      </c>
      <c r="F5526" t="s" s="10">
        <v>53</v>
      </c>
      <c r="G5526" t="s" s="11">
        <v>53</v>
      </c>
      <c r="H5526" t="s" s="10">
        <v>53</v>
      </c>
      <c r="I5526" t="s" s="11">
        <v>53</v>
      </c>
      <c r="J5526" t="s" s="11">
        <v>53</v>
      </c>
      <c r="K5526" t="s" s="12">
        <v>53</v>
      </c>
      <c r="L5526" t="s" s="12">
        <v>53</v>
      </c>
      <c r="M5526" t="s" s="10">
        <v>53</v>
      </c>
      <c r="N5526" t="s" s="11">
        <v>53</v>
      </c>
      <c r="O5526" t="s" s="8">
        <v>53</v>
      </c>
      <c r="P5526" t="s" s="8">
        <v>53</v>
      </c>
      <c r="Q5526" t="s" s="12">
        <v>53</v>
      </c>
      <c r="R5526" t="s" s="12">
        <v>53</v>
      </c>
    </row>
    <row r="5527" s="2" customFormat="1" ht="13.5" customHeight="1">
      <c r="B5527" s="13"/>
      <c r="C5527" t="s" s="9">
        <v>16</v>
      </c>
      <c r="D5527" t="s" s="8">
        <v>1882</v>
      </c>
      <c r="E5527" t="s" s="9">
        <v>1883</v>
      </c>
      <c r="F5527" s="19">
        <v>10</v>
      </c>
      <c r="G5527" s="14"/>
      <c r="H5527" s="19">
        <v>10</v>
      </c>
      <c r="I5527" s="14"/>
      <c r="J5527" t="s" s="11">
        <v>20</v>
      </c>
      <c r="K5527" t="s" s="16">
        <f>HYPERLINK("http://csr.bu.edu/ftp/asl/asllvd/demos/verify_start_end_handshape_annotations//test_auto_move//signs_mov/3879.mov","MOV")</f>
        <v>21</v>
      </c>
      <c r="L5527" t="s" s="16">
        <f>HYPERLINK("http://csr.bu.edu/ftp/asl/asllvd/demos/verify_start_end_handshape_annotations//test_auto_move//signs_mov_separ_signers/Liz_3879.mov","MOV")</f>
        <v>21</v>
      </c>
      <c r="M5527" t="s" s="10">
        <v>77</v>
      </c>
      <c r="N5527" s="17">
        <v>6</v>
      </c>
      <c r="O5527" s="18">
        <v>1492</v>
      </c>
      <c r="P5527" s="18">
        <v>1577</v>
      </c>
      <c r="Q5527" t="s" s="16">
        <f>HYPERLINK("http://secrets.rutgers.edu:8080/data/asl-ftp/asllvd/demos/verify_start_end_handshape_annotations//test_auto_move//signs_mov/3879.mov","MOV")</f>
        <v>21</v>
      </c>
      <c r="R5527" t="s" s="16">
        <f>HYPERLINK("http://secrets.rutgers.edu:8080/data/asl-ftp/asllvd/demos/verify_start_end_handshape_annotations//test_auto_move//signs_mov_separ_signers/Liz_3879.mov","MOV")</f>
        <v>21</v>
      </c>
    </row>
    <row r="5528" s="2" customFormat="1" ht="13.5" customHeight="1">
      <c r="B5528" t="s" s="8">
        <v>1882</v>
      </c>
      <c r="C5528" t="s" s="9">
        <v>14</v>
      </c>
      <c r="D5528" t="s" s="8">
        <v>14</v>
      </c>
      <c r="E5528" t="s" s="9">
        <v>14</v>
      </c>
      <c r="F5528" t="s" s="10">
        <v>14</v>
      </c>
      <c r="G5528" t="s" s="11">
        <v>14</v>
      </c>
      <c r="H5528" t="s" s="10">
        <v>14</v>
      </c>
      <c r="I5528" t="s" s="11">
        <v>14</v>
      </c>
      <c r="J5528" t="s" s="11">
        <v>14</v>
      </c>
      <c r="K5528" t="s" s="12">
        <v>14</v>
      </c>
      <c r="L5528" t="s" s="12">
        <v>14</v>
      </c>
      <c r="M5528" t="s" s="10">
        <v>14</v>
      </c>
      <c r="N5528" t="s" s="11">
        <v>14</v>
      </c>
      <c r="O5528" t="s" s="8">
        <v>14</v>
      </c>
      <c r="P5528" t="s" s="8">
        <v>14</v>
      </c>
      <c r="Q5528" t="s" s="12">
        <v>14</v>
      </c>
      <c r="R5528" t="s" s="12">
        <v>14</v>
      </c>
    </row>
    <row r="5529" s="2" customFormat="1" ht="13.5" customHeight="1">
      <c r="B5529" s="13"/>
      <c r="C5529" t="s" s="9">
        <v>16</v>
      </c>
      <c r="D5529" t="s" s="8">
        <v>1884</v>
      </c>
      <c r="E5529" t="s" s="9">
        <v>1884</v>
      </c>
      <c r="F5529" t="s" s="10">
        <v>55</v>
      </c>
      <c r="G5529" s="14"/>
      <c r="H5529" t="s" s="10">
        <v>55</v>
      </c>
      <c r="I5529" s="14"/>
      <c r="J5529" t="s" s="11">
        <v>20</v>
      </c>
      <c r="K5529" t="s" s="16">
        <f>HYPERLINK("http://csr.bu.edu/ftp/asl/asllvd/demos/verify_start_end_handshape_annotations//test_auto_move//signs_mov/3909.mov","MOV")</f>
        <v>21</v>
      </c>
      <c r="L5529" t="s" s="16">
        <f>HYPERLINK("http://csr.bu.edu/ftp/asl/asllvd/demos/verify_start_end_handshape_annotations//test_auto_move//signs_mov_separ_signers/Liz_3909.mov","MOV")</f>
        <v>21</v>
      </c>
      <c r="M5529" t="s" s="10">
        <v>77</v>
      </c>
      <c r="N5529" s="17">
        <v>11</v>
      </c>
      <c r="O5529" s="18">
        <v>4470</v>
      </c>
      <c r="P5529" s="18">
        <v>4550</v>
      </c>
      <c r="Q5529" t="s" s="16">
        <f>HYPERLINK("http://secrets.rutgers.edu:8080/data/asl-ftp/asllvd/demos/verify_start_end_handshape_annotations//test_auto_move//signs_mov/3909.mov","MOV")</f>
        <v>21</v>
      </c>
      <c r="R5529" t="s" s="16">
        <f>HYPERLINK("http://secrets.rutgers.edu:8080/data/asl-ftp/asllvd/demos/verify_start_end_handshape_annotations//test_auto_move//signs_mov_separ_signers/Liz_3909.mov","MOV")</f>
        <v>21</v>
      </c>
    </row>
    <row r="5530" s="2" customFormat="1" ht="13.5" customHeight="1">
      <c r="B5530" t="s" s="8">
        <v>52</v>
      </c>
      <c r="C5530" t="s" s="9">
        <v>53</v>
      </c>
      <c r="D5530" t="s" s="8">
        <v>53</v>
      </c>
      <c r="E5530" t="s" s="9">
        <v>53</v>
      </c>
      <c r="F5530" t="s" s="10">
        <v>53</v>
      </c>
      <c r="G5530" t="s" s="11">
        <v>53</v>
      </c>
      <c r="H5530" t="s" s="10">
        <v>53</v>
      </c>
      <c r="I5530" t="s" s="11">
        <v>53</v>
      </c>
      <c r="J5530" t="s" s="11">
        <v>53</v>
      </c>
      <c r="K5530" t="s" s="12">
        <v>53</v>
      </c>
      <c r="L5530" t="s" s="12">
        <v>53</v>
      </c>
      <c r="M5530" t="s" s="10">
        <v>53</v>
      </c>
      <c r="N5530" t="s" s="11">
        <v>53</v>
      </c>
      <c r="O5530" t="s" s="8">
        <v>53</v>
      </c>
      <c r="P5530" t="s" s="8">
        <v>53</v>
      </c>
      <c r="Q5530" t="s" s="12">
        <v>53</v>
      </c>
      <c r="R5530" t="s" s="12">
        <v>53</v>
      </c>
    </row>
    <row r="5531" s="2" customFormat="1" ht="13.5" customHeight="1">
      <c r="B5531" s="13"/>
      <c r="C5531" t="s" s="9">
        <v>30</v>
      </c>
      <c r="D5531" t="s" s="8">
        <v>1884</v>
      </c>
      <c r="E5531" t="s" s="9">
        <v>1885</v>
      </c>
      <c r="F5531" t="s" s="10">
        <v>240</v>
      </c>
      <c r="G5531" s="14"/>
      <c r="H5531" t="s" s="10">
        <v>240</v>
      </c>
      <c r="I5531" s="14"/>
      <c r="J5531" t="s" s="11">
        <v>20</v>
      </c>
      <c r="K5531" t="s" s="16">
        <f>HYPERLINK("http://csr.bu.edu/ftp/asl/asllvd/demos/verify_start_end_handshape_annotations//test_auto_move//signs_mov/5220.mov","MOV")</f>
        <v>21</v>
      </c>
      <c r="L5531" t="s" s="16">
        <f>HYPERLINK("http://csr.bu.edu/ftp/asl/asllvd/demos/verify_start_end_handshape_annotations//test_auto_move//signs_mov_separ_signers/Brady_5220.mov","MOV")</f>
        <v>21</v>
      </c>
      <c r="M5531" t="s" s="10">
        <v>39</v>
      </c>
      <c r="N5531" s="17">
        <v>35</v>
      </c>
      <c r="O5531" s="18">
        <v>6029</v>
      </c>
      <c r="P5531" s="18">
        <v>6057</v>
      </c>
      <c r="Q5531" t="s" s="16">
        <f>HYPERLINK("http://secrets.rutgers.edu:8080/data/asl-ftp/asllvd/demos/verify_start_end_handshape_annotations//test_auto_move//signs_mov/5220.mov","MOV")</f>
        <v>21</v>
      </c>
      <c r="R5531" t="s" s="16">
        <f>HYPERLINK("http://secrets.rutgers.edu:8080/data/asl-ftp/asllvd/demos/verify_start_end_handshape_annotations//test_auto_move//signs_mov_separ_signers/Brady_5220.mov","MOV")</f>
        <v>21</v>
      </c>
    </row>
    <row r="5532" s="2" customFormat="1" ht="13.5" customHeight="1">
      <c r="B5532" t="s" s="8">
        <v>1886</v>
      </c>
      <c r="C5532" t="s" s="9">
        <v>14</v>
      </c>
      <c r="D5532" t="s" s="8">
        <v>14</v>
      </c>
      <c r="E5532" t="s" s="9">
        <v>14</v>
      </c>
      <c r="F5532" t="s" s="10">
        <v>14</v>
      </c>
      <c r="G5532" t="s" s="11">
        <v>14</v>
      </c>
      <c r="H5532" t="s" s="10">
        <v>14</v>
      </c>
      <c r="I5532" t="s" s="11">
        <v>14</v>
      </c>
      <c r="J5532" t="s" s="11">
        <v>14</v>
      </c>
      <c r="K5532" t="s" s="12">
        <v>14</v>
      </c>
      <c r="L5532" t="s" s="12">
        <v>14</v>
      </c>
      <c r="M5532" t="s" s="10">
        <v>14</v>
      </c>
      <c r="N5532" t="s" s="11">
        <v>14</v>
      </c>
      <c r="O5532" t="s" s="8">
        <v>14</v>
      </c>
      <c r="P5532" t="s" s="8">
        <v>14</v>
      </c>
      <c r="Q5532" t="s" s="12">
        <v>14</v>
      </c>
      <c r="R5532" t="s" s="12">
        <v>14</v>
      </c>
    </row>
    <row r="5533" s="2" customFormat="1" ht="13.5" customHeight="1">
      <c r="B5533" s="13"/>
      <c r="C5533" t="s" s="9">
        <v>16</v>
      </c>
      <c r="D5533" t="s" s="8">
        <v>1886</v>
      </c>
      <c r="E5533" t="s" s="9">
        <v>1886</v>
      </c>
      <c r="F5533" t="s" s="10">
        <v>220</v>
      </c>
      <c r="G5533" s="14"/>
      <c r="H5533" t="s" s="10">
        <v>220</v>
      </c>
      <c r="I5533" s="14"/>
      <c r="J5533" t="s" s="11">
        <v>20</v>
      </c>
      <c r="K5533" t="s" s="16">
        <f>HYPERLINK("http://csr.bu.edu/ftp/asl/asllvd/demos/verify_start_end_handshape_annotations//test_auto_move//signs_mov/15519.mov","MOV")</f>
        <v>21</v>
      </c>
      <c r="L5533" t="s" s="16">
        <f>HYPERLINK("http://csr.bu.edu/ftp/asl/asllvd/demos/verify_start_end_handshape_annotations//test_auto_move//signs_mov_separ_signers/Liz_15519.mov","MOV")</f>
        <v>21</v>
      </c>
      <c r="M5533" t="s" s="10">
        <v>88</v>
      </c>
      <c r="N5533" s="17">
        <v>32</v>
      </c>
      <c r="O5533" s="18">
        <v>2766</v>
      </c>
      <c r="P5533" s="18">
        <v>2810</v>
      </c>
      <c r="Q5533" t="s" s="16">
        <f>HYPERLINK("http://secrets.rutgers.edu:8080/data/asl-ftp/asllvd/demos/verify_start_end_handshape_annotations//test_auto_move//signs_mov/15519.mov","MOV")</f>
        <v>21</v>
      </c>
      <c r="R5533" t="s" s="16">
        <f>HYPERLINK("http://secrets.rutgers.edu:8080/data/asl-ftp/asllvd/demos/verify_start_end_handshape_annotations//test_auto_move//signs_mov_separ_signers/Liz_15519.mov","MOV")</f>
        <v>21</v>
      </c>
    </row>
    <row r="5534" s="2" customFormat="1" ht="13.5" customHeight="1">
      <c r="B5534" s="13"/>
      <c r="C5534" t="s" s="9">
        <v>30</v>
      </c>
      <c r="D5534" t="s" s="8">
        <v>1886</v>
      </c>
      <c r="E5534" t="s" s="9">
        <v>1886</v>
      </c>
      <c r="F5534" t="s" s="10">
        <v>220</v>
      </c>
      <c r="G5534" s="14"/>
      <c r="H5534" t="s" s="10">
        <v>220</v>
      </c>
      <c r="I5534" s="14"/>
      <c r="J5534" t="s" s="11">
        <v>20</v>
      </c>
      <c r="K5534" s="15"/>
      <c r="L5534" t="s" s="16">
        <f>HYPERLINK("http://csr.bu.edu/ftp/asl/asllvd/demos/verify_start_end_handshape_annotations//test_auto_move//signs_mov_separ_signers/Brady_15519.mov","MOV")</f>
        <v>21</v>
      </c>
      <c r="M5534" t="s" s="10">
        <v>40</v>
      </c>
      <c r="N5534" s="17">
        <v>27</v>
      </c>
      <c r="O5534" s="18">
        <v>2433</v>
      </c>
      <c r="P5534" s="18">
        <v>2467</v>
      </c>
      <c r="Q5534" s="15"/>
      <c r="R5534" t="s" s="16">
        <f>HYPERLINK("http://secrets.rutgers.edu:8080/data/asl-ftp/asllvd/demos/verify_start_end_handshape_annotations//test_auto_move//signs_mov_separ_signers/Brady_15519.mov","MOV")</f>
        <v>21</v>
      </c>
    </row>
    <row r="5535" s="2" customFormat="1" ht="13.5" customHeight="1">
      <c r="B5535" t="s" s="8">
        <v>1887</v>
      </c>
      <c r="C5535" t="s" s="9">
        <v>14</v>
      </c>
      <c r="D5535" t="s" s="8">
        <v>14</v>
      </c>
      <c r="E5535" t="s" s="9">
        <v>14</v>
      </c>
      <c r="F5535" t="s" s="10">
        <v>14</v>
      </c>
      <c r="G5535" t="s" s="11">
        <v>14</v>
      </c>
      <c r="H5535" t="s" s="10">
        <v>14</v>
      </c>
      <c r="I5535" t="s" s="11">
        <v>14</v>
      </c>
      <c r="J5535" t="s" s="11">
        <v>14</v>
      </c>
      <c r="K5535" t="s" s="12">
        <v>14</v>
      </c>
      <c r="L5535" t="s" s="12">
        <v>14</v>
      </c>
      <c r="M5535" t="s" s="10">
        <v>14</v>
      </c>
      <c r="N5535" t="s" s="11">
        <v>14</v>
      </c>
      <c r="O5535" t="s" s="8">
        <v>14</v>
      </c>
      <c r="P5535" t="s" s="8">
        <v>14</v>
      </c>
      <c r="Q5535" t="s" s="12">
        <v>14</v>
      </c>
      <c r="R5535" t="s" s="12">
        <v>14</v>
      </c>
    </row>
    <row r="5536" s="2" customFormat="1" ht="13.5" customHeight="1">
      <c r="B5536" s="13"/>
      <c r="C5536" t="s" s="9">
        <v>16</v>
      </c>
      <c r="D5536" t="s" s="8">
        <v>1887</v>
      </c>
      <c r="E5536" t="s" s="9">
        <v>1887</v>
      </c>
      <c r="F5536" t="s" s="10">
        <v>185</v>
      </c>
      <c r="G5536" s="14"/>
      <c r="H5536" t="s" s="10">
        <v>185</v>
      </c>
      <c r="I5536" s="14"/>
      <c r="J5536" t="s" s="11">
        <v>20</v>
      </c>
      <c r="K5536" s="15"/>
      <c r="L5536" t="s" s="16">
        <f>HYPERLINK("http://csr.bu.edu/ftp/asl/asllvd/demos/verify_start_end_handshape_annotations//test_auto_move//signs_mov_separ_signers/Liz_1200.mov","MOV")</f>
        <v>21</v>
      </c>
      <c r="M5536" t="s" s="10">
        <v>34</v>
      </c>
      <c r="N5536" s="17">
        <v>25</v>
      </c>
      <c r="O5536" s="18">
        <v>222</v>
      </c>
      <c r="P5536" s="18">
        <v>255</v>
      </c>
      <c r="Q5536" s="15"/>
      <c r="R5536" t="s" s="16">
        <f>HYPERLINK("http://secrets.rutgers.edu:8080/data/asl-ftp/asllvd/demos/verify_start_end_handshape_annotations//test_auto_move//signs_mov_separ_signers/Liz_1200.mov","MOV")</f>
        <v>21</v>
      </c>
    </row>
    <row r="5537" s="2" customFormat="1" ht="13.5" customHeight="1">
      <c r="B5537" s="13"/>
      <c r="C5537" t="s" s="9">
        <v>27</v>
      </c>
      <c r="D5537" t="s" s="8">
        <v>1887</v>
      </c>
      <c r="E5537" t="s" s="9">
        <v>1887</v>
      </c>
      <c r="F5537" t="s" s="10">
        <v>75</v>
      </c>
      <c r="G5537" s="14"/>
      <c r="H5537" t="s" s="10">
        <v>75</v>
      </c>
      <c r="I5537" s="14"/>
      <c r="J5537" t="s" s="11">
        <v>20</v>
      </c>
      <c r="K5537" t="s" s="16">
        <f>HYPERLINK("http://csr.bu.edu/ftp/asl/asllvd/demos/verify_start_end_handshape_annotations//test_auto_move//signs_mov/1200.mov","MOV")</f>
        <v>21</v>
      </c>
      <c r="L5537" t="s" s="16">
        <f>HYPERLINK("http://csr.bu.edu/ftp/asl/asllvd/demos/verify_start_end_handshape_annotations//test_auto_move//signs_mov_separ_signers/Naomi_1200.mov","MOV")</f>
        <v>21</v>
      </c>
      <c r="M5537" t="s" s="10">
        <v>38</v>
      </c>
      <c r="N5537" s="17">
        <v>20</v>
      </c>
      <c r="O5537" s="18">
        <v>7742</v>
      </c>
      <c r="P5537" s="18">
        <v>7755</v>
      </c>
      <c r="Q5537" t="s" s="16">
        <f>HYPERLINK("http://secrets.rutgers.edu:8080/data/asl-ftp/asllvd/demos/verify_start_end_handshape_annotations//test_auto_move//signs_mov/1200.mov","MOV")</f>
        <v>21</v>
      </c>
      <c r="R5537" t="s" s="16">
        <f>HYPERLINK("http://secrets.rutgers.edu:8080/data/asl-ftp/asllvd/demos/verify_start_end_handshape_annotations//test_auto_move//signs_mov_separ_signers/Naomi_1200.mov","MOV")</f>
        <v>21</v>
      </c>
    </row>
    <row r="5538" s="2" customFormat="1" ht="13.5" customHeight="1">
      <c r="B5538" s="13"/>
      <c r="C5538" t="s" s="9">
        <v>30</v>
      </c>
      <c r="D5538" t="s" s="8">
        <v>1887</v>
      </c>
      <c r="E5538" t="s" s="9">
        <v>1887</v>
      </c>
      <c r="F5538" t="s" s="10">
        <v>72</v>
      </c>
      <c r="G5538" s="14"/>
      <c r="H5538" t="s" s="10">
        <v>72</v>
      </c>
      <c r="I5538" s="14"/>
      <c r="J5538" t="s" s="11">
        <v>20</v>
      </c>
      <c r="K5538" s="15"/>
      <c r="L5538" t="s" s="16">
        <f>HYPERLINK("http://csr.bu.edu/ftp/asl/asllvd/demos/verify_start_end_handshape_annotations//test_auto_move//signs_mov_separ_signers/Brady_1200.mov","MOV")</f>
        <v>21</v>
      </c>
      <c r="M5538" t="s" s="10">
        <v>39</v>
      </c>
      <c r="N5538" s="17">
        <v>35</v>
      </c>
      <c r="O5538" s="18">
        <v>6300</v>
      </c>
      <c r="P5538" s="18">
        <v>6313</v>
      </c>
      <c r="Q5538" s="15"/>
      <c r="R5538" t="s" s="16">
        <f>HYPERLINK("http://secrets.rutgers.edu:8080/data/asl-ftp/asllvd/demos/verify_start_end_handshape_annotations//test_auto_move//signs_mov_separ_signers/Brady_1200.mov","MOV")</f>
        <v>21</v>
      </c>
    </row>
    <row r="5539" s="2" customFormat="1" ht="13.5" customHeight="1">
      <c r="B5539" s="13"/>
      <c r="C5539" t="s" s="9">
        <v>41</v>
      </c>
      <c r="D5539" t="s" s="8">
        <v>1887</v>
      </c>
      <c r="E5539" t="s" s="9">
        <v>1887</v>
      </c>
      <c r="F5539" t="s" s="10">
        <v>75</v>
      </c>
      <c r="G5539" s="14"/>
      <c r="H5539" t="s" s="10">
        <v>75</v>
      </c>
      <c r="I5539" s="14"/>
      <c r="J5539" t="s" s="11">
        <v>20</v>
      </c>
      <c r="K5539" s="15"/>
      <c r="L5539" t="s" s="16">
        <f>HYPERLINK("http://csr.bu.edu/ftp/asl/asllvd/demos/verify_start_end_handshape_annotations//test_auto_move//signs_mov_separ_signers/Lana_1200.mov","MOV")</f>
        <v>21</v>
      </c>
      <c r="M5539" t="s" s="10">
        <v>442</v>
      </c>
      <c r="N5539" s="17">
        <v>61</v>
      </c>
      <c r="O5539" s="18">
        <v>1533</v>
      </c>
      <c r="P5539" s="18">
        <v>1555</v>
      </c>
      <c r="Q5539" s="15"/>
      <c r="R5539" t="s" s="16">
        <f>HYPERLINK("http://secrets.rutgers.edu:8080/data/asl-ftp/asllvd/demos/verify_start_end_handshape_annotations//test_auto_move//signs_mov_separ_signers/Lana_1200.mov","MOV")</f>
        <v>21</v>
      </c>
    </row>
    <row r="5540" s="2" customFormat="1" ht="13.5" customHeight="1">
      <c r="B5540" t="s" s="8">
        <v>1888</v>
      </c>
      <c r="C5540" t="s" s="9">
        <v>14</v>
      </c>
      <c r="D5540" t="s" s="8">
        <v>14</v>
      </c>
      <c r="E5540" t="s" s="9">
        <v>14</v>
      </c>
      <c r="F5540" t="s" s="10">
        <v>14</v>
      </c>
      <c r="G5540" t="s" s="11">
        <v>14</v>
      </c>
      <c r="H5540" t="s" s="10">
        <v>14</v>
      </c>
      <c r="I5540" t="s" s="11">
        <v>14</v>
      </c>
      <c r="J5540" t="s" s="11">
        <v>14</v>
      </c>
      <c r="K5540" t="s" s="12">
        <v>14</v>
      </c>
      <c r="L5540" t="s" s="12">
        <v>14</v>
      </c>
      <c r="M5540" t="s" s="10">
        <v>14</v>
      </c>
      <c r="N5540" t="s" s="11">
        <v>14</v>
      </c>
      <c r="O5540" t="s" s="8">
        <v>14</v>
      </c>
      <c r="P5540" t="s" s="8">
        <v>14</v>
      </c>
      <c r="Q5540" t="s" s="12">
        <v>14</v>
      </c>
      <c r="R5540" t="s" s="12">
        <v>14</v>
      </c>
    </row>
    <row r="5541" s="2" customFormat="1" ht="13.5" customHeight="1">
      <c r="B5541" s="13"/>
      <c r="C5541" t="s" s="9">
        <v>16</v>
      </c>
      <c r="D5541" t="s" s="8">
        <v>1888</v>
      </c>
      <c r="E5541" t="s" s="9">
        <v>1888</v>
      </c>
      <c r="F5541" t="s" s="10">
        <v>72</v>
      </c>
      <c r="G5541" t="s" s="11">
        <v>72</v>
      </c>
      <c r="H5541" t="s" s="10">
        <v>68</v>
      </c>
      <c r="I5541" t="s" s="11">
        <v>68</v>
      </c>
      <c r="J5541" t="s" s="11">
        <v>20</v>
      </c>
      <c r="K5541" s="15"/>
      <c r="L5541" t="s" s="16">
        <f>HYPERLINK("http://csr.bu.edu/ftp/asl/asllvd/demos/verify_start_end_handshape_annotations//test_auto_move//signs_mov_separ_signers/Liz_1201.mov","MOV")</f>
        <v>21</v>
      </c>
      <c r="M5541" t="s" s="10">
        <v>22</v>
      </c>
      <c r="N5541" s="17">
        <v>31</v>
      </c>
      <c r="O5541" s="18">
        <v>339</v>
      </c>
      <c r="P5541" s="18">
        <v>385</v>
      </c>
      <c r="Q5541" s="15"/>
      <c r="R5541" t="s" s="16">
        <f>HYPERLINK("http://secrets.rutgers.edu:8080/data/asl-ftp/asllvd/demos/verify_start_end_handshape_annotations//test_auto_move//signs_mov_separ_signers/Liz_1201.mov","MOV")</f>
        <v>21</v>
      </c>
    </row>
    <row r="5542" s="2" customFormat="1" ht="13.5" customHeight="1">
      <c r="B5542" s="13"/>
      <c r="C5542" t="s" s="9">
        <v>16</v>
      </c>
      <c r="D5542" t="s" s="8">
        <v>1888</v>
      </c>
      <c r="E5542" t="s" s="9">
        <v>1888</v>
      </c>
      <c r="F5542" t="s" s="10">
        <v>68</v>
      </c>
      <c r="G5542" t="s" s="11">
        <v>68</v>
      </c>
      <c r="H5542" t="s" s="10">
        <v>68</v>
      </c>
      <c r="I5542" t="s" s="11">
        <v>68</v>
      </c>
      <c r="J5542" t="s" s="11">
        <v>20</v>
      </c>
      <c r="K5542" s="15"/>
      <c r="L5542" t="s" s="16">
        <f>HYPERLINK("http://csr.bu.edu/ftp/asl/asllvd/demos/verify_start_end_handshape_annotations//test_auto_move//signs_mov_separ_signers/Liz_3474.mov","MOV")</f>
        <v>21</v>
      </c>
      <c r="M5542" t="s" s="10">
        <v>34</v>
      </c>
      <c r="N5542" s="17">
        <v>25</v>
      </c>
      <c r="O5542" s="18">
        <v>407</v>
      </c>
      <c r="P5542" s="18">
        <v>445</v>
      </c>
      <c r="Q5542" s="15"/>
      <c r="R5542" t="s" s="16">
        <f>HYPERLINK("http://secrets.rutgers.edu:8080/data/asl-ftp/asllvd/demos/verify_start_end_handshape_annotations//test_auto_move//signs_mov_separ_signers/Liz_3474.mov","MOV")</f>
        <v>21</v>
      </c>
    </row>
    <row r="5543" s="2" customFormat="1" ht="13.5" customHeight="1">
      <c r="B5543" s="13"/>
      <c r="C5543" t="s" s="9">
        <v>23</v>
      </c>
      <c r="D5543" t="s" s="8">
        <v>1888</v>
      </c>
      <c r="E5543" t="s" s="9">
        <v>1888</v>
      </c>
      <c r="F5543" t="s" s="10">
        <v>72</v>
      </c>
      <c r="G5543" t="s" s="11">
        <v>72</v>
      </c>
      <c r="H5543" t="s" s="10">
        <v>68</v>
      </c>
      <c r="I5543" t="s" s="11">
        <v>68</v>
      </c>
      <c r="J5543" t="s" s="11">
        <v>20</v>
      </c>
      <c r="K5543" s="15"/>
      <c r="L5543" t="s" s="16">
        <f>HYPERLINK("http://csr.bu.edu/ftp/asl/asllvd/demos/verify_start_end_handshape_annotations//test_auto_move//signs_mov_separ_signers/Tyler_1201.mov","MOV")</f>
        <v>21</v>
      </c>
      <c r="M5543" t="s" s="10">
        <v>26</v>
      </c>
      <c r="N5543" s="17">
        <v>20</v>
      </c>
      <c r="O5543" s="18">
        <v>1162</v>
      </c>
      <c r="P5543" s="18">
        <v>1190</v>
      </c>
      <c r="Q5543" s="15"/>
      <c r="R5543" t="s" s="16">
        <f>HYPERLINK("http://secrets.rutgers.edu:8080/data/asl-ftp/asllvd/demos/verify_start_end_handshape_annotations//test_auto_move//signs_mov_separ_signers/Tyler_1201.mov","MOV")</f>
        <v>21</v>
      </c>
    </row>
    <row r="5544" s="2" customFormat="1" ht="13.5" customHeight="1">
      <c r="B5544" s="13"/>
      <c r="C5544" t="s" s="9">
        <v>23</v>
      </c>
      <c r="D5544" t="s" s="8">
        <v>1888</v>
      </c>
      <c r="E5544" t="s" s="9">
        <v>1888</v>
      </c>
      <c r="F5544" t="s" s="10">
        <v>68</v>
      </c>
      <c r="G5544" t="s" s="11">
        <v>68</v>
      </c>
      <c r="H5544" t="s" s="10">
        <v>68</v>
      </c>
      <c r="I5544" t="s" s="11">
        <v>68</v>
      </c>
      <c r="J5544" t="s" s="11">
        <v>20</v>
      </c>
      <c r="K5544" t="s" s="16">
        <f>HYPERLINK("http://csr.bu.edu/ftp/asl/asllvd/demos/verify_start_end_handshape_annotations//test_auto_move//signs_mov/1201_3474_merged.mov","MOV")</f>
        <v>21</v>
      </c>
      <c r="L5544" t="s" s="16">
        <f>HYPERLINK("http://csr.bu.edu/ftp/asl/asllvd/demos/verify_start_end_handshape_annotations//test_auto_move//signs_mov_separ_signers/Tyler_3474.mov","MOV")</f>
        <v>21</v>
      </c>
      <c r="M5544" t="s" s="10">
        <v>37</v>
      </c>
      <c r="N5544" s="17">
        <v>1</v>
      </c>
      <c r="O5544" s="18">
        <v>270</v>
      </c>
      <c r="P5544" s="18">
        <v>290</v>
      </c>
      <c r="Q5544" t="s" s="16">
        <f>HYPERLINK("http://secrets.rutgers.edu:8080/data/asl-ftp/asllvd/demos/verify_start_end_handshape_annotations//test_auto_move//signs_mov/1201_3474_merged.mov","MOV")</f>
        <v>21</v>
      </c>
      <c r="R5544" t="s" s="16">
        <f>HYPERLINK("http://secrets.rutgers.edu:8080/data/asl-ftp/asllvd/demos/verify_start_end_handshape_annotations//test_auto_move//signs_mov_separ_signers/Tyler_3474.mov","MOV")</f>
        <v>21</v>
      </c>
    </row>
    <row r="5545" s="2" customFormat="1" ht="13.5" customHeight="1">
      <c r="B5545" s="13"/>
      <c r="C5545" t="s" s="9">
        <v>27</v>
      </c>
      <c r="D5545" t="s" s="8">
        <v>1888</v>
      </c>
      <c r="E5545" t="s" s="9">
        <v>1888</v>
      </c>
      <c r="F5545" t="s" s="10">
        <v>72</v>
      </c>
      <c r="G5545" t="s" s="11">
        <v>72</v>
      </c>
      <c r="H5545" t="s" s="10">
        <v>68</v>
      </c>
      <c r="I5545" t="s" s="11">
        <v>68</v>
      </c>
      <c r="J5545" t="s" s="11">
        <v>20</v>
      </c>
      <c r="K5545" s="15"/>
      <c r="L5545" t="s" s="16">
        <f>HYPERLINK("http://csr.bu.edu/ftp/asl/asllvd/demos/verify_start_end_handshape_annotations//test_auto_move//signs_mov_separ_signers/Naomi_1201.mov","MOV")</f>
        <v>21</v>
      </c>
      <c r="M5545" t="s" s="10">
        <v>29</v>
      </c>
      <c r="N5545" s="17">
        <v>20</v>
      </c>
      <c r="O5545" s="18">
        <v>762</v>
      </c>
      <c r="P5545" s="18">
        <v>796</v>
      </c>
      <c r="Q5545" s="15"/>
      <c r="R5545" t="s" s="16">
        <f>HYPERLINK("http://secrets.rutgers.edu:8080/data/asl-ftp/asllvd/demos/verify_start_end_handshape_annotations//test_auto_move//signs_mov_separ_signers/Naomi_1201.mov","MOV")</f>
        <v>21</v>
      </c>
    </row>
    <row r="5546" s="2" customFormat="1" ht="13.5" customHeight="1">
      <c r="B5546" s="13"/>
      <c r="C5546" t="s" s="9">
        <v>27</v>
      </c>
      <c r="D5546" t="s" s="8">
        <v>1888</v>
      </c>
      <c r="E5546" t="s" s="9">
        <v>1888</v>
      </c>
      <c r="F5546" t="s" s="10">
        <v>68</v>
      </c>
      <c r="G5546" t="s" s="11">
        <v>68</v>
      </c>
      <c r="H5546" t="s" s="10">
        <v>68</v>
      </c>
      <c r="I5546" t="s" s="11">
        <v>68</v>
      </c>
      <c r="J5546" t="s" s="11">
        <v>20</v>
      </c>
      <c r="K5546" s="15"/>
      <c r="L5546" t="s" s="16">
        <f>HYPERLINK("http://csr.bu.edu/ftp/asl/asllvd/demos/verify_start_end_handshape_annotations//test_auto_move//signs_mov_separ_signers/Naomi_3474.mov","MOV")</f>
        <v>21</v>
      </c>
      <c r="M5546" t="s" s="10">
        <v>38</v>
      </c>
      <c r="N5546" s="17">
        <v>21</v>
      </c>
      <c r="O5546" s="18">
        <v>240</v>
      </c>
      <c r="P5546" s="18">
        <v>265</v>
      </c>
      <c r="Q5546" s="15"/>
      <c r="R5546" t="s" s="16">
        <f>HYPERLINK("http://secrets.rutgers.edu:8080/data/asl-ftp/asllvd/demos/verify_start_end_handshape_annotations//test_auto_move//signs_mov_separ_signers/Naomi_3474.mov","MOV")</f>
        <v>21</v>
      </c>
    </row>
    <row r="5547" s="2" customFormat="1" ht="13.5" customHeight="1">
      <c r="B5547" s="13"/>
      <c r="C5547" t="s" s="9">
        <v>30</v>
      </c>
      <c r="D5547" t="s" s="8">
        <v>1888</v>
      </c>
      <c r="E5547" t="s" s="9">
        <v>1888</v>
      </c>
      <c r="F5547" t="s" s="10">
        <v>148</v>
      </c>
      <c r="G5547" t="s" s="11">
        <v>148</v>
      </c>
      <c r="H5547" t="s" s="10">
        <v>68</v>
      </c>
      <c r="I5547" t="s" s="11">
        <v>68</v>
      </c>
      <c r="J5547" t="s" s="11">
        <v>20</v>
      </c>
      <c r="K5547" s="15"/>
      <c r="L5547" t="s" s="16">
        <f>HYPERLINK("http://csr.bu.edu/ftp/asl/asllvd/demos/verify_start_end_handshape_annotations//test_auto_move//signs_mov_separ_signers/Brady_1201.mov","MOV")</f>
        <v>21</v>
      </c>
      <c r="M5547" t="s" s="10">
        <v>31</v>
      </c>
      <c r="N5547" s="17">
        <v>15</v>
      </c>
      <c r="O5547" s="18">
        <v>7995</v>
      </c>
      <c r="P5547" s="18">
        <v>8025</v>
      </c>
      <c r="Q5547" s="15"/>
      <c r="R5547" t="s" s="16">
        <f>HYPERLINK("http://secrets.rutgers.edu:8080/data/asl-ftp/asllvd/demos/verify_start_end_handshape_annotations//test_auto_move//signs_mov_separ_signers/Brady_1201.mov","MOV")</f>
        <v>21</v>
      </c>
    </row>
    <row r="5548" s="2" customFormat="1" ht="13.5" customHeight="1">
      <c r="B5548" t="s" s="8">
        <v>1889</v>
      </c>
      <c r="C5548" t="s" s="9">
        <v>14</v>
      </c>
      <c r="D5548" t="s" s="8">
        <v>14</v>
      </c>
      <c r="E5548" t="s" s="9">
        <v>14</v>
      </c>
      <c r="F5548" t="s" s="10">
        <v>14</v>
      </c>
      <c r="G5548" t="s" s="11">
        <v>14</v>
      </c>
      <c r="H5548" t="s" s="10">
        <v>14</v>
      </c>
      <c r="I5548" t="s" s="11">
        <v>14</v>
      </c>
      <c r="J5548" t="s" s="11">
        <v>14</v>
      </c>
      <c r="K5548" t="s" s="12">
        <v>14</v>
      </c>
      <c r="L5548" t="s" s="12">
        <v>14</v>
      </c>
      <c r="M5548" t="s" s="10">
        <v>14</v>
      </c>
      <c r="N5548" t="s" s="11">
        <v>14</v>
      </c>
      <c r="O5548" t="s" s="8">
        <v>14</v>
      </c>
      <c r="P5548" t="s" s="8">
        <v>14</v>
      </c>
      <c r="Q5548" t="s" s="12">
        <v>14</v>
      </c>
      <c r="R5548" t="s" s="12">
        <v>14</v>
      </c>
    </row>
    <row r="5549" s="2" customFormat="1" ht="13.5" customHeight="1">
      <c r="B5549" s="13"/>
      <c r="C5549" t="s" s="9">
        <v>41</v>
      </c>
      <c r="D5549" t="s" s="8">
        <v>1889</v>
      </c>
      <c r="E5549" t="s" s="9">
        <v>1889</v>
      </c>
      <c r="F5549" s="19">
        <v>1</v>
      </c>
      <c r="G5549" t="s" s="11">
        <v>73</v>
      </c>
      <c r="H5549" s="19">
        <v>1</v>
      </c>
      <c r="I5549" t="s" s="11">
        <v>73</v>
      </c>
      <c r="J5549" t="s" s="11">
        <v>20</v>
      </c>
      <c r="K5549" t="s" s="16">
        <f>HYPERLINK("http://csr.bu.edu/ftp/asl/asllvd/demos/verify_start_end_handshape_annotations//test_auto_move//signs_mov/1202.mov","MOV")</f>
        <v>21</v>
      </c>
      <c r="L5549" t="s" s="16">
        <f>HYPERLINK("http://csr.bu.edu/ftp/asl/asllvd/demos/verify_start_end_handshape_annotations//test_auto_move//signs_mov_separ_signers/Lana_1202.mov","MOV")</f>
        <v>21</v>
      </c>
      <c r="M5549" t="s" s="10">
        <v>42</v>
      </c>
      <c r="N5549" s="17">
        <v>14</v>
      </c>
      <c r="O5549" s="18">
        <v>1458</v>
      </c>
      <c r="P5549" s="18">
        <v>1484</v>
      </c>
      <c r="Q5549" t="s" s="16">
        <f>HYPERLINK("http://secrets.rutgers.edu:8080/data/asl-ftp/asllvd/demos/verify_start_end_handshape_annotations//test_auto_move//signs_mov/1202.mov","MOV")</f>
        <v>21</v>
      </c>
      <c r="R5549" t="s" s="16">
        <f>HYPERLINK("http://secrets.rutgers.edu:8080/data/asl-ftp/asllvd/demos/verify_start_end_handshape_annotations//test_auto_move//signs_mov_separ_signers/Lana_1202.mov","MOV")</f>
        <v>21</v>
      </c>
    </row>
    <row r="5550" s="2" customFormat="1" ht="13.5" customHeight="1">
      <c r="B5550" s="13"/>
      <c r="C5550" t="s" s="9">
        <v>43</v>
      </c>
      <c r="D5550" t="s" s="8">
        <v>1889</v>
      </c>
      <c r="E5550" t="s" s="9">
        <v>1889</v>
      </c>
      <c r="F5550" s="19">
        <v>1</v>
      </c>
      <c r="G5550" t="s" s="11">
        <v>73</v>
      </c>
      <c r="H5550" s="19">
        <v>1</v>
      </c>
      <c r="I5550" t="s" s="11">
        <v>73</v>
      </c>
      <c r="J5550" t="s" s="11">
        <v>20</v>
      </c>
      <c r="K5550" s="15"/>
      <c r="L5550" t="s" s="16">
        <f>HYPERLINK("http://csr.bu.edu/ftp/asl/asllvd/demos/verify_start_end_handshape_annotations//test_auto_move//signs_mov_separ_signers/Dana_1202.mov","MOV")</f>
        <v>21</v>
      </c>
      <c r="M5550" t="s" s="10">
        <v>44</v>
      </c>
      <c r="N5550" s="17">
        <v>17</v>
      </c>
      <c r="O5550" s="18">
        <v>1845</v>
      </c>
      <c r="P5550" s="18">
        <v>1889</v>
      </c>
      <c r="Q5550" s="15"/>
      <c r="R5550" t="s" s="16">
        <f>HYPERLINK("http://secrets.rutgers.edu:8080/data/asl-ftp/asllvd/demos/verify_start_end_handshape_annotations//test_auto_move//signs_mov_separ_signers/Dana_1202.mov","MOV")</f>
        <v>21</v>
      </c>
    </row>
    <row r="5551" s="2" customFormat="1" ht="13.5" customHeight="1">
      <c r="B5551" t="s" s="8">
        <v>52</v>
      </c>
      <c r="C5551" t="s" s="9">
        <v>53</v>
      </c>
      <c r="D5551" t="s" s="8">
        <v>53</v>
      </c>
      <c r="E5551" t="s" s="9">
        <v>53</v>
      </c>
      <c r="F5551" t="s" s="10">
        <v>53</v>
      </c>
      <c r="G5551" t="s" s="11">
        <v>53</v>
      </c>
      <c r="H5551" t="s" s="10">
        <v>53</v>
      </c>
      <c r="I5551" t="s" s="11">
        <v>53</v>
      </c>
      <c r="J5551" t="s" s="11">
        <v>53</v>
      </c>
      <c r="K5551" t="s" s="12">
        <v>53</v>
      </c>
      <c r="L5551" t="s" s="12">
        <v>53</v>
      </c>
      <c r="M5551" t="s" s="10">
        <v>53</v>
      </c>
      <c r="N5551" t="s" s="11">
        <v>53</v>
      </c>
      <c r="O5551" t="s" s="8">
        <v>53</v>
      </c>
      <c r="P5551" t="s" s="8">
        <v>53</v>
      </c>
      <c r="Q5551" t="s" s="12">
        <v>53</v>
      </c>
      <c r="R5551" t="s" s="12">
        <v>53</v>
      </c>
    </row>
    <row r="5552" s="2" customFormat="1" ht="13.5" customHeight="1">
      <c r="B5552" s="13"/>
      <c r="C5552" t="s" s="9">
        <v>16</v>
      </c>
      <c r="D5552" t="s" s="8">
        <v>1889</v>
      </c>
      <c r="E5552" t="s" s="9">
        <v>1890</v>
      </c>
      <c r="F5552" s="19">
        <v>1</v>
      </c>
      <c r="G5552" t="s" s="11">
        <v>73</v>
      </c>
      <c r="H5552" s="19">
        <v>1</v>
      </c>
      <c r="I5552" t="s" s="11">
        <v>73</v>
      </c>
      <c r="J5552" t="s" s="11">
        <v>20</v>
      </c>
      <c r="K5552" s="15"/>
      <c r="L5552" t="s" s="16">
        <f>HYPERLINK("http://csr.bu.edu/ftp/asl/asllvd/demos/verify_start_end_handshape_annotations//test_auto_move//signs_mov_separ_signers/Liz_15344.mov","MOV")</f>
        <v>21</v>
      </c>
      <c r="M5552" t="s" s="10">
        <v>34</v>
      </c>
      <c r="N5552" s="17">
        <v>25</v>
      </c>
      <c r="O5552" s="18">
        <v>635</v>
      </c>
      <c r="P5552" s="18">
        <v>695</v>
      </c>
      <c r="Q5552" s="15"/>
      <c r="R5552" t="s" s="16">
        <f>HYPERLINK("http://secrets.rutgers.edu:8080/data/asl-ftp/asllvd/demos/verify_start_end_handshape_annotations//test_auto_move//signs_mov_separ_signers/Liz_15344.mov","MOV")</f>
        <v>21</v>
      </c>
    </row>
    <row r="5553" s="2" customFormat="1" ht="13.5" customHeight="1">
      <c r="B5553" s="13"/>
      <c r="C5553" t="s" s="9">
        <v>23</v>
      </c>
      <c r="D5553" t="s" s="8">
        <v>1889</v>
      </c>
      <c r="E5553" t="s" s="9">
        <v>1890</v>
      </c>
      <c r="F5553" s="19">
        <v>1</v>
      </c>
      <c r="G5553" t="s" s="11">
        <v>73</v>
      </c>
      <c r="H5553" s="19">
        <v>1</v>
      </c>
      <c r="I5553" t="s" s="11">
        <v>73</v>
      </c>
      <c r="J5553" t="s" s="11">
        <v>20</v>
      </c>
      <c r="K5553" t="s" s="16">
        <f>HYPERLINK("http://csr.bu.edu/ftp/asl/asllvd/demos/verify_start_end_handshape_annotations//test_auto_move//signs_mov/15344.mov","MOV")</f>
        <v>21</v>
      </c>
      <c r="L5553" t="s" s="16">
        <f>HYPERLINK("http://csr.bu.edu/ftp/asl/asllvd/demos/verify_start_end_handshape_annotations//test_auto_move//signs_mov_separ_signers/Tyler_15344.mov","MOV")</f>
        <v>21</v>
      </c>
      <c r="M5553" t="s" s="10">
        <v>37</v>
      </c>
      <c r="N5553" s="17">
        <v>1</v>
      </c>
      <c r="O5553" s="18">
        <v>480</v>
      </c>
      <c r="P5553" s="18">
        <v>531</v>
      </c>
      <c r="Q5553" t="s" s="16">
        <f>HYPERLINK("http://secrets.rutgers.edu:8080/data/asl-ftp/asllvd/demos/verify_start_end_handshape_annotations//test_auto_move//signs_mov/15344.mov","MOV")</f>
        <v>21</v>
      </c>
      <c r="R5553" t="s" s="16">
        <f>HYPERLINK("http://secrets.rutgers.edu:8080/data/asl-ftp/asllvd/demos/verify_start_end_handshape_annotations//test_auto_move//signs_mov_separ_signers/Tyler_15344.mov","MOV")</f>
        <v>21</v>
      </c>
    </row>
    <row r="5554" s="2" customFormat="1" ht="13.5" customHeight="1">
      <c r="B5554" s="13"/>
      <c r="C5554" t="s" s="9">
        <v>27</v>
      </c>
      <c r="D5554" t="s" s="8">
        <v>1889</v>
      </c>
      <c r="E5554" t="s" s="9">
        <v>1890</v>
      </c>
      <c r="F5554" s="19">
        <v>1</v>
      </c>
      <c r="G5554" t="s" s="11">
        <v>73</v>
      </c>
      <c r="H5554" s="19">
        <v>1</v>
      </c>
      <c r="I5554" t="s" s="11">
        <v>73</v>
      </c>
      <c r="J5554" t="s" s="11">
        <v>20</v>
      </c>
      <c r="K5554" s="15"/>
      <c r="L5554" t="s" s="16">
        <f>HYPERLINK("http://csr.bu.edu/ftp/asl/asllvd/demos/verify_start_end_handshape_annotations//test_auto_move//signs_mov_separ_signers/Naomi_15344.mov","MOV")</f>
        <v>21</v>
      </c>
      <c r="M5554" t="s" s="10">
        <v>38</v>
      </c>
      <c r="N5554" s="17">
        <v>21</v>
      </c>
      <c r="O5554" s="18">
        <v>1375</v>
      </c>
      <c r="P5554" s="18">
        <v>1410</v>
      </c>
      <c r="Q5554" s="15"/>
      <c r="R5554" t="s" s="16">
        <f>HYPERLINK("http://secrets.rutgers.edu:8080/data/asl-ftp/asllvd/demos/verify_start_end_handshape_annotations//test_auto_move//signs_mov_separ_signers/Naomi_15344.mov","MOV")</f>
        <v>21</v>
      </c>
    </row>
    <row r="5555" s="2" customFormat="1" ht="13.5" customHeight="1">
      <c r="B5555" t="s" s="8">
        <v>52</v>
      </c>
      <c r="C5555" t="s" s="9">
        <v>53</v>
      </c>
      <c r="D5555" t="s" s="8">
        <v>53</v>
      </c>
      <c r="E5555" t="s" s="9">
        <v>53</v>
      </c>
      <c r="F5555" t="s" s="10">
        <v>53</v>
      </c>
      <c r="G5555" t="s" s="11">
        <v>53</v>
      </c>
      <c r="H5555" t="s" s="10">
        <v>53</v>
      </c>
      <c r="I5555" t="s" s="11">
        <v>53</v>
      </c>
      <c r="J5555" t="s" s="11">
        <v>53</v>
      </c>
      <c r="K5555" t="s" s="12">
        <v>53</v>
      </c>
      <c r="L5555" t="s" s="12">
        <v>53</v>
      </c>
      <c r="M5555" t="s" s="10">
        <v>53</v>
      </c>
      <c r="N5555" t="s" s="11">
        <v>53</v>
      </c>
      <c r="O5555" t="s" s="8">
        <v>53</v>
      </c>
      <c r="P5555" t="s" s="8">
        <v>53</v>
      </c>
      <c r="Q5555" t="s" s="12">
        <v>53</v>
      </c>
      <c r="R5555" t="s" s="12">
        <v>53</v>
      </c>
    </row>
    <row r="5556" s="2" customFormat="1" ht="13.5" customHeight="1">
      <c r="B5556" s="13"/>
      <c r="C5556" t="s" s="9">
        <v>30</v>
      </c>
      <c r="D5556" t="s" s="8">
        <v>1889</v>
      </c>
      <c r="E5556" t="s" s="9">
        <v>1891</v>
      </c>
      <c r="F5556" s="19">
        <v>1</v>
      </c>
      <c r="G5556" t="s" s="11">
        <v>73</v>
      </c>
      <c r="H5556" s="19">
        <v>1</v>
      </c>
      <c r="I5556" t="s" s="11">
        <v>73</v>
      </c>
      <c r="J5556" t="s" s="11">
        <v>20</v>
      </c>
      <c r="K5556" t="s" s="16">
        <f>HYPERLINK("http://csr.bu.edu/ftp/asl/asllvd/demos/verify_start_end_handshape_annotations//test_auto_move//signs_mov/15345.mov","MOV")</f>
        <v>21</v>
      </c>
      <c r="L5556" t="s" s="16">
        <f>HYPERLINK("http://csr.bu.edu/ftp/asl/asllvd/demos/verify_start_end_handshape_annotations//test_auto_move//signs_mov_separ_signers/Brady_15345.mov","MOV")</f>
        <v>21</v>
      </c>
      <c r="M5556" t="s" s="10">
        <v>39</v>
      </c>
      <c r="N5556" s="17">
        <v>37</v>
      </c>
      <c r="O5556" s="18">
        <v>2693</v>
      </c>
      <c r="P5556" s="18">
        <v>2722</v>
      </c>
      <c r="Q5556" t="s" s="16">
        <f>HYPERLINK("http://secrets.rutgers.edu:8080/data/asl-ftp/asllvd/demos/verify_start_end_handshape_annotations//test_auto_move//signs_mov/15345.mov","MOV")</f>
        <v>21</v>
      </c>
      <c r="R5556" t="s" s="16">
        <f>HYPERLINK("http://secrets.rutgers.edu:8080/data/asl-ftp/asllvd/demos/verify_start_end_handshape_annotations//test_auto_move//signs_mov_separ_signers/Brady_15345.mov","MOV")</f>
        <v>21</v>
      </c>
    </row>
    <row r="5557" s="2" customFormat="1" ht="13.5" customHeight="1">
      <c r="B5557" t="s" s="8">
        <v>1892</v>
      </c>
      <c r="C5557" t="s" s="9">
        <v>14</v>
      </c>
      <c r="D5557" t="s" s="8">
        <v>14</v>
      </c>
      <c r="E5557" t="s" s="9">
        <v>14</v>
      </c>
      <c r="F5557" t="s" s="10">
        <v>14</v>
      </c>
      <c r="G5557" t="s" s="11">
        <v>14</v>
      </c>
      <c r="H5557" t="s" s="10">
        <v>14</v>
      </c>
      <c r="I5557" t="s" s="11">
        <v>14</v>
      </c>
      <c r="J5557" t="s" s="11">
        <v>14</v>
      </c>
      <c r="K5557" t="s" s="12">
        <v>14</v>
      </c>
      <c r="L5557" t="s" s="12">
        <v>14</v>
      </c>
      <c r="M5557" t="s" s="10">
        <v>14</v>
      </c>
      <c r="N5557" t="s" s="11">
        <v>14</v>
      </c>
      <c r="O5557" t="s" s="8">
        <v>14</v>
      </c>
      <c r="P5557" t="s" s="8">
        <v>14</v>
      </c>
      <c r="Q5557" t="s" s="12">
        <v>14</v>
      </c>
      <c r="R5557" t="s" s="12">
        <v>14</v>
      </c>
    </row>
    <row r="5558" s="2" customFormat="1" ht="13.5" customHeight="1">
      <c r="B5558" s="13"/>
      <c r="C5558" t="s" s="9">
        <v>16</v>
      </c>
      <c r="D5558" t="s" s="8">
        <v>1892</v>
      </c>
      <c r="E5558" t="s" s="9">
        <v>1892</v>
      </c>
      <c r="F5558" t="s" s="10">
        <v>240</v>
      </c>
      <c r="G5558" s="14"/>
      <c r="H5558" t="s" s="10">
        <v>240</v>
      </c>
      <c r="I5558" s="14"/>
      <c r="J5558" t="s" s="11">
        <v>20</v>
      </c>
      <c r="K5558" t="s" s="16">
        <f>HYPERLINK("http://csr.bu.edu/ftp/asl/asllvd/demos/verify_start_end_handshape_annotations//test_auto_move//signs_mov/1203.mov","MOV")</f>
        <v>21</v>
      </c>
      <c r="L5558" t="s" s="16">
        <f>HYPERLINK("http://csr.bu.edu/ftp/asl/asllvd/demos/verify_start_end_handshape_annotations//test_auto_move//signs_mov_separ_signers/Liz_1203.mov","MOV")</f>
        <v>21</v>
      </c>
      <c r="M5558" t="s" s="10">
        <v>34</v>
      </c>
      <c r="N5558" s="17">
        <v>25</v>
      </c>
      <c r="O5558" s="18">
        <v>1445</v>
      </c>
      <c r="P5558" s="18">
        <v>1477</v>
      </c>
      <c r="Q5558" t="s" s="16">
        <f>HYPERLINK("http://secrets.rutgers.edu:8080/data/asl-ftp/asllvd/demos/verify_start_end_handshape_annotations//test_auto_move//signs_mov/1203.mov","MOV")</f>
        <v>21</v>
      </c>
      <c r="R5558" t="s" s="16">
        <f>HYPERLINK("http://secrets.rutgers.edu:8080/data/asl-ftp/asllvd/demos/verify_start_end_handshape_annotations//test_auto_move//signs_mov_separ_signers/Liz_1203.mov","MOV")</f>
        <v>21</v>
      </c>
    </row>
    <row r="5559" s="2" customFormat="1" ht="13.5" customHeight="1">
      <c r="B5559" s="13"/>
      <c r="C5559" t="s" s="9">
        <v>27</v>
      </c>
      <c r="D5559" t="s" s="8">
        <v>1892</v>
      </c>
      <c r="E5559" t="s" s="9">
        <v>1892</v>
      </c>
      <c r="F5559" t="s" s="10">
        <v>240</v>
      </c>
      <c r="G5559" s="14"/>
      <c r="H5559" t="s" s="10">
        <v>240</v>
      </c>
      <c r="I5559" s="14"/>
      <c r="J5559" t="s" s="11">
        <v>20</v>
      </c>
      <c r="K5559" s="15"/>
      <c r="L5559" t="s" s="16">
        <f>HYPERLINK("http://csr.bu.edu/ftp/asl/asllvd/demos/verify_start_end_handshape_annotations//test_auto_move//signs_mov_separ_signers/Naomi_1203.mov","MOV")</f>
        <v>21</v>
      </c>
      <c r="M5559" t="s" s="10">
        <v>38</v>
      </c>
      <c r="N5559" s="17">
        <v>21</v>
      </c>
      <c r="O5559" s="18">
        <v>3960</v>
      </c>
      <c r="P5559" s="18">
        <v>3987</v>
      </c>
      <c r="Q5559" s="15"/>
      <c r="R5559" t="s" s="16">
        <f>HYPERLINK("http://secrets.rutgers.edu:8080/data/asl-ftp/asllvd/demos/verify_start_end_handshape_annotations//test_auto_move//signs_mov_separ_signers/Naomi_1203.mov","MOV")</f>
        <v>21</v>
      </c>
    </row>
    <row r="5560" s="2" customFormat="1" ht="13.5" customHeight="1">
      <c r="B5560" t="s" s="8">
        <v>1893</v>
      </c>
      <c r="C5560" t="s" s="9">
        <v>14</v>
      </c>
      <c r="D5560" t="s" s="8">
        <v>14</v>
      </c>
      <c r="E5560" t="s" s="9">
        <v>14</v>
      </c>
      <c r="F5560" t="s" s="10">
        <v>14</v>
      </c>
      <c r="G5560" t="s" s="11">
        <v>14</v>
      </c>
      <c r="H5560" t="s" s="10">
        <v>14</v>
      </c>
      <c r="I5560" t="s" s="11">
        <v>14</v>
      </c>
      <c r="J5560" t="s" s="11">
        <v>14</v>
      </c>
      <c r="K5560" t="s" s="12">
        <v>14</v>
      </c>
      <c r="L5560" t="s" s="12">
        <v>14</v>
      </c>
      <c r="M5560" t="s" s="10">
        <v>14</v>
      </c>
      <c r="N5560" t="s" s="11">
        <v>14</v>
      </c>
      <c r="O5560" t="s" s="8">
        <v>14</v>
      </c>
      <c r="P5560" t="s" s="8">
        <v>14</v>
      </c>
      <c r="Q5560" t="s" s="12">
        <v>14</v>
      </c>
      <c r="R5560" t="s" s="12">
        <v>14</v>
      </c>
    </row>
    <row r="5561" s="2" customFormat="1" ht="13.5" customHeight="1">
      <c r="B5561" s="13"/>
      <c r="C5561" t="s" s="9">
        <v>16</v>
      </c>
      <c r="D5561" t="s" s="8">
        <v>1893</v>
      </c>
      <c r="E5561" t="s" s="9">
        <v>1894</v>
      </c>
      <c r="F5561" s="19">
        <v>10</v>
      </c>
      <c r="G5561" s="17">
        <v>10</v>
      </c>
      <c r="H5561" s="19">
        <v>10</v>
      </c>
      <c r="I5561" s="17">
        <v>10</v>
      </c>
      <c r="J5561" t="s" s="11">
        <v>20</v>
      </c>
      <c r="K5561" s="15"/>
      <c r="L5561" t="s" s="16">
        <f>HYPERLINK("http://csr.bu.edu/ftp/asl/asllvd/demos/verify_start_end_handshape_annotations//test_auto_move//signs_mov_separ_signers/Liz_1208.mov","MOV")</f>
        <v>21</v>
      </c>
      <c r="M5561" t="s" s="10">
        <v>34</v>
      </c>
      <c r="N5561" s="17">
        <v>25</v>
      </c>
      <c r="O5561" s="18">
        <v>3595</v>
      </c>
      <c r="P5561" s="18">
        <v>3625</v>
      </c>
      <c r="Q5561" s="15"/>
      <c r="R5561" t="s" s="16">
        <f>HYPERLINK("http://secrets.rutgers.edu:8080/data/asl-ftp/asllvd/demos/verify_start_end_handshape_annotations//test_auto_move//signs_mov_separ_signers/Liz_1208.mov","MOV")</f>
        <v>21</v>
      </c>
    </row>
    <row r="5562" s="2" customFormat="1" ht="13.5" customHeight="1">
      <c r="B5562" s="13"/>
      <c r="C5562" t="s" s="9">
        <v>16</v>
      </c>
      <c r="D5562" t="s" s="8">
        <v>1893</v>
      </c>
      <c r="E5562" t="s" s="9">
        <v>1894</v>
      </c>
      <c r="F5562" s="19">
        <v>10</v>
      </c>
      <c r="G5562" s="17">
        <v>10</v>
      </c>
      <c r="H5562" s="19">
        <v>10</v>
      </c>
      <c r="I5562" s="17">
        <v>10</v>
      </c>
      <c r="J5562" t="s" s="11">
        <v>20</v>
      </c>
      <c r="K5562" s="15"/>
      <c r="L5562" t="s" s="16">
        <f>HYPERLINK("http://csr.bu.edu/ftp/asl/asllvd/demos/verify_start_end_handshape_annotations//test_auto_move//signs_mov_separ_signers/Liz_3658.mov","MOV")</f>
        <v>21</v>
      </c>
      <c r="M5562" t="s" s="10">
        <v>34</v>
      </c>
      <c r="N5562" s="17">
        <v>25</v>
      </c>
      <c r="O5562" s="18">
        <v>3900</v>
      </c>
      <c r="P5562" s="18">
        <v>3935</v>
      </c>
      <c r="Q5562" s="15"/>
      <c r="R5562" t="s" s="16">
        <f>HYPERLINK("http://secrets.rutgers.edu:8080/data/asl-ftp/asllvd/demos/verify_start_end_handshape_annotations//test_auto_move//signs_mov_separ_signers/Liz_3658.mov","MOV")</f>
        <v>21</v>
      </c>
    </row>
    <row r="5563" s="2" customFormat="1" ht="13.5" customHeight="1">
      <c r="B5563" s="13"/>
      <c r="C5563" t="s" s="9">
        <v>23</v>
      </c>
      <c r="D5563" t="s" s="8">
        <v>1893</v>
      </c>
      <c r="E5563" t="s" s="9">
        <v>1895</v>
      </c>
      <c r="F5563" s="19">
        <v>10</v>
      </c>
      <c r="G5563" s="17">
        <v>10</v>
      </c>
      <c r="H5563" s="19">
        <v>10</v>
      </c>
      <c r="I5563" s="17">
        <v>10</v>
      </c>
      <c r="J5563" t="s" s="11">
        <v>20</v>
      </c>
      <c r="K5563" s="15"/>
      <c r="L5563" t="s" s="16">
        <f>HYPERLINK("http://csr.bu.edu/ftp/asl/asllvd/demos/verify_start_end_handshape_annotations//test_auto_move//signs_mov_separ_signers/Tyler_1208.mov","MOV")</f>
        <v>21</v>
      </c>
      <c r="M5563" t="s" s="10">
        <v>37</v>
      </c>
      <c r="N5563" s="17">
        <v>1</v>
      </c>
      <c r="O5563" s="18">
        <v>2822</v>
      </c>
      <c r="P5563" s="18">
        <v>2850</v>
      </c>
      <c r="Q5563" s="15"/>
      <c r="R5563" t="s" s="16">
        <f>HYPERLINK("http://secrets.rutgers.edu:8080/data/asl-ftp/asllvd/demos/verify_start_end_handshape_annotations//test_auto_move//signs_mov_separ_signers/Tyler_1208.mov","MOV")</f>
        <v>21</v>
      </c>
    </row>
    <row r="5564" s="2" customFormat="1" ht="13.5" customHeight="1">
      <c r="B5564" s="13"/>
      <c r="C5564" t="s" s="9">
        <v>27</v>
      </c>
      <c r="D5564" t="s" s="8">
        <v>1893</v>
      </c>
      <c r="E5564" t="s" s="9">
        <v>1894</v>
      </c>
      <c r="F5564" t="s" s="10">
        <v>63</v>
      </c>
      <c r="G5564" s="17">
        <v>10</v>
      </c>
      <c r="H5564" t="s" s="10">
        <v>63</v>
      </c>
      <c r="I5564" s="17">
        <v>10</v>
      </c>
      <c r="J5564" t="s" s="11">
        <v>20</v>
      </c>
      <c r="K5564" t="s" s="16">
        <f>HYPERLINK("http://csr.bu.edu/ftp/asl/asllvd/demos/verify_start_end_handshape_annotations//test_auto_move//signs_mov/1208_3658_merged.mov","MOV")</f>
        <v>21</v>
      </c>
      <c r="L5564" t="s" s="16">
        <f>HYPERLINK("http://csr.bu.edu/ftp/asl/asllvd/demos/verify_start_end_handshape_annotations//test_auto_move//signs_mov_separ_signers/Naomi_1208.mov","MOV")</f>
        <v>21</v>
      </c>
      <c r="M5564" t="s" s="10">
        <v>38</v>
      </c>
      <c r="N5564" s="17">
        <v>21</v>
      </c>
      <c r="O5564" s="18">
        <v>5337</v>
      </c>
      <c r="P5564" s="18">
        <v>5360</v>
      </c>
      <c r="Q5564" t="s" s="16">
        <f>HYPERLINK("http://secrets.rutgers.edu:8080/data/asl-ftp/asllvd/demos/verify_start_end_handshape_annotations//test_auto_move//signs_mov/1208_3658_merged.mov","MOV")</f>
        <v>21</v>
      </c>
      <c r="R5564" t="s" s="16">
        <f>HYPERLINK("http://secrets.rutgers.edu:8080/data/asl-ftp/asllvd/demos/verify_start_end_handshape_annotations//test_auto_move//signs_mov_separ_signers/Naomi_1208.mov","MOV")</f>
        <v>21</v>
      </c>
    </row>
    <row r="5565" s="2" customFormat="1" ht="13.5" customHeight="1">
      <c r="B5565" s="13"/>
      <c r="C5565" t="s" s="9">
        <v>27</v>
      </c>
      <c r="D5565" t="s" s="8">
        <v>1893</v>
      </c>
      <c r="E5565" t="s" s="9">
        <v>1894</v>
      </c>
      <c r="F5565" s="19">
        <v>10</v>
      </c>
      <c r="G5565" s="17">
        <v>10</v>
      </c>
      <c r="H5565" s="19">
        <v>10</v>
      </c>
      <c r="I5565" s="17">
        <v>10</v>
      </c>
      <c r="J5565" t="s" s="11">
        <v>20</v>
      </c>
      <c r="K5565" s="15"/>
      <c r="L5565" t="s" s="16">
        <f>HYPERLINK("http://csr.bu.edu/ftp/asl/asllvd/demos/verify_start_end_handshape_annotations//test_auto_move//signs_mov_separ_signers/Naomi_3658.mov","MOV")</f>
        <v>21</v>
      </c>
      <c r="M5565" t="s" s="10">
        <v>38</v>
      </c>
      <c r="N5565" s="17">
        <v>21</v>
      </c>
      <c r="O5565" s="18">
        <v>5569</v>
      </c>
      <c r="P5565" s="18">
        <v>5600</v>
      </c>
      <c r="Q5565" s="15"/>
      <c r="R5565" t="s" s="16">
        <f>HYPERLINK("http://secrets.rutgers.edu:8080/data/asl-ftp/asllvd/demos/verify_start_end_handshape_annotations//test_auto_move//signs_mov_separ_signers/Naomi_3658.mov","MOV")</f>
        <v>21</v>
      </c>
    </row>
    <row r="5566" s="2" customFormat="1" ht="13.5" customHeight="1">
      <c r="B5566" s="13"/>
      <c r="C5566" t="s" s="9">
        <v>30</v>
      </c>
      <c r="D5566" t="s" s="8">
        <v>1893</v>
      </c>
      <c r="E5566" t="s" s="9">
        <v>1894</v>
      </c>
      <c r="F5566" s="19">
        <v>10</v>
      </c>
      <c r="G5566" s="17">
        <v>10</v>
      </c>
      <c r="H5566" s="19">
        <v>10</v>
      </c>
      <c r="I5566" s="17">
        <v>10</v>
      </c>
      <c r="J5566" t="s" s="11">
        <v>20</v>
      </c>
      <c r="K5566" s="15"/>
      <c r="L5566" t="s" s="16">
        <f>HYPERLINK("http://csr.bu.edu/ftp/asl/asllvd/demos/verify_start_end_handshape_annotations//test_auto_move//signs_mov_separ_signers/Brady_1208.mov","MOV")</f>
        <v>21</v>
      </c>
      <c r="M5566" t="s" s="10">
        <v>39</v>
      </c>
      <c r="N5566" s="17">
        <v>37</v>
      </c>
      <c r="O5566" s="18">
        <v>3894</v>
      </c>
      <c r="P5566" s="18">
        <v>3922</v>
      </c>
      <c r="Q5566" s="15"/>
      <c r="R5566" t="s" s="16">
        <f>HYPERLINK("http://secrets.rutgers.edu:8080/data/asl-ftp/asllvd/demos/verify_start_end_handshape_annotations//test_auto_move//signs_mov_separ_signers/Brady_1208.mov","MOV")</f>
        <v>21</v>
      </c>
    </row>
    <row r="5567" s="2" customFormat="1" ht="13.5" customHeight="1">
      <c r="B5567" s="13"/>
      <c r="C5567" t="s" s="9">
        <v>30</v>
      </c>
      <c r="D5567" t="s" s="8">
        <v>1893</v>
      </c>
      <c r="E5567" t="s" s="9">
        <v>1894</v>
      </c>
      <c r="F5567" s="19">
        <v>10</v>
      </c>
      <c r="G5567" s="17">
        <v>10</v>
      </c>
      <c r="H5567" s="19">
        <v>10</v>
      </c>
      <c r="I5567" s="17">
        <v>10</v>
      </c>
      <c r="J5567" t="s" s="11">
        <v>20</v>
      </c>
      <c r="K5567" s="15"/>
      <c r="L5567" t="s" s="16">
        <f>HYPERLINK("http://csr.bu.edu/ftp/asl/asllvd/demos/verify_start_end_handshape_annotations//test_auto_move//signs_mov_separ_signers/Brady_3658.mov","MOV")</f>
        <v>21</v>
      </c>
      <c r="M5567" t="s" s="10">
        <v>39</v>
      </c>
      <c r="N5567" s="17">
        <v>37</v>
      </c>
      <c r="O5567" s="18">
        <v>4533</v>
      </c>
      <c r="P5567" s="18">
        <v>4563</v>
      </c>
      <c r="Q5567" s="15"/>
      <c r="R5567" t="s" s="16">
        <f>HYPERLINK("http://secrets.rutgers.edu:8080/data/asl-ftp/asllvd/demos/verify_start_end_handshape_annotations//test_auto_move//signs_mov_separ_signers/Brady_3658.mov","MOV")</f>
        <v>21</v>
      </c>
    </row>
    <row r="5568" s="2" customFormat="1" ht="13.5" customHeight="1">
      <c r="B5568" t="s" s="8">
        <v>1896</v>
      </c>
      <c r="C5568" t="s" s="9">
        <v>14</v>
      </c>
      <c r="D5568" t="s" s="8">
        <v>14</v>
      </c>
      <c r="E5568" t="s" s="9">
        <v>14</v>
      </c>
      <c r="F5568" t="s" s="10">
        <v>14</v>
      </c>
      <c r="G5568" t="s" s="11">
        <v>14</v>
      </c>
      <c r="H5568" t="s" s="10">
        <v>14</v>
      </c>
      <c r="I5568" t="s" s="11">
        <v>14</v>
      </c>
      <c r="J5568" t="s" s="11">
        <v>14</v>
      </c>
      <c r="K5568" t="s" s="12">
        <v>14</v>
      </c>
      <c r="L5568" t="s" s="12">
        <v>14</v>
      </c>
      <c r="M5568" t="s" s="10">
        <v>14</v>
      </c>
      <c r="N5568" t="s" s="11">
        <v>14</v>
      </c>
      <c r="O5568" t="s" s="8">
        <v>14</v>
      </c>
      <c r="P5568" t="s" s="8">
        <v>14</v>
      </c>
      <c r="Q5568" t="s" s="12">
        <v>14</v>
      </c>
      <c r="R5568" t="s" s="12">
        <v>14</v>
      </c>
    </row>
    <row r="5569" s="2" customFormat="1" ht="13.5" customHeight="1">
      <c r="B5569" s="13"/>
      <c r="C5569" t="s" s="9">
        <v>16</v>
      </c>
      <c r="D5569" t="s" s="8">
        <v>1897</v>
      </c>
      <c r="E5569" t="s" s="9">
        <v>1897</v>
      </c>
      <c r="F5569" t="s" s="10">
        <v>255</v>
      </c>
      <c r="G5569" s="14"/>
      <c r="H5569" t="s" s="10">
        <v>255</v>
      </c>
      <c r="I5569" s="14"/>
      <c r="J5569" t="s" s="11">
        <v>20</v>
      </c>
      <c r="K5569" s="15"/>
      <c r="L5569" t="s" s="16">
        <f>HYPERLINK("http://csr.bu.edu/ftp/asl/asllvd/demos/verify_start_end_handshape_annotations//test_auto_move//signs_mov_separ_signers/Liz_1211.mov","MOV")</f>
        <v>21</v>
      </c>
      <c r="M5569" t="s" s="10">
        <v>34</v>
      </c>
      <c r="N5569" s="17">
        <v>26</v>
      </c>
      <c r="O5569" s="18">
        <v>526</v>
      </c>
      <c r="P5569" s="18">
        <v>555</v>
      </c>
      <c r="Q5569" s="15"/>
      <c r="R5569" t="s" s="16">
        <f>HYPERLINK("http://secrets.rutgers.edu:8080/data/asl-ftp/asllvd/demos/verify_start_end_handshape_annotations//test_auto_move//signs_mov_separ_signers/Liz_1211.mov","MOV")</f>
        <v>21</v>
      </c>
    </row>
    <row r="5570" s="2" customFormat="1" ht="13.5" customHeight="1">
      <c r="B5570" s="13"/>
      <c r="C5570" t="s" s="9">
        <v>23</v>
      </c>
      <c r="D5570" t="s" s="8">
        <v>1897</v>
      </c>
      <c r="E5570" t="s" s="9">
        <v>1897</v>
      </c>
      <c r="F5570" t="s" s="10">
        <v>255</v>
      </c>
      <c r="G5570" s="14"/>
      <c r="H5570" t="s" s="10">
        <v>255</v>
      </c>
      <c r="I5570" s="14"/>
      <c r="J5570" t="s" s="11">
        <v>20</v>
      </c>
      <c r="K5570" t="s" s="16">
        <f>HYPERLINK("http://csr.bu.edu/ftp/asl/asllvd/demos/verify_start_end_handshape_annotations//test_auto_move//signs_mov/1211.mov","MOV")</f>
        <v>21</v>
      </c>
      <c r="L5570" t="s" s="16">
        <f>HYPERLINK("http://csr.bu.edu/ftp/asl/asllvd/demos/verify_start_end_handshape_annotations//test_auto_move//signs_mov_separ_signers/Tyler_1211.mov","MOV")</f>
        <v>21</v>
      </c>
      <c r="M5570" t="s" s="10">
        <v>37</v>
      </c>
      <c r="N5570" s="17">
        <v>2</v>
      </c>
      <c r="O5570" s="18">
        <v>361</v>
      </c>
      <c r="P5570" s="18">
        <v>382</v>
      </c>
      <c r="Q5570" t="s" s="16">
        <f>HYPERLINK("http://secrets.rutgers.edu:8080/data/asl-ftp/asllvd/demos/verify_start_end_handshape_annotations//test_auto_move//signs_mov/1211.mov","MOV")</f>
        <v>21</v>
      </c>
      <c r="R5570" t="s" s="16">
        <f>HYPERLINK("http://secrets.rutgers.edu:8080/data/asl-ftp/asllvd/demos/verify_start_end_handshape_annotations//test_auto_move//signs_mov_separ_signers/Tyler_1211.mov","MOV")</f>
        <v>21</v>
      </c>
    </row>
    <row r="5571" s="2" customFormat="1" ht="13.5" customHeight="1">
      <c r="B5571" s="13"/>
      <c r="C5571" t="s" s="9">
        <v>27</v>
      </c>
      <c r="D5571" t="s" s="8">
        <v>1897</v>
      </c>
      <c r="E5571" t="s" s="9">
        <v>1897</v>
      </c>
      <c r="F5571" s="19">
        <v>1</v>
      </c>
      <c r="G5571" s="14"/>
      <c r="H5571" t="s" s="10">
        <v>255</v>
      </c>
      <c r="I5571" s="14"/>
      <c r="J5571" t="s" s="11">
        <v>20</v>
      </c>
      <c r="K5571" s="15"/>
      <c r="L5571" t="s" s="16">
        <f>HYPERLINK("http://csr.bu.edu/ftp/asl/asllvd/demos/verify_start_end_handshape_annotations//test_auto_move//signs_mov_separ_signers/Naomi_1211.mov","MOV")</f>
        <v>21</v>
      </c>
      <c r="M5571" t="s" s="10">
        <v>38</v>
      </c>
      <c r="N5571" s="17">
        <v>22</v>
      </c>
      <c r="O5571" s="18">
        <v>217</v>
      </c>
      <c r="P5571" s="18">
        <v>250</v>
      </c>
      <c r="Q5571" s="15"/>
      <c r="R5571" t="s" s="16">
        <f>HYPERLINK("http://secrets.rutgers.edu:8080/data/asl-ftp/asllvd/demos/verify_start_end_handshape_annotations//test_auto_move//signs_mov_separ_signers/Naomi_1211.mov","MOV")</f>
        <v>21</v>
      </c>
    </row>
    <row r="5572" s="2" customFormat="1" ht="13.5" customHeight="1">
      <c r="B5572" s="13"/>
      <c r="C5572" t="s" s="9">
        <v>30</v>
      </c>
      <c r="D5572" t="s" s="8">
        <v>1897</v>
      </c>
      <c r="E5572" t="s" s="9">
        <v>1897</v>
      </c>
      <c r="F5572" t="s" s="10">
        <v>255</v>
      </c>
      <c r="G5572" s="14"/>
      <c r="H5572" t="s" s="10">
        <v>255</v>
      </c>
      <c r="I5572" s="14"/>
      <c r="J5572" t="s" s="11">
        <v>20</v>
      </c>
      <c r="K5572" s="15"/>
      <c r="L5572" t="s" s="16">
        <f>HYPERLINK("http://csr.bu.edu/ftp/asl/asllvd/demos/verify_start_end_handshape_annotations//test_auto_move//signs_mov_separ_signers/Brady_1211.mov","MOV")</f>
        <v>21</v>
      </c>
      <c r="M5572" t="s" s="10">
        <v>39</v>
      </c>
      <c r="N5572" s="17">
        <v>37</v>
      </c>
      <c r="O5572" s="18">
        <v>6474</v>
      </c>
      <c r="P5572" s="18">
        <v>6506</v>
      </c>
      <c r="Q5572" s="15"/>
      <c r="R5572" t="s" s="16">
        <f>HYPERLINK("http://secrets.rutgers.edu:8080/data/asl-ftp/asllvd/demos/verify_start_end_handshape_annotations//test_auto_move//signs_mov_separ_signers/Brady_1211.mov","MOV")</f>
        <v>21</v>
      </c>
    </row>
    <row r="5573" s="2" customFormat="1" ht="13.5" customHeight="1">
      <c r="B5573" t="s" s="8">
        <v>1898</v>
      </c>
      <c r="C5573" t="s" s="9">
        <v>14</v>
      </c>
      <c r="D5573" t="s" s="8">
        <v>14</v>
      </c>
      <c r="E5573" t="s" s="9">
        <v>14</v>
      </c>
      <c r="F5573" t="s" s="10">
        <v>14</v>
      </c>
      <c r="G5573" t="s" s="11">
        <v>14</v>
      </c>
      <c r="H5573" t="s" s="10">
        <v>14</v>
      </c>
      <c r="I5573" t="s" s="11">
        <v>14</v>
      </c>
      <c r="J5573" t="s" s="11">
        <v>14</v>
      </c>
      <c r="K5573" t="s" s="12">
        <v>14</v>
      </c>
      <c r="L5573" t="s" s="12">
        <v>14</v>
      </c>
      <c r="M5573" t="s" s="10">
        <v>14</v>
      </c>
      <c r="N5573" t="s" s="11">
        <v>14</v>
      </c>
      <c r="O5573" t="s" s="8">
        <v>14</v>
      </c>
      <c r="P5573" t="s" s="8">
        <v>14</v>
      </c>
      <c r="Q5573" t="s" s="12">
        <v>14</v>
      </c>
      <c r="R5573" t="s" s="12">
        <v>14</v>
      </c>
    </row>
    <row r="5574" s="2" customFormat="1" ht="13.5" customHeight="1">
      <c r="B5574" s="13"/>
      <c r="C5574" t="s" s="9">
        <v>16</v>
      </c>
      <c r="D5574" t="s" s="8">
        <v>1898</v>
      </c>
      <c r="E5574" t="s" s="9">
        <v>1898</v>
      </c>
      <c r="F5574" t="s" s="10">
        <v>73</v>
      </c>
      <c r="G5574" t="s" s="11">
        <v>73</v>
      </c>
      <c r="H5574" t="s" s="10">
        <v>73</v>
      </c>
      <c r="I5574" t="s" s="11">
        <v>73</v>
      </c>
      <c r="J5574" t="s" s="11">
        <v>20</v>
      </c>
      <c r="K5574" s="15"/>
      <c r="L5574" t="s" s="16">
        <f>HYPERLINK("http://csr.bu.edu/ftp/asl/asllvd/demos/verify_start_end_handshape_annotations//test_auto_move//signs_mov_separ_signers/Liz_1212.mov","MOV")</f>
        <v>21</v>
      </c>
      <c r="M5574" t="s" s="10">
        <v>34</v>
      </c>
      <c r="N5574" s="17">
        <v>26</v>
      </c>
      <c r="O5574" s="18">
        <v>772</v>
      </c>
      <c r="P5574" s="18">
        <v>810</v>
      </c>
      <c r="Q5574" s="15"/>
      <c r="R5574" t="s" s="16">
        <f>HYPERLINK("http://secrets.rutgers.edu:8080/data/asl-ftp/asllvd/demos/verify_start_end_handshape_annotations//test_auto_move//signs_mov_separ_signers/Liz_1212.mov","MOV")</f>
        <v>21</v>
      </c>
    </row>
    <row r="5575" s="2" customFormat="1" ht="13.5" customHeight="1">
      <c r="B5575" s="13"/>
      <c r="C5575" t="s" s="9">
        <v>16</v>
      </c>
      <c r="D5575" t="s" s="8">
        <v>1898</v>
      </c>
      <c r="E5575" t="s" s="9">
        <v>1898</v>
      </c>
      <c r="F5575" t="s" s="10">
        <v>73</v>
      </c>
      <c r="G5575" t="s" s="11">
        <v>73</v>
      </c>
      <c r="H5575" t="s" s="10">
        <v>73</v>
      </c>
      <c r="I5575" t="s" s="11">
        <v>73</v>
      </c>
      <c r="J5575" t="s" s="11">
        <v>20</v>
      </c>
      <c r="K5575" t="s" s="16">
        <f>HYPERLINK("http://csr.bu.edu/ftp/asl/asllvd/demos/verify_start_end_handshape_annotations//test_auto_move//signs_mov/1212_3659_merged.mov","MOV")</f>
        <v>21</v>
      </c>
      <c r="L5575" t="s" s="16">
        <f>HYPERLINK("http://csr.bu.edu/ftp/asl/asllvd/demos/verify_start_end_handshape_annotations//test_auto_move//signs_mov_separ_signers/Liz_3659.mov","MOV")</f>
        <v>21</v>
      </c>
      <c r="M5575" t="s" s="10">
        <v>34</v>
      </c>
      <c r="N5575" s="17">
        <v>26</v>
      </c>
      <c r="O5575" s="18">
        <v>1285</v>
      </c>
      <c r="P5575" s="18">
        <v>1325</v>
      </c>
      <c r="Q5575" t="s" s="16">
        <f>HYPERLINK("http://secrets.rutgers.edu:8080/data/asl-ftp/asllvd/demos/verify_start_end_handshape_annotations//test_auto_move//signs_mov/1212_3659_merged.mov","MOV")</f>
        <v>21</v>
      </c>
      <c r="R5575" t="s" s="16">
        <f>HYPERLINK("http://secrets.rutgers.edu:8080/data/asl-ftp/asllvd/demos/verify_start_end_handshape_annotations//test_auto_move//signs_mov_separ_signers/Liz_3659.mov","MOV")</f>
        <v>21</v>
      </c>
    </row>
    <row r="5576" s="2" customFormat="1" ht="13.5" customHeight="1">
      <c r="B5576" s="13"/>
      <c r="C5576" t="s" s="9">
        <v>23</v>
      </c>
      <c r="D5576" t="s" s="8">
        <v>1898</v>
      </c>
      <c r="E5576" t="s" s="9">
        <v>1898</v>
      </c>
      <c r="F5576" t="s" s="10">
        <v>55</v>
      </c>
      <c r="G5576" t="s" s="11">
        <v>150</v>
      </c>
      <c r="H5576" t="s" s="10">
        <v>55</v>
      </c>
      <c r="I5576" t="s" s="11">
        <v>150</v>
      </c>
      <c r="J5576" t="s" s="11">
        <v>20</v>
      </c>
      <c r="K5576" s="15"/>
      <c r="L5576" t="s" s="16">
        <f>HYPERLINK("http://csr.bu.edu/ftp/asl/asllvd/demos/verify_start_end_handshape_annotations//test_auto_move//signs_mov_separ_signers/Tyler_1212.mov","MOV")</f>
        <v>21</v>
      </c>
      <c r="M5576" t="s" s="10">
        <v>37</v>
      </c>
      <c r="N5576" s="17">
        <v>2</v>
      </c>
      <c r="O5576" s="18">
        <v>600</v>
      </c>
      <c r="P5576" s="18">
        <v>620</v>
      </c>
      <c r="Q5576" s="15"/>
      <c r="R5576" t="s" s="16">
        <f>HYPERLINK("http://secrets.rutgers.edu:8080/data/asl-ftp/asllvd/demos/verify_start_end_handshape_annotations//test_auto_move//signs_mov_separ_signers/Tyler_1212.mov","MOV")</f>
        <v>21</v>
      </c>
    </row>
    <row r="5577" s="2" customFormat="1" ht="13.5" customHeight="1">
      <c r="B5577" t="s" s="8">
        <v>52</v>
      </c>
      <c r="C5577" t="s" s="9">
        <v>53</v>
      </c>
      <c r="D5577" t="s" s="8">
        <v>53</v>
      </c>
      <c r="E5577" t="s" s="9">
        <v>53</v>
      </c>
      <c r="F5577" t="s" s="10">
        <v>53</v>
      </c>
      <c r="G5577" t="s" s="11">
        <v>53</v>
      </c>
      <c r="H5577" t="s" s="10">
        <v>53</v>
      </c>
      <c r="I5577" t="s" s="11">
        <v>53</v>
      </c>
      <c r="J5577" t="s" s="11">
        <v>53</v>
      </c>
      <c r="K5577" t="s" s="12">
        <v>53</v>
      </c>
      <c r="L5577" t="s" s="12">
        <v>53</v>
      </c>
      <c r="M5577" t="s" s="10">
        <v>53</v>
      </c>
      <c r="N5577" t="s" s="11">
        <v>53</v>
      </c>
      <c r="O5577" t="s" s="8">
        <v>53</v>
      </c>
      <c r="P5577" t="s" s="8">
        <v>53</v>
      </c>
      <c r="Q5577" t="s" s="12">
        <v>53</v>
      </c>
      <c r="R5577" t="s" s="12">
        <v>53</v>
      </c>
    </row>
    <row r="5578" s="2" customFormat="1" ht="13.5" customHeight="1">
      <c r="B5578" s="13"/>
      <c r="C5578" t="s" s="9">
        <v>27</v>
      </c>
      <c r="D5578" t="s" s="8">
        <v>1898</v>
      </c>
      <c r="E5578" t="s" s="9">
        <v>1899</v>
      </c>
      <c r="F5578" t="s" s="10">
        <v>240</v>
      </c>
      <c r="G5578" t="s" s="11">
        <v>150</v>
      </c>
      <c r="H5578" t="s" s="10">
        <v>240</v>
      </c>
      <c r="I5578" t="s" s="11">
        <v>150</v>
      </c>
      <c r="J5578" t="s" s="11">
        <v>20</v>
      </c>
      <c r="K5578" t="s" s="16">
        <f>HYPERLINK("http://csr.bu.edu/ftp/asl/asllvd/demos/verify_start_end_handshape_annotations//test_auto_move//signs_mov/5221.mov","MOV")</f>
        <v>21</v>
      </c>
      <c r="L5578" t="s" s="16">
        <f>HYPERLINK("http://csr.bu.edu/ftp/asl/asllvd/demos/verify_start_end_handshape_annotations//test_auto_move//signs_mov_separ_signers/Naomi_5221.mov","MOV")</f>
        <v>21</v>
      </c>
      <c r="M5578" t="s" s="10">
        <v>38</v>
      </c>
      <c r="N5578" s="17">
        <v>22</v>
      </c>
      <c r="O5578" s="18">
        <v>960</v>
      </c>
      <c r="P5578" s="18">
        <v>995</v>
      </c>
      <c r="Q5578" t="s" s="16">
        <f>HYPERLINK("http://secrets.rutgers.edu:8080/data/asl-ftp/asllvd/demos/verify_start_end_handshape_annotations//test_auto_move//signs_mov/5221.mov","MOV")</f>
        <v>21</v>
      </c>
      <c r="R5578" t="s" s="16">
        <f>HYPERLINK("http://secrets.rutgers.edu:8080/data/asl-ftp/asllvd/demos/verify_start_end_handshape_annotations//test_auto_move//signs_mov_separ_signers/Naomi_5221.mov","MOV")</f>
        <v>21</v>
      </c>
    </row>
    <row r="5579" s="2" customFormat="1" ht="13.5" customHeight="1">
      <c r="B5579" t="s" s="8">
        <v>52</v>
      </c>
      <c r="C5579" t="s" s="9">
        <v>53</v>
      </c>
      <c r="D5579" t="s" s="8">
        <v>53</v>
      </c>
      <c r="E5579" t="s" s="9">
        <v>53</v>
      </c>
      <c r="F5579" t="s" s="10">
        <v>53</v>
      </c>
      <c r="G5579" t="s" s="11">
        <v>53</v>
      </c>
      <c r="H5579" t="s" s="10">
        <v>53</v>
      </c>
      <c r="I5579" t="s" s="11">
        <v>53</v>
      </c>
      <c r="J5579" t="s" s="11">
        <v>53</v>
      </c>
      <c r="K5579" t="s" s="12">
        <v>53</v>
      </c>
      <c r="L5579" t="s" s="12">
        <v>53</v>
      </c>
      <c r="M5579" t="s" s="10">
        <v>53</v>
      </c>
      <c r="N5579" t="s" s="11">
        <v>53</v>
      </c>
      <c r="O5579" t="s" s="8">
        <v>53</v>
      </c>
      <c r="P5579" t="s" s="8">
        <v>53</v>
      </c>
      <c r="Q5579" t="s" s="12">
        <v>53</v>
      </c>
      <c r="R5579" t="s" s="12">
        <v>53</v>
      </c>
    </row>
    <row r="5580" s="2" customFormat="1" ht="13.5" customHeight="1">
      <c r="B5580" s="13"/>
      <c r="C5580" t="s" s="9">
        <v>30</v>
      </c>
      <c r="D5580" t="s" s="8">
        <v>1898</v>
      </c>
      <c r="E5580" t="s" s="9">
        <v>1900</v>
      </c>
      <c r="F5580" s="19">
        <v>1</v>
      </c>
      <c r="G5580" t="s" s="11">
        <v>73</v>
      </c>
      <c r="H5580" t="s" s="10">
        <v>73</v>
      </c>
      <c r="I5580" t="s" s="11">
        <v>73</v>
      </c>
      <c r="J5580" t="s" s="11">
        <v>20</v>
      </c>
      <c r="K5580" t="s" s="16">
        <f>HYPERLINK("http://csr.bu.edu/ftp/asl/asllvd/demos/verify_start_end_handshape_annotations//test_auto_move//signs_mov/15475.mov","MOV")</f>
        <v>21</v>
      </c>
      <c r="L5580" t="s" s="16">
        <f>HYPERLINK("http://csr.bu.edu/ftp/asl/asllvd/demos/verify_start_end_handshape_annotations//test_auto_move//signs_mov_separ_signers/Brady_15475.mov","MOV")</f>
        <v>21</v>
      </c>
      <c r="M5580" t="s" s="10">
        <v>39</v>
      </c>
      <c r="N5580" s="17">
        <v>37</v>
      </c>
      <c r="O5580" s="18">
        <v>7315</v>
      </c>
      <c r="P5580" s="18">
        <v>7339</v>
      </c>
      <c r="Q5580" t="s" s="16">
        <f>HYPERLINK("http://secrets.rutgers.edu:8080/data/asl-ftp/asllvd/demos/verify_start_end_handshape_annotations//test_auto_move//signs_mov/15475.mov","MOV")</f>
        <v>21</v>
      </c>
      <c r="R5580" t="s" s="16">
        <f>HYPERLINK("http://secrets.rutgers.edu:8080/data/asl-ftp/asllvd/demos/verify_start_end_handshape_annotations//test_auto_move//signs_mov_separ_signers/Brady_15475.mov","MOV")</f>
        <v>21</v>
      </c>
    </row>
    <row r="5581" s="2" customFormat="1" ht="13.5" customHeight="1">
      <c r="B5581" t="s" s="8">
        <v>1901</v>
      </c>
      <c r="C5581" t="s" s="9">
        <v>14</v>
      </c>
      <c r="D5581" t="s" s="8">
        <v>14</v>
      </c>
      <c r="E5581" t="s" s="9">
        <v>14</v>
      </c>
      <c r="F5581" t="s" s="10">
        <v>14</v>
      </c>
      <c r="G5581" t="s" s="11">
        <v>14</v>
      </c>
      <c r="H5581" t="s" s="10">
        <v>14</v>
      </c>
      <c r="I5581" t="s" s="11">
        <v>14</v>
      </c>
      <c r="J5581" t="s" s="11">
        <v>14</v>
      </c>
      <c r="K5581" t="s" s="12">
        <v>14</v>
      </c>
      <c r="L5581" t="s" s="12">
        <v>14</v>
      </c>
      <c r="M5581" t="s" s="10">
        <v>14</v>
      </c>
      <c r="N5581" t="s" s="11">
        <v>14</v>
      </c>
      <c r="O5581" t="s" s="8">
        <v>14</v>
      </c>
      <c r="P5581" t="s" s="8">
        <v>14</v>
      </c>
      <c r="Q5581" t="s" s="12">
        <v>14</v>
      </c>
      <c r="R5581" t="s" s="12">
        <v>14</v>
      </c>
    </row>
    <row r="5582" s="2" customFormat="1" ht="13.5" customHeight="1">
      <c r="B5582" s="13"/>
      <c r="C5582" t="s" s="9">
        <v>16</v>
      </c>
      <c r="D5582" t="s" s="8">
        <v>1901</v>
      </c>
      <c r="E5582" t="s" s="9">
        <v>1901</v>
      </c>
      <c r="F5582" t="s" s="10">
        <v>187</v>
      </c>
      <c r="G5582" s="14"/>
      <c r="H5582" t="s" s="10">
        <v>187</v>
      </c>
      <c r="I5582" s="14"/>
      <c r="J5582" t="s" s="11">
        <v>20</v>
      </c>
      <c r="K5582" s="15"/>
      <c r="L5582" t="s" s="16">
        <f>HYPERLINK("http://csr.bu.edu/ftp/asl/asllvd/demos/verify_start_end_handshape_annotations//test_auto_move//signs_mov_separ_signers/Liz_1215.mov","MOV")</f>
        <v>21</v>
      </c>
      <c r="M5582" t="s" s="10">
        <v>34</v>
      </c>
      <c r="N5582" s="17">
        <v>26</v>
      </c>
      <c r="O5582" s="18">
        <v>2202</v>
      </c>
      <c r="P5582" s="18">
        <v>2246</v>
      </c>
      <c r="Q5582" s="15"/>
      <c r="R5582" t="s" s="16">
        <f>HYPERLINK("http://secrets.rutgers.edu:8080/data/asl-ftp/asllvd/demos/verify_start_end_handshape_annotations//test_auto_move//signs_mov_separ_signers/Liz_1215.mov","MOV")</f>
        <v>21</v>
      </c>
    </row>
    <row r="5583" s="2" customFormat="1" ht="13.5" customHeight="1">
      <c r="B5583" s="13"/>
      <c r="C5583" t="s" s="9">
        <v>23</v>
      </c>
      <c r="D5583" t="s" s="8">
        <v>1901</v>
      </c>
      <c r="E5583" t="s" s="9">
        <v>1901</v>
      </c>
      <c r="F5583" t="s" s="10">
        <v>187</v>
      </c>
      <c r="G5583" s="14"/>
      <c r="H5583" t="s" s="10">
        <v>187</v>
      </c>
      <c r="I5583" s="14"/>
      <c r="J5583" t="s" s="11">
        <v>20</v>
      </c>
      <c r="K5583" t="s" s="16">
        <f>HYPERLINK("http://csr.bu.edu/ftp/asl/asllvd/demos/verify_start_end_handshape_annotations//test_auto_move//signs_mov/1215.mov","MOV")</f>
        <v>21</v>
      </c>
      <c r="L5583" t="s" s="16">
        <f>HYPERLINK("http://csr.bu.edu/ftp/asl/asllvd/demos/verify_start_end_handshape_annotations//test_auto_move//signs_mov_separ_signers/Tyler_1215.mov","MOV")</f>
        <v>21</v>
      </c>
      <c r="M5583" t="s" s="10">
        <v>37</v>
      </c>
      <c r="N5583" s="17">
        <v>2</v>
      </c>
      <c r="O5583" s="18">
        <v>1260</v>
      </c>
      <c r="P5583" s="18">
        <v>1292</v>
      </c>
      <c r="Q5583" t="s" s="16">
        <f>HYPERLINK("http://secrets.rutgers.edu:8080/data/asl-ftp/asllvd/demos/verify_start_end_handshape_annotations//test_auto_move//signs_mov/1215.mov","MOV")</f>
        <v>21</v>
      </c>
      <c r="R5583" t="s" s="16">
        <f>HYPERLINK("http://secrets.rutgers.edu:8080/data/asl-ftp/asllvd/demos/verify_start_end_handshape_annotations//test_auto_move//signs_mov_separ_signers/Tyler_1215.mov","MOV")</f>
        <v>21</v>
      </c>
    </row>
    <row r="5584" s="2" customFormat="1" ht="13.5" customHeight="1">
      <c r="B5584" s="13"/>
      <c r="C5584" t="s" s="9">
        <v>27</v>
      </c>
      <c r="D5584" t="s" s="8">
        <v>1901</v>
      </c>
      <c r="E5584" t="s" s="9">
        <v>1901</v>
      </c>
      <c r="F5584" t="s" s="10">
        <v>75</v>
      </c>
      <c r="G5584" s="14"/>
      <c r="H5584" t="s" s="10">
        <v>75</v>
      </c>
      <c r="I5584" s="14"/>
      <c r="J5584" t="s" s="11">
        <v>20</v>
      </c>
      <c r="K5584" s="15"/>
      <c r="L5584" t="s" s="16">
        <f>HYPERLINK("http://csr.bu.edu/ftp/asl/asllvd/demos/verify_start_end_handshape_annotations//test_auto_move//signs_mov_separ_signers/Naomi_1215.mov","MOV")</f>
        <v>21</v>
      </c>
      <c r="M5584" t="s" s="10">
        <v>38</v>
      </c>
      <c r="N5584" s="17">
        <v>22</v>
      </c>
      <c r="O5584" s="18">
        <v>3277</v>
      </c>
      <c r="P5584" s="18">
        <v>3320</v>
      </c>
      <c r="Q5584" s="15"/>
      <c r="R5584" t="s" s="16">
        <f>HYPERLINK("http://secrets.rutgers.edu:8080/data/asl-ftp/asllvd/demos/verify_start_end_handshape_annotations//test_auto_move//signs_mov_separ_signers/Naomi_1215.mov","MOV")</f>
        <v>21</v>
      </c>
    </row>
    <row r="5585" s="2" customFormat="1" ht="13.5" customHeight="1">
      <c r="B5585" s="13"/>
      <c r="C5585" t="s" s="9">
        <v>30</v>
      </c>
      <c r="D5585" t="s" s="8">
        <v>1901</v>
      </c>
      <c r="E5585" t="s" s="9">
        <v>1901</v>
      </c>
      <c r="F5585" t="s" s="10">
        <v>150</v>
      </c>
      <c r="G5585" s="14"/>
      <c r="H5585" t="s" s="10">
        <v>150</v>
      </c>
      <c r="I5585" s="14"/>
      <c r="J5585" t="s" s="11">
        <v>20</v>
      </c>
      <c r="K5585" s="15"/>
      <c r="L5585" t="s" s="16">
        <f>HYPERLINK("http://csr.bu.edu/ftp/asl/asllvd/demos/verify_start_end_handshape_annotations//test_auto_move//signs_mov_separ_signers/Brady_1215.mov","MOV")</f>
        <v>21</v>
      </c>
      <c r="M5585" t="s" s="10">
        <v>39</v>
      </c>
      <c r="N5585" s="17">
        <v>37</v>
      </c>
      <c r="O5585" s="18">
        <v>9294</v>
      </c>
      <c r="P5585" s="18">
        <v>9336</v>
      </c>
      <c r="Q5585" s="15"/>
      <c r="R5585" t="s" s="16">
        <f>HYPERLINK("http://secrets.rutgers.edu:8080/data/asl-ftp/asllvd/demos/verify_start_end_handshape_annotations//test_auto_move//signs_mov_separ_signers/Brady_1215.mov","MOV")</f>
        <v>21</v>
      </c>
    </row>
    <row r="5586" s="2" customFormat="1" ht="13.5" customHeight="1">
      <c r="B5586" t="s" s="8">
        <v>1902</v>
      </c>
      <c r="C5586" t="s" s="9">
        <v>14</v>
      </c>
      <c r="D5586" t="s" s="8">
        <v>14</v>
      </c>
      <c r="E5586" t="s" s="9">
        <v>14</v>
      </c>
      <c r="F5586" t="s" s="10">
        <v>14</v>
      </c>
      <c r="G5586" t="s" s="11">
        <v>14</v>
      </c>
      <c r="H5586" t="s" s="10">
        <v>14</v>
      </c>
      <c r="I5586" t="s" s="11">
        <v>14</v>
      </c>
      <c r="J5586" t="s" s="11">
        <v>14</v>
      </c>
      <c r="K5586" t="s" s="12">
        <v>14</v>
      </c>
      <c r="L5586" t="s" s="12">
        <v>14</v>
      </c>
      <c r="M5586" t="s" s="10">
        <v>14</v>
      </c>
      <c r="N5586" t="s" s="11">
        <v>14</v>
      </c>
      <c r="O5586" t="s" s="8">
        <v>14</v>
      </c>
      <c r="P5586" t="s" s="8">
        <v>14</v>
      </c>
      <c r="Q5586" t="s" s="12">
        <v>14</v>
      </c>
      <c r="R5586" t="s" s="12">
        <v>14</v>
      </c>
    </row>
    <row r="5587" s="2" customFormat="1" ht="13.5" customHeight="1">
      <c r="B5587" s="13"/>
      <c r="C5587" t="s" s="9">
        <v>16</v>
      </c>
      <c r="D5587" t="s" s="8">
        <v>1902</v>
      </c>
      <c r="E5587" t="s" s="9">
        <v>1902</v>
      </c>
      <c r="F5587" t="s" s="10">
        <v>25</v>
      </c>
      <c r="G5587" s="14"/>
      <c r="H5587" t="s" s="10">
        <v>63</v>
      </c>
      <c r="I5587" s="14"/>
      <c r="J5587" t="s" s="11">
        <v>20</v>
      </c>
      <c r="K5587" t="s" s="16">
        <f>HYPERLINK("http://csr.bu.edu/ftp/asl/asllvd/demos/verify_start_end_handshape_annotations//test_auto_move//signs_mov/5714.mov","MOV")</f>
        <v>21</v>
      </c>
      <c r="L5587" t="s" s="16">
        <f>HYPERLINK("http://csr.bu.edu/ftp/asl/asllvd/demos/verify_start_end_handshape_annotations//test_auto_move//signs_mov_separ_signers/Liz_5714.mov","MOV")</f>
        <v>21</v>
      </c>
      <c r="M5587" t="s" s="10">
        <v>34</v>
      </c>
      <c r="N5587" s="17">
        <v>26</v>
      </c>
      <c r="O5587" s="18">
        <v>2430</v>
      </c>
      <c r="P5587" s="18">
        <v>2455</v>
      </c>
      <c r="Q5587" t="s" s="16">
        <f>HYPERLINK("http://secrets.rutgers.edu:8080/data/asl-ftp/asllvd/demos/verify_start_end_handshape_annotations//test_auto_move//signs_mov/5714.mov","MOV")</f>
        <v>21</v>
      </c>
      <c r="R5587" t="s" s="16">
        <f>HYPERLINK("http://secrets.rutgers.edu:8080/data/asl-ftp/asllvd/demos/verify_start_end_handshape_annotations//test_auto_move//signs_mov_separ_signers/Liz_5714.mov","MOV")</f>
        <v>21</v>
      </c>
    </row>
    <row r="5588" s="2" customFormat="1" ht="13.5" customHeight="1">
      <c r="B5588" s="13"/>
      <c r="C5588" t="s" s="9">
        <v>27</v>
      </c>
      <c r="D5588" t="s" s="8">
        <v>1902</v>
      </c>
      <c r="E5588" t="s" s="9">
        <v>1902</v>
      </c>
      <c r="F5588" t="s" s="10">
        <v>25</v>
      </c>
      <c r="G5588" s="14"/>
      <c r="H5588" t="s" s="10">
        <v>65</v>
      </c>
      <c r="I5588" s="14"/>
      <c r="J5588" t="s" s="11">
        <v>20</v>
      </c>
      <c r="K5588" s="15"/>
      <c r="L5588" t="s" s="16">
        <f>HYPERLINK("http://csr.bu.edu/ftp/asl/asllvd/demos/verify_start_end_handshape_annotations//test_auto_move//signs_mov_separ_signers/Naomi_5714.mov","MOV")</f>
        <v>21</v>
      </c>
      <c r="M5588" t="s" s="10">
        <v>38</v>
      </c>
      <c r="N5588" s="17">
        <v>22</v>
      </c>
      <c r="O5588" s="18">
        <v>3802</v>
      </c>
      <c r="P5588" s="18">
        <v>3820</v>
      </c>
      <c r="Q5588" s="15"/>
      <c r="R5588" t="s" s="16">
        <f>HYPERLINK("http://secrets.rutgers.edu:8080/data/asl-ftp/asllvd/demos/verify_start_end_handshape_annotations//test_auto_move//signs_mov_separ_signers/Naomi_5714.mov","MOV")</f>
        <v>21</v>
      </c>
    </row>
    <row r="5589" s="2" customFormat="1" ht="13.5" customHeight="1">
      <c r="B5589" t="s" s="8">
        <v>1903</v>
      </c>
      <c r="C5589" t="s" s="9">
        <v>14</v>
      </c>
      <c r="D5589" t="s" s="8">
        <v>14</v>
      </c>
      <c r="E5589" t="s" s="9">
        <v>14</v>
      </c>
      <c r="F5589" t="s" s="10">
        <v>14</v>
      </c>
      <c r="G5589" t="s" s="11">
        <v>14</v>
      </c>
      <c r="H5589" t="s" s="10">
        <v>14</v>
      </c>
      <c r="I5589" t="s" s="11">
        <v>14</v>
      </c>
      <c r="J5589" t="s" s="11">
        <v>14</v>
      </c>
      <c r="K5589" t="s" s="12">
        <v>14</v>
      </c>
      <c r="L5589" t="s" s="12">
        <v>14</v>
      </c>
      <c r="M5589" t="s" s="10">
        <v>14</v>
      </c>
      <c r="N5589" t="s" s="11">
        <v>14</v>
      </c>
      <c r="O5589" t="s" s="8">
        <v>14</v>
      </c>
      <c r="P5589" t="s" s="8">
        <v>14</v>
      </c>
      <c r="Q5589" t="s" s="12">
        <v>14</v>
      </c>
      <c r="R5589" t="s" s="12">
        <v>14</v>
      </c>
    </row>
    <row r="5590" s="2" customFormat="1" ht="13.5" customHeight="1">
      <c r="B5590" s="13"/>
      <c r="C5590" t="s" s="9">
        <v>16</v>
      </c>
      <c r="D5590" t="s" s="8">
        <v>1903</v>
      </c>
      <c r="E5590" t="s" s="9">
        <v>1903</v>
      </c>
      <c r="F5590" t="s" s="10">
        <v>187</v>
      </c>
      <c r="G5590" s="14"/>
      <c r="H5590" t="s" s="10">
        <v>187</v>
      </c>
      <c r="I5590" s="14"/>
      <c r="J5590" t="s" s="11">
        <v>20</v>
      </c>
      <c r="K5590" s="15"/>
      <c r="L5590" t="s" s="16">
        <f>HYPERLINK("http://csr.bu.edu/ftp/asl/asllvd/demos/verify_start_end_handshape_annotations//test_auto_move//signs_mov_separ_signers/Liz_1217.mov","MOV")</f>
        <v>21</v>
      </c>
      <c r="M5590" t="s" s="10">
        <v>34</v>
      </c>
      <c r="N5590" s="17">
        <v>26</v>
      </c>
      <c r="O5590" s="18">
        <v>2726</v>
      </c>
      <c r="P5590" s="18">
        <v>2780</v>
      </c>
      <c r="Q5590" s="15"/>
      <c r="R5590" t="s" s="16">
        <f>HYPERLINK("http://secrets.rutgers.edu:8080/data/asl-ftp/asllvd/demos/verify_start_end_handshape_annotations//test_auto_move//signs_mov_separ_signers/Liz_1217.mov","MOV")</f>
        <v>21</v>
      </c>
    </row>
    <row r="5591" s="2" customFormat="1" ht="13.5" customHeight="1">
      <c r="B5591" s="13"/>
      <c r="C5591" t="s" s="9">
        <v>16</v>
      </c>
      <c r="D5591" t="s" s="8">
        <v>1903</v>
      </c>
      <c r="E5591" t="s" s="9">
        <v>1903</v>
      </c>
      <c r="F5591" t="s" s="10">
        <v>187</v>
      </c>
      <c r="G5591" s="14"/>
      <c r="H5591" t="s" s="10">
        <v>187</v>
      </c>
      <c r="I5591" s="14"/>
      <c r="J5591" t="s" s="11">
        <v>20</v>
      </c>
      <c r="K5591" t="s" s="16">
        <f>HYPERLINK("http://csr.bu.edu/ftp/asl/asllvd/demos/verify_start_end_handshape_annotations//test_auto_move//signs_mov/1217_3825_merged.mov","MOV")</f>
        <v>21</v>
      </c>
      <c r="L5591" t="s" s="16">
        <f>HYPERLINK("http://csr.bu.edu/ftp/asl/asllvd/demos/verify_start_end_handshape_annotations//test_auto_move//signs_mov_separ_signers/Liz_3825.mov","MOV")</f>
        <v>21</v>
      </c>
      <c r="M5591" t="s" s="10">
        <v>59</v>
      </c>
      <c r="N5591" s="17">
        <v>43</v>
      </c>
      <c r="O5591" s="18">
        <v>736</v>
      </c>
      <c r="P5591" s="18">
        <v>773</v>
      </c>
      <c r="Q5591" t="s" s="16">
        <f>HYPERLINK("http://secrets.rutgers.edu:8080/data/asl-ftp/asllvd/demos/verify_start_end_handshape_annotations//test_auto_move//signs_mov/1217_3825_merged.mov","MOV")</f>
        <v>21</v>
      </c>
      <c r="R5591" t="s" s="16">
        <f>HYPERLINK("http://secrets.rutgers.edu:8080/data/asl-ftp/asllvd/demos/verify_start_end_handshape_annotations//test_auto_move//signs_mov_separ_signers/Liz_3825.mov","MOV")</f>
        <v>21</v>
      </c>
    </row>
    <row r="5592" s="2" customFormat="1" ht="13.5" customHeight="1">
      <c r="B5592" s="13"/>
      <c r="C5592" t="s" s="9">
        <v>23</v>
      </c>
      <c r="D5592" t="s" s="8">
        <v>1903</v>
      </c>
      <c r="E5592" t="s" s="9">
        <v>1903</v>
      </c>
      <c r="F5592" t="s" s="10">
        <v>187</v>
      </c>
      <c r="G5592" s="14"/>
      <c r="H5592" t="s" s="10">
        <v>187</v>
      </c>
      <c r="I5592" s="14"/>
      <c r="J5592" t="s" s="11">
        <v>20</v>
      </c>
      <c r="K5592" s="15"/>
      <c r="L5592" t="s" s="16">
        <f>HYPERLINK("http://csr.bu.edu/ftp/asl/asllvd/demos/verify_start_end_handshape_annotations//test_auto_move//signs_mov_separ_signers/Tyler_1217.mov","MOV")</f>
        <v>21</v>
      </c>
      <c r="M5592" t="s" s="10">
        <v>37</v>
      </c>
      <c r="N5592" s="17">
        <v>2</v>
      </c>
      <c r="O5592" s="18">
        <v>2720</v>
      </c>
      <c r="P5592" s="18">
        <v>2755</v>
      </c>
      <c r="Q5592" s="15"/>
      <c r="R5592" t="s" s="16">
        <f>HYPERLINK("http://secrets.rutgers.edu:8080/data/asl-ftp/asllvd/demos/verify_start_end_handshape_annotations//test_auto_move//signs_mov_separ_signers/Tyler_1217.mov","MOV")</f>
        <v>21</v>
      </c>
    </row>
    <row r="5593" s="2" customFormat="1" ht="13.5" customHeight="1">
      <c r="B5593" s="13"/>
      <c r="C5593" t="s" s="9">
        <v>27</v>
      </c>
      <c r="D5593" t="s" s="8">
        <v>1903</v>
      </c>
      <c r="E5593" t="s" s="9">
        <v>1903</v>
      </c>
      <c r="F5593" t="s" s="10">
        <v>75</v>
      </c>
      <c r="G5593" s="14"/>
      <c r="H5593" t="s" s="10">
        <v>75</v>
      </c>
      <c r="I5593" s="14"/>
      <c r="J5593" t="s" s="11">
        <v>20</v>
      </c>
      <c r="K5593" s="15"/>
      <c r="L5593" t="s" s="16">
        <f>HYPERLINK("http://csr.bu.edu/ftp/asl/asllvd/demos/verify_start_end_handshape_annotations//test_auto_move//signs_mov_separ_signers/Naomi_1217.mov","MOV")</f>
        <v>21</v>
      </c>
      <c r="M5593" t="s" s="10">
        <v>38</v>
      </c>
      <c r="N5593" s="17">
        <v>22</v>
      </c>
      <c r="O5593" s="18">
        <v>4137</v>
      </c>
      <c r="P5593" s="18">
        <v>4177</v>
      </c>
      <c r="Q5593" s="15"/>
      <c r="R5593" t="s" s="16">
        <f>HYPERLINK("http://secrets.rutgers.edu:8080/data/asl-ftp/asllvd/demos/verify_start_end_handshape_annotations//test_auto_move//signs_mov_separ_signers/Naomi_1217.mov","MOV")</f>
        <v>21</v>
      </c>
    </row>
    <row r="5594" s="2" customFormat="1" ht="13.5" customHeight="1">
      <c r="B5594" t="s" s="8">
        <v>1904</v>
      </c>
      <c r="C5594" t="s" s="9">
        <v>14</v>
      </c>
      <c r="D5594" t="s" s="8">
        <v>14</v>
      </c>
      <c r="E5594" t="s" s="9">
        <v>14</v>
      </c>
      <c r="F5594" t="s" s="10">
        <v>14</v>
      </c>
      <c r="G5594" t="s" s="11">
        <v>14</v>
      </c>
      <c r="H5594" t="s" s="10">
        <v>14</v>
      </c>
      <c r="I5594" t="s" s="11">
        <v>14</v>
      </c>
      <c r="J5594" t="s" s="11">
        <v>14</v>
      </c>
      <c r="K5594" t="s" s="12">
        <v>14</v>
      </c>
      <c r="L5594" t="s" s="12">
        <v>14</v>
      </c>
      <c r="M5594" t="s" s="10">
        <v>14</v>
      </c>
      <c r="N5594" t="s" s="11">
        <v>14</v>
      </c>
      <c r="O5594" t="s" s="8">
        <v>14</v>
      </c>
      <c r="P5594" t="s" s="8">
        <v>14</v>
      </c>
      <c r="Q5594" t="s" s="12">
        <v>14</v>
      </c>
      <c r="R5594" t="s" s="12">
        <v>14</v>
      </c>
    </row>
    <row r="5595" s="2" customFormat="1" ht="13.5" customHeight="1">
      <c r="B5595" s="13"/>
      <c r="C5595" t="s" s="9">
        <v>16</v>
      </c>
      <c r="D5595" t="s" s="8">
        <v>1904</v>
      </c>
      <c r="E5595" t="s" s="9">
        <v>1904</v>
      </c>
      <c r="F5595" t="s" s="10">
        <v>341</v>
      </c>
      <c r="G5595" t="s" s="11">
        <v>341</v>
      </c>
      <c r="H5595" t="s" s="10">
        <v>342</v>
      </c>
      <c r="I5595" t="s" s="11">
        <v>342</v>
      </c>
      <c r="J5595" t="s" s="11">
        <v>20</v>
      </c>
      <c r="K5595" s="15"/>
      <c r="L5595" t="s" s="16">
        <f>HYPERLINK("http://csr.bu.edu/ftp/asl/asllvd/demos/verify_start_end_handshape_annotations//test_auto_move//signs_mov_separ_signers/Liz_1219.mov","MOV")</f>
        <v>21</v>
      </c>
      <c r="M5595" t="s" s="10">
        <v>34</v>
      </c>
      <c r="N5595" s="17">
        <v>26</v>
      </c>
      <c r="O5595" s="18">
        <v>3161</v>
      </c>
      <c r="P5595" s="18">
        <v>3224</v>
      </c>
      <c r="Q5595" s="15"/>
      <c r="R5595" t="s" s="16">
        <f>HYPERLINK("http://secrets.rutgers.edu:8080/data/asl-ftp/asllvd/demos/verify_start_end_handshape_annotations//test_auto_move//signs_mov_separ_signers/Liz_1219.mov","MOV")</f>
        <v>21</v>
      </c>
    </row>
    <row r="5596" s="2" customFormat="1" ht="13.5" customHeight="1">
      <c r="B5596" s="13"/>
      <c r="C5596" t="s" s="9">
        <v>23</v>
      </c>
      <c r="D5596" t="s" s="8">
        <v>1904</v>
      </c>
      <c r="E5596" t="s" s="9">
        <v>1904</v>
      </c>
      <c r="F5596" t="s" s="10">
        <v>341</v>
      </c>
      <c r="G5596" t="s" s="11">
        <v>341</v>
      </c>
      <c r="H5596" t="s" s="10">
        <v>342</v>
      </c>
      <c r="I5596" t="s" s="11">
        <v>342</v>
      </c>
      <c r="J5596" t="s" s="11">
        <v>20</v>
      </c>
      <c r="K5596" t="s" s="16">
        <f>HYPERLINK("http://csr.bu.edu/ftp/asl/asllvd/demos/verify_start_end_handshape_annotations//test_auto_move//signs_mov/1219.mov","MOV")</f>
        <v>21</v>
      </c>
      <c r="L5596" t="s" s="16">
        <f>HYPERLINK("http://csr.bu.edu/ftp/asl/asllvd/demos/verify_start_end_handshape_annotations//test_auto_move//signs_mov_separ_signers/Tyler_1219.mov","MOV")</f>
        <v>21</v>
      </c>
      <c r="M5596" t="s" s="10">
        <v>37</v>
      </c>
      <c r="N5596" s="17">
        <v>2</v>
      </c>
      <c r="O5596" s="18">
        <v>3125</v>
      </c>
      <c r="P5596" s="18">
        <v>3175</v>
      </c>
      <c r="Q5596" t="s" s="16">
        <f>HYPERLINK("http://secrets.rutgers.edu:8080/data/asl-ftp/asllvd/demos/verify_start_end_handshape_annotations//test_auto_move//signs_mov/1219.mov","MOV")</f>
        <v>21</v>
      </c>
      <c r="R5596" t="s" s="16">
        <f>HYPERLINK("http://secrets.rutgers.edu:8080/data/asl-ftp/asllvd/demos/verify_start_end_handshape_annotations//test_auto_move//signs_mov_separ_signers/Tyler_1219.mov","MOV")</f>
        <v>21</v>
      </c>
    </row>
    <row r="5597" s="2" customFormat="1" ht="13.5" customHeight="1">
      <c r="B5597" s="13"/>
      <c r="C5597" t="s" s="9">
        <v>27</v>
      </c>
      <c r="D5597" t="s" s="8">
        <v>1904</v>
      </c>
      <c r="E5597" t="s" s="9">
        <v>1904</v>
      </c>
      <c r="F5597" t="s" s="10">
        <v>341</v>
      </c>
      <c r="G5597" t="s" s="11">
        <v>341</v>
      </c>
      <c r="H5597" t="s" s="10">
        <v>342</v>
      </c>
      <c r="I5597" t="s" s="11">
        <v>342</v>
      </c>
      <c r="J5597" t="s" s="11">
        <v>20</v>
      </c>
      <c r="K5597" s="15"/>
      <c r="L5597" t="s" s="16">
        <f>HYPERLINK("http://csr.bu.edu/ftp/asl/asllvd/demos/verify_start_end_handshape_annotations//test_auto_move//signs_mov_separ_signers/Naomi_1219.mov","MOV")</f>
        <v>21</v>
      </c>
      <c r="M5597" t="s" s="10">
        <v>38</v>
      </c>
      <c r="N5597" s="17">
        <v>22</v>
      </c>
      <c r="O5597" s="18">
        <v>4812</v>
      </c>
      <c r="P5597" s="18">
        <v>4832</v>
      </c>
      <c r="Q5597" s="15"/>
      <c r="R5597" t="s" s="16">
        <f>HYPERLINK("http://secrets.rutgers.edu:8080/data/asl-ftp/asllvd/demos/verify_start_end_handshape_annotations//test_auto_move//signs_mov_separ_signers/Naomi_1219.mov","MOV")</f>
        <v>21</v>
      </c>
    </row>
    <row r="5598" s="2" customFormat="1" ht="13.5" customHeight="1">
      <c r="B5598" t="s" s="8">
        <v>1905</v>
      </c>
      <c r="C5598" t="s" s="9">
        <v>14</v>
      </c>
      <c r="D5598" t="s" s="8">
        <v>14</v>
      </c>
      <c r="E5598" t="s" s="9">
        <v>14</v>
      </c>
      <c r="F5598" t="s" s="10">
        <v>14</v>
      </c>
      <c r="G5598" t="s" s="11">
        <v>14</v>
      </c>
      <c r="H5598" t="s" s="10">
        <v>14</v>
      </c>
      <c r="I5598" t="s" s="11">
        <v>14</v>
      </c>
      <c r="J5598" t="s" s="11">
        <v>14</v>
      </c>
      <c r="K5598" t="s" s="12">
        <v>14</v>
      </c>
      <c r="L5598" t="s" s="12">
        <v>14</v>
      </c>
      <c r="M5598" t="s" s="10">
        <v>14</v>
      </c>
      <c r="N5598" t="s" s="11">
        <v>14</v>
      </c>
      <c r="O5598" t="s" s="8">
        <v>14</v>
      </c>
      <c r="P5598" t="s" s="8">
        <v>14</v>
      </c>
      <c r="Q5598" t="s" s="12">
        <v>14</v>
      </c>
      <c r="R5598" t="s" s="12">
        <v>14</v>
      </c>
    </row>
    <row r="5599" s="2" customFormat="1" ht="13.5" customHeight="1">
      <c r="B5599" s="13"/>
      <c r="C5599" t="s" s="9">
        <v>16</v>
      </c>
      <c r="D5599" t="s" s="8">
        <v>1905</v>
      </c>
      <c r="E5599" t="s" s="9">
        <v>1906</v>
      </c>
      <c r="F5599" t="s" s="10">
        <v>240</v>
      </c>
      <c r="G5599" t="s" s="11">
        <v>240</v>
      </c>
      <c r="H5599" t="s" s="10">
        <v>240</v>
      </c>
      <c r="I5599" t="s" s="11">
        <v>240</v>
      </c>
      <c r="J5599" t="s" s="11">
        <v>20</v>
      </c>
      <c r="K5599" s="15"/>
      <c r="L5599" t="s" s="16">
        <f>HYPERLINK("http://csr.bu.edu/ftp/asl/asllvd/demos/verify_start_end_handshape_annotations//test_auto_move//signs_mov_separ_signers/Liz_1221.mov","MOV")</f>
        <v>21</v>
      </c>
      <c r="M5599" t="s" s="10">
        <v>34</v>
      </c>
      <c r="N5599" s="17">
        <v>27</v>
      </c>
      <c r="O5599" s="18">
        <v>420</v>
      </c>
      <c r="P5599" s="18">
        <v>445</v>
      </c>
      <c r="Q5599" s="15"/>
      <c r="R5599" t="s" s="16">
        <f>HYPERLINK("http://secrets.rutgers.edu:8080/data/asl-ftp/asllvd/demos/verify_start_end_handshape_annotations//test_auto_move//signs_mov_separ_signers/Liz_1221.mov","MOV")</f>
        <v>21</v>
      </c>
    </row>
    <row r="5600" s="2" customFormat="1" ht="13.5" customHeight="1">
      <c r="B5600" s="13"/>
      <c r="C5600" t="s" s="9">
        <v>23</v>
      </c>
      <c r="D5600" t="s" s="8">
        <v>1905</v>
      </c>
      <c r="E5600" t="s" s="9">
        <v>1906</v>
      </c>
      <c r="F5600" t="s" s="10">
        <v>240</v>
      </c>
      <c r="G5600" t="s" s="11">
        <v>240</v>
      </c>
      <c r="H5600" t="s" s="10">
        <v>240</v>
      </c>
      <c r="I5600" t="s" s="11">
        <v>240</v>
      </c>
      <c r="J5600" t="s" s="11">
        <v>20</v>
      </c>
      <c r="K5600" s="15"/>
      <c r="L5600" t="s" s="16">
        <f>HYPERLINK("http://csr.bu.edu/ftp/asl/asllvd/demos/verify_start_end_handshape_annotations//test_auto_move//signs_mov_separ_signers/Tyler_1221.mov","MOV")</f>
        <v>21</v>
      </c>
      <c r="M5600" t="s" s="10">
        <v>37</v>
      </c>
      <c r="N5600" s="17">
        <v>3</v>
      </c>
      <c r="O5600" s="18">
        <v>200</v>
      </c>
      <c r="P5600" s="18">
        <v>235</v>
      </c>
      <c r="Q5600" s="15"/>
      <c r="R5600" t="s" s="16">
        <f>HYPERLINK("http://secrets.rutgers.edu:8080/data/asl-ftp/asllvd/demos/verify_start_end_handshape_annotations//test_auto_move//signs_mov_separ_signers/Tyler_1221.mov","MOV")</f>
        <v>21</v>
      </c>
    </row>
    <row r="5601" s="2" customFormat="1" ht="13.5" customHeight="1">
      <c r="B5601" s="13"/>
      <c r="C5601" t="s" s="9">
        <v>27</v>
      </c>
      <c r="D5601" t="s" s="8">
        <v>1905</v>
      </c>
      <c r="E5601" t="s" s="9">
        <v>1906</v>
      </c>
      <c r="F5601" t="s" s="10">
        <v>240</v>
      </c>
      <c r="G5601" t="s" s="11">
        <v>240</v>
      </c>
      <c r="H5601" t="s" s="10">
        <v>240</v>
      </c>
      <c r="I5601" t="s" s="11">
        <v>240</v>
      </c>
      <c r="J5601" t="s" s="11">
        <v>20</v>
      </c>
      <c r="K5601" t="s" s="16">
        <f>HYPERLINK("http://csr.bu.edu/ftp/asl/asllvd/demos/verify_start_end_handshape_annotations//test_auto_move//signs_mov/1221.mov","MOV")</f>
        <v>21</v>
      </c>
      <c r="L5601" t="s" s="16">
        <f>HYPERLINK("http://csr.bu.edu/ftp/asl/asllvd/demos/verify_start_end_handshape_annotations//test_auto_move//signs_mov_separ_signers/Naomi_1221.mov","MOV")</f>
        <v>21</v>
      </c>
      <c r="M5601" t="s" s="10">
        <v>38</v>
      </c>
      <c r="N5601" s="17">
        <v>23</v>
      </c>
      <c r="O5601" s="18">
        <v>403</v>
      </c>
      <c r="P5601" s="18">
        <v>435</v>
      </c>
      <c r="Q5601" t="s" s="16">
        <f>HYPERLINK("http://secrets.rutgers.edu:8080/data/asl-ftp/asllvd/demos/verify_start_end_handshape_annotations//test_auto_move//signs_mov/1221.mov","MOV")</f>
        <v>21</v>
      </c>
      <c r="R5601" t="s" s="16">
        <f>HYPERLINK("http://secrets.rutgers.edu:8080/data/asl-ftp/asllvd/demos/verify_start_end_handshape_annotations//test_auto_move//signs_mov_separ_signers/Naomi_1221.mov","MOV")</f>
        <v>21</v>
      </c>
    </row>
    <row r="5602" s="2" customFormat="1" ht="13.5" customHeight="1">
      <c r="B5602" s="13"/>
      <c r="C5602" t="s" s="9">
        <v>41</v>
      </c>
      <c r="D5602" t="s" s="8">
        <v>1905</v>
      </c>
      <c r="E5602" t="s" s="9">
        <v>1907</v>
      </c>
      <c r="F5602" t="s" s="10">
        <v>240</v>
      </c>
      <c r="G5602" t="s" s="11">
        <v>240</v>
      </c>
      <c r="H5602" t="s" s="10">
        <v>240</v>
      </c>
      <c r="I5602" t="s" s="11">
        <v>240</v>
      </c>
      <c r="J5602" t="s" s="11">
        <v>20</v>
      </c>
      <c r="K5602" s="15"/>
      <c r="L5602" t="s" s="16">
        <f>HYPERLINK("http://csr.bu.edu/ftp/asl/asllvd/demos/verify_start_end_handshape_annotations//test_auto_move//signs_mov_separ_signers/Lana_1221.mov","MOV")</f>
        <v>21</v>
      </c>
      <c r="M5602" t="s" s="10">
        <v>42</v>
      </c>
      <c r="N5602" s="17">
        <v>14</v>
      </c>
      <c r="O5602" s="18">
        <v>1896</v>
      </c>
      <c r="P5602" s="18">
        <v>1922</v>
      </c>
      <c r="Q5602" s="15"/>
      <c r="R5602" t="s" s="16">
        <f>HYPERLINK("http://secrets.rutgers.edu:8080/data/asl-ftp/asllvd/demos/verify_start_end_handshape_annotations//test_auto_move//signs_mov_separ_signers/Lana_1221.mov","MOV")</f>
        <v>21</v>
      </c>
    </row>
    <row r="5603" s="2" customFormat="1" ht="13.5" customHeight="1">
      <c r="B5603" s="13"/>
      <c r="C5603" t="s" s="9">
        <v>43</v>
      </c>
      <c r="D5603" t="s" s="8">
        <v>1905</v>
      </c>
      <c r="E5603" t="s" s="9">
        <v>1906</v>
      </c>
      <c r="F5603" t="s" s="10">
        <v>240</v>
      </c>
      <c r="G5603" t="s" s="11">
        <v>240</v>
      </c>
      <c r="H5603" t="s" s="10">
        <v>240</v>
      </c>
      <c r="I5603" t="s" s="11">
        <v>240</v>
      </c>
      <c r="J5603" t="s" s="11">
        <v>20</v>
      </c>
      <c r="K5603" s="15"/>
      <c r="L5603" t="s" s="16">
        <f>HYPERLINK("http://csr.bu.edu/ftp/asl/asllvd/demos/verify_start_end_handshape_annotations//test_auto_move//signs_mov_separ_signers/Dana_1221.mov","MOV")</f>
        <v>21</v>
      </c>
      <c r="M5603" t="s" s="10">
        <v>44</v>
      </c>
      <c r="N5603" s="17">
        <v>17</v>
      </c>
      <c r="O5603" s="18">
        <v>2243</v>
      </c>
      <c r="P5603" s="18">
        <v>2300</v>
      </c>
      <c r="Q5603" s="15"/>
      <c r="R5603" t="s" s="16">
        <f>HYPERLINK("http://secrets.rutgers.edu:8080/data/asl-ftp/asllvd/demos/verify_start_end_handshape_annotations//test_auto_move//signs_mov_separ_signers/Dana_1221.mov","MOV")</f>
        <v>21</v>
      </c>
    </row>
    <row r="5604" s="2" customFormat="1" ht="13.5" customHeight="1">
      <c r="B5604" t="s" s="8">
        <v>1908</v>
      </c>
      <c r="C5604" t="s" s="9">
        <v>14</v>
      </c>
      <c r="D5604" t="s" s="8">
        <v>14</v>
      </c>
      <c r="E5604" t="s" s="9">
        <v>14</v>
      </c>
      <c r="F5604" t="s" s="10">
        <v>14</v>
      </c>
      <c r="G5604" t="s" s="11">
        <v>14</v>
      </c>
      <c r="H5604" t="s" s="10">
        <v>14</v>
      </c>
      <c r="I5604" t="s" s="11">
        <v>14</v>
      </c>
      <c r="J5604" t="s" s="11">
        <v>14</v>
      </c>
      <c r="K5604" t="s" s="12">
        <v>14</v>
      </c>
      <c r="L5604" t="s" s="12">
        <v>14</v>
      </c>
      <c r="M5604" t="s" s="10">
        <v>14</v>
      </c>
      <c r="N5604" t="s" s="11">
        <v>14</v>
      </c>
      <c r="O5604" t="s" s="8">
        <v>14</v>
      </c>
      <c r="P5604" t="s" s="8">
        <v>14</v>
      </c>
      <c r="Q5604" t="s" s="12">
        <v>14</v>
      </c>
      <c r="R5604" t="s" s="12">
        <v>14</v>
      </c>
    </row>
    <row r="5605" s="2" customFormat="1" ht="13.5" customHeight="1">
      <c r="B5605" s="13"/>
      <c r="C5605" t="s" s="9">
        <v>16</v>
      </c>
      <c r="D5605" t="s" s="8">
        <v>1908</v>
      </c>
      <c r="E5605" t="s" s="9">
        <v>1909</v>
      </c>
      <c r="F5605" t="s" s="10">
        <v>268</v>
      </c>
      <c r="G5605" t="s" s="11">
        <v>268</v>
      </c>
      <c r="H5605" t="s" s="10">
        <v>268</v>
      </c>
      <c r="I5605" t="s" s="11">
        <v>268</v>
      </c>
      <c r="J5605" t="s" s="11">
        <v>20</v>
      </c>
      <c r="K5605" s="15"/>
      <c r="L5605" t="s" s="16">
        <f>HYPERLINK("http://csr.bu.edu/ftp/asl/asllvd/demos/verify_start_end_handshape_annotations//test_auto_move//signs_mov_separ_signers/Liz_1222.mov","MOV")</f>
        <v>21</v>
      </c>
      <c r="M5605" t="s" s="10">
        <v>34</v>
      </c>
      <c r="N5605" s="17">
        <v>27</v>
      </c>
      <c r="O5605" s="18">
        <v>620</v>
      </c>
      <c r="P5605" s="18">
        <v>670</v>
      </c>
      <c r="Q5605" s="15"/>
      <c r="R5605" t="s" s="16">
        <f>HYPERLINK("http://secrets.rutgers.edu:8080/data/asl-ftp/asllvd/demos/verify_start_end_handshape_annotations//test_auto_move//signs_mov_separ_signers/Liz_1222.mov","MOV")</f>
        <v>21</v>
      </c>
    </row>
    <row r="5606" s="2" customFormat="1" ht="13.5" customHeight="1">
      <c r="B5606" s="13"/>
      <c r="C5606" t="s" s="9">
        <v>16</v>
      </c>
      <c r="D5606" t="s" s="8">
        <v>1908</v>
      </c>
      <c r="E5606" t="s" s="9">
        <v>1908</v>
      </c>
      <c r="F5606" t="s" s="10">
        <v>268</v>
      </c>
      <c r="G5606" t="s" s="11">
        <v>268</v>
      </c>
      <c r="H5606" t="s" s="10">
        <v>268</v>
      </c>
      <c r="I5606" t="s" s="11">
        <v>268</v>
      </c>
      <c r="J5606" t="s" s="11">
        <v>20</v>
      </c>
      <c r="K5606" s="15"/>
      <c r="L5606" t="s" s="16">
        <f>HYPERLINK("http://csr.bu.edu/ftp/asl/asllvd/demos/verify_start_end_handshape_annotations//test_auto_move//signs_mov_separ_signers/Liz_3759.mov","MOV")</f>
        <v>21</v>
      </c>
      <c r="M5606" t="s" s="10">
        <v>36</v>
      </c>
      <c r="N5606" s="17">
        <v>32</v>
      </c>
      <c r="O5606" s="18">
        <v>1013</v>
      </c>
      <c r="P5606" s="18">
        <v>1060</v>
      </c>
      <c r="Q5606" s="15"/>
      <c r="R5606" t="s" s="16">
        <f>HYPERLINK("http://secrets.rutgers.edu:8080/data/asl-ftp/asllvd/demos/verify_start_end_handshape_annotations//test_auto_move//signs_mov_separ_signers/Liz_3759.mov","MOV")</f>
        <v>21</v>
      </c>
    </row>
    <row r="5607" s="2" customFormat="1" ht="13.5" customHeight="1">
      <c r="B5607" s="13"/>
      <c r="C5607" t="s" s="9">
        <v>16</v>
      </c>
      <c r="D5607" t="s" s="8">
        <v>1908</v>
      </c>
      <c r="E5607" t="s" s="9">
        <v>1909</v>
      </c>
      <c r="F5607" t="s" s="10">
        <v>268</v>
      </c>
      <c r="G5607" t="s" s="11">
        <v>268</v>
      </c>
      <c r="H5607" t="s" s="10">
        <v>268</v>
      </c>
      <c r="I5607" t="s" s="11">
        <v>268</v>
      </c>
      <c r="J5607" t="s" s="11">
        <v>20</v>
      </c>
      <c r="K5607" t="s" s="16">
        <f>HYPERLINK("http://csr.bu.edu/ftp/asl/asllvd/demos/verify_start_end_handshape_annotations//test_auto_move//signs_mov/1222_3759_3761_merged.mov","MOV")</f>
        <v>21</v>
      </c>
      <c r="L5607" t="s" s="16">
        <f>HYPERLINK("http://csr.bu.edu/ftp/asl/asllvd/demos/verify_start_end_handshape_annotations//test_auto_move//signs_mov_separ_signers/Liz_3761.mov","MOV")</f>
        <v>21</v>
      </c>
      <c r="M5607" t="s" s="10">
        <v>36</v>
      </c>
      <c r="N5607" s="17">
        <v>33</v>
      </c>
      <c r="O5607" s="18">
        <v>271</v>
      </c>
      <c r="P5607" s="18">
        <v>354</v>
      </c>
      <c r="Q5607" t="s" s="16">
        <f>HYPERLINK("http://secrets.rutgers.edu:8080/data/asl-ftp/asllvd/demos/verify_start_end_handshape_annotations//test_auto_move//signs_mov/1222_3759_3761_merged.mov","MOV")</f>
        <v>21</v>
      </c>
      <c r="R5607" t="s" s="16">
        <f>HYPERLINK("http://secrets.rutgers.edu:8080/data/asl-ftp/asllvd/demos/verify_start_end_handshape_annotations//test_auto_move//signs_mov_separ_signers/Liz_3761.mov","MOV")</f>
        <v>21</v>
      </c>
    </row>
    <row r="5608" s="2" customFormat="1" ht="13.5" customHeight="1">
      <c r="B5608" s="13"/>
      <c r="C5608" t="s" s="9">
        <v>23</v>
      </c>
      <c r="D5608" t="s" s="8">
        <v>1908</v>
      </c>
      <c r="E5608" t="s" s="9">
        <v>1909</v>
      </c>
      <c r="F5608" t="s" s="10">
        <v>268</v>
      </c>
      <c r="G5608" t="s" s="11">
        <v>268</v>
      </c>
      <c r="H5608" t="s" s="10">
        <v>268</v>
      </c>
      <c r="I5608" t="s" s="11">
        <v>268</v>
      </c>
      <c r="J5608" t="s" s="11">
        <v>20</v>
      </c>
      <c r="K5608" s="15"/>
      <c r="L5608" t="s" s="16">
        <f>HYPERLINK("http://csr.bu.edu/ftp/asl/asllvd/demos/verify_start_end_handshape_annotations//test_auto_move//signs_mov_separ_signers/Tyler_1222.mov","MOV")</f>
        <v>21</v>
      </c>
      <c r="M5608" t="s" s="10">
        <v>37</v>
      </c>
      <c r="N5608" s="17">
        <v>3</v>
      </c>
      <c r="O5608" s="18">
        <v>370</v>
      </c>
      <c r="P5608" s="18">
        <v>410</v>
      </c>
      <c r="Q5608" s="15"/>
      <c r="R5608" t="s" s="16">
        <f>HYPERLINK("http://secrets.rutgers.edu:8080/data/asl-ftp/asllvd/demos/verify_start_end_handshape_annotations//test_auto_move//signs_mov_separ_signers/Tyler_1222.mov","MOV")</f>
        <v>21</v>
      </c>
    </row>
    <row r="5609" s="2" customFormat="1" ht="13.5" customHeight="1">
      <c r="B5609" s="13"/>
      <c r="C5609" t="s" s="9">
        <v>41</v>
      </c>
      <c r="D5609" t="s" s="8">
        <v>1908</v>
      </c>
      <c r="E5609" t="s" s="9">
        <v>1909</v>
      </c>
      <c r="F5609" t="s" s="10">
        <v>268</v>
      </c>
      <c r="G5609" t="s" s="11">
        <v>268</v>
      </c>
      <c r="H5609" t="s" s="10">
        <v>268</v>
      </c>
      <c r="I5609" t="s" s="11">
        <v>268</v>
      </c>
      <c r="J5609" t="s" s="11">
        <v>20</v>
      </c>
      <c r="K5609" s="15"/>
      <c r="L5609" t="s" s="16">
        <f>HYPERLINK("http://csr.bu.edu/ftp/asl/asllvd/demos/verify_start_end_handshape_annotations//test_auto_move//signs_mov_separ_signers/Lana_1222.mov","MOV")</f>
        <v>21</v>
      </c>
      <c r="M5609" t="s" s="10">
        <v>42</v>
      </c>
      <c r="N5609" s="17">
        <v>14</v>
      </c>
      <c r="O5609" s="18">
        <v>2164</v>
      </c>
      <c r="P5609" s="18">
        <v>2200</v>
      </c>
      <c r="Q5609" s="15"/>
      <c r="R5609" t="s" s="16">
        <f>HYPERLINK("http://secrets.rutgers.edu:8080/data/asl-ftp/asllvd/demos/verify_start_end_handshape_annotations//test_auto_move//signs_mov_separ_signers/Lana_1222.mov","MOV")</f>
        <v>21</v>
      </c>
    </row>
    <row r="5610" s="2" customFormat="1" ht="13.5" customHeight="1">
      <c r="B5610" t="s" s="8">
        <v>52</v>
      </c>
      <c r="C5610" t="s" s="9">
        <v>53</v>
      </c>
      <c r="D5610" t="s" s="8">
        <v>53</v>
      </c>
      <c r="E5610" t="s" s="9">
        <v>53</v>
      </c>
      <c r="F5610" t="s" s="10">
        <v>53</v>
      </c>
      <c r="G5610" t="s" s="11">
        <v>53</v>
      </c>
      <c r="H5610" t="s" s="10">
        <v>53</v>
      </c>
      <c r="I5610" t="s" s="11">
        <v>53</v>
      </c>
      <c r="J5610" t="s" s="11">
        <v>53</v>
      </c>
      <c r="K5610" t="s" s="12">
        <v>53</v>
      </c>
      <c r="L5610" t="s" s="12">
        <v>53</v>
      </c>
      <c r="M5610" t="s" s="10">
        <v>53</v>
      </c>
      <c r="N5610" t="s" s="11">
        <v>53</v>
      </c>
      <c r="O5610" t="s" s="8">
        <v>53</v>
      </c>
      <c r="P5610" t="s" s="8">
        <v>53</v>
      </c>
      <c r="Q5610" t="s" s="12">
        <v>53</v>
      </c>
      <c r="R5610" t="s" s="12">
        <v>53</v>
      </c>
    </row>
    <row r="5611" s="2" customFormat="1" ht="13.5" customHeight="1">
      <c r="B5611" s="13"/>
      <c r="C5611" t="s" s="9">
        <v>27</v>
      </c>
      <c r="D5611" t="s" s="8">
        <v>1908</v>
      </c>
      <c r="E5611" t="s" s="9">
        <v>1910</v>
      </c>
      <c r="F5611" t="s" s="10">
        <v>268</v>
      </c>
      <c r="G5611" t="s" s="11">
        <v>268</v>
      </c>
      <c r="H5611" t="s" s="10">
        <v>268</v>
      </c>
      <c r="I5611" t="s" s="11">
        <v>268</v>
      </c>
      <c r="J5611" t="s" s="11">
        <v>20</v>
      </c>
      <c r="K5611" t="s" s="16">
        <f>HYPERLINK("http://csr.bu.edu/ftp/asl/asllvd/demos/verify_start_end_handshape_annotations//test_auto_move//signs_mov/15497.mov","MOV")</f>
        <v>21</v>
      </c>
      <c r="L5611" t="s" s="16">
        <f>HYPERLINK("http://csr.bu.edu/ftp/asl/asllvd/demos/verify_start_end_handshape_annotations//test_auto_move//signs_mov_separ_signers/Naomi_15497.mov","MOV")</f>
        <v>21</v>
      </c>
      <c r="M5611" t="s" s="10">
        <v>38</v>
      </c>
      <c r="N5611" s="17">
        <v>23</v>
      </c>
      <c r="O5611" s="18">
        <v>698</v>
      </c>
      <c r="P5611" s="18">
        <v>745</v>
      </c>
      <c r="Q5611" t="s" s="16">
        <f>HYPERLINK("http://secrets.rutgers.edu:8080/data/asl-ftp/asllvd/demos/verify_start_end_handshape_annotations//test_auto_move//signs_mov/15497.mov","MOV")</f>
        <v>21</v>
      </c>
      <c r="R5611" t="s" s="16">
        <f>HYPERLINK("http://secrets.rutgers.edu:8080/data/asl-ftp/asllvd/demos/verify_start_end_handshape_annotations//test_auto_move//signs_mov_separ_signers/Naomi_15497.mov","MOV")</f>
        <v>21</v>
      </c>
    </row>
    <row r="5612" s="2" customFormat="1" ht="13.5" customHeight="1">
      <c r="B5612" s="13"/>
      <c r="C5612" t="s" s="9">
        <v>43</v>
      </c>
      <c r="D5612" t="s" s="8">
        <v>1908</v>
      </c>
      <c r="E5612" t="s" s="9">
        <v>1910</v>
      </c>
      <c r="F5612" s="19">
        <v>1</v>
      </c>
      <c r="G5612" s="17">
        <v>1</v>
      </c>
      <c r="H5612" s="19">
        <v>1</v>
      </c>
      <c r="I5612" s="17">
        <v>1</v>
      </c>
      <c r="J5612" t="s" s="11">
        <v>20</v>
      </c>
      <c r="K5612" s="15"/>
      <c r="L5612" t="s" s="16">
        <f>HYPERLINK("http://csr.bu.edu/ftp/asl/asllvd/demos/verify_start_end_handshape_annotations//test_auto_move//signs_mov_separ_signers/Dana_15497.mov","MOV")</f>
        <v>21</v>
      </c>
      <c r="M5612" t="s" s="10">
        <v>44</v>
      </c>
      <c r="N5612" s="17">
        <v>17</v>
      </c>
      <c r="O5612" s="18">
        <v>2482</v>
      </c>
      <c r="P5612" s="18">
        <v>2533</v>
      </c>
      <c r="Q5612" s="15"/>
      <c r="R5612" t="s" s="16">
        <f>HYPERLINK("http://secrets.rutgers.edu:8080/data/asl-ftp/asllvd/demos/verify_start_end_handshape_annotations//test_auto_move//signs_mov_separ_signers/Dana_15497.mov","MOV")</f>
        <v>21</v>
      </c>
    </row>
    <row r="5613" s="2" customFormat="1" ht="13.5" customHeight="1">
      <c r="B5613" t="s" s="8">
        <v>52</v>
      </c>
      <c r="C5613" t="s" s="9">
        <v>53</v>
      </c>
      <c r="D5613" t="s" s="8">
        <v>53</v>
      </c>
      <c r="E5613" t="s" s="9">
        <v>53</v>
      </c>
      <c r="F5613" t="s" s="10">
        <v>53</v>
      </c>
      <c r="G5613" t="s" s="11">
        <v>53</v>
      </c>
      <c r="H5613" t="s" s="10">
        <v>53</v>
      </c>
      <c r="I5613" t="s" s="11">
        <v>53</v>
      </c>
      <c r="J5613" t="s" s="11">
        <v>53</v>
      </c>
      <c r="K5613" t="s" s="12">
        <v>53</v>
      </c>
      <c r="L5613" t="s" s="12">
        <v>53</v>
      </c>
      <c r="M5613" t="s" s="10">
        <v>53</v>
      </c>
      <c r="N5613" t="s" s="11">
        <v>53</v>
      </c>
      <c r="O5613" t="s" s="8">
        <v>53</v>
      </c>
      <c r="P5613" t="s" s="8">
        <v>53</v>
      </c>
      <c r="Q5613" t="s" s="12">
        <v>53</v>
      </c>
      <c r="R5613" t="s" s="12">
        <v>53</v>
      </c>
    </row>
    <row r="5614" s="2" customFormat="1" ht="13.5" customHeight="1">
      <c r="B5614" s="13"/>
      <c r="C5614" t="s" s="9">
        <v>30</v>
      </c>
      <c r="D5614" t="s" s="8">
        <v>1908</v>
      </c>
      <c r="E5614" t="s" s="9">
        <v>1911</v>
      </c>
      <c r="F5614" t="s" s="10">
        <v>268</v>
      </c>
      <c r="G5614" t="s" s="11">
        <v>268</v>
      </c>
      <c r="H5614" t="s" s="10">
        <v>268</v>
      </c>
      <c r="I5614" t="s" s="11">
        <v>268</v>
      </c>
      <c r="J5614" t="s" s="11">
        <v>20</v>
      </c>
      <c r="K5614" t="s" s="16">
        <f>HYPERLINK("http://csr.bu.edu/ftp/asl/asllvd/demos/verify_start_end_handshape_annotations//test_auto_move//signs_mov/15726.mov","MOV")</f>
        <v>21</v>
      </c>
      <c r="L5614" t="s" s="16">
        <f>HYPERLINK("http://csr.bu.edu/ftp/asl/asllvd/demos/verify_start_end_handshape_annotations//test_auto_move//signs_mov_separ_signers/Brady_15726.mov","MOV")</f>
        <v>21</v>
      </c>
      <c r="M5614" t="s" s="10">
        <v>40</v>
      </c>
      <c r="N5614" s="17">
        <v>83</v>
      </c>
      <c r="O5614" s="18">
        <v>1424</v>
      </c>
      <c r="P5614" s="18">
        <v>1458</v>
      </c>
      <c r="Q5614" t="s" s="16">
        <f>HYPERLINK("http://secrets.rutgers.edu:8080/data/asl-ftp/asllvd/demos/verify_start_end_handshape_annotations//test_auto_move//signs_mov/15726.mov","MOV")</f>
        <v>21</v>
      </c>
      <c r="R5614" t="s" s="16">
        <f>HYPERLINK("http://secrets.rutgers.edu:8080/data/asl-ftp/asllvd/demos/verify_start_end_handshape_annotations//test_auto_move//signs_mov_separ_signers/Brady_15726.mov","MOV")</f>
        <v>21</v>
      </c>
    </row>
    <row r="5615" s="2" customFormat="1" ht="13.5" customHeight="1">
      <c r="B5615" t="s" s="8">
        <v>1912</v>
      </c>
      <c r="C5615" t="s" s="9">
        <v>14</v>
      </c>
      <c r="D5615" t="s" s="8">
        <v>14</v>
      </c>
      <c r="E5615" t="s" s="9">
        <v>14</v>
      </c>
      <c r="F5615" t="s" s="10">
        <v>14</v>
      </c>
      <c r="G5615" t="s" s="11">
        <v>14</v>
      </c>
      <c r="H5615" t="s" s="10">
        <v>14</v>
      </c>
      <c r="I5615" t="s" s="11">
        <v>14</v>
      </c>
      <c r="J5615" t="s" s="11">
        <v>14</v>
      </c>
      <c r="K5615" t="s" s="12">
        <v>14</v>
      </c>
      <c r="L5615" t="s" s="12">
        <v>14</v>
      </c>
      <c r="M5615" t="s" s="10">
        <v>14</v>
      </c>
      <c r="N5615" t="s" s="11">
        <v>14</v>
      </c>
      <c r="O5615" t="s" s="8">
        <v>14</v>
      </c>
      <c r="P5615" t="s" s="8">
        <v>14</v>
      </c>
      <c r="Q5615" t="s" s="12">
        <v>14</v>
      </c>
      <c r="R5615" t="s" s="12">
        <v>14</v>
      </c>
    </row>
    <row r="5616" s="2" customFormat="1" ht="13.5" customHeight="1">
      <c r="B5616" s="13"/>
      <c r="C5616" t="s" s="9">
        <v>16</v>
      </c>
      <c r="D5616" t="s" s="8">
        <v>1912</v>
      </c>
      <c r="E5616" t="s" s="9">
        <v>1913</v>
      </c>
      <c r="F5616" s="19">
        <v>1</v>
      </c>
      <c r="G5616" s="17">
        <v>1</v>
      </c>
      <c r="H5616" s="19">
        <v>1</v>
      </c>
      <c r="I5616" s="17">
        <v>1</v>
      </c>
      <c r="J5616" t="s" s="11">
        <v>20</v>
      </c>
      <c r="K5616" t="s" s="16">
        <f>HYPERLINK("http://csr.bu.edu/ftp/asl/asllvd/demos/verify_start_end_handshape_annotations//test_auto_move//signs_mov/15789.mov","MOV")</f>
        <v>21</v>
      </c>
      <c r="L5616" t="s" s="16">
        <f>HYPERLINK("http://csr.bu.edu/ftp/asl/asllvd/demos/verify_start_end_handshape_annotations//test_auto_move//signs_mov_separ_signers/Liz_15789.mov","MOV")</f>
        <v>21</v>
      </c>
      <c r="M5616" t="s" s="10">
        <v>59</v>
      </c>
      <c r="N5616" s="17">
        <v>16</v>
      </c>
      <c r="O5616" s="18">
        <v>595</v>
      </c>
      <c r="P5616" s="18">
        <v>645</v>
      </c>
      <c r="Q5616" t="s" s="16">
        <f>HYPERLINK("http://secrets.rutgers.edu:8080/data/asl-ftp/asllvd/demos/verify_start_end_handshape_annotations//test_auto_move//signs_mov/15789.mov","MOV")</f>
        <v>21</v>
      </c>
      <c r="R5616" t="s" s="16">
        <f>HYPERLINK("http://secrets.rutgers.edu:8080/data/asl-ftp/asllvd/demos/verify_start_end_handshape_annotations//test_auto_move//signs_mov_separ_signers/Liz_15789.mov","MOV")</f>
        <v>21</v>
      </c>
    </row>
    <row r="5617" s="2" customFormat="1" ht="13.5" customHeight="1">
      <c r="B5617" s="13"/>
      <c r="C5617" t="s" s="9">
        <v>30</v>
      </c>
      <c r="D5617" t="s" s="8">
        <v>1912</v>
      </c>
      <c r="E5617" t="s" s="9">
        <v>1914</v>
      </c>
      <c r="F5617" t="s" s="10">
        <v>268</v>
      </c>
      <c r="G5617" t="s" s="11">
        <v>268</v>
      </c>
      <c r="H5617" t="s" s="10">
        <v>268</v>
      </c>
      <c r="I5617" t="s" s="11">
        <v>268</v>
      </c>
      <c r="J5617" t="s" s="11">
        <v>20</v>
      </c>
      <c r="K5617" s="15"/>
      <c r="L5617" t="s" s="16">
        <f>HYPERLINK("http://csr.bu.edu/ftp/asl/asllvd/demos/verify_start_end_handshape_annotations//test_auto_move//signs_mov_separ_signers/Brady_15789.mov","MOV")</f>
        <v>21</v>
      </c>
      <c r="M5617" t="s" s="10">
        <v>40</v>
      </c>
      <c r="N5617" s="17">
        <v>117</v>
      </c>
      <c r="O5617" s="18">
        <v>909</v>
      </c>
      <c r="P5617" s="18">
        <v>952</v>
      </c>
      <c r="Q5617" s="15"/>
      <c r="R5617" t="s" s="16">
        <f>HYPERLINK("http://secrets.rutgers.edu:8080/data/asl-ftp/asllvd/demos/verify_start_end_handshape_annotations//test_auto_move//signs_mov_separ_signers/Brady_15789.mov","MOV")</f>
        <v>21</v>
      </c>
    </row>
    <row r="5618" s="2" customFormat="1" ht="13.5" customHeight="1">
      <c r="B5618" t="s" s="8">
        <v>1915</v>
      </c>
      <c r="C5618" t="s" s="9">
        <v>14</v>
      </c>
      <c r="D5618" t="s" s="8">
        <v>14</v>
      </c>
      <c r="E5618" t="s" s="9">
        <v>14</v>
      </c>
      <c r="F5618" t="s" s="10">
        <v>14</v>
      </c>
      <c r="G5618" t="s" s="11">
        <v>14</v>
      </c>
      <c r="H5618" t="s" s="10">
        <v>14</v>
      </c>
      <c r="I5618" t="s" s="11">
        <v>14</v>
      </c>
      <c r="J5618" t="s" s="11">
        <v>14</v>
      </c>
      <c r="K5618" t="s" s="12">
        <v>14</v>
      </c>
      <c r="L5618" t="s" s="12">
        <v>14</v>
      </c>
      <c r="M5618" t="s" s="10">
        <v>14</v>
      </c>
      <c r="N5618" t="s" s="11">
        <v>14</v>
      </c>
      <c r="O5618" t="s" s="8">
        <v>14</v>
      </c>
      <c r="P5618" t="s" s="8">
        <v>14</v>
      </c>
      <c r="Q5618" t="s" s="12">
        <v>14</v>
      </c>
      <c r="R5618" t="s" s="12">
        <v>14</v>
      </c>
    </row>
    <row r="5619" s="2" customFormat="1" ht="13.5" customHeight="1">
      <c r="B5619" s="13"/>
      <c r="C5619" t="s" s="9">
        <v>16</v>
      </c>
      <c r="D5619" t="s" s="8">
        <v>1915</v>
      </c>
      <c r="E5619" t="s" s="9">
        <v>1916</v>
      </c>
      <c r="F5619" t="s" s="10">
        <v>268</v>
      </c>
      <c r="G5619" t="s" s="11">
        <v>268</v>
      </c>
      <c r="H5619" t="s" s="10">
        <v>268</v>
      </c>
      <c r="I5619" t="s" s="11">
        <v>268</v>
      </c>
      <c r="J5619" t="s" s="11">
        <v>20</v>
      </c>
      <c r="K5619" s="15"/>
      <c r="L5619" t="s" s="16">
        <f>HYPERLINK("http://csr.bu.edu/ftp/asl/asllvd/demos/verify_start_end_handshape_annotations//test_auto_move//signs_mov_separ_signers/Liz_15790.mov","MOV")</f>
        <v>21</v>
      </c>
      <c r="M5619" t="s" s="10">
        <v>34</v>
      </c>
      <c r="N5619" s="17">
        <v>19</v>
      </c>
      <c r="O5619" s="18">
        <v>1801</v>
      </c>
      <c r="P5619" s="18">
        <v>1860</v>
      </c>
      <c r="Q5619" s="15"/>
      <c r="R5619" t="s" s="16">
        <f>HYPERLINK("http://secrets.rutgers.edu:8080/data/asl-ftp/asllvd/demos/verify_start_end_handshape_annotations//test_auto_move//signs_mov_separ_signers/Liz_15790.mov","MOV")</f>
        <v>21</v>
      </c>
    </row>
    <row r="5620" s="2" customFormat="1" ht="13.5" customHeight="1">
      <c r="B5620" s="13"/>
      <c r="C5620" t="s" s="9">
        <v>23</v>
      </c>
      <c r="D5620" t="s" s="8">
        <v>1915</v>
      </c>
      <c r="E5620" t="s" s="9">
        <v>1917</v>
      </c>
      <c r="F5620" t="s" s="10">
        <v>268</v>
      </c>
      <c r="G5620" t="s" s="11">
        <v>268</v>
      </c>
      <c r="H5620" t="s" s="10">
        <v>268</v>
      </c>
      <c r="I5620" t="s" s="11">
        <v>268</v>
      </c>
      <c r="J5620" t="s" s="11">
        <v>20</v>
      </c>
      <c r="K5620" t="s" s="16">
        <f>HYPERLINK("http://csr.bu.edu/ftp/asl/asllvd/demos/verify_start_end_handshape_annotations//test_auto_move//signs_mov/15790.mov","MOV")</f>
        <v>21</v>
      </c>
      <c r="L5620" t="s" s="16">
        <f>HYPERLINK("http://csr.bu.edu/ftp/asl/asllvd/demos/verify_start_end_handshape_annotations//test_auto_move//signs_mov_separ_signers/Tyler_15790.mov","MOV")</f>
        <v>21</v>
      </c>
      <c r="M5620" t="s" s="10">
        <v>92</v>
      </c>
      <c r="N5620" s="17">
        <v>47</v>
      </c>
      <c r="O5620" s="18">
        <v>3802</v>
      </c>
      <c r="P5620" s="18">
        <v>3840</v>
      </c>
      <c r="Q5620" t="s" s="16">
        <f>HYPERLINK("http://secrets.rutgers.edu:8080/data/asl-ftp/asllvd/demos/verify_start_end_handshape_annotations//test_auto_move//signs_mov/15790.mov","MOV")</f>
        <v>21</v>
      </c>
      <c r="R5620" t="s" s="16">
        <f>HYPERLINK("http://secrets.rutgers.edu:8080/data/asl-ftp/asllvd/demos/verify_start_end_handshape_annotations//test_auto_move//signs_mov_separ_signers/Tyler_15790.mov","MOV")</f>
        <v>21</v>
      </c>
    </row>
    <row r="5621" s="2" customFormat="1" ht="13.5" customHeight="1">
      <c r="B5621" s="13"/>
      <c r="C5621" t="s" s="9">
        <v>27</v>
      </c>
      <c r="D5621" t="s" s="8">
        <v>1915</v>
      </c>
      <c r="E5621" t="s" s="9">
        <v>1916</v>
      </c>
      <c r="F5621" t="s" s="10">
        <v>268</v>
      </c>
      <c r="G5621" t="s" s="11">
        <v>268</v>
      </c>
      <c r="H5621" t="s" s="10">
        <v>268</v>
      </c>
      <c r="I5621" t="s" s="11">
        <v>268</v>
      </c>
      <c r="J5621" t="s" s="11">
        <v>20</v>
      </c>
      <c r="K5621" s="15"/>
      <c r="L5621" t="s" s="16">
        <f>HYPERLINK("http://csr.bu.edu/ftp/asl/asllvd/demos/verify_start_end_handshape_annotations//test_auto_move//signs_mov_separ_signers/Naomi_15790.mov","MOV")</f>
        <v>21</v>
      </c>
      <c r="M5621" t="s" s="10">
        <v>38</v>
      </c>
      <c r="N5621" s="17">
        <v>15</v>
      </c>
      <c r="O5621" s="18">
        <v>2591</v>
      </c>
      <c r="P5621" s="18">
        <v>2630</v>
      </c>
      <c r="Q5621" s="15"/>
      <c r="R5621" t="s" s="16">
        <f>HYPERLINK("http://secrets.rutgers.edu:8080/data/asl-ftp/asllvd/demos/verify_start_end_handshape_annotations//test_auto_move//signs_mov_separ_signers/Naomi_15790.mov","MOV")</f>
        <v>21</v>
      </c>
    </row>
    <row r="5622" s="2" customFormat="1" ht="13.5" customHeight="1">
      <c r="B5622" s="13"/>
      <c r="C5622" t="s" s="9">
        <v>30</v>
      </c>
      <c r="D5622" t="s" s="8">
        <v>1915</v>
      </c>
      <c r="E5622" t="s" s="9">
        <v>1916</v>
      </c>
      <c r="F5622" t="s" s="10">
        <v>268</v>
      </c>
      <c r="G5622" t="s" s="11">
        <v>268</v>
      </c>
      <c r="H5622" t="s" s="10">
        <v>268</v>
      </c>
      <c r="I5622" t="s" s="11">
        <v>268</v>
      </c>
      <c r="J5622" t="s" s="11">
        <v>20</v>
      </c>
      <c r="K5622" s="15"/>
      <c r="L5622" t="s" s="16">
        <f>HYPERLINK("http://csr.bu.edu/ftp/asl/asllvd/demos/verify_start_end_handshape_annotations//test_auto_move//signs_mov_separ_signers/Brady_15790.mov","MOV")</f>
        <v>21</v>
      </c>
      <c r="M5622" t="s" s="10">
        <v>39</v>
      </c>
      <c r="N5622" s="17">
        <v>32</v>
      </c>
      <c r="O5622" s="18">
        <v>4377</v>
      </c>
      <c r="P5622" s="18">
        <v>4411</v>
      </c>
      <c r="Q5622" s="15"/>
      <c r="R5622" t="s" s="16">
        <f>HYPERLINK("http://secrets.rutgers.edu:8080/data/asl-ftp/asllvd/demos/verify_start_end_handshape_annotations//test_auto_move//signs_mov_separ_signers/Brady_15790.mov","MOV")</f>
        <v>21</v>
      </c>
    </row>
    <row r="5623" s="2" customFormat="1" ht="13.5" customHeight="1">
      <c r="B5623" t="s" s="8">
        <v>1918</v>
      </c>
      <c r="C5623" t="s" s="9">
        <v>14</v>
      </c>
      <c r="D5623" t="s" s="8">
        <v>14</v>
      </c>
      <c r="E5623" t="s" s="9">
        <v>14</v>
      </c>
      <c r="F5623" t="s" s="10">
        <v>14</v>
      </c>
      <c r="G5623" t="s" s="11">
        <v>14</v>
      </c>
      <c r="H5623" t="s" s="10">
        <v>14</v>
      </c>
      <c r="I5623" t="s" s="11">
        <v>14</v>
      </c>
      <c r="J5623" t="s" s="11">
        <v>14</v>
      </c>
      <c r="K5623" t="s" s="12">
        <v>14</v>
      </c>
      <c r="L5623" t="s" s="12">
        <v>14</v>
      </c>
      <c r="M5623" t="s" s="10">
        <v>14</v>
      </c>
      <c r="N5623" t="s" s="11">
        <v>14</v>
      </c>
      <c r="O5623" t="s" s="8">
        <v>14</v>
      </c>
      <c r="P5623" t="s" s="8">
        <v>14</v>
      </c>
      <c r="Q5623" t="s" s="12">
        <v>14</v>
      </c>
      <c r="R5623" t="s" s="12">
        <v>14</v>
      </c>
    </row>
    <row r="5624" s="2" customFormat="1" ht="13.5" customHeight="1">
      <c r="B5624" s="13"/>
      <c r="C5624" t="s" s="9">
        <v>16</v>
      </c>
      <c r="D5624" t="s" s="8">
        <v>1918</v>
      </c>
      <c r="E5624" t="s" s="9">
        <v>1919</v>
      </c>
      <c r="F5624" t="s" s="10">
        <v>268</v>
      </c>
      <c r="G5624" t="s" s="11">
        <v>268</v>
      </c>
      <c r="H5624" t="s" s="10">
        <v>268</v>
      </c>
      <c r="I5624" t="s" s="11">
        <v>268</v>
      </c>
      <c r="J5624" t="s" s="11">
        <v>20</v>
      </c>
      <c r="K5624" s="15"/>
      <c r="L5624" t="s" s="16">
        <f>HYPERLINK("http://csr.bu.edu/ftp/asl/asllvd/demos/verify_start_end_handshape_annotations//test_auto_move//signs_mov_separ_signers/Liz_16182.mov","MOV")</f>
        <v>21</v>
      </c>
      <c r="M5624" t="s" s="10">
        <v>84</v>
      </c>
      <c r="N5624" s="17">
        <v>27</v>
      </c>
      <c r="O5624" s="18">
        <v>935</v>
      </c>
      <c r="P5624" s="18">
        <v>980</v>
      </c>
      <c r="Q5624" s="15"/>
      <c r="R5624" t="s" s="16">
        <f>HYPERLINK("http://secrets.rutgers.edu:8080/data/asl-ftp/asllvd/demos/verify_start_end_handshape_annotations//test_auto_move//signs_mov_separ_signers/Liz_16182.mov","MOV")</f>
        <v>21</v>
      </c>
    </row>
    <row r="5625" s="2" customFormat="1" ht="13.5" customHeight="1">
      <c r="B5625" s="13"/>
      <c r="C5625" t="s" s="9">
        <v>23</v>
      </c>
      <c r="D5625" t="s" s="8">
        <v>1918</v>
      </c>
      <c r="E5625" t="s" s="9">
        <v>1920</v>
      </c>
      <c r="F5625" t="s" s="10">
        <v>268</v>
      </c>
      <c r="G5625" t="s" s="11">
        <v>268</v>
      </c>
      <c r="H5625" t="s" s="10">
        <v>268</v>
      </c>
      <c r="I5625" t="s" s="11">
        <v>268</v>
      </c>
      <c r="J5625" t="s" s="11">
        <v>20</v>
      </c>
      <c r="K5625" t="s" s="16">
        <f>HYPERLINK("http://csr.bu.edu/ftp/asl/asllvd/demos/verify_start_end_handshape_annotations//test_auto_move//signs_mov/16182.mov","MOV")</f>
        <v>21</v>
      </c>
      <c r="L5625" t="s" s="16">
        <f>HYPERLINK("http://csr.bu.edu/ftp/asl/asllvd/demos/verify_start_end_handshape_annotations//test_auto_move//signs_mov_separ_signers/Tyler_16182.mov","MOV")</f>
        <v>21</v>
      </c>
      <c r="M5625" t="s" s="10">
        <v>92</v>
      </c>
      <c r="N5625" s="17">
        <v>7</v>
      </c>
      <c r="O5625" s="18">
        <v>625</v>
      </c>
      <c r="P5625" s="18">
        <v>665</v>
      </c>
      <c r="Q5625" t="s" s="16">
        <f>HYPERLINK("http://secrets.rutgers.edu:8080/data/asl-ftp/asllvd/demos/verify_start_end_handshape_annotations//test_auto_move//signs_mov/16182.mov","MOV")</f>
        <v>21</v>
      </c>
      <c r="R5625" t="s" s="16">
        <f>HYPERLINK("http://secrets.rutgers.edu:8080/data/asl-ftp/asllvd/demos/verify_start_end_handshape_annotations//test_auto_move//signs_mov_separ_signers/Tyler_16182.mov","MOV")</f>
        <v>21</v>
      </c>
    </row>
    <row r="5626" s="2" customFormat="1" ht="13.5" customHeight="1">
      <c r="B5626" s="13"/>
      <c r="C5626" t="s" s="9">
        <v>30</v>
      </c>
      <c r="D5626" t="s" s="8">
        <v>1918</v>
      </c>
      <c r="E5626" t="s" s="9">
        <v>1919</v>
      </c>
      <c r="F5626" s="19">
        <v>1</v>
      </c>
      <c r="G5626" s="17">
        <v>1</v>
      </c>
      <c r="H5626" s="19">
        <v>1</v>
      </c>
      <c r="I5626" s="17">
        <v>1</v>
      </c>
      <c r="J5626" t="s" s="11">
        <v>20</v>
      </c>
      <c r="K5626" s="15"/>
      <c r="L5626" t="s" s="16">
        <f>HYPERLINK("http://csr.bu.edu/ftp/asl/asllvd/demos/verify_start_end_handshape_annotations//test_auto_move//signs_mov_separ_signers/Brady_16182.mov","MOV")</f>
        <v>21</v>
      </c>
      <c r="M5626" t="s" s="10">
        <v>39</v>
      </c>
      <c r="N5626" s="17">
        <v>9</v>
      </c>
      <c r="O5626" s="18">
        <v>4588</v>
      </c>
      <c r="P5626" s="18">
        <v>4620</v>
      </c>
      <c r="Q5626" s="15"/>
      <c r="R5626" t="s" s="16">
        <f>HYPERLINK("http://secrets.rutgers.edu:8080/data/asl-ftp/asllvd/demos/verify_start_end_handshape_annotations//test_auto_move//signs_mov_separ_signers/Brady_16182.mov","MOV")</f>
        <v>21</v>
      </c>
    </row>
    <row r="5627" s="2" customFormat="1" ht="13.5" customHeight="1">
      <c r="B5627" t="s" s="8">
        <v>1921</v>
      </c>
      <c r="C5627" t="s" s="9">
        <v>14</v>
      </c>
      <c r="D5627" t="s" s="8">
        <v>14</v>
      </c>
      <c r="E5627" t="s" s="9">
        <v>14</v>
      </c>
      <c r="F5627" t="s" s="10">
        <v>14</v>
      </c>
      <c r="G5627" t="s" s="11">
        <v>14</v>
      </c>
      <c r="H5627" t="s" s="10">
        <v>14</v>
      </c>
      <c r="I5627" t="s" s="11">
        <v>14</v>
      </c>
      <c r="J5627" t="s" s="11">
        <v>14</v>
      </c>
      <c r="K5627" t="s" s="12">
        <v>14</v>
      </c>
      <c r="L5627" t="s" s="12">
        <v>14</v>
      </c>
      <c r="M5627" t="s" s="10">
        <v>14</v>
      </c>
      <c r="N5627" t="s" s="11">
        <v>14</v>
      </c>
      <c r="O5627" t="s" s="8">
        <v>14</v>
      </c>
      <c r="P5627" t="s" s="8">
        <v>14</v>
      </c>
      <c r="Q5627" t="s" s="12">
        <v>14</v>
      </c>
      <c r="R5627" t="s" s="12">
        <v>14</v>
      </c>
    </row>
    <row r="5628" s="2" customFormat="1" ht="13.5" customHeight="1">
      <c r="B5628" s="13"/>
      <c r="C5628" t="s" s="9">
        <v>16</v>
      </c>
      <c r="D5628" t="s" s="8">
        <v>1921</v>
      </c>
      <c r="E5628" t="s" s="9">
        <v>1921</v>
      </c>
      <c r="F5628" t="s" s="10">
        <v>73</v>
      </c>
      <c r="G5628" t="s" s="11">
        <v>73</v>
      </c>
      <c r="H5628" t="s" s="10">
        <v>80</v>
      </c>
      <c r="I5628" t="s" s="11">
        <v>80</v>
      </c>
      <c r="J5628" t="s" s="11">
        <v>20</v>
      </c>
      <c r="K5628" s="15"/>
      <c r="L5628" t="s" s="16">
        <f>HYPERLINK("http://csr.bu.edu/ftp/asl/asllvd/demos/verify_start_end_handshape_annotations//test_auto_move//signs_mov_separ_signers/Liz_1225.mov","MOV")</f>
        <v>21</v>
      </c>
      <c r="M5628" t="s" s="10">
        <v>34</v>
      </c>
      <c r="N5628" s="17">
        <v>27</v>
      </c>
      <c r="O5628" s="18">
        <v>1405</v>
      </c>
      <c r="P5628" s="18">
        <v>1447</v>
      </c>
      <c r="Q5628" s="15"/>
      <c r="R5628" t="s" s="16">
        <f>HYPERLINK("http://secrets.rutgers.edu:8080/data/asl-ftp/asllvd/demos/verify_start_end_handshape_annotations//test_auto_move//signs_mov_separ_signers/Liz_1225.mov","MOV")</f>
        <v>21</v>
      </c>
    </row>
    <row r="5629" s="2" customFormat="1" ht="13.5" customHeight="1">
      <c r="B5629" s="13"/>
      <c r="C5629" t="s" s="9">
        <v>23</v>
      </c>
      <c r="D5629" t="s" s="8">
        <v>1921</v>
      </c>
      <c r="E5629" t="s" s="9">
        <v>1921</v>
      </c>
      <c r="F5629" t="s" s="10">
        <v>73</v>
      </c>
      <c r="G5629" t="s" s="11">
        <v>73</v>
      </c>
      <c r="H5629" t="s" s="10">
        <v>80</v>
      </c>
      <c r="I5629" t="s" s="11">
        <v>80</v>
      </c>
      <c r="J5629" t="s" s="11">
        <v>20</v>
      </c>
      <c r="K5629" t="s" s="16">
        <f>HYPERLINK("http://csr.bu.edu/ftp/asl/asllvd/demos/verify_start_end_handshape_annotations//test_auto_move//signs_mov/1225.mov","MOV")</f>
        <v>21</v>
      </c>
      <c r="L5629" t="s" s="16">
        <f>HYPERLINK("http://csr.bu.edu/ftp/asl/asllvd/demos/verify_start_end_handshape_annotations//test_auto_move//signs_mov_separ_signers/Tyler_1225.mov","MOV")</f>
        <v>21</v>
      </c>
      <c r="M5629" t="s" s="10">
        <v>37</v>
      </c>
      <c r="N5629" s="17">
        <v>3</v>
      </c>
      <c r="O5629" s="18">
        <v>1010</v>
      </c>
      <c r="P5629" s="18">
        <v>1036</v>
      </c>
      <c r="Q5629" t="s" s="16">
        <f>HYPERLINK("http://secrets.rutgers.edu:8080/data/asl-ftp/asllvd/demos/verify_start_end_handshape_annotations//test_auto_move//signs_mov/1225.mov","MOV")</f>
        <v>21</v>
      </c>
      <c r="R5629" t="s" s="16">
        <f>HYPERLINK("http://secrets.rutgers.edu:8080/data/asl-ftp/asllvd/demos/verify_start_end_handshape_annotations//test_auto_move//signs_mov_separ_signers/Tyler_1225.mov","MOV")</f>
        <v>21</v>
      </c>
    </row>
    <row r="5630" s="2" customFormat="1" ht="13.5" customHeight="1">
      <c r="B5630" s="13"/>
      <c r="C5630" t="s" s="9">
        <v>27</v>
      </c>
      <c r="D5630" t="s" s="8">
        <v>1921</v>
      </c>
      <c r="E5630" t="s" s="9">
        <v>1921</v>
      </c>
      <c r="F5630" t="s" s="10">
        <v>73</v>
      </c>
      <c r="G5630" t="s" s="11">
        <v>73</v>
      </c>
      <c r="H5630" t="s" s="10">
        <v>80</v>
      </c>
      <c r="I5630" t="s" s="11">
        <v>80</v>
      </c>
      <c r="J5630" t="s" s="11">
        <v>20</v>
      </c>
      <c r="K5630" s="15"/>
      <c r="L5630" t="s" s="16">
        <f>HYPERLINK("http://csr.bu.edu/ftp/asl/asllvd/demos/verify_start_end_handshape_annotations//test_auto_move//signs_mov_separ_signers/Naomi_1225.mov","MOV")</f>
        <v>21</v>
      </c>
      <c r="M5630" t="s" s="10">
        <v>38</v>
      </c>
      <c r="N5630" s="17">
        <v>23</v>
      </c>
      <c r="O5630" s="18">
        <v>1615</v>
      </c>
      <c r="P5630" s="18">
        <v>1636</v>
      </c>
      <c r="Q5630" s="15"/>
      <c r="R5630" t="s" s="16">
        <f>HYPERLINK("http://secrets.rutgers.edu:8080/data/asl-ftp/asllvd/demos/verify_start_end_handshape_annotations//test_auto_move//signs_mov_separ_signers/Naomi_1225.mov","MOV")</f>
        <v>21</v>
      </c>
    </row>
    <row r="5631" s="2" customFormat="1" ht="13.5" customHeight="1">
      <c r="B5631" t="s" s="8">
        <v>287</v>
      </c>
      <c r="C5631" t="s" s="9">
        <v>14</v>
      </c>
      <c r="D5631" t="s" s="8">
        <v>14</v>
      </c>
      <c r="E5631" t="s" s="9">
        <v>14</v>
      </c>
      <c r="F5631" t="s" s="10">
        <v>14</v>
      </c>
      <c r="G5631" t="s" s="11">
        <v>14</v>
      </c>
      <c r="H5631" t="s" s="10">
        <v>14</v>
      </c>
      <c r="I5631" t="s" s="11">
        <v>14</v>
      </c>
      <c r="J5631" t="s" s="11">
        <v>14</v>
      </c>
      <c r="K5631" t="s" s="12">
        <v>14</v>
      </c>
      <c r="L5631" t="s" s="12">
        <v>14</v>
      </c>
      <c r="M5631" t="s" s="10">
        <v>14</v>
      </c>
      <c r="N5631" t="s" s="11">
        <v>14</v>
      </c>
      <c r="O5631" t="s" s="8">
        <v>14</v>
      </c>
      <c r="P5631" t="s" s="8">
        <v>14</v>
      </c>
      <c r="Q5631" t="s" s="12">
        <v>14</v>
      </c>
      <c r="R5631" t="s" s="12">
        <v>14</v>
      </c>
    </row>
    <row r="5632" s="2" customFormat="1" ht="13.5" customHeight="1">
      <c r="B5632" s="13"/>
      <c r="C5632" t="s" s="9">
        <v>16</v>
      </c>
      <c r="D5632" t="s" s="8">
        <v>287</v>
      </c>
      <c r="E5632" t="s" s="9">
        <v>287</v>
      </c>
      <c r="F5632" t="s" s="10">
        <v>287</v>
      </c>
      <c r="G5632" s="14"/>
      <c r="H5632" t="s" s="10">
        <v>287</v>
      </c>
      <c r="I5632" s="14"/>
      <c r="J5632" t="s" s="11">
        <v>20</v>
      </c>
      <c r="K5632" s="15"/>
      <c r="L5632" t="s" s="16">
        <f>HYPERLINK("http://csr.bu.edu/ftp/asl/asllvd/demos/verify_start_end_handshape_annotations//test_auto_move//signs_mov_separ_signers/Liz_1226.mov","MOV")</f>
        <v>21</v>
      </c>
      <c r="M5632" t="s" s="10">
        <v>34</v>
      </c>
      <c r="N5632" s="17">
        <v>27</v>
      </c>
      <c r="O5632" s="18">
        <v>1620</v>
      </c>
      <c r="P5632" s="18">
        <v>1680</v>
      </c>
      <c r="Q5632" s="15"/>
      <c r="R5632" t="s" s="16">
        <f>HYPERLINK("http://secrets.rutgers.edu:8080/data/asl-ftp/asllvd/demos/verify_start_end_handshape_annotations//test_auto_move//signs_mov_separ_signers/Liz_1226.mov","MOV")</f>
        <v>21</v>
      </c>
    </row>
    <row r="5633" s="2" customFormat="1" ht="13.5" customHeight="1">
      <c r="B5633" s="13"/>
      <c r="C5633" t="s" s="9">
        <v>23</v>
      </c>
      <c r="D5633" t="s" s="8">
        <v>287</v>
      </c>
      <c r="E5633" t="s" s="9">
        <v>287</v>
      </c>
      <c r="F5633" t="s" s="10">
        <v>287</v>
      </c>
      <c r="G5633" s="14"/>
      <c r="H5633" t="s" s="10">
        <v>287</v>
      </c>
      <c r="I5633" s="14"/>
      <c r="J5633" t="s" s="11">
        <v>20</v>
      </c>
      <c r="K5633" t="s" s="16">
        <f>HYPERLINK("http://csr.bu.edu/ftp/asl/asllvd/demos/verify_start_end_handshape_annotations//test_auto_move//signs_mov/1226.mov","MOV")</f>
        <v>21</v>
      </c>
      <c r="L5633" t="s" s="16">
        <f>HYPERLINK("http://csr.bu.edu/ftp/asl/asllvd/demos/verify_start_end_handshape_annotations//test_auto_move//signs_mov_separ_signers/Tyler_1226.mov","MOV")</f>
        <v>21</v>
      </c>
      <c r="M5633" t="s" s="10">
        <v>37</v>
      </c>
      <c r="N5633" s="17">
        <v>3</v>
      </c>
      <c r="O5633" s="18">
        <v>1202</v>
      </c>
      <c r="P5633" s="18">
        <v>1237</v>
      </c>
      <c r="Q5633" t="s" s="16">
        <f>HYPERLINK("http://secrets.rutgers.edu:8080/data/asl-ftp/asllvd/demos/verify_start_end_handshape_annotations//test_auto_move//signs_mov/1226.mov","MOV")</f>
        <v>21</v>
      </c>
      <c r="R5633" t="s" s="16">
        <f>HYPERLINK("http://secrets.rutgers.edu:8080/data/asl-ftp/asllvd/demos/verify_start_end_handshape_annotations//test_auto_move//signs_mov_separ_signers/Tyler_1226.mov","MOV")</f>
        <v>21</v>
      </c>
    </row>
    <row r="5634" s="2" customFormat="1" ht="13.5" customHeight="1">
      <c r="B5634" s="13"/>
      <c r="C5634" t="s" s="9">
        <v>27</v>
      </c>
      <c r="D5634" t="s" s="8">
        <v>287</v>
      </c>
      <c r="E5634" t="s" s="9">
        <v>287</v>
      </c>
      <c r="F5634" t="s" s="10">
        <v>287</v>
      </c>
      <c r="G5634" s="14"/>
      <c r="H5634" t="s" s="10">
        <v>287</v>
      </c>
      <c r="I5634" s="14"/>
      <c r="J5634" t="s" s="11">
        <v>20</v>
      </c>
      <c r="K5634" s="15"/>
      <c r="L5634" t="s" s="16">
        <f>HYPERLINK("http://csr.bu.edu/ftp/asl/asllvd/demos/verify_start_end_handshape_annotations//test_auto_move//signs_mov_separ_signers/Naomi_1226.mov","MOV")</f>
        <v>21</v>
      </c>
      <c r="M5634" t="s" s="10">
        <v>38</v>
      </c>
      <c r="N5634" s="17">
        <v>23</v>
      </c>
      <c r="O5634" s="18">
        <v>2012</v>
      </c>
      <c r="P5634" s="18">
        <v>2052</v>
      </c>
      <c r="Q5634" s="15"/>
      <c r="R5634" t="s" s="16">
        <f>HYPERLINK("http://secrets.rutgers.edu:8080/data/asl-ftp/asllvd/demos/verify_start_end_handshape_annotations//test_auto_move//signs_mov_separ_signers/Naomi_1226.mov","MOV")</f>
        <v>21</v>
      </c>
    </row>
    <row r="5635" s="2" customFormat="1" ht="13.5" customHeight="1">
      <c r="B5635" t="s" s="8">
        <v>1922</v>
      </c>
      <c r="C5635" t="s" s="9">
        <v>14</v>
      </c>
      <c r="D5635" t="s" s="8">
        <v>14</v>
      </c>
      <c r="E5635" t="s" s="9">
        <v>14</v>
      </c>
      <c r="F5635" t="s" s="10">
        <v>14</v>
      </c>
      <c r="G5635" t="s" s="11">
        <v>14</v>
      </c>
      <c r="H5635" t="s" s="10">
        <v>14</v>
      </c>
      <c r="I5635" t="s" s="11">
        <v>14</v>
      </c>
      <c r="J5635" t="s" s="11">
        <v>14</v>
      </c>
      <c r="K5635" t="s" s="12">
        <v>14</v>
      </c>
      <c r="L5635" t="s" s="12">
        <v>14</v>
      </c>
      <c r="M5635" t="s" s="10">
        <v>14</v>
      </c>
      <c r="N5635" t="s" s="11">
        <v>14</v>
      </c>
      <c r="O5635" t="s" s="8">
        <v>14</v>
      </c>
      <c r="P5635" t="s" s="8">
        <v>14</v>
      </c>
      <c r="Q5635" t="s" s="12">
        <v>14</v>
      </c>
      <c r="R5635" t="s" s="12">
        <v>14</v>
      </c>
    </row>
    <row r="5636" s="2" customFormat="1" ht="13.5" customHeight="1">
      <c r="B5636" s="13"/>
      <c r="C5636" t="s" s="9">
        <v>16</v>
      </c>
      <c r="D5636" t="s" s="8">
        <v>1922</v>
      </c>
      <c r="E5636" t="s" s="9">
        <v>1922</v>
      </c>
      <c r="F5636" t="s" s="10">
        <v>196</v>
      </c>
      <c r="G5636" s="14"/>
      <c r="H5636" t="s" s="10">
        <v>196</v>
      </c>
      <c r="I5636" s="14"/>
      <c r="J5636" t="s" s="11">
        <v>20</v>
      </c>
      <c r="K5636" s="15"/>
      <c r="L5636" t="s" s="16">
        <f>HYPERLINK("http://csr.bu.edu/ftp/asl/asllvd/demos/verify_start_end_handshape_annotations//test_auto_move//signs_mov_separ_signers/Liz_1227.mov","MOV")</f>
        <v>21</v>
      </c>
      <c r="M5636" t="s" s="10">
        <v>34</v>
      </c>
      <c r="N5636" s="17">
        <v>27</v>
      </c>
      <c r="O5636" s="18">
        <v>1840</v>
      </c>
      <c r="P5636" s="18">
        <v>1875</v>
      </c>
      <c r="Q5636" s="15"/>
      <c r="R5636" t="s" s="16">
        <f>HYPERLINK("http://secrets.rutgers.edu:8080/data/asl-ftp/asllvd/demos/verify_start_end_handshape_annotations//test_auto_move//signs_mov_separ_signers/Liz_1227.mov","MOV")</f>
        <v>21</v>
      </c>
    </row>
    <row r="5637" s="2" customFormat="1" ht="13.5" customHeight="1">
      <c r="B5637" s="13"/>
      <c r="C5637" t="s" s="9">
        <v>23</v>
      </c>
      <c r="D5637" t="s" s="8">
        <v>1922</v>
      </c>
      <c r="E5637" t="s" s="9">
        <v>1922</v>
      </c>
      <c r="F5637" t="s" s="10">
        <v>196</v>
      </c>
      <c r="G5637" s="14"/>
      <c r="H5637" t="s" s="10">
        <v>196</v>
      </c>
      <c r="I5637" s="14"/>
      <c r="J5637" t="s" s="11">
        <v>20</v>
      </c>
      <c r="K5637" t="s" s="16">
        <f>HYPERLINK("http://csr.bu.edu/ftp/asl/asllvd/demos/verify_start_end_handshape_annotations//test_auto_move//signs_mov/1227.mov","MOV")</f>
        <v>21</v>
      </c>
      <c r="L5637" t="s" s="16">
        <f>HYPERLINK("http://csr.bu.edu/ftp/asl/asllvd/demos/verify_start_end_handshape_annotations//test_auto_move//signs_mov_separ_signers/Tyler_1227.mov","MOV")</f>
        <v>21</v>
      </c>
      <c r="M5637" t="s" s="10">
        <v>37</v>
      </c>
      <c r="N5637" s="17">
        <v>3</v>
      </c>
      <c r="O5637" s="18">
        <v>1405</v>
      </c>
      <c r="P5637" s="18">
        <v>1420</v>
      </c>
      <c r="Q5637" t="s" s="16">
        <f>HYPERLINK("http://secrets.rutgers.edu:8080/data/asl-ftp/asllvd/demos/verify_start_end_handshape_annotations//test_auto_move//signs_mov/1227.mov","MOV")</f>
        <v>21</v>
      </c>
      <c r="R5637" t="s" s="16">
        <f>HYPERLINK("http://secrets.rutgers.edu:8080/data/asl-ftp/asllvd/demos/verify_start_end_handshape_annotations//test_auto_move//signs_mov_separ_signers/Tyler_1227.mov","MOV")</f>
        <v>21</v>
      </c>
    </row>
    <row r="5638" s="2" customFormat="1" ht="13.5" customHeight="1">
      <c r="B5638" s="13"/>
      <c r="C5638" t="s" s="9">
        <v>27</v>
      </c>
      <c r="D5638" t="s" s="8">
        <v>1922</v>
      </c>
      <c r="E5638" t="s" s="9">
        <v>1922</v>
      </c>
      <c r="F5638" t="s" s="10">
        <v>196</v>
      </c>
      <c r="G5638" s="14"/>
      <c r="H5638" t="s" s="10">
        <v>196</v>
      </c>
      <c r="I5638" s="14"/>
      <c r="J5638" t="s" s="11">
        <v>20</v>
      </c>
      <c r="K5638" s="15"/>
      <c r="L5638" t="s" s="16">
        <f>HYPERLINK("http://csr.bu.edu/ftp/asl/asllvd/demos/verify_start_end_handshape_annotations//test_auto_move//signs_mov_separ_signers/Naomi_1227.mov","MOV")</f>
        <v>21</v>
      </c>
      <c r="M5638" t="s" s="10">
        <v>38</v>
      </c>
      <c r="N5638" s="17">
        <v>23</v>
      </c>
      <c r="O5638" s="18">
        <v>2275</v>
      </c>
      <c r="P5638" s="18">
        <v>2292</v>
      </c>
      <c r="Q5638" s="15"/>
      <c r="R5638" t="s" s="16">
        <f>HYPERLINK("http://secrets.rutgers.edu:8080/data/asl-ftp/asllvd/demos/verify_start_end_handshape_annotations//test_auto_move//signs_mov_separ_signers/Naomi_1227.mov","MOV")</f>
        <v>21</v>
      </c>
    </row>
    <row r="5639" s="2" customFormat="1" ht="13.5" customHeight="1">
      <c r="B5639" t="s" s="8">
        <v>1923</v>
      </c>
      <c r="C5639" t="s" s="9">
        <v>14</v>
      </c>
      <c r="D5639" t="s" s="8">
        <v>14</v>
      </c>
      <c r="E5639" t="s" s="9">
        <v>14</v>
      </c>
      <c r="F5639" t="s" s="10">
        <v>14</v>
      </c>
      <c r="G5639" t="s" s="11">
        <v>14</v>
      </c>
      <c r="H5639" t="s" s="10">
        <v>14</v>
      </c>
      <c r="I5639" t="s" s="11">
        <v>14</v>
      </c>
      <c r="J5639" t="s" s="11">
        <v>14</v>
      </c>
      <c r="K5639" t="s" s="12">
        <v>14</v>
      </c>
      <c r="L5639" t="s" s="12">
        <v>14</v>
      </c>
      <c r="M5639" t="s" s="10">
        <v>14</v>
      </c>
      <c r="N5639" t="s" s="11">
        <v>14</v>
      </c>
      <c r="O5639" t="s" s="8">
        <v>14</v>
      </c>
      <c r="P5639" t="s" s="8">
        <v>14</v>
      </c>
      <c r="Q5639" t="s" s="12">
        <v>14</v>
      </c>
      <c r="R5639" t="s" s="12">
        <v>14</v>
      </c>
    </row>
    <row r="5640" s="2" customFormat="1" ht="13.5" customHeight="1">
      <c r="B5640" s="13"/>
      <c r="C5640" t="s" s="9">
        <v>16</v>
      </c>
      <c r="D5640" t="s" s="8">
        <v>1923</v>
      </c>
      <c r="E5640" t="s" s="9">
        <v>1924</v>
      </c>
      <c r="F5640" t="s" s="10">
        <v>68</v>
      </c>
      <c r="G5640" s="14"/>
      <c r="H5640" t="s" s="10">
        <v>68</v>
      </c>
      <c r="I5640" s="14"/>
      <c r="J5640" t="s" s="11">
        <v>20</v>
      </c>
      <c r="K5640" s="15"/>
      <c r="L5640" t="s" s="16">
        <f>HYPERLINK("http://csr.bu.edu/ftp/asl/asllvd/demos/verify_start_end_handshape_annotations//test_auto_move//signs_mov_separ_signers/Liz_1230.mov","MOV")</f>
        <v>21</v>
      </c>
      <c r="M5640" t="s" s="10">
        <v>34</v>
      </c>
      <c r="N5640" s="17">
        <v>27</v>
      </c>
      <c r="O5640" s="18">
        <v>2606</v>
      </c>
      <c r="P5640" s="18">
        <v>2660</v>
      </c>
      <c r="Q5640" s="15"/>
      <c r="R5640" t="s" s="16">
        <f>HYPERLINK("http://secrets.rutgers.edu:8080/data/asl-ftp/asllvd/demos/verify_start_end_handshape_annotations//test_auto_move//signs_mov_separ_signers/Liz_1230.mov","MOV")</f>
        <v>21</v>
      </c>
    </row>
    <row r="5641" s="2" customFormat="1" ht="13.5" customHeight="1">
      <c r="B5641" s="13"/>
      <c r="C5641" t="s" s="9">
        <v>23</v>
      </c>
      <c r="D5641" t="s" s="8">
        <v>1923</v>
      </c>
      <c r="E5641" t="s" s="9">
        <v>1925</v>
      </c>
      <c r="F5641" t="s" s="10">
        <v>68</v>
      </c>
      <c r="G5641" s="14"/>
      <c r="H5641" t="s" s="10">
        <v>68</v>
      </c>
      <c r="I5641" s="14"/>
      <c r="J5641" t="s" s="11">
        <v>20</v>
      </c>
      <c r="K5641" s="15"/>
      <c r="L5641" t="s" s="16">
        <f>HYPERLINK("http://csr.bu.edu/ftp/asl/asllvd/demos/verify_start_end_handshape_annotations//test_auto_move//signs_mov_separ_signers/Tyler_1230.mov","MOV")</f>
        <v>21</v>
      </c>
      <c r="M5641" t="s" s="10">
        <v>37</v>
      </c>
      <c r="N5641" s="17">
        <v>3</v>
      </c>
      <c r="O5641" s="18">
        <v>2106</v>
      </c>
      <c r="P5641" s="18">
        <v>2155</v>
      </c>
      <c r="Q5641" s="15"/>
      <c r="R5641" t="s" s="16">
        <f>HYPERLINK("http://secrets.rutgers.edu:8080/data/asl-ftp/asllvd/demos/verify_start_end_handshape_annotations//test_auto_move//signs_mov_separ_signers/Tyler_1230.mov","MOV")</f>
        <v>21</v>
      </c>
    </row>
    <row r="5642" s="2" customFormat="1" ht="13.5" customHeight="1">
      <c r="B5642" s="13"/>
      <c r="C5642" t="s" s="9">
        <v>27</v>
      </c>
      <c r="D5642" t="s" s="8">
        <v>1923</v>
      </c>
      <c r="E5642" t="s" s="9">
        <v>1924</v>
      </c>
      <c r="F5642" t="s" s="10">
        <v>68</v>
      </c>
      <c r="G5642" s="14"/>
      <c r="H5642" t="s" s="10">
        <v>68</v>
      </c>
      <c r="I5642" s="14"/>
      <c r="J5642" t="s" s="11">
        <v>20</v>
      </c>
      <c r="K5642" t="s" s="16">
        <f>HYPERLINK("http://csr.bu.edu/ftp/asl/asllvd/demos/verify_start_end_handshape_annotations//test_auto_move//signs_mov/1230.mov","MOV")</f>
        <v>21</v>
      </c>
      <c r="L5642" t="s" s="16">
        <f>HYPERLINK("http://csr.bu.edu/ftp/asl/asllvd/demos/verify_start_end_handshape_annotations//test_auto_move//signs_mov_separ_signers/Naomi_1230.mov","MOV")</f>
        <v>21</v>
      </c>
      <c r="M5642" t="s" s="10">
        <v>38</v>
      </c>
      <c r="N5642" s="17">
        <v>23</v>
      </c>
      <c r="O5642" s="18">
        <v>3132</v>
      </c>
      <c r="P5642" s="18">
        <v>3155</v>
      </c>
      <c r="Q5642" t="s" s="16">
        <f>HYPERLINK("http://secrets.rutgers.edu:8080/data/asl-ftp/asllvd/demos/verify_start_end_handshape_annotations//test_auto_move//signs_mov/1230.mov","MOV")</f>
        <v>21</v>
      </c>
      <c r="R5642" t="s" s="16">
        <f>HYPERLINK("http://secrets.rutgers.edu:8080/data/asl-ftp/asllvd/demos/verify_start_end_handshape_annotations//test_auto_move//signs_mov_separ_signers/Naomi_1230.mov","MOV")</f>
        <v>21</v>
      </c>
    </row>
    <row r="5643" s="2" customFormat="1" ht="13.5" customHeight="1">
      <c r="B5643" s="13"/>
      <c r="C5643" t="s" s="9">
        <v>41</v>
      </c>
      <c r="D5643" t="s" s="8">
        <v>1923</v>
      </c>
      <c r="E5643" t="s" s="9">
        <v>1924</v>
      </c>
      <c r="F5643" t="s" s="10">
        <v>68</v>
      </c>
      <c r="G5643" s="14"/>
      <c r="H5643" t="s" s="10">
        <v>68</v>
      </c>
      <c r="I5643" s="14"/>
      <c r="J5643" t="s" s="11">
        <v>20</v>
      </c>
      <c r="K5643" s="15"/>
      <c r="L5643" t="s" s="16">
        <f>HYPERLINK("http://csr.bu.edu/ftp/asl/asllvd/demos/verify_start_end_handshape_annotations//test_auto_move//signs_mov_separ_signers/Lana_1230.mov","MOV")</f>
        <v>21</v>
      </c>
      <c r="M5643" t="s" s="10">
        <v>42</v>
      </c>
      <c r="N5643" s="17">
        <v>15</v>
      </c>
      <c r="O5643" s="18">
        <v>1326</v>
      </c>
      <c r="P5643" s="18">
        <v>1368</v>
      </c>
      <c r="Q5643" s="15"/>
      <c r="R5643" t="s" s="16">
        <f>HYPERLINK("http://secrets.rutgers.edu:8080/data/asl-ftp/asllvd/demos/verify_start_end_handshape_annotations//test_auto_move//signs_mov_separ_signers/Lana_1230.mov","MOV")</f>
        <v>21</v>
      </c>
    </row>
    <row r="5644" s="2" customFormat="1" ht="13.5" customHeight="1">
      <c r="B5644" s="13"/>
      <c r="C5644" t="s" s="9">
        <v>43</v>
      </c>
      <c r="D5644" t="s" s="8">
        <v>1923</v>
      </c>
      <c r="E5644" t="s" s="9">
        <v>1925</v>
      </c>
      <c r="F5644" t="s" s="10">
        <v>68</v>
      </c>
      <c r="G5644" s="14"/>
      <c r="H5644" t="s" s="10">
        <v>68</v>
      </c>
      <c r="I5644" s="14"/>
      <c r="J5644" t="s" s="11">
        <v>20</v>
      </c>
      <c r="K5644" s="15"/>
      <c r="L5644" t="s" s="16">
        <f>HYPERLINK("http://csr.bu.edu/ftp/asl/asllvd/demos/verify_start_end_handshape_annotations//test_auto_move//signs_mov_separ_signers/Dana_1230.mov","MOV")</f>
        <v>21</v>
      </c>
      <c r="M5644" t="s" s="10">
        <v>44</v>
      </c>
      <c r="N5644" s="17">
        <v>18</v>
      </c>
      <c r="O5644" s="18">
        <v>1261</v>
      </c>
      <c r="P5644" s="18">
        <v>1330</v>
      </c>
      <c r="Q5644" s="15"/>
      <c r="R5644" t="s" s="16">
        <f>HYPERLINK("http://secrets.rutgers.edu:8080/data/asl-ftp/asllvd/demos/verify_start_end_handshape_annotations//test_auto_move//signs_mov_separ_signers/Dana_1230.mov","MOV")</f>
        <v>21</v>
      </c>
    </row>
    <row r="5645" s="2" customFormat="1" ht="13.5" customHeight="1">
      <c r="B5645" t="s" s="8">
        <v>1926</v>
      </c>
      <c r="C5645" t="s" s="9">
        <v>14</v>
      </c>
      <c r="D5645" t="s" s="8">
        <v>14</v>
      </c>
      <c r="E5645" t="s" s="9">
        <v>14</v>
      </c>
      <c r="F5645" t="s" s="10">
        <v>14</v>
      </c>
      <c r="G5645" t="s" s="11">
        <v>14</v>
      </c>
      <c r="H5645" t="s" s="10">
        <v>14</v>
      </c>
      <c r="I5645" t="s" s="11">
        <v>14</v>
      </c>
      <c r="J5645" t="s" s="11">
        <v>14</v>
      </c>
      <c r="K5645" t="s" s="12">
        <v>14</v>
      </c>
      <c r="L5645" t="s" s="12">
        <v>14</v>
      </c>
      <c r="M5645" t="s" s="10">
        <v>14</v>
      </c>
      <c r="N5645" t="s" s="11">
        <v>14</v>
      </c>
      <c r="O5645" t="s" s="8">
        <v>14</v>
      </c>
      <c r="P5645" t="s" s="8">
        <v>14</v>
      </c>
      <c r="Q5645" t="s" s="12">
        <v>14</v>
      </c>
      <c r="R5645" t="s" s="12">
        <v>14</v>
      </c>
    </row>
    <row r="5646" s="2" customFormat="1" ht="13.5" customHeight="1">
      <c r="B5646" s="13"/>
      <c r="C5646" t="s" s="9">
        <v>16</v>
      </c>
      <c r="D5646" t="s" s="8">
        <v>1926</v>
      </c>
      <c r="E5646" t="s" s="9">
        <v>1926</v>
      </c>
      <c r="F5646" t="s" s="10">
        <v>287</v>
      </c>
      <c r="G5646" s="14"/>
      <c r="H5646" t="s" s="10">
        <v>287</v>
      </c>
      <c r="I5646" s="14"/>
      <c r="J5646" t="s" s="11">
        <v>20</v>
      </c>
      <c r="K5646" s="15"/>
      <c r="L5646" t="s" s="16">
        <f>HYPERLINK("http://csr.bu.edu/ftp/asl/asllvd/demos/verify_start_end_handshape_annotations//test_auto_move//signs_mov_separ_signers/Liz_1232.mov","MOV")</f>
        <v>21</v>
      </c>
      <c r="M5646" t="s" s="10">
        <v>34</v>
      </c>
      <c r="N5646" s="17">
        <v>29</v>
      </c>
      <c r="O5646" s="18">
        <v>1040</v>
      </c>
      <c r="P5646" s="18">
        <v>1075</v>
      </c>
      <c r="Q5646" s="15"/>
      <c r="R5646" t="s" s="16">
        <f>HYPERLINK("http://secrets.rutgers.edu:8080/data/asl-ftp/asllvd/demos/verify_start_end_handshape_annotations//test_auto_move//signs_mov_separ_signers/Liz_1232.mov","MOV")</f>
        <v>21</v>
      </c>
    </row>
    <row r="5647" s="2" customFormat="1" ht="13.5" customHeight="1">
      <c r="B5647" s="13"/>
      <c r="C5647" t="s" s="9">
        <v>23</v>
      </c>
      <c r="D5647" t="s" s="8">
        <v>1926</v>
      </c>
      <c r="E5647" t="s" s="9">
        <v>1926</v>
      </c>
      <c r="F5647" t="s" s="10">
        <v>287</v>
      </c>
      <c r="G5647" s="14"/>
      <c r="H5647" t="s" s="10">
        <v>287</v>
      </c>
      <c r="I5647" s="14"/>
      <c r="J5647" t="s" s="11">
        <v>20</v>
      </c>
      <c r="K5647" s="15"/>
      <c r="L5647" t="s" s="16">
        <f>HYPERLINK("http://csr.bu.edu/ftp/asl/asllvd/demos/verify_start_end_handshape_annotations//test_auto_move//signs_mov_separ_signers/Tyler_1232.mov","MOV")</f>
        <v>21</v>
      </c>
      <c r="M5647" t="s" s="10">
        <v>37</v>
      </c>
      <c r="N5647" s="17">
        <v>4</v>
      </c>
      <c r="O5647" s="18">
        <v>1045</v>
      </c>
      <c r="P5647" s="18">
        <v>1065</v>
      </c>
      <c r="Q5647" s="15"/>
      <c r="R5647" t="s" s="16">
        <f>HYPERLINK("http://secrets.rutgers.edu:8080/data/asl-ftp/asllvd/demos/verify_start_end_handshape_annotations//test_auto_move//signs_mov_separ_signers/Tyler_1232.mov","MOV")</f>
        <v>21</v>
      </c>
    </row>
    <row r="5648" s="2" customFormat="1" ht="13.5" customHeight="1">
      <c r="B5648" s="13"/>
      <c r="C5648" t="s" s="9">
        <v>27</v>
      </c>
      <c r="D5648" t="s" s="8">
        <v>1926</v>
      </c>
      <c r="E5648" t="s" s="9">
        <v>1926</v>
      </c>
      <c r="F5648" t="s" s="10">
        <v>287</v>
      </c>
      <c r="G5648" s="14"/>
      <c r="H5648" t="s" s="10">
        <v>287</v>
      </c>
      <c r="I5648" s="14"/>
      <c r="J5648" t="s" s="11">
        <v>20</v>
      </c>
      <c r="K5648" t="s" s="16">
        <f>HYPERLINK("http://csr.bu.edu/ftp/asl/asllvd/demos/verify_start_end_handshape_annotations//test_auto_move//signs_mov/1232.mov","MOV")</f>
        <v>21</v>
      </c>
      <c r="L5648" t="s" s="16">
        <f>HYPERLINK("http://csr.bu.edu/ftp/asl/asllvd/demos/verify_start_end_handshape_annotations//test_auto_move//signs_mov_separ_signers/Naomi_1232.mov","MOV")</f>
        <v>21</v>
      </c>
      <c r="M5648" t="s" s="10">
        <v>38</v>
      </c>
      <c r="N5648" s="17">
        <v>24</v>
      </c>
      <c r="O5648" s="18">
        <v>1077</v>
      </c>
      <c r="P5648" s="18">
        <v>1095</v>
      </c>
      <c r="Q5648" t="s" s="16">
        <f>HYPERLINK("http://secrets.rutgers.edu:8080/data/asl-ftp/asllvd/demos/verify_start_end_handshape_annotations//test_auto_move//signs_mov/1232.mov","MOV")</f>
        <v>21</v>
      </c>
      <c r="R5648" t="s" s="16">
        <f>HYPERLINK("http://secrets.rutgers.edu:8080/data/asl-ftp/asllvd/demos/verify_start_end_handshape_annotations//test_auto_move//signs_mov_separ_signers/Naomi_1232.mov","MOV")</f>
        <v>21</v>
      </c>
    </row>
    <row r="5649" s="2" customFormat="1" ht="13.5" customHeight="1">
      <c r="B5649" s="13"/>
      <c r="C5649" t="s" s="9">
        <v>41</v>
      </c>
      <c r="D5649" t="s" s="8">
        <v>1926</v>
      </c>
      <c r="E5649" t="s" s="9">
        <v>1926</v>
      </c>
      <c r="F5649" t="s" s="10">
        <v>287</v>
      </c>
      <c r="G5649" s="14"/>
      <c r="H5649" t="s" s="10">
        <v>287</v>
      </c>
      <c r="I5649" s="14"/>
      <c r="J5649" t="s" s="11">
        <v>20</v>
      </c>
      <c r="K5649" s="15"/>
      <c r="L5649" t="s" s="16">
        <f>HYPERLINK("http://csr.bu.edu/ftp/asl/asllvd/demos/verify_start_end_handshape_annotations//test_auto_move//signs_mov_separ_signers/Lana_1232.mov","MOV")</f>
        <v>21</v>
      </c>
      <c r="M5649" t="s" s="10">
        <v>42</v>
      </c>
      <c r="N5649" s="17">
        <v>15</v>
      </c>
      <c r="O5649" s="18">
        <v>1717</v>
      </c>
      <c r="P5649" s="18">
        <v>1731</v>
      </c>
      <c r="Q5649" s="15"/>
      <c r="R5649" t="s" s="16">
        <f>HYPERLINK("http://secrets.rutgers.edu:8080/data/asl-ftp/asllvd/demos/verify_start_end_handshape_annotations//test_auto_move//signs_mov_separ_signers/Lana_1232.mov","MOV")</f>
        <v>21</v>
      </c>
    </row>
    <row r="5650" s="2" customFormat="1" ht="13.5" customHeight="1">
      <c r="B5650" s="13"/>
      <c r="C5650" t="s" s="9">
        <v>43</v>
      </c>
      <c r="D5650" t="s" s="8">
        <v>1926</v>
      </c>
      <c r="E5650" t="s" s="9">
        <v>1926</v>
      </c>
      <c r="F5650" t="s" s="10">
        <v>287</v>
      </c>
      <c r="G5650" s="14"/>
      <c r="H5650" t="s" s="10">
        <v>287</v>
      </c>
      <c r="I5650" s="14"/>
      <c r="J5650" t="s" s="11">
        <v>20</v>
      </c>
      <c r="K5650" s="15"/>
      <c r="L5650" t="s" s="16">
        <f>HYPERLINK("http://csr.bu.edu/ftp/asl/asllvd/demos/verify_start_end_handshape_annotations//test_auto_move//signs_mov_separ_signers/Dana_1232.mov","MOV")</f>
        <v>21</v>
      </c>
      <c r="M5650" t="s" s="10">
        <v>44</v>
      </c>
      <c r="N5650" s="17">
        <v>18</v>
      </c>
      <c r="O5650" s="18">
        <v>1660</v>
      </c>
      <c r="P5650" s="18">
        <v>1690</v>
      </c>
      <c r="Q5650" s="15"/>
      <c r="R5650" t="s" s="16">
        <f>HYPERLINK("http://secrets.rutgers.edu:8080/data/asl-ftp/asllvd/demos/verify_start_end_handshape_annotations//test_auto_move//signs_mov_separ_signers/Dana_1232.mov","MOV")</f>
        <v>21</v>
      </c>
    </row>
    <row r="5651" s="2" customFormat="1" ht="13.5" customHeight="1">
      <c r="B5651" t="s" s="8">
        <v>1927</v>
      </c>
      <c r="C5651" t="s" s="9">
        <v>14</v>
      </c>
      <c r="D5651" t="s" s="8">
        <v>14</v>
      </c>
      <c r="E5651" t="s" s="9">
        <v>14</v>
      </c>
      <c r="F5651" t="s" s="10">
        <v>14</v>
      </c>
      <c r="G5651" t="s" s="11">
        <v>14</v>
      </c>
      <c r="H5651" t="s" s="10">
        <v>14</v>
      </c>
      <c r="I5651" t="s" s="11">
        <v>14</v>
      </c>
      <c r="J5651" t="s" s="11">
        <v>14</v>
      </c>
      <c r="K5651" t="s" s="12">
        <v>14</v>
      </c>
      <c r="L5651" t="s" s="12">
        <v>14</v>
      </c>
      <c r="M5651" t="s" s="10">
        <v>14</v>
      </c>
      <c r="N5651" t="s" s="11">
        <v>14</v>
      </c>
      <c r="O5651" t="s" s="8">
        <v>14</v>
      </c>
      <c r="P5651" t="s" s="8">
        <v>14</v>
      </c>
      <c r="Q5651" t="s" s="12">
        <v>14</v>
      </c>
      <c r="R5651" t="s" s="12">
        <v>14</v>
      </c>
    </row>
    <row r="5652" s="2" customFormat="1" ht="13.5" customHeight="1">
      <c r="B5652" s="13"/>
      <c r="C5652" t="s" s="9">
        <v>16</v>
      </c>
      <c r="D5652" t="s" s="8">
        <v>1927</v>
      </c>
      <c r="E5652" t="s" s="9">
        <v>1928</v>
      </c>
      <c r="F5652" t="s" s="10">
        <v>287</v>
      </c>
      <c r="G5652" t="s" s="11">
        <v>73</v>
      </c>
      <c r="H5652" t="s" s="10">
        <v>287</v>
      </c>
      <c r="I5652" t="s" s="11">
        <v>73</v>
      </c>
      <c r="J5652" t="s" s="11">
        <v>20</v>
      </c>
      <c r="K5652" s="15"/>
      <c r="L5652" t="s" s="16">
        <f>HYPERLINK("http://csr.bu.edu/ftp/asl/asllvd/demos/verify_start_end_handshape_annotations//test_auto_move//signs_mov_separ_signers/Liz_1234.mov","MOV")</f>
        <v>21</v>
      </c>
      <c r="M5652" t="s" s="10">
        <v>34</v>
      </c>
      <c r="N5652" s="17">
        <v>29</v>
      </c>
      <c r="O5652" s="18">
        <v>1301</v>
      </c>
      <c r="P5652" s="18">
        <v>1361</v>
      </c>
      <c r="Q5652" s="15"/>
      <c r="R5652" t="s" s="16">
        <f>HYPERLINK("http://secrets.rutgers.edu:8080/data/asl-ftp/asllvd/demos/verify_start_end_handshape_annotations//test_auto_move//signs_mov_separ_signers/Liz_1234.mov","MOV")</f>
        <v>21</v>
      </c>
    </row>
    <row r="5653" s="2" customFormat="1" ht="13.5" customHeight="1">
      <c r="B5653" s="13"/>
      <c r="C5653" t="s" s="9">
        <v>16</v>
      </c>
      <c r="D5653" t="s" s="8">
        <v>1927</v>
      </c>
      <c r="E5653" t="s" s="9">
        <v>1927</v>
      </c>
      <c r="F5653" t="s" s="10">
        <v>287</v>
      </c>
      <c r="G5653" t="s" s="11">
        <v>73</v>
      </c>
      <c r="H5653" t="s" s="10">
        <v>287</v>
      </c>
      <c r="I5653" t="s" s="11">
        <v>73</v>
      </c>
      <c r="J5653" t="s" s="11">
        <v>20</v>
      </c>
      <c r="K5653" t="s" s="16">
        <f>HYPERLINK("http://csr.bu.edu/ftp/asl/asllvd/demos/verify_start_end_handshape_annotations//test_auto_move//signs_mov/1234_3529_merged.mov","MOV")</f>
        <v>21</v>
      </c>
      <c r="L5653" t="s" s="16">
        <f>HYPERLINK("http://csr.bu.edu/ftp/asl/asllvd/demos/verify_start_end_handshape_annotations//test_auto_move//signs_mov_separ_signers/Liz_3529.mov","MOV")</f>
        <v>21</v>
      </c>
      <c r="M5653" t="s" s="10">
        <v>34</v>
      </c>
      <c r="N5653" s="17">
        <v>29</v>
      </c>
      <c r="O5653" s="18">
        <v>1515</v>
      </c>
      <c r="P5653" s="18">
        <v>1560</v>
      </c>
      <c r="Q5653" t="s" s="16">
        <f>HYPERLINK("http://secrets.rutgers.edu:8080/data/asl-ftp/asllvd/demos/verify_start_end_handshape_annotations//test_auto_move//signs_mov/1234_3529_merged.mov","MOV")</f>
        <v>21</v>
      </c>
      <c r="R5653" t="s" s="16">
        <f>HYPERLINK("http://secrets.rutgers.edu:8080/data/asl-ftp/asllvd/demos/verify_start_end_handshape_annotations//test_auto_move//signs_mov_separ_signers/Liz_3529.mov","MOV")</f>
        <v>21</v>
      </c>
    </row>
    <row r="5654" s="2" customFormat="1" ht="13.5" customHeight="1">
      <c r="B5654" s="13"/>
      <c r="C5654" t="s" s="9">
        <v>27</v>
      </c>
      <c r="D5654" t="s" s="8">
        <v>1927</v>
      </c>
      <c r="E5654" t="s" s="9">
        <v>1927</v>
      </c>
      <c r="F5654" t="s" s="10">
        <v>287</v>
      </c>
      <c r="G5654" t="s" s="11">
        <v>73</v>
      </c>
      <c r="H5654" t="s" s="10">
        <v>287</v>
      </c>
      <c r="I5654" t="s" s="11">
        <v>73</v>
      </c>
      <c r="J5654" t="s" s="11">
        <v>20</v>
      </c>
      <c r="K5654" s="15"/>
      <c r="L5654" t="s" s="16">
        <f>HYPERLINK("http://csr.bu.edu/ftp/asl/asllvd/demos/verify_start_end_handshape_annotations//test_auto_move//signs_mov_separ_signers/Naomi_1234.mov","MOV")</f>
        <v>21</v>
      </c>
      <c r="M5654" t="s" s="10">
        <v>38</v>
      </c>
      <c r="N5654" s="17">
        <v>24</v>
      </c>
      <c r="O5654" s="18">
        <v>1477</v>
      </c>
      <c r="P5654" s="18">
        <v>1500</v>
      </c>
      <c r="Q5654" s="15"/>
      <c r="R5654" t="s" s="16">
        <f>HYPERLINK("http://secrets.rutgers.edu:8080/data/asl-ftp/asllvd/demos/verify_start_end_handshape_annotations//test_auto_move//signs_mov_separ_signers/Naomi_1234.mov","MOV")</f>
        <v>21</v>
      </c>
    </row>
    <row r="5655" s="2" customFormat="1" ht="13.5" customHeight="1">
      <c r="B5655" s="13"/>
      <c r="C5655" t="s" s="9">
        <v>27</v>
      </c>
      <c r="D5655" t="s" s="8">
        <v>1927</v>
      </c>
      <c r="E5655" t="s" s="9">
        <v>1927</v>
      </c>
      <c r="F5655" t="s" s="10">
        <v>287</v>
      </c>
      <c r="G5655" t="s" s="11">
        <v>73</v>
      </c>
      <c r="H5655" t="s" s="10">
        <v>287</v>
      </c>
      <c r="I5655" t="s" s="11">
        <v>73</v>
      </c>
      <c r="J5655" t="s" s="11">
        <v>20</v>
      </c>
      <c r="K5655" s="15"/>
      <c r="L5655" t="s" s="16">
        <f>HYPERLINK("http://csr.bu.edu/ftp/asl/asllvd/demos/verify_start_end_handshape_annotations//test_auto_move//signs_mov_separ_signers/Naomi_3529.mov","MOV")</f>
        <v>21</v>
      </c>
      <c r="M5655" t="s" s="10">
        <v>38</v>
      </c>
      <c r="N5655" s="17">
        <v>24</v>
      </c>
      <c r="O5655" s="18">
        <v>4171</v>
      </c>
      <c r="P5655" s="18">
        <v>4195</v>
      </c>
      <c r="Q5655" s="15"/>
      <c r="R5655" t="s" s="16">
        <f>HYPERLINK("http://secrets.rutgers.edu:8080/data/asl-ftp/asllvd/demos/verify_start_end_handshape_annotations//test_auto_move//signs_mov_separ_signers/Naomi_3529.mov","MOV")</f>
        <v>21</v>
      </c>
    </row>
    <row r="5656" s="2" customFormat="1" ht="13.5" customHeight="1">
      <c r="B5656" t="s" s="8">
        <v>1929</v>
      </c>
      <c r="C5656" t="s" s="9">
        <v>14</v>
      </c>
      <c r="D5656" t="s" s="8">
        <v>14</v>
      </c>
      <c r="E5656" t="s" s="9">
        <v>14</v>
      </c>
      <c r="F5656" t="s" s="10">
        <v>14</v>
      </c>
      <c r="G5656" t="s" s="11">
        <v>14</v>
      </c>
      <c r="H5656" t="s" s="10">
        <v>14</v>
      </c>
      <c r="I5656" t="s" s="11">
        <v>14</v>
      </c>
      <c r="J5656" t="s" s="11">
        <v>14</v>
      </c>
      <c r="K5656" t="s" s="12">
        <v>14</v>
      </c>
      <c r="L5656" t="s" s="12">
        <v>14</v>
      </c>
      <c r="M5656" t="s" s="10">
        <v>14</v>
      </c>
      <c r="N5656" t="s" s="11">
        <v>14</v>
      </c>
      <c r="O5656" t="s" s="8">
        <v>14</v>
      </c>
      <c r="P5656" t="s" s="8">
        <v>14</v>
      </c>
      <c r="Q5656" t="s" s="12">
        <v>14</v>
      </c>
      <c r="R5656" t="s" s="12">
        <v>14</v>
      </c>
    </row>
    <row r="5657" s="2" customFormat="1" ht="13.5" customHeight="1">
      <c r="B5657" s="13"/>
      <c r="C5657" t="s" s="9">
        <v>23</v>
      </c>
      <c r="D5657" t="s" s="8">
        <v>1929</v>
      </c>
      <c r="E5657" t="s" s="9">
        <v>1929</v>
      </c>
      <c r="F5657" t="s" s="10">
        <v>287</v>
      </c>
      <c r="G5657" t="s" s="11">
        <v>73</v>
      </c>
      <c r="H5657" t="s" s="10">
        <v>51</v>
      </c>
      <c r="I5657" t="s" s="11">
        <v>73</v>
      </c>
      <c r="J5657" t="s" s="11">
        <v>20</v>
      </c>
      <c r="K5657" t="s" s="16">
        <f>HYPERLINK("http://csr.bu.edu/ftp/asl/asllvd/demos/verify_start_end_handshape_annotations//test_auto_move//signs_mov/15108_15109_merged.mov","MOV")</f>
        <v>21</v>
      </c>
      <c r="L5657" t="s" s="16">
        <f>HYPERLINK("http://csr.bu.edu/ftp/asl/asllvd/demos/verify_start_end_handshape_annotations//test_auto_move//signs_mov_separ_signers/Tyler_15108.mov","MOV")</f>
        <v>21</v>
      </c>
      <c r="M5657" t="s" s="10">
        <v>37</v>
      </c>
      <c r="N5657" s="17">
        <v>4</v>
      </c>
      <c r="O5657" s="18">
        <v>1245</v>
      </c>
      <c r="P5657" s="18">
        <v>1277</v>
      </c>
      <c r="Q5657" t="s" s="16">
        <f>HYPERLINK("http://secrets.rutgers.edu:8080/data/asl-ftp/asllvd/demos/verify_start_end_handshape_annotations//test_auto_move//signs_mov/15108_15109_merged.mov","MOV")</f>
        <v>21</v>
      </c>
      <c r="R5657" t="s" s="16">
        <f>HYPERLINK("http://secrets.rutgers.edu:8080/data/asl-ftp/asllvd/demos/verify_start_end_handshape_annotations//test_auto_move//signs_mov_separ_signers/Tyler_15108.mov","MOV")</f>
        <v>21</v>
      </c>
    </row>
    <row r="5658" s="2" customFormat="1" ht="13.5" customHeight="1">
      <c r="B5658" s="13"/>
      <c r="C5658" t="s" s="9">
        <v>23</v>
      </c>
      <c r="D5658" t="s" s="8">
        <v>1929</v>
      </c>
      <c r="E5658" t="s" s="9">
        <v>1929</v>
      </c>
      <c r="F5658" t="s" s="10">
        <v>287</v>
      </c>
      <c r="G5658" t="s" s="11">
        <v>73</v>
      </c>
      <c r="H5658" t="s" s="10">
        <v>51</v>
      </c>
      <c r="I5658" t="s" s="11">
        <v>73</v>
      </c>
      <c r="J5658" t="s" s="11">
        <v>20</v>
      </c>
      <c r="K5658" s="15"/>
      <c r="L5658" t="s" s="16">
        <f>HYPERLINK("http://csr.bu.edu/ftp/asl/asllvd/demos/verify_start_end_handshape_annotations//test_auto_move//signs_mov_separ_signers/Tyler_15109.mov","MOV")</f>
        <v>21</v>
      </c>
      <c r="M5658" t="s" s="10">
        <v>37</v>
      </c>
      <c r="N5658" s="17">
        <v>4</v>
      </c>
      <c r="O5658" s="18">
        <v>1486</v>
      </c>
      <c r="P5658" s="18">
        <v>1510</v>
      </c>
      <c r="Q5658" s="15"/>
      <c r="R5658" t="s" s="16">
        <f>HYPERLINK("http://secrets.rutgers.edu:8080/data/asl-ftp/asllvd/demos/verify_start_end_handshape_annotations//test_auto_move//signs_mov_separ_signers/Tyler_15109.mov","MOV")</f>
        <v>21</v>
      </c>
    </row>
    <row r="5659" s="2" customFormat="1" ht="13.5" customHeight="1">
      <c r="B5659" t="s" s="8">
        <v>1930</v>
      </c>
      <c r="C5659" t="s" s="9">
        <v>14</v>
      </c>
      <c r="D5659" t="s" s="8">
        <v>14</v>
      </c>
      <c r="E5659" t="s" s="9">
        <v>14</v>
      </c>
      <c r="F5659" t="s" s="10">
        <v>14</v>
      </c>
      <c r="G5659" t="s" s="11">
        <v>14</v>
      </c>
      <c r="H5659" t="s" s="10">
        <v>14</v>
      </c>
      <c r="I5659" t="s" s="11">
        <v>14</v>
      </c>
      <c r="J5659" t="s" s="11">
        <v>14</v>
      </c>
      <c r="K5659" t="s" s="12">
        <v>14</v>
      </c>
      <c r="L5659" t="s" s="12">
        <v>14</v>
      </c>
      <c r="M5659" t="s" s="10">
        <v>14</v>
      </c>
      <c r="N5659" t="s" s="11">
        <v>14</v>
      </c>
      <c r="O5659" t="s" s="8">
        <v>14</v>
      </c>
      <c r="P5659" t="s" s="8">
        <v>14</v>
      </c>
      <c r="Q5659" t="s" s="12">
        <v>14</v>
      </c>
      <c r="R5659" t="s" s="12">
        <v>14</v>
      </c>
    </row>
    <row r="5660" s="2" customFormat="1" ht="13.5" customHeight="1">
      <c r="B5660" s="13"/>
      <c r="C5660" t="s" s="9">
        <v>16</v>
      </c>
      <c r="D5660" t="s" s="8">
        <v>1930</v>
      </c>
      <c r="E5660" t="s" s="9">
        <v>1930</v>
      </c>
      <c r="F5660" s="19">
        <v>4</v>
      </c>
      <c r="G5660" s="14"/>
      <c r="H5660" s="19">
        <v>4</v>
      </c>
      <c r="I5660" s="14"/>
      <c r="J5660" t="s" s="11">
        <v>20</v>
      </c>
      <c r="K5660" s="15"/>
      <c r="L5660" t="s" s="16">
        <f>HYPERLINK("http://csr.bu.edu/ftp/asl/asllvd/demos/verify_start_end_handshape_annotations//test_auto_move//signs_mov_separ_signers/Liz_1236.mov","MOV")</f>
        <v>21</v>
      </c>
      <c r="M5660" t="s" s="10">
        <v>34</v>
      </c>
      <c r="N5660" s="17">
        <v>29</v>
      </c>
      <c r="O5660" s="18">
        <v>2060</v>
      </c>
      <c r="P5660" s="18">
        <v>2096</v>
      </c>
      <c r="Q5660" s="15"/>
      <c r="R5660" t="s" s="16">
        <f>HYPERLINK("http://secrets.rutgers.edu:8080/data/asl-ftp/asllvd/demos/verify_start_end_handshape_annotations//test_auto_move//signs_mov_separ_signers/Liz_1236.mov","MOV")</f>
        <v>21</v>
      </c>
    </row>
    <row r="5661" s="2" customFormat="1" ht="13.5" customHeight="1">
      <c r="B5661" s="13"/>
      <c r="C5661" t="s" s="9">
        <v>23</v>
      </c>
      <c r="D5661" t="s" s="8">
        <v>1930</v>
      </c>
      <c r="E5661" t="s" s="9">
        <v>1930</v>
      </c>
      <c r="F5661" s="19">
        <v>4</v>
      </c>
      <c r="G5661" s="14"/>
      <c r="H5661" s="19">
        <v>4</v>
      </c>
      <c r="I5661" s="14"/>
      <c r="J5661" t="s" s="11">
        <v>20</v>
      </c>
      <c r="K5661" t="s" s="16">
        <f>HYPERLINK("http://csr.bu.edu/ftp/asl/asllvd/demos/verify_start_end_handshape_annotations//test_auto_move//signs_mov/1236.mov","MOV")</f>
        <v>21</v>
      </c>
      <c r="L5661" t="s" s="16">
        <f>HYPERLINK("http://csr.bu.edu/ftp/asl/asllvd/demos/verify_start_end_handshape_annotations//test_auto_move//signs_mov_separ_signers/Tyler_1236.mov","MOV")</f>
        <v>21</v>
      </c>
      <c r="M5661" t="s" s="10">
        <v>37</v>
      </c>
      <c r="N5661" s="17">
        <v>4</v>
      </c>
      <c r="O5661" s="18">
        <v>1922</v>
      </c>
      <c r="P5661" s="18">
        <v>1956</v>
      </c>
      <c r="Q5661" t="s" s="16">
        <f>HYPERLINK("http://secrets.rutgers.edu:8080/data/asl-ftp/asllvd/demos/verify_start_end_handshape_annotations//test_auto_move//signs_mov/1236.mov","MOV")</f>
        <v>21</v>
      </c>
      <c r="R5661" t="s" s="16">
        <f>HYPERLINK("http://secrets.rutgers.edu:8080/data/asl-ftp/asllvd/demos/verify_start_end_handshape_annotations//test_auto_move//signs_mov_separ_signers/Tyler_1236.mov","MOV")</f>
        <v>21</v>
      </c>
    </row>
    <row r="5662" s="2" customFormat="1" ht="13.5" customHeight="1">
      <c r="B5662" s="13"/>
      <c r="C5662" t="s" s="9">
        <v>30</v>
      </c>
      <c r="D5662" t="s" s="8">
        <v>1930</v>
      </c>
      <c r="E5662" t="s" s="9">
        <v>1930</v>
      </c>
      <c r="F5662" s="19">
        <v>4</v>
      </c>
      <c r="G5662" s="14"/>
      <c r="H5662" s="19">
        <v>4</v>
      </c>
      <c r="I5662" s="14"/>
      <c r="J5662" t="s" s="11">
        <v>20</v>
      </c>
      <c r="K5662" s="15"/>
      <c r="L5662" t="s" s="16">
        <f>HYPERLINK("http://csr.bu.edu/ftp/asl/asllvd/demos/verify_start_end_handshape_annotations//test_auto_move//signs_mov_separ_signers/Brady_1236.mov","MOV")</f>
        <v>21</v>
      </c>
      <c r="M5662" t="s" s="10">
        <v>39</v>
      </c>
      <c r="N5662" s="17">
        <v>39</v>
      </c>
      <c r="O5662" s="18">
        <v>334</v>
      </c>
      <c r="P5662" s="18">
        <v>351</v>
      </c>
      <c r="Q5662" s="15"/>
      <c r="R5662" t="s" s="16">
        <f>HYPERLINK("http://secrets.rutgers.edu:8080/data/asl-ftp/asllvd/demos/verify_start_end_handshape_annotations//test_auto_move//signs_mov_separ_signers/Brady_1236.mov","MOV")</f>
        <v>21</v>
      </c>
    </row>
    <row r="5663" s="2" customFormat="1" ht="13.5" customHeight="1">
      <c r="B5663" t="s" s="8">
        <v>1931</v>
      </c>
      <c r="C5663" t="s" s="9">
        <v>14</v>
      </c>
      <c r="D5663" t="s" s="8">
        <v>14</v>
      </c>
      <c r="E5663" t="s" s="9">
        <v>14</v>
      </c>
      <c r="F5663" t="s" s="10">
        <v>14</v>
      </c>
      <c r="G5663" t="s" s="11">
        <v>14</v>
      </c>
      <c r="H5663" t="s" s="10">
        <v>14</v>
      </c>
      <c r="I5663" t="s" s="11">
        <v>14</v>
      </c>
      <c r="J5663" t="s" s="11">
        <v>14</v>
      </c>
      <c r="K5663" t="s" s="12">
        <v>14</v>
      </c>
      <c r="L5663" t="s" s="12">
        <v>14</v>
      </c>
      <c r="M5663" t="s" s="10">
        <v>14</v>
      </c>
      <c r="N5663" t="s" s="11">
        <v>14</v>
      </c>
      <c r="O5663" t="s" s="8">
        <v>14</v>
      </c>
      <c r="P5663" t="s" s="8">
        <v>14</v>
      </c>
      <c r="Q5663" t="s" s="12">
        <v>14</v>
      </c>
      <c r="R5663" t="s" s="12">
        <v>14</v>
      </c>
    </row>
    <row r="5664" s="2" customFormat="1" ht="13.5" customHeight="1">
      <c r="B5664" s="13"/>
      <c r="C5664" t="s" s="9">
        <v>16</v>
      </c>
      <c r="D5664" t="s" s="8">
        <v>1931</v>
      </c>
      <c r="E5664" t="s" s="9">
        <v>1932</v>
      </c>
      <c r="F5664" t="s" s="10">
        <v>287</v>
      </c>
      <c r="G5664" t="s" s="11">
        <v>287</v>
      </c>
      <c r="H5664" t="s" s="10">
        <v>287</v>
      </c>
      <c r="I5664" t="s" s="11">
        <v>287</v>
      </c>
      <c r="J5664" t="s" s="11">
        <v>20</v>
      </c>
      <c r="K5664" s="15"/>
      <c r="L5664" t="s" s="16">
        <f>HYPERLINK("http://csr.bu.edu/ftp/asl/asllvd/demos/verify_start_end_handshape_annotations//test_auto_move//signs_mov_separ_signers/Liz_1237.mov","MOV")</f>
        <v>21</v>
      </c>
      <c r="M5664" t="s" s="10">
        <v>34</v>
      </c>
      <c r="N5664" s="17">
        <v>29</v>
      </c>
      <c r="O5664" s="18">
        <v>2236</v>
      </c>
      <c r="P5664" s="18">
        <v>2295</v>
      </c>
      <c r="Q5664" s="15"/>
      <c r="R5664" t="s" s="16">
        <f>HYPERLINK("http://secrets.rutgers.edu:8080/data/asl-ftp/asllvd/demos/verify_start_end_handshape_annotations//test_auto_move//signs_mov_separ_signers/Liz_1237.mov","MOV")</f>
        <v>21</v>
      </c>
    </row>
    <row r="5665" s="2" customFormat="1" ht="13.5" customHeight="1">
      <c r="B5665" s="13"/>
      <c r="C5665" t="s" s="9">
        <v>23</v>
      </c>
      <c r="D5665" t="s" s="8">
        <v>1931</v>
      </c>
      <c r="E5665" t="s" s="9">
        <v>1932</v>
      </c>
      <c r="F5665" t="s" s="10">
        <v>287</v>
      </c>
      <c r="G5665" t="s" s="11">
        <v>287</v>
      </c>
      <c r="H5665" t="s" s="10">
        <v>287</v>
      </c>
      <c r="I5665" t="s" s="11">
        <v>287</v>
      </c>
      <c r="J5665" t="s" s="11">
        <v>20</v>
      </c>
      <c r="K5665" t="s" s="16">
        <f>HYPERLINK("http://csr.bu.edu/ftp/asl/asllvd/demos/verify_start_end_handshape_annotations//test_auto_move//signs_mov/1237.mov","MOV")</f>
        <v>21</v>
      </c>
      <c r="L5665" t="s" s="16">
        <f>HYPERLINK("http://csr.bu.edu/ftp/asl/asllvd/demos/verify_start_end_handshape_annotations//test_auto_move//signs_mov_separ_signers/Tyler_1237.mov","MOV")</f>
        <v>21</v>
      </c>
      <c r="M5665" t="s" s="10">
        <v>37</v>
      </c>
      <c r="N5665" s="17">
        <v>4</v>
      </c>
      <c r="O5665" s="18">
        <v>2148</v>
      </c>
      <c r="P5665" s="18">
        <v>2185</v>
      </c>
      <c r="Q5665" t="s" s="16">
        <f>HYPERLINK("http://secrets.rutgers.edu:8080/data/asl-ftp/asllvd/demos/verify_start_end_handshape_annotations//test_auto_move//signs_mov/1237.mov","MOV")</f>
        <v>21</v>
      </c>
      <c r="R5665" t="s" s="16">
        <f>HYPERLINK("http://secrets.rutgers.edu:8080/data/asl-ftp/asllvd/demos/verify_start_end_handshape_annotations//test_auto_move//signs_mov_separ_signers/Tyler_1237.mov","MOV")</f>
        <v>21</v>
      </c>
    </row>
    <row r="5666" s="2" customFormat="1" ht="13.5" customHeight="1">
      <c r="B5666" s="13"/>
      <c r="C5666" t="s" s="9">
        <v>27</v>
      </c>
      <c r="D5666" t="s" s="8">
        <v>1931</v>
      </c>
      <c r="E5666" t="s" s="9">
        <v>1932</v>
      </c>
      <c r="F5666" t="s" s="10">
        <v>287</v>
      </c>
      <c r="G5666" t="s" s="11">
        <v>287</v>
      </c>
      <c r="H5666" t="s" s="10">
        <v>287</v>
      </c>
      <c r="I5666" t="s" s="11">
        <v>287</v>
      </c>
      <c r="J5666" t="s" s="11">
        <v>20</v>
      </c>
      <c r="K5666" s="15"/>
      <c r="L5666" t="s" s="16">
        <f>HYPERLINK("http://csr.bu.edu/ftp/asl/asllvd/demos/verify_start_end_handshape_annotations//test_auto_move//signs_mov_separ_signers/Naomi_1237.mov","MOV")</f>
        <v>21</v>
      </c>
      <c r="M5666" t="s" s="10">
        <v>38</v>
      </c>
      <c r="N5666" s="17">
        <v>24</v>
      </c>
      <c r="O5666" s="18">
        <v>5610</v>
      </c>
      <c r="P5666" s="18">
        <v>5653</v>
      </c>
      <c r="Q5666" s="15"/>
      <c r="R5666" t="s" s="16">
        <f>HYPERLINK("http://secrets.rutgers.edu:8080/data/asl-ftp/asllvd/demos/verify_start_end_handshape_annotations//test_auto_move//signs_mov_separ_signers/Naomi_1237.mov","MOV")</f>
        <v>21</v>
      </c>
    </row>
    <row r="5667" s="2" customFormat="1" ht="13.5" customHeight="1">
      <c r="B5667" s="13"/>
      <c r="C5667" t="s" s="9">
        <v>30</v>
      </c>
      <c r="D5667" t="s" s="8">
        <v>1931</v>
      </c>
      <c r="E5667" t="s" s="9">
        <v>1932</v>
      </c>
      <c r="F5667" t="s" s="10">
        <v>287</v>
      </c>
      <c r="G5667" t="s" s="11">
        <v>287</v>
      </c>
      <c r="H5667" t="s" s="10">
        <v>287</v>
      </c>
      <c r="I5667" t="s" s="11">
        <v>287</v>
      </c>
      <c r="J5667" t="s" s="11">
        <v>20</v>
      </c>
      <c r="K5667" s="15"/>
      <c r="L5667" t="s" s="16">
        <f>HYPERLINK("http://csr.bu.edu/ftp/asl/asllvd/demos/verify_start_end_handshape_annotations//test_auto_move//signs_mov_separ_signers/Brady_1237.mov","MOV")</f>
        <v>21</v>
      </c>
      <c r="M5667" t="s" s="10">
        <v>39</v>
      </c>
      <c r="N5667" s="17">
        <v>39</v>
      </c>
      <c r="O5667" s="18">
        <v>814</v>
      </c>
      <c r="P5667" s="18">
        <v>849</v>
      </c>
      <c r="Q5667" s="15"/>
      <c r="R5667" t="s" s="16">
        <f>HYPERLINK("http://secrets.rutgers.edu:8080/data/asl-ftp/asllvd/demos/verify_start_end_handshape_annotations//test_auto_move//signs_mov_separ_signers/Brady_1237.mov","MOV")</f>
        <v>21</v>
      </c>
    </row>
    <row r="5668" s="2" customFormat="1" ht="13.5" customHeight="1">
      <c r="B5668" t="s" s="8">
        <v>52</v>
      </c>
      <c r="C5668" t="s" s="9">
        <v>53</v>
      </c>
      <c r="D5668" t="s" s="8">
        <v>53</v>
      </c>
      <c r="E5668" t="s" s="9">
        <v>53</v>
      </c>
      <c r="F5668" t="s" s="10">
        <v>53</v>
      </c>
      <c r="G5668" t="s" s="11">
        <v>53</v>
      </c>
      <c r="H5668" t="s" s="10">
        <v>53</v>
      </c>
      <c r="I5668" t="s" s="11">
        <v>53</v>
      </c>
      <c r="J5668" t="s" s="11">
        <v>53</v>
      </c>
      <c r="K5668" t="s" s="12">
        <v>53</v>
      </c>
      <c r="L5668" t="s" s="12">
        <v>53</v>
      </c>
      <c r="M5668" t="s" s="10">
        <v>53</v>
      </c>
      <c r="N5668" t="s" s="11">
        <v>53</v>
      </c>
      <c r="O5668" t="s" s="8">
        <v>53</v>
      </c>
      <c r="P5668" t="s" s="8">
        <v>53</v>
      </c>
      <c r="Q5668" t="s" s="12">
        <v>53</v>
      </c>
      <c r="R5668" t="s" s="12">
        <v>53</v>
      </c>
    </row>
    <row r="5669" s="2" customFormat="1" ht="13.5" customHeight="1">
      <c r="B5669" s="13"/>
      <c r="C5669" t="s" s="9">
        <v>16</v>
      </c>
      <c r="D5669" t="s" s="8">
        <v>1931</v>
      </c>
      <c r="E5669" t="s" s="9">
        <v>1933</v>
      </c>
      <c r="F5669" t="s" s="10">
        <v>287</v>
      </c>
      <c r="G5669" t="s" s="11">
        <v>287</v>
      </c>
      <c r="H5669" t="s" s="10">
        <v>287</v>
      </c>
      <c r="I5669" t="s" s="11">
        <v>287</v>
      </c>
      <c r="J5669" t="s" s="11">
        <v>20</v>
      </c>
      <c r="K5669" t="s" s="16">
        <f>HYPERLINK("http://csr.bu.edu/ftp/asl/asllvd/demos/verify_start_end_handshape_annotations//test_auto_move//signs_mov/15166.mov","MOV")</f>
        <v>21</v>
      </c>
      <c r="L5669" t="s" s="16">
        <f>HYPERLINK("http://csr.bu.edu/ftp/asl/asllvd/demos/verify_start_end_handshape_annotations//test_auto_move//signs_mov_separ_signers/Liz_15166.mov","MOV")</f>
        <v>21</v>
      </c>
      <c r="M5669" t="s" s="10">
        <v>88</v>
      </c>
      <c r="N5669" s="17">
        <v>31</v>
      </c>
      <c r="O5669" s="18">
        <v>705</v>
      </c>
      <c r="P5669" s="18">
        <v>756</v>
      </c>
      <c r="Q5669" t="s" s="16">
        <f>HYPERLINK("http://secrets.rutgers.edu:8080/data/asl-ftp/asllvd/demos/verify_start_end_handshape_annotations//test_auto_move//signs_mov/15166.mov","MOV")</f>
        <v>21</v>
      </c>
      <c r="R5669" t="s" s="16">
        <f>HYPERLINK("http://secrets.rutgers.edu:8080/data/asl-ftp/asllvd/demos/verify_start_end_handshape_annotations//test_auto_move//signs_mov_separ_signers/Liz_15166.mov","MOV")</f>
        <v>21</v>
      </c>
    </row>
    <row r="5670" s="2" customFormat="1" ht="13.5" customHeight="1">
      <c r="B5670" s="13"/>
      <c r="C5670" t="s" s="9">
        <v>30</v>
      </c>
      <c r="D5670" t="s" s="8">
        <v>1931</v>
      </c>
      <c r="E5670" t="s" s="9">
        <v>1933</v>
      </c>
      <c r="F5670" t="s" s="10">
        <v>287</v>
      </c>
      <c r="G5670" t="s" s="11">
        <v>287</v>
      </c>
      <c r="H5670" t="s" s="10">
        <v>287</v>
      </c>
      <c r="I5670" t="s" s="11">
        <v>287</v>
      </c>
      <c r="J5670" t="s" s="11">
        <v>20</v>
      </c>
      <c r="K5670" s="15"/>
      <c r="L5670" t="s" s="16">
        <f>HYPERLINK("http://csr.bu.edu/ftp/asl/asllvd/demos/verify_start_end_handshape_annotations//test_auto_move//signs_mov_separ_signers/Brady_15166.mov","MOV")</f>
        <v>21</v>
      </c>
      <c r="M5670" t="s" s="10">
        <v>40</v>
      </c>
      <c r="N5670" s="17">
        <v>26</v>
      </c>
      <c r="O5670" s="18">
        <v>595</v>
      </c>
      <c r="P5670" s="18">
        <v>624</v>
      </c>
      <c r="Q5670" s="15"/>
      <c r="R5670" t="s" s="16">
        <f>HYPERLINK("http://secrets.rutgers.edu:8080/data/asl-ftp/asllvd/demos/verify_start_end_handshape_annotations//test_auto_move//signs_mov_separ_signers/Brady_15166.mov","MOV")</f>
        <v>21</v>
      </c>
    </row>
    <row r="5671" s="2" customFormat="1" ht="13.5" customHeight="1">
      <c r="B5671" t="s" s="8">
        <v>1934</v>
      </c>
      <c r="C5671" t="s" s="9">
        <v>14</v>
      </c>
      <c r="D5671" t="s" s="8">
        <v>14</v>
      </c>
      <c r="E5671" t="s" s="9">
        <v>14</v>
      </c>
      <c r="F5671" t="s" s="10">
        <v>14</v>
      </c>
      <c r="G5671" t="s" s="11">
        <v>14</v>
      </c>
      <c r="H5671" t="s" s="10">
        <v>14</v>
      </c>
      <c r="I5671" t="s" s="11">
        <v>14</v>
      </c>
      <c r="J5671" t="s" s="11">
        <v>14</v>
      </c>
      <c r="K5671" t="s" s="12">
        <v>14</v>
      </c>
      <c r="L5671" t="s" s="12">
        <v>14</v>
      </c>
      <c r="M5671" t="s" s="10">
        <v>14</v>
      </c>
      <c r="N5671" t="s" s="11">
        <v>14</v>
      </c>
      <c r="O5671" t="s" s="8">
        <v>14</v>
      </c>
      <c r="P5671" t="s" s="8">
        <v>14</v>
      </c>
      <c r="Q5671" t="s" s="12">
        <v>14</v>
      </c>
      <c r="R5671" t="s" s="12">
        <v>14</v>
      </c>
    </row>
    <row r="5672" s="2" customFormat="1" ht="13.5" customHeight="1">
      <c r="B5672" s="13"/>
      <c r="C5672" t="s" s="9">
        <v>16</v>
      </c>
      <c r="D5672" t="s" s="8">
        <v>1935</v>
      </c>
      <c r="E5672" t="s" s="9">
        <v>1935</v>
      </c>
      <c r="F5672" t="s" s="10">
        <v>220</v>
      </c>
      <c r="G5672" t="s" s="11">
        <v>220</v>
      </c>
      <c r="H5672" t="s" s="10">
        <v>220</v>
      </c>
      <c r="I5672" t="s" s="11">
        <v>220</v>
      </c>
      <c r="J5672" t="s" s="11">
        <v>20</v>
      </c>
      <c r="K5672" t="s" s="16">
        <f>HYPERLINK("http://csr.bu.edu/ftp/asl/asllvd/demos/verify_start_end_handshape_annotations//test_auto_move//signs_mov/15921.mov","MOV")</f>
        <v>21</v>
      </c>
      <c r="L5672" t="s" s="16">
        <f>HYPERLINK("http://csr.bu.edu/ftp/asl/asllvd/demos/verify_start_end_handshape_annotations//test_auto_move//signs_mov_separ_signers/Liz_15921.mov","MOV")</f>
        <v>21</v>
      </c>
      <c r="M5672" t="s" s="10">
        <v>88</v>
      </c>
      <c r="N5672" s="17">
        <v>31</v>
      </c>
      <c r="O5672" s="18">
        <v>503</v>
      </c>
      <c r="P5672" s="18">
        <v>542</v>
      </c>
      <c r="Q5672" t="s" s="16">
        <f>HYPERLINK("http://secrets.rutgers.edu:8080/data/asl-ftp/asllvd/demos/verify_start_end_handshape_annotations//test_auto_move//signs_mov/15921.mov","MOV")</f>
        <v>21</v>
      </c>
      <c r="R5672" t="s" s="16">
        <f>HYPERLINK("http://secrets.rutgers.edu:8080/data/asl-ftp/asllvd/demos/verify_start_end_handshape_annotations//test_auto_move//signs_mov_separ_signers/Liz_15921.mov","MOV")</f>
        <v>21</v>
      </c>
    </row>
    <row r="5673" s="2" customFormat="1" ht="13.5" customHeight="1">
      <c r="B5673" s="13"/>
      <c r="C5673" t="s" s="9">
        <v>30</v>
      </c>
      <c r="D5673" t="s" s="8">
        <v>1935</v>
      </c>
      <c r="E5673" t="s" s="9">
        <v>1935</v>
      </c>
      <c r="F5673" t="s" s="10">
        <v>220</v>
      </c>
      <c r="G5673" t="s" s="11">
        <v>220</v>
      </c>
      <c r="H5673" t="s" s="10">
        <v>220</v>
      </c>
      <c r="I5673" t="s" s="11">
        <v>220</v>
      </c>
      <c r="J5673" t="s" s="11">
        <v>20</v>
      </c>
      <c r="K5673" s="15"/>
      <c r="L5673" t="s" s="16">
        <f>HYPERLINK("http://csr.bu.edu/ftp/asl/asllvd/demos/verify_start_end_handshape_annotations//test_auto_move//signs_mov_separ_signers/Brady_15921.mov","MOV")</f>
        <v>21</v>
      </c>
      <c r="M5673" t="s" s="10">
        <v>40</v>
      </c>
      <c r="N5673" s="17">
        <v>26</v>
      </c>
      <c r="O5673" s="18">
        <v>253</v>
      </c>
      <c r="P5673" s="18">
        <v>283</v>
      </c>
      <c r="Q5673" s="15"/>
      <c r="R5673" t="s" s="16">
        <f>HYPERLINK("http://secrets.rutgers.edu:8080/data/asl-ftp/asllvd/demos/verify_start_end_handshape_annotations//test_auto_move//signs_mov_separ_signers/Brady_15921.mov","MOV")</f>
        <v>21</v>
      </c>
    </row>
    <row r="5674" s="2" customFormat="1" ht="13.5" customHeight="1">
      <c r="B5674" t="s" s="8">
        <v>1936</v>
      </c>
      <c r="C5674" t="s" s="9">
        <v>14</v>
      </c>
      <c r="D5674" t="s" s="8">
        <v>14</v>
      </c>
      <c r="E5674" t="s" s="9">
        <v>14</v>
      </c>
      <c r="F5674" t="s" s="10">
        <v>14</v>
      </c>
      <c r="G5674" t="s" s="11">
        <v>14</v>
      </c>
      <c r="H5674" t="s" s="10">
        <v>14</v>
      </c>
      <c r="I5674" t="s" s="11">
        <v>14</v>
      </c>
      <c r="J5674" t="s" s="11">
        <v>14</v>
      </c>
      <c r="K5674" t="s" s="12">
        <v>14</v>
      </c>
      <c r="L5674" t="s" s="12">
        <v>14</v>
      </c>
      <c r="M5674" t="s" s="10">
        <v>14</v>
      </c>
      <c r="N5674" t="s" s="11">
        <v>14</v>
      </c>
      <c r="O5674" t="s" s="8">
        <v>14</v>
      </c>
      <c r="P5674" t="s" s="8">
        <v>14</v>
      </c>
      <c r="Q5674" t="s" s="12">
        <v>14</v>
      </c>
      <c r="R5674" t="s" s="12">
        <v>14</v>
      </c>
    </row>
    <row r="5675" s="2" customFormat="1" ht="13.5" customHeight="1">
      <c r="B5675" s="13"/>
      <c r="C5675" t="s" s="9">
        <v>23</v>
      </c>
      <c r="D5675" t="s" s="8">
        <v>1936</v>
      </c>
      <c r="E5675" t="s" s="9">
        <v>1937</v>
      </c>
      <c r="F5675" t="s" s="10">
        <v>240</v>
      </c>
      <c r="G5675" t="s" s="11">
        <v>240</v>
      </c>
      <c r="H5675" t="s" s="10">
        <v>240</v>
      </c>
      <c r="I5675" t="s" s="11">
        <v>240</v>
      </c>
      <c r="J5675" t="s" s="11">
        <v>20</v>
      </c>
      <c r="K5675" t="s" s="16">
        <f>HYPERLINK("http://csr.bu.edu/ftp/asl/asllvd/demos/verify_start_end_handshape_annotations//test_auto_move//signs_mov/16012.mov","MOV")</f>
        <v>21</v>
      </c>
      <c r="L5675" t="s" s="16">
        <f>HYPERLINK("http://csr.bu.edu/ftp/asl/asllvd/demos/verify_start_end_handshape_annotations//test_auto_move//signs_mov_separ_signers/Tyler_16012.mov","MOV")</f>
        <v>21</v>
      </c>
      <c r="M5675" t="s" s="10">
        <v>92</v>
      </c>
      <c r="N5675" s="17">
        <v>50</v>
      </c>
      <c r="O5675" s="18">
        <v>475</v>
      </c>
      <c r="P5675" s="18">
        <v>515</v>
      </c>
      <c r="Q5675" t="s" s="16">
        <f>HYPERLINK("http://secrets.rutgers.edu:8080/data/asl-ftp/asllvd/demos/verify_start_end_handshape_annotations//test_auto_move//signs_mov/16012.mov","MOV")</f>
        <v>21</v>
      </c>
      <c r="R5675" t="s" s="16">
        <f>HYPERLINK("http://secrets.rutgers.edu:8080/data/asl-ftp/asllvd/demos/verify_start_end_handshape_annotations//test_auto_move//signs_mov_separ_signers/Tyler_16012.mov","MOV")</f>
        <v>21</v>
      </c>
    </row>
    <row r="5676" s="2" customFormat="1" ht="13.5" customHeight="1">
      <c r="B5676" t="s" s="8">
        <v>1938</v>
      </c>
      <c r="C5676" t="s" s="9">
        <v>14</v>
      </c>
      <c r="D5676" t="s" s="8">
        <v>14</v>
      </c>
      <c r="E5676" t="s" s="9">
        <v>14</v>
      </c>
      <c r="F5676" t="s" s="10">
        <v>14</v>
      </c>
      <c r="G5676" t="s" s="11">
        <v>14</v>
      </c>
      <c r="H5676" t="s" s="10">
        <v>14</v>
      </c>
      <c r="I5676" t="s" s="11">
        <v>14</v>
      </c>
      <c r="J5676" t="s" s="11">
        <v>14</v>
      </c>
      <c r="K5676" t="s" s="12">
        <v>14</v>
      </c>
      <c r="L5676" t="s" s="12">
        <v>14</v>
      </c>
      <c r="M5676" t="s" s="10">
        <v>14</v>
      </c>
      <c r="N5676" t="s" s="11">
        <v>14</v>
      </c>
      <c r="O5676" t="s" s="8">
        <v>14</v>
      </c>
      <c r="P5676" t="s" s="8">
        <v>14</v>
      </c>
      <c r="Q5676" t="s" s="12">
        <v>14</v>
      </c>
      <c r="R5676" t="s" s="12">
        <v>14</v>
      </c>
    </row>
    <row r="5677" s="2" customFormat="1" ht="13.5" customHeight="1">
      <c r="B5677" s="13"/>
      <c r="C5677" t="s" s="9">
        <v>16</v>
      </c>
      <c r="D5677" t="s" s="8">
        <v>1938</v>
      </c>
      <c r="E5677" t="s" s="9">
        <v>1938</v>
      </c>
      <c r="F5677" t="s" s="10">
        <v>240</v>
      </c>
      <c r="G5677" s="14"/>
      <c r="H5677" t="s" s="10">
        <v>240</v>
      </c>
      <c r="I5677" s="14"/>
      <c r="J5677" t="s" s="11">
        <v>20</v>
      </c>
      <c r="K5677" t="s" s="16">
        <f>HYPERLINK("http://csr.bu.edu/ftp/asl/asllvd/demos/verify_start_end_handshape_annotations//test_auto_move//signs_mov/16080.mov","MOV")</f>
        <v>21</v>
      </c>
      <c r="L5677" t="s" s="16">
        <f>HYPERLINK("http://csr.bu.edu/ftp/asl/asllvd/demos/verify_start_end_handshape_annotations//test_auto_move//signs_mov_separ_signers/Liz_16080.mov","MOV")</f>
        <v>21</v>
      </c>
      <c r="M5677" t="s" s="10">
        <v>34</v>
      </c>
      <c r="N5677" s="17">
        <v>22</v>
      </c>
      <c r="O5677" s="18">
        <v>826</v>
      </c>
      <c r="P5677" s="18">
        <v>881</v>
      </c>
      <c r="Q5677" t="s" s="16">
        <f>HYPERLINK("http://secrets.rutgers.edu:8080/data/asl-ftp/asllvd/demos/verify_start_end_handshape_annotations//test_auto_move//signs_mov/16080.mov","MOV")</f>
        <v>21</v>
      </c>
      <c r="R5677" t="s" s="16">
        <f>HYPERLINK("http://secrets.rutgers.edu:8080/data/asl-ftp/asllvd/demos/verify_start_end_handshape_annotations//test_auto_move//signs_mov_separ_signers/Liz_16080.mov","MOV")</f>
        <v>21</v>
      </c>
    </row>
    <row r="5678" s="2" customFormat="1" ht="13.5" customHeight="1">
      <c r="B5678" s="13"/>
      <c r="C5678" t="s" s="9">
        <v>30</v>
      </c>
      <c r="D5678" t="s" s="8">
        <v>1938</v>
      </c>
      <c r="E5678" t="s" s="9">
        <v>1938</v>
      </c>
      <c r="F5678" t="s" s="10">
        <v>240</v>
      </c>
      <c r="G5678" s="14"/>
      <c r="H5678" t="s" s="10">
        <v>240</v>
      </c>
      <c r="I5678" s="14"/>
      <c r="J5678" t="s" s="11">
        <v>20</v>
      </c>
      <c r="K5678" s="15"/>
      <c r="L5678" t="s" s="16">
        <f>HYPERLINK("http://csr.bu.edu/ftp/asl/asllvd/demos/verify_start_end_handshape_annotations//test_auto_move//signs_mov_separ_signers/Brady_16080.mov","MOV")</f>
        <v>21</v>
      </c>
      <c r="M5678" t="s" s="10">
        <v>39</v>
      </c>
      <c r="N5678" s="17">
        <v>34</v>
      </c>
      <c r="O5678" s="18">
        <v>1466</v>
      </c>
      <c r="P5678" s="18">
        <v>1484</v>
      </c>
      <c r="Q5678" s="15"/>
      <c r="R5678" t="s" s="16">
        <f>HYPERLINK("http://secrets.rutgers.edu:8080/data/asl-ftp/asllvd/demos/verify_start_end_handshape_annotations//test_auto_move//signs_mov_separ_signers/Brady_16080.mov","MOV")</f>
        <v>21</v>
      </c>
    </row>
    <row r="5679" s="2" customFormat="1" ht="13.5" customHeight="1">
      <c r="B5679" t="s" s="8">
        <v>1939</v>
      </c>
      <c r="C5679" t="s" s="9">
        <v>14</v>
      </c>
      <c r="D5679" t="s" s="8">
        <v>14</v>
      </c>
      <c r="E5679" t="s" s="9">
        <v>14</v>
      </c>
      <c r="F5679" t="s" s="10">
        <v>14</v>
      </c>
      <c r="G5679" t="s" s="11">
        <v>14</v>
      </c>
      <c r="H5679" t="s" s="10">
        <v>14</v>
      </c>
      <c r="I5679" t="s" s="11">
        <v>14</v>
      </c>
      <c r="J5679" t="s" s="11">
        <v>14</v>
      </c>
      <c r="K5679" t="s" s="12">
        <v>14</v>
      </c>
      <c r="L5679" t="s" s="12">
        <v>14</v>
      </c>
      <c r="M5679" t="s" s="10">
        <v>14</v>
      </c>
      <c r="N5679" t="s" s="11">
        <v>14</v>
      </c>
      <c r="O5679" t="s" s="8">
        <v>14</v>
      </c>
      <c r="P5679" t="s" s="8">
        <v>14</v>
      </c>
      <c r="Q5679" t="s" s="12">
        <v>14</v>
      </c>
      <c r="R5679" t="s" s="12">
        <v>14</v>
      </c>
    </row>
    <row r="5680" s="2" customFormat="1" ht="13.5" customHeight="1">
      <c r="B5680" s="13"/>
      <c r="C5680" t="s" s="9">
        <v>16</v>
      </c>
      <c r="D5680" t="s" s="8">
        <v>1939</v>
      </c>
      <c r="E5680" t="s" s="9">
        <v>1940</v>
      </c>
      <c r="F5680" t="s" s="10">
        <v>282</v>
      </c>
      <c r="G5680" t="s" s="11">
        <v>282</v>
      </c>
      <c r="H5680" t="s" s="10">
        <v>282</v>
      </c>
      <c r="I5680" t="s" s="11">
        <v>282</v>
      </c>
      <c r="J5680" t="s" s="11">
        <v>20</v>
      </c>
      <c r="K5680" s="15"/>
      <c r="L5680" t="s" s="16">
        <f>HYPERLINK("http://csr.bu.edu/ftp/asl/asllvd/demos/verify_start_end_handshape_annotations//test_auto_move//signs_mov_separ_signers/Liz_16110.mov","MOV")</f>
        <v>21</v>
      </c>
      <c r="M5680" t="s" s="10">
        <v>84</v>
      </c>
      <c r="N5680" s="17">
        <v>38</v>
      </c>
      <c r="O5680" s="18">
        <v>1540</v>
      </c>
      <c r="P5680" s="18">
        <v>1595</v>
      </c>
      <c r="Q5680" s="15"/>
      <c r="R5680" t="s" s="16">
        <f>HYPERLINK("http://secrets.rutgers.edu:8080/data/asl-ftp/asllvd/demos/verify_start_end_handshape_annotations//test_auto_move//signs_mov_separ_signers/Liz_16110.mov","MOV")</f>
        <v>21</v>
      </c>
    </row>
    <row r="5681" s="2" customFormat="1" ht="13.5" customHeight="1">
      <c r="B5681" s="13"/>
      <c r="C5681" t="s" s="9">
        <v>23</v>
      </c>
      <c r="D5681" t="s" s="8">
        <v>1939</v>
      </c>
      <c r="E5681" t="s" s="9">
        <v>1940</v>
      </c>
      <c r="F5681" t="s" s="10">
        <v>282</v>
      </c>
      <c r="G5681" t="s" s="11">
        <v>282</v>
      </c>
      <c r="H5681" t="s" s="10">
        <v>282</v>
      </c>
      <c r="I5681" t="s" s="11">
        <v>282</v>
      </c>
      <c r="J5681" t="s" s="11">
        <v>20</v>
      </c>
      <c r="K5681" t="s" s="16">
        <f>HYPERLINK("http://csr.bu.edu/ftp/asl/asllvd/demos/verify_start_end_handshape_annotations//test_auto_move//signs_mov/16110.mov","MOV")</f>
        <v>21</v>
      </c>
      <c r="L5681" t="s" s="16">
        <f>HYPERLINK("http://csr.bu.edu/ftp/asl/asllvd/demos/verify_start_end_handshape_annotations//test_auto_move//signs_mov_separ_signers/Tyler_16110.mov","MOV")</f>
        <v>21</v>
      </c>
      <c r="M5681" t="s" s="10">
        <v>92</v>
      </c>
      <c r="N5681" s="17">
        <v>18</v>
      </c>
      <c r="O5681" s="18">
        <v>2567</v>
      </c>
      <c r="P5681" s="18">
        <v>2596</v>
      </c>
      <c r="Q5681" t="s" s="16">
        <f>HYPERLINK("http://secrets.rutgers.edu:8080/data/asl-ftp/asllvd/demos/verify_start_end_handshape_annotations//test_auto_move//signs_mov/16110.mov","MOV")</f>
        <v>21</v>
      </c>
      <c r="R5681" t="s" s="16">
        <f>HYPERLINK("http://secrets.rutgers.edu:8080/data/asl-ftp/asllvd/demos/verify_start_end_handshape_annotations//test_auto_move//signs_mov_separ_signers/Tyler_16110.mov","MOV")</f>
        <v>21</v>
      </c>
    </row>
    <row r="5682" s="2" customFormat="1" ht="13.5" customHeight="1">
      <c r="B5682" s="13"/>
      <c r="C5682" t="s" s="9">
        <v>30</v>
      </c>
      <c r="D5682" t="s" s="8">
        <v>1939</v>
      </c>
      <c r="E5682" t="s" s="9">
        <v>1940</v>
      </c>
      <c r="F5682" t="s" s="10">
        <v>282</v>
      </c>
      <c r="G5682" t="s" s="11">
        <v>282</v>
      </c>
      <c r="H5682" t="s" s="10">
        <v>282</v>
      </c>
      <c r="I5682" t="s" s="11">
        <v>282</v>
      </c>
      <c r="J5682" t="s" s="11">
        <v>20</v>
      </c>
      <c r="K5682" s="15"/>
      <c r="L5682" t="s" s="16">
        <f>HYPERLINK("http://csr.bu.edu/ftp/asl/asllvd/demos/verify_start_end_handshape_annotations//test_auto_move//signs_mov_separ_signers/Brady_16110.mov","MOV")</f>
        <v>21</v>
      </c>
      <c r="M5682" t="s" s="10">
        <v>39</v>
      </c>
      <c r="N5682" s="17">
        <v>16</v>
      </c>
      <c r="O5682" s="18">
        <v>3296</v>
      </c>
      <c r="P5682" s="18">
        <v>3346</v>
      </c>
      <c r="Q5682" s="15"/>
      <c r="R5682" t="s" s="16">
        <f>HYPERLINK("http://secrets.rutgers.edu:8080/data/asl-ftp/asllvd/demos/verify_start_end_handshape_annotations//test_auto_move//signs_mov_separ_signers/Brady_16110.mov","MOV")</f>
        <v>21</v>
      </c>
    </row>
    <row r="5683" s="2" customFormat="1" ht="13.5" customHeight="1">
      <c r="B5683" t="s" s="8">
        <v>1941</v>
      </c>
      <c r="C5683" t="s" s="9">
        <v>14</v>
      </c>
      <c r="D5683" t="s" s="8">
        <v>14</v>
      </c>
      <c r="E5683" t="s" s="9">
        <v>14</v>
      </c>
      <c r="F5683" t="s" s="10">
        <v>14</v>
      </c>
      <c r="G5683" t="s" s="11">
        <v>14</v>
      </c>
      <c r="H5683" t="s" s="10">
        <v>14</v>
      </c>
      <c r="I5683" t="s" s="11">
        <v>14</v>
      </c>
      <c r="J5683" t="s" s="11">
        <v>14</v>
      </c>
      <c r="K5683" t="s" s="12">
        <v>14</v>
      </c>
      <c r="L5683" t="s" s="12">
        <v>14</v>
      </c>
      <c r="M5683" t="s" s="10">
        <v>14</v>
      </c>
      <c r="N5683" t="s" s="11">
        <v>14</v>
      </c>
      <c r="O5683" t="s" s="8">
        <v>14</v>
      </c>
      <c r="P5683" t="s" s="8">
        <v>14</v>
      </c>
      <c r="Q5683" t="s" s="12">
        <v>14</v>
      </c>
      <c r="R5683" t="s" s="12">
        <v>14</v>
      </c>
    </row>
    <row r="5684" s="2" customFormat="1" ht="13.5" customHeight="1">
      <c r="B5684" s="13"/>
      <c r="C5684" t="s" s="9">
        <v>16</v>
      </c>
      <c r="D5684" t="s" s="8">
        <v>1941</v>
      </c>
      <c r="E5684" t="s" s="9">
        <v>1942</v>
      </c>
      <c r="F5684" t="s" s="10">
        <v>287</v>
      </c>
      <c r="G5684" s="14"/>
      <c r="H5684" t="s" s="10">
        <v>287</v>
      </c>
      <c r="I5684" s="14"/>
      <c r="J5684" t="s" s="11">
        <v>20</v>
      </c>
      <c r="K5684" s="15"/>
      <c r="L5684" t="s" s="16">
        <f>HYPERLINK("http://csr.bu.edu/ftp/asl/asllvd/demos/verify_start_end_handshape_annotations//test_auto_move//signs_mov_separ_signers/Liz_1238.mov","MOV")</f>
        <v>21</v>
      </c>
      <c r="M5684" t="s" s="10">
        <v>34</v>
      </c>
      <c r="N5684" s="17">
        <v>29</v>
      </c>
      <c r="O5684" s="18">
        <v>2645</v>
      </c>
      <c r="P5684" s="18">
        <v>2682</v>
      </c>
      <c r="Q5684" s="15"/>
      <c r="R5684" t="s" s="16">
        <f>HYPERLINK("http://secrets.rutgers.edu:8080/data/asl-ftp/asllvd/demos/verify_start_end_handshape_annotations//test_auto_move//signs_mov_separ_signers/Liz_1238.mov","MOV")</f>
        <v>21</v>
      </c>
    </row>
    <row r="5685" s="2" customFormat="1" ht="13.5" customHeight="1">
      <c r="B5685" s="13"/>
      <c r="C5685" t="s" s="9">
        <v>23</v>
      </c>
      <c r="D5685" t="s" s="8">
        <v>1941</v>
      </c>
      <c r="E5685" t="s" s="9">
        <v>1943</v>
      </c>
      <c r="F5685" t="s" s="10">
        <v>287</v>
      </c>
      <c r="G5685" s="14"/>
      <c r="H5685" t="s" s="10">
        <v>287</v>
      </c>
      <c r="I5685" s="14"/>
      <c r="J5685" t="s" s="11">
        <v>20</v>
      </c>
      <c r="K5685" t="s" s="16">
        <f>HYPERLINK("http://csr.bu.edu/ftp/asl/asllvd/demos/verify_start_end_handshape_annotations//test_auto_move//signs_mov/1238.mov","MOV")</f>
        <v>21</v>
      </c>
      <c r="L5685" t="s" s="16">
        <f>HYPERLINK("http://csr.bu.edu/ftp/asl/asllvd/demos/verify_start_end_handshape_annotations//test_auto_move//signs_mov_separ_signers/Tyler_1238.mov","MOV")</f>
        <v>21</v>
      </c>
      <c r="M5685" t="s" s="10">
        <v>37</v>
      </c>
      <c r="N5685" s="17">
        <v>4</v>
      </c>
      <c r="O5685" s="18">
        <v>2367</v>
      </c>
      <c r="P5685" s="18">
        <v>2400</v>
      </c>
      <c r="Q5685" t="s" s="16">
        <f>HYPERLINK("http://secrets.rutgers.edu:8080/data/asl-ftp/asllvd/demos/verify_start_end_handshape_annotations//test_auto_move//signs_mov/1238.mov","MOV")</f>
        <v>21</v>
      </c>
      <c r="R5685" t="s" s="16">
        <f>HYPERLINK("http://secrets.rutgers.edu:8080/data/asl-ftp/asllvd/demos/verify_start_end_handshape_annotations//test_auto_move//signs_mov_separ_signers/Tyler_1238.mov","MOV")</f>
        <v>21</v>
      </c>
    </row>
    <row r="5686" s="2" customFormat="1" ht="13.5" customHeight="1">
      <c r="B5686" s="13"/>
      <c r="C5686" t="s" s="9">
        <v>27</v>
      </c>
      <c r="D5686" t="s" s="8">
        <v>1941</v>
      </c>
      <c r="E5686" t="s" s="9">
        <v>1942</v>
      </c>
      <c r="F5686" t="s" s="10">
        <v>287</v>
      </c>
      <c r="G5686" s="14"/>
      <c r="H5686" t="s" s="10">
        <v>287</v>
      </c>
      <c r="I5686" s="14"/>
      <c r="J5686" t="s" s="11">
        <v>20</v>
      </c>
      <c r="K5686" s="15"/>
      <c r="L5686" t="s" s="16">
        <f>HYPERLINK("http://csr.bu.edu/ftp/asl/asllvd/demos/verify_start_end_handshape_annotations//test_auto_move//signs_mov_separ_signers/Naomi_1238.mov","MOV")</f>
        <v>21</v>
      </c>
      <c r="M5686" t="s" s="10">
        <v>38</v>
      </c>
      <c r="N5686" s="17">
        <v>24</v>
      </c>
      <c r="O5686" s="18">
        <v>5975</v>
      </c>
      <c r="P5686" s="18">
        <v>6015</v>
      </c>
      <c r="Q5686" s="15"/>
      <c r="R5686" t="s" s="16">
        <f>HYPERLINK("http://secrets.rutgers.edu:8080/data/asl-ftp/asllvd/demos/verify_start_end_handshape_annotations//test_auto_move//signs_mov_separ_signers/Naomi_1238.mov","MOV")</f>
        <v>21</v>
      </c>
    </row>
    <row r="5687" s="2" customFormat="1" ht="13.5" customHeight="1">
      <c r="B5687" s="13"/>
      <c r="C5687" t="s" s="9">
        <v>30</v>
      </c>
      <c r="D5687" t="s" s="8">
        <v>1941</v>
      </c>
      <c r="E5687" t="s" s="9">
        <v>1943</v>
      </c>
      <c r="F5687" t="s" s="10">
        <v>287</v>
      </c>
      <c r="G5687" s="14"/>
      <c r="H5687" t="s" s="10">
        <v>287</v>
      </c>
      <c r="I5687" s="14"/>
      <c r="J5687" t="s" s="11">
        <v>20</v>
      </c>
      <c r="K5687" s="15"/>
      <c r="L5687" t="s" s="16">
        <f>HYPERLINK("http://csr.bu.edu/ftp/asl/asllvd/demos/verify_start_end_handshape_annotations//test_auto_move//signs_mov_separ_signers/Brady_1238.mov","MOV")</f>
        <v>21</v>
      </c>
      <c r="M5687" t="s" s="10">
        <v>39</v>
      </c>
      <c r="N5687" s="17">
        <v>39</v>
      </c>
      <c r="O5687" s="18">
        <v>1015</v>
      </c>
      <c r="P5687" s="18">
        <v>1043</v>
      </c>
      <c r="Q5687" s="15"/>
      <c r="R5687" t="s" s="16">
        <f>HYPERLINK("http://secrets.rutgers.edu:8080/data/asl-ftp/asllvd/demos/verify_start_end_handshape_annotations//test_auto_move//signs_mov_separ_signers/Brady_1238.mov","MOV")</f>
        <v>21</v>
      </c>
    </row>
    <row r="5688" s="2" customFormat="1" ht="13.5" customHeight="1">
      <c r="B5688" t="s" s="8">
        <v>1944</v>
      </c>
      <c r="C5688" t="s" s="9">
        <v>14</v>
      </c>
      <c r="D5688" t="s" s="8">
        <v>14</v>
      </c>
      <c r="E5688" t="s" s="9">
        <v>14</v>
      </c>
      <c r="F5688" t="s" s="10">
        <v>14</v>
      </c>
      <c r="G5688" t="s" s="11">
        <v>14</v>
      </c>
      <c r="H5688" t="s" s="10">
        <v>14</v>
      </c>
      <c r="I5688" t="s" s="11">
        <v>14</v>
      </c>
      <c r="J5688" t="s" s="11">
        <v>14</v>
      </c>
      <c r="K5688" t="s" s="12">
        <v>14</v>
      </c>
      <c r="L5688" t="s" s="12">
        <v>14</v>
      </c>
      <c r="M5688" t="s" s="10">
        <v>14</v>
      </c>
      <c r="N5688" t="s" s="11">
        <v>14</v>
      </c>
      <c r="O5688" t="s" s="8">
        <v>14</v>
      </c>
      <c r="P5688" t="s" s="8">
        <v>14</v>
      </c>
      <c r="Q5688" t="s" s="12">
        <v>14</v>
      </c>
      <c r="R5688" t="s" s="12">
        <v>14</v>
      </c>
    </row>
    <row r="5689" s="2" customFormat="1" ht="13.5" customHeight="1">
      <c r="B5689" s="13"/>
      <c r="C5689" t="s" s="9">
        <v>16</v>
      </c>
      <c r="D5689" t="s" s="8">
        <v>1944</v>
      </c>
      <c r="E5689" t="s" s="9">
        <v>1944</v>
      </c>
      <c r="F5689" t="s" s="10">
        <v>282</v>
      </c>
      <c r="G5689" t="s" s="11">
        <v>282</v>
      </c>
      <c r="H5689" t="s" s="10">
        <v>282</v>
      </c>
      <c r="I5689" t="s" s="11">
        <v>282</v>
      </c>
      <c r="J5689" t="s" s="11">
        <v>20</v>
      </c>
      <c r="K5689" s="15"/>
      <c r="L5689" t="s" s="16">
        <f>HYPERLINK("http://csr.bu.edu/ftp/asl/asllvd/demos/verify_start_end_handshape_annotations//test_auto_move//signs_mov_separ_signers/Liz_1239.mov","MOV")</f>
        <v>21</v>
      </c>
      <c r="M5689" t="s" s="10">
        <v>34</v>
      </c>
      <c r="N5689" s="17">
        <v>29</v>
      </c>
      <c r="O5689" s="18">
        <v>2891</v>
      </c>
      <c r="P5689" s="18">
        <v>2940</v>
      </c>
      <c r="Q5689" s="15"/>
      <c r="R5689" t="s" s="16">
        <f>HYPERLINK("http://secrets.rutgers.edu:8080/data/asl-ftp/asllvd/demos/verify_start_end_handshape_annotations//test_auto_move//signs_mov_separ_signers/Liz_1239.mov","MOV")</f>
        <v>21</v>
      </c>
    </row>
    <row r="5690" s="2" customFormat="1" ht="13.5" customHeight="1">
      <c r="B5690" s="13"/>
      <c r="C5690" t="s" s="9">
        <v>23</v>
      </c>
      <c r="D5690" t="s" s="8">
        <v>1944</v>
      </c>
      <c r="E5690" t="s" s="9">
        <v>1944</v>
      </c>
      <c r="F5690" t="s" s="10">
        <v>282</v>
      </c>
      <c r="G5690" t="s" s="11">
        <v>282</v>
      </c>
      <c r="H5690" t="s" s="10">
        <v>282</v>
      </c>
      <c r="I5690" t="s" s="11">
        <v>282</v>
      </c>
      <c r="J5690" t="s" s="11">
        <v>20</v>
      </c>
      <c r="K5690" t="s" s="16">
        <f>HYPERLINK("http://csr.bu.edu/ftp/asl/asllvd/demos/verify_start_end_handshape_annotations//test_auto_move//signs_mov/1239.mov","MOV")</f>
        <v>21</v>
      </c>
      <c r="L5690" t="s" s="16">
        <f>HYPERLINK("http://csr.bu.edu/ftp/asl/asllvd/demos/verify_start_end_handshape_annotations//test_auto_move//signs_mov_separ_signers/Tyler_1239.mov","MOV")</f>
        <v>21</v>
      </c>
      <c r="M5690" t="s" s="10">
        <v>37</v>
      </c>
      <c r="N5690" s="17">
        <v>4</v>
      </c>
      <c r="O5690" s="18">
        <v>2695</v>
      </c>
      <c r="P5690" s="18">
        <v>2730</v>
      </c>
      <c r="Q5690" t="s" s="16">
        <f>HYPERLINK("http://secrets.rutgers.edu:8080/data/asl-ftp/asllvd/demos/verify_start_end_handshape_annotations//test_auto_move//signs_mov/1239.mov","MOV")</f>
        <v>21</v>
      </c>
      <c r="R5690" t="s" s="16">
        <f>HYPERLINK("http://secrets.rutgers.edu:8080/data/asl-ftp/asllvd/demos/verify_start_end_handshape_annotations//test_auto_move//signs_mov_separ_signers/Tyler_1239.mov","MOV")</f>
        <v>21</v>
      </c>
    </row>
    <row r="5691" s="2" customFormat="1" ht="13.5" customHeight="1">
      <c r="B5691" s="13"/>
      <c r="C5691" t="s" s="9">
        <v>27</v>
      </c>
      <c r="D5691" t="s" s="8">
        <v>1944</v>
      </c>
      <c r="E5691" t="s" s="9">
        <v>1944</v>
      </c>
      <c r="F5691" t="s" s="10">
        <v>282</v>
      </c>
      <c r="G5691" t="s" s="11">
        <v>282</v>
      </c>
      <c r="H5691" t="s" s="10">
        <v>282</v>
      </c>
      <c r="I5691" t="s" s="11">
        <v>282</v>
      </c>
      <c r="J5691" t="s" s="11">
        <v>20</v>
      </c>
      <c r="K5691" s="15"/>
      <c r="L5691" t="s" s="16">
        <f>HYPERLINK("http://csr.bu.edu/ftp/asl/asllvd/demos/verify_start_end_handshape_annotations//test_auto_move//signs_mov_separ_signers/Naomi_1239.mov","MOV")</f>
        <v>21</v>
      </c>
      <c r="M5691" t="s" s="10">
        <v>38</v>
      </c>
      <c r="N5691" s="17">
        <v>24</v>
      </c>
      <c r="O5691" s="18">
        <v>6263</v>
      </c>
      <c r="P5691" s="18">
        <v>6305</v>
      </c>
      <c r="Q5691" s="15"/>
      <c r="R5691" t="s" s="16">
        <f>HYPERLINK("http://secrets.rutgers.edu:8080/data/asl-ftp/asllvd/demos/verify_start_end_handshape_annotations//test_auto_move//signs_mov_separ_signers/Naomi_1239.mov","MOV")</f>
        <v>21</v>
      </c>
    </row>
    <row r="5692" s="2" customFormat="1" ht="13.5" customHeight="1">
      <c r="B5692" s="13"/>
      <c r="C5692" t="s" s="9">
        <v>30</v>
      </c>
      <c r="D5692" t="s" s="8">
        <v>1944</v>
      </c>
      <c r="E5692" t="s" s="9">
        <v>1944</v>
      </c>
      <c r="F5692" t="s" s="10">
        <v>282</v>
      </c>
      <c r="G5692" t="s" s="11">
        <v>282</v>
      </c>
      <c r="H5692" t="s" s="10">
        <v>282</v>
      </c>
      <c r="I5692" t="s" s="11">
        <v>282</v>
      </c>
      <c r="J5692" t="s" s="11">
        <v>20</v>
      </c>
      <c r="K5692" s="15"/>
      <c r="L5692" t="s" s="16">
        <f>HYPERLINK("http://csr.bu.edu/ftp/asl/asllvd/demos/verify_start_end_handshape_annotations//test_auto_move//signs_mov_separ_signers/Brady_1239.mov","MOV")</f>
        <v>21</v>
      </c>
      <c r="M5692" t="s" s="10">
        <v>39</v>
      </c>
      <c r="N5692" s="17">
        <v>39</v>
      </c>
      <c r="O5692" s="18">
        <v>1480</v>
      </c>
      <c r="P5692" s="18">
        <v>1508</v>
      </c>
      <c r="Q5692" s="15"/>
      <c r="R5692" t="s" s="16">
        <f>HYPERLINK("http://secrets.rutgers.edu:8080/data/asl-ftp/asllvd/demos/verify_start_end_handshape_annotations//test_auto_move//signs_mov_separ_signers/Brady_1239.mov","MOV")</f>
        <v>21</v>
      </c>
    </row>
    <row r="5693" s="2" customFormat="1" ht="13.5" customHeight="1">
      <c r="B5693" t="s" s="8">
        <v>1945</v>
      </c>
      <c r="C5693" t="s" s="9">
        <v>14</v>
      </c>
      <c r="D5693" t="s" s="8">
        <v>14</v>
      </c>
      <c r="E5693" t="s" s="9">
        <v>14</v>
      </c>
      <c r="F5693" t="s" s="10">
        <v>14</v>
      </c>
      <c r="G5693" t="s" s="11">
        <v>14</v>
      </c>
      <c r="H5693" t="s" s="10">
        <v>14</v>
      </c>
      <c r="I5693" t="s" s="11">
        <v>14</v>
      </c>
      <c r="J5693" t="s" s="11">
        <v>14</v>
      </c>
      <c r="K5693" t="s" s="12">
        <v>14</v>
      </c>
      <c r="L5693" t="s" s="12">
        <v>14</v>
      </c>
      <c r="M5693" t="s" s="10">
        <v>14</v>
      </c>
      <c r="N5693" t="s" s="11">
        <v>14</v>
      </c>
      <c r="O5693" t="s" s="8">
        <v>14</v>
      </c>
      <c r="P5693" t="s" s="8">
        <v>14</v>
      </c>
      <c r="Q5693" t="s" s="12">
        <v>14</v>
      </c>
      <c r="R5693" t="s" s="12">
        <v>14</v>
      </c>
    </row>
    <row r="5694" s="2" customFormat="1" ht="13.5" customHeight="1">
      <c r="B5694" s="13"/>
      <c r="C5694" t="s" s="9">
        <v>16</v>
      </c>
      <c r="D5694" t="s" s="8">
        <v>1945</v>
      </c>
      <c r="E5694" t="s" s="9">
        <v>1946</v>
      </c>
      <c r="F5694" t="s" s="10">
        <v>282</v>
      </c>
      <c r="G5694" t="s" s="11">
        <v>282</v>
      </c>
      <c r="H5694" t="s" s="10">
        <v>282</v>
      </c>
      <c r="I5694" t="s" s="11">
        <v>282</v>
      </c>
      <c r="J5694" t="s" s="11">
        <v>20</v>
      </c>
      <c r="K5694" s="15"/>
      <c r="L5694" t="s" s="16">
        <f>HYPERLINK("http://csr.bu.edu/ftp/asl/asllvd/demos/verify_start_end_handshape_annotations//test_auto_move//signs_mov_separ_signers/Liz_15727.mov","MOV")</f>
        <v>21</v>
      </c>
      <c r="M5694" t="s" s="10">
        <v>34</v>
      </c>
      <c r="N5694" s="17">
        <v>25</v>
      </c>
      <c r="O5694" s="18">
        <v>3245</v>
      </c>
      <c r="P5694" s="18">
        <v>3307</v>
      </c>
      <c r="Q5694" s="15"/>
      <c r="R5694" t="s" s="16">
        <f>HYPERLINK("http://secrets.rutgers.edu:8080/data/asl-ftp/asllvd/demos/verify_start_end_handshape_annotations//test_auto_move//signs_mov_separ_signers/Liz_15727.mov","MOV")</f>
        <v>21</v>
      </c>
    </row>
    <row r="5695" s="2" customFormat="1" ht="13.5" customHeight="1">
      <c r="B5695" s="13"/>
      <c r="C5695" t="s" s="9">
        <v>27</v>
      </c>
      <c r="D5695" t="s" s="8">
        <v>1945</v>
      </c>
      <c r="E5695" t="s" s="9">
        <v>1946</v>
      </c>
      <c r="F5695" t="s" s="10">
        <v>282</v>
      </c>
      <c r="G5695" t="s" s="11">
        <v>282</v>
      </c>
      <c r="H5695" t="s" s="10">
        <v>282</v>
      </c>
      <c r="I5695" t="s" s="11">
        <v>282</v>
      </c>
      <c r="J5695" t="s" s="11">
        <v>20</v>
      </c>
      <c r="K5695" t="s" s="16">
        <f>HYPERLINK("http://csr.bu.edu/ftp/asl/asllvd/demos/verify_start_end_handshape_annotations//test_auto_move//signs_mov/15727.mov","MOV")</f>
        <v>21</v>
      </c>
      <c r="L5695" t="s" s="16">
        <f>HYPERLINK("http://csr.bu.edu/ftp/asl/asllvd/demos/verify_start_end_handshape_annotations//test_auto_move//signs_mov_separ_signers/Naomi_15727.mov","MOV")</f>
        <v>21</v>
      </c>
      <c r="M5695" t="s" s="10">
        <v>38</v>
      </c>
      <c r="N5695" s="17">
        <v>21</v>
      </c>
      <c r="O5695" s="18">
        <v>5020</v>
      </c>
      <c r="P5695" s="18">
        <v>5050</v>
      </c>
      <c r="Q5695" t="s" s="16">
        <f>HYPERLINK("http://secrets.rutgers.edu:8080/data/asl-ftp/asllvd/demos/verify_start_end_handshape_annotations//test_auto_move//signs_mov/15727.mov","MOV")</f>
        <v>21</v>
      </c>
      <c r="R5695" t="s" s="16">
        <f>HYPERLINK("http://secrets.rutgers.edu:8080/data/asl-ftp/asllvd/demos/verify_start_end_handshape_annotations//test_auto_move//signs_mov_separ_signers/Naomi_15727.mov","MOV")</f>
        <v>21</v>
      </c>
    </row>
    <row r="5696" s="2" customFormat="1" ht="13.5" customHeight="1">
      <c r="B5696" s="13"/>
      <c r="C5696" t="s" s="9">
        <v>30</v>
      </c>
      <c r="D5696" t="s" s="8">
        <v>1945</v>
      </c>
      <c r="E5696" t="s" s="9">
        <v>1947</v>
      </c>
      <c r="F5696" t="s" s="10">
        <v>282</v>
      </c>
      <c r="G5696" t="s" s="11">
        <v>282</v>
      </c>
      <c r="H5696" t="s" s="10">
        <v>282</v>
      </c>
      <c r="I5696" t="s" s="11">
        <v>282</v>
      </c>
      <c r="J5696" t="s" s="11">
        <v>20</v>
      </c>
      <c r="K5696" s="15"/>
      <c r="L5696" t="s" s="16">
        <f>HYPERLINK("http://csr.bu.edu/ftp/asl/asllvd/demos/verify_start_end_handshape_annotations//test_auto_move//signs_mov_separ_signers/Brady_15727.mov","MOV")</f>
        <v>21</v>
      </c>
      <c r="M5696" t="s" s="10">
        <v>39</v>
      </c>
      <c r="N5696" s="17">
        <v>37</v>
      </c>
      <c r="O5696" s="18">
        <v>5855</v>
      </c>
      <c r="P5696" s="18">
        <v>5894</v>
      </c>
      <c r="Q5696" s="15"/>
      <c r="R5696" t="s" s="16">
        <f>HYPERLINK("http://secrets.rutgers.edu:8080/data/asl-ftp/asllvd/demos/verify_start_end_handshape_annotations//test_auto_move//signs_mov_separ_signers/Brady_15727.mov","MOV")</f>
        <v>21</v>
      </c>
    </row>
    <row r="5697" s="2" customFormat="1" ht="13.5" customHeight="1">
      <c r="B5697" t="s" s="8">
        <v>1948</v>
      </c>
      <c r="C5697" t="s" s="9">
        <v>14</v>
      </c>
      <c r="D5697" t="s" s="8">
        <v>14</v>
      </c>
      <c r="E5697" t="s" s="9">
        <v>14</v>
      </c>
      <c r="F5697" t="s" s="10">
        <v>14</v>
      </c>
      <c r="G5697" t="s" s="11">
        <v>14</v>
      </c>
      <c r="H5697" t="s" s="10">
        <v>14</v>
      </c>
      <c r="I5697" t="s" s="11">
        <v>14</v>
      </c>
      <c r="J5697" t="s" s="11">
        <v>14</v>
      </c>
      <c r="K5697" t="s" s="12">
        <v>14</v>
      </c>
      <c r="L5697" t="s" s="12">
        <v>14</v>
      </c>
      <c r="M5697" t="s" s="10">
        <v>14</v>
      </c>
      <c r="N5697" t="s" s="11">
        <v>14</v>
      </c>
      <c r="O5697" t="s" s="8">
        <v>14</v>
      </c>
      <c r="P5697" t="s" s="8">
        <v>14</v>
      </c>
      <c r="Q5697" t="s" s="12">
        <v>14</v>
      </c>
      <c r="R5697" t="s" s="12">
        <v>14</v>
      </c>
    </row>
    <row r="5698" s="2" customFormat="1" ht="13.5" customHeight="1">
      <c r="B5698" s="13"/>
      <c r="C5698" t="s" s="9">
        <v>16</v>
      </c>
      <c r="D5698" t="s" s="8">
        <v>1948</v>
      </c>
      <c r="E5698" t="s" s="9">
        <v>1949</v>
      </c>
      <c r="F5698" t="s" s="10">
        <v>136</v>
      </c>
      <c r="G5698" t="s" s="11">
        <v>73</v>
      </c>
      <c r="H5698" t="s" s="10">
        <v>136</v>
      </c>
      <c r="I5698" t="s" s="11">
        <v>73</v>
      </c>
      <c r="J5698" t="s" s="11">
        <v>20</v>
      </c>
      <c r="K5698" s="15"/>
      <c r="L5698" t="s" s="16">
        <f>HYPERLINK("http://csr.bu.edu/ftp/asl/asllvd/demos/verify_start_end_handshape_annotations//test_auto_move//signs_mov_separ_signers/Liz_1240.mov","MOV")</f>
        <v>21</v>
      </c>
      <c r="M5698" t="s" s="10">
        <v>34</v>
      </c>
      <c r="N5698" s="17">
        <v>30</v>
      </c>
      <c r="O5698" s="18">
        <v>250</v>
      </c>
      <c r="P5698" s="18">
        <v>320</v>
      </c>
      <c r="Q5698" s="15"/>
      <c r="R5698" t="s" s="16">
        <f>HYPERLINK("http://secrets.rutgers.edu:8080/data/asl-ftp/asllvd/demos/verify_start_end_handshape_annotations//test_auto_move//signs_mov_separ_signers/Liz_1240.mov","MOV")</f>
        <v>21</v>
      </c>
    </row>
    <row r="5699" s="2" customFormat="1" ht="13.5" customHeight="1">
      <c r="B5699" s="13"/>
      <c r="C5699" t="s" s="9">
        <v>23</v>
      </c>
      <c r="D5699" t="s" s="8">
        <v>1948</v>
      </c>
      <c r="E5699" t="s" s="9">
        <v>1950</v>
      </c>
      <c r="F5699" t="s" s="10">
        <v>136</v>
      </c>
      <c r="G5699" t="s" s="11">
        <v>73</v>
      </c>
      <c r="H5699" t="s" s="10">
        <v>136</v>
      </c>
      <c r="I5699" t="s" s="11">
        <v>73</v>
      </c>
      <c r="J5699" t="s" s="11">
        <v>20</v>
      </c>
      <c r="K5699" t="s" s="16">
        <f>HYPERLINK("http://csr.bu.edu/ftp/asl/asllvd/demos/verify_start_end_handshape_annotations//test_auto_move//signs_mov/1240.mov","MOV")</f>
        <v>21</v>
      </c>
      <c r="L5699" t="s" s="16">
        <f>HYPERLINK("http://csr.bu.edu/ftp/asl/asllvd/demos/verify_start_end_handshape_annotations//test_auto_move//signs_mov_separ_signers/Tyler_1240.mov","MOV")</f>
        <v>21</v>
      </c>
      <c r="M5699" t="s" s="10">
        <v>37</v>
      </c>
      <c r="N5699" s="17">
        <v>4</v>
      </c>
      <c r="O5699" s="18">
        <v>2885</v>
      </c>
      <c r="P5699" s="18">
        <v>2940</v>
      </c>
      <c r="Q5699" t="s" s="16">
        <f>HYPERLINK("http://secrets.rutgers.edu:8080/data/asl-ftp/asllvd/demos/verify_start_end_handshape_annotations//test_auto_move//signs_mov/1240.mov","MOV")</f>
        <v>21</v>
      </c>
      <c r="R5699" t="s" s="16">
        <f>HYPERLINK("http://secrets.rutgers.edu:8080/data/asl-ftp/asllvd/demos/verify_start_end_handshape_annotations//test_auto_move//signs_mov_separ_signers/Tyler_1240.mov","MOV")</f>
        <v>21</v>
      </c>
    </row>
    <row r="5700" s="2" customFormat="1" ht="13.5" customHeight="1">
      <c r="B5700" s="13"/>
      <c r="C5700" t="s" s="9">
        <v>27</v>
      </c>
      <c r="D5700" t="s" s="8">
        <v>1948</v>
      </c>
      <c r="E5700" t="s" s="9">
        <v>1949</v>
      </c>
      <c r="F5700" t="s" s="10">
        <v>136</v>
      </c>
      <c r="G5700" t="s" s="11">
        <v>73</v>
      </c>
      <c r="H5700" t="s" s="10">
        <v>136</v>
      </c>
      <c r="I5700" t="s" s="11">
        <v>73</v>
      </c>
      <c r="J5700" t="s" s="11">
        <v>20</v>
      </c>
      <c r="K5700" s="15"/>
      <c r="L5700" t="s" s="16">
        <f>HYPERLINK("http://csr.bu.edu/ftp/asl/asllvd/demos/verify_start_end_handshape_annotations//test_auto_move//signs_mov_separ_signers/Naomi_1240.mov","MOV")</f>
        <v>21</v>
      </c>
      <c r="M5700" t="s" s="10">
        <v>38</v>
      </c>
      <c r="N5700" s="17">
        <v>24</v>
      </c>
      <c r="O5700" s="18">
        <v>6515</v>
      </c>
      <c r="P5700" s="18">
        <v>6555</v>
      </c>
      <c r="Q5700" s="15"/>
      <c r="R5700" t="s" s="16">
        <f>HYPERLINK("http://secrets.rutgers.edu:8080/data/asl-ftp/asllvd/demos/verify_start_end_handshape_annotations//test_auto_move//signs_mov_separ_signers/Naomi_1240.mov","MOV")</f>
        <v>21</v>
      </c>
    </row>
    <row r="5701" s="2" customFormat="1" ht="13.5" customHeight="1">
      <c r="B5701" s="13"/>
      <c r="C5701" t="s" s="9">
        <v>30</v>
      </c>
      <c r="D5701" t="s" s="8">
        <v>1948</v>
      </c>
      <c r="E5701" t="s" s="9">
        <v>1949</v>
      </c>
      <c r="F5701" t="s" s="10">
        <v>136</v>
      </c>
      <c r="G5701" t="s" s="11">
        <v>73</v>
      </c>
      <c r="H5701" t="s" s="10">
        <v>136</v>
      </c>
      <c r="I5701" t="s" s="11">
        <v>73</v>
      </c>
      <c r="J5701" t="s" s="11">
        <v>20</v>
      </c>
      <c r="K5701" s="15"/>
      <c r="L5701" t="s" s="16">
        <f>HYPERLINK("http://csr.bu.edu/ftp/asl/asllvd/demos/verify_start_end_handshape_annotations//test_auto_move//signs_mov_separ_signers/Brady_1240.mov","MOV")</f>
        <v>21</v>
      </c>
      <c r="M5701" t="s" s="10">
        <v>39</v>
      </c>
      <c r="N5701" s="17">
        <v>39</v>
      </c>
      <c r="O5701" s="18">
        <v>1718</v>
      </c>
      <c r="P5701" s="18">
        <v>1752</v>
      </c>
      <c r="Q5701" s="15"/>
      <c r="R5701" t="s" s="16">
        <f>HYPERLINK("http://secrets.rutgers.edu:8080/data/asl-ftp/asllvd/demos/verify_start_end_handshape_annotations//test_auto_move//signs_mov_separ_signers/Brady_1240.mov","MOV")</f>
        <v>21</v>
      </c>
    </row>
    <row r="5702" s="2" customFormat="1" ht="13.5" customHeight="1">
      <c r="B5702" t="s" s="8">
        <v>1951</v>
      </c>
      <c r="C5702" t="s" s="9">
        <v>14</v>
      </c>
      <c r="D5702" t="s" s="8">
        <v>14</v>
      </c>
      <c r="E5702" t="s" s="9">
        <v>14</v>
      </c>
      <c r="F5702" t="s" s="10">
        <v>14</v>
      </c>
      <c r="G5702" t="s" s="11">
        <v>14</v>
      </c>
      <c r="H5702" t="s" s="10">
        <v>14</v>
      </c>
      <c r="I5702" t="s" s="11">
        <v>14</v>
      </c>
      <c r="J5702" t="s" s="11">
        <v>14</v>
      </c>
      <c r="K5702" t="s" s="12">
        <v>14</v>
      </c>
      <c r="L5702" t="s" s="12">
        <v>14</v>
      </c>
      <c r="M5702" t="s" s="10">
        <v>14</v>
      </c>
      <c r="N5702" t="s" s="11">
        <v>14</v>
      </c>
      <c r="O5702" t="s" s="8">
        <v>14</v>
      </c>
      <c r="P5702" t="s" s="8">
        <v>14</v>
      </c>
      <c r="Q5702" t="s" s="12">
        <v>14</v>
      </c>
      <c r="R5702" t="s" s="12">
        <v>14</v>
      </c>
    </row>
    <row r="5703" s="2" customFormat="1" ht="13.5" customHeight="1">
      <c r="B5703" s="13"/>
      <c r="C5703" t="s" s="9">
        <v>43</v>
      </c>
      <c r="D5703" t="s" s="8">
        <v>1952</v>
      </c>
      <c r="E5703" t="s" s="9">
        <v>1951</v>
      </c>
      <c r="F5703" s="19">
        <v>10</v>
      </c>
      <c r="G5703" t="s" s="11">
        <v>73</v>
      </c>
      <c r="H5703" s="19">
        <v>10</v>
      </c>
      <c r="I5703" t="s" s="11">
        <v>73</v>
      </c>
      <c r="J5703" t="s" s="11">
        <v>20</v>
      </c>
      <c r="K5703" t="s" s="16">
        <f>HYPERLINK("http://csr.bu.edu/ftp/asl/asllvd/demos/verify_start_end_handshape_annotations//test_auto_move//signs_mov/1241.mov","MOV")</f>
        <v>21</v>
      </c>
      <c r="L5703" t="s" s="16">
        <f>HYPERLINK("http://csr.bu.edu/ftp/asl/asllvd/demos/verify_start_end_handshape_annotations//test_auto_move//signs_mov_separ_signers/Dana_1241.mov","MOV")</f>
        <v>21</v>
      </c>
      <c r="M5703" t="s" s="10">
        <v>44</v>
      </c>
      <c r="N5703" s="17">
        <v>17</v>
      </c>
      <c r="O5703" s="18">
        <v>3131</v>
      </c>
      <c r="P5703" s="18">
        <v>3171</v>
      </c>
      <c r="Q5703" t="s" s="16">
        <f>HYPERLINK("http://secrets.rutgers.edu:8080/data/asl-ftp/asllvd/demos/verify_start_end_handshape_annotations//test_auto_move//signs_mov/1241.mov","MOV")</f>
        <v>21</v>
      </c>
      <c r="R5703" t="s" s="16">
        <f>HYPERLINK("http://secrets.rutgers.edu:8080/data/asl-ftp/asllvd/demos/verify_start_end_handshape_annotations//test_auto_move//signs_mov_separ_signers/Dana_1241.mov","MOV")</f>
        <v>21</v>
      </c>
    </row>
    <row r="5704" s="2" customFormat="1" ht="13.5" customHeight="1">
      <c r="B5704" t="s" s="8">
        <v>52</v>
      </c>
      <c r="C5704" t="s" s="9">
        <v>53</v>
      </c>
      <c r="D5704" t="s" s="8">
        <v>53</v>
      </c>
      <c r="E5704" t="s" s="9">
        <v>53</v>
      </c>
      <c r="F5704" t="s" s="10">
        <v>53</v>
      </c>
      <c r="G5704" t="s" s="11">
        <v>53</v>
      </c>
      <c r="H5704" t="s" s="10">
        <v>53</v>
      </c>
      <c r="I5704" t="s" s="11">
        <v>53</v>
      </c>
      <c r="J5704" t="s" s="11">
        <v>53</v>
      </c>
      <c r="K5704" t="s" s="12">
        <v>53</v>
      </c>
      <c r="L5704" t="s" s="12">
        <v>53</v>
      </c>
      <c r="M5704" t="s" s="10">
        <v>53</v>
      </c>
      <c r="N5704" t="s" s="11">
        <v>53</v>
      </c>
      <c r="O5704" t="s" s="8">
        <v>53</v>
      </c>
      <c r="P5704" t="s" s="8">
        <v>53</v>
      </c>
      <c r="Q5704" t="s" s="12">
        <v>53</v>
      </c>
      <c r="R5704" t="s" s="12">
        <v>53</v>
      </c>
    </row>
    <row r="5705" s="2" customFormat="1" ht="13.5" customHeight="1">
      <c r="B5705" s="13"/>
      <c r="C5705" t="s" s="9">
        <v>16</v>
      </c>
      <c r="D5705" t="s" s="8">
        <v>1952</v>
      </c>
      <c r="E5705" t="s" s="9">
        <v>1952</v>
      </c>
      <c r="F5705" s="19">
        <v>10</v>
      </c>
      <c r="G5705" t="s" s="11">
        <v>73</v>
      </c>
      <c r="H5705" s="19">
        <v>10</v>
      </c>
      <c r="I5705" t="s" s="11">
        <v>73</v>
      </c>
      <c r="J5705" t="s" s="11">
        <v>20</v>
      </c>
      <c r="K5705" s="15"/>
      <c r="L5705" t="s" s="16">
        <f>HYPERLINK("http://csr.bu.edu/ftp/asl/asllvd/demos/verify_start_end_handshape_annotations//test_auto_move//signs_mov_separ_signers/Liz_5401.mov","MOV")</f>
        <v>21</v>
      </c>
      <c r="M5705" t="s" s="10">
        <v>34</v>
      </c>
      <c r="N5705" s="17">
        <v>30</v>
      </c>
      <c r="O5705" s="18">
        <v>452</v>
      </c>
      <c r="P5705" s="18">
        <v>486</v>
      </c>
      <c r="Q5705" s="15"/>
      <c r="R5705" t="s" s="16">
        <f>HYPERLINK("http://secrets.rutgers.edu:8080/data/asl-ftp/asllvd/demos/verify_start_end_handshape_annotations//test_auto_move//signs_mov_separ_signers/Liz_5401.mov","MOV")</f>
        <v>21</v>
      </c>
    </row>
    <row r="5706" s="2" customFormat="1" ht="13.5" customHeight="1">
      <c r="B5706" s="13"/>
      <c r="C5706" t="s" s="9">
        <v>27</v>
      </c>
      <c r="D5706" t="s" s="8">
        <v>1952</v>
      </c>
      <c r="E5706" t="s" s="9">
        <v>1952</v>
      </c>
      <c r="F5706" s="19">
        <v>10</v>
      </c>
      <c r="G5706" t="s" s="11">
        <v>73</v>
      </c>
      <c r="H5706" s="19">
        <v>10</v>
      </c>
      <c r="I5706" t="s" s="11">
        <v>73</v>
      </c>
      <c r="J5706" t="s" s="11">
        <v>20</v>
      </c>
      <c r="K5706" t="s" s="16">
        <f>HYPERLINK("http://csr.bu.edu/ftp/asl/asllvd/demos/verify_start_end_handshape_annotations//test_auto_move//signs_mov/5401.mov","MOV")</f>
        <v>21</v>
      </c>
      <c r="L5706" t="s" s="16">
        <f>HYPERLINK("http://csr.bu.edu/ftp/asl/asllvd/demos/verify_start_end_handshape_annotations//test_auto_move//signs_mov_separ_signers/Naomi_5401.mov","MOV")</f>
        <v>21</v>
      </c>
      <c r="M5706" t="s" s="10">
        <v>38</v>
      </c>
      <c r="N5706" s="17">
        <v>25</v>
      </c>
      <c r="O5706" s="18">
        <v>225</v>
      </c>
      <c r="P5706" s="18">
        <v>257</v>
      </c>
      <c r="Q5706" t="s" s="16">
        <f>HYPERLINK("http://secrets.rutgers.edu:8080/data/asl-ftp/asllvd/demos/verify_start_end_handshape_annotations//test_auto_move//signs_mov/5401.mov","MOV")</f>
        <v>21</v>
      </c>
      <c r="R5706" t="s" s="16">
        <f>HYPERLINK("http://secrets.rutgers.edu:8080/data/asl-ftp/asllvd/demos/verify_start_end_handshape_annotations//test_auto_move//signs_mov_separ_signers/Naomi_5401.mov","MOV")</f>
        <v>21</v>
      </c>
    </row>
    <row r="5707" s="2" customFormat="1" ht="13.5" customHeight="1">
      <c r="B5707" s="13"/>
      <c r="C5707" t="s" s="9">
        <v>30</v>
      </c>
      <c r="D5707" t="s" s="8">
        <v>1952</v>
      </c>
      <c r="E5707" t="s" s="9">
        <v>1952</v>
      </c>
      <c r="F5707" s="19">
        <v>10</v>
      </c>
      <c r="G5707" t="s" s="11">
        <v>73</v>
      </c>
      <c r="H5707" s="19">
        <v>10</v>
      </c>
      <c r="I5707" t="s" s="11">
        <v>73</v>
      </c>
      <c r="J5707" t="s" s="11">
        <v>20</v>
      </c>
      <c r="K5707" s="15"/>
      <c r="L5707" t="s" s="16">
        <f>HYPERLINK("http://csr.bu.edu/ftp/asl/asllvd/demos/verify_start_end_handshape_annotations//test_auto_move//signs_mov_separ_signers/Brady_5401.mov","MOV")</f>
        <v>21</v>
      </c>
      <c r="M5707" t="s" s="10">
        <v>39</v>
      </c>
      <c r="N5707" s="17">
        <v>39</v>
      </c>
      <c r="O5707" s="18">
        <v>2170</v>
      </c>
      <c r="P5707" s="18">
        <v>2189</v>
      </c>
      <c r="Q5707" s="15"/>
      <c r="R5707" t="s" s="16">
        <f>HYPERLINK("http://secrets.rutgers.edu:8080/data/asl-ftp/asllvd/demos/verify_start_end_handshape_annotations//test_auto_move//signs_mov_separ_signers/Brady_5401.mov","MOV")</f>
        <v>21</v>
      </c>
    </row>
    <row r="5708" s="2" customFormat="1" ht="13.5" customHeight="1">
      <c r="B5708" t="s" s="8">
        <v>1953</v>
      </c>
      <c r="C5708" t="s" s="9">
        <v>14</v>
      </c>
      <c r="D5708" t="s" s="8">
        <v>14</v>
      </c>
      <c r="E5708" t="s" s="9">
        <v>14</v>
      </c>
      <c r="F5708" t="s" s="10">
        <v>14</v>
      </c>
      <c r="G5708" t="s" s="11">
        <v>14</v>
      </c>
      <c r="H5708" t="s" s="10">
        <v>14</v>
      </c>
      <c r="I5708" t="s" s="11">
        <v>14</v>
      </c>
      <c r="J5708" t="s" s="11">
        <v>14</v>
      </c>
      <c r="K5708" t="s" s="12">
        <v>14</v>
      </c>
      <c r="L5708" t="s" s="12">
        <v>14</v>
      </c>
      <c r="M5708" t="s" s="10">
        <v>14</v>
      </c>
      <c r="N5708" t="s" s="11">
        <v>14</v>
      </c>
      <c r="O5708" t="s" s="8">
        <v>14</v>
      </c>
      <c r="P5708" t="s" s="8">
        <v>14</v>
      </c>
      <c r="Q5708" t="s" s="12">
        <v>14</v>
      </c>
      <c r="R5708" t="s" s="12">
        <v>14</v>
      </c>
    </row>
    <row r="5709" s="2" customFormat="1" ht="13.5" customHeight="1">
      <c r="B5709" s="13"/>
      <c r="C5709" t="s" s="9">
        <v>16</v>
      </c>
      <c r="D5709" t="s" s="8">
        <v>1953</v>
      </c>
      <c r="E5709" t="s" s="9">
        <v>1953</v>
      </c>
      <c r="F5709" s="19">
        <v>10</v>
      </c>
      <c r="G5709" s="14"/>
      <c r="H5709" s="19">
        <v>10</v>
      </c>
      <c r="I5709" s="14"/>
      <c r="J5709" t="s" s="11">
        <v>20</v>
      </c>
      <c r="K5709" t="s" s="16">
        <f>HYPERLINK("http://csr.bu.edu/ftp/asl/asllvd/demos/verify_start_end_handshape_annotations//test_auto_move//signs_mov/5435.mov","MOV")</f>
        <v>21</v>
      </c>
      <c r="L5709" t="s" s="16">
        <f>HYPERLINK("http://csr.bu.edu/ftp/asl/asllvd/demos/verify_start_end_handshape_annotations//test_auto_move//signs_mov_separ_signers/Liz_5435.mov","MOV")</f>
        <v>21</v>
      </c>
      <c r="M5709" t="s" s="10">
        <v>36</v>
      </c>
      <c r="N5709" s="17">
        <v>10</v>
      </c>
      <c r="O5709" s="18">
        <v>2722</v>
      </c>
      <c r="P5709" s="18">
        <v>2772</v>
      </c>
      <c r="Q5709" t="s" s="16">
        <f>HYPERLINK("http://secrets.rutgers.edu:8080/data/asl-ftp/asllvd/demos/verify_start_end_handshape_annotations//test_auto_move//signs_mov/5435.mov","MOV")</f>
        <v>21</v>
      </c>
      <c r="R5709" t="s" s="16">
        <f>HYPERLINK("http://secrets.rutgers.edu:8080/data/asl-ftp/asllvd/demos/verify_start_end_handshape_annotations//test_auto_move//signs_mov_separ_signers/Liz_5435.mov","MOV")</f>
        <v>21</v>
      </c>
    </row>
    <row r="5710" s="2" customFormat="1" ht="13.5" customHeight="1">
      <c r="B5710" s="13"/>
      <c r="C5710" t="s" s="9">
        <v>30</v>
      </c>
      <c r="D5710" t="s" s="8">
        <v>1953</v>
      </c>
      <c r="E5710" t="s" s="9">
        <v>1953</v>
      </c>
      <c r="F5710" s="19">
        <v>10</v>
      </c>
      <c r="G5710" s="14"/>
      <c r="H5710" s="19">
        <v>10</v>
      </c>
      <c r="I5710" s="14"/>
      <c r="J5710" t="s" s="11">
        <v>20</v>
      </c>
      <c r="K5710" s="15"/>
      <c r="L5710" t="s" s="16">
        <f>HYPERLINK("http://csr.bu.edu/ftp/asl/asllvd/demos/verify_start_end_handshape_annotations//test_auto_move//signs_mov_separ_signers/Brady_5435.mov","MOV")</f>
        <v>21</v>
      </c>
      <c r="M5710" t="s" s="10">
        <v>60</v>
      </c>
      <c r="N5710" s="17">
        <v>50</v>
      </c>
      <c r="O5710" s="18">
        <v>3083</v>
      </c>
      <c r="P5710" s="18">
        <v>3116</v>
      </c>
      <c r="Q5710" s="15"/>
      <c r="R5710" t="s" s="16">
        <f>HYPERLINK("http://secrets.rutgers.edu:8080/data/asl-ftp/asllvd/demos/verify_start_end_handshape_annotations//test_auto_move//signs_mov_separ_signers/Brady_5435.mov","MOV")</f>
        <v>21</v>
      </c>
    </row>
    <row r="5711" s="2" customFormat="1" ht="13.5" customHeight="1">
      <c r="B5711" t="s" s="8">
        <v>1954</v>
      </c>
      <c r="C5711" t="s" s="9">
        <v>14</v>
      </c>
      <c r="D5711" t="s" s="8">
        <v>14</v>
      </c>
      <c r="E5711" t="s" s="9">
        <v>14</v>
      </c>
      <c r="F5711" t="s" s="10">
        <v>14</v>
      </c>
      <c r="G5711" t="s" s="11">
        <v>14</v>
      </c>
      <c r="H5711" t="s" s="10">
        <v>14</v>
      </c>
      <c r="I5711" t="s" s="11">
        <v>14</v>
      </c>
      <c r="J5711" t="s" s="11">
        <v>14</v>
      </c>
      <c r="K5711" t="s" s="12">
        <v>14</v>
      </c>
      <c r="L5711" t="s" s="12">
        <v>14</v>
      </c>
      <c r="M5711" t="s" s="10">
        <v>14</v>
      </c>
      <c r="N5711" t="s" s="11">
        <v>14</v>
      </c>
      <c r="O5711" t="s" s="8">
        <v>14</v>
      </c>
      <c r="P5711" t="s" s="8">
        <v>14</v>
      </c>
      <c r="Q5711" t="s" s="12">
        <v>14</v>
      </c>
      <c r="R5711" t="s" s="12">
        <v>14</v>
      </c>
    </row>
    <row r="5712" s="2" customFormat="1" ht="13.5" customHeight="1">
      <c r="B5712" s="13"/>
      <c r="C5712" t="s" s="9">
        <v>16</v>
      </c>
      <c r="D5712" t="s" s="8">
        <v>1954</v>
      </c>
      <c r="E5712" t="s" s="9">
        <v>1954</v>
      </c>
      <c r="F5712" s="19">
        <v>10</v>
      </c>
      <c r="G5712" t="s" s="11">
        <v>73</v>
      </c>
      <c r="H5712" s="19">
        <v>10</v>
      </c>
      <c r="I5712" t="s" s="11">
        <v>73</v>
      </c>
      <c r="J5712" t="s" s="11">
        <v>20</v>
      </c>
      <c r="K5712" s="15"/>
      <c r="L5712" t="s" s="16">
        <f>HYPERLINK("http://csr.bu.edu/ftp/asl/asllvd/demos/verify_start_end_handshape_annotations//test_auto_move//signs_mov_separ_signers/Liz_5857.mov","MOV")</f>
        <v>21</v>
      </c>
      <c r="M5712" t="s" s="10">
        <v>84</v>
      </c>
      <c r="N5712" s="17">
        <v>30</v>
      </c>
      <c r="O5712" s="18">
        <v>2151</v>
      </c>
      <c r="P5712" s="18">
        <v>2177</v>
      </c>
      <c r="Q5712" s="15"/>
      <c r="R5712" t="s" s="16">
        <f>HYPERLINK("http://secrets.rutgers.edu:8080/data/asl-ftp/asllvd/demos/verify_start_end_handshape_annotations//test_auto_move//signs_mov_separ_signers/Liz_5857.mov","MOV")</f>
        <v>21</v>
      </c>
    </row>
    <row r="5713" s="2" customFormat="1" ht="13.5" customHeight="1">
      <c r="B5713" s="13"/>
      <c r="C5713" t="s" s="9">
        <v>16</v>
      </c>
      <c r="D5713" t="s" s="8">
        <v>1954</v>
      </c>
      <c r="E5713" t="s" s="9">
        <v>1954</v>
      </c>
      <c r="F5713" s="19">
        <v>10</v>
      </c>
      <c r="G5713" t="s" s="11">
        <v>73</v>
      </c>
      <c r="H5713" s="19">
        <v>10</v>
      </c>
      <c r="I5713" t="s" s="11">
        <v>73</v>
      </c>
      <c r="J5713" t="s" s="11">
        <v>20</v>
      </c>
      <c r="K5713" s="15"/>
      <c r="L5713" t="s" s="16">
        <f>HYPERLINK("http://csr.bu.edu/ftp/asl/asllvd/demos/verify_start_end_handshape_annotations//test_auto_move//signs_mov_separ_signers/Liz_15476.mov","MOV")</f>
        <v>21</v>
      </c>
      <c r="M5713" t="s" s="10">
        <v>34</v>
      </c>
      <c r="N5713" s="17">
        <v>30</v>
      </c>
      <c r="O5713" s="18">
        <v>622</v>
      </c>
      <c r="P5713" s="18">
        <v>675</v>
      </c>
      <c r="Q5713" s="15"/>
      <c r="R5713" t="s" s="16">
        <f>HYPERLINK("http://secrets.rutgers.edu:8080/data/asl-ftp/asllvd/demos/verify_start_end_handshape_annotations//test_auto_move//signs_mov_separ_signers/Liz_15476.mov","MOV")</f>
        <v>21</v>
      </c>
    </row>
    <row r="5714" s="2" customFormat="1" ht="13.5" customHeight="1">
      <c r="B5714" s="13"/>
      <c r="C5714" t="s" s="9">
        <v>23</v>
      </c>
      <c r="D5714" t="s" s="8">
        <v>1954</v>
      </c>
      <c r="E5714" t="s" s="9">
        <v>1954</v>
      </c>
      <c r="F5714" s="19">
        <v>10</v>
      </c>
      <c r="G5714" t="s" s="11">
        <v>73</v>
      </c>
      <c r="H5714" s="19">
        <v>10</v>
      </c>
      <c r="I5714" t="s" s="11">
        <v>73</v>
      </c>
      <c r="J5714" t="s" s="11">
        <v>20</v>
      </c>
      <c r="K5714" s="15"/>
      <c r="L5714" t="s" s="16">
        <f>HYPERLINK("http://csr.bu.edu/ftp/asl/asllvd/demos/verify_start_end_handshape_annotations//test_auto_move//signs_mov_separ_signers/Tyler_5857.mov","MOV")</f>
        <v>21</v>
      </c>
      <c r="M5714" t="s" s="10">
        <v>92</v>
      </c>
      <c r="N5714" s="17">
        <v>10</v>
      </c>
      <c r="O5714" s="18">
        <v>3140</v>
      </c>
      <c r="P5714" s="18">
        <v>3175</v>
      </c>
      <c r="Q5714" s="15"/>
      <c r="R5714" t="s" s="16">
        <f>HYPERLINK("http://secrets.rutgers.edu:8080/data/asl-ftp/asllvd/demos/verify_start_end_handshape_annotations//test_auto_move//signs_mov_separ_signers/Tyler_5857.mov","MOV")</f>
        <v>21</v>
      </c>
    </row>
    <row r="5715" s="2" customFormat="1" ht="13.5" customHeight="1">
      <c r="B5715" s="13"/>
      <c r="C5715" t="s" s="9">
        <v>23</v>
      </c>
      <c r="D5715" t="s" s="8">
        <v>1954</v>
      </c>
      <c r="E5715" t="s" s="9">
        <v>1954</v>
      </c>
      <c r="F5715" s="19">
        <v>10</v>
      </c>
      <c r="G5715" t="s" s="11">
        <v>73</v>
      </c>
      <c r="H5715" s="19">
        <v>10</v>
      </c>
      <c r="I5715" t="s" s="11">
        <v>73</v>
      </c>
      <c r="J5715" t="s" s="11">
        <v>20</v>
      </c>
      <c r="K5715" s="15"/>
      <c r="L5715" t="s" s="16">
        <f>HYPERLINK("http://csr.bu.edu/ftp/asl/asllvd/demos/verify_start_end_handshape_annotations//test_auto_move//signs_mov_separ_signers/Tyler_15476.mov","MOV")</f>
        <v>21</v>
      </c>
      <c r="M5715" t="s" s="10">
        <v>37</v>
      </c>
      <c r="N5715" s="17">
        <v>5</v>
      </c>
      <c r="O5715" s="18">
        <v>280</v>
      </c>
      <c r="P5715" s="18">
        <v>301</v>
      </c>
      <c r="Q5715" s="15"/>
      <c r="R5715" t="s" s="16">
        <f>HYPERLINK("http://secrets.rutgers.edu:8080/data/asl-ftp/asllvd/demos/verify_start_end_handshape_annotations//test_auto_move//signs_mov_separ_signers/Tyler_15476.mov","MOV")</f>
        <v>21</v>
      </c>
    </row>
    <row r="5716" s="2" customFormat="1" ht="13.5" customHeight="1">
      <c r="B5716" s="13"/>
      <c r="C5716" t="s" s="9">
        <v>23</v>
      </c>
      <c r="D5716" t="s" s="8">
        <v>1954</v>
      </c>
      <c r="E5716" t="s" s="9">
        <v>1954</v>
      </c>
      <c r="F5716" s="19">
        <v>10</v>
      </c>
      <c r="G5716" t="s" s="11">
        <v>73</v>
      </c>
      <c r="H5716" s="19">
        <v>10</v>
      </c>
      <c r="I5716" t="s" s="11">
        <v>73</v>
      </c>
      <c r="J5716" t="s" s="11">
        <v>20</v>
      </c>
      <c r="K5716" t="s" s="16">
        <f>HYPERLINK("http://csr.bu.edu/ftp/asl/asllvd/demos/verify_start_end_handshape_annotations//test_auto_move//signs_mov/5857_15476_16385_merged.mov","MOV")</f>
        <v>21</v>
      </c>
      <c r="L5716" t="s" s="16">
        <f>HYPERLINK("http://csr.bu.edu/ftp/asl/asllvd/demos/verify_start_end_handshape_annotations//test_auto_move//signs_mov_separ_signers/Tyler_16385.mov","MOV")</f>
        <v>21</v>
      </c>
      <c r="M5716" t="s" s="10">
        <v>37</v>
      </c>
      <c r="N5716" s="17">
        <v>5</v>
      </c>
      <c r="O5716" s="18">
        <v>541</v>
      </c>
      <c r="P5716" s="18">
        <v>565</v>
      </c>
      <c r="Q5716" t="s" s="16">
        <f>HYPERLINK("http://secrets.rutgers.edu:8080/data/asl-ftp/asllvd/demos/verify_start_end_handshape_annotations//test_auto_move//signs_mov/5857_15476_16385_merged.mov","MOV")</f>
        <v>21</v>
      </c>
      <c r="R5716" t="s" s="16">
        <f>HYPERLINK("http://secrets.rutgers.edu:8080/data/asl-ftp/asllvd/demos/verify_start_end_handshape_annotations//test_auto_move//signs_mov_separ_signers/Tyler_16385.mov","MOV")</f>
        <v>21</v>
      </c>
    </row>
    <row r="5717" s="2" customFormat="1" ht="13.5" customHeight="1">
      <c r="B5717" s="13"/>
      <c r="C5717" t="s" s="9">
        <v>27</v>
      </c>
      <c r="D5717" t="s" s="8">
        <v>1954</v>
      </c>
      <c r="E5717" t="s" s="9">
        <v>1954</v>
      </c>
      <c r="F5717" s="19">
        <v>10</v>
      </c>
      <c r="G5717" t="s" s="11">
        <v>73</v>
      </c>
      <c r="H5717" s="19">
        <v>10</v>
      </c>
      <c r="I5717" t="s" s="11">
        <v>73</v>
      </c>
      <c r="J5717" t="s" s="11">
        <v>20</v>
      </c>
      <c r="K5717" s="15"/>
      <c r="L5717" t="s" s="16">
        <f>HYPERLINK("http://csr.bu.edu/ftp/asl/asllvd/demos/verify_start_end_handshape_annotations//test_auto_move//signs_mov_separ_signers/Naomi_5857.mov","MOV")</f>
        <v>21</v>
      </c>
      <c r="M5717" t="s" s="10">
        <v>86</v>
      </c>
      <c r="N5717" s="17">
        <v>30</v>
      </c>
      <c r="O5717" s="18">
        <v>2460</v>
      </c>
      <c r="P5717" s="18">
        <v>2500</v>
      </c>
      <c r="Q5717" s="15"/>
      <c r="R5717" t="s" s="16">
        <f>HYPERLINK("http://secrets.rutgers.edu:8080/data/asl-ftp/asllvd/demos/verify_start_end_handshape_annotations//test_auto_move//signs_mov_separ_signers/Naomi_5857.mov","MOV")</f>
        <v>21</v>
      </c>
    </row>
    <row r="5718" s="2" customFormat="1" ht="13.5" customHeight="1">
      <c r="B5718" s="13"/>
      <c r="C5718" t="s" s="9">
        <v>27</v>
      </c>
      <c r="D5718" t="s" s="8">
        <v>1954</v>
      </c>
      <c r="E5718" t="s" s="9">
        <v>1954</v>
      </c>
      <c r="F5718" s="19">
        <v>10</v>
      </c>
      <c r="G5718" t="s" s="11">
        <v>73</v>
      </c>
      <c r="H5718" s="19">
        <v>10</v>
      </c>
      <c r="I5718" t="s" s="11">
        <v>73</v>
      </c>
      <c r="J5718" t="s" s="11">
        <v>20</v>
      </c>
      <c r="K5718" s="15"/>
      <c r="L5718" t="s" s="16">
        <f>HYPERLINK("http://csr.bu.edu/ftp/asl/asllvd/demos/verify_start_end_handshape_annotations//test_auto_move//signs_mov_separ_signers/Naomi_15476.mov","MOV")</f>
        <v>21</v>
      </c>
      <c r="M5718" t="s" s="10">
        <v>38</v>
      </c>
      <c r="N5718" s="17">
        <v>25</v>
      </c>
      <c r="O5718" s="18">
        <v>771</v>
      </c>
      <c r="P5718" s="18">
        <v>812</v>
      </c>
      <c r="Q5718" s="15"/>
      <c r="R5718" t="s" s="16">
        <f>HYPERLINK("http://secrets.rutgers.edu:8080/data/asl-ftp/asllvd/demos/verify_start_end_handshape_annotations//test_auto_move//signs_mov_separ_signers/Naomi_15476.mov","MOV")</f>
        <v>21</v>
      </c>
    </row>
    <row r="5719" s="2" customFormat="1" ht="13.5" customHeight="1">
      <c r="B5719" s="13"/>
      <c r="C5719" t="s" s="9">
        <v>30</v>
      </c>
      <c r="D5719" t="s" s="8">
        <v>1954</v>
      </c>
      <c r="E5719" t="s" s="9">
        <v>1954</v>
      </c>
      <c r="F5719" s="19">
        <v>10</v>
      </c>
      <c r="G5719" t="s" s="11">
        <v>73</v>
      </c>
      <c r="H5719" s="19">
        <v>10</v>
      </c>
      <c r="I5719" t="s" s="11">
        <v>73</v>
      </c>
      <c r="J5719" t="s" s="11">
        <v>20</v>
      </c>
      <c r="K5719" s="15"/>
      <c r="L5719" t="s" s="16">
        <f>HYPERLINK("http://csr.bu.edu/ftp/asl/asllvd/demos/verify_start_end_handshape_annotations//test_auto_move//signs_mov_separ_signers/Brady_5857.mov","MOV")</f>
        <v>21</v>
      </c>
      <c r="M5719" t="s" s="10">
        <v>39</v>
      </c>
      <c r="N5719" s="17">
        <v>11</v>
      </c>
      <c r="O5719" s="18">
        <v>7700</v>
      </c>
      <c r="P5719" s="18">
        <v>7724</v>
      </c>
      <c r="Q5719" s="15"/>
      <c r="R5719" t="s" s="16">
        <f>HYPERLINK("http://secrets.rutgers.edu:8080/data/asl-ftp/asllvd/demos/verify_start_end_handshape_annotations//test_auto_move//signs_mov_separ_signers/Brady_5857.mov","MOV")</f>
        <v>21</v>
      </c>
    </row>
    <row r="5720" s="2" customFormat="1" ht="13.5" customHeight="1">
      <c r="B5720" s="13"/>
      <c r="C5720" t="s" s="9">
        <v>30</v>
      </c>
      <c r="D5720" t="s" s="8">
        <v>1954</v>
      </c>
      <c r="E5720" t="s" s="9">
        <v>1954</v>
      </c>
      <c r="F5720" s="19">
        <v>10</v>
      </c>
      <c r="G5720" t="s" s="11">
        <v>73</v>
      </c>
      <c r="H5720" s="19">
        <v>10</v>
      </c>
      <c r="I5720" t="s" s="11">
        <v>73</v>
      </c>
      <c r="J5720" t="s" s="11">
        <v>20</v>
      </c>
      <c r="K5720" s="15"/>
      <c r="L5720" t="s" s="16">
        <f>HYPERLINK("http://csr.bu.edu/ftp/asl/asllvd/demos/verify_start_end_handshape_annotations//test_auto_move//signs_mov_separ_signers/Brady_15476.mov","MOV")</f>
        <v>21</v>
      </c>
      <c r="M5720" t="s" s="10">
        <v>39</v>
      </c>
      <c r="N5720" s="17">
        <v>39</v>
      </c>
      <c r="O5720" s="18">
        <v>1952</v>
      </c>
      <c r="P5720" s="18">
        <v>1968</v>
      </c>
      <c r="Q5720" s="15"/>
      <c r="R5720" t="s" s="16">
        <f>HYPERLINK("http://secrets.rutgers.edu:8080/data/asl-ftp/asllvd/demos/verify_start_end_handshape_annotations//test_auto_move//signs_mov_separ_signers/Brady_15476.mov","MOV")</f>
        <v>21</v>
      </c>
    </row>
    <row r="5721" s="2" customFormat="1" ht="13.5" customHeight="1">
      <c r="B5721" s="13"/>
      <c r="C5721" t="s" s="9">
        <v>41</v>
      </c>
      <c r="D5721" t="s" s="8">
        <v>1954</v>
      </c>
      <c r="E5721" t="s" s="9">
        <v>1954</v>
      </c>
      <c r="F5721" s="19">
        <v>10</v>
      </c>
      <c r="G5721" t="s" s="11">
        <v>73</v>
      </c>
      <c r="H5721" s="19">
        <v>10</v>
      </c>
      <c r="I5721" t="s" s="11">
        <v>73</v>
      </c>
      <c r="J5721" t="s" s="11">
        <v>20</v>
      </c>
      <c r="K5721" s="15"/>
      <c r="L5721" t="s" s="16">
        <f>HYPERLINK("http://csr.bu.edu/ftp/asl/asllvd/demos/verify_start_end_handshape_annotations//test_auto_move//signs_mov_separ_signers/Lana_5857.mov","MOV")</f>
        <v>21</v>
      </c>
      <c r="M5721" t="s" s="10">
        <v>42</v>
      </c>
      <c r="N5721" s="17">
        <v>14</v>
      </c>
      <c r="O5721" s="18">
        <v>2843</v>
      </c>
      <c r="P5721" s="18">
        <v>2867</v>
      </c>
      <c r="Q5721" s="15"/>
      <c r="R5721" t="s" s="16">
        <f>HYPERLINK("http://secrets.rutgers.edu:8080/data/asl-ftp/asllvd/demos/verify_start_end_handshape_annotations//test_auto_move//signs_mov_separ_signers/Lana_5857.mov","MOV")</f>
        <v>21</v>
      </c>
    </row>
    <row r="5722" s="2" customFormat="1" ht="13.5" customHeight="1">
      <c r="B5722" t="s" s="8">
        <v>1955</v>
      </c>
      <c r="C5722" t="s" s="9">
        <v>14</v>
      </c>
      <c r="D5722" t="s" s="8">
        <v>14</v>
      </c>
      <c r="E5722" t="s" s="9">
        <v>14</v>
      </c>
      <c r="F5722" t="s" s="10">
        <v>14</v>
      </c>
      <c r="G5722" t="s" s="11">
        <v>14</v>
      </c>
      <c r="H5722" t="s" s="10">
        <v>14</v>
      </c>
      <c r="I5722" t="s" s="11">
        <v>14</v>
      </c>
      <c r="J5722" t="s" s="11">
        <v>14</v>
      </c>
      <c r="K5722" t="s" s="12">
        <v>14</v>
      </c>
      <c r="L5722" t="s" s="12">
        <v>14</v>
      </c>
      <c r="M5722" t="s" s="10">
        <v>14</v>
      </c>
      <c r="N5722" t="s" s="11">
        <v>14</v>
      </c>
      <c r="O5722" t="s" s="8">
        <v>14</v>
      </c>
      <c r="P5722" t="s" s="8">
        <v>14</v>
      </c>
      <c r="Q5722" t="s" s="12">
        <v>14</v>
      </c>
      <c r="R5722" t="s" s="12">
        <v>14</v>
      </c>
    </row>
    <row r="5723" s="2" customFormat="1" ht="13.5" customHeight="1">
      <c r="B5723" s="13"/>
      <c r="C5723" t="s" s="9">
        <v>16</v>
      </c>
      <c r="D5723" t="s" s="8">
        <v>1955</v>
      </c>
      <c r="E5723" t="s" s="9">
        <v>1956</v>
      </c>
      <c r="F5723" t="s" s="10">
        <v>73</v>
      </c>
      <c r="G5723" t="s" s="11">
        <v>105</v>
      </c>
      <c r="H5723" t="s" s="10">
        <v>73</v>
      </c>
      <c r="I5723" t="s" s="11">
        <v>105</v>
      </c>
      <c r="J5723" t="s" s="11">
        <v>136</v>
      </c>
      <c r="K5723" t="s" s="16">
        <f>HYPERLINK("http://csr.bu.edu/ftp/asl/asllvd/demos/verify_start_end_handshape_annotations//test_auto_move//signs_mov/1244.mov","MOV")</f>
        <v>21</v>
      </c>
      <c r="L5723" t="s" s="16">
        <f>HYPERLINK("http://csr.bu.edu/ftp/asl/asllvd/demos/verify_start_end_handshape_annotations//test_auto_move//signs_mov_separ_signers/Liz_1244.mov","MOV")</f>
        <v>21</v>
      </c>
      <c r="M5723" t="s" s="10">
        <v>34</v>
      </c>
      <c r="N5723" s="17">
        <v>30</v>
      </c>
      <c r="O5723" s="18">
        <v>2200</v>
      </c>
      <c r="P5723" s="18">
        <v>2261</v>
      </c>
      <c r="Q5723" t="s" s="16">
        <f>HYPERLINK("http://secrets.rutgers.edu:8080/data/asl-ftp/asllvd/demos/verify_start_end_handshape_annotations//test_auto_move//signs_mov/1244.mov","MOV")</f>
        <v>21</v>
      </c>
      <c r="R5723" t="s" s="16">
        <f>HYPERLINK("http://secrets.rutgers.edu:8080/data/asl-ftp/asllvd/demos/verify_start_end_handshape_annotations//test_auto_move//signs_mov_separ_signers/Liz_1244.mov","MOV")</f>
        <v>21</v>
      </c>
    </row>
    <row r="5724" s="2" customFormat="1" ht="13.5" customHeight="1">
      <c r="B5724" s="13"/>
      <c r="C5724" t="s" s="9">
        <v>30</v>
      </c>
      <c r="D5724" t="s" s="8">
        <v>1955</v>
      </c>
      <c r="E5724" t="s" s="9">
        <v>1956</v>
      </c>
      <c r="F5724" t="s" s="10">
        <v>73</v>
      </c>
      <c r="G5724" t="s" s="11">
        <v>105</v>
      </c>
      <c r="H5724" t="s" s="10">
        <v>73</v>
      </c>
      <c r="I5724" t="s" s="11">
        <v>105</v>
      </c>
      <c r="J5724" t="s" s="11">
        <v>136</v>
      </c>
      <c r="K5724" s="15"/>
      <c r="L5724" t="s" s="16">
        <f>HYPERLINK("http://csr.bu.edu/ftp/asl/asllvd/demos/verify_start_end_handshape_annotations//test_auto_move//signs_mov_separ_signers/Brady_1244.mov","MOV")</f>
        <v>21</v>
      </c>
      <c r="M5724" t="s" s="10">
        <v>39</v>
      </c>
      <c r="N5724" s="17">
        <v>39</v>
      </c>
      <c r="O5724" s="18">
        <v>2676</v>
      </c>
      <c r="P5724" s="18">
        <v>2708</v>
      </c>
      <c r="Q5724" s="15"/>
      <c r="R5724" t="s" s="16">
        <f>HYPERLINK("http://secrets.rutgers.edu:8080/data/asl-ftp/asllvd/demos/verify_start_end_handshape_annotations//test_auto_move//signs_mov_separ_signers/Brady_1244.mov","MOV")</f>
        <v>21</v>
      </c>
    </row>
    <row r="5725" s="2" customFormat="1" ht="13.5" customHeight="1">
      <c r="B5725" t="s" s="8">
        <v>52</v>
      </c>
      <c r="C5725" t="s" s="9">
        <v>53</v>
      </c>
      <c r="D5725" t="s" s="8">
        <v>53</v>
      </c>
      <c r="E5725" t="s" s="9">
        <v>53</v>
      </c>
      <c r="F5725" t="s" s="10">
        <v>53</v>
      </c>
      <c r="G5725" t="s" s="11">
        <v>53</v>
      </c>
      <c r="H5725" t="s" s="10">
        <v>53</v>
      </c>
      <c r="I5725" t="s" s="11">
        <v>53</v>
      </c>
      <c r="J5725" t="s" s="11">
        <v>53</v>
      </c>
      <c r="K5725" t="s" s="12">
        <v>53</v>
      </c>
      <c r="L5725" t="s" s="12">
        <v>53</v>
      </c>
      <c r="M5725" t="s" s="10">
        <v>53</v>
      </c>
      <c r="N5725" t="s" s="11">
        <v>53</v>
      </c>
      <c r="O5725" t="s" s="8">
        <v>53</v>
      </c>
      <c r="P5725" t="s" s="8">
        <v>53</v>
      </c>
      <c r="Q5725" t="s" s="12">
        <v>53</v>
      </c>
      <c r="R5725" t="s" s="12">
        <v>53</v>
      </c>
    </row>
    <row r="5726" s="2" customFormat="1" ht="13.5" customHeight="1">
      <c r="B5726" s="13"/>
      <c r="C5726" t="s" s="9">
        <v>23</v>
      </c>
      <c r="D5726" t="s" s="8">
        <v>1955</v>
      </c>
      <c r="E5726" t="s" s="9">
        <v>1955</v>
      </c>
      <c r="F5726" t="s" s="10">
        <v>73</v>
      </c>
      <c r="G5726" t="s" s="11">
        <v>105</v>
      </c>
      <c r="H5726" t="s" s="10">
        <v>73</v>
      </c>
      <c r="I5726" t="s" s="11">
        <v>105</v>
      </c>
      <c r="J5726" t="s" s="11">
        <v>136</v>
      </c>
      <c r="K5726" s="15"/>
      <c r="L5726" t="s" s="16">
        <f>HYPERLINK("http://csr.bu.edu/ftp/asl/asllvd/demos/verify_start_end_handshape_annotations//test_auto_move//signs_mov_separ_signers/Tyler_3660.mov","MOV")</f>
        <v>21</v>
      </c>
      <c r="M5726" t="s" s="10">
        <v>37</v>
      </c>
      <c r="N5726" s="17">
        <v>5</v>
      </c>
      <c r="O5726" s="18">
        <v>1070</v>
      </c>
      <c r="P5726" s="18">
        <v>1105</v>
      </c>
      <c r="Q5726" s="15"/>
      <c r="R5726" t="s" s="16">
        <f>HYPERLINK("http://secrets.rutgers.edu:8080/data/asl-ftp/asllvd/demos/verify_start_end_handshape_annotations//test_auto_move//signs_mov_separ_signers/Tyler_3660.mov","MOV")</f>
        <v>21</v>
      </c>
    </row>
    <row r="5727" s="2" customFormat="1" ht="13.5" customHeight="1">
      <c r="B5727" s="13"/>
      <c r="C5727" t="s" s="9">
        <v>27</v>
      </c>
      <c r="D5727" t="s" s="8">
        <v>1955</v>
      </c>
      <c r="E5727" t="s" s="9">
        <v>1955</v>
      </c>
      <c r="F5727" t="s" s="10">
        <v>73</v>
      </c>
      <c r="G5727" t="s" s="11">
        <v>105</v>
      </c>
      <c r="H5727" t="s" s="10">
        <v>73</v>
      </c>
      <c r="I5727" t="s" s="11">
        <v>105</v>
      </c>
      <c r="J5727" t="s" s="11">
        <v>136</v>
      </c>
      <c r="K5727" t="s" s="16">
        <f>HYPERLINK("http://csr.bu.edu/ftp/asl/asllvd/demos/verify_start_end_handshape_annotations//test_auto_move//signs_mov/3660_5327_merged.mov","MOV")</f>
        <v>21</v>
      </c>
      <c r="L5727" t="s" s="16">
        <f>HYPERLINK("http://csr.bu.edu/ftp/asl/asllvd/demos/verify_start_end_handshape_annotations//test_auto_move//signs_mov_separ_signers/Naomi_3660.mov","MOV")</f>
        <v>21</v>
      </c>
      <c r="M5727" t="s" s="10">
        <v>38</v>
      </c>
      <c r="N5727" s="17">
        <v>25</v>
      </c>
      <c r="O5727" s="18">
        <v>1530</v>
      </c>
      <c r="P5727" s="18">
        <v>1558</v>
      </c>
      <c r="Q5727" t="s" s="16">
        <f>HYPERLINK("http://secrets.rutgers.edu:8080/data/asl-ftp/asllvd/demos/verify_start_end_handshape_annotations//test_auto_move//signs_mov/3660_5327_merged.mov","MOV")</f>
        <v>21</v>
      </c>
      <c r="R5727" t="s" s="16">
        <f>HYPERLINK("http://secrets.rutgers.edu:8080/data/asl-ftp/asllvd/demos/verify_start_end_handshape_annotations//test_auto_move//signs_mov_separ_signers/Naomi_3660.mov","MOV")</f>
        <v>21</v>
      </c>
    </row>
    <row r="5728" s="2" customFormat="1" ht="13.5" customHeight="1">
      <c r="B5728" s="13"/>
      <c r="C5728" t="s" s="9">
        <v>27</v>
      </c>
      <c r="D5728" t="s" s="8">
        <v>1955</v>
      </c>
      <c r="E5728" t="s" s="9">
        <v>1955</v>
      </c>
      <c r="F5728" t="s" s="10">
        <v>73</v>
      </c>
      <c r="G5728" t="s" s="11">
        <v>105</v>
      </c>
      <c r="H5728" t="s" s="10">
        <v>73</v>
      </c>
      <c r="I5728" t="s" s="11">
        <v>105</v>
      </c>
      <c r="J5728" t="s" s="11">
        <v>136</v>
      </c>
      <c r="K5728" s="15"/>
      <c r="L5728" t="s" s="16">
        <f>HYPERLINK("http://csr.bu.edu/ftp/asl/asllvd/demos/verify_start_end_handshape_annotations//test_auto_move//signs_mov_separ_signers/Naomi_5327.mov","MOV")</f>
        <v>21</v>
      </c>
      <c r="M5728" t="s" s="10">
        <v>38</v>
      </c>
      <c r="N5728" s="17">
        <v>25</v>
      </c>
      <c r="O5728" s="18">
        <v>2527</v>
      </c>
      <c r="P5728" s="18">
        <v>2570</v>
      </c>
      <c r="Q5728" s="15"/>
      <c r="R5728" t="s" s="16">
        <f>HYPERLINK("http://secrets.rutgers.edu:8080/data/asl-ftp/asllvd/demos/verify_start_end_handshape_annotations//test_auto_move//signs_mov_separ_signers/Naomi_5327.mov","MOV")</f>
        <v>21</v>
      </c>
    </row>
    <row r="5729" s="2" customFormat="1" ht="13.5" customHeight="1">
      <c r="B5729" s="13"/>
      <c r="C5729" t="s" s="9">
        <v>30</v>
      </c>
      <c r="D5729" t="s" s="8">
        <v>1955</v>
      </c>
      <c r="E5729" t="s" s="9">
        <v>1955</v>
      </c>
      <c r="F5729" t="s" s="10">
        <v>73</v>
      </c>
      <c r="G5729" t="s" s="11">
        <v>105</v>
      </c>
      <c r="H5729" t="s" s="10">
        <v>73</v>
      </c>
      <c r="I5729" t="s" s="11">
        <v>105</v>
      </c>
      <c r="J5729" t="s" s="11">
        <v>136</v>
      </c>
      <c r="K5729" s="15"/>
      <c r="L5729" t="s" s="16">
        <f>HYPERLINK("http://csr.bu.edu/ftp/asl/asllvd/demos/verify_start_end_handshape_annotations//test_auto_move//signs_mov_separ_signers/Brady_3660.mov","MOV")</f>
        <v>21</v>
      </c>
      <c r="M5729" t="s" s="10">
        <v>39</v>
      </c>
      <c r="N5729" s="17">
        <v>39</v>
      </c>
      <c r="O5729" s="18">
        <v>3275</v>
      </c>
      <c r="P5729" s="18">
        <v>3308</v>
      </c>
      <c r="Q5729" s="15"/>
      <c r="R5729" t="s" s="16">
        <f>HYPERLINK("http://secrets.rutgers.edu:8080/data/asl-ftp/asllvd/demos/verify_start_end_handshape_annotations//test_auto_move//signs_mov_separ_signers/Brady_3660.mov","MOV")</f>
        <v>21</v>
      </c>
    </row>
    <row r="5730" s="2" customFormat="1" ht="13.5" customHeight="1">
      <c r="B5730" t="s" s="8">
        <v>1957</v>
      </c>
      <c r="C5730" t="s" s="9">
        <v>14</v>
      </c>
      <c r="D5730" t="s" s="8">
        <v>14</v>
      </c>
      <c r="E5730" t="s" s="9">
        <v>14</v>
      </c>
      <c r="F5730" t="s" s="10">
        <v>14</v>
      </c>
      <c r="G5730" t="s" s="11">
        <v>14</v>
      </c>
      <c r="H5730" t="s" s="10">
        <v>14</v>
      </c>
      <c r="I5730" t="s" s="11">
        <v>14</v>
      </c>
      <c r="J5730" t="s" s="11">
        <v>14</v>
      </c>
      <c r="K5730" t="s" s="12">
        <v>14</v>
      </c>
      <c r="L5730" t="s" s="12">
        <v>14</v>
      </c>
      <c r="M5730" t="s" s="10">
        <v>14</v>
      </c>
      <c r="N5730" t="s" s="11">
        <v>14</v>
      </c>
      <c r="O5730" t="s" s="8">
        <v>14</v>
      </c>
      <c r="P5730" t="s" s="8">
        <v>14</v>
      </c>
      <c r="Q5730" t="s" s="12">
        <v>14</v>
      </c>
      <c r="R5730" t="s" s="12">
        <v>14</v>
      </c>
    </row>
    <row r="5731" s="2" customFormat="1" ht="13.5" customHeight="1">
      <c r="B5731" s="13"/>
      <c r="C5731" t="s" s="9">
        <v>16</v>
      </c>
      <c r="D5731" t="s" s="8">
        <v>1957</v>
      </c>
      <c r="E5731" t="s" s="9">
        <v>1957</v>
      </c>
      <c r="F5731" t="s" s="10">
        <v>73</v>
      </c>
      <c r="G5731" t="s" s="11">
        <v>55</v>
      </c>
      <c r="H5731" t="s" s="10">
        <v>73</v>
      </c>
      <c r="I5731" t="s" s="11">
        <v>55</v>
      </c>
      <c r="J5731" t="s" s="11">
        <v>136</v>
      </c>
      <c r="K5731" s="15"/>
      <c r="L5731" t="s" s="16">
        <f>HYPERLINK("http://csr.bu.edu/ftp/asl/asllvd/demos/verify_start_end_handshape_annotations//test_auto_move//signs_mov_separ_signers/Liz_5744.mov","MOV")</f>
        <v>21</v>
      </c>
      <c r="M5731" t="s" s="10">
        <v>34</v>
      </c>
      <c r="N5731" s="17">
        <v>30</v>
      </c>
      <c r="O5731" s="18">
        <v>950</v>
      </c>
      <c r="P5731" s="18">
        <v>1015</v>
      </c>
      <c r="Q5731" s="15"/>
      <c r="R5731" t="s" s="16">
        <f>HYPERLINK("http://secrets.rutgers.edu:8080/data/asl-ftp/asllvd/demos/verify_start_end_handshape_annotations//test_auto_move//signs_mov_separ_signers/Liz_5744.mov","MOV")</f>
        <v>21</v>
      </c>
    </row>
    <row r="5732" s="2" customFormat="1" ht="13.5" customHeight="1">
      <c r="B5732" s="13"/>
      <c r="C5732" t="s" s="9">
        <v>16</v>
      </c>
      <c r="D5732" t="s" s="8">
        <v>1957</v>
      </c>
      <c r="E5732" t="s" s="9">
        <v>1957</v>
      </c>
      <c r="F5732" t="s" s="10">
        <v>73</v>
      </c>
      <c r="G5732" t="s" s="11">
        <v>55</v>
      </c>
      <c r="H5732" t="s" s="10">
        <v>73</v>
      </c>
      <c r="I5732" t="s" s="11">
        <v>55</v>
      </c>
      <c r="J5732" t="s" s="11">
        <v>136</v>
      </c>
      <c r="K5732" t="s" s="16">
        <f>HYPERLINK("http://csr.bu.edu/ftp/asl/asllvd/demos/verify_start_end_handshape_annotations//test_auto_move//signs_mov/5744_5772_merged.mov","MOV")</f>
        <v>21</v>
      </c>
      <c r="L5732" t="s" s="16">
        <f>HYPERLINK("http://csr.bu.edu/ftp/asl/asllvd/demos/verify_start_end_handshape_annotations//test_auto_move//signs_mov_separ_signers/Liz_5772.mov","MOV")</f>
        <v>21</v>
      </c>
      <c r="M5732" t="s" s="10">
        <v>34</v>
      </c>
      <c r="N5732" s="17">
        <v>30</v>
      </c>
      <c r="O5732" s="18">
        <v>2645</v>
      </c>
      <c r="P5732" s="18">
        <v>2716</v>
      </c>
      <c r="Q5732" t="s" s="16">
        <f>HYPERLINK("http://secrets.rutgers.edu:8080/data/asl-ftp/asllvd/demos/verify_start_end_handshape_annotations//test_auto_move//signs_mov/5744_5772_merged.mov","MOV")</f>
        <v>21</v>
      </c>
      <c r="R5732" t="s" s="16">
        <f>HYPERLINK("http://secrets.rutgers.edu:8080/data/asl-ftp/asllvd/demos/verify_start_end_handshape_annotations//test_auto_move//signs_mov_separ_signers/Liz_5772.mov","MOV")</f>
        <v>21</v>
      </c>
    </row>
    <row r="5733" s="2" customFormat="1" ht="13.5" customHeight="1">
      <c r="B5733" s="13"/>
      <c r="C5733" t="s" s="9">
        <v>30</v>
      </c>
      <c r="D5733" t="s" s="8">
        <v>1957</v>
      </c>
      <c r="E5733" t="s" s="9">
        <v>1957</v>
      </c>
      <c r="F5733" t="s" s="10">
        <v>73</v>
      </c>
      <c r="G5733" t="s" s="11">
        <v>105</v>
      </c>
      <c r="H5733" t="s" s="10">
        <v>73</v>
      </c>
      <c r="I5733" t="s" s="11">
        <v>105</v>
      </c>
      <c r="J5733" t="s" s="11">
        <v>136</v>
      </c>
      <c r="K5733" s="15"/>
      <c r="L5733" t="s" s="16">
        <f>HYPERLINK("http://csr.bu.edu/ftp/asl/asllvd/demos/verify_start_end_handshape_annotations//test_auto_move//signs_mov_separ_signers/Brady_5744.mov","MOV")</f>
        <v>21</v>
      </c>
      <c r="M5733" t="s" s="10">
        <v>39</v>
      </c>
      <c r="N5733" s="17">
        <v>39</v>
      </c>
      <c r="O5733" s="18">
        <v>2956</v>
      </c>
      <c r="P5733" s="18">
        <v>3009</v>
      </c>
      <c r="Q5733" s="15"/>
      <c r="R5733" t="s" s="16">
        <f>HYPERLINK("http://secrets.rutgers.edu:8080/data/asl-ftp/asllvd/demos/verify_start_end_handshape_annotations//test_auto_move//signs_mov_separ_signers/Brady_5744.mov","MOV")</f>
        <v>21</v>
      </c>
    </row>
    <row r="5734" s="2" customFormat="1" ht="13.5" customHeight="1">
      <c r="B5734" s="13"/>
      <c r="C5734" t="s" s="9">
        <v>30</v>
      </c>
      <c r="D5734" t="s" s="8">
        <v>1957</v>
      </c>
      <c r="E5734" t="s" s="9">
        <v>1957</v>
      </c>
      <c r="F5734" t="s" s="10">
        <v>73</v>
      </c>
      <c r="G5734" t="s" s="11">
        <v>63</v>
      </c>
      <c r="H5734" t="s" s="10">
        <v>73</v>
      </c>
      <c r="I5734" t="s" s="11">
        <v>63</v>
      </c>
      <c r="J5734" t="s" s="11">
        <v>136</v>
      </c>
      <c r="K5734" s="15"/>
      <c r="L5734" t="s" s="16">
        <f>HYPERLINK("http://csr.bu.edu/ftp/asl/asllvd/demos/verify_start_end_handshape_annotations//test_auto_move//signs_mov_separ_signers/Brady_5772.mov","MOV")</f>
        <v>21</v>
      </c>
      <c r="M5734" t="s" s="10">
        <v>60</v>
      </c>
      <c r="N5734" s="17">
        <v>45</v>
      </c>
      <c r="O5734" s="18">
        <v>2462</v>
      </c>
      <c r="P5734" s="18">
        <v>2539</v>
      </c>
      <c r="Q5734" s="15"/>
      <c r="R5734" t="s" s="16">
        <f>HYPERLINK("http://secrets.rutgers.edu:8080/data/asl-ftp/asllvd/demos/verify_start_end_handshape_annotations//test_auto_move//signs_mov_separ_signers/Brady_5772.mov","MOV")</f>
        <v>21</v>
      </c>
    </row>
    <row r="5735" s="2" customFormat="1" ht="13.5" customHeight="1">
      <c r="B5735" t="s" s="8">
        <v>52</v>
      </c>
      <c r="C5735" t="s" s="9">
        <v>53</v>
      </c>
      <c r="D5735" t="s" s="8">
        <v>53</v>
      </c>
      <c r="E5735" t="s" s="9">
        <v>53</v>
      </c>
      <c r="F5735" t="s" s="10">
        <v>53</v>
      </c>
      <c r="G5735" t="s" s="11">
        <v>53</v>
      </c>
      <c r="H5735" t="s" s="10">
        <v>53</v>
      </c>
      <c r="I5735" t="s" s="11">
        <v>53</v>
      </c>
      <c r="J5735" t="s" s="11">
        <v>53</v>
      </c>
      <c r="K5735" t="s" s="12">
        <v>53</v>
      </c>
      <c r="L5735" t="s" s="12">
        <v>53</v>
      </c>
      <c r="M5735" t="s" s="10">
        <v>53</v>
      </c>
      <c r="N5735" t="s" s="11">
        <v>53</v>
      </c>
      <c r="O5735" t="s" s="8">
        <v>53</v>
      </c>
      <c r="P5735" t="s" s="8">
        <v>53</v>
      </c>
      <c r="Q5735" t="s" s="12">
        <v>53</v>
      </c>
      <c r="R5735" t="s" s="12">
        <v>53</v>
      </c>
    </row>
    <row r="5736" s="2" customFormat="1" ht="27.75" customHeight="1">
      <c r="B5736" s="13"/>
      <c r="C5736" t="s" s="9">
        <v>23</v>
      </c>
      <c r="D5736" t="s" s="8">
        <v>1957</v>
      </c>
      <c r="E5736" t="s" s="9">
        <v>1958</v>
      </c>
      <c r="F5736" t="s" s="10">
        <v>73</v>
      </c>
      <c r="G5736" t="s" s="11">
        <v>105</v>
      </c>
      <c r="H5736" t="s" s="10">
        <v>73</v>
      </c>
      <c r="I5736" t="s" s="11">
        <v>105</v>
      </c>
      <c r="J5736" t="s" s="11">
        <v>136</v>
      </c>
      <c r="K5736" s="15"/>
      <c r="L5736" t="s" s="16">
        <f>HYPERLINK("http://csr.bu.edu/ftp/asl/asllvd/demos/verify_start_end_handshape_annotations//test_auto_move//signs_mov_separ_signers/Tyler_5858.mov","MOV")</f>
        <v>21</v>
      </c>
      <c r="M5736" t="s" s="10">
        <v>37</v>
      </c>
      <c r="N5736" s="17">
        <v>5</v>
      </c>
      <c r="O5736" s="18">
        <v>846</v>
      </c>
      <c r="P5736" s="18">
        <v>910</v>
      </c>
      <c r="Q5736" s="15"/>
      <c r="R5736" t="s" s="16">
        <f>HYPERLINK("http://secrets.rutgers.edu:8080/data/asl-ftp/asllvd/demos/verify_start_end_handshape_annotations//test_auto_move//signs_mov_separ_signers/Tyler_5858.mov","MOV")</f>
        <v>21</v>
      </c>
    </row>
    <row r="5737" s="2" customFormat="1" ht="27.75" customHeight="1">
      <c r="B5737" s="13"/>
      <c r="C5737" t="s" s="9">
        <v>23</v>
      </c>
      <c r="D5737" t="s" s="8">
        <v>1957</v>
      </c>
      <c r="E5737" t="s" s="9">
        <v>1958</v>
      </c>
      <c r="F5737" t="s" s="10">
        <v>73</v>
      </c>
      <c r="G5737" t="s" s="11">
        <v>105</v>
      </c>
      <c r="H5737" t="s" s="10">
        <v>73</v>
      </c>
      <c r="I5737" t="s" s="11">
        <v>105</v>
      </c>
      <c r="J5737" t="s" s="11">
        <v>136</v>
      </c>
      <c r="K5737" t="s" s="16">
        <f>HYPERLINK("http://csr.bu.edu/ftp/asl/asllvd/demos/verify_start_end_handshape_annotations//test_auto_move//signs_mov/5858_5859_merged.mov","MOV")</f>
        <v>21</v>
      </c>
      <c r="L5737" t="s" s="16">
        <f>HYPERLINK("http://csr.bu.edu/ftp/asl/asllvd/demos/verify_start_end_handshape_annotations//test_auto_move//signs_mov_separ_signers/Tyler_5859.mov","MOV")</f>
        <v>21</v>
      </c>
      <c r="M5737" t="s" s="10">
        <v>37</v>
      </c>
      <c r="N5737" s="17">
        <v>5</v>
      </c>
      <c r="O5737" s="18">
        <v>1300</v>
      </c>
      <c r="P5737" s="18">
        <v>1370</v>
      </c>
      <c r="Q5737" t="s" s="16">
        <f>HYPERLINK("http://secrets.rutgers.edu:8080/data/asl-ftp/asllvd/demos/verify_start_end_handshape_annotations//test_auto_move//signs_mov/5858_5859_merged.mov","MOV")</f>
        <v>21</v>
      </c>
      <c r="R5737" t="s" s="16">
        <f>HYPERLINK("http://secrets.rutgers.edu:8080/data/asl-ftp/asllvd/demos/verify_start_end_handshape_annotations//test_auto_move//signs_mov_separ_signers/Tyler_5859.mov","MOV")</f>
        <v>21</v>
      </c>
    </row>
    <row r="5738" s="2" customFormat="1" ht="27.75" customHeight="1">
      <c r="B5738" s="13"/>
      <c r="C5738" t="s" s="9">
        <v>27</v>
      </c>
      <c r="D5738" t="s" s="8">
        <v>1957</v>
      </c>
      <c r="E5738" t="s" s="9">
        <v>1958</v>
      </c>
      <c r="F5738" t="s" s="10">
        <v>73</v>
      </c>
      <c r="G5738" t="s" s="11">
        <v>105</v>
      </c>
      <c r="H5738" t="s" s="10">
        <v>73</v>
      </c>
      <c r="I5738" t="s" s="11">
        <v>105</v>
      </c>
      <c r="J5738" t="s" s="11">
        <v>136</v>
      </c>
      <c r="K5738" s="15"/>
      <c r="L5738" t="s" s="16">
        <f>HYPERLINK("http://csr.bu.edu/ftp/asl/asllvd/demos/verify_start_end_handshape_annotations//test_auto_move//signs_mov_separ_signers/Naomi_5858.mov","MOV")</f>
        <v>21</v>
      </c>
      <c r="M5738" t="s" s="10">
        <v>38</v>
      </c>
      <c r="N5738" s="17">
        <v>25</v>
      </c>
      <c r="O5738" s="18">
        <v>1973</v>
      </c>
      <c r="P5738" s="18">
        <v>2035</v>
      </c>
      <c r="Q5738" s="15"/>
      <c r="R5738" t="s" s="16">
        <f>HYPERLINK("http://secrets.rutgers.edu:8080/data/asl-ftp/asllvd/demos/verify_start_end_handshape_annotations//test_auto_move//signs_mov_separ_signers/Naomi_5858.mov","MOV")</f>
        <v>21</v>
      </c>
    </row>
    <row r="5739" s="2" customFormat="1" ht="27.75" customHeight="1">
      <c r="B5739" s="13"/>
      <c r="C5739" t="s" s="9">
        <v>30</v>
      </c>
      <c r="D5739" t="s" s="8">
        <v>1957</v>
      </c>
      <c r="E5739" t="s" s="9">
        <v>1958</v>
      </c>
      <c r="F5739" t="s" s="10">
        <v>73</v>
      </c>
      <c r="G5739" t="s" s="11">
        <v>63</v>
      </c>
      <c r="H5739" t="s" s="10">
        <v>73</v>
      </c>
      <c r="I5739" t="s" s="11">
        <v>63</v>
      </c>
      <c r="J5739" t="s" s="11">
        <v>136</v>
      </c>
      <c r="K5739" s="15"/>
      <c r="L5739" t="s" s="16">
        <f>HYPERLINK("http://csr.bu.edu/ftp/asl/asllvd/demos/verify_start_end_handshape_annotations//test_auto_move//signs_mov_separ_signers/Brady_5858.mov","MOV")</f>
        <v>21</v>
      </c>
      <c r="M5739" t="s" s="10">
        <v>39</v>
      </c>
      <c r="N5739" s="17">
        <v>39</v>
      </c>
      <c r="O5739" s="18">
        <v>2406</v>
      </c>
      <c r="P5739" s="18">
        <v>2466</v>
      </c>
      <c r="Q5739" s="15"/>
      <c r="R5739" t="s" s="16">
        <f>HYPERLINK("http://secrets.rutgers.edu:8080/data/asl-ftp/asllvd/demos/verify_start_end_handshape_annotations//test_auto_move//signs_mov_separ_signers/Brady_5858.mov","MOV")</f>
        <v>21</v>
      </c>
    </row>
    <row r="5740" s="2" customFormat="1" ht="13.5" customHeight="1">
      <c r="B5740" t="s" s="8">
        <v>1959</v>
      </c>
      <c r="C5740" t="s" s="9">
        <v>14</v>
      </c>
      <c r="D5740" t="s" s="8">
        <v>14</v>
      </c>
      <c r="E5740" t="s" s="9">
        <v>14</v>
      </c>
      <c r="F5740" t="s" s="10">
        <v>14</v>
      </c>
      <c r="G5740" t="s" s="11">
        <v>14</v>
      </c>
      <c r="H5740" t="s" s="10">
        <v>14</v>
      </c>
      <c r="I5740" t="s" s="11">
        <v>14</v>
      </c>
      <c r="J5740" t="s" s="11">
        <v>14</v>
      </c>
      <c r="K5740" t="s" s="12">
        <v>14</v>
      </c>
      <c r="L5740" t="s" s="12">
        <v>14</v>
      </c>
      <c r="M5740" t="s" s="10">
        <v>14</v>
      </c>
      <c r="N5740" t="s" s="11">
        <v>14</v>
      </c>
      <c r="O5740" t="s" s="8">
        <v>14</v>
      </c>
      <c r="P5740" t="s" s="8">
        <v>14</v>
      </c>
      <c r="Q5740" t="s" s="12">
        <v>14</v>
      </c>
      <c r="R5740" t="s" s="12">
        <v>14</v>
      </c>
    </row>
    <row r="5741" s="2" customFormat="1" ht="13.5" customHeight="1">
      <c r="B5741" s="13"/>
      <c r="C5741" t="s" s="9">
        <v>16</v>
      </c>
      <c r="D5741" t="s" s="8">
        <v>1959</v>
      </c>
      <c r="E5741" t="s" s="9">
        <v>1959</v>
      </c>
      <c r="F5741" t="s" s="10">
        <v>119</v>
      </c>
      <c r="G5741" t="s" s="11">
        <v>185</v>
      </c>
      <c r="H5741" t="s" s="10">
        <v>119</v>
      </c>
      <c r="I5741" t="s" s="11">
        <v>185</v>
      </c>
      <c r="J5741" t="s" s="11">
        <v>20</v>
      </c>
      <c r="K5741" s="15"/>
      <c r="L5741" t="s" s="16">
        <f>HYPERLINK("http://csr.bu.edu/ftp/asl/asllvd/demos/verify_start_end_handshape_annotations//test_auto_move//signs_mov_separ_signers/Liz_1247.mov","MOV")</f>
        <v>21</v>
      </c>
      <c r="M5741" t="s" s="10">
        <v>34</v>
      </c>
      <c r="N5741" s="17">
        <v>30</v>
      </c>
      <c r="O5741" s="18">
        <v>3212</v>
      </c>
      <c r="P5741" s="18">
        <v>3250</v>
      </c>
      <c r="Q5741" s="15"/>
      <c r="R5741" t="s" s="16">
        <f>HYPERLINK("http://secrets.rutgers.edu:8080/data/asl-ftp/asllvd/demos/verify_start_end_handshape_annotations//test_auto_move//signs_mov_separ_signers/Liz_1247.mov","MOV")</f>
        <v>21</v>
      </c>
    </row>
    <row r="5742" s="2" customFormat="1" ht="13.5" customHeight="1">
      <c r="B5742" s="13"/>
      <c r="C5742" t="s" s="9">
        <v>16</v>
      </c>
      <c r="D5742" t="s" s="8">
        <v>1959</v>
      </c>
      <c r="E5742" t="s" s="9">
        <v>1960</v>
      </c>
      <c r="F5742" t="s" s="10">
        <v>119</v>
      </c>
      <c r="G5742" t="s" s="11">
        <v>158</v>
      </c>
      <c r="H5742" t="s" s="10">
        <v>119</v>
      </c>
      <c r="I5742" t="s" s="11">
        <v>158</v>
      </c>
      <c r="J5742" t="s" s="11">
        <v>20</v>
      </c>
      <c r="K5742" s="15"/>
      <c r="L5742" t="s" s="16">
        <f>HYPERLINK("http://csr.bu.edu/ftp/asl/asllvd/demos/verify_start_end_handshape_annotations//test_auto_move//signs_mov_separ_signers/Liz_15122.mov","MOV")</f>
        <v>21</v>
      </c>
      <c r="M5742" t="s" s="10">
        <v>34</v>
      </c>
      <c r="N5742" s="17">
        <v>32</v>
      </c>
      <c r="O5742" s="18">
        <v>910</v>
      </c>
      <c r="P5742" s="18">
        <v>950</v>
      </c>
      <c r="Q5742" s="15"/>
      <c r="R5742" t="s" s="16">
        <f>HYPERLINK("http://secrets.rutgers.edu:8080/data/asl-ftp/asllvd/demos/verify_start_end_handshape_annotations//test_auto_move//signs_mov_separ_signers/Liz_15122.mov","MOV")</f>
        <v>21</v>
      </c>
    </row>
    <row r="5743" s="2" customFormat="1" ht="13.5" customHeight="1">
      <c r="B5743" s="13"/>
      <c r="C5743" t="s" s="9">
        <v>23</v>
      </c>
      <c r="D5743" t="s" s="8">
        <v>1959</v>
      </c>
      <c r="E5743" t="s" s="9">
        <v>1959</v>
      </c>
      <c r="F5743" t="s" s="10">
        <v>119</v>
      </c>
      <c r="G5743" t="s" s="11">
        <v>244</v>
      </c>
      <c r="H5743" t="s" s="10">
        <v>119</v>
      </c>
      <c r="I5743" t="s" s="11">
        <v>244</v>
      </c>
      <c r="J5743" t="s" s="11">
        <v>20</v>
      </c>
      <c r="K5743" s="15"/>
      <c r="L5743" t="s" s="16">
        <f>HYPERLINK("http://csr.bu.edu/ftp/asl/asllvd/demos/verify_start_end_handshape_annotations//test_auto_move//signs_mov_separ_signers/Tyler_1247.mov","MOV")</f>
        <v>21</v>
      </c>
      <c r="M5743" t="s" s="10">
        <v>37</v>
      </c>
      <c r="N5743" s="17">
        <v>5</v>
      </c>
      <c r="O5743" s="18">
        <v>1620</v>
      </c>
      <c r="P5743" s="18">
        <v>1641</v>
      </c>
      <c r="Q5743" s="15"/>
      <c r="R5743" t="s" s="16">
        <f>HYPERLINK("http://secrets.rutgers.edu:8080/data/asl-ftp/asllvd/demos/verify_start_end_handshape_annotations//test_auto_move//signs_mov_separ_signers/Tyler_1247.mov","MOV")</f>
        <v>21</v>
      </c>
    </row>
    <row r="5744" s="2" customFormat="1" ht="13.5" customHeight="1">
      <c r="B5744" s="13"/>
      <c r="C5744" t="s" s="9">
        <v>23</v>
      </c>
      <c r="D5744" t="s" s="8">
        <v>1959</v>
      </c>
      <c r="E5744" t="s" s="9">
        <v>1960</v>
      </c>
      <c r="F5744" t="s" s="10">
        <v>119</v>
      </c>
      <c r="G5744" t="s" s="11">
        <v>185</v>
      </c>
      <c r="H5744" t="s" s="10">
        <v>119</v>
      </c>
      <c r="I5744" t="s" s="11">
        <v>185</v>
      </c>
      <c r="J5744" t="s" s="11">
        <v>20</v>
      </c>
      <c r="K5744" s="15"/>
      <c r="L5744" t="s" s="16">
        <f>HYPERLINK("http://csr.bu.edu/ftp/asl/asllvd/demos/verify_start_end_handshape_annotations//test_auto_move//signs_mov_separ_signers/Tyler_15122.mov","MOV")</f>
        <v>21</v>
      </c>
      <c r="M5744" t="s" s="10">
        <v>37</v>
      </c>
      <c r="N5744" s="17">
        <v>7</v>
      </c>
      <c r="O5744" s="18">
        <v>1040</v>
      </c>
      <c r="P5744" s="18">
        <v>1087</v>
      </c>
      <c r="Q5744" s="15"/>
      <c r="R5744" t="s" s="16">
        <f>HYPERLINK("http://secrets.rutgers.edu:8080/data/asl-ftp/asllvd/demos/verify_start_end_handshape_annotations//test_auto_move//signs_mov_separ_signers/Tyler_15122.mov","MOV")</f>
        <v>21</v>
      </c>
    </row>
    <row r="5745" s="2" customFormat="1" ht="13.5" customHeight="1">
      <c r="B5745" s="13"/>
      <c r="C5745" t="s" s="9">
        <v>27</v>
      </c>
      <c r="D5745" t="s" s="8">
        <v>1959</v>
      </c>
      <c r="E5745" t="s" s="9">
        <v>1959</v>
      </c>
      <c r="F5745" s="19">
        <v>5</v>
      </c>
      <c r="G5745" t="s" s="11">
        <v>72</v>
      </c>
      <c r="H5745" t="s" s="10">
        <v>119</v>
      </c>
      <c r="I5745" t="s" s="11">
        <v>150</v>
      </c>
      <c r="J5745" t="s" s="11">
        <v>20</v>
      </c>
      <c r="K5745" t="s" s="16">
        <f>HYPERLINK("http://csr.bu.edu/ftp/asl/asllvd/demos/verify_start_end_handshape_annotations//test_auto_move//signs_mov/1247_15122_merged.mov","MOV")</f>
        <v>21</v>
      </c>
      <c r="L5745" t="s" s="16">
        <f>HYPERLINK("http://csr.bu.edu/ftp/asl/asllvd/demos/verify_start_end_handshape_annotations//test_auto_move//signs_mov_separ_signers/Naomi_1247.mov","MOV")</f>
        <v>21</v>
      </c>
      <c r="M5745" t="s" s="10">
        <v>38</v>
      </c>
      <c r="N5745" s="17">
        <v>25</v>
      </c>
      <c r="O5745" s="18">
        <v>3152</v>
      </c>
      <c r="P5745" s="18">
        <v>3175</v>
      </c>
      <c r="Q5745" t="s" s="16">
        <f>HYPERLINK("http://secrets.rutgers.edu:8080/data/asl-ftp/asllvd/demos/verify_start_end_handshape_annotations//test_auto_move//signs_mov/1247_15122_merged.mov","MOV")</f>
        <v>21</v>
      </c>
      <c r="R5745" t="s" s="16">
        <f>HYPERLINK("http://secrets.rutgers.edu:8080/data/asl-ftp/asllvd/demos/verify_start_end_handshape_annotations//test_auto_move//signs_mov_separ_signers/Naomi_1247.mov","MOV")</f>
        <v>21</v>
      </c>
    </row>
    <row r="5746" s="2" customFormat="1" ht="13.5" customHeight="1">
      <c r="B5746" s="13"/>
      <c r="C5746" t="s" s="9">
        <v>27</v>
      </c>
      <c r="D5746" t="s" s="8">
        <v>1959</v>
      </c>
      <c r="E5746" t="s" s="9">
        <v>1961</v>
      </c>
      <c r="F5746" t="s" s="10">
        <v>119</v>
      </c>
      <c r="G5746" t="s" s="11">
        <v>185</v>
      </c>
      <c r="H5746" t="s" s="10">
        <v>119</v>
      </c>
      <c r="I5746" t="s" s="11">
        <v>185</v>
      </c>
      <c r="J5746" t="s" s="11">
        <v>20</v>
      </c>
      <c r="K5746" s="15"/>
      <c r="L5746" t="s" s="16">
        <f>HYPERLINK("http://csr.bu.edu/ftp/asl/asllvd/demos/verify_start_end_handshape_annotations//test_auto_move//signs_mov_separ_signers/Naomi_15122.mov","MOV")</f>
        <v>21</v>
      </c>
      <c r="M5746" t="s" s="10">
        <v>38</v>
      </c>
      <c r="N5746" s="17">
        <v>27</v>
      </c>
      <c r="O5746" s="18">
        <v>900</v>
      </c>
      <c r="P5746" s="18">
        <v>943</v>
      </c>
      <c r="Q5746" s="15"/>
      <c r="R5746" t="s" s="16">
        <f>HYPERLINK("http://secrets.rutgers.edu:8080/data/asl-ftp/asllvd/demos/verify_start_end_handshape_annotations//test_auto_move//signs_mov_separ_signers/Naomi_15122.mov","MOV")</f>
        <v>21</v>
      </c>
    </row>
    <row r="5747" s="2" customFormat="1" ht="13.5" customHeight="1">
      <c r="B5747" s="13"/>
      <c r="C5747" t="s" s="9">
        <v>30</v>
      </c>
      <c r="D5747" t="s" s="8">
        <v>1959</v>
      </c>
      <c r="E5747" t="s" s="9">
        <v>1959</v>
      </c>
      <c r="F5747" t="s" s="10">
        <v>119</v>
      </c>
      <c r="G5747" t="s" s="11">
        <v>185</v>
      </c>
      <c r="H5747" t="s" s="10">
        <v>119</v>
      </c>
      <c r="I5747" t="s" s="11">
        <v>185</v>
      </c>
      <c r="J5747" t="s" s="11">
        <v>20</v>
      </c>
      <c r="K5747" s="15"/>
      <c r="L5747" t="s" s="16">
        <f>HYPERLINK("http://csr.bu.edu/ftp/asl/asllvd/demos/verify_start_end_handshape_annotations//test_auto_move//signs_mov_separ_signers/Brady_1247.mov","MOV")</f>
        <v>21</v>
      </c>
      <c r="M5747" t="s" s="10">
        <v>39</v>
      </c>
      <c r="N5747" s="17">
        <v>39</v>
      </c>
      <c r="O5747" s="18">
        <v>3513</v>
      </c>
      <c r="P5747" s="18">
        <v>3529</v>
      </c>
      <c r="Q5747" s="15"/>
      <c r="R5747" t="s" s="16">
        <f>HYPERLINK("http://secrets.rutgers.edu:8080/data/asl-ftp/asllvd/demos/verify_start_end_handshape_annotations//test_auto_move//signs_mov_separ_signers/Brady_1247.mov","MOV")</f>
        <v>21</v>
      </c>
    </row>
    <row r="5748" s="2" customFormat="1" ht="13.5" customHeight="1">
      <c r="B5748" s="13"/>
      <c r="C5748" t="s" s="9">
        <v>30</v>
      </c>
      <c r="D5748" t="s" s="8">
        <v>1959</v>
      </c>
      <c r="E5748" t="s" s="9">
        <v>1961</v>
      </c>
      <c r="F5748" t="s" s="10">
        <v>119</v>
      </c>
      <c r="G5748" t="s" s="11">
        <v>185</v>
      </c>
      <c r="H5748" t="s" s="10">
        <v>119</v>
      </c>
      <c r="I5748" t="s" s="11">
        <v>185</v>
      </c>
      <c r="J5748" t="s" s="11">
        <v>20</v>
      </c>
      <c r="K5748" s="15"/>
      <c r="L5748" t="s" s="16">
        <f>HYPERLINK("http://csr.bu.edu/ftp/asl/asllvd/demos/verify_start_end_handshape_annotations//test_auto_move//signs_mov_separ_signers/Brady_15122.mov","MOV")</f>
        <v>21</v>
      </c>
      <c r="M5748" t="s" s="10">
        <v>39</v>
      </c>
      <c r="N5748" s="17">
        <v>40</v>
      </c>
      <c r="O5748" s="18">
        <v>4414</v>
      </c>
      <c r="P5748" s="18">
        <v>4439</v>
      </c>
      <c r="Q5748" s="15"/>
      <c r="R5748" t="s" s="16">
        <f>HYPERLINK("http://secrets.rutgers.edu:8080/data/asl-ftp/asllvd/demos/verify_start_end_handshape_annotations//test_auto_move//signs_mov_separ_signers/Brady_15122.mov","MOV")</f>
        <v>21</v>
      </c>
    </row>
    <row r="5749" s="2" customFormat="1" ht="13.5" customHeight="1">
      <c r="B5749" s="13"/>
      <c r="C5749" t="s" s="9">
        <v>41</v>
      </c>
      <c r="D5749" t="s" s="8">
        <v>1959</v>
      </c>
      <c r="E5749" t="s" s="9">
        <v>1961</v>
      </c>
      <c r="F5749" t="s" s="10">
        <v>119</v>
      </c>
      <c r="G5749" t="s" s="11">
        <v>119</v>
      </c>
      <c r="H5749" t="s" s="10">
        <v>119</v>
      </c>
      <c r="I5749" t="s" s="11">
        <v>119</v>
      </c>
      <c r="J5749" t="s" s="11">
        <v>20</v>
      </c>
      <c r="K5749" s="15"/>
      <c r="L5749" t="s" s="16">
        <f>HYPERLINK("http://csr.bu.edu/ftp/asl/asllvd/demos/verify_start_end_handshape_annotations//test_auto_move//signs_mov_separ_signers/Lana_1247.mov","MOV")</f>
        <v>21</v>
      </c>
      <c r="M5749" t="s" s="10">
        <v>42</v>
      </c>
      <c r="N5749" s="17">
        <v>15</v>
      </c>
      <c r="O5749" s="18">
        <v>774</v>
      </c>
      <c r="P5749" s="18">
        <v>804</v>
      </c>
      <c r="Q5749" s="15"/>
      <c r="R5749" t="s" s="16">
        <f>HYPERLINK("http://secrets.rutgers.edu:8080/data/asl-ftp/asllvd/demos/verify_start_end_handshape_annotations//test_auto_move//signs_mov_separ_signers/Lana_1247.mov","MOV")</f>
        <v>21</v>
      </c>
    </row>
    <row r="5750" s="2" customFormat="1" ht="13.5" customHeight="1">
      <c r="B5750" s="13"/>
      <c r="C5750" t="s" s="9">
        <v>43</v>
      </c>
      <c r="D5750" t="s" s="8">
        <v>1959</v>
      </c>
      <c r="E5750" t="s" s="9">
        <v>1961</v>
      </c>
      <c r="F5750" t="s" s="10">
        <v>119</v>
      </c>
      <c r="G5750" t="s" s="11">
        <v>185</v>
      </c>
      <c r="H5750" t="s" s="10">
        <v>119</v>
      </c>
      <c r="I5750" t="s" s="11">
        <v>185</v>
      </c>
      <c r="J5750" t="s" s="11">
        <v>20</v>
      </c>
      <c r="K5750" s="15"/>
      <c r="L5750" t="s" s="16">
        <f>HYPERLINK("http://csr.bu.edu/ftp/asl/asllvd/demos/verify_start_end_handshape_annotations//test_auto_move//signs_mov_separ_signers/Dana_1247.mov","MOV")</f>
        <v>21</v>
      </c>
      <c r="M5750" t="s" s="10">
        <v>44</v>
      </c>
      <c r="N5750" s="17">
        <v>18</v>
      </c>
      <c r="O5750" s="18">
        <v>701</v>
      </c>
      <c r="P5750" s="18">
        <v>756</v>
      </c>
      <c r="Q5750" s="15"/>
      <c r="R5750" t="s" s="16">
        <f>HYPERLINK("http://secrets.rutgers.edu:8080/data/asl-ftp/asllvd/demos/verify_start_end_handshape_annotations//test_auto_move//signs_mov_separ_signers/Dana_1247.mov","MOV")</f>
        <v>21</v>
      </c>
    </row>
    <row r="5751" s="2" customFormat="1" ht="13.5" customHeight="1">
      <c r="B5751" t="s" s="8">
        <v>1962</v>
      </c>
      <c r="C5751" t="s" s="9">
        <v>14</v>
      </c>
      <c r="D5751" t="s" s="8">
        <v>14</v>
      </c>
      <c r="E5751" t="s" s="9">
        <v>14</v>
      </c>
      <c r="F5751" t="s" s="10">
        <v>14</v>
      </c>
      <c r="G5751" t="s" s="11">
        <v>14</v>
      </c>
      <c r="H5751" t="s" s="10">
        <v>14</v>
      </c>
      <c r="I5751" t="s" s="11">
        <v>14</v>
      </c>
      <c r="J5751" t="s" s="11">
        <v>14</v>
      </c>
      <c r="K5751" t="s" s="12">
        <v>14</v>
      </c>
      <c r="L5751" t="s" s="12">
        <v>14</v>
      </c>
      <c r="M5751" t="s" s="10">
        <v>14</v>
      </c>
      <c r="N5751" t="s" s="11">
        <v>14</v>
      </c>
      <c r="O5751" t="s" s="8">
        <v>14</v>
      </c>
      <c r="P5751" t="s" s="8">
        <v>14</v>
      </c>
      <c r="Q5751" t="s" s="12">
        <v>14</v>
      </c>
      <c r="R5751" t="s" s="12">
        <v>14</v>
      </c>
    </row>
    <row r="5752" s="2" customFormat="1" ht="13.5" customHeight="1">
      <c r="B5752" s="13"/>
      <c r="C5752" t="s" s="9">
        <v>16</v>
      </c>
      <c r="D5752" t="s" s="8">
        <v>1962</v>
      </c>
      <c r="E5752" t="s" s="9">
        <v>1963</v>
      </c>
      <c r="F5752" t="s" s="10">
        <v>119</v>
      </c>
      <c r="G5752" t="s" s="11">
        <v>244</v>
      </c>
      <c r="H5752" t="s" s="10">
        <v>119</v>
      </c>
      <c r="I5752" t="s" s="11">
        <v>244</v>
      </c>
      <c r="J5752" t="s" s="11">
        <v>20</v>
      </c>
      <c r="K5752" s="15"/>
      <c r="L5752" t="s" s="16">
        <f>HYPERLINK("http://csr.bu.edu/ftp/asl/asllvd/demos/verify_start_end_handshape_annotations//test_auto_move//signs_mov_separ_signers/Liz_16071.mov","MOV")</f>
        <v>21</v>
      </c>
      <c r="M5752" t="s" s="10">
        <v>36</v>
      </c>
      <c r="N5752" s="17">
        <v>22</v>
      </c>
      <c r="O5752" s="18">
        <v>2355</v>
      </c>
      <c r="P5752" s="18">
        <v>2435</v>
      </c>
      <c r="Q5752" s="15"/>
      <c r="R5752" t="s" s="16">
        <f>HYPERLINK("http://secrets.rutgers.edu:8080/data/asl-ftp/asllvd/demos/verify_start_end_handshape_annotations//test_auto_move//signs_mov_separ_signers/Liz_16071.mov","MOV")</f>
        <v>21</v>
      </c>
    </row>
    <row r="5753" s="2" customFormat="1" ht="13.5" customHeight="1">
      <c r="B5753" s="13"/>
      <c r="C5753" t="s" s="9">
        <v>30</v>
      </c>
      <c r="D5753" t="s" s="8">
        <v>1962</v>
      </c>
      <c r="E5753" t="s" s="9">
        <v>1963</v>
      </c>
      <c r="F5753" t="s" s="10">
        <v>119</v>
      </c>
      <c r="G5753" t="s" s="11">
        <v>244</v>
      </c>
      <c r="H5753" t="s" s="10">
        <v>119</v>
      </c>
      <c r="I5753" t="s" s="11">
        <v>244</v>
      </c>
      <c r="J5753" t="s" s="11">
        <v>20</v>
      </c>
      <c r="K5753" t="s" s="16">
        <f>HYPERLINK("http://csr.bu.edu/ftp/asl/asllvd/demos/verify_start_end_handshape_annotations//test_auto_move//signs_mov/16071.mov","MOV")</f>
        <v>21</v>
      </c>
      <c r="L5753" t="s" s="16">
        <f>HYPERLINK("http://csr.bu.edu/ftp/asl/asllvd/demos/verify_start_end_handshape_annotations//test_auto_move//signs_mov_separ_signers/Brady_16071.mov","MOV")</f>
        <v>21</v>
      </c>
      <c r="M5753" t="s" s="10">
        <v>40</v>
      </c>
      <c r="N5753" s="17">
        <v>72</v>
      </c>
      <c r="O5753" s="18">
        <v>2432</v>
      </c>
      <c r="P5753" s="18">
        <v>2479</v>
      </c>
      <c r="Q5753" t="s" s="16">
        <f>HYPERLINK("http://secrets.rutgers.edu:8080/data/asl-ftp/asllvd/demos/verify_start_end_handshape_annotations//test_auto_move//signs_mov/16071.mov","MOV")</f>
        <v>21</v>
      </c>
      <c r="R5753" t="s" s="16">
        <f>HYPERLINK("http://secrets.rutgers.edu:8080/data/asl-ftp/asllvd/demos/verify_start_end_handshape_annotations//test_auto_move//signs_mov_separ_signers/Brady_16071.mov","MOV")</f>
        <v>21</v>
      </c>
    </row>
    <row r="5754" s="2" customFormat="1" ht="13.5" customHeight="1">
      <c r="B5754" s="13"/>
      <c r="C5754" t="s" s="9">
        <v>43</v>
      </c>
      <c r="D5754" t="s" s="8">
        <v>1962</v>
      </c>
      <c r="E5754" t="s" s="9">
        <v>1963</v>
      </c>
      <c r="F5754" t="s" s="10">
        <v>119</v>
      </c>
      <c r="G5754" t="s" s="11">
        <v>185</v>
      </c>
      <c r="H5754" t="s" s="10">
        <v>119</v>
      </c>
      <c r="I5754" t="s" s="11">
        <v>185</v>
      </c>
      <c r="J5754" t="s" s="11">
        <v>20</v>
      </c>
      <c r="K5754" s="15"/>
      <c r="L5754" t="s" s="16">
        <f>HYPERLINK("http://csr.bu.edu/ftp/asl/asllvd/demos/verify_start_end_handshape_annotations//test_auto_move//signs_mov_separ_signers/Dana_16071.mov","MOV")</f>
        <v>21</v>
      </c>
      <c r="M5754" t="s" s="10">
        <v>44</v>
      </c>
      <c r="N5754" s="17">
        <v>26</v>
      </c>
      <c r="O5754" s="18">
        <v>2096</v>
      </c>
      <c r="P5754" s="18">
        <v>2168</v>
      </c>
      <c r="Q5754" s="15"/>
      <c r="R5754" t="s" s="16">
        <f>HYPERLINK("http://secrets.rutgers.edu:8080/data/asl-ftp/asllvd/demos/verify_start_end_handshape_annotations//test_auto_move//signs_mov_separ_signers/Dana_16071.mov","MOV")</f>
        <v>21</v>
      </c>
    </row>
    <row r="5755" s="2" customFormat="1" ht="13.5" customHeight="1">
      <c r="B5755" t="s" s="8">
        <v>1964</v>
      </c>
      <c r="C5755" t="s" s="9">
        <v>14</v>
      </c>
      <c r="D5755" t="s" s="8">
        <v>14</v>
      </c>
      <c r="E5755" t="s" s="9">
        <v>14</v>
      </c>
      <c r="F5755" t="s" s="10">
        <v>14</v>
      </c>
      <c r="G5755" t="s" s="11">
        <v>14</v>
      </c>
      <c r="H5755" t="s" s="10">
        <v>14</v>
      </c>
      <c r="I5755" t="s" s="11">
        <v>14</v>
      </c>
      <c r="J5755" t="s" s="11">
        <v>14</v>
      </c>
      <c r="K5755" t="s" s="12">
        <v>14</v>
      </c>
      <c r="L5755" t="s" s="12">
        <v>14</v>
      </c>
      <c r="M5755" t="s" s="10">
        <v>14</v>
      </c>
      <c r="N5755" t="s" s="11">
        <v>14</v>
      </c>
      <c r="O5755" t="s" s="8">
        <v>14</v>
      </c>
      <c r="P5755" t="s" s="8">
        <v>14</v>
      </c>
      <c r="Q5755" t="s" s="12">
        <v>14</v>
      </c>
      <c r="R5755" t="s" s="12">
        <v>14</v>
      </c>
    </row>
    <row r="5756" s="2" customFormat="1" ht="13.5" customHeight="1">
      <c r="B5756" s="13"/>
      <c r="C5756" t="s" s="9">
        <v>16</v>
      </c>
      <c r="D5756" t="s" s="8">
        <v>1964</v>
      </c>
      <c r="E5756" t="s" s="9">
        <v>1964</v>
      </c>
      <c r="F5756" t="s" s="10">
        <v>240</v>
      </c>
      <c r="G5756" t="s" s="11">
        <v>240</v>
      </c>
      <c r="H5756" t="s" s="10">
        <v>240</v>
      </c>
      <c r="I5756" t="s" s="11">
        <v>240</v>
      </c>
      <c r="J5756" t="s" s="11">
        <v>20</v>
      </c>
      <c r="K5756" s="15"/>
      <c r="L5756" t="s" s="16">
        <f>HYPERLINK("http://csr.bu.edu/ftp/asl/asllvd/demos/verify_start_end_handshape_annotations//test_auto_move//signs_mov_separ_signers/Liz_1249.mov","MOV")</f>
        <v>21</v>
      </c>
      <c r="M5756" t="s" s="10">
        <v>34</v>
      </c>
      <c r="N5756" s="17">
        <v>30</v>
      </c>
      <c r="O5756" s="18">
        <v>3655</v>
      </c>
      <c r="P5756" s="18">
        <v>3715</v>
      </c>
      <c r="Q5756" s="15"/>
      <c r="R5756" t="s" s="16">
        <f>HYPERLINK("http://secrets.rutgers.edu:8080/data/asl-ftp/asllvd/demos/verify_start_end_handshape_annotations//test_auto_move//signs_mov_separ_signers/Liz_1249.mov","MOV")</f>
        <v>21</v>
      </c>
    </row>
    <row r="5757" s="2" customFormat="1" ht="13.5" customHeight="1">
      <c r="B5757" s="13"/>
      <c r="C5757" t="s" s="9">
        <v>16</v>
      </c>
      <c r="D5757" t="s" s="8">
        <v>1964</v>
      </c>
      <c r="E5757" t="s" s="9">
        <v>1965</v>
      </c>
      <c r="F5757" t="s" s="10">
        <v>240</v>
      </c>
      <c r="G5757" t="s" s="11">
        <v>240</v>
      </c>
      <c r="H5757" t="s" s="10">
        <v>240</v>
      </c>
      <c r="I5757" t="s" s="11">
        <v>240</v>
      </c>
      <c r="J5757" t="s" s="11">
        <v>20</v>
      </c>
      <c r="K5757" s="15"/>
      <c r="L5757" t="s" s="16">
        <f>HYPERLINK("http://csr.bu.edu/ftp/asl/asllvd/demos/verify_start_end_handshape_annotations//test_auto_move//signs_mov_separ_signers/Liz_5478.mov","MOV")</f>
        <v>21</v>
      </c>
      <c r="M5757" t="s" s="10">
        <v>77</v>
      </c>
      <c r="N5757" s="17">
        <v>23</v>
      </c>
      <c r="O5757" s="18">
        <v>460</v>
      </c>
      <c r="P5757" s="18">
        <v>536</v>
      </c>
      <c r="Q5757" s="15"/>
      <c r="R5757" t="s" s="16">
        <f>HYPERLINK("http://secrets.rutgers.edu:8080/data/asl-ftp/asllvd/demos/verify_start_end_handshape_annotations//test_auto_move//signs_mov_separ_signers/Liz_5478.mov","MOV")</f>
        <v>21</v>
      </c>
    </row>
    <row r="5758" s="2" customFormat="1" ht="13.5" customHeight="1">
      <c r="B5758" s="13"/>
      <c r="C5758" t="s" s="9">
        <v>23</v>
      </c>
      <c r="D5758" t="s" s="8">
        <v>1964</v>
      </c>
      <c r="E5758" t="s" s="9">
        <v>1964</v>
      </c>
      <c r="F5758" t="s" s="10">
        <v>240</v>
      </c>
      <c r="G5758" t="s" s="11">
        <v>240</v>
      </c>
      <c r="H5758" t="s" s="10">
        <v>344</v>
      </c>
      <c r="I5758" t="s" s="11">
        <v>240</v>
      </c>
      <c r="J5758" t="s" s="11">
        <v>20</v>
      </c>
      <c r="K5758" s="15"/>
      <c r="L5758" t="s" s="16">
        <f>HYPERLINK("http://csr.bu.edu/ftp/asl/asllvd/demos/verify_start_end_handshape_annotations//test_auto_move//signs_mov_separ_signers/Tyler_1249.mov","MOV")</f>
        <v>21</v>
      </c>
      <c r="M5758" t="s" s="10">
        <v>37</v>
      </c>
      <c r="N5758" s="17">
        <v>5</v>
      </c>
      <c r="O5758" s="18">
        <v>2040</v>
      </c>
      <c r="P5758" s="18">
        <v>2067</v>
      </c>
      <c r="Q5758" s="15"/>
      <c r="R5758" t="s" s="16">
        <f>HYPERLINK("http://secrets.rutgers.edu:8080/data/asl-ftp/asllvd/demos/verify_start_end_handshape_annotations//test_auto_move//signs_mov_separ_signers/Tyler_1249.mov","MOV")</f>
        <v>21</v>
      </c>
    </row>
    <row r="5759" s="2" customFormat="1" ht="13.5" customHeight="1">
      <c r="B5759" s="13"/>
      <c r="C5759" t="s" s="9">
        <v>27</v>
      </c>
      <c r="D5759" t="s" s="8">
        <v>1964</v>
      </c>
      <c r="E5759" t="s" s="9">
        <v>1964</v>
      </c>
      <c r="F5759" t="s" s="10">
        <v>240</v>
      </c>
      <c r="G5759" t="s" s="11">
        <v>240</v>
      </c>
      <c r="H5759" t="s" s="10">
        <v>240</v>
      </c>
      <c r="I5759" t="s" s="11">
        <v>240</v>
      </c>
      <c r="J5759" t="s" s="11">
        <v>20</v>
      </c>
      <c r="K5759" t="s" s="16">
        <f>HYPERLINK("http://csr.bu.edu/ftp/asl/asllvd/demos/verify_start_end_handshape_annotations//test_auto_move//signs_mov/1249_5478_merged.mov","MOV")</f>
        <v>21</v>
      </c>
      <c r="L5759" t="s" s="16">
        <f>HYPERLINK("http://csr.bu.edu/ftp/asl/asllvd/demos/verify_start_end_handshape_annotations//test_auto_move//signs_mov_separ_signers/Naomi_1249.mov","MOV")</f>
        <v>21</v>
      </c>
      <c r="M5759" t="s" s="10">
        <v>38</v>
      </c>
      <c r="N5759" s="17">
        <v>25</v>
      </c>
      <c r="O5759" s="18">
        <v>3767</v>
      </c>
      <c r="P5759" s="18">
        <v>3786</v>
      </c>
      <c r="Q5759" t="s" s="16">
        <f>HYPERLINK("http://secrets.rutgers.edu:8080/data/asl-ftp/asllvd/demos/verify_start_end_handshape_annotations//test_auto_move//signs_mov/1249_5478_merged.mov","MOV")</f>
        <v>21</v>
      </c>
      <c r="R5759" t="s" s="16">
        <f>HYPERLINK("http://secrets.rutgers.edu:8080/data/asl-ftp/asllvd/demos/verify_start_end_handshape_annotations//test_auto_move//signs_mov_separ_signers/Naomi_1249.mov","MOV")</f>
        <v>21</v>
      </c>
    </row>
    <row r="5760" s="2" customFormat="1" ht="13.5" customHeight="1">
      <c r="B5760" s="13"/>
      <c r="C5760" t="s" s="9">
        <v>30</v>
      </c>
      <c r="D5760" t="s" s="8">
        <v>1964</v>
      </c>
      <c r="E5760" t="s" s="9">
        <v>1964</v>
      </c>
      <c r="F5760" t="s" s="10">
        <v>240</v>
      </c>
      <c r="G5760" t="s" s="11">
        <v>240</v>
      </c>
      <c r="H5760" t="s" s="10">
        <v>240</v>
      </c>
      <c r="I5760" t="s" s="11">
        <v>240</v>
      </c>
      <c r="J5760" t="s" s="11">
        <v>20</v>
      </c>
      <c r="K5760" s="15"/>
      <c r="L5760" t="s" s="16">
        <f>HYPERLINK("http://csr.bu.edu/ftp/asl/asllvd/demos/verify_start_end_handshape_annotations//test_auto_move//signs_mov_separ_signers/Brady_1249.mov","MOV")</f>
        <v>21</v>
      </c>
      <c r="M5760" t="s" s="10">
        <v>39</v>
      </c>
      <c r="N5760" s="17">
        <v>39</v>
      </c>
      <c r="O5760" s="18">
        <v>3966</v>
      </c>
      <c r="P5760" s="18">
        <v>3981</v>
      </c>
      <c r="Q5760" s="15"/>
      <c r="R5760" t="s" s="16">
        <f>HYPERLINK("http://secrets.rutgers.edu:8080/data/asl-ftp/asllvd/demos/verify_start_end_handshape_annotations//test_auto_move//signs_mov_separ_signers/Brady_1249.mov","MOV")</f>
        <v>21</v>
      </c>
    </row>
    <row r="5761" s="2" customFormat="1" ht="13.5" customHeight="1">
      <c r="B5761" s="13"/>
      <c r="C5761" t="s" s="9">
        <v>41</v>
      </c>
      <c r="D5761" t="s" s="8">
        <v>1964</v>
      </c>
      <c r="E5761" t="s" s="9">
        <v>1966</v>
      </c>
      <c r="F5761" t="s" s="10">
        <v>240</v>
      </c>
      <c r="G5761" t="s" s="11">
        <v>240</v>
      </c>
      <c r="H5761" t="s" s="10">
        <v>240</v>
      </c>
      <c r="I5761" t="s" s="11">
        <v>240</v>
      </c>
      <c r="J5761" t="s" s="11">
        <v>20</v>
      </c>
      <c r="K5761" s="15"/>
      <c r="L5761" t="s" s="16">
        <f>HYPERLINK("http://csr.bu.edu/ftp/asl/asllvd/demos/verify_start_end_handshape_annotations//test_auto_move//signs_mov_separ_signers/Lana_1249.mov","MOV")</f>
        <v>21</v>
      </c>
      <c r="M5761" t="s" s="10">
        <v>42</v>
      </c>
      <c r="N5761" s="17">
        <v>15</v>
      </c>
      <c r="O5761" s="18">
        <v>485</v>
      </c>
      <c r="P5761" s="18">
        <v>543</v>
      </c>
      <c r="Q5761" s="15"/>
      <c r="R5761" t="s" s="16">
        <f>HYPERLINK("http://secrets.rutgers.edu:8080/data/asl-ftp/asllvd/demos/verify_start_end_handshape_annotations//test_auto_move//signs_mov_separ_signers/Lana_1249.mov","MOV")</f>
        <v>21</v>
      </c>
    </row>
    <row r="5762" s="2" customFormat="1" ht="13.5" customHeight="1">
      <c r="B5762" s="13"/>
      <c r="C5762" t="s" s="9">
        <v>43</v>
      </c>
      <c r="D5762" t="s" s="8">
        <v>1964</v>
      </c>
      <c r="E5762" t="s" s="9">
        <v>1964</v>
      </c>
      <c r="F5762" t="s" s="10">
        <v>240</v>
      </c>
      <c r="G5762" t="s" s="11">
        <v>240</v>
      </c>
      <c r="H5762" t="s" s="10">
        <v>240</v>
      </c>
      <c r="I5762" t="s" s="11">
        <v>240</v>
      </c>
      <c r="J5762" t="s" s="11">
        <v>20</v>
      </c>
      <c r="K5762" s="15"/>
      <c r="L5762" t="s" s="16">
        <f>HYPERLINK("http://csr.bu.edu/ftp/asl/asllvd/demos/verify_start_end_handshape_annotations//test_auto_move//signs_mov_separ_signers/Dana_1249.mov","MOV")</f>
        <v>21</v>
      </c>
      <c r="M5762" t="s" s="10">
        <v>44</v>
      </c>
      <c r="N5762" s="17">
        <v>18</v>
      </c>
      <c r="O5762" s="18">
        <v>425</v>
      </c>
      <c r="P5762" s="18">
        <v>484</v>
      </c>
      <c r="Q5762" s="15"/>
      <c r="R5762" t="s" s="16">
        <f>HYPERLINK("http://secrets.rutgers.edu:8080/data/asl-ftp/asllvd/demos/verify_start_end_handshape_annotations//test_auto_move//signs_mov_separ_signers/Dana_1249.mov","MOV")</f>
        <v>21</v>
      </c>
    </row>
    <row r="5763" s="2" customFormat="1" ht="13.5" customHeight="1">
      <c r="B5763" t="s" s="8">
        <v>1967</v>
      </c>
      <c r="C5763" t="s" s="9">
        <v>14</v>
      </c>
      <c r="D5763" t="s" s="8">
        <v>14</v>
      </c>
      <c r="E5763" t="s" s="9">
        <v>14</v>
      </c>
      <c r="F5763" t="s" s="10">
        <v>14</v>
      </c>
      <c r="G5763" t="s" s="11">
        <v>14</v>
      </c>
      <c r="H5763" t="s" s="10">
        <v>14</v>
      </c>
      <c r="I5763" t="s" s="11">
        <v>14</v>
      </c>
      <c r="J5763" t="s" s="11">
        <v>14</v>
      </c>
      <c r="K5763" t="s" s="12">
        <v>14</v>
      </c>
      <c r="L5763" t="s" s="12">
        <v>14</v>
      </c>
      <c r="M5763" t="s" s="10">
        <v>14</v>
      </c>
      <c r="N5763" t="s" s="11">
        <v>14</v>
      </c>
      <c r="O5763" t="s" s="8">
        <v>14</v>
      </c>
      <c r="P5763" t="s" s="8">
        <v>14</v>
      </c>
      <c r="Q5763" t="s" s="12">
        <v>14</v>
      </c>
      <c r="R5763" t="s" s="12">
        <v>14</v>
      </c>
    </row>
    <row r="5764" s="2" customFormat="1" ht="13.5" customHeight="1">
      <c r="B5764" s="13"/>
      <c r="C5764" t="s" s="9">
        <v>16</v>
      </c>
      <c r="D5764" t="s" s="8">
        <v>1967</v>
      </c>
      <c r="E5764" t="s" s="9">
        <v>1967</v>
      </c>
      <c r="F5764" t="s" s="10">
        <v>240</v>
      </c>
      <c r="G5764" t="s" s="11">
        <v>240</v>
      </c>
      <c r="H5764" t="s" s="10">
        <v>240</v>
      </c>
      <c r="I5764" t="s" s="11">
        <v>240</v>
      </c>
      <c r="J5764" t="s" s="11">
        <v>20</v>
      </c>
      <c r="K5764" s="15"/>
      <c r="L5764" t="s" s="16">
        <f>HYPERLINK("http://csr.bu.edu/ftp/asl/asllvd/demos/verify_start_end_handshape_annotations//test_auto_move//signs_mov_separ_signers/Liz_15535.mov","MOV")</f>
        <v>21</v>
      </c>
      <c r="M5764" t="s" s="10">
        <v>34</v>
      </c>
      <c r="N5764" s="17">
        <v>47</v>
      </c>
      <c r="O5764" s="18">
        <v>845</v>
      </c>
      <c r="P5764" s="18">
        <v>885</v>
      </c>
      <c r="Q5764" s="15"/>
      <c r="R5764" t="s" s="16">
        <f>HYPERLINK("http://secrets.rutgers.edu:8080/data/asl-ftp/asllvd/demos/verify_start_end_handshape_annotations//test_auto_move//signs_mov_separ_signers/Liz_15535.mov","MOV")</f>
        <v>21</v>
      </c>
    </row>
    <row r="5765" s="2" customFormat="1" ht="13.5" customHeight="1">
      <c r="B5765" s="13"/>
      <c r="C5765" t="s" s="9">
        <v>16</v>
      </c>
      <c r="D5765" t="s" s="8">
        <v>1967</v>
      </c>
      <c r="E5765" t="s" s="9">
        <v>1967</v>
      </c>
      <c r="F5765" t="s" s="10">
        <v>240</v>
      </c>
      <c r="G5765" t="s" s="11">
        <v>240</v>
      </c>
      <c r="H5765" t="s" s="10">
        <v>240</v>
      </c>
      <c r="I5765" t="s" s="11">
        <v>240</v>
      </c>
      <c r="J5765" t="s" s="11">
        <v>20</v>
      </c>
      <c r="K5765" s="15"/>
      <c r="L5765" t="s" s="16">
        <f>HYPERLINK("http://csr.bu.edu/ftp/asl/asllvd/demos/verify_start_end_handshape_annotations//test_auto_move//signs_mov_separ_signers/Liz_15568.mov","MOV")</f>
        <v>21</v>
      </c>
      <c r="M5765" t="s" s="10">
        <v>36</v>
      </c>
      <c r="N5765" s="17">
        <v>8</v>
      </c>
      <c r="O5765" s="18">
        <v>362</v>
      </c>
      <c r="P5765" s="18">
        <v>427</v>
      </c>
      <c r="Q5765" s="15"/>
      <c r="R5765" t="s" s="16">
        <f>HYPERLINK("http://secrets.rutgers.edu:8080/data/asl-ftp/asllvd/demos/verify_start_end_handshape_annotations//test_auto_move//signs_mov_separ_signers/Liz_15568.mov","MOV")</f>
        <v>21</v>
      </c>
    </row>
    <row r="5766" s="2" customFormat="1" ht="13.5" customHeight="1">
      <c r="B5766" s="13"/>
      <c r="C5766" t="s" s="9">
        <v>23</v>
      </c>
      <c r="D5766" t="s" s="8">
        <v>1967</v>
      </c>
      <c r="E5766" t="s" s="9">
        <v>1968</v>
      </c>
      <c r="F5766" t="s" s="10">
        <v>240</v>
      </c>
      <c r="G5766" t="s" s="11">
        <v>240</v>
      </c>
      <c r="H5766" t="s" s="10">
        <v>240</v>
      </c>
      <c r="I5766" t="s" s="11">
        <v>240</v>
      </c>
      <c r="J5766" t="s" s="11">
        <v>20</v>
      </c>
      <c r="K5766" s="15"/>
      <c r="L5766" t="s" s="16">
        <f>HYPERLINK("http://csr.bu.edu/ftp/asl/asllvd/demos/verify_start_end_handshape_annotations//test_auto_move//signs_mov_separ_signers/Tyler_15535.mov","MOV")</f>
        <v>21</v>
      </c>
      <c r="M5766" t="s" s="10">
        <v>125</v>
      </c>
      <c r="N5766" s="17">
        <v>16</v>
      </c>
      <c r="O5766" s="18">
        <v>975</v>
      </c>
      <c r="P5766" s="18">
        <v>1020</v>
      </c>
      <c r="Q5766" s="15"/>
      <c r="R5766" t="s" s="16">
        <f>HYPERLINK("http://secrets.rutgers.edu:8080/data/asl-ftp/asllvd/demos/verify_start_end_handshape_annotations//test_auto_move//signs_mov_separ_signers/Tyler_15535.mov","MOV")</f>
        <v>21</v>
      </c>
    </row>
    <row r="5767" s="2" customFormat="1" ht="13.5" customHeight="1">
      <c r="B5767" s="13"/>
      <c r="C5767" t="s" s="9">
        <v>23</v>
      </c>
      <c r="D5767" t="s" s="8">
        <v>1967</v>
      </c>
      <c r="E5767" t="s" s="9">
        <v>1967</v>
      </c>
      <c r="F5767" t="s" s="10">
        <v>240</v>
      </c>
      <c r="G5767" t="s" s="11">
        <v>240</v>
      </c>
      <c r="H5767" t="s" s="10">
        <v>240</v>
      </c>
      <c r="I5767" t="s" s="11">
        <v>240</v>
      </c>
      <c r="J5767" t="s" s="11">
        <v>20</v>
      </c>
      <c r="K5767" s="15"/>
      <c r="L5767" t="s" s="16">
        <f>HYPERLINK("http://csr.bu.edu/ftp/asl/asllvd/demos/verify_start_end_handshape_annotations//test_auto_move//signs_mov_separ_signers/Tyler_15568.mov","MOV")</f>
        <v>21</v>
      </c>
      <c r="M5767" t="s" s="10">
        <v>37</v>
      </c>
      <c r="N5767" s="17">
        <v>19</v>
      </c>
      <c r="O5767" s="18">
        <v>2117</v>
      </c>
      <c r="P5767" s="18">
        <v>2145</v>
      </c>
      <c r="Q5767" s="15"/>
      <c r="R5767" t="s" s="16">
        <f>HYPERLINK("http://secrets.rutgers.edu:8080/data/asl-ftp/asllvd/demos/verify_start_end_handshape_annotations//test_auto_move//signs_mov_separ_signers/Tyler_15568.mov","MOV")</f>
        <v>21</v>
      </c>
    </row>
    <row r="5768" s="2" customFormat="1" ht="13.5" customHeight="1">
      <c r="B5768" s="13"/>
      <c r="C5768" t="s" s="9">
        <v>27</v>
      </c>
      <c r="D5768" t="s" s="8">
        <v>1967</v>
      </c>
      <c r="E5768" t="s" s="9">
        <v>1967</v>
      </c>
      <c r="F5768" t="s" s="10">
        <v>240</v>
      </c>
      <c r="G5768" t="s" s="11">
        <v>240</v>
      </c>
      <c r="H5768" t="s" s="10">
        <v>240</v>
      </c>
      <c r="I5768" t="s" s="11">
        <v>240</v>
      </c>
      <c r="J5768" t="s" s="11">
        <v>20</v>
      </c>
      <c r="K5768" t="s" s="16">
        <f>HYPERLINK("http://csr.bu.edu/ftp/asl/asllvd/demos/verify_start_end_handshape_annotations//test_auto_move//signs_mov/15535_15568_15624_15699_merged.mov","MOV")</f>
        <v>21</v>
      </c>
      <c r="L5768" t="s" s="16">
        <f>HYPERLINK("http://csr.bu.edu/ftp/asl/asllvd/demos/verify_start_end_handshape_annotations//test_auto_move//signs_mov_separ_signers/Naomi_15535.mov","MOV")</f>
        <v>21</v>
      </c>
      <c r="M5768" t="s" s="10">
        <v>48</v>
      </c>
      <c r="N5768" s="17">
        <v>2</v>
      </c>
      <c r="O5768" s="18">
        <v>1950</v>
      </c>
      <c r="P5768" s="18">
        <v>1985</v>
      </c>
      <c r="Q5768" t="s" s="16">
        <f>HYPERLINK("http://secrets.rutgers.edu:8080/data/asl-ftp/asllvd/demos/verify_start_end_handshape_annotations//test_auto_move//signs_mov/15535_15568_15624_15699_merged.mov","MOV")</f>
        <v>21</v>
      </c>
      <c r="R5768" t="s" s="16">
        <f>HYPERLINK("http://secrets.rutgers.edu:8080/data/asl-ftp/asllvd/demos/verify_start_end_handshape_annotations//test_auto_move//signs_mov_separ_signers/Naomi_15535.mov","MOV")</f>
        <v>21</v>
      </c>
    </row>
    <row r="5769" s="2" customFormat="1" ht="13.5" customHeight="1">
      <c r="B5769" s="13"/>
      <c r="C5769" t="s" s="9">
        <v>30</v>
      </c>
      <c r="D5769" t="s" s="8">
        <v>1967</v>
      </c>
      <c r="E5769" t="s" s="9">
        <v>1968</v>
      </c>
      <c r="F5769" t="s" s="10">
        <v>240</v>
      </c>
      <c r="G5769" t="s" s="11">
        <v>240</v>
      </c>
      <c r="H5769" t="s" s="10">
        <v>240</v>
      </c>
      <c r="I5769" t="s" s="11">
        <v>240</v>
      </c>
      <c r="J5769" t="s" s="11">
        <v>20</v>
      </c>
      <c r="K5769" s="15"/>
      <c r="L5769" t="s" s="16">
        <f>HYPERLINK("http://csr.bu.edu/ftp/asl/asllvd/demos/verify_start_end_handshape_annotations//test_auto_move//signs_mov_separ_signers/Brady_15535.mov","MOV")</f>
        <v>21</v>
      </c>
      <c r="M5769" t="s" s="10">
        <v>31</v>
      </c>
      <c r="N5769" s="17">
        <v>34</v>
      </c>
      <c r="O5769" s="18">
        <v>2657</v>
      </c>
      <c r="P5769" s="18">
        <v>2690</v>
      </c>
      <c r="Q5769" s="15"/>
      <c r="R5769" t="s" s="16">
        <f>HYPERLINK("http://secrets.rutgers.edu:8080/data/asl-ftp/asllvd/demos/verify_start_end_handshape_annotations//test_auto_move//signs_mov_separ_signers/Brady_15535.mov","MOV")</f>
        <v>21</v>
      </c>
    </row>
    <row r="5770" s="2" customFormat="1" ht="13.5" customHeight="1">
      <c r="B5770" s="13"/>
      <c r="C5770" t="s" s="9">
        <v>30</v>
      </c>
      <c r="D5770" t="s" s="8">
        <v>1967</v>
      </c>
      <c r="E5770" t="s" s="9">
        <v>1967</v>
      </c>
      <c r="F5770" t="s" s="10">
        <v>240</v>
      </c>
      <c r="G5770" t="s" s="11">
        <v>240</v>
      </c>
      <c r="H5770" t="s" s="10">
        <v>240</v>
      </c>
      <c r="I5770" t="s" s="11">
        <v>240</v>
      </c>
      <c r="J5770" t="s" s="11">
        <v>20</v>
      </c>
      <c r="K5770" s="15"/>
      <c r="L5770" t="s" s="16">
        <f>HYPERLINK("http://csr.bu.edu/ftp/asl/asllvd/demos/verify_start_end_handshape_annotations//test_auto_move//signs_mov_separ_signers/Brady_15568.mov","MOV")</f>
        <v>21</v>
      </c>
      <c r="M5770" t="s" s="10">
        <v>39</v>
      </c>
      <c r="N5770" s="17">
        <v>48</v>
      </c>
      <c r="O5770" s="18">
        <v>3469</v>
      </c>
      <c r="P5770" s="18">
        <v>3500</v>
      </c>
      <c r="Q5770" s="15"/>
      <c r="R5770" t="s" s="16">
        <f>HYPERLINK("http://secrets.rutgers.edu:8080/data/asl-ftp/asllvd/demos/verify_start_end_handshape_annotations//test_auto_move//signs_mov_separ_signers/Brady_15568.mov","MOV")</f>
        <v>21</v>
      </c>
    </row>
    <row r="5771" s="2" customFormat="1" ht="13.5" customHeight="1">
      <c r="B5771" s="13"/>
      <c r="C5771" t="s" s="9">
        <v>30</v>
      </c>
      <c r="D5771" t="s" s="8">
        <v>1967</v>
      </c>
      <c r="E5771" t="s" s="9">
        <v>1967</v>
      </c>
      <c r="F5771" t="s" s="10">
        <v>240</v>
      </c>
      <c r="G5771" t="s" s="11">
        <v>240</v>
      </c>
      <c r="H5771" t="s" s="10">
        <v>240</v>
      </c>
      <c r="I5771" t="s" s="11">
        <v>240</v>
      </c>
      <c r="J5771" t="s" s="11">
        <v>20</v>
      </c>
      <c r="K5771" s="15"/>
      <c r="L5771" t="s" s="16">
        <f>HYPERLINK("http://csr.bu.edu/ftp/asl/asllvd/demos/verify_start_end_handshape_annotations//test_auto_move//signs_mov_separ_signers/Brady_15624.mov","MOV")</f>
        <v>21</v>
      </c>
      <c r="M5771" t="s" s="10">
        <v>40</v>
      </c>
      <c r="N5771" s="17">
        <v>52</v>
      </c>
      <c r="O5771" s="18">
        <v>2443</v>
      </c>
      <c r="P5771" s="18">
        <v>2465</v>
      </c>
      <c r="Q5771" s="15"/>
      <c r="R5771" t="s" s="16">
        <f>HYPERLINK("http://secrets.rutgers.edu:8080/data/asl-ftp/asllvd/demos/verify_start_end_handshape_annotations//test_auto_move//signs_mov_separ_signers/Brady_15624.mov","MOV")</f>
        <v>21</v>
      </c>
    </row>
    <row r="5772" s="2" customFormat="1" ht="13.5" customHeight="1">
      <c r="B5772" s="13"/>
      <c r="C5772" t="s" s="9">
        <v>30</v>
      </c>
      <c r="D5772" t="s" s="8">
        <v>1967</v>
      </c>
      <c r="E5772" t="s" s="9">
        <v>1967</v>
      </c>
      <c r="F5772" t="s" s="10">
        <v>240</v>
      </c>
      <c r="G5772" t="s" s="11">
        <v>240</v>
      </c>
      <c r="H5772" t="s" s="10">
        <v>240</v>
      </c>
      <c r="I5772" t="s" s="11">
        <v>240</v>
      </c>
      <c r="J5772" t="s" s="11">
        <v>20</v>
      </c>
      <c r="K5772" s="15"/>
      <c r="L5772" t="s" s="16">
        <f>HYPERLINK("http://csr.bu.edu/ftp/asl/asllvd/demos/verify_start_end_handshape_annotations//test_auto_move//signs_mov_separ_signers/Brady_15699.mov","MOV")</f>
        <v>21</v>
      </c>
      <c r="M5772" t="s" s="10">
        <v>60</v>
      </c>
      <c r="N5772" s="17">
        <v>50</v>
      </c>
      <c r="O5772" s="18">
        <v>2424</v>
      </c>
      <c r="P5772" s="18">
        <v>2444</v>
      </c>
      <c r="Q5772" s="15"/>
      <c r="R5772" t="s" s="16">
        <f>HYPERLINK("http://secrets.rutgers.edu:8080/data/asl-ftp/asllvd/demos/verify_start_end_handshape_annotations//test_auto_move//signs_mov_separ_signers/Brady_15699.mov","MOV")</f>
        <v>21</v>
      </c>
    </row>
    <row r="5773" s="2" customFormat="1" ht="13.5" customHeight="1">
      <c r="B5773" s="13"/>
      <c r="C5773" t="s" s="9">
        <v>41</v>
      </c>
      <c r="D5773" t="s" s="8">
        <v>1967</v>
      </c>
      <c r="E5773" t="s" s="9">
        <v>1968</v>
      </c>
      <c r="F5773" t="s" s="10">
        <v>391</v>
      </c>
      <c r="G5773" t="s" s="11">
        <v>391</v>
      </c>
      <c r="H5773" t="s" s="10">
        <v>391</v>
      </c>
      <c r="I5773" t="s" s="11">
        <v>391</v>
      </c>
      <c r="J5773" t="s" s="11">
        <v>20</v>
      </c>
      <c r="K5773" s="15"/>
      <c r="L5773" t="s" s="16">
        <f>HYPERLINK("http://csr.bu.edu/ftp/asl/asllvd/demos/verify_start_end_handshape_annotations//test_auto_move//signs_mov_separ_signers/Lana_15535.mov","MOV")</f>
        <v>21</v>
      </c>
      <c r="M5773" t="s" s="10">
        <v>42</v>
      </c>
      <c r="N5773" s="17">
        <v>7</v>
      </c>
      <c r="O5773" s="18">
        <v>246</v>
      </c>
      <c r="P5773" s="18">
        <v>289</v>
      </c>
      <c r="Q5773" s="15"/>
      <c r="R5773" t="s" s="16">
        <f>HYPERLINK("http://secrets.rutgers.edu:8080/data/asl-ftp/asllvd/demos/verify_start_end_handshape_annotations//test_auto_move//signs_mov_separ_signers/Lana_15535.mov","MOV")</f>
        <v>21</v>
      </c>
    </row>
    <row r="5774" s="2" customFormat="1" ht="13.5" customHeight="1">
      <c r="B5774" t="s" s="8">
        <v>1969</v>
      </c>
      <c r="C5774" t="s" s="9">
        <v>14</v>
      </c>
      <c r="D5774" t="s" s="8">
        <v>14</v>
      </c>
      <c r="E5774" t="s" s="9">
        <v>14</v>
      </c>
      <c r="F5774" t="s" s="10">
        <v>14</v>
      </c>
      <c r="G5774" t="s" s="11">
        <v>14</v>
      </c>
      <c r="H5774" t="s" s="10">
        <v>14</v>
      </c>
      <c r="I5774" t="s" s="11">
        <v>14</v>
      </c>
      <c r="J5774" t="s" s="11">
        <v>14</v>
      </c>
      <c r="K5774" t="s" s="12">
        <v>14</v>
      </c>
      <c r="L5774" t="s" s="12">
        <v>14</v>
      </c>
      <c r="M5774" t="s" s="10">
        <v>14</v>
      </c>
      <c r="N5774" t="s" s="11">
        <v>14</v>
      </c>
      <c r="O5774" t="s" s="8">
        <v>14</v>
      </c>
      <c r="P5774" t="s" s="8">
        <v>14</v>
      </c>
      <c r="Q5774" t="s" s="12">
        <v>14</v>
      </c>
      <c r="R5774" t="s" s="12">
        <v>14</v>
      </c>
    </row>
    <row r="5775" s="2" customFormat="1" ht="13.5" customHeight="1">
      <c r="B5775" s="13"/>
      <c r="C5775" t="s" s="9">
        <v>16</v>
      </c>
      <c r="D5775" t="s" s="8">
        <v>1969</v>
      </c>
      <c r="E5775" t="s" s="9">
        <v>1969</v>
      </c>
      <c r="F5775" s="19">
        <v>10</v>
      </c>
      <c r="G5775" s="14"/>
      <c r="H5775" s="19">
        <v>10</v>
      </c>
      <c r="I5775" s="14"/>
      <c r="J5775" t="s" s="11">
        <v>20</v>
      </c>
      <c r="K5775" s="15"/>
      <c r="L5775" t="s" s="16">
        <f>HYPERLINK("http://csr.bu.edu/ftp/asl/asllvd/demos/verify_start_end_handshape_annotations//test_auto_move//signs_mov_separ_signers/Liz_1251.mov","MOV")</f>
        <v>21</v>
      </c>
      <c r="M5775" t="s" s="10">
        <v>34</v>
      </c>
      <c r="N5775" s="17">
        <v>31</v>
      </c>
      <c r="O5775" s="18">
        <v>465</v>
      </c>
      <c r="P5775" s="18">
        <v>501</v>
      </c>
      <c r="Q5775" s="15"/>
      <c r="R5775" t="s" s="16">
        <f>HYPERLINK("http://secrets.rutgers.edu:8080/data/asl-ftp/asllvd/demos/verify_start_end_handshape_annotations//test_auto_move//signs_mov_separ_signers/Liz_1251.mov","MOV")</f>
        <v>21</v>
      </c>
    </row>
    <row r="5776" s="2" customFormat="1" ht="13.5" customHeight="1">
      <c r="B5776" s="13"/>
      <c r="C5776" t="s" s="9">
        <v>23</v>
      </c>
      <c r="D5776" t="s" s="8">
        <v>1969</v>
      </c>
      <c r="E5776" t="s" s="9">
        <v>1969</v>
      </c>
      <c r="F5776" s="19">
        <v>10</v>
      </c>
      <c r="G5776" s="14"/>
      <c r="H5776" s="19">
        <v>10</v>
      </c>
      <c r="I5776" s="14"/>
      <c r="J5776" t="s" s="11">
        <v>20</v>
      </c>
      <c r="K5776" t="s" s="16">
        <f>HYPERLINK("http://csr.bu.edu/ftp/asl/asllvd/demos/verify_start_end_handshape_annotations//test_auto_move//signs_mov/1251.mov","MOV")</f>
        <v>21</v>
      </c>
      <c r="L5776" t="s" s="16">
        <f>HYPERLINK("http://csr.bu.edu/ftp/asl/asllvd/demos/verify_start_end_handshape_annotations//test_auto_move//signs_mov_separ_signers/Tyler_1251.mov","MOV")</f>
        <v>21</v>
      </c>
      <c r="M5776" t="s" s="10">
        <v>37</v>
      </c>
      <c r="N5776" s="17">
        <v>6</v>
      </c>
      <c r="O5776" s="18">
        <v>285</v>
      </c>
      <c r="P5776" s="18">
        <v>316</v>
      </c>
      <c r="Q5776" t="s" s="16">
        <f>HYPERLINK("http://secrets.rutgers.edu:8080/data/asl-ftp/asllvd/demos/verify_start_end_handshape_annotations//test_auto_move//signs_mov/1251.mov","MOV")</f>
        <v>21</v>
      </c>
      <c r="R5776" t="s" s="16">
        <f>HYPERLINK("http://secrets.rutgers.edu:8080/data/asl-ftp/asllvd/demos/verify_start_end_handshape_annotations//test_auto_move//signs_mov_separ_signers/Tyler_1251.mov","MOV")</f>
        <v>21</v>
      </c>
    </row>
    <row r="5777" s="2" customFormat="1" ht="13.5" customHeight="1">
      <c r="B5777" s="13"/>
      <c r="C5777" t="s" s="9">
        <v>27</v>
      </c>
      <c r="D5777" t="s" s="8">
        <v>1969</v>
      </c>
      <c r="E5777" t="s" s="9">
        <v>1969</v>
      </c>
      <c r="F5777" t="s" s="10">
        <v>63</v>
      </c>
      <c r="G5777" s="14"/>
      <c r="H5777" t="s" s="10">
        <v>63</v>
      </c>
      <c r="I5777" s="14"/>
      <c r="J5777" t="s" s="11">
        <v>20</v>
      </c>
      <c r="K5777" s="15"/>
      <c r="L5777" t="s" s="16">
        <f>HYPERLINK("http://csr.bu.edu/ftp/asl/asllvd/demos/verify_start_end_handshape_annotations//test_auto_move//signs_mov_separ_signers/Naomi_1251.mov","MOV")</f>
        <v>21</v>
      </c>
      <c r="M5777" t="s" s="10">
        <v>38</v>
      </c>
      <c r="N5777" s="17">
        <v>26</v>
      </c>
      <c r="O5777" s="18">
        <v>265</v>
      </c>
      <c r="P5777" s="18">
        <v>302</v>
      </c>
      <c r="Q5777" s="15"/>
      <c r="R5777" t="s" s="16">
        <f>HYPERLINK("http://secrets.rutgers.edu:8080/data/asl-ftp/asllvd/demos/verify_start_end_handshape_annotations//test_auto_move//signs_mov_separ_signers/Naomi_1251.mov","MOV")</f>
        <v>21</v>
      </c>
    </row>
    <row r="5778" s="2" customFormat="1" ht="13.5" customHeight="1">
      <c r="B5778" s="13"/>
      <c r="C5778" t="s" s="9">
        <v>30</v>
      </c>
      <c r="D5778" t="s" s="8">
        <v>1969</v>
      </c>
      <c r="E5778" t="s" s="9">
        <v>1969</v>
      </c>
      <c r="F5778" s="19">
        <v>10</v>
      </c>
      <c r="G5778" s="14"/>
      <c r="H5778" s="19">
        <v>10</v>
      </c>
      <c r="I5778" s="14"/>
      <c r="J5778" t="s" s="11">
        <v>20</v>
      </c>
      <c r="K5778" s="15"/>
      <c r="L5778" t="s" s="16">
        <f>HYPERLINK("http://csr.bu.edu/ftp/asl/asllvd/demos/verify_start_end_handshape_annotations//test_auto_move//signs_mov_separ_signers/Brady_1251.mov","MOV")</f>
        <v>21</v>
      </c>
      <c r="M5778" t="s" s="10">
        <v>39</v>
      </c>
      <c r="N5778" s="17">
        <v>39</v>
      </c>
      <c r="O5778" s="18">
        <v>4504</v>
      </c>
      <c r="P5778" s="18">
        <v>4532</v>
      </c>
      <c r="Q5778" s="15"/>
      <c r="R5778" t="s" s="16">
        <f>HYPERLINK("http://secrets.rutgers.edu:8080/data/asl-ftp/asllvd/demos/verify_start_end_handshape_annotations//test_auto_move//signs_mov_separ_signers/Brady_1251.mov","MOV")</f>
        <v>21</v>
      </c>
    </row>
    <row r="5779" s="2" customFormat="1" ht="13.5" customHeight="1">
      <c r="B5779" t="s" s="8">
        <v>1970</v>
      </c>
      <c r="C5779" t="s" s="9">
        <v>14</v>
      </c>
      <c r="D5779" t="s" s="8">
        <v>14</v>
      </c>
      <c r="E5779" t="s" s="9">
        <v>14</v>
      </c>
      <c r="F5779" t="s" s="10">
        <v>14</v>
      </c>
      <c r="G5779" t="s" s="11">
        <v>14</v>
      </c>
      <c r="H5779" t="s" s="10">
        <v>14</v>
      </c>
      <c r="I5779" t="s" s="11">
        <v>14</v>
      </c>
      <c r="J5779" t="s" s="11">
        <v>14</v>
      </c>
      <c r="K5779" t="s" s="12">
        <v>14</v>
      </c>
      <c r="L5779" t="s" s="12">
        <v>14</v>
      </c>
      <c r="M5779" t="s" s="10">
        <v>14</v>
      </c>
      <c r="N5779" t="s" s="11">
        <v>14</v>
      </c>
      <c r="O5779" t="s" s="8">
        <v>14</v>
      </c>
      <c r="P5779" t="s" s="8">
        <v>14</v>
      </c>
      <c r="Q5779" t="s" s="12">
        <v>14</v>
      </c>
      <c r="R5779" t="s" s="12">
        <v>14</v>
      </c>
    </row>
    <row r="5780" s="2" customFormat="1" ht="13.5" customHeight="1">
      <c r="B5780" s="13"/>
      <c r="C5780" t="s" s="9">
        <v>16</v>
      </c>
      <c r="D5780" t="s" s="8">
        <v>1970</v>
      </c>
      <c r="E5780" t="s" s="9">
        <v>1970</v>
      </c>
      <c r="F5780" t="s" s="10">
        <v>287</v>
      </c>
      <c r="G5780" t="s" s="11">
        <v>287</v>
      </c>
      <c r="H5780" t="s" s="10">
        <v>287</v>
      </c>
      <c r="I5780" t="s" s="11">
        <v>287</v>
      </c>
      <c r="J5780" t="s" s="11">
        <v>20</v>
      </c>
      <c r="K5780" t="s" s="16">
        <f>HYPERLINK("http://csr.bu.edu/ftp/asl/asllvd/demos/verify_start_end_handshape_annotations//test_auto_move//signs_mov/1252.mov","MOV")</f>
        <v>21</v>
      </c>
      <c r="L5780" t="s" s="16">
        <f>HYPERLINK("http://csr.bu.edu/ftp/asl/asllvd/demos/verify_start_end_handshape_annotations//test_auto_move//signs_mov_separ_signers/Liz_1252.mov","MOV")</f>
        <v>21</v>
      </c>
      <c r="M5780" t="s" s="10">
        <v>34</v>
      </c>
      <c r="N5780" s="17">
        <v>31</v>
      </c>
      <c r="O5780" s="18">
        <v>650</v>
      </c>
      <c r="P5780" s="18">
        <v>690</v>
      </c>
      <c r="Q5780" t="s" s="16">
        <f>HYPERLINK("http://secrets.rutgers.edu:8080/data/asl-ftp/asllvd/demos/verify_start_end_handshape_annotations//test_auto_move//signs_mov/1252.mov","MOV")</f>
        <v>21</v>
      </c>
      <c r="R5780" t="s" s="16">
        <f>HYPERLINK("http://secrets.rutgers.edu:8080/data/asl-ftp/asllvd/demos/verify_start_end_handshape_annotations//test_auto_move//signs_mov_separ_signers/Liz_1252.mov","MOV")</f>
        <v>21</v>
      </c>
    </row>
    <row r="5781" s="2" customFormat="1" ht="13.5" customHeight="1">
      <c r="B5781" s="13"/>
      <c r="C5781" t="s" s="9">
        <v>27</v>
      </c>
      <c r="D5781" t="s" s="8">
        <v>1970</v>
      </c>
      <c r="E5781" t="s" s="9">
        <v>1970</v>
      </c>
      <c r="F5781" t="s" s="10">
        <v>287</v>
      </c>
      <c r="G5781" t="s" s="11">
        <v>287</v>
      </c>
      <c r="H5781" t="s" s="10">
        <v>287</v>
      </c>
      <c r="I5781" t="s" s="11">
        <v>287</v>
      </c>
      <c r="J5781" t="s" s="11">
        <v>20</v>
      </c>
      <c r="K5781" s="15"/>
      <c r="L5781" t="s" s="16">
        <f>HYPERLINK("http://csr.bu.edu/ftp/asl/asllvd/demos/verify_start_end_handshape_annotations//test_auto_move//signs_mov_separ_signers/Naomi_1252.mov","MOV")</f>
        <v>21</v>
      </c>
      <c r="M5781" t="s" s="10">
        <v>38</v>
      </c>
      <c r="N5781" s="17">
        <v>26</v>
      </c>
      <c r="O5781" s="18">
        <v>515</v>
      </c>
      <c r="P5781" s="18">
        <v>537</v>
      </c>
      <c r="Q5781" s="15"/>
      <c r="R5781" t="s" s="16">
        <f>HYPERLINK("http://secrets.rutgers.edu:8080/data/asl-ftp/asllvd/demos/verify_start_end_handshape_annotations//test_auto_move//signs_mov_separ_signers/Naomi_1252.mov","MOV")</f>
        <v>21</v>
      </c>
    </row>
    <row r="5782" s="2" customFormat="1" ht="13.5" customHeight="1">
      <c r="B5782" t="s" s="8">
        <v>52</v>
      </c>
      <c r="C5782" t="s" s="9">
        <v>53</v>
      </c>
      <c r="D5782" t="s" s="8">
        <v>53</v>
      </c>
      <c r="E5782" t="s" s="9">
        <v>53</v>
      </c>
      <c r="F5782" t="s" s="10">
        <v>53</v>
      </c>
      <c r="G5782" t="s" s="11">
        <v>53</v>
      </c>
      <c r="H5782" t="s" s="10">
        <v>53</v>
      </c>
      <c r="I5782" t="s" s="11">
        <v>53</v>
      </c>
      <c r="J5782" t="s" s="11">
        <v>53</v>
      </c>
      <c r="K5782" t="s" s="12">
        <v>53</v>
      </c>
      <c r="L5782" t="s" s="12">
        <v>53</v>
      </c>
      <c r="M5782" t="s" s="10">
        <v>53</v>
      </c>
      <c r="N5782" t="s" s="11">
        <v>53</v>
      </c>
      <c r="O5782" t="s" s="8">
        <v>53</v>
      </c>
      <c r="P5782" t="s" s="8">
        <v>53</v>
      </c>
      <c r="Q5782" t="s" s="12">
        <v>53</v>
      </c>
      <c r="R5782" t="s" s="12">
        <v>53</v>
      </c>
    </row>
    <row r="5783" s="2" customFormat="1" ht="13.5" customHeight="1">
      <c r="B5783" s="13"/>
      <c r="C5783" t="s" s="9">
        <v>23</v>
      </c>
      <c r="D5783" t="s" s="8">
        <v>1970</v>
      </c>
      <c r="E5783" t="s" s="9">
        <v>1971</v>
      </c>
      <c r="F5783" t="s" s="10">
        <v>287</v>
      </c>
      <c r="G5783" t="s" s="11">
        <v>287</v>
      </c>
      <c r="H5783" t="s" s="10">
        <v>287</v>
      </c>
      <c r="I5783" t="s" s="11">
        <v>287</v>
      </c>
      <c r="J5783" t="s" s="11">
        <v>20</v>
      </c>
      <c r="K5783" t="s" s="16">
        <f>HYPERLINK("http://csr.bu.edu/ftp/asl/asllvd/demos/verify_start_end_handshape_annotations//test_auto_move//signs_mov/5222.mov","MOV")</f>
        <v>21</v>
      </c>
      <c r="L5783" t="s" s="16">
        <f>HYPERLINK("http://csr.bu.edu/ftp/asl/asllvd/demos/verify_start_end_handshape_annotations//test_auto_move//signs_mov_separ_signers/Tyler_5222.mov","MOV")</f>
        <v>21</v>
      </c>
      <c r="M5783" t="s" s="10">
        <v>37</v>
      </c>
      <c r="N5783" s="17">
        <v>6</v>
      </c>
      <c r="O5783" s="18">
        <v>470</v>
      </c>
      <c r="P5783" s="18">
        <v>510</v>
      </c>
      <c r="Q5783" t="s" s="16">
        <f>HYPERLINK("http://secrets.rutgers.edu:8080/data/asl-ftp/asllvd/demos/verify_start_end_handshape_annotations//test_auto_move//signs_mov/5222.mov","MOV")</f>
        <v>21</v>
      </c>
      <c r="R5783" t="s" s="16">
        <f>HYPERLINK("http://secrets.rutgers.edu:8080/data/asl-ftp/asllvd/demos/verify_start_end_handshape_annotations//test_auto_move//signs_mov_separ_signers/Tyler_5222.mov","MOV")</f>
        <v>21</v>
      </c>
    </row>
    <row r="5784" s="2" customFormat="1" ht="13.5" customHeight="1">
      <c r="B5784" s="13"/>
      <c r="C5784" t="s" s="9">
        <v>30</v>
      </c>
      <c r="D5784" t="s" s="8">
        <v>1970</v>
      </c>
      <c r="E5784" t="s" s="9">
        <v>1971</v>
      </c>
      <c r="F5784" t="s" s="10">
        <v>287</v>
      </c>
      <c r="G5784" t="s" s="11">
        <v>287</v>
      </c>
      <c r="H5784" t="s" s="10">
        <v>287</v>
      </c>
      <c r="I5784" t="s" s="11">
        <v>287</v>
      </c>
      <c r="J5784" t="s" s="11">
        <v>20</v>
      </c>
      <c r="K5784" s="15"/>
      <c r="L5784" t="s" s="16">
        <f>HYPERLINK("http://csr.bu.edu/ftp/asl/asllvd/demos/verify_start_end_handshape_annotations//test_auto_move//signs_mov_separ_signers/Brady_5222.mov","MOV")</f>
        <v>21</v>
      </c>
      <c r="M5784" t="s" s="10">
        <v>39</v>
      </c>
      <c r="N5784" s="17">
        <v>39</v>
      </c>
      <c r="O5784" s="18">
        <v>4725</v>
      </c>
      <c r="P5784" s="18">
        <v>4773</v>
      </c>
      <c r="Q5784" s="15"/>
      <c r="R5784" t="s" s="16">
        <f>HYPERLINK("http://secrets.rutgers.edu:8080/data/asl-ftp/asllvd/demos/verify_start_end_handshape_annotations//test_auto_move//signs_mov_separ_signers/Brady_5222.mov","MOV")</f>
        <v>21</v>
      </c>
    </row>
    <row r="5785" s="2" customFormat="1" ht="13.5" customHeight="1">
      <c r="B5785" t="s" s="8">
        <v>1972</v>
      </c>
      <c r="C5785" t="s" s="9">
        <v>14</v>
      </c>
      <c r="D5785" t="s" s="8">
        <v>14</v>
      </c>
      <c r="E5785" t="s" s="9">
        <v>14</v>
      </c>
      <c r="F5785" t="s" s="10">
        <v>14</v>
      </c>
      <c r="G5785" t="s" s="11">
        <v>14</v>
      </c>
      <c r="H5785" t="s" s="10">
        <v>14</v>
      </c>
      <c r="I5785" t="s" s="11">
        <v>14</v>
      </c>
      <c r="J5785" t="s" s="11">
        <v>14</v>
      </c>
      <c r="K5785" t="s" s="12">
        <v>14</v>
      </c>
      <c r="L5785" t="s" s="12">
        <v>14</v>
      </c>
      <c r="M5785" t="s" s="10">
        <v>14</v>
      </c>
      <c r="N5785" t="s" s="11">
        <v>14</v>
      </c>
      <c r="O5785" t="s" s="8">
        <v>14</v>
      </c>
      <c r="P5785" t="s" s="8">
        <v>14</v>
      </c>
      <c r="Q5785" t="s" s="12">
        <v>14</v>
      </c>
      <c r="R5785" t="s" s="12">
        <v>14</v>
      </c>
    </row>
    <row r="5786" s="2" customFormat="1" ht="13.5" customHeight="1">
      <c r="B5786" s="13"/>
      <c r="C5786" t="s" s="9">
        <v>16</v>
      </c>
      <c r="D5786" t="s" s="8">
        <v>1972</v>
      </c>
      <c r="E5786" t="s" s="9">
        <v>1972</v>
      </c>
      <c r="F5786" t="s" s="10">
        <v>341</v>
      </c>
      <c r="G5786" s="14"/>
      <c r="H5786" t="s" s="10">
        <v>342</v>
      </c>
      <c r="I5786" s="14"/>
      <c r="J5786" t="s" s="11">
        <v>20</v>
      </c>
      <c r="K5786" t="s" s="16">
        <f>HYPERLINK("http://csr.bu.edu/ftp/asl/asllvd/demos/verify_start_end_handshape_annotations//test_auto_move//signs_mov/1253.mov","MOV")</f>
        <v>21</v>
      </c>
      <c r="L5786" t="s" s="16">
        <f>HYPERLINK("http://csr.bu.edu/ftp/asl/asllvd/demos/verify_start_end_handshape_annotations//test_auto_move//signs_mov_separ_signers/Liz_1253.mov","MOV")</f>
        <v>21</v>
      </c>
      <c r="M5786" t="s" s="10">
        <v>34</v>
      </c>
      <c r="N5786" s="17">
        <v>31</v>
      </c>
      <c r="O5786" s="18">
        <v>876</v>
      </c>
      <c r="P5786" s="18">
        <v>922</v>
      </c>
      <c r="Q5786" t="s" s="16">
        <f>HYPERLINK("http://secrets.rutgers.edu:8080/data/asl-ftp/asllvd/demos/verify_start_end_handshape_annotations//test_auto_move//signs_mov/1253.mov","MOV")</f>
        <v>21</v>
      </c>
      <c r="R5786" t="s" s="16">
        <f>HYPERLINK("http://secrets.rutgers.edu:8080/data/asl-ftp/asllvd/demos/verify_start_end_handshape_annotations//test_auto_move//signs_mov_separ_signers/Liz_1253.mov","MOV")</f>
        <v>21</v>
      </c>
    </row>
    <row r="5787" s="2" customFormat="1" ht="13.5" customHeight="1">
      <c r="B5787" t="s" s="8">
        <v>1973</v>
      </c>
      <c r="C5787" t="s" s="9">
        <v>14</v>
      </c>
      <c r="D5787" t="s" s="8">
        <v>14</v>
      </c>
      <c r="E5787" t="s" s="9">
        <v>14</v>
      </c>
      <c r="F5787" t="s" s="10">
        <v>14</v>
      </c>
      <c r="G5787" t="s" s="11">
        <v>14</v>
      </c>
      <c r="H5787" t="s" s="10">
        <v>14</v>
      </c>
      <c r="I5787" t="s" s="11">
        <v>14</v>
      </c>
      <c r="J5787" t="s" s="11">
        <v>14</v>
      </c>
      <c r="K5787" t="s" s="12">
        <v>14</v>
      </c>
      <c r="L5787" t="s" s="12">
        <v>14</v>
      </c>
      <c r="M5787" t="s" s="10">
        <v>14</v>
      </c>
      <c r="N5787" t="s" s="11">
        <v>14</v>
      </c>
      <c r="O5787" t="s" s="8">
        <v>14</v>
      </c>
      <c r="P5787" t="s" s="8">
        <v>14</v>
      </c>
      <c r="Q5787" t="s" s="12">
        <v>14</v>
      </c>
      <c r="R5787" t="s" s="12">
        <v>14</v>
      </c>
    </row>
    <row r="5788" s="2" customFormat="1" ht="13.5" customHeight="1">
      <c r="B5788" s="13"/>
      <c r="C5788" t="s" s="9">
        <v>16</v>
      </c>
      <c r="D5788" t="s" s="8">
        <v>1973</v>
      </c>
      <c r="E5788" t="s" s="9">
        <v>1974</v>
      </c>
      <c r="F5788" t="s" s="10">
        <v>287</v>
      </c>
      <c r="G5788" t="s" s="11">
        <v>105</v>
      </c>
      <c r="H5788" t="s" s="10">
        <v>287</v>
      </c>
      <c r="I5788" t="s" s="11">
        <v>105</v>
      </c>
      <c r="J5788" t="s" s="11">
        <v>20</v>
      </c>
      <c r="K5788" s="15"/>
      <c r="L5788" t="s" s="16">
        <f>HYPERLINK("http://csr.bu.edu/ftp/asl/asllvd/demos/verify_start_end_handshape_annotations//test_auto_move//signs_mov_separ_signers/Liz_1254.mov","MOV")</f>
        <v>21</v>
      </c>
      <c r="M5788" t="s" s="10">
        <v>34</v>
      </c>
      <c r="N5788" s="17">
        <v>31</v>
      </c>
      <c r="O5788" s="18">
        <v>1182</v>
      </c>
      <c r="P5788" s="18">
        <v>1235</v>
      </c>
      <c r="Q5788" s="15"/>
      <c r="R5788" t="s" s="16">
        <f>HYPERLINK("http://secrets.rutgers.edu:8080/data/asl-ftp/asllvd/demos/verify_start_end_handshape_annotations//test_auto_move//signs_mov_separ_signers/Liz_1254.mov","MOV")</f>
        <v>21</v>
      </c>
    </row>
    <row r="5789" s="2" customFormat="1" ht="13.5" customHeight="1">
      <c r="B5789" s="13"/>
      <c r="C5789" t="s" s="9">
        <v>23</v>
      </c>
      <c r="D5789" t="s" s="8">
        <v>1973</v>
      </c>
      <c r="E5789" t="s" s="9">
        <v>1975</v>
      </c>
      <c r="F5789" t="s" s="10">
        <v>287</v>
      </c>
      <c r="G5789" t="s" s="11">
        <v>105</v>
      </c>
      <c r="H5789" t="s" s="10">
        <v>287</v>
      </c>
      <c r="I5789" t="s" s="11">
        <v>105</v>
      </c>
      <c r="J5789" t="s" s="11">
        <v>20</v>
      </c>
      <c r="K5789" t="s" s="16">
        <f>HYPERLINK("http://csr.bu.edu/ftp/asl/asllvd/demos/verify_start_end_handshape_annotations//test_auto_move//signs_mov/1254.mov","MOV")</f>
        <v>21</v>
      </c>
      <c r="L5789" t="s" s="16">
        <f>HYPERLINK("http://csr.bu.edu/ftp/asl/asllvd/demos/verify_start_end_handshape_annotations//test_auto_move//signs_mov_separ_signers/Tyler_1254.mov","MOV")</f>
        <v>21</v>
      </c>
      <c r="M5789" t="s" s="10">
        <v>37</v>
      </c>
      <c r="N5789" s="17">
        <v>6</v>
      </c>
      <c r="O5789" s="18">
        <v>1355</v>
      </c>
      <c r="P5789" s="18">
        <v>1402</v>
      </c>
      <c r="Q5789" t="s" s="16">
        <f>HYPERLINK("http://secrets.rutgers.edu:8080/data/asl-ftp/asllvd/demos/verify_start_end_handshape_annotations//test_auto_move//signs_mov/1254.mov","MOV")</f>
        <v>21</v>
      </c>
      <c r="R5789" t="s" s="16">
        <f>HYPERLINK("http://secrets.rutgers.edu:8080/data/asl-ftp/asllvd/demos/verify_start_end_handshape_annotations//test_auto_move//signs_mov_separ_signers/Tyler_1254.mov","MOV")</f>
        <v>21</v>
      </c>
    </row>
    <row r="5790" s="2" customFormat="1" ht="13.5" customHeight="1">
      <c r="B5790" s="13"/>
      <c r="C5790" t="s" s="9">
        <v>27</v>
      </c>
      <c r="D5790" t="s" s="8">
        <v>1973</v>
      </c>
      <c r="E5790" t="s" s="9">
        <v>1974</v>
      </c>
      <c r="F5790" t="s" s="10">
        <v>287</v>
      </c>
      <c r="G5790" t="s" s="11">
        <v>105</v>
      </c>
      <c r="H5790" t="s" s="10">
        <v>287</v>
      </c>
      <c r="I5790" t="s" s="11">
        <v>105</v>
      </c>
      <c r="J5790" t="s" s="11">
        <v>20</v>
      </c>
      <c r="K5790" s="15"/>
      <c r="L5790" t="s" s="16">
        <f>HYPERLINK("http://csr.bu.edu/ftp/asl/asllvd/demos/verify_start_end_handshape_annotations//test_auto_move//signs_mov_separ_signers/Naomi_1254.mov","MOV")</f>
        <v>21</v>
      </c>
      <c r="M5790" t="s" s="10">
        <v>38</v>
      </c>
      <c r="N5790" s="17">
        <v>26</v>
      </c>
      <c r="O5790" s="18">
        <v>1698</v>
      </c>
      <c r="P5790" s="18">
        <v>1737</v>
      </c>
      <c r="Q5790" s="15"/>
      <c r="R5790" t="s" s="16">
        <f>HYPERLINK("http://secrets.rutgers.edu:8080/data/asl-ftp/asllvd/demos/verify_start_end_handshape_annotations//test_auto_move//signs_mov_separ_signers/Naomi_1254.mov","MOV")</f>
        <v>21</v>
      </c>
    </row>
    <row r="5791" s="2" customFormat="1" ht="13.5" customHeight="1">
      <c r="B5791" t="s" s="8">
        <v>1976</v>
      </c>
      <c r="C5791" t="s" s="9">
        <v>14</v>
      </c>
      <c r="D5791" t="s" s="8">
        <v>14</v>
      </c>
      <c r="E5791" t="s" s="9">
        <v>14</v>
      </c>
      <c r="F5791" t="s" s="10">
        <v>14</v>
      </c>
      <c r="G5791" t="s" s="11">
        <v>14</v>
      </c>
      <c r="H5791" t="s" s="10">
        <v>14</v>
      </c>
      <c r="I5791" t="s" s="11">
        <v>14</v>
      </c>
      <c r="J5791" t="s" s="11">
        <v>14</v>
      </c>
      <c r="K5791" t="s" s="12">
        <v>14</v>
      </c>
      <c r="L5791" t="s" s="12">
        <v>14</v>
      </c>
      <c r="M5791" t="s" s="10">
        <v>14</v>
      </c>
      <c r="N5791" t="s" s="11">
        <v>14</v>
      </c>
      <c r="O5791" t="s" s="8">
        <v>14</v>
      </c>
      <c r="P5791" t="s" s="8">
        <v>14</v>
      </c>
      <c r="Q5791" t="s" s="12">
        <v>14</v>
      </c>
      <c r="R5791" t="s" s="12">
        <v>14</v>
      </c>
    </row>
    <row r="5792" s="2" customFormat="1" ht="13.5" customHeight="1">
      <c r="B5792" s="13"/>
      <c r="C5792" t="s" s="9">
        <v>16</v>
      </c>
      <c r="D5792" t="s" s="8">
        <v>1976</v>
      </c>
      <c r="E5792" t="s" s="9">
        <v>1976</v>
      </c>
      <c r="F5792" t="s" s="10">
        <v>119</v>
      </c>
      <c r="G5792" t="s" s="11">
        <v>119</v>
      </c>
      <c r="H5792" s="19">
        <v>5</v>
      </c>
      <c r="I5792" s="17">
        <v>5</v>
      </c>
      <c r="J5792" t="s" s="11">
        <v>20</v>
      </c>
      <c r="K5792" s="15"/>
      <c r="L5792" t="s" s="16">
        <f>HYPERLINK("http://csr.bu.edu/ftp/asl/asllvd/demos/verify_start_end_handshape_annotations//test_auto_move//signs_mov_separ_signers/Liz_1258.mov","MOV")</f>
        <v>21</v>
      </c>
      <c r="M5792" t="s" s="10">
        <v>34</v>
      </c>
      <c r="N5792" s="17">
        <v>31</v>
      </c>
      <c r="O5792" s="18">
        <v>2156</v>
      </c>
      <c r="P5792" s="18">
        <v>2185</v>
      </c>
      <c r="Q5792" s="15"/>
      <c r="R5792" t="s" s="16">
        <f>HYPERLINK("http://secrets.rutgers.edu:8080/data/asl-ftp/asllvd/demos/verify_start_end_handshape_annotations//test_auto_move//signs_mov_separ_signers/Liz_1258.mov","MOV")</f>
        <v>21</v>
      </c>
    </row>
    <row r="5793" s="2" customFormat="1" ht="13.5" customHeight="1">
      <c r="B5793" s="13"/>
      <c r="C5793" t="s" s="9">
        <v>16</v>
      </c>
      <c r="D5793" t="s" s="8">
        <v>1976</v>
      </c>
      <c r="E5793" t="s" s="9">
        <v>1976</v>
      </c>
      <c r="F5793" t="s" s="10">
        <v>119</v>
      </c>
      <c r="G5793" t="s" s="11">
        <v>119</v>
      </c>
      <c r="H5793" t="s" s="10">
        <v>72</v>
      </c>
      <c r="I5793" t="s" s="11">
        <v>72</v>
      </c>
      <c r="J5793" t="s" s="11">
        <v>20</v>
      </c>
      <c r="K5793" s="15"/>
      <c r="L5793" t="s" s="16">
        <f>HYPERLINK("http://csr.bu.edu/ftp/asl/asllvd/demos/verify_start_end_handshape_annotations//test_auto_move//signs_mov_separ_signers/Liz_3392.mov","MOV")</f>
        <v>21</v>
      </c>
      <c r="M5793" t="s" s="10">
        <v>88</v>
      </c>
      <c r="N5793" s="17">
        <v>22</v>
      </c>
      <c r="O5793" s="18">
        <v>1511</v>
      </c>
      <c r="P5793" s="18">
        <v>1551</v>
      </c>
      <c r="Q5793" s="15"/>
      <c r="R5793" t="s" s="16">
        <f>HYPERLINK("http://secrets.rutgers.edu:8080/data/asl-ftp/asllvd/demos/verify_start_end_handshape_annotations//test_auto_move//signs_mov_separ_signers/Liz_3392.mov","MOV")</f>
        <v>21</v>
      </c>
    </row>
    <row r="5794" s="2" customFormat="1" ht="13.5" customHeight="1">
      <c r="B5794" s="13"/>
      <c r="C5794" t="s" s="9">
        <v>23</v>
      </c>
      <c r="D5794" t="s" s="8">
        <v>1976</v>
      </c>
      <c r="E5794" t="s" s="9">
        <v>1976</v>
      </c>
      <c r="F5794" t="s" s="10">
        <v>119</v>
      </c>
      <c r="G5794" t="s" s="11">
        <v>119</v>
      </c>
      <c r="H5794" t="s" s="10">
        <v>148</v>
      </c>
      <c r="I5794" t="s" s="11">
        <v>148</v>
      </c>
      <c r="J5794" t="s" s="11">
        <v>20</v>
      </c>
      <c r="K5794" s="15"/>
      <c r="L5794" t="s" s="16">
        <f>HYPERLINK("http://csr.bu.edu/ftp/asl/asllvd/demos/verify_start_end_handshape_annotations//test_auto_move//signs_mov_separ_signers/Tyler_1258.mov","MOV")</f>
        <v>21</v>
      </c>
      <c r="M5794" t="s" s="10">
        <v>37</v>
      </c>
      <c r="N5794" s="17">
        <v>6</v>
      </c>
      <c r="O5794" s="18">
        <v>2445</v>
      </c>
      <c r="P5794" s="18">
        <v>2465</v>
      </c>
      <c r="Q5794" s="15"/>
      <c r="R5794" t="s" s="16">
        <f>HYPERLINK("http://secrets.rutgers.edu:8080/data/asl-ftp/asllvd/demos/verify_start_end_handshape_annotations//test_auto_move//signs_mov_separ_signers/Tyler_1258.mov","MOV")</f>
        <v>21</v>
      </c>
    </row>
    <row r="5795" s="2" customFormat="1" ht="13.5" customHeight="1">
      <c r="B5795" s="13"/>
      <c r="C5795" t="s" s="9">
        <v>27</v>
      </c>
      <c r="D5795" t="s" s="8">
        <v>1976</v>
      </c>
      <c r="E5795" t="s" s="9">
        <v>1976</v>
      </c>
      <c r="F5795" t="s" s="10">
        <v>119</v>
      </c>
      <c r="G5795" t="s" s="11">
        <v>119</v>
      </c>
      <c r="H5795" s="19">
        <v>5</v>
      </c>
      <c r="I5795" s="17">
        <v>5</v>
      </c>
      <c r="J5795" t="s" s="11">
        <v>20</v>
      </c>
      <c r="K5795" t="s" s="16">
        <f>HYPERLINK("http://csr.bu.edu/ftp/asl/asllvd/demos/verify_start_end_handshape_annotations//test_auto_move//signs_mov/1258_3392_5402_merged.mov","MOV")</f>
        <v>21</v>
      </c>
      <c r="L5795" t="s" s="16">
        <f>HYPERLINK("http://csr.bu.edu/ftp/asl/asllvd/demos/verify_start_end_handshape_annotations//test_auto_move//signs_mov_separ_signers/Naomi_1258.mov","MOV")</f>
        <v>21</v>
      </c>
      <c r="M5795" t="s" s="10">
        <v>38</v>
      </c>
      <c r="N5795" s="17">
        <v>26</v>
      </c>
      <c r="O5795" s="18">
        <v>4120</v>
      </c>
      <c r="P5795" s="18">
        <v>4141</v>
      </c>
      <c r="Q5795" t="s" s="16">
        <f>HYPERLINK("http://secrets.rutgers.edu:8080/data/asl-ftp/asllvd/demos/verify_start_end_handshape_annotations//test_auto_move//signs_mov/1258_3392_5402_merged.mov","MOV")</f>
        <v>21</v>
      </c>
      <c r="R5795" t="s" s="16">
        <f>HYPERLINK("http://secrets.rutgers.edu:8080/data/asl-ftp/asllvd/demos/verify_start_end_handshape_annotations//test_auto_move//signs_mov_separ_signers/Naomi_1258.mov","MOV")</f>
        <v>21</v>
      </c>
    </row>
    <row r="5796" s="2" customFormat="1" ht="13.5" customHeight="1">
      <c r="B5796" s="13"/>
      <c r="C5796" t="s" s="9">
        <v>30</v>
      </c>
      <c r="D5796" t="s" s="8">
        <v>1976</v>
      </c>
      <c r="E5796" t="s" s="9">
        <v>1976</v>
      </c>
      <c r="F5796" t="s" s="10">
        <v>119</v>
      </c>
      <c r="G5796" t="s" s="11">
        <v>119</v>
      </c>
      <c r="H5796" s="19">
        <v>5</v>
      </c>
      <c r="I5796" s="17">
        <v>5</v>
      </c>
      <c r="J5796" t="s" s="11">
        <v>20</v>
      </c>
      <c r="K5796" s="15"/>
      <c r="L5796" t="s" s="16">
        <f>HYPERLINK("http://csr.bu.edu/ftp/asl/asllvd/demos/verify_start_end_handshape_annotations//test_auto_move//signs_mov_separ_signers/Brady_1258.mov","MOV")</f>
        <v>21</v>
      </c>
      <c r="M5796" t="s" s="10">
        <v>39</v>
      </c>
      <c r="N5796" s="17">
        <v>40</v>
      </c>
      <c r="O5796" s="18">
        <v>2949</v>
      </c>
      <c r="P5796" s="18">
        <v>2975</v>
      </c>
      <c r="Q5796" s="15"/>
      <c r="R5796" t="s" s="16">
        <f>HYPERLINK("http://secrets.rutgers.edu:8080/data/asl-ftp/asllvd/demos/verify_start_end_handshape_annotations//test_auto_move//signs_mov_separ_signers/Brady_1258.mov","MOV")</f>
        <v>21</v>
      </c>
    </row>
    <row r="5797" s="2" customFormat="1" ht="13.5" customHeight="1">
      <c r="B5797" s="13"/>
      <c r="C5797" t="s" s="9">
        <v>30</v>
      </c>
      <c r="D5797" t="s" s="8">
        <v>1976</v>
      </c>
      <c r="E5797" t="s" s="9">
        <v>1976</v>
      </c>
      <c r="F5797" t="s" s="10">
        <v>119</v>
      </c>
      <c r="G5797" t="s" s="11">
        <v>119</v>
      </c>
      <c r="H5797" s="19">
        <v>5</v>
      </c>
      <c r="I5797" s="17">
        <v>5</v>
      </c>
      <c r="J5797" t="s" s="11">
        <v>20</v>
      </c>
      <c r="K5797" s="15"/>
      <c r="L5797" t="s" s="16">
        <f>HYPERLINK("http://csr.bu.edu/ftp/asl/asllvd/demos/verify_start_end_handshape_annotations//test_auto_move//signs_mov_separ_signers/Brady_3392.mov","MOV")</f>
        <v>21</v>
      </c>
      <c r="M5797" t="s" s="10">
        <v>40</v>
      </c>
      <c r="N5797" s="17">
        <v>17</v>
      </c>
      <c r="O5797" s="18">
        <v>3002</v>
      </c>
      <c r="P5797" s="18">
        <v>3024</v>
      </c>
      <c r="Q5797" s="15"/>
      <c r="R5797" t="s" s="16">
        <f>HYPERLINK("http://secrets.rutgers.edu:8080/data/asl-ftp/asllvd/demos/verify_start_end_handshape_annotations//test_auto_move//signs_mov_separ_signers/Brady_3392.mov","MOV")</f>
        <v>21</v>
      </c>
    </row>
    <row r="5798" s="2" customFormat="1" ht="13.5" customHeight="1">
      <c r="B5798" s="13"/>
      <c r="C5798" t="s" s="9">
        <v>30</v>
      </c>
      <c r="D5798" t="s" s="8">
        <v>1976</v>
      </c>
      <c r="E5798" t="s" s="9">
        <v>1976</v>
      </c>
      <c r="F5798" t="s" s="10">
        <v>119</v>
      </c>
      <c r="G5798" t="s" s="11">
        <v>119</v>
      </c>
      <c r="H5798" s="19">
        <v>5</v>
      </c>
      <c r="I5798" s="17">
        <v>5</v>
      </c>
      <c r="J5798" t="s" s="11">
        <v>20</v>
      </c>
      <c r="K5798" s="15"/>
      <c r="L5798" t="s" s="16">
        <f>HYPERLINK("http://csr.bu.edu/ftp/asl/asllvd/demos/verify_start_end_handshape_annotations//test_auto_move//signs_mov_separ_signers/Brady_5402.mov","MOV")</f>
        <v>21</v>
      </c>
      <c r="M5798" t="s" s="10">
        <v>60</v>
      </c>
      <c r="N5798" s="17">
        <v>48</v>
      </c>
      <c r="O5798" s="18">
        <v>3487</v>
      </c>
      <c r="P5798" s="18">
        <v>3505</v>
      </c>
      <c r="Q5798" s="15"/>
      <c r="R5798" t="s" s="16">
        <f>HYPERLINK("http://secrets.rutgers.edu:8080/data/asl-ftp/asllvd/demos/verify_start_end_handshape_annotations//test_auto_move//signs_mov_separ_signers/Brady_5402.mov","MOV")</f>
        <v>21</v>
      </c>
    </row>
    <row r="5799" s="2" customFormat="1" ht="13.5" customHeight="1">
      <c r="B5799" s="13"/>
      <c r="C5799" t="s" s="9">
        <v>41</v>
      </c>
      <c r="D5799" t="s" s="8">
        <v>1976</v>
      </c>
      <c r="E5799" t="s" s="9">
        <v>1976</v>
      </c>
      <c r="F5799" t="s" s="10">
        <v>119</v>
      </c>
      <c r="G5799" t="s" s="11">
        <v>119</v>
      </c>
      <c r="H5799" s="19">
        <v>5</v>
      </c>
      <c r="I5799" s="17">
        <v>5</v>
      </c>
      <c r="J5799" t="s" s="11">
        <v>20</v>
      </c>
      <c r="K5799" s="15"/>
      <c r="L5799" t="s" s="16">
        <f>HYPERLINK("http://csr.bu.edu/ftp/asl/asllvd/demos/verify_start_end_handshape_annotations//test_auto_move//signs_mov_separ_signers/Lana_1258.mov","MOV")</f>
        <v>21</v>
      </c>
      <c r="M5799" t="s" s="10">
        <v>442</v>
      </c>
      <c r="N5799" s="17">
        <v>61</v>
      </c>
      <c r="O5799" s="18">
        <v>1646</v>
      </c>
      <c r="P5799" s="18">
        <v>1669</v>
      </c>
      <c r="Q5799" s="15"/>
      <c r="R5799" t="s" s="16">
        <f>HYPERLINK("http://secrets.rutgers.edu:8080/data/asl-ftp/asllvd/demos/verify_start_end_handshape_annotations//test_auto_move//signs_mov_separ_signers/Lana_1258.mov","MOV")</f>
        <v>21</v>
      </c>
    </row>
    <row r="5800" s="2" customFormat="1" ht="13.5" customHeight="1">
      <c r="B5800" t="s" s="8">
        <v>52</v>
      </c>
      <c r="C5800" t="s" s="9">
        <v>53</v>
      </c>
      <c r="D5800" t="s" s="8">
        <v>53</v>
      </c>
      <c r="E5800" t="s" s="9">
        <v>53</v>
      </c>
      <c r="F5800" t="s" s="10">
        <v>53</v>
      </c>
      <c r="G5800" t="s" s="11">
        <v>53</v>
      </c>
      <c r="H5800" t="s" s="10">
        <v>53</v>
      </c>
      <c r="I5800" t="s" s="11">
        <v>53</v>
      </c>
      <c r="J5800" t="s" s="11">
        <v>53</v>
      </c>
      <c r="K5800" t="s" s="12">
        <v>53</v>
      </c>
      <c r="L5800" t="s" s="12">
        <v>53</v>
      </c>
      <c r="M5800" t="s" s="10">
        <v>53</v>
      </c>
      <c r="N5800" t="s" s="11">
        <v>53</v>
      </c>
      <c r="O5800" t="s" s="8">
        <v>53</v>
      </c>
      <c r="P5800" t="s" s="8">
        <v>53</v>
      </c>
      <c r="Q5800" t="s" s="12">
        <v>53</v>
      </c>
      <c r="R5800" t="s" s="12">
        <v>53</v>
      </c>
    </row>
    <row r="5801" s="2" customFormat="1" ht="13.5" customHeight="1">
      <c r="B5801" s="13"/>
      <c r="C5801" t="s" s="9">
        <v>16</v>
      </c>
      <c r="D5801" t="s" s="8">
        <v>1976</v>
      </c>
      <c r="E5801" t="s" s="9">
        <v>1977</v>
      </c>
      <c r="F5801" t="s" s="10">
        <v>119</v>
      </c>
      <c r="G5801" t="s" s="11">
        <v>119</v>
      </c>
      <c r="H5801" t="s" s="10">
        <v>73</v>
      </c>
      <c r="I5801" t="s" s="11">
        <v>73</v>
      </c>
      <c r="J5801" t="s" s="11">
        <v>20</v>
      </c>
      <c r="K5801" s="15"/>
      <c r="L5801" t="s" s="16">
        <f>HYPERLINK("http://csr.bu.edu/ftp/asl/asllvd/demos/verify_start_end_handshape_annotations//test_auto_move//signs_mov_separ_signers/Liz_5935.mov","MOV")</f>
        <v>21</v>
      </c>
      <c r="M5801" t="s" s="10">
        <v>34</v>
      </c>
      <c r="N5801" s="17">
        <v>31</v>
      </c>
      <c r="O5801" s="18">
        <v>2470</v>
      </c>
      <c r="P5801" s="18">
        <v>2511</v>
      </c>
      <c r="Q5801" s="15"/>
      <c r="R5801" t="s" s="16">
        <f>HYPERLINK("http://secrets.rutgers.edu:8080/data/asl-ftp/asllvd/demos/verify_start_end_handshape_annotations//test_auto_move//signs_mov_separ_signers/Liz_5935.mov","MOV")</f>
        <v>21</v>
      </c>
    </row>
    <row r="5802" s="2" customFormat="1" ht="13.5" customHeight="1">
      <c r="B5802" s="13"/>
      <c r="C5802" t="s" s="9">
        <v>23</v>
      </c>
      <c r="D5802" t="s" s="8">
        <v>1976</v>
      </c>
      <c r="E5802" t="s" s="9">
        <v>1977</v>
      </c>
      <c r="F5802" t="s" s="10">
        <v>119</v>
      </c>
      <c r="G5802" t="s" s="11">
        <v>119</v>
      </c>
      <c r="H5802" t="s" s="10">
        <v>148</v>
      </c>
      <c r="I5802" t="s" s="11">
        <v>148</v>
      </c>
      <c r="J5802" t="s" s="11">
        <v>20</v>
      </c>
      <c r="K5802" t="s" s="16">
        <f>HYPERLINK("http://csr.bu.edu/ftp/asl/asllvd/demos/verify_start_end_handshape_annotations//test_auto_move//signs_mov/5935.mov","MOV")</f>
        <v>21</v>
      </c>
      <c r="L5802" t="s" s="16">
        <f>HYPERLINK("http://csr.bu.edu/ftp/asl/asllvd/demos/verify_start_end_handshape_annotations//test_auto_move//signs_mov_separ_signers/Tyler_5935.mov","MOV")</f>
        <v>21</v>
      </c>
      <c r="M5802" t="s" s="10">
        <v>37</v>
      </c>
      <c r="N5802" s="17">
        <v>6</v>
      </c>
      <c r="O5802" s="18">
        <v>2665</v>
      </c>
      <c r="P5802" s="18">
        <v>2692</v>
      </c>
      <c r="Q5802" t="s" s="16">
        <f>HYPERLINK("http://secrets.rutgers.edu:8080/data/asl-ftp/asllvd/demos/verify_start_end_handshape_annotations//test_auto_move//signs_mov/5935.mov","MOV")</f>
        <v>21</v>
      </c>
      <c r="R5802" t="s" s="16">
        <f>HYPERLINK("http://secrets.rutgers.edu:8080/data/asl-ftp/asllvd/demos/verify_start_end_handshape_annotations//test_auto_move//signs_mov_separ_signers/Tyler_5935.mov","MOV")</f>
        <v>21</v>
      </c>
    </row>
    <row r="5803" s="2" customFormat="1" ht="13.5" customHeight="1">
      <c r="B5803" s="13"/>
      <c r="C5803" t="s" s="9">
        <v>27</v>
      </c>
      <c r="D5803" t="s" s="8">
        <v>1976</v>
      </c>
      <c r="E5803" t="s" s="9">
        <v>1977</v>
      </c>
      <c r="F5803" t="s" s="10">
        <v>119</v>
      </c>
      <c r="G5803" t="s" s="11">
        <v>119</v>
      </c>
      <c r="H5803" t="s" s="10">
        <v>72</v>
      </c>
      <c r="I5803" t="s" s="11">
        <v>72</v>
      </c>
      <c r="J5803" t="s" s="11">
        <v>20</v>
      </c>
      <c r="K5803" s="15"/>
      <c r="L5803" t="s" s="16">
        <f>HYPERLINK("http://csr.bu.edu/ftp/asl/asllvd/demos/verify_start_end_handshape_annotations//test_auto_move//signs_mov_separ_signers/Naomi_5935.mov","MOV")</f>
        <v>21</v>
      </c>
      <c r="M5803" t="s" s="10">
        <v>38</v>
      </c>
      <c r="N5803" s="17">
        <v>26</v>
      </c>
      <c r="O5803" s="18">
        <v>4416</v>
      </c>
      <c r="P5803" s="18">
        <v>4445</v>
      </c>
      <c r="Q5803" s="15"/>
      <c r="R5803" t="s" s="16">
        <f>HYPERLINK("http://secrets.rutgers.edu:8080/data/asl-ftp/asllvd/demos/verify_start_end_handshape_annotations//test_auto_move//signs_mov_separ_signers/Naomi_5935.mov","MOV")</f>
        <v>21</v>
      </c>
    </row>
    <row r="5804" s="2" customFormat="1" ht="13.5" customHeight="1">
      <c r="B5804" s="13"/>
      <c r="C5804" t="s" s="9">
        <v>30</v>
      </c>
      <c r="D5804" t="s" s="8">
        <v>1976</v>
      </c>
      <c r="E5804" t="s" s="9">
        <v>1977</v>
      </c>
      <c r="F5804" t="s" s="10">
        <v>119</v>
      </c>
      <c r="G5804" t="s" s="11">
        <v>119</v>
      </c>
      <c r="H5804" t="s" s="10">
        <v>148</v>
      </c>
      <c r="I5804" t="s" s="11">
        <v>148</v>
      </c>
      <c r="J5804" t="s" s="11">
        <v>20</v>
      </c>
      <c r="K5804" s="15"/>
      <c r="L5804" t="s" s="16">
        <f>HYPERLINK("http://csr.bu.edu/ftp/asl/asllvd/demos/verify_start_end_handshape_annotations//test_auto_move//signs_mov_separ_signers/Brady_5935.mov","MOV")</f>
        <v>21</v>
      </c>
      <c r="M5804" t="s" s="10">
        <v>39</v>
      </c>
      <c r="N5804" s="17">
        <v>40</v>
      </c>
      <c r="O5804" s="18">
        <v>3177</v>
      </c>
      <c r="P5804" s="18">
        <v>3204</v>
      </c>
      <c r="Q5804" s="15"/>
      <c r="R5804" t="s" s="16">
        <f>HYPERLINK("http://secrets.rutgers.edu:8080/data/asl-ftp/asllvd/demos/verify_start_end_handshape_annotations//test_auto_move//signs_mov_separ_signers/Brady_5935.mov","MOV")</f>
        <v>21</v>
      </c>
    </row>
    <row r="5805" s="2" customFormat="1" ht="13.5" customHeight="1">
      <c r="B5805" t="s" s="8">
        <v>52</v>
      </c>
      <c r="C5805" t="s" s="9">
        <v>53</v>
      </c>
      <c r="D5805" t="s" s="8">
        <v>53</v>
      </c>
      <c r="E5805" t="s" s="9">
        <v>53</v>
      </c>
      <c r="F5805" t="s" s="10">
        <v>53</v>
      </c>
      <c r="G5805" t="s" s="11">
        <v>53</v>
      </c>
      <c r="H5805" t="s" s="10">
        <v>53</v>
      </c>
      <c r="I5805" t="s" s="11">
        <v>53</v>
      </c>
      <c r="J5805" t="s" s="11">
        <v>53</v>
      </c>
      <c r="K5805" t="s" s="12">
        <v>53</v>
      </c>
      <c r="L5805" t="s" s="12">
        <v>53</v>
      </c>
      <c r="M5805" t="s" s="10">
        <v>53</v>
      </c>
      <c r="N5805" t="s" s="11">
        <v>53</v>
      </c>
      <c r="O5805" t="s" s="8">
        <v>53</v>
      </c>
      <c r="P5805" t="s" s="8">
        <v>53</v>
      </c>
      <c r="Q5805" t="s" s="12">
        <v>53</v>
      </c>
      <c r="R5805" t="s" s="12">
        <v>53</v>
      </c>
    </row>
    <row r="5806" s="2" customFormat="1" ht="13.5" customHeight="1">
      <c r="B5806" s="13"/>
      <c r="C5806" t="s" s="9">
        <v>16</v>
      </c>
      <c r="D5806" t="s" s="8">
        <v>1976</v>
      </c>
      <c r="E5806" t="s" s="9">
        <v>1978</v>
      </c>
      <c r="F5806" t="s" s="10">
        <v>119</v>
      </c>
      <c r="G5806" t="s" s="11">
        <v>119</v>
      </c>
      <c r="H5806" s="19">
        <v>5</v>
      </c>
      <c r="I5806" s="17">
        <v>5</v>
      </c>
      <c r="J5806" t="s" s="11">
        <v>20</v>
      </c>
      <c r="K5806" s="15"/>
      <c r="L5806" t="s" s="16">
        <f>HYPERLINK("http://csr.bu.edu/ftp/asl/asllvd/demos/verify_start_end_handshape_annotations//test_auto_move//signs_mov_separ_signers/Liz_15082.mov","MOV")</f>
        <v>21</v>
      </c>
      <c r="M5806" t="s" s="10">
        <v>34</v>
      </c>
      <c r="N5806" s="17">
        <v>31</v>
      </c>
      <c r="O5806" s="18">
        <v>1940</v>
      </c>
      <c r="P5806" s="18">
        <v>1975</v>
      </c>
      <c r="Q5806" s="15"/>
      <c r="R5806" t="s" s="16">
        <f>HYPERLINK("http://secrets.rutgers.edu:8080/data/asl-ftp/asllvd/demos/verify_start_end_handshape_annotations//test_auto_move//signs_mov_separ_signers/Liz_15082.mov","MOV")</f>
        <v>21</v>
      </c>
    </row>
    <row r="5807" s="2" customFormat="1" ht="13.5" customHeight="1">
      <c r="B5807" s="13"/>
      <c r="C5807" t="s" s="9">
        <v>23</v>
      </c>
      <c r="D5807" t="s" s="8">
        <v>1976</v>
      </c>
      <c r="E5807" t="s" s="9">
        <v>1978</v>
      </c>
      <c r="F5807" t="s" s="10">
        <v>119</v>
      </c>
      <c r="G5807" t="s" s="11">
        <v>119</v>
      </c>
      <c r="H5807" t="s" s="10">
        <v>148</v>
      </c>
      <c r="I5807" t="s" s="11">
        <v>148</v>
      </c>
      <c r="J5807" t="s" s="11">
        <v>20</v>
      </c>
      <c r="K5807" t="s" s="16">
        <f>HYPERLINK("http://csr.bu.edu/ftp/asl/asllvd/demos/verify_start_end_handshape_annotations//test_auto_move//signs_mov/15082.mov","MOV")</f>
        <v>21</v>
      </c>
      <c r="L5807" t="s" s="16">
        <f>HYPERLINK("http://csr.bu.edu/ftp/asl/asllvd/demos/verify_start_end_handshape_annotations//test_auto_move//signs_mov_separ_signers/Tyler_15082.mov","MOV")</f>
        <v>21</v>
      </c>
      <c r="M5807" t="s" s="10">
        <v>37</v>
      </c>
      <c r="N5807" s="17">
        <v>6</v>
      </c>
      <c r="O5807" s="18">
        <v>2220</v>
      </c>
      <c r="P5807" s="18">
        <v>2245</v>
      </c>
      <c r="Q5807" t="s" s="16">
        <f>HYPERLINK("http://secrets.rutgers.edu:8080/data/asl-ftp/asllvd/demos/verify_start_end_handshape_annotations//test_auto_move//signs_mov/15082.mov","MOV")</f>
        <v>21</v>
      </c>
      <c r="R5807" t="s" s="16">
        <f>HYPERLINK("http://secrets.rutgers.edu:8080/data/asl-ftp/asllvd/demos/verify_start_end_handshape_annotations//test_auto_move//signs_mov_separ_signers/Tyler_15082.mov","MOV")</f>
        <v>21</v>
      </c>
    </row>
    <row r="5808" s="2" customFormat="1" ht="13.5" customHeight="1">
      <c r="B5808" s="13"/>
      <c r="C5808" t="s" s="9">
        <v>27</v>
      </c>
      <c r="D5808" t="s" s="8">
        <v>1976</v>
      </c>
      <c r="E5808" t="s" s="9">
        <v>1978</v>
      </c>
      <c r="F5808" t="s" s="10">
        <v>119</v>
      </c>
      <c r="G5808" t="s" s="11">
        <v>119</v>
      </c>
      <c r="H5808" s="19">
        <v>5</v>
      </c>
      <c r="I5808" s="17">
        <v>5</v>
      </c>
      <c r="J5808" t="s" s="11">
        <v>20</v>
      </c>
      <c r="K5808" s="15"/>
      <c r="L5808" t="s" s="16">
        <f>HYPERLINK("http://csr.bu.edu/ftp/asl/asllvd/demos/verify_start_end_handshape_annotations//test_auto_move//signs_mov_separ_signers/Naomi_15082.mov","MOV")</f>
        <v>21</v>
      </c>
      <c r="M5808" t="s" s="10">
        <v>38</v>
      </c>
      <c r="N5808" s="17">
        <v>26</v>
      </c>
      <c r="O5808" s="18">
        <v>3842</v>
      </c>
      <c r="P5808" s="18">
        <v>3887</v>
      </c>
      <c r="Q5808" s="15"/>
      <c r="R5808" t="s" s="16">
        <f>HYPERLINK("http://secrets.rutgers.edu:8080/data/asl-ftp/asllvd/demos/verify_start_end_handshape_annotations//test_auto_move//signs_mov_separ_signers/Naomi_15082.mov","MOV")</f>
        <v>21</v>
      </c>
    </row>
    <row r="5809" s="2" customFormat="1" ht="13.5" customHeight="1">
      <c r="B5809" s="13"/>
      <c r="C5809" t="s" s="9">
        <v>30</v>
      </c>
      <c r="D5809" t="s" s="8">
        <v>1976</v>
      </c>
      <c r="E5809" t="s" s="9">
        <v>1978</v>
      </c>
      <c r="F5809" t="s" s="10">
        <v>119</v>
      </c>
      <c r="G5809" t="s" s="11">
        <v>119</v>
      </c>
      <c r="H5809" s="19">
        <v>5</v>
      </c>
      <c r="I5809" s="17">
        <v>5</v>
      </c>
      <c r="J5809" t="s" s="11">
        <v>20</v>
      </c>
      <c r="K5809" s="15"/>
      <c r="L5809" t="s" s="16">
        <f>HYPERLINK("http://csr.bu.edu/ftp/asl/asllvd/demos/verify_start_end_handshape_annotations//test_auto_move//signs_mov_separ_signers/Brady_15082.mov","MOV")</f>
        <v>21</v>
      </c>
      <c r="M5809" t="s" s="10">
        <v>39</v>
      </c>
      <c r="N5809" s="17">
        <v>40</v>
      </c>
      <c r="O5809" s="18">
        <v>2710</v>
      </c>
      <c r="P5809" s="18">
        <v>2734</v>
      </c>
      <c r="Q5809" s="15"/>
      <c r="R5809" t="s" s="16">
        <f>HYPERLINK("http://secrets.rutgers.edu:8080/data/asl-ftp/asllvd/demos/verify_start_end_handshape_annotations//test_auto_move//signs_mov_separ_signers/Brady_15082.mov","MOV")</f>
        <v>21</v>
      </c>
    </row>
    <row r="5810" s="2" customFormat="1" ht="13.5" customHeight="1">
      <c r="B5810" t="s" s="8">
        <v>1979</v>
      </c>
      <c r="C5810" t="s" s="9">
        <v>14</v>
      </c>
      <c r="D5810" t="s" s="8">
        <v>14</v>
      </c>
      <c r="E5810" t="s" s="9">
        <v>14</v>
      </c>
      <c r="F5810" t="s" s="10">
        <v>14</v>
      </c>
      <c r="G5810" t="s" s="11">
        <v>14</v>
      </c>
      <c r="H5810" t="s" s="10">
        <v>14</v>
      </c>
      <c r="I5810" t="s" s="11">
        <v>14</v>
      </c>
      <c r="J5810" t="s" s="11">
        <v>14</v>
      </c>
      <c r="K5810" t="s" s="12">
        <v>14</v>
      </c>
      <c r="L5810" t="s" s="12">
        <v>14</v>
      </c>
      <c r="M5810" t="s" s="10">
        <v>14</v>
      </c>
      <c r="N5810" t="s" s="11">
        <v>14</v>
      </c>
      <c r="O5810" t="s" s="8">
        <v>14</v>
      </c>
      <c r="P5810" t="s" s="8">
        <v>14</v>
      </c>
      <c r="Q5810" t="s" s="12">
        <v>14</v>
      </c>
      <c r="R5810" t="s" s="12">
        <v>14</v>
      </c>
    </row>
    <row r="5811" s="2" customFormat="1" ht="13.5" customHeight="1">
      <c r="B5811" s="13"/>
      <c r="C5811" t="s" s="9">
        <v>16</v>
      </c>
      <c r="D5811" t="s" s="8">
        <v>1979</v>
      </c>
      <c r="E5811" t="s" s="9">
        <v>1980</v>
      </c>
      <c r="F5811" t="s" s="10">
        <v>25</v>
      </c>
      <c r="G5811" s="14"/>
      <c r="H5811" t="s" s="10">
        <v>25</v>
      </c>
      <c r="I5811" s="14"/>
      <c r="J5811" t="s" s="11">
        <v>136</v>
      </c>
      <c r="K5811" s="15"/>
      <c r="L5811" t="s" s="16">
        <f>HYPERLINK("http://csr.bu.edu/ftp/asl/asllvd/demos/verify_start_end_handshape_annotations//test_auto_move//signs_mov_separ_signers/Liz_1260.mov","MOV")</f>
        <v>21</v>
      </c>
      <c r="M5811" t="s" s="10">
        <v>34</v>
      </c>
      <c r="N5811" s="17">
        <v>5</v>
      </c>
      <c r="O5811" s="18">
        <v>267</v>
      </c>
      <c r="P5811" s="18">
        <v>310</v>
      </c>
      <c r="Q5811" s="15"/>
      <c r="R5811" t="s" s="16">
        <f>HYPERLINK("http://secrets.rutgers.edu:8080/data/asl-ftp/asllvd/demos/verify_start_end_handshape_annotations//test_auto_move//signs_mov_separ_signers/Liz_1260.mov","MOV")</f>
        <v>21</v>
      </c>
    </row>
    <row r="5812" s="2" customFormat="1" ht="13.5" customHeight="1">
      <c r="B5812" s="13"/>
      <c r="C5812" t="s" s="9">
        <v>16</v>
      </c>
      <c r="D5812" t="s" s="8">
        <v>1979</v>
      </c>
      <c r="E5812" t="s" s="9">
        <v>1979</v>
      </c>
      <c r="F5812" t="s" s="10">
        <v>25</v>
      </c>
      <c r="G5812" s="14"/>
      <c r="H5812" t="s" s="10">
        <v>65</v>
      </c>
      <c r="I5812" s="14"/>
      <c r="J5812" t="s" s="11">
        <v>136</v>
      </c>
      <c r="K5812" s="15"/>
      <c r="L5812" t="s" s="16">
        <f>HYPERLINK("http://csr.bu.edu/ftp/asl/asllvd/demos/verify_start_end_handshape_annotations//test_auto_move//signs_mov_separ_signers/Liz_3367.mov","MOV")</f>
        <v>21</v>
      </c>
      <c r="M5812" t="s" s="10">
        <v>34</v>
      </c>
      <c r="N5812" s="17">
        <v>32</v>
      </c>
      <c r="O5812" s="18">
        <v>290</v>
      </c>
      <c r="P5812" s="18">
        <v>330</v>
      </c>
      <c r="Q5812" s="15"/>
      <c r="R5812" t="s" s="16">
        <f>HYPERLINK("http://secrets.rutgers.edu:8080/data/asl-ftp/asllvd/demos/verify_start_end_handshape_annotations//test_auto_move//signs_mov_separ_signers/Liz_3367.mov","MOV")</f>
        <v>21</v>
      </c>
    </row>
    <row r="5813" s="2" customFormat="1" ht="13.5" customHeight="1">
      <c r="B5813" s="13"/>
      <c r="C5813" t="s" s="9">
        <v>23</v>
      </c>
      <c r="D5813" t="s" s="8">
        <v>1979</v>
      </c>
      <c r="E5813" t="s" s="9">
        <v>1979</v>
      </c>
      <c r="F5813" t="s" s="10">
        <v>25</v>
      </c>
      <c r="G5813" s="14"/>
      <c r="H5813" t="s" s="10">
        <v>268</v>
      </c>
      <c r="I5813" s="14"/>
      <c r="J5813" t="s" s="11">
        <v>136</v>
      </c>
      <c r="K5813" s="15"/>
      <c r="L5813" t="s" s="16">
        <f>HYPERLINK("http://csr.bu.edu/ftp/asl/asllvd/demos/verify_start_end_handshape_annotations//test_auto_move//signs_mov_separ_signers/Tyler_1260.mov","MOV")</f>
        <v>21</v>
      </c>
      <c r="M5813" t="s" s="10">
        <v>37</v>
      </c>
      <c r="N5813" s="17">
        <v>6</v>
      </c>
      <c r="O5813" s="18">
        <v>2946</v>
      </c>
      <c r="P5813" s="18">
        <v>2975</v>
      </c>
      <c r="Q5813" s="15"/>
      <c r="R5813" t="s" s="16">
        <f>HYPERLINK("http://secrets.rutgers.edu:8080/data/asl-ftp/asllvd/demos/verify_start_end_handshape_annotations//test_auto_move//signs_mov_separ_signers/Tyler_1260.mov","MOV")</f>
        <v>21</v>
      </c>
    </row>
    <row r="5814" s="2" customFormat="1" ht="13.5" customHeight="1">
      <c r="B5814" s="13"/>
      <c r="C5814" t="s" s="9">
        <v>27</v>
      </c>
      <c r="D5814" t="s" s="8">
        <v>1979</v>
      </c>
      <c r="E5814" t="s" s="9">
        <v>1979</v>
      </c>
      <c r="F5814" t="s" s="10">
        <v>25</v>
      </c>
      <c r="G5814" s="14"/>
      <c r="H5814" t="s" s="10">
        <v>25</v>
      </c>
      <c r="I5814" s="14"/>
      <c r="J5814" t="s" s="11">
        <v>136</v>
      </c>
      <c r="K5814" t="s" s="16">
        <f>HYPERLINK("http://csr.bu.edu/ftp/asl/asllvd/demos/verify_start_end_handshape_annotations//test_auto_move//signs_mov/1260_3367_merged.mov","MOV")</f>
        <v>21</v>
      </c>
      <c r="L5814" t="s" s="16">
        <f>HYPERLINK("http://csr.bu.edu/ftp/asl/asllvd/demos/verify_start_end_handshape_annotations//test_auto_move//signs_mov_separ_signers/Naomi_1260.mov","MOV")</f>
        <v>21</v>
      </c>
      <c r="M5814" t="s" s="10">
        <v>38</v>
      </c>
      <c r="N5814" s="17">
        <v>4</v>
      </c>
      <c r="O5814" s="18">
        <v>3988</v>
      </c>
      <c r="P5814" s="18">
        <v>4022</v>
      </c>
      <c r="Q5814" t="s" s="16">
        <f>HYPERLINK("http://secrets.rutgers.edu:8080/data/asl-ftp/asllvd/demos/verify_start_end_handshape_annotations//test_auto_move//signs_mov/1260_3367_merged.mov","MOV")</f>
        <v>21</v>
      </c>
      <c r="R5814" t="s" s="16">
        <f>HYPERLINK("http://secrets.rutgers.edu:8080/data/asl-ftp/asllvd/demos/verify_start_end_handshape_annotations//test_auto_move//signs_mov_separ_signers/Naomi_1260.mov","MOV")</f>
        <v>21</v>
      </c>
    </row>
    <row r="5815" s="2" customFormat="1" ht="13.5" customHeight="1">
      <c r="B5815" s="13"/>
      <c r="C5815" t="s" s="9">
        <v>27</v>
      </c>
      <c r="D5815" t="s" s="8">
        <v>1979</v>
      </c>
      <c r="E5815" t="s" s="9">
        <v>1979</v>
      </c>
      <c r="F5815" t="s" s="10">
        <v>25</v>
      </c>
      <c r="G5815" s="14"/>
      <c r="H5815" s="19">
        <v>1</v>
      </c>
      <c r="I5815" s="14"/>
      <c r="J5815" t="s" s="11">
        <v>136</v>
      </c>
      <c r="K5815" s="15"/>
      <c r="L5815" t="s" s="16">
        <f>HYPERLINK("http://csr.bu.edu/ftp/asl/asllvd/demos/verify_start_end_handshape_annotations//test_auto_move//signs_mov_separ_signers/Naomi_3367.mov","MOV")</f>
        <v>21</v>
      </c>
      <c r="M5815" t="s" s="10">
        <v>38</v>
      </c>
      <c r="N5815" s="17">
        <v>26</v>
      </c>
      <c r="O5815" s="18">
        <v>4798</v>
      </c>
      <c r="P5815" s="18">
        <v>4828</v>
      </c>
      <c r="Q5815" s="15"/>
      <c r="R5815" t="s" s="16">
        <f>HYPERLINK("http://secrets.rutgers.edu:8080/data/asl-ftp/asllvd/demos/verify_start_end_handshape_annotations//test_auto_move//signs_mov_separ_signers/Naomi_3367.mov","MOV")</f>
        <v>21</v>
      </c>
    </row>
    <row r="5816" s="2" customFormat="1" ht="13.5" customHeight="1">
      <c r="B5816" s="13"/>
      <c r="C5816" t="s" s="9">
        <v>30</v>
      </c>
      <c r="D5816" t="s" s="8">
        <v>1979</v>
      </c>
      <c r="E5816" t="s" s="9">
        <v>1979</v>
      </c>
      <c r="F5816" t="s" s="10">
        <v>25</v>
      </c>
      <c r="G5816" s="14"/>
      <c r="H5816" t="s" s="10">
        <v>63</v>
      </c>
      <c r="I5816" s="14"/>
      <c r="J5816" t="s" s="11">
        <v>136</v>
      </c>
      <c r="K5816" s="15"/>
      <c r="L5816" t="s" s="16">
        <f>HYPERLINK("http://csr.bu.edu/ftp/asl/asllvd/demos/verify_start_end_handshape_annotations//test_auto_move//signs_mov_separ_signers/Brady_1260.mov","MOV")</f>
        <v>21</v>
      </c>
      <c r="M5816" t="s" s="10">
        <v>39</v>
      </c>
      <c r="N5816" s="17">
        <v>40</v>
      </c>
      <c r="O5816" s="18">
        <v>3702</v>
      </c>
      <c r="P5816" s="18">
        <v>3718</v>
      </c>
      <c r="Q5816" s="15"/>
      <c r="R5816" t="s" s="16">
        <f>HYPERLINK("http://secrets.rutgers.edu:8080/data/asl-ftp/asllvd/demos/verify_start_end_handshape_annotations//test_auto_move//signs_mov_separ_signers/Brady_1260.mov","MOV")</f>
        <v>21</v>
      </c>
    </row>
    <row r="5817" s="2" customFormat="1" ht="13.5" customHeight="1">
      <c r="B5817" s="13"/>
      <c r="C5817" t="s" s="9">
        <v>30</v>
      </c>
      <c r="D5817" t="s" s="8">
        <v>1979</v>
      </c>
      <c r="E5817" t="s" s="9">
        <v>1979</v>
      </c>
      <c r="F5817" t="s" s="10">
        <v>25</v>
      </c>
      <c r="G5817" s="14"/>
      <c r="H5817" t="s" s="10">
        <v>268</v>
      </c>
      <c r="I5817" s="14"/>
      <c r="J5817" t="s" s="11">
        <v>20</v>
      </c>
      <c r="K5817" s="15"/>
      <c r="L5817" t="s" s="16">
        <f>HYPERLINK("http://csr.bu.edu/ftp/asl/asllvd/demos/verify_start_end_handshape_annotations//test_auto_move//signs_mov_separ_signers/Brady_3367.mov","MOV")</f>
        <v>21</v>
      </c>
      <c r="M5817" t="s" s="10">
        <v>60</v>
      </c>
      <c r="N5817" s="17">
        <v>43</v>
      </c>
      <c r="O5817" s="18">
        <v>2394</v>
      </c>
      <c r="P5817" s="18">
        <v>2420</v>
      </c>
      <c r="Q5817" s="15"/>
      <c r="R5817" t="s" s="16">
        <f>HYPERLINK("http://secrets.rutgers.edu:8080/data/asl-ftp/asllvd/demos/verify_start_end_handshape_annotations//test_auto_move//signs_mov_separ_signers/Brady_3367.mov","MOV")</f>
        <v>21</v>
      </c>
    </row>
    <row r="5818" s="2" customFormat="1" ht="13.5" customHeight="1">
      <c r="B5818" t="s" s="8">
        <v>52</v>
      </c>
      <c r="C5818" t="s" s="9">
        <v>53</v>
      </c>
      <c r="D5818" t="s" s="8">
        <v>53</v>
      </c>
      <c r="E5818" t="s" s="9">
        <v>53</v>
      </c>
      <c r="F5818" t="s" s="10">
        <v>53</v>
      </c>
      <c r="G5818" t="s" s="11">
        <v>53</v>
      </c>
      <c r="H5818" t="s" s="10">
        <v>53</v>
      </c>
      <c r="I5818" t="s" s="11">
        <v>53</v>
      </c>
      <c r="J5818" t="s" s="11">
        <v>53</v>
      </c>
      <c r="K5818" t="s" s="12">
        <v>53</v>
      </c>
      <c r="L5818" t="s" s="12">
        <v>53</v>
      </c>
      <c r="M5818" t="s" s="10">
        <v>53</v>
      </c>
      <c r="N5818" t="s" s="11">
        <v>53</v>
      </c>
      <c r="O5818" t="s" s="8">
        <v>53</v>
      </c>
      <c r="P5818" t="s" s="8">
        <v>53</v>
      </c>
      <c r="Q5818" t="s" s="12">
        <v>53</v>
      </c>
      <c r="R5818" t="s" s="12">
        <v>53</v>
      </c>
    </row>
    <row r="5819" s="2" customFormat="1" ht="13.5" customHeight="1">
      <c r="B5819" s="13"/>
      <c r="C5819" t="s" s="9">
        <v>23</v>
      </c>
      <c r="D5819" t="s" s="8">
        <v>1979</v>
      </c>
      <c r="E5819" t="s" s="9">
        <v>1981</v>
      </c>
      <c r="F5819" s="19">
        <v>3</v>
      </c>
      <c r="G5819" s="14"/>
      <c r="H5819" t="s" s="10">
        <v>268</v>
      </c>
      <c r="I5819" s="14"/>
      <c r="J5819" t="s" s="11">
        <v>136</v>
      </c>
      <c r="K5819" s="15"/>
      <c r="L5819" t="s" s="16">
        <f>HYPERLINK("http://csr.bu.edu/ftp/asl/asllvd/demos/verify_start_end_handshape_annotations//test_auto_move//signs_mov_separ_signers/Tyler_3661.mov","MOV")</f>
        <v>21</v>
      </c>
      <c r="M5819" t="s" s="10">
        <v>92</v>
      </c>
      <c r="N5819" s="17">
        <v>36</v>
      </c>
      <c r="O5819" s="18">
        <v>2461</v>
      </c>
      <c r="P5819" s="18">
        <v>2487</v>
      </c>
      <c r="Q5819" s="15"/>
      <c r="R5819" t="s" s="16">
        <f>HYPERLINK("http://secrets.rutgers.edu:8080/data/asl-ftp/asllvd/demos/verify_start_end_handshape_annotations//test_auto_move//signs_mov_separ_signers/Tyler_3661.mov","MOV")</f>
        <v>21</v>
      </c>
    </row>
    <row r="5820" s="2" customFormat="1" ht="13.5" customHeight="1">
      <c r="B5820" s="13"/>
      <c r="C5820" t="s" s="9">
        <v>27</v>
      </c>
      <c r="D5820" t="s" s="8">
        <v>1979</v>
      </c>
      <c r="E5820" t="s" s="9">
        <v>1981</v>
      </c>
      <c r="F5820" s="19">
        <v>3</v>
      </c>
      <c r="G5820" s="14"/>
      <c r="H5820" t="s" s="10">
        <v>65</v>
      </c>
      <c r="I5820" s="14"/>
      <c r="J5820" t="s" s="11">
        <v>20</v>
      </c>
      <c r="K5820" t="s" s="16">
        <f>HYPERLINK("http://csr.bu.edu/ftp/asl/asllvd/demos/verify_start_end_handshape_annotations//test_auto_move//signs_mov/3661_5939_merged.mov","MOV")</f>
        <v>21</v>
      </c>
      <c r="L5820" t="s" s="16">
        <f>HYPERLINK("http://csr.bu.edu/ftp/asl/asllvd/demos/verify_start_end_handshape_annotations//test_auto_move//signs_mov_separ_signers/Naomi_3661.mov","MOV")</f>
        <v>21</v>
      </c>
      <c r="M5820" t="s" s="10">
        <v>38</v>
      </c>
      <c r="N5820" s="17">
        <v>27</v>
      </c>
      <c r="O5820" s="18">
        <v>235</v>
      </c>
      <c r="P5820" s="18">
        <v>270</v>
      </c>
      <c r="Q5820" t="s" s="16">
        <f>HYPERLINK("http://secrets.rutgers.edu:8080/data/asl-ftp/asllvd/demos/verify_start_end_handshape_annotations//test_auto_move//signs_mov/3661_5939_merged.mov","MOV")</f>
        <v>21</v>
      </c>
      <c r="R5820" t="s" s="16">
        <f>HYPERLINK("http://secrets.rutgers.edu:8080/data/asl-ftp/asllvd/demos/verify_start_end_handshape_annotations//test_auto_move//signs_mov_separ_signers/Naomi_3661.mov","MOV")</f>
        <v>21</v>
      </c>
    </row>
    <row r="5821" s="2" customFormat="1" ht="13.5" customHeight="1">
      <c r="B5821" s="13"/>
      <c r="C5821" t="s" s="9">
        <v>30</v>
      </c>
      <c r="D5821" t="s" s="8">
        <v>1979</v>
      </c>
      <c r="E5821" t="s" s="9">
        <v>1981</v>
      </c>
      <c r="F5821" s="19">
        <v>3</v>
      </c>
      <c r="G5821" s="14"/>
      <c r="H5821" t="s" s="10">
        <v>220</v>
      </c>
      <c r="I5821" s="14"/>
      <c r="J5821" t="s" s="11">
        <v>20</v>
      </c>
      <c r="K5821" s="15"/>
      <c r="L5821" t="s" s="16">
        <f>HYPERLINK("http://csr.bu.edu/ftp/asl/asllvd/demos/verify_start_end_handshape_annotations//test_auto_move//signs_mov_separ_signers/Brady_3661.mov","MOV")</f>
        <v>21</v>
      </c>
      <c r="M5821" t="s" s="10">
        <v>39</v>
      </c>
      <c r="N5821" s="17">
        <v>40</v>
      </c>
      <c r="O5821" s="18">
        <v>3950</v>
      </c>
      <c r="P5821" s="18">
        <v>3963</v>
      </c>
      <c r="Q5821" s="15"/>
      <c r="R5821" t="s" s="16">
        <f>HYPERLINK("http://secrets.rutgers.edu:8080/data/asl-ftp/asllvd/demos/verify_start_end_handshape_annotations//test_auto_move//signs_mov_separ_signers/Brady_3661.mov","MOV")</f>
        <v>21</v>
      </c>
    </row>
    <row r="5822" s="2" customFormat="1" ht="13.5" customHeight="1">
      <c r="B5822" s="13"/>
      <c r="C5822" t="s" s="9">
        <v>30</v>
      </c>
      <c r="D5822" t="s" s="8">
        <v>1979</v>
      </c>
      <c r="E5822" t="s" s="9">
        <v>1981</v>
      </c>
      <c r="F5822" s="19">
        <v>3</v>
      </c>
      <c r="G5822" s="14"/>
      <c r="H5822" t="s" s="10">
        <v>220</v>
      </c>
      <c r="I5822" s="14"/>
      <c r="J5822" t="s" s="11">
        <v>20</v>
      </c>
      <c r="K5822" s="15"/>
      <c r="L5822" t="s" s="16">
        <f>HYPERLINK("http://csr.bu.edu/ftp/asl/asllvd/demos/verify_start_end_handshape_annotations//test_auto_move//signs_mov_separ_signers/Brady_5939.mov","MOV")</f>
        <v>21</v>
      </c>
      <c r="M5822" t="s" s="10">
        <v>60</v>
      </c>
      <c r="N5822" s="17">
        <v>43</v>
      </c>
      <c r="O5822" s="18">
        <v>2500</v>
      </c>
      <c r="P5822" s="18">
        <v>2514</v>
      </c>
      <c r="Q5822" s="15"/>
      <c r="R5822" t="s" s="16">
        <f>HYPERLINK("http://secrets.rutgers.edu:8080/data/asl-ftp/asllvd/demos/verify_start_end_handshape_annotations//test_auto_move//signs_mov_separ_signers/Brady_5939.mov","MOV")</f>
        <v>21</v>
      </c>
    </row>
    <row r="5823" s="2" customFormat="1" ht="13.5" customHeight="1">
      <c r="B5823" t="s" s="8">
        <v>1982</v>
      </c>
      <c r="C5823" t="s" s="9">
        <v>14</v>
      </c>
      <c r="D5823" t="s" s="8">
        <v>14</v>
      </c>
      <c r="E5823" t="s" s="9">
        <v>14</v>
      </c>
      <c r="F5823" t="s" s="10">
        <v>14</v>
      </c>
      <c r="G5823" t="s" s="11">
        <v>14</v>
      </c>
      <c r="H5823" t="s" s="10">
        <v>14</v>
      </c>
      <c r="I5823" t="s" s="11">
        <v>14</v>
      </c>
      <c r="J5823" t="s" s="11">
        <v>14</v>
      </c>
      <c r="K5823" t="s" s="12">
        <v>14</v>
      </c>
      <c r="L5823" t="s" s="12">
        <v>14</v>
      </c>
      <c r="M5823" t="s" s="10">
        <v>14</v>
      </c>
      <c r="N5823" t="s" s="11">
        <v>14</v>
      </c>
      <c r="O5823" t="s" s="8">
        <v>14</v>
      </c>
      <c r="P5823" t="s" s="8">
        <v>14</v>
      </c>
      <c r="Q5823" t="s" s="12">
        <v>14</v>
      </c>
      <c r="R5823" t="s" s="12">
        <v>14</v>
      </c>
    </row>
    <row r="5824" s="2" customFormat="1" ht="13.5" customHeight="1">
      <c r="B5824" s="13"/>
      <c r="C5824" t="s" s="9">
        <v>16</v>
      </c>
      <c r="D5824" t="s" s="8">
        <v>1982</v>
      </c>
      <c r="E5824" t="s" s="9">
        <v>1983</v>
      </c>
      <c r="F5824" s="19">
        <v>10</v>
      </c>
      <c r="G5824" s="14"/>
      <c r="H5824" s="19">
        <v>10</v>
      </c>
      <c r="I5824" s="14"/>
      <c r="J5824" t="s" s="11">
        <v>136</v>
      </c>
      <c r="K5824" s="15"/>
      <c r="L5824" t="s" s="16">
        <f>HYPERLINK("http://csr.bu.edu/ftp/asl/asllvd/demos/verify_start_end_handshape_annotations//test_auto_move//signs_mov_separ_signers/Liz_15648.mov","MOV")</f>
        <v>21</v>
      </c>
      <c r="M5824" t="s" s="10">
        <v>84</v>
      </c>
      <c r="N5824" s="17">
        <v>25</v>
      </c>
      <c r="O5824" s="18">
        <v>1165</v>
      </c>
      <c r="P5824" s="18">
        <v>1220</v>
      </c>
      <c r="Q5824" s="15"/>
      <c r="R5824" t="s" s="16">
        <f>HYPERLINK("http://secrets.rutgers.edu:8080/data/asl-ftp/asllvd/demos/verify_start_end_handshape_annotations//test_auto_move//signs_mov_separ_signers/Liz_15648.mov","MOV")</f>
        <v>21</v>
      </c>
    </row>
    <row r="5825" s="2" customFormat="1" ht="13.5" customHeight="1">
      <c r="B5825" s="13"/>
      <c r="C5825" t="s" s="9">
        <v>23</v>
      </c>
      <c r="D5825" t="s" s="8">
        <v>1982</v>
      </c>
      <c r="E5825" t="s" s="9">
        <v>1983</v>
      </c>
      <c r="F5825" t="s" s="10">
        <v>68</v>
      </c>
      <c r="G5825" s="14"/>
      <c r="H5825" t="s" s="10">
        <v>68</v>
      </c>
      <c r="I5825" s="14"/>
      <c r="J5825" t="s" s="11">
        <v>136</v>
      </c>
      <c r="K5825" t="s" s="16">
        <f>HYPERLINK("http://csr.bu.edu/ftp/asl/asllvd/demos/verify_start_end_handshape_annotations//test_auto_move//signs_mov/15648.mov","MOV")</f>
        <v>21</v>
      </c>
      <c r="L5825" t="s" s="16">
        <f>HYPERLINK("http://csr.bu.edu/ftp/asl/asllvd/demos/verify_start_end_handshape_annotations//test_auto_move//signs_mov_separ_signers/Tyler_15648.mov","MOV")</f>
        <v>21</v>
      </c>
      <c r="M5825" t="s" s="10">
        <v>92</v>
      </c>
      <c r="N5825" s="17">
        <v>5</v>
      </c>
      <c r="O5825" s="18">
        <v>1915</v>
      </c>
      <c r="P5825" s="18">
        <v>1960</v>
      </c>
      <c r="Q5825" t="s" s="16">
        <f>HYPERLINK("http://secrets.rutgers.edu:8080/data/asl-ftp/asllvd/demos/verify_start_end_handshape_annotations//test_auto_move//signs_mov/15648.mov","MOV")</f>
        <v>21</v>
      </c>
      <c r="R5825" t="s" s="16">
        <f>HYPERLINK("http://secrets.rutgers.edu:8080/data/asl-ftp/asllvd/demos/verify_start_end_handshape_annotations//test_auto_move//signs_mov_separ_signers/Tyler_15648.mov","MOV")</f>
        <v>21</v>
      </c>
    </row>
    <row r="5826" s="2" customFormat="1" ht="13.5" customHeight="1">
      <c r="B5826" s="13"/>
      <c r="C5826" t="s" s="9">
        <v>27</v>
      </c>
      <c r="D5826" t="s" s="8">
        <v>1982</v>
      </c>
      <c r="E5826" t="s" s="9">
        <v>1982</v>
      </c>
      <c r="F5826" s="19">
        <v>10</v>
      </c>
      <c r="G5826" s="14"/>
      <c r="H5826" s="19">
        <v>10</v>
      </c>
      <c r="I5826" s="14"/>
      <c r="J5826" t="s" s="11">
        <v>136</v>
      </c>
      <c r="K5826" s="15"/>
      <c r="L5826" t="s" s="16">
        <f>HYPERLINK("http://csr.bu.edu/ftp/asl/asllvd/demos/verify_start_end_handshape_annotations//test_auto_move//signs_mov_separ_signers/Naomi_15648.mov","MOV")</f>
        <v>21</v>
      </c>
      <c r="M5826" t="s" s="10">
        <v>86</v>
      </c>
      <c r="N5826" s="17">
        <v>25</v>
      </c>
      <c r="O5826" s="18">
        <v>1585</v>
      </c>
      <c r="P5826" s="18">
        <v>1610</v>
      </c>
      <c r="Q5826" s="15"/>
      <c r="R5826" t="s" s="16">
        <f>HYPERLINK("http://secrets.rutgers.edu:8080/data/asl-ftp/asllvd/demos/verify_start_end_handshape_annotations//test_auto_move//signs_mov_separ_signers/Naomi_15648.mov","MOV")</f>
        <v>21</v>
      </c>
    </row>
    <row r="5827" s="2" customFormat="1" ht="13.5" customHeight="1">
      <c r="B5827" s="13"/>
      <c r="C5827" t="s" s="9">
        <v>30</v>
      </c>
      <c r="D5827" t="s" s="8">
        <v>1982</v>
      </c>
      <c r="E5827" t="s" s="9">
        <v>1984</v>
      </c>
      <c r="F5827" s="19">
        <v>10</v>
      </c>
      <c r="G5827" s="14"/>
      <c r="H5827" s="19">
        <v>10</v>
      </c>
      <c r="I5827" s="14"/>
      <c r="J5827" t="s" s="11">
        <v>20</v>
      </c>
      <c r="K5827" s="15"/>
      <c r="L5827" t="s" s="16">
        <f>HYPERLINK("http://csr.bu.edu/ftp/asl/asllvd/demos/verify_start_end_handshape_annotations//test_auto_move//signs_mov_separ_signers/Brady_15648.mov","MOV")</f>
        <v>21</v>
      </c>
      <c r="M5827" t="s" s="10">
        <v>39</v>
      </c>
      <c r="N5827" s="17">
        <v>7</v>
      </c>
      <c r="O5827" s="18">
        <v>6410</v>
      </c>
      <c r="P5827" s="18">
        <v>6439</v>
      </c>
      <c r="Q5827" s="15"/>
      <c r="R5827" t="s" s="16">
        <f>HYPERLINK("http://secrets.rutgers.edu:8080/data/asl-ftp/asllvd/demos/verify_start_end_handshape_annotations//test_auto_move//signs_mov_separ_signers/Brady_15648.mov","MOV")</f>
        <v>21</v>
      </c>
    </row>
    <row r="5828" s="2" customFormat="1" ht="13.5" customHeight="1">
      <c r="B5828" t="s" s="8">
        <v>1985</v>
      </c>
      <c r="C5828" t="s" s="9">
        <v>14</v>
      </c>
      <c r="D5828" t="s" s="8">
        <v>14</v>
      </c>
      <c r="E5828" t="s" s="9">
        <v>14</v>
      </c>
      <c r="F5828" t="s" s="10">
        <v>14</v>
      </c>
      <c r="G5828" t="s" s="11">
        <v>14</v>
      </c>
      <c r="H5828" t="s" s="10">
        <v>14</v>
      </c>
      <c r="I5828" t="s" s="11">
        <v>14</v>
      </c>
      <c r="J5828" t="s" s="11">
        <v>14</v>
      </c>
      <c r="K5828" t="s" s="12">
        <v>14</v>
      </c>
      <c r="L5828" t="s" s="12">
        <v>14</v>
      </c>
      <c r="M5828" t="s" s="10">
        <v>14</v>
      </c>
      <c r="N5828" t="s" s="11">
        <v>14</v>
      </c>
      <c r="O5828" t="s" s="8">
        <v>14</v>
      </c>
      <c r="P5828" t="s" s="8">
        <v>14</v>
      </c>
      <c r="Q5828" t="s" s="12">
        <v>14</v>
      </c>
      <c r="R5828" t="s" s="12">
        <v>14</v>
      </c>
    </row>
    <row r="5829" s="2" customFormat="1" ht="13.5" customHeight="1">
      <c r="B5829" s="13"/>
      <c r="C5829" t="s" s="9">
        <v>16</v>
      </c>
      <c r="D5829" t="s" s="8">
        <v>1985</v>
      </c>
      <c r="E5829" t="s" s="9">
        <v>1985</v>
      </c>
      <c r="F5829" t="s" s="10">
        <v>240</v>
      </c>
      <c r="G5829" t="s" s="11">
        <v>240</v>
      </c>
      <c r="H5829" t="s" s="10">
        <v>240</v>
      </c>
      <c r="I5829" t="s" s="11">
        <v>240</v>
      </c>
      <c r="J5829" t="s" s="11">
        <v>20</v>
      </c>
      <c r="K5829" s="15"/>
      <c r="L5829" t="s" s="16">
        <f>HYPERLINK("http://csr.bu.edu/ftp/asl/asllvd/demos/verify_start_end_handshape_annotations//test_auto_move//signs_mov_separ_signers/Liz_1262.mov","MOV")</f>
        <v>21</v>
      </c>
      <c r="M5829" t="s" s="10">
        <v>34</v>
      </c>
      <c r="N5829" s="17">
        <v>32</v>
      </c>
      <c r="O5829" s="18">
        <v>695</v>
      </c>
      <c r="P5829" s="18">
        <v>720</v>
      </c>
      <c r="Q5829" s="15"/>
      <c r="R5829" t="s" s="16">
        <f>HYPERLINK("http://secrets.rutgers.edu:8080/data/asl-ftp/asllvd/demos/verify_start_end_handshape_annotations//test_auto_move//signs_mov_separ_signers/Liz_1262.mov","MOV")</f>
        <v>21</v>
      </c>
    </row>
    <row r="5830" s="2" customFormat="1" ht="13.5" customHeight="1">
      <c r="B5830" s="13"/>
      <c r="C5830" t="s" s="9">
        <v>23</v>
      </c>
      <c r="D5830" t="s" s="8">
        <v>1985</v>
      </c>
      <c r="E5830" t="s" s="9">
        <v>1985</v>
      </c>
      <c r="F5830" t="s" s="10">
        <v>240</v>
      </c>
      <c r="G5830" t="s" s="11">
        <v>240</v>
      </c>
      <c r="H5830" t="s" s="10">
        <v>240</v>
      </c>
      <c r="I5830" t="s" s="11">
        <v>240</v>
      </c>
      <c r="J5830" t="s" s="11">
        <v>20</v>
      </c>
      <c r="K5830" t="s" s="16">
        <f>HYPERLINK("http://csr.bu.edu/ftp/asl/asllvd/demos/verify_start_end_handshape_annotations//test_auto_move//signs_mov/1262.mov","MOV")</f>
        <v>21</v>
      </c>
      <c r="L5830" t="s" s="16">
        <f>HYPERLINK("http://csr.bu.edu/ftp/asl/asllvd/demos/verify_start_end_handshape_annotations//test_auto_move//signs_mov_separ_signers/Tyler_1262.mov","MOV")</f>
        <v>21</v>
      </c>
      <c r="M5830" t="s" s="10">
        <v>37</v>
      </c>
      <c r="N5830" s="17">
        <v>7</v>
      </c>
      <c r="O5830" s="18">
        <v>305</v>
      </c>
      <c r="P5830" s="18">
        <v>325</v>
      </c>
      <c r="Q5830" t="s" s="16">
        <f>HYPERLINK("http://secrets.rutgers.edu:8080/data/asl-ftp/asllvd/demos/verify_start_end_handshape_annotations//test_auto_move//signs_mov/1262.mov","MOV")</f>
        <v>21</v>
      </c>
      <c r="R5830" t="s" s="16">
        <f>HYPERLINK("http://secrets.rutgers.edu:8080/data/asl-ftp/asllvd/demos/verify_start_end_handshape_annotations//test_auto_move//signs_mov_separ_signers/Tyler_1262.mov","MOV")</f>
        <v>21</v>
      </c>
    </row>
    <row r="5831" s="2" customFormat="1" ht="13.5" customHeight="1">
      <c r="B5831" s="13"/>
      <c r="C5831" t="s" s="9">
        <v>27</v>
      </c>
      <c r="D5831" t="s" s="8">
        <v>1985</v>
      </c>
      <c r="E5831" t="s" s="9">
        <v>1985</v>
      </c>
      <c r="F5831" t="s" s="10">
        <v>240</v>
      </c>
      <c r="G5831" t="s" s="11">
        <v>240</v>
      </c>
      <c r="H5831" t="s" s="10">
        <v>240</v>
      </c>
      <c r="I5831" t="s" s="11">
        <v>240</v>
      </c>
      <c r="J5831" t="s" s="11">
        <v>20</v>
      </c>
      <c r="K5831" s="15"/>
      <c r="L5831" t="s" s="16">
        <f>HYPERLINK("http://csr.bu.edu/ftp/asl/asllvd/demos/verify_start_end_handshape_annotations//test_auto_move//signs_mov_separ_signers/Naomi_1262.mov","MOV")</f>
        <v>21</v>
      </c>
      <c r="M5831" t="s" s="10">
        <v>38</v>
      </c>
      <c r="N5831" s="17">
        <v>27</v>
      </c>
      <c r="O5831" s="18">
        <v>692</v>
      </c>
      <c r="P5831" s="18">
        <v>710</v>
      </c>
      <c r="Q5831" s="15"/>
      <c r="R5831" t="s" s="16">
        <f>HYPERLINK("http://secrets.rutgers.edu:8080/data/asl-ftp/asllvd/demos/verify_start_end_handshape_annotations//test_auto_move//signs_mov_separ_signers/Naomi_1262.mov","MOV")</f>
        <v>21</v>
      </c>
    </row>
    <row r="5832" s="2" customFormat="1" ht="13.5" customHeight="1">
      <c r="B5832" s="13"/>
      <c r="C5832" t="s" s="9">
        <v>30</v>
      </c>
      <c r="D5832" t="s" s="8">
        <v>1985</v>
      </c>
      <c r="E5832" t="s" s="9">
        <v>1985</v>
      </c>
      <c r="F5832" t="s" s="10">
        <v>240</v>
      </c>
      <c r="G5832" t="s" s="11">
        <v>240</v>
      </c>
      <c r="H5832" t="s" s="10">
        <v>240</v>
      </c>
      <c r="I5832" t="s" s="11">
        <v>240</v>
      </c>
      <c r="J5832" t="s" s="11">
        <v>20</v>
      </c>
      <c r="K5832" s="15"/>
      <c r="L5832" t="s" s="16">
        <f>HYPERLINK("http://csr.bu.edu/ftp/asl/asllvd/demos/verify_start_end_handshape_annotations//test_auto_move//signs_mov_separ_signers/Brady_1262.mov","MOV")</f>
        <v>21</v>
      </c>
      <c r="M5832" t="s" s="10">
        <v>39</v>
      </c>
      <c r="N5832" s="17">
        <v>40</v>
      </c>
      <c r="O5832" s="18">
        <v>4179</v>
      </c>
      <c r="P5832" s="18">
        <v>4194</v>
      </c>
      <c r="Q5832" s="15"/>
      <c r="R5832" t="s" s="16">
        <f>HYPERLINK("http://secrets.rutgers.edu:8080/data/asl-ftp/asllvd/demos/verify_start_end_handshape_annotations//test_auto_move//signs_mov_separ_signers/Brady_1262.mov","MOV")</f>
        <v>21</v>
      </c>
    </row>
    <row r="5833" s="2" customFormat="1" ht="13.5" customHeight="1">
      <c r="B5833" t="s" s="8">
        <v>1986</v>
      </c>
      <c r="C5833" t="s" s="9">
        <v>14</v>
      </c>
      <c r="D5833" t="s" s="8">
        <v>14</v>
      </c>
      <c r="E5833" t="s" s="9">
        <v>14</v>
      </c>
      <c r="F5833" t="s" s="10">
        <v>14</v>
      </c>
      <c r="G5833" t="s" s="11">
        <v>14</v>
      </c>
      <c r="H5833" t="s" s="10">
        <v>14</v>
      </c>
      <c r="I5833" t="s" s="11">
        <v>14</v>
      </c>
      <c r="J5833" t="s" s="11">
        <v>14</v>
      </c>
      <c r="K5833" t="s" s="12">
        <v>14</v>
      </c>
      <c r="L5833" t="s" s="12">
        <v>14</v>
      </c>
      <c r="M5833" t="s" s="10">
        <v>14</v>
      </c>
      <c r="N5833" t="s" s="11">
        <v>14</v>
      </c>
      <c r="O5833" t="s" s="8">
        <v>14</v>
      </c>
      <c r="P5833" t="s" s="8">
        <v>14</v>
      </c>
      <c r="Q5833" t="s" s="12">
        <v>14</v>
      </c>
      <c r="R5833" t="s" s="12">
        <v>14</v>
      </c>
    </row>
    <row r="5834" s="2" customFormat="1" ht="13.5" customHeight="1">
      <c r="B5834" s="13"/>
      <c r="C5834" t="s" s="9">
        <v>16</v>
      </c>
      <c r="D5834" t="s" s="8">
        <v>1986</v>
      </c>
      <c r="E5834" t="s" s="9">
        <v>1986</v>
      </c>
      <c r="F5834" t="s" s="10">
        <v>119</v>
      </c>
      <c r="G5834" t="s" s="11">
        <v>119</v>
      </c>
      <c r="H5834" s="19">
        <v>5</v>
      </c>
      <c r="I5834" s="17">
        <v>5</v>
      </c>
      <c r="J5834" t="s" s="11">
        <v>20</v>
      </c>
      <c r="K5834" s="15"/>
      <c r="L5834" t="s" s="16">
        <f>HYPERLINK("http://csr.bu.edu/ftp/asl/asllvd/demos/verify_start_end_handshape_annotations//test_auto_move//signs_mov_separ_signers/Liz_1264.mov","MOV")</f>
        <v>21</v>
      </c>
      <c r="M5834" t="s" s="10">
        <v>34</v>
      </c>
      <c r="N5834" s="17">
        <v>32</v>
      </c>
      <c r="O5834" s="18">
        <v>1200</v>
      </c>
      <c r="P5834" s="18">
        <v>1235</v>
      </c>
      <c r="Q5834" s="15"/>
      <c r="R5834" t="s" s="16">
        <f>HYPERLINK("http://secrets.rutgers.edu:8080/data/asl-ftp/asllvd/demos/verify_start_end_handshape_annotations//test_auto_move//signs_mov_separ_signers/Liz_1264.mov","MOV")</f>
        <v>21</v>
      </c>
    </row>
    <row r="5835" s="2" customFormat="1" ht="13.5" customHeight="1">
      <c r="B5835" s="13"/>
      <c r="C5835" t="s" s="9">
        <v>27</v>
      </c>
      <c r="D5835" t="s" s="8">
        <v>1986</v>
      </c>
      <c r="E5835" t="s" s="9">
        <v>1986</v>
      </c>
      <c r="F5835" t="s" s="10">
        <v>119</v>
      </c>
      <c r="G5835" t="s" s="11">
        <v>119</v>
      </c>
      <c r="H5835" s="19">
        <v>5</v>
      </c>
      <c r="I5835" s="17">
        <v>5</v>
      </c>
      <c r="J5835" t="s" s="11">
        <v>20</v>
      </c>
      <c r="K5835" t="s" s="16">
        <f>HYPERLINK("http://csr.bu.edu/ftp/asl/asllvd/demos/verify_start_end_handshape_annotations//test_auto_move//signs_mov/1264.mov","MOV")</f>
        <v>21</v>
      </c>
      <c r="L5835" t="s" s="16">
        <f>HYPERLINK("http://csr.bu.edu/ftp/asl/asllvd/demos/verify_start_end_handshape_annotations//test_auto_move//signs_mov_separ_signers/Naomi_1264.mov","MOV")</f>
        <v>21</v>
      </c>
      <c r="M5835" t="s" s="10">
        <v>38</v>
      </c>
      <c r="N5835" s="17">
        <v>27</v>
      </c>
      <c r="O5835" s="18">
        <v>1162</v>
      </c>
      <c r="P5835" s="18">
        <v>1195</v>
      </c>
      <c r="Q5835" t="s" s="16">
        <f>HYPERLINK("http://secrets.rutgers.edu:8080/data/asl-ftp/asllvd/demos/verify_start_end_handshape_annotations//test_auto_move//signs_mov/1264.mov","MOV")</f>
        <v>21</v>
      </c>
      <c r="R5835" t="s" s="16">
        <f>HYPERLINK("http://secrets.rutgers.edu:8080/data/asl-ftp/asllvd/demos/verify_start_end_handshape_annotations//test_auto_move//signs_mov_separ_signers/Naomi_1264.mov","MOV")</f>
        <v>21</v>
      </c>
    </row>
    <row r="5836" s="2" customFormat="1" ht="13.5" customHeight="1">
      <c r="B5836" s="13"/>
      <c r="C5836" t="s" s="9">
        <v>30</v>
      </c>
      <c r="D5836" t="s" s="8">
        <v>1986</v>
      </c>
      <c r="E5836" t="s" s="9">
        <v>1986</v>
      </c>
      <c r="F5836" t="s" s="10">
        <v>119</v>
      </c>
      <c r="G5836" t="s" s="11">
        <v>119</v>
      </c>
      <c r="H5836" s="19">
        <v>5</v>
      </c>
      <c r="I5836" s="17">
        <v>5</v>
      </c>
      <c r="J5836" t="s" s="11">
        <v>20</v>
      </c>
      <c r="K5836" s="15"/>
      <c r="L5836" t="s" s="16">
        <f>HYPERLINK("http://csr.bu.edu/ftp/asl/asllvd/demos/verify_start_end_handshape_annotations//test_auto_move//signs_mov_separ_signers/Brady_1264.mov","MOV")</f>
        <v>21</v>
      </c>
      <c r="M5836" t="s" s="10">
        <v>39</v>
      </c>
      <c r="N5836" s="17">
        <v>40</v>
      </c>
      <c r="O5836" s="18">
        <v>4662</v>
      </c>
      <c r="P5836" s="18">
        <v>4687</v>
      </c>
      <c r="Q5836" s="15"/>
      <c r="R5836" t="s" s="16">
        <f>HYPERLINK("http://secrets.rutgers.edu:8080/data/asl-ftp/asllvd/demos/verify_start_end_handshape_annotations//test_auto_move//signs_mov_separ_signers/Brady_1264.mov","MOV")</f>
        <v>21</v>
      </c>
    </row>
    <row r="5837" s="2" customFormat="1" ht="13.5" customHeight="1">
      <c r="B5837" t="s" s="8">
        <v>52</v>
      </c>
      <c r="C5837" t="s" s="9">
        <v>53</v>
      </c>
      <c r="D5837" t="s" s="8">
        <v>53</v>
      </c>
      <c r="E5837" t="s" s="9">
        <v>53</v>
      </c>
      <c r="F5837" t="s" s="10">
        <v>53</v>
      </c>
      <c r="G5837" t="s" s="11">
        <v>53</v>
      </c>
      <c r="H5837" t="s" s="10">
        <v>53</v>
      </c>
      <c r="I5837" t="s" s="11">
        <v>53</v>
      </c>
      <c r="J5837" t="s" s="11">
        <v>53</v>
      </c>
      <c r="K5837" t="s" s="12">
        <v>53</v>
      </c>
      <c r="L5837" t="s" s="12">
        <v>53</v>
      </c>
      <c r="M5837" t="s" s="10">
        <v>53</v>
      </c>
      <c r="N5837" t="s" s="11">
        <v>53</v>
      </c>
      <c r="O5837" t="s" s="8">
        <v>53</v>
      </c>
      <c r="P5837" t="s" s="8">
        <v>53</v>
      </c>
      <c r="Q5837" t="s" s="12">
        <v>53</v>
      </c>
      <c r="R5837" t="s" s="12">
        <v>53</v>
      </c>
    </row>
    <row r="5838" s="2" customFormat="1" ht="13.5" customHeight="1">
      <c r="B5838" s="13"/>
      <c r="C5838" t="s" s="9">
        <v>23</v>
      </c>
      <c r="D5838" t="s" s="8">
        <v>1986</v>
      </c>
      <c r="E5838" t="s" s="9">
        <v>1987</v>
      </c>
      <c r="F5838" s="19">
        <v>5</v>
      </c>
      <c r="G5838" s="17">
        <v>5</v>
      </c>
      <c r="H5838" s="19">
        <v>5</v>
      </c>
      <c r="I5838" s="17">
        <v>5</v>
      </c>
      <c r="J5838" t="s" s="11">
        <v>20</v>
      </c>
      <c r="K5838" t="s" s="16">
        <f>HYPERLINK("http://csr.bu.edu/ftp/asl/asllvd/demos/verify_start_end_handshape_annotations//test_auto_move//signs_mov/5224.mov","MOV")</f>
        <v>21</v>
      </c>
      <c r="L5838" t="s" s="16">
        <f>HYPERLINK("http://csr.bu.edu/ftp/asl/asllvd/demos/verify_start_end_handshape_annotations//test_auto_move//signs_mov_separ_signers/Tyler_5224.mov","MOV")</f>
        <v>21</v>
      </c>
      <c r="M5838" t="s" s="10">
        <v>37</v>
      </c>
      <c r="N5838" s="17">
        <v>7</v>
      </c>
      <c r="O5838" s="18">
        <v>1392</v>
      </c>
      <c r="P5838" s="18">
        <v>1412</v>
      </c>
      <c r="Q5838" t="s" s="16">
        <f>HYPERLINK("http://secrets.rutgers.edu:8080/data/asl-ftp/asllvd/demos/verify_start_end_handshape_annotations//test_auto_move//signs_mov/5224.mov","MOV")</f>
        <v>21</v>
      </c>
      <c r="R5838" t="s" s="16">
        <f>HYPERLINK("http://secrets.rutgers.edu:8080/data/asl-ftp/asllvd/demos/verify_start_end_handshape_annotations//test_auto_move//signs_mov_separ_signers/Tyler_5224.mov","MOV")</f>
        <v>21</v>
      </c>
    </row>
    <row r="5839" s="2" customFormat="1" ht="13.5" customHeight="1">
      <c r="B5839" t="s" s="8">
        <v>1988</v>
      </c>
      <c r="C5839" t="s" s="9">
        <v>14</v>
      </c>
      <c r="D5839" t="s" s="8">
        <v>14</v>
      </c>
      <c r="E5839" t="s" s="9">
        <v>14</v>
      </c>
      <c r="F5839" t="s" s="10">
        <v>14</v>
      </c>
      <c r="G5839" t="s" s="11">
        <v>14</v>
      </c>
      <c r="H5839" t="s" s="10">
        <v>14</v>
      </c>
      <c r="I5839" t="s" s="11">
        <v>14</v>
      </c>
      <c r="J5839" t="s" s="11">
        <v>14</v>
      </c>
      <c r="K5839" t="s" s="12">
        <v>14</v>
      </c>
      <c r="L5839" t="s" s="12">
        <v>14</v>
      </c>
      <c r="M5839" t="s" s="10">
        <v>14</v>
      </c>
      <c r="N5839" t="s" s="11">
        <v>14</v>
      </c>
      <c r="O5839" t="s" s="8">
        <v>14</v>
      </c>
      <c r="P5839" t="s" s="8">
        <v>14</v>
      </c>
      <c r="Q5839" t="s" s="12">
        <v>14</v>
      </c>
      <c r="R5839" t="s" s="12">
        <v>14</v>
      </c>
    </row>
    <row r="5840" s="2" customFormat="1" ht="13.5" customHeight="1">
      <c r="B5840" s="13"/>
      <c r="C5840" t="s" s="9">
        <v>16</v>
      </c>
      <c r="D5840" t="s" s="8">
        <v>1988</v>
      </c>
      <c r="E5840" t="s" s="9">
        <v>1988</v>
      </c>
      <c r="F5840" s="19">
        <v>1</v>
      </c>
      <c r="G5840" s="14"/>
      <c r="H5840" s="19">
        <v>1</v>
      </c>
      <c r="I5840" s="14"/>
      <c r="J5840" t="s" s="11">
        <v>20</v>
      </c>
      <c r="K5840" s="15"/>
      <c r="L5840" t="s" s="16">
        <f>HYPERLINK("http://csr.bu.edu/ftp/asl/asllvd/demos/verify_start_end_handshape_annotations//test_auto_move//signs_mov_separ_signers/Liz_1265.mov","MOV")</f>
        <v>21</v>
      </c>
      <c r="M5840" t="s" s="10">
        <v>34</v>
      </c>
      <c r="N5840" s="17">
        <v>33</v>
      </c>
      <c r="O5840" s="18">
        <v>271</v>
      </c>
      <c r="P5840" s="18">
        <v>297</v>
      </c>
      <c r="Q5840" s="15"/>
      <c r="R5840" t="s" s="16">
        <f>HYPERLINK("http://secrets.rutgers.edu:8080/data/asl-ftp/asllvd/demos/verify_start_end_handshape_annotations//test_auto_move//signs_mov_separ_signers/Liz_1265.mov","MOV")</f>
        <v>21</v>
      </c>
    </row>
    <row r="5841" s="2" customFormat="1" ht="13.5" customHeight="1">
      <c r="B5841" s="13"/>
      <c r="C5841" t="s" s="9">
        <v>23</v>
      </c>
      <c r="D5841" t="s" s="8">
        <v>1988</v>
      </c>
      <c r="E5841" t="s" s="9">
        <v>1988</v>
      </c>
      <c r="F5841" s="19">
        <v>1</v>
      </c>
      <c r="G5841" s="14"/>
      <c r="H5841" s="19">
        <v>1</v>
      </c>
      <c r="I5841" s="14"/>
      <c r="J5841" t="s" s="11">
        <v>20</v>
      </c>
      <c r="K5841" s="15"/>
      <c r="L5841" t="s" s="16">
        <f>HYPERLINK("http://csr.bu.edu/ftp/asl/asllvd/demos/verify_start_end_handshape_annotations//test_auto_move//signs_mov_separ_signers/Tyler_1265.mov","MOV")</f>
        <v>21</v>
      </c>
      <c r="M5841" t="s" s="10">
        <v>125</v>
      </c>
      <c r="N5841" s="17">
        <v>10</v>
      </c>
      <c r="O5841" s="18">
        <v>1996</v>
      </c>
      <c r="P5841" s="18">
        <v>2022</v>
      </c>
      <c r="Q5841" s="15"/>
      <c r="R5841" t="s" s="16">
        <f>HYPERLINK("http://secrets.rutgers.edu:8080/data/asl-ftp/asllvd/demos/verify_start_end_handshape_annotations//test_auto_move//signs_mov_separ_signers/Tyler_1265.mov","MOV")</f>
        <v>21</v>
      </c>
    </row>
    <row r="5842" s="2" customFormat="1" ht="13.5" customHeight="1">
      <c r="B5842" s="13"/>
      <c r="C5842" t="s" s="9">
        <v>23</v>
      </c>
      <c r="D5842" t="s" s="8">
        <v>1988</v>
      </c>
      <c r="E5842" t="s" s="9">
        <v>1988</v>
      </c>
      <c r="F5842" s="19">
        <v>1</v>
      </c>
      <c r="G5842" s="14"/>
      <c r="H5842" s="19">
        <v>1</v>
      </c>
      <c r="I5842" s="14"/>
      <c r="J5842" t="s" s="11">
        <v>20</v>
      </c>
      <c r="K5842" t="s" s="16">
        <f>HYPERLINK("http://csr.bu.edu/ftp/asl/asllvd/demos/verify_start_end_handshape_annotations//test_auto_move//signs_mov/1265_3316_merged.mov","MOV")</f>
        <v>21</v>
      </c>
      <c r="L5842" t="s" s="16">
        <f>HYPERLINK("http://csr.bu.edu/ftp/asl/asllvd/demos/verify_start_end_handshape_annotations//test_auto_move//signs_mov_separ_signers/Tyler_3316.mov","MOV")</f>
        <v>21</v>
      </c>
      <c r="M5842" t="s" s="10">
        <v>37</v>
      </c>
      <c r="N5842" s="17">
        <v>7</v>
      </c>
      <c r="O5842" s="18">
        <v>1635</v>
      </c>
      <c r="P5842" s="18">
        <v>1661</v>
      </c>
      <c r="Q5842" t="s" s="16">
        <f>HYPERLINK("http://secrets.rutgers.edu:8080/data/asl-ftp/asllvd/demos/verify_start_end_handshape_annotations//test_auto_move//signs_mov/1265_3316_merged.mov","MOV")</f>
        <v>21</v>
      </c>
      <c r="R5842" t="s" s="16">
        <f>HYPERLINK("http://secrets.rutgers.edu:8080/data/asl-ftp/asllvd/demos/verify_start_end_handshape_annotations//test_auto_move//signs_mov_separ_signers/Tyler_3316.mov","MOV")</f>
        <v>21</v>
      </c>
    </row>
    <row r="5843" s="2" customFormat="1" ht="13.5" customHeight="1">
      <c r="B5843" s="13"/>
      <c r="C5843" t="s" s="9">
        <v>27</v>
      </c>
      <c r="D5843" t="s" s="8">
        <v>1988</v>
      </c>
      <c r="E5843" t="s" s="9">
        <v>1988</v>
      </c>
      <c r="F5843" t="s" s="10">
        <v>268</v>
      </c>
      <c r="G5843" s="14"/>
      <c r="H5843" t="s" s="10">
        <v>268</v>
      </c>
      <c r="I5843" s="14"/>
      <c r="J5843" t="s" s="11">
        <v>20</v>
      </c>
      <c r="K5843" s="15"/>
      <c r="L5843" t="s" s="16">
        <f>HYPERLINK("http://csr.bu.edu/ftp/asl/asllvd/demos/verify_start_end_handshape_annotations//test_auto_move//signs_mov_separ_signers/Naomi_1265.mov","MOV")</f>
        <v>21</v>
      </c>
      <c r="M5843" t="s" s="10">
        <v>38</v>
      </c>
      <c r="N5843" s="17">
        <v>27</v>
      </c>
      <c r="O5843" s="18">
        <v>1453</v>
      </c>
      <c r="P5843" s="18">
        <v>1483</v>
      </c>
      <c r="Q5843" s="15"/>
      <c r="R5843" t="s" s="16">
        <f>HYPERLINK("http://secrets.rutgers.edu:8080/data/asl-ftp/asllvd/demos/verify_start_end_handshape_annotations//test_auto_move//signs_mov_separ_signers/Naomi_1265.mov","MOV")</f>
        <v>21</v>
      </c>
    </row>
    <row r="5844" s="2" customFormat="1" ht="13.5" customHeight="1">
      <c r="B5844" s="13"/>
      <c r="C5844" t="s" s="9">
        <v>30</v>
      </c>
      <c r="D5844" t="s" s="8">
        <v>1988</v>
      </c>
      <c r="E5844" t="s" s="9">
        <v>1988</v>
      </c>
      <c r="F5844" s="19">
        <v>1</v>
      </c>
      <c r="G5844" s="14"/>
      <c r="H5844" s="19">
        <v>1</v>
      </c>
      <c r="I5844" s="14"/>
      <c r="J5844" t="s" s="11">
        <v>20</v>
      </c>
      <c r="K5844" s="15"/>
      <c r="L5844" t="s" s="16">
        <f>HYPERLINK("http://csr.bu.edu/ftp/asl/asllvd/demos/verify_start_end_handshape_annotations//test_auto_move//signs_mov_separ_signers/Brady_1265.mov","MOV")</f>
        <v>21</v>
      </c>
      <c r="M5844" t="s" s="10">
        <v>39</v>
      </c>
      <c r="N5844" s="17">
        <v>40</v>
      </c>
      <c r="O5844" s="18">
        <v>5404</v>
      </c>
      <c r="P5844" s="18">
        <v>5423</v>
      </c>
      <c r="Q5844" s="15"/>
      <c r="R5844" t="s" s="16">
        <f>HYPERLINK("http://secrets.rutgers.edu:8080/data/asl-ftp/asllvd/demos/verify_start_end_handshape_annotations//test_auto_move//signs_mov_separ_signers/Brady_1265.mov","MOV")</f>
        <v>21</v>
      </c>
    </row>
    <row r="5845" s="2" customFormat="1" ht="13.5" customHeight="1">
      <c r="B5845" t="s" s="8">
        <v>1989</v>
      </c>
      <c r="C5845" t="s" s="9">
        <v>14</v>
      </c>
      <c r="D5845" t="s" s="8">
        <v>14</v>
      </c>
      <c r="E5845" t="s" s="9">
        <v>14</v>
      </c>
      <c r="F5845" t="s" s="10">
        <v>14</v>
      </c>
      <c r="G5845" t="s" s="11">
        <v>14</v>
      </c>
      <c r="H5845" t="s" s="10">
        <v>14</v>
      </c>
      <c r="I5845" t="s" s="11">
        <v>14</v>
      </c>
      <c r="J5845" t="s" s="11">
        <v>14</v>
      </c>
      <c r="K5845" t="s" s="12">
        <v>14</v>
      </c>
      <c r="L5845" t="s" s="12">
        <v>14</v>
      </c>
      <c r="M5845" t="s" s="10">
        <v>14</v>
      </c>
      <c r="N5845" t="s" s="11">
        <v>14</v>
      </c>
      <c r="O5845" t="s" s="8">
        <v>14</v>
      </c>
      <c r="P5845" t="s" s="8">
        <v>14</v>
      </c>
      <c r="Q5845" t="s" s="12">
        <v>14</v>
      </c>
      <c r="R5845" t="s" s="12">
        <v>14</v>
      </c>
    </row>
    <row r="5846" s="2" customFormat="1" ht="13.5" customHeight="1">
      <c r="B5846" s="13"/>
      <c r="C5846" t="s" s="9">
        <v>16</v>
      </c>
      <c r="D5846" t="s" s="8">
        <v>1989</v>
      </c>
      <c r="E5846" t="s" s="9">
        <v>1989</v>
      </c>
      <c r="F5846" t="s" s="10">
        <v>287</v>
      </c>
      <c r="G5846" s="14"/>
      <c r="H5846" t="s" s="10">
        <v>287</v>
      </c>
      <c r="I5846" s="14"/>
      <c r="J5846" t="s" s="11">
        <v>20</v>
      </c>
      <c r="K5846" s="15"/>
      <c r="L5846" t="s" s="16">
        <f>HYPERLINK("http://csr.bu.edu/ftp/asl/asllvd/demos/verify_start_end_handshape_annotations//test_auto_move//signs_mov_separ_signers/Liz_1266.mov","MOV")</f>
        <v>21</v>
      </c>
      <c r="M5846" t="s" s="10">
        <v>34</v>
      </c>
      <c r="N5846" s="17">
        <v>33</v>
      </c>
      <c r="O5846" s="18">
        <v>525</v>
      </c>
      <c r="P5846" s="18">
        <v>565</v>
      </c>
      <c r="Q5846" s="15"/>
      <c r="R5846" t="s" s="16">
        <f>HYPERLINK("http://secrets.rutgers.edu:8080/data/asl-ftp/asllvd/demos/verify_start_end_handshape_annotations//test_auto_move//signs_mov_separ_signers/Liz_1266.mov","MOV")</f>
        <v>21</v>
      </c>
    </row>
    <row r="5847" s="2" customFormat="1" ht="13.5" customHeight="1">
      <c r="B5847" s="13"/>
      <c r="C5847" t="s" s="9">
        <v>16</v>
      </c>
      <c r="D5847" t="s" s="8">
        <v>1989</v>
      </c>
      <c r="E5847" t="s" s="9">
        <v>1989</v>
      </c>
      <c r="F5847" t="s" s="10">
        <v>287</v>
      </c>
      <c r="G5847" s="14"/>
      <c r="H5847" t="s" s="10">
        <v>287</v>
      </c>
      <c r="I5847" s="14"/>
      <c r="J5847" t="s" s="11">
        <v>20</v>
      </c>
      <c r="K5847" s="15"/>
      <c r="L5847" t="s" s="16">
        <f>HYPERLINK("http://csr.bu.edu/ftp/asl/asllvd/demos/verify_start_end_handshape_annotations//test_auto_move//signs_mov_separ_signers/Liz_3412.mov","MOV")</f>
        <v>21</v>
      </c>
      <c r="M5847" t="s" s="10">
        <v>77</v>
      </c>
      <c r="N5847" s="17">
        <v>30</v>
      </c>
      <c r="O5847" s="18">
        <v>2520</v>
      </c>
      <c r="P5847" s="18">
        <v>2576</v>
      </c>
      <c r="Q5847" s="15"/>
      <c r="R5847" t="s" s="16">
        <f>HYPERLINK("http://secrets.rutgers.edu:8080/data/asl-ftp/asllvd/demos/verify_start_end_handshape_annotations//test_auto_move//signs_mov_separ_signers/Liz_3412.mov","MOV")</f>
        <v>21</v>
      </c>
    </row>
    <row r="5848" s="2" customFormat="1" ht="13.5" customHeight="1">
      <c r="B5848" s="13"/>
      <c r="C5848" t="s" s="9">
        <v>23</v>
      </c>
      <c r="D5848" t="s" s="8">
        <v>1989</v>
      </c>
      <c r="E5848" t="s" s="9">
        <v>1989</v>
      </c>
      <c r="F5848" t="s" s="10">
        <v>287</v>
      </c>
      <c r="G5848" s="14"/>
      <c r="H5848" t="s" s="10">
        <v>287</v>
      </c>
      <c r="I5848" s="14"/>
      <c r="J5848" t="s" s="11">
        <v>20</v>
      </c>
      <c r="K5848" t="s" s="16">
        <f>HYPERLINK("http://csr.bu.edu/ftp/asl/asllvd/demos/verify_start_end_handshape_annotations//test_auto_move//signs_mov/1266_3412_merged.mov","MOV")</f>
        <v>21</v>
      </c>
      <c r="L5848" t="s" s="16">
        <f>HYPERLINK("http://csr.bu.edu/ftp/asl/asllvd/demos/verify_start_end_handshape_annotations//test_auto_move//signs_mov_separ_signers/Tyler_1266.mov","MOV")</f>
        <v>21</v>
      </c>
      <c r="M5848" t="s" s="10">
        <v>37</v>
      </c>
      <c r="N5848" s="17">
        <v>7</v>
      </c>
      <c r="O5848" s="18">
        <v>1815</v>
      </c>
      <c r="P5848" s="18">
        <v>1862</v>
      </c>
      <c r="Q5848" t="s" s="16">
        <f>HYPERLINK("http://secrets.rutgers.edu:8080/data/asl-ftp/asllvd/demos/verify_start_end_handshape_annotations//test_auto_move//signs_mov/1266_3412_merged.mov","MOV")</f>
        <v>21</v>
      </c>
      <c r="R5848" t="s" s="16">
        <f>HYPERLINK("http://secrets.rutgers.edu:8080/data/asl-ftp/asllvd/demos/verify_start_end_handshape_annotations//test_auto_move//signs_mov_separ_signers/Tyler_1266.mov","MOV")</f>
        <v>21</v>
      </c>
    </row>
    <row r="5849" s="2" customFormat="1" ht="13.5" customHeight="1">
      <c r="B5849" s="13"/>
      <c r="C5849" t="s" s="9">
        <v>27</v>
      </c>
      <c r="D5849" t="s" s="8">
        <v>1989</v>
      </c>
      <c r="E5849" t="s" s="9">
        <v>1989</v>
      </c>
      <c r="F5849" t="s" s="10">
        <v>287</v>
      </c>
      <c r="G5849" s="14"/>
      <c r="H5849" t="s" s="10">
        <v>287</v>
      </c>
      <c r="I5849" s="14"/>
      <c r="J5849" t="s" s="11">
        <v>20</v>
      </c>
      <c r="K5849" s="15"/>
      <c r="L5849" t="s" s="16">
        <f>HYPERLINK("http://csr.bu.edu/ftp/asl/asllvd/demos/verify_start_end_handshape_annotations//test_auto_move//signs_mov_separ_signers/Naomi_1266.mov","MOV")</f>
        <v>21</v>
      </c>
      <c r="M5849" t="s" s="10">
        <v>38</v>
      </c>
      <c r="N5849" s="17">
        <v>27</v>
      </c>
      <c r="O5849" s="18">
        <v>1765</v>
      </c>
      <c r="P5849" s="18">
        <v>1802</v>
      </c>
      <c r="Q5849" s="15"/>
      <c r="R5849" t="s" s="16">
        <f>HYPERLINK("http://secrets.rutgers.edu:8080/data/asl-ftp/asllvd/demos/verify_start_end_handshape_annotations//test_auto_move//signs_mov_separ_signers/Naomi_1266.mov","MOV")</f>
        <v>21</v>
      </c>
    </row>
    <row r="5850" s="2" customFormat="1" ht="13.5" customHeight="1">
      <c r="B5850" s="13"/>
      <c r="C5850" t="s" s="9">
        <v>30</v>
      </c>
      <c r="D5850" t="s" s="8">
        <v>1989</v>
      </c>
      <c r="E5850" t="s" s="9">
        <v>1989</v>
      </c>
      <c r="F5850" t="s" s="10">
        <v>287</v>
      </c>
      <c r="G5850" s="14"/>
      <c r="H5850" t="s" s="10">
        <v>287</v>
      </c>
      <c r="I5850" s="14"/>
      <c r="J5850" t="s" s="11">
        <v>20</v>
      </c>
      <c r="K5850" s="15"/>
      <c r="L5850" t="s" s="16">
        <f>HYPERLINK("http://csr.bu.edu/ftp/asl/asllvd/demos/verify_start_end_handshape_annotations//test_auto_move//signs_mov_separ_signers/Brady_1266.mov","MOV")</f>
        <v>21</v>
      </c>
      <c r="M5850" t="s" s="10">
        <v>39</v>
      </c>
      <c r="N5850" s="17">
        <v>40</v>
      </c>
      <c r="O5850" s="18">
        <v>805</v>
      </c>
      <c r="P5850" s="18">
        <v>831</v>
      </c>
      <c r="Q5850" s="15"/>
      <c r="R5850" t="s" s="16">
        <f>HYPERLINK("http://secrets.rutgers.edu:8080/data/asl-ftp/asllvd/demos/verify_start_end_handshape_annotations//test_auto_move//signs_mov_separ_signers/Brady_1266.mov","MOV")</f>
        <v>21</v>
      </c>
    </row>
    <row r="5851" s="2" customFormat="1" ht="13.5" customHeight="1">
      <c r="B5851" t="s" s="8">
        <v>1990</v>
      </c>
      <c r="C5851" t="s" s="9">
        <v>14</v>
      </c>
      <c r="D5851" t="s" s="8">
        <v>14</v>
      </c>
      <c r="E5851" t="s" s="9">
        <v>14</v>
      </c>
      <c r="F5851" t="s" s="10">
        <v>14</v>
      </c>
      <c r="G5851" t="s" s="11">
        <v>14</v>
      </c>
      <c r="H5851" t="s" s="10">
        <v>14</v>
      </c>
      <c r="I5851" t="s" s="11">
        <v>14</v>
      </c>
      <c r="J5851" t="s" s="11">
        <v>14</v>
      </c>
      <c r="K5851" t="s" s="12">
        <v>14</v>
      </c>
      <c r="L5851" t="s" s="12">
        <v>14</v>
      </c>
      <c r="M5851" t="s" s="10">
        <v>14</v>
      </c>
      <c r="N5851" t="s" s="11">
        <v>14</v>
      </c>
      <c r="O5851" t="s" s="8">
        <v>14</v>
      </c>
      <c r="P5851" t="s" s="8">
        <v>14</v>
      </c>
      <c r="Q5851" t="s" s="12">
        <v>14</v>
      </c>
      <c r="R5851" t="s" s="12">
        <v>14</v>
      </c>
    </row>
    <row r="5852" s="2" customFormat="1" ht="13.5" customHeight="1">
      <c r="B5852" s="13"/>
      <c r="C5852" t="s" s="9">
        <v>16</v>
      </c>
      <c r="D5852" t="s" s="8">
        <v>1990</v>
      </c>
      <c r="E5852" t="s" s="9">
        <v>1990</v>
      </c>
      <c r="F5852" s="19">
        <v>5</v>
      </c>
      <c r="G5852" s="17">
        <v>5</v>
      </c>
      <c r="H5852" s="19">
        <v>8</v>
      </c>
      <c r="I5852" s="17">
        <v>8</v>
      </c>
      <c r="J5852" t="s" s="11">
        <v>20</v>
      </c>
      <c r="K5852" s="15"/>
      <c r="L5852" t="s" s="16">
        <f>HYPERLINK("http://csr.bu.edu/ftp/asl/asllvd/demos/verify_start_end_handshape_annotations//test_auto_move//signs_mov_separ_signers/Liz_1270.mov","MOV")</f>
        <v>21</v>
      </c>
      <c r="M5852" t="s" s="10">
        <v>34</v>
      </c>
      <c r="N5852" s="17">
        <v>34</v>
      </c>
      <c r="O5852" s="18">
        <v>276</v>
      </c>
      <c r="P5852" s="18">
        <v>310</v>
      </c>
      <c r="Q5852" s="15"/>
      <c r="R5852" t="s" s="16">
        <f>HYPERLINK("http://secrets.rutgers.edu:8080/data/asl-ftp/asllvd/demos/verify_start_end_handshape_annotations//test_auto_move//signs_mov_separ_signers/Liz_1270.mov","MOV")</f>
        <v>21</v>
      </c>
    </row>
    <row r="5853" s="2" customFormat="1" ht="13.5" customHeight="1">
      <c r="B5853" s="13"/>
      <c r="C5853" t="s" s="9">
        <v>23</v>
      </c>
      <c r="D5853" t="s" s="8">
        <v>1990</v>
      </c>
      <c r="E5853" t="s" s="9">
        <v>1990</v>
      </c>
      <c r="F5853" s="19">
        <v>5</v>
      </c>
      <c r="G5853" s="17">
        <v>5</v>
      </c>
      <c r="H5853" s="19">
        <v>8</v>
      </c>
      <c r="I5853" s="17">
        <v>8</v>
      </c>
      <c r="J5853" t="s" s="11">
        <v>20</v>
      </c>
      <c r="K5853" t="s" s="16">
        <f>HYPERLINK("http://csr.bu.edu/ftp/asl/asllvd/demos/verify_start_end_handshape_annotations//test_auto_move//signs_mov/1270.mov","MOV")</f>
        <v>21</v>
      </c>
      <c r="L5853" t="s" s="16">
        <f>HYPERLINK("http://csr.bu.edu/ftp/asl/asllvd/demos/verify_start_end_handshape_annotations//test_auto_move//signs_mov_separ_signers/Tyler_1270.mov","MOV")</f>
        <v>21</v>
      </c>
      <c r="M5853" t="s" s="10">
        <v>37</v>
      </c>
      <c r="N5853" s="17">
        <v>7</v>
      </c>
      <c r="O5853" s="18">
        <v>4465</v>
      </c>
      <c r="P5853" s="18">
        <v>4490</v>
      </c>
      <c r="Q5853" t="s" s="16">
        <f>HYPERLINK("http://secrets.rutgers.edu:8080/data/asl-ftp/asllvd/demos/verify_start_end_handshape_annotations//test_auto_move//signs_mov/1270.mov","MOV")</f>
        <v>21</v>
      </c>
      <c r="R5853" t="s" s="16">
        <f>HYPERLINK("http://secrets.rutgers.edu:8080/data/asl-ftp/asllvd/demos/verify_start_end_handshape_annotations//test_auto_move//signs_mov_separ_signers/Tyler_1270.mov","MOV")</f>
        <v>21</v>
      </c>
    </row>
    <row r="5854" s="2" customFormat="1" ht="13.5" customHeight="1">
      <c r="B5854" s="13"/>
      <c r="C5854" t="s" s="9">
        <v>27</v>
      </c>
      <c r="D5854" t="s" s="8">
        <v>1990</v>
      </c>
      <c r="E5854" t="s" s="9">
        <v>1990</v>
      </c>
      <c r="F5854" s="19">
        <v>5</v>
      </c>
      <c r="G5854" s="17">
        <v>5</v>
      </c>
      <c r="H5854" s="19">
        <v>8</v>
      </c>
      <c r="I5854" s="17">
        <v>8</v>
      </c>
      <c r="J5854" t="s" s="11">
        <v>20</v>
      </c>
      <c r="K5854" s="15"/>
      <c r="L5854" t="s" s="16">
        <f>HYPERLINK("http://csr.bu.edu/ftp/asl/asllvd/demos/verify_start_end_handshape_annotations//test_auto_move//signs_mov_separ_signers/Naomi_1270.mov","MOV")</f>
        <v>21</v>
      </c>
      <c r="M5854" t="s" s="10">
        <v>38</v>
      </c>
      <c r="N5854" s="17">
        <v>27</v>
      </c>
      <c r="O5854" s="18">
        <v>3150</v>
      </c>
      <c r="P5854" s="18">
        <v>3172</v>
      </c>
      <c r="Q5854" s="15"/>
      <c r="R5854" t="s" s="16">
        <f>HYPERLINK("http://secrets.rutgers.edu:8080/data/asl-ftp/asllvd/demos/verify_start_end_handshape_annotations//test_auto_move//signs_mov_separ_signers/Naomi_1270.mov","MOV")</f>
        <v>21</v>
      </c>
    </row>
    <row r="5855" s="2" customFormat="1" ht="13.5" customHeight="1">
      <c r="B5855" s="13"/>
      <c r="C5855" t="s" s="9">
        <v>30</v>
      </c>
      <c r="D5855" t="s" s="8">
        <v>1990</v>
      </c>
      <c r="E5855" t="s" s="9">
        <v>1990</v>
      </c>
      <c r="F5855" s="19">
        <v>5</v>
      </c>
      <c r="G5855" s="17">
        <v>5</v>
      </c>
      <c r="H5855" s="19">
        <v>8</v>
      </c>
      <c r="I5855" s="17">
        <v>8</v>
      </c>
      <c r="J5855" t="s" s="11">
        <v>20</v>
      </c>
      <c r="K5855" s="15"/>
      <c r="L5855" t="s" s="16">
        <f>HYPERLINK("http://csr.bu.edu/ftp/asl/asllvd/demos/verify_start_end_handshape_annotations//test_auto_move//signs_mov_separ_signers/Brady_1270.mov","MOV")</f>
        <v>21</v>
      </c>
      <c r="M5855" t="s" s="10">
        <v>39</v>
      </c>
      <c r="N5855" s="17">
        <v>41</v>
      </c>
      <c r="O5855" s="18">
        <v>975</v>
      </c>
      <c r="P5855" s="18">
        <v>994</v>
      </c>
      <c r="Q5855" s="15"/>
      <c r="R5855" t="s" s="16">
        <f>HYPERLINK("http://secrets.rutgers.edu:8080/data/asl-ftp/asllvd/demos/verify_start_end_handshape_annotations//test_auto_move//signs_mov_separ_signers/Brady_1270.mov","MOV")</f>
        <v>21</v>
      </c>
    </row>
    <row r="5856" s="2" customFormat="1" ht="13.5" customHeight="1">
      <c r="B5856" t="s" s="8">
        <v>1990</v>
      </c>
      <c r="C5856" t="s" s="9">
        <v>14</v>
      </c>
      <c r="D5856" t="s" s="8">
        <v>14</v>
      </c>
      <c r="E5856" t="s" s="9">
        <v>14</v>
      </c>
      <c r="F5856" t="s" s="10">
        <v>14</v>
      </c>
      <c r="G5856" t="s" s="11">
        <v>14</v>
      </c>
      <c r="H5856" t="s" s="10">
        <v>14</v>
      </c>
      <c r="I5856" t="s" s="11">
        <v>14</v>
      </c>
      <c r="J5856" t="s" s="11">
        <v>14</v>
      </c>
      <c r="K5856" t="s" s="12">
        <v>14</v>
      </c>
      <c r="L5856" t="s" s="12">
        <v>14</v>
      </c>
      <c r="M5856" t="s" s="10">
        <v>14</v>
      </c>
      <c r="N5856" t="s" s="11">
        <v>14</v>
      </c>
      <c r="O5856" t="s" s="8">
        <v>14</v>
      </c>
      <c r="P5856" t="s" s="8">
        <v>14</v>
      </c>
      <c r="Q5856" t="s" s="12">
        <v>14</v>
      </c>
      <c r="R5856" t="s" s="12">
        <v>14</v>
      </c>
    </row>
    <row r="5857" s="2" customFormat="1" ht="13.5" customHeight="1">
      <c r="B5857" s="13"/>
      <c r="C5857" t="s" s="9">
        <v>16</v>
      </c>
      <c r="D5857" t="s" s="8">
        <v>1991</v>
      </c>
      <c r="E5857" t="s" s="9">
        <v>1991</v>
      </c>
      <c r="F5857" t="s" s="10">
        <v>292</v>
      </c>
      <c r="G5857" t="s" s="11">
        <v>150</v>
      </c>
      <c r="H5857" t="s" s="10">
        <v>65</v>
      </c>
      <c r="I5857" t="s" s="11">
        <v>65</v>
      </c>
      <c r="J5857" t="s" s="11">
        <v>20</v>
      </c>
      <c r="K5857" s="15"/>
      <c r="L5857" t="s" s="16">
        <f>HYPERLINK("http://csr.bu.edu/ftp/asl/asllvd/demos/verify_start_end_handshape_annotations//test_auto_move//signs_mov_separ_signers/Liz_3662.mov","MOV")</f>
        <v>21</v>
      </c>
      <c r="M5857" t="s" s="10">
        <v>34</v>
      </c>
      <c r="N5857" s="17">
        <v>34</v>
      </c>
      <c r="O5857" s="18">
        <v>655</v>
      </c>
      <c r="P5857" s="18">
        <v>692</v>
      </c>
      <c r="Q5857" s="15"/>
      <c r="R5857" t="s" s="16">
        <f>HYPERLINK("http://secrets.rutgers.edu:8080/data/asl-ftp/asllvd/demos/verify_start_end_handshape_annotations//test_auto_move//signs_mov_separ_signers/Liz_3662.mov","MOV")</f>
        <v>21</v>
      </c>
    </row>
    <row r="5858" s="2" customFormat="1" ht="13.5" customHeight="1">
      <c r="B5858" s="13"/>
      <c r="C5858" t="s" s="9">
        <v>23</v>
      </c>
      <c r="D5858" t="s" s="8">
        <v>1991</v>
      </c>
      <c r="E5858" t="s" s="9">
        <v>1991</v>
      </c>
      <c r="F5858" t="s" s="10">
        <v>292</v>
      </c>
      <c r="G5858" t="s" s="11">
        <v>292</v>
      </c>
      <c r="H5858" t="s" s="10">
        <v>63</v>
      </c>
      <c r="I5858" t="s" s="11">
        <v>63</v>
      </c>
      <c r="J5858" t="s" s="11">
        <v>20</v>
      </c>
      <c r="K5858" t="s" s="16">
        <f>HYPERLINK("http://csr.bu.edu/ftp/asl/asllvd/demos/verify_start_end_handshape_annotations//test_auto_move//signs_mov/3662.mov","MOV")</f>
        <v>21</v>
      </c>
      <c r="L5858" t="s" s="16">
        <f>HYPERLINK("http://csr.bu.edu/ftp/asl/asllvd/demos/verify_start_end_handshape_annotations//test_auto_move//signs_mov_separ_signers/Tyler_3662.mov","MOV")</f>
        <v>21</v>
      </c>
      <c r="M5858" t="s" s="10">
        <v>37</v>
      </c>
      <c r="N5858" s="17">
        <v>8</v>
      </c>
      <c r="O5858" s="18">
        <v>285</v>
      </c>
      <c r="P5858" s="18">
        <v>310</v>
      </c>
      <c r="Q5858" t="s" s="16">
        <f>HYPERLINK("http://secrets.rutgers.edu:8080/data/asl-ftp/asllvd/demos/verify_start_end_handshape_annotations//test_auto_move//signs_mov/3662.mov","MOV")</f>
        <v>21</v>
      </c>
      <c r="R5858" t="s" s="16">
        <f>HYPERLINK("http://secrets.rutgers.edu:8080/data/asl-ftp/asllvd/demos/verify_start_end_handshape_annotations//test_auto_move//signs_mov_separ_signers/Tyler_3662.mov","MOV")</f>
        <v>21</v>
      </c>
    </row>
    <row r="5859" s="2" customFormat="1" ht="13.5" customHeight="1">
      <c r="B5859" s="13"/>
      <c r="C5859" t="s" s="9">
        <v>27</v>
      </c>
      <c r="D5859" t="s" s="8">
        <v>1991</v>
      </c>
      <c r="E5859" t="s" s="9">
        <v>1991</v>
      </c>
      <c r="F5859" t="s" s="10">
        <v>292</v>
      </c>
      <c r="G5859" t="s" s="11">
        <v>292</v>
      </c>
      <c r="H5859" t="s" s="10">
        <v>65</v>
      </c>
      <c r="I5859" t="s" s="11">
        <v>65</v>
      </c>
      <c r="J5859" t="s" s="11">
        <v>20</v>
      </c>
      <c r="K5859" s="15"/>
      <c r="L5859" t="s" s="16">
        <f>HYPERLINK("http://csr.bu.edu/ftp/asl/asllvd/demos/verify_start_end_handshape_annotations//test_auto_move//signs_mov_separ_signers/Naomi_3662.mov","MOV")</f>
        <v>21</v>
      </c>
      <c r="M5859" t="s" s="10">
        <v>38</v>
      </c>
      <c r="N5859" s="17">
        <v>28</v>
      </c>
      <c r="O5859" s="18">
        <v>253</v>
      </c>
      <c r="P5859" s="18">
        <v>266</v>
      </c>
      <c r="Q5859" s="15"/>
      <c r="R5859" t="s" s="16">
        <f>HYPERLINK("http://secrets.rutgers.edu:8080/data/asl-ftp/asllvd/demos/verify_start_end_handshape_annotations//test_auto_move//signs_mov_separ_signers/Naomi_3662.mov","MOV")</f>
        <v>21</v>
      </c>
    </row>
    <row r="5860" s="2" customFormat="1" ht="13.5" customHeight="1">
      <c r="B5860" s="13"/>
      <c r="C5860" t="s" s="9">
        <v>30</v>
      </c>
      <c r="D5860" t="s" s="8">
        <v>1991</v>
      </c>
      <c r="E5860" t="s" s="9">
        <v>1991</v>
      </c>
      <c r="F5860" t="s" s="10">
        <v>292</v>
      </c>
      <c r="G5860" t="s" s="11">
        <v>292</v>
      </c>
      <c r="H5860" t="s" s="10">
        <v>63</v>
      </c>
      <c r="I5860" t="s" s="11">
        <v>63</v>
      </c>
      <c r="J5860" t="s" s="11">
        <v>20</v>
      </c>
      <c r="K5860" s="15"/>
      <c r="L5860" t="s" s="16">
        <f>HYPERLINK("http://csr.bu.edu/ftp/asl/asllvd/demos/verify_start_end_handshape_annotations//test_auto_move//signs_mov_separ_signers/Brady_3662.mov","MOV")</f>
        <v>21</v>
      </c>
      <c r="M5860" t="s" s="10">
        <v>39</v>
      </c>
      <c r="N5860" s="17">
        <v>41</v>
      </c>
      <c r="O5860" s="18">
        <v>1189</v>
      </c>
      <c r="P5860" s="18">
        <v>1207</v>
      </c>
      <c r="Q5860" s="15"/>
      <c r="R5860" t="s" s="16">
        <f>HYPERLINK("http://secrets.rutgers.edu:8080/data/asl-ftp/asllvd/demos/verify_start_end_handshape_annotations//test_auto_move//signs_mov_separ_signers/Brady_3662.mov","MOV")</f>
        <v>21</v>
      </c>
    </row>
    <row r="5861" s="2" customFormat="1" ht="13.5" customHeight="1">
      <c r="B5861" t="s" s="8">
        <v>1992</v>
      </c>
      <c r="C5861" t="s" s="9">
        <v>14</v>
      </c>
      <c r="D5861" t="s" s="8">
        <v>14</v>
      </c>
      <c r="E5861" t="s" s="9">
        <v>14</v>
      </c>
      <c r="F5861" t="s" s="10">
        <v>14</v>
      </c>
      <c r="G5861" t="s" s="11">
        <v>14</v>
      </c>
      <c r="H5861" t="s" s="10">
        <v>14</v>
      </c>
      <c r="I5861" t="s" s="11">
        <v>14</v>
      </c>
      <c r="J5861" t="s" s="11">
        <v>14</v>
      </c>
      <c r="K5861" t="s" s="12">
        <v>14</v>
      </c>
      <c r="L5861" t="s" s="12">
        <v>14</v>
      </c>
      <c r="M5861" t="s" s="10">
        <v>14</v>
      </c>
      <c r="N5861" t="s" s="11">
        <v>14</v>
      </c>
      <c r="O5861" t="s" s="8">
        <v>14</v>
      </c>
      <c r="P5861" t="s" s="8">
        <v>14</v>
      </c>
      <c r="Q5861" t="s" s="12">
        <v>14</v>
      </c>
      <c r="R5861" t="s" s="12">
        <v>14</v>
      </c>
    </row>
    <row r="5862" s="2" customFormat="1" ht="13.5" customHeight="1">
      <c r="B5862" s="13"/>
      <c r="C5862" t="s" s="9">
        <v>16</v>
      </c>
      <c r="D5862" t="s" s="8">
        <v>1992</v>
      </c>
      <c r="E5862" t="s" s="9">
        <v>1993</v>
      </c>
      <c r="F5862" t="s" s="10">
        <v>282</v>
      </c>
      <c r="G5862" t="s" s="11">
        <v>282</v>
      </c>
      <c r="H5862" t="s" s="10">
        <v>282</v>
      </c>
      <c r="I5862" t="s" s="11">
        <v>282</v>
      </c>
      <c r="J5862" t="s" s="11">
        <v>20</v>
      </c>
      <c r="K5862" s="15"/>
      <c r="L5862" t="s" s="16">
        <f>HYPERLINK("http://csr.bu.edu/ftp/asl/asllvd/demos/verify_start_end_handshape_annotations//test_auto_move//signs_mov_separ_signers/Liz_1274.mov","MOV")</f>
        <v>21</v>
      </c>
      <c r="M5862" t="s" s="10">
        <v>34</v>
      </c>
      <c r="N5862" s="17">
        <v>34</v>
      </c>
      <c r="O5862" s="18">
        <v>1391</v>
      </c>
      <c r="P5862" s="18">
        <v>1425</v>
      </c>
      <c r="Q5862" s="15"/>
      <c r="R5862" t="s" s="16">
        <f>HYPERLINK("http://secrets.rutgers.edu:8080/data/asl-ftp/asllvd/demos/verify_start_end_handshape_annotations//test_auto_move//signs_mov_separ_signers/Liz_1274.mov","MOV")</f>
        <v>21</v>
      </c>
    </row>
    <row r="5863" s="2" customFormat="1" ht="13.5" customHeight="1">
      <c r="B5863" s="13"/>
      <c r="C5863" t="s" s="9">
        <v>23</v>
      </c>
      <c r="D5863" t="s" s="8">
        <v>1992</v>
      </c>
      <c r="E5863" t="s" s="9">
        <v>1994</v>
      </c>
      <c r="F5863" t="s" s="10">
        <v>282</v>
      </c>
      <c r="G5863" t="s" s="11">
        <v>282</v>
      </c>
      <c r="H5863" t="s" s="10">
        <v>282</v>
      </c>
      <c r="I5863" t="s" s="11">
        <v>282</v>
      </c>
      <c r="J5863" t="s" s="11">
        <v>20</v>
      </c>
      <c r="K5863" s="15"/>
      <c r="L5863" t="s" s="16">
        <f>HYPERLINK("http://csr.bu.edu/ftp/asl/asllvd/demos/verify_start_end_handshape_annotations//test_auto_move//signs_mov_separ_signers/Tyler_1274.mov","MOV")</f>
        <v>21</v>
      </c>
      <c r="M5863" t="s" s="10">
        <v>37</v>
      </c>
      <c r="N5863" s="17">
        <v>8</v>
      </c>
      <c r="O5863" s="18">
        <v>887</v>
      </c>
      <c r="P5863" s="18">
        <v>920</v>
      </c>
      <c r="Q5863" s="15"/>
      <c r="R5863" t="s" s="16">
        <f>HYPERLINK("http://secrets.rutgers.edu:8080/data/asl-ftp/asllvd/demos/verify_start_end_handshape_annotations//test_auto_move//signs_mov_separ_signers/Tyler_1274.mov","MOV")</f>
        <v>21</v>
      </c>
    </row>
    <row r="5864" s="2" customFormat="1" ht="13.5" customHeight="1">
      <c r="B5864" s="13"/>
      <c r="C5864" t="s" s="9">
        <v>27</v>
      </c>
      <c r="D5864" t="s" s="8">
        <v>1992</v>
      </c>
      <c r="E5864" t="s" s="9">
        <v>1995</v>
      </c>
      <c r="F5864" t="s" s="10">
        <v>282</v>
      </c>
      <c r="G5864" t="s" s="11">
        <v>282</v>
      </c>
      <c r="H5864" t="s" s="10">
        <v>282</v>
      </c>
      <c r="I5864" t="s" s="11">
        <v>282</v>
      </c>
      <c r="J5864" t="s" s="11">
        <v>20</v>
      </c>
      <c r="K5864" t="s" s="16">
        <f>HYPERLINK("http://csr.bu.edu/ftp/asl/asllvd/demos/verify_start_end_handshape_annotations//test_auto_move//signs_mov/1274.mov","MOV")</f>
        <v>21</v>
      </c>
      <c r="L5864" t="s" s="16">
        <f>HYPERLINK("http://csr.bu.edu/ftp/asl/asllvd/demos/verify_start_end_handshape_annotations//test_auto_move//signs_mov_separ_signers/Naomi_1274.mov","MOV")</f>
        <v>21</v>
      </c>
      <c r="M5864" t="s" s="10">
        <v>38</v>
      </c>
      <c r="N5864" s="17">
        <v>28</v>
      </c>
      <c r="O5864" s="18">
        <v>1097</v>
      </c>
      <c r="P5864" s="18">
        <v>1147</v>
      </c>
      <c r="Q5864" t="s" s="16">
        <f>HYPERLINK("http://secrets.rutgers.edu:8080/data/asl-ftp/asllvd/demos/verify_start_end_handshape_annotations//test_auto_move//signs_mov/1274.mov","MOV")</f>
        <v>21</v>
      </c>
      <c r="R5864" t="s" s="16">
        <f>HYPERLINK("http://secrets.rutgers.edu:8080/data/asl-ftp/asllvd/demos/verify_start_end_handshape_annotations//test_auto_move//signs_mov_separ_signers/Naomi_1274.mov","MOV")</f>
        <v>21</v>
      </c>
    </row>
    <row r="5865" s="2" customFormat="1" ht="13.5" customHeight="1">
      <c r="B5865" s="13"/>
      <c r="C5865" t="s" s="9">
        <v>30</v>
      </c>
      <c r="D5865" t="s" s="8">
        <v>1992</v>
      </c>
      <c r="E5865" t="s" s="9">
        <v>1993</v>
      </c>
      <c r="F5865" t="s" s="10">
        <v>282</v>
      </c>
      <c r="G5865" t="s" s="11">
        <v>282</v>
      </c>
      <c r="H5865" t="s" s="10">
        <v>282</v>
      </c>
      <c r="I5865" t="s" s="11">
        <v>282</v>
      </c>
      <c r="J5865" t="s" s="11">
        <v>20</v>
      </c>
      <c r="K5865" s="15"/>
      <c r="L5865" t="s" s="16">
        <f>HYPERLINK("http://csr.bu.edu/ftp/asl/asllvd/demos/verify_start_end_handshape_annotations//test_auto_move//signs_mov_separ_signers/Brady_1274.mov","MOV")</f>
        <v>21</v>
      </c>
      <c r="M5865" t="s" s="10">
        <v>39</v>
      </c>
      <c r="N5865" s="17">
        <v>41</v>
      </c>
      <c r="O5865" s="18">
        <v>1678</v>
      </c>
      <c r="P5865" s="18">
        <v>1713</v>
      </c>
      <c r="Q5865" s="15"/>
      <c r="R5865" t="s" s="16">
        <f>HYPERLINK("http://secrets.rutgers.edu:8080/data/asl-ftp/asllvd/demos/verify_start_end_handshape_annotations//test_auto_move//signs_mov_separ_signers/Brady_1274.mov","MOV")</f>
        <v>21</v>
      </c>
    </row>
    <row r="5866" s="2" customFormat="1" ht="13.5" customHeight="1">
      <c r="B5866" s="13"/>
      <c r="C5866" t="s" s="9">
        <v>41</v>
      </c>
      <c r="D5866" t="s" s="8">
        <v>1992</v>
      </c>
      <c r="E5866" t="s" s="9">
        <v>1993</v>
      </c>
      <c r="F5866" t="s" s="10">
        <v>282</v>
      </c>
      <c r="G5866" t="s" s="11">
        <v>282</v>
      </c>
      <c r="H5866" t="s" s="10">
        <v>282</v>
      </c>
      <c r="I5866" t="s" s="11">
        <v>282</v>
      </c>
      <c r="J5866" t="s" s="11">
        <v>20</v>
      </c>
      <c r="K5866" s="15"/>
      <c r="L5866" t="s" s="16">
        <f>HYPERLINK("http://csr.bu.edu/ftp/asl/asllvd/demos/verify_start_end_handshape_annotations//test_auto_move//signs_mov_separ_signers/Lana_1274.mov","MOV")</f>
        <v>21</v>
      </c>
      <c r="M5866" t="s" s="10">
        <v>442</v>
      </c>
      <c r="N5866" s="17">
        <v>61</v>
      </c>
      <c r="O5866" s="18">
        <v>1750</v>
      </c>
      <c r="P5866" s="18">
        <v>1779</v>
      </c>
      <c r="Q5866" s="15"/>
      <c r="R5866" t="s" s="16">
        <f>HYPERLINK("http://secrets.rutgers.edu:8080/data/asl-ftp/asllvd/demos/verify_start_end_handshape_annotations//test_auto_move//signs_mov_separ_signers/Lana_1274.mov","MOV")</f>
        <v>21</v>
      </c>
    </row>
    <row r="5867" s="2" customFormat="1" ht="13.5" customHeight="1">
      <c r="B5867" t="s" s="8">
        <v>1996</v>
      </c>
      <c r="C5867" t="s" s="9">
        <v>14</v>
      </c>
      <c r="D5867" t="s" s="8">
        <v>14</v>
      </c>
      <c r="E5867" t="s" s="9">
        <v>14</v>
      </c>
      <c r="F5867" t="s" s="10">
        <v>14</v>
      </c>
      <c r="G5867" t="s" s="11">
        <v>14</v>
      </c>
      <c r="H5867" t="s" s="10">
        <v>14</v>
      </c>
      <c r="I5867" t="s" s="11">
        <v>14</v>
      </c>
      <c r="J5867" t="s" s="11">
        <v>14</v>
      </c>
      <c r="K5867" t="s" s="12">
        <v>14</v>
      </c>
      <c r="L5867" t="s" s="12">
        <v>14</v>
      </c>
      <c r="M5867" t="s" s="10">
        <v>14</v>
      </c>
      <c r="N5867" t="s" s="11">
        <v>14</v>
      </c>
      <c r="O5867" t="s" s="8">
        <v>14</v>
      </c>
      <c r="P5867" t="s" s="8">
        <v>14</v>
      </c>
      <c r="Q5867" t="s" s="12">
        <v>14</v>
      </c>
      <c r="R5867" t="s" s="12">
        <v>14</v>
      </c>
    </row>
    <row r="5868" s="2" customFormat="1" ht="13.5" customHeight="1">
      <c r="B5868" s="13"/>
      <c r="C5868" t="s" s="9">
        <v>16</v>
      </c>
      <c r="D5868" t="s" s="8">
        <v>1996</v>
      </c>
      <c r="E5868" t="s" s="9">
        <v>1996</v>
      </c>
      <c r="F5868" t="s" s="10">
        <v>73</v>
      </c>
      <c r="G5868" t="s" s="11">
        <v>73</v>
      </c>
      <c r="H5868" t="s" s="10">
        <v>73</v>
      </c>
      <c r="I5868" t="s" s="11">
        <v>73</v>
      </c>
      <c r="J5868" t="s" s="11">
        <v>20</v>
      </c>
      <c r="K5868" s="15"/>
      <c r="L5868" t="s" s="16">
        <f>HYPERLINK("http://csr.bu.edu/ftp/asl/asllvd/demos/verify_start_end_handshape_annotations//test_auto_move//signs_mov_separ_signers/Liz_1275.mov","MOV")</f>
        <v>21</v>
      </c>
      <c r="M5868" t="s" s="10">
        <v>34</v>
      </c>
      <c r="N5868" s="17">
        <v>34</v>
      </c>
      <c r="O5868" s="18">
        <v>1627</v>
      </c>
      <c r="P5868" s="18">
        <v>1665</v>
      </c>
      <c r="Q5868" s="15"/>
      <c r="R5868" t="s" s="16">
        <f>HYPERLINK("http://secrets.rutgers.edu:8080/data/asl-ftp/asllvd/demos/verify_start_end_handshape_annotations//test_auto_move//signs_mov_separ_signers/Liz_1275.mov","MOV")</f>
        <v>21</v>
      </c>
    </row>
    <row r="5869" s="2" customFormat="1" ht="13.5" customHeight="1">
      <c r="B5869" s="13"/>
      <c r="C5869" t="s" s="9">
        <v>23</v>
      </c>
      <c r="D5869" t="s" s="8">
        <v>1996</v>
      </c>
      <c r="E5869" t="s" s="9">
        <v>1996</v>
      </c>
      <c r="F5869" t="s" s="10">
        <v>73</v>
      </c>
      <c r="G5869" t="s" s="11">
        <v>73</v>
      </c>
      <c r="H5869" t="s" s="10">
        <v>73</v>
      </c>
      <c r="I5869" t="s" s="11">
        <v>73</v>
      </c>
      <c r="J5869" t="s" s="11">
        <v>20</v>
      </c>
      <c r="K5869" t="s" s="16">
        <f>HYPERLINK("http://csr.bu.edu/ftp/asl/asllvd/demos/verify_start_end_handshape_annotations//test_auto_move//signs_mov/1275.mov","MOV")</f>
        <v>21</v>
      </c>
      <c r="L5869" t="s" s="16">
        <f>HYPERLINK("http://csr.bu.edu/ftp/asl/asllvd/demos/verify_start_end_handshape_annotations//test_auto_move//signs_mov_separ_signers/Tyler_1275.mov","MOV")</f>
        <v>21</v>
      </c>
      <c r="M5869" t="s" s="10">
        <v>37</v>
      </c>
      <c r="N5869" s="17">
        <v>8</v>
      </c>
      <c r="O5869" s="18">
        <v>1055</v>
      </c>
      <c r="P5869" s="18">
        <v>1080</v>
      </c>
      <c r="Q5869" t="s" s="16">
        <f>HYPERLINK("http://secrets.rutgers.edu:8080/data/asl-ftp/asllvd/demos/verify_start_end_handshape_annotations//test_auto_move//signs_mov/1275.mov","MOV")</f>
        <v>21</v>
      </c>
      <c r="R5869" t="s" s="16">
        <f>HYPERLINK("http://secrets.rutgers.edu:8080/data/asl-ftp/asllvd/demos/verify_start_end_handshape_annotations//test_auto_move//signs_mov_separ_signers/Tyler_1275.mov","MOV")</f>
        <v>21</v>
      </c>
    </row>
    <row r="5870" s="2" customFormat="1" ht="13.5" customHeight="1">
      <c r="B5870" s="13"/>
      <c r="C5870" t="s" s="9">
        <v>27</v>
      </c>
      <c r="D5870" t="s" s="8">
        <v>1996</v>
      </c>
      <c r="E5870" t="s" s="9">
        <v>1996</v>
      </c>
      <c r="F5870" t="s" s="10">
        <v>73</v>
      </c>
      <c r="G5870" t="s" s="11">
        <v>73</v>
      </c>
      <c r="H5870" t="s" s="10">
        <v>73</v>
      </c>
      <c r="I5870" t="s" s="11">
        <v>73</v>
      </c>
      <c r="J5870" t="s" s="11">
        <v>20</v>
      </c>
      <c r="K5870" s="15"/>
      <c r="L5870" t="s" s="16">
        <f>HYPERLINK("http://csr.bu.edu/ftp/asl/asllvd/demos/verify_start_end_handshape_annotations//test_auto_move//signs_mov_separ_signers/Naomi_1275.mov","MOV")</f>
        <v>21</v>
      </c>
      <c r="M5870" t="s" s="10">
        <v>38</v>
      </c>
      <c r="N5870" s="17">
        <v>28</v>
      </c>
      <c r="O5870" s="18">
        <v>1367</v>
      </c>
      <c r="P5870" s="18">
        <v>1393</v>
      </c>
      <c r="Q5870" s="15"/>
      <c r="R5870" t="s" s="16">
        <f>HYPERLINK("http://secrets.rutgers.edu:8080/data/asl-ftp/asllvd/demos/verify_start_end_handshape_annotations//test_auto_move//signs_mov_separ_signers/Naomi_1275.mov","MOV")</f>
        <v>21</v>
      </c>
    </row>
    <row r="5871" s="2" customFormat="1" ht="13.5" customHeight="1">
      <c r="B5871" t="s" s="8">
        <v>52</v>
      </c>
      <c r="C5871" t="s" s="9">
        <v>53</v>
      </c>
      <c r="D5871" t="s" s="8">
        <v>53</v>
      </c>
      <c r="E5871" t="s" s="9">
        <v>53</v>
      </c>
      <c r="F5871" t="s" s="10">
        <v>53</v>
      </c>
      <c r="G5871" t="s" s="11">
        <v>53</v>
      </c>
      <c r="H5871" t="s" s="10">
        <v>53</v>
      </c>
      <c r="I5871" t="s" s="11">
        <v>53</v>
      </c>
      <c r="J5871" t="s" s="11">
        <v>53</v>
      </c>
      <c r="K5871" t="s" s="12">
        <v>53</v>
      </c>
      <c r="L5871" t="s" s="12">
        <v>53</v>
      </c>
      <c r="M5871" t="s" s="10">
        <v>53</v>
      </c>
      <c r="N5871" t="s" s="11">
        <v>53</v>
      </c>
      <c r="O5871" t="s" s="8">
        <v>53</v>
      </c>
      <c r="P5871" t="s" s="8">
        <v>53</v>
      </c>
      <c r="Q5871" t="s" s="12">
        <v>53</v>
      </c>
      <c r="R5871" t="s" s="12">
        <v>53</v>
      </c>
    </row>
    <row r="5872" s="2" customFormat="1" ht="13.5" customHeight="1">
      <c r="B5872" s="13"/>
      <c r="C5872" t="s" s="9">
        <v>30</v>
      </c>
      <c r="D5872" t="s" s="8">
        <v>1996</v>
      </c>
      <c r="E5872" t="s" s="9">
        <v>1997</v>
      </c>
      <c r="F5872" t="s" s="10">
        <v>73</v>
      </c>
      <c r="G5872" t="s" s="11">
        <v>73</v>
      </c>
      <c r="H5872" t="s" s="10">
        <v>73</v>
      </c>
      <c r="I5872" t="s" s="11">
        <v>73</v>
      </c>
      <c r="J5872" t="s" s="11">
        <v>20</v>
      </c>
      <c r="K5872" t="s" s="16">
        <f>HYPERLINK("http://csr.bu.edu/ftp/asl/asllvd/demos/verify_start_end_handshape_annotations//test_auto_move//signs_mov/15647.mov","MOV")</f>
        <v>21</v>
      </c>
      <c r="L5872" t="s" s="16">
        <f>HYPERLINK("http://csr.bu.edu/ftp/asl/asllvd/demos/verify_start_end_handshape_annotations//test_auto_move//signs_mov_separ_signers/Brady_15647.mov","MOV")</f>
        <v>21</v>
      </c>
      <c r="M5872" t="s" s="10">
        <v>39</v>
      </c>
      <c r="N5872" s="17">
        <v>41</v>
      </c>
      <c r="O5872" s="18">
        <v>2179</v>
      </c>
      <c r="P5872" s="18">
        <v>2208</v>
      </c>
      <c r="Q5872" t="s" s="16">
        <f>HYPERLINK("http://secrets.rutgers.edu:8080/data/asl-ftp/asllvd/demos/verify_start_end_handshape_annotations//test_auto_move//signs_mov/15647.mov","MOV")</f>
        <v>21</v>
      </c>
      <c r="R5872" t="s" s="16">
        <f>HYPERLINK("http://secrets.rutgers.edu:8080/data/asl-ftp/asllvd/demos/verify_start_end_handshape_annotations//test_auto_move//signs_mov_separ_signers/Brady_15647.mov","MOV")</f>
        <v>21</v>
      </c>
    </row>
    <row r="5873" s="2" customFormat="1" ht="13.5" customHeight="1">
      <c r="B5873" t="s" s="8">
        <v>1998</v>
      </c>
      <c r="C5873" t="s" s="9">
        <v>14</v>
      </c>
      <c r="D5873" t="s" s="8">
        <v>14</v>
      </c>
      <c r="E5873" t="s" s="9">
        <v>14</v>
      </c>
      <c r="F5873" t="s" s="10">
        <v>14</v>
      </c>
      <c r="G5873" t="s" s="11">
        <v>14</v>
      </c>
      <c r="H5873" t="s" s="10">
        <v>14</v>
      </c>
      <c r="I5873" t="s" s="11">
        <v>14</v>
      </c>
      <c r="J5873" t="s" s="11">
        <v>14</v>
      </c>
      <c r="K5873" t="s" s="12">
        <v>14</v>
      </c>
      <c r="L5873" t="s" s="12">
        <v>14</v>
      </c>
      <c r="M5873" t="s" s="10">
        <v>14</v>
      </c>
      <c r="N5873" t="s" s="11">
        <v>14</v>
      </c>
      <c r="O5873" t="s" s="8">
        <v>14</v>
      </c>
      <c r="P5873" t="s" s="8">
        <v>14</v>
      </c>
      <c r="Q5873" t="s" s="12">
        <v>14</v>
      </c>
      <c r="R5873" t="s" s="12">
        <v>14</v>
      </c>
    </row>
    <row r="5874" s="2" customFormat="1" ht="13.5" customHeight="1">
      <c r="B5874" s="13"/>
      <c r="C5874" t="s" s="9">
        <v>16</v>
      </c>
      <c r="D5874" t="s" s="8">
        <v>1998</v>
      </c>
      <c r="E5874" t="s" s="9">
        <v>1999</v>
      </c>
      <c r="F5874" t="s" s="10">
        <v>73</v>
      </c>
      <c r="G5874" t="s" s="11">
        <v>73</v>
      </c>
      <c r="H5874" t="s" s="10">
        <v>73</v>
      </c>
      <c r="I5874" t="s" s="11">
        <v>73</v>
      </c>
      <c r="J5874" t="s" s="11">
        <v>20</v>
      </c>
      <c r="K5874" s="15"/>
      <c r="L5874" t="s" s="16">
        <f>HYPERLINK("http://csr.bu.edu/ftp/asl/asllvd/demos/verify_start_end_handshape_annotations//test_auto_move//signs_mov_separ_signers/Liz_15666.mov","MOV")</f>
        <v>21</v>
      </c>
      <c r="M5874" t="s" s="10">
        <v>22</v>
      </c>
      <c r="N5874" s="17">
        <v>41</v>
      </c>
      <c r="O5874" s="18">
        <v>866</v>
      </c>
      <c r="P5874" s="18">
        <v>905</v>
      </c>
      <c r="Q5874" s="15"/>
      <c r="R5874" t="s" s="16">
        <f>HYPERLINK("http://secrets.rutgers.edu:8080/data/asl-ftp/asllvd/demos/verify_start_end_handshape_annotations//test_auto_move//signs_mov_separ_signers/Liz_15666.mov","MOV")</f>
        <v>21</v>
      </c>
    </row>
    <row r="5875" s="2" customFormat="1" ht="13.5" customHeight="1">
      <c r="B5875" s="13"/>
      <c r="C5875" t="s" s="9">
        <v>16</v>
      </c>
      <c r="D5875" t="s" s="8">
        <v>1998</v>
      </c>
      <c r="E5875" t="s" s="9">
        <v>2000</v>
      </c>
      <c r="F5875" t="s" s="10">
        <v>73</v>
      </c>
      <c r="G5875" t="s" s="11">
        <v>73</v>
      </c>
      <c r="H5875" t="s" s="10">
        <v>73</v>
      </c>
      <c r="I5875" t="s" s="11">
        <v>73</v>
      </c>
      <c r="J5875" t="s" s="11">
        <v>20</v>
      </c>
      <c r="K5875" t="s" s="16">
        <f>HYPERLINK("http://csr.bu.edu/ftp/asl/asllvd/demos/verify_start_end_handshape_annotations//test_auto_move//signs_mov/15666_16217_merged.mov","MOV")</f>
        <v>21</v>
      </c>
      <c r="L5875" t="s" s="16">
        <f>HYPERLINK("http://csr.bu.edu/ftp/asl/asllvd/demos/verify_start_end_handshape_annotations//test_auto_move//signs_mov_separ_signers/Liz_16217.mov","MOV")</f>
        <v>21</v>
      </c>
      <c r="M5875" t="s" s="10">
        <v>84</v>
      </c>
      <c r="N5875" s="17">
        <v>20</v>
      </c>
      <c r="O5875" s="18">
        <v>740</v>
      </c>
      <c r="P5875" s="18">
        <v>785</v>
      </c>
      <c r="Q5875" t="s" s="16">
        <f>HYPERLINK("http://secrets.rutgers.edu:8080/data/asl-ftp/asllvd/demos/verify_start_end_handshape_annotations//test_auto_move//signs_mov/15666_16217_merged.mov","MOV")</f>
        <v>21</v>
      </c>
      <c r="R5875" t="s" s="16">
        <f>HYPERLINK("http://secrets.rutgers.edu:8080/data/asl-ftp/asllvd/demos/verify_start_end_handshape_annotations//test_auto_move//signs_mov_separ_signers/Liz_16217.mov","MOV")</f>
        <v>21</v>
      </c>
    </row>
    <row r="5876" s="2" customFormat="1" ht="13.5" customHeight="1">
      <c r="B5876" s="13"/>
      <c r="C5876" t="s" s="9">
        <v>27</v>
      </c>
      <c r="D5876" t="s" s="8">
        <v>1998</v>
      </c>
      <c r="E5876" t="s" s="9">
        <v>1998</v>
      </c>
      <c r="F5876" t="s" s="10">
        <v>73</v>
      </c>
      <c r="G5876" t="s" s="11">
        <v>73</v>
      </c>
      <c r="H5876" t="s" s="10">
        <v>73</v>
      </c>
      <c r="I5876" t="s" s="11">
        <v>73</v>
      </c>
      <c r="J5876" t="s" s="11">
        <v>20</v>
      </c>
      <c r="K5876" s="15"/>
      <c r="L5876" t="s" s="16">
        <f>HYPERLINK("http://csr.bu.edu/ftp/asl/asllvd/demos/verify_start_end_handshape_annotations//test_auto_move//signs_mov_separ_signers/Naomi_15666.mov","MOV")</f>
        <v>21</v>
      </c>
      <c r="M5876" t="s" s="10">
        <v>86</v>
      </c>
      <c r="N5876" s="17">
        <v>20</v>
      </c>
      <c r="O5876" s="18">
        <v>412</v>
      </c>
      <c r="P5876" s="18">
        <v>440</v>
      </c>
      <c r="Q5876" s="15"/>
      <c r="R5876" t="s" s="16">
        <f>HYPERLINK("http://secrets.rutgers.edu:8080/data/asl-ftp/asllvd/demos/verify_start_end_handshape_annotations//test_auto_move//signs_mov_separ_signers/Naomi_15666.mov","MOV")</f>
        <v>21</v>
      </c>
    </row>
    <row r="5877" s="2" customFormat="1" ht="13.5" customHeight="1">
      <c r="B5877" t="s" s="8">
        <v>52</v>
      </c>
      <c r="C5877" t="s" s="9">
        <v>53</v>
      </c>
      <c r="D5877" t="s" s="8">
        <v>53</v>
      </c>
      <c r="E5877" t="s" s="9">
        <v>53</v>
      </c>
      <c r="F5877" t="s" s="10">
        <v>53</v>
      </c>
      <c r="G5877" t="s" s="11">
        <v>53</v>
      </c>
      <c r="H5877" t="s" s="10">
        <v>53</v>
      </c>
      <c r="I5877" t="s" s="11">
        <v>53</v>
      </c>
      <c r="J5877" t="s" s="11">
        <v>53</v>
      </c>
      <c r="K5877" t="s" s="12">
        <v>53</v>
      </c>
      <c r="L5877" t="s" s="12">
        <v>53</v>
      </c>
      <c r="M5877" t="s" s="10">
        <v>53</v>
      </c>
      <c r="N5877" t="s" s="11">
        <v>53</v>
      </c>
      <c r="O5877" t="s" s="8">
        <v>53</v>
      </c>
      <c r="P5877" t="s" s="8">
        <v>53</v>
      </c>
      <c r="Q5877" t="s" s="12">
        <v>53</v>
      </c>
      <c r="R5877" t="s" s="12">
        <v>53</v>
      </c>
    </row>
    <row r="5878" s="2" customFormat="1" ht="13.5" customHeight="1">
      <c r="B5878" s="13"/>
      <c r="C5878" t="s" s="9">
        <v>30</v>
      </c>
      <c r="D5878" t="s" s="8">
        <v>1998</v>
      </c>
      <c r="E5878" t="s" s="9">
        <v>2001</v>
      </c>
      <c r="F5878" t="s" s="10">
        <v>73</v>
      </c>
      <c r="G5878" t="s" s="11">
        <v>73</v>
      </c>
      <c r="H5878" t="s" s="10">
        <v>73</v>
      </c>
      <c r="I5878" t="s" s="11">
        <v>73</v>
      </c>
      <c r="J5878" t="s" s="11">
        <v>20</v>
      </c>
      <c r="K5878" t="s" s="16">
        <f>HYPERLINK("http://csr.bu.edu/ftp/asl/asllvd/demos/verify_start_end_handshape_annotations//test_auto_move//signs_mov/16387.mov","MOV")</f>
        <v>21</v>
      </c>
      <c r="L5878" t="s" s="16">
        <f>HYPERLINK("http://csr.bu.edu/ftp/asl/asllvd/demos/verify_start_end_handshape_annotations//test_auto_move//signs_mov_separ_signers/Brady_16387.mov","MOV")</f>
        <v>21</v>
      </c>
      <c r="M5878" t="s" s="10">
        <v>31</v>
      </c>
      <c r="N5878" s="17">
        <v>36</v>
      </c>
      <c r="O5878" s="18">
        <v>3027</v>
      </c>
      <c r="P5878" s="18">
        <v>3074</v>
      </c>
      <c r="Q5878" t="s" s="16">
        <f>HYPERLINK("http://secrets.rutgers.edu:8080/data/asl-ftp/asllvd/demos/verify_start_end_handshape_annotations//test_auto_move//signs_mov/16387.mov","MOV")</f>
        <v>21</v>
      </c>
      <c r="R5878" t="s" s="16">
        <f>HYPERLINK("http://secrets.rutgers.edu:8080/data/asl-ftp/asllvd/demos/verify_start_end_handshape_annotations//test_auto_move//signs_mov_separ_signers/Brady_16387.mov","MOV")</f>
        <v>21</v>
      </c>
    </row>
    <row r="5879" s="2" customFormat="1" ht="13.5" customHeight="1">
      <c r="B5879" t="s" s="8">
        <v>2002</v>
      </c>
      <c r="C5879" t="s" s="9">
        <v>14</v>
      </c>
      <c r="D5879" t="s" s="8">
        <v>14</v>
      </c>
      <c r="E5879" t="s" s="9">
        <v>14</v>
      </c>
      <c r="F5879" t="s" s="10">
        <v>14</v>
      </c>
      <c r="G5879" t="s" s="11">
        <v>14</v>
      </c>
      <c r="H5879" t="s" s="10">
        <v>14</v>
      </c>
      <c r="I5879" t="s" s="11">
        <v>14</v>
      </c>
      <c r="J5879" t="s" s="11">
        <v>14</v>
      </c>
      <c r="K5879" t="s" s="12">
        <v>14</v>
      </c>
      <c r="L5879" t="s" s="12">
        <v>14</v>
      </c>
      <c r="M5879" t="s" s="10">
        <v>14</v>
      </c>
      <c r="N5879" t="s" s="11">
        <v>14</v>
      </c>
      <c r="O5879" t="s" s="8">
        <v>14</v>
      </c>
      <c r="P5879" t="s" s="8">
        <v>14</v>
      </c>
      <c r="Q5879" t="s" s="12">
        <v>14</v>
      </c>
      <c r="R5879" t="s" s="12">
        <v>14</v>
      </c>
    </row>
    <row r="5880" s="2" customFormat="1" ht="13.5" customHeight="1">
      <c r="B5880" s="13"/>
      <c r="C5880" t="s" s="9">
        <v>16</v>
      </c>
      <c r="D5880" t="s" s="8">
        <v>2002</v>
      </c>
      <c r="E5880" t="s" s="9">
        <v>2003</v>
      </c>
      <c r="F5880" t="s" s="10">
        <v>73</v>
      </c>
      <c r="G5880" t="s" s="11">
        <v>185</v>
      </c>
      <c r="H5880" t="s" s="10">
        <v>73</v>
      </c>
      <c r="I5880" t="s" s="11">
        <v>185</v>
      </c>
      <c r="J5880" t="s" s="11">
        <v>20</v>
      </c>
      <c r="K5880" s="15"/>
      <c r="L5880" t="s" s="16">
        <f>HYPERLINK("http://csr.bu.edu/ftp/asl/asllvd/demos/verify_start_end_handshape_annotations//test_auto_move//signs_mov_separ_signers/Liz_16388.mov","MOV")</f>
        <v>21</v>
      </c>
      <c r="M5880" t="s" s="10">
        <v>88</v>
      </c>
      <c r="N5880" s="17">
        <v>51</v>
      </c>
      <c r="O5880" s="18">
        <v>1092</v>
      </c>
      <c r="P5880" s="18">
        <v>1132</v>
      </c>
      <c r="Q5880" s="15"/>
      <c r="R5880" t="s" s="16">
        <f>HYPERLINK("http://secrets.rutgers.edu:8080/data/asl-ftp/asllvd/demos/verify_start_end_handshape_annotations//test_auto_move//signs_mov_separ_signers/Liz_16388.mov","MOV")</f>
        <v>21</v>
      </c>
    </row>
    <row r="5881" s="2" customFormat="1" ht="13.5" customHeight="1">
      <c r="B5881" s="13"/>
      <c r="C5881" t="s" s="9">
        <v>23</v>
      </c>
      <c r="D5881" t="s" s="8">
        <v>2002</v>
      </c>
      <c r="E5881" t="s" s="9">
        <v>2004</v>
      </c>
      <c r="F5881" t="s" s="10">
        <v>73</v>
      </c>
      <c r="G5881" t="s" s="11">
        <v>73</v>
      </c>
      <c r="H5881" t="s" s="10">
        <v>73</v>
      </c>
      <c r="I5881" t="s" s="11">
        <v>73</v>
      </c>
      <c r="J5881" t="s" s="11">
        <v>20</v>
      </c>
      <c r="K5881" t="s" s="16">
        <f>HYPERLINK("http://csr.bu.edu/ftp/asl/asllvd/demos/verify_start_end_handshape_annotations//test_auto_move//signs_mov/16388.mov","MOV")</f>
        <v>21</v>
      </c>
      <c r="L5881" t="s" s="16">
        <f>HYPERLINK("http://csr.bu.edu/ftp/asl/asllvd/demos/verify_start_end_handshape_annotations//test_auto_move//signs_mov_separ_signers/Tyler_16388.mov","MOV")</f>
        <v>21</v>
      </c>
      <c r="M5881" t="s" s="10">
        <v>125</v>
      </c>
      <c r="N5881" s="17">
        <v>19</v>
      </c>
      <c r="O5881" s="18">
        <v>717</v>
      </c>
      <c r="P5881" s="18">
        <v>781</v>
      </c>
      <c r="Q5881" t="s" s="16">
        <f>HYPERLINK("http://secrets.rutgers.edu:8080/data/asl-ftp/asllvd/demos/verify_start_end_handshape_annotations//test_auto_move//signs_mov/16388.mov","MOV")</f>
        <v>21</v>
      </c>
      <c r="R5881" t="s" s="16">
        <f>HYPERLINK("http://secrets.rutgers.edu:8080/data/asl-ftp/asllvd/demos/verify_start_end_handshape_annotations//test_auto_move//signs_mov_separ_signers/Tyler_16388.mov","MOV")</f>
        <v>21</v>
      </c>
    </row>
    <row r="5882" s="2" customFormat="1" ht="13.5" customHeight="1">
      <c r="B5882" s="13"/>
      <c r="C5882" t="s" s="9">
        <v>30</v>
      </c>
      <c r="D5882" t="s" s="8">
        <v>2002</v>
      </c>
      <c r="E5882" t="s" s="9">
        <v>2003</v>
      </c>
      <c r="F5882" t="s" s="10">
        <v>73</v>
      </c>
      <c r="G5882" t="s" s="11">
        <v>152</v>
      </c>
      <c r="H5882" t="s" s="10">
        <v>73</v>
      </c>
      <c r="I5882" t="s" s="11">
        <v>152</v>
      </c>
      <c r="J5882" t="s" s="11">
        <v>20</v>
      </c>
      <c r="K5882" s="15"/>
      <c r="L5882" t="s" s="16">
        <f>HYPERLINK("http://csr.bu.edu/ftp/asl/asllvd/demos/verify_start_end_handshape_annotations//test_auto_move//signs_mov_separ_signers/Brady_16388.mov","MOV")</f>
        <v>21</v>
      </c>
      <c r="M5882" t="s" s="10">
        <v>40</v>
      </c>
      <c r="N5882" s="17">
        <v>46</v>
      </c>
      <c r="O5882" s="18">
        <v>87</v>
      </c>
      <c r="P5882" s="18">
        <v>109</v>
      </c>
      <c r="Q5882" s="15"/>
      <c r="R5882" t="s" s="16">
        <f>HYPERLINK("http://secrets.rutgers.edu:8080/data/asl-ftp/asllvd/demos/verify_start_end_handshape_annotations//test_auto_move//signs_mov_separ_signers/Brady_16388.mov","MOV")</f>
        <v>21</v>
      </c>
    </row>
    <row r="5883" s="2" customFormat="1" ht="13.5" customHeight="1">
      <c r="B5883" t="s" s="8">
        <v>2005</v>
      </c>
      <c r="C5883" t="s" s="9">
        <v>14</v>
      </c>
      <c r="D5883" t="s" s="8">
        <v>14</v>
      </c>
      <c r="E5883" t="s" s="9">
        <v>14</v>
      </c>
      <c r="F5883" t="s" s="10">
        <v>14</v>
      </c>
      <c r="G5883" t="s" s="11">
        <v>14</v>
      </c>
      <c r="H5883" t="s" s="10">
        <v>14</v>
      </c>
      <c r="I5883" t="s" s="11">
        <v>14</v>
      </c>
      <c r="J5883" t="s" s="11">
        <v>14</v>
      </c>
      <c r="K5883" t="s" s="12">
        <v>14</v>
      </c>
      <c r="L5883" t="s" s="12">
        <v>14</v>
      </c>
      <c r="M5883" t="s" s="10">
        <v>14</v>
      </c>
      <c r="N5883" t="s" s="11">
        <v>14</v>
      </c>
      <c r="O5883" t="s" s="8">
        <v>14</v>
      </c>
      <c r="P5883" t="s" s="8">
        <v>14</v>
      </c>
      <c r="Q5883" t="s" s="12">
        <v>14</v>
      </c>
      <c r="R5883" t="s" s="12">
        <v>14</v>
      </c>
    </row>
    <row r="5884" s="2" customFormat="1" ht="13.5" customHeight="1">
      <c r="B5884" s="13"/>
      <c r="C5884" t="s" s="9">
        <v>16</v>
      </c>
      <c r="D5884" t="s" s="8">
        <v>2005</v>
      </c>
      <c r="E5884" t="s" s="9">
        <v>2005</v>
      </c>
      <c r="F5884" s="19">
        <v>4</v>
      </c>
      <c r="G5884" s="14"/>
      <c r="H5884" s="19">
        <v>4</v>
      </c>
      <c r="I5884" s="14"/>
      <c r="J5884" t="s" s="11">
        <v>20</v>
      </c>
      <c r="K5884" s="15"/>
      <c r="L5884" t="s" s="16">
        <f>HYPERLINK("http://csr.bu.edu/ftp/asl/asllvd/demos/verify_start_end_handshape_annotations//test_auto_move//signs_mov_separ_signers/Liz_1278.mov","MOV")</f>
        <v>21</v>
      </c>
      <c r="M5884" t="s" s="10">
        <v>34</v>
      </c>
      <c r="N5884" s="17">
        <v>34</v>
      </c>
      <c r="O5884" s="18">
        <v>2361</v>
      </c>
      <c r="P5884" s="18">
        <v>2400</v>
      </c>
      <c r="Q5884" s="15"/>
      <c r="R5884" t="s" s="16">
        <f>HYPERLINK("http://secrets.rutgers.edu:8080/data/asl-ftp/asllvd/demos/verify_start_end_handshape_annotations//test_auto_move//signs_mov_separ_signers/Liz_1278.mov","MOV")</f>
        <v>21</v>
      </c>
    </row>
    <row r="5885" s="2" customFormat="1" ht="13.5" customHeight="1">
      <c r="B5885" s="13"/>
      <c r="C5885" t="s" s="9">
        <v>16</v>
      </c>
      <c r="D5885" t="s" s="8">
        <v>2005</v>
      </c>
      <c r="E5885" t="s" s="9">
        <v>2005</v>
      </c>
      <c r="F5885" s="19">
        <v>4</v>
      </c>
      <c r="G5885" s="14"/>
      <c r="H5885" s="19">
        <v>4</v>
      </c>
      <c r="I5885" s="14"/>
      <c r="J5885" t="s" s="11">
        <v>20</v>
      </c>
      <c r="K5885" t="s" s="16">
        <f>HYPERLINK("http://csr.bu.edu/ftp/asl/asllvd/demos/verify_start_end_handshape_annotations//test_auto_move//signs_mov/1278_3382_3722_merged.mov","MOV")</f>
        <v>21</v>
      </c>
      <c r="L5885" t="s" s="16">
        <f>HYPERLINK("http://csr.bu.edu/ftp/asl/asllvd/demos/verify_start_end_handshape_annotations//test_auto_move//signs_mov_separ_signers/Liz_3382.mov","MOV")</f>
        <v>21</v>
      </c>
      <c r="M5885" t="s" s="10">
        <v>88</v>
      </c>
      <c r="N5885" s="17">
        <v>47</v>
      </c>
      <c r="O5885" s="18">
        <v>2420</v>
      </c>
      <c r="P5885" s="18">
        <v>2455</v>
      </c>
      <c r="Q5885" t="s" s="16">
        <f>HYPERLINK("http://secrets.rutgers.edu:8080/data/asl-ftp/asllvd/demos/verify_start_end_handshape_annotations//test_auto_move//signs_mov/1278_3382_3722_merged.mov","MOV")</f>
        <v>21</v>
      </c>
      <c r="R5885" t="s" s="16">
        <f>HYPERLINK("http://secrets.rutgers.edu:8080/data/asl-ftp/asllvd/demos/verify_start_end_handshape_annotations//test_auto_move//signs_mov_separ_signers/Liz_3382.mov","MOV")</f>
        <v>21</v>
      </c>
    </row>
    <row r="5886" s="2" customFormat="1" ht="13.5" customHeight="1">
      <c r="B5886" s="13"/>
      <c r="C5886" t="s" s="9">
        <v>16</v>
      </c>
      <c r="D5886" t="s" s="8">
        <v>2005</v>
      </c>
      <c r="E5886" t="s" s="9">
        <v>2005</v>
      </c>
      <c r="F5886" s="19">
        <v>4</v>
      </c>
      <c r="G5886" s="14"/>
      <c r="H5886" s="19">
        <v>4</v>
      </c>
      <c r="I5886" s="14"/>
      <c r="J5886" t="s" s="11">
        <v>20</v>
      </c>
      <c r="K5886" s="15"/>
      <c r="L5886" t="s" s="16">
        <f>HYPERLINK("http://csr.bu.edu/ftp/asl/asllvd/demos/verify_start_end_handshape_annotations//test_auto_move//signs_mov_separ_signers/Liz_3722.mov","MOV")</f>
        <v>21</v>
      </c>
      <c r="M5886" t="s" s="10">
        <v>77</v>
      </c>
      <c r="N5886" s="17">
        <v>28</v>
      </c>
      <c r="O5886" s="18">
        <v>1997</v>
      </c>
      <c r="P5886" s="18">
        <v>2036</v>
      </c>
      <c r="Q5886" s="15"/>
      <c r="R5886" t="s" s="16">
        <f>HYPERLINK("http://secrets.rutgers.edu:8080/data/asl-ftp/asllvd/demos/verify_start_end_handshape_annotations//test_auto_move//signs_mov_separ_signers/Liz_3722.mov","MOV")</f>
        <v>21</v>
      </c>
    </row>
    <row r="5887" s="2" customFormat="1" ht="13.5" customHeight="1">
      <c r="B5887" s="13"/>
      <c r="C5887" t="s" s="9">
        <v>27</v>
      </c>
      <c r="D5887" t="s" s="8">
        <v>2005</v>
      </c>
      <c r="E5887" t="s" s="9">
        <v>2005</v>
      </c>
      <c r="F5887" s="19">
        <v>4</v>
      </c>
      <c r="G5887" s="14"/>
      <c r="H5887" s="19">
        <v>4</v>
      </c>
      <c r="I5887" s="14"/>
      <c r="J5887" t="s" s="11">
        <v>20</v>
      </c>
      <c r="K5887" s="15"/>
      <c r="L5887" t="s" s="16">
        <f>HYPERLINK("http://csr.bu.edu/ftp/asl/asllvd/demos/verify_start_end_handshape_annotations//test_auto_move//signs_mov_separ_signers/Naomi_1278.mov","MOV")</f>
        <v>21</v>
      </c>
      <c r="M5887" t="s" s="10">
        <v>38</v>
      </c>
      <c r="N5887" s="17">
        <v>28</v>
      </c>
      <c r="O5887" s="18">
        <v>2232</v>
      </c>
      <c r="P5887" s="18">
        <v>2255</v>
      </c>
      <c r="Q5887" s="15"/>
      <c r="R5887" t="s" s="16">
        <f>HYPERLINK("http://secrets.rutgers.edu:8080/data/asl-ftp/asllvd/demos/verify_start_end_handshape_annotations//test_auto_move//signs_mov_separ_signers/Naomi_1278.mov","MOV")</f>
        <v>21</v>
      </c>
    </row>
    <row r="5888" s="2" customFormat="1" ht="13.5" customHeight="1">
      <c r="B5888" t="s" s="8">
        <v>52</v>
      </c>
      <c r="C5888" t="s" s="9">
        <v>53</v>
      </c>
      <c r="D5888" t="s" s="8">
        <v>53</v>
      </c>
      <c r="E5888" t="s" s="9">
        <v>53</v>
      </c>
      <c r="F5888" t="s" s="10">
        <v>53</v>
      </c>
      <c r="G5888" t="s" s="11">
        <v>53</v>
      </c>
      <c r="H5888" t="s" s="10">
        <v>53</v>
      </c>
      <c r="I5888" t="s" s="11">
        <v>53</v>
      </c>
      <c r="J5888" t="s" s="11">
        <v>53</v>
      </c>
      <c r="K5888" t="s" s="12">
        <v>53</v>
      </c>
      <c r="L5888" t="s" s="12">
        <v>53</v>
      </c>
      <c r="M5888" t="s" s="10">
        <v>53</v>
      </c>
      <c r="N5888" t="s" s="11">
        <v>53</v>
      </c>
      <c r="O5888" t="s" s="8">
        <v>53</v>
      </c>
      <c r="P5888" t="s" s="8">
        <v>53</v>
      </c>
      <c r="Q5888" t="s" s="12">
        <v>53</v>
      </c>
      <c r="R5888" t="s" s="12">
        <v>53</v>
      </c>
    </row>
    <row r="5889" s="2" customFormat="1" ht="13.5" customHeight="1">
      <c r="B5889" s="13"/>
      <c r="C5889" t="s" s="9">
        <v>23</v>
      </c>
      <c r="D5889" t="s" s="8">
        <v>2005</v>
      </c>
      <c r="E5889" t="s" s="9">
        <v>2006</v>
      </c>
      <c r="F5889" s="19">
        <v>4</v>
      </c>
      <c r="G5889" s="17">
        <v>4</v>
      </c>
      <c r="H5889" s="19">
        <v>4</v>
      </c>
      <c r="I5889" s="17">
        <v>4</v>
      </c>
      <c r="J5889" t="s" s="11">
        <v>20</v>
      </c>
      <c r="K5889" t="s" s="16">
        <f>HYPERLINK("http://csr.bu.edu/ftp/asl/asllvd/demos/verify_start_end_handshape_annotations//test_auto_move//signs_mov/5225.mov","MOV")</f>
        <v>21</v>
      </c>
      <c r="L5889" t="s" s="16">
        <f>HYPERLINK("http://csr.bu.edu/ftp/asl/asllvd/demos/verify_start_end_handshape_annotations//test_auto_move//signs_mov_separ_signers/Tyler_5225.mov","MOV")</f>
        <v>21</v>
      </c>
      <c r="M5889" t="s" s="10">
        <v>37</v>
      </c>
      <c r="N5889" s="17">
        <v>8</v>
      </c>
      <c r="O5889" s="18">
        <v>1702</v>
      </c>
      <c r="P5889" s="18">
        <v>1730</v>
      </c>
      <c r="Q5889" t="s" s="16">
        <f>HYPERLINK("http://secrets.rutgers.edu:8080/data/asl-ftp/asllvd/demos/verify_start_end_handshape_annotations//test_auto_move//signs_mov/5225.mov","MOV")</f>
        <v>21</v>
      </c>
      <c r="R5889" t="s" s="16">
        <f>HYPERLINK("http://secrets.rutgers.edu:8080/data/asl-ftp/asllvd/demos/verify_start_end_handshape_annotations//test_auto_move//signs_mov_separ_signers/Tyler_5225.mov","MOV")</f>
        <v>21</v>
      </c>
    </row>
    <row r="5890" s="2" customFormat="1" ht="13.5" customHeight="1">
      <c r="B5890" t="s" s="8">
        <v>2007</v>
      </c>
      <c r="C5890" t="s" s="9">
        <v>14</v>
      </c>
      <c r="D5890" t="s" s="8">
        <v>14</v>
      </c>
      <c r="E5890" t="s" s="9">
        <v>14</v>
      </c>
      <c r="F5890" t="s" s="10">
        <v>14</v>
      </c>
      <c r="G5890" t="s" s="11">
        <v>14</v>
      </c>
      <c r="H5890" t="s" s="10">
        <v>14</v>
      </c>
      <c r="I5890" t="s" s="11">
        <v>14</v>
      </c>
      <c r="J5890" t="s" s="11">
        <v>14</v>
      </c>
      <c r="K5890" t="s" s="12">
        <v>14</v>
      </c>
      <c r="L5890" t="s" s="12">
        <v>14</v>
      </c>
      <c r="M5890" t="s" s="10">
        <v>14</v>
      </c>
      <c r="N5890" t="s" s="11">
        <v>14</v>
      </c>
      <c r="O5890" t="s" s="8">
        <v>14</v>
      </c>
      <c r="P5890" t="s" s="8">
        <v>14</v>
      </c>
      <c r="Q5890" t="s" s="12">
        <v>14</v>
      </c>
      <c r="R5890" t="s" s="12">
        <v>14</v>
      </c>
    </row>
    <row r="5891" s="2" customFormat="1" ht="13.5" customHeight="1">
      <c r="B5891" s="13"/>
      <c r="C5891" t="s" s="9">
        <v>16</v>
      </c>
      <c r="D5891" t="s" s="8">
        <v>2007</v>
      </c>
      <c r="E5891" t="s" s="9">
        <v>2007</v>
      </c>
      <c r="F5891" s="19">
        <v>10</v>
      </c>
      <c r="G5891" t="s" s="11">
        <v>73</v>
      </c>
      <c r="H5891" s="19">
        <v>10</v>
      </c>
      <c r="I5891" t="s" s="11">
        <v>73</v>
      </c>
      <c r="J5891" t="s" s="11">
        <v>20</v>
      </c>
      <c r="K5891" s="15"/>
      <c r="L5891" t="s" s="16">
        <f>HYPERLINK("http://csr.bu.edu/ftp/asl/asllvd/demos/verify_start_end_handshape_annotations//test_auto_move//signs_mov_separ_signers/Liz_1281.mov","MOV")</f>
        <v>21</v>
      </c>
      <c r="M5891" t="s" s="10">
        <v>34</v>
      </c>
      <c r="N5891" s="17">
        <v>35</v>
      </c>
      <c r="O5891" s="18">
        <v>482</v>
      </c>
      <c r="P5891" s="18">
        <v>525</v>
      </c>
      <c r="Q5891" s="15"/>
      <c r="R5891" t="s" s="16">
        <f>HYPERLINK("http://secrets.rutgers.edu:8080/data/asl-ftp/asllvd/demos/verify_start_end_handshape_annotations//test_auto_move//signs_mov_separ_signers/Liz_1281.mov","MOV")</f>
        <v>21</v>
      </c>
    </row>
    <row r="5892" s="2" customFormat="1" ht="13.5" customHeight="1">
      <c r="B5892" s="13"/>
      <c r="C5892" t="s" s="9">
        <v>27</v>
      </c>
      <c r="D5892" t="s" s="8">
        <v>2007</v>
      </c>
      <c r="E5892" t="s" s="9">
        <v>2007</v>
      </c>
      <c r="F5892" s="19">
        <v>10</v>
      </c>
      <c r="G5892" t="s" s="11">
        <v>73</v>
      </c>
      <c r="H5892" s="19">
        <v>10</v>
      </c>
      <c r="I5892" t="s" s="11">
        <v>73</v>
      </c>
      <c r="J5892" t="s" s="11">
        <v>20</v>
      </c>
      <c r="K5892" t="s" s="16">
        <f>HYPERLINK("http://csr.bu.edu/ftp/asl/asllvd/demos/verify_start_end_handshape_annotations//test_auto_move//signs_mov/1281.mov","MOV")</f>
        <v>21</v>
      </c>
      <c r="L5892" t="s" s="16">
        <f>HYPERLINK("http://csr.bu.edu/ftp/asl/asllvd/demos/verify_start_end_handshape_annotations//test_auto_move//signs_mov_separ_signers/Naomi_1281.mov","MOV")</f>
        <v>21</v>
      </c>
      <c r="M5892" t="s" s="10">
        <v>38</v>
      </c>
      <c r="N5892" s="17">
        <v>29</v>
      </c>
      <c r="O5892" s="18">
        <v>387</v>
      </c>
      <c r="P5892" s="18">
        <v>425</v>
      </c>
      <c r="Q5892" t="s" s="16">
        <f>HYPERLINK("http://secrets.rutgers.edu:8080/data/asl-ftp/asllvd/demos/verify_start_end_handshape_annotations//test_auto_move//signs_mov/1281.mov","MOV")</f>
        <v>21</v>
      </c>
      <c r="R5892" t="s" s="16">
        <f>HYPERLINK("http://secrets.rutgers.edu:8080/data/asl-ftp/asllvd/demos/verify_start_end_handshape_annotations//test_auto_move//signs_mov_separ_signers/Naomi_1281.mov","MOV")</f>
        <v>21</v>
      </c>
    </row>
    <row r="5893" s="2" customFormat="1" ht="13.5" customHeight="1">
      <c r="B5893" s="13"/>
      <c r="C5893" t="s" s="9">
        <v>30</v>
      </c>
      <c r="D5893" t="s" s="8">
        <v>2007</v>
      </c>
      <c r="E5893" t="s" s="9">
        <v>2007</v>
      </c>
      <c r="F5893" s="19">
        <v>10</v>
      </c>
      <c r="G5893" t="s" s="11">
        <v>73</v>
      </c>
      <c r="H5893" s="19">
        <v>10</v>
      </c>
      <c r="I5893" t="s" s="11">
        <v>73</v>
      </c>
      <c r="J5893" t="s" s="11">
        <v>20</v>
      </c>
      <c r="K5893" s="15"/>
      <c r="L5893" t="s" s="16">
        <f>HYPERLINK("http://csr.bu.edu/ftp/asl/asllvd/demos/verify_start_end_handshape_annotations//test_auto_move//signs_mov_separ_signers/Brady_1281.mov","MOV")</f>
        <v>21</v>
      </c>
      <c r="M5893" t="s" s="10">
        <v>39</v>
      </c>
      <c r="N5893" s="17">
        <v>41</v>
      </c>
      <c r="O5893" s="18">
        <v>4127</v>
      </c>
      <c r="P5893" s="18">
        <v>4168</v>
      </c>
      <c r="Q5893" s="15"/>
      <c r="R5893" t="s" s="16">
        <f>HYPERLINK("http://secrets.rutgers.edu:8080/data/asl-ftp/asllvd/demos/verify_start_end_handshape_annotations//test_auto_move//signs_mov_separ_signers/Brady_1281.mov","MOV")</f>
        <v>21</v>
      </c>
    </row>
    <row r="5894" s="2" customFormat="1" ht="13.5" customHeight="1">
      <c r="B5894" t="s" s="8">
        <v>2008</v>
      </c>
      <c r="C5894" t="s" s="9">
        <v>14</v>
      </c>
      <c r="D5894" t="s" s="8">
        <v>14</v>
      </c>
      <c r="E5894" t="s" s="9">
        <v>14</v>
      </c>
      <c r="F5894" t="s" s="10">
        <v>14</v>
      </c>
      <c r="G5894" t="s" s="11">
        <v>14</v>
      </c>
      <c r="H5894" t="s" s="10">
        <v>14</v>
      </c>
      <c r="I5894" t="s" s="11">
        <v>14</v>
      </c>
      <c r="J5894" t="s" s="11">
        <v>14</v>
      </c>
      <c r="K5894" t="s" s="12">
        <v>14</v>
      </c>
      <c r="L5894" t="s" s="12">
        <v>14</v>
      </c>
      <c r="M5894" t="s" s="10">
        <v>14</v>
      </c>
      <c r="N5894" t="s" s="11">
        <v>14</v>
      </c>
      <c r="O5894" t="s" s="8">
        <v>14</v>
      </c>
      <c r="P5894" t="s" s="8">
        <v>14</v>
      </c>
      <c r="Q5894" t="s" s="12">
        <v>14</v>
      </c>
      <c r="R5894" t="s" s="12">
        <v>14</v>
      </c>
    </row>
    <row r="5895" s="2" customFormat="1" ht="13.5" customHeight="1">
      <c r="B5895" s="13"/>
      <c r="C5895" t="s" s="9">
        <v>16</v>
      </c>
      <c r="D5895" t="s" s="8">
        <v>2008</v>
      </c>
      <c r="E5895" t="s" s="9">
        <v>2008</v>
      </c>
      <c r="F5895" t="s" s="10">
        <v>230</v>
      </c>
      <c r="G5895" t="s" s="11">
        <v>68</v>
      </c>
      <c r="H5895" t="s" s="10">
        <v>230</v>
      </c>
      <c r="I5895" t="s" s="11">
        <v>68</v>
      </c>
      <c r="J5895" t="s" s="11">
        <v>20</v>
      </c>
      <c r="K5895" s="15"/>
      <c r="L5895" t="s" s="16">
        <f>HYPERLINK("http://csr.bu.edu/ftp/asl/asllvd/demos/verify_start_end_handshape_annotations//test_auto_move//signs_mov_separ_signers/Liz_1282.mov","MOV")</f>
        <v>21</v>
      </c>
      <c r="M5895" t="s" s="10">
        <v>34</v>
      </c>
      <c r="N5895" s="17">
        <v>35</v>
      </c>
      <c r="O5895" s="18">
        <v>720</v>
      </c>
      <c r="P5895" s="18">
        <v>761</v>
      </c>
      <c r="Q5895" s="15"/>
      <c r="R5895" t="s" s="16">
        <f>HYPERLINK("http://secrets.rutgers.edu:8080/data/asl-ftp/asllvd/demos/verify_start_end_handshape_annotations//test_auto_move//signs_mov_separ_signers/Liz_1282.mov","MOV")</f>
        <v>21</v>
      </c>
    </row>
    <row r="5896" s="2" customFormat="1" ht="13.5" customHeight="1">
      <c r="B5896" s="13"/>
      <c r="C5896" t="s" s="9">
        <v>23</v>
      </c>
      <c r="D5896" t="s" s="8">
        <v>2008</v>
      </c>
      <c r="E5896" t="s" s="9">
        <v>2008</v>
      </c>
      <c r="F5896" t="s" s="10">
        <v>230</v>
      </c>
      <c r="G5896" t="s" s="11">
        <v>55</v>
      </c>
      <c r="H5896" t="s" s="10">
        <v>230</v>
      </c>
      <c r="I5896" t="s" s="11">
        <v>55</v>
      </c>
      <c r="J5896" t="s" s="11">
        <v>20</v>
      </c>
      <c r="K5896" t="s" s="16">
        <f>HYPERLINK("http://csr.bu.edu/ftp/asl/asllvd/demos/verify_start_end_handshape_annotations//test_auto_move//signs_mov/1282.mov","MOV")</f>
        <v>21</v>
      </c>
      <c r="L5896" t="s" s="16">
        <f>HYPERLINK("http://csr.bu.edu/ftp/asl/asllvd/demos/verify_start_end_handshape_annotations//test_auto_move//signs_mov_separ_signers/Tyler_1282.mov","MOV")</f>
        <v>21</v>
      </c>
      <c r="M5896" t="s" s="10">
        <v>37</v>
      </c>
      <c r="N5896" s="17">
        <v>9</v>
      </c>
      <c r="O5896" s="18">
        <v>1412</v>
      </c>
      <c r="P5896" s="18">
        <v>1445</v>
      </c>
      <c r="Q5896" t="s" s="16">
        <f>HYPERLINK("http://secrets.rutgers.edu:8080/data/asl-ftp/asllvd/demos/verify_start_end_handshape_annotations//test_auto_move//signs_mov/1282.mov","MOV")</f>
        <v>21</v>
      </c>
      <c r="R5896" t="s" s="16">
        <f>HYPERLINK("http://secrets.rutgers.edu:8080/data/asl-ftp/asllvd/demos/verify_start_end_handshape_annotations//test_auto_move//signs_mov_separ_signers/Tyler_1282.mov","MOV")</f>
        <v>21</v>
      </c>
    </row>
    <row r="5897" s="2" customFormat="1" ht="13.5" customHeight="1">
      <c r="B5897" s="13"/>
      <c r="C5897" t="s" s="9">
        <v>27</v>
      </c>
      <c r="D5897" t="s" s="8">
        <v>2008</v>
      </c>
      <c r="E5897" t="s" s="9">
        <v>2008</v>
      </c>
      <c r="F5897" t="s" s="10">
        <v>230</v>
      </c>
      <c r="G5897" t="s" s="11">
        <v>68</v>
      </c>
      <c r="H5897" t="s" s="10">
        <v>230</v>
      </c>
      <c r="I5897" t="s" s="11">
        <v>68</v>
      </c>
      <c r="J5897" t="s" s="11">
        <v>20</v>
      </c>
      <c r="K5897" s="15"/>
      <c r="L5897" t="s" s="16">
        <f>HYPERLINK("http://csr.bu.edu/ftp/asl/asllvd/demos/verify_start_end_handshape_annotations//test_auto_move//signs_mov_separ_signers/Naomi_1282.mov","MOV")</f>
        <v>21</v>
      </c>
      <c r="M5897" t="s" s="10">
        <v>38</v>
      </c>
      <c r="N5897" s="17">
        <v>29</v>
      </c>
      <c r="O5897" s="18">
        <v>675</v>
      </c>
      <c r="P5897" s="18">
        <v>713</v>
      </c>
      <c r="Q5897" s="15"/>
      <c r="R5897" t="s" s="16">
        <f>HYPERLINK("http://secrets.rutgers.edu:8080/data/asl-ftp/asllvd/demos/verify_start_end_handshape_annotations//test_auto_move//signs_mov_separ_signers/Naomi_1282.mov","MOV")</f>
        <v>21</v>
      </c>
    </row>
    <row r="5898" s="2" customFormat="1" ht="13.5" customHeight="1">
      <c r="B5898" s="13"/>
      <c r="C5898" t="s" s="9">
        <v>30</v>
      </c>
      <c r="D5898" t="s" s="8">
        <v>2008</v>
      </c>
      <c r="E5898" t="s" s="9">
        <v>2008</v>
      </c>
      <c r="F5898" t="s" s="10">
        <v>230</v>
      </c>
      <c r="G5898" t="s" s="11">
        <v>68</v>
      </c>
      <c r="H5898" t="s" s="10">
        <v>230</v>
      </c>
      <c r="I5898" t="s" s="11">
        <v>68</v>
      </c>
      <c r="J5898" t="s" s="11">
        <v>20</v>
      </c>
      <c r="K5898" s="15"/>
      <c r="L5898" t="s" s="16">
        <f>HYPERLINK("http://csr.bu.edu/ftp/asl/asllvd/demos/verify_start_end_handshape_annotations//test_auto_move//signs_mov_separ_signers/Brady_1282.mov","MOV")</f>
        <v>21</v>
      </c>
      <c r="M5898" t="s" s="10">
        <v>39</v>
      </c>
      <c r="N5898" s="17">
        <v>41</v>
      </c>
      <c r="O5898" s="18">
        <v>5140</v>
      </c>
      <c r="P5898" s="18">
        <v>5165</v>
      </c>
      <c r="Q5898" s="15"/>
      <c r="R5898" t="s" s="16">
        <f>HYPERLINK("http://secrets.rutgers.edu:8080/data/asl-ftp/asllvd/demos/verify_start_end_handshape_annotations//test_auto_move//signs_mov_separ_signers/Brady_1282.mov","MOV")</f>
        <v>21</v>
      </c>
    </row>
    <row r="5899" s="2" customFormat="1" ht="13.5" customHeight="1">
      <c r="B5899" t="s" s="8">
        <v>2009</v>
      </c>
      <c r="C5899" t="s" s="9">
        <v>14</v>
      </c>
      <c r="D5899" t="s" s="8">
        <v>14</v>
      </c>
      <c r="E5899" t="s" s="9">
        <v>14</v>
      </c>
      <c r="F5899" t="s" s="10">
        <v>14</v>
      </c>
      <c r="G5899" t="s" s="11">
        <v>14</v>
      </c>
      <c r="H5899" t="s" s="10">
        <v>14</v>
      </c>
      <c r="I5899" t="s" s="11">
        <v>14</v>
      </c>
      <c r="J5899" t="s" s="11">
        <v>14</v>
      </c>
      <c r="K5899" t="s" s="12">
        <v>14</v>
      </c>
      <c r="L5899" t="s" s="12">
        <v>14</v>
      </c>
      <c r="M5899" t="s" s="10">
        <v>14</v>
      </c>
      <c r="N5899" t="s" s="11">
        <v>14</v>
      </c>
      <c r="O5899" t="s" s="8">
        <v>14</v>
      </c>
      <c r="P5899" t="s" s="8">
        <v>14</v>
      </c>
      <c r="Q5899" t="s" s="12">
        <v>14</v>
      </c>
      <c r="R5899" t="s" s="12">
        <v>14</v>
      </c>
    </row>
    <row r="5900" s="2" customFormat="1" ht="13.5" customHeight="1">
      <c r="B5900" s="13"/>
      <c r="C5900" t="s" s="9">
        <v>30</v>
      </c>
      <c r="D5900" t="s" s="8">
        <v>2009</v>
      </c>
      <c r="E5900" t="s" s="9">
        <v>2010</v>
      </c>
      <c r="F5900" t="s" s="10">
        <v>287</v>
      </c>
      <c r="G5900" t="s" s="11">
        <v>73</v>
      </c>
      <c r="H5900" t="s" s="10">
        <v>287</v>
      </c>
      <c r="I5900" t="s" s="11">
        <v>73</v>
      </c>
      <c r="J5900" t="s" s="11">
        <v>20</v>
      </c>
      <c r="K5900" t="s" s="16">
        <f>HYPERLINK("http://csr.bu.edu/ftp/asl/asllvd/demos/verify_start_end_handshape_annotations//test_auto_move//signs_mov/1288.mov","MOV")</f>
        <v>21</v>
      </c>
      <c r="L5900" t="s" s="16">
        <f>HYPERLINK("http://csr.bu.edu/ftp/asl/asllvd/demos/verify_start_end_handshape_annotations//test_auto_move//signs_mov_separ_signers/Brady_1288.mov","MOV")</f>
        <v>21</v>
      </c>
      <c r="M5900" t="s" s="10">
        <v>39</v>
      </c>
      <c r="N5900" s="17">
        <v>40</v>
      </c>
      <c r="O5900" s="18">
        <v>1035</v>
      </c>
      <c r="P5900" s="18">
        <v>1075</v>
      </c>
      <c r="Q5900" t="s" s="16">
        <f>HYPERLINK("http://secrets.rutgers.edu:8080/data/asl-ftp/asllvd/demos/verify_start_end_handshape_annotations//test_auto_move//signs_mov/1288.mov","MOV")</f>
        <v>21</v>
      </c>
      <c r="R5900" t="s" s="16">
        <f>HYPERLINK("http://secrets.rutgers.edu:8080/data/asl-ftp/asllvd/demos/verify_start_end_handshape_annotations//test_auto_move//signs_mov_separ_signers/Brady_1288.mov","MOV")</f>
        <v>21</v>
      </c>
    </row>
    <row r="5901" s="2" customFormat="1" ht="13.5" customHeight="1">
      <c r="B5901" t="s" s="8">
        <v>52</v>
      </c>
      <c r="C5901" t="s" s="9">
        <v>53</v>
      </c>
      <c r="D5901" t="s" s="8">
        <v>53</v>
      </c>
      <c r="E5901" t="s" s="9">
        <v>53</v>
      </c>
      <c r="F5901" t="s" s="10">
        <v>53</v>
      </c>
      <c r="G5901" t="s" s="11">
        <v>53</v>
      </c>
      <c r="H5901" t="s" s="10">
        <v>53</v>
      </c>
      <c r="I5901" t="s" s="11">
        <v>53</v>
      </c>
      <c r="J5901" t="s" s="11">
        <v>53</v>
      </c>
      <c r="K5901" t="s" s="12">
        <v>53</v>
      </c>
      <c r="L5901" t="s" s="12">
        <v>53</v>
      </c>
      <c r="M5901" t="s" s="10">
        <v>53</v>
      </c>
      <c r="N5901" t="s" s="11">
        <v>53</v>
      </c>
      <c r="O5901" t="s" s="8">
        <v>53</v>
      </c>
      <c r="P5901" t="s" s="8">
        <v>53</v>
      </c>
      <c r="Q5901" t="s" s="12">
        <v>53</v>
      </c>
      <c r="R5901" t="s" s="12">
        <v>53</v>
      </c>
    </row>
    <row r="5902" s="2" customFormat="1" ht="13.5" customHeight="1">
      <c r="B5902" s="13"/>
      <c r="C5902" t="s" s="9">
        <v>16</v>
      </c>
      <c r="D5902" t="s" s="8">
        <v>2009</v>
      </c>
      <c r="E5902" t="s" s="9">
        <v>2011</v>
      </c>
      <c r="F5902" t="s" s="10">
        <v>287</v>
      </c>
      <c r="G5902" t="s" s="11">
        <v>73</v>
      </c>
      <c r="H5902" t="s" s="10">
        <v>287</v>
      </c>
      <c r="I5902" t="s" s="11">
        <v>73</v>
      </c>
      <c r="J5902" t="s" s="11">
        <v>20</v>
      </c>
      <c r="K5902" t="s" s="16">
        <f>HYPERLINK("http://csr.bu.edu/ftp/asl/asllvd/demos/verify_start_end_handshape_annotations//test_auto_move//signs_mov/16193.mov","MOV")</f>
        <v>21</v>
      </c>
      <c r="L5902" t="s" s="16">
        <f>HYPERLINK("http://csr.bu.edu/ftp/asl/asllvd/demos/verify_start_end_handshape_annotations//test_auto_move//signs_mov_separ_signers/Liz_16193.mov","MOV")</f>
        <v>21</v>
      </c>
      <c r="M5902" t="s" s="10">
        <v>34</v>
      </c>
      <c r="N5902" s="17">
        <v>31</v>
      </c>
      <c r="O5902" s="18">
        <v>1425</v>
      </c>
      <c r="P5902" s="18">
        <v>1490</v>
      </c>
      <c r="Q5902" t="s" s="16">
        <f>HYPERLINK("http://secrets.rutgers.edu:8080/data/asl-ftp/asllvd/demos/verify_start_end_handshape_annotations//test_auto_move//signs_mov/16193.mov","MOV")</f>
        <v>21</v>
      </c>
      <c r="R5902" t="s" s="16">
        <f>HYPERLINK("http://secrets.rutgers.edu:8080/data/asl-ftp/asllvd/demos/verify_start_end_handshape_annotations//test_auto_move//signs_mov_separ_signers/Liz_16193.mov","MOV")</f>
        <v>21</v>
      </c>
    </row>
    <row r="5903" s="2" customFormat="1" ht="13.5" customHeight="1">
      <c r="B5903" s="13"/>
      <c r="C5903" t="s" s="9">
        <v>23</v>
      </c>
      <c r="D5903" t="s" s="8">
        <v>2009</v>
      </c>
      <c r="E5903" t="s" s="9">
        <v>2011</v>
      </c>
      <c r="F5903" t="s" s="10">
        <v>287</v>
      </c>
      <c r="G5903" t="s" s="11">
        <v>73</v>
      </c>
      <c r="H5903" t="s" s="10">
        <v>287</v>
      </c>
      <c r="I5903" t="s" s="11">
        <v>73</v>
      </c>
      <c r="J5903" t="s" s="11">
        <v>20</v>
      </c>
      <c r="K5903" s="15"/>
      <c r="L5903" t="s" s="16">
        <f>HYPERLINK("http://csr.bu.edu/ftp/asl/asllvd/demos/verify_start_end_handshape_annotations//test_auto_move//signs_mov_separ_signers/Tyler_16193.mov","MOV")</f>
        <v>21</v>
      </c>
      <c r="M5903" t="s" s="10">
        <v>37</v>
      </c>
      <c r="N5903" s="17">
        <v>6</v>
      </c>
      <c r="O5903" s="18">
        <v>1656</v>
      </c>
      <c r="P5903" s="18">
        <v>1705</v>
      </c>
      <c r="Q5903" s="15"/>
      <c r="R5903" t="s" s="16">
        <f>HYPERLINK("http://secrets.rutgers.edu:8080/data/asl-ftp/asllvd/demos/verify_start_end_handshape_annotations//test_auto_move//signs_mov_separ_signers/Tyler_16193.mov","MOV")</f>
        <v>21</v>
      </c>
    </row>
    <row r="5904" s="2" customFormat="1" ht="13.5" customHeight="1">
      <c r="B5904" t="s" s="8">
        <v>2012</v>
      </c>
      <c r="C5904" t="s" s="9">
        <v>14</v>
      </c>
      <c r="D5904" t="s" s="8">
        <v>14</v>
      </c>
      <c r="E5904" t="s" s="9">
        <v>14</v>
      </c>
      <c r="F5904" t="s" s="10">
        <v>14</v>
      </c>
      <c r="G5904" t="s" s="11">
        <v>14</v>
      </c>
      <c r="H5904" t="s" s="10">
        <v>14</v>
      </c>
      <c r="I5904" t="s" s="11">
        <v>14</v>
      </c>
      <c r="J5904" t="s" s="11">
        <v>14</v>
      </c>
      <c r="K5904" t="s" s="12">
        <v>14</v>
      </c>
      <c r="L5904" t="s" s="12">
        <v>14</v>
      </c>
      <c r="M5904" t="s" s="10">
        <v>14</v>
      </c>
      <c r="N5904" t="s" s="11">
        <v>14</v>
      </c>
      <c r="O5904" t="s" s="8">
        <v>14</v>
      </c>
      <c r="P5904" t="s" s="8">
        <v>14</v>
      </c>
      <c r="Q5904" t="s" s="12">
        <v>14</v>
      </c>
      <c r="R5904" t="s" s="12">
        <v>14</v>
      </c>
    </row>
    <row r="5905" s="2" customFormat="1" ht="13.5" customHeight="1">
      <c r="B5905" s="13"/>
      <c r="C5905" t="s" s="9">
        <v>16</v>
      </c>
      <c r="D5905" t="s" s="8">
        <v>2012</v>
      </c>
      <c r="E5905" t="s" s="9">
        <v>2013</v>
      </c>
      <c r="F5905" t="s" s="10">
        <v>287</v>
      </c>
      <c r="G5905" t="s" s="11">
        <v>287</v>
      </c>
      <c r="H5905" t="s" s="10">
        <v>287</v>
      </c>
      <c r="I5905" t="s" s="11">
        <v>287</v>
      </c>
      <c r="J5905" t="s" s="11">
        <v>20</v>
      </c>
      <c r="K5905" t="s" s="16">
        <f>HYPERLINK("http://csr.bu.edu/ftp/asl/asllvd/demos/verify_start_end_handshape_annotations//test_auto_move//signs_mov/4767.mov","MOV")</f>
        <v>21</v>
      </c>
      <c r="L5905" t="s" s="16">
        <f>HYPERLINK("http://csr.bu.edu/ftp/asl/asllvd/demos/verify_start_end_handshape_annotations//test_auto_move//signs_mov_separ_signers/Liz_4767.mov","MOV")</f>
        <v>21</v>
      </c>
      <c r="M5905" t="s" s="10">
        <v>34</v>
      </c>
      <c r="N5905" s="17">
        <v>35</v>
      </c>
      <c r="O5905" s="18">
        <v>3945</v>
      </c>
      <c r="P5905" s="18">
        <v>4012</v>
      </c>
      <c r="Q5905" t="s" s="16">
        <f>HYPERLINK("http://secrets.rutgers.edu:8080/data/asl-ftp/asllvd/demos/verify_start_end_handshape_annotations//test_auto_move//signs_mov/4767.mov","MOV")</f>
        <v>21</v>
      </c>
      <c r="R5905" t="s" s="16">
        <f>HYPERLINK("http://secrets.rutgers.edu:8080/data/asl-ftp/asllvd/demos/verify_start_end_handshape_annotations//test_auto_move//signs_mov_separ_signers/Liz_4767.mov","MOV")</f>
        <v>21</v>
      </c>
    </row>
    <row r="5906" s="2" customFormat="1" ht="13.5" customHeight="1">
      <c r="B5906" t="s" s="8">
        <v>2014</v>
      </c>
      <c r="C5906" t="s" s="9">
        <v>14</v>
      </c>
      <c r="D5906" t="s" s="8">
        <v>14</v>
      </c>
      <c r="E5906" t="s" s="9">
        <v>14</v>
      </c>
      <c r="F5906" t="s" s="10">
        <v>14</v>
      </c>
      <c r="G5906" t="s" s="11">
        <v>14</v>
      </c>
      <c r="H5906" t="s" s="10">
        <v>14</v>
      </c>
      <c r="I5906" t="s" s="11">
        <v>14</v>
      </c>
      <c r="J5906" t="s" s="11">
        <v>14</v>
      </c>
      <c r="K5906" t="s" s="12">
        <v>14</v>
      </c>
      <c r="L5906" t="s" s="12">
        <v>14</v>
      </c>
      <c r="M5906" t="s" s="10">
        <v>14</v>
      </c>
      <c r="N5906" t="s" s="11">
        <v>14</v>
      </c>
      <c r="O5906" t="s" s="8">
        <v>14</v>
      </c>
      <c r="P5906" t="s" s="8">
        <v>14</v>
      </c>
      <c r="Q5906" t="s" s="12">
        <v>14</v>
      </c>
      <c r="R5906" t="s" s="12">
        <v>14</v>
      </c>
    </row>
    <row r="5907" s="2" customFormat="1" ht="13.5" customHeight="1">
      <c r="B5907" s="13"/>
      <c r="C5907" t="s" s="9">
        <v>16</v>
      </c>
      <c r="D5907" t="s" s="8">
        <v>2014</v>
      </c>
      <c r="E5907" t="s" s="9">
        <v>2014</v>
      </c>
      <c r="F5907" t="s" s="10">
        <v>287</v>
      </c>
      <c r="G5907" s="14"/>
      <c r="H5907" t="s" s="10">
        <v>287</v>
      </c>
      <c r="I5907" s="14"/>
      <c r="J5907" t="s" s="11">
        <v>20</v>
      </c>
      <c r="K5907" s="15"/>
      <c r="L5907" t="s" s="16">
        <f>HYPERLINK("http://csr.bu.edu/ftp/asl/asllvd/demos/verify_start_end_handshape_annotations//test_auto_move//signs_mov_separ_signers/Liz_1289.mov","MOV")</f>
        <v>21</v>
      </c>
      <c r="M5907" t="s" s="10">
        <v>34</v>
      </c>
      <c r="N5907" s="17">
        <v>35</v>
      </c>
      <c r="O5907" s="18">
        <v>4276</v>
      </c>
      <c r="P5907" s="18">
        <v>4326</v>
      </c>
      <c r="Q5907" s="15"/>
      <c r="R5907" t="s" s="16">
        <f>HYPERLINK("http://secrets.rutgers.edu:8080/data/asl-ftp/asllvd/demos/verify_start_end_handshape_annotations//test_auto_move//signs_mov_separ_signers/Liz_1289.mov","MOV")</f>
        <v>21</v>
      </c>
    </row>
    <row r="5908" s="2" customFormat="1" ht="13.5" customHeight="1">
      <c r="B5908" s="13"/>
      <c r="C5908" t="s" s="9">
        <v>23</v>
      </c>
      <c r="D5908" t="s" s="8">
        <v>2014</v>
      </c>
      <c r="E5908" t="s" s="9">
        <v>2014</v>
      </c>
      <c r="F5908" t="s" s="10">
        <v>287</v>
      </c>
      <c r="G5908" s="14"/>
      <c r="H5908" t="s" s="10">
        <v>287</v>
      </c>
      <c r="I5908" s="14"/>
      <c r="J5908" t="s" s="11">
        <v>20</v>
      </c>
      <c r="K5908" t="s" s="16">
        <f>HYPERLINK("http://csr.bu.edu/ftp/asl/asllvd/demos/verify_start_end_handshape_annotations//test_auto_move//signs_mov/1289.mov","MOV")</f>
        <v>21</v>
      </c>
      <c r="L5908" t="s" s="16">
        <f>HYPERLINK("http://csr.bu.edu/ftp/asl/asllvd/demos/verify_start_end_handshape_annotations//test_auto_move//signs_mov_separ_signers/Tyler_1289.mov","MOV")</f>
        <v>21</v>
      </c>
      <c r="M5908" t="s" s="10">
        <v>37</v>
      </c>
      <c r="N5908" s="17">
        <v>9</v>
      </c>
      <c r="O5908" s="18">
        <v>4716</v>
      </c>
      <c r="P5908" s="18">
        <v>4742</v>
      </c>
      <c r="Q5908" t="s" s="16">
        <f>HYPERLINK("http://secrets.rutgers.edu:8080/data/asl-ftp/asllvd/demos/verify_start_end_handshape_annotations//test_auto_move//signs_mov/1289.mov","MOV")</f>
        <v>21</v>
      </c>
      <c r="R5908" t="s" s="16">
        <f>HYPERLINK("http://secrets.rutgers.edu:8080/data/asl-ftp/asllvd/demos/verify_start_end_handshape_annotations//test_auto_move//signs_mov_separ_signers/Tyler_1289.mov","MOV")</f>
        <v>21</v>
      </c>
    </row>
    <row r="5909" s="2" customFormat="1" ht="13.5" customHeight="1">
      <c r="B5909" s="13"/>
      <c r="C5909" t="s" s="9">
        <v>27</v>
      </c>
      <c r="D5909" t="s" s="8">
        <v>2014</v>
      </c>
      <c r="E5909" t="s" s="9">
        <v>2014</v>
      </c>
      <c r="F5909" t="s" s="10">
        <v>287</v>
      </c>
      <c r="G5909" s="14"/>
      <c r="H5909" t="s" s="10">
        <v>287</v>
      </c>
      <c r="I5909" s="14"/>
      <c r="J5909" t="s" s="11">
        <v>20</v>
      </c>
      <c r="K5909" s="15"/>
      <c r="L5909" t="s" s="16">
        <f>HYPERLINK("http://csr.bu.edu/ftp/asl/asllvd/demos/verify_start_end_handshape_annotations//test_auto_move//signs_mov_separ_signers/Naomi_1289.mov","MOV")</f>
        <v>21</v>
      </c>
      <c r="M5909" t="s" s="10">
        <v>38</v>
      </c>
      <c r="N5909" s="17">
        <v>29</v>
      </c>
      <c r="O5909" s="18">
        <v>4772</v>
      </c>
      <c r="P5909" s="18">
        <v>4805</v>
      </c>
      <c r="Q5909" s="15"/>
      <c r="R5909" t="s" s="16">
        <f>HYPERLINK("http://secrets.rutgers.edu:8080/data/asl-ftp/asllvd/demos/verify_start_end_handshape_annotations//test_auto_move//signs_mov_separ_signers/Naomi_1289.mov","MOV")</f>
        <v>21</v>
      </c>
    </row>
    <row r="5910" s="2" customFormat="1" ht="13.5" customHeight="1">
      <c r="B5910" s="13"/>
      <c r="C5910" t="s" s="9">
        <v>30</v>
      </c>
      <c r="D5910" t="s" s="8">
        <v>2014</v>
      </c>
      <c r="E5910" t="s" s="9">
        <v>2014</v>
      </c>
      <c r="F5910" t="s" s="10">
        <v>287</v>
      </c>
      <c r="G5910" s="14"/>
      <c r="H5910" t="s" s="10">
        <v>287</v>
      </c>
      <c r="I5910" s="14"/>
      <c r="J5910" t="s" s="11">
        <v>20</v>
      </c>
      <c r="K5910" s="15"/>
      <c r="L5910" t="s" s="16">
        <f>HYPERLINK("http://csr.bu.edu/ftp/asl/asllvd/demos/verify_start_end_handshape_annotations//test_auto_move//signs_mov_separ_signers/Brady_1289.mov","MOV")</f>
        <v>21</v>
      </c>
      <c r="M5910" t="s" s="10">
        <v>39</v>
      </c>
      <c r="N5910" s="17">
        <v>42</v>
      </c>
      <c r="O5910" s="18">
        <v>3080</v>
      </c>
      <c r="P5910" s="18">
        <v>3109</v>
      </c>
      <c r="Q5910" s="15"/>
      <c r="R5910" t="s" s="16">
        <f>HYPERLINK("http://secrets.rutgers.edu:8080/data/asl-ftp/asllvd/demos/verify_start_end_handshape_annotations//test_auto_move//signs_mov_separ_signers/Brady_1289.mov","MOV")</f>
        <v>21</v>
      </c>
    </row>
    <row r="5911" s="2" customFormat="1" ht="13.5" customHeight="1">
      <c r="B5911" t="s" s="8">
        <v>2015</v>
      </c>
      <c r="C5911" t="s" s="9">
        <v>14</v>
      </c>
      <c r="D5911" t="s" s="8">
        <v>14</v>
      </c>
      <c r="E5911" t="s" s="9">
        <v>14</v>
      </c>
      <c r="F5911" t="s" s="10">
        <v>14</v>
      </c>
      <c r="G5911" t="s" s="11">
        <v>14</v>
      </c>
      <c r="H5911" t="s" s="10">
        <v>14</v>
      </c>
      <c r="I5911" t="s" s="11">
        <v>14</v>
      </c>
      <c r="J5911" t="s" s="11">
        <v>14</v>
      </c>
      <c r="K5911" t="s" s="12">
        <v>14</v>
      </c>
      <c r="L5911" t="s" s="12">
        <v>14</v>
      </c>
      <c r="M5911" t="s" s="10">
        <v>14</v>
      </c>
      <c r="N5911" t="s" s="11">
        <v>14</v>
      </c>
      <c r="O5911" t="s" s="8">
        <v>14</v>
      </c>
      <c r="P5911" t="s" s="8">
        <v>14</v>
      </c>
      <c r="Q5911" t="s" s="12">
        <v>14</v>
      </c>
      <c r="R5911" t="s" s="12">
        <v>14</v>
      </c>
    </row>
    <row r="5912" s="2" customFormat="1" ht="13.5" customHeight="1">
      <c r="B5912" s="13"/>
      <c r="C5912" t="s" s="9">
        <v>16</v>
      </c>
      <c r="D5912" t="s" s="8">
        <v>2015</v>
      </c>
      <c r="E5912" t="s" s="9">
        <v>2016</v>
      </c>
      <c r="F5912" t="s" s="10">
        <v>148</v>
      </c>
      <c r="G5912" s="14"/>
      <c r="H5912" t="s" s="10">
        <v>119</v>
      </c>
      <c r="I5912" s="14"/>
      <c r="J5912" t="s" s="11">
        <v>20</v>
      </c>
      <c r="K5912" s="15"/>
      <c r="L5912" t="s" s="16">
        <f>HYPERLINK("http://csr.bu.edu/ftp/asl/asllvd/demos/verify_start_end_handshape_annotations//test_auto_move//signs_mov_separ_signers/Liz_1290.mov","MOV")</f>
        <v>21</v>
      </c>
      <c r="M5912" t="s" s="10">
        <v>34</v>
      </c>
      <c r="N5912" s="17">
        <v>36</v>
      </c>
      <c r="O5912" s="18">
        <v>255</v>
      </c>
      <c r="P5912" s="18">
        <v>282</v>
      </c>
      <c r="Q5912" s="15"/>
      <c r="R5912" t="s" s="16">
        <f>HYPERLINK("http://secrets.rutgers.edu:8080/data/asl-ftp/asllvd/demos/verify_start_end_handshape_annotations//test_auto_move//signs_mov_separ_signers/Liz_1290.mov","MOV")</f>
        <v>21</v>
      </c>
    </row>
    <row r="5913" s="2" customFormat="1" ht="13.5" customHeight="1">
      <c r="B5913" s="13"/>
      <c r="C5913" t="s" s="9">
        <v>16</v>
      </c>
      <c r="D5913" t="s" s="8">
        <v>2015</v>
      </c>
      <c r="E5913" t="s" s="9">
        <v>2016</v>
      </c>
      <c r="F5913" t="s" s="10">
        <v>1352</v>
      </c>
      <c r="G5913" s="14"/>
      <c r="H5913" t="s" s="10">
        <v>119</v>
      </c>
      <c r="I5913" s="14"/>
      <c r="J5913" t="s" s="11">
        <v>20</v>
      </c>
      <c r="K5913" s="15"/>
      <c r="L5913" t="s" s="16">
        <f>HYPERLINK("http://csr.bu.edu/ftp/asl/asllvd/demos/verify_start_end_handshape_annotations//test_auto_move//signs_mov_separ_signers/Liz_15091.mov","MOV")</f>
        <v>21</v>
      </c>
      <c r="M5913" t="s" s="10">
        <v>77</v>
      </c>
      <c r="N5913" s="17">
        <v>30</v>
      </c>
      <c r="O5913" s="18">
        <v>3106</v>
      </c>
      <c r="P5913" s="18">
        <v>3145</v>
      </c>
      <c r="Q5913" s="15"/>
      <c r="R5913" t="s" s="16">
        <f>HYPERLINK("http://secrets.rutgers.edu:8080/data/asl-ftp/asllvd/demos/verify_start_end_handshape_annotations//test_auto_move//signs_mov_separ_signers/Liz_15091.mov","MOV")</f>
        <v>21</v>
      </c>
    </row>
    <row r="5914" s="2" customFormat="1" ht="13.5" customHeight="1">
      <c r="B5914" s="13"/>
      <c r="C5914" t="s" s="9">
        <v>23</v>
      </c>
      <c r="D5914" t="s" s="8">
        <v>2015</v>
      </c>
      <c r="E5914" t="s" s="9">
        <v>2017</v>
      </c>
      <c r="F5914" t="s" s="10">
        <v>148</v>
      </c>
      <c r="G5914" s="14"/>
      <c r="H5914" t="s" s="10">
        <v>158</v>
      </c>
      <c r="I5914" s="14"/>
      <c r="J5914" t="s" s="11">
        <v>20</v>
      </c>
      <c r="K5914" s="15"/>
      <c r="L5914" t="s" s="16">
        <f>HYPERLINK("http://csr.bu.edu/ftp/asl/asllvd/demos/verify_start_end_handshape_annotations//test_auto_move//signs_mov_separ_signers/Tyler_1290.mov","MOV")</f>
        <v>21</v>
      </c>
      <c r="M5914" t="s" s="10">
        <v>37</v>
      </c>
      <c r="N5914" s="17">
        <v>9</v>
      </c>
      <c r="O5914" s="18">
        <v>5510</v>
      </c>
      <c r="P5914" s="18">
        <v>5552</v>
      </c>
      <c r="Q5914" s="15"/>
      <c r="R5914" t="s" s="16">
        <f>HYPERLINK("http://secrets.rutgers.edu:8080/data/asl-ftp/asllvd/demos/verify_start_end_handshape_annotations//test_auto_move//signs_mov_separ_signers/Tyler_1290.mov","MOV")</f>
        <v>21</v>
      </c>
    </row>
    <row r="5915" s="2" customFormat="1" ht="13.5" customHeight="1">
      <c r="B5915" s="13"/>
      <c r="C5915" t="s" s="9">
        <v>27</v>
      </c>
      <c r="D5915" t="s" s="8">
        <v>2015</v>
      </c>
      <c r="E5915" t="s" s="9">
        <v>2016</v>
      </c>
      <c r="F5915" t="s" s="10">
        <v>148</v>
      </c>
      <c r="G5915" s="14"/>
      <c r="H5915" t="s" s="10">
        <v>119</v>
      </c>
      <c r="I5915" s="14"/>
      <c r="J5915" t="s" s="11">
        <v>20</v>
      </c>
      <c r="K5915" t="s" s="16">
        <f>HYPERLINK("http://csr.bu.edu/ftp/asl/asllvd/demos/verify_start_end_handshape_annotations//test_auto_move//signs_mov/1290_15091_merged.mov","MOV")</f>
        <v>21</v>
      </c>
      <c r="L5915" t="s" s="16">
        <f>HYPERLINK("http://csr.bu.edu/ftp/asl/asllvd/demos/verify_start_end_handshape_annotations//test_auto_move//signs_mov_separ_signers/Naomi_1290.mov","MOV")</f>
        <v>21</v>
      </c>
      <c r="M5915" t="s" s="10">
        <v>38</v>
      </c>
      <c r="N5915" s="17">
        <v>29</v>
      </c>
      <c r="O5915" s="18">
        <v>5007</v>
      </c>
      <c r="P5915" s="18">
        <v>5037</v>
      </c>
      <c r="Q5915" t="s" s="16">
        <f>HYPERLINK("http://secrets.rutgers.edu:8080/data/asl-ftp/asllvd/demos/verify_start_end_handshape_annotations//test_auto_move//signs_mov/1290_15091_merged.mov","MOV")</f>
        <v>21</v>
      </c>
      <c r="R5915" t="s" s="16">
        <f>HYPERLINK("http://secrets.rutgers.edu:8080/data/asl-ftp/asllvd/demos/verify_start_end_handshape_annotations//test_auto_move//signs_mov_separ_signers/Naomi_1290.mov","MOV")</f>
        <v>21</v>
      </c>
    </row>
    <row r="5916" s="2" customFormat="1" ht="13.5" customHeight="1">
      <c r="B5916" s="13"/>
      <c r="C5916" t="s" s="9">
        <v>30</v>
      </c>
      <c r="D5916" t="s" s="8">
        <v>2015</v>
      </c>
      <c r="E5916" t="s" s="9">
        <v>2016</v>
      </c>
      <c r="F5916" t="s" s="10">
        <v>148</v>
      </c>
      <c r="G5916" s="14"/>
      <c r="H5916" t="s" s="10">
        <v>119</v>
      </c>
      <c r="I5916" s="14"/>
      <c r="J5916" t="s" s="11">
        <v>20</v>
      </c>
      <c r="K5916" s="15"/>
      <c r="L5916" t="s" s="16">
        <f>HYPERLINK("http://csr.bu.edu/ftp/asl/asllvd/demos/verify_start_end_handshape_annotations//test_auto_move//signs_mov_separ_signers/Brady_1290.mov","MOV")</f>
        <v>21</v>
      </c>
      <c r="M5916" t="s" s="10">
        <v>39</v>
      </c>
      <c r="N5916" s="17">
        <v>42</v>
      </c>
      <c r="O5916" s="18">
        <v>3280</v>
      </c>
      <c r="P5916" s="18">
        <v>3307</v>
      </c>
      <c r="Q5916" s="15"/>
      <c r="R5916" t="s" s="16">
        <f>HYPERLINK("http://secrets.rutgers.edu:8080/data/asl-ftp/asllvd/demos/verify_start_end_handshape_annotations//test_auto_move//signs_mov_separ_signers/Brady_1290.mov","MOV")</f>
        <v>21</v>
      </c>
    </row>
    <row r="5917" s="2" customFormat="1" ht="13.5" customHeight="1">
      <c r="B5917" s="13"/>
      <c r="C5917" t="s" s="9">
        <v>30</v>
      </c>
      <c r="D5917" t="s" s="8">
        <v>2015</v>
      </c>
      <c r="E5917" t="s" s="9">
        <v>2016</v>
      </c>
      <c r="F5917" t="s" s="10">
        <v>1352</v>
      </c>
      <c r="G5917" s="14"/>
      <c r="H5917" t="s" s="10">
        <v>119</v>
      </c>
      <c r="I5917" s="14"/>
      <c r="J5917" t="s" s="11">
        <v>20</v>
      </c>
      <c r="K5917" s="15"/>
      <c r="L5917" t="s" s="16">
        <f>HYPERLINK("http://csr.bu.edu/ftp/asl/asllvd/demos/verify_start_end_handshape_annotations//test_auto_move//signs_mov_separ_signers/Brady_15091.mov","MOV")</f>
        <v>21</v>
      </c>
      <c r="M5917" t="s" s="10">
        <v>39</v>
      </c>
      <c r="N5917" s="17">
        <v>43</v>
      </c>
      <c r="O5917" s="18">
        <v>1850</v>
      </c>
      <c r="P5917" s="18">
        <v>1871</v>
      </c>
      <c r="Q5917" s="15"/>
      <c r="R5917" t="s" s="16">
        <f>HYPERLINK("http://secrets.rutgers.edu:8080/data/asl-ftp/asllvd/demos/verify_start_end_handshape_annotations//test_auto_move//signs_mov_separ_signers/Brady_15091.mov","MOV")</f>
        <v>21</v>
      </c>
    </row>
    <row r="5918" s="2" customFormat="1" ht="13.5" customHeight="1">
      <c r="B5918" s="13"/>
      <c r="C5918" t="s" s="9">
        <v>41</v>
      </c>
      <c r="D5918" t="s" s="8">
        <v>2015</v>
      </c>
      <c r="E5918" t="s" s="9">
        <v>2016</v>
      </c>
      <c r="F5918" t="s" s="10">
        <v>148</v>
      </c>
      <c r="G5918" s="14"/>
      <c r="H5918" t="s" s="10">
        <v>119</v>
      </c>
      <c r="I5918" s="14"/>
      <c r="J5918" t="s" s="11">
        <v>20</v>
      </c>
      <c r="K5918" s="15"/>
      <c r="L5918" t="s" s="16">
        <f>HYPERLINK("http://csr.bu.edu/ftp/asl/asllvd/demos/verify_start_end_handshape_annotations//test_auto_move//signs_mov_separ_signers/Lana_1290.mov","MOV")</f>
        <v>21</v>
      </c>
      <c r="M5918" t="s" s="10">
        <v>42</v>
      </c>
      <c r="N5918" s="17">
        <v>15</v>
      </c>
      <c r="O5918" s="18">
        <v>2357</v>
      </c>
      <c r="P5918" s="18">
        <v>2387</v>
      </c>
      <c r="Q5918" s="15"/>
      <c r="R5918" t="s" s="16">
        <f>HYPERLINK("http://secrets.rutgers.edu:8080/data/asl-ftp/asllvd/demos/verify_start_end_handshape_annotations//test_auto_move//signs_mov_separ_signers/Lana_1290.mov","MOV")</f>
        <v>21</v>
      </c>
    </row>
    <row r="5919" s="2" customFormat="1" ht="13.5" customHeight="1">
      <c r="B5919" s="13"/>
      <c r="C5919" t="s" s="9">
        <v>43</v>
      </c>
      <c r="D5919" t="s" s="8">
        <v>2015</v>
      </c>
      <c r="E5919" t="s" s="9">
        <v>2017</v>
      </c>
      <c r="F5919" t="s" s="10">
        <v>148</v>
      </c>
      <c r="G5919" s="14"/>
      <c r="H5919" t="s" s="10">
        <v>119</v>
      </c>
      <c r="I5919" s="14"/>
      <c r="J5919" t="s" s="11">
        <v>20</v>
      </c>
      <c r="K5919" s="15"/>
      <c r="L5919" t="s" s="16">
        <f>HYPERLINK("http://csr.bu.edu/ftp/asl/asllvd/demos/verify_start_end_handshape_annotations//test_auto_move//signs_mov_separ_signers/Dana_1290.mov","MOV")</f>
        <v>21</v>
      </c>
      <c r="M5919" t="s" s="10">
        <v>44</v>
      </c>
      <c r="N5919" s="17">
        <v>18</v>
      </c>
      <c r="O5919" s="18">
        <v>2338</v>
      </c>
      <c r="P5919" s="18">
        <v>2397</v>
      </c>
      <c r="Q5919" s="15"/>
      <c r="R5919" t="s" s="16">
        <f>HYPERLINK("http://secrets.rutgers.edu:8080/data/asl-ftp/asllvd/demos/verify_start_end_handshape_annotations//test_auto_move//signs_mov_separ_signers/Dana_1290.mov","MOV")</f>
        <v>21</v>
      </c>
    </row>
    <row r="5920" s="2" customFormat="1" ht="13.5" customHeight="1">
      <c r="B5920" t="s" s="8">
        <v>2018</v>
      </c>
      <c r="C5920" t="s" s="9">
        <v>14</v>
      </c>
      <c r="D5920" t="s" s="8">
        <v>14</v>
      </c>
      <c r="E5920" t="s" s="9">
        <v>14</v>
      </c>
      <c r="F5920" t="s" s="10">
        <v>14</v>
      </c>
      <c r="G5920" t="s" s="11">
        <v>14</v>
      </c>
      <c r="H5920" t="s" s="10">
        <v>14</v>
      </c>
      <c r="I5920" t="s" s="11">
        <v>14</v>
      </c>
      <c r="J5920" t="s" s="11">
        <v>14</v>
      </c>
      <c r="K5920" t="s" s="12">
        <v>14</v>
      </c>
      <c r="L5920" t="s" s="12">
        <v>14</v>
      </c>
      <c r="M5920" t="s" s="10">
        <v>14</v>
      </c>
      <c r="N5920" t="s" s="11">
        <v>14</v>
      </c>
      <c r="O5920" t="s" s="8">
        <v>14</v>
      </c>
      <c r="P5920" t="s" s="8">
        <v>14</v>
      </c>
      <c r="Q5920" t="s" s="12">
        <v>14</v>
      </c>
      <c r="R5920" t="s" s="12">
        <v>14</v>
      </c>
    </row>
    <row r="5921" s="2" customFormat="1" ht="13.5" customHeight="1">
      <c r="B5921" s="13"/>
      <c r="C5921" t="s" s="9">
        <v>16</v>
      </c>
      <c r="D5921" t="s" s="8">
        <v>2018</v>
      </c>
      <c r="E5921" t="s" s="9">
        <v>2018</v>
      </c>
      <c r="F5921" t="s" s="10">
        <v>55</v>
      </c>
      <c r="G5921" s="14"/>
      <c r="H5921" t="s" s="10">
        <v>55</v>
      </c>
      <c r="I5921" s="14"/>
      <c r="J5921" t="s" s="11">
        <v>20</v>
      </c>
      <c r="K5921" t="s" s="16">
        <f>HYPERLINK("http://csr.bu.edu/ftp/asl/asllvd/demos/verify_start_end_handshape_annotations//test_auto_move//signs_mov/1291.mov","MOV")</f>
        <v>21</v>
      </c>
      <c r="L5921" t="s" s="16">
        <f>HYPERLINK("http://csr.bu.edu/ftp/asl/asllvd/demos/verify_start_end_handshape_annotations//test_auto_move//signs_mov_separ_signers/Liz_1291.mov","MOV")</f>
        <v>21</v>
      </c>
      <c r="M5921" t="s" s="10">
        <v>34</v>
      </c>
      <c r="N5921" s="17">
        <v>36</v>
      </c>
      <c r="O5921" s="18">
        <v>431</v>
      </c>
      <c r="P5921" s="18">
        <v>487</v>
      </c>
      <c r="Q5921" t="s" s="16">
        <f>HYPERLINK("http://secrets.rutgers.edu:8080/data/asl-ftp/asllvd/demos/verify_start_end_handshape_annotations//test_auto_move//signs_mov/1291.mov","MOV")</f>
        <v>21</v>
      </c>
      <c r="R5921" t="s" s="16">
        <f>HYPERLINK("http://secrets.rutgers.edu:8080/data/asl-ftp/asllvd/demos/verify_start_end_handshape_annotations//test_auto_move//signs_mov_separ_signers/Liz_1291.mov","MOV")</f>
        <v>21</v>
      </c>
    </row>
    <row r="5922" s="2" customFormat="1" ht="13.5" customHeight="1">
      <c r="B5922" s="13"/>
      <c r="C5922" t="s" s="9">
        <v>30</v>
      </c>
      <c r="D5922" t="s" s="8">
        <v>2018</v>
      </c>
      <c r="E5922" t="s" s="9">
        <v>2018</v>
      </c>
      <c r="F5922" t="s" s="10">
        <v>152</v>
      </c>
      <c r="G5922" s="14"/>
      <c r="H5922" t="s" s="10">
        <v>152</v>
      </c>
      <c r="I5922" s="14"/>
      <c r="J5922" t="s" s="11">
        <v>20</v>
      </c>
      <c r="K5922" s="15"/>
      <c r="L5922" t="s" s="16">
        <f>HYPERLINK("http://csr.bu.edu/ftp/asl/asllvd/demos/verify_start_end_handshape_annotations//test_auto_move//signs_mov_separ_signers/Brady_1291.mov","MOV")</f>
        <v>21</v>
      </c>
      <c r="M5922" t="s" s="10">
        <v>39</v>
      </c>
      <c r="N5922" s="17">
        <v>42</v>
      </c>
      <c r="O5922" s="18">
        <v>3836</v>
      </c>
      <c r="P5922" s="18">
        <v>3870</v>
      </c>
      <c r="Q5922" s="15"/>
      <c r="R5922" t="s" s="16">
        <f>HYPERLINK("http://secrets.rutgers.edu:8080/data/asl-ftp/asllvd/demos/verify_start_end_handshape_annotations//test_auto_move//signs_mov_separ_signers/Brady_1291.mov","MOV")</f>
        <v>21</v>
      </c>
    </row>
    <row r="5923" s="2" customFormat="1" ht="13.5" customHeight="1">
      <c r="B5923" t="s" s="8">
        <v>2019</v>
      </c>
      <c r="C5923" t="s" s="9">
        <v>14</v>
      </c>
      <c r="D5923" t="s" s="8">
        <v>14</v>
      </c>
      <c r="E5923" t="s" s="9">
        <v>14</v>
      </c>
      <c r="F5923" t="s" s="10">
        <v>14</v>
      </c>
      <c r="G5923" t="s" s="11">
        <v>14</v>
      </c>
      <c r="H5923" t="s" s="10">
        <v>14</v>
      </c>
      <c r="I5923" t="s" s="11">
        <v>14</v>
      </c>
      <c r="J5923" t="s" s="11">
        <v>14</v>
      </c>
      <c r="K5923" t="s" s="12">
        <v>14</v>
      </c>
      <c r="L5923" t="s" s="12">
        <v>14</v>
      </c>
      <c r="M5923" t="s" s="10">
        <v>14</v>
      </c>
      <c r="N5923" t="s" s="11">
        <v>14</v>
      </c>
      <c r="O5923" t="s" s="8">
        <v>14</v>
      </c>
      <c r="P5923" t="s" s="8">
        <v>14</v>
      </c>
      <c r="Q5923" t="s" s="12">
        <v>14</v>
      </c>
      <c r="R5923" t="s" s="12">
        <v>14</v>
      </c>
    </row>
    <row r="5924" s="2" customFormat="1" ht="13.5" customHeight="1">
      <c r="B5924" s="13"/>
      <c r="C5924" t="s" s="9">
        <v>16</v>
      </c>
      <c r="D5924" t="s" s="8">
        <v>2019</v>
      </c>
      <c r="E5924" t="s" s="9">
        <v>2020</v>
      </c>
      <c r="F5924" t="s" s="10">
        <v>73</v>
      </c>
      <c r="G5924" t="s" s="11">
        <v>73</v>
      </c>
      <c r="H5924" t="s" s="10">
        <v>73</v>
      </c>
      <c r="I5924" t="s" s="11">
        <v>73</v>
      </c>
      <c r="J5924" t="s" s="11">
        <v>20</v>
      </c>
      <c r="K5924" s="15"/>
      <c r="L5924" t="s" s="16">
        <f>HYPERLINK("http://csr.bu.edu/ftp/asl/asllvd/demos/verify_start_end_handshape_annotations//test_auto_move//signs_mov_separ_signers/Liz_1292.mov","MOV")</f>
        <v>21</v>
      </c>
      <c r="M5924" t="s" s="10">
        <v>34</v>
      </c>
      <c r="N5924" s="17">
        <v>36</v>
      </c>
      <c r="O5924" s="18">
        <v>685</v>
      </c>
      <c r="P5924" s="18">
        <v>726</v>
      </c>
      <c r="Q5924" s="15"/>
      <c r="R5924" t="s" s="16">
        <f>HYPERLINK("http://secrets.rutgers.edu:8080/data/asl-ftp/asllvd/demos/verify_start_end_handshape_annotations//test_auto_move//signs_mov_separ_signers/Liz_1292.mov","MOV")</f>
        <v>21</v>
      </c>
    </row>
    <row r="5925" s="2" customFormat="1" ht="13.5" customHeight="1">
      <c r="B5925" s="13"/>
      <c r="C5925" t="s" s="9">
        <v>16</v>
      </c>
      <c r="D5925" t="s" s="8">
        <v>2019</v>
      </c>
      <c r="E5925" t="s" s="9">
        <v>2019</v>
      </c>
      <c r="F5925" t="s" s="10">
        <v>73</v>
      </c>
      <c r="G5925" t="s" s="11">
        <v>73</v>
      </c>
      <c r="H5925" t="s" s="10">
        <v>80</v>
      </c>
      <c r="I5925" t="s" s="11">
        <v>73</v>
      </c>
      <c r="J5925" t="s" s="11">
        <v>20</v>
      </c>
      <c r="K5925" s="15"/>
      <c r="L5925" t="s" s="16">
        <f>HYPERLINK("http://csr.bu.edu/ftp/asl/asllvd/demos/verify_start_end_handshape_annotations//test_auto_move//signs_mov_separ_signers/Liz_3436.mov","MOV")</f>
        <v>21</v>
      </c>
      <c r="M5925" t="s" s="10">
        <v>77</v>
      </c>
      <c r="N5925" s="17">
        <v>23</v>
      </c>
      <c r="O5925" s="18">
        <v>1590</v>
      </c>
      <c r="P5925" s="18">
        <v>1638</v>
      </c>
      <c r="Q5925" s="15"/>
      <c r="R5925" t="s" s="16">
        <f>HYPERLINK("http://secrets.rutgers.edu:8080/data/asl-ftp/asllvd/demos/verify_start_end_handshape_annotations//test_auto_move//signs_mov_separ_signers/Liz_3436.mov","MOV")</f>
        <v>21</v>
      </c>
    </row>
    <row r="5926" s="2" customFormat="1" ht="13.5" customHeight="1">
      <c r="B5926" s="13"/>
      <c r="C5926" t="s" s="9">
        <v>23</v>
      </c>
      <c r="D5926" t="s" s="8">
        <v>2019</v>
      </c>
      <c r="E5926" t="s" s="9">
        <v>2021</v>
      </c>
      <c r="F5926" t="s" s="10">
        <v>73</v>
      </c>
      <c r="G5926" t="s" s="11">
        <v>73</v>
      </c>
      <c r="H5926" t="s" s="10">
        <v>73</v>
      </c>
      <c r="I5926" t="s" s="11">
        <v>73</v>
      </c>
      <c r="J5926" t="s" s="11">
        <v>20</v>
      </c>
      <c r="K5926" t="s" s="16">
        <f>HYPERLINK("http://csr.bu.edu/ftp/asl/asllvd/demos/verify_start_end_handshape_annotations//test_auto_move//signs_mov/1292_3436_merged.mov","MOV")</f>
        <v>21</v>
      </c>
      <c r="L5926" t="s" s="16">
        <f>HYPERLINK("http://csr.bu.edu/ftp/asl/asllvd/demos/verify_start_end_handshape_annotations//test_auto_move//signs_mov_separ_signers/Tyler_1292.mov","MOV")</f>
        <v>21</v>
      </c>
      <c r="M5926" t="s" s="10">
        <v>37</v>
      </c>
      <c r="N5926" s="17">
        <v>10</v>
      </c>
      <c r="O5926" s="18">
        <v>820</v>
      </c>
      <c r="P5926" s="18">
        <v>857</v>
      </c>
      <c r="Q5926" t="s" s="16">
        <f>HYPERLINK("http://secrets.rutgers.edu:8080/data/asl-ftp/asllvd/demos/verify_start_end_handshape_annotations//test_auto_move//signs_mov/1292_3436_merged.mov","MOV")</f>
        <v>21</v>
      </c>
      <c r="R5926" t="s" s="16">
        <f>HYPERLINK("http://secrets.rutgers.edu:8080/data/asl-ftp/asllvd/demos/verify_start_end_handshape_annotations//test_auto_move//signs_mov_separ_signers/Tyler_1292.mov","MOV")</f>
        <v>21</v>
      </c>
    </row>
    <row r="5927" s="2" customFormat="1" ht="13.5" customHeight="1">
      <c r="B5927" s="13"/>
      <c r="C5927" t="s" s="9">
        <v>27</v>
      </c>
      <c r="D5927" t="s" s="8">
        <v>2019</v>
      </c>
      <c r="E5927" t="s" s="9">
        <v>2020</v>
      </c>
      <c r="F5927" t="s" s="10">
        <v>73</v>
      </c>
      <c r="G5927" t="s" s="11">
        <v>73</v>
      </c>
      <c r="H5927" t="s" s="10">
        <v>73</v>
      </c>
      <c r="I5927" t="s" s="11">
        <v>73</v>
      </c>
      <c r="J5927" t="s" s="11">
        <v>20</v>
      </c>
      <c r="K5927" s="15"/>
      <c r="L5927" t="s" s="16">
        <f>HYPERLINK("http://csr.bu.edu/ftp/asl/asllvd/demos/verify_start_end_handshape_annotations//test_auto_move//signs_mov_separ_signers/Naomi_1292.mov","MOV")</f>
        <v>21</v>
      </c>
      <c r="M5927" t="s" s="10">
        <v>38</v>
      </c>
      <c r="N5927" s="17">
        <v>30</v>
      </c>
      <c r="O5927" s="18">
        <v>1335</v>
      </c>
      <c r="P5927" s="18">
        <v>1375</v>
      </c>
      <c r="Q5927" s="15"/>
      <c r="R5927" t="s" s="16">
        <f>HYPERLINK("http://secrets.rutgers.edu:8080/data/asl-ftp/asllvd/demos/verify_start_end_handshape_annotations//test_auto_move//signs_mov_separ_signers/Naomi_1292.mov","MOV")</f>
        <v>21</v>
      </c>
    </row>
    <row r="5928" s="2" customFormat="1" ht="13.5" customHeight="1">
      <c r="B5928" s="13"/>
      <c r="C5928" t="s" s="9">
        <v>30</v>
      </c>
      <c r="D5928" t="s" s="8">
        <v>2019</v>
      </c>
      <c r="E5928" t="s" s="9">
        <v>2020</v>
      </c>
      <c r="F5928" t="s" s="10">
        <v>73</v>
      </c>
      <c r="G5928" t="s" s="11">
        <v>73</v>
      </c>
      <c r="H5928" t="s" s="10">
        <v>150</v>
      </c>
      <c r="I5928" t="s" s="11">
        <v>150</v>
      </c>
      <c r="J5928" t="s" s="11">
        <v>20</v>
      </c>
      <c r="K5928" s="15"/>
      <c r="L5928" t="s" s="16">
        <f>HYPERLINK("http://csr.bu.edu/ftp/asl/asllvd/demos/verify_start_end_handshape_annotations//test_auto_move//signs_mov_separ_signers/Brady_1292.mov","MOV")</f>
        <v>21</v>
      </c>
      <c r="M5928" t="s" s="10">
        <v>31</v>
      </c>
      <c r="N5928" s="17">
        <v>12</v>
      </c>
      <c r="O5928" s="18">
        <v>4106</v>
      </c>
      <c r="P5928" s="18">
        <v>4136</v>
      </c>
      <c r="Q5928" s="15"/>
      <c r="R5928" t="s" s="16">
        <f>HYPERLINK("http://secrets.rutgers.edu:8080/data/asl-ftp/asllvd/demos/verify_start_end_handshape_annotations//test_auto_move//signs_mov_separ_signers/Brady_1292.mov","MOV")</f>
        <v>21</v>
      </c>
    </row>
    <row r="5929" s="2" customFormat="1" ht="13.5" customHeight="1">
      <c r="B5929" t="s" s="8">
        <v>2022</v>
      </c>
      <c r="C5929" t="s" s="9">
        <v>14</v>
      </c>
      <c r="D5929" t="s" s="8">
        <v>14</v>
      </c>
      <c r="E5929" t="s" s="9">
        <v>14</v>
      </c>
      <c r="F5929" t="s" s="10">
        <v>14</v>
      </c>
      <c r="G5929" t="s" s="11">
        <v>14</v>
      </c>
      <c r="H5929" t="s" s="10">
        <v>14</v>
      </c>
      <c r="I5929" t="s" s="11">
        <v>14</v>
      </c>
      <c r="J5929" t="s" s="11">
        <v>14</v>
      </c>
      <c r="K5929" t="s" s="12">
        <v>14</v>
      </c>
      <c r="L5929" t="s" s="12">
        <v>14</v>
      </c>
      <c r="M5929" t="s" s="10">
        <v>14</v>
      </c>
      <c r="N5929" t="s" s="11">
        <v>14</v>
      </c>
      <c r="O5929" t="s" s="8">
        <v>14</v>
      </c>
      <c r="P5929" t="s" s="8">
        <v>14</v>
      </c>
      <c r="Q5929" t="s" s="12">
        <v>14</v>
      </c>
      <c r="R5929" t="s" s="12">
        <v>14</v>
      </c>
    </row>
    <row r="5930" s="2" customFormat="1" ht="13.5" customHeight="1">
      <c r="B5930" s="13"/>
      <c r="C5930" t="s" s="9">
        <v>16</v>
      </c>
      <c r="D5930" t="s" s="8">
        <v>2022</v>
      </c>
      <c r="E5930" t="s" s="9">
        <v>2022</v>
      </c>
      <c r="F5930" t="s" s="10">
        <v>287</v>
      </c>
      <c r="G5930" s="14"/>
      <c r="H5930" t="s" s="10">
        <v>287</v>
      </c>
      <c r="I5930" s="14"/>
      <c r="J5930" t="s" s="11">
        <v>20</v>
      </c>
      <c r="K5930" s="15"/>
      <c r="L5930" t="s" s="16">
        <f>HYPERLINK("http://csr.bu.edu/ftp/asl/asllvd/demos/verify_start_end_handshape_annotations//test_auto_move//signs_mov_separ_signers/Liz_1294.mov","MOV")</f>
        <v>21</v>
      </c>
      <c r="M5930" t="s" s="10">
        <v>34</v>
      </c>
      <c r="N5930" s="17">
        <v>36</v>
      </c>
      <c r="O5930" s="18">
        <v>1161</v>
      </c>
      <c r="P5930" s="18">
        <v>1211</v>
      </c>
      <c r="Q5930" s="15"/>
      <c r="R5930" t="s" s="16">
        <f>HYPERLINK("http://secrets.rutgers.edu:8080/data/asl-ftp/asllvd/demos/verify_start_end_handshape_annotations//test_auto_move//signs_mov_separ_signers/Liz_1294.mov","MOV")</f>
        <v>21</v>
      </c>
    </row>
    <row r="5931" s="2" customFormat="1" ht="13.5" customHeight="1">
      <c r="B5931" s="13"/>
      <c r="C5931" t="s" s="9">
        <v>16</v>
      </c>
      <c r="D5931" t="s" s="8">
        <v>2022</v>
      </c>
      <c r="E5931" t="s" s="9">
        <v>2022</v>
      </c>
      <c r="F5931" t="s" s="10">
        <v>287</v>
      </c>
      <c r="G5931" s="14"/>
      <c r="H5931" t="s" s="10">
        <v>287</v>
      </c>
      <c r="I5931" s="14"/>
      <c r="J5931" t="s" s="11">
        <v>20</v>
      </c>
      <c r="K5931" s="15"/>
      <c r="L5931" t="s" s="16">
        <f>HYPERLINK("http://csr.bu.edu/ftp/asl/asllvd/demos/verify_start_end_handshape_annotations//test_auto_move//signs_mov_separ_signers/Liz_5715.mov","MOV")</f>
        <v>21</v>
      </c>
      <c r="M5931" t="s" s="10">
        <v>77</v>
      </c>
      <c r="N5931" s="17">
        <v>22</v>
      </c>
      <c r="O5931" s="18">
        <v>149</v>
      </c>
      <c r="P5931" s="18">
        <v>201</v>
      </c>
      <c r="Q5931" s="15"/>
      <c r="R5931" t="s" s="16">
        <f>HYPERLINK("http://secrets.rutgers.edu:8080/data/asl-ftp/asllvd/demos/verify_start_end_handshape_annotations//test_auto_move//signs_mov_separ_signers/Liz_5715.mov","MOV")</f>
        <v>21</v>
      </c>
    </row>
    <row r="5932" s="2" customFormat="1" ht="13.5" customHeight="1">
      <c r="B5932" s="13"/>
      <c r="C5932" t="s" s="9">
        <v>23</v>
      </c>
      <c r="D5932" t="s" s="8">
        <v>2022</v>
      </c>
      <c r="E5932" t="s" s="9">
        <v>2022</v>
      </c>
      <c r="F5932" t="s" s="10">
        <v>287</v>
      </c>
      <c r="G5932" s="14"/>
      <c r="H5932" t="s" s="10">
        <v>287</v>
      </c>
      <c r="I5932" s="14"/>
      <c r="J5932" t="s" s="11">
        <v>20</v>
      </c>
      <c r="K5932" t="s" s="16">
        <f>HYPERLINK("http://csr.bu.edu/ftp/asl/asllvd/demos/verify_start_end_handshape_annotations//test_auto_move//signs_mov/1294_5715_merged.mov","MOV")</f>
        <v>21</v>
      </c>
      <c r="L5932" t="s" s="16">
        <f>HYPERLINK("http://csr.bu.edu/ftp/asl/asllvd/demos/verify_start_end_handshape_annotations//test_auto_move//signs_mov_separ_signers/Tyler_1294.mov","MOV")</f>
        <v>21</v>
      </c>
      <c r="M5932" t="s" s="10">
        <v>37</v>
      </c>
      <c r="N5932" s="17">
        <v>10</v>
      </c>
      <c r="O5932" s="18">
        <v>1245</v>
      </c>
      <c r="P5932" s="18">
        <v>1275</v>
      </c>
      <c r="Q5932" t="s" s="16">
        <f>HYPERLINK("http://secrets.rutgers.edu:8080/data/asl-ftp/asllvd/demos/verify_start_end_handshape_annotations//test_auto_move//signs_mov/1294_5715_merged.mov","MOV")</f>
        <v>21</v>
      </c>
      <c r="R5932" t="s" s="16">
        <f>HYPERLINK("http://secrets.rutgers.edu:8080/data/asl-ftp/asllvd/demos/verify_start_end_handshape_annotations//test_auto_move//signs_mov_separ_signers/Tyler_1294.mov","MOV")</f>
        <v>21</v>
      </c>
    </row>
    <row r="5933" s="2" customFormat="1" ht="13.5" customHeight="1">
      <c r="B5933" s="13"/>
      <c r="C5933" t="s" s="9">
        <v>27</v>
      </c>
      <c r="D5933" t="s" s="8">
        <v>2022</v>
      </c>
      <c r="E5933" t="s" s="9">
        <v>2022</v>
      </c>
      <c r="F5933" t="s" s="10">
        <v>287</v>
      </c>
      <c r="G5933" s="14"/>
      <c r="H5933" t="s" s="10">
        <v>287</v>
      </c>
      <c r="I5933" s="14"/>
      <c r="J5933" t="s" s="11">
        <v>20</v>
      </c>
      <c r="K5933" s="15"/>
      <c r="L5933" t="s" s="16">
        <f>HYPERLINK("http://csr.bu.edu/ftp/asl/asllvd/demos/verify_start_end_handshape_annotations//test_auto_move//signs_mov_separ_signers/Naomi_1294.mov","MOV")</f>
        <v>21</v>
      </c>
      <c r="M5933" t="s" s="10">
        <v>38</v>
      </c>
      <c r="N5933" s="17">
        <v>30</v>
      </c>
      <c r="O5933" s="18">
        <v>1815</v>
      </c>
      <c r="P5933" s="18">
        <v>1848</v>
      </c>
      <c r="Q5933" s="15"/>
      <c r="R5933" t="s" s="16">
        <f>HYPERLINK("http://secrets.rutgers.edu:8080/data/asl-ftp/asllvd/demos/verify_start_end_handshape_annotations//test_auto_move//signs_mov_separ_signers/Naomi_1294.mov","MOV")</f>
        <v>21</v>
      </c>
    </row>
    <row r="5934" s="2" customFormat="1" ht="13.5" customHeight="1">
      <c r="B5934" s="13"/>
      <c r="C5934" t="s" s="9">
        <v>30</v>
      </c>
      <c r="D5934" t="s" s="8">
        <v>2022</v>
      </c>
      <c r="E5934" t="s" s="9">
        <v>2022</v>
      </c>
      <c r="F5934" t="s" s="10">
        <v>287</v>
      </c>
      <c r="G5934" s="14"/>
      <c r="H5934" t="s" s="10">
        <v>287</v>
      </c>
      <c r="I5934" s="14"/>
      <c r="J5934" t="s" s="11">
        <v>20</v>
      </c>
      <c r="K5934" s="15"/>
      <c r="L5934" t="s" s="16">
        <f>HYPERLINK("http://csr.bu.edu/ftp/asl/asllvd/demos/verify_start_end_handshape_annotations//test_auto_move//signs_mov_separ_signers/Brady_1294.mov","MOV")</f>
        <v>21</v>
      </c>
      <c r="M5934" t="s" s="10">
        <v>39</v>
      </c>
      <c r="N5934" s="17">
        <v>42</v>
      </c>
      <c r="O5934" s="18">
        <v>5566</v>
      </c>
      <c r="P5934" s="18">
        <v>5595</v>
      </c>
      <c r="Q5934" s="15"/>
      <c r="R5934" t="s" s="16">
        <f>HYPERLINK("http://secrets.rutgers.edu:8080/data/asl-ftp/asllvd/demos/verify_start_end_handshape_annotations//test_auto_move//signs_mov_separ_signers/Brady_1294.mov","MOV")</f>
        <v>21</v>
      </c>
    </row>
    <row r="5935" s="2" customFormat="1" ht="13.5" customHeight="1">
      <c r="B5935" t="s" s="8">
        <v>2023</v>
      </c>
      <c r="C5935" t="s" s="9">
        <v>14</v>
      </c>
      <c r="D5935" t="s" s="8">
        <v>14</v>
      </c>
      <c r="E5935" t="s" s="9">
        <v>14</v>
      </c>
      <c r="F5935" t="s" s="10">
        <v>14</v>
      </c>
      <c r="G5935" t="s" s="11">
        <v>14</v>
      </c>
      <c r="H5935" t="s" s="10">
        <v>14</v>
      </c>
      <c r="I5935" t="s" s="11">
        <v>14</v>
      </c>
      <c r="J5935" t="s" s="11">
        <v>14</v>
      </c>
      <c r="K5935" t="s" s="12">
        <v>14</v>
      </c>
      <c r="L5935" t="s" s="12">
        <v>14</v>
      </c>
      <c r="M5935" t="s" s="10">
        <v>14</v>
      </c>
      <c r="N5935" t="s" s="11">
        <v>14</v>
      </c>
      <c r="O5935" t="s" s="8">
        <v>14</v>
      </c>
      <c r="P5935" t="s" s="8">
        <v>14</v>
      </c>
      <c r="Q5935" t="s" s="12">
        <v>14</v>
      </c>
      <c r="R5935" t="s" s="12">
        <v>14</v>
      </c>
    </row>
    <row r="5936" s="2" customFormat="1" ht="13.5" customHeight="1">
      <c r="B5936" s="13"/>
      <c r="C5936" t="s" s="9">
        <v>16</v>
      </c>
      <c r="D5936" t="s" s="8">
        <v>2023</v>
      </c>
      <c r="E5936" t="s" s="9">
        <v>2023</v>
      </c>
      <c r="F5936" t="s" s="10">
        <v>18</v>
      </c>
      <c r="G5936" s="14"/>
      <c r="H5936" t="s" s="10">
        <v>18</v>
      </c>
      <c r="I5936" s="14"/>
      <c r="J5936" t="s" s="11">
        <v>20</v>
      </c>
      <c r="K5936" s="15"/>
      <c r="L5936" t="s" s="16">
        <f>HYPERLINK("http://csr.bu.edu/ftp/asl/asllvd/demos/verify_start_end_handshape_annotations//test_auto_move//signs_mov_separ_signers/Liz_16414.mov","MOV")</f>
        <v>21</v>
      </c>
      <c r="M5936" t="s" s="10">
        <v>34</v>
      </c>
      <c r="N5936" s="17">
        <v>36</v>
      </c>
      <c r="O5936" s="18">
        <v>920</v>
      </c>
      <c r="P5936" s="18">
        <v>960</v>
      </c>
      <c r="Q5936" s="15"/>
      <c r="R5936" t="s" s="16">
        <f>HYPERLINK("http://secrets.rutgers.edu:8080/data/asl-ftp/asllvd/demos/verify_start_end_handshape_annotations//test_auto_move//signs_mov_separ_signers/Liz_16414.mov","MOV")</f>
        <v>21</v>
      </c>
    </row>
    <row r="5937" s="2" customFormat="1" ht="13.5" customHeight="1">
      <c r="B5937" s="13"/>
      <c r="C5937" t="s" s="9">
        <v>27</v>
      </c>
      <c r="D5937" t="s" s="8">
        <v>2023</v>
      </c>
      <c r="E5937" t="s" s="9">
        <v>2023</v>
      </c>
      <c r="F5937" t="s" s="10">
        <v>18</v>
      </c>
      <c r="G5937" s="14"/>
      <c r="H5937" t="s" s="10">
        <v>18</v>
      </c>
      <c r="I5937" s="14"/>
      <c r="J5937" t="s" s="11">
        <v>20</v>
      </c>
      <c r="K5937" t="s" s="16">
        <f>HYPERLINK("http://csr.bu.edu/ftp/asl/asllvd/demos/verify_start_end_handshape_annotations//test_auto_move//signs_mov/16414.mov","MOV")</f>
        <v>21</v>
      </c>
      <c r="L5937" t="s" s="16">
        <f>HYPERLINK("http://csr.bu.edu/ftp/asl/asllvd/demos/verify_start_end_handshape_annotations//test_auto_move//signs_mov_separ_signers/Naomi_16414.mov","MOV")</f>
        <v>21</v>
      </c>
      <c r="M5937" t="s" s="10">
        <v>38</v>
      </c>
      <c r="N5937" s="17">
        <v>30</v>
      </c>
      <c r="O5937" s="18">
        <v>1583</v>
      </c>
      <c r="P5937" s="18">
        <v>1611</v>
      </c>
      <c r="Q5937" t="s" s="16">
        <f>HYPERLINK("http://secrets.rutgers.edu:8080/data/asl-ftp/asllvd/demos/verify_start_end_handshape_annotations//test_auto_move//signs_mov/16414.mov","MOV")</f>
        <v>21</v>
      </c>
      <c r="R5937" t="s" s="16">
        <f>HYPERLINK("http://secrets.rutgers.edu:8080/data/asl-ftp/asllvd/demos/verify_start_end_handshape_annotations//test_auto_move//signs_mov_separ_signers/Naomi_16414.mov","MOV")</f>
        <v>21</v>
      </c>
    </row>
    <row r="5938" s="2" customFormat="1" ht="13.5" customHeight="1">
      <c r="B5938" s="13"/>
      <c r="C5938" t="s" s="9">
        <v>30</v>
      </c>
      <c r="D5938" t="s" s="8">
        <v>2023</v>
      </c>
      <c r="E5938" t="s" s="9">
        <v>2023</v>
      </c>
      <c r="F5938" t="s" s="10">
        <v>18</v>
      </c>
      <c r="G5938" s="14"/>
      <c r="H5938" t="s" s="10">
        <v>18</v>
      </c>
      <c r="I5938" s="14"/>
      <c r="J5938" t="s" s="11">
        <v>20</v>
      </c>
      <c r="K5938" s="15"/>
      <c r="L5938" t="s" s="16">
        <f>HYPERLINK("http://csr.bu.edu/ftp/asl/asllvd/demos/verify_start_end_handshape_annotations//test_auto_move//signs_mov_separ_signers/Brady_16414.mov","MOV")</f>
        <v>21</v>
      </c>
      <c r="M5938" t="s" s="10">
        <v>39</v>
      </c>
      <c r="N5938" s="17">
        <v>42</v>
      </c>
      <c r="O5938" s="18">
        <v>5346</v>
      </c>
      <c r="P5938" s="18">
        <v>5378</v>
      </c>
      <c r="Q5938" s="15"/>
      <c r="R5938" t="s" s="16">
        <f>HYPERLINK("http://secrets.rutgers.edu:8080/data/asl-ftp/asllvd/demos/verify_start_end_handshape_annotations//test_auto_move//signs_mov_separ_signers/Brady_16414.mov","MOV")</f>
        <v>21</v>
      </c>
    </row>
    <row r="5939" s="2" customFormat="1" ht="13.5" customHeight="1">
      <c r="B5939" t="s" s="8">
        <v>2024</v>
      </c>
      <c r="C5939" t="s" s="9">
        <v>14</v>
      </c>
      <c r="D5939" t="s" s="8">
        <v>14</v>
      </c>
      <c r="E5939" t="s" s="9">
        <v>14</v>
      </c>
      <c r="F5939" t="s" s="10">
        <v>14</v>
      </c>
      <c r="G5939" t="s" s="11">
        <v>14</v>
      </c>
      <c r="H5939" t="s" s="10">
        <v>14</v>
      </c>
      <c r="I5939" t="s" s="11">
        <v>14</v>
      </c>
      <c r="J5939" t="s" s="11">
        <v>14</v>
      </c>
      <c r="K5939" t="s" s="12">
        <v>14</v>
      </c>
      <c r="L5939" t="s" s="12">
        <v>14</v>
      </c>
      <c r="M5939" t="s" s="10">
        <v>14</v>
      </c>
      <c r="N5939" t="s" s="11">
        <v>14</v>
      </c>
      <c r="O5939" t="s" s="8">
        <v>14</v>
      </c>
      <c r="P5939" t="s" s="8">
        <v>14</v>
      </c>
      <c r="Q5939" t="s" s="12">
        <v>14</v>
      </c>
      <c r="R5939" t="s" s="12">
        <v>14</v>
      </c>
    </row>
    <row r="5940" s="2" customFormat="1" ht="13.5" customHeight="1">
      <c r="B5940" s="13"/>
      <c r="C5940" t="s" s="9">
        <v>16</v>
      </c>
      <c r="D5940" t="s" s="8">
        <v>2024</v>
      </c>
      <c r="E5940" t="s" s="9">
        <v>2024</v>
      </c>
      <c r="F5940" t="s" s="10">
        <v>287</v>
      </c>
      <c r="G5940" s="14"/>
      <c r="H5940" t="s" s="10">
        <v>287</v>
      </c>
      <c r="I5940" s="14"/>
      <c r="J5940" t="s" s="11">
        <v>20</v>
      </c>
      <c r="K5940" s="15"/>
      <c r="L5940" t="s" s="16">
        <f>HYPERLINK("http://csr.bu.edu/ftp/asl/asllvd/demos/verify_start_end_handshape_annotations//test_auto_move//signs_mov_separ_signers/Liz_1295.mov","MOV")</f>
        <v>21</v>
      </c>
      <c r="M5940" t="s" s="10">
        <v>34</v>
      </c>
      <c r="N5940" s="17">
        <v>36</v>
      </c>
      <c r="O5940" s="18">
        <v>1405</v>
      </c>
      <c r="P5940" s="18">
        <v>1450</v>
      </c>
      <c r="Q5940" s="15"/>
      <c r="R5940" t="s" s="16">
        <f>HYPERLINK("http://secrets.rutgers.edu:8080/data/asl-ftp/asllvd/demos/verify_start_end_handshape_annotations//test_auto_move//signs_mov_separ_signers/Liz_1295.mov","MOV")</f>
        <v>21</v>
      </c>
    </row>
    <row r="5941" s="2" customFormat="1" ht="13.5" customHeight="1">
      <c r="B5941" s="13"/>
      <c r="C5941" t="s" s="9">
        <v>23</v>
      </c>
      <c r="D5941" t="s" s="8">
        <v>2024</v>
      </c>
      <c r="E5941" t="s" s="9">
        <v>2024</v>
      </c>
      <c r="F5941" t="s" s="10">
        <v>287</v>
      </c>
      <c r="G5941" s="14"/>
      <c r="H5941" t="s" s="10">
        <v>287</v>
      </c>
      <c r="I5941" s="14"/>
      <c r="J5941" t="s" s="11">
        <v>20</v>
      </c>
      <c r="K5941" t="s" s="16">
        <f>HYPERLINK("http://csr.bu.edu/ftp/asl/asllvd/demos/verify_start_end_handshape_annotations//test_auto_move//signs_mov/1295.mov","MOV")</f>
        <v>21</v>
      </c>
      <c r="L5941" t="s" s="16">
        <f>HYPERLINK("http://csr.bu.edu/ftp/asl/asllvd/demos/verify_start_end_handshape_annotations//test_auto_move//signs_mov_separ_signers/Tyler_1295.mov","MOV")</f>
        <v>21</v>
      </c>
      <c r="M5941" t="s" s="10">
        <v>37</v>
      </c>
      <c r="N5941" s="17">
        <v>10</v>
      </c>
      <c r="O5941" s="18">
        <v>2150</v>
      </c>
      <c r="P5941" s="18">
        <v>2181</v>
      </c>
      <c r="Q5941" t="s" s="16">
        <f>HYPERLINK("http://secrets.rutgers.edu:8080/data/asl-ftp/asllvd/demos/verify_start_end_handshape_annotations//test_auto_move//signs_mov/1295.mov","MOV")</f>
        <v>21</v>
      </c>
      <c r="R5941" t="s" s="16">
        <f>HYPERLINK("http://secrets.rutgers.edu:8080/data/asl-ftp/asllvd/demos/verify_start_end_handshape_annotations//test_auto_move//signs_mov_separ_signers/Tyler_1295.mov","MOV")</f>
        <v>21</v>
      </c>
    </row>
    <row r="5942" s="2" customFormat="1" ht="13.5" customHeight="1">
      <c r="B5942" s="13"/>
      <c r="C5942" t="s" s="9">
        <v>30</v>
      </c>
      <c r="D5942" t="s" s="8">
        <v>2024</v>
      </c>
      <c r="E5942" t="s" s="9">
        <v>2024</v>
      </c>
      <c r="F5942" t="s" s="10">
        <v>287</v>
      </c>
      <c r="G5942" s="14"/>
      <c r="H5942" t="s" s="10">
        <v>287</v>
      </c>
      <c r="I5942" s="14"/>
      <c r="J5942" t="s" s="11">
        <v>20</v>
      </c>
      <c r="K5942" s="15"/>
      <c r="L5942" t="s" s="16">
        <f>HYPERLINK("http://csr.bu.edu/ftp/asl/asllvd/demos/verify_start_end_handshape_annotations//test_auto_move//signs_mov_separ_signers/Brady_1295.mov","MOV")</f>
        <v>21</v>
      </c>
      <c r="M5942" t="s" s="10">
        <v>39</v>
      </c>
      <c r="N5942" s="17">
        <v>42</v>
      </c>
      <c r="O5942" s="18">
        <v>5765</v>
      </c>
      <c r="P5942" s="18">
        <v>5785</v>
      </c>
      <c r="Q5942" s="15"/>
      <c r="R5942" t="s" s="16">
        <f>HYPERLINK("http://secrets.rutgers.edu:8080/data/asl-ftp/asllvd/demos/verify_start_end_handshape_annotations//test_auto_move//signs_mov_separ_signers/Brady_1295.mov","MOV")</f>
        <v>21</v>
      </c>
    </row>
    <row r="5943" s="2" customFormat="1" ht="13.5" customHeight="1">
      <c r="B5943" t="s" s="8">
        <v>2025</v>
      </c>
      <c r="C5943" t="s" s="9">
        <v>14</v>
      </c>
      <c r="D5943" t="s" s="8">
        <v>14</v>
      </c>
      <c r="E5943" t="s" s="9">
        <v>14</v>
      </c>
      <c r="F5943" t="s" s="10">
        <v>14</v>
      </c>
      <c r="G5943" t="s" s="11">
        <v>14</v>
      </c>
      <c r="H5943" t="s" s="10">
        <v>14</v>
      </c>
      <c r="I5943" t="s" s="11">
        <v>14</v>
      </c>
      <c r="J5943" t="s" s="11">
        <v>14</v>
      </c>
      <c r="K5943" t="s" s="12">
        <v>14</v>
      </c>
      <c r="L5943" t="s" s="12">
        <v>14</v>
      </c>
      <c r="M5943" t="s" s="10">
        <v>14</v>
      </c>
      <c r="N5943" t="s" s="11">
        <v>14</v>
      </c>
      <c r="O5943" t="s" s="8">
        <v>14</v>
      </c>
      <c r="P5943" t="s" s="8">
        <v>14</v>
      </c>
      <c r="Q5943" t="s" s="12">
        <v>14</v>
      </c>
      <c r="R5943" t="s" s="12">
        <v>14</v>
      </c>
    </row>
    <row r="5944" s="2" customFormat="1" ht="13.5" customHeight="1">
      <c r="B5944" s="13"/>
      <c r="C5944" t="s" s="9">
        <v>16</v>
      </c>
      <c r="D5944" t="s" s="8">
        <v>2025</v>
      </c>
      <c r="E5944" t="s" s="9">
        <v>2025</v>
      </c>
      <c r="F5944" t="s" s="10">
        <v>73</v>
      </c>
      <c r="G5944" t="s" s="11">
        <v>55</v>
      </c>
      <c r="H5944" t="s" s="10">
        <v>80</v>
      </c>
      <c r="I5944" t="s" s="11">
        <v>55</v>
      </c>
      <c r="J5944" t="s" s="11">
        <v>20</v>
      </c>
      <c r="K5944" s="15"/>
      <c r="L5944" t="s" s="16">
        <f>HYPERLINK("http://csr.bu.edu/ftp/asl/asllvd/demos/verify_start_end_handshape_annotations//test_auto_move//signs_mov_separ_signers/Liz_1296.mov","MOV")</f>
        <v>21</v>
      </c>
      <c r="M5944" t="s" s="10">
        <v>34</v>
      </c>
      <c r="N5944" s="17">
        <v>36</v>
      </c>
      <c r="O5944" s="18">
        <v>1651</v>
      </c>
      <c r="P5944" s="18">
        <v>1700</v>
      </c>
      <c r="Q5944" s="15"/>
      <c r="R5944" t="s" s="16">
        <f>HYPERLINK("http://secrets.rutgers.edu:8080/data/asl-ftp/asllvd/demos/verify_start_end_handshape_annotations//test_auto_move//signs_mov_separ_signers/Liz_1296.mov","MOV")</f>
        <v>21</v>
      </c>
    </row>
    <row r="5945" s="2" customFormat="1" ht="13.5" customHeight="1">
      <c r="B5945" s="13"/>
      <c r="C5945" t="s" s="9">
        <v>23</v>
      </c>
      <c r="D5945" t="s" s="8">
        <v>2025</v>
      </c>
      <c r="E5945" t="s" s="9">
        <v>2025</v>
      </c>
      <c r="F5945" t="s" s="10">
        <v>73</v>
      </c>
      <c r="G5945" t="s" s="11">
        <v>55</v>
      </c>
      <c r="H5945" t="s" s="10">
        <v>80</v>
      </c>
      <c r="I5945" t="s" s="11">
        <v>55</v>
      </c>
      <c r="J5945" t="s" s="11">
        <v>20</v>
      </c>
      <c r="K5945" t="s" s="16">
        <f>HYPERLINK("http://csr.bu.edu/ftp/asl/asllvd/demos/verify_start_end_handshape_annotations//test_auto_move//signs_mov/1296.mov","MOV")</f>
        <v>21</v>
      </c>
      <c r="L5945" t="s" s="16">
        <f>HYPERLINK("http://csr.bu.edu/ftp/asl/asllvd/demos/verify_start_end_handshape_annotations//test_auto_move//signs_mov_separ_signers/Tyler_1296.mov","MOV")</f>
        <v>21</v>
      </c>
      <c r="M5945" t="s" s="10">
        <v>37</v>
      </c>
      <c r="N5945" s="17">
        <v>10</v>
      </c>
      <c r="O5945" s="18">
        <v>2360</v>
      </c>
      <c r="P5945" s="18">
        <v>2385</v>
      </c>
      <c r="Q5945" t="s" s="16">
        <f>HYPERLINK("http://secrets.rutgers.edu:8080/data/asl-ftp/asllvd/demos/verify_start_end_handshape_annotations//test_auto_move//signs_mov/1296.mov","MOV")</f>
        <v>21</v>
      </c>
      <c r="R5945" t="s" s="16">
        <f>HYPERLINK("http://secrets.rutgers.edu:8080/data/asl-ftp/asllvd/demos/verify_start_end_handshape_annotations//test_auto_move//signs_mov_separ_signers/Tyler_1296.mov","MOV")</f>
        <v>21</v>
      </c>
    </row>
    <row r="5946" s="2" customFormat="1" ht="13.5" customHeight="1">
      <c r="B5946" s="13"/>
      <c r="C5946" t="s" s="9">
        <v>27</v>
      </c>
      <c r="D5946" t="s" s="8">
        <v>2025</v>
      </c>
      <c r="E5946" t="s" s="9">
        <v>2025</v>
      </c>
      <c r="F5946" t="s" s="10">
        <v>73</v>
      </c>
      <c r="G5946" t="s" s="11">
        <v>55</v>
      </c>
      <c r="H5946" t="s" s="10">
        <v>80</v>
      </c>
      <c r="I5946" t="s" s="11">
        <v>55</v>
      </c>
      <c r="J5946" t="s" s="11">
        <v>20</v>
      </c>
      <c r="K5946" s="15"/>
      <c r="L5946" t="s" s="16">
        <f>HYPERLINK("http://csr.bu.edu/ftp/asl/asllvd/demos/verify_start_end_handshape_annotations//test_auto_move//signs_mov_separ_signers/Naomi_1296.mov","MOV")</f>
        <v>21</v>
      </c>
      <c r="M5946" t="s" s="10">
        <v>38</v>
      </c>
      <c r="N5946" s="17">
        <v>30</v>
      </c>
      <c r="O5946" s="18">
        <v>2367</v>
      </c>
      <c r="P5946" s="18">
        <v>2392</v>
      </c>
      <c r="Q5946" s="15"/>
      <c r="R5946" t="s" s="16">
        <f>HYPERLINK("http://secrets.rutgers.edu:8080/data/asl-ftp/asllvd/demos/verify_start_end_handshape_annotations//test_auto_move//signs_mov_separ_signers/Naomi_1296.mov","MOV")</f>
        <v>21</v>
      </c>
    </row>
    <row r="5947" s="2" customFormat="1" ht="13.5" customHeight="1">
      <c r="B5947" s="13"/>
      <c r="C5947" t="s" s="9">
        <v>30</v>
      </c>
      <c r="D5947" t="s" s="8">
        <v>2025</v>
      </c>
      <c r="E5947" t="s" s="9">
        <v>2025</v>
      </c>
      <c r="F5947" t="s" s="10">
        <v>73</v>
      </c>
      <c r="G5947" t="s" s="11">
        <v>55</v>
      </c>
      <c r="H5947" t="s" s="10">
        <v>73</v>
      </c>
      <c r="I5947" t="s" s="11">
        <v>55</v>
      </c>
      <c r="J5947" t="s" s="11">
        <v>20</v>
      </c>
      <c r="K5947" s="15"/>
      <c r="L5947" t="s" s="16">
        <f>HYPERLINK("http://csr.bu.edu/ftp/asl/asllvd/demos/verify_start_end_handshape_annotations//test_auto_move//signs_mov_separ_signers/Brady_1296.mov","MOV")</f>
        <v>21</v>
      </c>
      <c r="M5947" t="s" s="10">
        <v>39</v>
      </c>
      <c r="N5947" s="17">
        <v>42</v>
      </c>
      <c r="O5947" s="18">
        <v>9200</v>
      </c>
      <c r="P5947" s="18">
        <v>9217</v>
      </c>
      <c r="Q5947" s="15"/>
      <c r="R5947" t="s" s="16">
        <f>HYPERLINK("http://secrets.rutgers.edu:8080/data/asl-ftp/asllvd/demos/verify_start_end_handshape_annotations//test_auto_move//signs_mov_separ_signers/Brady_1296.mov","MOV")</f>
        <v>21</v>
      </c>
    </row>
    <row r="5948" s="2" customFormat="1" ht="13.5" customHeight="1">
      <c r="B5948" t="s" s="8">
        <v>2026</v>
      </c>
      <c r="C5948" t="s" s="9">
        <v>14</v>
      </c>
      <c r="D5948" t="s" s="8">
        <v>14</v>
      </c>
      <c r="E5948" t="s" s="9">
        <v>14</v>
      </c>
      <c r="F5948" t="s" s="10">
        <v>14</v>
      </c>
      <c r="G5948" t="s" s="11">
        <v>14</v>
      </c>
      <c r="H5948" t="s" s="10">
        <v>14</v>
      </c>
      <c r="I5948" t="s" s="11">
        <v>14</v>
      </c>
      <c r="J5948" t="s" s="11">
        <v>14</v>
      </c>
      <c r="K5948" t="s" s="12">
        <v>14</v>
      </c>
      <c r="L5948" t="s" s="12">
        <v>14</v>
      </c>
      <c r="M5948" t="s" s="10">
        <v>14</v>
      </c>
      <c r="N5948" t="s" s="11">
        <v>14</v>
      </c>
      <c r="O5948" t="s" s="8">
        <v>14</v>
      </c>
      <c r="P5948" t="s" s="8">
        <v>14</v>
      </c>
      <c r="Q5948" t="s" s="12">
        <v>14</v>
      </c>
      <c r="R5948" t="s" s="12">
        <v>14</v>
      </c>
    </row>
    <row r="5949" s="2" customFormat="1" ht="13.5" customHeight="1">
      <c r="B5949" s="13"/>
      <c r="C5949" t="s" s="9">
        <v>16</v>
      </c>
      <c r="D5949" t="s" s="8">
        <v>2026</v>
      </c>
      <c r="E5949" t="s" s="9">
        <v>2026</v>
      </c>
      <c r="F5949" t="s" s="10">
        <v>25</v>
      </c>
      <c r="G5949" t="s" s="11">
        <v>25</v>
      </c>
      <c r="H5949" t="s" s="10">
        <v>28</v>
      </c>
      <c r="I5949" t="s" s="11">
        <v>28</v>
      </c>
      <c r="J5949" t="s" s="11">
        <v>20</v>
      </c>
      <c r="K5949" s="15"/>
      <c r="L5949" t="s" s="16">
        <f>HYPERLINK("http://csr.bu.edu/ftp/asl/asllvd/demos/verify_start_end_handshape_annotations//test_auto_move//signs_mov_separ_signers/Liz_1297.mov","MOV")</f>
        <v>21</v>
      </c>
      <c r="M5949" t="s" s="10">
        <v>34</v>
      </c>
      <c r="N5949" s="17">
        <v>36</v>
      </c>
      <c r="O5949" s="18">
        <v>1880</v>
      </c>
      <c r="P5949" s="18">
        <v>1915</v>
      </c>
      <c r="Q5949" s="15"/>
      <c r="R5949" t="s" s="16">
        <f>HYPERLINK("http://secrets.rutgers.edu:8080/data/asl-ftp/asllvd/demos/verify_start_end_handshape_annotations//test_auto_move//signs_mov_separ_signers/Liz_1297.mov","MOV")</f>
        <v>21</v>
      </c>
    </row>
    <row r="5950" s="2" customFormat="1" ht="13.5" customHeight="1">
      <c r="B5950" s="13"/>
      <c r="C5950" t="s" s="9">
        <v>23</v>
      </c>
      <c r="D5950" t="s" s="8">
        <v>2026</v>
      </c>
      <c r="E5950" t="s" s="9">
        <v>2026</v>
      </c>
      <c r="F5950" t="s" s="10">
        <v>25</v>
      </c>
      <c r="G5950" t="s" s="11">
        <v>25</v>
      </c>
      <c r="H5950" t="s" s="10">
        <v>28</v>
      </c>
      <c r="I5950" t="s" s="11">
        <v>28</v>
      </c>
      <c r="J5950" t="s" s="11">
        <v>20</v>
      </c>
      <c r="K5950" t="s" s="16">
        <f>HYPERLINK("http://csr.bu.edu/ftp/asl/asllvd/demos/verify_start_end_handshape_annotations//test_auto_move//signs_mov/1297.mov","MOV")</f>
        <v>21</v>
      </c>
      <c r="L5950" t="s" s="16">
        <f>HYPERLINK("http://csr.bu.edu/ftp/asl/asllvd/demos/verify_start_end_handshape_annotations//test_auto_move//signs_mov_separ_signers/Tyler_1297.mov","MOV")</f>
        <v>21</v>
      </c>
      <c r="M5950" t="s" s="10">
        <v>37</v>
      </c>
      <c r="N5950" s="17">
        <v>10</v>
      </c>
      <c r="O5950" s="18">
        <v>2545</v>
      </c>
      <c r="P5950" s="18">
        <v>2585</v>
      </c>
      <c r="Q5950" t="s" s="16">
        <f>HYPERLINK("http://secrets.rutgers.edu:8080/data/asl-ftp/asllvd/demos/verify_start_end_handshape_annotations//test_auto_move//signs_mov/1297.mov","MOV")</f>
        <v>21</v>
      </c>
      <c r="R5950" t="s" s="16">
        <f>HYPERLINK("http://secrets.rutgers.edu:8080/data/asl-ftp/asllvd/demos/verify_start_end_handshape_annotations//test_auto_move//signs_mov_separ_signers/Tyler_1297.mov","MOV")</f>
        <v>21</v>
      </c>
    </row>
    <row r="5951" s="2" customFormat="1" ht="13.5" customHeight="1">
      <c r="B5951" s="13"/>
      <c r="C5951" t="s" s="9">
        <v>27</v>
      </c>
      <c r="D5951" t="s" s="8">
        <v>2026</v>
      </c>
      <c r="E5951" t="s" s="9">
        <v>2026</v>
      </c>
      <c r="F5951" t="s" s="10">
        <v>25</v>
      </c>
      <c r="G5951" t="s" s="11">
        <v>25</v>
      </c>
      <c r="H5951" t="s" s="10">
        <v>28</v>
      </c>
      <c r="I5951" t="s" s="11">
        <v>28</v>
      </c>
      <c r="J5951" t="s" s="11">
        <v>20</v>
      </c>
      <c r="K5951" s="15"/>
      <c r="L5951" t="s" s="16">
        <f>HYPERLINK("http://csr.bu.edu/ftp/asl/asllvd/demos/verify_start_end_handshape_annotations//test_auto_move//signs_mov_separ_signers/Naomi_1297.mov","MOV")</f>
        <v>21</v>
      </c>
      <c r="M5951" t="s" s="10">
        <v>38</v>
      </c>
      <c r="N5951" s="17">
        <v>30</v>
      </c>
      <c r="O5951" s="18">
        <v>2565</v>
      </c>
      <c r="P5951" s="18">
        <v>2585</v>
      </c>
      <c r="Q5951" s="15"/>
      <c r="R5951" t="s" s="16">
        <f>HYPERLINK("http://secrets.rutgers.edu:8080/data/asl-ftp/asllvd/demos/verify_start_end_handshape_annotations//test_auto_move//signs_mov_separ_signers/Naomi_1297.mov","MOV")</f>
        <v>21</v>
      </c>
    </row>
    <row r="5952" s="2" customFormat="1" ht="13.5" customHeight="1">
      <c r="B5952" s="13"/>
      <c r="C5952" t="s" s="9">
        <v>30</v>
      </c>
      <c r="D5952" t="s" s="8">
        <v>2026</v>
      </c>
      <c r="E5952" t="s" s="9">
        <v>2026</v>
      </c>
      <c r="F5952" t="s" s="10">
        <v>25</v>
      </c>
      <c r="G5952" t="s" s="11">
        <v>25</v>
      </c>
      <c r="H5952" t="s" s="10">
        <v>19</v>
      </c>
      <c r="I5952" t="s" s="11">
        <v>19</v>
      </c>
      <c r="J5952" t="s" s="11">
        <v>20</v>
      </c>
      <c r="K5952" s="15"/>
      <c r="L5952" t="s" s="16">
        <f>HYPERLINK("http://csr.bu.edu/ftp/asl/asllvd/demos/verify_start_end_handshape_annotations//test_auto_move//signs_mov_separ_signers/Brady_1297.mov","MOV")</f>
        <v>21</v>
      </c>
      <c r="M5952" t="s" s="10">
        <v>39</v>
      </c>
      <c r="N5952" s="17">
        <v>42</v>
      </c>
      <c r="O5952" s="18">
        <v>8766</v>
      </c>
      <c r="P5952" s="18">
        <v>8777</v>
      </c>
      <c r="Q5952" s="15"/>
      <c r="R5952" t="s" s="16">
        <f>HYPERLINK("http://secrets.rutgers.edu:8080/data/asl-ftp/asllvd/demos/verify_start_end_handshape_annotations//test_auto_move//signs_mov_separ_signers/Brady_1297.mov","MOV")</f>
        <v>21</v>
      </c>
    </row>
    <row r="5953" s="2" customFormat="1" ht="13.5" customHeight="1">
      <c r="B5953" t="s" s="8">
        <v>2027</v>
      </c>
      <c r="C5953" t="s" s="9">
        <v>14</v>
      </c>
      <c r="D5953" t="s" s="8">
        <v>14</v>
      </c>
      <c r="E5953" t="s" s="9">
        <v>14</v>
      </c>
      <c r="F5953" t="s" s="10">
        <v>14</v>
      </c>
      <c r="G5953" t="s" s="11">
        <v>14</v>
      </c>
      <c r="H5953" t="s" s="10">
        <v>14</v>
      </c>
      <c r="I5953" t="s" s="11">
        <v>14</v>
      </c>
      <c r="J5953" t="s" s="11">
        <v>14</v>
      </c>
      <c r="K5953" t="s" s="12">
        <v>14</v>
      </c>
      <c r="L5953" t="s" s="12">
        <v>14</v>
      </c>
      <c r="M5953" t="s" s="10">
        <v>14</v>
      </c>
      <c r="N5953" t="s" s="11">
        <v>14</v>
      </c>
      <c r="O5953" t="s" s="8">
        <v>14</v>
      </c>
      <c r="P5953" t="s" s="8">
        <v>14</v>
      </c>
      <c r="Q5953" t="s" s="12">
        <v>14</v>
      </c>
      <c r="R5953" t="s" s="12">
        <v>14</v>
      </c>
    </row>
    <row r="5954" s="2" customFormat="1" ht="13.5" customHeight="1">
      <c r="B5954" s="13"/>
      <c r="C5954" t="s" s="9">
        <v>16</v>
      </c>
      <c r="D5954" t="s" s="8">
        <v>2027</v>
      </c>
      <c r="E5954" t="s" s="9">
        <v>2027</v>
      </c>
      <c r="F5954" s="19">
        <v>1</v>
      </c>
      <c r="G5954" s="14"/>
      <c r="H5954" s="19">
        <v>1</v>
      </c>
      <c r="I5954" s="14"/>
      <c r="J5954" t="s" s="11">
        <v>20</v>
      </c>
      <c r="K5954" s="15"/>
      <c r="L5954" t="s" s="16">
        <f>HYPERLINK("http://csr.bu.edu/ftp/asl/asllvd/demos/verify_start_end_handshape_annotations//test_auto_move//signs_mov_separ_signers/Liz_1298.mov","MOV")</f>
        <v>21</v>
      </c>
      <c r="M5954" t="s" s="10">
        <v>34</v>
      </c>
      <c r="N5954" s="17">
        <v>36</v>
      </c>
      <c r="O5954" s="18">
        <v>2260</v>
      </c>
      <c r="P5954" s="18">
        <v>2312</v>
      </c>
      <c r="Q5954" s="15"/>
      <c r="R5954" t="s" s="16">
        <f>HYPERLINK("http://secrets.rutgers.edu:8080/data/asl-ftp/asllvd/demos/verify_start_end_handshape_annotations//test_auto_move//signs_mov_separ_signers/Liz_1298.mov","MOV")</f>
        <v>21</v>
      </c>
    </row>
    <row r="5955" s="2" customFormat="1" ht="13.5" customHeight="1">
      <c r="B5955" s="13"/>
      <c r="C5955" t="s" s="9">
        <v>23</v>
      </c>
      <c r="D5955" t="s" s="8">
        <v>2027</v>
      </c>
      <c r="E5955" t="s" s="9">
        <v>2028</v>
      </c>
      <c r="F5955" t="s" s="10">
        <v>337</v>
      </c>
      <c r="G5955" s="14"/>
      <c r="H5955" t="s" s="10">
        <v>337</v>
      </c>
      <c r="I5955" s="14"/>
      <c r="J5955" t="s" s="11">
        <v>20</v>
      </c>
      <c r="K5955" t="s" s="16">
        <f>HYPERLINK("http://csr.bu.edu/ftp/asl/asllvd/demos/verify_start_end_handshape_annotations//test_auto_move//signs_mov/1298.mov","MOV")</f>
        <v>21</v>
      </c>
      <c r="L5955" t="s" s="16">
        <f>HYPERLINK("http://csr.bu.edu/ftp/asl/asllvd/demos/verify_start_end_handshape_annotations//test_auto_move//signs_mov_separ_signers/Tyler_1298.mov","MOV")</f>
        <v>21</v>
      </c>
      <c r="M5955" t="s" s="10">
        <v>37</v>
      </c>
      <c r="N5955" s="17">
        <v>10</v>
      </c>
      <c r="O5955" s="18">
        <v>2910</v>
      </c>
      <c r="P5955" s="18">
        <v>2981</v>
      </c>
      <c r="Q5955" t="s" s="16">
        <f>HYPERLINK("http://secrets.rutgers.edu:8080/data/asl-ftp/asllvd/demos/verify_start_end_handshape_annotations//test_auto_move//signs_mov/1298.mov","MOV")</f>
        <v>21</v>
      </c>
      <c r="R5955" t="s" s="16">
        <f>HYPERLINK("http://secrets.rutgers.edu:8080/data/asl-ftp/asllvd/demos/verify_start_end_handshape_annotations//test_auto_move//signs_mov_separ_signers/Tyler_1298.mov","MOV")</f>
        <v>21</v>
      </c>
    </row>
    <row r="5956" s="2" customFormat="1" ht="13.5" customHeight="1">
      <c r="B5956" s="13"/>
      <c r="C5956" t="s" s="9">
        <v>27</v>
      </c>
      <c r="D5956" t="s" s="8">
        <v>2027</v>
      </c>
      <c r="E5956" t="s" s="9">
        <v>2028</v>
      </c>
      <c r="F5956" t="s" s="10">
        <v>255</v>
      </c>
      <c r="G5956" s="14"/>
      <c r="H5956" t="s" s="10">
        <v>255</v>
      </c>
      <c r="I5956" s="14"/>
      <c r="J5956" t="s" s="11">
        <v>20</v>
      </c>
      <c r="K5956" s="15"/>
      <c r="L5956" t="s" s="16">
        <f>HYPERLINK("http://csr.bu.edu/ftp/asl/asllvd/demos/verify_start_end_handshape_annotations//test_auto_move//signs_mov_separ_signers/Naomi_1298.mov","MOV")</f>
        <v>21</v>
      </c>
      <c r="M5956" t="s" s="10">
        <v>38</v>
      </c>
      <c r="N5956" s="17">
        <v>30</v>
      </c>
      <c r="O5956" s="18">
        <v>2890</v>
      </c>
      <c r="P5956" s="18">
        <v>2955</v>
      </c>
      <c r="Q5956" s="15"/>
      <c r="R5956" t="s" s="16">
        <f>HYPERLINK("http://secrets.rutgers.edu:8080/data/asl-ftp/asllvd/demos/verify_start_end_handshape_annotations//test_auto_move//signs_mov_separ_signers/Naomi_1298.mov","MOV")</f>
        <v>21</v>
      </c>
    </row>
    <row r="5957" s="2" customFormat="1" ht="13.5" customHeight="1">
      <c r="B5957" s="13"/>
      <c r="C5957" t="s" s="9">
        <v>30</v>
      </c>
      <c r="D5957" t="s" s="8">
        <v>2027</v>
      </c>
      <c r="E5957" t="s" s="9">
        <v>2027</v>
      </c>
      <c r="F5957" s="19">
        <v>1</v>
      </c>
      <c r="G5957" s="14"/>
      <c r="H5957" s="19">
        <v>1</v>
      </c>
      <c r="I5957" s="14"/>
      <c r="J5957" t="s" s="11">
        <v>20</v>
      </c>
      <c r="K5957" s="15"/>
      <c r="L5957" t="s" s="16">
        <f>HYPERLINK("http://csr.bu.edu/ftp/asl/asllvd/demos/verify_start_end_handshape_annotations//test_auto_move//signs_mov_separ_signers/Brady_1298.mov","MOV")</f>
        <v>21</v>
      </c>
      <c r="M5957" t="s" s="10">
        <v>39</v>
      </c>
      <c r="N5957" s="17">
        <v>42</v>
      </c>
      <c r="O5957" s="18">
        <v>9682</v>
      </c>
      <c r="P5957" s="18">
        <v>9720</v>
      </c>
      <c r="Q5957" s="15"/>
      <c r="R5957" t="s" s="16">
        <f>HYPERLINK("http://secrets.rutgers.edu:8080/data/asl-ftp/asllvd/demos/verify_start_end_handshape_annotations//test_auto_move//signs_mov_separ_signers/Brady_1298.mov","MOV")</f>
        <v>21</v>
      </c>
    </row>
    <row r="5958" s="2" customFormat="1" ht="13.5" customHeight="1">
      <c r="B5958" t="s" s="8">
        <v>2029</v>
      </c>
      <c r="C5958" t="s" s="9">
        <v>14</v>
      </c>
      <c r="D5958" t="s" s="8">
        <v>14</v>
      </c>
      <c r="E5958" t="s" s="9">
        <v>14</v>
      </c>
      <c r="F5958" t="s" s="10">
        <v>14</v>
      </c>
      <c r="G5958" t="s" s="11">
        <v>14</v>
      </c>
      <c r="H5958" t="s" s="10">
        <v>14</v>
      </c>
      <c r="I5958" t="s" s="11">
        <v>14</v>
      </c>
      <c r="J5958" t="s" s="11">
        <v>14</v>
      </c>
      <c r="K5958" t="s" s="12">
        <v>14</v>
      </c>
      <c r="L5958" t="s" s="12">
        <v>14</v>
      </c>
      <c r="M5958" t="s" s="10">
        <v>14</v>
      </c>
      <c r="N5958" t="s" s="11">
        <v>14</v>
      </c>
      <c r="O5958" t="s" s="8">
        <v>14</v>
      </c>
      <c r="P5958" t="s" s="8">
        <v>14</v>
      </c>
      <c r="Q5958" t="s" s="12">
        <v>14</v>
      </c>
      <c r="R5958" t="s" s="12">
        <v>14</v>
      </c>
    </row>
    <row r="5959" s="2" customFormat="1" ht="13.5" customHeight="1">
      <c r="B5959" s="13"/>
      <c r="C5959" t="s" s="9">
        <v>16</v>
      </c>
      <c r="D5959" t="s" s="8">
        <v>2029</v>
      </c>
      <c r="E5959" t="s" s="9">
        <v>2029</v>
      </c>
      <c r="F5959" t="s" s="10">
        <v>287</v>
      </c>
      <c r="G5959" s="14"/>
      <c r="H5959" t="s" s="10">
        <v>287</v>
      </c>
      <c r="I5959" s="14"/>
      <c r="J5959" t="s" s="11">
        <v>20</v>
      </c>
      <c r="K5959" s="15"/>
      <c r="L5959" t="s" s="16">
        <f>HYPERLINK("http://csr.bu.edu/ftp/asl/asllvd/demos/verify_start_end_handshape_annotations//test_auto_move//signs_mov_separ_signers/Liz_1299.mov","MOV")</f>
        <v>21</v>
      </c>
      <c r="M5959" t="s" s="10">
        <v>34</v>
      </c>
      <c r="N5959" s="17">
        <v>36</v>
      </c>
      <c r="O5959" s="18">
        <v>2550</v>
      </c>
      <c r="P5959" s="18">
        <v>2582</v>
      </c>
      <c r="Q5959" s="15"/>
      <c r="R5959" t="s" s="16">
        <f>HYPERLINK("http://secrets.rutgers.edu:8080/data/asl-ftp/asllvd/demos/verify_start_end_handshape_annotations//test_auto_move//signs_mov_separ_signers/Liz_1299.mov","MOV")</f>
        <v>21</v>
      </c>
    </row>
    <row r="5960" s="2" customFormat="1" ht="13.5" customHeight="1">
      <c r="B5960" s="13"/>
      <c r="C5960" t="s" s="9">
        <v>23</v>
      </c>
      <c r="D5960" t="s" s="8">
        <v>2029</v>
      </c>
      <c r="E5960" t="s" s="9">
        <v>2029</v>
      </c>
      <c r="F5960" t="s" s="10">
        <v>287</v>
      </c>
      <c r="G5960" s="14"/>
      <c r="H5960" t="s" s="10">
        <v>287</v>
      </c>
      <c r="I5960" s="14"/>
      <c r="J5960" t="s" s="11">
        <v>20</v>
      </c>
      <c r="K5960" t="s" s="16">
        <f>HYPERLINK("http://csr.bu.edu/ftp/asl/asllvd/demos/verify_start_end_handshape_annotations//test_auto_move//signs_mov/1299.mov","MOV")</f>
        <v>21</v>
      </c>
      <c r="L5960" t="s" s="16">
        <f>HYPERLINK("http://csr.bu.edu/ftp/asl/asllvd/demos/verify_start_end_handshape_annotations//test_auto_move//signs_mov_separ_signers/Tyler_1299.mov","MOV")</f>
        <v>21</v>
      </c>
      <c r="M5960" t="s" s="10">
        <v>37</v>
      </c>
      <c r="N5960" s="17">
        <v>10</v>
      </c>
      <c r="O5960" s="18">
        <v>3250</v>
      </c>
      <c r="P5960" s="18">
        <v>3275</v>
      </c>
      <c r="Q5960" t="s" s="16">
        <f>HYPERLINK("http://secrets.rutgers.edu:8080/data/asl-ftp/asllvd/demos/verify_start_end_handshape_annotations//test_auto_move//signs_mov/1299.mov","MOV")</f>
        <v>21</v>
      </c>
      <c r="R5960" t="s" s="16">
        <f>HYPERLINK("http://secrets.rutgers.edu:8080/data/asl-ftp/asllvd/demos/verify_start_end_handshape_annotations//test_auto_move//signs_mov_separ_signers/Tyler_1299.mov","MOV")</f>
        <v>21</v>
      </c>
    </row>
    <row r="5961" s="2" customFormat="1" ht="13.5" customHeight="1">
      <c r="B5961" s="13"/>
      <c r="C5961" t="s" s="9">
        <v>27</v>
      </c>
      <c r="D5961" t="s" s="8">
        <v>2029</v>
      </c>
      <c r="E5961" t="s" s="9">
        <v>2029</v>
      </c>
      <c r="F5961" t="s" s="10">
        <v>287</v>
      </c>
      <c r="G5961" s="14"/>
      <c r="H5961" t="s" s="10">
        <v>287</v>
      </c>
      <c r="I5961" s="14"/>
      <c r="J5961" t="s" s="11">
        <v>20</v>
      </c>
      <c r="K5961" s="15"/>
      <c r="L5961" t="s" s="16">
        <f>HYPERLINK("http://csr.bu.edu/ftp/asl/asllvd/demos/verify_start_end_handshape_annotations//test_auto_move//signs_mov_separ_signers/Naomi_1299.mov","MOV")</f>
        <v>21</v>
      </c>
      <c r="M5961" t="s" s="10">
        <v>38</v>
      </c>
      <c r="N5961" s="17">
        <v>30</v>
      </c>
      <c r="O5961" s="18">
        <v>3185</v>
      </c>
      <c r="P5961" s="18">
        <v>3197</v>
      </c>
      <c r="Q5961" s="15"/>
      <c r="R5961" t="s" s="16">
        <f>HYPERLINK("http://secrets.rutgers.edu:8080/data/asl-ftp/asllvd/demos/verify_start_end_handshape_annotations//test_auto_move//signs_mov_separ_signers/Naomi_1299.mov","MOV")</f>
        <v>21</v>
      </c>
    </row>
    <row r="5962" s="2" customFormat="1" ht="13.5" customHeight="1">
      <c r="B5962" s="13"/>
      <c r="C5962" t="s" s="9">
        <v>30</v>
      </c>
      <c r="D5962" t="s" s="8">
        <v>2029</v>
      </c>
      <c r="E5962" t="s" s="9">
        <v>2029</v>
      </c>
      <c r="F5962" t="s" s="10">
        <v>287</v>
      </c>
      <c r="G5962" s="14"/>
      <c r="H5962" t="s" s="10">
        <v>287</v>
      </c>
      <c r="I5962" s="14"/>
      <c r="J5962" t="s" s="11">
        <v>20</v>
      </c>
      <c r="K5962" s="15"/>
      <c r="L5962" t="s" s="16">
        <f>HYPERLINK("http://csr.bu.edu/ftp/asl/asllvd/demos/verify_start_end_handshape_annotations//test_auto_move//signs_mov_separ_signers/Brady_1299.mov","MOV")</f>
        <v>21</v>
      </c>
      <c r="M5962" t="s" s="10">
        <v>39</v>
      </c>
      <c r="N5962" s="17">
        <v>42</v>
      </c>
      <c r="O5962" s="18">
        <v>9921</v>
      </c>
      <c r="P5962" s="18">
        <v>9932</v>
      </c>
      <c r="Q5962" s="15"/>
      <c r="R5962" t="s" s="16">
        <f>HYPERLINK("http://secrets.rutgers.edu:8080/data/asl-ftp/asllvd/demos/verify_start_end_handshape_annotations//test_auto_move//signs_mov_separ_signers/Brady_1299.mov","MOV")</f>
        <v>21</v>
      </c>
    </row>
    <row r="5963" s="2" customFormat="1" ht="13.5" customHeight="1">
      <c r="B5963" t="s" s="8">
        <v>2030</v>
      </c>
      <c r="C5963" t="s" s="9">
        <v>14</v>
      </c>
      <c r="D5963" t="s" s="8">
        <v>14</v>
      </c>
      <c r="E5963" t="s" s="9">
        <v>14</v>
      </c>
      <c r="F5963" t="s" s="10">
        <v>14</v>
      </c>
      <c r="G5963" t="s" s="11">
        <v>14</v>
      </c>
      <c r="H5963" t="s" s="10">
        <v>14</v>
      </c>
      <c r="I5963" t="s" s="11">
        <v>14</v>
      </c>
      <c r="J5963" t="s" s="11">
        <v>14</v>
      </c>
      <c r="K5963" t="s" s="12">
        <v>14</v>
      </c>
      <c r="L5963" t="s" s="12">
        <v>14</v>
      </c>
      <c r="M5963" t="s" s="10">
        <v>14</v>
      </c>
      <c r="N5963" t="s" s="11">
        <v>14</v>
      </c>
      <c r="O5963" t="s" s="8">
        <v>14</v>
      </c>
      <c r="P5963" t="s" s="8">
        <v>14</v>
      </c>
      <c r="Q5963" t="s" s="12">
        <v>14</v>
      </c>
      <c r="R5963" t="s" s="12">
        <v>14</v>
      </c>
    </row>
    <row r="5964" s="2" customFormat="1" ht="13.5" customHeight="1">
      <c r="B5964" s="13"/>
      <c r="C5964" t="s" s="9">
        <v>16</v>
      </c>
      <c r="D5964" t="s" s="8">
        <v>2030</v>
      </c>
      <c r="E5964" t="s" s="9">
        <v>2031</v>
      </c>
      <c r="F5964" t="s" s="10">
        <v>287</v>
      </c>
      <c r="G5964" t="s" s="11">
        <v>73</v>
      </c>
      <c r="H5964" t="s" s="10">
        <v>287</v>
      </c>
      <c r="I5964" t="s" s="11">
        <v>73</v>
      </c>
      <c r="J5964" t="s" s="11">
        <v>20</v>
      </c>
      <c r="K5964" s="15"/>
      <c r="L5964" t="s" s="16">
        <f>HYPERLINK("http://csr.bu.edu/ftp/asl/asllvd/demos/verify_start_end_handshape_annotations//test_auto_move//signs_mov_separ_signers/Liz_1301.mov","MOV")</f>
        <v>21</v>
      </c>
      <c r="M5964" t="s" s="10">
        <v>34</v>
      </c>
      <c r="N5964" s="17">
        <v>37</v>
      </c>
      <c r="O5964" s="18">
        <v>956</v>
      </c>
      <c r="P5964" s="18">
        <v>1016</v>
      </c>
      <c r="Q5964" s="15"/>
      <c r="R5964" t="s" s="16">
        <f>HYPERLINK("http://secrets.rutgers.edu:8080/data/asl-ftp/asllvd/demos/verify_start_end_handshape_annotations//test_auto_move//signs_mov_separ_signers/Liz_1301.mov","MOV")</f>
        <v>21</v>
      </c>
    </row>
    <row r="5965" s="2" customFormat="1" ht="13.5" customHeight="1">
      <c r="B5965" s="13"/>
      <c r="C5965" t="s" s="9">
        <v>23</v>
      </c>
      <c r="D5965" t="s" s="8">
        <v>2030</v>
      </c>
      <c r="E5965" t="s" s="9">
        <v>2032</v>
      </c>
      <c r="F5965" t="s" s="10">
        <v>287</v>
      </c>
      <c r="G5965" t="s" s="11">
        <v>73</v>
      </c>
      <c r="H5965" t="s" s="10">
        <v>287</v>
      </c>
      <c r="I5965" t="s" s="11">
        <v>73</v>
      </c>
      <c r="J5965" t="s" s="11">
        <v>20</v>
      </c>
      <c r="K5965" t="s" s="16">
        <f>HYPERLINK("http://csr.bu.edu/ftp/asl/asllvd/demos/verify_start_end_handshape_annotations//test_auto_move//signs_mov/1301.mov","MOV")</f>
        <v>21</v>
      </c>
      <c r="L5965" t="s" s="16">
        <f>HYPERLINK("http://csr.bu.edu/ftp/asl/asllvd/demos/verify_start_end_handshape_annotations//test_auto_move//signs_mov_separ_signers/Tyler_1301.mov","MOV")</f>
        <v>21</v>
      </c>
      <c r="M5965" t="s" s="10">
        <v>37</v>
      </c>
      <c r="N5965" s="17">
        <v>11</v>
      </c>
      <c r="O5965" s="18">
        <v>386</v>
      </c>
      <c r="P5965" s="18">
        <v>435</v>
      </c>
      <c r="Q5965" t="s" s="16">
        <f>HYPERLINK("http://secrets.rutgers.edu:8080/data/asl-ftp/asllvd/demos/verify_start_end_handshape_annotations//test_auto_move//signs_mov/1301.mov","MOV")</f>
        <v>21</v>
      </c>
      <c r="R5965" t="s" s="16">
        <f>HYPERLINK("http://secrets.rutgers.edu:8080/data/asl-ftp/asllvd/demos/verify_start_end_handshape_annotations//test_auto_move//signs_mov_separ_signers/Tyler_1301.mov","MOV")</f>
        <v>21</v>
      </c>
    </row>
    <row r="5966" s="2" customFormat="1" ht="13.5" customHeight="1">
      <c r="B5966" s="13"/>
      <c r="C5966" t="s" s="9">
        <v>27</v>
      </c>
      <c r="D5966" t="s" s="8">
        <v>2030</v>
      </c>
      <c r="E5966" t="s" s="9">
        <v>2031</v>
      </c>
      <c r="F5966" t="s" s="10">
        <v>287</v>
      </c>
      <c r="G5966" t="s" s="11">
        <v>73</v>
      </c>
      <c r="H5966" t="s" s="10">
        <v>287</v>
      </c>
      <c r="I5966" t="s" s="11">
        <v>73</v>
      </c>
      <c r="J5966" t="s" s="11">
        <v>20</v>
      </c>
      <c r="K5966" s="15"/>
      <c r="L5966" t="s" s="16">
        <f>HYPERLINK("http://csr.bu.edu/ftp/asl/asllvd/demos/verify_start_end_handshape_annotations//test_auto_move//signs_mov_separ_signers/Naomi_1301.mov","MOV")</f>
        <v>21</v>
      </c>
      <c r="M5966" t="s" s="10">
        <v>38</v>
      </c>
      <c r="N5966" s="17">
        <v>31</v>
      </c>
      <c r="O5966" s="18">
        <v>335</v>
      </c>
      <c r="P5966" s="18">
        <v>386</v>
      </c>
      <c r="Q5966" s="15"/>
      <c r="R5966" t="s" s="16">
        <f>HYPERLINK("http://secrets.rutgers.edu:8080/data/asl-ftp/asllvd/demos/verify_start_end_handshape_annotations//test_auto_move//signs_mov_separ_signers/Naomi_1301.mov","MOV")</f>
        <v>21</v>
      </c>
    </row>
    <row r="5967" s="2" customFormat="1" ht="13.5" customHeight="1">
      <c r="B5967" t="s" s="8">
        <v>2033</v>
      </c>
      <c r="C5967" t="s" s="9">
        <v>14</v>
      </c>
      <c r="D5967" t="s" s="8">
        <v>14</v>
      </c>
      <c r="E5967" t="s" s="9">
        <v>14</v>
      </c>
      <c r="F5967" t="s" s="10">
        <v>14</v>
      </c>
      <c r="G5967" t="s" s="11">
        <v>14</v>
      </c>
      <c r="H5967" t="s" s="10">
        <v>14</v>
      </c>
      <c r="I5967" t="s" s="11">
        <v>14</v>
      </c>
      <c r="J5967" t="s" s="11">
        <v>14</v>
      </c>
      <c r="K5967" t="s" s="12">
        <v>14</v>
      </c>
      <c r="L5967" t="s" s="12">
        <v>14</v>
      </c>
      <c r="M5967" t="s" s="10">
        <v>14</v>
      </c>
      <c r="N5967" t="s" s="11">
        <v>14</v>
      </c>
      <c r="O5967" t="s" s="8">
        <v>14</v>
      </c>
      <c r="P5967" t="s" s="8">
        <v>14</v>
      </c>
      <c r="Q5967" t="s" s="12">
        <v>14</v>
      </c>
      <c r="R5967" t="s" s="12">
        <v>14</v>
      </c>
    </row>
    <row r="5968" s="2" customFormat="1" ht="13.5" customHeight="1">
      <c r="B5968" s="13"/>
      <c r="C5968" t="s" s="9">
        <v>30</v>
      </c>
      <c r="D5968" t="s" s="8">
        <v>2033</v>
      </c>
      <c r="E5968" t="s" s="9">
        <v>2033</v>
      </c>
      <c r="F5968" s="19">
        <v>1</v>
      </c>
      <c r="G5968" s="14"/>
      <c r="H5968" t="s" s="10">
        <v>136</v>
      </c>
      <c r="I5968" s="14"/>
      <c r="J5968" t="s" s="11">
        <v>20</v>
      </c>
      <c r="K5968" t="s" s="16">
        <f>HYPERLINK("http://csr.bu.edu/ftp/asl/asllvd/demos/verify_start_end_handshape_annotations//test_auto_move//signs_mov/15058.mov","MOV")</f>
        <v>21</v>
      </c>
      <c r="L5968" t="s" s="16">
        <f>HYPERLINK("http://csr.bu.edu/ftp/asl/asllvd/demos/verify_start_end_handshape_annotations//test_auto_move//signs_mov_separ_signers/Brady_15058.mov","MOV")</f>
        <v>21</v>
      </c>
      <c r="M5968" t="s" s="10">
        <v>39</v>
      </c>
      <c r="N5968" s="17">
        <v>42</v>
      </c>
      <c r="O5968" s="18">
        <v>10155</v>
      </c>
      <c r="P5968" s="18">
        <v>10179</v>
      </c>
      <c r="Q5968" t="s" s="16">
        <f>HYPERLINK("http://secrets.rutgers.edu:8080/data/asl-ftp/asllvd/demos/verify_start_end_handshape_annotations//test_auto_move//signs_mov/15058.mov","MOV")</f>
        <v>21</v>
      </c>
      <c r="R5968" t="s" s="16">
        <f>HYPERLINK("http://secrets.rutgers.edu:8080/data/asl-ftp/asllvd/demos/verify_start_end_handshape_annotations//test_auto_move//signs_mov_separ_signers/Brady_15058.mov","MOV")</f>
        <v>21</v>
      </c>
    </row>
    <row r="5969" s="2" customFormat="1" ht="13.5" customHeight="1">
      <c r="B5969" t="s" s="8">
        <v>2034</v>
      </c>
      <c r="C5969" t="s" s="9">
        <v>14</v>
      </c>
      <c r="D5969" t="s" s="8">
        <v>14</v>
      </c>
      <c r="E5969" t="s" s="9">
        <v>14</v>
      </c>
      <c r="F5969" t="s" s="10">
        <v>14</v>
      </c>
      <c r="G5969" t="s" s="11">
        <v>14</v>
      </c>
      <c r="H5969" t="s" s="10">
        <v>14</v>
      </c>
      <c r="I5969" t="s" s="11">
        <v>14</v>
      </c>
      <c r="J5969" t="s" s="11">
        <v>14</v>
      </c>
      <c r="K5969" t="s" s="12">
        <v>14</v>
      </c>
      <c r="L5969" t="s" s="12">
        <v>14</v>
      </c>
      <c r="M5969" t="s" s="10">
        <v>14</v>
      </c>
      <c r="N5969" t="s" s="11">
        <v>14</v>
      </c>
      <c r="O5969" t="s" s="8">
        <v>14</v>
      </c>
      <c r="P5969" t="s" s="8">
        <v>14</v>
      </c>
      <c r="Q5969" t="s" s="12">
        <v>14</v>
      </c>
      <c r="R5969" t="s" s="12">
        <v>14</v>
      </c>
    </row>
    <row r="5970" s="2" customFormat="1" ht="13.5" customHeight="1">
      <c r="B5970" s="13"/>
      <c r="C5970" t="s" s="9">
        <v>16</v>
      </c>
      <c r="D5970" t="s" s="8">
        <v>2034</v>
      </c>
      <c r="E5970" t="s" s="9">
        <v>2034</v>
      </c>
      <c r="F5970" t="s" s="10">
        <v>73</v>
      </c>
      <c r="G5970" s="14"/>
      <c r="H5970" t="s" s="10">
        <v>73</v>
      </c>
      <c r="I5970" s="14"/>
      <c r="J5970" t="s" s="11">
        <v>20</v>
      </c>
      <c r="K5970" t="s" s="16">
        <f>HYPERLINK("http://csr.bu.edu/ftp/asl/asllvd/demos/verify_start_end_handshape_annotations//test_auto_move//signs_mov/1302.mov","MOV")</f>
        <v>21</v>
      </c>
      <c r="L5970" t="s" s="16">
        <f>HYPERLINK("http://csr.bu.edu/ftp/asl/asllvd/demos/verify_start_end_handshape_annotations//test_auto_move//signs_mov_separ_signers/Liz_1302.mov","MOV")</f>
        <v>21</v>
      </c>
      <c r="M5970" t="s" s="10">
        <v>34</v>
      </c>
      <c r="N5970" s="17">
        <v>37</v>
      </c>
      <c r="O5970" s="18">
        <v>1216</v>
      </c>
      <c r="P5970" s="18">
        <v>1260</v>
      </c>
      <c r="Q5970" t="s" s="16">
        <f>HYPERLINK("http://secrets.rutgers.edu:8080/data/asl-ftp/asllvd/demos/verify_start_end_handshape_annotations//test_auto_move//signs_mov/1302.mov","MOV")</f>
        <v>21</v>
      </c>
      <c r="R5970" t="s" s="16">
        <f>HYPERLINK("http://secrets.rutgers.edu:8080/data/asl-ftp/asllvd/demos/verify_start_end_handshape_annotations//test_auto_move//signs_mov_separ_signers/Liz_1302.mov","MOV")</f>
        <v>21</v>
      </c>
    </row>
    <row r="5971" s="2" customFormat="1" ht="13.5" customHeight="1">
      <c r="B5971" s="13"/>
      <c r="C5971" t="s" s="9">
        <v>27</v>
      </c>
      <c r="D5971" t="s" s="8">
        <v>2034</v>
      </c>
      <c r="E5971" t="s" s="9">
        <v>2034</v>
      </c>
      <c r="F5971" t="s" s="10">
        <v>73</v>
      </c>
      <c r="G5971" s="14"/>
      <c r="H5971" t="s" s="10">
        <v>73</v>
      </c>
      <c r="I5971" s="14"/>
      <c r="J5971" t="s" s="11">
        <v>20</v>
      </c>
      <c r="K5971" s="15"/>
      <c r="L5971" t="s" s="16">
        <f>HYPERLINK("http://csr.bu.edu/ftp/asl/asllvd/demos/verify_start_end_handshape_annotations//test_auto_move//signs_mov_separ_signers/Naomi_1302.mov","MOV")</f>
        <v>21</v>
      </c>
      <c r="M5971" t="s" s="10">
        <v>38</v>
      </c>
      <c r="N5971" s="17">
        <v>31</v>
      </c>
      <c r="O5971" s="18">
        <v>645</v>
      </c>
      <c r="P5971" s="18">
        <v>662</v>
      </c>
      <c r="Q5971" s="15"/>
      <c r="R5971" t="s" s="16">
        <f>HYPERLINK("http://secrets.rutgers.edu:8080/data/asl-ftp/asllvd/demos/verify_start_end_handshape_annotations//test_auto_move//signs_mov_separ_signers/Naomi_1302.mov","MOV")</f>
        <v>21</v>
      </c>
    </row>
    <row r="5972" s="2" customFormat="1" ht="13.5" customHeight="1">
      <c r="B5972" t="s" s="8">
        <v>2035</v>
      </c>
      <c r="C5972" t="s" s="9">
        <v>14</v>
      </c>
      <c r="D5972" t="s" s="8">
        <v>14</v>
      </c>
      <c r="E5972" t="s" s="9">
        <v>14</v>
      </c>
      <c r="F5972" t="s" s="10">
        <v>14</v>
      </c>
      <c r="G5972" t="s" s="11">
        <v>14</v>
      </c>
      <c r="H5972" t="s" s="10">
        <v>14</v>
      </c>
      <c r="I5972" t="s" s="11">
        <v>14</v>
      </c>
      <c r="J5972" t="s" s="11">
        <v>14</v>
      </c>
      <c r="K5972" t="s" s="12">
        <v>14</v>
      </c>
      <c r="L5972" t="s" s="12">
        <v>14</v>
      </c>
      <c r="M5972" t="s" s="10">
        <v>14</v>
      </c>
      <c r="N5972" t="s" s="11">
        <v>14</v>
      </c>
      <c r="O5972" t="s" s="8">
        <v>14</v>
      </c>
      <c r="P5972" t="s" s="8">
        <v>14</v>
      </c>
      <c r="Q5972" t="s" s="12">
        <v>14</v>
      </c>
      <c r="R5972" t="s" s="12">
        <v>14</v>
      </c>
    </row>
    <row r="5973" s="2" customFormat="1" ht="13.5" customHeight="1">
      <c r="B5973" s="13"/>
      <c r="C5973" t="s" s="9">
        <v>16</v>
      </c>
      <c r="D5973" t="s" s="8">
        <v>2035</v>
      </c>
      <c r="E5973" t="s" s="9">
        <v>2035</v>
      </c>
      <c r="F5973" s="19">
        <v>25</v>
      </c>
      <c r="G5973" s="17">
        <v>5</v>
      </c>
      <c r="H5973" s="19">
        <v>5</v>
      </c>
      <c r="I5973" s="17">
        <v>25</v>
      </c>
      <c r="J5973" t="s" s="11">
        <v>20</v>
      </c>
      <c r="K5973" s="15"/>
      <c r="L5973" t="s" s="16">
        <f>HYPERLINK("http://csr.bu.edu/ftp/asl/asllvd/demos/verify_start_end_handshape_annotations//test_auto_move//signs_mov_separ_signers/Liz_1303.mov","MOV")</f>
        <v>21</v>
      </c>
      <c r="M5973" t="s" s="10">
        <v>34</v>
      </c>
      <c r="N5973" s="17">
        <v>37</v>
      </c>
      <c r="O5973" s="18">
        <v>1507</v>
      </c>
      <c r="P5973" s="18">
        <v>1545</v>
      </c>
      <c r="Q5973" s="15"/>
      <c r="R5973" t="s" s="16">
        <f>HYPERLINK("http://secrets.rutgers.edu:8080/data/asl-ftp/asllvd/demos/verify_start_end_handshape_annotations//test_auto_move//signs_mov_separ_signers/Liz_1303.mov","MOV")</f>
        <v>21</v>
      </c>
    </row>
    <row r="5974" s="2" customFormat="1" ht="13.5" customHeight="1">
      <c r="B5974" s="13"/>
      <c r="C5974" t="s" s="9">
        <v>23</v>
      </c>
      <c r="D5974" t="s" s="8">
        <v>2035</v>
      </c>
      <c r="E5974" t="s" s="9">
        <v>2035</v>
      </c>
      <c r="F5974" s="19">
        <v>25</v>
      </c>
      <c r="G5974" s="17">
        <v>5</v>
      </c>
      <c r="H5974" s="19">
        <v>5</v>
      </c>
      <c r="I5974" s="17">
        <v>25</v>
      </c>
      <c r="J5974" t="s" s="11">
        <v>20</v>
      </c>
      <c r="K5974" s="15"/>
      <c r="L5974" t="s" s="16">
        <f>HYPERLINK("http://csr.bu.edu/ftp/asl/asllvd/demos/verify_start_end_handshape_annotations//test_auto_move//signs_mov_separ_signers/Tyler_1303.mov","MOV")</f>
        <v>21</v>
      </c>
      <c r="M5974" t="s" s="10">
        <v>37</v>
      </c>
      <c r="N5974" s="17">
        <v>11</v>
      </c>
      <c r="O5974" s="18">
        <v>1232</v>
      </c>
      <c r="P5974" s="18">
        <v>1270</v>
      </c>
      <c r="Q5974" s="15"/>
      <c r="R5974" t="s" s="16">
        <f>HYPERLINK("http://secrets.rutgers.edu:8080/data/asl-ftp/asllvd/demos/verify_start_end_handshape_annotations//test_auto_move//signs_mov_separ_signers/Tyler_1303.mov","MOV")</f>
        <v>21</v>
      </c>
    </row>
    <row r="5975" s="2" customFormat="1" ht="13.5" customHeight="1">
      <c r="B5975" s="13"/>
      <c r="C5975" t="s" s="9">
        <v>27</v>
      </c>
      <c r="D5975" t="s" s="8">
        <v>2035</v>
      </c>
      <c r="E5975" t="s" s="9">
        <v>2035</v>
      </c>
      <c r="F5975" s="19">
        <v>25</v>
      </c>
      <c r="G5975" s="17">
        <v>5</v>
      </c>
      <c r="H5975" s="19">
        <v>5</v>
      </c>
      <c r="I5975" s="17">
        <v>25</v>
      </c>
      <c r="J5975" t="s" s="11">
        <v>20</v>
      </c>
      <c r="K5975" t="s" s="16">
        <f>HYPERLINK("http://csr.bu.edu/ftp/asl/asllvd/demos/verify_start_end_handshape_annotations//test_auto_move//signs_mov/1303_16161_merged.mov","MOV")</f>
        <v>21</v>
      </c>
      <c r="L5975" t="s" s="16">
        <f>HYPERLINK("http://csr.bu.edu/ftp/asl/asllvd/demos/verify_start_end_handshape_annotations//test_auto_move//signs_mov_separ_signers/Naomi_1303.mov","MOV")</f>
        <v>21</v>
      </c>
      <c r="M5975" t="s" s="10">
        <v>38</v>
      </c>
      <c r="N5975" s="17">
        <v>31</v>
      </c>
      <c r="O5975" s="18">
        <v>930</v>
      </c>
      <c r="P5975" s="18">
        <v>957</v>
      </c>
      <c r="Q5975" t="s" s="16">
        <f>HYPERLINK("http://secrets.rutgers.edu:8080/data/asl-ftp/asllvd/demos/verify_start_end_handshape_annotations//test_auto_move//signs_mov/1303_16161_merged.mov","MOV")</f>
        <v>21</v>
      </c>
      <c r="R5975" t="s" s="16">
        <f>HYPERLINK("http://secrets.rutgers.edu:8080/data/asl-ftp/asllvd/demos/verify_start_end_handshape_annotations//test_auto_move//signs_mov_separ_signers/Naomi_1303.mov","MOV")</f>
        <v>21</v>
      </c>
    </row>
    <row r="5976" s="2" customFormat="1" ht="13.5" customHeight="1">
      <c r="B5976" s="13"/>
      <c r="C5976" t="s" s="9">
        <v>30</v>
      </c>
      <c r="D5976" t="s" s="8">
        <v>2035</v>
      </c>
      <c r="E5976" t="s" s="9">
        <v>2035</v>
      </c>
      <c r="F5976" s="19">
        <v>25</v>
      </c>
      <c r="G5976" t="s" s="11">
        <v>73</v>
      </c>
      <c r="H5976" t="s" s="10">
        <v>73</v>
      </c>
      <c r="I5976" s="17">
        <v>25</v>
      </c>
      <c r="J5976" t="s" s="11">
        <v>20</v>
      </c>
      <c r="K5976" s="15"/>
      <c r="L5976" t="s" s="16">
        <f>HYPERLINK("http://csr.bu.edu/ftp/asl/asllvd/demos/verify_start_end_handshape_annotations//test_auto_move//signs_mov_separ_signers/Brady_1303.mov","MOV")</f>
        <v>21</v>
      </c>
      <c r="M5976" t="s" s="10">
        <v>39</v>
      </c>
      <c r="N5976" s="17">
        <v>43</v>
      </c>
      <c r="O5976" s="18">
        <v>314</v>
      </c>
      <c r="P5976" s="18">
        <v>338</v>
      </c>
      <c r="Q5976" s="15"/>
      <c r="R5976" t="s" s="16">
        <f>HYPERLINK("http://secrets.rutgers.edu:8080/data/asl-ftp/asllvd/demos/verify_start_end_handshape_annotations//test_auto_move//signs_mov_separ_signers/Brady_1303.mov","MOV")</f>
        <v>21</v>
      </c>
    </row>
    <row r="5977" s="2" customFormat="1" ht="13.5" customHeight="1">
      <c r="B5977" s="13"/>
      <c r="C5977" t="s" s="9">
        <v>30</v>
      </c>
      <c r="D5977" t="s" s="8">
        <v>2035</v>
      </c>
      <c r="E5977" t="s" s="9">
        <v>2035</v>
      </c>
      <c r="F5977" s="19">
        <v>25</v>
      </c>
      <c r="G5977" t="s" s="11">
        <v>73</v>
      </c>
      <c r="H5977" t="s" s="10">
        <v>73</v>
      </c>
      <c r="I5977" s="17">
        <v>25</v>
      </c>
      <c r="J5977" t="s" s="11">
        <v>20</v>
      </c>
      <c r="K5977" s="15"/>
      <c r="L5977" t="s" s="16">
        <f>HYPERLINK("http://csr.bu.edu/ftp/asl/asllvd/demos/verify_start_end_handshape_annotations//test_auto_move//signs_mov_separ_signers/Brady_16161.mov","MOV")</f>
        <v>21</v>
      </c>
      <c r="M5977" t="s" s="10">
        <v>60</v>
      </c>
      <c r="N5977" s="17">
        <v>40</v>
      </c>
      <c r="O5977" s="18">
        <v>1065</v>
      </c>
      <c r="P5977" s="18">
        <v>1093</v>
      </c>
      <c r="Q5977" s="15"/>
      <c r="R5977" t="s" s="16">
        <f>HYPERLINK("http://secrets.rutgers.edu:8080/data/asl-ftp/asllvd/demos/verify_start_end_handshape_annotations//test_auto_move//signs_mov_separ_signers/Brady_16161.mov","MOV")</f>
        <v>21</v>
      </c>
    </row>
    <row r="5978" s="2" customFormat="1" ht="13.5" customHeight="1">
      <c r="B5978" t="s" s="8">
        <v>2036</v>
      </c>
      <c r="C5978" t="s" s="9">
        <v>14</v>
      </c>
      <c r="D5978" t="s" s="8">
        <v>14</v>
      </c>
      <c r="E5978" t="s" s="9">
        <v>14</v>
      </c>
      <c r="F5978" t="s" s="10">
        <v>14</v>
      </c>
      <c r="G5978" t="s" s="11">
        <v>14</v>
      </c>
      <c r="H5978" t="s" s="10">
        <v>14</v>
      </c>
      <c r="I5978" t="s" s="11">
        <v>14</v>
      </c>
      <c r="J5978" t="s" s="11">
        <v>14</v>
      </c>
      <c r="K5978" t="s" s="12">
        <v>14</v>
      </c>
      <c r="L5978" t="s" s="12">
        <v>14</v>
      </c>
      <c r="M5978" t="s" s="10">
        <v>14</v>
      </c>
      <c r="N5978" t="s" s="11">
        <v>14</v>
      </c>
      <c r="O5978" t="s" s="8">
        <v>14</v>
      </c>
      <c r="P5978" t="s" s="8">
        <v>14</v>
      </c>
      <c r="Q5978" t="s" s="12">
        <v>14</v>
      </c>
      <c r="R5978" t="s" s="12">
        <v>14</v>
      </c>
    </row>
    <row r="5979" s="2" customFormat="1" ht="13.5" customHeight="1">
      <c r="B5979" s="13"/>
      <c r="C5979" t="s" s="9">
        <v>16</v>
      </c>
      <c r="D5979" t="s" s="8">
        <v>2036</v>
      </c>
      <c r="E5979" t="s" s="9">
        <v>2037</v>
      </c>
      <c r="F5979" s="19">
        <v>4</v>
      </c>
      <c r="G5979" s="17">
        <v>4</v>
      </c>
      <c r="H5979" s="19">
        <v>4</v>
      </c>
      <c r="I5979" s="17">
        <v>4</v>
      </c>
      <c r="J5979" t="s" s="11">
        <v>20</v>
      </c>
      <c r="K5979" t="s" s="16">
        <f>HYPERLINK("http://csr.bu.edu/ftp/asl/asllvd/demos/verify_start_end_handshape_annotations//test_auto_move//signs_mov/1304.mov","MOV")</f>
        <v>21</v>
      </c>
      <c r="L5979" t="s" s="16">
        <f>HYPERLINK("http://csr.bu.edu/ftp/asl/asllvd/demos/verify_start_end_handshape_annotations//test_auto_move//signs_mov_separ_signers/Liz_1304.mov","MOV")</f>
        <v>21</v>
      </c>
      <c r="M5979" t="s" s="10">
        <v>34</v>
      </c>
      <c r="N5979" s="17">
        <v>37</v>
      </c>
      <c r="O5979" s="18">
        <v>1921</v>
      </c>
      <c r="P5979" s="18">
        <v>1964</v>
      </c>
      <c r="Q5979" t="s" s="16">
        <f>HYPERLINK("http://secrets.rutgers.edu:8080/data/asl-ftp/asllvd/demos/verify_start_end_handshape_annotations//test_auto_move//signs_mov/1304.mov","MOV")</f>
        <v>21</v>
      </c>
      <c r="R5979" t="s" s="16">
        <f>HYPERLINK("http://secrets.rutgers.edu:8080/data/asl-ftp/asllvd/demos/verify_start_end_handshape_annotations//test_auto_move//signs_mov_separ_signers/Liz_1304.mov","MOV")</f>
        <v>21</v>
      </c>
    </row>
    <row r="5980" s="2" customFormat="1" ht="13.5" customHeight="1">
      <c r="B5980" s="13"/>
      <c r="C5980" t="s" s="9">
        <v>27</v>
      </c>
      <c r="D5980" t="s" s="8">
        <v>2036</v>
      </c>
      <c r="E5980" t="s" s="9">
        <v>2036</v>
      </c>
      <c r="F5980" s="19">
        <v>4</v>
      </c>
      <c r="G5980" s="17">
        <v>4</v>
      </c>
      <c r="H5980" s="19">
        <v>4</v>
      </c>
      <c r="I5980" s="17">
        <v>4</v>
      </c>
      <c r="J5980" t="s" s="11">
        <v>20</v>
      </c>
      <c r="K5980" s="15"/>
      <c r="L5980" t="s" s="16">
        <f>HYPERLINK("http://csr.bu.edu/ftp/asl/asllvd/demos/verify_start_end_handshape_annotations//test_auto_move//signs_mov_separ_signers/Naomi_1304.mov","MOV")</f>
        <v>21</v>
      </c>
      <c r="M5980" t="s" s="10">
        <v>38</v>
      </c>
      <c r="N5980" s="17">
        <v>31</v>
      </c>
      <c r="O5980" s="18">
        <v>1238</v>
      </c>
      <c r="P5980" s="18">
        <v>1262</v>
      </c>
      <c r="Q5980" s="15"/>
      <c r="R5980" t="s" s="16">
        <f>HYPERLINK("http://secrets.rutgers.edu:8080/data/asl-ftp/asllvd/demos/verify_start_end_handshape_annotations//test_auto_move//signs_mov_separ_signers/Naomi_1304.mov","MOV")</f>
        <v>21</v>
      </c>
    </row>
    <row r="5981" s="2" customFormat="1" ht="13.5" customHeight="1">
      <c r="B5981" t="s" s="8">
        <v>2038</v>
      </c>
      <c r="C5981" t="s" s="9">
        <v>14</v>
      </c>
      <c r="D5981" t="s" s="8">
        <v>14</v>
      </c>
      <c r="E5981" t="s" s="9">
        <v>14</v>
      </c>
      <c r="F5981" t="s" s="10">
        <v>14</v>
      </c>
      <c r="G5981" t="s" s="11">
        <v>14</v>
      </c>
      <c r="H5981" t="s" s="10">
        <v>14</v>
      </c>
      <c r="I5981" t="s" s="11">
        <v>14</v>
      </c>
      <c r="J5981" t="s" s="11">
        <v>14</v>
      </c>
      <c r="K5981" t="s" s="12">
        <v>14</v>
      </c>
      <c r="L5981" t="s" s="12">
        <v>14</v>
      </c>
      <c r="M5981" t="s" s="10">
        <v>14</v>
      </c>
      <c r="N5981" t="s" s="11">
        <v>14</v>
      </c>
      <c r="O5981" t="s" s="8">
        <v>14</v>
      </c>
      <c r="P5981" t="s" s="8">
        <v>14</v>
      </c>
      <c r="Q5981" t="s" s="12">
        <v>14</v>
      </c>
      <c r="R5981" t="s" s="12">
        <v>14</v>
      </c>
    </row>
    <row r="5982" s="2" customFormat="1" ht="13.5" customHeight="1">
      <c r="B5982" s="13"/>
      <c r="C5982" t="s" s="9">
        <v>30</v>
      </c>
      <c r="D5982" t="s" s="8">
        <v>2038</v>
      </c>
      <c r="E5982" t="s" s="9">
        <v>2038</v>
      </c>
      <c r="F5982" s="19">
        <v>1</v>
      </c>
      <c r="G5982" s="14"/>
      <c r="H5982" t="s" s="10">
        <v>136</v>
      </c>
      <c r="I5982" s="14"/>
      <c r="J5982" t="s" s="11">
        <v>20</v>
      </c>
      <c r="K5982" t="s" s="16">
        <f>HYPERLINK("http://csr.bu.edu/ftp/asl/asllvd/demos/verify_start_end_handshape_annotations//test_auto_move//signs_mov/15059.mov","MOV")</f>
        <v>21</v>
      </c>
      <c r="L5982" t="s" s="16">
        <f>HYPERLINK("http://csr.bu.edu/ftp/asl/asllvd/demos/verify_start_end_handshape_annotations//test_auto_move//signs_mov_separ_signers/Brady_15059.mov","MOV")</f>
        <v>21</v>
      </c>
      <c r="M5982" t="s" s="10">
        <v>39</v>
      </c>
      <c r="N5982" s="17">
        <v>43</v>
      </c>
      <c r="O5982" s="18">
        <v>2782</v>
      </c>
      <c r="P5982" s="18">
        <v>2838</v>
      </c>
      <c r="Q5982" t="s" s="16">
        <f>HYPERLINK("http://secrets.rutgers.edu:8080/data/asl-ftp/asllvd/demos/verify_start_end_handshape_annotations//test_auto_move//signs_mov/15059.mov","MOV")</f>
        <v>21</v>
      </c>
      <c r="R5982" t="s" s="16">
        <f>HYPERLINK("http://secrets.rutgers.edu:8080/data/asl-ftp/asllvd/demos/verify_start_end_handshape_annotations//test_auto_move//signs_mov_separ_signers/Brady_15059.mov","MOV")</f>
        <v>21</v>
      </c>
    </row>
    <row r="5983" s="2" customFormat="1" ht="13.5" customHeight="1">
      <c r="B5983" t="s" s="8">
        <v>2039</v>
      </c>
      <c r="C5983" t="s" s="9">
        <v>14</v>
      </c>
      <c r="D5983" t="s" s="8">
        <v>14</v>
      </c>
      <c r="E5983" t="s" s="9">
        <v>14</v>
      </c>
      <c r="F5983" t="s" s="10">
        <v>14</v>
      </c>
      <c r="G5983" t="s" s="11">
        <v>14</v>
      </c>
      <c r="H5983" t="s" s="10">
        <v>14</v>
      </c>
      <c r="I5983" t="s" s="11">
        <v>14</v>
      </c>
      <c r="J5983" t="s" s="11">
        <v>14</v>
      </c>
      <c r="K5983" t="s" s="12">
        <v>14</v>
      </c>
      <c r="L5983" t="s" s="12">
        <v>14</v>
      </c>
      <c r="M5983" t="s" s="10">
        <v>14</v>
      </c>
      <c r="N5983" t="s" s="11">
        <v>14</v>
      </c>
      <c r="O5983" t="s" s="8">
        <v>14</v>
      </c>
      <c r="P5983" t="s" s="8">
        <v>14</v>
      </c>
      <c r="Q5983" t="s" s="12">
        <v>14</v>
      </c>
      <c r="R5983" t="s" s="12">
        <v>14</v>
      </c>
    </row>
    <row r="5984" s="2" customFormat="1" ht="13.5" customHeight="1">
      <c r="B5984" s="13"/>
      <c r="C5984" t="s" s="9">
        <v>16</v>
      </c>
      <c r="D5984" t="s" s="8">
        <v>2039</v>
      </c>
      <c r="E5984" t="s" s="9">
        <v>2040</v>
      </c>
      <c r="F5984" t="s" s="10">
        <v>68</v>
      </c>
      <c r="G5984" t="s" s="11">
        <v>68</v>
      </c>
      <c r="H5984" t="s" s="10">
        <v>68</v>
      </c>
      <c r="I5984" t="s" s="11">
        <v>68</v>
      </c>
      <c r="J5984" t="s" s="11">
        <v>20</v>
      </c>
      <c r="K5984" s="15"/>
      <c r="L5984" t="s" s="16">
        <f>HYPERLINK("http://csr.bu.edu/ftp/asl/asllvd/demos/verify_start_end_handshape_annotations//test_auto_move//signs_mov_separ_signers/Liz_1306.mov","MOV")</f>
        <v>21</v>
      </c>
      <c r="M5984" t="s" s="10">
        <v>34</v>
      </c>
      <c r="N5984" s="17">
        <v>37</v>
      </c>
      <c r="O5984" s="18">
        <v>2425</v>
      </c>
      <c r="P5984" s="18">
        <v>2466</v>
      </c>
      <c r="Q5984" s="15"/>
      <c r="R5984" t="s" s="16">
        <f>HYPERLINK("http://secrets.rutgers.edu:8080/data/asl-ftp/asllvd/demos/verify_start_end_handshape_annotations//test_auto_move//signs_mov_separ_signers/Liz_1306.mov","MOV")</f>
        <v>21</v>
      </c>
    </row>
    <row r="5985" s="2" customFormat="1" ht="13.5" customHeight="1">
      <c r="B5985" s="13"/>
      <c r="C5985" t="s" s="9">
        <v>16</v>
      </c>
      <c r="D5985" t="s" s="8">
        <v>2039</v>
      </c>
      <c r="E5985" t="s" s="9">
        <v>2041</v>
      </c>
      <c r="F5985" t="s" s="10">
        <v>68</v>
      </c>
      <c r="G5985" t="s" s="11">
        <v>68</v>
      </c>
      <c r="H5985" t="s" s="10">
        <v>68</v>
      </c>
      <c r="I5985" t="s" s="11">
        <v>68</v>
      </c>
      <c r="J5985" t="s" s="11">
        <v>20</v>
      </c>
      <c r="K5985" s="15"/>
      <c r="L5985" t="s" s="16">
        <f>HYPERLINK("http://csr.bu.edu/ftp/asl/asllvd/demos/verify_start_end_handshape_annotations//test_auto_move//signs_mov_separ_signers/Liz_3322.mov","MOV")</f>
        <v>21</v>
      </c>
      <c r="M5985" t="s" s="10">
        <v>59</v>
      </c>
      <c r="N5985" s="17">
        <v>44</v>
      </c>
      <c r="O5985" s="18">
        <v>1930</v>
      </c>
      <c r="P5985" s="18">
        <v>1984</v>
      </c>
      <c r="Q5985" s="15"/>
      <c r="R5985" t="s" s="16">
        <f>HYPERLINK("http://secrets.rutgers.edu:8080/data/asl-ftp/asllvd/demos/verify_start_end_handshape_annotations//test_auto_move//signs_mov_separ_signers/Liz_3322.mov","MOV")</f>
        <v>21</v>
      </c>
    </row>
    <row r="5986" s="2" customFormat="1" ht="13.5" customHeight="1">
      <c r="B5986" s="13"/>
      <c r="C5986" t="s" s="9">
        <v>23</v>
      </c>
      <c r="D5986" t="s" s="8">
        <v>2039</v>
      </c>
      <c r="E5986" t="s" s="9">
        <v>2042</v>
      </c>
      <c r="F5986" t="s" s="10">
        <v>68</v>
      </c>
      <c r="G5986" t="s" s="11">
        <v>68</v>
      </c>
      <c r="H5986" t="s" s="10">
        <v>68</v>
      </c>
      <c r="I5986" t="s" s="11">
        <v>68</v>
      </c>
      <c r="J5986" t="s" s="11">
        <v>20</v>
      </c>
      <c r="K5986" s="15"/>
      <c r="L5986" t="s" s="16">
        <f>HYPERLINK("http://csr.bu.edu/ftp/asl/asllvd/demos/verify_start_end_handshape_annotations//test_auto_move//signs_mov_separ_signers/Tyler_1306.mov","MOV")</f>
        <v>21</v>
      </c>
      <c r="M5986" t="s" s="10">
        <v>92</v>
      </c>
      <c r="N5986" s="17">
        <v>1</v>
      </c>
      <c r="O5986" s="18">
        <v>237</v>
      </c>
      <c r="P5986" s="18">
        <v>300</v>
      </c>
      <c r="Q5986" s="15"/>
      <c r="R5986" t="s" s="16">
        <f>HYPERLINK("http://secrets.rutgers.edu:8080/data/asl-ftp/asllvd/demos/verify_start_end_handshape_annotations//test_auto_move//signs_mov_separ_signers/Tyler_1306.mov","MOV")</f>
        <v>21</v>
      </c>
    </row>
    <row r="5987" s="2" customFormat="1" ht="13.5" customHeight="1">
      <c r="B5987" s="13"/>
      <c r="C5987" t="s" s="9">
        <v>23</v>
      </c>
      <c r="D5987" t="s" s="8">
        <v>2039</v>
      </c>
      <c r="E5987" t="s" s="9">
        <v>2041</v>
      </c>
      <c r="F5987" t="s" s="10">
        <v>68</v>
      </c>
      <c r="G5987" t="s" s="11">
        <v>68</v>
      </c>
      <c r="H5987" t="s" s="10">
        <v>68</v>
      </c>
      <c r="I5987" t="s" s="11">
        <v>68</v>
      </c>
      <c r="J5987" t="s" s="11">
        <v>20</v>
      </c>
      <c r="K5987" t="s" s="16">
        <f>HYPERLINK("http://csr.bu.edu/ftp/asl/asllvd/demos/verify_start_end_handshape_annotations//test_auto_move//signs_mov/1306_3322_merged.mov","MOV")</f>
        <v>21</v>
      </c>
      <c r="L5987" t="s" s="16">
        <f>HYPERLINK("http://csr.bu.edu/ftp/asl/asllvd/demos/verify_start_end_handshape_annotations//test_auto_move//signs_mov_separ_signers/Tyler_3322.mov","MOV")</f>
        <v>21</v>
      </c>
      <c r="M5987" t="s" s="10">
        <v>37</v>
      </c>
      <c r="N5987" s="17">
        <v>11</v>
      </c>
      <c r="O5987" s="18">
        <v>1732</v>
      </c>
      <c r="P5987" s="18">
        <v>1771</v>
      </c>
      <c r="Q5987" t="s" s="16">
        <f>HYPERLINK("http://secrets.rutgers.edu:8080/data/asl-ftp/asllvd/demos/verify_start_end_handshape_annotations//test_auto_move//signs_mov/1306_3322_merged.mov","MOV")</f>
        <v>21</v>
      </c>
      <c r="R5987" t="s" s="16">
        <f>HYPERLINK("http://secrets.rutgers.edu:8080/data/asl-ftp/asllvd/demos/verify_start_end_handshape_annotations//test_auto_move//signs_mov_separ_signers/Tyler_3322.mov","MOV")</f>
        <v>21</v>
      </c>
    </row>
    <row r="5988" s="2" customFormat="1" ht="13.5" customHeight="1">
      <c r="B5988" s="13"/>
      <c r="C5988" t="s" s="9">
        <v>27</v>
      </c>
      <c r="D5988" t="s" s="8">
        <v>2039</v>
      </c>
      <c r="E5988" t="s" s="9">
        <v>2040</v>
      </c>
      <c r="F5988" t="s" s="10">
        <v>63</v>
      </c>
      <c r="G5988" t="s" s="11">
        <v>68</v>
      </c>
      <c r="H5988" t="s" s="10">
        <v>63</v>
      </c>
      <c r="I5988" t="s" s="11">
        <v>68</v>
      </c>
      <c r="J5988" t="s" s="11">
        <v>20</v>
      </c>
      <c r="K5988" s="15"/>
      <c r="L5988" t="s" s="16">
        <f>HYPERLINK("http://csr.bu.edu/ftp/asl/asllvd/demos/verify_start_end_handshape_annotations//test_auto_move//signs_mov_separ_signers/Naomi_1306.mov","MOV")</f>
        <v>21</v>
      </c>
      <c r="M5988" t="s" s="10">
        <v>38</v>
      </c>
      <c r="N5988" s="17">
        <v>31</v>
      </c>
      <c r="O5988" s="18">
        <v>1727</v>
      </c>
      <c r="P5988" s="18">
        <v>1760</v>
      </c>
      <c r="Q5988" s="15"/>
      <c r="R5988" t="s" s="16">
        <f>HYPERLINK("http://secrets.rutgers.edu:8080/data/asl-ftp/asllvd/demos/verify_start_end_handshape_annotations//test_auto_move//signs_mov_separ_signers/Naomi_1306.mov","MOV")</f>
        <v>21</v>
      </c>
    </row>
    <row r="5989" s="2" customFormat="1" ht="13.5" customHeight="1">
      <c r="B5989" s="13"/>
      <c r="C5989" t="s" s="9">
        <v>30</v>
      </c>
      <c r="D5989" t="s" s="8">
        <v>2039</v>
      </c>
      <c r="E5989" t="s" s="9">
        <v>2041</v>
      </c>
      <c r="F5989" t="s" s="10">
        <v>68</v>
      </c>
      <c r="G5989" t="s" s="11">
        <v>68</v>
      </c>
      <c r="H5989" t="s" s="10">
        <v>68</v>
      </c>
      <c r="I5989" t="s" s="11">
        <v>68</v>
      </c>
      <c r="J5989" t="s" s="11">
        <v>20</v>
      </c>
      <c r="K5989" s="15"/>
      <c r="L5989" t="s" s="16">
        <f>HYPERLINK("http://csr.bu.edu/ftp/asl/asllvd/demos/verify_start_end_handshape_annotations//test_auto_move//signs_mov_separ_signers/Brady_1306.mov","MOV")</f>
        <v>21</v>
      </c>
      <c r="M5989" t="s" s="10">
        <v>39</v>
      </c>
      <c r="N5989" s="17">
        <v>43</v>
      </c>
      <c r="O5989" s="18">
        <v>4795</v>
      </c>
      <c r="P5989" s="18">
        <v>4818</v>
      </c>
      <c r="Q5989" s="15"/>
      <c r="R5989" t="s" s="16">
        <f>HYPERLINK("http://secrets.rutgers.edu:8080/data/asl-ftp/asllvd/demos/verify_start_end_handshape_annotations//test_auto_move//signs_mov_separ_signers/Brady_1306.mov","MOV")</f>
        <v>21</v>
      </c>
    </row>
    <row r="5990" s="2" customFormat="1" ht="13.5" customHeight="1">
      <c r="B5990" s="13"/>
      <c r="C5990" t="s" s="9">
        <v>30</v>
      </c>
      <c r="D5990" t="s" s="8">
        <v>2039</v>
      </c>
      <c r="E5990" t="s" s="9">
        <v>2041</v>
      </c>
      <c r="F5990" t="s" s="10">
        <v>68</v>
      </c>
      <c r="G5990" t="s" s="11">
        <v>68</v>
      </c>
      <c r="H5990" t="s" s="10">
        <v>68</v>
      </c>
      <c r="I5990" t="s" s="11">
        <v>68</v>
      </c>
      <c r="J5990" t="s" s="11">
        <v>20</v>
      </c>
      <c r="K5990" s="15"/>
      <c r="L5990" t="s" s="16">
        <f>HYPERLINK("http://csr.bu.edu/ftp/asl/asllvd/demos/verify_start_end_handshape_annotations//test_auto_move//signs_mov_separ_signers/Brady_3322.mov","MOV")</f>
        <v>21</v>
      </c>
      <c r="M5990" t="s" s="10">
        <v>60</v>
      </c>
      <c r="N5990" s="17">
        <v>32</v>
      </c>
      <c r="O5990" s="18">
        <v>2308</v>
      </c>
      <c r="P5990" s="18">
        <v>2344</v>
      </c>
      <c r="Q5990" s="15"/>
      <c r="R5990" t="s" s="16">
        <f>HYPERLINK("http://secrets.rutgers.edu:8080/data/asl-ftp/asllvd/demos/verify_start_end_handshape_annotations//test_auto_move//signs_mov_separ_signers/Brady_3322.mov","MOV")</f>
        <v>21</v>
      </c>
    </row>
    <row r="5991" s="2" customFormat="1" ht="13.5" customHeight="1">
      <c r="B5991" s="13"/>
      <c r="C5991" t="s" s="9">
        <v>41</v>
      </c>
      <c r="D5991" t="s" s="8">
        <v>2039</v>
      </c>
      <c r="E5991" t="s" s="9">
        <v>2040</v>
      </c>
      <c r="F5991" t="s" s="10">
        <v>68</v>
      </c>
      <c r="G5991" t="s" s="11">
        <v>68</v>
      </c>
      <c r="H5991" t="s" s="10">
        <v>68</v>
      </c>
      <c r="I5991" t="s" s="11">
        <v>68</v>
      </c>
      <c r="J5991" t="s" s="11">
        <v>20</v>
      </c>
      <c r="K5991" s="15"/>
      <c r="L5991" t="s" s="16">
        <f>HYPERLINK("http://csr.bu.edu/ftp/asl/asllvd/demos/verify_start_end_handshape_annotations//test_auto_move//signs_mov_separ_signers/Lana_1306.mov","MOV")</f>
        <v>21</v>
      </c>
      <c r="M5991" t="s" s="10">
        <v>442</v>
      </c>
      <c r="N5991" s="17">
        <v>61</v>
      </c>
      <c r="O5991" s="18">
        <v>3109</v>
      </c>
      <c r="P5991" s="18">
        <v>3144</v>
      </c>
      <c r="Q5991" s="15"/>
      <c r="R5991" t="s" s="16">
        <f>HYPERLINK("http://secrets.rutgers.edu:8080/data/asl-ftp/asllvd/demos/verify_start_end_handshape_annotations//test_auto_move//signs_mov_separ_signers/Lana_1306.mov","MOV")</f>
        <v>21</v>
      </c>
    </row>
    <row r="5992" s="2" customFormat="1" ht="13.5" customHeight="1">
      <c r="B5992" t="s" s="8">
        <v>2043</v>
      </c>
      <c r="C5992" t="s" s="9">
        <v>14</v>
      </c>
      <c r="D5992" t="s" s="8">
        <v>14</v>
      </c>
      <c r="E5992" t="s" s="9">
        <v>14</v>
      </c>
      <c r="F5992" t="s" s="10">
        <v>14</v>
      </c>
      <c r="G5992" t="s" s="11">
        <v>14</v>
      </c>
      <c r="H5992" t="s" s="10">
        <v>14</v>
      </c>
      <c r="I5992" t="s" s="11">
        <v>14</v>
      </c>
      <c r="J5992" t="s" s="11">
        <v>14</v>
      </c>
      <c r="K5992" t="s" s="12">
        <v>14</v>
      </c>
      <c r="L5992" t="s" s="12">
        <v>14</v>
      </c>
      <c r="M5992" t="s" s="10">
        <v>14</v>
      </c>
      <c r="N5992" t="s" s="11">
        <v>14</v>
      </c>
      <c r="O5992" t="s" s="8">
        <v>14</v>
      </c>
      <c r="P5992" t="s" s="8">
        <v>14</v>
      </c>
      <c r="Q5992" t="s" s="12">
        <v>14</v>
      </c>
      <c r="R5992" t="s" s="12">
        <v>14</v>
      </c>
    </row>
    <row r="5993" s="2" customFormat="1" ht="13.5" customHeight="1">
      <c r="B5993" s="13"/>
      <c r="C5993" t="s" s="9">
        <v>16</v>
      </c>
      <c r="D5993" t="s" s="8">
        <v>2043</v>
      </c>
      <c r="E5993" t="s" s="9">
        <v>2044</v>
      </c>
      <c r="F5993" t="s" s="10">
        <v>51</v>
      </c>
      <c r="G5993" t="s" s="11">
        <v>68</v>
      </c>
      <c r="H5993" t="s" s="10">
        <v>51</v>
      </c>
      <c r="I5993" t="s" s="11">
        <v>68</v>
      </c>
      <c r="J5993" t="s" s="11">
        <v>20</v>
      </c>
      <c r="K5993" s="15"/>
      <c r="L5993" t="s" s="16">
        <f>HYPERLINK("http://csr.bu.edu/ftp/asl/asllvd/demos/verify_start_end_handshape_annotations//test_auto_move//signs_mov_separ_signers/Liz_15720.mov","MOV")</f>
        <v>21</v>
      </c>
      <c r="M5993" t="s" s="10">
        <v>84</v>
      </c>
      <c r="N5993" s="17">
        <v>26</v>
      </c>
      <c r="O5993" s="18">
        <v>1585</v>
      </c>
      <c r="P5993" s="18">
        <v>1620</v>
      </c>
      <c r="Q5993" s="15"/>
      <c r="R5993" t="s" s="16">
        <f>HYPERLINK("http://secrets.rutgers.edu:8080/data/asl-ftp/asllvd/demos/verify_start_end_handshape_annotations//test_auto_move//signs_mov_separ_signers/Liz_15720.mov","MOV")</f>
        <v>21</v>
      </c>
    </row>
    <row r="5994" s="2" customFormat="1" ht="13.5" customHeight="1">
      <c r="B5994" s="13"/>
      <c r="C5994" t="s" s="9">
        <v>27</v>
      </c>
      <c r="D5994" t="s" s="8">
        <v>2043</v>
      </c>
      <c r="E5994" t="s" s="9">
        <v>2044</v>
      </c>
      <c r="F5994" t="s" s="10">
        <v>51</v>
      </c>
      <c r="G5994" t="s" s="11">
        <v>68</v>
      </c>
      <c r="H5994" t="s" s="10">
        <v>51</v>
      </c>
      <c r="I5994" t="s" s="11">
        <v>68</v>
      </c>
      <c r="J5994" t="s" s="11">
        <v>20</v>
      </c>
      <c r="K5994" t="s" s="16">
        <f>HYPERLINK("http://csr.bu.edu/ftp/asl/asllvd/demos/verify_start_end_handshape_annotations//test_auto_move//signs_mov/15720.mov","MOV")</f>
        <v>21</v>
      </c>
      <c r="L5994" t="s" s="16">
        <f>HYPERLINK("http://csr.bu.edu/ftp/asl/asllvd/demos/verify_start_end_handshape_annotations//test_auto_move//signs_mov_separ_signers/Naomi_15720.mov","MOV")</f>
        <v>21</v>
      </c>
      <c r="M5994" t="s" s="10">
        <v>86</v>
      </c>
      <c r="N5994" s="17">
        <v>26</v>
      </c>
      <c r="O5994" s="18">
        <v>2465</v>
      </c>
      <c r="P5994" s="18">
        <v>2500</v>
      </c>
      <c r="Q5994" t="s" s="16">
        <f>HYPERLINK("http://secrets.rutgers.edu:8080/data/asl-ftp/asllvd/demos/verify_start_end_handshape_annotations//test_auto_move//signs_mov/15720.mov","MOV")</f>
        <v>21</v>
      </c>
      <c r="R5994" t="s" s="16">
        <f>HYPERLINK("http://secrets.rutgers.edu:8080/data/asl-ftp/asllvd/demos/verify_start_end_handshape_annotations//test_auto_move//signs_mov_separ_signers/Naomi_15720.mov","MOV")</f>
        <v>21</v>
      </c>
    </row>
    <row r="5995" s="2" customFormat="1" ht="13.5" customHeight="1">
      <c r="B5995" s="13"/>
      <c r="C5995" t="s" s="9">
        <v>30</v>
      </c>
      <c r="D5995" t="s" s="8">
        <v>2043</v>
      </c>
      <c r="E5995" t="s" s="9">
        <v>2044</v>
      </c>
      <c r="F5995" t="s" s="10">
        <v>51</v>
      </c>
      <c r="G5995" t="s" s="11">
        <v>68</v>
      </c>
      <c r="H5995" t="s" s="10">
        <v>51</v>
      </c>
      <c r="I5995" t="s" s="11">
        <v>68</v>
      </c>
      <c r="J5995" t="s" s="11">
        <v>20</v>
      </c>
      <c r="K5995" s="15"/>
      <c r="L5995" t="s" s="16">
        <f>HYPERLINK("http://csr.bu.edu/ftp/asl/asllvd/demos/verify_start_end_handshape_annotations//test_auto_move//signs_mov_separ_signers/Brady_15720.mov","MOV")</f>
        <v>21</v>
      </c>
      <c r="M5995" t="s" s="10">
        <v>39</v>
      </c>
      <c r="N5995" s="17">
        <v>9</v>
      </c>
      <c r="O5995" s="18">
        <v>1693</v>
      </c>
      <c r="P5995" s="18">
        <v>1707</v>
      </c>
      <c r="Q5995" s="15"/>
      <c r="R5995" t="s" s="16">
        <f>HYPERLINK("http://secrets.rutgers.edu:8080/data/asl-ftp/asllvd/demos/verify_start_end_handshape_annotations//test_auto_move//signs_mov_separ_signers/Brady_15720.mov","MOV")</f>
        <v>21</v>
      </c>
    </row>
    <row r="5996" s="2" customFormat="1" ht="13.5" customHeight="1">
      <c r="B5996" t="s" s="8">
        <v>2045</v>
      </c>
      <c r="C5996" t="s" s="9">
        <v>14</v>
      </c>
      <c r="D5996" t="s" s="8">
        <v>14</v>
      </c>
      <c r="E5996" t="s" s="9">
        <v>14</v>
      </c>
      <c r="F5996" t="s" s="10">
        <v>14</v>
      </c>
      <c r="G5996" t="s" s="11">
        <v>14</v>
      </c>
      <c r="H5996" t="s" s="10">
        <v>14</v>
      </c>
      <c r="I5996" t="s" s="11">
        <v>14</v>
      </c>
      <c r="J5996" t="s" s="11">
        <v>14</v>
      </c>
      <c r="K5996" t="s" s="12">
        <v>14</v>
      </c>
      <c r="L5996" t="s" s="12">
        <v>14</v>
      </c>
      <c r="M5996" t="s" s="10">
        <v>14</v>
      </c>
      <c r="N5996" t="s" s="11">
        <v>14</v>
      </c>
      <c r="O5996" t="s" s="8">
        <v>14</v>
      </c>
      <c r="P5996" t="s" s="8">
        <v>14</v>
      </c>
      <c r="Q5996" t="s" s="12">
        <v>14</v>
      </c>
      <c r="R5996" t="s" s="12">
        <v>14</v>
      </c>
    </row>
    <row r="5997" s="2" customFormat="1" ht="13.5" customHeight="1">
      <c r="B5997" s="13"/>
      <c r="C5997" t="s" s="9">
        <v>16</v>
      </c>
      <c r="D5997" t="s" s="8">
        <v>2045</v>
      </c>
      <c r="E5997" t="s" s="9">
        <v>2045</v>
      </c>
      <c r="F5997" t="s" s="10">
        <v>25</v>
      </c>
      <c r="G5997" s="14"/>
      <c r="H5997" t="s" s="10">
        <v>25</v>
      </c>
      <c r="I5997" s="14"/>
      <c r="J5997" t="s" s="11">
        <v>20</v>
      </c>
      <c r="K5997" t="s" s="16">
        <f>HYPERLINK("http://csr.bu.edu/ftp/asl/asllvd/demos/verify_start_end_handshape_annotations//test_auto_move//signs_mov/1308.mov","MOV")</f>
        <v>21</v>
      </c>
      <c r="L5997" t="s" s="16">
        <f>HYPERLINK("http://csr.bu.edu/ftp/asl/asllvd/demos/verify_start_end_handshape_annotations//test_auto_move//signs_mov_separ_signers/Liz_1308.mov","MOV")</f>
        <v>21</v>
      </c>
      <c r="M5997" t="s" s="10">
        <v>34</v>
      </c>
      <c r="N5997" s="17">
        <v>37</v>
      </c>
      <c r="O5997" s="18">
        <v>3059</v>
      </c>
      <c r="P5997" s="18">
        <v>3105</v>
      </c>
      <c r="Q5997" t="s" s="16">
        <f>HYPERLINK("http://secrets.rutgers.edu:8080/data/asl-ftp/asllvd/demos/verify_start_end_handshape_annotations//test_auto_move//signs_mov/1308.mov","MOV")</f>
        <v>21</v>
      </c>
      <c r="R5997" t="s" s="16">
        <f>HYPERLINK("http://secrets.rutgers.edu:8080/data/asl-ftp/asllvd/demos/verify_start_end_handshape_annotations//test_auto_move//signs_mov_separ_signers/Liz_1308.mov","MOV")</f>
        <v>21</v>
      </c>
    </row>
    <row r="5998" s="2" customFormat="1" ht="13.5" customHeight="1">
      <c r="B5998" t="s" s="8">
        <v>2046</v>
      </c>
      <c r="C5998" t="s" s="9">
        <v>14</v>
      </c>
      <c r="D5998" t="s" s="8">
        <v>14</v>
      </c>
      <c r="E5998" t="s" s="9">
        <v>14</v>
      </c>
      <c r="F5998" t="s" s="10">
        <v>14</v>
      </c>
      <c r="G5998" t="s" s="11">
        <v>14</v>
      </c>
      <c r="H5998" t="s" s="10">
        <v>14</v>
      </c>
      <c r="I5998" t="s" s="11">
        <v>14</v>
      </c>
      <c r="J5998" t="s" s="11">
        <v>14</v>
      </c>
      <c r="K5998" t="s" s="12">
        <v>14</v>
      </c>
      <c r="L5998" t="s" s="12">
        <v>14</v>
      </c>
      <c r="M5998" t="s" s="10">
        <v>14</v>
      </c>
      <c r="N5998" t="s" s="11">
        <v>14</v>
      </c>
      <c r="O5998" t="s" s="8">
        <v>14</v>
      </c>
      <c r="P5998" t="s" s="8">
        <v>14</v>
      </c>
      <c r="Q5998" t="s" s="12">
        <v>14</v>
      </c>
      <c r="R5998" t="s" s="12">
        <v>14</v>
      </c>
    </row>
    <row r="5999" s="2" customFormat="1" ht="13.5" customHeight="1">
      <c r="B5999" s="13"/>
      <c r="C5999" t="s" s="9">
        <v>30</v>
      </c>
      <c r="D5999" t="s" s="8">
        <v>2046</v>
      </c>
      <c r="E5999" t="s" s="9">
        <v>2046</v>
      </c>
      <c r="F5999" s="19">
        <v>1</v>
      </c>
      <c r="G5999" s="14"/>
      <c r="H5999" t="s" s="10">
        <v>20</v>
      </c>
      <c r="I5999" s="14"/>
      <c r="J5999" t="s" s="11">
        <v>20</v>
      </c>
      <c r="K5999" t="s" s="16">
        <f>HYPERLINK("http://csr.bu.edu/ftp/asl/asllvd/demos/verify_start_end_handshape_annotations//test_auto_move//signs_mov/15060.mov","MOV")</f>
        <v>21</v>
      </c>
      <c r="L5999" t="s" s="16">
        <f>HYPERLINK("http://csr.bu.edu/ftp/asl/asllvd/demos/verify_start_end_handshape_annotations//test_auto_move//signs_mov_separ_signers/Brady_15060.mov","MOV")</f>
        <v>21</v>
      </c>
      <c r="M5999" t="s" s="10">
        <v>39</v>
      </c>
      <c r="N5999" s="17">
        <v>43</v>
      </c>
      <c r="O5999" s="18">
        <v>5924</v>
      </c>
      <c r="P5999" s="18">
        <v>5968</v>
      </c>
      <c r="Q5999" t="s" s="16">
        <f>HYPERLINK("http://secrets.rutgers.edu:8080/data/asl-ftp/asllvd/demos/verify_start_end_handshape_annotations//test_auto_move//signs_mov/15060.mov","MOV")</f>
        <v>21</v>
      </c>
      <c r="R5999" t="s" s="16">
        <f>HYPERLINK("http://secrets.rutgers.edu:8080/data/asl-ftp/asllvd/demos/verify_start_end_handshape_annotations//test_auto_move//signs_mov_separ_signers/Brady_15060.mov","MOV")</f>
        <v>21</v>
      </c>
    </row>
    <row r="6000" s="2" customFormat="1" ht="13.5" customHeight="1">
      <c r="B6000" t="s" s="8">
        <v>2047</v>
      </c>
      <c r="C6000" t="s" s="9">
        <v>14</v>
      </c>
      <c r="D6000" t="s" s="8">
        <v>14</v>
      </c>
      <c r="E6000" t="s" s="9">
        <v>14</v>
      </c>
      <c r="F6000" t="s" s="10">
        <v>14</v>
      </c>
      <c r="G6000" t="s" s="11">
        <v>14</v>
      </c>
      <c r="H6000" t="s" s="10">
        <v>14</v>
      </c>
      <c r="I6000" t="s" s="11">
        <v>14</v>
      </c>
      <c r="J6000" t="s" s="11">
        <v>14</v>
      </c>
      <c r="K6000" t="s" s="12">
        <v>14</v>
      </c>
      <c r="L6000" t="s" s="12">
        <v>14</v>
      </c>
      <c r="M6000" t="s" s="10">
        <v>14</v>
      </c>
      <c r="N6000" t="s" s="11">
        <v>14</v>
      </c>
      <c r="O6000" t="s" s="8">
        <v>14</v>
      </c>
      <c r="P6000" t="s" s="8">
        <v>14</v>
      </c>
      <c r="Q6000" t="s" s="12">
        <v>14</v>
      </c>
      <c r="R6000" t="s" s="12">
        <v>14</v>
      </c>
    </row>
    <row r="6001" s="2" customFormat="1" ht="13.5" customHeight="1">
      <c r="B6001" s="13"/>
      <c r="C6001" t="s" s="9">
        <v>16</v>
      </c>
      <c r="D6001" t="s" s="8">
        <v>2047</v>
      </c>
      <c r="E6001" t="s" s="9">
        <v>2047</v>
      </c>
      <c r="F6001" t="s" s="10">
        <v>230</v>
      </c>
      <c r="G6001" t="s" s="11">
        <v>150</v>
      </c>
      <c r="H6001" t="s" s="10">
        <v>230</v>
      </c>
      <c r="I6001" t="s" s="11">
        <v>150</v>
      </c>
      <c r="J6001" t="s" s="11">
        <v>20</v>
      </c>
      <c r="K6001" s="15"/>
      <c r="L6001" t="s" s="16">
        <f>HYPERLINK("http://csr.bu.edu/ftp/asl/asllvd/demos/verify_start_end_handshape_annotations//test_auto_move//signs_mov_separ_signers/Liz_1313.mov","MOV")</f>
        <v>21</v>
      </c>
      <c r="M6001" t="s" s="10">
        <v>34</v>
      </c>
      <c r="N6001" s="17">
        <v>38</v>
      </c>
      <c r="O6001" s="18">
        <v>2430</v>
      </c>
      <c r="P6001" s="18">
        <v>2495</v>
      </c>
      <c r="Q6001" s="15"/>
      <c r="R6001" t="s" s="16">
        <f>HYPERLINK("http://secrets.rutgers.edu:8080/data/asl-ftp/asllvd/demos/verify_start_end_handshape_annotations//test_auto_move//signs_mov_separ_signers/Liz_1313.mov","MOV")</f>
        <v>21</v>
      </c>
    </row>
    <row r="6002" s="2" customFormat="1" ht="13.5" customHeight="1">
      <c r="B6002" s="13"/>
      <c r="C6002" t="s" s="9">
        <v>23</v>
      </c>
      <c r="D6002" t="s" s="8">
        <v>2047</v>
      </c>
      <c r="E6002" t="s" s="9">
        <v>2047</v>
      </c>
      <c r="F6002" t="s" s="10">
        <v>230</v>
      </c>
      <c r="G6002" t="s" s="11">
        <v>73</v>
      </c>
      <c r="H6002" t="s" s="10">
        <v>230</v>
      </c>
      <c r="I6002" t="s" s="11">
        <v>73</v>
      </c>
      <c r="J6002" t="s" s="11">
        <v>20</v>
      </c>
      <c r="K6002" t="s" s="16">
        <f>HYPERLINK("http://csr.bu.edu/ftp/asl/asllvd/demos/verify_start_end_handshape_annotations//test_auto_move//signs_mov/1313.mov","MOV")</f>
        <v>21</v>
      </c>
      <c r="L6002" t="s" s="16">
        <f>HYPERLINK("http://csr.bu.edu/ftp/asl/asllvd/demos/verify_start_end_handshape_annotations//test_auto_move//signs_mov_separ_signers/Tyler_1313.mov","MOV")</f>
        <v>21</v>
      </c>
      <c r="M6002" t="s" s="10">
        <v>37</v>
      </c>
      <c r="N6002" s="17">
        <v>12</v>
      </c>
      <c r="O6002" s="18">
        <v>955</v>
      </c>
      <c r="P6002" s="18">
        <v>990</v>
      </c>
      <c r="Q6002" t="s" s="16">
        <f>HYPERLINK("http://secrets.rutgers.edu:8080/data/asl-ftp/asllvd/demos/verify_start_end_handshape_annotations//test_auto_move//signs_mov/1313.mov","MOV")</f>
        <v>21</v>
      </c>
      <c r="R6002" t="s" s="16">
        <f>HYPERLINK("http://secrets.rutgers.edu:8080/data/asl-ftp/asllvd/demos/verify_start_end_handshape_annotations//test_auto_move//signs_mov_separ_signers/Tyler_1313.mov","MOV")</f>
        <v>21</v>
      </c>
    </row>
    <row r="6003" s="2" customFormat="1" ht="13.5" customHeight="1">
      <c r="B6003" s="13"/>
      <c r="C6003" t="s" s="9">
        <v>27</v>
      </c>
      <c r="D6003" t="s" s="8">
        <v>2047</v>
      </c>
      <c r="E6003" t="s" s="9">
        <v>2047</v>
      </c>
      <c r="F6003" t="s" s="10">
        <v>230</v>
      </c>
      <c r="G6003" t="s" s="11">
        <v>73</v>
      </c>
      <c r="H6003" t="s" s="10">
        <v>230</v>
      </c>
      <c r="I6003" t="s" s="11">
        <v>73</v>
      </c>
      <c r="J6003" t="s" s="11">
        <v>20</v>
      </c>
      <c r="K6003" s="15"/>
      <c r="L6003" t="s" s="16">
        <f>HYPERLINK("http://csr.bu.edu/ftp/asl/asllvd/demos/verify_start_end_handshape_annotations//test_auto_move//signs_mov_separ_signers/Naomi_1313.mov","MOV")</f>
        <v>21</v>
      </c>
      <c r="M6003" t="s" s="10">
        <v>38</v>
      </c>
      <c r="N6003" s="17">
        <v>32</v>
      </c>
      <c r="O6003" s="18">
        <v>1167</v>
      </c>
      <c r="P6003" s="18">
        <v>1202</v>
      </c>
      <c r="Q6003" s="15"/>
      <c r="R6003" t="s" s="16">
        <f>HYPERLINK("http://secrets.rutgers.edu:8080/data/asl-ftp/asllvd/demos/verify_start_end_handshape_annotations//test_auto_move//signs_mov_separ_signers/Naomi_1313.mov","MOV")</f>
        <v>21</v>
      </c>
    </row>
    <row r="6004" s="2" customFormat="1" ht="13.5" customHeight="1">
      <c r="B6004" s="13"/>
      <c r="C6004" t="s" s="9">
        <v>30</v>
      </c>
      <c r="D6004" t="s" s="8">
        <v>2047</v>
      </c>
      <c r="E6004" t="s" s="9">
        <v>2047</v>
      </c>
      <c r="F6004" t="s" s="10">
        <v>229</v>
      </c>
      <c r="G6004" t="s" s="11">
        <v>73</v>
      </c>
      <c r="H6004" t="s" s="10">
        <v>229</v>
      </c>
      <c r="I6004" t="s" s="11">
        <v>73</v>
      </c>
      <c r="J6004" t="s" s="11">
        <v>20</v>
      </c>
      <c r="K6004" s="15"/>
      <c r="L6004" t="s" s="16">
        <f>HYPERLINK("http://csr.bu.edu/ftp/asl/asllvd/demos/verify_start_end_handshape_annotations//test_auto_move//signs_mov_separ_signers/Brady_1313.mov","MOV")</f>
        <v>21</v>
      </c>
      <c r="M6004" t="s" s="10">
        <v>39</v>
      </c>
      <c r="N6004" s="17">
        <v>43</v>
      </c>
      <c r="O6004" s="18">
        <v>9912</v>
      </c>
      <c r="P6004" s="18">
        <v>9940</v>
      </c>
      <c r="Q6004" s="15"/>
      <c r="R6004" t="s" s="16">
        <f>HYPERLINK("http://secrets.rutgers.edu:8080/data/asl-ftp/asllvd/demos/verify_start_end_handshape_annotations//test_auto_move//signs_mov_separ_signers/Brady_1313.mov","MOV")</f>
        <v>21</v>
      </c>
    </row>
    <row r="6005" s="2" customFormat="1" ht="13.5" customHeight="1">
      <c r="B6005" t="s" s="8">
        <v>2048</v>
      </c>
      <c r="C6005" t="s" s="9">
        <v>14</v>
      </c>
      <c r="D6005" t="s" s="8">
        <v>14</v>
      </c>
      <c r="E6005" t="s" s="9">
        <v>14</v>
      </c>
      <c r="F6005" t="s" s="10">
        <v>14</v>
      </c>
      <c r="G6005" t="s" s="11">
        <v>14</v>
      </c>
      <c r="H6005" t="s" s="10">
        <v>14</v>
      </c>
      <c r="I6005" t="s" s="11">
        <v>14</v>
      </c>
      <c r="J6005" t="s" s="11">
        <v>14</v>
      </c>
      <c r="K6005" t="s" s="12">
        <v>14</v>
      </c>
      <c r="L6005" t="s" s="12">
        <v>14</v>
      </c>
      <c r="M6005" t="s" s="10">
        <v>14</v>
      </c>
      <c r="N6005" t="s" s="11">
        <v>14</v>
      </c>
      <c r="O6005" t="s" s="8">
        <v>14</v>
      </c>
      <c r="P6005" t="s" s="8">
        <v>14</v>
      </c>
      <c r="Q6005" t="s" s="12">
        <v>14</v>
      </c>
      <c r="R6005" t="s" s="12">
        <v>14</v>
      </c>
    </row>
    <row r="6006" s="2" customFormat="1" ht="13.5" customHeight="1">
      <c r="B6006" s="13"/>
      <c r="C6006" t="s" s="9">
        <v>16</v>
      </c>
      <c r="D6006" t="s" s="8">
        <v>2048</v>
      </c>
      <c r="E6006" t="s" s="9">
        <v>2048</v>
      </c>
      <c r="F6006" t="s" s="10">
        <v>230</v>
      </c>
      <c r="G6006" t="s" s="11">
        <v>150</v>
      </c>
      <c r="H6006" t="s" s="10">
        <v>229</v>
      </c>
      <c r="I6006" t="s" s="11">
        <v>150</v>
      </c>
      <c r="J6006" t="s" s="11">
        <v>20</v>
      </c>
      <c r="K6006" s="15"/>
      <c r="L6006" t="s" s="16">
        <f>HYPERLINK("http://csr.bu.edu/ftp/asl/asllvd/demos/verify_start_end_handshape_annotations//test_auto_move//signs_mov_separ_signers/Liz_15123.mov","MOV")</f>
        <v>21</v>
      </c>
      <c r="M6006" t="s" s="10">
        <v>34</v>
      </c>
      <c r="N6006" s="17">
        <v>38</v>
      </c>
      <c r="O6006" s="18">
        <v>2955</v>
      </c>
      <c r="P6006" s="18">
        <v>3005</v>
      </c>
      <c r="Q6006" s="15"/>
      <c r="R6006" t="s" s="16">
        <f>HYPERLINK("http://secrets.rutgers.edu:8080/data/asl-ftp/asllvd/demos/verify_start_end_handshape_annotations//test_auto_move//signs_mov_separ_signers/Liz_15123.mov","MOV")</f>
        <v>21</v>
      </c>
    </row>
    <row r="6007" s="2" customFormat="1" ht="13.5" customHeight="1">
      <c r="B6007" s="13"/>
      <c r="C6007" t="s" s="9">
        <v>23</v>
      </c>
      <c r="D6007" t="s" s="8">
        <v>2048</v>
      </c>
      <c r="E6007" t="s" s="9">
        <v>2048</v>
      </c>
      <c r="F6007" t="s" s="10">
        <v>230</v>
      </c>
      <c r="G6007" t="s" s="11">
        <v>73</v>
      </c>
      <c r="H6007" t="s" s="10">
        <v>229</v>
      </c>
      <c r="I6007" t="s" s="11">
        <v>73</v>
      </c>
      <c r="J6007" t="s" s="11">
        <v>20</v>
      </c>
      <c r="K6007" s="15"/>
      <c r="L6007" t="s" s="16">
        <f>HYPERLINK("http://csr.bu.edu/ftp/asl/asllvd/demos/verify_start_end_handshape_annotations//test_auto_move//signs_mov_separ_signers/Tyler_15123.mov","MOV")</f>
        <v>21</v>
      </c>
      <c r="M6007" t="s" s="10">
        <v>37</v>
      </c>
      <c r="N6007" s="17">
        <v>12</v>
      </c>
      <c r="O6007" s="18">
        <v>1225</v>
      </c>
      <c r="P6007" s="18">
        <v>1252</v>
      </c>
      <c r="Q6007" s="15"/>
      <c r="R6007" t="s" s="16">
        <f>HYPERLINK("http://secrets.rutgers.edu:8080/data/asl-ftp/asllvd/demos/verify_start_end_handshape_annotations//test_auto_move//signs_mov_separ_signers/Tyler_15123.mov","MOV")</f>
        <v>21</v>
      </c>
    </row>
    <row r="6008" s="2" customFormat="1" ht="13.5" customHeight="1">
      <c r="B6008" s="13"/>
      <c r="C6008" t="s" s="9">
        <v>27</v>
      </c>
      <c r="D6008" t="s" s="8">
        <v>2048</v>
      </c>
      <c r="E6008" t="s" s="9">
        <v>2048</v>
      </c>
      <c r="F6008" t="s" s="10">
        <v>230</v>
      </c>
      <c r="G6008" t="s" s="11">
        <v>73</v>
      </c>
      <c r="H6008" t="s" s="10">
        <v>229</v>
      </c>
      <c r="I6008" t="s" s="11">
        <v>73</v>
      </c>
      <c r="J6008" t="s" s="11">
        <v>20</v>
      </c>
      <c r="K6008" t="s" s="16">
        <f>HYPERLINK("http://csr.bu.edu/ftp/asl/asllvd/demos/verify_start_end_handshape_annotations//test_auto_move//signs_mov/15123_15124_merged.mov","MOV")</f>
        <v>21</v>
      </c>
      <c r="L6008" t="s" s="16">
        <f>HYPERLINK("http://csr.bu.edu/ftp/asl/asllvd/demos/verify_start_end_handshape_annotations//test_auto_move//signs_mov_separ_signers/Naomi_15123.mov","MOV")</f>
        <v>21</v>
      </c>
      <c r="M6008" t="s" s="10">
        <v>38</v>
      </c>
      <c r="N6008" s="17">
        <v>32</v>
      </c>
      <c r="O6008" s="18">
        <v>857</v>
      </c>
      <c r="P6008" s="18">
        <v>895</v>
      </c>
      <c r="Q6008" t="s" s="16">
        <f>HYPERLINK("http://secrets.rutgers.edu:8080/data/asl-ftp/asllvd/demos/verify_start_end_handshape_annotations//test_auto_move//signs_mov/15123_15124_merged.mov","MOV")</f>
        <v>21</v>
      </c>
      <c r="R6008" t="s" s="16">
        <f>HYPERLINK("http://secrets.rutgers.edu:8080/data/asl-ftp/asllvd/demos/verify_start_end_handshape_annotations//test_auto_move//signs_mov_separ_signers/Naomi_15123.mov","MOV")</f>
        <v>21</v>
      </c>
    </row>
    <row r="6009" s="2" customFormat="1" ht="13.5" customHeight="1">
      <c r="B6009" s="13"/>
      <c r="C6009" t="s" s="9">
        <v>27</v>
      </c>
      <c r="D6009" t="s" s="8">
        <v>2048</v>
      </c>
      <c r="E6009" t="s" s="9">
        <v>2048</v>
      </c>
      <c r="F6009" t="s" s="10">
        <v>230</v>
      </c>
      <c r="G6009" t="s" s="11">
        <v>73</v>
      </c>
      <c r="H6009" t="s" s="10">
        <v>230</v>
      </c>
      <c r="I6009" t="s" s="11">
        <v>73</v>
      </c>
      <c r="J6009" t="s" s="11">
        <v>20</v>
      </c>
      <c r="K6009" s="15"/>
      <c r="L6009" t="s" s="16">
        <f>HYPERLINK("http://csr.bu.edu/ftp/asl/asllvd/demos/verify_start_end_handshape_annotations//test_auto_move//signs_mov_separ_signers/Naomi_15124.mov","MOV")</f>
        <v>21</v>
      </c>
      <c r="M6009" t="s" s="10">
        <v>38</v>
      </c>
      <c r="N6009" s="17">
        <v>32</v>
      </c>
      <c r="O6009" s="18">
        <v>1498</v>
      </c>
      <c r="P6009" s="18">
        <v>1528</v>
      </c>
      <c r="Q6009" s="15"/>
      <c r="R6009" t="s" s="16">
        <f>HYPERLINK("http://secrets.rutgers.edu:8080/data/asl-ftp/asllvd/demos/verify_start_end_handshape_annotations//test_auto_move//signs_mov_separ_signers/Naomi_15124.mov","MOV")</f>
        <v>21</v>
      </c>
    </row>
    <row r="6010" s="2" customFormat="1" ht="13.5" customHeight="1">
      <c r="B6010" s="13"/>
      <c r="C6010" t="s" s="9">
        <v>30</v>
      </c>
      <c r="D6010" t="s" s="8">
        <v>2048</v>
      </c>
      <c r="E6010" t="s" s="9">
        <v>2048</v>
      </c>
      <c r="F6010" t="s" s="10">
        <v>344</v>
      </c>
      <c r="G6010" t="s" s="11">
        <v>109</v>
      </c>
      <c r="H6010" t="s" s="10">
        <v>229</v>
      </c>
      <c r="I6010" t="s" s="11">
        <v>109</v>
      </c>
      <c r="J6010" t="s" s="11">
        <v>20</v>
      </c>
      <c r="K6010" s="15"/>
      <c r="L6010" t="s" s="16">
        <f>HYPERLINK("http://csr.bu.edu/ftp/asl/asllvd/demos/verify_start_end_handshape_annotations//test_auto_move//signs_mov_separ_signers/Brady_15123.mov","MOV")</f>
        <v>21</v>
      </c>
      <c r="M6010" t="s" s="10">
        <v>39</v>
      </c>
      <c r="N6010" s="17">
        <v>43</v>
      </c>
      <c r="O6010" s="18">
        <v>11338</v>
      </c>
      <c r="P6010" s="18">
        <v>11363</v>
      </c>
      <c r="Q6010" s="15"/>
      <c r="R6010" t="s" s="16">
        <f>HYPERLINK("http://secrets.rutgers.edu:8080/data/asl-ftp/asllvd/demos/verify_start_end_handshape_annotations//test_auto_move//signs_mov_separ_signers/Brady_15123.mov","MOV")</f>
        <v>21</v>
      </c>
    </row>
    <row r="6011" s="2" customFormat="1" ht="13.5" customHeight="1">
      <c r="B6011" s="13"/>
      <c r="C6011" t="s" s="9">
        <v>30</v>
      </c>
      <c r="D6011" t="s" s="8">
        <v>2048</v>
      </c>
      <c r="E6011" t="s" s="9">
        <v>2048</v>
      </c>
      <c r="F6011" t="s" s="10">
        <v>230</v>
      </c>
      <c r="G6011" t="s" s="11">
        <v>109</v>
      </c>
      <c r="H6011" t="s" s="10">
        <v>229</v>
      </c>
      <c r="I6011" t="s" s="11">
        <v>109</v>
      </c>
      <c r="J6011" t="s" s="11">
        <v>20</v>
      </c>
      <c r="K6011" s="15"/>
      <c r="L6011" t="s" s="16">
        <f>HYPERLINK("http://csr.bu.edu/ftp/asl/asllvd/demos/verify_start_end_handshape_annotations//test_auto_move//signs_mov_separ_signers/Brady_15124.mov","MOV")</f>
        <v>21</v>
      </c>
      <c r="M6011" t="s" s="10">
        <v>39</v>
      </c>
      <c r="N6011" s="17">
        <v>43</v>
      </c>
      <c r="O6011" s="18">
        <v>11593</v>
      </c>
      <c r="P6011" s="18">
        <v>11623</v>
      </c>
      <c r="Q6011" s="15"/>
      <c r="R6011" t="s" s="16">
        <f>HYPERLINK("http://secrets.rutgers.edu:8080/data/asl-ftp/asllvd/demos/verify_start_end_handshape_annotations//test_auto_move//signs_mov_separ_signers/Brady_15124.mov","MOV")</f>
        <v>21</v>
      </c>
    </row>
    <row r="6012" s="2" customFormat="1" ht="13.5" customHeight="1">
      <c r="B6012" t="s" s="8">
        <v>2049</v>
      </c>
      <c r="C6012" t="s" s="9">
        <v>14</v>
      </c>
      <c r="D6012" t="s" s="8">
        <v>14</v>
      </c>
      <c r="E6012" t="s" s="9">
        <v>14</v>
      </c>
      <c r="F6012" t="s" s="10">
        <v>14</v>
      </c>
      <c r="G6012" t="s" s="11">
        <v>14</v>
      </c>
      <c r="H6012" t="s" s="10">
        <v>14</v>
      </c>
      <c r="I6012" t="s" s="11">
        <v>14</v>
      </c>
      <c r="J6012" t="s" s="11">
        <v>14</v>
      </c>
      <c r="K6012" t="s" s="12">
        <v>14</v>
      </c>
      <c r="L6012" t="s" s="12">
        <v>14</v>
      </c>
      <c r="M6012" t="s" s="10">
        <v>14</v>
      </c>
      <c r="N6012" t="s" s="11">
        <v>14</v>
      </c>
      <c r="O6012" t="s" s="8">
        <v>14</v>
      </c>
      <c r="P6012" t="s" s="8">
        <v>14</v>
      </c>
      <c r="Q6012" t="s" s="12">
        <v>14</v>
      </c>
      <c r="R6012" t="s" s="12">
        <v>14</v>
      </c>
    </row>
    <row r="6013" s="2" customFormat="1" ht="13.5" customHeight="1">
      <c r="B6013" s="13"/>
      <c r="C6013" t="s" s="9">
        <v>16</v>
      </c>
      <c r="D6013" t="s" s="8">
        <v>2049</v>
      </c>
      <c r="E6013" t="s" s="9">
        <v>2050</v>
      </c>
      <c r="F6013" t="s" s="10">
        <v>65</v>
      </c>
      <c r="G6013" t="s" s="11">
        <v>65</v>
      </c>
      <c r="H6013" t="s" s="10">
        <v>65</v>
      </c>
      <c r="I6013" t="s" s="11">
        <v>65</v>
      </c>
      <c r="J6013" t="s" s="11">
        <v>20</v>
      </c>
      <c r="K6013" s="15"/>
      <c r="L6013" t="s" s="16">
        <f>HYPERLINK("http://csr.bu.edu/ftp/asl/asllvd/demos/verify_start_end_handshape_annotations//test_auto_move//signs_mov_separ_signers/Liz_1315.mov","MOV")</f>
        <v>21</v>
      </c>
      <c r="M6013" t="s" s="10">
        <v>34</v>
      </c>
      <c r="N6013" s="17">
        <v>38</v>
      </c>
      <c r="O6013" s="18">
        <v>3300</v>
      </c>
      <c r="P6013" s="18">
        <v>3362</v>
      </c>
      <c r="Q6013" s="15"/>
      <c r="R6013" t="s" s="16">
        <f>HYPERLINK("http://secrets.rutgers.edu:8080/data/asl-ftp/asllvd/demos/verify_start_end_handshape_annotations//test_auto_move//signs_mov_separ_signers/Liz_1315.mov","MOV")</f>
        <v>21</v>
      </c>
    </row>
    <row r="6014" s="2" customFormat="1" ht="13.5" customHeight="1">
      <c r="B6014" s="13"/>
      <c r="C6014" t="s" s="9">
        <v>23</v>
      </c>
      <c r="D6014" t="s" s="8">
        <v>2049</v>
      </c>
      <c r="E6014" t="s" s="9">
        <v>2051</v>
      </c>
      <c r="F6014" t="s" s="10">
        <v>65</v>
      </c>
      <c r="G6014" t="s" s="11">
        <v>65</v>
      </c>
      <c r="H6014" t="s" s="10">
        <v>65</v>
      </c>
      <c r="I6014" t="s" s="11">
        <v>65</v>
      </c>
      <c r="J6014" t="s" s="11">
        <v>20</v>
      </c>
      <c r="K6014" t="s" s="16">
        <f>HYPERLINK("http://csr.bu.edu/ftp/asl/asllvd/demos/verify_start_end_handshape_annotations//test_auto_move//signs_mov/1315.mov","MOV")</f>
        <v>21</v>
      </c>
      <c r="L6014" t="s" s="16">
        <f>HYPERLINK("http://csr.bu.edu/ftp/asl/asllvd/demos/verify_start_end_handshape_annotations//test_auto_move//signs_mov_separ_signers/Tyler_1315.mov","MOV")</f>
        <v>21</v>
      </c>
      <c r="M6014" t="s" s="10">
        <v>37</v>
      </c>
      <c r="N6014" s="17">
        <v>12</v>
      </c>
      <c r="O6014" s="18">
        <v>1401</v>
      </c>
      <c r="P6014" s="18">
        <v>1480</v>
      </c>
      <c r="Q6014" t="s" s="16">
        <f>HYPERLINK("http://secrets.rutgers.edu:8080/data/asl-ftp/asllvd/demos/verify_start_end_handshape_annotations//test_auto_move//signs_mov/1315.mov","MOV")</f>
        <v>21</v>
      </c>
      <c r="R6014" t="s" s="16">
        <f>HYPERLINK("http://secrets.rutgers.edu:8080/data/asl-ftp/asllvd/demos/verify_start_end_handshape_annotations//test_auto_move//signs_mov_separ_signers/Tyler_1315.mov","MOV")</f>
        <v>21</v>
      </c>
    </row>
    <row r="6015" s="2" customFormat="1" ht="13.5" customHeight="1">
      <c r="B6015" s="13"/>
      <c r="C6015" t="s" s="9">
        <v>27</v>
      </c>
      <c r="D6015" t="s" s="8">
        <v>2049</v>
      </c>
      <c r="E6015" t="s" s="9">
        <v>2051</v>
      </c>
      <c r="F6015" t="s" s="10">
        <v>65</v>
      </c>
      <c r="G6015" t="s" s="11">
        <v>65</v>
      </c>
      <c r="H6015" t="s" s="10">
        <v>65</v>
      </c>
      <c r="I6015" t="s" s="11">
        <v>65</v>
      </c>
      <c r="J6015" t="s" s="11">
        <v>20</v>
      </c>
      <c r="K6015" s="15"/>
      <c r="L6015" t="s" s="16">
        <f>HYPERLINK("http://csr.bu.edu/ftp/asl/asllvd/demos/verify_start_end_handshape_annotations//test_auto_move//signs_mov_separ_signers/Naomi_1315.mov","MOV")</f>
        <v>21</v>
      </c>
      <c r="M6015" t="s" s="10">
        <v>38</v>
      </c>
      <c r="N6015" s="17">
        <v>32</v>
      </c>
      <c r="O6015" s="18">
        <v>1810</v>
      </c>
      <c r="P6015" s="18">
        <v>1900</v>
      </c>
      <c r="Q6015" s="15"/>
      <c r="R6015" t="s" s="16">
        <f>HYPERLINK("http://secrets.rutgers.edu:8080/data/asl-ftp/asllvd/demos/verify_start_end_handshape_annotations//test_auto_move//signs_mov_separ_signers/Naomi_1315.mov","MOV")</f>
        <v>21</v>
      </c>
    </row>
    <row r="6016" s="2" customFormat="1" ht="13.5" customHeight="1">
      <c r="B6016" s="13"/>
      <c r="C6016" t="s" s="9">
        <v>30</v>
      </c>
      <c r="D6016" t="s" s="8">
        <v>2049</v>
      </c>
      <c r="E6016" t="s" s="9">
        <v>2050</v>
      </c>
      <c r="F6016" t="s" s="10">
        <v>65</v>
      </c>
      <c r="G6016" t="s" s="11">
        <v>65</v>
      </c>
      <c r="H6016" t="s" s="10">
        <v>65</v>
      </c>
      <c r="I6016" t="s" s="11">
        <v>65</v>
      </c>
      <c r="J6016" t="s" s="11">
        <v>20</v>
      </c>
      <c r="K6016" s="15"/>
      <c r="L6016" t="s" s="16">
        <f>HYPERLINK("http://csr.bu.edu/ftp/asl/asllvd/demos/verify_start_end_handshape_annotations//test_auto_move//signs_mov_separ_signers/Brady_1315.mov","MOV")</f>
        <v>21</v>
      </c>
      <c r="M6016" t="s" s="10">
        <v>39</v>
      </c>
      <c r="N6016" s="17">
        <v>44</v>
      </c>
      <c r="O6016" s="18">
        <v>264</v>
      </c>
      <c r="P6016" s="18">
        <v>309</v>
      </c>
      <c r="Q6016" s="15"/>
      <c r="R6016" t="s" s="16">
        <f>HYPERLINK("http://secrets.rutgers.edu:8080/data/asl-ftp/asllvd/demos/verify_start_end_handshape_annotations//test_auto_move//signs_mov_separ_signers/Brady_1315.mov","MOV")</f>
        <v>21</v>
      </c>
    </row>
    <row r="6017" s="2" customFormat="1" ht="13.5" customHeight="1">
      <c r="B6017" t="s" s="8">
        <v>2052</v>
      </c>
      <c r="C6017" t="s" s="9">
        <v>14</v>
      </c>
      <c r="D6017" t="s" s="8">
        <v>14</v>
      </c>
      <c r="E6017" t="s" s="9">
        <v>14</v>
      </c>
      <c r="F6017" t="s" s="10">
        <v>14</v>
      </c>
      <c r="G6017" t="s" s="11">
        <v>14</v>
      </c>
      <c r="H6017" t="s" s="10">
        <v>14</v>
      </c>
      <c r="I6017" t="s" s="11">
        <v>14</v>
      </c>
      <c r="J6017" t="s" s="11">
        <v>14</v>
      </c>
      <c r="K6017" t="s" s="12">
        <v>14</v>
      </c>
      <c r="L6017" t="s" s="12">
        <v>14</v>
      </c>
      <c r="M6017" t="s" s="10">
        <v>14</v>
      </c>
      <c r="N6017" t="s" s="11">
        <v>14</v>
      </c>
      <c r="O6017" t="s" s="8">
        <v>14</v>
      </c>
      <c r="P6017" t="s" s="8">
        <v>14</v>
      </c>
      <c r="Q6017" t="s" s="12">
        <v>14</v>
      </c>
      <c r="R6017" t="s" s="12">
        <v>14</v>
      </c>
    </row>
    <row r="6018" s="2" customFormat="1" ht="13.5" customHeight="1">
      <c r="B6018" s="13"/>
      <c r="C6018" t="s" s="9">
        <v>16</v>
      </c>
      <c r="D6018" t="s" s="8">
        <v>2052</v>
      </c>
      <c r="E6018" t="s" s="9">
        <v>2053</v>
      </c>
      <c r="F6018" s="19">
        <v>1</v>
      </c>
      <c r="G6018" s="17">
        <v>5</v>
      </c>
      <c r="H6018" s="19">
        <v>1</v>
      </c>
      <c r="I6018" s="17">
        <v>5</v>
      </c>
      <c r="J6018" t="s" s="11">
        <v>20</v>
      </c>
      <c r="K6018" s="15"/>
      <c r="L6018" t="s" s="16">
        <f>HYPERLINK("http://csr.bu.edu/ftp/asl/asllvd/demos/verify_start_end_handshape_annotations//test_auto_move//signs_mov_separ_signers/Liz_1316.mov","MOV")</f>
        <v>21</v>
      </c>
      <c r="M6018" t="s" s="10">
        <v>34</v>
      </c>
      <c r="N6018" s="17">
        <v>38</v>
      </c>
      <c r="O6018" s="18">
        <v>3622</v>
      </c>
      <c r="P6018" s="18">
        <v>3687</v>
      </c>
      <c r="Q6018" s="15"/>
      <c r="R6018" t="s" s="16">
        <f>HYPERLINK("http://secrets.rutgers.edu:8080/data/asl-ftp/asllvd/demos/verify_start_end_handshape_annotations//test_auto_move//signs_mov_separ_signers/Liz_1316.mov","MOV")</f>
        <v>21</v>
      </c>
    </row>
    <row r="6019" s="2" customFormat="1" ht="13.5" customHeight="1">
      <c r="B6019" s="13"/>
      <c r="C6019" t="s" s="9">
        <v>27</v>
      </c>
      <c r="D6019" t="s" s="8">
        <v>2052</v>
      </c>
      <c r="E6019" t="s" s="9">
        <v>2054</v>
      </c>
      <c r="F6019" s="19">
        <v>1</v>
      </c>
      <c r="G6019" s="17">
        <v>5</v>
      </c>
      <c r="H6019" s="19">
        <v>1</v>
      </c>
      <c r="I6019" s="17">
        <v>5</v>
      </c>
      <c r="J6019" t="s" s="11">
        <v>20</v>
      </c>
      <c r="K6019" t="s" s="16">
        <f>HYPERLINK("http://csr.bu.edu/ftp/asl/asllvd/demos/verify_start_end_handshape_annotations//test_auto_move//signs_mov/1316.mov","MOV")</f>
        <v>21</v>
      </c>
      <c r="L6019" t="s" s="16">
        <f>HYPERLINK("http://csr.bu.edu/ftp/asl/asllvd/demos/verify_start_end_handshape_annotations//test_auto_move//signs_mov_separ_signers/Naomi_1316.mov","MOV")</f>
        <v>21</v>
      </c>
      <c r="M6019" t="s" s="10">
        <v>38</v>
      </c>
      <c r="N6019" s="17">
        <v>32</v>
      </c>
      <c r="O6019" s="18">
        <v>2185</v>
      </c>
      <c r="P6019" s="18">
        <v>2230</v>
      </c>
      <c r="Q6019" t="s" s="16">
        <f>HYPERLINK("http://secrets.rutgers.edu:8080/data/asl-ftp/asllvd/demos/verify_start_end_handshape_annotations//test_auto_move//signs_mov/1316.mov","MOV")</f>
        <v>21</v>
      </c>
      <c r="R6019" t="s" s="16">
        <f>HYPERLINK("http://secrets.rutgers.edu:8080/data/asl-ftp/asllvd/demos/verify_start_end_handshape_annotations//test_auto_move//signs_mov_separ_signers/Naomi_1316.mov","MOV")</f>
        <v>21</v>
      </c>
    </row>
    <row r="6020" s="2" customFormat="1" ht="13.5" customHeight="1">
      <c r="B6020" s="13"/>
      <c r="C6020" t="s" s="9">
        <v>30</v>
      </c>
      <c r="D6020" t="s" s="8">
        <v>2052</v>
      </c>
      <c r="E6020" t="s" s="9">
        <v>2053</v>
      </c>
      <c r="F6020" s="19">
        <v>1</v>
      </c>
      <c r="G6020" s="17">
        <v>5</v>
      </c>
      <c r="H6020" s="19">
        <v>1</v>
      </c>
      <c r="I6020" s="17">
        <v>5</v>
      </c>
      <c r="J6020" t="s" s="11">
        <v>20</v>
      </c>
      <c r="K6020" s="15"/>
      <c r="L6020" t="s" s="16">
        <f>HYPERLINK("http://csr.bu.edu/ftp/asl/asllvd/demos/verify_start_end_handshape_annotations//test_auto_move//signs_mov_separ_signers/Brady_1316.mov","MOV")</f>
        <v>21</v>
      </c>
      <c r="M6020" t="s" s="10">
        <v>39</v>
      </c>
      <c r="N6020" s="17">
        <v>44</v>
      </c>
      <c r="O6020" s="18">
        <v>522</v>
      </c>
      <c r="P6020" s="18">
        <v>609</v>
      </c>
      <c r="Q6020" s="15"/>
      <c r="R6020" t="s" s="16">
        <f>HYPERLINK("http://secrets.rutgers.edu:8080/data/asl-ftp/asllvd/demos/verify_start_end_handshape_annotations//test_auto_move//signs_mov_separ_signers/Brady_1316.mov","MOV")</f>
        <v>21</v>
      </c>
    </row>
    <row r="6021" s="2" customFormat="1" ht="13.5" customHeight="1">
      <c r="B6021" t="s" s="8">
        <v>2052</v>
      </c>
      <c r="C6021" t="s" s="9">
        <v>14</v>
      </c>
      <c r="D6021" t="s" s="8">
        <v>14</v>
      </c>
      <c r="E6021" t="s" s="9">
        <v>14</v>
      </c>
      <c r="F6021" t="s" s="10">
        <v>14</v>
      </c>
      <c r="G6021" t="s" s="11">
        <v>14</v>
      </c>
      <c r="H6021" t="s" s="10">
        <v>14</v>
      </c>
      <c r="I6021" t="s" s="11">
        <v>14</v>
      </c>
      <c r="J6021" t="s" s="11">
        <v>14</v>
      </c>
      <c r="K6021" t="s" s="12">
        <v>14</v>
      </c>
      <c r="L6021" t="s" s="12">
        <v>14</v>
      </c>
      <c r="M6021" t="s" s="10">
        <v>14</v>
      </c>
      <c r="N6021" t="s" s="11">
        <v>14</v>
      </c>
      <c r="O6021" t="s" s="8">
        <v>14</v>
      </c>
      <c r="P6021" t="s" s="8">
        <v>14</v>
      </c>
      <c r="Q6021" t="s" s="12">
        <v>14</v>
      </c>
      <c r="R6021" t="s" s="12">
        <v>14</v>
      </c>
    </row>
    <row r="6022" s="2" customFormat="1" ht="13.5" customHeight="1">
      <c r="B6022" s="13"/>
      <c r="C6022" t="s" s="9">
        <v>23</v>
      </c>
      <c r="D6022" t="s" s="8">
        <v>2055</v>
      </c>
      <c r="E6022" t="s" s="9">
        <v>2056</v>
      </c>
      <c r="F6022" s="19">
        <v>1</v>
      </c>
      <c r="G6022" t="s" s="11">
        <v>73</v>
      </c>
      <c r="H6022" s="19">
        <v>1</v>
      </c>
      <c r="I6022" t="s" s="11">
        <v>73</v>
      </c>
      <c r="J6022" t="s" s="11">
        <v>20</v>
      </c>
      <c r="K6022" t="s" s="16">
        <f>HYPERLINK("http://csr.bu.edu/ftp/asl/asllvd/demos/verify_start_end_handshape_annotations//test_auto_move//signs_mov/3665.mov","MOV")</f>
        <v>21</v>
      </c>
      <c r="L6022" t="s" s="16">
        <f>HYPERLINK("http://csr.bu.edu/ftp/asl/asllvd/demos/verify_start_end_handshape_annotations//test_auto_move//signs_mov_separ_signers/Tyler_3665.mov","MOV")</f>
        <v>21</v>
      </c>
      <c r="M6022" t="s" s="10">
        <v>37</v>
      </c>
      <c r="N6022" s="17">
        <v>12</v>
      </c>
      <c r="O6022" s="18">
        <v>1691</v>
      </c>
      <c r="P6022" s="18">
        <v>1745</v>
      </c>
      <c r="Q6022" t="s" s="16">
        <f>HYPERLINK("http://secrets.rutgers.edu:8080/data/asl-ftp/asllvd/demos/verify_start_end_handshape_annotations//test_auto_move//signs_mov/3665.mov","MOV")</f>
        <v>21</v>
      </c>
      <c r="R6022" t="s" s="16">
        <f>HYPERLINK("http://secrets.rutgers.edu:8080/data/asl-ftp/asllvd/demos/verify_start_end_handshape_annotations//test_auto_move//signs_mov_separ_signers/Tyler_3665.mov","MOV")</f>
        <v>21</v>
      </c>
    </row>
    <row r="6023" s="2" customFormat="1" ht="13.5" customHeight="1">
      <c r="B6023" s="13"/>
      <c r="C6023" t="s" s="9">
        <v>30</v>
      </c>
      <c r="D6023" t="s" s="8">
        <v>2055</v>
      </c>
      <c r="E6023" t="s" s="9">
        <v>2057</v>
      </c>
      <c r="F6023" s="19">
        <v>1</v>
      </c>
      <c r="G6023" t="s" s="11">
        <v>73</v>
      </c>
      <c r="H6023" s="19">
        <v>1</v>
      </c>
      <c r="I6023" t="s" s="11">
        <v>73</v>
      </c>
      <c r="J6023" t="s" s="11">
        <v>20</v>
      </c>
      <c r="K6023" s="15"/>
      <c r="L6023" t="s" s="16">
        <f>HYPERLINK("http://csr.bu.edu/ftp/asl/asllvd/demos/verify_start_end_handshape_annotations//test_auto_move//signs_mov_separ_signers/Brady_3665.mov","MOV")</f>
        <v>21</v>
      </c>
      <c r="M6023" t="s" s="10">
        <v>39</v>
      </c>
      <c r="N6023" s="17">
        <v>44</v>
      </c>
      <c r="O6023" s="18">
        <v>789</v>
      </c>
      <c r="P6023" s="18">
        <v>821</v>
      </c>
      <c r="Q6023" s="15"/>
      <c r="R6023" t="s" s="16">
        <f>HYPERLINK("http://secrets.rutgers.edu:8080/data/asl-ftp/asllvd/demos/verify_start_end_handshape_annotations//test_auto_move//signs_mov_separ_signers/Brady_3665.mov","MOV")</f>
        <v>21</v>
      </c>
    </row>
    <row r="6024" s="2" customFormat="1" ht="13.5" customHeight="1">
      <c r="B6024" t="s" s="8">
        <v>2052</v>
      </c>
      <c r="C6024" t="s" s="9">
        <v>14</v>
      </c>
      <c r="D6024" t="s" s="8">
        <v>14</v>
      </c>
      <c r="E6024" t="s" s="9">
        <v>14</v>
      </c>
      <c r="F6024" t="s" s="10">
        <v>14</v>
      </c>
      <c r="G6024" t="s" s="11">
        <v>14</v>
      </c>
      <c r="H6024" t="s" s="10">
        <v>14</v>
      </c>
      <c r="I6024" t="s" s="11">
        <v>14</v>
      </c>
      <c r="J6024" t="s" s="11">
        <v>14</v>
      </c>
      <c r="K6024" t="s" s="12">
        <v>14</v>
      </c>
      <c r="L6024" t="s" s="12">
        <v>14</v>
      </c>
      <c r="M6024" t="s" s="10">
        <v>14</v>
      </c>
      <c r="N6024" t="s" s="11">
        <v>14</v>
      </c>
      <c r="O6024" t="s" s="8">
        <v>14</v>
      </c>
      <c r="P6024" t="s" s="8">
        <v>14</v>
      </c>
      <c r="Q6024" t="s" s="12">
        <v>14</v>
      </c>
      <c r="R6024" t="s" s="12">
        <v>14</v>
      </c>
    </row>
    <row r="6025" s="2" customFormat="1" ht="13.5" customHeight="1">
      <c r="B6025" s="13"/>
      <c r="C6025" t="s" s="9">
        <v>16</v>
      </c>
      <c r="D6025" t="s" s="8">
        <v>2058</v>
      </c>
      <c r="E6025" t="s" s="9">
        <v>2059</v>
      </c>
      <c r="F6025" s="19">
        <v>5</v>
      </c>
      <c r="G6025" s="17">
        <v>5</v>
      </c>
      <c r="H6025" s="19">
        <v>5</v>
      </c>
      <c r="I6025" s="17">
        <v>5</v>
      </c>
      <c r="J6025" t="s" s="11">
        <v>20</v>
      </c>
      <c r="K6025" t="s" s="16">
        <f>HYPERLINK("http://csr.bu.edu/ftp/asl/asllvd/demos/verify_start_end_handshape_annotations//test_auto_move//signs_mov/5226.mov","MOV")</f>
        <v>21</v>
      </c>
      <c r="L6025" t="s" s="16">
        <f>HYPERLINK("http://csr.bu.edu/ftp/asl/asllvd/demos/verify_start_end_handshape_annotations//test_auto_move//signs_mov_separ_signers/Liz_5226.mov","MOV")</f>
        <v>21</v>
      </c>
      <c r="M6025" t="s" s="10">
        <v>34</v>
      </c>
      <c r="N6025" s="17">
        <v>38</v>
      </c>
      <c r="O6025" s="18">
        <v>4041</v>
      </c>
      <c r="P6025" s="18">
        <v>4110</v>
      </c>
      <c r="Q6025" t="s" s="16">
        <f>HYPERLINK("http://secrets.rutgers.edu:8080/data/asl-ftp/asllvd/demos/verify_start_end_handshape_annotations//test_auto_move//signs_mov/5226.mov","MOV")</f>
        <v>21</v>
      </c>
      <c r="R6025" t="s" s="16">
        <f>HYPERLINK("http://secrets.rutgers.edu:8080/data/asl-ftp/asllvd/demos/verify_start_end_handshape_annotations//test_auto_move//signs_mov_separ_signers/Liz_5226.mov","MOV")</f>
        <v>21</v>
      </c>
    </row>
    <row r="6026" s="2" customFormat="1" ht="13.5" customHeight="1">
      <c r="B6026" s="13"/>
      <c r="C6026" t="s" s="9">
        <v>27</v>
      </c>
      <c r="D6026" t="s" s="8">
        <v>2058</v>
      </c>
      <c r="E6026" t="s" s="9">
        <v>2059</v>
      </c>
      <c r="F6026" s="19">
        <v>5</v>
      </c>
      <c r="G6026" s="17">
        <v>5</v>
      </c>
      <c r="H6026" s="19">
        <v>5</v>
      </c>
      <c r="I6026" s="17">
        <v>5</v>
      </c>
      <c r="J6026" t="s" s="11">
        <v>20</v>
      </c>
      <c r="K6026" s="15"/>
      <c r="L6026" t="s" s="16">
        <f>HYPERLINK("http://csr.bu.edu/ftp/asl/asllvd/demos/verify_start_end_handshape_annotations//test_auto_move//signs_mov_separ_signers/Naomi_5226.mov","MOV")</f>
        <v>21</v>
      </c>
      <c r="M6026" t="s" s="10">
        <v>38</v>
      </c>
      <c r="N6026" s="17">
        <v>32</v>
      </c>
      <c r="O6026" s="18">
        <v>2492</v>
      </c>
      <c r="P6026" s="18">
        <v>2523</v>
      </c>
      <c r="Q6026" s="15"/>
      <c r="R6026" t="s" s="16">
        <f>HYPERLINK("http://secrets.rutgers.edu:8080/data/asl-ftp/asllvd/demos/verify_start_end_handshape_annotations//test_auto_move//signs_mov_separ_signers/Naomi_5226.mov","MOV")</f>
        <v>21</v>
      </c>
    </row>
    <row r="6027" s="2" customFormat="1" ht="13.5" customHeight="1">
      <c r="B6027" t="s" s="8">
        <v>52</v>
      </c>
      <c r="C6027" t="s" s="9">
        <v>53</v>
      </c>
      <c r="D6027" t="s" s="8">
        <v>53</v>
      </c>
      <c r="E6027" t="s" s="9">
        <v>53</v>
      </c>
      <c r="F6027" t="s" s="10">
        <v>53</v>
      </c>
      <c r="G6027" t="s" s="11">
        <v>53</v>
      </c>
      <c r="H6027" t="s" s="10">
        <v>53</v>
      </c>
      <c r="I6027" t="s" s="11">
        <v>53</v>
      </c>
      <c r="J6027" t="s" s="11">
        <v>53</v>
      </c>
      <c r="K6027" t="s" s="12">
        <v>53</v>
      </c>
      <c r="L6027" t="s" s="12">
        <v>53</v>
      </c>
      <c r="M6027" t="s" s="10">
        <v>53</v>
      </c>
      <c r="N6027" t="s" s="11">
        <v>53</v>
      </c>
      <c r="O6027" t="s" s="8">
        <v>53</v>
      </c>
      <c r="P6027" t="s" s="8">
        <v>53</v>
      </c>
      <c r="Q6027" t="s" s="12">
        <v>53</v>
      </c>
      <c r="R6027" t="s" s="12">
        <v>53</v>
      </c>
    </row>
    <row r="6028" s="2" customFormat="1" ht="13.5" customHeight="1">
      <c r="B6028" s="13"/>
      <c r="C6028" t="s" s="9">
        <v>23</v>
      </c>
      <c r="D6028" t="s" s="8">
        <v>2058</v>
      </c>
      <c r="E6028" t="s" s="9">
        <v>2060</v>
      </c>
      <c r="F6028" s="19">
        <v>5</v>
      </c>
      <c r="G6028" t="s" s="11">
        <v>73</v>
      </c>
      <c r="H6028" s="19">
        <v>5</v>
      </c>
      <c r="I6028" t="s" s="11">
        <v>73</v>
      </c>
      <c r="J6028" t="s" s="11">
        <v>20</v>
      </c>
      <c r="K6028" t="s" s="16">
        <f>HYPERLINK("http://csr.bu.edu/ftp/asl/asllvd/demos/verify_start_end_handshape_annotations//test_auto_move//signs_mov/5227.mov","MOV")</f>
        <v>21</v>
      </c>
      <c r="L6028" t="s" s="16">
        <f>HYPERLINK("http://csr.bu.edu/ftp/asl/asllvd/demos/verify_start_end_handshape_annotations//test_auto_move//signs_mov_separ_signers/Tyler_5227.mov","MOV")</f>
        <v>21</v>
      </c>
      <c r="M6028" t="s" s="10">
        <v>37</v>
      </c>
      <c r="N6028" s="17">
        <v>12</v>
      </c>
      <c r="O6028" s="18">
        <v>1985</v>
      </c>
      <c r="P6028" s="18">
        <v>2022</v>
      </c>
      <c r="Q6028" t="s" s="16">
        <f>HYPERLINK("http://secrets.rutgers.edu:8080/data/asl-ftp/asllvd/demos/verify_start_end_handshape_annotations//test_auto_move//signs_mov/5227.mov","MOV")</f>
        <v>21</v>
      </c>
      <c r="R6028" t="s" s="16">
        <f>HYPERLINK("http://secrets.rutgers.edu:8080/data/asl-ftp/asllvd/demos/verify_start_end_handshape_annotations//test_auto_move//signs_mov_separ_signers/Tyler_5227.mov","MOV")</f>
        <v>21</v>
      </c>
    </row>
    <row r="6029" s="2" customFormat="1" ht="13.5" customHeight="1">
      <c r="B6029" t="s" s="8">
        <v>2061</v>
      </c>
      <c r="C6029" t="s" s="9">
        <v>14</v>
      </c>
      <c r="D6029" t="s" s="8">
        <v>14</v>
      </c>
      <c r="E6029" t="s" s="9">
        <v>14</v>
      </c>
      <c r="F6029" t="s" s="10">
        <v>14</v>
      </c>
      <c r="G6029" t="s" s="11">
        <v>14</v>
      </c>
      <c r="H6029" t="s" s="10">
        <v>14</v>
      </c>
      <c r="I6029" t="s" s="11">
        <v>14</v>
      </c>
      <c r="J6029" t="s" s="11">
        <v>14</v>
      </c>
      <c r="K6029" t="s" s="12">
        <v>14</v>
      </c>
      <c r="L6029" t="s" s="12">
        <v>14</v>
      </c>
      <c r="M6029" t="s" s="10">
        <v>14</v>
      </c>
      <c r="N6029" t="s" s="11">
        <v>14</v>
      </c>
      <c r="O6029" t="s" s="8">
        <v>14</v>
      </c>
      <c r="P6029" t="s" s="8">
        <v>14</v>
      </c>
      <c r="Q6029" t="s" s="12">
        <v>14</v>
      </c>
      <c r="R6029" t="s" s="12">
        <v>14</v>
      </c>
    </row>
    <row r="6030" s="2" customFormat="1" ht="13.5" customHeight="1">
      <c r="B6030" s="13"/>
      <c r="C6030" t="s" s="9">
        <v>16</v>
      </c>
      <c r="D6030" t="s" s="8">
        <v>2061</v>
      </c>
      <c r="E6030" t="s" s="9">
        <v>2062</v>
      </c>
      <c r="F6030" t="s" s="10">
        <v>85</v>
      </c>
      <c r="G6030" t="s" s="11">
        <v>85</v>
      </c>
      <c r="H6030" t="s" s="10">
        <v>85</v>
      </c>
      <c r="I6030" t="s" s="11">
        <v>85</v>
      </c>
      <c r="J6030" t="s" s="11">
        <v>20</v>
      </c>
      <c r="K6030" s="15"/>
      <c r="L6030" t="s" s="16">
        <f>HYPERLINK("http://csr.bu.edu/ftp/asl/asllvd/demos/verify_start_end_handshape_annotations//test_auto_move//signs_mov_separ_signers/Liz_1318.mov","MOV")</f>
        <v>21</v>
      </c>
      <c r="M6030" t="s" s="10">
        <v>34</v>
      </c>
      <c r="N6030" s="17">
        <v>38</v>
      </c>
      <c r="O6030" s="18">
        <v>5006</v>
      </c>
      <c r="P6030" s="18">
        <v>5066</v>
      </c>
      <c r="Q6030" s="15"/>
      <c r="R6030" t="s" s="16">
        <f>HYPERLINK("http://secrets.rutgers.edu:8080/data/asl-ftp/asllvd/demos/verify_start_end_handshape_annotations//test_auto_move//signs_mov_separ_signers/Liz_1318.mov","MOV")</f>
        <v>21</v>
      </c>
    </row>
    <row r="6031" s="2" customFormat="1" ht="13.5" customHeight="1">
      <c r="B6031" s="13"/>
      <c r="C6031" t="s" s="9">
        <v>23</v>
      </c>
      <c r="D6031" t="s" s="8">
        <v>2061</v>
      </c>
      <c r="E6031" t="s" s="9">
        <v>2062</v>
      </c>
      <c r="F6031" t="s" s="10">
        <v>80</v>
      </c>
      <c r="G6031" t="s" s="11">
        <v>80</v>
      </c>
      <c r="H6031" t="s" s="10">
        <v>85</v>
      </c>
      <c r="I6031" t="s" s="11">
        <v>85</v>
      </c>
      <c r="J6031" t="s" s="11">
        <v>20</v>
      </c>
      <c r="K6031" t="s" s="16">
        <f>HYPERLINK("http://csr.bu.edu/ftp/asl/asllvd/demos/verify_start_end_handshape_annotations//test_auto_move//signs_mov/1318.mov","MOV")</f>
        <v>21</v>
      </c>
      <c r="L6031" t="s" s="16">
        <f>HYPERLINK("http://csr.bu.edu/ftp/asl/asllvd/demos/verify_start_end_handshape_annotations//test_auto_move//signs_mov_separ_signers/Tyler_1318.mov","MOV")</f>
        <v>21</v>
      </c>
      <c r="M6031" t="s" s="10">
        <v>37</v>
      </c>
      <c r="N6031" s="17">
        <v>12</v>
      </c>
      <c r="O6031" s="18">
        <v>2390</v>
      </c>
      <c r="P6031" s="18">
        <v>2435</v>
      </c>
      <c r="Q6031" t="s" s="16">
        <f>HYPERLINK("http://secrets.rutgers.edu:8080/data/asl-ftp/asllvd/demos/verify_start_end_handshape_annotations//test_auto_move//signs_mov/1318.mov","MOV")</f>
        <v>21</v>
      </c>
      <c r="R6031" t="s" s="16">
        <f>HYPERLINK("http://secrets.rutgers.edu:8080/data/asl-ftp/asllvd/demos/verify_start_end_handshape_annotations//test_auto_move//signs_mov_separ_signers/Tyler_1318.mov","MOV")</f>
        <v>21</v>
      </c>
    </row>
    <row r="6032" s="2" customFormat="1" ht="13.5" customHeight="1">
      <c r="B6032" s="13"/>
      <c r="C6032" t="s" s="9">
        <v>27</v>
      </c>
      <c r="D6032" t="s" s="8">
        <v>2061</v>
      </c>
      <c r="E6032" t="s" s="9">
        <v>2063</v>
      </c>
      <c r="F6032" t="s" s="10">
        <v>80</v>
      </c>
      <c r="G6032" t="s" s="11">
        <v>80</v>
      </c>
      <c r="H6032" t="s" s="10">
        <v>80</v>
      </c>
      <c r="I6032" t="s" s="11">
        <v>80</v>
      </c>
      <c r="J6032" t="s" s="11">
        <v>20</v>
      </c>
      <c r="K6032" s="15"/>
      <c r="L6032" t="s" s="16">
        <f>HYPERLINK("http://csr.bu.edu/ftp/asl/asllvd/demos/verify_start_end_handshape_annotations//test_auto_move//signs_mov_separ_signers/Naomi_1318.mov","MOV")</f>
        <v>21</v>
      </c>
      <c r="M6032" t="s" s="10">
        <v>38</v>
      </c>
      <c r="N6032" s="17">
        <v>32</v>
      </c>
      <c r="O6032" s="18">
        <v>2800</v>
      </c>
      <c r="P6032" s="18">
        <v>2845</v>
      </c>
      <c r="Q6032" s="15"/>
      <c r="R6032" t="s" s="16">
        <f>HYPERLINK("http://secrets.rutgers.edu:8080/data/asl-ftp/asllvd/demos/verify_start_end_handshape_annotations//test_auto_move//signs_mov_separ_signers/Naomi_1318.mov","MOV")</f>
        <v>21</v>
      </c>
    </row>
    <row r="6033" s="2" customFormat="1" ht="13.5" customHeight="1">
      <c r="B6033" s="13"/>
      <c r="C6033" t="s" s="9">
        <v>30</v>
      </c>
      <c r="D6033" t="s" s="8">
        <v>2061</v>
      </c>
      <c r="E6033" t="s" s="9">
        <v>2062</v>
      </c>
      <c r="F6033" t="s" s="10">
        <v>80</v>
      </c>
      <c r="G6033" t="s" s="11">
        <v>80</v>
      </c>
      <c r="H6033" t="s" s="10">
        <v>80</v>
      </c>
      <c r="I6033" t="s" s="11">
        <v>80</v>
      </c>
      <c r="J6033" t="s" s="11">
        <v>20</v>
      </c>
      <c r="K6033" s="15"/>
      <c r="L6033" t="s" s="16">
        <f>HYPERLINK("http://csr.bu.edu/ftp/asl/asllvd/demos/verify_start_end_handshape_annotations//test_auto_move//signs_mov_separ_signers/Brady_1318.mov","MOV")</f>
        <v>21</v>
      </c>
      <c r="M6033" t="s" s="10">
        <v>39</v>
      </c>
      <c r="N6033" s="17">
        <v>44</v>
      </c>
      <c r="O6033" s="18">
        <v>1247</v>
      </c>
      <c r="P6033" s="18">
        <v>1291</v>
      </c>
      <c r="Q6033" s="15"/>
      <c r="R6033" t="s" s="16">
        <f>HYPERLINK("http://secrets.rutgers.edu:8080/data/asl-ftp/asllvd/demos/verify_start_end_handshape_annotations//test_auto_move//signs_mov_separ_signers/Brady_1318.mov","MOV")</f>
        <v>21</v>
      </c>
    </row>
    <row r="6034" s="2" customFormat="1" ht="13.5" customHeight="1">
      <c r="B6034" t="s" s="8">
        <v>2064</v>
      </c>
      <c r="C6034" t="s" s="9">
        <v>14</v>
      </c>
      <c r="D6034" t="s" s="8">
        <v>14</v>
      </c>
      <c r="E6034" t="s" s="9">
        <v>14</v>
      </c>
      <c r="F6034" t="s" s="10">
        <v>14</v>
      </c>
      <c r="G6034" t="s" s="11">
        <v>14</v>
      </c>
      <c r="H6034" t="s" s="10">
        <v>14</v>
      </c>
      <c r="I6034" t="s" s="11">
        <v>14</v>
      </c>
      <c r="J6034" t="s" s="11">
        <v>14</v>
      </c>
      <c r="K6034" t="s" s="12">
        <v>14</v>
      </c>
      <c r="L6034" t="s" s="12">
        <v>14</v>
      </c>
      <c r="M6034" t="s" s="10">
        <v>14</v>
      </c>
      <c r="N6034" t="s" s="11">
        <v>14</v>
      </c>
      <c r="O6034" t="s" s="8">
        <v>14</v>
      </c>
      <c r="P6034" t="s" s="8">
        <v>14</v>
      </c>
      <c r="Q6034" t="s" s="12">
        <v>14</v>
      </c>
      <c r="R6034" t="s" s="12">
        <v>14</v>
      </c>
    </row>
    <row r="6035" s="2" customFormat="1" ht="13.5" customHeight="1">
      <c r="B6035" s="13"/>
      <c r="C6035" t="s" s="9">
        <v>16</v>
      </c>
      <c r="D6035" t="s" s="8">
        <v>2064</v>
      </c>
      <c r="E6035" t="s" s="9">
        <v>2064</v>
      </c>
      <c r="F6035" t="s" s="10">
        <v>152</v>
      </c>
      <c r="G6035" t="s" s="11">
        <v>109</v>
      </c>
      <c r="H6035" t="s" s="10">
        <v>152</v>
      </c>
      <c r="I6035" t="s" s="11">
        <v>109</v>
      </c>
      <c r="J6035" t="s" s="11">
        <v>20</v>
      </c>
      <c r="K6035" s="15"/>
      <c r="L6035" t="s" s="16">
        <f>HYPERLINK("http://csr.bu.edu/ftp/asl/asllvd/demos/verify_start_end_handshape_annotations//test_auto_move//signs_mov_separ_signers/Liz_1320.mov","MOV")</f>
        <v>21</v>
      </c>
      <c r="M6035" t="s" s="10">
        <v>34</v>
      </c>
      <c r="N6035" s="17">
        <v>39</v>
      </c>
      <c r="O6035" s="18">
        <v>540</v>
      </c>
      <c r="P6035" s="18">
        <v>580</v>
      </c>
      <c r="Q6035" s="15"/>
      <c r="R6035" t="s" s="16">
        <f>HYPERLINK("http://secrets.rutgers.edu:8080/data/asl-ftp/asllvd/demos/verify_start_end_handshape_annotations//test_auto_move//signs_mov_separ_signers/Liz_1320.mov","MOV")</f>
        <v>21</v>
      </c>
    </row>
    <row r="6036" s="2" customFormat="1" ht="13.5" customHeight="1">
      <c r="B6036" s="13"/>
      <c r="C6036" t="s" s="9">
        <v>23</v>
      </c>
      <c r="D6036" t="s" s="8">
        <v>2064</v>
      </c>
      <c r="E6036" t="s" s="9">
        <v>2064</v>
      </c>
      <c r="F6036" t="s" s="10">
        <v>109</v>
      </c>
      <c r="G6036" t="s" s="11">
        <v>109</v>
      </c>
      <c r="H6036" t="s" s="10">
        <v>109</v>
      </c>
      <c r="I6036" t="s" s="11">
        <v>109</v>
      </c>
      <c r="J6036" t="s" s="11">
        <v>20</v>
      </c>
      <c r="K6036" t="s" s="16">
        <f>HYPERLINK("http://csr.bu.edu/ftp/asl/asllvd/demos/verify_start_end_handshape_annotations//test_auto_move//signs_mov/1320.mov","MOV")</f>
        <v>21</v>
      </c>
      <c r="L6036" t="s" s="16">
        <f>HYPERLINK("http://csr.bu.edu/ftp/asl/asllvd/demos/verify_start_end_handshape_annotations//test_auto_move//signs_mov_separ_signers/Tyler_1320.mov","MOV")</f>
        <v>21</v>
      </c>
      <c r="M6036" t="s" s="10">
        <v>37</v>
      </c>
      <c r="N6036" s="17">
        <v>12</v>
      </c>
      <c r="O6036" s="18">
        <v>2846</v>
      </c>
      <c r="P6036" s="18">
        <v>2880</v>
      </c>
      <c r="Q6036" t="s" s="16">
        <f>HYPERLINK("http://secrets.rutgers.edu:8080/data/asl-ftp/asllvd/demos/verify_start_end_handshape_annotations//test_auto_move//signs_mov/1320.mov","MOV")</f>
        <v>21</v>
      </c>
      <c r="R6036" t="s" s="16">
        <f>HYPERLINK("http://secrets.rutgers.edu:8080/data/asl-ftp/asllvd/demos/verify_start_end_handshape_annotations//test_auto_move//signs_mov_separ_signers/Tyler_1320.mov","MOV")</f>
        <v>21</v>
      </c>
    </row>
    <row r="6037" s="2" customFormat="1" ht="13.5" customHeight="1">
      <c r="B6037" s="13"/>
      <c r="C6037" t="s" s="9">
        <v>27</v>
      </c>
      <c r="D6037" t="s" s="8">
        <v>2064</v>
      </c>
      <c r="E6037" t="s" s="9">
        <v>2064</v>
      </c>
      <c r="F6037" t="s" s="10">
        <v>73</v>
      </c>
      <c r="G6037" t="s" s="11">
        <v>73</v>
      </c>
      <c r="H6037" t="s" s="10">
        <v>73</v>
      </c>
      <c r="I6037" t="s" s="11">
        <v>73</v>
      </c>
      <c r="J6037" t="s" s="11">
        <v>20</v>
      </c>
      <c r="K6037" s="15"/>
      <c r="L6037" t="s" s="16">
        <f>HYPERLINK("http://csr.bu.edu/ftp/asl/asllvd/demos/verify_start_end_handshape_annotations//test_auto_move//signs_mov_separ_signers/Naomi_1320.mov","MOV")</f>
        <v>21</v>
      </c>
      <c r="M6037" t="s" s="10">
        <v>38</v>
      </c>
      <c r="N6037" s="17">
        <v>32</v>
      </c>
      <c r="O6037" s="18">
        <v>3505</v>
      </c>
      <c r="P6037" s="18">
        <v>3535</v>
      </c>
      <c r="Q6037" s="15"/>
      <c r="R6037" t="s" s="16">
        <f>HYPERLINK("http://secrets.rutgers.edu:8080/data/asl-ftp/asllvd/demos/verify_start_end_handshape_annotations//test_auto_move//signs_mov_separ_signers/Naomi_1320.mov","MOV")</f>
        <v>21</v>
      </c>
    </row>
    <row r="6038" s="2" customFormat="1" ht="13.5" customHeight="1">
      <c r="B6038" s="13"/>
      <c r="C6038" t="s" s="9">
        <v>30</v>
      </c>
      <c r="D6038" t="s" s="8">
        <v>2064</v>
      </c>
      <c r="E6038" t="s" s="9">
        <v>2064</v>
      </c>
      <c r="F6038" t="s" s="10">
        <v>73</v>
      </c>
      <c r="G6038" t="s" s="11">
        <v>73</v>
      </c>
      <c r="H6038" t="s" s="10">
        <v>73</v>
      </c>
      <c r="I6038" t="s" s="11">
        <v>73</v>
      </c>
      <c r="J6038" t="s" s="11">
        <v>20</v>
      </c>
      <c r="K6038" s="15"/>
      <c r="L6038" t="s" s="16">
        <f>HYPERLINK("http://csr.bu.edu/ftp/asl/asllvd/demos/verify_start_end_handshape_annotations//test_auto_move//signs_mov_separ_signers/Brady_1320.mov","MOV")</f>
        <v>21</v>
      </c>
      <c r="M6038" t="s" s="10">
        <v>39</v>
      </c>
      <c r="N6038" s="17">
        <v>44</v>
      </c>
      <c r="O6038" s="18">
        <v>1709</v>
      </c>
      <c r="P6038" s="18">
        <v>1734</v>
      </c>
      <c r="Q6038" s="15"/>
      <c r="R6038" t="s" s="16">
        <f>HYPERLINK("http://secrets.rutgers.edu:8080/data/asl-ftp/asllvd/demos/verify_start_end_handshape_annotations//test_auto_move//signs_mov_separ_signers/Brady_1320.mov","MOV")</f>
        <v>21</v>
      </c>
    </row>
    <row r="6039" s="2" customFormat="1" ht="13.5" customHeight="1">
      <c r="B6039" t="s" s="8">
        <v>2065</v>
      </c>
      <c r="C6039" t="s" s="9">
        <v>14</v>
      </c>
      <c r="D6039" t="s" s="8">
        <v>14</v>
      </c>
      <c r="E6039" t="s" s="9">
        <v>14</v>
      </c>
      <c r="F6039" t="s" s="10">
        <v>14</v>
      </c>
      <c r="G6039" t="s" s="11">
        <v>14</v>
      </c>
      <c r="H6039" t="s" s="10">
        <v>14</v>
      </c>
      <c r="I6039" t="s" s="11">
        <v>14</v>
      </c>
      <c r="J6039" t="s" s="11">
        <v>14</v>
      </c>
      <c r="K6039" t="s" s="12">
        <v>14</v>
      </c>
      <c r="L6039" t="s" s="12">
        <v>14</v>
      </c>
      <c r="M6039" t="s" s="10">
        <v>14</v>
      </c>
      <c r="N6039" t="s" s="11">
        <v>14</v>
      </c>
      <c r="O6039" t="s" s="8">
        <v>14</v>
      </c>
      <c r="P6039" t="s" s="8">
        <v>14</v>
      </c>
      <c r="Q6039" t="s" s="12">
        <v>14</v>
      </c>
      <c r="R6039" t="s" s="12">
        <v>14</v>
      </c>
    </row>
    <row r="6040" s="2" customFormat="1" ht="13.5" customHeight="1">
      <c r="B6040" s="13"/>
      <c r="C6040" t="s" s="9">
        <v>16</v>
      </c>
      <c r="D6040" t="s" s="8">
        <v>2065</v>
      </c>
      <c r="E6040" t="s" s="9">
        <v>2066</v>
      </c>
      <c r="F6040" t="s" s="10">
        <v>255</v>
      </c>
      <c r="G6040" t="s" s="11">
        <v>73</v>
      </c>
      <c r="H6040" t="s" s="10">
        <v>255</v>
      </c>
      <c r="I6040" t="s" s="11">
        <v>73</v>
      </c>
      <c r="J6040" t="s" s="11">
        <v>20</v>
      </c>
      <c r="K6040" s="15"/>
      <c r="L6040" t="s" s="16">
        <f>HYPERLINK("http://csr.bu.edu/ftp/asl/asllvd/demos/verify_start_end_handshape_annotations//test_auto_move//signs_mov_separ_signers/Liz_1327.mov","MOV")</f>
        <v>21</v>
      </c>
      <c r="M6040" t="s" s="10">
        <v>34</v>
      </c>
      <c r="N6040" s="17">
        <v>40</v>
      </c>
      <c r="O6040" s="18">
        <v>845</v>
      </c>
      <c r="P6040" s="18">
        <v>900</v>
      </c>
      <c r="Q6040" s="15"/>
      <c r="R6040" t="s" s="16">
        <f>HYPERLINK("http://secrets.rutgers.edu:8080/data/asl-ftp/asllvd/demos/verify_start_end_handshape_annotations//test_auto_move//signs_mov_separ_signers/Liz_1327.mov","MOV")</f>
        <v>21</v>
      </c>
    </row>
    <row r="6041" s="2" customFormat="1" ht="13.5" customHeight="1">
      <c r="B6041" s="13"/>
      <c r="C6041" t="s" s="9">
        <v>16</v>
      </c>
      <c r="D6041" t="s" s="8">
        <v>2065</v>
      </c>
      <c r="E6041" t="s" s="9">
        <v>2066</v>
      </c>
      <c r="F6041" t="s" s="10">
        <v>65</v>
      </c>
      <c r="G6041" t="s" s="11">
        <v>73</v>
      </c>
      <c r="H6041" t="s" s="10">
        <v>65</v>
      </c>
      <c r="I6041" t="s" s="11">
        <v>73</v>
      </c>
      <c r="J6041" t="s" s="11">
        <v>20</v>
      </c>
      <c r="K6041" s="15"/>
      <c r="L6041" t="s" s="16">
        <f>HYPERLINK("http://csr.bu.edu/ftp/asl/asllvd/demos/verify_start_end_handshape_annotations//test_auto_move//signs_mov_separ_signers/Liz_16078.mov","MOV")</f>
        <v>21</v>
      </c>
      <c r="M6041" t="s" s="10">
        <v>59</v>
      </c>
      <c r="N6041" s="17">
        <v>42</v>
      </c>
      <c r="O6041" s="18">
        <v>3851</v>
      </c>
      <c r="P6041" s="18">
        <v>3900</v>
      </c>
      <c r="Q6041" s="15"/>
      <c r="R6041" t="s" s="16">
        <f>HYPERLINK("http://secrets.rutgers.edu:8080/data/asl-ftp/asllvd/demos/verify_start_end_handshape_annotations//test_auto_move//signs_mov_separ_signers/Liz_16078.mov","MOV")</f>
        <v>21</v>
      </c>
    </row>
    <row r="6042" s="2" customFormat="1" ht="13.5" customHeight="1">
      <c r="B6042" s="13"/>
      <c r="C6042" t="s" s="9">
        <v>23</v>
      </c>
      <c r="D6042" t="s" s="8">
        <v>2065</v>
      </c>
      <c r="E6042" t="s" s="9">
        <v>2066</v>
      </c>
      <c r="F6042" t="s" s="10">
        <v>255</v>
      </c>
      <c r="G6042" t="s" s="11">
        <v>73</v>
      </c>
      <c r="H6042" t="s" s="10">
        <v>255</v>
      </c>
      <c r="I6042" t="s" s="11">
        <v>73</v>
      </c>
      <c r="J6042" t="s" s="11">
        <v>20</v>
      </c>
      <c r="K6042" t="s" s="16">
        <f>HYPERLINK("http://csr.bu.edu/ftp/asl/asllvd/demos/verify_start_end_handshape_annotations//test_auto_move//signs_mov/1327_16078_merged.mov","MOV")</f>
        <v>21</v>
      </c>
      <c r="L6042" t="s" s="16">
        <f>HYPERLINK("http://csr.bu.edu/ftp/asl/asllvd/demos/verify_start_end_handshape_annotations//test_auto_move//signs_mov_separ_signers/Tyler_1327.mov","MOV")</f>
        <v>21</v>
      </c>
      <c r="M6042" t="s" s="10">
        <v>37</v>
      </c>
      <c r="N6042" s="17">
        <v>13</v>
      </c>
      <c r="O6042" s="18">
        <v>3385</v>
      </c>
      <c r="P6042" s="18">
        <v>3420</v>
      </c>
      <c r="Q6042" t="s" s="16">
        <f>HYPERLINK("http://secrets.rutgers.edu:8080/data/asl-ftp/asllvd/demos/verify_start_end_handshape_annotations//test_auto_move//signs_mov/1327_16078_merged.mov","MOV")</f>
        <v>21</v>
      </c>
      <c r="R6042" t="s" s="16">
        <f>HYPERLINK("http://secrets.rutgers.edu:8080/data/asl-ftp/asllvd/demos/verify_start_end_handshape_annotations//test_auto_move//signs_mov_separ_signers/Tyler_1327.mov","MOV")</f>
        <v>21</v>
      </c>
    </row>
    <row r="6043" s="2" customFormat="1" ht="13.5" customHeight="1">
      <c r="B6043" s="13"/>
      <c r="C6043" t="s" s="9">
        <v>27</v>
      </c>
      <c r="D6043" t="s" s="8">
        <v>2065</v>
      </c>
      <c r="E6043" t="s" s="9">
        <v>2067</v>
      </c>
      <c r="F6043" t="s" s="10">
        <v>255</v>
      </c>
      <c r="G6043" t="s" s="11">
        <v>73</v>
      </c>
      <c r="H6043" t="s" s="10">
        <v>255</v>
      </c>
      <c r="I6043" t="s" s="11">
        <v>73</v>
      </c>
      <c r="J6043" t="s" s="11">
        <v>20</v>
      </c>
      <c r="K6043" s="15"/>
      <c r="L6043" t="s" s="16">
        <f>HYPERLINK("http://csr.bu.edu/ftp/asl/asllvd/demos/verify_start_end_handshape_annotations//test_auto_move//signs_mov_separ_signers/Naomi_1327.mov","MOV")</f>
        <v>21</v>
      </c>
      <c r="M6043" t="s" s="10">
        <v>38</v>
      </c>
      <c r="N6043" s="17">
        <v>33</v>
      </c>
      <c r="O6043" s="18">
        <v>2492</v>
      </c>
      <c r="P6043" s="18">
        <v>2540</v>
      </c>
      <c r="Q6043" s="15"/>
      <c r="R6043" t="s" s="16">
        <f>HYPERLINK("http://secrets.rutgers.edu:8080/data/asl-ftp/asllvd/demos/verify_start_end_handshape_annotations//test_auto_move//signs_mov_separ_signers/Naomi_1327.mov","MOV")</f>
        <v>21</v>
      </c>
    </row>
    <row r="6044" s="2" customFormat="1" ht="13.5" customHeight="1">
      <c r="B6044" s="13"/>
      <c r="C6044" t="s" s="9">
        <v>30</v>
      </c>
      <c r="D6044" t="s" s="8">
        <v>2065</v>
      </c>
      <c r="E6044" t="s" s="9">
        <v>2065</v>
      </c>
      <c r="F6044" t="s" s="10">
        <v>255</v>
      </c>
      <c r="G6044" t="s" s="11">
        <v>73</v>
      </c>
      <c r="H6044" t="s" s="10">
        <v>255</v>
      </c>
      <c r="I6044" t="s" s="11">
        <v>73</v>
      </c>
      <c r="J6044" t="s" s="11">
        <v>20</v>
      </c>
      <c r="K6044" s="15"/>
      <c r="L6044" t="s" s="16">
        <f>HYPERLINK("http://csr.bu.edu/ftp/asl/asllvd/demos/verify_start_end_handshape_annotations//test_auto_move//signs_mov_separ_signers/Brady_1327.mov","MOV")</f>
        <v>21</v>
      </c>
      <c r="M6044" t="s" s="10">
        <v>39</v>
      </c>
      <c r="N6044" s="17">
        <v>44</v>
      </c>
      <c r="O6044" s="18">
        <v>4688</v>
      </c>
      <c r="P6044" s="18">
        <v>4718</v>
      </c>
      <c r="Q6044" s="15"/>
      <c r="R6044" t="s" s="16">
        <f>HYPERLINK("http://secrets.rutgers.edu:8080/data/asl-ftp/asllvd/demos/verify_start_end_handshape_annotations//test_auto_move//signs_mov_separ_signers/Brady_1327.mov","MOV")</f>
        <v>21</v>
      </c>
    </row>
    <row r="6045" s="2" customFormat="1" ht="13.5" customHeight="1">
      <c r="B6045" s="13"/>
      <c r="C6045" t="s" s="9">
        <v>30</v>
      </c>
      <c r="D6045" t="s" s="8">
        <v>2065</v>
      </c>
      <c r="E6045" t="s" s="9">
        <v>2067</v>
      </c>
      <c r="F6045" t="s" s="10">
        <v>65</v>
      </c>
      <c r="G6045" t="s" s="11">
        <v>73</v>
      </c>
      <c r="H6045" t="s" s="10">
        <v>65</v>
      </c>
      <c r="I6045" t="s" s="11">
        <v>73</v>
      </c>
      <c r="J6045" t="s" s="11">
        <v>20</v>
      </c>
      <c r="K6045" s="15"/>
      <c r="L6045" t="s" s="16">
        <f>HYPERLINK("http://csr.bu.edu/ftp/asl/asllvd/demos/verify_start_end_handshape_annotations//test_auto_move//signs_mov_separ_signers/Brady_16078.mov","MOV")</f>
        <v>21</v>
      </c>
      <c r="M6045" t="s" s="10">
        <v>60</v>
      </c>
      <c r="N6045" s="17">
        <v>30</v>
      </c>
      <c r="O6045" s="18">
        <v>2339</v>
      </c>
      <c r="P6045" s="18">
        <v>2376</v>
      </c>
      <c r="Q6045" s="15"/>
      <c r="R6045" t="s" s="16">
        <f>HYPERLINK("http://secrets.rutgers.edu:8080/data/asl-ftp/asllvd/demos/verify_start_end_handshape_annotations//test_auto_move//signs_mov_separ_signers/Brady_16078.mov","MOV")</f>
        <v>21</v>
      </c>
    </row>
    <row r="6046" s="2" customFormat="1" ht="13.5" customHeight="1">
      <c r="B6046" t="s" s="8">
        <v>2068</v>
      </c>
      <c r="C6046" t="s" s="9">
        <v>14</v>
      </c>
      <c r="D6046" t="s" s="8">
        <v>14</v>
      </c>
      <c r="E6046" t="s" s="9">
        <v>14</v>
      </c>
      <c r="F6046" t="s" s="10">
        <v>14</v>
      </c>
      <c r="G6046" t="s" s="11">
        <v>14</v>
      </c>
      <c r="H6046" t="s" s="10">
        <v>14</v>
      </c>
      <c r="I6046" t="s" s="11">
        <v>14</v>
      </c>
      <c r="J6046" t="s" s="11">
        <v>14</v>
      </c>
      <c r="K6046" t="s" s="12">
        <v>14</v>
      </c>
      <c r="L6046" t="s" s="12">
        <v>14</v>
      </c>
      <c r="M6046" t="s" s="10">
        <v>14</v>
      </c>
      <c r="N6046" t="s" s="11">
        <v>14</v>
      </c>
      <c r="O6046" t="s" s="8">
        <v>14</v>
      </c>
      <c r="P6046" t="s" s="8">
        <v>14</v>
      </c>
      <c r="Q6046" t="s" s="12">
        <v>14</v>
      </c>
      <c r="R6046" t="s" s="12">
        <v>14</v>
      </c>
    </row>
    <row r="6047" s="2" customFormat="1" ht="13.5" customHeight="1">
      <c r="B6047" s="13"/>
      <c r="C6047" t="s" s="9">
        <v>16</v>
      </c>
      <c r="D6047" t="s" s="8">
        <v>2068</v>
      </c>
      <c r="E6047" t="s" s="9">
        <v>2068</v>
      </c>
      <c r="F6047" t="s" s="10">
        <v>220</v>
      </c>
      <c r="G6047" s="14"/>
      <c r="H6047" t="s" s="10">
        <v>220</v>
      </c>
      <c r="I6047" s="14"/>
      <c r="J6047" t="s" s="11">
        <v>20</v>
      </c>
      <c r="K6047" s="15"/>
      <c r="L6047" t="s" s="16">
        <f>HYPERLINK("http://csr.bu.edu/ftp/asl/asllvd/demos/verify_start_end_handshape_annotations//test_auto_move//signs_mov_separ_signers/Liz_1328.mov","MOV")</f>
        <v>21</v>
      </c>
      <c r="M6047" t="s" s="10">
        <v>34</v>
      </c>
      <c r="N6047" s="17">
        <v>40</v>
      </c>
      <c r="O6047" s="18">
        <v>1235</v>
      </c>
      <c r="P6047" s="18">
        <v>1300</v>
      </c>
      <c r="Q6047" s="15"/>
      <c r="R6047" t="s" s="16">
        <f>HYPERLINK("http://secrets.rutgers.edu:8080/data/asl-ftp/asllvd/demos/verify_start_end_handshape_annotations//test_auto_move//signs_mov_separ_signers/Liz_1328.mov","MOV")</f>
        <v>21</v>
      </c>
    </row>
    <row r="6048" s="2" customFormat="1" ht="13.5" customHeight="1">
      <c r="B6048" s="13"/>
      <c r="C6048" t="s" s="9">
        <v>23</v>
      </c>
      <c r="D6048" t="s" s="8">
        <v>2068</v>
      </c>
      <c r="E6048" t="s" s="9">
        <v>2068</v>
      </c>
      <c r="F6048" t="s" s="10">
        <v>220</v>
      </c>
      <c r="G6048" s="14"/>
      <c r="H6048" t="s" s="10">
        <v>220</v>
      </c>
      <c r="I6048" s="14"/>
      <c r="J6048" t="s" s="11">
        <v>20</v>
      </c>
      <c r="K6048" t="s" s="16">
        <f>HYPERLINK("http://csr.bu.edu/ftp/asl/asllvd/demos/verify_start_end_handshape_annotations//test_auto_move//signs_mov/1328.mov","MOV")</f>
        <v>21</v>
      </c>
      <c r="L6048" t="s" s="16">
        <f>HYPERLINK("http://csr.bu.edu/ftp/asl/asllvd/demos/verify_start_end_handshape_annotations//test_auto_move//signs_mov_separ_signers/Tyler_1328.mov","MOV")</f>
        <v>21</v>
      </c>
      <c r="M6048" t="s" s="10">
        <v>37</v>
      </c>
      <c r="N6048" s="17">
        <v>13</v>
      </c>
      <c r="O6048" s="18">
        <v>3630</v>
      </c>
      <c r="P6048" s="18">
        <v>3660</v>
      </c>
      <c r="Q6048" t="s" s="16">
        <f>HYPERLINK("http://secrets.rutgers.edu:8080/data/asl-ftp/asllvd/demos/verify_start_end_handshape_annotations//test_auto_move//signs_mov/1328.mov","MOV")</f>
        <v>21</v>
      </c>
      <c r="R6048" t="s" s="16">
        <f>HYPERLINK("http://secrets.rutgers.edu:8080/data/asl-ftp/asllvd/demos/verify_start_end_handshape_annotations//test_auto_move//signs_mov_separ_signers/Tyler_1328.mov","MOV")</f>
        <v>21</v>
      </c>
    </row>
    <row r="6049" s="2" customFormat="1" ht="13.5" customHeight="1">
      <c r="B6049" s="13"/>
      <c r="C6049" t="s" s="9">
        <v>27</v>
      </c>
      <c r="D6049" t="s" s="8">
        <v>2068</v>
      </c>
      <c r="E6049" t="s" s="9">
        <v>2068</v>
      </c>
      <c r="F6049" t="s" s="10">
        <v>220</v>
      </c>
      <c r="G6049" s="14"/>
      <c r="H6049" t="s" s="10">
        <v>220</v>
      </c>
      <c r="I6049" s="14"/>
      <c r="J6049" t="s" s="11">
        <v>20</v>
      </c>
      <c r="K6049" s="15"/>
      <c r="L6049" t="s" s="16">
        <f>HYPERLINK("http://csr.bu.edu/ftp/asl/asllvd/demos/verify_start_end_handshape_annotations//test_auto_move//signs_mov_separ_signers/Naomi_1328.mov","MOV")</f>
        <v>21</v>
      </c>
      <c r="M6049" t="s" s="10">
        <v>38</v>
      </c>
      <c r="N6049" s="17">
        <v>33</v>
      </c>
      <c r="O6049" s="18">
        <v>3735</v>
      </c>
      <c r="P6049" s="18">
        <v>3775</v>
      </c>
      <c r="Q6049" s="15"/>
      <c r="R6049" t="s" s="16">
        <f>HYPERLINK("http://secrets.rutgers.edu:8080/data/asl-ftp/asllvd/demos/verify_start_end_handshape_annotations//test_auto_move//signs_mov_separ_signers/Naomi_1328.mov","MOV")</f>
        <v>21</v>
      </c>
    </row>
    <row r="6050" s="2" customFormat="1" ht="13.5" customHeight="1">
      <c r="B6050" s="13"/>
      <c r="C6050" t="s" s="9">
        <v>30</v>
      </c>
      <c r="D6050" t="s" s="8">
        <v>2068</v>
      </c>
      <c r="E6050" t="s" s="9">
        <v>2068</v>
      </c>
      <c r="F6050" t="s" s="10">
        <v>220</v>
      </c>
      <c r="G6050" s="14"/>
      <c r="H6050" t="s" s="10">
        <v>220</v>
      </c>
      <c r="I6050" s="14"/>
      <c r="J6050" t="s" s="11">
        <v>20</v>
      </c>
      <c r="K6050" s="15"/>
      <c r="L6050" t="s" s="16">
        <f>HYPERLINK("http://csr.bu.edu/ftp/asl/asllvd/demos/verify_start_end_handshape_annotations//test_auto_move//signs_mov_separ_signers/Brady_1328.mov","MOV")</f>
        <v>21</v>
      </c>
      <c r="M6050" t="s" s="10">
        <v>39</v>
      </c>
      <c r="N6050" s="17">
        <v>44</v>
      </c>
      <c r="O6050" s="18">
        <v>1016</v>
      </c>
      <c r="P6050" s="18">
        <v>1040</v>
      </c>
      <c r="Q6050" s="15"/>
      <c r="R6050" t="s" s="16">
        <f>HYPERLINK("http://secrets.rutgers.edu:8080/data/asl-ftp/asllvd/demos/verify_start_end_handshape_annotations//test_auto_move//signs_mov_separ_signers/Brady_1328.mov","MOV")</f>
        <v>21</v>
      </c>
    </row>
    <row r="6051" s="2" customFormat="1" ht="13.5" customHeight="1">
      <c r="B6051" t="s" s="8">
        <v>2069</v>
      </c>
      <c r="C6051" t="s" s="9">
        <v>14</v>
      </c>
      <c r="D6051" t="s" s="8">
        <v>14</v>
      </c>
      <c r="E6051" t="s" s="9">
        <v>14</v>
      </c>
      <c r="F6051" t="s" s="10">
        <v>14</v>
      </c>
      <c r="G6051" t="s" s="11">
        <v>14</v>
      </c>
      <c r="H6051" t="s" s="10">
        <v>14</v>
      </c>
      <c r="I6051" t="s" s="11">
        <v>14</v>
      </c>
      <c r="J6051" t="s" s="11">
        <v>14</v>
      </c>
      <c r="K6051" t="s" s="12">
        <v>14</v>
      </c>
      <c r="L6051" t="s" s="12">
        <v>14</v>
      </c>
      <c r="M6051" t="s" s="10">
        <v>14</v>
      </c>
      <c r="N6051" t="s" s="11">
        <v>14</v>
      </c>
      <c r="O6051" t="s" s="8">
        <v>14</v>
      </c>
      <c r="P6051" t="s" s="8">
        <v>14</v>
      </c>
      <c r="Q6051" t="s" s="12">
        <v>14</v>
      </c>
      <c r="R6051" t="s" s="12">
        <v>14</v>
      </c>
    </row>
    <row r="6052" s="2" customFormat="1" ht="13.5" customHeight="1">
      <c r="B6052" s="13"/>
      <c r="C6052" t="s" s="9">
        <v>16</v>
      </c>
      <c r="D6052" t="s" s="8">
        <v>2069</v>
      </c>
      <c r="E6052" t="s" s="9">
        <v>2069</v>
      </c>
      <c r="F6052" t="s" s="10">
        <v>55</v>
      </c>
      <c r="G6052" t="s" s="11">
        <v>73</v>
      </c>
      <c r="H6052" t="s" s="10">
        <v>55</v>
      </c>
      <c r="I6052" t="s" s="11">
        <v>73</v>
      </c>
      <c r="J6052" t="s" s="11">
        <v>20</v>
      </c>
      <c r="K6052" s="15"/>
      <c r="L6052" t="s" s="16">
        <f>HYPERLINK("http://csr.bu.edu/ftp/asl/asllvd/demos/verify_start_end_handshape_annotations//test_auto_move//signs_mov_separ_signers/Liz_1329.mov","MOV")</f>
        <v>21</v>
      </c>
      <c r="M6052" t="s" s="10">
        <v>34</v>
      </c>
      <c r="N6052" s="17">
        <v>40</v>
      </c>
      <c r="O6052" s="18">
        <v>1480</v>
      </c>
      <c r="P6052" s="18">
        <v>1516</v>
      </c>
      <c r="Q6052" s="15"/>
      <c r="R6052" t="s" s="16">
        <f>HYPERLINK("http://secrets.rutgers.edu:8080/data/asl-ftp/asllvd/demos/verify_start_end_handshape_annotations//test_auto_move//signs_mov_separ_signers/Liz_1329.mov","MOV")</f>
        <v>21</v>
      </c>
    </row>
    <row r="6053" s="2" customFormat="1" ht="13.5" customHeight="1">
      <c r="B6053" s="13"/>
      <c r="C6053" t="s" s="9">
        <v>16</v>
      </c>
      <c r="D6053" t="s" s="8">
        <v>2069</v>
      </c>
      <c r="E6053" t="s" s="9">
        <v>2070</v>
      </c>
      <c r="F6053" t="s" s="10">
        <v>55</v>
      </c>
      <c r="G6053" t="s" s="11">
        <v>109</v>
      </c>
      <c r="H6053" t="s" s="10">
        <v>55</v>
      </c>
      <c r="I6053" t="s" s="11">
        <v>109</v>
      </c>
      <c r="J6053" t="s" s="11">
        <v>20</v>
      </c>
      <c r="K6053" s="15"/>
      <c r="L6053" t="s" s="16">
        <f>HYPERLINK("http://csr.bu.edu/ftp/asl/asllvd/demos/verify_start_end_handshape_annotations//test_auto_move//signs_mov_separ_signers/Liz_3552.mov","MOV")</f>
        <v>21</v>
      </c>
      <c r="M6053" t="s" s="10">
        <v>36</v>
      </c>
      <c r="N6053" s="17">
        <v>37</v>
      </c>
      <c r="O6053" s="18">
        <v>1300</v>
      </c>
      <c r="P6053" s="18">
        <v>1340</v>
      </c>
      <c r="Q6053" s="15"/>
      <c r="R6053" t="s" s="16">
        <f>HYPERLINK("http://secrets.rutgers.edu:8080/data/asl-ftp/asllvd/demos/verify_start_end_handshape_annotations//test_auto_move//signs_mov_separ_signers/Liz_3552.mov","MOV")</f>
        <v>21</v>
      </c>
    </row>
    <row r="6054" s="2" customFormat="1" ht="13.5" customHeight="1">
      <c r="B6054" s="13"/>
      <c r="C6054" t="s" s="9">
        <v>27</v>
      </c>
      <c r="D6054" t="s" s="8">
        <v>2069</v>
      </c>
      <c r="E6054" t="s" s="9">
        <v>2069</v>
      </c>
      <c r="F6054" t="s" s="10">
        <v>55</v>
      </c>
      <c r="G6054" t="s" s="11">
        <v>73</v>
      </c>
      <c r="H6054" t="s" s="10">
        <v>55</v>
      </c>
      <c r="I6054" t="s" s="11">
        <v>73</v>
      </c>
      <c r="J6054" t="s" s="11">
        <v>20</v>
      </c>
      <c r="K6054" t="s" s="16">
        <f>HYPERLINK("http://csr.bu.edu/ftp/asl/asllvd/demos/verify_start_end_handshape_annotations//test_auto_move//signs_mov/1329_3552_merged.mov","MOV")</f>
        <v>21</v>
      </c>
      <c r="L6054" t="s" s="16">
        <f>HYPERLINK("http://csr.bu.edu/ftp/asl/asllvd/demos/verify_start_end_handshape_annotations//test_auto_move//signs_mov_separ_signers/Naomi_1329.mov","MOV")</f>
        <v>21</v>
      </c>
      <c r="M6054" t="s" s="10">
        <v>38</v>
      </c>
      <c r="N6054" s="17">
        <v>33</v>
      </c>
      <c r="O6054" s="18">
        <v>4065</v>
      </c>
      <c r="P6054" s="18">
        <v>4082</v>
      </c>
      <c r="Q6054" t="s" s="16">
        <f>HYPERLINK("http://secrets.rutgers.edu:8080/data/asl-ftp/asllvd/demos/verify_start_end_handshape_annotations//test_auto_move//signs_mov/1329_3552_merged.mov","MOV")</f>
        <v>21</v>
      </c>
      <c r="R6054" t="s" s="16">
        <f>HYPERLINK("http://secrets.rutgers.edu:8080/data/asl-ftp/asllvd/demos/verify_start_end_handshape_annotations//test_auto_move//signs_mov_separ_signers/Naomi_1329.mov","MOV")</f>
        <v>21</v>
      </c>
    </row>
    <row r="6055" s="2" customFormat="1" ht="13.5" customHeight="1">
      <c r="B6055" s="13"/>
      <c r="C6055" t="s" s="9">
        <v>30</v>
      </c>
      <c r="D6055" t="s" s="8">
        <v>2069</v>
      </c>
      <c r="E6055" t="s" s="9">
        <v>2069</v>
      </c>
      <c r="F6055" t="s" s="10">
        <v>152</v>
      </c>
      <c r="G6055" t="s" s="11">
        <v>152</v>
      </c>
      <c r="H6055" t="s" s="10">
        <v>152</v>
      </c>
      <c r="I6055" t="s" s="11">
        <v>152</v>
      </c>
      <c r="J6055" t="s" s="11">
        <v>20</v>
      </c>
      <c r="K6055" s="15"/>
      <c r="L6055" t="s" s="16">
        <f>HYPERLINK("http://csr.bu.edu/ftp/asl/asllvd/demos/verify_start_end_handshape_annotations//test_auto_move//signs_mov_separ_signers/Brady_1329.mov","MOV")</f>
        <v>21</v>
      </c>
      <c r="M6055" t="s" s="10">
        <v>39</v>
      </c>
      <c r="N6055" s="17">
        <v>44</v>
      </c>
      <c r="O6055" s="18">
        <v>5230</v>
      </c>
      <c r="P6055" s="18">
        <v>5250</v>
      </c>
      <c r="Q6055" s="15"/>
      <c r="R6055" t="s" s="16">
        <f>HYPERLINK("http://secrets.rutgers.edu:8080/data/asl-ftp/asllvd/demos/verify_start_end_handshape_annotations//test_auto_move//signs_mov_separ_signers/Brady_1329.mov","MOV")</f>
        <v>21</v>
      </c>
    </row>
    <row r="6056" s="2" customFormat="1" ht="13.5" customHeight="1">
      <c r="B6056" s="13"/>
      <c r="C6056" t="s" s="9">
        <v>30</v>
      </c>
      <c r="D6056" t="s" s="8">
        <v>2069</v>
      </c>
      <c r="E6056" t="s" s="9">
        <v>2071</v>
      </c>
      <c r="F6056" t="s" s="10">
        <v>152</v>
      </c>
      <c r="G6056" t="s" s="11">
        <v>109</v>
      </c>
      <c r="H6056" t="s" s="10">
        <v>152</v>
      </c>
      <c r="I6056" t="s" s="11">
        <v>109</v>
      </c>
      <c r="J6056" t="s" s="11">
        <v>20</v>
      </c>
      <c r="K6056" s="15"/>
      <c r="L6056" t="s" s="16">
        <f>HYPERLINK("http://csr.bu.edu/ftp/asl/asllvd/demos/verify_start_end_handshape_annotations//test_auto_move//signs_mov_separ_signers/Brady_3552.mov","MOV")</f>
        <v>21</v>
      </c>
      <c r="M6056" t="s" s="10">
        <v>40</v>
      </c>
      <c r="N6056" s="17">
        <v>89</v>
      </c>
      <c r="O6056" s="18">
        <v>2203</v>
      </c>
      <c r="P6056" s="18">
        <v>2235</v>
      </c>
      <c r="Q6056" s="15"/>
      <c r="R6056" t="s" s="16">
        <f>HYPERLINK("http://secrets.rutgers.edu:8080/data/asl-ftp/asllvd/demos/verify_start_end_handshape_annotations//test_auto_move//signs_mov_separ_signers/Brady_3552.mov","MOV")</f>
        <v>21</v>
      </c>
    </row>
    <row r="6057" s="2" customFormat="1" ht="13.5" customHeight="1">
      <c r="B6057" t="s" s="8">
        <v>52</v>
      </c>
      <c r="C6057" t="s" s="9">
        <v>53</v>
      </c>
      <c r="D6057" t="s" s="8">
        <v>53</v>
      </c>
      <c r="E6057" t="s" s="9">
        <v>53</v>
      </c>
      <c r="F6057" t="s" s="10">
        <v>53</v>
      </c>
      <c r="G6057" t="s" s="11">
        <v>53</v>
      </c>
      <c r="H6057" t="s" s="10">
        <v>53</v>
      </c>
      <c r="I6057" t="s" s="11">
        <v>53</v>
      </c>
      <c r="J6057" t="s" s="11">
        <v>53</v>
      </c>
      <c r="K6057" t="s" s="12">
        <v>53</v>
      </c>
      <c r="L6057" t="s" s="12">
        <v>53</v>
      </c>
      <c r="M6057" t="s" s="10">
        <v>53</v>
      </c>
      <c r="N6057" t="s" s="11">
        <v>53</v>
      </c>
      <c r="O6057" t="s" s="8">
        <v>53</v>
      </c>
      <c r="P6057" t="s" s="8">
        <v>53</v>
      </c>
      <c r="Q6057" t="s" s="12">
        <v>53</v>
      </c>
      <c r="R6057" t="s" s="12">
        <v>53</v>
      </c>
    </row>
    <row r="6058" s="2" customFormat="1" ht="13.5" customHeight="1">
      <c r="B6058" s="13"/>
      <c r="C6058" t="s" s="9">
        <v>23</v>
      </c>
      <c r="D6058" t="s" s="8">
        <v>2069</v>
      </c>
      <c r="E6058" t="s" s="9">
        <v>2072</v>
      </c>
      <c r="F6058" t="s" s="10">
        <v>220</v>
      </c>
      <c r="G6058" t="s" s="11">
        <v>73</v>
      </c>
      <c r="H6058" t="s" s="10">
        <v>220</v>
      </c>
      <c r="I6058" t="s" s="11">
        <v>80</v>
      </c>
      <c r="J6058" t="s" s="11">
        <v>20</v>
      </c>
      <c r="K6058" t="s" s="16">
        <f>HYPERLINK("http://csr.bu.edu/ftp/asl/asllvd/demos/verify_start_end_handshape_annotations//test_auto_move//signs_mov/5230.mov","MOV")</f>
        <v>21</v>
      </c>
      <c r="L6058" t="s" s="16">
        <f>HYPERLINK("http://csr.bu.edu/ftp/asl/asllvd/demos/verify_start_end_handshape_annotations//test_auto_move//signs_mov_separ_signers/Tyler_5230.mov","MOV")</f>
        <v>21</v>
      </c>
      <c r="M6058" t="s" s="10">
        <v>37</v>
      </c>
      <c r="N6058" s="17">
        <v>13</v>
      </c>
      <c r="O6058" s="18">
        <v>3855</v>
      </c>
      <c r="P6058" s="18">
        <v>3886</v>
      </c>
      <c r="Q6058" t="s" s="16">
        <f>HYPERLINK("http://secrets.rutgers.edu:8080/data/asl-ftp/asllvd/demos/verify_start_end_handshape_annotations//test_auto_move//signs_mov/5230.mov","MOV")</f>
        <v>21</v>
      </c>
      <c r="R6058" t="s" s="16">
        <f>HYPERLINK("http://secrets.rutgers.edu:8080/data/asl-ftp/asllvd/demos/verify_start_end_handshape_annotations//test_auto_move//signs_mov_separ_signers/Tyler_5230.mov","MOV")</f>
        <v>21</v>
      </c>
    </row>
    <row r="6059" s="2" customFormat="1" ht="13.5" customHeight="1">
      <c r="B6059" t="s" s="8">
        <v>2073</v>
      </c>
      <c r="C6059" t="s" s="9">
        <v>14</v>
      </c>
      <c r="D6059" t="s" s="8">
        <v>14</v>
      </c>
      <c r="E6059" t="s" s="9">
        <v>14</v>
      </c>
      <c r="F6059" t="s" s="10">
        <v>14</v>
      </c>
      <c r="G6059" t="s" s="11">
        <v>14</v>
      </c>
      <c r="H6059" t="s" s="10">
        <v>14</v>
      </c>
      <c r="I6059" t="s" s="11">
        <v>14</v>
      </c>
      <c r="J6059" t="s" s="11">
        <v>14</v>
      </c>
      <c r="K6059" t="s" s="12">
        <v>14</v>
      </c>
      <c r="L6059" t="s" s="12">
        <v>14</v>
      </c>
      <c r="M6059" t="s" s="10">
        <v>14</v>
      </c>
      <c r="N6059" t="s" s="11">
        <v>14</v>
      </c>
      <c r="O6059" t="s" s="8">
        <v>14</v>
      </c>
      <c r="P6059" t="s" s="8">
        <v>14</v>
      </c>
      <c r="Q6059" t="s" s="12">
        <v>14</v>
      </c>
      <c r="R6059" t="s" s="12">
        <v>14</v>
      </c>
    </row>
    <row r="6060" s="2" customFormat="1" ht="13.5" customHeight="1">
      <c r="B6060" s="13"/>
      <c r="C6060" t="s" s="9">
        <v>16</v>
      </c>
      <c r="D6060" t="s" s="8">
        <v>2073</v>
      </c>
      <c r="E6060" t="s" s="9">
        <v>2073</v>
      </c>
      <c r="F6060" t="s" s="10">
        <v>2074</v>
      </c>
      <c r="G6060" s="14"/>
      <c r="H6060" t="s" s="10">
        <v>2074</v>
      </c>
      <c r="I6060" s="14"/>
      <c r="J6060" t="s" s="11">
        <v>20</v>
      </c>
      <c r="K6060" s="15"/>
      <c r="L6060" t="s" s="16">
        <f>HYPERLINK("http://csr.bu.edu/ftp/asl/asllvd/demos/verify_start_end_handshape_annotations//test_auto_move//signs_mov_separ_signers/Liz_1330.mov","MOV")</f>
        <v>21</v>
      </c>
      <c r="M6060" t="s" s="10">
        <v>34</v>
      </c>
      <c r="N6060" s="17">
        <v>41</v>
      </c>
      <c r="O6060" s="18">
        <v>260</v>
      </c>
      <c r="P6060" s="18">
        <v>295</v>
      </c>
      <c r="Q6060" s="15"/>
      <c r="R6060" t="s" s="16">
        <f>HYPERLINK("http://secrets.rutgers.edu:8080/data/asl-ftp/asllvd/demos/verify_start_end_handshape_annotations//test_auto_move//signs_mov_separ_signers/Liz_1330.mov","MOV")</f>
        <v>21</v>
      </c>
    </row>
    <row r="6061" s="2" customFormat="1" ht="13.5" customHeight="1">
      <c r="B6061" s="13"/>
      <c r="C6061" t="s" s="9">
        <v>23</v>
      </c>
      <c r="D6061" t="s" s="8">
        <v>2073</v>
      </c>
      <c r="E6061" t="s" s="9">
        <v>2073</v>
      </c>
      <c r="F6061" t="s" s="10">
        <v>2074</v>
      </c>
      <c r="G6061" s="14"/>
      <c r="H6061" t="s" s="10">
        <v>2074</v>
      </c>
      <c r="I6061" s="14"/>
      <c r="J6061" t="s" s="11">
        <v>20</v>
      </c>
      <c r="K6061" t="s" s="16">
        <f>HYPERLINK("http://csr.bu.edu/ftp/asl/asllvd/demos/verify_start_end_handshape_annotations//test_auto_move//signs_mov/1330.mov","MOV")</f>
        <v>21</v>
      </c>
      <c r="L6061" t="s" s="16">
        <f>HYPERLINK("http://csr.bu.edu/ftp/asl/asllvd/demos/verify_start_end_handshape_annotations//test_auto_move//signs_mov_separ_signers/Tyler_1330.mov","MOV")</f>
        <v>21</v>
      </c>
      <c r="M6061" t="s" s="10">
        <v>37</v>
      </c>
      <c r="N6061" s="17">
        <v>13</v>
      </c>
      <c r="O6061" s="18">
        <v>4011</v>
      </c>
      <c r="P6061" s="18">
        <v>4045</v>
      </c>
      <c r="Q6061" t="s" s="16">
        <f>HYPERLINK("http://secrets.rutgers.edu:8080/data/asl-ftp/asllvd/demos/verify_start_end_handshape_annotations//test_auto_move//signs_mov/1330.mov","MOV")</f>
        <v>21</v>
      </c>
      <c r="R6061" t="s" s="16">
        <f>HYPERLINK("http://secrets.rutgers.edu:8080/data/asl-ftp/asllvd/demos/verify_start_end_handshape_annotations//test_auto_move//signs_mov_separ_signers/Tyler_1330.mov","MOV")</f>
        <v>21</v>
      </c>
    </row>
    <row r="6062" s="2" customFormat="1" ht="13.5" customHeight="1">
      <c r="B6062" s="13"/>
      <c r="C6062" t="s" s="9">
        <v>27</v>
      </c>
      <c r="D6062" t="s" s="8">
        <v>2073</v>
      </c>
      <c r="E6062" t="s" s="9">
        <v>2073</v>
      </c>
      <c r="F6062" t="s" s="10">
        <v>2074</v>
      </c>
      <c r="G6062" s="14"/>
      <c r="H6062" t="s" s="10">
        <v>2074</v>
      </c>
      <c r="I6062" s="14"/>
      <c r="J6062" t="s" s="11">
        <v>20</v>
      </c>
      <c r="K6062" s="15"/>
      <c r="L6062" t="s" s="16">
        <f>HYPERLINK("http://csr.bu.edu/ftp/asl/asllvd/demos/verify_start_end_handshape_annotations//test_auto_move//signs_mov_separ_signers/Naomi_1330.mov","MOV")</f>
        <v>21</v>
      </c>
      <c r="M6062" t="s" s="10">
        <v>38</v>
      </c>
      <c r="N6062" s="17">
        <v>33</v>
      </c>
      <c r="O6062" s="18">
        <v>4477</v>
      </c>
      <c r="P6062" s="18">
        <v>4493</v>
      </c>
      <c r="Q6062" s="15"/>
      <c r="R6062" t="s" s="16">
        <f>HYPERLINK("http://secrets.rutgers.edu:8080/data/asl-ftp/asllvd/demos/verify_start_end_handshape_annotations//test_auto_move//signs_mov_separ_signers/Naomi_1330.mov","MOV")</f>
        <v>21</v>
      </c>
    </row>
    <row r="6063" s="2" customFormat="1" ht="13.5" customHeight="1">
      <c r="B6063" s="13"/>
      <c r="C6063" t="s" s="9">
        <v>30</v>
      </c>
      <c r="D6063" t="s" s="8">
        <v>2073</v>
      </c>
      <c r="E6063" t="s" s="9">
        <v>2073</v>
      </c>
      <c r="F6063" t="s" s="10">
        <v>2074</v>
      </c>
      <c r="G6063" s="14"/>
      <c r="H6063" t="s" s="10">
        <v>2074</v>
      </c>
      <c r="I6063" s="14"/>
      <c r="J6063" t="s" s="11">
        <v>20</v>
      </c>
      <c r="K6063" s="15"/>
      <c r="L6063" t="s" s="16">
        <f>HYPERLINK("http://csr.bu.edu/ftp/asl/asllvd/demos/verify_start_end_handshape_annotations//test_auto_move//signs_mov_separ_signers/Brady_1330.mov","MOV")</f>
        <v>21</v>
      </c>
      <c r="M6063" t="s" s="10">
        <v>39</v>
      </c>
      <c r="N6063" s="17">
        <v>44</v>
      </c>
      <c r="O6063" s="18">
        <v>5663</v>
      </c>
      <c r="P6063" s="18">
        <v>5687</v>
      </c>
      <c r="Q6063" s="15"/>
      <c r="R6063" t="s" s="16">
        <f>HYPERLINK("http://secrets.rutgers.edu:8080/data/asl-ftp/asllvd/demos/verify_start_end_handshape_annotations//test_auto_move//signs_mov_separ_signers/Brady_1330.mov","MOV")</f>
        <v>21</v>
      </c>
    </row>
    <row r="6064" s="2" customFormat="1" ht="13.5" customHeight="1">
      <c r="B6064" t="s" s="8">
        <v>2075</v>
      </c>
      <c r="C6064" t="s" s="9">
        <v>14</v>
      </c>
      <c r="D6064" t="s" s="8">
        <v>14</v>
      </c>
      <c r="E6064" t="s" s="9">
        <v>14</v>
      </c>
      <c r="F6064" t="s" s="10">
        <v>14</v>
      </c>
      <c r="G6064" t="s" s="11">
        <v>14</v>
      </c>
      <c r="H6064" t="s" s="10">
        <v>14</v>
      </c>
      <c r="I6064" t="s" s="11">
        <v>14</v>
      </c>
      <c r="J6064" t="s" s="11">
        <v>14</v>
      </c>
      <c r="K6064" t="s" s="12">
        <v>14</v>
      </c>
      <c r="L6064" t="s" s="12">
        <v>14</v>
      </c>
      <c r="M6064" t="s" s="10">
        <v>14</v>
      </c>
      <c r="N6064" t="s" s="11">
        <v>14</v>
      </c>
      <c r="O6064" t="s" s="8">
        <v>14</v>
      </c>
      <c r="P6064" t="s" s="8">
        <v>14</v>
      </c>
      <c r="Q6064" t="s" s="12">
        <v>14</v>
      </c>
      <c r="R6064" t="s" s="12">
        <v>14</v>
      </c>
    </row>
    <row r="6065" s="2" customFormat="1" ht="13.5" customHeight="1">
      <c r="B6065" s="13"/>
      <c r="C6065" t="s" s="9">
        <v>16</v>
      </c>
      <c r="D6065" t="s" s="8">
        <v>2075</v>
      </c>
      <c r="E6065" t="s" s="9">
        <v>2075</v>
      </c>
      <c r="F6065" t="s" s="10">
        <v>337</v>
      </c>
      <c r="G6065" t="s" s="11">
        <v>73</v>
      </c>
      <c r="H6065" t="s" s="10">
        <v>337</v>
      </c>
      <c r="I6065" t="s" s="11">
        <v>73</v>
      </c>
      <c r="J6065" t="s" s="11">
        <v>20</v>
      </c>
      <c r="K6065" s="15"/>
      <c r="L6065" t="s" s="16">
        <f>HYPERLINK("http://csr.bu.edu/ftp/asl/asllvd/demos/verify_start_end_handshape_annotations//test_auto_move//signs_mov_separ_signers/Liz_1331.mov","MOV")</f>
        <v>21</v>
      </c>
      <c r="M6065" t="s" s="10">
        <v>77</v>
      </c>
      <c r="N6065" s="17">
        <v>11</v>
      </c>
      <c r="O6065" s="18">
        <v>5061</v>
      </c>
      <c r="P6065" s="18">
        <v>5100</v>
      </c>
      <c r="Q6065" s="15"/>
      <c r="R6065" t="s" s="16">
        <f>HYPERLINK("http://secrets.rutgers.edu:8080/data/asl-ftp/asllvd/demos/verify_start_end_handshape_annotations//test_auto_move//signs_mov_separ_signers/Liz_1331.mov","MOV")</f>
        <v>21</v>
      </c>
    </row>
    <row r="6066" s="2" customFormat="1" ht="13.5" customHeight="1">
      <c r="B6066" s="13"/>
      <c r="C6066" t="s" s="9">
        <v>30</v>
      </c>
      <c r="D6066" t="s" s="8">
        <v>2075</v>
      </c>
      <c r="E6066" t="s" s="9">
        <v>2075</v>
      </c>
      <c r="F6066" t="s" s="10">
        <v>337</v>
      </c>
      <c r="G6066" t="s" s="11">
        <v>73</v>
      </c>
      <c r="H6066" t="s" s="10">
        <v>337</v>
      </c>
      <c r="I6066" t="s" s="11">
        <v>73</v>
      </c>
      <c r="J6066" t="s" s="11">
        <v>20</v>
      </c>
      <c r="K6066" t="s" s="16">
        <f>HYPERLINK("http://csr.bu.edu/ftp/asl/asllvd/demos/verify_start_end_handshape_annotations//test_auto_move//signs_mov/1331_3880_merged.mov","MOV")</f>
        <v>21</v>
      </c>
      <c r="L6066" t="s" s="16">
        <f>HYPERLINK("http://csr.bu.edu/ftp/asl/asllvd/demos/verify_start_end_handshape_annotations//test_auto_move//signs_mov_separ_signers/Brady_1331.mov","MOV")</f>
        <v>21</v>
      </c>
      <c r="M6066" t="s" s="10">
        <v>39</v>
      </c>
      <c r="N6066" s="17">
        <v>44</v>
      </c>
      <c r="O6066" s="18">
        <v>6459</v>
      </c>
      <c r="P6066" s="18">
        <v>6474</v>
      </c>
      <c r="Q6066" t="s" s="16">
        <f>HYPERLINK("http://secrets.rutgers.edu:8080/data/asl-ftp/asllvd/demos/verify_start_end_handshape_annotations//test_auto_move//signs_mov/1331_3880_merged.mov","MOV")</f>
        <v>21</v>
      </c>
      <c r="R6066" t="s" s="16">
        <f>HYPERLINK("http://secrets.rutgers.edu:8080/data/asl-ftp/asllvd/demos/verify_start_end_handshape_annotations//test_auto_move//signs_mov_separ_signers/Brady_1331.mov","MOV")</f>
        <v>21</v>
      </c>
    </row>
    <row r="6067" s="2" customFormat="1" ht="13.5" customHeight="1">
      <c r="B6067" s="13"/>
      <c r="C6067" t="s" s="9">
        <v>30</v>
      </c>
      <c r="D6067" t="s" s="8">
        <v>2075</v>
      </c>
      <c r="E6067" t="s" s="9">
        <v>2075</v>
      </c>
      <c r="F6067" s="19">
        <v>1</v>
      </c>
      <c r="G6067" t="s" s="11">
        <v>73</v>
      </c>
      <c r="H6067" s="19">
        <v>1</v>
      </c>
      <c r="I6067" t="s" s="11">
        <v>73</v>
      </c>
      <c r="J6067" t="s" s="11">
        <v>20</v>
      </c>
      <c r="K6067" s="15"/>
      <c r="L6067" t="s" s="16">
        <f>HYPERLINK("http://csr.bu.edu/ftp/asl/asllvd/demos/verify_start_end_handshape_annotations//test_auto_move//signs_mov_separ_signers/Brady_3880.mov","MOV")</f>
        <v>21</v>
      </c>
      <c r="M6067" t="s" s="10">
        <v>39</v>
      </c>
      <c r="N6067" s="17">
        <v>44</v>
      </c>
      <c r="O6067" s="18">
        <v>6723</v>
      </c>
      <c r="P6067" s="18">
        <v>6737</v>
      </c>
      <c r="Q6067" s="15"/>
      <c r="R6067" t="s" s="16">
        <f>HYPERLINK("http://secrets.rutgers.edu:8080/data/asl-ftp/asllvd/demos/verify_start_end_handshape_annotations//test_auto_move//signs_mov_separ_signers/Brady_3880.mov","MOV")</f>
        <v>21</v>
      </c>
    </row>
    <row r="6068" s="2" customFormat="1" ht="13.5" customHeight="1">
      <c r="B6068" t="s" s="8">
        <v>52</v>
      </c>
      <c r="C6068" t="s" s="9">
        <v>53</v>
      </c>
      <c r="D6068" t="s" s="8">
        <v>53</v>
      </c>
      <c r="E6068" t="s" s="9">
        <v>53</v>
      </c>
      <c r="F6068" t="s" s="10">
        <v>53</v>
      </c>
      <c r="G6068" t="s" s="11">
        <v>53</v>
      </c>
      <c r="H6068" t="s" s="10">
        <v>53</v>
      </c>
      <c r="I6068" t="s" s="11">
        <v>53</v>
      </c>
      <c r="J6068" t="s" s="11">
        <v>53</v>
      </c>
      <c r="K6068" t="s" s="12">
        <v>53</v>
      </c>
      <c r="L6068" t="s" s="12">
        <v>53</v>
      </c>
      <c r="M6068" t="s" s="10">
        <v>53</v>
      </c>
      <c r="N6068" t="s" s="11">
        <v>53</v>
      </c>
      <c r="O6068" t="s" s="8">
        <v>53</v>
      </c>
      <c r="P6068" t="s" s="8">
        <v>53</v>
      </c>
      <c r="Q6068" t="s" s="12">
        <v>53</v>
      </c>
      <c r="R6068" t="s" s="12">
        <v>53</v>
      </c>
    </row>
    <row r="6069" s="2" customFormat="1" ht="13.5" customHeight="1">
      <c r="B6069" s="13"/>
      <c r="C6069" t="s" s="9">
        <v>16</v>
      </c>
      <c r="D6069" t="s" s="8">
        <v>2075</v>
      </c>
      <c r="E6069" t="s" s="9">
        <v>2076</v>
      </c>
      <c r="F6069" t="s" s="10">
        <v>220</v>
      </c>
      <c r="G6069" t="s" s="11">
        <v>73</v>
      </c>
      <c r="H6069" t="s" s="10">
        <v>220</v>
      </c>
      <c r="I6069" t="s" s="11">
        <v>73</v>
      </c>
      <c r="J6069" t="s" s="11">
        <v>20</v>
      </c>
      <c r="K6069" s="15"/>
      <c r="L6069" t="s" s="16">
        <f>HYPERLINK("http://csr.bu.edu/ftp/asl/asllvd/demos/verify_start_end_handshape_annotations//test_auto_move//signs_mov_separ_signers/Liz_5231.mov","MOV")</f>
        <v>21</v>
      </c>
      <c r="M6069" t="s" s="10">
        <v>34</v>
      </c>
      <c r="N6069" s="17">
        <v>41</v>
      </c>
      <c r="O6069" s="18">
        <v>505</v>
      </c>
      <c r="P6069" s="18">
        <v>547</v>
      </c>
      <c r="Q6069" s="15"/>
      <c r="R6069" t="s" s="16">
        <f>HYPERLINK("http://secrets.rutgers.edu:8080/data/asl-ftp/asllvd/demos/verify_start_end_handshape_annotations//test_auto_move//signs_mov_separ_signers/Liz_5231.mov","MOV")</f>
        <v>21</v>
      </c>
    </row>
    <row r="6070" s="2" customFormat="1" ht="13.5" customHeight="1">
      <c r="B6070" s="13"/>
      <c r="C6070" t="s" s="9">
        <v>23</v>
      </c>
      <c r="D6070" t="s" s="8">
        <v>2075</v>
      </c>
      <c r="E6070" t="s" s="9">
        <v>2076</v>
      </c>
      <c r="F6070" t="s" s="10">
        <v>220</v>
      </c>
      <c r="G6070" t="s" s="11">
        <v>73</v>
      </c>
      <c r="H6070" t="s" s="10">
        <v>220</v>
      </c>
      <c r="I6070" t="s" s="11">
        <v>73</v>
      </c>
      <c r="J6070" t="s" s="11">
        <v>20</v>
      </c>
      <c r="K6070" t="s" s="16">
        <f>HYPERLINK("http://csr.bu.edu/ftp/asl/asllvd/demos/verify_start_end_handshape_annotations//test_auto_move//signs_mov/5231.mov","MOV")</f>
        <v>21</v>
      </c>
      <c r="L6070" t="s" s="16">
        <f>HYPERLINK("http://csr.bu.edu/ftp/asl/asllvd/demos/verify_start_end_handshape_annotations//test_auto_move//signs_mov_separ_signers/Tyler_5231.mov","MOV")</f>
        <v>21</v>
      </c>
      <c r="M6070" t="s" s="10">
        <v>37</v>
      </c>
      <c r="N6070" s="17">
        <v>14</v>
      </c>
      <c r="O6070" s="18">
        <v>225</v>
      </c>
      <c r="P6070" s="18">
        <v>251</v>
      </c>
      <c r="Q6070" t="s" s="16">
        <f>HYPERLINK("http://secrets.rutgers.edu:8080/data/asl-ftp/asllvd/demos/verify_start_end_handshape_annotations//test_auto_move//signs_mov/5231.mov","MOV")</f>
        <v>21</v>
      </c>
      <c r="R6070" t="s" s="16">
        <f>HYPERLINK("http://secrets.rutgers.edu:8080/data/asl-ftp/asllvd/demos/verify_start_end_handshape_annotations//test_auto_move//signs_mov_separ_signers/Tyler_5231.mov","MOV")</f>
        <v>21</v>
      </c>
    </row>
    <row r="6071" s="2" customFormat="1" ht="13.5" customHeight="1">
      <c r="B6071" s="13"/>
      <c r="C6071" t="s" s="9">
        <v>27</v>
      </c>
      <c r="D6071" t="s" s="8">
        <v>2075</v>
      </c>
      <c r="E6071" t="s" s="9">
        <v>2076</v>
      </c>
      <c r="F6071" t="s" s="10">
        <v>220</v>
      </c>
      <c r="G6071" t="s" s="11">
        <v>73</v>
      </c>
      <c r="H6071" t="s" s="10">
        <v>220</v>
      </c>
      <c r="I6071" t="s" s="11">
        <v>73</v>
      </c>
      <c r="J6071" t="s" s="11">
        <v>20</v>
      </c>
      <c r="K6071" s="15"/>
      <c r="L6071" t="s" s="16">
        <f>HYPERLINK("http://csr.bu.edu/ftp/asl/asllvd/demos/verify_start_end_handshape_annotations//test_auto_move//signs_mov_separ_signers/Naomi_5231.mov","MOV")</f>
        <v>21</v>
      </c>
      <c r="M6071" t="s" s="10">
        <v>38</v>
      </c>
      <c r="N6071" s="17">
        <v>34</v>
      </c>
      <c r="O6071" s="18">
        <v>292</v>
      </c>
      <c r="P6071" s="18">
        <v>318</v>
      </c>
      <c r="Q6071" s="15"/>
      <c r="R6071" t="s" s="16">
        <f>HYPERLINK("http://secrets.rutgers.edu:8080/data/asl-ftp/asllvd/demos/verify_start_end_handshape_annotations//test_auto_move//signs_mov_separ_signers/Naomi_5231.mov","MOV")</f>
        <v>21</v>
      </c>
    </row>
    <row r="6072" s="2" customFormat="1" ht="13.5" customHeight="1">
      <c r="B6072" t="s" s="8">
        <v>2077</v>
      </c>
      <c r="C6072" t="s" s="9">
        <v>14</v>
      </c>
      <c r="D6072" t="s" s="8">
        <v>14</v>
      </c>
      <c r="E6072" t="s" s="9">
        <v>14</v>
      </c>
      <c r="F6072" t="s" s="10">
        <v>14</v>
      </c>
      <c r="G6072" t="s" s="11">
        <v>14</v>
      </c>
      <c r="H6072" t="s" s="10">
        <v>14</v>
      </c>
      <c r="I6072" t="s" s="11">
        <v>14</v>
      </c>
      <c r="J6072" t="s" s="11">
        <v>14</v>
      </c>
      <c r="K6072" t="s" s="12">
        <v>14</v>
      </c>
      <c r="L6072" t="s" s="12">
        <v>14</v>
      </c>
      <c r="M6072" t="s" s="10">
        <v>14</v>
      </c>
      <c r="N6072" t="s" s="11">
        <v>14</v>
      </c>
      <c r="O6072" t="s" s="8">
        <v>14</v>
      </c>
      <c r="P6072" t="s" s="8">
        <v>14</v>
      </c>
      <c r="Q6072" t="s" s="12">
        <v>14</v>
      </c>
      <c r="R6072" t="s" s="12">
        <v>14</v>
      </c>
    </row>
    <row r="6073" s="2" customFormat="1" ht="13.5" customHeight="1">
      <c r="B6073" s="13"/>
      <c r="C6073" t="s" s="9">
        <v>16</v>
      </c>
      <c r="D6073" t="s" s="8">
        <v>2077</v>
      </c>
      <c r="E6073" t="s" s="9">
        <v>2077</v>
      </c>
      <c r="F6073" t="s" s="10">
        <v>220</v>
      </c>
      <c r="G6073" t="s" s="11">
        <v>220</v>
      </c>
      <c r="H6073" t="s" s="10">
        <v>220</v>
      </c>
      <c r="I6073" t="s" s="11">
        <v>220</v>
      </c>
      <c r="J6073" t="s" s="11">
        <v>20</v>
      </c>
      <c r="K6073" s="15"/>
      <c r="L6073" t="s" s="16">
        <f>HYPERLINK("http://csr.bu.edu/ftp/asl/asllvd/demos/verify_start_end_handshape_annotations//test_auto_move//signs_mov_separ_signers/Liz_1333.mov","MOV")</f>
        <v>21</v>
      </c>
      <c r="M6073" t="s" s="10">
        <v>34</v>
      </c>
      <c r="N6073" s="17">
        <v>41</v>
      </c>
      <c r="O6073" s="18">
        <v>1320</v>
      </c>
      <c r="P6073" s="18">
        <v>1382</v>
      </c>
      <c r="Q6073" s="15"/>
      <c r="R6073" t="s" s="16">
        <f>HYPERLINK("http://secrets.rutgers.edu:8080/data/asl-ftp/asllvd/demos/verify_start_end_handshape_annotations//test_auto_move//signs_mov_separ_signers/Liz_1333.mov","MOV")</f>
        <v>21</v>
      </c>
    </row>
    <row r="6074" s="2" customFormat="1" ht="13.5" customHeight="1">
      <c r="B6074" s="13"/>
      <c r="C6074" t="s" s="9">
        <v>23</v>
      </c>
      <c r="D6074" t="s" s="8">
        <v>2077</v>
      </c>
      <c r="E6074" t="s" s="9">
        <v>2077</v>
      </c>
      <c r="F6074" t="s" s="10">
        <v>220</v>
      </c>
      <c r="G6074" t="s" s="11">
        <v>220</v>
      </c>
      <c r="H6074" t="s" s="10">
        <v>220</v>
      </c>
      <c r="I6074" t="s" s="11">
        <v>220</v>
      </c>
      <c r="J6074" t="s" s="11">
        <v>20</v>
      </c>
      <c r="K6074" t="s" s="16">
        <f>HYPERLINK("http://csr.bu.edu/ftp/asl/asllvd/demos/verify_start_end_handshape_annotations//test_auto_move//signs_mov/1333.mov","MOV")</f>
        <v>21</v>
      </c>
      <c r="L6074" t="s" s="16">
        <f>HYPERLINK("http://csr.bu.edu/ftp/asl/asllvd/demos/verify_start_end_handshape_annotations//test_auto_move//signs_mov_separ_signers/Tyler_1333.mov","MOV")</f>
        <v>21</v>
      </c>
      <c r="M6074" t="s" s="10">
        <v>37</v>
      </c>
      <c r="N6074" s="17">
        <v>14</v>
      </c>
      <c r="O6074" s="18">
        <v>1180</v>
      </c>
      <c r="P6074" s="18">
        <v>1221</v>
      </c>
      <c r="Q6074" t="s" s="16">
        <f>HYPERLINK("http://secrets.rutgers.edu:8080/data/asl-ftp/asllvd/demos/verify_start_end_handshape_annotations//test_auto_move//signs_mov/1333.mov","MOV")</f>
        <v>21</v>
      </c>
      <c r="R6074" t="s" s="16">
        <f>HYPERLINK("http://secrets.rutgers.edu:8080/data/asl-ftp/asllvd/demos/verify_start_end_handshape_annotations//test_auto_move//signs_mov_separ_signers/Tyler_1333.mov","MOV")</f>
        <v>21</v>
      </c>
    </row>
    <row r="6075" s="2" customFormat="1" ht="13.5" customHeight="1">
      <c r="B6075" s="13"/>
      <c r="C6075" t="s" s="9">
        <v>27</v>
      </c>
      <c r="D6075" t="s" s="8">
        <v>2077</v>
      </c>
      <c r="E6075" t="s" s="9">
        <v>2077</v>
      </c>
      <c r="F6075" t="s" s="10">
        <v>220</v>
      </c>
      <c r="G6075" t="s" s="11">
        <v>220</v>
      </c>
      <c r="H6075" t="s" s="10">
        <v>220</v>
      </c>
      <c r="I6075" t="s" s="11">
        <v>220</v>
      </c>
      <c r="J6075" t="s" s="11">
        <v>20</v>
      </c>
      <c r="K6075" s="15"/>
      <c r="L6075" t="s" s="16">
        <f>HYPERLINK("http://csr.bu.edu/ftp/asl/asllvd/demos/verify_start_end_handshape_annotations//test_auto_move//signs_mov_separ_signers/Naomi_1333.mov","MOV")</f>
        <v>21</v>
      </c>
      <c r="M6075" t="s" s="10">
        <v>38</v>
      </c>
      <c r="N6075" s="17">
        <v>34</v>
      </c>
      <c r="O6075" s="18">
        <v>1952</v>
      </c>
      <c r="P6075" s="18">
        <v>1983</v>
      </c>
      <c r="Q6075" s="15"/>
      <c r="R6075" t="s" s="16">
        <f>HYPERLINK("http://secrets.rutgers.edu:8080/data/asl-ftp/asllvd/demos/verify_start_end_handshape_annotations//test_auto_move//signs_mov_separ_signers/Naomi_1333.mov","MOV")</f>
        <v>21</v>
      </c>
    </row>
    <row r="6076" s="2" customFormat="1" ht="13.5" customHeight="1">
      <c r="B6076" s="13"/>
      <c r="C6076" t="s" s="9">
        <v>30</v>
      </c>
      <c r="D6076" t="s" s="8">
        <v>2077</v>
      </c>
      <c r="E6076" t="s" s="9">
        <v>2077</v>
      </c>
      <c r="F6076" t="s" s="10">
        <v>220</v>
      </c>
      <c r="G6076" t="s" s="11">
        <v>220</v>
      </c>
      <c r="H6076" t="s" s="10">
        <v>220</v>
      </c>
      <c r="I6076" t="s" s="11">
        <v>220</v>
      </c>
      <c r="J6076" t="s" s="11">
        <v>20</v>
      </c>
      <c r="K6076" s="15"/>
      <c r="L6076" t="s" s="16">
        <f>HYPERLINK("http://csr.bu.edu/ftp/asl/asllvd/demos/verify_start_end_handshape_annotations//test_auto_move//signs_mov_separ_signers/Brady_1333.mov","MOV")</f>
        <v>21</v>
      </c>
      <c r="M6076" t="s" s="10">
        <v>39</v>
      </c>
      <c r="N6076" s="17">
        <v>45</v>
      </c>
      <c r="O6076" s="18">
        <v>176</v>
      </c>
      <c r="P6076" s="18">
        <v>215</v>
      </c>
      <c r="Q6076" s="15"/>
      <c r="R6076" t="s" s="16">
        <f>HYPERLINK("http://secrets.rutgers.edu:8080/data/asl-ftp/asllvd/demos/verify_start_end_handshape_annotations//test_auto_move//signs_mov_separ_signers/Brady_1333.mov","MOV")</f>
        <v>21</v>
      </c>
    </row>
    <row r="6077" s="2" customFormat="1" ht="13.5" customHeight="1">
      <c r="B6077" t="s" s="8">
        <v>2078</v>
      </c>
      <c r="C6077" t="s" s="9">
        <v>14</v>
      </c>
      <c r="D6077" t="s" s="8">
        <v>14</v>
      </c>
      <c r="E6077" t="s" s="9">
        <v>14</v>
      </c>
      <c r="F6077" t="s" s="10">
        <v>14</v>
      </c>
      <c r="G6077" t="s" s="11">
        <v>14</v>
      </c>
      <c r="H6077" t="s" s="10">
        <v>14</v>
      </c>
      <c r="I6077" t="s" s="11">
        <v>14</v>
      </c>
      <c r="J6077" t="s" s="11">
        <v>14</v>
      </c>
      <c r="K6077" t="s" s="12">
        <v>14</v>
      </c>
      <c r="L6077" t="s" s="12">
        <v>14</v>
      </c>
      <c r="M6077" t="s" s="10">
        <v>14</v>
      </c>
      <c r="N6077" t="s" s="11">
        <v>14</v>
      </c>
      <c r="O6077" t="s" s="8">
        <v>14</v>
      </c>
      <c r="P6077" t="s" s="8">
        <v>14</v>
      </c>
      <c r="Q6077" t="s" s="12">
        <v>14</v>
      </c>
      <c r="R6077" t="s" s="12">
        <v>14</v>
      </c>
    </row>
    <row r="6078" s="2" customFormat="1" ht="13.5" customHeight="1">
      <c r="B6078" s="13"/>
      <c r="C6078" t="s" s="9">
        <v>16</v>
      </c>
      <c r="D6078" t="s" s="8">
        <v>2078</v>
      </c>
      <c r="E6078" t="s" s="9">
        <v>2078</v>
      </c>
      <c r="F6078" t="s" s="10">
        <v>220</v>
      </c>
      <c r="G6078" s="14"/>
      <c r="H6078" t="s" s="10">
        <v>220</v>
      </c>
      <c r="I6078" s="14"/>
      <c r="J6078" t="s" s="11">
        <v>20</v>
      </c>
      <c r="K6078" s="15"/>
      <c r="L6078" t="s" s="16">
        <f>HYPERLINK("http://csr.bu.edu/ftp/asl/asllvd/demos/verify_start_end_handshape_annotations//test_auto_move//signs_mov_separ_signers/Liz_1335.mov","MOV")</f>
        <v>21</v>
      </c>
      <c r="M6078" t="s" s="10">
        <v>34</v>
      </c>
      <c r="N6078" s="17">
        <v>41</v>
      </c>
      <c r="O6078" s="18">
        <v>1900</v>
      </c>
      <c r="P6078" s="18">
        <v>1956</v>
      </c>
      <c r="Q6078" s="15"/>
      <c r="R6078" t="s" s="16">
        <f>HYPERLINK("http://secrets.rutgers.edu:8080/data/asl-ftp/asllvd/demos/verify_start_end_handshape_annotations//test_auto_move//signs_mov_separ_signers/Liz_1335.mov","MOV")</f>
        <v>21</v>
      </c>
    </row>
    <row r="6079" s="2" customFormat="1" ht="13.5" customHeight="1">
      <c r="B6079" s="13"/>
      <c r="C6079" t="s" s="9">
        <v>23</v>
      </c>
      <c r="D6079" t="s" s="8">
        <v>2078</v>
      </c>
      <c r="E6079" t="s" s="9">
        <v>2078</v>
      </c>
      <c r="F6079" t="s" s="10">
        <v>220</v>
      </c>
      <c r="G6079" s="14"/>
      <c r="H6079" t="s" s="10">
        <v>220</v>
      </c>
      <c r="I6079" s="14"/>
      <c r="J6079" t="s" s="11">
        <v>20</v>
      </c>
      <c r="K6079" t="s" s="16">
        <f>HYPERLINK("http://csr.bu.edu/ftp/asl/asllvd/demos/verify_start_end_handshape_annotations//test_auto_move//signs_mov/1335.mov","MOV")</f>
        <v>21</v>
      </c>
      <c r="L6079" t="s" s="16">
        <f>HYPERLINK("http://csr.bu.edu/ftp/asl/asllvd/demos/verify_start_end_handshape_annotations//test_auto_move//signs_mov_separ_signers/Tyler_1335.mov","MOV")</f>
        <v>21</v>
      </c>
      <c r="M6079" t="s" s="10">
        <v>37</v>
      </c>
      <c r="N6079" s="17">
        <v>14</v>
      </c>
      <c r="O6079" s="18">
        <v>1650</v>
      </c>
      <c r="P6079" s="18">
        <v>1690</v>
      </c>
      <c r="Q6079" t="s" s="16">
        <f>HYPERLINK("http://secrets.rutgers.edu:8080/data/asl-ftp/asllvd/demos/verify_start_end_handshape_annotations//test_auto_move//signs_mov/1335.mov","MOV")</f>
        <v>21</v>
      </c>
      <c r="R6079" t="s" s="16">
        <f>HYPERLINK("http://secrets.rutgers.edu:8080/data/asl-ftp/asllvd/demos/verify_start_end_handshape_annotations//test_auto_move//signs_mov_separ_signers/Tyler_1335.mov","MOV")</f>
        <v>21</v>
      </c>
    </row>
    <row r="6080" s="2" customFormat="1" ht="13.5" customHeight="1">
      <c r="B6080" s="13"/>
      <c r="C6080" t="s" s="9">
        <v>27</v>
      </c>
      <c r="D6080" t="s" s="8">
        <v>2078</v>
      </c>
      <c r="E6080" t="s" s="9">
        <v>2078</v>
      </c>
      <c r="F6080" t="s" s="10">
        <v>220</v>
      </c>
      <c r="G6080" s="14"/>
      <c r="H6080" t="s" s="10">
        <v>220</v>
      </c>
      <c r="I6080" s="14"/>
      <c r="J6080" t="s" s="11">
        <v>20</v>
      </c>
      <c r="K6080" s="15"/>
      <c r="L6080" t="s" s="16">
        <f>HYPERLINK("http://csr.bu.edu/ftp/asl/asllvd/demos/verify_start_end_handshape_annotations//test_auto_move//signs_mov_separ_signers/Naomi_1335.mov","MOV")</f>
        <v>21</v>
      </c>
      <c r="M6080" t="s" s="10">
        <v>38</v>
      </c>
      <c r="N6080" s="17">
        <v>34</v>
      </c>
      <c r="O6080" s="18">
        <v>2715</v>
      </c>
      <c r="P6080" s="18">
        <v>2747</v>
      </c>
      <c r="Q6080" s="15"/>
      <c r="R6080" t="s" s="16">
        <f>HYPERLINK("http://secrets.rutgers.edu:8080/data/asl-ftp/asllvd/demos/verify_start_end_handshape_annotations//test_auto_move//signs_mov_separ_signers/Naomi_1335.mov","MOV")</f>
        <v>21</v>
      </c>
    </row>
    <row r="6081" s="2" customFormat="1" ht="13.5" customHeight="1">
      <c r="B6081" s="13"/>
      <c r="C6081" t="s" s="9">
        <v>30</v>
      </c>
      <c r="D6081" t="s" s="8">
        <v>2078</v>
      </c>
      <c r="E6081" t="s" s="9">
        <v>2078</v>
      </c>
      <c r="F6081" t="s" s="10">
        <v>220</v>
      </c>
      <c r="G6081" s="14"/>
      <c r="H6081" t="s" s="10">
        <v>220</v>
      </c>
      <c r="I6081" s="14"/>
      <c r="J6081" t="s" s="11">
        <v>20</v>
      </c>
      <c r="K6081" s="15"/>
      <c r="L6081" t="s" s="16">
        <f>HYPERLINK("http://csr.bu.edu/ftp/asl/asllvd/demos/verify_start_end_handshape_annotations//test_auto_move//signs_mov_separ_signers/Brady_1335.mov","MOV")</f>
        <v>21</v>
      </c>
      <c r="M6081" t="s" s="10">
        <v>39</v>
      </c>
      <c r="N6081" s="17">
        <v>45</v>
      </c>
      <c r="O6081" s="18">
        <v>1586</v>
      </c>
      <c r="P6081" s="18">
        <v>1622</v>
      </c>
      <c r="Q6081" s="15"/>
      <c r="R6081" t="s" s="16">
        <f>HYPERLINK("http://secrets.rutgers.edu:8080/data/asl-ftp/asllvd/demos/verify_start_end_handshape_annotations//test_auto_move//signs_mov_separ_signers/Brady_1335.mov","MOV")</f>
        <v>21</v>
      </c>
    </row>
    <row r="6082" s="2" customFormat="1" ht="13.5" customHeight="1">
      <c r="B6082" t="s" s="8">
        <v>2079</v>
      </c>
      <c r="C6082" t="s" s="9">
        <v>14</v>
      </c>
      <c r="D6082" t="s" s="8">
        <v>14</v>
      </c>
      <c r="E6082" t="s" s="9">
        <v>14</v>
      </c>
      <c r="F6082" t="s" s="10">
        <v>14</v>
      </c>
      <c r="G6082" t="s" s="11">
        <v>14</v>
      </c>
      <c r="H6082" t="s" s="10">
        <v>14</v>
      </c>
      <c r="I6082" t="s" s="11">
        <v>14</v>
      </c>
      <c r="J6082" t="s" s="11">
        <v>14</v>
      </c>
      <c r="K6082" t="s" s="12">
        <v>14</v>
      </c>
      <c r="L6082" t="s" s="12">
        <v>14</v>
      </c>
      <c r="M6082" t="s" s="10">
        <v>14</v>
      </c>
      <c r="N6082" t="s" s="11">
        <v>14</v>
      </c>
      <c r="O6082" t="s" s="8">
        <v>14</v>
      </c>
      <c r="P6082" t="s" s="8">
        <v>14</v>
      </c>
      <c r="Q6082" t="s" s="12">
        <v>14</v>
      </c>
      <c r="R6082" t="s" s="12">
        <v>14</v>
      </c>
    </row>
    <row r="6083" s="2" customFormat="1" ht="13.5" customHeight="1">
      <c r="B6083" s="13"/>
      <c r="C6083" t="s" s="9">
        <v>16</v>
      </c>
      <c r="D6083" t="s" s="8">
        <v>2079</v>
      </c>
      <c r="E6083" t="s" s="9">
        <v>2079</v>
      </c>
      <c r="F6083" t="s" s="10">
        <v>337</v>
      </c>
      <c r="G6083" s="14"/>
      <c r="H6083" t="s" s="10">
        <v>337</v>
      </c>
      <c r="I6083" s="14"/>
      <c r="J6083" t="s" s="11">
        <v>20</v>
      </c>
      <c r="K6083" t="s" s="16">
        <f>HYPERLINK("http://csr.bu.edu/ftp/asl/asllvd/demos/verify_start_end_handshape_annotations//test_auto_move//signs_mov/15655.mov","MOV")</f>
        <v>21</v>
      </c>
      <c r="L6083" t="s" s="16">
        <f>HYPERLINK("http://csr.bu.edu/ftp/asl/asllvd/demos/verify_start_end_handshape_annotations//test_auto_move//signs_mov_separ_signers/Liz_15655.mov","MOV")</f>
        <v>21</v>
      </c>
      <c r="M6083" t="s" s="10">
        <v>36</v>
      </c>
      <c r="N6083" s="17">
        <v>4</v>
      </c>
      <c r="O6083" s="18">
        <v>1055</v>
      </c>
      <c r="P6083" s="18">
        <v>1105</v>
      </c>
      <c r="Q6083" t="s" s="16">
        <f>HYPERLINK("http://secrets.rutgers.edu:8080/data/asl-ftp/asllvd/demos/verify_start_end_handshape_annotations//test_auto_move//signs_mov/15655.mov","MOV")</f>
        <v>21</v>
      </c>
      <c r="R6083" t="s" s="16">
        <f>HYPERLINK("http://secrets.rutgers.edu:8080/data/asl-ftp/asllvd/demos/verify_start_end_handshape_annotations//test_auto_move//signs_mov_separ_signers/Liz_15655.mov","MOV")</f>
        <v>21</v>
      </c>
    </row>
    <row r="6084" s="2" customFormat="1" ht="13.5" customHeight="1">
      <c r="B6084" s="13"/>
      <c r="C6084" t="s" s="9">
        <v>30</v>
      </c>
      <c r="D6084" t="s" s="8">
        <v>2079</v>
      </c>
      <c r="E6084" t="s" s="9">
        <v>2079</v>
      </c>
      <c r="F6084" t="s" s="10">
        <v>337</v>
      </c>
      <c r="G6084" s="14"/>
      <c r="H6084" t="s" s="10">
        <v>337</v>
      </c>
      <c r="I6084" s="14"/>
      <c r="J6084" t="s" s="11">
        <v>20</v>
      </c>
      <c r="K6084" s="15"/>
      <c r="L6084" t="s" s="16">
        <f>HYPERLINK("http://csr.bu.edu/ftp/asl/asllvd/demos/verify_start_end_handshape_annotations//test_auto_move//signs_mov_separ_signers/Brady_15655.mov","MOV")</f>
        <v>21</v>
      </c>
      <c r="M6084" t="s" s="10">
        <v>40</v>
      </c>
      <c r="N6084" s="17">
        <v>48</v>
      </c>
      <c r="O6084" s="18">
        <v>2429</v>
      </c>
      <c r="P6084" s="18">
        <v>2462</v>
      </c>
      <c r="Q6084" s="15"/>
      <c r="R6084" t="s" s="16">
        <f>HYPERLINK("http://secrets.rutgers.edu:8080/data/asl-ftp/asllvd/demos/verify_start_end_handshape_annotations//test_auto_move//signs_mov_separ_signers/Brady_15655.mov","MOV")</f>
        <v>21</v>
      </c>
    </row>
    <row r="6085" s="2" customFormat="1" ht="13.5" customHeight="1">
      <c r="B6085" t="s" s="8">
        <v>2080</v>
      </c>
      <c r="C6085" t="s" s="9">
        <v>14</v>
      </c>
      <c r="D6085" t="s" s="8">
        <v>14</v>
      </c>
      <c r="E6085" t="s" s="9">
        <v>14</v>
      </c>
      <c r="F6085" t="s" s="10">
        <v>14</v>
      </c>
      <c r="G6085" t="s" s="11">
        <v>14</v>
      </c>
      <c r="H6085" t="s" s="10">
        <v>14</v>
      </c>
      <c r="I6085" t="s" s="11">
        <v>14</v>
      </c>
      <c r="J6085" t="s" s="11">
        <v>14</v>
      </c>
      <c r="K6085" t="s" s="12">
        <v>14</v>
      </c>
      <c r="L6085" t="s" s="12">
        <v>14</v>
      </c>
      <c r="M6085" t="s" s="10">
        <v>14</v>
      </c>
      <c r="N6085" t="s" s="11">
        <v>14</v>
      </c>
      <c r="O6085" t="s" s="8">
        <v>14</v>
      </c>
      <c r="P6085" t="s" s="8">
        <v>14</v>
      </c>
      <c r="Q6085" t="s" s="12">
        <v>14</v>
      </c>
      <c r="R6085" t="s" s="12">
        <v>14</v>
      </c>
    </row>
    <row r="6086" s="2" customFormat="1" ht="13.5" customHeight="1">
      <c r="B6086" s="13"/>
      <c r="C6086" t="s" s="9">
        <v>16</v>
      </c>
      <c r="D6086" t="s" s="8">
        <v>2080</v>
      </c>
      <c r="E6086" t="s" s="9">
        <v>2080</v>
      </c>
      <c r="F6086" t="s" s="10">
        <v>220</v>
      </c>
      <c r="G6086" s="14"/>
      <c r="H6086" t="s" s="10">
        <v>220</v>
      </c>
      <c r="I6086" s="14"/>
      <c r="J6086" t="s" s="11">
        <v>20</v>
      </c>
      <c r="K6086" t="s" s="16">
        <f>HYPERLINK("http://csr.bu.edu/ftp/asl/asllvd/demos/verify_start_end_handshape_annotations//test_auto_move//signs_mov/15664.mov","MOV")</f>
        <v>21</v>
      </c>
      <c r="L6086" t="s" s="16">
        <f>HYPERLINK("http://csr.bu.edu/ftp/asl/asllvd/demos/verify_start_end_handshape_annotations//test_auto_move//signs_mov_separ_signers/Liz_15664.mov","MOV")</f>
        <v>21</v>
      </c>
      <c r="M6086" t="s" s="10">
        <v>88</v>
      </c>
      <c r="N6086" s="17">
        <v>48</v>
      </c>
      <c r="O6086" s="18">
        <v>2005</v>
      </c>
      <c r="P6086" s="18">
        <v>2045</v>
      </c>
      <c r="Q6086" t="s" s="16">
        <f>HYPERLINK("http://secrets.rutgers.edu:8080/data/asl-ftp/asllvd/demos/verify_start_end_handshape_annotations//test_auto_move//signs_mov/15664.mov","MOV")</f>
        <v>21</v>
      </c>
      <c r="R6086" t="s" s="16">
        <f>HYPERLINK("http://secrets.rutgers.edu:8080/data/asl-ftp/asllvd/demos/verify_start_end_handshape_annotations//test_auto_move//signs_mov_separ_signers/Liz_15664.mov","MOV")</f>
        <v>21</v>
      </c>
    </row>
    <row r="6087" s="2" customFormat="1" ht="13.5" customHeight="1">
      <c r="B6087" s="13"/>
      <c r="C6087" t="s" s="9">
        <v>30</v>
      </c>
      <c r="D6087" t="s" s="8">
        <v>2080</v>
      </c>
      <c r="E6087" t="s" s="9">
        <v>2080</v>
      </c>
      <c r="F6087" t="s" s="10">
        <v>220</v>
      </c>
      <c r="G6087" s="14"/>
      <c r="H6087" t="s" s="10">
        <v>220</v>
      </c>
      <c r="I6087" s="14"/>
      <c r="J6087" t="s" s="11">
        <v>20</v>
      </c>
      <c r="K6087" s="15"/>
      <c r="L6087" t="s" s="16">
        <f>HYPERLINK("http://csr.bu.edu/ftp/asl/asllvd/demos/verify_start_end_handshape_annotations//test_auto_move//signs_mov_separ_signers/Brady_15664.mov","MOV")</f>
        <v>21</v>
      </c>
      <c r="M6087" t="s" s="10">
        <v>40</v>
      </c>
      <c r="N6087" s="17">
        <v>42</v>
      </c>
      <c r="O6087" s="18">
        <v>1305</v>
      </c>
      <c r="P6087" s="18">
        <v>1329</v>
      </c>
      <c r="Q6087" s="15"/>
      <c r="R6087" t="s" s="16">
        <f>HYPERLINK("http://secrets.rutgers.edu:8080/data/asl-ftp/asllvd/demos/verify_start_end_handshape_annotations//test_auto_move//signs_mov_separ_signers/Brady_15664.mov","MOV")</f>
        <v>21</v>
      </c>
    </row>
    <row r="6088" s="2" customFormat="1" ht="13.5" customHeight="1">
      <c r="B6088" t="s" s="8">
        <v>2081</v>
      </c>
      <c r="C6088" t="s" s="9">
        <v>14</v>
      </c>
      <c r="D6088" t="s" s="8">
        <v>14</v>
      </c>
      <c r="E6088" t="s" s="9">
        <v>14</v>
      </c>
      <c r="F6088" t="s" s="10">
        <v>14</v>
      </c>
      <c r="G6088" t="s" s="11">
        <v>14</v>
      </c>
      <c r="H6088" t="s" s="10">
        <v>14</v>
      </c>
      <c r="I6088" t="s" s="11">
        <v>14</v>
      </c>
      <c r="J6088" t="s" s="11">
        <v>14</v>
      </c>
      <c r="K6088" t="s" s="12">
        <v>14</v>
      </c>
      <c r="L6088" t="s" s="12">
        <v>14</v>
      </c>
      <c r="M6088" t="s" s="10">
        <v>14</v>
      </c>
      <c r="N6088" t="s" s="11">
        <v>14</v>
      </c>
      <c r="O6088" t="s" s="8">
        <v>14</v>
      </c>
      <c r="P6088" t="s" s="8">
        <v>14</v>
      </c>
      <c r="Q6088" t="s" s="12">
        <v>14</v>
      </c>
      <c r="R6088" t="s" s="12">
        <v>14</v>
      </c>
    </row>
    <row r="6089" s="2" customFormat="1" ht="13.5" customHeight="1">
      <c r="B6089" s="13"/>
      <c r="C6089" t="s" s="9">
        <v>16</v>
      </c>
      <c r="D6089" t="s" s="8">
        <v>2081</v>
      </c>
      <c r="E6089" t="s" s="9">
        <v>2081</v>
      </c>
      <c r="F6089" t="s" s="10">
        <v>220</v>
      </c>
      <c r="G6089" s="14"/>
      <c r="H6089" t="s" s="10">
        <v>220</v>
      </c>
      <c r="I6089" s="14"/>
      <c r="J6089" t="s" s="11">
        <v>20</v>
      </c>
      <c r="K6089" t="s" s="16">
        <f>HYPERLINK("http://csr.bu.edu/ftp/asl/asllvd/demos/verify_start_end_handshape_annotations//test_auto_move//signs_mov/15665.mov","MOV")</f>
        <v>21</v>
      </c>
      <c r="L6089" t="s" s="16">
        <f>HYPERLINK("http://csr.bu.edu/ftp/asl/asllvd/demos/verify_start_end_handshape_annotations//test_auto_move//signs_mov_separ_signers/Liz_15665.mov","MOV")</f>
        <v>21</v>
      </c>
      <c r="M6089" t="s" s="10">
        <v>88</v>
      </c>
      <c r="N6089" s="17">
        <v>48</v>
      </c>
      <c r="O6089" s="18">
        <v>2250</v>
      </c>
      <c r="P6089" s="18">
        <v>2310</v>
      </c>
      <c r="Q6089" t="s" s="16">
        <f>HYPERLINK("http://secrets.rutgers.edu:8080/data/asl-ftp/asllvd/demos/verify_start_end_handshape_annotations//test_auto_move//signs_mov/15665.mov","MOV")</f>
        <v>21</v>
      </c>
      <c r="R6089" t="s" s="16">
        <f>HYPERLINK("http://secrets.rutgers.edu:8080/data/asl-ftp/asllvd/demos/verify_start_end_handshape_annotations//test_auto_move//signs_mov_separ_signers/Liz_15665.mov","MOV")</f>
        <v>21</v>
      </c>
    </row>
    <row r="6090" s="2" customFormat="1" ht="13.5" customHeight="1">
      <c r="B6090" s="13"/>
      <c r="C6090" t="s" s="9">
        <v>30</v>
      </c>
      <c r="D6090" t="s" s="8">
        <v>2081</v>
      </c>
      <c r="E6090" t="s" s="9">
        <v>2081</v>
      </c>
      <c r="F6090" t="s" s="10">
        <v>220</v>
      </c>
      <c r="G6090" s="14"/>
      <c r="H6090" t="s" s="10">
        <v>220</v>
      </c>
      <c r="I6090" s="14"/>
      <c r="J6090" t="s" s="11">
        <v>20</v>
      </c>
      <c r="K6090" s="15"/>
      <c r="L6090" t="s" s="16">
        <f>HYPERLINK("http://csr.bu.edu/ftp/asl/asllvd/demos/verify_start_end_handshape_annotations//test_auto_move//signs_mov_separ_signers/Brady_15665.mov","MOV")</f>
        <v>21</v>
      </c>
      <c r="M6090" t="s" s="10">
        <v>40</v>
      </c>
      <c r="N6090" s="17">
        <v>42</v>
      </c>
      <c r="O6090" s="18">
        <v>1504</v>
      </c>
      <c r="P6090" s="18">
        <v>1533</v>
      </c>
      <c r="Q6090" s="15"/>
      <c r="R6090" t="s" s="16">
        <f>HYPERLINK("http://secrets.rutgers.edu:8080/data/asl-ftp/asllvd/demos/verify_start_end_handshape_annotations//test_auto_move//signs_mov_separ_signers/Brady_15665.mov","MOV")</f>
        <v>21</v>
      </c>
    </row>
    <row r="6091" s="2" customFormat="1" ht="13.5" customHeight="1">
      <c r="B6091" t="s" s="8">
        <v>2082</v>
      </c>
      <c r="C6091" t="s" s="9">
        <v>14</v>
      </c>
      <c r="D6091" t="s" s="8">
        <v>14</v>
      </c>
      <c r="E6091" t="s" s="9">
        <v>14</v>
      </c>
      <c r="F6091" t="s" s="10">
        <v>14</v>
      </c>
      <c r="G6091" t="s" s="11">
        <v>14</v>
      </c>
      <c r="H6091" t="s" s="10">
        <v>14</v>
      </c>
      <c r="I6091" t="s" s="11">
        <v>14</v>
      </c>
      <c r="J6091" t="s" s="11">
        <v>14</v>
      </c>
      <c r="K6091" t="s" s="12">
        <v>14</v>
      </c>
      <c r="L6091" t="s" s="12">
        <v>14</v>
      </c>
      <c r="M6091" t="s" s="10">
        <v>14</v>
      </c>
      <c r="N6091" t="s" s="11">
        <v>14</v>
      </c>
      <c r="O6091" t="s" s="8">
        <v>14</v>
      </c>
      <c r="P6091" t="s" s="8">
        <v>14</v>
      </c>
      <c r="Q6091" t="s" s="12">
        <v>14</v>
      </c>
      <c r="R6091" t="s" s="12">
        <v>14</v>
      </c>
    </row>
    <row r="6092" s="2" customFormat="1" ht="13.5" customHeight="1">
      <c r="B6092" s="13"/>
      <c r="C6092" t="s" s="9">
        <v>16</v>
      </c>
      <c r="D6092" t="s" s="8">
        <v>2082</v>
      </c>
      <c r="E6092" t="s" s="9">
        <v>2082</v>
      </c>
      <c r="F6092" t="s" s="10">
        <v>25</v>
      </c>
      <c r="G6092" s="14"/>
      <c r="H6092" t="s" s="10">
        <v>25</v>
      </c>
      <c r="I6092" s="14"/>
      <c r="J6092" t="s" s="11">
        <v>20</v>
      </c>
      <c r="K6092" s="15"/>
      <c r="L6092" t="s" s="16">
        <f>HYPERLINK("http://csr.bu.edu/ftp/asl/asllvd/demos/verify_start_end_handshape_annotations//test_auto_move//signs_mov_separ_signers/Liz_15667.mov","MOV")</f>
        <v>21</v>
      </c>
      <c r="M6092" t="s" s="10">
        <v>34</v>
      </c>
      <c r="N6092" s="17">
        <v>54</v>
      </c>
      <c r="O6092" s="18">
        <v>275</v>
      </c>
      <c r="P6092" s="18">
        <v>325</v>
      </c>
      <c r="Q6092" s="15"/>
      <c r="R6092" t="s" s="16">
        <f>HYPERLINK("http://secrets.rutgers.edu:8080/data/asl-ftp/asllvd/demos/verify_start_end_handshape_annotations//test_auto_move//signs_mov_separ_signers/Liz_15667.mov","MOV")</f>
        <v>21</v>
      </c>
    </row>
    <row r="6093" s="2" customFormat="1" ht="13.5" customHeight="1">
      <c r="B6093" s="13"/>
      <c r="C6093" t="s" s="9">
        <v>23</v>
      </c>
      <c r="D6093" t="s" s="8">
        <v>2082</v>
      </c>
      <c r="E6093" t="s" s="9">
        <v>2082</v>
      </c>
      <c r="F6093" t="s" s="10">
        <v>25</v>
      </c>
      <c r="G6093" s="14"/>
      <c r="H6093" t="s" s="10">
        <v>25</v>
      </c>
      <c r="I6093" s="14"/>
      <c r="J6093" t="s" s="11">
        <v>20</v>
      </c>
      <c r="K6093" t="s" s="16">
        <f>HYPERLINK("http://csr.bu.edu/ftp/asl/asllvd/demos/verify_start_end_handshape_annotations//test_auto_move//signs_mov/15667.mov","MOV")</f>
        <v>21</v>
      </c>
      <c r="L6093" t="s" s="16">
        <f>HYPERLINK("http://csr.bu.edu/ftp/asl/asllvd/demos/verify_start_end_handshape_annotations//test_auto_move//signs_mov_separ_signers/Tyler_15667.mov","MOV")</f>
        <v>21</v>
      </c>
      <c r="M6093" t="s" s="10">
        <v>47</v>
      </c>
      <c r="N6093" s="17">
        <v>5</v>
      </c>
      <c r="O6093" s="18">
        <v>4588</v>
      </c>
      <c r="P6093" s="18">
        <v>4631</v>
      </c>
      <c r="Q6093" t="s" s="16">
        <f>HYPERLINK("http://secrets.rutgers.edu:8080/data/asl-ftp/asllvd/demos/verify_start_end_handshape_annotations//test_auto_move//signs_mov/15667.mov","MOV")</f>
        <v>21</v>
      </c>
      <c r="R6093" t="s" s="16">
        <f>HYPERLINK("http://secrets.rutgers.edu:8080/data/asl-ftp/asllvd/demos/verify_start_end_handshape_annotations//test_auto_move//signs_mov_separ_signers/Tyler_15667.mov","MOV")</f>
        <v>21</v>
      </c>
    </row>
    <row r="6094" s="2" customFormat="1" ht="13.5" customHeight="1">
      <c r="B6094" s="13"/>
      <c r="C6094" t="s" s="9">
        <v>27</v>
      </c>
      <c r="D6094" t="s" s="8">
        <v>2082</v>
      </c>
      <c r="E6094" t="s" s="9">
        <v>2082</v>
      </c>
      <c r="F6094" t="s" s="10">
        <v>25</v>
      </c>
      <c r="G6094" s="14"/>
      <c r="H6094" t="s" s="10">
        <v>25</v>
      </c>
      <c r="I6094" s="14"/>
      <c r="J6094" t="s" s="11">
        <v>20</v>
      </c>
      <c r="K6094" s="15"/>
      <c r="L6094" t="s" s="16">
        <f>HYPERLINK("http://csr.bu.edu/ftp/asl/asllvd/demos/verify_start_end_handshape_annotations//test_auto_move//signs_mov_separ_signers/Naomi_15667.mov","MOV")</f>
        <v>21</v>
      </c>
      <c r="M6094" t="s" s="10">
        <v>48</v>
      </c>
      <c r="N6094" s="17">
        <v>8</v>
      </c>
      <c r="O6094" s="18">
        <v>3726</v>
      </c>
      <c r="P6094" s="18">
        <v>3760</v>
      </c>
      <c r="Q6094" s="15"/>
      <c r="R6094" t="s" s="16">
        <f>HYPERLINK("http://secrets.rutgers.edu:8080/data/asl-ftp/asllvd/demos/verify_start_end_handshape_annotations//test_auto_move//signs_mov_separ_signers/Naomi_15667.mov","MOV")</f>
        <v>21</v>
      </c>
    </row>
    <row r="6095" s="2" customFormat="1" ht="13.5" customHeight="1">
      <c r="B6095" s="13"/>
      <c r="C6095" t="s" s="9">
        <v>30</v>
      </c>
      <c r="D6095" t="s" s="8">
        <v>2082</v>
      </c>
      <c r="E6095" t="s" s="9">
        <v>2082</v>
      </c>
      <c r="F6095" t="s" s="10">
        <v>25</v>
      </c>
      <c r="G6095" s="14"/>
      <c r="H6095" t="s" s="10">
        <v>25</v>
      </c>
      <c r="I6095" s="14"/>
      <c r="J6095" t="s" s="11">
        <v>20</v>
      </c>
      <c r="K6095" s="15"/>
      <c r="L6095" t="s" s="16">
        <f>HYPERLINK("http://csr.bu.edu/ftp/asl/asllvd/demos/verify_start_end_handshape_annotations//test_auto_move//signs_mov_separ_signers/Brady_15667.mov","MOV")</f>
        <v>21</v>
      </c>
      <c r="M6095" t="s" s="10">
        <v>39</v>
      </c>
      <c r="N6095" s="17">
        <v>52</v>
      </c>
      <c r="O6095" s="18">
        <v>1148</v>
      </c>
      <c r="P6095" s="18">
        <v>1170</v>
      </c>
      <c r="Q6095" s="15"/>
      <c r="R6095" t="s" s="16">
        <f>HYPERLINK("http://secrets.rutgers.edu:8080/data/asl-ftp/asllvd/demos/verify_start_end_handshape_annotations//test_auto_move//signs_mov_separ_signers/Brady_15667.mov","MOV")</f>
        <v>21</v>
      </c>
    </row>
    <row r="6096" s="2" customFormat="1" ht="13.5" customHeight="1">
      <c r="B6096" t="s" s="8">
        <v>2083</v>
      </c>
      <c r="C6096" t="s" s="9">
        <v>14</v>
      </c>
      <c r="D6096" t="s" s="8">
        <v>14</v>
      </c>
      <c r="E6096" t="s" s="9">
        <v>14</v>
      </c>
      <c r="F6096" t="s" s="10">
        <v>14</v>
      </c>
      <c r="G6096" t="s" s="11">
        <v>14</v>
      </c>
      <c r="H6096" t="s" s="10">
        <v>14</v>
      </c>
      <c r="I6096" t="s" s="11">
        <v>14</v>
      </c>
      <c r="J6096" t="s" s="11">
        <v>14</v>
      </c>
      <c r="K6096" t="s" s="12">
        <v>14</v>
      </c>
      <c r="L6096" t="s" s="12">
        <v>14</v>
      </c>
      <c r="M6096" t="s" s="10">
        <v>14</v>
      </c>
      <c r="N6096" t="s" s="11">
        <v>14</v>
      </c>
      <c r="O6096" t="s" s="8">
        <v>14</v>
      </c>
      <c r="P6096" t="s" s="8">
        <v>14</v>
      </c>
      <c r="Q6096" t="s" s="12">
        <v>14</v>
      </c>
      <c r="R6096" t="s" s="12">
        <v>14</v>
      </c>
    </row>
    <row r="6097" s="2" customFormat="1" ht="13.5" customHeight="1">
      <c r="B6097" s="13"/>
      <c r="C6097" t="s" s="9">
        <v>16</v>
      </c>
      <c r="D6097" t="s" s="8">
        <v>2083</v>
      </c>
      <c r="E6097" t="s" s="9">
        <v>2083</v>
      </c>
      <c r="F6097" t="s" s="10">
        <v>25</v>
      </c>
      <c r="G6097" s="14"/>
      <c r="H6097" t="s" s="10">
        <v>25</v>
      </c>
      <c r="I6097" s="14"/>
      <c r="J6097" t="s" s="11">
        <v>20</v>
      </c>
      <c r="K6097" s="15"/>
      <c r="L6097" t="s" s="16">
        <f>HYPERLINK("http://csr.bu.edu/ftp/asl/asllvd/demos/verify_start_end_handshape_annotations//test_auto_move//signs_mov_separ_signers/Liz_15676.mov","MOV")</f>
        <v>21</v>
      </c>
      <c r="M6097" t="s" s="10">
        <v>34</v>
      </c>
      <c r="N6097" s="17">
        <v>54</v>
      </c>
      <c r="O6097" s="18">
        <v>590</v>
      </c>
      <c r="P6097" s="18">
        <v>636</v>
      </c>
      <c r="Q6097" s="15"/>
      <c r="R6097" t="s" s="16">
        <f>HYPERLINK("http://secrets.rutgers.edu:8080/data/asl-ftp/asllvd/demos/verify_start_end_handshape_annotations//test_auto_move//signs_mov_separ_signers/Liz_15676.mov","MOV")</f>
        <v>21</v>
      </c>
    </row>
    <row r="6098" s="2" customFormat="1" ht="13.5" customHeight="1">
      <c r="B6098" s="13"/>
      <c r="C6098" t="s" s="9">
        <v>27</v>
      </c>
      <c r="D6098" t="s" s="8">
        <v>2083</v>
      </c>
      <c r="E6098" t="s" s="9">
        <v>2083</v>
      </c>
      <c r="F6098" t="s" s="10">
        <v>25</v>
      </c>
      <c r="G6098" s="14"/>
      <c r="H6098" t="s" s="10">
        <v>25</v>
      </c>
      <c r="I6098" s="14"/>
      <c r="J6098" t="s" s="11">
        <v>20</v>
      </c>
      <c r="K6098" t="s" s="16">
        <f>HYPERLINK("http://csr.bu.edu/ftp/asl/asllvd/demos/verify_start_end_handshape_annotations//test_auto_move//signs_mov/15676.mov","MOV")</f>
        <v>21</v>
      </c>
      <c r="L6098" t="s" s="16">
        <f>HYPERLINK("http://csr.bu.edu/ftp/asl/asllvd/demos/verify_start_end_handshape_annotations//test_auto_move//signs_mov_separ_signers/Naomi_15676.mov","MOV")</f>
        <v>21</v>
      </c>
      <c r="M6098" t="s" s="10">
        <v>48</v>
      </c>
      <c r="N6098" s="17">
        <v>9</v>
      </c>
      <c r="O6098" s="18">
        <v>461</v>
      </c>
      <c r="P6098" s="18">
        <v>505</v>
      </c>
      <c r="Q6098" t="s" s="16">
        <f>HYPERLINK("http://secrets.rutgers.edu:8080/data/asl-ftp/asllvd/demos/verify_start_end_handshape_annotations//test_auto_move//signs_mov/15676.mov","MOV")</f>
        <v>21</v>
      </c>
      <c r="R6098" t="s" s="16">
        <f>HYPERLINK("http://secrets.rutgers.edu:8080/data/asl-ftp/asllvd/demos/verify_start_end_handshape_annotations//test_auto_move//signs_mov_separ_signers/Naomi_15676.mov","MOV")</f>
        <v>21</v>
      </c>
    </row>
    <row r="6099" s="2" customFormat="1" ht="13.5" customHeight="1">
      <c r="B6099" s="13"/>
      <c r="C6099" t="s" s="9">
        <v>30</v>
      </c>
      <c r="D6099" t="s" s="8">
        <v>2083</v>
      </c>
      <c r="E6099" t="s" s="9">
        <v>2083</v>
      </c>
      <c r="F6099" t="s" s="10">
        <v>25</v>
      </c>
      <c r="G6099" s="14"/>
      <c r="H6099" t="s" s="10">
        <v>25</v>
      </c>
      <c r="I6099" s="14"/>
      <c r="J6099" t="s" s="11">
        <v>20</v>
      </c>
      <c r="K6099" s="15"/>
      <c r="L6099" t="s" s="16">
        <f>HYPERLINK("http://csr.bu.edu/ftp/asl/asllvd/demos/verify_start_end_handshape_annotations//test_auto_move//signs_mov_separ_signers/Brady_15676.mov","MOV")</f>
        <v>21</v>
      </c>
      <c r="M6099" t="s" s="10">
        <v>60</v>
      </c>
      <c r="N6099" s="17">
        <v>46</v>
      </c>
      <c r="O6099" s="18">
        <v>3171</v>
      </c>
      <c r="P6099" s="18">
        <v>3193</v>
      </c>
      <c r="Q6099" s="15"/>
      <c r="R6099" t="s" s="16">
        <f>HYPERLINK("http://secrets.rutgers.edu:8080/data/asl-ftp/asllvd/demos/verify_start_end_handshape_annotations//test_auto_move//signs_mov_separ_signers/Brady_15676.mov","MOV")</f>
        <v>21</v>
      </c>
    </row>
    <row r="6100" s="2" customFormat="1" ht="13.5" customHeight="1">
      <c r="B6100" t="s" s="8">
        <v>2084</v>
      </c>
      <c r="C6100" t="s" s="9">
        <v>14</v>
      </c>
      <c r="D6100" t="s" s="8">
        <v>14</v>
      </c>
      <c r="E6100" t="s" s="9">
        <v>14</v>
      </c>
      <c r="F6100" t="s" s="10">
        <v>14</v>
      </c>
      <c r="G6100" t="s" s="11">
        <v>14</v>
      </c>
      <c r="H6100" t="s" s="10">
        <v>14</v>
      </c>
      <c r="I6100" t="s" s="11">
        <v>14</v>
      </c>
      <c r="J6100" t="s" s="11">
        <v>14</v>
      </c>
      <c r="K6100" t="s" s="12">
        <v>14</v>
      </c>
      <c r="L6100" t="s" s="12">
        <v>14</v>
      </c>
      <c r="M6100" t="s" s="10">
        <v>14</v>
      </c>
      <c r="N6100" t="s" s="11">
        <v>14</v>
      </c>
      <c r="O6100" t="s" s="8">
        <v>14</v>
      </c>
      <c r="P6100" t="s" s="8">
        <v>14</v>
      </c>
      <c r="Q6100" t="s" s="12">
        <v>14</v>
      </c>
      <c r="R6100" t="s" s="12">
        <v>14</v>
      </c>
    </row>
    <row r="6101" s="2" customFormat="1" ht="13.5" customHeight="1">
      <c r="B6101" s="13"/>
      <c r="C6101" t="s" s="9">
        <v>23</v>
      </c>
      <c r="D6101" t="s" s="8">
        <v>2084</v>
      </c>
      <c r="E6101" t="s" s="9">
        <v>2084</v>
      </c>
      <c r="F6101" t="s" s="10">
        <v>185</v>
      </c>
      <c r="G6101" s="14"/>
      <c r="H6101" t="s" s="10">
        <v>185</v>
      </c>
      <c r="I6101" s="14"/>
      <c r="J6101" t="s" s="11">
        <v>20</v>
      </c>
      <c r="K6101" t="s" s="16">
        <f>HYPERLINK("http://csr.bu.edu/ftp/asl/asllvd/demos/verify_start_end_handshape_annotations//test_auto_move//signs_mov/15680.mov","MOV")</f>
        <v>21</v>
      </c>
      <c r="L6101" t="s" s="16">
        <f>HYPERLINK("http://csr.bu.edu/ftp/asl/asllvd/demos/verify_start_end_handshape_annotations//test_auto_move//signs_mov_separ_signers/Tyler_15680.mov","MOV")</f>
        <v>21</v>
      </c>
      <c r="M6101" t="s" s="10">
        <v>26</v>
      </c>
      <c r="N6101" s="17">
        <v>46</v>
      </c>
      <c r="O6101" s="18">
        <v>1245</v>
      </c>
      <c r="P6101" s="18">
        <v>1270</v>
      </c>
      <c r="Q6101" t="s" s="16">
        <f>HYPERLINK("http://secrets.rutgers.edu:8080/data/asl-ftp/asllvd/demos/verify_start_end_handshape_annotations//test_auto_move//signs_mov/15680.mov","MOV")</f>
        <v>21</v>
      </c>
      <c r="R6101" t="s" s="16">
        <f>HYPERLINK("http://secrets.rutgers.edu:8080/data/asl-ftp/asllvd/demos/verify_start_end_handshape_annotations//test_auto_move//signs_mov_separ_signers/Tyler_15680.mov","MOV")</f>
        <v>21</v>
      </c>
    </row>
    <row r="6102" s="2" customFormat="1" ht="13.5" customHeight="1">
      <c r="B6102" s="13"/>
      <c r="C6102" t="s" s="9">
        <v>30</v>
      </c>
      <c r="D6102" t="s" s="8">
        <v>2084</v>
      </c>
      <c r="E6102" t="s" s="9">
        <v>2084</v>
      </c>
      <c r="F6102" t="s" s="10">
        <v>185</v>
      </c>
      <c r="G6102" s="14"/>
      <c r="H6102" t="s" s="10">
        <v>185</v>
      </c>
      <c r="I6102" s="14"/>
      <c r="J6102" t="s" s="11">
        <v>20</v>
      </c>
      <c r="K6102" s="15"/>
      <c r="L6102" t="s" s="16">
        <f>HYPERLINK("http://csr.bu.edu/ftp/asl/asllvd/demos/verify_start_end_handshape_annotations//test_auto_move//signs_mov_separ_signers/Brady_15680.mov","MOV")</f>
        <v>21</v>
      </c>
      <c r="M6102" t="s" s="10">
        <v>31</v>
      </c>
      <c r="N6102" s="17">
        <v>27</v>
      </c>
      <c r="O6102" s="18">
        <v>11978</v>
      </c>
      <c r="P6102" s="18">
        <v>12000</v>
      </c>
      <c r="Q6102" s="15"/>
      <c r="R6102" t="s" s="16">
        <f>HYPERLINK("http://secrets.rutgers.edu:8080/data/asl-ftp/asllvd/demos/verify_start_end_handshape_annotations//test_auto_move//signs_mov_separ_signers/Brady_15680.mov","MOV")</f>
        <v>21</v>
      </c>
    </row>
    <row r="6103" s="2" customFormat="1" ht="13.5" customHeight="1">
      <c r="B6103" t="s" s="8">
        <v>2085</v>
      </c>
      <c r="C6103" t="s" s="9">
        <v>14</v>
      </c>
      <c r="D6103" t="s" s="8">
        <v>14</v>
      </c>
      <c r="E6103" t="s" s="9">
        <v>14</v>
      </c>
      <c r="F6103" t="s" s="10">
        <v>14</v>
      </c>
      <c r="G6103" t="s" s="11">
        <v>14</v>
      </c>
      <c r="H6103" t="s" s="10">
        <v>14</v>
      </c>
      <c r="I6103" t="s" s="11">
        <v>14</v>
      </c>
      <c r="J6103" t="s" s="11">
        <v>14</v>
      </c>
      <c r="K6103" t="s" s="12">
        <v>14</v>
      </c>
      <c r="L6103" t="s" s="12">
        <v>14</v>
      </c>
      <c r="M6103" t="s" s="10">
        <v>14</v>
      </c>
      <c r="N6103" t="s" s="11">
        <v>14</v>
      </c>
      <c r="O6103" t="s" s="8">
        <v>14</v>
      </c>
      <c r="P6103" t="s" s="8">
        <v>14</v>
      </c>
      <c r="Q6103" t="s" s="12">
        <v>14</v>
      </c>
      <c r="R6103" t="s" s="12">
        <v>14</v>
      </c>
    </row>
    <row r="6104" s="2" customFormat="1" ht="13.5" customHeight="1">
      <c r="B6104" s="13"/>
      <c r="C6104" t="s" s="9">
        <v>16</v>
      </c>
      <c r="D6104" t="s" s="8">
        <v>2085</v>
      </c>
      <c r="E6104" t="s" s="9">
        <v>2085</v>
      </c>
      <c r="F6104" t="s" s="10">
        <v>292</v>
      </c>
      <c r="G6104" s="14"/>
      <c r="H6104" t="s" s="10">
        <v>292</v>
      </c>
      <c r="I6104" s="14"/>
      <c r="J6104" t="s" s="11">
        <v>20</v>
      </c>
      <c r="K6104" t="s" s="16">
        <f>HYPERLINK("http://csr.bu.edu/ftp/asl/asllvd/demos/verify_start_end_handshape_annotations//test_auto_move//signs_mov/15814.mov","MOV")</f>
        <v>21</v>
      </c>
      <c r="L6104" t="s" s="16">
        <f>HYPERLINK("http://csr.bu.edu/ftp/asl/asllvd/demos/verify_start_end_handshape_annotations//test_auto_move//signs_mov_separ_signers/Liz_15814.mov","MOV")</f>
        <v>21</v>
      </c>
      <c r="M6104" t="s" s="10">
        <v>36</v>
      </c>
      <c r="N6104" s="17">
        <v>19</v>
      </c>
      <c r="O6104" s="18">
        <v>1460</v>
      </c>
      <c r="P6104" s="18">
        <v>1525</v>
      </c>
      <c r="Q6104" t="s" s="16">
        <f>HYPERLINK("http://secrets.rutgers.edu:8080/data/asl-ftp/asllvd/demos/verify_start_end_handshape_annotations//test_auto_move//signs_mov/15814.mov","MOV")</f>
        <v>21</v>
      </c>
      <c r="R6104" t="s" s="16">
        <f>HYPERLINK("http://secrets.rutgers.edu:8080/data/asl-ftp/asllvd/demos/verify_start_end_handshape_annotations//test_auto_move//signs_mov_separ_signers/Liz_15814.mov","MOV")</f>
        <v>21</v>
      </c>
    </row>
    <row r="6105" s="2" customFormat="1" ht="13.5" customHeight="1">
      <c r="B6105" s="13"/>
      <c r="C6105" t="s" s="9">
        <v>30</v>
      </c>
      <c r="D6105" t="s" s="8">
        <v>2085</v>
      </c>
      <c r="E6105" t="s" s="9">
        <v>2085</v>
      </c>
      <c r="F6105" t="s" s="10">
        <v>150</v>
      </c>
      <c r="G6105" s="14"/>
      <c r="H6105" t="s" s="10">
        <v>150</v>
      </c>
      <c r="I6105" s="14"/>
      <c r="J6105" t="s" s="11">
        <v>20</v>
      </c>
      <c r="K6105" s="15"/>
      <c r="L6105" t="s" s="16">
        <f>HYPERLINK("http://csr.bu.edu/ftp/asl/asllvd/demos/verify_start_end_handshape_annotations//test_auto_move//signs_mov_separ_signers/Brady_15814.mov","MOV")</f>
        <v>21</v>
      </c>
      <c r="M6105" t="s" s="10">
        <v>40</v>
      </c>
      <c r="N6105" s="17">
        <v>69</v>
      </c>
      <c r="O6105" s="18">
        <v>1440</v>
      </c>
      <c r="P6105" s="18">
        <v>1466</v>
      </c>
      <c r="Q6105" s="15"/>
      <c r="R6105" t="s" s="16">
        <f>HYPERLINK("http://secrets.rutgers.edu:8080/data/asl-ftp/asllvd/demos/verify_start_end_handshape_annotations//test_auto_move//signs_mov_separ_signers/Brady_15814.mov","MOV")</f>
        <v>21</v>
      </c>
    </row>
    <row r="6106" s="2" customFormat="1" ht="13.5" customHeight="1">
      <c r="B6106" t="s" s="8">
        <v>2086</v>
      </c>
      <c r="C6106" t="s" s="9">
        <v>14</v>
      </c>
      <c r="D6106" t="s" s="8">
        <v>14</v>
      </c>
      <c r="E6106" t="s" s="9">
        <v>14</v>
      </c>
      <c r="F6106" t="s" s="10">
        <v>14</v>
      </c>
      <c r="G6106" t="s" s="11">
        <v>14</v>
      </c>
      <c r="H6106" t="s" s="10">
        <v>14</v>
      </c>
      <c r="I6106" t="s" s="11">
        <v>14</v>
      </c>
      <c r="J6106" t="s" s="11">
        <v>14</v>
      </c>
      <c r="K6106" t="s" s="12">
        <v>14</v>
      </c>
      <c r="L6106" t="s" s="12">
        <v>14</v>
      </c>
      <c r="M6106" t="s" s="10">
        <v>14</v>
      </c>
      <c r="N6106" t="s" s="11">
        <v>14</v>
      </c>
      <c r="O6106" t="s" s="8">
        <v>14</v>
      </c>
      <c r="P6106" t="s" s="8">
        <v>14</v>
      </c>
      <c r="Q6106" t="s" s="12">
        <v>14</v>
      </c>
      <c r="R6106" t="s" s="12">
        <v>14</v>
      </c>
    </row>
    <row r="6107" s="2" customFormat="1" ht="13.5" customHeight="1">
      <c r="B6107" s="13"/>
      <c r="C6107" t="s" s="9">
        <v>16</v>
      </c>
      <c r="D6107" t="s" s="8">
        <v>2086</v>
      </c>
      <c r="E6107" t="s" s="9">
        <v>2086</v>
      </c>
      <c r="F6107" t="s" s="10">
        <v>119</v>
      </c>
      <c r="G6107" t="s" s="11">
        <v>119</v>
      </c>
      <c r="H6107" t="s" s="10">
        <v>119</v>
      </c>
      <c r="I6107" t="s" s="11">
        <v>119</v>
      </c>
      <c r="J6107" t="s" s="11">
        <v>20</v>
      </c>
      <c r="K6107" s="15"/>
      <c r="L6107" t="s" s="16">
        <f>HYPERLINK("http://csr.bu.edu/ftp/asl/asllvd/demos/verify_start_end_handshape_annotations//test_auto_move//signs_mov_separ_signers/Liz_1337.mov","MOV")</f>
        <v>21</v>
      </c>
      <c r="M6107" t="s" s="10">
        <v>34</v>
      </c>
      <c r="N6107" s="17">
        <v>41</v>
      </c>
      <c r="O6107" s="18">
        <v>2420</v>
      </c>
      <c r="P6107" s="18">
        <v>2460</v>
      </c>
      <c r="Q6107" s="15"/>
      <c r="R6107" t="s" s="16">
        <f>HYPERLINK("http://secrets.rutgers.edu:8080/data/asl-ftp/asllvd/demos/verify_start_end_handshape_annotations//test_auto_move//signs_mov_separ_signers/Liz_1337.mov","MOV")</f>
        <v>21</v>
      </c>
    </row>
    <row r="6108" s="2" customFormat="1" ht="13.5" customHeight="1">
      <c r="B6108" s="13"/>
      <c r="C6108" t="s" s="9">
        <v>23</v>
      </c>
      <c r="D6108" t="s" s="8">
        <v>2086</v>
      </c>
      <c r="E6108" t="s" s="9">
        <v>2086</v>
      </c>
      <c r="F6108" t="s" s="10">
        <v>119</v>
      </c>
      <c r="G6108" t="s" s="11">
        <v>119</v>
      </c>
      <c r="H6108" t="s" s="10">
        <v>119</v>
      </c>
      <c r="I6108" t="s" s="11">
        <v>119</v>
      </c>
      <c r="J6108" t="s" s="11">
        <v>20</v>
      </c>
      <c r="K6108" t="s" s="16">
        <f>HYPERLINK("http://csr.bu.edu/ftp/asl/asllvd/demos/verify_start_end_handshape_annotations//test_auto_move//signs_mov/1337.mov","MOV")</f>
        <v>21</v>
      </c>
      <c r="L6108" t="s" s="16">
        <f>HYPERLINK("http://csr.bu.edu/ftp/asl/asllvd/demos/verify_start_end_handshape_annotations//test_auto_move//signs_mov_separ_signers/Tyler_1337.mov","MOV")</f>
        <v>21</v>
      </c>
      <c r="M6108" t="s" s="10">
        <v>37</v>
      </c>
      <c r="N6108" s="17">
        <v>14</v>
      </c>
      <c r="O6108" s="18">
        <v>2121</v>
      </c>
      <c r="P6108" s="18">
        <v>2150</v>
      </c>
      <c r="Q6108" t="s" s="16">
        <f>HYPERLINK("http://secrets.rutgers.edu:8080/data/asl-ftp/asllvd/demos/verify_start_end_handshape_annotations//test_auto_move//signs_mov/1337.mov","MOV")</f>
        <v>21</v>
      </c>
      <c r="R6108" t="s" s="16">
        <f>HYPERLINK("http://secrets.rutgers.edu:8080/data/asl-ftp/asllvd/demos/verify_start_end_handshape_annotations//test_auto_move//signs_mov_separ_signers/Tyler_1337.mov","MOV")</f>
        <v>21</v>
      </c>
    </row>
    <row r="6109" s="2" customFormat="1" ht="13.5" customHeight="1">
      <c r="B6109" s="13"/>
      <c r="C6109" t="s" s="9">
        <v>27</v>
      </c>
      <c r="D6109" t="s" s="8">
        <v>2086</v>
      </c>
      <c r="E6109" t="s" s="9">
        <v>2086</v>
      </c>
      <c r="F6109" t="s" s="10">
        <v>119</v>
      </c>
      <c r="G6109" t="s" s="11">
        <v>119</v>
      </c>
      <c r="H6109" t="s" s="10">
        <v>119</v>
      </c>
      <c r="I6109" t="s" s="11">
        <v>119</v>
      </c>
      <c r="J6109" t="s" s="11">
        <v>20</v>
      </c>
      <c r="K6109" s="15"/>
      <c r="L6109" t="s" s="16">
        <f>HYPERLINK("http://csr.bu.edu/ftp/asl/asllvd/demos/verify_start_end_handshape_annotations//test_auto_move//signs_mov_separ_signers/Naomi_1337.mov","MOV")</f>
        <v>21</v>
      </c>
      <c r="M6109" t="s" s="10">
        <v>38</v>
      </c>
      <c r="N6109" s="17">
        <v>34</v>
      </c>
      <c r="O6109" s="18">
        <v>4215</v>
      </c>
      <c r="P6109" s="18">
        <v>4248</v>
      </c>
      <c r="Q6109" s="15"/>
      <c r="R6109" t="s" s="16">
        <f>HYPERLINK("http://secrets.rutgers.edu:8080/data/asl-ftp/asllvd/demos/verify_start_end_handshape_annotations//test_auto_move//signs_mov_separ_signers/Naomi_1337.mov","MOV")</f>
        <v>21</v>
      </c>
    </row>
    <row r="6110" s="2" customFormat="1" ht="13.5" customHeight="1">
      <c r="B6110" s="13"/>
      <c r="C6110" t="s" s="9">
        <v>30</v>
      </c>
      <c r="D6110" t="s" s="8">
        <v>2086</v>
      </c>
      <c r="E6110" t="s" s="9">
        <v>2086</v>
      </c>
      <c r="F6110" t="s" s="10">
        <v>119</v>
      </c>
      <c r="G6110" t="s" s="11">
        <v>119</v>
      </c>
      <c r="H6110" t="s" s="10">
        <v>119</v>
      </c>
      <c r="I6110" t="s" s="11">
        <v>119</v>
      </c>
      <c r="J6110" t="s" s="11">
        <v>20</v>
      </c>
      <c r="K6110" s="15"/>
      <c r="L6110" t="s" s="16">
        <f>HYPERLINK("http://csr.bu.edu/ftp/asl/asllvd/demos/verify_start_end_handshape_annotations//test_auto_move//signs_mov_separ_signers/Brady_1337.mov","MOV")</f>
        <v>21</v>
      </c>
      <c r="M6110" t="s" s="10">
        <v>39</v>
      </c>
      <c r="N6110" s="17">
        <v>45</v>
      </c>
      <c r="O6110" s="18">
        <v>2035</v>
      </c>
      <c r="P6110" s="18">
        <v>2057</v>
      </c>
      <c r="Q6110" s="15"/>
      <c r="R6110" t="s" s="16">
        <f>HYPERLINK("http://secrets.rutgers.edu:8080/data/asl-ftp/asllvd/demos/verify_start_end_handshape_annotations//test_auto_move//signs_mov_separ_signers/Brady_1337.mov","MOV")</f>
        <v>21</v>
      </c>
    </row>
    <row r="6111" s="2" customFormat="1" ht="13.5" customHeight="1">
      <c r="B6111" t="s" s="8">
        <v>2087</v>
      </c>
      <c r="C6111" t="s" s="9">
        <v>14</v>
      </c>
      <c r="D6111" t="s" s="8">
        <v>14</v>
      </c>
      <c r="E6111" t="s" s="9">
        <v>14</v>
      </c>
      <c r="F6111" t="s" s="10">
        <v>14</v>
      </c>
      <c r="G6111" t="s" s="11">
        <v>14</v>
      </c>
      <c r="H6111" t="s" s="10">
        <v>14</v>
      </c>
      <c r="I6111" t="s" s="11">
        <v>14</v>
      </c>
      <c r="J6111" t="s" s="11">
        <v>14</v>
      </c>
      <c r="K6111" t="s" s="12">
        <v>14</v>
      </c>
      <c r="L6111" t="s" s="12">
        <v>14</v>
      </c>
      <c r="M6111" t="s" s="10">
        <v>14</v>
      </c>
      <c r="N6111" t="s" s="11">
        <v>14</v>
      </c>
      <c r="O6111" t="s" s="8">
        <v>14</v>
      </c>
      <c r="P6111" t="s" s="8">
        <v>14</v>
      </c>
      <c r="Q6111" t="s" s="12">
        <v>14</v>
      </c>
      <c r="R6111" t="s" s="12">
        <v>14</v>
      </c>
    </row>
    <row r="6112" s="2" customFormat="1" ht="13.5" customHeight="1">
      <c r="B6112" s="13"/>
      <c r="C6112" t="s" s="9">
        <v>23</v>
      </c>
      <c r="D6112" t="s" s="8">
        <v>2087</v>
      </c>
      <c r="E6112" t="s" s="9">
        <v>2087</v>
      </c>
      <c r="F6112" s="19">
        <v>5</v>
      </c>
      <c r="G6112" s="17">
        <v>1</v>
      </c>
      <c r="H6112" s="19">
        <v>5</v>
      </c>
      <c r="I6112" s="17">
        <v>1</v>
      </c>
      <c r="J6112" t="s" s="11">
        <v>20</v>
      </c>
      <c r="K6112" s="15"/>
      <c r="L6112" t="s" s="16">
        <f>HYPERLINK("http://csr.bu.edu/ftp/asl/asllvd/demos/verify_start_end_handshape_annotations//test_auto_move//signs_mov_separ_signers/Tyler_1339.mov","MOV")</f>
        <v>21</v>
      </c>
      <c r="M6112" t="s" s="10">
        <v>92</v>
      </c>
      <c r="N6112" s="17">
        <v>25</v>
      </c>
      <c r="O6112" s="18">
        <v>2701</v>
      </c>
      <c r="P6112" s="18">
        <v>2766</v>
      </c>
      <c r="Q6112" s="15"/>
      <c r="R6112" t="s" s="16">
        <f>HYPERLINK("http://secrets.rutgers.edu:8080/data/asl-ftp/asllvd/demos/verify_start_end_handshape_annotations//test_auto_move//signs_mov_separ_signers/Tyler_1339.mov","MOV")</f>
        <v>21</v>
      </c>
    </row>
    <row r="6113" s="2" customFormat="1" ht="13.5" customHeight="1">
      <c r="B6113" s="13"/>
      <c r="C6113" t="s" s="9">
        <v>23</v>
      </c>
      <c r="D6113" t="s" s="8">
        <v>2087</v>
      </c>
      <c r="E6113" t="s" s="9">
        <v>2087</v>
      </c>
      <c r="F6113" s="19">
        <v>5</v>
      </c>
      <c r="G6113" s="17">
        <v>1</v>
      </c>
      <c r="H6113" s="19">
        <v>5</v>
      </c>
      <c r="I6113" s="17">
        <v>1</v>
      </c>
      <c r="J6113" t="s" s="11">
        <v>20</v>
      </c>
      <c r="K6113" t="s" s="16">
        <f>HYPERLINK("http://csr.bu.edu/ftp/asl/asllvd/demos/verify_start_end_handshape_annotations//test_auto_move//signs_mov/1339_3390_merged.mov","MOV")</f>
        <v>21</v>
      </c>
      <c r="L6113" t="s" s="16">
        <f>HYPERLINK("http://csr.bu.edu/ftp/asl/asllvd/demos/verify_start_end_handshape_annotations//test_auto_move//signs_mov_separ_signers/Tyler_3390.mov","MOV")</f>
        <v>21</v>
      </c>
      <c r="M6113" t="s" s="10">
        <v>37</v>
      </c>
      <c r="N6113" s="17">
        <v>14</v>
      </c>
      <c r="O6113" s="18">
        <v>2565</v>
      </c>
      <c r="P6113" s="18">
        <v>2597</v>
      </c>
      <c r="Q6113" t="s" s="16">
        <f>HYPERLINK("http://secrets.rutgers.edu:8080/data/asl-ftp/asllvd/demos/verify_start_end_handshape_annotations//test_auto_move//signs_mov/1339_3390_merged.mov","MOV")</f>
        <v>21</v>
      </c>
      <c r="R6113" t="s" s="16">
        <f>HYPERLINK("http://secrets.rutgers.edu:8080/data/asl-ftp/asllvd/demos/verify_start_end_handshape_annotations//test_auto_move//signs_mov_separ_signers/Tyler_3390.mov","MOV")</f>
        <v>21</v>
      </c>
    </row>
    <row r="6114" s="2" customFormat="1" ht="13.5" customHeight="1">
      <c r="B6114" s="13"/>
      <c r="C6114" t="s" s="9">
        <v>27</v>
      </c>
      <c r="D6114" t="s" s="8">
        <v>2087</v>
      </c>
      <c r="E6114" t="s" s="9">
        <v>2087</v>
      </c>
      <c r="F6114" s="19">
        <v>5</v>
      </c>
      <c r="G6114" s="17">
        <v>1</v>
      </c>
      <c r="H6114" s="19">
        <v>5</v>
      </c>
      <c r="I6114" s="17">
        <v>1</v>
      </c>
      <c r="J6114" t="s" s="11">
        <v>20</v>
      </c>
      <c r="K6114" s="15"/>
      <c r="L6114" t="s" s="16">
        <f>HYPERLINK("http://csr.bu.edu/ftp/asl/asllvd/demos/verify_start_end_handshape_annotations//test_auto_move//signs_mov_separ_signers/Naomi_1339.mov","MOV")</f>
        <v>21</v>
      </c>
      <c r="M6114" t="s" s="10">
        <v>38</v>
      </c>
      <c r="N6114" s="17">
        <v>34</v>
      </c>
      <c r="O6114" s="18">
        <v>4763</v>
      </c>
      <c r="P6114" s="18">
        <v>4795</v>
      </c>
      <c r="Q6114" s="15"/>
      <c r="R6114" t="s" s="16">
        <f>HYPERLINK("http://secrets.rutgers.edu:8080/data/asl-ftp/asllvd/demos/verify_start_end_handshape_annotations//test_auto_move//signs_mov_separ_signers/Naomi_1339.mov","MOV")</f>
        <v>21</v>
      </c>
    </row>
    <row r="6115" s="2" customFormat="1" ht="13.5" customHeight="1">
      <c r="B6115" s="13"/>
      <c r="C6115" t="s" s="9">
        <v>30</v>
      </c>
      <c r="D6115" t="s" s="8">
        <v>2087</v>
      </c>
      <c r="E6115" t="s" s="9">
        <v>2087</v>
      </c>
      <c r="F6115" s="19">
        <v>1</v>
      </c>
      <c r="G6115" t="s" s="11">
        <v>73</v>
      </c>
      <c r="H6115" s="19">
        <v>1</v>
      </c>
      <c r="I6115" t="s" s="11">
        <v>73</v>
      </c>
      <c r="J6115" t="s" s="11">
        <v>20</v>
      </c>
      <c r="K6115" s="15"/>
      <c r="L6115" t="s" s="16">
        <f>HYPERLINK("http://csr.bu.edu/ftp/asl/asllvd/demos/verify_start_end_handshape_annotations//test_auto_move//signs_mov_separ_signers/Brady_1339.mov","MOV")</f>
        <v>21</v>
      </c>
      <c r="M6115" t="s" s="10">
        <v>39</v>
      </c>
      <c r="N6115" s="17">
        <v>20</v>
      </c>
      <c r="O6115" s="18">
        <v>5960</v>
      </c>
      <c r="P6115" s="18">
        <v>5988</v>
      </c>
      <c r="Q6115" s="15"/>
      <c r="R6115" t="s" s="16">
        <f>HYPERLINK("http://secrets.rutgers.edu:8080/data/asl-ftp/asllvd/demos/verify_start_end_handshape_annotations//test_auto_move//signs_mov_separ_signers/Brady_1339.mov","MOV")</f>
        <v>21</v>
      </c>
    </row>
    <row r="6116" s="2" customFormat="1" ht="13.5" customHeight="1">
      <c r="B6116" t="s" s="8">
        <v>52</v>
      </c>
      <c r="C6116" t="s" s="9">
        <v>53</v>
      </c>
      <c r="D6116" t="s" s="8">
        <v>53</v>
      </c>
      <c r="E6116" t="s" s="9">
        <v>53</v>
      </c>
      <c r="F6116" t="s" s="10">
        <v>53</v>
      </c>
      <c r="G6116" t="s" s="11">
        <v>53</v>
      </c>
      <c r="H6116" t="s" s="10">
        <v>53</v>
      </c>
      <c r="I6116" t="s" s="11">
        <v>53</v>
      </c>
      <c r="J6116" t="s" s="11">
        <v>53</v>
      </c>
      <c r="K6116" t="s" s="12">
        <v>53</v>
      </c>
      <c r="L6116" t="s" s="12">
        <v>53</v>
      </c>
      <c r="M6116" t="s" s="10">
        <v>53</v>
      </c>
      <c r="N6116" t="s" s="11">
        <v>53</v>
      </c>
      <c r="O6116" t="s" s="8">
        <v>53</v>
      </c>
      <c r="P6116" t="s" s="8">
        <v>53</v>
      </c>
      <c r="Q6116" t="s" s="12">
        <v>53</v>
      </c>
      <c r="R6116" t="s" s="12">
        <v>53</v>
      </c>
    </row>
    <row r="6117" s="2" customFormat="1" ht="13.5" customHeight="1">
      <c r="B6117" s="13"/>
      <c r="C6117" t="s" s="9">
        <v>16</v>
      </c>
      <c r="D6117" t="s" s="8">
        <v>2087</v>
      </c>
      <c r="E6117" t="s" s="9">
        <v>2088</v>
      </c>
      <c r="F6117" s="19">
        <v>1</v>
      </c>
      <c r="G6117" t="s" s="11">
        <v>73</v>
      </c>
      <c r="H6117" s="19">
        <v>1</v>
      </c>
      <c r="I6117" t="s" s="11">
        <v>73</v>
      </c>
      <c r="J6117" t="s" s="11">
        <v>20</v>
      </c>
      <c r="K6117" t="s" s="16">
        <f>HYPERLINK("http://csr.bu.edu/ftp/asl/asllvd/demos/verify_start_end_handshape_annotations//test_auto_move//signs_mov/16111.mov","MOV")</f>
        <v>21</v>
      </c>
      <c r="L6117" t="s" s="16">
        <f>HYPERLINK("http://csr.bu.edu/ftp/asl/asllvd/demos/verify_start_end_handshape_annotations//test_auto_move//signs_mov_separ_signers/Liz_16111.mov","MOV")</f>
        <v>21</v>
      </c>
      <c r="M6117" t="s" s="10">
        <v>34</v>
      </c>
      <c r="N6117" s="17">
        <v>41</v>
      </c>
      <c r="O6117" s="18">
        <v>3045</v>
      </c>
      <c r="P6117" s="18">
        <v>3120</v>
      </c>
      <c r="Q6117" t="s" s="16">
        <f>HYPERLINK("http://secrets.rutgers.edu:8080/data/asl-ftp/asllvd/demos/verify_start_end_handshape_annotations//test_auto_move//signs_mov/16111.mov","MOV")</f>
        <v>21</v>
      </c>
      <c r="R6117" t="s" s="16">
        <f>HYPERLINK("http://secrets.rutgers.edu:8080/data/asl-ftp/asllvd/demos/verify_start_end_handshape_annotations//test_auto_move//signs_mov_separ_signers/Liz_16111.mov","MOV")</f>
        <v>21</v>
      </c>
    </row>
    <row r="6118" s="2" customFormat="1" ht="13.5" customHeight="1">
      <c r="B6118" s="13"/>
      <c r="C6118" t="s" s="9">
        <v>30</v>
      </c>
      <c r="D6118" t="s" s="8">
        <v>2087</v>
      </c>
      <c r="E6118" t="s" s="9">
        <v>2088</v>
      </c>
      <c r="F6118" s="19">
        <v>1</v>
      </c>
      <c r="G6118" t="s" s="11">
        <v>73</v>
      </c>
      <c r="H6118" s="19">
        <v>1</v>
      </c>
      <c r="I6118" t="s" s="11">
        <v>73</v>
      </c>
      <c r="J6118" t="s" s="11">
        <v>20</v>
      </c>
      <c r="K6118" s="15"/>
      <c r="L6118" t="s" s="16">
        <f>HYPERLINK("http://csr.bu.edu/ftp/asl/asllvd/demos/verify_start_end_handshape_annotations//test_auto_move//signs_mov_separ_signers/Brady_16111.mov","MOV")</f>
        <v>21</v>
      </c>
      <c r="M6118" t="s" s="10">
        <v>39</v>
      </c>
      <c r="N6118" s="17">
        <v>45</v>
      </c>
      <c r="O6118" s="18">
        <v>2771</v>
      </c>
      <c r="P6118" s="18">
        <v>2819</v>
      </c>
      <c r="Q6118" s="15"/>
      <c r="R6118" t="s" s="16">
        <f>HYPERLINK("http://secrets.rutgers.edu:8080/data/asl-ftp/asllvd/demos/verify_start_end_handshape_annotations//test_auto_move//signs_mov_separ_signers/Brady_16111.mov","MOV")</f>
        <v>21</v>
      </c>
    </row>
    <row r="6119" s="2" customFormat="1" ht="13.5" customHeight="1">
      <c r="B6119" t="s" s="8">
        <v>2089</v>
      </c>
      <c r="C6119" t="s" s="9">
        <v>14</v>
      </c>
      <c r="D6119" t="s" s="8">
        <v>14</v>
      </c>
      <c r="E6119" t="s" s="9">
        <v>14</v>
      </c>
      <c r="F6119" t="s" s="10">
        <v>14</v>
      </c>
      <c r="G6119" t="s" s="11">
        <v>14</v>
      </c>
      <c r="H6119" t="s" s="10">
        <v>14</v>
      </c>
      <c r="I6119" t="s" s="11">
        <v>14</v>
      </c>
      <c r="J6119" t="s" s="11">
        <v>14</v>
      </c>
      <c r="K6119" t="s" s="12">
        <v>14</v>
      </c>
      <c r="L6119" t="s" s="12">
        <v>14</v>
      </c>
      <c r="M6119" t="s" s="10">
        <v>14</v>
      </c>
      <c r="N6119" t="s" s="11">
        <v>14</v>
      </c>
      <c r="O6119" t="s" s="8">
        <v>14</v>
      </c>
      <c r="P6119" t="s" s="8">
        <v>14</v>
      </c>
      <c r="Q6119" t="s" s="12">
        <v>14</v>
      </c>
      <c r="R6119" t="s" s="12">
        <v>14</v>
      </c>
    </row>
    <row r="6120" s="2" customFormat="1" ht="13.5" customHeight="1">
      <c r="B6120" s="13"/>
      <c r="C6120" t="s" s="9">
        <v>16</v>
      </c>
      <c r="D6120" t="s" s="8">
        <v>2089</v>
      </c>
      <c r="E6120" t="s" s="9">
        <v>2089</v>
      </c>
      <c r="F6120" t="s" s="10">
        <v>230</v>
      </c>
      <c r="G6120" t="s" s="11">
        <v>73</v>
      </c>
      <c r="H6120" t="s" s="10">
        <v>230</v>
      </c>
      <c r="I6120" t="s" s="11">
        <v>73</v>
      </c>
      <c r="J6120" t="s" s="11">
        <v>20</v>
      </c>
      <c r="K6120" s="15"/>
      <c r="L6120" t="s" s="16">
        <f>HYPERLINK("http://csr.bu.edu/ftp/asl/asllvd/demos/verify_start_end_handshape_annotations//test_auto_move//signs_mov_separ_signers/Liz_1341.mov","MOV")</f>
        <v>21</v>
      </c>
      <c r="M6120" t="s" s="10">
        <v>34</v>
      </c>
      <c r="N6120" s="17">
        <v>42</v>
      </c>
      <c r="O6120" s="18">
        <v>483</v>
      </c>
      <c r="P6120" s="18">
        <v>535</v>
      </c>
      <c r="Q6120" s="15"/>
      <c r="R6120" t="s" s="16">
        <f>HYPERLINK("http://secrets.rutgers.edu:8080/data/asl-ftp/asllvd/demos/verify_start_end_handshape_annotations//test_auto_move//signs_mov_separ_signers/Liz_1341.mov","MOV")</f>
        <v>21</v>
      </c>
    </row>
    <row r="6121" s="2" customFormat="1" ht="13.5" customHeight="1">
      <c r="B6121" s="13"/>
      <c r="C6121" t="s" s="9">
        <v>27</v>
      </c>
      <c r="D6121" t="s" s="8">
        <v>2089</v>
      </c>
      <c r="E6121" t="s" s="9">
        <v>2089</v>
      </c>
      <c r="F6121" t="s" s="10">
        <v>230</v>
      </c>
      <c r="G6121" t="s" s="11">
        <v>73</v>
      </c>
      <c r="H6121" t="s" s="10">
        <v>230</v>
      </c>
      <c r="I6121" t="s" s="11">
        <v>73</v>
      </c>
      <c r="J6121" t="s" s="11">
        <v>20</v>
      </c>
      <c r="K6121" t="s" s="16">
        <f>HYPERLINK("http://csr.bu.edu/ftp/asl/asllvd/demos/verify_start_end_handshape_annotations//test_auto_move//signs_mov/1341.mov","MOV")</f>
        <v>21</v>
      </c>
      <c r="L6121" t="s" s="16">
        <f>HYPERLINK("http://csr.bu.edu/ftp/asl/asllvd/demos/verify_start_end_handshape_annotations//test_auto_move//signs_mov_separ_signers/Naomi_1341.mov","MOV")</f>
        <v>21</v>
      </c>
      <c r="M6121" t="s" s="10">
        <v>38</v>
      </c>
      <c r="N6121" s="17">
        <v>35</v>
      </c>
      <c r="O6121" s="18">
        <v>365</v>
      </c>
      <c r="P6121" s="18">
        <v>435</v>
      </c>
      <c r="Q6121" t="s" s="16">
        <f>HYPERLINK("http://secrets.rutgers.edu:8080/data/asl-ftp/asllvd/demos/verify_start_end_handshape_annotations//test_auto_move//signs_mov/1341.mov","MOV")</f>
        <v>21</v>
      </c>
      <c r="R6121" t="s" s="16">
        <f>HYPERLINK("http://secrets.rutgers.edu:8080/data/asl-ftp/asllvd/demos/verify_start_end_handshape_annotations//test_auto_move//signs_mov_separ_signers/Naomi_1341.mov","MOV")</f>
        <v>21</v>
      </c>
    </row>
    <row r="6122" s="2" customFormat="1" ht="13.5" customHeight="1">
      <c r="B6122" s="13"/>
      <c r="C6122" t="s" s="9">
        <v>30</v>
      </c>
      <c r="D6122" t="s" s="8">
        <v>2089</v>
      </c>
      <c r="E6122" t="s" s="9">
        <v>2089</v>
      </c>
      <c r="F6122" t="s" s="10">
        <v>230</v>
      </c>
      <c r="G6122" t="s" s="11">
        <v>73</v>
      </c>
      <c r="H6122" t="s" s="10">
        <v>230</v>
      </c>
      <c r="I6122" t="s" s="11">
        <v>73</v>
      </c>
      <c r="J6122" t="s" s="11">
        <v>20</v>
      </c>
      <c r="K6122" s="15"/>
      <c r="L6122" t="s" s="16">
        <f>HYPERLINK("http://csr.bu.edu/ftp/asl/asllvd/demos/verify_start_end_handshape_annotations//test_auto_move//signs_mov_separ_signers/Brady_1341.mov","MOV")</f>
        <v>21</v>
      </c>
      <c r="M6122" t="s" s="10">
        <v>39</v>
      </c>
      <c r="N6122" s="17">
        <v>45</v>
      </c>
      <c r="O6122" s="18">
        <v>2986</v>
      </c>
      <c r="P6122" s="18">
        <v>3022</v>
      </c>
      <c r="Q6122" s="15"/>
      <c r="R6122" t="s" s="16">
        <f>HYPERLINK("http://secrets.rutgers.edu:8080/data/asl-ftp/asllvd/demos/verify_start_end_handshape_annotations//test_auto_move//signs_mov_separ_signers/Brady_1341.mov","MOV")</f>
        <v>21</v>
      </c>
    </row>
    <row r="6123" s="2" customFormat="1" ht="13.5" customHeight="1">
      <c r="B6123" t="s" s="8">
        <v>2090</v>
      </c>
      <c r="C6123" t="s" s="9">
        <v>14</v>
      </c>
      <c r="D6123" t="s" s="8">
        <v>14</v>
      </c>
      <c r="E6123" t="s" s="9">
        <v>14</v>
      </c>
      <c r="F6123" t="s" s="10">
        <v>14</v>
      </c>
      <c r="G6123" t="s" s="11">
        <v>14</v>
      </c>
      <c r="H6123" t="s" s="10">
        <v>14</v>
      </c>
      <c r="I6123" t="s" s="11">
        <v>14</v>
      </c>
      <c r="J6123" t="s" s="11">
        <v>14</v>
      </c>
      <c r="K6123" t="s" s="12">
        <v>14</v>
      </c>
      <c r="L6123" t="s" s="12">
        <v>14</v>
      </c>
      <c r="M6123" t="s" s="10">
        <v>14</v>
      </c>
      <c r="N6123" t="s" s="11">
        <v>14</v>
      </c>
      <c r="O6123" t="s" s="8">
        <v>14</v>
      </c>
      <c r="P6123" t="s" s="8">
        <v>14</v>
      </c>
      <c r="Q6123" t="s" s="12">
        <v>14</v>
      </c>
      <c r="R6123" t="s" s="12">
        <v>14</v>
      </c>
    </row>
    <row r="6124" s="2" customFormat="1" ht="13.5" customHeight="1">
      <c r="B6124" s="13"/>
      <c r="C6124" t="s" s="9">
        <v>16</v>
      </c>
      <c r="D6124" t="s" s="8">
        <v>2090</v>
      </c>
      <c r="E6124" t="s" s="9">
        <v>2091</v>
      </c>
      <c r="F6124" t="s" s="10">
        <v>230</v>
      </c>
      <c r="G6124" t="s" s="11">
        <v>73</v>
      </c>
      <c r="H6124" t="s" s="10">
        <v>230</v>
      </c>
      <c r="I6124" t="s" s="11">
        <v>73</v>
      </c>
      <c r="J6124" t="s" s="11">
        <v>20</v>
      </c>
      <c r="K6124" s="15"/>
      <c r="L6124" t="s" s="16">
        <f>HYPERLINK("http://csr.bu.edu/ftp/asl/asllvd/demos/verify_start_end_handshape_annotations//test_auto_move//signs_mov_separ_signers/Liz_15125.mov","MOV")</f>
        <v>21</v>
      </c>
      <c r="M6124" t="s" s="10">
        <v>88</v>
      </c>
      <c r="N6124" s="17">
        <v>50</v>
      </c>
      <c r="O6124" s="18">
        <v>2565</v>
      </c>
      <c r="P6124" s="18">
        <v>2630</v>
      </c>
      <c r="Q6124" s="15"/>
      <c r="R6124" t="s" s="16">
        <f>HYPERLINK("http://secrets.rutgers.edu:8080/data/asl-ftp/asllvd/demos/verify_start_end_handshape_annotations//test_auto_move//signs_mov_separ_signers/Liz_15125.mov","MOV")</f>
        <v>21</v>
      </c>
    </row>
    <row r="6125" s="2" customFormat="1" ht="13.5" customHeight="1">
      <c r="B6125" s="13"/>
      <c r="C6125" t="s" s="9">
        <v>23</v>
      </c>
      <c r="D6125" t="s" s="8">
        <v>2090</v>
      </c>
      <c r="E6125" t="s" s="9">
        <v>2091</v>
      </c>
      <c r="F6125" t="s" s="10">
        <v>230</v>
      </c>
      <c r="G6125" t="s" s="11">
        <v>73</v>
      </c>
      <c r="H6125" t="s" s="10">
        <v>230</v>
      </c>
      <c r="I6125" t="s" s="11">
        <v>73</v>
      </c>
      <c r="J6125" t="s" s="11">
        <v>20</v>
      </c>
      <c r="K6125" t="s" s="16">
        <f>HYPERLINK("http://csr.bu.edu/ftp/asl/asllvd/demos/verify_start_end_handshape_annotations//test_auto_move//signs_mov/15125_16281_merged.mov","MOV")</f>
        <v>21</v>
      </c>
      <c r="L6125" t="s" s="16">
        <f>HYPERLINK("http://csr.bu.edu/ftp/asl/asllvd/demos/verify_start_end_handshape_annotations//test_auto_move//signs_mov_separ_signers/Tyler_15125.mov","MOV")</f>
        <v>21</v>
      </c>
      <c r="M6125" t="s" s="10">
        <v>37</v>
      </c>
      <c r="N6125" s="17">
        <v>15</v>
      </c>
      <c r="O6125" s="18">
        <v>302</v>
      </c>
      <c r="P6125" s="18">
        <v>331</v>
      </c>
      <c r="Q6125" t="s" s="16">
        <f>HYPERLINK("http://secrets.rutgers.edu:8080/data/asl-ftp/asllvd/demos/verify_start_end_handshape_annotations//test_auto_move//signs_mov/15125_16281_merged.mov","MOV")</f>
        <v>21</v>
      </c>
      <c r="R6125" t="s" s="16">
        <f>HYPERLINK("http://secrets.rutgers.edu:8080/data/asl-ftp/asllvd/demos/verify_start_end_handshape_annotations//test_auto_move//signs_mov_separ_signers/Tyler_15125.mov","MOV")</f>
        <v>21</v>
      </c>
    </row>
    <row r="6126" s="2" customFormat="1" ht="13.5" customHeight="1">
      <c r="B6126" s="13"/>
      <c r="C6126" t="s" s="9">
        <v>30</v>
      </c>
      <c r="D6126" t="s" s="8">
        <v>2090</v>
      </c>
      <c r="E6126" t="s" s="9">
        <v>2092</v>
      </c>
      <c r="F6126" t="s" s="10">
        <v>230</v>
      </c>
      <c r="G6126" t="s" s="11">
        <v>73</v>
      </c>
      <c r="H6126" t="s" s="10">
        <v>230</v>
      </c>
      <c r="I6126" t="s" s="11">
        <v>73</v>
      </c>
      <c r="J6126" t="s" s="11">
        <v>20</v>
      </c>
      <c r="K6126" s="15"/>
      <c r="L6126" t="s" s="16">
        <f>HYPERLINK("http://csr.bu.edu/ftp/asl/asllvd/demos/verify_start_end_handshape_annotations//test_auto_move//signs_mov_separ_signers/Brady_15125.mov","MOV")</f>
        <v>21</v>
      </c>
      <c r="M6126" t="s" s="10">
        <v>40</v>
      </c>
      <c r="N6126" s="17">
        <v>41</v>
      </c>
      <c r="O6126" s="18">
        <v>1648</v>
      </c>
      <c r="P6126" s="18">
        <v>1689</v>
      </c>
      <c r="Q6126" s="15"/>
      <c r="R6126" t="s" s="16">
        <f>HYPERLINK("http://secrets.rutgers.edu:8080/data/asl-ftp/asllvd/demos/verify_start_end_handshape_annotations//test_auto_move//signs_mov_separ_signers/Brady_15125.mov","MOV")</f>
        <v>21</v>
      </c>
    </row>
    <row r="6127" s="2" customFormat="1" ht="13.5" customHeight="1">
      <c r="B6127" s="13"/>
      <c r="C6127" t="s" s="9">
        <v>30</v>
      </c>
      <c r="D6127" t="s" s="8">
        <v>2090</v>
      </c>
      <c r="E6127" t="s" s="9">
        <v>2091</v>
      </c>
      <c r="F6127" t="s" s="10">
        <v>230</v>
      </c>
      <c r="G6127" t="s" s="11">
        <v>73</v>
      </c>
      <c r="H6127" t="s" s="10">
        <v>230</v>
      </c>
      <c r="I6127" t="s" s="11">
        <v>73</v>
      </c>
      <c r="J6127" t="s" s="11">
        <v>20</v>
      </c>
      <c r="K6127" s="15"/>
      <c r="L6127" t="s" s="16">
        <f>HYPERLINK("http://csr.bu.edu/ftp/asl/asllvd/demos/verify_start_end_handshape_annotations//test_auto_move//signs_mov_separ_signers/Brady_16281.mov","MOV")</f>
        <v>21</v>
      </c>
      <c r="M6127" t="s" s="10">
        <v>40</v>
      </c>
      <c r="N6127" s="17">
        <v>45</v>
      </c>
      <c r="O6127" s="18">
        <v>1158</v>
      </c>
      <c r="P6127" s="18">
        <v>1181</v>
      </c>
      <c r="Q6127" s="15"/>
      <c r="R6127" t="s" s="16">
        <f>HYPERLINK("http://secrets.rutgers.edu:8080/data/asl-ftp/asllvd/demos/verify_start_end_handshape_annotations//test_auto_move//signs_mov_separ_signers/Brady_16281.mov","MOV")</f>
        <v>21</v>
      </c>
    </row>
    <row r="6128" s="2" customFormat="1" ht="13.5" customHeight="1">
      <c r="B6128" t="s" s="8">
        <v>2093</v>
      </c>
      <c r="C6128" t="s" s="9">
        <v>14</v>
      </c>
      <c r="D6128" t="s" s="8">
        <v>14</v>
      </c>
      <c r="E6128" t="s" s="9">
        <v>14</v>
      </c>
      <c r="F6128" t="s" s="10">
        <v>14</v>
      </c>
      <c r="G6128" t="s" s="11">
        <v>14</v>
      </c>
      <c r="H6128" t="s" s="10">
        <v>14</v>
      </c>
      <c r="I6128" t="s" s="11">
        <v>14</v>
      </c>
      <c r="J6128" t="s" s="11">
        <v>14</v>
      </c>
      <c r="K6128" t="s" s="12">
        <v>14</v>
      </c>
      <c r="L6128" t="s" s="12">
        <v>14</v>
      </c>
      <c r="M6128" t="s" s="10">
        <v>14</v>
      </c>
      <c r="N6128" t="s" s="11">
        <v>14</v>
      </c>
      <c r="O6128" t="s" s="8">
        <v>14</v>
      </c>
      <c r="P6128" t="s" s="8">
        <v>14</v>
      </c>
      <c r="Q6128" t="s" s="12">
        <v>14</v>
      </c>
      <c r="R6128" t="s" s="12">
        <v>14</v>
      </c>
    </row>
    <row r="6129" s="2" customFormat="1" ht="13.5" customHeight="1">
      <c r="B6129" s="13"/>
      <c r="C6129" t="s" s="9">
        <v>16</v>
      </c>
      <c r="D6129" t="s" s="8">
        <v>2093</v>
      </c>
      <c r="E6129" t="s" s="9">
        <v>2094</v>
      </c>
      <c r="F6129" t="s" s="10">
        <v>220</v>
      </c>
      <c r="G6129" t="s" s="11">
        <v>73</v>
      </c>
      <c r="H6129" t="s" s="10">
        <v>220</v>
      </c>
      <c r="I6129" t="s" s="11">
        <v>73</v>
      </c>
      <c r="J6129" t="s" s="11">
        <v>20</v>
      </c>
      <c r="K6129" t="s" s="16">
        <f>HYPERLINK("http://csr.bu.edu/ftp/asl/asllvd/demos/verify_start_end_handshape_annotations//test_auto_move//signs_mov/16283.mov","MOV")</f>
        <v>21</v>
      </c>
      <c r="L6129" t="s" s="16">
        <f>HYPERLINK("http://csr.bu.edu/ftp/asl/asllvd/demos/verify_start_end_handshape_annotations//test_auto_move//signs_mov_separ_signers/Liz_16283.mov","MOV")</f>
        <v>21</v>
      </c>
      <c r="M6129" t="s" s="10">
        <v>88</v>
      </c>
      <c r="N6129" s="17">
        <v>47</v>
      </c>
      <c r="O6129" s="18">
        <v>756</v>
      </c>
      <c r="P6129" s="18">
        <v>800</v>
      </c>
      <c r="Q6129" t="s" s="16">
        <f>HYPERLINK("http://secrets.rutgers.edu:8080/data/asl-ftp/asllvd/demos/verify_start_end_handshape_annotations//test_auto_move//signs_mov/16283.mov","MOV")</f>
        <v>21</v>
      </c>
      <c r="R6129" t="s" s="16">
        <f>HYPERLINK("http://secrets.rutgers.edu:8080/data/asl-ftp/asllvd/demos/verify_start_end_handshape_annotations//test_auto_move//signs_mov_separ_signers/Liz_16283.mov","MOV")</f>
        <v>21</v>
      </c>
    </row>
    <row r="6130" s="2" customFormat="1" ht="13.5" customHeight="1">
      <c r="B6130" t="s" s="8">
        <v>2095</v>
      </c>
      <c r="C6130" t="s" s="9">
        <v>14</v>
      </c>
      <c r="D6130" t="s" s="8">
        <v>14</v>
      </c>
      <c r="E6130" t="s" s="9">
        <v>14</v>
      </c>
      <c r="F6130" t="s" s="10">
        <v>14</v>
      </c>
      <c r="G6130" t="s" s="11">
        <v>14</v>
      </c>
      <c r="H6130" t="s" s="10">
        <v>14</v>
      </c>
      <c r="I6130" t="s" s="11">
        <v>14</v>
      </c>
      <c r="J6130" t="s" s="11">
        <v>14</v>
      </c>
      <c r="K6130" t="s" s="12">
        <v>14</v>
      </c>
      <c r="L6130" t="s" s="12">
        <v>14</v>
      </c>
      <c r="M6130" t="s" s="10">
        <v>14</v>
      </c>
      <c r="N6130" t="s" s="11">
        <v>14</v>
      </c>
      <c r="O6130" t="s" s="8">
        <v>14</v>
      </c>
      <c r="P6130" t="s" s="8">
        <v>14</v>
      </c>
      <c r="Q6130" t="s" s="12">
        <v>14</v>
      </c>
      <c r="R6130" t="s" s="12">
        <v>14</v>
      </c>
    </row>
    <row r="6131" s="2" customFormat="1" ht="13.5" customHeight="1">
      <c r="B6131" s="13"/>
      <c r="C6131" t="s" s="9">
        <v>16</v>
      </c>
      <c r="D6131" t="s" s="8">
        <v>2095</v>
      </c>
      <c r="E6131" t="s" s="9">
        <v>2095</v>
      </c>
      <c r="F6131" t="s" s="10">
        <v>229</v>
      </c>
      <c r="G6131" t="s" s="11">
        <v>73</v>
      </c>
      <c r="H6131" t="s" s="10">
        <v>230</v>
      </c>
      <c r="I6131" t="s" s="11">
        <v>73</v>
      </c>
      <c r="J6131" t="s" s="11">
        <v>20</v>
      </c>
      <c r="K6131" s="15"/>
      <c r="L6131" t="s" s="16">
        <f>HYPERLINK("http://csr.bu.edu/ftp/asl/asllvd/demos/verify_start_end_handshape_annotations//test_auto_move//signs_mov_separ_signers/Liz_16285.mov","MOV")</f>
        <v>21</v>
      </c>
      <c r="M6131" t="s" s="10">
        <v>34</v>
      </c>
      <c r="N6131" s="17">
        <v>42</v>
      </c>
      <c r="O6131" s="18">
        <v>252</v>
      </c>
      <c r="P6131" s="18">
        <v>300</v>
      </c>
      <c r="Q6131" s="15"/>
      <c r="R6131" t="s" s="16">
        <f>HYPERLINK("http://secrets.rutgers.edu:8080/data/asl-ftp/asllvd/demos/verify_start_end_handshape_annotations//test_auto_move//signs_mov_separ_signers/Liz_16285.mov","MOV")</f>
        <v>21</v>
      </c>
    </row>
    <row r="6132" s="2" customFormat="1" ht="13.5" customHeight="1">
      <c r="B6132" s="13"/>
      <c r="C6132" t="s" s="9">
        <v>23</v>
      </c>
      <c r="D6132" t="s" s="8">
        <v>2095</v>
      </c>
      <c r="E6132" t="s" s="9">
        <v>2095</v>
      </c>
      <c r="F6132" t="s" s="10">
        <v>229</v>
      </c>
      <c r="G6132" t="s" s="11">
        <v>73</v>
      </c>
      <c r="H6132" t="s" s="10">
        <v>230</v>
      </c>
      <c r="I6132" t="s" s="11">
        <v>73</v>
      </c>
      <c r="J6132" t="s" s="11">
        <v>20</v>
      </c>
      <c r="K6132" t="s" s="16">
        <f>HYPERLINK("http://csr.bu.edu/ftp/asl/asllvd/demos/verify_start_end_handshape_annotations//test_auto_move//signs_mov/16285.mov","MOV")</f>
        <v>21</v>
      </c>
      <c r="L6132" t="s" s="16">
        <f>HYPERLINK("http://csr.bu.edu/ftp/asl/asllvd/demos/verify_start_end_handshape_annotations//test_auto_move//signs_mov_separ_signers/Tyler_16285.mov","MOV")</f>
        <v>21</v>
      </c>
      <c r="M6132" t="s" s="10">
        <v>37</v>
      </c>
      <c r="N6132" s="17">
        <v>14</v>
      </c>
      <c r="O6132" s="18">
        <v>2816</v>
      </c>
      <c r="P6132" s="18">
        <v>2855</v>
      </c>
      <c r="Q6132" t="s" s="16">
        <f>HYPERLINK("http://secrets.rutgers.edu:8080/data/asl-ftp/asllvd/demos/verify_start_end_handshape_annotations//test_auto_move//signs_mov/16285.mov","MOV")</f>
        <v>21</v>
      </c>
      <c r="R6132" t="s" s="16">
        <f>HYPERLINK("http://secrets.rutgers.edu:8080/data/asl-ftp/asllvd/demos/verify_start_end_handshape_annotations//test_auto_move//signs_mov_separ_signers/Tyler_16285.mov","MOV")</f>
        <v>21</v>
      </c>
    </row>
    <row r="6133" s="2" customFormat="1" ht="13.5" customHeight="1">
      <c r="B6133" s="13"/>
      <c r="C6133" t="s" s="9">
        <v>27</v>
      </c>
      <c r="D6133" t="s" s="8">
        <v>2095</v>
      </c>
      <c r="E6133" t="s" s="9">
        <v>2095</v>
      </c>
      <c r="F6133" t="s" s="10">
        <v>229</v>
      </c>
      <c r="G6133" t="s" s="11">
        <v>73</v>
      </c>
      <c r="H6133" t="s" s="10">
        <v>230</v>
      </c>
      <c r="I6133" t="s" s="11">
        <v>73</v>
      </c>
      <c r="J6133" t="s" s="11">
        <v>20</v>
      </c>
      <c r="K6133" s="15"/>
      <c r="L6133" t="s" s="16">
        <f>HYPERLINK("http://csr.bu.edu/ftp/asl/asllvd/demos/verify_start_end_handshape_annotations//test_auto_move//signs_mov_separ_signers/Naomi_16285.mov","MOV")</f>
        <v>21</v>
      </c>
      <c r="M6133" t="s" s="10">
        <v>38</v>
      </c>
      <c r="N6133" s="17">
        <v>34</v>
      </c>
      <c r="O6133" s="18">
        <v>5056</v>
      </c>
      <c r="P6133" s="18">
        <v>5100</v>
      </c>
      <c r="Q6133" s="15"/>
      <c r="R6133" t="s" s="16">
        <f>HYPERLINK("http://secrets.rutgers.edu:8080/data/asl-ftp/asllvd/demos/verify_start_end_handshape_annotations//test_auto_move//signs_mov_separ_signers/Naomi_16285.mov","MOV")</f>
        <v>21</v>
      </c>
    </row>
    <row r="6134" s="2" customFormat="1" ht="13.5" customHeight="1">
      <c r="B6134" s="13"/>
      <c r="C6134" t="s" s="9">
        <v>30</v>
      </c>
      <c r="D6134" t="s" s="8">
        <v>2095</v>
      </c>
      <c r="E6134" t="s" s="9">
        <v>2095</v>
      </c>
      <c r="F6134" t="s" s="10">
        <v>229</v>
      </c>
      <c r="G6134" t="s" s="11">
        <v>73</v>
      </c>
      <c r="H6134" t="s" s="10">
        <v>230</v>
      </c>
      <c r="I6134" t="s" s="11">
        <v>73</v>
      </c>
      <c r="J6134" t="s" s="11">
        <v>20</v>
      </c>
      <c r="K6134" s="15"/>
      <c r="L6134" t="s" s="16">
        <f>HYPERLINK("http://csr.bu.edu/ftp/asl/asllvd/demos/verify_start_end_handshape_annotations//test_auto_move//signs_mov_separ_signers/Brady_16285.mov","MOV")</f>
        <v>21</v>
      </c>
      <c r="M6134" t="s" s="10">
        <v>39</v>
      </c>
      <c r="N6134" s="17">
        <v>45</v>
      </c>
      <c r="O6134" s="18">
        <v>4141</v>
      </c>
      <c r="P6134" s="18">
        <v>4194</v>
      </c>
      <c r="Q6134" s="15"/>
      <c r="R6134" t="s" s="16">
        <f>HYPERLINK("http://secrets.rutgers.edu:8080/data/asl-ftp/asllvd/demos/verify_start_end_handshape_annotations//test_auto_move//signs_mov_separ_signers/Brady_16285.mov","MOV")</f>
        <v>21</v>
      </c>
    </row>
    <row r="6135" s="2" customFormat="1" ht="13.5" customHeight="1">
      <c r="B6135" t="s" s="8">
        <v>2096</v>
      </c>
      <c r="C6135" t="s" s="9">
        <v>14</v>
      </c>
      <c r="D6135" t="s" s="8">
        <v>14</v>
      </c>
      <c r="E6135" t="s" s="9">
        <v>14</v>
      </c>
      <c r="F6135" t="s" s="10">
        <v>14</v>
      </c>
      <c r="G6135" t="s" s="11">
        <v>14</v>
      </c>
      <c r="H6135" t="s" s="10">
        <v>14</v>
      </c>
      <c r="I6135" t="s" s="11">
        <v>14</v>
      </c>
      <c r="J6135" t="s" s="11">
        <v>14</v>
      </c>
      <c r="K6135" t="s" s="12">
        <v>14</v>
      </c>
      <c r="L6135" t="s" s="12">
        <v>14</v>
      </c>
      <c r="M6135" t="s" s="10">
        <v>14</v>
      </c>
      <c r="N6135" t="s" s="11">
        <v>14</v>
      </c>
      <c r="O6135" t="s" s="8">
        <v>14</v>
      </c>
      <c r="P6135" t="s" s="8">
        <v>14</v>
      </c>
      <c r="Q6135" t="s" s="12">
        <v>14</v>
      </c>
      <c r="R6135" t="s" s="12">
        <v>14</v>
      </c>
    </row>
    <row r="6136" s="2" customFormat="1" ht="13.5" customHeight="1">
      <c r="B6136" s="13"/>
      <c r="C6136" t="s" s="9">
        <v>16</v>
      </c>
      <c r="D6136" t="s" s="8">
        <v>2096</v>
      </c>
      <c r="E6136" t="s" s="9">
        <v>2097</v>
      </c>
      <c r="F6136" s="19">
        <v>1</v>
      </c>
      <c r="G6136" s="17">
        <v>1</v>
      </c>
      <c r="H6136" s="19">
        <v>1</v>
      </c>
      <c r="I6136" s="17">
        <v>1</v>
      </c>
      <c r="J6136" t="s" s="11">
        <v>20</v>
      </c>
      <c r="K6136" s="15"/>
      <c r="L6136" t="s" s="16">
        <f>HYPERLINK("http://csr.bu.edu/ftp/asl/asllvd/demos/verify_start_end_handshape_annotations//test_auto_move//signs_mov_separ_signers/Liz_1342.mov","MOV")</f>
        <v>21</v>
      </c>
      <c r="M6136" t="s" s="10">
        <v>34</v>
      </c>
      <c r="N6136" s="17">
        <v>42</v>
      </c>
      <c r="O6136" s="18">
        <v>785</v>
      </c>
      <c r="P6136" s="18">
        <v>825</v>
      </c>
      <c r="Q6136" s="15"/>
      <c r="R6136" t="s" s="16">
        <f>HYPERLINK("http://secrets.rutgers.edu:8080/data/asl-ftp/asllvd/demos/verify_start_end_handshape_annotations//test_auto_move//signs_mov_separ_signers/Liz_1342.mov","MOV")</f>
        <v>21</v>
      </c>
    </row>
    <row r="6137" s="2" customFormat="1" ht="13.5" customHeight="1">
      <c r="B6137" s="13"/>
      <c r="C6137" t="s" s="9">
        <v>27</v>
      </c>
      <c r="D6137" t="s" s="8">
        <v>2096</v>
      </c>
      <c r="E6137" t="s" s="9">
        <v>2097</v>
      </c>
      <c r="F6137" s="19">
        <v>1</v>
      </c>
      <c r="G6137" s="17">
        <v>1</v>
      </c>
      <c r="H6137" s="19">
        <v>1</v>
      </c>
      <c r="I6137" s="17">
        <v>1</v>
      </c>
      <c r="J6137" t="s" s="11">
        <v>20</v>
      </c>
      <c r="K6137" t="s" s="16">
        <f>HYPERLINK("http://csr.bu.edu/ftp/asl/asllvd/demos/verify_start_end_handshape_annotations//test_auto_move//signs_mov/1342.mov","MOV")</f>
        <v>21</v>
      </c>
      <c r="L6137" t="s" s="16">
        <f>HYPERLINK("http://csr.bu.edu/ftp/asl/asllvd/demos/verify_start_end_handshape_annotations//test_auto_move//signs_mov_separ_signers/Naomi_1342.mov","MOV")</f>
        <v>21</v>
      </c>
      <c r="M6137" t="s" s="10">
        <v>38</v>
      </c>
      <c r="N6137" s="17">
        <v>35</v>
      </c>
      <c r="O6137" s="18">
        <v>660</v>
      </c>
      <c r="P6137" s="18">
        <v>696</v>
      </c>
      <c r="Q6137" t="s" s="16">
        <f>HYPERLINK("http://secrets.rutgers.edu:8080/data/asl-ftp/asllvd/demos/verify_start_end_handshape_annotations//test_auto_move//signs_mov/1342.mov","MOV")</f>
        <v>21</v>
      </c>
      <c r="R6137" t="s" s="16">
        <f>HYPERLINK("http://secrets.rutgers.edu:8080/data/asl-ftp/asllvd/demos/verify_start_end_handshape_annotations//test_auto_move//signs_mov_separ_signers/Naomi_1342.mov","MOV")</f>
        <v>21</v>
      </c>
    </row>
    <row r="6138" s="2" customFormat="1" ht="13.5" customHeight="1">
      <c r="B6138" s="13"/>
      <c r="C6138" t="s" s="9">
        <v>30</v>
      </c>
      <c r="D6138" t="s" s="8">
        <v>2096</v>
      </c>
      <c r="E6138" t="s" s="9">
        <v>2097</v>
      </c>
      <c r="F6138" s="19">
        <v>1</v>
      </c>
      <c r="G6138" s="17">
        <v>1</v>
      </c>
      <c r="H6138" s="19">
        <v>1</v>
      </c>
      <c r="I6138" s="17">
        <v>1</v>
      </c>
      <c r="J6138" t="s" s="11">
        <v>20</v>
      </c>
      <c r="K6138" s="15"/>
      <c r="L6138" t="s" s="16">
        <f>HYPERLINK("http://csr.bu.edu/ftp/asl/asllvd/demos/verify_start_end_handshape_annotations//test_auto_move//signs_mov_separ_signers/Brady_1342.mov","MOV")</f>
        <v>21</v>
      </c>
      <c r="M6138" t="s" s="10">
        <v>39</v>
      </c>
      <c r="N6138" s="17">
        <v>45</v>
      </c>
      <c r="O6138" s="18">
        <v>4516</v>
      </c>
      <c r="P6138" s="18">
        <v>4545</v>
      </c>
      <c r="Q6138" s="15"/>
      <c r="R6138" t="s" s="16">
        <f>HYPERLINK("http://secrets.rutgers.edu:8080/data/asl-ftp/asllvd/demos/verify_start_end_handshape_annotations//test_auto_move//signs_mov_separ_signers/Brady_1342.mov","MOV")</f>
        <v>21</v>
      </c>
    </row>
    <row r="6139" s="2" customFormat="1" ht="13.5" customHeight="1">
      <c r="B6139" t="s" s="8">
        <v>52</v>
      </c>
      <c r="C6139" t="s" s="9">
        <v>53</v>
      </c>
      <c r="D6139" t="s" s="8">
        <v>53</v>
      </c>
      <c r="E6139" t="s" s="9">
        <v>53</v>
      </c>
      <c r="F6139" t="s" s="10">
        <v>53</v>
      </c>
      <c r="G6139" t="s" s="11">
        <v>53</v>
      </c>
      <c r="H6139" t="s" s="10">
        <v>53</v>
      </c>
      <c r="I6139" t="s" s="11">
        <v>53</v>
      </c>
      <c r="J6139" t="s" s="11">
        <v>53</v>
      </c>
      <c r="K6139" t="s" s="12">
        <v>53</v>
      </c>
      <c r="L6139" t="s" s="12">
        <v>53</v>
      </c>
      <c r="M6139" t="s" s="10">
        <v>53</v>
      </c>
      <c r="N6139" t="s" s="11">
        <v>53</v>
      </c>
      <c r="O6139" t="s" s="8">
        <v>53</v>
      </c>
      <c r="P6139" t="s" s="8">
        <v>53</v>
      </c>
      <c r="Q6139" t="s" s="12">
        <v>53</v>
      </c>
      <c r="R6139" t="s" s="12">
        <v>53</v>
      </c>
    </row>
    <row r="6140" s="2" customFormat="1" ht="13.5" customHeight="1">
      <c r="B6140" s="13"/>
      <c r="C6140" t="s" s="9">
        <v>43</v>
      </c>
      <c r="D6140" t="s" s="8">
        <v>2096</v>
      </c>
      <c r="E6140" t="s" s="9">
        <v>2098</v>
      </c>
      <c r="F6140" s="19">
        <v>1</v>
      </c>
      <c r="G6140" s="17">
        <v>1</v>
      </c>
      <c r="H6140" s="19">
        <v>1</v>
      </c>
      <c r="I6140" s="17">
        <v>1</v>
      </c>
      <c r="J6140" t="s" s="11">
        <v>20</v>
      </c>
      <c r="K6140" t="s" s="16">
        <f>HYPERLINK("http://csr.bu.edu/ftp/asl/asllvd/demos/verify_start_end_handshape_annotations//test_auto_move//signs_mov/3667.mov","MOV")</f>
        <v>21</v>
      </c>
      <c r="L6140" t="s" s="16">
        <f>HYPERLINK("http://csr.bu.edu/ftp/asl/asllvd/demos/verify_start_end_handshape_annotations//test_auto_move//signs_mov_separ_signers/Dana_3667.mov","MOV")</f>
        <v>21</v>
      </c>
      <c r="M6140" t="s" s="10">
        <v>44</v>
      </c>
      <c r="N6140" s="17">
        <v>18</v>
      </c>
      <c r="O6140" s="18">
        <v>2063</v>
      </c>
      <c r="P6140" s="18">
        <v>2127</v>
      </c>
      <c r="Q6140" t="s" s="16">
        <f>HYPERLINK("http://secrets.rutgers.edu:8080/data/asl-ftp/asllvd/demos/verify_start_end_handshape_annotations//test_auto_move//signs_mov/3667.mov","MOV")</f>
        <v>21</v>
      </c>
      <c r="R6140" t="s" s="16">
        <f>HYPERLINK("http://secrets.rutgers.edu:8080/data/asl-ftp/asllvd/demos/verify_start_end_handshape_annotations//test_auto_move//signs_mov_separ_signers/Dana_3667.mov","MOV")</f>
        <v>21</v>
      </c>
    </row>
    <row r="6141" s="2" customFormat="1" ht="13.5" customHeight="1">
      <c r="B6141" t="s" s="8">
        <v>52</v>
      </c>
      <c r="C6141" t="s" s="9">
        <v>53</v>
      </c>
      <c r="D6141" t="s" s="8">
        <v>53</v>
      </c>
      <c r="E6141" t="s" s="9">
        <v>53</v>
      </c>
      <c r="F6141" t="s" s="10">
        <v>53</v>
      </c>
      <c r="G6141" t="s" s="11">
        <v>53</v>
      </c>
      <c r="H6141" t="s" s="10">
        <v>53</v>
      </c>
      <c r="I6141" t="s" s="11">
        <v>53</v>
      </c>
      <c r="J6141" t="s" s="11">
        <v>53</v>
      </c>
      <c r="K6141" t="s" s="12">
        <v>53</v>
      </c>
      <c r="L6141" t="s" s="12">
        <v>53</v>
      </c>
      <c r="M6141" t="s" s="10">
        <v>53</v>
      </c>
      <c r="N6141" t="s" s="11">
        <v>53</v>
      </c>
      <c r="O6141" t="s" s="8">
        <v>53</v>
      </c>
      <c r="P6141" t="s" s="8">
        <v>53</v>
      </c>
      <c r="Q6141" t="s" s="12">
        <v>53</v>
      </c>
      <c r="R6141" t="s" s="12">
        <v>53</v>
      </c>
    </row>
    <row r="6142" s="2" customFormat="1" ht="13.5" customHeight="1">
      <c r="B6142" s="13"/>
      <c r="C6142" t="s" s="9">
        <v>16</v>
      </c>
      <c r="D6142" t="s" s="8">
        <v>2096</v>
      </c>
      <c r="E6142" t="s" s="9">
        <v>2099</v>
      </c>
      <c r="F6142" t="s" s="10">
        <v>240</v>
      </c>
      <c r="G6142" t="s" s="11">
        <v>240</v>
      </c>
      <c r="H6142" t="s" s="10">
        <v>240</v>
      </c>
      <c r="I6142" t="s" s="11">
        <v>240</v>
      </c>
      <c r="J6142" t="s" s="11">
        <v>20</v>
      </c>
      <c r="K6142" s="15"/>
      <c r="L6142" t="s" s="16">
        <f>HYPERLINK("http://csr.bu.edu/ftp/asl/asllvd/demos/verify_start_end_handshape_annotations//test_auto_move//signs_mov_separ_signers/Liz_5233.mov","MOV")</f>
        <v>21</v>
      </c>
      <c r="M6142" t="s" s="10">
        <v>34</v>
      </c>
      <c r="N6142" s="17">
        <v>42</v>
      </c>
      <c r="O6142" s="18">
        <v>1051</v>
      </c>
      <c r="P6142" s="18">
        <v>1091</v>
      </c>
      <c r="Q6142" s="15"/>
      <c r="R6142" t="s" s="16">
        <f>HYPERLINK("http://secrets.rutgers.edu:8080/data/asl-ftp/asllvd/demos/verify_start_end_handshape_annotations//test_auto_move//signs_mov_separ_signers/Liz_5233.mov","MOV")</f>
        <v>21</v>
      </c>
    </row>
    <row r="6143" s="2" customFormat="1" ht="13.5" customHeight="1">
      <c r="B6143" s="13"/>
      <c r="C6143" t="s" s="9">
        <v>23</v>
      </c>
      <c r="D6143" t="s" s="8">
        <v>2096</v>
      </c>
      <c r="E6143" t="s" s="9">
        <v>2100</v>
      </c>
      <c r="F6143" t="s" s="10">
        <v>240</v>
      </c>
      <c r="G6143" t="s" s="11">
        <v>240</v>
      </c>
      <c r="H6143" t="s" s="10">
        <v>240</v>
      </c>
      <c r="I6143" t="s" s="11">
        <v>240</v>
      </c>
      <c r="J6143" t="s" s="11">
        <v>20</v>
      </c>
      <c r="K6143" t="s" s="16">
        <f>HYPERLINK("http://csr.bu.edu/ftp/asl/asllvd/demos/verify_start_end_handshape_annotations//test_auto_move//signs_mov/5233.mov","MOV")</f>
        <v>21</v>
      </c>
      <c r="L6143" t="s" s="16">
        <f>HYPERLINK("http://csr.bu.edu/ftp/asl/asllvd/demos/verify_start_end_handshape_annotations//test_auto_move//signs_mov_separ_signers/Tyler_5233.mov","MOV")</f>
        <v>21</v>
      </c>
      <c r="M6143" t="s" s="10">
        <v>37</v>
      </c>
      <c r="N6143" s="17">
        <v>15</v>
      </c>
      <c r="O6143" s="18">
        <v>556</v>
      </c>
      <c r="P6143" s="18">
        <v>605</v>
      </c>
      <c r="Q6143" t="s" s="16">
        <f>HYPERLINK("http://secrets.rutgers.edu:8080/data/asl-ftp/asllvd/demos/verify_start_end_handshape_annotations//test_auto_move//signs_mov/5233.mov","MOV")</f>
        <v>21</v>
      </c>
      <c r="R6143" t="s" s="16">
        <f>HYPERLINK("http://secrets.rutgers.edu:8080/data/asl-ftp/asllvd/demos/verify_start_end_handshape_annotations//test_auto_move//signs_mov_separ_signers/Tyler_5233.mov","MOV")</f>
        <v>21</v>
      </c>
    </row>
    <row r="6144" s="2" customFormat="1" ht="13.5" customHeight="1">
      <c r="B6144" s="13"/>
      <c r="C6144" t="s" s="9">
        <v>27</v>
      </c>
      <c r="D6144" t="s" s="8">
        <v>2096</v>
      </c>
      <c r="E6144" t="s" s="9">
        <v>2099</v>
      </c>
      <c r="F6144" t="s" s="10">
        <v>240</v>
      </c>
      <c r="G6144" t="s" s="11">
        <v>240</v>
      </c>
      <c r="H6144" t="s" s="10">
        <v>240</v>
      </c>
      <c r="I6144" t="s" s="11">
        <v>240</v>
      </c>
      <c r="J6144" t="s" s="11">
        <v>20</v>
      </c>
      <c r="K6144" s="15"/>
      <c r="L6144" t="s" s="16">
        <f>HYPERLINK("http://csr.bu.edu/ftp/asl/asllvd/demos/verify_start_end_handshape_annotations//test_auto_move//signs_mov_separ_signers/Naomi_5233.mov","MOV")</f>
        <v>21</v>
      </c>
      <c r="M6144" t="s" s="10">
        <v>38</v>
      </c>
      <c r="N6144" s="17">
        <v>35</v>
      </c>
      <c r="O6144" s="18">
        <v>912</v>
      </c>
      <c r="P6144" s="18">
        <v>952</v>
      </c>
      <c r="Q6144" s="15"/>
      <c r="R6144" t="s" s="16">
        <f>HYPERLINK("http://secrets.rutgers.edu:8080/data/asl-ftp/asllvd/demos/verify_start_end_handshape_annotations//test_auto_move//signs_mov_separ_signers/Naomi_5233.mov","MOV")</f>
        <v>21</v>
      </c>
    </row>
    <row r="6145" s="2" customFormat="1" ht="13.5" customHeight="1">
      <c r="B6145" s="13"/>
      <c r="C6145" t="s" s="9">
        <v>30</v>
      </c>
      <c r="D6145" t="s" s="8">
        <v>2096</v>
      </c>
      <c r="E6145" t="s" s="9">
        <v>2099</v>
      </c>
      <c r="F6145" t="s" s="10">
        <v>240</v>
      </c>
      <c r="G6145" t="s" s="11">
        <v>240</v>
      </c>
      <c r="H6145" t="s" s="10">
        <v>240</v>
      </c>
      <c r="I6145" t="s" s="11">
        <v>240</v>
      </c>
      <c r="J6145" t="s" s="11">
        <v>20</v>
      </c>
      <c r="K6145" s="15"/>
      <c r="L6145" t="s" s="16">
        <f>HYPERLINK("http://csr.bu.edu/ftp/asl/asllvd/demos/verify_start_end_handshape_annotations//test_auto_move//signs_mov_separ_signers/Brady_5233.mov","MOV")</f>
        <v>21</v>
      </c>
      <c r="M6145" t="s" s="10">
        <v>39</v>
      </c>
      <c r="N6145" s="17">
        <v>45</v>
      </c>
      <c r="O6145" s="18">
        <v>4733</v>
      </c>
      <c r="P6145" s="18">
        <v>4764</v>
      </c>
      <c r="Q6145" s="15"/>
      <c r="R6145" t="s" s="16">
        <f>HYPERLINK("http://secrets.rutgers.edu:8080/data/asl-ftp/asllvd/demos/verify_start_end_handshape_annotations//test_auto_move//signs_mov_separ_signers/Brady_5233.mov","MOV")</f>
        <v>21</v>
      </c>
    </row>
    <row r="6146" s="2" customFormat="1" ht="13.5" customHeight="1">
      <c r="B6146" t="s" s="8">
        <v>2101</v>
      </c>
      <c r="C6146" t="s" s="9">
        <v>14</v>
      </c>
      <c r="D6146" t="s" s="8">
        <v>14</v>
      </c>
      <c r="E6146" t="s" s="9">
        <v>14</v>
      </c>
      <c r="F6146" t="s" s="10">
        <v>14</v>
      </c>
      <c r="G6146" t="s" s="11">
        <v>14</v>
      </c>
      <c r="H6146" t="s" s="10">
        <v>14</v>
      </c>
      <c r="I6146" t="s" s="11">
        <v>14</v>
      </c>
      <c r="J6146" t="s" s="11">
        <v>14</v>
      </c>
      <c r="K6146" t="s" s="12">
        <v>14</v>
      </c>
      <c r="L6146" t="s" s="12">
        <v>14</v>
      </c>
      <c r="M6146" t="s" s="10">
        <v>14</v>
      </c>
      <c r="N6146" t="s" s="11">
        <v>14</v>
      </c>
      <c r="O6146" t="s" s="8">
        <v>14</v>
      </c>
      <c r="P6146" t="s" s="8">
        <v>14</v>
      </c>
      <c r="Q6146" t="s" s="12">
        <v>14</v>
      </c>
      <c r="R6146" t="s" s="12">
        <v>14</v>
      </c>
    </row>
    <row r="6147" s="2" customFormat="1" ht="13.5" customHeight="1">
      <c r="B6147" s="13"/>
      <c r="C6147" t="s" s="9">
        <v>16</v>
      </c>
      <c r="D6147" t="s" s="8">
        <v>2101</v>
      </c>
      <c r="E6147" t="s" s="9">
        <v>2102</v>
      </c>
      <c r="F6147" t="s" s="10">
        <v>63</v>
      </c>
      <c r="G6147" t="s" s="11">
        <v>73</v>
      </c>
      <c r="H6147" t="s" s="10">
        <v>63</v>
      </c>
      <c r="I6147" t="s" s="11">
        <v>73</v>
      </c>
      <c r="J6147" t="s" s="11">
        <v>20</v>
      </c>
      <c r="K6147" s="15"/>
      <c r="L6147" t="s" s="16">
        <f>HYPERLINK("http://csr.bu.edu/ftp/asl/asllvd/demos/verify_start_end_handshape_annotations//test_auto_move//signs_mov_separ_signers/Liz_1344.mov","MOV")</f>
        <v>21</v>
      </c>
      <c r="M6147" t="s" s="10">
        <v>34</v>
      </c>
      <c r="N6147" s="17">
        <v>42</v>
      </c>
      <c r="O6147" s="18">
        <v>1332</v>
      </c>
      <c r="P6147" s="18">
        <v>1372</v>
      </c>
      <c r="Q6147" s="15"/>
      <c r="R6147" t="s" s="16">
        <f>HYPERLINK("http://secrets.rutgers.edu:8080/data/asl-ftp/asllvd/demos/verify_start_end_handshape_annotations//test_auto_move//signs_mov_separ_signers/Liz_1344.mov","MOV")</f>
        <v>21</v>
      </c>
    </row>
    <row r="6148" s="2" customFormat="1" ht="13.5" customHeight="1">
      <c r="B6148" s="13"/>
      <c r="C6148" t="s" s="9">
        <v>27</v>
      </c>
      <c r="D6148" t="s" s="8">
        <v>2101</v>
      </c>
      <c r="E6148" t="s" s="9">
        <v>2102</v>
      </c>
      <c r="F6148" t="s" s="10">
        <v>63</v>
      </c>
      <c r="G6148" t="s" s="11">
        <v>73</v>
      </c>
      <c r="H6148" t="s" s="10">
        <v>63</v>
      </c>
      <c r="I6148" t="s" s="11">
        <v>73</v>
      </c>
      <c r="J6148" t="s" s="11">
        <v>20</v>
      </c>
      <c r="K6148" t="s" s="16">
        <f>HYPERLINK("http://csr.bu.edu/ftp/asl/asllvd/demos/verify_start_end_handshape_annotations//test_auto_move//signs_mov/1344.mov","MOV")</f>
        <v>21</v>
      </c>
      <c r="L6148" t="s" s="16">
        <f>HYPERLINK("http://csr.bu.edu/ftp/asl/asllvd/demos/verify_start_end_handshape_annotations//test_auto_move//signs_mov_separ_signers/Naomi_1344.mov","MOV")</f>
        <v>21</v>
      </c>
      <c r="M6148" t="s" s="10">
        <v>38</v>
      </c>
      <c r="N6148" s="17">
        <v>35</v>
      </c>
      <c r="O6148" s="18">
        <v>1190</v>
      </c>
      <c r="P6148" s="18">
        <v>1225</v>
      </c>
      <c r="Q6148" t="s" s="16">
        <f>HYPERLINK("http://secrets.rutgers.edu:8080/data/asl-ftp/asllvd/demos/verify_start_end_handshape_annotations//test_auto_move//signs_mov/1344.mov","MOV")</f>
        <v>21</v>
      </c>
      <c r="R6148" t="s" s="16">
        <f>HYPERLINK("http://secrets.rutgers.edu:8080/data/asl-ftp/asllvd/demos/verify_start_end_handshape_annotations//test_auto_move//signs_mov_separ_signers/Naomi_1344.mov","MOV")</f>
        <v>21</v>
      </c>
    </row>
    <row r="6149" s="2" customFormat="1" ht="13.5" customHeight="1">
      <c r="B6149" s="13"/>
      <c r="C6149" t="s" s="9">
        <v>30</v>
      </c>
      <c r="D6149" t="s" s="8">
        <v>2101</v>
      </c>
      <c r="E6149" t="s" s="9">
        <v>2102</v>
      </c>
      <c r="F6149" t="s" s="10">
        <v>63</v>
      </c>
      <c r="G6149" t="s" s="11">
        <v>73</v>
      </c>
      <c r="H6149" t="s" s="10">
        <v>63</v>
      </c>
      <c r="I6149" t="s" s="11">
        <v>73</v>
      </c>
      <c r="J6149" t="s" s="11">
        <v>20</v>
      </c>
      <c r="K6149" s="15"/>
      <c r="L6149" t="s" s="16">
        <f>HYPERLINK("http://csr.bu.edu/ftp/asl/asllvd/demos/verify_start_end_handshape_annotations//test_auto_move//signs_mov_separ_signers/Brady_1344.mov","MOV")</f>
        <v>21</v>
      </c>
      <c r="M6149" t="s" s="10">
        <v>39</v>
      </c>
      <c r="N6149" s="17">
        <v>45</v>
      </c>
      <c r="O6149" s="18">
        <v>5001</v>
      </c>
      <c r="P6149" s="18">
        <v>5023</v>
      </c>
      <c r="Q6149" s="15"/>
      <c r="R6149" t="s" s="16">
        <f>HYPERLINK("http://secrets.rutgers.edu:8080/data/asl-ftp/asllvd/demos/verify_start_end_handshape_annotations//test_auto_move//signs_mov_separ_signers/Brady_1344.mov","MOV")</f>
        <v>21</v>
      </c>
    </row>
    <row r="6150" s="2" customFormat="1" ht="13.5" customHeight="1">
      <c r="B6150" t="s" s="8">
        <v>52</v>
      </c>
      <c r="C6150" t="s" s="9">
        <v>53</v>
      </c>
      <c r="D6150" t="s" s="8">
        <v>53</v>
      </c>
      <c r="E6150" t="s" s="9">
        <v>53</v>
      </c>
      <c r="F6150" t="s" s="10">
        <v>53</v>
      </c>
      <c r="G6150" t="s" s="11">
        <v>53</v>
      </c>
      <c r="H6150" t="s" s="10">
        <v>53</v>
      </c>
      <c r="I6150" t="s" s="11">
        <v>53</v>
      </c>
      <c r="J6150" t="s" s="11">
        <v>53</v>
      </c>
      <c r="K6150" t="s" s="12">
        <v>53</v>
      </c>
      <c r="L6150" t="s" s="12">
        <v>53</v>
      </c>
      <c r="M6150" t="s" s="10">
        <v>53</v>
      </c>
      <c r="N6150" t="s" s="11">
        <v>53</v>
      </c>
      <c r="O6150" t="s" s="8">
        <v>53</v>
      </c>
      <c r="P6150" t="s" s="8">
        <v>53</v>
      </c>
      <c r="Q6150" t="s" s="12">
        <v>53</v>
      </c>
      <c r="R6150" t="s" s="12">
        <v>53</v>
      </c>
    </row>
    <row r="6151" s="2" customFormat="1" ht="13.5" customHeight="1">
      <c r="B6151" s="13"/>
      <c r="C6151" t="s" s="9">
        <v>23</v>
      </c>
      <c r="D6151" t="s" s="8">
        <v>2101</v>
      </c>
      <c r="E6151" t="s" s="9">
        <v>2103</v>
      </c>
      <c r="F6151" t="s" s="10">
        <v>63</v>
      </c>
      <c r="G6151" t="s" s="11">
        <v>55</v>
      </c>
      <c r="H6151" t="s" s="10">
        <v>63</v>
      </c>
      <c r="I6151" t="s" s="11">
        <v>55</v>
      </c>
      <c r="J6151" t="s" s="11">
        <v>20</v>
      </c>
      <c r="K6151" t="s" s="16">
        <f>HYPERLINK("http://csr.bu.edu/ftp/asl/asllvd/demos/verify_start_end_handshape_annotations//test_auto_move//signs_mov/15138.mov","MOV")</f>
        <v>21</v>
      </c>
      <c r="L6151" t="s" s="16">
        <f>HYPERLINK("http://csr.bu.edu/ftp/asl/asllvd/demos/verify_start_end_handshape_annotations//test_auto_move//signs_mov_separ_signers/Tyler_15138.mov","MOV")</f>
        <v>21</v>
      </c>
      <c r="M6151" t="s" s="10">
        <v>37</v>
      </c>
      <c r="N6151" s="17">
        <v>15</v>
      </c>
      <c r="O6151" s="18">
        <v>1000</v>
      </c>
      <c r="P6151" s="18">
        <v>1035</v>
      </c>
      <c r="Q6151" t="s" s="16">
        <f>HYPERLINK("http://secrets.rutgers.edu:8080/data/asl-ftp/asllvd/demos/verify_start_end_handshape_annotations//test_auto_move//signs_mov/15138.mov","MOV")</f>
        <v>21</v>
      </c>
      <c r="R6151" t="s" s="16">
        <f>HYPERLINK("http://secrets.rutgers.edu:8080/data/asl-ftp/asllvd/demos/verify_start_end_handshape_annotations//test_auto_move//signs_mov_separ_signers/Tyler_15138.mov","MOV")</f>
        <v>21</v>
      </c>
    </row>
    <row r="6152" s="2" customFormat="1" ht="13.5" customHeight="1">
      <c r="B6152" t="s" s="8">
        <v>2104</v>
      </c>
      <c r="C6152" t="s" s="9">
        <v>14</v>
      </c>
      <c r="D6152" t="s" s="8">
        <v>14</v>
      </c>
      <c r="E6152" t="s" s="9">
        <v>14</v>
      </c>
      <c r="F6152" t="s" s="10">
        <v>14</v>
      </c>
      <c r="G6152" t="s" s="11">
        <v>14</v>
      </c>
      <c r="H6152" t="s" s="10">
        <v>14</v>
      </c>
      <c r="I6152" t="s" s="11">
        <v>14</v>
      </c>
      <c r="J6152" t="s" s="11">
        <v>14</v>
      </c>
      <c r="K6152" t="s" s="12">
        <v>14</v>
      </c>
      <c r="L6152" t="s" s="12">
        <v>14</v>
      </c>
      <c r="M6152" t="s" s="10">
        <v>14</v>
      </c>
      <c r="N6152" t="s" s="11">
        <v>14</v>
      </c>
      <c r="O6152" t="s" s="8">
        <v>14</v>
      </c>
      <c r="P6152" t="s" s="8">
        <v>14</v>
      </c>
      <c r="Q6152" t="s" s="12">
        <v>14</v>
      </c>
      <c r="R6152" t="s" s="12">
        <v>14</v>
      </c>
    </row>
    <row r="6153" s="2" customFormat="1" ht="13.5" customHeight="1">
      <c r="B6153" s="13"/>
      <c r="C6153" t="s" s="9">
        <v>16</v>
      </c>
      <c r="D6153" t="s" s="8">
        <v>2104</v>
      </c>
      <c r="E6153" t="s" s="9">
        <v>2105</v>
      </c>
      <c r="F6153" t="s" s="10">
        <v>80</v>
      </c>
      <c r="G6153" s="14"/>
      <c r="H6153" t="s" s="10">
        <v>80</v>
      </c>
      <c r="I6153" s="14"/>
      <c r="J6153" t="s" s="11">
        <v>20</v>
      </c>
      <c r="K6153" s="15"/>
      <c r="L6153" t="s" s="16">
        <f>HYPERLINK("http://csr.bu.edu/ftp/asl/asllvd/demos/verify_start_end_handshape_annotations//test_auto_move//signs_mov_separ_signers/Liz_1345.mov","MOV")</f>
        <v>21</v>
      </c>
      <c r="M6153" t="s" s="10">
        <v>34</v>
      </c>
      <c r="N6153" s="17">
        <v>42</v>
      </c>
      <c r="O6153" s="18">
        <v>1550</v>
      </c>
      <c r="P6153" s="18">
        <v>1580</v>
      </c>
      <c r="Q6153" s="15"/>
      <c r="R6153" t="s" s="16">
        <f>HYPERLINK("http://secrets.rutgers.edu:8080/data/asl-ftp/asllvd/demos/verify_start_end_handshape_annotations//test_auto_move//signs_mov_separ_signers/Liz_1345.mov","MOV")</f>
        <v>21</v>
      </c>
    </row>
    <row r="6154" s="2" customFormat="1" ht="13.5" customHeight="1">
      <c r="B6154" s="13"/>
      <c r="C6154" t="s" s="9">
        <v>16</v>
      </c>
      <c r="D6154" t="s" s="8">
        <v>2104</v>
      </c>
      <c r="E6154" t="s" s="9">
        <v>2105</v>
      </c>
      <c r="F6154" t="s" s="10">
        <v>80</v>
      </c>
      <c r="G6154" s="14"/>
      <c r="H6154" t="s" s="10">
        <v>80</v>
      </c>
      <c r="I6154" s="14"/>
      <c r="J6154" t="s" s="11">
        <v>20</v>
      </c>
      <c r="K6154" s="15"/>
      <c r="L6154" t="s" s="16">
        <f>HYPERLINK("http://csr.bu.edu/ftp/asl/asllvd/demos/verify_start_end_handshape_annotations//test_auto_move//signs_mov_separ_signers/Liz_3401.mov","MOV")</f>
        <v>21</v>
      </c>
      <c r="M6154" t="s" s="10">
        <v>77</v>
      </c>
      <c r="N6154" s="17">
        <v>27</v>
      </c>
      <c r="O6154" s="18">
        <v>2105</v>
      </c>
      <c r="P6154" s="18">
        <v>2155</v>
      </c>
      <c r="Q6154" s="15"/>
      <c r="R6154" t="s" s="16">
        <f>HYPERLINK("http://secrets.rutgers.edu:8080/data/asl-ftp/asllvd/demos/verify_start_end_handshape_annotations//test_auto_move//signs_mov_separ_signers/Liz_3401.mov","MOV")</f>
        <v>21</v>
      </c>
    </row>
    <row r="6155" s="2" customFormat="1" ht="13.5" customHeight="1">
      <c r="B6155" s="13"/>
      <c r="C6155" t="s" s="9">
        <v>23</v>
      </c>
      <c r="D6155" t="s" s="8">
        <v>2104</v>
      </c>
      <c r="E6155" t="s" s="9">
        <v>2106</v>
      </c>
      <c r="F6155" t="s" s="10">
        <v>80</v>
      </c>
      <c r="G6155" s="14"/>
      <c r="H6155" t="s" s="10">
        <v>80</v>
      </c>
      <c r="I6155" s="14"/>
      <c r="J6155" t="s" s="11">
        <v>20</v>
      </c>
      <c r="K6155" s="15"/>
      <c r="L6155" t="s" s="16">
        <f>HYPERLINK("http://csr.bu.edu/ftp/asl/asllvd/demos/verify_start_end_handshape_annotations//test_auto_move//signs_mov_separ_signers/Tyler_1345.mov","MOV")</f>
        <v>21</v>
      </c>
      <c r="M6155" t="s" s="10">
        <v>37</v>
      </c>
      <c r="N6155" s="17">
        <v>15</v>
      </c>
      <c r="O6155" s="18">
        <v>1175</v>
      </c>
      <c r="P6155" s="18">
        <v>1211</v>
      </c>
      <c r="Q6155" s="15"/>
      <c r="R6155" t="s" s="16">
        <f>HYPERLINK("http://secrets.rutgers.edu:8080/data/asl-ftp/asllvd/demos/verify_start_end_handshape_annotations//test_auto_move//signs_mov_separ_signers/Tyler_1345.mov","MOV")</f>
        <v>21</v>
      </c>
    </row>
    <row r="6156" s="2" customFormat="1" ht="13.5" customHeight="1">
      <c r="B6156" s="13"/>
      <c r="C6156" t="s" s="9">
        <v>27</v>
      </c>
      <c r="D6156" t="s" s="8">
        <v>2104</v>
      </c>
      <c r="E6156" t="s" s="9">
        <v>2106</v>
      </c>
      <c r="F6156" t="s" s="10">
        <v>80</v>
      </c>
      <c r="G6156" s="14"/>
      <c r="H6156" t="s" s="10">
        <v>80</v>
      </c>
      <c r="I6156" s="14"/>
      <c r="J6156" t="s" s="11">
        <v>20</v>
      </c>
      <c r="K6156" t="s" s="16">
        <f>HYPERLINK("http://csr.bu.edu/ftp/asl/asllvd/demos/verify_start_end_handshape_annotations//test_auto_move//signs_mov/1345_3401_merged.mov","MOV")</f>
        <v>21</v>
      </c>
      <c r="L6156" t="s" s="16">
        <f>HYPERLINK("http://csr.bu.edu/ftp/asl/asllvd/demos/verify_start_end_handshape_annotations//test_auto_move//signs_mov_separ_signers/Naomi_1345.mov","MOV")</f>
        <v>21</v>
      </c>
      <c r="M6156" t="s" s="10">
        <v>38</v>
      </c>
      <c r="N6156" s="17">
        <v>35</v>
      </c>
      <c r="O6156" s="18">
        <v>1428</v>
      </c>
      <c r="P6156" s="18">
        <v>1466</v>
      </c>
      <c r="Q6156" t="s" s="16">
        <f>HYPERLINK("http://secrets.rutgers.edu:8080/data/asl-ftp/asllvd/demos/verify_start_end_handshape_annotations//test_auto_move//signs_mov/1345_3401_merged.mov","MOV")</f>
        <v>21</v>
      </c>
      <c r="R6156" t="s" s="16">
        <f>HYPERLINK("http://secrets.rutgers.edu:8080/data/asl-ftp/asllvd/demos/verify_start_end_handshape_annotations//test_auto_move//signs_mov_separ_signers/Naomi_1345.mov","MOV")</f>
        <v>21</v>
      </c>
    </row>
    <row r="6157" s="2" customFormat="1" ht="13.5" customHeight="1">
      <c r="B6157" s="13"/>
      <c r="C6157" t="s" s="9">
        <v>30</v>
      </c>
      <c r="D6157" t="s" s="8">
        <v>2104</v>
      </c>
      <c r="E6157" t="s" s="9">
        <v>2106</v>
      </c>
      <c r="F6157" t="s" s="10">
        <v>80</v>
      </c>
      <c r="G6157" s="14"/>
      <c r="H6157" t="s" s="10">
        <v>80</v>
      </c>
      <c r="I6157" s="14"/>
      <c r="J6157" t="s" s="11">
        <v>20</v>
      </c>
      <c r="K6157" s="15"/>
      <c r="L6157" t="s" s="16">
        <f>HYPERLINK("http://csr.bu.edu/ftp/asl/asllvd/demos/verify_start_end_handshape_annotations//test_auto_move//signs_mov_separ_signers/Brady_1345.mov","MOV")</f>
        <v>21</v>
      </c>
      <c r="M6157" t="s" s="10">
        <v>39</v>
      </c>
      <c r="N6157" s="17">
        <v>16</v>
      </c>
      <c r="O6157" s="18">
        <v>268</v>
      </c>
      <c r="P6157" s="18">
        <v>302</v>
      </c>
      <c r="Q6157" s="15"/>
      <c r="R6157" t="s" s="16">
        <f>HYPERLINK("http://secrets.rutgers.edu:8080/data/asl-ftp/asllvd/demos/verify_start_end_handshape_annotations//test_auto_move//signs_mov_separ_signers/Brady_1345.mov","MOV")</f>
        <v>21</v>
      </c>
    </row>
    <row r="6158" s="2" customFormat="1" ht="13.5" customHeight="1">
      <c r="B6158" s="13"/>
      <c r="C6158" t="s" s="9">
        <v>30</v>
      </c>
      <c r="D6158" t="s" s="8">
        <v>2104</v>
      </c>
      <c r="E6158" t="s" s="9">
        <v>2106</v>
      </c>
      <c r="F6158" t="s" s="10">
        <v>80</v>
      </c>
      <c r="G6158" s="14"/>
      <c r="H6158" t="s" s="10">
        <v>80</v>
      </c>
      <c r="I6158" s="14"/>
      <c r="J6158" t="s" s="11">
        <v>20</v>
      </c>
      <c r="K6158" s="15"/>
      <c r="L6158" t="s" s="16">
        <f>HYPERLINK("http://csr.bu.edu/ftp/asl/asllvd/demos/verify_start_end_handshape_annotations//test_auto_move//signs_mov_separ_signers/Brady_3401.mov","MOV")</f>
        <v>21</v>
      </c>
      <c r="M6158" t="s" s="10">
        <v>39</v>
      </c>
      <c r="N6158" s="17">
        <v>45</v>
      </c>
      <c r="O6158" s="18">
        <v>5224</v>
      </c>
      <c r="P6158" s="18">
        <v>5248</v>
      </c>
      <c r="Q6158" s="15"/>
      <c r="R6158" t="s" s="16">
        <f>HYPERLINK("http://secrets.rutgers.edu:8080/data/asl-ftp/asllvd/demos/verify_start_end_handshape_annotations//test_auto_move//signs_mov_separ_signers/Brady_3401.mov","MOV")</f>
        <v>21</v>
      </c>
    </row>
    <row r="6159" s="2" customFormat="1" ht="13.5" customHeight="1">
      <c r="B6159" s="13"/>
      <c r="C6159" t="s" s="9">
        <v>41</v>
      </c>
      <c r="D6159" t="s" s="8">
        <v>2104</v>
      </c>
      <c r="E6159" t="s" s="9">
        <v>2105</v>
      </c>
      <c r="F6159" t="s" s="10">
        <v>85</v>
      </c>
      <c r="G6159" s="14"/>
      <c r="H6159" t="s" s="10">
        <v>85</v>
      </c>
      <c r="I6159" s="14"/>
      <c r="J6159" t="s" s="11">
        <v>20</v>
      </c>
      <c r="K6159" s="15"/>
      <c r="L6159" t="s" s="16">
        <f>HYPERLINK("http://csr.bu.edu/ftp/asl/asllvd/demos/verify_start_end_handshape_annotations//test_auto_move//signs_mov_separ_signers/Lana_1345.mov","MOV")</f>
        <v>21</v>
      </c>
      <c r="M6159" t="s" s="10">
        <v>245</v>
      </c>
      <c r="N6159" s="17">
        <v>22</v>
      </c>
      <c r="O6159" s="18">
        <v>1604</v>
      </c>
      <c r="P6159" s="18">
        <v>1643</v>
      </c>
      <c r="Q6159" s="15"/>
      <c r="R6159" t="s" s="16">
        <f>HYPERLINK("http://secrets.rutgers.edu:8080/data/asl-ftp/asllvd/demos/verify_start_end_handshape_annotations//test_auto_move//signs_mov_separ_signers/Lana_1345.mov","MOV")</f>
        <v>21</v>
      </c>
    </row>
    <row r="6160" s="2" customFormat="1" ht="13.5" customHeight="1">
      <c r="B6160" t="s" s="8">
        <v>2107</v>
      </c>
      <c r="C6160" t="s" s="9">
        <v>14</v>
      </c>
      <c r="D6160" t="s" s="8">
        <v>14</v>
      </c>
      <c r="E6160" t="s" s="9">
        <v>14</v>
      </c>
      <c r="F6160" t="s" s="10">
        <v>14</v>
      </c>
      <c r="G6160" t="s" s="11">
        <v>14</v>
      </c>
      <c r="H6160" t="s" s="10">
        <v>14</v>
      </c>
      <c r="I6160" t="s" s="11">
        <v>14</v>
      </c>
      <c r="J6160" t="s" s="11">
        <v>14</v>
      </c>
      <c r="K6160" t="s" s="12">
        <v>14</v>
      </c>
      <c r="L6160" t="s" s="12">
        <v>14</v>
      </c>
      <c r="M6160" t="s" s="10">
        <v>14</v>
      </c>
      <c r="N6160" t="s" s="11">
        <v>14</v>
      </c>
      <c r="O6160" t="s" s="8">
        <v>14</v>
      </c>
      <c r="P6160" t="s" s="8">
        <v>14</v>
      </c>
      <c r="Q6160" t="s" s="12">
        <v>14</v>
      </c>
      <c r="R6160" t="s" s="12">
        <v>14</v>
      </c>
    </row>
    <row r="6161" s="2" customFormat="1" ht="13.5" customHeight="1">
      <c r="B6161" s="13"/>
      <c r="C6161" t="s" s="9">
        <v>16</v>
      </c>
      <c r="D6161" t="s" s="8">
        <v>2108</v>
      </c>
      <c r="E6161" t="s" s="9">
        <v>2108</v>
      </c>
      <c r="F6161" t="s" s="10">
        <v>73</v>
      </c>
      <c r="G6161" s="14"/>
      <c r="H6161" t="s" s="10">
        <v>73</v>
      </c>
      <c r="I6161" s="14"/>
      <c r="J6161" t="s" s="11">
        <v>20</v>
      </c>
      <c r="K6161" s="15"/>
      <c r="L6161" t="s" s="16">
        <f>HYPERLINK("http://csr.bu.edu/ftp/asl/asllvd/demos/verify_start_end_handshape_annotations//test_auto_move//signs_mov_separ_signers/Liz_4673.mov","MOV")</f>
        <v>21</v>
      </c>
      <c r="M6161" t="s" s="10">
        <v>84</v>
      </c>
      <c r="N6161" s="17">
        <v>22</v>
      </c>
      <c r="O6161" s="18">
        <v>919</v>
      </c>
      <c r="P6161" s="18">
        <v>955</v>
      </c>
      <c r="Q6161" s="15"/>
      <c r="R6161" t="s" s="16">
        <f>HYPERLINK("http://secrets.rutgers.edu:8080/data/asl-ftp/asllvd/demos/verify_start_end_handshape_annotations//test_auto_move//signs_mov_separ_signers/Liz_4673.mov","MOV")</f>
        <v>21</v>
      </c>
    </row>
    <row r="6162" s="2" customFormat="1" ht="13.5" customHeight="1">
      <c r="B6162" s="13"/>
      <c r="C6162" t="s" s="9">
        <v>23</v>
      </c>
      <c r="D6162" t="s" s="8">
        <v>2108</v>
      </c>
      <c r="E6162" t="s" s="9">
        <v>2108</v>
      </c>
      <c r="F6162" t="s" s="10">
        <v>73</v>
      </c>
      <c r="G6162" s="14"/>
      <c r="H6162" t="s" s="10">
        <v>73</v>
      </c>
      <c r="I6162" s="14"/>
      <c r="J6162" t="s" s="11">
        <v>20</v>
      </c>
      <c r="K6162" s="15"/>
      <c r="L6162" t="s" s="16">
        <f>HYPERLINK("http://csr.bu.edu/ftp/asl/asllvd/demos/verify_start_end_handshape_annotations//test_auto_move//signs_mov_separ_signers/Tyler_4673.mov","MOV")</f>
        <v>21</v>
      </c>
      <c r="M6162" t="s" s="10">
        <v>92</v>
      </c>
      <c r="N6162" s="17">
        <v>2</v>
      </c>
      <c r="O6162" s="18">
        <v>1235</v>
      </c>
      <c r="P6162" s="18">
        <v>1255</v>
      </c>
      <c r="Q6162" s="15"/>
      <c r="R6162" t="s" s="16">
        <f>HYPERLINK("http://secrets.rutgers.edu:8080/data/asl-ftp/asllvd/demos/verify_start_end_handshape_annotations//test_auto_move//signs_mov_separ_signers/Tyler_4673.mov","MOV")</f>
        <v>21</v>
      </c>
    </row>
    <row r="6163" s="2" customFormat="1" ht="13.5" customHeight="1">
      <c r="B6163" s="13"/>
      <c r="C6163" t="s" s="9">
        <v>27</v>
      </c>
      <c r="D6163" t="s" s="8">
        <v>2108</v>
      </c>
      <c r="E6163" t="s" s="9">
        <v>2108</v>
      </c>
      <c r="F6163" t="s" s="10">
        <v>73</v>
      </c>
      <c r="G6163" s="14"/>
      <c r="H6163" t="s" s="10">
        <v>73</v>
      </c>
      <c r="I6163" s="14"/>
      <c r="J6163" t="s" s="11">
        <v>20</v>
      </c>
      <c r="K6163" s="15"/>
      <c r="L6163" t="s" s="16">
        <f>HYPERLINK("http://csr.bu.edu/ftp/asl/asllvd/demos/verify_start_end_handshape_annotations//test_auto_move//signs_mov_separ_signers/Naomi_4673.mov","MOV")</f>
        <v>21</v>
      </c>
      <c r="M6163" t="s" s="10">
        <v>86</v>
      </c>
      <c r="N6163" s="17">
        <v>22</v>
      </c>
      <c r="O6163" s="18">
        <v>838</v>
      </c>
      <c r="P6163" s="18">
        <v>850</v>
      </c>
      <c r="Q6163" s="15"/>
      <c r="R6163" t="s" s="16">
        <f>HYPERLINK("http://secrets.rutgers.edu:8080/data/asl-ftp/asllvd/demos/verify_start_end_handshape_annotations//test_auto_move//signs_mov_separ_signers/Naomi_4673.mov","MOV")</f>
        <v>21</v>
      </c>
    </row>
    <row r="6164" s="2" customFormat="1" ht="13.5" customHeight="1">
      <c r="B6164" s="13"/>
      <c r="C6164" t="s" s="9">
        <v>30</v>
      </c>
      <c r="D6164" t="s" s="8">
        <v>2108</v>
      </c>
      <c r="E6164" t="s" s="9">
        <v>2108</v>
      </c>
      <c r="F6164" t="s" s="10">
        <v>73</v>
      </c>
      <c r="G6164" s="14"/>
      <c r="H6164" t="s" s="10">
        <v>73</v>
      </c>
      <c r="I6164" s="14"/>
      <c r="J6164" t="s" s="11">
        <v>20</v>
      </c>
      <c r="K6164" t="s" s="16">
        <f>HYPERLINK("http://csr.bu.edu/ftp/asl/asllvd/demos/verify_start_end_handshape_annotations//test_auto_move//signs_mov/4673_16232_merged.mov","MOV")</f>
        <v>21</v>
      </c>
      <c r="L6164" t="s" s="16">
        <f>HYPERLINK("http://csr.bu.edu/ftp/asl/asllvd/demos/verify_start_end_handshape_annotations//test_auto_move//signs_mov_separ_signers/Brady_4673.mov","MOV")</f>
        <v>21</v>
      </c>
      <c r="M6164" t="s" s="10">
        <v>31</v>
      </c>
      <c r="N6164" s="17">
        <v>38</v>
      </c>
      <c r="O6164" s="18">
        <v>1511</v>
      </c>
      <c r="P6164" s="18">
        <v>1523</v>
      </c>
      <c r="Q6164" t="s" s="16">
        <f>HYPERLINK("http://secrets.rutgers.edu:8080/data/asl-ftp/asllvd/demos/verify_start_end_handshape_annotations//test_auto_move//signs_mov/4673_16232_merged.mov","MOV")</f>
        <v>21</v>
      </c>
      <c r="R6164" t="s" s="16">
        <f>HYPERLINK("http://secrets.rutgers.edu:8080/data/asl-ftp/asllvd/demos/verify_start_end_handshape_annotations//test_auto_move//signs_mov_separ_signers/Brady_4673.mov","MOV")</f>
        <v>21</v>
      </c>
    </row>
    <row r="6165" s="2" customFormat="1" ht="13.5" customHeight="1">
      <c r="B6165" s="13"/>
      <c r="C6165" t="s" s="9">
        <v>30</v>
      </c>
      <c r="D6165" t="s" s="8">
        <v>2108</v>
      </c>
      <c r="E6165" t="s" s="9">
        <v>2108</v>
      </c>
      <c r="F6165" t="s" s="10">
        <v>73</v>
      </c>
      <c r="G6165" s="14"/>
      <c r="H6165" t="s" s="10">
        <v>73</v>
      </c>
      <c r="I6165" s="14"/>
      <c r="J6165" t="s" s="11">
        <v>20</v>
      </c>
      <c r="K6165" s="15"/>
      <c r="L6165" t="s" s="16">
        <f>HYPERLINK("http://csr.bu.edu/ftp/asl/asllvd/demos/verify_start_end_handshape_annotations//test_auto_move//signs_mov_separ_signers/Brady_16232.mov","MOV")</f>
        <v>21</v>
      </c>
      <c r="M6165" t="s" s="10">
        <v>39</v>
      </c>
      <c r="N6165" s="17">
        <v>45</v>
      </c>
      <c r="O6165" s="18">
        <v>5739</v>
      </c>
      <c r="P6165" s="18">
        <v>5753</v>
      </c>
      <c r="Q6165" s="15"/>
      <c r="R6165" t="s" s="16">
        <f>HYPERLINK("http://secrets.rutgers.edu:8080/data/asl-ftp/asllvd/demos/verify_start_end_handshape_annotations//test_auto_move//signs_mov_separ_signers/Brady_16232.mov","MOV")</f>
        <v>21</v>
      </c>
    </row>
    <row r="6166" s="2" customFormat="1" ht="13.5" customHeight="1">
      <c r="B6166" s="13"/>
      <c r="C6166" t="s" s="9">
        <v>41</v>
      </c>
      <c r="D6166" t="s" s="8">
        <v>2108</v>
      </c>
      <c r="E6166" t="s" s="9">
        <v>2108</v>
      </c>
      <c r="F6166" t="s" s="10">
        <v>73</v>
      </c>
      <c r="G6166" s="14"/>
      <c r="H6166" t="s" s="10">
        <v>73</v>
      </c>
      <c r="I6166" s="14"/>
      <c r="J6166" t="s" s="11">
        <v>20</v>
      </c>
      <c r="K6166" s="15"/>
      <c r="L6166" t="s" s="16">
        <f>HYPERLINK("http://csr.bu.edu/ftp/asl/asllvd/demos/verify_start_end_handshape_annotations//test_auto_move//signs_mov_separ_signers/Lana_4673.mov","MOV")</f>
        <v>21</v>
      </c>
      <c r="M6166" t="s" s="10">
        <v>42</v>
      </c>
      <c r="N6166" s="17">
        <v>7</v>
      </c>
      <c r="O6166" s="18">
        <v>1031</v>
      </c>
      <c r="P6166" s="18">
        <v>1066</v>
      </c>
      <c r="Q6166" s="15"/>
      <c r="R6166" t="s" s="16">
        <f>HYPERLINK("http://secrets.rutgers.edu:8080/data/asl-ftp/asllvd/demos/verify_start_end_handshape_annotations//test_auto_move//signs_mov_separ_signers/Lana_4673.mov","MOV")</f>
        <v>21</v>
      </c>
    </row>
    <row r="6167" s="2" customFormat="1" ht="13.5" customHeight="1">
      <c r="B6167" s="13"/>
      <c r="C6167" t="s" s="9">
        <v>43</v>
      </c>
      <c r="D6167" t="s" s="8">
        <v>2108</v>
      </c>
      <c r="E6167" t="s" s="9">
        <v>2108</v>
      </c>
      <c r="F6167" t="s" s="10">
        <v>73</v>
      </c>
      <c r="G6167" s="14"/>
      <c r="H6167" t="s" s="10">
        <v>73</v>
      </c>
      <c r="I6167" s="14"/>
      <c r="J6167" t="s" s="11">
        <v>20</v>
      </c>
      <c r="K6167" s="15"/>
      <c r="L6167" t="s" s="16">
        <f>HYPERLINK("http://csr.bu.edu/ftp/asl/asllvd/demos/verify_start_end_handshape_annotations//test_auto_move//signs_mov_separ_signers/Dana_4673.mov","MOV")</f>
        <v>21</v>
      </c>
      <c r="M6167" t="s" s="10">
        <v>44</v>
      </c>
      <c r="N6167" s="17">
        <v>11</v>
      </c>
      <c r="O6167" s="18">
        <v>1086</v>
      </c>
      <c r="P6167" s="18">
        <v>1127</v>
      </c>
      <c r="Q6167" s="15"/>
      <c r="R6167" t="s" s="16">
        <f>HYPERLINK("http://secrets.rutgers.edu:8080/data/asl-ftp/asllvd/demos/verify_start_end_handshape_annotations//test_auto_move//signs_mov_separ_signers/Dana_4673.mov","MOV")</f>
        <v>21</v>
      </c>
    </row>
    <row r="6168" s="2" customFormat="1" ht="13.5" customHeight="1">
      <c r="B6168" t="s" s="8">
        <v>2109</v>
      </c>
      <c r="C6168" t="s" s="9">
        <v>14</v>
      </c>
      <c r="D6168" t="s" s="8">
        <v>14</v>
      </c>
      <c r="E6168" t="s" s="9">
        <v>14</v>
      </c>
      <c r="F6168" t="s" s="10">
        <v>14</v>
      </c>
      <c r="G6168" t="s" s="11">
        <v>14</v>
      </c>
      <c r="H6168" t="s" s="10">
        <v>14</v>
      </c>
      <c r="I6168" t="s" s="11">
        <v>14</v>
      </c>
      <c r="J6168" t="s" s="11">
        <v>14</v>
      </c>
      <c r="K6168" t="s" s="12">
        <v>14</v>
      </c>
      <c r="L6168" t="s" s="12">
        <v>14</v>
      </c>
      <c r="M6168" t="s" s="10">
        <v>14</v>
      </c>
      <c r="N6168" t="s" s="11">
        <v>14</v>
      </c>
      <c r="O6168" t="s" s="8">
        <v>14</v>
      </c>
      <c r="P6168" t="s" s="8">
        <v>14</v>
      </c>
      <c r="Q6168" t="s" s="12">
        <v>14</v>
      </c>
      <c r="R6168" t="s" s="12">
        <v>14</v>
      </c>
    </row>
    <row r="6169" s="2" customFormat="1" ht="13.5" customHeight="1">
      <c r="B6169" s="13"/>
      <c r="C6169" t="s" s="9">
        <v>16</v>
      </c>
      <c r="D6169" t="s" s="8">
        <v>2109</v>
      </c>
      <c r="E6169" t="s" s="9">
        <v>2109</v>
      </c>
      <c r="F6169" t="s" s="10">
        <v>73</v>
      </c>
      <c r="G6169" s="14"/>
      <c r="H6169" t="s" s="10">
        <v>73</v>
      </c>
      <c r="I6169" s="14"/>
      <c r="J6169" t="s" s="11">
        <v>20</v>
      </c>
      <c r="K6169" s="15"/>
      <c r="L6169" t="s" s="16">
        <f>HYPERLINK("http://csr.bu.edu/ftp/asl/asllvd/demos/verify_start_end_handshape_annotations//test_auto_move//signs_mov_separ_signers/Liz_1346.mov","MOV")</f>
        <v>21</v>
      </c>
      <c r="M6169" t="s" s="10">
        <v>34</v>
      </c>
      <c r="N6169" s="17">
        <v>42</v>
      </c>
      <c r="O6169" s="18">
        <v>1800</v>
      </c>
      <c r="P6169" s="18">
        <v>1835</v>
      </c>
      <c r="Q6169" s="15"/>
      <c r="R6169" t="s" s="16">
        <f>HYPERLINK("http://secrets.rutgers.edu:8080/data/asl-ftp/asllvd/demos/verify_start_end_handshape_annotations//test_auto_move//signs_mov_separ_signers/Liz_1346.mov","MOV")</f>
        <v>21</v>
      </c>
    </row>
    <row r="6170" s="2" customFormat="1" ht="13.5" customHeight="1">
      <c r="B6170" s="13"/>
      <c r="C6170" t="s" s="9">
        <v>27</v>
      </c>
      <c r="D6170" t="s" s="8">
        <v>2109</v>
      </c>
      <c r="E6170" t="s" s="9">
        <v>2109</v>
      </c>
      <c r="F6170" t="s" s="10">
        <v>73</v>
      </c>
      <c r="G6170" s="14"/>
      <c r="H6170" t="s" s="10">
        <v>80</v>
      </c>
      <c r="I6170" s="14"/>
      <c r="J6170" t="s" s="11">
        <v>20</v>
      </c>
      <c r="K6170" t="s" s="16">
        <f>HYPERLINK("http://csr.bu.edu/ftp/asl/asllvd/demos/verify_start_end_handshape_annotations//test_auto_move//signs_mov/1346.mov","MOV")</f>
        <v>21</v>
      </c>
      <c r="L6170" t="s" s="16">
        <f>HYPERLINK("http://csr.bu.edu/ftp/asl/asllvd/demos/verify_start_end_handshape_annotations//test_auto_move//signs_mov_separ_signers/Naomi_1346.mov","MOV")</f>
        <v>21</v>
      </c>
      <c r="M6170" t="s" s="10">
        <v>38</v>
      </c>
      <c r="N6170" s="17">
        <v>35</v>
      </c>
      <c r="O6170" s="18">
        <v>1663</v>
      </c>
      <c r="P6170" s="18">
        <v>1688</v>
      </c>
      <c r="Q6170" t="s" s="16">
        <f>HYPERLINK("http://secrets.rutgers.edu:8080/data/asl-ftp/asllvd/demos/verify_start_end_handshape_annotations//test_auto_move//signs_mov/1346.mov","MOV")</f>
        <v>21</v>
      </c>
      <c r="R6170" t="s" s="16">
        <f>HYPERLINK("http://secrets.rutgers.edu:8080/data/asl-ftp/asllvd/demos/verify_start_end_handshape_annotations//test_auto_move//signs_mov_separ_signers/Naomi_1346.mov","MOV")</f>
        <v>21</v>
      </c>
    </row>
    <row r="6171" s="2" customFormat="1" ht="13.5" customHeight="1">
      <c r="B6171" s="13"/>
      <c r="C6171" t="s" s="9">
        <v>41</v>
      </c>
      <c r="D6171" t="s" s="8">
        <v>2109</v>
      </c>
      <c r="E6171" t="s" s="9">
        <v>2109</v>
      </c>
      <c r="F6171" t="s" s="10">
        <v>73</v>
      </c>
      <c r="G6171" s="14"/>
      <c r="H6171" t="s" s="10">
        <v>80</v>
      </c>
      <c r="I6171" s="14"/>
      <c r="J6171" t="s" s="11">
        <v>20</v>
      </c>
      <c r="K6171" s="15"/>
      <c r="L6171" t="s" s="16">
        <f>HYPERLINK("http://csr.bu.edu/ftp/asl/asllvd/demos/verify_start_end_handshape_annotations//test_auto_move//signs_mov_separ_signers/Lana_1346.mov","MOV")</f>
        <v>21</v>
      </c>
      <c r="M6171" t="s" s="10">
        <v>42</v>
      </c>
      <c r="N6171" s="17">
        <v>15</v>
      </c>
      <c r="O6171" s="18">
        <v>2641</v>
      </c>
      <c r="P6171" s="18">
        <v>2664</v>
      </c>
      <c r="Q6171" s="15"/>
      <c r="R6171" t="s" s="16">
        <f>HYPERLINK("http://secrets.rutgers.edu:8080/data/asl-ftp/asllvd/demos/verify_start_end_handshape_annotations//test_auto_move//signs_mov_separ_signers/Lana_1346.mov","MOV")</f>
        <v>21</v>
      </c>
    </row>
    <row r="6172" s="2" customFormat="1" ht="13.5" customHeight="1">
      <c r="B6172" t="s" s="8">
        <v>2110</v>
      </c>
      <c r="C6172" t="s" s="9">
        <v>14</v>
      </c>
      <c r="D6172" t="s" s="8">
        <v>14</v>
      </c>
      <c r="E6172" t="s" s="9">
        <v>14</v>
      </c>
      <c r="F6172" t="s" s="10">
        <v>14</v>
      </c>
      <c r="G6172" t="s" s="11">
        <v>14</v>
      </c>
      <c r="H6172" t="s" s="10">
        <v>14</v>
      </c>
      <c r="I6172" t="s" s="11">
        <v>14</v>
      </c>
      <c r="J6172" t="s" s="11">
        <v>14</v>
      </c>
      <c r="K6172" t="s" s="12">
        <v>14</v>
      </c>
      <c r="L6172" t="s" s="12">
        <v>14</v>
      </c>
      <c r="M6172" t="s" s="10">
        <v>14</v>
      </c>
      <c r="N6172" t="s" s="11">
        <v>14</v>
      </c>
      <c r="O6172" t="s" s="8">
        <v>14</v>
      </c>
      <c r="P6172" t="s" s="8">
        <v>14</v>
      </c>
      <c r="Q6172" t="s" s="12">
        <v>14</v>
      </c>
      <c r="R6172" t="s" s="12">
        <v>14</v>
      </c>
    </row>
    <row r="6173" s="2" customFormat="1" ht="13.5" customHeight="1">
      <c r="B6173" s="13"/>
      <c r="C6173" t="s" s="9">
        <v>23</v>
      </c>
      <c r="D6173" t="s" s="8">
        <v>2111</v>
      </c>
      <c r="E6173" t="s" s="9">
        <v>2111</v>
      </c>
      <c r="F6173" t="s" s="10">
        <v>80</v>
      </c>
      <c r="G6173" s="14"/>
      <c r="H6173" t="s" s="10">
        <v>136</v>
      </c>
      <c r="I6173" s="14"/>
      <c r="J6173" t="s" s="11">
        <v>20</v>
      </c>
      <c r="K6173" t="s" s="16">
        <f>HYPERLINK("http://csr.bu.edu/ftp/asl/asllvd/demos/verify_start_end_handshape_annotations//test_auto_move//signs_mov/5436.mov","MOV")</f>
        <v>21</v>
      </c>
      <c r="L6173" t="s" s="16">
        <f>HYPERLINK("http://csr.bu.edu/ftp/asl/asllvd/demos/verify_start_end_handshape_annotations//test_auto_move//signs_mov_separ_signers/Tyler_5436.mov","MOV")</f>
        <v>21</v>
      </c>
      <c r="M6173" t="s" s="10">
        <v>37</v>
      </c>
      <c r="N6173" s="17">
        <v>15</v>
      </c>
      <c r="O6173" s="18">
        <v>1417</v>
      </c>
      <c r="P6173" s="18">
        <v>1445</v>
      </c>
      <c r="Q6173" t="s" s="16">
        <f>HYPERLINK("http://secrets.rutgers.edu:8080/data/asl-ftp/asllvd/demos/verify_start_end_handshape_annotations//test_auto_move//signs_mov/5436.mov","MOV")</f>
        <v>21</v>
      </c>
      <c r="R6173" t="s" s="16">
        <f>HYPERLINK("http://secrets.rutgers.edu:8080/data/asl-ftp/asllvd/demos/verify_start_end_handshape_annotations//test_auto_move//signs_mov_separ_signers/Tyler_5436.mov","MOV")</f>
        <v>21</v>
      </c>
    </row>
    <row r="6174" s="2" customFormat="1" ht="13.5" customHeight="1">
      <c r="B6174" s="13"/>
      <c r="C6174" t="s" s="9">
        <v>43</v>
      </c>
      <c r="D6174" t="s" s="8">
        <v>2111</v>
      </c>
      <c r="E6174" t="s" s="9">
        <v>2110</v>
      </c>
      <c r="F6174" t="s" s="10">
        <v>73</v>
      </c>
      <c r="G6174" s="14"/>
      <c r="H6174" t="s" s="10">
        <v>136</v>
      </c>
      <c r="I6174" s="14"/>
      <c r="J6174" t="s" s="11">
        <v>20</v>
      </c>
      <c r="K6174" s="15"/>
      <c r="L6174" t="s" s="16">
        <f>HYPERLINK("http://csr.bu.edu/ftp/asl/asllvd/demos/verify_start_end_handshape_annotations//test_auto_move//signs_mov_separ_signers/Dana_5436.mov","MOV")</f>
        <v>21</v>
      </c>
      <c r="M6174" t="s" s="10">
        <v>44</v>
      </c>
      <c r="N6174" s="17">
        <v>18</v>
      </c>
      <c r="O6174" s="18">
        <v>2613</v>
      </c>
      <c r="P6174" s="18">
        <v>2645</v>
      </c>
      <c r="Q6174" s="15"/>
      <c r="R6174" t="s" s="16">
        <f>HYPERLINK("http://secrets.rutgers.edu:8080/data/asl-ftp/asllvd/demos/verify_start_end_handshape_annotations//test_auto_move//signs_mov_separ_signers/Dana_5436.mov","MOV")</f>
        <v>21</v>
      </c>
    </row>
    <row r="6175" s="2" customFormat="1" ht="13.5" customHeight="1">
      <c r="B6175" t="s" s="8">
        <v>2112</v>
      </c>
      <c r="C6175" t="s" s="9">
        <v>14</v>
      </c>
      <c r="D6175" t="s" s="8">
        <v>14</v>
      </c>
      <c r="E6175" t="s" s="9">
        <v>14</v>
      </c>
      <c r="F6175" t="s" s="10">
        <v>14</v>
      </c>
      <c r="G6175" t="s" s="11">
        <v>14</v>
      </c>
      <c r="H6175" t="s" s="10">
        <v>14</v>
      </c>
      <c r="I6175" t="s" s="11">
        <v>14</v>
      </c>
      <c r="J6175" t="s" s="11">
        <v>14</v>
      </c>
      <c r="K6175" t="s" s="12">
        <v>14</v>
      </c>
      <c r="L6175" t="s" s="12">
        <v>14</v>
      </c>
      <c r="M6175" t="s" s="10">
        <v>14</v>
      </c>
      <c r="N6175" t="s" s="11">
        <v>14</v>
      </c>
      <c r="O6175" t="s" s="8">
        <v>14</v>
      </c>
      <c r="P6175" t="s" s="8">
        <v>14</v>
      </c>
      <c r="Q6175" t="s" s="12">
        <v>14</v>
      </c>
      <c r="R6175" t="s" s="12">
        <v>14</v>
      </c>
    </row>
    <row r="6176" s="2" customFormat="1" ht="13.5" customHeight="1">
      <c r="B6176" s="13"/>
      <c r="C6176" t="s" s="9">
        <v>16</v>
      </c>
      <c r="D6176" t="s" s="8">
        <v>2112</v>
      </c>
      <c r="E6176" t="s" s="9">
        <v>2112</v>
      </c>
      <c r="F6176" t="s" s="10">
        <v>73</v>
      </c>
      <c r="G6176" s="14"/>
      <c r="H6176" t="s" s="10">
        <v>80</v>
      </c>
      <c r="I6176" s="14"/>
      <c r="J6176" t="s" s="11">
        <v>20</v>
      </c>
      <c r="K6176" s="15"/>
      <c r="L6176" t="s" s="16">
        <f>HYPERLINK("http://csr.bu.edu/ftp/asl/asllvd/demos/verify_start_end_handshape_annotations//test_auto_move//signs_mov_separ_signers/Liz_1347.mov","MOV")</f>
        <v>21</v>
      </c>
      <c r="M6176" t="s" s="10">
        <v>34</v>
      </c>
      <c r="N6176" s="17">
        <v>42</v>
      </c>
      <c r="O6176" s="18">
        <v>2120</v>
      </c>
      <c r="P6176" s="18">
        <v>2187</v>
      </c>
      <c r="Q6176" s="15"/>
      <c r="R6176" t="s" s="16">
        <f>HYPERLINK("http://secrets.rutgers.edu:8080/data/asl-ftp/asllvd/demos/verify_start_end_handshape_annotations//test_auto_move//signs_mov_separ_signers/Liz_1347.mov","MOV")</f>
        <v>21</v>
      </c>
    </row>
    <row r="6177" s="2" customFormat="1" ht="13.5" customHeight="1">
      <c r="B6177" s="13"/>
      <c r="C6177" t="s" s="9">
        <v>23</v>
      </c>
      <c r="D6177" t="s" s="8">
        <v>2112</v>
      </c>
      <c r="E6177" t="s" s="9">
        <v>2112</v>
      </c>
      <c r="F6177" t="s" s="10">
        <v>73</v>
      </c>
      <c r="G6177" s="14"/>
      <c r="H6177" t="s" s="10">
        <v>80</v>
      </c>
      <c r="I6177" s="14"/>
      <c r="J6177" t="s" s="11">
        <v>20</v>
      </c>
      <c r="K6177" t="s" s="16">
        <f>HYPERLINK("http://csr.bu.edu/ftp/asl/asllvd/demos/verify_start_end_handshape_annotations//test_auto_move//signs_mov/1347.mov","MOV")</f>
        <v>21</v>
      </c>
      <c r="L6177" t="s" s="16">
        <f>HYPERLINK("http://csr.bu.edu/ftp/asl/asllvd/demos/verify_start_end_handshape_annotations//test_auto_move//signs_mov_separ_signers/Tyler_1347.mov","MOV")</f>
        <v>21</v>
      </c>
      <c r="M6177" t="s" s="10">
        <v>37</v>
      </c>
      <c r="N6177" s="17">
        <v>15</v>
      </c>
      <c r="O6177" s="18">
        <v>1640</v>
      </c>
      <c r="P6177" s="18">
        <v>1665</v>
      </c>
      <c r="Q6177" t="s" s="16">
        <f>HYPERLINK("http://secrets.rutgers.edu:8080/data/asl-ftp/asllvd/demos/verify_start_end_handshape_annotations//test_auto_move//signs_mov/1347.mov","MOV")</f>
        <v>21</v>
      </c>
      <c r="R6177" t="s" s="16">
        <f>HYPERLINK("http://secrets.rutgers.edu:8080/data/asl-ftp/asllvd/demos/verify_start_end_handshape_annotations//test_auto_move//signs_mov_separ_signers/Tyler_1347.mov","MOV")</f>
        <v>21</v>
      </c>
    </row>
    <row r="6178" s="2" customFormat="1" ht="13.5" customHeight="1">
      <c r="B6178" s="13"/>
      <c r="C6178" t="s" s="9">
        <v>27</v>
      </c>
      <c r="D6178" t="s" s="8">
        <v>2112</v>
      </c>
      <c r="E6178" t="s" s="9">
        <v>2112</v>
      </c>
      <c r="F6178" t="s" s="10">
        <v>73</v>
      </c>
      <c r="G6178" s="14"/>
      <c r="H6178" t="s" s="10">
        <v>80</v>
      </c>
      <c r="I6178" s="14"/>
      <c r="J6178" t="s" s="11">
        <v>20</v>
      </c>
      <c r="K6178" s="15"/>
      <c r="L6178" t="s" s="16">
        <f>HYPERLINK("http://csr.bu.edu/ftp/asl/asllvd/demos/verify_start_end_handshape_annotations//test_auto_move//signs_mov_separ_signers/Naomi_1347.mov","MOV")</f>
        <v>21</v>
      </c>
      <c r="M6178" t="s" s="10">
        <v>38</v>
      </c>
      <c r="N6178" s="17">
        <v>35</v>
      </c>
      <c r="O6178" s="18">
        <v>1933</v>
      </c>
      <c r="P6178" s="18">
        <v>1965</v>
      </c>
      <c r="Q6178" s="15"/>
      <c r="R6178" t="s" s="16">
        <f>HYPERLINK("http://secrets.rutgers.edu:8080/data/asl-ftp/asllvd/demos/verify_start_end_handshape_annotations//test_auto_move//signs_mov_separ_signers/Naomi_1347.mov","MOV")</f>
        <v>21</v>
      </c>
    </row>
    <row r="6179" s="2" customFormat="1" ht="13.5" customHeight="1">
      <c r="B6179" s="13"/>
      <c r="C6179" t="s" s="9">
        <v>30</v>
      </c>
      <c r="D6179" t="s" s="8">
        <v>2112</v>
      </c>
      <c r="E6179" t="s" s="9">
        <v>2112</v>
      </c>
      <c r="F6179" t="s" s="10">
        <v>73</v>
      </c>
      <c r="G6179" s="14"/>
      <c r="H6179" t="s" s="10">
        <v>80</v>
      </c>
      <c r="I6179" s="14"/>
      <c r="J6179" t="s" s="11">
        <v>20</v>
      </c>
      <c r="K6179" s="15"/>
      <c r="L6179" t="s" s="16">
        <f>HYPERLINK("http://csr.bu.edu/ftp/asl/asllvd/demos/verify_start_end_handshape_annotations//test_auto_move//signs_mov_separ_signers/Brady_1347.mov","MOV")</f>
        <v>21</v>
      </c>
      <c r="M6179" t="s" s="10">
        <v>39</v>
      </c>
      <c r="N6179" s="17">
        <v>45</v>
      </c>
      <c r="O6179" s="18">
        <v>6014</v>
      </c>
      <c r="P6179" s="18">
        <v>6043</v>
      </c>
      <c r="Q6179" s="15"/>
      <c r="R6179" t="s" s="16">
        <f>HYPERLINK("http://secrets.rutgers.edu:8080/data/asl-ftp/asllvd/demos/verify_start_end_handshape_annotations//test_auto_move//signs_mov_separ_signers/Brady_1347.mov","MOV")</f>
        <v>21</v>
      </c>
    </row>
    <row r="6180" s="2" customFormat="1" ht="13.5" customHeight="1">
      <c r="B6180" t="s" s="8">
        <v>25</v>
      </c>
      <c r="C6180" t="s" s="9">
        <v>14</v>
      </c>
      <c r="D6180" t="s" s="8">
        <v>14</v>
      </c>
      <c r="E6180" t="s" s="9">
        <v>14</v>
      </c>
      <c r="F6180" t="s" s="10">
        <v>14</v>
      </c>
      <c r="G6180" t="s" s="11">
        <v>14</v>
      </c>
      <c r="H6180" t="s" s="10">
        <v>14</v>
      </c>
      <c r="I6180" t="s" s="11">
        <v>14</v>
      </c>
      <c r="J6180" t="s" s="11">
        <v>14</v>
      </c>
      <c r="K6180" t="s" s="12">
        <v>14</v>
      </c>
      <c r="L6180" t="s" s="12">
        <v>14</v>
      </c>
      <c r="M6180" t="s" s="10">
        <v>14</v>
      </c>
      <c r="N6180" t="s" s="11">
        <v>14</v>
      </c>
      <c r="O6180" t="s" s="8">
        <v>14</v>
      </c>
      <c r="P6180" t="s" s="8">
        <v>14</v>
      </c>
      <c r="Q6180" t="s" s="12">
        <v>14</v>
      </c>
      <c r="R6180" t="s" s="12">
        <v>14</v>
      </c>
    </row>
    <row r="6181" s="2" customFormat="1" ht="13.5" customHeight="1">
      <c r="B6181" s="13"/>
      <c r="C6181" t="s" s="9">
        <v>16</v>
      </c>
      <c r="D6181" t="s" s="8">
        <v>25</v>
      </c>
      <c r="E6181" t="s" s="9">
        <v>25</v>
      </c>
      <c r="F6181" t="s" s="10">
        <v>25</v>
      </c>
      <c r="G6181" s="14"/>
      <c r="H6181" t="s" s="10">
        <v>25</v>
      </c>
      <c r="I6181" s="14"/>
      <c r="J6181" t="s" s="11">
        <v>20</v>
      </c>
      <c r="K6181" s="15"/>
      <c r="L6181" t="s" s="16">
        <f>HYPERLINK("http://csr.bu.edu/ftp/asl/asllvd/demos/verify_start_end_handshape_annotations//test_auto_move//signs_mov_separ_signers/Liz_1349.mov","MOV")</f>
        <v>21</v>
      </c>
      <c r="M6181" t="s" s="10">
        <v>34</v>
      </c>
      <c r="N6181" s="17">
        <v>42</v>
      </c>
      <c r="O6181" s="18">
        <v>3760</v>
      </c>
      <c r="P6181" s="18">
        <v>3805</v>
      </c>
      <c r="Q6181" s="15"/>
      <c r="R6181" t="s" s="16">
        <f>HYPERLINK("http://secrets.rutgers.edu:8080/data/asl-ftp/asllvd/demos/verify_start_end_handshape_annotations//test_auto_move//signs_mov_separ_signers/Liz_1349.mov","MOV")</f>
        <v>21</v>
      </c>
    </row>
    <row r="6182" s="2" customFormat="1" ht="13.5" customHeight="1">
      <c r="B6182" s="13"/>
      <c r="C6182" t="s" s="9">
        <v>23</v>
      </c>
      <c r="D6182" t="s" s="8">
        <v>25</v>
      </c>
      <c r="E6182" t="s" s="9">
        <v>25</v>
      </c>
      <c r="F6182" t="s" s="10">
        <v>25</v>
      </c>
      <c r="G6182" s="14"/>
      <c r="H6182" t="s" s="10">
        <v>25</v>
      </c>
      <c r="I6182" s="14"/>
      <c r="J6182" t="s" s="11">
        <v>20</v>
      </c>
      <c r="K6182" t="s" s="16">
        <f>HYPERLINK("http://csr.bu.edu/ftp/asl/asllvd/demos/verify_start_end_handshape_annotations//test_auto_move//signs_mov/1349.mov","MOV")</f>
        <v>21</v>
      </c>
      <c r="L6182" t="s" s="16">
        <f>HYPERLINK("http://csr.bu.edu/ftp/asl/asllvd/demos/verify_start_end_handshape_annotations//test_auto_move//signs_mov_separ_signers/Tyler_1349.mov","MOV")</f>
        <v>21</v>
      </c>
      <c r="M6182" t="s" s="10">
        <v>37</v>
      </c>
      <c r="N6182" s="17">
        <v>15</v>
      </c>
      <c r="O6182" s="18">
        <v>2640</v>
      </c>
      <c r="P6182" s="18">
        <v>2671</v>
      </c>
      <c r="Q6182" t="s" s="16">
        <f>HYPERLINK("http://secrets.rutgers.edu:8080/data/asl-ftp/asllvd/demos/verify_start_end_handshape_annotations//test_auto_move//signs_mov/1349.mov","MOV")</f>
        <v>21</v>
      </c>
      <c r="R6182" t="s" s="16">
        <f>HYPERLINK("http://secrets.rutgers.edu:8080/data/asl-ftp/asllvd/demos/verify_start_end_handshape_annotations//test_auto_move//signs_mov_separ_signers/Tyler_1349.mov","MOV")</f>
        <v>21</v>
      </c>
    </row>
    <row r="6183" s="2" customFormat="1" ht="13.5" customHeight="1">
      <c r="B6183" s="13"/>
      <c r="C6183" t="s" s="9">
        <v>27</v>
      </c>
      <c r="D6183" t="s" s="8">
        <v>25</v>
      </c>
      <c r="E6183" t="s" s="9">
        <v>25</v>
      </c>
      <c r="F6183" t="s" s="10">
        <v>25</v>
      </c>
      <c r="G6183" s="14"/>
      <c r="H6183" t="s" s="10">
        <v>25</v>
      </c>
      <c r="I6183" s="14"/>
      <c r="J6183" t="s" s="11">
        <v>20</v>
      </c>
      <c r="K6183" s="15"/>
      <c r="L6183" t="s" s="16">
        <f>HYPERLINK("http://csr.bu.edu/ftp/asl/asllvd/demos/verify_start_end_handshape_annotations//test_auto_move//signs_mov_separ_signers/Naomi_1349.mov","MOV")</f>
        <v>21</v>
      </c>
      <c r="M6183" t="s" s="10">
        <v>38</v>
      </c>
      <c r="N6183" s="17">
        <v>35</v>
      </c>
      <c r="O6183" s="18">
        <v>3180</v>
      </c>
      <c r="P6183" s="18">
        <v>3225</v>
      </c>
      <c r="Q6183" s="15"/>
      <c r="R6183" t="s" s="16">
        <f>HYPERLINK("http://secrets.rutgers.edu:8080/data/asl-ftp/asllvd/demos/verify_start_end_handshape_annotations//test_auto_move//signs_mov_separ_signers/Naomi_1349.mov","MOV")</f>
        <v>21</v>
      </c>
    </row>
    <row r="6184" s="2" customFormat="1" ht="13.5" customHeight="1">
      <c r="B6184" s="13"/>
      <c r="C6184" t="s" s="9">
        <v>30</v>
      </c>
      <c r="D6184" t="s" s="8">
        <v>25</v>
      </c>
      <c r="E6184" t="s" s="9">
        <v>25</v>
      </c>
      <c r="F6184" t="s" s="10">
        <v>25</v>
      </c>
      <c r="G6184" s="14"/>
      <c r="H6184" t="s" s="10">
        <v>25</v>
      </c>
      <c r="I6184" s="14"/>
      <c r="J6184" t="s" s="11">
        <v>20</v>
      </c>
      <c r="K6184" s="15"/>
      <c r="L6184" t="s" s="16">
        <f>HYPERLINK("http://csr.bu.edu/ftp/asl/asllvd/demos/verify_start_end_handshape_annotations//test_auto_move//signs_mov_separ_signers/Brady_1349.mov","MOV")</f>
        <v>21</v>
      </c>
      <c r="M6184" t="s" s="10">
        <v>39</v>
      </c>
      <c r="N6184" s="17">
        <v>45</v>
      </c>
      <c r="O6184" s="18">
        <v>6282</v>
      </c>
      <c r="P6184" s="18">
        <v>6310</v>
      </c>
      <c r="Q6184" s="15"/>
      <c r="R6184" t="s" s="16">
        <f>HYPERLINK("http://secrets.rutgers.edu:8080/data/asl-ftp/asllvd/demos/verify_start_end_handshape_annotations//test_auto_move//signs_mov_separ_signers/Brady_1349.mov","MOV")</f>
        <v>21</v>
      </c>
    </row>
    <row r="6185" s="2" customFormat="1" ht="13.5" customHeight="1">
      <c r="B6185" t="s" s="8">
        <v>2113</v>
      </c>
      <c r="C6185" t="s" s="9">
        <v>14</v>
      </c>
      <c r="D6185" t="s" s="8">
        <v>14</v>
      </c>
      <c r="E6185" t="s" s="9">
        <v>14</v>
      </c>
      <c r="F6185" t="s" s="10">
        <v>14</v>
      </c>
      <c r="G6185" t="s" s="11">
        <v>14</v>
      </c>
      <c r="H6185" t="s" s="10">
        <v>14</v>
      </c>
      <c r="I6185" t="s" s="11">
        <v>14</v>
      </c>
      <c r="J6185" t="s" s="11">
        <v>14</v>
      </c>
      <c r="K6185" t="s" s="12">
        <v>14</v>
      </c>
      <c r="L6185" t="s" s="12">
        <v>14</v>
      </c>
      <c r="M6185" t="s" s="10">
        <v>14</v>
      </c>
      <c r="N6185" t="s" s="11">
        <v>14</v>
      </c>
      <c r="O6185" t="s" s="8">
        <v>14</v>
      </c>
      <c r="P6185" t="s" s="8">
        <v>14</v>
      </c>
      <c r="Q6185" t="s" s="12">
        <v>14</v>
      </c>
      <c r="R6185" t="s" s="12">
        <v>14</v>
      </c>
    </row>
    <row r="6186" s="2" customFormat="1" ht="13.5" customHeight="1">
      <c r="B6186" s="13"/>
      <c r="C6186" t="s" s="9">
        <v>16</v>
      </c>
      <c r="D6186" t="s" s="8">
        <v>2113</v>
      </c>
      <c r="E6186" t="s" s="9">
        <v>2114</v>
      </c>
      <c r="F6186" t="s" s="10">
        <v>72</v>
      </c>
      <c r="G6186" t="s" s="11">
        <v>72</v>
      </c>
      <c r="H6186" t="s" s="10">
        <v>68</v>
      </c>
      <c r="I6186" t="s" s="11">
        <v>68</v>
      </c>
      <c r="J6186" t="s" s="11">
        <v>20</v>
      </c>
      <c r="K6186" s="15"/>
      <c r="L6186" t="s" s="16">
        <f>HYPERLINK("http://csr.bu.edu/ftp/asl/asllvd/demos/verify_start_end_handshape_annotations//test_auto_move//signs_mov_separ_signers/Liz_1350.mov","MOV")</f>
        <v>21</v>
      </c>
      <c r="M6186" t="s" s="10">
        <v>36</v>
      </c>
      <c r="N6186" s="17">
        <v>17</v>
      </c>
      <c r="O6186" s="18">
        <v>1385</v>
      </c>
      <c r="P6186" s="18">
        <v>1487</v>
      </c>
      <c r="Q6186" s="15"/>
      <c r="R6186" t="s" s="16">
        <f>HYPERLINK("http://secrets.rutgers.edu:8080/data/asl-ftp/asllvd/demos/verify_start_end_handshape_annotations//test_auto_move//signs_mov_separ_signers/Liz_1350.mov","MOV")</f>
        <v>21</v>
      </c>
    </row>
    <row r="6187" s="2" customFormat="1" ht="13.5" customHeight="1">
      <c r="B6187" s="13"/>
      <c r="C6187" t="s" s="9">
        <v>23</v>
      </c>
      <c r="D6187" t="s" s="8">
        <v>2113</v>
      </c>
      <c r="E6187" t="s" s="9">
        <v>2115</v>
      </c>
      <c r="F6187" s="19">
        <v>5</v>
      </c>
      <c r="G6187" s="17">
        <v>5</v>
      </c>
      <c r="H6187" t="s" s="10">
        <v>68</v>
      </c>
      <c r="I6187" t="s" s="11">
        <v>68</v>
      </c>
      <c r="J6187" t="s" s="11">
        <v>20</v>
      </c>
      <c r="K6187" t="s" s="16">
        <f>HYPERLINK("http://csr.bu.edu/ftp/asl/asllvd/demos/verify_start_end_handshape_annotations//test_auto_move//signs_mov/1350.mov","MOV")</f>
        <v>21</v>
      </c>
      <c r="L6187" t="s" s="16">
        <f>HYPERLINK("http://csr.bu.edu/ftp/asl/asllvd/demos/verify_start_end_handshape_annotations//test_auto_move//signs_mov_separ_signers/Tyler_1350.mov","MOV")</f>
        <v>21</v>
      </c>
      <c r="M6187" t="s" s="10">
        <v>37</v>
      </c>
      <c r="N6187" s="17">
        <v>15</v>
      </c>
      <c r="O6187" s="18">
        <v>2845</v>
      </c>
      <c r="P6187" s="18">
        <v>2901</v>
      </c>
      <c r="Q6187" t="s" s="16">
        <f>HYPERLINK("http://secrets.rutgers.edu:8080/data/asl-ftp/asllvd/demos/verify_start_end_handshape_annotations//test_auto_move//signs_mov/1350.mov","MOV")</f>
        <v>21</v>
      </c>
      <c r="R6187" t="s" s="16">
        <f>HYPERLINK("http://secrets.rutgers.edu:8080/data/asl-ftp/asllvd/demos/verify_start_end_handshape_annotations//test_auto_move//signs_mov_separ_signers/Tyler_1350.mov","MOV")</f>
        <v>21</v>
      </c>
    </row>
    <row r="6188" s="2" customFormat="1" ht="13.5" customHeight="1">
      <c r="B6188" s="13"/>
      <c r="C6188" t="s" s="9">
        <v>27</v>
      </c>
      <c r="D6188" t="s" s="8">
        <v>2113</v>
      </c>
      <c r="E6188" t="s" s="9">
        <v>2114</v>
      </c>
      <c r="F6188" t="s" s="10">
        <v>72</v>
      </c>
      <c r="G6188" t="s" s="11">
        <v>72</v>
      </c>
      <c r="H6188" t="s" s="10">
        <v>68</v>
      </c>
      <c r="I6188" t="s" s="11">
        <v>68</v>
      </c>
      <c r="J6188" t="s" s="11">
        <v>20</v>
      </c>
      <c r="K6188" s="15"/>
      <c r="L6188" t="s" s="16">
        <f>HYPERLINK("http://csr.bu.edu/ftp/asl/asllvd/demos/verify_start_end_handshape_annotations//test_auto_move//signs_mov_separ_signers/Naomi_1350.mov","MOV")</f>
        <v>21</v>
      </c>
      <c r="M6188" t="s" s="10">
        <v>38</v>
      </c>
      <c r="N6188" s="17">
        <v>35</v>
      </c>
      <c r="O6188" s="18">
        <v>3482</v>
      </c>
      <c r="P6188" s="18">
        <v>3535</v>
      </c>
      <c r="Q6188" s="15"/>
      <c r="R6188" t="s" s="16">
        <f>HYPERLINK("http://secrets.rutgers.edu:8080/data/asl-ftp/asllvd/demos/verify_start_end_handshape_annotations//test_auto_move//signs_mov_separ_signers/Naomi_1350.mov","MOV")</f>
        <v>21</v>
      </c>
    </row>
    <row r="6189" s="2" customFormat="1" ht="13.5" customHeight="1">
      <c r="B6189" s="13"/>
      <c r="C6189" t="s" s="9">
        <v>30</v>
      </c>
      <c r="D6189" t="s" s="8">
        <v>2113</v>
      </c>
      <c r="E6189" t="s" s="9">
        <v>2115</v>
      </c>
      <c r="F6189" s="19">
        <v>5</v>
      </c>
      <c r="G6189" s="17">
        <v>5</v>
      </c>
      <c r="H6189" t="s" s="10">
        <v>63</v>
      </c>
      <c r="I6189" t="s" s="11">
        <v>63</v>
      </c>
      <c r="J6189" t="s" s="11">
        <v>20</v>
      </c>
      <c r="K6189" s="15"/>
      <c r="L6189" t="s" s="16">
        <f>HYPERLINK("http://csr.bu.edu/ftp/asl/asllvd/demos/verify_start_end_handshape_annotations//test_auto_move//signs_mov_separ_signers/Brady_1350.mov","MOV")</f>
        <v>21</v>
      </c>
      <c r="M6189" t="s" s="10">
        <v>39</v>
      </c>
      <c r="N6189" s="17">
        <v>46</v>
      </c>
      <c r="O6189" s="18">
        <v>975</v>
      </c>
      <c r="P6189" s="18">
        <v>1018</v>
      </c>
      <c r="Q6189" s="15"/>
      <c r="R6189" t="s" s="16">
        <f>HYPERLINK("http://secrets.rutgers.edu:8080/data/asl-ftp/asllvd/demos/verify_start_end_handshape_annotations//test_auto_move//signs_mov_separ_signers/Brady_1350.mov","MOV")</f>
        <v>21</v>
      </c>
    </row>
    <row r="6190" s="2" customFormat="1" ht="13.5" customHeight="1">
      <c r="B6190" t="s" s="8">
        <v>2116</v>
      </c>
      <c r="C6190" t="s" s="9">
        <v>14</v>
      </c>
      <c r="D6190" t="s" s="8">
        <v>14</v>
      </c>
      <c r="E6190" t="s" s="9">
        <v>14</v>
      </c>
      <c r="F6190" t="s" s="10">
        <v>14</v>
      </c>
      <c r="G6190" t="s" s="11">
        <v>14</v>
      </c>
      <c r="H6190" t="s" s="10">
        <v>14</v>
      </c>
      <c r="I6190" t="s" s="11">
        <v>14</v>
      </c>
      <c r="J6190" t="s" s="11">
        <v>14</v>
      </c>
      <c r="K6190" t="s" s="12">
        <v>14</v>
      </c>
      <c r="L6190" t="s" s="12">
        <v>14</v>
      </c>
      <c r="M6190" t="s" s="10">
        <v>14</v>
      </c>
      <c r="N6190" t="s" s="11">
        <v>14</v>
      </c>
      <c r="O6190" t="s" s="8">
        <v>14</v>
      </c>
      <c r="P6190" t="s" s="8">
        <v>14</v>
      </c>
      <c r="Q6190" t="s" s="12">
        <v>14</v>
      </c>
      <c r="R6190" t="s" s="12">
        <v>14</v>
      </c>
    </row>
    <row r="6191" s="2" customFormat="1" ht="13.5" customHeight="1">
      <c r="B6191" s="13"/>
      <c r="C6191" t="s" s="9">
        <v>30</v>
      </c>
      <c r="D6191" t="s" s="8">
        <v>2116</v>
      </c>
      <c r="E6191" t="s" s="9">
        <v>2117</v>
      </c>
      <c r="F6191" t="s" s="10">
        <v>72</v>
      </c>
      <c r="G6191" t="s" s="11">
        <v>72</v>
      </c>
      <c r="H6191" t="s" s="10">
        <v>72</v>
      </c>
      <c r="I6191" t="s" s="11">
        <v>72</v>
      </c>
      <c r="J6191" t="s" s="11">
        <v>20</v>
      </c>
      <c r="K6191" t="s" s="16">
        <f>HYPERLINK("http://csr.bu.edu/ftp/asl/asllvd/demos/verify_start_end_handshape_annotations//test_auto_move//signs_mov/15668.mov","MOV")</f>
        <v>21</v>
      </c>
      <c r="L6191" t="s" s="16">
        <f>HYPERLINK("http://csr.bu.edu/ftp/asl/asllvd/demos/verify_start_end_handshape_annotations//test_auto_move//signs_mov_separ_signers/Brady_15668.mov","MOV")</f>
        <v>21</v>
      </c>
      <c r="M6191" t="s" s="10">
        <v>40</v>
      </c>
      <c r="N6191" s="17">
        <v>61</v>
      </c>
      <c r="O6191" s="18">
        <v>2160</v>
      </c>
      <c r="P6191" s="18">
        <v>2210</v>
      </c>
      <c r="Q6191" t="s" s="16">
        <f>HYPERLINK("http://secrets.rutgers.edu:8080/data/asl-ftp/asllvd/demos/verify_start_end_handshape_annotations//test_auto_move//signs_mov/15668.mov","MOV")</f>
        <v>21</v>
      </c>
      <c r="R6191" t="s" s="16">
        <f>HYPERLINK("http://secrets.rutgers.edu:8080/data/asl-ftp/asllvd/demos/verify_start_end_handshape_annotations//test_auto_move//signs_mov_separ_signers/Brady_15668.mov","MOV")</f>
        <v>21</v>
      </c>
    </row>
    <row r="6192" s="2" customFormat="1" ht="13.5" customHeight="1">
      <c r="B6192" t="s" s="8">
        <v>2118</v>
      </c>
      <c r="C6192" t="s" s="9">
        <v>14</v>
      </c>
      <c r="D6192" t="s" s="8">
        <v>14</v>
      </c>
      <c r="E6192" t="s" s="9">
        <v>14</v>
      </c>
      <c r="F6192" t="s" s="10">
        <v>14</v>
      </c>
      <c r="G6192" t="s" s="11">
        <v>14</v>
      </c>
      <c r="H6192" t="s" s="10">
        <v>14</v>
      </c>
      <c r="I6192" t="s" s="11">
        <v>14</v>
      </c>
      <c r="J6192" t="s" s="11">
        <v>14</v>
      </c>
      <c r="K6192" t="s" s="12">
        <v>14</v>
      </c>
      <c r="L6192" t="s" s="12">
        <v>14</v>
      </c>
      <c r="M6192" t="s" s="10">
        <v>14</v>
      </c>
      <c r="N6192" t="s" s="11">
        <v>14</v>
      </c>
      <c r="O6192" t="s" s="8">
        <v>14</v>
      </c>
      <c r="P6192" t="s" s="8">
        <v>14</v>
      </c>
      <c r="Q6192" t="s" s="12">
        <v>14</v>
      </c>
      <c r="R6192" t="s" s="12">
        <v>14</v>
      </c>
    </row>
    <row r="6193" s="2" customFormat="1" ht="13.5" customHeight="1">
      <c r="B6193" s="13"/>
      <c r="C6193" t="s" s="9">
        <v>16</v>
      </c>
      <c r="D6193" t="s" s="8">
        <v>2118</v>
      </c>
      <c r="E6193" t="s" s="9">
        <v>2118</v>
      </c>
      <c r="F6193" t="s" s="10">
        <v>230</v>
      </c>
      <c r="G6193" t="s" s="11">
        <v>230</v>
      </c>
      <c r="H6193" t="s" s="10">
        <v>230</v>
      </c>
      <c r="I6193" t="s" s="11">
        <v>230</v>
      </c>
      <c r="J6193" t="s" s="11">
        <v>20</v>
      </c>
      <c r="K6193" s="15"/>
      <c r="L6193" t="s" s="16">
        <f>HYPERLINK("http://csr.bu.edu/ftp/asl/asllvd/demos/verify_start_end_handshape_annotations//test_auto_move//signs_mov_separ_signers/Liz_1353.mov","MOV")</f>
        <v>21</v>
      </c>
      <c r="M6193" t="s" s="10">
        <v>34</v>
      </c>
      <c r="N6193" s="17">
        <v>43</v>
      </c>
      <c r="O6193" s="18">
        <v>1372</v>
      </c>
      <c r="P6193" s="18">
        <v>1441</v>
      </c>
      <c r="Q6193" s="15"/>
      <c r="R6193" t="s" s="16">
        <f>HYPERLINK("http://secrets.rutgers.edu:8080/data/asl-ftp/asllvd/demos/verify_start_end_handshape_annotations//test_auto_move//signs_mov_separ_signers/Liz_1353.mov","MOV")</f>
        <v>21</v>
      </c>
    </row>
    <row r="6194" s="2" customFormat="1" ht="13.5" customHeight="1">
      <c r="B6194" s="13"/>
      <c r="C6194" t="s" s="9">
        <v>27</v>
      </c>
      <c r="D6194" t="s" s="8">
        <v>2118</v>
      </c>
      <c r="E6194" t="s" s="9">
        <v>2118</v>
      </c>
      <c r="F6194" t="s" s="10">
        <v>230</v>
      </c>
      <c r="G6194" t="s" s="11">
        <v>230</v>
      </c>
      <c r="H6194" t="s" s="10">
        <v>230</v>
      </c>
      <c r="I6194" t="s" s="11">
        <v>230</v>
      </c>
      <c r="J6194" t="s" s="11">
        <v>20</v>
      </c>
      <c r="K6194" t="s" s="16">
        <f>HYPERLINK("http://csr.bu.edu/ftp/asl/asllvd/demos/verify_start_end_handshape_annotations//test_auto_move//signs_mov/1353.mov","MOV")</f>
        <v>21</v>
      </c>
      <c r="L6194" t="s" s="16">
        <f>HYPERLINK("http://csr.bu.edu/ftp/asl/asllvd/demos/verify_start_end_handshape_annotations//test_auto_move//signs_mov_separ_signers/Naomi_1353.mov","MOV")</f>
        <v>21</v>
      </c>
      <c r="M6194" t="s" s="10">
        <v>38</v>
      </c>
      <c r="N6194" s="17">
        <v>36</v>
      </c>
      <c r="O6194" s="18">
        <v>918</v>
      </c>
      <c r="P6194" s="18">
        <v>953</v>
      </c>
      <c r="Q6194" t="s" s="16">
        <f>HYPERLINK("http://secrets.rutgers.edu:8080/data/asl-ftp/asllvd/demos/verify_start_end_handshape_annotations//test_auto_move//signs_mov/1353.mov","MOV")</f>
        <v>21</v>
      </c>
      <c r="R6194" t="s" s="16">
        <f>HYPERLINK("http://secrets.rutgers.edu:8080/data/asl-ftp/asllvd/demos/verify_start_end_handshape_annotations//test_auto_move//signs_mov_separ_signers/Naomi_1353.mov","MOV")</f>
        <v>21</v>
      </c>
    </row>
    <row r="6195" s="2" customFormat="1" ht="13.5" customHeight="1">
      <c r="B6195" s="13"/>
      <c r="C6195" t="s" s="9">
        <v>30</v>
      </c>
      <c r="D6195" t="s" s="8">
        <v>2118</v>
      </c>
      <c r="E6195" t="s" s="9">
        <v>2118</v>
      </c>
      <c r="F6195" t="s" s="10">
        <v>230</v>
      </c>
      <c r="G6195" t="s" s="11">
        <v>230</v>
      </c>
      <c r="H6195" t="s" s="10">
        <v>230</v>
      </c>
      <c r="I6195" t="s" s="11">
        <v>230</v>
      </c>
      <c r="J6195" t="s" s="11">
        <v>20</v>
      </c>
      <c r="K6195" s="15"/>
      <c r="L6195" t="s" s="16">
        <f>HYPERLINK("http://csr.bu.edu/ftp/asl/asllvd/demos/verify_start_end_handshape_annotations//test_auto_move//signs_mov_separ_signers/Brady_1353.mov","MOV")</f>
        <v>21</v>
      </c>
      <c r="M6195" t="s" s="10">
        <v>39</v>
      </c>
      <c r="N6195" s="17">
        <v>46</v>
      </c>
      <c r="O6195" s="18">
        <v>2466</v>
      </c>
      <c r="P6195" s="18">
        <v>2484</v>
      </c>
      <c r="Q6195" s="15"/>
      <c r="R6195" t="s" s="16">
        <f>HYPERLINK("http://secrets.rutgers.edu:8080/data/asl-ftp/asllvd/demos/verify_start_end_handshape_annotations//test_auto_move//signs_mov_separ_signers/Brady_1353.mov","MOV")</f>
        <v>21</v>
      </c>
    </row>
    <row r="6196" s="2" customFormat="1" ht="13.5" customHeight="1">
      <c r="B6196" t="s" s="8">
        <v>2119</v>
      </c>
      <c r="C6196" t="s" s="9">
        <v>14</v>
      </c>
      <c r="D6196" t="s" s="8">
        <v>14</v>
      </c>
      <c r="E6196" t="s" s="9">
        <v>14</v>
      </c>
      <c r="F6196" t="s" s="10">
        <v>14</v>
      </c>
      <c r="G6196" t="s" s="11">
        <v>14</v>
      </c>
      <c r="H6196" t="s" s="10">
        <v>14</v>
      </c>
      <c r="I6196" t="s" s="11">
        <v>14</v>
      </c>
      <c r="J6196" t="s" s="11">
        <v>14</v>
      </c>
      <c r="K6196" t="s" s="12">
        <v>14</v>
      </c>
      <c r="L6196" t="s" s="12">
        <v>14</v>
      </c>
      <c r="M6196" t="s" s="10">
        <v>14</v>
      </c>
      <c r="N6196" t="s" s="11">
        <v>14</v>
      </c>
      <c r="O6196" t="s" s="8">
        <v>14</v>
      </c>
      <c r="P6196" t="s" s="8">
        <v>14</v>
      </c>
      <c r="Q6196" t="s" s="12">
        <v>14</v>
      </c>
      <c r="R6196" t="s" s="12">
        <v>14</v>
      </c>
    </row>
    <row r="6197" s="2" customFormat="1" ht="13.5" customHeight="1">
      <c r="B6197" s="13"/>
      <c r="C6197" t="s" s="9">
        <v>23</v>
      </c>
      <c r="D6197" t="s" s="8">
        <v>2119</v>
      </c>
      <c r="E6197" t="s" s="9">
        <v>2119</v>
      </c>
      <c r="F6197" t="s" s="10">
        <v>68</v>
      </c>
      <c r="G6197" t="s" s="11">
        <v>72</v>
      </c>
      <c r="H6197" t="s" s="10">
        <v>68</v>
      </c>
      <c r="I6197" t="s" s="11">
        <v>72</v>
      </c>
      <c r="J6197" t="s" s="11">
        <v>20</v>
      </c>
      <c r="K6197" t="s" s="16">
        <f>HYPERLINK("http://csr.bu.edu/ftp/asl/asllvd/demos/verify_start_end_handshape_annotations//test_auto_move//signs_mov/1356.mov","MOV")</f>
        <v>21</v>
      </c>
      <c r="L6197" t="s" s="16">
        <f>HYPERLINK("http://csr.bu.edu/ftp/asl/asllvd/demos/verify_start_end_handshape_annotations//test_auto_move//signs_mov_separ_signers/Tyler_1356.mov","MOV")</f>
        <v>21</v>
      </c>
      <c r="M6197" t="s" s="10">
        <v>37</v>
      </c>
      <c r="N6197" s="17">
        <v>16</v>
      </c>
      <c r="O6197" s="18">
        <v>1621</v>
      </c>
      <c r="P6197" s="18">
        <v>1655</v>
      </c>
      <c r="Q6197" t="s" s="16">
        <f>HYPERLINK("http://secrets.rutgers.edu:8080/data/asl-ftp/asllvd/demos/verify_start_end_handshape_annotations//test_auto_move//signs_mov/1356.mov","MOV")</f>
        <v>21</v>
      </c>
      <c r="R6197" t="s" s="16">
        <f>HYPERLINK("http://secrets.rutgers.edu:8080/data/asl-ftp/asllvd/demos/verify_start_end_handshape_annotations//test_auto_move//signs_mov_separ_signers/Tyler_1356.mov","MOV")</f>
        <v>21</v>
      </c>
    </row>
    <row r="6198" s="2" customFormat="1" ht="13.5" customHeight="1">
      <c r="B6198" t="s" s="8">
        <v>52</v>
      </c>
      <c r="C6198" t="s" s="9">
        <v>53</v>
      </c>
      <c r="D6198" t="s" s="8">
        <v>53</v>
      </c>
      <c r="E6198" t="s" s="9">
        <v>53</v>
      </c>
      <c r="F6198" t="s" s="10">
        <v>53</v>
      </c>
      <c r="G6198" t="s" s="11">
        <v>53</v>
      </c>
      <c r="H6198" t="s" s="10">
        <v>53</v>
      </c>
      <c r="I6198" t="s" s="11">
        <v>53</v>
      </c>
      <c r="J6198" t="s" s="11">
        <v>53</v>
      </c>
      <c r="K6198" t="s" s="12">
        <v>53</v>
      </c>
      <c r="L6198" t="s" s="12">
        <v>53</v>
      </c>
      <c r="M6198" t="s" s="10">
        <v>53</v>
      </c>
      <c r="N6198" t="s" s="11">
        <v>53</v>
      </c>
      <c r="O6198" t="s" s="8">
        <v>53</v>
      </c>
      <c r="P6198" t="s" s="8">
        <v>53</v>
      </c>
      <c r="Q6198" t="s" s="12">
        <v>53</v>
      </c>
      <c r="R6198" t="s" s="12">
        <v>53</v>
      </c>
    </row>
    <row r="6199" s="2" customFormat="1" ht="13.5" customHeight="1">
      <c r="B6199" s="13"/>
      <c r="C6199" t="s" s="9">
        <v>16</v>
      </c>
      <c r="D6199" t="s" s="8">
        <v>2119</v>
      </c>
      <c r="E6199" t="s" s="9">
        <v>2120</v>
      </c>
      <c r="F6199" t="s" s="10">
        <v>136</v>
      </c>
      <c r="G6199" t="s" s="11">
        <v>72</v>
      </c>
      <c r="H6199" t="s" s="10">
        <v>136</v>
      </c>
      <c r="I6199" t="s" s="11">
        <v>72</v>
      </c>
      <c r="J6199" t="s" s="11">
        <v>20</v>
      </c>
      <c r="K6199" t="s" s="16">
        <f>HYPERLINK("http://csr.bu.edu/ftp/asl/asllvd/demos/verify_start_end_handshape_annotations//test_auto_move//signs_mov/5234.mov","MOV")</f>
        <v>21</v>
      </c>
      <c r="L6199" t="s" s="16">
        <f>HYPERLINK("http://csr.bu.edu/ftp/asl/asllvd/demos/verify_start_end_handshape_annotations//test_auto_move//signs_mov_separ_signers/Liz_5234.mov","MOV")</f>
        <v>21</v>
      </c>
      <c r="M6199" t="s" s="10">
        <v>34</v>
      </c>
      <c r="N6199" s="17">
        <v>43</v>
      </c>
      <c r="O6199" s="18">
        <v>2585</v>
      </c>
      <c r="P6199" s="18">
        <v>2662</v>
      </c>
      <c r="Q6199" t="s" s="16">
        <f>HYPERLINK("http://secrets.rutgers.edu:8080/data/asl-ftp/asllvd/demos/verify_start_end_handshape_annotations//test_auto_move//signs_mov/5234.mov","MOV")</f>
        <v>21</v>
      </c>
      <c r="R6199" t="s" s="16">
        <f>HYPERLINK("http://secrets.rutgers.edu:8080/data/asl-ftp/asllvd/demos/verify_start_end_handshape_annotations//test_auto_move//signs_mov_separ_signers/Liz_5234.mov","MOV")</f>
        <v>21</v>
      </c>
    </row>
    <row r="6200" s="2" customFormat="1" ht="13.5" customHeight="1">
      <c r="B6200" s="13"/>
      <c r="C6200" t="s" s="9">
        <v>30</v>
      </c>
      <c r="D6200" t="s" s="8">
        <v>2119</v>
      </c>
      <c r="E6200" t="s" s="9">
        <v>2120</v>
      </c>
      <c r="F6200" t="s" s="10">
        <v>136</v>
      </c>
      <c r="G6200" t="s" s="11">
        <v>73</v>
      </c>
      <c r="H6200" t="s" s="10">
        <v>136</v>
      </c>
      <c r="I6200" t="s" s="11">
        <v>73</v>
      </c>
      <c r="J6200" t="s" s="11">
        <v>20</v>
      </c>
      <c r="K6200" s="15"/>
      <c r="L6200" t="s" s="16">
        <f>HYPERLINK("http://csr.bu.edu/ftp/asl/asllvd/demos/verify_start_end_handshape_annotations//test_auto_move//signs_mov_separ_signers/Brady_5234.mov","MOV")</f>
        <v>21</v>
      </c>
      <c r="M6200" t="s" s="10">
        <v>39</v>
      </c>
      <c r="N6200" s="17">
        <v>46</v>
      </c>
      <c r="O6200" s="18">
        <v>4011</v>
      </c>
      <c r="P6200" s="18">
        <v>4029</v>
      </c>
      <c r="Q6200" s="15"/>
      <c r="R6200" t="s" s="16">
        <f>HYPERLINK("http://secrets.rutgers.edu:8080/data/asl-ftp/asllvd/demos/verify_start_end_handshape_annotations//test_auto_move//signs_mov_separ_signers/Brady_5234.mov","MOV")</f>
        <v>21</v>
      </c>
    </row>
    <row r="6201" s="2" customFormat="1" ht="13.5" customHeight="1">
      <c r="B6201" t="s" s="8">
        <v>2121</v>
      </c>
      <c r="C6201" t="s" s="9">
        <v>14</v>
      </c>
      <c r="D6201" t="s" s="8">
        <v>14</v>
      </c>
      <c r="E6201" t="s" s="9">
        <v>14</v>
      </c>
      <c r="F6201" t="s" s="10">
        <v>14</v>
      </c>
      <c r="G6201" t="s" s="11">
        <v>14</v>
      </c>
      <c r="H6201" t="s" s="10">
        <v>14</v>
      </c>
      <c r="I6201" t="s" s="11">
        <v>14</v>
      </c>
      <c r="J6201" t="s" s="11">
        <v>14</v>
      </c>
      <c r="K6201" t="s" s="12">
        <v>14</v>
      </c>
      <c r="L6201" t="s" s="12">
        <v>14</v>
      </c>
      <c r="M6201" t="s" s="10">
        <v>14</v>
      </c>
      <c r="N6201" t="s" s="11">
        <v>14</v>
      </c>
      <c r="O6201" t="s" s="8">
        <v>14</v>
      </c>
      <c r="P6201" t="s" s="8">
        <v>14</v>
      </c>
      <c r="Q6201" t="s" s="12">
        <v>14</v>
      </c>
      <c r="R6201" t="s" s="12">
        <v>14</v>
      </c>
    </row>
    <row r="6202" s="2" customFormat="1" ht="13.5" customHeight="1">
      <c r="B6202" s="13"/>
      <c r="C6202" t="s" s="9">
        <v>16</v>
      </c>
      <c r="D6202" t="s" s="8">
        <v>2121</v>
      </c>
      <c r="E6202" t="s" s="9">
        <v>2122</v>
      </c>
      <c r="F6202" t="s" s="10">
        <v>73</v>
      </c>
      <c r="G6202" t="s" s="11">
        <v>73</v>
      </c>
      <c r="H6202" t="s" s="10">
        <v>73</v>
      </c>
      <c r="I6202" t="s" s="11">
        <v>73</v>
      </c>
      <c r="J6202" t="s" s="11">
        <v>20</v>
      </c>
      <c r="K6202" s="15"/>
      <c r="L6202" t="s" s="16">
        <f>HYPERLINK("http://csr.bu.edu/ftp/asl/asllvd/demos/verify_start_end_handshape_annotations//test_auto_move//signs_mov_separ_signers/Liz_1357.mov","MOV")</f>
        <v>21</v>
      </c>
      <c r="M6202" t="s" s="10">
        <v>34</v>
      </c>
      <c r="N6202" s="17">
        <v>43</v>
      </c>
      <c r="O6202" s="18">
        <v>2927</v>
      </c>
      <c r="P6202" s="18">
        <v>3014</v>
      </c>
      <c r="Q6202" s="15"/>
      <c r="R6202" t="s" s="16">
        <f>HYPERLINK("http://secrets.rutgers.edu:8080/data/asl-ftp/asllvd/demos/verify_start_end_handshape_annotations//test_auto_move//signs_mov_separ_signers/Liz_1357.mov","MOV")</f>
        <v>21</v>
      </c>
    </row>
    <row r="6203" s="2" customFormat="1" ht="13.5" customHeight="1">
      <c r="B6203" s="13"/>
      <c r="C6203" t="s" s="9">
        <v>23</v>
      </c>
      <c r="D6203" t="s" s="8">
        <v>2121</v>
      </c>
      <c r="E6203" t="s" s="9">
        <v>2122</v>
      </c>
      <c r="F6203" s="19">
        <v>5</v>
      </c>
      <c r="G6203" s="17">
        <v>5</v>
      </c>
      <c r="H6203" s="19">
        <v>5</v>
      </c>
      <c r="I6203" s="17">
        <v>5</v>
      </c>
      <c r="J6203" t="s" s="11">
        <v>20</v>
      </c>
      <c r="K6203" t="s" s="16">
        <f>HYPERLINK("http://csr.bu.edu/ftp/asl/asllvd/demos/verify_start_end_handshape_annotations//test_auto_move//signs_mov/1357.mov","MOV")</f>
        <v>21</v>
      </c>
      <c r="L6203" t="s" s="16">
        <f>HYPERLINK("http://csr.bu.edu/ftp/asl/asllvd/demos/verify_start_end_handshape_annotations//test_auto_move//signs_mov_separ_signers/Tyler_1357.mov","MOV")</f>
        <v>21</v>
      </c>
      <c r="M6203" t="s" s="10">
        <v>37</v>
      </c>
      <c r="N6203" s="17">
        <v>16</v>
      </c>
      <c r="O6203" s="18">
        <v>1960</v>
      </c>
      <c r="P6203" s="18">
        <v>2002</v>
      </c>
      <c r="Q6203" t="s" s="16">
        <f>HYPERLINK("http://secrets.rutgers.edu:8080/data/asl-ftp/asllvd/demos/verify_start_end_handshape_annotations//test_auto_move//signs_mov/1357.mov","MOV")</f>
        <v>21</v>
      </c>
      <c r="R6203" t="s" s="16">
        <f>HYPERLINK("http://secrets.rutgers.edu:8080/data/asl-ftp/asllvd/demos/verify_start_end_handshape_annotations//test_auto_move//signs_mov_separ_signers/Tyler_1357.mov","MOV")</f>
        <v>21</v>
      </c>
    </row>
    <row r="6204" s="2" customFormat="1" ht="13.5" customHeight="1">
      <c r="B6204" s="13"/>
      <c r="C6204" t="s" s="9">
        <v>27</v>
      </c>
      <c r="D6204" t="s" s="8">
        <v>2121</v>
      </c>
      <c r="E6204" t="s" s="9">
        <v>2122</v>
      </c>
      <c r="F6204" s="19">
        <v>5</v>
      </c>
      <c r="G6204" s="17">
        <v>5</v>
      </c>
      <c r="H6204" s="19">
        <v>5</v>
      </c>
      <c r="I6204" s="17">
        <v>5</v>
      </c>
      <c r="J6204" t="s" s="11">
        <v>20</v>
      </c>
      <c r="K6204" s="15"/>
      <c r="L6204" t="s" s="16">
        <f>HYPERLINK("http://csr.bu.edu/ftp/asl/asllvd/demos/verify_start_end_handshape_annotations//test_auto_move//signs_mov_separ_signers/Naomi_1357.mov","MOV")</f>
        <v>21</v>
      </c>
      <c r="M6204" t="s" s="10">
        <v>38</v>
      </c>
      <c r="N6204" s="17">
        <v>36</v>
      </c>
      <c r="O6204" s="18">
        <v>2867</v>
      </c>
      <c r="P6204" s="18">
        <v>2900</v>
      </c>
      <c r="Q6204" s="15"/>
      <c r="R6204" t="s" s="16">
        <f>HYPERLINK("http://secrets.rutgers.edu:8080/data/asl-ftp/asllvd/demos/verify_start_end_handshape_annotations//test_auto_move//signs_mov_separ_signers/Naomi_1357.mov","MOV")</f>
        <v>21</v>
      </c>
    </row>
    <row r="6205" s="2" customFormat="1" ht="13.5" customHeight="1">
      <c r="B6205" s="13"/>
      <c r="C6205" t="s" s="9">
        <v>30</v>
      </c>
      <c r="D6205" t="s" s="8">
        <v>2121</v>
      </c>
      <c r="E6205" t="s" s="9">
        <v>2122</v>
      </c>
      <c r="F6205" t="s" s="10">
        <v>73</v>
      </c>
      <c r="G6205" t="s" s="11">
        <v>73</v>
      </c>
      <c r="H6205" t="s" s="10">
        <v>73</v>
      </c>
      <c r="I6205" t="s" s="11">
        <v>73</v>
      </c>
      <c r="J6205" t="s" s="11">
        <v>20</v>
      </c>
      <c r="K6205" s="15"/>
      <c r="L6205" t="s" s="16">
        <f>HYPERLINK("http://csr.bu.edu/ftp/asl/asllvd/demos/verify_start_end_handshape_annotations//test_auto_move//signs_mov_separ_signers/Brady_1357.mov","MOV")</f>
        <v>21</v>
      </c>
      <c r="M6205" t="s" s="10">
        <v>39</v>
      </c>
      <c r="N6205" s="17">
        <v>46</v>
      </c>
      <c r="O6205" s="18">
        <v>4271</v>
      </c>
      <c r="P6205" s="18">
        <v>4311</v>
      </c>
      <c r="Q6205" s="15"/>
      <c r="R6205" t="s" s="16">
        <f>HYPERLINK("http://secrets.rutgers.edu:8080/data/asl-ftp/asllvd/demos/verify_start_end_handshape_annotations//test_auto_move//signs_mov_separ_signers/Brady_1357.mov","MOV")</f>
        <v>21</v>
      </c>
    </row>
    <row r="6206" s="2" customFormat="1" ht="13.5" customHeight="1">
      <c r="B6206" t="s" s="8">
        <v>2123</v>
      </c>
      <c r="C6206" t="s" s="9">
        <v>14</v>
      </c>
      <c r="D6206" t="s" s="8">
        <v>14</v>
      </c>
      <c r="E6206" t="s" s="9">
        <v>14</v>
      </c>
      <c r="F6206" t="s" s="10">
        <v>14</v>
      </c>
      <c r="G6206" t="s" s="11">
        <v>14</v>
      </c>
      <c r="H6206" t="s" s="10">
        <v>14</v>
      </c>
      <c r="I6206" t="s" s="11">
        <v>14</v>
      </c>
      <c r="J6206" t="s" s="11">
        <v>14</v>
      </c>
      <c r="K6206" t="s" s="12">
        <v>14</v>
      </c>
      <c r="L6206" t="s" s="12">
        <v>14</v>
      </c>
      <c r="M6206" t="s" s="10">
        <v>14</v>
      </c>
      <c r="N6206" t="s" s="11">
        <v>14</v>
      </c>
      <c r="O6206" t="s" s="8">
        <v>14</v>
      </c>
      <c r="P6206" t="s" s="8">
        <v>14</v>
      </c>
      <c r="Q6206" t="s" s="12">
        <v>14</v>
      </c>
      <c r="R6206" t="s" s="12">
        <v>14</v>
      </c>
    </row>
    <row r="6207" s="2" customFormat="1" ht="13.5" customHeight="1">
      <c r="B6207" s="13"/>
      <c r="C6207" t="s" s="9">
        <v>16</v>
      </c>
      <c r="D6207" t="s" s="8">
        <v>2123</v>
      </c>
      <c r="E6207" t="s" s="9">
        <v>2124</v>
      </c>
      <c r="F6207" t="s" s="10">
        <v>73</v>
      </c>
      <c r="G6207" t="s" s="11">
        <v>73</v>
      </c>
      <c r="H6207" t="s" s="10">
        <v>73</v>
      </c>
      <c r="I6207" t="s" s="11">
        <v>73</v>
      </c>
      <c r="J6207" t="s" s="11">
        <v>20</v>
      </c>
      <c r="K6207" s="15"/>
      <c r="L6207" t="s" s="16">
        <f>HYPERLINK("http://csr.bu.edu/ftp/asl/asllvd/demos/verify_start_end_handshape_annotations//test_auto_move//signs_mov_separ_signers/Liz_1358.mov","MOV")</f>
        <v>21</v>
      </c>
      <c r="M6207" t="s" s="10">
        <v>34</v>
      </c>
      <c r="N6207" s="17">
        <v>43</v>
      </c>
      <c r="O6207" s="18">
        <v>3261</v>
      </c>
      <c r="P6207" s="18">
        <v>3320</v>
      </c>
      <c r="Q6207" s="15"/>
      <c r="R6207" t="s" s="16">
        <f>HYPERLINK("http://secrets.rutgers.edu:8080/data/asl-ftp/asllvd/demos/verify_start_end_handshape_annotations//test_auto_move//signs_mov_separ_signers/Liz_1358.mov","MOV")</f>
        <v>21</v>
      </c>
    </row>
    <row r="6208" s="2" customFormat="1" ht="13.5" customHeight="1">
      <c r="B6208" s="13"/>
      <c r="C6208" t="s" s="9">
        <v>23</v>
      </c>
      <c r="D6208" t="s" s="8">
        <v>2123</v>
      </c>
      <c r="E6208" t="s" s="9">
        <v>2123</v>
      </c>
      <c r="F6208" t="s" s="10">
        <v>73</v>
      </c>
      <c r="G6208" t="s" s="11">
        <v>73</v>
      </c>
      <c r="H6208" t="s" s="10">
        <v>73</v>
      </c>
      <c r="I6208" t="s" s="11">
        <v>73</v>
      </c>
      <c r="J6208" t="s" s="11">
        <v>20</v>
      </c>
      <c r="K6208" t="s" s="16">
        <f>HYPERLINK("http://csr.bu.edu/ftp/asl/asllvd/demos/verify_start_end_handshape_annotations//test_auto_move//signs_mov/1358.mov","MOV")</f>
        <v>21</v>
      </c>
      <c r="L6208" t="s" s="16">
        <f>HYPERLINK("http://csr.bu.edu/ftp/asl/asllvd/demos/verify_start_end_handshape_annotations//test_auto_move//signs_mov_separ_signers/Tyler_1358.mov","MOV")</f>
        <v>21</v>
      </c>
      <c r="M6208" t="s" s="10">
        <v>37</v>
      </c>
      <c r="N6208" s="17">
        <v>16</v>
      </c>
      <c r="O6208" s="18">
        <v>2220</v>
      </c>
      <c r="P6208" s="18">
        <v>2250</v>
      </c>
      <c r="Q6208" t="s" s="16">
        <f>HYPERLINK("http://secrets.rutgers.edu:8080/data/asl-ftp/asllvd/demos/verify_start_end_handshape_annotations//test_auto_move//signs_mov/1358.mov","MOV")</f>
        <v>21</v>
      </c>
      <c r="R6208" t="s" s="16">
        <f>HYPERLINK("http://secrets.rutgers.edu:8080/data/asl-ftp/asllvd/demos/verify_start_end_handshape_annotations//test_auto_move//signs_mov_separ_signers/Tyler_1358.mov","MOV")</f>
        <v>21</v>
      </c>
    </row>
    <row r="6209" s="2" customFormat="1" ht="13.5" customHeight="1">
      <c r="B6209" s="13"/>
      <c r="C6209" t="s" s="9">
        <v>27</v>
      </c>
      <c r="D6209" t="s" s="8">
        <v>2123</v>
      </c>
      <c r="E6209" t="s" s="9">
        <v>2124</v>
      </c>
      <c r="F6209" t="s" s="10">
        <v>73</v>
      </c>
      <c r="G6209" t="s" s="11">
        <v>73</v>
      </c>
      <c r="H6209" t="s" s="10">
        <v>73</v>
      </c>
      <c r="I6209" t="s" s="11">
        <v>73</v>
      </c>
      <c r="J6209" t="s" s="11">
        <v>20</v>
      </c>
      <c r="K6209" s="15"/>
      <c r="L6209" t="s" s="16">
        <f>HYPERLINK("http://csr.bu.edu/ftp/asl/asllvd/demos/verify_start_end_handshape_annotations//test_auto_move//signs_mov_separ_signers/Naomi_1358.mov","MOV")</f>
        <v>21</v>
      </c>
      <c r="M6209" t="s" s="10">
        <v>38</v>
      </c>
      <c r="N6209" s="17">
        <v>36</v>
      </c>
      <c r="O6209" s="18">
        <v>3153</v>
      </c>
      <c r="P6209" s="18">
        <v>3180</v>
      </c>
      <c r="Q6209" s="15"/>
      <c r="R6209" t="s" s="16">
        <f>HYPERLINK("http://secrets.rutgers.edu:8080/data/asl-ftp/asllvd/demos/verify_start_end_handshape_annotations//test_auto_move//signs_mov_separ_signers/Naomi_1358.mov","MOV")</f>
        <v>21</v>
      </c>
    </row>
    <row r="6210" s="2" customFormat="1" ht="13.5" customHeight="1">
      <c r="B6210" s="13"/>
      <c r="C6210" t="s" s="9">
        <v>30</v>
      </c>
      <c r="D6210" t="s" s="8">
        <v>2123</v>
      </c>
      <c r="E6210" t="s" s="9">
        <v>2124</v>
      </c>
      <c r="F6210" t="s" s="10">
        <v>73</v>
      </c>
      <c r="G6210" t="s" s="11">
        <v>73</v>
      </c>
      <c r="H6210" t="s" s="10">
        <v>73</v>
      </c>
      <c r="I6210" t="s" s="11">
        <v>73</v>
      </c>
      <c r="J6210" t="s" s="11">
        <v>20</v>
      </c>
      <c r="K6210" s="15"/>
      <c r="L6210" t="s" s="16">
        <f>HYPERLINK("http://csr.bu.edu/ftp/asl/asllvd/demos/verify_start_end_handshape_annotations//test_auto_move//signs_mov_separ_signers/Brady_1358.mov","MOV")</f>
        <v>21</v>
      </c>
      <c r="M6210" t="s" s="10">
        <v>39</v>
      </c>
      <c r="N6210" s="17">
        <v>46</v>
      </c>
      <c r="O6210" s="18">
        <v>4506</v>
      </c>
      <c r="P6210" s="18">
        <v>4540</v>
      </c>
      <c r="Q6210" s="15"/>
      <c r="R6210" t="s" s="16">
        <f>HYPERLINK("http://secrets.rutgers.edu:8080/data/asl-ftp/asllvd/demos/verify_start_end_handshape_annotations//test_auto_move//signs_mov_separ_signers/Brady_1358.mov","MOV")</f>
        <v>21</v>
      </c>
    </row>
    <row r="6211" s="2" customFormat="1" ht="13.5" customHeight="1">
      <c r="B6211" t="s" s="8">
        <v>2125</v>
      </c>
      <c r="C6211" t="s" s="9">
        <v>14</v>
      </c>
      <c r="D6211" t="s" s="8">
        <v>14</v>
      </c>
      <c r="E6211" t="s" s="9">
        <v>14</v>
      </c>
      <c r="F6211" t="s" s="10">
        <v>14</v>
      </c>
      <c r="G6211" t="s" s="11">
        <v>14</v>
      </c>
      <c r="H6211" t="s" s="10">
        <v>14</v>
      </c>
      <c r="I6211" t="s" s="11">
        <v>14</v>
      </c>
      <c r="J6211" t="s" s="11">
        <v>14</v>
      </c>
      <c r="K6211" t="s" s="12">
        <v>14</v>
      </c>
      <c r="L6211" t="s" s="12">
        <v>14</v>
      </c>
      <c r="M6211" t="s" s="10">
        <v>14</v>
      </c>
      <c r="N6211" t="s" s="11">
        <v>14</v>
      </c>
      <c r="O6211" t="s" s="8">
        <v>14</v>
      </c>
      <c r="P6211" t="s" s="8">
        <v>14</v>
      </c>
      <c r="Q6211" t="s" s="12">
        <v>14</v>
      </c>
      <c r="R6211" t="s" s="12">
        <v>14</v>
      </c>
    </row>
    <row r="6212" s="2" customFormat="1" ht="13.5" customHeight="1">
      <c r="B6212" s="13"/>
      <c r="C6212" t="s" s="9">
        <v>16</v>
      </c>
      <c r="D6212" t="s" s="8">
        <v>2125</v>
      </c>
      <c r="E6212" t="s" s="9">
        <v>2125</v>
      </c>
      <c r="F6212" t="s" s="10">
        <v>287</v>
      </c>
      <c r="G6212" t="s" s="11">
        <v>287</v>
      </c>
      <c r="H6212" t="s" s="10">
        <v>287</v>
      </c>
      <c r="I6212" t="s" s="11">
        <v>287</v>
      </c>
      <c r="J6212" t="s" s="11">
        <v>20</v>
      </c>
      <c r="K6212" s="15"/>
      <c r="L6212" t="s" s="16">
        <f>HYPERLINK("http://csr.bu.edu/ftp/asl/asllvd/demos/verify_start_end_handshape_annotations//test_auto_move//signs_mov_separ_signers/Liz_1363.mov","MOV")</f>
        <v>21</v>
      </c>
      <c r="M6212" t="s" s="10">
        <v>34</v>
      </c>
      <c r="N6212" s="17">
        <v>44</v>
      </c>
      <c r="O6212" s="18">
        <v>895</v>
      </c>
      <c r="P6212" s="18">
        <v>935</v>
      </c>
      <c r="Q6212" s="15"/>
      <c r="R6212" t="s" s="16">
        <f>HYPERLINK("http://secrets.rutgers.edu:8080/data/asl-ftp/asllvd/demos/verify_start_end_handshape_annotations//test_auto_move//signs_mov_separ_signers/Liz_1363.mov","MOV")</f>
        <v>21</v>
      </c>
    </row>
    <row r="6213" s="2" customFormat="1" ht="13.5" customHeight="1">
      <c r="B6213" s="13"/>
      <c r="C6213" t="s" s="9">
        <v>23</v>
      </c>
      <c r="D6213" t="s" s="8">
        <v>2125</v>
      </c>
      <c r="E6213" t="s" s="9">
        <v>2125</v>
      </c>
      <c r="F6213" t="s" s="10">
        <v>287</v>
      </c>
      <c r="G6213" t="s" s="11">
        <v>287</v>
      </c>
      <c r="H6213" t="s" s="10">
        <v>287</v>
      </c>
      <c r="I6213" t="s" s="11">
        <v>287</v>
      </c>
      <c r="J6213" t="s" s="11">
        <v>20</v>
      </c>
      <c r="K6213" t="s" s="16">
        <f>HYPERLINK("http://csr.bu.edu/ftp/asl/asllvd/demos/verify_start_end_handshape_annotations//test_auto_move//signs_mov/1363.mov","MOV")</f>
        <v>21</v>
      </c>
      <c r="L6213" t="s" s="16">
        <f>HYPERLINK("http://csr.bu.edu/ftp/asl/asllvd/demos/verify_start_end_handshape_annotations//test_auto_move//signs_mov_separ_signers/Tyler_1363.mov","MOV")</f>
        <v>21</v>
      </c>
      <c r="M6213" t="s" s="10">
        <v>37</v>
      </c>
      <c r="N6213" s="17">
        <v>17</v>
      </c>
      <c r="O6213" s="18">
        <v>797</v>
      </c>
      <c r="P6213" s="18">
        <v>815</v>
      </c>
      <c r="Q6213" t="s" s="16">
        <f>HYPERLINK("http://secrets.rutgers.edu:8080/data/asl-ftp/asllvd/demos/verify_start_end_handshape_annotations//test_auto_move//signs_mov/1363.mov","MOV")</f>
        <v>21</v>
      </c>
      <c r="R6213" t="s" s="16">
        <f>HYPERLINK("http://secrets.rutgers.edu:8080/data/asl-ftp/asllvd/demos/verify_start_end_handshape_annotations//test_auto_move//signs_mov_separ_signers/Tyler_1363.mov","MOV")</f>
        <v>21</v>
      </c>
    </row>
    <row r="6214" s="2" customFormat="1" ht="13.5" customHeight="1">
      <c r="B6214" s="13"/>
      <c r="C6214" t="s" s="9">
        <v>27</v>
      </c>
      <c r="D6214" t="s" s="8">
        <v>2125</v>
      </c>
      <c r="E6214" t="s" s="9">
        <v>2125</v>
      </c>
      <c r="F6214" t="s" s="10">
        <v>287</v>
      </c>
      <c r="G6214" t="s" s="11">
        <v>287</v>
      </c>
      <c r="H6214" t="s" s="10">
        <v>287</v>
      </c>
      <c r="I6214" t="s" s="11">
        <v>287</v>
      </c>
      <c r="J6214" t="s" s="11">
        <v>20</v>
      </c>
      <c r="K6214" s="15"/>
      <c r="L6214" t="s" s="16">
        <f>HYPERLINK("http://csr.bu.edu/ftp/asl/asllvd/demos/verify_start_end_handshape_annotations//test_auto_move//signs_mov_separ_signers/Naomi_1363.mov","MOV")</f>
        <v>21</v>
      </c>
      <c r="M6214" t="s" s="10">
        <v>38</v>
      </c>
      <c r="N6214" s="17">
        <v>37</v>
      </c>
      <c r="O6214" s="18">
        <v>2208</v>
      </c>
      <c r="P6214" s="18">
        <v>2225</v>
      </c>
      <c r="Q6214" s="15"/>
      <c r="R6214" t="s" s="16">
        <f>HYPERLINK("http://secrets.rutgers.edu:8080/data/asl-ftp/asllvd/demos/verify_start_end_handshape_annotations//test_auto_move//signs_mov_separ_signers/Naomi_1363.mov","MOV")</f>
        <v>21</v>
      </c>
    </row>
    <row r="6215" s="2" customFormat="1" ht="13.5" customHeight="1">
      <c r="B6215" s="13"/>
      <c r="C6215" t="s" s="9">
        <v>30</v>
      </c>
      <c r="D6215" t="s" s="8">
        <v>2125</v>
      </c>
      <c r="E6215" t="s" s="9">
        <v>2125</v>
      </c>
      <c r="F6215" t="s" s="10">
        <v>287</v>
      </c>
      <c r="G6215" t="s" s="11">
        <v>287</v>
      </c>
      <c r="H6215" t="s" s="10">
        <v>287</v>
      </c>
      <c r="I6215" t="s" s="11">
        <v>287</v>
      </c>
      <c r="J6215" t="s" s="11">
        <v>20</v>
      </c>
      <c r="K6215" s="15"/>
      <c r="L6215" t="s" s="16">
        <f>HYPERLINK("http://csr.bu.edu/ftp/asl/asllvd/demos/verify_start_end_handshape_annotations//test_auto_move//signs_mov_separ_signers/Brady_1363.mov","MOV")</f>
        <v>21</v>
      </c>
      <c r="M6215" t="s" s="10">
        <v>39</v>
      </c>
      <c r="N6215" s="17">
        <v>46</v>
      </c>
      <c r="O6215" s="18">
        <v>4970</v>
      </c>
      <c r="P6215" s="18">
        <v>4983</v>
      </c>
      <c r="Q6215" s="15"/>
      <c r="R6215" t="s" s="16">
        <f>HYPERLINK("http://secrets.rutgers.edu:8080/data/asl-ftp/asllvd/demos/verify_start_end_handshape_annotations//test_auto_move//signs_mov_separ_signers/Brady_1363.mov","MOV")</f>
        <v>21</v>
      </c>
    </row>
    <row r="6216" s="2" customFormat="1" ht="13.5" customHeight="1">
      <c r="B6216" t="s" s="8">
        <v>2126</v>
      </c>
      <c r="C6216" t="s" s="9">
        <v>14</v>
      </c>
      <c r="D6216" t="s" s="8">
        <v>14</v>
      </c>
      <c r="E6216" t="s" s="9">
        <v>14</v>
      </c>
      <c r="F6216" t="s" s="10">
        <v>14</v>
      </c>
      <c r="G6216" t="s" s="11">
        <v>14</v>
      </c>
      <c r="H6216" t="s" s="10">
        <v>14</v>
      </c>
      <c r="I6216" t="s" s="11">
        <v>14</v>
      </c>
      <c r="J6216" t="s" s="11">
        <v>14</v>
      </c>
      <c r="K6216" t="s" s="12">
        <v>14</v>
      </c>
      <c r="L6216" t="s" s="12">
        <v>14</v>
      </c>
      <c r="M6216" t="s" s="10">
        <v>14</v>
      </c>
      <c r="N6216" t="s" s="11">
        <v>14</v>
      </c>
      <c r="O6216" t="s" s="8">
        <v>14</v>
      </c>
      <c r="P6216" t="s" s="8">
        <v>14</v>
      </c>
      <c r="Q6216" t="s" s="12">
        <v>14</v>
      </c>
      <c r="R6216" t="s" s="12">
        <v>14</v>
      </c>
    </row>
    <row r="6217" s="2" customFormat="1" ht="13.5" customHeight="1">
      <c r="B6217" s="13"/>
      <c r="C6217" t="s" s="9">
        <v>16</v>
      </c>
      <c r="D6217" t="s" s="8">
        <v>2126</v>
      </c>
      <c r="E6217" t="s" s="9">
        <v>2127</v>
      </c>
      <c r="F6217" t="s" s="10">
        <v>25</v>
      </c>
      <c r="G6217" t="s" s="11">
        <v>25</v>
      </c>
      <c r="H6217" t="s" s="10">
        <v>25</v>
      </c>
      <c r="I6217" t="s" s="11">
        <v>25</v>
      </c>
      <c r="J6217" t="s" s="11">
        <v>20</v>
      </c>
      <c r="K6217" s="15"/>
      <c r="L6217" t="s" s="16">
        <f>HYPERLINK("http://csr.bu.edu/ftp/asl/asllvd/demos/verify_start_end_handshape_annotations//test_auto_move//signs_mov_separ_signers/Liz_1366.mov","MOV")</f>
        <v>21</v>
      </c>
      <c r="M6217" t="s" s="10">
        <v>34</v>
      </c>
      <c r="N6217" s="17">
        <v>44</v>
      </c>
      <c r="O6217" s="18">
        <v>1595</v>
      </c>
      <c r="P6217" s="18">
        <v>1630</v>
      </c>
      <c r="Q6217" s="15"/>
      <c r="R6217" t="s" s="16">
        <f>HYPERLINK("http://secrets.rutgers.edu:8080/data/asl-ftp/asllvd/demos/verify_start_end_handshape_annotations//test_auto_move//signs_mov_separ_signers/Liz_1366.mov","MOV")</f>
        <v>21</v>
      </c>
    </row>
    <row r="6218" s="2" customFormat="1" ht="13.5" customHeight="1">
      <c r="B6218" s="13"/>
      <c r="C6218" t="s" s="9">
        <v>23</v>
      </c>
      <c r="D6218" t="s" s="8">
        <v>2126</v>
      </c>
      <c r="E6218" t="s" s="9">
        <v>2128</v>
      </c>
      <c r="F6218" t="s" s="10">
        <v>25</v>
      </c>
      <c r="G6218" t="s" s="11">
        <v>25</v>
      </c>
      <c r="H6218" s="19">
        <v>10</v>
      </c>
      <c r="I6218" s="17">
        <v>10</v>
      </c>
      <c r="J6218" t="s" s="11">
        <v>20</v>
      </c>
      <c r="K6218" t="s" s="16">
        <f>HYPERLINK("http://csr.bu.edu/ftp/asl/asllvd/demos/verify_start_end_handshape_annotations//test_auto_move//signs_mov/1366.mov","MOV")</f>
        <v>21</v>
      </c>
      <c r="L6218" t="s" s="16">
        <f>HYPERLINK("http://csr.bu.edu/ftp/asl/asllvd/demos/verify_start_end_handshape_annotations//test_auto_move//signs_mov_separ_signers/Tyler_1366.mov","MOV")</f>
        <v>21</v>
      </c>
      <c r="M6218" t="s" s="10">
        <v>37</v>
      </c>
      <c r="N6218" s="17">
        <v>17</v>
      </c>
      <c r="O6218" s="18">
        <v>1791</v>
      </c>
      <c r="P6218" s="18">
        <v>1826</v>
      </c>
      <c r="Q6218" t="s" s="16">
        <f>HYPERLINK("http://secrets.rutgers.edu:8080/data/asl-ftp/asllvd/demos/verify_start_end_handshape_annotations//test_auto_move//signs_mov/1366.mov","MOV")</f>
        <v>21</v>
      </c>
      <c r="R6218" t="s" s="16">
        <f>HYPERLINK("http://secrets.rutgers.edu:8080/data/asl-ftp/asllvd/demos/verify_start_end_handshape_annotations//test_auto_move//signs_mov_separ_signers/Tyler_1366.mov","MOV")</f>
        <v>21</v>
      </c>
    </row>
    <row r="6219" s="2" customFormat="1" ht="13.5" customHeight="1">
      <c r="B6219" s="13"/>
      <c r="C6219" t="s" s="9">
        <v>27</v>
      </c>
      <c r="D6219" t="s" s="8">
        <v>2126</v>
      </c>
      <c r="E6219" t="s" s="9">
        <v>2128</v>
      </c>
      <c r="F6219" t="s" s="10">
        <v>25</v>
      </c>
      <c r="G6219" t="s" s="11">
        <v>25</v>
      </c>
      <c r="H6219" s="19">
        <v>10</v>
      </c>
      <c r="I6219" s="17">
        <v>10</v>
      </c>
      <c r="J6219" t="s" s="11">
        <v>20</v>
      </c>
      <c r="K6219" s="15"/>
      <c r="L6219" t="s" s="16">
        <f>HYPERLINK("http://csr.bu.edu/ftp/asl/asllvd/demos/verify_start_end_handshape_annotations//test_auto_move//signs_mov_separ_signers/Naomi_1366.mov","MOV")</f>
        <v>21</v>
      </c>
      <c r="M6219" t="s" s="10">
        <v>38</v>
      </c>
      <c r="N6219" s="17">
        <v>37</v>
      </c>
      <c r="O6219" s="18">
        <v>3815</v>
      </c>
      <c r="P6219" s="18">
        <v>3857</v>
      </c>
      <c r="Q6219" s="15"/>
      <c r="R6219" t="s" s="16">
        <f>HYPERLINK("http://secrets.rutgers.edu:8080/data/asl-ftp/asllvd/demos/verify_start_end_handshape_annotations//test_auto_move//signs_mov_separ_signers/Naomi_1366.mov","MOV")</f>
        <v>21</v>
      </c>
    </row>
    <row r="6220" s="2" customFormat="1" ht="13.5" customHeight="1">
      <c r="B6220" s="13"/>
      <c r="C6220" t="s" s="9">
        <v>30</v>
      </c>
      <c r="D6220" t="s" s="8">
        <v>2126</v>
      </c>
      <c r="E6220" t="s" s="9">
        <v>2127</v>
      </c>
      <c r="F6220" t="s" s="10">
        <v>25</v>
      </c>
      <c r="G6220" t="s" s="11">
        <v>25</v>
      </c>
      <c r="H6220" t="s" s="10">
        <v>25</v>
      </c>
      <c r="I6220" t="s" s="11">
        <v>25</v>
      </c>
      <c r="J6220" t="s" s="11">
        <v>20</v>
      </c>
      <c r="K6220" s="15"/>
      <c r="L6220" t="s" s="16">
        <f>HYPERLINK("http://csr.bu.edu/ftp/asl/asllvd/demos/verify_start_end_handshape_annotations//test_auto_move//signs_mov_separ_signers/Brady_1366.mov","MOV")</f>
        <v>21</v>
      </c>
      <c r="M6220" t="s" s="10">
        <v>39</v>
      </c>
      <c r="N6220" s="17">
        <v>47</v>
      </c>
      <c r="O6220" s="18">
        <v>1777</v>
      </c>
      <c r="P6220" s="18">
        <v>1811</v>
      </c>
      <c r="Q6220" s="15"/>
      <c r="R6220" t="s" s="16">
        <f>HYPERLINK("http://secrets.rutgers.edu:8080/data/asl-ftp/asllvd/demos/verify_start_end_handshape_annotations//test_auto_move//signs_mov_separ_signers/Brady_1366.mov","MOV")</f>
        <v>21</v>
      </c>
    </row>
    <row r="6221" s="2" customFormat="1" ht="13.5" customHeight="1">
      <c r="B6221" t="s" s="8">
        <v>52</v>
      </c>
      <c r="C6221" t="s" s="9">
        <v>53</v>
      </c>
      <c r="D6221" t="s" s="8">
        <v>53</v>
      </c>
      <c r="E6221" t="s" s="9">
        <v>53</v>
      </c>
      <c r="F6221" t="s" s="10">
        <v>53</v>
      </c>
      <c r="G6221" t="s" s="11">
        <v>53</v>
      </c>
      <c r="H6221" t="s" s="10">
        <v>53</v>
      </c>
      <c r="I6221" t="s" s="11">
        <v>53</v>
      </c>
      <c r="J6221" t="s" s="11">
        <v>53</v>
      </c>
      <c r="K6221" t="s" s="12">
        <v>53</v>
      </c>
      <c r="L6221" t="s" s="12">
        <v>53</v>
      </c>
      <c r="M6221" t="s" s="10">
        <v>53</v>
      </c>
      <c r="N6221" t="s" s="11">
        <v>53</v>
      </c>
      <c r="O6221" t="s" s="8">
        <v>53</v>
      </c>
      <c r="P6221" t="s" s="8">
        <v>53</v>
      </c>
      <c r="Q6221" t="s" s="12">
        <v>53</v>
      </c>
      <c r="R6221" t="s" s="12">
        <v>53</v>
      </c>
    </row>
    <row r="6222" s="2" customFormat="1" ht="13.5" customHeight="1">
      <c r="B6222" s="13"/>
      <c r="C6222" t="s" s="9">
        <v>23</v>
      </c>
      <c r="D6222" t="s" s="8">
        <v>2126</v>
      </c>
      <c r="E6222" t="s" s="9">
        <v>2129</v>
      </c>
      <c r="F6222" t="s" s="10">
        <v>25</v>
      </c>
      <c r="G6222" s="14"/>
      <c r="H6222" t="s" s="10">
        <v>626</v>
      </c>
      <c r="I6222" s="14"/>
      <c r="J6222" t="s" s="11">
        <v>20</v>
      </c>
      <c r="K6222" t="s" s="16">
        <f>HYPERLINK("http://csr.bu.edu/ftp/asl/asllvd/demos/verify_start_end_handshape_annotations//test_auto_move//signs_mov/3348.mov","MOV")</f>
        <v>21</v>
      </c>
      <c r="L6222" t="s" s="16">
        <f>HYPERLINK("http://csr.bu.edu/ftp/asl/asllvd/demos/verify_start_end_handshape_annotations//test_auto_move//signs_mov_separ_signers/Tyler_3348.mov","MOV")</f>
        <v>21</v>
      </c>
      <c r="M6222" t="s" s="10">
        <v>26</v>
      </c>
      <c r="N6222" s="17">
        <v>46</v>
      </c>
      <c r="O6222" s="18">
        <v>1786</v>
      </c>
      <c r="P6222" s="18">
        <v>1820</v>
      </c>
      <c r="Q6222" t="s" s="16">
        <f>HYPERLINK("http://secrets.rutgers.edu:8080/data/asl-ftp/asllvd/demos/verify_start_end_handshape_annotations//test_auto_move//signs_mov/3348.mov","MOV")</f>
        <v>21</v>
      </c>
      <c r="R6222" t="s" s="16">
        <f>HYPERLINK("http://secrets.rutgers.edu:8080/data/asl-ftp/asllvd/demos/verify_start_end_handshape_annotations//test_auto_move//signs_mov_separ_signers/Tyler_3348.mov","MOV")</f>
        <v>21</v>
      </c>
    </row>
    <row r="6223" s="2" customFormat="1" ht="13.5" customHeight="1">
      <c r="B6223" t="s" s="8">
        <v>2130</v>
      </c>
      <c r="C6223" t="s" s="9">
        <v>14</v>
      </c>
      <c r="D6223" t="s" s="8">
        <v>14</v>
      </c>
      <c r="E6223" t="s" s="9">
        <v>14</v>
      </c>
      <c r="F6223" t="s" s="10">
        <v>14</v>
      </c>
      <c r="G6223" t="s" s="11">
        <v>14</v>
      </c>
      <c r="H6223" t="s" s="10">
        <v>14</v>
      </c>
      <c r="I6223" t="s" s="11">
        <v>14</v>
      </c>
      <c r="J6223" t="s" s="11">
        <v>14</v>
      </c>
      <c r="K6223" t="s" s="12">
        <v>14</v>
      </c>
      <c r="L6223" t="s" s="12">
        <v>14</v>
      </c>
      <c r="M6223" t="s" s="10">
        <v>14</v>
      </c>
      <c r="N6223" t="s" s="11">
        <v>14</v>
      </c>
      <c r="O6223" t="s" s="8">
        <v>14</v>
      </c>
      <c r="P6223" t="s" s="8">
        <v>14</v>
      </c>
      <c r="Q6223" t="s" s="12">
        <v>14</v>
      </c>
      <c r="R6223" t="s" s="12">
        <v>14</v>
      </c>
    </row>
    <row r="6224" s="2" customFormat="1" ht="13.5" customHeight="1">
      <c r="B6224" s="13"/>
      <c r="C6224" t="s" s="9">
        <v>16</v>
      </c>
      <c r="D6224" t="s" s="8">
        <v>2130</v>
      </c>
      <c r="E6224" t="s" s="9">
        <v>2131</v>
      </c>
      <c r="F6224" t="s" s="10">
        <v>25</v>
      </c>
      <c r="G6224" s="14"/>
      <c r="H6224" t="s" s="10">
        <v>25</v>
      </c>
      <c r="I6224" s="14"/>
      <c r="J6224" t="s" s="11">
        <v>20</v>
      </c>
      <c r="K6224" s="15"/>
      <c r="L6224" t="s" s="16">
        <f>HYPERLINK("http://csr.bu.edu/ftp/asl/asllvd/demos/verify_start_end_handshape_annotations//test_auto_move//signs_mov_separ_signers/Liz_1369.mov","MOV")</f>
        <v>21</v>
      </c>
      <c r="M6224" t="s" s="10">
        <v>34</v>
      </c>
      <c r="N6224" s="17">
        <v>44</v>
      </c>
      <c r="O6224" s="18">
        <v>2482</v>
      </c>
      <c r="P6224" s="18">
        <v>2535</v>
      </c>
      <c r="Q6224" s="15"/>
      <c r="R6224" t="s" s="16">
        <f>HYPERLINK("http://secrets.rutgers.edu:8080/data/asl-ftp/asllvd/demos/verify_start_end_handshape_annotations//test_auto_move//signs_mov_separ_signers/Liz_1369.mov","MOV")</f>
        <v>21</v>
      </c>
    </row>
    <row r="6225" s="2" customFormat="1" ht="13.5" customHeight="1">
      <c r="B6225" s="13"/>
      <c r="C6225" t="s" s="9">
        <v>23</v>
      </c>
      <c r="D6225" t="s" s="8">
        <v>2130</v>
      </c>
      <c r="E6225" t="s" s="9">
        <v>2132</v>
      </c>
      <c r="F6225" t="s" s="10">
        <v>25</v>
      </c>
      <c r="G6225" s="14"/>
      <c r="H6225" t="s" s="10">
        <v>25</v>
      </c>
      <c r="I6225" s="14"/>
      <c r="J6225" t="s" s="11">
        <v>20</v>
      </c>
      <c r="K6225" s="15"/>
      <c r="L6225" t="s" s="16">
        <f>HYPERLINK("http://csr.bu.edu/ftp/asl/asllvd/demos/verify_start_end_handshape_annotations//test_auto_move//signs_mov_separ_signers/Tyler_1369.mov","MOV")</f>
        <v>21</v>
      </c>
      <c r="M6225" t="s" s="10">
        <v>37</v>
      </c>
      <c r="N6225" s="17">
        <v>17</v>
      </c>
      <c r="O6225" s="18">
        <v>2421</v>
      </c>
      <c r="P6225" s="18">
        <v>2485</v>
      </c>
      <c r="Q6225" s="15"/>
      <c r="R6225" t="s" s="16">
        <f>HYPERLINK("http://secrets.rutgers.edu:8080/data/asl-ftp/asllvd/demos/verify_start_end_handshape_annotations//test_auto_move//signs_mov_separ_signers/Tyler_1369.mov","MOV")</f>
        <v>21</v>
      </c>
    </row>
    <row r="6226" s="2" customFormat="1" ht="13.5" customHeight="1">
      <c r="B6226" s="13"/>
      <c r="C6226" t="s" s="9">
        <v>27</v>
      </c>
      <c r="D6226" t="s" s="8">
        <v>2130</v>
      </c>
      <c r="E6226" t="s" s="9">
        <v>2130</v>
      </c>
      <c r="F6226" t="s" s="10">
        <v>25</v>
      </c>
      <c r="G6226" s="14"/>
      <c r="H6226" t="s" s="10">
        <v>25</v>
      </c>
      <c r="I6226" s="14"/>
      <c r="J6226" t="s" s="11">
        <v>20</v>
      </c>
      <c r="K6226" t="s" s="16">
        <f>HYPERLINK("http://csr.bu.edu/ftp/asl/asllvd/demos/verify_start_end_handshape_annotations//test_auto_move//signs_mov/1369.mov","MOV")</f>
        <v>21</v>
      </c>
      <c r="L6226" t="s" s="16">
        <f>HYPERLINK("http://csr.bu.edu/ftp/asl/asllvd/demos/verify_start_end_handshape_annotations//test_auto_move//signs_mov_separ_signers/Naomi_1369.mov","MOV")</f>
        <v>21</v>
      </c>
      <c r="M6226" t="s" s="10">
        <v>38</v>
      </c>
      <c r="N6226" s="17">
        <v>37</v>
      </c>
      <c r="O6226" s="18">
        <v>4640</v>
      </c>
      <c r="P6226" s="18">
        <v>4672</v>
      </c>
      <c r="Q6226" t="s" s="16">
        <f>HYPERLINK("http://secrets.rutgers.edu:8080/data/asl-ftp/asllvd/demos/verify_start_end_handshape_annotations//test_auto_move//signs_mov/1369.mov","MOV")</f>
        <v>21</v>
      </c>
      <c r="R6226" t="s" s="16">
        <f>HYPERLINK("http://secrets.rutgers.edu:8080/data/asl-ftp/asllvd/demos/verify_start_end_handshape_annotations//test_auto_move//signs_mov_separ_signers/Naomi_1369.mov","MOV")</f>
        <v>21</v>
      </c>
    </row>
    <row r="6227" s="2" customFormat="1" ht="13.5" customHeight="1">
      <c r="B6227" s="13"/>
      <c r="C6227" t="s" s="9">
        <v>30</v>
      </c>
      <c r="D6227" t="s" s="8">
        <v>2130</v>
      </c>
      <c r="E6227" t="s" s="9">
        <v>2132</v>
      </c>
      <c r="F6227" t="s" s="10">
        <v>25</v>
      </c>
      <c r="G6227" s="14"/>
      <c r="H6227" t="s" s="10">
        <v>25</v>
      </c>
      <c r="I6227" s="14"/>
      <c r="J6227" t="s" s="11">
        <v>20</v>
      </c>
      <c r="K6227" s="15"/>
      <c r="L6227" t="s" s="16">
        <f>HYPERLINK("http://csr.bu.edu/ftp/asl/asllvd/demos/verify_start_end_handshape_annotations//test_auto_move//signs_mov_separ_signers/Brady_1369.mov","MOV")</f>
        <v>21</v>
      </c>
      <c r="M6227" t="s" s="10">
        <v>39</v>
      </c>
      <c r="N6227" s="17">
        <v>47</v>
      </c>
      <c r="O6227" s="18">
        <v>3200</v>
      </c>
      <c r="P6227" s="18">
        <v>3237</v>
      </c>
      <c r="Q6227" s="15"/>
      <c r="R6227" t="s" s="16">
        <f>HYPERLINK("http://secrets.rutgers.edu:8080/data/asl-ftp/asllvd/demos/verify_start_end_handshape_annotations//test_auto_move//signs_mov_separ_signers/Brady_1369.mov","MOV")</f>
        <v>21</v>
      </c>
    </row>
    <row r="6228" s="2" customFormat="1" ht="13.5" customHeight="1">
      <c r="B6228" s="13"/>
      <c r="C6228" t="s" s="9">
        <v>41</v>
      </c>
      <c r="D6228" t="s" s="8">
        <v>2130</v>
      </c>
      <c r="E6228" t="s" s="9">
        <v>2131</v>
      </c>
      <c r="F6228" t="s" s="10">
        <v>25</v>
      </c>
      <c r="G6228" s="14"/>
      <c r="H6228" t="s" s="10">
        <v>25</v>
      </c>
      <c r="I6228" s="14"/>
      <c r="J6228" t="s" s="11">
        <v>20</v>
      </c>
      <c r="K6228" s="15"/>
      <c r="L6228" t="s" s="16">
        <f>HYPERLINK("http://csr.bu.edu/ftp/asl/asllvd/demos/verify_start_end_handshape_annotations//test_auto_move//signs_mov_separ_signers/Lana_1369.mov","MOV")</f>
        <v>21</v>
      </c>
      <c r="M6228" t="s" s="10">
        <v>42</v>
      </c>
      <c r="N6228" s="17">
        <v>16</v>
      </c>
      <c r="O6228" s="18">
        <v>1024</v>
      </c>
      <c r="P6228" s="18">
        <v>1070</v>
      </c>
      <c r="Q6228" s="15"/>
      <c r="R6228" t="s" s="16">
        <f>HYPERLINK("http://secrets.rutgers.edu:8080/data/asl-ftp/asllvd/demos/verify_start_end_handshape_annotations//test_auto_move//signs_mov_separ_signers/Lana_1369.mov","MOV")</f>
        <v>21</v>
      </c>
    </row>
    <row r="6229" s="2" customFormat="1" ht="13.5" customHeight="1">
      <c r="B6229" s="13"/>
      <c r="C6229" t="s" s="9">
        <v>43</v>
      </c>
      <c r="D6229" t="s" s="8">
        <v>2130</v>
      </c>
      <c r="E6229" t="s" s="9">
        <v>2131</v>
      </c>
      <c r="F6229" t="s" s="10">
        <v>25</v>
      </c>
      <c r="G6229" s="14"/>
      <c r="H6229" t="s" s="10">
        <v>25</v>
      </c>
      <c r="I6229" s="14"/>
      <c r="J6229" t="s" s="11">
        <v>20</v>
      </c>
      <c r="K6229" s="15"/>
      <c r="L6229" t="s" s="16">
        <f>HYPERLINK("http://csr.bu.edu/ftp/asl/asllvd/demos/verify_start_end_handshape_annotations//test_auto_move//signs_mov_separ_signers/Dana_1369.mov","MOV")</f>
        <v>21</v>
      </c>
      <c r="M6229" t="s" s="10">
        <v>44</v>
      </c>
      <c r="N6229" s="17">
        <v>19</v>
      </c>
      <c r="O6229" s="18">
        <v>977</v>
      </c>
      <c r="P6229" s="18">
        <v>1030</v>
      </c>
      <c r="Q6229" s="15"/>
      <c r="R6229" t="s" s="16">
        <f>HYPERLINK("http://secrets.rutgers.edu:8080/data/asl-ftp/asllvd/demos/verify_start_end_handshape_annotations//test_auto_move//signs_mov_separ_signers/Dana_1369.mov","MOV")</f>
        <v>21</v>
      </c>
    </row>
    <row r="6230" s="2" customFormat="1" ht="13.5" customHeight="1">
      <c r="B6230" t="s" s="8">
        <v>2133</v>
      </c>
      <c r="C6230" t="s" s="9">
        <v>14</v>
      </c>
      <c r="D6230" t="s" s="8">
        <v>14</v>
      </c>
      <c r="E6230" t="s" s="9">
        <v>14</v>
      </c>
      <c r="F6230" t="s" s="10">
        <v>14</v>
      </c>
      <c r="G6230" t="s" s="11">
        <v>14</v>
      </c>
      <c r="H6230" t="s" s="10">
        <v>14</v>
      </c>
      <c r="I6230" t="s" s="11">
        <v>14</v>
      </c>
      <c r="J6230" t="s" s="11">
        <v>14</v>
      </c>
      <c r="K6230" t="s" s="12">
        <v>14</v>
      </c>
      <c r="L6230" t="s" s="12">
        <v>14</v>
      </c>
      <c r="M6230" t="s" s="10">
        <v>14</v>
      </c>
      <c r="N6230" t="s" s="11">
        <v>14</v>
      </c>
      <c r="O6230" t="s" s="8">
        <v>14</v>
      </c>
      <c r="P6230" t="s" s="8">
        <v>14</v>
      </c>
      <c r="Q6230" t="s" s="12">
        <v>14</v>
      </c>
      <c r="R6230" t="s" s="12">
        <v>14</v>
      </c>
    </row>
    <row r="6231" s="2" customFormat="1" ht="13.5" customHeight="1">
      <c r="B6231" s="13"/>
      <c r="C6231" t="s" s="9">
        <v>16</v>
      </c>
      <c r="D6231" t="s" s="8">
        <v>2133</v>
      </c>
      <c r="E6231" t="s" s="9">
        <v>2134</v>
      </c>
      <c r="F6231" s="19">
        <v>5</v>
      </c>
      <c r="G6231" s="17">
        <v>1</v>
      </c>
      <c r="H6231" s="19">
        <v>5</v>
      </c>
      <c r="I6231" s="17">
        <v>1</v>
      </c>
      <c r="J6231" t="s" s="11">
        <v>20</v>
      </c>
      <c r="K6231" s="15"/>
      <c r="L6231" t="s" s="16">
        <f>HYPERLINK("http://csr.bu.edu/ftp/asl/asllvd/demos/verify_start_end_handshape_annotations//test_auto_move//signs_mov_separ_signers/Liz_1370.mov","MOV")</f>
        <v>21</v>
      </c>
      <c r="M6231" t="s" s="10">
        <v>34</v>
      </c>
      <c r="N6231" s="17">
        <v>45</v>
      </c>
      <c r="O6231" s="18">
        <v>346</v>
      </c>
      <c r="P6231" s="18">
        <v>407</v>
      </c>
      <c r="Q6231" s="15"/>
      <c r="R6231" t="s" s="16">
        <f>HYPERLINK("http://secrets.rutgers.edu:8080/data/asl-ftp/asllvd/demos/verify_start_end_handshape_annotations//test_auto_move//signs_mov_separ_signers/Liz_1370.mov","MOV")</f>
        <v>21</v>
      </c>
    </row>
    <row r="6232" s="2" customFormat="1" ht="13.5" customHeight="1">
      <c r="B6232" s="13"/>
      <c r="C6232" t="s" s="9">
        <v>23</v>
      </c>
      <c r="D6232" t="s" s="8">
        <v>2133</v>
      </c>
      <c r="E6232" t="s" s="9">
        <v>2135</v>
      </c>
      <c r="F6232" s="19">
        <v>5</v>
      </c>
      <c r="G6232" s="17">
        <v>1</v>
      </c>
      <c r="H6232" s="19">
        <v>5</v>
      </c>
      <c r="I6232" s="17">
        <v>1</v>
      </c>
      <c r="J6232" t="s" s="11">
        <v>20</v>
      </c>
      <c r="K6232" t="s" s="16">
        <f>HYPERLINK("http://csr.bu.edu/ftp/asl/asllvd/demos/verify_start_end_handshape_annotations//test_auto_move//signs_mov/1370.mov","MOV")</f>
        <v>21</v>
      </c>
      <c r="L6232" t="s" s="16">
        <f>HYPERLINK("http://csr.bu.edu/ftp/asl/asllvd/demos/verify_start_end_handshape_annotations//test_auto_move//signs_mov_separ_signers/Tyler_1370.mov","MOV")</f>
        <v>21</v>
      </c>
      <c r="M6232" t="s" s="10">
        <v>37</v>
      </c>
      <c r="N6232" s="17">
        <v>17</v>
      </c>
      <c r="O6232" s="18">
        <v>2691</v>
      </c>
      <c r="P6232" s="18">
        <v>2735</v>
      </c>
      <c r="Q6232" t="s" s="16">
        <f>HYPERLINK("http://secrets.rutgers.edu:8080/data/asl-ftp/asllvd/demos/verify_start_end_handshape_annotations//test_auto_move//signs_mov/1370.mov","MOV")</f>
        <v>21</v>
      </c>
      <c r="R6232" t="s" s="16">
        <f>HYPERLINK("http://secrets.rutgers.edu:8080/data/asl-ftp/asllvd/demos/verify_start_end_handshape_annotations//test_auto_move//signs_mov_separ_signers/Tyler_1370.mov","MOV")</f>
        <v>21</v>
      </c>
    </row>
    <row r="6233" s="2" customFormat="1" ht="13.5" customHeight="1">
      <c r="B6233" s="13"/>
      <c r="C6233" t="s" s="9">
        <v>27</v>
      </c>
      <c r="D6233" t="s" s="8">
        <v>2133</v>
      </c>
      <c r="E6233" t="s" s="9">
        <v>2134</v>
      </c>
      <c r="F6233" s="19">
        <v>5</v>
      </c>
      <c r="G6233" t="s" s="11">
        <v>51</v>
      </c>
      <c r="H6233" s="19">
        <v>5</v>
      </c>
      <c r="I6233" t="s" s="11">
        <v>51</v>
      </c>
      <c r="J6233" t="s" s="11">
        <v>20</v>
      </c>
      <c r="K6233" s="15"/>
      <c r="L6233" t="s" s="16">
        <f>HYPERLINK("http://csr.bu.edu/ftp/asl/asllvd/demos/verify_start_end_handshape_annotations//test_auto_move//signs_mov_separ_signers/Naomi_1370.mov","MOV")</f>
        <v>21</v>
      </c>
      <c r="M6233" t="s" s="10">
        <v>38</v>
      </c>
      <c r="N6233" s="17">
        <v>37</v>
      </c>
      <c r="O6233" s="18">
        <v>4940</v>
      </c>
      <c r="P6233" s="18">
        <v>4980</v>
      </c>
      <c r="Q6233" s="15"/>
      <c r="R6233" t="s" s="16">
        <f>HYPERLINK("http://secrets.rutgers.edu:8080/data/asl-ftp/asllvd/demos/verify_start_end_handshape_annotations//test_auto_move//signs_mov_separ_signers/Naomi_1370.mov","MOV")</f>
        <v>21</v>
      </c>
    </row>
    <row r="6234" s="2" customFormat="1" ht="13.5" customHeight="1">
      <c r="B6234" s="13"/>
      <c r="C6234" t="s" s="9">
        <v>30</v>
      </c>
      <c r="D6234" t="s" s="8">
        <v>2133</v>
      </c>
      <c r="E6234" t="s" s="9">
        <v>2135</v>
      </c>
      <c r="F6234" s="19">
        <v>5</v>
      </c>
      <c r="G6234" s="17">
        <v>1</v>
      </c>
      <c r="H6234" s="19">
        <v>5</v>
      </c>
      <c r="I6234" s="17">
        <v>1</v>
      </c>
      <c r="J6234" t="s" s="11">
        <v>20</v>
      </c>
      <c r="K6234" s="15"/>
      <c r="L6234" t="s" s="16">
        <f>HYPERLINK("http://csr.bu.edu/ftp/asl/asllvd/demos/verify_start_end_handshape_annotations//test_auto_move//signs_mov_separ_signers/Brady_1370.mov","MOV")</f>
        <v>21</v>
      </c>
      <c r="M6234" t="s" s="10">
        <v>39</v>
      </c>
      <c r="N6234" s="17">
        <v>47</v>
      </c>
      <c r="O6234" s="18">
        <v>3731</v>
      </c>
      <c r="P6234" s="18">
        <v>3770</v>
      </c>
      <c r="Q6234" s="15"/>
      <c r="R6234" t="s" s="16">
        <f>HYPERLINK("http://secrets.rutgers.edu:8080/data/asl-ftp/asllvd/demos/verify_start_end_handshape_annotations//test_auto_move//signs_mov_separ_signers/Brady_1370.mov","MOV")</f>
        <v>21</v>
      </c>
    </row>
    <row r="6235" s="2" customFormat="1" ht="13.5" customHeight="1">
      <c r="B6235" t="s" s="8">
        <v>2136</v>
      </c>
      <c r="C6235" t="s" s="9">
        <v>14</v>
      </c>
      <c r="D6235" t="s" s="8">
        <v>14</v>
      </c>
      <c r="E6235" t="s" s="9">
        <v>14</v>
      </c>
      <c r="F6235" t="s" s="10">
        <v>14</v>
      </c>
      <c r="G6235" t="s" s="11">
        <v>14</v>
      </c>
      <c r="H6235" t="s" s="10">
        <v>14</v>
      </c>
      <c r="I6235" t="s" s="11">
        <v>14</v>
      </c>
      <c r="J6235" t="s" s="11">
        <v>14</v>
      </c>
      <c r="K6235" t="s" s="12">
        <v>14</v>
      </c>
      <c r="L6235" t="s" s="12">
        <v>14</v>
      </c>
      <c r="M6235" t="s" s="10">
        <v>14</v>
      </c>
      <c r="N6235" t="s" s="11">
        <v>14</v>
      </c>
      <c r="O6235" t="s" s="8">
        <v>14</v>
      </c>
      <c r="P6235" t="s" s="8">
        <v>14</v>
      </c>
      <c r="Q6235" t="s" s="12">
        <v>14</v>
      </c>
      <c r="R6235" t="s" s="12">
        <v>14</v>
      </c>
    </row>
    <row r="6236" s="2" customFormat="1" ht="13.5" customHeight="1">
      <c r="B6236" s="13"/>
      <c r="C6236" t="s" s="9">
        <v>16</v>
      </c>
      <c r="D6236" t="s" s="8">
        <v>2136</v>
      </c>
      <c r="E6236" t="s" s="9">
        <v>2136</v>
      </c>
      <c r="F6236" s="19">
        <v>5</v>
      </c>
      <c r="G6236" t="s" s="11">
        <v>73</v>
      </c>
      <c r="H6236" t="s" s="10">
        <v>119</v>
      </c>
      <c r="I6236" t="s" s="11">
        <v>73</v>
      </c>
      <c r="J6236" t="s" s="11">
        <v>20</v>
      </c>
      <c r="K6236" s="15"/>
      <c r="L6236" t="s" s="16">
        <f>HYPERLINK("http://csr.bu.edu/ftp/asl/asllvd/demos/verify_start_end_handshape_annotations//test_auto_move//signs_mov_separ_signers/Liz_1371.mov","MOV")</f>
        <v>21</v>
      </c>
      <c r="M6236" t="s" s="10">
        <v>34</v>
      </c>
      <c r="N6236" s="17">
        <v>45</v>
      </c>
      <c r="O6236" s="18">
        <v>592</v>
      </c>
      <c r="P6236" s="18">
        <v>627</v>
      </c>
      <c r="Q6236" s="15"/>
      <c r="R6236" t="s" s="16">
        <f>HYPERLINK("http://secrets.rutgers.edu:8080/data/asl-ftp/asllvd/demos/verify_start_end_handshape_annotations//test_auto_move//signs_mov_separ_signers/Liz_1371.mov","MOV")</f>
        <v>21</v>
      </c>
    </row>
    <row r="6237" s="2" customFormat="1" ht="13.5" customHeight="1">
      <c r="B6237" s="13"/>
      <c r="C6237" t="s" s="9">
        <v>23</v>
      </c>
      <c r="D6237" t="s" s="8">
        <v>2136</v>
      </c>
      <c r="E6237" t="s" s="9">
        <v>2136</v>
      </c>
      <c r="F6237" s="19">
        <v>5</v>
      </c>
      <c r="G6237" t="s" s="11">
        <v>73</v>
      </c>
      <c r="H6237" t="s" s="10">
        <v>119</v>
      </c>
      <c r="I6237" t="s" s="11">
        <v>73</v>
      </c>
      <c r="J6237" t="s" s="11">
        <v>20</v>
      </c>
      <c r="K6237" s="15"/>
      <c r="L6237" t="s" s="16">
        <f>HYPERLINK("http://csr.bu.edu/ftp/asl/asllvd/demos/verify_start_end_handshape_annotations//test_auto_move//signs_mov_separ_signers/Tyler_1371.mov","MOV")</f>
        <v>21</v>
      </c>
      <c r="M6237" t="s" s="10">
        <v>37</v>
      </c>
      <c r="N6237" s="17">
        <v>18</v>
      </c>
      <c r="O6237" s="18">
        <v>297</v>
      </c>
      <c r="P6237" s="18">
        <v>325</v>
      </c>
      <c r="Q6237" s="15"/>
      <c r="R6237" t="s" s="16">
        <f>HYPERLINK("http://secrets.rutgers.edu:8080/data/asl-ftp/asllvd/demos/verify_start_end_handshape_annotations//test_auto_move//signs_mov_separ_signers/Tyler_1371.mov","MOV")</f>
        <v>21</v>
      </c>
    </row>
    <row r="6238" s="2" customFormat="1" ht="13.5" customHeight="1">
      <c r="B6238" s="13"/>
      <c r="C6238" t="s" s="9">
        <v>27</v>
      </c>
      <c r="D6238" t="s" s="8">
        <v>2136</v>
      </c>
      <c r="E6238" t="s" s="9">
        <v>2136</v>
      </c>
      <c r="F6238" s="19">
        <v>5</v>
      </c>
      <c r="G6238" s="17">
        <v>5</v>
      </c>
      <c r="H6238" t="s" s="10">
        <v>119</v>
      </c>
      <c r="I6238" s="17">
        <v>5</v>
      </c>
      <c r="J6238" t="s" s="11">
        <v>20</v>
      </c>
      <c r="K6238" t="s" s="16">
        <f>HYPERLINK("http://csr.bu.edu/ftp/asl/asllvd/demos/verify_start_end_handshape_annotations//test_auto_move//signs_mov/1371.mov","MOV")</f>
        <v>21</v>
      </c>
      <c r="L6238" t="s" s="16">
        <f>HYPERLINK("http://csr.bu.edu/ftp/asl/asllvd/demos/verify_start_end_handshape_annotations//test_auto_move//signs_mov_separ_signers/Naomi_1371.mov","MOV")</f>
        <v>21</v>
      </c>
      <c r="M6238" t="s" s="10">
        <v>48</v>
      </c>
      <c r="N6238" s="17">
        <v>1</v>
      </c>
      <c r="O6238" s="18">
        <v>370</v>
      </c>
      <c r="P6238" s="18">
        <v>392</v>
      </c>
      <c r="Q6238" t="s" s="16">
        <f>HYPERLINK("http://secrets.rutgers.edu:8080/data/asl-ftp/asllvd/demos/verify_start_end_handshape_annotations//test_auto_move//signs_mov/1371.mov","MOV")</f>
        <v>21</v>
      </c>
      <c r="R6238" t="s" s="16">
        <f>HYPERLINK("http://secrets.rutgers.edu:8080/data/asl-ftp/asllvd/demos/verify_start_end_handshape_annotations//test_auto_move//signs_mov_separ_signers/Naomi_1371.mov","MOV")</f>
        <v>21</v>
      </c>
    </row>
    <row r="6239" s="2" customFormat="1" ht="13.5" customHeight="1">
      <c r="B6239" s="13"/>
      <c r="C6239" t="s" s="9">
        <v>30</v>
      </c>
      <c r="D6239" t="s" s="8">
        <v>2136</v>
      </c>
      <c r="E6239" t="s" s="9">
        <v>2136</v>
      </c>
      <c r="F6239" s="19">
        <v>5</v>
      </c>
      <c r="G6239" t="s" s="11">
        <v>73</v>
      </c>
      <c r="H6239" t="s" s="10">
        <v>119</v>
      </c>
      <c r="I6239" t="s" s="11">
        <v>73</v>
      </c>
      <c r="J6239" t="s" s="11">
        <v>20</v>
      </c>
      <c r="K6239" s="15"/>
      <c r="L6239" t="s" s="16">
        <f>HYPERLINK("http://csr.bu.edu/ftp/asl/asllvd/demos/verify_start_end_handshape_annotations//test_auto_move//signs_mov_separ_signers/Brady_1371.mov","MOV")</f>
        <v>21</v>
      </c>
      <c r="M6239" t="s" s="10">
        <v>39</v>
      </c>
      <c r="N6239" s="17">
        <v>47</v>
      </c>
      <c r="O6239" s="18">
        <v>3963</v>
      </c>
      <c r="P6239" s="18">
        <v>3987</v>
      </c>
      <c r="Q6239" s="15"/>
      <c r="R6239" t="s" s="16">
        <f>HYPERLINK("http://secrets.rutgers.edu:8080/data/asl-ftp/asllvd/demos/verify_start_end_handshape_annotations//test_auto_move//signs_mov_separ_signers/Brady_1371.mov","MOV")</f>
        <v>21</v>
      </c>
    </row>
    <row r="6240" s="2" customFormat="1" ht="13.5" customHeight="1">
      <c r="B6240" s="13"/>
      <c r="C6240" t="s" s="9">
        <v>41</v>
      </c>
      <c r="D6240" t="s" s="8">
        <v>2136</v>
      </c>
      <c r="E6240" t="s" s="9">
        <v>2136</v>
      </c>
      <c r="F6240" s="19">
        <v>5</v>
      </c>
      <c r="G6240" t="s" s="11">
        <v>73</v>
      </c>
      <c r="H6240" t="s" s="10">
        <v>119</v>
      </c>
      <c r="I6240" t="s" s="11">
        <v>73</v>
      </c>
      <c r="J6240" t="s" s="11">
        <v>20</v>
      </c>
      <c r="K6240" s="15"/>
      <c r="L6240" t="s" s="16">
        <f>HYPERLINK("http://csr.bu.edu/ftp/asl/asllvd/demos/verify_start_end_handshape_annotations//test_auto_move//signs_mov_separ_signers/Lana_1371.mov","MOV")</f>
        <v>21</v>
      </c>
      <c r="M6240" t="s" s="10">
        <v>42</v>
      </c>
      <c r="N6240" s="17">
        <v>15</v>
      </c>
      <c r="O6240" s="18">
        <v>2762</v>
      </c>
      <c r="P6240" s="18">
        <v>2794</v>
      </c>
      <c r="Q6240" s="15"/>
      <c r="R6240" t="s" s="16">
        <f>HYPERLINK("http://secrets.rutgers.edu:8080/data/asl-ftp/asllvd/demos/verify_start_end_handshape_annotations//test_auto_move//signs_mov_separ_signers/Lana_1371.mov","MOV")</f>
        <v>21</v>
      </c>
    </row>
    <row r="6241" s="2" customFormat="1" ht="13.5" customHeight="1">
      <c r="B6241" s="13"/>
      <c r="C6241" t="s" s="9">
        <v>43</v>
      </c>
      <c r="D6241" t="s" s="8">
        <v>2136</v>
      </c>
      <c r="E6241" t="s" s="9">
        <v>2136</v>
      </c>
      <c r="F6241" t="s" s="10">
        <v>72</v>
      </c>
      <c r="G6241" t="s" s="11">
        <v>73</v>
      </c>
      <c r="H6241" t="s" s="10">
        <v>119</v>
      </c>
      <c r="I6241" t="s" s="11">
        <v>73</v>
      </c>
      <c r="J6241" t="s" s="11">
        <v>20</v>
      </c>
      <c r="K6241" s="15"/>
      <c r="L6241" t="s" s="16">
        <f>HYPERLINK("http://csr.bu.edu/ftp/asl/asllvd/demos/verify_start_end_handshape_annotations//test_auto_move//signs_mov_separ_signers/Dana_1371.mov","MOV")</f>
        <v>21</v>
      </c>
      <c r="M6241" t="s" s="10">
        <v>44</v>
      </c>
      <c r="N6241" s="17">
        <v>18</v>
      </c>
      <c r="O6241" s="18">
        <v>2746</v>
      </c>
      <c r="P6241" s="18">
        <v>2774</v>
      </c>
      <c r="Q6241" s="15"/>
      <c r="R6241" t="s" s="16">
        <f>HYPERLINK("http://secrets.rutgers.edu:8080/data/asl-ftp/asllvd/demos/verify_start_end_handshape_annotations//test_auto_move//signs_mov_separ_signers/Dana_1371.mov","MOV")</f>
        <v>21</v>
      </c>
    </row>
    <row r="6242" s="2" customFormat="1" ht="13.5" customHeight="1">
      <c r="B6242" t="s" s="8">
        <v>2137</v>
      </c>
      <c r="C6242" t="s" s="9">
        <v>14</v>
      </c>
      <c r="D6242" t="s" s="8">
        <v>14</v>
      </c>
      <c r="E6242" t="s" s="9">
        <v>14</v>
      </c>
      <c r="F6242" t="s" s="10">
        <v>14</v>
      </c>
      <c r="G6242" t="s" s="11">
        <v>14</v>
      </c>
      <c r="H6242" t="s" s="10">
        <v>14</v>
      </c>
      <c r="I6242" t="s" s="11">
        <v>14</v>
      </c>
      <c r="J6242" t="s" s="11">
        <v>14</v>
      </c>
      <c r="K6242" t="s" s="12">
        <v>14</v>
      </c>
      <c r="L6242" t="s" s="12">
        <v>14</v>
      </c>
      <c r="M6242" t="s" s="10">
        <v>14</v>
      </c>
      <c r="N6242" t="s" s="11">
        <v>14</v>
      </c>
      <c r="O6242" t="s" s="8">
        <v>14</v>
      </c>
      <c r="P6242" t="s" s="8">
        <v>14</v>
      </c>
      <c r="Q6242" t="s" s="12">
        <v>14</v>
      </c>
      <c r="R6242" t="s" s="12">
        <v>14</v>
      </c>
    </row>
    <row r="6243" s="2" customFormat="1" ht="13.5" customHeight="1">
      <c r="B6243" s="13"/>
      <c r="C6243" t="s" s="9">
        <v>16</v>
      </c>
      <c r="D6243" t="s" s="8">
        <v>2137</v>
      </c>
      <c r="E6243" t="s" s="9">
        <v>2138</v>
      </c>
      <c r="F6243" s="19">
        <v>10</v>
      </c>
      <c r="G6243" s="14"/>
      <c r="H6243" s="19">
        <v>10</v>
      </c>
      <c r="I6243" s="14"/>
      <c r="J6243" t="s" s="11">
        <v>20</v>
      </c>
      <c r="K6243" t="s" s="16">
        <f>HYPERLINK("http://csr.bu.edu/ftp/asl/asllvd/demos/verify_start_end_handshape_annotations//test_auto_move//signs_mov/1372.mov","MOV")</f>
        <v>21</v>
      </c>
      <c r="L6243" t="s" s="16">
        <f>HYPERLINK("http://csr.bu.edu/ftp/asl/asllvd/demos/verify_start_end_handshape_annotations//test_auto_move//signs_mov_separ_signers/Liz_1372.mov","MOV")</f>
        <v>21</v>
      </c>
      <c r="M6243" t="s" s="10">
        <v>34</v>
      </c>
      <c r="N6243" s="17">
        <v>45</v>
      </c>
      <c r="O6243" s="18">
        <v>1330</v>
      </c>
      <c r="P6243" s="18">
        <v>1385</v>
      </c>
      <c r="Q6243" t="s" s="16">
        <f>HYPERLINK("http://secrets.rutgers.edu:8080/data/asl-ftp/asllvd/demos/verify_start_end_handshape_annotations//test_auto_move//signs_mov/1372.mov","MOV")</f>
        <v>21</v>
      </c>
      <c r="R6243" t="s" s="16">
        <f>HYPERLINK("http://secrets.rutgers.edu:8080/data/asl-ftp/asllvd/demos/verify_start_end_handshape_annotations//test_auto_move//signs_mov_separ_signers/Liz_1372.mov","MOV")</f>
        <v>21</v>
      </c>
    </row>
    <row r="6244" s="2" customFormat="1" ht="13.5" customHeight="1">
      <c r="B6244" s="13"/>
      <c r="C6244" t="s" s="9">
        <v>27</v>
      </c>
      <c r="D6244" t="s" s="8">
        <v>2137</v>
      </c>
      <c r="E6244" t="s" s="9">
        <v>2138</v>
      </c>
      <c r="F6244" s="19">
        <v>10</v>
      </c>
      <c r="G6244" s="14"/>
      <c r="H6244" s="19">
        <v>10</v>
      </c>
      <c r="I6244" s="14"/>
      <c r="J6244" t="s" s="11">
        <v>20</v>
      </c>
      <c r="K6244" s="15"/>
      <c r="L6244" t="s" s="16">
        <f>HYPERLINK("http://csr.bu.edu/ftp/asl/asllvd/demos/verify_start_end_handshape_annotations//test_auto_move//signs_mov_separ_signers/Naomi_1372.mov","MOV")</f>
        <v>21</v>
      </c>
      <c r="M6244" t="s" s="10">
        <v>48</v>
      </c>
      <c r="N6244" s="17">
        <v>1</v>
      </c>
      <c r="O6244" s="18">
        <v>1125</v>
      </c>
      <c r="P6244" s="18">
        <v>1160</v>
      </c>
      <c r="Q6244" s="15"/>
      <c r="R6244" t="s" s="16">
        <f>HYPERLINK("http://secrets.rutgers.edu:8080/data/asl-ftp/asllvd/demos/verify_start_end_handshape_annotations//test_auto_move//signs_mov_separ_signers/Naomi_1372.mov","MOV")</f>
        <v>21</v>
      </c>
    </row>
    <row r="6245" s="2" customFormat="1" ht="13.5" customHeight="1">
      <c r="B6245" t="s" s="8">
        <v>2137</v>
      </c>
      <c r="C6245" t="s" s="9">
        <v>14</v>
      </c>
      <c r="D6245" t="s" s="8">
        <v>14</v>
      </c>
      <c r="E6245" t="s" s="9">
        <v>14</v>
      </c>
      <c r="F6245" t="s" s="10">
        <v>14</v>
      </c>
      <c r="G6245" t="s" s="11">
        <v>14</v>
      </c>
      <c r="H6245" t="s" s="10">
        <v>14</v>
      </c>
      <c r="I6245" t="s" s="11">
        <v>14</v>
      </c>
      <c r="J6245" t="s" s="11">
        <v>14</v>
      </c>
      <c r="K6245" t="s" s="12">
        <v>14</v>
      </c>
      <c r="L6245" t="s" s="12">
        <v>14</v>
      </c>
      <c r="M6245" t="s" s="10">
        <v>14</v>
      </c>
      <c r="N6245" t="s" s="11">
        <v>14</v>
      </c>
      <c r="O6245" t="s" s="8">
        <v>14</v>
      </c>
      <c r="P6245" t="s" s="8">
        <v>14</v>
      </c>
      <c r="Q6245" t="s" s="12">
        <v>14</v>
      </c>
      <c r="R6245" t="s" s="12">
        <v>14</v>
      </c>
    </row>
    <row r="6246" s="2" customFormat="1" ht="13.5" customHeight="1">
      <c r="B6246" s="13"/>
      <c r="C6246" t="s" s="9">
        <v>16</v>
      </c>
      <c r="D6246" t="s" s="8">
        <v>2139</v>
      </c>
      <c r="E6246" t="s" s="9">
        <v>2140</v>
      </c>
      <c r="F6246" t="s" s="10">
        <v>25</v>
      </c>
      <c r="G6246" s="14"/>
      <c r="H6246" t="s" s="10">
        <v>25</v>
      </c>
      <c r="I6246" s="14"/>
      <c r="J6246" t="s" s="11">
        <v>20</v>
      </c>
      <c r="K6246" s="15"/>
      <c r="L6246" t="s" s="16">
        <f>HYPERLINK("http://csr.bu.edu/ftp/asl/asllvd/demos/verify_start_end_handshape_annotations//test_auto_move//signs_mov_separ_signers/Liz_3670.mov","MOV")</f>
        <v>21</v>
      </c>
      <c r="M6246" t="s" s="10">
        <v>34</v>
      </c>
      <c r="N6246" s="17">
        <v>45</v>
      </c>
      <c r="O6246" s="18">
        <v>1010</v>
      </c>
      <c r="P6246" s="18">
        <v>1060</v>
      </c>
      <c r="Q6246" s="15"/>
      <c r="R6246" t="s" s="16">
        <f>HYPERLINK("http://secrets.rutgers.edu:8080/data/asl-ftp/asllvd/demos/verify_start_end_handshape_annotations//test_auto_move//signs_mov_separ_signers/Liz_3670.mov","MOV")</f>
        <v>21</v>
      </c>
    </row>
    <row r="6247" s="2" customFormat="1" ht="13.5" customHeight="1">
      <c r="B6247" s="13"/>
      <c r="C6247" t="s" s="9">
        <v>23</v>
      </c>
      <c r="D6247" t="s" s="8">
        <v>2139</v>
      </c>
      <c r="E6247" t="s" s="9">
        <v>2141</v>
      </c>
      <c r="F6247" t="s" s="10">
        <v>25</v>
      </c>
      <c r="G6247" s="14"/>
      <c r="H6247" t="s" s="10">
        <v>18</v>
      </c>
      <c r="I6247" s="14"/>
      <c r="J6247" t="s" s="11">
        <v>20</v>
      </c>
      <c r="K6247" t="s" s="16">
        <f>HYPERLINK("http://csr.bu.edu/ftp/asl/asllvd/demos/verify_start_end_handshape_annotations//test_auto_move//signs_mov/3670.mov","MOV")</f>
        <v>21</v>
      </c>
      <c r="L6247" t="s" s="16">
        <f>HYPERLINK("http://csr.bu.edu/ftp/asl/asllvd/demos/verify_start_end_handshape_annotations//test_auto_move//signs_mov_separ_signers/Tyler_3670.mov","MOV")</f>
        <v>21</v>
      </c>
      <c r="M6247" t="s" s="10">
        <v>37</v>
      </c>
      <c r="N6247" s="17">
        <v>18</v>
      </c>
      <c r="O6247" s="18">
        <v>471</v>
      </c>
      <c r="P6247" s="18">
        <v>525</v>
      </c>
      <c r="Q6247" t="s" s="16">
        <f>HYPERLINK("http://secrets.rutgers.edu:8080/data/asl-ftp/asllvd/demos/verify_start_end_handshape_annotations//test_auto_move//signs_mov/3670.mov","MOV")</f>
        <v>21</v>
      </c>
      <c r="R6247" t="s" s="16">
        <f>HYPERLINK("http://secrets.rutgers.edu:8080/data/asl-ftp/asllvd/demos/verify_start_end_handshape_annotations//test_auto_move//signs_mov_separ_signers/Tyler_3670.mov","MOV")</f>
        <v>21</v>
      </c>
    </row>
    <row r="6248" s="2" customFormat="1" ht="13.5" customHeight="1">
      <c r="B6248" s="13"/>
      <c r="C6248" t="s" s="9">
        <v>27</v>
      </c>
      <c r="D6248" t="s" s="8">
        <v>2139</v>
      </c>
      <c r="E6248" t="s" s="9">
        <v>2140</v>
      </c>
      <c r="F6248" t="s" s="10">
        <v>25</v>
      </c>
      <c r="G6248" s="14"/>
      <c r="H6248" t="s" s="10">
        <v>25</v>
      </c>
      <c r="I6248" s="14"/>
      <c r="J6248" t="s" s="11">
        <v>20</v>
      </c>
      <c r="K6248" s="15"/>
      <c r="L6248" t="s" s="16">
        <f>HYPERLINK("http://csr.bu.edu/ftp/asl/asllvd/demos/verify_start_end_handshape_annotations//test_auto_move//signs_mov_separ_signers/Naomi_3670.mov","MOV")</f>
        <v>21</v>
      </c>
      <c r="M6248" t="s" s="10">
        <v>48</v>
      </c>
      <c r="N6248" s="17">
        <v>1</v>
      </c>
      <c r="O6248" s="18">
        <v>865</v>
      </c>
      <c r="P6248" s="18">
        <v>902</v>
      </c>
      <c r="Q6248" s="15"/>
      <c r="R6248" t="s" s="16">
        <f>HYPERLINK("http://secrets.rutgers.edu:8080/data/asl-ftp/asllvd/demos/verify_start_end_handshape_annotations//test_auto_move//signs_mov_separ_signers/Naomi_3670.mov","MOV")</f>
        <v>21</v>
      </c>
    </row>
    <row r="6249" s="2" customFormat="1" ht="13.5" customHeight="1">
      <c r="B6249" s="13"/>
      <c r="C6249" t="s" s="9">
        <v>30</v>
      </c>
      <c r="D6249" t="s" s="8">
        <v>2139</v>
      </c>
      <c r="E6249" t="s" s="9">
        <v>2141</v>
      </c>
      <c r="F6249" t="s" s="10">
        <v>25</v>
      </c>
      <c r="G6249" s="14"/>
      <c r="H6249" t="s" s="10">
        <v>25</v>
      </c>
      <c r="I6249" s="14"/>
      <c r="J6249" t="s" s="11">
        <v>20</v>
      </c>
      <c r="K6249" s="15"/>
      <c r="L6249" t="s" s="16">
        <f>HYPERLINK("http://csr.bu.edu/ftp/asl/asllvd/demos/verify_start_end_handshape_annotations//test_auto_move//signs_mov_separ_signers/Brady_3670.mov","MOV")</f>
        <v>21</v>
      </c>
      <c r="M6249" t="s" s="10">
        <v>39</v>
      </c>
      <c r="N6249" s="17">
        <v>47</v>
      </c>
      <c r="O6249" s="18">
        <v>4196</v>
      </c>
      <c r="P6249" s="18">
        <v>4240</v>
      </c>
      <c r="Q6249" s="15"/>
      <c r="R6249" t="s" s="16">
        <f>HYPERLINK("http://secrets.rutgers.edu:8080/data/asl-ftp/asllvd/demos/verify_start_end_handshape_annotations//test_auto_move//signs_mov_separ_signers/Brady_3670.mov","MOV")</f>
        <v>21</v>
      </c>
    </row>
    <row r="6250" s="2" customFormat="1" ht="13.5" customHeight="1">
      <c r="B6250" t="s" s="8">
        <v>2142</v>
      </c>
      <c r="C6250" t="s" s="9">
        <v>14</v>
      </c>
      <c r="D6250" t="s" s="8">
        <v>14</v>
      </c>
      <c r="E6250" t="s" s="9">
        <v>14</v>
      </c>
      <c r="F6250" t="s" s="10">
        <v>14</v>
      </c>
      <c r="G6250" t="s" s="11">
        <v>14</v>
      </c>
      <c r="H6250" t="s" s="10">
        <v>14</v>
      </c>
      <c r="I6250" t="s" s="11">
        <v>14</v>
      </c>
      <c r="J6250" t="s" s="11">
        <v>14</v>
      </c>
      <c r="K6250" t="s" s="12">
        <v>14</v>
      </c>
      <c r="L6250" t="s" s="12">
        <v>14</v>
      </c>
      <c r="M6250" t="s" s="10">
        <v>14</v>
      </c>
      <c r="N6250" t="s" s="11">
        <v>14</v>
      </c>
      <c r="O6250" t="s" s="8">
        <v>14</v>
      </c>
      <c r="P6250" t="s" s="8">
        <v>14</v>
      </c>
      <c r="Q6250" t="s" s="12">
        <v>14</v>
      </c>
      <c r="R6250" t="s" s="12">
        <v>14</v>
      </c>
    </row>
    <row r="6251" s="2" customFormat="1" ht="13.5" customHeight="1">
      <c r="B6251" s="13"/>
      <c r="C6251" t="s" s="9">
        <v>16</v>
      </c>
      <c r="D6251" t="s" s="8">
        <v>2142</v>
      </c>
      <c r="E6251" t="s" s="9">
        <v>2142</v>
      </c>
      <c r="F6251" t="s" s="10">
        <v>73</v>
      </c>
      <c r="G6251" t="s" s="11">
        <v>73</v>
      </c>
      <c r="H6251" t="s" s="10">
        <v>63</v>
      </c>
      <c r="I6251" t="s" s="11">
        <v>63</v>
      </c>
      <c r="J6251" t="s" s="11">
        <v>20</v>
      </c>
      <c r="K6251" s="15"/>
      <c r="L6251" t="s" s="16">
        <f>HYPERLINK("http://csr.bu.edu/ftp/asl/asllvd/demos/verify_start_end_handshape_annotations//test_auto_move//signs_mov_separ_signers/Liz_1374.mov","MOV")</f>
        <v>21</v>
      </c>
      <c r="M6251" t="s" s="10">
        <v>34</v>
      </c>
      <c r="N6251" s="17">
        <v>45</v>
      </c>
      <c r="O6251" s="18">
        <v>1657</v>
      </c>
      <c r="P6251" s="18">
        <v>1690</v>
      </c>
      <c r="Q6251" s="15"/>
      <c r="R6251" t="s" s="16">
        <f>HYPERLINK("http://secrets.rutgers.edu:8080/data/asl-ftp/asllvd/demos/verify_start_end_handshape_annotations//test_auto_move//signs_mov_separ_signers/Liz_1374.mov","MOV")</f>
        <v>21</v>
      </c>
    </row>
    <row r="6252" s="2" customFormat="1" ht="13.5" customHeight="1">
      <c r="B6252" s="13"/>
      <c r="C6252" t="s" s="9">
        <v>23</v>
      </c>
      <c r="D6252" t="s" s="8">
        <v>2142</v>
      </c>
      <c r="E6252" t="s" s="9">
        <v>2142</v>
      </c>
      <c r="F6252" t="s" s="10">
        <v>148</v>
      </c>
      <c r="G6252" t="s" s="11">
        <v>148</v>
      </c>
      <c r="H6252" t="s" s="10">
        <v>119</v>
      </c>
      <c r="I6252" t="s" s="11">
        <v>119</v>
      </c>
      <c r="J6252" t="s" s="11">
        <v>20</v>
      </c>
      <c r="K6252" t="s" s="16">
        <f>HYPERLINK("http://csr.bu.edu/ftp/asl/asllvd/demos/verify_start_end_handshape_annotations//test_auto_move//signs_mov/1374.mov","MOV")</f>
        <v>21</v>
      </c>
      <c r="L6252" t="s" s="16">
        <f>HYPERLINK("http://csr.bu.edu/ftp/asl/asllvd/demos/verify_start_end_handshape_annotations//test_auto_move//signs_mov_separ_signers/Tyler_1374.mov","MOV")</f>
        <v>21</v>
      </c>
      <c r="M6252" t="s" s="10">
        <v>37</v>
      </c>
      <c r="N6252" s="17">
        <v>18</v>
      </c>
      <c r="O6252" s="18">
        <v>1320</v>
      </c>
      <c r="P6252" s="18">
        <v>1350</v>
      </c>
      <c r="Q6252" t="s" s="16">
        <f>HYPERLINK("http://secrets.rutgers.edu:8080/data/asl-ftp/asllvd/demos/verify_start_end_handshape_annotations//test_auto_move//signs_mov/1374.mov","MOV")</f>
        <v>21</v>
      </c>
      <c r="R6252" t="s" s="16">
        <f>HYPERLINK("http://secrets.rutgers.edu:8080/data/asl-ftp/asllvd/demos/verify_start_end_handshape_annotations//test_auto_move//signs_mov_separ_signers/Tyler_1374.mov","MOV")</f>
        <v>21</v>
      </c>
    </row>
    <row r="6253" s="2" customFormat="1" ht="13.5" customHeight="1">
      <c r="B6253" s="13"/>
      <c r="C6253" t="s" s="9">
        <v>27</v>
      </c>
      <c r="D6253" t="s" s="8">
        <v>2142</v>
      </c>
      <c r="E6253" t="s" s="9">
        <v>2142</v>
      </c>
      <c r="F6253" s="19">
        <v>5</v>
      </c>
      <c r="G6253" s="17">
        <v>5</v>
      </c>
      <c r="H6253" t="s" s="10">
        <v>63</v>
      </c>
      <c r="I6253" t="s" s="11">
        <v>63</v>
      </c>
      <c r="J6253" t="s" s="11">
        <v>20</v>
      </c>
      <c r="K6253" s="15"/>
      <c r="L6253" t="s" s="16">
        <f>HYPERLINK("http://csr.bu.edu/ftp/asl/asllvd/demos/verify_start_end_handshape_annotations//test_auto_move//signs_mov_separ_signers/Naomi_1374.mov","MOV")</f>
        <v>21</v>
      </c>
      <c r="M6253" t="s" s="10">
        <v>48</v>
      </c>
      <c r="N6253" s="17">
        <v>1</v>
      </c>
      <c r="O6253" s="18">
        <v>1655</v>
      </c>
      <c r="P6253" s="18">
        <v>1680</v>
      </c>
      <c r="Q6253" s="15"/>
      <c r="R6253" t="s" s="16">
        <f>HYPERLINK("http://secrets.rutgers.edu:8080/data/asl-ftp/asllvd/demos/verify_start_end_handshape_annotations//test_auto_move//signs_mov_separ_signers/Naomi_1374.mov","MOV")</f>
        <v>21</v>
      </c>
    </row>
    <row r="6254" s="2" customFormat="1" ht="13.5" customHeight="1">
      <c r="B6254" s="13"/>
      <c r="C6254" t="s" s="9">
        <v>30</v>
      </c>
      <c r="D6254" t="s" s="8">
        <v>2142</v>
      </c>
      <c r="E6254" t="s" s="9">
        <v>2142</v>
      </c>
      <c r="F6254" s="19">
        <v>5</v>
      </c>
      <c r="G6254" s="17">
        <v>5</v>
      </c>
      <c r="H6254" t="s" s="10">
        <v>63</v>
      </c>
      <c r="I6254" t="s" s="11">
        <v>63</v>
      </c>
      <c r="J6254" t="s" s="11">
        <v>20</v>
      </c>
      <c r="K6254" s="15"/>
      <c r="L6254" t="s" s="16">
        <f>HYPERLINK("http://csr.bu.edu/ftp/asl/asllvd/demos/verify_start_end_handshape_annotations//test_auto_move//signs_mov_separ_signers/Brady_1374.mov","MOV")</f>
        <v>21</v>
      </c>
      <c r="M6254" t="s" s="10">
        <v>39</v>
      </c>
      <c r="N6254" s="17">
        <v>47</v>
      </c>
      <c r="O6254" s="18">
        <v>4974</v>
      </c>
      <c r="P6254" s="18">
        <v>4996</v>
      </c>
      <c r="Q6254" s="15"/>
      <c r="R6254" t="s" s="16">
        <f>HYPERLINK("http://secrets.rutgers.edu:8080/data/asl-ftp/asllvd/demos/verify_start_end_handshape_annotations//test_auto_move//signs_mov_separ_signers/Brady_1374.mov","MOV")</f>
        <v>21</v>
      </c>
    </row>
    <row r="6255" s="2" customFormat="1" ht="13.5" customHeight="1">
      <c r="B6255" t="s" s="8">
        <v>2143</v>
      </c>
      <c r="C6255" t="s" s="9">
        <v>14</v>
      </c>
      <c r="D6255" t="s" s="8">
        <v>14</v>
      </c>
      <c r="E6255" t="s" s="9">
        <v>14</v>
      </c>
      <c r="F6255" t="s" s="10">
        <v>14</v>
      </c>
      <c r="G6255" t="s" s="11">
        <v>14</v>
      </c>
      <c r="H6255" t="s" s="10">
        <v>14</v>
      </c>
      <c r="I6255" t="s" s="11">
        <v>14</v>
      </c>
      <c r="J6255" t="s" s="11">
        <v>14</v>
      </c>
      <c r="K6255" t="s" s="12">
        <v>14</v>
      </c>
      <c r="L6255" t="s" s="12">
        <v>14</v>
      </c>
      <c r="M6255" t="s" s="10">
        <v>14</v>
      </c>
      <c r="N6255" t="s" s="11">
        <v>14</v>
      </c>
      <c r="O6255" t="s" s="8">
        <v>14</v>
      </c>
      <c r="P6255" t="s" s="8">
        <v>14</v>
      </c>
      <c r="Q6255" t="s" s="12">
        <v>14</v>
      </c>
      <c r="R6255" t="s" s="12">
        <v>14</v>
      </c>
    </row>
    <row r="6256" s="2" customFormat="1" ht="13.5" customHeight="1">
      <c r="B6256" s="13"/>
      <c r="C6256" t="s" s="9">
        <v>16</v>
      </c>
      <c r="D6256" t="s" s="8">
        <v>2143</v>
      </c>
      <c r="E6256" t="s" s="9">
        <v>2143</v>
      </c>
      <c r="F6256" t="s" s="10">
        <v>148</v>
      </c>
      <c r="G6256" t="s" s="11">
        <v>148</v>
      </c>
      <c r="H6256" t="s" s="10">
        <v>119</v>
      </c>
      <c r="I6256" t="s" s="11">
        <v>119</v>
      </c>
      <c r="J6256" t="s" s="11">
        <v>20</v>
      </c>
      <c r="K6256" t="s" s="16">
        <f>HYPERLINK("http://csr.bu.edu/ftp/asl/asllvd/demos/verify_start_end_handshape_annotations//test_auto_move//signs_mov/1375.mov","MOV")</f>
        <v>21</v>
      </c>
      <c r="L6256" t="s" s="16">
        <f>HYPERLINK("http://csr.bu.edu/ftp/asl/asllvd/demos/verify_start_end_handshape_annotations//test_auto_move//signs_mov_separ_signers/Liz_1375.mov","MOV")</f>
        <v>21</v>
      </c>
      <c r="M6256" t="s" s="10">
        <v>34</v>
      </c>
      <c r="N6256" s="17">
        <v>45</v>
      </c>
      <c r="O6256" s="18">
        <v>2505</v>
      </c>
      <c r="P6256" s="18">
        <v>2550</v>
      </c>
      <c r="Q6256" t="s" s="16">
        <f>HYPERLINK("http://secrets.rutgers.edu:8080/data/asl-ftp/asllvd/demos/verify_start_end_handshape_annotations//test_auto_move//signs_mov/1375.mov","MOV")</f>
        <v>21</v>
      </c>
      <c r="R6256" t="s" s="16">
        <f>HYPERLINK("http://secrets.rutgers.edu:8080/data/asl-ftp/asllvd/demos/verify_start_end_handshape_annotations//test_auto_move//signs_mov_separ_signers/Liz_1375.mov","MOV")</f>
        <v>21</v>
      </c>
    </row>
    <row r="6257" s="2" customFormat="1" ht="13.5" customHeight="1">
      <c r="B6257" t="s" s="8">
        <v>2144</v>
      </c>
      <c r="C6257" t="s" s="9">
        <v>14</v>
      </c>
      <c r="D6257" t="s" s="8">
        <v>14</v>
      </c>
      <c r="E6257" t="s" s="9">
        <v>14</v>
      </c>
      <c r="F6257" t="s" s="10">
        <v>14</v>
      </c>
      <c r="G6257" t="s" s="11">
        <v>14</v>
      </c>
      <c r="H6257" t="s" s="10">
        <v>14</v>
      </c>
      <c r="I6257" t="s" s="11">
        <v>14</v>
      </c>
      <c r="J6257" t="s" s="11">
        <v>14</v>
      </c>
      <c r="K6257" t="s" s="12">
        <v>14</v>
      </c>
      <c r="L6257" t="s" s="12">
        <v>14</v>
      </c>
      <c r="M6257" t="s" s="10">
        <v>14</v>
      </c>
      <c r="N6257" t="s" s="11">
        <v>14</v>
      </c>
      <c r="O6257" t="s" s="8">
        <v>14</v>
      </c>
      <c r="P6257" t="s" s="8">
        <v>14</v>
      </c>
      <c r="Q6257" t="s" s="12">
        <v>14</v>
      </c>
      <c r="R6257" t="s" s="12">
        <v>14</v>
      </c>
    </row>
    <row r="6258" s="2" customFormat="1" ht="13.5" customHeight="1">
      <c r="B6258" s="13"/>
      <c r="C6258" t="s" s="9">
        <v>16</v>
      </c>
      <c r="D6258" t="s" s="8">
        <v>2144</v>
      </c>
      <c r="E6258" t="s" s="9">
        <v>2145</v>
      </c>
      <c r="F6258" t="s" s="10">
        <v>73</v>
      </c>
      <c r="G6258" s="14"/>
      <c r="H6258" t="s" s="10">
        <v>73</v>
      </c>
      <c r="I6258" s="14"/>
      <c r="J6258" t="s" s="11">
        <v>20</v>
      </c>
      <c r="K6258" s="15"/>
      <c r="L6258" t="s" s="16">
        <f>HYPERLINK("http://csr.bu.edu/ftp/asl/asllvd/demos/verify_start_end_handshape_annotations//test_auto_move//signs_mov_separ_signers/Liz_1376.mov","MOV")</f>
        <v>21</v>
      </c>
      <c r="M6258" t="s" s="10">
        <v>34</v>
      </c>
      <c r="N6258" s="17">
        <v>45</v>
      </c>
      <c r="O6258" s="18">
        <v>2787</v>
      </c>
      <c r="P6258" s="18">
        <v>2820</v>
      </c>
      <c r="Q6258" s="15"/>
      <c r="R6258" t="s" s="16">
        <f>HYPERLINK("http://secrets.rutgers.edu:8080/data/asl-ftp/asllvd/demos/verify_start_end_handshape_annotations//test_auto_move//signs_mov_separ_signers/Liz_1376.mov","MOV")</f>
        <v>21</v>
      </c>
    </row>
    <row r="6259" s="2" customFormat="1" ht="13.5" customHeight="1">
      <c r="B6259" s="13"/>
      <c r="C6259" t="s" s="9">
        <v>23</v>
      </c>
      <c r="D6259" t="s" s="8">
        <v>2144</v>
      </c>
      <c r="E6259" t="s" s="9">
        <v>2145</v>
      </c>
      <c r="F6259" t="s" s="10">
        <v>73</v>
      </c>
      <c r="G6259" s="14"/>
      <c r="H6259" t="s" s="10">
        <v>73</v>
      </c>
      <c r="I6259" s="14"/>
      <c r="J6259" t="s" s="11">
        <v>20</v>
      </c>
      <c r="K6259" s="15"/>
      <c r="L6259" t="s" s="16">
        <f>HYPERLINK("http://csr.bu.edu/ftp/asl/asllvd/demos/verify_start_end_handshape_annotations//test_auto_move//signs_mov_separ_signers/Tyler_1376.mov","MOV")</f>
        <v>21</v>
      </c>
      <c r="M6259" t="s" s="10">
        <v>37</v>
      </c>
      <c r="N6259" s="17">
        <v>18</v>
      </c>
      <c r="O6259" s="18">
        <v>2040</v>
      </c>
      <c r="P6259" s="18">
        <v>2095</v>
      </c>
      <c r="Q6259" s="15"/>
      <c r="R6259" t="s" s="16">
        <f>HYPERLINK("http://secrets.rutgers.edu:8080/data/asl-ftp/asllvd/demos/verify_start_end_handshape_annotations//test_auto_move//signs_mov_separ_signers/Tyler_1376.mov","MOV")</f>
        <v>21</v>
      </c>
    </row>
    <row r="6260" s="2" customFormat="1" ht="13.5" customHeight="1">
      <c r="B6260" s="13"/>
      <c r="C6260" t="s" s="9">
        <v>27</v>
      </c>
      <c r="D6260" t="s" s="8">
        <v>2144</v>
      </c>
      <c r="E6260" t="s" s="9">
        <v>2145</v>
      </c>
      <c r="F6260" t="s" s="10">
        <v>73</v>
      </c>
      <c r="G6260" s="14"/>
      <c r="H6260" t="s" s="10">
        <v>73</v>
      </c>
      <c r="I6260" s="14"/>
      <c r="J6260" t="s" s="11">
        <v>20</v>
      </c>
      <c r="K6260" t="s" s="16">
        <f>HYPERLINK("http://csr.bu.edu/ftp/asl/asllvd/demos/verify_start_end_handshape_annotations//test_auto_move//signs_mov/1376_5314_merged.mov","MOV")</f>
        <v>21</v>
      </c>
      <c r="L6260" t="s" s="16">
        <f>HYPERLINK("http://csr.bu.edu/ftp/asl/asllvd/demos/verify_start_end_handshape_annotations//test_auto_move//signs_mov_separ_signers/Naomi_1376.mov","MOV")</f>
        <v>21</v>
      </c>
      <c r="M6260" t="s" s="10">
        <v>48</v>
      </c>
      <c r="N6260" s="17">
        <v>1</v>
      </c>
      <c r="O6260" s="18">
        <v>3992</v>
      </c>
      <c r="P6260" s="18">
        <v>4035</v>
      </c>
      <c r="Q6260" t="s" s="16">
        <f>HYPERLINK("http://secrets.rutgers.edu:8080/data/asl-ftp/asllvd/demos/verify_start_end_handshape_annotations//test_auto_move//signs_mov/1376_5314_merged.mov","MOV")</f>
        <v>21</v>
      </c>
      <c r="R6260" t="s" s="16">
        <f>HYPERLINK("http://secrets.rutgers.edu:8080/data/asl-ftp/asllvd/demos/verify_start_end_handshape_annotations//test_auto_move//signs_mov_separ_signers/Naomi_1376.mov","MOV")</f>
        <v>21</v>
      </c>
    </row>
    <row r="6261" s="2" customFormat="1" ht="13.5" customHeight="1">
      <c r="B6261" s="13"/>
      <c r="C6261" t="s" s="9">
        <v>30</v>
      </c>
      <c r="D6261" t="s" s="8">
        <v>2144</v>
      </c>
      <c r="E6261" t="s" s="9">
        <v>2145</v>
      </c>
      <c r="F6261" t="s" s="10">
        <v>73</v>
      </c>
      <c r="G6261" s="14"/>
      <c r="H6261" t="s" s="10">
        <v>73</v>
      </c>
      <c r="I6261" s="14"/>
      <c r="J6261" t="s" s="11">
        <v>20</v>
      </c>
      <c r="K6261" s="15"/>
      <c r="L6261" t="s" s="16">
        <f>HYPERLINK("http://csr.bu.edu/ftp/asl/asllvd/demos/verify_start_end_handshape_annotations//test_auto_move//signs_mov_separ_signers/Brady_1376.mov","MOV")</f>
        <v>21</v>
      </c>
      <c r="M6261" t="s" s="10">
        <v>31</v>
      </c>
      <c r="N6261" s="17">
        <v>16</v>
      </c>
      <c r="O6261" s="18">
        <v>411</v>
      </c>
      <c r="P6261" s="18">
        <v>432</v>
      </c>
      <c r="Q6261" s="15"/>
      <c r="R6261" t="s" s="16">
        <f>HYPERLINK("http://secrets.rutgers.edu:8080/data/asl-ftp/asllvd/demos/verify_start_end_handshape_annotations//test_auto_move//signs_mov_separ_signers/Brady_1376.mov","MOV")</f>
        <v>21</v>
      </c>
    </row>
    <row r="6262" s="2" customFormat="1" ht="13.5" customHeight="1">
      <c r="B6262" s="13"/>
      <c r="C6262" t="s" s="9">
        <v>30</v>
      </c>
      <c r="D6262" t="s" s="8">
        <v>2144</v>
      </c>
      <c r="E6262" t="s" s="9">
        <v>2146</v>
      </c>
      <c r="F6262" t="s" s="10">
        <v>73</v>
      </c>
      <c r="G6262" s="14"/>
      <c r="H6262" t="s" s="10">
        <v>73</v>
      </c>
      <c r="I6262" s="14"/>
      <c r="J6262" t="s" s="11">
        <v>20</v>
      </c>
      <c r="K6262" s="15"/>
      <c r="L6262" t="s" s="16">
        <f>HYPERLINK("http://csr.bu.edu/ftp/asl/asllvd/demos/verify_start_end_handshape_annotations//test_auto_move//signs_mov_separ_signers/Brady_5314.mov","MOV")</f>
        <v>21</v>
      </c>
      <c r="M6262" t="s" s="10">
        <v>39</v>
      </c>
      <c r="N6262" s="17">
        <v>47</v>
      </c>
      <c r="O6262" s="18">
        <v>5824</v>
      </c>
      <c r="P6262" s="18">
        <v>5852</v>
      </c>
      <c r="Q6262" s="15"/>
      <c r="R6262" t="s" s="16">
        <f>HYPERLINK("http://secrets.rutgers.edu:8080/data/asl-ftp/asllvd/demos/verify_start_end_handshape_annotations//test_auto_move//signs_mov_separ_signers/Brady_5314.mov","MOV")</f>
        <v>21</v>
      </c>
    </row>
    <row r="6263" s="2" customFormat="1" ht="13.5" customHeight="1">
      <c r="B6263" s="13"/>
      <c r="C6263" t="s" s="9">
        <v>43</v>
      </c>
      <c r="D6263" t="s" s="8">
        <v>2144</v>
      </c>
      <c r="E6263" t="s" s="9">
        <v>2145</v>
      </c>
      <c r="F6263" t="s" s="10">
        <v>73</v>
      </c>
      <c r="G6263" s="14"/>
      <c r="H6263" t="s" s="10">
        <v>73</v>
      </c>
      <c r="I6263" s="14"/>
      <c r="J6263" t="s" s="11">
        <v>20</v>
      </c>
      <c r="K6263" s="15"/>
      <c r="L6263" t="s" s="16">
        <f>HYPERLINK("http://csr.bu.edu/ftp/asl/asllvd/demos/verify_start_end_handshape_annotations//test_auto_move//signs_mov_separ_signers/Dana_1376.mov","MOV")</f>
        <v>21</v>
      </c>
      <c r="M6263" t="s" s="10">
        <v>44</v>
      </c>
      <c r="N6263" s="17">
        <v>19</v>
      </c>
      <c r="O6263" s="18">
        <v>1250</v>
      </c>
      <c r="P6263" s="18">
        <v>1308</v>
      </c>
      <c r="Q6263" s="15"/>
      <c r="R6263" t="s" s="16">
        <f>HYPERLINK("http://secrets.rutgers.edu:8080/data/asl-ftp/asllvd/demos/verify_start_end_handshape_annotations//test_auto_move//signs_mov_separ_signers/Dana_1376.mov","MOV")</f>
        <v>21</v>
      </c>
    </row>
    <row r="6264" s="2" customFormat="1" ht="13.5" customHeight="1">
      <c r="B6264" t="s" s="8">
        <v>2147</v>
      </c>
      <c r="C6264" t="s" s="9">
        <v>14</v>
      </c>
      <c r="D6264" t="s" s="8">
        <v>14</v>
      </c>
      <c r="E6264" t="s" s="9">
        <v>14</v>
      </c>
      <c r="F6264" t="s" s="10">
        <v>14</v>
      </c>
      <c r="G6264" t="s" s="11">
        <v>14</v>
      </c>
      <c r="H6264" t="s" s="10">
        <v>14</v>
      </c>
      <c r="I6264" t="s" s="11">
        <v>14</v>
      </c>
      <c r="J6264" t="s" s="11">
        <v>14</v>
      </c>
      <c r="K6264" t="s" s="12">
        <v>14</v>
      </c>
      <c r="L6264" t="s" s="12">
        <v>14</v>
      </c>
      <c r="M6264" t="s" s="10">
        <v>14</v>
      </c>
      <c r="N6264" t="s" s="11">
        <v>14</v>
      </c>
      <c r="O6264" t="s" s="8">
        <v>14</v>
      </c>
      <c r="P6264" t="s" s="8">
        <v>14</v>
      </c>
      <c r="Q6264" t="s" s="12">
        <v>14</v>
      </c>
      <c r="R6264" t="s" s="12">
        <v>14</v>
      </c>
    </row>
    <row r="6265" s="2" customFormat="1" ht="13.5" customHeight="1">
      <c r="B6265" s="13"/>
      <c r="C6265" t="s" s="9">
        <v>16</v>
      </c>
      <c r="D6265" t="s" s="8">
        <v>2147</v>
      </c>
      <c r="E6265" t="s" s="9">
        <v>2147</v>
      </c>
      <c r="F6265" s="19">
        <v>5</v>
      </c>
      <c r="G6265" s="17">
        <v>5</v>
      </c>
      <c r="H6265" s="19">
        <v>5</v>
      </c>
      <c r="I6265" s="17">
        <v>5</v>
      </c>
      <c r="J6265" t="s" s="11">
        <v>20</v>
      </c>
      <c r="K6265" s="15"/>
      <c r="L6265" t="s" s="16">
        <f>HYPERLINK("http://csr.bu.edu/ftp/asl/asllvd/demos/verify_start_end_handshape_annotations//test_auto_move//signs_mov_separ_signers/Liz_1378.mov","MOV")</f>
        <v>21</v>
      </c>
      <c r="M6265" t="s" s="10">
        <v>34</v>
      </c>
      <c r="N6265" s="17">
        <v>45</v>
      </c>
      <c r="O6265" s="18">
        <v>3315</v>
      </c>
      <c r="P6265" s="18">
        <v>3345</v>
      </c>
      <c r="Q6265" s="15"/>
      <c r="R6265" t="s" s="16">
        <f>HYPERLINK("http://secrets.rutgers.edu:8080/data/asl-ftp/asllvd/demos/verify_start_end_handshape_annotations//test_auto_move//signs_mov_separ_signers/Liz_1378.mov","MOV")</f>
        <v>21</v>
      </c>
    </row>
    <row r="6266" s="2" customFormat="1" ht="13.5" customHeight="1">
      <c r="B6266" s="13"/>
      <c r="C6266" t="s" s="9">
        <v>23</v>
      </c>
      <c r="D6266" t="s" s="8">
        <v>2147</v>
      </c>
      <c r="E6266" t="s" s="9">
        <v>2147</v>
      </c>
      <c r="F6266" s="19">
        <v>5</v>
      </c>
      <c r="G6266" s="17">
        <v>5</v>
      </c>
      <c r="H6266" s="19">
        <v>5</v>
      </c>
      <c r="I6266" s="17">
        <v>5</v>
      </c>
      <c r="J6266" t="s" s="11">
        <v>20</v>
      </c>
      <c r="K6266" s="15"/>
      <c r="L6266" t="s" s="16">
        <f>HYPERLINK("http://csr.bu.edu/ftp/asl/asllvd/demos/verify_start_end_handshape_annotations//test_auto_move//signs_mov_separ_signers/Tyler_1378.mov","MOV")</f>
        <v>21</v>
      </c>
      <c r="M6266" t="s" s="10">
        <v>37</v>
      </c>
      <c r="N6266" s="17">
        <v>18</v>
      </c>
      <c r="O6266" s="18">
        <v>3317</v>
      </c>
      <c r="P6266" s="18">
        <v>3337</v>
      </c>
      <c r="Q6266" s="15"/>
      <c r="R6266" t="s" s="16">
        <f>HYPERLINK("http://secrets.rutgers.edu:8080/data/asl-ftp/asllvd/demos/verify_start_end_handshape_annotations//test_auto_move//signs_mov_separ_signers/Tyler_1378.mov","MOV")</f>
        <v>21</v>
      </c>
    </row>
    <row r="6267" s="2" customFormat="1" ht="13.5" customHeight="1">
      <c r="B6267" s="13"/>
      <c r="C6267" t="s" s="9">
        <v>27</v>
      </c>
      <c r="D6267" t="s" s="8">
        <v>2147</v>
      </c>
      <c r="E6267" t="s" s="9">
        <v>2147</v>
      </c>
      <c r="F6267" s="19">
        <v>5</v>
      </c>
      <c r="G6267" s="17">
        <v>5</v>
      </c>
      <c r="H6267" s="19">
        <v>5</v>
      </c>
      <c r="I6267" s="17">
        <v>5</v>
      </c>
      <c r="J6267" t="s" s="11">
        <v>20</v>
      </c>
      <c r="K6267" t="s" s="16">
        <f>HYPERLINK("http://csr.bu.edu/ftp/asl/asllvd/demos/verify_start_end_handshape_annotations//test_auto_move//signs_mov/1378.mov","MOV")</f>
        <v>21</v>
      </c>
      <c r="L6267" t="s" s="16">
        <f>HYPERLINK("http://csr.bu.edu/ftp/asl/asllvd/demos/verify_start_end_handshape_annotations//test_auto_move//signs_mov_separ_signers/Naomi_1378.mov","MOV")</f>
        <v>21</v>
      </c>
      <c r="M6267" t="s" s="10">
        <v>48</v>
      </c>
      <c r="N6267" s="17">
        <v>1</v>
      </c>
      <c r="O6267" s="18">
        <v>4492</v>
      </c>
      <c r="P6267" s="18">
        <v>4512</v>
      </c>
      <c r="Q6267" t="s" s="16">
        <f>HYPERLINK("http://secrets.rutgers.edu:8080/data/asl-ftp/asllvd/demos/verify_start_end_handshape_annotations//test_auto_move//signs_mov/1378.mov","MOV")</f>
        <v>21</v>
      </c>
      <c r="R6267" t="s" s="16">
        <f>HYPERLINK("http://secrets.rutgers.edu:8080/data/asl-ftp/asllvd/demos/verify_start_end_handshape_annotations//test_auto_move//signs_mov_separ_signers/Naomi_1378.mov","MOV")</f>
        <v>21</v>
      </c>
    </row>
    <row r="6268" s="2" customFormat="1" ht="13.5" customHeight="1">
      <c r="B6268" s="13"/>
      <c r="C6268" t="s" s="9">
        <v>30</v>
      </c>
      <c r="D6268" t="s" s="8">
        <v>2147</v>
      </c>
      <c r="E6268" t="s" s="9">
        <v>2147</v>
      </c>
      <c r="F6268" s="19">
        <v>5</v>
      </c>
      <c r="G6268" s="17">
        <v>5</v>
      </c>
      <c r="H6268" s="19">
        <v>5</v>
      </c>
      <c r="I6268" s="17">
        <v>5</v>
      </c>
      <c r="J6268" t="s" s="11">
        <v>20</v>
      </c>
      <c r="K6268" s="15"/>
      <c r="L6268" t="s" s="16">
        <f>HYPERLINK("http://csr.bu.edu/ftp/asl/asllvd/demos/verify_start_end_handshape_annotations//test_auto_move//signs_mov_separ_signers/Brady_1378.mov","MOV")</f>
        <v>21</v>
      </c>
      <c r="M6268" t="s" s="10">
        <v>39</v>
      </c>
      <c r="N6268" s="17">
        <v>47</v>
      </c>
      <c r="O6268" s="18">
        <v>6059</v>
      </c>
      <c r="P6268" s="18">
        <v>6080</v>
      </c>
      <c r="Q6268" s="15"/>
      <c r="R6268" t="s" s="16">
        <f>HYPERLINK("http://secrets.rutgers.edu:8080/data/asl-ftp/asllvd/demos/verify_start_end_handshape_annotations//test_auto_move//signs_mov_separ_signers/Brady_1378.mov","MOV")</f>
        <v>21</v>
      </c>
    </row>
    <row r="6269" s="2" customFormat="1" ht="13.5" customHeight="1">
      <c r="B6269" s="13"/>
      <c r="C6269" t="s" s="9">
        <v>41</v>
      </c>
      <c r="D6269" t="s" s="8">
        <v>2147</v>
      </c>
      <c r="E6269" t="s" s="9">
        <v>2147</v>
      </c>
      <c r="F6269" s="19">
        <v>5</v>
      </c>
      <c r="G6269" s="17">
        <v>5</v>
      </c>
      <c r="H6269" s="19">
        <v>5</v>
      </c>
      <c r="I6269" s="17">
        <v>5</v>
      </c>
      <c r="J6269" t="s" s="11">
        <v>20</v>
      </c>
      <c r="K6269" s="15"/>
      <c r="L6269" t="s" s="16">
        <f>HYPERLINK("http://csr.bu.edu/ftp/asl/asllvd/demos/verify_start_end_handshape_annotations//test_auto_move//signs_mov_separ_signers/Lana_1378.mov","MOV")</f>
        <v>21</v>
      </c>
      <c r="M6269" t="s" s="10">
        <v>42</v>
      </c>
      <c r="N6269" s="17">
        <v>16</v>
      </c>
      <c r="O6269" s="18">
        <v>236</v>
      </c>
      <c r="P6269" s="18">
        <v>253</v>
      </c>
      <c r="Q6269" s="15"/>
      <c r="R6269" t="s" s="16">
        <f>HYPERLINK("http://secrets.rutgers.edu:8080/data/asl-ftp/asllvd/demos/verify_start_end_handshape_annotations//test_auto_move//signs_mov_separ_signers/Lana_1378.mov","MOV")</f>
        <v>21</v>
      </c>
    </row>
    <row r="6270" s="2" customFormat="1" ht="13.5" customHeight="1">
      <c r="B6270" s="13"/>
      <c r="C6270" t="s" s="9">
        <v>43</v>
      </c>
      <c r="D6270" t="s" s="8">
        <v>2147</v>
      </c>
      <c r="E6270" t="s" s="9">
        <v>2147</v>
      </c>
      <c r="F6270" s="19">
        <v>5</v>
      </c>
      <c r="G6270" s="17">
        <v>5</v>
      </c>
      <c r="H6270" s="19">
        <v>5</v>
      </c>
      <c r="I6270" s="17">
        <v>5</v>
      </c>
      <c r="J6270" t="s" s="11">
        <v>20</v>
      </c>
      <c r="K6270" s="15"/>
      <c r="L6270" t="s" s="16">
        <f>HYPERLINK("http://csr.bu.edu/ftp/asl/asllvd/demos/verify_start_end_handshape_annotations//test_auto_move//signs_mov_separ_signers/Dana_1378.mov","MOV")</f>
        <v>21</v>
      </c>
      <c r="M6270" t="s" s="10">
        <v>44</v>
      </c>
      <c r="N6270" s="17">
        <v>19</v>
      </c>
      <c r="O6270" s="18">
        <v>168</v>
      </c>
      <c r="P6270" s="18">
        <v>214</v>
      </c>
      <c r="Q6270" s="15"/>
      <c r="R6270" t="s" s="16">
        <f>HYPERLINK("http://secrets.rutgers.edu:8080/data/asl-ftp/asllvd/demos/verify_start_end_handshape_annotations//test_auto_move//signs_mov_separ_signers/Dana_1378.mov","MOV")</f>
        <v>21</v>
      </c>
    </row>
    <row r="6271" s="2" customFormat="1" ht="13.5" customHeight="1">
      <c r="B6271" t="s" s="8">
        <v>2148</v>
      </c>
      <c r="C6271" t="s" s="9">
        <v>14</v>
      </c>
      <c r="D6271" t="s" s="8">
        <v>14</v>
      </c>
      <c r="E6271" t="s" s="9">
        <v>14</v>
      </c>
      <c r="F6271" t="s" s="10">
        <v>14</v>
      </c>
      <c r="G6271" t="s" s="11">
        <v>14</v>
      </c>
      <c r="H6271" t="s" s="10">
        <v>14</v>
      </c>
      <c r="I6271" t="s" s="11">
        <v>14</v>
      </c>
      <c r="J6271" t="s" s="11">
        <v>14</v>
      </c>
      <c r="K6271" t="s" s="12">
        <v>14</v>
      </c>
      <c r="L6271" t="s" s="12">
        <v>14</v>
      </c>
      <c r="M6271" t="s" s="10">
        <v>14</v>
      </c>
      <c r="N6271" t="s" s="11">
        <v>14</v>
      </c>
      <c r="O6271" t="s" s="8">
        <v>14</v>
      </c>
      <c r="P6271" t="s" s="8">
        <v>14</v>
      </c>
      <c r="Q6271" t="s" s="12">
        <v>14</v>
      </c>
      <c r="R6271" t="s" s="12">
        <v>14</v>
      </c>
    </row>
    <row r="6272" s="2" customFormat="1" ht="13.5" customHeight="1">
      <c r="B6272" s="13"/>
      <c r="C6272" t="s" s="9">
        <v>16</v>
      </c>
      <c r="D6272" t="s" s="8">
        <v>2148</v>
      </c>
      <c r="E6272" t="s" s="9">
        <v>2148</v>
      </c>
      <c r="F6272" t="s" s="10">
        <v>25</v>
      </c>
      <c r="G6272" s="14"/>
      <c r="H6272" t="s" s="10">
        <v>25</v>
      </c>
      <c r="I6272" s="14"/>
      <c r="J6272" t="s" s="11">
        <v>20</v>
      </c>
      <c r="K6272" s="15"/>
      <c r="L6272" t="s" s="16">
        <f>HYPERLINK("http://csr.bu.edu/ftp/asl/asllvd/demos/verify_start_end_handshape_annotations//test_auto_move//signs_mov_separ_signers/Liz_1379.mov","MOV")</f>
        <v>21</v>
      </c>
      <c r="M6272" t="s" s="10">
        <v>34</v>
      </c>
      <c r="N6272" s="17">
        <v>45</v>
      </c>
      <c r="O6272" s="18">
        <v>3560</v>
      </c>
      <c r="P6272" s="18">
        <v>3595</v>
      </c>
      <c r="Q6272" s="15"/>
      <c r="R6272" t="s" s="16">
        <f>HYPERLINK("http://secrets.rutgers.edu:8080/data/asl-ftp/asllvd/demos/verify_start_end_handshape_annotations//test_auto_move//signs_mov_separ_signers/Liz_1379.mov","MOV")</f>
        <v>21</v>
      </c>
    </row>
    <row r="6273" s="2" customFormat="1" ht="13.5" customHeight="1">
      <c r="B6273" s="13"/>
      <c r="C6273" t="s" s="9">
        <v>23</v>
      </c>
      <c r="D6273" t="s" s="8">
        <v>2148</v>
      </c>
      <c r="E6273" t="s" s="9">
        <v>2148</v>
      </c>
      <c r="F6273" t="s" s="10">
        <v>25</v>
      </c>
      <c r="G6273" s="14"/>
      <c r="H6273" t="s" s="10">
        <v>25</v>
      </c>
      <c r="I6273" s="14"/>
      <c r="J6273" t="s" s="11">
        <v>20</v>
      </c>
      <c r="K6273" s="15"/>
      <c r="L6273" t="s" s="16">
        <f>HYPERLINK("http://csr.bu.edu/ftp/asl/asllvd/demos/verify_start_end_handshape_annotations//test_auto_move//signs_mov_separ_signers/Tyler_1379.mov","MOV")</f>
        <v>21</v>
      </c>
      <c r="M6273" t="s" s="10">
        <v>37</v>
      </c>
      <c r="N6273" s="17">
        <v>18</v>
      </c>
      <c r="O6273" s="18">
        <v>3650</v>
      </c>
      <c r="P6273" s="18">
        <v>3672</v>
      </c>
      <c r="Q6273" s="15"/>
      <c r="R6273" t="s" s="16">
        <f>HYPERLINK("http://secrets.rutgers.edu:8080/data/asl-ftp/asllvd/demos/verify_start_end_handshape_annotations//test_auto_move//signs_mov_separ_signers/Tyler_1379.mov","MOV")</f>
        <v>21</v>
      </c>
    </row>
    <row r="6274" s="2" customFormat="1" ht="13.5" customHeight="1">
      <c r="B6274" s="13"/>
      <c r="C6274" t="s" s="9">
        <v>27</v>
      </c>
      <c r="D6274" t="s" s="8">
        <v>2148</v>
      </c>
      <c r="E6274" t="s" s="9">
        <v>2148</v>
      </c>
      <c r="F6274" t="s" s="10">
        <v>25</v>
      </c>
      <c r="G6274" s="14"/>
      <c r="H6274" t="s" s="10">
        <v>25</v>
      </c>
      <c r="I6274" s="14"/>
      <c r="J6274" t="s" s="11">
        <v>20</v>
      </c>
      <c r="K6274" t="s" s="16">
        <f>HYPERLINK("http://csr.bu.edu/ftp/asl/asllvd/demos/verify_start_end_handshape_annotations//test_auto_move//signs_mov/1379.mov","MOV")</f>
        <v>21</v>
      </c>
      <c r="L6274" t="s" s="16">
        <f>HYPERLINK("http://csr.bu.edu/ftp/asl/asllvd/demos/verify_start_end_handshape_annotations//test_auto_move//signs_mov_separ_signers/Naomi_1379.mov","MOV")</f>
        <v>21</v>
      </c>
      <c r="M6274" t="s" s="10">
        <v>48</v>
      </c>
      <c r="N6274" s="17">
        <v>1</v>
      </c>
      <c r="O6274" s="18">
        <v>4682</v>
      </c>
      <c r="P6274" s="18">
        <v>4700</v>
      </c>
      <c r="Q6274" t="s" s="16">
        <f>HYPERLINK("http://secrets.rutgers.edu:8080/data/asl-ftp/asllvd/demos/verify_start_end_handshape_annotations//test_auto_move//signs_mov/1379.mov","MOV")</f>
        <v>21</v>
      </c>
      <c r="R6274" t="s" s="16">
        <f>HYPERLINK("http://secrets.rutgers.edu:8080/data/asl-ftp/asllvd/demos/verify_start_end_handshape_annotations//test_auto_move//signs_mov_separ_signers/Naomi_1379.mov","MOV")</f>
        <v>21</v>
      </c>
    </row>
    <row r="6275" s="2" customFormat="1" ht="13.5" customHeight="1">
      <c r="B6275" s="13"/>
      <c r="C6275" t="s" s="9">
        <v>30</v>
      </c>
      <c r="D6275" t="s" s="8">
        <v>2148</v>
      </c>
      <c r="E6275" t="s" s="9">
        <v>2148</v>
      </c>
      <c r="F6275" t="s" s="10">
        <v>25</v>
      </c>
      <c r="G6275" s="14"/>
      <c r="H6275" t="s" s="10">
        <v>25</v>
      </c>
      <c r="I6275" s="14"/>
      <c r="J6275" t="s" s="11">
        <v>20</v>
      </c>
      <c r="K6275" s="15"/>
      <c r="L6275" t="s" s="16">
        <f>HYPERLINK("http://csr.bu.edu/ftp/asl/asllvd/demos/verify_start_end_handshape_annotations//test_auto_move//signs_mov_separ_signers/Brady_1379.mov","MOV")</f>
        <v>21</v>
      </c>
      <c r="M6275" t="s" s="10">
        <v>39</v>
      </c>
      <c r="N6275" s="17">
        <v>48</v>
      </c>
      <c r="O6275" s="18">
        <v>228</v>
      </c>
      <c r="P6275" s="18">
        <v>241</v>
      </c>
      <c r="Q6275" s="15"/>
      <c r="R6275" t="s" s="16">
        <f>HYPERLINK("http://secrets.rutgers.edu:8080/data/asl-ftp/asllvd/demos/verify_start_end_handshape_annotations//test_auto_move//signs_mov_separ_signers/Brady_1379.mov","MOV")</f>
        <v>21</v>
      </c>
    </row>
    <row r="6276" s="2" customFormat="1" ht="13.5" customHeight="1">
      <c r="B6276" s="13"/>
      <c r="C6276" t="s" s="9">
        <v>41</v>
      </c>
      <c r="D6276" t="s" s="8">
        <v>2148</v>
      </c>
      <c r="E6276" t="s" s="9">
        <v>2148</v>
      </c>
      <c r="F6276" t="s" s="10">
        <v>25</v>
      </c>
      <c r="G6276" s="14"/>
      <c r="H6276" t="s" s="10">
        <v>25</v>
      </c>
      <c r="I6276" s="14"/>
      <c r="J6276" t="s" s="11">
        <v>20</v>
      </c>
      <c r="K6276" s="15"/>
      <c r="L6276" t="s" s="16">
        <f>HYPERLINK("http://csr.bu.edu/ftp/asl/asllvd/demos/verify_start_end_handshape_annotations//test_auto_move//signs_mov_separ_signers/Lana_1379.mov","MOV")</f>
        <v>21</v>
      </c>
      <c r="M6276" t="s" s="10">
        <v>42</v>
      </c>
      <c r="N6276" s="17">
        <v>16</v>
      </c>
      <c r="O6276" s="18">
        <v>1663</v>
      </c>
      <c r="P6276" s="18">
        <v>1686</v>
      </c>
      <c r="Q6276" s="15"/>
      <c r="R6276" t="s" s="16">
        <f>HYPERLINK("http://secrets.rutgers.edu:8080/data/asl-ftp/asllvd/demos/verify_start_end_handshape_annotations//test_auto_move//signs_mov_separ_signers/Lana_1379.mov","MOV")</f>
        <v>21</v>
      </c>
    </row>
    <row r="6277" s="2" customFormat="1" ht="13.5" customHeight="1">
      <c r="B6277" s="13"/>
      <c r="C6277" t="s" s="9">
        <v>43</v>
      </c>
      <c r="D6277" t="s" s="8">
        <v>2148</v>
      </c>
      <c r="E6277" t="s" s="9">
        <v>2148</v>
      </c>
      <c r="F6277" t="s" s="10">
        <v>25</v>
      </c>
      <c r="G6277" s="14"/>
      <c r="H6277" t="s" s="10">
        <v>25</v>
      </c>
      <c r="I6277" s="14"/>
      <c r="J6277" t="s" s="11">
        <v>20</v>
      </c>
      <c r="K6277" s="15"/>
      <c r="L6277" t="s" s="16">
        <f>HYPERLINK("http://csr.bu.edu/ftp/asl/asllvd/demos/verify_start_end_handshape_annotations//test_auto_move//signs_mov_separ_signers/Dana_1379.mov","MOV")</f>
        <v>21</v>
      </c>
      <c r="M6277" t="s" s="10">
        <v>44</v>
      </c>
      <c r="N6277" s="17">
        <v>19</v>
      </c>
      <c r="O6277" s="18">
        <v>1687</v>
      </c>
      <c r="P6277" s="18">
        <v>1731</v>
      </c>
      <c r="Q6277" s="15"/>
      <c r="R6277" t="s" s="16">
        <f>HYPERLINK("http://secrets.rutgers.edu:8080/data/asl-ftp/asllvd/demos/verify_start_end_handshape_annotations//test_auto_move//signs_mov_separ_signers/Dana_1379.mov","MOV")</f>
        <v>21</v>
      </c>
    </row>
    <row r="6278" s="2" customFormat="1" ht="13.5" customHeight="1">
      <c r="B6278" t="s" s="8">
        <v>2149</v>
      </c>
      <c r="C6278" t="s" s="9">
        <v>14</v>
      </c>
      <c r="D6278" t="s" s="8">
        <v>14</v>
      </c>
      <c r="E6278" t="s" s="9">
        <v>14</v>
      </c>
      <c r="F6278" t="s" s="10">
        <v>14</v>
      </c>
      <c r="G6278" t="s" s="11">
        <v>14</v>
      </c>
      <c r="H6278" t="s" s="10">
        <v>14</v>
      </c>
      <c r="I6278" t="s" s="11">
        <v>14</v>
      </c>
      <c r="J6278" t="s" s="11">
        <v>14</v>
      </c>
      <c r="K6278" t="s" s="12">
        <v>14</v>
      </c>
      <c r="L6278" t="s" s="12">
        <v>14</v>
      </c>
      <c r="M6278" t="s" s="10">
        <v>14</v>
      </c>
      <c r="N6278" t="s" s="11">
        <v>14</v>
      </c>
      <c r="O6278" t="s" s="8">
        <v>14</v>
      </c>
      <c r="P6278" t="s" s="8">
        <v>14</v>
      </c>
      <c r="Q6278" t="s" s="12">
        <v>14</v>
      </c>
      <c r="R6278" t="s" s="12">
        <v>14</v>
      </c>
    </row>
    <row r="6279" s="2" customFormat="1" ht="13.5" customHeight="1">
      <c r="B6279" s="13"/>
      <c r="C6279" t="s" s="9">
        <v>16</v>
      </c>
      <c r="D6279" t="s" s="8">
        <v>2149</v>
      </c>
      <c r="E6279" t="s" s="9">
        <v>2149</v>
      </c>
      <c r="F6279" s="19">
        <v>1</v>
      </c>
      <c r="G6279" s="14"/>
      <c r="H6279" s="19">
        <v>1</v>
      </c>
      <c r="I6279" s="14"/>
      <c r="J6279" t="s" s="11">
        <v>20</v>
      </c>
      <c r="K6279" s="15"/>
      <c r="L6279" t="s" s="16">
        <f>HYPERLINK("http://csr.bu.edu/ftp/asl/asllvd/demos/verify_start_end_handshape_annotations//test_auto_move//signs_mov_separ_signers/Liz_1380.mov","MOV")</f>
        <v>21</v>
      </c>
      <c r="M6279" t="s" s="10">
        <v>34</v>
      </c>
      <c r="N6279" s="17">
        <v>46</v>
      </c>
      <c r="O6279" s="18">
        <v>302</v>
      </c>
      <c r="P6279" s="18">
        <v>345</v>
      </c>
      <c r="Q6279" s="15"/>
      <c r="R6279" t="s" s="16">
        <f>HYPERLINK("http://secrets.rutgers.edu:8080/data/asl-ftp/asllvd/demos/verify_start_end_handshape_annotations//test_auto_move//signs_mov_separ_signers/Liz_1380.mov","MOV")</f>
        <v>21</v>
      </c>
    </row>
    <row r="6280" s="2" customFormat="1" ht="13.5" customHeight="1">
      <c r="B6280" s="13"/>
      <c r="C6280" t="s" s="9">
        <v>23</v>
      </c>
      <c r="D6280" t="s" s="8">
        <v>2149</v>
      </c>
      <c r="E6280" t="s" s="9">
        <v>2150</v>
      </c>
      <c r="F6280" s="19">
        <v>1</v>
      </c>
      <c r="G6280" s="14"/>
      <c r="H6280" s="19">
        <v>1</v>
      </c>
      <c r="I6280" s="14"/>
      <c r="J6280" t="s" s="11">
        <v>20</v>
      </c>
      <c r="K6280" t="s" s="16">
        <f>HYPERLINK("http://csr.bu.edu/ftp/asl/asllvd/demos/verify_start_end_handshape_annotations//test_auto_move//signs_mov/1380.mov","MOV")</f>
        <v>21</v>
      </c>
      <c r="L6280" t="s" s="16">
        <f>HYPERLINK("http://csr.bu.edu/ftp/asl/asllvd/demos/verify_start_end_handshape_annotations//test_auto_move//signs_mov_separ_signers/Tyler_1380.mov","MOV")</f>
        <v>21</v>
      </c>
      <c r="M6280" t="s" s="10">
        <v>37</v>
      </c>
      <c r="N6280" s="17">
        <v>18</v>
      </c>
      <c r="O6280" s="18">
        <v>3900</v>
      </c>
      <c r="P6280" s="18">
        <v>3945</v>
      </c>
      <c r="Q6280" t="s" s="16">
        <f>HYPERLINK("http://secrets.rutgers.edu:8080/data/asl-ftp/asllvd/demos/verify_start_end_handshape_annotations//test_auto_move//signs_mov/1380.mov","MOV")</f>
        <v>21</v>
      </c>
      <c r="R6280" t="s" s="16">
        <f>HYPERLINK("http://secrets.rutgers.edu:8080/data/asl-ftp/asllvd/demos/verify_start_end_handshape_annotations//test_auto_move//signs_mov_separ_signers/Tyler_1380.mov","MOV")</f>
        <v>21</v>
      </c>
    </row>
    <row r="6281" s="2" customFormat="1" ht="13.5" customHeight="1">
      <c r="B6281" s="13"/>
      <c r="C6281" t="s" s="9">
        <v>27</v>
      </c>
      <c r="D6281" t="s" s="8">
        <v>2149</v>
      </c>
      <c r="E6281" t="s" s="9">
        <v>2149</v>
      </c>
      <c r="F6281" t="s" s="10">
        <v>268</v>
      </c>
      <c r="G6281" s="14"/>
      <c r="H6281" t="s" s="10">
        <v>268</v>
      </c>
      <c r="I6281" s="14"/>
      <c r="J6281" t="s" s="11">
        <v>20</v>
      </c>
      <c r="K6281" s="15"/>
      <c r="L6281" t="s" s="16">
        <f>HYPERLINK("http://csr.bu.edu/ftp/asl/asllvd/demos/verify_start_end_handshape_annotations//test_auto_move//signs_mov_separ_signers/Naomi_1380.mov","MOV")</f>
        <v>21</v>
      </c>
      <c r="M6281" t="s" s="10">
        <v>48</v>
      </c>
      <c r="N6281" s="17">
        <v>1</v>
      </c>
      <c r="O6281" s="18">
        <v>4986</v>
      </c>
      <c r="P6281" s="18">
        <v>5020</v>
      </c>
      <c r="Q6281" s="15"/>
      <c r="R6281" t="s" s="16">
        <f>HYPERLINK("http://secrets.rutgers.edu:8080/data/asl-ftp/asllvd/demos/verify_start_end_handshape_annotations//test_auto_move//signs_mov_separ_signers/Naomi_1380.mov","MOV")</f>
        <v>21</v>
      </c>
    </row>
    <row r="6282" s="2" customFormat="1" ht="13.5" customHeight="1">
      <c r="B6282" s="13"/>
      <c r="C6282" t="s" s="9">
        <v>30</v>
      </c>
      <c r="D6282" t="s" s="8">
        <v>2149</v>
      </c>
      <c r="E6282" t="s" s="9">
        <v>2149</v>
      </c>
      <c r="F6282" s="19">
        <v>1</v>
      </c>
      <c r="G6282" s="14"/>
      <c r="H6282" s="19">
        <v>1</v>
      </c>
      <c r="I6282" s="14"/>
      <c r="J6282" t="s" s="11">
        <v>20</v>
      </c>
      <c r="K6282" s="15"/>
      <c r="L6282" t="s" s="16">
        <f>HYPERLINK("http://csr.bu.edu/ftp/asl/asllvd/demos/verify_start_end_handshape_annotations//test_auto_move//signs_mov_separ_signers/Brady_1380.mov","MOV")</f>
        <v>21</v>
      </c>
      <c r="M6282" t="s" s="10">
        <v>39</v>
      </c>
      <c r="N6282" s="17">
        <v>48</v>
      </c>
      <c r="O6282" s="18">
        <v>1588</v>
      </c>
      <c r="P6282" s="18">
        <v>1628</v>
      </c>
      <c r="Q6282" s="15"/>
      <c r="R6282" t="s" s="16">
        <f>HYPERLINK("http://secrets.rutgers.edu:8080/data/asl-ftp/asllvd/demos/verify_start_end_handshape_annotations//test_auto_move//signs_mov_separ_signers/Brady_1380.mov","MOV")</f>
        <v>21</v>
      </c>
    </row>
    <row r="6283" s="2" customFormat="1" ht="13.5" customHeight="1">
      <c r="B6283" t="s" s="8">
        <v>2151</v>
      </c>
      <c r="C6283" t="s" s="9">
        <v>14</v>
      </c>
      <c r="D6283" t="s" s="8">
        <v>14</v>
      </c>
      <c r="E6283" t="s" s="9">
        <v>14</v>
      </c>
      <c r="F6283" t="s" s="10">
        <v>14</v>
      </c>
      <c r="G6283" t="s" s="11">
        <v>14</v>
      </c>
      <c r="H6283" t="s" s="10">
        <v>14</v>
      </c>
      <c r="I6283" t="s" s="11">
        <v>14</v>
      </c>
      <c r="J6283" t="s" s="11">
        <v>14</v>
      </c>
      <c r="K6283" t="s" s="12">
        <v>14</v>
      </c>
      <c r="L6283" t="s" s="12">
        <v>14</v>
      </c>
      <c r="M6283" t="s" s="10">
        <v>14</v>
      </c>
      <c r="N6283" t="s" s="11">
        <v>14</v>
      </c>
      <c r="O6283" t="s" s="8">
        <v>14</v>
      </c>
      <c r="P6283" t="s" s="8">
        <v>14</v>
      </c>
      <c r="Q6283" t="s" s="12">
        <v>14</v>
      </c>
      <c r="R6283" t="s" s="12">
        <v>14</v>
      </c>
    </row>
    <row r="6284" s="2" customFormat="1" ht="13.5" customHeight="1">
      <c r="B6284" s="13"/>
      <c r="C6284" t="s" s="9">
        <v>16</v>
      </c>
      <c r="D6284" t="s" s="8">
        <v>2151</v>
      </c>
      <c r="E6284" t="s" s="9">
        <v>2152</v>
      </c>
      <c r="F6284" t="s" s="10">
        <v>25</v>
      </c>
      <c r="G6284" s="14"/>
      <c r="H6284" t="s" s="10">
        <v>626</v>
      </c>
      <c r="I6284" s="14"/>
      <c r="J6284" t="s" s="11">
        <v>20</v>
      </c>
      <c r="K6284" s="15"/>
      <c r="L6284" t="s" s="16">
        <f>HYPERLINK("http://csr.bu.edu/ftp/asl/asllvd/demos/verify_start_end_handshape_annotations//test_auto_move//signs_mov_separ_signers/Liz_1382.mov","MOV")</f>
        <v>21</v>
      </c>
      <c r="M6284" t="s" s="10">
        <v>34</v>
      </c>
      <c r="N6284" s="17">
        <v>46</v>
      </c>
      <c r="O6284" s="18">
        <v>895</v>
      </c>
      <c r="P6284" s="18">
        <v>925</v>
      </c>
      <c r="Q6284" s="15"/>
      <c r="R6284" t="s" s="16">
        <f>HYPERLINK("http://secrets.rutgers.edu:8080/data/asl-ftp/asllvd/demos/verify_start_end_handshape_annotations//test_auto_move//signs_mov_separ_signers/Liz_1382.mov","MOV")</f>
        <v>21</v>
      </c>
    </row>
    <row r="6285" s="2" customFormat="1" ht="13.5" customHeight="1">
      <c r="B6285" s="13"/>
      <c r="C6285" t="s" s="9">
        <v>23</v>
      </c>
      <c r="D6285" t="s" s="8">
        <v>2151</v>
      </c>
      <c r="E6285" t="s" s="9">
        <v>2152</v>
      </c>
      <c r="F6285" t="s" s="10">
        <v>25</v>
      </c>
      <c r="G6285" s="14"/>
      <c r="H6285" t="s" s="10">
        <v>626</v>
      </c>
      <c r="I6285" s="14"/>
      <c r="J6285" t="s" s="11">
        <v>20</v>
      </c>
      <c r="K6285" t="s" s="16">
        <f>HYPERLINK("http://csr.bu.edu/ftp/asl/asllvd/demos/verify_start_end_handshape_annotations//test_auto_move//signs_mov/1382.mov","MOV")</f>
        <v>21</v>
      </c>
      <c r="L6285" t="s" s="16">
        <f>HYPERLINK("http://csr.bu.edu/ftp/asl/asllvd/demos/verify_start_end_handshape_annotations//test_auto_move//signs_mov_separ_signers/Tyler_1382.mov","MOV")</f>
        <v>21</v>
      </c>
      <c r="M6285" t="s" s="10">
        <v>37</v>
      </c>
      <c r="N6285" s="17">
        <v>19</v>
      </c>
      <c r="O6285" s="18">
        <v>1120</v>
      </c>
      <c r="P6285" s="18">
        <v>1162</v>
      </c>
      <c r="Q6285" t="s" s="16">
        <f>HYPERLINK("http://secrets.rutgers.edu:8080/data/asl-ftp/asllvd/demos/verify_start_end_handshape_annotations//test_auto_move//signs_mov/1382.mov","MOV")</f>
        <v>21</v>
      </c>
      <c r="R6285" t="s" s="16">
        <f>HYPERLINK("http://secrets.rutgers.edu:8080/data/asl-ftp/asllvd/demos/verify_start_end_handshape_annotations//test_auto_move//signs_mov_separ_signers/Tyler_1382.mov","MOV")</f>
        <v>21</v>
      </c>
    </row>
    <row r="6286" s="2" customFormat="1" ht="13.5" customHeight="1">
      <c r="B6286" s="13"/>
      <c r="C6286" t="s" s="9">
        <v>27</v>
      </c>
      <c r="D6286" t="s" s="8">
        <v>2151</v>
      </c>
      <c r="E6286" t="s" s="9">
        <v>2152</v>
      </c>
      <c r="F6286" t="s" s="10">
        <v>25</v>
      </c>
      <c r="G6286" s="14"/>
      <c r="H6286" t="s" s="10">
        <v>25</v>
      </c>
      <c r="I6286" s="14"/>
      <c r="J6286" t="s" s="11">
        <v>20</v>
      </c>
      <c r="K6286" s="15"/>
      <c r="L6286" t="s" s="16">
        <f>HYPERLINK("http://csr.bu.edu/ftp/asl/asllvd/demos/verify_start_end_handshape_annotations//test_auto_move//signs_mov_separ_signers/Naomi_1382.mov","MOV")</f>
        <v>21</v>
      </c>
      <c r="M6286" t="s" s="10">
        <v>48</v>
      </c>
      <c r="N6286" s="17">
        <v>2</v>
      </c>
      <c r="O6286" s="18">
        <v>575</v>
      </c>
      <c r="P6286" s="18">
        <v>592</v>
      </c>
      <c r="Q6286" s="15"/>
      <c r="R6286" t="s" s="16">
        <f>HYPERLINK("http://secrets.rutgers.edu:8080/data/asl-ftp/asllvd/demos/verify_start_end_handshape_annotations//test_auto_move//signs_mov_separ_signers/Naomi_1382.mov","MOV")</f>
        <v>21</v>
      </c>
    </row>
    <row r="6287" s="2" customFormat="1" ht="13.5" customHeight="1">
      <c r="B6287" s="13"/>
      <c r="C6287" t="s" s="9">
        <v>30</v>
      </c>
      <c r="D6287" t="s" s="8">
        <v>2151</v>
      </c>
      <c r="E6287" t="s" s="9">
        <v>2152</v>
      </c>
      <c r="F6287" t="s" s="10">
        <v>25</v>
      </c>
      <c r="G6287" s="14"/>
      <c r="H6287" t="s" s="10">
        <v>337</v>
      </c>
      <c r="I6287" s="14"/>
      <c r="J6287" t="s" s="11">
        <v>20</v>
      </c>
      <c r="K6287" s="15"/>
      <c r="L6287" t="s" s="16">
        <f>HYPERLINK("http://csr.bu.edu/ftp/asl/asllvd/demos/verify_start_end_handshape_annotations//test_auto_move//signs_mov_separ_signers/Brady_1382.mov","MOV")</f>
        <v>21</v>
      </c>
      <c r="M6287" t="s" s="10">
        <v>39</v>
      </c>
      <c r="N6287" s="17">
        <v>48</v>
      </c>
      <c r="O6287" s="18">
        <v>2046</v>
      </c>
      <c r="P6287" s="18">
        <v>2078</v>
      </c>
      <c r="Q6287" s="15"/>
      <c r="R6287" t="s" s="16">
        <f>HYPERLINK("http://secrets.rutgers.edu:8080/data/asl-ftp/asllvd/demos/verify_start_end_handshape_annotations//test_auto_move//signs_mov_separ_signers/Brady_1382.mov","MOV")</f>
        <v>21</v>
      </c>
    </row>
    <row r="6288" s="2" customFormat="1" ht="13.5" customHeight="1">
      <c r="B6288" t="s" s="8">
        <v>2153</v>
      </c>
      <c r="C6288" t="s" s="9">
        <v>14</v>
      </c>
      <c r="D6288" t="s" s="8">
        <v>14</v>
      </c>
      <c r="E6288" t="s" s="9">
        <v>14</v>
      </c>
      <c r="F6288" t="s" s="10">
        <v>14</v>
      </c>
      <c r="G6288" t="s" s="11">
        <v>14</v>
      </c>
      <c r="H6288" t="s" s="10">
        <v>14</v>
      </c>
      <c r="I6288" t="s" s="11">
        <v>14</v>
      </c>
      <c r="J6288" t="s" s="11">
        <v>14</v>
      </c>
      <c r="K6288" t="s" s="12">
        <v>14</v>
      </c>
      <c r="L6288" t="s" s="12">
        <v>14</v>
      </c>
      <c r="M6288" t="s" s="10">
        <v>14</v>
      </c>
      <c r="N6288" t="s" s="11">
        <v>14</v>
      </c>
      <c r="O6288" t="s" s="8">
        <v>14</v>
      </c>
      <c r="P6288" t="s" s="8">
        <v>14</v>
      </c>
      <c r="Q6288" t="s" s="12">
        <v>14</v>
      </c>
      <c r="R6288" t="s" s="12">
        <v>14</v>
      </c>
    </row>
    <row r="6289" s="2" customFormat="1" ht="13.5" customHeight="1">
      <c r="B6289" s="13"/>
      <c r="C6289" t="s" s="9">
        <v>16</v>
      </c>
      <c r="D6289" t="s" s="8">
        <v>2153</v>
      </c>
      <c r="E6289" t="s" s="9">
        <v>2153</v>
      </c>
      <c r="F6289" t="s" s="10">
        <v>85</v>
      </c>
      <c r="G6289" t="s" s="11">
        <v>73</v>
      </c>
      <c r="H6289" t="s" s="10">
        <v>85</v>
      </c>
      <c r="I6289" t="s" s="11">
        <v>73</v>
      </c>
      <c r="J6289" t="s" s="11">
        <v>20</v>
      </c>
      <c r="K6289" s="15"/>
      <c r="L6289" t="s" s="16">
        <f>HYPERLINK("http://csr.bu.edu/ftp/asl/asllvd/demos/verify_start_end_handshape_annotations//test_auto_move//signs_mov_separ_signers/Liz_1385.mov","MOV")</f>
        <v>21</v>
      </c>
      <c r="M6289" t="s" s="10">
        <v>34</v>
      </c>
      <c r="N6289" s="17">
        <v>47</v>
      </c>
      <c r="O6289" s="18">
        <v>412</v>
      </c>
      <c r="P6289" s="18">
        <v>445</v>
      </c>
      <c r="Q6289" s="15"/>
      <c r="R6289" t="s" s="16">
        <f>HYPERLINK("http://secrets.rutgers.edu:8080/data/asl-ftp/asllvd/demos/verify_start_end_handshape_annotations//test_auto_move//signs_mov_separ_signers/Liz_1385.mov","MOV")</f>
        <v>21</v>
      </c>
    </row>
    <row r="6290" s="2" customFormat="1" ht="13.5" customHeight="1">
      <c r="B6290" s="13"/>
      <c r="C6290" t="s" s="9">
        <v>16</v>
      </c>
      <c r="D6290" t="s" s="8">
        <v>2153</v>
      </c>
      <c r="E6290" t="s" s="9">
        <v>2153</v>
      </c>
      <c r="F6290" t="s" s="10">
        <v>85</v>
      </c>
      <c r="G6290" t="s" s="11">
        <v>73</v>
      </c>
      <c r="H6290" t="s" s="10">
        <v>85</v>
      </c>
      <c r="I6290" t="s" s="11">
        <v>73</v>
      </c>
      <c r="J6290" t="s" s="11">
        <v>20</v>
      </c>
      <c r="K6290" s="15"/>
      <c r="L6290" t="s" s="16">
        <f>HYPERLINK("http://csr.bu.edu/ftp/asl/asllvd/demos/verify_start_end_handshape_annotations//test_auto_move//signs_mov_separ_signers/Liz_3677.mov","MOV")</f>
        <v>21</v>
      </c>
      <c r="M6290" t="s" s="10">
        <v>34</v>
      </c>
      <c r="N6290" s="17">
        <v>55</v>
      </c>
      <c r="O6290" s="18">
        <v>777</v>
      </c>
      <c r="P6290" s="18">
        <v>820</v>
      </c>
      <c r="Q6290" s="15"/>
      <c r="R6290" t="s" s="16">
        <f>HYPERLINK("http://secrets.rutgers.edu:8080/data/asl-ftp/asllvd/demos/verify_start_end_handshape_annotations//test_auto_move//signs_mov_separ_signers/Liz_3677.mov","MOV")</f>
        <v>21</v>
      </c>
    </row>
    <row r="6291" s="2" customFormat="1" ht="13.5" customHeight="1">
      <c r="B6291" s="13"/>
      <c r="C6291" t="s" s="9">
        <v>23</v>
      </c>
      <c r="D6291" t="s" s="8">
        <v>2153</v>
      </c>
      <c r="E6291" t="s" s="9">
        <v>2153</v>
      </c>
      <c r="F6291" t="s" s="10">
        <v>80</v>
      </c>
      <c r="G6291" t="s" s="11">
        <v>73</v>
      </c>
      <c r="H6291" t="s" s="10">
        <v>80</v>
      </c>
      <c r="I6291" t="s" s="11">
        <v>73</v>
      </c>
      <c r="J6291" t="s" s="11">
        <v>20</v>
      </c>
      <c r="K6291" s="15"/>
      <c r="L6291" t="s" s="16">
        <f>HYPERLINK("http://csr.bu.edu/ftp/asl/asllvd/demos/verify_start_end_handshape_annotations//test_auto_move//signs_mov_separ_signers/Tyler_1385.mov","MOV")</f>
        <v>21</v>
      </c>
      <c r="M6291" t="s" s="10">
        <v>37</v>
      </c>
      <c r="N6291" s="17">
        <v>19</v>
      </c>
      <c r="O6291" s="18">
        <v>1815</v>
      </c>
      <c r="P6291" s="18">
        <v>1841</v>
      </c>
      <c r="Q6291" s="15"/>
      <c r="R6291" t="s" s="16">
        <f>HYPERLINK("http://secrets.rutgers.edu:8080/data/asl-ftp/asllvd/demos/verify_start_end_handshape_annotations//test_auto_move//signs_mov_separ_signers/Tyler_1385.mov","MOV")</f>
        <v>21</v>
      </c>
    </row>
    <row r="6292" s="2" customFormat="1" ht="13.5" customHeight="1">
      <c r="B6292" s="13"/>
      <c r="C6292" t="s" s="9">
        <v>23</v>
      </c>
      <c r="D6292" t="s" s="8">
        <v>2153</v>
      </c>
      <c r="E6292" t="s" s="9">
        <v>2153</v>
      </c>
      <c r="F6292" t="s" s="10">
        <v>80</v>
      </c>
      <c r="G6292" t="s" s="11">
        <v>73</v>
      </c>
      <c r="H6292" t="s" s="10">
        <v>80</v>
      </c>
      <c r="I6292" t="s" s="11">
        <v>73</v>
      </c>
      <c r="J6292" t="s" s="11">
        <v>20</v>
      </c>
      <c r="K6292" s="15"/>
      <c r="L6292" t="s" s="16">
        <f>HYPERLINK("http://csr.bu.edu/ftp/asl/asllvd/demos/verify_start_end_handshape_annotations//test_auto_move//signs_mov_separ_signers/Tyler_3677.mov","MOV")</f>
        <v>21</v>
      </c>
      <c r="M6292" t="s" s="10">
        <v>47</v>
      </c>
      <c r="N6292" s="17">
        <v>6</v>
      </c>
      <c r="O6292" s="18">
        <v>4115</v>
      </c>
      <c r="P6292" s="18">
        <v>4141</v>
      </c>
      <c r="Q6292" s="15"/>
      <c r="R6292" t="s" s="16">
        <f>HYPERLINK("http://secrets.rutgers.edu:8080/data/asl-ftp/asllvd/demos/verify_start_end_handshape_annotations//test_auto_move//signs_mov_separ_signers/Tyler_3677.mov","MOV")</f>
        <v>21</v>
      </c>
    </row>
    <row r="6293" s="2" customFormat="1" ht="13.5" customHeight="1">
      <c r="B6293" s="13"/>
      <c r="C6293" t="s" s="9">
        <v>27</v>
      </c>
      <c r="D6293" t="s" s="8">
        <v>2153</v>
      </c>
      <c r="E6293" t="s" s="9">
        <v>2153</v>
      </c>
      <c r="F6293" t="s" s="10">
        <v>85</v>
      </c>
      <c r="G6293" t="s" s="11">
        <v>73</v>
      </c>
      <c r="H6293" t="s" s="10">
        <v>85</v>
      </c>
      <c r="I6293" t="s" s="11">
        <v>73</v>
      </c>
      <c r="J6293" t="s" s="11">
        <v>20</v>
      </c>
      <c r="K6293" t="s" s="16">
        <f>HYPERLINK("http://csr.bu.edu/ftp/asl/asllvd/demos/verify_start_end_handshape_annotations//test_auto_move//signs_mov/1385_3677_merged.mov","MOV")</f>
        <v>21</v>
      </c>
      <c r="L6293" t="s" s="16">
        <f>HYPERLINK("http://csr.bu.edu/ftp/asl/asllvd/demos/verify_start_end_handshape_annotations//test_auto_move//signs_mov_separ_signers/Naomi_1385.mov","MOV")</f>
        <v>21</v>
      </c>
      <c r="M6293" t="s" s="10">
        <v>48</v>
      </c>
      <c r="N6293" s="17">
        <v>2</v>
      </c>
      <c r="O6293" s="18">
        <v>1675</v>
      </c>
      <c r="P6293" s="18">
        <v>1705</v>
      </c>
      <c r="Q6293" t="s" s="16">
        <f>HYPERLINK("http://secrets.rutgers.edu:8080/data/asl-ftp/asllvd/demos/verify_start_end_handshape_annotations//test_auto_move//signs_mov/1385_3677_merged.mov","MOV")</f>
        <v>21</v>
      </c>
      <c r="R6293" t="s" s="16">
        <f>HYPERLINK("http://secrets.rutgers.edu:8080/data/asl-ftp/asllvd/demos/verify_start_end_handshape_annotations//test_auto_move//signs_mov_separ_signers/Naomi_1385.mov","MOV")</f>
        <v>21</v>
      </c>
    </row>
    <row r="6294" s="2" customFormat="1" ht="13.5" customHeight="1">
      <c r="B6294" s="13"/>
      <c r="C6294" t="s" s="9">
        <v>27</v>
      </c>
      <c r="D6294" t="s" s="8">
        <v>2153</v>
      </c>
      <c r="E6294" t="s" s="9">
        <v>2153</v>
      </c>
      <c r="F6294" t="s" s="10">
        <v>85</v>
      </c>
      <c r="G6294" t="s" s="11">
        <v>73</v>
      </c>
      <c r="H6294" t="s" s="10">
        <v>85</v>
      </c>
      <c r="I6294" t="s" s="11">
        <v>73</v>
      </c>
      <c r="J6294" t="s" s="11">
        <v>20</v>
      </c>
      <c r="K6294" s="15"/>
      <c r="L6294" t="s" s="16">
        <f>HYPERLINK("http://csr.bu.edu/ftp/asl/asllvd/demos/verify_start_end_handshape_annotations//test_auto_move//signs_mov_separ_signers/Naomi_3677.mov","MOV")</f>
        <v>21</v>
      </c>
      <c r="M6294" t="s" s="10">
        <v>48</v>
      </c>
      <c r="N6294" s="17">
        <v>9</v>
      </c>
      <c r="O6294" s="18">
        <v>3666</v>
      </c>
      <c r="P6294" s="18">
        <v>3705</v>
      </c>
      <c r="Q6294" s="15"/>
      <c r="R6294" t="s" s="16">
        <f>HYPERLINK("http://secrets.rutgers.edu:8080/data/asl-ftp/asllvd/demos/verify_start_end_handshape_annotations//test_auto_move//signs_mov_separ_signers/Naomi_3677.mov","MOV")</f>
        <v>21</v>
      </c>
    </row>
    <row r="6295" s="2" customFormat="1" ht="13.5" customHeight="1">
      <c r="B6295" s="13"/>
      <c r="C6295" t="s" s="9">
        <v>30</v>
      </c>
      <c r="D6295" t="s" s="8">
        <v>2153</v>
      </c>
      <c r="E6295" t="s" s="9">
        <v>2153</v>
      </c>
      <c r="F6295" t="s" s="10">
        <v>80</v>
      </c>
      <c r="G6295" t="s" s="11">
        <v>73</v>
      </c>
      <c r="H6295" t="s" s="10">
        <v>80</v>
      </c>
      <c r="I6295" t="s" s="11">
        <v>73</v>
      </c>
      <c r="J6295" t="s" s="11">
        <v>20</v>
      </c>
      <c r="K6295" s="15"/>
      <c r="L6295" t="s" s="16">
        <f>HYPERLINK("http://csr.bu.edu/ftp/asl/asllvd/demos/verify_start_end_handshape_annotations//test_auto_move//signs_mov_separ_signers/Brady_1385.mov","MOV")</f>
        <v>21</v>
      </c>
      <c r="M6295" t="s" s="10">
        <v>39</v>
      </c>
      <c r="N6295" s="17">
        <v>48</v>
      </c>
      <c r="O6295" s="18">
        <v>3255</v>
      </c>
      <c r="P6295" s="18">
        <v>3281</v>
      </c>
      <c r="Q6295" s="15"/>
      <c r="R6295" t="s" s="16">
        <f>HYPERLINK("http://secrets.rutgers.edu:8080/data/asl-ftp/asllvd/demos/verify_start_end_handshape_annotations//test_auto_move//signs_mov_separ_signers/Brady_1385.mov","MOV")</f>
        <v>21</v>
      </c>
    </row>
    <row r="6296" s="2" customFormat="1" ht="13.5" customHeight="1">
      <c r="B6296" s="13"/>
      <c r="C6296" t="s" s="9">
        <v>30</v>
      </c>
      <c r="D6296" t="s" s="8">
        <v>2153</v>
      </c>
      <c r="E6296" t="s" s="9">
        <v>2153</v>
      </c>
      <c r="F6296" t="s" s="10">
        <v>80</v>
      </c>
      <c r="G6296" t="s" s="11">
        <v>73</v>
      </c>
      <c r="H6296" t="s" s="10">
        <v>80</v>
      </c>
      <c r="I6296" t="s" s="11">
        <v>73</v>
      </c>
      <c r="J6296" t="s" s="11">
        <v>20</v>
      </c>
      <c r="K6296" s="15"/>
      <c r="L6296" t="s" s="16">
        <f>HYPERLINK("http://csr.bu.edu/ftp/asl/asllvd/demos/verify_start_end_handshape_annotations//test_auto_move//signs_mov_separ_signers/Brady_3677.mov","MOV")</f>
        <v>21</v>
      </c>
      <c r="M6296" t="s" s="10">
        <v>39</v>
      </c>
      <c r="N6296" s="17">
        <v>52</v>
      </c>
      <c r="O6296" s="18">
        <v>7059</v>
      </c>
      <c r="P6296" s="18">
        <v>7093</v>
      </c>
      <c r="Q6296" s="15"/>
      <c r="R6296" t="s" s="16">
        <f>HYPERLINK("http://secrets.rutgers.edu:8080/data/asl-ftp/asllvd/demos/verify_start_end_handshape_annotations//test_auto_move//signs_mov_separ_signers/Brady_3677.mov","MOV")</f>
        <v>21</v>
      </c>
    </row>
    <row r="6297" s="2" customFormat="1" ht="13.5" customHeight="1">
      <c r="B6297" s="13"/>
      <c r="C6297" t="s" s="9">
        <v>43</v>
      </c>
      <c r="D6297" t="s" s="8">
        <v>2153</v>
      </c>
      <c r="E6297" t="s" s="9">
        <v>2153</v>
      </c>
      <c r="F6297" t="s" s="10">
        <v>85</v>
      </c>
      <c r="G6297" t="s" s="11">
        <v>150</v>
      </c>
      <c r="H6297" t="s" s="10">
        <v>85</v>
      </c>
      <c r="I6297" t="s" s="11">
        <v>150</v>
      </c>
      <c r="J6297" t="s" s="11">
        <v>20</v>
      </c>
      <c r="K6297" s="15"/>
      <c r="L6297" t="s" s="16">
        <f>HYPERLINK("http://csr.bu.edu/ftp/asl/asllvd/demos/verify_start_end_handshape_annotations//test_auto_move//signs_mov_separ_signers/Dana_1385.mov","MOV")</f>
        <v>21</v>
      </c>
      <c r="M6297" t="s" s="10">
        <v>44</v>
      </c>
      <c r="N6297" s="17">
        <v>11</v>
      </c>
      <c r="O6297" s="18">
        <v>278</v>
      </c>
      <c r="P6297" s="18">
        <v>321</v>
      </c>
      <c r="Q6297" s="15"/>
      <c r="R6297" t="s" s="16">
        <f>HYPERLINK("http://secrets.rutgers.edu:8080/data/asl-ftp/asllvd/demos/verify_start_end_handshape_annotations//test_auto_move//signs_mov_separ_signers/Dana_1385.mov","MOV")</f>
        <v>21</v>
      </c>
    </row>
    <row r="6298" s="2" customFormat="1" ht="13.5" customHeight="1">
      <c r="B6298" t="s" s="8">
        <v>2154</v>
      </c>
      <c r="C6298" t="s" s="9">
        <v>14</v>
      </c>
      <c r="D6298" t="s" s="8">
        <v>14</v>
      </c>
      <c r="E6298" t="s" s="9">
        <v>14</v>
      </c>
      <c r="F6298" t="s" s="10">
        <v>14</v>
      </c>
      <c r="G6298" t="s" s="11">
        <v>14</v>
      </c>
      <c r="H6298" t="s" s="10">
        <v>14</v>
      </c>
      <c r="I6298" t="s" s="11">
        <v>14</v>
      </c>
      <c r="J6298" t="s" s="11">
        <v>14</v>
      </c>
      <c r="K6298" t="s" s="12">
        <v>14</v>
      </c>
      <c r="L6298" t="s" s="12">
        <v>14</v>
      </c>
      <c r="M6298" t="s" s="10">
        <v>14</v>
      </c>
      <c r="N6298" t="s" s="11">
        <v>14</v>
      </c>
      <c r="O6298" t="s" s="8">
        <v>14</v>
      </c>
      <c r="P6298" t="s" s="8">
        <v>14</v>
      </c>
      <c r="Q6298" t="s" s="12">
        <v>14</v>
      </c>
      <c r="R6298" t="s" s="12">
        <v>14</v>
      </c>
    </row>
    <row r="6299" s="2" customFormat="1" ht="13.5" customHeight="1">
      <c r="B6299" s="13"/>
      <c r="C6299" t="s" s="9">
        <v>16</v>
      </c>
      <c r="D6299" t="s" s="8">
        <v>2154</v>
      </c>
      <c r="E6299" t="s" s="9">
        <v>2155</v>
      </c>
      <c r="F6299" t="s" s="10">
        <v>25</v>
      </c>
      <c r="G6299" s="14"/>
      <c r="H6299" t="s" s="10">
        <v>25</v>
      </c>
      <c r="I6299" s="14"/>
      <c r="J6299" t="s" s="11">
        <v>20</v>
      </c>
      <c r="K6299" s="15"/>
      <c r="L6299" t="s" s="16">
        <f>HYPERLINK("http://csr.bu.edu/ftp/asl/asllvd/demos/verify_start_end_handshape_annotations//test_auto_move//signs_mov_separ_signers/Liz_1394.mov","MOV")</f>
        <v>21</v>
      </c>
      <c r="M6299" t="s" s="10">
        <v>34</v>
      </c>
      <c r="N6299" s="17">
        <v>48</v>
      </c>
      <c r="O6299" s="18">
        <v>1460</v>
      </c>
      <c r="P6299" s="18">
        <v>1505</v>
      </c>
      <c r="Q6299" s="15"/>
      <c r="R6299" t="s" s="16">
        <f>HYPERLINK("http://secrets.rutgers.edu:8080/data/asl-ftp/asllvd/demos/verify_start_end_handshape_annotations//test_auto_move//signs_mov_separ_signers/Liz_1394.mov","MOV")</f>
        <v>21</v>
      </c>
    </row>
    <row r="6300" s="2" customFormat="1" ht="13.5" customHeight="1">
      <c r="B6300" s="13"/>
      <c r="C6300" t="s" s="9">
        <v>23</v>
      </c>
      <c r="D6300" t="s" s="8">
        <v>2154</v>
      </c>
      <c r="E6300" t="s" s="9">
        <v>2155</v>
      </c>
      <c r="F6300" t="s" s="10">
        <v>25</v>
      </c>
      <c r="G6300" s="14"/>
      <c r="H6300" t="s" s="10">
        <v>25</v>
      </c>
      <c r="I6300" s="14"/>
      <c r="J6300" t="s" s="11">
        <v>20</v>
      </c>
      <c r="K6300" s="15"/>
      <c r="L6300" t="s" s="16">
        <f>HYPERLINK("http://csr.bu.edu/ftp/asl/asllvd/demos/verify_start_end_handshape_annotations//test_auto_move//signs_mov_separ_signers/Tyler_1394.mov","MOV")</f>
        <v>21</v>
      </c>
      <c r="M6300" t="s" s="10">
        <v>37</v>
      </c>
      <c r="N6300" s="17">
        <v>20</v>
      </c>
      <c r="O6300" s="18">
        <v>1227</v>
      </c>
      <c r="P6300" s="18">
        <v>1285</v>
      </c>
      <c r="Q6300" s="15"/>
      <c r="R6300" t="s" s="16">
        <f>HYPERLINK("http://secrets.rutgers.edu:8080/data/asl-ftp/asllvd/demos/verify_start_end_handshape_annotations//test_auto_move//signs_mov_separ_signers/Tyler_1394.mov","MOV")</f>
        <v>21</v>
      </c>
    </row>
    <row r="6301" s="2" customFormat="1" ht="13.5" customHeight="1">
      <c r="B6301" s="13"/>
      <c r="C6301" t="s" s="9">
        <v>27</v>
      </c>
      <c r="D6301" t="s" s="8">
        <v>2154</v>
      </c>
      <c r="E6301" t="s" s="9">
        <v>2155</v>
      </c>
      <c r="F6301" t="s" s="10">
        <v>25</v>
      </c>
      <c r="G6301" s="14"/>
      <c r="H6301" t="s" s="10">
        <v>25</v>
      </c>
      <c r="I6301" s="14"/>
      <c r="J6301" t="s" s="11">
        <v>20</v>
      </c>
      <c r="K6301" t="s" s="16">
        <f>HYPERLINK("http://csr.bu.edu/ftp/asl/asllvd/demos/verify_start_end_handshape_annotations//test_auto_move//signs_mov/1394.mov","MOV")</f>
        <v>21</v>
      </c>
      <c r="L6301" t="s" s="16">
        <f>HYPERLINK("http://csr.bu.edu/ftp/asl/asllvd/demos/verify_start_end_handshape_annotations//test_auto_move//signs_mov_separ_signers/Naomi_1394.mov","MOV")</f>
        <v>21</v>
      </c>
      <c r="M6301" t="s" s="10">
        <v>48</v>
      </c>
      <c r="N6301" s="17">
        <v>3</v>
      </c>
      <c r="O6301" s="18">
        <v>1581</v>
      </c>
      <c r="P6301" s="18">
        <v>1642</v>
      </c>
      <c r="Q6301" t="s" s="16">
        <f>HYPERLINK("http://secrets.rutgers.edu:8080/data/asl-ftp/asllvd/demos/verify_start_end_handshape_annotations//test_auto_move//signs_mov/1394.mov","MOV")</f>
        <v>21</v>
      </c>
      <c r="R6301" t="s" s="16">
        <f>HYPERLINK("http://secrets.rutgers.edu:8080/data/asl-ftp/asllvd/demos/verify_start_end_handshape_annotations//test_auto_move//signs_mov_separ_signers/Naomi_1394.mov","MOV")</f>
        <v>21</v>
      </c>
    </row>
    <row r="6302" s="2" customFormat="1" ht="13.5" customHeight="1">
      <c r="B6302" s="13"/>
      <c r="C6302" t="s" s="9">
        <v>30</v>
      </c>
      <c r="D6302" t="s" s="8">
        <v>2154</v>
      </c>
      <c r="E6302" t="s" s="9">
        <v>2155</v>
      </c>
      <c r="F6302" t="s" s="10">
        <v>25</v>
      </c>
      <c r="G6302" s="14"/>
      <c r="H6302" t="s" s="10">
        <v>25</v>
      </c>
      <c r="I6302" s="14"/>
      <c r="J6302" t="s" s="11">
        <v>20</v>
      </c>
      <c r="K6302" s="15"/>
      <c r="L6302" t="s" s="16">
        <f>HYPERLINK("http://csr.bu.edu/ftp/asl/asllvd/demos/verify_start_end_handshape_annotations//test_auto_move//signs_mov_separ_signers/Brady_1394.mov","MOV")</f>
        <v>21</v>
      </c>
      <c r="M6302" t="s" s="10">
        <v>39</v>
      </c>
      <c r="N6302" s="17">
        <v>48</v>
      </c>
      <c r="O6302" s="18">
        <v>5855</v>
      </c>
      <c r="P6302" s="18">
        <v>5890</v>
      </c>
      <c r="Q6302" s="15"/>
      <c r="R6302" t="s" s="16">
        <f>HYPERLINK("http://secrets.rutgers.edu:8080/data/asl-ftp/asllvd/demos/verify_start_end_handshape_annotations//test_auto_move//signs_mov_separ_signers/Brady_1394.mov","MOV")</f>
        <v>21</v>
      </c>
    </row>
    <row r="6303" s="2" customFormat="1" ht="13.5" customHeight="1">
      <c r="B6303" s="13"/>
      <c r="C6303" t="s" s="9">
        <v>41</v>
      </c>
      <c r="D6303" t="s" s="8">
        <v>2154</v>
      </c>
      <c r="E6303" t="s" s="9">
        <v>2155</v>
      </c>
      <c r="F6303" t="s" s="10">
        <v>25</v>
      </c>
      <c r="G6303" s="14"/>
      <c r="H6303" t="s" s="10">
        <v>25</v>
      </c>
      <c r="I6303" s="14"/>
      <c r="J6303" t="s" s="11">
        <v>20</v>
      </c>
      <c r="K6303" s="15"/>
      <c r="L6303" t="s" s="16">
        <f>HYPERLINK("http://csr.bu.edu/ftp/asl/asllvd/demos/verify_start_end_handshape_annotations//test_auto_move//signs_mov_separ_signers/Lana_1394.mov","MOV")</f>
        <v>21</v>
      </c>
      <c r="M6303" t="s" s="10">
        <v>442</v>
      </c>
      <c r="N6303" s="17">
        <v>61</v>
      </c>
      <c r="O6303" s="18">
        <v>1856</v>
      </c>
      <c r="P6303" s="18">
        <v>1895</v>
      </c>
      <c r="Q6303" s="15"/>
      <c r="R6303" t="s" s="16">
        <f>HYPERLINK("http://secrets.rutgers.edu:8080/data/asl-ftp/asllvd/demos/verify_start_end_handshape_annotations//test_auto_move//signs_mov_separ_signers/Lana_1394.mov","MOV")</f>
        <v>21</v>
      </c>
    </row>
    <row r="6304" s="2" customFormat="1" ht="13.5" customHeight="1">
      <c r="B6304" t="s" s="8">
        <v>2156</v>
      </c>
      <c r="C6304" t="s" s="9">
        <v>14</v>
      </c>
      <c r="D6304" t="s" s="8">
        <v>14</v>
      </c>
      <c r="E6304" t="s" s="9">
        <v>14</v>
      </c>
      <c r="F6304" t="s" s="10">
        <v>14</v>
      </c>
      <c r="G6304" t="s" s="11">
        <v>14</v>
      </c>
      <c r="H6304" t="s" s="10">
        <v>14</v>
      </c>
      <c r="I6304" t="s" s="11">
        <v>14</v>
      </c>
      <c r="J6304" t="s" s="11">
        <v>14</v>
      </c>
      <c r="K6304" t="s" s="12">
        <v>14</v>
      </c>
      <c r="L6304" t="s" s="12">
        <v>14</v>
      </c>
      <c r="M6304" t="s" s="10">
        <v>14</v>
      </c>
      <c r="N6304" t="s" s="11">
        <v>14</v>
      </c>
      <c r="O6304" t="s" s="8">
        <v>14</v>
      </c>
      <c r="P6304" t="s" s="8">
        <v>14</v>
      </c>
      <c r="Q6304" t="s" s="12">
        <v>14</v>
      </c>
      <c r="R6304" t="s" s="12">
        <v>14</v>
      </c>
    </row>
    <row r="6305" s="2" customFormat="1" ht="13.5" customHeight="1">
      <c r="B6305" s="13"/>
      <c r="C6305" t="s" s="9">
        <v>16</v>
      </c>
      <c r="D6305" t="s" s="8">
        <v>2156</v>
      </c>
      <c r="E6305" t="s" s="9">
        <v>2157</v>
      </c>
      <c r="F6305" t="s" s="10">
        <v>25</v>
      </c>
      <c r="G6305" t="s" s="11">
        <v>25</v>
      </c>
      <c r="H6305" t="s" s="10">
        <v>25</v>
      </c>
      <c r="I6305" t="s" s="11">
        <v>25</v>
      </c>
      <c r="J6305" t="s" s="11">
        <v>20</v>
      </c>
      <c r="K6305" s="15"/>
      <c r="L6305" t="s" s="16">
        <f>HYPERLINK("http://csr.bu.edu/ftp/asl/asllvd/demos/verify_start_end_handshape_annotations//test_auto_move//signs_mov_separ_signers/Liz_1395.mov","MOV")</f>
        <v>21</v>
      </c>
      <c r="M6305" t="s" s="10">
        <v>34</v>
      </c>
      <c r="N6305" s="17">
        <v>48</v>
      </c>
      <c r="O6305" s="18">
        <v>1745</v>
      </c>
      <c r="P6305" s="18">
        <v>1780</v>
      </c>
      <c r="Q6305" s="15"/>
      <c r="R6305" t="s" s="16">
        <f>HYPERLINK("http://secrets.rutgers.edu:8080/data/asl-ftp/asllvd/demos/verify_start_end_handshape_annotations//test_auto_move//signs_mov_separ_signers/Liz_1395.mov","MOV")</f>
        <v>21</v>
      </c>
    </row>
    <row r="6306" s="2" customFormat="1" ht="13.5" customHeight="1">
      <c r="B6306" s="13"/>
      <c r="C6306" t="s" s="9">
        <v>23</v>
      </c>
      <c r="D6306" t="s" s="8">
        <v>2156</v>
      </c>
      <c r="E6306" t="s" s="9">
        <v>2156</v>
      </c>
      <c r="F6306" t="s" s="10">
        <v>25</v>
      </c>
      <c r="G6306" t="s" s="11">
        <v>25</v>
      </c>
      <c r="H6306" t="s" s="10">
        <v>25</v>
      </c>
      <c r="I6306" t="s" s="11">
        <v>25</v>
      </c>
      <c r="J6306" t="s" s="11">
        <v>20</v>
      </c>
      <c r="K6306" t="s" s="16">
        <f>HYPERLINK("http://csr.bu.edu/ftp/asl/asllvd/demos/verify_start_end_handshape_annotations//test_auto_move//signs_mov/1395.mov","MOV")</f>
        <v>21</v>
      </c>
      <c r="L6306" t="s" s="16">
        <f>HYPERLINK("http://csr.bu.edu/ftp/asl/asllvd/demos/verify_start_end_handshape_annotations//test_auto_move//signs_mov_separ_signers/Tyler_1395.mov","MOV")</f>
        <v>21</v>
      </c>
      <c r="M6306" t="s" s="10">
        <v>37</v>
      </c>
      <c r="N6306" s="17">
        <v>20</v>
      </c>
      <c r="O6306" s="18">
        <v>1500</v>
      </c>
      <c r="P6306" s="18">
        <v>1517</v>
      </c>
      <c r="Q6306" t="s" s="16">
        <f>HYPERLINK("http://secrets.rutgers.edu:8080/data/asl-ftp/asllvd/demos/verify_start_end_handshape_annotations//test_auto_move//signs_mov/1395.mov","MOV")</f>
        <v>21</v>
      </c>
      <c r="R6306" t="s" s="16">
        <f>HYPERLINK("http://secrets.rutgers.edu:8080/data/asl-ftp/asllvd/demos/verify_start_end_handshape_annotations//test_auto_move//signs_mov_separ_signers/Tyler_1395.mov","MOV")</f>
        <v>21</v>
      </c>
    </row>
    <row r="6307" s="2" customFormat="1" ht="13.5" customHeight="1">
      <c r="B6307" s="13"/>
      <c r="C6307" t="s" s="9">
        <v>27</v>
      </c>
      <c r="D6307" t="s" s="8">
        <v>2156</v>
      </c>
      <c r="E6307" t="s" s="9">
        <v>2157</v>
      </c>
      <c r="F6307" t="s" s="10">
        <v>25</v>
      </c>
      <c r="G6307" t="s" s="11">
        <v>25</v>
      </c>
      <c r="H6307" t="s" s="10">
        <v>25</v>
      </c>
      <c r="I6307" t="s" s="11">
        <v>25</v>
      </c>
      <c r="J6307" t="s" s="11">
        <v>20</v>
      </c>
      <c r="K6307" s="15"/>
      <c r="L6307" t="s" s="16">
        <f>HYPERLINK("http://csr.bu.edu/ftp/asl/asllvd/demos/verify_start_end_handshape_annotations//test_auto_move//signs_mov_separ_signers/Naomi_1395.mov","MOV")</f>
        <v>21</v>
      </c>
      <c r="M6307" t="s" s="10">
        <v>48</v>
      </c>
      <c r="N6307" s="17">
        <v>3</v>
      </c>
      <c r="O6307" s="18">
        <v>1900</v>
      </c>
      <c r="P6307" s="18">
        <v>1935</v>
      </c>
      <c r="Q6307" s="15"/>
      <c r="R6307" t="s" s="16">
        <f>HYPERLINK("http://secrets.rutgers.edu:8080/data/asl-ftp/asllvd/demos/verify_start_end_handshape_annotations//test_auto_move//signs_mov_separ_signers/Naomi_1395.mov","MOV")</f>
        <v>21</v>
      </c>
    </row>
    <row r="6308" s="2" customFormat="1" ht="13.5" customHeight="1">
      <c r="B6308" s="13"/>
      <c r="C6308" t="s" s="9">
        <v>30</v>
      </c>
      <c r="D6308" t="s" s="8">
        <v>2156</v>
      </c>
      <c r="E6308" t="s" s="9">
        <v>2157</v>
      </c>
      <c r="F6308" t="s" s="10">
        <v>25</v>
      </c>
      <c r="G6308" t="s" s="11">
        <v>25</v>
      </c>
      <c r="H6308" t="s" s="10">
        <v>25</v>
      </c>
      <c r="I6308" t="s" s="11">
        <v>25</v>
      </c>
      <c r="J6308" t="s" s="11">
        <v>20</v>
      </c>
      <c r="K6308" s="15"/>
      <c r="L6308" t="s" s="16">
        <f>HYPERLINK("http://csr.bu.edu/ftp/asl/asllvd/demos/verify_start_end_handshape_annotations//test_auto_move//signs_mov_separ_signers/Brady_1395.mov","MOV")</f>
        <v>21</v>
      </c>
      <c r="M6308" t="s" s="10">
        <v>39</v>
      </c>
      <c r="N6308" s="17">
        <v>48</v>
      </c>
      <c r="O6308" s="18">
        <v>6062</v>
      </c>
      <c r="P6308" s="18">
        <v>6090</v>
      </c>
      <c r="Q6308" s="15"/>
      <c r="R6308" t="s" s="16">
        <f>HYPERLINK("http://secrets.rutgers.edu:8080/data/asl-ftp/asllvd/demos/verify_start_end_handshape_annotations//test_auto_move//signs_mov_separ_signers/Brady_1395.mov","MOV")</f>
        <v>21</v>
      </c>
    </row>
    <row r="6309" s="2" customFormat="1" ht="13.5" customHeight="1">
      <c r="B6309" t="s" s="8">
        <v>2158</v>
      </c>
      <c r="C6309" t="s" s="9">
        <v>14</v>
      </c>
      <c r="D6309" t="s" s="8">
        <v>14</v>
      </c>
      <c r="E6309" t="s" s="9">
        <v>14</v>
      </c>
      <c r="F6309" t="s" s="10">
        <v>14</v>
      </c>
      <c r="G6309" t="s" s="11">
        <v>14</v>
      </c>
      <c r="H6309" t="s" s="10">
        <v>14</v>
      </c>
      <c r="I6309" t="s" s="11">
        <v>14</v>
      </c>
      <c r="J6309" t="s" s="11">
        <v>14</v>
      </c>
      <c r="K6309" t="s" s="12">
        <v>14</v>
      </c>
      <c r="L6309" t="s" s="12">
        <v>14</v>
      </c>
      <c r="M6309" t="s" s="10">
        <v>14</v>
      </c>
      <c r="N6309" t="s" s="11">
        <v>14</v>
      </c>
      <c r="O6309" t="s" s="8">
        <v>14</v>
      </c>
      <c r="P6309" t="s" s="8">
        <v>14</v>
      </c>
      <c r="Q6309" t="s" s="12">
        <v>14</v>
      </c>
      <c r="R6309" t="s" s="12">
        <v>14</v>
      </c>
    </row>
    <row r="6310" s="2" customFormat="1" ht="13.5" customHeight="1">
      <c r="B6310" s="13"/>
      <c r="C6310" t="s" s="9">
        <v>16</v>
      </c>
      <c r="D6310" t="s" s="8">
        <v>2158</v>
      </c>
      <c r="E6310" t="s" s="9">
        <v>2159</v>
      </c>
      <c r="F6310" t="s" s="10">
        <v>342</v>
      </c>
      <c r="G6310" t="s" s="11">
        <v>73</v>
      </c>
      <c r="H6310" t="s" s="10">
        <v>342</v>
      </c>
      <c r="I6310" t="s" s="11">
        <v>73</v>
      </c>
      <c r="J6310" t="s" s="11">
        <v>20</v>
      </c>
      <c r="K6310" s="15"/>
      <c r="L6310" t="s" s="16">
        <f>HYPERLINK("http://csr.bu.edu/ftp/asl/asllvd/demos/verify_start_end_handshape_annotations//test_auto_move//signs_mov_separ_signers/Liz_1396.mov","MOV")</f>
        <v>21</v>
      </c>
      <c r="M6310" t="s" s="10">
        <v>34</v>
      </c>
      <c r="N6310" s="17">
        <v>48</v>
      </c>
      <c r="O6310" s="18">
        <v>2095</v>
      </c>
      <c r="P6310" s="18">
        <v>2141</v>
      </c>
      <c r="Q6310" s="15"/>
      <c r="R6310" t="s" s="16">
        <f>HYPERLINK("http://secrets.rutgers.edu:8080/data/asl-ftp/asllvd/demos/verify_start_end_handshape_annotations//test_auto_move//signs_mov_separ_signers/Liz_1396.mov","MOV")</f>
        <v>21</v>
      </c>
    </row>
    <row r="6311" s="2" customFormat="1" ht="13.5" customHeight="1">
      <c r="B6311" s="13"/>
      <c r="C6311" t="s" s="9">
        <v>23</v>
      </c>
      <c r="D6311" t="s" s="8">
        <v>2158</v>
      </c>
      <c r="E6311" t="s" s="9">
        <v>2160</v>
      </c>
      <c r="F6311" t="s" s="10">
        <v>425</v>
      </c>
      <c r="G6311" t="s" s="11">
        <v>73</v>
      </c>
      <c r="H6311" t="s" s="10">
        <v>240</v>
      </c>
      <c r="I6311" t="s" s="11">
        <v>73</v>
      </c>
      <c r="J6311" t="s" s="11">
        <v>20</v>
      </c>
      <c r="K6311" t="s" s="16">
        <f>HYPERLINK("http://csr.bu.edu/ftp/asl/asllvd/demos/verify_start_end_handshape_annotations//test_auto_move//signs_mov/1396.mov","MOV")</f>
        <v>21</v>
      </c>
      <c r="L6311" t="s" s="16">
        <f>HYPERLINK("http://csr.bu.edu/ftp/asl/asllvd/demos/verify_start_end_handshape_annotations//test_auto_move//signs_mov_separ_signers/Tyler_1396.mov","MOV")</f>
        <v>21</v>
      </c>
      <c r="M6311" t="s" s="10">
        <v>37</v>
      </c>
      <c r="N6311" s="17">
        <v>20</v>
      </c>
      <c r="O6311" s="18">
        <v>1700</v>
      </c>
      <c r="P6311" s="18">
        <v>1730</v>
      </c>
      <c r="Q6311" t="s" s="16">
        <f>HYPERLINK("http://secrets.rutgers.edu:8080/data/asl-ftp/asllvd/demos/verify_start_end_handshape_annotations//test_auto_move//signs_mov/1396.mov","MOV")</f>
        <v>21</v>
      </c>
      <c r="R6311" t="s" s="16">
        <f>HYPERLINK("http://secrets.rutgers.edu:8080/data/asl-ftp/asllvd/demos/verify_start_end_handshape_annotations//test_auto_move//signs_mov_separ_signers/Tyler_1396.mov","MOV")</f>
        <v>21</v>
      </c>
    </row>
    <row r="6312" s="2" customFormat="1" ht="13.5" customHeight="1">
      <c r="B6312" s="13"/>
      <c r="C6312" t="s" s="9">
        <v>27</v>
      </c>
      <c r="D6312" t="s" s="8">
        <v>2158</v>
      </c>
      <c r="E6312" t="s" s="9">
        <v>2159</v>
      </c>
      <c r="F6312" t="s" s="10">
        <v>240</v>
      </c>
      <c r="G6312" t="s" s="11">
        <v>73</v>
      </c>
      <c r="H6312" t="s" s="10">
        <v>240</v>
      </c>
      <c r="I6312" t="s" s="11">
        <v>73</v>
      </c>
      <c r="J6312" t="s" s="11">
        <v>20</v>
      </c>
      <c r="K6312" s="15"/>
      <c r="L6312" t="s" s="16">
        <f>HYPERLINK("http://csr.bu.edu/ftp/asl/asllvd/demos/verify_start_end_handshape_annotations//test_auto_move//signs_mov_separ_signers/Naomi_1396.mov","MOV")</f>
        <v>21</v>
      </c>
      <c r="M6312" t="s" s="10">
        <v>48</v>
      </c>
      <c r="N6312" s="17">
        <v>3</v>
      </c>
      <c r="O6312" s="18">
        <v>2337</v>
      </c>
      <c r="P6312" s="18">
        <v>2385</v>
      </c>
      <c r="Q6312" s="15"/>
      <c r="R6312" t="s" s="16">
        <f>HYPERLINK("http://secrets.rutgers.edu:8080/data/asl-ftp/asllvd/demos/verify_start_end_handshape_annotations//test_auto_move//signs_mov_separ_signers/Naomi_1396.mov","MOV")</f>
        <v>21</v>
      </c>
    </row>
    <row r="6313" s="2" customFormat="1" ht="13.5" customHeight="1">
      <c r="B6313" s="13"/>
      <c r="C6313" t="s" s="9">
        <v>30</v>
      </c>
      <c r="D6313" t="s" s="8">
        <v>2158</v>
      </c>
      <c r="E6313" t="s" s="9">
        <v>2160</v>
      </c>
      <c r="F6313" t="s" s="10">
        <v>342</v>
      </c>
      <c r="G6313" t="s" s="11">
        <v>73</v>
      </c>
      <c r="H6313" t="s" s="10">
        <v>240</v>
      </c>
      <c r="I6313" t="s" s="11">
        <v>73</v>
      </c>
      <c r="J6313" t="s" s="11">
        <v>20</v>
      </c>
      <c r="K6313" s="15"/>
      <c r="L6313" t="s" s="16">
        <f>HYPERLINK("http://csr.bu.edu/ftp/asl/asllvd/demos/verify_start_end_handshape_annotations//test_auto_move//signs_mov_separ_signers/Brady_1396.mov","MOV")</f>
        <v>21</v>
      </c>
      <c r="M6313" t="s" s="10">
        <v>39</v>
      </c>
      <c r="N6313" s="17">
        <v>48</v>
      </c>
      <c r="O6313" s="18">
        <v>6645</v>
      </c>
      <c r="P6313" s="18">
        <v>6672</v>
      </c>
      <c r="Q6313" s="15"/>
      <c r="R6313" t="s" s="16">
        <f>HYPERLINK("http://secrets.rutgers.edu:8080/data/asl-ftp/asllvd/demos/verify_start_end_handshape_annotations//test_auto_move//signs_mov_separ_signers/Brady_1396.mov","MOV")</f>
        <v>21</v>
      </c>
    </row>
    <row r="6314" s="2" customFormat="1" ht="13.5" customHeight="1">
      <c r="B6314" t="s" s="8">
        <v>2161</v>
      </c>
      <c r="C6314" t="s" s="9">
        <v>14</v>
      </c>
      <c r="D6314" t="s" s="8">
        <v>14</v>
      </c>
      <c r="E6314" t="s" s="9">
        <v>14</v>
      </c>
      <c r="F6314" t="s" s="10">
        <v>14</v>
      </c>
      <c r="G6314" t="s" s="11">
        <v>14</v>
      </c>
      <c r="H6314" t="s" s="10">
        <v>14</v>
      </c>
      <c r="I6314" t="s" s="11">
        <v>14</v>
      </c>
      <c r="J6314" t="s" s="11">
        <v>14</v>
      </c>
      <c r="K6314" t="s" s="12">
        <v>14</v>
      </c>
      <c r="L6314" t="s" s="12">
        <v>14</v>
      </c>
      <c r="M6314" t="s" s="10">
        <v>14</v>
      </c>
      <c r="N6314" t="s" s="11">
        <v>14</v>
      </c>
      <c r="O6314" t="s" s="8">
        <v>14</v>
      </c>
      <c r="P6314" t="s" s="8">
        <v>14</v>
      </c>
      <c r="Q6314" t="s" s="12">
        <v>14</v>
      </c>
      <c r="R6314" t="s" s="12">
        <v>14</v>
      </c>
    </row>
    <row r="6315" s="2" customFormat="1" ht="13.5" customHeight="1">
      <c r="B6315" s="13"/>
      <c r="C6315" t="s" s="9">
        <v>16</v>
      </c>
      <c r="D6315" t="s" s="8">
        <v>2161</v>
      </c>
      <c r="E6315" t="s" s="9">
        <v>2162</v>
      </c>
      <c r="F6315" t="s" s="10">
        <v>72</v>
      </c>
      <c r="G6315" t="s" s="11">
        <v>68</v>
      </c>
      <c r="H6315" t="s" s="10">
        <v>72</v>
      </c>
      <c r="I6315" t="s" s="11">
        <v>68</v>
      </c>
      <c r="J6315" t="s" s="11">
        <v>20</v>
      </c>
      <c r="K6315" t="s" s="16">
        <f>HYPERLINK("http://csr.bu.edu/ftp/asl/asllvd/demos/verify_start_end_handshape_annotations//test_auto_move//signs_mov/1397.mov","MOV")</f>
        <v>21</v>
      </c>
      <c r="L6315" t="s" s="16">
        <f>HYPERLINK("http://csr.bu.edu/ftp/asl/asllvd/demos/verify_start_end_handshape_annotations//test_auto_move//signs_mov_separ_signers/Liz_1397.mov","MOV")</f>
        <v>21</v>
      </c>
      <c r="M6315" t="s" s="10">
        <v>34</v>
      </c>
      <c r="N6315" s="17">
        <v>48</v>
      </c>
      <c r="O6315" s="18">
        <v>2611</v>
      </c>
      <c r="P6315" s="18">
        <v>2651</v>
      </c>
      <c r="Q6315" t="s" s="16">
        <f>HYPERLINK("http://secrets.rutgers.edu:8080/data/asl-ftp/asllvd/demos/verify_start_end_handshape_annotations//test_auto_move//signs_mov/1397.mov","MOV")</f>
        <v>21</v>
      </c>
      <c r="R6315" t="s" s="16">
        <f>HYPERLINK("http://secrets.rutgers.edu:8080/data/asl-ftp/asllvd/demos/verify_start_end_handshape_annotations//test_auto_move//signs_mov_separ_signers/Liz_1397.mov","MOV")</f>
        <v>21</v>
      </c>
    </row>
    <row r="6316" s="2" customFormat="1" ht="13.5" customHeight="1">
      <c r="B6316" s="13"/>
      <c r="C6316" t="s" s="9">
        <v>27</v>
      </c>
      <c r="D6316" t="s" s="8">
        <v>2161</v>
      </c>
      <c r="E6316" t="s" s="9">
        <v>2162</v>
      </c>
      <c r="F6316" t="s" s="10">
        <v>72</v>
      </c>
      <c r="G6316" t="s" s="11">
        <v>68</v>
      </c>
      <c r="H6316" t="s" s="10">
        <v>72</v>
      </c>
      <c r="I6316" t="s" s="11">
        <v>68</v>
      </c>
      <c r="J6316" t="s" s="11">
        <v>20</v>
      </c>
      <c r="K6316" s="15"/>
      <c r="L6316" t="s" s="16">
        <f>HYPERLINK("http://csr.bu.edu/ftp/asl/asllvd/demos/verify_start_end_handshape_annotations//test_auto_move//signs_mov_separ_signers/Naomi_1397.mov","MOV")</f>
        <v>21</v>
      </c>
      <c r="M6316" t="s" s="10">
        <v>48</v>
      </c>
      <c r="N6316" s="17">
        <v>3</v>
      </c>
      <c r="O6316" s="18">
        <v>2801</v>
      </c>
      <c r="P6316" s="18">
        <v>2843</v>
      </c>
      <c r="Q6316" s="15"/>
      <c r="R6316" t="s" s="16">
        <f>HYPERLINK("http://secrets.rutgers.edu:8080/data/asl-ftp/asllvd/demos/verify_start_end_handshape_annotations//test_auto_move//signs_mov_separ_signers/Naomi_1397.mov","MOV")</f>
        <v>21</v>
      </c>
    </row>
    <row r="6317" s="2" customFormat="1" ht="13.5" customHeight="1">
      <c r="B6317" t="s" s="8">
        <v>52</v>
      </c>
      <c r="C6317" t="s" s="9">
        <v>53</v>
      </c>
      <c r="D6317" t="s" s="8">
        <v>53</v>
      </c>
      <c r="E6317" t="s" s="9">
        <v>53</v>
      </c>
      <c r="F6317" t="s" s="10">
        <v>53</v>
      </c>
      <c r="G6317" t="s" s="11">
        <v>53</v>
      </c>
      <c r="H6317" t="s" s="10">
        <v>53</v>
      </c>
      <c r="I6317" t="s" s="11">
        <v>53</v>
      </c>
      <c r="J6317" t="s" s="11">
        <v>53</v>
      </c>
      <c r="K6317" t="s" s="12">
        <v>53</v>
      </c>
      <c r="L6317" t="s" s="12">
        <v>53</v>
      </c>
      <c r="M6317" t="s" s="10">
        <v>53</v>
      </c>
      <c r="N6317" t="s" s="11">
        <v>53</v>
      </c>
      <c r="O6317" t="s" s="8">
        <v>53</v>
      </c>
      <c r="P6317" t="s" s="8">
        <v>53</v>
      </c>
      <c r="Q6317" t="s" s="12">
        <v>53</v>
      </c>
      <c r="R6317" t="s" s="12">
        <v>53</v>
      </c>
    </row>
    <row r="6318" s="2" customFormat="1" ht="13.5" customHeight="1">
      <c r="B6318" s="13"/>
      <c r="C6318" t="s" s="9">
        <v>23</v>
      </c>
      <c r="D6318" t="s" s="8">
        <v>2161</v>
      </c>
      <c r="E6318" t="s" s="9">
        <v>2163</v>
      </c>
      <c r="F6318" t="s" s="10">
        <v>72</v>
      </c>
      <c r="G6318" t="s" s="11">
        <v>185</v>
      </c>
      <c r="H6318" t="s" s="10">
        <v>72</v>
      </c>
      <c r="I6318" t="s" s="11">
        <v>185</v>
      </c>
      <c r="J6318" t="s" s="11">
        <v>20</v>
      </c>
      <c r="K6318" t="s" s="16">
        <f>HYPERLINK("http://csr.bu.edu/ftp/asl/asllvd/demos/verify_start_end_handshape_annotations//test_auto_move//signs_mov/5240.mov","MOV")</f>
        <v>21</v>
      </c>
      <c r="L6318" t="s" s="16">
        <f>HYPERLINK("http://csr.bu.edu/ftp/asl/asllvd/demos/verify_start_end_handshape_annotations//test_auto_move//signs_mov_separ_signers/Tyler_5240.mov","MOV")</f>
        <v>21</v>
      </c>
      <c r="M6318" t="s" s="10">
        <v>37</v>
      </c>
      <c r="N6318" s="17">
        <v>20</v>
      </c>
      <c r="O6318" s="18">
        <v>2096</v>
      </c>
      <c r="P6318" s="18">
        <v>2132</v>
      </c>
      <c r="Q6318" t="s" s="16">
        <f>HYPERLINK("http://secrets.rutgers.edu:8080/data/asl-ftp/asllvd/demos/verify_start_end_handshape_annotations//test_auto_move//signs_mov/5240.mov","MOV")</f>
        <v>21</v>
      </c>
      <c r="R6318" t="s" s="16">
        <f>HYPERLINK("http://secrets.rutgers.edu:8080/data/asl-ftp/asllvd/demos/verify_start_end_handshape_annotations//test_auto_move//signs_mov_separ_signers/Tyler_5240.mov","MOV")</f>
        <v>21</v>
      </c>
    </row>
    <row r="6319" s="2" customFormat="1" ht="13.5" customHeight="1">
      <c r="B6319" t="s" s="8">
        <v>2164</v>
      </c>
      <c r="C6319" t="s" s="9">
        <v>14</v>
      </c>
      <c r="D6319" t="s" s="8">
        <v>14</v>
      </c>
      <c r="E6319" t="s" s="9">
        <v>14</v>
      </c>
      <c r="F6319" t="s" s="10">
        <v>14</v>
      </c>
      <c r="G6319" t="s" s="11">
        <v>14</v>
      </c>
      <c r="H6319" t="s" s="10">
        <v>14</v>
      </c>
      <c r="I6319" t="s" s="11">
        <v>14</v>
      </c>
      <c r="J6319" t="s" s="11">
        <v>14</v>
      </c>
      <c r="K6319" t="s" s="12">
        <v>14</v>
      </c>
      <c r="L6319" t="s" s="12">
        <v>14</v>
      </c>
      <c r="M6319" t="s" s="10">
        <v>14</v>
      </c>
      <c r="N6319" t="s" s="11">
        <v>14</v>
      </c>
      <c r="O6319" t="s" s="8">
        <v>14</v>
      </c>
      <c r="P6319" t="s" s="8">
        <v>14</v>
      </c>
      <c r="Q6319" t="s" s="12">
        <v>14</v>
      </c>
      <c r="R6319" t="s" s="12">
        <v>14</v>
      </c>
    </row>
    <row r="6320" s="2" customFormat="1" ht="13.5" customHeight="1">
      <c r="B6320" s="13"/>
      <c r="C6320" t="s" s="9">
        <v>16</v>
      </c>
      <c r="D6320" t="s" s="8">
        <v>2164</v>
      </c>
      <c r="E6320" t="s" s="9">
        <v>2164</v>
      </c>
      <c r="F6320" t="s" s="10">
        <v>229</v>
      </c>
      <c r="G6320" t="s" s="11">
        <v>73</v>
      </c>
      <c r="H6320" t="s" s="10">
        <v>229</v>
      </c>
      <c r="I6320" t="s" s="11">
        <v>73</v>
      </c>
      <c r="J6320" t="s" s="11">
        <v>20</v>
      </c>
      <c r="K6320" s="15"/>
      <c r="L6320" t="s" s="16">
        <f>HYPERLINK("http://csr.bu.edu/ftp/asl/asllvd/demos/verify_start_end_handshape_annotations//test_auto_move//signs_mov_separ_signers/Liz_1398.mov","MOV")</f>
        <v>21</v>
      </c>
      <c r="M6320" t="s" s="10">
        <v>34</v>
      </c>
      <c r="N6320" s="17">
        <v>48</v>
      </c>
      <c r="O6320" s="18">
        <v>2975</v>
      </c>
      <c r="P6320" s="18">
        <v>3025</v>
      </c>
      <c r="Q6320" s="15"/>
      <c r="R6320" t="s" s="16">
        <f>HYPERLINK("http://secrets.rutgers.edu:8080/data/asl-ftp/asllvd/demos/verify_start_end_handshape_annotations//test_auto_move//signs_mov_separ_signers/Liz_1398.mov","MOV")</f>
        <v>21</v>
      </c>
    </row>
    <row r="6321" s="2" customFormat="1" ht="13.5" customHeight="1">
      <c r="B6321" s="13"/>
      <c r="C6321" t="s" s="9">
        <v>23</v>
      </c>
      <c r="D6321" t="s" s="8">
        <v>2164</v>
      </c>
      <c r="E6321" t="s" s="9">
        <v>2164</v>
      </c>
      <c r="F6321" t="s" s="10">
        <v>229</v>
      </c>
      <c r="G6321" t="s" s="11">
        <v>73</v>
      </c>
      <c r="H6321" t="s" s="10">
        <v>229</v>
      </c>
      <c r="I6321" t="s" s="11">
        <v>73</v>
      </c>
      <c r="J6321" t="s" s="11">
        <v>20</v>
      </c>
      <c r="K6321" t="s" s="16">
        <f>HYPERLINK("http://csr.bu.edu/ftp/asl/asllvd/demos/verify_start_end_handshape_annotations//test_auto_move//signs_mov/1398.mov","MOV")</f>
        <v>21</v>
      </c>
      <c r="L6321" t="s" s="16">
        <f>HYPERLINK("http://csr.bu.edu/ftp/asl/asllvd/demos/verify_start_end_handshape_annotations//test_auto_move//signs_mov_separ_signers/Tyler_1398.mov","MOV")</f>
        <v>21</v>
      </c>
      <c r="M6321" t="s" s="10">
        <v>37</v>
      </c>
      <c r="N6321" s="17">
        <v>20</v>
      </c>
      <c r="O6321" s="18">
        <v>2435</v>
      </c>
      <c r="P6321" s="18">
        <v>2456</v>
      </c>
      <c r="Q6321" t="s" s="16">
        <f>HYPERLINK("http://secrets.rutgers.edu:8080/data/asl-ftp/asllvd/demos/verify_start_end_handshape_annotations//test_auto_move//signs_mov/1398.mov","MOV")</f>
        <v>21</v>
      </c>
      <c r="R6321" t="s" s="16">
        <f>HYPERLINK("http://secrets.rutgers.edu:8080/data/asl-ftp/asllvd/demos/verify_start_end_handshape_annotations//test_auto_move//signs_mov_separ_signers/Tyler_1398.mov","MOV")</f>
        <v>21</v>
      </c>
    </row>
    <row r="6322" s="2" customFormat="1" ht="13.5" customHeight="1">
      <c r="B6322" s="13"/>
      <c r="C6322" t="s" s="9">
        <v>27</v>
      </c>
      <c r="D6322" t="s" s="8">
        <v>2164</v>
      </c>
      <c r="E6322" t="s" s="9">
        <v>2164</v>
      </c>
      <c r="F6322" t="s" s="10">
        <v>229</v>
      </c>
      <c r="G6322" t="s" s="11">
        <v>73</v>
      </c>
      <c r="H6322" t="s" s="10">
        <v>229</v>
      </c>
      <c r="I6322" t="s" s="11">
        <v>73</v>
      </c>
      <c r="J6322" t="s" s="11">
        <v>20</v>
      </c>
      <c r="K6322" s="15"/>
      <c r="L6322" t="s" s="16">
        <f>HYPERLINK("http://csr.bu.edu/ftp/asl/asllvd/demos/verify_start_end_handshape_annotations//test_auto_move//signs_mov_separ_signers/Naomi_1398.mov","MOV")</f>
        <v>21</v>
      </c>
      <c r="M6322" t="s" s="10">
        <v>48</v>
      </c>
      <c r="N6322" s="17">
        <v>3</v>
      </c>
      <c r="O6322" s="18">
        <v>3105</v>
      </c>
      <c r="P6322" s="18">
        <v>3145</v>
      </c>
      <c r="Q6322" s="15"/>
      <c r="R6322" t="s" s="16">
        <f>HYPERLINK("http://secrets.rutgers.edu:8080/data/asl-ftp/asllvd/demos/verify_start_end_handshape_annotations//test_auto_move//signs_mov_separ_signers/Naomi_1398.mov","MOV")</f>
        <v>21</v>
      </c>
    </row>
    <row r="6323" s="2" customFormat="1" ht="13.5" customHeight="1">
      <c r="B6323" t="s" s="8">
        <v>2165</v>
      </c>
      <c r="C6323" t="s" s="9">
        <v>14</v>
      </c>
      <c r="D6323" t="s" s="8">
        <v>14</v>
      </c>
      <c r="E6323" t="s" s="9">
        <v>14</v>
      </c>
      <c r="F6323" t="s" s="10">
        <v>14</v>
      </c>
      <c r="G6323" t="s" s="11">
        <v>14</v>
      </c>
      <c r="H6323" t="s" s="10">
        <v>14</v>
      </c>
      <c r="I6323" t="s" s="11">
        <v>14</v>
      </c>
      <c r="J6323" t="s" s="11">
        <v>14</v>
      </c>
      <c r="K6323" t="s" s="12">
        <v>14</v>
      </c>
      <c r="L6323" t="s" s="12">
        <v>14</v>
      </c>
      <c r="M6323" t="s" s="10">
        <v>14</v>
      </c>
      <c r="N6323" t="s" s="11">
        <v>14</v>
      </c>
      <c r="O6323" t="s" s="8">
        <v>14</v>
      </c>
      <c r="P6323" t="s" s="8">
        <v>14</v>
      </c>
      <c r="Q6323" t="s" s="12">
        <v>14</v>
      </c>
      <c r="R6323" t="s" s="12">
        <v>14</v>
      </c>
    </row>
    <row r="6324" s="2" customFormat="1" ht="13.5" customHeight="1">
      <c r="B6324" s="13"/>
      <c r="C6324" t="s" s="9">
        <v>16</v>
      </c>
      <c r="D6324" t="s" s="8">
        <v>2165</v>
      </c>
      <c r="E6324" t="s" s="9">
        <v>2165</v>
      </c>
      <c r="F6324" t="s" s="10">
        <v>230</v>
      </c>
      <c r="G6324" t="s" s="11">
        <v>73</v>
      </c>
      <c r="H6324" t="s" s="10">
        <v>230</v>
      </c>
      <c r="I6324" t="s" s="11">
        <v>73</v>
      </c>
      <c r="J6324" t="s" s="11">
        <v>20</v>
      </c>
      <c r="K6324" s="15"/>
      <c r="L6324" t="s" s="16">
        <f>HYPERLINK("http://csr.bu.edu/ftp/asl/asllvd/demos/verify_start_end_handshape_annotations//test_auto_move//signs_mov_separ_signers/Liz_15551.mov","MOV")</f>
        <v>21</v>
      </c>
      <c r="M6324" t="s" s="10">
        <v>36</v>
      </c>
      <c r="N6324" s="17">
        <v>13</v>
      </c>
      <c r="O6324" s="18">
        <v>815</v>
      </c>
      <c r="P6324" s="18">
        <v>876</v>
      </c>
      <c r="Q6324" s="15"/>
      <c r="R6324" t="s" s="16">
        <f>HYPERLINK("http://secrets.rutgers.edu:8080/data/asl-ftp/asllvd/demos/verify_start_end_handshape_annotations//test_auto_move//signs_mov_separ_signers/Liz_15551.mov","MOV")</f>
        <v>21</v>
      </c>
    </row>
    <row r="6325" s="2" customFormat="1" ht="13.5" customHeight="1">
      <c r="B6325" s="13"/>
      <c r="C6325" t="s" s="9">
        <v>30</v>
      </c>
      <c r="D6325" t="s" s="8">
        <v>2165</v>
      </c>
      <c r="E6325" t="s" s="9">
        <v>2165</v>
      </c>
      <c r="F6325" t="s" s="10">
        <v>230</v>
      </c>
      <c r="G6325" t="s" s="11">
        <v>73</v>
      </c>
      <c r="H6325" t="s" s="10">
        <v>230</v>
      </c>
      <c r="I6325" t="s" s="11">
        <v>73</v>
      </c>
      <c r="J6325" t="s" s="11">
        <v>20</v>
      </c>
      <c r="K6325" t="s" s="16">
        <f>HYPERLINK("http://csr.bu.edu/ftp/asl/asllvd/demos/verify_start_end_handshape_annotations//test_auto_move//signs_mov/15551_15586_merged.mov","MOV")</f>
        <v>21</v>
      </c>
      <c r="L6325" t="s" s="16">
        <f>HYPERLINK("http://csr.bu.edu/ftp/asl/asllvd/demos/verify_start_end_handshape_annotations//test_auto_move//signs_mov_separ_signers/Brady_15551.mov","MOV")</f>
        <v>21</v>
      </c>
      <c r="M6325" t="s" s="10">
        <v>40</v>
      </c>
      <c r="N6325" s="17">
        <v>58</v>
      </c>
      <c r="O6325" s="18">
        <v>397</v>
      </c>
      <c r="P6325" s="18">
        <v>443</v>
      </c>
      <c r="Q6325" t="s" s="16">
        <f>HYPERLINK("http://secrets.rutgers.edu:8080/data/asl-ftp/asllvd/demos/verify_start_end_handshape_annotations//test_auto_move//signs_mov/15551_15586_merged.mov","MOV")</f>
        <v>21</v>
      </c>
      <c r="R6325" t="s" s="16">
        <f>HYPERLINK("http://secrets.rutgers.edu:8080/data/asl-ftp/asllvd/demos/verify_start_end_handshape_annotations//test_auto_move//signs_mov_separ_signers/Brady_15551.mov","MOV")</f>
        <v>21</v>
      </c>
    </row>
    <row r="6326" s="2" customFormat="1" ht="13.5" customHeight="1">
      <c r="B6326" s="13"/>
      <c r="C6326" t="s" s="9">
        <v>30</v>
      </c>
      <c r="D6326" t="s" s="8">
        <v>2165</v>
      </c>
      <c r="E6326" t="s" s="9">
        <v>2165</v>
      </c>
      <c r="F6326" t="s" s="10">
        <v>230</v>
      </c>
      <c r="G6326" t="s" s="11">
        <v>73</v>
      </c>
      <c r="H6326" t="s" s="10">
        <v>230</v>
      </c>
      <c r="I6326" t="s" s="11">
        <v>73</v>
      </c>
      <c r="J6326" t="s" s="11">
        <v>20</v>
      </c>
      <c r="K6326" s="15"/>
      <c r="L6326" t="s" s="16">
        <f>HYPERLINK("http://csr.bu.edu/ftp/asl/asllvd/demos/verify_start_end_handshape_annotations//test_auto_move//signs_mov_separ_signers/Brady_15586.mov","MOV")</f>
        <v>21</v>
      </c>
      <c r="M6326" t="s" s="10">
        <v>40</v>
      </c>
      <c r="N6326" s="17">
        <v>58</v>
      </c>
      <c r="O6326" s="18">
        <v>690</v>
      </c>
      <c r="P6326" s="18">
        <v>728</v>
      </c>
      <c r="Q6326" s="15"/>
      <c r="R6326" t="s" s="16">
        <f>HYPERLINK("http://secrets.rutgers.edu:8080/data/asl-ftp/asllvd/demos/verify_start_end_handshape_annotations//test_auto_move//signs_mov_separ_signers/Brady_15586.mov","MOV")</f>
        <v>21</v>
      </c>
    </row>
    <row r="6327" s="2" customFormat="1" ht="13.5" customHeight="1">
      <c r="B6327" t="s" s="8">
        <v>52</v>
      </c>
      <c r="C6327" t="s" s="9">
        <v>53</v>
      </c>
      <c r="D6327" t="s" s="8">
        <v>53</v>
      </c>
      <c r="E6327" t="s" s="9">
        <v>53</v>
      </c>
      <c r="F6327" t="s" s="10">
        <v>53</v>
      </c>
      <c r="G6327" t="s" s="11">
        <v>53</v>
      </c>
      <c r="H6327" t="s" s="10">
        <v>53</v>
      </c>
      <c r="I6327" t="s" s="11">
        <v>53</v>
      </c>
      <c r="J6327" t="s" s="11">
        <v>53</v>
      </c>
      <c r="K6327" t="s" s="12">
        <v>53</v>
      </c>
      <c r="L6327" t="s" s="12">
        <v>53</v>
      </c>
      <c r="M6327" t="s" s="10">
        <v>53</v>
      </c>
      <c r="N6327" t="s" s="11">
        <v>53</v>
      </c>
      <c r="O6327" t="s" s="8">
        <v>53</v>
      </c>
      <c r="P6327" t="s" s="8">
        <v>53</v>
      </c>
      <c r="Q6327" t="s" s="12">
        <v>53</v>
      </c>
      <c r="R6327" t="s" s="12">
        <v>53</v>
      </c>
    </row>
    <row r="6328" s="2" customFormat="1" ht="13.5" customHeight="1">
      <c r="B6328" s="13"/>
      <c r="C6328" t="s" s="9">
        <v>16</v>
      </c>
      <c r="D6328" t="s" s="8">
        <v>2165</v>
      </c>
      <c r="E6328" t="s" s="9">
        <v>2166</v>
      </c>
      <c r="F6328" t="s" s="10">
        <v>230</v>
      </c>
      <c r="G6328" t="s" s="11">
        <v>240</v>
      </c>
      <c r="H6328" t="s" s="10">
        <v>230</v>
      </c>
      <c r="I6328" t="s" s="11">
        <v>240</v>
      </c>
      <c r="J6328" t="s" s="11">
        <v>20</v>
      </c>
      <c r="K6328" t="s" s="16">
        <f>HYPERLINK("http://csr.bu.edu/ftp/asl/asllvd/demos/verify_start_end_handshape_annotations//test_auto_move//signs_mov/15625.mov","MOV")</f>
        <v>21</v>
      </c>
      <c r="L6328" t="s" s="16">
        <f>HYPERLINK("http://csr.bu.edu/ftp/asl/asllvd/demos/verify_start_end_handshape_annotations//test_auto_move//signs_mov_separ_signers/Liz_15625.mov","MOV")</f>
        <v>21</v>
      </c>
      <c r="M6328" t="s" s="10">
        <v>36</v>
      </c>
      <c r="N6328" s="17">
        <v>13</v>
      </c>
      <c r="O6328" s="18">
        <v>1145</v>
      </c>
      <c r="P6328" s="18">
        <v>1210</v>
      </c>
      <c r="Q6328" t="s" s="16">
        <f>HYPERLINK("http://secrets.rutgers.edu:8080/data/asl-ftp/asllvd/demos/verify_start_end_handshape_annotations//test_auto_move//signs_mov/15625.mov","MOV")</f>
        <v>21</v>
      </c>
      <c r="R6328" t="s" s="16">
        <f>HYPERLINK("http://secrets.rutgers.edu:8080/data/asl-ftp/asllvd/demos/verify_start_end_handshape_annotations//test_auto_move//signs_mov_separ_signers/Liz_15625.mov","MOV")</f>
        <v>21</v>
      </c>
    </row>
    <row r="6329" s="2" customFormat="1" ht="13.5" customHeight="1">
      <c r="B6329" t="s" s="8">
        <v>2167</v>
      </c>
      <c r="C6329" t="s" s="9">
        <v>14</v>
      </c>
      <c r="D6329" t="s" s="8">
        <v>14</v>
      </c>
      <c r="E6329" t="s" s="9">
        <v>14</v>
      </c>
      <c r="F6329" t="s" s="10">
        <v>14</v>
      </c>
      <c r="G6329" t="s" s="11">
        <v>14</v>
      </c>
      <c r="H6329" t="s" s="10">
        <v>14</v>
      </c>
      <c r="I6329" t="s" s="11">
        <v>14</v>
      </c>
      <c r="J6329" t="s" s="11">
        <v>14</v>
      </c>
      <c r="K6329" t="s" s="12">
        <v>14</v>
      </c>
      <c r="L6329" t="s" s="12">
        <v>14</v>
      </c>
      <c r="M6329" t="s" s="10">
        <v>14</v>
      </c>
      <c r="N6329" t="s" s="11">
        <v>14</v>
      </c>
      <c r="O6329" t="s" s="8">
        <v>14</v>
      </c>
      <c r="P6329" t="s" s="8">
        <v>14</v>
      </c>
      <c r="Q6329" t="s" s="12">
        <v>14</v>
      </c>
      <c r="R6329" t="s" s="12">
        <v>14</v>
      </c>
    </row>
    <row r="6330" s="2" customFormat="1" ht="13.5" customHeight="1">
      <c r="B6330" s="13"/>
      <c r="C6330" t="s" s="9">
        <v>16</v>
      </c>
      <c r="D6330" t="s" s="8">
        <v>2167</v>
      </c>
      <c r="E6330" t="s" s="9">
        <v>2167</v>
      </c>
      <c r="F6330" s="19">
        <v>10</v>
      </c>
      <c r="G6330" s="17">
        <v>10</v>
      </c>
      <c r="H6330" s="19">
        <v>10</v>
      </c>
      <c r="I6330" s="17">
        <v>10</v>
      </c>
      <c r="J6330" t="s" s="11">
        <v>20</v>
      </c>
      <c r="K6330" s="15"/>
      <c r="L6330" t="s" s="16">
        <f>HYPERLINK("http://csr.bu.edu/ftp/asl/asllvd/demos/verify_start_end_handshape_annotations//test_auto_move//signs_mov_separ_signers/Liz_1401.mov","MOV")</f>
        <v>21</v>
      </c>
      <c r="M6330" t="s" s="10">
        <v>34</v>
      </c>
      <c r="N6330" s="17">
        <v>51</v>
      </c>
      <c r="O6330" s="18">
        <v>1716</v>
      </c>
      <c r="P6330" s="18">
        <v>1760</v>
      </c>
      <c r="Q6330" s="15"/>
      <c r="R6330" t="s" s="16">
        <f>HYPERLINK("http://secrets.rutgers.edu:8080/data/asl-ftp/asllvd/demos/verify_start_end_handshape_annotations//test_auto_move//signs_mov_separ_signers/Liz_1401.mov","MOV")</f>
        <v>21</v>
      </c>
    </row>
    <row r="6331" s="2" customFormat="1" ht="13.5" customHeight="1">
      <c r="B6331" s="13"/>
      <c r="C6331" t="s" s="9">
        <v>16</v>
      </c>
      <c r="D6331" t="s" s="8">
        <v>2167</v>
      </c>
      <c r="E6331" t="s" s="9">
        <v>2167</v>
      </c>
      <c r="F6331" s="19">
        <v>10</v>
      </c>
      <c r="G6331" s="17">
        <v>10</v>
      </c>
      <c r="H6331" s="19">
        <v>10</v>
      </c>
      <c r="I6331" s="17">
        <v>10</v>
      </c>
      <c r="J6331" t="s" s="11">
        <v>20</v>
      </c>
      <c r="K6331" s="15"/>
      <c r="L6331" t="s" s="16">
        <f>HYPERLINK("http://csr.bu.edu/ftp/asl/asllvd/demos/verify_start_end_handshape_annotations//test_auto_move//signs_mov_separ_signers/Liz_3674.mov","MOV")</f>
        <v>21</v>
      </c>
      <c r="M6331" t="s" s="10">
        <v>36</v>
      </c>
      <c r="N6331" s="17">
        <v>14</v>
      </c>
      <c r="O6331" s="18">
        <v>1395</v>
      </c>
      <c r="P6331" s="18">
        <v>1427</v>
      </c>
      <c r="Q6331" s="15"/>
      <c r="R6331" t="s" s="16">
        <f>HYPERLINK("http://secrets.rutgers.edu:8080/data/asl-ftp/asllvd/demos/verify_start_end_handshape_annotations//test_auto_move//signs_mov_separ_signers/Liz_3674.mov","MOV")</f>
        <v>21</v>
      </c>
    </row>
    <row r="6332" s="2" customFormat="1" ht="13.5" customHeight="1">
      <c r="B6332" s="13"/>
      <c r="C6332" t="s" s="9">
        <v>27</v>
      </c>
      <c r="D6332" t="s" s="8">
        <v>2167</v>
      </c>
      <c r="E6332" t="s" s="9">
        <v>2167</v>
      </c>
      <c r="F6332" s="19">
        <v>10</v>
      </c>
      <c r="G6332" s="17">
        <v>10</v>
      </c>
      <c r="H6332" s="19">
        <v>10</v>
      </c>
      <c r="I6332" s="17">
        <v>10</v>
      </c>
      <c r="J6332" t="s" s="11">
        <v>20</v>
      </c>
      <c r="K6332" s="15"/>
      <c r="L6332" t="s" s="16">
        <f>HYPERLINK("http://csr.bu.edu/ftp/asl/asllvd/demos/verify_start_end_handshape_annotations//test_auto_move//signs_mov_separ_signers/Naomi_1401.mov","MOV")</f>
        <v>21</v>
      </c>
      <c r="M6332" t="s" s="10">
        <v>48</v>
      </c>
      <c r="N6332" s="17">
        <v>6</v>
      </c>
      <c r="O6332" s="18">
        <v>1846</v>
      </c>
      <c r="P6332" s="18">
        <v>1882</v>
      </c>
      <c r="Q6332" s="15"/>
      <c r="R6332" t="s" s="16">
        <f>HYPERLINK("http://secrets.rutgers.edu:8080/data/asl-ftp/asllvd/demos/verify_start_end_handshape_annotations//test_auto_move//signs_mov_separ_signers/Naomi_1401.mov","MOV")</f>
        <v>21</v>
      </c>
    </row>
    <row r="6333" s="2" customFormat="1" ht="13.5" customHeight="1">
      <c r="B6333" s="13"/>
      <c r="C6333" t="s" s="9">
        <v>30</v>
      </c>
      <c r="D6333" t="s" s="8">
        <v>2167</v>
      </c>
      <c r="E6333" t="s" s="9">
        <v>2167</v>
      </c>
      <c r="F6333" s="19">
        <v>10</v>
      </c>
      <c r="G6333" s="17">
        <v>10</v>
      </c>
      <c r="H6333" s="19">
        <v>10</v>
      </c>
      <c r="I6333" s="17">
        <v>10</v>
      </c>
      <c r="J6333" t="s" s="11">
        <v>20</v>
      </c>
      <c r="K6333" t="s" s="16">
        <f>HYPERLINK("http://csr.bu.edu/ftp/asl/asllvd/demos/verify_start_end_handshape_annotations//test_auto_move//signs_mov/1401_3674_merged.mov","MOV")</f>
        <v>21</v>
      </c>
      <c r="L6333" t="s" s="16">
        <f>HYPERLINK("http://csr.bu.edu/ftp/asl/asllvd/demos/verify_start_end_handshape_annotations//test_auto_move//signs_mov_separ_signers/Brady_1401.mov","MOV")</f>
        <v>21</v>
      </c>
      <c r="M6333" t="s" s="10">
        <v>39</v>
      </c>
      <c r="N6333" s="17">
        <v>50</v>
      </c>
      <c r="O6333" s="18">
        <v>2994</v>
      </c>
      <c r="P6333" s="18">
        <v>3024</v>
      </c>
      <c r="Q6333" t="s" s="16">
        <f>HYPERLINK("http://secrets.rutgers.edu:8080/data/asl-ftp/asllvd/demos/verify_start_end_handshape_annotations//test_auto_move//signs_mov/1401_3674_merged.mov","MOV")</f>
        <v>21</v>
      </c>
      <c r="R6333" t="s" s="16">
        <f>HYPERLINK("http://secrets.rutgers.edu:8080/data/asl-ftp/asllvd/demos/verify_start_end_handshape_annotations//test_auto_move//signs_mov_separ_signers/Brady_1401.mov","MOV")</f>
        <v>21</v>
      </c>
    </row>
    <row r="6334" s="2" customFormat="1" ht="13.5" customHeight="1">
      <c r="B6334" s="13"/>
      <c r="C6334" t="s" s="9">
        <v>30</v>
      </c>
      <c r="D6334" t="s" s="8">
        <v>2167</v>
      </c>
      <c r="E6334" t="s" s="9">
        <v>2167</v>
      </c>
      <c r="F6334" s="19">
        <v>10</v>
      </c>
      <c r="G6334" s="17">
        <v>10</v>
      </c>
      <c r="H6334" s="19">
        <v>10</v>
      </c>
      <c r="I6334" s="17">
        <v>10</v>
      </c>
      <c r="J6334" t="s" s="11">
        <v>20</v>
      </c>
      <c r="K6334" s="15"/>
      <c r="L6334" t="s" s="16">
        <f>HYPERLINK("http://csr.bu.edu/ftp/asl/asllvd/demos/verify_start_end_handshape_annotations//test_auto_move//signs_mov_separ_signers/Brady_3674.mov","MOV")</f>
        <v>21</v>
      </c>
      <c r="M6334" t="s" s="10">
        <v>40</v>
      </c>
      <c r="N6334" s="17">
        <v>59</v>
      </c>
      <c r="O6334" s="18">
        <v>1912</v>
      </c>
      <c r="P6334" s="18">
        <v>1939</v>
      </c>
      <c r="Q6334" s="15"/>
      <c r="R6334" t="s" s="16">
        <f>HYPERLINK("http://secrets.rutgers.edu:8080/data/asl-ftp/asllvd/demos/verify_start_end_handshape_annotations//test_auto_move//signs_mov_separ_signers/Brady_3674.mov","MOV")</f>
        <v>21</v>
      </c>
    </row>
    <row r="6335" s="2" customFormat="1" ht="13.5" customHeight="1">
      <c r="B6335" s="13"/>
      <c r="C6335" t="s" s="9">
        <v>41</v>
      </c>
      <c r="D6335" t="s" s="8">
        <v>2167</v>
      </c>
      <c r="E6335" t="s" s="9">
        <v>2167</v>
      </c>
      <c r="F6335" s="19">
        <v>10</v>
      </c>
      <c r="G6335" s="17">
        <v>10</v>
      </c>
      <c r="H6335" s="19">
        <v>10</v>
      </c>
      <c r="I6335" s="17">
        <v>10</v>
      </c>
      <c r="J6335" t="s" s="11">
        <v>20</v>
      </c>
      <c r="K6335" s="15"/>
      <c r="L6335" t="s" s="16">
        <f>HYPERLINK("http://csr.bu.edu/ftp/asl/asllvd/demos/verify_start_end_handshape_annotations//test_auto_move//signs_mov_separ_signers/Lana_1401.mov","MOV")</f>
        <v>21</v>
      </c>
      <c r="M6335" t="s" s="10">
        <v>42</v>
      </c>
      <c r="N6335" s="17">
        <v>17</v>
      </c>
      <c r="O6335" s="18">
        <v>741</v>
      </c>
      <c r="P6335" s="18">
        <v>763</v>
      </c>
      <c r="Q6335" s="15"/>
      <c r="R6335" t="s" s="16">
        <f>HYPERLINK("http://secrets.rutgers.edu:8080/data/asl-ftp/asllvd/demos/verify_start_end_handshape_annotations//test_auto_move//signs_mov_separ_signers/Lana_1401.mov","MOV")</f>
        <v>21</v>
      </c>
    </row>
    <row r="6336" s="2" customFormat="1" ht="13.5" customHeight="1">
      <c r="B6336" s="13"/>
      <c r="C6336" t="s" s="9">
        <v>43</v>
      </c>
      <c r="D6336" t="s" s="8">
        <v>2167</v>
      </c>
      <c r="E6336" t="s" s="9">
        <v>2167</v>
      </c>
      <c r="F6336" s="19">
        <v>10</v>
      </c>
      <c r="G6336" s="17">
        <v>10</v>
      </c>
      <c r="H6336" s="19">
        <v>10</v>
      </c>
      <c r="I6336" s="17">
        <v>10</v>
      </c>
      <c r="J6336" t="s" s="11">
        <v>20</v>
      </c>
      <c r="K6336" s="15"/>
      <c r="L6336" t="s" s="16">
        <f>HYPERLINK("http://csr.bu.edu/ftp/asl/asllvd/demos/verify_start_end_handshape_annotations//test_auto_move//signs_mov_separ_signers/Dana_1401.mov","MOV")</f>
        <v>21</v>
      </c>
      <c r="M6336" t="s" s="10">
        <v>44</v>
      </c>
      <c r="N6336" s="17">
        <v>19</v>
      </c>
      <c r="O6336" s="18">
        <v>710</v>
      </c>
      <c r="P6336" s="18">
        <v>753</v>
      </c>
      <c r="Q6336" s="15"/>
      <c r="R6336" t="s" s="16">
        <f>HYPERLINK("http://secrets.rutgers.edu:8080/data/asl-ftp/asllvd/demos/verify_start_end_handshape_annotations//test_auto_move//signs_mov_separ_signers/Dana_1401.mov","MOV")</f>
        <v>21</v>
      </c>
    </row>
    <row r="6337" s="2" customFormat="1" ht="13.5" customHeight="1">
      <c r="B6337" t="s" s="8">
        <v>52</v>
      </c>
      <c r="C6337" t="s" s="9">
        <v>53</v>
      </c>
      <c r="D6337" t="s" s="8">
        <v>53</v>
      </c>
      <c r="E6337" t="s" s="9">
        <v>53</v>
      </c>
      <c r="F6337" t="s" s="10">
        <v>53</v>
      </c>
      <c r="G6337" t="s" s="11">
        <v>53</v>
      </c>
      <c r="H6337" t="s" s="10">
        <v>53</v>
      </c>
      <c r="I6337" t="s" s="11">
        <v>53</v>
      </c>
      <c r="J6337" t="s" s="11">
        <v>53</v>
      </c>
      <c r="K6337" t="s" s="12">
        <v>53</v>
      </c>
      <c r="L6337" t="s" s="12">
        <v>53</v>
      </c>
      <c r="M6337" t="s" s="10">
        <v>53</v>
      </c>
      <c r="N6337" t="s" s="11">
        <v>53</v>
      </c>
      <c r="O6337" t="s" s="8">
        <v>53</v>
      </c>
      <c r="P6337" t="s" s="8">
        <v>53</v>
      </c>
      <c r="Q6337" t="s" s="12">
        <v>53</v>
      </c>
      <c r="R6337" t="s" s="12">
        <v>53</v>
      </c>
    </row>
    <row r="6338" s="2" customFormat="1" ht="13.5" customHeight="1">
      <c r="B6338" s="13"/>
      <c r="C6338" t="s" s="9">
        <v>16</v>
      </c>
      <c r="D6338" t="s" s="8">
        <v>2167</v>
      </c>
      <c r="E6338" t="s" s="9">
        <v>2168</v>
      </c>
      <c r="F6338" t="s" s="10">
        <v>25</v>
      </c>
      <c r="G6338" t="s" s="11">
        <v>25</v>
      </c>
      <c r="H6338" t="s" s="10">
        <v>25</v>
      </c>
      <c r="I6338" t="s" s="11">
        <v>25</v>
      </c>
      <c r="J6338" t="s" s="11">
        <v>20</v>
      </c>
      <c r="K6338" s="15"/>
      <c r="L6338" t="s" s="16">
        <f>HYPERLINK("http://csr.bu.edu/ftp/asl/asllvd/demos/verify_start_end_handshape_annotations//test_auto_move//signs_mov_separ_signers/Liz_3746.mov","MOV")</f>
        <v>21</v>
      </c>
      <c r="M6338" t="s" s="10">
        <v>34</v>
      </c>
      <c r="N6338" s="17">
        <v>49</v>
      </c>
      <c r="O6338" s="18">
        <v>727</v>
      </c>
      <c r="P6338" s="18">
        <v>771</v>
      </c>
      <c r="Q6338" s="15"/>
      <c r="R6338" t="s" s="16">
        <f>HYPERLINK("http://secrets.rutgers.edu:8080/data/asl-ftp/asllvd/demos/verify_start_end_handshape_annotations//test_auto_move//signs_mov_separ_signers/Liz_3746.mov","MOV")</f>
        <v>21</v>
      </c>
    </row>
    <row r="6339" s="2" customFormat="1" ht="13.5" customHeight="1">
      <c r="B6339" s="13"/>
      <c r="C6339" t="s" s="9">
        <v>23</v>
      </c>
      <c r="D6339" t="s" s="8">
        <v>2167</v>
      </c>
      <c r="E6339" t="s" s="9">
        <v>2168</v>
      </c>
      <c r="F6339" t="s" s="10">
        <v>25</v>
      </c>
      <c r="G6339" t="s" s="11">
        <v>25</v>
      </c>
      <c r="H6339" t="s" s="10">
        <v>25</v>
      </c>
      <c r="I6339" t="s" s="11">
        <v>25</v>
      </c>
      <c r="J6339" t="s" s="11">
        <v>20</v>
      </c>
      <c r="K6339" t="s" s="16">
        <f>HYPERLINK("http://csr.bu.edu/ftp/asl/asllvd/demos/verify_start_end_handshape_annotations//test_auto_move//signs_mov/3746_3845_merged.mov","MOV")</f>
        <v>21</v>
      </c>
      <c r="L6339" t="s" s="16">
        <f>HYPERLINK("http://csr.bu.edu/ftp/asl/asllvd/demos/verify_start_end_handshape_annotations//test_auto_move//signs_mov_separ_signers/Tyler_3746.mov","MOV")</f>
        <v>21</v>
      </c>
      <c r="M6339" t="s" s="10">
        <v>47</v>
      </c>
      <c r="N6339" s="17">
        <v>1</v>
      </c>
      <c r="O6339" s="18">
        <v>155</v>
      </c>
      <c r="P6339" s="18">
        <v>197</v>
      </c>
      <c r="Q6339" t="s" s="16">
        <f>HYPERLINK("http://secrets.rutgers.edu:8080/data/asl-ftp/asllvd/demos/verify_start_end_handshape_annotations//test_auto_move//signs_mov/3746_3845_merged.mov","MOV")</f>
        <v>21</v>
      </c>
      <c r="R6339" t="s" s="16">
        <f>HYPERLINK("http://secrets.rutgers.edu:8080/data/asl-ftp/asllvd/demos/verify_start_end_handshape_annotations//test_auto_move//signs_mov_separ_signers/Tyler_3746.mov","MOV")</f>
        <v>21</v>
      </c>
    </row>
    <row r="6340" s="2" customFormat="1" ht="13.5" customHeight="1">
      <c r="B6340" s="13"/>
      <c r="C6340" t="s" s="9">
        <v>23</v>
      </c>
      <c r="D6340" t="s" s="8">
        <v>2167</v>
      </c>
      <c r="E6340" t="s" s="9">
        <v>2168</v>
      </c>
      <c r="F6340" t="s" s="10">
        <v>25</v>
      </c>
      <c r="G6340" t="s" s="11">
        <v>25</v>
      </c>
      <c r="H6340" t="s" s="10">
        <v>25</v>
      </c>
      <c r="I6340" t="s" s="11">
        <v>25</v>
      </c>
      <c r="J6340" t="s" s="11">
        <v>20</v>
      </c>
      <c r="K6340" s="15"/>
      <c r="L6340" t="s" s="16">
        <f>HYPERLINK("http://csr.bu.edu/ftp/asl/asllvd/demos/verify_start_end_handshape_annotations//test_auto_move//signs_mov_separ_signers/Tyler_3845.mov","MOV")</f>
        <v>21</v>
      </c>
      <c r="M6340" t="s" s="10">
        <v>47</v>
      </c>
      <c r="N6340" s="17">
        <v>3</v>
      </c>
      <c r="O6340" s="18">
        <v>1650</v>
      </c>
      <c r="P6340" s="18">
        <v>1677</v>
      </c>
      <c r="Q6340" s="15"/>
      <c r="R6340" t="s" s="16">
        <f>HYPERLINK("http://secrets.rutgers.edu:8080/data/asl-ftp/asllvd/demos/verify_start_end_handshape_annotations//test_auto_move//signs_mov_separ_signers/Tyler_3845.mov","MOV")</f>
        <v>21</v>
      </c>
    </row>
    <row r="6341" s="2" customFormat="1" ht="13.5" customHeight="1">
      <c r="B6341" s="13"/>
      <c r="C6341" t="s" s="9">
        <v>27</v>
      </c>
      <c r="D6341" t="s" s="8">
        <v>2167</v>
      </c>
      <c r="E6341" t="s" s="9">
        <v>2168</v>
      </c>
      <c r="F6341" t="s" s="10">
        <v>25</v>
      </c>
      <c r="G6341" t="s" s="11">
        <v>25</v>
      </c>
      <c r="H6341" t="s" s="10">
        <v>25</v>
      </c>
      <c r="I6341" t="s" s="11">
        <v>25</v>
      </c>
      <c r="J6341" t="s" s="11">
        <v>20</v>
      </c>
      <c r="K6341" s="15"/>
      <c r="L6341" t="s" s="16">
        <f>HYPERLINK("http://csr.bu.edu/ftp/asl/asllvd/demos/verify_start_end_handshape_annotations//test_auto_move//signs_mov_separ_signers/Naomi_3746.mov","MOV")</f>
        <v>21</v>
      </c>
      <c r="M6341" t="s" s="10">
        <v>48</v>
      </c>
      <c r="N6341" s="17">
        <v>4</v>
      </c>
      <c r="O6341" s="18">
        <v>581</v>
      </c>
      <c r="P6341" s="18">
        <v>615</v>
      </c>
      <c r="Q6341" s="15"/>
      <c r="R6341" t="s" s="16">
        <f>HYPERLINK("http://secrets.rutgers.edu:8080/data/asl-ftp/asllvd/demos/verify_start_end_handshape_annotations//test_auto_move//signs_mov_separ_signers/Naomi_3746.mov","MOV")</f>
        <v>21</v>
      </c>
    </row>
    <row r="6342" s="2" customFormat="1" ht="13.5" customHeight="1">
      <c r="B6342" t="s" s="8">
        <v>2169</v>
      </c>
      <c r="C6342" t="s" s="9">
        <v>14</v>
      </c>
      <c r="D6342" t="s" s="8">
        <v>14</v>
      </c>
      <c r="E6342" t="s" s="9">
        <v>14</v>
      </c>
      <c r="F6342" t="s" s="10">
        <v>14</v>
      </c>
      <c r="G6342" t="s" s="11">
        <v>14</v>
      </c>
      <c r="H6342" t="s" s="10">
        <v>14</v>
      </c>
      <c r="I6342" t="s" s="11">
        <v>14</v>
      </c>
      <c r="J6342" t="s" s="11">
        <v>14</v>
      </c>
      <c r="K6342" t="s" s="12">
        <v>14</v>
      </c>
      <c r="L6342" t="s" s="12">
        <v>14</v>
      </c>
      <c r="M6342" t="s" s="10">
        <v>14</v>
      </c>
      <c r="N6342" t="s" s="11">
        <v>14</v>
      </c>
      <c r="O6342" t="s" s="8">
        <v>14</v>
      </c>
      <c r="P6342" t="s" s="8">
        <v>14</v>
      </c>
      <c r="Q6342" t="s" s="12">
        <v>14</v>
      </c>
      <c r="R6342" t="s" s="12">
        <v>14</v>
      </c>
    </row>
    <row r="6343" s="2" customFormat="1" ht="13.5" customHeight="1">
      <c r="B6343" s="13"/>
      <c r="C6343" t="s" s="9">
        <v>16</v>
      </c>
      <c r="D6343" t="s" s="8">
        <v>2169</v>
      </c>
      <c r="E6343" t="s" s="9">
        <v>2170</v>
      </c>
      <c r="F6343" s="19">
        <v>10</v>
      </c>
      <c r="G6343" s="17">
        <v>10</v>
      </c>
      <c r="H6343" s="19">
        <v>10</v>
      </c>
      <c r="I6343" s="17">
        <v>10</v>
      </c>
      <c r="J6343" t="s" s="11">
        <v>20</v>
      </c>
      <c r="K6343" t="s" s="16">
        <f>HYPERLINK("http://csr.bu.edu/ftp/asl/asllvd/demos/verify_start_end_handshape_annotations//test_auto_move//signs_mov/5241.mov","MOV")</f>
        <v>21</v>
      </c>
      <c r="L6343" t="s" s="16">
        <f>HYPERLINK("http://csr.bu.edu/ftp/asl/asllvd/demos/verify_start_end_handshape_annotations//test_auto_move//signs_mov_separ_signers/Liz_5241.mov","MOV")</f>
        <v>21</v>
      </c>
      <c r="M6343" t="s" s="10">
        <v>22</v>
      </c>
      <c r="N6343" s="17">
        <v>6</v>
      </c>
      <c r="O6343" s="18">
        <v>3076</v>
      </c>
      <c r="P6343" s="18">
        <v>3120</v>
      </c>
      <c r="Q6343" t="s" s="16">
        <f>HYPERLINK("http://secrets.rutgers.edu:8080/data/asl-ftp/asllvd/demos/verify_start_end_handshape_annotations//test_auto_move//signs_mov/5241.mov","MOV")</f>
        <v>21</v>
      </c>
      <c r="R6343" t="s" s="16">
        <f>HYPERLINK("http://secrets.rutgers.edu:8080/data/asl-ftp/asllvd/demos/verify_start_end_handshape_annotations//test_auto_move//signs_mov_separ_signers/Liz_5241.mov","MOV")</f>
        <v>21</v>
      </c>
    </row>
    <row r="6344" s="2" customFormat="1" ht="13.5" customHeight="1">
      <c r="B6344" s="13"/>
      <c r="C6344" t="s" s="9">
        <v>27</v>
      </c>
      <c r="D6344" t="s" s="8">
        <v>2169</v>
      </c>
      <c r="E6344" t="s" s="9">
        <v>2169</v>
      </c>
      <c r="F6344" t="s" s="10">
        <v>63</v>
      </c>
      <c r="G6344" t="s" s="11">
        <v>63</v>
      </c>
      <c r="H6344" t="s" s="10">
        <v>63</v>
      </c>
      <c r="I6344" t="s" s="11">
        <v>63</v>
      </c>
      <c r="J6344" t="s" s="11">
        <v>20</v>
      </c>
      <c r="K6344" s="15"/>
      <c r="L6344" t="s" s="16">
        <f>HYPERLINK("http://csr.bu.edu/ftp/asl/asllvd/demos/verify_start_end_handshape_annotations//test_auto_move//signs_mov_separ_signers/Naomi_5241.mov","MOV")</f>
        <v>21</v>
      </c>
      <c r="M6344" t="s" s="10">
        <v>29</v>
      </c>
      <c r="N6344" s="17">
        <v>5</v>
      </c>
      <c r="O6344" s="18">
        <v>1810</v>
      </c>
      <c r="P6344" s="18">
        <v>1841</v>
      </c>
      <c r="Q6344" s="15"/>
      <c r="R6344" t="s" s="16">
        <f>HYPERLINK("http://secrets.rutgers.edu:8080/data/asl-ftp/asllvd/demos/verify_start_end_handshape_annotations//test_auto_move//signs_mov_separ_signers/Naomi_5241.mov","MOV")</f>
        <v>21</v>
      </c>
    </row>
    <row r="6345" s="2" customFormat="1" ht="13.5" customHeight="1">
      <c r="B6345" t="s" s="8">
        <v>52</v>
      </c>
      <c r="C6345" t="s" s="9">
        <v>53</v>
      </c>
      <c r="D6345" t="s" s="8">
        <v>53</v>
      </c>
      <c r="E6345" t="s" s="9">
        <v>53</v>
      </c>
      <c r="F6345" t="s" s="10">
        <v>53</v>
      </c>
      <c r="G6345" t="s" s="11">
        <v>53</v>
      </c>
      <c r="H6345" t="s" s="10">
        <v>53</v>
      </c>
      <c r="I6345" t="s" s="11">
        <v>53</v>
      </c>
      <c r="J6345" t="s" s="11">
        <v>53</v>
      </c>
      <c r="K6345" t="s" s="12">
        <v>53</v>
      </c>
      <c r="L6345" t="s" s="12">
        <v>53</v>
      </c>
      <c r="M6345" t="s" s="10">
        <v>53</v>
      </c>
      <c r="N6345" t="s" s="11">
        <v>53</v>
      </c>
      <c r="O6345" t="s" s="8">
        <v>53</v>
      </c>
      <c r="P6345" t="s" s="8">
        <v>53</v>
      </c>
      <c r="Q6345" t="s" s="12">
        <v>53</v>
      </c>
      <c r="R6345" t="s" s="12">
        <v>53</v>
      </c>
    </row>
    <row r="6346" s="2" customFormat="1" ht="13.5" customHeight="1">
      <c r="B6346" s="13"/>
      <c r="C6346" t="s" s="9">
        <v>23</v>
      </c>
      <c r="D6346" t="s" s="8">
        <v>2169</v>
      </c>
      <c r="E6346" t="s" s="9">
        <v>2171</v>
      </c>
      <c r="F6346" t="s" s="10">
        <v>63</v>
      </c>
      <c r="G6346" t="s" s="11">
        <v>63</v>
      </c>
      <c r="H6346" t="s" s="10">
        <v>63</v>
      </c>
      <c r="I6346" t="s" s="11">
        <v>63</v>
      </c>
      <c r="J6346" t="s" s="11">
        <v>20</v>
      </c>
      <c r="K6346" t="s" s="16">
        <f>HYPERLINK("http://csr.bu.edu/ftp/asl/asllvd/demos/verify_start_end_handshape_annotations//test_auto_move//signs_mov/16562.mov","MOV")</f>
        <v>21</v>
      </c>
      <c r="L6346" t="s" s="16">
        <f>HYPERLINK("http://csr.bu.edu/ftp/asl/asllvd/demos/verify_start_end_handshape_annotations//test_auto_move//signs_mov_separ_signers/Tyler_16562.mov","MOV")</f>
        <v>21</v>
      </c>
      <c r="M6346" t="s" s="10">
        <v>26</v>
      </c>
      <c r="N6346" s="17">
        <v>6</v>
      </c>
      <c r="O6346" s="18">
        <v>5385</v>
      </c>
      <c r="P6346" s="18">
        <v>5420</v>
      </c>
      <c r="Q6346" t="s" s="16">
        <f>HYPERLINK("http://secrets.rutgers.edu:8080/data/asl-ftp/asllvd/demos/verify_start_end_handshape_annotations//test_auto_move//signs_mov/16562.mov","MOV")</f>
        <v>21</v>
      </c>
      <c r="R6346" t="s" s="16">
        <f>HYPERLINK("http://secrets.rutgers.edu:8080/data/asl-ftp/asllvd/demos/verify_start_end_handshape_annotations//test_auto_move//signs_mov_separ_signers/Tyler_16562.mov","MOV")</f>
        <v>21</v>
      </c>
    </row>
    <row r="6347" s="2" customFormat="1" ht="13.5" customHeight="1">
      <c r="B6347" t="s" s="8">
        <v>2172</v>
      </c>
      <c r="C6347" t="s" s="9">
        <v>14</v>
      </c>
      <c r="D6347" t="s" s="8">
        <v>14</v>
      </c>
      <c r="E6347" t="s" s="9">
        <v>14</v>
      </c>
      <c r="F6347" t="s" s="10">
        <v>14</v>
      </c>
      <c r="G6347" t="s" s="11">
        <v>14</v>
      </c>
      <c r="H6347" t="s" s="10">
        <v>14</v>
      </c>
      <c r="I6347" t="s" s="11">
        <v>14</v>
      </c>
      <c r="J6347" t="s" s="11">
        <v>14</v>
      </c>
      <c r="K6347" t="s" s="12">
        <v>14</v>
      </c>
      <c r="L6347" t="s" s="12">
        <v>14</v>
      </c>
      <c r="M6347" t="s" s="10">
        <v>14</v>
      </c>
      <c r="N6347" t="s" s="11">
        <v>14</v>
      </c>
      <c r="O6347" t="s" s="8">
        <v>14</v>
      </c>
      <c r="P6347" t="s" s="8">
        <v>14</v>
      </c>
      <c r="Q6347" t="s" s="12">
        <v>14</v>
      </c>
      <c r="R6347" t="s" s="12">
        <v>14</v>
      </c>
    </row>
    <row r="6348" s="2" customFormat="1" ht="13.5" customHeight="1">
      <c r="B6348" s="13"/>
      <c r="C6348" t="s" s="9">
        <v>16</v>
      </c>
      <c r="D6348" t="s" s="8">
        <v>2172</v>
      </c>
      <c r="E6348" t="s" s="9">
        <v>2172</v>
      </c>
      <c r="F6348" t="s" s="10">
        <v>150</v>
      </c>
      <c r="G6348" t="s" s="11">
        <v>150</v>
      </c>
      <c r="H6348" t="s" s="10">
        <v>150</v>
      </c>
      <c r="I6348" t="s" s="11">
        <v>150</v>
      </c>
      <c r="J6348" t="s" s="11">
        <v>20</v>
      </c>
      <c r="K6348" s="15"/>
      <c r="L6348" t="s" s="16">
        <f>HYPERLINK("http://csr.bu.edu/ftp/asl/asllvd/demos/verify_start_end_handshape_annotations//test_auto_move//signs_mov_separ_signers/Liz_1402.mov","MOV")</f>
        <v>21</v>
      </c>
      <c r="M6348" t="s" s="10">
        <v>34</v>
      </c>
      <c r="N6348" s="17">
        <v>49</v>
      </c>
      <c r="O6348" s="18">
        <v>986</v>
      </c>
      <c r="P6348" s="18">
        <v>1027</v>
      </c>
      <c r="Q6348" s="15"/>
      <c r="R6348" t="s" s="16">
        <f>HYPERLINK("http://secrets.rutgers.edu:8080/data/asl-ftp/asllvd/demos/verify_start_end_handshape_annotations//test_auto_move//signs_mov_separ_signers/Liz_1402.mov","MOV")</f>
        <v>21</v>
      </c>
    </row>
    <row r="6349" s="2" customFormat="1" ht="13.5" customHeight="1">
      <c r="B6349" s="13"/>
      <c r="C6349" t="s" s="9">
        <v>23</v>
      </c>
      <c r="D6349" t="s" s="8">
        <v>2172</v>
      </c>
      <c r="E6349" t="s" s="9">
        <v>2172</v>
      </c>
      <c r="F6349" t="s" s="10">
        <v>73</v>
      </c>
      <c r="G6349" t="s" s="11">
        <v>73</v>
      </c>
      <c r="H6349" t="s" s="10">
        <v>73</v>
      </c>
      <c r="I6349" t="s" s="11">
        <v>73</v>
      </c>
      <c r="J6349" t="s" s="11">
        <v>20</v>
      </c>
      <c r="K6349" t="s" s="16">
        <f>HYPERLINK("http://csr.bu.edu/ftp/asl/asllvd/demos/verify_start_end_handshape_annotations//test_auto_move//signs_mov/1402.mov","MOV")</f>
        <v>21</v>
      </c>
      <c r="L6349" t="s" s="16">
        <f>HYPERLINK("http://csr.bu.edu/ftp/asl/asllvd/demos/verify_start_end_handshape_annotations//test_auto_move//signs_mov_separ_signers/Tyler_1402.mov","MOV")</f>
        <v>21</v>
      </c>
      <c r="M6349" t="s" s="10">
        <v>47</v>
      </c>
      <c r="N6349" s="17">
        <v>1</v>
      </c>
      <c r="O6349" s="18">
        <v>352</v>
      </c>
      <c r="P6349" s="18">
        <v>385</v>
      </c>
      <c r="Q6349" t="s" s="16">
        <f>HYPERLINK("http://secrets.rutgers.edu:8080/data/asl-ftp/asllvd/demos/verify_start_end_handshape_annotations//test_auto_move//signs_mov/1402.mov","MOV")</f>
        <v>21</v>
      </c>
      <c r="R6349" t="s" s="16">
        <f>HYPERLINK("http://secrets.rutgers.edu:8080/data/asl-ftp/asllvd/demos/verify_start_end_handshape_annotations//test_auto_move//signs_mov_separ_signers/Tyler_1402.mov","MOV")</f>
        <v>21</v>
      </c>
    </row>
    <row r="6350" s="2" customFormat="1" ht="13.5" customHeight="1">
      <c r="B6350" s="13"/>
      <c r="C6350" t="s" s="9">
        <v>27</v>
      </c>
      <c r="D6350" t="s" s="8">
        <v>2172</v>
      </c>
      <c r="E6350" t="s" s="9">
        <v>2172</v>
      </c>
      <c r="F6350" t="s" s="10">
        <v>150</v>
      </c>
      <c r="G6350" t="s" s="11">
        <v>150</v>
      </c>
      <c r="H6350" t="s" s="10">
        <v>150</v>
      </c>
      <c r="I6350" t="s" s="11">
        <v>150</v>
      </c>
      <c r="J6350" t="s" s="11">
        <v>20</v>
      </c>
      <c r="K6350" s="15"/>
      <c r="L6350" t="s" s="16">
        <f>HYPERLINK("http://csr.bu.edu/ftp/asl/asllvd/demos/verify_start_end_handshape_annotations//test_auto_move//signs_mov_separ_signers/Naomi_1402.mov","MOV")</f>
        <v>21</v>
      </c>
      <c r="M6350" t="s" s="10">
        <v>48</v>
      </c>
      <c r="N6350" s="17">
        <v>4</v>
      </c>
      <c r="O6350" s="18">
        <v>1410</v>
      </c>
      <c r="P6350" s="18">
        <v>1432</v>
      </c>
      <c r="Q6350" s="15"/>
      <c r="R6350" t="s" s="16">
        <f>HYPERLINK("http://secrets.rutgers.edu:8080/data/asl-ftp/asllvd/demos/verify_start_end_handshape_annotations//test_auto_move//signs_mov_separ_signers/Naomi_1402.mov","MOV")</f>
        <v>21</v>
      </c>
    </row>
    <row r="6351" s="2" customFormat="1" ht="13.5" customHeight="1">
      <c r="B6351" t="s" s="8">
        <v>2173</v>
      </c>
      <c r="C6351" t="s" s="9">
        <v>14</v>
      </c>
      <c r="D6351" t="s" s="8">
        <v>14</v>
      </c>
      <c r="E6351" t="s" s="9">
        <v>14</v>
      </c>
      <c r="F6351" t="s" s="10">
        <v>14</v>
      </c>
      <c r="G6351" t="s" s="11">
        <v>14</v>
      </c>
      <c r="H6351" t="s" s="10">
        <v>14</v>
      </c>
      <c r="I6351" t="s" s="11">
        <v>14</v>
      </c>
      <c r="J6351" t="s" s="11">
        <v>14</v>
      </c>
      <c r="K6351" t="s" s="12">
        <v>14</v>
      </c>
      <c r="L6351" t="s" s="12">
        <v>14</v>
      </c>
      <c r="M6351" t="s" s="10">
        <v>14</v>
      </c>
      <c r="N6351" t="s" s="11">
        <v>14</v>
      </c>
      <c r="O6351" t="s" s="8">
        <v>14</v>
      </c>
      <c r="P6351" t="s" s="8">
        <v>14</v>
      </c>
      <c r="Q6351" t="s" s="12">
        <v>14</v>
      </c>
      <c r="R6351" t="s" s="12">
        <v>14</v>
      </c>
    </row>
    <row r="6352" s="2" customFormat="1" ht="13.5" customHeight="1">
      <c r="B6352" s="13"/>
      <c r="C6352" t="s" s="9">
        <v>16</v>
      </c>
      <c r="D6352" t="s" s="8">
        <v>2173</v>
      </c>
      <c r="E6352" t="s" s="9">
        <v>2173</v>
      </c>
      <c r="F6352" t="s" s="10">
        <v>150</v>
      </c>
      <c r="G6352" t="s" s="11">
        <v>150</v>
      </c>
      <c r="H6352" t="s" s="10">
        <v>150</v>
      </c>
      <c r="I6352" t="s" s="11">
        <v>150</v>
      </c>
      <c r="J6352" t="s" s="11">
        <v>20</v>
      </c>
      <c r="K6352" s="15"/>
      <c r="L6352" t="s" s="16">
        <f>HYPERLINK("http://csr.bu.edu/ftp/asl/asllvd/demos/verify_start_end_handshape_annotations//test_auto_move//signs_mov_separ_signers/Liz_15426.mov","MOV")</f>
        <v>21</v>
      </c>
      <c r="M6352" t="s" s="10">
        <v>34</v>
      </c>
      <c r="N6352" s="17">
        <v>20</v>
      </c>
      <c r="O6352" s="18">
        <v>2430</v>
      </c>
      <c r="P6352" s="18">
        <v>2495</v>
      </c>
      <c r="Q6352" s="15"/>
      <c r="R6352" t="s" s="16">
        <f>HYPERLINK("http://secrets.rutgers.edu:8080/data/asl-ftp/asllvd/demos/verify_start_end_handshape_annotations//test_auto_move//signs_mov_separ_signers/Liz_15426.mov","MOV")</f>
        <v>21</v>
      </c>
    </row>
    <row r="6353" s="2" customFormat="1" ht="13.5" customHeight="1">
      <c r="B6353" s="13"/>
      <c r="C6353" t="s" s="9">
        <v>23</v>
      </c>
      <c r="D6353" t="s" s="8">
        <v>2173</v>
      </c>
      <c r="E6353" t="s" s="9">
        <v>2173</v>
      </c>
      <c r="F6353" t="s" s="10">
        <v>72</v>
      </c>
      <c r="G6353" t="s" s="11">
        <v>72</v>
      </c>
      <c r="H6353" t="s" s="10">
        <v>72</v>
      </c>
      <c r="I6353" t="s" s="11">
        <v>72</v>
      </c>
      <c r="J6353" t="s" s="11">
        <v>20</v>
      </c>
      <c r="K6353" s="15"/>
      <c r="L6353" t="s" s="16">
        <f>HYPERLINK("http://csr.bu.edu/ftp/asl/asllvd/demos/verify_start_end_handshape_annotations//test_auto_move//signs_mov_separ_signers/Tyler_15426.mov","MOV")</f>
        <v>21</v>
      </c>
      <c r="M6353" t="s" s="10">
        <v>92</v>
      </c>
      <c r="N6353" s="17">
        <v>48</v>
      </c>
      <c r="O6353" s="18">
        <v>2072</v>
      </c>
      <c r="P6353" s="18">
        <v>2095</v>
      </c>
      <c r="Q6353" s="15"/>
      <c r="R6353" t="s" s="16">
        <f>HYPERLINK("http://secrets.rutgers.edu:8080/data/asl-ftp/asllvd/demos/verify_start_end_handshape_annotations//test_auto_move//signs_mov_separ_signers/Tyler_15426.mov","MOV")</f>
        <v>21</v>
      </c>
    </row>
    <row r="6354" s="2" customFormat="1" ht="13.5" customHeight="1">
      <c r="B6354" s="13"/>
      <c r="C6354" t="s" s="9">
        <v>27</v>
      </c>
      <c r="D6354" t="s" s="8">
        <v>2173</v>
      </c>
      <c r="E6354" t="s" s="9">
        <v>2173</v>
      </c>
      <c r="F6354" t="s" s="10">
        <v>150</v>
      </c>
      <c r="G6354" t="s" s="11">
        <v>150</v>
      </c>
      <c r="H6354" t="s" s="10">
        <v>150</v>
      </c>
      <c r="I6354" t="s" s="11">
        <v>150</v>
      </c>
      <c r="J6354" t="s" s="11">
        <v>20</v>
      </c>
      <c r="K6354" t="s" s="16">
        <f>HYPERLINK("http://csr.bu.edu/ftp/asl/asllvd/demos/verify_start_end_handshape_annotations//test_auto_move//signs_mov/15426.mov","MOV")</f>
        <v>21</v>
      </c>
      <c r="L6354" t="s" s="16">
        <f>HYPERLINK("http://csr.bu.edu/ftp/asl/asllvd/demos/verify_start_end_handshape_annotations//test_auto_move//signs_mov_separ_signers/Naomi_15426.mov","MOV")</f>
        <v>21</v>
      </c>
      <c r="M6354" t="s" s="10">
        <v>38</v>
      </c>
      <c r="N6354" s="17">
        <v>16</v>
      </c>
      <c r="O6354" s="18">
        <v>4905</v>
      </c>
      <c r="P6354" s="18">
        <v>4940</v>
      </c>
      <c r="Q6354" t="s" s="16">
        <f>HYPERLINK("http://secrets.rutgers.edu:8080/data/asl-ftp/asllvd/demos/verify_start_end_handshape_annotations//test_auto_move//signs_mov/15426.mov","MOV")</f>
        <v>21</v>
      </c>
      <c r="R6354" t="s" s="16">
        <f>HYPERLINK("http://secrets.rutgers.edu:8080/data/asl-ftp/asllvd/demos/verify_start_end_handshape_annotations//test_auto_move//signs_mov_separ_signers/Naomi_15426.mov","MOV")</f>
        <v>21</v>
      </c>
    </row>
    <row r="6355" s="2" customFormat="1" ht="13.5" customHeight="1">
      <c r="B6355" s="13"/>
      <c r="C6355" t="s" s="9">
        <v>30</v>
      </c>
      <c r="D6355" t="s" s="8">
        <v>2173</v>
      </c>
      <c r="E6355" t="s" s="9">
        <v>2173</v>
      </c>
      <c r="F6355" t="s" s="10">
        <v>72</v>
      </c>
      <c r="G6355" t="s" s="11">
        <v>72</v>
      </c>
      <c r="H6355" t="s" s="10">
        <v>72</v>
      </c>
      <c r="I6355" t="s" s="11">
        <v>72</v>
      </c>
      <c r="J6355" t="s" s="11">
        <v>20</v>
      </c>
      <c r="K6355" s="15"/>
      <c r="L6355" t="s" s="16">
        <f>HYPERLINK("http://csr.bu.edu/ftp/asl/asllvd/demos/verify_start_end_handshape_annotations//test_auto_move//signs_mov_separ_signers/Brady_15426.mov","MOV")</f>
        <v>21</v>
      </c>
      <c r="M6355" t="s" s="10">
        <v>39</v>
      </c>
      <c r="N6355" s="17">
        <v>33</v>
      </c>
      <c r="O6355" s="18">
        <v>2122</v>
      </c>
      <c r="P6355" s="18">
        <v>2140</v>
      </c>
      <c r="Q6355" s="15"/>
      <c r="R6355" t="s" s="16">
        <f>HYPERLINK("http://secrets.rutgers.edu:8080/data/asl-ftp/asllvd/demos/verify_start_end_handshape_annotations//test_auto_move//signs_mov_separ_signers/Brady_15426.mov","MOV")</f>
        <v>21</v>
      </c>
    </row>
    <row r="6356" s="2" customFormat="1" ht="13.5" customHeight="1">
      <c r="B6356" s="13"/>
      <c r="C6356" t="s" s="9">
        <v>41</v>
      </c>
      <c r="D6356" t="s" s="8">
        <v>2173</v>
      </c>
      <c r="E6356" t="s" s="9">
        <v>2173</v>
      </c>
      <c r="F6356" s="19">
        <v>5</v>
      </c>
      <c r="G6356" s="17">
        <v>5</v>
      </c>
      <c r="H6356" s="19">
        <v>5</v>
      </c>
      <c r="I6356" s="17">
        <v>5</v>
      </c>
      <c r="J6356" t="s" s="11">
        <v>20</v>
      </c>
      <c r="K6356" s="15"/>
      <c r="L6356" t="s" s="16">
        <f>HYPERLINK("http://csr.bu.edu/ftp/asl/asllvd/demos/verify_start_end_handshape_annotations//test_auto_move//signs_mov_separ_signers/Lana_15426.mov","MOV")</f>
        <v>21</v>
      </c>
      <c r="M6356" t="s" s="10">
        <v>42</v>
      </c>
      <c r="N6356" s="17">
        <v>12</v>
      </c>
      <c r="O6356" s="18">
        <v>2366</v>
      </c>
      <c r="P6356" s="18">
        <v>2381</v>
      </c>
      <c r="Q6356" s="15"/>
      <c r="R6356" t="s" s="16">
        <f>HYPERLINK("http://secrets.rutgers.edu:8080/data/asl-ftp/asllvd/demos/verify_start_end_handshape_annotations//test_auto_move//signs_mov_separ_signers/Lana_15426.mov","MOV")</f>
        <v>21</v>
      </c>
    </row>
    <row r="6357" s="2" customFormat="1" ht="13.5" customHeight="1">
      <c r="B6357" s="13"/>
      <c r="C6357" t="s" s="9">
        <v>43</v>
      </c>
      <c r="D6357" t="s" s="8">
        <v>2173</v>
      </c>
      <c r="E6357" t="s" s="9">
        <v>2173</v>
      </c>
      <c r="F6357" t="s" s="10">
        <v>72</v>
      </c>
      <c r="G6357" t="s" s="11">
        <v>72</v>
      </c>
      <c r="H6357" t="s" s="10">
        <v>72</v>
      </c>
      <c r="I6357" t="s" s="11">
        <v>72</v>
      </c>
      <c r="J6357" t="s" s="11">
        <v>20</v>
      </c>
      <c r="K6357" s="15"/>
      <c r="L6357" t="s" s="16">
        <f>HYPERLINK("http://csr.bu.edu/ftp/asl/asllvd/demos/verify_start_end_handshape_annotations//test_auto_move//signs_mov_separ_signers/Dana_15426.mov","MOV")</f>
        <v>21</v>
      </c>
      <c r="M6357" t="s" s="10">
        <v>44</v>
      </c>
      <c r="N6357" s="17">
        <v>16</v>
      </c>
      <c r="O6357" s="18">
        <v>2243</v>
      </c>
      <c r="P6357" s="18">
        <v>2313</v>
      </c>
      <c r="Q6357" s="15"/>
      <c r="R6357" t="s" s="16">
        <f>HYPERLINK("http://secrets.rutgers.edu:8080/data/asl-ftp/asllvd/demos/verify_start_end_handshape_annotations//test_auto_move//signs_mov_separ_signers/Dana_15426.mov","MOV")</f>
        <v>21</v>
      </c>
    </row>
    <row r="6358" s="2" customFormat="1" ht="13.5" customHeight="1">
      <c r="B6358" t="s" s="8">
        <v>2174</v>
      </c>
      <c r="C6358" t="s" s="9">
        <v>14</v>
      </c>
      <c r="D6358" t="s" s="8">
        <v>14</v>
      </c>
      <c r="E6358" t="s" s="9">
        <v>14</v>
      </c>
      <c r="F6358" t="s" s="10">
        <v>14</v>
      </c>
      <c r="G6358" t="s" s="11">
        <v>14</v>
      </c>
      <c r="H6358" t="s" s="10">
        <v>14</v>
      </c>
      <c r="I6358" t="s" s="11">
        <v>14</v>
      </c>
      <c r="J6358" t="s" s="11">
        <v>14</v>
      </c>
      <c r="K6358" t="s" s="12">
        <v>14</v>
      </c>
      <c r="L6358" t="s" s="12">
        <v>14</v>
      </c>
      <c r="M6358" t="s" s="10">
        <v>14</v>
      </c>
      <c r="N6358" t="s" s="11">
        <v>14</v>
      </c>
      <c r="O6358" t="s" s="8">
        <v>14</v>
      </c>
      <c r="P6358" t="s" s="8">
        <v>14</v>
      </c>
      <c r="Q6358" t="s" s="12">
        <v>14</v>
      </c>
      <c r="R6358" t="s" s="12">
        <v>14</v>
      </c>
    </row>
    <row r="6359" s="2" customFormat="1" ht="13.5" customHeight="1">
      <c r="B6359" s="13"/>
      <c r="C6359" t="s" s="9">
        <v>16</v>
      </c>
      <c r="D6359" t="s" s="8">
        <v>2174</v>
      </c>
      <c r="E6359" t="s" s="9">
        <v>2174</v>
      </c>
      <c r="F6359" t="s" s="10">
        <v>148</v>
      </c>
      <c r="G6359" t="s" s="11">
        <v>148</v>
      </c>
      <c r="H6359" t="s" s="10">
        <v>119</v>
      </c>
      <c r="I6359" t="s" s="11">
        <v>119</v>
      </c>
      <c r="J6359" t="s" s="11">
        <v>20</v>
      </c>
      <c r="K6359" s="15"/>
      <c r="L6359" t="s" s="16">
        <f>HYPERLINK("http://csr.bu.edu/ftp/asl/asllvd/demos/verify_start_end_handshape_annotations//test_auto_move//signs_mov_separ_signers/Liz_1403.mov","MOV")</f>
        <v>21</v>
      </c>
      <c r="M6359" t="s" s="10">
        <v>34</v>
      </c>
      <c r="N6359" s="17">
        <v>49</v>
      </c>
      <c r="O6359" s="18">
        <v>1195</v>
      </c>
      <c r="P6359" s="18">
        <v>1240</v>
      </c>
      <c r="Q6359" s="15"/>
      <c r="R6359" t="s" s="16">
        <f>HYPERLINK("http://secrets.rutgers.edu:8080/data/asl-ftp/asllvd/demos/verify_start_end_handshape_annotations//test_auto_move//signs_mov_separ_signers/Liz_1403.mov","MOV")</f>
        <v>21</v>
      </c>
    </row>
    <row r="6360" s="2" customFormat="1" ht="13.5" customHeight="1">
      <c r="B6360" s="13"/>
      <c r="C6360" t="s" s="9">
        <v>23</v>
      </c>
      <c r="D6360" t="s" s="8">
        <v>2174</v>
      </c>
      <c r="E6360" t="s" s="9">
        <v>2174</v>
      </c>
      <c r="F6360" t="s" s="10">
        <v>119</v>
      </c>
      <c r="G6360" t="s" s="11">
        <v>119</v>
      </c>
      <c r="H6360" t="s" s="10">
        <v>119</v>
      </c>
      <c r="I6360" t="s" s="11">
        <v>119</v>
      </c>
      <c r="J6360" t="s" s="11">
        <v>20</v>
      </c>
      <c r="K6360" t="s" s="16">
        <f>HYPERLINK("http://csr.bu.edu/ftp/asl/asllvd/demos/verify_start_end_handshape_annotations//test_auto_move//signs_mov/1403.mov","MOV")</f>
        <v>21</v>
      </c>
      <c r="L6360" t="s" s="16">
        <f>HYPERLINK("http://csr.bu.edu/ftp/asl/asllvd/demos/verify_start_end_handshape_annotations//test_auto_move//signs_mov_separ_signers/Tyler_1403.mov","MOV")</f>
        <v>21</v>
      </c>
      <c r="M6360" t="s" s="10">
        <v>47</v>
      </c>
      <c r="N6360" s="17">
        <v>1</v>
      </c>
      <c r="O6360" s="18">
        <v>620</v>
      </c>
      <c r="P6360" s="18">
        <v>661</v>
      </c>
      <c r="Q6360" t="s" s="16">
        <f>HYPERLINK("http://secrets.rutgers.edu:8080/data/asl-ftp/asllvd/demos/verify_start_end_handshape_annotations//test_auto_move//signs_mov/1403.mov","MOV")</f>
        <v>21</v>
      </c>
      <c r="R6360" t="s" s="16">
        <f>HYPERLINK("http://secrets.rutgers.edu:8080/data/asl-ftp/asllvd/demos/verify_start_end_handshape_annotations//test_auto_move//signs_mov_separ_signers/Tyler_1403.mov","MOV")</f>
        <v>21</v>
      </c>
    </row>
    <row r="6361" s="2" customFormat="1" ht="13.5" customHeight="1">
      <c r="B6361" s="13"/>
      <c r="C6361" t="s" s="9">
        <v>27</v>
      </c>
      <c r="D6361" t="s" s="8">
        <v>2174</v>
      </c>
      <c r="E6361" t="s" s="9">
        <v>2175</v>
      </c>
      <c r="F6361" t="s" s="10">
        <v>148</v>
      </c>
      <c r="G6361" t="s" s="11">
        <v>148</v>
      </c>
      <c r="H6361" t="s" s="10">
        <v>119</v>
      </c>
      <c r="I6361" t="s" s="11">
        <v>119</v>
      </c>
      <c r="J6361" t="s" s="11">
        <v>20</v>
      </c>
      <c r="K6361" s="15"/>
      <c r="L6361" t="s" s="16">
        <f>HYPERLINK("http://csr.bu.edu/ftp/asl/asllvd/demos/verify_start_end_handshape_annotations//test_auto_move//signs_mov_separ_signers/Naomi_1403.mov","MOV")</f>
        <v>21</v>
      </c>
      <c r="M6361" t="s" s="10">
        <v>48</v>
      </c>
      <c r="N6361" s="17">
        <v>4</v>
      </c>
      <c r="O6361" s="18">
        <v>1691</v>
      </c>
      <c r="P6361" s="18">
        <v>1750</v>
      </c>
      <c r="Q6361" s="15"/>
      <c r="R6361" t="s" s="16">
        <f>HYPERLINK("http://secrets.rutgers.edu:8080/data/asl-ftp/asllvd/demos/verify_start_end_handshape_annotations//test_auto_move//signs_mov_separ_signers/Naomi_1403.mov","MOV")</f>
        <v>21</v>
      </c>
    </row>
    <row r="6362" s="2" customFormat="1" ht="13.5" customHeight="1">
      <c r="B6362" t="s" s="8">
        <v>2176</v>
      </c>
      <c r="C6362" t="s" s="9">
        <v>14</v>
      </c>
      <c r="D6362" t="s" s="8">
        <v>14</v>
      </c>
      <c r="E6362" t="s" s="9">
        <v>14</v>
      </c>
      <c r="F6362" t="s" s="10">
        <v>14</v>
      </c>
      <c r="G6362" t="s" s="11">
        <v>14</v>
      </c>
      <c r="H6362" t="s" s="10">
        <v>14</v>
      </c>
      <c r="I6362" t="s" s="11">
        <v>14</v>
      </c>
      <c r="J6362" t="s" s="11">
        <v>14</v>
      </c>
      <c r="K6362" t="s" s="12">
        <v>14</v>
      </c>
      <c r="L6362" t="s" s="12">
        <v>14</v>
      </c>
      <c r="M6362" t="s" s="10">
        <v>14</v>
      </c>
      <c r="N6362" t="s" s="11">
        <v>14</v>
      </c>
      <c r="O6362" t="s" s="8">
        <v>14</v>
      </c>
      <c r="P6362" t="s" s="8">
        <v>14</v>
      </c>
      <c r="Q6362" t="s" s="12">
        <v>14</v>
      </c>
      <c r="R6362" t="s" s="12">
        <v>14</v>
      </c>
    </row>
    <row r="6363" s="2" customFormat="1" ht="13.5" customHeight="1">
      <c r="B6363" s="13"/>
      <c r="C6363" t="s" s="9">
        <v>16</v>
      </c>
      <c r="D6363" t="s" s="8">
        <v>2176</v>
      </c>
      <c r="E6363" t="s" s="9">
        <v>2177</v>
      </c>
      <c r="F6363" t="s" s="10">
        <v>277</v>
      </c>
      <c r="G6363" s="14"/>
      <c r="H6363" t="s" s="10">
        <v>430</v>
      </c>
      <c r="I6363" s="14"/>
      <c r="J6363" t="s" s="11">
        <v>20</v>
      </c>
      <c r="K6363" s="15"/>
      <c r="L6363" t="s" s="16">
        <f>HYPERLINK("http://csr.bu.edu/ftp/asl/asllvd/demos/verify_start_end_handshape_annotations//test_auto_move//signs_mov_separ_signers/Liz_1404.mov","MOV")</f>
        <v>21</v>
      </c>
      <c r="M6363" t="s" s="10">
        <v>34</v>
      </c>
      <c r="N6363" s="17">
        <v>49</v>
      </c>
      <c r="O6363" s="18">
        <v>1440</v>
      </c>
      <c r="P6363" s="18">
        <v>1480</v>
      </c>
      <c r="Q6363" s="15"/>
      <c r="R6363" t="s" s="16">
        <f>HYPERLINK("http://secrets.rutgers.edu:8080/data/asl-ftp/asllvd/demos/verify_start_end_handshape_annotations//test_auto_move//signs_mov_separ_signers/Liz_1404.mov","MOV")</f>
        <v>21</v>
      </c>
    </row>
    <row r="6364" s="2" customFormat="1" ht="13.5" customHeight="1">
      <c r="B6364" s="13"/>
      <c r="C6364" t="s" s="9">
        <v>23</v>
      </c>
      <c r="D6364" t="s" s="8">
        <v>2176</v>
      </c>
      <c r="E6364" t="s" s="9">
        <v>2177</v>
      </c>
      <c r="F6364" t="s" s="10">
        <v>277</v>
      </c>
      <c r="G6364" s="14"/>
      <c r="H6364" s="19">
        <v>5</v>
      </c>
      <c r="I6364" s="14"/>
      <c r="J6364" t="s" s="11">
        <v>20</v>
      </c>
      <c r="K6364" t="s" s="16">
        <f>HYPERLINK("http://csr.bu.edu/ftp/asl/asllvd/demos/verify_start_end_handshape_annotations//test_auto_move//signs_mov/1404.mov","MOV")</f>
        <v>21</v>
      </c>
      <c r="L6364" t="s" s="16">
        <f>HYPERLINK("http://csr.bu.edu/ftp/asl/asllvd/demos/verify_start_end_handshape_annotations//test_auto_move//signs_mov_separ_signers/Tyler_1404.mov","MOV")</f>
        <v>21</v>
      </c>
      <c r="M6364" t="s" s="10">
        <v>47</v>
      </c>
      <c r="N6364" s="17">
        <v>1</v>
      </c>
      <c r="O6364" s="18">
        <v>835</v>
      </c>
      <c r="P6364" s="18">
        <v>890</v>
      </c>
      <c r="Q6364" t="s" s="16">
        <f>HYPERLINK("http://secrets.rutgers.edu:8080/data/asl-ftp/asllvd/demos/verify_start_end_handshape_annotations//test_auto_move//signs_mov/1404.mov","MOV")</f>
        <v>21</v>
      </c>
      <c r="R6364" t="s" s="16">
        <f>HYPERLINK("http://secrets.rutgers.edu:8080/data/asl-ftp/asllvd/demos/verify_start_end_handshape_annotations//test_auto_move//signs_mov_separ_signers/Tyler_1404.mov","MOV")</f>
        <v>21</v>
      </c>
    </row>
    <row r="6365" s="2" customFormat="1" ht="13.5" customHeight="1">
      <c r="B6365" s="13"/>
      <c r="C6365" t="s" s="9">
        <v>27</v>
      </c>
      <c r="D6365" t="s" s="8">
        <v>2176</v>
      </c>
      <c r="E6365" t="s" s="9">
        <v>2177</v>
      </c>
      <c r="F6365" t="s" s="10">
        <v>277</v>
      </c>
      <c r="G6365" s="14"/>
      <c r="H6365" t="s" s="10">
        <v>430</v>
      </c>
      <c r="I6365" s="14"/>
      <c r="J6365" t="s" s="11">
        <v>20</v>
      </c>
      <c r="K6365" s="15"/>
      <c r="L6365" t="s" s="16">
        <f>HYPERLINK("http://csr.bu.edu/ftp/asl/asllvd/demos/verify_start_end_handshape_annotations//test_auto_move//signs_mov_separ_signers/Naomi_1404.mov","MOV")</f>
        <v>21</v>
      </c>
      <c r="M6365" t="s" s="10">
        <v>48</v>
      </c>
      <c r="N6365" s="17">
        <v>4</v>
      </c>
      <c r="O6365" s="18">
        <v>1951</v>
      </c>
      <c r="P6365" s="18">
        <v>1986</v>
      </c>
      <c r="Q6365" s="15"/>
      <c r="R6365" t="s" s="16">
        <f>HYPERLINK("http://secrets.rutgers.edu:8080/data/asl-ftp/asllvd/demos/verify_start_end_handshape_annotations//test_auto_move//signs_mov_separ_signers/Naomi_1404.mov","MOV")</f>
        <v>21</v>
      </c>
    </row>
    <row r="6366" s="2" customFormat="1" ht="13.5" customHeight="1">
      <c r="B6366" t="s" s="8">
        <v>2178</v>
      </c>
      <c r="C6366" t="s" s="9">
        <v>14</v>
      </c>
      <c r="D6366" t="s" s="8">
        <v>14</v>
      </c>
      <c r="E6366" t="s" s="9">
        <v>14</v>
      </c>
      <c r="F6366" t="s" s="10">
        <v>14</v>
      </c>
      <c r="G6366" t="s" s="11">
        <v>14</v>
      </c>
      <c r="H6366" t="s" s="10">
        <v>14</v>
      </c>
      <c r="I6366" t="s" s="11">
        <v>14</v>
      </c>
      <c r="J6366" t="s" s="11">
        <v>14</v>
      </c>
      <c r="K6366" t="s" s="12">
        <v>14</v>
      </c>
      <c r="L6366" t="s" s="12">
        <v>14</v>
      </c>
      <c r="M6366" t="s" s="10">
        <v>14</v>
      </c>
      <c r="N6366" t="s" s="11">
        <v>14</v>
      </c>
      <c r="O6366" t="s" s="8">
        <v>14</v>
      </c>
      <c r="P6366" t="s" s="8">
        <v>14</v>
      </c>
      <c r="Q6366" t="s" s="12">
        <v>14</v>
      </c>
      <c r="R6366" t="s" s="12">
        <v>14</v>
      </c>
    </row>
    <row r="6367" s="2" customFormat="1" ht="13.5" customHeight="1">
      <c r="B6367" s="13"/>
      <c r="C6367" t="s" s="9">
        <v>16</v>
      </c>
      <c r="D6367" t="s" s="8">
        <v>2178</v>
      </c>
      <c r="E6367" t="s" s="9">
        <v>2178</v>
      </c>
      <c r="F6367" t="s" s="10">
        <v>158</v>
      </c>
      <c r="G6367" t="s" s="11">
        <v>158</v>
      </c>
      <c r="H6367" s="19">
        <v>5</v>
      </c>
      <c r="I6367" s="17">
        <v>5</v>
      </c>
      <c r="J6367" t="s" s="11">
        <v>20</v>
      </c>
      <c r="K6367" s="15"/>
      <c r="L6367" t="s" s="16">
        <f>HYPERLINK("http://csr.bu.edu/ftp/asl/asllvd/demos/verify_start_end_handshape_annotations//test_auto_move//signs_mov_separ_signers/Liz_1405.mov","MOV")</f>
        <v>21</v>
      </c>
      <c r="M6367" t="s" s="10">
        <v>34</v>
      </c>
      <c r="N6367" s="17">
        <v>49</v>
      </c>
      <c r="O6367" s="18">
        <v>1715</v>
      </c>
      <c r="P6367" s="18">
        <v>1750</v>
      </c>
      <c r="Q6367" s="15"/>
      <c r="R6367" t="s" s="16">
        <f>HYPERLINK("http://secrets.rutgers.edu:8080/data/asl-ftp/asllvd/demos/verify_start_end_handshape_annotations//test_auto_move//signs_mov_separ_signers/Liz_1405.mov","MOV")</f>
        <v>21</v>
      </c>
    </row>
    <row r="6368" s="2" customFormat="1" ht="13.5" customHeight="1">
      <c r="B6368" s="13"/>
      <c r="C6368" t="s" s="9">
        <v>23</v>
      </c>
      <c r="D6368" t="s" s="8">
        <v>2178</v>
      </c>
      <c r="E6368" t="s" s="9">
        <v>2178</v>
      </c>
      <c r="F6368" t="s" s="10">
        <v>119</v>
      </c>
      <c r="G6368" t="s" s="11">
        <v>119</v>
      </c>
      <c r="H6368" s="19">
        <v>5</v>
      </c>
      <c r="I6368" s="17">
        <v>5</v>
      </c>
      <c r="J6368" t="s" s="11">
        <v>20</v>
      </c>
      <c r="K6368" t="s" s="16">
        <f>HYPERLINK("http://csr.bu.edu/ftp/asl/asllvd/demos/verify_start_end_handshape_annotations//test_auto_move//signs_mov/1405.mov","MOV")</f>
        <v>21</v>
      </c>
      <c r="L6368" t="s" s="16">
        <f>HYPERLINK("http://csr.bu.edu/ftp/asl/asllvd/demos/verify_start_end_handshape_annotations//test_auto_move//signs_mov_separ_signers/Tyler_1405.mov","MOV")</f>
        <v>21</v>
      </c>
      <c r="M6368" t="s" s="10">
        <v>47</v>
      </c>
      <c r="N6368" s="17">
        <v>1</v>
      </c>
      <c r="O6368" s="18">
        <v>1088</v>
      </c>
      <c r="P6368" s="18">
        <v>1117</v>
      </c>
      <c r="Q6368" t="s" s="16">
        <f>HYPERLINK("http://secrets.rutgers.edu:8080/data/asl-ftp/asllvd/demos/verify_start_end_handshape_annotations//test_auto_move//signs_mov/1405.mov","MOV")</f>
        <v>21</v>
      </c>
      <c r="R6368" t="s" s="16">
        <f>HYPERLINK("http://secrets.rutgers.edu:8080/data/asl-ftp/asllvd/demos/verify_start_end_handshape_annotations//test_auto_move//signs_mov_separ_signers/Tyler_1405.mov","MOV")</f>
        <v>21</v>
      </c>
    </row>
    <row r="6369" s="2" customFormat="1" ht="13.5" customHeight="1">
      <c r="B6369" s="13"/>
      <c r="C6369" t="s" s="9">
        <v>27</v>
      </c>
      <c r="D6369" t="s" s="8">
        <v>2178</v>
      </c>
      <c r="E6369" t="s" s="9">
        <v>2178</v>
      </c>
      <c r="F6369" t="s" s="10">
        <v>158</v>
      </c>
      <c r="G6369" t="s" s="11">
        <v>158</v>
      </c>
      <c r="H6369" s="19">
        <v>5</v>
      </c>
      <c r="I6369" s="17">
        <v>5</v>
      </c>
      <c r="J6369" t="s" s="11">
        <v>20</v>
      </c>
      <c r="K6369" s="15"/>
      <c r="L6369" t="s" s="16">
        <f>HYPERLINK("http://csr.bu.edu/ftp/asl/asllvd/demos/verify_start_end_handshape_annotations//test_auto_move//signs_mov_separ_signers/Naomi_1405.mov","MOV")</f>
        <v>21</v>
      </c>
      <c r="M6369" t="s" s="10">
        <v>48</v>
      </c>
      <c r="N6369" s="17">
        <v>4</v>
      </c>
      <c r="O6369" s="18">
        <v>2211</v>
      </c>
      <c r="P6369" s="18">
        <v>2247</v>
      </c>
      <c r="Q6369" s="15"/>
      <c r="R6369" t="s" s="16">
        <f>HYPERLINK("http://secrets.rutgers.edu:8080/data/asl-ftp/asllvd/demos/verify_start_end_handshape_annotations//test_auto_move//signs_mov_separ_signers/Naomi_1405.mov","MOV")</f>
        <v>21</v>
      </c>
    </row>
    <row r="6370" s="2" customFormat="1" ht="13.5" customHeight="1">
      <c r="B6370" t="s" s="8">
        <v>2179</v>
      </c>
      <c r="C6370" t="s" s="9">
        <v>14</v>
      </c>
      <c r="D6370" t="s" s="8">
        <v>14</v>
      </c>
      <c r="E6370" t="s" s="9">
        <v>14</v>
      </c>
      <c r="F6370" t="s" s="10">
        <v>14</v>
      </c>
      <c r="G6370" t="s" s="11">
        <v>14</v>
      </c>
      <c r="H6370" t="s" s="10">
        <v>14</v>
      </c>
      <c r="I6370" t="s" s="11">
        <v>14</v>
      </c>
      <c r="J6370" t="s" s="11">
        <v>14</v>
      </c>
      <c r="K6370" t="s" s="12">
        <v>14</v>
      </c>
      <c r="L6370" t="s" s="12">
        <v>14</v>
      </c>
      <c r="M6370" t="s" s="10">
        <v>14</v>
      </c>
      <c r="N6370" t="s" s="11">
        <v>14</v>
      </c>
      <c r="O6370" t="s" s="8">
        <v>14</v>
      </c>
      <c r="P6370" t="s" s="8">
        <v>14</v>
      </c>
      <c r="Q6370" t="s" s="12">
        <v>14</v>
      </c>
      <c r="R6370" t="s" s="12">
        <v>14</v>
      </c>
    </row>
    <row r="6371" s="2" customFormat="1" ht="13.5" customHeight="1">
      <c r="B6371" s="13"/>
      <c r="C6371" t="s" s="9">
        <v>16</v>
      </c>
      <c r="D6371" t="s" s="8">
        <v>2179</v>
      </c>
      <c r="E6371" t="s" s="9">
        <v>2179</v>
      </c>
      <c r="F6371" t="s" s="10">
        <v>119</v>
      </c>
      <c r="G6371" s="17">
        <v>1</v>
      </c>
      <c r="H6371" s="19">
        <v>4</v>
      </c>
      <c r="I6371" s="17">
        <v>1</v>
      </c>
      <c r="J6371" t="s" s="11">
        <v>136</v>
      </c>
      <c r="K6371" s="15"/>
      <c r="L6371" t="s" s="16">
        <f>HYPERLINK("http://csr.bu.edu/ftp/asl/asllvd/demos/verify_start_end_handshape_annotations//test_auto_move//signs_mov_separ_signers/Liz_1406.mov","MOV")</f>
        <v>21</v>
      </c>
      <c r="M6371" t="s" s="10">
        <v>34</v>
      </c>
      <c r="N6371" s="17">
        <v>49</v>
      </c>
      <c r="O6371" s="18">
        <v>1990</v>
      </c>
      <c r="P6371" s="18">
        <v>2040</v>
      </c>
      <c r="Q6371" s="15"/>
      <c r="R6371" t="s" s="16">
        <f>HYPERLINK("http://secrets.rutgers.edu:8080/data/asl-ftp/asllvd/demos/verify_start_end_handshape_annotations//test_auto_move//signs_mov_separ_signers/Liz_1406.mov","MOV")</f>
        <v>21</v>
      </c>
    </row>
    <row r="6372" s="2" customFormat="1" ht="13.5" customHeight="1">
      <c r="B6372" s="13"/>
      <c r="C6372" t="s" s="9">
        <v>23</v>
      </c>
      <c r="D6372" t="s" s="8">
        <v>2179</v>
      </c>
      <c r="E6372" t="s" s="9">
        <v>2180</v>
      </c>
      <c r="F6372" t="s" s="10">
        <v>119</v>
      </c>
      <c r="G6372" s="17">
        <v>1</v>
      </c>
      <c r="H6372" t="s" s="10">
        <v>1352</v>
      </c>
      <c r="I6372" s="17">
        <v>1</v>
      </c>
      <c r="J6372" t="s" s="11">
        <v>136</v>
      </c>
      <c r="K6372" t="s" s="16">
        <f>HYPERLINK("http://csr.bu.edu/ftp/asl/asllvd/demos/verify_start_end_handshape_annotations//test_auto_move//signs_mov/1406.mov","MOV")</f>
        <v>21</v>
      </c>
      <c r="L6372" t="s" s="16">
        <f>HYPERLINK("http://csr.bu.edu/ftp/asl/asllvd/demos/verify_start_end_handshape_annotations//test_auto_move//signs_mov_separ_signers/Tyler_1406.mov","MOV")</f>
        <v>21</v>
      </c>
      <c r="M6372" t="s" s="10">
        <v>47</v>
      </c>
      <c r="N6372" s="17">
        <v>1</v>
      </c>
      <c r="O6372" s="18">
        <v>1287</v>
      </c>
      <c r="P6372" s="18">
        <v>1345</v>
      </c>
      <c r="Q6372" t="s" s="16">
        <f>HYPERLINK("http://secrets.rutgers.edu:8080/data/asl-ftp/asllvd/demos/verify_start_end_handshape_annotations//test_auto_move//signs_mov/1406.mov","MOV")</f>
        <v>21</v>
      </c>
      <c r="R6372" t="s" s="16">
        <f>HYPERLINK("http://secrets.rutgers.edu:8080/data/asl-ftp/asllvd/demos/verify_start_end_handshape_annotations//test_auto_move//signs_mov_separ_signers/Tyler_1406.mov","MOV")</f>
        <v>21</v>
      </c>
    </row>
    <row r="6373" s="2" customFormat="1" ht="13.5" customHeight="1">
      <c r="B6373" s="13"/>
      <c r="C6373" t="s" s="9">
        <v>27</v>
      </c>
      <c r="D6373" t="s" s="8">
        <v>2179</v>
      </c>
      <c r="E6373" t="s" s="9">
        <v>2180</v>
      </c>
      <c r="F6373" t="s" s="10">
        <v>119</v>
      </c>
      <c r="G6373" t="s" s="11">
        <v>51</v>
      </c>
      <c r="H6373" t="s" s="10">
        <v>119</v>
      </c>
      <c r="I6373" t="s" s="11">
        <v>51</v>
      </c>
      <c r="J6373" t="s" s="11">
        <v>136</v>
      </c>
      <c r="K6373" s="15"/>
      <c r="L6373" t="s" s="16">
        <f>HYPERLINK("http://csr.bu.edu/ftp/asl/asllvd/demos/verify_start_end_handshape_annotations//test_auto_move//signs_mov_separ_signers/Naomi_1406.mov","MOV")</f>
        <v>21</v>
      </c>
      <c r="M6373" t="s" s="10">
        <v>48</v>
      </c>
      <c r="N6373" s="17">
        <v>4</v>
      </c>
      <c r="O6373" s="18">
        <v>2610</v>
      </c>
      <c r="P6373" s="18">
        <v>2680</v>
      </c>
      <c r="Q6373" s="15"/>
      <c r="R6373" t="s" s="16">
        <f>HYPERLINK("http://secrets.rutgers.edu:8080/data/asl-ftp/asllvd/demos/verify_start_end_handshape_annotations//test_auto_move//signs_mov_separ_signers/Naomi_1406.mov","MOV")</f>
        <v>21</v>
      </c>
    </row>
    <row r="6374" s="2" customFormat="1" ht="13.5" customHeight="1">
      <c r="B6374" t="s" s="8">
        <v>2181</v>
      </c>
      <c r="C6374" t="s" s="9">
        <v>14</v>
      </c>
      <c r="D6374" t="s" s="8">
        <v>14</v>
      </c>
      <c r="E6374" t="s" s="9">
        <v>14</v>
      </c>
      <c r="F6374" t="s" s="10">
        <v>14</v>
      </c>
      <c r="G6374" t="s" s="11">
        <v>14</v>
      </c>
      <c r="H6374" t="s" s="10">
        <v>14</v>
      </c>
      <c r="I6374" t="s" s="11">
        <v>14</v>
      </c>
      <c r="J6374" t="s" s="11">
        <v>14</v>
      </c>
      <c r="K6374" t="s" s="12">
        <v>14</v>
      </c>
      <c r="L6374" t="s" s="12">
        <v>14</v>
      </c>
      <c r="M6374" t="s" s="10">
        <v>14</v>
      </c>
      <c r="N6374" t="s" s="11">
        <v>14</v>
      </c>
      <c r="O6374" t="s" s="8">
        <v>14</v>
      </c>
      <c r="P6374" t="s" s="8">
        <v>14</v>
      </c>
      <c r="Q6374" t="s" s="12">
        <v>14</v>
      </c>
      <c r="R6374" t="s" s="12">
        <v>14</v>
      </c>
    </row>
    <row r="6375" s="2" customFormat="1" ht="13.5" customHeight="1">
      <c r="B6375" s="13"/>
      <c r="C6375" t="s" s="9">
        <v>16</v>
      </c>
      <c r="D6375" t="s" s="8">
        <v>2181</v>
      </c>
      <c r="E6375" t="s" s="9">
        <v>2181</v>
      </c>
      <c r="F6375" t="s" s="10">
        <v>277</v>
      </c>
      <c r="G6375" t="s" s="11">
        <v>73</v>
      </c>
      <c r="H6375" t="s" s="10">
        <v>73</v>
      </c>
      <c r="I6375" t="s" s="11">
        <v>73</v>
      </c>
      <c r="J6375" t="s" s="11">
        <v>20</v>
      </c>
      <c r="K6375" s="15"/>
      <c r="L6375" t="s" s="16">
        <f>HYPERLINK("http://csr.bu.edu/ftp/asl/asllvd/demos/verify_start_end_handshape_annotations//test_auto_move//signs_mov_separ_signers/Liz_15243.mov","MOV")</f>
        <v>21</v>
      </c>
      <c r="M6375" t="s" s="10">
        <v>34</v>
      </c>
      <c r="N6375" s="17">
        <v>49</v>
      </c>
      <c r="O6375" s="18">
        <v>2299</v>
      </c>
      <c r="P6375" s="18">
        <v>2352</v>
      </c>
      <c r="Q6375" s="15"/>
      <c r="R6375" t="s" s="16">
        <f>HYPERLINK("http://secrets.rutgers.edu:8080/data/asl-ftp/asllvd/demos/verify_start_end_handshape_annotations//test_auto_move//signs_mov_separ_signers/Liz_15243.mov","MOV")</f>
        <v>21</v>
      </c>
    </row>
    <row r="6376" s="2" customFormat="1" ht="13.5" customHeight="1">
      <c r="B6376" s="13"/>
      <c r="C6376" t="s" s="9">
        <v>23</v>
      </c>
      <c r="D6376" t="s" s="8">
        <v>2181</v>
      </c>
      <c r="E6376" t="s" s="9">
        <v>2182</v>
      </c>
      <c r="F6376" t="s" s="10">
        <v>277</v>
      </c>
      <c r="G6376" t="s" s="11">
        <v>80</v>
      </c>
      <c r="H6376" t="s" s="10">
        <v>73</v>
      </c>
      <c r="I6376" t="s" s="11">
        <v>73</v>
      </c>
      <c r="J6376" t="s" s="11">
        <v>20</v>
      </c>
      <c r="K6376" t="s" s="16">
        <f>HYPERLINK("http://csr.bu.edu/ftp/asl/asllvd/demos/verify_start_end_handshape_annotations//test_auto_move//signs_mov/15243.mov","MOV")</f>
        <v>21</v>
      </c>
      <c r="L6376" t="s" s="16">
        <f>HYPERLINK("http://csr.bu.edu/ftp/asl/asllvd/demos/verify_start_end_handshape_annotations//test_auto_move//signs_mov_separ_signers/Tyler_15243.mov","MOV")</f>
        <v>21</v>
      </c>
      <c r="M6376" t="s" s="10">
        <v>47</v>
      </c>
      <c r="N6376" s="17">
        <v>1</v>
      </c>
      <c r="O6376" s="18">
        <v>1604</v>
      </c>
      <c r="P6376" s="18">
        <v>1665</v>
      </c>
      <c r="Q6376" t="s" s="16">
        <f>HYPERLINK("http://secrets.rutgers.edu:8080/data/asl-ftp/asllvd/demos/verify_start_end_handshape_annotations//test_auto_move//signs_mov/15243.mov","MOV")</f>
        <v>21</v>
      </c>
      <c r="R6376" t="s" s="16">
        <f>HYPERLINK("http://secrets.rutgers.edu:8080/data/asl-ftp/asllvd/demos/verify_start_end_handshape_annotations//test_auto_move//signs_mov_separ_signers/Tyler_15243.mov","MOV")</f>
        <v>21</v>
      </c>
    </row>
    <row r="6377" s="2" customFormat="1" ht="13.5" customHeight="1">
      <c r="B6377" s="13"/>
      <c r="C6377" t="s" s="9">
        <v>27</v>
      </c>
      <c r="D6377" t="s" s="8">
        <v>2181</v>
      </c>
      <c r="E6377" t="s" s="9">
        <v>2181</v>
      </c>
      <c r="F6377" t="s" s="10">
        <v>277</v>
      </c>
      <c r="G6377" t="s" s="11">
        <v>109</v>
      </c>
      <c r="H6377" t="s" s="10">
        <v>109</v>
      </c>
      <c r="I6377" t="s" s="11">
        <v>109</v>
      </c>
      <c r="J6377" t="s" s="11">
        <v>20</v>
      </c>
      <c r="K6377" s="15"/>
      <c r="L6377" t="s" s="16">
        <f>HYPERLINK("http://csr.bu.edu/ftp/asl/asllvd/demos/verify_start_end_handshape_annotations//test_auto_move//signs_mov_separ_signers/Naomi_15243.mov","MOV")</f>
        <v>21</v>
      </c>
      <c r="M6377" t="s" s="10">
        <v>48</v>
      </c>
      <c r="N6377" s="17">
        <v>4</v>
      </c>
      <c r="O6377" s="18">
        <v>2889</v>
      </c>
      <c r="P6377" s="18">
        <v>2931</v>
      </c>
      <c r="Q6377" s="15"/>
      <c r="R6377" t="s" s="16">
        <f>HYPERLINK("http://secrets.rutgers.edu:8080/data/asl-ftp/asllvd/demos/verify_start_end_handshape_annotations//test_auto_move//signs_mov_separ_signers/Naomi_15243.mov","MOV")</f>
        <v>21</v>
      </c>
    </row>
    <row r="6378" s="2" customFormat="1" ht="13.5" customHeight="1">
      <c r="B6378" t="s" s="8">
        <v>2183</v>
      </c>
      <c r="C6378" t="s" s="9">
        <v>14</v>
      </c>
      <c r="D6378" t="s" s="8">
        <v>14</v>
      </c>
      <c r="E6378" t="s" s="9">
        <v>14</v>
      </c>
      <c r="F6378" t="s" s="10">
        <v>14</v>
      </c>
      <c r="G6378" t="s" s="11">
        <v>14</v>
      </c>
      <c r="H6378" t="s" s="10">
        <v>14</v>
      </c>
      <c r="I6378" t="s" s="11">
        <v>14</v>
      </c>
      <c r="J6378" t="s" s="11">
        <v>14</v>
      </c>
      <c r="K6378" t="s" s="12">
        <v>14</v>
      </c>
      <c r="L6378" t="s" s="12">
        <v>14</v>
      </c>
      <c r="M6378" t="s" s="10">
        <v>14</v>
      </c>
      <c r="N6378" t="s" s="11">
        <v>14</v>
      </c>
      <c r="O6378" t="s" s="8">
        <v>14</v>
      </c>
      <c r="P6378" t="s" s="8">
        <v>14</v>
      </c>
      <c r="Q6378" t="s" s="12">
        <v>14</v>
      </c>
      <c r="R6378" t="s" s="12">
        <v>14</v>
      </c>
    </row>
    <row r="6379" s="2" customFormat="1" ht="13.5" customHeight="1">
      <c r="B6379" s="13"/>
      <c r="C6379" t="s" s="9">
        <v>16</v>
      </c>
      <c r="D6379" t="s" s="8">
        <v>2183</v>
      </c>
      <c r="E6379" t="s" s="9">
        <v>2183</v>
      </c>
      <c r="F6379" s="19">
        <v>1</v>
      </c>
      <c r="G6379" s="14"/>
      <c r="H6379" s="19">
        <v>1</v>
      </c>
      <c r="I6379" s="14"/>
      <c r="J6379" t="s" s="11">
        <v>20</v>
      </c>
      <c r="K6379" s="15"/>
      <c r="L6379" t="s" s="16">
        <f>HYPERLINK("http://csr.bu.edu/ftp/asl/asllvd/demos/verify_start_end_handshape_annotations//test_auto_move//signs_mov_separ_signers/Liz_1408.mov","MOV")</f>
        <v>21</v>
      </c>
      <c r="M6379" t="s" s="10">
        <v>34</v>
      </c>
      <c r="N6379" s="17">
        <v>49</v>
      </c>
      <c r="O6379" s="18">
        <v>2645</v>
      </c>
      <c r="P6379" s="18">
        <v>2690</v>
      </c>
      <c r="Q6379" s="15"/>
      <c r="R6379" t="s" s="16">
        <f>HYPERLINK("http://secrets.rutgers.edu:8080/data/asl-ftp/asllvd/demos/verify_start_end_handshape_annotations//test_auto_move//signs_mov_separ_signers/Liz_1408.mov","MOV")</f>
        <v>21</v>
      </c>
    </row>
    <row r="6380" s="2" customFormat="1" ht="13.5" customHeight="1">
      <c r="B6380" s="13"/>
      <c r="C6380" t="s" s="9">
        <v>23</v>
      </c>
      <c r="D6380" t="s" s="8">
        <v>2183</v>
      </c>
      <c r="E6380" t="s" s="9">
        <v>2183</v>
      </c>
      <c r="F6380" s="19">
        <v>1</v>
      </c>
      <c r="G6380" s="14"/>
      <c r="H6380" s="19">
        <v>1</v>
      </c>
      <c r="I6380" s="14"/>
      <c r="J6380" t="s" s="11">
        <v>20</v>
      </c>
      <c r="K6380" t="s" s="16">
        <f>HYPERLINK("http://csr.bu.edu/ftp/asl/asllvd/demos/verify_start_end_handshape_annotations//test_auto_move//signs_mov/1408.mov","MOV")</f>
        <v>21</v>
      </c>
      <c r="L6380" t="s" s="16">
        <f>HYPERLINK("http://csr.bu.edu/ftp/asl/asllvd/demos/verify_start_end_handshape_annotations//test_auto_move//signs_mov_separ_signers/Tyler_1408.mov","MOV")</f>
        <v>21</v>
      </c>
      <c r="M6380" t="s" s="10">
        <v>47</v>
      </c>
      <c r="N6380" s="17">
        <v>1</v>
      </c>
      <c r="O6380" s="18">
        <v>1870</v>
      </c>
      <c r="P6380" s="18">
        <v>1905</v>
      </c>
      <c r="Q6380" t="s" s="16">
        <f>HYPERLINK("http://secrets.rutgers.edu:8080/data/asl-ftp/asllvd/demos/verify_start_end_handshape_annotations//test_auto_move//signs_mov/1408.mov","MOV")</f>
        <v>21</v>
      </c>
      <c r="R6380" t="s" s="16">
        <f>HYPERLINK("http://secrets.rutgers.edu:8080/data/asl-ftp/asllvd/demos/verify_start_end_handshape_annotations//test_auto_move//signs_mov_separ_signers/Tyler_1408.mov","MOV")</f>
        <v>21</v>
      </c>
    </row>
    <row r="6381" s="2" customFormat="1" ht="13.5" customHeight="1">
      <c r="B6381" s="13"/>
      <c r="C6381" t="s" s="9">
        <v>27</v>
      </c>
      <c r="D6381" t="s" s="8">
        <v>2183</v>
      </c>
      <c r="E6381" t="s" s="9">
        <v>2183</v>
      </c>
      <c r="F6381" s="19">
        <v>1</v>
      </c>
      <c r="G6381" s="14"/>
      <c r="H6381" s="19">
        <v>1</v>
      </c>
      <c r="I6381" s="14"/>
      <c r="J6381" t="s" s="11">
        <v>20</v>
      </c>
      <c r="K6381" s="15"/>
      <c r="L6381" t="s" s="16">
        <f>HYPERLINK("http://csr.bu.edu/ftp/asl/asllvd/demos/verify_start_end_handshape_annotations//test_auto_move//signs_mov_separ_signers/Naomi_1408.mov","MOV")</f>
        <v>21</v>
      </c>
      <c r="M6381" t="s" s="10">
        <v>48</v>
      </c>
      <c r="N6381" s="17">
        <v>4</v>
      </c>
      <c r="O6381" s="18">
        <v>3210</v>
      </c>
      <c r="P6381" s="18">
        <v>3236</v>
      </c>
      <c r="Q6381" s="15"/>
      <c r="R6381" t="s" s="16">
        <f>HYPERLINK("http://secrets.rutgers.edu:8080/data/asl-ftp/asllvd/demos/verify_start_end_handshape_annotations//test_auto_move//signs_mov_separ_signers/Naomi_1408.mov","MOV")</f>
        <v>21</v>
      </c>
    </row>
    <row r="6382" s="2" customFormat="1" ht="13.5" customHeight="1">
      <c r="B6382" t="s" s="8">
        <v>2184</v>
      </c>
      <c r="C6382" t="s" s="9">
        <v>14</v>
      </c>
      <c r="D6382" t="s" s="8">
        <v>14</v>
      </c>
      <c r="E6382" t="s" s="9">
        <v>14</v>
      </c>
      <c r="F6382" t="s" s="10">
        <v>14</v>
      </c>
      <c r="G6382" t="s" s="11">
        <v>14</v>
      </c>
      <c r="H6382" t="s" s="10">
        <v>14</v>
      </c>
      <c r="I6382" t="s" s="11">
        <v>14</v>
      </c>
      <c r="J6382" t="s" s="11">
        <v>14</v>
      </c>
      <c r="K6382" t="s" s="12">
        <v>14</v>
      </c>
      <c r="L6382" t="s" s="12">
        <v>14</v>
      </c>
      <c r="M6382" t="s" s="10">
        <v>14</v>
      </c>
      <c r="N6382" t="s" s="11">
        <v>14</v>
      </c>
      <c r="O6382" t="s" s="8">
        <v>14</v>
      </c>
      <c r="P6382" t="s" s="8">
        <v>14</v>
      </c>
      <c r="Q6382" t="s" s="12">
        <v>14</v>
      </c>
      <c r="R6382" t="s" s="12">
        <v>14</v>
      </c>
    </row>
    <row r="6383" s="2" customFormat="1" ht="13.5" customHeight="1">
      <c r="B6383" s="13"/>
      <c r="C6383" t="s" s="9">
        <v>16</v>
      </c>
      <c r="D6383" t="s" s="8">
        <v>2184</v>
      </c>
      <c r="E6383" t="s" s="9">
        <v>2184</v>
      </c>
      <c r="F6383" t="s" s="10">
        <v>430</v>
      </c>
      <c r="G6383" s="14"/>
      <c r="H6383" s="19">
        <v>8</v>
      </c>
      <c r="I6383" s="14"/>
      <c r="J6383" t="s" s="11">
        <v>20</v>
      </c>
      <c r="K6383" s="15"/>
      <c r="L6383" t="s" s="16">
        <f>HYPERLINK("http://csr.bu.edu/ftp/asl/asllvd/demos/verify_start_end_handshape_annotations//test_auto_move//signs_mov_separ_signers/Liz_1412.mov","MOV")</f>
        <v>21</v>
      </c>
      <c r="M6383" t="s" s="10">
        <v>34</v>
      </c>
      <c r="N6383" s="17">
        <v>50</v>
      </c>
      <c r="O6383" s="18">
        <v>1140</v>
      </c>
      <c r="P6383" s="18">
        <v>1172</v>
      </c>
      <c r="Q6383" s="15"/>
      <c r="R6383" t="s" s="16">
        <f>HYPERLINK("http://secrets.rutgers.edu:8080/data/asl-ftp/asllvd/demos/verify_start_end_handshape_annotations//test_auto_move//signs_mov_separ_signers/Liz_1412.mov","MOV")</f>
        <v>21</v>
      </c>
    </row>
    <row r="6384" s="2" customFormat="1" ht="13.5" customHeight="1">
      <c r="B6384" s="13"/>
      <c r="C6384" t="s" s="9">
        <v>23</v>
      </c>
      <c r="D6384" t="s" s="8">
        <v>2184</v>
      </c>
      <c r="E6384" t="s" s="9">
        <v>2184</v>
      </c>
      <c r="F6384" s="19">
        <v>5</v>
      </c>
      <c r="G6384" s="14"/>
      <c r="H6384" s="19">
        <v>8</v>
      </c>
      <c r="I6384" s="14"/>
      <c r="J6384" t="s" s="11">
        <v>20</v>
      </c>
      <c r="K6384" s="15"/>
      <c r="L6384" t="s" s="16">
        <f>HYPERLINK("http://csr.bu.edu/ftp/asl/asllvd/demos/verify_start_end_handshape_annotations//test_auto_move//signs_mov_separ_signers/Tyler_1412.mov","MOV")</f>
        <v>21</v>
      </c>
      <c r="M6384" t="s" s="10">
        <v>47</v>
      </c>
      <c r="N6384" s="17">
        <v>2</v>
      </c>
      <c r="O6384" s="18">
        <v>770</v>
      </c>
      <c r="P6384" s="18">
        <v>801</v>
      </c>
      <c r="Q6384" s="15"/>
      <c r="R6384" t="s" s="16">
        <f>HYPERLINK("http://secrets.rutgers.edu:8080/data/asl-ftp/asllvd/demos/verify_start_end_handshape_annotations//test_auto_move//signs_mov_separ_signers/Tyler_1412.mov","MOV")</f>
        <v>21</v>
      </c>
    </row>
    <row r="6385" s="2" customFormat="1" ht="13.5" customHeight="1">
      <c r="B6385" s="13"/>
      <c r="C6385" t="s" s="9">
        <v>27</v>
      </c>
      <c r="D6385" t="s" s="8">
        <v>2184</v>
      </c>
      <c r="E6385" t="s" s="9">
        <v>2184</v>
      </c>
      <c r="F6385" s="19">
        <v>25</v>
      </c>
      <c r="G6385" s="14"/>
      <c r="H6385" s="19">
        <v>8</v>
      </c>
      <c r="I6385" s="14"/>
      <c r="J6385" t="s" s="11">
        <v>20</v>
      </c>
      <c r="K6385" t="s" s="16">
        <f>HYPERLINK("http://csr.bu.edu/ftp/asl/asllvd/demos/verify_start_end_handshape_annotations//test_auto_move//signs_mov/1412_5464_merged.mov","MOV")</f>
        <v>21</v>
      </c>
      <c r="L6385" t="s" s="16">
        <f>HYPERLINK("http://csr.bu.edu/ftp/asl/asllvd/demos/verify_start_end_handshape_annotations//test_auto_move//signs_mov_separ_signers/Naomi_1412.mov","MOV")</f>
        <v>21</v>
      </c>
      <c r="M6385" t="s" s="10">
        <v>48</v>
      </c>
      <c r="N6385" s="17">
        <v>5</v>
      </c>
      <c r="O6385" s="18">
        <v>595</v>
      </c>
      <c r="P6385" s="18">
        <v>622</v>
      </c>
      <c r="Q6385" t="s" s="16">
        <f>HYPERLINK("http://secrets.rutgers.edu:8080/data/asl-ftp/asllvd/demos/verify_start_end_handshape_annotations//test_auto_move//signs_mov/1412_5464_merged.mov","MOV")</f>
        <v>21</v>
      </c>
      <c r="R6385" t="s" s="16">
        <f>HYPERLINK("http://secrets.rutgers.edu:8080/data/asl-ftp/asllvd/demos/verify_start_end_handshape_annotations//test_auto_move//signs_mov_separ_signers/Naomi_1412.mov","MOV")</f>
        <v>21</v>
      </c>
    </row>
    <row r="6386" s="2" customFormat="1" ht="13.5" customHeight="1">
      <c r="B6386" s="13"/>
      <c r="C6386" t="s" s="9">
        <v>41</v>
      </c>
      <c r="D6386" t="s" s="8">
        <v>2184</v>
      </c>
      <c r="E6386" t="s" s="9">
        <v>2184</v>
      </c>
      <c r="F6386" t="s" s="10">
        <v>430</v>
      </c>
      <c r="G6386" s="14"/>
      <c r="H6386" s="19">
        <v>8</v>
      </c>
      <c r="I6386" s="14"/>
      <c r="J6386" t="s" s="11">
        <v>20</v>
      </c>
      <c r="K6386" s="15"/>
      <c r="L6386" t="s" s="16">
        <f>HYPERLINK("http://csr.bu.edu/ftp/asl/asllvd/demos/verify_start_end_handshape_annotations//test_auto_move//signs_mov_separ_signers/Lana_1412.mov","MOV")</f>
        <v>21</v>
      </c>
      <c r="M6386" t="s" s="10">
        <v>442</v>
      </c>
      <c r="N6386" s="17">
        <v>61</v>
      </c>
      <c r="O6386" s="18">
        <v>2083</v>
      </c>
      <c r="P6386" s="18">
        <v>2107</v>
      </c>
      <c r="Q6386" s="15"/>
      <c r="R6386" t="s" s="16">
        <f>HYPERLINK("http://secrets.rutgers.edu:8080/data/asl-ftp/asllvd/demos/verify_start_end_handshape_annotations//test_auto_move//signs_mov_separ_signers/Lana_1412.mov","MOV")</f>
        <v>21</v>
      </c>
    </row>
    <row r="6387" s="2" customFormat="1" ht="13.5" customHeight="1">
      <c r="B6387" s="13"/>
      <c r="C6387" t="s" s="9">
        <v>41</v>
      </c>
      <c r="D6387" t="s" s="8">
        <v>2184</v>
      </c>
      <c r="E6387" t="s" s="9">
        <v>2184</v>
      </c>
      <c r="F6387" t="s" s="10">
        <v>430</v>
      </c>
      <c r="G6387" s="14"/>
      <c r="H6387" s="19">
        <v>8</v>
      </c>
      <c r="I6387" s="14"/>
      <c r="J6387" t="s" s="11">
        <v>20</v>
      </c>
      <c r="K6387" s="15"/>
      <c r="L6387" t="s" s="16">
        <f>HYPERLINK("http://csr.bu.edu/ftp/asl/asllvd/demos/verify_start_end_handshape_annotations//test_auto_move//signs_mov_separ_signers/Lana_5464.mov","MOV")</f>
        <v>21</v>
      </c>
      <c r="M6387" t="s" s="10">
        <v>42</v>
      </c>
      <c r="N6387" s="17">
        <v>17</v>
      </c>
      <c r="O6387" s="18">
        <v>2316</v>
      </c>
      <c r="P6387" s="18">
        <v>2331</v>
      </c>
      <c r="Q6387" s="15"/>
      <c r="R6387" t="s" s="16">
        <f>HYPERLINK("http://secrets.rutgers.edu:8080/data/asl-ftp/asllvd/demos/verify_start_end_handshape_annotations//test_auto_move//signs_mov_separ_signers/Lana_5464.mov","MOV")</f>
        <v>21</v>
      </c>
    </row>
    <row r="6388" s="2" customFormat="1" ht="13.5" customHeight="1">
      <c r="B6388" t="s" s="8">
        <v>2185</v>
      </c>
      <c r="C6388" t="s" s="9">
        <v>14</v>
      </c>
      <c r="D6388" t="s" s="8">
        <v>14</v>
      </c>
      <c r="E6388" t="s" s="9">
        <v>14</v>
      </c>
      <c r="F6388" t="s" s="10">
        <v>14</v>
      </c>
      <c r="G6388" t="s" s="11">
        <v>14</v>
      </c>
      <c r="H6388" t="s" s="10">
        <v>14</v>
      </c>
      <c r="I6388" t="s" s="11">
        <v>14</v>
      </c>
      <c r="J6388" t="s" s="11">
        <v>14</v>
      </c>
      <c r="K6388" t="s" s="12">
        <v>14</v>
      </c>
      <c r="L6388" t="s" s="12">
        <v>14</v>
      </c>
      <c r="M6388" t="s" s="10">
        <v>14</v>
      </c>
      <c r="N6388" t="s" s="11">
        <v>14</v>
      </c>
      <c r="O6388" t="s" s="8">
        <v>14</v>
      </c>
      <c r="P6388" t="s" s="8">
        <v>14</v>
      </c>
      <c r="Q6388" t="s" s="12">
        <v>14</v>
      </c>
      <c r="R6388" t="s" s="12">
        <v>14</v>
      </c>
    </row>
    <row r="6389" s="2" customFormat="1" ht="13.5" customHeight="1">
      <c r="B6389" s="13"/>
      <c r="C6389" t="s" s="9">
        <v>16</v>
      </c>
      <c r="D6389" t="s" s="8">
        <v>2185</v>
      </c>
      <c r="E6389" t="s" s="9">
        <v>2185</v>
      </c>
      <c r="F6389" t="s" s="10">
        <v>80</v>
      </c>
      <c r="G6389" t="s" s="11">
        <v>80</v>
      </c>
      <c r="H6389" t="s" s="10">
        <v>80</v>
      </c>
      <c r="I6389" t="s" s="11">
        <v>80</v>
      </c>
      <c r="J6389" t="s" s="11">
        <v>20</v>
      </c>
      <c r="K6389" s="15"/>
      <c r="L6389" t="s" s="16">
        <f>HYPERLINK("http://csr.bu.edu/ftp/asl/asllvd/demos/verify_start_end_handshape_annotations//test_auto_move//signs_mov_separ_signers/Liz_1413.mov","MOV")</f>
        <v>21</v>
      </c>
      <c r="M6389" t="s" s="10">
        <v>34</v>
      </c>
      <c r="N6389" s="17">
        <v>50</v>
      </c>
      <c r="O6389" s="18">
        <v>1510</v>
      </c>
      <c r="P6389" s="18">
        <v>1555</v>
      </c>
      <c r="Q6389" s="15"/>
      <c r="R6389" t="s" s="16">
        <f>HYPERLINK("http://secrets.rutgers.edu:8080/data/asl-ftp/asllvd/demos/verify_start_end_handshape_annotations//test_auto_move//signs_mov_separ_signers/Liz_1413.mov","MOV")</f>
        <v>21</v>
      </c>
    </row>
    <row r="6390" s="2" customFormat="1" ht="13.5" customHeight="1">
      <c r="B6390" s="13"/>
      <c r="C6390" t="s" s="9">
        <v>23</v>
      </c>
      <c r="D6390" t="s" s="8">
        <v>2185</v>
      </c>
      <c r="E6390" t="s" s="9">
        <v>2185</v>
      </c>
      <c r="F6390" t="s" s="10">
        <v>80</v>
      </c>
      <c r="G6390" t="s" s="11">
        <v>80</v>
      </c>
      <c r="H6390" t="s" s="10">
        <v>80</v>
      </c>
      <c r="I6390" t="s" s="11">
        <v>80</v>
      </c>
      <c r="J6390" t="s" s="11">
        <v>20</v>
      </c>
      <c r="K6390" t="s" s="16">
        <f>HYPERLINK("http://csr.bu.edu/ftp/asl/asllvd/demos/verify_start_end_handshape_annotations//test_auto_move//signs_mov/1413.mov","MOV")</f>
        <v>21</v>
      </c>
      <c r="L6390" t="s" s="16">
        <f>HYPERLINK("http://csr.bu.edu/ftp/asl/asllvd/demos/verify_start_end_handshape_annotations//test_auto_move//signs_mov_separ_signers/Tyler_1413.mov","MOV")</f>
        <v>21</v>
      </c>
      <c r="M6390" t="s" s="10">
        <v>47</v>
      </c>
      <c r="N6390" s="17">
        <v>2</v>
      </c>
      <c r="O6390" s="18">
        <v>1207</v>
      </c>
      <c r="P6390" s="18">
        <v>1230</v>
      </c>
      <c r="Q6390" t="s" s="16">
        <f>HYPERLINK("http://secrets.rutgers.edu:8080/data/asl-ftp/asllvd/demos/verify_start_end_handshape_annotations//test_auto_move//signs_mov/1413.mov","MOV")</f>
        <v>21</v>
      </c>
      <c r="R6390" t="s" s="16">
        <f>HYPERLINK("http://secrets.rutgers.edu:8080/data/asl-ftp/asllvd/demos/verify_start_end_handshape_annotations//test_auto_move//signs_mov_separ_signers/Tyler_1413.mov","MOV")</f>
        <v>21</v>
      </c>
    </row>
    <row r="6391" s="2" customFormat="1" ht="13.5" customHeight="1">
      <c r="B6391" s="13"/>
      <c r="C6391" t="s" s="9">
        <v>27</v>
      </c>
      <c r="D6391" t="s" s="8">
        <v>2185</v>
      </c>
      <c r="E6391" t="s" s="9">
        <v>2185</v>
      </c>
      <c r="F6391" t="s" s="10">
        <v>80</v>
      </c>
      <c r="G6391" t="s" s="11">
        <v>80</v>
      </c>
      <c r="H6391" t="s" s="10">
        <v>80</v>
      </c>
      <c r="I6391" t="s" s="11">
        <v>80</v>
      </c>
      <c r="J6391" t="s" s="11">
        <v>20</v>
      </c>
      <c r="K6391" s="15"/>
      <c r="L6391" t="s" s="16">
        <f>HYPERLINK("http://csr.bu.edu/ftp/asl/asllvd/demos/verify_start_end_handshape_annotations//test_auto_move//signs_mov_separ_signers/Naomi_1413.mov","MOV")</f>
        <v>21</v>
      </c>
      <c r="M6391" t="s" s="10">
        <v>48</v>
      </c>
      <c r="N6391" s="17">
        <v>5</v>
      </c>
      <c r="O6391" s="18">
        <v>905</v>
      </c>
      <c r="P6391" s="18">
        <v>925</v>
      </c>
      <c r="Q6391" s="15"/>
      <c r="R6391" t="s" s="16">
        <f>HYPERLINK("http://secrets.rutgers.edu:8080/data/asl-ftp/asllvd/demos/verify_start_end_handshape_annotations//test_auto_move//signs_mov_separ_signers/Naomi_1413.mov","MOV")</f>
        <v>21</v>
      </c>
    </row>
    <row r="6392" s="2" customFormat="1" ht="13.5" customHeight="1">
      <c r="B6392" t="s" s="8">
        <v>2186</v>
      </c>
      <c r="C6392" t="s" s="9">
        <v>14</v>
      </c>
      <c r="D6392" t="s" s="8">
        <v>14</v>
      </c>
      <c r="E6392" t="s" s="9">
        <v>14</v>
      </c>
      <c r="F6392" t="s" s="10">
        <v>14</v>
      </c>
      <c r="G6392" t="s" s="11">
        <v>14</v>
      </c>
      <c r="H6392" t="s" s="10">
        <v>14</v>
      </c>
      <c r="I6392" t="s" s="11">
        <v>14</v>
      </c>
      <c r="J6392" t="s" s="11">
        <v>14</v>
      </c>
      <c r="K6392" t="s" s="12">
        <v>14</v>
      </c>
      <c r="L6392" t="s" s="12">
        <v>14</v>
      </c>
      <c r="M6392" t="s" s="10">
        <v>14</v>
      </c>
      <c r="N6392" t="s" s="11">
        <v>14</v>
      </c>
      <c r="O6392" t="s" s="8">
        <v>14</v>
      </c>
      <c r="P6392" t="s" s="8">
        <v>14</v>
      </c>
      <c r="Q6392" t="s" s="12">
        <v>14</v>
      </c>
      <c r="R6392" t="s" s="12">
        <v>14</v>
      </c>
    </row>
    <row r="6393" s="2" customFormat="1" ht="13.5" customHeight="1">
      <c r="B6393" s="13"/>
      <c r="C6393" t="s" s="9">
        <v>16</v>
      </c>
      <c r="D6393" t="s" s="8">
        <v>2186</v>
      </c>
      <c r="E6393" t="s" s="9">
        <v>2186</v>
      </c>
      <c r="F6393" t="s" s="10">
        <v>260</v>
      </c>
      <c r="G6393" t="s" s="11">
        <v>73</v>
      </c>
      <c r="H6393" t="s" s="10">
        <v>260</v>
      </c>
      <c r="I6393" t="s" s="11">
        <v>73</v>
      </c>
      <c r="J6393" t="s" s="11">
        <v>20</v>
      </c>
      <c r="K6393" s="15"/>
      <c r="L6393" t="s" s="16">
        <f>HYPERLINK("http://csr.bu.edu/ftp/asl/asllvd/demos/verify_start_end_handshape_annotations//test_auto_move//signs_mov_separ_signers/Liz_16175.mov","MOV")</f>
        <v>21</v>
      </c>
      <c r="M6393" t="s" s="10">
        <v>22</v>
      </c>
      <c r="N6393" s="17">
        <v>30</v>
      </c>
      <c r="O6393" s="18">
        <v>581</v>
      </c>
      <c r="P6393" s="18">
        <v>620</v>
      </c>
      <c r="Q6393" s="15"/>
      <c r="R6393" t="s" s="16">
        <f>HYPERLINK("http://secrets.rutgers.edu:8080/data/asl-ftp/asllvd/demos/verify_start_end_handshape_annotations//test_auto_move//signs_mov_separ_signers/Liz_16175.mov","MOV")</f>
        <v>21</v>
      </c>
    </row>
    <row r="6394" s="2" customFormat="1" ht="13.5" customHeight="1">
      <c r="B6394" s="13"/>
      <c r="C6394" t="s" s="9">
        <v>23</v>
      </c>
      <c r="D6394" t="s" s="8">
        <v>2186</v>
      </c>
      <c r="E6394" t="s" s="9">
        <v>2186</v>
      </c>
      <c r="F6394" t="s" s="10">
        <v>73</v>
      </c>
      <c r="G6394" t="s" s="11">
        <v>80</v>
      </c>
      <c r="H6394" t="s" s="10">
        <v>73</v>
      </c>
      <c r="I6394" t="s" s="11">
        <v>80</v>
      </c>
      <c r="J6394" t="s" s="11">
        <v>20</v>
      </c>
      <c r="K6394" t="s" s="16">
        <f>HYPERLINK("http://csr.bu.edu/ftp/asl/asllvd/demos/verify_start_end_handshape_annotations//test_auto_move//signs_mov/16175.mov","MOV")</f>
        <v>21</v>
      </c>
      <c r="L6394" t="s" s="16">
        <f>HYPERLINK("http://csr.bu.edu/ftp/asl/asllvd/demos/verify_start_end_handshape_annotations//test_auto_move//signs_mov_separ_signers/Tyler_16175.mov","MOV")</f>
        <v>21</v>
      </c>
      <c r="M6394" t="s" s="10">
        <v>26</v>
      </c>
      <c r="N6394" s="17">
        <v>19</v>
      </c>
      <c r="O6394" s="18">
        <v>4060</v>
      </c>
      <c r="P6394" s="18">
        <v>4075</v>
      </c>
      <c r="Q6394" t="s" s="16">
        <f>HYPERLINK("http://secrets.rutgers.edu:8080/data/asl-ftp/asllvd/demos/verify_start_end_handshape_annotations//test_auto_move//signs_mov/16175.mov","MOV")</f>
        <v>21</v>
      </c>
      <c r="R6394" t="s" s="16">
        <f>HYPERLINK("http://secrets.rutgers.edu:8080/data/asl-ftp/asllvd/demos/verify_start_end_handshape_annotations//test_auto_move//signs_mov_separ_signers/Tyler_16175.mov","MOV")</f>
        <v>21</v>
      </c>
    </row>
    <row r="6395" s="2" customFormat="1" ht="13.5" customHeight="1">
      <c r="B6395" s="13"/>
      <c r="C6395" t="s" s="9">
        <v>27</v>
      </c>
      <c r="D6395" t="s" s="8">
        <v>2186</v>
      </c>
      <c r="E6395" t="s" s="9">
        <v>2186</v>
      </c>
      <c r="F6395" t="s" s="10">
        <v>260</v>
      </c>
      <c r="G6395" t="s" s="11">
        <v>73</v>
      </c>
      <c r="H6395" t="s" s="10">
        <v>260</v>
      </c>
      <c r="I6395" t="s" s="11">
        <v>73</v>
      </c>
      <c r="J6395" t="s" s="11">
        <v>20</v>
      </c>
      <c r="K6395" s="15"/>
      <c r="L6395" t="s" s="16">
        <f>HYPERLINK("http://csr.bu.edu/ftp/asl/asllvd/demos/verify_start_end_handshape_annotations//test_auto_move//signs_mov_separ_signers/Naomi_16175.mov","MOV")</f>
        <v>21</v>
      </c>
      <c r="M6395" t="s" s="10">
        <v>29</v>
      </c>
      <c r="N6395" s="17">
        <v>19</v>
      </c>
      <c r="O6395" s="18">
        <v>2403</v>
      </c>
      <c r="P6395" s="18">
        <v>2433</v>
      </c>
      <c r="Q6395" s="15"/>
      <c r="R6395" t="s" s="16">
        <f>HYPERLINK("http://secrets.rutgers.edu:8080/data/asl-ftp/asllvd/demos/verify_start_end_handshape_annotations//test_auto_move//signs_mov_separ_signers/Naomi_16175.mov","MOV")</f>
        <v>21</v>
      </c>
    </row>
    <row r="6396" s="2" customFormat="1" ht="13.5" customHeight="1">
      <c r="B6396" s="13"/>
      <c r="C6396" t="s" s="9">
        <v>30</v>
      </c>
      <c r="D6396" t="s" s="8">
        <v>2186</v>
      </c>
      <c r="E6396" t="s" s="9">
        <v>2186</v>
      </c>
      <c r="F6396" t="s" s="10">
        <v>73</v>
      </c>
      <c r="G6396" t="s" s="11">
        <v>80</v>
      </c>
      <c r="H6396" t="s" s="10">
        <v>73</v>
      </c>
      <c r="I6396" t="s" s="11">
        <v>80</v>
      </c>
      <c r="J6396" t="s" s="11">
        <v>20</v>
      </c>
      <c r="K6396" s="15"/>
      <c r="L6396" t="s" s="16">
        <f>HYPERLINK("http://csr.bu.edu/ftp/asl/asllvd/demos/verify_start_end_handshape_annotations//test_auto_move//signs_mov_separ_signers/Brady_16175.mov","MOV")</f>
        <v>21</v>
      </c>
      <c r="M6396" t="s" s="10">
        <v>31</v>
      </c>
      <c r="N6396" s="17">
        <v>15</v>
      </c>
      <c r="O6396" s="18">
        <v>6493</v>
      </c>
      <c r="P6396" s="18">
        <v>6513</v>
      </c>
      <c r="Q6396" s="15"/>
      <c r="R6396" t="s" s="16">
        <f>HYPERLINK("http://secrets.rutgers.edu:8080/data/asl-ftp/asllvd/demos/verify_start_end_handshape_annotations//test_auto_move//signs_mov_separ_signers/Brady_16175.mov","MOV")</f>
        <v>21</v>
      </c>
    </row>
    <row r="6397" s="2" customFormat="1" ht="13.5" customHeight="1">
      <c r="B6397" t="s" s="8">
        <v>2187</v>
      </c>
      <c r="C6397" t="s" s="9">
        <v>14</v>
      </c>
      <c r="D6397" t="s" s="8">
        <v>14</v>
      </c>
      <c r="E6397" t="s" s="9">
        <v>14</v>
      </c>
      <c r="F6397" t="s" s="10">
        <v>14</v>
      </c>
      <c r="G6397" t="s" s="11">
        <v>14</v>
      </c>
      <c r="H6397" t="s" s="10">
        <v>14</v>
      </c>
      <c r="I6397" t="s" s="11">
        <v>14</v>
      </c>
      <c r="J6397" t="s" s="11">
        <v>14</v>
      </c>
      <c r="K6397" t="s" s="12">
        <v>14</v>
      </c>
      <c r="L6397" t="s" s="12">
        <v>14</v>
      </c>
      <c r="M6397" t="s" s="10">
        <v>14</v>
      </c>
      <c r="N6397" t="s" s="11">
        <v>14</v>
      </c>
      <c r="O6397" t="s" s="8">
        <v>14</v>
      </c>
      <c r="P6397" t="s" s="8">
        <v>14</v>
      </c>
      <c r="Q6397" t="s" s="12">
        <v>14</v>
      </c>
      <c r="R6397" t="s" s="12">
        <v>14</v>
      </c>
    </row>
    <row r="6398" s="2" customFormat="1" ht="13.5" customHeight="1">
      <c r="B6398" s="13"/>
      <c r="C6398" t="s" s="9">
        <v>16</v>
      </c>
      <c r="D6398" t="s" s="8">
        <v>2187</v>
      </c>
      <c r="E6398" t="s" s="9">
        <v>2187</v>
      </c>
      <c r="F6398" t="s" s="10">
        <v>287</v>
      </c>
      <c r="G6398" t="s" s="11">
        <v>287</v>
      </c>
      <c r="H6398" t="s" s="10">
        <v>287</v>
      </c>
      <c r="I6398" t="s" s="11">
        <v>287</v>
      </c>
      <c r="J6398" t="s" s="11">
        <v>20</v>
      </c>
      <c r="K6398" s="15"/>
      <c r="L6398" t="s" s="16">
        <f>HYPERLINK("http://csr.bu.edu/ftp/asl/asllvd/demos/verify_start_end_handshape_annotations//test_auto_move//signs_mov_separ_signers/Liz_1414.mov","MOV")</f>
        <v>21</v>
      </c>
      <c r="M6398" t="s" s="10">
        <v>34</v>
      </c>
      <c r="N6398" s="17">
        <v>50</v>
      </c>
      <c r="O6398" s="18">
        <v>1760</v>
      </c>
      <c r="P6398" s="18">
        <v>1800</v>
      </c>
      <c r="Q6398" s="15"/>
      <c r="R6398" t="s" s="16">
        <f>HYPERLINK("http://secrets.rutgers.edu:8080/data/asl-ftp/asllvd/demos/verify_start_end_handshape_annotations//test_auto_move//signs_mov_separ_signers/Liz_1414.mov","MOV")</f>
        <v>21</v>
      </c>
    </row>
    <row r="6399" s="2" customFormat="1" ht="13.5" customHeight="1">
      <c r="B6399" s="13"/>
      <c r="C6399" t="s" s="9">
        <v>23</v>
      </c>
      <c r="D6399" t="s" s="8">
        <v>2187</v>
      </c>
      <c r="E6399" t="s" s="9">
        <v>2187</v>
      </c>
      <c r="F6399" t="s" s="10">
        <v>287</v>
      </c>
      <c r="G6399" t="s" s="11">
        <v>287</v>
      </c>
      <c r="H6399" t="s" s="10">
        <v>287</v>
      </c>
      <c r="I6399" t="s" s="11">
        <v>287</v>
      </c>
      <c r="J6399" t="s" s="11">
        <v>20</v>
      </c>
      <c r="K6399" s="15"/>
      <c r="L6399" t="s" s="16">
        <f>HYPERLINK("http://csr.bu.edu/ftp/asl/asllvd/demos/verify_start_end_handshape_annotations//test_auto_move//signs_mov_separ_signers/Tyler_1414.mov","MOV")</f>
        <v>21</v>
      </c>
      <c r="M6399" t="s" s="10">
        <v>47</v>
      </c>
      <c r="N6399" s="17">
        <v>2</v>
      </c>
      <c r="O6399" s="18">
        <v>1467</v>
      </c>
      <c r="P6399" s="18">
        <v>1505</v>
      </c>
      <c r="Q6399" s="15"/>
      <c r="R6399" t="s" s="16">
        <f>HYPERLINK("http://secrets.rutgers.edu:8080/data/asl-ftp/asllvd/demos/verify_start_end_handshape_annotations//test_auto_move//signs_mov_separ_signers/Tyler_1414.mov","MOV")</f>
        <v>21</v>
      </c>
    </row>
    <row r="6400" s="2" customFormat="1" ht="13.5" customHeight="1">
      <c r="B6400" s="13"/>
      <c r="C6400" t="s" s="9">
        <v>23</v>
      </c>
      <c r="D6400" t="s" s="8">
        <v>2187</v>
      </c>
      <c r="E6400" t="s" s="9">
        <v>2187</v>
      </c>
      <c r="F6400" t="s" s="10">
        <v>287</v>
      </c>
      <c r="G6400" t="s" s="11">
        <v>287</v>
      </c>
      <c r="H6400" t="s" s="10">
        <v>287</v>
      </c>
      <c r="I6400" t="s" s="11">
        <v>287</v>
      </c>
      <c r="J6400" t="s" s="11">
        <v>20</v>
      </c>
      <c r="K6400" t="s" s="16">
        <f>HYPERLINK("http://csr.bu.edu/ftp/asl/asllvd/demos/verify_start_end_handshape_annotations//test_auto_move//signs_mov/1414_3424_merged.mov","MOV")</f>
        <v>21</v>
      </c>
      <c r="L6400" t="s" s="16">
        <f>HYPERLINK("http://csr.bu.edu/ftp/asl/asllvd/demos/verify_start_end_handshape_annotations//test_auto_move//signs_mov_separ_signers/Tyler_3424.mov","MOV")</f>
        <v>21</v>
      </c>
      <c r="M6400" t="s" s="10">
        <v>47</v>
      </c>
      <c r="N6400" s="17">
        <v>2</v>
      </c>
      <c r="O6400" s="18">
        <v>1768</v>
      </c>
      <c r="P6400" s="18">
        <v>1810</v>
      </c>
      <c r="Q6400" t="s" s="16">
        <f>HYPERLINK("http://secrets.rutgers.edu:8080/data/asl-ftp/asllvd/demos/verify_start_end_handshape_annotations//test_auto_move//signs_mov/1414_3424_merged.mov","MOV")</f>
        <v>21</v>
      </c>
      <c r="R6400" t="s" s="16">
        <f>HYPERLINK("http://secrets.rutgers.edu:8080/data/asl-ftp/asllvd/demos/verify_start_end_handshape_annotations//test_auto_move//signs_mov_separ_signers/Tyler_3424.mov","MOV")</f>
        <v>21</v>
      </c>
    </row>
    <row r="6401" s="2" customFormat="1" ht="13.5" customHeight="1">
      <c r="B6401" s="13"/>
      <c r="C6401" t="s" s="9">
        <v>27</v>
      </c>
      <c r="D6401" t="s" s="8">
        <v>2187</v>
      </c>
      <c r="E6401" t="s" s="9">
        <v>2187</v>
      </c>
      <c r="F6401" t="s" s="10">
        <v>287</v>
      </c>
      <c r="G6401" t="s" s="11">
        <v>287</v>
      </c>
      <c r="H6401" t="s" s="10">
        <v>287</v>
      </c>
      <c r="I6401" t="s" s="11">
        <v>287</v>
      </c>
      <c r="J6401" t="s" s="11">
        <v>20</v>
      </c>
      <c r="K6401" s="15"/>
      <c r="L6401" t="s" s="16">
        <f>HYPERLINK("http://csr.bu.edu/ftp/asl/asllvd/demos/verify_start_end_handshape_annotations//test_auto_move//signs_mov_separ_signers/Naomi_1414.mov","MOV")</f>
        <v>21</v>
      </c>
      <c r="M6401" t="s" s="10">
        <v>48</v>
      </c>
      <c r="N6401" s="17">
        <v>5</v>
      </c>
      <c r="O6401" s="18">
        <v>1165</v>
      </c>
      <c r="P6401" s="18">
        <v>1186</v>
      </c>
      <c r="Q6401" s="15"/>
      <c r="R6401" t="s" s="16">
        <f>HYPERLINK("http://secrets.rutgers.edu:8080/data/asl-ftp/asllvd/demos/verify_start_end_handshape_annotations//test_auto_move//signs_mov_separ_signers/Naomi_1414.mov","MOV")</f>
        <v>21</v>
      </c>
    </row>
    <row r="6402" s="2" customFormat="1" ht="13.5" customHeight="1">
      <c r="B6402" s="13"/>
      <c r="C6402" t="s" s="9">
        <v>30</v>
      </c>
      <c r="D6402" t="s" s="8">
        <v>2187</v>
      </c>
      <c r="E6402" t="s" s="9">
        <v>2187</v>
      </c>
      <c r="F6402" t="s" s="10">
        <v>287</v>
      </c>
      <c r="G6402" t="s" s="11">
        <v>287</v>
      </c>
      <c r="H6402" t="s" s="10">
        <v>287</v>
      </c>
      <c r="I6402" t="s" s="11">
        <v>287</v>
      </c>
      <c r="J6402" t="s" s="11">
        <v>20</v>
      </c>
      <c r="K6402" s="15"/>
      <c r="L6402" t="s" s="16">
        <f>HYPERLINK("http://csr.bu.edu/ftp/asl/asllvd/demos/verify_start_end_handshape_annotations//test_auto_move//signs_mov_separ_signers/Brady_1414.mov","MOV")</f>
        <v>21</v>
      </c>
      <c r="M6402" t="s" s="10">
        <v>39</v>
      </c>
      <c r="N6402" s="17">
        <v>50</v>
      </c>
      <c r="O6402" s="18">
        <v>290</v>
      </c>
      <c r="P6402" s="18">
        <v>314</v>
      </c>
      <c r="Q6402" s="15"/>
      <c r="R6402" t="s" s="16">
        <f>HYPERLINK("http://secrets.rutgers.edu:8080/data/asl-ftp/asllvd/demos/verify_start_end_handshape_annotations//test_auto_move//signs_mov_separ_signers/Brady_1414.mov","MOV")</f>
        <v>21</v>
      </c>
    </row>
    <row r="6403" s="2" customFormat="1" ht="13.5" customHeight="1">
      <c r="B6403" s="13"/>
      <c r="C6403" t="s" s="9">
        <v>30</v>
      </c>
      <c r="D6403" t="s" s="8">
        <v>2187</v>
      </c>
      <c r="E6403" t="s" s="9">
        <v>2187</v>
      </c>
      <c r="F6403" t="s" s="10">
        <v>287</v>
      </c>
      <c r="G6403" t="s" s="11">
        <v>287</v>
      </c>
      <c r="H6403" t="s" s="10">
        <v>287</v>
      </c>
      <c r="I6403" t="s" s="11">
        <v>287</v>
      </c>
      <c r="J6403" t="s" s="11">
        <v>20</v>
      </c>
      <c r="K6403" s="15"/>
      <c r="L6403" t="s" s="16">
        <f>HYPERLINK("http://csr.bu.edu/ftp/asl/asllvd/demos/verify_start_end_handshape_annotations//test_auto_move//signs_mov_separ_signers/Brady_3424.mov","MOV")</f>
        <v>21</v>
      </c>
      <c r="M6403" t="s" s="10">
        <v>60</v>
      </c>
      <c r="N6403" s="17">
        <v>16</v>
      </c>
      <c r="O6403" s="18">
        <v>519</v>
      </c>
      <c r="P6403" s="18">
        <v>530</v>
      </c>
      <c r="Q6403" s="15"/>
      <c r="R6403" t="s" s="16">
        <f>HYPERLINK("http://secrets.rutgers.edu:8080/data/asl-ftp/asllvd/demos/verify_start_end_handshape_annotations//test_auto_move//signs_mov_separ_signers/Brady_3424.mov","MOV")</f>
        <v>21</v>
      </c>
    </row>
    <row r="6404" s="2" customFormat="1" ht="13.5" customHeight="1">
      <c r="B6404" t="s" s="8">
        <v>52</v>
      </c>
      <c r="C6404" t="s" s="9">
        <v>53</v>
      </c>
      <c r="D6404" t="s" s="8">
        <v>53</v>
      </c>
      <c r="E6404" t="s" s="9">
        <v>53</v>
      </c>
      <c r="F6404" t="s" s="10">
        <v>53</v>
      </c>
      <c r="G6404" t="s" s="11">
        <v>53</v>
      </c>
      <c r="H6404" t="s" s="10">
        <v>53</v>
      </c>
      <c r="I6404" t="s" s="11">
        <v>53</v>
      </c>
      <c r="J6404" t="s" s="11">
        <v>53</v>
      </c>
      <c r="K6404" t="s" s="12">
        <v>53</v>
      </c>
      <c r="L6404" t="s" s="12">
        <v>53</v>
      </c>
      <c r="M6404" t="s" s="10">
        <v>53</v>
      </c>
      <c r="N6404" t="s" s="11">
        <v>53</v>
      </c>
      <c r="O6404" t="s" s="8">
        <v>53</v>
      </c>
      <c r="P6404" t="s" s="8">
        <v>53</v>
      </c>
      <c r="Q6404" t="s" s="12">
        <v>53</v>
      </c>
      <c r="R6404" t="s" s="12">
        <v>53</v>
      </c>
    </row>
    <row r="6405" s="2" customFormat="1" ht="13.5" customHeight="1">
      <c r="B6405" s="13"/>
      <c r="C6405" t="s" s="9">
        <v>16</v>
      </c>
      <c r="D6405" t="s" s="8">
        <v>2187</v>
      </c>
      <c r="E6405" t="s" s="9">
        <v>2188</v>
      </c>
      <c r="F6405" t="s" s="10">
        <v>287</v>
      </c>
      <c r="G6405" s="14"/>
      <c r="H6405" t="s" s="10">
        <v>287</v>
      </c>
      <c r="I6405" s="14"/>
      <c r="J6405" t="s" s="11">
        <v>20</v>
      </c>
      <c r="K6405" t="s" s="16">
        <f>HYPERLINK("http://csr.bu.edu/ftp/asl/asllvd/demos/verify_start_end_handshape_annotations//test_auto_move//signs_mov/5242.mov","MOV")</f>
        <v>21</v>
      </c>
      <c r="L6405" t="s" s="16">
        <f>HYPERLINK("http://csr.bu.edu/ftp/asl/asllvd/demos/verify_start_end_handshape_annotations//test_auto_move//signs_mov_separ_signers/Liz_5242.mov","MOV")</f>
        <v>21</v>
      </c>
      <c r="M6405" t="s" s="10">
        <v>59</v>
      </c>
      <c r="N6405" s="17">
        <v>27</v>
      </c>
      <c r="O6405" s="18">
        <v>1750</v>
      </c>
      <c r="P6405" s="18">
        <v>1797</v>
      </c>
      <c r="Q6405" t="s" s="16">
        <f>HYPERLINK("http://secrets.rutgers.edu:8080/data/asl-ftp/asllvd/demos/verify_start_end_handshape_annotations//test_auto_move//signs_mov/5242.mov","MOV")</f>
        <v>21</v>
      </c>
      <c r="R6405" t="s" s="16">
        <f>HYPERLINK("http://secrets.rutgers.edu:8080/data/asl-ftp/asllvd/demos/verify_start_end_handshape_annotations//test_auto_move//signs_mov_separ_signers/Liz_5242.mov","MOV")</f>
        <v>21</v>
      </c>
    </row>
    <row r="6406" s="2" customFormat="1" ht="13.5" customHeight="1">
      <c r="B6406" t="s" s="8">
        <v>2189</v>
      </c>
      <c r="C6406" t="s" s="9">
        <v>14</v>
      </c>
      <c r="D6406" t="s" s="8">
        <v>14</v>
      </c>
      <c r="E6406" t="s" s="9">
        <v>14</v>
      </c>
      <c r="F6406" t="s" s="10">
        <v>14</v>
      </c>
      <c r="G6406" t="s" s="11">
        <v>14</v>
      </c>
      <c r="H6406" t="s" s="10">
        <v>14</v>
      </c>
      <c r="I6406" t="s" s="11">
        <v>14</v>
      </c>
      <c r="J6406" t="s" s="11">
        <v>14</v>
      </c>
      <c r="K6406" t="s" s="12">
        <v>14</v>
      </c>
      <c r="L6406" t="s" s="12">
        <v>14</v>
      </c>
      <c r="M6406" t="s" s="10">
        <v>14</v>
      </c>
      <c r="N6406" t="s" s="11">
        <v>14</v>
      </c>
      <c r="O6406" t="s" s="8">
        <v>14</v>
      </c>
      <c r="P6406" t="s" s="8">
        <v>14</v>
      </c>
      <c r="Q6406" t="s" s="12">
        <v>14</v>
      </c>
      <c r="R6406" t="s" s="12">
        <v>14</v>
      </c>
    </row>
    <row r="6407" s="2" customFormat="1" ht="13.5" customHeight="1">
      <c r="B6407" s="13"/>
      <c r="C6407" t="s" s="9">
        <v>16</v>
      </c>
      <c r="D6407" t="s" s="8">
        <v>2189</v>
      </c>
      <c r="E6407" t="s" s="9">
        <v>2189</v>
      </c>
      <c r="F6407" t="s" s="10">
        <v>287</v>
      </c>
      <c r="G6407" t="s" s="11">
        <v>287</v>
      </c>
      <c r="H6407" t="s" s="10">
        <v>287</v>
      </c>
      <c r="I6407" t="s" s="11">
        <v>287</v>
      </c>
      <c r="J6407" t="s" s="11">
        <v>20</v>
      </c>
      <c r="K6407" t="s" s="16">
        <f>HYPERLINK("http://csr.bu.edu/ftp/asl/asllvd/demos/verify_start_end_handshape_annotations//test_auto_move//signs_mov/15477.mov","MOV")</f>
        <v>21</v>
      </c>
      <c r="L6407" t="s" s="16">
        <f>HYPERLINK("http://csr.bu.edu/ftp/asl/asllvd/demos/verify_start_end_handshape_annotations//test_auto_move//signs_mov_separ_signers/Liz_15477.mov","MOV")</f>
        <v>21</v>
      </c>
      <c r="M6407" t="s" s="10">
        <v>36</v>
      </c>
      <c r="N6407" s="17">
        <v>49</v>
      </c>
      <c r="O6407" s="18">
        <v>2412</v>
      </c>
      <c r="P6407" s="18">
        <v>2452</v>
      </c>
      <c r="Q6407" t="s" s="16">
        <f>HYPERLINK("http://secrets.rutgers.edu:8080/data/asl-ftp/asllvd/demos/verify_start_end_handshape_annotations//test_auto_move//signs_mov/15477.mov","MOV")</f>
        <v>21</v>
      </c>
      <c r="R6407" t="s" s="16">
        <f>HYPERLINK("http://secrets.rutgers.edu:8080/data/asl-ftp/asllvd/demos/verify_start_end_handshape_annotations//test_auto_move//signs_mov_separ_signers/Liz_15477.mov","MOV")</f>
        <v>21</v>
      </c>
    </row>
    <row r="6408" s="2" customFormat="1" ht="13.5" customHeight="1">
      <c r="B6408" s="13"/>
      <c r="C6408" t="s" s="9">
        <v>30</v>
      </c>
      <c r="D6408" t="s" s="8">
        <v>2189</v>
      </c>
      <c r="E6408" t="s" s="9">
        <v>2189</v>
      </c>
      <c r="F6408" t="s" s="10">
        <v>287</v>
      </c>
      <c r="G6408" t="s" s="11">
        <v>287</v>
      </c>
      <c r="H6408" t="s" s="10">
        <v>287</v>
      </c>
      <c r="I6408" t="s" s="11">
        <v>287</v>
      </c>
      <c r="J6408" t="s" s="11">
        <v>20</v>
      </c>
      <c r="K6408" s="15"/>
      <c r="L6408" t="s" s="16">
        <f>HYPERLINK("http://csr.bu.edu/ftp/asl/asllvd/demos/verify_start_end_handshape_annotations//test_auto_move//signs_mov_separ_signers/Brady_15477.mov","MOV")</f>
        <v>21</v>
      </c>
      <c r="M6408" t="s" s="10">
        <v>40</v>
      </c>
      <c r="N6408" s="17">
        <v>101</v>
      </c>
      <c r="O6408" s="18">
        <v>138</v>
      </c>
      <c r="P6408" s="18">
        <v>160</v>
      </c>
      <c r="Q6408" s="15"/>
      <c r="R6408" t="s" s="16">
        <f>HYPERLINK("http://secrets.rutgers.edu:8080/data/asl-ftp/asllvd/demos/verify_start_end_handshape_annotations//test_auto_move//signs_mov_separ_signers/Brady_15477.mov","MOV")</f>
        <v>21</v>
      </c>
    </row>
    <row r="6409" s="2" customFormat="1" ht="13.5" customHeight="1">
      <c r="B6409" t="s" s="8">
        <v>2190</v>
      </c>
      <c r="C6409" t="s" s="9">
        <v>14</v>
      </c>
      <c r="D6409" t="s" s="8">
        <v>14</v>
      </c>
      <c r="E6409" t="s" s="9">
        <v>14</v>
      </c>
      <c r="F6409" t="s" s="10">
        <v>14</v>
      </c>
      <c r="G6409" t="s" s="11">
        <v>14</v>
      </c>
      <c r="H6409" t="s" s="10">
        <v>14</v>
      </c>
      <c r="I6409" t="s" s="11">
        <v>14</v>
      </c>
      <c r="J6409" t="s" s="11">
        <v>14</v>
      </c>
      <c r="K6409" t="s" s="12">
        <v>14</v>
      </c>
      <c r="L6409" t="s" s="12">
        <v>14</v>
      </c>
      <c r="M6409" t="s" s="10">
        <v>14</v>
      </c>
      <c r="N6409" t="s" s="11">
        <v>14</v>
      </c>
      <c r="O6409" t="s" s="8">
        <v>14</v>
      </c>
      <c r="P6409" t="s" s="8">
        <v>14</v>
      </c>
      <c r="Q6409" t="s" s="12">
        <v>14</v>
      </c>
      <c r="R6409" t="s" s="12">
        <v>14</v>
      </c>
    </row>
    <row r="6410" s="2" customFormat="1" ht="13.5" customHeight="1">
      <c r="B6410" s="13"/>
      <c r="C6410" t="s" s="9">
        <v>16</v>
      </c>
      <c r="D6410" t="s" s="8">
        <v>2190</v>
      </c>
      <c r="E6410" t="s" s="9">
        <v>2190</v>
      </c>
      <c r="F6410" t="s" s="10">
        <v>251</v>
      </c>
      <c r="G6410" t="s" s="11">
        <v>251</v>
      </c>
      <c r="H6410" t="s" s="10">
        <v>251</v>
      </c>
      <c r="I6410" t="s" s="11">
        <v>251</v>
      </c>
      <c r="J6410" t="s" s="11">
        <v>20</v>
      </c>
      <c r="K6410" t="s" s="16">
        <f>HYPERLINK("http://csr.bu.edu/ftp/asl/asllvd/demos/verify_start_end_handshape_annotations//test_auto_move//signs_mov/15885.mov","MOV")</f>
        <v>21</v>
      </c>
      <c r="L6410" t="s" s="16">
        <f>HYPERLINK("http://csr.bu.edu/ftp/asl/asllvd/demos/verify_start_end_handshape_annotations//test_auto_move//signs_mov_separ_signers/Liz_15885.mov","MOV")</f>
        <v>21</v>
      </c>
      <c r="M6410" t="s" s="10">
        <v>36</v>
      </c>
      <c r="N6410" s="17">
        <v>18</v>
      </c>
      <c r="O6410" s="18">
        <v>4621</v>
      </c>
      <c r="P6410" s="18">
        <v>4662</v>
      </c>
      <c r="Q6410" t="s" s="16">
        <f>HYPERLINK("http://secrets.rutgers.edu:8080/data/asl-ftp/asllvd/demos/verify_start_end_handshape_annotations//test_auto_move//signs_mov/15885.mov","MOV")</f>
        <v>21</v>
      </c>
      <c r="R6410" t="s" s="16">
        <f>HYPERLINK("http://secrets.rutgers.edu:8080/data/asl-ftp/asllvd/demos/verify_start_end_handshape_annotations//test_auto_move//signs_mov_separ_signers/Liz_15885.mov","MOV")</f>
        <v>21</v>
      </c>
    </row>
    <row r="6411" s="2" customFormat="1" ht="13.5" customHeight="1">
      <c r="B6411" t="s" s="8">
        <v>2191</v>
      </c>
      <c r="C6411" t="s" s="9">
        <v>14</v>
      </c>
      <c r="D6411" t="s" s="8">
        <v>14</v>
      </c>
      <c r="E6411" t="s" s="9">
        <v>14</v>
      </c>
      <c r="F6411" t="s" s="10">
        <v>14</v>
      </c>
      <c r="G6411" t="s" s="11">
        <v>14</v>
      </c>
      <c r="H6411" t="s" s="10">
        <v>14</v>
      </c>
      <c r="I6411" t="s" s="11">
        <v>14</v>
      </c>
      <c r="J6411" t="s" s="11">
        <v>14</v>
      </c>
      <c r="K6411" t="s" s="12">
        <v>14</v>
      </c>
      <c r="L6411" t="s" s="12">
        <v>14</v>
      </c>
      <c r="M6411" t="s" s="10">
        <v>14</v>
      </c>
      <c r="N6411" t="s" s="11">
        <v>14</v>
      </c>
      <c r="O6411" t="s" s="8">
        <v>14</v>
      </c>
      <c r="P6411" t="s" s="8">
        <v>14</v>
      </c>
      <c r="Q6411" t="s" s="12">
        <v>14</v>
      </c>
      <c r="R6411" t="s" s="12">
        <v>14</v>
      </c>
    </row>
    <row r="6412" s="2" customFormat="1" ht="13.5" customHeight="1">
      <c r="B6412" s="13"/>
      <c r="C6412" t="s" s="9">
        <v>16</v>
      </c>
      <c r="D6412" t="s" s="8">
        <v>2191</v>
      </c>
      <c r="E6412" t="s" s="9">
        <v>2192</v>
      </c>
      <c r="F6412" t="s" s="10">
        <v>287</v>
      </c>
      <c r="G6412" t="s" s="11">
        <v>73</v>
      </c>
      <c r="H6412" t="s" s="10">
        <v>287</v>
      </c>
      <c r="I6412" t="s" s="11">
        <v>73</v>
      </c>
      <c r="J6412" t="s" s="11">
        <v>20</v>
      </c>
      <c r="K6412" t="s" s="16">
        <f>HYPERLINK("http://csr.bu.edu/ftp/asl/asllvd/demos/verify_start_end_handshape_annotations//test_auto_move//signs_mov/1415.mov","MOV")</f>
        <v>21</v>
      </c>
      <c r="L6412" t="s" s="16">
        <f>HYPERLINK("http://csr.bu.edu/ftp/asl/asllvd/demos/verify_start_end_handshape_annotations//test_auto_move//signs_mov_separ_signers/Liz_1415.mov","MOV")</f>
        <v>21</v>
      </c>
      <c r="M6412" t="s" s="10">
        <v>34</v>
      </c>
      <c r="N6412" s="17">
        <v>50</v>
      </c>
      <c r="O6412" s="18">
        <v>2197</v>
      </c>
      <c r="P6412" s="18">
        <v>2281</v>
      </c>
      <c r="Q6412" t="s" s="16">
        <f>HYPERLINK("http://secrets.rutgers.edu:8080/data/asl-ftp/asllvd/demos/verify_start_end_handshape_annotations//test_auto_move//signs_mov/1415.mov","MOV")</f>
        <v>21</v>
      </c>
      <c r="R6412" t="s" s="16">
        <f>HYPERLINK("http://secrets.rutgers.edu:8080/data/asl-ftp/asllvd/demos/verify_start_end_handshape_annotations//test_auto_move//signs_mov_separ_signers/Liz_1415.mov","MOV")</f>
        <v>21</v>
      </c>
    </row>
    <row r="6413" s="2" customFormat="1" ht="13.5" customHeight="1">
      <c r="B6413" s="13"/>
      <c r="C6413" t="s" s="9">
        <v>27</v>
      </c>
      <c r="D6413" t="s" s="8">
        <v>2191</v>
      </c>
      <c r="E6413" t="s" s="9">
        <v>2193</v>
      </c>
      <c r="F6413" t="s" s="10">
        <v>287</v>
      </c>
      <c r="G6413" t="s" s="11">
        <v>73</v>
      </c>
      <c r="H6413" t="s" s="10">
        <v>287</v>
      </c>
      <c r="I6413" t="s" s="11">
        <v>73</v>
      </c>
      <c r="J6413" t="s" s="11">
        <v>20</v>
      </c>
      <c r="K6413" s="15"/>
      <c r="L6413" t="s" s="16">
        <f>HYPERLINK("http://csr.bu.edu/ftp/asl/asllvd/demos/verify_start_end_handshape_annotations//test_auto_move//signs_mov_separ_signers/Naomi_1415.mov","MOV")</f>
        <v>21</v>
      </c>
      <c r="M6413" t="s" s="10">
        <v>48</v>
      </c>
      <c r="N6413" s="17">
        <v>5</v>
      </c>
      <c r="O6413" s="18">
        <v>1491</v>
      </c>
      <c r="P6413" s="18">
        <v>1546</v>
      </c>
      <c r="Q6413" s="15"/>
      <c r="R6413" t="s" s="16">
        <f>HYPERLINK("http://secrets.rutgers.edu:8080/data/asl-ftp/asllvd/demos/verify_start_end_handshape_annotations//test_auto_move//signs_mov_separ_signers/Naomi_1415.mov","MOV")</f>
        <v>21</v>
      </c>
    </row>
    <row r="6414" s="2" customFormat="1" ht="13.5" customHeight="1">
      <c r="B6414" t="s" s="8">
        <v>2194</v>
      </c>
      <c r="C6414" t="s" s="9">
        <v>14</v>
      </c>
      <c r="D6414" t="s" s="8">
        <v>14</v>
      </c>
      <c r="E6414" t="s" s="9">
        <v>14</v>
      </c>
      <c r="F6414" t="s" s="10">
        <v>14</v>
      </c>
      <c r="G6414" t="s" s="11">
        <v>14</v>
      </c>
      <c r="H6414" t="s" s="10">
        <v>14</v>
      </c>
      <c r="I6414" t="s" s="11">
        <v>14</v>
      </c>
      <c r="J6414" t="s" s="11">
        <v>14</v>
      </c>
      <c r="K6414" t="s" s="12">
        <v>14</v>
      </c>
      <c r="L6414" t="s" s="12">
        <v>14</v>
      </c>
      <c r="M6414" t="s" s="10">
        <v>14</v>
      </c>
      <c r="N6414" t="s" s="11">
        <v>14</v>
      </c>
      <c r="O6414" t="s" s="8">
        <v>14</v>
      </c>
      <c r="P6414" t="s" s="8">
        <v>14</v>
      </c>
      <c r="Q6414" t="s" s="12">
        <v>14</v>
      </c>
      <c r="R6414" t="s" s="12">
        <v>14</v>
      </c>
    </row>
    <row r="6415" s="2" customFormat="1" ht="13.5" customHeight="1">
      <c r="B6415" s="13"/>
      <c r="C6415" t="s" s="9">
        <v>16</v>
      </c>
      <c r="D6415" t="s" s="8">
        <v>2194</v>
      </c>
      <c r="E6415" t="s" s="9">
        <v>2195</v>
      </c>
      <c r="F6415" t="s" s="10">
        <v>229</v>
      </c>
      <c r="G6415" s="14"/>
      <c r="H6415" t="s" s="10">
        <v>229</v>
      </c>
      <c r="I6415" s="14"/>
      <c r="J6415" t="s" s="11">
        <v>20</v>
      </c>
      <c r="K6415" s="15"/>
      <c r="L6415" t="s" s="16">
        <f>HYPERLINK("http://csr.bu.edu/ftp/asl/asllvd/demos/verify_start_end_handshape_annotations//test_auto_move//signs_mov_separ_signers/Liz_1418.mov","MOV")</f>
        <v>21</v>
      </c>
      <c r="M6415" t="s" s="10">
        <v>34</v>
      </c>
      <c r="N6415" s="17">
        <v>50</v>
      </c>
      <c r="O6415" s="18">
        <v>3050</v>
      </c>
      <c r="P6415" s="18">
        <v>3096</v>
      </c>
      <c r="Q6415" s="15"/>
      <c r="R6415" t="s" s="16">
        <f>HYPERLINK("http://secrets.rutgers.edu:8080/data/asl-ftp/asllvd/demos/verify_start_end_handshape_annotations//test_auto_move//signs_mov_separ_signers/Liz_1418.mov","MOV")</f>
        <v>21</v>
      </c>
    </row>
    <row r="6416" s="2" customFormat="1" ht="13.5" customHeight="1">
      <c r="B6416" s="13"/>
      <c r="C6416" t="s" s="9">
        <v>23</v>
      </c>
      <c r="D6416" t="s" s="8">
        <v>2194</v>
      </c>
      <c r="E6416" t="s" s="9">
        <v>2195</v>
      </c>
      <c r="F6416" t="s" s="10">
        <v>229</v>
      </c>
      <c r="G6416" s="14"/>
      <c r="H6416" t="s" s="10">
        <v>229</v>
      </c>
      <c r="I6416" s="14"/>
      <c r="J6416" t="s" s="11">
        <v>20</v>
      </c>
      <c r="K6416" t="s" s="16">
        <f>HYPERLINK("http://csr.bu.edu/ftp/asl/asllvd/demos/verify_start_end_handshape_annotations//test_auto_move//signs_mov/1418.mov","MOV")</f>
        <v>21</v>
      </c>
      <c r="L6416" t="s" s="16">
        <f>HYPERLINK("http://csr.bu.edu/ftp/asl/asllvd/demos/verify_start_end_handshape_annotations//test_auto_move//signs_mov_separ_signers/Tyler_1418.mov","MOV")</f>
        <v>21</v>
      </c>
      <c r="M6416" t="s" s="10">
        <v>47</v>
      </c>
      <c r="N6416" s="17">
        <v>2</v>
      </c>
      <c r="O6416" s="18">
        <v>2612</v>
      </c>
      <c r="P6416" s="18">
        <v>2653</v>
      </c>
      <c r="Q6416" t="s" s="16">
        <f>HYPERLINK("http://secrets.rutgers.edu:8080/data/asl-ftp/asllvd/demos/verify_start_end_handshape_annotations//test_auto_move//signs_mov/1418.mov","MOV")</f>
        <v>21</v>
      </c>
      <c r="R6416" t="s" s="16">
        <f>HYPERLINK("http://secrets.rutgers.edu:8080/data/asl-ftp/asllvd/demos/verify_start_end_handshape_annotations//test_auto_move//signs_mov_separ_signers/Tyler_1418.mov","MOV")</f>
        <v>21</v>
      </c>
    </row>
    <row r="6417" s="2" customFormat="1" ht="13.5" customHeight="1">
      <c r="B6417" s="13"/>
      <c r="C6417" t="s" s="9">
        <v>27</v>
      </c>
      <c r="D6417" t="s" s="8">
        <v>2194</v>
      </c>
      <c r="E6417" t="s" s="9">
        <v>2194</v>
      </c>
      <c r="F6417" t="s" s="10">
        <v>229</v>
      </c>
      <c r="G6417" s="14"/>
      <c r="H6417" t="s" s="10">
        <v>229</v>
      </c>
      <c r="I6417" s="14"/>
      <c r="J6417" t="s" s="11">
        <v>20</v>
      </c>
      <c r="K6417" s="15"/>
      <c r="L6417" t="s" s="16">
        <f>HYPERLINK("http://csr.bu.edu/ftp/asl/asllvd/demos/verify_start_end_handshape_annotations//test_auto_move//signs_mov_separ_signers/Naomi_1418.mov","MOV")</f>
        <v>21</v>
      </c>
      <c r="M6417" t="s" s="10">
        <v>48</v>
      </c>
      <c r="N6417" s="17">
        <v>5</v>
      </c>
      <c r="O6417" s="18">
        <v>2430</v>
      </c>
      <c r="P6417" s="18">
        <v>2453</v>
      </c>
      <c r="Q6417" s="15"/>
      <c r="R6417" t="s" s="16">
        <f>HYPERLINK("http://secrets.rutgers.edu:8080/data/asl-ftp/asllvd/demos/verify_start_end_handshape_annotations//test_auto_move//signs_mov_separ_signers/Naomi_1418.mov","MOV")</f>
        <v>21</v>
      </c>
    </row>
    <row r="6418" s="2" customFormat="1" ht="13.5" customHeight="1">
      <c r="B6418" s="13"/>
      <c r="C6418" t="s" s="9">
        <v>30</v>
      </c>
      <c r="D6418" t="s" s="8">
        <v>2194</v>
      </c>
      <c r="E6418" t="s" s="9">
        <v>2195</v>
      </c>
      <c r="F6418" t="s" s="10">
        <v>229</v>
      </c>
      <c r="G6418" s="14"/>
      <c r="H6418" t="s" s="10">
        <v>229</v>
      </c>
      <c r="I6418" s="14"/>
      <c r="J6418" t="s" s="11">
        <v>20</v>
      </c>
      <c r="K6418" s="15"/>
      <c r="L6418" t="s" s="16">
        <f>HYPERLINK("http://csr.bu.edu/ftp/asl/asllvd/demos/verify_start_end_handshape_annotations//test_auto_move//signs_mov_separ_signers/Brady_1418.mov","MOV")</f>
        <v>21</v>
      </c>
      <c r="M6418" t="s" s="10">
        <v>39</v>
      </c>
      <c r="N6418" s="17">
        <v>50</v>
      </c>
      <c r="O6418" s="18">
        <v>1334</v>
      </c>
      <c r="P6418" s="18">
        <v>1367</v>
      </c>
      <c r="Q6418" s="15"/>
      <c r="R6418" t="s" s="16">
        <f>HYPERLINK("http://secrets.rutgers.edu:8080/data/asl-ftp/asllvd/demos/verify_start_end_handshape_annotations//test_auto_move//signs_mov_separ_signers/Brady_1418.mov","MOV")</f>
        <v>21</v>
      </c>
    </row>
    <row r="6419" s="2" customFormat="1" ht="13.5" customHeight="1">
      <c r="B6419" t="s" s="8">
        <v>2196</v>
      </c>
      <c r="C6419" t="s" s="9">
        <v>14</v>
      </c>
      <c r="D6419" t="s" s="8">
        <v>14</v>
      </c>
      <c r="E6419" t="s" s="9">
        <v>14</v>
      </c>
      <c r="F6419" t="s" s="10">
        <v>14</v>
      </c>
      <c r="G6419" t="s" s="11">
        <v>14</v>
      </c>
      <c r="H6419" t="s" s="10">
        <v>14</v>
      </c>
      <c r="I6419" t="s" s="11">
        <v>14</v>
      </c>
      <c r="J6419" t="s" s="11">
        <v>14</v>
      </c>
      <c r="K6419" t="s" s="12">
        <v>14</v>
      </c>
      <c r="L6419" t="s" s="12">
        <v>14</v>
      </c>
      <c r="M6419" t="s" s="10">
        <v>14</v>
      </c>
      <c r="N6419" t="s" s="11">
        <v>14</v>
      </c>
      <c r="O6419" t="s" s="8">
        <v>14</v>
      </c>
      <c r="P6419" t="s" s="8">
        <v>14</v>
      </c>
      <c r="Q6419" t="s" s="12">
        <v>14</v>
      </c>
      <c r="R6419" t="s" s="12">
        <v>14</v>
      </c>
    </row>
    <row r="6420" s="2" customFormat="1" ht="13.5" customHeight="1">
      <c r="B6420" s="13"/>
      <c r="C6420" t="s" s="9">
        <v>16</v>
      </c>
      <c r="D6420" t="s" s="8">
        <v>2196</v>
      </c>
      <c r="E6420" t="s" s="9">
        <v>2196</v>
      </c>
      <c r="F6420" t="s" s="10">
        <v>80</v>
      </c>
      <c r="G6420" t="s" s="11">
        <v>73</v>
      </c>
      <c r="H6420" t="s" s="10">
        <v>80</v>
      </c>
      <c r="I6420" t="s" s="11">
        <v>73</v>
      </c>
      <c r="J6420" t="s" s="11">
        <v>20</v>
      </c>
      <c r="K6420" s="15"/>
      <c r="L6420" t="s" s="16">
        <f>HYPERLINK("http://csr.bu.edu/ftp/asl/asllvd/demos/verify_start_end_handshape_annotations//test_auto_move//signs_mov_separ_signers/Liz_1422.mov","MOV")</f>
        <v>21</v>
      </c>
      <c r="M6420" t="s" s="10">
        <v>34</v>
      </c>
      <c r="N6420" s="17">
        <v>47</v>
      </c>
      <c r="O6420" s="18">
        <v>1130</v>
      </c>
      <c r="P6420" s="18">
        <v>1170</v>
      </c>
      <c r="Q6420" s="15"/>
      <c r="R6420" t="s" s="16">
        <f>HYPERLINK("http://secrets.rutgers.edu:8080/data/asl-ftp/asllvd/demos/verify_start_end_handshape_annotations//test_auto_move//signs_mov_separ_signers/Liz_1422.mov","MOV")</f>
        <v>21</v>
      </c>
    </row>
    <row r="6421" s="2" customFormat="1" ht="13.5" customHeight="1">
      <c r="B6421" s="13"/>
      <c r="C6421" t="s" s="9">
        <v>16</v>
      </c>
      <c r="D6421" t="s" s="8">
        <v>2196</v>
      </c>
      <c r="E6421" t="s" s="9">
        <v>2197</v>
      </c>
      <c r="F6421" t="s" s="10">
        <v>80</v>
      </c>
      <c r="G6421" t="s" s="11">
        <v>73</v>
      </c>
      <c r="H6421" t="s" s="10">
        <v>80</v>
      </c>
      <c r="I6421" t="s" s="11">
        <v>73</v>
      </c>
      <c r="J6421" t="s" s="11">
        <v>20</v>
      </c>
      <c r="K6421" s="15"/>
      <c r="L6421" t="s" s="16">
        <f>HYPERLINK("http://csr.bu.edu/ftp/asl/asllvd/demos/verify_start_end_handshape_annotations//test_auto_move//signs_mov_separ_signers/Liz_3548.mov","MOV")</f>
        <v>21</v>
      </c>
      <c r="M6421" t="s" s="10">
        <v>34</v>
      </c>
      <c r="N6421" s="17">
        <v>51</v>
      </c>
      <c r="O6421" s="18">
        <v>882</v>
      </c>
      <c r="P6421" s="18">
        <v>940</v>
      </c>
      <c r="Q6421" s="15"/>
      <c r="R6421" t="s" s="16">
        <f>HYPERLINK("http://secrets.rutgers.edu:8080/data/asl-ftp/asllvd/demos/verify_start_end_handshape_annotations//test_auto_move//signs_mov_separ_signers/Liz_3548.mov","MOV")</f>
        <v>21</v>
      </c>
    </row>
    <row r="6422" s="2" customFormat="1" ht="13.5" customHeight="1">
      <c r="B6422" s="13"/>
      <c r="C6422" t="s" s="9">
        <v>23</v>
      </c>
      <c r="D6422" t="s" s="8">
        <v>2196</v>
      </c>
      <c r="E6422" t="s" s="9">
        <v>2198</v>
      </c>
      <c r="F6422" t="s" s="10">
        <v>80</v>
      </c>
      <c r="G6422" t="s" s="11">
        <v>73</v>
      </c>
      <c r="H6422" t="s" s="10">
        <v>80</v>
      </c>
      <c r="I6422" t="s" s="11">
        <v>73</v>
      </c>
      <c r="J6422" t="s" s="11">
        <v>20</v>
      </c>
      <c r="K6422" s="15"/>
      <c r="L6422" t="s" s="16">
        <f>HYPERLINK("http://csr.bu.edu/ftp/asl/asllvd/demos/verify_start_end_handshape_annotations//test_auto_move//signs_mov_separ_signers/Tyler_1422.mov","MOV")</f>
        <v>21</v>
      </c>
      <c r="M6422" t="s" s="10">
        <v>37</v>
      </c>
      <c r="N6422" s="17">
        <v>19</v>
      </c>
      <c r="O6422" s="18">
        <v>2345</v>
      </c>
      <c r="P6422" s="18">
        <v>2390</v>
      </c>
      <c r="Q6422" s="15"/>
      <c r="R6422" t="s" s="16">
        <f>HYPERLINK("http://secrets.rutgers.edu:8080/data/asl-ftp/asllvd/demos/verify_start_end_handshape_annotations//test_auto_move//signs_mov_separ_signers/Tyler_1422.mov","MOV")</f>
        <v>21</v>
      </c>
    </row>
    <row r="6423" s="2" customFormat="1" ht="13.5" customHeight="1">
      <c r="B6423" s="13"/>
      <c r="C6423" t="s" s="9">
        <v>23</v>
      </c>
      <c r="D6423" t="s" s="8">
        <v>2196</v>
      </c>
      <c r="E6423" t="s" s="9">
        <v>2198</v>
      </c>
      <c r="F6423" t="s" s="10">
        <v>80</v>
      </c>
      <c r="G6423" t="s" s="11">
        <v>73</v>
      </c>
      <c r="H6423" t="s" s="10">
        <v>80</v>
      </c>
      <c r="I6423" t="s" s="11">
        <v>73</v>
      </c>
      <c r="J6423" t="s" s="11">
        <v>20</v>
      </c>
      <c r="K6423" t="s" s="16">
        <f>HYPERLINK("http://csr.bu.edu/ftp/asl/asllvd/demos/verify_start_end_handshape_annotations//test_auto_move//signs_mov/1422_3548_merged.mov","MOV")</f>
        <v>21</v>
      </c>
      <c r="L6423" t="s" s="16">
        <f>HYPERLINK("http://csr.bu.edu/ftp/asl/asllvd/demos/verify_start_end_handshape_annotations//test_auto_move//signs_mov_separ_signers/Tyler_3548.mov","MOV")</f>
        <v>21</v>
      </c>
      <c r="M6423" t="s" s="10">
        <v>47</v>
      </c>
      <c r="N6423" s="17">
        <v>3</v>
      </c>
      <c r="O6423" s="18">
        <v>875</v>
      </c>
      <c r="P6423" s="18">
        <v>912</v>
      </c>
      <c r="Q6423" t="s" s="16">
        <f>HYPERLINK("http://secrets.rutgers.edu:8080/data/asl-ftp/asllvd/demos/verify_start_end_handshape_annotations//test_auto_move//signs_mov/1422_3548_merged.mov","MOV")</f>
        <v>21</v>
      </c>
      <c r="R6423" t="s" s="16">
        <f>HYPERLINK("http://secrets.rutgers.edu:8080/data/asl-ftp/asllvd/demos/verify_start_end_handshape_annotations//test_auto_move//signs_mov_separ_signers/Tyler_3548.mov","MOV")</f>
        <v>21</v>
      </c>
    </row>
    <row r="6424" s="2" customFormat="1" ht="13.5" customHeight="1">
      <c r="B6424" s="13"/>
      <c r="C6424" t="s" s="9">
        <v>27</v>
      </c>
      <c r="D6424" t="s" s="8">
        <v>2196</v>
      </c>
      <c r="E6424" t="s" s="9">
        <v>2196</v>
      </c>
      <c r="F6424" t="s" s="10">
        <v>80</v>
      </c>
      <c r="G6424" t="s" s="11">
        <v>73</v>
      </c>
      <c r="H6424" t="s" s="10">
        <v>80</v>
      </c>
      <c r="I6424" t="s" s="11">
        <v>73</v>
      </c>
      <c r="J6424" t="s" s="11">
        <v>20</v>
      </c>
      <c r="K6424" s="15"/>
      <c r="L6424" t="s" s="16">
        <f>HYPERLINK("http://csr.bu.edu/ftp/asl/asllvd/demos/verify_start_end_handshape_annotations//test_auto_move//signs_mov_separ_signers/Naomi_1422.mov","MOV")</f>
        <v>21</v>
      </c>
      <c r="M6424" t="s" s="10">
        <v>48</v>
      </c>
      <c r="N6424" s="17">
        <v>2</v>
      </c>
      <c r="O6424" s="18">
        <v>2260</v>
      </c>
      <c r="P6424" s="18">
        <v>2293</v>
      </c>
      <c r="Q6424" s="15"/>
      <c r="R6424" t="s" s="16">
        <f>HYPERLINK("http://secrets.rutgers.edu:8080/data/asl-ftp/asllvd/demos/verify_start_end_handshape_annotations//test_auto_move//signs_mov_separ_signers/Naomi_1422.mov","MOV")</f>
        <v>21</v>
      </c>
    </row>
    <row r="6425" s="2" customFormat="1" ht="13.5" customHeight="1">
      <c r="B6425" s="13"/>
      <c r="C6425" t="s" s="9">
        <v>27</v>
      </c>
      <c r="D6425" t="s" s="8">
        <v>2196</v>
      </c>
      <c r="E6425" t="s" s="9">
        <v>2198</v>
      </c>
      <c r="F6425" t="s" s="10">
        <v>80</v>
      </c>
      <c r="G6425" t="s" s="11">
        <v>73</v>
      </c>
      <c r="H6425" t="s" s="10">
        <v>80</v>
      </c>
      <c r="I6425" t="s" s="11">
        <v>73</v>
      </c>
      <c r="J6425" t="s" s="11">
        <v>20</v>
      </c>
      <c r="K6425" s="15"/>
      <c r="L6425" t="s" s="16">
        <f>HYPERLINK("http://csr.bu.edu/ftp/asl/asllvd/demos/verify_start_end_handshape_annotations//test_auto_move//signs_mov_separ_signers/Naomi_3548.mov","MOV")</f>
        <v>21</v>
      </c>
      <c r="M6425" t="s" s="10">
        <v>48</v>
      </c>
      <c r="N6425" s="17">
        <v>6</v>
      </c>
      <c r="O6425" s="18">
        <v>622</v>
      </c>
      <c r="P6425" s="18">
        <v>665</v>
      </c>
      <c r="Q6425" s="15"/>
      <c r="R6425" t="s" s="16">
        <f>HYPERLINK("http://secrets.rutgers.edu:8080/data/asl-ftp/asllvd/demos/verify_start_end_handshape_annotations//test_auto_move//signs_mov_separ_signers/Naomi_3548.mov","MOV")</f>
        <v>21</v>
      </c>
    </row>
    <row r="6426" s="2" customFormat="1" ht="13.5" customHeight="1">
      <c r="B6426" s="13"/>
      <c r="C6426" t="s" s="9">
        <v>30</v>
      </c>
      <c r="D6426" t="s" s="8">
        <v>2196</v>
      </c>
      <c r="E6426" t="s" s="9">
        <v>2197</v>
      </c>
      <c r="F6426" t="s" s="10">
        <v>80</v>
      </c>
      <c r="G6426" t="s" s="11">
        <v>73</v>
      </c>
      <c r="H6426" t="s" s="10">
        <v>80</v>
      </c>
      <c r="I6426" t="s" s="11">
        <v>73</v>
      </c>
      <c r="J6426" t="s" s="11">
        <v>20</v>
      </c>
      <c r="K6426" s="15"/>
      <c r="L6426" t="s" s="16">
        <f>HYPERLINK("http://csr.bu.edu/ftp/asl/asllvd/demos/verify_start_end_handshape_annotations//test_auto_move//signs_mov_separ_signers/Brady_1422.mov","MOV")</f>
        <v>21</v>
      </c>
      <c r="M6426" t="s" s="10">
        <v>39</v>
      </c>
      <c r="N6426" s="17">
        <v>48</v>
      </c>
      <c r="O6426" s="18">
        <v>3712</v>
      </c>
      <c r="P6426" s="18">
        <v>3754</v>
      </c>
      <c r="Q6426" s="15"/>
      <c r="R6426" t="s" s="16">
        <f>HYPERLINK("http://secrets.rutgers.edu:8080/data/asl-ftp/asllvd/demos/verify_start_end_handshape_annotations//test_auto_move//signs_mov_separ_signers/Brady_1422.mov","MOV")</f>
        <v>21</v>
      </c>
    </row>
    <row r="6427" s="2" customFormat="1" ht="13.5" customHeight="1">
      <c r="B6427" s="13"/>
      <c r="C6427" t="s" s="9">
        <v>30</v>
      </c>
      <c r="D6427" t="s" s="8">
        <v>2196</v>
      </c>
      <c r="E6427" t="s" s="9">
        <v>2197</v>
      </c>
      <c r="F6427" t="s" s="10">
        <v>80</v>
      </c>
      <c r="G6427" t="s" s="11">
        <v>73</v>
      </c>
      <c r="H6427" t="s" s="10">
        <v>80</v>
      </c>
      <c r="I6427" t="s" s="11">
        <v>73</v>
      </c>
      <c r="J6427" t="s" s="11">
        <v>20</v>
      </c>
      <c r="K6427" s="15"/>
      <c r="L6427" t="s" s="16">
        <f>HYPERLINK("http://csr.bu.edu/ftp/asl/asllvd/demos/verify_start_end_handshape_annotations//test_auto_move//signs_mov_separ_signers/Brady_3548.mov","MOV")</f>
        <v>21</v>
      </c>
      <c r="M6427" t="s" s="10">
        <v>39</v>
      </c>
      <c r="N6427" s="17">
        <v>50</v>
      </c>
      <c r="O6427" s="18">
        <v>2314</v>
      </c>
      <c r="P6427" s="18">
        <v>2366</v>
      </c>
      <c r="Q6427" s="15"/>
      <c r="R6427" t="s" s="16">
        <f>HYPERLINK("http://secrets.rutgers.edu:8080/data/asl-ftp/asllvd/demos/verify_start_end_handshape_annotations//test_auto_move//signs_mov_separ_signers/Brady_3548.mov","MOV")</f>
        <v>21</v>
      </c>
    </row>
    <row r="6428" s="2" customFormat="1" ht="13.5" customHeight="1">
      <c r="B6428" t="s" s="8">
        <v>2199</v>
      </c>
      <c r="C6428" t="s" s="9">
        <v>14</v>
      </c>
      <c r="D6428" t="s" s="8">
        <v>14</v>
      </c>
      <c r="E6428" t="s" s="9">
        <v>14</v>
      </c>
      <c r="F6428" t="s" s="10">
        <v>14</v>
      </c>
      <c r="G6428" t="s" s="11">
        <v>14</v>
      </c>
      <c r="H6428" t="s" s="10">
        <v>14</v>
      </c>
      <c r="I6428" t="s" s="11">
        <v>14</v>
      </c>
      <c r="J6428" t="s" s="11">
        <v>14</v>
      </c>
      <c r="K6428" t="s" s="12">
        <v>14</v>
      </c>
      <c r="L6428" t="s" s="12">
        <v>14</v>
      </c>
      <c r="M6428" t="s" s="10">
        <v>14</v>
      </c>
      <c r="N6428" t="s" s="11">
        <v>14</v>
      </c>
      <c r="O6428" t="s" s="8">
        <v>14</v>
      </c>
      <c r="P6428" t="s" s="8">
        <v>14</v>
      </c>
      <c r="Q6428" t="s" s="12">
        <v>14</v>
      </c>
      <c r="R6428" t="s" s="12">
        <v>14</v>
      </c>
    </row>
    <row r="6429" s="2" customFormat="1" ht="13.5" customHeight="1">
      <c r="B6429" s="13"/>
      <c r="C6429" t="s" s="9">
        <v>16</v>
      </c>
      <c r="D6429" t="s" s="8">
        <v>2199</v>
      </c>
      <c r="E6429" t="s" s="9">
        <v>2200</v>
      </c>
      <c r="F6429" t="s" s="10">
        <v>119</v>
      </c>
      <c r="G6429" t="s" s="11">
        <v>73</v>
      </c>
      <c r="H6429" t="s" s="10">
        <v>119</v>
      </c>
      <c r="I6429" t="s" s="11">
        <v>73</v>
      </c>
      <c r="J6429" t="s" s="11">
        <v>20</v>
      </c>
      <c r="K6429" t="s" s="16">
        <f>HYPERLINK("http://csr.bu.edu/ftp/asl/asllvd/demos/verify_start_end_handshape_annotations//test_auto_move//signs_mov/15660.mov","MOV")</f>
        <v>21</v>
      </c>
      <c r="L6429" t="s" s="16">
        <f>HYPERLINK("http://csr.bu.edu/ftp/asl/asllvd/demos/verify_start_end_handshape_annotations//test_auto_move//signs_mov_separ_signers/Liz_15660.mov","MOV")</f>
        <v>21</v>
      </c>
      <c r="M6429" t="s" s="10">
        <v>88</v>
      </c>
      <c r="N6429" s="17">
        <v>28</v>
      </c>
      <c r="O6429" s="18">
        <v>1150</v>
      </c>
      <c r="P6429" s="18">
        <v>1205</v>
      </c>
      <c r="Q6429" t="s" s="16">
        <f>HYPERLINK("http://secrets.rutgers.edu:8080/data/asl-ftp/asllvd/demos/verify_start_end_handshape_annotations//test_auto_move//signs_mov/15660.mov","MOV")</f>
        <v>21</v>
      </c>
      <c r="R6429" t="s" s="16">
        <f>HYPERLINK("http://secrets.rutgers.edu:8080/data/asl-ftp/asllvd/demos/verify_start_end_handshape_annotations//test_auto_move//signs_mov_separ_signers/Liz_15660.mov","MOV")</f>
        <v>21</v>
      </c>
    </row>
    <row r="6430" s="2" customFormat="1" ht="13.5" customHeight="1">
      <c r="B6430" s="13"/>
      <c r="C6430" t="s" s="9">
        <v>30</v>
      </c>
      <c r="D6430" t="s" s="8">
        <v>2199</v>
      </c>
      <c r="E6430" t="s" s="9">
        <v>2200</v>
      </c>
      <c r="F6430" t="s" s="10">
        <v>119</v>
      </c>
      <c r="G6430" t="s" s="11">
        <v>73</v>
      </c>
      <c r="H6430" t="s" s="10">
        <v>119</v>
      </c>
      <c r="I6430" t="s" s="11">
        <v>73</v>
      </c>
      <c r="J6430" t="s" s="11">
        <v>20</v>
      </c>
      <c r="K6430" s="15"/>
      <c r="L6430" t="s" s="16">
        <f>HYPERLINK("http://csr.bu.edu/ftp/asl/asllvd/demos/verify_start_end_handshape_annotations//test_auto_move//signs_mov_separ_signers/Brady_15660.mov","MOV")</f>
        <v>21</v>
      </c>
      <c r="M6430" t="s" s="10">
        <v>40</v>
      </c>
      <c r="N6430" s="17">
        <v>23</v>
      </c>
      <c r="O6430" s="18">
        <v>3224</v>
      </c>
      <c r="P6430" s="18">
        <v>3270</v>
      </c>
      <c r="Q6430" s="15"/>
      <c r="R6430" t="s" s="16">
        <f>HYPERLINK("http://secrets.rutgers.edu:8080/data/asl-ftp/asllvd/demos/verify_start_end_handshape_annotations//test_auto_move//signs_mov_separ_signers/Brady_15660.mov","MOV")</f>
        <v>21</v>
      </c>
    </row>
    <row r="6431" s="2" customFormat="1" ht="13.5" customHeight="1">
      <c r="B6431" t="s" s="8">
        <v>2201</v>
      </c>
      <c r="C6431" t="s" s="9">
        <v>14</v>
      </c>
      <c r="D6431" t="s" s="8">
        <v>14</v>
      </c>
      <c r="E6431" t="s" s="9">
        <v>14</v>
      </c>
      <c r="F6431" t="s" s="10">
        <v>14</v>
      </c>
      <c r="G6431" t="s" s="11">
        <v>14</v>
      </c>
      <c r="H6431" t="s" s="10">
        <v>14</v>
      </c>
      <c r="I6431" t="s" s="11">
        <v>14</v>
      </c>
      <c r="J6431" t="s" s="11">
        <v>14</v>
      </c>
      <c r="K6431" t="s" s="12">
        <v>14</v>
      </c>
      <c r="L6431" t="s" s="12">
        <v>14</v>
      </c>
      <c r="M6431" t="s" s="10">
        <v>14</v>
      </c>
      <c r="N6431" t="s" s="11">
        <v>14</v>
      </c>
      <c r="O6431" t="s" s="8">
        <v>14</v>
      </c>
      <c r="P6431" t="s" s="8">
        <v>14</v>
      </c>
      <c r="Q6431" t="s" s="12">
        <v>14</v>
      </c>
      <c r="R6431" t="s" s="12">
        <v>14</v>
      </c>
    </row>
    <row r="6432" s="2" customFormat="1" ht="13.5" customHeight="1">
      <c r="B6432" s="13"/>
      <c r="C6432" t="s" s="9">
        <v>16</v>
      </c>
      <c r="D6432" t="s" s="8">
        <v>2201</v>
      </c>
      <c r="E6432" t="s" s="9">
        <v>2201</v>
      </c>
      <c r="F6432" t="s" s="10">
        <v>119</v>
      </c>
      <c r="G6432" t="s" s="11">
        <v>73</v>
      </c>
      <c r="H6432" t="s" s="10">
        <v>119</v>
      </c>
      <c r="I6432" t="s" s="11">
        <v>73</v>
      </c>
      <c r="J6432" t="s" s="11">
        <v>20</v>
      </c>
      <c r="K6432" t="s" s="16">
        <f>HYPERLINK("http://csr.bu.edu/ftp/asl/asllvd/demos/verify_start_end_handshape_annotations//test_auto_move//signs_mov/15911.mov","MOV")</f>
        <v>21</v>
      </c>
      <c r="L6432" t="s" s="16">
        <f>HYPERLINK("http://csr.bu.edu/ftp/asl/asllvd/demos/verify_start_end_handshape_annotations//test_auto_move//signs_mov_separ_signers/Liz_15911.mov","MOV")</f>
        <v>21</v>
      </c>
      <c r="M6432" t="s" s="10">
        <v>36</v>
      </c>
      <c r="N6432" s="17">
        <v>11</v>
      </c>
      <c r="O6432" s="18">
        <v>1075</v>
      </c>
      <c r="P6432" s="18">
        <v>1107</v>
      </c>
      <c r="Q6432" t="s" s="16">
        <f>HYPERLINK("http://secrets.rutgers.edu:8080/data/asl-ftp/asllvd/demos/verify_start_end_handshape_annotations//test_auto_move//signs_mov/15911.mov","MOV")</f>
        <v>21</v>
      </c>
      <c r="R6432" t="s" s="16">
        <f>HYPERLINK("http://secrets.rutgers.edu:8080/data/asl-ftp/asllvd/demos/verify_start_end_handshape_annotations//test_auto_move//signs_mov_separ_signers/Liz_15911.mov","MOV")</f>
        <v>21</v>
      </c>
    </row>
    <row r="6433" s="2" customFormat="1" ht="13.5" customHeight="1">
      <c r="B6433" s="13"/>
      <c r="C6433" t="s" s="9">
        <v>30</v>
      </c>
      <c r="D6433" t="s" s="8">
        <v>2201</v>
      </c>
      <c r="E6433" t="s" s="9">
        <v>2201</v>
      </c>
      <c r="F6433" t="s" s="10">
        <v>119</v>
      </c>
      <c r="G6433" t="s" s="11">
        <v>73</v>
      </c>
      <c r="H6433" t="s" s="10">
        <v>119</v>
      </c>
      <c r="I6433" t="s" s="11">
        <v>73</v>
      </c>
      <c r="J6433" t="s" s="11">
        <v>20</v>
      </c>
      <c r="K6433" s="15"/>
      <c r="L6433" t="s" s="16">
        <f>HYPERLINK("http://csr.bu.edu/ftp/asl/asllvd/demos/verify_start_end_handshape_annotations//test_auto_move//signs_mov_separ_signers/Brady_15911.mov","MOV")</f>
        <v>21</v>
      </c>
      <c r="M6433" t="s" s="10">
        <v>40</v>
      </c>
      <c r="N6433" s="17">
        <v>56</v>
      </c>
      <c r="O6433" s="18">
        <v>962</v>
      </c>
      <c r="P6433" s="18">
        <v>1005</v>
      </c>
      <c r="Q6433" s="15"/>
      <c r="R6433" t="s" s="16">
        <f>HYPERLINK("http://secrets.rutgers.edu:8080/data/asl-ftp/asllvd/demos/verify_start_end_handshape_annotations//test_auto_move//signs_mov_separ_signers/Brady_15911.mov","MOV")</f>
        <v>21</v>
      </c>
    </row>
    <row r="6434" s="2" customFormat="1" ht="13.5" customHeight="1">
      <c r="B6434" t="s" s="8">
        <v>2202</v>
      </c>
      <c r="C6434" t="s" s="9">
        <v>14</v>
      </c>
      <c r="D6434" t="s" s="8">
        <v>14</v>
      </c>
      <c r="E6434" t="s" s="9">
        <v>14</v>
      </c>
      <c r="F6434" t="s" s="10">
        <v>14</v>
      </c>
      <c r="G6434" t="s" s="11">
        <v>14</v>
      </c>
      <c r="H6434" t="s" s="10">
        <v>14</v>
      </c>
      <c r="I6434" t="s" s="11">
        <v>14</v>
      </c>
      <c r="J6434" t="s" s="11">
        <v>14</v>
      </c>
      <c r="K6434" t="s" s="12">
        <v>14</v>
      </c>
      <c r="L6434" t="s" s="12">
        <v>14</v>
      </c>
      <c r="M6434" t="s" s="10">
        <v>14</v>
      </c>
      <c r="N6434" t="s" s="11">
        <v>14</v>
      </c>
      <c r="O6434" t="s" s="8">
        <v>14</v>
      </c>
      <c r="P6434" t="s" s="8">
        <v>14</v>
      </c>
      <c r="Q6434" t="s" s="12">
        <v>14</v>
      </c>
      <c r="R6434" t="s" s="12">
        <v>14</v>
      </c>
    </row>
    <row r="6435" s="2" customFormat="1" ht="13.5" customHeight="1">
      <c r="B6435" s="13"/>
      <c r="C6435" t="s" s="9">
        <v>16</v>
      </c>
      <c r="D6435" t="s" s="8">
        <v>2202</v>
      </c>
      <c r="E6435" t="s" s="9">
        <v>2202</v>
      </c>
      <c r="F6435" t="s" s="10">
        <v>185</v>
      </c>
      <c r="G6435" t="s" s="11">
        <v>73</v>
      </c>
      <c r="H6435" t="s" s="10">
        <v>185</v>
      </c>
      <c r="I6435" t="s" s="11">
        <v>73</v>
      </c>
      <c r="J6435" t="s" s="11">
        <v>20</v>
      </c>
      <c r="K6435" s="15"/>
      <c r="L6435" t="s" s="16">
        <f>HYPERLINK("http://csr.bu.edu/ftp/asl/asllvd/demos/verify_start_end_handshape_annotations//test_auto_move//signs_mov_separ_signers/Liz_15932.mov","MOV")</f>
        <v>21</v>
      </c>
      <c r="M6435" t="s" s="10">
        <v>84</v>
      </c>
      <c r="N6435" s="17">
        <v>6</v>
      </c>
      <c r="O6435" s="18">
        <v>3225</v>
      </c>
      <c r="P6435" s="18">
        <v>3252</v>
      </c>
      <c r="Q6435" s="15"/>
      <c r="R6435" t="s" s="16">
        <f>HYPERLINK("http://secrets.rutgers.edu:8080/data/asl-ftp/asllvd/demos/verify_start_end_handshape_annotations//test_auto_move//signs_mov_separ_signers/Liz_15932.mov","MOV")</f>
        <v>21</v>
      </c>
    </row>
    <row r="6436" s="2" customFormat="1" ht="13.5" customHeight="1">
      <c r="B6436" s="13"/>
      <c r="C6436" t="s" s="9">
        <v>23</v>
      </c>
      <c r="D6436" t="s" s="8">
        <v>2202</v>
      </c>
      <c r="E6436" t="s" s="9">
        <v>2202</v>
      </c>
      <c r="F6436" t="s" s="10">
        <v>185</v>
      </c>
      <c r="G6436" t="s" s="11">
        <v>73</v>
      </c>
      <c r="H6436" t="s" s="10">
        <v>185</v>
      </c>
      <c r="I6436" t="s" s="11">
        <v>73</v>
      </c>
      <c r="J6436" t="s" s="11">
        <v>20</v>
      </c>
      <c r="K6436" s="15"/>
      <c r="L6436" t="s" s="16">
        <f>HYPERLINK("http://csr.bu.edu/ftp/asl/asllvd/demos/verify_start_end_handshape_annotations//test_auto_move//signs_mov_separ_signers/Tyler_15932.mov","MOV")</f>
        <v>21</v>
      </c>
      <c r="M6436" t="s" s="10">
        <v>125</v>
      </c>
      <c r="N6436" s="17">
        <v>6</v>
      </c>
      <c r="O6436" s="18">
        <v>2910</v>
      </c>
      <c r="P6436" s="18">
        <v>2935</v>
      </c>
      <c r="Q6436" s="15"/>
      <c r="R6436" t="s" s="16">
        <f>HYPERLINK("http://secrets.rutgers.edu:8080/data/asl-ftp/asllvd/demos/verify_start_end_handshape_annotations//test_auto_move//signs_mov_separ_signers/Tyler_15932.mov","MOV")</f>
        <v>21</v>
      </c>
    </row>
    <row r="6437" s="2" customFormat="1" ht="13.5" customHeight="1">
      <c r="B6437" s="13"/>
      <c r="C6437" t="s" s="9">
        <v>27</v>
      </c>
      <c r="D6437" t="s" s="8">
        <v>2202</v>
      </c>
      <c r="E6437" t="s" s="9">
        <v>2202</v>
      </c>
      <c r="F6437" t="s" s="10">
        <v>185</v>
      </c>
      <c r="G6437" t="s" s="11">
        <v>73</v>
      </c>
      <c r="H6437" t="s" s="10">
        <v>185</v>
      </c>
      <c r="I6437" t="s" s="11">
        <v>73</v>
      </c>
      <c r="J6437" t="s" s="11">
        <v>20</v>
      </c>
      <c r="K6437" t="s" s="16">
        <f>HYPERLINK("http://csr.bu.edu/ftp/asl/asllvd/demos/verify_start_end_handshape_annotations//test_auto_move//signs_mov/15932.mov","MOV")</f>
        <v>21</v>
      </c>
      <c r="L6437" t="s" s="16">
        <f>HYPERLINK("http://csr.bu.edu/ftp/asl/asllvd/demos/verify_start_end_handshape_annotations//test_auto_move//signs_mov_separ_signers/Naomi_15932.mov","MOV")</f>
        <v>21</v>
      </c>
      <c r="M6437" t="s" s="10">
        <v>86</v>
      </c>
      <c r="N6437" s="17">
        <v>6</v>
      </c>
      <c r="O6437" s="18">
        <v>2505</v>
      </c>
      <c r="P6437" s="18">
        <v>2540</v>
      </c>
      <c r="Q6437" t="s" s="16">
        <f>HYPERLINK("http://secrets.rutgers.edu:8080/data/asl-ftp/asllvd/demos/verify_start_end_handshape_annotations//test_auto_move//signs_mov/15932.mov","MOV")</f>
        <v>21</v>
      </c>
      <c r="R6437" t="s" s="16">
        <f>HYPERLINK("http://secrets.rutgers.edu:8080/data/asl-ftp/asllvd/demos/verify_start_end_handshape_annotations//test_auto_move//signs_mov_separ_signers/Naomi_15932.mov","MOV")</f>
        <v>21</v>
      </c>
    </row>
    <row r="6438" s="2" customFormat="1" ht="13.5" customHeight="1">
      <c r="B6438" s="13"/>
      <c r="C6438" t="s" s="9">
        <v>30</v>
      </c>
      <c r="D6438" t="s" s="8">
        <v>2202</v>
      </c>
      <c r="E6438" t="s" s="9">
        <v>2202</v>
      </c>
      <c r="F6438" t="s" s="10">
        <v>185</v>
      </c>
      <c r="G6438" t="s" s="11">
        <v>73</v>
      </c>
      <c r="H6438" t="s" s="10">
        <v>185</v>
      </c>
      <c r="I6438" t="s" s="11">
        <v>73</v>
      </c>
      <c r="J6438" t="s" s="11">
        <v>20</v>
      </c>
      <c r="K6438" s="15"/>
      <c r="L6438" t="s" s="16">
        <f>HYPERLINK("http://csr.bu.edu/ftp/asl/asllvd/demos/verify_start_end_handshape_annotations//test_auto_move//signs_mov_separ_signers/Brady_15932.mov","MOV")</f>
        <v>21</v>
      </c>
      <c r="M6438" t="s" s="10">
        <v>31</v>
      </c>
      <c r="N6438" s="17">
        <v>30</v>
      </c>
      <c r="O6438" s="18">
        <v>11049</v>
      </c>
      <c r="P6438" s="18">
        <v>11082</v>
      </c>
      <c r="Q6438" s="15"/>
      <c r="R6438" t="s" s="16">
        <f>HYPERLINK("http://secrets.rutgers.edu:8080/data/asl-ftp/asllvd/demos/verify_start_end_handshape_annotations//test_auto_move//signs_mov_separ_signers/Brady_15932.mov","MOV")</f>
        <v>21</v>
      </c>
    </row>
    <row r="6439" s="2" customFormat="1" ht="13.5" customHeight="1">
      <c r="B6439" s="13"/>
      <c r="C6439" t="s" s="9">
        <v>41</v>
      </c>
      <c r="D6439" t="s" s="8">
        <v>2202</v>
      </c>
      <c r="E6439" t="s" s="9">
        <v>2202</v>
      </c>
      <c r="F6439" t="s" s="10">
        <v>185</v>
      </c>
      <c r="G6439" t="s" s="11">
        <v>73</v>
      </c>
      <c r="H6439" t="s" s="10">
        <v>185</v>
      </c>
      <c r="I6439" t="s" s="11">
        <v>73</v>
      </c>
      <c r="J6439" t="s" s="11">
        <v>20</v>
      </c>
      <c r="K6439" s="15"/>
      <c r="L6439" t="s" s="16">
        <f>HYPERLINK("http://csr.bu.edu/ftp/asl/asllvd/demos/verify_start_end_handshape_annotations//test_auto_move//signs_mov_separ_signers/Lana_15932.mov","MOV")</f>
        <v>21</v>
      </c>
      <c r="M6439" t="s" s="10">
        <v>42</v>
      </c>
      <c r="N6439" s="17">
        <v>6</v>
      </c>
      <c r="O6439" s="18">
        <v>1424</v>
      </c>
      <c r="P6439" s="18">
        <v>1443</v>
      </c>
      <c r="Q6439" s="15"/>
      <c r="R6439" t="s" s="16">
        <f>HYPERLINK("http://secrets.rutgers.edu:8080/data/asl-ftp/asllvd/demos/verify_start_end_handshape_annotations//test_auto_move//signs_mov_separ_signers/Lana_15932.mov","MOV")</f>
        <v>21</v>
      </c>
    </row>
    <row r="6440" s="2" customFormat="1" ht="13.5" customHeight="1">
      <c r="B6440" t="s" s="8">
        <v>2203</v>
      </c>
      <c r="C6440" t="s" s="9">
        <v>14</v>
      </c>
      <c r="D6440" t="s" s="8">
        <v>14</v>
      </c>
      <c r="E6440" t="s" s="9">
        <v>14</v>
      </c>
      <c r="F6440" t="s" s="10">
        <v>14</v>
      </c>
      <c r="G6440" t="s" s="11">
        <v>14</v>
      </c>
      <c r="H6440" t="s" s="10">
        <v>14</v>
      </c>
      <c r="I6440" t="s" s="11">
        <v>14</v>
      </c>
      <c r="J6440" t="s" s="11">
        <v>14</v>
      </c>
      <c r="K6440" t="s" s="12">
        <v>14</v>
      </c>
      <c r="L6440" t="s" s="12">
        <v>14</v>
      </c>
      <c r="M6440" t="s" s="10">
        <v>14</v>
      </c>
      <c r="N6440" t="s" s="11">
        <v>14</v>
      </c>
      <c r="O6440" t="s" s="8">
        <v>14</v>
      </c>
      <c r="P6440" t="s" s="8">
        <v>14</v>
      </c>
      <c r="Q6440" t="s" s="12">
        <v>14</v>
      </c>
      <c r="R6440" t="s" s="12">
        <v>14</v>
      </c>
    </row>
    <row r="6441" s="2" customFormat="1" ht="13.5" customHeight="1">
      <c r="B6441" s="13"/>
      <c r="C6441" t="s" s="9">
        <v>16</v>
      </c>
      <c r="D6441" t="s" s="8">
        <v>2203</v>
      </c>
      <c r="E6441" t="s" s="9">
        <v>2203</v>
      </c>
      <c r="F6441" t="s" s="10">
        <v>185</v>
      </c>
      <c r="G6441" s="14"/>
      <c r="H6441" t="s" s="10">
        <v>185</v>
      </c>
      <c r="I6441" s="14"/>
      <c r="J6441" t="s" s="11">
        <v>20</v>
      </c>
      <c r="K6441" s="15"/>
      <c r="L6441" t="s" s="16">
        <f>HYPERLINK("http://csr.bu.edu/ftp/asl/asllvd/demos/verify_start_end_handshape_annotations//test_auto_move//signs_mov_separ_signers/Liz_1423.mov","MOV")</f>
        <v>21</v>
      </c>
      <c r="M6441" t="s" s="10">
        <v>34</v>
      </c>
      <c r="N6441" s="17">
        <v>51</v>
      </c>
      <c r="O6441" s="18">
        <v>1112</v>
      </c>
      <c r="P6441" s="18">
        <v>1156</v>
      </c>
      <c r="Q6441" s="15"/>
      <c r="R6441" t="s" s="16">
        <f>HYPERLINK("http://secrets.rutgers.edu:8080/data/asl-ftp/asllvd/demos/verify_start_end_handshape_annotations//test_auto_move//signs_mov_separ_signers/Liz_1423.mov","MOV")</f>
        <v>21</v>
      </c>
    </row>
    <row r="6442" s="2" customFormat="1" ht="13.5" customHeight="1">
      <c r="B6442" s="13"/>
      <c r="C6442" t="s" s="9">
        <v>27</v>
      </c>
      <c r="D6442" t="s" s="8">
        <v>2203</v>
      </c>
      <c r="E6442" t="s" s="9">
        <v>2203</v>
      </c>
      <c r="F6442" t="s" s="10">
        <v>72</v>
      </c>
      <c r="G6442" s="14"/>
      <c r="H6442" t="s" s="10">
        <v>72</v>
      </c>
      <c r="I6442" s="14"/>
      <c r="J6442" t="s" s="11">
        <v>20</v>
      </c>
      <c r="K6442" t="s" s="16">
        <f>HYPERLINK("http://csr.bu.edu/ftp/asl/asllvd/demos/verify_start_end_handshape_annotations//test_auto_move//signs_mov/1423.mov","MOV")</f>
        <v>21</v>
      </c>
      <c r="L6442" t="s" s="16">
        <f>HYPERLINK("http://csr.bu.edu/ftp/asl/asllvd/demos/verify_start_end_handshape_annotations//test_auto_move//signs_mov_separ_signers/Naomi_1423.mov","MOV")</f>
        <v>21</v>
      </c>
      <c r="M6442" t="s" s="10">
        <v>48</v>
      </c>
      <c r="N6442" s="17">
        <v>6</v>
      </c>
      <c r="O6442" s="18">
        <v>895</v>
      </c>
      <c r="P6442" s="18">
        <v>925</v>
      </c>
      <c r="Q6442" t="s" s="16">
        <f>HYPERLINK("http://secrets.rutgers.edu:8080/data/asl-ftp/asllvd/demos/verify_start_end_handshape_annotations//test_auto_move//signs_mov/1423.mov","MOV")</f>
        <v>21</v>
      </c>
      <c r="R6442" t="s" s="16">
        <f>HYPERLINK("http://secrets.rutgers.edu:8080/data/asl-ftp/asllvd/demos/verify_start_end_handshape_annotations//test_auto_move//signs_mov_separ_signers/Naomi_1423.mov","MOV")</f>
        <v>21</v>
      </c>
    </row>
    <row r="6443" s="2" customFormat="1" ht="13.5" customHeight="1">
      <c r="B6443" s="13"/>
      <c r="C6443" t="s" s="9">
        <v>30</v>
      </c>
      <c r="D6443" t="s" s="8">
        <v>2203</v>
      </c>
      <c r="E6443" t="s" s="9">
        <v>2203</v>
      </c>
      <c r="F6443" t="s" s="10">
        <v>72</v>
      </c>
      <c r="G6443" s="14"/>
      <c r="H6443" t="s" s="10">
        <v>72</v>
      </c>
      <c r="I6443" s="14"/>
      <c r="J6443" t="s" s="11">
        <v>20</v>
      </c>
      <c r="K6443" s="15"/>
      <c r="L6443" t="s" s="16">
        <f>HYPERLINK("http://csr.bu.edu/ftp/asl/asllvd/demos/verify_start_end_handshape_annotations//test_auto_move//signs_mov_separ_signers/Brady_1423.mov","MOV")</f>
        <v>21</v>
      </c>
      <c r="M6443" t="s" s="10">
        <v>39</v>
      </c>
      <c r="N6443" s="17">
        <v>50</v>
      </c>
      <c r="O6443" s="18">
        <v>2596</v>
      </c>
      <c r="P6443" s="18">
        <v>2625</v>
      </c>
      <c r="Q6443" s="15"/>
      <c r="R6443" t="s" s="16">
        <f>HYPERLINK("http://secrets.rutgers.edu:8080/data/asl-ftp/asllvd/demos/verify_start_end_handshape_annotations//test_auto_move//signs_mov_separ_signers/Brady_1423.mov","MOV")</f>
        <v>21</v>
      </c>
    </row>
    <row r="6444" s="2" customFormat="1" ht="13.5" customHeight="1">
      <c r="B6444" t="s" s="8">
        <v>52</v>
      </c>
      <c r="C6444" t="s" s="9">
        <v>53</v>
      </c>
      <c r="D6444" t="s" s="8">
        <v>53</v>
      </c>
      <c r="E6444" t="s" s="9">
        <v>53</v>
      </c>
      <c r="F6444" t="s" s="10">
        <v>53</v>
      </c>
      <c r="G6444" t="s" s="11">
        <v>53</v>
      </c>
      <c r="H6444" t="s" s="10">
        <v>53</v>
      </c>
      <c r="I6444" t="s" s="11">
        <v>53</v>
      </c>
      <c r="J6444" t="s" s="11">
        <v>53</v>
      </c>
      <c r="K6444" t="s" s="12">
        <v>53</v>
      </c>
      <c r="L6444" t="s" s="12">
        <v>53</v>
      </c>
      <c r="M6444" t="s" s="10">
        <v>53</v>
      </c>
      <c r="N6444" t="s" s="11">
        <v>53</v>
      </c>
      <c r="O6444" t="s" s="8">
        <v>53</v>
      </c>
      <c r="P6444" t="s" s="8">
        <v>53</v>
      </c>
      <c r="Q6444" t="s" s="12">
        <v>53</v>
      </c>
      <c r="R6444" t="s" s="12">
        <v>53</v>
      </c>
    </row>
    <row r="6445" s="2" customFormat="1" ht="13.5" customHeight="1">
      <c r="B6445" s="13"/>
      <c r="C6445" t="s" s="9">
        <v>23</v>
      </c>
      <c r="D6445" t="s" s="8">
        <v>2203</v>
      </c>
      <c r="E6445" t="s" s="9">
        <v>2204</v>
      </c>
      <c r="F6445" t="s" s="10">
        <v>373</v>
      </c>
      <c r="G6445" s="14"/>
      <c r="H6445" t="s" s="10">
        <v>373</v>
      </c>
      <c r="I6445" s="14"/>
      <c r="J6445" t="s" s="11">
        <v>20</v>
      </c>
      <c r="K6445" t="s" s="16">
        <f>HYPERLINK("http://csr.bu.edu/ftp/asl/asllvd/demos/verify_start_end_handshape_annotations//test_auto_move//signs_mov/5243.mov","MOV")</f>
        <v>21</v>
      </c>
      <c r="L6445" t="s" s="16">
        <f>HYPERLINK("http://csr.bu.edu/ftp/asl/asllvd/demos/verify_start_end_handshape_annotations//test_auto_move//signs_mov_separ_signers/Tyler_5243.mov","MOV")</f>
        <v>21</v>
      </c>
      <c r="M6445" t="s" s="10">
        <v>47</v>
      </c>
      <c r="N6445" s="17">
        <v>3</v>
      </c>
      <c r="O6445" s="18">
        <v>1076</v>
      </c>
      <c r="P6445" s="18">
        <v>1097</v>
      </c>
      <c r="Q6445" t="s" s="16">
        <f>HYPERLINK("http://secrets.rutgers.edu:8080/data/asl-ftp/asllvd/demos/verify_start_end_handshape_annotations//test_auto_move//signs_mov/5243.mov","MOV")</f>
        <v>21</v>
      </c>
      <c r="R6445" t="s" s="16">
        <f>HYPERLINK("http://secrets.rutgers.edu:8080/data/asl-ftp/asllvd/demos/verify_start_end_handshape_annotations//test_auto_move//signs_mov_separ_signers/Tyler_5243.mov","MOV")</f>
        <v>21</v>
      </c>
    </row>
    <row r="6446" s="2" customFormat="1" ht="13.5" customHeight="1">
      <c r="B6446" t="s" s="8">
        <v>2205</v>
      </c>
      <c r="C6446" t="s" s="9">
        <v>14</v>
      </c>
      <c r="D6446" t="s" s="8">
        <v>14</v>
      </c>
      <c r="E6446" t="s" s="9">
        <v>14</v>
      </c>
      <c r="F6446" t="s" s="10">
        <v>14</v>
      </c>
      <c r="G6446" t="s" s="11">
        <v>14</v>
      </c>
      <c r="H6446" t="s" s="10">
        <v>14</v>
      </c>
      <c r="I6446" t="s" s="11">
        <v>14</v>
      </c>
      <c r="J6446" t="s" s="11">
        <v>14</v>
      </c>
      <c r="K6446" t="s" s="12">
        <v>14</v>
      </c>
      <c r="L6446" t="s" s="12">
        <v>14</v>
      </c>
      <c r="M6446" t="s" s="10">
        <v>14</v>
      </c>
      <c r="N6446" t="s" s="11">
        <v>14</v>
      </c>
      <c r="O6446" t="s" s="8">
        <v>14</v>
      </c>
      <c r="P6446" t="s" s="8">
        <v>14</v>
      </c>
      <c r="Q6446" t="s" s="12">
        <v>14</v>
      </c>
      <c r="R6446" t="s" s="12">
        <v>14</v>
      </c>
    </row>
    <row r="6447" s="2" customFormat="1" ht="13.5" customHeight="1">
      <c r="B6447" s="13"/>
      <c r="C6447" t="s" s="9">
        <v>16</v>
      </c>
      <c r="D6447" t="s" s="8">
        <v>2205</v>
      </c>
      <c r="E6447" t="s" s="9">
        <v>2206</v>
      </c>
      <c r="F6447" s="19">
        <v>3</v>
      </c>
      <c r="G6447" s="17">
        <v>3</v>
      </c>
      <c r="H6447" t="s" s="10">
        <v>373</v>
      </c>
      <c r="I6447" t="s" s="11">
        <v>373</v>
      </c>
      <c r="J6447" t="s" s="11">
        <v>20</v>
      </c>
      <c r="K6447" t="s" s="16">
        <f>HYPERLINK("http://csr.bu.edu/ftp/asl/asllvd/demos/verify_start_end_handshape_annotations//test_auto_move//signs_mov/16013.mov","MOV")</f>
        <v>21</v>
      </c>
      <c r="L6447" t="s" s="16">
        <f>HYPERLINK("http://csr.bu.edu/ftp/asl/asllvd/demos/verify_start_end_handshape_annotations//test_auto_move//signs_mov_separ_signers/Liz_16013.mov","MOV")</f>
        <v>21</v>
      </c>
      <c r="M6447" t="s" s="10">
        <v>77</v>
      </c>
      <c r="N6447" s="17">
        <v>22</v>
      </c>
      <c r="O6447" s="18">
        <v>300</v>
      </c>
      <c r="P6447" s="18">
        <v>355</v>
      </c>
      <c r="Q6447" t="s" s="16">
        <f>HYPERLINK("http://secrets.rutgers.edu:8080/data/asl-ftp/asllvd/demos/verify_start_end_handshape_annotations//test_auto_move//signs_mov/16013.mov","MOV")</f>
        <v>21</v>
      </c>
      <c r="R6447" t="s" s="16">
        <f>HYPERLINK("http://secrets.rutgers.edu:8080/data/asl-ftp/asllvd/demos/verify_start_end_handshape_annotations//test_auto_move//signs_mov_separ_signers/Liz_16013.mov","MOV")</f>
        <v>21</v>
      </c>
    </row>
    <row r="6448" s="2" customFormat="1" ht="13.5" customHeight="1">
      <c r="B6448" s="13"/>
      <c r="C6448" t="s" s="9">
        <v>30</v>
      </c>
      <c r="D6448" t="s" s="8">
        <v>2205</v>
      </c>
      <c r="E6448" t="s" s="9">
        <v>2206</v>
      </c>
      <c r="F6448" s="19">
        <v>3</v>
      </c>
      <c r="G6448" s="17">
        <v>3</v>
      </c>
      <c r="H6448" t="s" s="10">
        <v>230</v>
      </c>
      <c r="I6448" t="s" s="11">
        <v>230</v>
      </c>
      <c r="J6448" t="s" s="11">
        <v>20</v>
      </c>
      <c r="K6448" s="15"/>
      <c r="L6448" t="s" s="16">
        <f>HYPERLINK("http://csr.bu.edu/ftp/asl/asllvd/demos/verify_start_end_handshape_annotations//test_auto_move//signs_mov_separ_signers/Brady_16013.mov","MOV")</f>
        <v>21</v>
      </c>
      <c r="M6448" t="s" s="10">
        <v>40</v>
      </c>
      <c r="N6448" s="17">
        <v>30</v>
      </c>
      <c r="O6448" s="18">
        <v>152</v>
      </c>
      <c r="P6448" s="18">
        <v>175</v>
      </c>
      <c r="Q6448" s="15"/>
      <c r="R6448" t="s" s="16">
        <f>HYPERLINK("http://secrets.rutgers.edu:8080/data/asl-ftp/asllvd/demos/verify_start_end_handshape_annotations//test_auto_move//signs_mov_separ_signers/Brady_16013.mov","MOV")</f>
        <v>21</v>
      </c>
    </row>
    <row r="6449" s="2" customFormat="1" ht="13.5" customHeight="1">
      <c r="B6449" t="s" s="8">
        <v>2207</v>
      </c>
      <c r="C6449" t="s" s="9">
        <v>14</v>
      </c>
      <c r="D6449" t="s" s="8">
        <v>14</v>
      </c>
      <c r="E6449" t="s" s="9">
        <v>14</v>
      </c>
      <c r="F6449" t="s" s="10">
        <v>14</v>
      </c>
      <c r="G6449" t="s" s="11">
        <v>14</v>
      </c>
      <c r="H6449" t="s" s="10">
        <v>14</v>
      </c>
      <c r="I6449" t="s" s="11">
        <v>14</v>
      </c>
      <c r="J6449" t="s" s="11">
        <v>14</v>
      </c>
      <c r="K6449" t="s" s="12">
        <v>14</v>
      </c>
      <c r="L6449" t="s" s="12">
        <v>14</v>
      </c>
      <c r="M6449" t="s" s="10">
        <v>14</v>
      </c>
      <c r="N6449" t="s" s="11">
        <v>14</v>
      </c>
      <c r="O6449" t="s" s="8">
        <v>14</v>
      </c>
      <c r="P6449" t="s" s="8">
        <v>14</v>
      </c>
      <c r="Q6449" t="s" s="12">
        <v>14</v>
      </c>
      <c r="R6449" t="s" s="12">
        <v>14</v>
      </c>
    </row>
    <row r="6450" s="2" customFormat="1" ht="13.5" customHeight="1">
      <c r="B6450" s="13"/>
      <c r="C6450" t="s" s="9">
        <v>16</v>
      </c>
      <c r="D6450" t="s" s="8">
        <v>2207</v>
      </c>
      <c r="E6450" t="s" s="9">
        <v>2208</v>
      </c>
      <c r="F6450" t="s" s="10">
        <v>73</v>
      </c>
      <c r="G6450" t="s" s="11">
        <v>73</v>
      </c>
      <c r="H6450" t="s" s="10">
        <v>73</v>
      </c>
      <c r="I6450" t="s" s="11">
        <v>73</v>
      </c>
      <c r="J6450" t="s" s="11">
        <v>20</v>
      </c>
      <c r="K6450" s="15"/>
      <c r="L6450" t="s" s="16">
        <f>HYPERLINK("http://csr.bu.edu/ftp/asl/asllvd/demos/verify_start_end_handshape_annotations//test_auto_move//signs_mov_separ_signers/Liz_1424.mov","MOV")</f>
        <v>21</v>
      </c>
      <c r="M6450" t="s" s="10">
        <v>34</v>
      </c>
      <c r="N6450" s="17">
        <v>51</v>
      </c>
      <c r="O6450" s="18">
        <v>1475</v>
      </c>
      <c r="P6450" s="18">
        <v>1520</v>
      </c>
      <c r="Q6450" s="15"/>
      <c r="R6450" t="s" s="16">
        <f>HYPERLINK("http://secrets.rutgers.edu:8080/data/asl-ftp/asllvd/demos/verify_start_end_handshape_annotations//test_auto_move//signs_mov_separ_signers/Liz_1424.mov","MOV")</f>
        <v>21</v>
      </c>
    </row>
    <row r="6451" s="2" customFormat="1" ht="13.5" customHeight="1">
      <c r="B6451" s="13"/>
      <c r="C6451" t="s" s="9">
        <v>27</v>
      </c>
      <c r="D6451" t="s" s="8">
        <v>2207</v>
      </c>
      <c r="E6451" t="s" s="9">
        <v>2208</v>
      </c>
      <c r="F6451" t="s" s="10">
        <v>73</v>
      </c>
      <c r="G6451" t="s" s="11">
        <v>73</v>
      </c>
      <c r="H6451" t="s" s="10">
        <v>73</v>
      </c>
      <c r="I6451" t="s" s="11">
        <v>73</v>
      </c>
      <c r="J6451" t="s" s="11">
        <v>20</v>
      </c>
      <c r="K6451" t="s" s="16">
        <f>HYPERLINK("http://csr.bu.edu/ftp/asl/asllvd/demos/verify_start_end_handshape_annotations//test_auto_move//signs_mov/1424.mov","MOV")</f>
        <v>21</v>
      </c>
      <c r="L6451" t="s" s="16">
        <f>HYPERLINK("http://csr.bu.edu/ftp/asl/asllvd/demos/verify_start_end_handshape_annotations//test_auto_move//signs_mov_separ_signers/Naomi_1424.mov","MOV")</f>
        <v>21</v>
      </c>
      <c r="M6451" t="s" s="10">
        <v>48</v>
      </c>
      <c r="N6451" s="17">
        <v>6</v>
      </c>
      <c r="O6451" s="18">
        <v>1357</v>
      </c>
      <c r="P6451" s="18">
        <v>1395</v>
      </c>
      <c r="Q6451" t="s" s="16">
        <f>HYPERLINK("http://secrets.rutgers.edu:8080/data/asl-ftp/asllvd/demos/verify_start_end_handshape_annotations//test_auto_move//signs_mov/1424.mov","MOV")</f>
        <v>21</v>
      </c>
      <c r="R6451" t="s" s="16">
        <f>HYPERLINK("http://secrets.rutgers.edu:8080/data/asl-ftp/asllvd/demos/verify_start_end_handshape_annotations//test_auto_move//signs_mov_separ_signers/Naomi_1424.mov","MOV")</f>
        <v>21</v>
      </c>
    </row>
    <row r="6452" s="2" customFormat="1" ht="13.5" customHeight="1">
      <c r="B6452" s="13"/>
      <c r="C6452" t="s" s="9">
        <v>30</v>
      </c>
      <c r="D6452" t="s" s="8">
        <v>2207</v>
      </c>
      <c r="E6452" t="s" s="9">
        <v>2208</v>
      </c>
      <c r="F6452" t="s" s="10">
        <v>73</v>
      </c>
      <c r="G6452" t="s" s="11">
        <v>73</v>
      </c>
      <c r="H6452" t="s" s="10">
        <v>73</v>
      </c>
      <c r="I6452" t="s" s="11">
        <v>73</v>
      </c>
      <c r="J6452" t="s" s="11">
        <v>20</v>
      </c>
      <c r="K6452" s="15"/>
      <c r="L6452" t="s" s="16">
        <f>HYPERLINK("http://csr.bu.edu/ftp/asl/asllvd/demos/verify_start_end_handshape_annotations//test_auto_move//signs_mov_separ_signers/Brady_1424.mov","MOV")</f>
        <v>21</v>
      </c>
      <c r="M6452" t="s" s="10">
        <v>39</v>
      </c>
      <c r="N6452" s="17">
        <v>50</v>
      </c>
      <c r="O6452" s="18">
        <v>2800</v>
      </c>
      <c r="P6452" s="18">
        <v>2832</v>
      </c>
      <c r="Q6452" s="15"/>
      <c r="R6452" t="s" s="16">
        <f>HYPERLINK("http://secrets.rutgers.edu:8080/data/asl-ftp/asllvd/demos/verify_start_end_handshape_annotations//test_auto_move//signs_mov_separ_signers/Brady_1424.mov","MOV")</f>
        <v>21</v>
      </c>
    </row>
    <row r="6453" s="2" customFormat="1" ht="13.5" customHeight="1">
      <c r="B6453" t="s" s="8">
        <v>2209</v>
      </c>
      <c r="C6453" t="s" s="9">
        <v>14</v>
      </c>
      <c r="D6453" t="s" s="8">
        <v>14</v>
      </c>
      <c r="E6453" t="s" s="9">
        <v>14</v>
      </c>
      <c r="F6453" t="s" s="10">
        <v>14</v>
      </c>
      <c r="G6453" t="s" s="11">
        <v>14</v>
      </c>
      <c r="H6453" t="s" s="10">
        <v>14</v>
      </c>
      <c r="I6453" t="s" s="11">
        <v>14</v>
      </c>
      <c r="J6453" t="s" s="11">
        <v>14</v>
      </c>
      <c r="K6453" t="s" s="12">
        <v>14</v>
      </c>
      <c r="L6453" t="s" s="12">
        <v>14</v>
      </c>
      <c r="M6453" t="s" s="10">
        <v>14</v>
      </c>
      <c r="N6453" t="s" s="11">
        <v>14</v>
      </c>
      <c r="O6453" t="s" s="8">
        <v>14</v>
      </c>
      <c r="P6453" t="s" s="8">
        <v>14</v>
      </c>
      <c r="Q6453" t="s" s="12">
        <v>14</v>
      </c>
      <c r="R6453" t="s" s="12">
        <v>14</v>
      </c>
    </row>
    <row r="6454" s="2" customFormat="1" ht="13.5" customHeight="1">
      <c r="B6454" s="13"/>
      <c r="C6454" t="s" s="9">
        <v>16</v>
      </c>
      <c r="D6454" t="s" s="8">
        <v>2209</v>
      </c>
      <c r="E6454" t="s" s="9">
        <v>2209</v>
      </c>
      <c r="F6454" t="s" s="10">
        <v>25</v>
      </c>
      <c r="G6454" s="14"/>
      <c r="H6454" t="s" s="10">
        <v>25</v>
      </c>
      <c r="I6454" s="14"/>
      <c r="J6454" t="s" s="11">
        <v>20</v>
      </c>
      <c r="K6454" s="15"/>
      <c r="L6454" t="s" s="16">
        <f>HYPERLINK("http://csr.bu.edu/ftp/asl/asllvd/demos/verify_start_end_handshape_annotations//test_auto_move//signs_mov_separ_signers/Liz_1431.mov","MOV")</f>
        <v>21</v>
      </c>
      <c r="M6454" t="s" s="10">
        <v>34</v>
      </c>
      <c r="N6454" s="17">
        <v>52</v>
      </c>
      <c r="O6454" s="18">
        <v>520</v>
      </c>
      <c r="P6454" s="18">
        <v>570</v>
      </c>
      <c r="Q6454" s="15"/>
      <c r="R6454" t="s" s="16">
        <f>HYPERLINK("http://secrets.rutgers.edu:8080/data/asl-ftp/asllvd/demos/verify_start_end_handshape_annotations//test_auto_move//signs_mov_separ_signers/Liz_1431.mov","MOV")</f>
        <v>21</v>
      </c>
    </row>
    <row r="6455" s="2" customFormat="1" ht="13.5" customHeight="1">
      <c r="B6455" s="13"/>
      <c r="C6455" t="s" s="9">
        <v>27</v>
      </c>
      <c r="D6455" t="s" s="8">
        <v>2209</v>
      </c>
      <c r="E6455" t="s" s="9">
        <v>2209</v>
      </c>
      <c r="F6455" t="s" s="10">
        <v>25</v>
      </c>
      <c r="G6455" s="14"/>
      <c r="H6455" t="s" s="10">
        <v>25</v>
      </c>
      <c r="I6455" s="14"/>
      <c r="J6455" t="s" s="11">
        <v>20</v>
      </c>
      <c r="K6455" t="s" s="16">
        <f>HYPERLINK("http://csr.bu.edu/ftp/asl/asllvd/demos/verify_start_end_handshape_annotations//test_auto_move//signs_mov/1431.mov","MOV")</f>
        <v>21</v>
      </c>
      <c r="L6455" t="s" s="16">
        <f>HYPERLINK("http://csr.bu.edu/ftp/asl/asllvd/demos/verify_start_end_handshape_annotations//test_auto_move//signs_mov_separ_signers/Naomi_1431.mov","MOV")</f>
        <v>21</v>
      </c>
      <c r="M6455" t="s" s="10">
        <v>48</v>
      </c>
      <c r="N6455" s="17">
        <v>7</v>
      </c>
      <c r="O6455" s="18">
        <v>255</v>
      </c>
      <c r="P6455" s="18">
        <v>285</v>
      </c>
      <c r="Q6455" t="s" s="16">
        <f>HYPERLINK("http://secrets.rutgers.edu:8080/data/asl-ftp/asllvd/demos/verify_start_end_handshape_annotations//test_auto_move//signs_mov/1431.mov","MOV")</f>
        <v>21</v>
      </c>
      <c r="R6455" t="s" s="16">
        <f>HYPERLINK("http://secrets.rutgers.edu:8080/data/asl-ftp/asllvd/demos/verify_start_end_handshape_annotations//test_auto_move//signs_mov_separ_signers/Naomi_1431.mov","MOV")</f>
        <v>21</v>
      </c>
    </row>
    <row r="6456" s="2" customFormat="1" ht="13.5" customHeight="1">
      <c r="B6456" s="13"/>
      <c r="C6456" t="s" s="9">
        <v>30</v>
      </c>
      <c r="D6456" t="s" s="8">
        <v>2209</v>
      </c>
      <c r="E6456" t="s" s="9">
        <v>2209</v>
      </c>
      <c r="F6456" t="s" s="10">
        <v>25</v>
      </c>
      <c r="G6456" s="14"/>
      <c r="H6456" t="s" s="10">
        <v>25</v>
      </c>
      <c r="I6456" s="14"/>
      <c r="J6456" t="s" s="11">
        <v>20</v>
      </c>
      <c r="K6456" s="15"/>
      <c r="L6456" t="s" s="16">
        <f>HYPERLINK("http://csr.bu.edu/ftp/asl/asllvd/demos/verify_start_end_handshape_annotations//test_auto_move//signs_mov_separ_signers/Brady_1431.mov","MOV")</f>
        <v>21</v>
      </c>
      <c r="M6456" t="s" s="10">
        <v>39</v>
      </c>
      <c r="N6456" s="17">
        <v>50</v>
      </c>
      <c r="O6456" s="18">
        <v>5644</v>
      </c>
      <c r="P6456" s="18">
        <v>5685</v>
      </c>
      <c r="Q6456" s="15"/>
      <c r="R6456" t="s" s="16">
        <f>HYPERLINK("http://secrets.rutgers.edu:8080/data/asl-ftp/asllvd/demos/verify_start_end_handshape_annotations//test_auto_move//signs_mov_separ_signers/Brady_1431.mov","MOV")</f>
        <v>21</v>
      </c>
    </row>
    <row r="6457" s="2" customFormat="1" ht="13.5" customHeight="1">
      <c r="B6457" t="s" s="8">
        <v>52</v>
      </c>
      <c r="C6457" t="s" s="9">
        <v>53</v>
      </c>
      <c r="D6457" t="s" s="8">
        <v>53</v>
      </c>
      <c r="E6457" t="s" s="9">
        <v>53</v>
      </c>
      <c r="F6457" t="s" s="10">
        <v>53</v>
      </c>
      <c r="G6457" t="s" s="11">
        <v>53</v>
      </c>
      <c r="H6457" t="s" s="10">
        <v>53</v>
      </c>
      <c r="I6457" t="s" s="11">
        <v>53</v>
      </c>
      <c r="J6457" t="s" s="11">
        <v>53</v>
      </c>
      <c r="K6457" t="s" s="12">
        <v>53</v>
      </c>
      <c r="L6457" t="s" s="12">
        <v>53</v>
      </c>
      <c r="M6457" t="s" s="10">
        <v>53</v>
      </c>
      <c r="N6457" t="s" s="11">
        <v>53</v>
      </c>
      <c r="O6457" t="s" s="8">
        <v>53</v>
      </c>
      <c r="P6457" t="s" s="8">
        <v>53</v>
      </c>
      <c r="Q6457" t="s" s="12">
        <v>53</v>
      </c>
      <c r="R6457" t="s" s="12">
        <v>53</v>
      </c>
    </row>
    <row r="6458" s="2" customFormat="1" ht="13.5" customHeight="1">
      <c r="B6458" s="13"/>
      <c r="C6458" t="s" s="9">
        <v>23</v>
      </c>
      <c r="D6458" t="s" s="8">
        <v>2209</v>
      </c>
      <c r="E6458" t="s" s="9">
        <v>2210</v>
      </c>
      <c r="F6458" t="s" s="10">
        <v>25</v>
      </c>
      <c r="G6458" s="14"/>
      <c r="H6458" t="s" s="10">
        <v>25</v>
      </c>
      <c r="I6458" s="14"/>
      <c r="J6458" t="s" s="11">
        <v>20</v>
      </c>
      <c r="K6458" t="s" s="16">
        <f>HYPERLINK("http://csr.bu.edu/ftp/asl/asllvd/demos/verify_start_end_handshape_annotations//test_auto_move//signs_mov/16413.mov","MOV")</f>
        <v>21</v>
      </c>
      <c r="L6458" t="s" s="16">
        <f>HYPERLINK("http://csr.bu.edu/ftp/asl/asllvd/demos/verify_start_end_handshape_annotations//test_auto_move//signs_mov_separ_signers/Tyler_16413.mov","MOV")</f>
        <v>21</v>
      </c>
      <c r="M6458" t="s" s="10">
        <v>47</v>
      </c>
      <c r="N6458" s="17">
        <v>4</v>
      </c>
      <c r="O6458" s="18">
        <v>545</v>
      </c>
      <c r="P6458" s="18">
        <v>590</v>
      </c>
      <c r="Q6458" t="s" s="16">
        <f>HYPERLINK("http://secrets.rutgers.edu:8080/data/asl-ftp/asllvd/demos/verify_start_end_handshape_annotations//test_auto_move//signs_mov/16413.mov","MOV")</f>
        <v>21</v>
      </c>
      <c r="R6458" t="s" s="16">
        <f>HYPERLINK("http://secrets.rutgers.edu:8080/data/asl-ftp/asllvd/demos/verify_start_end_handshape_annotations//test_auto_move//signs_mov_separ_signers/Tyler_16413.mov","MOV")</f>
        <v>21</v>
      </c>
    </row>
    <row r="6459" s="2" customFormat="1" ht="13.5" customHeight="1">
      <c r="B6459" t="s" s="8">
        <v>2211</v>
      </c>
      <c r="C6459" t="s" s="9">
        <v>14</v>
      </c>
      <c r="D6459" t="s" s="8">
        <v>14</v>
      </c>
      <c r="E6459" t="s" s="9">
        <v>14</v>
      </c>
      <c r="F6459" t="s" s="10">
        <v>14</v>
      </c>
      <c r="G6459" t="s" s="11">
        <v>14</v>
      </c>
      <c r="H6459" t="s" s="10">
        <v>14</v>
      </c>
      <c r="I6459" t="s" s="11">
        <v>14</v>
      </c>
      <c r="J6459" t="s" s="11">
        <v>14</v>
      </c>
      <c r="K6459" t="s" s="12">
        <v>14</v>
      </c>
      <c r="L6459" t="s" s="12">
        <v>14</v>
      </c>
      <c r="M6459" t="s" s="10">
        <v>14</v>
      </c>
      <c r="N6459" t="s" s="11">
        <v>14</v>
      </c>
      <c r="O6459" t="s" s="8">
        <v>14</v>
      </c>
      <c r="P6459" t="s" s="8">
        <v>14</v>
      </c>
      <c r="Q6459" t="s" s="12">
        <v>14</v>
      </c>
      <c r="R6459" t="s" s="12">
        <v>14</v>
      </c>
    </row>
    <row r="6460" s="2" customFormat="1" ht="13.5" customHeight="1">
      <c r="B6460" s="13"/>
      <c r="C6460" t="s" s="9">
        <v>16</v>
      </c>
      <c r="D6460" t="s" s="8">
        <v>2211</v>
      </c>
      <c r="E6460" t="s" s="9">
        <v>2211</v>
      </c>
      <c r="F6460" s="19">
        <v>1</v>
      </c>
      <c r="G6460" t="s" s="11">
        <v>105</v>
      </c>
      <c r="H6460" s="19">
        <v>1</v>
      </c>
      <c r="I6460" t="s" s="11">
        <v>105</v>
      </c>
      <c r="J6460" t="s" s="11">
        <v>136</v>
      </c>
      <c r="K6460" s="15"/>
      <c r="L6460" t="s" s="16">
        <f>HYPERLINK("http://csr.bu.edu/ftp/asl/asllvd/demos/verify_start_end_handshape_annotations//test_auto_move//signs_mov_separ_signers/Liz_1434.mov","MOV")</f>
        <v>21</v>
      </c>
      <c r="M6460" t="s" s="10">
        <v>34</v>
      </c>
      <c r="N6460" s="17">
        <v>52</v>
      </c>
      <c r="O6460" s="18">
        <v>1405</v>
      </c>
      <c r="P6460" s="18">
        <v>1457</v>
      </c>
      <c r="Q6460" s="15"/>
      <c r="R6460" t="s" s="16">
        <f>HYPERLINK("http://secrets.rutgers.edu:8080/data/asl-ftp/asllvd/demos/verify_start_end_handshape_annotations//test_auto_move//signs_mov_separ_signers/Liz_1434.mov","MOV")</f>
        <v>21</v>
      </c>
    </row>
    <row r="6461" s="2" customFormat="1" ht="13.5" customHeight="1">
      <c r="B6461" s="13"/>
      <c r="C6461" t="s" s="9">
        <v>23</v>
      </c>
      <c r="D6461" t="s" s="8">
        <v>2211</v>
      </c>
      <c r="E6461" t="s" s="9">
        <v>2211</v>
      </c>
      <c r="F6461" s="19">
        <v>1</v>
      </c>
      <c r="G6461" t="s" s="11">
        <v>105</v>
      </c>
      <c r="H6461" s="19">
        <v>1</v>
      </c>
      <c r="I6461" t="s" s="11">
        <v>105</v>
      </c>
      <c r="J6461" t="s" s="11">
        <v>136</v>
      </c>
      <c r="K6461" t="s" s="16">
        <f>HYPERLINK("http://csr.bu.edu/ftp/asl/asllvd/demos/verify_start_end_handshape_annotations//test_auto_move//signs_mov/1434.mov","MOV")</f>
        <v>21</v>
      </c>
      <c r="L6461" t="s" s="16">
        <f>HYPERLINK("http://csr.bu.edu/ftp/asl/asllvd/demos/verify_start_end_handshape_annotations//test_auto_move//signs_mov_separ_signers/Tyler_1434.mov","MOV")</f>
        <v>21</v>
      </c>
      <c r="M6461" t="s" s="10">
        <v>47</v>
      </c>
      <c r="N6461" s="17">
        <v>4</v>
      </c>
      <c r="O6461" s="18">
        <v>1305</v>
      </c>
      <c r="P6461" s="18">
        <v>1350</v>
      </c>
      <c r="Q6461" t="s" s="16">
        <f>HYPERLINK("http://secrets.rutgers.edu:8080/data/asl-ftp/asllvd/demos/verify_start_end_handshape_annotations//test_auto_move//signs_mov/1434.mov","MOV")</f>
        <v>21</v>
      </c>
      <c r="R6461" t="s" s="16">
        <f>HYPERLINK("http://secrets.rutgers.edu:8080/data/asl-ftp/asllvd/demos/verify_start_end_handshape_annotations//test_auto_move//signs_mov_separ_signers/Tyler_1434.mov","MOV")</f>
        <v>21</v>
      </c>
    </row>
    <row r="6462" s="2" customFormat="1" ht="13.5" customHeight="1">
      <c r="B6462" s="13"/>
      <c r="C6462" t="s" s="9">
        <v>27</v>
      </c>
      <c r="D6462" t="s" s="8">
        <v>2211</v>
      </c>
      <c r="E6462" t="s" s="9">
        <v>2211</v>
      </c>
      <c r="F6462" s="19">
        <v>1</v>
      </c>
      <c r="G6462" t="s" s="11">
        <v>105</v>
      </c>
      <c r="H6462" s="19">
        <v>1</v>
      </c>
      <c r="I6462" t="s" s="11">
        <v>105</v>
      </c>
      <c r="J6462" t="s" s="11">
        <v>136</v>
      </c>
      <c r="K6462" s="15"/>
      <c r="L6462" t="s" s="16">
        <f>HYPERLINK("http://csr.bu.edu/ftp/asl/asllvd/demos/verify_start_end_handshape_annotations//test_auto_move//signs_mov_separ_signers/Naomi_1434.mov","MOV")</f>
        <v>21</v>
      </c>
      <c r="M6462" t="s" s="10">
        <v>48</v>
      </c>
      <c r="N6462" s="17">
        <v>7</v>
      </c>
      <c r="O6462" s="18">
        <v>1111</v>
      </c>
      <c r="P6462" s="18">
        <v>1135</v>
      </c>
      <c r="Q6462" s="15"/>
      <c r="R6462" t="s" s="16">
        <f>HYPERLINK("http://secrets.rutgers.edu:8080/data/asl-ftp/asllvd/demos/verify_start_end_handshape_annotations//test_auto_move//signs_mov_separ_signers/Naomi_1434.mov","MOV")</f>
        <v>21</v>
      </c>
    </row>
    <row r="6463" s="2" customFormat="1" ht="13.5" customHeight="1">
      <c r="B6463" s="13"/>
      <c r="C6463" t="s" s="9">
        <v>30</v>
      </c>
      <c r="D6463" t="s" s="8">
        <v>2211</v>
      </c>
      <c r="E6463" t="s" s="9">
        <v>2211</v>
      </c>
      <c r="F6463" s="19">
        <v>1</v>
      </c>
      <c r="G6463" t="s" s="11">
        <v>68</v>
      </c>
      <c r="H6463" s="19">
        <v>1</v>
      </c>
      <c r="I6463" t="s" s="11">
        <v>68</v>
      </c>
      <c r="J6463" t="s" s="11">
        <v>136</v>
      </c>
      <c r="K6463" s="15"/>
      <c r="L6463" t="s" s="16">
        <f>HYPERLINK("http://csr.bu.edu/ftp/asl/asllvd/demos/verify_start_end_handshape_annotations//test_auto_move//signs_mov_separ_signers/Brady_1434.mov","MOV")</f>
        <v>21</v>
      </c>
      <c r="M6463" t="s" s="10">
        <v>39</v>
      </c>
      <c r="N6463" s="17">
        <v>51</v>
      </c>
      <c r="O6463" s="18">
        <v>405</v>
      </c>
      <c r="P6463" s="18">
        <v>434</v>
      </c>
      <c r="Q6463" s="15"/>
      <c r="R6463" t="s" s="16">
        <f>HYPERLINK("http://secrets.rutgers.edu:8080/data/asl-ftp/asllvd/demos/verify_start_end_handshape_annotations//test_auto_move//signs_mov_separ_signers/Brady_1434.mov","MOV")</f>
        <v>21</v>
      </c>
    </row>
    <row r="6464" s="2" customFormat="1" ht="13.5" customHeight="1">
      <c r="B6464" t="s" s="8">
        <v>2212</v>
      </c>
      <c r="C6464" t="s" s="9">
        <v>14</v>
      </c>
      <c r="D6464" t="s" s="8">
        <v>14</v>
      </c>
      <c r="E6464" t="s" s="9">
        <v>14</v>
      </c>
      <c r="F6464" t="s" s="10">
        <v>14</v>
      </c>
      <c r="G6464" t="s" s="11">
        <v>14</v>
      </c>
      <c r="H6464" t="s" s="10">
        <v>14</v>
      </c>
      <c r="I6464" t="s" s="11">
        <v>14</v>
      </c>
      <c r="J6464" t="s" s="11">
        <v>14</v>
      </c>
      <c r="K6464" t="s" s="12">
        <v>14</v>
      </c>
      <c r="L6464" t="s" s="12">
        <v>14</v>
      </c>
      <c r="M6464" t="s" s="10">
        <v>14</v>
      </c>
      <c r="N6464" t="s" s="11">
        <v>14</v>
      </c>
      <c r="O6464" t="s" s="8">
        <v>14</v>
      </c>
      <c r="P6464" t="s" s="8">
        <v>14</v>
      </c>
      <c r="Q6464" t="s" s="12">
        <v>14</v>
      </c>
      <c r="R6464" t="s" s="12">
        <v>14</v>
      </c>
    </row>
    <row r="6465" s="2" customFormat="1" ht="13.5" customHeight="1">
      <c r="B6465" s="13"/>
      <c r="C6465" t="s" s="9">
        <v>16</v>
      </c>
      <c r="D6465" t="s" s="8">
        <v>2212</v>
      </c>
      <c r="E6465" t="s" s="9">
        <v>2213</v>
      </c>
      <c r="F6465" t="s" s="10">
        <v>185</v>
      </c>
      <c r="G6465" s="14"/>
      <c r="H6465" t="s" s="10">
        <v>185</v>
      </c>
      <c r="I6465" s="14"/>
      <c r="J6465" t="s" s="11">
        <v>20</v>
      </c>
      <c r="K6465" s="15"/>
      <c r="L6465" t="s" s="16">
        <f>HYPERLINK("http://csr.bu.edu/ftp/asl/asllvd/demos/verify_start_end_handshape_annotations//test_auto_move//signs_mov_separ_signers/Liz_1440.mov","MOV")</f>
        <v>21</v>
      </c>
      <c r="M6465" t="s" s="10">
        <v>34</v>
      </c>
      <c r="N6465" s="17">
        <v>53</v>
      </c>
      <c r="O6465" s="18">
        <v>275</v>
      </c>
      <c r="P6465" s="18">
        <v>355</v>
      </c>
      <c r="Q6465" s="15"/>
      <c r="R6465" t="s" s="16">
        <f>HYPERLINK("http://secrets.rutgers.edu:8080/data/asl-ftp/asllvd/demos/verify_start_end_handshape_annotations//test_auto_move//signs_mov_separ_signers/Liz_1440.mov","MOV")</f>
        <v>21</v>
      </c>
    </row>
    <row r="6466" s="2" customFormat="1" ht="13.5" customHeight="1">
      <c r="B6466" s="13"/>
      <c r="C6466" t="s" s="9">
        <v>23</v>
      </c>
      <c r="D6466" t="s" s="8">
        <v>2212</v>
      </c>
      <c r="E6466" t="s" s="9">
        <v>2213</v>
      </c>
      <c r="F6466" t="s" s="10">
        <v>185</v>
      </c>
      <c r="G6466" s="14"/>
      <c r="H6466" t="s" s="10">
        <v>185</v>
      </c>
      <c r="I6466" s="14"/>
      <c r="J6466" t="s" s="11">
        <v>20</v>
      </c>
      <c r="K6466" t="s" s="16">
        <f>HYPERLINK("http://csr.bu.edu/ftp/asl/asllvd/demos/verify_start_end_handshape_annotations//test_auto_move//signs_mov/1440.mov","MOV")</f>
        <v>21</v>
      </c>
      <c r="L6466" t="s" s="16">
        <f>HYPERLINK("http://csr.bu.edu/ftp/asl/asllvd/demos/verify_start_end_handshape_annotations//test_auto_move//signs_mov_separ_signers/Tyler_1440.mov","MOV")</f>
        <v>21</v>
      </c>
      <c r="M6466" t="s" s="10">
        <v>47</v>
      </c>
      <c r="N6466" s="17">
        <v>4</v>
      </c>
      <c r="O6466" s="18">
        <v>2765</v>
      </c>
      <c r="P6466" s="18">
        <v>2832</v>
      </c>
      <c r="Q6466" t="s" s="16">
        <f>HYPERLINK("http://secrets.rutgers.edu:8080/data/asl-ftp/asllvd/demos/verify_start_end_handshape_annotations//test_auto_move//signs_mov/1440.mov","MOV")</f>
        <v>21</v>
      </c>
      <c r="R6466" t="s" s="16">
        <f>HYPERLINK("http://secrets.rutgers.edu:8080/data/asl-ftp/asllvd/demos/verify_start_end_handshape_annotations//test_auto_move//signs_mov_separ_signers/Tyler_1440.mov","MOV")</f>
        <v>21</v>
      </c>
    </row>
    <row r="6467" s="2" customFormat="1" ht="13.5" customHeight="1">
      <c r="B6467" s="13"/>
      <c r="C6467" t="s" s="9">
        <v>27</v>
      </c>
      <c r="D6467" t="s" s="8">
        <v>2212</v>
      </c>
      <c r="E6467" t="s" s="9">
        <v>2213</v>
      </c>
      <c r="F6467" t="s" s="10">
        <v>185</v>
      </c>
      <c r="G6467" s="14"/>
      <c r="H6467" t="s" s="10">
        <v>185</v>
      </c>
      <c r="I6467" s="14"/>
      <c r="J6467" t="s" s="11">
        <v>20</v>
      </c>
      <c r="K6467" s="15"/>
      <c r="L6467" t="s" s="16">
        <f>HYPERLINK("http://csr.bu.edu/ftp/asl/asllvd/demos/verify_start_end_handshape_annotations//test_auto_move//signs_mov_separ_signers/Naomi_1440.mov","MOV")</f>
        <v>21</v>
      </c>
      <c r="M6467" t="s" s="10">
        <v>48</v>
      </c>
      <c r="N6467" s="17">
        <v>7</v>
      </c>
      <c r="O6467" s="18">
        <v>3072</v>
      </c>
      <c r="P6467" s="18">
        <v>3142</v>
      </c>
      <c r="Q6467" s="15"/>
      <c r="R6467" t="s" s="16">
        <f>HYPERLINK("http://secrets.rutgers.edu:8080/data/asl-ftp/asllvd/demos/verify_start_end_handshape_annotations//test_auto_move//signs_mov_separ_signers/Naomi_1440.mov","MOV")</f>
        <v>21</v>
      </c>
    </row>
    <row r="6468" s="2" customFormat="1" ht="13.5" customHeight="1">
      <c r="B6468" s="13"/>
      <c r="C6468" t="s" s="9">
        <v>30</v>
      </c>
      <c r="D6468" t="s" s="8">
        <v>2212</v>
      </c>
      <c r="E6468" t="s" s="9">
        <v>2214</v>
      </c>
      <c r="F6468" t="s" s="10">
        <v>185</v>
      </c>
      <c r="G6468" s="14"/>
      <c r="H6468" t="s" s="10">
        <v>185</v>
      </c>
      <c r="I6468" s="14"/>
      <c r="J6468" t="s" s="11">
        <v>20</v>
      </c>
      <c r="K6468" s="15"/>
      <c r="L6468" t="s" s="16">
        <f>HYPERLINK("http://csr.bu.edu/ftp/asl/asllvd/demos/verify_start_end_handshape_annotations//test_auto_move//signs_mov_separ_signers/Brady_1440.mov","MOV")</f>
        <v>21</v>
      </c>
      <c r="M6468" t="s" s="10">
        <v>39</v>
      </c>
      <c r="N6468" s="17">
        <v>51</v>
      </c>
      <c r="O6468" s="18">
        <v>2626</v>
      </c>
      <c r="P6468" s="18">
        <v>2683</v>
      </c>
      <c r="Q6468" s="15"/>
      <c r="R6468" t="s" s="16">
        <f>HYPERLINK("http://secrets.rutgers.edu:8080/data/asl-ftp/asllvd/demos/verify_start_end_handshape_annotations//test_auto_move//signs_mov_separ_signers/Brady_1440.mov","MOV")</f>
        <v>21</v>
      </c>
    </row>
    <row r="6469" s="2" customFormat="1" ht="13.5" customHeight="1">
      <c r="B6469" t="s" s="8">
        <v>2215</v>
      </c>
      <c r="C6469" t="s" s="9">
        <v>14</v>
      </c>
      <c r="D6469" t="s" s="8">
        <v>14</v>
      </c>
      <c r="E6469" t="s" s="9">
        <v>14</v>
      </c>
      <c r="F6469" t="s" s="10">
        <v>14</v>
      </c>
      <c r="G6469" t="s" s="11">
        <v>14</v>
      </c>
      <c r="H6469" t="s" s="10">
        <v>14</v>
      </c>
      <c r="I6469" t="s" s="11">
        <v>14</v>
      </c>
      <c r="J6469" t="s" s="11">
        <v>14</v>
      </c>
      <c r="K6469" t="s" s="12">
        <v>14</v>
      </c>
      <c r="L6469" t="s" s="12">
        <v>14</v>
      </c>
      <c r="M6469" t="s" s="10">
        <v>14</v>
      </c>
      <c r="N6469" t="s" s="11">
        <v>14</v>
      </c>
      <c r="O6469" t="s" s="8">
        <v>14</v>
      </c>
      <c r="P6469" t="s" s="8">
        <v>14</v>
      </c>
      <c r="Q6469" t="s" s="12">
        <v>14</v>
      </c>
      <c r="R6469" t="s" s="12">
        <v>14</v>
      </c>
    </row>
    <row r="6470" s="2" customFormat="1" ht="13.5" customHeight="1">
      <c r="B6470" s="13"/>
      <c r="C6470" t="s" s="9">
        <v>16</v>
      </c>
      <c r="D6470" t="s" s="8">
        <v>2215</v>
      </c>
      <c r="E6470" t="s" s="9">
        <v>2215</v>
      </c>
      <c r="F6470" t="s" s="10">
        <v>229</v>
      </c>
      <c r="G6470" t="s" s="11">
        <v>73</v>
      </c>
      <c r="H6470" t="s" s="10">
        <v>229</v>
      </c>
      <c r="I6470" t="s" s="11">
        <v>73</v>
      </c>
      <c r="J6470" t="s" s="11">
        <v>20</v>
      </c>
      <c r="K6470" s="15"/>
      <c r="L6470" t="s" s="16">
        <f>HYPERLINK("http://csr.bu.edu/ftp/asl/asllvd/demos/verify_start_end_handshape_annotations//test_auto_move//signs_mov_separ_signers/Liz_1453.mov","MOV")</f>
        <v>21</v>
      </c>
      <c r="M6470" t="s" s="10">
        <v>34</v>
      </c>
      <c r="N6470" s="17">
        <v>54</v>
      </c>
      <c r="O6470" s="18">
        <v>1035</v>
      </c>
      <c r="P6470" s="18">
        <v>1080</v>
      </c>
      <c r="Q6470" s="15"/>
      <c r="R6470" t="s" s="16">
        <f>HYPERLINK("http://secrets.rutgers.edu:8080/data/asl-ftp/asllvd/demos/verify_start_end_handshape_annotations//test_auto_move//signs_mov_separ_signers/Liz_1453.mov","MOV")</f>
        <v>21</v>
      </c>
    </row>
    <row r="6471" s="2" customFormat="1" ht="13.5" customHeight="1">
      <c r="B6471" s="13"/>
      <c r="C6471" t="s" s="9">
        <v>27</v>
      </c>
      <c r="D6471" t="s" s="8">
        <v>2215</v>
      </c>
      <c r="E6471" t="s" s="9">
        <v>2215</v>
      </c>
      <c r="F6471" t="s" s="10">
        <v>229</v>
      </c>
      <c r="G6471" t="s" s="11">
        <v>73</v>
      </c>
      <c r="H6471" t="s" s="10">
        <v>229</v>
      </c>
      <c r="I6471" t="s" s="11">
        <v>73</v>
      </c>
      <c r="J6471" t="s" s="11">
        <v>20</v>
      </c>
      <c r="K6471" s="15"/>
      <c r="L6471" t="s" s="16">
        <f>HYPERLINK("http://csr.bu.edu/ftp/asl/asllvd/demos/verify_start_end_handshape_annotations//test_auto_move//signs_mov_separ_signers/Naomi_1453.mov","MOV")</f>
        <v>21</v>
      </c>
      <c r="M6471" t="s" s="10">
        <v>48</v>
      </c>
      <c r="N6471" s="17">
        <v>9</v>
      </c>
      <c r="O6471" s="18">
        <v>1195</v>
      </c>
      <c r="P6471" s="18">
        <v>1222</v>
      </c>
      <c r="Q6471" s="15"/>
      <c r="R6471" t="s" s="16">
        <f>HYPERLINK("http://secrets.rutgers.edu:8080/data/asl-ftp/asllvd/demos/verify_start_end_handshape_annotations//test_auto_move//signs_mov_separ_signers/Naomi_1453.mov","MOV")</f>
        <v>21</v>
      </c>
    </row>
    <row r="6472" s="2" customFormat="1" ht="13.5" customHeight="1">
      <c r="B6472" s="13"/>
      <c r="C6472" t="s" s="9">
        <v>30</v>
      </c>
      <c r="D6472" t="s" s="8">
        <v>2215</v>
      </c>
      <c r="E6472" t="s" s="9">
        <v>2215</v>
      </c>
      <c r="F6472" t="s" s="10">
        <v>229</v>
      </c>
      <c r="G6472" t="s" s="11">
        <v>73</v>
      </c>
      <c r="H6472" t="s" s="10">
        <v>229</v>
      </c>
      <c r="I6472" t="s" s="11">
        <v>73</v>
      </c>
      <c r="J6472" t="s" s="11">
        <v>20</v>
      </c>
      <c r="K6472" t="s" s="16">
        <f>HYPERLINK("http://csr.bu.edu/ftp/asl/asllvd/demos/verify_start_end_handshape_annotations//test_auto_move//signs_mov/1453.mov","MOV")</f>
        <v>21</v>
      </c>
      <c r="L6472" t="s" s="16">
        <f>HYPERLINK("http://csr.bu.edu/ftp/asl/asllvd/demos/verify_start_end_handshape_annotations//test_auto_move//signs_mov_separ_signers/Brady_1453.mov","MOV")</f>
        <v>21</v>
      </c>
      <c r="M6472" t="s" s="10">
        <v>39</v>
      </c>
      <c r="N6472" s="17">
        <v>52</v>
      </c>
      <c r="O6472" s="18">
        <v>3211</v>
      </c>
      <c r="P6472" s="18">
        <v>3237</v>
      </c>
      <c r="Q6472" t="s" s="16">
        <f>HYPERLINK("http://secrets.rutgers.edu:8080/data/asl-ftp/asllvd/demos/verify_start_end_handshape_annotations//test_auto_move//signs_mov/1453.mov","MOV")</f>
        <v>21</v>
      </c>
      <c r="R6472" t="s" s="16">
        <f>HYPERLINK("http://secrets.rutgers.edu:8080/data/asl-ftp/asllvd/demos/verify_start_end_handshape_annotations//test_auto_move//signs_mov_separ_signers/Brady_1453.mov","MOV")</f>
        <v>21</v>
      </c>
    </row>
    <row r="6473" s="2" customFormat="1" ht="13.5" customHeight="1">
      <c r="B6473" s="13"/>
      <c r="C6473" t="s" s="9">
        <v>41</v>
      </c>
      <c r="D6473" t="s" s="8">
        <v>2215</v>
      </c>
      <c r="E6473" t="s" s="9">
        <v>2215</v>
      </c>
      <c r="F6473" t="s" s="10">
        <v>229</v>
      </c>
      <c r="G6473" t="s" s="11">
        <v>73</v>
      </c>
      <c r="H6473" t="s" s="10">
        <v>229</v>
      </c>
      <c r="I6473" t="s" s="11">
        <v>73</v>
      </c>
      <c r="J6473" t="s" s="11">
        <v>20</v>
      </c>
      <c r="K6473" s="15"/>
      <c r="L6473" t="s" s="16">
        <f>HYPERLINK("http://csr.bu.edu/ftp/asl/asllvd/demos/verify_start_end_handshape_annotations//test_auto_move//signs_mov_separ_signers/Lana_1453.mov","MOV")</f>
        <v>21</v>
      </c>
      <c r="M6473" t="s" s="10">
        <v>42</v>
      </c>
      <c r="N6473" s="17">
        <v>16</v>
      </c>
      <c r="O6473" s="18">
        <v>1156</v>
      </c>
      <c r="P6473" s="18">
        <v>1169</v>
      </c>
      <c r="Q6473" s="15"/>
      <c r="R6473" t="s" s="16">
        <f>HYPERLINK("http://secrets.rutgers.edu:8080/data/asl-ftp/asllvd/demos/verify_start_end_handshape_annotations//test_auto_move//signs_mov_separ_signers/Lana_1453.mov","MOV")</f>
        <v>21</v>
      </c>
    </row>
    <row r="6474" s="2" customFormat="1" ht="13.5" customHeight="1">
      <c r="B6474" s="13"/>
      <c r="C6474" t="s" s="9">
        <v>43</v>
      </c>
      <c r="D6474" t="s" s="8">
        <v>2215</v>
      </c>
      <c r="E6474" t="s" s="9">
        <v>2215</v>
      </c>
      <c r="F6474" t="s" s="10">
        <v>229</v>
      </c>
      <c r="G6474" t="s" s="11">
        <v>73</v>
      </c>
      <c r="H6474" t="s" s="10">
        <v>229</v>
      </c>
      <c r="I6474" t="s" s="11">
        <v>73</v>
      </c>
      <c r="J6474" t="s" s="11">
        <v>20</v>
      </c>
      <c r="K6474" s="15"/>
      <c r="L6474" t="s" s="16">
        <f>HYPERLINK("http://csr.bu.edu/ftp/asl/asllvd/demos/verify_start_end_handshape_annotations//test_auto_move//signs_mov_separ_signers/Dana_1453.mov","MOV")</f>
        <v>21</v>
      </c>
      <c r="M6474" t="s" s="10">
        <v>44</v>
      </c>
      <c r="N6474" s="17">
        <v>19</v>
      </c>
      <c r="O6474" s="18">
        <v>1117</v>
      </c>
      <c r="P6474" s="18">
        <v>1162</v>
      </c>
      <c r="Q6474" s="15"/>
      <c r="R6474" t="s" s="16">
        <f>HYPERLINK("http://secrets.rutgers.edu:8080/data/asl-ftp/asllvd/demos/verify_start_end_handshape_annotations//test_auto_move//signs_mov_separ_signers/Dana_1453.mov","MOV")</f>
        <v>21</v>
      </c>
    </row>
    <row r="6475" s="2" customFormat="1" ht="13.5" customHeight="1">
      <c r="B6475" t="s" s="8">
        <v>2216</v>
      </c>
      <c r="C6475" t="s" s="9">
        <v>14</v>
      </c>
      <c r="D6475" t="s" s="8">
        <v>14</v>
      </c>
      <c r="E6475" t="s" s="9">
        <v>14</v>
      </c>
      <c r="F6475" t="s" s="10">
        <v>14</v>
      </c>
      <c r="G6475" t="s" s="11">
        <v>14</v>
      </c>
      <c r="H6475" t="s" s="10">
        <v>14</v>
      </c>
      <c r="I6475" t="s" s="11">
        <v>14</v>
      </c>
      <c r="J6475" t="s" s="11">
        <v>14</v>
      </c>
      <c r="K6475" t="s" s="12">
        <v>14</v>
      </c>
      <c r="L6475" t="s" s="12">
        <v>14</v>
      </c>
      <c r="M6475" t="s" s="10">
        <v>14</v>
      </c>
      <c r="N6475" t="s" s="11">
        <v>14</v>
      </c>
      <c r="O6475" t="s" s="8">
        <v>14</v>
      </c>
      <c r="P6475" t="s" s="8">
        <v>14</v>
      </c>
      <c r="Q6475" t="s" s="12">
        <v>14</v>
      </c>
      <c r="R6475" t="s" s="12">
        <v>14</v>
      </c>
    </row>
    <row r="6476" s="2" customFormat="1" ht="13.5" customHeight="1">
      <c r="B6476" s="13"/>
      <c r="C6476" t="s" s="9">
        <v>16</v>
      </c>
      <c r="D6476" t="s" s="8">
        <v>2216</v>
      </c>
      <c r="E6476" t="s" s="9">
        <v>2217</v>
      </c>
      <c r="F6476" t="s" s="10">
        <v>229</v>
      </c>
      <c r="G6476" t="s" s="11">
        <v>230</v>
      </c>
      <c r="H6476" t="s" s="10">
        <v>229</v>
      </c>
      <c r="I6476" t="s" s="11">
        <v>230</v>
      </c>
      <c r="J6476" t="s" s="11">
        <v>20</v>
      </c>
      <c r="K6476" s="15"/>
      <c r="L6476" t="s" s="16">
        <f>HYPERLINK("http://csr.bu.edu/ftp/asl/asllvd/demos/verify_start_end_handshape_annotations//test_auto_move//signs_mov_separ_signers/Liz_16062.mov","MOV")</f>
        <v>21</v>
      </c>
      <c r="M6476" t="s" s="10">
        <v>34</v>
      </c>
      <c r="N6476" s="17">
        <v>33</v>
      </c>
      <c r="O6476" s="18">
        <v>2116</v>
      </c>
      <c r="P6476" s="18">
        <v>2160</v>
      </c>
      <c r="Q6476" s="15"/>
      <c r="R6476" t="s" s="16">
        <f>HYPERLINK("http://secrets.rutgers.edu:8080/data/asl-ftp/asllvd/demos/verify_start_end_handshape_annotations//test_auto_move//signs_mov_separ_signers/Liz_16062.mov","MOV")</f>
        <v>21</v>
      </c>
    </row>
    <row r="6477" s="2" customFormat="1" ht="13.5" customHeight="1">
      <c r="B6477" s="13"/>
      <c r="C6477" t="s" s="9">
        <v>27</v>
      </c>
      <c r="D6477" t="s" s="8">
        <v>2216</v>
      </c>
      <c r="E6477" t="s" s="9">
        <v>2216</v>
      </c>
      <c r="F6477" t="s" s="10">
        <v>229</v>
      </c>
      <c r="G6477" t="s" s="11">
        <v>229</v>
      </c>
      <c r="H6477" t="s" s="10">
        <v>229</v>
      </c>
      <c r="I6477" t="s" s="11">
        <v>229</v>
      </c>
      <c r="J6477" t="s" s="11">
        <v>20</v>
      </c>
      <c r="K6477" t="s" s="16">
        <f>HYPERLINK("http://csr.bu.edu/ftp/asl/asllvd/demos/verify_start_end_handshape_annotations//test_auto_move//signs_mov/16062.mov","MOV")</f>
        <v>21</v>
      </c>
      <c r="L6477" t="s" s="16">
        <f>HYPERLINK("http://csr.bu.edu/ftp/asl/asllvd/demos/verify_start_end_handshape_annotations//test_auto_move//signs_mov_separ_signers/Naomi_16062.mov","MOV")</f>
        <v>21</v>
      </c>
      <c r="M6477" t="s" s="10">
        <v>38</v>
      </c>
      <c r="N6477" s="17">
        <v>27</v>
      </c>
      <c r="O6477" s="18">
        <v>2540</v>
      </c>
      <c r="P6477" s="18">
        <v>2572</v>
      </c>
      <c r="Q6477" t="s" s="16">
        <f>HYPERLINK("http://secrets.rutgers.edu:8080/data/asl-ftp/asllvd/demos/verify_start_end_handshape_annotations//test_auto_move//signs_mov/16062.mov","MOV")</f>
        <v>21</v>
      </c>
      <c r="R6477" t="s" s="16">
        <f>HYPERLINK("http://secrets.rutgers.edu:8080/data/asl-ftp/asllvd/demos/verify_start_end_handshape_annotations//test_auto_move//signs_mov_separ_signers/Naomi_16062.mov","MOV")</f>
        <v>21</v>
      </c>
    </row>
    <row r="6478" s="2" customFormat="1" ht="13.5" customHeight="1">
      <c r="B6478" s="13"/>
      <c r="C6478" t="s" s="9">
        <v>30</v>
      </c>
      <c r="D6478" t="s" s="8">
        <v>2216</v>
      </c>
      <c r="E6478" t="s" s="9">
        <v>2217</v>
      </c>
      <c r="F6478" t="s" s="10">
        <v>229</v>
      </c>
      <c r="G6478" t="s" s="11">
        <v>229</v>
      </c>
      <c r="H6478" t="s" s="10">
        <v>229</v>
      </c>
      <c r="I6478" t="s" s="11">
        <v>229</v>
      </c>
      <c r="J6478" t="s" s="11">
        <v>20</v>
      </c>
      <c r="K6478" s="15"/>
      <c r="L6478" t="s" s="16">
        <f>HYPERLINK("http://csr.bu.edu/ftp/asl/asllvd/demos/verify_start_end_handshape_annotations//test_auto_move//signs_mov_separ_signers/Brady_16062.mov","MOV")</f>
        <v>21</v>
      </c>
      <c r="M6478" t="s" s="10">
        <v>39</v>
      </c>
      <c r="N6478" s="17">
        <v>41</v>
      </c>
      <c r="O6478" s="18">
        <v>436</v>
      </c>
      <c r="P6478" s="18">
        <v>472</v>
      </c>
      <c r="Q6478" s="15"/>
      <c r="R6478" t="s" s="16">
        <f>HYPERLINK("http://secrets.rutgers.edu:8080/data/asl-ftp/asllvd/demos/verify_start_end_handshape_annotations//test_auto_move//signs_mov_separ_signers/Brady_16062.mov","MOV")</f>
        <v>21</v>
      </c>
    </row>
    <row r="6479" s="2" customFormat="1" ht="13.5" customHeight="1">
      <c r="B6479" t="s" s="8">
        <v>2218</v>
      </c>
      <c r="C6479" t="s" s="9">
        <v>14</v>
      </c>
      <c r="D6479" t="s" s="8">
        <v>14</v>
      </c>
      <c r="E6479" t="s" s="9">
        <v>14</v>
      </c>
      <c r="F6479" t="s" s="10">
        <v>14</v>
      </c>
      <c r="G6479" t="s" s="11">
        <v>14</v>
      </c>
      <c r="H6479" t="s" s="10">
        <v>14</v>
      </c>
      <c r="I6479" t="s" s="11">
        <v>14</v>
      </c>
      <c r="J6479" t="s" s="11">
        <v>14</v>
      </c>
      <c r="K6479" t="s" s="12">
        <v>14</v>
      </c>
      <c r="L6479" t="s" s="12">
        <v>14</v>
      </c>
      <c r="M6479" t="s" s="10">
        <v>14</v>
      </c>
      <c r="N6479" t="s" s="11">
        <v>14</v>
      </c>
      <c r="O6479" t="s" s="8">
        <v>14</v>
      </c>
      <c r="P6479" t="s" s="8">
        <v>14</v>
      </c>
      <c r="Q6479" t="s" s="12">
        <v>14</v>
      </c>
      <c r="R6479" t="s" s="12">
        <v>14</v>
      </c>
    </row>
    <row r="6480" s="2" customFormat="1" ht="13.5" customHeight="1">
      <c r="B6480" s="13"/>
      <c r="C6480" t="s" s="9">
        <v>16</v>
      </c>
      <c r="D6480" t="s" s="8">
        <v>2218</v>
      </c>
      <c r="E6480" t="s" s="9">
        <v>2218</v>
      </c>
      <c r="F6480" t="s" s="10">
        <v>119</v>
      </c>
      <c r="G6480" t="s" s="11">
        <v>119</v>
      </c>
      <c r="H6480" s="19">
        <v>5</v>
      </c>
      <c r="I6480" s="17">
        <v>5</v>
      </c>
      <c r="J6480" t="s" s="11">
        <v>20</v>
      </c>
      <c r="K6480" s="15"/>
      <c r="L6480" t="s" s="16">
        <f>HYPERLINK("http://csr.bu.edu/ftp/asl/asllvd/demos/verify_start_end_handshape_annotations//test_auto_move//signs_mov_separ_signers/Liz_1454.mov","MOV")</f>
        <v>21</v>
      </c>
      <c r="M6480" t="s" s="10">
        <v>34</v>
      </c>
      <c r="N6480" s="17">
        <v>54</v>
      </c>
      <c r="O6480" s="18">
        <v>1275</v>
      </c>
      <c r="P6480" s="18">
        <v>1315</v>
      </c>
      <c r="Q6480" s="15"/>
      <c r="R6480" t="s" s="16">
        <f>HYPERLINK("http://secrets.rutgers.edu:8080/data/asl-ftp/asllvd/demos/verify_start_end_handshape_annotations//test_auto_move//signs_mov_separ_signers/Liz_1454.mov","MOV")</f>
        <v>21</v>
      </c>
    </row>
    <row r="6481" s="2" customFormat="1" ht="13.5" customHeight="1">
      <c r="B6481" s="13"/>
      <c r="C6481" t="s" s="9">
        <v>23</v>
      </c>
      <c r="D6481" t="s" s="8">
        <v>2218</v>
      </c>
      <c r="E6481" t="s" s="9">
        <v>2218</v>
      </c>
      <c r="F6481" t="s" s="10">
        <v>119</v>
      </c>
      <c r="G6481" t="s" s="11">
        <v>119</v>
      </c>
      <c r="H6481" s="19">
        <v>5</v>
      </c>
      <c r="I6481" s="17">
        <v>5</v>
      </c>
      <c r="J6481" t="s" s="11">
        <v>20</v>
      </c>
      <c r="K6481" t="s" s="16">
        <f>HYPERLINK("http://csr.bu.edu/ftp/asl/asllvd/demos/verify_start_end_handshape_annotations//test_auto_move//signs_mov/1454.mov","MOV")</f>
        <v>21</v>
      </c>
      <c r="L6481" t="s" s="16">
        <f>HYPERLINK("http://csr.bu.edu/ftp/asl/asllvd/demos/verify_start_end_handshape_annotations//test_auto_move//signs_mov_separ_signers/Tyler_1454.mov","MOV")</f>
        <v>21</v>
      </c>
      <c r="M6481" t="s" s="10">
        <v>47</v>
      </c>
      <c r="N6481" s="17">
        <v>6</v>
      </c>
      <c r="O6481" s="18">
        <v>1950</v>
      </c>
      <c r="P6481" s="18">
        <v>1975</v>
      </c>
      <c r="Q6481" t="s" s="16">
        <f>HYPERLINK("http://secrets.rutgers.edu:8080/data/asl-ftp/asllvd/demos/verify_start_end_handshape_annotations//test_auto_move//signs_mov/1454.mov","MOV")</f>
        <v>21</v>
      </c>
      <c r="R6481" t="s" s="16">
        <f>HYPERLINK("http://secrets.rutgers.edu:8080/data/asl-ftp/asllvd/demos/verify_start_end_handshape_annotations//test_auto_move//signs_mov_separ_signers/Tyler_1454.mov","MOV")</f>
        <v>21</v>
      </c>
    </row>
    <row r="6482" s="2" customFormat="1" ht="13.5" customHeight="1">
      <c r="B6482" s="13"/>
      <c r="C6482" t="s" s="9">
        <v>27</v>
      </c>
      <c r="D6482" t="s" s="8">
        <v>2218</v>
      </c>
      <c r="E6482" t="s" s="9">
        <v>2218</v>
      </c>
      <c r="F6482" t="s" s="10">
        <v>119</v>
      </c>
      <c r="G6482" t="s" s="11">
        <v>119</v>
      </c>
      <c r="H6482" s="19">
        <v>5</v>
      </c>
      <c r="I6482" s="17">
        <v>5</v>
      </c>
      <c r="J6482" t="s" s="11">
        <v>20</v>
      </c>
      <c r="K6482" s="15"/>
      <c r="L6482" t="s" s="16">
        <f>HYPERLINK("http://csr.bu.edu/ftp/asl/asllvd/demos/verify_start_end_handshape_annotations//test_auto_move//signs_mov_separ_signers/Naomi_1454.mov","MOV")</f>
        <v>21</v>
      </c>
      <c r="M6482" t="s" s="10">
        <v>48</v>
      </c>
      <c r="N6482" s="17">
        <v>9</v>
      </c>
      <c r="O6482" s="18">
        <v>1450</v>
      </c>
      <c r="P6482" s="18">
        <v>1471</v>
      </c>
      <c r="Q6482" s="15"/>
      <c r="R6482" t="s" s="16">
        <f>HYPERLINK("http://secrets.rutgers.edu:8080/data/asl-ftp/asllvd/demos/verify_start_end_handshape_annotations//test_auto_move//signs_mov_separ_signers/Naomi_1454.mov","MOV")</f>
        <v>21</v>
      </c>
    </row>
    <row r="6483" s="2" customFormat="1" ht="13.5" customHeight="1">
      <c r="B6483" t="s" s="8">
        <v>52</v>
      </c>
      <c r="C6483" t="s" s="9">
        <v>53</v>
      </c>
      <c r="D6483" t="s" s="8">
        <v>53</v>
      </c>
      <c r="E6483" t="s" s="9">
        <v>53</v>
      </c>
      <c r="F6483" t="s" s="10">
        <v>53</v>
      </c>
      <c r="G6483" t="s" s="11">
        <v>53</v>
      </c>
      <c r="H6483" t="s" s="10">
        <v>53</v>
      </c>
      <c r="I6483" t="s" s="11">
        <v>53</v>
      </c>
      <c r="J6483" t="s" s="11">
        <v>53</v>
      </c>
      <c r="K6483" t="s" s="12">
        <v>53</v>
      </c>
      <c r="L6483" t="s" s="12">
        <v>53</v>
      </c>
      <c r="M6483" t="s" s="10">
        <v>53</v>
      </c>
      <c r="N6483" t="s" s="11">
        <v>53</v>
      </c>
      <c r="O6483" t="s" s="8">
        <v>53</v>
      </c>
      <c r="P6483" t="s" s="8">
        <v>53</v>
      </c>
      <c r="Q6483" t="s" s="12">
        <v>53</v>
      </c>
      <c r="R6483" t="s" s="12">
        <v>53</v>
      </c>
    </row>
    <row r="6484" s="2" customFormat="1" ht="13.5" customHeight="1">
      <c r="B6484" s="13"/>
      <c r="C6484" t="s" s="9">
        <v>30</v>
      </c>
      <c r="D6484" t="s" s="8">
        <v>2218</v>
      </c>
      <c r="E6484" t="s" s="9">
        <v>2219</v>
      </c>
      <c r="F6484" t="s" s="10">
        <v>119</v>
      </c>
      <c r="G6484" t="s" s="11">
        <v>119</v>
      </c>
      <c r="H6484" s="19">
        <v>5</v>
      </c>
      <c r="I6484" s="17">
        <v>5</v>
      </c>
      <c r="J6484" t="s" s="11">
        <v>20</v>
      </c>
      <c r="K6484" t="s" s="16">
        <f>HYPERLINK("http://csr.bu.edu/ftp/asl/asllvd/demos/verify_start_end_handshape_annotations//test_auto_move//signs_mov/16394.mov","MOV")</f>
        <v>21</v>
      </c>
      <c r="L6484" t="s" s="16">
        <f>HYPERLINK("http://csr.bu.edu/ftp/asl/asllvd/demos/verify_start_end_handshape_annotations//test_auto_move//signs_mov_separ_signers/Brady_16394.mov","MOV")</f>
        <v>21</v>
      </c>
      <c r="M6484" t="s" s="10">
        <v>39</v>
      </c>
      <c r="N6484" s="17">
        <v>52</v>
      </c>
      <c r="O6484" s="18">
        <v>3500</v>
      </c>
      <c r="P6484" s="18">
        <v>3517</v>
      </c>
      <c r="Q6484" t="s" s="16">
        <f>HYPERLINK("http://secrets.rutgers.edu:8080/data/asl-ftp/asllvd/demos/verify_start_end_handshape_annotations//test_auto_move//signs_mov/16394.mov","MOV")</f>
        <v>21</v>
      </c>
      <c r="R6484" t="s" s="16">
        <f>HYPERLINK("http://secrets.rutgers.edu:8080/data/asl-ftp/asllvd/demos/verify_start_end_handshape_annotations//test_auto_move//signs_mov_separ_signers/Brady_16394.mov","MOV")</f>
        <v>21</v>
      </c>
    </row>
    <row r="6485" s="2" customFormat="1" ht="13.5" customHeight="1">
      <c r="B6485" t="s" s="8">
        <v>2220</v>
      </c>
      <c r="C6485" t="s" s="9">
        <v>14</v>
      </c>
      <c r="D6485" t="s" s="8">
        <v>14</v>
      </c>
      <c r="E6485" t="s" s="9">
        <v>14</v>
      </c>
      <c r="F6485" t="s" s="10">
        <v>14</v>
      </c>
      <c r="G6485" t="s" s="11">
        <v>14</v>
      </c>
      <c r="H6485" t="s" s="10">
        <v>14</v>
      </c>
      <c r="I6485" t="s" s="11">
        <v>14</v>
      </c>
      <c r="J6485" t="s" s="11">
        <v>14</v>
      </c>
      <c r="K6485" t="s" s="12">
        <v>14</v>
      </c>
      <c r="L6485" t="s" s="12">
        <v>14</v>
      </c>
      <c r="M6485" t="s" s="10">
        <v>14</v>
      </c>
      <c r="N6485" t="s" s="11">
        <v>14</v>
      </c>
      <c r="O6485" t="s" s="8">
        <v>14</v>
      </c>
      <c r="P6485" t="s" s="8">
        <v>14</v>
      </c>
      <c r="Q6485" t="s" s="12">
        <v>14</v>
      </c>
      <c r="R6485" t="s" s="12">
        <v>14</v>
      </c>
    </row>
    <row r="6486" s="2" customFormat="1" ht="13.5" customHeight="1">
      <c r="B6486" s="13"/>
      <c r="C6486" t="s" s="9">
        <v>16</v>
      </c>
      <c r="D6486" t="s" s="8">
        <v>2220</v>
      </c>
      <c r="E6486" t="s" s="9">
        <v>2221</v>
      </c>
      <c r="F6486" t="s" s="10">
        <v>68</v>
      </c>
      <c r="G6486" t="s" s="11">
        <v>68</v>
      </c>
      <c r="H6486" t="s" s="10">
        <v>72</v>
      </c>
      <c r="I6486" t="s" s="11">
        <v>72</v>
      </c>
      <c r="J6486" t="s" s="11">
        <v>20</v>
      </c>
      <c r="K6486" s="15"/>
      <c r="L6486" t="s" s="16">
        <f>HYPERLINK("http://csr.bu.edu/ftp/asl/asllvd/demos/verify_start_end_handshape_annotations//test_auto_move//signs_mov_separ_signers/Liz_1458.mov","MOV")</f>
        <v>21</v>
      </c>
      <c r="M6486" t="s" s="10">
        <v>34</v>
      </c>
      <c r="N6486" s="17">
        <v>54</v>
      </c>
      <c r="O6486" s="18">
        <v>5105</v>
      </c>
      <c r="P6486" s="18">
        <v>5172</v>
      </c>
      <c r="Q6486" s="15"/>
      <c r="R6486" t="s" s="16">
        <f>HYPERLINK("http://secrets.rutgers.edu:8080/data/asl-ftp/asllvd/demos/verify_start_end_handshape_annotations//test_auto_move//signs_mov_separ_signers/Liz_1458.mov","MOV")</f>
        <v>21</v>
      </c>
    </row>
    <row r="6487" s="2" customFormat="1" ht="13.5" customHeight="1">
      <c r="B6487" s="13"/>
      <c r="C6487" t="s" s="9">
        <v>27</v>
      </c>
      <c r="D6487" t="s" s="8">
        <v>2220</v>
      </c>
      <c r="E6487" t="s" s="9">
        <v>2221</v>
      </c>
      <c r="F6487" t="s" s="10">
        <v>68</v>
      </c>
      <c r="G6487" t="s" s="11">
        <v>68</v>
      </c>
      <c r="H6487" t="s" s="10">
        <v>72</v>
      </c>
      <c r="I6487" t="s" s="11">
        <v>72</v>
      </c>
      <c r="J6487" t="s" s="11">
        <v>20</v>
      </c>
      <c r="K6487" t="s" s="16">
        <f>HYPERLINK("http://csr.bu.edu/ftp/asl/asllvd/demos/verify_start_end_handshape_annotations//test_auto_move//signs_mov/1458.mov","MOV")</f>
        <v>21</v>
      </c>
      <c r="L6487" t="s" s="16">
        <f>HYPERLINK("http://csr.bu.edu/ftp/asl/asllvd/demos/verify_start_end_handshape_annotations//test_auto_move//signs_mov_separ_signers/Naomi_1458.mov","MOV")</f>
        <v>21</v>
      </c>
      <c r="M6487" t="s" s="10">
        <v>48</v>
      </c>
      <c r="N6487" s="17">
        <v>9</v>
      </c>
      <c r="O6487" s="18">
        <v>3155</v>
      </c>
      <c r="P6487" s="18">
        <v>3205</v>
      </c>
      <c r="Q6487" t="s" s="16">
        <f>HYPERLINK("http://secrets.rutgers.edu:8080/data/asl-ftp/asllvd/demos/verify_start_end_handshape_annotations//test_auto_move//signs_mov/1458.mov","MOV")</f>
        <v>21</v>
      </c>
      <c r="R6487" t="s" s="16">
        <f>HYPERLINK("http://secrets.rutgers.edu:8080/data/asl-ftp/asllvd/demos/verify_start_end_handshape_annotations//test_auto_move//signs_mov_separ_signers/Naomi_1458.mov","MOV")</f>
        <v>21</v>
      </c>
    </row>
    <row r="6488" s="2" customFormat="1" ht="13.5" customHeight="1">
      <c r="B6488" s="13"/>
      <c r="C6488" t="s" s="9">
        <v>30</v>
      </c>
      <c r="D6488" t="s" s="8">
        <v>2220</v>
      </c>
      <c r="E6488" t="s" s="9">
        <v>2221</v>
      </c>
      <c r="F6488" t="s" s="10">
        <v>68</v>
      </c>
      <c r="G6488" t="s" s="11">
        <v>68</v>
      </c>
      <c r="H6488" t="s" s="10">
        <v>72</v>
      </c>
      <c r="I6488" t="s" s="11">
        <v>72</v>
      </c>
      <c r="J6488" t="s" s="11">
        <v>20</v>
      </c>
      <c r="K6488" s="15"/>
      <c r="L6488" t="s" s="16">
        <f>HYPERLINK("http://csr.bu.edu/ftp/asl/asllvd/demos/verify_start_end_handshape_annotations//test_auto_move//signs_mov_separ_signers/Brady_1458.mov","MOV")</f>
        <v>21</v>
      </c>
      <c r="M6488" t="s" s="10">
        <v>39</v>
      </c>
      <c r="N6488" s="17">
        <v>52</v>
      </c>
      <c r="O6488" s="18">
        <v>6627</v>
      </c>
      <c r="P6488" s="18">
        <v>6665</v>
      </c>
      <c r="Q6488" s="15"/>
      <c r="R6488" t="s" s="16">
        <f>HYPERLINK("http://secrets.rutgers.edu:8080/data/asl-ftp/asllvd/demos/verify_start_end_handshape_annotations//test_auto_move//signs_mov_separ_signers/Brady_1458.mov","MOV")</f>
        <v>21</v>
      </c>
    </row>
    <row r="6489" s="2" customFormat="1" ht="13.5" customHeight="1">
      <c r="B6489" t="s" s="8">
        <v>52</v>
      </c>
      <c r="C6489" t="s" s="9">
        <v>53</v>
      </c>
      <c r="D6489" t="s" s="8">
        <v>53</v>
      </c>
      <c r="E6489" t="s" s="9">
        <v>53</v>
      </c>
      <c r="F6489" t="s" s="10">
        <v>53</v>
      </c>
      <c r="G6489" t="s" s="11">
        <v>53</v>
      </c>
      <c r="H6489" t="s" s="10">
        <v>53</v>
      </c>
      <c r="I6489" t="s" s="11">
        <v>53</v>
      </c>
      <c r="J6489" t="s" s="11">
        <v>53</v>
      </c>
      <c r="K6489" t="s" s="12">
        <v>53</v>
      </c>
      <c r="L6489" t="s" s="12">
        <v>53</v>
      </c>
      <c r="M6489" t="s" s="10">
        <v>53</v>
      </c>
      <c r="N6489" t="s" s="11">
        <v>53</v>
      </c>
      <c r="O6489" t="s" s="8">
        <v>53</v>
      </c>
      <c r="P6489" t="s" s="8">
        <v>53</v>
      </c>
      <c r="Q6489" t="s" s="12">
        <v>53</v>
      </c>
      <c r="R6489" t="s" s="12">
        <v>53</v>
      </c>
    </row>
    <row r="6490" s="2" customFormat="1" ht="13.5" customHeight="1">
      <c r="B6490" s="13"/>
      <c r="C6490" t="s" s="9">
        <v>23</v>
      </c>
      <c r="D6490" t="s" s="8">
        <v>2220</v>
      </c>
      <c r="E6490" t="s" s="9">
        <v>2222</v>
      </c>
      <c r="F6490" t="s" s="10">
        <v>158</v>
      </c>
      <c r="G6490" t="s" s="11">
        <v>158</v>
      </c>
      <c r="H6490" t="s" s="10">
        <v>72</v>
      </c>
      <c r="I6490" t="s" s="11">
        <v>72</v>
      </c>
      <c r="J6490" t="s" s="11">
        <v>20</v>
      </c>
      <c r="K6490" t="s" s="16">
        <f>HYPERLINK("http://csr.bu.edu/ftp/asl/asllvd/demos/verify_start_end_handshape_annotations//test_auto_move//signs_mov/5700.mov","MOV")</f>
        <v>21</v>
      </c>
      <c r="L6490" t="s" s="16">
        <f>HYPERLINK("http://csr.bu.edu/ftp/asl/asllvd/demos/verify_start_end_handshape_annotations//test_auto_move//signs_mov_separ_signers/Tyler_5700.mov","MOV")</f>
        <v>21</v>
      </c>
      <c r="M6490" t="s" s="10">
        <v>47</v>
      </c>
      <c r="N6490" s="17">
        <v>6</v>
      </c>
      <c r="O6490" s="18">
        <v>3555</v>
      </c>
      <c r="P6490" s="18">
        <v>3593</v>
      </c>
      <c r="Q6490" t="s" s="16">
        <f>HYPERLINK("http://secrets.rutgers.edu:8080/data/asl-ftp/asllvd/demos/verify_start_end_handshape_annotations//test_auto_move//signs_mov/5700.mov","MOV")</f>
        <v>21</v>
      </c>
      <c r="R6490" t="s" s="16">
        <f>HYPERLINK("http://secrets.rutgers.edu:8080/data/asl-ftp/asllvd/demos/verify_start_end_handshape_annotations//test_auto_move//signs_mov_separ_signers/Tyler_5700.mov","MOV")</f>
        <v>21</v>
      </c>
    </row>
    <row r="6491" s="2" customFormat="1" ht="13.5" customHeight="1">
      <c r="B6491" t="s" s="8">
        <v>2223</v>
      </c>
      <c r="C6491" t="s" s="9">
        <v>14</v>
      </c>
      <c r="D6491" t="s" s="8">
        <v>14</v>
      </c>
      <c r="E6491" t="s" s="9">
        <v>14</v>
      </c>
      <c r="F6491" t="s" s="10">
        <v>14</v>
      </c>
      <c r="G6491" t="s" s="11">
        <v>14</v>
      </c>
      <c r="H6491" t="s" s="10">
        <v>14</v>
      </c>
      <c r="I6491" t="s" s="11">
        <v>14</v>
      </c>
      <c r="J6491" t="s" s="11">
        <v>14</v>
      </c>
      <c r="K6491" t="s" s="12">
        <v>14</v>
      </c>
      <c r="L6491" t="s" s="12">
        <v>14</v>
      </c>
      <c r="M6491" t="s" s="10">
        <v>14</v>
      </c>
      <c r="N6491" t="s" s="11">
        <v>14</v>
      </c>
      <c r="O6491" t="s" s="8">
        <v>14</v>
      </c>
      <c r="P6491" t="s" s="8">
        <v>14</v>
      </c>
      <c r="Q6491" t="s" s="12">
        <v>14</v>
      </c>
      <c r="R6491" t="s" s="12">
        <v>14</v>
      </c>
    </row>
    <row r="6492" s="2" customFormat="1" ht="13.5" customHeight="1">
      <c r="B6492" s="13"/>
      <c r="C6492" t="s" s="9">
        <v>16</v>
      </c>
      <c r="D6492" t="s" s="8">
        <v>2223</v>
      </c>
      <c r="E6492" t="s" s="9">
        <v>2224</v>
      </c>
      <c r="F6492" s="19">
        <v>5</v>
      </c>
      <c r="G6492" s="17">
        <v>5</v>
      </c>
      <c r="H6492" t="s" s="10">
        <v>72</v>
      </c>
      <c r="I6492" t="s" s="11">
        <v>72</v>
      </c>
      <c r="J6492" t="s" s="11">
        <v>20</v>
      </c>
      <c r="K6492" s="15"/>
      <c r="L6492" t="s" s="16">
        <f>HYPERLINK("http://csr.bu.edu/ftp/asl/asllvd/demos/verify_start_end_handshape_annotations//test_auto_move//signs_mov_separ_signers/Liz_16188.mov","MOV")</f>
        <v>21</v>
      </c>
      <c r="M6492" t="s" s="10">
        <v>34</v>
      </c>
      <c r="N6492" s="17">
        <v>54</v>
      </c>
      <c r="O6492" s="18">
        <v>2266</v>
      </c>
      <c r="P6492" s="18">
        <v>2355</v>
      </c>
      <c r="Q6492" s="15"/>
      <c r="R6492" t="s" s="16">
        <f>HYPERLINK("http://secrets.rutgers.edu:8080/data/asl-ftp/asllvd/demos/verify_start_end_handshape_annotations//test_auto_move//signs_mov_separ_signers/Liz_16188.mov","MOV")</f>
        <v>21</v>
      </c>
    </row>
    <row r="6493" s="2" customFormat="1" ht="13.5" customHeight="1">
      <c r="B6493" s="13"/>
      <c r="C6493" t="s" s="9">
        <v>27</v>
      </c>
      <c r="D6493" t="s" s="8">
        <v>2223</v>
      </c>
      <c r="E6493" t="s" s="9">
        <v>2224</v>
      </c>
      <c r="F6493" t="s" s="10">
        <v>72</v>
      </c>
      <c r="G6493" t="s" s="11">
        <v>72</v>
      </c>
      <c r="H6493" t="s" s="10">
        <v>72</v>
      </c>
      <c r="I6493" t="s" s="11">
        <v>72</v>
      </c>
      <c r="J6493" t="s" s="11">
        <v>20</v>
      </c>
      <c r="K6493" t="s" s="16">
        <f>HYPERLINK("http://csr.bu.edu/ftp/asl/asllvd/demos/verify_start_end_handshape_annotations//test_auto_move//signs_mov/16188.mov","MOV")</f>
        <v>21</v>
      </c>
      <c r="L6493" t="s" s="16">
        <f>HYPERLINK("http://csr.bu.edu/ftp/asl/asllvd/demos/verify_start_end_handshape_annotations//test_auto_move//signs_mov_separ_signers/Naomi_16188.mov","MOV")</f>
        <v>21</v>
      </c>
      <c r="M6493" t="s" s="10">
        <v>48</v>
      </c>
      <c r="N6493" s="17">
        <v>9</v>
      </c>
      <c r="O6493" s="18">
        <v>2900</v>
      </c>
      <c r="P6493" s="18">
        <v>2952</v>
      </c>
      <c r="Q6493" t="s" s="16">
        <f>HYPERLINK("http://secrets.rutgers.edu:8080/data/asl-ftp/asllvd/demos/verify_start_end_handshape_annotations//test_auto_move//signs_mov/16188.mov","MOV")</f>
        <v>21</v>
      </c>
      <c r="R6493" t="s" s="16">
        <f>HYPERLINK("http://secrets.rutgers.edu:8080/data/asl-ftp/asllvd/demos/verify_start_end_handshape_annotations//test_auto_move//signs_mov_separ_signers/Naomi_16188.mov","MOV")</f>
        <v>21</v>
      </c>
    </row>
    <row r="6494" s="2" customFormat="1" ht="13.5" customHeight="1">
      <c r="B6494" s="13"/>
      <c r="C6494" t="s" s="9">
        <v>30</v>
      </c>
      <c r="D6494" t="s" s="8">
        <v>2223</v>
      </c>
      <c r="E6494" t="s" s="9">
        <v>2224</v>
      </c>
      <c r="F6494" s="19">
        <v>5</v>
      </c>
      <c r="G6494" s="17">
        <v>5</v>
      </c>
      <c r="H6494" s="19">
        <v>5</v>
      </c>
      <c r="I6494" s="17">
        <v>5</v>
      </c>
      <c r="J6494" t="s" s="11">
        <v>20</v>
      </c>
      <c r="K6494" s="15"/>
      <c r="L6494" t="s" s="16">
        <f>HYPERLINK("http://csr.bu.edu/ftp/asl/asllvd/demos/verify_start_end_handshape_annotations//test_auto_move//signs_mov_separ_signers/Brady_16188.mov","MOV")</f>
        <v>21</v>
      </c>
      <c r="M6494" t="s" s="10">
        <v>39</v>
      </c>
      <c r="N6494" s="17">
        <v>52</v>
      </c>
      <c r="O6494" s="18">
        <v>6318</v>
      </c>
      <c r="P6494" s="18">
        <v>6350</v>
      </c>
      <c r="Q6494" s="15"/>
      <c r="R6494" t="s" s="16">
        <f>HYPERLINK("http://secrets.rutgers.edu:8080/data/asl-ftp/asllvd/demos/verify_start_end_handshape_annotations//test_auto_move//signs_mov_separ_signers/Brady_16188.mov","MOV")</f>
        <v>21</v>
      </c>
    </row>
    <row r="6495" s="2" customFormat="1" ht="13.5" customHeight="1">
      <c r="B6495" t="s" s="8">
        <v>52</v>
      </c>
      <c r="C6495" t="s" s="9">
        <v>53</v>
      </c>
      <c r="D6495" t="s" s="8">
        <v>53</v>
      </c>
      <c r="E6495" t="s" s="9">
        <v>53</v>
      </c>
      <c r="F6495" t="s" s="10">
        <v>53</v>
      </c>
      <c r="G6495" t="s" s="11">
        <v>53</v>
      </c>
      <c r="H6495" t="s" s="10">
        <v>53</v>
      </c>
      <c r="I6495" t="s" s="11">
        <v>53</v>
      </c>
      <c r="J6495" t="s" s="11">
        <v>53</v>
      </c>
      <c r="K6495" t="s" s="12">
        <v>53</v>
      </c>
      <c r="L6495" t="s" s="12">
        <v>53</v>
      </c>
      <c r="M6495" t="s" s="10">
        <v>53</v>
      </c>
      <c r="N6495" t="s" s="11">
        <v>53</v>
      </c>
      <c r="O6495" t="s" s="8">
        <v>53</v>
      </c>
      <c r="P6495" t="s" s="8">
        <v>53</v>
      </c>
      <c r="Q6495" t="s" s="12">
        <v>53</v>
      </c>
      <c r="R6495" t="s" s="12">
        <v>53</v>
      </c>
    </row>
    <row r="6496" s="2" customFormat="1" ht="13.5" customHeight="1">
      <c r="B6496" s="13"/>
      <c r="C6496" t="s" s="9">
        <v>23</v>
      </c>
      <c r="D6496" t="s" s="8">
        <v>2223</v>
      </c>
      <c r="E6496" t="s" s="9">
        <v>2225</v>
      </c>
      <c r="F6496" s="19">
        <v>5</v>
      </c>
      <c r="G6496" s="17">
        <v>5</v>
      </c>
      <c r="H6496" t="s" s="10">
        <v>72</v>
      </c>
      <c r="I6496" t="s" s="11">
        <v>72</v>
      </c>
      <c r="J6496" t="s" s="11">
        <v>20</v>
      </c>
      <c r="K6496" t="s" s="16">
        <f>HYPERLINK("http://csr.bu.edu/ftp/asl/asllvd/demos/verify_start_end_handshape_annotations//test_auto_move//signs_mov/16189.mov","MOV")</f>
        <v>21</v>
      </c>
      <c r="L6496" t="s" s="16">
        <f>HYPERLINK("http://csr.bu.edu/ftp/asl/asllvd/demos/verify_start_end_handshape_annotations//test_auto_move//signs_mov_separ_signers/Tyler_16189.mov","MOV")</f>
        <v>21</v>
      </c>
      <c r="M6496" t="s" s="10">
        <v>47</v>
      </c>
      <c r="N6496" s="17">
        <v>6</v>
      </c>
      <c r="O6496" s="18">
        <v>3241</v>
      </c>
      <c r="P6496" s="18">
        <v>3273</v>
      </c>
      <c r="Q6496" t="s" s="16">
        <f>HYPERLINK("http://secrets.rutgers.edu:8080/data/asl-ftp/asllvd/demos/verify_start_end_handshape_annotations//test_auto_move//signs_mov/16189.mov","MOV")</f>
        <v>21</v>
      </c>
      <c r="R6496" t="s" s="16">
        <f>HYPERLINK("http://secrets.rutgers.edu:8080/data/asl-ftp/asllvd/demos/verify_start_end_handshape_annotations//test_auto_move//signs_mov_separ_signers/Tyler_16189.mov","MOV")</f>
        <v>21</v>
      </c>
    </row>
    <row r="6497" s="2" customFormat="1" ht="13.5" customHeight="1">
      <c r="B6497" t="s" s="8">
        <v>2226</v>
      </c>
      <c r="C6497" t="s" s="9">
        <v>14</v>
      </c>
      <c r="D6497" t="s" s="8">
        <v>14</v>
      </c>
      <c r="E6497" t="s" s="9">
        <v>14</v>
      </c>
      <c r="F6497" t="s" s="10">
        <v>14</v>
      </c>
      <c r="G6497" t="s" s="11">
        <v>14</v>
      </c>
      <c r="H6497" t="s" s="10">
        <v>14</v>
      </c>
      <c r="I6497" t="s" s="11">
        <v>14</v>
      </c>
      <c r="J6497" t="s" s="11">
        <v>14</v>
      </c>
      <c r="K6497" t="s" s="12">
        <v>14</v>
      </c>
      <c r="L6497" t="s" s="12">
        <v>14</v>
      </c>
      <c r="M6497" t="s" s="10">
        <v>14</v>
      </c>
      <c r="N6497" t="s" s="11">
        <v>14</v>
      </c>
      <c r="O6497" t="s" s="8">
        <v>14</v>
      </c>
      <c r="P6497" t="s" s="8">
        <v>14</v>
      </c>
      <c r="Q6497" t="s" s="12">
        <v>14</v>
      </c>
      <c r="R6497" t="s" s="12">
        <v>14</v>
      </c>
    </row>
    <row r="6498" s="2" customFormat="1" ht="13.5" customHeight="1">
      <c r="B6498" s="13"/>
      <c r="C6498" t="s" s="9">
        <v>16</v>
      </c>
      <c r="D6498" t="s" s="8">
        <v>2226</v>
      </c>
      <c r="E6498" t="s" s="9">
        <v>2227</v>
      </c>
      <c r="F6498" t="s" s="10">
        <v>68</v>
      </c>
      <c r="G6498" s="14"/>
      <c r="H6498" t="s" s="10">
        <v>68</v>
      </c>
      <c r="I6498" s="14"/>
      <c r="J6498" t="s" s="11">
        <v>20</v>
      </c>
      <c r="K6498" s="15"/>
      <c r="L6498" t="s" s="16">
        <f>HYPERLINK("http://csr.bu.edu/ftp/asl/asllvd/demos/verify_start_end_handshape_annotations//test_auto_move//signs_mov_separ_signers/Liz_1464.mov","MOV")</f>
        <v>21</v>
      </c>
      <c r="M6498" t="s" s="10">
        <v>34</v>
      </c>
      <c r="N6498" s="17">
        <v>55</v>
      </c>
      <c r="O6498" s="18">
        <v>1760</v>
      </c>
      <c r="P6498" s="18">
        <v>1807</v>
      </c>
      <c r="Q6498" s="15"/>
      <c r="R6498" t="s" s="16">
        <f>HYPERLINK("http://secrets.rutgers.edu:8080/data/asl-ftp/asllvd/demos/verify_start_end_handshape_annotations//test_auto_move//signs_mov_separ_signers/Liz_1464.mov","MOV")</f>
        <v>21</v>
      </c>
    </row>
    <row r="6499" s="2" customFormat="1" ht="13.5" customHeight="1">
      <c r="B6499" s="13"/>
      <c r="C6499" t="s" s="9">
        <v>27</v>
      </c>
      <c r="D6499" t="s" s="8">
        <v>2226</v>
      </c>
      <c r="E6499" t="s" s="9">
        <v>2227</v>
      </c>
      <c r="F6499" t="s" s="10">
        <v>68</v>
      </c>
      <c r="G6499" s="14"/>
      <c r="H6499" t="s" s="10">
        <v>68</v>
      </c>
      <c r="I6499" s="14"/>
      <c r="J6499" t="s" s="11">
        <v>20</v>
      </c>
      <c r="K6499" t="s" s="16">
        <f>HYPERLINK("http://csr.bu.edu/ftp/asl/asllvd/demos/verify_start_end_handshape_annotations//test_auto_move//signs_mov/1464.mov","MOV")</f>
        <v>21</v>
      </c>
      <c r="L6499" t="s" s="16">
        <f>HYPERLINK("http://csr.bu.edu/ftp/asl/asllvd/demos/verify_start_end_handshape_annotations//test_auto_move//signs_mov_separ_signers/Naomi_1464.mov","MOV")</f>
        <v>21</v>
      </c>
      <c r="M6499" t="s" s="10">
        <v>48</v>
      </c>
      <c r="N6499" s="17">
        <v>10</v>
      </c>
      <c r="O6499" s="18">
        <v>2320</v>
      </c>
      <c r="P6499" s="18">
        <v>2365</v>
      </c>
      <c r="Q6499" t="s" s="16">
        <f>HYPERLINK("http://secrets.rutgers.edu:8080/data/asl-ftp/asllvd/demos/verify_start_end_handshape_annotations//test_auto_move//signs_mov/1464.mov","MOV")</f>
        <v>21</v>
      </c>
      <c r="R6499" t="s" s="16">
        <f>HYPERLINK("http://secrets.rutgers.edu:8080/data/asl-ftp/asllvd/demos/verify_start_end_handshape_annotations//test_auto_move//signs_mov_separ_signers/Naomi_1464.mov","MOV")</f>
        <v>21</v>
      </c>
    </row>
    <row r="6500" s="2" customFormat="1" ht="13.5" customHeight="1">
      <c r="B6500" s="13"/>
      <c r="C6500" t="s" s="9">
        <v>30</v>
      </c>
      <c r="D6500" t="s" s="8">
        <v>2226</v>
      </c>
      <c r="E6500" t="s" s="9">
        <v>2227</v>
      </c>
      <c r="F6500" t="s" s="10">
        <v>68</v>
      </c>
      <c r="G6500" s="14"/>
      <c r="H6500" t="s" s="10">
        <v>68</v>
      </c>
      <c r="I6500" s="14"/>
      <c r="J6500" t="s" s="11">
        <v>20</v>
      </c>
      <c r="K6500" s="15"/>
      <c r="L6500" t="s" s="16">
        <f>HYPERLINK("http://csr.bu.edu/ftp/asl/asllvd/demos/verify_start_end_handshape_annotations//test_auto_move//signs_mov_separ_signers/Brady_1464.mov","MOV")</f>
        <v>21</v>
      </c>
      <c r="M6500" t="s" s="10">
        <v>39</v>
      </c>
      <c r="N6500" s="17">
        <v>52</v>
      </c>
      <c r="O6500" s="18">
        <v>8248</v>
      </c>
      <c r="P6500" s="18">
        <v>8277</v>
      </c>
      <c r="Q6500" s="15"/>
      <c r="R6500" t="s" s="16">
        <f>HYPERLINK("http://secrets.rutgers.edu:8080/data/asl-ftp/asllvd/demos/verify_start_end_handshape_annotations//test_auto_move//signs_mov_separ_signers/Brady_1464.mov","MOV")</f>
        <v>21</v>
      </c>
    </row>
    <row r="6501" s="2" customFormat="1" ht="13.5" customHeight="1">
      <c r="B6501" t="s" s="8">
        <v>2228</v>
      </c>
      <c r="C6501" t="s" s="9">
        <v>14</v>
      </c>
      <c r="D6501" t="s" s="8">
        <v>14</v>
      </c>
      <c r="E6501" t="s" s="9">
        <v>14</v>
      </c>
      <c r="F6501" t="s" s="10">
        <v>14</v>
      </c>
      <c r="G6501" t="s" s="11">
        <v>14</v>
      </c>
      <c r="H6501" t="s" s="10">
        <v>14</v>
      </c>
      <c r="I6501" t="s" s="11">
        <v>14</v>
      </c>
      <c r="J6501" t="s" s="11">
        <v>14</v>
      </c>
      <c r="K6501" t="s" s="12">
        <v>14</v>
      </c>
      <c r="L6501" t="s" s="12">
        <v>14</v>
      </c>
      <c r="M6501" t="s" s="10">
        <v>14</v>
      </c>
      <c r="N6501" t="s" s="11">
        <v>14</v>
      </c>
      <c r="O6501" t="s" s="8">
        <v>14</v>
      </c>
      <c r="P6501" t="s" s="8">
        <v>14</v>
      </c>
      <c r="Q6501" t="s" s="12">
        <v>14</v>
      </c>
      <c r="R6501" t="s" s="12">
        <v>14</v>
      </c>
    </row>
    <row r="6502" s="2" customFormat="1" ht="13.5" customHeight="1">
      <c r="B6502" s="13"/>
      <c r="C6502" t="s" s="9">
        <v>23</v>
      </c>
      <c r="D6502" t="s" s="8">
        <v>2228</v>
      </c>
      <c r="E6502" t="s" s="9">
        <v>2229</v>
      </c>
      <c r="F6502" t="s" s="10">
        <v>68</v>
      </c>
      <c r="G6502" t="s" s="11">
        <v>68</v>
      </c>
      <c r="H6502" t="s" s="10">
        <v>68</v>
      </c>
      <c r="I6502" t="s" s="11">
        <v>68</v>
      </c>
      <c r="J6502" t="s" s="11">
        <v>20</v>
      </c>
      <c r="K6502" t="s" s="16">
        <f>HYPERLINK("http://csr.bu.edu/ftp/asl/asllvd/demos/verify_start_end_handshape_annotations//test_auto_move//signs_mov/5249.mov","MOV")</f>
        <v>21</v>
      </c>
      <c r="L6502" t="s" s="16">
        <f>HYPERLINK("http://csr.bu.edu/ftp/asl/asllvd/demos/verify_start_end_handshape_annotations//test_auto_move//signs_mov_separ_signers/Tyler_5249.mov","MOV")</f>
        <v>21</v>
      </c>
      <c r="M6502" t="s" s="10">
        <v>47</v>
      </c>
      <c r="N6502" s="17">
        <v>7</v>
      </c>
      <c r="O6502" s="18">
        <v>1270</v>
      </c>
      <c r="P6502" s="18">
        <v>1310</v>
      </c>
      <c r="Q6502" t="s" s="16">
        <f>HYPERLINK("http://secrets.rutgers.edu:8080/data/asl-ftp/asllvd/demos/verify_start_end_handshape_annotations//test_auto_move//signs_mov/5249.mov","MOV")</f>
        <v>21</v>
      </c>
      <c r="R6502" t="s" s="16">
        <f>HYPERLINK("http://secrets.rutgers.edu:8080/data/asl-ftp/asllvd/demos/verify_start_end_handshape_annotations//test_auto_move//signs_mov_separ_signers/Tyler_5249.mov","MOV")</f>
        <v>21</v>
      </c>
    </row>
    <row r="6503" s="2" customFormat="1" ht="13.5" customHeight="1">
      <c r="B6503" t="s" s="8">
        <v>2230</v>
      </c>
      <c r="C6503" t="s" s="9">
        <v>14</v>
      </c>
      <c r="D6503" t="s" s="8">
        <v>14</v>
      </c>
      <c r="E6503" t="s" s="9">
        <v>14</v>
      </c>
      <c r="F6503" t="s" s="10">
        <v>14</v>
      </c>
      <c r="G6503" t="s" s="11">
        <v>14</v>
      </c>
      <c r="H6503" t="s" s="10">
        <v>14</v>
      </c>
      <c r="I6503" t="s" s="11">
        <v>14</v>
      </c>
      <c r="J6503" t="s" s="11">
        <v>14</v>
      </c>
      <c r="K6503" t="s" s="12">
        <v>14</v>
      </c>
      <c r="L6503" t="s" s="12">
        <v>14</v>
      </c>
      <c r="M6503" t="s" s="10">
        <v>14</v>
      </c>
      <c r="N6503" t="s" s="11">
        <v>14</v>
      </c>
      <c r="O6503" t="s" s="8">
        <v>14</v>
      </c>
      <c r="P6503" t="s" s="8">
        <v>14</v>
      </c>
      <c r="Q6503" t="s" s="12">
        <v>14</v>
      </c>
      <c r="R6503" t="s" s="12">
        <v>14</v>
      </c>
    </row>
    <row r="6504" s="2" customFormat="1" ht="13.5" customHeight="1">
      <c r="B6504" s="13"/>
      <c r="C6504" t="s" s="9">
        <v>16</v>
      </c>
      <c r="D6504" t="s" s="8">
        <v>2230</v>
      </c>
      <c r="E6504" t="s" s="9">
        <v>2231</v>
      </c>
      <c r="F6504" t="s" s="10">
        <v>25</v>
      </c>
      <c r="G6504" s="14"/>
      <c r="H6504" t="s" s="10">
        <v>25</v>
      </c>
      <c r="I6504" s="14"/>
      <c r="J6504" t="s" s="11">
        <v>20</v>
      </c>
      <c r="K6504" s="15"/>
      <c r="L6504" t="s" s="16">
        <f>HYPERLINK("http://csr.bu.edu/ftp/asl/asllvd/demos/verify_start_end_handshape_annotations//test_auto_move//signs_mov_separ_signers/Liz_1466.mov","MOV")</f>
        <v>21</v>
      </c>
      <c r="M6504" t="s" s="10">
        <v>34</v>
      </c>
      <c r="N6504" s="17">
        <v>55</v>
      </c>
      <c r="O6504" s="18">
        <v>2025</v>
      </c>
      <c r="P6504" s="18">
        <v>2060</v>
      </c>
      <c r="Q6504" s="15"/>
      <c r="R6504" t="s" s="16">
        <f>HYPERLINK("http://secrets.rutgers.edu:8080/data/asl-ftp/asllvd/demos/verify_start_end_handshape_annotations//test_auto_move//signs_mov_separ_signers/Liz_1466.mov","MOV")</f>
        <v>21</v>
      </c>
    </row>
    <row r="6505" s="2" customFormat="1" ht="13.5" customHeight="1">
      <c r="B6505" s="13"/>
      <c r="C6505" t="s" s="9">
        <v>23</v>
      </c>
      <c r="D6505" t="s" s="8">
        <v>2230</v>
      </c>
      <c r="E6505" t="s" s="9">
        <v>2231</v>
      </c>
      <c r="F6505" t="s" s="10">
        <v>25</v>
      </c>
      <c r="G6505" s="14"/>
      <c r="H6505" t="s" s="10">
        <v>25</v>
      </c>
      <c r="I6505" s="14"/>
      <c r="J6505" t="s" s="11">
        <v>20</v>
      </c>
      <c r="K6505" t="s" s="16">
        <f>HYPERLINK("http://csr.bu.edu/ftp/asl/asllvd/demos/verify_start_end_handshape_annotations//test_auto_move//signs_mov/1466.mov","MOV")</f>
        <v>21</v>
      </c>
      <c r="L6505" t="s" s="16">
        <f>HYPERLINK("http://csr.bu.edu/ftp/asl/asllvd/demos/verify_start_end_handshape_annotations//test_auto_move//signs_mov_separ_signers/Tyler_1466.mov","MOV")</f>
        <v>21</v>
      </c>
      <c r="M6505" t="s" s="10">
        <v>47</v>
      </c>
      <c r="N6505" s="17">
        <v>7</v>
      </c>
      <c r="O6505" s="18">
        <v>1547</v>
      </c>
      <c r="P6505" s="18">
        <v>1580</v>
      </c>
      <c r="Q6505" t="s" s="16">
        <f>HYPERLINK("http://secrets.rutgers.edu:8080/data/asl-ftp/asllvd/demos/verify_start_end_handshape_annotations//test_auto_move//signs_mov/1466.mov","MOV")</f>
        <v>21</v>
      </c>
      <c r="R6505" t="s" s="16">
        <f>HYPERLINK("http://secrets.rutgers.edu:8080/data/asl-ftp/asllvd/demos/verify_start_end_handshape_annotations//test_auto_move//signs_mov_separ_signers/Tyler_1466.mov","MOV")</f>
        <v>21</v>
      </c>
    </row>
    <row r="6506" s="2" customFormat="1" ht="13.5" customHeight="1">
      <c r="B6506" s="13"/>
      <c r="C6506" t="s" s="9">
        <v>27</v>
      </c>
      <c r="D6506" t="s" s="8">
        <v>2230</v>
      </c>
      <c r="E6506" t="s" s="9">
        <v>2231</v>
      </c>
      <c r="F6506" t="s" s="10">
        <v>25</v>
      </c>
      <c r="G6506" s="14"/>
      <c r="H6506" t="s" s="10">
        <v>25</v>
      </c>
      <c r="I6506" s="14"/>
      <c r="J6506" t="s" s="11">
        <v>20</v>
      </c>
      <c r="K6506" s="15"/>
      <c r="L6506" t="s" s="16">
        <f>HYPERLINK("http://csr.bu.edu/ftp/asl/asllvd/demos/verify_start_end_handshape_annotations//test_auto_move//signs_mov_separ_signers/Naomi_1466.mov","MOV")</f>
        <v>21</v>
      </c>
      <c r="M6506" t="s" s="10">
        <v>48</v>
      </c>
      <c r="N6506" s="17">
        <v>10</v>
      </c>
      <c r="O6506" s="18">
        <v>2645</v>
      </c>
      <c r="P6506" s="18">
        <v>2690</v>
      </c>
      <c r="Q6506" s="15"/>
      <c r="R6506" t="s" s="16">
        <f>HYPERLINK("http://secrets.rutgers.edu:8080/data/asl-ftp/asllvd/demos/verify_start_end_handshape_annotations//test_auto_move//signs_mov_separ_signers/Naomi_1466.mov","MOV")</f>
        <v>21</v>
      </c>
    </row>
    <row r="6507" s="2" customFormat="1" ht="13.5" customHeight="1">
      <c r="B6507" s="13"/>
      <c r="C6507" t="s" s="9">
        <v>30</v>
      </c>
      <c r="D6507" t="s" s="8">
        <v>2230</v>
      </c>
      <c r="E6507" t="s" s="9">
        <v>2232</v>
      </c>
      <c r="F6507" t="s" s="10">
        <v>25</v>
      </c>
      <c r="G6507" s="14"/>
      <c r="H6507" t="s" s="10">
        <v>25</v>
      </c>
      <c r="I6507" s="14"/>
      <c r="J6507" t="s" s="11">
        <v>20</v>
      </c>
      <c r="K6507" s="15"/>
      <c r="L6507" t="s" s="16">
        <f>HYPERLINK("http://csr.bu.edu/ftp/asl/asllvd/demos/verify_start_end_handshape_annotations//test_auto_move//signs_mov_separ_signers/Brady_1466.mov","MOV")</f>
        <v>21</v>
      </c>
      <c r="M6507" t="s" s="10">
        <v>39</v>
      </c>
      <c r="N6507" s="17">
        <v>52</v>
      </c>
      <c r="O6507" s="18">
        <v>8481</v>
      </c>
      <c r="P6507" s="18">
        <v>8509</v>
      </c>
      <c r="Q6507" s="15"/>
      <c r="R6507" t="s" s="16">
        <f>HYPERLINK("http://secrets.rutgers.edu:8080/data/asl-ftp/asllvd/demos/verify_start_end_handshape_annotations//test_auto_move//signs_mov_separ_signers/Brady_1466.mov","MOV")</f>
        <v>21</v>
      </c>
    </row>
    <row r="6508" s="2" customFormat="1" ht="13.5" customHeight="1">
      <c r="B6508" t="s" s="8">
        <v>2233</v>
      </c>
      <c r="C6508" t="s" s="9">
        <v>14</v>
      </c>
      <c r="D6508" t="s" s="8">
        <v>14</v>
      </c>
      <c r="E6508" t="s" s="9">
        <v>14</v>
      </c>
      <c r="F6508" t="s" s="10">
        <v>14</v>
      </c>
      <c r="G6508" t="s" s="11">
        <v>14</v>
      </c>
      <c r="H6508" t="s" s="10">
        <v>14</v>
      </c>
      <c r="I6508" t="s" s="11">
        <v>14</v>
      </c>
      <c r="J6508" t="s" s="11">
        <v>14</v>
      </c>
      <c r="K6508" t="s" s="12">
        <v>14</v>
      </c>
      <c r="L6508" t="s" s="12">
        <v>14</v>
      </c>
      <c r="M6508" t="s" s="10">
        <v>14</v>
      </c>
      <c r="N6508" t="s" s="11">
        <v>14</v>
      </c>
      <c r="O6508" t="s" s="8">
        <v>14</v>
      </c>
      <c r="P6508" t="s" s="8">
        <v>14</v>
      </c>
      <c r="Q6508" t="s" s="12">
        <v>14</v>
      </c>
      <c r="R6508" t="s" s="12">
        <v>14</v>
      </c>
    </row>
    <row r="6509" s="2" customFormat="1" ht="13.5" customHeight="1">
      <c r="B6509" s="13"/>
      <c r="C6509" t="s" s="9">
        <v>16</v>
      </c>
      <c r="D6509" t="s" s="8">
        <v>2233</v>
      </c>
      <c r="E6509" t="s" s="9">
        <v>2233</v>
      </c>
      <c r="F6509" t="s" s="10">
        <v>2233</v>
      </c>
      <c r="G6509" s="14"/>
      <c r="H6509" t="s" s="10">
        <v>2233</v>
      </c>
      <c r="I6509" s="14"/>
      <c r="J6509" t="s" s="11">
        <v>20</v>
      </c>
      <c r="K6509" s="15"/>
      <c r="L6509" t="s" s="16">
        <f>HYPERLINK("http://csr.bu.edu/ftp/asl/asllvd/demos/verify_start_end_handshape_annotations//test_auto_move//signs_mov_separ_signers/Liz_1469.mov","MOV")</f>
        <v>21</v>
      </c>
      <c r="M6509" t="s" s="10">
        <v>34</v>
      </c>
      <c r="N6509" s="17">
        <v>55</v>
      </c>
      <c r="O6509" s="18">
        <v>3095</v>
      </c>
      <c r="P6509" s="18">
        <v>3136</v>
      </c>
      <c r="Q6509" s="15"/>
      <c r="R6509" t="s" s="16">
        <f>HYPERLINK("http://secrets.rutgers.edu:8080/data/asl-ftp/asllvd/demos/verify_start_end_handshape_annotations//test_auto_move//signs_mov_separ_signers/Liz_1469.mov","MOV")</f>
        <v>21</v>
      </c>
    </row>
    <row r="6510" s="2" customFormat="1" ht="13.5" customHeight="1">
      <c r="B6510" s="13"/>
      <c r="C6510" t="s" s="9">
        <v>23</v>
      </c>
      <c r="D6510" t="s" s="8">
        <v>2233</v>
      </c>
      <c r="E6510" t="s" s="9">
        <v>2233</v>
      </c>
      <c r="F6510" t="s" s="10">
        <v>283</v>
      </c>
      <c r="G6510" s="14"/>
      <c r="H6510" t="s" s="10">
        <v>283</v>
      </c>
      <c r="I6510" s="14"/>
      <c r="J6510" t="s" s="11">
        <v>20</v>
      </c>
      <c r="K6510" t="s" s="16">
        <f>HYPERLINK("http://csr.bu.edu/ftp/asl/asllvd/demos/verify_start_end_handshape_annotations//test_auto_move//signs_mov/1469.mov","MOV")</f>
        <v>21</v>
      </c>
      <c r="L6510" t="s" s="16">
        <f>HYPERLINK("http://csr.bu.edu/ftp/asl/asllvd/demos/verify_start_end_handshape_annotations//test_auto_move//signs_mov_separ_signers/Tyler_1469.mov","MOV")</f>
        <v>21</v>
      </c>
      <c r="M6510" t="s" s="10">
        <v>47</v>
      </c>
      <c r="N6510" s="17">
        <v>7</v>
      </c>
      <c r="O6510" s="18">
        <v>4085</v>
      </c>
      <c r="P6510" s="18">
        <v>4133</v>
      </c>
      <c r="Q6510" t="s" s="16">
        <f>HYPERLINK("http://secrets.rutgers.edu:8080/data/asl-ftp/asllvd/demos/verify_start_end_handshape_annotations//test_auto_move//signs_mov/1469.mov","MOV")</f>
        <v>21</v>
      </c>
      <c r="R6510" t="s" s="16">
        <f>HYPERLINK("http://secrets.rutgers.edu:8080/data/asl-ftp/asllvd/demos/verify_start_end_handshape_annotations//test_auto_move//signs_mov_separ_signers/Tyler_1469.mov","MOV")</f>
        <v>21</v>
      </c>
    </row>
    <row r="6511" s="2" customFormat="1" ht="13.5" customHeight="1">
      <c r="B6511" s="13"/>
      <c r="C6511" t="s" s="9">
        <v>27</v>
      </c>
      <c r="D6511" t="s" s="8">
        <v>2233</v>
      </c>
      <c r="E6511" t="s" s="9">
        <v>2233</v>
      </c>
      <c r="F6511" t="s" s="10">
        <v>757</v>
      </c>
      <c r="G6511" s="14"/>
      <c r="H6511" t="s" s="10">
        <v>757</v>
      </c>
      <c r="I6511" s="14"/>
      <c r="J6511" t="s" s="11">
        <v>20</v>
      </c>
      <c r="K6511" s="15"/>
      <c r="L6511" t="s" s="16">
        <f>HYPERLINK("http://csr.bu.edu/ftp/asl/asllvd/demos/verify_start_end_handshape_annotations//test_auto_move//signs_mov_separ_signers/Naomi_1469.mov","MOV")</f>
        <v>21</v>
      </c>
      <c r="M6511" t="s" s="10">
        <v>48</v>
      </c>
      <c r="N6511" s="17">
        <v>10</v>
      </c>
      <c r="O6511" s="18">
        <v>3932</v>
      </c>
      <c r="P6511" s="18">
        <v>3975</v>
      </c>
      <c r="Q6511" s="15"/>
      <c r="R6511" t="s" s="16">
        <f>HYPERLINK("http://secrets.rutgers.edu:8080/data/asl-ftp/asllvd/demos/verify_start_end_handshape_annotations//test_auto_move//signs_mov_separ_signers/Naomi_1469.mov","MOV")</f>
        <v>21</v>
      </c>
    </row>
    <row r="6512" s="2" customFormat="1" ht="13.5" customHeight="1">
      <c r="B6512" s="13"/>
      <c r="C6512" t="s" s="9">
        <v>30</v>
      </c>
      <c r="D6512" t="s" s="8">
        <v>2233</v>
      </c>
      <c r="E6512" t="s" s="9">
        <v>2233</v>
      </c>
      <c r="F6512" t="s" s="10">
        <v>757</v>
      </c>
      <c r="G6512" s="14"/>
      <c r="H6512" t="s" s="10">
        <v>757</v>
      </c>
      <c r="I6512" s="14"/>
      <c r="J6512" t="s" s="11">
        <v>20</v>
      </c>
      <c r="K6512" s="15"/>
      <c r="L6512" t="s" s="16">
        <f>HYPERLINK("http://csr.bu.edu/ftp/asl/asllvd/demos/verify_start_end_handshape_annotations//test_auto_move//signs_mov_separ_signers/Brady_1469.mov","MOV")</f>
        <v>21</v>
      </c>
      <c r="M6512" t="s" s="10">
        <v>39</v>
      </c>
      <c r="N6512" s="17">
        <v>53</v>
      </c>
      <c r="O6512" s="18">
        <v>1607</v>
      </c>
      <c r="P6512" s="18">
        <v>1633</v>
      </c>
      <c r="Q6512" s="15"/>
      <c r="R6512" t="s" s="16">
        <f>HYPERLINK("http://secrets.rutgers.edu:8080/data/asl-ftp/asllvd/demos/verify_start_end_handshape_annotations//test_auto_move//signs_mov_separ_signers/Brady_1469.mov","MOV")</f>
        <v>21</v>
      </c>
    </row>
    <row r="6513" s="2" customFormat="1" ht="13.5" customHeight="1">
      <c r="B6513" t="s" s="8">
        <v>2234</v>
      </c>
      <c r="C6513" t="s" s="9">
        <v>14</v>
      </c>
      <c r="D6513" t="s" s="8">
        <v>14</v>
      </c>
      <c r="E6513" t="s" s="9">
        <v>14</v>
      </c>
      <c r="F6513" t="s" s="10">
        <v>14</v>
      </c>
      <c r="G6513" t="s" s="11">
        <v>14</v>
      </c>
      <c r="H6513" t="s" s="10">
        <v>14</v>
      </c>
      <c r="I6513" t="s" s="11">
        <v>14</v>
      </c>
      <c r="J6513" t="s" s="11">
        <v>14</v>
      </c>
      <c r="K6513" t="s" s="12">
        <v>14</v>
      </c>
      <c r="L6513" t="s" s="12">
        <v>14</v>
      </c>
      <c r="M6513" t="s" s="10">
        <v>14</v>
      </c>
      <c r="N6513" t="s" s="11">
        <v>14</v>
      </c>
      <c r="O6513" t="s" s="8">
        <v>14</v>
      </c>
      <c r="P6513" t="s" s="8">
        <v>14</v>
      </c>
      <c r="Q6513" t="s" s="12">
        <v>14</v>
      </c>
      <c r="R6513" t="s" s="12">
        <v>14</v>
      </c>
    </row>
    <row r="6514" s="2" customFormat="1" ht="13.5" customHeight="1">
      <c r="B6514" s="13"/>
      <c r="C6514" t="s" s="9">
        <v>16</v>
      </c>
      <c r="D6514" t="s" s="8">
        <v>2234</v>
      </c>
      <c r="E6514" t="s" s="9">
        <v>2235</v>
      </c>
      <c r="F6514" t="s" s="10">
        <v>72</v>
      </c>
      <c r="G6514" t="s" s="11">
        <v>72</v>
      </c>
      <c r="H6514" t="s" s="10">
        <v>72</v>
      </c>
      <c r="I6514" t="s" s="11">
        <v>72</v>
      </c>
      <c r="J6514" t="s" s="11">
        <v>20</v>
      </c>
      <c r="K6514" s="15"/>
      <c r="L6514" t="s" s="16">
        <f>HYPERLINK("http://csr.bu.edu/ftp/asl/asllvd/demos/verify_start_end_handshape_annotations//test_auto_move//signs_mov_separ_signers/Liz_1472.mov","MOV")</f>
        <v>21</v>
      </c>
      <c r="M6514" t="s" s="10">
        <v>34</v>
      </c>
      <c r="N6514" s="17">
        <v>56</v>
      </c>
      <c r="O6514" s="18">
        <v>1805</v>
      </c>
      <c r="P6514" s="18">
        <v>1860</v>
      </c>
      <c r="Q6514" s="15"/>
      <c r="R6514" t="s" s="16">
        <f>HYPERLINK("http://secrets.rutgers.edu:8080/data/asl-ftp/asllvd/demos/verify_start_end_handshape_annotations//test_auto_move//signs_mov_separ_signers/Liz_1472.mov","MOV")</f>
        <v>21</v>
      </c>
    </row>
    <row r="6515" s="2" customFormat="1" ht="13.5" customHeight="1">
      <c r="B6515" s="13"/>
      <c r="C6515" t="s" s="9">
        <v>16</v>
      </c>
      <c r="D6515" t="s" s="8">
        <v>2234</v>
      </c>
      <c r="E6515" t="s" s="9">
        <v>2235</v>
      </c>
      <c r="F6515" t="s" s="10">
        <v>72</v>
      </c>
      <c r="G6515" t="s" s="11">
        <v>72</v>
      </c>
      <c r="H6515" t="s" s="10">
        <v>72</v>
      </c>
      <c r="I6515" t="s" s="11">
        <v>72</v>
      </c>
      <c r="J6515" t="s" s="11">
        <v>20</v>
      </c>
      <c r="K6515" s="15"/>
      <c r="L6515" t="s" s="16">
        <f>HYPERLINK("http://csr.bu.edu/ftp/asl/asllvd/demos/verify_start_end_handshape_annotations//test_auto_move//signs_mov_separ_signers/Liz_3321.mov","MOV")</f>
        <v>21</v>
      </c>
      <c r="M6515" t="s" s="10">
        <v>88</v>
      </c>
      <c r="N6515" s="17">
        <v>10</v>
      </c>
      <c r="O6515" s="18">
        <v>4016</v>
      </c>
      <c r="P6515" s="18">
        <v>4072</v>
      </c>
      <c r="Q6515" s="15"/>
      <c r="R6515" t="s" s="16">
        <f>HYPERLINK("http://secrets.rutgers.edu:8080/data/asl-ftp/asllvd/demos/verify_start_end_handshape_annotations//test_auto_move//signs_mov_separ_signers/Liz_3321.mov","MOV")</f>
        <v>21</v>
      </c>
    </row>
    <row r="6516" s="2" customFormat="1" ht="13.5" customHeight="1">
      <c r="B6516" s="13"/>
      <c r="C6516" t="s" s="9">
        <v>16</v>
      </c>
      <c r="D6516" t="s" s="8">
        <v>2234</v>
      </c>
      <c r="E6516" t="s" s="9">
        <v>2235</v>
      </c>
      <c r="F6516" t="s" s="10">
        <v>72</v>
      </c>
      <c r="G6516" t="s" s="11">
        <v>72</v>
      </c>
      <c r="H6516" t="s" s="10">
        <v>72</v>
      </c>
      <c r="I6516" t="s" s="11">
        <v>72</v>
      </c>
      <c r="J6516" t="s" s="11">
        <v>20</v>
      </c>
      <c r="K6516" s="15"/>
      <c r="L6516" t="s" s="16">
        <f>HYPERLINK("http://csr.bu.edu/ftp/asl/asllvd/demos/verify_start_end_handshape_annotations//test_auto_move//signs_mov_separ_signers/Liz_3690.mov","MOV")</f>
        <v>21</v>
      </c>
      <c r="M6516" t="s" s="10">
        <v>77</v>
      </c>
      <c r="N6516" s="17">
        <v>27</v>
      </c>
      <c r="O6516" s="18">
        <v>1375</v>
      </c>
      <c r="P6516" s="18">
        <v>1427</v>
      </c>
      <c r="Q6516" s="15"/>
      <c r="R6516" t="s" s="16">
        <f>HYPERLINK("http://secrets.rutgers.edu:8080/data/asl-ftp/asllvd/demos/verify_start_end_handshape_annotations//test_auto_move//signs_mov_separ_signers/Liz_3690.mov","MOV")</f>
        <v>21</v>
      </c>
    </row>
    <row r="6517" s="2" customFormat="1" ht="13.5" customHeight="1">
      <c r="B6517" s="13"/>
      <c r="C6517" t="s" s="9">
        <v>23</v>
      </c>
      <c r="D6517" t="s" s="8">
        <v>2234</v>
      </c>
      <c r="E6517" t="s" s="9">
        <v>2236</v>
      </c>
      <c r="F6517" t="s" s="10">
        <v>75</v>
      </c>
      <c r="G6517" t="s" s="11">
        <v>75</v>
      </c>
      <c r="H6517" t="s" s="10">
        <v>75</v>
      </c>
      <c r="I6517" t="s" s="11">
        <v>75</v>
      </c>
      <c r="J6517" t="s" s="11">
        <v>20</v>
      </c>
      <c r="K6517" s="15"/>
      <c r="L6517" t="s" s="16">
        <f>HYPERLINK("http://csr.bu.edu/ftp/asl/asllvd/demos/verify_start_end_handshape_annotations//test_auto_move//signs_mov_separ_signers/Tyler_1472.mov","MOV")</f>
        <v>21</v>
      </c>
      <c r="M6517" t="s" s="10">
        <v>92</v>
      </c>
      <c r="N6517" s="17">
        <v>11</v>
      </c>
      <c r="O6517" s="18">
        <v>2838</v>
      </c>
      <c r="P6517" s="18">
        <v>2915</v>
      </c>
      <c r="Q6517" s="15"/>
      <c r="R6517" t="s" s="16">
        <f>HYPERLINK("http://secrets.rutgers.edu:8080/data/asl-ftp/asllvd/demos/verify_start_end_handshape_annotations//test_auto_move//signs_mov_separ_signers/Tyler_1472.mov","MOV")</f>
        <v>21</v>
      </c>
    </row>
    <row r="6518" s="2" customFormat="1" ht="13.5" customHeight="1">
      <c r="B6518" s="13"/>
      <c r="C6518" t="s" s="9">
        <v>23</v>
      </c>
      <c r="D6518" t="s" s="8">
        <v>2234</v>
      </c>
      <c r="E6518" t="s" s="9">
        <v>2236</v>
      </c>
      <c r="F6518" t="s" s="10">
        <v>75</v>
      </c>
      <c r="G6518" t="s" s="11">
        <v>75</v>
      </c>
      <c r="H6518" t="s" s="10">
        <v>75</v>
      </c>
      <c r="I6518" t="s" s="11">
        <v>75</v>
      </c>
      <c r="J6518" t="s" s="11">
        <v>20</v>
      </c>
      <c r="K6518" s="15"/>
      <c r="L6518" t="s" s="16">
        <f>HYPERLINK("http://csr.bu.edu/ftp/asl/asllvd/demos/verify_start_end_handshape_annotations//test_auto_move//signs_mov_separ_signers/Tyler_3321.mov","MOV")</f>
        <v>21</v>
      </c>
      <c r="M6518" t="s" s="10">
        <v>47</v>
      </c>
      <c r="N6518" s="17">
        <v>8</v>
      </c>
      <c r="O6518" s="18">
        <v>1137</v>
      </c>
      <c r="P6518" s="18">
        <v>1183</v>
      </c>
      <c r="Q6518" s="15"/>
      <c r="R6518" t="s" s="16">
        <f>HYPERLINK("http://secrets.rutgers.edu:8080/data/asl-ftp/asllvd/demos/verify_start_end_handshape_annotations//test_auto_move//signs_mov_separ_signers/Tyler_3321.mov","MOV")</f>
        <v>21</v>
      </c>
    </row>
    <row r="6519" s="2" customFormat="1" ht="13.5" customHeight="1">
      <c r="B6519" s="13"/>
      <c r="C6519" t="s" s="9">
        <v>23</v>
      </c>
      <c r="D6519" t="s" s="8">
        <v>2234</v>
      </c>
      <c r="E6519" t="s" s="9">
        <v>2236</v>
      </c>
      <c r="F6519" t="s" s="10">
        <v>72</v>
      </c>
      <c r="G6519" t="s" s="11">
        <v>72</v>
      </c>
      <c r="H6519" t="s" s="10">
        <v>72</v>
      </c>
      <c r="I6519" t="s" s="11">
        <v>72</v>
      </c>
      <c r="J6519" t="s" s="11">
        <v>20</v>
      </c>
      <c r="K6519" s="15"/>
      <c r="L6519" t="s" s="16">
        <f>HYPERLINK("http://csr.bu.edu/ftp/asl/asllvd/demos/verify_start_end_handshape_annotations//test_auto_move//signs_mov_separ_signers/Tyler_3690.mov","MOV")</f>
        <v>21</v>
      </c>
      <c r="M6519" t="s" s="10">
        <v>47</v>
      </c>
      <c r="N6519" s="17">
        <v>19</v>
      </c>
      <c r="O6519" s="18">
        <v>4552</v>
      </c>
      <c r="P6519" s="18">
        <v>4598</v>
      </c>
      <c r="Q6519" s="15"/>
      <c r="R6519" t="s" s="16">
        <f>HYPERLINK("http://secrets.rutgers.edu:8080/data/asl-ftp/asllvd/demos/verify_start_end_handshape_annotations//test_auto_move//signs_mov_separ_signers/Tyler_3690.mov","MOV")</f>
        <v>21</v>
      </c>
    </row>
    <row r="6520" s="2" customFormat="1" ht="13.5" customHeight="1">
      <c r="B6520" s="13"/>
      <c r="C6520" t="s" s="9">
        <v>27</v>
      </c>
      <c r="D6520" t="s" s="8">
        <v>2234</v>
      </c>
      <c r="E6520" t="s" s="9">
        <v>2236</v>
      </c>
      <c r="F6520" t="s" s="10">
        <v>72</v>
      </c>
      <c r="G6520" t="s" s="11">
        <v>72</v>
      </c>
      <c r="H6520" t="s" s="10">
        <v>72</v>
      </c>
      <c r="I6520" t="s" s="11">
        <v>72</v>
      </c>
      <c r="J6520" t="s" s="11">
        <v>20</v>
      </c>
      <c r="K6520" t="s" s="16">
        <f>HYPERLINK("http://csr.bu.edu/ftp/asl/asllvd/demos/verify_start_end_handshape_annotations//test_auto_move//signs_mov/1472_3321_3690_5062_merged.mov","MOV")</f>
        <v>21</v>
      </c>
      <c r="L6520" t="s" s="16">
        <f>HYPERLINK("http://csr.bu.edu/ftp/asl/asllvd/demos/verify_start_end_handshape_annotations//test_auto_move//signs_mov_separ_signers/Naomi_1472.mov","MOV")</f>
        <v>21</v>
      </c>
      <c r="M6520" t="s" s="10">
        <v>48</v>
      </c>
      <c r="N6520" s="17">
        <v>11</v>
      </c>
      <c r="O6520" s="18">
        <v>2360</v>
      </c>
      <c r="P6520" s="18">
        <v>2411</v>
      </c>
      <c r="Q6520" t="s" s="16">
        <f>HYPERLINK("http://secrets.rutgers.edu:8080/data/asl-ftp/asllvd/demos/verify_start_end_handshape_annotations//test_auto_move//signs_mov/1472_3321_3690_5062_merged.mov","MOV")</f>
        <v>21</v>
      </c>
      <c r="R6520" t="s" s="16">
        <f>HYPERLINK("http://secrets.rutgers.edu:8080/data/asl-ftp/asllvd/demos/verify_start_end_handshape_annotations//test_auto_move//signs_mov_separ_signers/Naomi_1472.mov","MOV")</f>
        <v>21</v>
      </c>
    </row>
    <row r="6521" s="2" customFormat="1" ht="13.5" customHeight="1">
      <c r="B6521" s="13"/>
      <c r="C6521" t="s" s="9">
        <v>30</v>
      </c>
      <c r="D6521" t="s" s="8">
        <v>2234</v>
      </c>
      <c r="E6521" t="s" s="9">
        <v>2235</v>
      </c>
      <c r="F6521" t="s" s="10">
        <v>72</v>
      </c>
      <c r="G6521" t="s" s="11">
        <v>72</v>
      </c>
      <c r="H6521" t="s" s="10">
        <v>72</v>
      </c>
      <c r="I6521" t="s" s="11">
        <v>72</v>
      </c>
      <c r="J6521" t="s" s="11">
        <v>20</v>
      </c>
      <c r="K6521" s="15"/>
      <c r="L6521" t="s" s="16">
        <f>HYPERLINK("http://csr.bu.edu/ftp/asl/asllvd/demos/verify_start_end_handshape_annotations//test_auto_move//signs_mov_separ_signers/Brady_1472.mov","MOV")</f>
        <v>21</v>
      </c>
      <c r="M6521" t="s" s="10">
        <v>39</v>
      </c>
      <c r="N6521" s="17">
        <v>12</v>
      </c>
      <c r="O6521" s="18">
        <v>2271</v>
      </c>
      <c r="P6521" s="18">
        <v>2294</v>
      </c>
      <c r="Q6521" s="15"/>
      <c r="R6521" t="s" s="16">
        <f>HYPERLINK("http://secrets.rutgers.edu:8080/data/asl-ftp/asllvd/demos/verify_start_end_handshape_annotations//test_auto_move//signs_mov_separ_signers/Brady_1472.mov","MOV")</f>
        <v>21</v>
      </c>
    </row>
    <row r="6522" s="2" customFormat="1" ht="13.5" customHeight="1">
      <c r="B6522" s="13"/>
      <c r="C6522" t="s" s="9">
        <v>30</v>
      </c>
      <c r="D6522" t="s" s="8">
        <v>2234</v>
      </c>
      <c r="E6522" t="s" s="9">
        <v>2237</v>
      </c>
      <c r="F6522" t="s" s="10">
        <v>72</v>
      </c>
      <c r="G6522" t="s" s="11">
        <v>72</v>
      </c>
      <c r="H6522" t="s" s="10">
        <v>72</v>
      </c>
      <c r="I6522" t="s" s="11">
        <v>72</v>
      </c>
      <c r="J6522" t="s" s="11">
        <v>20</v>
      </c>
      <c r="K6522" s="15"/>
      <c r="L6522" t="s" s="16">
        <f>HYPERLINK("http://csr.bu.edu/ftp/asl/asllvd/demos/verify_start_end_handshape_annotations//test_auto_move//signs_mov_separ_signers/Brady_3321.mov","MOV")</f>
        <v>21</v>
      </c>
      <c r="M6522" t="s" s="10">
        <v>39</v>
      </c>
      <c r="N6522" s="17">
        <v>12</v>
      </c>
      <c r="O6522" s="18">
        <v>4118</v>
      </c>
      <c r="P6522" s="18">
        <v>4135</v>
      </c>
      <c r="Q6522" s="15"/>
      <c r="R6522" t="s" s="16">
        <f>HYPERLINK("http://secrets.rutgers.edu:8080/data/asl-ftp/asllvd/demos/verify_start_end_handshape_annotations//test_auto_move//signs_mov_separ_signers/Brady_3321.mov","MOV")</f>
        <v>21</v>
      </c>
    </row>
    <row r="6523" s="2" customFormat="1" ht="13.5" customHeight="1">
      <c r="B6523" s="13"/>
      <c r="C6523" t="s" s="9">
        <v>30</v>
      </c>
      <c r="D6523" t="s" s="8">
        <v>2234</v>
      </c>
      <c r="E6523" t="s" s="9">
        <v>2236</v>
      </c>
      <c r="F6523" t="s" s="10">
        <v>72</v>
      </c>
      <c r="G6523" t="s" s="11">
        <v>72</v>
      </c>
      <c r="H6523" t="s" s="10">
        <v>72</v>
      </c>
      <c r="I6523" t="s" s="11">
        <v>72</v>
      </c>
      <c r="J6523" t="s" s="11">
        <v>20</v>
      </c>
      <c r="K6523" s="15"/>
      <c r="L6523" t="s" s="16">
        <f>HYPERLINK("http://csr.bu.edu/ftp/asl/asllvd/demos/verify_start_end_handshape_annotations//test_auto_move//signs_mov_separ_signers/Brady_3690.mov","MOV")</f>
        <v>21</v>
      </c>
      <c r="M6523" t="s" s="10">
        <v>39</v>
      </c>
      <c r="N6523" s="17">
        <v>15</v>
      </c>
      <c r="O6523" s="18">
        <v>5057</v>
      </c>
      <c r="P6523" s="18">
        <v>5111</v>
      </c>
      <c r="Q6523" s="15"/>
      <c r="R6523" t="s" s="16">
        <f>HYPERLINK("http://secrets.rutgers.edu:8080/data/asl-ftp/asllvd/demos/verify_start_end_handshape_annotations//test_auto_move//signs_mov_separ_signers/Brady_3690.mov","MOV")</f>
        <v>21</v>
      </c>
    </row>
    <row r="6524" s="2" customFormat="1" ht="13.5" customHeight="1">
      <c r="B6524" s="13"/>
      <c r="C6524" t="s" s="9">
        <v>30</v>
      </c>
      <c r="D6524" t="s" s="8">
        <v>2234</v>
      </c>
      <c r="E6524" t="s" s="9">
        <v>2236</v>
      </c>
      <c r="F6524" t="s" s="10">
        <v>72</v>
      </c>
      <c r="G6524" t="s" s="11">
        <v>72</v>
      </c>
      <c r="H6524" t="s" s="10">
        <v>72</v>
      </c>
      <c r="I6524" t="s" s="11">
        <v>72</v>
      </c>
      <c r="J6524" t="s" s="11">
        <v>20</v>
      </c>
      <c r="K6524" s="15"/>
      <c r="L6524" t="s" s="16">
        <f>HYPERLINK("http://csr.bu.edu/ftp/asl/asllvd/demos/verify_start_end_handshape_annotations//test_auto_move//signs_mov_separ_signers/Brady_5062.mov","MOV")</f>
        <v>21</v>
      </c>
      <c r="M6524" t="s" s="10">
        <v>39</v>
      </c>
      <c r="N6524" s="17">
        <v>53</v>
      </c>
      <c r="O6524" s="18">
        <v>3097</v>
      </c>
      <c r="P6524" s="18">
        <v>3137</v>
      </c>
      <c r="Q6524" s="15"/>
      <c r="R6524" t="s" s="16">
        <f>HYPERLINK("http://secrets.rutgers.edu:8080/data/asl-ftp/asllvd/demos/verify_start_end_handshape_annotations//test_auto_move//signs_mov_separ_signers/Brady_5062.mov","MOV")</f>
        <v>21</v>
      </c>
    </row>
    <row r="6525" s="2" customFormat="1" ht="13.5" customHeight="1">
      <c r="B6525" s="13"/>
      <c r="C6525" t="s" s="9">
        <v>41</v>
      </c>
      <c r="D6525" t="s" s="8">
        <v>2234</v>
      </c>
      <c r="E6525" t="s" s="9">
        <v>2235</v>
      </c>
      <c r="F6525" t="s" s="10">
        <v>75</v>
      </c>
      <c r="G6525" t="s" s="11">
        <v>75</v>
      </c>
      <c r="H6525" t="s" s="10">
        <v>75</v>
      </c>
      <c r="I6525" t="s" s="11">
        <v>75</v>
      </c>
      <c r="J6525" t="s" s="11">
        <v>20</v>
      </c>
      <c r="K6525" s="15"/>
      <c r="L6525" t="s" s="16">
        <f>HYPERLINK("http://csr.bu.edu/ftp/asl/asllvd/demos/verify_start_end_handshape_annotations//test_auto_move//signs_mov_separ_signers/Lana_1472.mov","MOV")</f>
        <v>21</v>
      </c>
      <c r="M6525" t="s" s="10">
        <v>42</v>
      </c>
      <c r="N6525" s="17">
        <v>18</v>
      </c>
      <c r="O6525" s="18">
        <v>2303</v>
      </c>
      <c r="P6525" s="18">
        <v>2322</v>
      </c>
      <c r="Q6525" s="15"/>
      <c r="R6525" t="s" s="16">
        <f>HYPERLINK("http://secrets.rutgers.edu:8080/data/asl-ftp/asllvd/demos/verify_start_end_handshape_annotations//test_auto_move//signs_mov_separ_signers/Lana_1472.mov","MOV")</f>
        <v>21</v>
      </c>
    </row>
    <row r="6526" s="2" customFormat="1" ht="13.5" customHeight="1">
      <c r="B6526" s="13"/>
      <c r="C6526" t="s" s="9">
        <v>43</v>
      </c>
      <c r="D6526" t="s" s="8">
        <v>2234</v>
      </c>
      <c r="E6526" t="s" s="9">
        <v>2236</v>
      </c>
      <c r="F6526" t="s" s="10">
        <v>187</v>
      </c>
      <c r="G6526" t="s" s="11">
        <v>187</v>
      </c>
      <c r="H6526" t="s" s="10">
        <v>187</v>
      </c>
      <c r="I6526" t="s" s="11">
        <v>187</v>
      </c>
      <c r="J6526" t="s" s="11">
        <v>20</v>
      </c>
      <c r="K6526" s="15"/>
      <c r="L6526" t="s" s="16">
        <f>HYPERLINK("http://csr.bu.edu/ftp/asl/asllvd/demos/verify_start_end_handshape_annotations//test_auto_move//signs_mov_separ_signers/Dana_1472.mov","MOV")</f>
        <v>21</v>
      </c>
      <c r="M6526" t="s" s="10">
        <v>44</v>
      </c>
      <c r="N6526" s="17">
        <v>20</v>
      </c>
      <c r="O6526" s="18">
        <v>2227</v>
      </c>
      <c r="P6526" s="18">
        <v>2303</v>
      </c>
      <c r="Q6526" s="15"/>
      <c r="R6526" t="s" s="16">
        <f>HYPERLINK("http://secrets.rutgers.edu:8080/data/asl-ftp/asllvd/demos/verify_start_end_handshape_annotations//test_auto_move//signs_mov_separ_signers/Dana_1472.mov","MOV")</f>
        <v>21</v>
      </c>
    </row>
    <row r="6527" s="2" customFormat="1" ht="13.5" customHeight="1">
      <c r="B6527" t="s" s="8">
        <v>2238</v>
      </c>
      <c r="C6527" t="s" s="9">
        <v>14</v>
      </c>
      <c r="D6527" t="s" s="8">
        <v>14</v>
      </c>
      <c r="E6527" t="s" s="9">
        <v>14</v>
      </c>
      <c r="F6527" t="s" s="10">
        <v>14</v>
      </c>
      <c r="G6527" t="s" s="11">
        <v>14</v>
      </c>
      <c r="H6527" t="s" s="10">
        <v>14</v>
      </c>
      <c r="I6527" t="s" s="11">
        <v>14</v>
      </c>
      <c r="J6527" t="s" s="11">
        <v>14</v>
      </c>
      <c r="K6527" t="s" s="12">
        <v>14</v>
      </c>
      <c r="L6527" t="s" s="12">
        <v>14</v>
      </c>
      <c r="M6527" t="s" s="10">
        <v>14</v>
      </c>
      <c r="N6527" t="s" s="11">
        <v>14</v>
      </c>
      <c r="O6527" t="s" s="8">
        <v>14</v>
      </c>
      <c r="P6527" t="s" s="8">
        <v>14</v>
      </c>
      <c r="Q6527" t="s" s="12">
        <v>14</v>
      </c>
      <c r="R6527" t="s" s="12">
        <v>14</v>
      </c>
    </row>
    <row r="6528" s="2" customFormat="1" ht="13.5" customHeight="1">
      <c r="B6528" s="13"/>
      <c r="C6528" t="s" s="9">
        <v>16</v>
      </c>
      <c r="D6528" t="s" s="8">
        <v>2238</v>
      </c>
      <c r="E6528" t="s" s="9">
        <v>2239</v>
      </c>
      <c r="F6528" s="19">
        <v>5</v>
      </c>
      <c r="G6528" s="17">
        <v>5</v>
      </c>
      <c r="H6528" s="19">
        <v>5</v>
      </c>
      <c r="I6528" s="17">
        <v>5</v>
      </c>
      <c r="J6528" t="s" s="11">
        <v>20</v>
      </c>
      <c r="K6528" s="15"/>
      <c r="L6528" t="s" s="16">
        <f>HYPERLINK("http://csr.bu.edu/ftp/asl/asllvd/demos/verify_start_end_handshape_annotations//test_auto_move//signs_mov_separ_signers/Liz_16059.mov","MOV")</f>
        <v>21</v>
      </c>
      <c r="M6528" t="s" s="10">
        <v>84</v>
      </c>
      <c r="N6528" s="17">
        <v>46</v>
      </c>
      <c r="O6528" s="18">
        <v>2810</v>
      </c>
      <c r="P6528" s="18">
        <v>2845</v>
      </c>
      <c r="Q6528" s="15"/>
      <c r="R6528" t="s" s="16">
        <f>HYPERLINK("http://secrets.rutgers.edu:8080/data/asl-ftp/asllvd/demos/verify_start_end_handshape_annotations//test_auto_move//signs_mov_separ_signers/Liz_16059.mov","MOV")</f>
        <v>21</v>
      </c>
    </row>
    <row r="6529" s="2" customFormat="1" ht="13.5" customHeight="1">
      <c r="B6529" s="13"/>
      <c r="C6529" t="s" s="9">
        <v>23</v>
      </c>
      <c r="D6529" t="s" s="8">
        <v>2238</v>
      </c>
      <c r="E6529" t="s" s="9">
        <v>2239</v>
      </c>
      <c r="F6529" s="19">
        <v>5</v>
      </c>
      <c r="G6529" s="17">
        <v>5</v>
      </c>
      <c r="H6529" t="s" s="10">
        <v>148</v>
      </c>
      <c r="I6529" t="s" s="11">
        <v>148</v>
      </c>
      <c r="J6529" t="s" s="11">
        <v>20</v>
      </c>
      <c r="K6529" s="15"/>
      <c r="L6529" t="s" s="16">
        <f>HYPERLINK("http://csr.bu.edu/ftp/asl/asllvd/demos/verify_start_end_handshape_annotations//test_auto_move//signs_mov_separ_signers/Tyler_16059.mov","MOV")</f>
        <v>21</v>
      </c>
      <c r="M6529" t="s" s="10">
        <v>92</v>
      </c>
      <c r="N6529" s="17">
        <v>26</v>
      </c>
      <c r="O6529" s="18">
        <v>1950</v>
      </c>
      <c r="P6529" s="18">
        <v>1985</v>
      </c>
      <c r="Q6529" s="15"/>
      <c r="R6529" t="s" s="16">
        <f>HYPERLINK("http://secrets.rutgers.edu:8080/data/asl-ftp/asllvd/demos/verify_start_end_handshape_annotations//test_auto_move//signs_mov_separ_signers/Tyler_16059.mov","MOV")</f>
        <v>21</v>
      </c>
    </row>
    <row r="6530" s="2" customFormat="1" ht="13.5" customHeight="1">
      <c r="B6530" s="13"/>
      <c r="C6530" t="s" s="9">
        <v>27</v>
      </c>
      <c r="D6530" t="s" s="8">
        <v>2238</v>
      </c>
      <c r="E6530" t="s" s="9">
        <v>2239</v>
      </c>
      <c r="F6530" s="19">
        <v>5</v>
      </c>
      <c r="G6530" s="17">
        <v>5</v>
      </c>
      <c r="H6530" s="19">
        <v>5</v>
      </c>
      <c r="I6530" s="17">
        <v>5</v>
      </c>
      <c r="J6530" t="s" s="11">
        <v>20</v>
      </c>
      <c r="K6530" t="s" s="16">
        <f>HYPERLINK("http://csr.bu.edu/ftp/asl/asllvd/demos/verify_start_end_handshape_annotations//test_auto_move//signs_mov/16059.mov","MOV")</f>
        <v>21</v>
      </c>
      <c r="L6530" t="s" s="16">
        <f>HYPERLINK("http://csr.bu.edu/ftp/asl/asllvd/demos/verify_start_end_handshape_annotations//test_auto_move//signs_mov_separ_signers/Naomi_16059.mov","MOV")</f>
        <v>21</v>
      </c>
      <c r="M6530" t="s" s="10">
        <v>86</v>
      </c>
      <c r="N6530" s="17">
        <v>46</v>
      </c>
      <c r="O6530" s="18">
        <v>2936</v>
      </c>
      <c r="P6530" s="18">
        <v>2970</v>
      </c>
      <c r="Q6530" t="s" s="16">
        <f>HYPERLINK("http://secrets.rutgers.edu:8080/data/asl-ftp/asllvd/demos/verify_start_end_handshape_annotations//test_auto_move//signs_mov/16059.mov","MOV")</f>
        <v>21</v>
      </c>
      <c r="R6530" t="s" s="16">
        <f>HYPERLINK("http://secrets.rutgers.edu:8080/data/asl-ftp/asllvd/demos/verify_start_end_handshape_annotations//test_auto_move//signs_mov_separ_signers/Naomi_16059.mov","MOV")</f>
        <v>21</v>
      </c>
    </row>
    <row r="6531" s="2" customFormat="1" ht="13.5" customHeight="1">
      <c r="B6531" s="13"/>
      <c r="C6531" t="s" s="9">
        <v>30</v>
      </c>
      <c r="D6531" t="s" s="8">
        <v>2238</v>
      </c>
      <c r="E6531" t="s" s="9">
        <v>2239</v>
      </c>
      <c r="F6531" s="19">
        <v>5</v>
      </c>
      <c r="G6531" s="17">
        <v>5</v>
      </c>
      <c r="H6531" s="19">
        <v>5</v>
      </c>
      <c r="I6531" s="17">
        <v>5</v>
      </c>
      <c r="J6531" t="s" s="11">
        <v>20</v>
      </c>
      <c r="K6531" s="15"/>
      <c r="L6531" t="s" s="16">
        <f>HYPERLINK("http://csr.bu.edu/ftp/asl/asllvd/demos/verify_start_end_handshape_annotations//test_auto_move//signs_mov_separ_signers/Brady_16059.mov","MOV")</f>
        <v>21</v>
      </c>
      <c r="M6531" t="s" s="10">
        <v>39</v>
      </c>
      <c r="N6531" s="17">
        <v>21</v>
      </c>
      <c r="O6531" s="18">
        <v>3038</v>
      </c>
      <c r="P6531" s="18">
        <v>3062</v>
      </c>
      <c r="Q6531" s="15"/>
      <c r="R6531" t="s" s="16">
        <f>HYPERLINK("http://secrets.rutgers.edu:8080/data/asl-ftp/asllvd/demos/verify_start_end_handshape_annotations//test_auto_move//signs_mov_separ_signers/Brady_16059.mov","MOV")</f>
        <v>21</v>
      </c>
    </row>
    <row r="6532" s="2" customFormat="1" ht="13.5" customHeight="1">
      <c r="B6532" s="13"/>
      <c r="C6532" t="s" s="9">
        <v>41</v>
      </c>
      <c r="D6532" t="s" s="8">
        <v>2238</v>
      </c>
      <c r="E6532" t="s" s="9">
        <v>2239</v>
      </c>
      <c r="F6532" s="19">
        <v>4</v>
      </c>
      <c r="G6532" s="17">
        <v>4</v>
      </c>
      <c r="H6532" s="19">
        <v>4</v>
      </c>
      <c r="I6532" s="17">
        <v>4</v>
      </c>
      <c r="J6532" t="s" s="11">
        <v>20</v>
      </c>
      <c r="K6532" s="15"/>
      <c r="L6532" t="s" s="16">
        <f>HYPERLINK("http://csr.bu.edu/ftp/asl/asllvd/demos/verify_start_end_handshape_annotations//test_auto_move//signs_mov_separ_signers/Lana_16059.mov","MOV")</f>
        <v>21</v>
      </c>
      <c r="M6532" t="s" s="10">
        <v>42</v>
      </c>
      <c r="N6532" s="17">
        <v>11</v>
      </c>
      <c r="O6532" s="18">
        <v>957</v>
      </c>
      <c r="P6532" s="18">
        <v>985</v>
      </c>
      <c r="Q6532" s="15"/>
      <c r="R6532" t="s" s="16">
        <f>HYPERLINK("http://secrets.rutgers.edu:8080/data/asl-ftp/asllvd/demos/verify_start_end_handshape_annotations//test_auto_move//signs_mov_separ_signers/Lana_16059.mov","MOV")</f>
        <v>21</v>
      </c>
    </row>
    <row r="6533" s="2" customFormat="1" ht="13.5" customHeight="1">
      <c r="B6533" s="13"/>
      <c r="C6533" t="s" s="9">
        <v>43</v>
      </c>
      <c r="D6533" t="s" s="8">
        <v>2238</v>
      </c>
      <c r="E6533" t="s" s="9">
        <v>2239</v>
      </c>
      <c r="F6533" s="19">
        <v>5</v>
      </c>
      <c r="G6533" s="17">
        <v>5</v>
      </c>
      <c r="H6533" s="19">
        <v>5</v>
      </c>
      <c r="I6533" s="17">
        <v>5</v>
      </c>
      <c r="J6533" t="s" s="11">
        <v>20</v>
      </c>
      <c r="K6533" s="15"/>
      <c r="L6533" t="s" s="16">
        <f>HYPERLINK("http://csr.bu.edu/ftp/asl/asllvd/demos/verify_start_end_handshape_annotations//test_auto_move//signs_mov_separ_signers/Dana_16059.mov","MOV")</f>
        <v>21</v>
      </c>
      <c r="M6533" t="s" s="10">
        <v>44</v>
      </c>
      <c r="N6533" s="17">
        <v>14</v>
      </c>
      <c r="O6533" s="18">
        <v>880</v>
      </c>
      <c r="P6533" s="18">
        <v>939</v>
      </c>
      <c r="Q6533" s="15"/>
      <c r="R6533" t="s" s="16">
        <f>HYPERLINK("http://secrets.rutgers.edu:8080/data/asl-ftp/asllvd/demos/verify_start_end_handshape_annotations//test_auto_move//signs_mov_separ_signers/Dana_16059.mov","MOV")</f>
        <v>21</v>
      </c>
    </row>
    <row r="6534" s="2" customFormat="1" ht="13.5" customHeight="1">
      <c r="B6534" t="s" s="8">
        <v>2240</v>
      </c>
      <c r="C6534" t="s" s="9">
        <v>14</v>
      </c>
      <c r="D6534" t="s" s="8">
        <v>14</v>
      </c>
      <c r="E6534" t="s" s="9">
        <v>14</v>
      </c>
      <c r="F6534" t="s" s="10">
        <v>14</v>
      </c>
      <c r="G6534" t="s" s="11">
        <v>14</v>
      </c>
      <c r="H6534" t="s" s="10">
        <v>14</v>
      </c>
      <c r="I6534" t="s" s="11">
        <v>14</v>
      </c>
      <c r="J6534" t="s" s="11">
        <v>14</v>
      </c>
      <c r="K6534" t="s" s="12">
        <v>14</v>
      </c>
      <c r="L6534" t="s" s="12">
        <v>14</v>
      </c>
      <c r="M6534" t="s" s="10">
        <v>14</v>
      </c>
      <c r="N6534" t="s" s="11">
        <v>14</v>
      </c>
      <c r="O6534" t="s" s="8">
        <v>14</v>
      </c>
      <c r="P6534" t="s" s="8">
        <v>14</v>
      </c>
      <c r="Q6534" t="s" s="12">
        <v>14</v>
      </c>
      <c r="R6534" t="s" s="12">
        <v>14</v>
      </c>
    </row>
    <row r="6535" s="2" customFormat="1" ht="13.5" customHeight="1">
      <c r="B6535" s="13"/>
      <c r="C6535" t="s" s="9">
        <v>16</v>
      </c>
      <c r="D6535" t="s" s="8">
        <v>2240</v>
      </c>
      <c r="E6535" t="s" s="9">
        <v>2240</v>
      </c>
      <c r="F6535" t="s" s="10">
        <v>72</v>
      </c>
      <c r="G6535" s="14"/>
      <c r="H6535" t="s" s="10">
        <v>72</v>
      </c>
      <c r="I6535" s="14"/>
      <c r="J6535" t="s" s="11">
        <v>20</v>
      </c>
      <c r="K6535" s="15"/>
      <c r="L6535" t="s" s="16">
        <f>HYPERLINK("http://csr.bu.edu/ftp/asl/asllvd/demos/verify_start_end_handshape_annotations//test_auto_move//signs_mov_separ_signers/Liz_1473.mov","MOV")</f>
        <v>21</v>
      </c>
      <c r="M6535" t="s" s="10">
        <v>84</v>
      </c>
      <c r="N6535" s="17">
        <v>50</v>
      </c>
      <c r="O6535" s="18">
        <v>1565</v>
      </c>
      <c r="P6535" s="18">
        <v>1590</v>
      </c>
      <c r="Q6535" s="15"/>
      <c r="R6535" t="s" s="16">
        <f>HYPERLINK("http://secrets.rutgers.edu:8080/data/asl-ftp/asllvd/demos/verify_start_end_handshape_annotations//test_auto_move//signs_mov_separ_signers/Liz_1473.mov","MOV")</f>
        <v>21</v>
      </c>
    </row>
    <row r="6536" s="2" customFormat="1" ht="13.5" customHeight="1">
      <c r="B6536" s="13"/>
      <c r="C6536" t="s" s="9">
        <v>16</v>
      </c>
      <c r="D6536" t="s" s="8">
        <v>2240</v>
      </c>
      <c r="E6536" t="s" s="9">
        <v>2240</v>
      </c>
      <c r="F6536" t="s" s="10">
        <v>72</v>
      </c>
      <c r="G6536" s="14"/>
      <c r="H6536" t="s" s="10">
        <v>187</v>
      </c>
      <c r="I6536" s="14"/>
      <c r="J6536" t="s" s="11">
        <v>20</v>
      </c>
      <c r="K6536" s="15"/>
      <c r="L6536" t="s" s="16">
        <f>HYPERLINK("http://csr.bu.edu/ftp/asl/asllvd/demos/verify_start_end_handshape_annotations//test_auto_move//signs_mov_separ_signers/Liz_3398.mov","MOV")</f>
        <v>21</v>
      </c>
      <c r="M6536" t="s" s="10">
        <v>34</v>
      </c>
      <c r="N6536" s="17">
        <v>56</v>
      </c>
      <c r="O6536" s="18">
        <v>2082</v>
      </c>
      <c r="P6536" s="18">
        <v>2105</v>
      </c>
      <c r="Q6536" s="15"/>
      <c r="R6536" t="s" s="16">
        <f>HYPERLINK("http://secrets.rutgers.edu:8080/data/asl-ftp/asllvd/demos/verify_start_end_handshape_annotations//test_auto_move//signs_mov_separ_signers/Liz_3398.mov","MOV")</f>
        <v>21</v>
      </c>
    </row>
    <row r="6537" s="2" customFormat="1" ht="13.5" customHeight="1">
      <c r="B6537" s="13"/>
      <c r="C6537" t="s" s="9">
        <v>23</v>
      </c>
      <c r="D6537" t="s" s="8">
        <v>2240</v>
      </c>
      <c r="E6537" t="s" s="9">
        <v>2240</v>
      </c>
      <c r="F6537" t="s" s="10">
        <v>72</v>
      </c>
      <c r="G6537" s="14"/>
      <c r="H6537" t="s" s="10">
        <v>701</v>
      </c>
      <c r="I6537" s="14"/>
      <c r="J6537" t="s" s="11">
        <v>20</v>
      </c>
      <c r="K6537" s="15"/>
      <c r="L6537" t="s" s="16">
        <f>HYPERLINK("http://csr.bu.edu/ftp/asl/asllvd/demos/verify_start_end_handshape_annotations//test_auto_move//signs_mov_separ_signers/Tyler_1473.mov","MOV")</f>
        <v>21</v>
      </c>
      <c r="M6537" t="s" s="10">
        <v>47</v>
      </c>
      <c r="N6537" s="17">
        <v>8</v>
      </c>
      <c r="O6537" s="18">
        <v>1372</v>
      </c>
      <c r="P6537" s="18">
        <v>1392</v>
      </c>
      <c r="Q6537" s="15"/>
      <c r="R6537" t="s" s="16">
        <f>HYPERLINK("http://secrets.rutgers.edu:8080/data/asl-ftp/asllvd/demos/verify_start_end_handshape_annotations//test_auto_move//signs_mov_separ_signers/Tyler_1473.mov","MOV")</f>
        <v>21</v>
      </c>
    </row>
    <row r="6538" s="2" customFormat="1" ht="13.5" customHeight="1">
      <c r="B6538" s="13"/>
      <c r="C6538" t="s" s="9">
        <v>27</v>
      </c>
      <c r="D6538" t="s" s="8">
        <v>2240</v>
      </c>
      <c r="E6538" t="s" s="9">
        <v>2240</v>
      </c>
      <c r="F6538" s="19">
        <v>5</v>
      </c>
      <c r="G6538" s="14"/>
      <c r="H6538" t="s" s="10">
        <v>187</v>
      </c>
      <c r="I6538" s="14"/>
      <c r="J6538" t="s" s="11">
        <v>20</v>
      </c>
      <c r="K6538" t="s" s="16">
        <f>HYPERLINK("http://csr.bu.edu/ftp/asl/asllvd/demos/verify_start_end_handshape_annotations//test_auto_move//signs_mov/1473_3398_merged.mov","MOV")</f>
        <v>21</v>
      </c>
      <c r="L6538" t="s" s="16">
        <f>HYPERLINK("http://csr.bu.edu/ftp/asl/asllvd/demos/verify_start_end_handshape_annotations//test_auto_move//signs_mov_separ_signers/Naomi_1473.mov","MOV")</f>
        <v>21</v>
      </c>
      <c r="M6538" t="s" s="10">
        <v>86</v>
      </c>
      <c r="N6538" s="17">
        <v>50</v>
      </c>
      <c r="O6538" s="18">
        <v>1445</v>
      </c>
      <c r="P6538" s="18">
        <v>1465</v>
      </c>
      <c r="Q6538" t="s" s="16">
        <f>HYPERLINK("http://secrets.rutgers.edu:8080/data/asl-ftp/asllvd/demos/verify_start_end_handshape_annotations//test_auto_move//signs_mov/1473_3398_merged.mov","MOV")</f>
        <v>21</v>
      </c>
      <c r="R6538" t="s" s="16">
        <f>HYPERLINK("http://secrets.rutgers.edu:8080/data/asl-ftp/asllvd/demos/verify_start_end_handshape_annotations//test_auto_move//signs_mov_separ_signers/Naomi_1473.mov","MOV")</f>
        <v>21</v>
      </c>
    </row>
    <row r="6539" s="2" customFormat="1" ht="13.5" customHeight="1">
      <c r="B6539" s="13"/>
      <c r="C6539" t="s" s="9">
        <v>27</v>
      </c>
      <c r="D6539" t="s" s="8">
        <v>2240</v>
      </c>
      <c r="E6539" t="s" s="9">
        <v>2240</v>
      </c>
      <c r="F6539" s="19">
        <v>5</v>
      </c>
      <c r="G6539" s="14"/>
      <c r="H6539" t="s" s="10">
        <v>701</v>
      </c>
      <c r="I6539" s="14"/>
      <c r="J6539" t="s" s="11">
        <v>20</v>
      </c>
      <c r="K6539" s="15"/>
      <c r="L6539" t="s" s="16">
        <f>HYPERLINK("http://csr.bu.edu/ftp/asl/asllvd/demos/verify_start_end_handshape_annotations//test_auto_move//signs_mov_separ_signers/Naomi_3398.mov","MOV")</f>
        <v>21</v>
      </c>
      <c r="M6539" t="s" s="10">
        <v>48</v>
      </c>
      <c r="N6539" s="17">
        <v>11</v>
      </c>
      <c r="O6539" s="18">
        <v>2681</v>
      </c>
      <c r="P6539" s="18">
        <v>2705</v>
      </c>
      <c r="Q6539" s="15"/>
      <c r="R6539" t="s" s="16">
        <f>HYPERLINK("http://secrets.rutgers.edu:8080/data/asl-ftp/asllvd/demos/verify_start_end_handshape_annotations//test_auto_move//signs_mov_separ_signers/Naomi_3398.mov","MOV")</f>
        <v>21</v>
      </c>
    </row>
    <row r="6540" s="2" customFormat="1" ht="13.5" customHeight="1">
      <c r="B6540" s="13"/>
      <c r="C6540" t="s" s="9">
        <v>30</v>
      </c>
      <c r="D6540" t="s" s="8">
        <v>2240</v>
      </c>
      <c r="E6540" t="s" s="9">
        <v>2240</v>
      </c>
      <c r="F6540" s="19">
        <v>5</v>
      </c>
      <c r="G6540" s="14"/>
      <c r="H6540" t="s" s="10">
        <v>187</v>
      </c>
      <c r="I6540" s="14"/>
      <c r="J6540" t="s" s="11">
        <v>20</v>
      </c>
      <c r="K6540" s="15"/>
      <c r="L6540" t="s" s="16">
        <f>HYPERLINK("http://csr.bu.edu/ftp/asl/asllvd/demos/verify_start_end_handshape_annotations//test_auto_move//signs_mov_separ_signers/Brady_1473.mov","MOV")</f>
        <v>21</v>
      </c>
      <c r="M6540" t="s" s="10">
        <v>39</v>
      </c>
      <c r="N6540" s="17">
        <v>53</v>
      </c>
      <c r="O6540" s="18">
        <v>3291</v>
      </c>
      <c r="P6540" s="18">
        <v>3312</v>
      </c>
      <c r="Q6540" s="15"/>
      <c r="R6540" t="s" s="16">
        <f>HYPERLINK("http://secrets.rutgers.edu:8080/data/asl-ftp/asllvd/demos/verify_start_end_handshape_annotations//test_auto_move//signs_mov_separ_signers/Brady_1473.mov","MOV")</f>
        <v>21</v>
      </c>
    </row>
    <row r="6541" s="2" customFormat="1" ht="13.5" customHeight="1">
      <c r="B6541" s="13"/>
      <c r="C6541" t="s" s="9">
        <v>30</v>
      </c>
      <c r="D6541" t="s" s="8">
        <v>2240</v>
      </c>
      <c r="E6541" t="s" s="9">
        <v>2240</v>
      </c>
      <c r="F6541" s="19">
        <v>5</v>
      </c>
      <c r="G6541" s="14"/>
      <c r="H6541" t="s" s="10">
        <v>72</v>
      </c>
      <c r="I6541" s="14"/>
      <c r="J6541" t="s" s="11">
        <v>20</v>
      </c>
      <c r="K6541" s="15"/>
      <c r="L6541" t="s" s="16">
        <f>HYPERLINK("http://csr.bu.edu/ftp/asl/asllvd/demos/verify_start_end_handshape_annotations//test_auto_move//signs_mov_separ_signers/Brady_3398.mov","MOV")</f>
        <v>21</v>
      </c>
      <c r="M6541" t="s" s="10">
        <v>60</v>
      </c>
      <c r="N6541" s="17">
        <v>43</v>
      </c>
      <c r="O6541" s="18">
        <v>1567</v>
      </c>
      <c r="P6541" s="18">
        <v>1585</v>
      </c>
      <c r="Q6541" s="15"/>
      <c r="R6541" t="s" s="16">
        <f>HYPERLINK("http://secrets.rutgers.edu:8080/data/asl-ftp/asllvd/demos/verify_start_end_handshape_annotations//test_auto_move//signs_mov_separ_signers/Brady_3398.mov","MOV")</f>
        <v>21</v>
      </c>
    </row>
    <row r="6542" s="2" customFormat="1" ht="13.5" customHeight="1">
      <c r="B6542" s="13"/>
      <c r="C6542" t="s" s="9">
        <v>43</v>
      </c>
      <c r="D6542" t="s" s="8">
        <v>2240</v>
      </c>
      <c r="E6542" t="s" s="9">
        <v>2240</v>
      </c>
      <c r="F6542" t="s" s="10">
        <v>187</v>
      </c>
      <c r="G6542" s="14"/>
      <c r="H6542" t="s" s="10">
        <v>187</v>
      </c>
      <c r="I6542" s="14"/>
      <c r="J6542" t="s" s="11">
        <v>20</v>
      </c>
      <c r="K6542" s="15"/>
      <c r="L6542" t="s" s="16">
        <f>HYPERLINK("http://csr.bu.edu/ftp/asl/asllvd/demos/verify_start_end_handshape_annotations//test_auto_move//signs_mov_separ_signers/Dana_1473.mov","MOV")</f>
        <v>21</v>
      </c>
      <c r="M6542" t="s" s="10">
        <v>44</v>
      </c>
      <c r="N6542" s="17">
        <v>20</v>
      </c>
      <c r="O6542" s="18">
        <v>1057</v>
      </c>
      <c r="P6542" s="18">
        <v>1096</v>
      </c>
      <c r="Q6542" s="15"/>
      <c r="R6542" t="s" s="16">
        <f>HYPERLINK("http://secrets.rutgers.edu:8080/data/asl-ftp/asllvd/demos/verify_start_end_handshape_annotations//test_auto_move//signs_mov_separ_signers/Dana_1473.mov","MOV")</f>
        <v>21</v>
      </c>
    </row>
    <row r="6543" s="2" customFormat="1" ht="13.5" customHeight="1">
      <c r="B6543" t="s" s="8">
        <v>52</v>
      </c>
      <c r="C6543" t="s" s="9">
        <v>53</v>
      </c>
      <c r="D6543" t="s" s="8">
        <v>53</v>
      </c>
      <c r="E6543" t="s" s="9">
        <v>53</v>
      </c>
      <c r="F6543" t="s" s="10">
        <v>53</v>
      </c>
      <c r="G6543" t="s" s="11">
        <v>53</v>
      </c>
      <c r="H6543" t="s" s="10">
        <v>53</v>
      </c>
      <c r="I6543" t="s" s="11">
        <v>53</v>
      </c>
      <c r="J6543" t="s" s="11">
        <v>53</v>
      </c>
      <c r="K6543" t="s" s="12">
        <v>53</v>
      </c>
      <c r="L6543" t="s" s="12">
        <v>53</v>
      </c>
      <c r="M6543" t="s" s="10">
        <v>53</v>
      </c>
      <c r="N6543" t="s" s="11">
        <v>53</v>
      </c>
      <c r="O6543" t="s" s="8">
        <v>53</v>
      </c>
      <c r="P6543" t="s" s="8">
        <v>53</v>
      </c>
      <c r="Q6543" t="s" s="12">
        <v>53</v>
      </c>
      <c r="R6543" t="s" s="12">
        <v>53</v>
      </c>
    </row>
    <row r="6544" s="2" customFormat="1" ht="13.5" customHeight="1">
      <c r="B6544" s="13"/>
      <c r="C6544" t="s" s="9">
        <v>23</v>
      </c>
      <c r="D6544" t="s" s="8">
        <v>2240</v>
      </c>
      <c r="E6544" t="s" s="9">
        <v>2241</v>
      </c>
      <c r="F6544" s="19">
        <v>5</v>
      </c>
      <c r="G6544" s="14"/>
      <c r="H6544" t="s" s="10">
        <v>187</v>
      </c>
      <c r="I6544" s="14"/>
      <c r="J6544" t="s" s="11">
        <v>20</v>
      </c>
      <c r="K6544" t="s" s="16">
        <f>HYPERLINK("http://csr.bu.edu/ftp/asl/asllvd/demos/verify_start_end_handshape_annotations//test_auto_move//signs_mov/3838.mov","MOV")</f>
        <v>21</v>
      </c>
      <c r="L6544" t="s" s="16">
        <f>HYPERLINK("http://csr.bu.edu/ftp/asl/asllvd/demos/verify_start_end_handshape_annotations//test_auto_move//signs_mov_separ_signers/Tyler_3838.mov","MOV")</f>
        <v>21</v>
      </c>
      <c r="M6544" t="s" s="10">
        <v>92</v>
      </c>
      <c r="N6544" s="17">
        <v>31</v>
      </c>
      <c r="O6544" s="18">
        <v>1180</v>
      </c>
      <c r="P6544" s="18">
        <v>1205</v>
      </c>
      <c r="Q6544" t="s" s="16">
        <f>HYPERLINK("http://secrets.rutgers.edu:8080/data/asl-ftp/asllvd/demos/verify_start_end_handshape_annotations//test_auto_move//signs_mov/3838.mov","MOV")</f>
        <v>21</v>
      </c>
      <c r="R6544" t="s" s="16">
        <f>HYPERLINK("http://secrets.rutgers.edu:8080/data/asl-ftp/asllvd/demos/verify_start_end_handshape_annotations//test_auto_move//signs_mov_separ_signers/Tyler_3838.mov","MOV")</f>
        <v>21</v>
      </c>
    </row>
    <row r="6545" s="2" customFormat="1" ht="13.5" customHeight="1">
      <c r="B6545" s="13"/>
      <c r="C6545" t="s" s="9">
        <v>30</v>
      </c>
      <c r="D6545" t="s" s="8">
        <v>2240</v>
      </c>
      <c r="E6545" t="s" s="9">
        <v>2241</v>
      </c>
      <c r="F6545" s="19">
        <v>5</v>
      </c>
      <c r="G6545" s="14"/>
      <c r="H6545" t="s" s="10">
        <v>148</v>
      </c>
      <c r="I6545" s="14"/>
      <c r="J6545" t="s" s="11">
        <v>20</v>
      </c>
      <c r="K6545" s="15"/>
      <c r="L6545" t="s" s="16">
        <f>HYPERLINK("http://csr.bu.edu/ftp/asl/asllvd/demos/verify_start_end_handshape_annotations//test_auto_move//signs_mov_separ_signers/Brady_3838.mov","MOV")</f>
        <v>21</v>
      </c>
      <c r="M6545" t="s" s="10">
        <v>39</v>
      </c>
      <c r="N6545" s="17">
        <v>23</v>
      </c>
      <c r="O6545" s="18">
        <v>3771</v>
      </c>
      <c r="P6545" s="18">
        <v>3793</v>
      </c>
      <c r="Q6545" s="15"/>
      <c r="R6545" t="s" s="16">
        <f>HYPERLINK("http://secrets.rutgers.edu:8080/data/asl-ftp/asllvd/demos/verify_start_end_handshape_annotations//test_auto_move//signs_mov_separ_signers/Brady_3838.mov","MOV")</f>
        <v>21</v>
      </c>
    </row>
    <row r="6546" s="2" customFormat="1" ht="13.5" customHeight="1">
      <c r="B6546" t="s" s="8">
        <v>2242</v>
      </c>
      <c r="C6546" t="s" s="9">
        <v>14</v>
      </c>
      <c r="D6546" t="s" s="8">
        <v>14</v>
      </c>
      <c r="E6546" t="s" s="9">
        <v>14</v>
      </c>
      <c r="F6546" t="s" s="10">
        <v>14</v>
      </c>
      <c r="G6546" t="s" s="11">
        <v>14</v>
      </c>
      <c r="H6546" t="s" s="10">
        <v>14</v>
      </c>
      <c r="I6546" t="s" s="11">
        <v>14</v>
      </c>
      <c r="J6546" t="s" s="11">
        <v>14</v>
      </c>
      <c r="K6546" t="s" s="12">
        <v>14</v>
      </c>
      <c r="L6546" t="s" s="12">
        <v>14</v>
      </c>
      <c r="M6546" t="s" s="10">
        <v>14</v>
      </c>
      <c r="N6546" t="s" s="11">
        <v>14</v>
      </c>
      <c r="O6546" t="s" s="8">
        <v>14</v>
      </c>
      <c r="P6546" t="s" s="8">
        <v>14</v>
      </c>
      <c r="Q6546" t="s" s="12">
        <v>14</v>
      </c>
      <c r="R6546" t="s" s="12">
        <v>14</v>
      </c>
    </row>
    <row r="6547" s="2" customFormat="1" ht="13.5" customHeight="1">
      <c r="B6547" s="13"/>
      <c r="C6547" t="s" s="9">
        <v>16</v>
      </c>
      <c r="D6547" t="s" s="8">
        <v>2242</v>
      </c>
      <c r="E6547" t="s" s="9">
        <v>2243</v>
      </c>
      <c r="F6547" s="19">
        <v>5</v>
      </c>
      <c r="G6547" s="14"/>
      <c r="H6547" t="s" s="10">
        <v>187</v>
      </c>
      <c r="I6547" s="14"/>
      <c r="J6547" t="s" s="11">
        <v>20</v>
      </c>
      <c r="K6547" s="15"/>
      <c r="L6547" t="s" s="16">
        <f>HYPERLINK("http://csr.bu.edu/ftp/asl/asllvd/demos/verify_start_end_handshape_annotations//test_auto_move//signs_mov_separ_signers/Liz_16040.mov","MOV")</f>
        <v>21</v>
      </c>
      <c r="M6547" t="s" s="10">
        <v>34</v>
      </c>
      <c r="N6547" s="17">
        <v>12</v>
      </c>
      <c r="O6547" s="18">
        <v>1868</v>
      </c>
      <c r="P6547" s="18">
        <v>1902</v>
      </c>
      <c r="Q6547" s="15"/>
      <c r="R6547" t="s" s="16">
        <f>HYPERLINK("http://secrets.rutgers.edu:8080/data/asl-ftp/asllvd/demos/verify_start_end_handshape_annotations//test_auto_move//signs_mov_separ_signers/Liz_16040.mov","MOV")</f>
        <v>21</v>
      </c>
    </row>
    <row r="6548" s="2" customFormat="1" ht="13.5" customHeight="1">
      <c r="B6548" s="13"/>
      <c r="C6548" t="s" s="9">
        <v>23</v>
      </c>
      <c r="D6548" t="s" s="8">
        <v>2242</v>
      </c>
      <c r="E6548" t="s" s="9">
        <v>2242</v>
      </c>
      <c r="F6548" t="s" s="10">
        <v>187</v>
      </c>
      <c r="G6548" s="14"/>
      <c r="H6548" t="s" s="10">
        <v>187</v>
      </c>
      <c r="I6548" s="14"/>
      <c r="J6548" t="s" s="11">
        <v>20</v>
      </c>
      <c r="K6548" s="15"/>
      <c r="L6548" t="s" s="16">
        <f>HYPERLINK("http://csr.bu.edu/ftp/asl/asllvd/demos/verify_start_end_handshape_annotations//test_auto_move//signs_mov_separ_signers/Tyler_16040.mov","MOV")</f>
        <v>21</v>
      </c>
      <c r="M6548" t="s" s="10">
        <v>92</v>
      </c>
      <c r="N6548" s="17">
        <v>42</v>
      </c>
      <c r="O6548" s="18">
        <v>2405</v>
      </c>
      <c r="P6548" s="18">
        <v>2432</v>
      </c>
      <c r="Q6548" s="15"/>
      <c r="R6548" t="s" s="16">
        <f>HYPERLINK("http://secrets.rutgers.edu:8080/data/asl-ftp/asllvd/demos/verify_start_end_handshape_annotations//test_auto_move//signs_mov_separ_signers/Tyler_16040.mov","MOV")</f>
        <v>21</v>
      </c>
    </row>
    <row r="6549" s="2" customFormat="1" ht="13.5" customHeight="1">
      <c r="B6549" s="13"/>
      <c r="C6549" t="s" s="9">
        <v>27</v>
      </c>
      <c r="D6549" t="s" s="8">
        <v>2242</v>
      </c>
      <c r="E6549" t="s" s="9">
        <v>2243</v>
      </c>
      <c r="F6549" t="s" s="10">
        <v>72</v>
      </c>
      <c r="G6549" s="14"/>
      <c r="H6549" t="s" s="10">
        <v>187</v>
      </c>
      <c r="I6549" s="14"/>
      <c r="J6549" t="s" s="11">
        <v>20</v>
      </c>
      <c r="K6549" t="s" s="16">
        <f>HYPERLINK("http://csr.bu.edu/ftp/asl/asllvd/demos/verify_start_end_handshape_annotations//test_auto_move//signs_mov/16040_16086_merged.mov","MOV")</f>
        <v>21</v>
      </c>
      <c r="L6549" t="s" s="16">
        <f>HYPERLINK("http://csr.bu.edu/ftp/asl/asllvd/demos/verify_start_end_handshape_annotations//test_auto_move//signs_mov_separ_signers/Naomi_16040.mov","MOV")</f>
        <v>21</v>
      </c>
      <c r="M6549" t="s" s="10">
        <v>38</v>
      </c>
      <c r="N6549" s="17">
        <v>10</v>
      </c>
      <c r="O6549" s="18">
        <v>5535</v>
      </c>
      <c r="P6549" s="18">
        <v>5557</v>
      </c>
      <c r="Q6549" t="s" s="16">
        <f>HYPERLINK("http://secrets.rutgers.edu:8080/data/asl-ftp/asllvd/demos/verify_start_end_handshape_annotations//test_auto_move//signs_mov/16040_16086_merged.mov","MOV")</f>
        <v>21</v>
      </c>
      <c r="R6549" t="s" s="16">
        <f>HYPERLINK("http://secrets.rutgers.edu:8080/data/asl-ftp/asllvd/demos/verify_start_end_handshape_annotations//test_auto_move//signs_mov_separ_signers/Naomi_16040.mov","MOV")</f>
        <v>21</v>
      </c>
    </row>
    <row r="6550" s="2" customFormat="1" ht="13.5" customHeight="1">
      <c r="B6550" s="13"/>
      <c r="C6550" t="s" s="9">
        <v>30</v>
      </c>
      <c r="D6550" t="s" s="8">
        <v>2242</v>
      </c>
      <c r="E6550" t="s" s="9">
        <v>2242</v>
      </c>
      <c r="F6550" t="s" s="10">
        <v>72</v>
      </c>
      <c r="G6550" s="14"/>
      <c r="H6550" t="s" s="10">
        <v>187</v>
      </c>
      <c r="I6550" s="14"/>
      <c r="J6550" t="s" s="11">
        <v>20</v>
      </c>
      <c r="K6550" s="15"/>
      <c r="L6550" t="s" s="16">
        <f>HYPERLINK("http://csr.bu.edu/ftp/asl/asllvd/demos/verify_start_end_handshape_annotations//test_auto_move//signs_mov_separ_signers/Brady_16040.mov","MOV")</f>
        <v>21</v>
      </c>
      <c r="M6550" t="s" s="10">
        <v>39</v>
      </c>
      <c r="N6550" s="17">
        <v>29</v>
      </c>
      <c r="O6550" s="18">
        <v>5310</v>
      </c>
      <c r="P6550" s="18">
        <v>5343</v>
      </c>
      <c r="Q6550" s="15"/>
      <c r="R6550" t="s" s="16">
        <f>HYPERLINK("http://secrets.rutgers.edu:8080/data/asl-ftp/asllvd/demos/verify_start_end_handshape_annotations//test_auto_move//signs_mov_separ_signers/Brady_16040.mov","MOV")</f>
        <v>21</v>
      </c>
    </row>
    <row r="6551" s="2" customFormat="1" ht="13.5" customHeight="1">
      <c r="B6551" s="13"/>
      <c r="C6551" t="s" s="9">
        <v>30</v>
      </c>
      <c r="D6551" t="s" s="8">
        <v>2242</v>
      </c>
      <c r="E6551" t="s" s="9">
        <v>2244</v>
      </c>
      <c r="F6551" s="19">
        <v>5</v>
      </c>
      <c r="G6551" s="14"/>
      <c r="H6551" t="s" s="10">
        <v>187</v>
      </c>
      <c r="I6551" s="14"/>
      <c r="J6551" t="s" s="11">
        <v>20</v>
      </c>
      <c r="K6551" s="15"/>
      <c r="L6551" t="s" s="16">
        <f>HYPERLINK("http://csr.bu.edu/ftp/asl/asllvd/demos/verify_start_end_handshape_annotations//test_auto_move//signs_mov_separ_signers/Brady_16086.mov","MOV")</f>
        <v>21</v>
      </c>
      <c r="M6551" t="s" s="10">
        <v>60</v>
      </c>
      <c r="N6551" s="17">
        <v>44</v>
      </c>
      <c r="O6551" s="18">
        <v>889</v>
      </c>
      <c r="P6551" s="18">
        <v>933</v>
      </c>
      <c r="Q6551" s="15"/>
      <c r="R6551" t="s" s="16">
        <f>HYPERLINK("http://secrets.rutgers.edu:8080/data/asl-ftp/asllvd/demos/verify_start_end_handshape_annotations//test_auto_move//signs_mov_separ_signers/Brady_16086.mov","MOV")</f>
        <v>21</v>
      </c>
    </row>
    <row r="6552" s="2" customFormat="1" ht="13.5" customHeight="1">
      <c r="B6552" t="s" s="8">
        <v>2245</v>
      </c>
      <c r="C6552" t="s" s="9">
        <v>14</v>
      </c>
      <c r="D6552" t="s" s="8">
        <v>14</v>
      </c>
      <c r="E6552" t="s" s="9">
        <v>14</v>
      </c>
      <c r="F6552" t="s" s="10">
        <v>14</v>
      </c>
      <c r="G6552" t="s" s="11">
        <v>14</v>
      </c>
      <c r="H6552" t="s" s="10">
        <v>14</v>
      </c>
      <c r="I6552" t="s" s="11">
        <v>14</v>
      </c>
      <c r="J6552" t="s" s="11">
        <v>14</v>
      </c>
      <c r="K6552" t="s" s="12">
        <v>14</v>
      </c>
      <c r="L6552" t="s" s="12">
        <v>14</v>
      </c>
      <c r="M6552" t="s" s="10">
        <v>14</v>
      </c>
      <c r="N6552" t="s" s="11">
        <v>14</v>
      </c>
      <c r="O6552" t="s" s="8">
        <v>14</v>
      </c>
      <c r="P6552" t="s" s="8">
        <v>14</v>
      </c>
      <c r="Q6552" t="s" s="12">
        <v>14</v>
      </c>
      <c r="R6552" t="s" s="12">
        <v>14</v>
      </c>
    </row>
    <row r="6553" s="2" customFormat="1" ht="13.5" customHeight="1">
      <c r="B6553" s="13"/>
      <c r="C6553" t="s" s="9">
        <v>16</v>
      </c>
      <c r="D6553" t="s" s="8">
        <v>2245</v>
      </c>
      <c r="E6553" t="s" s="9">
        <v>2246</v>
      </c>
      <c r="F6553" t="s" s="10">
        <v>187</v>
      </c>
      <c r="G6553" t="s" s="11">
        <v>187</v>
      </c>
      <c r="H6553" t="s" s="10">
        <v>187</v>
      </c>
      <c r="I6553" t="s" s="11">
        <v>187</v>
      </c>
      <c r="J6553" t="s" s="11">
        <v>20</v>
      </c>
      <c r="K6553" t="s" s="16">
        <f>HYPERLINK("http://csr.bu.edu/ftp/asl/asllvd/demos/verify_start_end_handshape_annotations//test_auto_move//signs_mov/16091.mov","MOV")</f>
        <v>21</v>
      </c>
      <c r="L6553" t="s" s="16">
        <f>HYPERLINK("http://csr.bu.edu/ftp/asl/asllvd/demos/verify_start_end_handshape_annotations//test_auto_move//signs_mov_separ_signers/Liz_16091.mov","MOV")</f>
        <v>21</v>
      </c>
      <c r="M6553" t="s" s="10">
        <v>36</v>
      </c>
      <c r="N6553" s="17">
        <v>52</v>
      </c>
      <c r="O6553" s="18">
        <v>1490</v>
      </c>
      <c r="P6553" s="18">
        <v>1530</v>
      </c>
      <c r="Q6553" t="s" s="16">
        <f>HYPERLINK("http://secrets.rutgers.edu:8080/data/asl-ftp/asllvd/demos/verify_start_end_handshape_annotations//test_auto_move//signs_mov/16091.mov","MOV")</f>
        <v>21</v>
      </c>
      <c r="R6553" t="s" s="16">
        <f>HYPERLINK("http://secrets.rutgers.edu:8080/data/asl-ftp/asllvd/demos/verify_start_end_handshape_annotations//test_auto_move//signs_mov_separ_signers/Liz_16091.mov","MOV")</f>
        <v>21</v>
      </c>
    </row>
    <row r="6554" s="2" customFormat="1" ht="13.5" customHeight="1">
      <c r="B6554" s="13"/>
      <c r="C6554" t="s" s="9">
        <v>30</v>
      </c>
      <c r="D6554" t="s" s="8">
        <v>2245</v>
      </c>
      <c r="E6554" t="s" s="9">
        <v>2246</v>
      </c>
      <c r="F6554" t="s" s="10">
        <v>72</v>
      </c>
      <c r="G6554" t="s" s="11">
        <v>72</v>
      </c>
      <c r="H6554" t="s" s="10">
        <v>72</v>
      </c>
      <c r="I6554" t="s" s="11">
        <v>72</v>
      </c>
      <c r="J6554" t="s" s="11">
        <v>20</v>
      </c>
      <c r="K6554" s="15"/>
      <c r="L6554" t="s" s="16">
        <f>HYPERLINK("http://csr.bu.edu/ftp/asl/asllvd/demos/verify_start_end_handshape_annotations//test_auto_move//signs_mov_separ_signers/Brady_16091.mov","MOV")</f>
        <v>21</v>
      </c>
      <c r="M6554" t="s" s="10">
        <v>40</v>
      </c>
      <c r="N6554" s="17">
        <v>103</v>
      </c>
      <c r="O6554" s="18">
        <v>3443</v>
      </c>
      <c r="P6554" s="18">
        <v>3473</v>
      </c>
      <c r="Q6554" s="15"/>
      <c r="R6554" t="s" s="16">
        <f>HYPERLINK("http://secrets.rutgers.edu:8080/data/asl-ftp/asllvd/demos/verify_start_end_handshape_annotations//test_auto_move//signs_mov_separ_signers/Brady_16091.mov","MOV")</f>
        <v>21</v>
      </c>
    </row>
    <row r="6555" s="2" customFormat="1" ht="13.5" customHeight="1">
      <c r="B6555" t="s" s="8">
        <v>2247</v>
      </c>
      <c r="C6555" t="s" s="9">
        <v>14</v>
      </c>
      <c r="D6555" t="s" s="8">
        <v>14</v>
      </c>
      <c r="E6555" t="s" s="9">
        <v>14</v>
      </c>
      <c r="F6555" t="s" s="10">
        <v>14</v>
      </c>
      <c r="G6555" t="s" s="11">
        <v>14</v>
      </c>
      <c r="H6555" t="s" s="10">
        <v>14</v>
      </c>
      <c r="I6555" t="s" s="11">
        <v>14</v>
      </c>
      <c r="J6555" t="s" s="11">
        <v>14</v>
      </c>
      <c r="K6555" t="s" s="12">
        <v>14</v>
      </c>
      <c r="L6555" t="s" s="12">
        <v>14</v>
      </c>
      <c r="M6555" t="s" s="10">
        <v>14</v>
      </c>
      <c r="N6555" t="s" s="11">
        <v>14</v>
      </c>
      <c r="O6555" t="s" s="8">
        <v>14</v>
      </c>
      <c r="P6555" t="s" s="8">
        <v>14</v>
      </c>
      <c r="Q6555" t="s" s="12">
        <v>14</v>
      </c>
      <c r="R6555" t="s" s="12">
        <v>14</v>
      </c>
    </row>
    <row r="6556" s="2" customFormat="1" ht="13.5" customHeight="1">
      <c r="B6556" s="13"/>
      <c r="C6556" t="s" s="9">
        <v>16</v>
      </c>
      <c r="D6556" t="s" s="8">
        <v>2247</v>
      </c>
      <c r="E6556" t="s" s="9">
        <v>2248</v>
      </c>
      <c r="F6556" s="19">
        <v>10</v>
      </c>
      <c r="G6556" t="s" s="11">
        <v>73</v>
      </c>
      <c r="H6556" s="19">
        <v>10</v>
      </c>
      <c r="I6556" t="s" s="11">
        <v>73</v>
      </c>
      <c r="J6556" t="s" s="11">
        <v>20</v>
      </c>
      <c r="K6556" s="15"/>
      <c r="L6556" t="s" s="16">
        <f>HYPERLINK("http://csr.bu.edu/ftp/asl/asllvd/demos/verify_start_end_handshape_annotations//test_auto_move//signs_mov_separ_signers/Liz_1474.mov","MOV")</f>
        <v>21</v>
      </c>
      <c r="M6556" t="s" s="10">
        <v>34</v>
      </c>
      <c r="N6556" s="17">
        <v>56</v>
      </c>
      <c r="O6556" s="18">
        <v>2380</v>
      </c>
      <c r="P6556" s="18">
        <v>2420</v>
      </c>
      <c r="Q6556" s="15"/>
      <c r="R6556" t="s" s="16">
        <f>HYPERLINK("http://secrets.rutgers.edu:8080/data/asl-ftp/asllvd/demos/verify_start_end_handshape_annotations//test_auto_move//signs_mov_separ_signers/Liz_1474.mov","MOV")</f>
        <v>21</v>
      </c>
    </row>
    <row r="6557" s="2" customFormat="1" ht="13.5" customHeight="1">
      <c r="B6557" s="13"/>
      <c r="C6557" t="s" s="9">
        <v>23</v>
      </c>
      <c r="D6557" t="s" s="8">
        <v>2247</v>
      </c>
      <c r="E6557" t="s" s="9">
        <v>2248</v>
      </c>
      <c r="F6557" t="s" s="10">
        <v>292</v>
      </c>
      <c r="G6557" t="s" s="11">
        <v>73</v>
      </c>
      <c r="H6557" t="s" s="10">
        <v>292</v>
      </c>
      <c r="I6557" t="s" s="11">
        <v>73</v>
      </c>
      <c r="J6557" t="s" s="11">
        <v>20</v>
      </c>
      <c r="K6557" s="15"/>
      <c r="L6557" t="s" s="16">
        <f>HYPERLINK("http://csr.bu.edu/ftp/asl/asllvd/demos/verify_start_end_handshape_annotations//test_auto_move//signs_mov_separ_signers/Tyler_1474.mov","MOV")</f>
        <v>21</v>
      </c>
      <c r="M6557" t="s" s="10">
        <v>47</v>
      </c>
      <c r="N6557" s="17">
        <v>8</v>
      </c>
      <c r="O6557" s="18">
        <v>1595</v>
      </c>
      <c r="P6557" s="18">
        <v>1652</v>
      </c>
      <c r="Q6557" s="15"/>
      <c r="R6557" t="s" s="16">
        <f>HYPERLINK("http://secrets.rutgers.edu:8080/data/asl-ftp/asllvd/demos/verify_start_end_handshape_annotations//test_auto_move//signs_mov_separ_signers/Tyler_1474.mov","MOV")</f>
        <v>21</v>
      </c>
    </row>
    <row r="6558" s="2" customFormat="1" ht="13.5" customHeight="1">
      <c r="B6558" s="13"/>
      <c r="C6558" t="s" s="9">
        <v>27</v>
      </c>
      <c r="D6558" t="s" s="8">
        <v>2247</v>
      </c>
      <c r="E6558" t="s" s="9">
        <v>2248</v>
      </c>
      <c r="F6558" t="s" s="10">
        <v>292</v>
      </c>
      <c r="G6558" t="s" s="11">
        <v>73</v>
      </c>
      <c r="H6558" t="s" s="10">
        <v>292</v>
      </c>
      <c r="I6558" t="s" s="11">
        <v>73</v>
      </c>
      <c r="J6558" t="s" s="11">
        <v>20</v>
      </c>
      <c r="K6558" t="s" s="16">
        <f>HYPERLINK("http://csr.bu.edu/ftp/asl/asllvd/demos/verify_start_end_handshape_annotations//test_auto_move//signs_mov/1474.mov","MOV")</f>
        <v>21</v>
      </c>
      <c r="L6558" t="s" s="16">
        <f>HYPERLINK("http://csr.bu.edu/ftp/asl/asllvd/demos/verify_start_end_handshape_annotations//test_auto_move//signs_mov_separ_signers/Naomi_1474.mov","MOV")</f>
        <v>21</v>
      </c>
      <c r="M6558" t="s" s="10">
        <v>48</v>
      </c>
      <c r="N6558" s="17">
        <v>11</v>
      </c>
      <c r="O6558" s="18">
        <v>2951</v>
      </c>
      <c r="P6558" s="18">
        <v>2985</v>
      </c>
      <c r="Q6558" t="s" s="16">
        <f>HYPERLINK("http://secrets.rutgers.edu:8080/data/asl-ftp/asllvd/demos/verify_start_end_handshape_annotations//test_auto_move//signs_mov/1474.mov","MOV")</f>
        <v>21</v>
      </c>
      <c r="R6558" t="s" s="16">
        <f>HYPERLINK("http://secrets.rutgers.edu:8080/data/asl-ftp/asllvd/demos/verify_start_end_handshape_annotations//test_auto_move//signs_mov_separ_signers/Naomi_1474.mov","MOV")</f>
        <v>21</v>
      </c>
    </row>
    <row r="6559" s="2" customFormat="1" ht="13.5" customHeight="1">
      <c r="B6559" s="13"/>
      <c r="C6559" t="s" s="9">
        <v>30</v>
      </c>
      <c r="D6559" t="s" s="8">
        <v>2247</v>
      </c>
      <c r="E6559" t="s" s="9">
        <v>2248</v>
      </c>
      <c r="F6559" t="s" s="10">
        <v>292</v>
      </c>
      <c r="G6559" t="s" s="11">
        <v>73</v>
      </c>
      <c r="H6559" t="s" s="10">
        <v>292</v>
      </c>
      <c r="I6559" t="s" s="11">
        <v>73</v>
      </c>
      <c r="J6559" t="s" s="11">
        <v>20</v>
      </c>
      <c r="K6559" s="15"/>
      <c r="L6559" t="s" s="16">
        <f>HYPERLINK("http://csr.bu.edu/ftp/asl/asllvd/demos/verify_start_end_handshape_annotations//test_auto_move//signs_mov_separ_signers/Brady_1474.mov","MOV")</f>
        <v>21</v>
      </c>
      <c r="M6559" t="s" s="10">
        <v>39</v>
      </c>
      <c r="N6559" s="17">
        <v>53</v>
      </c>
      <c r="O6559" s="18">
        <v>3482</v>
      </c>
      <c r="P6559" s="18">
        <v>3526</v>
      </c>
      <c r="Q6559" s="15"/>
      <c r="R6559" t="s" s="16">
        <f>HYPERLINK("http://secrets.rutgers.edu:8080/data/asl-ftp/asllvd/demos/verify_start_end_handshape_annotations//test_auto_move//signs_mov_separ_signers/Brady_1474.mov","MOV")</f>
        <v>21</v>
      </c>
    </row>
    <row r="6560" s="2" customFormat="1" ht="13.5" customHeight="1">
      <c r="B6560" s="13"/>
      <c r="C6560" t="s" s="9">
        <v>41</v>
      </c>
      <c r="D6560" t="s" s="8">
        <v>2247</v>
      </c>
      <c r="E6560" t="s" s="9">
        <v>2248</v>
      </c>
      <c r="F6560" s="19">
        <v>10</v>
      </c>
      <c r="G6560" t="s" s="11">
        <v>73</v>
      </c>
      <c r="H6560" s="19">
        <v>10</v>
      </c>
      <c r="I6560" t="s" s="11">
        <v>73</v>
      </c>
      <c r="J6560" t="s" s="11">
        <v>20</v>
      </c>
      <c r="K6560" s="15"/>
      <c r="L6560" t="s" s="16">
        <f>HYPERLINK("http://csr.bu.edu/ftp/asl/asllvd/demos/verify_start_end_handshape_annotations//test_auto_move//signs_mov_separ_signers/Lana_1474.mov","MOV")</f>
        <v>21</v>
      </c>
      <c r="M6560" t="s" s="10">
        <v>442</v>
      </c>
      <c r="N6560" s="17">
        <v>61</v>
      </c>
      <c r="O6560" s="18">
        <v>2184</v>
      </c>
      <c r="P6560" s="18">
        <v>2215</v>
      </c>
      <c r="Q6560" s="15"/>
      <c r="R6560" t="s" s="16">
        <f>HYPERLINK("http://secrets.rutgers.edu:8080/data/asl-ftp/asllvd/demos/verify_start_end_handshape_annotations//test_auto_move//signs_mov_separ_signers/Lana_1474.mov","MOV")</f>
        <v>21</v>
      </c>
    </row>
    <row r="6561" s="2" customFormat="1" ht="13.5" customHeight="1">
      <c r="B6561" t="s" s="8">
        <v>2249</v>
      </c>
      <c r="C6561" t="s" s="9">
        <v>14</v>
      </c>
      <c r="D6561" t="s" s="8">
        <v>14</v>
      </c>
      <c r="E6561" t="s" s="9">
        <v>14</v>
      </c>
      <c r="F6561" t="s" s="10">
        <v>14</v>
      </c>
      <c r="G6561" t="s" s="11">
        <v>14</v>
      </c>
      <c r="H6561" t="s" s="10">
        <v>14</v>
      </c>
      <c r="I6561" t="s" s="11">
        <v>14</v>
      </c>
      <c r="J6561" t="s" s="11">
        <v>14</v>
      </c>
      <c r="K6561" t="s" s="12">
        <v>14</v>
      </c>
      <c r="L6561" t="s" s="12">
        <v>14</v>
      </c>
      <c r="M6561" t="s" s="10">
        <v>14</v>
      </c>
      <c r="N6561" t="s" s="11">
        <v>14</v>
      </c>
      <c r="O6561" t="s" s="8">
        <v>14</v>
      </c>
      <c r="P6561" t="s" s="8">
        <v>14</v>
      </c>
      <c r="Q6561" t="s" s="12">
        <v>14</v>
      </c>
      <c r="R6561" t="s" s="12">
        <v>14</v>
      </c>
    </row>
    <row r="6562" s="2" customFormat="1" ht="13.5" customHeight="1">
      <c r="B6562" s="13"/>
      <c r="C6562" t="s" s="9">
        <v>16</v>
      </c>
      <c r="D6562" t="s" s="8">
        <v>2249</v>
      </c>
      <c r="E6562" t="s" s="9">
        <v>2249</v>
      </c>
      <c r="F6562" t="s" s="10">
        <v>68</v>
      </c>
      <c r="G6562" t="s" s="11">
        <v>68</v>
      </c>
      <c r="H6562" s="19">
        <v>5</v>
      </c>
      <c r="I6562" s="17">
        <v>5</v>
      </c>
      <c r="J6562" t="s" s="11">
        <v>20</v>
      </c>
      <c r="K6562" s="15"/>
      <c r="L6562" t="s" s="16">
        <f>HYPERLINK("http://csr.bu.edu/ftp/asl/asllvd/demos/verify_start_end_handshape_annotations//test_auto_move//signs_mov_separ_signers/Liz_1475.mov","MOV")</f>
        <v>21</v>
      </c>
      <c r="M6562" t="s" s="10">
        <v>34</v>
      </c>
      <c r="N6562" s="17">
        <v>56</v>
      </c>
      <c r="O6562" s="18">
        <v>2675</v>
      </c>
      <c r="P6562" s="18">
        <v>2707</v>
      </c>
      <c r="Q6562" s="15"/>
      <c r="R6562" t="s" s="16">
        <f>HYPERLINK("http://secrets.rutgers.edu:8080/data/asl-ftp/asllvd/demos/verify_start_end_handshape_annotations//test_auto_move//signs_mov_separ_signers/Liz_1475.mov","MOV")</f>
        <v>21</v>
      </c>
    </row>
    <row r="6563" s="2" customFormat="1" ht="13.5" customHeight="1">
      <c r="B6563" s="13"/>
      <c r="C6563" t="s" s="9">
        <v>23</v>
      </c>
      <c r="D6563" t="s" s="8">
        <v>2249</v>
      </c>
      <c r="E6563" t="s" s="9">
        <v>2249</v>
      </c>
      <c r="F6563" t="s" s="10">
        <v>68</v>
      </c>
      <c r="G6563" t="s" s="11">
        <v>68</v>
      </c>
      <c r="H6563" s="19">
        <v>5</v>
      </c>
      <c r="I6563" s="17">
        <v>5</v>
      </c>
      <c r="J6563" t="s" s="11">
        <v>20</v>
      </c>
      <c r="K6563" t="s" s="16">
        <f>HYPERLINK("http://csr.bu.edu/ftp/asl/asllvd/demos/verify_start_end_handshape_annotations//test_auto_move//signs_mov/1475.mov","MOV")</f>
        <v>21</v>
      </c>
      <c r="L6563" t="s" s="16">
        <f>HYPERLINK("http://csr.bu.edu/ftp/asl/asllvd/demos/verify_start_end_handshape_annotations//test_auto_move//signs_mov_separ_signers/Tyler_1475.mov","MOV")</f>
        <v>21</v>
      </c>
      <c r="M6563" t="s" s="10">
        <v>47</v>
      </c>
      <c r="N6563" s="17">
        <v>8</v>
      </c>
      <c r="O6563" s="18">
        <v>1788</v>
      </c>
      <c r="P6563" s="18">
        <v>1818</v>
      </c>
      <c r="Q6563" t="s" s="16">
        <f>HYPERLINK("http://secrets.rutgers.edu:8080/data/asl-ftp/asllvd/demos/verify_start_end_handshape_annotations//test_auto_move//signs_mov/1475.mov","MOV")</f>
        <v>21</v>
      </c>
      <c r="R6563" t="s" s="16">
        <f>HYPERLINK("http://secrets.rutgers.edu:8080/data/asl-ftp/asllvd/demos/verify_start_end_handshape_annotations//test_auto_move//signs_mov_separ_signers/Tyler_1475.mov","MOV")</f>
        <v>21</v>
      </c>
    </row>
    <row r="6564" s="2" customFormat="1" ht="13.5" customHeight="1">
      <c r="B6564" s="13"/>
      <c r="C6564" t="s" s="9">
        <v>27</v>
      </c>
      <c r="D6564" t="s" s="8">
        <v>2249</v>
      </c>
      <c r="E6564" t="s" s="9">
        <v>2249</v>
      </c>
      <c r="F6564" t="s" s="10">
        <v>63</v>
      </c>
      <c r="G6564" t="s" s="11">
        <v>63</v>
      </c>
      <c r="H6564" s="19">
        <v>5</v>
      </c>
      <c r="I6564" s="17">
        <v>5</v>
      </c>
      <c r="J6564" t="s" s="11">
        <v>20</v>
      </c>
      <c r="K6564" s="15"/>
      <c r="L6564" t="s" s="16">
        <f>HYPERLINK("http://csr.bu.edu/ftp/asl/asllvd/demos/verify_start_end_handshape_annotations//test_auto_move//signs_mov_separ_signers/Naomi_1475.mov","MOV")</f>
        <v>21</v>
      </c>
      <c r="M6564" t="s" s="10">
        <v>48</v>
      </c>
      <c r="N6564" s="17">
        <v>11</v>
      </c>
      <c r="O6564" s="18">
        <v>3360</v>
      </c>
      <c r="P6564" s="18">
        <v>3396</v>
      </c>
      <c r="Q6564" s="15"/>
      <c r="R6564" t="s" s="16">
        <f>HYPERLINK("http://secrets.rutgers.edu:8080/data/asl-ftp/asllvd/demos/verify_start_end_handshape_annotations//test_auto_move//signs_mov_separ_signers/Naomi_1475.mov","MOV")</f>
        <v>21</v>
      </c>
    </row>
    <row r="6565" s="2" customFormat="1" ht="13.5" customHeight="1">
      <c r="B6565" s="13"/>
      <c r="C6565" t="s" s="9">
        <v>30</v>
      </c>
      <c r="D6565" t="s" s="8">
        <v>2249</v>
      </c>
      <c r="E6565" t="s" s="9">
        <v>2249</v>
      </c>
      <c r="F6565" t="s" s="10">
        <v>68</v>
      </c>
      <c r="G6565" t="s" s="11">
        <v>68</v>
      </c>
      <c r="H6565" s="19">
        <v>5</v>
      </c>
      <c r="I6565" s="17">
        <v>5</v>
      </c>
      <c r="J6565" t="s" s="11">
        <v>20</v>
      </c>
      <c r="K6565" s="15"/>
      <c r="L6565" t="s" s="16">
        <f>HYPERLINK("http://csr.bu.edu/ftp/asl/asllvd/demos/verify_start_end_handshape_annotations//test_auto_move//signs_mov_separ_signers/Brady_1475.mov","MOV")</f>
        <v>21</v>
      </c>
      <c r="M6565" t="s" s="10">
        <v>39</v>
      </c>
      <c r="N6565" s="17">
        <v>53</v>
      </c>
      <c r="O6565" s="18">
        <v>3735</v>
      </c>
      <c r="P6565" s="18">
        <v>3748</v>
      </c>
      <c r="Q6565" s="15"/>
      <c r="R6565" t="s" s="16">
        <f>HYPERLINK("http://secrets.rutgers.edu:8080/data/asl-ftp/asllvd/demos/verify_start_end_handshape_annotations//test_auto_move//signs_mov_separ_signers/Brady_1475.mov","MOV")</f>
        <v>21</v>
      </c>
    </row>
    <row r="6566" s="2" customFormat="1" ht="13.5" customHeight="1">
      <c r="B6566" t="s" s="8">
        <v>2250</v>
      </c>
      <c r="C6566" t="s" s="9">
        <v>14</v>
      </c>
      <c r="D6566" t="s" s="8">
        <v>14</v>
      </c>
      <c r="E6566" t="s" s="9">
        <v>14</v>
      </c>
      <c r="F6566" t="s" s="10">
        <v>14</v>
      </c>
      <c r="G6566" t="s" s="11">
        <v>14</v>
      </c>
      <c r="H6566" t="s" s="10">
        <v>14</v>
      </c>
      <c r="I6566" t="s" s="11">
        <v>14</v>
      </c>
      <c r="J6566" t="s" s="11">
        <v>14</v>
      </c>
      <c r="K6566" t="s" s="12">
        <v>14</v>
      </c>
      <c r="L6566" t="s" s="12">
        <v>14</v>
      </c>
      <c r="M6566" t="s" s="10">
        <v>14</v>
      </c>
      <c r="N6566" t="s" s="11">
        <v>14</v>
      </c>
      <c r="O6566" t="s" s="8">
        <v>14</v>
      </c>
      <c r="P6566" t="s" s="8">
        <v>14</v>
      </c>
      <c r="Q6566" t="s" s="12">
        <v>14</v>
      </c>
      <c r="R6566" t="s" s="12">
        <v>14</v>
      </c>
    </row>
    <row r="6567" s="2" customFormat="1" ht="13.5" customHeight="1">
      <c r="B6567" s="13"/>
      <c r="C6567" t="s" s="9">
        <v>16</v>
      </c>
      <c r="D6567" t="s" s="8">
        <v>2250</v>
      </c>
      <c r="E6567" t="s" s="9">
        <v>2250</v>
      </c>
      <c r="F6567" t="s" s="10">
        <v>148</v>
      </c>
      <c r="G6567" t="s" s="11">
        <v>119</v>
      </c>
      <c r="H6567" t="s" s="10">
        <v>119</v>
      </c>
      <c r="I6567" t="s" s="11">
        <v>119</v>
      </c>
      <c r="J6567" t="s" s="11">
        <v>20</v>
      </c>
      <c r="K6567" t="s" s="16">
        <f>HYPERLINK("http://csr.bu.edu/ftp/asl/asllvd/demos/verify_start_end_handshape_annotations//test_auto_move//signs_mov/1476.mov","MOV")</f>
        <v>21</v>
      </c>
      <c r="L6567" t="s" s="16">
        <f>HYPERLINK("http://csr.bu.edu/ftp/asl/asllvd/demos/verify_start_end_handshape_annotations//test_auto_move//signs_mov_separ_signers/Liz_1476.mov","MOV")</f>
        <v>21</v>
      </c>
      <c r="M6567" t="s" s="10">
        <v>34</v>
      </c>
      <c r="N6567" s="17">
        <v>56</v>
      </c>
      <c r="O6567" s="18">
        <v>3085</v>
      </c>
      <c r="P6567" s="18">
        <v>3126</v>
      </c>
      <c r="Q6567" t="s" s="16">
        <f>HYPERLINK("http://secrets.rutgers.edu:8080/data/asl-ftp/asllvd/demos/verify_start_end_handshape_annotations//test_auto_move//signs_mov/1476.mov","MOV")</f>
        <v>21</v>
      </c>
      <c r="R6567" t="s" s="16">
        <f>HYPERLINK("http://secrets.rutgers.edu:8080/data/asl-ftp/asllvd/demos/verify_start_end_handshape_annotations//test_auto_move//signs_mov_separ_signers/Liz_1476.mov","MOV")</f>
        <v>21</v>
      </c>
    </row>
    <row r="6568" s="2" customFormat="1" ht="13.5" customHeight="1">
      <c r="B6568" s="13"/>
      <c r="C6568" t="s" s="9">
        <v>27</v>
      </c>
      <c r="D6568" t="s" s="8">
        <v>2250</v>
      </c>
      <c r="E6568" t="s" s="9">
        <v>2250</v>
      </c>
      <c r="F6568" t="s" s="10">
        <v>148</v>
      </c>
      <c r="G6568" t="s" s="11">
        <v>109</v>
      </c>
      <c r="H6568" t="s" s="10">
        <v>119</v>
      </c>
      <c r="I6568" t="s" s="11">
        <v>109</v>
      </c>
      <c r="J6568" t="s" s="11">
        <v>20</v>
      </c>
      <c r="K6568" s="15"/>
      <c r="L6568" t="s" s="16">
        <f>HYPERLINK("http://csr.bu.edu/ftp/asl/asllvd/demos/verify_start_end_handshape_annotations//test_auto_move//signs_mov_separ_signers/Naomi_1476.mov","MOV")</f>
        <v>21</v>
      </c>
      <c r="M6568" t="s" s="10">
        <v>48</v>
      </c>
      <c r="N6568" s="17">
        <v>11</v>
      </c>
      <c r="O6568" s="18">
        <v>3680</v>
      </c>
      <c r="P6568" s="18">
        <v>3710</v>
      </c>
      <c r="Q6568" s="15"/>
      <c r="R6568" t="s" s="16">
        <f>HYPERLINK("http://secrets.rutgers.edu:8080/data/asl-ftp/asllvd/demos/verify_start_end_handshape_annotations//test_auto_move//signs_mov_separ_signers/Naomi_1476.mov","MOV")</f>
        <v>21</v>
      </c>
    </row>
    <row r="6569" s="2" customFormat="1" ht="13.5" customHeight="1">
      <c r="B6569" t="s" s="8">
        <v>2250</v>
      </c>
      <c r="C6569" t="s" s="9">
        <v>14</v>
      </c>
      <c r="D6569" t="s" s="8">
        <v>14</v>
      </c>
      <c r="E6569" t="s" s="9">
        <v>14</v>
      </c>
      <c r="F6569" t="s" s="10">
        <v>14</v>
      </c>
      <c r="G6569" t="s" s="11">
        <v>14</v>
      </c>
      <c r="H6569" t="s" s="10">
        <v>14</v>
      </c>
      <c r="I6569" t="s" s="11">
        <v>14</v>
      </c>
      <c r="J6569" t="s" s="11">
        <v>14</v>
      </c>
      <c r="K6569" t="s" s="12">
        <v>14</v>
      </c>
      <c r="L6569" t="s" s="12">
        <v>14</v>
      </c>
      <c r="M6569" t="s" s="10">
        <v>14</v>
      </c>
      <c r="N6569" t="s" s="11">
        <v>14</v>
      </c>
      <c r="O6569" t="s" s="8">
        <v>14</v>
      </c>
      <c r="P6569" t="s" s="8">
        <v>14</v>
      </c>
      <c r="Q6569" t="s" s="12">
        <v>14</v>
      </c>
      <c r="R6569" t="s" s="12">
        <v>14</v>
      </c>
    </row>
    <row r="6570" s="2" customFormat="1" ht="13.5" customHeight="1">
      <c r="B6570" s="13"/>
      <c r="C6570" t="s" s="9">
        <v>30</v>
      </c>
      <c r="D6570" t="s" s="8">
        <v>2251</v>
      </c>
      <c r="E6570" t="s" s="9">
        <v>2252</v>
      </c>
      <c r="F6570" s="19">
        <v>8</v>
      </c>
      <c r="G6570" s="17">
        <v>8</v>
      </c>
      <c r="H6570" s="19">
        <v>8</v>
      </c>
      <c r="I6570" s="17">
        <v>8</v>
      </c>
      <c r="J6570" t="s" s="11">
        <v>20</v>
      </c>
      <c r="K6570" t="s" s="16">
        <f>HYPERLINK("http://csr.bu.edu/ftp/asl/asllvd/demos/verify_start_end_handshape_annotations//test_auto_move//signs_mov/5251.mov","MOV")</f>
        <v>21</v>
      </c>
      <c r="L6570" t="s" s="16">
        <f>HYPERLINK("http://csr.bu.edu/ftp/asl/asllvd/demos/verify_start_end_handshape_annotations//test_auto_move//signs_mov_separ_signers/Brady_5251.mov","MOV")</f>
        <v>21</v>
      </c>
      <c r="M6570" t="s" s="10">
        <v>39</v>
      </c>
      <c r="N6570" s="17">
        <v>53</v>
      </c>
      <c r="O6570" s="18">
        <v>4166</v>
      </c>
      <c r="P6570" s="18">
        <v>4200</v>
      </c>
      <c r="Q6570" t="s" s="16">
        <f>HYPERLINK("http://secrets.rutgers.edu:8080/data/asl-ftp/asllvd/demos/verify_start_end_handshape_annotations//test_auto_move//signs_mov/5251.mov","MOV")</f>
        <v>21</v>
      </c>
      <c r="R6570" t="s" s="16">
        <f>HYPERLINK("http://secrets.rutgers.edu:8080/data/asl-ftp/asllvd/demos/verify_start_end_handshape_annotations//test_auto_move//signs_mov_separ_signers/Brady_5251.mov","MOV")</f>
        <v>21</v>
      </c>
    </row>
    <row r="6571" s="2" customFormat="1" ht="13.5" customHeight="1">
      <c r="B6571" t="s" s="8">
        <v>2250</v>
      </c>
      <c r="C6571" t="s" s="9">
        <v>14</v>
      </c>
      <c r="D6571" t="s" s="8">
        <v>14</v>
      </c>
      <c r="E6571" t="s" s="9">
        <v>14</v>
      </c>
      <c r="F6571" t="s" s="10">
        <v>14</v>
      </c>
      <c r="G6571" t="s" s="11">
        <v>14</v>
      </c>
      <c r="H6571" t="s" s="10">
        <v>14</v>
      </c>
      <c r="I6571" t="s" s="11">
        <v>14</v>
      </c>
      <c r="J6571" t="s" s="11">
        <v>14</v>
      </c>
      <c r="K6571" t="s" s="12">
        <v>14</v>
      </c>
      <c r="L6571" t="s" s="12">
        <v>14</v>
      </c>
      <c r="M6571" t="s" s="10">
        <v>14</v>
      </c>
      <c r="N6571" t="s" s="11">
        <v>14</v>
      </c>
      <c r="O6571" t="s" s="8">
        <v>14</v>
      </c>
      <c r="P6571" t="s" s="8">
        <v>14</v>
      </c>
      <c r="Q6571" t="s" s="12">
        <v>14</v>
      </c>
      <c r="R6571" t="s" s="12">
        <v>14</v>
      </c>
    </row>
    <row r="6572" s="2" customFormat="1" ht="13.5" customHeight="1">
      <c r="B6572" s="13"/>
      <c r="C6572" t="s" s="9">
        <v>23</v>
      </c>
      <c r="D6572" t="s" s="8">
        <v>2253</v>
      </c>
      <c r="E6572" t="s" s="9">
        <v>2253</v>
      </c>
      <c r="F6572" s="19">
        <v>5</v>
      </c>
      <c r="G6572" t="s" s="11">
        <v>73</v>
      </c>
      <c r="H6572" s="19">
        <v>8</v>
      </c>
      <c r="I6572" t="s" s="11">
        <v>73</v>
      </c>
      <c r="J6572" t="s" s="11">
        <v>20</v>
      </c>
      <c r="K6572" t="s" s="16">
        <f>HYPERLINK("http://csr.bu.edu/ftp/asl/asllvd/demos/verify_start_end_handshape_annotations//test_auto_move//signs_mov/5665.mov","MOV")</f>
        <v>21</v>
      </c>
      <c r="L6572" t="s" s="16">
        <f>HYPERLINK("http://csr.bu.edu/ftp/asl/asllvd/demos/verify_start_end_handshape_annotations//test_auto_move//signs_mov_separ_signers/Tyler_5665.mov","MOV")</f>
        <v>21</v>
      </c>
      <c r="M6572" t="s" s="10">
        <v>47</v>
      </c>
      <c r="N6572" s="17">
        <v>8</v>
      </c>
      <c r="O6572" s="18">
        <v>2057</v>
      </c>
      <c r="P6572" s="18">
        <v>2095</v>
      </c>
      <c r="Q6572" t="s" s="16">
        <f>HYPERLINK("http://secrets.rutgers.edu:8080/data/asl-ftp/asllvd/demos/verify_start_end_handshape_annotations//test_auto_move//signs_mov/5665.mov","MOV")</f>
        <v>21</v>
      </c>
      <c r="R6572" t="s" s="16">
        <f>HYPERLINK("http://secrets.rutgers.edu:8080/data/asl-ftp/asllvd/demos/verify_start_end_handshape_annotations//test_auto_move//signs_mov_separ_signers/Tyler_5665.mov","MOV")</f>
        <v>21</v>
      </c>
    </row>
    <row r="6573" s="2" customFormat="1" ht="13.5" customHeight="1">
      <c r="B6573" t="s" s="8">
        <v>2254</v>
      </c>
      <c r="C6573" t="s" s="9">
        <v>14</v>
      </c>
      <c r="D6573" t="s" s="8">
        <v>14</v>
      </c>
      <c r="E6573" t="s" s="9">
        <v>14</v>
      </c>
      <c r="F6573" t="s" s="10">
        <v>14</v>
      </c>
      <c r="G6573" t="s" s="11">
        <v>14</v>
      </c>
      <c r="H6573" t="s" s="10">
        <v>14</v>
      </c>
      <c r="I6573" t="s" s="11">
        <v>14</v>
      </c>
      <c r="J6573" t="s" s="11">
        <v>14</v>
      </c>
      <c r="K6573" t="s" s="12">
        <v>14</v>
      </c>
      <c r="L6573" t="s" s="12">
        <v>14</v>
      </c>
      <c r="M6573" t="s" s="10">
        <v>14</v>
      </c>
      <c r="N6573" t="s" s="11">
        <v>14</v>
      </c>
      <c r="O6573" t="s" s="8">
        <v>14</v>
      </c>
      <c r="P6573" t="s" s="8">
        <v>14</v>
      </c>
      <c r="Q6573" t="s" s="12">
        <v>14</v>
      </c>
      <c r="R6573" t="s" s="12">
        <v>14</v>
      </c>
    </row>
    <row r="6574" s="2" customFormat="1" ht="13.5" customHeight="1">
      <c r="B6574" s="13"/>
      <c r="C6574" t="s" s="9">
        <v>16</v>
      </c>
      <c r="D6574" t="s" s="8">
        <v>2254</v>
      </c>
      <c r="E6574" t="s" s="9">
        <v>2254</v>
      </c>
      <c r="F6574" s="19">
        <v>1</v>
      </c>
      <c r="G6574" s="17">
        <v>1</v>
      </c>
      <c r="H6574" s="19">
        <v>1</v>
      </c>
      <c r="I6574" s="17">
        <v>1</v>
      </c>
      <c r="J6574" t="s" s="11">
        <v>20</v>
      </c>
      <c r="K6574" s="15"/>
      <c r="L6574" t="s" s="16">
        <f>HYPERLINK("http://csr.bu.edu/ftp/asl/asllvd/demos/verify_start_end_handshape_annotations//test_auto_move//signs_mov_separ_signers/Liz_1479.mov","MOV")</f>
        <v>21</v>
      </c>
      <c r="M6574" t="s" s="10">
        <v>34</v>
      </c>
      <c r="N6574" s="17">
        <v>56</v>
      </c>
      <c r="O6574" s="18">
        <v>3990</v>
      </c>
      <c r="P6574" s="18">
        <v>4035</v>
      </c>
      <c r="Q6574" s="15"/>
      <c r="R6574" t="s" s="16">
        <f>HYPERLINK("http://secrets.rutgers.edu:8080/data/asl-ftp/asllvd/demos/verify_start_end_handshape_annotations//test_auto_move//signs_mov_separ_signers/Liz_1479.mov","MOV")</f>
        <v>21</v>
      </c>
    </row>
    <row r="6575" s="2" customFormat="1" ht="13.5" customHeight="1">
      <c r="B6575" s="13"/>
      <c r="C6575" t="s" s="9">
        <v>27</v>
      </c>
      <c r="D6575" t="s" s="8">
        <v>2254</v>
      </c>
      <c r="E6575" t="s" s="9">
        <v>2254</v>
      </c>
      <c r="F6575" s="19">
        <v>1</v>
      </c>
      <c r="G6575" s="17">
        <v>1</v>
      </c>
      <c r="H6575" s="19">
        <v>1</v>
      </c>
      <c r="I6575" s="17">
        <v>1</v>
      </c>
      <c r="J6575" t="s" s="11">
        <v>20</v>
      </c>
      <c r="K6575" t="s" s="16">
        <f>HYPERLINK("http://csr.bu.edu/ftp/asl/asllvd/demos/verify_start_end_handshape_annotations//test_auto_move//signs_mov/1479.mov","MOV")</f>
        <v>21</v>
      </c>
      <c r="L6575" t="s" s="16">
        <f>HYPERLINK("http://csr.bu.edu/ftp/asl/asllvd/demos/verify_start_end_handshape_annotations//test_auto_move//signs_mov_separ_signers/Naomi_1479.mov","MOV")</f>
        <v>21</v>
      </c>
      <c r="M6575" t="s" s="10">
        <v>48</v>
      </c>
      <c r="N6575" s="17">
        <v>11</v>
      </c>
      <c r="O6575" s="18">
        <v>4585</v>
      </c>
      <c r="P6575" s="18">
        <v>4612</v>
      </c>
      <c r="Q6575" t="s" s="16">
        <f>HYPERLINK("http://secrets.rutgers.edu:8080/data/asl-ftp/asllvd/demos/verify_start_end_handshape_annotations//test_auto_move//signs_mov/1479.mov","MOV")</f>
        <v>21</v>
      </c>
      <c r="R6575" t="s" s="16">
        <f>HYPERLINK("http://secrets.rutgers.edu:8080/data/asl-ftp/asllvd/demos/verify_start_end_handshape_annotations//test_auto_move//signs_mov_separ_signers/Naomi_1479.mov","MOV")</f>
        <v>21</v>
      </c>
    </row>
    <row r="6576" s="2" customFormat="1" ht="13.5" customHeight="1">
      <c r="B6576" s="13"/>
      <c r="C6576" t="s" s="9">
        <v>30</v>
      </c>
      <c r="D6576" t="s" s="8">
        <v>2254</v>
      </c>
      <c r="E6576" t="s" s="9">
        <v>2254</v>
      </c>
      <c r="F6576" s="19">
        <v>1</v>
      </c>
      <c r="G6576" s="17">
        <v>1</v>
      </c>
      <c r="H6576" s="19">
        <v>1</v>
      </c>
      <c r="I6576" s="17">
        <v>1</v>
      </c>
      <c r="J6576" t="s" s="11">
        <v>20</v>
      </c>
      <c r="K6576" s="15"/>
      <c r="L6576" t="s" s="16">
        <f>HYPERLINK("http://csr.bu.edu/ftp/asl/asllvd/demos/verify_start_end_handshape_annotations//test_auto_move//signs_mov_separ_signers/Brady_1479.mov","MOV")</f>
        <v>21</v>
      </c>
      <c r="M6576" t="s" s="10">
        <v>39</v>
      </c>
      <c r="N6576" s="17">
        <v>53</v>
      </c>
      <c r="O6576" s="18">
        <v>4916</v>
      </c>
      <c r="P6576" s="18">
        <v>4946</v>
      </c>
      <c r="Q6576" s="15"/>
      <c r="R6576" t="s" s="16">
        <f>HYPERLINK("http://secrets.rutgers.edu:8080/data/asl-ftp/asllvd/demos/verify_start_end_handshape_annotations//test_auto_move//signs_mov_separ_signers/Brady_1479.mov","MOV")</f>
        <v>21</v>
      </c>
    </row>
    <row r="6577" s="2" customFormat="1" ht="13.5" customHeight="1">
      <c r="B6577" t="s" s="8">
        <v>52</v>
      </c>
      <c r="C6577" t="s" s="9">
        <v>53</v>
      </c>
      <c r="D6577" t="s" s="8">
        <v>53</v>
      </c>
      <c r="E6577" t="s" s="9">
        <v>53</v>
      </c>
      <c r="F6577" t="s" s="10">
        <v>53</v>
      </c>
      <c r="G6577" t="s" s="11">
        <v>53</v>
      </c>
      <c r="H6577" t="s" s="10">
        <v>53</v>
      </c>
      <c r="I6577" t="s" s="11">
        <v>53</v>
      </c>
      <c r="J6577" t="s" s="11">
        <v>53</v>
      </c>
      <c r="K6577" t="s" s="12">
        <v>53</v>
      </c>
      <c r="L6577" t="s" s="12">
        <v>53</v>
      </c>
      <c r="M6577" t="s" s="10">
        <v>53</v>
      </c>
      <c r="N6577" t="s" s="11">
        <v>53</v>
      </c>
      <c r="O6577" t="s" s="8">
        <v>53</v>
      </c>
      <c r="P6577" t="s" s="8">
        <v>53</v>
      </c>
      <c r="Q6577" t="s" s="12">
        <v>53</v>
      </c>
      <c r="R6577" t="s" s="12">
        <v>53</v>
      </c>
    </row>
    <row r="6578" s="2" customFormat="1" ht="13.5" customHeight="1">
      <c r="B6578" s="13"/>
      <c r="C6578" t="s" s="9">
        <v>30</v>
      </c>
      <c r="D6578" t="s" s="8">
        <v>2254</v>
      </c>
      <c r="E6578" t="s" s="9">
        <v>2255</v>
      </c>
      <c r="F6578" t="s" s="10">
        <v>152</v>
      </c>
      <c r="G6578" s="17">
        <v>1</v>
      </c>
      <c r="H6578" t="s" s="10">
        <v>152</v>
      </c>
      <c r="I6578" s="17">
        <v>1</v>
      </c>
      <c r="J6578" t="s" s="11">
        <v>20</v>
      </c>
      <c r="K6578" t="s" s="16">
        <f>HYPERLINK("http://csr.bu.edu/ftp/asl/asllvd/demos/verify_start_end_handshape_annotations//test_auto_move//signs_mov/5252.mov","MOV")</f>
        <v>21</v>
      </c>
      <c r="L6578" t="s" s="16">
        <f>HYPERLINK("http://csr.bu.edu/ftp/asl/asllvd/demos/verify_start_end_handshape_annotations//test_auto_move//signs_mov_separ_signers/Brady_5252.mov","MOV")</f>
        <v>21</v>
      </c>
      <c r="M6578" t="s" s="10">
        <v>40</v>
      </c>
      <c r="N6578" s="17">
        <v>44</v>
      </c>
      <c r="O6578" s="18">
        <v>584</v>
      </c>
      <c r="P6578" s="18">
        <v>609</v>
      </c>
      <c r="Q6578" t="s" s="16">
        <f>HYPERLINK("http://secrets.rutgers.edu:8080/data/asl-ftp/asllvd/demos/verify_start_end_handshape_annotations//test_auto_move//signs_mov/5252.mov","MOV")</f>
        <v>21</v>
      </c>
      <c r="R6578" t="s" s="16">
        <f>HYPERLINK("http://secrets.rutgers.edu:8080/data/asl-ftp/asllvd/demos/verify_start_end_handshape_annotations//test_auto_move//signs_mov_separ_signers/Brady_5252.mov","MOV")</f>
        <v>21</v>
      </c>
    </row>
    <row r="6579" s="2" customFormat="1" ht="13.5" customHeight="1">
      <c r="B6579" t="s" s="8">
        <v>52</v>
      </c>
      <c r="C6579" t="s" s="9">
        <v>53</v>
      </c>
      <c r="D6579" t="s" s="8">
        <v>53</v>
      </c>
      <c r="E6579" t="s" s="9">
        <v>53</v>
      </c>
      <c r="F6579" t="s" s="10">
        <v>53</v>
      </c>
      <c r="G6579" t="s" s="11">
        <v>53</v>
      </c>
      <c r="H6579" t="s" s="10">
        <v>53</v>
      </c>
      <c r="I6579" t="s" s="11">
        <v>53</v>
      </c>
      <c r="J6579" t="s" s="11">
        <v>53</v>
      </c>
      <c r="K6579" t="s" s="12">
        <v>53</v>
      </c>
      <c r="L6579" t="s" s="12">
        <v>53</v>
      </c>
      <c r="M6579" t="s" s="10">
        <v>53</v>
      </c>
      <c r="N6579" t="s" s="11">
        <v>53</v>
      </c>
      <c r="O6579" t="s" s="8">
        <v>53</v>
      </c>
      <c r="P6579" t="s" s="8">
        <v>53</v>
      </c>
      <c r="Q6579" t="s" s="12">
        <v>53</v>
      </c>
      <c r="R6579" t="s" s="12">
        <v>53</v>
      </c>
    </row>
    <row r="6580" s="2" customFormat="1" ht="13.5" customHeight="1">
      <c r="B6580" s="13"/>
      <c r="C6580" t="s" s="9">
        <v>23</v>
      </c>
      <c r="D6580" t="s" s="8">
        <v>2254</v>
      </c>
      <c r="E6580" t="s" s="9">
        <v>2256</v>
      </c>
      <c r="F6580" s="19">
        <v>1</v>
      </c>
      <c r="G6580" t="s" s="11">
        <v>152</v>
      </c>
      <c r="H6580" s="19">
        <v>1</v>
      </c>
      <c r="I6580" t="s" s="11">
        <v>152</v>
      </c>
      <c r="J6580" t="s" s="11">
        <v>20</v>
      </c>
      <c r="K6580" t="s" s="16">
        <f>HYPERLINK("http://csr.bu.edu/ftp/asl/asllvd/demos/verify_start_end_handshape_annotations//test_auto_move//signs_mov/15431.mov","MOV")</f>
        <v>21</v>
      </c>
      <c r="L6580" t="s" s="16">
        <f>HYPERLINK("http://csr.bu.edu/ftp/asl/asllvd/demos/verify_start_end_handshape_annotations//test_auto_move//signs_mov_separ_signers/Tyler_15431.mov","MOV")</f>
        <v>21</v>
      </c>
      <c r="M6580" t="s" s="10">
        <v>47</v>
      </c>
      <c r="N6580" s="17">
        <v>8</v>
      </c>
      <c r="O6580" s="18">
        <v>2890</v>
      </c>
      <c r="P6580" s="18">
        <v>2930</v>
      </c>
      <c r="Q6580" t="s" s="16">
        <f>HYPERLINK("http://secrets.rutgers.edu:8080/data/asl-ftp/asllvd/demos/verify_start_end_handshape_annotations//test_auto_move//signs_mov/15431.mov","MOV")</f>
        <v>21</v>
      </c>
      <c r="R6580" t="s" s="16">
        <f>HYPERLINK("http://secrets.rutgers.edu:8080/data/asl-ftp/asllvd/demos/verify_start_end_handshape_annotations//test_auto_move//signs_mov_separ_signers/Tyler_15431.mov","MOV")</f>
        <v>21</v>
      </c>
    </row>
    <row r="6581" s="2" customFormat="1" ht="13.5" customHeight="1">
      <c r="B6581" t="s" s="8">
        <v>2257</v>
      </c>
      <c r="C6581" t="s" s="9">
        <v>14</v>
      </c>
      <c r="D6581" t="s" s="8">
        <v>14</v>
      </c>
      <c r="E6581" t="s" s="9">
        <v>14</v>
      </c>
      <c r="F6581" t="s" s="10">
        <v>14</v>
      </c>
      <c r="G6581" t="s" s="11">
        <v>14</v>
      </c>
      <c r="H6581" t="s" s="10">
        <v>14</v>
      </c>
      <c r="I6581" t="s" s="11">
        <v>14</v>
      </c>
      <c r="J6581" t="s" s="11">
        <v>14</v>
      </c>
      <c r="K6581" t="s" s="12">
        <v>14</v>
      </c>
      <c r="L6581" t="s" s="12">
        <v>14</v>
      </c>
      <c r="M6581" t="s" s="10">
        <v>14</v>
      </c>
      <c r="N6581" t="s" s="11">
        <v>14</v>
      </c>
      <c r="O6581" t="s" s="8">
        <v>14</v>
      </c>
      <c r="P6581" t="s" s="8">
        <v>14</v>
      </c>
      <c r="Q6581" t="s" s="12">
        <v>14</v>
      </c>
      <c r="R6581" t="s" s="12">
        <v>14</v>
      </c>
    </row>
    <row r="6582" s="2" customFormat="1" ht="13.5" customHeight="1">
      <c r="B6582" s="13"/>
      <c r="C6582" t="s" s="9">
        <v>16</v>
      </c>
      <c r="D6582" t="s" s="8">
        <v>2257</v>
      </c>
      <c r="E6582" t="s" s="9">
        <v>2257</v>
      </c>
      <c r="F6582" t="s" s="10">
        <v>73</v>
      </c>
      <c r="G6582" t="s" s="11">
        <v>152</v>
      </c>
      <c r="H6582" t="s" s="10">
        <v>73</v>
      </c>
      <c r="I6582" t="s" s="11">
        <v>152</v>
      </c>
      <c r="J6582" t="s" s="11">
        <v>20</v>
      </c>
      <c r="K6582" s="15"/>
      <c r="L6582" t="s" s="16">
        <f>HYPERLINK("http://csr.bu.edu/ftp/asl/asllvd/demos/verify_start_end_handshape_annotations//test_auto_move//signs_mov_separ_signers/Liz_15479.mov","MOV")</f>
        <v>21</v>
      </c>
      <c r="M6582" t="s" s="10">
        <v>34</v>
      </c>
      <c r="N6582" s="17">
        <v>56</v>
      </c>
      <c r="O6582" s="18">
        <v>3400</v>
      </c>
      <c r="P6582" s="18">
        <v>3435</v>
      </c>
      <c r="Q6582" s="15"/>
      <c r="R6582" t="s" s="16">
        <f>HYPERLINK("http://secrets.rutgers.edu:8080/data/asl-ftp/asllvd/demos/verify_start_end_handshape_annotations//test_auto_move//signs_mov_separ_signers/Liz_15479.mov","MOV")</f>
        <v>21</v>
      </c>
    </row>
    <row r="6583" s="2" customFormat="1" ht="13.5" customHeight="1">
      <c r="B6583" s="13"/>
      <c r="C6583" t="s" s="9">
        <v>23</v>
      </c>
      <c r="D6583" t="s" s="8">
        <v>2257</v>
      </c>
      <c r="E6583" t="s" s="9">
        <v>2257</v>
      </c>
      <c r="F6583" t="s" s="10">
        <v>152</v>
      </c>
      <c r="G6583" t="s" s="11">
        <v>152</v>
      </c>
      <c r="H6583" t="s" s="10">
        <v>152</v>
      </c>
      <c r="I6583" t="s" s="11">
        <v>152</v>
      </c>
      <c r="J6583" t="s" s="11">
        <v>20</v>
      </c>
      <c r="K6583" t="s" s="16">
        <f>HYPERLINK("http://csr.bu.edu/ftp/asl/asllvd/demos/verify_start_end_handshape_annotations//test_auto_move//signs_mov/15479.mov","MOV")</f>
        <v>21</v>
      </c>
      <c r="L6583" t="s" s="16">
        <f>HYPERLINK("http://csr.bu.edu/ftp/asl/asllvd/demos/verify_start_end_handshape_annotations//test_auto_move//signs_mov_separ_signers/Tyler_15479.mov","MOV")</f>
        <v>21</v>
      </c>
      <c r="M6583" t="s" s="10">
        <v>47</v>
      </c>
      <c r="N6583" s="17">
        <v>8</v>
      </c>
      <c r="O6583" s="18">
        <v>2328</v>
      </c>
      <c r="P6583" s="18">
        <v>2352</v>
      </c>
      <c r="Q6583" t="s" s="16">
        <f>HYPERLINK("http://secrets.rutgers.edu:8080/data/asl-ftp/asllvd/demos/verify_start_end_handshape_annotations//test_auto_move//signs_mov/15479.mov","MOV")</f>
        <v>21</v>
      </c>
      <c r="R6583" t="s" s="16">
        <f>HYPERLINK("http://secrets.rutgers.edu:8080/data/asl-ftp/asllvd/demos/verify_start_end_handshape_annotations//test_auto_move//signs_mov_separ_signers/Tyler_15479.mov","MOV")</f>
        <v>21</v>
      </c>
    </row>
    <row r="6584" s="2" customFormat="1" ht="13.5" customHeight="1">
      <c r="B6584" s="13"/>
      <c r="C6584" t="s" s="9">
        <v>27</v>
      </c>
      <c r="D6584" t="s" s="8">
        <v>2257</v>
      </c>
      <c r="E6584" t="s" s="9">
        <v>2257</v>
      </c>
      <c r="F6584" t="s" s="10">
        <v>152</v>
      </c>
      <c r="G6584" t="s" s="11">
        <v>152</v>
      </c>
      <c r="H6584" t="s" s="10">
        <v>152</v>
      </c>
      <c r="I6584" t="s" s="11">
        <v>152</v>
      </c>
      <c r="J6584" t="s" s="11">
        <v>20</v>
      </c>
      <c r="K6584" s="15"/>
      <c r="L6584" t="s" s="16">
        <f>HYPERLINK("http://csr.bu.edu/ftp/asl/asllvd/demos/verify_start_end_handshape_annotations//test_auto_move//signs_mov_separ_signers/Naomi_15479.mov","MOV")</f>
        <v>21</v>
      </c>
      <c r="M6584" t="s" s="10">
        <v>48</v>
      </c>
      <c r="N6584" s="17">
        <v>11</v>
      </c>
      <c r="O6584" s="18">
        <v>3975</v>
      </c>
      <c r="P6584" s="18">
        <v>4000</v>
      </c>
      <c r="Q6584" s="15"/>
      <c r="R6584" t="s" s="16">
        <f>HYPERLINK("http://secrets.rutgers.edu:8080/data/asl-ftp/asllvd/demos/verify_start_end_handshape_annotations//test_auto_move//signs_mov_separ_signers/Naomi_15479.mov","MOV")</f>
        <v>21</v>
      </c>
    </row>
    <row r="6585" s="2" customFormat="1" ht="13.5" customHeight="1">
      <c r="B6585" s="13"/>
      <c r="C6585" t="s" s="9">
        <v>30</v>
      </c>
      <c r="D6585" t="s" s="8">
        <v>2257</v>
      </c>
      <c r="E6585" t="s" s="9">
        <v>2257</v>
      </c>
      <c r="F6585" t="s" s="10">
        <v>152</v>
      </c>
      <c r="G6585" t="s" s="11">
        <v>152</v>
      </c>
      <c r="H6585" t="s" s="10">
        <v>152</v>
      </c>
      <c r="I6585" t="s" s="11">
        <v>152</v>
      </c>
      <c r="J6585" t="s" s="11">
        <v>20</v>
      </c>
      <c r="K6585" s="15"/>
      <c r="L6585" t="s" s="16">
        <f>HYPERLINK("http://csr.bu.edu/ftp/asl/asllvd/demos/verify_start_end_handshape_annotations//test_auto_move//signs_mov_separ_signers/Brady_15479.mov","MOV")</f>
        <v>21</v>
      </c>
      <c r="M6585" t="s" s="10">
        <v>39</v>
      </c>
      <c r="N6585" s="17">
        <v>53</v>
      </c>
      <c r="O6585" s="18">
        <v>4491</v>
      </c>
      <c r="P6585" s="18">
        <v>4516</v>
      </c>
      <c r="Q6585" s="15"/>
      <c r="R6585" t="s" s="16">
        <f>HYPERLINK("http://secrets.rutgers.edu:8080/data/asl-ftp/asllvd/demos/verify_start_end_handshape_annotations//test_auto_move//signs_mov_separ_signers/Brady_15479.mov","MOV")</f>
        <v>21</v>
      </c>
    </row>
    <row r="6586" s="2" customFormat="1" ht="13.5" customHeight="1">
      <c r="B6586" t="s" s="8">
        <v>2258</v>
      </c>
      <c r="C6586" t="s" s="9">
        <v>14</v>
      </c>
      <c r="D6586" t="s" s="8">
        <v>14</v>
      </c>
      <c r="E6586" t="s" s="9">
        <v>14</v>
      </c>
      <c r="F6586" t="s" s="10">
        <v>14</v>
      </c>
      <c r="G6586" t="s" s="11">
        <v>14</v>
      </c>
      <c r="H6586" t="s" s="10">
        <v>14</v>
      </c>
      <c r="I6586" t="s" s="11">
        <v>14</v>
      </c>
      <c r="J6586" t="s" s="11">
        <v>14</v>
      </c>
      <c r="K6586" t="s" s="12">
        <v>14</v>
      </c>
      <c r="L6586" t="s" s="12">
        <v>14</v>
      </c>
      <c r="M6586" t="s" s="10">
        <v>14</v>
      </c>
      <c r="N6586" t="s" s="11">
        <v>14</v>
      </c>
      <c r="O6586" t="s" s="8">
        <v>14</v>
      </c>
      <c r="P6586" t="s" s="8">
        <v>14</v>
      </c>
      <c r="Q6586" t="s" s="12">
        <v>14</v>
      </c>
      <c r="R6586" t="s" s="12">
        <v>14</v>
      </c>
    </row>
    <row r="6587" s="2" customFormat="1" ht="13.5" customHeight="1">
      <c r="B6587" s="13"/>
      <c r="C6587" t="s" s="9">
        <v>16</v>
      </c>
      <c r="D6587" t="s" s="8">
        <v>2258</v>
      </c>
      <c r="E6587" t="s" s="9">
        <v>2258</v>
      </c>
      <c r="F6587" t="s" s="10">
        <v>152</v>
      </c>
      <c r="G6587" t="s" s="11">
        <v>109</v>
      </c>
      <c r="H6587" t="s" s="10">
        <v>152</v>
      </c>
      <c r="I6587" t="s" s="11">
        <v>109</v>
      </c>
      <c r="J6587" t="s" s="11">
        <v>20</v>
      </c>
      <c r="K6587" t="s" s="16">
        <f>HYPERLINK("http://csr.bu.edu/ftp/asl/asllvd/demos/verify_start_end_handshape_annotations//test_auto_move//signs_mov/15590.mov","MOV")</f>
        <v>21</v>
      </c>
      <c r="L6587" t="s" s="16">
        <f>HYPERLINK("http://csr.bu.edu/ftp/asl/asllvd/demos/verify_start_end_handshape_annotations//test_auto_move//signs_mov_separ_signers/Liz_15590.mov","MOV")</f>
        <v>21</v>
      </c>
      <c r="M6587" t="s" s="10">
        <v>88</v>
      </c>
      <c r="N6587" s="17">
        <v>5</v>
      </c>
      <c r="O6587" s="18">
        <v>5992</v>
      </c>
      <c r="P6587" s="18">
        <v>6032</v>
      </c>
      <c r="Q6587" t="s" s="16">
        <f>HYPERLINK("http://secrets.rutgers.edu:8080/data/asl-ftp/asllvd/demos/verify_start_end_handshape_annotations//test_auto_move//signs_mov/15590.mov","MOV")</f>
        <v>21</v>
      </c>
      <c r="R6587" t="s" s="16">
        <f>HYPERLINK("http://secrets.rutgers.edu:8080/data/asl-ftp/asllvd/demos/verify_start_end_handshape_annotations//test_auto_move//signs_mov_separ_signers/Liz_15590.mov","MOV")</f>
        <v>21</v>
      </c>
    </row>
    <row r="6588" s="2" customFormat="1" ht="13.5" customHeight="1">
      <c r="B6588" t="s" s="8">
        <v>52</v>
      </c>
      <c r="C6588" t="s" s="9">
        <v>53</v>
      </c>
      <c r="D6588" t="s" s="8">
        <v>53</v>
      </c>
      <c r="E6588" t="s" s="9">
        <v>53</v>
      </c>
      <c r="F6588" t="s" s="10">
        <v>53</v>
      </c>
      <c r="G6588" t="s" s="11">
        <v>53</v>
      </c>
      <c r="H6588" t="s" s="10">
        <v>53</v>
      </c>
      <c r="I6588" t="s" s="11">
        <v>53</v>
      </c>
      <c r="J6588" t="s" s="11">
        <v>53</v>
      </c>
      <c r="K6588" t="s" s="12">
        <v>53</v>
      </c>
      <c r="L6588" t="s" s="12">
        <v>53</v>
      </c>
      <c r="M6588" t="s" s="10">
        <v>53</v>
      </c>
      <c r="N6588" t="s" s="11">
        <v>53</v>
      </c>
      <c r="O6588" t="s" s="8">
        <v>53</v>
      </c>
      <c r="P6588" t="s" s="8">
        <v>53</v>
      </c>
      <c r="Q6588" t="s" s="12">
        <v>53</v>
      </c>
      <c r="R6588" t="s" s="12">
        <v>53</v>
      </c>
    </row>
    <row r="6589" s="2" customFormat="1" ht="13.5" customHeight="1">
      <c r="B6589" s="13"/>
      <c r="C6589" t="s" s="9">
        <v>30</v>
      </c>
      <c r="D6589" t="s" s="8">
        <v>2258</v>
      </c>
      <c r="E6589" t="s" s="9">
        <v>2259</v>
      </c>
      <c r="F6589" s="19">
        <v>1</v>
      </c>
      <c r="G6589" t="s" s="11">
        <v>55</v>
      </c>
      <c r="H6589" s="19">
        <v>1</v>
      </c>
      <c r="I6589" t="s" s="11">
        <v>55</v>
      </c>
      <c r="J6589" t="s" s="11">
        <v>20</v>
      </c>
      <c r="K6589" t="s" s="16">
        <f>HYPERLINK("http://csr.bu.edu/ftp/asl/asllvd/demos/verify_start_end_handshape_annotations//test_auto_move//signs_mov/15626.mov","MOV")</f>
        <v>21</v>
      </c>
      <c r="L6589" t="s" s="16">
        <f>HYPERLINK("http://csr.bu.edu/ftp/asl/asllvd/demos/verify_start_end_handshape_annotations//test_auto_move//signs_mov_separ_signers/Brady_15626.mov","MOV")</f>
        <v>21</v>
      </c>
      <c r="M6589" t="s" s="10">
        <v>40</v>
      </c>
      <c r="N6589" s="17">
        <v>2</v>
      </c>
      <c r="O6589" s="18">
        <v>3351</v>
      </c>
      <c r="P6589" s="18">
        <v>3380</v>
      </c>
      <c r="Q6589" t="s" s="16">
        <f>HYPERLINK("http://secrets.rutgers.edu:8080/data/asl-ftp/asllvd/demos/verify_start_end_handshape_annotations//test_auto_move//signs_mov/15626.mov","MOV")</f>
        <v>21</v>
      </c>
      <c r="R6589" t="s" s="16">
        <f>HYPERLINK("http://secrets.rutgers.edu:8080/data/asl-ftp/asllvd/demos/verify_start_end_handshape_annotations//test_auto_move//signs_mov_separ_signers/Brady_15626.mov","MOV")</f>
        <v>21</v>
      </c>
    </row>
    <row r="6590" s="2" customFormat="1" ht="13.5" customHeight="1">
      <c r="B6590" t="s" s="8">
        <v>2260</v>
      </c>
      <c r="C6590" t="s" s="9">
        <v>14</v>
      </c>
      <c r="D6590" t="s" s="8">
        <v>14</v>
      </c>
      <c r="E6590" t="s" s="9">
        <v>14</v>
      </c>
      <c r="F6590" t="s" s="10">
        <v>14</v>
      </c>
      <c r="G6590" t="s" s="11">
        <v>14</v>
      </c>
      <c r="H6590" t="s" s="10">
        <v>14</v>
      </c>
      <c r="I6590" t="s" s="11">
        <v>14</v>
      </c>
      <c r="J6590" t="s" s="11">
        <v>14</v>
      </c>
      <c r="K6590" t="s" s="12">
        <v>14</v>
      </c>
      <c r="L6590" t="s" s="12">
        <v>14</v>
      </c>
      <c r="M6590" t="s" s="10">
        <v>14</v>
      </c>
      <c r="N6590" t="s" s="11">
        <v>14</v>
      </c>
      <c r="O6590" t="s" s="8">
        <v>14</v>
      </c>
      <c r="P6590" t="s" s="8">
        <v>14</v>
      </c>
      <c r="Q6590" t="s" s="12">
        <v>14</v>
      </c>
      <c r="R6590" t="s" s="12">
        <v>14</v>
      </c>
    </row>
    <row r="6591" s="2" customFormat="1" ht="13.5" customHeight="1">
      <c r="B6591" s="13"/>
      <c r="C6591" t="s" s="9">
        <v>16</v>
      </c>
      <c r="D6591" t="s" s="8">
        <v>2261</v>
      </c>
      <c r="E6591" t="s" s="9">
        <v>2261</v>
      </c>
      <c r="F6591" t="s" s="10">
        <v>220</v>
      </c>
      <c r="G6591" t="s" s="11">
        <v>229</v>
      </c>
      <c r="H6591" t="s" s="10">
        <v>220</v>
      </c>
      <c r="I6591" t="s" s="11">
        <v>229</v>
      </c>
      <c r="J6591" t="s" s="11">
        <v>20</v>
      </c>
      <c r="K6591" t="s" s="16">
        <f>HYPERLINK("http://csr.bu.edu/ftp/asl/asllvd/demos/verify_start_end_handshape_annotations//test_auto_move//signs_mov/15627_16286_merged.mov","MOV")</f>
        <v>21</v>
      </c>
      <c r="L6591" t="s" s="16">
        <f>HYPERLINK("http://csr.bu.edu/ftp/asl/asllvd/demos/verify_start_end_handshape_annotations//test_auto_move//signs_mov_separ_signers/Liz_15627.mov","MOV")</f>
        <v>21</v>
      </c>
      <c r="M6591" t="s" s="10">
        <v>77</v>
      </c>
      <c r="N6591" s="17">
        <v>3</v>
      </c>
      <c r="O6591" s="18">
        <v>1345</v>
      </c>
      <c r="P6591" s="18">
        <v>1385</v>
      </c>
      <c r="Q6591" t="s" s="16">
        <f>HYPERLINK("http://secrets.rutgers.edu:8080/data/asl-ftp/asllvd/demos/verify_start_end_handshape_annotations//test_auto_move//signs_mov/15627_16286_merged.mov","MOV")</f>
        <v>21</v>
      </c>
      <c r="R6591" t="s" s="16">
        <f>HYPERLINK("http://secrets.rutgers.edu:8080/data/asl-ftp/asllvd/demos/verify_start_end_handshape_annotations//test_auto_move//signs_mov_separ_signers/Liz_15627.mov","MOV")</f>
        <v>21</v>
      </c>
    </row>
    <row r="6592" s="2" customFormat="1" ht="13.5" customHeight="1">
      <c r="B6592" s="13"/>
      <c r="C6592" t="s" s="9">
        <v>16</v>
      </c>
      <c r="D6592" t="s" s="8">
        <v>2261</v>
      </c>
      <c r="E6592" t="s" s="9">
        <v>2262</v>
      </c>
      <c r="F6592" t="s" s="10">
        <v>220</v>
      </c>
      <c r="G6592" t="s" s="11">
        <v>229</v>
      </c>
      <c r="H6592" t="s" s="10">
        <v>220</v>
      </c>
      <c r="I6592" t="s" s="11">
        <v>229</v>
      </c>
      <c r="J6592" t="s" s="11">
        <v>20</v>
      </c>
      <c r="K6592" s="15"/>
      <c r="L6592" t="s" s="16">
        <f>HYPERLINK("http://csr.bu.edu/ftp/asl/asllvd/demos/verify_start_end_handshape_annotations//test_auto_move//signs_mov_separ_signers/Liz_16286.mov","MOV")</f>
        <v>21</v>
      </c>
      <c r="M6592" t="s" s="10">
        <v>77</v>
      </c>
      <c r="N6592" s="17">
        <v>3</v>
      </c>
      <c r="O6592" s="18">
        <v>1480</v>
      </c>
      <c r="P6592" s="18">
        <v>1520</v>
      </c>
      <c r="Q6592" s="15"/>
      <c r="R6592" t="s" s="16">
        <f>HYPERLINK("http://secrets.rutgers.edu:8080/data/asl-ftp/asllvd/demos/verify_start_end_handshape_annotations//test_auto_move//signs_mov_separ_signers/Liz_16286.mov","MOV")</f>
        <v>21</v>
      </c>
    </row>
    <row r="6593" s="2" customFormat="1" ht="13.5" customHeight="1">
      <c r="B6593" t="s" s="8">
        <v>2263</v>
      </c>
      <c r="C6593" t="s" s="9">
        <v>14</v>
      </c>
      <c r="D6593" t="s" s="8">
        <v>14</v>
      </c>
      <c r="E6593" t="s" s="9">
        <v>14</v>
      </c>
      <c r="F6593" t="s" s="10">
        <v>14</v>
      </c>
      <c r="G6593" t="s" s="11">
        <v>14</v>
      </c>
      <c r="H6593" t="s" s="10">
        <v>14</v>
      </c>
      <c r="I6593" t="s" s="11">
        <v>14</v>
      </c>
      <c r="J6593" t="s" s="11">
        <v>14</v>
      </c>
      <c r="K6593" t="s" s="12">
        <v>14</v>
      </c>
      <c r="L6593" t="s" s="12">
        <v>14</v>
      </c>
      <c r="M6593" t="s" s="10">
        <v>14</v>
      </c>
      <c r="N6593" t="s" s="11">
        <v>14</v>
      </c>
      <c r="O6593" t="s" s="8">
        <v>14</v>
      </c>
      <c r="P6593" t="s" s="8">
        <v>14</v>
      </c>
      <c r="Q6593" t="s" s="12">
        <v>14</v>
      </c>
      <c r="R6593" t="s" s="12">
        <v>14</v>
      </c>
    </row>
    <row r="6594" s="2" customFormat="1" ht="13.5" customHeight="1">
      <c r="B6594" s="13"/>
      <c r="C6594" t="s" s="9">
        <v>16</v>
      </c>
      <c r="D6594" t="s" s="8">
        <v>2263</v>
      </c>
      <c r="E6594" t="s" s="9">
        <v>2264</v>
      </c>
      <c r="F6594" t="s" s="10">
        <v>63</v>
      </c>
      <c r="G6594" s="17">
        <v>1</v>
      </c>
      <c r="H6594" t="s" s="10">
        <v>63</v>
      </c>
      <c r="I6594" s="17">
        <v>1</v>
      </c>
      <c r="J6594" t="s" s="11">
        <v>20</v>
      </c>
      <c r="K6594" s="15"/>
      <c r="L6594" t="s" s="16">
        <f>HYPERLINK("http://csr.bu.edu/ftp/asl/asllvd/demos/verify_start_end_handshape_annotations//test_auto_move//signs_mov_separ_signers/Liz_16287.mov","MOV")</f>
        <v>21</v>
      </c>
      <c r="M6594" t="s" s="10">
        <v>88</v>
      </c>
      <c r="N6594" s="17">
        <v>46</v>
      </c>
      <c r="O6594" s="18">
        <v>470</v>
      </c>
      <c r="P6594" s="18">
        <v>520</v>
      </c>
      <c r="Q6594" s="15"/>
      <c r="R6594" t="s" s="16">
        <f>HYPERLINK("http://secrets.rutgers.edu:8080/data/asl-ftp/asllvd/demos/verify_start_end_handshape_annotations//test_auto_move//signs_mov_separ_signers/Liz_16287.mov","MOV")</f>
        <v>21</v>
      </c>
    </row>
    <row r="6595" s="2" customFormat="1" ht="13.5" customHeight="1">
      <c r="B6595" s="13"/>
      <c r="C6595" t="s" s="9">
        <v>30</v>
      </c>
      <c r="D6595" t="s" s="8">
        <v>2263</v>
      </c>
      <c r="E6595" t="s" s="9">
        <v>2265</v>
      </c>
      <c r="F6595" s="19">
        <v>10</v>
      </c>
      <c r="G6595" s="17">
        <v>1</v>
      </c>
      <c r="H6595" s="19">
        <v>10</v>
      </c>
      <c r="I6595" s="17">
        <v>1</v>
      </c>
      <c r="J6595" t="s" s="11">
        <v>20</v>
      </c>
      <c r="K6595" t="s" s="16">
        <f>HYPERLINK("http://csr.bu.edu/ftp/asl/asllvd/demos/verify_start_end_handshape_annotations//test_auto_move//signs_mov/16287.mov","MOV")</f>
        <v>21</v>
      </c>
      <c r="L6595" t="s" s="16">
        <f>HYPERLINK("http://csr.bu.edu/ftp/asl/asllvd/demos/verify_start_end_handshape_annotations//test_auto_move//signs_mov_separ_signers/Brady_16287.mov","MOV")</f>
        <v>21</v>
      </c>
      <c r="M6595" t="s" s="10">
        <v>40</v>
      </c>
      <c r="N6595" s="17">
        <v>40</v>
      </c>
      <c r="O6595" s="18">
        <v>1006</v>
      </c>
      <c r="P6595" s="18">
        <v>1035</v>
      </c>
      <c r="Q6595" t="s" s="16">
        <f>HYPERLINK("http://secrets.rutgers.edu:8080/data/asl-ftp/asllvd/demos/verify_start_end_handshape_annotations//test_auto_move//signs_mov/16287.mov","MOV")</f>
        <v>21</v>
      </c>
      <c r="R6595" t="s" s="16">
        <f>HYPERLINK("http://secrets.rutgers.edu:8080/data/asl-ftp/asllvd/demos/verify_start_end_handshape_annotations//test_auto_move//signs_mov_separ_signers/Brady_16287.mov","MOV")</f>
        <v>21</v>
      </c>
    </row>
    <row r="6596" s="2" customFormat="1" ht="13.5" customHeight="1">
      <c r="B6596" s="13"/>
      <c r="C6596" t="s" s="9">
        <v>41</v>
      </c>
      <c r="D6596" t="s" s="8">
        <v>2263</v>
      </c>
      <c r="E6596" t="s" s="9">
        <v>2265</v>
      </c>
      <c r="F6596" s="19">
        <v>10</v>
      </c>
      <c r="G6596" s="17">
        <v>1</v>
      </c>
      <c r="H6596" s="19">
        <v>10</v>
      </c>
      <c r="I6596" s="17">
        <v>1</v>
      </c>
      <c r="J6596" t="s" s="11">
        <v>20</v>
      </c>
      <c r="K6596" s="15"/>
      <c r="L6596" t="s" s="16">
        <f>HYPERLINK("http://csr.bu.edu/ftp/asl/asllvd/demos/verify_start_end_handshape_annotations//test_auto_move//signs_mov_separ_signers/Lana_16287.mov","MOV")</f>
        <v>21</v>
      </c>
      <c r="M6596" t="s" s="10">
        <v>42</v>
      </c>
      <c r="N6596" s="17">
        <v>21</v>
      </c>
      <c r="O6596" s="18">
        <v>1985</v>
      </c>
      <c r="P6596" s="18">
        <v>2033</v>
      </c>
      <c r="Q6596" s="15"/>
      <c r="R6596" t="s" s="16">
        <f>HYPERLINK("http://secrets.rutgers.edu:8080/data/asl-ftp/asllvd/demos/verify_start_end_handshape_annotations//test_auto_move//signs_mov_separ_signers/Lana_16287.mov","MOV")</f>
        <v>21</v>
      </c>
    </row>
    <row r="6597" s="2" customFormat="1" ht="13.5" customHeight="1">
      <c r="B6597" s="13"/>
      <c r="C6597" t="s" s="9">
        <v>43</v>
      </c>
      <c r="D6597" t="s" s="8">
        <v>2263</v>
      </c>
      <c r="E6597" t="s" s="9">
        <v>2264</v>
      </c>
      <c r="F6597" t="s" s="10">
        <v>63</v>
      </c>
      <c r="G6597" s="17">
        <v>1</v>
      </c>
      <c r="H6597" t="s" s="10">
        <v>63</v>
      </c>
      <c r="I6597" s="17">
        <v>1</v>
      </c>
      <c r="J6597" t="s" s="11">
        <v>20</v>
      </c>
      <c r="K6597" s="15"/>
      <c r="L6597" t="s" s="16">
        <f>HYPERLINK("http://csr.bu.edu/ftp/asl/asllvd/demos/verify_start_end_handshape_annotations//test_auto_move//signs_mov_separ_signers/Dana_16287.mov","MOV")</f>
        <v>21</v>
      </c>
      <c r="M6597" t="s" s="10">
        <v>44</v>
      </c>
      <c r="N6597" s="17">
        <v>23</v>
      </c>
      <c r="O6597" s="18">
        <v>2145</v>
      </c>
      <c r="P6597" s="18">
        <v>2214</v>
      </c>
      <c r="Q6597" s="15"/>
      <c r="R6597" t="s" s="16">
        <f>HYPERLINK("http://secrets.rutgers.edu:8080/data/asl-ftp/asllvd/demos/verify_start_end_handshape_annotations//test_auto_move//signs_mov_separ_signers/Dana_16287.mov","MOV")</f>
        <v>21</v>
      </c>
    </row>
    <row r="6598" s="2" customFormat="1" ht="13.5" customHeight="1">
      <c r="B6598" t="s" s="8">
        <v>2266</v>
      </c>
      <c r="C6598" t="s" s="9">
        <v>14</v>
      </c>
      <c r="D6598" t="s" s="8">
        <v>14</v>
      </c>
      <c r="E6598" t="s" s="9">
        <v>14</v>
      </c>
      <c r="F6598" t="s" s="10">
        <v>14</v>
      </c>
      <c r="G6598" t="s" s="11">
        <v>14</v>
      </c>
      <c r="H6598" t="s" s="10">
        <v>14</v>
      </c>
      <c r="I6598" t="s" s="11">
        <v>14</v>
      </c>
      <c r="J6598" t="s" s="11">
        <v>14</v>
      </c>
      <c r="K6598" t="s" s="12">
        <v>14</v>
      </c>
      <c r="L6598" t="s" s="12">
        <v>14</v>
      </c>
      <c r="M6598" t="s" s="10">
        <v>14</v>
      </c>
      <c r="N6598" t="s" s="11">
        <v>14</v>
      </c>
      <c r="O6598" t="s" s="8">
        <v>14</v>
      </c>
      <c r="P6598" t="s" s="8">
        <v>14</v>
      </c>
      <c r="Q6598" t="s" s="12">
        <v>14</v>
      </c>
      <c r="R6598" t="s" s="12">
        <v>14</v>
      </c>
    </row>
    <row r="6599" s="2" customFormat="1" ht="13.5" customHeight="1">
      <c r="B6599" s="13"/>
      <c r="C6599" t="s" s="9">
        <v>16</v>
      </c>
      <c r="D6599" t="s" s="8">
        <v>2266</v>
      </c>
      <c r="E6599" t="s" s="9">
        <v>2266</v>
      </c>
      <c r="F6599" t="s" s="10">
        <v>68</v>
      </c>
      <c r="G6599" t="s" s="11">
        <v>68</v>
      </c>
      <c r="H6599" t="s" s="10">
        <v>68</v>
      </c>
      <c r="I6599" t="s" s="11">
        <v>68</v>
      </c>
      <c r="J6599" t="s" s="11">
        <v>20</v>
      </c>
      <c r="K6599" s="15"/>
      <c r="L6599" t="s" s="16">
        <f>HYPERLINK("http://csr.bu.edu/ftp/asl/asllvd/demos/verify_start_end_handshape_annotations//test_auto_move//signs_mov_separ_signers/Liz_1480.mov","MOV")</f>
        <v>21</v>
      </c>
      <c r="M6599" t="s" s="10">
        <v>34</v>
      </c>
      <c r="N6599" s="17">
        <v>57</v>
      </c>
      <c r="O6599" s="18">
        <v>285</v>
      </c>
      <c r="P6599" s="18">
        <v>325</v>
      </c>
      <c r="Q6599" s="15"/>
      <c r="R6599" t="s" s="16">
        <f>HYPERLINK("http://secrets.rutgers.edu:8080/data/asl-ftp/asllvd/demos/verify_start_end_handshape_annotations//test_auto_move//signs_mov_separ_signers/Liz_1480.mov","MOV")</f>
        <v>21</v>
      </c>
    </row>
    <row r="6600" s="2" customFormat="1" ht="13.5" customHeight="1">
      <c r="B6600" s="13"/>
      <c r="C6600" t="s" s="9">
        <v>23</v>
      </c>
      <c r="D6600" t="s" s="8">
        <v>2266</v>
      </c>
      <c r="E6600" t="s" s="9">
        <v>2266</v>
      </c>
      <c r="F6600" t="s" s="10">
        <v>68</v>
      </c>
      <c r="G6600" t="s" s="11">
        <v>68</v>
      </c>
      <c r="H6600" t="s" s="10">
        <v>68</v>
      </c>
      <c r="I6600" t="s" s="11">
        <v>68</v>
      </c>
      <c r="J6600" t="s" s="11">
        <v>20</v>
      </c>
      <c r="K6600" s="15"/>
      <c r="L6600" t="s" s="16">
        <f>HYPERLINK("http://csr.bu.edu/ftp/asl/asllvd/demos/verify_start_end_handshape_annotations//test_auto_move//signs_mov_separ_signers/Tyler_1480.mov","MOV")</f>
        <v>21</v>
      </c>
      <c r="M6600" t="s" s="10">
        <v>47</v>
      </c>
      <c r="N6600" s="17">
        <v>8</v>
      </c>
      <c r="O6600" s="18">
        <v>3217</v>
      </c>
      <c r="P6600" s="18">
        <v>3257</v>
      </c>
      <c r="Q6600" s="15"/>
      <c r="R6600" t="s" s="16">
        <f>HYPERLINK("http://secrets.rutgers.edu:8080/data/asl-ftp/asllvd/demos/verify_start_end_handshape_annotations//test_auto_move//signs_mov_separ_signers/Tyler_1480.mov","MOV")</f>
        <v>21</v>
      </c>
    </row>
    <row r="6601" s="2" customFormat="1" ht="13.5" customHeight="1">
      <c r="B6601" s="13"/>
      <c r="C6601" t="s" s="9">
        <v>27</v>
      </c>
      <c r="D6601" t="s" s="8">
        <v>2266</v>
      </c>
      <c r="E6601" t="s" s="9">
        <v>2266</v>
      </c>
      <c r="F6601" t="s" s="10">
        <v>68</v>
      </c>
      <c r="G6601" t="s" s="11">
        <v>68</v>
      </c>
      <c r="H6601" t="s" s="10">
        <v>68</v>
      </c>
      <c r="I6601" t="s" s="11">
        <v>68</v>
      </c>
      <c r="J6601" t="s" s="11">
        <v>20</v>
      </c>
      <c r="K6601" t="s" s="16">
        <f>HYPERLINK("http://csr.bu.edu/ftp/asl/asllvd/demos/verify_start_end_handshape_annotations//test_auto_move//signs_mov/1480.mov","MOV")</f>
        <v>21</v>
      </c>
      <c r="L6601" t="s" s="16">
        <f>HYPERLINK("http://csr.bu.edu/ftp/asl/asllvd/demos/verify_start_end_handshape_annotations//test_auto_move//signs_mov_separ_signers/Naomi_1480.mov","MOV")</f>
        <v>21</v>
      </c>
      <c r="M6601" t="s" s="10">
        <v>48</v>
      </c>
      <c r="N6601" s="17">
        <v>11</v>
      </c>
      <c r="O6601" s="18">
        <v>4865</v>
      </c>
      <c r="P6601" s="18">
        <v>4895</v>
      </c>
      <c r="Q6601" t="s" s="16">
        <f>HYPERLINK("http://secrets.rutgers.edu:8080/data/asl-ftp/asllvd/demos/verify_start_end_handshape_annotations//test_auto_move//signs_mov/1480.mov","MOV")</f>
        <v>21</v>
      </c>
      <c r="R6601" t="s" s="16">
        <f>HYPERLINK("http://secrets.rutgers.edu:8080/data/asl-ftp/asllvd/demos/verify_start_end_handshape_annotations//test_auto_move//signs_mov_separ_signers/Naomi_1480.mov","MOV")</f>
        <v>21</v>
      </c>
    </row>
    <row r="6602" s="2" customFormat="1" ht="13.5" customHeight="1">
      <c r="B6602" s="13"/>
      <c r="C6602" t="s" s="9">
        <v>30</v>
      </c>
      <c r="D6602" t="s" s="8">
        <v>2266</v>
      </c>
      <c r="E6602" t="s" s="9">
        <v>2266</v>
      </c>
      <c r="F6602" t="s" s="10">
        <v>68</v>
      </c>
      <c r="G6602" t="s" s="11">
        <v>68</v>
      </c>
      <c r="H6602" t="s" s="10">
        <v>68</v>
      </c>
      <c r="I6602" t="s" s="11">
        <v>68</v>
      </c>
      <c r="J6602" t="s" s="11">
        <v>20</v>
      </c>
      <c r="K6602" s="15"/>
      <c r="L6602" t="s" s="16">
        <f>HYPERLINK("http://csr.bu.edu/ftp/asl/asllvd/demos/verify_start_end_handshape_annotations//test_auto_move//signs_mov_separ_signers/Brady_1480.mov","MOV")</f>
        <v>21</v>
      </c>
      <c r="M6602" t="s" s="10">
        <v>39</v>
      </c>
      <c r="N6602" s="17">
        <v>53</v>
      </c>
      <c r="O6602" s="18">
        <v>5150</v>
      </c>
      <c r="P6602" s="18">
        <v>5175</v>
      </c>
      <c r="Q6602" s="15"/>
      <c r="R6602" t="s" s="16">
        <f>HYPERLINK("http://secrets.rutgers.edu:8080/data/asl-ftp/asllvd/demos/verify_start_end_handshape_annotations//test_auto_move//signs_mov_separ_signers/Brady_1480.mov","MOV")</f>
        <v>21</v>
      </c>
    </row>
    <row r="6603" s="2" customFormat="1" ht="13.5" customHeight="1">
      <c r="B6603" s="13"/>
      <c r="C6603" t="s" s="9">
        <v>41</v>
      </c>
      <c r="D6603" t="s" s="8">
        <v>2266</v>
      </c>
      <c r="E6603" t="s" s="9">
        <v>2267</v>
      </c>
      <c r="F6603" t="s" s="10">
        <v>68</v>
      </c>
      <c r="G6603" t="s" s="11">
        <v>68</v>
      </c>
      <c r="H6603" t="s" s="10">
        <v>68</v>
      </c>
      <c r="I6603" t="s" s="11">
        <v>68</v>
      </c>
      <c r="J6603" t="s" s="11">
        <v>20</v>
      </c>
      <c r="K6603" s="15"/>
      <c r="L6603" t="s" s="16">
        <f>HYPERLINK("http://csr.bu.edu/ftp/asl/asllvd/demos/verify_start_end_handshape_annotations//test_auto_move//signs_mov_separ_signers/Lana_1480.mov","MOV")</f>
        <v>21</v>
      </c>
      <c r="M6603" t="s" s="10">
        <v>42</v>
      </c>
      <c r="N6603" s="17">
        <v>16</v>
      </c>
      <c r="O6603" s="18">
        <v>1794</v>
      </c>
      <c r="P6603" s="18">
        <v>1814</v>
      </c>
      <c r="Q6603" s="15"/>
      <c r="R6603" t="s" s="16">
        <f>HYPERLINK("http://secrets.rutgers.edu:8080/data/asl-ftp/asllvd/demos/verify_start_end_handshape_annotations//test_auto_move//signs_mov_separ_signers/Lana_1480.mov","MOV")</f>
        <v>21</v>
      </c>
    </row>
    <row r="6604" s="2" customFormat="1" ht="13.5" customHeight="1">
      <c r="B6604" s="13"/>
      <c r="C6604" t="s" s="9">
        <v>43</v>
      </c>
      <c r="D6604" t="s" s="8">
        <v>2266</v>
      </c>
      <c r="E6604" t="s" s="9">
        <v>2266</v>
      </c>
      <c r="F6604" t="s" s="10">
        <v>68</v>
      </c>
      <c r="G6604" t="s" s="11">
        <v>68</v>
      </c>
      <c r="H6604" t="s" s="10">
        <v>68</v>
      </c>
      <c r="I6604" t="s" s="11">
        <v>68</v>
      </c>
      <c r="J6604" t="s" s="11">
        <v>20</v>
      </c>
      <c r="K6604" s="15"/>
      <c r="L6604" t="s" s="16">
        <f>HYPERLINK("http://csr.bu.edu/ftp/asl/asllvd/demos/verify_start_end_handshape_annotations//test_auto_move//signs_mov_separ_signers/Dana_1480.mov","MOV")</f>
        <v>21</v>
      </c>
      <c r="M6604" t="s" s="10">
        <v>44</v>
      </c>
      <c r="N6604" s="17">
        <v>19</v>
      </c>
      <c r="O6604" s="18">
        <v>1833</v>
      </c>
      <c r="P6604" s="18">
        <v>1896</v>
      </c>
      <c r="Q6604" s="15"/>
      <c r="R6604" t="s" s="16">
        <f>HYPERLINK("http://secrets.rutgers.edu:8080/data/asl-ftp/asllvd/demos/verify_start_end_handshape_annotations//test_auto_move//signs_mov_separ_signers/Dana_1480.mov","MOV")</f>
        <v>21</v>
      </c>
    </row>
    <row r="6605" s="2" customFormat="1" ht="13.5" customHeight="1">
      <c r="B6605" t="s" s="8">
        <v>2268</v>
      </c>
      <c r="C6605" t="s" s="9">
        <v>14</v>
      </c>
      <c r="D6605" t="s" s="8">
        <v>14</v>
      </c>
      <c r="E6605" t="s" s="9">
        <v>14</v>
      </c>
      <c r="F6605" t="s" s="10">
        <v>14</v>
      </c>
      <c r="G6605" t="s" s="11">
        <v>14</v>
      </c>
      <c r="H6605" t="s" s="10">
        <v>14</v>
      </c>
      <c r="I6605" t="s" s="11">
        <v>14</v>
      </c>
      <c r="J6605" t="s" s="11">
        <v>14</v>
      </c>
      <c r="K6605" t="s" s="12">
        <v>14</v>
      </c>
      <c r="L6605" t="s" s="12">
        <v>14</v>
      </c>
      <c r="M6605" t="s" s="10">
        <v>14</v>
      </c>
      <c r="N6605" t="s" s="11">
        <v>14</v>
      </c>
      <c r="O6605" t="s" s="8">
        <v>14</v>
      </c>
      <c r="P6605" t="s" s="8">
        <v>14</v>
      </c>
      <c r="Q6605" t="s" s="12">
        <v>14</v>
      </c>
      <c r="R6605" t="s" s="12">
        <v>14</v>
      </c>
    </row>
    <row r="6606" s="2" customFormat="1" ht="13.5" customHeight="1">
      <c r="B6606" s="13"/>
      <c r="C6606" t="s" s="9">
        <v>16</v>
      </c>
      <c r="D6606" t="s" s="8">
        <v>2268</v>
      </c>
      <c r="E6606" t="s" s="9">
        <v>2269</v>
      </c>
      <c r="F6606" t="s" s="10">
        <v>68</v>
      </c>
      <c r="G6606" t="s" s="11">
        <v>68</v>
      </c>
      <c r="H6606" t="s" s="10">
        <v>68</v>
      </c>
      <c r="I6606" t="s" s="11">
        <v>68</v>
      </c>
      <c r="J6606" t="s" s="11">
        <v>20</v>
      </c>
      <c r="K6606" s="15"/>
      <c r="L6606" t="s" s="16">
        <f>HYPERLINK("http://csr.bu.edu/ftp/asl/asllvd/demos/verify_start_end_handshape_annotations//test_auto_move//signs_mov_separ_signers/Liz_15645.mov","MOV")</f>
        <v>21</v>
      </c>
      <c r="M6606" t="s" s="10">
        <v>22</v>
      </c>
      <c r="N6606" s="17">
        <v>82</v>
      </c>
      <c r="O6606" s="18">
        <v>901</v>
      </c>
      <c r="P6606" s="18">
        <v>965</v>
      </c>
      <c r="Q6606" s="15"/>
      <c r="R6606" t="s" s="16">
        <f>HYPERLINK("http://secrets.rutgers.edu:8080/data/asl-ftp/asllvd/demos/verify_start_end_handshape_annotations//test_auto_move//signs_mov_separ_signers/Liz_15645.mov","MOV")</f>
        <v>21</v>
      </c>
    </row>
    <row r="6607" s="2" customFormat="1" ht="13.5" customHeight="1">
      <c r="B6607" s="13"/>
      <c r="C6607" t="s" s="9">
        <v>23</v>
      </c>
      <c r="D6607" t="s" s="8">
        <v>2268</v>
      </c>
      <c r="E6607" t="s" s="9">
        <v>2269</v>
      </c>
      <c r="F6607" t="s" s="10">
        <v>68</v>
      </c>
      <c r="G6607" t="s" s="11">
        <v>68</v>
      </c>
      <c r="H6607" t="s" s="10">
        <v>68</v>
      </c>
      <c r="I6607" t="s" s="11">
        <v>68</v>
      </c>
      <c r="J6607" t="s" s="11">
        <v>20</v>
      </c>
      <c r="K6607" s="15"/>
      <c r="L6607" t="s" s="16">
        <f>HYPERLINK("http://csr.bu.edu/ftp/asl/asllvd/demos/verify_start_end_handshape_annotations//test_auto_move//signs_mov_separ_signers/Tyler_15645.mov","MOV")</f>
        <v>21</v>
      </c>
      <c r="M6607" t="s" s="10">
        <v>26</v>
      </c>
      <c r="N6607" s="17">
        <v>49</v>
      </c>
      <c r="O6607" s="18">
        <v>605</v>
      </c>
      <c r="P6607" s="18">
        <v>677</v>
      </c>
      <c r="Q6607" s="15"/>
      <c r="R6607" t="s" s="16">
        <f>HYPERLINK("http://secrets.rutgers.edu:8080/data/asl-ftp/asllvd/demos/verify_start_end_handshape_annotations//test_auto_move//signs_mov_separ_signers/Tyler_15645.mov","MOV")</f>
        <v>21</v>
      </c>
    </row>
    <row r="6608" s="2" customFormat="1" ht="13.5" customHeight="1">
      <c r="B6608" s="13"/>
      <c r="C6608" t="s" s="9">
        <v>27</v>
      </c>
      <c r="D6608" t="s" s="8">
        <v>2268</v>
      </c>
      <c r="E6608" t="s" s="9">
        <v>2268</v>
      </c>
      <c r="F6608" t="s" s="10">
        <v>68</v>
      </c>
      <c r="G6608" t="s" s="11">
        <v>68</v>
      </c>
      <c r="H6608" t="s" s="10">
        <v>68</v>
      </c>
      <c r="I6608" t="s" s="11">
        <v>68</v>
      </c>
      <c r="J6608" t="s" s="11">
        <v>20</v>
      </c>
      <c r="K6608" t="s" s="16">
        <f>HYPERLINK("http://csr.bu.edu/ftp/asl/asllvd/demos/verify_start_end_handshape_annotations//test_auto_move//signs_mov/15645.mov","MOV")</f>
        <v>21</v>
      </c>
      <c r="L6608" t="s" s="16">
        <f>HYPERLINK("http://csr.bu.edu/ftp/asl/asllvd/demos/verify_start_end_handshape_annotations//test_auto_move//signs_mov_separ_signers/Naomi_15645.mov","MOV")</f>
        <v>21</v>
      </c>
      <c r="M6608" t="s" s="10">
        <v>29</v>
      </c>
      <c r="N6608" s="17">
        <v>51</v>
      </c>
      <c r="O6608" s="18">
        <v>1080</v>
      </c>
      <c r="P6608" s="18">
        <v>1125</v>
      </c>
      <c r="Q6608" t="s" s="16">
        <f>HYPERLINK("http://secrets.rutgers.edu:8080/data/asl-ftp/asllvd/demos/verify_start_end_handshape_annotations//test_auto_move//signs_mov/15645.mov","MOV")</f>
        <v>21</v>
      </c>
      <c r="R6608" t="s" s="16">
        <f>HYPERLINK("http://secrets.rutgers.edu:8080/data/asl-ftp/asllvd/demos/verify_start_end_handshape_annotations//test_auto_move//signs_mov_separ_signers/Naomi_15645.mov","MOV")</f>
        <v>21</v>
      </c>
    </row>
    <row r="6609" s="2" customFormat="1" ht="13.5" customHeight="1">
      <c r="B6609" s="13"/>
      <c r="C6609" t="s" s="9">
        <v>30</v>
      </c>
      <c r="D6609" t="s" s="8">
        <v>2268</v>
      </c>
      <c r="E6609" t="s" s="9">
        <v>2269</v>
      </c>
      <c r="F6609" t="s" s="10">
        <v>68</v>
      </c>
      <c r="G6609" t="s" s="11">
        <v>68</v>
      </c>
      <c r="H6609" t="s" s="10">
        <v>68</v>
      </c>
      <c r="I6609" t="s" s="11">
        <v>68</v>
      </c>
      <c r="J6609" t="s" s="11">
        <v>20</v>
      </c>
      <c r="K6609" s="15"/>
      <c r="L6609" t="s" s="16">
        <f>HYPERLINK("http://csr.bu.edu/ftp/asl/asllvd/demos/verify_start_end_handshape_annotations//test_auto_move//signs_mov_separ_signers/Brady_15645.mov","MOV")</f>
        <v>21</v>
      </c>
      <c r="M6609" t="s" s="10">
        <v>31</v>
      </c>
      <c r="N6609" s="17">
        <v>28</v>
      </c>
      <c r="O6609" s="18">
        <v>11926</v>
      </c>
      <c r="P6609" s="18">
        <v>11970</v>
      </c>
      <c r="Q6609" s="15"/>
      <c r="R6609" t="s" s="16">
        <f>HYPERLINK("http://secrets.rutgers.edu:8080/data/asl-ftp/asllvd/demos/verify_start_end_handshape_annotations//test_auto_move//signs_mov_separ_signers/Brady_15645.mov","MOV")</f>
        <v>21</v>
      </c>
    </row>
    <row r="6610" s="2" customFormat="1" ht="13.5" customHeight="1">
      <c r="B6610" s="13"/>
      <c r="C6610" t="s" s="9">
        <v>41</v>
      </c>
      <c r="D6610" t="s" s="8">
        <v>2268</v>
      </c>
      <c r="E6610" t="s" s="9">
        <v>2269</v>
      </c>
      <c r="F6610" t="s" s="10">
        <v>68</v>
      </c>
      <c r="G6610" t="s" s="11">
        <v>68</v>
      </c>
      <c r="H6610" t="s" s="10">
        <v>68</v>
      </c>
      <c r="I6610" t="s" s="11">
        <v>68</v>
      </c>
      <c r="J6610" t="s" s="11">
        <v>20</v>
      </c>
      <c r="K6610" s="15"/>
      <c r="L6610" t="s" s="16">
        <f>HYPERLINK("http://csr.bu.edu/ftp/asl/asllvd/demos/verify_start_end_handshape_annotations//test_auto_move//signs_mov_separ_signers/Lana_15645.mov","MOV")</f>
        <v>21</v>
      </c>
      <c r="M6610" t="s" s="10">
        <v>42</v>
      </c>
      <c r="N6610" s="17">
        <v>5</v>
      </c>
      <c r="O6610" s="18">
        <v>2524</v>
      </c>
      <c r="P6610" s="18">
        <v>2580</v>
      </c>
      <c r="Q6610" s="15"/>
      <c r="R6610" t="s" s="16">
        <f>HYPERLINK("http://secrets.rutgers.edu:8080/data/asl-ftp/asllvd/demos/verify_start_end_handshape_annotations//test_auto_move//signs_mov_separ_signers/Lana_15645.mov","MOV")</f>
        <v>21</v>
      </c>
    </row>
    <row r="6611" s="2" customFormat="1" ht="13.5" customHeight="1">
      <c r="B6611" s="13"/>
      <c r="C6611" t="s" s="9">
        <v>43</v>
      </c>
      <c r="D6611" t="s" s="8">
        <v>2268</v>
      </c>
      <c r="E6611" t="s" s="9">
        <v>2269</v>
      </c>
      <c r="F6611" t="s" s="10">
        <v>68</v>
      </c>
      <c r="G6611" t="s" s="11">
        <v>68</v>
      </c>
      <c r="H6611" t="s" s="10">
        <v>68</v>
      </c>
      <c r="I6611" t="s" s="11">
        <v>68</v>
      </c>
      <c r="J6611" t="s" s="11">
        <v>20</v>
      </c>
      <c r="K6611" s="15"/>
      <c r="L6611" t="s" s="16">
        <f>HYPERLINK("http://csr.bu.edu/ftp/asl/asllvd/demos/verify_start_end_handshape_annotations//test_auto_move//signs_mov_separ_signers/Dana_15645.mov","MOV")</f>
        <v>21</v>
      </c>
      <c r="M6611" t="s" s="10">
        <v>44</v>
      </c>
      <c r="N6611" s="17">
        <v>9</v>
      </c>
      <c r="O6611" s="18">
        <v>2717</v>
      </c>
      <c r="P6611" s="18">
        <v>2783</v>
      </c>
      <c r="Q6611" s="15"/>
      <c r="R6611" t="s" s="16">
        <f>HYPERLINK("http://secrets.rutgers.edu:8080/data/asl-ftp/asllvd/demos/verify_start_end_handshape_annotations//test_auto_move//signs_mov_separ_signers/Dana_15645.mov","MOV")</f>
        <v>21</v>
      </c>
    </row>
    <row r="6612" s="2" customFormat="1" ht="13.5" customHeight="1">
      <c r="B6612" t="s" s="8">
        <v>2270</v>
      </c>
      <c r="C6612" t="s" s="9">
        <v>14</v>
      </c>
      <c r="D6612" t="s" s="8">
        <v>14</v>
      </c>
      <c r="E6612" t="s" s="9">
        <v>14</v>
      </c>
      <c r="F6612" t="s" s="10">
        <v>14</v>
      </c>
      <c r="G6612" t="s" s="11">
        <v>14</v>
      </c>
      <c r="H6612" t="s" s="10">
        <v>14</v>
      </c>
      <c r="I6612" t="s" s="11">
        <v>14</v>
      </c>
      <c r="J6612" t="s" s="11">
        <v>14</v>
      </c>
      <c r="K6612" t="s" s="12">
        <v>14</v>
      </c>
      <c r="L6612" t="s" s="12">
        <v>14</v>
      </c>
      <c r="M6612" t="s" s="10">
        <v>14</v>
      </c>
      <c r="N6612" t="s" s="11">
        <v>14</v>
      </c>
      <c r="O6612" t="s" s="8">
        <v>14</v>
      </c>
      <c r="P6612" t="s" s="8">
        <v>14</v>
      </c>
      <c r="Q6612" t="s" s="12">
        <v>14</v>
      </c>
      <c r="R6612" t="s" s="12">
        <v>14</v>
      </c>
    </row>
    <row r="6613" s="2" customFormat="1" ht="13.5" customHeight="1">
      <c r="B6613" s="13"/>
      <c r="C6613" t="s" s="9">
        <v>16</v>
      </c>
      <c r="D6613" t="s" s="8">
        <v>2270</v>
      </c>
      <c r="E6613" t="s" s="9">
        <v>2270</v>
      </c>
      <c r="F6613" t="s" s="10">
        <v>73</v>
      </c>
      <c r="G6613" t="s" s="11">
        <v>73</v>
      </c>
      <c r="H6613" t="s" s="10">
        <v>73</v>
      </c>
      <c r="I6613" t="s" s="11">
        <v>73</v>
      </c>
      <c r="J6613" t="s" s="11">
        <v>20</v>
      </c>
      <c r="K6613" s="15"/>
      <c r="L6613" t="s" s="16">
        <f>HYPERLINK("http://csr.bu.edu/ftp/asl/asllvd/demos/verify_start_end_handshape_annotations//test_auto_move//signs_mov_separ_signers/Liz_1481.mov","MOV")</f>
        <v>21</v>
      </c>
      <c r="M6613" t="s" s="10">
        <v>34</v>
      </c>
      <c r="N6613" s="17">
        <v>57</v>
      </c>
      <c r="O6613" s="18">
        <v>720</v>
      </c>
      <c r="P6613" s="18">
        <v>780</v>
      </c>
      <c r="Q6613" s="15"/>
      <c r="R6613" t="s" s="16">
        <f>HYPERLINK("http://secrets.rutgers.edu:8080/data/asl-ftp/asllvd/demos/verify_start_end_handshape_annotations//test_auto_move//signs_mov_separ_signers/Liz_1481.mov","MOV")</f>
        <v>21</v>
      </c>
    </row>
    <row r="6614" s="2" customFormat="1" ht="13.5" customHeight="1">
      <c r="B6614" s="13"/>
      <c r="C6614" t="s" s="9">
        <v>27</v>
      </c>
      <c r="D6614" t="s" s="8">
        <v>2270</v>
      </c>
      <c r="E6614" t="s" s="9">
        <v>2270</v>
      </c>
      <c r="F6614" t="s" s="10">
        <v>73</v>
      </c>
      <c r="G6614" t="s" s="11">
        <v>73</v>
      </c>
      <c r="H6614" t="s" s="10">
        <v>73</v>
      </c>
      <c r="I6614" t="s" s="11">
        <v>109</v>
      </c>
      <c r="J6614" t="s" s="11">
        <v>20</v>
      </c>
      <c r="K6614" t="s" s="16">
        <f>HYPERLINK("http://csr.bu.edu/ftp/asl/asllvd/demos/verify_start_end_handshape_annotations//test_auto_move//signs_mov/1481.mov","MOV")</f>
        <v>21</v>
      </c>
      <c r="L6614" t="s" s="16">
        <f>HYPERLINK("http://csr.bu.edu/ftp/asl/asllvd/demos/verify_start_end_handshape_annotations//test_auto_move//signs_mov_separ_signers/Naomi_1481.mov","MOV")</f>
        <v>21</v>
      </c>
      <c r="M6614" t="s" s="10">
        <v>48</v>
      </c>
      <c r="N6614" s="17">
        <v>12</v>
      </c>
      <c r="O6614" s="18">
        <v>345</v>
      </c>
      <c r="P6614" s="18">
        <v>395</v>
      </c>
      <c r="Q6614" t="s" s="16">
        <f>HYPERLINK("http://secrets.rutgers.edu:8080/data/asl-ftp/asllvd/demos/verify_start_end_handshape_annotations//test_auto_move//signs_mov/1481.mov","MOV")</f>
        <v>21</v>
      </c>
      <c r="R6614" t="s" s="16">
        <f>HYPERLINK("http://secrets.rutgers.edu:8080/data/asl-ftp/asllvd/demos/verify_start_end_handshape_annotations//test_auto_move//signs_mov_separ_signers/Naomi_1481.mov","MOV")</f>
        <v>21</v>
      </c>
    </row>
    <row r="6615" s="2" customFormat="1" ht="13.5" customHeight="1">
      <c r="B6615" s="13"/>
      <c r="C6615" t="s" s="9">
        <v>30</v>
      </c>
      <c r="D6615" t="s" s="8">
        <v>2270</v>
      </c>
      <c r="E6615" t="s" s="9">
        <v>2270</v>
      </c>
      <c r="F6615" t="s" s="10">
        <v>73</v>
      </c>
      <c r="G6615" t="s" s="11">
        <v>73</v>
      </c>
      <c r="H6615" t="s" s="10">
        <v>73</v>
      </c>
      <c r="I6615" t="s" s="11">
        <v>73</v>
      </c>
      <c r="J6615" t="s" s="11">
        <v>20</v>
      </c>
      <c r="K6615" s="15"/>
      <c r="L6615" t="s" s="16">
        <f>HYPERLINK("http://csr.bu.edu/ftp/asl/asllvd/demos/verify_start_end_handshape_annotations//test_auto_move//signs_mov_separ_signers/Brady_1481.mov","MOV")</f>
        <v>21</v>
      </c>
      <c r="M6615" t="s" s="10">
        <v>39</v>
      </c>
      <c r="N6615" s="17">
        <v>53</v>
      </c>
      <c r="O6615" s="18">
        <v>5402</v>
      </c>
      <c r="P6615" s="18">
        <v>5447</v>
      </c>
      <c r="Q6615" s="15"/>
      <c r="R6615" t="s" s="16">
        <f>HYPERLINK("http://secrets.rutgers.edu:8080/data/asl-ftp/asllvd/demos/verify_start_end_handshape_annotations//test_auto_move//signs_mov_separ_signers/Brady_1481.mov","MOV")</f>
        <v>21</v>
      </c>
    </row>
    <row r="6616" s="2" customFormat="1" ht="13.5" customHeight="1">
      <c r="B6616" t="s" s="8">
        <v>2271</v>
      </c>
      <c r="C6616" t="s" s="9">
        <v>14</v>
      </c>
      <c r="D6616" t="s" s="8">
        <v>14</v>
      </c>
      <c r="E6616" t="s" s="9">
        <v>14</v>
      </c>
      <c r="F6616" t="s" s="10">
        <v>14</v>
      </c>
      <c r="G6616" t="s" s="11">
        <v>14</v>
      </c>
      <c r="H6616" t="s" s="10">
        <v>14</v>
      </c>
      <c r="I6616" t="s" s="11">
        <v>14</v>
      </c>
      <c r="J6616" t="s" s="11">
        <v>14</v>
      </c>
      <c r="K6616" t="s" s="12">
        <v>14</v>
      </c>
      <c r="L6616" t="s" s="12">
        <v>14</v>
      </c>
      <c r="M6616" t="s" s="10">
        <v>14</v>
      </c>
      <c r="N6616" t="s" s="11">
        <v>14</v>
      </c>
      <c r="O6616" t="s" s="8">
        <v>14</v>
      </c>
      <c r="P6616" t="s" s="8">
        <v>14</v>
      </c>
      <c r="Q6616" t="s" s="12">
        <v>14</v>
      </c>
      <c r="R6616" t="s" s="12">
        <v>14</v>
      </c>
    </row>
    <row r="6617" s="2" customFormat="1" ht="13.5" customHeight="1">
      <c r="B6617" s="13"/>
      <c r="C6617" t="s" s="9">
        <v>23</v>
      </c>
      <c r="D6617" t="s" s="8">
        <v>2271</v>
      </c>
      <c r="E6617" t="s" s="9">
        <v>2272</v>
      </c>
      <c r="F6617" t="s" s="10">
        <v>229</v>
      </c>
      <c r="G6617" t="s" s="11">
        <v>229</v>
      </c>
      <c r="H6617" t="s" s="10">
        <v>240</v>
      </c>
      <c r="I6617" t="s" s="11">
        <v>240</v>
      </c>
      <c r="J6617" t="s" s="11">
        <v>20</v>
      </c>
      <c r="K6617" t="s" s="16">
        <f>HYPERLINK("http://csr.bu.edu/ftp/asl/asllvd/demos/verify_start_end_handshape_annotations//test_auto_move//signs_mov/1483.mov","MOV")</f>
        <v>21</v>
      </c>
      <c r="L6617" t="s" s="16">
        <f>HYPERLINK("http://csr.bu.edu/ftp/asl/asllvd/demos/verify_start_end_handshape_annotations//test_auto_move//signs_mov_separ_signers/Tyler_1483.mov","MOV")</f>
        <v>21</v>
      </c>
      <c r="M6617" t="s" s="10">
        <v>47</v>
      </c>
      <c r="N6617" s="17">
        <v>9</v>
      </c>
      <c r="O6617" s="18">
        <v>1547</v>
      </c>
      <c r="P6617" s="18">
        <v>1593</v>
      </c>
      <c r="Q6617" t="s" s="16">
        <f>HYPERLINK("http://secrets.rutgers.edu:8080/data/asl-ftp/asllvd/demos/verify_start_end_handshape_annotations//test_auto_move//signs_mov/1483.mov","MOV")</f>
        <v>21</v>
      </c>
      <c r="R6617" t="s" s="16">
        <f>HYPERLINK("http://secrets.rutgers.edu:8080/data/asl-ftp/asllvd/demos/verify_start_end_handshape_annotations//test_auto_move//signs_mov_separ_signers/Tyler_1483.mov","MOV")</f>
        <v>21</v>
      </c>
    </row>
    <row r="6618" s="2" customFormat="1" ht="13.5" customHeight="1">
      <c r="B6618" s="13"/>
      <c r="C6618" t="s" s="9">
        <v>27</v>
      </c>
      <c r="D6618" t="s" s="8">
        <v>2271</v>
      </c>
      <c r="E6618" t="s" s="9">
        <v>2273</v>
      </c>
      <c r="F6618" t="s" s="10">
        <v>229</v>
      </c>
      <c r="G6618" t="s" s="11">
        <v>229</v>
      </c>
      <c r="H6618" t="s" s="10">
        <v>240</v>
      </c>
      <c r="I6618" t="s" s="11">
        <v>240</v>
      </c>
      <c r="J6618" t="s" s="11">
        <v>20</v>
      </c>
      <c r="K6618" s="15"/>
      <c r="L6618" t="s" s="16">
        <f>HYPERLINK("http://csr.bu.edu/ftp/asl/asllvd/demos/verify_start_end_handshape_annotations//test_auto_move//signs_mov_separ_signers/Naomi_1483.mov","MOV")</f>
        <v>21</v>
      </c>
      <c r="M6618" t="s" s="10">
        <v>48</v>
      </c>
      <c r="N6618" s="17">
        <v>12</v>
      </c>
      <c r="O6618" s="18">
        <v>1230</v>
      </c>
      <c r="P6618" s="18">
        <v>1268</v>
      </c>
      <c r="Q6618" s="15"/>
      <c r="R6618" t="s" s="16">
        <f>HYPERLINK("http://secrets.rutgers.edu:8080/data/asl-ftp/asllvd/demos/verify_start_end_handshape_annotations//test_auto_move//signs_mov_separ_signers/Naomi_1483.mov","MOV")</f>
        <v>21</v>
      </c>
    </row>
    <row r="6619" s="2" customFormat="1" ht="13.5" customHeight="1">
      <c r="B6619" t="s" s="8">
        <v>52</v>
      </c>
      <c r="C6619" t="s" s="9">
        <v>53</v>
      </c>
      <c r="D6619" t="s" s="8">
        <v>53</v>
      </c>
      <c r="E6619" t="s" s="9">
        <v>53</v>
      </c>
      <c r="F6619" t="s" s="10">
        <v>53</v>
      </c>
      <c r="G6619" t="s" s="11">
        <v>53</v>
      </c>
      <c r="H6619" t="s" s="10">
        <v>53</v>
      </c>
      <c r="I6619" t="s" s="11">
        <v>53</v>
      </c>
      <c r="J6619" t="s" s="11">
        <v>53</v>
      </c>
      <c r="K6619" t="s" s="12">
        <v>53</v>
      </c>
      <c r="L6619" t="s" s="12">
        <v>53</v>
      </c>
      <c r="M6619" t="s" s="10">
        <v>53</v>
      </c>
      <c r="N6619" t="s" s="11">
        <v>53</v>
      </c>
      <c r="O6619" t="s" s="8">
        <v>53</v>
      </c>
      <c r="P6619" t="s" s="8">
        <v>53</v>
      </c>
      <c r="Q6619" t="s" s="12">
        <v>53</v>
      </c>
      <c r="R6619" t="s" s="12">
        <v>53</v>
      </c>
    </row>
    <row r="6620" s="2" customFormat="1" ht="13.5" customHeight="1">
      <c r="B6620" s="13"/>
      <c r="C6620" t="s" s="9">
        <v>23</v>
      </c>
      <c r="D6620" t="s" s="8">
        <v>2271</v>
      </c>
      <c r="E6620" t="s" s="9">
        <v>2274</v>
      </c>
      <c r="F6620" t="s" s="10">
        <v>229</v>
      </c>
      <c r="G6620" t="s" s="11">
        <v>229</v>
      </c>
      <c r="H6620" t="s" s="10">
        <v>240</v>
      </c>
      <c r="I6620" t="s" s="11">
        <v>240</v>
      </c>
      <c r="J6620" t="s" s="11">
        <v>20</v>
      </c>
      <c r="K6620" s="15"/>
      <c r="L6620" t="s" s="16">
        <f>HYPERLINK("http://csr.bu.edu/ftp/asl/asllvd/demos/verify_start_end_handshape_annotations//test_auto_move//signs_mov_separ_signers/Tyler_3507.mov","MOV")</f>
        <v>21</v>
      </c>
      <c r="M6620" t="s" s="10">
        <v>26</v>
      </c>
      <c r="N6620" s="17">
        <v>20</v>
      </c>
      <c r="O6620" s="18">
        <v>3750</v>
      </c>
      <c r="P6620" s="18">
        <v>3807</v>
      </c>
      <c r="Q6620" s="15"/>
      <c r="R6620" t="s" s="16">
        <f>HYPERLINK("http://secrets.rutgers.edu:8080/data/asl-ftp/asllvd/demos/verify_start_end_handshape_annotations//test_auto_move//signs_mov_separ_signers/Tyler_3507.mov","MOV")</f>
        <v>21</v>
      </c>
    </row>
    <row r="6621" s="2" customFormat="1" ht="13.5" customHeight="1">
      <c r="B6621" s="13"/>
      <c r="C6621" t="s" s="9">
        <v>30</v>
      </c>
      <c r="D6621" t="s" s="8">
        <v>2271</v>
      </c>
      <c r="E6621" t="s" s="9">
        <v>2274</v>
      </c>
      <c r="F6621" t="s" s="10">
        <v>229</v>
      </c>
      <c r="G6621" t="s" s="11">
        <v>229</v>
      </c>
      <c r="H6621" t="s" s="10">
        <v>229</v>
      </c>
      <c r="I6621" t="s" s="11">
        <v>229</v>
      </c>
      <c r="J6621" t="s" s="11">
        <v>20</v>
      </c>
      <c r="K6621" t="s" s="16">
        <f>HYPERLINK("http://csr.bu.edu/ftp/asl/asllvd/demos/verify_start_end_handshape_annotations//test_auto_move//signs_mov/3507_5395_merged.mov","MOV")</f>
        <v>21</v>
      </c>
      <c r="L6621" t="s" s="16">
        <f>HYPERLINK("http://csr.bu.edu/ftp/asl/asllvd/demos/verify_start_end_handshape_annotations//test_auto_move//signs_mov_separ_signers/Brady_3507.mov","MOV")</f>
        <v>21</v>
      </c>
      <c r="M6621" t="s" s="10">
        <v>31</v>
      </c>
      <c r="N6621" s="17">
        <v>16</v>
      </c>
      <c r="O6621" s="18">
        <v>6793</v>
      </c>
      <c r="P6621" s="18">
        <v>6826</v>
      </c>
      <c r="Q6621" t="s" s="16">
        <f>HYPERLINK("http://secrets.rutgers.edu:8080/data/asl-ftp/asllvd/demos/verify_start_end_handshape_annotations//test_auto_move//signs_mov/3507_5395_merged.mov","MOV")</f>
        <v>21</v>
      </c>
      <c r="R6621" t="s" s="16">
        <f>HYPERLINK("http://secrets.rutgers.edu:8080/data/asl-ftp/asllvd/demos/verify_start_end_handshape_annotations//test_auto_move//signs_mov_separ_signers/Brady_3507.mov","MOV")</f>
        <v>21</v>
      </c>
    </row>
    <row r="6622" s="2" customFormat="1" ht="13.5" customHeight="1">
      <c r="B6622" s="13"/>
      <c r="C6622" t="s" s="9">
        <v>30</v>
      </c>
      <c r="D6622" t="s" s="8">
        <v>2271</v>
      </c>
      <c r="E6622" t="s" s="9">
        <v>2274</v>
      </c>
      <c r="F6622" t="s" s="10">
        <v>229</v>
      </c>
      <c r="G6622" t="s" s="11">
        <v>229</v>
      </c>
      <c r="H6622" t="s" s="10">
        <v>240</v>
      </c>
      <c r="I6622" t="s" s="11">
        <v>240</v>
      </c>
      <c r="J6622" t="s" s="11">
        <v>20</v>
      </c>
      <c r="K6622" s="15"/>
      <c r="L6622" t="s" s="16">
        <f>HYPERLINK("http://csr.bu.edu/ftp/asl/asllvd/demos/verify_start_end_handshape_annotations//test_auto_move//signs_mov_separ_signers/Brady_5395.mov","MOV")</f>
        <v>21</v>
      </c>
      <c r="M6622" t="s" s="10">
        <v>39</v>
      </c>
      <c r="N6622" s="17">
        <v>53</v>
      </c>
      <c r="O6622" s="18">
        <v>6004</v>
      </c>
      <c r="P6622" s="18">
        <v>6036</v>
      </c>
      <c r="Q6622" s="15"/>
      <c r="R6622" t="s" s="16">
        <f>HYPERLINK("http://secrets.rutgers.edu:8080/data/asl-ftp/asllvd/demos/verify_start_end_handshape_annotations//test_auto_move//signs_mov_separ_signers/Brady_5395.mov","MOV")</f>
        <v>21</v>
      </c>
    </row>
    <row r="6623" s="2" customFormat="1" ht="13.5" customHeight="1">
      <c r="B6623" t="s" s="8">
        <v>52</v>
      </c>
      <c r="C6623" t="s" s="9">
        <v>53</v>
      </c>
      <c r="D6623" t="s" s="8">
        <v>53</v>
      </c>
      <c r="E6623" t="s" s="9">
        <v>53</v>
      </c>
      <c r="F6623" t="s" s="10">
        <v>53</v>
      </c>
      <c r="G6623" t="s" s="11">
        <v>53</v>
      </c>
      <c r="H6623" t="s" s="10">
        <v>53</v>
      </c>
      <c r="I6623" t="s" s="11">
        <v>53</v>
      </c>
      <c r="J6623" t="s" s="11">
        <v>53</v>
      </c>
      <c r="K6623" t="s" s="12">
        <v>53</v>
      </c>
      <c r="L6623" t="s" s="12">
        <v>53</v>
      </c>
      <c r="M6623" t="s" s="10">
        <v>53</v>
      </c>
      <c r="N6623" t="s" s="11">
        <v>53</v>
      </c>
      <c r="O6623" t="s" s="8">
        <v>53</v>
      </c>
      <c r="P6623" t="s" s="8">
        <v>53</v>
      </c>
      <c r="Q6623" t="s" s="12">
        <v>53</v>
      </c>
      <c r="R6623" t="s" s="12">
        <v>53</v>
      </c>
    </row>
    <row r="6624" s="2" customFormat="1" ht="13.5" customHeight="1">
      <c r="B6624" s="13"/>
      <c r="C6624" t="s" s="9">
        <v>16</v>
      </c>
      <c r="D6624" t="s" s="8">
        <v>2271</v>
      </c>
      <c r="E6624" t="s" s="9">
        <v>2275</v>
      </c>
      <c r="F6624" t="s" s="10">
        <v>229</v>
      </c>
      <c r="G6624" t="s" s="11">
        <v>229</v>
      </c>
      <c r="H6624" t="s" s="10">
        <v>240</v>
      </c>
      <c r="I6624" t="s" s="11">
        <v>240</v>
      </c>
      <c r="J6624" t="s" s="11">
        <v>20</v>
      </c>
      <c r="K6624" t="s" s="16">
        <f>HYPERLINK("http://csr.bu.edu/ftp/asl/asllvd/demos/verify_start_end_handshape_annotations//test_auto_move//signs_mov/5396.mov","MOV")</f>
        <v>21</v>
      </c>
      <c r="L6624" t="s" s="16">
        <f>HYPERLINK("http://csr.bu.edu/ftp/asl/asllvd/demos/verify_start_end_handshape_annotations//test_auto_move//signs_mov_separ_signers/Liz_5396.mov","MOV")</f>
        <v>21</v>
      </c>
      <c r="M6624" t="s" s="10">
        <v>34</v>
      </c>
      <c r="N6624" s="17">
        <v>57</v>
      </c>
      <c r="O6624" s="18">
        <v>1365</v>
      </c>
      <c r="P6624" s="18">
        <v>1422</v>
      </c>
      <c r="Q6624" t="s" s="16">
        <f>HYPERLINK("http://secrets.rutgers.edu:8080/data/asl-ftp/asllvd/demos/verify_start_end_handshape_annotations//test_auto_move//signs_mov/5396.mov","MOV")</f>
        <v>21</v>
      </c>
      <c r="R6624" t="s" s="16">
        <f>HYPERLINK("http://secrets.rutgers.edu:8080/data/asl-ftp/asllvd/demos/verify_start_end_handshape_annotations//test_auto_move//signs_mov_separ_signers/Liz_5396.mov","MOV")</f>
        <v>21</v>
      </c>
    </row>
    <row r="6625" s="2" customFormat="1" ht="13.5" customHeight="1">
      <c r="B6625" t="s" s="8">
        <v>2276</v>
      </c>
      <c r="C6625" t="s" s="9">
        <v>14</v>
      </c>
      <c r="D6625" t="s" s="8">
        <v>14</v>
      </c>
      <c r="E6625" t="s" s="9">
        <v>14</v>
      </c>
      <c r="F6625" t="s" s="10">
        <v>14</v>
      </c>
      <c r="G6625" t="s" s="11">
        <v>14</v>
      </c>
      <c r="H6625" t="s" s="10">
        <v>14</v>
      </c>
      <c r="I6625" t="s" s="11">
        <v>14</v>
      </c>
      <c r="J6625" t="s" s="11">
        <v>14</v>
      </c>
      <c r="K6625" t="s" s="12">
        <v>14</v>
      </c>
      <c r="L6625" t="s" s="12">
        <v>14</v>
      </c>
      <c r="M6625" t="s" s="10">
        <v>14</v>
      </c>
      <c r="N6625" t="s" s="11">
        <v>14</v>
      </c>
      <c r="O6625" t="s" s="8">
        <v>14</v>
      </c>
      <c r="P6625" t="s" s="8">
        <v>14</v>
      </c>
      <c r="Q6625" t="s" s="12">
        <v>14</v>
      </c>
      <c r="R6625" t="s" s="12">
        <v>14</v>
      </c>
    </row>
    <row r="6626" s="2" customFormat="1" ht="13.5" customHeight="1">
      <c r="B6626" s="13"/>
      <c r="C6626" t="s" s="9">
        <v>16</v>
      </c>
      <c r="D6626" t="s" s="8">
        <v>2276</v>
      </c>
      <c r="E6626" t="s" s="9">
        <v>2277</v>
      </c>
      <c r="F6626" t="s" s="10">
        <v>229</v>
      </c>
      <c r="G6626" t="s" s="11">
        <v>229</v>
      </c>
      <c r="H6626" t="s" s="10">
        <v>240</v>
      </c>
      <c r="I6626" t="s" s="11">
        <v>240</v>
      </c>
      <c r="J6626" t="s" s="11">
        <v>20</v>
      </c>
      <c r="K6626" s="15"/>
      <c r="L6626" t="s" s="16">
        <f>HYPERLINK("http://csr.bu.edu/ftp/asl/asllvd/demos/verify_start_end_handshape_annotations//test_auto_move//signs_mov_separ_signers/Liz_15139.mov","MOV")</f>
        <v>21</v>
      </c>
      <c r="M6626" t="s" s="10">
        <v>84</v>
      </c>
      <c r="N6626" s="17">
        <v>40</v>
      </c>
      <c r="O6626" s="18">
        <v>1145</v>
      </c>
      <c r="P6626" s="18">
        <v>1197</v>
      </c>
      <c r="Q6626" s="15"/>
      <c r="R6626" t="s" s="16">
        <f>HYPERLINK("http://secrets.rutgers.edu:8080/data/asl-ftp/asllvd/demos/verify_start_end_handshape_annotations//test_auto_move//signs_mov_separ_signers/Liz_15139.mov","MOV")</f>
        <v>21</v>
      </c>
    </row>
    <row r="6627" s="2" customFormat="1" ht="13.5" customHeight="1">
      <c r="B6627" s="13"/>
      <c r="C6627" t="s" s="9">
        <v>16</v>
      </c>
      <c r="D6627" t="s" s="8">
        <v>2276</v>
      </c>
      <c r="E6627" t="s" s="9">
        <v>2276</v>
      </c>
      <c r="F6627" t="s" s="10">
        <v>229</v>
      </c>
      <c r="G6627" t="s" s="11">
        <v>229</v>
      </c>
      <c r="H6627" t="s" s="10">
        <v>425</v>
      </c>
      <c r="I6627" t="s" s="11">
        <v>425</v>
      </c>
      <c r="J6627" t="s" s="11">
        <v>20</v>
      </c>
      <c r="K6627" s="15"/>
      <c r="L6627" t="s" s="16">
        <f>HYPERLINK("http://csr.bu.edu/ftp/asl/asllvd/demos/verify_start_end_handshape_annotations//test_auto_move//signs_mov_separ_signers/Liz_16501.mov","MOV")</f>
        <v>21</v>
      </c>
      <c r="M6627" t="s" s="10">
        <v>59</v>
      </c>
      <c r="N6627" s="17">
        <v>30</v>
      </c>
      <c r="O6627" s="18">
        <v>3161</v>
      </c>
      <c r="P6627" s="18">
        <v>3190</v>
      </c>
      <c r="Q6627" s="15"/>
      <c r="R6627" t="s" s="16">
        <f>HYPERLINK("http://secrets.rutgers.edu:8080/data/asl-ftp/asllvd/demos/verify_start_end_handshape_annotations//test_auto_move//signs_mov_separ_signers/Liz_16501.mov","MOV")</f>
        <v>21</v>
      </c>
    </row>
    <row r="6628" s="2" customFormat="1" ht="13.5" customHeight="1">
      <c r="B6628" s="13"/>
      <c r="C6628" t="s" s="9">
        <v>23</v>
      </c>
      <c r="D6628" t="s" s="8">
        <v>2276</v>
      </c>
      <c r="E6628" t="s" s="9">
        <v>2276</v>
      </c>
      <c r="F6628" t="s" s="10">
        <v>229</v>
      </c>
      <c r="G6628" t="s" s="11">
        <v>229</v>
      </c>
      <c r="H6628" t="s" s="10">
        <v>240</v>
      </c>
      <c r="I6628" t="s" s="11">
        <v>240</v>
      </c>
      <c r="J6628" t="s" s="11">
        <v>20</v>
      </c>
      <c r="K6628" t="s" s="16">
        <f>HYPERLINK("http://csr.bu.edu/ftp/asl/asllvd/demos/verify_start_end_handshape_annotations//test_auto_move//signs_mov/15139_16501_merged.mov","MOV")</f>
        <v>21</v>
      </c>
      <c r="L6628" t="s" s="16">
        <f>HYPERLINK("http://csr.bu.edu/ftp/asl/asllvd/demos/verify_start_end_handshape_annotations//test_auto_move//signs_mov_separ_signers/Tyler_15139.mov","MOV")</f>
        <v>21</v>
      </c>
      <c r="M6628" t="s" s="10">
        <v>92</v>
      </c>
      <c r="N6628" s="17">
        <v>20</v>
      </c>
      <c r="O6628" s="18">
        <v>1850</v>
      </c>
      <c r="P6628" s="18">
        <v>1892</v>
      </c>
      <c r="Q6628" t="s" s="16">
        <f>HYPERLINK("http://secrets.rutgers.edu:8080/data/asl-ftp/asllvd/demos/verify_start_end_handshape_annotations//test_auto_move//signs_mov/15139_16501_merged.mov","MOV")</f>
        <v>21</v>
      </c>
      <c r="R6628" t="s" s="16">
        <f>HYPERLINK("http://secrets.rutgers.edu:8080/data/asl-ftp/asllvd/demos/verify_start_end_handshape_annotations//test_auto_move//signs_mov_separ_signers/Tyler_15139.mov","MOV")</f>
        <v>21</v>
      </c>
    </row>
    <row r="6629" s="2" customFormat="1" ht="13.5" customHeight="1">
      <c r="B6629" s="13"/>
      <c r="C6629" t="s" s="9">
        <v>30</v>
      </c>
      <c r="D6629" t="s" s="8">
        <v>2276</v>
      </c>
      <c r="E6629" t="s" s="9">
        <v>2277</v>
      </c>
      <c r="F6629" t="s" s="10">
        <v>229</v>
      </c>
      <c r="G6629" t="s" s="11">
        <v>229</v>
      </c>
      <c r="H6629" t="s" s="10">
        <v>240</v>
      </c>
      <c r="I6629" t="s" s="11">
        <v>240</v>
      </c>
      <c r="J6629" t="s" s="11">
        <v>20</v>
      </c>
      <c r="K6629" s="15"/>
      <c r="L6629" t="s" s="16">
        <f>HYPERLINK("http://csr.bu.edu/ftp/asl/asllvd/demos/verify_start_end_handshape_annotations//test_auto_move//signs_mov_separ_signers/Brady_15139.mov","MOV")</f>
        <v>21</v>
      </c>
      <c r="M6629" t="s" s="10">
        <v>39</v>
      </c>
      <c r="N6629" s="17">
        <v>17</v>
      </c>
      <c r="O6629" s="18">
        <v>3596</v>
      </c>
      <c r="P6629" s="18">
        <v>3632</v>
      </c>
      <c r="Q6629" s="15"/>
      <c r="R6629" t="s" s="16">
        <f>HYPERLINK("http://secrets.rutgers.edu:8080/data/asl-ftp/asllvd/demos/verify_start_end_handshape_annotations//test_auto_move//signs_mov_separ_signers/Brady_15139.mov","MOV")</f>
        <v>21</v>
      </c>
    </row>
    <row r="6630" s="2" customFormat="1" ht="13.5" customHeight="1">
      <c r="B6630" s="13"/>
      <c r="C6630" t="s" s="9">
        <v>30</v>
      </c>
      <c r="D6630" t="s" s="8">
        <v>2276</v>
      </c>
      <c r="E6630" t="s" s="9">
        <v>2276</v>
      </c>
      <c r="F6630" t="s" s="10">
        <v>229</v>
      </c>
      <c r="G6630" t="s" s="11">
        <v>229</v>
      </c>
      <c r="H6630" t="s" s="10">
        <v>240</v>
      </c>
      <c r="I6630" t="s" s="11">
        <v>240</v>
      </c>
      <c r="J6630" t="s" s="11">
        <v>20</v>
      </c>
      <c r="K6630" s="15"/>
      <c r="L6630" t="s" s="16">
        <f>HYPERLINK("http://csr.bu.edu/ftp/asl/asllvd/demos/verify_start_end_handshape_annotations//test_auto_move//signs_mov_separ_signers/Brady_16501.mov","MOV")</f>
        <v>21</v>
      </c>
      <c r="M6630" t="s" s="10">
        <v>60</v>
      </c>
      <c r="N6630" s="17">
        <v>19</v>
      </c>
      <c r="O6630" s="18">
        <v>1390</v>
      </c>
      <c r="P6630" s="18">
        <v>1411</v>
      </c>
      <c r="Q6630" s="15"/>
      <c r="R6630" t="s" s="16">
        <f>HYPERLINK("http://secrets.rutgers.edu:8080/data/asl-ftp/asllvd/demos/verify_start_end_handshape_annotations//test_auto_move//signs_mov_separ_signers/Brady_16501.mov","MOV")</f>
        <v>21</v>
      </c>
    </row>
    <row r="6631" s="2" customFormat="1" ht="13.5" customHeight="1">
      <c r="B6631" t="s" s="8">
        <v>52</v>
      </c>
      <c r="C6631" t="s" s="9">
        <v>53</v>
      </c>
      <c r="D6631" t="s" s="8">
        <v>53</v>
      </c>
      <c r="E6631" t="s" s="9">
        <v>53</v>
      </c>
      <c r="F6631" t="s" s="10">
        <v>53</v>
      </c>
      <c r="G6631" t="s" s="11">
        <v>53</v>
      </c>
      <c r="H6631" t="s" s="10">
        <v>53</v>
      </c>
      <c r="I6631" t="s" s="11">
        <v>53</v>
      </c>
      <c r="J6631" t="s" s="11">
        <v>53</v>
      </c>
      <c r="K6631" t="s" s="12">
        <v>53</v>
      </c>
      <c r="L6631" t="s" s="12">
        <v>53</v>
      </c>
      <c r="M6631" t="s" s="10">
        <v>53</v>
      </c>
      <c r="N6631" t="s" s="11">
        <v>53</v>
      </c>
      <c r="O6631" t="s" s="8">
        <v>53</v>
      </c>
      <c r="P6631" t="s" s="8">
        <v>53</v>
      </c>
      <c r="Q6631" t="s" s="12">
        <v>53</v>
      </c>
      <c r="R6631" t="s" s="12">
        <v>53</v>
      </c>
    </row>
    <row r="6632" s="2" customFormat="1" ht="13.5" customHeight="1">
      <c r="B6632" s="13"/>
      <c r="C6632" t="s" s="9">
        <v>27</v>
      </c>
      <c r="D6632" t="s" s="8">
        <v>2276</v>
      </c>
      <c r="E6632" t="s" s="9">
        <v>2278</v>
      </c>
      <c r="F6632" t="s" s="10">
        <v>229</v>
      </c>
      <c r="G6632" t="s" s="11">
        <v>229</v>
      </c>
      <c r="H6632" t="s" s="10">
        <v>240</v>
      </c>
      <c r="I6632" t="s" s="11">
        <v>240</v>
      </c>
      <c r="J6632" t="s" s="11">
        <v>20</v>
      </c>
      <c r="K6632" t="s" s="16">
        <f>HYPERLINK("http://csr.bu.edu/ftp/asl/asllvd/demos/verify_start_end_handshape_annotations//test_auto_move//signs_mov/16502.mov","MOV")</f>
        <v>21</v>
      </c>
      <c r="L6632" t="s" s="16">
        <f>HYPERLINK("http://csr.bu.edu/ftp/asl/asllvd/demos/verify_start_end_handshape_annotations//test_auto_move//signs_mov_separ_signers/Naomi_16502.mov","MOV")</f>
        <v>21</v>
      </c>
      <c r="M6632" t="s" s="10">
        <v>86</v>
      </c>
      <c r="N6632" s="17">
        <v>40</v>
      </c>
      <c r="O6632" s="18">
        <v>1885</v>
      </c>
      <c r="P6632" s="18">
        <v>1915</v>
      </c>
      <c r="Q6632" t="s" s="16">
        <f>HYPERLINK("http://secrets.rutgers.edu:8080/data/asl-ftp/asllvd/demos/verify_start_end_handshape_annotations//test_auto_move//signs_mov/16502.mov","MOV")</f>
        <v>21</v>
      </c>
      <c r="R6632" t="s" s="16">
        <f>HYPERLINK("http://secrets.rutgers.edu:8080/data/asl-ftp/asllvd/demos/verify_start_end_handshape_annotations//test_auto_move//signs_mov_separ_signers/Naomi_16502.mov","MOV")</f>
        <v>21</v>
      </c>
    </row>
    <row r="6633" s="2" customFormat="1" ht="13.5" customHeight="1">
      <c r="B6633" t="s" s="8">
        <v>2279</v>
      </c>
      <c r="C6633" t="s" s="9">
        <v>14</v>
      </c>
      <c r="D6633" t="s" s="8">
        <v>14</v>
      </c>
      <c r="E6633" t="s" s="9">
        <v>14</v>
      </c>
      <c r="F6633" t="s" s="10">
        <v>14</v>
      </c>
      <c r="G6633" t="s" s="11">
        <v>14</v>
      </c>
      <c r="H6633" t="s" s="10">
        <v>14</v>
      </c>
      <c r="I6633" t="s" s="11">
        <v>14</v>
      </c>
      <c r="J6633" t="s" s="11">
        <v>14</v>
      </c>
      <c r="K6633" t="s" s="12">
        <v>14</v>
      </c>
      <c r="L6633" t="s" s="12">
        <v>14</v>
      </c>
      <c r="M6633" t="s" s="10">
        <v>14</v>
      </c>
      <c r="N6633" t="s" s="11">
        <v>14</v>
      </c>
      <c r="O6633" t="s" s="8">
        <v>14</v>
      </c>
      <c r="P6633" t="s" s="8">
        <v>14</v>
      </c>
      <c r="Q6633" t="s" s="12">
        <v>14</v>
      </c>
      <c r="R6633" t="s" s="12">
        <v>14</v>
      </c>
    </row>
    <row r="6634" s="2" customFormat="1" ht="13.5" customHeight="1">
      <c r="B6634" s="13"/>
      <c r="C6634" t="s" s="9">
        <v>16</v>
      </c>
      <c r="D6634" t="s" s="8">
        <v>2279</v>
      </c>
      <c r="E6634" t="s" s="9">
        <v>2279</v>
      </c>
      <c r="F6634" t="s" s="10">
        <v>63</v>
      </c>
      <c r="G6634" s="14"/>
      <c r="H6634" s="19">
        <v>5</v>
      </c>
      <c r="I6634" s="14"/>
      <c r="J6634" t="s" s="11">
        <v>20</v>
      </c>
      <c r="K6634" s="15"/>
      <c r="L6634" t="s" s="16">
        <f>HYPERLINK("http://csr.bu.edu/ftp/asl/asllvd/demos/verify_start_end_handshape_annotations//test_auto_move//signs_mov_separ_signers/Liz_1484.mov","MOV")</f>
        <v>21</v>
      </c>
      <c r="M6634" t="s" s="10">
        <v>34</v>
      </c>
      <c r="N6634" s="17">
        <v>3</v>
      </c>
      <c r="O6634" s="18">
        <v>976</v>
      </c>
      <c r="P6634" s="18">
        <v>1032</v>
      </c>
      <c r="Q6634" s="15"/>
      <c r="R6634" t="s" s="16">
        <f>HYPERLINK("http://secrets.rutgers.edu:8080/data/asl-ftp/asllvd/demos/verify_start_end_handshape_annotations//test_auto_move//signs_mov_separ_signers/Liz_1484.mov","MOV")</f>
        <v>21</v>
      </c>
    </row>
    <row r="6635" s="2" customFormat="1" ht="13.5" customHeight="1">
      <c r="B6635" s="13"/>
      <c r="C6635" t="s" s="9">
        <v>16</v>
      </c>
      <c r="D6635" t="s" s="8">
        <v>2279</v>
      </c>
      <c r="E6635" t="s" s="9">
        <v>2279</v>
      </c>
      <c r="F6635" t="s" s="10">
        <v>63</v>
      </c>
      <c r="G6635" s="14"/>
      <c r="H6635" s="19">
        <v>5</v>
      </c>
      <c r="I6635" s="14"/>
      <c r="J6635" t="s" s="11">
        <v>20</v>
      </c>
      <c r="K6635" s="15"/>
      <c r="L6635" t="s" s="16">
        <f>HYPERLINK("http://csr.bu.edu/ftp/asl/asllvd/demos/verify_start_end_handshape_annotations//test_auto_move//signs_mov_separ_signers/Liz_3336.mov","MOV")</f>
        <v>21</v>
      </c>
      <c r="M6635" t="s" s="10">
        <v>77</v>
      </c>
      <c r="N6635" s="17">
        <v>2</v>
      </c>
      <c r="O6635" s="18">
        <v>3615</v>
      </c>
      <c r="P6635" s="18">
        <v>3705</v>
      </c>
      <c r="Q6635" s="15"/>
      <c r="R6635" t="s" s="16">
        <f>HYPERLINK("http://secrets.rutgers.edu:8080/data/asl-ftp/asllvd/demos/verify_start_end_handshape_annotations//test_auto_move//signs_mov_separ_signers/Liz_3336.mov","MOV")</f>
        <v>21</v>
      </c>
    </row>
    <row r="6636" s="2" customFormat="1" ht="13.5" customHeight="1">
      <c r="B6636" s="13"/>
      <c r="C6636" t="s" s="9">
        <v>27</v>
      </c>
      <c r="D6636" t="s" s="8">
        <v>2279</v>
      </c>
      <c r="E6636" t="s" s="9">
        <v>2279</v>
      </c>
      <c r="F6636" t="s" s="10">
        <v>63</v>
      </c>
      <c r="G6636" s="14"/>
      <c r="H6636" s="19">
        <v>5</v>
      </c>
      <c r="I6636" s="14"/>
      <c r="J6636" t="s" s="11">
        <v>20</v>
      </c>
      <c r="K6636" t="s" s="16">
        <f>HYPERLINK("http://csr.bu.edu/ftp/asl/asllvd/demos/verify_start_end_handshape_annotations//test_auto_move//signs_mov/1484_3336_merged.mov","MOV")</f>
        <v>21</v>
      </c>
      <c r="L6636" t="s" s="16">
        <f>HYPERLINK("http://csr.bu.edu/ftp/asl/asllvd/demos/verify_start_end_handshape_annotations//test_auto_move//signs_mov_separ_signers/Naomi_1484.mov","MOV")</f>
        <v>21</v>
      </c>
      <c r="M6636" t="s" s="10">
        <v>38</v>
      </c>
      <c r="N6636" s="17">
        <v>3</v>
      </c>
      <c r="O6636" s="18">
        <v>1825</v>
      </c>
      <c r="P6636" s="18">
        <v>1860</v>
      </c>
      <c r="Q6636" t="s" s="16">
        <f>HYPERLINK("http://secrets.rutgers.edu:8080/data/asl-ftp/asllvd/demos/verify_start_end_handshape_annotations//test_auto_move//signs_mov/1484_3336_merged.mov","MOV")</f>
        <v>21</v>
      </c>
      <c r="R6636" t="s" s="16">
        <f>HYPERLINK("http://secrets.rutgers.edu:8080/data/asl-ftp/asllvd/demos/verify_start_end_handshape_annotations//test_auto_move//signs_mov_separ_signers/Naomi_1484.mov","MOV")</f>
        <v>21</v>
      </c>
    </row>
    <row r="6637" s="2" customFormat="1" ht="13.5" customHeight="1">
      <c r="B6637" s="13"/>
      <c r="C6637" t="s" s="9">
        <v>27</v>
      </c>
      <c r="D6637" t="s" s="8">
        <v>2279</v>
      </c>
      <c r="E6637" t="s" s="9">
        <v>2279</v>
      </c>
      <c r="F6637" t="s" s="10">
        <v>63</v>
      </c>
      <c r="G6637" s="14"/>
      <c r="H6637" s="19">
        <v>5</v>
      </c>
      <c r="I6637" s="14"/>
      <c r="J6637" t="s" s="11">
        <v>20</v>
      </c>
      <c r="K6637" s="15"/>
      <c r="L6637" t="s" s="16">
        <f>HYPERLINK("http://csr.bu.edu/ftp/asl/asllvd/demos/verify_start_end_handshape_annotations//test_auto_move//signs_mov_separ_signers/Naomi_3336.mov","MOV")</f>
        <v>21</v>
      </c>
      <c r="M6637" t="s" s="10">
        <v>48</v>
      </c>
      <c r="N6637" s="17">
        <v>12</v>
      </c>
      <c r="O6637" s="18">
        <v>1735</v>
      </c>
      <c r="P6637" s="18">
        <v>1770</v>
      </c>
      <c r="Q6637" s="15"/>
      <c r="R6637" t="s" s="16">
        <f>HYPERLINK("http://secrets.rutgers.edu:8080/data/asl-ftp/asllvd/demos/verify_start_end_handshape_annotations//test_auto_move//signs_mov_separ_signers/Naomi_3336.mov","MOV")</f>
        <v>21</v>
      </c>
    </row>
    <row r="6638" s="2" customFormat="1" ht="13.5" customHeight="1">
      <c r="B6638" s="13"/>
      <c r="C6638" t="s" s="9">
        <v>30</v>
      </c>
      <c r="D6638" t="s" s="8">
        <v>2279</v>
      </c>
      <c r="E6638" t="s" s="9">
        <v>2279</v>
      </c>
      <c r="F6638" t="s" s="10">
        <v>63</v>
      </c>
      <c r="G6638" s="14"/>
      <c r="H6638" s="19">
        <v>5</v>
      </c>
      <c r="I6638" s="14"/>
      <c r="J6638" t="s" s="11">
        <v>20</v>
      </c>
      <c r="K6638" s="15"/>
      <c r="L6638" t="s" s="16">
        <f>HYPERLINK("http://csr.bu.edu/ftp/asl/asllvd/demos/verify_start_end_handshape_annotations//test_auto_move//signs_mov_separ_signers/Brady_1484.mov","MOV")</f>
        <v>21</v>
      </c>
      <c r="M6638" t="s" s="10">
        <v>39</v>
      </c>
      <c r="N6638" s="17">
        <v>25</v>
      </c>
      <c r="O6638" s="18">
        <v>446</v>
      </c>
      <c r="P6638" s="18">
        <v>471</v>
      </c>
      <c r="Q6638" s="15"/>
      <c r="R6638" t="s" s="16">
        <f>HYPERLINK("http://secrets.rutgers.edu:8080/data/asl-ftp/asllvd/demos/verify_start_end_handshape_annotations//test_auto_move//signs_mov_separ_signers/Brady_1484.mov","MOV")</f>
        <v>21</v>
      </c>
    </row>
    <row r="6639" s="2" customFormat="1" ht="13.5" customHeight="1">
      <c r="B6639" s="13"/>
      <c r="C6639" t="s" s="9">
        <v>30</v>
      </c>
      <c r="D6639" t="s" s="8">
        <v>2279</v>
      </c>
      <c r="E6639" t="s" s="9">
        <v>2279</v>
      </c>
      <c r="F6639" t="s" s="10">
        <v>63</v>
      </c>
      <c r="G6639" s="14"/>
      <c r="H6639" s="19">
        <v>5</v>
      </c>
      <c r="I6639" s="14"/>
      <c r="J6639" t="s" s="11">
        <v>20</v>
      </c>
      <c r="K6639" s="15"/>
      <c r="L6639" t="s" s="16">
        <f>HYPERLINK("http://csr.bu.edu/ftp/asl/asllvd/demos/verify_start_end_handshape_annotations//test_auto_move//signs_mov_separ_signers/Brady_3336.mov","MOV")</f>
        <v>21</v>
      </c>
      <c r="M6639" t="s" s="10">
        <v>39</v>
      </c>
      <c r="N6639" s="17">
        <v>53</v>
      </c>
      <c r="O6639" s="18">
        <v>6407</v>
      </c>
      <c r="P6639" s="18">
        <v>6432</v>
      </c>
      <c r="Q6639" s="15"/>
      <c r="R6639" t="s" s="16">
        <f>HYPERLINK("http://secrets.rutgers.edu:8080/data/asl-ftp/asllvd/demos/verify_start_end_handshape_annotations//test_auto_move//signs_mov_separ_signers/Brady_3336.mov","MOV")</f>
        <v>21</v>
      </c>
    </row>
    <row r="6640" s="2" customFormat="1" ht="13.5" customHeight="1">
      <c r="B6640" t="s" s="8">
        <v>52</v>
      </c>
      <c r="C6640" t="s" s="9">
        <v>53</v>
      </c>
      <c r="D6640" t="s" s="8">
        <v>53</v>
      </c>
      <c r="E6640" t="s" s="9">
        <v>53</v>
      </c>
      <c r="F6640" t="s" s="10">
        <v>53</v>
      </c>
      <c r="G6640" t="s" s="11">
        <v>53</v>
      </c>
      <c r="H6640" t="s" s="10">
        <v>53</v>
      </c>
      <c r="I6640" t="s" s="11">
        <v>53</v>
      </c>
      <c r="J6640" t="s" s="11">
        <v>53</v>
      </c>
      <c r="K6640" t="s" s="12">
        <v>53</v>
      </c>
      <c r="L6640" t="s" s="12">
        <v>53</v>
      </c>
      <c r="M6640" t="s" s="10">
        <v>53</v>
      </c>
      <c r="N6640" t="s" s="11">
        <v>53</v>
      </c>
      <c r="O6640" t="s" s="8">
        <v>53</v>
      </c>
      <c r="P6640" t="s" s="8">
        <v>53</v>
      </c>
      <c r="Q6640" t="s" s="12">
        <v>53</v>
      </c>
      <c r="R6640" t="s" s="12">
        <v>53</v>
      </c>
    </row>
    <row r="6641" s="2" customFormat="1" ht="13.5" customHeight="1">
      <c r="B6641" s="13"/>
      <c r="C6641" t="s" s="9">
        <v>16</v>
      </c>
      <c r="D6641" t="s" s="8">
        <v>2279</v>
      </c>
      <c r="E6641" t="s" s="9">
        <v>2280</v>
      </c>
      <c r="F6641" t="s" s="10">
        <v>63</v>
      </c>
      <c r="G6641" s="14"/>
      <c r="H6641" s="19">
        <v>5</v>
      </c>
      <c r="I6641" s="14"/>
      <c r="J6641" t="s" s="11">
        <v>20</v>
      </c>
      <c r="K6641" t="s" s="16">
        <f>HYPERLINK("http://csr.bu.edu/ftp/asl/asllvd/demos/verify_start_end_handshape_annotations//test_auto_move//signs_mov/3905.mov","MOV")</f>
        <v>21</v>
      </c>
      <c r="L6641" t="s" s="16">
        <f>HYPERLINK("http://csr.bu.edu/ftp/asl/asllvd/demos/verify_start_end_handshape_annotations//test_auto_move//signs_mov_separ_signers/Liz_3905.mov","MOV")</f>
        <v>21</v>
      </c>
      <c r="M6641" t="s" s="10">
        <v>77</v>
      </c>
      <c r="N6641" s="17">
        <v>2</v>
      </c>
      <c r="O6641" s="18">
        <v>3810</v>
      </c>
      <c r="P6641" s="18">
        <v>3865</v>
      </c>
      <c r="Q6641" t="s" s="16">
        <f>HYPERLINK("http://secrets.rutgers.edu:8080/data/asl-ftp/asllvd/demos/verify_start_end_handshape_annotations//test_auto_move//signs_mov/3905.mov","MOV")</f>
        <v>21</v>
      </c>
      <c r="R6641" t="s" s="16">
        <f>HYPERLINK("http://secrets.rutgers.edu:8080/data/asl-ftp/asllvd/demos/verify_start_end_handshape_annotations//test_auto_move//signs_mov_separ_signers/Liz_3905.mov","MOV")</f>
        <v>21</v>
      </c>
    </row>
    <row r="6642" s="2" customFormat="1" ht="13.5" customHeight="1">
      <c r="B6642" s="13"/>
      <c r="C6642" t="s" s="9">
        <v>30</v>
      </c>
      <c r="D6642" t="s" s="8">
        <v>2279</v>
      </c>
      <c r="E6642" t="s" s="9">
        <v>2280</v>
      </c>
      <c r="F6642" t="s" s="10">
        <v>63</v>
      </c>
      <c r="G6642" s="14"/>
      <c r="H6642" s="19">
        <v>5</v>
      </c>
      <c r="I6642" s="14"/>
      <c r="J6642" t="s" s="11">
        <v>20</v>
      </c>
      <c r="K6642" s="15"/>
      <c r="L6642" t="s" s="16">
        <f>HYPERLINK("http://csr.bu.edu/ftp/asl/asllvd/demos/verify_start_end_handshape_annotations//test_auto_move//signs_mov_separ_signers/Brady_3905.mov","MOV")</f>
        <v>21</v>
      </c>
      <c r="M6642" t="s" s="10">
        <v>39</v>
      </c>
      <c r="N6642" s="17">
        <v>54</v>
      </c>
      <c r="O6642" s="18">
        <v>712</v>
      </c>
      <c r="P6642" s="18">
        <v>751</v>
      </c>
      <c r="Q6642" s="15"/>
      <c r="R6642" t="s" s="16">
        <f>HYPERLINK("http://secrets.rutgers.edu:8080/data/asl-ftp/asllvd/demos/verify_start_end_handshape_annotations//test_auto_move//signs_mov_separ_signers/Brady_3905.mov","MOV")</f>
        <v>21</v>
      </c>
    </row>
    <row r="6643" s="2" customFormat="1" ht="13.5" customHeight="1">
      <c r="B6643" t="s" s="8">
        <v>52</v>
      </c>
      <c r="C6643" t="s" s="9">
        <v>53</v>
      </c>
      <c r="D6643" t="s" s="8">
        <v>53</v>
      </c>
      <c r="E6643" t="s" s="9">
        <v>53</v>
      </c>
      <c r="F6643" t="s" s="10">
        <v>53</v>
      </c>
      <c r="G6643" t="s" s="11">
        <v>53</v>
      </c>
      <c r="H6643" t="s" s="10">
        <v>53</v>
      </c>
      <c r="I6643" t="s" s="11">
        <v>53</v>
      </c>
      <c r="J6643" t="s" s="11">
        <v>53</v>
      </c>
      <c r="K6643" t="s" s="12">
        <v>53</v>
      </c>
      <c r="L6643" t="s" s="12">
        <v>53</v>
      </c>
      <c r="M6643" t="s" s="10">
        <v>53</v>
      </c>
      <c r="N6643" t="s" s="11">
        <v>53</v>
      </c>
      <c r="O6643" t="s" s="8">
        <v>53</v>
      </c>
      <c r="P6643" t="s" s="8">
        <v>53</v>
      </c>
      <c r="Q6643" t="s" s="12">
        <v>53</v>
      </c>
      <c r="R6643" t="s" s="12">
        <v>53</v>
      </c>
    </row>
    <row r="6644" s="2" customFormat="1" ht="13.5" customHeight="1">
      <c r="B6644" s="13"/>
      <c r="C6644" t="s" s="9">
        <v>16</v>
      </c>
      <c r="D6644" t="s" s="8">
        <v>2279</v>
      </c>
      <c r="E6644" t="s" s="9">
        <v>2281</v>
      </c>
      <c r="F6644" s="19">
        <v>5</v>
      </c>
      <c r="G6644" s="14"/>
      <c r="H6644" s="19">
        <v>5</v>
      </c>
      <c r="I6644" s="14"/>
      <c r="J6644" t="s" s="11">
        <v>20</v>
      </c>
      <c r="K6644" s="15"/>
      <c r="L6644" t="s" s="16">
        <f>HYPERLINK("http://csr.bu.edu/ftp/asl/asllvd/demos/verify_start_end_handshape_annotations//test_auto_move//signs_mov_separ_signers/Liz_5330.mov","MOV")</f>
        <v>21</v>
      </c>
      <c r="M6644" t="s" s="10">
        <v>34</v>
      </c>
      <c r="N6644" s="17">
        <v>57</v>
      </c>
      <c r="O6644" s="18">
        <v>1660</v>
      </c>
      <c r="P6644" s="18">
        <v>1715</v>
      </c>
      <c r="Q6644" s="15"/>
      <c r="R6644" t="s" s="16">
        <f>HYPERLINK("http://secrets.rutgers.edu:8080/data/asl-ftp/asllvd/demos/verify_start_end_handshape_annotations//test_auto_move//signs_mov_separ_signers/Liz_5330.mov","MOV")</f>
        <v>21</v>
      </c>
    </row>
    <row r="6645" s="2" customFormat="1" ht="13.5" customHeight="1">
      <c r="B6645" s="13"/>
      <c r="C6645" t="s" s="9">
        <v>23</v>
      </c>
      <c r="D6645" t="s" s="8">
        <v>2279</v>
      </c>
      <c r="E6645" t="s" s="9">
        <v>2281</v>
      </c>
      <c r="F6645" s="19">
        <v>5</v>
      </c>
      <c r="G6645" s="14"/>
      <c r="H6645" s="19">
        <v>5</v>
      </c>
      <c r="I6645" s="14"/>
      <c r="J6645" t="s" s="11">
        <v>20</v>
      </c>
      <c r="K6645" s="15"/>
      <c r="L6645" t="s" s="16">
        <f>HYPERLINK("http://csr.bu.edu/ftp/asl/asllvd/demos/verify_start_end_handshape_annotations//test_auto_move//signs_mov_separ_signers/Tyler_5330.mov","MOV")</f>
        <v>21</v>
      </c>
      <c r="M6645" t="s" s="10">
        <v>47</v>
      </c>
      <c r="N6645" s="17">
        <v>9</v>
      </c>
      <c r="O6645" s="18">
        <v>1026</v>
      </c>
      <c r="P6645" s="18">
        <v>1065</v>
      </c>
      <c r="Q6645" s="15"/>
      <c r="R6645" t="s" s="16">
        <f>HYPERLINK("http://secrets.rutgers.edu:8080/data/asl-ftp/asllvd/demos/verify_start_end_handshape_annotations//test_auto_move//signs_mov_separ_signers/Tyler_5330.mov","MOV")</f>
        <v>21</v>
      </c>
    </row>
    <row r="6646" s="2" customFormat="1" ht="13.5" customHeight="1">
      <c r="B6646" s="13"/>
      <c r="C6646" t="s" s="9">
        <v>23</v>
      </c>
      <c r="D6646" t="s" s="8">
        <v>2279</v>
      </c>
      <c r="E6646" t="s" s="9">
        <v>2281</v>
      </c>
      <c r="F6646" s="19">
        <v>5</v>
      </c>
      <c r="G6646" s="14"/>
      <c r="H6646" s="19">
        <v>5</v>
      </c>
      <c r="I6646" s="14"/>
      <c r="J6646" t="s" s="11">
        <v>20</v>
      </c>
      <c r="K6646" t="s" s="16">
        <f>HYPERLINK("http://csr.bu.edu/ftp/asl/asllvd/demos/verify_start_end_handshape_annotations//test_auto_move//signs_mov/5330_5617_merged.mov","MOV")</f>
        <v>21</v>
      </c>
      <c r="L6646" t="s" s="16">
        <f>HYPERLINK("http://csr.bu.edu/ftp/asl/asllvd/demos/verify_start_end_handshape_annotations//test_auto_move//signs_mov_separ_signers/Tyler_5617.mov","MOV")</f>
        <v>21</v>
      </c>
      <c r="M6646" t="s" s="10">
        <v>47</v>
      </c>
      <c r="N6646" s="17">
        <v>9</v>
      </c>
      <c r="O6646" s="18">
        <v>1861</v>
      </c>
      <c r="P6646" s="18">
        <v>1897</v>
      </c>
      <c r="Q6646" t="s" s="16">
        <f>HYPERLINK("http://secrets.rutgers.edu:8080/data/asl-ftp/asllvd/demos/verify_start_end_handshape_annotations//test_auto_move//signs_mov/5330_5617_merged.mov","MOV")</f>
        <v>21</v>
      </c>
      <c r="R6646" t="s" s="16">
        <f>HYPERLINK("http://secrets.rutgers.edu:8080/data/asl-ftp/asllvd/demos/verify_start_end_handshape_annotations//test_auto_move//signs_mov_separ_signers/Tyler_5617.mov","MOV")</f>
        <v>21</v>
      </c>
    </row>
    <row r="6647" s="2" customFormat="1" ht="13.5" customHeight="1">
      <c r="B6647" s="13"/>
      <c r="C6647" t="s" s="9">
        <v>30</v>
      </c>
      <c r="D6647" t="s" s="8">
        <v>2279</v>
      </c>
      <c r="E6647" t="s" s="9">
        <v>2281</v>
      </c>
      <c r="F6647" s="19">
        <v>5</v>
      </c>
      <c r="G6647" s="14"/>
      <c r="H6647" s="19">
        <v>5</v>
      </c>
      <c r="I6647" s="14"/>
      <c r="J6647" t="s" s="11">
        <v>20</v>
      </c>
      <c r="K6647" s="15"/>
      <c r="L6647" t="s" s="16">
        <f>HYPERLINK("http://csr.bu.edu/ftp/asl/asllvd/demos/verify_start_end_handshape_annotations//test_auto_move//signs_mov_separ_signers/Brady_5330.mov","MOV")</f>
        <v>21</v>
      </c>
      <c r="M6647" t="s" s="10">
        <v>39</v>
      </c>
      <c r="N6647" s="17">
        <v>53</v>
      </c>
      <c r="O6647" s="18">
        <v>6262</v>
      </c>
      <c r="P6647" s="18">
        <v>6281</v>
      </c>
      <c r="Q6647" s="15"/>
      <c r="R6647" t="s" s="16">
        <f>HYPERLINK("http://secrets.rutgers.edu:8080/data/asl-ftp/asllvd/demos/verify_start_end_handshape_annotations//test_auto_move//signs_mov_separ_signers/Brady_5330.mov","MOV")</f>
        <v>21</v>
      </c>
    </row>
    <row r="6648" s="2" customFormat="1" ht="13.5" customHeight="1">
      <c r="B6648" s="13"/>
      <c r="C6648" t="s" s="9">
        <v>41</v>
      </c>
      <c r="D6648" t="s" s="8">
        <v>2279</v>
      </c>
      <c r="E6648" t="s" s="9">
        <v>2281</v>
      </c>
      <c r="F6648" s="19">
        <v>5</v>
      </c>
      <c r="G6648" s="14"/>
      <c r="H6648" s="19">
        <v>5</v>
      </c>
      <c r="I6648" s="14"/>
      <c r="J6648" t="s" s="11">
        <v>20</v>
      </c>
      <c r="K6648" s="15"/>
      <c r="L6648" t="s" s="16">
        <f>HYPERLINK("http://csr.bu.edu/ftp/asl/asllvd/demos/verify_start_end_handshape_annotations//test_auto_move//signs_mov_separ_signers/Lana_5330.mov","MOV")</f>
        <v>21</v>
      </c>
      <c r="M6648" t="s" s="10">
        <v>245</v>
      </c>
      <c r="N6648" s="17">
        <v>22</v>
      </c>
      <c r="O6648" s="18">
        <v>1737</v>
      </c>
      <c r="P6648" s="18">
        <v>1781</v>
      </c>
      <c r="Q6648" s="15"/>
      <c r="R6648" t="s" s="16">
        <f>HYPERLINK("http://secrets.rutgers.edu:8080/data/asl-ftp/asllvd/demos/verify_start_end_handshape_annotations//test_auto_move//signs_mov_separ_signers/Lana_5330.mov","MOV")</f>
        <v>21</v>
      </c>
    </row>
    <row r="6649" s="2" customFormat="1" ht="13.5" customHeight="1">
      <c r="B6649" t="s" s="8">
        <v>2279</v>
      </c>
      <c r="C6649" t="s" s="9">
        <v>14</v>
      </c>
      <c r="D6649" t="s" s="8">
        <v>14</v>
      </c>
      <c r="E6649" t="s" s="9">
        <v>14</v>
      </c>
      <c r="F6649" t="s" s="10">
        <v>14</v>
      </c>
      <c r="G6649" t="s" s="11">
        <v>14</v>
      </c>
      <c r="H6649" t="s" s="10">
        <v>14</v>
      </c>
      <c r="I6649" t="s" s="11">
        <v>14</v>
      </c>
      <c r="J6649" t="s" s="11">
        <v>14</v>
      </c>
      <c r="K6649" t="s" s="12">
        <v>14</v>
      </c>
      <c r="L6649" t="s" s="12">
        <v>14</v>
      </c>
      <c r="M6649" t="s" s="10">
        <v>14</v>
      </c>
      <c r="N6649" t="s" s="11">
        <v>14</v>
      </c>
      <c r="O6649" t="s" s="8">
        <v>14</v>
      </c>
      <c r="P6649" t="s" s="8">
        <v>14</v>
      </c>
      <c r="Q6649" t="s" s="12">
        <v>14</v>
      </c>
      <c r="R6649" t="s" s="12">
        <v>14</v>
      </c>
    </row>
    <row r="6650" s="2" customFormat="1" ht="13.5" customHeight="1">
      <c r="B6650" s="13"/>
      <c r="C6650" t="s" s="9">
        <v>30</v>
      </c>
      <c r="D6650" t="s" s="8">
        <v>2282</v>
      </c>
      <c r="E6650" t="s" s="9">
        <v>2282</v>
      </c>
      <c r="F6650" t="s" s="10">
        <v>73</v>
      </c>
      <c r="G6650" s="14"/>
      <c r="H6650" t="s" s="10">
        <v>119</v>
      </c>
      <c r="I6650" s="14"/>
      <c r="J6650" t="s" s="11">
        <v>20</v>
      </c>
      <c r="K6650" t="s" s="16">
        <f>HYPERLINK("http://csr.bu.edu/ftp/asl/asllvd/demos/verify_start_end_handshape_annotations//test_auto_move//signs_mov/16160.mov","MOV")</f>
        <v>21</v>
      </c>
      <c r="L6650" t="s" s="16">
        <f>HYPERLINK("http://csr.bu.edu/ftp/asl/asllvd/demos/verify_start_end_handshape_annotations//test_auto_move//signs_mov_separ_signers/Brady_16160.mov","MOV")</f>
        <v>21</v>
      </c>
      <c r="M6650" t="s" s="10">
        <v>39</v>
      </c>
      <c r="N6650" s="17">
        <v>53</v>
      </c>
      <c r="O6650" s="18">
        <v>5691</v>
      </c>
      <c r="P6650" s="18">
        <v>5722</v>
      </c>
      <c r="Q6650" t="s" s="16">
        <f>HYPERLINK("http://secrets.rutgers.edu:8080/data/asl-ftp/asllvd/demos/verify_start_end_handshape_annotations//test_auto_move//signs_mov/16160.mov","MOV")</f>
        <v>21</v>
      </c>
      <c r="R6650" t="s" s="16">
        <f>HYPERLINK("http://secrets.rutgers.edu:8080/data/asl-ftp/asllvd/demos/verify_start_end_handshape_annotations//test_auto_move//signs_mov_separ_signers/Brady_16160.mov","MOV")</f>
        <v>21</v>
      </c>
    </row>
    <row r="6651" s="2" customFormat="1" ht="13.5" customHeight="1">
      <c r="B6651" t="s" s="8">
        <v>2283</v>
      </c>
      <c r="C6651" t="s" s="9">
        <v>14</v>
      </c>
      <c r="D6651" t="s" s="8">
        <v>14</v>
      </c>
      <c r="E6651" t="s" s="9">
        <v>14</v>
      </c>
      <c r="F6651" t="s" s="10">
        <v>14</v>
      </c>
      <c r="G6651" t="s" s="11">
        <v>14</v>
      </c>
      <c r="H6651" t="s" s="10">
        <v>14</v>
      </c>
      <c r="I6651" t="s" s="11">
        <v>14</v>
      </c>
      <c r="J6651" t="s" s="11">
        <v>14</v>
      </c>
      <c r="K6651" t="s" s="12">
        <v>14</v>
      </c>
      <c r="L6651" t="s" s="12">
        <v>14</v>
      </c>
      <c r="M6651" t="s" s="10">
        <v>14</v>
      </c>
      <c r="N6651" t="s" s="11">
        <v>14</v>
      </c>
      <c r="O6651" t="s" s="8">
        <v>14</v>
      </c>
      <c r="P6651" t="s" s="8">
        <v>14</v>
      </c>
      <c r="Q6651" t="s" s="12">
        <v>14</v>
      </c>
      <c r="R6651" t="s" s="12">
        <v>14</v>
      </c>
    </row>
    <row r="6652" s="2" customFormat="1" ht="13.5" customHeight="1">
      <c r="B6652" s="13"/>
      <c r="C6652" t="s" s="9">
        <v>16</v>
      </c>
      <c r="D6652" t="s" s="8">
        <v>2283</v>
      </c>
      <c r="E6652" t="s" s="9">
        <v>2283</v>
      </c>
      <c r="F6652" t="s" s="10">
        <v>63</v>
      </c>
      <c r="G6652" s="14"/>
      <c r="H6652" s="19">
        <v>5</v>
      </c>
      <c r="I6652" s="14"/>
      <c r="J6652" t="s" s="11">
        <v>20</v>
      </c>
      <c r="K6652" s="15"/>
      <c r="L6652" t="s" s="16">
        <f>HYPERLINK("http://csr.bu.edu/ftp/asl/asllvd/demos/verify_start_end_handshape_annotations//test_auto_move//signs_mov_separ_signers/Liz_16169.mov","MOV")</f>
        <v>21</v>
      </c>
      <c r="M6652" t="s" s="10">
        <v>34</v>
      </c>
      <c r="N6652" s="17">
        <v>43</v>
      </c>
      <c r="O6652" s="18">
        <v>1075</v>
      </c>
      <c r="P6652" s="18">
        <v>1115</v>
      </c>
      <c r="Q6652" s="15"/>
      <c r="R6652" t="s" s="16">
        <f>HYPERLINK("http://secrets.rutgers.edu:8080/data/asl-ftp/asllvd/demos/verify_start_end_handshape_annotations//test_auto_move//signs_mov_separ_signers/Liz_16169.mov","MOV")</f>
        <v>21</v>
      </c>
    </row>
    <row r="6653" s="2" customFormat="1" ht="13.5" customHeight="1">
      <c r="B6653" s="13"/>
      <c r="C6653" t="s" s="9">
        <v>16</v>
      </c>
      <c r="D6653" t="s" s="8">
        <v>2283</v>
      </c>
      <c r="E6653" t="s" s="9">
        <v>2283</v>
      </c>
      <c r="F6653" t="s" s="10">
        <v>63</v>
      </c>
      <c r="G6653" s="14"/>
      <c r="H6653" s="19">
        <v>5</v>
      </c>
      <c r="I6653" s="14"/>
      <c r="J6653" t="s" s="11">
        <v>20</v>
      </c>
      <c r="K6653" t="s" s="16">
        <f>HYPERLINK("http://csr.bu.edu/ftp/asl/asllvd/demos/verify_start_end_handshape_annotations//test_auto_move//signs_mov/16169_16254_merged.mov","MOV")</f>
        <v>21</v>
      </c>
      <c r="L6653" t="s" s="16">
        <f>HYPERLINK("http://csr.bu.edu/ftp/asl/asllvd/demos/verify_start_end_handshape_annotations//test_auto_move//signs_mov_separ_signers/Liz_16254.mov","MOV")</f>
        <v>21</v>
      </c>
      <c r="M6653" t="s" s="10">
        <v>77</v>
      </c>
      <c r="N6653" s="17">
        <v>4</v>
      </c>
      <c r="O6653" s="18">
        <v>1363</v>
      </c>
      <c r="P6653" s="18">
        <v>1421</v>
      </c>
      <c r="Q6653" t="s" s="16">
        <f>HYPERLINK("http://secrets.rutgers.edu:8080/data/asl-ftp/asllvd/demos/verify_start_end_handshape_annotations//test_auto_move//signs_mov/16169_16254_merged.mov","MOV")</f>
        <v>21</v>
      </c>
      <c r="R6653" t="s" s="16">
        <f>HYPERLINK("http://secrets.rutgers.edu:8080/data/asl-ftp/asllvd/demos/verify_start_end_handshape_annotations//test_auto_move//signs_mov_separ_signers/Liz_16254.mov","MOV")</f>
        <v>21</v>
      </c>
    </row>
    <row r="6654" s="2" customFormat="1" ht="13.5" customHeight="1">
      <c r="B6654" s="13"/>
      <c r="C6654" t="s" s="9">
        <v>27</v>
      </c>
      <c r="D6654" t="s" s="8">
        <v>2283</v>
      </c>
      <c r="E6654" t="s" s="9">
        <v>2283</v>
      </c>
      <c r="F6654" t="s" s="10">
        <v>63</v>
      </c>
      <c r="G6654" s="14"/>
      <c r="H6654" s="19">
        <v>5</v>
      </c>
      <c r="I6654" s="14"/>
      <c r="J6654" t="s" s="11">
        <v>20</v>
      </c>
      <c r="K6654" s="15"/>
      <c r="L6654" t="s" s="16">
        <f>HYPERLINK("http://csr.bu.edu/ftp/asl/asllvd/demos/verify_start_end_handshape_annotations//test_auto_move//signs_mov_separ_signers/Naomi_16169.mov","MOV")</f>
        <v>21</v>
      </c>
      <c r="M6654" t="s" s="10">
        <v>38</v>
      </c>
      <c r="N6654" s="17">
        <v>36</v>
      </c>
      <c r="O6654" s="18">
        <v>668</v>
      </c>
      <c r="P6654" s="18">
        <v>698</v>
      </c>
      <c r="Q6654" s="15"/>
      <c r="R6654" t="s" s="16">
        <f>HYPERLINK("http://secrets.rutgers.edu:8080/data/asl-ftp/asllvd/demos/verify_start_end_handshape_annotations//test_auto_move//signs_mov_separ_signers/Naomi_16169.mov","MOV")</f>
        <v>21</v>
      </c>
    </row>
    <row r="6655" s="2" customFormat="1" ht="13.5" customHeight="1">
      <c r="B6655" s="13"/>
      <c r="C6655" t="s" s="9">
        <v>30</v>
      </c>
      <c r="D6655" t="s" s="8">
        <v>2283</v>
      </c>
      <c r="E6655" t="s" s="9">
        <v>2283</v>
      </c>
      <c r="F6655" t="s" s="10">
        <v>63</v>
      </c>
      <c r="G6655" s="14"/>
      <c r="H6655" s="19">
        <v>5</v>
      </c>
      <c r="I6655" s="14"/>
      <c r="J6655" t="s" s="11">
        <v>20</v>
      </c>
      <c r="K6655" s="15"/>
      <c r="L6655" t="s" s="16">
        <f>HYPERLINK("http://csr.bu.edu/ftp/asl/asllvd/demos/verify_start_end_handshape_annotations//test_auto_move//signs_mov_separ_signers/Brady_16169.mov","MOV")</f>
        <v>21</v>
      </c>
      <c r="M6655" t="s" s="10">
        <v>39</v>
      </c>
      <c r="N6655" s="17">
        <v>46</v>
      </c>
      <c r="O6655" s="18">
        <v>1795</v>
      </c>
      <c r="P6655" s="18">
        <v>1814</v>
      </c>
      <c r="Q6655" s="15"/>
      <c r="R6655" t="s" s="16">
        <f>HYPERLINK("http://secrets.rutgers.edu:8080/data/asl-ftp/asllvd/demos/verify_start_end_handshape_annotations//test_auto_move//signs_mov_separ_signers/Brady_16169.mov","MOV")</f>
        <v>21</v>
      </c>
    </row>
    <row r="6656" s="2" customFormat="1" ht="13.5" customHeight="1">
      <c r="B6656" t="s" s="8">
        <v>52</v>
      </c>
      <c r="C6656" t="s" s="9">
        <v>53</v>
      </c>
      <c r="D6656" t="s" s="8">
        <v>53</v>
      </c>
      <c r="E6656" t="s" s="9">
        <v>53</v>
      </c>
      <c r="F6656" t="s" s="10">
        <v>53</v>
      </c>
      <c r="G6656" t="s" s="11">
        <v>53</v>
      </c>
      <c r="H6656" t="s" s="10">
        <v>53</v>
      </c>
      <c r="I6656" t="s" s="11">
        <v>53</v>
      </c>
      <c r="J6656" t="s" s="11">
        <v>53</v>
      </c>
      <c r="K6656" t="s" s="12">
        <v>53</v>
      </c>
      <c r="L6656" t="s" s="12">
        <v>53</v>
      </c>
      <c r="M6656" t="s" s="10">
        <v>53</v>
      </c>
      <c r="N6656" t="s" s="11">
        <v>53</v>
      </c>
      <c r="O6656" t="s" s="8">
        <v>53</v>
      </c>
      <c r="P6656" t="s" s="8">
        <v>53</v>
      </c>
      <c r="Q6656" t="s" s="12">
        <v>53</v>
      </c>
      <c r="R6656" t="s" s="12">
        <v>53</v>
      </c>
    </row>
    <row r="6657" s="2" customFormat="1" ht="13.5" customHeight="1">
      <c r="B6657" s="13"/>
      <c r="C6657" t="s" s="9">
        <v>23</v>
      </c>
      <c r="D6657" t="s" s="8">
        <v>2283</v>
      </c>
      <c r="E6657" t="s" s="9">
        <v>2284</v>
      </c>
      <c r="F6657" s="19">
        <v>5</v>
      </c>
      <c r="G6657" s="14"/>
      <c r="H6657" s="19">
        <v>5</v>
      </c>
      <c r="I6657" s="14"/>
      <c r="J6657" t="s" s="11">
        <v>20</v>
      </c>
      <c r="K6657" s="15"/>
      <c r="L6657" t="s" s="16">
        <f>HYPERLINK("http://csr.bu.edu/ftp/asl/asllvd/demos/verify_start_end_handshape_annotations//test_auto_move//signs_mov_separ_signers/Tyler_16255.mov","MOV")</f>
        <v>21</v>
      </c>
      <c r="M6657" t="s" s="10">
        <v>37</v>
      </c>
      <c r="N6657" s="17">
        <v>16</v>
      </c>
      <c r="O6657" s="18">
        <v>605</v>
      </c>
      <c r="P6657" s="18">
        <v>635</v>
      </c>
      <c r="Q6657" s="15"/>
      <c r="R6657" t="s" s="16">
        <f>HYPERLINK("http://secrets.rutgers.edu:8080/data/asl-ftp/asllvd/demos/verify_start_end_handshape_annotations//test_auto_move//signs_mov_separ_signers/Tyler_16255.mov","MOV")</f>
        <v>21</v>
      </c>
    </row>
    <row r="6658" s="2" customFormat="1" ht="13.5" customHeight="1">
      <c r="B6658" s="13"/>
      <c r="C6658" t="s" s="9">
        <v>30</v>
      </c>
      <c r="D6658" t="s" s="8">
        <v>2283</v>
      </c>
      <c r="E6658" t="s" s="9">
        <v>2284</v>
      </c>
      <c r="F6658" s="19">
        <v>5</v>
      </c>
      <c r="G6658" s="14"/>
      <c r="H6658" s="19">
        <v>5</v>
      </c>
      <c r="I6658" s="14"/>
      <c r="J6658" t="s" s="11">
        <v>20</v>
      </c>
      <c r="K6658" t="s" s="16">
        <f>HYPERLINK("http://csr.bu.edu/ftp/asl/asllvd/demos/verify_start_end_handshape_annotations//test_auto_move//signs_mov/16255_16360_merged.mov","MOV")</f>
        <v>21</v>
      </c>
      <c r="L6658" t="s" s="16">
        <f>HYPERLINK("http://csr.bu.edu/ftp/asl/asllvd/demos/verify_start_end_handshape_annotations//test_auto_move//signs_mov_separ_signers/Brady_16255.mov","MOV")</f>
        <v>21</v>
      </c>
      <c r="M6658" t="s" s="10">
        <v>60</v>
      </c>
      <c r="N6658" s="17">
        <v>32</v>
      </c>
      <c r="O6658" s="18">
        <v>889</v>
      </c>
      <c r="P6658" s="18">
        <v>901</v>
      </c>
      <c r="Q6658" t="s" s="16">
        <f>HYPERLINK("http://secrets.rutgers.edu:8080/data/asl-ftp/asllvd/demos/verify_start_end_handshape_annotations//test_auto_move//signs_mov/16255_16360_merged.mov","MOV")</f>
        <v>21</v>
      </c>
      <c r="R6658" t="s" s="16">
        <f>HYPERLINK("http://secrets.rutgers.edu:8080/data/asl-ftp/asllvd/demos/verify_start_end_handshape_annotations//test_auto_move//signs_mov_separ_signers/Brady_16255.mov","MOV")</f>
        <v>21</v>
      </c>
    </row>
    <row r="6659" s="2" customFormat="1" ht="13.5" customHeight="1">
      <c r="B6659" s="13"/>
      <c r="C6659" t="s" s="9">
        <v>30</v>
      </c>
      <c r="D6659" t="s" s="8">
        <v>2283</v>
      </c>
      <c r="E6659" t="s" s="9">
        <v>2284</v>
      </c>
      <c r="F6659" s="19">
        <v>5</v>
      </c>
      <c r="G6659" s="14"/>
      <c r="H6659" s="19">
        <v>5</v>
      </c>
      <c r="I6659" s="14"/>
      <c r="J6659" t="s" s="11">
        <v>20</v>
      </c>
      <c r="K6659" s="15"/>
      <c r="L6659" t="s" s="16">
        <f>HYPERLINK("http://csr.bu.edu/ftp/asl/asllvd/demos/verify_start_end_handshape_annotations//test_auto_move//signs_mov_separ_signers/Brady_16360.mov","MOV")</f>
        <v>21</v>
      </c>
      <c r="M6659" t="s" s="10">
        <v>60</v>
      </c>
      <c r="N6659" s="17">
        <v>46</v>
      </c>
      <c r="O6659" s="18">
        <v>912</v>
      </c>
      <c r="P6659" s="18">
        <v>929</v>
      </c>
      <c r="Q6659" s="15"/>
      <c r="R6659" t="s" s="16">
        <f>HYPERLINK("http://secrets.rutgers.edu:8080/data/asl-ftp/asllvd/demos/verify_start_end_handshape_annotations//test_auto_move//signs_mov_separ_signers/Brady_16360.mov","MOV")</f>
        <v>21</v>
      </c>
    </row>
    <row r="6660" s="2" customFormat="1" ht="13.5" customHeight="1">
      <c r="B6660" t="s" s="8">
        <v>2285</v>
      </c>
      <c r="C6660" t="s" s="9">
        <v>14</v>
      </c>
      <c r="D6660" t="s" s="8">
        <v>14</v>
      </c>
      <c r="E6660" t="s" s="9">
        <v>14</v>
      </c>
      <c r="F6660" t="s" s="10">
        <v>14</v>
      </c>
      <c r="G6660" t="s" s="11">
        <v>14</v>
      </c>
      <c r="H6660" t="s" s="10">
        <v>14</v>
      </c>
      <c r="I6660" t="s" s="11">
        <v>14</v>
      </c>
      <c r="J6660" t="s" s="11">
        <v>14</v>
      </c>
      <c r="K6660" t="s" s="12">
        <v>14</v>
      </c>
      <c r="L6660" t="s" s="12">
        <v>14</v>
      </c>
      <c r="M6660" t="s" s="10">
        <v>14</v>
      </c>
      <c r="N6660" t="s" s="11">
        <v>14</v>
      </c>
      <c r="O6660" t="s" s="8">
        <v>14</v>
      </c>
      <c r="P6660" t="s" s="8">
        <v>14</v>
      </c>
      <c r="Q6660" t="s" s="12">
        <v>14</v>
      </c>
      <c r="R6660" t="s" s="12">
        <v>14</v>
      </c>
    </row>
    <row r="6661" s="2" customFormat="1" ht="13.5" customHeight="1">
      <c r="B6661" s="13"/>
      <c r="C6661" t="s" s="9">
        <v>16</v>
      </c>
      <c r="D6661" t="s" s="8">
        <v>2285</v>
      </c>
      <c r="E6661" t="s" s="9">
        <v>2285</v>
      </c>
      <c r="F6661" t="s" s="10">
        <v>68</v>
      </c>
      <c r="G6661" t="s" s="11">
        <v>68</v>
      </c>
      <c r="H6661" s="19">
        <v>5</v>
      </c>
      <c r="I6661" s="17">
        <v>5</v>
      </c>
      <c r="J6661" t="s" s="11">
        <v>20</v>
      </c>
      <c r="K6661" s="15"/>
      <c r="L6661" t="s" s="16">
        <f>HYPERLINK("http://csr.bu.edu/ftp/asl/asllvd/demos/verify_start_end_handshape_annotations//test_auto_move//signs_mov_separ_signers/Liz_1488.mov","MOV")</f>
        <v>21</v>
      </c>
      <c r="M6661" t="s" s="10">
        <v>34</v>
      </c>
      <c r="N6661" s="17">
        <v>57</v>
      </c>
      <c r="O6661" s="18">
        <v>2866</v>
      </c>
      <c r="P6661" s="18">
        <v>2900</v>
      </c>
      <c r="Q6661" s="15"/>
      <c r="R6661" t="s" s="16">
        <f>HYPERLINK("http://secrets.rutgers.edu:8080/data/asl-ftp/asllvd/demos/verify_start_end_handshape_annotations//test_auto_move//signs_mov_separ_signers/Liz_1488.mov","MOV")</f>
        <v>21</v>
      </c>
    </row>
    <row r="6662" s="2" customFormat="1" ht="13.5" customHeight="1">
      <c r="B6662" s="13"/>
      <c r="C6662" t="s" s="9">
        <v>23</v>
      </c>
      <c r="D6662" t="s" s="8">
        <v>2285</v>
      </c>
      <c r="E6662" t="s" s="9">
        <v>2285</v>
      </c>
      <c r="F6662" t="s" s="10">
        <v>68</v>
      </c>
      <c r="G6662" t="s" s="11">
        <v>68</v>
      </c>
      <c r="H6662" s="19">
        <v>5</v>
      </c>
      <c r="I6662" s="17">
        <v>5</v>
      </c>
      <c r="J6662" t="s" s="11">
        <v>20</v>
      </c>
      <c r="K6662" t="s" s="16">
        <f>HYPERLINK("http://csr.bu.edu/ftp/asl/asllvd/demos/verify_start_end_handshape_annotations//test_auto_move//signs_mov/1488.mov","MOV")</f>
        <v>21</v>
      </c>
      <c r="L6662" t="s" s="16">
        <f>HYPERLINK("http://csr.bu.edu/ftp/asl/asllvd/demos/verify_start_end_handshape_annotations//test_auto_move//signs_mov_separ_signers/Tyler_1488.mov","MOV")</f>
        <v>21</v>
      </c>
      <c r="M6662" t="s" s="10">
        <v>47</v>
      </c>
      <c r="N6662" s="17">
        <v>9</v>
      </c>
      <c r="O6662" s="18">
        <v>3628</v>
      </c>
      <c r="P6662" s="18">
        <v>3653</v>
      </c>
      <c r="Q6662" t="s" s="16">
        <f>HYPERLINK("http://secrets.rutgers.edu:8080/data/asl-ftp/asllvd/demos/verify_start_end_handshape_annotations//test_auto_move//signs_mov/1488.mov","MOV")</f>
        <v>21</v>
      </c>
      <c r="R6662" t="s" s="16">
        <f>HYPERLINK("http://secrets.rutgers.edu:8080/data/asl-ftp/asllvd/demos/verify_start_end_handshape_annotations//test_auto_move//signs_mov_separ_signers/Tyler_1488.mov","MOV")</f>
        <v>21</v>
      </c>
    </row>
    <row r="6663" s="2" customFormat="1" ht="13.5" customHeight="1">
      <c r="B6663" s="13"/>
      <c r="C6663" t="s" s="9">
        <v>30</v>
      </c>
      <c r="D6663" t="s" s="8">
        <v>2285</v>
      </c>
      <c r="E6663" t="s" s="9">
        <v>2285</v>
      </c>
      <c r="F6663" t="s" s="10">
        <v>68</v>
      </c>
      <c r="G6663" t="s" s="11">
        <v>68</v>
      </c>
      <c r="H6663" s="19">
        <v>5</v>
      </c>
      <c r="I6663" s="17">
        <v>5</v>
      </c>
      <c r="J6663" t="s" s="11">
        <v>20</v>
      </c>
      <c r="K6663" s="15"/>
      <c r="L6663" t="s" s="16">
        <f>HYPERLINK("http://csr.bu.edu/ftp/asl/asllvd/demos/verify_start_end_handshape_annotations//test_auto_move//signs_mov_separ_signers/Brady_1488.mov","MOV")</f>
        <v>21</v>
      </c>
      <c r="M6663" t="s" s="10">
        <v>39</v>
      </c>
      <c r="N6663" s="17">
        <v>54</v>
      </c>
      <c r="O6663" s="18">
        <v>2764</v>
      </c>
      <c r="P6663" s="18">
        <v>2785</v>
      </c>
      <c r="Q6663" s="15"/>
      <c r="R6663" t="s" s="16">
        <f>HYPERLINK("http://secrets.rutgers.edu:8080/data/asl-ftp/asllvd/demos/verify_start_end_handshape_annotations//test_auto_move//signs_mov_separ_signers/Brady_1488.mov","MOV")</f>
        <v>21</v>
      </c>
    </row>
    <row r="6664" s="2" customFormat="1" ht="13.5" customHeight="1">
      <c r="B6664" t="s" s="8">
        <v>2286</v>
      </c>
      <c r="C6664" t="s" s="9">
        <v>14</v>
      </c>
      <c r="D6664" t="s" s="8">
        <v>14</v>
      </c>
      <c r="E6664" t="s" s="9">
        <v>14</v>
      </c>
      <c r="F6664" t="s" s="10">
        <v>14</v>
      </c>
      <c r="G6664" t="s" s="11">
        <v>14</v>
      </c>
      <c r="H6664" t="s" s="10">
        <v>14</v>
      </c>
      <c r="I6664" t="s" s="11">
        <v>14</v>
      </c>
      <c r="J6664" t="s" s="11">
        <v>14</v>
      </c>
      <c r="K6664" t="s" s="12">
        <v>14</v>
      </c>
      <c r="L6664" t="s" s="12">
        <v>14</v>
      </c>
      <c r="M6664" t="s" s="10">
        <v>14</v>
      </c>
      <c r="N6664" t="s" s="11">
        <v>14</v>
      </c>
      <c r="O6664" t="s" s="8">
        <v>14</v>
      </c>
      <c r="P6664" t="s" s="8">
        <v>14</v>
      </c>
      <c r="Q6664" t="s" s="12">
        <v>14</v>
      </c>
      <c r="R6664" t="s" s="12">
        <v>14</v>
      </c>
    </row>
    <row r="6665" s="2" customFormat="1" ht="13.5" customHeight="1">
      <c r="B6665" s="13"/>
      <c r="C6665" t="s" s="9">
        <v>16</v>
      </c>
      <c r="D6665" t="s" s="8">
        <v>2286</v>
      </c>
      <c r="E6665" t="s" s="9">
        <v>2286</v>
      </c>
      <c r="F6665" t="s" s="10">
        <v>68</v>
      </c>
      <c r="G6665" t="s" s="11">
        <v>68</v>
      </c>
      <c r="H6665" s="19">
        <v>5</v>
      </c>
      <c r="I6665" s="17">
        <v>5</v>
      </c>
      <c r="J6665" t="s" s="11">
        <v>20</v>
      </c>
      <c r="K6665" s="15"/>
      <c r="L6665" t="s" s="16">
        <f>HYPERLINK("http://csr.bu.edu/ftp/asl/asllvd/demos/verify_start_end_handshape_annotations//test_auto_move//signs_mov_separ_signers/Liz_16395.mov","MOV")</f>
        <v>21</v>
      </c>
      <c r="M6665" t="s" s="10">
        <v>34</v>
      </c>
      <c r="N6665" s="17">
        <v>25</v>
      </c>
      <c r="O6665" s="18">
        <v>1870</v>
      </c>
      <c r="P6665" s="18">
        <v>1880</v>
      </c>
      <c r="Q6665" s="15"/>
      <c r="R6665" t="s" s="16">
        <f>HYPERLINK("http://secrets.rutgers.edu:8080/data/asl-ftp/asllvd/demos/verify_start_end_handshape_annotations//test_auto_move//signs_mov_separ_signers/Liz_16395.mov","MOV")</f>
        <v>21</v>
      </c>
    </row>
    <row r="6666" s="2" customFormat="1" ht="13.5" customHeight="1">
      <c r="B6666" s="13"/>
      <c r="C6666" t="s" s="9">
        <v>23</v>
      </c>
      <c r="D6666" t="s" s="8">
        <v>2286</v>
      </c>
      <c r="E6666" t="s" s="9">
        <v>2286</v>
      </c>
      <c r="F6666" t="s" s="10">
        <v>68</v>
      </c>
      <c r="G6666" t="s" s="11">
        <v>68</v>
      </c>
      <c r="H6666" t="s" s="10">
        <v>72</v>
      </c>
      <c r="I6666" t="s" s="11">
        <v>72</v>
      </c>
      <c r="J6666" t="s" s="11">
        <v>20</v>
      </c>
      <c r="K6666" s="15"/>
      <c r="L6666" t="s" s="16">
        <f>HYPERLINK("http://csr.bu.edu/ftp/asl/asllvd/demos/verify_start_end_handshape_annotations//test_auto_move//signs_mov_separ_signers/Tyler_16395.mov","MOV")</f>
        <v>21</v>
      </c>
      <c r="M6666" t="s" s="10">
        <v>37</v>
      </c>
      <c r="N6666" s="17">
        <v>1</v>
      </c>
      <c r="O6666" s="18">
        <v>940</v>
      </c>
      <c r="P6666" s="18">
        <v>960</v>
      </c>
      <c r="Q6666" s="15"/>
      <c r="R6666" t="s" s="16">
        <f>HYPERLINK("http://secrets.rutgers.edu:8080/data/asl-ftp/asllvd/demos/verify_start_end_handshape_annotations//test_auto_move//signs_mov_separ_signers/Tyler_16395.mov","MOV")</f>
        <v>21</v>
      </c>
    </row>
    <row r="6667" s="2" customFormat="1" ht="13.5" customHeight="1">
      <c r="B6667" s="13"/>
      <c r="C6667" t="s" s="9">
        <v>27</v>
      </c>
      <c r="D6667" t="s" s="8">
        <v>2286</v>
      </c>
      <c r="E6667" t="s" s="9">
        <v>2286</v>
      </c>
      <c r="F6667" t="s" s="10">
        <v>68</v>
      </c>
      <c r="G6667" t="s" s="11">
        <v>68</v>
      </c>
      <c r="H6667" s="19">
        <v>5</v>
      </c>
      <c r="I6667" s="17">
        <v>5</v>
      </c>
      <c r="J6667" t="s" s="11">
        <v>20</v>
      </c>
      <c r="K6667" t="s" s="16">
        <f>HYPERLINK("http://csr.bu.edu/ftp/asl/asllvd/demos/verify_start_end_handshape_annotations//test_auto_move//signs_mov/16395_16548_merged.mov","MOV")</f>
        <v>21</v>
      </c>
      <c r="L6667" t="s" s="16">
        <f>HYPERLINK("http://csr.bu.edu/ftp/asl/asllvd/demos/verify_start_end_handshape_annotations//test_auto_move//signs_mov_separ_signers/Naomi_16395.mov","MOV")</f>
        <v>21</v>
      </c>
      <c r="M6667" t="s" s="10">
        <v>38</v>
      </c>
      <c r="N6667" s="17">
        <v>21</v>
      </c>
      <c r="O6667" s="18">
        <v>4286</v>
      </c>
      <c r="P6667" s="18">
        <v>4305</v>
      </c>
      <c r="Q6667" t="s" s="16">
        <f>HYPERLINK("http://secrets.rutgers.edu:8080/data/asl-ftp/asllvd/demos/verify_start_end_handshape_annotations//test_auto_move//signs_mov/16395_16548_merged.mov","MOV")</f>
        <v>21</v>
      </c>
      <c r="R6667" t="s" s="16">
        <f>HYPERLINK("http://secrets.rutgers.edu:8080/data/asl-ftp/asllvd/demos/verify_start_end_handshape_annotations//test_auto_move//signs_mov_separ_signers/Naomi_16395.mov","MOV")</f>
        <v>21</v>
      </c>
    </row>
    <row r="6668" s="2" customFormat="1" ht="13.5" customHeight="1">
      <c r="B6668" s="13"/>
      <c r="C6668" t="s" s="9">
        <v>27</v>
      </c>
      <c r="D6668" t="s" s="8">
        <v>2286</v>
      </c>
      <c r="E6668" t="s" s="9">
        <v>2286</v>
      </c>
      <c r="F6668" t="s" s="10">
        <v>68</v>
      </c>
      <c r="G6668" t="s" s="11">
        <v>68</v>
      </c>
      <c r="H6668" s="19">
        <v>5</v>
      </c>
      <c r="I6668" s="17">
        <v>5</v>
      </c>
      <c r="J6668" t="s" s="11">
        <v>20</v>
      </c>
      <c r="K6668" s="15"/>
      <c r="L6668" t="s" s="16">
        <f>HYPERLINK("http://csr.bu.edu/ftp/asl/asllvd/demos/verify_start_end_handshape_annotations//test_auto_move//signs_mov_separ_signers/Naomi_16548.mov","MOV")</f>
        <v>21</v>
      </c>
      <c r="M6668" t="s" s="10">
        <v>48</v>
      </c>
      <c r="N6668" s="17">
        <v>12</v>
      </c>
      <c r="O6668" s="18">
        <v>3651</v>
      </c>
      <c r="P6668" s="18">
        <v>3691</v>
      </c>
      <c r="Q6668" s="15"/>
      <c r="R6668" t="s" s="16">
        <f>HYPERLINK("http://secrets.rutgers.edu:8080/data/asl-ftp/asllvd/demos/verify_start_end_handshape_annotations//test_auto_move//signs_mov_separ_signers/Naomi_16548.mov","MOV")</f>
        <v>21</v>
      </c>
    </row>
    <row r="6669" s="2" customFormat="1" ht="13.5" customHeight="1">
      <c r="B6669" s="13"/>
      <c r="C6669" t="s" s="9">
        <v>30</v>
      </c>
      <c r="D6669" t="s" s="8">
        <v>2286</v>
      </c>
      <c r="E6669" t="s" s="9">
        <v>2286</v>
      </c>
      <c r="F6669" t="s" s="10">
        <v>68</v>
      </c>
      <c r="G6669" t="s" s="11">
        <v>68</v>
      </c>
      <c r="H6669" t="s" s="10">
        <v>72</v>
      </c>
      <c r="I6669" t="s" s="11">
        <v>72</v>
      </c>
      <c r="J6669" t="s" s="11">
        <v>20</v>
      </c>
      <c r="K6669" s="15"/>
      <c r="L6669" t="s" s="16">
        <f>HYPERLINK("http://csr.bu.edu/ftp/asl/asllvd/demos/verify_start_end_handshape_annotations//test_auto_move//signs_mov_separ_signers/Brady_16395.mov","MOV")</f>
        <v>21</v>
      </c>
      <c r="M6669" t="s" s="10">
        <v>39</v>
      </c>
      <c r="N6669" s="17">
        <v>37</v>
      </c>
      <c r="O6669" s="18">
        <v>5134</v>
      </c>
      <c r="P6669" s="18">
        <v>5153</v>
      </c>
      <c r="Q6669" s="15"/>
      <c r="R6669" t="s" s="16">
        <f>HYPERLINK("http://secrets.rutgers.edu:8080/data/asl-ftp/asllvd/demos/verify_start_end_handshape_annotations//test_auto_move//signs_mov_separ_signers/Brady_16395.mov","MOV")</f>
        <v>21</v>
      </c>
    </row>
    <row r="6670" s="2" customFormat="1" ht="13.5" customHeight="1">
      <c r="B6670" s="13"/>
      <c r="C6670" t="s" s="9">
        <v>41</v>
      </c>
      <c r="D6670" t="s" s="8">
        <v>2286</v>
      </c>
      <c r="E6670" t="s" s="9">
        <v>2286</v>
      </c>
      <c r="F6670" t="s" s="10">
        <v>68</v>
      </c>
      <c r="G6670" t="s" s="11">
        <v>68</v>
      </c>
      <c r="H6670" s="19">
        <v>5</v>
      </c>
      <c r="I6670" s="17">
        <v>5</v>
      </c>
      <c r="J6670" t="s" s="11">
        <v>20</v>
      </c>
      <c r="K6670" s="15"/>
      <c r="L6670" t="s" s="16">
        <f>HYPERLINK("http://csr.bu.edu/ftp/asl/asllvd/demos/verify_start_end_handshape_annotations//test_auto_move//signs_mov_separ_signers/Lana_16395.mov","MOV")</f>
        <v>21</v>
      </c>
      <c r="M6670" t="s" s="10">
        <v>245</v>
      </c>
      <c r="N6670" s="17">
        <v>22</v>
      </c>
      <c r="O6670" s="18">
        <v>1871</v>
      </c>
      <c r="P6670" s="18">
        <v>1905</v>
      </c>
      <c r="Q6670" s="15"/>
      <c r="R6670" t="s" s="16">
        <f>HYPERLINK("http://secrets.rutgers.edu:8080/data/asl-ftp/asllvd/demos/verify_start_end_handshape_annotations//test_auto_move//signs_mov_separ_signers/Lana_16395.mov","MOV")</f>
        <v>21</v>
      </c>
    </row>
    <row r="6671" s="2" customFormat="1" ht="13.5" customHeight="1">
      <c r="B6671" t="s" s="8">
        <v>52</v>
      </c>
      <c r="C6671" t="s" s="9">
        <v>53</v>
      </c>
      <c r="D6671" t="s" s="8">
        <v>53</v>
      </c>
      <c r="E6671" t="s" s="9">
        <v>53</v>
      </c>
      <c r="F6671" t="s" s="10">
        <v>53</v>
      </c>
      <c r="G6671" t="s" s="11">
        <v>53</v>
      </c>
      <c r="H6671" t="s" s="10">
        <v>53</v>
      </c>
      <c r="I6671" t="s" s="11">
        <v>53</v>
      </c>
      <c r="J6671" t="s" s="11">
        <v>53</v>
      </c>
      <c r="K6671" t="s" s="12">
        <v>53</v>
      </c>
      <c r="L6671" t="s" s="12">
        <v>53</v>
      </c>
      <c r="M6671" t="s" s="10">
        <v>53</v>
      </c>
      <c r="N6671" t="s" s="11">
        <v>53</v>
      </c>
      <c r="O6671" t="s" s="8">
        <v>53</v>
      </c>
      <c r="P6671" t="s" s="8">
        <v>53</v>
      </c>
      <c r="Q6671" t="s" s="12">
        <v>53</v>
      </c>
      <c r="R6671" t="s" s="12">
        <v>53</v>
      </c>
    </row>
    <row r="6672" s="2" customFormat="1" ht="13.5" customHeight="1">
      <c r="B6672" s="13"/>
      <c r="C6672" t="s" s="9">
        <v>16</v>
      </c>
      <c r="D6672" t="s" s="8">
        <v>2286</v>
      </c>
      <c r="E6672" t="s" s="9">
        <v>2287</v>
      </c>
      <c r="F6672" t="s" s="10">
        <v>68</v>
      </c>
      <c r="G6672" s="14"/>
      <c r="H6672" s="19">
        <v>5</v>
      </c>
      <c r="I6672" s="14"/>
      <c r="J6672" t="s" s="11">
        <v>20</v>
      </c>
      <c r="K6672" s="15"/>
      <c r="L6672" t="s" s="16">
        <f>HYPERLINK("http://csr.bu.edu/ftp/asl/asllvd/demos/verify_start_end_handshape_annotations//test_auto_move//signs_mov_separ_signers/Liz_16549.mov","MOV")</f>
        <v>21</v>
      </c>
      <c r="M6672" t="s" s="10">
        <v>34</v>
      </c>
      <c r="N6672" s="17">
        <v>25</v>
      </c>
      <c r="O6672" s="18">
        <v>2420</v>
      </c>
      <c r="P6672" s="18">
        <v>2447</v>
      </c>
      <c r="Q6672" s="15"/>
      <c r="R6672" t="s" s="16">
        <f>HYPERLINK("http://secrets.rutgers.edu:8080/data/asl-ftp/asllvd/demos/verify_start_end_handshape_annotations//test_auto_move//signs_mov_separ_signers/Liz_16549.mov","MOV")</f>
        <v>21</v>
      </c>
    </row>
    <row r="6673" s="2" customFormat="1" ht="13.5" customHeight="1">
      <c r="B6673" s="13"/>
      <c r="C6673" t="s" s="9">
        <v>27</v>
      </c>
      <c r="D6673" t="s" s="8">
        <v>2286</v>
      </c>
      <c r="E6673" t="s" s="9">
        <v>2287</v>
      </c>
      <c r="F6673" t="s" s="10">
        <v>68</v>
      </c>
      <c r="G6673" s="14"/>
      <c r="H6673" s="19">
        <v>5</v>
      </c>
      <c r="I6673" s="14"/>
      <c r="J6673" t="s" s="11">
        <v>20</v>
      </c>
      <c r="K6673" t="s" s="16">
        <f>HYPERLINK("http://csr.bu.edu/ftp/asl/asllvd/demos/verify_start_end_handshape_annotations//test_auto_move//signs_mov/16549.mov","MOV")</f>
        <v>21</v>
      </c>
      <c r="L6673" t="s" s="16">
        <f>HYPERLINK("http://csr.bu.edu/ftp/asl/asllvd/demos/verify_start_end_handshape_annotations//test_auto_move//signs_mov_separ_signers/Naomi_16549.mov","MOV")</f>
        <v>21</v>
      </c>
      <c r="M6673" t="s" s="10">
        <v>38</v>
      </c>
      <c r="N6673" s="17">
        <v>21</v>
      </c>
      <c r="O6673" s="18">
        <v>4767</v>
      </c>
      <c r="P6673" s="18">
        <v>4790</v>
      </c>
      <c r="Q6673" t="s" s="16">
        <f>HYPERLINK("http://secrets.rutgers.edu:8080/data/asl-ftp/asllvd/demos/verify_start_end_handshape_annotations//test_auto_move//signs_mov/16549.mov","MOV")</f>
        <v>21</v>
      </c>
      <c r="R6673" t="s" s="16">
        <f>HYPERLINK("http://secrets.rutgers.edu:8080/data/asl-ftp/asllvd/demos/verify_start_end_handshape_annotations//test_auto_move//signs_mov_separ_signers/Naomi_16549.mov","MOV")</f>
        <v>21</v>
      </c>
    </row>
    <row r="6674" s="2" customFormat="1" ht="13.5" customHeight="1">
      <c r="B6674" s="13"/>
      <c r="C6674" t="s" s="9">
        <v>30</v>
      </c>
      <c r="D6674" t="s" s="8">
        <v>2286</v>
      </c>
      <c r="E6674" t="s" s="9">
        <v>2287</v>
      </c>
      <c r="F6674" t="s" s="10">
        <v>68</v>
      </c>
      <c r="G6674" s="14"/>
      <c r="H6674" t="s" s="10">
        <v>72</v>
      </c>
      <c r="I6674" s="14"/>
      <c r="J6674" t="s" s="11">
        <v>20</v>
      </c>
      <c r="K6674" s="15"/>
      <c r="L6674" t="s" s="16">
        <f>HYPERLINK("http://csr.bu.edu/ftp/asl/asllvd/demos/verify_start_end_handshape_annotations//test_auto_move//signs_mov_separ_signers/Brady_16549.mov","MOV")</f>
        <v>21</v>
      </c>
      <c r="M6674" t="s" s="10">
        <v>39</v>
      </c>
      <c r="N6674" s="17">
        <v>37</v>
      </c>
      <c r="O6674" s="18">
        <v>5589</v>
      </c>
      <c r="P6674" s="18">
        <v>5609</v>
      </c>
      <c r="Q6674" s="15"/>
      <c r="R6674" t="s" s="16">
        <f>HYPERLINK("http://secrets.rutgers.edu:8080/data/asl-ftp/asllvd/demos/verify_start_end_handshape_annotations//test_auto_move//signs_mov_separ_signers/Brady_16549.mov","MOV")</f>
        <v>21</v>
      </c>
    </row>
    <row r="6675" s="2" customFormat="1" ht="13.5" customHeight="1">
      <c r="B6675" t="s" s="8">
        <v>2288</v>
      </c>
      <c r="C6675" t="s" s="9">
        <v>14</v>
      </c>
      <c r="D6675" t="s" s="8">
        <v>14</v>
      </c>
      <c r="E6675" t="s" s="9">
        <v>14</v>
      </c>
      <c r="F6675" t="s" s="10">
        <v>14</v>
      </c>
      <c r="G6675" t="s" s="11">
        <v>14</v>
      </c>
      <c r="H6675" t="s" s="10">
        <v>14</v>
      </c>
      <c r="I6675" t="s" s="11">
        <v>14</v>
      </c>
      <c r="J6675" t="s" s="11">
        <v>14</v>
      </c>
      <c r="K6675" t="s" s="12">
        <v>14</v>
      </c>
      <c r="L6675" t="s" s="12">
        <v>14</v>
      </c>
      <c r="M6675" t="s" s="10">
        <v>14</v>
      </c>
      <c r="N6675" t="s" s="11">
        <v>14</v>
      </c>
      <c r="O6675" t="s" s="8">
        <v>14</v>
      </c>
      <c r="P6675" t="s" s="8">
        <v>14</v>
      </c>
      <c r="Q6675" t="s" s="12">
        <v>14</v>
      </c>
      <c r="R6675" t="s" s="12">
        <v>14</v>
      </c>
    </row>
    <row r="6676" s="2" customFormat="1" ht="13.5" customHeight="1">
      <c r="B6676" s="13"/>
      <c r="C6676" t="s" s="9">
        <v>16</v>
      </c>
      <c r="D6676" t="s" s="8">
        <v>2288</v>
      </c>
      <c r="E6676" t="s" s="9">
        <v>2289</v>
      </c>
      <c r="F6676" s="19">
        <v>4</v>
      </c>
      <c r="G6676" s="17">
        <v>4</v>
      </c>
      <c r="H6676" s="19">
        <v>4</v>
      </c>
      <c r="I6676" s="17">
        <v>4</v>
      </c>
      <c r="J6676" t="s" s="11">
        <v>20</v>
      </c>
      <c r="K6676" s="15"/>
      <c r="L6676" t="s" s="16">
        <f>HYPERLINK("http://csr.bu.edu/ftp/asl/asllvd/demos/verify_start_end_handshape_annotations//test_auto_move//signs_mov_separ_signers/Liz_1489.mov","MOV")</f>
        <v>21</v>
      </c>
      <c r="M6676" t="s" s="10">
        <v>34</v>
      </c>
      <c r="N6676" s="17">
        <v>57</v>
      </c>
      <c r="O6676" s="18">
        <v>3170</v>
      </c>
      <c r="P6676" s="18">
        <v>3222</v>
      </c>
      <c r="Q6676" s="15"/>
      <c r="R6676" t="s" s="16">
        <f>HYPERLINK("http://secrets.rutgers.edu:8080/data/asl-ftp/asllvd/demos/verify_start_end_handshape_annotations//test_auto_move//signs_mov_separ_signers/Liz_1489.mov","MOV")</f>
        <v>21</v>
      </c>
    </row>
    <row r="6677" s="2" customFormat="1" ht="13.5" customHeight="1">
      <c r="B6677" s="13"/>
      <c r="C6677" t="s" s="9">
        <v>23</v>
      </c>
      <c r="D6677" t="s" s="8">
        <v>2288</v>
      </c>
      <c r="E6677" t="s" s="9">
        <v>2290</v>
      </c>
      <c r="F6677" s="19">
        <v>4</v>
      </c>
      <c r="G6677" s="17">
        <v>4</v>
      </c>
      <c r="H6677" s="19">
        <v>4</v>
      </c>
      <c r="I6677" s="17">
        <v>4</v>
      </c>
      <c r="J6677" t="s" s="11">
        <v>20</v>
      </c>
      <c r="K6677" t="s" s="16">
        <f>HYPERLINK("http://csr.bu.edu/ftp/asl/asllvd/demos/verify_start_end_handshape_annotations//test_auto_move//signs_mov/1489.mov","MOV")</f>
        <v>21</v>
      </c>
      <c r="L6677" t="s" s="16">
        <f>HYPERLINK("http://csr.bu.edu/ftp/asl/asllvd/demos/verify_start_end_handshape_annotations//test_auto_move//signs_mov_separ_signers/Tyler_1489.mov","MOV")</f>
        <v>21</v>
      </c>
      <c r="M6677" t="s" s="10">
        <v>47</v>
      </c>
      <c r="N6677" s="17">
        <v>9</v>
      </c>
      <c r="O6677" s="18">
        <v>3849</v>
      </c>
      <c r="P6677" s="18">
        <v>3892</v>
      </c>
      <c r="Q6677" t="s" s="16">
        <f>HYPERLINK("http://secrets.rutgers.edu:8080/data/asl-ftp/asllvd/demos/verify_start_end_handshape_annotations//test_auto_move//signs_mov/1489.mov","MOV")</f>
        <v>21</v>
      </c>
      <c r="R6677" t="s" s="16">
        <f>HYPERLINK("http://secrets.rutgers.edu:8080/data/asl-ftp/asllvd/demos/verify_start_end_handshape_annotations//test_auto_move//signs_mov_separ_signers/Tyler_1489.mov","MOV")</f>
        <v>21</v>
      </c>
    </row>
    <row r="6678" s="2" customFormat="1" ht="13.5" customHeight="1">
      <c r="B6678" s="13"/>
      <c r="C6678" t="s" s="9">
        <v>27</v>
      </c>
      <c r="D6678" t="s" s="8">
        <v>2288</v>
      </c>
      <c r="E6678" t="s" s="9">
        <v>2290</v>
      </c>
      <c r="F6678" s="19">
        <v>5</v>
      </c>
      <c r="G6678" s="17">
        <v>4</v>
      </c>
      <c r="H6678" s="19">
        <v>4</v>
      </c>
      <c r="I6678" s="17">
        <v>4</v>
      </c>
      <c r="J6678" t="s" s="11">
        <v>20</v>
      </c>
      <c r="K6678" s="15"/>
      <c r="L6678" t="s" s="16">
        <f>HYPERLINK("http://csr.bu.edu/ftp/asl/asllvd/demos/verify_start_end_handshape_annotations//test_auto_move//signs_mov_separ_signers/Naomi_1489.mov","MOV")</f>
        <v>21</v>
      </c>
      <c r="M6678" t="s" s="10">
        <v>48</v>
      </c>
      <c r="N6678" s="17">
        <v>12</v>
      </c>
      <c r="O6678" s="18">
        <v>4027</v>
      </c>
      <c r="P6678" s="18">
        <v>4080</v>
      </c>
      <c r="Q6678" s="15"/>
      <c r="R6678" t="s" s="16">
        <f>HYPERLINK("http://secrets.rutgers.edu:8080/data/asl-ftp/asllvd/demos/verify_start_end_handshape_annotations//test_auto_move//signs_mov_separ_signers/Naomi_1489.mov","MOV")</f>
        <v>21</v>
      </c>
    </row>
    <row r="6679" s="2" customFormat="1" ht="13.5" customHeight="1">
      <c r="B6679" s="13"/>
      <c r="C6679" t="s" s="9">
        <v>30</v>
      </c>
      <c r="D6679" t="s" s="8">
        <v>2288</v>
      </c>
      <c r="E6679" t="s" s="9">
        <v>2289</v>
      </c>
      <c r="F6679" s="19">
        <v>5</v>
      </c>
      <c r="G6679" s="17">
        <v>5</v>
      </c>
      <c r="H6679" s="19">
        <v>5</v>
      </c>
      <c r="I6679" s="17">
        <v>5</v>
      </c>
      <c r="J6679" t="s" s="11">
        <v>20</v>
      </c>
      <c r="K6679" s="15"/>
      <c r="L6679" t="s" s="16">
        <f>HYPERLINK("http://csr.bu.edu/ftp/asl/asllvd/demos/verify_start_end_handshape_annotations//test_auto_move//signs_mov_separ_signers/Brady_1489.mov","MOV")</f>
        <v>21</v>
      </c>
      <c r="M6679" t="s" s="10">
        <v>39</v>
      </c>
      <c r="N6679" s="17">
        <v>54</v>
      </c>
      <c r="O6679" s="18">
        <v>3046</v>
      </c>
      <c r="P6679" s="18">
        <v>3073</v>
      </c>
      <c r="Q6679" s="15"/>
      <c r="R6679" t="s" s="16">
        <f>HYPERLINK("http://secrets.rutgers.edu:8080/data/asl-ftp/asllvd/demos/verify_start_end_handshape_annotations//test_auto_move//signs_mov_separ_signers/Brady_1489.mov","MOV")</f>
        <v>21</v>
      </c>
    </row>
    <row r="6680" s="2" customFormat="1" ht="13.5" customHeight="1">
      <c r="B6680" t="s" s="8">
        <v>2291</v>
      </c>
      <c r="C6680" t="s" s="9">
        <v>14</v>
      </c>
      <c r="D6680" t="s" s="8">
        <v>14</v>
      </c>
      <c r="E6680" t="s" s="9">
        <v>14</v>
      </c>
      <c r="F6680" t="s" s="10">
        <v>14</v>
      </c>
      <c r="G6680" t="s" s="11">
        <v>14</v>
      </c>
      <c r="H6680" t="s" s="10">
        <v>14</v>
      </c>
      <c r="I6680" t="s" s="11">
        <v>14</v>
      </c>
      <c r="J6680" t="s" s="11">
        <v>14</v>
      </c>
      <c r="K6680" t="s" s="12">
        <v>14</v>
      </c>
      <c r="L6680" t="s" s="12">
        <v>14</v>
      </c>
      <c r="M6680" t="s" s="10">
        <v>14</v>
      </c>
      <c r="N6680" t="s" s="11">
        <v>14</v>
      </c>
      <c r="O6680" t="s" s="8">
        <v>14</v>
      </c>
      <c r="P6680" t="s" s="8">
        <v>14</v>
      </c>
      <c r="Q6680" t="s" s="12">
        <v>14</v>
      </c>
      <c r="R6680" t="s" s="12">
        <v>14</v>
      </c>
    </row>
    <row r="6681" s="2" customFormat="1" ht="13.5" customHeight="1">
      <c r="B6681" s="13"/>
      <c r="C6681" t="s" s="9">
        <v>16</v>
      </c>
      <c r="D6681" t="s" s="8">
        <v>2291</v>
      </c>
      <c r="E6681" t="s" s="9">
        <v>2292</v>
      </c>
      <c r="F6681" t="s" s="10">
        <v>282</v>
      </c>
      <c r="G6681" s="14"/>
      <c r="H6681" t="s" s="10">
        <v>282</v>
      </c>
      <c r="I6681" s="14"/>
      <c r="J6681" t="s" s="11">
        <v>20</v>
      </c>
      <c r="K6681" s="15"/>
      <c r="L6681" t="s" s="16">
        <f>HYPERLINK("http://csr.bu.edu/ftp/asl/asllvd/demos/verify_start_end_handshape_annotations//test_auto_move//signs_mov_separ_signers/Liz_1490.mov","MOV")</f>
        <v>21</v>
      </c>
      <c r="M6681" t="s" s="10">
        <v>34</v>
      </c>
      <c r="N6681" s="17">
        <v>58</v>
      </c>
      <c r="O6681" s="18">
        <v>575</v>
      </c>
      <c r="P6681" s="18">
        <v>625</v>
      </c>
      <c r="Q6681" s="15"/>
      <c r="R6681" t="s" s="16">
        <f>HYPERLINK("http://secrets.rutgers.edu:8080/data/asl-ftp/asllvd/demos/verify_start_end_handshape_annotations//test_auto_move//signs_mov_separ_signers/Liz_1490.mov","MOV")</f>
        <v>21</v>
      </c>
    </row>
    <row r="6682" s="2" customFormat="1" ht="13.5" customHeight="1">
      <c r="B6682" s="13"/>
      <c r="C6682" t="s" s="9">
        <v>23</v>
      </c>
      <c r="D6682" t="s" s="8">
        <v>2291</v>
      </c>
      <c r="E6682" t="s" s="9">
        <v>2293</v>
      </c>
      <c r="F6682" t="s" s="10">
        <v>282</v>
      </c>
      <c r="G6682" s="14"/>
      <c r="H6682" t="s" s="10">
        <v>282</v>
      </c>
      <c r="I6682" s="14"/>
      <c r="J6682" t="s" s="11">
        <v>20</v>
      </c>
      <c r="K6682" t="s" s="16">
        <f>HYPERLINK("http://csr.bu.edu/ftp/asl/asllvd/demos/verify_start_end_handshape_annotations//test_auto_move//signs_mov/1490.mov","MOV")</f>
        <v>21</v>
      </c>
      <c r="L6682" t="s" s="16">
        <f>HYPERLINK("http://csr.bu.edu/ftp/asl/asllvd/demos/verify_start_end_handshape_annotations//test_auto_move//signs_mov_separ_signers/Tyler_1490.mov","MOV")</f>
        <v>21</v>
      </c>
      <c r="M6682" t="s" s="10">
        <v>47</v>
      </c>
      <c r="N6682" s="17">
        <v>9</v>
      </c>
      <c r="O6682" s="18">
        <v>4032</v>
      </c>
      <c r="P6682" s="18">
        <v>4071</v>
      </c>
      <c r="Q6682" t="s" s="16">
        <f>HYPERLINK("http://secrets.rutgers.edu:8080/data/asl-ftp/asllvd/demos/verify_start_end_handshape_annotations//test_auto_move//signs_mov/1490.mov","MOV")</f>
        <v>21</v>
      </c>
      <c r="R6682" t="s" s="16">
        <f>HYPERLINK("http://secrets.rutgers.edu:8080/data/asl-ftp/asllvd/demos/verify_start_end_handshape_annotations//test_auto_move//signs_mov_separ_signers/Tyler_1490.mov","MOV")</f>
        <v>21</v>
      </c>
    </row>
    <row r="6683" s="2" customFormat="1" ht="13.5" customHeight="1">
      <c r="B6683" s="13"/>
      <c r="C6683" t="s" s="9">
        <v>27</v>
      </c>
      <c r="D6683" t="s" s="8">
        <v>2291</v>
      </c>
      <c r="E6683" t="s" s="9">
        <v>2292</v>
      </c>
      <c r="F6683" t="s" s="10">
        <v>282</v>
      </c>
      <c r="G6683" s="14"/>
      <c r="H6683" t="s" s="10">
        <v>282</v>
      </c>
      <c r="I6683" s="14"/>
      <c r="J6683" t="s" s="11">
        <v>20</v>
      </c>
      <c r="K6683" s="15"/>
      <c r="L6683" t="s" s="16">
        <f>HYPERLINK("http://csr.bu.edu/ftp/asl/asllvd/demos/verify_start_end_handshape_annotations//test_auto_move//signs_mov_separ_signers/Naomi_1490.mov","MOV")</f>
        <v>21</v>
      </c>
      <c r="M6683" t="s" s="10">
        <v>48</v>
      </c>
      <c r="N6683" s="17">
        <v>12</v>
      </c>
      <c r="O6683" s="18">
        <v>4295</v>
      </c>
      <c r="P6683" s="18">
        <v>4345</v>
      </c>
      <c r="Q6683" s="15"/>
      <c r="R6683" t="s" s="16">
        <f>HYPERLINK("http://secrets.rutgers.edu:8080/data/asl-ftp/asllvd/demos/verify_start_end_handshape_annotations//test_auto_move//signs_mov_separ_signers/Naomi_1490.mov","MOV")</f>
        <v>21</v>
      </c>
    </row>
    <row r="6684" s="2" customFormat="1" ht="13.5" customHeight="1">
      <c r="B6684" s="13"/>
      <c r="C6684" t="s" s="9">
        <v>30</v>
      </c>
      <c r="D6684" t="s" s="8">
        <v>2291</v>
      </c>
      <c r="E6684" t="s" s="9">
        <v>2293</v>
      </c>
      <c r="F6684" t="s" s="10">
        <v>282</v>
      </c>
      <c r="G6684" s="14"/>
      <c r="H6684" t="s" s="10">
        <v>282</v>
      </c>
      <c r="I6684" s="14"/>
      <c r="J6684" t="s" s="11">
        <v>20</v>
      </c>
      <c r="K6684" s="15"/>
      <c r="L6684" t="s" s="16">
        <f>HYPERLINK("http://csr.bu.edu/ftp/asl/asllvd/demos/verify_start_end_handshape_annotations//test_auto_move//signs_mov_separ_signers/Brady_1490.mov","MOV")</f>
        <v>21</v>
      </c>
      <c r="M6684" t="s" s="10">
        <v>39</v>
      </c>
      <c r="N6684" s="17">
        <v>54</v>
      </c>
      <c r="O6684" s="18">
        <v>3274</v>
      </c>
      <c r="P6684" s="18">
        <v>3308</v>
      </c>
      <c r="Q6684" s="15"/>
      <c r="R6684" t="s" s="16">
        <f>HYPERLINK("http://secrets.rutgers.edu:8080/data/asl-ftp/asllvd/demos/verify_start_end_handshape_annotations//test_auto_move//signs_mov_separ_signers/Brady_1490.mov","MOV")</f>
        <v>21</v>
      </c>
    </row>
    <row r="6685" s="2" customFormat="1" ht="13.5" customHeight="1">
      <c r="B6685" t="s" s="8">
        <v>2294</v>
      </c>
      <c r="C6685" t="s" s="9">
        <v>14</v>
      </c>
      <c r="D6685" t="s" s="8">
        <v>14</v>
      </c>
      <c r="E6685" t="s" s="9">
        <v>14</v>
      </c>
      <c r="F6685" t="s" s="10">
        <v>14</v>
      </c>
      <c r="G6685" t="s" s="11">
        <v>14</v>
      </c>
      <c r="H6685" t="s" s="10">
        <v>14</v>
      </c>
      <c r="I6685" t="s" s="11">
        <v>14</v>
      </c>
      <c r="J6685" t="s" s="11">
        <v>14</v>
      </c>
      <c r="K6685" t="s" s="12">
        <v>14</v>
      </c>
      <c r="L6685" t="s" s="12">
        <v>14</v>
      </c>
      <c r="M6685" t="s" s="10">
        <v>14</v>
      </c>
      <c r="N6685" t="s" s="11">
        <v>14</v>
      </c>
      <c r="O6685" t="s" s="8">
        <v>14</v>
      </c>
      <c r="P6685" t="s" s="8">
        <v>14</v>
      </c>
      <c r="Q6685" t="s" s="12">
        <v>14</v>
      </c>
      <c r="R6685" t="s" s="12">
        <v>14</v>
      </c>
    </row>
    <row r="6686" s="2" customFormat="1" ht="13.5" customHeight="1">
      <c r="B6686" s="13"/>
      <c r="C6686" t="s" s="9">
        <v>16</v>
      </c>
      <c r="D6686" t="s" s="8">
        <v>2294</v>
      </c>
      <c r="E6686" t="s" s="9">
        <v>2294</v>
      </c>
      <c r="F6686" t="s" s="10">
        <v>72</v>
      </c>
      <c r="G6686" t="s" s="11">
        <v>150</v>
      </c>
      <c r="H6686" t="s" s="10">
        <v>150</v>
      </c>
      <c r="I6686" t="s" s="11">
        <v>150</v>
      </c>
      <c r="J6686" t="s" s="11">
        <v>20</v>
      </c>
      <c r="K6686" s="15"/>
      <c r="L6686" t="s" s="16">
        <f>HYPERLINK("http://csr.bu.edu/ftp/asl/asllvd/demos/verify_start_end_handshape_annotations//test_auto_move//signs_mov_separ_signers/Liz_1492.mov","MOV")</f>
        <v>21</v>
      </c>
      <c r="M6686" t="s" s="10">
        <v>34</v>
      </c>
      <c r="N6686" s="17">
        <v>58</v>
      </c>
      <c r="O6686" s="18">
        <v>799</v>
      </c>
      <c r="P6686" s="18">
        <v>853</v>
      </c>
      <c r="Q6686" s="15"/>
      <c r="R6686" t="s" s="16">
        <f>HYPERLINK("http://secrets.rutgers.edu:8080/data/asl-ftp/asllvd/demos/verify_start_end_handshape_annotations//test_auto_move//signs_mov_separ_signers/Liz_1492.mov","MOV")</f>
        <v>21</v>
      </c>
    </row>
    <row r="6687" s="2" customFormat="1" ht="13.5" customHeight="1">
      <c r="B6687" s="13"/>
      <c r="C6687" t="s" s="9">
        <v>16</v>
      </c>
      <c r="D6687" t="s" s="8">
        <v>2294</v>
      </c>
      <c r="E6687" t="s" s="9">
        <v>2294</v>
      </c>
      <c r="F6687" t="s" s="10">
        <v>150</v>
      </c>
      <c r="G6687" t="s" s="11">
        <v>150</v>
      </c>
      <c r="H6687" t="s" s="10">
        <v>150</v>
      </c>
      <c r="I6687" t="s" s="11">
        <v>150</v>
      </c>
      <c r="J6687" t="s" s="11">
        <v>20</v>
      </c>
      <c r="K6687" s="15"/>
      <c r="L6687" t="s" s="16">
        <f>HYPERLINK("http://csr.bu.edu/ftp/asl/asllvd/demos/verify_start_end_handshape_annotations//test_auto_move//signs_mov_separ_signers/Liz_5678.mov","MOV")</f>
        <v>21</v>
      </c>
      <c r="M6687" t="s" s="10">
        <v>34</v>
      </c>
      <c r="N6687" s="17">
        <v>58</v>
      </c>
      <c r="O6687" s="18">
        <v>1290</v>
      </c>
      <c r="P6687" s="18">
        <v>1330</v>
      </c>
      <c r="Q6687" s="15"/>
      <c r="R6687" t="s" s="16">
        <f>HYPERLINK("http://secrets.rutgers.edu:8080/data/asl-ftp/asllvd/demos/verify_start_end_handshape_annotations//test_auto_move//signs_mov_separ_signers/Liz_5678.mov","MOV")</f>
        <v>21</v>
      </c>
    </row>
    <row r="6688" s="2" customFormat="1" ht="13.5" customHeight="1">
      <c r="B6688" s="13"/>
      <c r="C6688" t="s" s="9">
        <v>23</v>
      </c>
      <c r="D6688" t="s" s="8">
        <v>2294</v>
      </c>
      <c r="E6688" t="s" s="9">
        <v>2294</v>
      </c>
      <c r="F6688" t="s" s="10">
        <v>150</v>
      </c>
      <c r="G6688" t="s" s="11">
        <v>150</v>
      </c>
      <c r="H6688" t="s" s="10">
        <v>150</v>
      </c>
      <c r="I6688" t="s" s="11">
        <v>150</v>
      </c>
      <c r="J6688" t="s" s="11">
        <v>20</v>
      </c>
      <c r="K6688" s="15"/>
      <c r="L6688" t="s" s="16">
        <f>HYPERLINK("http://csr.bu.edu/ftp/asl/asllvd/demos/verify_start_end_handshape_annotations//test_auto_move//signs_mov_separ_signers/Tyler_1492.mov","MOV")</f>
        <v>21</v>
      </c>
      <c r="M6688" t="s" s="10">
        <v>47</v>
      </c>
      <c r="N6688" s="17">
        <v>10</v>
      </c>
      <c r="O6688" s="18">
        <v>445</v>
      </c>
      <c r="P6688" s="18">
        <v>483</v>
      </c>
      <c r="Q6688" s="15"/>
      <c r="R6688" t="s" s="16">
        <f>HYPERLINK("http://secrets.rutgers.edu:8080/data/asl-ftp/asllvd/demos/verify_start_end_handshape_annotations//test_auto_move//signs_mov_separ_signers/Tyler_1492.mov","MOV")</f>
        <v>21</v>
      </c>
    </row>
    <row r="6689" s="2" customFormat="1" ht="13.5" customHeight="1">
      <c r="B6689" s="13"/>
      <c r="C6689" t="s" s="9">
        <v>23</v>
      </c>
      <c r="D6689" t="s" s="8">
        <v>2294</v>
      </c>
      <c r="E6689" t="s" s="9">
        <v>2294</v>
      </c>
      <c r="F6689" t="s" s="10">
        <v>150</v>
      </c>
      <c r="G6689" t="s" s="11">
        <v>150</v>
      </c>
      <c r="H6689" t="s" s="10">
        <v>150</v>
      </c>
      <c r="I6689" t="s" s="11">
        <v>150</v>
      </c>
      <c r="J6689" t="s" s="11">
        <v>20</v>
      </c>
      <c r="K6689" s="15"/>
      <c r="L6689" t="s" s="16">
        <f>HYPERLINK("http://csr.bu.edu/ftp/asl/asllvd/demos/verify_start_end_handshape_annotations//test_auto_move//signs_mov_separ_signers/Tyler_5678.mov","MOV")</f>
        <v>21</v>
      </c>
      <c r="M6689" t="s" s="10">
        <v>47</v>
      </c>
      <c r="N6689" s="17">
        <v>10</v>
      </c>
      <c r="O6689" s="18">
        <v>895</v>
      </c>
      <c r="P6689" s="18">
        <v>930</v>
      </c>
      <c r="Q6689" s="15"/>
      <c r="R6689" t="s" s="16">
        <f>HYPERLINK("http://secrets.rutgers.edu:8080/data/asl-ftp/asllvd/demos/verify_start_end_handshape_annotations//test_auto_move//signs_mov_separ_signers/Tyler_5678.mov","MOV")</f>
        <v>21</v>
      </c>
    </row>
    <row r="6690" s="2" customFormat="1" ht="13.5" customHeight="1">
      <c r="B6690" s="13"/>
      <c r="C6690" t="s" s="9">
        <v>27</v>
      </c>
      <c r="D6690" t="s" s="8">
        <v>2294</v>
      </c>
      <c r="E6690" t="s" s="9">
        <v>2294</v>
      </c>
      <c r="F6690" t="s" s="10">
        <v>150</v>
      </c>
      <c r="G6690" t="s" s="11">
        <v>150</v>
      </c>
      <c r="H6690" t="s" s="10">
        <v>150</v>
      </c>
      <c r="I6690" t="s" s="11">
        <v>150</v>
      </c>
      <c r="J6690" t="s" s="11">
        <v>20</v>
      </c>
      <c r="K6690" t="s" s="16">
        <f>HYPERLINK("http://csr.bu.edu/ftp/asl/asllvd/demos/verify_start_end_handshape_annotations//test_auto_move//signs_mov/1492_5678_merged.mov","MOV")</f>
        <v>21</v>
      </c>
      <c r="L6690" t="s" s="16">
        <f>HYPERLINK("http://csr.bu.edu/ftp/asl/asllvd/demos/verify_start_end_handshape_annotations//test_auto_move//signs_mov_separ_signers/Naomi_1492.mov","MOV")</f>
        <v>21</v>
      </c>
      <c r="M6690" t="s" s="10">
        <v>48</v>
      </c>
      <c r="N6690" s="17">
        <v>13</v>
      </c>
      <c r="O6690" s="18">
        <v>261</v>
      </c>
      <c r="P6690" s="18">
        <v>290</v>
      </c>
      <c r="Q6690" t="s" s="16">
        <f>HYPERLINK("http://secrets.rutgers.edu:8080/data/asl-ftp/asllvd/demos/verify_start_end_handshape_annotations//test_auto_move//signs_mov/1492_5678_merged.mov","MOV")</f>
        <v>21</v>
      </c>
      <c r="R6690" t="s" s="16">
        <f>HYPERLINK("http://secrets.rutgers.edu:8080/data/asl-ftp/asllvd/demos/verify_start_end_handshape_annotations//test_auto_move//signs_mov_separ_signers/Naomi_1492.mov","MOV")</f>
        <v>21</v>
      </c>
    </row>
    <row r="6691" s="2" customFormat="1" ht="13.5" customHeight="1">
      <c r="B6691" s="13"/>
      <c r="C6691" t="s" s="9">
        <v>27</v>
      </c>
      <c r="D6691" t="s" s="8">
        <v>2294</v>
      </c>
      <c r="E6691" t="s" s="9">
        <v>2294</v>
      </c>
      <c r="F6691" t="s" s="10">
        <v>150</v>
      </c>
      <c r="G6691" t="s" s="11">
        <v>150</v>
      </c>
      <c r="H6691" t="s" s="10">
        <v>150</v>
      </c>
      <c r="I6691" t="s" s="11">
        <v>150</v>
      </c>
      <c r="J6691" t="s" s="11">
        <v>20</v>
      </c>
      <c r="K6691" s="15"/>
      <c r="L6691" t="s" s="16">
        <f>HYPERLINK("http://csr.bu.edu/ftp/asl/asllvd/demos/verify_start_end_handshape_annotations//test_auto_move//signs_mov_separ_signers/Naomi_5678.mov","MOV")</f>
        <v>21</v>
      </c>
      <c r="M6691" t="s" s="10">
        <v>48</v>
      </c>
      <c r="N6691" s="17">
        <v>13</v>
      </c>
      <c r="O6691" s="18">
        <v>645</v>
      </c>
      <c r="P6691" s="18">
        <v>680</v>
      </c>
      <c r="Q6691" s="15"/>
      <c r="R6691" t="s" s="16">
        <f>HYPERLINK("http://secrets.rutgers.edu:8080/data/asl-ftp/asllvd/demos/verify_start_end_handshape_annotations//test_auto_move//signs_mov_separ_signers/Naomi_5678.mov","MOV")</f>
        <v>21</v>
      </c>
    </row>
    <row r="6692" s="2" customFormat="1" ht="13.5" customHeight="1">
      <c r="B6692" s="13"/>
      <c r="C6692" t="s" s="9">
        <v>30</v>
      </c>
      <c r="D6692" t="s" s="8">
        <v>2294</v>
      </c>
      <c r="E6692" t="s" s="9">
        <v>2294</v>
      </c>
      <c r="F6692" t="s" s="10">
        <v>150</v>
      </c>
      <c r="G6692" t="s" s="11">
        <v>150</v>
      </c>
      <c r="H6692" t="s" s="10">
        <v>150</v>
      </c>
      <c r="I6692" t="s" s="11">
        <v>150</v>
      </c>
      <c r="J6692" t="s" s="11">
        <v>20</v>
      </c>
      <c r="K6692" s="15"/>
      <c r="L6692" t="s" s="16">
        <f>HYPERLINK("http://csr.bu.edu/ftp/asl/asllvd/demos/verify_start_end_handshape_annotations//test_auto_move//signs_mov_separ_signers/Brady_1492.mov","MOV")</f>
        <v>21</v>
      </c>
      <c r="M6692" t="s" s="10">
        <v>39</v>
      </c>
      <c r="N6692" s="17">
        <v>54</v>
      </c>
      <c r="O6692" s="18">
        <v>3492</v>
      </c>
      <c r="P6692" s="18">
        <v>3527</v>
      </c>
      <c r="Q6692" s="15"/>
      <c r="R6692" t="s" s="16">
        <f>HYPERLINK("http://secrets.rutgers.edu:8080/data/asl-ftp/asllvd/demos/verify_start_end_handshape_annotations//test_auto_move//signs_mov_separ_signers/Brady_1492.mov","MOV")</f>
        <v>21</v>
      </c>
    </row>
    <row r="6693" s="2" customFormat="1" ht="13.5" customHeight="1">
      <c r="B6693" s="13"/>
      <c r="C6693" t="s" s="9">
        <v>30</v>
      </c>
      <c r="D6693" t="s" s="8">
        <v>2294</v>
      </c>
      <c r="E6693" t="s" s="9">
        <v>2294</v>
      </c>
      <c r="F6693" t="s" s="10">
        <v>150</v>
      </c>
      <c r="G6693" t="s" s="11">
        <v>150</v>
      </c>
      <c r="H6693" t="s" s="10">
        <v>150</v>
      </c>
      <c r="I6693" t="s" s="11">
        <v>150</v>
      </c>
      <c r="J6693" t="s" s="11">
        <v>20</v>
      </c>
      <c r="K6693" s="15"/>
      <c r="L6693" t="s" s="16">
        <f>HYPERLINK("http://csr.bu.edu/ftp/asl/asllvd/demos/verify_start_end_handshape_annotations//test_auto_move//signs_mov_separ_signers/Brady_5678.mov","MOV")</f>
        <v>21</v>
      </c>
      <c r="M6693" t="s" s="10">
        <v>39</v>
      </c>
      <c r="N6693" s="17">
        <v>54</v>
      </c>
      <c r="O6693" s="18">
        <v>3733</v>
      </c>
      <c r="P6693" s="18">
        <v>3754</v>
      </c>
      <c r="Q6693" s="15"/>
      <c r="R6693" t="s" s="16">
        <f>HYPERLINK("http://secrets.rutgers.edu:8080/data/asl-ftp/asllvd/demos/verify_start_end_handshape_annotations//test_auto_move//signs_mov_separ_signers/Brady_5678.mov","MOV")</f>
        <v>21</v>
      </c>
    </row>
    <row r="6694" s="2" customFormat="1" ht="13.5" customHeight="1">
      <c r="B6694" s="13"/>
      <c r="C6694" t="s" s="9">
        <v>41</v>
      </c>
      <c r="D6694" t="s" s="8">
        <v>2294</v>
      </c>
      <c r="E6694" t="s" s="9">
        <v>2294</v>
      </c>
      <c r="F6694" t="s" s="10">
        <v>150</v>
      </c>
      <c r="G6694" t="s" s="11">
        <v>150</v>
      </c>
      <c r="H6694" t="s" s="10">
        <v>150</v>
      </c>
      <c r="I6694" t="s" s="11">
        <v>150</v>
      </c>
      <c r="J6694" t="s" s="11">
        <v>20</v>
      </c>
      <c r="K6694" s="15"/>
      <c r="L6694" t="s" s="16">
        <f>HYPERLINK("http://csr.bu.edu/ftp/asl/asllvd/demos/verify_start_end_handshape_annotations//test_auto_move//signs_mov_separ_signers/Lana_1492.mov","MOV")</f>
        <v>21</v>
      </c>
      <c r="M6694" t="s" s="10">
        <v>42</v>
      </c>
      <c r="N6694" s="17">
        <v>16</v>
      </c>
      <c r="O6694" s="18">
        <v>2025</v>
      </c>
      <c r="P6694" s="18">
        <v>2042</v>
      </c>
      <c r="Q6694" s="15"/>
      <c r="R6694" t="s" s="16">
        <f>HYPERLINK("http://secrets.rutgers.edu:8080/data/asl-ftp/asllvd/demos/verify_start_end_handshape_annotations//test_auto_move//signs_mov_separ_signers/Lana_1492.mov","MOV")</f>
        <v>21</v>
      </c>
    </row>
    <row r="6695" s="2" customFormat="1" ht="13.5" customHeight="1">
      <c r="B6695" s="13"/>
      <c r="C6695" t="s" s="9">
        <v>43</v>
      </c>
      <c r="D6695" t="s" s="8">
        <v>2294</v>
      </c>
      <c r="E6695" t="s" s="9">
        <v>2294</v>
      </c>
      <c r="F6695" t="s" s="10">
        <v>150</v>
      </c>
      <c r="G6695" t="s" s="11">
        <v>150</v>
      </c>
      <c r="H6695" t="s" s="10">
        <v>150</v>
      </c>
      <c r="I6695" t="s" s="11">
        <v>150</v>
      </c>
      <c r="J6695" t="s" s="11">
        <v>20</v>
      </c>
      <c r="K6695" s="15"/>
      <c r="L6695" t="s" s="16">
        <f>HYPERLINK("http://csr.bu.edu/ftp/asl/asllvd/demos/verify_start_end_handshape_annotations//test_auto_move//signs_mov_separ_signers/Dana_1492.mov","MOV")</f>
        <v>21</v>
      </c>
      <c r="M6695" t="s" s="10">
        <v>44</v>
      </c>
      <c r="N6695" s="17">
        <v>19</v>
      </c>
      <c r="O6695" s="18">
        <v>2112</v>
      </c>
      <c r="P6695" s="18">
        <v>2155</v>
      </c>
      <c r="Q6695" s="15"/>
      <c r="R6695" t="s" s="16">
        <f>HYPERLINK("http://secrets.rutgers.edu:8080/data/asl-ftp/asllvd/demos/verify_start_end_handshape_annotations//test_auto_move//signs_mov_separ_signers/Dana_1492.mov","MOV")</f>
        <v>21</v>
      </c>
    </row>
    <row r="6696" s="2" customFormat="1" ht="13.5" customHeight="1">
      <c r="B6696" t="s" s="8">
        <v>2295</v>
      </c>
      <c r="C6696" t="s" s="9">
        <v>14</v>
      </c>
      <c r="D6696" t="s" s="8">
        <v>14</v>
      </c>
      <c r="E6696" t="s" s="9">
        <v>14</v>
      </c>
      <c r="F6696" t="s" s="10">
        <v>14</v>
      </c>
      <c r="G6696" t="s" s="11">
        <v>14</v>
      </c>
      <c r="H6696" t="s" s="10">
        <v>14</v>
      </c>
      <c r="I6696" t="s" s="11">
        <v>14</v>
      </c>
      <c r="J6696" t="s" s="11">
        <v>14</v>
      </c>
      <c r="K6696" t="s" s="12">
        <v>14</v>
      </c>
      <c r="L6696" t="s" s="12">
        <v>14</v>
      </c>
      <c r="M6696" t="s" s="10">
        <v>14</v>
      </c>
      <c r="N6696" t="s" s="11">
        <v>14</v>
      </c>
      <c r="O6696" t="s" s="8">
        <v>14</v>
      </c>
      <c r="P6696" t="s" s="8">
        <v>14</v>
      </c>
      <c r="Q6696" t="s" s="12">
        <v>14</v>
      </c>
      <c r="R6696" t="s" s="12">
        <v>14</v>
      </c>
    </row>
    <row r="6697" s="2" customFormat="1" ht="13.5" customHeight="1">
      <c r="B6697" s="13"/>
      <c r="C6697" t="s" s="9">
        <v>16</v>
      </c>
      <c r="D6697" t="s" s="8">
        <v>2295</v>
      </c>
      <c r="E6697" t="s" s="9">
        <v>2295</v>
      </c>
      <c r="F6697" t="s" s="10">
        <v>757</v>
      </c>
      <c r="G6697" s="14"/>
      <c r="H6697" t="s" s="10">
        <v>757</v>
      </c>
      <c r="I6697" s="14"/>
      <c r="J6697" t="s" s="11">
        <v>20</v>
      </c>
      <c r="K6697" t="s" s="16">
        <f>HYPERLINK("http://csr.bu.edu/ftp/asl/asllvd/demos/verify_start_end_handshape_annotations//test_auto_move//signs_mov/1493.mov","MOV")</f>
        <v>21</v>
      </c>
      <c r="L6697" t="s" s="16">
        <f>HYPERLINK("http://csr.bu.edu/ftp/asl/asllvd/demos/verify_start_end_handshape_annotations//test_auto_move//signs_mov_separ_signers/Liz_1493.mov","MOV")</f>
        <v>21</v>
      </c>
      <c r="M6697" t="s" s="10">
        <v>34</v>
      </c>
      <c r="N6697" s="17">
        <v>58</v>
      </c>
      <c r="O6697" s="18">
        <v>1630</v>
      </c>
      <c r="P6697" s="18">
        <v>1697</v>
      </c>
      <c r="Q6697" t="s" s="16">
        <f>HYPERLINK("http://secrets.rutgers.edu:8080/data/asl-ftp/asllvd/demos/verify_start_end_handshape_annotations//test_auto_move//signs_mov/1493.mov","MOV")</f>
        <v>21</v>
      </c>
      <c r="R6697" t="s" s="16">
        <f>HYPERLINK("http://secrets.rutgers.edu:8080/data/asl-ftp/asllvd/demos/verify_start_end_handshape_annotations//test_auto_move//signs_mov_separ_signers/Liz_1493.mov","MOV")</f>
        <v>21</v>
      </c>
    </row>
    <row r="6698" s="2" customFormat="1" ht="13.5" customHeight="1">
      <c r="B6698" s="13"/>
      <c r="C6698" t="s" s="9">
        <v>27</v>
      </c>
      <c r="D6698" t="s" s="8">
        <v>2295</v>
      </c>
      <c r="E6698" t="s" s="9">
        <v>2295</v>
      </c>
      <c r="F6698" t="s" s="10">
        <v>757</v>
      </c>
      <c r="G6698" s="14"/>
      <c r="H6698" t="s" s="10">
        <v>757</v>
      </c>
      <c r="I6698" s="14"/>
      <c r="J6698" t="s" s="11">
        <v>20</v>
      </c>
      <c r="K6698" s="15"/>
      <c r="L6698" t="s" s="16">
        <f>HYPERLINK("http://csr.bu.edu/ftp/asl/asllvd/demos/verify_start_end_handshape_annotations//test_auto_move//signs_mov_separ_signers/Naomi_1493.mov","MOV")</f>
        <v>21</v>
      </c>
      <c r="M6698" t="s" s="10">
        <v>48</v>
      </c>
      <c r="N6698" s="17">
        <v>13</v>
      </c>
      <c r="O6698" s="18">
        <v>955</v>
      </c>
      <c r="P6698" s="18">
        <v>990</v>
      </c>
      <c r="Q6698" s="15"/>
      <c r="R6698" t="s" s="16">
        <f>HYPERLINK("http://secrets.rutgers.edu:8080/data/asl-ftp/asllvd/demos/verify_start_end_handshape_annotations//test_auto_move//signs_mov_separ_signers/Naomi_1493.mov","MOV")</f>
        <v>21</v>
      </c>
    </row>
    <row r="6699" s="2" customFormat="1" ht="13.5" customHeight="1">
      <c r="B6699" t="s" s="8">
        <v>2296</v>
      </c>
      <c r="C6699" t="s" s="9">
        <v>14</v>
      </c>
      <c r="D6699" t="s" s="8">
        <v>14</v>
      </c>
      <c r="E6699" t="s" s="9">
        <v>14</v>
      </c>
      <c r="F6699" t="s" s="10">
        <v>14</v>
      </c>
      <c r="G6699" t="s" s="11">
        <v>14</v>
      </c>
      <c r="H6699" t="s" s="10">
        <v>14</v>
      </c>
      <c r="I6699" t="s" s="11">
        <v>14</v>
      </c>
      <c r="J6699" t="s" s="11">
        <v>14</v>
      </c>
      <c r="K6699" t="s" s="12">
        <v>14</v>
      </c>
      <c r="L6699" t="s" s="12">
        <v>14</v>
      </c>
      <c r="M6699" t="s" s="10">
        <v>14</v>
      </c>
      <c r="N6699" t="s" s="11">
        <v>14</v>
      </c>
      <c r="O6699" t="s" s="8">
        <v>14</v>
      </c>
      <c r="P6699" t="s" s="8">
        <v>14</v>
      </c>
      <c r="Q6699" t="s" s="12">
        <v>14</v>
      </c>
      <c r="R6699" t="s" s="12">
        <v>14</v>
      </c>
    </row>
    <row r="6700" s="2" customFormat="1" ht="13.5" customHeight="1">
      <c r="B6700" s="13"/>
      <c r="C6700" t="s" s="9">
        <v>30</v>
      </c>
      <c r="D6700" t="s" s="8">
        <v>2296</v>
      </c>
      <c r="E6700" t="s" s="9">
        <v>2296</v>
      </c>
      <c r="F6700" t="s" s="10">
        <v>229</v>
      </c>
      <c r="G6700" s="14"/>
      <c r="H6700" t="s" s="10">
        <v>136</v>
      </c>
      <c r="I6700" s="14"/>
      <c r="J6700" t="s" s="11">
        <v>20</v>
      </c>
      <c r="K6700" t="s" s="16">
        <f>HYPERLINK("http://csr.bu.edu/ftp/asl/asllvd/demos/verify_start_end_handshape_annotations//test_auto_move//signs_mov/16316.mov","MOV")</f>
        <v>21</v>
      </c>
      <c r="L6700" t="s" s="16">
        <f>HYPERLINK("http://csr.bu.edu/ftp/asl/asllvd/demos/verify_start_end_handshape_annotations//test_auto_move//signs_mov_separ_signers/Brady_16316.mov","MOV")</f>
        <v>21</v>
      </c>
      <c r="M6700" t="s" s="10">
        <v>39</v>
      </c>
      <c r="N6700" s="17">
        <v>54</v>
      </c>
      <c r="O6700" s="18">
        <v>4402</v>
      </c>
      <c r="P6700" s="18">
        <v>4440</v>
      </c>
      <c r="Q6700" t="s" s="16">
        <f>HYPERLINK("http://secrets.rutgers.edu:8080/data/asl-ftp/asllvd/demos/verify_start_end_handshape_annotations//test_auto_move//signs_mov/16316.mov","MOV")</f>
        <v>21</v>
      </c>
      <c r="R6700" t="s" s="16">
        <f>HYPERLINK("http://secrets.rutgers.edu:8080/data/asl-ftp/asllvd/demos/verify_start_end_handshape_annotations//test_auto_move//signs_mov_separ_signers/Brady_16316.mov","MOV")</f>
        <v>21</v>
      </c>
    </row>
    <row r="6701" s="2" customFormat="1" ht="13.5" customHeight="1">
      <c r="B6701" t="s" s="8">
        <v>2297</v>
      </c>
      <c r="C6701" t="s" s="9">
        <v>14</v>
      </c>
      <c r="D6701" t="s" s="8">
        <v>14</v>
      </c>
      <c r="E6701" t="s" s="9">
        <v>14</v>
      </c>
      <c r="F6701" t="s" s="10">
        <v>14</v>
      </c>
      <c r="G6701" t="s" s="11">
        <v>14</v>
      </c>
      <c r="H6701" t="s" s="10">
        <v>14</v>
      </c>
      <c r="I6701" t="s" s="11">
        <v>14</v>
      </c>
      <c r="J6701" t="s" s="11">
        <v>14</v>
      </c>
      <c r="K6701" t="s" s="12">
        <v>14</v>
      </c>
      <c r="L6701" t="s" s="12">
        <v>14</v>
      </c>
      <c r="M6701" t="s" s="10">
        <v>14</v>
      </c>
      <c r="N6701" t="s" s="11">
        <v>14</v>
      </c>
      <c r="O6701" t="s" s="8">
        <v>14</v>
      </c>
      <c r="P6701" t="s" s="8">
        <v>14</v>
      </c>
      <c r="Q6701" t="s" s="12">
        <v>14</v>
      </c>
      <c r="R6701" t="s" s="12">
        <v>14</v>
      </c>
    </row>
    <row r="6702" s="2" customFormat="1" ht="13.5" customHeight="1">
      <c r="B6702" s="13"/>
      <c r="C6702" t="s" s="9">
        <v>16</v>
      </c>
      <c r="D6702" t="s" s="8">
        <v>2297</v>
      </c>
      <c r="E6702" t="s" s="9">
        <v>2297</v>
      </c>
      <c r="F6702" t="s" s="10">
        <v>18</v>
      </c>
      <c r="G6702" t="s" s="11">
        <v>18</v>
      </c>
      <c r="H6702" t="s" s="10">
        <v>18</v>
      </c>
      <c r="I6702" t="s" s="11">
        <v>18</v>
      </c>
      <c r="J6702" t="s" s="11">
        <v>20</v>
      </c>
      <c r="K6702" s="15"/>
      <c r="L6702" t="s" s="16">
        <f>HYPERLINK("http://csr.bu.edu/ftp/asl/asllvd/demos/verify_start_end_handshape_annotations//test_auto_move//signs_mov_separ_signers/Liz_1494.mov","MOV")</f>
        <v>21</v>
      </c>
      <c r="M6702" t="s" s="10">
        <v>34</v>
      </c>
      <c r="N6702" s="17">
        <v>58</v>
      </c>
      <c r="O6702" s="18">
        <v>2191</v>
      </c>
      <c r="P6702" s="18">
        <v>2227</v>
      </c>
      <c r="Q6702" s="15"/>
      <c r="R6702" t="s" s="16">
        <f>HYPERLINK("http://secrets.rutgers.edu:8080/data/asl-ftp/asllvd/demos/verify_start_end_handshape_annotations//test_auto_move//signs_mov_separ_signers/Liz_1494.mov","MOV")</f>
        <v>21</v>
      </c>
    </row>
    <row r="6703" s="2" customFormat="1" ht="13.5" customHeight="1">
      <c r="B6703" s="13"/>
      <c r="C6703" t="s" s="9">
        <v>27</v>
      </c>
      <c r="D6703" t="s" s="8">
        <v>2297</v>
      </c>
      <c r="E6703" t="s" s="9">
        <v>2297</v>
      </c>
      <c r="F6703" t="s" s="10">
        <v>18</v>
      </c>
      <c r="G6703" t="s" s="11">
        <v>18</v>
      </c>
      <c r="H6703" t="s" s="10">
        <v>18</v>
      </c>
      <c r="I6703" t="s" s="11">
        <v>18</v>
      </c>
      <c r="J6703" t="s" s="11">
        <v>20</v>
      </c>
      <c r="K6703" t="s" s="16">
        <f>HYPERLINK("http://csr.bu.edu/ftp/asl/asllvd/demos/verify_start_end_handshape_annotations//test_auto_move//signs_mov/1494.mov","MOV")</f>
        <v>21</v>
      </c>
      <c r="L6703" t="s" s="16">
        <f>HYPERLINK("http://csr.bu.edu/ftp/asl/asllvd/demos/verify_start_end_handshape_annotations//test_auto_move//signs_mov_separ_signers/Naomi_1494.mov","MOV")</f>
        <v>21</v>
      </c>
      <c r="M6703" t="s" s="10">
        <v>48</v>
      </c>
      <c r="N6703" s="17">
        <v>13</v>
      </c>
      <c r="O6703" s="18">
        <v>1235</v>
      </c>
      <c r="P6703" s="18">
        <v>1262</v>
      </c>
      <c r="Q6703" t="s" s="16">
        <f>HYPERLINK("http://secrets.rutgers.edu:8080/data/asl-ftp/asllvd/demos/verify_start_end_handshape_annotations//test_auto_move//signs_mov/1494.mov","MOV")</f>
        <v>21</v>
      </c>
      <c r="R6703" t="s" s="16">
        <f>HYPERLINK("http://secrets.rutgers.edu:8080/data/asl-ftp/asllvd/demos/verify_start_end_handshape_annotations//test_auto_move//signs_mov_separ_signers/Naomi_1494.mov","MOV")</f>
        <v>21</v>
      </c>
    </row>
    <row r="6704" s="2" customFormat="1" ht="13.5" customHeight="1">
      <c r="B6704" s="13"/>
      <c r="C6704" t="s" s="9">
        <v>30</v>
      </c>
      <c r="D6704" t="s" s="8">
        <v>2297</v>
      </c>
      <c r="E6704" t="s" s="9">
        <v>2297</v>
      </c>
      <c r="F6704" t="s" s="10">
        <v>18</v>
      </c>
      <c r="G6704" t="s" s="11">
        <v>18</v>
      </c>
      <c r="H6704" t="s" s="10">
        <v>18</v>
      </c>
      <c r="I6704" t="s" s="11">
        <v>18</v>
      </c>
      <c r="J6704" t="s" s="11">
        <v>20</v>
      </c>
      <c r="K6704" s="15"/>
      <c r="L6704" t="s" s="16">
        <f>HYPERLINK("http://csr.bu.edu/ftp/asl/asllvd/demos/verify_start_end_handshape_annotations//test_auto_move//signs_mov_separ_signers/Brady_1494.mov","MOV")</f>
        <v>21</v>
      </c>
      <c r="M6704" t="s" s="10">
        <v>39</v>
      </c>
      <c r="N6704" s="17">
        <v>54</v>
      </c>
      <c r="O6704" s="18">
        <v>4662</v>
      </c>
      <c r="P6704" s="18">
        <v>4690</v>
      </c>
      <c r="Q6704" s="15"/>
      <c r="R6704" t="s" s="16">
        <f>HYPERLINK("http://secrets.rutgers.edu:8080/data/asl-ftp/asllvd/demos/verify_start_end_handshape_annotations//test_auto_move//signs_mov_separ_signers/Brady_1494.mov","MOV")</f>
        <v>21</v>
      </c>
    </row>
    <row r="6705" s="2" customFormat="1" ht="13.5" customHeight="1">
      <c r="B6705" t="s" s="8">
        <v>2298</v>
      </c>
      <c r="C6705" t="s" s="9">
        <v>14</v>
      </c>
      <c r="D6705" t="s" s="8">
        <v>14</v>
      </c>
      <c r="E6705" t="s" s="9">
        <v>14</v>
      </c>
      <c r="F6705" t="s" s="10">
        <v>14</v>
      </c>
      <c r="G6705" t="s" s="11">
        <v>14</v>
      </c>
      <c r="H6705" t="s" s="10">
        <v>14</v>
      </c>
      <c r="I6705" t="s" s="11">
        <v>14</v>
      </c>
      <c r="J6705" t="s" s="11">
        <v>14</v>
      </c>
      <c r="K6705" t="s" s="12">
        <v>14</v>
      </c>
      <c r="L6705" t="s" s="12">
        <v>14</v>
      </c>
      <c r="M6705" t="s" s="10">
        <v>14</v>
      </c>
      <c r="N6705" t="s" s="11">
        <v>14</v>
      </c>
      <c r="O6705" t="s" s="8">
        <v>14</v>
      </c>
      <c r="P6705" t="s" s="8">
        <v>14</v>
      </c>
      <c r="Q6705" t="s" s="12">
        <v>14</v>
      </c>
      <c r="R6705" t="s" s="12">
        <v>14</v>
      </c>
    </row>
    <row r="6706" s="2" customFormat="1" ht="13.5" customHeight="1">
      <c r="B6706" s="13"/>
      <c r="C6706" t="s" s="9">
        <v>23</v>
      </c>
      <c r="D6706" t="s" s="8">
        <v>2298</v>
      </c>
      <c r="E6706" t="s" s="9">
        <v>2298</v>
      </c>
      <c r="F6706" t="s" s="10">
        <v>65</v>
      </c>
      <c r="G6706" t="s" s="11">
        <v>65</v>
      </c>
      <c r="H6706" t="s" s="10">
        <v>65</v>
      </c>
      <c r="I6706" t="s" s="11">
        <v>65</v>
      </c>
      <c r="J6706" t="s" s="11">
        <v>20</v>
      </c>
      <c r="K6706" t="s" s="16">
        <f>HYPERLINK("http://csr.bu.edu/ftp/asl/asllvd/demos/verify_start_end_handshape_annotations//test_auto_move//signs_mov/1497.mov","MOV")</f>
        <v>21</v>
      </c>
      <c r="L6706" t="s" s="16">
        <f>HYPERLINK("http://csr.bu.edu/ftp/asl/asllvd/demos/verify_start_end_handshape_annotations//test_auto_move//signs_mov_separ_signers/Tyler_1497.mov","MOV")</f>
        <v>21</v>
      </c>
      <c r="M6706" t="s" s="10">
        <v>47</v>
      </c>
      <c r="N6706" s="17">
        <v>10</v>
      </c>
      <c r="O6706" s="18">
        <v>3266</v>
      </c>
      <c r="P6706" s="18">
        <v>3290</v>
      </c>
      <c r="Q6706" t="s" s="16">
        <f>HYPERLINK("http://secrets.rutgers.edu:8080/data/asl-ftp/asllvd/demos/verify_start_end_handshape_annotations//test_auto_move//signs_mov/1497.mov","MOV")</f>
        <v>21</v>
      </c>
      <c r="R6706" t="s" s="16">
        <f>HYPERLINK("http://secrets.rutgers.edu:8080/data/asl-ftp/asllvd/demos/verify_start_end_handshape_annotations//test_auto_move//signs_mov_separ_signers/Tyler_1497.mov","MOV")</f>
        <v>21</v>
      </c>
    </row>
    <row r="6707" s="2" customFormat="1" ht="13.5" customHeight="1">
      <c r="B6707" t="s" s="8">
        <v>52</v>
      </c>
      <c r="C6707" t="s" s="9">
        <v>53</v>
      </c>
      <c r="D6707" t="s" s="8">
        <v>53</v>
      </c>
      <c r="E6707" t="s" s="9">
        <v>53</v>
      </c>
      <c r="F6707" t="s" s="10">
        <v>53</v>
      </c>
      <c r="G6707" t="s" s="11">
        <v>53</v>
      </c>
      <c r="H6707" t="s" s="10">
        <v>53</v>
      </c>
      <c r="I6707" t="s" s="11">
        <v>53</v>
      </c>
      <c r="J6707" t="s" s="11">
        <v>53</v>
      </c>
      <c r="K6707" t="s" s="12">
        <v>53</v>
      </c>
      <c r="L6707" t="s" s="12">
        <v>53</v>
      </c>
      <c r="M6707" t="s" s="10">
        <v>53</v>
      </c>
      <c r="N6707" t="s" s="11">
        <v>53</v>
      </c>
      <c r="O6707" t="s" s="8">
        <v>53</v>
      </c>
      <c r="P6707" t="s" s="8">
        <v>53</v>
      </c>
      <c r="Q6707" t="s" s="12">
        <v>53</v>
      </c>
      <c r="R6707" t="s" s="12">
        <v>53</v>
      </c>
    </row>
    <row r="6708" s="2" customFormat="1" ht="13.5" customHeight="1">
      <c r="B6708" s="13"/>
      <c r="C6708" t="s" s="9">
        <v>16</v>
      </c>
      <c r="D6708" t="s" s="8">
        <v>2298</v>
      </c>
      <c r="E6708" t="s" s="9">
        <v>2299</v>
      </c>
      <c r="F6708" t="s" s="10">
        <v>65</v>
      </c>
      <c r="G6708" t="s" s="11">
        <v>73</v>
      </c>
      <c r="H6708" t="s" s="10">
        <v>65</v>
      </c>
      <c r="I6708" t="s" s="11">
        <v>73</v>
      </c>
      <c r="J6708" t="s" s="11">
        <v>20</v>
      </c>
      <c r="K6708" t="s" s="16">
        <f>HYPERLINK("http://csr.bu.edu/ftp/asl/asllvd/demos/verify_start_end_handshape_annotations//test_auto_move//signs_mov/5253.mov","MOV")</f>
        <v>21</v>
      </c>
      <c r="L6708" t="s" s="16">
        <f>HYPERLINK("http://csr.bu.edu/ftp/asl/asllvd/demos/verify_start_end_handshape_annotations//test_auto_move//signs_mov_separ_signers/Liz_5253.mov","MOV")</f>
        <v>21</v>
      </c>
      <c r="M6708" t="s" s="10">
        <v>34</v>
      </c>
      <c r="N6708" s="17">
        <v>58</v>
      </c>
      <c r="O6708" s="18">
        <v>3135</v>
      </c>
      <c r="P6708" s="18">
        <v>3170</v>
      </c>
      <c r="Q6708" t="s" s="16">
        <f>HYPERLINK("http://secrets.rutgers.edu:8080/data/asl-ftp/asllvd/demos/verify_start_end_handshape_annotations//test_auto_move//signs_mov/5253.mov","MOV")</f>
        <v>21</v>
      </c>
      <c r="R6708" t="s" s="16">
        <f>HYPERLINK("http://secrets.rutgers.edu:8080/data/asl-ftp/asllvd/demos/verify_start_end_handshape_annotations//test_auto_move//signs_mov_separ_signers/Liz_5253.mov","MOV")</f>
        <v>21</v>
      </c>
    </row>
    <row r="6709" s="2" customFormat="1" ht="13.5" customHeight="1">
      <c r="B6709" s="13"/>
      <c r="C6709" t="s" s="9">
        <v>30</v>
      </c>
      <c r="D6709" t="s" s="8">
        <v>2298</v>
      </c>
      <c r="E6709" t="s" s="9">
        <v>2299</v>
      </c>
      <c r="F6709" t="s" s="10">
        <v>65</v>
      </c>
      <c r="G6709" t="s" s="11">
        <v>73</v>
      </c>
      <c r="H6709" t="s" s="10">
        <v>65</v>
      </c>
      <c r="I6709" t="s" s="11">
        <v>73</v>
      </c>
      <c r="J6709" t="s" s="11">
        <v>20</v>
      </c>
      <c r="K6709" s="15"/>
      <c r="L6709" t="s" s="16">
        <f>HYPERLINK("http://csr.bu.edu/ftp/asl/asllvd/demos/verify_start_end_handshape_annotations//test_auto_move//signs_mov_separ_signers/Brady_5253.mov","MOV")</f>
        <v>21</v>
      </c>
      <c r="M6709" t="s" s="10">
        <v>39</v>
      </c>
      <c r="N6709" s="17">
        <v>54</v>
      </c>
      <c r="O6709" s="18">
        <v>5419</v>
      </c>
      <c r="P6709" s="18">
        <v>5435</v>
      </c>
      <c r="Q6709" s="15"/>
      <c r="R6709" t="s" s="16">
        <f>HYPERLINK("http://secrets.rutgers.edu:8080/data/asl-ftp/asllvd/demos/verify_start_end_handshape_annotations//test_auto_move//signs_mov_separ_signers/Brady_5253.mov","MOV")</f>
        <v>21</v>
      </c>
    </row>
    <row r="6710" s="2" customFormat="1" ht="13.5" customHeight="1">
      <c r="B6710" t="s" s="8">
        <v>2300</v>
      </c>
      <c r="C6710" t="s" s="9">
        <v>14</v>
      </c>
      <c r="D6710" t="s" s="8">
        <v>14</v>
      </c>
      <c r="E6710" t="s" s="9">
        <v>14</v>
      </c>
      <c r="F6710" t="s" s="10">
        <v>14</v>
      </c>
      <c r="G6710" t="s" s="11">
        <v>14</v>
      </c>
      <c r="H6710" t="s" s="10">
        <v>14</v>
      </c>
      <c r="I6710" t="s" s="11">
        <v>14</v>
      </c>
      <c r="J6710" t="s" s="11">
        <v>14</v>
      </c>
      <c r="K6710" t="s" s="12">
        <v>14</v>
      </c>
      <c r="L6710" t="s" s="12">
        <v>14</v>
      </c>
      <c r="M6710" t="s" s="10">
        <v>14</v>
      </c>
      <c r="N6710" t="s" s="11">
        <v>14</v>
      </c>
      <c r="O6710" t="s" s="8">
        <v>14</v>
      </c>
      <c r="P6710" t="s" s="8">
        <v>14</v>
      </c>
      <c r="Q6710" t="s" s="12">
        <v>14</v>
      </c>
      <c r="R6710" t="s" s="12">
        <v>14</v>
      </c>
    </row>
    <row r="6711" s="2" customFormat="1" ht="13.5" customHeight="1">
      <c r="B6711" s="13"/>
      <c r="C6711" t="s" s="9">
        <v>23</v>
      </c>
      <c r="D6711" t="s" s="8">
        <v>2300</v>
      </c>
      <c r="E6711" t="s" s="9">
        <v>2300</v>
      </c>
      <c r="F6711" t="s" s="10">
        <v>260</v>
      </c>
      <c r="G6711" t="s" s="11">
        <v>73</v>
      </c>
      <c r="H6711" t="s" s="10">
        <v>260</v>
      </c>
      <c r="I6711" t="s" s="11">
        <v>73</v>
      </c>
      <c r="J6711" t="s" s="11">
        <v>20</v>
      </c>
      <c r="K6711" t="s" s="16">
        <f>HYPERLINK("http://csr.bu.edu/ftp/asl/asllvd/demos/verify_start_end_handshape_annotations//test_auto_move//signs_mov/1498.mov","MOV")</f>
        <v>21</v>
      </c>
      <c r="L6711" t="s" s="16">
        <f>HYPERLINK("http://csr.bu.edu/ftp/asl/asllvd/demos/verify_start_end_handshape_annotations//test_auto_move//signs_mov_separ_signers/Tyler_1498.mov","MOV")</f>
        <v>21</v>
      </c>
      <c r="M6711" t="s" s="10">
        <v>47</v>
      </c>
      <c r="N6711" s="17">
        <v>10</v>
      </c>
      <c r="O6711" s="18">
        <v>4052</v>
      </c>
      <c r="P6711" s="18">
        <v>4095</v>
      </c>
      <c r="Q6711" t="s" s="16">
        <f>HYPERLINK("http://secrets.rutgers.edu:8080/data/asl-ftp/asllvd/demos/verify_start_end_handshape_annotations//test_auto_move//signs_mov/1498.mov","MOV")</f>
        <v>21</v>
      </c>
      <c r="R6711" t="s" s="16">
        <f>HYPERLINK("http://secrets.rutgers.edu:8080/data/asl-ftp/asllvd/demos/verify_start_end_handshape_annotations//test_auto_move//signs_mov_separ_signers/Tyler_1498.mov","MOV")</f>
        <v>21</v>
      </c>
    </row>
    <row r="6712" s="2" customFormat="1" ht="13.5" customHeight="1">
      <c r="B6712" s="13"/>
      <c r="C6712" t="s" s="9">
        <v>27</v>
      </c>
      <c r="D6712" t="s" s="8">
        <v>2300</v>
      </c>
      <c r="E6712" t="s" s="9">
        <v>2300</v>
      </c>
      <c r="F6712" t="s" s="10">
        <v>260</v>
      </c>
      <c r="G6712" t="s" s="11">
        <v>109</v>
      </c>
      <c r="H6712" t="s" s="10">
        <v>260</v>
      </c>
      <c r="I6712" t="s" s="11">
        <v>109</v>
      </c>
      <c r="J6712" t="s" s="11">
        <v>20</v>
      </c>
      <c r="K6712" s="15"/>
      <c r="L6712" t="s" s="16">
        <f>HYPERLINK("http://csr.bu.edu/ftp/asl/asllvd/demos/verify_start_end_handshape_annotations//test_auto_move//signs_mov_separ_signers/Naomi_1498.mov","MOV")</f>
        <v>21</v>
      </c>
      <c r="M6712" t="s" s="10">
        <v>48</v>
      </c>
      <c r="N6712" s="17">
        <v>13</v>
      </c>
      <c r="O6712" s="18">
        <v>2335</v>
      </c>
      <c r="P6712" s="18">
        <v>2360</v>
      </c>
      <c r="Q6712" s="15"/>
      <c r="R6712" t="s" s="16">
        <f>HYPERLINK("http://secrets.rutgers.edu:8080/data/asl-ftp/asllvd/demos/verify_start_end_handshape_annotations//test_auto_move//signs_mov_separ_signers/Naomi_1498.mov","MOV")</f>
        <v>21</v>
      </c>
    </row>
    <row r="6713" s="2" customFormat="1" ht="13.5" customHeight="1">
      <c r="B6713" t="s" s="8">
        <v>52</v>
      </c>
      <c r="C6713" t="s" s="9">
        <v>53</v>
      </c>
      <c r="D6713" t="s" s="8">
        <v>53</v>
      </c>
      <c r="E6713" t="s" s="9">
        <v>53</v>
      </c>
      <c r="F6713" t="s" s="10">
        <v>53</v>
      </c>
      <c r="G6713" t="s" s="11">
        <v>53</v>
      </c>
      <c r="H6713" t="s" s="10">
        <v>53</v>
      </c>
      <c r="I6713" t="s" s="11">
        <v>53</v>
      </c>
      <c r="J6713" t="s" s="11">
        <v>53</v>
      </c>
      <c r="K6713" t="s" s="12">
        <v>53</v>
      </c>
      <c r="L6713" t="s" s="12">
        <v>53</v>
      </c>
      <c r="M6713" t="s" s="10">
        <v>53</v>
      </c>
      <c r="N6713" t="s" s="11">
        <v>53</v>
      </c>
      <c r="O6713" t="s" s="8">
        <v>53</v>
      </c>
      <c r="P6713" t="s" s="8">
        <v>53</v>
      </c>
      <c r="Q6713" t="s" s="12">
        <v>53</v>
      </c>
      <c r="R6713" t="s" s="12">
        <v>53</v>
      </c>
    </row>
    <row r="6714" s="2" customFormat="1" ht="13.5" customHeight="1">
      <c r="B6714" s="13"/>
      <c r="C6714" t="s" s="9">
        <v>16</v>
      </c>
      <c r="D6714" t="s" s="8">
        <v>2300</v>
      </c>
      <c r="E6714" t="s" s="9">
        <v>2301</v>
      </c>
      <c r="F6714" t="s" s="10">
        <v>757</v>
      </c>
      <c r="G6714" t="s" s="11">
        <v>73</v>
      </c>
      <c r="H6714" t="s" s="10">
        <v>757</v>
      </c>
      <c r="I6714" t="s" s="11">
        <v>73</v>
      </c>
      <c r="J6714" t="s" s="11">
        <v>20</v>
      </c>
      <c r="K6714" t="s" s="16">
        <f>HYPERLINK("http://csr.bu.edu/ftp/asl/asllvd/demos/verify_start_end_handshape_annotations//test_auto_move//signs_mov/5254.mov","MOV")</f>
        <v>21</v>
      </c>
      <c r="L6714" t="s" s="16">
        <f>HYPERLINK("http://csr.bu.edu/ftp/asl/asllvd/demos/verify_start_end_handshape_annotations//test_auto_move//signs_mov_separ_signers/Liz_5254.mov","MOV")</f>
        <v>21</v>
      </c>
      <c r="M6714" t="s" s="10">
        <v>34</v>
      </c>
      <c r="N6714" s="17">
        <v>58</v>
      </c>
      <c r="O6714" s="18">
        <v>3406</v>
      </c>
      <c r="P6714" s="18">
        <v>3450</v>
      </c>
      <c r="Q6714" t="s" s="16">
        <f>HYPERLINK("http://secrets.rutgers.edu:8080/data/asl-ftp/asllvd/demos/verify_start_end_handshape_annotations//test_auto_move//signs_mov/5254.mov","MOV")</f>
        <v>21</v>
      </c>
      <c r="R6714" t="s" s="16">
        <f>HYPERLINK("http://secrets.rutgers.edu:8080/data/asl-ftp/asllvd/demos/verify_start_end_handshape_annotations//test_auto_move//signs_mov_separ_signers/Liz_5254.mov","MOV")</f>
        <v>21</v>
      </c>
    </row>
    <row r="6715" s="2" customFormat="1" ht="13.5" customHeight="1">
      <c r="B6715" s="13"/>
      <c r="C6715" t="s" s="9">
        <v>30</v>
      </c>
      <c r="D6715" t="s" s="8">
        <v>2300</v>
      </c>
      <c r="E6715" t="s" s="9">
        <v>2301</v>
      </c>
      <c r="F6715" t="s" s="10">
        <v>757</v>
      </c>
      <c r="G6715" t="s" s="11">
        <v>73</v>
      </c>
      <c r="H6715" t="s" s="10">
        <v>757</v>
      </c>
      <c r="I6715" t="s" s="11">
        <v>73</v>
      </c>
      <c r="J6715" t="s" s="11">
        <v>20</v>
      </c>
      <c r="K6715" s="15"/>
      <c r="L6715" t="s" s="16">
        <f>HYPERLINK("http://csr.bu.edu/ftp/asl/asllvd/demos/verify_start_end_handshape_annotations//test_auto_move//signs_mov_separ_signers/Brady_5254.mov","MOV")</f>
        <v>21</v>
      </c>
      <c r="M6715" t="s" s="10">
        <v>39</v>
      </c>
      <c r="N6715" s="17">
        <v>54</v>
      </c>
      <c r="O6715" s="18">
        <v>6642</v>
      </c>
      <c r="P6715" s="18">
        <v>6669</v>
      </c>
      <c r="Q6715" s="15"/>
      <c r="R6715" t="s" s="16">
        <f>HYPERLINK("http://secrets.rutgers.edu:8080/data/asl-ftp/asllvd/demos/verify_start_end_handshape_annotations//test_auto_move//signs_mov_separ_signers/Brady_5254.mov","MOV")</f>
        <v>21</v>
      </c>
    </row>
    <row r="6716" s="2" customFormat="1" ht="13.5" customHeight="1">
      <c r="B6716" t="s" s="8">
        <v>2302</v>
      </c>
      <c r="C6716" t="s" s="9">
        <v>14</v>
      </c>
      <c r="D6716" t="s" s="8">
        <v>14</v>
      </c>
      <c r="E6716" t="s" s="9">
        <v>14</v>
      </c>
      <c r="F6716" t="s" s="10">
        <v>14</v>
      </c>
      <c r="G6716" t="s" s="11">
        <v>14</v>
      </c>
      <c r="H6716" t="s" s="10">
        <v>14</v>
      </c>
      <c r="I6716" t="s" s="11">
        <v>14</v>
      </c>
      <c r="J6716" t="s" s="11">
        <v>14</v>
      </c>
      <c r="K6716" t="s" s="12">
        <v>14</v>
      </c>
      <c r="L6716" t="s" s="12">
        <v>14</v>
      </c>
      <c r="M6716" t="s" s="10">
        <v>14</v>
      </c>
      <c r="N6716" t="s" s="11">
        <v>14</v>
      </c>
      <c r="O6716" t="s" s="8">
        <v>14</v>
      </c>
      <c r="P6716" t="s" s="8">
        <v>14</v>
      </c>
      <c r="Q6716" t="s" s="12">
        <v>14</v>
      </c>
      <c r="R6716" t="s" s="12">
        <v>14</v>
      </c>
    </row>
    <row r="6717" s="2" customFormat="1" ht="13.5" customHeight="1">
      <c r="B6717" s="13"/>
      <c r="C6717" t="s" s="9">
        <v>16</v>
      </c>
      <c r="D6717" t="s" s="8">
        <v>2302</v>
      </c>
      <c r="E6717" t="s" s="9">
        <v>2303</v>
      </c>
      <c r="F6717" t="s" s="10">
        <v>220</v>
      </c>
      <c r="G6717" t="s" s="11">
        <v>220</v>
      </c>
      <c r="H6717" t="s" s="10">
        <v>220</v>
      </c>
      <c r="I6717" t="s" s="11">
        <v>220</v>
      </c>
      <c r="J6717" t="s" s="11">
        <v>20</v>
      </c>
      <c r="K6717" s="15"/>
      <c r="L6717" t="s" s="16">
        <f>HYPERLINK("http://csr.bu.edu/ftp/asl/asllvd/demos/verify_start_end_handshape_annotations//test_auto_move//signs_mov_separ_signers/Liz_1500.mov","MOV")</f>
        <v>21</v>
      </c>
      <c r="M6717" t="s" s="10">
        <v>88</v>
      </c>
      <c r="N6717" s="17">
        <v>12</v>
      </c>
      <c r="O6717" s="18">
        <v>1205</v>
      </c>
      <c r="P6717" s="18">
        <v>1275</v>
      </c>
      <c r="Q6717" s="15"/>
      <c r="R6717" t="s" s="16">
        <f>HYPERLINK("http://secrets.rutgers.edu:8080/data/asl-ftp/asllvd/demos/verify_start_end_handshape_annotations//test_auto_move//signs_mov_separ_signers/Liz_1500.mov","MOV")</f>
        <v>21</v>
      </c>
    </row>
    <row r="6718" s="2" customFormat="1" ht="13.5" customHeight="1">
      <c r="B6718" s="13"/>
      <c r="C6718" t="s" s="9">
        <v>23</v>
      </c>
      <c r="D6718" t="s" s="8">
        <v>2302</v>
      </c>
      <c r="E6718" t="s" s="9">
        <v>2304</v>
      </c>
      <c r="F6718" t="s" s="10">
        <v>220</v>
      </c>
      <c r="G6718" t="s" s="11">
        <v>220</v>
      </c>
      <c r="H6718" t="s" s="10">
        <v>220</v>
      </c>
      <c r="I6718" t="s" s="11">
        <v>220</v>
      </c>
      <c r="J6718" t="s" s="11">
        <v>20</v>
      </c>
      <c r="K6718" t="s" s="16">
        <f>HYPERLINK("http://csr.bu.edu/ftp/asl/asllvd/demos/verify_start_end_handshape_annotations//test_auto_move//signs_mov/1500.mov","MOV")</f>
        <v>21</v>
      </c>
      <c r="L6718" t="s" s="16">
        <f>HYPERLINK("http://csr.bu.edu/ftp/asl/asllvd/demos/verify_start_end_handshape_annotations//test_auto_move//signs_mov_separ_signers/Tyler_1500.mov","MOV")</f>
        <v>21</v>
      </c>
      <c r="M6718" t="s" s="10">
        <v>47</v>
      </c>
      <c r="N6718" s="17">
        <v>11</v>
      </c>
      <c r="O6718" s="18">
        <v>135</v>
      </c>
      <c r="P6718" s="18">
        <v>180</v>
      </c>
      <c r="Q6718" t="s" s="16">
        <f>HYPERLINK("http://secrets.rutgers.edu:8080/data/asl-ftp/asllvd/demos/verify_start_end_handshape_annotations//test_auto_move//signs_mov/1500.mov","MOV")</f>
        <v>21</v>
      </c>
      <c r="R6718" t="s" s="16">
        <f>HYPERLINK("http://secrets.rutgers.edu:8080/data/asl-ftp/asllvd/demos/verify_start_end_handshape_annotations//test_auto_move//signs_mov_separ_signers/Tyler_1500.mov","MOV")</f>
        <v>21</v>
      </c>
    </row>
    <row r="6719" s="2" customFormat="1" ht="13.5" customHeight="1">
      <c r="B6719" s="13"/>
      <c r="C6719" t="s" s="9">
        <v>41</v>
      </c>
      <c r="D6719" t="s" s="8">
        <v>2302</v>
      </c>
      <c r="E6719" t="s" s="9">
        <v>2305</v>
      </c>
      <c r="F6719" t="s" s="10">
        <v>220</v>
      </c>
      <c r="G6719" t="s" s="11">
        <v>220</v>
      </c>
      <c r="H6719" t="s" s="10">
        <v>220</v>
      </c>
      <c r="I6719" t="s" s="11">
        <v>220</v>
      </c>
      <c r="J6719" t="s" s="11">
        <v>20</v>
      </c>
      <c r="K6719" s="15"/>
      <c r="L6719" t="s" s="16">
        <f>HYPERLINK("http://csr.bu.edu/ftp/asl/asllvd/demos/verify_start_end_handshape_annotations//test_auto_move//signs_mov_separ_signers/Lana_1500.mov","MOV")</f>
        <v>21</v>
      </c>
      <c r="M6719" t="s" s="10">
        <v>42</v>
      </c>
      <c r="N6719" s="17">
        <v>17</v>
      </c>
      <c r="O6719" s="18">
        <v>2189</v>
      </c>
      <c r="P6719" s="18">
        <v>2235</v>
      </c>
      <c r="Q6719" s="15"/>
      <c r="R6719" t="s" s="16">
        <f>HYPERLINK("http://secrets.rutgers.edu:8080/data/asl-ftp/asllvd/demos/verify_start_end_handshape_annotations//test_auto_move//signs_mov_separ_signers/Lana_1500.mov","MOV")</f>
        <v>21</v>
      </c>
    </row>
    <row r="6720" s="2" customFormat="1" ht="13.5" customHeight="1">
      <c r="B6720" t="s" s="8">
        <v>2306</v>
      </c>
      <c r="C6720" t="s" s="9">
        <v>14</v>
      </c>
      <c r="D6720" t="s" s="8">
        <v>14</v>
      </c>
      <c r="E6720" t="s" s="9">
        <v>14</v>
      </c>
      <c r="F6720" t="s" s="10">
        <v>14</v>
      </c>
      <c r="G6720" t="s" s="11">
        <v>14</v>
      </c>
      <c r="H6720" t="s" s="10">
        <v>14</v>
      </c>
      <c r="I6720" t="s" s="11">
        <v>14</v>
      </c>
      <c r="J6720" t="s" s="11">
        <v>14</v>
      </c>
      <c r="K6720" t="s" s="12">
        <v>14</v>
      </c>
      <c r="L6720" t="s" s="12">
        <v>14</v>
      </c>
      <c r="M6720" t="s" s="10">
        <v>14</v>
      </c>
      <c r="N6720" t="s" s="11">
        <v>14</v>
      </c>
      <c r="O6720" t="s" s="8">
        <v>14</v>
      </c>
      <c r="P6720" t="s" s="8">
        <v>14</v>
      </c>
      <c r="Q6720" t="s" s="12">
        <v>14</v>
      </c>
      <c r="R6720" t="s" s="12">
        <v>14</v>
      </c>
    </row>
    <row r="6721" s="2" customFormat="1" ht="13.5" customHeight="1">
      <c r="B6721" s="13"/>
      <c r="C6721" t="s" s="9">
        <v>16</v>
      </c>
      <c r="D6721" t="s" s="8">
        <v>2306</v>
      </c>
      <c r="E6721" t="s" s="9">
        <v>2307</v>
      </c>
      <c r="F6721" t="s" s="10">
        <v>757</v>
      </c>
      <c r="G6721" t="s" s="11">
        <v>757</v>
      </c>
      <c r="H6721" t="s" s="10">
        <v>757</v>
      </c>
      <c r="I6721" t="s" s="11">
        <v>757</v>
      </c>
      <c r="J6721" t="s" s="11">
        <v>20</v>
      </c>
      <c r="K6721" s="15"/>
      <c r="L6721" t="s" s="16">
        <f>HYPERLINK("http://csr.bu.edu/ftp/asl/asllvd/demos/verify_start_end_handshape_annotations//test_auto_move//signs_mov_separ_signers/Liz_5255.mov","MOV")</f>
        <v>21</v>
      </c>
      <c r="M6721" t="s" s="10">
        <v>88</v>
      </c>
      <c r="N6721" s="17">
        <v>1</v>
      </c>
      <c r="O6721" s="18">
        <v>215</v>
      </c>
      <c r="P6721" s="18">
        <v>265</v>
      </c>
      <c r="Q6721" s="15"/>
      <c r="R6721" t="s" s="16">
        <f>HYPERLINK("http://secrets.rutgers.edu:8080/data/asl-ftp/asllvd/demos/verify_start_end_handshape_annotations//test_auto_move//signs_mov_separ_signers/Liz_5255.mov","MOV")</f>
        <v>21</v>
      </c>
    </row>
    <row r="6722" s="2" customFormat="1" ht="13.5" customHeight="1">
      <c r="B6722" s="13"/>
      <c r="C6722" t="s" s="9">
        <v>30</v>
      </c>
      <c r="D6722" t="s" s="8">
        <v>2306</v>
      </c>
      <c r="E6722" t="s" s="9">
        <v>2307</v>
      </c>
      <c r="F6722" t="s" s="10">
        <v>2308</v>
      </c>
      <c r="G6722" t="s" s="11">
        <v>2308</v>
      </c>
      <c r="H6722" t="s" s="10">
        <v>2308</v>
      </c>
      <c r="I6722" t="s" s="11">
        <v>2308</v>
      </c>
      <c r="J6722" t="s" s="11">
        <v>20</v>
      </c>
      <c r="K6722" t="s" s="16">
        <f>HYPERLINK("http://csr.bu.edu/ftp/asl/asllvd/demos/verify_start_end_handshape_annotations//test_auto_move//signs_mov/5255.mov","MOV")</f>
        <v>21</v>
      </c>
      <c r="L6722" t="s" s="16">
        <f>HYPERLINK("http://csr.bu.edu/ftp/asl/asllvd/demos/verify_start_end_handshape_annotations//test_auto_move//signs_mov_separ_signers/Brady_5255.mov","MOV")</f>
        <v>21</v>
      </c>
      <c r="M6722" t="s" s="10">
        <v>39</v>
      </c>
      <c r="N6722" s="17">
        <v>54</v>
      </c>
      <c r="O6722" s="18">
        <v>7147</v>
      </c>
      <c r="P6722" s="18">
        <v>7175</v>
      </c>
      <c r="Q6722" t="s" s="16">
        <f>HYPERLINK("http://secrets.rutgers.edu:8080/data/asl-ftp/asllvd/demos/verify_start_end_handshape_annotations//test_auto_move//signs_mov/5255.mov","MOV")</f>
        <v>21</v>
      </c>
      <c r="R6722" t="s" s="16">
        <f>HYPERLINK("http://secrets.rutgers.edu:8080/data/asl-ftp/asllvd/demos/verify_start_end_handshape_annotations//test_auto_move//signs_mov_separ_signers/Brady_5255.mov","MOV")</f>
        <v>21</v>
      </c>
    </row>
    <row r="6723" s="2" customFormat="1" ht="13.5" customHeight="1">
      <c r="B6723" s="13"/>
      <c r="C6723" t="s" s="9">
        <v>43</v>
      </c>
      <c r="D6723" t="s" s="8">
        <v>2306</v>
      </c>
      <c r="E6723" t="s" s="9">
        <v>2309</v>
      </c>
      <c r="F6723" t="s" s="10">
        <v>757</v>
      </c>
      <c r="G6723" t="s" s="11">
        <v>757</v>
      </c>
      <c r="H6723" t="s" s="10">
        <v>757</v>
      </c>
      <c r="I6723" t="s" s="11">
        <v>757</v>
      </c>
      <c r="J6723" t="s" s="11">
        <v>20</v>
      </c>
      <c r="K6723" s="15"/>
      <c r="L6723" t="s" s="16">
        <f>HYPERLINK("http://csr.bu.edu/ftp/asl/asllvd/demos/verify_start_end_handshape_annotations//test_auto_move//signs_mov_separ_signers/Dana_5255.mov","MOV")</f>
        <v>21</v>
      </c>
      <c r="M6723" t="s" s="10">
        <v>44</v>
      </c>
      <c r="N6723" s="17">
        <v>19</v>
      </c>
      <c r="O6723" s="18">
        <v>2237</v>
      </c>
      <c r="P6723" s="18">
        <v>2300</v>
      </c>
      <c r="Q6723" s="15"/>
      <c r="R6723" t="s" s="16">
        <f>HYPERLINK("http://secrets.rutgers.edu:8080/data/asl-ftp/asllvd/demos/verify_start_end_handshape_annotations//test_auto_move//signs_mov_separ_signers/Dana_5255.mov","MOV")</f>
        <v>21</v>
      </c>
    </row>
    <row r="6724" s="2" customFormat="1" ht="13.5" customHeight="1">
      <c r="B6724" t="s" s="8">
        <v>2310</v>
      </c>
      <c r="C6724" t="s" s="9">
        <v>14</v>
      </c>
      <c r="D6724" t="s" s="8">
        <v>14</v>
      </c>
      <c r="E6724" t="s" s="9">
        <v>14</v>
      </c>
      <c r="F6724" t="s" s="10">
        <v>14</v>
      </c>
      <c r="G6724" t="s" s="11">
        <v>14</v>
      </c>
      <c r="H6724" t="s" s="10">
        <v>14</v>
      </c>
      <c r="I6724" t="s" s="11">
        <v>14</v>
      </c>
      <c r="J6724" t="s" s="11">
        <v>14</v>
      </c>
      <c r="K6724" t="s" s="12">
        <v>14</v>
      </c>
      <c r="L6724" t="s" s="12">
        <v>14</v>
      </c>
      <c r="M6724" t="s" s="10">
        <v>14</v>
      </c>
      <c r="N6724" t="s" s="11">
        <v>14</v>
      </c>
      <c r="O6724" t="s" s="8">
        <v>14</v>
      </c>
      <c r="P6724" t="s" s="8">
        <v>14</v>
      </c>
      <c r="Q6724" t="s" s="12">
        <v>14</v>
      </c>
      <c r="R6724" t="s" s="12">
        <v>14</v>
      </c>
    </row>
    <row r="6725" s="2" customFormat="1" ht="13.5" customHeight="1">
      <c r="B6725" s="13"/>
      <c r="C6725" t="s" s="9">
        <v>16</v>
      </c>
      <c r="D6725" t="s" s="8">
        <v>2310</v>
      </c>
      <c r="E6725" t="s" s="9">
        <v>2311</v>
      </c>
      <c r="F6725" t="s" s="10">
        <v>337</v>
      </c>
      <c r="G6725" t="s" s="11">
        <v>337</v>
      </c>
      <c r="H6725" t="s" s="10">
        <v>337</v>
      </c>
      <c r="I6725" t="s" s="11">
        <v>337</v>
      </c>
      <c r="J6725" t="s" s="11">
        <v>20</v>
      </c>
      <c r="K6725" s="15"/>
      <c r="L6725" t="s" s="16">
        <f>HYPERLINK("http://csr.bu.edu/ftp/asl/asllvd/demos/verify_start_end_handshape_annotations//test_auto_move//signs_mov_separ_signers/Liz_15177.mov","MOV")</f>
        <v>21</v>
      </c>
      <c r="M6725" t="s" s="10">
        <v>34</v>
      </c>
      <c r="N6725" s="17">
        <v>3</v>
      </c>
      <c r="O6725" s="18">
        <v>1256</v>
      </c>
      <c r="P6725" s="18">
        <v>1307</v>
      </c>
      <c r="Q6725" s="15"/>
      <c r="R6725" t="s" s="16">
        <f>HYPERLINK("http://secrets.rutgers.edu:8080/data/asl-ftp/asllvd/demos/verify_start_end_handshape_annotations//test_auto_move//signs_mov_separ_signers/Liz_15177.mov","MOV")</f>
        <v>21</v>
      </c>
    </row>
    <row r="6726" s="2" customFormat="1" ht="13.5" customHeight="1">
      <c r="B6726" s="13"/>
      <c r="C6726" t="s" s="9">
        <v>27</v>
      </c>
      <c r="D6726" t="s" s="8">
        <v>2310</v>
      </c>
      <c r="E6726" t="s" s="9">
        <v>2311</v>
      </c>
      <c r="F6726" t="s" s="10">
        <v>337</v>
      </c>
      <c r="G6726" t="s" s="11">
        <v>337</v>
      </c>
      <c r="H6726" t="s" s="10">
        <v>337</v>
      </c>
      <c r="I6726" t="s" s="11">
        <v>337</v>
      </c>
      <c r="J6726" t="s" s="11">
        <v>20</v>
      </c>
      <c r="K6726" t="s" s="16">
        <f>HYPERLINK("http://csr.bu.edu/ftp/asl/asllvd/demos/verify_start_end_handshape_annotations//test_auto_move//signs_mov/15177.mov","MOV")</f>
        <v>21</v>
      </c>
      <c r="L6726" t="s" s="16">
        <f>HYPERLINK("http://csr.bu.edu/ftp/asl/asllvd/demos/verify_start_end_handshape_annotations//test_auto_move//signs_mov_separ_signers/Naomi_15177.mov","MOV")</f>
        <v>21</v>
      </c>
      <c r="M6726" t="s" s="10">
        <v>38</v>
      </c>
      <c r="N6726" s="17">
        <v>3</v>
      </c>
      <c r="O6726" s="18">
        <v>2165</v>
      </c>
      <c r="P6726" s="18">
        <v>2200</v>
      </c>
      <c r="Q6726" t="s" s="16">
        <f>HYPERLINK("http://secrets.rutgers.edu:8080/data/asl-ftp/asllvd/demos/verify_start_end_handshape_annotations//test_auto_move//signs_mov/15177.mov","MOV")</f>
        <v>21</v>
      </c>
      <c r="R6726" t="s" s="16">
        <f>HYPERLINK("http://secrets.rutgers.edu:8080/data/asl-ftp/asllvd/demos/verify_start_end_handshape_annotations//test_auto_move//signs_mov_separ_signers/Naomi_15177.mov","MOV")</f>
        <v>21</v>
      </c>
    </row>
    <row r="6727" s="2" customFormat="1" ht="13.5" customHeight="1">
      <c r="B6727" s="13"/>
      <c r="C6727" t="s" s="9">
        <v>30</v>
      </c>
      <c r="D6727" t="s" s="8">
        <v>2310</v>
      </c>
      <c r="E6727" t="s" s="9">
        <v>2311</v>
      </c>
      <c r="F6727" t="s" s="10">
        <v>337</v>
      </c>
      <c r="G6727" t="s" s="11">
        <v>337</v>
      </c>
      <c r="H6727" t="s" s="10">
        <v>337</v>
      </c>
      <c r="I6727" t="s" s="11">
        <v>337</v>
      </c>
      <c r="J6727" t="s" s="11">
        <v>20</v>
      </c>
      <c r="K6727" s="15"/>
      <c r="L6727" t="s" s="16">
        <f>HYPERLINK("http://csr.bu.edu/ftp/asl/asllvd/demos/verify_start_end_handshape_annotations//test_auto_move//signs_mov_separ_signers/Brady_15177.mov","MOV")</f>
        <v>21</v>
      </c>
      <c r="M6727" t="s" s="10">
        <v>39</v>
      </c>
      <c r="N6727" s="17">
        <v>25</v>
      </c>
      <c r="O6727" s="18">
        <v>1080</v>
      </c>
      <c r="P6727" s="18">
        <v>1104</v>
      </c>
      <c r="Q6727" s="15"/>
      <c r="R6727" t="s" s="16">
        <f>HYPERLINK("http://secrets.rutgers.edu:8080/data/asl-ftp/asllvd/demos/verify_start_end_handshape_annotations//test_auto_move//signs_mov_separ_signers/Brady_15177.mov","MOV")</f>
        <v>21</v>
      </c>
    </row>
    <row r="6728" s="2" customFormat="1" ht="13.5" customHeight="1">
      <c r="B6728" t="s" s="8">
        <v>2312</v>
      </c>
      <c r="C6728" t="s" s="9">
        <v>14</v>
      </c>
      <c r="D6728" t="s" s="8">
        <v>14</v>
      </c>
      <c r="E6728" t="s" s="9">
        <v>14</v>
      </c>
      <c r="F6728" t="s" s="10">
        <v>14</v>
      </c>
      <c r="G6728" t="s" s="11">
        <v>14</v>
      </c>
      <c r="H6728" t="s" s="10">
        <v>14</v>
      </c>
      <c r="I6728" t="s" s="11">
        <v>14</v>
      </c>
      <c r="J6728" t="s" s="11">
        <v>14</v>
      </c>
      <c r="K6728" t="s" s="12">
        <v>14</v>
      </c>
      <c r="L6728" t="s" s="12">
        <v>14</v>
      </c>
      <c r="M6728" t="s" s="10">
        <v>14</v>
      </c>
      <c r="N6728" t="s" s="11">
        <v>14</v>
      </c>
      <c r="O6728" t="s" s="8">
        <v>14</v>
      </c>
      <c r="P6728" t="s" s="8">
        <v>14</v>
      </c>
      <c r="Q6728" t="s" s="12">
        <v>14</v>
      </c>
      <c r="R6728" t="s" s="12">
        <v>14</v>
      </c>
    </row>
    <row r="6729" s="2" customFormat="1" ht="13.5" customHeight="1">
      <c r="B6729" s="13"/>
      <c r="C6729" t="s" s="9">
        <v>16</v>
      </c>
      <c r="D6729" t="s" s="8">
        <v>2312</v>
      </c>
      <c r="E6729" t="s" s="9">
        <v>2313</v>
      </c>
      <c r="F6729" s="19">
        <v>10</v>
      </c>
      <c r="G6729" s="17">
        <v>10</v>
      </c>
      <c r="H6729" s="19">
        <v>10</v>
      </c>
      <c r="I6729" s="17">
        <v>10</v>
      </c>
      <c r="J6729" t="s" s="11">
        <v>20</v>
      </c>
      <c r="K6729" t="s" s="16">
        <f>HYPERLINK("http://csr.bu.edu/ftp/asl/asllvd/demos/verify_start_end_handshape_annotations//test_auto_move//signs_mov/15201.mov","MOV")</f>
        <v>21</v>
      </c>
      <c r="L6729" t="s" s="16">
        <f>HYPERLINK("http://csr.bu.edu/ftp/asl/asllvd/demos/verify_start_end_handshape_annotations//test_auto_move//signs_mov_separ_signers/Liz_15201.mov","MOV")</f>
        <v>21</v>
      </c>
      <c r="M6729" t="s" s="10">
        <v>77</v>
      </c>
      <c r="N6729" s="17">
        <v>8</v>
      </c>
      <c r="O6729" s="18">
        <v>1936</v>
      </c>
      <c r="P6729" s="18">
        <v>1998</v>
      </c>
      <c r="Q6729" t="s" s="16">
        <f>HYPERLINK("http://secrets.rutgers.edu:8080/data/asl-ftp/asllvd/demos/verify_start_end_handshape_annotations//test_auto_move//signs_mov/15201.mov","MOV")</f>
        <v>21</v>
      </c>
      <c r="R6729" t="s" s="16">
        <f>HYPERLINK("http://secrets.rutgers.edu:8080/data/asl-ftp/asllvd/demos/verify_start_end_handshape_annotations//test_auto_move//signs_mov_separ_signers/Liz_15201.mov","MOV")</f>
        <v>21</v>
      </c>
    </row>
    <row r="6730" s="2" customFormat="1" ht="13.5" customHeight="1">
      <c r="B6730" t="s" s="8">
        <v>52</v>
      </c>
      <c r="C6730" t="s" s="9">
        <v>53</v>
      </c>
      <c r="D6730" t="s" s="8">
        <v>53</v>
      </c>
      <c r="E6730" t="s" s="9">
        <v>53</v>
      </c>
      <c r="F6730" t="s" s="10">
        <v>53</v>
      </c>
      <c r="G6730" t="s" s="11">
        <v>53</v>
      </c>
      <c r="H6730" t="s" s="10">
        <v>53</v>
      </c>
      <c r="I6730" t="s" s="11">
        <v>53</v>
      </c>
      <c r="J6730" t="s" s="11">
        <v>53</v>
      </c>
      <c r="K6730" t="s" s="12">
        <v>53</v>
      </c>
      <c r="L6730" t="s" s="12">
        <v>53</v>
      </c>
      <c r="M6730" t="s" s="10">
        <v>53</v>
      </c>
      <c r="N6730" t="s" s="11">
        <v>53</v>
      </c>
      <c r="O6730" t="s" s="8">
        <v>53</v>
      </c>
      <c r="P6730" t="s" s="8">
        <v>53</v>
      </c>
      <c r="Q6730" t="s" s="12">
        <v>53</v>
      </c>
      <c r="R6730" t="s" s="12">
        <v>53</v>
      </c>
    </row>
    <row r="6731" s="2" customFormat="1" ht="13.5" customHeight="1">
      <c r="B6731" s="13"/>
      <c r="C6731" t="s" s="9">
        <v>30</v>
      </c>
      <c r="D6731" t="s" s="8">
        <v>2312</v>
      </c>
      <c r="E6731" t="s" s="9">
        <v>2314</v>
      </c>
      <c r="F6731" t="s" s="10">
        <v>63</v>
      </c>
      <c r="G6731" t="s" s="11">
        <v>63</v>
      </c>
      <c r="H6731" t="s" s="10">
        <v>63</v>
      </c>
      <c r="I6731" t="s" s="11">
        <v>63</v>
      </c>
      <c r="J6731" t="s" s="11">
        <v>20</v>
      </c>
      <c r="K6731" t="s" s="16">
        <f>HYPERLINK("http://csr.bu.edu/ftp/asl/asllvd/demos/verify_start_end_handshape_annotations//test_auto_move//signs_mov/15226.mov","MOV")</f>
        <v>21</v>
      </c>
      <c r="L6731" t="s" s="16">
        <f>HYPERLINK("http://csr.bu.edu/ftp/asl/asllvd/demos/verify_start_end_handshape_annotations//test_auto_move//signs_mov_separ_signers/Brady_15226.mov","MOV")</f>
        <v>21</v>
      </c>
      <c r="M6731" t="s" s="10">
        <v>31</v>
      </c>
      <c r="N6731" s="17">
        <v>10</v>
      </c>
      <c r="O6731" s="18">
        <v>3348</v>
      </c>
      <c r="P6731" s="18">
        <v>3368</v>
      </c>
      <c r="Q6731" t="s" s="16">
        <f>HYPERLINK("http://secrets.rutgers.edu:8080/data/asl-ftp/asllvd/demos/verify_start_end_handshape_annotations//test_auto_move//signs_mov/15226.mov","MOV")</f>
        <v>21</v>
      </c>
      <c r="R6731" t="s" s="16">
        <f>HYPERLINK("http://secrets.rutgers.edu:8080/data/asl-ftp/asllvd/demos/verify_start_end_handshape_annotations//test_auto_move//signs_mov_separ_signers/Brady_15226.mov","MOV")</f>
        <v>21</v>
      </c>
    </row>
    <row r="6732" s="2" customFormat="1" ht="13.5" customHeight="1">
      <c r="B6732" t="s" s="8">
        <v>2315</v>
      </c>
      <c r="C6732" t="s" s="9">
        <v>14</v>
      </c>
      <c r="D6732" t="s" s="8">
        <v>14</v>
      </c>
      <c r="E6732" t="s" s="9">
        <v>14</v>
      </c>
      <c r="F6732" t="s" s="10">
        <v>14</v>
      </c>
      <c r="G6732" t="s" s="11">
        <v>14</v>
      </c>
      <c r="H6732" t="s" s="10">
        <v>14</v>
      </c>
      <c r="I6732" t="s" s="11">
        <v>14</v>
      </c>
      <c r="J6732" t="s" s="11">
        <v>14</v>
      </c>
      <c r="K6732" t="s" s="12">
        <v>14</v>
      </c>
      <c r="L6732" t="s" s="12">
        <v>14</v>
      </c>
      <c r="M6732" t="s" s="10">
        <v>14</v>
      </c>
      <c r="N6732" t="s" s="11">
        <v>14</v>
      </c>
      <c r="O6732" t="s" s="8">
        <v>14</v>
      </c>
      <c r="P6732" t="s" s="8">
        <v>14</v>
      </c>
      <c r="Q6732" t="s" s="12">
        <v>14</v>
      </c>
      <c r="R6732" t="s" s="12">
        <v>14</v>
      </c>
    </row>
    <row r="6733" s="2" customFormat="1" ht="13.5" customHeight="1">
      <c r="B6733" s="13"/>
      <c r="C6733" t="s" s="9">
        <v>16</v>
      </c>
      <c r="D6733" t="s" s="8">
        <v>2315</v>
      </c>
      <c r="E6733" t="s" s="9">
        <v>2316</v>
      </c>
      <c r="F6733" t="s" s="10">
        <v>386</v>
      </c>
      <c r="G6733" t="s" s="11">
        <v>386</v>
      </c>
      <c r="H6733" t="s" s="10">
        <v>386</v>
      </c>
      <c r="I6733" t="s" s="11">
        <v>386</v>
      </c>
      <c r="J6733" t="s" s="11">
        <v>20</v>
      </c>
      <c r="K6733" t="s" s="16">
        <f>HYPERLINK("http://csr.bu.edu/ftp/asl/asllvd/demos/verify_start_end_handshape_annotations//test_auto_move//signs_mov/15227.mov","MOV")</f>
        <v>21</v>
      </c>
      <c r="L6733" t="s" s="16">
        <f>HYPERLINK("http://csr.bu.edu/ftp/asl/asllvd/demos/verify_start_end_handshape_annotations//test_auto_move//signs_mov_separ_signers/Liz_15227.mov","MOV")</f>
        <v>21</v>
      </c>
      <c r="M6733" t="s" s="10">
        <v>59</v>
      </c>
      <c r="N6733" s="17">
        <v>23</v>
      </c>
      <c r="O6733" s="18">
        <v>288</v>
      </c>
      <c r="P6733" s="18">
        <v>340</v>
      </c>
      <c r="Q6733" t="s" s="16">
        <f>HYPERLINK("http://secrets.rutgers.edu:8080/data/asl-ftp/asllvd/demos/verify_start_end_handshape_annotations//test_auto_move//signs_mov/15227.mov","MOV")</f>
        <v>21</v>
      </c>
      <c r="R6733" t="s" s="16">
        <f>HYPERLINK("http://secrets.rutgers.edu:8080/data/asl-ftp/asllvd/demos/verify_start_end_handshape_annotations//test_auto_move//signs_mov_separ_signers/Liz_15227.mov","MOV")</f>
        <v>21</v>
      </c>
    </row>
    <row r="6734" s="2" customFormat="1" ht="13.5" customHeight="1">
      <c r="B6734" s="13"/>
      <c r="C6734" t="s" s="9">
        <v>30</v>
      </c>
      <c r="D6734" t="s" s="8">
        <v>2315</v>
      </c>
      <c r="E6734" t="s" s="9">
        <v>2317</v>
      </c>
      <c r="F6734" t="s" s="10">
        <v>386</v>
      </c>
      <c r="G6734" t="s" s="11">
        <v>386</v>
      </c>
      <c r="H6734" t="s" s="10">
        <v>386</v>
      </c>
      <c r="I6734" t="s" s="11">
        <v>386</v>
      </c>
      <c r="J6734" t="s" s="11">
        <v>20</v>
      </c>
      <c r="K6734" s="15"/>
      <c r="L6734" t="s" s="16">
        <f>HYPERLINK("http://csr.bu.edu/ftp/asl/asllvd/demos/verify_start_end_handshape_annotations//test_auto_move//signs_mov_separ_signers/Brady_15227.mov","MOV")</f>
        <v>21</v>
      </c>
      <c r="M6734" t="s" s="10">
        <v>60</v>
      </c>
      <c r="N6734" s="17">
        <v>11</v>
      </c>
      <c r="O6734" s="18">
        <v>1325</v>
      </c>
      <c r="P6734" s="18">
        <v>1375</v>
      </c>
      <c r="Q6734" s="15"/>
      <c r="R6734" t="s" s="16">
        <f>HYPERLINK("http://secrets.rutgers.edu:8080/data/asl-ftp/asllvd/demos/verify_start_end_handshape_annotations//test_auto_move//signs_mov_separ_signers/Brady_15227.mov","MOV")</f>
        <v>21</v>
      </c>
    </row>
    <row r="6735" s="2" customFormat="1" ht="13.5" customHeight="1">
      <c r="B6735" t="s" s="8">
        <v>2318</v>
      </c>
      <c r="C6735" t="s" s="9">
        <v>14</v>
      </c>
      <c r="D6735" t="s" s="8">
        <v>14</v>
      </c>
      <c r="E6735" t="s" s="9">
        <v>14</v>
      </c>
      <c r="F6735" t="s" s="10">
        <v>14</v>
      </c>
      <c r="G6735" t="s" s="11">
        <v>14</v>
      </c>
      <c r="H6735" t="s" s="10">
        <v>14</v>
      </c>
      <c r="I6735" t="s" s="11">
        <v>14</v>
      </c>
      <c r="J6735" t="s" s="11">
        <v>14</v>
      </c>
      <c r="K6735" t="s" s="12">
        <v>14</v>
      </c>
      <c r="L6735" t="s" s="12">
        <v>14</v>
      </c>
      <c r="M6735" t="s" s="10">
        <v>14</v>
      </c>
      <c r="N6735" t="s" s="11">
        <v>14</v>
      </c>
      <c r="O6735" t="s" s="8">
        <v>14</v>
      </c>
      <c r="P6735" t="s" s="8">
        <v>14</v>
      </c>
      <c r="Q6735" t="s" s="12">
        <v>14</v>
      </c>
      <c r="R6735" t="s" s="12">
        <v>14</v>
      </c>
    </row>
    <row r="6736" s="2" customFormat="1" ht="13.5" customHeight="1">
      <c r="B6736" s="13"/>
      <c r="C6736" t="s" s="9">
        <v>16</v>
      </c>
      <c r="D6736" t="s" s="8">
        <v>2318</v>
      </c>
      <c r="E6736" t="s" s="9">
        <v>2319</v>
      </c>
      <c r="F6736" t="s" s="10">
        <v>185</v>
      </c>
      <c r="G6736" t="s" s="11">
        <v>185</v>
      </c>
      <c r="H6736" t="s" s="10">
        <v>185</v>
      </c>
      <c r="I6736" t="s" s="11">
        <v>185</v>
      </c>
      <c r="J6736" t="s" s="11">
        <v>20</v>
      </c>
      <c r="K6736" s="15"/>
      <c r="L6736" t="s" s="16">
        <f>HYPERLINK("http://csr.bu.edu/ftp/asl/asllvd/demos/verify_start_end_handshape_annotations//test_auto_move//signs_mov_separ_signers/Liz_15284.mov","MOV")</f>
        <v>21</v>
      </c>
      <c r="M6736" t="s" s="10">
        <v>22</v>
      </c>
      <c r="N6736" s="17">
        <v>61</v>
      </c>
      <c r="O6736" s="18">
        <v>1775</v>
      </c>
      <c r="P6736" s="18">
        <v>1810</v>
      </c>
      <c r="Q6736" s="15"/>
      <c r="R6736" t="s" s="16">
        <f>HYPERLINK("http://secrets.rutgers.edu:8080/data/asl-ftp/asllvd/demos/verify_start_end_handshape_annotations//test_auto_move//signs_mov_separ_signers/Liz_15284.mov","MOV")</f>
        <v>21</v>
      </c>
    </row>
    <row r="6737" s="2" customFormat="1" ht="13.5" customHeight="1">
      <c r="B6737" s="13"/>
      <c r="C6737" t="s" s="9">
        <v>23</v>
      </c>
      <c r="D6737" t="s" s="8">
        <v>2318</v>
      </c>
      <c r="E6737" t="s" s="9">
        <v>2320</v>
      </c>
      <c r="F6737" t="s" s="10">
        <v>185</v>
      </c>
      <c r="G6737" t="s" s="11">
        <v>185</v>
      </c>
      <c r="H6737" t="s" s="10">
        <v>185</v>
      </c>
      <c r="I6737" t="s" s="11">
        <v>185</v>
      </c>
      <c r="J6737" t="s" s="11">
        <v>20</v>
      </c>
      <c r="K6737" t="s" s="16">
        <f>HYPERLINK("http://csr.bu.edu/ftp/asl/asllvd/demos/verify_start_end_handshape_annotations//test_auto_move//signs_mov/15284.mov","MOV")</f>
        <v>21</v>
      </c>
      <c r="L6737" t="s" s="16">
        <f>HYPERLINK("http://csr.bu.edu/ftp/asl/asllvd/demos/verify_start_end_handshape_annotations//test_auto_move//signs_mov_separ_signers/Tyler_15284.mov","MOV")</f>
        <v>21</v>
      </c>
      <c r="M6737" t="s" s="10">
        <v>26</v>
      </c>
      <c r="N6737" s="17">
        <v>38</v>
      </c>
      <c r="O6737" s="18">
        <v>1270</v>
      </c>
      <c r="P6737" s="18">
        <v>1330</v>
      </c>
      <c r="Q6737" t="s" s="16">
        <f>HYPERLINK("http://secrets.rutgers.edu:8080/data/asl-ftp/asllvd/demos/verify_start_end_handshape_annotations//test_auto_move//signs_mov/15284.mov","MOV")</f>
        <v>21</v>
      </c>
      <c r="R6737" t="s" s="16">
        <f>HYPERLINK("http://secrets.rutgers.edu:8080/data/asl-ftp/asllvd/demos/verify_start_end_handshape_annotations//test_auto_move//signs_mov_separ_signers/Tyler_15284.mov","MOV")</f>
        <v>21</v>
      </c>
    </row>
    <row r="6738" s="2" customFormat="1" ht="13.5" customHeight="1">
      <c r="B6738" s="13"/>
      <c r="C6738" t="s" s="9">
        <v>27</v>
      </c>
      <c r="D6738" t="s" s="8">
        <v>2318</v>
      </c>
      <c r="E6738" t="s" s="9">
        <v>2319</v>
      </c>
      <c r="F6738" t="s" s="10">
        <v>185</v>
      </c>
      <c r="G6738" t="s" s="11">
        <v>185</v>
      </c>
      <c r="H6738" t="s" s="10">
        <v>185</v>
      </c>
      <c r="I6738" t="s" s="11">
        <v>185</v>
      </c>
      <c r="J6738" t="s" s="11">
        <v>20</v>
      </c>
      <c r="K6738" s="15"/>
      <c r="L6738" t="s" s="16">
        <f>HYPERLINK("http://csr.bu.edu/ftp/asl/asllvd/demos/verify_start_end_handshape_annotations//test_auto_move//signs_mov_separ_signers/Naomi_15284.mov","MOV")</f>
        <v>21</v>
      </c>
      <c r="M6738" t="s" s="10">
        <v>29</v>
      </c>
      <c r="N6738" s="17">
        <v>39</v>
      </c>
      <c r="O6738" s="18">
        <v>2619</v>
      </c>
      <c r="P6738" s="18">
        <v>2652</v>
      </c>
      <c r="Q6738" s="15"/>
      <c r="R6738" t="s" s="16">
        <f>HYPERLINK("http://secrets.rutgers.edu:8080/data/asl-ftp/asllvd/demos/verify_start_end_handshape_annotations//test_auto_move//signs_mov_separ_signers/Naomi_15284.mov","MOV")</f>
        <v>21</v>
      </c>
    </row>
    <row r="6739" s="2" customFormat="1" ht="13.5" customHeight="1">
      <c r="B6739" s="13"/>
      <c r="C6739" t="s" s="9">
        <v>30</v>
      </c>
      <c r="D6739" t="s" s="8">
        <v>2318</v>
      </c>
      <c r="E6739" t="s" s="9">
        <v>2319</v>
      </c>
      <c r="F6739" t="s" s="10">
        <v>185</v>
      </c>
      <c r="G6739" t="s" s="11">
        <v>185</v>
      </c>
      <c r="H6739" t="s" s="10">
        <v>185</v>
      </c>
      <c r="I6739" t="s" s="11">
        <v>185</v>
      </c>
      <c r="J6739" t="s" s="11">
        <v>20</v>
      </c>
      <c r="K6739" s="15"/>
      <c r="L6739" t="s" s="16">
        <f>HYPERLINK("http://csr.bu.edu/ftp/asl/asllvd/demos/verify_start_end_handshape_annotations//test_auto_move//signs_mov_separ_signers/Brady_15284.mov","MOV")</f>
        <v>21</v>
      </c>
      <c r="M6739" t="s" s="10">
        <v>31</v>
      </c>
      <c r="N6739" s="17">
        <v>24</v>
      </c>
      <c r="O6739" s="18">
        <v>13476</v>
      </c>
      <c r="P6739" s="18">
        <v>13500</v>
      </c>
      <c r="Q6739" s="15"/>
      <c r="R6739" t="s" s="16">
        <f>HYPERLINK("http://secrets.rutgers.edu:8080/data/asl-ftp/asllvd/demos/verify_start_end_handshape_annotations//test_auto_move//signs_mov_separ_signers/Brady_15284.mov","MOV")</f>
        <v>21</v>
      </c>
    </row>
    <row r="6740" s="2" customFormat="1" ht="13.5" customHeight="1">
      <c r="B6740" t="s" s="8">
        <v>2321</v>
      </c>
      <c r="C6740" t="s" s="9">
        <v>14</v>
      </c>
      <c r="D6740" t="s" s="8">
        <v>14</v>
      </c>
      <c r="E6740" t="s" s="9">
        <v>14</v>
      </c>
      <c r="F6740" t="s" s="10">
        <v>14</v>
      </c>
      <c r="G6740" t="s" s="11">
        <v>14</v>
      </c>
      <c r="H6740" t="s" s="10">
        <v>14</v>
      </c>
      <c r="I6740" t="s" s="11">
        <v>14</v>
      </c>
      <c r="J6740" t="s" s="11">
        <v>14</v>
      </c>
      <c r="K6740" t="s" s="12">
        <v>14</v>
      </c>
      <c r="L6740" t="s" s="12">
        <v>14</v>
      </c>
      <c r="M6740" t="s" s="10">
        <v>14</v>
      </c>
      <c r="N6740" t="s" s="11">
        <v>14</v>
      </c>
      <c r="O6740" t="s" s="8">
        <v>14</v>
      </c>
      <c r="P6740" t="s" s="8">
        <v>14</v>
      </c>
      <c r="Q6740" t="s" s="12">
        <v>14</v>
      </c>
      <c r="R6740" t="s" s="12">
        <v>14</v>
      </c>
    </row>
    <row r="6741" s="2" customFormat="1" ht="13.5" customHeight="1">
      <c r="B6741" s="13"/>
      <c r="C6741" t="s" s="9">
        <v>16</v>
      </c>
      <c r="D6741" t="s" s="8">
        <v>2321</v>
      </c>
      <c r="E6741" t="s" s="9">
        <v>2322</v>
      </c>
      <c r="F6741" t="s" s="10">
        <v>68</v>
      </c>
      <c r="G6741" t="s" s="11">
        <v>68</v>
      </c>
      <c r="H6741" t="s" s="10">
        <v>68</v>
      </c>
      <c r="I6741" t="s" s="11">
        <v>68</v>
      </c>
      <c r="J6741" t="s" s="11">
        <v>20</v>
      </c>
      <c r="K6741" t="s" s="16">
        <f>HYPERLINK("http://csr.bu.edu/ftp/asl/asllvd/demos/verify_start_end_handshape_annotations//test_auto_move//signs_mov/15346.mov","MOV")</f>
        <v>21</v>
      </c>
      <c r="L6741" t="s" s="16">
        <f>HYPERLINK("http://csr.bu.edu/ftp/asl/asllvd/demos/verify_start_end_handshape_annotations//test_auto_move//signs_mov_separ_signers/Liz_15346.mov","MOV")</f>
        <v>21</v>
      </c>
      <c r="M6741" t="s" s="10">
        <v>77</v>
      </c>
      <c r="N6741" s="17">
        <v>18</v>
      </c>
      <c r="O6741" s="18">
        <v>2750</v>
      </c>
      <c r="P6741" s="18">
        <v>2801</v>
      </c>
      <c r="Q6741" t="s" s="16">
        <f>HYPERLINK("http://secrets.rutgers.edu:8080/data/asl-ftp/asllvd/demos/verify_start_end_handshape_annotations//test_auto_move//signs_mov/15346.mov","MOV")</f>
        <v>21</v>
      </c>
      <c r="R6741" t="s" s="16">
        <f>HYPERLINK("http://secrets.rutgers.edu:8080/data/asl-ftp/asllvd/demos/verify_start_end_handshape_annotations//test_auto_move//signs_mov_separ_signers/Liz_15346.mov","MOV")</f>
        <v>21</v>
      </c>
    </row>
    <row r="6742" s="2" customFormat="1" ht="13.5" customHeight="1">
      <c r="B6742" s="13"/>
      <c r="C6742" t="s" s="9">
        <v>30</v>
      </c>
      <c r="D6742" t="s" s="8">
        <v>2321</v>
      </c>
      <c r="E6742" t="s" s="9">
        <v>2322</v>
      </c>
      <c r="F6742" t="s" s="10">
        <v>68</v>
      </c>
      <c r="G6742" t="s" s="11">
        <v>68</v>
      </c>
      <c r="H6742" t="s" s="10">
        <v>68</v>
      </c>
      <c r="I6742" t="s" s="11">
        <v>68</v>
      </c>
      <c r="J6742" t="s" s="11">
        <v>20</v>
      </c>
      <c r="K6742" s="15"/>
      <c r="L6742" t="s" s="16">
        <f>HYPERLINK("http://csr.bu.edu/ftp/asl/asllvd/demos/verify_start_end_handshape_annotations//test_auto_move//signs_mov_separ_signers/Brady_15346.mov","MOV")</f>
        <v>21</v>
      </c>
      <c r="M6742" t="s" s="10">
        <v>40</v>
      </c>
      <c r="N6742" s="17">
        <v>96</v>
      </c>
      <c r="O6742" s="18">
        <v>2772</v>
      </c>
      <c r="P6742" s="18">
        <v>2797</v>
      </c>
      <c r="Q6742" s="15"/>
      <c r="R6742" t="s" s="16">
        <f>HYPERLINK("http://secrets.rutgers.edu:8080/data/asl-ftp/asllvd/demos/verify_start_end_handshape_annotations//test_auto_move//signs_mov_separ_signers/Brady_15346.mov","MOV")</f>
        <v>21</v>
      </c>
    </row>
    <row r="6743" s="2" customFormat="1" ht="13.5" customHeight="1">
      <c r="B6743" t="s" s="8">
        <v>2323</v>
      </c>
      <c r="C6743" t="s" s="9">
        <v>14</v>
      </c>
      <c r="D6743" t="s" s="8">
        <v>14</v>
      </c>
      <c r="E6743" t="s" s="9">
        <v>14</v>
      </c>
      <c r="F6743" t="s" s="10">
        <v>14</v>
      </c>
      <c r="G6743" t="s" s="11">
        <v>14</v>
      </c>
      <c r="H6743" t="s" s="10">
        <v>14</v>
      </c>
      <c r="I6743" t="s" s="11">
        <v>14</v>
      </c>
      <c r="J6743" t="s" s="11">
        <v>14</v>
      </c>
      <c r="K6743" t="s" s="12">
        <v>14</v>
      </c>
      <c r="L6743" t="s" s="12">
        <v>14</v>
      </c>
      <c r="M6743" t="s" s="10">
        <v>14</v>
      </c>
      <c r="N6743" t="s" s="11">
        <v>14</v>
      </c>
      <c r="O6743" t="s" s="8">
        <v>14</v>
      </c>
      <c r="P6743" t="s" s="8">
        <v>14</v>
      </c>
      <c r="Q6743" t="s" s="12">
        <v>14</v>
      </c>
      <c r="R6743" t="s" s="12">
        <v>14</v>
      </c>
    </row>
    <row r="6744" s="2" customFormat="1" ht="13.5" customHeight="1">
      <c r="B6744" s="13"/>
      <c r="C6744" t="s" s="9">
        <v>30</v>
      </c>
      <c r="D6744" t="s" s="8">
        <v>2323</v>
      </c>
      <c r="E6744" t="s" s="9">
        <v>2324</v>
      </c>
      <c r="F6744" t="s" s="10">
        <v>68</v>
      </c>
      <c r="G6744" t="s" s="11">
        <v>68</v>
      </c>
      <c r="H6744" t="s" s="10">
        <v>68</v>
      </c>
      <c r="I6744" t="s" s="11">
        <v>68</v>
      </c>
      <c r="J6744" t="s" s="11">
        <v>20</v>
      </c>
      <c r="K6744" t="s" s="16">
        <f>HYPERLINK("http://csr.bu.edu/ftp/asl/asllvd/demos/verify_start_end_handshape_annotations//test_auto_move//signs_mov/15403.mov","MOV")</f>
        <v>21</v>
      </c>
      <c r="L6744" t="s" s="16">
        <f>HYPERLINK("http://csr.bu.edu/ftp/asl/asllvd/demos/verify_start_end_handshape_annotations//test_auto_move//signs_mov_separ_signers/Brady_15403.mov","MOV")</f>
        <v>21</v>
      </c>
      <c r="M6744" t="s" s="10">
        <v>39</v>
      </c>
      <c r="N6744" s="17">
        <v>19</v>
      </c>
      <c r="O6744" s="18">
        <v>3793</v>
      </c>
      <c r="P6744" s="18">
        <v>3834</v>
      </c>
      <c r="Q6744" t="s" s="16">
        <f>HYPERLINK("http://secrets.rutgers.edu:8080/data/asl-ftp/asllvd/demos/verify_start_end_handshape_annotations//test_auto_move//signs_mov/15403.mov","MOV")</f>
        <v>21</v>
      </c>
      <c r="R6744" t="s" s="16">
        <f>HYPERLINK("http://secrets.rutgers.edu:8080/data/asl-ftp/asllvd/demos/verify_start_end_handshape_annotations//test_auto_move//signs_mov_separ_signers/Brady_15403.mov","MOV")</f>
        <v>21</v>
      </c>
    </row>
    <row r="6745" s="2" customFormat="1" ht="13.5" customHeight="1">
      <c r="B6745" t="s" s="8">
        <v>2325</v>
      </c>
      <c r="C6745" t="s" s="9">
        <v>14</v>
      </c>
      <c r="D6745" t="s" s="8">
        <v>14</v>
      </c>
      <c r="E6745" t="s" s="9">
        <v>14</v>
      </c>
      <c r="F6745" t="s" s="10">
        <v>14</v>
      </c>
      <c r="G6745" t="s" s="11">
        <v>14</v>
      </c>
      <c r="H6745" t="s" s="10">
        <v>14</v>
      </c>
      <c r="I6745" t="s" s="11">
        <v>14</v>
      </c>
      <c r="J6745" t="s" s="11">
        <v>14</v>
      </c>
      <c r="K6745" t="s" s="12">
        <v>14</v>
      </c>
      <c r="L6745" t="s" s="12">
        <v>14</v>
      </c>
      <c r="M6745" t="s" s="10">
        <v>14</v>
      </c>
      <c r="N6745" t="s" s="11">
        <v>14</v>
      </c>
      <c r="O6745" t="s" s="8">
        <v>14</v>
      </c>
      <c r="P6745" t="s" s="8">
        <v>14</v>
      </c>
      <c r="Q6745" t="s" s="12">
        <v>14</v>
      </c>
      <c r="R6745" t="s" s="12">
        <v>14</v>
      </c>
    </row>
    <row r="6746" s="2" customFormat="1" ht="13.5" customHeight="1">
      <c r="B6746" s="13"/>
      <c r="C6746" t="s" s="9">
        <v>23</v>
      </c>
      <c r="D6746" t="s" s="8">
        <v>2325</v>
      </c>
      <c r="E6746" t="s" s="9">
        <v>2325</v>
      </c>
      <c r="F6746" t="s" s="10">
        <v>220</v>
      </c>
      <c r="G6746" t="s" s="11">
        <v>220</v>
      </c>
      <c r="H6746" t="s" s="10">
        <v>220</v>
      </c>
      <c r="I6746" t="s" s="11">
        <v>220</v>
      </c>
      <c r="J6746" t="s" s="11">
        <v>20</v>
      </c>
      <c r="K6746" t="s" s="16">
        <f>HYPERLINK("http://csr.bu.edu/ftp/asl/asllvd/demos/verify_start_end_handshape_annotations//test_auto_move//signs_mov/16112.mov","MOV")</f>
        <v>21</v>
      </c>
      <c r="L6746" t="s" s="16">
        <f>HYPERLINK("http://csr.bu.edu/ftp/asl/asllvd/demos/verify_start_end_handshape_annotations//test_auto_move//signs_mov_separ_signers/Tyler_16112.mov","MOV")</f>
        <v>21</v>
      </c>
      <c r="M6746" t="s" s="10">
        <v>47</v>
      </c>
      <c r="N6746" s="17">
        <v>21</v>
      </c>
      <c r="O6746" s="18">
        <v>877</v>
      </c>
      <c r="P6746" s="18">
        <v>898</v>
      </c>
      <c r="Q6746" t="s" s="16">
        <f>HYPERLINK("http://secrets.rutgers.edu:8080/data/asl-ftp/asllvd/demos/verify_start_end_handshape_annotations//test_auto_move//signs_mov/16112.mov","MOV")</f>
        <v>21</v>
      </c>
      <c r="R6746" t="s" s="16">
        <f>HYPERLINK("http://secrets.rutgers.edu:8080/data/asl-ftp/asllvd/demos/verify_start_end_handshape_annotations//test_auto_move//signs_mov_separ_signers/Tyler_16112.mov","MOV")</f>
        <v>21</v>
      </c>
    </row>
    <row r="6747" s="2" customFormat="1" ht="13.5" customHeight="1">
      <c r="B6747" t="s" s="8">
        <v>2326</v>
      </c>
      <c r="C6747" t="s" s="9">
        <v>14</v>
      </c>
      <c r="D6747" t="s" s="8">
        <v>14</v>
      </c>
      <c r="E6747" t="s" s="9">
        <v>14</v>
      </c>
      <c r="F6747" t="s" s="10">
        <v>14</v>
      </c>
      <c r="G6747" t="s" s="11">
        <v>14</v>
      </c>
      <c r="H6747" t="s" s="10">
        <v>14</v>
      </c>
      <c r="I6747" t="s" s="11">
        <v>14</v>
      </c>
      <c r="J6747" t="s" s="11">
        <v>14</v>
      </c>
      <c r="K6747" t="s" s="12">
        <v>14</v>
      </c>
      <c r="L6747" t="s" s="12">
        <v>14</v>
      </c>
      <c r="M6747" t="s" s="10">
        <v>14</v>
      </c>
      <c r="N6747" t="s" s="11">
        <v>14</v>
      </c>
      <c r="O6747" t="s" s="8">
        <v>14</v>
      </c>
      <c r="P6747" t="s" s="8">
        <v>14</v>
      </c>
      <c r="Q6747" t="s" s="12">
        <v>14</v>
      </c>
      <c r="R6747" t="s" s="12">
        <v>14</v>
      </c>
    </row>
    <row r="6748" s="2" customFormat="1" ht="13.5" customHeight="1">
      <c r="B6748" s="13"/>
      <c r="C6748" t="s" s="9">
        <v>16</v>
      </c>
      <c r="D6748" t="s" s="8">
        <v>2326</v>
      </c>
      <c r="E6748" t="s" s="9">
        <v>2326</v>
      </c>
      <c r="F6748" t="s" s="10">
        <v>282</v>
      </c>
      <c r="G6748" s="14"/>
      <c r="H6748" t="s" s="10">
        <v>255</v>
      </c>
      <c r="I6748" s="14"/>
      <c r="J6748" t="s" s="11">
        <v>20</v>
      </c>
      <c r="K6748" s="15"/>
      <c r="L6748" t="s" s="16">
        <f>HYPERLINK("http://csr.bu.edu/ftp/asl/asllvd/demos/verify_start_end_handshape_annotations//test_auto_move//signs_mov_separ_signers/Liz_16113.mov","MOV")</f>
        <v>21</v>
      </c>
      <c r="M6748" t="s" s="10">
        <v>84</v>
      </c>
      <c r="N6748" s="17">
        <v>43</v>
      </c>
      <c r="O6748" s="18">
        <v>1429</v>
      </c>
      <c r="P6748" s="18">
        <v>1454</v>
      </c>
      <c r="Q6748" s="15"/>
      <c r="R6748" t="s" s="16">
        <f>HYPERLINK("http://secrets.rutgers.edu:8080/data/asl-ftp/asllvd/demos/verify_start_end_handshape_annotations//test_auto_move//signs_mov_separ_signers/Liz_16113.mov","MOV")</f>
        <v>21</v>
      </c>
    </row>
    <row r="6749" s="2" customFormat="1" ht="13.5" customHeight="1">
      <c r="B6749" s="13"/>
      <c r="C6749" t="s" s="9">
        <v>23</v>
      </c>
      <c r="D6749" t="s" s="8">
        <v>2326</v>
      </c>
      <c r="E6749" t="s" s="9">
        <v>2326</v>
      </c>
      <c r="F6749" t="s" s="10">
        <v>282</v>
      </c>
      <c r="G6749" s="14"/>
      <c r="H6749" t="s" s="10">
        <v>255</v>
      </c>
      <c r="I6749" s="14"/>
      <c r="J6749" t="s" s="11">
        <v>20</v>
      </c>
      <c r="K6749" t="s" s="16">
        <f>HYPERLINK("http://csr.bu.edu/ftp/asl/asllvd/demos/verify_start_end_handshape_annotations//test_auto_move//signs_mov/16113.mov","MOV")</f>
        <v>21</v>
      </c>
      <c r="L6749" t="s" s="16">
        <f>HYPERLINK("http://csr.bu.edu/ftp/asl/asllvd/demos/verify_start_end_handshape_annotations//test_auto_move//signs_mov_separ_signers/Tyler_16113.mov","MOV")</f>
        <v>21</v>
      </c>
      <c r="M6749" t="s" s="10">
        <v>92</v>
      </c>
      <c r="N6749" s="17">
        <v>23</v>
      </c>
      <c r="O6749" s="18">
        <v>1280</v>
      </c>
      <c r="P6749" s="18">
        <v>1293</v>
      </c>
      <c r="Q6749" t="s" s="16">
        <f>HYPERLINK("http://secrets.rutgers.edu:8080/data/asl-ftp/asllvd/demos/verify_start_end_handshape_annotations//test_auto_move//signs_mov/16113.mov","MOV")</f>
        <v>21</v>
      </c>
      <c r="R6749" t="s" s="16">
        <f>HYPERLINK("http://secrets.rutgers.edu:8080/data/asl-ftp/asllvd/demos/verify_start_end_handshape_annotations//test_auto_move//signs_mov_separ_signers/Tyler_16113.mov","MOV")</f>
        <v>21</v>
      </c>
    </row>
    <row r="6750" s="2" customFormat="1" ht="13.5" customHeight="1">
      <c r="B6750" s="13"/>
      <c r="C6750" t="s" s="9">
        <v>27</v>
      </c>
      <c r="D6750" t="s" s="8">
        <v>2326</v>
      </c>
      <c r="E6750" t="s" s="9">
        <v>2326</v>
      </c>
      <c r="F6750" t="s" s="10">
        <v>282</v>
      </c>
      <c r="G6750" s="14"/>
      <c r="H6750" t="s" s="10">
        <v>255</v>
      </c>
      <c r="I6750" s="14"/>
      <c r="J6750" t="s" s="11">
        <v>20</v>
      </c>
      <c r="K6750" s="15"/>
      <c r="L6750" t="s" s="16">
        <f>HYPERLINK("http://csr.bu.edu/ftp/asl/asllvd/demos/verify_start_end_handshape_annotations//test_auto_move//signs_mov_separ_signers/Naomi_16113.mov","MOV")</f>
        <v>21</v>
      </c>
      <c r="M6750" t="s" s="10">
        <v>86</v>
      </c>
      <c r="N6750" s="17">
        <v>43</v>
      </c>
      <c r="O6750" s="18">
        <v>1445</v>
      </c>
      <c r="P6750" s="18">
        <v>1461</v>
      </c>
      <c r="Q6750" s="15"/>
      <c r="R6750" t="s" s="16">
        <f>HYPERLINK("http://secrets.rutgers.edu:8080/data/asl-ftp/asllvd/demos/verify_start_end_handshape_annotations//test_auto_move//signs_mov_separ_signers/Naomi_16113.mov","MOV")</f>
        <v>21</v>
      </c>
    </row>
    <row r="6751" s="2" customFormat="1" ht="13.5" customHeight="1">
      <c r="B6751" t="s" s="8">
        <v>2327</v>
      </c>
      <c r="C6751" t="s" s="9">
        <v>14</v>
      </c>
      <c r="D6751" t="s" s="8">
        <v>14</v>
      </c>
      <c r="E6751" t="s" s="9">
        <v>14</v>
      </c>
      <c r="F6751" t="s" s="10">
        <v>14</v>
      </c>
      <c r="G6751" t="s" s="11">
        <v>14</v>
      </c>
      <c r="H6751" t="s" s="10">
        <v>14</v>
      </c>
      <c r="I6751" t="s" s="11">
        <v>14</v>
      </c>
      <c r="J6751" t="s" s="11">
        <v>14</v>
      </c>
      <c r="K6751" t="s" s="12">
        <v>14</v>
      </c>
      <c r="L6751" t="s" s="12">
        <v>14</v>
      </c>
      <c r="M6751" t="s" s="10">
        <v>14</v>
      </c>
      <c r="N6751" t="s" s="11">
        <v>14</v>
      </c>
      <c r="O6751" t="s" s="8">
        <v>14</v>
      </c>
      <c r="P6751" t="s" s="8">
        <v>14</v>
      </c>
      <c r="Q6751" t="s" s="12">
        <v>14</v>
      </c>
      <c r="R6751" t="s" s="12">
        <v>14</v>
      </c>
    </row>
    <row r="6752" s="2" customFormat="1" ht="13.5" customHeight="1">
      <c r="B6752" s="13"/>
      <c r="C6752" t="s" s="9">
        <v>16</v>
      </c>
      <c r="D6752" t="s" s="8">
        <v>2327</v>
      </c>
      <c r="E6752" t="s" s="9">
        <v>2328</v>
      </c>
      <c r="F6752" t="s" s="10">
        <v>73</v>
      </c>
      <c r="G6752" t="s" s="11">
        <v>73</v>
      </c>
      <c r="H6752" t="s" s="10">
        <v>73</v>
      </c>
      <c r="I6752" t="s" s="11">
        <v>73</v>
      </c>
      <c r="J6752" t="s" s="11">
        <v>20</v>
      </c>
      <c r="K6752" s="15"/>
      <c r="L6752" t="s" s="16">
        <f>HYPERLINK("http://csr.bu.edu/ftp/asl/asllvd/demos/verify_start_end_handshape_annotations//test_auto_move//signs_mov_separ_signers/Liz_1502.mov","MOV")</f>
        <v>21</v>
      </c>
      <c r="M6752" t="s" s="10">
        <v>88</v>
      </c>
      <c r="N6752" s="17">
        <v>1</v>
      </c>
      <c r="O6752" s="18">
        <v>850</v>
      </c>
      <c r="P6752" s="18">
        <v>907</v>
      </c>
      <c r="Q6752" s="15"/>
      <c r="R6752" t="s" s="16">
        <f>HYPERLINK("http://secrets.rutgers.edu:8080/data/asl-ftp/asllvd/demos/verify_start_end_handshape_annotations//test_auto_move//signs_mov_separ_signers/Liz_1502.mov","MOV")</f>
        <v>21</v>
      </c>
    </row>
    <row r="6753" s="2" customFormat="1" ht="13.5" customHeight="1">
      <c r="B6753" s="13"/>
      <c r="C6753" t="s" s="9">
        <v>23</v>
      </c>
      <c r="D6753" t="s" s="8">
        <v>2327</v>
      </c>
      <c r="E6753" t="s" s="9">
        <v>2329</v>
      </c>
      <c r="F6753" t="s" s="10">
        <v>73</v>
      </c>
      <c r="G6753" t="s" s="11">
        <v>73</v>
      </c>
      <c r="H6753" t="s" s="10">
        <v>73</v>
      </c>
      <c r="I6753" t="s" s="11">
        <v>73</v>
      </c>
      <c r="J6753" t="s" s="11">
        <v>20</v>
      </c>
      <c r="K6753" t="s" s="16">
        <f>HYPERLINK("http://csr.bu.edu/ftp/asl/asllvd/demos/verify_start_end_handshape_annotations//test_auto_move//signs_mov/1502.mov","MOV")</f>
        <v>21</v>
      </c>
      <c r="L6753" t="s" s="16">
        <f>HYPERLINK("http://csr.bu.edu/ftp/asl/asllvd/demos/verify_start_end_handshape_annotations//test_auto_move//signs_mov_separ_signers/Tyler_1502.mov","MOV")</f>
        <v>21</v>
      </c>
      <c r="M6753" t="s" s="10">
        <v>47</v>
      </c>
      <c r="N6753" s="17">
        <v>11</v>
      </c>
      <c r="O6753" s="18">
        <v>627</v>
      </c>
      <c r="P6753" s="18">
        <v>678</v>
      </c>
      <c r="Q6753" t="s" s="16">
        <f>HYPERLINK("http://secrets.rutgers.edu:8080/data/asl-ftp/asllvd/demos/verify_start_end_handshape_annotations//test_auto_move//signs_mov/1502.mov","MOV")</f>
        <v>21</v>
      </c>
      <c r="R6753" t="s" s="16">
        <f>HYPERLINK("http://secrets.rutgers.edu:8080/data/asl-ftp/asllvd/demos/verify_start_end_handshape_annotations//test_auto_move//signs_mov_separ_signers/Tyler_1502.mov","MOV")</f>
        <v>21</v>
      </c>
    </row>
    <row r="6754" s="2" customFormat="1" ht="13.5" customHeight="1">
      <c r="B6754" s="13"/>
      <c r="C6754" t="s" s="9">
        <v>30</v>
      </c>
      <c r="D6754" t="s" s="8">
        <v>2327</v>
      </c>
      <c r="E6754" t="s" s="9">
        <v>2328</v>
      </c>
      <c r="F6754" t="s" s="10">
        <v>73</v>
      </c>
      <c r="G6754" t="s" s="11">
        <v>73</v>
      </c>
      <c r="H6754" t="s" s="10">
        <v>73</v>
      </c>
      <c r="I6754" t="s" s="11">
        <v>73</v>
      </c>
      <c r="J6754" t="s" s="11">
        <v>20</v>
      </c>
      <c r="K6754" s="15"/>
      <c r="L6754" t="s" s="16">
        <f>HYPERLINK("http://csr.bu.edu/ftp/asl/asllvd/demos/verify_start_end_handshape_annotations//test_auto_move//signs_mov_separ_signers/Brady_1502.mov","MOV")</f>
        <v>21</v>
      </c>
      <c r="M6754" t="s" s="10">
        <v>39</v>
      </c>
      <c r="N6754" s="17">
        <v>55</v>
      </c>
      <c r="O6754" s="18">
        <v>1474</v>
      </c>
      <c r="P6754" s="18">
        <v>1504</v>
      </c>
      <c r="Q6754" s="15"/>
      <c r="R6754" t="s" s="16">
        <f>HYPERLINK("http://secrets.rutgers.edu:8080/data/asl-ftp/asllvd/demos/verify_start_end_handshape_annotations//test_auto_move//signs_mov_separ_signers/Brady_1502.mov","MOV")</f>
        <v>21</v>
      </c>
    </row>
    <row r="6755" s="2" customFormat="1" ht="13.5" customHeight="1">
      <c r="B6755" s="13"/>
      <c r="C6755" t="s" s="9">
        <v>41</v>
      </c>
      <c r="D6755" t="s" s="8">
        <v>2327</v>
      </c>
      <c r="E6755" t="s" s="9">
        <v>2328</v>
      </c>
      <c r="F6755" t="s" s="10">
        <v>73</v>
      </c>
      <c r="G6755" t="s" s="11">
        <v>73</v>
      </c>
      <c r="H6755" t="s" s="10">
        <v>73</v>
      </c>
      <c r="I6755" t="s" s="11">
        <v>73</v>
      </c>
      <c r="J6755" t="s" s="11">
        <v>20</v>
      </c>
      <c r="K6755" s="15"/>
      <c r="L6755" t="s" s="16">
        <f>HYPERLINK("http://csr.bu.edu/ftp/asl/asllvd/demos/verify_start_end_handshape_annotations//test_auto_move//signs_mov_separ_signers/Lana_1502.mov","MOV")</f>
        <v>21</v>
      </c>
      <c r="M6755" t="s" s="10">
        <v>245</v>
      </c>
      <c r="N6755" s="17">
        <v>22</v>
      </c>
      <c r="O6755" s="18">
        <v>2008</v>
      </c>
      <c r="P6755" s="18">
        <v>2063</v>
      </c>
      <c r="Q6755" s="15"/>
      <c r="R6755" t="s" s="16">
        <f>HYPERLINK("http://secrets.rutgers.edu:8080/data/asl-ftp/asllvd/demos/verify_start_end_handshape_annotations//test_auto_move//signs_mov_separ_signers/Lana_1502.mov","MOV")</f>
        <v>21</v>
      </c>
    </row>
    <row r="6756" s="2" customFormat="1" ht="13.5" customHeight="1">
      <c r="B6756" t="s" s="8">
        <v>2330</v>
      </c>
      <c r="C6756" t="s" s="9">
        <v>14</v>
      </c>
      <c r="D6756" t="s" s="8">
        <v>14</v>
      </c>
      <c r="E6756" t="s" s="9">
        <v>14</v>
      </c>
      <c r="F6756" t="s" s="10">
        <v>14</v>
      </c>
      <c r="G6756" t="s" s="11">
        <v>14</v>
      </c>
      <c r="H6756" t="s" s="10">
        <v>14</v>
      </c>
      <c r="I6756" t="s" s="11">
        <v>14</v>
      </c>
      <c r="J6756" t="s" s="11">
        <v>14</v>
      </c>
      <c r="K6756" t="s" s="12">
        <v>14</v>
      </c>
      <c r="L6756" t="s" s="12">
        <v>14</v>
      </c>
      <c r="M6756" t="s" s="10">
        <v>14</v>
      </c>
      <c r="N6756" t="s" s="11">
        <v>14</v>
      </c>
      <c r="O6756" t="s" s="8">
        <v>14</v>
      </c>
      <c r="P6756" t="s" s="8">
        <v>14</v>
      </c>
      <c r="Q6756" t="s" s="12">
        <v>14</v>
      </c>
      <c r="R6756" t="s" s="12">
        <v>14</v>
      </c>
    </row>
    <row r="6757" s="2" customFormat="1" ht="13.5" customHeight="1">
      <c r="B6757" s="13"/>
      <c r="C6757" t="s" s="9">
        <v>16</v>
      </c>
      <c r="D6757" t="s" s="8">
        <v>2330</v>
      </c>
      <c r="E6757" t="s" s="9">
        <v>2331</v>
      </c>
      <c r="F6757" t="s" s="10">
        <v>136</v>
      </c>
      <c r="G6757" t="s" s="11">
        <v>136</v>
      </c>
      <c r="H6757" t="s" s="10">
        <v>136</v>
      </c>
      <c r="I6757" t="s" s="11">
        <v>136</v>
      </c>
      <c r="J6757" t="s" s="11">
        <v>20</v>
      </c>
      <c r="K6757" s="15"/>
      <c r="L6757" t="s" s="16">
        <f>HYPERLINK("http://csr.bu.edu/ftp/asl/asllvd/demos/verify_start_end_handshape_annotations//test_auto_move//signs_mov_separ_signers/Liz_1506.mov","MOV")</f>
        <v>21</v>
      </c>
      <c r="M6757" t="s" s="10">
        <v>88</v>
      </c>
      <c r="N6757" s="17">
        <v>1</v>
      </c>
      <c r="O6757" s="18">
        <v>3617</v>
      </c>
      <c r="P6757" s="18">
        <v>3675</v>
      </c>
      <c r="Q6757" s="15"/>
      <c r="R6757" t="s" s="16">
        <f>HYPERLINK("http://secrets.rutgers.edu:8080/data/asl-ftp/asllvd/demos/verify_start_end_handshape_annotations//test_auto_move//signs_mov_separ_signers/Liz_1506.mov","MOV")</f>
        <v>21</v>
      </c>
    </row>
    <row r="6758" s="2" customFormat="1" ht="13.5" customHeight="1">
      <c r="B6758" s="13"/>
      <c r="C6758" t="s" s="9">
        <v>23</v>
      </c>
      <c r="D6758" t="s" s="8">
        <v>2330</v>
      </c>
      <c r="E6758" t="s" s="9">
        <v>2331</v>
      </c>
      <c r="F6758" t="s" s="10">
        <v>136</v>
      </c>
      <c r="G6758" t="s" s="11">
        <v>136</v>
      </c>
      <c r="H6758" t="s" s="10">
        <v>136</v>
      </c>
      <c r="I6758" t="s" s="11">
        <v>136</v>
      </c>
      <c r="J6758" t="s" s="11">
        <v>20</v>
      </c>
      <c r="K6758" s="15"/>
      <c r="L6758" t="s" s="16">
        <f>HYPERLINK("http://csr.bu.edu/ftp/asl/asllvd/demos/verify_start_end_handshape_annotations//test_auto_move//signs_mov_separ_signers/Tyler_1506.mov","MOV")</f>
        <v>21</v>
      </c>
      <c r="M6758" t="s" s="10">
        <v>47</v>
      </c>
      <c r="N6758" s="17">
        <v>11</v>
      </c>
      <c r="O6758" s="18">
        <v>1683</v>
      </c>
      <c r="P6758" s="18">
        <v>1731</v>
      </c>
      <c r="Q6758" s="15"/>
      <c r="R6758" t="s" s="16">
        <f>HYPERLINK("http://secrets.rutgers.edu:8080/data/asl-ftp/asllvd/demos/verify_start_end_handshape_annotations//test_auto_move//signs_mov_separ_signers/Tyler_1506.mov","MOV")</f>
        <v>21</v>
      </c>
    </row>
    <row r="6759" s="2" customFormat="1" ht="13.5" customHeight="1">
      <c r="B6759" s="13"/>
      <c r="C6759" t="s" s="9">
        <v>30</v>
      </c>
      <c r="D6759" t="s" s="8">
        <v>2330</v>
      </c>
      <c r="E6759" t="s" s="9">
        <v>2332</v>
      </c>
      <c r="F6759" t="s" s="10">
        <v>136</v>
      </c>
      <c r="G6759" t="s" s="11">
        <v>136</v>
      </c>
      <c r="H6759" t="s" s="10">
        <v>136</v>
      </c>
      <c r="I6759" t="s" s="11">
        <v>136</v>
      </c>
      <c r="J6759" t="s" s="11">
        <v>20</v>
      </c>
      <c r="K6759" t="s" s="16">
        <f>HYPERLINK("http://csr.bu.edu/ftp/asl/asllvd/demos/verify_start_end_handshape_annotations//test_auto_move//signs_mov/1506_5076_merged.mov","MOV")</f>
        <v>21</v>
      </c>
      <c r="L6759" t="s" s="16">
        <f>HYPERLINK("http://csr.bu.edu/ftp/asl/asllvd/demos/verify_start_end_handshape_annotations//test_auto_move//signs_mov_separ_signers/Brady_1506.mov","MOV")</f>
        <v>21</v>
      </c>
      <c r="M6759" t="s" s="10">
        <v>39</v>
      </c>
      <c r="N6759" s="17">
        <v>33</v>
      </c>
      <c r="O6759" s="18">
        <v>2377</v>
      </c>
      <c r="P6759" s="18">
        <v>2416</v>
      </c>
      <c r="Q6759" t="s" s="16">
        <f>HYPERLINK("http://secrets.rutgers.edu:8080/data/asl-ftp/asllvd/demos/verify_start_end_handshape_annotations//test_auto_move//signs_mov/1506_5076_merged.mov","MOV")</f>
        <v>21</v>
      </c>
      <c r="R6759" t="s" s="16">
        <f>HYPERLINK("http://secrets.rutgers.edu:8080/data/asl-ftp/asllvd/demos/verify_start_end_handshape_annotations//test_auto_move//signs_mov_separ_signers/Brady_1506.mov","MOV")</f>
        <v>21</v>
      </c>
    </row>
    <row r="6760" s="2" customFormat="1" ht="13.5" customHeight="1">
      <c r="B6760" s="13"/>
      <c r="C6760" t="s" s="9">
        <v>30</v>
      </c>
      <c r="D6760" t="s" s="8">
        <v>2330</v>
      </c>
      <c r="E6760" t="s" s="9">
        <v>2331</v>
      </c>
      <c r="F6760" t="s" s="10">
        <v>136</v>
      </c>
      <c r="G6760" t="s" s="11">
        <v>136</v>
      </c>
      <c r="H6760" t="s" s="10">
        <v>136</v>
      </c>
      <c r="I6760" t="s" s="11">
        <v>136</v>
      </c>
      <c r="J6760" t="s" s="11">
        <v>20</v>
      </c>
      <c r="K6760" s="15"/>
      <c r="L6760" t="s" s="16">
        <f>HYPERLINK("http://csr.bu.edu/ftp/asl/asllvd/demos/verify_start_end_handshape_annotations//test_auto_move//signs_mov_separ_signers/Brady_5076.mov","MOV")</f>
        <v>21</v>
      </c>
      <c r="M6760" t="s" s="10">
        <v>39</v>
      </c>
      <c r="N6760" s="17">
        <v>55</v>
      </c>
      <c r="O6760" s="18">
        <v>4940</v>
      </c>
      <c r="P6760" s="18">
        <v>4972</v>
      </c>
      <c r="Q6760" s="15"/>
      <c r="R6760" t="s" s="16">
        <f>HYPERLINK("http://secrets.rutgers.edu:8080/data/asl-ftp/asllvd/demos/verify_start_end_handshape_annotations//test_auto_move//signs_mov_separ_signers/Brady_5076.mov","MOV")</f>
        <v>21</v>
      </c>
    </row>
    <row r="6761" s="2" customFormat="1" ht="13.5" customHeight="1">
      <c r="B6761" s="13"/>
      <c r="C6761" t="s" s="9">
        <v>41</v>
      </c>
      <c r="D6761" t="s" s="8">
        <v>2330</v>
      </c>
      <c r="E6761" t="s" s="9">
        <v>2332</v>
      </c>
      <c r="F6761" t="s" s="10">
        <v>136</v>
      </c>
      <c r="G6761" t="s" s="11">
        <v>136</v>
      </c>
      <c r="H6761" t="s" s="10">
        <v>136</v>
      </c>
      <c r="I6761" t="s" s="11">
        <v>136</v>
      </c>
      <c r="J6761" t="s" s="11">
        <v>20</v>
      </c>
      <c r="K6761" s="15"/>
      <c r="L6761" t="s" s="16">
        <f>HYPERLINK("http://csr.bu.edu/ftp/asl/asllvd/demos/verify_start_end_handshape_annotations//test_auto_move//signs_mov_separ_signers/Lana_1506.mov","MOV")</f>
        <v>21</v>
      </c>
      <c r="M6761" t="s" s="10">
        <v>42</v>
      </c>
      <c r="N6761" s="17">
        <v>17</v>
      </c>
      <c r="O6761" s="18">
        <v>2448</v>
      </c>
      <c r="P6761" s="18">
        <v>2479</v>
      </c>
      <c r="Q6761" s="15"/>
      <c r="R6761" t="s" s="16">
        <f>HYPERLINK("http://secrets.rutgers.edu:8080/data/asl-ftp/asllvd/demos/verify_start_end_handshape_annotations//test_auto_move//signs_mov_separ_signers/Lana_1506.mov","MOV")</f>
        <v>21</v>
      </c>
    </row>
    <row r="6762" s="2" customFormat="1" ht="13.5" customHeight="1">
      <c r="B6762" s="13"/>
      <c r="C6762" t="s" s="9">
        <v>43</v>
      </c>
      <c r="D6762" t="s" s="8">
        <v>2330</v>
      </c>
      <c r="E6762" t="s" s="9">
        <v>2331</v>
      </c>
      <c r="F6762" t="s" s="10">
        <v>136</v>
      </c>
      <c r="G6762" t="s" s="11">
        <v>136</v>
      </c>
      <c r="H6762" t="s" s="10">
        <v>136</v>
      </c>
      <c r="I6762" t="s" s="11">
        <v>136</v>
      </c>
      <c r="J6762" t="s" s="11">
        <v>20</v>
      </c>
      <c r="K6762" s="15"/>
      <c r="L6762" t="s" s="16">
        <f>HYPERLINK("http://csr.bu.edu/ftp/asl/asllvd/demos/verify_start_end_handshape_annotations//test_auto_move//signs_mov_separ_signers/Dana_1506.mov","MOV")</f>
        <v>21</v>
      </c>
      <c r="M6762" t="s" s="10">
        <v>44</v>
      </c>
      <c r="N6762" s="17">
        <v>19</v>
      </c>
      <c r="O6762" s="18">
        <v>2558</v>
      </c>
      <c r="P6762" s="18">
        <v>2614</v>
      </c>
      <c r="Q6762" s="15"/>
      <c r="R6762" t="s" s="16">
        <f>HYPERLINK("http://secrets.rutgers.edu:8080/data/asl-ftp/asllvd/demos/verify_start_end_handshape_annotations//test_auto_move//signs_mov_separ_signers/Dana_1506.mov","MOV")</f>
        <v>21</v>
      </c>
    </row>
    <row r="6763" s="2" customFormat="1" ht="13.5" customHeight="1">
      <c r="B6763" t="s" s="8">
        <v>2333</v>
      </c>
      <c r="C6763" t="s" s="9">
        <v>14</v>
      </c>
      <c r="D6763" t="s" s="8">
        <v>14</v>
      </c>
      <c r="E6763" t="s" s="9">
        <v>14</v>
      </c>
      <c r="F6763" t="s" s="10">
        <v>14</v>
      </c>
      <c r="G6763" t="s" s="11">
        <v>14</v>
      </c>
      <c r="H6763" t="s" s="10">
        <v>14</v>
      </c>
      <c r="I6763" t="s" s="11">
        <v>14</v>
      </c>
      <c r="J6763" t="s" s="11">
        <v>14</v>
      </c>
      <c r="K6763" t="s" s="12">
        <v>14</v>
      </c>
      <c r="L6763" t="s" s="12">
        <v>14</v>
      </c>
      <c r="M6763" t="s" s="10">
        <v>14</v>
      </c>
      <c r="N6763" t="s" s="11">
        <v>14</v>
      </c>
      <c r="O6763" t="s" s="8">
        <v>14</v>
      </c>
      <c r="P6763" t="s" s="8">
        <v>14</v>
      </c>
      <c r="Q6763" t="s" s="12">
        <v>14</v>
      </c>
      <c r="R6763" t="s" s="12">
        <v>14</v>
      </c>
    </row>
    <row r="6764" s="2" customFormat="1" ht="13.5" customHeight="1">
      <c r="B6764" s="13"/>
      <c r="C6764" t="s" s="9">
        <v>16</v>
      </c>
      <c r="D6764" t="s" s="8">
        <v>2333</v>
      </c>
      <c r="E6764" t="s" s="9">
        <v>2334</v>
      </c>
      <c r="F6764" t="s" s="10">
        <v>282</v>
      </c>
      <c r="G6764" t="s" s="11">
        <v>73</v>
      </c>
      <c r="H6764" t="s" s="10">
        <v>282</v>
      </c>
      <c r="I6764" t="s" s="11">
        <v>73</v>
      </c>
      <c r="J6764" t="s" s="11">
        <v>20</v>
      </c>
      <c r="K6764" s="15"/>
      <c r="L6764" t="s" s="16">
        <f>HYPERLINK("http://csr.bu.edu/ftp/asl/asllvd/demos/verify_start_end_handshape_annotations//test_auto_move//signs_mov_separ_signers/Liz_1507.mov","MOV")</f>
        <v>21</v>
      </c>
      <c r="M6764" t="s" s="10">
        <v>88</v>
      </c>
      <c r="N6764" s="17">
        <v>1</v>
      </c>
      <c r="O6764" s="18">
        <v>3895</v>
      </c>
      <c r="P6764" s="18">
        <v>3937</v>
      </c>
      <c r="Q6764" s="15"/>
      <c r="R6764" t="s" s="16">
        <f>HYPERLINK("http://secrets.rutgers.edu:8080/data/asl-ftp/asllvd/demos/verify_start_end_handshape_annotations//test_auto_move//signs_mov_separ_signers/Liz_1507.mov","MOV")</f>
        <v>21</v>
      </c>
    </row>
    <row r="6765" s="2" customFormat="1" ht="13.5" customHeight="1">
      <c r="B6765" s="13"/>
      <c r="C6765" t="s" s="9">
        <v>23</v>
      </c>
      <c r="D6765" t="s" s="8">
        <v>2333</v>
      </c>
      <c r="E6765" t="s" s="9">
        <v>2334</v>
      </c>
      <c r="F6765" t="s" s="10">
        <v>282</v>
      </c>
      <c r="G6765" t="s" s="11">
        <v>73</v>
      </c>
      <c r="H6765" t="s" s="10">
        <v>282</v>
      </c>
      <c r="I6765" t="s" s="11">
        <v>73</v>
      </c>
      <c r="J6765" t="s" s="11">
        <v>20</v>
      </c>
      <c r="K6765" s="15"/>
      <c r="L6765" t="s" s="16">
        <f>HYPERLINK("http://csr.bu.edu/ftp/asl/asllvd/demos/verify_start_end_handshape_annotations//test_auto_move//signs_mov_separ_signers/Tyler_1507.mov","MOV")</f>
        <v>21</v>
      </c>
      <c r="M6765" t="s" s="10">
        <v>47</v>
      </c>
      <c r="N6765" s="17">
        <v>11</v>
      </c>
      <c r="O6765" s="18">
        <v>1903</v>
      </c>
      <c r="P6765" s="18">
        <v>1942</v>
      </c>
      <c r="Q6765" s="15"/>
      <c r="R6765" t="s" s="16">
        <f>HYPERLINK("http://secrets.rutgers.edu:8080/data/asl-ftp/asllvd/demos/verify_start_end_handshape_annotations//test_auto_move//signs_mov_separ_signers/Tyler_1507.mov","MOV")</f>
        <v>21</v>
      </c>
    </row>
    <row r="6766" s="2" customFormat="1" ht="13.5" customHeight="1">
      <c r="B6766" s="13"/>
      <c r="C6766" t="s" s="9">
        <v>30</v>
      </c>
      <c r="D6766" t="s" s="8">
        <v>2333</v>
      </c>
      <c r="E6766" t="s" s="9">
        <v>2334</v>
      </c>
      <c r="F6766" t="s" s="10">
        <v>282</v>
      </c>
      <c r="G6766" t="s" s="11">
        <v>73</v>
      </c>
      <c r="H6766" t="s" s="10">
        <v>282</v>
      </c>
      <c r="I6766" t="s" s="11">
        <v>73</v>
      </c>
      <c r="J6766" t="s" s="11">
        <v>20</v>
      </c>
      <c r="K6766" t="s" s="16">
        <f>HYPERLINK("http://csr.bu.edu/ftp/asl/asllvd/demos/verify_start_end_handshape_annotations//test_auto_move//signs_mov/1507.mov","MOV")</f>
        <v>21</v>
      </c>
      <c r="L6766" t="s" s="16">
        <f>HYPERLINK("http://csr.bu.edu/ftp/asl/asllvd/demos/verify_start_end_handshape_annotations//test_auto_move//signs_mov_separ_signers/Brady_1507.mov","MOV")</f>
        <v>21</v>
      </c>
      <c r="M6766" t="s" s="10">
        <v>39</v>
      </c>
      <c r="N6766" s="17">
        <v>55</v>
      </c>
      <c r="O6766" s="18">
        <v>5225</v>
      </c>
      <c r="P6766" s="18">
        <v>5251</v>
      </c>
      <c r="Q6766" t="s" s="16">
        <f>HYPERLINK("http://secrets.rutgers.edu:8080/data/asl-ftp/asllvd/demos/verify_start_end_handshape_annotations//test_auto_move//signs_mov/1507.mov","MOV")</f>
        <v>21</v>
      </c>
      <c r="R6766" t="s" s="16">
        <f>HYPERLINK("http://secrets.rutgers.edu:8080/data/asl-ftp/asllvd/demos/verify_start_end_handshape_annotations//test_auto_move//signs_mov_separ_signers/Brady_1507.mov","MOV")</f>
        <v>21</v>
      </c>
    </row>
    <row r="6767" s="2" customFormat="1" ht="13.5" customHeight="1">
      <c r="B6767" s="13"/>
      <c r="C6767" t="s" s="9">
        <v>41</v>
      </c>
      <c r="D6767" t="s" s="8">
        <v>2333</v>
      </c>
      <c r="E6767" t="s" s="9">
        <v>2334</v>
      </c>
      <c r="F6767" t="s" s="10">
        <v>430</v>
      </c>
      <c r="G6767" t="s" s="11">
        <v>73</v>
      </c>
      <c r="H6767" t="s" s="10">
        <v>430</v>
      </c>
      <c r="I6767" t="s" s="11">
        <v>73</v>
      </c>
      <c r="J6767" t="s" s="11">
        <v>20</v>
      </c>
      <c r="K6767" s="15"/>
      <c r="L6767" t="s" s="16">
        <f>HYPERLINK("http://csr.bu.edu/ftp/asl/asllvd/demos/verify_start_end_handshape_annotations//test_auto_move//signs_mov_separ_signers/Lana_1507.mov","MOV")</f>
        <v>21</v>
      </c>
      <c r="M6767" t="s" s="10">
        <v>42</v>
      </c>
      <c r="N6767" s="17">
        <v>17</v>
      </c>
      <c r="O6767" s="18">
        <v>2689</v>
      </c>
      <c r="P6767" s="18">
        <v>2723</v>
      </c>
      <c r="Q6767" s="15"/>
      <c r="R6767" t="s" s="16">
        <f>HYPERLINK("http://secrets.rutgers.edu:8080/data/asl-ftp/asllvd/demos/verify_start_end_handshape_annotations//test_auto_move//signs_mov_separ_signers/Lana_1507.mov","MOV")</f>
        <v>21</v>
      </c>
    </row>
    <row r="6768" s="2" customFormat="1" ht="13.5" customHeight="1">
      <c r="B6768" s="13"/>
      <c r="C6768" t="s" s="9">
        <v>43</v>
      </c>
      <c r="D6768" t="s" s="8">
        <v>2333</v>
      </c>
      <c r="E6768" t="s" s="9">
        <v>2334</v>
      </c>
      <c r="F6768" t="s" s="10">
        <v>282</v>
      </c>
      <c r="G6768" t="s" s="11">
        <v>73</v>
      </c>
      <c r="H6768" t="s" s="10">
        <v>282</v>
      </c>
      <c r="I6768" t="s" s="11">
        <v>73</v>
      </c>
      <c r="J6768" t="s" s="11">
        <v>20</v>
      </c>
      <c r="K6768" s="15"/>
      <c r="L6768" t="s" s="16">
        <f>HYPERLINK("http://csr.bu.edu/ftp/asl/asllvd/demos/verify_start_end_handshape_annotations//test_auto_move//signs_mov_separ_signers/Dana_1507.mov","MOV")</f>
        <v>21</v>
      </c>
      <c r="M6768" t="s" s="10">
        <v>44</v>
      </c>
      <c r="N6768" s="17">
        <v>19</v>
      </c>
      <c r="O6768" s="18">
        <v>2850</v>
      </c>
      <c r="P6768" s="18">
        <v>2903</v>
      </c>
      <c r="Q6768" s="15"/>
      <c r="R6768" t="s" s="16">
        <f>HYPERLINK("http://secrets.rutgers.edu:8080/data/asl-ftp/asllvd/demos/verify_start_end_handshape_annotations//test_auto_move//signs_mov_separ_signers/Dana_1507.mov","MOV")</f>
        <v>21</v>
      </c>
    </row>
    <row r="6769" s="2" customFormat="1" ht="13.5" customHeight="1">
      <c r="B6769" t="s" s="8">
        <v>2335</v>
      </c>
      <c r="C6769" t="s" s="9">
        <v>14</v>
      </c>
      <c r="D6769" t="s" s="8">
        <v>14</v>
      </c>
      <c r="E6769" t="s" s="9">
        <v>14</v>
      </c>
      <c r="F6769" t="s" s="10">
        <v>14</v>
      </c>
      <c r="G6769" t="s" s="11">
        <v>14</v>
      </c>
      <c r="H6769" t="s" s="10">
        <v>14</v>
      </c>
      <c r="I6769" t="s" s="11">
        <v>14</v>
      </c>
      <c r="J6769" t="s" s="11">
        <v>14</v>
      </c>
      <c r="K6769" t="s" s="12">
        <v>14</v>
      </c>
      <c r="L6769" t="s" s="12">
        <v>14</v>
      </c>
      <c r="M6769" t="s" s="10">
        <v>14</v>
      </c>
      <c r="N6769" t="s" s="11">
        <v>14</v>
      </c>
      <c r="O6769" t="s" s="8">
        <v>14</v>
      </c>
      <c r="P6769" t="s" s="8">
        <v>14</v>
      </c>
      <c r="Q6769" t="s" s="12">
        <v>14</v>
      </c>
      <c r="R6769" t="s" s="12">
        <v>14</v>
      </c>
    </row>
    <row r="6770" s="2" customFormat="1" ht="13.5" customHeight="1">
      <c r="B6770" s="13"/>
      <c r="C6770" t="s" s="9">
        <v>16</v>
      </c>
      <c r="D6770" t="s" s="8">
        <v>2335</v>
      </c>
      <c r="E6770" t="s" s="9">
        <v>2336</v>
      </c>
      <c r="F6770" t="s" s="10">
        <v>158</v>
      </c>
      <c r="G6770" t="s" s="11">
        <v>158</v>
      </c>
      <c r="H6770" t="s" s="10">
        <v>158</v>
      </c>
      <c r="I6770" t="s" s="11">
        <v>158</v>
      </c>
      <c r="J6770" t="s" s="11">
        <v>20</v>
      </c>
      <c r="K6770" s="15"/>
      <c r="L6770" t="s" s="16">
        <f>HYPERLINK("http://csr.bu.edu/ftp/asl/asllvd/demos/verify_start_end_handshape_annotations//test_auto_move//signs_mov_separ_signers/Liz_1508.mov","MOV")</f>
        <v>21</v>
      </c>
      <c r="M6770" t="s" s="10">
        <v>88</v>
      </c>
      <c r="N6770" s="17">
        <v>1</v>
      </c>
      <c r="O6770" s="18">
        <v>4195</v>
      </c>
      <c r="P6770" s="18">
        <v>4281</v>
      </c>
      <c r="Q6770" s="15"/>
      <c r="R6770" t="s" s="16">
        <f>HYPERLINK("http://secrets.rutgers.edu:8080/data/asl-ftp/asllvd/demos/verify_start_end_handshape_annotations//test_auto_move//signs_mov_separ_signers/Liz_1508.mov","MOV")</f>
        <v>21</v>
      </c>
    </row>
    <row r="6771" s="2" customFormat="1" ht="13.5" customHeight="1">
      <c r="B6771" s="13"/>
      <c r="C6771" t="s" s="9">
        <v>23</v>
      </c>
      <c r="D6771" t="s" s="8">
        <v>2335</v>
      </c>
      <c r="E6771" t="s" s="9">
        <v>2336</v>
      </c>
      <c r="F6771" t="s" s="10">
        <v>158</v>
      </c>
      <c r="G6771" t="s" s="11">
        <v>158</v>
      </c>
      <c r="H6771" t="s" s="10">
        <v>158</v>
      </c>
      <c r="I6771" t="s" s="11">
        <v>158</v>
      </c>
      <c r="J6771" t="s" s="11">
        <v>20</v>
      </c>
      <c r="K6771" t="s" s="16">
        <f>HYPERLINK("http://csr.bu.edu/ftp/asl/asllvd/demos/verify_start_end_handshape_annotations//test_auto_move//signs_mov/1508.mov","MOV")</f>
        <v>21</v>
      </c>
      <c r="L6771" t="s" s="16">
        <f>HYPERLINK("http://csr.bu.edu/ftp/asl/asllvd/demos/verify_start_end_handshape_annotations//test_auto_move//signs_mov_separ_signers/Tyler_1508.mov","MOV")</f>
        <v>21</v>
      </c>
      <c r="M6771" t="s" s="10">
        <v>47</v>
      </c>
      <c r="N6771" s="17">
        <v>11</v>
      </c>
      <c r="O6771" s="18">
        <v>2155</v>
      </c>
      <c r="P6771" s="18">
        <v>2207</v>
      </c>
      <c r="Q6771" t="s" s="16">
        <f>HYPERLINK("http://secrets.rutgers.edu:8080/data/asl-ftp/asllvd/demos/verify_start_end_handshape_annotations//test_auto_move//signs_mov/1508.mov","MOV")</f>
        <v>21</v>
      </c>
      <c r="R6771" t="s" s="16">
        <f>HYPERLINK("http://secrets.rutgers.edu:8080/data/asl-ftp/asllvd/demos/verify_start_end_handshape_annotations//test_auto_move//signs_mov_separ_signers/Tyler_1508.mov","MOV")</f>
        <v>21</v>
      </c>
    </row>
    <row r="6772" s="2" customFormat="1" ht="13.5" customHeight="1">
      <c r="B6772" s="13"/>
      <c r="C6772" t="s" s="9">
        <v>30</v>
      </c>
      <c r="D6772" t="s" s="8">
        <v>2335</v>
      </c>
      <c r="E6772" t="s" s="9">
        <v>2336</v>
      </c>
      <c r="F6772" t="s" s="10">
        <v>158</v>
      </c>
      <c r="G6772" t="s" s="11">
        <v>158</v>
      </c>
      <c r="H6772" t="s" s="10">
        <v>158</v>
      </c>
      <c r="I6772" t="s" s="11">
        <v>158</v>
      </c>
      <c r="J6772" t="s" s="11">
        <v>20</v>
      </c>
      <c r="K6772" s="15"/>
      <c r="L6772" t="s" s="16">
        <f>HYPERLINK("http://csr.bu.edu/ftp/asl/asllvd/demos/verify_start_end_handshape_annotations//test_auto_move//signs_mov_separ_signers/Brady_1508.mov","MOV")</f>
        <v>21</v>
      </c>
      <c r="M6772" t="s" s="10">
        <v>39</v>
      </c>
      <c r="N6772" s="17">
        <v>55</v>
      </c>
      <c r="O6772" s="18">
        <v>5658</v>
      </c>
      <c r="P6772" s="18">
        <v>5718</v>
      </c>
      <c r="Q6772" s="15"/>
      <c r="R6772" t="s" s="16">
        <f>HYPERLINK("http://secrets.rutgers.edu:8080/data/asl-ftp/asllvd/demos/verify_start_end_handshape_annotations//test_auto_move//signs_mov_separ_signers/Brady_1508.mov","MOV")</f>
        <v>21</v>
      </c>
    </row>
    <row r="6773" s="2" customFormat="1" ht="13.5" customHeight="1">
      <c r="B6773" t="s" s="8">
        <v>2337</v>
      </c>
      <c r="C6773" t="s" s="9">
        <v>14</v>
      </c>
      <c r="D6773" t="s" s="8">
        <v>14</v>
      </c>
      <c r="E6773" t="s" s="9">
        <v>14</v>
      </c>
      <c r="F6773" t="s" s="10">
        <v>14</v>
      </c>
      <c r="G6773" t="s" s="11">
        <v>14</v>
      </c>
      <c r="H6773" t="s" s="10">
        <v>14</v>
      </c>
      <c r="I6773" t="s" s="11">
        <v>14</v>
      </c>
      <c r="J6773" t="s" s="11">
        <v>14</v>
      </c>
      <c r="K6773" t="s" s="12">
        <v>14</v>
      </c>
      <c r="L6773" t="s" s="12">
        <v>14</v>
      </c>
      <c r="M6773" t="s" s="10">
        <v>14</v>
      </c>
      <c r="N6773" t="s" s="11">
        <v>14</v>
      </c>
      <c r="O6773" t="s" s="8">
        <v>14</v>
      </c>
      <c r="P6773" t="s" s="8">
        <v>14</v>
      </c>
      <c r="Q6773" t="s" s="12">
        <v>14</v>
      </c>
      <c r="R6773" t="s" s="12">
        <v>14</v>
      </c>
    </row>
    <row r="6774" s="2" customFormat="1" ht="13.5" customHeight="1">
      <c r="B6774" s="13"/>
      <c r="C6774" t="s" s="9">
        <v>16</v>
      </c>
      <c r="D6774" t="s" s="8">
        <v>2337</v>
      </c>
      <c r="E6774" t="s" s="9">
        <v>2337</v>
      </c>
      <c r="F6774" s="19">
        <v>8</v>
      </c>
      <c r="G6774" s="17">
        <v>8</v>
      </c>
      <c r="H6774" s="19">
        <v>8</v>
      </c>
      <c r="I6774" s="17">
        <v>8</v>
      </c>
      <c r="J6774" t="s" s="11">
        <v>20</v>
      </c>
      <c r="K6774" s="15"/>
      <c r="L6774" t="s" s="16">
        <f>HYPERLINK("http://csr.bu.edu/ftp/asl/asllvd/demos/verify_start_end_handshape_annotations//test_auto_move//signs_mov_separ_signers/Liz_1511.mov","MOV")</f>
        <v>21</v>
      </c>
      <c r="M6774" t="s" s="10">
        <v>88</v>
      </c>
      <c r="N6774" s="17">
        <v>2</v>
      </c>
      <c r="O6774" s="18">
        <v>581</v>
      </c>
      <c r="P6774" s="18">
        <v>617</v>
      </c>
      <c r="Q6774" s="15"/>
      <c r="R6774" t="s" s="16">
        <f>HYPERLINK("http://secrets.rutgers.edu:8080/data/asl-ftp/asllvd/demos/verify_start_end_handshape_annotations//test_auto_move//signs_mov_separ_signers/Liz_1511.mov","MOV")</f>
        <v>21</v>
      </c>
    </row>
    <row r="6775" s="2" customFormat="1" ht="13.5" customHeight="1">
      <c r="B6775" s="13"/>
      <c r="C6775" t="s" s="9">
        <v>23</v>
      </c>
      <c r="D6775" t="s" s="8">
        <v>2337</v>
      </c>
      <c r="E6775" t="s" s="9">
        <v>2337</v>
      </c>
      <c r="F6775" s="19">
        <v>8</v>
      </c>
      <c r="G6775" s="17">
        <v>8</v>
      </c>
      <c r="H6775" s="19">
        <v>8</v>
      </c>
      <c r="I6775" s="17">
        <v>8</v>
      </c>
      <c r="J6775" t="s" s="11">
        <v>20</v>
      </c>
      <c r="K6775" t="s" s="16">
        <f>HYPERLINK("http://csr.bu.edu/ftp/asl/asllvd/demos/verify_start_end_handshape_annotations//test_auto_move//signs_mov/1511.mov","MOV")</f>
        <v>21</v>
      </c>
      <c r="L6775" t="s" s="16">
        <f>HYPERLINK("http://csr.bu.edu/ftp/asl/asllvd/demos/verify_start_end_handshape_annotations//test_auto_move//signs_mov_separ_signers/Tyler_1511.mov","MOV")</f>
        <v>21</v>
      </c>
      <c r="M6775" t="s" s="10">
        <v>47</v>
      </c>
      <c r="N6775" s="17">
        <v>12</v>
      </c>
      <c r="O6775" s="18">
        <v>325</v>
      </c>
      <c r="P6775" s="18">
        <v>357</v>
      </c>
      <c r="Q6775" t="s" s="16">
        <f>HYPERLINK("http://secrets.rutgers.edu:8080/data/asl-ftp/asllvd/demos/verify_start_end_handshape_annotations//test_auto_move//signs_mov/1511.mov","MOV")</f>
        <v>21</v>
      </c>
      <c r="R6775" t="s" s="16">
        <f>HYPERLINK("http://secrets.rutgers.edu:8080/data/asl-ftp/asllvd/demos/verify_start_end_handshape_annotations//test_auto_move//signs_mov_separ_signers/Tyler_1511.mov","MOV")</f>
        <v>21</v>
      </c>
    </row>
    <row r="6776" s="2" customFormat="1" ht="13.5" customHeight="1">
      <c r="B6776" s="13"/>
      <c r="C6776" t="s" s="9">
        <v>30</v>
      </c>
      <c r="D6776" t="s" s="8">
        <v>2337</v>
      </c>
      <c r="E6776" t="s" s="9">
        <v>2337</v>
      </c>
      <c r="F6776" s="19">
        <v>8</v>
      </c>
      <c r="G6776" s="17">
        <v>8</v>
      </c>
      <c r="H6776" s="19">
        <v>8</v>
      </c>
      <c r="I6776" s="17">
        <v>8</v>
      </c>
      <c r="J6776" t="s" s="11">
        <v>20</v>
      </c>
      <c r="K6776" s="15"/>
      <c r="L6776" t="s" s="16">
        <f>HYPERLINK("http://csr.bu.edu/ftp/asl/asllvd/demos/verify_start_end_handshape_annotations//test_auto_move//signs_mov_separ_signers/Brady_1511.mov","MOV")</f>
        <v>21</v>
      </c>
      <c r="M6776" t="s" s="10">
        <v>39</v>
      </c>
      <c r="N6776" s="17">
        <v>55</v>
      </c>
      <c r="O6776" s="18">
        <v>6905</v>
      </c>
      <c r="P6776" s="18">
        <v>6933</v>
      </c>
      <c r="Q6776" s="15"/>
      <c r="R6776" t="s" s="16">
        <f>HYPERLINK("http://secrets.rutgers.edu:8080/data/asl-ftp/asllvd/demos/verify_start_end_handshape_annotations//test_auto_move//signs_mov_separ_signers/Brady_1511.mov","MOV")</f>
        <v>21</v>
      </c>
    </row>
    <row r="6777" s="2" customFormat="1" ht="13.5" customHeight="1">
      <c r="B6777" t="s" s="8">
        <v>2338</v>
      </c>
      <c r="C6777" t="s" s="9">
        <v>14</v>
      </c>
      <c r="D6777" t="s" s="8">
        <v>14</v>
      </c>
      <c r="E6777" t="s" s="9">
        <v>14</v>
      </c>
      <c r="F6777" t="s" s="10">
        <v>14</v>
      </c>
      <c r="G6777" t="s" s="11">
        <v>14</v>
      </c>
      <c r="H6777" t="s" s="10">
        <v>14</v>
      </c>
      <c r="I6777" t="s" s="11">
        <v>14</v>
      </c>
      <c r="J6777" t="s" s="11">
        <v>14</v>
      </c>
      <c r="K6777" t="s" s="12">
        <v>14</v>
      </c>
      <c r="L6777" t="s" s="12">
        <v>14</v>
      </c>
      <c r="M6777" t="s" s="10">
        <v>14</v>
      </c>
      <c r="N6777" t="s" s="11">
        <v>14</v>
      </c>
      <c r="O6777" t="s" s="8">
        <v>14</v>
      </c>
      <c r="P6777" t="s" s="8">
        <v>14</v>
      </c>
      <c r="Q6777" t="s" s="12">
        <v>14</v>
      </c>
      <c r="R6777" t="s" s="12">
        <v>14</v>
      </c>
    </row>
    <row r="6778" s="2" customFormat="1" ht="13.5" customHeight="1">
      <c r="B6778" s="13"/>
      <c r="C6778" t="s" s="9">
        <v>16</v>
      </c>
      <c r="D6778" t="s" s="8">
        <v>2338</v>
      </c>
      <c r="E6778" t="s" s="9">
        <v>2339</v>
      </c>
      <c r="F6778" t="s" s="10">
        <v>148</v>
      </c>
      <c r="G6778" t="s" s="11">
        <v>148</v>
      </c>
      <c r="H6778" t="s" s="10">
        <v>119</v>
      </c>
      <c r="I6778" t="s" s="11">
        <v>119</v>
      </c>
      <c r="J6778" t="s" s="11">
        <v>20</v>
      </c>
      <c r="K6778" s="15"/>
      <c r="L6778" t="s" s="16">
        <f>HYPERLINK("http://csr.bu.edu/ftp/asl/asllvd/demos/verify_start_end_handshape_annotations//test_auto_move//signs_mov_separ_signers/Liz_1513.mov","MOV")</f>
        <v>21</v>
      </c>
      <c r="M6778" t="s" s="10">
        <v>88</v>
      </c>
      <c r="N6778" s="17">
        <v>2</v>
      </c>
      <c r="O6778" s="18">
        <v>1035</v>
      </c>
      <c r="P6778" s="18">
        <v>1085</v>
      </c>
      <c r="Q6778" s="15"/>
      <c r="R6778" t="s" s="16">
        <f>HYPERLINK("http://secrets.rutgers.edu:8080/data/asl-ftp/asllvd/demos/verify_start_end_handshape_annotations//test_auto_move//signs_mov_separ_signers/Liz_1513.mov","MOV")</f>
        <v>21</v>
      </c>
    </row>
    <row r="6779" s="2" customFormat="1" ht="13.5" customHeight="1">
      <c r="B6779" s="13"/>
      <c r="C6779" t="s" s="9">
        <v>16</v>
      </c>
      <c r="D6779" t="s" s="8">
        <v>2338</v>
      </c>
      <c r="E6779" t="s" s="9">
        <v>2339</v>
      </c>
      <c r="F6779" t="s" s="10">
        <v>1352</v>
      </c>
      <c r="G6779" t="s" s="11">
        <v>1352</v>
      </c>
      <c r="H6779" t="s" s="10">
        <v>119</v>
      </c>
      <c r="I6779" t="s" s="11">
        <v>119</v>
      </c>
      <c r="J6779" t="s" s="11">
        <v>20</v>
      </c>
      <c r="K6779" s="15"/>
      <c r="L6779" t="s" s="16">
        <f>HYPERLINK("http://csr.bu.edu/ftp/asl/asllvd/demos/verify_start_end_handshape_annotations//test_auto_move//signs_mov_separ_signers/Liz_3380.mov","MOV")</f>
        <v>21</v>
      </c>
      <c r="M6779" t="s" s="10">
        <v>77</v>
      </c>
      <c r="N6779" s="17">
        <v>26</v>
      </c>
      <c r="O6779" s="18">
        <v>1520</v>
      </c>
      <c r="P6779" s="18">
        <v>1585</v>
      </c>
      <c r="Q6779" s="15"/>
      <c r="R6779" t="s" s="16">
        <f>HYPERLINK("http://secrets.rutgers.edu:8080/data/asl-ftp/asllvd/demos/verify_start_end_handshape_annotations//test_auto_move//signs_mov_separ_signers/Liz_3380.mov","MOV")</f>
        <v>21</v>
      </c>
    </row>
    <row r="6780" s="2" customFormat="1" ht="13.5" customHeight="1">
      <c r="B6780" s="13"/>
      <c r="C6780" t="s" s="9">
        <v>23</v>
      </c>
      <c r="D6780" t="s" s="8">
        <v>2338</v>
      </c>
      <c r="E6780" t="s" s="9">
        <v>2340</v>
      </c>
      <c r="F6780" s="19">
        <v>5</v>
      </c>
      <c r="G6780" s="17">
        <v>5</v>
      </c>
      <c r="H6780" t="s" s="10">
        <v>1352</v>
      </c>
      <c r="I6780" t="s" s="11">
        <v>1352</v>
      </c>
      <c r="J6780" t="s" s="11">
        <v>20</v>
      </c>
      <c r="K6780" t="s" s="16">
        <f>HYPERLINK("http://csr.bu.edu/ftp/asl/asllvd/demos/verify_start_end_handshape_annotations//test_auto_move//signs_mov/1513_3380_merged.mov","MOV")</f>
        <v>21</v>
      </c>
      <c r="L6780" t="s" s="16">
        <f>HYPERLINK("http://csr.bu.edu/ftp/asl/asllvd/demos/verify_start_end_handshape_annotations//test_auto_move//signs_mov_separ_signers/Tyler_1513.mov","MOV")</f>
        <v>21</v>
      </c>
      <c r="M6780" t="s" s="10">
        <v>47</v>
      </c>
      <c r="N6780" s="17">
        <v>12</v>
      </c>
      <c r="O6780" s="18">
        <v>750</v>
      </c>
      <c r="P6780" s="18">
        <v>800</v>
      </c>
      <c r="Q6780" t="s" s="16">
        <f>HYPERLINK("http://secrets.rutgers.edu:8080/data/asl-ftp/asllvd/demos/verify_start_end_handshape_annotations//test_auto_move//signs_mov/1513_3380_merged.mov","MOV")</f>
        <v>21</v>
      </c>
      <c r="R6780" t="s" s="16">
        <f>HYPERLINK("http://secrets.rutgers.edu:8080/data/asl-ftp/asllvd/demos/verify_start_end_handshape_annotations//test_auto_move//signs_mov_separ_signers/Tyler_1513.mov","MOV")</f>
        <v>21</v>
      </c>
    </row>
    <row r="6781" s="2" customFormat="1" ht="13.5" customHeight="1">
      <c r="B6781" s="13"/>
      <c r="C6781" t="s" s="9">
        <v>30</v>
      </c>
      <c r="D6781" t="s" s="8">
        <v>2338</v>
      </c>
      <c r="E6781" t="s" s="9">
        <v>2339</v>
      </c>
      <c r="F6781" s="19">
        <v>5</v>
      </c>
      <c r="G6781" s="17">
        <v>5</v>
      </c>
      <c r="H6781" t="s" s="10">
        <v>1352</v>
      </c>
      <c r="I6781" t="s" s="11">
        <v>1352</v>
      </c>
      <c r="J6781" t="s" s="11">
        <v>20</v>
      </c>
      <c r="K6781" s="15"/>
      <c r="L6781" t="s" s="16">
        <f>HYPERLINK("http://csr.bu.edu/ftp/asl/asllvd/demos/verify_start_end_handshape_annotations//test_auto_move//signs_mov_separ_signers/Brady_1513.mov","MOV")</f>
        <v>21</v>
      </c>
      <c r="M6781" t="s" s="10">
        <v>39</v>
      </c>
      <c r="N6781" s="17">
        <v>55</v>
      </c>
      <c r="O6781" s="18">
        <v>8286</v>
      </c>
      <c r="P6781" s="18">
        <v>8311</v>
      </c>
      <c r="Q6781" s="15"/>
      <c r="R6781" t="s" s="16">
        <f>HYPERLINK("http://secrets.rutgers.edu:8080/data/asl-ftp/asllvd/demos/verify_start_end_handshape_annotations//test_auto_move//signs_mov_separ_signers/Brady_1513.mov","MOV")</f>
        <v>21</v>
      </c>
    </row>
    <row r="6782" s="2" customFormat="1" ht="13.5" customHeight="1">
      <c r="B6782" s="13"/>
      <c r="C6782" t="s" s="9">
        <v>41</v>
      </c>
      <c r="D6782" t="s" s="8">
        <v>2338</v>
      </c>
      <c r="E6782" t="s" s="9">
        <v>2339</v>
      </c>
      <c r="F6782" t="s" s="10">
        <v>148</v>
      </c>
      <c r="G6782" t="s" s="11">
        <v>148</v>
      </c>
      <c r="H6782" t="s" s="10">
        <v>119</v>
      </c>
      <c r="I6782" t="s" s="11">
        <v>119</v>
      </c>
      <c r="J6782" t="s" s="11">
        <v>20</v>
      </c>
      <c r="K6782" s="15"/>
      <c r="L6782" t="s" s="16">
        <f>HYPERLINK("http://csr.bu.edu/ftp/asl/asllvd/demos/verify_start_end_handshape_annotations//test_auto_move//signs_mov_separ_signers/Lana_1513.mov","MOV")</f>
        <v>21</v>
      </c>
      <c r="M6782" t="s" s="10">
        <v>42</v>
      </c>
      <c r="N6782" s="17">
        <v>18</v>
      </c>
      <c r="O6782" s="18">
        <v>821</v>
      </c>
      <c r="P6782" s="18">
        <v>842</v>
      </c>
      <c r="Q6782" s="15"/>
      <c r="R6782" t="s" s="16">
        <f>HYPERLINK("http://secrets.rutgers.edu:8080/data/asl-ftp/asllvd/demos/verify_start_end_handshape_annotations//test_auto_move//signs_mov_separ_signers/Lana_1513.mov","MOV")</f>
        <v>21</v>
      </c>
    </row>
    <row r="6783" s="2" customFormat="1" ht="13.5" customHeight="1">
      <c r="B6783" s="13"/>
      <c r="C6783" t="s" s="9">
        <v>43</v>
      </c>
      <c r="D6783" t="s" s="8">
        <v>2338</v>
      </c>
      <c r="E6783" t="s" s="9">
        <v>2339</v>
      </c>
      <c r="F6783" s="19">
        <v>5</v>
      </c>
      <c r="G6783" s="17">
        <v>5</v>
      </c>
      <c r="H6783" t="s" s="10">
        <v>1352</v>
      </c>
      <c r="I6783" t="s" s="11">
        <v>1352</v>
      </c>
      <c r="J6783" t="s" s="11">
        <v>20</v>
      </c>
      <c r="K6783" s="15"/>
      <c r="L6783" t="s" s="16">
        <f>HYPERLINK("http://csr.bu.edu/ftp/asl/asllvd/demos/verify_start_end_handshape_annotations//test_auto_move//signs_mov_separ_signers/Dana_1513.mov","MOV")</f>
        <v>21</v>
      </c>
      <c r="M6783" t="s" s="10">
        <v>44</v>
      </c>
      <c r="N6783" s="17">
        <v>20</v>
      </c>
      <c r="O6783" s="18">
        <v>788</v>
      </c>
      <c r="P6783" s="18">
        <v>841</v>
      </c>
      <c r="Q6783" s="15"/>
      <c r="R6783" t="s" s="16">
        <f>HYPERLINK("http://secrets.rutgers.edu:8080/data/asl-ftp/asllvd/demos/verify_start_end_handshape_annotations//test_auto_move//signs_mov_separ_signers/Dana_1513.mov","MOV")</f>
        <v>21</v>
      </c>
    </row>
    <row r="6784" s="2" customFormat="1" ht="13.5" customHeight="1">
      <c r="B6784" t="s" s="8">
        <v>2341</v>
      </c>
      <c r="C6784" t="s" s="9">
        <v>14</v>
      </c>
      <c r="D6784" t="s" s="8">
        <v>14</v>
      </c>
      <c r="E6784" t="s" s="9">
        <v>14</v>
      </c>
      <c r="F6784" t="s" s="10">
        <v>14</v>
      </c>
      <c r="G6784" t="s" s="11">
        <v>14</v>
      </c>
      <c r="H6784" t="s" s="10">
        <v>14</v>
      </c>
      <c r="I6784" t="s" s="11">
        <v>14</v>
      </c>
      <c r="J6784" t="s" s="11">
        <v>14</v>
      </c>
      <c r="K6784" t="s" s="12">
        <v>14</v>
      </c>
      <c r="L6784" t="s" s="12">
        <v>14</v>
      </c>
      <c r="M6784" t="s" s="10">
        <v>14</v>
      </c>
      <c r="N6784" t="s" s="11">
        <v>14</v>
      </c>
      <c r="O6784" t="s" s="8">
        <v>14</v>
      </c>
      <c r="P6784" t="s" s="8">
        <v>14</v>
      </c>
      <c r="Q6784" t="s" s="12">
        <v>14</v>
      </c>
      <c r="R6784" t="s" s="12">
        <v>14</v>
      </c>
    </row>
    <row r="6785" s="2" customFormat="1" ht="13.5" customHeight="1">
      <c r="B6785" s="13"/>
      <c r="C6785" t="s" s="9">
        <v>16</v>
      </c>
      <c r="D6785" t="s" s="8">
        <v>2341</v>
      </c>
      <c r="E6785" t="s" s="9">
        <v>2341</v>
      </c>
      <c r="F6785" s="19">
        <v>1</v>
      </c>
      <c r="G6785" s="17">
        <v>1</v>
      </c>
      <c r="H6785" s="19">
        <v>1</v>
      </c>
      <c r="I6785" s="17">
        <v>1</v>
      </c>
      <c r="J6785" t="s" s="11">
        <v>20</v>
      </c>
      <c r="K6785" s="15"/>
      <c r="L6785" t="s" s="16">
        <f>HYPERLINK("http://csr.bu.edu/ftp/asl/asllvd/demos/verify_start_end_handshape_annotations//test_auto_move//signs_mov_separ_signers/Liz_1514.mov","MOV")</f>
        <v>21</v>
      </c>
      <c r="M6785" t="s" s="10">
        <v>88</v>
      </c>
      <c r="N6785" s="17">
        <v>2</v>
      </c>
      <c r="O6785" s="18">
        <v>1295</v>
      </c>
      <c r="P6785" s="18">
        <v>1330</v>
      </c>
      <c r="Q6785" s="15"/>
      <c r="R6785" t="s" s="16">
        <f>HYPERLINK("http://secrets.rutgers.edu:8080/data/asl-ftp/asllvd/demos/verify_start_end_handshape_annotations//test_auto_move//signs_mov_separ_signers/Liz_1514.mov","MOV")</f>
        <v>21</v>
      </c>
    </row>
    <row r="6786" s="2" customFormat="1" ht="13.5" customHeight="1">
      <c r="B6786" s="13"/>
      <c r="C6786" t="s" s="9">
        <v>23</v>
      </c>
      <c r="D6786" t="s" s="8">
        <v>2341</v>
      </c>
      <c r="E6786" t="s" s="9">
        <v>2341</v>
      </c>
      <c r="F6786" s="19">
        <v>1</v>
      </c>
      <c r="G6786" s="17">
        <v>1</v>
      </c>
      <c r="H6786" s="19">
        <v>1</v>
      </c>
      <c r="I6786" s="17">
        <v>1</v>
      </c>
      <c r="J6786" t="s" s="11">
        <v>20</v>
      </c>
      <c r="K6786" s="15"/>
      <c r="L6786" t="s" s="16">
        <f>HYPERLINK("http://csr.bu.edu/ftp/asl/asllvd/demos/verify_start_end_handshape_annotations//test_auto_move//signs_mov_separ_signers/Tyler_1514.mov","MOV")</f>
        <v>21</v>
      </c>
      <c r="M6786" t="s" s="10">
        <v>47</v>
      </c>
      <c r="N6786" s="17">
        <v>12</v>
      </c>
      <c r="O6786" s="18">
        <v>952</v>
      </c>
      <c r="P6786" s="18">
        <v>983</v>
      </c>
      <c r="Q6786" s="15"/>
      <c r="R6786" t="s" s="16">
        <f>HYPERLINK("http://secrets.rutgers.edu:8080/data/asl-ftp/asllvd/demos/verify_start_end_handshape_annotations//test_auto_move//signs_mov_separ_signers/Tyler_1514.mov","MOV")</f>
        <v>21</v>
      </c>
    </row>
    <row r="6787" s="2" customFormat="1" ht="13.5" customHeight="1">
      <c r="B6787" s="13"/>
      <c r="C6787" t="s" s="9">
        <v>30</v>
      </c>
      <c r="D6787" t="s" s="8">
        <v>2341</v>
      </c>
      <c r="E6787" t="s" s="9">
        <v>2341</v>
      </c>
      <c r="F6787" s="19">
        <v>1</v>
      </c>
      <c r="G6787" s="17">
        <v>1</v>
      </c>
      <c r="H6787" s="19">
        <v>1</v>
      </c>
      <c r="I6787" s="17">
        <v>1</v>
      </c>
      <c r="J6787" t="s" s="11">
        <v>20</v>
      </c>
      <c r="K6787" t="s" s="16">
        <f>HYPERLINK("http://csr.bu.edu/ftp/asl/asllvd/demos/verify_start_end_handshape_annotations//test_auto_move//signs_mov/1514.mov","MOV")</f>
        <v>21</v>
      </c>
      <c r="L6787" t="s" s="16">
        <f>HYPERLINK("http://csr.bu.edu/ftp/asl/asllvd/demos/verify_start_end_handshape_annotations//test_auto_move//signs_mov_separ_signers/Brady_1514.mov","MOV")</f>
        <v>21</v>
      </c>
      <c r="M6787" t="s" s="10">
        <v>39</v>
      </c>
      <c r="N6787" s="17">
        <v>55</v>
      </c>
      <c r="O6787" s="18">
        <v>7467</v>
      </c>
      <c r="P6787" s="18">
        <v>7484</v>
      </c>
      <c r="Q6787" t="s" s="16">
        <f>HYPERLINK("http://secrets.rutgers.edu:8080/data/asl-ftp/asllvd/demos/verify_start_end_handshape_annotations//test_auto_move//signs_mov/1514.mov","MOV")</f>
        <v>21</v>
      </c>
      <c r="R6787" t="s" s="16">
        <f>HYPERLINK("http://secrets.rutgers.edu:8080/data/asl-ftp/asllvd/demos/verify_start_end_handshape_annotations//test_auto_move//signs_mov_separ_signers/Brady_1514.mov","MOV")</f>
        <v>21</v>
      </c>
    </row>
    <row r="6788" s="2" customFormat="1" ht="13.5" customHeight="1">
      <c r="B6788" s="13"/>
      <c r="C6788" t="s" s="9">
        <v>41</v>
      </c>
      <c r="D6788" t="s" s="8">
        <v>2341</v>
      </c>
      <c r="E6788" t="s" s="9">
        <v>2341</v>
      </c>
      <c r="F6788" s="19">
        <v>1</v>
      </c>
      <c r="G6788" s="17">
        <v>1</v>
      </c>
      <c r="H6788" s="19">
        <v>1</v>
      </c>
      <c r="I6788" s="17">
        <v>1</v>
      </c>
      <c r="J6788" t="s" s="11">
        <v>20</v>
      </c>
      <c r="K6788" s="15"/>
      <c r="L6788" t="s" s="16">
        <f>HYPERLINK("http://csr.bu.edu/ftp/asl/asllvd/demos/verify_start_end_handshape_annotations//test_auto_move//signs_mov_separ_signers/Lana_1514.mov","MOV")</f>
        <v>21</v>
      </c>
      <c r="M6788" t="s" s="10">
        <v>42</v>
      </c>
      <c r="N6788" s="17">
        <v>18</v>
      </c>
      <c r="O6788" s="18">
        <v>544</v>
      </c>
      <c r="P6788" s="18">
        <v>555</v>
      </c>
      <c r="Q6788" s="15"/>
      <c r="R6788" t="s" s="16">
        <f>HYPERLINK("http://secrets.rutgers.edu:8080/data/asl-ftp/asllvd/demos/verify_start_end_handshape_annotations//test_auto_move//signs_mov_separ_signers/Lana_1514.mov","MOV")</f>
        <v>21</v>
      </c>
    </row>
    <row r="6789" s="2" customFormat="1" ht="13.5" customHeight="1">
      <c r="B6789" s="13"/>
      <c r="C6789" t="s" s="9">
        <v>43</v>
      </c>
      <c r="D6789" t="s" s="8">
        <v>2341</v>
      </c>
      <c r="E6789" t="s" s="9">
        <v>2341</v>
      </c>
      <c r="F6789" s="19">
        <v>1</v>
      </c>
      <c r="G6789" s="17">
        <v>1</v>
      </c>
      <c r="H6789" s="19">
        <v>1</v>
      </c>
      <c r="I6789" s="17">
        <v>1</v>
      </c>
      <c r="J6789" t="s" s="11">
        <v>20</v>
      </c>
      <c r="K6789" s="15"/>
      <c r="L6789" t="s" s="16">
        <f>HYPERLINK("http://csr.bu.edu/ftp/asl/asllvd/demos/verify_start_end_handshape_annotations//test_auto_move//signs_mov_separ_signers/Dana_1514.mov","MOV")</f>
        <v>21</v>
      </c>
      <c r="M6789" t="s" s="10">
        <v>44</v>
      </c>
      <c r="N6789" s="17">
        <v>20</v>
      </c>
      <c r="O6789" s="18">
        <v>530</v>
      </c>
      <c r="P6789" s="18">
        <v>570</v>
      </c>
      <c r="Q6789" s="15"/>
      <c r="R6789" t="s" s="16">
        <f>HYPERLINK("http://secrets.rutgers.edu:8080/data/asl-ftp/asllvd/demos/verify_start_end_handshape_annotations//test_auto_move//signs_mov_separ_signers/Dana_1514.mov","MOV")</f>
        <v>21</v>
      </c>
    </row>
    <row r="6790" s="2" customFormat="1" ht="13.5" customHeight="1">
      <c r="B6790" t="s" s="8">
        <v>52</v>
      </c>
      <c r="C6790" t="s" s="9">
        <v>53</v>
      </c>
      <c r="D6790" t="s" s="8">
        <v>53</v>
      </c>
      <c r="E6790" t="s" s="9">
        <v>53</v>
      </c>
      <c r="F6790" t="s" s="10">
        <v>53</v>
      </c>
      <c r="G6790" t="s" s="11">
        <v>53</v>
      </c>
      <c r="H6790" t="s" s="10">
        <v>53</v>
      </c>
      <c r="I6790" t="s" s="11">
        <v>53</v>
      </c>
      <c r="J6790" t="s" s="11">
        <v>53</v>
      </c>
      <c r="K6790" t="s" s="12">
        <v>53</v>
      </c>
      <c r="L6790" t="s" s="12">
        <v>53</v>
      </c>
      <c r="M6790" t="s" s="10">
        <v>53</v>
      </c>
      <c r="N6790" t="s" s="11">
        <v>53</v>
      </c>
      <c r="O6790" t="s" s="8">
        <v>53</v>
      </c>
      <c r="P6790" t="s" s="8">
        <v>53</v>
      </c>
      <c r="Q6790" t="s" s="12">
        <v>53</v>
      </c>
      <c r="R6790" t="s" s="12">
        <v>53</v>
      </c>
    </row>
    <row r="6791" s="2" customFormat="1" ht="13.5" customHeight="1">
      <c r="B6791" s="13"/>
      <c r="C6791" t="s" s="9">
        <v>23</v>
      </c>
      <c r="D6791" t="s" s="8">
        <v>2341</v>
      </c>
      <c r="E6791" t="s" s="9">
        <v>2342</v>
      </c>
      <c r="F6791" s="19">
        <v>1</v>
      </c>
      <c r="G6791" s="17">
        <v>1</v>
      </c>
      <c r="H6791" s="19">
        <v>1</v>
      </c>
      <c r="I6791" s="17">
        <v>1</v>
      </c>
      <c r="J6791" t="s" s="11">
        <v>20</v>
      </c>
      <c r="K6791" t="s" s="16">
        <f>HYPERLINK("http://csr.bu.edu/ftp/asl/asllvd/demos/verify_start_end_handshape_annotations//test_auto_move//signs_mov/3306.mov","MOV")</f>
        <v>21</v>
      </c>
      <c r="L6791" t="s" s="16">
        <f>HYPERLINK("http://csr.bu.edu/ftp/asl/asllvd/demos/verify_start_end_handshape_annotations//test_auto_move//signs_mov_separ_signers/Tyler_3306.mov","MOV")</f>
        <v>21</v>
      </c>
      <c r="M6791" t="s" s="10">
        <v>26</v>
      </c>
      <c r="N6791" s="17">
        <v>13</v>
      </c>
      <c r="O6791" s="18">
        <v>1665</v>
      </c>
      <c r="P6791" s="18">
        <v>1705</v>
      </c>
      <c r="Q6791" t="s" s="16">
        <f>HYPERLINK("http://secrets.rutgers.edu:8080/data/asl-ftp/asllvd/demos/verify_start_end_handshape_annotations//test_auto_move//signs_mov/3306.mov","MOV")</f>
        <v>21</v>
      </c>
      <c r="R6791" t="s" s="16">
        <f>HYPERLINK("http://secrets.rutgers.edu:8080/data/asl-ftp/asllvd/demos/verify_start_end_handshape_annotations//test_auto_move//signs_mov_separ_signers/Tyler_3306.mov","MOV")</f>
        <v>21</v>
      </c>
    </row>
    <row r="6792" s="2" customFormat="1" ht="13.5" customHeight="1">
      <c r="B6792" t="s" s="8">
        <v>2343</v>
      </c>
      <c r="C6792" t="s" s="9">
        <v>14</v>
      </c>
      <c r="D6792" t="s" s="8">
        <v>14</v>
      </c>
      <c r="E6792" t="s" s="9">
        <v>14</v>
      </c>
      <c r="F6792" t="s" s="10">
        <v>14</v>
      </c>
      <c r="G6792" t="s" s="11">
        <v>14</v>
      </c>
      <c r="H6792" t="s" s="10">
        <v>14</v>
      </c>
      <c r="I6792" t="s" s="11">
        <v>14</v>
      </c>
      <c r="J6792" t="s" s="11">
        <v>14</v>
      </c>
      <c r="K6792" t="s" s="12">
        <v>14</v>
      </c>
      <c r="L6792" t="s" s="12">
        <v>14</v>
      </c>
      <c r="M6792" t="s" s="10">
        <v>14</v>
      </c>
      <c r="N6792" t="s" s="11">
        <v>14</v>
      </c>
      <c r="O6792" t="s" s="8">
        <v>14</v>
      </c>
      <c r="P6792" t="s" s="8">
        <v>14</v>
      </c>
      <c r="Q6792" t="s" s="12">
        <v>14</v>
      </c>
      <c r="R6792" t="s" s="12">
        <v>14</v>
      </c>
    </row>
    <row r="6793" s="2" customFormat="1" ht="13.5" customHeight="1">
      <c r="B6793" s="13"/>
      <c r="C6793" t="s" s="9">
        <v>16</v>
      </c>
      <c r="D6793" t="s" s="8">
        <v>2343</v>
      </c>
      <c r="E6793" t="s" s="9">
        <v>2343</v>
      </c>
      <c r="F6793" t="s" s="10">
        <v>85</v>
      </c>
      <c r="G6793" s="14"/>
      <c r="H6793" t="s" s="10">
        <v>85</v>
      </c>
      <c r="I6793" s="14"/>
      <c r="J6793" t="s" s="11">
        <v>20</v>
      </c>
      <c r="K6793" s="15"/>
      <c r="L6793" t="s" s="16">
        <f>HYPERLINK("http://csr.bu.edu/ftp/asl/asllvd/demos/verify_start_end_handshape_annotations//test_auto_move//signs_mov_separ_signers/Liz_1515.mov","MOV")</f>
        <v>21</v>
      </c>
      <c r="M6793" t="s" s="10">
        <v>22</v>
      </c>
      <c r="N6793" s="17">
        <v>56</v>
      </c>
      <c r="O6793" s="18">
        <v>265</v>
      </c>
      <c r="P6793" s="18">
        <v>290</v>
      </c>
      <c r="Q6793" s="15"/>
      <c r="R6793" t="s" s="16">
        <f>HYPERLINK("http://secrets.rutgers.edu:8080/data/asl-ftp/asllvd/demos/verify_start_end_handshape_annotations//test_auto_move//signs_mov_separ_signers/Liz_1515.mov","MOV")</f>
        <v>21</v>
      </c>
    </row>
    <row r="6794" s="2" customFormat="1" ht="13.5" customHeight="1">
      <c r="B6794" s="13"/>
      <c r="C6794" t="s" s="9">
        <v>16</v>
      </c>
      <c r="D6794" t="s" s="8">
        <v>2343</v>
      </c>
      <c r="E6794" t="s" s="9">
        <v>2343</v>
      </c>
      <c r="F6794" t="s" s="10">
        <v>85</v>
      </c>
      <c r="G6794" s="14"/>
      <c r="H6794" t="s" s="10">
        <v>85</v>
      </c>
      <c r="I6794" s="14"/>
      <c r="J6794" t="s" s="11">
        <v>20</v>
      </c>
      <c r="K6794" s="15"/>
      <c r="L6794" t="s" s="16">
        <f>HYPERLINK("http://csr.bu.edu/ftp/asl/asllvd/demos/verify_start_end_handshape_annotations//test_auto_move//signs_mov_separ_signers/Liz_5055.mov","MOV")</f>
        <v>21</v>
      </c>
      <c r="M6794" t="s" s="10">
        <v>88</v>
      </c>
      <c r="N6794" s="17">
        <v>2</v>
      </c>
      <c r="O6794" s="18">
        <v>1590</v>
      </c>
      <c r="P6794" s="18">
        <v>1640</v>
      </c>
      <c r="Q6794" s="15"/>
      <c r="R6794" t="s" s="16">
        <f>HYPERLINK("http://secrets.rutgers.edu:8080/data/asl-ftp/asllvd/demos/verify_start_end_handshape_annotations//test_auto_move//signs_mov_separ_signers/Liz_5055.mov","MOV")</f>
        <v>21</v>
      </c>
    </row>
    <row r="6795" s="2" customFormat="1" ht="13.5" customHeight="1">
      <c r="B6795" s="13"/>
      <c r="C6795" t="s" s="9">
        <v>23</v>
      </c>
      <c r="D6795" t="s" s="8">
        <v>2343</v>
      </c>
      <c r="E6795" t="s" s="9">
        <v>2343</v>
      </c>
      <c r="F6795" t="s" s="10">
        <v>460</v>
      </c>
      <c r="G6795" s="14"/>
      <c r="H6795" t="s" s="10">
        <v>460</v>
      </c>
      <c r="I6795" s="14"/>
      <c r="J6795" t="s" s="11">
        <v>20</v>
      </c>
      <c r="K6795" t="s" s="16">
        <f>HYPERLINK("http://csr.bu.edu/ftp/asl/asllvd/demos/verify_start_end_handshape_annotations//test_auto_move//signs_mov/1515_5055_merged.mov","MOV")</f>
        <v>21</v>
      </c>
      <c r="L6795" t="s" s="16">
        <f>HYPERLINK("http://csr.bu.edu/ftp/asl/asllvd/demos/verify_start_end_handshape_annotations//test_auto_move//signs_mov_separ_signers/Tyler_1515.mov","MOV")</f>
        <v>21</v>
      </c>
      <c r="M6795" t="s" s="10">
        <v>26</v>
      </c>
      <c r="N6795" s="17">
        <v>34</v>
      </c>
      <c r="O6795" s="18">
        <v>2330</v>
      </c>
      <c r="P6795" s="18">
        <v>2361</v>
      </c>
      <c r="Q6795" t="s" s="16">
        <f>HYPERLINK("http://secrets.rutgers.edu:8080/data/asl-ftp/asllvd/demos/verify_start_end_handshape_annotations//test_auto_move//signs_mov/1515_5055_merged.mov","MOV")</f>
        <v>21</v>
      </c>
      <c r="R6795" t="s" s="16">
        <f>HYPERLINK("http://secrets.rutgers.edu:8080/data/asl-ftp/asllvd/demos/verify_start_end_handshape_annotations//test_auto_move//signs_mov_separ_signers/Tyler_1515.mov","MOV")</f>
        <v>21</v>
      </c>
    </row>
    <row r="6796" s="2" customFormat="1" ht="13.5" customHeight="1">
      <c r="B6796" s="13"/>
      <c r="C6796" t="s" s="9">
        <v>30</v>
      </c>
      <c r="D6796" t="s" s="8">
        <v>2343</v>
      </c>
      <c r="E6796" t="s" s="9">
        <v>2343</v>
      </c>
      <c r="F6796" t="s" s="10">
        <v>460</v>
      </c>
      <c r="G6796" s="14"/>
      <c r="H6796" t="s" s="10">
        <v>460</v>
      </c>
      <c r="I6796" s="14"/>
      <c r="J6796" t="s" s="11">
        <v>20</v>
      </c>
      <c r="K6796" s="15"/>
      <c r="L6796" t="s" s="16">
        <f>HYPERLINK("http://csr.bu.edu/ftp/asl/asllvd/demos/verify_start_end_handshape_annotations//test_auto_move//signs_mov_separ_signers/Brady_1515.mov","MOV")</f>
        <v>21</v>
      </c>
      <c r="M6796" t="s" s="10">
        <v>31</v>
      </c>
      <c r="N6796" s="17">
        <v>23</v>
      </c>
      <c r="O6796" s="18">
        <v>9433</v>
      </c>
      <c r="P6796" s="18">
        <v>9450</v>
      </c>
      <c r="Q6796" s="15"/>
      <c r="R6796" t="s" s="16">
        <f>HYPERLINK("http://secrets.rutgers.edu:8080/data/asl-ftp/asllvd/demos/verify_start_end_handshape_annotations//test_auto_move//signs_mov_separ_signers/Brady_1515.mov","MOV")</f>
        <v>21</v>
      </c>
    </row>
    <row r="6797" s="2" customFormat="1" ht="13.5" customHeight="1">
      <c r="B6797" s="13"/>
      <c r="C6797" t="s" s="9">
        <v>30</v>
      </c>
      <c r="D6797" t="s" s="8">
        <v>2343</v>
      </c>
      <c r="E6797" t="s" s="9">
        <v>2343</v>
      </c>
      <c r="F6797" t="s" s="10">
        <v>85</v>
      </c>
      <c r="G6797" s="14"/>
      <c r="H6797" t="s" s="10">
        <v>85</v>
      </c>
      <c r="I6797" s="14"/>
      <c r="J6797" t="s" s="11">
        <v>20</v>
      </c>
      <c r="K6797" s="15"/>
      <c r="L6797" t="s" s="16">
        <f>HYPERLINK("http://csr.bu.edu/ftp/asl/asllvd/demos/verify_start_end_handshape_annotations//test_auto_move//signs_mov_separ_signers/Brady_5055.mov","MOV")</f>
        <v>21</v>
      </c>
      <c r="M6797" t="s" s="10">
        <v>39</v>
      </c>
      <c r="N6797" s="17">
        <v>55</v>
      </c>
      <c r="O6797" s="18">
        <v>7742</v>
      </c>
      <c r="P6797" s="18">
        <v>7765</v>
      </c>
      <c r="Q6797" s="15"/>
      <c r="R6797" t="s" s="16">
        <f>HYPERLINK("http://secrets.rutgers.edu:8080/data/asl-ftp/asllvd/demos/verify_start_end_handshape_annotations//test_auto_move//signs_mov_separ_signers/Brady_5055.mov","MOV")</f>
        <v>21</v>
      </c>
    </row>
    <row r="6798" s="2" customFormat="1" ht="13.5" customHeight="1">
      <c r="B6798" t="s" s="8">
        <v>52</v>
      </c>
      <c r="C6798" t="s" s="9">
        <v>53</v>
      </c>
      <c r="D6798" t="s" s="8">
        <v>53</v>
      </c>
      <c r="E6798" t="s" s="9">
        <v>53</v>
      </c>
      <c r="F6798" t="s" s="10">
        <v>53</v>
      </c>
      <c r="G6798" t="s" s="11">
        <v>53</v>
      </c>
      <c r="H6798" t="s" s="10">
        <v>53</v>
      </c>
      <c r="I6798" t="s" s="11">
        <v>53</v>
      </c>
      <c r="J6798" t="s" s="11">
        <v>53</v>
      </c>
      <c r="K6798" t="s" s="12">
        <v>53</v>
      </c>
      <c r="L6798" t="s" s="12">
        <v>53</v>
      </c>
      <c r="M6798" t="s" s="10">
        <v>53</v>
      </c>
      <c r="N6798" t="s" s="11">
        <v>53</v>
      </c>
      <c r="O6798" t="s" s="8">
        <v>53</v>
      </c>
      <c r="P6798" t="s" s="8">
        <v>53</v>
      </c>
      <c r="Q6798" t="s" s="12">
        <v>53</v>
      </c>
      <c r="R6798" t="s" s="12">
        <v>53</v>
      </c>
    </row>
    <row r="6799" s="2" customFormat="1" ht="13.5" customHeight="1">
      <c r="B6799" s="13"/>
      <c r="C6799" t="s" s="9">
        <v>23</v>
      </c>
      <c r="D6799" t="s" s="8">
        <v>2343</v>
      </c>
      <c r="E6799" t="s" s="9">
        <v>2344</v>
      </c>
      <c r="F6799" t="s" s="10">
        <v>283</v>
      </c>
      <c r="G6799" s="14"/>
      <c r="H6799" t="s" s="10">
        <v>283</v>
      </c>
      <c r="I6799" s="14"/>
      <c r="J6799" t="s" s="11">
        <v>20</v>
      </c>
      <c r="K6799" t="s" s="16">
        <f>HYPERLINK("http://csr.bu.edu/ftp/asl/asllvd/demos/verify_start_end_handshape_annotations//test_auto_move//signs_mov/5257.mov","MOV")</f>
        <v>21</v>
      </c>
      <c r="L6799" t="s" s="16">
        <f>HYPERLINK("http://csr.bu.edu/ftp/asl/asllvd/demos/verify_start_end_handshape_annotations//test_auto_move//signs_mov_separ_signers/Tyler_5257.mov","MOV")</f>
        <v>21</v>
      </c>
      <c r="M6799" t="s" s="10">
        <v>47</v>
      </c>
      <c r="N6799" s="17">
        <v>12</v>
      </c>
      <c r="O6799" s="18">
        <v>1471</v>
      </c>
      <c r="P6799" s="18">
        <v>1506</v>
      </c>
      <c r="Q6799" t="s" s="16">
        <f>HYPERLINK("http://secrets.rutgers.edu:8080/data/asl-ftp/asllvd/demos/verify_start_end_handshape_annotations//test_auto_move//signs_mov/5257.mov","MOV")</f>
        <v>21</v>
      </c>
      <c r="R6799" t="s" s="16">
        <f>HYPERLINK("http://secrets.rutgers.edu:8080/data/asl-ftp/asllvd/demos/verify_start_end_handshape_annotations//test_auto_move//signs_mov_separ_signers/Tyler_5257.mov","MOV")</f>
        <v>21</v>
      </c>
    </row>
    <row r="6800" s="2" customFormat="1" ht="13.5" customHeight="1">
      <c r="B6800" t="s" s="8">
        <v>2345</v>
      </c>
      <c r="C6800" t="s" s="9">
        <v>14</v>
      </c>
      <c r="D6800" t="s" s="8">
        <v>14</v>
      </c>
      <c r="E6800" t="s" s="9">
        <v>14</v>
      </c>
      <c r="F6800" t="s" s="10">
        <v>14</v>
      </c>
      <c r="G6800" t="s" s="11">
        <v>14</v>
      </c>
      <c r="H6800" t="s" s="10">
        <v>14</v>
      </c>
      <c r="I6800" t="s" s="11">
        <v>14</v>
      </c>
      <c r="J6800" t="s" s="11">
        <v>14</v>
      </c>
      <c r="K6800" t="s" s="12">
        <v>14</v>
      </c>
      <c r="L6800" t="s" s="12">
        <v>14</v>
      </c>
      <c r="M6800" t="s" s="10">
        <v>14</v>
      </c>
      <c r="N6800" t="s" s="11">
        <v>14</v>
      </c>
      <c r="O6800" t="s" s="8">
        <v>14</v>
      </c>
      <c r="P6800" t="s" s="8">
        <v>14</v>
      </c>
      <c r="Q6800" t="s" s="12">
        <v>14</v>
      </c>
      <c r="R6800" t="s" s="12">
        <v>14</v>
      </c>
    </row>
    <row r="6801" s="2" customFormat="1" ht="13.5" customHeight="1">
      <c r="B6801" s="13"/>
      <c r="C6801" t="s" s="9">
        <v>16</v>
      </c>
      <c r="D6801" t="s" s="8">
        <v>2345</v>
      </c>
      <c r="E6801" t="s" s="9">
        <v>2345</v>
      </c>
      <c r="F6801" t="s" s="10">
        <v>185</v>
      </c>
      <c r="G6801" s="14"/>
      <c r="H6801" t="s" s="10">
        <v>185</v>
      </c>
      <c r="I6801" s="14"/>
      <c r="J6801" t="s" s="11">
        <v>20</v>
      </c>
      <c r="K6801" s="15"/>
      <c r="L6801" t="s" s="16">
        <f>HYPERLINK("http://csr.bu.edu/ftp/asl/asllvd/demos/verify_start_end_handshape_annotations//test_auto_move//signs_mov_separ_signers/Liz_15700.mov","MOV")</f>
        <v>21</v>
      </c>
      <c r="M6801" t="s" s="10">
        <v>84</v>
      </c>
      <c r="N6801" s="17">
        <v>1</v>
      </c>
      <c r="O6801" s="18">
        <v>800</v>
      </c>
      <c r="P6801" s="18">
        <v>835</v>
      </c>
      <c r="Q6801" s="15"/>
      <c r="R6801" t="s" s="16">
        <f>HYPERLINK("http://secrets.rutgers.edu:8080/data/asl-ftp/asllvd/demos/verify_start_end_handshape_annotations//test_auto_move//signs_mov_separ_signers/Liz_15700.mov","MOV")</f>
        <v>21</v>
      </c>
    </row>
    <row r="6802" s="2" customFormat="1" ht="13.5" customHeight="1">
      <c r="B6802" s="13"/>
      <c r="C6802" t="s" s="9">
        <v>27</v>
      </c>
      <c r="D6802" t="s" s="8">
        <v>2345</v>
      </c>
      <c r="E6802" t="s" s="9">
        <v>2345</v>
      </c>
      <c r="F6802" t="s" s="10">
        <v>185</v>
      </c>
      <c r="G6802" s="14"/>
      <c r="H6802" t="s" s="10">
        <v>185</v>
      </c>
      <c r="I6802" s="14"/>
      <c r="J6802" t="s" s="11">
        <v>20</v>
      </c>
      <c r="K6802" t="s" s="16">
        <f>HYPERLINK("http://csr.bu.edu/ftp/asl/asllvd/demos/verify_start_end_handshape_annotations//test_auto_move//signs_mov/15700.mov","MOV")</f>
        <v>21</v>
      </c>
      <c r="L6802" t="s" s="16">
        <f>HYPERLINK("http://csr.bu.edu/ftp/asl/asllvd/demos/verify_start_end_handshape_annotations//test_auto_move//signs_mov_separ_signers/Naomi_15700.mov","MOV")</f>
        <v>21</v>
      </c>
      <c r="M6802" t="s" s="10">
        <v>86</v>
      </c>
      <c r="N6802" s="17">
        <v>1</v>
      </c>
      <c r="O6802" s="18">
        <v>1161</v>
      </c>
      <c r="P6802" s="18">
        <v>1200</v>
      </c>
      <c r="Q6802" t="s" s="16">
        <f>HYPERLINK("http://secrets.rutgers.edu:8080/data/asl-ftp/asllvd/demos/verify_start_end_handshape_annotations//test_auto_move//signs_mov/15700.mov","MOV")</f>
        <v>21</v>
      </c>
      <c r="R6802" t="s" s="16">
        <f>HYPERLINK("http://secrets.rutgers.edu:8080/data/asl-ftp/asllvd/demos/verify_start_end_handshape_annotations//test_auto_move//signs_mov_separ_signers/Naomi_15700.mov","MOV")</f>
        <v>21</v>
      </c>
    </row>
    <row r="6803" s="2" customFormat="1" ht="13.5" customHeight="1">
      <c r="B6803" s="13"/>
      <c r="C6803" t="s" s="9">
        <v>30</v>
      </c>
      <c r="D6803" t="s" s="8">
        <v>2345</v>
      </c>
      <c r="E6803" t="s" s="9">
        <v>2345</v>
      </c>
      <c r="F6803" t="s" s="10">
        <v>185</v>
      </c>
      <c r="G6803" s="14"/>
      <c r="H6803" t="s" s="10">
        <v>185</v>
      </c>
      <c r="I6803" s="14"/>
      <c r="J6803" t="s" s="11">
        <v>20</v>
      </c>
      <c r="K6803" s="15"/>
      <c r="L6803" t="s" s="16">
        <f>HYPERLINK("http://csr.bu.edu/ftp/asl/asllvd/demos/verify_start_end_handshape_annotations//test_auto_move//signs_mov_separ_signers/Brady_15700.mov","MOV")</f>
        <v>21</v>
      </c>
      <c r="M6803" t="s" s="10">
        <v>31</v>
      </c>
      <c r="N6803" s="17">
        <v>29</v>
      </c>
      <c r="O6803" s="18">
        <v>2488</v>
      </c>
      <c r="P6803" s="18">
        <v>2514</v>
      </c>
      <c r="Q6803" s="15"/>
      <c r="R6803" t="s" s="16">
        <f>HYPERLINK("http://secrets.rutgers.edu:8080/data/asl-ftp/asllvd/demos/verify_start_end_handshape_annotations//test_auto_move//signs_mov_separ_signers/Brady_15700.mov","MOV")</f>
        <v>21</v>
      </c>
    </row>
    <row r="6804" s="2" customFormat="1" ht="13.5" customHeight="1">
      <c r="B6804" t="s" s="8">
        <v>2346</v>
      </c>
      <c r="C6804" t="s" s="9">
        <v>14</v>
      </c>
      <c r="D6804" t="s" s="8">
        <v>14</v>
      </c>
      <c r="E6804" t="s" s="9">
        <v>14</v>
      </c>
      <c r="F6804" t="s" s="10">
        <v>14</v>
      </c>
      <c r="G6804" t="s" s="11">
        <v>14</v>
      </c>
      <c r="H6804" t="s" s="10">
        <v>14</v>
      </c>
      <c r="I6804" t="s" s="11">
        <v>14</v>
      </c>
      <c r="J6804" t="s" s="11">
        <v>14</v>
      </c>
      <c r="K6804" t="s" s="12">
        <v>14</v>
      </c>
      <c r="L6804" t="s" s="12">
        <v>14</v>
      </c>
      <c r="M6804" t="s" s="10">
        <v>14</v>
      </c>
      <c r="N6804" t="s" s="11">
        <v>14</v>
      </c>
      <c r="O6804" t="s" s="8">
        <v>14</v>
      </c>
      <c r="P6804" t="s" s="8">
        <v>14</v>
      </c>
      <c r="Q6804" t="s" s="12">
        <v>14</v>
      </c>
      <c r="R6804" t="s" s="12">
        <v>14</v>
      </c>
    </row>
    <row r="6805" s="2" customFormat="1" ht="13.5" customHeight="1">
      <c r="B6805" s="13"/>
      <c r="C6805" t="s" s="9">
        <v>16</v>
      </c>
      <c r="D6805" t="s" s="8">
        <v>2346</v>
      </c>
      <c r="E6805" t="s" s="9">
        <v>2346</v>
      </c>
      <c r="F6805" t="s" s="10">
        <v>25</v>
      </c>
      <c r="G6805" s="14"/>
      <c r="H6805" t="s" s="10">
        <v>25</v>
      </c>
      <c r="I6805" s="14"/>
      <c r="J6805" t="s" s="11">
        <v>20</v>
      </c>
      <c r="K6805" s="15"/>
      <c r="L6805" t="s" s="16">
        <f>HYPERLINK("http://csr.bu.edu/ftp/asl/asllvd/demos/verify_start_end_handshape_annotations//test_auto_move//signs_mov_separ_signers/Liz_15748.mov","MOV")</f>
        <v>21</v>
      </c>
      <c r="M6805" t="s" s="10">
        <v>34</v>
      </c>
      <c r="N6805" s="17">
        <v>46</v>
      </c>
      <c r="O6805" s="18">
        <v>560</v>
      </c>
      <c r="P6805" s="18">
        <v>600</v>
      </c>
      <c r="Q6805" s="15"/>
      <c r="R6805" t="s" s="16">
        <f>HYPERLINK("http://secrets.rutgers.edu:8080/data/asl-ftp/asllvd/demos/verify_start_end_handshape_annotations//test_auto_move//signs_mov_separ_signers/Liz_15748.mov","MOV")</f>
        <v>21</v>
      </c>
    </row>
    <row r="6806" s="2" customFormat="1" ht="13.5" customHeight="1">
      <c r="B6806" s="13"/>
      <c r="C6806" t="s" s="9">
        <v>27</v>
      </c>
      <c r="D6806" t="s" s="8">
        <v>2346</v>
      </c>
      <c r="E6806" t="s" s="9">
        <v>2346</v>
      </c>
      <c r="F6806" t="s" s="10">
        <v>25</v>
      </c>
      <c r="G6806" s="14"/>
      <c r="H6806" t="s" s="10">
        <v>25</v>
      </c>
      <c r="I6806" s="14"/>
      <c r="J6806" t="s" s="11">
        <v>20</v>
      </c>
      <c r="K6806" t="s" s="16">
        <f>HYPERLINK("http://csr.bu.edu/ftp/asl/asllvd/demos/verify_start_end_handshape_annotations//test_auto_move//signs_mov/15748.mov","MOV")</f>
        <v>21</v>
      </c>
      <c r="L6806" t="s" s="16">
        <f>HYPERLINK("http://csr.bu.edu/ftp/asl/asllvd/demos/verify_start_end_handshape_annotations//test_auto_move//signs_mov_separ_signers/Naomi_15748.mov","MOV")</f>
        <v>21</v>
      </c>
      <c r="M6806" t="s" s="10">
        <v>48</v>
      </c>
      <c r="N6806" s="17">
        <v>2</v>
      </c>
      <c r="O6806" s="18">
        <v>310</v>
      </c>
      <c r="P6806" s="18">
        <v>340</v>
      </c>
      <c r="Q6806" t="s" s="16">
        <f>HYPERLINK("http://secrets.rutgers.edu:8080/data/asl-ftp/asllvd/demos/verify_start_end_handshape_annotations//test_auto_move//signs_mov/15748.mov","MOV")</f>
        <v>21</v>
      </c>
      <c r="R6806" t="s" s="16">
        <f>HYPERLINK("http://secrets.rutgers.edu:8080/data/asl-ftp/asllvd/demos/verify_start_end_handshape_annotations//test_auto_move//signs_mov_separ_signers/Naomi_15748.mov","MOV")</f>
        <v>21</v>
      </c>
    </row>
    <row r="6807" s="2" customFormat="1" ht="13.5" customHeight="1">
      <c r="B6807" s="13"/>
      <c r="C6807" t="s" s="9">
        <v>30</v>
      </c>
      <c r="D6807" t="s" s="8">
        <v>2346</v>
      </c>
      <c r="E6807" t="s" s="9">
        <v>2346</v>
      </c>
      <c r="F6807" t="s" s="10">
        <v>25</v>
      </c>
      <c r="G6807" s="14"/>
      <c r="H6807" t="s" s="10">
        <v>25</v>
      </c>
      <c r="I6807" s="14"/>
      <c r="J6807" t="s" s="11">
        <v>20</v>
      </c>
      <c r="K6807" s="15"/>
      <c r="L6807" t="s" s="16">
        <f>HYPERLINK("http://csr.bu.edu/ftp/asl/asllvd/demos/verify_start_end_handshape_annotations//test_auto_move//signs_mov_separ_signers/Brady_15748.mov","MOV")</f>
        <v>21</v>
      </c>
      <c r="M6807" t="s" s="10">
        <v>39</v>
      </c>
      <c r="N6807" s="17">
        <v>48</v>
      </c>
      <c r="O6807" s="18">
        <v>1196</v>
      </c>
      <c r="P6807" s="18">
        <v>1217</v>
      </c>
      <c r="Q6807" s="15"/>
      <c r="R6807" t="s" s="16">
        <f>HYPERLINK("http://secrets.rutgers.edu:8080/data/asl-ftp/asllvd/demos/verify_start_end_handshape_annotations//test_auto_move//signs_mov_separ_signers/Brady_15748.mov","MOV")</f>
        <v>21</v>
      </c>
    </row>
    <row r="6808" s="2" customFormat="1" ht="13.5" customHeight="1">
      <c r="B6808" t="s" s="8">
        <v>2347</v>
      </c>
      <c r="C6808" t="s" s="9">
        <v>14</v>
      </c>
      <c r="D6808" t="s" s="8">
        <v>14</v>
      </c>
      <c r="E6808" t="s" s="9">
        <v>14</v>
      </c>
      <c r="F6808" t="s" s="10">
        <v>14</v>
      </c>
      <c r="G6808" t="s" s="11">
        <v>14</v>
      </c>
      <c r="H6808" t="s" s="10">
        <v>14</v>
      </c>
      <c r="I6808" t="s" s="11">
        <v>14</v>
      </c>
      <c r="J6808" t="s" s="11">
        <v>14</v>
      </c>
      <c r="K6808" t="s" s="12">
        <v>14</v>
      </c>
      <c r="L6808" t="s" s="12">
        <v>14</v>
      </c>
      <c r="M6808" t="s" s="10">
        <v>14</v>
      </c>
      <c r="N6808" t="s" s="11">
        <v>14</v>
      </c>
      <c r="O6808" t="s" s="8">
        <v>14</v>
      </c>
      <c r="P6808" t="s" s="8">
        <v>14</v>
      </c>
      <c r="Q6808" t="s" s="12">
        <v>14</v>
      </c>
      <c r="R6808" t="s" s="12">
        <v>14</v>
      </c>
    </row>
    <row r="6809" s="2" customFormat="1" ht="13.5" customHeight="1">
      <c r="B6809" s="13"/>
      <c r="C6809" t="s" s="9">
        <v>16</v>
      </c>
      <c r="D6809" t="s" s="8">
        <v>2347</v>
      </c>
      <c r="E6809" t="s" s="9">
        <v>2347</v>
      </c>
      <c r="F6809" t="s" s="10">
        <v>68</v>
      </c>
      <c r="G6809" s="14"/>
      <c r="H6809" t="s" s="10">
        <v>68</v>
      </c>
      <c r="I6809" s="14"/>
      <c r="J6809" t="s" s="11">
        <v>20</v>
      </c>
      <c r="K6809" t="s" s="16">
        <f>HYPERLINK("http://csr.bu.edu/ftp/asl/asllvd/demos/verify_start_end_handshape_annotations//test_auto_move//signs_mov/15766.mov","MOV")</f>
        <v>21</v>
      </c>
      <c r="L6809" t="s" s="16">
        <f>HYPERLINK("http://csr.bu.edu/ftp/asl/asllvd/demos/verify_start_end_handshape_annotations//test_auto_move//signs_mov_separ_signers/Liz_15766.mov","MOV")</f>
        <v>21</v>
      </c>
      <c r="M6809" t="s" s="10">
        <v>36</v>
      </c>
      <c r="N6809" s="17">
        <v>26</v>
      </c>
      <c r="O6809" s="18">
        <v>422</v>
      </c>
      <c r="P6809" s="18">
        <v>455</v>
      </c>
      <c r="Q6809" t="s" s="16">
        <f>HYPERLINK("http://secrets.rutgers.edu:8080/data/asl-ftp/asllvd/demos/verify_start_end_handshape_annotations//test_auto_move//signs_mov/15766.mov","MOV")</f>
        <v>21</v>
      </c>
      <c r="R6809" t="s" s="16">
        <f>HYPERLINK("http://secrets.rutgers.edu:8080/data/asl-ftp/asllvd/demos/verify_start_end_handshape_annotations//test_auto_move//signs_mov_separ_signers/Liz_15766.mov","MOV")</f>
        <v>21</v>
      </c>
    </row>
    <row r="6810" s="2" customFormat="1" ht="13.5" customHeight="1">
      <c r="B6810" s="13"/>
      <c r="C6810" t="s" s="9">
        <v>30</v>
      </c>
      <c r="D6810" t="s" s="8">
        <v>2347</v>
      </c>
      <c r="E6810" t="s" s="9">
        <v>2347</v>
      </c>
      <c r="F6810" t="s" s="10">
        <v>68</v>
      </c>
      <c r="G6810" s="14"/>
      <c r="H6810" t="s" s="10">
        <v>68</v>
      </c>
      <c r="I6810" s="14"/>
      <c r="J6810" t="s" s="11">
        <v>20</v>
      </c>
      <c r="K6810" s="15"/>
      <c r="L6810" t="s" s="16">
        <f>HYPERLINK("http://csr.bu.edu/ftp/asl/asllvd/demos/verify_start_end_handshape_annotations//test_auto_move//signs_mov_separ_signers/Brady_15766.mov","MOV")</f>
        <v>21</v>
      </c>
      <c r="M6810" t="s" s="10">
        <v>40</v>
      </c>
      <c r="N6810" s="17">
        <v>76</v>
      </c>
      <c r="O6810" s="18">
        <v>1334</v>
      </c>
      <c r="P6810" s="18">
        <v>1362</v>
      </c>
      <c r="Q6810" s="15"/>
      <c r="R6810" t="s" s="16">
        <f>HYPERLINK("http://secrets.rutgers.edu:8080/data/asl-ftp/asllvd/demos/verify_start_end_handshape_annotations//test_auto_move//signs_mov_separ_signers/Brady_15766.mov","MOV")</f>
        <v>21</v>
      </c>
    </row>
    <row r="6811" s="2" customFormat="1" ht="13.5" customHeight="1">
      <c r="B6811" t="s" s="8">
        <v>2348</v>
      </c>
      <c r="C6811" t="s" s="9">
        <v>14</v>
      </c>
      <c r="D6811" t="s" s="8">
        <v>14</v>
      </c>
      <c r="E6811" t="s" s="9">
        <v>14</v>
      </c>
      <c r="F6811" t="s" s="10">
        <v>14</v>
      </c>
      <c r="G6811" t="s" s="11">
        <v>14</v>
      </c>
      <c r="H6811" t="s" s="10">
        <v>14</v>
      </c>
      <c r="I6811" t="s" s="11">
        <v>14</v>
      </c>
      <c r="J6811" t="s" s="11">
        <v>14</v>
      </c>
      <c r="K6811" t="s" s="12">
        <v>14</v>
      </c>
      <c r="L6811" t="s" s="12">
        <v>14</v>
      </c>
      <c r="M6811" t="s" s="10">
        <v>14</v>
      </c>
      <c r="N6811" t="s" s="11">
        <v>14</v>
      </c>
      <c r="O6811" t="s" s="8">
        <v>14</v>
      </c>
      <c r="P6811" t="s" s="8">
        <v>14</v>
      </c>
      <c r="Q6811" t="s" s="12">
        <v>14</v>
      </c>
      <c r="R6811" t="s" s="12">
        <v>14</v>
      </c>
    </row>
    <row r="6812" s="2" customFormat="1" ht="13.5" customHeight="1">
      <c r="B6812" s="13"/>
      <c r="C6812" t="s" s="9">
        <v>16</v>
      </c>
      <c r="D6812" t="s" s="8">
        <v>2348</v>
      </c>
      <c r="E6812" t="s" s="9">
        <v>2348</v>
      </c>
      <c r="F6812" t="s" s="10">
        <v>282</v>
      </c>
      <c r="G6812" s="14"/>
      <c r="H6812" t="s" s="10">
        <v>282</v>
      </c>
      <c r="I6812" s="14"/>
      <c r="J6812" t="s" s="11">
        <v>20</v>
      </c>
      <c r="K6812" t="s" s="16">
        <f>HYPERLINK("http://csr.bu.edu/ftp/asl/asllvd/demos/verify_start_end_handshape_annotations//test_auto_move//signs_mov/15791.mov","MOV")</f>
        <v>21</v>
      </c>
      <c r="L6812" t="s" s="16">
        <f>HYPERLINK("http://csr.bu.edu/ftp/asl/asllvd/demos/verify_start_end_handshape_annotations//test_auto_move//signs_mov_separ_signers/Liz_15791.mov","MOV")</f>
        <v>21</v>
      </c>
      <c r="M6812" t="s" s="10">
        <v>77</v>
      </c>
      <c r="N6812" s="17">
        <v>27</v>
      </c>
      <c r="O6812" s="18">
        <v>1550</v>
      </c>
      <c r="P6812" s="18">
        <v>1596</v>
      </c>
      <c r="Q6812" t="s" s="16">
        <f>HYPERLINK("http://secrets.rutgers.edu:8080/data/asl-ftp/asllvd/demos/verify_start_end_handshape_annotations//test_auto_move//signs_mov/15791.mov","MOV")</f>
        <v>21</v>
      </c>
      <c r="R6812" t="s" s="16">
        <f>HYPERLINK("http://secrets.rutgers.edu:8080/data/asl-ftp/asllvd/demos/verify_start_end_handshape_annotations//test_auto_move//signs_mov_separ_signers/Liz_15791.mov","MOV")</f>
        <v>21</v>
      </c>
    </row>
    <row r="6813" s="2" customFormat="1" ht="13.5" customHeight="1">
      <c r="B6813" s="13"/>
      <c r="C6813" t="s" s="9">
        <v>30</v>
      </c>
      <c r="D6813" t="s" s="8">
        <v>2348</v>
      </c>
      <c r="E6813" t="s" s="9">
        <v>2348</v>
      </c>
      <c r="F6813" t="s" s="10">
        <v>282</v>
      </c>
      <c r="G6813" s="14"/>
      <c r="H6813" t="s" s="10">
        <v>282</v>
      </c>
      <c r="I6813" s="14"/>
      <c r="J6813" t="s" s="11">
        <v>20</v>
      </c>
      <c r="K6813" s="15"/>
      <c r="L6813" t="s" s="16">
        <f>HYPERLINK("http://csr.bu.edu/ftp/asl/asllvd/demos/verify_start_end_handshape_annotations//test_auto_move//signs_mov_separ_signers/Brady_15791.mov","MOV")</f>
        <v>21</v>
      </c>
      <c r="M6813" t="s" s="10">
        <v>39</v>
      </c>
      <c r="N6813" s="17">
        <v>15</v>
      </c>
      <c r="O6813" s="18">
        <v>5390</v>
      </c>
      <c r="P6813" s="18">
        <v>5415</v>
      </c>
      <c r="Q6813" s="15"/>
      <c r="R6813" t="s" s="16">
        <f>HYPERLINK("http://secrets.rutgers.edu:8080/data/asl-ftp/asllvd/demos/verify_start_end_handshape_annotations//test_auto_move//signs_mov_separ_signers/Brady_15791.mov","MOV")</f>
        <v>21</v>
      </c>
    </row>
    <row r="6814" s="2" customFormat="1" ht="13.5" customHeight="1">
      <c r="B6814" t="s" s="8">
        <v>2349</v>
      </c>
      <c r="C6814" t="s" s="9">
        <v>14</v>
      </c>
      <c r="D6814" t="s" s="8">
        <v>14</v>
      </c>
      <c r="E6814" t="s" s="9">
        <v>14</v>
      </c>
      <c r="F6814" t="s" s="10">
        <v>14</v>
      </c>
      <c r="G6814" t="s" s="11">
        <v>14</v>
      </c>
      <c r="H6814" t="s" s="10">
        <v>14</v>
      </c>
      <c r="I6814" t="s" s="11">
        <v>14</v>
      </c>
      <c r="J6814" t="s" s="11">
        <v>14</v>
      </c>
      <c r="K6814" t="s" s="12">
        <v>14</v>
      </c>
      <c r="L6814" t="s" s="12">
        <v>14</v>
      </c>
      <c r="M6814" t="s" s="10">
        <v>14</v>
      </c>
      <c r="N6814" t="s" s="11">
        <v>14</v>
      </c>
      <c r="O6814" t="s" s="8">
        <v>14</v>
      </c>
      <c r="P6814" t="s" s="8">
        <v>14</v>
      </c>
      <c r="Q6814" t="s" s="12">
        <v>14</v>
      </c>
      <c r="R6814" t="s" s="12">
        <v>14</v>
      </c>
    </row>
    <row r="6815" s="2" customFormat="1" ht="13.5" customHeight="1">
      <c r="B6815" s="13"/>
      <c r="C6815" t="s" s="9">
        <v>16</v>
      </c>
      <c r="D6815" t="s" s="8">
        <v>2349</v>
      </c>
      <c r="E6815" t="s" s="9">
        <v>2349</v>
      </c>
      <c r="F6815" s="19">
        <v>5</v>
      </c>
      <c r="G6815" s="14"/>
      <c r="H6815" t="s" s="10">
        <v>68</v>
      </c>
      <c r="I6815" s="14"/>
      <c r="J6815" t="s" s="11">
        <v>20</v>
      </c>
      <c r="K6815" s="15"/>
      <c r="L6815" t="s" s="16">
        <f>HYPERLINK("http://csr.bu.edu/ftp/asl/asllvd/demos/verify_start_end_handshape_annotations//test_auto_move//signs_mov_separ_signers/Liz_1516.mov","MOV")</f>
        <v>21</v>
      </c>
      <c r="M6815" t="s" s="10">
        <v>88</v>
      </c>
      <c r="N6815" s="17">
        <v>2</v>
      </c>
      <c r="O6815" s="18">
        <v>1830</v>
      </c>
      <c r="P6815" s="18">
        <v>1881</v>
      </c>
      <c r="Q6815" s="15"/>
      <c r="R6815" t="s" s="16">
        <f>HYPERLINK("http://secrets.rutgers.edu:8080/data/asl-ftp/asllvd/demos/verify_start_end_handshape_annotations//test_auto_move//signs_mov_separ_signers/Liz_1516.mov","MOV")</f>
        <v>21</v>
      </c>
    </row>
    <row r="6816" s="2" customFormat="1" ht="13.5" customHeight="1">
      <c r="B6816" s="13"/>
      <c r="C6816" t="s" s="9">
        <v>23</v>
      </c>
      <c r="D6816" t="s" s="8">
        <v>2349</v>
      </c>
      <c r="E6816" t="s" s="9">
        <v>2349</v>
      </c>
      <c r="F6816" s="19">
        <v>5</v>
      </c>
      <c r="G6816" s="14"/>
      <c r="H6816" t="s" s="10">
        <v>68</v>
      </c>
      <c r="I6816" s="14"/>
      <c r="J6816" t="s" s="11">
        <v>20</v>
      </c>
      <c r="K6816" t="s" s="16">
        <f>HYPERLINK("http://csr.bu.edu/ftp/asl/asllvd/demos/verify_start_end_handshape_annotations//test_auto_move//signs_mov/1516.mov","MOV")</f>
        <v>21</v>
      </c>
      <c r="L6816" t="s" s="16">
        <f>HYPERLINK("http://csr.bu.edu/ftp/asl/asllvd/demos/verify_start_end_handshape_annotations//test_auto_move//signs_mov_separ_signers/Tyler_1516.mov","MOV")</f>
        <v>21</v>
      </c>
      <c r="M6816" t="s" s="10">
        <v>47</v>
      </c>
      <c r="N6816" s="17">
        <v>12</v>
      </c>
      <c r="O6816" s="18">
        <v>1870</v>
      </c>
      <c r="P6816" s="18">
        <v>1902</v>
      </c>
      <c r="Q6816" t="s" s="16">
        <f>HYPERLINK("http://secrets.rutgers.edu:8080/data/asl-ftp/asllvd/demos/verify_start_end_handshape_annotations//test_auto_move//signs_mov/1516.mov","MOV")</f>
        <v>21</v>
      </c>
      <c r="R6816" t="s" s="16">
        <f>HYPERLINK("http://secrets.rutgers.edu:8080/data/asl-ftp/asllvd/demos/verify_start_end_handshape_annotations//test_auto_move//signs_mov_separ_signers/Tyler_1516.mov","MOV")</f>
        <v>21</v>
      </c>
    </row>
    <row r="6817" s="2" customFormat="1" ht="13.5" customHeight="1">
      <c r="B6817" s="13"/>
      <c r="C6817" t="s" s="9">
        <v>30</v>
      </c>
      <c r="D6817" t="s" s="8">
        <v>2349</v>
      </c>
      <c r="E6817" t="s" s="9">
        <v>2349</v>
      </c>
      <c r="F6817" s="19">
        <v>5</v>
      </c>
      <c r="G6817" s="14"/>
      <c r="H6817" t="s" s="10">
        <v>68</v>
      </c>
      <c r="I6817" s="14"/>
      <c r="J6817" t="s" s="11">
        <v>20</v>
      </c>
      <c r="K6817" s="15"/>
      <c r="L6817" t="s" s="16">
        <f>HYPERLINK("http://csr.bu.edu/ftp/asl/asllvd/demos/verify_start_end_handshape_annotations//test_auto_move//signs_mov_separ_signers/Brady_1516.mov","MOV")</f>
        <v>21</v>
      </c>
      <c r="M6817" t="s" s="10">
        <v>39</v>
      </c>
      <c r="N6817" s="17">
        <v>55</v>
      </c>
      <c r="O6817" s="18">
        <v>8950</v>
      </c>
      <c r="P6817" s="18">
        <v>8977</v>
      </c>
      <c r="Q6817" s="15"/>
      <c r="R6817" t="s" s="16">
        <f>HYPERLINK("http://secrets.rutgers.edu:8080/data/asl-ftp/asllvd/demos/verify_start_end_handshape_annotations//test_auto_move//signs_mov_separ_signers/Brady_1516.mov","MOV")</f>
        <v>21</v>
      </c>
    </row>
    <row r="6818" s="2" customFormat="1" ht="13.5" customHeight="1">
      <c r="B6818" t="s" s="8">
        <v>2350</v>
      </c>
      <c r="C6818" t="s" s="9">
        <v>14</v>
      </c>
      <c r="D6818" t="s" s="8">
        <v>14</v>
      </c>
      <c r="E6818" t="s" s="9">
        <v>14</v>
      </c>
      <c r="F6818" t="s" s="10">
        <v>14</v>
      </c>
      <c r="G6818" t="s" s="11">
        <v>14</v>
      </c>
      <c r="H6818" t="s" s="10">
        <v>14</v>
      </c>
      <c r="I6818" t="s" s="11">
        <v>14</v>
      </c>
      <c r="J6818" t="s" s="11">
        <v>14</v>
      </c>
      <c r="K6818" t="s" s="12">
        <v>14</v>
      </c>
      <c r="L6818" t="s" s="12">
        <v>14</v>
      </c>
      <c r="M6818" t="s" s="10">
        <v>14</v>
      </c>
      <c r="N6818" t="s" s="11">
        <v>14</v>
      </c>
      <c r="O6818" t="s" s="8">
        <v>14</v>
      </c>
      <c r="P6818" t="s" s="8">
        <v>14</v>
      </c>
      <c r="Q6818" t="s" s="12">
        <v>14</v>
      </c>
      <c r="R6818" t="s" s="12">
        <v>14</v>
      </c>
    </row>
    <row r="6819" s="2" customFormat="1" ht="13.5" customHeight="1">
      <c r="B6819" s="13"/>
      <c r="C6819" t="s" s="9">
        <v>16</v>
      </c>
      <c r="D6819" t="s" s="8">
        <v>2350</v>
      </c>
      <c r="E6819" t="s" s="9">
        <v>2351</v>
      </c>
      <c r="F6819" t="s" s="10">
        <v>63</v>
      </c>
      <c r="G6819" s="14"/>
      <c r="H6819" t="s" s="10">
        <v>63</v>
      </c>
      <c r="I6819" s="14"/>
      <c r="J6819" t="s" s="11">
        <v>20</v>
      </c>
      <c r="K6819" t="s" s="16">
        <f>HYPERLINK("http://csr.bu.edu/ftp/asl/asllvd/demos/verify_start_end_handshape_annotations//test_auto_move//signs_mov/1517.mov","MOV")</f>
        <v>21</v>
      </c>
      <c r="L6819" t="s" s="16">
        <f>HYPERLINK("http://csr.bu.edu/ftp/asl/asllvd/demos/verify_start_end_handshape_annotations//test_auto_move//signs_mov_separ_signers/Liz_1517.mov","MOV")</f>
        <v>21</v>
      </c>
      <c r="M6819" t="s" s="10">
        <v>88</v>
      </c>
      <c r="N6819" s="17">
        <v>2</v>
      </c>
      <c r="O6819" s="18">
        <v>2605</v>
      </c>
      <c r="P6819" s="18">
        <v>2650</v>
      </c>
      <c r="Q6819" t="s" s="16">
        <f>HYPERLINK("http://secrets.rutgers.edu:8080/data/asl-ftp/asllvd/demos/verify_start_end_handshape_annotations//test_auto_move//signs_mov/1517.mov","MOV")</f>
        <v>21</v>
      </c>
      <c r="R6819" t="s" s="16">
        <f>HYPERLINK("http://secrets.rutgers.edu:8080/data/asl-ftp/asllvd/demos/verify_start_end_handshape_annotations//test_auto_move//signs_mov_separ_signers/Liz_1517.mov","MOV")</f>
        <v>21</v>
      </c>
    </row>
    <row r="6820" s="2" customFormat="1" ht="13.5" customHeight="1">
      <c r="B6820" s="13"/>
      <c r="C6820" t="s" s="9">
        <v>30</v>
      </c>
      <c r="D6820" t="s" s="8">
        <v>2350</v>
      </c>
      <c r="E6820" t="s" s="9">
        <v>2351</v>
      </c>
      <c r="F6820" t="s" s="10">
        <v>63</v>
      </c>
      <c r="G6820" s="14"/>
      <c r="H6820" t="s" s="10">
        <v>63</v>
      </c>
      <c r="I6820" s="14"/>
      <c r="J6820" t="s" s="11">
        <v>20</v>
      </c>
      <c r="K6820" s="15"/>
      <c r="L6820" t="s" s="16">
        <f>HYPERLINK("http://csr.bu.edu/ftp/asl/asllvd/demos/verify_start_end_handshape_annotations//test_auto_move//signs_mov_separ_signers/Brady_1517.mov","MOV")</f>
        <v>21</v>
      </c>
      <c r="M6820" t="s" s="10">
        <v>39</v>
      </c>
      <c r="N6820" s="17">
        <v>55</v>
      </c>
      <c r="O6820" s="18">
        <v>9227</v>
      </c>
      <c r="P6820" s="18">
        <v>9249</v>
      </c>
      <c r="Q6820" s="15"/>
      <c r="R6820" t="s" s="16">
        <f>HYPERLINK("http://secrets.rutgers.edu:8080/data/asl-ftp/asllvd/demos/verify_start_end_handshape_annotations//test_auto_move//signs_mov_separ_signers/Brady_1517.mov","MOV")</f>
        <v>21</v>
      </c>
    </row>
    <row r="6821" s="2" customFormat="1" ht="13.5" customHeight="1">
      <c r="B6821" t="s" s="8">
        <v>2352</v>
      </c>
      <c r="C6821" t="s" s="9">
        <v>14</v>
      </c>
      <c r="D6821" t="s" s="8">
        <v>14</v>
      </c>
      <c r="E6821" t="s" s="9">
        <v>14</v>
      </c>
      <c r="F6821" t="s" s="10">
        <v>14</v>
      </c>
      <c r="G6821" t="s" s="11">
        <v>14</v>
      </c>
      <c r="H6821" t="s" s="10">
        <v>14</v>
      </c>
      <c r="I6821" t="s" s="11">
        <v>14</v>
      </c>
      <c r="J6821" t="s" s="11">
        <v>14</v>
      </c>
      <c r="K6821" t="s" s="12">
        <v>14</v>
      </c>
      <c r="L6821" t="s" s="12">
        <v>14</v>
      </c>
      <c r="M6821" t="s" s="10">
        <v>14</v>
      </c>
      <c r="N6821" t="s" s="11">
        <v>14</v>
      </c>
      <c r="O6821" t="s" s="8">
        <v>14</v>
      </c>
      <c r="P6821" t="s" s="8">
        <v>14</v>
      </c>
      <c r="Q6821" t="s" s="12">
        <v>14</v>
      </c>
      <c r="R6821" t="s" s="12">
        <v>14</v>
      </c>
    </row>
    <row r="6822" s="2" customFormat="1" ht="13.5" customHeight="1">
      <c r="B6822" s="13"/>
      <c r="C6822" t="s" s="9">
        <v>23</v>
      </c>
      <c r="D6822" t="s" s="8">
        <v>2352</v>
      </c>
      <c r="E6822" t="s" s="9">
        <v>2352</v>
      </c>
      <c r="F6822" t="s" s="10">
        <v>63</v>
      </c>
      <c r="G6822" s="14"/>
      <c r="H6822" t="s" s="10">
        <v>63</v>
      </c>
      <c r="I6822" s="14"/>
      <c r="J6822" t="s" s="11">
        <v>20</v>
      </c>
      <c r="K6822" t="s" s="16">
        <f>HYPERLINK("http://csr.bu.edu/ftp/asl/asllvd/demos/verify_start_end_handshape_annotations//test_auto_move//signs_mov/16396.mov","MOV")</f>
        <v>21</v>
      </c>
      <c r="L6822" t="s" s="16">
        <f>HYPERLINK("http://csr.bu.edu/ftp/asl/asllvd/demos/verify_start_end_handshape_annotations//test_auto_move//signs_mov_separ_signers/Tyler_16396.mov","MOV")</f>
        <v>21</v>
      </c>
      <c r="M6822" t="s" s="10">
        <v>47</v>
      </c>
      <c r="N6822" s="17">
        <v>12</v>
      </c>
      <c r="O6822" s="18">
        <v>2245</v>
      </c>
      <c r="P6822" s="18">
        <v>2268</v>
      </c>
      <c r="Q6822" t="s" s="16">
        <f>HYPERLINK("http://secrets.rutgers.edu:8080/data/asl-ftp/asllvd/demos/verify_start_end_handshape_annotations//test_auto_move//signs_mov/16396.mov","MOV")</f>
        <v>21</v>
      </c>
      <c r="R6822" t="s" s="16">
        <f>HYPERLINK("http://secrets.rutgers.edu:8080/data/asl-ftp/asllvd/demos/verify_start_end_handshape_annotations//test_auto_move//signs_mov_separ_signers/Tyler_16396.mov","MOV")</f>
        <v>21</v>
      </c>
    </row>
    <row r="6823" s="2" customFormat="1" ht="13.5" customHeight="1">
      <c r="B6823" t="s" s="8">
        <v>2353</v>
      </c>
      <c r="C6823" t="s" s="9">
        <v>14</v>
      </c>
      <c r="D6823" t="s" s="8">
        <v>14</v>
      </c>
      <c r="E6823" t="s" s="9">
        <v>14</v>
      </c>
      <c r="F6823" t="s" s="10">
        <v>14</v>
      </c>
      <c r="G6823" t="s" s="11">
        <v>14</v>
      </c>
      <c r="H6823" t="s" s="10">
        <v>14</v>
      </c>
      <c r="I6823" t="s" s="11">
        <v>14</v>
      </c>
      <c r="J6823" t="s" s="11">
        <v>14</v>
      </c>
      <c r="K6823" t="s" s="12">
        <v>14</v>
      </c>
      <c r="L6823" t="s" s="12">
        <v>14</v>
      </c>
      <c r="M6823" t="s" s="10">
        <v>14</v>
      </c>
      <c r="N6823" t="s" s="11">
        <v>14</v>
      </c>
      <c r="O6823" t="s" s="8">
        <v>14</v>
      </c>
      <c r="P6823" t="s" s="8">
        <v>14</v>
      </c>
      <c r="Q6823" t="s" s="12">
        <v>14</v>
      </c>
      <c r="R6823" t="s" s="12">
        <v>14</v>
      </c>
    </row>
    <row r="6824" s="2" customFormat="1" ht="13.5" customHeight="1">
      <c r="B6824" s="13"/>
      <c r="C6824" t="s" s="9">
        <v>16</v>
      </c>
      <c r="D6824" t="s" s="8">
        <v>2353</v>
      </c>
      <c r="E6824" t="s" s="9">
        <v>2353</v>
      </c>
      <c r="F6824" t="s" s="10">
        <v>240</v>
      </c>
      <c r="G6824" t="s" s="11">
        <v>240</v>
      </c>
      <c r="H6824" t="s" s="10">
        <v>240</v>
      </c>
      <c r="I6824" t="s" s="11">
        <v>240</v>
      </c>
      <c r="J6824" t="s" s="11">
        <v>20</v>
      </c>
      <c r="K6824" s="15"/>
      <c r="L6824" t="s" s="16">
        <f>HYPERLINK("http://csr.bu.edu/ftp/asl/asllvd/demos/verify_start_end_handshape_annotations//test_auto_move//signs_mov_separ_signers/Liz_1518.mov","MOV")</f>
        <v>21</v>
      </c>
      <c r="M6824" t="s" s="10">
        <v>88</v>
      </c>
      <c r="N6824" s="17">
        <v>2</v>
      </c>
      <c r="O6824" s="18">
        <v>2833</v>
      </c>
      <c r="P6824" s="18">
        <v>2890</v>
      </c>
      <c r="Q6824" s="15"/>
      <c r="R6824" t="s" s="16">
        <f>HYPERLINK("http://secrets.rutgers.edu:8080/data/asl-ftp/asllvd/demos/verify_start_end_handshape_annotations//test_auto_move//signs_mov_separ_signers/Liz_1518.mov","MOV")</f>
        <v>21</v>
      </c>
    </row>
    <row r="6825" s="2" customFormat="1" ht="13.5" customHeight="1">
      <c r="B6825" s="13"/>
      <c r="C6825" t="s" s="9">
        <v>16</v>
      </c>
      <c r="D6825" t="s" s="8">
        <v>2353</v>
      </c>
      <c r="E6825" t="s" s="9">
        <v>2354</v>
      </c>
      <c r="F6825" t="s" s="10">
        <v>240</v>
      </c>
      <c r="G6825" t="s" s="11">
        <v>240</v>
      </c>
      <c r="H6825" t="s" s="10">
        <v>240</v>
      </c>
      <c r="I6825" t="s" s="11">
        <v>240</v>
      </c>
      <c r="J6825" t="s" s="11">
        <v>20</v>
      </c>
      <c r="K6825" s="15"/>
      <c r="L6825" t="s" s="16">
        <f>HYPERLINK("http://csr.bu.edu/ftp/asl/asllvd/demos/verify_start_end_handshape_annotations//test_auto_move//signs_mov_separ_signers/Liz_3695.mov","MOV")</f>
        <v>21</v>
      </c>
      <c r="M6825" t="s" s="10">
        <v>88</v>
      </c>
      <c r="N6825" s="17">
        <v>14</v>
      </c>
      <c r="O6825" s="18">
        <v>2475</v>
      </c>
      <c r="P6825" s="18">
        <v>2517</v>
      </c>
      <c r="Q6825" s="15"/>
      <c r="R6825" t="s" s="16">
        <f>HYPERLINK("http://secrets.rutgers.edu:8080/data/asl-ftp/asllvd/demos/verify_start_end_handshape_annotations//test_auto_move//signs_mov_separ_signers/Liz_3695.mov","MOV")</f>
        <v>21</v>
      </c>
    </row>
    <row r="6826" s="2" customFormat="1" ht="13.5" customHeight="1">
      <c r="B6826" s="13"/>
      <c r="C6826" t="s" s="9">
        <v>23</v>
      </c>
      <c r="D6826" t="s" s="8">
        <v>2353</v>
      </c>
      <c r="E6826" t="s" s="9">
        <v>2355</v>
      </c>
      <c r="F6826" t="s" s="10">
        <v>240</v>
      </c>
      <c r="G6826" t="s" s="11">
        <v>240</v>
      </c>
      <c r="H6826" t="s" s="10">
        <v>240</v>
      </c>
      <c r="I6826" t="s" s="11">
        <v>240</v>
      </c>
      <c r="J6826" t="s" s="11">
        <v>20</v>
      </c>
      <c r="K6826" t="s" s="16">
        <f>HYPERLINK("http://csr.bu.edu/ftp/asl/asllvd/demos/verify_start_end_handshape_annotations//test_auto_move//signs_mov/1518_3695_merged.mov","MOV")</f>
        <v>21</v>
      </c>
      <c r="L6826" t="s" s="16">
        <f>HYPERLINK("http://csr.bu.edu/ftp/asl/asllvd/demos/verify_start_end_handshape_annotations//test_auto_move//signs_mov_separ_signers/Tyler_1518.mov","MOV")</f>
        <v>21</v>
      </c>
      <c r="M6826" t="s" s="10">
        <v>47</v>
      </c>
      <c r="N6826" s="17">
        <v>22</v>
      </c>
      <c r="O6826" s="18">
        <v>1907</v>
      </c>
      <c r="P6826" s="18">
        <v>1952</v>
      </c>
      <c r="Q6826" t="s" s="16">
        <f>HYPERLINK("http://secrets.rutgers.edu:8080/data/asl-ftp/asllvd/demos/verify_start_end_handshape_annotations//test_auto_move//signs_mov/1518_3695_merged.mov","MOV")</f>
        <v>21</v>
      </c>
      <c r="R6826" t="s" s="16">
        <f>HYPERLINK("http://secrets.rutgers.edu:8080/data/asl-ftp/asllvd/demos/verify_start_end_handshape_annotations//test_auto_move//signs_mov_separ_signers/Tyler_1518.mov","MOV")</f>
        <v>21</v>
      </c>
    </row>
    <row r="6827" s="2" customFormat="1" ht="13.5" customHeight="1">
      <c r="B6827" s="13"/>
      <c r="C6827" t="s" s="9">
        <v>30</v>
      </c>
      <c r="D6827" t="s" s="8">
        <v>2353</v>
      </c>
      <c r="E6827" t="s" s="9">
        <v>2354</v>
      </c>
      <c r="F6827" t="s" s="10">
        <v>240</v>
      </c>
      <c r="G6827" t="s" s="11">
        <v>240</v>
      </c>
      <c r="H6827" t="s" s="10">
        <v>240</v>
      </c>
      <c r="I6827" t="s" s="11">
        <v>240</v>
      </c>
      <c r="J6827" t="s" s="11">
        <v>20</v>
      </c>
      <c r="K6827" s="15"/>
      <c r="L6827" t="s" s="16">
        <f>HYPERLINK("http://csr.bu.edu/ftp/asl/asllvd/demos/verify_start_end_handshape_annotations//test_auto_move//signs_mov_separ_signers/Brady_1518.mov","MOV")</f>
        <v>21</v>
      </c>
      <c r="M6827" t="s" s="10">
        <v>39</v>
      </c>
      <c r="N6827" s="17">
        <v>55</v>
      </c>
      <c r="O6827" s="18">
        <v>9770</v>
      </c>
      <c r="P6827" s="18">
        <v>9796</v>
      </c>
      <c r="Q6827" s="15"/>
      <c r="R6827" t="s" s="16">
        <f>HYPERLINK("http://secrets.rutgers.edu:8080/data/asl-ftp/asllvd/demos/verify_start_end_handshape_annotations//test_auto_move//signs_mov_separ_signers/Brady_1518.mov","MOV")</f>
        <v>21</v>
      </c>
    </row>
    <row r="6828" s="2" customFormat="1" ht="13.5" customHeight="1">
      <c r="B6828" s="13"/>
      <c r="C6828" t="s" s="9">
        <v>41</v>
      </c>
      <c r="D6828" t="s" s="8">
        <v>2353</v>
      </c>
      <c r="E6828" t="s" s="9">
        <v>2354</v>
      </c>
      <c r="F6828" t="s" s="10">
        <v>240</v>
      </c>
      <c r="G6828" t="s" s="11">
        <v>240</v>
      </c>
      <c r="H6828" t="s" s="10">
        <v>240</v>
      </c>
      <c r="I6828" t="s" s="11">
        <v>240</v>
      </c>
      <c r="J6828" t="s" s="11">
        <v>20</v>
      </c>
      <c r="K6828" s="15"/>
      <c r="L6828" t="s" s="16">
        <f>HYPERLINK("http://csr.bu.edu/ftp/asl/asllvd/demos/verify_start_end_handshape_annotations//test_auto_move//signs_mov_separ_signers/Lana_1518.mov","MOV")</f>
        <v>21</v>
      </c>
      <c r="M6828" t="s" s="10">
        <v>442</v>
      </c>
      <c r="N6828" s="17">
        <v>61</v>
      </c>
      <c r="O6828" s="18">
        <v>2296</v>
      </c>
      <c r="P6828" s="18">
        <v>2323</v>
      </c>
      <c r="Q6828" s="15"/>
      <c r="R6828" t="s" s="16">
        <f>HYPERLINK("http://secrets.rutgers.edu:8080/data/asl-ftp/asllvd/demos/verify_start_end_handshape_annotations//test_auto_move//signs_mov_separ_signers/Lana_1518.mov","MOV")</f>
        <v>21</v>
      </c>
    </row>
    <row r="6829" s="2" customFormat="1" ht="13.5" customHeight="1">
      <c r="B6829" t="s" s="8">
        <v>52</v>
      </c>
      <c r="C6829" t="s" s="9">
        <v>53</v>
      </c>
      <c r="D6829" t="s" s="8">
        <v>53</v>
      </c>
      <c r="E6829" t="s" s="9">
        <v>53</v>
      </c>
      <c r="F6829" t="s" s="10">
        <v>53</v>
      </c>
      <c r="G6829" t="s" s="11">
        <v>53</v>
      </c>
      <c r="H6829" t="s" s="10">
        <v>53</v>
      </c>
      <c r="I6829" t="s" s="11">
        <v>53</v>
      </c>
      <c r="J6829" t="s" s="11">
        <v>53</v>
      </c>
      <c r="K6829" t="s" s="12">
        <v>53</v>
      </c>
      <c r="L6829" t="s" s="12">
        <v>53</v>
      </c>
      <c r="M6829" t="s" s="10">
        <v>53</v>
      </c>
      <c r="N6829" t="s" s="11">
        <v>53</v>
      </c>
      <c r="O6829" t="s" s="8">
        <v>53</v>
      </c>
      <c r="P6829" t="s" s="8">
        <v>53</v>
      </c>
      <c r="Q6829" t="s" s="12">
        <v>53</v>
      </c>
      <c r="R6829" t="s" s="12">
        <v>53</v>
      </c>
    </row>
    <row r="6830" s="2" customFormat="1" ht="13.5" customHeight="1">
      <c r="B6830" s="13"/>
      <c r="C6830" t="s" s="9">
        <v>23</v>
      </c>
      <c r="D6830" t="s" s="8">
        <v>2353</v>
      </c>
      <c r="E6830" t="s" s="9">
        <v>2356</v>
      </c>
      <c r="F6830" t="s" s="10">
        <v>240</v>
      </c>
      <c r="G6830" t="s" s="11">
        <v>240</v>
      </c>
      <c r="H6830" t="s" s="10">
        <v>240</v>
      </c>
      <c r="I6830" t="s" s="11">
        <v>240</v>
      </c>
      <c r="J6830" t="s" s="11">
        <v>20</v>
      </c>
      <c r="K6830" t="s" s="16">
        <f>HYPERLINK("http://csr.bu.edu/ftp/asl/asllvd/demos/verify_start_end_handshape_annotations//test_auto_move//signs_mov/15520.mov","MOV")</f>
        <v>21</v>
      </c>
      <c r="L6830" t="s" s="16">
        <f>HYPERLINK("http://csr.bu.edu/ftp/asl/asllvd/demos/verify_start_end_handshape_annotations//test_auto_move//signs_mov_separ_signers/Tyler_15520.mov","MOV")</f>
        <v>21</v>
      </c>
      <c r="M6830" t="s" s="10">
        <v>47</v>
      </c>
      <c r="N6830" s="17">
        <v>12</v>
      </c>
      <c r="O6830" s="18">
        <v>2747</v>
      </c>
      <c r="P6830" s="18">
        <v>2771</v>
      </c>
      <c r="Q6830" t="s" s="16">
        <f>HYPERLINK("http://secrets.rutgers.edu:8080/data/asl-ftp/asllvd/demos/verify_start_end_handshape_annotations//test_auto_move//signs_mov/15520.mov","MOV")</f>
        <v>21</v>
      </c>
      <c r="R6830" t="s" s="16">
        <f>HYPERLINK("http://secrets.rutgers.edu:8080/data/asl-ftp/asllvd/demos/verify_start_end_handshape_annotations//test_auto_move//signs_mov_separ_signers/Tyler_15520.mov","MOV")</f>
        <v>21</v>
      </c>
    </row>
    <row r="6831" s="2" customFormat="1" ht="13.5" customHeight="1">
      <c r="B6831" t="s" s="8">
        <v>2357</v>
      </c>
      <c r="C6831" t="s" s="9">
        <v>14</v>
      </c>
      <c r="D6831" t="s" s="8">
        <v>14</v>
      </c>
      <c r="E6831" t="s" s="9">
        <v>14</v>
      </c>
      <c r="F6831" t="s" s="10">
        <v>14</v>
      </c>
      <c r="G6831" t="s" s="11">
        <v>14</v>
      </c>
      <c r="H6831" t="s" s="10">
        <v>14</v>
      </c>
      <c r="I6831" t="s" s="11">
        <v>14</v>
      </c>
      <c r="J6831" t="s" s="11">
        <v>14</v>
      </c>
      <c r="K6831" t="s" s="12">
        <v>14</v>
      </c>
      <c r="L6831" t="s" s="12">
        <v>14</v>
      </c>
      <c r="M6831" t="s" s="10">
        <v>14</v>
      </c>
      <c r="N6831" t="s" s="11">
        <v>14</v>
      </c>
      <c r="O6831" t="s" s="8">
        <v>14</v>
      </c>
      <c r="P6831" t="s" s="8">
        <v>14</v>
      </c>
      <c r="Q6831" t="s" s="12">
        <v>14</v>
      </c>
      <c r="R6831" t="s" s="12">
        <v>14</v>
      </c>
    </row>
    <row r="6832" s="2" customFormat="1" ht="13.5" customHeight="1">
      <c r="B6832" s="13"/>
      <c r="C6832" t="s" s="9">
        <v>16</v>
      </c>
      <c r="D6832" t="s" s="8">
        <v>2357</v>
      </c>
      <c r="E6832" t="s" s="9">
        <v>2358</v>
      </c>
      <c r="F6832" t="s" s="10">
        <v>240</v>
      </c>
      <c r="G6832" t="s" s="11">
        <v>240</v>
      </c>
      <c r="H6832" t="s" s="10">
        <v>240</v>
      </c>
      <c r="I6832" t="s" s="11">
        <v>240</v>
      </c>
      <c r="J6832" t="s" s="11">
        <v>20</v>
      </c>
      <c r="K6832" t="s" s="16">
        <f>HYPERLINK("http://csr.bu.edu/ftp/asl/asllvd/demos/verify_start_end_handshape_annotations//test_auto_move//signs_mov/15701.mov","MOV")</f>
        <v>21</v>
      </c>
      <c r="L6832" t="s" s="16">
        <f>HYPERLINK("http://csr.bu.edu/ftp/asl/asllvd/demos/verify_start_end_handshape_annotations//test_auto_move//signs_mov_separ_signers/Liz_15701.mov","MOV")</f>
        <v>21</v>
      </c>
      <c r="M6832" t="s" s="10">
        <v>59</v>
      </c>
      <c r="N6832" s="17">
        <v>38</v>
      </c>
      <c r="O6832" s="18">
        <v>1806</v>
      </c>
      <c r="P6832" s="18">
        <v>1866</v>
      </c>
      <c r="Q6832" t="s" s="16">
        <f>HYPERLINK("http://secrets.rutgers.edu:8080/data/asl-ftp/asllvd/demos/verify_start_end_handshape_annotations//test_auto_move//signs_mov/15701.mov","MOV")</f>
        <v>21</v>
      </c>
      <c r="R6832" t="s" s="16">
        <f>HYPERLINK("http://secrets.rutgers.edu:8080/data/asl-ftp/asllvd/demos/verify_start_end_handshape_annotations//test_auto_move//signs_mov_separ_signers/Liz_15701.mov","MOV")</f>
        <v>21</v>
      </c>
    </row>
    <row r="6833" s="2" customFormat="1" ht="13.5" customHeight="1">
      <c r="B6833" s="13"/>
      <c r="C6833" t="s" s="9">
        <v>30</v>
      </c>
      <c r="D6833" t="s" s="8">
        <v>2357</v>
      </c>
      <c r="E6833" t="s" s="9">
        <v>2359</v>
      </c>
      <c r="F6833" t="s" s="10">
        <v>240</v>
      </c>
      <c r="G6833" t="s" s="11">
        <v>240</v>
      </c>
      <c r="H6833" t="s" s="10">
        <v>240</v>
      </c>
      <c r="I6833" t="s" s="11">
        <v>240</v>
      </c>
      <c r="J6833" t="s" s="11">
        <v>20</v>
      </c>
      <c r="K6833" s="15"/>
      <c r="L6833" t="s" s="16">
        <f>HYPERLINK("http://csr.bu.edu/ftp/asl/asllvd/demos/verify_start_end_handshape_annotations//test_auto_move//signs_mov_separ_signers/Brady_15701.mov","MOV")</f>
        <v>21</v>
      </c>
      <c r="M6833" t="s" s="10">
        <v>60</v>
      </c>
      <c r="N6833" s="17">
        <v>26</v>
      </c>
      <c r="O6833" s="18">
        <v>2984</v>
      </c>
      <c r="P6833" s="18">
        <v>3034</v>
      </c>
      <c r="Q6833" s="15"/>
      <c r="R6833" t="s" s="16">
        <f>HYPERLINK("http://secrets.rutgers.edu:8080/data/asl-ftp/asllvd/demos/verify_start_end_handshape_annotations//test_auto_move//signs_mov_separ_signers/Brady_15701.mov","MOV")</f>
        <v>21</v>
      </c>
    </row>
    <row r="6834" s="2" customFormat="1" ht="13.5" customHeight="1">
      <c r="B6834" t="s" s="8">
        <v>2360</v>
      </c>
      <c r="C6834" t="s" s="9">
        <v>14</v>
      </c>
      <c r="D6834" t="s" s="8">
        <v>14</v>
      </c>
      <c r="E6834" t="s" s="9">
        <v>14</v>
      </c>
      <c r="F6834" t="s" s="10">
        <v>14</v>
      </c>
      <c r="G6834" t="s" s="11">
        <v>14</v>
      </c>
      <c r="H6834" t="s" s="10">
        <v>14</v>
      </c>
      <c r="I6834" t="s" s="11">
        <v>14</v>
      </c>
      <c r="J6834" t="s" s="11">
        <v>14</v>
      </c>
      <c r="K6834" t="s" s="12">
        <v>14</v>
      </c>
      <c r="L6834" t="s" s="12">
        <v>14</v>
      </c>
      <c r="M6834" t="s" s="10">
        <v>14</v>
      </c>
      <c r="N6834" t="s" s="11">
        <v>14</v>
      </c>
      <c r="O6834" t="s" s="8">
        <v>14</v>
      </c>
      <c r="P6834" t="s" s="8">
        <v>14</v>
      </c>
      <c r="Q6834" t="s" s="12">
        <v>14</v>
      </c>
      <c r="R6834" t="s" s="12">
        <v>14</v>
      </c>
    </row>
    <row r="6835" s="2" customFormat="1" ht="13.5" customHeight="1">
      <c r="B6835" s="13"/>
      <c r="C6835" t="s" s="9">
        <v>16</v>
      </c>
      <c r="D6835" t="s" s="8">
        <v>2360</v>
      </c>
      <c r="E6835" t="s" s="9">
        <v>2361</v>
      </c>
      <c r="F6835" t="s" s="10">
        <v>255</v>
      </c>
      <c r="G6835" s="14"/>
      <c r="H6835" t="s" s="10">
        <v>255</v>
      </c>
      <c r="I6835" s="14"/>
      <c r="J6835" t="s" s="11">
        <v>20</v>
      </c>
      <c r="K6835" s="15"/>
      <c r="L6835" t="s" s="16">
        <f>HYPERLINK("http://csr.bu.edu/ftp/asl/asllvd/demos/verify_start_end_handshape_annotations//test_auto_move//signs_mov_separ_signers/Liz_1525.mov","MOV")</f>
        <v>21</v>
      </c>
      <c r="M6835" t="s" s="10">
        <v>88</v>
      </c>
      <c r="N6835" s="17">
        <v>3</v>
      </c>
      <c r="O6835" s="18">
        <v>1875</v>
      </c>
      <c r="P6835" s="18">
        <v>1905</v>
      </c>
      <c r="Q6835" s="15"/>
      <c r="R6835" t="s" s="16">
        <f>HYPERLINK("http://secrets.rutgers.edu:8080/data/asl-ftp/asllvd/demos/verify_start_end_handshape_annotations//test_auto_move//signs_mov_separ_signers/Liz_1525.mov","MOV")</f>
        <v>21</v>
      </c>
    </row>
    <row r="6836" s="2" customFormat="1" ht="13.5" customHeight="1">
      <c r="B6836" s="13"/>
      <c r="C6836" t="s" s="9">
        <v>23</v>
      </c>
      <c r="D6836" t="s" s="8">
        <v>2360</v>
      </c>
      <c r="E6836" t="s" s="9">
        <v>2361</v>
      </c>
      <c r="F6836" t="s" s="10">
        <v>255</v>
      </c>
      <c r="G6836" s="14"/>
      <c r="H6836" t="s" s="10">
        <v>255</v>
      </c>
      <c r="I6836" s="14"/>
      <c r="J6836" t="s" s="11">
        <v>20</v>
      </c>
      <c r="K6836" s="15"/>
      <c r="L6836" t="s" s="16">
        <f>HYPERLINK("http://csr.bu.edu/ftp/asl/asllvd/demos/verify_start_end_handshape_annotations//test_auto_move//signs_mov_separ_signers/Tyler_1525.mov","MOV")</f>
        <v>21</v>
      </c>
      <c r="M6836" t="s" s="10">
        <v>47</v>
      </c>
      <c r="N6836" s="17">
        <v>13</v>
      </c>
      <c r="O6836" s="18">
        <v>2288</v>
      </c>
      <c r="P6836" s="18">
        <v>2330</v>
      </c>
      <c r="Q6836" s="15"/>
      <c r="R6836" t="s" s="16">
        <f>HYPERLINK("http://secrets.rutgers.edu:8080/data/asl-ftp/asllvd/demos/verify_start_end_handshape_annotations//test_auto_move//signs_mov_separ_signers/Tyler_1525.mov","MOV")</f>
        <v>21</v>
      </c>
    </row>
    <row r="6837" s="2" customFormat="1" ht="13.5" customHeight="1">
      <c r="B6837" s="13"/>
      <c r="C6837" t="s" s="9">
        <v>30</v>
      </c>
      <c r="D6837" t="s" s="8">
        <v>2360</v>
      </c>
      <c r="E6837" t="s" s="9">
        <v>2361</v>
      </c>
      <c r="F6837" t="s" s="10">
        <v>255</v>
      </c>
      <c r="G6837" s="14"/>
      <c r="H6837" t="s" s="10">
        <v>255</v>
      </c>
      <c r="I6837" s="14"/>
      <c r="J6837" t="s" s="11">
        <v>20</v>
      </c>
      <c r="K6837" t="s" s="16">
        <f>HYPERLINK("http://csr.bu.edu/ftp/asl/asllvd/demos/verify_start_end_handshape_annotations//test_auto_move//signs_mov/1525.mov","MOV")</f>
        <v>21</v>
      </c>
      <c r="L6837" t="s" s="16">
        <f>HYPERLINK("http://csr.bu.edu/ftp/asl/asllvd/demos/verify_start_end_handshape_annotations//test_auto_move//signs_mov_separ_signers/Brady_1525.mov","MOV")</f>
        <v>21</v>
      </c>
      <c r="M6837" t="s" s="10">
        <v>39</v>
      </c>
      <c r="N6837" s="17">
        <v>56</v>
      </c>
      <c r="O6837" s="18">
        <v>2365</v>
      </c>
      <c r="P6837" s="18">
        <v>2389</v>
      </c>
      <c r="Q6837" t="s" s="16">
        <f>HYPERLINK("http://secrets.rutgers.edu:8080/data/asl-ftp/asllvd/demos/verify_start_end_handshape_annotations//test_auto_move//signs_mov/1525.mov","MOV")</f>
        <v>21</v>
      </c>
      <c r="R6837" t="s" s="16">
        <f>HYPERLINK("http://secrets.rutgers.edu:8080/data/asl-ftp/asllvd/demos/verify_start_end_handshape_annotations//test_auto_move//signs_mov_separ_signers/Brady_1525.mov","MOV")</f>
        <v>21</v>
      </c>
    </row>
    <row r="6838" s="2" customFormat="1" ht="13.5" customHeight="1">
      <c r="B6838" s="13"/>
      <c r="C6838" t="s" s="9">
        <v>41</v>
      </c>
      <c r="D6838" t="s" s="8">
        <v>2360</v>
      </c>
      <c r="E6838" t="s" s="9">
        <v>2361</v>
      </c>
      <c r="F6838" t="s" s="10">
        <v>255</v>
      </c>
      <c r="G6838" s="14"/>
      <c r="H6838" t="s" s="10">
        <v>255</v>
      </c>
      <c r="I6838" s="14"/>
      <c r="J6838" t="s" s="11">
        <v>20</v>
      </c>
      <c r="K6838" s="15"/>
      <c r="L6838" t="s" s="16">
        <f>HYPERLINK("http://csr.bu.edu/ftp/asl/asllvd/demos/verify_start_end_handshape_annotations//test_auto_move//signs_mov_separ_signers/Lana_1525.mov","MOV")</f>
        <v>21</v>
      </c>
      <c r="M6838" t="s" s="10">
        <v>42</v>
      </c>
      <c r="N6838" s="17">
        <v>18</v>
      </c>
      <c r="O6838" s="18">
        <v>1376</v>
      </c>
      <c r="P6838" s="18">
        <v>1403</v>
      </c>
      <c r="Q6838" s="15"/>
      <c r="R6838" t="s" s="16">
        <f>HYPERLINK("http://secrets.rutgers.edu:8080/data/asl-ftp/asllvd/demos/verify_start_end_handshape_annotations//test_auto_move//signs_mov_separ_signers/Lana_1525.mov","MOV")</f>
        <v>21</v>
      </c>
    </row>
    <row r="6839" s="2" customFormat="1" ht="13.5" customHeight="1">
      <c r="B6839" s="13"/>
      <c r="C6839" t="s" s="9">
        <v>43</v>
      </c>
      <c r="D6839" t="s" s="8">
        <v>2360</v>
      </c>
      <c r="E6839" t="s" s="9">
        <v>2361</v>
      </c>
      <c r="F6839" t="s" s="10">
        <v>255</v>
      </c>
      <c r="G6839" s="14"/>
      <c r="H6839" t="s" s="10">
        <v>255</v>
      </c>
      <c r="I6839" s="14"/>
      <c r="J6839" t="s" s="11">
        <v>20</v>
      </c>
      <c r="K6839" s="15"/>
      <c r="L6839" t="s" s="16">
        <f>HYPERLINK("http://csr.bu.edu/ftp/asl/asllvd/demos/verify_start_end_handshape_annotations//test_auto_move//signs_mov_separ_signers/Dana_1525.mov","MOV")</f>
        <v>21</v>
      </c>
      <c r="M6839" t="s" s="10">
        <v>44</v>
      </c>
      <c r="N6839" s="17">
        <v>20</v>
      </c>
      <c r="O6839" s="18">
        <v>1308</v>
      </c>
      <c r="P6839" s="18">
        <v>1348</v>
      </c>
      <c r="Q6839" s="15"/>
      <c r="R6839" t="s" s="16">
        <f>HYPERLINK("http://secrets.rutgers.edu:8080/data/asl-ftp/asllvd/demos/verify_start_end_handshape_annotations//test_auto_move//signs_mov_separ_signers/Dana_1525.mov","MOV")</f>
        <v>21</v>
      </c>
    </row>
    <row r="6840" s="2" customFormat="1" ht="13.5" customHeight="1">
      <c r="B6840" t="s" s="8">
        <v>2362</v>
      </c>
      <c r="C6840" t="s" s="9">
        <v>14</v>
      </c>
      <c r="D6840" t="s" s="8">
        <v>14</v>
      </c>
      <c r="E6840" t="s" s="9">
        <v>14</v>
      </c>
      <c r="F6840" t="s" s="10">
        <v>14</v>
      </c>
      <c r="G6840" t="s" s="11">
        <v>14</v>
      </c>
      <c r="H6840" t="s" s="10">
        <v>14</v>
      </c>
      <c r="I6840" t="s" s="11">
        <v>14</v>
      </c>
      <c r="J6840" t="s" s="11">
        <v>14</v>
      </c>
      <c r="K6840" t="s" s="12">
        <v>14</v>
      </c>
      <c r="L6840" t="s" s="12">
        <v>14</v>
      </c>
      <c r="M6840" t="s" s="10">
        <v>14</v>
      </c>
      <c r="N6840" t="s" s="11">
        <v>14</v>
      </c>
      <c r="O6840" t="s" s="8">
        <v>14</v>
      </c>
      <c r="P6840" t="s" s="8">
        <v>14</v>
      </c>
      <c r="Q6840" t="s" s="12">
        <v>14</v>
      </c>
      <c r="R6840" t="s" s="12">
        <v>14</v>
      </c>
    </row>
    <row r="6841" s="2" customFormat="1" ht="13.5" customHeight="1">
      <c r="B6841" s="13"/>
      <c r="C6841" t="s" s="9">
        <v>16</v>
      </c>
      <c r="D6841" t="s" s="8">
        <v>2362</v>
      </c>
      <c r="E6841" t="s" s="9">
        <v>2362</v>
      </c>
      <c r="F6841" t="s" s="10">
        <v>255</v>
      </c>
      <c r="G6841" t="s" s="11">
        <v>255</v>
      </c>
      <c r="H6841" t="s" s="10">
        <v>255</v>
      </c>
      <c r="I6841" t="s" s="11">
        <v>255</v>
      </c>
      <c r="J6841" t="s" s="11">
        <v>20</v>
      </c>
      <c r="K6841" s="15"/>
      <c r="L6841" t="s" s="16">
        <f>HYPERLINK("http://csr.bu.edu/ftp/asl/asllvd/demos/verify_start_end_handshape_annotations//test_auto_move//signs_mov_separ_signers/Liz_1531.mov","MOV")</f>
        <v>21</v>
      </c>
      <c r="M6841" t="s" s="10">
        <v>88</v>
      </c>
      <c r="N6841" s="17">
        <v>4</v>
      </c>
      <c r="O6841" s="18">
        <v>960</v>
      </c>
      <c r="P6841" s="18">
        <v>1020</v>
      </c>
      <c r="Q6841" s="15"/>
      <c r="R6841" t="s" s="16">
        <f>HYPERLINK("http://secrets.rutgers.edu:8080/data/asl-ftp/asllvd/demos/verify_start_end_handshape_annotations//test_auto_move//signs_mov_separ_signers/Liz_1531.mov","MOV")</f>
        <v>21</v>
      </c>
    </row>
    <row r="6842" s="2" customFormat="1" ht="13.5" customHeight="1">
      <c r="B6842" s="13"/>
      <c r="C6842" t="s" s="9">
        <v>23</v>
      </c>
      <c r="D6842" t="s" s="8">
        <v>2362</v>
      </c>
      <c r="E6842" t="s" s="9">
        <v>2362</v>
      </c>
      <c r="F6842" t="s" s="10">
        <v>255</v>
      </c>
      <c r="G6842" t="s" s="11">
        <v>255</v>
      </c>
      <c r="H6842" t="s" s="10">
        <v>255</v>
      </c>
      <c r="I6842" t="s" s="11">
        <v>255</v>
      </c>
      <c r="J6842" t="s" s="11">
        <v>20</v>
      </c>
      <c r="K6842" t="s" s="16">
        <f>HYPERLINK("http://csr.bu.edu/ftp/asl/asllvd/demos/verify_start_end_handshape_annotations//test_auto_move//signs_mov/1531.mov","MOV")</f>
        <v>21</v>
      </c>
      <c r="L6842" t="s" s="16">
        <f>HYPERLINK("http://csr.bu.edu/ftp/asl/asllvd/demos/verify_start_end_handshape_annotations//test_auto_move//signs_mov_separ_signers/Tyler_1531.mov","MOV")</f>
        <v>21</v>
      </c>
      <c r="M6842" t="s" s="10">
        <v>47</v>
      </c>
      <c r="N6842" s="17">
        <v>14</v>
      </c>
      <c r="O6842" s="18">
        <v>300</v>
      </c>
      <c r="P6842" s="18">
        <v>336</v>
      </c>
      <c r="Q6842" t="s" s="16">
        <f>HYPERLINK("http://secrets.rutgers.edu:8080/data/asl-ftp/asllvd/demos/verify_start_end_handshape_annotations//test_auto_move//signs_mov/1531.mov","MOV")</f>
        <v>21</v>
      </c>
      <c r="R6842" t="s" s="16">
        <f>HYPERLINK("http://secrets.rutgers.edu:8080/data/asl-ftp/asllvd/demos/verify_start_end_handshape_annotations//test_auto_move//signs_mov_separ_signers/Tyler_1531.mov","MOV")</f>
        <v>21</v>
      </c>
    </row>
    <row r="6843" s="2" customFormat="1" ht="13.5" customHeight="1">
      <c r="B6843" s="13"/>
      <c r="C6843" t="s" s="9">
        <v>30</v>
      </c>
      <c r="D6843" t="s" s="8">
        <v>2362</v>
      </c>
      <c r="E6843" t="s" s="9">
        <v>2362</v>
      </c>
      <c r="F6843" t="s" s="10">
        <v>255</v>
      </c>
      <c r="G6843" t="s" s="11">
        <v>255</v>
      </c>
      <c r="H6843" t="s" s="10">
        <v>255</v>
      </c>
      <c r="I6843" t="s" s="11">
        <v>255</v>
      </c>
      <c r="J6843" t="s" s="11">
        <v>20</v>
      </c>
      <c r="K6843" s="15"/>
      <c r="L6843" t="s" s="16">
        <f>HYPERLINK("http://csr.bu.edu/ftp/asl/asllvd/demos/verify_start_end_handshape_annotations//test_auto_move//signs_mov_separ_signers/Brady_1531.mov","MOV")</f>
        <v>21</v>
      </c>
      <c r="M6843" t="s" s="10">
        <v>39</v>
      </c>
      <c r="N6843" s="17">
        <v>56</v>
      </c>
      <c r="O6843" s="18">
        <v>4069</v>
      </c>
      <c r="P6843" s="18">
        <v>4096</v>
      </c>
      <c r="Q6843" s="15"/>
      <c r="R6843" t="s" s="16">
        <f>HYPERLINK("http://secrets.rutgers.edu:8080/data/asl-ftp/asllvd/demos/verify_start_end_handshape_annotations//test_auto_move//signs_mov_separ_signers/Brady_1531.mov","MOV")</f>
        <v>21</v>
      </c>
    </row>
    <row r="6844" s="2" customFormat="1" ht="13.5" customHeight="1">
      <c r="B6844" t="s" s="8">
        <v>2363</v>
      </c>
      <c r="C6844" t="s" s="9">
        <v>14</v>
      </c>
      <c r="D6844" t="s" s="8">
        <v>14</v>
      </c>
      <c r="E6844" t="s" s="9">
        <v>14</v>
      </c>
      <c r="F6844" t="s" s="10">
        <v>14</v>
      </c>
      <c r="G6844" t="s" s="11">
        <v>14</v>
      </c>
      <c r="H6844" t="s" s="10">
        <v>14</v>
      </c>
      <c r="I6844" t="s" s="11">
        <v>14</v>
      </c>
      <c r="J6844" t="s" s="11">
        <v>14</v>
      </c>
      <c r="K6844" t="s" s="12">
        <v>14</v>
      </c>
      <c r="L6844" t="s" s="12">
        <v>14</v>
      </c>
      <c r="M6844" t="s" s="10">
        <v>14</v>
      </c>
      <c r="N6844" t="s" s="11">
        <v>14</v>
      </c>
      <c r="O6844" t="s" s="8">
        <v>14</v>
      </c>
      <c r="P6844" t="s" s="8">
        <v>14</v>
      </c>
      <c r="Q6844" t="s" s="12">
        <v>14</v>
      </c>
      <c r="R6844" t="s" s="12">
        <v>14</v>
      </c>
    </row>
    <row r="6845" s="2" customFormat="1" ht="13.5" customHeight="1">
      <c r="B6845" s="13"/>
      <c r="C6845" t="s" s="9">
        <v>16</v>
      </c>
      <c r="D6845" t="s" s="8">
        <v>2363</v>
      </c>
      <c r="E6845" t="s" s="9">
        <v>2363</v>
      </c>
      <c r="F6845" t="s" s="10">
        <v>757</v>
      </c>
      <c r="G6845" t="s" s="11">
        <v>55</v>
      </c>
      <c r="H6845" t="s" s="10">
        <v>757</v>
      </c>
      <c r="I6845" t="s" s="11">
        <v>55</v>
      </c>
      <c r="J6845" t="s" s="11">
        <v>20</v>
      </c>
      <c r="K6845" t="s" s="16">
        <f>HYPERLINK("http://csr.bu.edu/ftp/asl/asllvd/demos/verify_start_end_handshape_annotations//test_auto_move//signs_mov/1533.mov","MOV")</f>
        <v>21</v>
      </c>
      <c r="L6845" t="s" s="16">
        <f>HYPERLINK("http://csr.bu.edu/ftp/asl/asllvd/demos/verify_start_end_handshape_annotations//test_auto_move//signs_mov_separ_signers/Liz_1533.mov","MOV")</f>
        <v>21</v>
      </c>
      <c r="M6845" t="s" s="10">
        <v>88</v>
      </c>
      <c r="N6845" s="17">
        <v>4</v>
      </c>
      <c r="O6845" s="18">
        <v>2055</v>
      </c>
      <c r="P6845" s="18">
        <v>2090</v>
      </c>
      <c r="Q6845" t="s" s="16">
        <f>HYPERLINK("http://secrets.rutgers.edu:8080/data/asl-ftp/asllvd/demos/verify_start_end_handshape_annotations//test_auto_move//signs_mov/1533.mov","MOV")</f>
        <v>21</v>
      </c>
      <c r="R6845" t="s" s="16">
        <f>HYPERLINK("http://secrets.rutgers.edu:8080/data/asl-ftp/asllvd/demos/verify_start_end_handshape_annotations//test_auto_move//signs_mov_separ_signers/Liz_1533.mov","MOV")</f>
        <v>21</v>
      </c>
    </row>
    <row r="6846" s="2" customFormat="1" ht="13.5" customHeight="1">
      <c r="B6846" s="13"/>
      <c r="C6846" t="s" s="9">
        <v>30</v>
      </c>
      <c r="D6846" t="s" s="8">
        <v>2363</v>
      </c>
      <c r="E6846" t="s" s="9">
        <v>2363</v>
      </c>
      <c r="F6846" t="s" s="10">
        <v>283</v>
      </c>
      <c r="G6846" t="s" s="11">
        <v>68</v>
      </c>
      <c r="H6846" t="s" s="10">
        <v>283</v>
      </c>
      <c r="I6846" t="s" s="11">
        <v>68</v>
      </c>
      <c r="J6846" t="s" s="11">
        <v>20</v>
      </c>
      <c r="K6846" s="15"/>
      <c r="L6846" t="s" s="16">
        <f>HYPERLINK("http://csr.bu.edu/ftp/asl/asllvd/demos/verify_start_end_handshape_annotations//test_auto_move//signs_mov_separ_signers/Brady_1533.mov","MOV")</f>
        <v>21</v>
      </c>
      <c r="M6846" t="s" s="10">
        <v>39</v>
      </c>
      <c r="N6846" s="17">
        <v>56</v>
      </c>
      <c r="O6846" s="18">
        <v>4812</v>
      </c>
      <c r="P6846" s="18">
        <v>4839</v>
      </c>
      <c r="Q6846" s="15"/>
      <c r="R6846" t="s" s="16">
        <f>HYPERLINK("http://secrets.rutgers.edu:8080/data/asl-ftp/asllvd/demos/verify_start_end_handshape_annotations//test_auto_move//signs_mov_separ_signers/Brady_1533.mov","MOV")</f>
        <v>21</v>
      </c>
    </row>
    <row r="6847" s="2" customFormat="1" ht="13.5" customHeight="1">
      <c r="B6847" t="s" s="8">
        <v>2364</v>
      </c>
      <c r="C6847" t="s" s="9">
        <v>14</v>
      </c>
      <c r="D6847" t="s" s="8">
        <v>14</v>
      </c>
      <c r="E6847" t="s" s="9">
        <v>14</v>
      </c>
      <c r="F6847" t="s" s="10">
        <v>14</v>
      </c>
      <c r="G6847" t="s" s="11">
        <v>14</v>
      </c>
      <c r="H6847" t="s" s="10">
        <v>14</v>
      </c>
      <c r="I6847" t="s" s="11">
        <v>14</v>
      </c>
      <c r="J6847" t="s" s="11">
        <v>14</v>
      </c>
      <c r="K6847" t="s" s="12">
        <v>14</v>
      </c>
      <c r="L6847" t="s" s="12">
        <v>14</v>
      </c>
      <c r="M6847" t="s" s="10">
        <v>14</v>
      </c>
      <c r="N6847" t="s" s="11">
        <v>14</v>
      </c>
      <c r="O6847" t="s" s="8">
        <v>14</v>
      </c>
      <c r="P6847" t="s" s="8">
        <v>14</v>
      </c>
      <c r="Q6847" t="s" s="12">
        <v>14</v>
      </c>
      <c r="R6847" t="s" s="12">
        <v>14</v>
      </c>
    </row>
    <row r="6848" s="2" customFormat="1" ht="13.5" customHeight="1">
      <c r="B6848" s="13"/>
      <c r="C6848" t="s" s="9">
        <v>16</v>
      </c>
      <c r="D6848" t="s" s="8">
        <v>2364</v>
      </c>
      <c r="E6848" t="s" s="9">
        <v>2364</v>
      </c>
      <c r="F6848" t="s" s="10">
        <v>68</v>
      </c>
      <c r="G6848" s="14"/>
      <c r="H6848" t="s" s="10">
        <v>68</v>
      </c>
      <c r="I6848" s="14"/>
      <c r="J6848" t="s" s="11">
        <v>20</v>
      </c>
      <c r="K6848" s="15"/>
      <c r="L6848" t="s" s="16">
        <f>HYPERLINK("http://csr.bu.edu/ftp/asl/asllvd/demos/verify_start_end_handshape_annotations//test_auto_move//signs_mov_separ_signers/Liz_1534.mov","MOV")</f>
        <v>21</v>
      </c>
      <c r="M6848" t="s" s="10">
        <v>88</v>
      </c>
      <c r="N6848" s="17">
        <v>4</v>
      </c>
      <c r="O6848" s="18">
        <v>2400</v>
      </c>
      <c r="P6848" s="18">
        <v>2425</v>
      </c>
      <c r="Q6848" s="15"/>
      <c r="R6848" t="s" s="16">
        <f>HYPERLINK("http://secrets.rutgers.edu:8080/data/asl-ftp/asllvd/demos/verify_start_end_handshape_annotations//test_auto_move//signs_mov_separ_signers/Liz_1534.mov","MOV")</f>
        <v>21</v>
      </c>
    </row>
    <row r="6849" s="2" customFormat="1" ht="13.5" customHeight="1">
      <c r="B6849" s="13"/>
      <c r="C6849" t="s" s="9">
        <v>16</v>
      </c>
      <c r="D6849" t="s" s="8">
        <v>2364</v>
      </c>
      <c r="E6849" t="s" s="9">
        <v>2364</v>
      </c>
      <c r="F6849" t="s" s="10">
        <v>68</v>
      </c>
      <c r="G6849" s="14"/>
      <c r="H6849" t="s" s="10">
        <v>68</v>
      </c>
      <c r="I6849" s="14"/>
      <c r="J6849" t="s" s="11">
        <v>20</v>
      </c>
      <c r="K6849" s="15"/>
      <c r="L6849" t="s" s="16">
        <f>HYPERLINK("http://csr.bu.edu/ftp/asl/asllvd/demos/verify_start_end_handshape_annotations//test_auto_move//signs_mov_separ_signers/Liz_3684.mov","MOV")</f>
        <v>21</v>
      </c>
      <c r="M6849" t="s" s="10">
        <v>88</v>
      </c>
      <c r="N6849" s="17">
        <v>4</v>
      </c>
      <c r="O6849" s="18">
        <v>2606</v>
      </c>
      <c r="P6849" s="18">
        <v>2652</v>
      </c>
      <c r="Q6849" s="15"/>
      <c r="R6849" t="s" s="16">
        <f>HYPERLINK("http://secrets.rutgers.edu:8080/data/asl-ftp/asllvd/demos/verify_start_end_handshape_annotations//test_auto_move//signs_mov_separ_signers/Liz_3684.mov","MOV")</f>
        <v>21</v>
      </c>
    </row>
    <row r="6850" s="2" customFormat="1" ht="13.5" customHeight="1">
      <c r="B6850" s="13"/>
      <c r="C6850" t="s" s="9">
        <v>23</v>
      </c>
      <c r="D6850" t="s" s="8">
        <v>2364</v>
      </c>
      <c r="E6850" t="s" s="9">
        <v>2364</v>
      </c>
      <c r="F6850" t="s" s="10">
        <v>68</v>
      </c>
      <c r="G6850" s="14"/>
      <c r="H6850" t="s" s="10">
        <v>68</v>
      </c>
      <c r="I6850" s="14"/>
      <c r="J6850" t="s" s="11">
        <v>20</v>
      </c>
      <c r="K6850" t="s" s="16">
        <f>HYPERLINK("http://csr.bu.edu/ftp/asl/asllvd/demos/verify_start_end_handshape_annotations//test_auto_move//signs_mov/1534_3684_merged.mov","MOV")</f>
        <v>21</v>
      </c>
      <c r="L6850" t="s" s="16">
        <f>HYPERLINK("http://csr.bu.edu/ftp/asl/asllvd/demos/verify_start_end_handshape_annotations//test_auto_move//signs_mov_separ_signers/Tyler_1534.mov","MOV")</f>
        <v>21</v>
      </c>
      <c r="M6850" t="s" s="10">
        <v>47</v>
      </c>
      <c r="N6850" s="17">
        <v>14</v>
      </c>
      <c r="O6850" s="18">
        <v>1847</v>
      </c>
      <c r="P6850" s="18">
        <v>1885</v>
      </c>
      <c r="Q6850" t="s" s="16">
        <f>HYPERLINK("http://secrets.rutgers.edu:8080/data/asl-ftp/asllvd/demos/verify_start_end_handshape_annotations//test_auto_move//signs_mov/1534_3684_merged.mov","MOV")</f>
        <v>21</v>
      </c>
      <c r="R6850" t="s" s="16">
        <f>HYPERLINK("http://secrets.rutgers.edu:8080/data/asl-ftp/asllvd/demos/verify_start_end_handshape_annotations//test_auto_move//signs_mov_separ_signers/Tyler_1534.mov","MOV")</f>
        <v>21</v>
      </c>
    </row>
    <row r="6851" s="2" customFormat="1" ht="13.5" customHeight="1">
      <c r="B6851" s="13"/>
      <c r="C6851" t="s" s="9">
        <v>30</v>
      </c>
      <c r="D6851" t="s" s="8">
        <v>2364</v>
      </c>
      <c r="E6851" t="s" s="9">
        <v>2364</v>
      </c>
      <c r="F6851" t="s" s="10">
        <v>68</v>
      </c>
      <c r="G6851" s="14"/>
      <c r="H6851" t="s" s="10">
        <v>68</v>
      </c>
      <c r="I6851" s="14"/>
      <c r="J6851" t="s" s="11">
        <v>20</v>
      </c>
      <c r="K6851" s="15"/>
      <c r="L6851" t="s" s="16">
        <f>HYPERLINK("http://csr.bu.edu/ftp/asl/asllvd/demos/verify_start_end_handshape_annotations//test_auto_move//signs_mov_separ_signers/Brady_1534.mov","MOV")</f>
        <v>21</v>
      </c>
      <c r="M6851" t="s" s="10">
        <v>39</v>
      </c>
      <c r="N6851" s="17">
        <v>56</v>
      </c>
      <c r="O6851" s="18">
        <v>5393</v>
      </c>
      <c r="P6851" s="18">
        <v>5427</v>
      </c>
      <c r="Q6851" s="15"/>
      <c r="R6851" t="s" s="16">
        <f>HYPERLINK("http://secrets.rutgers.edu:8080/data/asl-ftp/asllvd/demos/verify_start_end_handshape_annotations//test_auto_move//signs_mov_separ_signers/Brady_1534.mov","MOV")</f>
        <v>21</v>
      </c>
    </row>
    <row r="6852" s="2" customFormat="1" ht="13.5" customHeight="1">
      <c r="B6852" s="13"/>
      <c r="C6852" t="s" s="9">
        <v>30</v>
      </c>
      <c r="D6852" t="s" s="8">
        <v>2364</v>
      </c>
      <c r="E6852" t="s" s="9">
        <v>2364</v>
      </c>
      <c r="F6852" t="s" s="10">
        <v>68</v>
      </c>
      <c r="G6852" s="14"/>
      <c r="H6852" t="s" s="10">
        <v>68</v>
      </c>
      <c r="I6852" s="14"/>
      <c r="J6852" t="s" s="11">
        <v>20</v>
      </c>
      <c r="K6852" s="15"/>
      <c r="L6852" t="s" s="16">
        <f>HYPERLINK("http://csr.bu.edu/ftp/asl/asllvd/demos/verify_start_end_handshape_annotations//test_auto_move//signs_mov_separ_signers/Brady_3684.mov","MOV")</f>
        <v>21</v>
      </c>
      <c r="M6852" t="s" s="10">
        <v>39</v>
      </c>
      <c r="N6852" s="17">
        <v>56</v>
      </c>
      <c r="O6852" s="18">
        <v>5711</v>
      </c>
      <c r="P6852" s="18">
        <v>5756</v>
      </c>
      <c r="Q6852" s="15"/>
      <c r="R6852" t="s" s="16">
        <f>HYPERLINK("http://secrets.rutgers.edu:8080/data/asl-ftp/asllvd/demos/verify_start_end_handshape_annotations//test_auto_move//signs_mov_separ_signers/Brady_3684.mov","MOV")</f>
        <v>21</v>
      </c>
    </row>
    <row r="6853" s="2" customFormat="1" ht="13.5" customHeight="1">
      <c r="B6853" t="s" s="8">
        <v>2365</v>
      </c>
      <c r="C6853" t="s" s="9">
        <v>14</v>
      </c>
      <c r="D6853" t="s" s="8">
        <v>14</v>
      </c>
      <c r="E6853" t="s" s="9">
        <v>14</v>
      </c>
      <c r="F6853" t="s" s="10">
        <v>14</v>
      </c>
      <c r="G6853" t="s" s="11">
        <v>14</v>
      </c>
      <c r="H6853" t="s" s="10">
        <v>14</v>
      </c>
      <c r="I6853" t="s" s="11">
        <v>14</v>
      </c>
      <c r="J6853" t="s" s="11">
        <v>14</v>
      </c>
      <c r="K6853" t="s" s="12">
        <v>14</v>
      </c>
      <c r="L6853" t="s" s="12">
        <v>14</v>
      </c>
      <c r="M6853" t="s" s="10">
        <v>14</v>
      </c>
      <c r="N6853" t="s" s="11">
        <v>14</v>
      </c>
      <c r="O6853" t="s" s="8">
        <v>14</v>
      </c>
      <c r="P6853" t="s" s="8">
        <v>14</v>
      </c>
      <c r="Q6853" t="s" s="12">
        <v>14</v>
      </c>
      <c r="R6853" t="s" s="12">
        <v>14</v>
      </c>
    </row>
    <row r="6854" s="2" customFormat="1" ht="13.5" customHeight="1">
      <c r="B6854" s="13"/>
      <c r="C6854" t="s" s="9">
        <v>16</v>
      </c>
      <c r="D6854" t="s" s="8">
        <v>2365</v>
      </c>
      <c r="E6854" t="s" s="9">
        <v>2366</v>
      </c>
      <c r="F6854" t="s" s="10">
        <v>68</v>
      </c>
      <c r="G6854" t="s" s="11">
        <v>68</v>
      </c>
      <c r="H6854" t="s" s="10">
        <v>148</v>
      </c>
      <c r="I6854" t="s" s="11">
        <v>148</v>
      </c>
      <c r="J6854" t="s" s="11">
        <v>20</v>
      </c>
      <c r="K6854" t="s" s="16">
        <f>HYPERLINK("http://csr.bu.edu/ftp/asl/asllvd/demos/verify_start_end_handshape_annotations//test_auto_move//signs_mov/1536.mov","MOV")</f>
        <v>21</v>
      </c>
      <c r="L6854" t="s" s="16">
        <f>HYPERLINK("http://csr.bu.edu/ftp/asl/asllvd/demos/verify_start_end_handshape_annotations//test_auto_move//signs_mov_separ_signers/Liz_1536.mov","MOV")</f>
        <v>21</v>
      </c>
      <c r="M6854" t="s" s="10">
        <v>88</v>
      </c>
      <c r="N6854" s="17">
        <v>4</v>
      </c>
      <c r="O6854" s="18">
        <v>2915</v>
      </c>
      <c r="P6854" s="18">
        <v>2955</v>
      </c>
      <c r="Q6854" t="s" s="16">
        <f>HYPERLINK("http://secrets.rutgers.edu:8080/data/asl-ftp/asllvd/demos/verify_start_end_handshape_annotations//test_auto_move//signs_mov/1536.mov","MOV")</f>
        <v>21</v>
      </c>
      <c r="R6854" t="s" s="16">
        <f>HYPERLINK("http://secrets.rutgers.edu:8080/data/asl-ftp/asllvd/demos/verify_start_end_handshape_annotations//test_auto_move//signs_mov_separ_signers/Liz_1536.mov","MOV")</f>
        <v>21</v>
      </c>
    </row>
    <row r="6855" s="2" customFormat="1" ht="13.5" customHeight="1">
      <c r="B6855" s="13"/>
      <c r="C6855" t="s" s="9">
        <v>23</v>
      </c>
      <c r="D6855" t="s" s="8">
        <v>2365</v>
      </c>
      <c r="E6855" t="s" s="9">
        <v>2366</v>
      </c>
      <c r="F6855" t="s" s="10">
        <v>68</v>
      </c>
      <c r="G6855" t="s" s="11">
        <v>68</v>
      </c>
      <c r="H6855" t="s" s="10">
        <v>148</v>
      </c>
      <c r="I6855" t="s" s="11">
        <v>148</v>
      </c>
      <c r="J6855" t="s" s="11">
        <v>20</v>
      </c>
      <c r="K6855" s="15"/>
      <c r="L6855" t="s" s="16">
        <f>HYPERLINK("http://csr.bu.edu/ftp/asl/asllvd/demos/verify_start_end_handshape_annotations//test_auto_move//signs_mov_separ_signers/Tyler_1536.mov","MOV")</f>
        <v>21</v>
      </c>
      <c r="M6855" t="s" s="10">
        <v>47</v>
      </c>
      <c r="N6855" s="17">
        <v>14</v>
      </c>
      <c r="O6855" s="18">
        <v>2595</v>
      </c>
      <c r="P6855" s="18">
        <v>2630</v>
      </c>
      <c r="Q6855" s="15"/>
      <c r="R6855" t="s" s="16">
        <f>HYPERLINK("http://secrets.rutgers.edu:8080/data/asl-ftp/asllvd/demos/verify_start_end_handshape_annotations//test_auto_move//signs_mov_separ_signers/Tyler_1536.mov","MOV")</f>
        <v>21</v>
      </c>
    </row>
    <row r="6856" s="2" customFormat="1" ht="13.5" customHeight="1">
      <c r="B6856" t="s" s="8">
        <v>52</v>
      </c>
      <c r="C6856" t="s" s="9">
        <v>53</v>
      </c>
      <c r="D6856" t="s" s="8">
        <v>53</v>
      </c>
      <c r="E6856" t="s" s="9">
        <v>53</v>
      </c>
      <c r="F6856" t="s" s="10">
        <v>53</v>
      </c>
      <c r="G6856" t="s" s="11">
        <v>53</v>
      </c>
      <c r="H6856" t="s" s="10">
        <v>53</v>
      </c>
      <c r="I6856" t="s" s="11">
        <v>53</v>
      </c>
      <c r="J6856" t="s" s="11">
        <v>53</v>
      </c>
      <c r="K6856" t="s" s="12">
        <v>53</v>
      </c>
      <c r="L6856" t="s" s="12">
        <v>53</v>
      </c>
      <c r="M6856" t="s" s="10">
        <v>53</v>
      </c>
      <c r="N6856" t="s" s="11">
        <v>53</v>
      </c>
      <c r="O6856" t="s" s="8">
        <v>53</v>
      </c>
      <c r="P6856" t="s" s="8">
        <v>53</v>
      </c>
      <c r="Q6856" t="s" s="12">
        <v>53</v>
      </c>
      <c r="R6856" t="s" s="12">
        <v>53</v>
      </c>
    </row>
    <row r="6857" s="2" customFormat="1" ht="13.5" customHeight="1">
      <c r="B6857" s="13"/>
      <c r="C6857" t="s" s="9">
        <v>30</v>
      </c>
      <c r="D6857" t="s" s="8">
        <v>2365</v>
      </c>
      <c r="E6857" t="s" s="9">
        <v>2367</v>
      </c>
      <c r="F6857" t="s" s="10">
        <v>68</v>
      </c>
      <c r="G6857" t="s" s="11">
        <v>68</v>
      </c>
      <c r="H6857" t="s" s="10">
        <v>229</v>
      </c>
      <c r="I6857" t="s" s="11">
        <v>229</v>
      </c>
      <c r="J6857" t="s" s="11">
        <v>20</v>
      </c>
      <c r="K6857" t="s" s="16">
        <f>HYPERLINK("http://csr.bu.edu/ftp/asl/asllvd/demos/verify_start_end_handshape_annotations//test_auto_move//signs_mov/15702.mov","MOV")</f>
        <v>21</v>
      </c>
      <c r="L6857" t="s" s="16">
        <f>HYPERLINK("http://csr.bu.edu/ftp/asl/asllvd/demos/verify_start_end_handshape_annotations//test_auto_move//signs_mov_separ_signers/Brady_15702.mov","MOV")</f>
        <v>21</v>
      </c>
      <c r="M6857" t="s" s="10">
        <v>39</v>
      </c>
      <c r="N6857" s="17">
        <v>57</v>
      </c>
      <c r="O6857" s="18">
        <v>246</v>
      </c>
      <c r="P6857" s="18">
        <v>278</v>
      </c>
      <c r="Q6857" t="s" s="16">
        <f>HYPERLINK("http://secrets.rutgers.edu:8080/data/asl-ftp/asllvd/demos/verify_start_end_handshape_annotations//test_auto_move//signs_mov/15702.mov","MOV")</f>
        <v>21</v>
      </c>
      <c r="R6857" t="s" s="16">
        <f>HYPERLINK("http://secrets.rutgers.edu:8080/data/asl-ftp/asllvd/demos/verify_start_end_handshape_annotations//test_auto_move//signs_mov_separ_signers/Brady_15702.mov","MOV")</f>
        <v>21</v>
      </c>
    </row>
    <row r="6858" s="2" customFormat="1" ht="13.5" customHeight="1">
      <c r="B6858" t="s" s="8">
        <v>2368</v>
      </c>
      <c r="C6858" t="s" s="9">
        <v>14</v>
      </c>
      <c r="D6858" t="s" s="8">
        <v>14</v>
      </c>
      <c r="E6858" t="s" s="9">
        <v>14</v>
      </c>
      <c r="F6858" t="s" s="10">
        <v>14</v>
      </c>
      <c r="G6858" t="s" s="11">
        <v>14</v>
      </c>
      <c r="H6858" t="s" s="10">
        <v>14</v>
      </c>
      <c r="I6858" t="s" s="11">
        <v>14</v>
      </c>
      <c r="J6858" t="s" s="11">
        <v>14</v>
      </c>
      <c r="K6858" t="s" s="12">
        <v>14</v>
      </c>
      <c r="L6858" t="s" s="12">
        <v>14</v>
      </c>
      <c r="M6858" t="s" s="10">
        <v>14</v>
      </c>
      <c r="N6858" t="s" s="11">
        <v>14</v>
      </c>
      <c r="O6858" t="s" s="8">
        <v>14</v>
      </c>
      <c r="P6858" t="s" s="8">
        <v>14</v>
      </c>
      <c r="Q6858" t="s" s="12">
        <v>14</v>
      </c>
      <c r="R6858" t="s" s="12">
        <v>14</v>
      </c>
    </row>
    <row r="6859" s="2" customFormat="1" ht="13.5" customHeight="1">
      <c r="B6859" s="13"/>
      <c r="C6859" t="s" s="9">
        <v>23</v>
      </c>
      <c r="D6859" t="s" s="8">
        <v>2368</v>
      </c>
      <c r="E6859" t="s" s="9">
        <v>2369</v>
      </c>
      <c r="F6859" t="s" s="10">
        <v>517</v>
      </c>
      <c r="G6859" t="s" s="11">
        <v>105</v>
      </c>
      <c r="H6859" t="s" s="10">
        <v>229</v>
      </c>
      <c r="I6859" t="s" s="11">
        <v>105</v>
      </c>
      <c r="J6859" t="s" s="11">
        <v>136</v>
      </c>
      <c r="K6859" s="15"/>
      <c r="L6859" t="s" s="16">
        <f>HYPERLINK("http://csr.bu.edu/ftp/asl/asllvd/demos/verify_start_end_handshape_annotations//test_auto_move//signs_mov_separ_signers/Tyler_1537.mov","MOV")</f>
        <v>21</v>
      </c>
      <c r="M6859" t="s" s="10">
        <v>47</v>
      </c>
      <c r="N6859" s="17">
        <v>14</v>
      </c>
      <c r="O6859" s="18">
        <v>3005</v>
      </c>
      <c r="P6859" s="18">
        <v>3030</v>
      </c>
      <c r="Q6859" s="15"/>
      <c r="R6859" t="s" s="16">
        <f>HYPERLINK("http://secrets.rutgers.edu:8080/data/asl-ftp/asllvd/demos/verify_start_end_handshape_annotations//test_auto_move//signs_mov_separ_signers/Tyler_1537.mov","MOV")</f>
        <v>21</v>
      </c>
    </row>
    <row r="6860" s="2" customFormat="1" ht="13.5" customHeight="1">
      <c r="B6860" s="13"/>
      <c r="C6860" t="s" s="9">
        <v>30</v>
      </c>
      <c r="D6860" t="s" s="8">
        <v>2368</v>
      </c>
      <c r="E6860" t="s" s="9">
        <v>2370</v>
      </c>
      <c r="F6860" t="s" s="10">
        <v>2371</v>
      </c>
      <c r="G6860" t="s" s="11">
        <v>55</v>
      </c>
      <c r="H6860" t="s" s="10">
        <v>229</v>
      </c>
      <c r="I6860" t="s" s="11">
        <v>55</v>
      </c>
      <c r="J6860" t="s" s="11">
        <v>136</v>
      </c>
      <c r="K6860" t="s" s="16">
        <f>HYPERLINK("http://csr.bu.edu/ftp/asl/asllvd/demos/verify_start_end_handshape_annotations//test_auto_move//signs_mov/1537_3685_merged.mov","MOV")</f>
        <v>21</v>
      </c>
      <c r="L6860" t="s" s="16">
        <f>HYPERLINK("http://csr.bu.edu/ftp/asl/asllvd/demos/verify_start_end_handshape_annotations//test_auto_move//signs_mov_separ_signers/Brady_1537.mov","MOV")</f>
        <v>21</v>
      </c>
      <c r="M6860" t="s" s="10">
        <v>39</v>
      </c>
      <c r="N6860" s="17">
        <v>57</v>
      </c>
      <c r="O6860" s="18">
        <v>853</v>
      </c>
      <c r="P6860" s="18">
        <v>898</v>
      </c>
      <c r="Q6860" t="s" s="16">
        <f>HYPERLINK("http://secrets.rutgers.edu:8080/data/asl-ftp/asllvd/demos/verify_start_end_handshape_annotations//test_auto_move//signs_mov/1537_3685_merged.mov","MOV")</f>
        <v>21</v>
      </c>
      <c r="R6860" t="s" s="16">
        <f>HYPERLINK("http://secrets.rutgers.edu:8080/data/asl-ftp/asllvd/demos/verify_start_end_handshape_annotations//test_auto_move//signs_mov_separ_signers/Brady_1537.mov","MOV")</f>
        <v>21</v>
      </c>
    </row>
    <row r="6861" s="2" customFormat="1" ht="13.5" customHeight="1">
      <c r="B6861" s="13"/>
      <c r="C6861" t="s" s="9">
        <v>30</v>
      </c>
      <c r="D6861" t="s" s="8">
        <v>2368</v>
      </c>
      <c r="E6861" t="s" s="9">
        <v>2369</v>
      </c>
      <c r="F6861" t="s" s="10">
        <v>229</v>
      </c>
      <c r="G6861" t="s" s="11">
        <v>55</v>
      </c>
      <c r="H6861" t="s" s="10">
        <v>229</v>
      </c>
      <c r="I6861" t="s" s="11">
        <v>55</v>
      </c>
      <c r="J6861" t="s" s="11">
        <v>136</v>
      </c>
      <c r="K6861" s="15"/>
      <c r="L6861" t="s" s="16">
        <f>HYPERLINK("http://csr.bu.edu/ftp/asl/asllvd/demos/verify_start_end_handshape_annotations//test_auto_move//signs_mov_separ_signers/Brady_3685.mov","MOV")</f>
        <v>21</v>
      </c>
      <c r="M6861" t="s" s="10">
        <v>40</v>
      </c>
      <c r="N6861" s="17">
        <v>2</v>
      </c>
      <c r="O6861" s="18">
        <v>643</v>
      </c>
      <c r="P6861" s="18">
        <v>677</v>
      </c>
      <c r="Q6861" s="15"/>
      <c r="R6861" t="s" s="16">
        <f>HYPERLINK("http://secrets.rutgers.edu:8080/data/asl-ftp/asllvd/demos/verify_start_end_handshape_annotations//test_auto_move//signs_mov_separ_signers/Brady_3685.mov","MOV")</f>
        <v>21</v>
      </c>
    </row>
    <row r="6862" s="2" customFormat="1" ht="13.5" customHeight="1">
      <c r="B6862" t="s" s="8">
        <v>52</v>
      </c>
      <c r="C6862" t="s" s="9">
        <v>53</v>
      </c>
      <c r="D6862" t="s" s="8">
        <v>53</v>
      </c>
      <c r="E6862" t="s" s="9">
        <v>53</v>
      </c>
      <c r="F6862" t="s" s="10">
        <v>53</v>
      </c>
      <c r="G6862" t="s" s="11">
        <v>53</v>
      </c>
      <c r="H6862" t="s" s="10">
        <v>53</v>
      </c>
      <c r="I6862" t="s" s="11">
        <v>53</v>
      </c>
      <c r="J6862" t="s" s="11">
        <v>53</v>
      </c>
      <c r="K6862" t="s" s="12">
        <v>53</v>
      </c>
      <c r="L6862" t="s" s="12">
        <v>53</v>
      </c>
      <c r="M6862" t="s" s="10">
        <v>53</v>
      </c>
      <c r="N6862" t="s" s="11">
        <v>53</v>
      </c>
      <c r="O6862" t="s" s="8">
        <v>53</v>
      </c>
      <c r="P6862" t="s" s="8">
        <v>53</v>
      </c>
      <c r="Q6862" t="s" s="12">
        <v>53</v>
      </c>
      <c r="R6862" t="s" s="12">
        <v>53</v>
      </c>
    </row>
    <row r="6863" s="2" customFormat="1" ht="13.5" customHeight="1">
      <c r="B6863" s="13"/>
      <c r="C6863" t="s" s="9">
        <v>16</v>
      </c>
      <c r="D6863" t="s" s="8">
        <v>2368</v>
      </c>
      <c r="E6863" t="s" s="9">
        <v>2372</v>
      </c>
      <c r="F6863" t="s" s="10">
        <v>517</v>
      </c>
      <c r="G6863" t="s" s="11">
        <v>105</v>
      </c>
      <c r="H6863" t="s" s="10">
        <v>229</v>
      </c>
      <c r="I6863" t="s" s="11">
        <v>105</v>
      </c>
      <c r="J6863" t="s" s="11">
        <v>136</v>
      </c>
      <c r="K6863" t="s" s="16">
        <f>HYPERLINK("http://csr.bu.edu/ftp/asl/asllvd/demos/verify_start_end_handshape_annotations//test_auto_move//signs_mov/5290.mov","MOV")</f>
        <v>21</v>
      </c>
      <c r="L6863" t="s" s="16">
        <f>HYPERLINK("http://csr.bu.edu/ftp/asl/asllvd/demos/verify_start_end_handshape_annotations//test_auto_move//signs_mov_separ_signers/Liz_5290.mov","MOV")</f>
        <v>21</v>
      </c>
      <c r="M6863" t="s" s="10">
        <v>88</v>
      </c>
      <c r="N6863" s="17">
        <v>4</v>
      </c>
      <c r="O6863" s="18">
        <v>3647</v>
      </c>
      <c r="P6863" s="18">
        <v>3686</v>
      </c>
      <c r="Q6863" t="s" s="16">
        <f>HYPERLINK("http://secrets.rutgers.edu:8080/data/asl-ftp/asllvd/demos/verify_start_end_handshape_annotations//test_auto_move//signs_mov/5290.mov","MOV")</f>
        <v>21</v>
      </c>
      <c r="R6863" t="s" s="16">
        <f>HYPERLINK("http://secrets.rutgers.edu:8080/data/asl-ftp/asllvd/demos/verify_start_end_handshape_annotations//test_auto_move//signs_mov_separ_signers/Liz_5290.mov","MOV")</f>
        <v>21</v>
      </c>
    </row>
    <row r="6864" s="2" customFormat="1" ht="27.75" customHeight="1">
      <c r="B6864" t="s" s="8">
        <v>2373</v>
      </c>
      <c r="C6864" t="s" s="9">
        <v>14</v>
      </c>
      <c r="D6864" t="s" s="8">
        <v>14</v>
      </c>
      <c r="E6864" t="s" s="9">
        <v>14</v>
      </c>
      <c r="F6864" t="s" s="10">
        <v>14</v>
      </c>
      <c r="G6864" t="s" s="11">
        <v>14</v>
      </c>
      <c r="H6864" t="s" s="10">
        <v>14</v>
      </c>
      <c r="I6864" t="s" s="11">
        <v>14</v>
      </c>
      <c r="J6864" t="s" s="11">
        <v>14</v>
      </c>
      <c r="K6864" t="s" s="12">
        <v>14</v>
      </c>
      <c r="L6864" t="s" s="12">
        <v>14</v>
      </c>
      <c r="M6864" t="s" s="10">
        <v>14</v>
      </c>
      <c r="N6864" t="s" s="11">
        <v>14</v>
      </c>
      <c r="O6864" t="s" s="8">
        <v>14</v>
      </c>
      <c r="P6864" t="s" s="8">
        <v>14</v>
      </c>
      <c r="Q6864" t="s" s="12">
        <v>14</v>
      </c>
      <c r="R6864" t="s" s="12">
        <v>14</v>
      </c>
    </row>
    <row r="6865" s="2" customFormat="1" ht="27.75" customHeight="1">
      <c r="B6865" s="13"/>
      <c r="C6865" t="s" s="9">
        <v>16</v>
      </c>
      <c r="D6865" t="s" s="8">
        <v>2373</v>
      </c>
      <c r="E6865" t="s" s="9">
        <v>2374</v>
      </c>
      <c r="F6865" t="s" s="10">
        <v>152</v>
      </c>
      <c r="G6865" s="14"/>
      <c r="H6865" t="s" s="10">
        <v>152</v>
      </c>
      <c r="I6865" s="14"/>
      <c r="J6865" t="s" s="11">
        <v>20</v>
      </c>
      <c r="K6865" t="s" s="16">
        <f>HYPERLINK("http://csr.bu.edu/ftp/asl/asllvd/demos/verify_start_end_handshape_annotations//test_auto_move//signs_mov/15792.mov","MOV")</f>
        <v>21</v>
      </c>
      <c r="L6865" t="s" s="16">
        <f>HYPERLINK("http://csr.bu.edu/ftp/asl/asllvd/demos/verify_start_end_handshape_annotations//test_auto_move//signs_mov_separ_signers/Liz_15792.mov","MOV")</f>
        <v>21</v>
      </c>
      <c r="M6865" t="s" s="10">
        <v>88</v>
      </c>
      <c r="N6865" s="17">
        <v>4</v>
      </c>
      <c r="O6865" s="18">
        <v>3332</v>
      </c>
      <c r="P6865" s="18">
        <v>3391</v>
      </c>
      <c r="Q6865" t="s" s="16">
        <f>HYPERLINK("http://secrets.rutgers.edu:8080/data/asl-ftp/asllvd/demos/verify_start_end_handshape_annotations//test_auto_move//signs_mov/15792.mov","MOV")</f>
        <v>21</v>
      </c>
      <c r="R6865" t="s" s="16">
        <f>HYPERLINK("http://secrets.rutgers.edu:8080/data/asl-ftp/asllvd/demos/verify_start_end_handshape_annotations//test_auto_move//signs_mov_separ_signers/Liz_15792.mov","MOV")</f>
        <v>21</v>
      </c>
    </row>
    <row r="6866" s="2" customFormat="1" ht="27.75" customHeight="1">
      <c r="B6866" s="13"/>
      <c r="C6866" t="s" s="9">
        <v>30</v>
      </c>
      <c r="D6866" t="s" s="8">
        <v>2373</v>
      </c>
      <c r="E6866" t="s" s="9">
        <v>2373</v>
      </c>
      <c r="F6866" t="s" s="10">
        <v>55</v>
      </c>
      <c r="G6866" s="14"/>
      <c r="H6866" t="s" s="10">
        <v>55</v>
      </c>
      <c r="I6866" s="14"/>
      <c r="J6866" t="s" s="11">
        <v>20</v>
      </c>
      <c r="K6866" s="15"/>
      <c r="L6866" t="s" s="16">
        <f>HYPERLINK("http://csr.bu.edu/ftp/asl/asllvd/demos/verify_start_end_handshape_annotations//test_auto_move//signs_mov_separ_signers/Brady_15792.mov","MOV")</f>
        <v>21</v>
      </c>
      <c r="M6866" t="s" s="10">
        <v>40</v>
      </c>
      <c r="N6866" s="17">
        <v>2</v>
      </c>
      <c r="O6866" s="18">
        <v>278</v>
      </c>
      <c r="P6866" s="18">
        <v>332</v>
      </c>
      <c r="Q6866" s="15"/>
      <c r="R6866" t="s" s="16">
        <f>HYPERLINK("http://secrets.rutgers.edu:8080/data/asl-ftp/asllvd/demos/verify_start_end_handshape_annotations//test_auto_move//signs_mov_separ_signers/Brady_15792.mov","MOV")</f>
        <v>21</v>
      </c>
    </row>
    <row r="6867" s="2" customFormat="1" ht="13.5" customHeight="1">
      <c r="B6867" t="s" s="8">
        <v>2375</v>
      </c>
      <c r="C6867" t="s" s="9">
        <v>14</v>
      </c>
      <c r="D6867" t="s" s="8">
        <v>14</v>
      </c>
      <c r="E6867" t="s" s="9">
        <v>14</v>
      </c>
      <c r="F6867" t="s" s="10">
        <v>14</v>
      </c>
      <c r="G6867" t="s" s="11">
        <v>14</v>
      </c>
      <c r="H6867" t="s" s="10">
        <v>14</v>
      </c>
      <c r="I6867" t="s" s="11">
        <v>14</v>
      </c>
      <c r="J6867" t="s" s="11">
        <v>14</v>
      </c>
      <c r="K6867" t="s" s="12">
        <v>14</v>
      </c>
      <c r="L6867" t="s" s="12">
        <v>14</v>
      </c>
      <c r="M6867" t="s" s="10">
        <v>14</v>
      </c>
      <c r="N6867" t="s" s="11">
        <v>14</v>
      </c>
      <c r="O6867" t="s" s="8">
        <v>14</v>
      </c>
      <c r="P6867" t="s" s="8">
        <v>14</v>
      </c>
      <c r="Q6867" t="s" s="12">
        <v>14</v>
      </c>
      <c r="R6867" t="s" s="12">
        <v>14</v>
      </c>
    </row>
    <row r="6868" s="2" customFormat="1" ht="13.5" customHeight="1">
      <c r="B6868" s="13"/>
      <c r="C6868" t="s" s="9">
        <v>16</v>
      </c>
      <c r="D6868" t="s" s="8">
        <v>2375</v>
      </c>
      <c r="E6868" t="s" s="9">
        <v>2375</v>
      </c>
      <c r="F6868" t="s" s="10">
        <v>55</v>
      </c>
      <c r="G6868" t="s" s="11">
        <v>55</v>
      </c>
      <c r="H6868" t="s" s="10">
        <v>55</v>
      </c>
      <c r="I6868" t="s" s="11">
        <v>55</v>
      </c>
      <c r="J6868" t="s" s="11">
        <v>136</v>
      </c>
      <c r="K6868" s="15"/>
      <c r="L6868" t="s" s="16">
        <f>HYPERLINK("http://csr.bu.edu/ftp/asl/asllvd/demos/verify_start_end_handshape_annotations//test_auto_move//signs_mov_separ_signers/Liz_16405.mov","MOV")</f>
        <v>21</v>
      </c>
      <c r="M6868" t="s" s="10">
        <v>22</v>
      </c>
      <c r="N6868" s="17">
        <v>11</v>
      </c>
      <c r="O6868" s="18">
        <v>1205</v>
      </c>
      <c r="P6868" s="18">
        <v>1260</v>
      </c>
      <c r="Q6868" s="15"/>
      <c r="R6868" t="s" s="16">
        <f>HYPERLINK("http://secrets.rutgers.edu:8080/data/asl-ftp/asllvd/demos/verify_start_end_handshape_annotations//test_auto_move//signs_mov_separ_signers/Liz_16405.mov","MOV")</f>
        <v>21</v>
      </c>
    </row>
    <row r="6869" s="2" customFormat="1" ht="13.5" customHeight="1">
      <c r="B6869" s="13"/>
      <c r="C6869" t="s" s="9">
        <v>27</v>
      </c>
      <c r="D6869" t="s" s="8">
        <v>2375</v>
      </c>
      <c r="E6869" t="s" s="9">
        <v>2375</v>
      </c>
      <c r="F6869" t="s" s="10">
        <v>73</v>
      </c>
      <c r="G6869" t="s" s="11">
        <v>55</v>
      </c>
      <c r="H6869" t="s" s="10">
        <v>73</v>
      </c>
      <c r="I6869" t="s" s="11">
        <v>55</v>
      </c>
      <c r="J6869" t="s" s="11">
        <v>136</v>
      </c>
      <c r="K6869" t="s" s="16">
        <f>HYPERLINK("http://csr.bu.edu/ftp/asl/asllvd/demos/verify_start_end_handshape_annotations//test_auto_move//signs_mov/16405.mov","MOV")</f>
        <v>21</v>
      </c>
      <c r="L6869" t="s" s="16">
        <f>HYPERLINK("http://csr.bu.edu/ftp/asl/asllvd/demos/verify_start_end_handshape_annotations//test_auto_move//signs_mov_separ_signers/Naomi_16405.mov","MOV")</f>
        <v>21</v>
      </c>
      <c r="M6869" t="s" s="10">
        <v>29</v>
      </c>
      <c r="N6869" s="17">
        <v>8</v>
      </c>
      <c r="O6869" s="18">
        <v>2460</v>
      </c>
      <c r="P6869" s="18">
        <v>2496</v>
      </c>
      <c r="Q6869" t="s" s="16">
        <f>HYPERLINK("http://secrets.rutgers.edu:8080/data/asl-ftp/asllvd/demos/verify_start_end_handshape_annotations//test_auto_move//signs_mov/16405.mov","MOV")</f>
        <v>21</v>
      </c>
      <c r="R6869" t="s" s="16">
        <f>HYPERLINK("http://secrets.rutgers.edu:8080/data/asl-ftp/asllvd/demos/verify_start_end_handshape_annotations//test_auto_move//signs_mov_separ_signers/Naomi_16405.mov","MOV")</f>
        <v>21</v>
      </c>
    </row>
    <row r="6870" s="2" customFormat="1" ht="13.5" customHeight="1">
      <c r="B6870" s="13"/>
      <c r="C6870" t="s" s="9">
        <v>30</v>
      </c>
      <c r="D6870" t="s" s="8">
        <v>2375</v>
      </c>
      <c r="E6870" t="s" s="9">
        <v>2375</v>
      </c>
      <c r="F6870" t="s" s="10">
        <v>152</v>
      </c>
      <c r="G6870" t="s" s="11">
        <v>105</v>
      </c>
      <c r="H6870" t="s" s="10">
        <v>152</v>
      </c>
      <c r="I6870" t="s" s="11">
        <v>105</v>
      </c>
      <c r="J6870" t="s" s="11">
        <v>136</v>
      </c>
      <c r="K6870" s="15"/>
      <c r="L6870" t="s" s="16">
        <f>HYPERLINK("http://csr.bu.edu/ftp/asl/asllvd/demos/verify_start_end_handshape_annotations//test_auto_move//signs_mov_separ_signers/Brady_16405.mov","MOV")</f>
        <v>21</v>
      </c>
      <c r="M6870" t="s" s="10">
        <v>31</v>
      </c>
      <c r="N6870" s="17">
        <v>10</v>
      </c>
      <c r="O6870" s="18">
        <v>8544</v>
      </c>
      <c r="P6870" s="18">
        <v>8574</v>
      </c>
      <c r="Q6870" s="15"/>
      <c r="R6870" t="s" s="16">
        <f>HYPERLINK("http://secrets.rutgers.edu:8080/data/asl-ftp/asllvd/demos/verify_start_end_handshape_annotations//test_auto_move//signs_mov_separ_signers/Brady_16405.mov","MOV")</f>
        <v>21</v>
      </c>
    </row>
    <row r="6871" s="2" customFormat="1" ht="13.5" customHeight="1">
      <c r="B6871" t="s" s="8">
        <v>52</v>
      </c>
      <c r="C6871" t="s" s="9">
        <v>53</v>
      </c>
      <c r="D6871" t="s" s="8">
        <v>53</v>
      </c>
      <c r="E6871" t="s" s="9">
        <v>53</v>
      </c>
      <c r="F6871" t="s" s="10">
        <v>53</v>
      </c>
      <c r="G6871" t="s" s="11">
        <v>53</v>
      </c>
      <c r="H6871" t="s" s="10">
        <v>53</v>
      </c>
      <c r="I6871" t="s" s="11">
        <v>53</v>
      </c>
      <c r="J6871" t="s" s="11">
        <v>53</v>
      </c>
      <c r="K6871" t="s" s="12">
        <v>53</v>
      </c>
      <c r="L6871" t="s" s="12">
        <v>53</v>
      </c>
      <c r="M6871" t="s" s="10">
        <v>53</v>
      </c>
      <c r="N6871" t="s" s="11">
        <v>53</v>
      </c>
      <c r="O6871" t="s" s="8">
        <v>53</v>
      </c>
      <c r="P6871" t="s" s="8">
        <v>53</v>
      </c>
      <c r="Q6871" t="s" s="12">
        <v>53</v>
      </c>
      <c r="R6871" t="s" s="12">
        <v>53</v>
      </c>
    </row>
    <row r="6872" s="2" customFormat="1" ht="13.5" customHeight="1">
      <c r="B6872" s="13"/>
      <c r="C6872" t="s" s="9">
        <v>23</v>
      </c>
      <c r="D6872" t="s" s="8">
        <v>2375</v>
      </c>
      <c r="E6872" t="s" s="9">
        <v>2376</v>
      </c>
      <c r="F6872" t="s" s="10">
        <v>73</v>
      </c>
      <c r="G6872" t="s" s="11">
        <v>73</v>
      </c>
      <c r="H6872" t="s" s="10">
        <v>80</v>
      </c>
      <c r="I6872" t="s" s="11">
        <v>80</v>
      </c>
      <c r="J6872" t="s" s="11">
        <v>136</v>
      </c>
      <c r="K6872" t="s" s="16">
        <f>HYPERLINK("http://csr.bu.edu/ftp/asl/asllvd/demos/verify_start_end_handshape_annotations//test_auto_move//signs_mov/16406.mov","MOV")</f>
        <v>21</v>
      </c>
      <c r="L6872" t="s" s="16">
        <f>HYPERLINK("http://csr.bu.edu/ftp/asl/asllvd/demos/verify_start_end_handshape_annotations//test_auto_move//signs_mov_separ_signers/Tyler_16406.mov","MOV")</f>
        <v>21</v>
      </c>
      <c r="M6872" t="s" s="10">
        <v>26</v>
      </c>
      <c r="N6872" s="17">
        <v>9</v>
      </c>
      <c r="O6872" s="18">
        <v>2035</v>
      </c>
      <c r="P6872" s="18">
        <v>2085</v>
      </c>
      <c r="Q6872" t="s" s="16">
        <f>HYPERLINK("http://secrets.rutgers.edu:8080/data/asl-ftp/asllvd/demos/verify_start_end_handshape_annotations//test_auto_move//signs_mov/16406.mov","MOV")</f>
        <v>21</v>
      </c>
      <c r="R6872" t="s" s="16">
        <f>HYPERLINK("http://secrets.rutgers.edu:8080/data/asl-ftp/asllvd/demos/verify_start_end_handshape_annotations//test_auto_move//signs_mov_separ_signers/Tyler_16406.mov","MOV")</f>
        <v>21</v>
      </c>
    </row>
    <row r="6873" s="2" customFormat="1" ht="13.5" customHeight="1">
      <c r="B6873" t="s" s="8">
        <v>2377</v>
      </c>
      <c r="C6873" t="s" s="9">
        <v>14</v>
      </c>
      <c r="D6873" t="s" s="8">
        <v>14</v>
      </c>
      <c r="E6873" t="s" s="9">
        <v>14</v>
      </c>
      <c r="F6873" t="s" s="10">
        <v>14</v>
      </c>
      <c r="G6873" t="s" s="11">
        <v>14</v>
      </c>
      <c r="H6873" t="s" s="10">
        <v>14</v>
      </c>
      <c r="I6873" t="s" s="11">
        <v>14</v>
      </c>
      <c r="J6873" t="s" s="11">
        <v>14</v>
      </c>
      <c r="K6873" t="s" s="12">
        <v>14</v>
      </c>
      <c r="L6873" t="s" s="12">
        <v>14</v>
      </c>
      <c r="M6873" t="s" s="10">
        <v>14</v>
      </c>
      <c r="N6873" t="s" s="11">
        <v>14</v>
      </c>
      <c r="O6873" t="s" s="8">
        <v>14</v>
      </c>
      <c r="P6873" t="s" s="8">
        <v>14</v>
      </c>
      <c r="Q6873" t="s" s="12">
        <v>14</v>
      </c>
      <c r="R6873" t="s" s="12">
        <v>14</v>
      </c>
    </row>
    <row r="6874" s="2" customFormat="1" ht="13.5" customHeight="1">
      <c r="B6874" s="13"/>
      <c r="C6874" t="s" s="9">
        <v>16</v>
      </c>
      <c r="D6874" t="s" s="8">
        <v>2377</v>
      </c>
      <c r="E6874" t="s" s="9">
        <v>2377</v>
      </c>
      <c r="F6874" s="19">
        <v>1</v>
      </c>
      <c r="G6874" s="17">
        <v>1</v>
      </c>
      <c r="H6874" s="19">
        <v>1</v>
      </c>
      <c r="I6874" s="17">
        <v>1</v>
      </c>
      <c r="J6874" t="s" s="11">
        <v>20</v>
      </c>
      <c r="K6874" s="15"/>
      <c r="L6874" t="s" s="16">
        <f>HYPERLINK("http://csr.bu.edu/ftp/asl/asllvd/demos/verify_start_end_handshape_annotations//test_auto_move//signs_mov_separ_signers/Liz_1539.mov","MOV")</f>
        <v>21</v>
      </c>
      <c r="M6874" t="s" s="10">
        <v>88</v>
      </c>
      <c r="N6874" s="17">
        <v>4</v>
      </c>
      <c r="O6874" s="18">
        <v>4000</v>
      </c>
      <c r="P6874" s="18">
        <v>4066</v>
      </c>
      <c r="Q6874" s="15"/>
      <c r="R6874" t="s" s="16">
        <f>HYPERLINK("http://secrets.rutgers.edu:8080/data/asl-ftp/asllvd/demos/verify_start_end_handshape_annotations//test_auto_move//signs_mov_separ_signers/Liz_1539.mov","MOV")</f>
        <v>21</v>
      </c>
    </row>
    <row r="6875" s="2" customFormat="1" ht="13.5" customHeight="1">
      <c r="B6875" s="13"/>
      <c r="C6875" t="s" s="9">
        <v>30</v>
      </c>
      <c r="D6875" t="s" s="8">
        <v>2377</v>
      </c>
      <c r="E6875" t="s" s="9">
        <v>2377</v>
      </c>
      <c r="F6875" s="19">
        <v>1</v>
      </c>
      <c r="G6875" s="17">
        <v>1</v>
      </c>
      <c r="H6875" s="19">
        <v>1</v>
      </c>
      <c r="I6875" s="17">
        <v>1</v>
      </c>
      <c r="J6875" t="s" s="11">
        <v>20</v>
      </c>
      <c r="K6875" t="s" s="16">
        <f>HYPERLINK("http://csr.bu.edu/ftp/asl/asllvd/demos/verify_start_end_handshape_annotations//test_auto_move//signs_mov/1539_5753_merged.mov","MOV")</f>
        <v>21</v>
      </c>
      <c r="L6875" t="s" s="16">
        <f>HYPERLINK("http://csr.bu.edu/ftp/asl/asllvd/demos/verify_start_end_handshape_annotations//test_auto_move//signs_mov_separ_signers/Brady_1539.mov","MOV")</f>
        <v>21</v>
      </c>
      <c r="M6875" t="s" s="10">
        <v>39</v>
      </c>
      <c r="N6875" s="17">
        <v>57</v>
      </c>
      <c r="O6875" s="18">
        <v>1529</v>
      </c>
      <c r="P6875" s="18">
        <v>1580</v>
      </c>
      <c r="Q6875" t="s" s="16">
        <f>HYPERLINK("http://secrets.rutgers.edu:8080/data/asl-ftp/asllvd/demos/verify_start_end_handshape_annotations//test_auto_move//signs_mov/1539_5753_merged.mov","MOV")</f>
        <v>21</v>
      </c>
      <c r="R6875" t="s" s="16">
        <f>HYPERLINK("http://secrets.rutgers.edu:8080/data/asl-ftp/asllvd/demos/verify_start_end_handshape_annotations//test_auto_move//signs_mov_separ_signers/Brady_1539.mov","MOV")</f>
        <v>21</v>
      </c>
    </row>
    <row r="6876" s="2" customFormat="1" ht="13.5" customHeight="1">
      <c r="B6876" s="13"/>
      <c r="C6876" t="s" s="9">
        <v>30</v>
      </c>
      <c r="D6876" t="s" s="8">
        <v>2377</v>
      </c>
      <c r="E6876" t="s" s="9">
        <v>2377</v>
      </c>
      <c r="F6876" s="19">
        <v>1</v>
      </c>
      <c r="G6876" s="17">
        <v>1</v>
      </c>
      <c r="H6876" s="19">
        <v>1</v>
      </c>
      <c r="I6876" s="17">
        <v>1</v>
      </c>
      <c r="J6876" t="s" s="11">
        <v>20</v>
      </c>
      <c r="K6876" s="15"/>
      <c r="L6876" t="s" s="16">
        <f>HYPERLINK("http://csr.bu.edu/ftp/asl/asllvd/demos/verify_start_end_handshape_annotations//test_auto_move//signs_mov_separ_signers/Brady_5753.mov","MOV")</f>
        <v>21</v>
      </c>
      <c r="M6876" t="s" s="10">
        <v>40</v>
      </c>
      <c r="N6876" s="17">
        <v>2</v>
      </c>
      <c r="O6876" s="18">
        <v>1460</v>
      </c>
      <c r="P6876" s="18">
        <v>1514</v>
      </c>
      <c r="Q6876" s="15"/>
      <c r="R6876" t="s" s="16">
        <f>HYPERLINK("http://secrets.rutgers.edu:8080/data/asl-ftp/asllvd/demos/verify_start_end_handshape_annotations//test_auto_move//signs_mov_separ_signers/Brady_5753.mov","MOV")</f>
        <v>21</v>
      </c>
    </row>
    <row r="6877" s="2" customFormat="1" ht="13.5" customHeight="1">
      <c r="B6877" t="s" s="8">
        <v>2378</v>
      </c>
      <c r="C6877" t="s" s="9">
        <v>14</v>
      </c>
      <c r="D6877" t="s" s="8">
        <v>14</v>
      </c>
      <c r="E6877" t="s" s="9">
        <v>14</v>
      </c>
      <c r="F6877" t="s" s="10">
        <v>14</v>
      </c>
      <c r="G6877" t="s" s="11">
        <v>14</v>
      </c>
      <c r="H6877" t="s" s="10">
        <v>14</v>
      </c>
      <c r="I6877" t="s" s="11">
        <v>14</v>
      </c>
      <c r="J6877" t="s" s="11">
        <v>14</v>
      </c>
      <c r="K6877" t="s" s="12">
        <v>14</v>
      </c>
      <c r="L6877" t="s" s="12">
        <v>14</v>
      </c>
      <c r="M6877" t="s" s="10">
        <v>14</v>
      </c>
      <c r="N6877" t="s" s="11">
        <v>14</v>
      </c>
      <c r="O6877" t="s" s="8">
        <v>14</v>
      </c>
      <c r="P6877" t="s" s="8">
        <v>14</v>
      </c>
      <c r="Q6877" t="s" s="12">
        <v>14</v>
      </c>
      <c r="R6877" t="s" s="12">
        <v>14</v>
      </c>
    </row>
    <row r="6878" s="2" customFormat="1" ht="13.5" customHeight="1">
      <c r="B6878" s="13"/>
      <c r="C6878" t="s" s="9">
        <v>16</v>
      </c>
      <c r="D6878" t="s" s="8">
        <v>2378</v>
      </c>
      <c r="E6878" t="s" s="9">
        <v>2379</v>
      </c>
      <c r="F6878" t="s" s="10">
        <v>68</v>
      </c>
      <c r="G6878" s="14"/>
      <c r="H6878" t="s" s="10">
        <v>68</v>
      </c>
      <c r="I6878" s="14"/>
      <c r="J6878" t="s" s="11">
        <v>20</v>
      </c>
      <c r="K6878" s="15"/>
      <c r="L6878" t="s" s="16">
        <f>HYPERLINK("http://csr.bu.edu/ftp/asl/asllvd/demos/verify_start_end_handshape_annotations//test_auto_move//signs_mov_separ_signers/Liz_1540.mov","MOV")</f>
        <v>21</v>
      </c>
      <c r="M6878" t="s" s="10">
        <v>88</v>
      </c>
      <c r="N6878" s="17">
        <v>5</v>
      </c>
      <c r="O6878" s="18">
        <v>302</v>
      </c>
      <c r="P6878" s="18">
        <v>336</v>
      </c>
      <c r="Q6878" s="15"/>
      <c r="R6878" t="s" s="16">
        <f>HYPERLINK("http://secrets.rutgers.edu:8080/data/asl-ftp/asllvd/demos/verify_start_end_handshape_annotations//test_auto_move//signs_mov_separ_signers/Liz_1540.mov","MOV")</f>
        <v>21</v>
      </c>
    </row>
    <row r="6879" s="2" customFormat="1" ht="13.5" customHeight="1">
      <c r="B6879" s="13"/>
      <c r="C6879" t="s" s="9">
        <v>23</v>
      </c>
      <c r="D6879" t="s" s="8">
        <v>2378</v>
      </c>
      <c r="E6879" t="s" s="9">
        <v>2378</v>
      </c>
      <c r="F6879" t="s" s="10">
        <v>68</v>
      </c>
      <c r="G6879" s="14"/>
      <c r="H6879" t="s" s="10">
        <v>68</v>
      </c>
      <c r="I6879" s="14"/>
      <c r="J6879" t="s" s="11">
        <v>20</v>
      </c>
      <c r="K6879" s="15"/>
      <c r="L6879" t="s" s="16">
        <f>HYPERLINK("http://csr.bu.edu/ftp/asl/asllvd/demos/verify_start_end_handshape_annotations//test_auto_move//signs_mov_separ_signers/Tyler_1540.mov","MOV")</f>
        <v>21</v>
      </c>
      <c r="M6879" t="s" s="10">
        <v>47</v>
      </c>
      <c r="N6879" s="17">
        <v>14</v>
      </c>
      <c r="O6879" s="18">
        <v>4268</v>
      </c>
      <c r="P6879" s="18">
        <v>4312</v>
      </c>
      <c r="Q6879" s="15"/>
      <c r="R6879" t="s" s="16">
        <f>HYPERLINK("http://secrets.rutgers.edu:8080/data/asl-ftp/asllvd/demos/verify_start_end_handshape_annotations//test_auto_move//signs_mov_separ_signers/Tyler_1540.mov","MOV")</f>
        <v>21</v>
      </c>
    </row>
    <row r="6880" s="2" customFormat="1" ht="13.5" customHeight="1">
      <c r="B6880" s="13"/>
      <c r="C6880" t="s" s="9">
        <v>30</v>
      </c>
      <c r="D6880" t="s" s="8">
        <v>2378</v>
      </c>
      <c r="E6880" t="s" s="9">
        <v>2379</v>
      </c>
      <c r="F6880" t="s" s="10">
        <v>68</v>
      </c>
      <c r="G6880" s="14"/>
      <c r="H6880" t="s" s="10">
        <v>68</v>
      </c>
      <c r="I6880" s="14"/>
      <c r="J6880" t="s" s="11">
        <v>20</v>
      </c>
      <c r="K6880" t="s" s="16">
        <f>HYPERLINK("http://csr.bu.edu/ftp/asl/asllvd/demos/verify_start_end_handshape_annotations//test_auto_move//signs_mov/1540.mov","MOV")</f>
        <v>21</v>
      </c>
      <c r="L6880" t="s" s="16">
        <f>HYPERLINK("http://csr.bu.edu/ftp/asl/asllvd/demos/verify_start_end_handshape_annotations//test_auto_move//signs_mov_separ_signers/Brady_1540.mov","MOV")</f>
        <v>21</v>
      </c>
      <c r="M6880" t="s" s="10">
        <v>40</v>
      </c>
      <c r="N6880" s="17">
        <v>2</v>
      </c>
      <c r="O6880" s="18">
        <v>1868</v>
      </c>
      <c r="P6880" s="18">
        <v>1900</v>
      </c>
      <c r="Q6880" t="s" s="16">
        <f>HYPERLINK("http://secrets.rutgers.edu:8080/data/asl-ftp/asllvd/demos/verify_start_end_handshape_annotations//test_auto_move//signs_mov/1540.mov","MOV")</f>
        <v>21</v>
      </c>
      <c r="R6880" t="s" s="16">
        <f>HYPERLINK("http://secrets.rutgers.edu:8080/data/asl-ftp/asllvd/demos/verify_start_end_handshape_annotations//test_auto_move//signs_mov_separ_signers/Brady_1540.mov","MOV")</f>
        <v>21</v>
      </c>
    </row>
    <row r="6881" s="2" customFormat="1" ht="13.5" customHeight="1">
      <c r="B6881" s="13"/>
      <c r="C6881" t="s" s="9">
        <v>41</v>
      </c>
      <c r="D6881" t="s" s="8">
        <v>2378</v>
      </c>
      <c r="E6881" t="s" s="9">
        <v>2379</v>
      </c>
      <c r="F6881" t="s" s="10">
        <v>148</v>
      </c>
      <c r="G6881" s="14"/>
      <c r="H6881" t="s" s="10">
        <v>68</v>
      </c>
      <c r="I6881" s="14"/>
      <c r="J6881" t="s" s="11">
        <v>20</v>
      </c>
      <c r="K6881" s="15"/>
      <c r="L6881" t="s" s="16">
        <f>HYPERLINK("http://csr.bu.edu/ftp/asl/asllvd/demos/verify_start_end_handshape_annotations//test_auto_move//signs_mov_separ_signers/Lana_1540.mov","MOV")</f>
        <v>21</v>
      </c>
      <c r="M6881" t="s" s="10">
        <v>42</v>
      </c>
      <c r="N6881" s="17">
        <v>18</v>
      </c>
      <c r="O6881" s="18">
        <v>1782</v>
      </c>
      <c r="P6881" s="18">
        <v>1802</v>
      </c>
      <c r="Q6881" s="15"/>
      <c r="R6881" t="s" s="16">
        <f>HYPERLINK("http://secrets.rutgers.edu:8080/data/asl-ftp/asllvd/demos/verify_start_end_handshape_annotations//test_auto_move//signs_mov_separ_signers/Lana_1540.mov","MOV")</f>
        <v>21</v>
      </c>
    </row>
    <row r="6882" s="2" customFormat="1" ht="13.5" customHeight="1">
      <c r="B6882" s="13"/>
      <c r="C6882" t="s" s="9">
        <v>43</v>
      </c>
      <c r="D6882" t="s" s="8">
        <v>2378</v>
      </c>
      <c r="E6882" t="s" s="9">
        <v>2379</v>
      </c>
      <c r="F6882" t="s" s="10">
        <v>68</v>
      </c>
      <c r="G6882" s="14"/>
      <c r="H6882" t="s" s="10">
        <v>68</v>
      </c>
      <c r="I6882" s="14"/>
      <c r="J6882" t="s" s="11">
        <v>20</v>
      </c>
      <c r="K6882" s="15"/>
      <c r="L6882" t="s" s="16">
        <f>HYPERLINK("http://csr.bu.edu/ftp/asl/asllvd/demos/verify_start_end_handshape_annotations//test_auto_move//signs_mov_separ_signers/Dana_1540.mov","MOV")</f>
        <v>21</v>
      </c>
      <c r="M6882" t="s" s="10">
        <v>44</v>
      </c>
      <c r="N6882" s="17">
        <v>20</v>
      </c>
      <c r="O6882" s="18">
        <v>1696</v>
      </c>
      <c r="P6882" s="18">
        <v>1758</v>
      </c>
      <c r="Q6882" s="15"/>
      <c r="R6882" t="s" s="16">
        <f>HYPERLINK("http://secrets.rutgers.edu:8080/data/asl-ftp/asllvd/demos/verify_start_end_handshape_annotations//test_auto_move//signs_mov_separ_signers/Dana_1540.mov","MOV")</f>
        <v>21</v>
      </c>
    </row>
    <row r="6883" s="2" customFormat="1" ht="13.5" customHeight="1">
      <c r="B6883" t="s" s="8">
        <v>2380</v>
      </c>
      <c r="C6883" t="s" s="9">
        <v>14</v>
      </c>
      <c r="D6883" t="s" s="8">
        <v>14</v>
      </c>
      <c r="E6883" t="s" s="9">
        <v>14</v>
      </c>
      <c r="F6883" t="s" s="10">
        <v>14</v>
      </c>
      <c r="G6883" t="s" s="11">
        <v>14</v>
      </c>
      <c r="H6883" t="s" s="10">
        <v>14</v>
      </c>
      <c r="I6883" t="s" s="11">
        <v>14</v>
      </c>
      <c r="J6883" t="s" s="11">
        <v>14</v>
      </c>
      <c r="K6883" t="s" s="12">
        <v>14</v>
      </c>
      <c r="L6883" t="s" s="12">
        <v>14</v>
      </c>
      <c r="M6883" t="s" s="10">
        <v>14</v>
      </c>
      <c r="N6883" t="s" s="11">
        <v>14</v>
      </c>
      <c r="O6883" t="s" s="8">
        <v>14</v>
      </c>
      <c r="P6883" t="s" s="8">
        <v>14</v>
      </c>
      <c r="Q6883" t="s" s="12">
        <v>14</v>
      </c>
      <c r="R6883" t="s" s="12">
        <v>14</v>
      </c>
    </row>
    <row r="6884" s="2" customFormat="1" ht="13.5" customHeight="1">
      <c r="B6884" s="13"/>
      <c r="C6884" t="s" s="9">
        <v>16</v>
      </c>
      <c r="D6884" t="s" s="8">
        <v>2380</v>
      </c>
      <c r="E6884" t="s" s="9">
        <v>2381</v>
      </c>
      <c r="F6884" t="s" s="10">
        <v>72</v>
      </c>
      <c r="G6884" t="s" s="11">
        <v>72</v>
      </c>
      <c r="H6884" t="s" s="10">
        <v>68</v>
      </c>
      <c r="I6884" t="s" s="11">
        <v>68</v>
      </c>
      <c r="J6884" t="s" s="11">
        <v>20</v>
      </c>
      <c r="K6884" s="15"/>
      <c r="L6884" t="s" s="16">
        <f>HYPERLINK("http://csr.bu.edu/ftp/asl/asllvd/demos/verify_start_end_handshape_annotations//test_auto_move//signs_mov_separ_signers/Liz_15430.mov","MOV")</f>
        <v>21</v>
      </c>
      <c r="M6884" t="s" s="10">
        <v>88</v>
      </c>
      <c r="N6884" s="17">
        <v>5</v>
      </c>
      <c r="O6884" s="18">
        <v>525</v>
      </c>
      <c r="P6884" s="18">
        <v>600</v>
      </c>
      <c r="Q6884" s="15"/>
      <c r="R6884" t="s" s="16">
        <f>HYPERLINK("http://secrets.rutgers.edu:8080/data/asl-ftp/asllvd/demos/verify_start_end_handshape_annotations//test_auto_move//signs_mov_separ_signers/Liz_15430.mov","MOV")</f>
        <v>21</v>
      </c>
    </row>
    <row r="6885" s="2" customFormat="1" ht="13.5" customHeight="1">
      <c r="B6885" s="13"/>
      <c r="C6885" t="s" s="9">
        <v>23</v>
      </c>
      <c r="D6885" t="s" s="8">
        <v>2380</v>
      </c>
      <c r="E6885" t="s" s="9">
        <v>2381</v>
      </c>
      <c r="F6885" t="s" s="10">
        <v>72</v>
      </c>
      <c r="G6885" t="s" s="11">
        <v>72</v>
      </c>
      <c r="H6885" t="s" s="10">
        <v>68</v>
      </c>
      <c r="I6885" t="s" s="11">
        <v>68</v>
      </c>
      <c r="J6885" t="s" s="11">
        <v>20</v>
      </c>
      <c r="K6885" t="s" s="16">
        <f>HYPERLINK("http://csr.bu.edu/ftp/asl/asllvd/demos/verify_start_end_handshape_annotations//test_auto_move//signs_mov/15430.mov","MOV")</f>
        <v>21</v>
      </c>
      <c r="L6885" t="s" s="16">
        <f>HYPERLINK("http://csr.bu.edu/ftp/asl/asllvd/demos/verify_start_end_handshape_annotations//test_auto_move//signs_mov_separ_signers/Tyler_15430.mov","MOV")</f>
        <v>21</v>
      </c>
      <c r="M6885" t="s" s="10">
        <v>47</v>
      </c>
      <c r="N6885" s="17">
        <v>15</v>
      </c>
      <c r="O6885" s="18">
        <v>297</v>
      </c>
      <c r="P6885" s="18">
        <v>358</v>
      </c>
      <c r="Q6885" t="s" s="16">
        <f>HYPERLINK("http://secrets.rutgers.edu:8080/data/asl-ftp/asllvd/demos/verify_start_end_handshape_annotations//test_auto_move//signs_mov/15430.mov","MOV")</f>
        <v>21</v>
      </c>
      <c r="R6885" t="s" s="16">
        <f>HYPERLINK("http://secrets.rutgers.edu:8080/data/asl-ftp/asllvd/demos/verify_start_end_handshape_annotations//test_auto_move//signs_mov_separ_signers/Tyler_15430.mov","MOV")</f>
        <v>21</v>
      </c>
    </row>
    <row r="6886" s="2" customFormat="1" ht="13.5" customHeight="1">
      <c r="B6886" s="13"/>
      <c r="C6886" t="s" s="9">
        <v>30</v>
      </c>
      <c r="D6886" t="s" s="8">
        <v>2380</v>
      </c>
      <c r="E6886" t="s" s="9">
        <v>2381</v>
      </c>
      <c r="F6886" t="s" s="10">
        <v>72</v>
      </c>
      <c r="G6886" t="s" s="11">
        <v>72</v>
      </c>
      <c r="H6886" t="s" s="10">
        <v>68</v>
      </c>
      <c r="I6886" t="s" s="11">
        <v>68</v>
      </c>
      <c r="J6886" t="s" s="11">
        <v>20</v>
      </c>
      <c r="K6886" s="15"/>
      <c r="L6886" t="s" s="16">
        <f>HYPERLINK("http://csr.bu.edu/ftp/asl/asllvd/demos/verify_start_end_handshape_annotations//test_auto_move//signs_mov_separ_signers/Brady_15430.mov","MOV")</f>
        <v>21</v>
      </c>
      <c r="M6886" t="s" s="10">
        <v>40</v>
      </c>
      <c r="N6886" s="17">
        <v>2</v>
      </c>
      <c r="O6886" s="18">
        <v>2163</v>
      </c>
      <c r="P6886" s="18">
        <v>2213</v>
      </c>
      <c r="Q6886" s="15"/>
      <c r="R6886" t="s" s="16">
        <f>HYPERLINK("http://secrets.rutgers.edu:8080/data/asl-ftp/asllvd/demos/verify_start_end_handshape_annotations//test_auto_move//signs_mov_separ_signers/Brady_15430.mov","MOV")</f>
        <v>21</v>
      </c>
    </row>
    <row r="6887" s="2" customFormat="1" ht="13.5" customHeight="1">
      <c r="B6887" t="s" s="8">
        <v>2382</v>
      </c>
      <c r="C6887" t="s" s="9">
        <v>14</v>
      </c>
      <c r="D6887" t="s" s="8">
        <v>14</v>
      </c>
      <c r="E6887" t="s" s="9">
        <v>14</v>
      </c>
      <c r="F6887" t="s" s="10">
        <v>14</v>
      </c>
      <c r="G6887" t="s" s="11">
        <v>14</v>
      </c>
      <c r="H6887" t="s" s="10">
        <v>14</v>
      </c>
      <c r="I6887" t="s" s="11">
        <v>14</v>
      </c>
      <c r="J6887" t="s" s="11">
        <v>14</v>
      </c>
      <c r="K6887" t="s" s="12">
        <v>14</v>
      </c>
      <c r="L6887" t="s" s="12">
        <v>14</v>
      </c>
      <c r="M6887" t="s" s="10">
        <v>14</v>
      </c>
      <c r="N6887" t="s" s="11">
        <v>14</v>
      </c>
      <c r="O6887" t="s" s="8">
        <v>14</v>
      </c>
      <c r="P6887" t="s" s="8">
        <v>14</v>
      </c>
      <c r="Q6887" t="s" s="12">
        <v>14</v>
      </c>
      <c r="R6887" t="s" s="12">
        <v>14</v>
      </c>
    </row>
    <row r="6888" s="2" customFormat="1" ht="13.5" customHeight="1">
      <c r="B6888" s="13"/>
      <c r="C6888" t="s" s="9">
        <v>23</v>
      </c>
      <c r="D6888" t="s" s="8">
        <v>2382</v>
      </c>
      <c r="E6888" t="s" s="9">
        <v>2382</v>
      </c>
      <c r="F6888" s="19">
        <v>1</v>
      </c>
      <c r="G6888" s="17">
        <v>1</v>
      </c>
      <c r="H6888" s="19">
        <v>1</v>
      </c>
      <c r="I6888" s="17">
        <v>1</v>
      </c>
      <c r="J6888" t="s" s="11">
        <v>20</v>
      </c>
      <c r="K6888" t="s" s="16">
        <f>HYPERLINK("http://csr.bu.edu/ftp/asl/asllvd/demos/verify_start_end_handshape_annotations//test_auto_move//signs_mov/1551.mov","MOV")</f>
        <v>21</v>
      </c>
      <c r="L6888" t="s" s="16">
        <f>HYPERLINK("http://csr.bu.edu/ftp/asl/asllvd/demos/verify_start_end_handshape_annotations//test_auto_move//signs_mov_separ_signers/Tyler_1551.mov","MOV")</f>
        <v>21</v>
      </c>
      <c r="M6888" t="s" s="10">
        <v>47</v>
      </c>
      <c r="N6888" s="17">
        <v>16</v>
      </c>
      <c r="O6888" s="18">
        <v>515</v>
      </c>
      <c r="P6888" s="18">
        <v>538</v>
      </c>
      <c r="Q6888" t="s" s="16">
        <f>HYPERLINK("http://secrets.rutgers.edu:8080/data/asl-ftp/asllvd/demos/verify_start_end_handshape_annotations//test_auto_move//signs_mov/1551.mov","MOV")</f>
        <v>21</v>
      </c>
      <c r="R6888" t="s" s="16">
        <f>HYPERLINK("http://secrets.rutgers.edu:8080/data/asl-ftp/asllvd/demos/verify_start_end_handshape_annotations//test_auto_move//signs_mov_separ_signers/Tyler_1551.mov","MOV")</f>
        <v>21</v>
      </c>
    </row>
    <row r="6889" s="2" customFormat="1" ht="13.5" customHeight="1">
      <c r="B6889" s="13"/>
      <c r="C6889" t="s" s="9">
        <v>43</v>
      </c>
      <c r="D6889" t="s" s="8">
        <v>2382</v>
      </c>
      <c r="E6889" t="s" s="9">
        <v>2382</v>
      </c>
      <c r="F6889" s="19">
        <v>1</v>
      </c>
      <c r="G6889" s="17">
        <v>1</v>
      </c>
      <c r="H6889" s="19">
        <v>1</v>
      </c>
      <c r="I6889" s="17">
        <v>1</v>
      </c>
      <c r="J6889" t="s" s="11">
        <v>20</v>
      </c>
      <c r="K6889" s="15"/>
      <c r="L6889" t="s" s="16">
        <f>HYPERLINK("http://csr.bu.edu/ftp/asl/asllvd/demos/verify_start_end_handshape_annotations//test_auto_move//signs_mov_separ_signers/Dana_1551.mov","MOV")</f>
        <v>21</v>
      </c>
      <c r="M6889" t="s" s="10">
        <v>44</v>
      </c>
      <c r="N6889" s="17">
        <v>20</v>
      </c>
      <c r="O6889" s="18">
        <v>917</v>
      </c>
      <c r="P6889" s="18">
        <v>964</v>
      </c>
      <c r="Q6889" s="15"/>
      <c r="R6889" t="s" s="16">
        <f>HYPERLINK("http://secrets.rutgers.edu:8080/data/asl-ftp/asllvd/demos/verify_start_end_handshape_annotations//test_auto_move//signs_mov_separ_signers/Dana_1551.mov","MOV")</f>
        <v>21</v>
      </c>
    </row>
    <row r="6890" s="2" customFormat="1" ht="13.5" customHeight="1">
      <c r="B6890" t="s" s="8">
        <v>52</v>
      </c>
      <c r="C6890" t="s" s="9">
        <v>53</v>
      </c>
      <c r="D6890" t="s" s="8">
        <v>53</v>
      </c>
      <c r="E6890" t="s" s="9">
        <v>53</v>
      </c>
      <c r="F6890" t="s" s="10">
        <v>53</v>
      </c>
      <c r="G6890" t="s" s="11">
        <v>53</v>
      </c>
      <c r="H6890" t="s" s="10">
        <v>53</v>
      </c>
      <c r="I6890" t="s" s="11">
        <v>53</v>
      </c>
      <c r="J6890" t="s" s="11">
        <v>53</v>
      </c>
      <c r="K6890" t="s" s="12">
        <v>53</v>
      </c>
      <c r="L6890" t="s" s="12">
        <v>53</v>
      </c>
      <c r="M6890" t="s" s="10">
        <v>53</v>
      </c>
      <c r="N6890" t="s" s="11">
        <v>53</v>
      </c>
      <c r="O6890" t="s" s="8">
        <v>53</v>
      </c>
      <c r="P6890" t="s" s="8">
        <v>53</v>
      </c>
      <c r="Q6890" t="s" s="12">
        <v>53</v>
      </c>
      <c r="R6890" t="s" s="12">
        <v>53</v>
      </c>
    </row>
    <row r="6891" s="2" customFormat="1" ht="13.5" customHeight="1">
      <c r="B6891" s="13"/>
      <c r="C6891" t="s" s="9">
        <v>16</v>
      </c>
      <c r="D6891" t="s" s="8">
        <v>2382</v>
      </c>
      <c r="E6891" t="s" s="9">
        <v>2383</v>
      </c>
      <c r="F6891" t="s" s="10">
        <v>51</v>
      </c>
      <c r="G6891" t="s" s="11">
        <v>73</v>
      </c>
      <c r="H6891" t="s" s="10">
        <v>51</v>
      </c>
      <c r="I6891" t="s" s="11">
        <v>73</v>
      </c>
      <c r="J6891" t="s" s="11">
        <v>20</v>
      </c>
      <c r="K6891" s="15"/>
      <c r="L6891" t="s" s="16">
        <f>HYPERLINK("http://csr.bu.edu/ftp/asl/asllvd/demos/verify_start_end_handshape_annotations//test_auto_move//signs_mov_separ_signers/Liz_5260.mov","MOV")</f>
        <v>21</v>
      </c>
      <c r="M6891" t="s" s="10">
        <v>88</v>
      </c>
      <c r="N6891" s="17">
        <v>6</v>
      </c>
      <c r="O6891" s="18">
        <v>510</v>
      </c>
      <c r="P6891" s="18">
        <v>547</v>
      </c>
      <c r="Q6891" s="15"/>
      <c r="R6891" t="s" s="16">
        <f>HYPERLINK("http://secrets.rutgers.edu:8080/data/asl-ftp/asllvd/demos/verify_start_end_handshape_annotations//test_auto_move//signs_mov_separ_signers/Liz_5260.mov","MOV")</f>
        <v>21</v>
      </c>
    </row>
    <row r="6892" s="2" customFormat="1" ht="13.5" customHeight="1">
      <c r="B6892" s="13"/>
      <c r="C6892" t="s" s="9">
        <v>30</v>
      </c>
      <c r="D6892" t="s" s="8">
        <v>2382</v>
      </c>
      <c r="E6892" t="s" s="9">
        <v>2383</v>
      </c>
      <c r="F6892" s="19">
        <v>1</v>
      </c>
      <c r="G6892" t="s" s="11">
        <v>73</v>
      </c>
      <c r="H6892" s="19">
        <v>1</v>
      </c>
      <c r="I6892" t="s" s="11">
        <v>73</v>
      </c>
      <c r="J6892" t="s" s="11">
        <v>20</v>
      </c>
      <c r="K6892" t="s" s="16">
        <f>HYPERLINK("http://csr.bu.edu/ftp/asl/asllvd/demos/verify_start_end_handshape_annotations//test_auto_move//signs_mov/5260.mov","MOV")</f>
        <v>21</v>
      </c>
      <c r="L6892" t="s" s="16">
        <f>HYPERLINK("http://csr.bu.edu/ftp/asl/asllvd/demos/verify_start_end_handshape_annotations//test_auto_move//signs_mov_separ_signers/Brady_5260.mov","MOV")</f>
        <v>21</v>
      </c>
      <c r="M6892" t="s" s="10">
        <v>40</v>
      </c>
      <c r="N6892" s="17">
        <v>3</v>
      </c>
      <c r="O6892" s="18">
        <v>1330</v>
      </c>
      <c r="P6892" s="18">
        <v>1343</v>
      </c>
      <c r="Q6892" t="s" s="16">
        <f>HYPERLINK("http://secrets.rutgers.edu:8080/data/asl-ftp/asllvd/demos/verify_start_end_handshape_annotations//test_auto_move//signs_mov/5260.mov","MOV")</f>
        <v>21</v>
      </c>
      <c r="R6892" t="s" s="16">
        <f>HYPERLINK("http://secrets.rutgers.edu:8080/data/asl-ftp/asllvd/demos/verify_start_end_handshape_annotations//test_auto_move//signs_mov_separ_signers/Brady_5260.mov","MOV")</f>
        <v>21</v>
      </c>
    </row>
    <row r="6893" s="2" customFormat="1" ht="13.5" customHeight="1">
      <c r="B6893" s="13"/>
      <c r="C6893" t="s" s="9">
        <v>41</v>
      </c>
      <c r="D6893" t="s" s="8">
        <v>2382</v>
      </c>
      <c r="E6893" t="s" s="9">
        <v>2383</v>
      </c>
      <c r="F6893" s="19">
        <v>1</v>
      </c>
      <c r="G6893" t="s" s="11">
        <v>73</v>
      </c>
      <c r="H6893" s="19">
        <v>1</v>
      </c>
      <c r="I6893" t="s" s="11">
        <v>73</v>
      </c>
      <c r="J6893" t="s" s="11">
        <v>20</v>
      </c>
      <c r="K6893" s="15"/>
      <c r="L6893" t="s" s="16">
        <f>HYPERLINK("http://csr.bu.edu/ftp/asl/asllvd/demos/verify_start_end_handshape_annotations//test_auto_move//signs_mov_separ_signers/Lana_5260.mov","MOV")</f>
        <v>21</v>
      </c>
      <c r="M6893" t="s" s="10">
        <v>42</v>
      </c>
      <c r="N6893" s="17">
        <v>18</v>
      </c>
      <c r="O6893" s="18">
        <v>952</v>
      </c>
      <c r="P6893" s="18">
        <v>969</v>
      </c>
      <c r="Q6893" s="15"/>
      <c r="R6893" t="s" s="16">
        <f>HYPERLINK("http://secrets.rutgers.edu:8080/data/asl-ftp/asllvd/demos/verify_start_end_handshape_annotations//test_auto_move//signs_mov_separ_signers/Lana_5260.mov","MOV")</f>
        <v>21</v>
      </c>
    </row>
    <row r="6894" s="2" customFormat="1" ht="13.5" customHeight="1">
      <c r="B6894" t="s" s="8">
        <v>2384</v>
      </c>
      <c r="C6894" t="s" s="9">
        <v>14</v>
      </c>
      <c r="D6894" t="s" s="8">
        <v>14</v>
      </c>
      <c r="E6894" t="s" s="9">
        <v>14</v>
      </c>
      <c r="F6894" t="s" s="10">
        <v>14</v>
      </c>
      <c r="G6894" t="s" s="11">
        <v>14</v>
      </c>
      <c r="H6894" t="s" s="10">
        <v>14</v>
      </c>
      <c r="I6894" t="s" s="11">
        <v>14</v>
      </c>
      <c r="J6894" t="s" s="11">
        <v>14</v>
      </c>
      <c r="K6894" t="s" s="12">
        <v>14</v>
      </c>
      <c r="L6894" t="s" s="12">
        <v>14</v>
      </c>
      <c r="M6894" t="s" s="10">
        <v>14</v>
      </c>
      <c r="N6894" t="s" s="11">
        <v>14</v>
      </c>
      <c r="O6894" t="s" s="8">
        <v>14</v>
      </c>
      <c r="P6894" t="s" s="8">
        <v>14</v>
      </c>
      <c r="Q6894" t="s" s="12">
        <v>14</v>
      </c>
      <c r="R6894" t="s" s="12">
        <v>14</v>
      </c>
    </row>
    <row r="6895" s="2" customFormat="1" ht="13.5" customHeight="1">
      <c r="B6895" s="13"/>
      <c r="C6895" t="s" s="9">
        <v>16</v>
      </c>
      <c r="D6895" t="s" s="8">
        <v>2384</v>
      </c>
      <c r="E6895" t="s" s="9">
        <v>2384</v>
      </c>
      <c r="F6895" t="s" s="10">
        <v>73</v>
      </c>
      <c r="G6895" s="14"/>
      <c r="H6895" t="s" s="10">
        <v>73</v>
      </c>
      <c r="I6895" s="14"/>
      <c r="J6895" t="s" s="11">
        <v>20</v>
      </c>
      <c r="K6895" t="s" s="16">
        <f>HYPERLINK("http://csr.bu.edu/ftp/asl/asllvd/demos/verify_start_end_handshape_annotations//test_auto_move//signs_mov/1552.mov","MOV")</f>
        <v>21</v>
      </c>
      <c r="L6895" t="s" s="16">
        <f>HYPERLINK("http://csr.bu.edu/ftp/asl/asllvd/demos/verify_start_end_handshape_annotations//test_auto_move//signs_mov_separ_signers/Liz_1552.mov","MOV")</f>
        <v>21</v>
      </c>
      <c r="M6895" t="s" s="10">
        <v>88</v>
      </c>
      <c r="N6895" s="17">
        <v>6</v>
      </c>
      <c r="O6895" s="18">
        <v>750</v>
      </c>
      <c r="P6895" s="18">
        <v>790</v>
      </c>
      <c r="Q6895" t="s" s="16">
        <f>HYPERLINK("http://secrets.rutgers.edu:8080/data/asl-ftp/asllvd/demos/verify_start_end_handshape_annotations//test_auto_move//signs_mov/1552.mov","MOV")</f>
        <v>21</v>
      </c>
      <c r="R6895" t="s" s="16">
        <f>HYPERLINK("http://secrets.rutgers.edu:8080/data/asl-ftp/asllvd/demos/verify_start_end_handshape_annotations//test_auto_move//signs_mov_separ_signers/Liz_1552.mov","MOV")</f>
        <v>21</v>
      </c>
    </row>
    <row r="6896" s="2" customFormat="1" ht="13.5" customHeight="1">
      <c r="B6896" s="13"/>
      <c r="C6896" t="s" s="9">
        <v>23</v>
      </c>
      <c r="D6896" t="s" s="8">
        <v>2384</v>
      </c>
      <c r="E6896" t="s" s="9">
        <v>2384</v>
      </c>
      <c r="F6896" t="s" s="10">
        <v>73</v>
      </c>
      <c r="G6896" s="14"/>
      <c r="H6896" t="s" s="10">
        <v>73</v>
      </c>
      <c r="I6896" s="14"/>
      <c r="J6896" t="s" s="11">
        <v>20</v>
      </c>
      <c r="K6896" s="15"/>
      <c r="L6896" t="s" s="16">
        <f>HYPERLINK("http://csr.bu.edu/ftp/asl/asllvd/demos/verify_start_end_handshape_annotations//test_auto_move//signs_mov_separ_signers/Tyler_1552.mov","MOV")</f>
        <v>21</v>
      </c>
      <c r="M6896" t="s" s="10">
        <v>47</v>
      </c>
      <c r="N6896" s="17">
        <v>16</v>
      </c>
      <c r="O6896" s="18">
        <v>830</v>
      </c>
      <c r="P6896" s="18">
        <v>857</v>
      </c>
      <c r="Q6896" s="15"/>
      <c r="R6896" t="s" s="16">
        <f>HYPERLINK("http://secrets.rutgers.edu:8080/data/asl-ftp/asllvd/demos/verify_start_end_handshape_annotations//test_auto_move//signs_mov_separ_signers/Tyler_1552.mov","MOV")</f>
        <v>21</v>
      </c>
    </row>
    <row r="6897" s="2" customFormat="1" ht="13.5" customHeight="1">
      <c r="B6897" t="s" s="8">
        <v>2385</v>
      </c>
      <c r="C6897" t="s" s="9">
        <v>14</v>
      </c>
      <c r="D6897" t="s" s="8">
        <v>14</v>
      </c>
      <c r="E6897" t="s" s="9">
        <v>14</v>
      </c>
      <c r="F6897" t="s" s="10">
        <v>14</v>
      </c>
      <c r="G6897" t="s" s="11">
        <v>14</v>
      </c>
      <c r="H6897" t="s" s="10">
        <v>14</v>
      </c>
      <c r="I6897" t="s" s="11">
        <v>14</v>
      </c>
      <c r="J6897" t="s" s="11">
        <v>14</v>
      </c>
      <c r="K6897" t="s" s="12">
        <v>14</v>
      </c>
      <c r="L6897" t="s" s="12">
        <v>14</v>
      </c>
      <c r="M6897" t="s" s="10">
        <v>14</v>
      </c>
      <c r="N6897" t="s" s="11">
        <v>14</v>
      </c>
      <c r="O6897" t="s" s="8">
        <v>14</v>
      </c>
      <c r="P6897" t="s" s="8">
        <v>14</v>
      </c>
      <c r="Q6897" t="s" s="12">
        <v>14</v>
      </c>
      <c r="R6897" t="s" s="12">
        <v>14</v>
      </c>
    </row>
    <row r="6898" s="2" customFormat="1" ht="13.5" customHeight="1">
      <c r="B6898" s="13"/>
      <c r="C6898" t="s" s="9">
        <v>16</v>
      </c>
      <c r="D6898" t="s" s="8">
        <v>2385</v>
      </c>
      <c r="E6898" t="s" s="9">
        <v>2385</v>
      </c>
      <c r="F6898" t="s" s="10">
        <v>73</v>
      </c>
      <c r="G6898" t="s" s="11">
        <v>73</v>
      </c>
      <c r="H6898" t="s" s="10">
        <v>73</v>
      </c>
      <c r="I6898" t="s" s="11">
        <v>73</v>
      </c>
      <c r="J6898" t="s" s="11">
        <v>20</v>
      </c>
      <c r="K6898" t="s" s="16">
        <f>HYPERLINK("http://csr.bu.edu/ftp/asl/asllvd/demos/verify_start_end_handshape_annotations//test_auto_move//signs_mov/15549.mov","MOV")</f>
        <v>21</v>
      </c>
      <c r="L6898" t="s" s="16">
        <f>HYPERLINK("http://csr.bu.edu/ftp/asl/asllvd/demos/verify_start_end_handshape_annotations//test_auto_move//signs_mov_separ_signers/Liz_15549.mov","MOV")</f>
        <v>21</v>
      </c>
      <c r="M6898" t="s" s="10">
        <v>36</v>
      </c>
      <c r="N6898" s="17">
        <v>8</v>
      </c>
      <c r="O6898" s="18">
        <v>1872</v>
      </c>
      <c r="P6898" s="18">
        <v>1923</v>
      </c>
      <c r="Q6898" t="s" s="16">
        <f>HYPERLINK("http://secrets.rutgers.edu:8080/data/asl-ftp/asllvd/demos/verify_start_end_handshape_annotations//test_auto_move//signs_mov/15549.mov","MOV")</f>
        <v>21</v>
      </c>
      <c r="R6898" t="s" s="16">
        <f>HYPERLINK("http://secrets.rutgers.edu:8080/data/asl-ftp/asllvd/demos/verify_start_end_handshape_annotations//test_auto_move//signs_mov_separ_signers/Liz_15549.mov","MOV")</f>
        <v>21</v>
      </c>
    </row>
    <row r="6899" s="2" customFormat="1" ht="13.5" customHeight="1">
      <c r="B6899" s="13"/>
      <c r="C6899" t="s" s="9">
        <v>30</v>
      </c>
      <c r="D6899" t="s" s="8">
        <v>2385</v>
      </c>
      <c r="E6899" t="s" s="9">
        <v>2385</v>
      </c>
      <c r="F6899" t="s" s="10">
        <v>73</v>
      </c>
      <c r="G6899" t="s" s="11">
        <v>73</v>
      </c>
      <c r="H6899" t="s" s="10">
        <v>73</v>
      </c>
      <c r="I6899" t="s" s="11">
        <v>73</v>
      </c>
      <c r="J6899" t="s" s="11">
        <v>20</v>
      </c>
      <c r="K6899" s="15"/>
      <c r="L6899" t="s" s="16">
        <f>HYPERLINK("http://csr.bu.edu/ftp/asl/asllvd/demos/verify_start_end_handshape_annotations//test_auto_move//signs_mov_separ_signers/Brady_15549.mov","MOV")</f>
        <v>21</v>
      </c>
      <c r="M6899" t="s" s="10">
        <v>40</v>
      </c>
      <c r="N6899" s="17">
        <v>53</v>
      </c>
      <c r="O6899" s="18">
        <v>1163</v>
      </c>
      <c r="P6899" s="18">
        <v>1183</v>
      </c>
      <c r="Q6899" s="15"/>
      <c r="R6899" t="s" s="16">
        <f>HYPERLINK("http://secrets.rutgers.edu:8080/data/asl-ftp/asllvd/demos/verify_start_end_handshape_annotations//test_auto_move//signs_mov_separ_signers/Brady_15549.mov","MOV")</f>
        <v>21</v>
      </c>
    </row>
    <row r="6900" s="2" customFormat="1" ht="13.5" customHeight="1">
      <c r="B6900" t="s" s="8">
        <v>2386</v>
      </c>
      <c r="C6900" t="s" s="9">
        <v>14</v>
      </c>
      <c r="D6900" t="s" s="8">
        <v>14</v>
      </c>
      <c r="E6900" t="s" s="9">
        <v>14</v>
      </c>
      <c r="F6900" t="s" s="10">
        <v>14</v>
      </c>
      <c r="G6900" t="s" s="11">
        <v>14</v>
      </c>
      <c r="H6900" t="s" s="10">
        <v>14</v>
      </c>
      <c r="I6900" t="s" s="11">
        <v>14</v>
      </c>
      <c r="J6900" t="s" s="11">
        <v>14</v>
      </c>
      <c r="K6900" t="s" s="12">
        <v>14</v>
      </c>
      <c r="L6900" t="s" s="12">
        <v>14</v>
      </c>
      <c r="M6900" t="s" s="10">
        <v>14</v>
      </c>
      <c r="N6900" t="s" s="11">
        <v>14</v>
      </c>
      <c r="O6900" t="s" s="8">
        <v>14</v>
      </c>
      <c r="P6900" t="s" s="8">
        <v>14</v>
      </c>
      <c r="Q6900" t="s" s="12">
        <v>14</v>
      </c>
      <c r="R6900" t="s" s="12">
        <v>14</v>
      </c>
    </row>
    <row r="6901" s="2" customFormat="1" ht="13.5" customHeight="1">
      <c r="B6901" s="13"/>
      <c r="C6901" t="s" s="9">
        <v>16</v>
      </c>
      <c r="D6901" t="s" s="8">
        <v>2386</v>
      </c>
      <c r="E6901" t="s" s="9">
        <v>2386</v>
      </c>
      <c r="F6901" t="s" s="10">
        <v>229</v>
      </c>
      <c r="G6901" t="s" s="11">
        <v>229</v>
      </c>
      <c r="H6901" t="s" s="10">
        <v>229</v>
      </c>
      <c r="I6901" t="s" s="11">
        <v>229</v>
      </c>
      <c r="J6901" t="s" s="11">
        <v>20</v>
      </c>
      <c r="K6901" s="15"/>
      <c r="L6901" t="s" s="16">
        <f>HYPERLINK("http://csr.bu.edu/ftp/asl/asllvd/demos/verify_start_end_handshape_annotations//test_auto_move//signs_mov_separ_signers/Liz_1557.mov","MOV")</f>
        <v>21</v>
      </c>
      <c r="M6901" t="s" s="10">
        <v>88</v>
      </c>
      <c r="N6901" s="17">
        <v>6</v>
      </c>
      <c r="O6901" s="18">
        <v>4240</v>
      </c>
      <c r="P6901" s="18">
        <v>4270</v>
      </c>
      <c r="Q6901" s="15"/>
      <c r="R6901" t="s" s="16">
        <f>HYPERLINK("http://secrets.rutgers.edu:8080/data/asl-ftp/asllvd/demos/verify_start_end_handshape_annotations//test_auto_move//signs_mov_separ_signers/Liz_1557.mov","MOV")</f>
        <v>21</v>
      </c>
    </row>
    <row r="6902" s="2" customFormat="1" ht="13.5" customHeight="1">
      <c r="B6902" s="13"/>
      <c r="C6902" t="s" s="9">
        <v>16</v>
      </c>
      <c r="D6902" t="s" s="8">
        <v>2386</v>
      </c>
      <c r="E6902" t="s" s="9">
        <v>2386</v>
      </c>
      <c r="F6902" t="s" s="10">
        <v>229</v>
      </c>
      <c r="G6902" t="s" s="11">
        <v>229</v>
      </c>
      <c r="H6902" t="s" s="10">
        <v>229</v>
      </c>
      <c r="I6902" t="s" s="11">
        <v>229</v>
      </c>
      <c r="J6902" t="s" s="11">
        <v>20</v>
      </c>
      <c r="K6902" s="15"/>
      <c r="L6902" t="s" s="16">
        <f>HYPERLINK("http://csr.bu.edu/ftp/asl/asllvd/demos/verify_start_end_handshape_annotations//test_auto_move//signs_mov_separ_signers/Liz_3687.mov","MOV")</f>
        <v>21</v>
      </c>
      <c r="M6902" t="s" s="10">
        <v>88</v>
      </c>
      <c r="N6902" s="17">
        <v>7</v>
      </c>
      <c r="O6902" s="18">
        <v>2545</v>
      </c>
      <c r="P6902" s="18">
        <v>2611</v>
      </c>
      <c r="Q6902" s="15"/>
      <c r="R6902" t="s" s="16">
        <f>HYPERLINK("http://secrets.rutgers.edu:8080/data/asl-ftp/asllvd/demos/verify_start_end_handshape_annotations//test_auto_move//signs_mov_separ_signers/Liz_3687.mov","MOV")</f>
        <v>21</v>
      </c>
    </row>
    <row r="6903" s="2" customFormat="1" ht="13.5" customHeight="1">
      <c r="B6903" s="13"/>
      <c r="C6903" t="s" s="9">
        <v>23</v>
      </c>
      <c r="D6903" t="s" s="8">
        <v>2386</v>
      </c>
      <c r="E6903" t="s" s="9">
        <v>2386</v>
      </c>
      <c r="F6903" t="s" s="10">
        <v>229</v>
      </c>
      <c r="G6903" t="s" s="11">
        <v>229</v>
      </c>
      <c r="H6903" t="s" s="10">
        <v>229</v>
      </c>
      <c r="I6903" t="s" s="11">
        <v>229</v>
      </c>
      <c r="J6903" t="s" s="11">
        <v>20</v>
      </c>
      <c r="K6903" t="s" s="16">
        <f>HYPERLINK("http://csr.bu.edu/ftp/asl/asllvd/demos/verify_start_end_handshape_annotations//test_auto_move//signs_mov/1557_3687_merged.mov","MOV")</f>
        <v>21</v>
      </c>
      <c r="L6903" t="s" s="16">
        <f>HYPERLINK("http://csr.bu.edu/ftp/asl/asllvd/demos/verify_start_end_handshape_annotations//test_auto_move//signs_mov_separ_signers/Tyler_1557.mov","MOV")</f>
        <v>21</v>
      </c>
      <c r="M6903" t="s" s="10">
        <v>47</v>
      </c>
      <c r="N6903" s="17">
        <v>16</v>
      </c>
      <c r="O6903" s="18">
        <v>2155</v>
      </c>
      <c r="P6903" s="18">
        <v>2181</v>
      </c>
      <c r="Q6903" t="s" s="16">
        <f>HYPERLINK("http://secrets.rutgers.edu:8080/data/asl-ftp/asllvd/demos/verify_start_end_handshape_annotations//test_auto_move//signs_mov/1557_3687_merged.mov","MOV")</f>
        <v>21</v>
      </c>
      <c r="R6903" t="s" s="16">
        <f>HYPERLINK("http://secrets.rutgers.edu:8080/data/asl-ftp/asllvd/demos/verify_start_end_handshape_annotations//test_auto_move//signs_mov_separ_signers/Tyler_1557.mov","MOV")</f>
        <v>21</v>
      </c>
    </row>
    <row r="6904" s="2" customFormat="1" ht="13.5" customHeight="1">
      <c r="B6904" s="13"/>
      <c r="C6904" t="s" s="9">
        <v>23</v>
      </c>
      <c r="D6904" t="s" s="8">
        <v>2386</v>
      </c>
      <c r="E6904" t="s" s="9">
        <v>2386</v>
      </c>
      <c r="F6904" t="s" s="10">
        <v>229</v>
      </c>
      <c r="G6904" t="s" s="11">
        <v>229</v>
      </c>
      <c r="H6904" t="s" s="10">
        <v>229</v>
      </c>
      <c r="I6904" t="s" s="11">
        <v>229</v>
      </c>
      <c r="J6904" t="s" s="11">
        <v>20</v>
      </c>
      <c r="K6904" s="15"/>
      <c r="L6904" t="s" s="16">
        <f>HYPERLINK("http://csr.bu.edu/ftp/asl/asllvd/demos/verify_start_end_handshape_annotations//test_auto_move//signs_mov_separ_signers/Tyler_3687.mov","MOV")</f>
        <v>21</v>
      </c>
      <c r="M6904" t="s" s="10">
        <v>47</v>
      </c>
      <c r="N6904" s="17">
        <v>17</v>
      </c>
      <c r="O6904" s="18">
        <v>1563</v>
      </c>
      <c r="P6904" s="18">
        <v>1587</v>
      </c>
      <c r="Q6904" s="15"/>
      <c r="R6904" t="s" s="16">
        <f>HYPERLINK("http://secrets.rutgers.edu:8080/data/asl-ftp/asllvd/demos/verify_start_end_handshape_annotations//test_auto_move//signs_mov_separ_signers/Tyler_3687.mov","MOV")</f>
        <v>21</v>
      </c>
    </row>
    <row r="6905" s="2" customFormat="1" ht="13.5" customHeight="1">
      <c r="B6905" s="13"/>
      <c r="C6905" t="s" s="9">
        <v>30</v>
      </c>
      <c r="D6905" t="s" s="8">
        <v>2386</v>
      </c>
      <c r="E6905" t="s" s="9">
        <v>2386</v>
      </c>
      <c r="F6905" t="s" s="10">
        <v>229</v>
      </c>
      <c r="G6905" t="s" s="11">
        <v>229</v>
      </c>
      <c r="H6905" t="s" s="10">
        <v>229</v>
      </c>
      <c r="I6905" t="s" s="11">
        <v>229</v>
      </c>
      <c r="J6905" t="s" s="11">
        <v>20</v>
      </c>
      <c r="K6905" s="15"/>
      <c r="L6905" t="s" s="16">
        <f>HYPERLINK("http://csr.bu.edu/ftp/asl/asllvd/demos/verify_start_end_handshape_annotations//test_auto_move//signs_mov_separ_signers/Brady_1557.mov","MOV")</f>
        <v>21</v>
      </c>
      <c r="M6905" t="s" s="10">
        <v>40</v>
      </c>
      <c r="N6905" s="17">
        <v>3</v>
      </c>
      <c r="O6905" s="18">
        <v>2310</v>
      </c>
      <c r="P6905" s="18">
        <v>2321</v>
      </c>
      <c r="Q6905" s="15"/>
      <c r="R6905" t="s" s="16">
        <f>HYPERLINK("http://secrets.rutgers.edu:8080/data/asl-ftp/asllvd/demos/verify_start_end_handshape_annotations//test_auto_move//signs_mov_separ_signers/Brady_1557.mov","MOV")</f>
        <v>21</v>
      </c>
    </row>
    <row r="6906" s="2" customFormat="1" ht="13.5" customHeight="1">
      <c r="B6906" s="13"/>
      <c r="C6906" t="s" s="9">
        <v>30</v>
      </c>
      <c r="D6906" t="s" s="8">
        <v>2386</v>
      </c>
      <c r="E6906" t="s" s="9">
        <v>2386</v>
      </c>
      <c r="F6906" t="s" s="10">
        <v>229</v>
      </c>
      <c r="G6906" t="s" s="11">
        <v>229</v>
      </c>
      <c r="H6906" t="s" s="10">
        <v>229</v>
      </c>
      <c r="I6906" t="s" s="11">
        <v>229</v>
      </c>
      <c r="J6906" t="s" s="11">
        <v>20</v>
      </c>
      <c r="K6906" s="15"/>
      <c r="L6906" t="s" s="16">
        <f>HYPERLINK("http://csr.bu.edu/ftp/asl/asllvd/demos/verify_start_end_handshape_annotations//test_auto_move//signs_mov_separ_signers/Brady_3687.mov","MOV")</f>
        <v>21</v>
      </c>
      <c r="M6906" t="s" s="10">
        <v>40</v>
      </c>
      <c r="N6906" s="17">
        <v>4</v>
      </c>
      <c r="O6906" s="18">
        <v>2925</v>
      </c>
      <c r="P6906" s="18">
        <v>2942</v>
      </c>
      <c r="Q6906" s="15"/>
      <c r="R6906" t="s" s="16">
        <f>HYPERLINK("http://secrets.rutgers.edu:8080/data/asl-ftp/asllvd/demos/verify_start_end_handshape_annotations//test_auto_move//signs_mov_separ_signers/Brady_3687.mov","MOV")</f>
        <v>21</v>
      </c>
    </row>
    <row r="6907" s="2" customFormat="1" ht="13.5" customHeight="1">
      <c r="B6907" t="s" s="8">
        <v>52</v>
      </c>
      <c r="C6907" t="s" s="9">
        <v>53</v>
      </c>
      <c r="D6907" t="s" s="8">
        <v>53</v>
      </c>
      <c r="E6907" t="s" s="9">
        <v>53</v>
      </c>
      <c r="F6907" t="s" s="10">
        <v>53</v>
      </c>
      <c r="G6907" t="s" s="11">
        <v>53</v>
      </c>
      <c r="H6907" t="s" s="10">
        <v>53</v>
      </c>
      <c r="I6907" t="s" s="11">
        <v>53</v>
      </c>
      <c r="J6907" t="s" s="11">
        <v>53</v>
      </c>
      <c r="K6907" t="s" s="12">
        <v>53</v>
      </c>
      <c r="L6907" t="s" s="12">
        <v>53</v>
      </c>
      <c r="M6907" t="s" s="10">
        <v>53</v>
      </c>
      <c r="N6907" t="s" s="11">
        <v>53</v>
      </c>
      <c r="O6907" t="s" s="8">
        <v>53</v>
      </c>
      <c r="P6907" t="s" s="8">
        <v>53</v>
      </c>
      <c r="Q6907" t="s" s="12">
        <v>53</v>
      </c>
      <c r="R6907" t="s" s="12">
        <v>53</v>
      </c>
    </row>
    <row r="6908" s="2" customFormat="1" ht="13.5" customHeight="1">
      <c r="B6908" s="13"/>
      <c r="C6908" t="s" s="9">
        <v>16</v>
      </c>
      <c r="D6908" t="s" s="8">
        <v>2386</v>
      </c>
      <c r="E6908" t="s" s="9">
        <v>2387</v>
      </c>
      <c r="F6908" t="s" s="10">
        <v>229</v>
      </c>
      <c r="G6908" s="14"/>
      <c r="H6908" t="s" s="10">
        <v>229</v>
      </c>
      <c r="I6908" s="14"/>
      <c r="J6908" t="s" s="11">
        <v>20</v>
      </c>
      <c r="K6908" s="15"/>
      <c r="L6908" t="s" s="16">
        <f>HYPERLINK("http://csr.bu.edu/ftp/asl/asllvd/demos/verify_start_end_handshape_annotations//test_auto_move//signs_mov_separ_signers/Liz_3688.mov","MOV")</f>
        <v>21</v>
      </c>
      <c r="M6908" t="s" s="10">
        <v>88</v>
      </c>
      <c r="N6908" s="17">
        <v>7</v>
      </c>
      <c r="O6908" s="18">
        <v>2245</v>
      </c>
      <c r="P6908" s="18">
        <v>2300</v>
      </c>
      <c r="Q6908" s="15"/>
      <c r="R6908" t="s" s="16">
        <f>HYPERLINK("http://secrets.rutgers.edu:8080/data/asl-ftp/asllvd/demos/verify_start_end_handshape_annotations//test_auto_move//signs_mov_separ_signers/Liz_3688.mov","MOV")</f>
        <v>21</v>
      </c>
    </row>
    <row r="6909" s="2" customFormat="1" ht="13.5" customHeight="1">
      <c r="B6909" s="13"/>
      <c r="C6909" t="s" s="9">
        <v>23</v>
      </c>
      <c r="D6909" t="s" s="8">
        <v>2386</v>
      </c>
      <c r="E6909" t="s" s="9">
        <v>2387</v>
      </c>
      <c r="F6909" t="s" s="10">
        <v>229</v>
      </c>
      <c r="G6909" s="14"/>
      <c r="H6909" t="s" s="10">
        <v>229</v>
      </c>
      <c r="I6909" s="14"/>
      <c r="J6909" t="s" s="11">
        <v>20</v>
      </c>
      <c r="K6909" t="s" s="16">
        <f>HYPERLINK("http://csr.bu.edu/ftp/asl/asllvd/demos/verify_start_end_handshape_annotations//test_auto_move//signs_mov/3688.mov","MOV")</f>
        <v>21</v>
      </c>
      <c r="L6909" t="s" s="16">
        <f>HYPERLINK("http://csr.bu.edu/ftp/asl/asllvd/demos/verify_start_end_handshape_annotations//test_auto_move//signs_mov_separ_signers/Tyler_3688.mov","MOV")</f>
        <v>21</v>
      </c>
      <c r="M6909" t="s" s="10">
        <v>47</v>
      </c>
      <c r="N6909" s="17">
        <v>17</v>
      </c>
      <c r="O6909" s="18">
        <v>1280</v>
      </c>
      <c r="P6909" s="18">
        <v>1306</v>
      </c>
      <c r="Q6909" t="s" s="16">
        <f>HYPERLINK("http://secrets.rutgers.edu:8080/data/asl-ftp/asllvd/demos/verify_start_end_handshape_annotations//test_auto_move//signs_mov/3688.mov","MOV")</f>
        <v>21</v>
      </c>
      <c r="R6909" t="s" s="16">
        <f>HYPERLINK("http://secrets.rutgers.edu:8080/data/asl-ftp/asllvd/demos/verify_start_end_handshape_annotations//test_auto_move//signs_mov_separ_signers/Tyler_3688.mov","MOV")</f>
        <v>21</v>
      </c>
    </row>
    <row r="6910" s="2" customFormat="1" ht="13.5" customHeight="1">
      <c r="B6910" s="13"/>
      <c r="C6910" t="s" s="9">
        <v>30</v>
      </c>
      <c r="D6910" t="s" s="8">
        <v>2386</v>
      </c>
      <c r="E6910" t="s" s="9">
        <v>2387</v>
      </c>
      <c r="F6910" t="s" s="10">
        <v>229</v>
      </c>
      <c r="G6910" s="14"/>
      <c r="H6910" t="s" s="10">
        <v>229</v>
      </c>
      <c r="I6910" s="14"/>
      <c r="J6910" t="s" s="11">
        <v>20</v>
      </c>
      <c r="K6910" s="15"/>
      <c r="L6910" t="s" s="16">
        <f>HYPERLINK("http://csr.bu.edu/ftp/asl/asllvd/demos/verify_start_end_handshape_annotations//test_auto_move//signs_mov_separ_signers/Brady_3688.mov","MOV")</f>
        <v>21</v>
      </c>
      <c r="M6910" t="s" s="10">
        <v>40</v>
      </c>
      <c r="N6910" s="17">
        <v>4</v>
      </c>
      <c r="O6910" s="18">
        <v>1328</v>
      </c>
      <c r="P6910" s="18">
        <v>1348</v>
      </c>
      <c r="Q6910" s="15"/>
      <c r="R6910" t="s" s="16">
        <f>HYPERLINK("http://secrets.rutgers.edu:8080/data/asl-ftp/asllvd/demos/verify_start_end_handshape_annotations//test_auto_move//signs_mov_separ_signers/Brady_3688.mov","MOV")</f>
        <v>21</v>
      </c>
    </row>
    <row r="6911" s="2" customFormat="1" ht="13.5" customHeight="1">
      <c r="B6911" t="s" s="8">
        <v>2388</v>
      </c>
      <c r="C6911" t="s" s="9">
        <v>14</v>
      </c>
      <c r="D6911" t="s" s="8">
        <v>14</v>
      </c>
      <c r="E6911" t="s" s="9">
        <v>14</v>
      </c>
      <c r="F6911" t="s" s="10">
        <v>14</v>
      </c>
      <c r="G6911" t="s" s="11">
        <v>14</v>
      </c>
      <c r="H6911" t="s" s="10">
        <v>14</v>
      </c>
      <c r="I6911" t="s" s="11">
        <v>14</v>
      </c>
      <c r="J6911" t="s" s="11">
        <v>14</v>
      </c>
      <c r="K6911" t="s" s="12">
        <v>14</v>
      </c>
      <c r="L6911" t="s" s="12">
        <v>14</v>
      </c>
      <c r="M6911" t="s" s="10">
        <v>14</v>
      </c>
      <c r="N6911" t="s" s="11">
        <v>14</v>
      </c>
      <c r="O6911" t="s" s="8">
        <v>14</v>
      </c>
      <c r="P6911" t="s" s="8">
        <v>14</v>
      </c>
      <c r="Q6911" t="s" s="12">
        <v>14</v>
      </c>
      <c r="R6911" t="s" s="12">
        <v>14</v>
      </c>
    </row>
    <row r="6912" s="2" customFormat="1" ht="13.5" customHeight="1">
      <c r="B6912" s="13"/>
      <c r="C6912" t="s" s="9">
        <v>16</v>
      </c>
      <c r="D6912" t="s" s="8">
        <v>2388</v>
      </c>
      <c r="E6912" t="s" s="9">
        <v>2388</v>
      </c>
      <c r="F6912" s="19">
        <v>1</v>
      </c>
      <c r="G6912" s="17">
        <v>25</v>
      </c>
      <c r="H6912" s="19">
        <v>1</v>
      </c>
      <c r="I6912" s="17">
        <v>25</v>
      </c>
      <c r="J6912" t="s" s="11">
        <v>20</v>
      </c>
      <c r="K6912" t="s" s="16">
        <f>HYPERLINK("http://csr.bu.edu/ftp/asl/asllvd/demos/verify_start_end_handshape_annotations//test_auto_move//signs_mov/1559.mov","MOV")</f>
        <v>21</v>
      </c>
      <c r="L6912" t="s" s="16">
        <f>HYPERLINK("http://csr.bu.edu/ftp/asl/asllvd/demos/verify_start_end_handshape_annotations//test_auto_move//signs_mov_separ_signers/Liz_1559.mov","MOV")</f>
        <v>21</v>
      </c>
      <c r="M6912" t="s" s="10">
        <v>88</v>
      </c>
      <c r="N6912" s="17">
        <v>6</v>
      </c>
      <c r="O6912" s="18">
        <v>4736</v>
      </c>
      <c r="P6912" s="18">
        <v>4766</v>
      </c>
      <c r="Q6912" t="s" s="16">
        <f>HYPERLINK("http://secrets.rutgers.edu:8080/data/asl-ftp/asllvd/demos/verify_start_end_handshape_annotations//test_auto_move//signs_mov/1559.mov","MOV")</f>
        <v>21</v>
      </c>
      <c r="R6912" t="s" s="16">
        <f>HYPERLINK("http://secrets.rutgers.edu:8080/data/asl-ftp/asllvd/demos/verify_start_end_handshape_annotations//test_auto_move//signs_mov_separ_signers/Liz_1559.mov","MOV")</f>
        <v>21</v>
      </c>
    </row>
    <row r="6913" s="2" customFormat="1" ht="13.5" customHeight="1">
      <c r="B6913" s="13"/>
      <c r="C6913" t="s" s="9">
        <v>30</v>
      </c>
      <c r="D6913" t="s" s="8">
        <v>2388</v>
      </c>
      <c r="E6913" t="s" s="9">
        <v>2388</v>
      </c>
      <c r="F6913" s="19">
        <v>1</v>
      </c>
      <c r="G6913" s="17">
        <v>25</v>
      </c>
      <c r="H6913" s="19">
        <v>1</v>
      </c>
      <c r="I6913" s="17">
        <v>25</v>
      </c>
      <c r="J6913" t="s" s="11">
        <v>20</v>
      </c>
      <c r="K6913" s="15"/>
      <c r="L6913" t="s" s="16">
        <f>HYPERLINK("http://csr.bu.edu/ftp/asl/asllvd/demos/verify_start_end_handshape_annotations//test_auto_move//signs_mov_separ_signers/Brady_1559.mov","MOV")</f>
        <v>21</v>
      </c>
      <c r="M6913" t="s" s="10">
        <v>40</v>
      </c>
      <c r="N6913" s="17">
        <v>3</v>
      </c>
      <c r="O6913" s="18">
        <v>2818</v>
      </c>
      <c r="P6913" s="18">
        <v>2842</v>
      </c>
      <c r="Q6913" s="15"/>
      <c r="R6913" t="s" s="16">
        <f>HYPERLINK("http://secrets.rutgers.edu:8080/data/asl-ftp/asllvd/demos/verify_start_end_handshape_annotations//test_auto_move//signs_mov_separ_signers/Brady_1559.mov","MOV")</f>
        <v>21</v>
      </c>
    </row>
    <row r="6914" s="2" customFormat="1" ht="13.5" customHeight="1">
      <c r="B6914" t="s" s="8">
        <v>2389</v>
      </c>
      <c r="C6914" t="s" s="9">
        <v>14</v>
      </c>
      <c r="D6914" t="s" s="8">
        <v>14</v>
      </c>
      <c r="E6914" t="s" s="9">
        <v>14</v>
      </c>
      <c r="F6914" t="s" s="10">
        <v>14</v>
      </c>
      <c r="G6914" t="s" s="11">
        <v>14</v>
      </c>
      <c r="H6914" t="s" s="10">
        <v>14</v>
      </c>
      <c r="I6914" t="s" s="11">
        <v>14</v>
      </c>
      <c r="J6914" t="s" s="11">
        <v>14</v>
      </c>
      <c r="K6914" t="s" s="12">
        <v>14</v>
      </c>
      <c r="L6914" t="s" s="12">
        <v>14</v>
      </c>
      <c r="M6914" t="s" s="10">
        <v>14</v>
      </c>
      <c r="N6914" t="s" s="11">
        <v>14</v>
      </c>
      <c r="O6914" t="s" s="8">
        <v>14</v>
      </c>
      <c r="P6914" t="s" s="8">
        <v>14</v>
      </c>
      <c r="Q6914" t="s" s="12">
        <v>14</v>
      </c>
      <c r="R6914" t="s" s="12">
        <v>14</v>
      </c>
    </row>
    <row r="6915" s="2" customFormat="1" ht="13.5" customHeight="1">
      <c r="B6915" s="13"/>
      <c r="C6915" t="s" s="9">
        <v>16</v>
      </c>
      <c r="D6915" t="s" s="8">
        <v>2389</v>
      </c>
      <c r="E6915" t="s" s="9">
        <v>2389</v>
      </c>
      <c r="F6915" t="s" s="10">
        <v>136</v>
      </c>
      <c r="G6915" s="14"/>
      <c r="H6915" t="s" s="10">
        <v>136</v>
      </c>
      <c r="I6915" s="14"/>
      <c r="J6915" t="s" s="11">
        <v>20</v>
      </c>
      <c r="K6915" s="15"/>
      <c r="L6915" t="s" s="16">
        <f>HYPERLINK("http://csr.bu.edu/ftp/asl/asllvd/demos/verify_start_end_handshape_annotations//test_auto_move//signs_mov_separ_signers/Liz_1562.mov","MOV")</f>
        <v>21</v>
      </c>
      <c r="M6915" t="s" s="10">
        <v>88</v>
      </c>
      <c r="N6915" s="17">
        <v>7</v>
      </c>
      <c r="O6915" s="18">
        <v>1740</v>
      </c>
      <c r="P6915" s="18">
        <v>1775</v>
      </c>
      <c r="Q6915" s="15"/>
      <c r="R6915" t="s" s="16">
        <f>HYPERLINK("http://secrets.rutgers.edu:8080/data/asl-ftp/asllvd/demos/verify_start_end_handshape_annotations//test_auto_move//signs_mov_separ_signers/Liz_1562.mov","MOV")</f>
        <v>21</v>
      </c>
    </row>
    <row r="6916" s="2" customFormat="1" ht="13.5" customHeight="1">
      <c r="B6916" s="13"/>
      <c r="C6916" t="s" s="9">
        <v>23</v>
      </c>
      <c r="D6916" t="s" s="8">
        <v>2389</v>
      </c>
      <c r="E6916" t="s" s="9">
        <v>2389</v>
      </c>
      <c r="F6916" t="s" s="10">
        <v>136</v>
      </c>
      <c r="G6916" s="14"/>
      <c r="H6916" t="s" s="10">
        <v>136</v>
      </c>
      <c r="I6916" s="14"/>
      <c r="J6916" t="s" s="11">
        <v>20</v>
      </c>
      <c r="K6916" t="s" s="16">
        <f>HYPERLINK("http://csr.bu.edu/ftp/asl/asllvd/demos/verify_start_end_handshape_annotations//test_auto_move//signs_mov/1562_3301_merged.mov","MOV")</f>
        <v>21</v>
      </c>
      <c r="L6916" t="s" s="16">
        <f>HYPERLINK("http://csr.bu.edu/ftp/asl/asllvd/demos/verify_start_end_handshape_annotations//test_auto_move//signs_mov_separ_signers/Tyler_1562.mov","MOV")</f>
        <v>21</v>
      </c>
      <c r="M6916" t="s" s="10">
        <v>26</v>
      </c>
      <c r="N6916" s="17">
        <v>4</v>
      </c>
      <c r="O6916" s="18">
        <v>1855</v>
      </c>
      <c r="P6916" s="18">
        <v>1870</v>
      </c>
      <c r="Q6916" t="s" s="16">
        <f>HYPERLINK("http://secrets.rutgers.edu:8080/data/asl-ftp/asllvd/demos/verify_start_end_handshape_annotations//test_auto_move//signs_mov/1562_3301_merged.mov","MOV")</f>
        <v>21</v>
      </c>
      <c r="R6916" t="s" s="16">
        <f>HYPERLINK("http://secrets.rutgers.edu:8080/data/asl-ftp/asllvd/demos/verify_start_end_handshape_annotations//test_auto_move//signs_mov_separ_signers/Tyler_1562.mov","MOV")</f>
        <v>21</v>
      </c>
    </row>
    <row r="6917" s="2" customFormat="1" ht="13.5" customHeight="1">
      <c r="B6917" s="13"/>
      <c r="C6917" t="s" s="9">
        <v>23</v>
      </c>
      <c r="D6917" t="s" s="8">
        <v>2389</v>
      </c>
      <c r="E6917" t="s" s="9">
        <v>2389</v>
      </c>
      <c r="F6917" t="s" s="10">
        <v>136</v>
      </c>
      <c r="G6917" s="14"/>
      <c r="H6917" t="s" s="10">
        <v>136</v>
      </c>
      <c r="I6917" s="14"/>
      <c r="J6917" t="s" s="11">
        <v>20</v>
      </c>
      <c r="K6917" s="15"/>
      <c r="L6917" t="s" s="16">
        <f>HYPERLINK("http://csr.bu.edu/ftp/asl/asllvd/demos/verify_start_end_handshape_annotations//test_auto_move//signs_mov_separ_signers/Tyler_3301.mov","MOV")</f>
        <v>21</v>
      </c>
      <c r="M6917" t="s" s="10">
        <v>47</v>
      </c>
      <c r="N6917" s="17">
        <v>17</v>
      </c>
      <c r="O6917" s="18">
        <v>607</v>
      </c>
      <c r="P6917" s="18">
        <v>627</v>
      </c>
      <c r="Q6917" s="15"/>
      <c r="R6917" t="s" s="16">
        <f>HYPERLINK("http://secrets.rutgers.edu:8080/data/asl-ftp/asllvd/demos/verify_start_end_handshape_annotations//test_auto_move//signs_mov_separ_signers/Tyler_3301.mov","MOV")</f>
        <v>21</v>
      </c>
    </row>
    <row r="6918" s="2" customFormat="1" ht="13.5" customHeight="1">
      <c r="B6918" s="13"/>
      <c r="C6918" t="s" s="9">
        <v>30</v>
      </c>
      <c r="D6918" t="s" s="8">
        <v>2389</v>
      </c>
      <c r="E6918" t="s" s="9">
        <v>2389</v>
      </c>
      <c r="F6918" t="s" s="10">
        <v>136</v>
      </c>
      <c r="G6918" s="14"/>
      <c r="H6918" t="s" s="10">
        <v>136</v>
      </c>
      <c r="I6918" s="14"/>
      <c r="J6918" t="s" s="11">
        <v>20</v>
      </c>
      <c r="K6918" s="15"/>
      <c r="L6918" t="s" s="16">
        <f>HYPERLINK("http://csr.bu.edu/ftp/asl/asllvd/demos/verify_start_end_handshape_annotations//test_auto_move//signs_mov_separ_signers/Brady_1562.mov","MOV")</f>
        <v>21</v>
      </c>
      <c r="M6918" t="s" s="10">
        <v>40</v>
      </c>
      <c r="N6918" s="17">
        <v>4</v>
      </c>
      <c r="O6918" s="18">
        <v>810</v>
      </c>
      <c r="P6918" s="18">
        <v>826</v>
      </c>
      <c r="Q6918" s="15"/>
      <c r="R6918" t="s" s="16">
        <f>HYPERLINK("http://secrets.rutgers.edu:8080/data/asl-ftp/asllvd/demos/verify_start_end_handshape_annotations//test_auto_move//signs_mov_separ_signers/Brady_1562.mov","MOV")</f>
        <v>21</v>
      </c>
    </row>
    <row r="6919" s="2" customFormat="1" ht="13.5" customHeight="1">
      <c r="B6919" t="s" s="8">
        <v>52</v>
      </c>
      <c r="C6919" t="s" s="9">
        <v>53</v>
      </c>
      <c r="D6919" t="s" s="8">
        <v>53</v>
      </c>
      <c r="E6919" t="s" s="9">
        <v>53</v>
      </c>
      <c r="F6919" t="s" s="10">
        <v>53</v>
      </c>
      <c r="G6919" t="s" s="11">
        <v>53</v>
      </c>
      <c r="H6919" t="s" s="10">
        <v>53</v>
      </c>
      <c r="I6919" t="s" s="11">
        <v>53</v>
      </c>
      <c r="J6919" t="s" s="11">
        <v>53</v>
      </c>
      <c r="K6919" t="s" s="12">
        <v>53</v>
      </c>
      <c r="L6919" t="s" s="12">
        <v>53</v>
      </c>
      <c r="M6919" t="s" s="10">
        <v>53</v>
      </c>
      <c r="N6919" t="s" s="11">
        <v>53</v>
      </c>
      <c r="O6919" t="s" s="8">
        <v>53</v>
      </c>
      <c r="P6919" t="s" s="8">
        <v>53</v>
      </c>
      <c r="Q6919" t="s" s="12">
        <v>53</v>
      </c>
      <c r="R6919" t="s" s="12">
        <v>53</v>
      </c>
    </row>
    <row r="6920" s="2" customFormat="1" ht="13.5" customHeight="1">
      <c r="B6920" s="13"/>
      <c r="C6920" t="s" s="9">
        <v>16</v>
      </c>
      <c r="D6920" t="s" s="8">
        <v>2389</v>
      </c>
      <c r="E6920" t="s" s="9">
        <v>2390</v>
      </c>
      <c r="F6920" t="s" s="10">
        <v>136</v>
      </c>
      <c r="G6920" s="14"/>
      <c r="H6920" t="s" s="10">
        <v>136</v>
      </c>
      <c r="I6920" s="14"/>
      <c r="J6920" t="s" s="11">
        <v>20</v>
      </c>
      <c r="K6920" s="15"/>
      <c r="L6920" t="s" s="16">
        <f>HYPERLINK("http://csr.bu.edu/ftp/asl/asllvd/demos/verify_start_end_handshape_annotations//test_auto_move//signs_mov_separ_signers/Liz_5557.mov","MOV")</f>
        <v>21</v>
      </c>
      <c r="M6920" t="s" s="10">
        <v>88</v>
      </c>
      <c r="N6920" s="17">
        <v>7</v>
      </c>
      <c r="O6920" s="18">
        <v>1980</v>
      </c>
      <c r="P6920" s="18">
        <v>2025</v>
      </c>
      <c r="Q6920" s="15"/>
      <c r="R6920" t="s" s="16">
        <f>HYPERLINK("http://secrets.rutgers.edu:8080/data/asl-ftp/asllvd/demos/verify_start_end_handshape_annotations//test_auto_move//signs_mov_separ_signers/Liz_5557.mov","MOV")</f>
        <v>21</v>
      </c>
    </row>
    <row r="6921" s="2" customFormat="1" ht="13.5" customHeight="1">
      <c r="B6921" s="13"/>
      <c r="C6921" t="s" s="9">
        <v>23</v>
      </c>
      <c r="D6921" t="s" s="8">
        <v>2389</v>
      </c>
      <c r="E6921" t="s" s="9">
        <v>2390</v>
      </c>
      <c r="F6921" t="s" s="10">
        <v>136</v>
      </c>
      <c r="G6921" s="14"/>
      <c r="H6921" t="s" s="10">
        <v>136</v>
      </c>
      <c r="I6921" s="14"/>
      <c r="J6921" t="s" s="11">
        <v>20</v>
      </c>
      <c r="K6921" t="s" s="16">
        <f>HYPERLINK("http://csr.bu.edu/ftp/asl/asllvd/demos/verify_start_end_handshape_annotations//test_auto_move//signs_mov/5557.mov","MOV")</f>
        <v>21</v>
      </c>
      <c r="L6921" t="s" s="16">
        <f>HYPERLINK("http://csr.bu.edu/ftp/asl/asllvd/demos/verify_start_end_handshape_annotations//test_auto_move//signs_mov_separ_signers/Tyler_5557.mov","MOV")</f>
        <v>21</v>
      </c>
      <c r="M6921" t="s" s="10">
        <v>47</v>
      </c>
      <c r="N6921" s="17">
        <v>17</v>
      </c>
      <c r="O6921" s="18">
        <v>997</v>
      </c>
      <c r="P6921" s="18">
        <v>1040</v>
      </c>
      <c r="Q6921" t="s" s="16">
        <f>HYPERLINK("http://secrets.rutgers.edu:8080/data/asl-ftp/asllvd/demos/verify_start_end_handshape_annotations//test_auto_move//signs_mov/5557.mov","MOV")</f>
        <v>21</v>
      </c>
      <c r="R6921" t="s" s="16">
        <f>HYPERLINK("http://secrets.rutgers.edu:8080/data/asl-ftp/asllvd/demos/verify_start_end_handshape_annotations//test_auto_move//signs_mov_separ_signers/Tyler_5557.mov","MOV")</f>
        <v>21</v>
      </c>
    </row>
    <row r="6922" s="2" customFormat="1" ht="13.5" customHeight="1">
      <c r="B6922" s="13"/>
      <c r="C6922" t="s" s="9">
        <v>30</v>
      </c>
      <c r="D6922" t="s" s="8">
        <v>2389</v>
      </c>
      <c r="E6922" t="s" s="9">
        <v>2390</v>
      </c>
      <c r="F6922" t="s" s="10">
        <v>136</v>
      </c>
      <c r="G6922" s="14"/>
      <c r="H6922" t="s" s="10">
        <v>136</v>
      </c>
      <c r="I6922" s="14"/>
      <c r="J6922" t="s" s="11">
        <v>20</v>
      </c>
      <c r="K6922" s="15"/>
      <c r="L6922" t="s" s="16">
        <f>HYPERLINK("http://csr.bu.edu/ftp/asl/asllvd/demos/verify_start_end_handshape_annotations//test_auto_move//signs_mov_separ_signers/Brady_5557.mov","MOV")</f>
        <v>21</v>
      </c>
      <c r="M6922" t="s" s="10">
        <v>40</v>
      </c>
      <c r="N6922" s="17">
        <v>4</v>
      </c>
      <c r="O6922" s="18">
        <v>1002</v>
      </c>
      <c r="P6922" s="18">
        <v>1046</v>
      </c>
      <c r="Q6922" s="15"/>
      <c r="R6922" t="s" s="16">
        <f>HYPERLINK("http://secrets.rutgers.edu:8080/data/asl-ftp/asllvd/demos/verify_start_end_handshape_annotations//test_auto_move//signs_mov_separ_signers/Brady_5557.mov","MOV")</f>
        <v>21</v>
      </c>
    </row>
    <row r="6923" s="2" customFormat="1" ht="13.5" customHeight="1">
      <c r="B6923" t="s" s="8">
        <v>2391</v>
      </c>
      <c r="C6923" t="s" s="9">
        <v>14</v>
      </c>
      <c r="D6923" t="s" s="8">
        <v>14</v>
      </c>
      <c r="E6923" t="s" s="9">
        <v>14</v>
      </c>
      <c r="F6923" t="s" s="10">
        <v>14</v>
      </c>
      <c r="G6923" t="s" s="11">
        <v>14</v>
      </c>
      <c r="H6923" t="s" s="10">
        <v>14</v>
      </c>
      <c r="I6923" t="s" s="11">
        <v>14</v>
      </c>
      <c r="J6923" t="s" s="11">
        <v>14</v>
      </c>
      <c r="K6923" t="s" s="12">
        <v>14</v>
      </c>
      <c r="L6923" t="s" s="12">
        <v>14</v>
      </c>
      <c r="M6923" t="s" s="10">
        <v>14</v>
      </c>
      <c r="N6923" t="s" s="11">
        <v>14</v>
      </c>
      <c r="O6923" t="s" s="8">
        <v>14</v>
      </c>
      <c r="P6923" t="s" s="8">
        <v>14</v>
      </c>
      <c r="Q6923" t="s" s="12">
        <v>14</v>
      </c>
      <c r="R6923" t="s" s="12">
        <v>14</v>
      </c>
    </row>
    <row r="6924" s="2" customFormat="1" ht="13.5" customHeight="1">
      <c r="B6924" s="13"/>
      <c r="C6924" t="s" s="9">
        <v>16</v>
      </c>
      <c r="D6924" t="s" s="8">
        <v>2391</v>
      </c>
      <c r="E6924" t="s" s="9">
        <v>2391</v>
      </c>
      <c r="F6924" t="s" s="10">
        <v>136</v>
      </c>
      <c r="G6924" s="14"/>
      <c r="H6924" t="s" s="10">
        <v>136</v>
      </c>
      <c r="I6924" s="14"/>
      <c r="J6924" t="s" s="11">
        <v>20</v>
      </c>
      <c r="K6924" s="15"/>
      <c r="L6924" t="s" s="16">
        <f>HYPERLINK("http://csr.bu.edu/ftp/asl/asllvd/demos/verify_start_end_handshape_annotations//test_auto_move//signs_mov_separ_signers/Liz_5959.mov","MOV")</f>
        <v>21</v>
      </c>
      <c r="M6924" t="s" s="10">
        <v>59</v>
      </c>
      <c r="N6924" s="17">
        <v>46</v>
      </c>
      <c r="O6924" s="18">
        <v>1935</v>
      </c>
      <c r="P6924" s="18">
        <v>1965</v>
      </c>
      <c r="Q6924" s="15"/>
      <c r="R6924" t="s" s="16">
        <f>HYPERLINK("http://secrets.rutgers.edu:8080/data/asl-ftp/asllvd/demos/verify_start_end_handshape_annotations//test_auto_move//signs_mov_separ_signers/Liz_5959.mov","MOV")</f>
        <v>21</v>
      </c>
    </row>
    <row r="6925" s="2" customFormat="1" ht="13.5" customHeight="1">
      <c r="B6925" s="13"/>
      <c r="C6925" t="s" s="9">
        <v>30</v>
      </c>
      <c r="D6925" t="s" s="8">
        <v>2391</v>
      </c>
      <c r="E6925" t="s" s="9">
        <v>2391</v>
      </c>
      <c r="F6925" t="s" s="10">
        <v>136</v>
      </c>
      <c r="G6925" s="14"/>
      <c r="H6925" t="s" s="10">
        <v>136</v>
      </c>
      <c r="I6925" s="14"/>
      <c r="J6925" t="s" s="11">
        <v>20</v>
      </c>
      <c r="K6925" t="s" s="16">
        <f>HYPERLINK("http://csr.bu.edu/ftp/asl/asllvd/demos/verify_start_end_handshape_annotations//test_auto_move//signs_mov/5959.mov","MOV")</f>
        <v>21</v>
      </c>
      <c r="L6925" t="s" s="16">
        <f>HYPERLINK("http://csr.bu.edu/ftp/asl/asllvd/demos/verify_start_end_handshape_annotations//test_auto_move//signs_mov_separ_signers/Brady_5959.mov","MOV")</f>
        <v>21</v>
      </c>
      <c r="M6925" t="s" s="10">
        <v>60</v>
      </c>
      <c r="N6925" s="17">
        <v>34</v>
      </c>
      <c r="O6925" s="18">
        <v>2323</v>
      </c>
      <c r="P6925" s="18">
        <v>2362</v>
      </c>
      <c r="Q6925" t="s" s="16">
        <f>HYPERLINK("http://secrets.rutgers.edu:8080/data/asl-ftp/asllvd/demos/verify_start_end_handshape_annotations//test_auto_move//signs_mov/5959.mov","MOV")</f>
        <v>21</v>
      </c>
      <c r="R6925" t="s" s="16">
        <f>HYPERLINK("http://secrets.rutgers.edu:8080/data/asl-ftp/asllvd/demos/verify_start_end_handshape_annotations//test_auto_move//signs_mov_separ_signers/Brady_5959.mov","MOV")</f>
        <v>21</v>
      </c>
    </row>
    <row r="6926" s="2" customFormat="1" ht="13.5" customHeight="1">
      <c r="B6926" s="13"/>
      <c r="C6926" t="s" s="9">
        <v>43</v>
      </c>
      <c r="D6926" t="s" s="8">
        <v>2391</v>
      </c>
      <c r="E6926" t="s" s="9">
        <v>2391</v>
      </c>
      <c r="F6926" t="s" s="10">
        <v>136</v>
      </c>
      <c r="G6926" s="14"/>
      <c r="H6926" t="s" s="10">
        <v>136</v>
      </c>
      <c r="I6926" s="14"/>
      <c r="J6926" t="s" s="11">
        <v>20</v>
      </c>
      <c r="K6926" s="15"/>
      <c r="L6926" t="s" s="16">
        <f>HYPERLINK("http://csr.bu.edu/ftp/asl/asllvd/demos/verify_start_end_handshape_annotations//test_auto_move//signs_mov_separ_signers/Dana_5959.mov","MOV")</f>
        <v>21</v>
      </c>
      <c r="M6926" t="s" s="10">
        <v>44</v>
      </c>
      <c r="N6926" s="17">
        <v>27</v>
      </c>
      <c r="O6926" s="18">
        <v>1825</v>
      </c>
      <c r="P6926" s="18">
        <v>1850</v>
      </c>
      <c r="Q6926" s="15"/>
      <c r="R6926" t="s" s="16">
        <f>HYPERLINK("http://secrets.rutgers.edu:8080/data/asl-ftp/asllvd/demos/verify_start_end_handshape_annotations//test_auto_move//signs_mov_separ_signers/Dana_5959.mov","MOV")</f>
        <v>21</v>
      </c>
    </row>
    <row r="6927" s="2" customFormat="1" ht="13.5" customHeight="1">
      <c r="B6927" t="s" s="8">
        <v>52</v>
      </c>
      <c r="C6927" t="s" s="9">
        <v>53</v>
      </c>
      <c r="D6927" t="s" s="8">
        <v>53</v>
      </c>
      <c r="E6927" t="s" s="9">
        <v>53</v>
      </c>
      <c r="F6927" t="s" s="10">
        <v>53</v>
      </c>
      <c r="G6927" t="s" s="11">
        <v>53</v>
      </c>
      <c r="H6927" t="s" s="10">
        <v>53</v>
      </c>
      <c r="I6927" t="s" s="11">
        <v>53</v>
      </c>
      <c r="J6927" t="s" s="11">
        <v>53</v>
      </c>
      <c r="K6927" t="s" s="12">
        <v>53</v>
      </c>
      <c r="L6927" t="s" s="12">
        <v>53</v>
      </c>
      <c r="M6927" t="s" s="10">
        <v>53</v>
      </c>
      <c r="N6927" t="s" s="11">
        <v>53</v>
      </c>
      <c r="O6927" t="s" s="8">
        <v>53</v>
      </c>
      <c r="P6927" t="s" s="8">
        <v>53</v>
      </c>
      <c r="Q6927" t="s" s="12">
        <v>53</v>
      </c>
      <c r="R6927" t="s" s="12">
        <v>53</v>
      </c>
    </row>
    <row r="6928" s="2" customFormat="1" ht="13.5" customHeight="1">
      <c r="B6928" s="13"/>
      <c r="C6928" t="s" s="9">
        <v>41</v>
      </c>
      <c r="D6928" t="s" s="8">
        <v>2391</v>
      </c>
      <c r="E6928" t="s" s="9">
        <v>2392</v>
      </c>
      <c r="F6928" t="s" s="10">
        <v>136</v>
      </c>
      <c r="G6928" s="14"/>
      <c r="H6928" t="s" s="10">
        <v>136</v>
      </c>
      <c r="I6928" s="14"/>
      <c r="J6928" t="s" s="11">
        <v>20</v>
      </c>
      <c r="K6928" t="s" s="16">
        <f>HYPERLINK("http://csr.bu.edu/ftp/asl/asllvd/demos/verify_start_end_handshape_annotations//test_auto_move//signs_mov/5960.mov","MOV")</f>
        <v>21</v>
      </c>
      <c r="L6928" t="s" s="16">
        <f>HYPERLINK("http://csr.bu.edu/ftp/asl/asllvd/demos/verify_start_end_handshape_annotations//test_auto_move//signs_mov_separ_signers/Lana_5960.mov","MOV")</f>
        <v>21</v>
      </c>
      <c r="M6928" t="s" s="10">
        <v>42</v>
      </c>
      <c r="N6928" s="17">
        <v>25</v>
      </c>
      <c r="O6928" s="18">
        <v>1886</v>
      </c>
      <c r="P6928" s="18">
        <v>1917</v>
      </c>
      <c r="Q6928" t="s" s="16">
        <f>HYPERLINK("http://secrets.rutgers.edu:8080/data/asl-ftp/asllvd/demos/verify_start_end_handshape_annotations//test_auto_move//signs_mov/5960.mov","MOV")</f>
        <v>21</v>
      </c>
      <c r="R6928" t="s" s="16">
        <f>HYPERLINK("http://secrets.rutgers.edu:8080/data/asl-ftp/asllvd/demos/verify_start_end_handshape_annotations//test_auto_move//signs_mov_separ_signers/Lana_5960.mov","MOV")</f>
        <v>21</v>
      </c>
    </row>
    <row r="6929" s="2" customFormat="1" ht="13.5" customHeight="1">
      <c r="B6929" t="s" s="8">
        <v>2393</v>
      </c>
      <c r="C6929" t="s" s="9">
        <v>14</v>
      </c>
      <c r="D6929" t="s" s="8">
        <v>14</v>
      </c>
      <c r="E6929" t="s" s="9">
        <v>14</v>
      </c>
      <c r="F6929" t="s" s="10">
        <v>14</v>
      </c>
      <c r="G6929" t="s" s="11">
        <v>14</v>
      </c>
      <c r="H6929" t="s" s="10">
        <v>14</v>
      </c>
      <c r="I6929" t="s" s="11">
        <v>14</v>
      </c>
      <c r="J6929" t="s" s="11">
        <v>14</v>
      </c>
      <c r="K6929" t="s" s="12">
        <v>14</v>
      </c>
      <c r="L6929" t="s" s="12">
        <v>14</v>
      </c>
      <c r="M6929" t="s" s="10">
        <v>14</v>
      </c>
      <c r="N6929" t="s" s="11">
        <v>14</v>
      </c>
      <c r="O6929" t="s" s="8">
        <v>14</v>
      </c>
      <c r="P6929" t="s" s="8">
        <v>14</v>
      </c>
      <c r="Q6929" t="s" s="12">
        <v>14</v>
      </c>
      <c r="R6929" t="s" s="12">
        <v>14</v>
      </c>
    </row>
    <row r="6930" s="2" customFormat="1" ht="13.5" customHeight="1">
      <c r="B6930" s="13"/>
      <c r="C6930" t="s" s="9">
        <v>16</v>
      </c>
      <c r="D6930" t="s" s="8">
        <v>2393</v>
      </c>
      <c r="E6930" t="s" s="9">
        <v>2394</v>
      </c>
      <c r="F6930" t="s" s="10">
        <v>72</v>
      </c>
      <c r="G6930" t="s" s="11">
        <v>72</v>
      </c>
      <c r="H6930" t="s" s="10">
        <v>72</v>
      </c>
      <c r="I6930" t="s" s="11">
        <v>72</v>
      </c>
      <c r="J6930" t="s" s="11">
        <v>20</v>
      </c>
      <c r="K6930" s="15"/>
      <c r="L6930" t="s" s="16">
        <f>HYPERLINK("http://csr.bu.edu/ftp/asl/asllvd/demos/verify_start_end_handshape_annotations//test_auto_move//signs_mov_separ_signers/Liz_1566.mov","MOV")</f>
        <v>21</v>
      </c>
      <c r="M6930" t="s" s="10">
        <v>88</v>
      </c>
      <c r="N6930" s="17">
        <v>7</v>
      </c>
      <c r="O6930" s="18">
        <v>2925</v>
      </c>
      <c r="P6930" s="18">
        <v>2985</v>
      </c>
      <c r="Q6930" s="15"/>
      <c r="R6930" t="s" s="16">
        <f>HYPERLINK("http://secrets.rutgers.edu:8080/data/asl-ftp/asllvd/demos/verify_start_end_handshape_annotations//test_auto_move//signs_mov_separ_signers/Liz_1566.mov","MOV")</f>
        <v>21</v>
      </c>
    </row>
    <row r="6931" s="2" customFormat="1" ht="13.5" customHeight="1">
      <c r="B6931" s="13"/>
      <c r="C6931" t="s" s="9">
        <v>16</v>
      </c>
      <c r="D6931" t="s" s="8">
        <v>2393</v>
      </c>
      <c r="E6931" t="s" s="9">
        <v>2393</v>
      </c>
      <c r="F6931" s="19">
        <v>5</v>
      </c>
      <c r="G6931" t="s" s="11">
        <v>72</v>
      </c>
      <c r="H6931" t="s" s="10">
        <v>72</v>
      </c>
      <c r="I6931" t="s" s="11">
        <v>72</v>
      </c>
      <c r="J6931" t="s" s="11">
        <v>20</v>
      </c>
      <c r="K6931" s="15"/>
      <c r="L6931" t="s" s="16">
        <f>HYPERLINK("http://csr.bu.edu/ftp/asl/asllvd/demos/verify_start_end_handshape_annotations//test_auto_move//signs_mov_separ_signers/Liz_5652.mov","MOV")</f>
        <v>21</v>
      </c>
      <c r="M6931" t="s" s="10">
        <v>77</v>
      </c>
      <c r="N6931" s="17">
        <v>25</v>
      </c>
      <c r="O6931" s="18">
        <v>386</v>
      </c>
      <c r="P6931" s="18">
        <v>455</v>
      </c>
      <c r="Q6931" s="15"/>
      <c r="R6931" t="s" s="16">
        <f>HYPERLINK("http://secrets.rutgers.edu:8080/data/asl-ftp/asllvd/demos/verify_start_end_handshape_annotations//test_auto_move//signs_mov_separ_signers/Liz_5652.mov","MOV")</f>
        <v>21</v>
      </c>
    </row>
    <row r="6932" s="2" customFormat="1" ht="13.5" customHeight="1">
      <c r="B6932" s="13"/>
      <c r="C6932" t="s" s="9">
        <v>23</v>
      </c>
      <c r="D6932" t="s" s="8">
        <v>2393</v>
      </c>
      <c r="E6932" t="s" s="9">
        <v>2394</v>
      </c>
      <c r="F6932" t="s" s="10">
        <v>72</v>
      </c>
      <c r="G6932" t="s" s="11">
        <v>72</v>
      </c>
      <c r="H6932" t="s" s="10">
        <v>72</v>
      </c>
      <c r="I6932" t="s" s="11">
        <v>72</v>
      </c>
      <c r="J6932" t="s" s="11">
        <v>20</v>
      </c>
      <c r="K6932" t="s" s="16">
        <f>HYPERLINK("http://csr.bu.edu/ftp/asl/asllvd/demos/verify_start_end_handshape_annotations//test_auto_move//signs_mov/1566_5652_merged.mov","MOV")</f>
        <v>21</v>
      </c>
      <c r="L6932" t="s" s="16">
        <f>HYPERLINK("http://csr.bu.edu/ftp/asl/asllvd/demos/verify_start_end_handshape_annotations//test_auto_move//signs_mov_separ_signers/Tyler_1566.mov","MOV")</f>
        <v>21</v>
      </c>
      <c r="M6932" t="s" s="10">
        <v>47</v>
      </c>
      <c r="N6932" s="17">
        <v>17</v>
      </c>
      <c r="O6932" s="18">
        <v>1770</v>
      </c>
      <c r="P6932" s="18">
        <v>1815</v>
      </c>
      <c r="Q6932" t="s" s="16">
        <f>HYPERLINK("http://secrets.rutgers.edu:8080/data/asl-ftp/asllvd/demos/verify_start_end_handshape_annotations//test_auto_move//signs_mov/1566_5652_merged.mov","MOV")</f>
        <v>21</v>
      </c>
      <c r="R6932" t="s" s="16">
        <f>HYPERLINK("http://secrets.rutgers.edu:8080/data/asl-ftp/asllvd/demos/verify_start_end_handshape_annotations//test_auto_move//signs_mov_separ_signers/Tyler_1566.mov","MOV")</f>
        <v>21</v>
      </c>
    </row>
    <row r="6933" s="2" customFormat="1" ht="13.5" customHeight="1">
      <c r="B6933" s="13"/>
      <c r="C6933" t="s" s="9">
        <v>30</v>
      </c>
      <c r="D6933" t="s" s="8">
        <v>2393</v>
      </c>
      <c r="E6933" t="s" s="9">
        <v>2394</v>
      </c>
      <c r="F6933" t="s" s="10">
        <v>72</v>
      </c>
      <c r="G6933" t="s" s="11">
        <v>72</v>
      </c>
      <c r="H6933" t="s" s="10">
        <v>72</v>
      </c>
      <c r="I6933" t="s" s="11">
        <v>72</v>
      </c>
      <c r="J6933" t="s" s="11">
        <v>20</v>
      </c>
      <c r="K6933" s="15"/>
      <c r="L6933" t="s" s="16">
        <f>HYPERLINK("http://csr.bu.edu/ftp/asl/asllvd/demos/verify_start_end_handshape_annotations//test_auto_move//signs_mov_separ_signers/Brady_1566.mov","MOV")</f>
        <v>21</v>
      </c>
      <c r="M6933" t="s" s="10">
        <v>31</v>
      </c>
      <c r="N6933" s="17">
        <v>21</v>
      </c>
      <c r="O6933" s="18">
        <v>13736</v>
      </c>
      <c r="P6933" s="18">
        <v>13781</v>
      </c>
      <c r="Q6933" s="15"/>
      <c r="R6933" t="s" s="16">
        <f>HYPERLINK("http://secrets.rutgers.edu:8080/data/asl-ftp/asllvd/demos/verify_start_end_handshape_annotations//test_auto_move//signs_mov_separ_signers/Brady_1566.mov","MOV")</f>
        <v>21</v>
      </c>
    </row>
    <row r="6934" s="2" customFormat="1" ht="13.5" customHeight="1">
      <c r="B6934" s="13"/>
      <c r="C6934" t="s" s="9">
        <v>30</v>
      </c>
      <c r="D6934" t="s" s="8">
        <v>2393</v>
      </c>
      <c r="E6934" t="s" s="9">
        <v>2393</v>
      </c>
      <c r="F6934" t="s" s="10">
        <v>72</v>
      </c>
      <c r="G6934" t="s" s="11">
        <v>72</v>
      </c>
      <c r="H6934" t="s" s="10">
        <v>72</v>
      </c>
      <c r="I6934" t="s" s="11">
        <v>72</v>
      </c>
      <c r="J6934" t="s" s="11">
        <v>20</v>
      </c>
      <c r="K6934" s="15"/>
      <c r="L6934" t="s" s="16">
        <f>HYPERLINK("http://csr.bu.edu/ftp/asl/asllvd/demos/verify_start_end_handshape_annotations//test_auto_move//signs_mov_separ_signers/Brady_5652.mov","MOV")</f>
        <v>21</v>
      </c>
      <c r="M6934" t="s" s="10">
        <v>40</v>
      </c>
      <c r="N6934" s="17">
        <v>4</v>
      </c>
      <c r="O6934" s="18">
        <v>1687</v>
      </c>
      <c r="P6934" s="18">
        <v>1732</v>
      </c>
      <c r="Q6934" s="15"/>
      <c r="R6934" t="s" s="16">
        <f>HYPERLINK("http://secrets.rutgers.edu:8080/data/asl-ftp/asllvd/demos/verify_start_end_handshape_annotations//test_auto_move//signs_mov_separ_signers/Brady_5652.mov","MOV")</f>
        <v>21</v>
      </c>
    </row>
    <row r="6935" s="2" customFormat="1" ht="13.5" customHeight="1">
      <c r="B6935" t="s" s="8">
        <v>2395</v>
      </c>
      <c r="C6935" t="s" s="9">
        <v>14</v>
      </c>
      <c r="D6935" t="s" s="8">
        <v>14</v>
      </c>
      <c r="E6935" t="s" s="9">
        <v>14</v>
      </c>
      <c r="F6935" t="s" s="10">
        <v>14</v>
      </c>
      <c r="G6935" t="s" s="11">
        <v>14</v>
      </c>
      <c r="H6935" t="s" s="10">
        <v>14</v>
      </c>
      <c r="I6935" t="s" s="11">
        <v>14</v>
      </c>
      <c r="J6935" t="s" s="11">
        <v>14</v>
      </c>
      <c r="K6935" t="s" s="12">
        <v>14</v>
      </c>
      <c r="L6935" t="s" s="12">
        <v>14</v>
      </c>
      <c r="M6935" t="s" s="10">
        <v>14</v>
      </c>
      <c r="N6935" t="s" s="11">
        <v>14</v>
      </c>
      <c r="O6935" t="s" s="8">
        <v>14</v>
      </c>
      <c r="P6935" t="s" s="8">
        <v>14</v>
      </c>
      <c r="Q6935" t="s" s="12">
        <v>14</v>
      </c>
      <c r="R6935" t="s" s="12">
        <v>14</v>
      </c>
    </row>
    <row r="6936" s="2" customFormat="1" ht="13.5" customHeight="1">
      <c r="B6936" s="13"/>
      <c r="C6936" t="s" s="9">
        <v>16</v>
      </c>
      <c r="D6936" t="s" s="8">
        <v>2395</v>
      </c>
      <c r="E6936" t="s" s="9">
        <v>2395</v>
      </c>
      <c r="F6936" t="s" s="10">
        <v>72</v>
      </c>
      <c r="G6936" t="s" s="11">
        <v>72</v>
      </c>
      <c r="H6936" t="s" s="10">
        <v>72</v>
      </c>
      <c r="I6936" t="s" s="11">
        <v>72</v>
      </c>
      <c r="J6936" t="s" s="11">
        <v>20</v>
      </c>
      <c r="K6936" s="15"/>
      <c r="L6936" t="s" s="16">
        <f>HYPERLINK("http://csr.bu.edu/ftp/asl/asllvd/demos/verify_start_end_handshape_annotations//test_auto_move//signs_mov_separ_signers/Liz_15718.mov","MOV")</f>
        <v>21</v>
      </c>
      <c r="M6936" t="s" s="10">
        <v>84</v>
      </c>
      <c r="N6936" s="17">
        <v>3</v>
      </c>
      <c r="O6936" s="18">
        <v>1215</v>
      </c>
      <c r="P6936" s="18">
        <v>1280</v>
      </c>
      <c r="Q6936" s="15"/>
      <c r="R6936" t="s" s="16">
        <f>HYPERLINK("http://secrets.rutgers.edu:8080/data/asl-ftp/asllvd/demos/verify_start_end_handshape_annotations//test_auto_move//signs_mov_separ_signers/Liz_15718.mov","MOV")</f>
        <v>21</v>
      </c>
    </row>
    <row r="6937" s="2" customFormat="1" ht="13.5" customHeight="1">
      <c r="B6937" s="13"/>
      <c r="C6937" t="s" s="9">
        <v>23</v>
      </c>
      <c r="D6937" t="s" s="8">
        <v>2395</v>
      </c>
      <c r="E6937" t="s" s="9">
        <v>2395</v>
      </c>
      <c r="F6937" t="s" s="10">
        <v>72</v>
      </c>
      <c r="G6937" t="s" s="11">
        <v>72</v>
      </c>
      <c r="H6937" t="s" s="10">
        <v>72</v>
      </c>
      <c r="I6937" t="s" s="11">
        <v>72</v>
      </c>
      <c r="J6937" t="s" s="11">
        <v>20</v>
      </c>
      <c r="K6937" t="s" s="16">
        <f>HYPERLINK("http://csr.bu.edu/ftp/asl/asllvd/demos/verify_start_end_handshape_annotations//test_auto_move//signs_mov/15718.mov","MOV")</f>
        <v>21</v>
      </c>
      <c r="L6937" t="s" s="16">
        <f>HYPERLINK("http://csr.bu.edu/ftp/asl/asllvd/demos/verify_start_end_handshape_annotations//test_auto_move//signs_mov_separ_signers/Tyler_15718.mov","MOV")</f>
        <v>21</v>
      </c>
      <c r="M6937" t="s" s="10">
        <v>125</v>
      </c>
      <c r="N6937" s="17">
        <v>3</v>
      </c>
      <c r="O6937" s="18">
        <v>907</v>
      </c>
      <c r="P6937" s="18">
        <v>950</v>
      </c>
      <c r="Q6937" t="s" s="16">
        <f>HYPERLINK("http://secrets.rutgers.edu:8080/data/asl-ftp/asllvd/demos/verify_start_end_handshape_annotations//test_auto_move//signs_mov/15718.mov","MOV")</f>
        <v>21</v>
      </c>
      <c r="R6937" t="s" s="16">
        <f>HYPERLINK("http://secrets.rutgers.edu:8080/data/asl-ftp/asllvd/demos/verify_start_end_handshape_annotations//test_auto_move//signs_mov_separ_signers/Tyler_15718.mov","MOV")</f>
        <v>21</v>
      </c>
    </row>
    <row r="6938" s="2" customFormat="1" ht="13.5" customHeight="1">
      <c r="B6938" s="13"/>
      <c r="C6938" t="s" s="9">
        <v>27</v>
      </c>
      <c r="D6938" t="s" s="8">
        <v>2395</v>
      </c>
      <c r="E6938" t="s" s="9">
        <v>2395</v>
      </c>
      <c r="F6938" t="s" s="10">
        <v>72</v>
      </c>
      <c r="G6938" t="s" s="11">
        <v>72</v>
      </c>
      <c r="H6938" t="s" s="10">
        <v>72</v>
      </c>
      <c r="I6938" t="s" s="11">
        <v>72</v>
      </c>
      <c r="J6938" t="s" s="11">
        <v>20</v>
      </c>
      <c r="K6938" s="15"/>
      <c r="L6938" t="s" s="16">
        <f>HYPERLINK("http://csr.bu.edu/ftp/asl/asllvd/demos/verify_start_end_handshape_annotations//test_auto_move//signs_mov_separ_signers/Naomi_15718.mov","MOV")</f>
        <v>21</v>
      </c>
      <c r="M6938" t="s" s="10">
        <v>86</v>
      </c>
      <c r="N6938" s="17">
        <v>3</v>
      </c>
      <c r="O6938" s="18">
        <v>840</v>
      </c>
      <c r="P6938" s="18">
        <v>875</v>
      </c>
      <c r="Q6938" s="15"/>
      <c r="R6938" t="s" s="16">
        <f>HYPERLINK("http://secrets.rutgers.edu:8080/data/asl-ftp/asllvd/demos/verify_start_end_handshape_annotations//test_auto_move//signs_mov_separ_signers/Naomi_15718.mov","MOV")</f>
        <v>21</v>
      </c>
    </row>
    <row r="6939" s="2" customFormat="1" ht="13.5" customHeight="1">
      <c r="B6939" t="s" s="8">
        <v>2396</v>
      </c>
      <c r="C6939" t="s" s="9">
        <v>14</v>
      </c>
      <c r="D6939" t="s" s="8">
        <v>14</v>
      </c>
      <c r="E6939" t="s" s="9">
        <v>14</v>
      </c>
      <c r="F6939" t="s" s="10">
        <v>14</v>
      </c>
      <c r="G6939" t="s" s="11">
        <v>14</v>
      </c>
      <c r="H6939" t="s" s="10">
        <v>14</v>
      </c>
      <c r="I6939" t="s" s="11">
        <v>14</v>
      </c>
      <c r="J6939" t="s" s="11">
        <v>14</v>
      </c>
      <c r="K6939" t="s" s="12">
        <v>14</v>
      </c>
      <c r="L6939" t="s" s="12">
        <v>14</v>
      </c>
      <c r="M6939" t="s" s="10">
        <v>14</v>
      </c>
      <c r="N6939" t="s" s="11">
        <v>14</v>
      </c>
      <c r="O6939" t="s" s="8">
        <v>14</v>
      </c>
      <c r="P6939" t="s" s="8">
        <v>14</v>
      </c>
      <c r="Q6939" t="s" s="12">
        <v>14</v>
      </c>
      <c r="R6939" t="s" s="12">
        <v>14</v>
      </c>
    </row>
    <row r="6940" s="2" customFormat="1" ht="13.5" customHeight="1">
      <c r="B6940" s="13"/>
      <c r="C6940" t="s" s="9">
        <v>16</v>
      </c>
      <c r="D6940" t="s" s="8">
        <v>2396</v>
      </c>
      <c r="E6940" t="s" s="9">
        <v>2396</v>
      </c>
      <c r="F6940" s="19">
        <v>1</v>
      </c>
      <c r="G6940" s="14"/>
      <c r="H6940" t="s" s="10">
        <v>72</v>
      </c>
      <c r="I6940" t="s" s="11">
        <v>72</v>
      </c>
      <c r="J6940" t="s" s="11">
        <v>20</v>
      </c>
      <c r="K6940" s="15"/>
      <c r="L6940" t="s" s="16">
        <f>HYPERLINK("http://csr.bu.edu/ftp/asl/asllvd/demos/verify_start_end_handshape_annotations//test_auto_move//signs_mov_separ_signers/Liz_15793.mov","MOV")</f>
        <v>21</v>
      </c>
      <c r="M6940" t="s" s="10">
        <v>84</v>
      </c>
      <c r="N6940" s="17">
        <v>3</v>
      </c>
      <c r="O6940" s="18">
        <v>938</v>
      </c>
      <c r="P6940" s="18">
        <v>1017</v>
      </c>
      <c r="Q6940" s="15"/>
      <c r="R6940" t="s" s="16">
        <f>HYPERLINK("http://secrets.rutgers.edu:8080/data/asl-ftp/asllvd/demos/verify_start_end_handshape_annotations//test_auto_move//signs_mov_separ_signers/Liz_15793.mov","MOV")</f>
        <v>21</v>
      </c>
    </row>
    <row r="6941" s="2" customFormat="1" ht="13.5" customHeight="1">
      <c r="B6941" s="13"/>
      <c r="C6941" t="s" s="9">
        <v>27</v>
      </c>
      <c r="D6941" t="s" s="8">
        <v>2396</v>
      </c>
      <c r="E6941" t="s" s="9">
        <v>2396</v>
      </c>
      <c r="F6941" s="19">
        <v>1</v>
      </c>
      <c r="G6941" s="14"/>
      <c r="H6941" t="s" s="10">
        <v>75</v>
      </c>
      <c r="I6941" t="s" s="11">
        <v>75</v>
      </c>
      <c r="J6941" t="s" s="11">
        <v>20</v>
      </c>
      <c r="K6941" t="s" s="16">
        <f>HYPERLINK("http://csr.bu.edu/ftp/asl/asllvd/demos/verify_start_end_handshape_annotations//test_auto_move//signs_mov/15793_16531_merged.mov","MOV")</f>
        <v>21</v>
      </c>
      <c r="L6941" t="s" s="16">
        <f>HYPERLINK("http://csr.bu.edu/ftp/asl/asllvd/demos/verify_start_end_handshape_annotations//test_auto_move//signs_mov_separ_signers/Naomi_15793.mov","MOV")</f>
        <v>21</v>
      </c>
      <c r="M6941" t="s" s="10">
        <v>86</v>
      </c>
      <c r="N6941" s="17">
        <v>3</v>
      </c>
      <c r="O6941" s="18">
        <v>583</v>
      </c>
      <c r="P6941" s="18">
        <v>630</v>
      </c>
      <c r="Q6941" t="s" s="16">
        <f>HYPERLINK("http://secrets.rutgers.edu:8080/data/asl-ftp/asllvd/demos/verify_start_end_handshape_annotations//test_auto_move//signs_mov/15793_16531_merged.mov","MOV")</f>
        <v>21</v>
      </c>
      <c r="R6941" t="s" s="16">
        <f>HYPERLINK("http://secrets.rutgers.edu:8080/data/asl-ftp/asllvd/demos/verify_start_end_handshape_annotations//test_auto_move//signs_mov_separ_signers/Naomi_15793.mov","MOV")</f>
        <v>21</v>
      </c>
    </row>
    <row r="6942" s="2" customFormat="1" ht="13.5" customHeight="1">
      <c r="B6942" s="13"/>
      <c r="C6942" t="s" s="9">
        <v>30</v>
      </c>
      <c r="D6942" t="s" s="8">
        <v>2396</v>
      </c>
      <c r="E6942" t="s" s="9">
        <v>2396</v>
      </c>
      <c r="F6942" s="19">
        <v>1</v>
      </c>
      <c r="G6942" s="14"/>
      <c r="H6942" t="s" s="10">
        <v>72</v>
      </c>
      <c r="I6942" t="s" s="11">
        <v>72</v>
      </c>
      <c r="J6942" t="s" s="11">
        <v>20</v>
      </c>
      <c r="K6942" s="15"/>
      <c r="L6942" t="s" s="16">
        <f>HYPERLINK("http://csr.bu.edu/ftp/asl/asllvd/demos/verify_start_end_handshape_annotations//test_auto_move//signs_mov_separ_signers/Brady_15793.mov","MOV")</f>
        <v>21</v>
      </c>
      <c r="M6942" t="s" s="10">
        <v>31</v>
      </c>
      <c r="N6942" s="17">
        <v>29</v>
      </c>
      <c r="O6942" s="18">
        <v>14842</v>
      </c>
      <c r="P6942" s="18">
        <v>14885</v>
      </c>
      <c r="Q6942" s="15"/>
      <c r="R6942" t="s" s="16">
        <f>HYPERLINK("http://secrets.rutgers.edu:8080/data/asl-ftp/asllvd/demos/verify_start_end_handshape_annotations//test_auto_move//signs_mov_separ_signers/Brady_15793.mov","MOV")</f>
        <v>21</v>
      </c>
    </row>
    <row r="6943" s="2" customFormat="1" ht="13.5" customHeight="1">
      <c r="B6943" s="13"/>
      <c r="C6943" t="s" s="9">
        <v>30</v>
      </c>
      <c r="D6943" t="s" s="8">
        <v>2396</v>
      </c>
      <c r="E6943" t="s" s="9">
        <v>2396</v>
      </c>
      <c r="F6943" s="19">
        <v>1</v>
      </c>
      <c r="G6943" t="s" s="11">
        <v>72</v>
      </c>
      <c r="H6943" t="s" s="10">
        <v>72</v>
      </c>
      <c r="I6943" t="s" s="11">
        <v>72</v>
      </c>
      <c r="J6943" t="s" s="11">
        <v>20</v>
      </c>
      <c r="K6943" s="15"/>
      <c r="L6943" t="s" s="16">
        <f>HYPERLINK("http://csr.bu.edu/ftp/asl/asllvd/demos/verify_start_end_handshape_annotations//test_auto_move//signs_mov_separ_signers/Brady_16531.mov","MOV")</f>
        <v>21</v>
      </c>
      <c r="M6943" t="s" s="10">
        <v>39</v>
      </c>
      <c r="N6943" s="17">
        <v>3</v>
      </c>
      <c r="O6943" s="18">
        <v>9054</v>
      </c>
      <c r="P6943" s="18">
        <v>9089</v>
      </c>
      <c r="Q6943" s="15"/>
      <c r="R6943" t="s" s="16">
        <f>HYPERLINK("http://secrets.rutgers.edu:8080/data/asl-ftp/asllvd/demos/verify_start_end_handshape_annotations//test_auto_move//signs_mov_separ_signers/Brady_16531.mov","MOV")</f>
        <v>21</v>
      </c>
    </row>
    <row r="6944" s="2" customFormat="1" ht="13.5" customHeight="1">
      <c r="B6944" t="s" s="8">
        <v>2397</v>
      </c>
      <c r="C6944" t="s" s="9">
        <v>14</v>
      </c>
      <c r="D6944" t="s" s="8">
        <v>14</v>
      </c>
      <c r="E6944" t="s" s="9">
        <v>14</v>
      </c>
      <c r="F6944" t="s" s="10">
        <v>14</v>
      </c>
      <c r="G6944" t="s" s="11">
        <v>14</v>
      </c>
      <c r="H6944" t="s" s="10">
        <v>14</v>
      </c>
      <c r="I6944" t="s" s="11">
        <v>14</v>
      </c>
      <c r="J6944" t="s" s="11">
        <v>14</v>
      </c>
      <c r="K6944" t="s" s="12">
        <v>14</v>
      </c>
      <c r="L6944" t="s" s="12">
        <v>14</v>
      </c>
      <c r="M6944" t="s" s="10">
        <v>14</v>
      </c>
      <c r="N6944" t="s" s="11">
        <v>14</v>
      </c>
      <c r="O6944" t="s" s="8">
        <v>14</v>
      </c>
      <c r="P6944" t="s" s="8">
        <v>14</v>
      </c>
      <c r="Q6944" t="s" s="12">
        <v>14</v>
      </c>
      <c r="R6944" t="s" s="12">
        <v>14</v>
      </c>
    </row>
    <row r="6945" s="2" customFormat="1" ht="13.5" customHeight="1">
      <c r="B6945" s="13"/>
      <c r="C6945" t="s" s="9">
        <v>16</v>
      </c>
      <c r="D6945" t="s" s="8">
        <v>2397</v>
      </c>
      <c r="E6945" t="s" s="9">
        <v>2397</v>
      </c>
      <c r="F6945" t="s" s="10">
        <v>72</v>
      </c>
      <c r="G6945" t="s" s="11">
        <v>72</v>
      </c>
      <c r="H6945" t="s" s="10">
        <v>72</v>
      </c>
      <c r="I6945" t="s" s="11">
        <v>72</v>
      </c>
      <c r="J6945" t="s" s="11">
        <v>20</v>
      </c>
      <c r="K6945" t="s" s="16">
        <f>HYPERLINK("http://csr.bu.edu/ftp/asl/asllvd/demos/verify_start_end_handshape_annotations//test_auto_move//signs_mov/1568.mov","MOV")</f>
        <v>21</v>
      </c>
      <c r="L6945" t="s" s="16">
        <f>HYPERLINK("http://csr.bu.edu/ftp/asl/asllvd/demos/verify_start_end_handshape_annotations//test_auto_move//signs_mov_separ_signers/Liz_1568.mov","MOV")</f>
        <v>21</v>
      </c>
      <c r="M6945" t="s" s="10">
        <v>88</v>
      </c>
      <c r="N6945" s="17">
        <v>7</v>
      </c>
      <c r="O6945" s="18">
        <v>3825</v>
      </c>
      <c r="P6945" s="18">
        <v>3870</v>
      </c>
      <c r="Q6945" t="s" s="16">
        <f>HYPERLINK("http://secrets.rutgers.edu:8080/data/asl-ftp/asllvd/demos/verify_start_end_handshape_annotations//test_auto_move//signs_mov/1568.mov","MOV")</f>
        <v>21</v>
      </c>
      <c r="R6945" t="s" s="16">
        <f>HYPERLINK("http://secrets.rutgers.edu:8080/data/asl-ftp/asllvd/demos/verify_start_end_handshape_annotations//test_auto_move//signs_mov_separ_signers/Liz_1568.mov","MOV")</f>
        <v>21</v>
      </c>
    </row>
    <row r="6946" s="2" customFormat="1" ht="13.5" customHeight="1">
      <c r="B6946" s="13"/>
      <c r="C6946" t="s" s="9">
        <v>30</v>
      </c>
      <c r="D6946" t="s" s="8">
        <v>2397</v>
      </c>
      <c r="E6946" t="s" s="9">
        <v>2397</v>
      </c>
      <c r="F6946" t="s" s="10">
        <v>72</v>
      </c>
      <c r="G6946" t="s" s="11">
        <v>72</v>
      </c>
      <c r="H6946" t="s" s="10">
        <v>72</v>
      </c>
      <c r="I6946" t="s" s="11">
        <v>72</v>
      </c>
      <c r="J6946" t="s" s="11">
        <v>20</v>
      </c>
      <c r="K6946" s="15"/>
      <c r="L6946" t="s" s="16">
        <f>HYPERLINK("http://csr.bu.edu/ftp/asl/asllvd/demos/verify_start_end_handshape_annotations//test_auto_move//signs_mov_separ_signers/Brady_1568.mov","MOV")</f>
        <v>21</v>
      </c>
      <c r="M6946" t="s" s="10">
        <v>40</v>
      </c>
      <c r="N6946" s="17">
        <v>4</v>
      </c>
      <c r="O6946" s="18">
        <v>4396</v>
      </c>
      <c r="P6946" s="18">
        <v>4429</v>
      </c>
      <c r="Q6946" s="15"/>
      <c r="R6946" t="s" s="16">
        <f>HYPERLINK("http://secrets.rutgers.edu:8080/data/asl-ftp/asllvd/demos/verify_start_end_handshape_annotations//test_auto_move//signs_mov_separ_signers/Brady_1568.mov","MOV")</f>
        <v>21</v>
      </c>
    </row>
    <row r="6947" s="2" customFormat="1" ht="13.5" customHeight="1">
      <c r="B6947" t="s" s="8">
        <v>52</v>
      </c>
      <c r="C6947" t="s" s="9">
        <v>53</v>
      </c>
      <c r="D6947" t="s" s="8">
        <v>53</v>
      </c>
      <c r="E6947" t="s" s="9">
        <v>53</v>
      </c>
      <c r="F6947" t="s" s="10">
        <v>53</v>
      </c>
      <c r="G6947" t="s" s="11">
        <v>53</v>
      </c>
      <c r="H6947" t="s" s="10">
        <v>53</v>
      </c>
      <c r="I6947" t="s" s="11">
        <v>53</v>
      </c>
      <c r="J6947" t="s" s="11">
        <v>53</v>
      </c>
      <c r="K6947" t="s" s="12">
        <v>53</v>
      </c>
      <c r="L6947" t="s" s="12">
        <v>53</v>
      </c>
      <c r="M6947" t="s" s="10">
        <v>53</v>
      </c>
      <c r="N6947" t="s" s="11">
        <v>53</v>
      </c>
      <c r="O6947" t="s" s="8">
        <v>53</v>
      </c>
      <c r="P6947" t="s" s="8">
        <v>53</v>
      </c>
      <c r="Q6947" t="s" s="12">
        <v>53</v>
      </c>
      <c r="R6947" t="s" s="12">
        <v>53</v>
      </c>
    </row>
    <row r="6948" s="2" customFormat="1" ht="13.5" customHeight="1">
      <c r="B6948" s="13"/>
      <c r="C6948" t="s" s="9">
        <v>23</v>
      </c>
      <c r="D6948" t="s" s="8">
        <v>2397</v>
      </c>
      <c r="E6948" t="s" s="9">
        <v>2398</v>
      </c>
      <c r="F6948" t="s" s="10">
        <v>72</v>
      </c>
      <c r="G6948" t="s" s="11">
        <v>72</v>
      </c>
      <c r="H6948" t="s" s="10">
        <v>72</v>
      </c>
      <c r="I6948" t="s" s="11">
        <v>72</v>
      </c>
      <c r="J6948" t="s" s="11">
        <v>20</v>
      </c>
      <c r="K6948" t="s" s="16">
        <f>HYPERLINK("http://csr.bu.edu/ftp/asl/asllvd/demos/verify_start_end_handshape_annotations//test_auto_move//signs_mov/5659.mov","MOV")</f>
        <v>21</v>
      </c>
      <c r="L6948" t="s" s="16">
        <f>HYPERLINK("http://csr.bu.edu/ftp/asl/asllvd/demos/verify_start_end_handshape_annotations//test_auto_move//signs_mov_separ_signers/Tyler_5659.mov","MOV")</f>
        <v>21</v>
      </c>
      <c r="M6948" t="s" s="10">
        <v>47</v>
      </c>
      <c r="N6948" s="17">
        <v>17</v>
      </c>
      <c r="O6948" s="18">
        <v>2982</v>
      </c>
      <c r="P6948" s="18">
        <v>3040</v>
      </c>
      <c r="Q6948" t="s" s="16">
        <f>HYPERLINK("http://secrets.rutgers.edu:8080/data/asl-ftp/asllvd/demos/verify_start_end_handshape_annotations//test_auto_move//signs_mov/5659.mov","MOV")</f>
        <v>21</v>
      </c>
      <c r="R6948" t="s" s="16">
        <f>HYPERLINK("http://secrets.rutgers.edu:8080/data/asl-ftp/asllvd/demos/verify_start_end_handshape_annotations//test_auto_move//signs_mov_separ_signers/Tyler_5659.mov","MOV")</f>
        <v>21</v>
      </c>
    </row>
    <row r="6949" s="2" customFormat="1" ht="13.5" customHeight="1">
      <c r="B6949" s="13"/>
      <c r="C6949" t="s" s="9">
        <v>30</v>
      </c>
      <c r="D6949" t="s" s="8">
        <v>2397</v>
      </c>
      <c r="E6949" t="s" s="9">
        <v>2398</v>
      </c>
      <c r="F6949" t="s" s="10">
        <v>72</v>
      </c>
      <c r="G6949" t="s" s="11">
        <v>72</v>
      </c>
      <c r="H6949" t="s" s="10">
        <v>187</v>
      </c>
      <c r="I6949" t="s" s="11">
        <v>187</v>
      </c>
      <c r="J6949" t="s" s="11">
        <v>20</v>
      </c>
      <c r="K6949" s="15"/>
      <c r="L6949" t="s" s="16">
        <f>HYPERLINK("http://csr.bu.edu/ftp/asl/asllvd/demos/verify_start_end_handshape_annotations//test_auto_move//signs_mov_separ_signers/Brady_5659.mov","MOV")</f>
        <v>21</v>
      </c>
      <c r="M6949" t="s" s="10">
        <v>40</v>
      </c>
      <c r="N6949" s="17">
        <v>4</v>
      </c>
      <c r="O6949" s="18">
        <v>5364</v>
      </c>
      <c r="P6949" s="18">
        <v>5419</v>
      </c>
      <c r="Q6949" s="15"/>
      <c r="R6949" t="s" s="16">
        <f>HYPERLINK("http://secrets.rutgers.edu:8080/data/asl-ftp/asllvd/demos/verify_start_end_handshape_annotations//test_auto_move//signs_mov_separ_signers/Brady_5659.mov","MOV")</f>
        <v>21</v>
      </c>
    </row>
    <row r="6950" s="2" customFormat="1" ht="13.5" customHeight="1">
      <c r="B6950" t="s" s="8">
        <v>2399</v>
      </c>
      <c r="C6950" t="s" s="9">
        <v>14</v>
      </c>
      <c r="D6950" t="s" s="8">
        <v>14</v>
      </c>
      <c r="E6950" t="s" s="9">
        <v>14</v>
      </c>
      <c r="F6950" t="s" s="10">
        <v>14</v>
      </c>
      <c r="G6950" t="s" s="11">
        <v>14</v>
      </c>
      <c r="H6950" t="s" s="10">
        <v>14</v>
      </c>
      <c r="I6950" t="s" s="11">
        <v>14</v>
      </c>
      <c r="J6950" t="s" s="11">
        <v>14</v>
      </c>
      <c r="K6950" t="s" s="12">
        <v>14</v>
      </c>
      <c r="L6950" t="s" s="12">
        <v>14</v>
      </c>
      <c r="M6950" t="s" s="10">
        <v>14</v>
      </c>
      <c r="N6950" t="s" s="11">
        <v>14</v>
      </c>
      <c r="O6950" t="s" s="8">
        <v>14</v>
      </c>
      <c r="P6950" t="s" s="8">
        <v>14</v>
      </c>
      <c r="Q6950" t="s" s="12">
        <v>14</v>
      </c>
      <c r="R6950" t="s" s="12">
        <v>14</v>
      </c>
    </row>
    <row r="6951" s="2" customFormat="1" ht="13.5" customHeight="1">
      <c r="B6951" s="13"/>
      <c r="C6951" t="s" s="9">
        <v>16</v>
      </c>
      <c r="D6951" t="s" s="8">
        <v>2399</v>
      </c>
      <c r="E6951" t="s" s="9">
        <v>2400</v>
      </c>
      <c r="F6951" t="s" s="10">
        <v>757</v>
      </c>
      <c r="G6951" s="14"/>
      <c r="H6951" t="s" s="10">
        <v>757</v>
      </c>
      <c r="I6951" s="14"/>
      <c r="J6951" t="s" s="11">
        <v>20</v>
      </c>
      <c r="K6951" s="15"/>
      <c r="L6951" t="s" s="16">
        <f>HYPERLINK("http://csr.bu.edu/ftp/asl/asllvd/demos/verify_start_end_handshape_annotations//test_auto_move//signs_mov_separ_signers/Liz_1569.mov","MOV")</f>
        <v>21</v>
      </c>
      <c r="M6951" t="s" s="10">
        <v>88</v>
      </c>
      <c r="N6951" s="17">
        <v>7</v>
      </c>
      <c r="O6951" s="18">
        <v>4082</v>
      </c>
      <c r="P6951" s="18">
        <v>4125</v>
      </c>
      <c r="Q6951" s="15"/>
      <c r="R6951" t="s" s="16">
        <f>HYPERLINK("http://secrets.rutgers.edu:8080/data/asl-ftp/asllvd/demos/verify_start_end_handshape_annotations//test_auto_move//signs_mov_separ_signers/Liz_1569.mov","MOV")</f>
        <v>21</v>
      </c>
    </row>
    <row r="6952" s="2" customFormat="1" ht="13.5" customHeight="1">
      <c r="B6952" s="13"/>
      <c r="C6952" t="s" s="9">
        <v>23</v>
      </c>
      <c r="D6952" t="s" s="8">
        <v>2399</v>
      </c>
      <c r="E6952" t="s" s="9">
        <v>2400</v>
      </c>
      <c r="F6952" t="s" s="10">
        <v>283</v>
      </c>
      <c r="G6952" s="14"/>
      <c r="H6952" t="s" s="10">
        <v>283</v>
      </c>
      <c r="I6952" s="14"/>
      <c r="J6952" t="s" s="11">
        <v>20</v>
      </c>
      <c r="K6952" s="15"/>
      <c r="L6952" t="s" s="16">
        <f>HYPERLINK("http://csr.bu.edu/ftp/asl/asllvd/demos/verify_start_end_handshape_annotations//test_auto_move//signs_mov_separ_signers/Tyler_1569.mov","MOV")</f>
        <v>21</v>
      </c>
      <c r="M6952" t="s" s="10">
        <v>47</v>
      </c>
      <c r="N6952" s="17">
        <v>17</v>
      </c>
      <c r="O6952" s="18">
        <v>3377</v>
      </c>
      <c r="P6952" s="18">
        <v>3432</v>
      </c>
      <c r="Q6952" s="15"/>
      <c r="R6952" t="s" s="16">
        <f>HYPERLINK("http://secrets.rutgers.edu:8080/data/asl-ftp/asllvd/demos/verify_start_end_handshape_annotations//test_auto_move//signs_mov_separ_signers/Tyler_1569.mov","MOV")</f>
        <v>21</v>
      </c>
    </row>
    <row r="6953" s="2" customFormat="1" ht="13.5" customHeight="1">
      <c r="B6953" s="13"/>
      <c r="C6953" t="s" s="9">
        <v>30</v>
      </c>
      <c r="D6953" t="s" s="8">
        <v>2399</v>
      </c>
      <c r="E6953" t="s" s="9">
        <v>2400</v>
      </c>
      <c r="F6953" t="s" s="10">
        <v>757</v>
      </c>
      <c r="G6953" s="14"/>
      <c r="H6953" t="s" s="10">
        <v>757</v>
      </c>
      <c r="I6953" s="14"/>
      <c r="J6953" t="s" s="11">
        <v>20</v>
      </c>
      <c r="K6953" t="s" s="16">
        <f>HYPERLINK("http://csr.bu.edu/ftp/asl/asllvd/demos/verify_start_end_handshape_annotations//test_auto_move//signs_mov/1569.mov","MOV")</f>
        <v>21</v>
      </c>
      <c r="L6953" t="s" s="16">
        <f>HYPERLINK("http://csr.bu.edu/ftp/asl/asllvd/demos/verify_start_end_handshape_annotations//test_auto_move//signs_mov_separ_signers/Brady_1569.mov","MOV")</f>
        <v>21</v>
      </c>
      <c r="M6953" t="s" s="10">
        <v>40</v>
      </c>
      <c r="N6953" s="17">
        <v>4</v>
      </c>
      <c r="O6953" s="18">
        <v>5695</v>
      </c>
      <c r="P6953" s="18">
        <v>5736</v>
      </c>
      <c r="Q6953" t="s" s="16">
        <f>HYPERLINK("http://secrets.rutgers.edu:8080/data/asl-ftp/asllvd/demos/verify_start_end_handshape_annotations//test_auto_move//signs_mov/1569.mov","MOV")</f>
        <v>21</v>
      </c>
      <c r="R6953" t="s" s="16">
        <f>HYPERLINK("http://secrets.rutgers.edu:8080/data/asl-ftp/asllvd/demos/verify_start_end_handshape_annotations//test_auto_move//signs_mov_separ_signers/Brady_1569.mov","MOV")</f>
        <v>21</v>
      </c>
    </row>
    <row r="6954" s="2" customFormat="1" ht="13.5" customHeight="1">
      <c r="B6954" s="13"/>
      <c r="C6954" t="s" s="9">
        <v>41</v>
      </c>
      <c r="D6954" t="s" s="8">
        <v>2399</v>
      </c>
      <c r="E6954" t="s" s="9">
        <v>2400</v>
      </c>
      <c r="F6954" t="s" s="10">
        <v>2233</v>
      </c>
      <c r="G6954" s="14"/>
      <c r="H6954" t="s" s="10">
        <v>2233</v>
      </c>
      <c r="I6954" s="14"/>
      <c r="J6954" t="s" s="11">
        <v>20</v>
      </c>
      <c r="K6954" s="15"/>
      <c r="L6954" t="s" s="16">
        <f>HYPERLINK("http://csr.bu.edu/ftp/asl/asllvd/demos/verify_start_end_handshape_annotations//test_auto_move//signs_mov_separ_signers/Lana_1569.mov","MOV")</f>
        <v>21</v>
      </c>
      <c r="M6954" t="s" s="10">
        <v>42</v>
      </c>
      <c r="N6954" s="17">
        <v>19</v>
      </c>
      <c r="O6954" s="18">
        <v>393</v>
      </c>
      <c r="P6954" s="18">
        <v>434</v>
      </c>
      <c r="Q6954" s="15"/>
      <c r="R6954" t="s" s="16">
        <f>HYPERLINK("http://secrets.rutgers.edu:8080/data/asl-ftp/asllvd/demos/verify_start_end_handshape_annotations//test_auto_move//signs_mov_separ_signers/Lana_1569.mov","MOV")</f>
        <v>21</v>
      </c>
    </row>
    <row r="6955" s="2" customFormat="1" ht="13.5" customHeight="1">
      <c r="B6955" s="13"/>
      <c r="C6955" t="s" s="9">
        <v>43</v>
      </c>
      <c r="D6955" t="s" s="8">
        <v>2399</v>
      </c>
      <c r="E6955" t="s" s="9">
        <v>2400</v>
      </c>
      <c r="F6955" t="s" s="10">
        <v>757</v>
      </c>
      <c r="G6955" s="14"/>
      <c r="H6955" t="s" s="10">
        <v>757</v>
      </c>
      <c r="I6955" s="14"/>
      <c r="J6955" t="s" s="11">
        <v>20</v>
      </c>
      <c r="K6955" s="15"/>
      <c r="L6955" t="s" s="16">
        <f>HYPERLINK("http://csr.bu.edu/ftp/asl/asllvd/demos/verify_start_end_handshape_annotations//test_auto_move//signs_mov_separ_signers/Dana_1569.mov","MOV")</f>
        <v>21</v>
      </c>
      <c r="M6955" t="s" s="10">
        <v>44</v>
      </c>
      <c r="N6955" s="17">
        <v>21</v>
      </c>
      <c r="O6955" s="18">
        <v>301</v>
      </c>
      <c r="P6955" s="18">
        <v>366</v>
      </c>
      <c r="Q6955" s="15"/>
      <c r="R6955" t="s" s="16">
        <f>HYPERLINK("http://secrets.rutgers.edu:8080/data/asl-ftp/asllvd/demos/verify_start_end_handshape_annotations//test_auto_move//signs_mov_separ_signers/Dana_1569.mov","MOV")</f>
        <v>21</v>
      </c>
    </row>
    <row r="6956" s="2" customFormat="1" ht="13.5" customHeight="1">
      <c r="B6956" t="s" s="8">
        <v>2401</v>
      </c>
      <c r="C6956" t="s" s="9">
        <v>14</v>
      </c>
      <c r="D6956" t="s" s="8">
        <v>14</v>
      </c>
      <c r="E6956" t="s" s="9">
        <v>14</v>
      </c>
      <c r="F6956" t="s" s="10">
        <v>14</v>
      </c>
      <c r="G6956" t="s" s="11">
        <v>14</v>
      </c>
      <c r="H6956" t="s" s="10">
        <v>14</v>
      </c>
      <c r="I6956" t="s" s="11">
        <v>14</v>
      </c>
      <c r="J6956" t="s" s="11">
        <v>14</v>
      </c>
      <c r="K6956" t="s" s="12">
        <v>14</v>
      </c>
      <c r="L6956" t="s" s="12">
        <v>14</v>
      </c>
      <c r="M6956" t="s" s="10">
        <v>14</v>
      </c>
      <c r="N6956" t="s" s="11">
        <v>14</v>
      </c>
      <c r="O6956" t="s" s="8">
        <v>14</v>
      </c>
      <c r="P6956" t="s" s="8">
        <v>14</v>
      </c>
      <c r="Q6956" t="s" s="12">
        <v>14</v>
      </c>
      <c r="R6956" t="s" s="12">
        <v>14</v>
      </c>
    </row>
    <row r="6957" s="2" customFormat="1" ht="13.5" customHeight="1">
      <c r="B6957" s="13"/>
      <c r="C6957" t="s" s="9">
        <v>16</v>
      </c>
      <c r="D6957" t="s" s="8">
        <v>2401</v>
      </c>
      <c r="E6957" t="s" s="9">
        <v>2401</v>
      </c>
      <c r="F6957" t="s" s="10">
        <v>757</v>
      </c>
      <c r="G6957" s="14"/>
      <c r="H6957" t="s" s="10">
        <v>757</v>
      </c>
      <c r="I6957" s="14"/>
      <c r="J6957" t="s" s="11">
        <v>20</v>
      </c>
      <c r="K6957" s="15"/>
      <c r="L6957" t="s" s="16">
        <f>HYPERLINK("http://csr.bu.edu/ftp/asl/asllvd/demos/verify_start_end_handshape_annotations//test_auto_move//signs_mov_separ_signers/Liz_15161.mov","MOV")</f>
        <v>21</v>
      </c>
      <c r="M6957" t="s" s="10">
        <v>84</v>
      </c>
      <c r="N6957" s="17">
        <v>34</v>
      </c>
      <c r="O6957" s="18">
        <v>355</v>
      </c>
      <c r="P6957" s="18">
        <v>380</v>
      </c>
      <c r="Q6957" s="15"/>
      <c r="R6957" t="s" s="16">
        <f>HYPERLINK("http://secrets.rutgers.edu:8080/data/asl-ftp/asllvd/demos/verify_start_end_handshape_annotations//test_auto_move//signs_mov_separ_signers/Liz_15161.mov","MOV")</f>
        <v>21</v>
      </c>
    </row>
    <row r="6958" s="2" customFormat="1" ht="13.5" customHeight="1">
      <c r="B6958" s="13"/>
      <c r="C6958" t="s" s="9">
        <v>23</v>
      </c>
      <c r="D6958" t="s" s="8">
        <v>2401</v>
      </c>
      <c r="E6958" t="s" s="9">
        <v>2401</v>
      </c>
      <c r="F6958" t="s" s="10">
        <v>283</v>
      </c>
      <c r="G6958" s="14"/>
      <c r="H6958" t="s" s="10">
        <v>283</v>
      </c>
      <c r="I6958" s="14"/>
      <c r="J6958" t="s" s="11">
        <v>20</v>
      </c>
      <c r="K6958" t="s" s="16">
        <f>HYPERLINK("http://csr.bu.edu/ftp/asl/asllvd/demos/verify_start_end_handshape_annotations//test_auto_move//signs_mov/15161.mov","MOV")</f>
        <v>21</v>
      </c>
      <c r="L6958" t="s" s="16">
        <f>HYPERLINK("http://csr.bu.edu/ftp/asl/asllvd/demos/verify_start_end_handshape_annotations//test_auto_move//signs_mov_separ_signers/Tyler_15161.mov","MOV")</f>
        <v>21</v>
      </c>
      <c r="M6958" t="s" s="10">
        <v>92</v>
      </c>
      <c r="N6958" s="17">
        <v>13</v>
      </c>
      <c r="O6958" s="18">
        <v>4190</v>
      </c>
      <c r="P6958" s="18">
        <v>4230</v>
      </c>
      <c r="Q6958" t="s" s="16">
        <f>HYPERLINK("http://secrets.rutgers.edu:8080/data/asl-ftp/asllvd/demos/verify_start_end_handshape_annotations//test_auto_move//signs_mov/15161.mov","MOV")</f>
        <v>21</v>
      </c>
      <c r="R6958" t="s" s="16">
        <f>HYPERLINK("http://secrets.rutgers.edu:8080/data/asl-ftp/asllvd/demos/verify_start_end_handshape_annotations//test_auto_move//signs_mov_separ_signers/Tyler_15161.mov","MOV")</f>
        <v>21</v>
      </c>
    </row>
    <row r="6959" s="2" customFormat="1" ht="13.5" customHeight="1">
      <c r="B6959" s="13"/>
      <c r="C6959" t="s" s="9">
        <v>27</v>
      </c>
      <c r="D6959" t="s" s="8">
        <v>2401</v>
      </c>
      <c r="E6959" t="s" s="9">
        <v>2401</v>
      </c>
      <c r="F6959" t="s" s="10">
        <v>757</v>
      </c>
      <c r="G6959" s="14"/>
      <c r="H6959" t="s" s="10">
        <v>757</v>
      </c>
      <c r="I6959" s="14"/>
      <c r="J6959" t="s" s="11">
        <v>20</v>
      </c>
      <c r="K6959" s="15"/>
      <c r="L6959" t="s" s="16">
        <f>HYPERLINK("http://csr.bu.edu/ftp/asl/asllvd/demos/verify_start_end_handshape_annotations//test_auto_move//signs_mov_separ_signers/Naomi_15161.mov","MOV")</f>
        <v>21</v>
      </c>
      <c r="M6959" t="s" s="10">
        <v>86</v>
      </c>
      <c r="N6959" s="17">
        <v>33</v>
      </c>
      <c r="O6959" s="18">
        <v>2351</v>
      </c>
      <c r="P6959" s="18">
        <v>2377</v>
      </c>
      <c r="Q6959" s="15"/>
      <c r="R6959" t="s" s="16">
        <f>HYPERLINK("http://secrets.rutgers.edu:8080/data/asl-ftp/asllvd/demos/verify_start_end_handshape_annotations//test_auto_move//signs_mov_separ_signers/Naomi_15161.mov","MOV")</f>
        <v>21</v>
      </c>
    </row>
    <row r="6960" s="2" customFormat="1" ht="13.5" customHeight="1">
      <c r="B6960" s="13"/>
      <c r="C6960" t="s" s="9">
        <v>30</v>
      </c>
      <c r="D6960" t="s" s="8">
        <v>2401</v>
      </c>
      <c r="E6960" t="s" s="9">
        <v>2401</v>
      </c>
      <c r="F6960" t="s" s="10">
        <v>2233</v>
      </c>
      <c r="G6960" s="14"/>
      <c r="H6960" t="s" s="10">
        <v>2233</v>
      </c>
      <c r="I6960" s="14"/>
      <c r="J6960" t="s" s="11">
        <v>20</v>
      </c>
      <c r="K6960" s="15"/>
      <c r="L6960" t="s" s="16">
        <f>HYPERLINK("http://csr.bu.edu/ftp/asl/asllvd/demos/verify_start_end_handshape_annotations//test_auto_move//signs_mov_separ_signers/Brady_15161.mov","MOV")</f>
        <v>21</v>
      </c>
      <c r="M6960" t="s" s="10">
        <v>39</v>
      </c>
      <c r="N6960" s="17">
        <v>13</v>
      </c>
      <c r="O6960" s="18">
        <v>3351</v>
      </c>
      <c r="P6960" s="18">
        <v>3376</v>
      </c>
      <c r="Q6960" s="15"/>
      <c r="R6960" t="s" s="16">
        <f>HYPERLINK("http://secrets.rutgers.edu:8080/data/asl-ftp/asllvd/demos/verify_start_end_handshape_annotations//test_auto_move//signs_mov_separ_signers/Brady_15161.mov","MOV")</f>
        <v>21</v>
      </c>
    </row>
    <row r="6961" s="2" customFormat="1" ht="13.5" customHeight="1">
      <c r="B6961" t="s" s="8">
        <v>2402</v>
      </c>
      <c r="C6961" t="s" s="9">
        <v>14</v>
      </c>
      <c r="D6961" t="s" s="8">
        <v>14</v>
      </c>
      <c r="E6961" t="s" s="9">
        <v>14</v>
      </c>
      <c r="F6961" t="s" s="10">
        <v>14</v>
      </c>
      <c r="G6961" t="s" s="11">
        <v>14</v>
      </c>
      <c r="H6961" t="s" s="10">
        <v>14</v>
      </c>
      <c r="I6961" t="s" s="11">
        <v>14</v>
      </c>
      <c r="J6961" t="s" s="11">
        <v>14</v>
      </c>
      <c r="K6961" t="s" s="12">
        <v>14</v>
      </c>
      <c r="L6961" t="s" s="12">
        <v>14</v>
      </c>
      <c r="M6961" t="s" s="10">
        <v>14</v>
      </c>
      <c r="N6961" t="s" s="11">
        <v>14</v>
      </c>
      <c r="O6961" t="s" s="8">
        <v>14</v>
      </c>
      <c r="P6961" t="s" s="8">
        <v>14</v>
      </c>
      <c r="Q6961" t="s" s="12">
        <v>14</v>
      </c>
      <c r="R6961" t="s" s="12">
        <v>14</v>
      </c>
    </row>
    <row r="6962" s="2" customFormat="1" ht="13.5" customHeight="1">
      <c r="B6962" s="13"/>
      <c r="C6962" t="s" s="9">
        <v>23</v>
      </c>
      <c r="D6962" t="s" s="8">
        <v>2402</v>
      </c>
      <c r="E6962" t="s" s="9">
        <v>2403</v>
      </c>
      <c r="F6962" t="s" s="10">
        <v>119</v>
      </c>
      <c r="G6962" t="s" s="11">
        <v>73</v>
      </c>
      <c r="H6962" t="s" s="10">
        <v>119</v>
      </c>
      <c r="I6962" t="s" s="11">
        <v>73</v>
      </c>
      <c r="J6962" t="s" s="11">
        <v>20</v>
      </c>
      <c r="K6962" s="15"/>
      <c r="L6962" t="s" s="16">
        <f>HYPERLINK("http://csr.bu.edu/ftp/asl/asllvd/demos/verify_start_end_handshape_annotations//test_auto_move//signs_mov_separ_signers/Tyler_1570.mov","MOV")</f>
        <v>21</v>
      </c>
      <c r="M6962" t="s" s="10">
        <v>47</v>
      </c>
      <c r="N6962" s="17">
        <v>17</v>
      </c>
      <c r="O6962" s="18">
        <v>3600</v>
      </c>
      <c r="P6962" s="18">
        <v>3650</v>
      </c>
      <c r="Q6962" s="15"/>
      <c r="R6962" t="s" s="16">
        <f>HYPERLINK("http://secrets.rutgers.edu:8080/data/asl-ftp/asllvd/demos/verify_start_end_handshape_annotations//test_auto_move//signs_mov_separ_signers/Tyler_1570.mov","MOV")</f>
        <v>21</v>
      </c>
    </row>
    <row r="6963" s="2" customFormat="1" ht="13.5" customHeight="1">
      <c r="B6963" s="13"/>
      <c r="C6963" t="s" s="9">
        <v>41</v>
      </c>
      <c r="D6963" t="s" s="8">
        <v>2402</v>
      </c>
      <c r="E6963" t="s" s="9">
        <v>2404</v>
      </c>
      <c r="F6963" t="s" s="10">
        <v>119</v>
      </c>
      <c r="G6963" t="s" s="11">
        <v>73</v>
      </c>
      <c r="H6963" t="s" s="10">
        <v>119</v>
      </c>
      <c r="I6963" t="s" s="11">
        <v>73</v>
      </c>
      <c r="J6963" t="s" s="11">
        <v>20</v>
      </c>
      <c r="K6963" t="s" s="16">
        <f>HYPERLINK("http://csr.bu.edu/ftp/asl/asllvd/demos/verify_start_end_handshape_annotations//test_auto_move//signs_mov/1570.mov","MOV")</f>
        <v>21</v>
      </c>
      <c r="L6963" t="s" s="16">
        <f>HYPERLINK("http://csr.bu.edu/ftp/asl/asllvd/demos/verify_start_end_handshape_annotations//test_auto_move//signs_mov_separ_signers/Lana_1570.mov","MOV")</f>
        <v>21</v>
      </c>
      <c r="M6963" t="s" s="10">
        <v>42</v>
      </c>
      <c r="N6963" s="17">
        <v>18</v>
      </c>
      <c r="O6963" s="18">
        <v>1240</v>
      </c>
      <c r="P6963" s="18">
        <v>1264</v>
      </c>
      <c r="Q6963" t="s" s="16">
        <f>HYPERLINK("http://secrets.rutgers.edu:8080/data/asl-ftp/asllvd/demos/verify_start_end_handshape_annotations//test_auto_move//signs_mov/1570.mov","MOV")</f>
        <v>21</v>
      </c>
      <c r="R6963" t="s" s="16">
        <f>HYPERLINK("http://secrets.rutgers.edu:8080/data/asl-ftp/asllvd/demos/verify_start_end_handshape_annotations//test_auto_move//signs_mov_separ_signers/Lana_1570.mov","MOV")</f>
        <v>21</v>
      </c>
    </row>
    <row r="6964" s="2" customFormat="1" ht="13.5" customHeight="1">
      <c r="B6964" s="13"/>
      <c r="C6964" t="s" s="9">
        <v>43</v>
      </c>
      <c r="D6964" t="s" s="8">
        <v>2402</v>
      </c>
      <c r="E6964" t="s" s="9">
        <v>2405</v>
      </c>
      <c r="F6964" t="s" s="10">
        <v>119</v>
      </c>
      <c r="G6964" t="s" s="11">
        <v>73</v>
      </c>
      <c r="H6964" t="s" s="10">
        <v>119</v>
      </c>
      <c r="I6964" t="s" s="11">
        <v>73</v>
      </c>
      <c r="J6964" t="s" s="11">
        <v>20</v>
      </c>
      <c r="K6964" s="15"/>
      <c r="L6964" t="s" s="16">
        <f>HYPERLINK("http://csr.bu.edu/ftp/asl/asllvd/demos/verify_start_end_handshape_annotations//test_auto_move//signs_mov_separ_signers/Dana_1570.mov","MOV")</f>
        <v>21</v>
      </c>
      <c r="M6964" t="s" s="10">
        <v>44</v>
      </c>
      <c r="N6964" s="17">
        <v>20</v>
      </c>
      <c r="O6964" s="18">
        <v>1170</v>
      </c>
      <c r="P6964" s="18">
        <v>1228</v>
      </c>
      <c r="Q6964" s="15"/>
      <c r="R6964" t="s" s="16">
        <f>HYPERLINK("http://secrets.rutgers.edu:8080/data/asl-ftp/asllvd/demos/verify_start_end_handshape_annotations//test_auto_move//signs_mov_separ_signers/Dana_1570.mov","MOV")</f>
        <v>21</v>
      </c>
    </row>
    <row r="6965" s="2" customFormat="1" ht="13.5" customHeight="1">
      <c r="B6965" t="s" s="8">
        <v>52</v>
      </c>
      <c r="C6965" t="s" s="9">
        <v>53</v>
      </c>
      <c r="D6965" t="s" s="8">
        <v>53</v>
      </c>
      <c r="E6965" t="s" s="9">
        <v>53</v>
      </c>
      <c r="F6965" t="s" s="10">
        <v>53</v>
      </c>
      <c r="G6965" t="s" s="11">
        <v>53</v>
      </c>
      <c r="H6965" t="s" s="10">
        <v>53</v>
      </c>
      <c r="I6965" t="s" s="11">
        <v>53</v>
      </c>
      <c r="J6965" t="s" s="11">
        <v>53</v>
      </c>
      <c r="K6965" t="s" s="12">
        <v>53</v>
      </c>
      <c r="L6965" t="s" s="12">
        <v>53</v>
      </c>
      <c r="M6965" t="s" s="10">
        <v>53</v>
      </c>
      <c r="N6965" t="s" s="11">
        <v>53</v>
      </c>
      <c r="O6965" t="s" s="8">
        <v>53</v>
      </c>
      <c r="P6965" t="s" s="8">
        <v>53</v>
      </c>
      <c r="Q6965" t="s" s="12">
        <v>53</v>
      </c>
      <c r="R6965" t="s" s="12">
        <v>53</v>
      </c>
    </row>
    <row r="6966" s="2" customFormat="1" ht="13.5" customHeight="1">
      <c r="B6966" s="13"/>
      <c r="C6966" t="s" s="9">
        <v>16</v>
      </c>
      <c r="D6966" t="s" s="8">
        <v>2402</v>
      </c>
      <c r="E6966" t="s" s="9">
        <v>2406</v>
      </c>
      <c r="F6966" t="s" s="10">
        <v>757</v>
      </c>
      <c r="G6966" t="s" s="11">
        <v>260</v>
      </c>
      <c r="H6966" t="s" s="10">
        <v>757</v>
      </c>
      <c r="I6966" t="s" s="11">
        <v>260</v>
      </c>
      <c r="J6966" t="s" s="11">
        <v>20</v>
      </c>
      <c r="K6966" t="s" s="16">
        <f>HYPERLINK("http://csr.bu.edu/ftp/asl/asllvd/demos/verify_start_end_handshape_annotations//test_auto_move//signs_mov/5261.mov","MOV")</f>
        <v>21</v>
      </c>
      <c r="L6966" t="s" s="16">
        <f>HYPERLINK("http://csr.bu.edu/ftp/asl/asllvd/demos/verify_start_end_handshape_annotations//test_auto_move//signs_mov_separ_signers/Liz_5261.mov","MOV")</f>
        <v>21</v>
      </c>
      <c r="M6966" t="s" s="10">
        <v>88</v>
      </c>
      <c r="N6966" s="17">
        <v>8</v>
      </c>
      <c r="O6966" s="18">
        <v>317</v>
      </c>
      <c r="P6966" s="18">
        <v>370</v>
      </c>
      <c r="Q6966" t="s" s="16">
        <f>HYPERLINK("http://secrets.rutgers.edu:8080/data/asl-ftp/asllvd/demos/verify_start_end_handshape_annotations//test_auto_move//signs_mov/5261.mov","MOV")</f>
        <v>21</v>
      </c>
      <c r="R6966" t="s" s="16">
        <f>HYPERLINK("http://secrets.rutgers.edu:8080/data/asl-ftp/asllvd/demos/verify_start_end_handshape_annotations//test_auto_move//signs_mov_separ_signers/Liz_5261.mov","MOV")</f>
        <v>21</v>
      </c>
    </row>
    <row r="6967" s="2" customFormat="1" ht="13.5" customHeight="1">
      <c r="B6967" t="s" s="8">
        <v>2407</v>
      </c>
      <c r="C6967" t="s" s="9">
        <v>14</v>
      </c>
      <c r="D6967" t="s" s="8">
        <v>14</v>
      </c>
      <c r="E6967" t="s" s="9">
        <v>14</v>
      </c>
      <c r="F6967" t="s" s="10">
        <v>14</v>
      </c>
      <c r="G6967" t="s" s="11">
        <v>14</v>
      </c>
      <c r="H6967" t="s" s="10">
        <v>14</v>
      </c>
      <c r="I6967" t="s" s="11">
        <v>14</v>
      </c>
      <c r="J6967" t="s" s="11">
        <v>14</v>
      </c>
      <c r="K6967" t="s" s="12">
        <v>14</v>
      </c>
      <c r="L6967" t="s" s="12">
        <v>14</v>
      </c>
      <c r="M6967" t="s" s="10">
        <v>14</v>
      </c>
      <c r="N6967" t="s" s="11">
        <v>14</v>
      </c>
      <c r="O6967" t="s" s="8">
        <v>14</v>
      </c>
      <c r="P6967" t="s" s="8">
        <v>14</v>
      </c>
      <c r="Q6967" t="s" s="12">
        <v>14</v>
      </c>
      <c r="R6967" t="s" s="12">
        <v>14</v>
      </c>
    </row>
    <row r="6968" s="2" customFormat="1" ht="13.5" customHeight="1">
      <c r="B6968" s="13"/>
      <c r="C6968" t="s" s="9">
        <v>16</v>
      </c>
      <c r="D6968" t="s" s="8">
        <v>2407</v>
      </c>
      <c r="E6968" t="s" s="9">
        <v>2407</v>
      </c>
      <c r="F6968" t="s" s="10">
        <v>119</v>
      </c>
      <c r="G6968" t="s" s="11">
        <v>109</v>
      </c>
      <c r="H6968" t="s" s="10">
        <v>119</v>
      </c>
      <c r="I6968" t="s" s="11">
        <v>109</v>
      </c>
      <c r="J6968" t="s" s="11">
        <v>20</v>
      </c>
      <c r="K6968" s="15"/>
      <c r="L6968" t="s" s="16">
        <f>HYPERLINK("http://csr.bu.edu/ftp/asl/asllvd/demos/verify_start_end_handshape_annotations//test_auto_move//signs_mov_separ_signers/Liz_15651.mov","MOV")</f>
        <v>21</v>
      </c>
      <c r="M6968" t="s" s="10">
        <v>22</v>
      </c>
      <c r="N6968" s="17">
        <v>60</v>
      </c>
      <c r="O6968" s="18">
        <v>1560</v>
      </c>
      <c r="P6968" s="18">
        <v>1590</v>
      </c>
      <c r="Q6968" s="15"/>
      <c r="R6968" t="s" s="16">
        <f>HYPERLINK("http://secrets.rutgers.edu:8080/data/asl-ftp/asllvd/demos/verify_start_end_handshape_annotations//test_auto_move//signs_mov_separ_signers/Liz_15651.mov","MOV")</f>
        <v>21</v>
      </c>
    </row>
    <row r="6969" s="2" customFormat="1" ht="13.5" customHeight="1">
      <c r="B6969" s="13"/>
      <c r="C6969" t="s" s="9">
        <v>16</v>
      </c>
      <c r="D6969" t="s" s="8">
        <v>2407</v>
      </c>
      <c r="E6969" t="s" s="9">
        <v>2408</v>
      </c>
      <c r="F6969" t="s" s="10">
        <v>119</v>
      </c>
      <c r="G6969" t="s" s="11">
        <v>73</v>
      </c>
      <c r="H6969" t="s" s="10">
        <v>119</v>
      </c>
      <c r="I6969" t="s" s="11">
        <v>73</v>
      </c>
      <c r="J6969" t="s" s="11">
        <v>20</v>
      </c>
      <c r="K6969" s="15"/>
      <c r="L6969" t="s" s="16">
        <f>HYPERLINK("http://csr.bu.edu/ftp/asl/asllvd/demos/verify_start_end_handshape_annotations//test_auto_move//signs_mov_separ_signers/Liz_15677.mov","MOV")</f>
        <v>21</v>
      </c>
      <c r="M6969" t="s" s="10">
        <v>36</v>
      </c>
      <c r="N6969" s="17">
        <v>30</v>
      </c>
      <c r="O6969" s="18">
        <v>255</v>
      </c>
      <c r="P6969" s="18">
        <v>305</v>
      </c>
      <c r="Q6969" s="15"/>
      <c r="R6969" t="s" s="16">
        <f>HYPERLINK("http://secrets.rutgers.edu:8080/data/asl-ftp/asllvd/demos/verify_start_end_handshape_annotations//test_auto_move//signs_mov_separ_signers/Liz_15677.mov","MOV")</f>
        <v>21</v>
      </c>
    </row>
    <row r="6970" s="2" customFormat="1" ht="13.5" customHeight="1">
      <c r="B6970" s="13"/>
      <c r="C6970" t="s" s="9">
        <v>23</v>
      </c>
      <c r="D6970" t="s" s="8">
        <v>2407</v>
      </c>
      <c r="E6970" t="s" s="9">
        <v>2407</v>
      </c>
      <c r="F6970" t="s" s="10">
        <v>119</v>
      </c>
      <c r="G6970" t="s" s="11">
        <v>73</v>
      </c>
      <c r="H6970" t="s" s="10">
        <v>119</v>
      </c>
      <c r="I6970" t="s" s="11">
        <v>73</v>
      </c>
      <c r="J6970" t="s" s="11">
        <v>20</v>
      </c>
      <c r="K6970" s="15"/>
      <c r="L6970" t="s" s="16">
        <f>HYPERLINK("http://csr.bu.edu/ftp/asl/asllvd/demos/verify_start_end_handshape_annotations//test_auto_move//signs_mov_separ_signers/Tyler_15651.mov","MOV")</f>
        <v>21</v>
      </c>
      <c r="M6970" t="s" s="10">
        <v>26</v>
      </c>
      <c r="N6970" s="17">
        <v>37</v>
      </c>
      <c r="O6970" s="18">
        <v>1895</v>
      </c>
      <c r="P6970" s="18">
        <v>1920</v>
      </c>
      <c r="Q6970" s="15"/>
      <c r="R6970" t="s" s="16">
        <f>HYPERLINK("http://secrets.rutgers.edu:8080/data/asl-ftp/asllvd/demos/verify_start_end_handshape_annotations//test_auto_move//signs_mov_separ_signers/Tyler_15651.mov","MOV")</f>
        <v>21</v>
      </c>
    </row>
    <row r="6971" s="2" customFormat="1" ht="13.5" customHeight="1">
      <c r="B6971" s="13"/>
      <c r="C6971" t="s" s="9">
        <v>27</v>
      </c>
      <c r="D6971" t="s" s="8">
        <v>2407</v>
      </c>
      <c r="E6971" t="s" s="9">
        <v>2407</v>
      </c>
      <c r="F6971" t="s" s="10">
        <v>119</v>
      </c>
      <c r="G6971" t="s" s="11">
        <v>73</v>
      </c>
      <c r="H6971" t="s" s="10">
        <v>119</v>
      </c>
      <c r="I6971" t="s" s="11">
        <v>73</v>
      </c>
      <c r="J6971" t="s" s="11">
        <v>20</v>
      </c>
      <c r="K6971" t="s" s="16">
        <f>HYPERLINK("http://csr.bu.edu/ftp/asl/asllvd/demos/verify_start_end_handshape_annotations//test_auto_move//signs_mov/15651_15677_merged.mov","MOV")</f>
        <v>21</v>
      </c>
      <c r="L6971" t="s" s="16">
        <f>HYPERLINK("http://csr.bu.edu/ftp/asl/asllvd/demos/verify_start_end_handshape_annotations//test_auto_move//signs_mov_separ_signers/Naomi_15651.mov","MOV")</f>
        <v>21</v>
      </c>
      <c r="M6971" t="s" s="10">
        <v>29</v>
      </c>
      <c r="N6971" s="17">
        <v>38</v>
      </c>
      <c r="O6971" s="18">
        <v>1855</v>
      </c>
      <c r="P6971" s="18">
        <v>1887</v>
      </c>
      <c r="Q6971" t="s" s="16">
        <f>HYPERLINK("http://secrets.rutgers.edu:8080/data/asl-ftp/asllvd/demos/verify_start_end_handshape_annotations//test_auto_move//signs_mov/15651_15677_merged.mov","MOV")</f>
        <v>21</v>
      </c>
      <c r="R6971" t="s" s="16">
        <f>HYPERLINK("http://secrets.rutgers.edu:8080/data/asl-ftp/asllvd/demos/verify_start_end_handshape_annotations//test_auto_move//signs_mov_separ_signers/Naomi_15651.mov","MOV")</f>
        <v>21</v>
      </c>
    </row>
    <row r="6972" s="2" customFormat="1" ht="13.5" customHeight="1">
      <c r="B6972" s="13"/>
      <c r="C6972" t="s" s="9">
        <v>30</v>
      </c>
      <c r="D6972" t="s" s="8">
        <v>2407</v>
      </c>
      <c r="E6972" t="s" s="9">
        <v>2407</v>
      </c>
      <c r="F6972" t="s" s="10">
        <v>119</v>
      </c>
      <c r="G6972" t="s" s="11">
        <v>73</v>
      </c>
      <c r="H6972" t="s" s="10">
        <v>119</v>
      </c>
      <c r="I6972" t="s" s="11">
        <v>73</v>
      </c>
      <c r="J6972" t="s" s="11">
        <v>20</v>
      </c>
      <c r="K6972" s="15"/>
      <c r="L6972" t="s" s="16">
        <f>HYPERLINK("http://csr.bu.edu/ftp/asl/asllvd/demos/verify_start_end_handshape_annotations//test_auto_move//signs_mov_separ_signers/Brady_15651.mov","MOV")</f>
        <v>21</v>
      </c>
      <c r="M6972" t="s" s="10">
        <v>31</v>
      </c>
      <c r="N6972" s="17">
        <v>24</v>
      </c>
      <c r="O6972" s="18">
        <v>10480</v>
      </c>
      <c r="P6972" s="18">
        <v>10496</v>
      </c>
      <c r="Q6972" s="15"/>
      <c r="R6972" t="s" s="16">
        <f>HYPERLINK("http://secrets.rutgers.edu:8080/data/asl-ftp/asllvd/demos/verify_start_end_handshape_annotations//test_auto_move//signs_mov_separ_signers/Brady_15651.mov","MOV")</f>
        <v>21</v>
      </c>
    </row>
    <row r="6973" s="2" customFormat="1" ht="13.5" customHeight="1">
      <c r="B6973" s="13"/>
      <c r="C6973" t="s" s="9">
        <v>30</v>
      </c>
      <c r="D6973" t="s" s="8">
        <v>2407</v>
      </c>
      <c r="E6973" t="s" s="9">
        <v>2408</v>
      </c>
      <c r="F6973" t="s" s="10">
        <v>119</v>
      </c>
      <c r="G6973" t="s" s="11">
        <v>73</v>
      </c>
      <c r="H6973" t="s" s="10">
        <v>119</v>
      </c>
      <c r="I6973" t="s" s="11">
        <v>73</v>
      </c>
      <c r="J6973" t="s" s="11">
        <v>20</v>
      </c>
      <c r="K6973" s="15"/>
      <c r="L6973" t="s" s="16">
        <f>HYPERLINK("http://csr.bu.edu/ftp/asl/asllvd/demos/verify_start_end_handshape_annotations//test_auto_move//signs_mov_separ_signers/Brady_15677.mov","MOV")</f>
        <v>21</v>
      </c>
      <c r="M6973" t="s" s="10">
        <v>40</v>
      </c>
      <c r="N6973" s="17">
        <v>81</v>
      </c>
      <c r="O6973" s="18">
        <v>719</v>
      </c>
      <c r="P6973" s="18">
        <v>769</v>
      </c>
      <c r="Q6973" s="15"/>
      <c r="R6973" t="s" s="16">
        <f>HYPERLINK("http://secrets.rutgers.edu:8080/data/asl-ftp/asllvd/demos/verify_start_end_handshape_annotations//test_auto_move//signs_mov_separ_signers/Brady_15677.mov","MOV")</f>
        <v>21</v>
      </c>
    </row>
    <row r="6974" s="2" customFormat="1" ht="13.5" customHeight="1">
      <c r="B6974" s="13"/>
      <c r="C6974" t="s" s="9">
        <v>41</v>
      </c>
      <c r="D6974" t="s" s="8">
        <v>2407</v>
      </c>
      <c r="E6974" t="s" s="9">
        <v>2407</v>
      </c>
      <c r="F6974" t="s" s="10">
        <v>119</v>
      </c>
      <c r="G6974" t="s" s="11">
        <v>73</v>
      </c>
      <c r="H6974" t="s" s="10">
        <v>119</v>
      </c>
      <c r="I6974" t="s" s="11">
        <v>73</v>
      </c>
      <c r="J6974" t="s" s="11">
        <v>20</v>
      </c>
      <c r="K6974" s="15"/>
      <c r="L6974" t="s" s="16">
        <f>HYPERLINK("http://csr.bu.edu/ftp/asl/asllvd/demos/verify_start_end_handshape_annotations//test_auto_move//signs_mov_separ_signers/Lana_15651.mov","MOV")</f>
        <v>21</v>
      </c>
      <c r="M6974" t="s" s="10">
        <v>42</v>
      </c>
      <c r="N6974" s="17">
        <v>4</v>
      </c>
      <c r="O6974" s="18">
        <v>1282</v>
      </c>
      <c r="P6974" s="18">
        <v>1303</v>
      </c>
      <c r="Q6974" s="15"/>
      <c r="R6974" t="s" s="16">
        <f>HYPERLINK("http://secrets.rutgers.edu:8080/data/asl-ftp/asllvd/demos/verify_start_end_handshape_annotations//test_auto_move//signs_mov_separ_signers/Lana_15651.mov","MOV")</f>
        <v>21</v>
      </c>
    </row>
    <row r="6975" s="2" customFormat="1" ht="13.5" customHeight="1">
      <c r="B6975" s="13"/>
      <c r="C6975" t="s" s="9">
        <v>43</v>
      </c>
      <c r="D6975" t="s" s="8">
        <v>2407</v>
      </c>
      <c r="E6975" t="s" s="9">
        <v>2407</v>
      </c>
      <c r="F6975" t="s" s="10">
        <v>119</v>
      </c>
      <c r="G6975" t="s" s="11">
        <v>73</v>
      </c>
      <c r="H6975" t="s" s="10">
        <v>119</v>
      </c>
      <c r="I6975" t="s" s="11">
        <v>73</v>
      </c>
      <c r="J6975" t="s" s="11">
        <v>20</v>
      </c>
      <c r="K6975" s="15"/>
      <c r="L6975" t="s" s="16">
        <f>HYPERLINK("http://csr.bu.edu/ftp/asl/asllvd/demos/verify_start_end_handshape_annotations//test_auto_move//signs_mov_separ_signers/Dana_15651.mov","MOV")</f>
        <v>21</v>
      </c>
      <c r="M6975" t="s" s="10">
        <v>44</v>
      </c>
      <c r="N6975" s="17">
        <v>8</v>
      </c>
      <c r="O6975" s="18">
        <v>1197</v>
      </c>
      <c r="P6975" s="18">
        <v>1240</v>
      </c>
      <c r="Q6975" s="15"/>
      <c r="R6975" t="s" s="16">
        <f>HYPERLINK("http://secrets.rutgers.edu:8080/data/asl-ftp/asllvd/demos/verify_start_end_handshape_annotations//test_auto_move//signs_mov_separ_signers/Dana_15651.mov","MOV")</f>
        <v>21</v>
      </c>
    </row>
    <row r="6976" s="2" customFormat="1" ht="13.5" customHeight="1">
      <c r="B6976" t="s" s="8">
        <v>2409</v>
      </c>
      <c r="C6976" t="s" s="9">
        <v>14</v>
      </c>
      <c r="D6976" t="s" s="8">
        <v>14</v>
      </c>
      <c r="E6976" t="s" s="9">
        <v>14</v>
      </c>
      <c r="F6976" t="s" s="10">
        <v>14</v>
      </c>
      <c r="G6976" t="s" s="11">
        <v>14</v>
      </c>
      <c r="H6976" t="s" s="10">
        <v>14</v>
      </c>
      <c r="I6976" t="s" s="11">
        <v>14</v>
      </c>
      <c r="J6976" t="s" s="11">
        <v>14</v>
      </c>
      <c r="K6976" t="s" s="12">
        <v>14</v>
      </c>
      <c r="L6976" t="s" s="12">
        <v>14</v>
      </c>
      <c r="M6976" t="s" s="10">
        <v>14</v>
      </c>
      <c r="N6976" t="s" s="11">
        <v>14</v>
      </c>
      <c r="O6976" t="s" s="8">
        <v>14</v>
      </c>
      <c r="P6976" t="s" s="8">
        <v>14</v>
      </c>
      <c r="Q6976" t="s" s="12">
        <v>14</v>
      </c>
      <c r="R6976" t="s" s="12">
        <v>14</v>
      </c>
    </row>
    <row r="6977" s="2" customFormat="1" ht="13.5" customHeight="1">
      <c r="B6977" s="13"/>
      <c r="C6977" t="s" s="9">
        <v>16</v>
      </c>
      <c r="D6977" t="s" s="8">
        <v>2409</v>
      </c>
      <c r="E6977" t="s" s="9">
        <v>2409</v>
      </c>
      <c r="F6977" t="s" s="10">
        <v>119</v>
      </c>
      <c r="G6977" t="s" s="11">
        <v>73</v>
      </c>
      <c r="H6977" s="19">
        <v>5</v>
      </c>
      <c r="I6977" t="s" s="11">
        <v>73</v>
      </c>
      <c r="J6977" t="s" s="11">
        <v>20</v>
      </c>
      <c r="K6977" s="15"/>
      <c r="L6977" t="s" s="16">
        <f>HYPERLINK("http://csr.bu.edu/ftp/asl/asllvd/demos/verify_start_end_handshape_annotations//test_auto_move//signs_mov_separ_signers/Liz_15703.mov","MOV")</f>
        <v>21</v>
      </c>
      <c r="M6977" t="s" s="10">
        <v>84</v>
      </c>
      <c r="N6977" s="17">
        <v>36</v>
      </c>
      <c r="O6977" s="18">
        <v>1165</v>
      </c>
      <c r="P6977" s="18">
        <v>1201</v>
      </c>
      <c r="Q6977" s="15"/>
      <c r="R6977" t="s" s="16">
        <f>HYPERLINK("http://secrets.rutgers.edu:8080/data/asl-ftp/asllvd/demos/verify_start_end_handshape_annotations//test_auto_move//signs_mov_separ_signers/Liz_15703.mov","MOV")</f>
        <v>21</v>
      </c>
    </row>
    <row r="6978" s="2" customFormat="1" ht="13.5" customHeight="1">
      <c r="B6978" s="13"/>
      <c r="C6978" t="s" s="9">
        <v>27</v>
      </c>
      <c r="D6978" t="s" s="8">
        <v>2409</v>
      </c>
      <c r="E6978" t="s" s="9">
        <v>2409</v>
      </c>
      <c r="F6978" t="s" s="10">
        <v>119</v>
      </c>
      <c r="G6978" t="s" s="11">
        <v>73</v>
      </c>
      <c r="H6978" s="19">
        <v>5</v>
      </c>
      <c r="I6978" t="s" s="11">
        <v>73</v>
      </c>
      <c r="J6978" t="s" s="11">
        <v>20</v>
      </c>
      <c r="K6978" s="15"/>
      <c r="L6978" t="s" s="16">
        <f>HYPERLINK("http://csr.bu.edu/ftp/asl/asllvd/demos/verify_start_end_handshape_annotations//test_auto_move//signs_mov_separ_signers/Naomi_15703.mov","MOV")</f>
        <v>21</v>
      </c>
      <c r="M6978" t="s" s="10">
        <v>86</v>
      </c>
      <c r="N6978" s="17">
        <v>36</v>
      </c>
      <c r="O6978" s="18">
        <v>1591</v>
      </c>
      <c r="P6978" s="18">
        <v>1625</v>
      </c>
      <c r="Q6978" s="15"/>
      <c r="R6978" t="s" s="16">
        <f>HYPERLINK("http://secrets.rutgers.edu:8080/data/asl-ftp/asllvd/demos/verify_start_end_handshape_annotations//test_auto_move//signs_mov_separ_signers/Naomi_15703.mov","MOV")</f>
        <v>21</v>
      </c>
    </row>
    <row r="6979" s="2" customFormat="1" ht="13.5" customHeight="1">
      <c r="B6979" s="13"/>
      <c r="C6979" t="s" s="9">
        <v>30</v>
      </c>
      <c r="D6979" t="s" s="8">
        <v>2409</v>
      </c>
      <c r="E6979" t="s" s="9">
        <v>2409</v>
      </c>
      <c r="F6979" t="s" s="10">
        <v>119</v>
      </c>
      <c r="G6979" t="s" s="11">
        <v>73</v>
      </c>
      <c r="H6979" s="19">
        <v>5</v>
      </c>
      <c r="I6979" t="s" s="11">
        <v>73</v>
      </c>
      <c r="J6979" t="s" s="11">
        <v>20</v>
      </c>
      <c r="K6979" t="s" s="16">
        <f>HYPERLINK("http://csr.bu.edu/ftp/asl/asllvd/demos/verify_start_end_handshape_annotations//test_auto_move//signs_mov/15703.mov","MOV")</f>
        <v>21</v>
      </c>
      <c r="L6979" t="s" s="16">
        <f>HYPERLINK("http://csr.bu.edu/ftp/asl/asllvd/demos/verify_start_end_handshape_annotations//test_auto_move//signs_mov_separ_signers/Brady_15703.mov","MOV")</f>
        <v>21</v>
      </c>
      <c r="M6979" t="s" s="10">
        <v>39</v>
      </c>
      <c r="N6979" s="17">
        <v>14</v>
      </c>
      <c r="O6979" s="18">
        <v>5309</v>
      </c>
      <c r="P6979" s="18">
        <v>5340</v>
      </c>
      <c r="Q6979" t="s" s="16">
        <f>HYPERLINK("http://secrets.rutgers.edu:8080/data/asl-ftp/asllvd/demos/verify_start_end_handshape_annotations//test_auto_move//signs_mov/15703.mov","MOV")</f>
        <v>21</v>
      </c>
      <c r="R6979" t="s" s="16">
        <f>HYPERLINK("http://secrets.rutgers.edu:8080/data/asl-ftp/asllvd/demos/verify_start_end_handshape_annotations//test_auto_move//signs_mov_separ_signers/Brady_15703.mov","MOV")</f>
        <v>21</v>
      </c>
    </row>
    <row r="6980" s="2" customFormat="1" ht="13.5" customHeight="1">
      <c r="B6980" s="13"/>
      <c r="C6980" t="s" s="9">
        <v>41</v>
      </c>
      <c r="D6980" t="s" s="8">
        <v>2409</v>
      </c>
      <c r="E6980" t="s" s="9">
        <v>2409</v>
      </c>
      <c r="F6980" t="s" s="10">
        <v>119</v>
      </c>
      <c r="G6980" t="s" s="11">
        <v>73</v>
      </c>
      <c r="H6980" s="19">
        <v>5</v>
      </c>
      <c r="I6980" t="s" s="11">
        <v>73</v>
      </c>
      <c r="J6980" t="s" s="11">
        <v>20</v>
      </c>
      <c r="K6980" s="15"/>
      <c r="L6980" t="s" s="16">
        <f>HYPERLINK("http://csr.bu.edu/ftp/asl/asllvd/demos/verify_start_end_handshape_annotations//test_auto_move//signs_mov_separ_signers/Lana_15703.mov","MOV")</f>
        <v>21</v>
      </c>
      <c r="M6980" t="s" s="10">
        <v>42</v>
      </c>
      <c r="N6980" s="17">
        <v>9</v>
      </c>
      <c r="O6980" s="18">
        <v>935</v>
      </c>
      <c r="P6980" s="18">
        <v>962</v>
      </c>
      <c r="Q6980" s="15"/>
      <c r="R6980" t="s" s="16">
        <f>HYPERLINK("http://secrets.rutgers.edu:8080/data/asl-ftp/asllvd/demos/verify_start_end_handshape_annotations//test_auto_move//signs_mov_separ_signers/Lana_15703.mov","MOV")</f>
        <v>21</v>
      </c>
    </row>
    <row r="6981" s="2" customFormat="1" ht="13.5" customHeight="1">
      <c r="B6981" s="13"/>
      <c r="C6981" t="s" s="9">
        <v>43</v>
      </c>
      <c r="D6981" t="s" s="8">
        <v>2409</v>
      </c>
      <c r="E6981" t="s" s="9">
        <v>2409</v>
      </c>
      <c r="F6981" t="s" s="10">
        <v>119</v>
      </c>
      <c r="G6981" t="s" s="11">
        <v>73</v>
      </c>
      <c r="H6981" t="s" s="10">
        <v>148</v>
      </c>
      <c r="I6981" t="s" s="11">
        <v>73</v>
      </c>
      <c r="J6981" t="s" s="11">
        <v>20</v>
      </c>
      <c r="K6981" s="15"/>
      <c r="L6981" t="s" s="16">
        <f>HYPERLINK("http://csr.bu.edu/ftp/asl/asllvd/demos/verify_start_end_handshape_annotations//test_auto_move//signs_mov_separ_signers/Dana_15703.mov","MOV")</f>
        <v>21</v>
      </c>
      <c r="M6981" t="s" s="10">
        <v>44</v>
      </c>
      <c r="N6981" s="17">
        <v>13</v>
      </c>
      <c r="O6981" s="18">
        <v>983</v>
      </c>
      <c r="P6981" s="18">
        <v>1046</v>
      </c>
      <c r="Q6981" s="15"/>
      <c r="R6981" t="s" s="16">
        <f>HYPERLINK("http://secrets.rutgers.edu:8080/data/asl-ftp/asllvd/demos/verify_start_end_handshape_annotations//test_auto_move//signs_mov_separ_signers/Dana_15703.mov","MOV")</f>
        <v>21</v>
      </c>
    </row>
    <row r="6982" s="2" customFormat="1" ht="13.5" customHeight="1">
      <c r="B6982" t="s" s="8">
        <v>52</v>
      </c>
      <c r="C6982" t="s" s="9">
        <v>53</v>
      </c>
      <c r="D6982" t="s" s="8">
        <v>53</v>
      </c>
      <c r="E6982" t="s" s="9">
        <v>53</v>
      </c>
      <c r="F6982" t="s" s="10">
        <v>53</v>
      </c>
      <c r="G6982" t="s" s="11">
        <v>53</v>
      </c>
      <c r="H6982" t="s" s="10">
        <v>53</v>
      </c>
      <c r="I6982" t="s" s="11">
        <v>53</v>
      </c>
      <c r="J6982" t="s" s="11">
        <v>53</v>
      </c>
      <c r="K6982" t="s" s="12">
        <v>53</v>
      </c>
      <c r="L6982" t="s" s="12">
        <v>53</v>
      </c>
      <c r="M6982" t="s" s="10">
        <v>53</v>
      </c>
      <c r="N6982" t="s" s="11">
        <v>53</v>
      </c>
      <c r="O6982" t="s" s="8">
        <v>53</v>
      </c>
      <c r="P6982" t="s" s="8">
        <v>53</v>
      </c>
      <c r="Q6982" t="s" s="12">
        <v>53</v>
      </c>
      <c r="R6982" t="s" s="12">
        <v>53</v>
      </c>
    </row>
    <row r="6983" s="2" customFormat="1" ht="13.5" customHeight="1">
      <c r="B6983" s="13"/>
      <c r="C6983" t="s" s="9">
        <v>23</v>
      </c>
      <c r="D6983" t="s" s="8">
        <v>2409</v>
      </c>
      <c r="E6983" t="s" s="9">
        <v>2410</v>
      </c>
      <c r="F6983" t="s" s="10">
        <v>119</v>
      </c>
      <c r="G6983" t="s" s="11">
        <v>119</v>
      </c>
      <c r="H6983" t="s" s="10">
        <v>72</v>
      </c>
      <c r="I6983" t="s" s="11">
        <v>119</v>
      </c>
      <c r="J6983" t="s" s="11">
        <v>20</v>
      </c>
      <c r="K6983" t="s" s="16">
        <f>HYPERLINK("http://csr.bu.edu/ftp/asl/asllvd/demos/verify_start_end_handshape_annotations//test_auto_move//signs_mov/16407.mov","MOV")</f>
        <v>21</v>
      </c>
      <c r="L6983" t="s" s="16">
        <f>HYPERLINK("http://csr.bu.edu/ftp/asl/asllvd/demos/verify_start_end_handshape_annotations//test_auto_move//signs_mov_separ_signers/Tyler_16407.mov","MOV")</f>
        <v>21</v>
      </c>
      <c r="M6983" t="s" s="10">
        <v>92</v>
      </c>
      <c r="N6983" s="17">
        <v>16</v>
      </c>
      <c r="O6983" s="18">
        <v>1297</v>
      </c>
      <c r="P6983" s="18">
        <v>1332</v>
      </c>
      <c r="Q6983" t="s" s="16">
        <f>HYPERLINK("http://secrets.rutgers.edu:8080/data/asl-ftp/asllvd/demos/verify_start_end_handshape_annotations//test_auto_move//signs_mov/16407.mov","MOV")</f>
        <v>21</v>
      </c>
      <c r="R6983" t="s" s="16">
        <f>HYPERLINK("http://secrets.rutgers.edu:8080/data/asl-ftp/asllvd/demos/verify_start_end_handshape_annotations//test_auto_move//signs_mov_separ_signers/Tyler_16407.mov","MOV")</f>
        <v>21</v>
      </c>
    </row>
    <row r="6984" s="2" customFormat="1" ht="13.5" customHeight="1">
      <c r="B6984" t="s" s="8">
        <v>2411</v>
      </c>
      <c r="C6984" t="s" s="9">
        <v>14</v>
      </c>
      <c r="D6984" t="s" s="8">
        <v>14</v>
      </c>
      <c r="E6984" t="s" s="9">
        <v>14</v>
      </c>
      <c r="F6984" t="s" s="10">
        <v>14</v>
      </c>
      <c r="G6984" t="s" s="11">
        <v>14</v>
      </c>
      <c r="H6984" t="s" s="10">
        <v>14</v>
      </c>
      <c r="I6984" t="s" s="11">
        <v>14</v>
      </c>
      <c r="J6984" t="s" s="11">
        <v>14</v>
      </c>
      <c r="K6984" t="s" s="12">
        <v>14</v>
      </c>
      <c r="L6984" t="s" s="12">
        <v>14</v>
      </c>
      <c r="M6984" t="s" s="10">
        <v>14</v>
      </c>
      <c r="N6984" t="s" s="11">
        <v>14</v>
      </c>
      <c r="O6984" t="s" s="8">
        <v>14</v>
      </c>
      <c r="P6984" t="s" s="8">
        <v>14</v>
      </c>
      <c r="Q6984" t="s" s="12">
        <v>14</v>
      </c>
      <c r="R6984" t="s" s="12">
        <v>14</v>
      </c>
    </row>
    <row r="6985" s="2" customFormat="1" ht="13.5" customHeight="1">
      <c r="B6985" s="13"/>
      <c r="C6985" t="s" s="9">
        <v>16</v>
      </c>
      <c r="D6985" t="s" s="8">
        <v>2411</v>
      </c>
      <c r="E6985" t="s" s="9">
        <v>2412</v>
      </c>
      <c r="F6985" s="19">
        <v>5</v>
      </c>
      <c r="G6985" s="17">
        <v>5</v>
      </c>
      <c r="H6985" t="s" s="10">
        <v>187</v>
      </c>
      <c r="I6985" t="s" s="11">
        <v>187</v>
      </c>
      <c r="J6985" t="s" s="11">
        <v>20</v>
      </c>
      <c r="K6985" s="15"/>
      <c r="L6985" t="s" s="16">
        <f>HYPERLINK("http://csr.bu.edu/ftp/asl/asllvd/demos/verify_start_end_handshape_annotations//test_auto_move//signs_mov_separ_signers/Liz_1571.mov","MOV")</f>
        <v>21</v>
      </c>
      <c r="M6985" t="s" s="10">
        <v>88</v>
      </c>
      <c r="N6985" s="17">
        <v>8</v>
      </c>
      <c r="O6985" s="18">
        <v>531</v>
      </c>
      <c r="P6985" s="18">
        <v>586</v>
      </c>
      <c r="Q6985" s="15"/>
      <c r="R6985" t="s" s="16">
        <f>HYPERLINK("http://secrets.rutgers.edu:8080/data/asl-ftp/asllvd/demos/verify_start_end_handshape_annotations//test_auto_move//signs_mov_separ_signers/Liz_1571.mov","MOV")</f>
        <v>21</v>
      </c>
    </row>
    <row r="6986" s="2" customFormat="1" ht="13.5" customHeight="1">
      <c r="B6986" s="13"/>
      <c r="C6986" t="s" s="9">
        <v>23</v>
      </c>
      <c r="D6986" t="s" s="8">
        <v>2411</v>
      </c>
      <c r="E6986" t="s" s="9">
        <v>2413</v>
      </c>
      <c r="F6986" t="s" s="10">
        <v>72</v>
      </c>
      <c r="G6986" t="s" s="11">
        <v>72</v>
      </c>
      <c r="H6986" t="s" s="10">
        <v>75</v>
      </c>
      <c r="I6986" t="s" s="11">
        <v>75</v>
      </c>
      <c r="J6986" t="s" s="11">
        <v>20</v>
      </c>
      <c r="K6986" t="s" s="16">
        <f>HYPERLINK("http://csr.bu.edu/ftp/asl/asllvd/demos/verify_start_end_handshape_annotations//test_auto_move//signs_mov/1571.mov","MOV")</f>
        <v>21</v>
      </c>
      <c r="L6986" t="s" s="16">
        <f>HYPERLINK("http://csr.bu.edu/ftp/asl/asllvd/demos/verify_start_end_handshape_annotations//test_auto_move//signs_mov_separ_signers/Tyler_1571.mov","MOV")</f>
        <v>21</v>
      </c>
      <c r="M6986" t="s" s="10">
        <v>47</v>
      </c>
      <c r="N6986" s="17">
        <v>18</v>
      </c>
      <c r="O6986" s="18">
        <v>280</v>
      </c>
      <c r="P6986" s="18">
        <v>320</v>
      </c>
      <c r="Q6986" t="s" s="16">
        <f>HYPERLINK("http://secrets.rutgers.edu:8080/data/asl-ftp/asllvd/demos/verify_start_end_handshape_annotations//test_auto_move//signs_mov/1571.mov","MOV")</f>
        <v>21</v>
      </c>
      <c r="R6986" t="s" s="16">
        <f>HYPERLINK("http://secrets.rutgers.edu:8080/data/asl-ftp/asllvd/demos/verify_start_end_handshape_annotations//test_auto_move//signs_mov_separ_signers/Tyler_1571.mov","MOV")</f>
        <v>21</v>
      </c>
    </row>
    <row r="6987" s="2" customFormat="1" ht="13.5" customHeight="1">
      <c r="B6987" s="13"/>
      <c r="C6987" t="s" s="9">
        <v>30</v>
      </c>
      <c r="D6987" t="s" s="8">
        <v>2411</v>
      </c>
      <c r="E6987" t="s" s="9">
        <v>2413</v>
      </c>
      <c r="F6987" s="19">
        <v>5</v>
      </c>
      <c r="G6987" s="17">
        <v>5</v>
      </c>
      <c r="H6987" t="s" s="10">
        <v>75</v>
      </c>
      <c r="I6987" t="s" s="11">
        <v>75</v>
      </c>
      <c r="J6987" t="s" s="11">
        <v>20</v>
      </c>
      <c r="K6987" s="15"/>
      <c r="L6987" t="s" s="16">
        <f>HYPERLINK("http://csr.bu.edu/ftp/asl/asllvd/demos/verify_start_end_handshape_annotations//test_auto_move//signs_mov_separ_signers/Brady_1571.mov","MOV")</f>
        <v>21</v>
      </c>
      <c r="M6987" t="s" s="10">
        <v>40</v>
      </c>
      <c r="N6987" s="17">
        <v>4</v>
      </c>
      <c r="O6987" s="18">
        <v>6051</v>
      </c>
      <c r="P6987" s="18">
        <v>6092</v>
      </c>
      <c r="Q6987" s="15"/>
      <c r="R6987" t="s" s="16">
        <f>HYPERLINK("http://secrets.rutgers.edu:8080/data/asl-ftp/asllvd/demos/verify_start_end_handshape_annotations//test_auto_move//signs_mov_separ_signers/Brady_1571.mov","MOV")</f>
        <v>21</v>
      </c>
    </row>
    <row r="6988" s="2" customFormat="1" ht="13.5" customHeight="1">
      <c r="B6988" t="s" s="8">
        <v>2414</v>
      </c>
      <c r="C6988" t="s" s="9">
        <v>14</v>
      </c>
      <c r="D6988" t="s" s="8">
        <v>14</v>
      </c>
      <c r="E6988" t="s" s="9">
        <v>14</v>
      </c>
      <c r="F6988" t="s" s="10">
        <v>14</v>
      </c>
      <c r="G6988" t="s" s="11">
        <v>14</v>
      </c>
      <c r="H6988" t="s" s="10">
        <v>14</v>
      </c>
      <c r="I6988" t="s" s="11">
        <v>14</v>
      </c>
      <c r="J6988" t="s" s="11">
        <v>14</v>
      </c>
      <c r="K6988" t="s" s="12">
        <v>14</v>
      </c>
      <c r="L6988" t="s" s="12">
        <v>14</v>
      </c>
      <c r="M6988" t="s" s="10">
        <v>14</v>
      </c>
      <c r="N6988" t="s" s="11">
        <v>14</v>
      </c>
      <c r="O6988" t="s" s="8">
        <v>14</v>
      </c>
      <c r="P6988" t="s" s="8">
        <v>14</v>
      </c>
      <c r="Q6988" t="s" s="12">
        <v>14</v>
      </c>
      <c r="R6988" t="s" s="12">
        <v>14</v>
      </c>
    </row>
    <row r="6989" s="2" customFormat="1" ht="13.5" customHeight="1">
      <c r="B6989" s="13"/>
      <c r="C6989" t="s" s="9">
        <v>16</v>
      </c>
      <c r="D6989" t="s" s="8">
        <v>2414</v>
      </c>
      <c r="E6989" t="s" s="9">
        <v>2414</v>
      </c>
      <c r="F6989" t="s" s="10">
        <v>757</v>
      </c>
      <c r="G6989" t="s" s="11">
        <v>757</v>
      </c>
      <c r="H6989" t="s" s="10">
        <v>757</v>
      </c>
      <c r="I6989" t="s" s="11">
        <v>757</v>
      </c>
      <c r="J6989" t="s" s="11">
        <v>20</v>
      </c>
      <c r="K6989" s="15"/>
      <c r="L6989" t="s" s="16">
        <f>HYPERLINK("http://csr.bu.edu/ftp/asl/asllvd/demos/verify_start_end_handshape_annotations//test_auto_move//signs_mov_separ_signers/Liz_1572.mov","MOV")</f>
        <v>21</v>
      </c>
      <c r="M6989" t="s" s="10">
        <v>88</v>
      </c>
      <c r="N6989" s="17">
        <v>8</v>
      </c>
      <c r="O6989" s="18">
        <v>746</v>
      </c>
      <c r="P6989" s="18">
        <v>785</v>
      </c>
      <c r="Q6989" s="15"/>
      <c r="R6989" t="s" s="16">
        <f>HYPERLINK("http://secrets.rutgers.edu:8080/data/asl-ftp/asllvd/demos/verify_start_end_handshape_annotations//test_auto_move//signs_mov_separ_signers/Liz_1572.mov","MOV")</f>
        <v>21</v>
      </c>
    </row>
    <row r="6990" s="2" customFormat="1" ht="13.5" customHeight="1">
      <c r="B6990" s="13"/>
      <c r="C6990" t="s" s="9">
        <v>23</v>
      </c>
      <c r="D6990" t="s" s="8">
        <v>2414</v>
      </c>
      <c r="E6990" t="s" s="9">
        <v>2414</v>
      </c>
      <c r="F6990" t="s" s="10">
        <v>757</v>
      </c>
      <c r="G6990" t="s" s="11">
        <v>757</v>
      </c>
      <c r="H6990" t="s" s="10">
        <v>757</v>
      </c>
      <c r="I6990" t="s" s="11">
        <v>757</v>
      </c>
      <c r="J6990" t="s" s="11">
        <v>20</v>
      </c>
      <c r="K6990" t="s" s="16">
        <f>HYPERLINK("http://csr.bu.edu/ftp/asl/asllvd/demos/verify_start_end_handshape_annotations//test_auto_move//signs_mov/1572.mov","MOV")</f>
        <v>21</v>
      </c>
      <c r="L6990" t="s" s="16">
        <f>HYPERLINK("http://csr.bu.edu/ftp/asl/asllvd/demos/verify_start_end_handshape_annotations//test_auto_move//signs_mov_separ_signers/Tyler_1572.mov","MOV")</f>
        <v>21</v>
      </c>
      <c r="M6990" t="s" s="10">
        <v>47</v>
      </c>
      <c r="N6990" s="17">
        <v>18</v>
      </c>
      <c r="O6990" s="18">
        <v>535</v>
      </c>
      <c r="P6990" s="18">
        <v>567</v>
      </c>
      <c r="Q6990" t="s" s="16">
        <f>HYPERLINK("http://secrets.rutgers.edu:8080/data/asl-ftp/asllvd/demos/verify_start_end_handshape_annotations//test_auto_move//signs_mov/1572.mov","MOV")</f>
        <v>21</v>
      </c>
      <c r="R6990" t="s" s="16">
        <f>HYPERLINK("http://secrets.rutgers.edu:8080/data/asl-ftp/asllvd/demos/verify_start_end_handshape_annotations//test_auto_move//signs_mov_separ_signers/Tyler_1572.mov","MOV")</f>
        <v>21</v>
      </c>
    </row>
    <row r="6991" s="2" customFormat="1" ht="13.5" customHeight="1">
      <c r="B6991" s="13"/>
      <c r="C6991" t="s" s="9">
        <v>30</v>
      </c>
      <c r="D6991" t="s" s="8">
        <v>2414</v>
      </c>
      <c r="E6991" t="s" s="9">
        <v>2414</v>
      </c>
      <c r="F6991" t="s" s="10">
        <v>55</v>
      </c>
      <c r="G6991" t="s" s="11">
        <v>55</v>
      </c>
      <c r="H6991" t="s" s="10">
        <v>757</v>
      </c>
      <c r="I6991" t="s" s="11">
        <v>757</v>
      </c>
      <c r="J6991" t="s" s="11">
        <v>20</v>
      </c>
      <c r="K6991" s="15"/>
      <c r="L6991" t="s" s="16">
        <f>HYPERLINK("http://csr.bu.edu/ftp/asl/asllvd/demos/verify_start_end_handshape_annotations//test_auto_move//signs_mov_separ_signers/Brady_1572.mov","MOV")</f>
        <v>21</v>
      </c>
      <c r="M6991" t="s" s="10">
        <v>40</v>
      </c>
      <c r="N6991" s="17">
        <v>5</v>
      </c>
      <c r="O6991" s="18">
        <v>202</v>
      </c>
      <c r="P6991" s="18">
        <v>222</v>
      </c>
      <c r="Q6991" s="15"/>
      <c r="R6991" t="s" s="16">
        <f>HYPERLINK("http://secrets.rutgers.edu:8080/data/asl-ftp/asllvd/demos/verify_start_end_handshape_annotations//test_auto_move//signs_mov_separ_signers/Brady_1572.mov","MOV")</f>
        <v>21</v>
      </c>
    </row>
    <row r="6992" s="2" customFormat="1" ht="13.5" customHeight="1">
      <c r="B6992" t="s" s="8">
        <v>2415</v>
      </c>
      <c r="C6992" t="s" s="9">
        <v>14</v>
      </c>
      <c r="D6992" t="s" s="8">
        <v>14</v>
      </c>
      <c r="E6992" t="s" s="9">
        <v>14</v>
      </c>
      <c r="F6992" t="s" s="10">
        <v>14</v>
      </c>
      <c r="G6992" t="s" s="11">
        <v>14</v>
      </c>
      <c r="H6992" t="s" s="10">
        <v>14</v>
      </c>
      <c r="I6992" t="s" s="11">
        <v>14</v>
      </c>
      <c r="J6992" t="s" s="11">
        <v>14</v>
      </c>
      <c r="K6992" t="s" s="12">
        <v>14</v>
      </c>
      <c r="L6992" t="s" s="12">
        <v>14</v>
      </c>
      <c r="M6992" t="s" s="10">
        <v>14</v>
      </c>
      <c r="N6992" t="s" s="11">
        <v>14</v>
      </c>
      <c r="O6992" t="s" s="8">
        <v>14</v>
      </c>
      <c r="P6992" t="s" s="8">
        <v>14</v>
      </c>
      <c r="Q6992" t="s" s="12">
        <v>14</v>
      </c>
      <c r="R6992" t="s" s="12">
        <v>14</v>
      </c>
    </row>
    <row r="6993" s="2" customFormat="1" ht="13.5" customHeight="1">
      <c r="B6993" s="13"/>
      <c r="C6993" t="s" s="9">
        <v>16</v>
      </c>
      <c r="D6993" t="s" s="8">
        <v>2415</v>
      </c>
      <c r="E6993" t="s" s="9">
        <v>2415</v>
      </c>
      <c r="F6993" t="s" s="10">
        <v>18</v>
      </c>
      <c r="G6993" s="14"/>
      <c r="H6993" t="s" s="10">
        <v>18</v>
      </c>
      <c r="I6993" s="14"/>
      <c r="J6993" t="s" s="11">
        <v>20</v>
      </c>
      <c r="K6993" s="15"/>
      <c r="L6993" t="s" s="16">
        <f>HYPERLINK("http://csr.bu.edu/ftp/asl/asllvd/demos/verify_start_end_handshape_annotations//test_auto_move//signs_mov_separ_signers/Liz_1575.mov","MOV")</f>
        <v>21</v>
      </c>
      <c r="M6993" t="s" s="10">
        <v>88</v>
      </c>
      <c r="N6993" s="17">
        <v>9</v>
      </c>
      <c r="O6993" s="18">
        <v>1745</v>
      </c>
      <c r="P6993" s="18">
        <v>1786</v>
      </c>
      <c r="Q6993" s="15"/>
      <c r="R6993" t="s" s="16">
        <f>HYPERLINK("http://secrets.rutgers.edu:8080/data/asl-ftp/asllvd/demos/verify_start_end_handshape_annotations//test_auto_move//signs_mov_separ_signers/Liz_1575.mov","MOV")</f>
        <v>21</v>
      </c>
    </row>
    <row r="6994" s="2" customFormat="1" ht="13.5" customHeight="1">
      <c r="B6994" s="13"/>
      <c r="C6994" t="s" s="9">
        <v>23</v>
      </c>
      <c r="D6994" t="s" s="8">
        <v>2415</v>
      </c>
      <c r="E6994" t="s" s="9">
        <v>2415</v>
      </c>
      <c r="F6994" t="s" s="10">
        <v>18</v>
      </c>
      <c r="G6994" s="14"/>
      <c r="H6994" t="s" s="10">
        <v>18</v>
      </c>
      <c r="I6994" s="14"/>
      <c r="J6994" t="s" s="11">
        <v>20</v>
      </c>
      <c r="K6994" t="s" s="16">
        <f>HYPERLINK("http://csr.bu.edu/ftp/asl/asllvd/demos/verify_start_end_handshape_annotations//test_auto_move//signs_mov/1575.mov","MOV")</f>
        <v>21</v>
      </c>
      <c r="L6994" t="s" s="16">
        <f>HYPERLINK("http://csr.bu.edu/ftp/asl/asllvd/demos/verify_start_end_handshape_annotations//test_auto_move//signs_mov_separ_signers/Tyler_1575.mov","MOV")</f>
        <v>21</v>
      </c>
      <c r="M6994" t="s" s="10">
        <v>47</v>
      </c>
      <c r="N6994" s="17">
        <v>18</v>
      </c>
      <c r="O6994" s="18">
        <v>1215</v>
      </c>
      <c r="P6994" s="18">
        <v>1257</v>
      </c>
      <c r="Q6994" t="s" s="16">
        <f>HYPERLINK("http://secrets.rutgers.edu:8080/data/asl-ftp/asllvd/demos/verify_start_end_handshape_annotations//test_auto_move//signs_mov/1575.mov","MOV")</f>
        <v>21</v>
      </c>
      <c r="R6994" t="s" s="16">
        <f>HYPERLINK("http://secrets.rutgers.edu:8080/data/asl-ftp/asllvd/demos/verify_start_end_handshape_annotations//test_auto_move//signs_mov_separ_signers/Tyler_1575.mov","MOV")</f>
        <v>21</v>
      </c>
    </row>
    <row r="6995" s="2" customFormat="1" ht="13.5" customHeight="1">
      <c r="B6995" s="13"/>
      <c r="C6995" t="s" s="9">
        <v>30</v>
      </c>
      <c r="D6995" t="s" s="8">
        <v>2415</v>
      </c>
      <c r="E6995" t="s" s="9">
        <v>2415</v>
      </c>
      <c r="F6995" t="s" s="10">
        <v>18</v>
      </c>
      <c r="G6995" s="14"/>
      <c r="H6995" t="s" s="10">
        <v>18</v>
      </c>
      <c r="I6995" s="14"/>
      <c r="J6995" t="s" s="11">
        <v>20</v>
      </c>
      <c r="K6995" s="15"/>
      <c r="L6995" t="s" s="16">
        <f>HYPERLINK("http://csr.bu.edu/ftp/asl/asllvd/demos/verify_start_end_handshape_annotations//test_auto_move//signs_mov_separ_signers/Brady_1575.mov","MOV")</f>
        <v>21</v>
      </c>
      <c r="M6995" t="s" s="10">
        <v>40</v>
      </c>
      <c r="N6995" s="17">
        <v>5</v>
      </c>
      <c r="O6995" s="18">
        <v>1152</v>
      </c>
      <c r="P6995" s="18">
        <v>1180</v>
      </c>
      <c r="Q6995" s="15"/>
      <c r="R6995" t="s" s="16">
        <f>HYPERLINK("http://secrets.rutgers.edu:8080/data/asl-ftp/asllvd/demos/verify_start_end_handshape_annotations//test_auto_move//signs_mov_separ_signers/Brady_1575.mov","MOV")</f>
        <v>21</v>
      </c>
    </row>
    <row r="6996" s="2" customFormat="1" ht="13.5" customHeight="1">
      <c r="B6996" t="s" s="8">
        <v>2416</v>
      </c>
      <c r="C6996" t="s" s="9">
        <v>14</v>
      </c>
      <c r="D6996" t="s" s="8">
        <v>14</v>
      </c>
      <c r="E6996" t="s" s="9">
        <v>14</v>
      </c>
      <c r="F6996" t="s" s="10">
        <v>14</v>
      </c>
      <c r="G6996" t="s" s="11">
        <v>14</v>
      </c>
      <c r="H6996" t="s" s="10">
        <v>14</v>
      </c>
      <c r="I6996" t="s" s="11">
        <v>14</v>
      </c>
      <c r="J6996" t="s" s="11">
        <v>14</v>
      </c>
      <c r="K6996" t="s" s="12">
        <v>14</v>
      </c>
      <c r="L6996" t="s" s="12">
        <v>14</v>
      </c>
      <c r="M6996" t="s" s="10">
        <v>14</v>
      </c>
      <c r="N6996" t="s" s="11">
        <v>14</v>
      </c>
      <c r="O6996" t="s" s="8">
        <v>14</v>
      </c>
      <c r="P6996" t="s" s="8">
        <v>14</v>
      </c>
      <c r="Q6996" t="s" s="12">
        <v>14</v>
      </c>
      <c r="R6996" t="s" s="12">
        <v>14</v>
      </c>
    </row>
    <row r="6997" s="2" customFormat="1" ht="13.5" customHeight="1">
      <c r="B6997" s="13"/>
      <c r="C6997" t="s" s="9">
        <v>16</v>
      </c>
      <c r="D6997" t="s" s="8">
        <v>2416</v>
      </c>
      <c r="E6997" t="s" s="9">
        <v>2417</v>
      </c>
      <c r="F6997" t="s" s="10">
        <v>119</v>
      </c>
      <c r="G6997" t="s" s="11">
        <v>119</v>
      </c>
      <c r="H6997" t="s" s="10">
        <v>119</v>
      </c>
      <c r="I6997" t="s" s="11">
        <v>119</v>
      </c>
      <c r="J6997" t="s" s="11">
        <v>20</v>
      </c>
      <c r="K6997" s="15"/>
      <c r="L6997" t="s" s="16">
        <f>HYPERLINK("http://csr.bu.edu/ftp/asl/asllvd/demos/verify_start_end_handshape_annotations//test_auto_move//signs_mov_separ_signers/Liz_1577.mov","MOV")</f>
        <v>21</v>
      </c>
      <c r="M6997" t="s" s="10">
        <v>88</v>
      </c>
      <c r="N6997" s="17">
        <v>9</v>
      </c>
      <c r="O6997" s="18">
        <v>2326</v>
      </c>
      <c r="P6997" s="18">
        <v>2371</v>
      </c>
      <c r="Q6997" s="15"/>
      <c r="R6997" t="s" s="16">
        <f>HYPERLINK("http://secrets.rutgers.edu:8080/data/asl-ftp/asllvd/demos/verify_start_end_handshape_annotations//test_auto_move//signs_mov_separ_signers/Liz_1577.mov","MOV")</f>
        <v>21</v>
      </c>
    </row>
    <row r="6998" s="2" customFormat="1" ht="13.5" customHeight="1">
      <c r="B6998" s="13"/>
      <c r="C6998" t="s" s="9">
        <v>23</v>
      </c>
      <c r="D6998" t="s" s="8">
        <v>2416</v>
      </c>
      <c r="E6998" t="s" s="9">
        <v>2418</v>
      </c>
      <c r="F6998" t="s" s="10">
        <v>158</v>
      </c>
      <c r="G6998" t="s" s="11">
        <v>158</v>
      </c>
      <c r="H6998" t="s" s="10">
        <v>158</v>
      </c>
      <c r="I6998" t="s" s="11">
        <v>158</v>
      </c>
      <c r="J6998" t="s" s="11">
        <v>20</v>
      </c>
      <c r="K6998" s="15"/>
      <c r="L6998" t="s" s="16">
        <f>HYPERLINK("http://csr.bu.edu/ftp/asl/asllvd/demos/verify_start_end_handshape_annotations//test_auto_move//signs_mov_separ_signers/Tyler_1577.mov","MOV")</f>
        <v>21</v>
      </c>
      <c r="M6998" t="s" s="10">
        <v>47</v>
      </c>
      <c r="N6998" s="17">
        <v>18</v>
      </c>
      <c r="O6998" s="18">
        <v>1660</v>
      </c>
      <c r="P6998" s="18">
        <v>1705</v>
      </c>
      <c r="Q6998" s="15"/>
      <c r="R6998" t="s" s="16">
        <f>HYPERLINK("http://secrets.rutgers.edu:8080/data/asl-ftp/asllvd/demos/verify_start_end_handshape_annotations//test_auto_move//signs_mov_separ_signers/Tyler_1577.mov","MOV")</f>
        <v>21</v>
      </c>
    </row>
    <row r="6999" s="2" customFormat="1" ht="13.5" customHeight="1">
      <c r="B6999" s="13"/>
      <c r="C6999" t="s" s="9">
        <v>30</v>
      </c>
      <c r="D6999" t="s" s="8">
        <v>2416</v>
      </c>
      <c r="E6999" t="s" s="9">
        <v>2418</v>
      </c>
      <c r="F6999" t="s" s="10">
        <v>119</v>
      </c>
      <c r="G6999" t="s" s="11">
        <v>119</v>
      </c>
      <c r="H6999" t="s" s="10">
        <v>119</v>
      </c>
      <c r="I6999" t="s" s="11">
        <v>119</v>
      </c>
      <c r="J6999" t="s" s="11">
        <v>20</v>
      </c>
      <c r="K6999" t="s" s="16">
        <f>HYPERLINK("http://csr.bu.edu/ftp/asl/asllvd/demos/verify_start_end_handshape_annotations//test_auto_move//signs_mov/1577.mov","MOV")</f>
        <v>21</v>
      </c>
      <c r="L6999" t="s" s="16">
        <f>HYPERLINK("http://csr.bu.edu/ftp/asl/asllvd/demos/verify_start_end_handshape_annotations//test_auto_move//signs_mov_separ_signers/Brady_1577.mov","MOV")</f>
        <v>21</v>
      </c>
      <c r="M6999" t="s" s="10">
        <v>40</v>
      </c>
      <c r="N6999" s="17">
        <v>5</v>
      </c>
      <c r="O6999" s="18">
        <v>1724</v>
      </c>
      <c r="P6999" s="18">
        <v>1770</v>
      </c>
      <c r="Q6999" t="s" s="16">
        <f>HYPERLINK("http://secrets.rutgers.edu:8080/data/asl-ftp/asllvd/demos/verify_start_end_handshape_annotations//test_auto_move//signs_mov/1577.mov","MOV")</f>
        <v>21</v>
      </c>
      <c r="R6999" t="s" s="16">
        <f>HYPERLINK("http://secrets.rutgers.edu:8080/data/asl-ftp/asllvd/demos/verify_start_end_handshape_annotations//test_auto_move//signs_mov_separ_signers/Brady_1577.mov","MOV")</f>
        <v>21</v>
      </c>
    </row>
    <row r="7000" s="2" customFormat="1" ht="13.5" customHeight="1">
      <c r="B7000" s="13"/>
      <c r="C7000" t="s" s="9">
        <v>41</v>
      </c>
      <c r="D7000" t="s" s="8">
        <v>2416</v>
      </c>
      <c r="E7000" t="s" s="9">
        <v>2417</v>
      </c>
      <c r="F7000" t="s" s="10">
        <v>119</v>
      </c>
      <c r="G7000" t="s" s="11">
        <v>119</v>
      </c>
      <c r="H7000" t="s" s="10">
        <v>119</v>
      </c>
      <c r="I7000" t="s" s="11">
        <v>119</v>
      </c>
      <c r="J7000" t="s" s="11">
        <v>20</v>
      </c>
      <c r="K7000" s="15"/>
      <c r="L7000" t="s" s="16">
        <f>HYPERLINK("http://csr.bu.edu/ftp/asl/asllvd/demos/verify_start_end_handshape_annotations//test_auto_move//signs_mov_separ_signers/Lana_1577.mov","MOV")</f>
        <v>21</v>
      </c>
      <c r="M7000" t="s" s="10">
        <v>42</v>
      </c>
      <c r="N7000" s="17">
        <v>18</v>
      </c>
      <c r="O7000" s="18">
        <v>1648</v>
      </c>
      <c r="P7000" s="18">
        <v>1668</v>
      </c>
      <c r="Q7000" s="15"/>
      <c r="R7000" t="s" s="16">
        <f>HYPERLINK("http://secrets.rutgers.edu:8080/data/asl-ftp/asllvd/demos/verify_start_end_handshape_annotations//test_auto_move//signs_mov_separ_signers/Lana_1577.mov","MOV")</f>
        <v>21</v>
      </c>
    </row>
    <row r="7001" s="2" customFormat="1" ht="13.5" customHeight="1">
      <c r="B7001" s="13"/>
      <c r="C7001" t="s" s="9">
        <v>43</v>
      </c>
      <c r="D7001" t="s" s="8">
        <v>2416</v>
      </c>
      <c r="E7001" t="s" s="9">
        <v>2418</v>
      </c>
      <c r="F7001" t="s" s="10">
        <v>158</v>
      </c>
      <c r="G7001" t="s" s="11">
        <v>158</v>
      </c>
      <c r="H7001" t="s" s="10">
        <v>158</v>
      </c>
      <c r="I7001" t="s" s="11">
        <v>158</v>
      </c>
      <c r="J7001" t="s" s="11">
        <v>20</v>
      </c>
      <c r="K7001" s="15"/>
      <c r="L7001" t="s" s="16">
        <f>HYPERLINK("http://csr.bu.edu/ftp/asl/asllvd/demos/verify_start_end_handshape_annotations//test_auto_move//signs_mov_separ_signers/Dana_1577.mov","MOV")</f>
        <v>21</v>
      </c>
      <c r="M7001" t="s" s="10">
        <v>44</v>
      </c>
      <c r="N7001" s="17">
        <v>20</v>
      </c>
      <c r="O7001" s="18">
        <v>1562</v>
      </c>
      <c r="P7001" s="18">
        <v>1618</v>
      </c>
      <c r="Q7001" s="15"/>
      <c r="R7001" t="s" s="16">
        <f>HYPERLINK("http://secrets.rutgers.edu:8080/data/asl-ftp/asllvd/demos/verify_start_end_handshape_annotations//test_auto_move//signs_mov_separ_signers/Dana_1577.mov","MOV")</f>
        <v>21</v>
      </c>
    </row>
    <row r="7002" s="2" customFormat="1" ht="13.5" customHeight="1">
      <c r="B7002" t="s" s="8">
        <v>2419</v>
      </c>
      <c r="C7002" t="s" s="9">
        <v>14</v>
      </c>
      <c r="D7002" t="s" s="8">
        <v>14</v>
      </c>
      <c r="E7002" t="s" s="9">
        <v>14</v>
      </c>
      <c r="F7002" t="s" s="10">
        <v>14</v>
      </c>
      <c r="G7002" t="s" s="11">
        <v>14</v>
      </c>
      <c r="H7002" t="s" s="10">
        <v>14</v>
      </c>
      <c r="I7002" t="s" s="11">
        <v>14</v>
      </c>
      <c r="J7002" t="s" s="11">
        <v>14</v>
      </c>
      <c r="K7002" t="s" s="12">
        <v>14</v>
      </c>
      <c r="L7002" t="s" s="12">
        <v>14</v>
      </c>
      <c r="M7002" t="s" s="10">
        <v>14</v>
      </c>
      <c r="N7002" t="s" s="11">
        <v>14</v>
      </c>
      <c r="O7002" t="s" s="8">
        <v>14</v>
      </c>
      <c r="P7002" t="s" s="8">
        <v>14</v>
      </c>
      <c r="Q7002" t="s" s="12">
        <v>14</v>
      </c>
      <c r="R7002" t="s" s="12">
        <v>14</v>
      </c>
    </row>
    <row r="7003" s="2" customFormat="1" ht="13.5" customHeight="1">
      <c r="B7003" s="13"/>
      <c r="C7003" t="s" s="9">
        <v>16</v>
      </c>
      <c r="D7003" t="s" s="8">
        <v>2419</v>
      </c>
      <c r="E7003" t="s" s="9">
        <v>2419</v>
      </c>
      <c r="F7003" t="s" s="10">
        <v>119</v>
      </c>
      <c r="G7003" t="s" s="11">
        <v>119</v>
      </c>
      <c r="H7003" t="s" s="10">
        <v>119</v>
      </c>
      <c r="I7003" t="s" s="11">
        <v>119</v>
      </c>
      <c r="J7003" t="s" s="11">
        <v>20</v>
      </c>
      <c r="K7003" t="s" s="16">
        <f>HYPERLINK("http://csr.bu.edu/ftp/asl/asllvd/demos/verify_start_end_handshape_annotations//test_auto_move//signs_mov/15658.mov","MOV")</f>
        <v>21</v>
      </c>
      <c r="L7003" t="s" s="16">
        <f>HYPERLINK("http://csr.bu.edu/ftp/asl/asllvd/demos/verify_start_end_handshape_annotations//test_auto_move//signs_mov_separ_signers/Liz_15658.mov","MOV")</f>
        <v>21</v>
      </c>
      <c r="M7003" t="s" s="10">
        <v>88</v>
      </c>
      <c r="N7003" s="17">
        <v>21</v>
      </c>
      <c r="O7003" s="18">
        <v>3040</v>
      </c>
      <c r="P7003" s="18">
        <v>3100</v>
      </c>
      <c r="Q7003" t="s" s="16">
        <f>HYPERLINK("http://secrets.rutgers.edu:8080/data/asl-ftp/asllvd/demos/verify_start_end_handshape_annotations//test_auto_move//signs_mov/15658.mov","MOV")</f>
        <v>21</v>
      </c>
      <c r="R7003" t="s" s="16">
        <f>HYPERLINK("http://secrets.rutgers.edu:8080/data/asl-ftp/asllvd/demos/verify_start_end_handshape_annotations//test_auto_move//signs_mov_separ_signers/Liz_15658.mov","MOV")</f>
        <v>21</v>
      </c>
    </row>
    <row r="7004" s="2" customFormat="1" ht="13.5" customHeight="1">
      <c r="B7004" s="13"/>
      <c r="C7004" t="s" s="9">
        <v>30</v>
      </c>
      <c r="D7004" t="s" s="8">
        <v>2419</v>
      </c>
      <c r="E7004" t="s" s="9">
        <v>2419</v>
      </c>
      <c r="F7004" t="s" s="10">
        <v>119</v>
      </c>
      <c r="G7004" t="s" s="11">
        <v>119</v>
      </c>
      <c r="H7004" t="s" s="10">
        <v>119</v>
      </c>
      <c r="I7004" t="s" s="11">
        <v>119</v>
      </c>
      <c r="J7004" t="s" s="11">
        <v>20</v>
      </c>
      <c r="K7004" s="15"/>
      <c r="L7004" t="s" s="16">
        <f>HYPERLINK("http://csr.bu.edu/ftp/asl/asllvd/demos/verify_start_end_handshape_annotations//test_auto_move//signs_mov_separ_signers/Brady_15658.mov","MOV")</f>
        <v>21</v>
      </c>
      <c r="M7004" t="s" s="10">
        <v>40</v>
      </c>
      <c r="N7004" s="17">
        <v>17</v>
      </c>
      <c r="O7004" s="18">
        <v>627</v>
      </c>
      <c r="P7004" s="18">
        <v>651</v>
      </c>
      <c r="Q7004" s="15"/>
      <c r="R7004" t="s" s="16">
        <f>HYPERLINK("http://secrets.rutgers.edu:8080/data/asl-ftp/asllvd/demos/verify_start_end_handshape_annotations//test_auto_move//signs_mov_separ_signers/Brady_15658.mov","MOV")</f>
        <v>21</v>
      </c>
    </row>
    <row r="7005" s="2" customFormat="1" ht="13.5" customHeight="1">
      <c r="B7005" t="s" s="8">
        <v>2420</v>
      </c>
      <c r="C7005" t="s" s="9">
        <v>14</v>
      </c>
      <c r="D7005" t="s" s="8">
        <v>14</v>
      </c>
      <c r="E7005" t="s" s="9">
        <v>14</v>
      </c>
      <c r="F7005" t="s" s="10">
        <v>14</v>
      </c>
      <c r="G7005" t="s" s="11">
        <v>14</v>
      </c>
      <c r="H7005" t="s" s="10">
        <v>14</v>
      </c>
      <c r="I7005" t="s" s="11">
        <v>14</v>
      </c>
      <c r="J7005" t="s" s="11">
        <v>14</v>
      </c>
      <c r="K7005" t="s" s="12">
        <v>14</v>
      </c>
      <c r="L7005" t="s" s="12">
        <v>14</v>
      </c>
      <c r="M7005" t="s" s="10">
        <v>14</v>
      </c>
      <c r="N7005" t="s" s="11">
        <v>14</v>
      </c>
      <c r="O7005" t="s" s="8">
        <v>14</v>
      </c>
      <c r="P7005" t="s" s="8">
        <v>14</v>
      </c>
      <c r="Q7005" t="s" s="12">
        <v>14</v>
      </c>
      <c r="R7005" t="s" s="12">
        <v>14</v>
      </c>
    </row>
    <row r="7006" s="2" customFormat="1" ht="13.5" customHeight="1">
      <c r="B7006" s="13"/>
      <c r="C7006" t="s" s="9">
        <v>16</v>
      </c>
      <c r="D7006" t="s" s="8">
        <v>2420</v>
      </c>
      <c r="E7006" t="s" s="9">
        <v>2421</v>
      </c>
      <c r="F7006" t="s" s="10">
        <v>119</v>
      </c>
      <c r="G7006" t="s" s="11">
        <v>119</v>
      </c>
      <c r="H7006" t="s" s="10">
        <v>119</v>
      </c>
      <c r="I7006" t="s" s="11">
        <v>119</v>
      </c>
      <c r="J7006" t="s" s="11">
        <v>20</v>
      </c>
      <c r="K7006" s="15"/>
      <c r="L7006" t="s" s="16">
        <f>HYPERLINK("http://csr.bu.edu/ftp/asl/asllvd/demos/verify_start_end_handshape_annotations//test_auto_move//signs_mov_separ_signers/Liz_15675.mov","MOV")</f>
        <v>21</v>
      </c>
      <c r="M7006" t="s" s="10">
        <v>84</v>
      </c>
      <c r="N7006" s="17">
        <v>43</v>
      </c>
      <c r="O7006" s="18">
        <v>1631</v>
      </c>
      <c r="P7006" s="18">
        <v>1676</v>
      </c>
      <c r="Q7006" s="15"/>
      <c r="R7006" t="s" s="16">
        <f>HYPERLINK("http://secrets.rutgers.edu:8080/data/asl-ftp/asllvd/demos/verify_start_end_handshape_annotations//test_auto_move//signs_mov_separ_signers/Liz_15675.mov","MOV")</f>
        <v>21</v>
      </c>
    </row>
    <row r="7007" s="2" customFormat="1" ht="13.5" customHeight="1">
      <c r="B7007" s="13"/>
      <c r="C7007" t="s" s="9">
        <v>23</v>
      </c>
      <c r="D7007" t="s" s="8">
        <v>2420</v>
      </c>
      <c r="E7007" t="s" s="9">
        <v>2421</v>
      </c>
      <c r="F7007" t="s" s="10">
        <v>158</v>
      </c>
      <c r="G7007" t="s" s="11">
        <v>158</v>
      </c>
      <c r="H7007" t="s" s="10">
        <v>158</v>
      </c>
      <c r="I7007" t="s" s="11">
        <v>158</v>
      </c>
      <c r="J7007" t="s" s="11">
        <v>20</v>
      </c>
      <c r="K7007" t="s" s="16">
        <f>HYPERLINK("http://csr.bu.edu/ftp/asl/asllvd/demos/verify_start_end_handshape_annotations//test_auto_move//signs_mov/15675_15952_merged.mov","MOV")</f>
        <v>21</v>
      </c>
      <c r="L7007" t="s" s="16">
        <f>HYPERLINK("http://csr.bu.edu/ftp/asl/asllvd/demos/verify_start_end_handshape_annotations//test_auto_move//signs_mov_separ_signers/Tyler_15675.mov","MOV")</f>
        <v>21</v>
      </c>
      <c r="M7007" t="s" s="10">
        <v>92</v>
      </c>
      <c r="N7007" s="17">
        <v>23</v>
      </c>
      <c r="O7007" s="18">
        <v>1562</v>
      </c>
      <c r="P7007" s="18">
        <v>1596</v>
      </c>
      <c r="Q7007" t="s" s="16">
        <f>HYPERLINK("http://secrets.rutgers.edu:8080/data/asl-ftp/asllvd/demos/verify_start_end_handshape_annotations//test_auto_move//signs_mov/15675_15952_merged.mov","MOV")</f>
        <v>21</v>
      </c>
      <c r="R7007" t="s" s="16">
        <f>HYPERLINK("http://secrets.rutgers.edu:8080/data/asl-ftp/asllvd/demos/verify_start_end_handshape_annotations//test_auto_move//signs_mov_separ_signers/Tyler_15675.mov","MOV")</f>
        <v>21</v>
      </c>
    </row>
    <row r="7008" s="2" customFormat="1" ht="13.5" customHeight="1">
      <c r="B7008" s="13"/>
      <c r="C7008" t="s" s="9">
        <v>30</v>
      </c>
      <c r="D7008" t="s" s="8">
        <v>2420</v>
      </c>
      <c r="E7008" t="s" s="9">
        <v>2421</v>
      </c>
      <c r="F7008" t="s" s="10">
        <v>119</v>
      </c>
      <c r="G7008" t="s" s="11">
        <v>119</v>
      </c>
      <c r="H7008" t="s" s="10">
        <v>119</v>
      </c>
      <c r="I7008" t="s" s="11">
        <v>119</v>
      </c>
      <c r="J7008" t="s" s="11">
        <v>20</v>
      </c>
      <c r="K7008" s="15"/>
      <c r="L7008" t="s" s="16">
        <f>HYPERLINK("http://csr.bu.edu/ftp/asl/asllvd/demos/verify_start_end_handshape_annotations//test_auto_move//signs_mov_separ_signers/Brady_15675.mov","MOV")</f>
        <v>21</v>
      </c>
      <c r="M7008" t="s" s="10">
        <v>39</v>
      </c>
      <c r="N7008" s="17">
        <v>19</v>
      </c>
      <c r="O7008" s="18">
        <v>3200</v>
      </c>
      <c r="P7008" s="18">
        <v>3218</v>
      </c>
      <c r="Q7008" s="15"/>
      <c r="R7008" t="s" s="16">
        <f>HYPERLINK("http://secrets.rutgers.edu:8080/data/asl-ftp/asllvd/demos/verify_start_end_handshape_annotations//test_auto_move//signs_mov_separ_signers/Brady_15675.mov","MOV")</f>
        <v>21</v>
      </c>
    </row>
    <row r="7009" s="2" customFormat="1" ht="13.5" customHeight="1">
      <c r="B7009" s="13"/>
      <c r="C7009" t="s" s="9">
        <v>30</v>
      </c>
      <c r="D7009" t="s" s="8">
        <v>2420</v>
      </c>
      <c r="E7009" t="s" s="9">
        <v>2421</v>
      </c>
      <c r="F7009" t="s" s="10">
        <v>119</v>
      </c>
      <c r="G7009" t="s" s="11">
        <v>119</v>
      </c>
      <c r="H7009" t="s" s="10">
        <v>119</v>
      </c>
      <c r="I7009" t="s" s="11">
        <v>119</v>
      </c>
      <c r="J7009" t="s" s="11">
        <v>20</v>
      </c>
      <c r="K7009" s="15"/>
      <c r="L7009" t="s" s="16">
        <f>HYPERLINK("http://csr.bu.edu/ftp/asl/asllvd/demos/verify_start_end_handshape_annotations//test_auto_move//signs_mov_separ_signers/Brady_15952.mov","MOV")</f>
        <v>21</v>
      </c>
      <c r="M7009" t="s" s="10">
        <v>60</v>
      </c>
      <c r="N7009" s="17">
        <v>42</v>
      </c>
      <c r="O7009" s="18">
        <v>2266</v>
      </c>
      <c r="P7009" s="18">
        <v>2304</v>
      </c>
      <c r="Q7009" s="15"/>
      <c r="R7009" t="s" s="16">
        <f>HYPERLINK("http://secrets.rutgers.edu:8080/data/asl-ftp/asllvd/demos/verify_start_end_handshape_annotations//test_auto_move//signs_mov_separ_signers/Brady_15952.mov","MOV")</f>
        <v>21</v>
      </c>
    </row>
    <row r="7010" s="2" customFormat="1" ht="13.5" customHeight="1">
      <c r="B7010" t="s" s="8">
        <v>52</v>
      </c>
      <c r="C7010" t="s" s="9">
        <v>53</v>
      </c>
      <c r="D7010" t="s" s="8">
        <v>53</v>
      </c>
      <c r="E7010" t="s" s="9">
        <v>53</v>
      </c>
      <c r="F7010" t="s" s="10">
        <v>53</v>
      </c>
      <c r="G7010" t="s" s="11">
        <v>53</v>
      </c>
      <c r="H7010" t="s" s="10">
        <v>53</v>
      </c>
      <c r="I7010" t="s" s="11">
        <v>53</v>
      </c>
      <c r="J7010" t="s" s="11">
        <v>53</v>
      </c>
      <c r="K7010" t="s" s="12">
        <v>53</v>
      </c>
      <c r="L7010" t="s" s="12">
        <v>53</v>
      </c>
      <c r="M7010" t="s" s="10">
        <v>53</v>
      </c>
      <c r="N7010" t="s" s="11">
        <v>53</v>
      </c>
      <c r="O7010" t="s" s="8">
        <v>53</v>
      </c>
      <c r="P7010" t="s" s="8">
        <v>53</v>
      </c>
      <c r="Q7010" t="s" s="12">
        <v>53</v>
      </c>
      <c r="R7010" t="s" s="12">
        <v>53</v>
      </c>
    </row>
    <row r="7011" s="2" customFormat="1" ht="13.5" customHeight="1">
      <c r="B7011" s="13"/>
      <c r="C7011" t="s" s="9">
        <v>27</v>
      </c>
      <c r="D7011" t="s" s="8">
        <v>2420</v>
      </c>
      <c r="E7011" t="s" s="9">
        <v>2422</v>
      </c>
      <c r="F7011" t="s" s="10">
        <v>119</v>
      </c>
      <c r="G7011" t="s" s="11">
        <v>119</v>
      </c>
      <c r="H7011" t="s" s="10">
        <v>119</v>
      </c>
      <c r="I7011" t="s" s="11">
        <v>119</v>
      </c>
      <c r="J7011" t="s" s="11">
        <v>20</v>
      </c>
      <c r="K7011" t="s" s="16">
        <f>HYPERLINK("http://csr.bu.edu/ftp/asl/asllvd/demos/verify_start_end_handshape_annotations//test_auto_move//signs_mov/16408.mov","MOV")</f>
        <v>21</v>
      </c>
      <c r="L7011" t="s" s="16">
        <f>HYPERLINK("http://csr.bu.edu/ftp/asl/asllvd/demos/verify_start_end_handshape_annotations//test_auto_move//signs_mov_separ_signers/Naomi_16408.mov","MOV")</f>
        <v>21</v>
      </c>
      <c r="M7011" t="s" s="10">
        <v>86</v>
      </c>
      <c r="N7011" s="17">
        <v>43</v>
      </c>
      <c r="O7011" s="18">
        <v>1701</v>
      </c>
      <c r="P7011" s="18">
        <v>1746</v>
      </c>
      <c r="Q7011" t="s" s="16">
        <f>HYPERLINK("http://secrets.rutgers.edu:8080/data/asl-ftp/asllvd/demos/verify_start_end_handshape_annotations//test_auto_move//signs_mov/16408.mov","MOV")</f>
        <v>21</v>
      </c>
      <c r="R7011" t="s" s="16">
        <f>HYPERLINK("http://secrets.rutgers.edu:8080/data/asl-ftp/asllvd/demos/verify_start_end_handshape_annotations//test_auto_move//signs_mov_separ_signers/Naomi_16408.mov","MOV")</f>
        <v>21</v>
      </c>
    </row>
    <row r="7012" s="2" customFormat="1" ht="13.5" customHeight="1">
      <c r="B7012" t="s" s="8">
        <v>2423</v>
      </c>
      <c r="C7012" t="s" s="9">
        <v>14</v>
      </c>
      <c r="D7012" t="s" s="8">
        <v>14</v>
      </c>
      <c r="E7012" t="s" s="9">
        <v>14</v>
      </c>
      <c r="F7012" t="s" s="10">
        <v>14</v>
      </c>
      <c r="G7012" t="s" s="11">
        <v>14</v>
      </c>
      <c r="H7012" t="s" s="10">
        <v>14</v>
      </c>
      <c r="I7012" t="s" s="11">
        <v>14</v>
      </c>
      <c r="J7012" t="s" s="11">
        <v>14</v>
      </c>
      <c r="K7012" t="s" s="12">
        <v>14</v>
      </c>
      <c r="L7012" t="s" s="12">
        <v>14</v>
      </c>
      <c r="M7012" t="s" s="10">
        <v>14</v>
      </c>
      <c r="N7012" t="s" s="11">
        <v>14</v>
      </c>
      <c r="O7012" t="s" s="8">
        <v>14</v>
      </c>
      <c r="P7012" t="s" s="8">
        <v>14</v>
      </c>
      <c r="Q7012" t="s" s="12">
        <v>14</v>
      </c>
      <c r="R7012" t="s" s="12">
        <v>14</v>
      </c>
    </row>
    <row r="7013" s="2" customFormat="1" ht="13.5" customHeight="1">
      <c r="B7013" s="13"/>
      <c r="C7013" t="s" s="9">
        <v>16</v>
      </c>
      <c r="D7013" t="s" s="8">
        <v>2423</v>
      </c>
      <c r="E7013" t="s" s="9">
        <v>2423</v>
      </c>
      <c r="F7013" t="s" s="10">
        <v>109</v>
      </c>
      <c r="G7013" t="s" s="11">
        <v>109</v>
      </c>
      <c r="H7013" t="s" s="10">
        <v>109</v>
      </c>
      <c r="I7013" t="s" s="11">
        <v>109</v>
      </c>
      <c r="J7013" t="s" s="11">
        <v>136</v>
      </c>
      <c r="K7013" s="15"/>
      <c r="L7013" t="s" s="16">
        <f>HYPERLINK("http://csr.bu.edu/ftp/asl/asllvd/demos/verify_start_end_handshape_annotations//test_auto_move//signs_mov_separ_signers/Liz_1578.mov","MOV")</f>
        <v>21</v>
      </c>
      <c r="M7013" t="s" s="10">
        <v>88</v>
      </c>
      <c r="N7013" s="17">
        <v>9</v>
      </c>
      <c r="O7013" s="18">
        <v>2556</v>
      </c>
      <c r="P7013" s="18">
        <v>2595</v>
      </c>
      <c r="Q7013" s="15"/>
      <c r="R7013" t="s" s="16">
        <f>HYPERLINK("http://secrets.rutgers.edu:8080/data/asl-ftp/asllvd/demos/verify_start_end_handshape_annotations//test_auto_move//signs_mov_separ_signers/Liz_1578.mov","MOV")</f>
        <v>21</v>
      </c>
    </row>
    <row r="7014" s="2" customFormat="1" ht="13.5" customHeight="1">
      <c r="B7014" s="13"/>
      <c r="C7014" t="s" s="9">
        <v>23</v>
      </c>
      <c r="D7014" t="s" s="8">
        <v>2423</v>
      </c>
      <c r="E7014" t="s" s="9">
        <v>2423</v>
      </c>
      <c r="F7014" t="s" s="10">
        <v>109</v>
      </c>
      <c r="G7014" t="s" s="11">
        <v>109</v>
      </c>
      <c r="H7014" t="s" s="10">
        <v>109</v>
      </c>
      <c r="I7014" t="s" s="11">
        <v>109</v>
      </c>
      <c r="J7014" t="s" s="11">
        <v>136</v>
      </c>
      <c r="K7014" s="15"/>
      <c r="L7014" t="s" s="16">
        <f>HYPERLINK("http://csr.bu.edu/ftp/asl/asllvd/demos/verify_start_end_handshape_annotations//test_auto_move//signs_mov_separ_signers/Tyler_1578.mov","MOV")</f>
        <v>21</v>
      </c>
      <c r="M7014" t="s" s="10">
        <v>47</v>
      </c>
      <c r="N7014" s="17">
        <v>18</v>
      </c>
      <c r="O7014" s="18">
        <v>1867</v>
      </c>
      <c r="P7014" s="18">
        <v>1907</v>
      </c>
      <c r="Q7014" s="15"/>
      <c r="R7014" t="s" s="16">
        <f>HYPERLINK("http://secrets.rutgers.edu:8080/data/asl-ftp/asllvd/demos/verify_start_end_handshape_annotations//test_auto_move//signs_mov_separ_signers/Tyler_1578.mov","MOV")</f>
        <v>21</v>
      </c>
    </row>
    <row r="7015" s="2" customFormat="1" ht="13.5" customHeight="1">
      <c r="B7015" s="13"/>
      <c r="C7015" t="s" s="9">
        <v>30</v>
      </c>
      <c r="D7015" t="s" s="8">
        <v>2423</v>
      </c>
      <c r="E7015" t="s" s="9">
        <v>2423</v>
      </c>
      <c r="F7015" t="s" s="10">
        <v>73</v>
      </c>
      <c r="G7015" t="s" s="11">
        <v>73</v>
      </c>
      <c r="H7015" t="s" s="10">
        <v>73</v>
      </c>
      <c r="I7015" t="s" s="11">
        <v>73</v>
      </c>
      <c r="J7015" t="s" s="11">
        <v>20</v>
      </c>
      <c r="K7015" t="s" s="16">
        <f>HYPERLINK("http://csr.bu.edu/ftp/asl/asllvd/demos/verify_start_end_handshape_annotations//test_auto_move//signs_mov/1578.mov","MOV")</f>
        <v>21</v>
      </c>
      <c r="L7015" t="s" s="16">
        <f>HYPERLINK("http://csr.bu.edu/ftp/asl/asllvd/demos/verify_start_end_handshape_annotations//test_auto_move//signs_mov_separ_signers/Brady_1578.mov","MOV")</f>
        <v>21</v>
      </c>
      <c r="M7015" t="s" s="10">
        <v>40</v>
      </c>
      <c r="N7015" s="17">
        <v>5</v>
      </c>
      <c r="O7015" s="18">
        <v>2016</v>
      </c>
      <c r="P7015" s="18">
        <v>2042</v>
      </c>
      <c r="Q7015" t="s" s="16">
        <f>HYPERLINK("http://secrets.rutgers.edu:8080/data/asl-ftp/asllvd/demos/verify_start_end_handshape_annotations//test_auto_move//signs_mov/1578.mov","MOV")</f>
        <v>21</v>
      </c>
      <c r="R7015" t="s" s="16">
        <f>HYPERLINK("http://secrets.rutgers.edu:8080/data/asl-ftp/asllvd/demos/verify_start_end_handshape_annotations//test_auto_move//signs_mov_separ_signers/Brady_1578.mov","MOV")</f>
        <v>21</v>
      </c>
    </row>
    <row r="7016" s="2" customFormat="1" ht="13.5" customHeight="1">
      <c r="B7016" s="13"/>
      <c r="C7016" t="s" s="9">
        <v>41</v>
      </c>
      <c r="D7016" t="s" s="8">
        <v>2423</v>
      </c>
      <c r="E7016" t="s" s="9">
        <v>2423</v>
      </c>
      <c r="F7016" t="s" s="10">
        <v>55</v>
      </c>
      <c r="G7016" t="s" s="11">
        <v>73</v>
      </c>
      <c r="H7016" t="s" s="10">
        <v>55</v>
      </c>
      <c r="I7016" t="s" s="11">
        <v>73</v>
      </c>
      <c r="J7016" t="s" s="11">
        <v>20</v>
      </c>
      <c r="K7016" s="15"/>
      <c r="L7016" t="s" s="16">
        <f>HYPERLINK("http://csr.bu.edu/ftp/asl/asllvd/demos/verify_start_end_handshape_annotations//test_auto_move//signs_mov_separ_signers/Lana_1578.mov","MOV")</f>
        <v>21</v>
      </c>
      <c r="M7016" t="s" s="10">
        <v>42</v>
      </c>
      <c r="N7016" s="17">
        <v>18</v>
      </c>
      <c r="O7016" s="18">
        <v>1904</v>
      </c>
      <c r="P7016" s="18">
        <v>1920</v>
      </c>
      <c r="Q7016" s="15"/>
      <c r="R7016" t="s" s="16">
        <f>HYPERLINK("http://secrets.rutgers.edu:8080/data/asl-ftp/asllvd/demos/verify_start_end_handshape_annotations//test_auto_move//signs_mov_separ_signers/Lana_1578.mov","MOV")</f>
        <v>21</v>
      </c>
    </row>
    <row r="7017" s="2" customFormat="1" ht="13.5" customHeight="1">
      <c r="B7017" s="13"/>
      <c r="C7017" t="s" s="9">
        <v>43</v>
      </c>
      <c r="D7017" t="s" s="8">
        <v>2423</v>
      </c>
      <c r="E7017" t="s" s="9">
        <v>2423</v>
      </c>
      <c r="F7017" t="s" s="10">
        <v>152</v>
      </c>
      <c r="G7017" t="s" s="11">
        <v>73</v>
      </c>
      <c r="H7017" t="s" s="10">
        <v>152</v>
      </c>
      <c r="I7017" t="s" s="11">
        <v>73</v>
      </c>
      <c r="J7017" t="s" s="11">
        <v>20</v>
      </c>
      <c r="K7017" s="15"/>
      <c r="L7017" t="s" s="16">
        <f>HYPERLINK("http://csr.bu.edu/ftp/asl/asllvd/demos/verify_start_end_handshape_annotations//test_auto_move//signs_mov_separ_signers/Dana_1578.mov","MOV")</f>
        <v>21</v>
      </c>
      <c r="M7017" t="s" s="10">
        <v>44</v>
      </c>
      <c r="N7017" s="17">
        <v>20</v>
      </c>
      <c r="O7017" s="18">
        <v>1834</v>
      </c>
      <c r="P7017" s="18">
        <v>1875</v>
      </c>
      <c r="Q7017" s="15"/>
      <c r="R7017" t="s" s="16">
        <f>HYPERLINK("http://secrets.rutgers.edu:8080/data/asl-ftp/asllvd/demos/verify_start_end_handshape_annotations//test_auto_move//signs_mov_separ_signers/Dana_1578.mov","MOV")</f>
        <v>21</v>
      </c>
    </row>
    <row r="7018" s="2" customFormat="1" ht="13.5" customHeight="1">
      <c r="B7018" t="s" s="8">
        <v>2424</v>
      </c>
      <c r="C7018" t="s" s="9">
        <v>14</v>
      </c>
      <c r="D7018" t="s" s="8">
        <v>14</v>
      </c>
      <c r="E7018" t="s" s="9">
        <v>14</v>
      </c>
      <c r="F7018" t="s" s="10">
        <v>14</v>
      </c>
      <c r="G7018" t="s" s="11">
        <v>14</v>
      </c>
      <c r="H7018" t="s" s="10">
        <v>14</v>
      </c>
      <c r="I7018" t="s" s="11">
        <v>14</v>
      </c>
      <c r="J7018" t="s" s="11">
        <v>14</v>
      </c>
      <c r="K7018" t="s" s="12">
        <v>14</v>
      </c>
      <c r="L7018" t="s" s="12">
        <v>14</v>
      </c>
      <c r="M7018" t="s" s="10">
        <v>14</v>
      </c>
      <c r="N7018" t="s" s="11">
        <v>14</v>
      </c>
      <c r="O7018" t="s" s="8">
        <v>14</v>
      </c>
      <c r="P7018" t="s" s="8">
        <v>14</v>
      </c>
      <c r="Q7018" t="s" s="12">
        <v>14</v>
      </c>
      <c r="R7018" t="s" s="12">
        <v>14</v>
      </c>
    </row>
    <row r="7019" s="2" customFormat="1" ht="13.5" customHeight="1">
      <c r="B7019" s="13"/>
      <c r="C7019" t="s" s="9">
        <v>16</v>
      </c>
      <c r="D7019" t="s" s="8">
        <v>2424</v>
      </c>
      <c r="E7019" t="s" s="9">
        <v>2424</v>
      </c>
      <c r="F7019" t="s" s="10">
        <v>757</v>
      </c>
      <c r="G7019" t="s" s="11">
        <v>73</v>
      </c>
      <c r="H7019" t="s" s="10">
        <v>757</v>
      </c>
      <c r="I7019" t="s" s="11">
        <v>73</v>
      </c>
      <c r="J7019" t="s" s="11">
        <v>20</v>
      </c>
      <c r="K7019" t="s" s="16">
        <f>HYPERLINK("http://csr.bu.edu/ftp/asl/asllvd/demos/verify_start_end_handshape_annotations//test_auto_move//signs_mov/1581.mov","MOV")</f>
        <v>21</v>
      </c>
      <c r="L7019" t="s" s="16">
        <f>HYPERLINK("http://csr.bu.edu/ftp/asl/asllvd/demos/verify_start_end_handshape_annotations//test_auto_move//signs_mov_separ_signers/Liz_1581.mov","MOV")</f>
        <v>21</v>
      </c>
      <c r="M7019" t="s" s="10">
        <v>88</v>
      </c>
      <c r="N7019" s="17">
        <v>10</v>
      </c>
      <c r="O7019" s="18">
        <v>985</v>
      </c>
      <c r="P7019" s="18">
        <v>1041</v>
      </c>
      <c r="Q7019" t="s" s="16">
        <f>HYPERLINK("http://secrets.rutgers.edu:8080/data/asl-ftp/asllvd/demos/verify_start_end_handshape_annotations//test_auto_move//signs_mov/1581.mov","MOV")</f>
        <v>21</v>
      </c>
      <c r="R7019" t="s" s="16">
        <f>HYPERLINK("http://secrets.rutgers.edu:8080/data/asl-ftp/asllvd/demos/verify_start_end_handshape_annotations//test_auto_move//signs_mov_separ_signers/Liz_1581.mov","MOV")</f>
        <v>21</v>
      </c>
    </row>
    <row r="7020" s="2" customFormat="1" ht="13.5" customHeight="1">
      <c r="B7020" s="13"/>
      <c r="C7020" t="s" s="9">
        <v>30</v>
      </c>
      <c r="D7020" t="s" s="8">
        <v>2424</v>
      </c>
      <c r="E7020" t="s" s="9">
        <v>2424</v>
      </c>
      <c r="F7020" t="s" s="10">
        <v>2308</v>
      </c>
      <c r="G7020" t="s" s="11">
        <v>73</v>
      </c>
      <c r="H7020" t="s" s="10">
        <v>2308</v>
      </c>
      <c r="I7020" t="s" s="11">
        <v>73</v>
      </c>
      <c r="J7020" t="s" s="11">
        <v>20</v>
      </c>
      <c r="K7020" s="15"/>
      <c r="L7020" t="s" s="16">
        <f>HYPERLINK("http://csr.bu.edu/ftp/asl/asllvd/demos/verify_start_end_handshape_annotations//test_auto_move//signs_mov_separ_signers/Brady_1581.mov","MOV")</f>
        <v>21</v>
      </c>
      <c r="M7020" t="s" s="10">
        <v>40</v>
      </c>
      <c r="N7020" s="17">
        <v>5</v>
      </c>
      <c r="O7020" s="18">
        <v>3214</v>
      </c>
      <c r="P7020" s="18">
        <v>3244</v>
      </c>
      <c r="Q7020" s="15"/>
      <c r="R7020" t="s" s="16">
        <f>HYPERLINK("http://secrets.rutgers.edu:8080/data/asl-ftp/asllvd/demos/verify_start_end_handshape_annotations//test_auto_move//signs_mov_separ_signers/Brady_1581.mov","MOV")</f>
        <v>21</v>
      </c>
    </row>
    <row r="7021" s="2" customFormat="1" ht="13.5" customHeight="1">
      <c r="B7021" t="s" s="8">
        <v>2425</v>
      </c>
      <c r="C7021" t="s" s="9">
        <v>14</v>
      </c>
      <c r="D7021" t="s" s="8">
        <v>14</v>
      </c>
      <c r="E7021" t="s" s="9">
        <v>14</v>
      </c>
      <c r="F7021" t="s" s="10">
        <v>14</v>
      </c>
      <c r="G7021" t="s" s="11">
        <v>14</v>
      </c>
      <c r="H7021" t="s" s="10">
        <v>14</v>
      </c>
      <c r="I7021" t="s" s="11">
        <v>14</v>
      </c>
      <c r="J7021" t="s" s="11">
        <v>14</v>
      </c>
      <c r="K7021" t="s" s="12">
        <v>14</v>
      </c>
      <c r="L7021" t="s" s="12">
        <v>14</v>
      </c>
      <c r="M7021" t="s" s="10">
        <v>14</v>
      </c>
      <c r="N7021" t="s" s="11">
        <v>14</v>
      </c>
      <c r="O7021" t="s" s="8">
        <v>14</v>
      </c>
      <c r="P7021" t="s" s="8">
        <v>14</v>
      </c>
      <c r="Q7021" t="s" s="12">
        <v>14</v>
      </c>
      <c r="R7021" t="s" s="12">
        <v>14</v>
      </c>
    </row>
    <row r="7022" s="2" customFormat="1" ht="13.5" customHeight="1">
      <c r="B7022" s="13"/>
      <c r="C7022" t="s" s="9">
        <v>16</v>
      </c>
      <c r="D7022" t="s" s="8">
        <v>2425</v>
      </c>
      <c r="E7022" t="s" s="9">
        <v>2425</v>
      </c>
      <c r="F7022" s="19">
        <v>10</v>
      </c>
      <c r="G7022" s="17">
        <v>10</v>
      </c>
      <c r="H7022" s="19">
        <v>10</v>
      </c>
      <c r="I7022" s="17">
        <v>10</v>
      </c>
      <c r="J7022" t="s" s="11">
        <v>20</v>
      </c>
      <c r="K7022" s="15"/>
      <c r="L7022" t="s" s="16">
        <f>HYPERLINK("http://csr.bu.edu/ftp/asl/asllvd/demos/verify_start_end_handshape_annotations//test_auto_move//signs_mov_separ_signers/Liz_1586.mov","MOV")</f>
        <v>21</v>
      </c>
      <c r="M7022" t="s" s="10">
        <v>88</v>
      </c>
      <c r="N7022" s="17">
        <v>10</v>
      </c>
      <c r="O7022" s="18">
        <v>3242</v>
      </c>
      <c r="P7022" s="18">
        <v>3272</v>
      </c>
      <c r="Q7022" s="15"/>
      <c r="R7022" t="s" s="16">
        <f>HYPERLINK("http://secrets.rutgers.edu:8080/data/asl-ftp/asllvd/demos/verify_start_end_handshape_annotations//test_auto_move//signs_mov_separ_signers/Liz_1586.mov","MOV")</f>
        <v>21</v>
      </c>
    </row>
    <row r="7023" s="2" customFormat="1" ht="13.5" customHeight="1">
      <c r="B7023" s="13"/>
      <c r="C7023" t="s" s="9">
        <v>23</v>
      </c>
      <c r="D7023" t="s" s="8">
        <v>2425</v>
      </c>
      <c r="E7023" t="s" s="9">
        <v>2425</v>
      </c>
      <c r="F7023" s="19">
        <v>10</v>
      </c>
      <c r="G7023" s="17">
        <v>10</v>
      </c>
      <c r="H7023" s="19">
        <v>10</v>
      </c>
      <c r="I7023" s="17">
        <v>10</v>
      </c>
      <c r="J7023" t="s" s="11">
        <v>20</v>
      </c>
      <c r="K7023" s="15"/>
      <c r="L7023" t="s" s="16">
        <f>HYPERLINK("http://csr.bu.edu/ftp/asl/asllvd/demos/verify_start_end_handshape_annotations//test_auto_move//signs_mov_separ_signers/Tyler_1586.mov","MOV")</f>
        <v>21</v>
      </c>
      <c r="M7023" t="s" s="10">
        <v>47</v>
      </c>
      <c r="N7023" s="17">
        <v>19</v>
      </c>
      <c r="O7023" s="18">
        <v>3462</v>
      </c>
      <c r="P7023" s="18">
        <v>3485</v>
      </c>
      <c r="Q7023" s="15"/>
      <c r="R7023" t="s" s="16">
        <f>HYPERLINK("http://secrets.rutgers.edu:8080/data/asl-ftp/asllvd/demos/verify_start_end_handshape_annotations//test_auto_move//signs_mov_separ_signers/Tyler_1586.mov","MOV")</f>
        <v>21</v>
      </c>
    </row>
    <row r="7024" s="2" customFormat="1" ht="13.5" customHeight="1">
      <c r="B7024" s="13"/>
      <c r="C7024" t="s" s="9">
        <v>30</v>
      </c>
      <c r="D7024" t="s" s="8">
        <v>2425</v>
      </c>
      <c r="E7024" t="s" s="9">
        <v>2425</v>
      </c>
      <c r="F7024" s="19">
        <v>10</v>
      </c>
      <c r="G7024" s="17">
        <v>10</v>
      </c>
      <c r="H7024" s="19">
        <v>10</v>
      </c>
      <c r="I7024" s="17">
        <v>10</v>
      </c>
      <c r="J7024" t="s" s="11">
        <v>20</v>
      </c>
      <c r="K7024" t="s" s="16">
        <f>HYPERLINK("http://csr.bu.edu/ftp/asl/asllvd/demos/verify_start_end_handshape_annotations//test_auto_move//signs_mov/1586.mov","MOV")</f>
        <v>21</v>
      </c>
      <c r="L7024" t="s" s="16">
        <f>HYPERLINK("http://csr.bu.edu/ftp/asl/asllvd/demos/verify_start_end_handshape_annotations//test_auto_move//signs_mov_separ_signers/Brady_1586.mov","MOV")</f>
        <v>21</v>
      </c>
      <c r="M7024" t="s" s="10">
        <v>40</v>
      </c>
      <c r="N7024" s="17">
        <v>6</v>
      </c>
      <c r="O7024" s="18">
        <v>1544</v>
      </c>
      <c r="P7024" s="18">
        <v>1560</v>
      </c>
      <c r="Q7024" t="s" s="16">
        <f>HYPERLINK("http://secrets.rutgers.edu:8080/data/asl-ftp/asllvd/demos/verify_start_end_handshape_annotations//test_auto_move//signs_mov/1586.mov","MOV")</f>
        <v>21</v>
      </c>
      <c r="R7024" t="s" s="16">
        <f>HYPERLINK("http://secrets.rutgers.edu:8080/data/asl-ftp/asllvd/demos/verify_start_end_handshape_annotations//test_auto_move//signs_mov_separ_signers/Brady_1586.mov","MOV")</f>
        <v>21</v>
      </c>
    </row>
    <row r="7025" s="2" customFormat="1" ht="13.5" customHeight="1">
      <c r="B7025" s="13"/>
      <c r="C7025" t="s" s="9">
        <v>41</v>
      </c>
      <c r="D7025" t="s" s="8">
        <v>2425</v>
      </c>
      <c r="E7025" t="s" s="9">
        <v>2425</v>
      </c>
      <c r="F7025" s="19">
        <v>10</v>
      </c>
      <c r="G7025" s="17">
        <v>10</v>
      </c>
      <c r="H7025" s="19">
        <v>10</v>
      </c>
      <c r="I7025" s="17">
        <v>10</v>
      </c>
      <c r="J7025" t="s" s="11">
        <v>20</v>
      </c>
      <c r="K7025" s="15"/>
      <c r="L7025" t="s" s="16">
        <f>HYPERLINK("http://csr.bu.edu/ftp/asl/asllvd/demos/verify_start_end_handshape_annotations//test_auto_move//signs_mov_separ_signers/Lana_1586.mov","MOV")</f>
        <v>21</v>
      </c>
      <c r="M7025" t="s" s="10">
        <v>42</v>
      </c>
      <c r="N7025" s="17">
        <v>18</v>
      </c>
      <c r="O7025" s="18">
        <v>2167</v>
      </c>
      <c r="P7025" s="18">
        <v>2186</v>
      </c>
      <c r="Q7025" s="15"/>
      <c r="R7025" t="s" s="16">
        <f>HYPERLINK("http://secrets.rutgers.edu:8080/data/asl-ftp/asllvd/demos/verify_start_end_handshape_annotations//test_auto_move//signs_mov_separ_signers/Lana_1586.mov","MOV")</f>
        <v>21</v>
      </c>
    </row>
    <row r="7026" s="2" customFormat="1" ht="13.5" customHeight="1">
      <c r="B7026" s="13"/>
      <c r="C7026" t="s" s="9">
        <v>43</v>
      </c>
      <c r="D7026" t="s" s="8">
        <v>2425</v>
      </c>
      <c r="E7026" t="s" s="9">
        <v>2425</v>
      </c>
      <c r="F7026" s="19">
        <v>10</v>
      </c>
      <c r="G7026" s="17">
        <v>10</v>
      </c>
      <c r="H7026" s="19">
        <v>10</v>
      </c>
      <c r="I7026" s="17">
        <v>10</v>
      </c>
      <c r="J7026" t="s" s="11">
        <v>20</v>
      </c>
      <c r="K7026" s="15"/>
      <c r="L7026" t="s" s="16">
        <f>HYPERLINK("http://csr.bu.edu/ftp/asl/asllvd/demos/verify_start_end_handshape_annotations//test_auto_move//signs_mov_separ_signers/Dana_1586.mov","MOV")</f>
        <v>21</v>
      </c>
      <c r="M7026" t="s" s="10">
        <v>44</v>
      </c>
      <c r="N7026" s="17">
        <v>20</v>
      </c>
      <c r="O7026" s="18">
        <v>2114</v>
      </c>
      <c r="P7026" s="18">
        <v>2154</v>
      </c>
      <c r="Q7026" s="15"/>
      <c r="R7026" t="s" s="16">
        <f>HYPERLINK("http://secrets.rutgers.edu:8080/data/asl-ftp/asllvd/demos/verify_start_end_handshape_annotations//test_auto_move//signs_mov_separ_signers/Dana_1586.mov","MOV")</f>
        <v>21</v>
      </c>
    </row>
    <row r="7027" s="2" customFormat="1" ht="13.5" customHeight="1">
      <c r="B7027" t="s" s="8">
        <v>2426</v>
      </c>
      <c r="C7027" t="s" s="9">
        <v>14</v>
      </c>
      <c r="D7027" t="s" s="8">
        <v>14</v>
      </c>
      <c r="E7027" t="s" s="9">
        <v>14</v>
      </c>
      <c r="F7027" t="s" s="10">
        <v>14</v>
      </c>
      <c r="G7027" t="s" s="11">
        <v>14</v>
      </c>
      <c r="H7027" t="s" s="10">
        <v>14</v>
      </c>
      <c r="I7027" t="s" s="11">
        <v>14</v>
      </c>
      <c r="J7027" t="s" s="11">
        <v>14</v>
      </c>
      <c r="K7027" t="s" s="12">
        <v>14</v>
      </c>
      <c r="L7027" t="s" s="12">
        <v>14</v>
      </c>
      <c r="M7027" t="s" s="10">
        <v>14</v>
      </c>
      <c r="N7027" t="s" s="11">
        <v>14</v>
      </c>
      <c r="O7027" t="s" s="8">
        <v>14</v>
      </c>
      <c r="P7027" t="s" s="8">
        <v>14</v>
      </c>
      <c r="Q7027" t="s" s="12">
        <v>14</v>
      </c>
      <c r="R7027" t="s" s="12">
        <v>14</v>
      </c>
    </row>
    <row r="7028" s="2" customFormat="1" ht="13.5" customHeight="1">
      <c r="B7028" s="13"/>
      <c r="C7028" t="s" s="9">
        <v>16</v>
      </c>
      <c r="D7028" t="s" s="8">
        <v>2426</v>
      </c>
      <c r="E7028" t="s" s="9">
        <v>2427</v>
      </c>
      <c r="F7028" s="19">
        <v>5</v>
      </c>
      <c r="G7028" s="14"/>
      <c r="H7028" s="19">
        <v>5</v>
      </c>
      <c r="I7028" s="14"/>
      <c r="J7028" t="s" s="11">
        <v>20</v>
      </c>
      <c r="K7028" s="15"/>
      <c r="L7028" t="s" s="16">
        <f>HYPERLINK("http://csr.bu.edu/ftp/asl/asllvd/demos/verify_start_end_handshape_annotations//test_auto_move//signs_mov_separ_signers/Liz_1587.mov","MOV")</f>
        <v>21</v>
      </c>
      <c r="M7028" t="s" s="10">
        <v>88</v>
      </c>
      <c r="N7028" s="17">
        <v>10</v>
      </c>
      <c r="O7028" s="18">
        <v>3491</v>
      </c>
      <c r="P7028" s="18">
        <v>3530</v>
      </c>
      <c r="Q7028" s="15"/>
      <c r="R7028" t="s" s="16">
        <f>HYPERLINK("http://secrets.rutgers.edu:8080/data/asl-ftp/asllvd/demos/verify_start_end_handshape_annotations//test_auto_move//signs_mov_separ_signers/Liz_1587.mov","MOV")</f>
        <v>21</v>
      </c>
    </row>
    <row r="7029" s="2" customFormat="1" ht="13.5" customHeight="1">
      <c r="B7029" s="13"/>
      <c r="C7029" t="s" s="9">
        <v>30</v>
      </c>
      <c r="D7029" t="s" s="8">
        <v>2426</v>
      </c>
      <c r="E7029" t="s" s="9">
        <v>2428</v>
      </c>
      <c r="F7029" s="19">
        <v>5</v>
      </c>
      <c r="G7029" s="14"/>
      <c r="H7029" s="19">
        <v>5</v>
      </c>
      <c r="I7029" s="14"/>
      <c r="J7029" t="s" s="11">
        <v>20</v>
      </c>
      <c r="K7029" t="s" s="16">
        <f>HYPERLINK("http://csr.bu.edu/ftp/asl/asllvd/demos/verify_start_end_handshape_annotations//test_auto_move//signs_mov/1587.mov","MOV")</f>
        <v>21</v>
      </c>
      <c r="L7029" t="s" s="16">
        <f>HYPERLINK("http://csr.bu.edu/ftp/asl/asllvd/demos/verify_start_end_handshape_annotations//test_auto_move//signs_mov_separ_signers/Brady_1587.mov","MOV")</f>
        <v>21</v>
      </c>
      <c r="M7029" t="s" s="10">
        <v>40</v>
      </c>
      <c r="N7029" s="17">
        <v>6</v>
      </c>
      <c r="O7029" s="18">
        <v>1112</v>
      </c>
      <c r="P7029" s="18">
        <v>1140</v>
      </c>
      <c r="Q7029" t="s" s="16">
        <f>HYPERLINK("http://secrets.rutgers.edu:8080/data/asl-ftp/asllvd/demos/verify_start_end_handshape_annotations//test_auto_move//signs_mov/1587.mov","MOV")</f>
        <v>21</v>
      </c>
      <c r="R7029" t="s" s="16">
        <f>HYPERLINK("http://secrets.rutgers.edu:8080/data/asl-ftp/asllvd/demos/verify_start_end_handshape_annotations//test_auto_move//signs_mov_separ_signers/Brady_1587.mov","MOV")</f>
        <v>21</v>
      </c>
    </row>
    <row r="7030" s="2" customFormat="1" ht="13.5" customHeight="1">
      <c r="B7030" s="13"/>
      <c r="C7030" t="s" s="9">
        <v>43</v>
      </c>
      <c r="D7030" t="s" s="8">
        <v>2426</v>
      </c>
      <c r="E7030" t="s" s="9">
        <v>2427</v>
      </c>
      <c r="F7030" s="19">
        <v>5</v>
      </c>
      <c r="G7030" s="14"/>
      <c r="H7030" s="19">
        <v>5</v>
      </c>
      <c r="I7030" s="14"/>
      <c r="J7030" t="s" s="11">
        <v>20</v>
      </c>
      <c r="K7030" s="15"/>
      <c r="L7030" t="s" s="16">
        <f>HYPERLINK("http://csr.bu.edu/ftp/asl/asllvd/demos/verify_start_end_handshape_annotations//test_auto_move//signs_mov_separ_signers/Dana_1587.mov","MOV")</f>
        <v>21</v>
      </c>
      <c r="M7030" t="s" s="10">
        <v>44</v>
      </c>
      <c r="N7030" s="17">
        <v>21</v>
      </c>
      <c r="O7030" s="18">
        <v>568</v>
      </c>
      <c r="P7030" s="18">
        <v>621</v>
      </c>
      <c r="Q7030" s="15"/>
      <c r="R7030" t="s" s="16">
        <f>HYPERLINK("http://secrets.rutgers.edu:8080/data/asl-ftp/asllvd/demos/verify_start_end_handshape_annotations//test_auto_move//signs_mov_separ_signers/Dana_1587.mov","MOV")</f>
        <v>21</v>
      </c>
    </row>
    <row r="7031" s="2" customFormat="1" ht="13.5" customHeight="1">
      <c r="B7031" t="s" s="8">
        <v>52</v>
      </c>
      <c r="C7031" t="s" s="9">
        <v>53</v>
      </c>
      <c r="D7031" t="s" s="8">
        <v>53</v>
      </c>
      <c r="E7031" t="s" s="9">
        <v>53</v>
      </c>
      <c r="F7031" t="s" s="10">
        <v>53</v>
      </c>
      <c r="G7031" t="s" s="11">
        <v>53</v>
      </c>
      <c r="H7031" t="s" s="10">
        <v>53</v>
      </c>
      <c r="I7031" t="s" s="11">
        <v>53</v>
      </c>
      <c r="J7031" t="s" s="11">
        <v>53</v>
      </c>
      <c r="K7031" t="s" s="12">
        <v>53</v>
      </c>
      <c r="L7031" t="s" s="12">
        <v>53</v>
      </c>
      <c r="M7031" t="s" s="10">
        <v>53</v>
      </c>
      <c r="N7031" t="s" s="11">
        <v>53</v>
      </c>
      <c r="O7031" t="s" s="8">
        <v>53</v>
      </c>
      <c r="P7031" t="s" s="8">
        <v>53</v>
      </c>
      <c r="Q7031" t="s" s="12">
        <v>53</v>
      </c>
      <c r="R7031" t="s" s="12">
        <v>53</v>
      </c>
    </row>
    <row r="7032" s="2" customFormat="1" ht="13.5" customHeight="1">
      <c r="B7032" s="13"/>
      <c r="C7032" t="s" s="9">
        <v>23</v>
      </c>
      <c r="D7032" t="s" s="8">
        <v>2426</v>
      </c>
      <c r="E7032" t="s" s="9">
        <v>2429</v>
      </c>
      <c r="F7032" s="19">
        <v>5</v>
      </c>
      <c r="G7032" s="14"/>
      <c r="H7032" s="19">
        <v>5</v>
      </c>
      <c r="I7032" s="14"/>
      <c r="J7032" t="s" s="11">
        <v>20</v>
      </c>
      <c r="K7032" t="s" s="16">
        <f>HYPERLINK("http://csr.bu.edu/ftp/asl/asllvd/demos/verify_start_end_handshape_annotations//test_auto_move//signs_mov/5262.mov","MOV")</f>
        <v>21</v>
      </c>
      <c r="L7032" t="s" s="16">
        <f>HYPERLINK("http://csr.bu.edu/ftp/asl/asllvd/demos/verify_start_end_handshape_annotations//test_auto_move//signs_mov_separ_signers/Tyler_5262.mov","MOV")</f>
        <v>21</v>
      </c>
      <c r="M7032" t="s" s="10">
        <v>47</v>
      </c>
      <c r="N7032" s="17">
        <v>19</v>
      </c>
      <c r="O7032" s="18">
        <v>3706</v>
      </c>
      <c r="P7032" s="18">
        <v>3740</v>
      </c>
      <c r="Q7032" t="s" s="16">
        <f>HYPERLINK("http://secrets.rutgers.edu:8080/data/asl-ftp/asllvd/demos/verify_start_end_handshape_annotations//test_auto_move//signs_mov/5262.mov","MOV")</f>
        <v>21</v>
      </c>
      <c r="R7032" t="s" s="16">
        <f>HYPERLINK("http://secrets.rutgers.edu:8080/data/asl-ftp/asllvd/demos/verify_start_end_handshape_annotations//test_auto_move//signs_mov_separ_signers/Tyler_5262.mov","MOV")</f>
        <v>21</v>
      </c>
    </row>
    <row r="7033" s="2" customFormat="1" ht="13.5" customHeight="1">
      <c r="B7033" s="13"/>
      <c r="C7033" t="s" s="9">
        <v>41</v>
      </c>
      <c r="D7033" t="s" s="8">
        <v>2426</v>
      </c>
      <c r="E7033" t="s" s="9">
        <v>2429</v>
      </c>
      <c r="F7033" s="19">
        <v>5</v>
      </c>
      <c r="G7033" s="14"/>
      <c r="H7033" s="19">
        <v>5</v>
      </c>
      <c r="I7033" s="14"/>
      <c r="J7033" t="s" s="11">
        <v>20</v>
      </c>
      <c r="K7033" s="15"/>
      <c r="L7033" t="s" s="16">
        <f>HYPERLINK("http://csr.bu.edu/ftp/asl/asllvd/demos/verify_start_end_handshape_annotations//test_auto_move//signs_mov_separ_signers/Lana_5262.mov","MOV")</f>
        <v>21</v>
      </c>
      <c r="M7033" t="s" s="10">
        <v>42</v>
      </c>
      <c r="N7033" s="17">
        <v>19</v>
      </c>
      <c r="O7033" s="18">
        <v>660</v>
      </c>
      <c r="P7033" s="18">
        <v>680</v>
      </c>
      <c r="Q7033" s="15"/>
      <c r="R7033" t="s" s="16">
        <f>HYPERLINK("http://secrets.rutgers.edu:8080/data/asl-ftp/asllvd/demos/verify_start_end_handshape_annotations//test_auto_move//signs_mov_separ_signers/Lana_5262.mov","MOV")</f>
        <v>21</v>
      </c>
    </row>
    <row r="7034" s="2" customFormat="1" ht="13.5" customHeight="1">
      <c r="B7034" t="s" s="8">
        <v>2430</v>
      </c>
      <c r="C7034" t="s" s="9">
        <v>14</v>
      </c>
      <c r="D7034" t="s" s="8">
        <v>14</v>
      </c>
      <c r="E7034" t="s" s="9">
        <v>14</v>
      </c>
      <c r="F7034" t="s" s="10">
        <v>14</v>
      </c>
      <c r="G7034" t="s" s="11">
        <v>14</v>
      </c>
      <c r="H7034" t="s" s="10">
        <v>14</v>
      </c>
      <c r="I7034" t="s" s="11">
        <v>14</v>
      </c>
      <c r="J7034" t="s" s="11">
        <v>14</v>
      </c>
      <c r="K7034" t="s" s="12">
        <v>14</v>
      </c>
      <c r="L7034" t="s" s="12">
        <v>14</v>
      </c>
      <c r="M7034" t="s" s="10">
        <v>14</v>
      </c>
      <c r="N7034" t="s" s="11">
        <v>14</v>
      </c>
      <c r="O7034" t="s" s="8">
        <v>14</v>
      </c>
      <c r="P7034" t="s" s="8">
        <v>14</v>
      </c>
      <c r="Q7034" t="s" s="12">
        <v>14</v>
      </c>
      <c r="R7034" t="s" s="12">
        <v>14</v>
      </c>
    </row>
    <row r="7035" s="2" customFormat="1" ht="13.5" customHeight="1">
      <c r="B7035" s="13"/>
      <c r="C7035" t="s" s="9">
        <v>16</v>
      </c>
      <c r="D7035" t="s" s="8">
        <v>2430</v>
      </c>
      <c r="E7035" t="s" s="9">
        <v>2431</v>
      </c>
      <c r="F7035" s="19">
        <v>5</v>
      </c>
      <c r="G7035" s="14"/>
      <c r="H7035" s="19">
        <v>5</v>
      </c>
      <c r="I7035" s="14"/>
      <c r="J7035" t="s" s="11">
        <v>20</v>
      </c>
      <c r="K7035" s="15"/>
      <c r="L7035" t="s" s="16">
        <f>HYPERLINK("http://csr.bu.edu/ftp/asl/asllvd/demos/verify_start_end_handshape_annotations//test_auto_move//signs_mov_separ_signers/Liz_15704.mov","MOV")</f>
        <v>21</v>
      </c>
      <c r="M7035" t="s" s="10">
        <v>84</v>
      </c>
      <c r="N7035" s="17">
        <v>39</v>
      </c>
      <c r="O7035" s="18">
        <v>1320</v>
      </c>
      <c r="P7035" s="18">
        <v>1345</v>
      </c>
      <c r="Q7035" s="15"/>
      <c r="R7035" t="s" s="16">
        <f>HYPERLINK("http://secrets.rutgers.edu:8080/data/asl-ftp/asllvd/demos/verify_start_end_handshape_annotations//test_auto_move//signs_mov_separ_signers/Liz_15704.mov","MOV")</f>
        <v>21</v>
      </c>
    </row>
    <row r="7036" s="2" customFormat="1" ht="13.5" customHeight="1">
      <c r="B7036" s="13"/>
      <c r="C7036" t="s" s="9">
        <v>27</v>
      </c>
      <c r="D7036" t="s" s="8">
        <v>2430</v>
      </c>
      <c r="E7036" t="s" s="9">
        <v>2431</v>
      </c>
      <c r="F7036" s="19">
        <v>5</v>
      </c>
      <c r="G7036" s="14"/>
      <c r="H7036" s="19">
        <v>5</v>
      </c>
      <c r="I7036" s="14"/>
      <c r="J7036" t="s" s="11">
        <v>20</v>
      </c>
      <c r="K7036" t="s" s="16">
        <f>HYPERLINK("http://csr.bu.edu/ftp/asl/asllvd/demos/verify_start_end_handshape_annotations//test_auto_move//signs_mov/15704.mov","MOV")</f>
        <v>21</v>
      </c>
      <c r="L7036" t="s" s="16">
        <f>HYPERLINK("http://csr.bu.edu/ftp/asl/asllvd/demos/verify_start_end_handshape_annotations//test_auto_move//signs_mov_separ_signers/Naomi_15704.mov","MOV")</f>
        <v>21</v>
      </c>
      <c r="M7036" t="s" s="10">
        <v>86</v>
      </c>
      <c r="N7036" s="17">
        <v>39</v>
      </c>
      <c r="O7036" s="18">
        <v>1140</v>
      </c>
      <c r="P7036" s="18">
        <v>1162</v>
      </c>
      <c r="Q7036" t="s" s="16">
        <f>HYPERLINK("http://secrets.rutgers.edu:8080/data/asl-ftp/asllvd/demos/verify_start_end_handshape_annotations//test_auto_move//signs_mov/15704.mov","MOV")</f>
        <v>21</v>
      </c>
      <c r="R7036" t="s" s="16">
        <f>HYPERLINK("http://secrets.rutgers.edu:8080/data/asl-ftp/asllvd/demos/verify_start_end_handshape_annotations//test_auto_move//signs_mov_separ_signers/Naomi_15704.mov","MOV")</f>
        <v>21</v>
      </c>
    </row>
    <row r="7037" s="2" customFormat="1" ht="13.5" customHeight="1">
      <c r="B7037" s="13"/>
      <c r="C7037" t="s" s="9">
        <v>30</v>
      </c>
      <c r="D7037" t="s" s="8">
        <v>2430</v>
      </c>
      <c r="E7037" t="s" s="9">
        <v>2431</v>
      </c>
      <c r="F7037" s="19">
        <v>5</v>
      </c>
      <c r="G7037" s="14"/>
      <c r="H7037" s="19">
        <v>5</v>
      </c>
      <c r="I7037" s="14"/>
      <c r="J7037" t="s" s="11">
        <v>20</v>
      </c>
      <c r="K7037" s="15"/>
      <c r="L7037" t="s" s="16">
        <f>HYPERLINK("http://csr.bu.edu/ftp/asl/asllvd/demos/verify_start_end_handshape_annotations//test_auto_move//signs_mov_separ_signers/Brady_15704.mov","MOV")</f>
        <v>21</v>
      </c>
      <c r="M7037" t="s" s="10">
        <v>39</v>
      </c>
      <c r="N7037" s="17">
        <v>16</v>
      </c>
      <c r="O7037" s="18">
        <v>5637</v>
      </c>
      <c r="P7037" s="18">
        <v>5653</v>
      </c>
      <c r="Q7037" s="15"/>
      <c r="R7037" t="s" s="16">
        <f>HYPERLINK("http://secrets.rutgers.edu:8080/data/asl-ftp/asllvd/demos/verify_start_end_handshape_annotations//test_auto_move//signs_mov_separ_signers/Brady_15704.mov","MOV")</f>
        <v>21</v>
      </c>
    </row>
    <row r="7038" s="2" customFormat="1" ht="13.5" customHeight="1">
      <c r="B7038" s="13"/>
      <c r="C7038" t="s" s="9">
        <v>43</v>
      </c>
      <c r="D7038" t="s" s="8">
        <v>2430</v>
      </c>
      <c r="E7038" t="s" s="9">
        <v>2431</v>
      </c>
      <c r="F7038" s="19">
        <v>5</v>
      </c>
      <c r="G7038" s="14"/>
      <c r="H7038" s="19">
        <v>5</v>
      </c>
      <c r="I7038" s="14"/>
      <c r="J7038" t="s" s="11">
        <v>20</v>
      </c>
      <c r="K7038" s="15"/>
      <c r="L7038" t="s" s="16">
        <f>HYPERLINK("http://csr.bu.edu/ftp/asl/asllvd/demos/verify_start_end_handshape_annotations//test_auto_move//signs_mov_separ_signers/Dana_15704.mov","MOV")</f>
        <v>21</v>
      </c>
      <c r="M7038" t="s" s="10">
        <v>44</v>
      </c>
      <c r="N7038" s="17">
        <v>13</v>
      </c>
      <c r="O7038" s="18">
        <v>1138</v>
      </c>
      <c r="P7038" s="18">
        <v>1182</v>
      </c>
      <c r="Q7038" s="15"/>
      <c r="R7038" t="s" s="16">
        <f>HYPERLINK("http://secrets.rutgers.edu:8080/data/asl-ftp/asllvd/demos/verify_start_end_handshape_annotations//test_auto_move//signs_mov_separ_signers/Dana_15704.mov","MOV")</f>
        <v>21</v>
      </c>
    </row>
    <row r="7039" s="2" customFormat="1" ht="13.5" customHeight="1">
      <c r="B7039" t="s" s="8">
        <v>52</v>
      </c>
      <c r="C7039" t="s" s="9">
        <v>53</v>
      </c>
      <c r="D7039" t="s" s="8">
        <v>53</v>
      </c>
      <c r="E7039" t="s" s="9">
        <v>53</v>
      </c>
      <c r="F7039" t="s" s="10">
        <v>53</v>
      </c>
      <c r="G7039" t="s" s="11">
        <v>53</v>
      </c>
      <c r="H7039" t="s" s="10">
        <v>53</v>
      </c>
      <c r="I7039" t="s" s="11">
        <v>53</v>
      </c>
      <c r="J7039" t="s" s="11">
        <v>53</v>
      </c>
      <c r="K7039" t="s" s="12">
        <v>53</v>
      </c>
      <c r="L7039" t="s" s="12">
        <v>53</v>
      </c>
      <c r="M7039" t="s" s="10">
        <v>53</v>
      </c>
      <c r="N7039" t="s" s="11">
        <v>53</v>
      </c>
      <c r="O7039" t="s" s="8">
        <v>53</v>
      </c>
      <c r="P7039" t="s" s="8">
        <v>53</v>
      </c>
      <c r="Q7039" t="s" s="12">
        <v>53</v>
      </c>
      <c r="R7039" t="s" s="12">
        <v>53</v>
      </c>
    </row>
    <row r="7040" s="2" customFormat="1" ht="13.5" customHeight="1">
      <c r="B7040" s="13"/>
      <c r="C7040" t="s" s="9">
        <v>23</v>
      </c>
      <c r="D7040" t="s" s="8">
        <v>2430</v>
      </c>
      <c r="E7040" t="s" s="9">
        <v>2432</v>
      </c>
      <c r="F7040" s="19">
        <v>5</v>
      </c>
      <c r="G7040" s="14"/>
      <c r="H7040" s="19">
        <v>5</v>
      </c>
      <c r="I7040" s="14"/>
      <c r="J7040" t="s" s="11">
        <v>20</v>
      </c>
      <c r="K7040" t="s" s="16">
        <f>HYPERLINK("http://csr.bu.edu/ftp/asl/asllvd/demos/verify_start_end_handshape_annotations//test_auto_move//signs_mov/15705.mov","MOV")</f>
        <v>21</v>
      </c>
      <c r="L7040" t="s" s="16">
        <f>HYPERLINK("http://csr.bu.edu/ftp/asl/asllvd/demos/verify_start_end_handshape_annotations//test_auto_move//signs_mov_separ_signers/Tyler_15705.mov","MOV")</f>
        <v>21</v>
      </c>
      <c r="M7040" t="s" s="10">
        <v>92</v>
      </c>
      <c r="N7040" s="17">
        <v>19</v>
      </c>
      <c r="O7040" s="18">
        <v>2487</v>
      </c>
      <c r="P7040" s="18">
        <v>2527</v>
      </c>
      <c r="Q7040" t="s" s="16">
        <f>HYPERLINK("http://secrets.rutgers.edu:8080/data/asl-ftp/asllvd/demos/verify_start_end_handshape_annotations//test_auto_move//signs_mov/15705.mov","MOV")</f>
        <v>21</v>
      </c>
      <c r="R7040" t="s" s="16">
        <f>HYPERLINK("http://secrets.rutgers.edu:8080/data/asl-ftp/asllvd/demos/verify_start_end_handshape_annotations//test_auto_move//signs_mov_separ_signers/Tyler_15705.mov","MOV")</f>
        <v>21</v>
      </c>
    </row>
    <row r="7041" s="2" customFormat="1" ht="13.5" customHeight="1">
      <c r="B7041" s="13"/>
      <c r="C7041" t="s" s="9">
        <v>41</v>
      </c>
      <c r="D7041" t="s" s="8">
        <v>2430</v>
      </c>
      <c r="E7041" t="s" s="9">
        <v>2432</v>
      </c>
      <c r="F7041" s="19">
        <v>5</v>
      </c>
      <c r="G7041" s="14"/>
      <c r="H7041" s="19">
        <v>5</v>
      </c>
      <c r="I7041" s="14"/>
      <c r="J7041" t="s" s="11">
        <v>20</v>
      </c>
      <c r="K7041" s="15"/>
      <c r="L7041" t="s" s="16">
        <f>HYPERLINK("http://csr.bu.edu/ftp/asl/asllvd/demos/verify_start_end_handshape_annotations//test_auto_move//signs_mov_separ_signers/Lana_15705.mov","MOV")</f>
        <v>21</v>
      </c>
      <c r="M7041" t="s" s="10">
        <v>42</v>
      </c>
      <c r="N7041" s="17">
        <v>9</v>
      </c>
      <c r="O7041" s="18">
        <v>1084</v>
      </c>
      <c r="P7041" s="18">
        <v>1116</v>
      </c>
      <c r="Q7041" s="15"/>
      <c r="R7041" t="s" s="16">
        <f>HYPERLINK("http://secrets.rutgers.edu:8080/data/asl-ftp/asllvd/demos/verify_start_end_handshape_annotations//test_auto_move//signs_mov_separ_signers/Lana_15705.mov","MOV")</f>
        <v>21</v>
      </c>
    </row>
    <row r="7042" s="2" customFormat="1" ht="13.5" customHeight="1">
      <c r="B7042" t="s" s="8">
        <v>2433</v>
      </c>
      <c r="C7042" t="s" s="9">
        <v>14</v>
      </c>
      <c r="D7042" t="s" s="8">
        <v>14</v>
      </c>
      <c r="E7042" t="s" s="9">
        <v>14</v>
      </c>
      <c r="F7042" t="s" s="10">
        <v>14</v>
      </c>
      <c r="G7042" t="s" s="11">
        <v>14</v>
      </c>
      <c r="H7042" t="s" s="10">
        <v>14</v>
      </c>
      <c r="I7042" t="s" s="11">
        <v>14</v>
      </c>
      <c r="J7042" t="s" s="11">
        <v>14</v>
      </c>
      <c r="K7042" t="s" s="12">
        <v>14</v>
      </c>
      <c r="L7042" t="s" s="12">
        <v>14</v>
      </c>
      <c r="M7042" t="s" s="10">
        <v>14</v>
      </c>
      <c r="N7042" t="s" s="11">
        <v>14</v>
      </c>
      <c r="O7042" t="s" s="8">
        <v>14</v>
      </c>
      <c r="P7042" t="s" s="8">
        <v>14</v>
      </c>
      <c r="Q7042" t="s" s="12">
        <v>14</v>
      </c>
      <c r="R7042" t="s" s="12">
        <v>14</v>
      </c>
    </row>
    <row r="7043" s="2" customFormat="1" ht="13.5" customHeight="1">
      <c r="B7043" s="13"/>
      <c r="C7043" t="s" s="9">
        <v>23</v>
      </c>
      <c r="D7043" t="s" s="8">
        <v>2433</v>
      </c>
      <c r="E7043" t="s" s="9">
        <v>2433</v>
      </c>
      <c r="F7043" s="19">
        <v>5</v>
      </c>
      <c r="G7043" s="17">
        <v>5</v>
      </c>
      <c r="H7043" s="19">
        <v>5</v>
      </c>
      <c r="I7043" s="17">
        <v>5</v>
      </c>
      <c r="J7043" t="s" s="11">
        <v>20</v>
      </c>
      <c r="K7043" t="s" s="16">
        <f>HYPERLINK("http://csr.bu.edu/ftp/asl/asllvd/demos/verify_start_end_handshape_annotations//test_auto_move//signs_mov/1590.mov","MOV")</f>
        <v>21</v>
      </c>
      <c r="L7043" t="s" s="16">
        <f>HYPERLINK("http://csr.bu.edu/ftp/asl/asllvd/demos/verify_start_end_handshape_annotations//test_auto_move//signs_mov_separ_signers/Tyler_1590.mov","MOV")</f>
        <v>21</v>
      </c>
      <c r="M7043" t="s" s="10">
        <v>47</v>
      </c>
      <c r="N7043" s="17">
        <v>19</v>
      </c>
      <c r="O7043" s="18">
        <v>5010</v>
      </c>
      <c r="P7043" s="18">
        <v>5068</v>
      </c>
      <c r="Q7043" t="s" s="16">
        <f>HYPERLINK("http://secrets.rutgers.edu:8080/data/asl-ftp/asllvd/demos/verify_start_end_handshape_annotations//test_auto_move//signs_mov/1590.mov","MOV")</f>
        <v>21</v>
      </c>
      <c r="R7043" t="s" s="16">
        <f>HYPERLINK("http://secrets.rutgers.edu:8080/data/asl-ftp/asllvd/demos/verify_start_end_handshape_annotations//test_auto_move//signs_mov_separ_signers/Tyler_1590.mov","MOV")</f>
        <v>21</v>
      </c>
    </row>
    <row r="7044" s="2" customFormat="1" ht="13.5" customHeight="1">
      <c r="B7044" t="s" s="8">
        <v>2434</v>
      </c>
      <c r="C7044" t="s" s="9">
        <v>14</v>
      </c>
      <c r="D7044" t="s" s="8">
        <v>14</v>
      </c>
      <c r="E7044" t="s" s="9">
        <v>14</v>
      </c>
      <c r="F7044" t="s" s="10">
        <v>14</v>
      </c>
      <c r="G7044" t="s" s="11">
        <v>14</v>
      </c>
      <c r="H7044" t="s" s="10">
        <v>14</v>
      </c>
      <c r="I7044" t="s" s="11">
        <v>14</v>
      </c>
      <c r="J7044" t="s" s="11">
        <v>14</v>
      </c>
      <c r="K7044" t="s" s="12">
        <v>14</v>
      </c>
      <c r="L7044" t="s" s="12">
        <v>14</v>
      </c>
      <c r="M7044" t="s" s="10">
        <v>14</v>
      </c>
      <c r="N7044" t="s" s="11">
        <v>14</v>
      </c>
      <c r="O7044" t="s" s="8">
        <v>14</v>
      </c>
      <c r="P7044" t="s" s="8">
        <v>14</v>
      </c>
      <c r="Q7044" t="s" s="12">
        <v>14</v>
      </c>
      <c r="R7044" t="s" s="12">
        <v>14</v>
      </c>
    </row>
    <row r="7045" s="2" customFormat="1" ht="13.5" customHeight="1">
      <c r="B7045" s="13"/>
      <c r="C7045" t="s" s="9">
        <v>16</v>
      </c>
      <c r="D7045" t="s" s="8">
        <v>2434</v>
      </c>
      <c r="E7045" t="s" s="9">
        <v>2435</v>
      </c>
      <c r="F7045" t="s" s="10">
        <v>68</v>
      </c>
      <c r="G7045" t="s" s="11">
        <v>68</v>
      </c>
      <c r="H7045" t="s" s="10">
        <v>68</v>
      </c>
      <c r="I7045" t="s" s="11">
        <v>68</v>
      </c>
      <c r="J7045" t="s" s="11">
        <v>20</v>
      </c>
      <c r="K7045" t="s" s="16">
        <f>HYPERLINK("http://csr.bu.edu/ftp/asl/asllvd/demos/verify_start_end_handshape_annotations//test_auto_move//signs_mov/1591.mov","MOV")</f>
        <v>21</v>
      </c>
      <c r="L7045" t="s" s="16">
        <f>HYPERLINK("http://csr.bu.edu/ftp/asl/asllvd/demos/verify_start_end_handshape_annotations//test_auto_move//signs_mov_separ_signers/Liz_1591.mov","MOV")</f>
        <v>21</v>
      </c>
      <c r="M7045" t="s" s="10">
        <v>88</v>
      </c>
      <c r="N7045" s="17">
        <v>11</v>
      </c>
      <c r="O7045" s="18">
        <v>540</v>
      </c>
      <c r="P7045" s="18">
        <v>595</v>
      </c>
      <c r="Q7045" t="s" s="16">
        <f>HYPERLINK("http://secrets.rutgers.edu:8080/data/asl-ftp/asllvd/demos/verify_start_end_handshape_annotations//test_auto_move//signs_mov/1591.mov","MOV")</f>
        <v>21</v>
      </c>
      <c r="R7045" t="s" s="16">
        <f>HYPERLINK("http://secrets.rutgers.edu:8080/data/asl-ftp/asllvd/demos/verify_start_end_handshape_annotations//test_auto_move//signs_mov_separ_signers/Liz_1591.mov","MOV")</f>
        <v>21</v>
      </c>
    </row>
    <row r="7046" s="2" customFormat="1" ht="13.5" customHeight="1">
      <c r="B7046" s="13"/>
      <c r="C7046" t="s" s="9">
        <v>23</v>
      </c>
      <c r="D7046" t="s" s="8">
        <v>2434</v>
      </c>
      <c r="E7046" t="s" s="9">
        <v>2436</v>
      </c>
      <c r="F7046" t="s" s="10">
        <v>68</v>
      </c>
      <c r="G7046" t="s" s="11">
        <v>68</v>
      </c>
      <c r="H7046" t="s" s="10">
        <v>68</v>
      </c>
      <c r="I7046" t="s" s="11">
        <v>68</v>
      </c>
      <c r="J7046" t="s" s="11">
        <v>20</v>
      </c>
      <c r="K7046" s="15"/>
      <c r="L7046" t="s" s="16">
        <f>HYPERLINK("http://csr.bu.edu/ftp/asl/asllvd/demos/verify_start_end_handshape_annotations//test_auto_move//signs_mov_separ_signers/Tyler_1591.mov","MOV")</f>
        <v>21</v>
      </c>
      <c r="M7046" t="s" s="10">
        <v>47</v>
      </c>
      <c r="N7046" s="17">
        <v>20</v>
      </c>
      <c r="O7046" s="18">
        <v>268</v>
      </c>
      <c r="P7046" s="18">
        <v>300</v>
      </c>
      <c r="Q7046" s="15"/>
      <c r="R7046" t="s" s="16">
        <f>HYPERLINK("http://secrets.rutgers.edu:8080/data/asl-ftp/asllvd/demos/verify_start_end_handshape_annotations//test_auto_move//signs_mov_separ_signers/Tyler_1591.mov","MOV")</f>
        <v>21</v>
      </c>
    </row>
    <row r="7047" s="2" customFormat="1" ht="13.5" customHeight="1">
      <c r="B7047" t="s" s="8">
        <v>2437</v>
      </c>
      <c r="C7047" t="s" s="9">
        <v>14</v>
      </c>
      <c r="D7047" t="s" s="8">
        <v>14</v>
      </c>
      <c r="E7047" t="s" s="9">
        <v>14</v>
      </c>
      <c r="F7047" t="s" s="10">
        <v>14</v>
      </c>
      <c r="G7047" t="s" s="11">
        <v>14</v>
      </c>
      <c r="H7047" t="s" s="10">
        <v>14</v>
      </c>
      <c r="I7047" t="s" s="11">
        <v>14</v>
      </c>
      <c r="J7047" t="s" s="11">
        <v>14</v>
      </c>
      <c r="K7047" t="s" s="12">
        <v>14</v>
      </c>
      <c r="L7047" t="s" s="12">
        <v>14</v>
      </c>
      <c r="M7047" t="s" s="10">
        <v>14</v>
      </c>
      <c r="N7047" t="s" s="11">
        <v>14</v>
      </c>
      <c r="O7047" t="s" s="8">
        <v>14</v>
      </c>
      <c r="P7047" t="s" s="8">
        <v>14</v>
      </c>
      <c r="Q7047" t="s" s="12">
        <v>14</v>
      </c>
      <c r="R7047" t="s" s="12">
        <v>14</v>
      </c>
    </row>
    <row r="7048" s="2" customFormat="1" ht="13.5" customHeight="1">
      <c r="B7048" s="13"/>
      <c r="C7048" t="s" s="9">
        <v>16</v>
      </c>
      <c r="D7048" t="s" s="8">
        <v>2437</v>
      </c>
      <c r="E7048" t="s" s="9">
        <v>2437</v>
      </c>
      <c r="F7048" t="s" s="10">
        <v>68</v>
      </c>
      <c r="G7048" t="s" s="11">
        <v>68</v>
      </c>
      <c r="H7048" t="s" s="10">
        <v>68</v>
      </c>
      <c r="I7048" t="s" s="11">
        <v>68</v>
      </c>
      <c r="J7048" t="s" s="11">
        <v>20</v>
      </c>
      <c r="K7048" t="s" s="16">
        <f>HYPERLINK("http://csr.bu.edu/ftp/asl/asllvd/demos/verify_start_end_handshape_annotations//test_auto_move//signs_mov/15436.mov","MOV")</f>
        <v>21</v>
      </c>
      <c r="L7048" t="s" s="16">
        <f>HYPERLINK("http://csr.bu.edu/ftp/asl/asllvd/demos/verify_start_end_handshape_annotations//test_auto_move//signs_mov_separ_signers/Liz_15436.mov","MOV")</f>
        <v>21</v>
      </c>
      <c r="M7048" t="s" s="10">
        <v>36</v>
      </c>
      <c r="N7048" s="17">
        <v>37</v>
      </c>
      <c r="O7048" s="18">
        <v>810</v>
      </c>
      <c r="P7048" s="18">
        <v>865</v>
      </c>
      <c r="Q7048" t="s" s="16">
        <f>HYPERLINK("http://secrets.rutgers.edu:8080/data/asl-ftp/asllvd/demos/verify_start_end_handshape_annotations//test_auto_move//signs_mov/15436.mov","MOV")</f>
        <v>21</v>
      </c>
      <c r="R7048" t="s" s="16">
        <f>HYPERLINK("http://secrets.rutgers.edu:8080/data/asl-ftp/asllvd/demos/verify_start_end_handshape_annotations//test_auto_move//signs_mov_separ_signers/Liz_15436.mov","MOV")</f>
        <v>21</v>
      </c>
    </row>
    <row r="7049" s="2" customFormat="1" ht="13.5" customHeight="1">
      <c r="B7049" t="s" s="8">
        <v>2438</v>
      </c>
      <c r="C7049" t="s" s="9">
        <v>14</v>
      </c>
      <c r="D7049" t="s" s="8">
        <v>14</v>
      </c>
      <c r="E7049" t="s" s="9">
        <v>14</v>
      </c>
      <c r="F7049" t="s" s="10">
        <v>14</v>
      </c>
      <c r="G7049" t="s" s="11">
        <v>14</v>
      </c>
      <c r="H7049" t="s" s="10">
        <v>14</v>
      </c>
      <c r="I7049" t="s" s="11">
        <v>14</v>
      </c>
      <c r="J7049" t="s" s="11">
        <v>14</v>
      </c>
      <c r="K7049" t="s" s="12">
        <v>14</v>
      </c>
      <c r="L7049" t="s" s="12">
        <v>14</v>
      </c>
      <c r="M7049" t="s" s="10">
        <v>14</v>
      </c>
      <c r="N7049" t="s" s="11">
        <v>14</v>
      </c>
      <c r="O7049" t="s" s="8">
        <v>14</v>
      </c>
      <c r="P7049" t="s" s="8">
        <v>14</v>
      </c>
      <c r="Q7049" t="s" s="12">
        <v>14</v>
      </c>
      <c r="R7049" t="s" s="12">
        <v>14</v>
      </c>
    </row>
    <row r="7050" s="2" customFormat="1" ht="13.5" customHeight="1">
      <c r="B7050" s="13"/>
      <c r="C7050" t="s" s="9">
        <v>16</v>
      </c>
      <c r="D7050" t="s" s="8">
        <v>2438</v>
      </c>
      <c r="E7050" t="s" s="9">
        <v>2439</v>
      </c>
      <c r="F7050" t="s" s="10">
        <v>68</v>
      </c>
      <c r="G7050" t="s" s="11">
        <v>68</v>
      </c>
      <c r="H7050" t="s" s="10">
        <v>68</v>
      </c>
      <c r="I7050" t="s" s="11">
        <v>68</v>
      </c>
      <c r="J7050" t="s" s="11">
        <v>20</v>
      </c>
      <c r="K7050" s="15"/>
      <c r="L7050" t="s" s="16">
        <f>HYPERLINK("http://csr.bu.edu/ftp/asl/asllvd/demos/verify_start_end_handshape_annotations//test_auto_move//signs_mov_separ_signers/Liz_16064.mov","MOV")</f>
        <v>21</v>
      </c>
      <c r="M7050" t="s" s="10">
        <v>88</v>
      </c>
      <c r="N7050" s="17">
        <v>12</v>
      </c>
      <c r="O7050" s="18">
        <v>555</v>
      </c>
      <c r="P7050" s="18">
        <v>612</v>
      </c>
      <c r="Q7050" s="15"/>
      <c r="R7050" t="s" s="16">
        <f>HYPERLINK("http://secrets.rutgers.edu:8080/data/asl-ftp/asllvd/demos/verify_start_end_handshape_annotations//test_auto_move//signs_mov_separ_signers/Liz_16064.mov","MOV")</f>
        <v>21</v>
      </c>
    </row>
    <row r="7051" s="2" customFormat="1" ht="13.5" customHeight="1">
      <c r="B7051" s="13"/>
      <c r="C7051" t="s" s="9">
        <v>23</v>
      </c>
      <c r="D7051" t="s" s="8">
        <v>2438</v>
      </c>
      <c r="E7051" t="s" s="9">
        <v>2439</v>
      </c>
      <c r="F7051" t="s" s="10">
        <v>68</v>
      </c>
      <c r="G7051" t="s" s="11">
        <v>68</v>
      </c>
      <c r="H7051" t="s" s="10">
        <v>68</v>
      </c>
      <c r="I7051" t="s" s="11">
        <v>68</v>
      </c>
      <c r="J7051" t="s" s="11">
        <v>20</v>
      </c>
      <c r="K7051" t="s" s="16">
        <f>HYPERLINK("http://csr.bu.edu/ftp/asl/asllvd/demos/verify_start_end_handshape_annotations//test_auto_move//signs_mov/16064.mov","MOV")</f>
        <v>21</v>
      </c>
      <c r="L7051" t="s" s="16">
        <f>HYPERLINK("http://csr.bu.edu/ftp/asl/asllvd/demos/verify_start_end_handshape_annotations//test_auto_move//signs_mov_separ_signers/Tyler_16064.mov","MOV")</f>
        <v>21</v>
      </c>
      <c r="M7051" t="s" s="10">
        <v>47</v>
      </c>
      <c r="N7051" s="17">
        <v>20</v>
      </c>
      <c r="O7051" s="18">
        <v>2633</v>
      </c>
      <c r="P7051" s="18">
        <v>2672</v>
      </c>
      <c r="Q7051" t="s" s="16">
        <f>HYPERLINK("http://secrets.rutgers.edu:8080/data/asl-ftp/asllvd/demos/verify_start_end_handshape_annotations//test_auto_move//signs_mov/16064.mov","MOV")</f>
        <v>21</v>
      </c>
      <c r="R7051" t="s" s="16">
        <f>HYPERLINK("http://secrets.rutgers.edu:8080/data/asl-ftp/asllvd/demos/verify_start_end_handshape_annotations//test_auto_move//signs_mov_separ_signers/Tyler_16064.mov","MOV")</f>
        <v>21</v>
      </c>
    </row>
    <row r="7052" s="2" customFormat="1" ht="13.5" customHeight="1">
      <c r="B7052" s="13"/>
      <c r="C7052" t="s" s="9">
        <v>30</v>
      </c>
      <c r="D7052" t="s" s="8">
        <v>2438</v>
      </c>
      <c r="E7052" t="s" s="9">
        <v>2440</v>
      </c>
      <c r="F7052" t="s" s="10">
        <v>68</v>
      </c>
      <c r="G7052" t="s" s="11">
        <v>68</v>
      </c>
      <c r="H7052" t="s" s="10">
        <v>68</v>
      </c>
      <c r="I7052" t="s" s="11">
        <v>68</v>
      </c>
      <c r="J7052" t="s" s="11">
        <v>20</v>
      </c>
      <c r="K7052" s="15"/>
      <c r="L7052" t="s" s="16">
        <f>HYPERLINK("http://csr.bu.edu/ftp/asl/asllvd/demos/verify_start_end_handshape_annotations//test_auto_move//signs_mov_separ_signers/Brady_16064.mov","MOV")</f>
        <v>21</v>
      </c>
      <c r="M7052" t="s" s="10">
        <v>40</v>
      </c>
      <c r="N7052" s="17">
        <v>46</v>
      </c>
      <c r="O7052" s="18">
        <v>1521</v>
      </c>
      <c r="P7052" s="18">
        <v>1567</v>
      </c>
      <c r="Q7052" s="15"/>
      <c r="R7052" t="s" s="16">
        <f>HYPERLINK("http://secrets.rutgers.edu:8080/data/asl-ftp/asllvd/demos/verify_start_end_handshape_annotations//test_auto_move//signs_mov_separ_signers/Brady_16064.mov","MOV")</f>
        <v>21</v>
      </c>
    </row>
    <row r="7053" s="2" customFormat="1" ht="13.5" customHeight="1">
      <c r="B7053" t="s" s="8">
        <v>2441</v>
      </c>
      <c r="C7053" t="s" s="9">
        <v>14</v>
      </c>
      <c r="D7053" t="s" s="8">
        <v>14</v>
      </c>
      <c r="E7053" t="s" s="9">
        <v>14</v>
      </c>
      <c r="F7053" t="s" s="10">
        <v>14</v>
      </c>
      <c r="G7053" t="s" s="11">
        <v>14</v>
      </c>
      <c r="H7053" t="s" s="10">
        <v>14</v>
      </c>
      <c r="I7053" t="s" s="11">
        <v>14</v>
      </c>
      <c r="J7053" t="s" s="11">
        <v>14</v>
      </c>
      <c r="K7053" t="s" s="12">
        <v>14</v>
      </c>
      <c r="L7053" t="s" s="12">
        <v>14</v>
      </c>
      <c r="M7053" t="s" s="10">
        <v>14</v>
      </c>
      <c r="N7053" t="s" s="11">
        <v>14</v>
      </c>
      <c r="O7053" t="s" s="8">
        <v>14</v>
      </c>
      <c r="P7053" t="s" s="8">
        <v>14</v>
      </c>
      <c r="Q7053" t="s" s="12">
        <v>14</v>
      </c>
      <c r="R7053" t="s" s="12">
        <v>14</v>
      </c>
    </row>
    <row r="7054" s="2" customFormat="1" ht="13.5" customHeight="1">
      <c r="B7054" s="13"/>
      <c r="C7054" t="s" s="9">
        <v>23</v>
      </c>
      <c r="D7054" t="s" s="8">
        <v>2441</v>
      </c>
      <c r="E7054" t="s" s="9">
        <v>2441</v>
      </c>
      <c r="F7054" t="s" s="10">
        <v>63</v>
      </c>
      <c r="G7054" t="s" s="11">
        <v>63</v>
      </c>
      <c r="H7054" s="19">
        <v>5</v>
      </c>
      <c r="I7054" s="17">
        <v>5</v>
      </c>
      <c r="J7054" t="s" s="11">
        <v>20</v>
      </c>
      <c r="K7054" t="s" s="16">
        <f>HYPERLINK("http://csr.bu.edu/ftp/asl/asllvd/demos/verify_start_end_handshape_annotations//test_auto_move//signs_mov/1592.mov","MOV")</f>
        <v>21</v>
      </c>
      <c r="L7054" t="s" s="16">
        <f>HYPERLINK("http://csr.bu.edu/ftp/asl/asllvd/demos/verify_start_end_handshape_annotations//test_auto_move//signs_mov_separ_signers/Tyler_1592.mov","MOV")</f>
        <v>21</v>
      </c>
      <c r="M7054" t="s" s="10">
        <v>47</v>
      </c>
      <c r="N7054" s="17">
        <v>20</v>
      </c>
      <c r="O7054" s="18">
        <v>527</v>
      </c>
      <c r="P7054" s="18">
        <v>557</v>
      </c>
      <c r="Q7054" t="s" s="16">
        <f>HYPERLINK("http://secrets.rutgers.edu:8080/data/asl-ftp/asllvd/demos/verify_start_end_handshape_annotations//test_auto_move//signs_mov/1592.mov","MOV")</f>
        <v>21</v>
      </c>
      <c r="R7054" t="s" s="16">
        <f>HYPERLINK("http://secrets.rutgers.edu:8080/data/asl-ftp/asllvd/demos/verify_start_end_handshape_annotations//test_auto_move//signs_mov_separ_signers/Tyler_1592.mov","MOV")</f>
        <v>21</v>
      </c>
    </row>
    <row r="7055" s="2" customFormat="1" ht="13.5" customHeight="1">
      <c r="B7055" t="s" s="8">
        <v>52</v>
      </c>
      <c r="C7055" t="s" s="9">
        <v>53</v>
      </c>
      <c r="D7055" t="s" s="8">
        <v>53</v>
      </c>
      <c r="E7055" t="s" s="9">
        <v>53</v>
      </c>
      <c r="F7055" t="s" s="10">
        <v>53</v>
      </c>
      <c r="G7055" t="s" s="11">
        <v>53</v>
      </c>
      <c r="H7055" t="s" s="10">
        <v>53</v>
      </c>
      <c r="I7055" t="s" s="11">
        <v>53</v>
      </c>
      <c r="J7055" t="s" s="11">
        <v>53</v>
      </c>
      <c r="K7055" t="s" s="12">
        <v>53</v>
      </c>
      <c r="L7055" t="s" s="12">
        <v>53</v>
      </c>
      <c r="M7055" t="s" s="10">
        <v>53</v>
      </c>
      <c r="N7055" t="s" s="11">
        <v>53</v>
      </c>
      <c r="O7055" t="s" s="8">
        <v>53</v>
      </c>
      <c r="P7055" t="s" s="8">
        <v>53</v>
      </c>
      <c r="Q7055" t="s" s="12">
        <v>53</v>
      </c>
      <c r="R7055" t="s" s="12">
        <v>53</v>
      </c>
    </row>
    <row r="7056" s="2" customFormat="1" ht="13.5" customHeight="1">
      <c r="B7056" s="13"/>
      <c r="C7056" t="s" s="9">
        <v>16</v>
      </c>
      <c r="D7056" t="s" s="8">
        <v>2441</v>
      </c>
      <c r="E7056" t="s" s="9">
        <v>2442</v>
      </c>
      <c r="F7056" t="s" s="10">
        <v>63</v>
      </c>
      <c r="G7056" t="s" s="11">
        <v>55</v>
      </c>
      <c r="H7056" s="19">
        <v>5</v>
      </c>
      <c r="I7056" t="s" s="11">
        <v>55</v>
      </c>
      <c r="J7056" t="s" s="11">
        <v>136</v>
      </c>
      <c r="K7056" t="s" s="16">
        <f>HYPERLINK("http://csr.bu.edu/ftp/asl/asllvd/demos/verify_start_end_handshape_annotations//test_auto_move//signs_mov/5264.mov","MOV")</f>
        <v>21</v>
      </c>
      <c r="L7056" t="s" s="16">
        <f>HYPERLINK("http://csr.bu.edu/ftp/asl/asllvd/demos/verify_start_end_handshape_annotations//test_auto_move//signs_mov_separ_signers/Liz_5264.mov","MOV")</f>
        <v>21</v>
      </c>
      <c r="M7056" t="s" s="10">
        <v>88</v>
      </c>
      <c r="N7056" s="17">
        <v>11</v>
      </c>
      <c r="O7056" s="18">
        <v>775</v>
      </c>
      <c r="P7056" s="18">
        <v>816</v>
      </c>
      <c r="Q7056" t="s" s="16">
        <f>HYPERLINK("http://secrets.rutgers.edu:8080/data/asl-ftp/asllvd/demos/verify_start_end_handshape_annotations//test_auto_move//signs_mov/5264.mov","MOV")</f>
        <v>21</v>
      </c>
      <c r="R7056" t="s" s="16">
        <f>HYPERLINK("http://secrets.rutgers.edu:8080/data/asl-ftp/asllvd/demos/verify_start_end_handshape_annotations//test_auto_move//signs_mov_separ_signers/Liz_5264.mov","MOV")</f>
        <v>21</v>
      </c>
    </row>
    <row r="7057" s="2" customFormat="1" ht="13.5" customHeight="1">
      <c r="B7057" t="s" s="8">
        <v>2443</v>
      </c>
      <c r="C7057" t="s" s="9">
        <v>14</v>
      </c>
      <c r="D7057" t="s" s="8">
        <v>14</v>
      </c>
      <c r="E7057" t="s" s="9">
        <v>14</v>
      </c>
      <c r="F7057" t="s" s="10">
        <v>14</v>
      </c>
      <c r="G7057" t="s" s="11">
        <v>14</v>
      </c>
      <c r="H7057" t="s" s="10">
        <v>14</v>
      </c>
      <c r="I7057" t="s" s="11">
        <v>14</v>
      </c>
      <c r="J7057" t="s" s="11">
        <v>14</v>
      </c>
      <c r="K7057" t="s" s="12">
        <v>14</v>
      </c>
      <c r="L7057" t="s" s="12">
        <v>14</v>
      </c>
      <c r="M7057" t="s" s="10">
        <v>14</v>
      </c>
      <c r="N7057" t="s" s="11">
        <v>14</v>
      </c>
      <c r="O7057" t="s" s="8">
        <v>14</v>
      </c>
      <c r="P7057" t="s" s="8">
        <v>14</v>
      </c>
      <c r="Q7057" t="s" s="12">
        <v>14</v>
      </c>
      <c r="R7057" t="s" s="12">
        <v>14</v>
      </c>
    </row>
    <row r="7058" s="2" customFormat="1" ht="13.5" customHeight="1">
      <c r="B7058" s="13"/>
      <c r="C7058" t="s" s="9">
        <v>16</v>
      </c>
      <c r="D7058" t="s" s="8">
        <v>2443</v>
      </c>
      <c r="E7058" t="s" s="9">
        <v>2443</v>
      </c>
      <c r="F7058" s="19">
        <v>5</v>
      </c>
      <c r="G7058" s="17">
        <v>5</v>
      </c>
      <c r="H7058" s="19">
        <v>5</v>
      </c>
      <c r="I7058" s="17">
        <v>5</v>
      </c>
      <c r="J7058" t="s" s="11">
        <v>20</v>
      </c>
      <c r="K7058" s="15"/>
      <c r="L7058" t="s" s="16">
        <f>HYPERLINK("http://csr.bu.edu/ftp/asl/asllvd/demos/verify_start_end_handshape_annotations//test_auto_move//signs_mov_separ_signers/Liz_1593.mov","MOV")</f>
        <v>21</v>
      </c>
      <c r="M7058" t="s" s="10">
        <v>88</v>
      </c>
      <c r="N7058" s="17">
        <v>11</v>
      </c>
      <c r="O7058" s="18">
        <v>1016</v>
      </c>
      <c r="P7058" s="18">
        <v>1067</v>
      </c>
      <c r="Q7058" s="15"/>
      <c r="R7058" t="s" s="16">
        <f>HYPERLINK("http://secrets.rutgers.edu:8080/data/asl-ftp/asllvd/demos/verify_start_end_handshape_annotations//test_auto_move//signs_mov_separ_signers/Liz_1593.mov","MOV")</f>
        <v>21</v>
      </c>
    </row>
    <row r="7059" s="2" customFormat="1" ht="13.5" customHeight="1">
      <c r="B7059" s="13"/>
      <c r="C7059" t="s" s="9">
        <v>23</v>
      </c>
      <c r="D7059" t="s" s="8">
        <v>2443</v>
      </c>
      <c r="E7059" t="s" s="9">
        <v>2443</v>
      </c>
      <c r="F7059" s="19">
        <v>5</v>
      </c>
      <c r="G7059" s="17">
        <v>5</v>
      </c>
      <c r="H7059" s="19">
        <v>5</v>
      </c>
      <c r="I7059" s="17">
        <v>5</v>
      </c>
      <c r="J7059" t="s" s="11">
        <v>20</v>
      </c>
      <c r="K7059" t="s" s="16">
        <f>HYPERLINK("http://csr.bu.edu/ftp/asl/asllvd/demos/verify_start_end_handshape_annotations//test_auto_move//signs_mov/1593.mov","MOV")</f>
        <v>21</v>
      </c>
      <c r="L7059" t="s" s="16">
        <f>HYPERLINK("http://csr.bu.edu/ftp/asl/asllvd/demos/verify_start_end_handshape_annotations//test_auto_move//signs_mov_separ_signers/Tyler_1593.mov","MOV")</f>
        <v>21</v>
      </c>
      <c r="M7059" t="s" s="10">
        <v>47</v>
      </c>
      <c r="N7059" s="17">
        <v>20</v>
      </c>
      <c r="O7059" s="18">
        <v>800</v>
      </c>
      <c r="P7059" s="18">
        <v>832</v>
      </c>
      <c r="Q7059" t="s" s="16">
        <f>HYPERLINK("http://secrets.rutgers.edu:8080/data/asl-ftp/asllvd/demos/verify_start_end_handshape_annotations//test_auto_move//signs_mov/1593.mov","MOV")</f>
        <v>21</v>
      </c>
      <c r="R7059" t="s" s="16">
        <f>HYPERLINK("http://secrets.rutgers.edu:8080/data/asl-ftp/asllvd/demos/verify_start_end_handshape_annotations//test_auto_move//signs_mov_separ_signers/Tyler_1593.mov","MOV")</f>
        <v>21</v>
      </c>
    </row>
    <row r="7060" s="2" customFormat="1" ht="13.5" customHeight="1">
      <c r="B7060" s="13"/>
      <c r="C7060" t="s" s="9">
        <v>41</v>
      </c>
      <c r="D7060" t="s" s="8">
        <v>2443</v>
      </c>
      <c r="E7060" t="s" s="9">
        <v>2443</v>
      </c>
      <c r="F7060" s="19">
        <v>5</v>
      </c>
      <c r="G7060" s="17">
        <v>5</v>
      </c>
      <c r="H7060" s="19">
        <v>5</v>
      </c>
      <c r="I7060" s="17">
        <v>5</v>
      </c>
      <c r="J7060" t="s" s="11">
        <v>20</v>
      </c>
      <c r="K7060" s="15"/>
      <c r="L7060" t="s" s="16">
        <f>HYPERLINK("http://csr.bu.edu/ftp/asl/asllvd/demos/verify_start_end_handshape_annotations//test_auto_move//signs_mov_separ_signers/Lana_1593.mov","MOV")</f>
        <v>21</v>
      </c>
      <c r="M7060" t="s" s="10">
        <v>42</v>
      </c>
      <c r="N7060" s="17">
        <v>24</v>
      </c>
      <c r="O7060" s="18">
        <v>1333</v>
      </c>
      <c r="P7060" s="18">
        <v>1348</v>
      </c>
      <c r="Q7060" s="15"/>
      <c r="R7060" t="s" s="16">
        <f>HYPERLINK("http://secrets.rutgers.edu:8080/data/asl-ftp/asllvd/demos/verify_start_end_handshape_annotations//test_auto_move//signs_mov_separ_signers/Lana_1593.mov","MOV")</f>
        <v>21</v>
      </c>
    </row>
    <row r="7061" s="2" customFormat="1" ht="13.5" customHeight="1">
      <c r="B7061" s="13"/>
      <c r="C7061" t="s" s="9">
        <v>43</v>
      </c>
      <c r="D7061" t="s" s="8">
        <v>2443</v>
      </c>
      <c r="E7061" t="s" s="9">
        <v>2443</v>
      </c>
      <c r="F7061" s="19">
        <v>5</v>
      </c>
      <c r="G7061" s="17">
        <v>5</v>
      </c>
      <c r="H7061" s="19">
        <v>5</v>
      </c>
      <c r="I7061" s="17">
        <v>5</v>
      </c>
      <c r="J7061" t="s" s="11">
        <v>20</v>
      </c>
      <c r="K7061" s="15"/>
      <c r="L7061" t="s" s="16">
        <f>HYPERLINK("http://csr.bu.edu/ftp/asl/asllvd/demos/verify_start_end_handshape_annotations//test_auto_move//signs_mov_separ_signers/Dana_1593.mov","MOV")</f>
        <v>21</v>
      </c>
      <c r="M7061" t="s" s="10">
        <v>44</v>
      </c>
      <c r="N7061" s="17">
        <v>26</v>
      </c>
      <c r="O7061" s="18">
        <v>1309</v>
      </c>
      <c r="P7061" s="18">
        <v>1345</v>
      </c>
      <c r="Q7061" s="15"/>
      <c r="R7061" t="s" s="16">
        <f>HYPERLINK("http://secrets.rutgers.edu:8080/data/asl-ftp/asllvd/demos/verify_start_end_handshape_annotations//test_auto_move//signs_mov_separ_signers/Dana_1593.mov","MOV")</f>
        <v>21</v>
      </c>
    </row>
    <row r="7062" s="2" customFormat="1" ht="13.5" customHeight="1">
      <c r="B7062" t="s" s="8">
        <v>2444</v>
      </c>
      <c r="C7062" t="s" s="9">
        <v>14</v>
      </c>
      <c r="D7062" t="s" s="8">
        <v>14</v>
      </c>
      <c r="E7062" t="s" s="9">
        <v>14</v>
      </c>
      <c r="F7062" t="s" s="10">
        <v>14</v>
      </c>
      <c r="G7062" t="s" s="11">
        <v>14</v>
      </c>
      <c r="H7062" t="s" s="10">
        <v>14</v>
      </c>
      <c r="I7062" t="s" s="11">
        <v>14</v>
      </c>
      <c r="J7062" t="s" s="11">
        <v>14</v>
      </c>
      <c r="K7062" t="s" s="12">
        <v>14</v>
      </c>
      <c r="L7062" t="s" s="12">
        <v>14</v>
      </c>
      <c r="M7062" t="s" s="10">
        <v>14</v>
      </c>
      <c r="N7062" t="s" s="11">
        <v>14</v>
      </c>
      <c r="O7062" t="s" s="8">
        <v>14</v>
      </c>
      <c r="P7062" t="s" s="8">
        <v>14</v>
      </c>
      <c r="Q7062" t="s" s="12">
        <v>14</v>
      </c>
      <c r="R7062" t="s" s="12">
        <v>14</v>
      </c>
    </row>
    <row r="7063" s="2" customFormat="1" ht="13.5" customHeight="1">
      <c r="B7063" s="13"/>
      <c r="C7063" t="s" s="9">
        <v>16</v>
      </c>
      <c r="D7063" t="s" s="8">
        <v>2444</v>
      </c>
      <c r="E7063" t="s" s="9">
        <v>2445</v>
      </c>
      <c r="F7063" s="19">
        <v>1</v>
      </c>
      <c r="G7063" s="14"/>
      <c r="H7063" s="19">
        <v>1</v>
      </c>
      <c r="I7063" s="14"/>
      <c r="J7063" t="s" s="11">
        <v>20</v>
      </c>
      <c r="K7063" s="15"/>
      <c r="L7063" t="s" s="16">
        <f>HYPERLINK("http://csr.bu.edu/ftp/asl/asllvd/demos/verify_start_end_handshape_annotations//test_auto_move//signs_mov_separ_signers/Liz_1594.mov","MOV")</f>
        <v>21</v>
      </c>
      <c r="M7063" t="s" s="10">
        <v>88</v>
      </c>
      <c r="N7063" s="17">
        <v>11</v>
      </c>
      <c r="O7063" s="18">
        <v>1245</v>
      </c>
      <c r="P7063" s="18">
        <v>1285</v>
      </c>
      <c r="Q7063" s="15"/>
      <c r="R7063" t="s" s="16">
        <f>HYPERLINK("http://secrets.rutgers.edu:8080/data/asl-ftp/asllvd/demos/verify_start_end_handshape_annotations//test_auto_move//signs_mov_separ_signers/Liz_1594.mov","MOV")</f>
        <v>21</v>
      </c>
    </row>
    <row r="7064" s="2" customFormat="1" ht="13.5" customHeight="1">
      <c r="B7064" s="13"/>
      <c r="C7064" t="s" s="9">
        <v>16</v>
      </c>
      <c r="D7064" t="s" s="8">
        <v>2444</v>
      </c>
      <c r="E7064" t="s" s="9">
        <v>2445</v>
      </c>
      <c r="F7064" s="19">
        <v>1</v>
      </c>
      <c r="G7064" s="14"/>
      <c r="H7064" s="19">
        <v>1</v>
      </c>
      <c r="I7064" s="14"/>
      <c r="J7064" t="s" s="11">
        <v>20</v>
      </c>
      <c r="K7064" t="s" s="16">
        <f>HYPERLINK("http://csr.bu.edu/ftp/asl/asllvd/demos/verify_start_end_handshape_annotations//test_auto_move//signs_mov/1594_3402_3896_merged.mov","MOV")</f>
        <v>21</v>
      </c>
      <c r="L7064" t="s" s="16">
        <f>HYPERLINK("http://csr.bu.edu/ftp/asl/asllvd/demos/verify_start_end_handshape_annotations//test_auto_move//signs_mov_separ_signers/Liz_3402.mov","MOV")</f>
        <v>21</v>
      </c>
      <c r="M7064" t="s" s="10">
        <v>77</v>
      </c>
      <c r="N7064" s="17">
        <v>23</v>
      </c>
      <c r="O7064" s="18">
        <v>1764</v>
      </c>
      <c r="P7064" s="18">
        <v>1803</v>
      </c>
      <c r="Q7064" t="s" s="16">
        <f>HYPERLINK("http://secrets.rutgers.edu:8080/data/asl-ftp/asllvd/demos/verify_start_end_handshape_annotations//test_auto_move//signs_mov/1594_3402_3896_merged.mov","MOV")</f>
        <v>21</v>
      </c>
      <c r="R7064" t="s" s="16">
        <f>HYPERLINK("http://secrets.rutgers.edu:8080/data/asl-ftp/asllvd/demos/verify_start_end_handshape_annotations//test_auto_move//signs_mov_separ_signers/Liz_3402.mov","MOV")</f>
        <v>21</v>
      </c>
    </row>
    <row r="7065" s="2" customFormat="1" ht="13.5" customHeight="1">
      <c r="B7065" s="13"/>
      <c r="C7065" t="s" s="9">
        <v>16</v>
      </c>
      <c r="D7065" t="s" s="8">
        <v>2444</v>
      </c>
      <c r="E7065" t="s" s="9">
        <v>2445</v>
      </c>
      <c r="F7065" s="19">
        <v>1</v>
      </c>
      <c r="G7065" s="14"/>
      <c r="H7065" s="19">
        <v>1</v>
      </c>
      <c r="I7065" s="14"/>
      <c r="J7065" t="s" s="11">
        <v>20</v>
      </c>
      <c r="K7065" s="15"/>
      <c r="L7065" t="s" s="16">
        <f>HYPERLINK("http://csr.bu.edu/ftp/asl/asllvd/demos/verify_start_end_handshape_annotations//test_auto_move//signs_mov_separ_signers/Liz_3896.mov","MOV")</f>
        <v>21</v>
      </c>
      <c r="M7065" t="s" s="10">
        <v>77</v>
      </c>
      <c r="N7065" s="17">
        <v>28</v>
      </c>
      <c r="O7065" s="18">
        <v>1865</v>
      </c>
      <c r="P7065" s="18">
        <v>1895</v>
      </c>
      <c r="Q7065" s="15"/>
      <c r="R7065" t="s" s="16">
        <f>HYPERLINK("http://secrets.rutgers.edu:8080/data/asl-ftp/asllvd/demos/verify_start_end_handshape_annotations//test_auto_move//signs_mov_separ_signers/Liz_3896.mov","MOV")</f>
        <v>21</v>
      </c>
    </row>
    <row r="7066" s="2" customFormat="1" ht="13.5" customHeight="1">
      <c r="B7066" s="13"/>
      <c r="C7066" t="s" s="9">
        <v>23</v>
      </c>
      <c r="D7066" t="s" s="8">
        <v>2444</v>
      </c>
      <c r="E7066" t="s" s="9">
        <v>2445</v>
      </c>
      <c r="F7066" s="19">
        <v>1</v>
      </c>
      <c r="G7066" s="14"/>
      <c r="H7066" s="19">
        <v>1</v>
      </c>
      <c r="I7066" s="14"/>
      <c r="J7066" t="s" s="11">
        <v>20</v>
      </c>
      <c r="K7066" s="15"/>
      <c r="L7066" t="s" s="16">
        <f>HYPERLINK("http://csr.bu.edu/ftp/asl/asllvd/demos/verify_start_end_handshape_annotations//test_auto_move//signs_mov_separ_signers/Tyler_1594.mov","MOV")</f>
        <v>21</v>
      </c>
      <c r="M7066" t="s" s="10">
        <v>47</v>
      </c>
      <c r="N7066" s="17">
        <v>20</v>
      </c>
      <c r="O7066" s="18">
        <v>1116</v>
      </c>
      <c r="P7066" s="18">
        <v>1157</v>
      </c>
      <c r="Q7066" s="15"/>
      <c r="R7066" t="s" s="16">
        <f>HYPERLINK("http://secrets.rutgers.edu:8080/data/asl-ftp/asllvd/demos/verify_start_end_handshape_annotations//test_auto_move//signs_mov_separ_signers/Tyler_1594.mov","MOV")</f>
        <v>21</v>
      </c>
    </row>
    <row r="7067" s="2" customFormat="1" ht="13.5" customHeight="1">
      <c r="B7067" t="s" s="8">
        <v>2446</v>
      </c>
      <c r="C7067" t="s" s="9">
        <v>14</v>
      </c>
      <c r="D7067" t="s" s="8">
        <v>14</v>
      </c>
      <c r="E7067" t="s" s="9">
        <v>14</v>
      </c>
      <c r="F7067" t="s" s="10">
        <v>14</v>
      </c>
      <c r="G7067" t="s" s="11">
        <v>14</v>
      </c>
      <c r="H7067" t="s" s="10">
        <v>14</v>
      </c>
      <c r="I7067" t="s" s="11">
        <v>14</v>
      </c>
      <c r="J7067" t="s" s="11">
        <v>14</v>
      </c>
      <c r="K7067" t="s" s="12">
        <v>14</v>
      </c>
      <c r="L7067" t="s" s="12">
        <v>14</v>
      </c>
      <c r="M7067" t="s" s="10">
        <v>14</v>
      </c>
      <c r="N7067" t="s" s="11">
        <v>14</v>
      </c>
      <c r="O7067" t="s" s="8">
        <v>14</v>
      </c>
      <c r="P7067" t="s" s="8">
        <v>14</v>
      </c>
      <c r="Q7067" t="s" s="12">
        <v>14</v>
      </c>
      <c r="R7067" t="s" s="12">
        <v>14</v>
      </c>
    </row>
    <row r="7068" s="2" customFormat="1" ht="13.5" customHeight="1">
      <c r="B7068" s="13"/>
      <c r="C7068" t="s" s="9">
        <v>16</v>
      </c>
      <c r="D7068" t="s" s="8">
        <v>2446</v>
      </c>
      <c r="E7068" t="s" s="9">
        <v>2447</v>
      </c>
      <c r="F7068" t="s" s="10">
        <v>251</v>
      </c>
      <c r="G7068" s="14"/>
      <c r="H7068" t="s" s="10">
        <v>251</v>
      </c>
      <c r="I7068" s="14"/>
      <c r="J7068" t="s" s="11">
        <v>20</v>
      </c>
      <c r="K7068" s="15"/>
      <c r="L7068" t="s" s="16">
        <f>HYPERLINK("http://csr.bu.edu/ftp/asl/asllvd/demos/verify_start_end_handshape_annotations//test_auto_move//signs_mov_separ_signers/Liz_15494.mov","MOV")</f>
        <v>21</v>
      </c>
      <c r="M7068" t="s" s="10">
        <v>36</v>
      </c>
      <c r="N7068" s="17">
        <v>6</v>
      </c>
      <c r="O7068" s="18">
        <v>2670</v>
      </c>
      <c r="P7068" s="18">
        <v>2700</v>
      </c>
      <c r="Q7068" s="15"/>
      <c r="R7068" t="s" s="16">
        <f>HYPERLINK("http://secrets.rutgers.edu:8080/data/asl-ftp/asllvd/demos/verify_start_end_handshape_annotations//test_auto_move//signs_mov_separ_signers/Liz_15494.mov","MOV")</f>
        <v>21</v>
      </c>
    </row>
    <row r="7069" s="2" customFormat="1" ht="13.5" customHeight="1">
      <c r="B7069" s="13"/>
      <c r="C7069" t="s" s="9">
        <v>30</v>
      </c>
      <c r="D7069" t="s" s="8">
        <v>2446</v>
      </c>
      <c r="E7069" t="s" s="9">
        <v>2447</v>
      </c>
      <c r="F7069" t="s" s="10">
        <v>251</v>
      </c>
      <c r="G7069" s="14"/>
      <c r="H7069" t="s" s="10">
        <v>251</v>
      </c>
      <c r="I7069" s="14"/>
      <c r="J7069" t="s" s="11">
        <v>20</v>
      </c>
      <c r="K7069" t="s" s="16">
        <f>HYPERLINK("http://csr.bu.edu/ftp/asl/asllvd/demos/verify_start_end_handshape_annotations//test_auto_move//signs_mov/15494_15521_merged.mov","MOV")</f>
        <v>21</v>
      </c>
      <c r="L7069" t="s" s="16">
        <f>HYPERLINK("http://csr.bu.edu/ftp/asl/asllvd/demos/verify_start_end_handshape_annotations//test_auto_move//signs_mov_separ_signers/Brady_15494.mov","MOV")</f>
        <v>21</v>
      </c>
      <c r="M7069" t="s" s="10">
        <v>31</v>
      </c>
      <c r="N7069" s="17">
        <v>25</v>
      </c>
      <c r="O7069" s="18">
        <v>14252</v>
      </c>
      <c r="P7069" s="18">
        <v>14284</v>
      </c>
      <c r="Q7069" t="s" s="16">
        <f>HYPERLINK("http://secrets.rutgers.edu:8080/data/asl-ftp/asllvd/demos/verify_start_end_handshape_annotations//test_auto_move//signs_mov/15494_15521_merged.mov","MOV")</f>
        <v>21</v>
      </c>
      <c r="R7069" t="s" s="16">
        <f>HYPERLINK("http://secrets.rutgers.edu:8080/data/asl-ftp/asllvd/demos/verify_start_end_handshape_annotations//test_auto_move//signs_mov_separ_signers/Brady_15494.mov","MOV")</f>
        <v>21</v>
      </c>
    </row>
    <row r="7070" s="2" customFormat="1" ht="13.5" customHeight="1">
      <c r="B7070" s="13"/>
      <c r="C7070" t="s" s="9">
        <v>30</v>
      </c>
      <c r="D7070" t="s" s="8">
        <v>2446</v>
      </c>
      <c r="E7070" t="s" s="9">
        <v>2447</v>
      </c>
      <c r="F7070" t="s" s="10">
        <v>251</v>
      </c>
      <c r="G7070" s="14"/>
      <c r="H7070" t="s" s="10">
        <v>251</v>
      </c>
      <c r="I7070" s="14"/>
      <c r="J7070" t="s" s="11">
        <v>20</v>
      </c>
      <c r="K7070" s="15"/>
      <c r="L7070" t="s" s="16">
        <f>HYPERLINK("http://csr.bu.edu/ftp/asl/asllvd/demos/verify_start_end_handshape_annotations//test_auto_move//signs_mov_separ_signers/Brady_15521.mov","MOV")</f>
        <v>21</v>
      </c>
      <c r="M7070" t="s" s="10">
        <v>40</v>
      </c>
      <c r="N7070" s="17">
        <v>51</v>
      </c>
      <c r="O7070" s="18">
        <v>931</v>
      </c>
      <c r="P7070" s="18">
        <v>956</v>
      </c>
      <c r="Q7070" s="15"/>
      <c r="R7070" t="s" s="16">
        <f>HYPERLINK("http://secrets.rutgers.edu:8080/data/asl-ftp/asllvd/demos/verify_start_end_handshape_annotations//test_auto_move//signs_mov_separ_signers/Brady_15521.mov","MOV")</f>
        <v>21</v>
      </c>
    </row>
    <row r="7071" s="2" customFormat="1" ht="13.5" customHeight="1">
      <c r="B7071" t="s" s="8">
        <v>2448</v>
      </c>
      <c r="C7071" t="s" s="9">
        <v>14</v>
      </c>
      <c r="D7071" t="s" s="8">
        <v>14</v>
      </c>
      <c r="E7071" t="s" s="9">
        <v>14</v>
      </c>
      <c r="F7071" t="s" s="10">
        <v>14</v>
      </c>
      <c r="G7071" t="s" s="11">
        <v>14</v>
      </c>
      <c r="H7071" t="s" s="10">
        <v>14</v>
      </c>
      <c r="I7071" t="s" s="11">
        <v>14</v>
      </c>
      <c r="J7071" t="s" s="11">
        <v>14</v>
      </c>
      <c r="K7071" t="s" s="12">
        <v>14</v>
      </c>
      <c r="L7071" t="s" s="12">
        <v>14</v>
      </c>
      <c r="M7071" t="s" s="10">
        <v>14</v>
      </c>
      <c r="N7071" t="s" s="11">
        <v>14</v>
      </c>
      <c r="O7071" t="s" s="8">
        <v>14</v>
      </c>
      <c r="P7071" t="s" s="8">
        <v>14</v>
      </c>
      <c r="Q7071" t="s" s="12">
        <v>14</v>
      </c>
      <c r="R7071" t="s" s="12">
        <v>14</v>
      </c>
    </row>
    <row r="7072" s="2" customFormat="1" ht="13.5" customHeight="1">
      <c r="B7072" s="13"/>
      <c r="C7072" t="s" s="9">
        <v>16</v>
      </c>
      <c r="D7072" t="s" s="8">
        <v>2448</v>
      </c>
      <c r="E7072" t="s" s="9">
        <v>2448</v>
      </c>
      <c r="F7072" t="s" s="10">
        <v>119</v>
      </c>
      <c r="G7072" t="s" s="11">
        <v>119</v>
      </c>
      <c r="H7072" t="s" s="10">
        <v>119</v>
      </c>
      <c r="I7072" t="s" s="11">
        <v>119</v>
      </c>
      <c r="J7072" t="s" s="11">
        <v>20</v>
      </c>
      <c r="K7072" t="s" s="16">
        <f>HYPERLINK("http://csr.bu.edu/ftp/asl/asllvd/demos/verify_start_end_handshape_annotations//test_auto_move//signs_mov/1597.mov","MOV")</f>
        <v>21</v>
      </c>
      <c r="L7072" t="s" s="16">
        <f>HYPERLINK("http://csr.bu.edu/ftp/asl/asllvd/demos/verify_start_end_handshape_annotations//test_auto_move//signs_mov_separ_signers/Liz_1597.mov","MOV")</f>
        <v>21</v>
      </c>
      <c r="M7072" t="s" s="10">
        <v>88</v>
      </c>
      <c r="N7072" s="17">
        <v>11</v>
      </c>
      <c r="O7072" s="18">
        <v>1950</v>
      </c>
      <c r="P7072" s="18">
        <v>2010</v>
      </c>
      <c r="Q7072" t="s" s="16">
        <f>HYPERLINK("http://secrets.rutgers.edu:8080/data/asl-ftp/asllvd/demos/verify_start_end_handshape_annotations//test_auto_move//signs_mov/1597.mov","MOV")</f>
        <v>21</v>
      </c>
      <c r="R7072" t="s" s="16">
        <f>HYPERLINK("http://secrets.rutgers.edu:8080/data/asl-ftp/asllvd/demos/verify_start_end_handshape_annotations//test_auto_move//signs_mov_separ_signers/Liz_1597.mov","MOV")</f>
        <v>21</v>
      </c>
    </row>
    <row r="7073" s="2" customFormat="1" ht="13.5" customHeight="1">
      <c r="B7073" s="13"/>
      <c r="C7073" t="s" s="9">
        <v>23</v>
      </c>
      <c r="D7073" t="s" s="8">
        <v>2448</v>
      </c>
      <c r="E7073" t="s" s="9">
        <v>2448</v>
      </c>
      <c r="F7073" t="s" s="10">
        <v>119</v>
      </c>
      <c r="G7073" t="s" s="11">
        <v>119</v>
      </c>
      <c r="H7073" t="s" s="10">
        <v>119</v>
      </c>
      <c r="I7073" t="s" s="11">
        <v>119</v>
      </c>
      <c r="J7073" t="s" s="11">
        <v>20</v>
      </c>
      <c r="K7073" s="15"/>
      <c r="L7073" t="s" s="16">
        <f>HYPERLINK("http://csr.bu.edu/ftp/asl/asllvd/demos/verify_start_end_handshape_annotations//test_auto_move//signs_mov_separ_signers/Tyler_1597.mov","MOV")</f>
        <v>21</v>
      </c>
      <c r="M7073" t="s" s="10">
        <v>47</v>
      </c>
      <c r="N7073" s="17">
        <v>20</v>
      </c>
      <c r="O7073" s="18">
        <v>1800</v>
      </c>
      <c r="P7073" s="18">
        <v>1830</v>
      </c>
      <c r="Q7073" s="15"/>
      <c r="R7073" t="s" s="16">
        <f>HYPERLINK("http://secrets.rutgers.edu:8080/data/asl-ftp/asllvd/demos/verify_start_end_handshape_annotations//test_auto_move//signs_mov_separ_signers/Tyler_1597.mov","MOV")</f>
        <v>21</v>
      </c>
    </row>
    <row r="7074" s="2" customFormat="1" ht="13.5" customHeight="1">
      <c r="B7074" t="s" s="8">
        <v>2449</v>
      </c>
      <c r="C7074" t="s" s="9">
        <v>14</v>
      </c>
      <c r="D7074" t="s" s="8">
        <v>14</v>
      </c>
      <c r="E7074" t="s" s="9">
        <v>14</v>
      </c>
      <c r="F7074" t="s" s="10">
        <v>14</v>
      </c>
      <c r="G7074" t="s" s="11">
        <v>14</v>
      </c>
      <c r="H7074" t="s" s="10">
        <v>14</v>
      </c>
      <c r="I7074" t="s" s="11">
        <v>14</v>
      </c>
      <c r="J7074" t="s" s="11">
        <v>14</v>
      </c>
      <c r="K7074" t="s" s="12">
        <v>14</v>
      </c>
      <c r="L7074" t="s" s="12">
        <v>14</v>
      </c>
      <c r="M7074" t="s" s="10">
        <v>14</v>
      </c>
      <c r="N7074" t="s" s="11">
        <v>14</v>
      </c>
      <c r="O7074" t="s" s="8">
        <v>14</v>
      </c>
      <c r="P7074" t="s" s="8">
        <v>14</v>
      </c>
      <c r="Q7074" t="s" s="12">
        <v>14</v>
      </c>
      <c r="R7074" t="s" s="12">
        <v>14</v>
      </c>
    </row>
    <row r="7075" s="2" customFormat="1" ht="13.5" customHeight="1">
      <c r="B7075" s="13"/>
      <c r="C7075" t="s" s="9">
        <v>16</v>
      </c>
      <c r="D7075" t="s" s="8">
        <v>2449</v>
      </c>
      <c r="E7075" t="s" s="9">
        <v>2449</v>
      </c>
      <c r="F7075" t="s" s="10">
        <v>119</v>
      </c>
      <c r="G7075" t="s" s="11">
        <v>119</v>
      </c>
      <c r="H7075" t="s" s="10">
        <v>119</v>
      </c>
      <c r="I7075" t="s" s="11">
        <v>119</v>
      </c>
      <c r="J7075" t="s" s="11">
        <v>20</v>
      </c>
      <c r="K7075" t="s" s="16">
        <f>HYPERLINK("http://csr.bu.edu/ftp/asl/asllvd/demos/verify_start_end_handshape_annotations//test_auto_move//signs_mov/15175.mov","MOV")</f>
        <v>21</v>
      </c>
      <c r="L7075" t="s" s="16">
        <f>HYPERLINK("http://csr.bu.edu/ftp/asl/asllvd/demos/verify_start_end_handshape_annotations//test_auto_move//signs_mov_separ_signers/Liz_15175.mov","MOV")</f>
        <v>21</v>
      </c>
      <c r="M7075" t="s" s="10">
        <v>88</v>
      </c>
      <c r="N7075" s="17">
        <v>11</v>
      </c>
      <c r="O7075" s="18">
        <v>2235</v>
      </c>
      <c r="P7075" s="18">
        <v>2305</v>
      </c>
      <c r="Q7075" t="s" s="16">
        <f>HYPERLINK("http://secrets.rutgers.edu:8080/data/asl-ftp/asllvd/demos/verify_start_end_handshape_annotations//test_auto_move//signs_mov/15175.mov","MOV")</f>
        <v>21</v>
      </c>
      <c r="R7075" t="s" s="16">
        <f>HYPERLINK("http://secrets.rutgers.edu:8080/data/asl-ftp/asllvd/demos/verify_start_end_handshape_annotations//test_auto_move//signs_mov_separ_signers/Liz_15175.mov","MOV")</f>
        <v>21</v>
      </c>
    </row>
    <row r="7076" s="2" customFormat="1" ht="13.5" customHeight="1">
      <c r="B7076" s="13"/>
      <c r="C7076" t="s" s="9">
        <v>23</v>
      </c>
      <c r="D7076" t="s" s="8">
        <v>2449</v>
      </c>
      <c r="E7076" t="s" s="9">
        <v>2449</v>
      </c>
      <c r="F7076" t="s" s="10">
        <v>119</v>
      </c>
      <c r="G7076" t="s" s="11">
        <v>119</v>
      </c>
      <c r="H7076" t="s" s="10">
        <v>119</v>
      </c>
      <c r="I7076" t="s" s="11">
        <v>119</v>
      </c>
      <c r="J7076" t="s" s="11">
        <v>20</v>
      </c>
      <c r="K7076" s="15"/>
      <c r="L7076" t="s" s="16">
        <f>HYPERLINK("http://csr.bu.edu/ftp/asl/asllvd/demos/verify_start_end_handshape_annotations//test_auto_move//signs_mov_separ_signers/Tyler_15175.mov","MOV")</f>
        <v>21</v>
      </c>
      <c r="M7076" t="s" s="10">
        <v>47</v>
      </c>
      <c r="N7076" s="17">
        <v>20</v>
      </c>
      <c r="O7076" s="18">
        <v>2023</v>
      </c>
      <c r="P7076" s="18">
        <v>2085</v>
      </c>
      <c r="Q7076" s="15"/>
      <c r="R7076" t="s" s="16">
        <f>HYPERLINK("http://secrets.rutgers.edu:8080/data/asl-ftp/asllvd/demos/verify_start_end_handshape_annotations//test_auto_move//signs_mov_separ_signers/Tyler_15175.mov","MOV")</f>
        <v>21</v>
      </c>
    </row>
    <row r="7077" s="2" customFormat="1" ht="13.5" customHeight="1">
      <c r="B7077" t="s" s="8">
        <v>2450</v>
      </c>
      <c r="C7077" t="s" s="9">
        <v>14</v>
      </c>
      <c r="D7077" t="s" s="8">
        <v>14</v>
      </c>
      <c r="E7077" t="s" s="9">
        <v>14</v>
      </c>
      <c r="F7077" t="s" s="10">
        <v>14</v>
      </c>
      <c r="G7077" t="s" s="11">
        <v>14</v>
      </c>
      <c r="H7077" t="s" s="10">
        <v>14</v>
      </c>
      <c r="I7077" t="s" s="11">
        <v>14</v>
      </c>
      <c r="J7077" t="s" s="11">
        <v>14</v>
      </c>
      <c r="K7077" t="s" s="12">
        <v>14</v>
      </c>
      <c r="L7077" t="s" s="12">
        <v>14</v>
      </c>
      <c r="M7077" t="s" s="10">
        <v>14</v>
      </c>
      <c r="N7077" t="s" s="11">
        <v>14</v>
      </c>
      <c r="O7077" t="s" s="8">
        <v>14</v>
      </c>
      <c r="P7077" t="s" s="8">
        <v>14</v>
      </c>
      <c r="Q7077" t="s" s="12">
        <v>14</v>
      </c>
      <c r="R7077" t="s" s="12">
        <v>14</v>
      </c>
    </row>
    <row r="7078" s="2" customFormat="1" ht="13.5" customHeight="1">
      <c r="B7078" s="13"/>
      <c r="C7078" t="s" s="9">
        <v>16</v>
      </c>
      <c r="D7078" t="s" s="8">
        <v>2450</v>
      </c>
      <c r="E7078" t="s" s="9">
        <v>2450</v>
      </c>
      <c r="F7078" t="s" s="10">
        <v>119</v>
      </c>
      <c r="G7078" t="s" s="11">
        <v>119</v>
      </c>
      <c r="H7078" s="19">
        <v>5</v>
      </c>
      <c r="I7078" s="17">
        <v>5</v>
      </c>
      <c r="J7078" t="s" s="11">
        <v>20</v>
      </c>
      <c r="K7078" t="s" s="16">
        <f>HYPERLINK("http://csr.bu.edu/ftp/asl/asllvd/demos/verify_start_end_handshape_annotations//test_auto_move//signs_mov/15176.mov","MOV")</f>
        <v>21</v>
      </c>
      <c r="L7078" t="s" s="16">
        <f>HYPERLINK("http://csr.bu.edu/ftp/asl/asllvd/demos/verify_start_end_handshape_annotations//test_auto_move//signs_mov_separ_signers/Liz_15176.mov","MOV")</f>
        <v>21</v>
      </c>
      <c r="M7078" t="s" s="10">
        <v>88</v>
      </c>
      <c r="N7078" s="17">
        <v>11</v>
      </c>
      <c r="O7078" s="18">
        <v>1691</v>
      </c>
      <c r="P7078" s="18">
        <v>1725</v>
      </c>
      <c r="Q7078" t="s" s="16">
        <f>HYPERLINK("http://secrets.rutgers.edu:8080/data/asl-ftp/asllvd/demos/verify_start_end_handshape_annotations//test_auto_move//signs_mov/15176.mov","MOV")</f>
        <v>21</v>
      </c>
      <c r="R7078" t="s" s="16">
        <f>HYPERLINK("http://secrets.rutgers.edu:8080/data/asl-ftp/asllvd/demos/verify_start_end_handshape_annotations//test_auto_move//signs_mov_separ_signers/Liz_15176.mov","MOV")</f>
        <v>21</v>
      </c>
    </row>
    <row r="7079" s="2" customFormat="1" ht="13.5" customHeight="1">
      <c r="B7079" s="13"/>
      <c r="C7079" t="s" s="9">
        <v>23</v>
      </c>
      <c r="D7079" t="s" s="8">
        <v>2450</v>
      </c>
      <c r="E7079" t="s" s="9">
        <v>2450</v>
      </c>
      <c r="F7079" t="s" s="10">
        <v>119</v>
      </c>
      <c r="G7079" t="s" s="11">
        <v>119</v>
      </c>
      <c r="H7079" s="19">
        <v>5</v>
      </c>
      <c r="I7079" s="17">
        <v>5</v>
      </c>
      <c r="J7079" t="s" s="11">
        <v>20</v>
      </c>
      <c r="K7079" s="15"/>
      <c r="L7079" t="s" s="16">
        <f>HYPERLINK("http://csr.bu.edu/ftp/asl/asllvd/demos/verify_start_end_handshape_annotations//test_auto_move//signs_mov_separ_signers/Tyler_15176.mov","MOV")</f>
        <v>21</v>
      </c>
      <c r="M7079" t="s" s="10">
        <v>47</v>
      </c>
      <c r="N7079" s="17">
        <v>20</v>
      </c>
      <c r="O7079" s="18">
        <v>1575</v>
      </c>
      <c r="P7079" s="18">
        <v>1597</v>
      </c>
      <c r="Q7079" s="15"/>
      <c r="R7079" t="s" s="16">
        <f>HYPERLINK("http://secrets.rutgers.edu:8080/data/asl-ftp/asllvd/demos/verify_start_end_handshape_annotations//test_auto_move//signs_mov_separ_signers/Tyler_15176.mov","MOV")</f>
        <v>21</v>
      </c>
    </row>
    <row r="7080" s="2" customFormat="1" ht="13.5" customHeight="1">
      <c r="B7080" t="s" s="8">
        <v>2451</v>
      </c>
      <c r="C7080" t="s" s="9">
        <v>14</v>
      </c>
      <c r="D7080" t="s" s="8">
        <v>14</v>
      </c>
      <c r="E7080" t="s" s="9">
        <v>14</v>
      </c>
      <c r="F7080" t="s" s="10">
        <v>14</v>
      </c>
      <c r="G7080" t="s" s="11">
        <v>14</v>
      </c>
      <c r="H7080" t="s" s="10">
        <v>14</v>
      </c>
      <c r="I7080" t="s" s="11">
        <v>14</v>
      </c>
      <c r="J7080" t="s" s="11">
        <v>14</v>
      </c>
      <c r="K7080" t="s" s="12">
        <v>14</v>
      </c>
      <c r="L7080" t="s" s="12">
        <v>14</v>
      </c>
      <c r="M7080" t="s" s="10">
        <v>14</v>
      </c>
      <c r="N7080" t="s" s="11">
        <v>14</v>
      </c>
      <c r="O7080" t="s" s="8">
        <v>14</v>
      </c>
      <c r="P7080" t="s" s="8">
        <v>14</v>
      </c>
      <c r="Q7080" t="s" s="12">
        <v>14</v>
      </c>
      <c r="R7080" t="s" s="12">
        <v>14</v>
      </c>
    </row>
    <row r="7081" s="2" customFormat="1" ht="13.5" customHeight="1">
      <c r="B7081" s="13"/>
      <c r="C7081" t="s" s="9">
        <v>16</v>
      </c>
      <c r="D7081" t="s" s="8">
        <v>2451</v>
      </c>
      <c r="E7081" t="s" s="9">
        <v>2451</v>
      </c>
      <c r="F7081" t="s" s="10">
        <v>119</v>
      </c>
      <c r="G7081" t="s" s="11">
        <v>119</v>
      </c>
      <c r="H7081" t="s" s="10">
        <v>119</v>
      </c>
      <c r="I7081" t="s" s="11">
        <v>119</v>
      </c>
      <c r="J7081" t="s" s="11">
        <v>20</v>
      </c>
      <c r="K7081" t="s" s="16">
        <f>HYPERLINK("http://csr.bu.edu/ftp/asl/asllvd/demos/verify_start_end_handshape_annotations//test_auto_move//signs_mov/16036.mov","MOV")</f>
        <v>21</v>
      </c>
      <c r="L7081" t="s" s="16">
        <f>HYPERLINK("http://csr.bu.edu/ftp/asl/asllvd/demos/verify_start_end_handshape_annotations//test_auto_move//signs_mov_separ_signers/Liz_16036.mov","MOV")</f>
        <v>21</v>
      </c>
      <c r="M7081" t="s" s="10">
        <v>36</v>
      </c>
      <c r="N7081" s="17">
        <v>3</v>
      </c>
      <c r="O7081" s="18">
        <v>400</v>
      </c>
      <c r="P7081" s="18">
        <v>425</v>
      </c>
      <c r="Q7081" t="s" s="16">
        <f>HYPERLINK("http://secrets.rutgers.edu:8080/data/asl-ftp/asllvd/demos/verify_start_end_handshape_annotations//test_auto_move//signs_mov/16036.mov","MOV")</f>
        <v>21</v>
      </c>
      <c r="R7081" t="s" s="16">
        <f>HYPERLINK("http://secrets.rutgers.edu:8080/data/asl-ftp/asllvd/demos/verify_start_end_handshape_annotations//test_auto_move//signs_mov_separ_signers/Liz_16036.mov","MOV")</f>
        <v>21</v>
      </c>
    </row>
    <row r="7082" s="2" customFormat="1" ht="13.5" customHeight="1">
      <c r="B7082" s="13"/>
      <c r="C7082" t="s" s="9">
        <v>30</v>
      </c>
      <c r="D7082" t="s" s="8">
        <v>2451</v>
      </c>
      <c r="E7082" t="s" s="9">
        <v>2451</v>
      </c>
      <c r="F7082" t="s" s="10">
        <v>119</v>
      </c>
      <c r="G7082" t="s" s="11">
        <v>119</v>
      </c>
      <c r="H7082" t="s" s="10">
        <v>119</v>
      </c>
      <c r="I7082" t="s" s="11">
        <v>119</v>
      </c>
      <c r="J7082" t="s" s="11">
        <v>20</v>
      </c>
      <c r="K7082" s="15"/>
      <c r="L7082" t="s" s="16">
        <f>HYPERLINK("http://csr.bu.edu/ftp/asl/asllvd/demos/verify_start_end_handshape_annotations//test_auto_move//signs_mov_separ_signers/Brady_16036.mov","MOV")</f>
        <v>21</v>
      </c>
      <c r="M7082" t="s" s="10">
        <v>40</v>
      </c>
      <c r="N7082" s="17">
        <v>47</v>
      </c>
      <c r="O7082" s="18">
        <v>4927</v>
      </c>
      <c r="P7082" s="18">
        <v>4938</v>
      </c>
      <c r="Q7082" s="15"/>
      <c r="R7082" t="s" s="16">
        <f>HYPERLINK("http://secrets.rutgers.edu:8080/data/asl-ftp/asllvd/demos/verify_start_end_handshape_annotations//test_auto_move//signs_mov_separ_signers/Brady_16036.mov","MOV")</f>
        <v>21</v>
      </c>
    </row>
    <row r="7083" s="2" customFormat="1" ht="13.5" customHeight="1">
      <c r="B7083" t="s" s="8">
        <v>2452</v>
      </c>
      <c r="C7083" t="s" s="9">
        <v>14</v>
      </c>
      <c r="D7083" t="s" s="8">
        <v>14</v>
      </c>
      <c r="E7083" t="s" s="9">
        <v>14</v>
      </c>
      <c r="F7083" t="s" s="10">
        <v>14</v>
      </c>
      <c r="G7083" t="s" s="11">
        <v>14</v>
      </c>
      <c r="H7083" t="s" s="10">
        <v>14</v>
      </c>
      <c r="I7083" t="s" s="11">
        <v>14</v>
      </c>
      <c r="J7083" t="s" s="11">
        <v>14</v>
      </c>
      <c r="K7083" t="s" s="12">
        <v>14</v>
      </c>
      <c r="L7083" t="s" s="12">
        <v>14</v>
      </c>
      <c r="M7083" t="s" s="10">
        <v>14</v>
      </c>
      <c r="N7083" t="s" s="11">
        <v>14</v>
      </c>
      <c r="O7083" t="s" s="8">
        <v>14</v>
      </c>
      <c r="P7083" t="s" s="8">
        <v>14</v>
      </c>
      <c r="Q7083" t="s" s="12">
        <v>14</v>
      </c>
      <c r="R7083" t="s" s="12">
        <v>14</v>
      </c>
    </row>
    <row r="7084" s="2" customFormat="1" ht="13.5" customHeight="1">
      <c r="B7084" s="13"/>
      <c r="C7084" t="s" s="9">
        <v>16</v>
      </c>
      <c r="D7084" t="s" s="8">
        <v>2452</v>
      </c>
      <c r="E7084" t="s" s="9">
        <v>2453</v>
      </c>
      <c r="F7084" s="19">
        <v>5</v>
      </c>
      <c r="G7084" t="s" s="11">
        <v>73</v>
      </c>
      <c r="H7084" s="19">
        <v>5</v>
      </c>
      <c r="I7084" t="s" s="11">
        <v>73</v>
      </c>
      <c r="J7084" t="s" s="11">
        <v>20</v>
      </c>
      <c r="K7084" s="15"/>
      <c r="L7084" t="s" s="16">
        <f>HYPERLINK("http://csr.bu.edu/ftp/asl/asllvd/demos/verify_start_end_handshape_annotations//test_auto_move//signs_mov_separ_signers/Liz_1599.mov","MOV")</f>
        <v>21</v>
      </c>
      <c r="M7084" t="s" s="10">
        <v>88</v>
      </c>
      <c r="N7084" s="17">
        <v>11</v>
      </c>
      <c r="O7084" s="18">
        <v>2530</v>
      </c>
      <c r="P7084" s="18">
        <v>2580</v>
      </c>
      <c r="Q7084" s="15"/>
      <c r="R7084" t="s" s="16">
        <f>HYPERLINK("http://secrets.rutgers.edu:8080/data/asl-ftp/asllvd/demos/verify_start_end_handshape_annotations//test_auto_move//signs_mov_separ_signers/Liz_1599.mov","MOV")</f>
        <v>21</v>
      </c>
    </row>
    <row r="7085" s="2" customFormat="1" ht="13.5" customHeight="1">
      <c r="B7085" s="13"/>
      <c r="C7085" t="s" s="9">
        <v>41</v>
      </c>
      <c r="D7085" t="s" s="8">
        <v>2452</v>
      </c>
      <c r="E7085" t="s" s="9">
        <v>2453</v>
      </c>
      <c r="F7085" s="19">
        <v>5</v>
      </c>
      <c r="G7085" t="s" s="11">
        <v>73</v>
      </c>
      <c r="H7085" s="19">
        <v>5</v>
      </c>
      <c r="I7085" t="s" s="11">
        <v>73</v>
      </c>
      <c r="J7085" t="s" s="11">
        <v>20</v>
      </c>
      <c r="K7085" t="s" s="16">
        <f>HYPERLINK("http://csr.bu.edu/ftp/asl/asllvd/demos/verify_start_end_handshape_annotations//test_auto_move//signs_mov/1599.mov","MOV")</f>
        <v>21</v>
      </c>
      <c r="L7085" t="s" s="16">
        <f>HYPERLINK("http://csr.bu.edu/ftp/asl/asllvd/demos/verify_start_end_handshape_annotations//test_auto_move//signs_mov_separ_signers/Lana_1599.mov","MOV")</f>
        <v>21</v>
      </c>
      <c r="M7085" t="s" s="10">
        <v>42</v>
      </c>
      <c r="N7085" s="17">
        <v>18</v>
      </c>
      <c r="O7085" s="18">
        <v>2554</v>
      </c>
      <c r="P7085" s="18">
        <v>2600</v>
      </c>
      <c r="Q7085" t="s" s="16">
        <f>HYPERLINK("http://secrets.rutgers.edu:8080/data/asl-ftp/asllvd/demos/verify_start_end_handshape_annotations//test_auto_move//signs_mov/1599.mov","MOV")</f>
        <v>21</v>
      </c>
      <c r="R7085" t="s" s="16">
        <f>HYPERLINK("http://secrets.rutgers.edu:8080/data/asl-ftp/asllvd/demos/verify_start_end_handshape_annotations//test_auto_move//signs_mov_separ_signers/Lana_1599.mov","MOV")</f>
        <v>21</v>
      </c>
    </row>
    <row r="7086" s="2" customFormat="1" ht="13.5" customHeight="1">
      <c r="B7086" s="13"/>
      <c r="C7086" t="s" s="9">
        <v>43</v>
      </c>
      <c r="D7086" t="s" s="8">
        <v>2452</v>
      </c>
      <c r="E7086" t="s" s="9">
        <v>2453</v>
      </c>
      <c r="F7086" s="19">
        <v>5</v>
      </c>
      <c r="G7086" t="s" s="11">
        <v>73</v>
      </c>
      <c r="H7086" s="19">
        <v>5</v>
      </c>
      <c r="I7086" t="s" s="11">
        <v>73</v>
      </c>
      <c r="J7086" t="s" s="11">
        <v>20</v>
      </c>
      <c r="K7086" s="15"/>
      <c r="L7086" t="s" s="16">
        <f>HYPERLINK("http://csr.bu.edu/ftp/asl/asllvd/demos/verify_start_end_handshape_annotations//test_auto_move//signs_mov_separ_signers/Dana_1599.mov","MOV")</f>
        <v>21</v>
      </c>
      <c r="M7086" t="s" s="10">
        <v>44</v>
      </c>
      <c r="N7086" s="17">
        <v>20</v>
      </c>
      <c r="O7086" s="18">
        <v>2501</v>
      </c>
      <c r="P7086" s="18">
        <v>2569</v>
      </c>
      <c r="Q7086" s="15"/>
      <c r="R7086" t="s" s="16">
        <f>HYPERLINK("http://secrets.rutgers.edu:8080/data/asl-ftp/asllvd/demos/verify_start_end_handshape_annotations//test_auto_move//signs_mov_separ_signers/Dana_1599.mov","MOV")</f>
        <v>21</v>
      </c>
    </row>
    <row r="7087" s="2" customFormat="1" ht="13.5" customHeight="1">
      <c r="B7087" t="s" s="8">
        <v>52</v>
      </c>
      <c r="C7087" t="s" s="9">
        <v>53</v>
      </c>
      <c r="D7087" t="s" s="8">
        <v>53</v>
      </c>
      <c r="E7087" t="s" s="9">
        <v>53</v>
      </c>
      <c r="F7087" t="s" s="10">
        <v>53</v>
      </c>
      <c r="G7087" t="s" s="11">
        <v>53</v>
      </c>
      <c r="H7087" t="s" s="10">
        <v>53</v>
      </c>
      <c r="I7087" t="s" s="11">
        <v>53</v>
      </c>
      <c r="J7087" t="s" s="11">
        <v>53</v>
      </c>
      <c r="K7087" t="s" s="12">
        <v>53</v>
      </c>
      <c r="L7087" t="s" s="12">
        <v>53</v>
      </c>
      <c r="M7087" t="s" s="10">
        <v>53</v>
      </c>
      <c r="N7087" t="s" s="11">
        <v>53</v>
      </c>
      <c r="O7087" t="s" s="8">
        <v>53</v>
      </c>
      <c r="P7087" t="s" s="8">
        <v>53</v>
      </c>
      <c r="Q7087" t="s" s="12">
        <v>53</v>
      </c>
      <c r="R7087" t="s" s="12">
        <v>53</v>
      </c>
    </row>
    <row r="7088" s="2" customFormat="1" ht="13.5" customHeight="1">
      <c r="B7088" s="13"/>
      <c r="C7088" t="s" s="9">
        <v>23</v>
      </c>
      <c r="D7088" t="s" s="8">
        <v>2452</v>
      </c>
      <c r="E7088" t="s" s="9">
        <v>2454</v>
      </c>
      <c r="F7088" s="19">
        <v>5</v>
      </c>
      <c r="G7088" t="s" s="11">
        <v>68</v>
      </c>
      <c r="H7088" s="19">
        <v>5</v>
      </c>
      <c r="I7088" t="s" s="11">
        <v>68</v>
      </c>
      <c r="J7088" t="s" s="11">
        <v>20</v>
      </c>
      <c r="K7088" t="s" s="16">
        <f>HYPERLINK("http://csr.bu.edu/ftp/asl/asllvd/demos/verify_start_end_handshape_annotations//test_auto_move//signs_mov/3691.mov","MOV")</f>
        <v>21</v>
      </c>
      <c r="L7088" t="s" s="16">
        <f>HYPERLINK("http://csr.bu.edu/ftp/asl/asllvd/demos/verify_start_end_handshape_annotations//test_auto_move//signs_mov_separ_signers/Tyler_3691.mov","MOV")</f>
        <v>21</v>
      </c>
      <c r="M7088" t="s" s="10">
        <v>47</v>
      </c>
      <c r="N7088" s="17">
        <v>20</v>
      </c>
      <c r="O7088" s="18">
        <v>2276</v>
      </c>
      <c r="P7088" s="18">
        <v>2327</v>
      </c>
      <c r="Q7088" t="s" s="16">
        <f>HYPERLINK("http://secrets.rutgers.edu:8080/data/asl-ftp/asllvd/demos/verify_start_end_handshape_annotations//test_auto_move//signs_mov/3691.mov","MOV")</f>
        <v>21</v>
      </c>
      <c r="R7088" t="s" s="16">
        <f>HYPERLINK("http://secrets.rutgers.edu:8080/data/asl-ftp/asllvd/demos/verify_start_end_handshape_annotations//test_auto_move//signs_mov_separ_signers/Tyler_3691.mov","MOV")</f>
        <v>21</v>
      </c>
    </row>
    <row r="7089" s="2" customFormat="1" ht="13.5" customHeight="1">
      <c r="B7089" t="s" s="8">
        <v>52</v>
      </c>
      <c r="C7089" t="s" s="9">
        <v>53</v>
      </c>
      <c r="D7089" t="s" s="8">
        <v>53</v>
      </c>
      <c r="E7089" t="s" s="9">
        <v>53</v>
      </c>
      <c r="F7089" t="s" s="10">
        <v>53</v>
      </c>
      <c r="G7089" t="s" s="11">
        <v>53</v>
      </c>
      <c r="H7089" t="s" s="10">
        <v>53</v>
      </c>
      <c r="I7089" t="s" s="11">
        <v>53</v>
      </c>
      <c r="J7089" t="s" s="11">
        <v>53</v>
      </c>
      <c r="K7089" t="s" s="12">
        <v>53</v>
      </c>
      <c r="L7089" t="s" s="12">
        <v>53</v>
      </c>
      <c r="M7089" t="s" s="10">
        <v>53</v>
      </c>
      <c r="N7089" t="s" s="11">
        <v>53</v>
      </c>
      <c r="O7089" t="s" s="8">
        <v>53</v>
      </c>
      <c r="P7089" t="s" s="8">
        <v>53</v>
      </c>
      <c r="Q7089" t="s" s="12">
        <v>53</v>
      </c>
      <c r="R7089" t="s" s="12">
        <v>53</v>
      </c>
    </row>
    <row r="7090" s="2" customFormat="1" ht="13.5" customHeight="1">
      <c r="B7090" s="13"/>
      <c r="C7090" t="s" s="9">
        <v>16</v>
      </c>
      <c r="D7090" t="s" s="8">
        <v>2452</v>
      </c>
      <c r="E7090" t="s" s="9">
        <v>2455</v>
      </c>
      <c r="F7090" s="19">
        <v>5</v>
      </c>
      <c r="G7090" s="17">
        <v>1</v>
      </c>
      <c r="H7090" s="19">
        <v>5</v>
      </c>
      <c r="I7090" s="17">
        <v>1</v>
      </c>
      <c r="J7090" t="s" s="11">
        <v>20</v>
      </c>
      <c r="K7090" t="s" s="16">
        <f>HYPERLINK("http://csr.bu.edu/ftp/asl/asllvd/demos/verify_start_end_handshape_annotations//test_auto_move//signs_mov/5265.mov","MOV")</f>
        <v>21</v>
      </c>
      <c r="L7090" t="s" s="16">
        <f>HYPERLINK("http://csr.bu.edu/ftp/asl/asllvd/demos/verify_start_end_handshape_annotations//test_auto_move//signs_mov_separ_signers/Liz_5265.mov","MOV")</f>
        <v>21</v>
      </c>
      <c r="M7090" t="s" s="10">
        <v>88</v>
      </c>
      <c r="N7090" s="17">
        <v>12</v>
      </c>
      <c r="O7090" s="18">
        <v>295</v>
      </c>
      <c r="P7090" s="18">
        <v>335</v>
      </c>
      <c r="Q7090" t="s" s="16">
        <f>HYPERLINK("http://secrets.rutgers.edu:8080/data/asl-ftp/asllvd/demos/verify_start_end_handshape_annotations//test_auto_move//signs_mov/5265.mov","MOV")</f>
        <v>21</v>
      </c>
      <c r="R7090" t="s" s="16">
        <f>HYPERLINK("http://secrets.rutgers.edu:8080/data/asl-ftp/asllvd/demos/verify_start_end_handshape_annotations//test_auto_move//signs_mov_separ_signers/Liz_5265.mov","MOV")</f>
        <v>21</v>
      </c>
    </row>
    <row r="7091" s="2" customFormat="1" ht="13.5" customHeight="1">
      <c r="B7091" t="s" s="8">
        <v>2456</v>
      </c>
      <c r="C7091" t="s" s="9">
        <v>14</v>
      </c>
      <c r="D7091" t="s" s="8">
        <v>14</v>
      </c>
      <c r="E7091" t="s" s="9">
        <v>14</v>
      </c>
      <c r="F7091" t="s" s="10">
        <v>14</v>
      </c>
      <c r="G7091" t="s" s="11">
        <v>14</v>
      </c>
      <c r="H7091" t="s" s="10">
        <v>14</v>
      </c>
      <c r="I7091" t="s" s="11">
        <v>14</v>
      </c>
      <c r="J7091" t="s" s="11">
        <v>14</v>
      </c>
      <c r="K7091" t="s" s="12">
        <v>14</v>
      </c>
      <c r="L7091" t="s" s="12">
        <v>14</v>
      </c>
      <c r="M7091" t="s" s="10">
        <v>14</v>
      </c>
      <c r="N7091" t="s" s="11">
        <v>14</v>
      </c>
      <c r="O7091" t="s" s="8">
        <v>14</v>
      </c>
      <c r="P7091" t="s" s="8">
        <v>14</v>
      </c>
      <c r="Q7091" t="s" s="12">
        <v>14</v>
      </c>
      <c r="R7091" t="s" s="12">
        <v>14</v>
      </c>
    </row>
    <row r="7092" s="2" customFormat="1" ht="13.5" customHeight="1">
      <c r="B7092" s="13"/>
      <c r="C7092" t="s" s="9">
        <v>23</v>
      </c>
      <c r="D7092" t="s" s="8">
        <v>2456</v>
      </c>
      <c r="E7092" t="s" s="9">
        <v>2456</v>
      </c>
      <c r="F7092" t="s" s="10">
        <v>757</v>
      </c>
      <c r="G7092" t="s" s="11">
        <v>757</v>
      </c>
      <c r="H7092" t="s" s="10">
        <v>757</v>
      </c>
      <c r="I7092" t="s" s="11">
        <v>757</v>
      </c>
      <c r="J7092" t="s" s="11">
        <v>20</v>
      </c>
      <c r="K7092" t="s" s="16">
        <f>HYPERLINK("http://csr.bu.edu/ftp/asl/asllvd/demos/verify_start_end_handshape_annotations//test_auto_move//signs_mov/1605.mov","MOV")</f>
        <v>21</v>
      </c>
      <c r="L7092" t="s" s="16">
        <f>HYPERLINK("http://csr.bu.edu/ftp/asl/asllvd/demos/verify_start_end_handshape_annotations//test_auto_move//signs_mov_separ_signers/Tyler_1605.mov","MOV")</f>
        <v>21</v>
      </c>
      <c r="M7092" t="s" s="10">
        <v>47</v>
      </c>
      <c r="N7092" s="17">
        <v>21</v>
      </c>
      <c r="O7092" s="18">
        <v>1820</v>
      </c>
      <c r="P7092" s="18">
        <v>1853</v>
      </c>
      <c r="Q7092" t="s" s="16">
        <f>HYPERLINK("http://secrets.rutgers.edu:8080/data/asl-ftp/asllvd/demos/verify_start_end_handshape_annotations//test_auto_move//signs_mov/1605.mov","MOV")</f>
        <v>21</v>
      </c>
      <c r="R7092" t="s" s="16">
        <f>HYPERLINK("http://secrets.rutgers.edu:8080/data/asl-ftp/asllvd/demos/verify_start_end_handshape_annotations//test_auto_move//signs_mov_separ_signers/Tyler_1605.mov","MOV")</f>
        <v>21</v>
      </c>
    </row>
    <row r="7093" s="2" customFormat="1" ht="13.5" customHeight="1">
      <c r="B7093" t="s" s="8">
        <v>2457</v>
      </c>
      <c r="C7093" t="s" s="9">
        <v>14</v>
      </c>
      <c r="D7093" t="s" s="8">
        <v>14</v>
      </c>
      <c r="E7093" t="s" s="9">
        <v>14</v>
      </c>
      <c r="F7093" t="s" s="10">
        <v>14</v>
      </c>
      <c r="G7093" t="s" s="11">
        <v>14</v>
      </c>
      <c r="H7093" t="s" s="10">
        <v>14</v>
      </c>
      <c r="I7093" t="s" s="11">
        <v>14</v>
      </c>
      <c r="J7093" t="s" s="11">
        <v>14</v>
      </c>
      <c r="K7093" t="s" s="12">
        <v>14</v>
      </c>
      <c r="L7093" t="s" s="12">
        <v>14</v>
      </c>
      <c r="M7093" t="s" s="10">
        <v>14</v>
      </c>
      <c r="N7093" t="s" s="11">
        <v>14</v>
      </c>
      <c r="O7093" t="s" s="8">
        <v>14</v>
      </c>
      <c r="P7093" t="s" s="8">
        <v>14</v>
      </c>
      <c r="Q7093" t="s" s="12">
        <v>14</v>
      </c>
      <c r="R7093" t="s" s="12">
        <v>14</v>
      </c>
    </row>
    <row r="7094" s="2" customFormat="1" ht="13.5" customHeight="1">
      <c r="B7094" s="13"/>
      <c r="C7094" t="s" s="9">
        <v>16</v>
      </c>
      <c r="D7094" t="s" s="8">
        <v>2457</v>
      </c>
      <c r="E7094" t="s" s="9">
        <v>2458</v>
      </c>
      <c r="F7094" t="s" s="10">
        <v>73</v>
      </c>
      <c r="G7094" t="s" s="11">
        <v>73</v>
      </c>
      <c r="H7094" t="s" s="10">
        <v>73</v>
      </c>
      <c r="I7094" t="s" s="11">
        <v>73</v>
      </c>
      <c r="J7094" t="s" s="11">
        <v>136</v>
      </c>
      <c r="K7094" s="15"/>
      <c r="L7094" t="s" s="16">
        <f>HYPERLINK("http://csr.bu.edu/ftp/asl/asllvd/demos/verify_start_end_handshape_annotations//test_auto_move//signs_mov_separ_signers/Liz_1606.mov","MOV")</f>
        <v>21</v>
      </c>
      <c r="M7094" t="s" s="10">
        <v>88</v>
      </c>
      <c r="N7094" s="17">
        <v>12</v>
      </c>
      <c r="O7094" s="18">
        <v>2495</v>
      </c>
      <c r="P7094" s="18">
        <v>2562</v>
      </c>
      <c r="Q7094" s="15"/>
      <c r="R7094" t="s" s="16">
        <f>HYPERLINK("http://secrets.rutgers.edu:8080/data/asl-ftp/asllvd/demos/verify_start_end_handshape_annotations//test_auto_move//signs_mov_separ_signers/Liz_1606.mov","MOV")</f>
        <v>21</v>
      </c>
    </row>
    <row r="7095" s="2" customFormat="1" ht="13.5" customHeight="1">
      <c r="B7095" s="13"/>
      <c r="C7095" t="s" s="9">
        <v>16</v>
      </c>
      <c r="D7095" t="s" s="8">
        <v>2457</v>
      </c>
      <c r="E7095" t="s" s="9">
        <v>2458</v>
      </c>
      <c r="F7095" t="s" s="10">
        <v>73</v>
      </c>
      <c r="G7095" t="s" s="11">
        <v>73</v>
      </c>
      <c r="H7095" t="s" s="10">
        <v>73</v>
      </c>
      <c r="I7095" t="s" s="11">
        <v>73</v>
      </c>
      <c r="J7095" t="s" s="11">
        <v>136</v>
      </c>
      <c r="K7095" t="s" s="16">
        <f>HYPERLINK("http://csr.bu.edu/ftp/asl/asllvd/demos/verify_start_end_handshape_annotations//test_auto_move//signs_mov/1606_3350_merged.mov","MOV")</f>
        <v>21</v>
      </c>
      <c r="L7095" t="s" s="16">
        <f>HYPERLINK("http://csr.bu.edu/ftp/asl/asllvd/demos/verify_start_end_handshape_annotations//test_auto_move//signs_mov_separ_signers/Liz_3350.mov","MOV")</f>
        <v>21</v>
      </c>
      <c r="M7095" t="s" s="10">
        <v>36</v>
      </c>
      <c r="N7095" s="17">
        <v>32</v>
      </c>
      <c r="O7095" s="18">
        <v>1503</v>
      </c>
      <c r="P7095" s="18">
        <v>1574</v>
      </c>
      <c r="Q7095" t="s" s="16">
        <f>HYPERLINK("http://secrets.rutgers.edu:8080/data/asl-ftp/asllvd/demos/verify_start_end_handshape_annotations//test_auto_move//signs_mov/1606_3350_merged.mov","MOV")</f>
        <v>21</v>
      </c>
      <c r="R7095" t="s" s="16">
        <f>HYPERLINK("http://secrets.rutgers.edu:8080/data/asl-ftp/asllvd/demos/verify_start_end_handshape_annotations//test_auto_move//signs_mov_separ_signers/Liz_3350.mov","MOV")</f>
        <v>21</v>
      </c>
    </row>
    <row r="7096" s="2" customFormat="1" ht="13.5" customHeight="1">
      <c r="B7096" s="13"/>
      <c r="C7096" t="s" s="9">
        <v>23</v>
      </c>
      <c r="D7096" t="s" s="8">
        <v>2457</v>
      </c>
      <c r="E7096" t="s" s="9">
        <v>2458</v>
      </c>
      <c r="F7096" t="s" s="10">
        <v>73</v>
      </c>
      <c r="G7096" t="s" s="11">
        <v>68</v>
      </c>
      <c r="H7096" t="s" s="10">
        <v>73</v>
      </c>
      <c r="I7096" t="s" s="11">
        <v>68</v>
      </c>
      <c r="J7096" t="s" s="11">
        <v>136</v>
      </c>
      <c r="K7096" s="15"/>
      <c r="L7096" t="s" s="16">
        <f>HYPERLINK("http://csr.bu.edu/ftp/asl/asllvd/demos/verify_start_end_handshape_annotations//test_auto_move//signs_mov_separ_signers/Tyler_1606.mov","MOV")</f>
        <v>21</v>
      </c>
      <c r="M7096" t="s" s="10">
        <v>47</v>
      </c>
      <c r="N7096" s="17">
        <v>21</v>
      </c>
      <c r="O7096" s="18">
        <v>2017</v>
      </c>
      <c r="P7096" s="18">
        <v>2057</v>
      </c>
      <c r="Q7096" s="15"/>
      <c r="R7096" t="s" s="16">
        <f>HYPERLINK("http://secrets.rutgers.edu:8080/data/asl-ftp/asllvd/demos/verify_start_end_handshape_annotations//test_auto_move//signs_mov_separ_signers/Tyler_1606.mov","MOV")</f>
        <v>21</v>
      </c>
    </row>
    <row r="7097" s="2" customFormat="1" ht="13.5" customHeight="1">
      <c r="B7097" t="s" s="8">
        <v>2459</v>
      </c>
      <c r="C7097" t="s" s="9">
        <v>14</v>
      </c>
      <c r="D7097" t="s" s="8">
        <v>14</v>
      </c>
      <c r="E7097" t="s" s="9">
        <v>14</v>
      </c>
      <c r="F7097" t="s" s="10">
        <v>14</v>
      </c>
      <c r="G7097" t="s" s="11">
        <v>14</v>
      </c>
      <c r="H7097" t="s" s="10">
        <v>14</v>
      </c>
      <c r="I7097" t="s" s="11">
        <v>14</v>
      </c>
      <c r="J7097" t="s" s="11">
        <v>14</v>
      </c>
      <c r="K7097" t="s" s="12">
        <v>14</v>
      </c>
      <c r="L7097" t="s" s="12">
        <v>14</v>
      </c>
      <c r="M7097" t="s" s="10">
        <v>14</v>
      </c>
      <c r="N7097" t="s" s="11">
        <v>14</v>
      </c>
      <c r="O7097" t="s" s="8">
        <v>14</v>
      </c>
      <c r="P7097" t="s" s="8">
        <v>14</v>
      </c>
      <c r="Q7097" t="s" s="12">
        <v>14</v>
      </c>
      <c r="R7097" t="s" s="12">
        <v>14</v>
      </c>
    </row>
    <row r="7098" s="2" customFormat="1" ht="13.5" customHeight="1">
      <c r="B7098" s="13"/>
      <c r="C7098" t="s" s="9">
        <v>16</v>
      </c>
      <c r="D7098" t="s" s="8">
        <v>2459</v>
      </c>
      <c r="E7098" t="s" s="9">
        <v>2460</v>
      </c>
      <c r="F7098" t="s" s="10">
        <v>220</v>
      </c>
      <c r="G7098" t="s" s="11">
        <v>73</v>
      </c>
      <c r="H7098" t="s" s="10">
        <v>220</v>
      </c>
      <c r="I7098" t="s" s="11">
        <v>73</v>
      </c>
      <c r="J7098" t="s" s="11">
        <v>136</v>
      </c>
      <c r="K7098" t="s" s="16">
        <f>HYPERLINK("http://csr.bu.edu/ftp/asl/asllvd/demos/verify_start_end_handshape_annotations//test_auto_move//signs_mov/3395.mov","MOV")</f>
        <v>21</v>
      </c>
      <c r="L7098" t="s" s="16">
        <f>HYPERLINK("http://csr.bu.edu/ftp/asl/asllvd/demos/verify_start_end_handshape_annotations//test_auto_move//signs_mov_separ_signers/Liz_3395.mov","MOV")</f>
        <v>21</v>
      </c>
      <c r="M7098" t="s" s="10">
        <v>88</v>
      </c>
      <c r="N7098" s="17">
        <v>43</v>
      </c>
      <c r="O7098" s="18">
        <v>811</v>
      </c>
      <c r="P7098" s="18">
        <v>867</v>
      </c>
      <c r="Q7098" t="s" s="16">
        <f>HYPERLINK("http://secrets.rutgers.edu:8080/data/asl-ftp/asllvd/demos/verify_start_end_handshape_annotations//test_auto_move//signs_mov/3395.mov","MOV")</f>
        <v>21</v>
      </c>
      <c r="R7098" t="s" s="16">
        <f>HYPERLINK("http://secrets.rutgers.edu:8080/data/asl-ftp/asllvd/demos/verify_start_end_handshape_annotations//test_auto_move//signs_mov_separ_signers/Liz_3395.mov","MOV")</f>
        <v>21</v>
      </c>
    </row>
    <row r="7099" s="2" customFormat="1" ht="13.5" customHeight="1">
      <c r="B7099" t="s" s="8">
        <v>2461</v>
      </c>
      <c r="C7099" t="s" s="9">
        <v>14</v>
      </c>
      <c r="D7099" t="s" s="8">
        <v>14</v>
      </c>
      <c r="E7099" t="s" s="9">
        <v>14</v>
      </c>
      <c r="F7099" t="s" s="10">
        <v>14</v>
      </c>
      <c r="G7099" t="s" s="11">
        <v>14</v>
      </c>
      <c r="H7099" t="s" s="10">
        <v>14</v>
      </c>
      <c r="I7099" t="s" s="11">
        <v>14</v>
      </c>
      <c r="J7099" t="s" s="11">
        <v>14</v>
      </c>
      <c r="K7099" t="s" s="12">
        <v>14</v>
      </c>
      <c r="L7099" t="s" s="12">
        <v>14</v>
      </c>
      <c r="M7099" t="s" s="10">
        <v>14</v>
      </c>
      <c r="N7099" t="s" s="11">
        <v>14</v>
      </c>
      <c r="O7099" t="s" s="8">
        <v>14</v>
      </c>
      <c r="P7099" t="s" s="8">
        <v>14</v>
      </c>
      <c r="Q7099" t="s" s="12">
        <v>14</v>
      </c>
      <c r="R7099" t="s" s="12">
        <v>14</v>
      </c>
    </row>
    <row r="7100" s="2" customFormat="1" ht="13.5" customHeight="1">
      <c r="B7100" s="13"/>
      <c r="C7100" t="s" s="9">
        <v>16</v>
      </c>
      <c r="D7100" t="s" s="8">
        <v>2461</v>
      </c>
      <c r="E7100" t="s" s="9">
        <v>2461</v>
      </c>
      <c r="F7100" t="s" s="10">
        <v>255</v>
      </c>
      <c r="G7100" s="14"/>
      <c r="H7100" t="s" s="10">
        <v>255</v>
      </c>
      <c r="I7100" s="14"/>
      <c r="J7100" t="s" s="11">
        <v>20</v>
      </c>
      <c r="K7100" s="15"/>
      <c r="L7100" t="s" s="16">
        <f>HYPERLINK("http://csr.bu.edu/ftp/asl/asllvd/demos/verify_start_end_handshape_annotations//test_auto_move//signs_mov_separ_signers/Liz_1608.mov","MOV")</f>
        <v>21</v>
      </c>
      <c r="M7100" t="s" s="10">
        <v>88</v>
      </c>
      <c r="N7100" s="17">
        <v>12</v>
      </c>
      <c r="O7100" s="18">
        <v>3385</v>
      </c>
      <c r="P7100" s="18">
        <v>3415</v>
      </c>
      <c r="Q7100" s="15"/>
      <c r="R7100" t="s" s="16">
        <f>HYPERLINK("http://secrets.rutgers.edu:8080/data/asl-ftp/asllvd/demos/verify_start_end_handshape_annotations//test_auto_move//signs_mov_separ_signers/Liz_1608.mov","MOV")</f>
        <v>21</v>
      </c>
    </row>
    <row r="7101" s="2" customFormat="1" ht="13.5" customHeight="1">
      <c r="B7101" s="13"/>
      <c r="C7101" t="s" s="9">
        <v>23</v>
      </c>
      <c r="D7101" t="s" s="8">
        <v>2461</v>
      </c>
      <c r="E7101" t="s" s="9">
        <v>2461</v>
      </c>
      <c r="F7101" t="s" s="10">
        <v>255</v>
      </c>
      <c r="G7101" s="14"/>
      <c r="H7101" t="s" s="10">
        <v>255</v>
      </c>
      <c r="I7101" s="14"/>
      <c r="J7101" t="s" s="11">
        <v>20</v>
      </c>
      <c r="K7101" t="s" s="16">
        <f>HYPERLINK("http://csr.bu.edu/ftp/asl/asllvd/demos/verify_start_end_handshape_annotations//test_auto_move//signs_mov/1608.mov","MOV")</f>
        <v>21</v>
      </c>
      <c r="L7101" t="s" s="16">
        <f>HYPERLINK("http://csr.bu.edu/ftp/asl/asllvd/demos/verify_start_end_handshape_annotations//test_auto_move//signs_mov_separ_signers/Tyler_1608.mov","MOV")</f>
        <v>21</v>
      </c>
      <c r="M7101" t="s" s="10">
        <v>47</v>
      </c>
      <c r="N7101" s="17">
        <v>21</v>
      </c>
      <c r="O7101" s="18">
        <v>2750</v>
      </c>
      <c r="P7101" s="18">
        <v>2782</v>
      </c>
      <c r="Q7101" t="s" s="16">
        <f>HYPERLINK("http://secrets.rutgers.edu:8080/data/asl-ftp/asllvd/demos/verify_start_end_handshape_annotations//test_auto_move//signs_mov/1608.mov","MOV")</f>
        <v>21</v>
      </c>
      <c r="R7101" t="s" s="16">
        <f>HYPERLINK("http://secrets.rutgers.edu:8080/data/asl-ftp/asllvd/demos/verify_start_end_handshape_annotations//test_auto_move//signs_mov_separ_signers/Tyler_1608.mov","MOV")</f>
        <v>21</v>
      </c>
    </row>
    <row r="7102" s="2" customFormat="1" ht="13.5" customHeight="1">
      <c r="B7102" s="13"/>
      <c r="C7102" t="s" s="9">
        <v>41</v>
      </c>
      <c r="D7102" t="s" s="8">
        <v>2461</v>
      </c>
      <c r="E7102" t="s" s="9">
        <v>2461</v>
      </c>
      <c r="F7102" t="s" s="10">
        <v>255</v>
      </c>
      <c r="G7102" s="14"/>
      <c r="H7102" t="s" s="10">
        <v>255</v>
      </c>
      <c r="I7102" s="14"/>
      <c r="J7102" t="s" s="11">
        <v>20</v>
      </c>
      <c r="K7102" s="15"/>
      <c r="L7102" t="s" s="16">
        <f>HYPERLINK("http://csr.bu.edu/ftp/asl/asllvd/demos/verify_start_end_handshape_annotations//test_auto_move//signs_mov_separ_signers/Lana_1608.mov","MOV")</f>
        <v>21</v>
      </c>
      <c r="M7102" t="s" s="10">
        <v>42</v>
      </c>
      <c r="N7102" s="17">
        <v>19</v>
      </c>
      <c r="O7102" s="18">
        <v>1040</v>
      </c>
      <c r="P7102" s="18">
        <v>1049</v>
      </c>
      <c r="Q7102" s="15"/>
      <c r="R7102" t="s" s="16">
        <f>HYPERLINK("http://secrets.rutgers.edu:8080/data/asl-ftp/asllvd/demos/verify_start_end_handshape_annotations//test_auto_move//signs_mov_separ_signers/Lana_1608.mov","MOV")</f>
        <v>21</v>
      </c>
    </row>
    <row r="7103" s="2" customFormat="1" ht="13.5" customHeight="1">
      <c r="B7103" s="13"/>
      <c r="C7103" t="s" s="9">
        <v>43</v>
      </c>
      <c r="D7103" t="s" s="8">
        <v>2461</v>
      </c>
      <c r="E7103" t="s" s="9">
        <v>2461</v>
      </c>
      <c r="F7103" t="s" s="10">
        <v>255</v>
      </c>
      <c r="G7103" s="14"/>
      <c r="H7103" t="s" s="10">
        <v>255</v>
      </c>
      <c r="I7103" s="14"/>
      <c r="J7103" t="s" s="11">
        <v>20</v>
      </c>
      <c r="K7103" s="15"/>
      <c r="L7103" t="s" s="16">
        <f>HYPERLINK("http://csr.bu.edu/ftp/asl/asllvd/demos/verify_start_end_handshape_annotations//test_auto_move//signs_mov_separ_signers/Dana_1608.mov","MOV")</f>
        <v>21</v>
      </c>
      <c r="M7103" t="s" s="10">
        <v>44</v>
      </c>
      <c r="N7103" s="17">
        <v>21</v>
      </c>
      <c r="O7103" s="18">
        <v>931</v>
      </c>
      <c r="P7103" s="18">
        <v>956</v>
      </c>
      <c r="Q7103" s="15"/>
      <c r="R7103" t="s" s="16">
        <f>HYPERLINK("http://secrets.rutgers.edu:8080/data/asl-ftp/asllvd/demos/verify_start_end_handshape_annotations//test_auto_move//signs_mov_separ_signers/Dana_1608.mov","MOV")</f>
        <v>21</v>
      </c>
    </row>
    <row r="7104" s="2" customFormat="1" ht="13.5" customHeight="1">
      <c r="B7104" t="s" s="8">
        <v>2462</v>
      </c>
      <c r="C7104" t="s" s="9">
        <v>14</v>
      </c>
      <c r="D7104" t="s" s="8">
        <v>14</v>
      </c>
      <c r="E7104" t="s" s="9">
        <v>14</v>
      </c>
      <c r="F7104" t="s" s="10">
        <v>14</v>
      </c>
      <c r="G7104" t="s" s="11">
        <v>14</v>
      </c>
      <c r="H7104" t="s" s="10">
        <v>14</v>
      </c>
      <c r="I7104" t="s" s="11">
        <v>14</v>
      </c>
      <c r="J7104" t="s" s="11">
        <v>14</v>
      </c>
      <c r="K7104" t="s" s="12">
        <v>14</v>
      </c>
      <c r="L7104" t="s" s="12">
        <v>14</v>
      </c>
      <c r="M7104" t="s" s="10">
        <v>14</v>
      </c>
      <c r="N7104" t="s" s="11">
        <v>14</v>
      </c>
      <c r="O7104" t="s" s="8">
        <v>14</v>
      </c>
      <c r="P7104" t="s" s="8">
        <v>14</v>
      </c>
      <c r="Q7104" t="s" s="12">
        <v>14</v>
      </c>
      <c r="R7104" t="s" s="12">
        <v>14</v>
      </c>
    </row>
    <row r="7105" s="2" customFormat="1" ht="13.5" customHeight="1">
      <c r="B7105" s="13"/>
      <c r="C7105" t="s" s="9">
        <v>16</v>
      </c>
      <c r="D7105" t="s" s="8">
        <v>2462</v>
      </c>
      <c r="E7105" t="s" s="9">
        <v>2463</v>
      </c>
      <c r="F7105" t="s" s="10">
        <v>255</v>
      </c>
      <c r="G7105" s="14"/>
      <c r="H7105" t="s" s="10">
        <v>255</v>
      </c>
      <c r="I7105" s="14"/>
      <c r="J7105" t="s" s="11">
        <v>20</v>
      </c>
      <c r="K7105" s="15"/>
      <c r="L7105" t="s" s="16">
        <f>HYPERLINK("http://csr.bu.edu/ftp/asl/asllvd/demos/verify_start_end_handshape_annotations//test_auto_move//signs_mov_separ_signers/Liz_15540.mov","MOV")</f>
        <v>21</v>
      </c>
      <c r="M7105" t="s" s="10">
        <v>88</v>
      </c>
      <c r="N7105" s="17">
        <v>16</v>
      </c>
      <c r="O7105" s="18">
        <v>2485</v>
      </c>
      <c r="P7105" s="18">
        <v>2525</v>
      </c>
      <c r="Q7105" s="15"/>
      <c r="R7105" t="s" s="16">
        <f>HYPERLINK("http://secrets.rutgers.edu:8080/data/asl-ftp/asllvd/demos/verify_start_end_handshape_annotations//test_auto_move//signs_mov_separ_signers/Liz_15540.mov","MOV")</f>
        <v>21</v>
      </c>
    </row>
    <row r="7106" s="2" customFormat="1" ht="13.5" customHeight="1">
      <c r="B7106" s="13"/>
      <c r="C7106" t="s" s="9">
        <v>16</v>
      </c>
      <c r="D7106" t="s" s="8">
        <v>2462</v>
      </c>
      <c r="E7106" t="s" s="9">
        <v>2463</v>
      </c>
      <c r="F7106" t="s" s="10">
        <v>255</v>
      </c>
      <c r="G7106" s="14"/>
      <c r="H7106" t="s" s="10">
        <v>255</v>
      </c>
      <c r="I7106" s="14"/>
      <c r="J7106" t="s" s="11">
        <v>20</v>
      </c>
      <c r="K7106" s="15"/>
      <c r="L7106" t="s" s="16">
        <f>HYPERLINK("http://csr.bu.edu/ftp/asl/asllvd/demos/verify_start_end_handshape_annotations//test_auto_move//signs_mov_separ_signers/Liz_15578.mov","MOV")</f>
        <v>21</v>
      </c>
      <c r="M7106" t="s" s="10">
        <v>36</v>
      </c>
      <c r="N7106" s="17">
        <v>30</v>
      </c>
      <c r="O7106" s="18">
        <v>1600</v>
      </c>
      <c r="P7106" s="18">
        <v>1627</v>
      </c>
      <c r="Q7106" s="15"/>
      <c r="R7106" t="s" s="16">
        <f>HYPERLINK("http://secrets.rutgers.edu:8080/data/asl-ftp/asllvd/demos/verify_start_end_handshape_annotations//test_auto_move//signs_mov_separ_signers/Liz_15578.mov","MOV")</f>
        <v>21</v>
      </c>
    </row>
    <row r="7107" s="2" customFormat="1" ht="13.5" customHeight="1">
      <c r="B7107" s="13"/>
      <c r="C7107" t="s" s="9">
        <v>30</v>
      </c>
      <c r="D7107" t="s" s="8">
        <v>2462</v>
      </c>
      <c r="E7107" t="s" s="9">
        <v>2464</v>
      </c>
      <c r="F7107" t="s" s="10">
        <v>255</v>
      </c>
      <c r="G7107" s="14"/>
      <c r="H7107" t="s" s="10">
        <v>255</v>
      </c>
      <c r="I7107" s="14"/>
      <c r="J7107" t="s" s="11">
        <v>20</v>
      </c>
      <c r="K7107" t="s" s="16">
        <f>HYPERLINK("http://csr.bu.edu/ftp/asl/asllvd/demos/verify_start_end_handshape_annotations//test_auto_move//signs_mov/15540_15578_merged.mov","MOV")</f>
        <v>21</v>
      </c>
      <c r="L7107" t="s" s="16">
        <f>HYPERLINK("http://csr.bu.edu/ftp/asl/asllvd/demos/verify_start_end_handshape_annotations//test_auto_move//signs_mov_separ_signers/Brady_15540.mov","MOV")</f>
        <v>21</v>
      </c>
      <c r="M7107" t="s" s="10">
        <v>40</v>
      </c>
      <c r="N7107" s="17">
        <v>81</v>
      </c>
      <c r="O7107" s="18">
        <v>1878</v>
      </c>
      <c r="P7107" s="18">
        <v>1917</v>
      </c>
      <c r="Q7107" t="s" s="16">
        <f>HYPERLINK("http://secrets.rutgers.edu:8080/data/asl-ftp/asllvd/demos/verify_start_end_handshape_annotations//test_auto_move//signs_mov/15540_15578_merged.mov","MOV")</f>
        <v>21</v>
      </c>
      <c r="R7107" t="s" s="16">
        <f>HYPERLINK("http://secrets.rutgers.edu:8080/data/asl-ftp/asllvd/demos/verify_start_end_handshape_annotations//test_auto_move//signs_mov_separ_signers/Brady_15540.mov","MOV")</f>
        <v>21</v>
      </c>
    </row>
    <row r="7108" s="2" customFormat="1" ht="13.5" customHeight="1">
      <c r="B7108" s="13"/>
      <c r="C7108" t="s" s="9">
        <v>41</v>
      </c>
      <c r="D7108" t="s" s="8">
        <v>2462</v>
      </c>
      <c r="E7108" t="s" s="9">
        <v>2464</v>
      </c>
      <c r="F7108" t="s" s="10">
        <v>255</v>
      </c>
      <c r="G7108" s="14"/>
      <c r="H7108" t="s" s="10">
        <v>255</v>
      </c>
      <c r="I7108" s="14"/>
      <c r="J7108" t="s" s="11">
        <v>20</v>
      </c>
      <c r="K7108" s="15"/>
      <c r="L7108" t="s" s="16">
        <f>HYPERLINK("http://csr.bu.edu/ftp/asl/asllvd/demos/verify_start_end_handshape_annotations//test_auto_move//signs_mov_separ_signers/Lana_15540.mov","MOV")</f>
        <v>21</v>
      </c>
      <c r="M7108" t="s" s="10">
        <v>42</v>
      </c>
      <c r="N7108" s="17">
        <v>19</v>
      </c>
      <c r="O7108" s="18">
        <v>1283</v>
      </c>
      <c r="P7108" s="18">
        <v>1325</v>
      </c>
      <c r="Q7108" s="15"/>
      <c r="R7108" t="s" s="16">
        <f>HYPERLINK("http://secrets.rutgers.edu:8080/data/asl-ftp/asllvd/demos/verify_start_end_handshape_annotations//test_auto_move//signs_mov_separ_signers/Lana_15540.mov","MOV")</f>
        <v>21</v>
      </c>
    </row>
    <row r="7109" s="2" customFormat="1" ht="13.5" customHeight="1">
      <c r="B7109" s="13"/>
      <c r="C7109" t="s" s="9">
        <v>43</v>
      </c>
      <c r="D7109" t="s" s="8">
        <v>2462</v>
      </c>
      <c r="E7109" t="s" s="9">
        <v>2465</v>
      </c>
      <c r="F7109" t="s" s="10">
        <v>255</v>
      </c>
      <c r="G7109" s="14"/>
      <c r="H7109" t="s" s="10">
        <v>255</v>
      </c>
      <c r="I7109" s="14"/>
      <c r="J7109" t="s" s="11">
        <v>20</v>
      </c>
      <c r="K7109" s="15"/>
      <c r="L7109" t="s" s="16">
        <f>HYPERLINK("http://csr.bu.edu/ftp/asl/asllvd/demos/verify_start_end_handshape_annotations//test_auto_move//signs_mov_separ_signers/Dana_15540.mov","MOV")</f>
        <v>21</v>
      </c>
      <c r="M7109" t="s" s="10">
        <v>44</v>
      </c>
      <c r="N7109" s="17">
        <v>21</v>
      </c>
      <c r="O7109" s="18">
        <v>1197</v>
      </c>
      <c r="P7109" s="18">
        <v>1251</v>
      </c>
      <c r="Q7109" s="15"/>
      <c r="R7109" t="s" s="16">
        <f>HYPERLINK("http://secrets.rutgers.edu:8080/data/asl-ftp/asllvd/demos/verify_start_end_handshape_annotations//test_auto_move//signs_mov_separ_signers/Dana_15540.mov","MOV")</f>
        <v>21</v>
      </c>
    </row>
    <row r="7110" s="2" customFormat="1" ht="13.5" customHeight="1">
      <c r="B7110" t="s" s="8">
        <v>2466</v>
      </c>
      <c r="C7110" t="s" s="9">
        <v>14</v>
      </c>
      <c r="D7110" t="s" s="8">
        <v>14</v>
      </c>
      <c r="E7110" t="s" s="9">
        <v>14</v>
      </c>
      <c r="F7110" t="s" s="10">
        <v>14</v>
      </c>
      <c r="G7110" t="s" s="11">
        <v>14</v>
      </c>
      <c r="H7110" t="s" s="10">
        <v>14</v>
      </c>
      <c r="I7110" t="s" s="11">
        <v>14</v>
      </c>
      <c r="J7110" t="s" s="11">
        <v>14</v>
      </c>
      <c r="K7110" t="s" s="12">
        <v>14</v>
      </c>
      <c r="L7110" t="s" s="12">
        <v>14</v>
      </c>
      <c r="M7110" t="s" s="10">
        <v>14</v>
      </c>
      <c r="N7110" t="s" s="11">
        <v>14</v>
      </c>
      <c r="O7110" t="s" s="8">
        <v>14</v>
      </c>
      <c r="P7110" t="s" s="8">
        <v>14</v>
      </c>
      <c r="Q7110" t="s" s="12">
        <v>14</v>
      </c>
      <c r="R7110" t="s" s="12">
        <v>14</v>
      </c>
    </row>
    <row r="7111" s="2" customFormat="1" ht="13.5" customHeight="1">
      <c r="B7111" s="13"/>
      <c r="C7111" t="s" s="9">
        <v>23</v>
      </c>
      <c r="D7111" t="s" s="8">
        <v>2466</v>
      </c>
      <c r="E7111" t="s" s="9">
        <v>2466</v>
      </c>
      <c r="F7111" t="s" s="10">
        <v>268</v>
      </c>
      <c r="G7111" t="s" s="11">
        <v>268</v>
      </c>
      <c r="H7111" t="s" s="10">
        <v>268</v>
      </c>
      <c r="I7111" t="s" s="11">
        <v>268</v>
      </c>
      <c r="J7111" t="s" s="11">
        <v>20</v>
      </c>
      <c r="K7111" t="s" s="16">
        <f>HYPERLINK("http://csr.bu.edu/ftp/asl/asllvd/demos/verify_start_end_handshape_annotations//test_auto_move//signs_mov/1609.mov","MOV")</f>
        <v>21</v>
      </c>
      <c r="L7111" t="s" s="16">
        <f>HYPERLINK("http://csr.bu.edu/ftp/asl/asllvd/demos/verify_start_end_handshape_annotations//test_auto_move//signs_mov_separ_signers/Tyler_1609.mov","MOV")</f>
        <v>21</v>
      </c>
      <c r="M7111" t="s" s="10">
        <v>47</v>
      </c>
      <c r="N7111" s="17">
        <v>21</v>
      </c>
      <c r="O7111" s="18">
        <v>3017</v>
      </c>
      <c r="P7111" s="18">
        <v>3057</v>
      </c>
      <c r="Q7111" t="s" s="16">
        <f>HYPERLINK("http://secrets.rutgers.edu:8080/data/asl-ftp/asllvd/demos/verify_start_end_handshape_annotations//test_auto_move//signs_mov/1609.mov","MOV")</f>
        <v>21</v>
      </c>
      <c r="R7111" t="s" s="16">
        <f>HYPERLINK("http://secrets.rutgers.edu:8080/data/asl-ftp/asllvd/demos/verify_start_end_handshape_annotations//test_auto_move//signs_mov_separ_signers/Tyler_1609.mov","MOV")</f>
        <v>21</v>
      </c>
    </row>
    <row r="7112" s="2" customFormat="1" ht="13.5" customHeight="1">
      <c r="B7112" t="s" s="8">
        <v>52</v>
      </c>
      <c r="C7112" t="s" s="9">
        <v>53</v>
      </c>
      <c r="D7112" t="s" s="8">
        <v>53</v>
      </c>
      <c r="E7112" t="s" s="9">
        <v>53</v>
      </c>
      <c r="F7112" t="s" s="10">
        <v>53</v>
      </c>
      <c r="G7112" t="s" s="11">
        <v>53</v>
      </c>
      <c r="H7112" t="s" s="10">
        <v>53</v>
      </c>
      <c r="I7112" t="s" s="11">
        <v>53</v>
      </c>
      <c r="J7112" t="s" s="11">
        <v>53</v>
      </c>
      <c r="K7112" t="s" s="12">
        <v>53</v>
      </c>
      <c r="L7112" t="s" s="12">
        <v>53</v>
      </c>
      <c r="M7112" t="s" s="10">
        <v>53</v>
      </c>
      <c r="N7112" t="s" s="11">
        <v>53</v>
      </c>
      <c r="O7112" t="s" s="8">
        <v>53</v>
      </c>
      <c r="P7112" t="s" s="8">
        <v>53</v>
      </c>
      <c r="Q7112" t="s" s="12">
        <v>53</v>
      </c>
      <c r="R7112" t="s" s="12">
        <v>53</v>
      </c>
    </row>
    <row r="7113" s="2" customFormat="1" ht="13.5" customHeight="1">
      <c r="B7113" s="13"/>
      <c r="C7113" t="s" s="9">
        <v>16</v>
      </c>
      <c r="D7113" t="s" s="8">
        <v>2466</v>
      </c>
      <c r="E7113" t="s" s="9">
        <v>2467</v>
      </c>
      <c r="F7113" t="s" s="10">
        <v>19</v>
      </c>
      <c r="G7113" t="s" s="11">
        <v>19</v>
      </c>
      <c r="H7113" t="s" s="10">
        <v>19</v>
      </c>
      <c r="I7113" t="s" s="11">
        <v>19</v>
      </c>
      <c r="J7113" t="s" s="11">
        <v>20</v>
      </c>
      <c r="K7113" t="s" s="16">
        <f>HYPERLINK("http://csr.bu.edu/ftp/asl/asllvd/demos/verify_start_end_handshape_annotations//test_auto_move//signs_mov/16409.mov","MOV")</f>
        <v>21</v>
      </c>
      <c r="L7113" t="s" s="16">
        <f>HYPERLINK("http://csr.bu.edu/ftp/asl/asllvd/demos/verify_start_end_handshape_annotations//test_auto_move//signs_mov_separ_signers/Liz_16409.mov","MOV")</f>
        <v>21</v>
      </c>
      <c r="M7113" t="s" s="10">
        <v>88</v>
      </c>
      <c r="N7113" s="17">
        <v>12</v>
      </c>
      <c r="O7113" s="18">
        <v>3630</v>
      </c>
      <c r="P7113" s="18">
        <v>3670</v>
      </c>
      <c r="Q7113" t="s" s="16">
        <f>HYPERLINK("http://secrets.rutgers.edu:8080/data/asl-ftp/asllvd/demos/verify_start_end_handshape_annotations//test_auto_move//signs_mov/16409.mov","MOV")</f>
        <v>21</v>
      </c>
      <c r="R7113" t="s" s="16">
        <f>HYPERLINK("http://secrets.rutgers.edu:8080/data/asl-ftp/asllvd/demos/verify_start_end_handshape_annotations//test_auto_move//signs_mov_separ_signers/Liz_16409.mov","MOV")</f>
        <v>21</v>
      </c>
    </row>
    <row r="7114" s="2" customFormat="1" ht="13.5" customHeight="1">
      <c r="B7114" t="s" s="8">
        <v>20</v>
      </c>
      <c r="C7114" t="s" s="9">
        <v>14</v>
      </c>
      <c r="D7114" t="s" s="8">
        <v>14</v>
      </c>
      <c r="E7114" t="s" s="9">
        <v>14</v>
      </c>
      <c r="F7114" t="s" s="10">
        <v>14</v>
      </c>
      <c r="G7114" t="s" s="11">
        <v>14</v>
      </c>
      <c r="H7114" t="s" s="10">
        <v>14</v>
      </c>
      <c r="I7114" t="s" s="11">
        <v>14</v>
      </c>
      <c r="J7114" t="s" s="11">
        <v>14</v>
      </c>
      <c r="K7114" t="s" s="12">
        <v>14</v>
      </c>
      <c r="L7114" t="s" s="12">
        <v>14</v>
      </c>
      <c r="M7114" t="s" s="10">
        <v>14</v>
      </c>
      <c r="N7114" t="s" s="11">
        <v>14</v>
      </c>
      <c r="O7114" t="s" s="8">
        <v>14</v>
      </c>
      <c r="P7114" t="s" s="8">
        <v>14</v>
      </c>
      <c r="Q7114" t="s" s="12">
        <v>14</v>
      </c>
      <c r="R7114" t="s" s="12">
        <v>14</v>
      </c>
    </row>
    <row r="7115" s="2" customFormat="1" ht="13.5" customHeight="1">
      <c r="B7115" s="13"/>
      <c r="C7115" t="s" s="9">
        <v>16</v>
      </c>
      <c r="D7115" t="s" s="8">
        <v>20</v>
      </c>
      <c r="E7115" t="s" s="9">
        <v>20</v>
      </c>
      <c r="F7115" t="s" s="10">
        <v>20</v>
      </c>
      <c r="G7115" s="14"/>
      <c r="H7115" t="s" s="10">
        <v>20</v>
      </c>
      <c r="I7115" s="14"/>
      <c r="J7115" t="s" s="11">
        <v>20</v>
      </c>
      <c r="K7115" t="s" s="16">
        <f>HYPERLINK("http://csr.bu.edu/ftp/asl/asllvd/demos/verify_start_end_handshape_annotations//test_auto_move//signs_mov/1614.mov","MOV")</f>
        <v>21</v>
      </c>
      <c r="L7115" t="s" s="16">
        <f>HYPERLINK("http://csr.bu.edu/ftp/asl/asllvd/demos/verify_start_end_handshape_annotations//test_auto_move//signs_mov_separ_signers/Liz_1614.mov","MOV")</f>
        <v>21</v>
      </c>
      <c r="M7115" t="s" s="10">
        <v>88</v>
      </c>
      <c r="N7115" s="17">
        <v>14</v>
      </c>
      <c r="O7115" s="18">
        <v>1495</v>
      </c>
      <c r="P7115" s="18">
        <v>1555</v>
      </c>
      <c r="Q7115" t="s" s="16">
        <f>HYPERLINK("http://secrets.rutgers.edu:8080/data/asl-ftp/asllvd/demos/verify_start_end_handshape_annotations//test_auto_move//signs_mov/1614.mov","MOV")</f>
        <v>21</v>
      </c>
      <c r="R7115" t="s" s="16">
        <f>HYPERLINK("http://secrets.rutgers.edu:8080/data/asl-ftp/asllvd/demos/verify_start_end_handshape_annotations//test_auto_move//signs_mov_separ_signers/Liz_1614.mov","MOV")</f>
        <v>21</v>
      </c>
    </row>
    <row r="7116" s="2" customFormat="1" ht="13.5" customHeight="1">
      <c r="B7116" s="13"/>
      <c r="C7116" t="s" s="9">
        <v>23</v>
      </c>
      <c r="D7116" t="s" s="8">
        <v>20</v>
      </c>
      <c r="E7116" t="s" s="9">
        <v>20</v>
      </c>
      <c r="F7116" t="s" s="10">
        <v>20</v>
      </c>
      <c r="G7116" s="14"/>
      <c r="H7116" t="s" s="10">
        <v>20</v>
      </c>
      <c r="I7116" s="14"/>
      <c r="J7116" t="s" s="11">
        <v>20</v>
      </c>
      <c r="K7116" s="15"/>
      <c r="L7116" t="s" s="16">
        <f>HYPERLINK("http://csr.bu.edu/ftp/asl/asllvd/demos/verify_start_end_handshape_annotations//test_auto_move//signs_mov_separ_signers/Tyler_1614.mov","MOV")</f>
        <v>21</v>
      </c>
      <c r="M7116" t="s" s="10">
        <v>47</v>
      </c>
      <c r="N7116" s="17">
        <v>22</v>
      </c>
      <c r="O7116" s="18">
        <v>1100</v>
      </c>
      <c r="P7116" s="18">
        <v>1162</v>
      </c>
      <c r="Q7116" s="15"/>
      <c r="R7116" t="s" s="16">
        <f>HYPERLINK("http://secrets.rutgers.edu:8080/data/asl-ftp/asllvd/demos/verify_start_end_handshape_annotations//test_auto_move//signs_mov_separ_signers/Tyler_1614.mov","MOV")</f>
        <v>21</v>
      </c>
    </row>
    <row r="7117" s="2" customFormat="1" ht="13.5" customHeight="1">
      <c r="B7117" t="s" s="8">
        <v>2468</v>
      </c>
      <c r="C7117" t="s" s="9">
        <v>14</v>
      </c>
      <c r="D7117" t="s" s="8">
        <v>14</v>
      </c>
      <c r="E7117" t="s" s="9">
        <v>14</v>
      </c>
      <c r="F7117" t="s" s="10">
        <v>14</v>
      </c>
      <c r="G7117" t="s" s="11">
        <v>14</v>
      </c>
      <c r="H7117" t="s" s="10">
        <v>14</v>
      </c>
      <c r="I7117" t="s" s="11">
        <v>14</v>
      </c>
      <c r="J7117" t="s" s="11">
        <v>14</v>
      </c>
      <c r="K7117" t="s" s="12">
        <v>14</v>
      </c>
      <c r="L7117" t="s" s="12">
        <v>14</v>
      </c>
      <c r="M7117" t="s" s="10">
        <v>14</v>
      </c>
      <c r="N7117" t="s" s="11">
        <v>14</v>
      </c>
      <c r="O7117" t="s" s="8">
        <v>14</v>
      </c>
      <c r="P7117" t="s" s="8">
        <v>14</v>
      </c>
      <c r="Q7117" t="s" s="12">
        <v>14</v>
      </c>
      <c r="R7117" t="s" s="12">
        <v>14</v>
      </c>
    </row>
    <row r="7118" s="2" customFormat="1" ht="13.5" customHeight="1">
      <c r="B7118" s="13"/>
      <c r="C7118" t="s" s="9">
        <v>23</v>
      </c>
      <c r="D7118" t="s" s="8">
        <v>2468</v>
      </c>
      <c r="E7118" t="s" s="9">
        <v>2468</v>
      </c>
      <c r="F7118" s="19">
        <v>25</v>
      </c>
      <c r="G7118" s="17">
        <v>25</v>
      </c>
      <c r="H7118" s="19">
        <v>25</v>
      </c>
      <c r="I7118" s="17">
        <v>25</v>
      </c>
      <c r="J7118" t="s" s="11">
        <v>20</v>
      </c>
      <c r="K7118" t="s" s="16">
        <f>HYPERLINK("http://csr.bu.edu/ftp/asl/asllvd/demos/verify_start_end_handshape_annotations//test_auto_move//signs_mov/1616.mov","MOV")</f>
        <v>21</v>
      </c>
      <c r="L7118" t="s" s="16">
        <f>HYPERLINK("http://csr.bu.edu/ftp/asl/asllvd/demos/verify_start_end_handshape_annotations//test_auto_move//signs_mov_separ_signers/Tyler_1616.mov","MOV")</f>
        <v>21</v>
      </c>
      <c r="M7118" t="s" s="10">
        <v>47</v>
      </c>
      <c r="N7118" s="17">
        <v>22</v>
      </c>
      <c r="O7118" s="18">
        <v>1602</v>
      </c>
      <c r="P7118" s="18">
        <v>1638</v>
      </c>
      <c r="Q7118" t="s" s="16">
        <f>HYPERLINK("http://secrets.rutgers.edu:8080/data/asl-ftp/asllvd/demos/verify_start_end_handshape_annotations//test_auto_move//signs_mov/1616.mov","MOV")</f>
        <v>21</v>
      </c>
      <c r="R7118" t="s" s="16">
        <f>HYPERLINK("http://secrets.rutgers.edu:8080/data/asl-ftp/asllvd/demos/verify_start_end_handshape_annotations//test_auto_move//signs_mov_separ_signers/Tyler_1616.mov","MOV")</f>
        <v>21</v>
      </c>
    </row>
    <row r="7119" s="2" customFormat="1" ht="13.5" customHeight="1">
      <c r="B7119" t="s" s="8">
        <v>2469</v>
      </c>
      <c r="C7119" t="s" s="9">
        <v>14</v>
      </c>
      <c r="D7119" t="s" s="8">
        <v>14</v>
      </c>
      <c r="E7119" t="s" s="9">
        <v>14</v>
      </c>
      <c r="F7119" t="s" s="10">
        <v>14</v>
      </c>
      <c r="G7119" t="s" s="11">
        <v>14</v>
      </c>
      <c r="H7119" t="s" s="10">
        <v>14</v>
      </c>
      <c r="I7119" t="s" s="11">
        <v>14</v>
      </c>
      <c r="J7119" t="s" s="11">
        <v>14</v>
      </c>
      <c r="K7119" t="s" s="12">
        <v>14</v>
      </c>
      <c r="L7119" t="s" s="12">
        <v>14</v>
      </c>
      <c r="M7119" t="s" s="10">
        <v>14</v>
      </c>
      <c r="N7119" t="s" s="11">
        <v>14</v>
      </c>
      <c r="O7119" t="s" s="8">
        <v>14</v>
      </c>
      <c r="P7119" t="s" s="8">
        <v>14</v>
      </c>
      <c r="Q7119" t="s" s="12">
        <v>14</v>
      </c>
      <c r="R7119" t="s" s="12">
        <v>14</v>
      </c>
    </row>
    <row r="7120" s="2" customFormat="1" ht="13.5" customHeight="1">
      <c r="B7120" s="13"/>
      <c r="C7120" t="s" s="9">
        <v>16</v>
      </c>
      <c r="D7120" t="s" s="8">
        <v>2469</v>
      </c>
      <c r="E7120" t="s" s="9">
        <v>2469</v>
      </c>
      <c r="F7120" s="19">
        <v>25</v>
      </c>
      <c r="G7120" s="17">
        <v>5</v>
      </c>
      <c r="H7120" s="19">
        <v>25</v>
      </c>
      <c r="I7120" s="17">
        <v>5</v>
      </c>
      <c r="J7120" t="s" s="11">
        <v>20</v>
      </c>
      <c r="K7120" s="15"/>
      <c r="L7120" t="s" s="16">
        <f>HYPERLINK("http://csr.bu.edu/ftp/asl/asllvd/demos/verify_start_end_handshape_annotations//test_auto_move//signs_mov_separ_signers/Liz_3095.mov","MOV")</f>
        <v>21</v>
      </c>
      <c r="M7120" t="s" s="10">
        <v>84</v>
      </c>
      <c r="N7120" s="17">
        <v>31</v>
      </c>
      <c r="O7120" s="18">
        <v>271</v>
      </c>
      <c r="P7120" s="18">
        <v>290</v>
      </c>
      <c r="Q7120" s="15"/>
      <c r="R7120" t="s" s="16">
        <f>HYPERLINK("http://secrets.rutgers.edu:8080/data/asl-ftp/asllvd/demos/verify_start_end_handshape_annotations//test_auto_move//signs_mov_separ_signers/Liz_3095.mov","MOV")</f>
        <v>21</v>
      </c>
    </row>
    <row r="7121" s="2" customFormat="1" ht="13.5" customHeight="1">
      <c r="B7121" s="13"/>
      <c r="C7121" t="s" s="9">
        <v>16</v>
      </c>
      <c r="D7121" t="s" s="8">
        <v>2469</v>
      </c>
      <c r="E7121" t="s" s="9">
        <v>2469</v>
      </c>
      <c r="F7121" s="19">
        <v>25</v>
      </c>
      <c r="G7121" t="s" s="11">
        <v>105</v>
      </c>
      <c r="H7121" s="19">
        <v>25</v>
      </c>
      <c r="I7121" t="s" s="11">
        <v>105</v>
      </c>
      <c r="J7121" t="s" s="11">
        <v>20</v>
      </c>
      <c r="K7121" t="s" s="16">
        <f>HYPERLINK("http://csr.bu.edu/ftp/asl/asllvd/demos/verify_start_end_handshape_annotations//test_auto_move//signs_mov/3095_3426_merged.mov","MOV")</f>
        <v>21</v>
      </c>
      <c r="L7121" t="s" s="16">
        <f>HYPERLINK("http://csr.bu.edu/ftp/asl/asllvd/demos/verify_start_end_handshape_annotations//test_auto_move//signs_mov_separ_signers/Liz_3426.mov","MOV")</f>
        <v>21</v>
      </c>
      <c r="M7121" t="s" s="10">
        <v>88</v>
      </c>
      <c r="N7121" s="17">
        <v>14</v>
      </c>
      <c r="O7121" s="18">
        <v>2192</v>
      </c>
      <c r="P7121" s="18">
        <v>2230</v>
      </c>
      <c r="Q7121" t="s" s="16">
        <f>HYPERLINK("http://secrets.rutgers.edu:8080/data/asl-ftp/asllvd/demos/verify_start_end_handshape_annotations//test_auto_move//signs_mov/3095_3426_merged.mov","MOV")</f>
        <v>21</v>
      </c>
      <c r="R7121" t="s" s="16">
        <f>HYPERLINK("http://secrets.rutgers.edu:8080/data/asl-ftp/asllvd/demos/verify_start_end_handshape_annotations//test_auto_move//signs_mov_separ_signers/Liz_3426.mov","MOV")</f>
        <v>21</v>
      </c>
    </row>
    <row r="7122" s="2" customFormat="1" ht="13.5" customHeight="1">
      <c r="B7122" s="13"/>
      <c r="C7122" t="s" s="9">
        <v>27</v>
      </c>
      <c r="D7122" t="s" s="8">
        <v>2469</v>
      </c>
      <c r="E7122" t="s" s="9">
        <v>2469</v>
      </c>
      <c r="F7122" s="19">
        <v>25</v>
      </c>
      <c r="G7122" t="s" s="11">
        <v>105</v>
      </c>
      <c r="H7122" s="19">
        <v>25</v>
      </c>
      <c r="I7122" t="s" s="11">
        <v>105</v>
      </c>
      <c r="J7122" t="s" s="11">
        <v>20</v>
      </c>
      <c r="K7122" s="15"/>
      <c r="L7122" t="s" s="16">
        <f>HYPERLINK("http://csr.bu.edu/ftp/asl/asllvd/demos/verify_start_end_handshape_annotations//test_auto_move//signs_mov_separ_signers/Naomi_3095.mov","MOV")</f>
        <v>21</v>
      </c>
      <c r="M7122" t="s" s="10">
        <v>86</v>
      </c>
      <c r="N7122" s="17">
        <v>30</v>
      </c>
      <c r="O7122" s="18">
        <v>3121</v>
      </c>
      <c r="P7122" s="18">
        <v>3137</v>
      </c>
      <c r="Q7122" s="15"/>
      <c r="R7122" t="s" s="16">
        <f>HYPERLINK("http://secrets.rutgers.edu:8080/data/asl-ftp/asllvd/demos/verify_start_end_handshape_annotations//test_auto_move//signs_mov_separ_signers/Naomi_3095.mov","MOV")</f>
        <v>21</v>
      </c>
    </row>
    <row r="7123" s="2" customFormat="1" ht="13.5" customHeight="1">
      <c r="B7123" s="13"/>
      <c r="C7123" t="s" s="9">
        <v>30</v>
      </c>
      <c r="D7123" t="s" s="8">
        <v>2469</v>
      </c>
      <c r="E7123" t="s" s="9">
        <v>2469</v>
      </c>
      <c r="F7123" s="19">
        <v>25</v>
      </c>
      <c r="G7123" t="s" s="11">
        <v>105</v>
      </c>
      <c r="H7123" s="19">
        <v>25</v>
      </c>
      <c r="I7123" t="s" s="11">
        <v>105</v>
      </c>
      <c r="J7123" t="s" s="11">
        <v>20</v>
      </c>
      <c r="K7123" s="15"/>
      <c r="L7123" t="s" s="16">
        <f>HYPERLINK("http://csr.bu.edu/ftp/asl/asllvd/demos/verify_start_end_handshape_annotations//test_auto_move//signs_mov_separ_signers/Brady_3095.mov","MOV")</f>
        <v>21</v>
      </c>
      <c r="M7123" t="s" s="10">
        <v>39</v>
      </c>
      <c r="N7123" s="17">
        <v>11</v>
      </c>
      <c r="O7123" s="18">
        <v>8140</v>
      </c>
      <c r="P7123" s="18">
        <v>8155</v>
      </c>
      <c r="Q7123" s="15"/>
      <c r="R7123" t="s" s="16">
        <f>HYPERLINK("http://secrets.rutgers.edu:8080/data/asl-ftp/asllvd/demos/verify_start_end_handshape_annotations//test_auto_move//signs_mov_separ_signers/Brady_3095.mov","MOV")</f>
        <v>21</v>
      </c>
    </row>
    <row r="7124" s="2" customFormat="1" ht="13.5" customHeight="1">
      <c r="B7124" t="s" s="8">
        <v>2470</v>
      </c>
      <c r="C7124" t="s" s="9">
        <v>14</v>
      </c>
      <c r="D7124" t="s" s="8">
        <v>14</v>
      </c>
      <c r="E7124" t="s" s="9">
        <v>14</v>
      </c>
      <c r="F7124" t="s" s="10">
        <v>14</v>
      </c>
      <c r="G7124" t="s" s="11">
        <v>14</v>
      </c>
      <c r="H7124" t="s" s="10">
        <v>14</v>
      </c>
      <c r="I7124" t="s" s="11">
        <v>14</v>
      </c>
      <c r="J7124" t="s" s="11">
        <v>14</v>
      </c>
      <c r="K7124" t="s" s="12">
        <v>14</v>
      </c>
      <c r="L7124" t="s" s="12">
        <v>14</v>
      </c>
      <c r="M7124" t="s" s="10">
        <v>14</v>
      </c>
      <c r="N7124" t="s" s="11">
        <v>14</v>
      </c>
      <c r="O7124" t="s" s="8">
        <v>14</v>
      </c>
      <c r="P7124" t="s" s="8">
        <v>14</v>
      </c>
      <c r="Q7124" t="s" s="12">
        <v>14</v>
      </c>
      <c r="R7124" t="s" s="12">
        <v>14</v>
      </c>
    </row>
    <row r="7125" s="2" customFormat="1" ht="13.5" customHeight="1">
      <c r="B7125" s="13"/>
      <c r="C7125" t="s" s="9">
        <v>23</v>
      </c>
      <c r="D7125" t="s" s="8">
        <v>2470</v>
      </c>
      <c r="E7125" t="s" s="9">
        <v>2470</v>
      </c>
      <c r="F7125" s="19">
        <v>25</v>
      </c>
      <c r="G7125" t="s" s="11">
        <v>105</v>
      </c>
      <c r="H7125" s="19">
        <v>25</v>
      </c>
      <c r="I7125" t="s" s="11">
        <v>105</v>
      </c>
      <c r="J7125" t="s" s="11">
        <v>20</v>
      </c>
      <c r="K7125" s="15"/>
      <c r="L7125" t="s" s="16">
        <f>HYPERLINK("http://csr.bu.edu/ftp/asl/asllvd/demos/verify_start_end_handshape_annotations//test_auto_move//signs_mov_separ_signers/Tyler_5622.mov","MOV")</f>
        <v>21</v>
      </c>
      <c r="M7125" t="s" s="10">
        <v>92</v>
      </c>
      <c r="N7125" s="17">
        <v>7</v>
      </c>
      <c r="O7125" s="18">
        <v>815</v>
      </c>
      <c r="P7125" s="18">
        <v>842</v>
      </c>
      <c r="Q7125" s="15"/>
      <c r="R7125" t="s" s="16">
        <f>HYPERLINK("http://secrets.rutgers.edu:8080/data/asl-ftp/asllvd/demos/verify_start_end_handshape_annotations//test_auto_move//signs_mov_separ_signers/Tyler_5622.mov","MOV")</f>
        <v>21</v>
      </c>
    </row>
    <row r="7126" s="2" customFormat="1" ht="13.5" customHeight="1">
      <c r="B7126" s="13"/>
      <c r="C7126" t="s" s="9">
        <v>23</v>
      </c>
      <c r="D7126" t="s" s="8">
        <v>2470</v>
      </c>
      <c r="E7126" t="s" s="9">
        <v>2470</v>
      </c>
      <c r="F7126" s="19">
        <v>25</v>
      </c>
      <c r="G7126" t="s" s="11">
        <v>105</v>
      </c>
      <c r="H7126" s="19">
        <v>25</v>
      </c>
      <c r="I7126" t="s" s="11">
        <v>105</v>
      </c>
      <c r="J7126" t="s" s="11">
        <v>20</v>
      </c>
      <c r="K7126" t="s" s="16">
        <f>HYPERLINK("http://csr.bu.edu/ftp/asl/asllvd/demos/verify_start_end_handshape_annotations//test_auto_move//signs_mov/5622_5623_merged.mov","MOV")</f>
        <v>21</v>
      </c>
      <c r="L7126" t="s" s="16">
        <f>HYPERLINK("http://csr.bu.edu/ftp/asl/asllvd/demos/verify_start_end_handshape_annotations//test_auto_move//signs_mov_separ_signers/Tyler_5623.mov","MOV")</f>
        <v>21</v>
      </c>
      <c r="M7126" t="s" s="10">
        <v>92</v>
      </c>
      <c r="N7126" s="17">
        <v>10</v>
      </c>
      <c r="O7126" s="18">
        <v>3535</v>
      </c>
      <c r="P7126" s="18">
        <v>3570</v>
      </c>
      <c r="Q7126" t="s" s="16">
        <f>HYPERLINK("http://secrets.rutgers.edu:8080/data/asl-ftp/asllvd/demos/verify_start_end_handshape_annotations//test_auto_move//signs_mov/5622_5623_merged.mov","MOV")</f>
        <v>21</v>
      </c>
      <c r="R7126" t="s" s="16">
        <f>HYPERLINK("http://secrets.rutgers.edu:8080/data/asl-ftp/asllvd/demos/verify_start_end_handshape_annotations//test_auto_move//signs_mov_separ_signers/Tyler_5623.mov","MOV")</f>
        <v>21</v>
      </c>
    </row>
    <row r="7127" s="2" customFormat="1" ht="13.5" customHeight="1">
      <c r="B7127" s="13"/>
      <c r="C7127" t="s" s="9">
        <v>30</v>
      </c>
      <c r="D7127" t="s" s="8">
        <v>2470</v>
      </c>
      <c r="E7127" t="s" s="9">
        <v>2470</v>
      </c>
      <c r="F7127" s="19">
        <v>25</v>
      </c>
      <c r="G7127" t="s" s="11">
        <v>68</v>
      </c>
      <c r="H7127" s="19">
        <v>25</v>
      </c>
      <c r="I7127" t="s" s="11">
        <v>68</v>
      </c>
      <c r="J7127" t="s" s="11">
        <v>20</v>
      </c>
      <c r="K7127" s="15"/>
      <c r="L7127" t="s" s="16">
        <f>HYPERLINK("http://csr.bu.edu/ftp/asl/asllvd/demos/verify_start_end_handshape_annotations//test_auto_move//signs_mov_separ_signers/Brady_5622.mov","MOV")</f>
        <v>21</v>
      </c>
      <c r="M7127" t="s" s="10">
        <v>39</v>
      </c>
      <c r="N7127" s="17">
        <v>9</v>
      </c>
      <c r="O7127" s="18">
        <v>5041</v>
      </c>
      <c r="P7127" s="18">
        <v>5057</v>
      </c>
      <c r="Q7127" s="15"/>
      <c r="R7127" t="s" s="16">
        <f>HYPERLINK("http://secrets.rutgers.edu:8080/data/asl-ftp/asllvd/demos/verify_start_end_handshape_annotations//test_auto_move//signs_mov_separ_signers/Brady_5622.mov","MOV")</f>
        <v>21</v>
      </c>
    </row>
    <row r="7128" s="2" customFormat="1" ht="13.5" customHeight="1">
      <c r="B7128" s="13"/>
      <c r="C7128" t="s" s="9">
        <v>43</v>
      </c>
      <c r="D7128" t="s" s="8">
        <v>2470</v>
      </c>
      <c r="E7128" t="s" s="9">
        <v>2470</v>
      </c>
      <c r="F7128" s="19">
        <v>25</v>
      </c>
      <c r="G7128" t="s" s="11">
        <v>73</v>
      </c>
      <c r="H7128" s="19">
        <v>25</v>
      </c>
      <c r="I7128" t="s" s="11">
        <v>73</v>
      </c>
      <c r="J7128" t="s" s="11">
        <v>20</v>
      </c>
      <c r="K7128" s="15"/>
      <c r="L7128" t="s" s="16">
        <f>HYPERLINK("http://csr.bu.edu/ftp/asl/asllvd/demos/verify_start_end_handshape_annotations//test_auto_move//signs_mov_separ_signers/Dana_5622.mov","MOV")</f>
        <v>21</v>
      </c>
      <c r="M7128" t="s" s="10">
        <v>44</v>
      </c>
      <c r="N7128" s="17">
        <v>12</v>
      </c>
      <c r="O7128" s="18">
        <v>458</v>
      </c>
      <c r="P7128" s="18">
        <v>503</v>
      </c>
      <c r="Q7128" s="15"/>
      <c r="R7128" t="s" s="16">
        <f>HYPERLINK("http://secrets.rutgers.edu:8080/data/asl-ftp/asllvd/demos/verify_start_end_handshape_annotations//test_auto_move//signs_mov_separ_signers/Dana_5622.mov","MOV")</f>
        <v>21</v>
      </c>
    </row>
    <row r="7129" s="2" customFormat="1" ht="13.5" customHeight="1">
      <c r="B7129" t="s" s="8">
        <v>52</v>
      </c>
      <c r="C7129" t="s" s="9">
        <v>53</v>
      </c>
      <c r="D7129" t="s" s="8">
        <v>53</v>
      </c>
      <c r="E7129" t="s" s="9">
        <v>53</v>
      </c>
      <c r="F7129" t="s" s="10">
        <v>53</v>
      </c>
      <c r="G7129" t="s" s="11">
        <v>53</v>
      </c>
      <c r="H7129" t="s" s="10">
        <v>53</v>
      </c>
      <c r="I7129" t="s" s="11">
        <v>53</v>
      </c>
      <c r="J7129" t="s" s="11">
        <v>53</v>
      </c>
      <c r="K7129" t="s" s="12">
        <v>53</v>
      </c>
      <c r="L7129" t="s" s="12">
        <v>53</v>
      </c>
      <c r="M7129" t="s" s="10">
        <v>53</v>
      </c>
      <c r="N7129" t="s" s="11">
        <v>53</v>
      </c>
      <c r="O7129" t="s" s="8">
        <v>53</v>
      </c>
      <c r="P7129" t="s" s="8">
        <v>53</v>
      </c>
      <c r="Q7129" t="s" s="12">
        <v>53</v>
      </c>
      <c r="R7129" t="s" s="12">
        <v>53</v>
      </c>
    </row>
    <row r="7130" s="2" customFormat="1" ht="13.5" customHeight="1">
      <c r="B7130" s="13"/>
      <c r="C7130" t="s" s="9">
        <v>27</v>
      </c>
      <c r="D7130" t="s" s="8">
        <v>2470</v>
      </c>
      <c r="E7130" t="s" s="9">
        <v>2471</v>
      </c>
      <c r="F7130" s="19">
        <v>25</v>
      </c>
      <c r="G7130" t="s" s="11">
        <v>105</v>
      </c>
      <c r="H7130" s="19">
        <v>25</v>
      </c>
      <c r="I7130" t="s" s="11">
        <v>105</v>
      </c>
      <c r="J7130" t="s" s="11">
        <v>20</v>
      </c>
      <c r="K7130" t="s" s="16">
        <f>HYPERLINK("http://csr.bu.edu/ftp/asl/asllvd/demos/verify_start_end_handshape_annotations//test_auto_move//signs_mov/15798.mov","MOV")</f>
        <v>21</v>
      </c>
      <c r="L7130" t="s" s="16">
        <f>HYPERLINK("http://csr.bu.edu/ftp/asl/asllvd/demos/verify_start_end_handshape_annotations//test_auto_move//signs_mov_separ_signers/Naomi_15798.mov","MOV")</f>
        <v>21</v>
      </c>
      <c r="M7130" t="s" s="10">
        <v>86</v>
      </c>
      <c r="N7130" s="17">
        <v>27</v>
      </c>
      <c r="O7130" s="18">
        <v>1702</v>
      </c>
      <c r="P7130" s="18">
        <v>1722</v>
      </c>
      <c r="Q7130" t="s" s="16">
        <f>HYPERLINK("http://secrets.rutgers.edu:8080/data/asl-ftp/asllvd/demos/verify_start_end_handshape_annotations//test_auto_move//signs_mov/15798.mov","MOV")</f>
        <v>21</v>
      </c>
      <c r="R7130" t="s" s="16">
        <f>HYPERLINK("http://secrets.rutgers.edu:8080/data/asl-ftp/asllvd/demos/verify_start_end_handshape_annotations//test_auto_move//signs_mov_separ_signers/Naomi_15798.mov","MOV")</f>
        <v>21</v>
      </c>
    </row>
    <row r="7131" s="2" customFormat="1" ht="13.5" customHeight="1">
      <c r="B7131" s="13"/>
      <c r="C7131" t="s" s="9">
        <v>41</v>
      </c>
      <c r="D7131" t="s" s="8">
        <v>2470</v>
      </c>
      <c r="E7131" t="s" s="9">
        <v>2471</v>
      </c>
      <c r="F7131" s="19">
        <v>25</v>
      </c>
      <c r="G7131" t="s" s="11">
        <v>105</v>
      </c>
      <c r="H7131" s="19">
        <v>25</v>
      </c>
      <c r="I7131" t="s" s="11">
        <v>105</v>
      </c>
      <c r="J7131" t="s" s="11">
        <v>20</v>
      </c>
      <c r="K7131" s="15"/>
      <c r="L7131" t="s" s="16">
        <f>HYPERLINK("http://csr.bu.edu/ftp/asl/asllvd/demos/verify_start_end_handshape_annotations//test_auto_move//signs_mov_separ_signers/Lana_15798.mov","MOV")</f>
        <v>21</v>
      </c>
      <c r="M7131" t="s" s="10">
        <v>42</v>
      </c>
      <c r="N7131" s="17">
        <v>8</v>
      </c>
      <c r="O7131" s="18">
        <v>500</v>
      </c>
      <c r="P7131" s="18">
        <v>517</v>
      </c>
      <c r="Q7131" s="15"/>
      <c r="R7131" t="s" s="16">
        <f>HYPERLINK("http://secrets.rutgers.edu:8080/data/asl-ftp/asllvd/demos/verify_start_end_handshape_annotations//test_auto_move//signs_mov_separ_signers/Lana_15798.mov","MOV")</f>
        <v>21</v>
      </c>
    </row>
    <row r="7132" s="2" customFormat="1" ht="13.5" customHeight="1">
      <c r="B7132" t="s" s="8">
        <v>52</v>
      </c>
      <c r="C7132" t="s" s="9">
        <v>53</v>
      </c>
      <c r="D7132" t="s" s="8">
        <v>53</v>
      </c>
      <c r="E7132" t="s" s="9">
        <v>53</v>
      </c>
      <c r="F7132" t="s" s="10">
        <v>53</v>
      </c>
      <c r="G7132" t="s" s="11">
        <v>53</v>
      </c>
      <c r="H7132" t="s" s="10">
        <v>53</v>
      </c>
      <c r="I7132" t="s" s="11">
        <v>53</v>
      </c>
      <c r="J7132" t="s" s="11">
        <v>53</v>
      </c>
      <c r="K7132" t="s" s="12">
        <v>53</v>
      </c>
      <c r="L7132" t="s" s="12">
        <v>53</v>
      </c>
      <c r="M7132" t="s" s="10">
        <v>53</v>
      </c>
      <c r="N7132" t="s" s="11">
        <v>53</v>
      </c>
      <c r="O7132" t="s" s="8">
        <v>53</v>
      </c>
      <c r="P7132" t="s" s="8">
        <v>53</v>
      </c>
      <c r="Q7132" t="s" s="12">
        <v>53</v>
      </c>
      <c r="R7132" t="s" s="12">
        <v>53</v>
      </c>
    </row>
    <row r="7133" s="2" customFormat="1" ht="13.5" customHeight="1">
      <c r="B7133" s="13"/>
      <c r="C7133" t="s" s="9">
        <v>16</v>
      </c>
      <c r="D7133" t="s" s="8">
        <v>2470</v>
      </c>
      <c r="E7133" t="s" s="9">
        <v>2472</v>
      </c>
      <c r="F7133" s="19">
        <v>25</v>
      </c>
      <c r="G7133" t="s" s="11">
        <v>105</v>
      </c>
      <c r="H7133" s="19">
        <v>25</v>
      </c>
      <c r="I7133" t="s" s="11">
        <v>105</v>
      </c>
      <c r="J7133" t="s" s="11">
        <v>20</v>
      </c>
      <c r="K7133" t="s" s="16">
        <f>HYPERLINK("http://csr.bu.edu/ftp/asl/asllvd/demos/verify_start_end_handshape_annotations//test_auto_move//signs_mov/15896.mov","MOV")</f>
        <v>21</v>
      </c>
      <c r="L7133" t="s" s="16">
        <f>HYPERLINK("http://csr.bu.edu/ftp/asl/asllvd/demos/verify_start_end_handshape_annotations//test_auto_move//signs_mov_separ_signers/Liz_15896.mov","MOV")</f>
        <v>21</v>
      </c>
      <c r="M7133" t="s" s="10">
        <v>84</v>
      </c>
      <c r="N7133" s="17">
        <v>27</v>
      </c>
      <c r="O7133" s="18">
        <v>1327</v>
      </c>
      <c r="P7133" s="18">
        <v>1362</v>
      </c>
      <c r="Q7133" t="s" s="16">
        <f>HYPERLINK("http://secrets.rutgers.edu:8080/data/asl-ftp/asllvd/demos/verify_start_end_handshape_annotations//test_auto_move//signs_mov/15896.mov","MOV")</f>
        <v>21</v>
      </c>
      <c r="R7133" t="s" s="16">
        <f>HYPERLINK("http://secrets.rutgers.edu:8080/data/asl-ftp/asllvd/demos/verify_start_end_handshape_annotations//test_auto_move//signs_mov_separ_signers/Liz_15896.mov","MOV")</f>
        <v>21</v>
      </c>
    </row>
    <row r="7134" s="2" customFormat="1" ht="13.5" customHeight="1">
      <c r="B7134" t="s" s="8">
        <v>2473</v>
      </c>
      <c r="C7134" t="s" s="9">
        <v>14</v>
      </c>
      <c r="D7134" t="s" s="8">
        <v>14</v>
      </c>
      <c r="E7134" t="s" s="9">
        <v>14</v>
      </c>
      <c r="F7134" t="s" s="10">
        <v>14</v>
      </c>
      <c r="G7134" t="s" s="11">
        <v>14</v>
      </c>
      <c r="H7134" t="s" s="10">
        <v>14</v>
      </c>
      <c r="I7134" t="s" s="11">
        <v>14</v>
      </c>
      <c r="J7134" t="s" s="11">
        <v>14</v>
      </c>
      <c r="K7134" t="s" s="12">
        <v>14</v>
      </c>
      <c r="L7134" t="s" s="12">
        <v>14</v>
      </c>
      <c r="M7134" t="s" s="10">
        <v>14</v>
      </c>
      <c r="N7134" t="s" s="11">
        <v>14</v>
      </c>
      <c r="O7134" t="s" s="8">
        <v>14</v>
      </c>
      <c r="P7134" t="s" s="8">
        <v>14</v>
      </c>
      <c r="Q7134" t="s" s="12">
        <v>14</v>
      </c>
      <c r="R7134" t="s" s="12">
        <v>14</v>
      </c>
    </row>
    <row r="7135" s="2" customFormat="1" ht="13.5" customHeight="1">
      <c r="B7135" s="13"/>
      <c r="C7135" t="s" s="9">
        <v>16</v>
      </c>
      <c r="D7135" t="s" s="8">
        <v>2473</v>
      </c>
      <c r="E7135" t="s" s="9">
        <v>2474</v>
      </c>
      <c r="F7135" s="19">
        <v>25</v>
      </c>
      <c r="G7135" t="s" s="11">
        <v>105</v>
      </c>
      <c r="H7135" s="19">
        <v>25</v>
      </c>
      <c r="I7135" t="s" s="11">
        <v>105</v>
      </c>
      <c r="J7135" t="s" s="11">
        <v>20</v>
      </c>
      <c r="K7135" t="s" s="16">
        <f>HYPERLINK("http://csr.bu.edu/ftp/asl/asllvd/demos/verify_start_end_handshape_annotations//test_auto_move//signs_mov/16350.mov","MOV")</f>
        <v>21</v>
      </c>
      <c r="L7135" t="s" s="16">
        <f>HYPERLINK("http://csr.bu.edu/ftp/asl/asllvd/demos/verify_start_end_handshape_annotations//test_auto_move//signs_mov_separ_signers/Liz_16350.mov","MOV")</f>
        <v>21</v>
      </c>
      <c r="M7135" t="s" s="10">
        <v>77</v>
      </c>
      <c r="N7135" s="17">
        <v>24</v>
      </c>
      <c r="O7135" s="18">
        <v>468</v>
      </c>
      <c r="P7135" s="18">
        <v>518</v>
      </c>
      <c r="Q7135" t="s" s="16">
        <f>HYPERLINK("http://secrets.rutgers.edu:8080/data/asl-ftp/asllvd/demos/verify_start_end_handshape_annotations//test_auto_move//signs_mov/16350.mov","MOV")</f>
        <v>21</v>
      </c>
      <c r="R7135" t="s" s="16">
        <f>HYPERLINK("http://secrets.rutgers.edu:8080/data/asl-ftp/asllvd/demos/verify_start_end_handshape_annotations//test_auto_move//signs_mov_separ_signers/Liz_16350.mov","MOV")</f>
        <v>21</v>
      </c>
    </row>
    <row r="7136" s="2" customFormat="1" ht="13.5" customHeight="1">
      <c r="B7136" s="13"/>
      <c r="C7136" t="s" s="9">
        <v>30</v>
      </c>
      <c r="D7136" t="s" s="8">
        <v>2473</v>
      </c>
      <c r="E7136" t="s" s="9">
        <v>2475</v>
      </c>
      <c r="F7136" s="19">
        <v>25</v>
      </c>
      <c r="G7136" t="s" s="11">
        <v>63</v>
      </c>
      <c r="H7136" s="19">
        <v>25</v>
      </c>
      <c r="I7136" t="s" s="11">
        <v>63</v>
      </c>
      <c r="J7136" t="s" s="11">
        <v>20</v>
      </c>
      <c r="K7136" s="15"/>
      <c r="L7136" t="s" s="16">
        <f>HYPERLINK("http://csr.bu.edu/ftp/asl/asllvd/demos/verify_start_end_handshape_annotations//test_auto_move//signs_mov_separ_signers/Brady_16350.mov","MOV")</f>
        <v>21</v>
      </c>
      <c r="M7136" t="s" s="10">
        <v>31</v>
      </c>
      <c r="N7136" s="17">
        <v>14</v>
      </c>
      <c r="O7136" s="18">
        <v>2952</v>
      </c>
      <c r="P7136" s="18">
        <v>2972</v>
      </c>
      <c r="Q7136" s="15"/>
      <c r="R7136" t="s" s="16">
        <f>HYPERLINK("http://secrets.rutgers.edu:8080/data/asl-ftp/asllvd/demos/verify_start_end_handshape_annotations//test_auto_move//signs_mov_separ_signers/Brady_16350.mov","MOV")</f>
        <v>21</v>
      </c>
    </row>
    <row r="7137" s="2" customFormat="1" ht="13.5" customHeight="1">
      <c r="B7137" t="s" s="8">
        <v>2476</v>
      </c>
      <c r="C7137" t="s" s="9">
        <v>14</v>
      </c>
      <c r="D7137" t="s" s="8">
        <v>14</v>
      </c>
      <c r="E7137" t="s" s="9">
        <v>14</v>
      </c>
      <c r="F7137" t="s" s="10">
        <v>14</v>
      </c>
      <c r="G7137" t="s" s="11">
        <v>14</v>
      </c>
      <c r="H7137" t="s" s="10">
        <v>14</v>
      </c>
      <c r="I7137" t="s" s="11">
        <v>14</v>
      </c>
      <c r="J7137" t="s" s="11">
        <v>14</v>
      </c>
      <c r="K7137" t="s" s="12">
        <v>14</v>
      </c>
      <c r="L7137" t="s" s="12">
        <v>14</v>
      </c>
      <c r="M7137" t="s" s="10">
        <v>14</v>
      </c>
      <c r="N7137" t="s" s="11">
        <v>14</v>
      </c>
      <c r="O7137" t="s" s="8">
        <v>14</v>
      </c>
      <c r="P7137" t="s" s="8">
        <v>14</v>
      </c>
      <c r="Q7137" t="s" s="12">
        <v>14</v>
      </c>
      <c r="R7137" t="s" s="12">
        <v>14</v>
      </c>
    </row>
    <row r="7138" s="2" customFormat="1" ht="13.5" customHeight="1">
      <c r="B7138" s="13"/>
      <c r="C7138" t="s" s="9">
        <v>16</v>
      </c>
      <c r="D7138" t="s" s="8">
        <v>2476</v>
      </c>
      <c r="E7138" t="s" s="9">
        <v>2476</v>
      </c>
      <c r="F7138" s="19">
        <v>25</v>
      </c>
      <c r="G7138" t="s" s="11">
        <v>105</v>
      </c>
      <c r="H7138" s="19">
        <v>25</v>
      </c>
      <c r="I7138" t="s" s="11">
        <v>105</v>
      </c>
      <c r="J7138" t="s" s="11">
        <v>20</v>
      </c>
      <c r="K7138" t="s" s="16">
        <f>HYPERLINK("http://csr.bu.edu/ftp/asl/asllvd/demos/verify_start_end_handshape_annotations//test_auto_move//signs_mov/16529.mov","MOV")</f>
        <v>21</v>
      </c>
      <c r="L7138" t="s" s="16">
        <f>HYPERLINK("http://csr.bu.edu/ftp/asl/asllvd/demos/verify_start_end_handshape_annotations//test_auto_move//signs_mov_separ_signers/Liz_16529.mov","MOV")</f>
        <v>21</v>
      </c>
      <c r="M7138" t="s" s="10">
        <v>36</v>
      </c>
      <c r="N7138" s="17">
        <v>28</v>
      </c>
      <c r="O7138" s="18">
        <v>2990</v>
      </c>
      <c r="P7138" s="18">
        <v>3020</v>
      </c>
      <c r="Q7138" t="s" s="16">
        <f>HYPERLINK("http://secrets.rutgers.edu:8080/data/asl-ftp/asllvd/demos/verify_start_end_handshape_annotations//test_auto_move//signs_mov/16529.mov","MOV")</f>
        <v>21</v>
      </c>
      <c r="R7138" t="s" s="16">
        <f>HYPERLINK("http://secrets.rutgers.edu:8080/data/asl-ftp/asllvd/demos/verify_start_end_handshape_annotations//test_auto_move//signs_mov_separ_signers/Liz_16529.mov","MOV")</f>
        <v>21</v>
      </c>
    </row>
    <row r="7139" s="2" customFormat="1" ht="13.5" customHeight="1">
      <c r="B7139" s="13"/>
      <c r="C7139" t="s" s="9">
        <v>30</v>
      </c>
      <c r="D7139" t="s" s="8">
        <v>2476</v>
      </c>
      <c r="E7139" t="s" s="9">
        <v>2476</v>
      </c>
      <c r="F7139" s="19">
        <v>25</v>
      </c>
      <c r="G7139" t="s" s="11">
        <v>68</v>
      </c>
      <c r="H7139" s="19">
        <v>25</v>
      </c>
      <c r="I7139" t="s" s="11">
        <v>68</v>
      </c>
      <c r="J7139" t="s" s="11">
        <v>20</v>
      </c>
      <c r="K7139" s="15"/>
      <c r="L7139" t="s" s="16">
        <f>HYPERLINK("http://csr.bu.edu/ftp/asl/asllvd/demos/verify_start_end_handshape_annotations//test_auto_move//signs_mov_separ_signers/Brady_16529.mov","MOV")</f>
        <v>21</v>
      </c>
      <c r="M7139" t="s" s="10">
        <v>40</v>
      </c>
      <c r="N7139" s="17">
        <v>79</v>
      </c>
      <c r="O7139" s="18">
        <v>7376</v>
      </c>
      <c r="P7139" s="18">
        <v>7393</v>
      </c>
      <c r="Q7139" s="15"/>
      <c r="R7139" t="s" s="16">
        <f>HYPERLINK("http://secrets.rutgers.edu:8080/data/asl-ftp/asllvd/demos/verify_start_end_handshape_annotations//test_auto_move//signs_mov_separ_signers/Brady_16529.mov","MOV")</f>
        <v>21</v>
      </c>
    </row>
    <row r="7140" s="2" customFormat="1" ht="13.5" customHeight="1">
      <c r="B7140" t="s" s="8">
        <v>2477</v>
      </c>
      <c r="C7140" t="s" s="9">
        <v>14</v>
      </c>
      <c r="D7140" t="s" s="8">
        <v>14</v>
      </c>
      <c r="E7140" t="s" s="9">
        <v>14</v>
      </c>
      <c r="F7140" t="s" s="10">
        <v>14</v>
      </c>
      <c r="G7140" t="s" s="11">
        <v>14</v>
      </c>
      <c r="H7140" t="s" s="10">
        <v>14</v>
      </c>
      <c r="I7140" t="s" s="11">
        <v>14</v>
      </c>
      <c r="J7140" t="s" s="11">
        <v>14</v>
      </c>
      <c r="K7140" t="s" s="12">
        <v>14</v>
      </c>
      <c r="L7140" t="s" s="12">
        <v>14</v>
      </c>
      <c r="M7140" t="s" s="10">
        <v>14</v>
      </c>
      <c r="N7140" t="s" s="11">
        <v>14</v>
      </c>
      <c r="O7140" t="s" s="8">
        <v>14</v>
      </c>
      <c r="P7140" t="s" s="8">
        <v>14</v>
      </c>
      <c r="Q7140" t="s" s="12">
        <v>14</v>
      </c>
      <c r="R7140" t="s" s="12">
        <v>14</v>
      </c>
    </row>
    <row r="7141" s="2" customFormat="1" ht="13.5" customHeight="1">
      <c r="B7141" s="13"/>
      <c r="C7141" t="s" s="9">
        <v>16</v>
      </c>
      <c r="D7141" t="s" s="8">
        <v>2477</v>
      </c>
      <c r="E7141" t="s" s="9">
        <v>2478</v>
      </c>
      <c r="F7141" t="s" s="10">
        <v>63</v>
      </c>
      <c r="G7141" s="14"/>
      <c r="H7141" t="s" s="10">
        <v>63</v>
      </c>
      <c r="I7141" s="14"/>
      <c r="J7141" t="s" s="11">
        <v>20</v>
      </c>
      <c r="K7141" t="s" s="16">
        <f>HYPERLINK("http://csr.bu.edu/ftp/asl/asllvd/demos/verify_start_end_handshape_annotations//test_auto_move//signs_mov/1619.mov","MOV")</f>
        <v>21</v>
      </c>
      <c r="L7141" t="s" s="16">
        <f>HYPERLINK("http://csr.bu.edu/ftp/asl/asllvd/demos/verify_start_end_handshape_annotations//test_auto_move//signs_mov_separ_signers/Liz_1619.mov","MOV")</f>
        <v>21</v>
      </c>
      <c r="M7141" t="s" s="10">
        <v>88</v>
      </c>
      <c r="N7141" s="17">
        <v>14</v>
      </c>
      <c r="O7141" s="18">
        <v>3590</v>
      </c>
      <c r="P7141" s="18">
        <v>3665</v>
      </c>
      <c r="Q7141" t="s" s="16">
        <f>HYPERLINK("http://secrets.rutgers.edu:8080/data/asl-ftp/asllvd/demos/verify_start_end_handshape_annotations//test_auto_move//signs_mov/1619.mov","MOV")</f>
        <v>21</v>
      </c>
      <c r="R7141" t="s" s="16">
        <f>HYPERLINK("http://secrets.rutgers.edu:8080/data/asl-ftp/asllvd/demos/verify_start_end_handshape_annotations//test_auto_move//signs_mov_separ_signers/Liz_1619.mov","MOV")</f>
        <v>21</v>
      </c>
    </row>
    <row r="7142" s="2" customFormat="1" ht="13.5" customHeight="1">
      <c r="B7142" s="13"/>
      <c r="C7142" t="s" s="9">
        <v>23</v>
      </c>
      <c r="D7142" t="s" s="8">
        <v>2477</v>
      </c>
      <c r="E7142" t="s" s="9">
        <v>2478</v>
      </c>
      <c r="F7142" s="19">
        <v>10</v>
      </c>
      <c r="G7142" s="14"/>
      <c r="H7142" s="19">
        <v>10</v>
      </c>
      <c r="I7142" s="14"/>
      <c r="J7142" t="s" s="11">
        <v>20</v>
      </c>
      <c r="K7142" s="15"/>
      <c r="L7142" t="s" s="16">
        <f>HYPERLINK("http://csr.bu.edu/ftp/asl/asllvd/demos/verify_start_end_handshape_annotations//test_auto_move//signs_mov_separ_signers/Tyler_1619.mov","MOV")</f>
        <v>21</v>
      </c>
      <c r="M7142" t="s" s="10">
        <v>47</v>
      </c>
      <c r="N7142" s="17">
        <v>22</v>
      </c>
      <c r="O7142" s="18">
        <v>2486</v>
      </c>
      <c r="P7142" s="18">
        <v>2532</v>
      </c>
      <c r="Q7142" s="15"/>
      <c r="R7142" t="s" s="16">
        <f>HYPERLINK("http://secrets.rutgers.edu:8080/data/asl-ftp/asllvd/demos/verify_start_end_handshape_annotations//test_auto_move//signs_mov_separ_signers/Tyler_1619.mov","MOV")</f>
        <v>21</v>
      </c>
    </row>
    <row r="7143" s="2" customFormat="1" ht="13.5" customHeight="1">
      <c r="B7143" t="s" s="8">
        <v>2477</v>
      </c>
      <c r="C7143" t="s" s="9">
        <v>14</v>
      </c>
      <c r="D7143" t="s" s="8">
        <v>14</v>
      </c>
      <c r="E7143" t="s" s="9">
        <v>14</v>
      </c>
      <c r="F7143" t="s" s="10">
        <v>14</v>
      </c>
      <c r="G7143" t="s" s="11">
        <v>14</v>
      </c>
      <c r="H7143" t="s" s="10">
        <v>14</v>
      </c>
      <c r="I7143" t="s" s="11">
        <v>14</v>
      </c>
      <c r="J7143" t="s" s="11">
        <v>14</v>
      </c>
      <c r="K7143" t="s" s="12">
        <v>14</v>
      </c>
      <c r="L7143" t="s" s="12">
        <v>14</v>
      </c>
      <c r="M7143" t="s" s="10">
        <v>14</v>
      </c>
      <c r="N7143" t="s" s="11">
        <v>14</v>
      </c>
      <c r="O7143" t="s" s="8">
        <v>14</v>
      </c>
      <c r="P7143" t="s" s="8">
        <v>14</v>
      </c>
      <c r="Q7143" t="s" s="12">
        <v>14</v>
      </c>
      <c r="R7143" t="s" s="12">
        <v>14</v>
      </c>
    </row>
    <row r="7144" s="2" customFormat="1" ht="13.5" customHeight="1">
      <c r="B7144" s="13"/>
      <c r="C7144" t="s" s="9">
        <v>16</v>
      </c>
      <c r="D7144" t="s" s="8">
        <v>2479</v>
      </c>
      <c r="E7144" t="s" s="9">
        <v>2480</v>
      </c>
      <c r="F7144" t="s" s="10">
        <v>73</v>
      </c>
      <c r="G7144" s="14"/>
      <c r="H7144" t="s" s="10">
        <v>73</v>
      </c>
      <c r="I7144" s="14"/>
      <c r="J7144" t="s" s="11">
        <v>20</v>
      </c>
      <c r="K7144" t="s" s="16">
        <f>HYPERLINK("http://csr.bu.edu/ftp/asl/asllvd/demos/verify_start_end_handshape_annotations//test_auto_move//signs_mov/3696.mov","MOV")</f>
        <v>21</v>
      </c>
      <c r="L7144" t="s" s="16">
        <f>HYPERLINK("http://csr.bu.edu/ftp/asl/asllvd/demos/verify_start_end_handshape_annotations//test_auto_move//signs_mov_separ_signers/Liz_3696.mov","MOV")</f>
        <v>21</v>
      </c>
      <c r="M7144" t="s" s="10">
        <v>88</v>
      </c>
      <c r="N7144" s="17">
        <v>15</v>
      </c>
      <c r="O7144" s="18">
        <v>322</v>
      </c>
      <c r="P7144" s="18">
        <v>377</v>
      </c>
      <c r="Q7144" t="s" s="16">
        <f>HYPERLINK("http://secrets.rutgers.edu:8080/data/asl-ftp/asllvd/demos/verify_start_end_handshape_annotations//test_auto_move//signs_mov/3696.mov","MOV")</f>
        <v>21</v>
      </c>
      <c r="R7144" t="s" s="16">
        <f>HYPERLINK("http://secrets.rutgers.edu:8080/data/asl-ftp/asllvd/demos/verify_start_end_handshape_annotations//test_auto_move//signs_mov_separ_signers/Liz_3696.mov","MOV")</f>
        <v>21</v>
      </c>
    </row>
    <row r="7145" s="2" customFormat="1" ht="13.5" customHeight="1">
      <c r="B7145" t="s" s="8">
        <v>2481</v>
      </c>
      <c r="C7145" t="s" s="9">
        <v>14</v>
      </c>
      <c r="D7145" t="s" s="8">
        <v>14</v>
      </c>
      <c r="E7145" t="s" s="9">
        <v>14</v>
      </c>
      <c r="F7145" t="s" s="10">
        <v>14</v>
      </c>
      <c r="G7145" t="s" s="11">
        <v>14</v>
      </c>
      <c r="H7145" t="s" s="10">
        <v>14</v>
      </c>
      <c r="I7145" t="s" s="11">
        <v>14</v>
      </c>
      <c r="J7145" t="s" s="11">
        <v>14</v>
      </c>
      <c r="K7145" t="s" s="12">
        <v>14</v>
      </c>
      <c r="L7145" t="s" s="12">
        <v>14</v>
      </c>
      <c r="M7145" t="s" s="10">
        <v>14</v>
      </c>
      <c r="N7145" t="s" s="11">
        <v>14</v>
      </c>
      <c r="O7145" t="s" s="8">
        <v>14</v>
      </c>
      <c r="P7145" t="s" s="8">
        <v>14</v>
      </c>
      <c r="Q7145" t="s" s="12">
        <v>14</v>
      </c>
      <c r="R7145" t="s" s="12">
        <v>14</v>
      </c>
    </row>
    <row r="7146" s="2" customFormat="1" ht="13.5" customHeight="1">
      <c r="B7146" s="13"/>
      <c r="C7146" t="s" s="9">
        <v>16</v>
      </c>
      <c r="D7146" t="s" s="8">
        <v>2481</v>
      </c>
      <c r="E7146" t="s" s="9">
        <v>2481</v>
      </c>
      <c r="F7146" t="s" s="10">
        <v>240</v>
      </c>
      <c r="G7146" t="s" s="11">
        <v>55</v>
      </c>
      <c r="H7146" t="s" s="10">
        <v>240</v>
      </c>
      <c r="I7146" t="s" s="11">
        <v>55</v>
      </c>
      <c r="J7146" t="s" s="11">
        <v>20</v>
      </c>
      <c r="K7146" s="15"/>
      <c r="L7146" t="s" s="16">
        <f>HYPERLINK("http://csr.bu.edu/ftp/asl/asllvd/demos/verify_start_end_handshape_annotations//test_auto_move//signs_mov_separ_signers/Liz_1624.mov","MOV")</f>
        <v>21</v>
      </c>
      <c r="M7146" t="s" s="10">
        <v>88</v>
      </c>
      <c r="N7146" s="17">
        <v>15</v>
      </c>
      <c r="O7146" s="18">
        <v>2620</v>
      </c>
      <c r="P7146" s="18">
        <v>2670</v>
      </c>
      <c r="Q7146" s="15"/>
      <c r="R7146" t="s" s="16">
        <f>HYPERLINK("http://secrets.rutgers.edu:8080/data/asl-ftp/asllvd/demos/verify_start_end_handshape_annotations//test_auto_move//signs_mov_separ_signers/Liz_1624.mov","MOV")</f>
        <v>21</v>
      </c>
    </row>
    <row r="7147" s="2" customFormat="1" ht="13.5" customHeight="1">
      <c r="B7147" s="13"/>
      <c r="C7147" t="s" s="9">
        <v>16</v>
      </c>
      <c r="D7147" t="s" s="8">
        <v>2481</v>
      </c>
      <c r="E7147" t="s" s="9">
        <v>2481</v>
      </c>
      <c r="F7147" t="s" s="10">
        <v>240</v>
      </c>
      <c r="G7147" t="s" s="11">
        <v>55</v>
      </c>
      <c r="H7147" t="s" s="10">
        <v>240</v>
      </c>
      <c r="I7147" t="s" s="11">
        <v>55</v>
      </c>
      <c r="J7147" t="s" s="11">
        <v>20</v>
      </c>
      <c r="K7147" s="15"/>
      <c r="L7147" t="s" s="16">
        <f>HYPERLINK("http://csr.bu.edu/ftp/asl/asllvd/demos/verify_start_end_handshape_annotations//test_auto_move//signs_mov_separ_signers/Liz_15179.mov","MOV")</f>
        <v>21</v>
      </c>
      <c r="M7147" t="s" s="10">
        <v>88</v>
      </c>
      <c r="N7147" s="17">
        <v>23</v>
      </c>
      <c r="O7147" s="18">
        <v>275</v>
      </c>
      <c r="P7147" s="18">
        <v>312</v>
      </c>
      <c r="Q7147" s="15"/>
      <c r="R7147" t="s" s="16">
        <f>HYPERLINK("http://secrets.rutgers.edu:8080/data/asl-ftp/asllvd/demos/verify_start_end_handshape_annotations//test_auto_move//signs_mov_separ_signers/Liz_15179.mov","MOV")</f>
        <v>21</v>
      </c>
    </row>
    <row r="7148" s="2" customFormat="1" ht="13.5" customHeight="1">
      <c r="B7148" s="13"/>
      <c r="C7148" t="s" s="9">
        <v>23</v>
      </c>
      <c r="D7148" t="s" s="8">
        <v>2481</v>
      </c>
      <c r="E7148" t="s" s="9">
        <v>2481</v>
      </c>
      <c r="F7148" t="s" s="10">
        <v>240</v>
      </c>
      <c r="G7148" t="s" s="11">
        <v>105</v>
      </c>
      <c r="H7148" t="s" s="10">
        <v>240</v>
      </c>
      <c r="I7148" t="s" s="11">
        <v>105</v>
      </c>
      <c r="J7148" t="s" s="11">
        <v>20</v>
      </c>
      <c r="K7148" s="15"/>
      <c r="L7148" t="s" s="16">
        <f>HYPERLINK("http://csr.bu.edu/ftp/asl/asllvd/demos/verify_start_end_handshape_annotations//test_auto_move//signs_mov_separ_signers/Tyler_1624.mov","MOV")</f>
        <v>21</v>
      </c>
      <c r="M7148" t="s" s="10">
        <v>47</v>
      </c>
      <c r="N7148" s="17">
        <v>23</v>
      </c>
      <c r="O7148" s="18">
        <v>1185</v>
      </c>
      <c r="P7148" s="18">
        <v>1217</v>
      </c>
      <c r="Q7148" s="15"/>
      <c r="R7148" t="s" s="16">
        <f>HYPERLINK("http://secrets.rutgers.edu:8080/data/asl-ftp/asllvd/demos/verify_start_end_handshape_annotations//test_auto_move//signs_mov_separ_signers/Tyler_1624.mov","MOV")</f>
        <v>21</v>
      </c>
    </row>
    <row r="7149" s="2" customFormat="1" ht="13.5" customHeight="1">
      <c r="B7149" s="13"/>
      <c r="C7149" t="s" s="9">
        <v>23</v>
      </c>
      <c r="D7149" t="s" s="8">
        <v>2481</v>
      </c>
      <c r="E7149" t="s" s="9">
        <v>2481</v>
      </c>
      <c r="F7149" t="s" s="10">
        <v>391</v>
      </c>
      <c r="G7149" t="s" s="11">
        <v>105</v>
      </c>
      <c r="H7149" t="s" s="10">
        <v>391</v>
      </c>
      <c r="I7149" t="s" s="11">
        <v>105</v>
      </c>
      <c r="J7149" t="s" s="11">
        <v>20</v>
      </c>
      <c r="K7149" s="15"/>
      <c r="L7149" t="s" s="16">
        <f>HYPERLINK("http://csr.bu.edu/ftp/asl/asllvd/demos/verify_start_end_handshape_annotations//test_auto_move//signs_mov_separ_signers/Tyler_15179.mov","MOV")</f>
        <v>21</v>
      </c>
      <c r="M7149" t="s" s="10">
        <v>47</v>
      </c>
      <c r="N7149" s="17">
        <v>23</v>
      </c>
      <c r="O7149" s="18">
        <v>2587</v>
      </c>
      <c r="P7149" s="18">
        <v>2631</v>
      </c>
      <c r="Q7149" s="15"/>
      <c r="R7149" t="s" s="16">
        <f>HYPERLINK("http://secrets.rutgers.edu:8080/data/asl-ftp/asllvd/demos/verify_start_end_handshape_annotations//test_auto_move//signs_mov_separ_signers/Tyler_15179.mov","MOV")</f>
        <v>21</v>
      </c>
    </row>
    <row r="7150" s="2" customFormat="1" ht="13.5" customHeight="1">
      <c r="B7150" s="13"/>
      <c r="C7150" t="s" s="9">
        <v>30</v>
      </c>
      <c r="D7150" t="s" s="8">
        <v>2481</v>
      </c>
      <c r="E7150" t="s" s="9">
        <v>2481</v>
      </c>
      <c r="F7150" t="s" s="10">
        <v>240</v>
      </c>
      <c r="G7150" t="s" s="11">
        <v>68</v>
      </c>
      <c r="H7150" t="s" s="10">
        <v>240</v>
      </c>
      <c r="I7150" t="s" s="11">
        <v>68</v>
      </c>
      <c r="J7150" t="s" s="11">
        <v>20</v>
      </c>
      <c r="K7150" t="s" s="16">
        <f>HYPERLINK("http://csr.bu.edu/ftp/asl/asllvd/demos/verify_start_end_handshape_annotations//test_auto_move//signs_mov/1624_15179_merged.mov","MOV")</f>
        <v>21</v>
      </c>
      <c r="L7150" t="s" s="16">
        <f>HYPERLINK("http://csr.bu.edu/ftp/asl/asllvd/demos/verify_start_end_handshape_annotations//test_auto_move//signs_mov_separ_signers/Brady_1624.mov","MOV")</f>
        <v>21</v>
      </c>
      <c r="M7150" t="s" s="10">
        <v>40</v>
      </c>
      <c r="N7150" s="17">
        <v>18</v>
      </c>
      <c r="O7150" s="18">
        <v>760</v>
      </c>
      <c r="P7150" s="18">
        <v>790</v>
      </c>
      <c r="Q7150" t="s" s="16">
        <f>HYPERLINK("http://secrets.rutgers.edu:8080/data/asl-ftp/asllvd/demos/verify_start_end_handshape_annotations//test_auto_move//signs_mov/1624_15179_merged.mov","MOV")</f>
        <v>21</v>
      </c>
      <c r="R7150" t="s" s="16">
        <f>HYPERLINK("http://secrets.rutgers.edu:8080/data/asl-ftp/asllvd/demos/verify_start_end_handshape_annotations//test_auto_move//signs_mov_separ_signers/Brady_1624.mov","MOV")</f>
        <v>21</v>
      </c>
    </row>
    <row r="7151" s="2" customFormat="1" ht="13.5" customHeight="1">
      <c r="B7151" s="13"/>
      <c r="C7151" t="s" s="9">
        <v>41</v>
      </c>
      <c r="D7151" t="s" s="8">
        <v>2481</v>
      </c>
      <c r="E7151" t="s" s="9">
        <v>2481</v>
      </c>
      <c r="F7151" t="s" s="10">
        <v>240</v>
      </c>
      <c r="G7151" t="s" s="11">
        <v>109</v>
      </c>
      <c r="H7151" t="s" s="10">
        <v>240</v>
      </c>
      <c r="I7151" t="s" s="11">
        <v>109</v>
      </c>
      <c r="J7151" t="s" s="11">
        <v>20</v>
      </c>
      <c r="K7151" s="15"/>
      <c r="L7151" t="s" s="16">
        <f>HYPERLINK("http://csr.bu.edu/ftp/asl/asllvd/demos/verify_start_end_handshape_annotations//test_auto_move//signs_mov_separ_signers/Lana_1624.mov","MOV")</f>
        <v>21</v>
      </c>
      <c r="M7151" t="s" s="10">
        <v>42</v>
      </c>
      <c r="N7151" s="17">
        <v>18</v>
      </c>
      <c r="O7151" s="18">
        <v>2805</v>
      </c>
      <c r="P7151" s="18">
        <v>2829</v>
      </c>
      <c r="Q7151" s="15"/>
      <c r="R7151" t="s" s="16">
        <f>HYPERLINK("http://secrets.rutgers.edu:8080/data/asl-ftp/asllvd/demos/verify_start_end_handshape_annotations//test_auto_move//signs_mov_separ_signers/Lana_1624.mov","MOV")</f>
        <v>21</v>
      </c>
    </row>
    <row r="7152" s="2" customFormat="1" ht="13.5" customHeight="1">
      <c r="B7152" s="13"/>
      <c r="C7152" t="s" s="9">
        <v>41</v>
      </c>
      <c r="D7152" t="s" s="8">
        <v>2481</v>
      </c>
      <c r="E7152" t="s" s="9">
        <v>2481</v>
      </c>
      <c r="F7152" t="s" s="10">
        <v>240</v>
      </c>
      <c r="G7152" t="s" s="11">
        <v>85</v>
      </c>
      <c r="H7152" t="s" s="10">
        <v>240</v>
      </c>
      <c r="I7152" t="s" s="11">
        <v>85</v>
      </c>
      <c r="J7152" t="s" s="11">
        <v>20</v>
      </c>
      <c r="K7152" s="15"/>
      <c r="L7152" t="s" s="16">
        <f>HYPERLINK("http://csr.bu.edu/ftp/asl/asllvd/demos/verify_start_end_handshape_annotations//test_auto_move//signs_mov_separ_signers/Lana_15179.mov","MOV")</f>
        <v>21</v>
      </c>
      <c r="M7152" t="s" s="10">
        <v>42</v>
      </c>
      <c r="N7152" s="17">
        <v>19</v>
      </c>
      <c r="O7152" s="18">
        <v>1540</v>
      </c>
      <c r="P7152" s="18">
        <v>1568</v>
      </c>
      <c r="Q7152" s="15"/>
      <c r="R7152" t="s" s="16">
        <f>HYPERLINK("http://secrets.rutgers.edu:8080/data/asl-ftp/asllvd/demos/verify_start_end_handshape_annotations//test_auto_move//signs_mov_separ_signers/Lana_15179.mov","MOV")</f>
        <v>21</v>
      </c>
    </row>
    <row r="7153" s="2" customFormat="1" ht="13.5" customHeight="1">
      <c r="B7153" s="13"/>
      <c r="C7153" t="s" s="9">
        <v>43</v>
      </c>
      <c r="D7153" t="s" s="8">
        <v>2481</v>
      </c>
      <c r="E7153" t="s" s="9">
        <v>2481</v>
      </c>
      <c r="F7153" t="s" s="10">
        <v>240</v>
      </c>
      <c r="G7153" t="s" s="11">
        <v>73</v>
      </c>
      <c r="H7153" t="s" s="10">
        <v>240</v>
      </c>
      <c r="I7153" t="s" s="11">
        <v>73</v>
      </c>
      <c r="J7153" t="s" s="11">
        <v>20</v>
      </c>
      <c r="K7153" s="15"/>
      <c r="L7153" t="s" s="16">
        <f>HYPERLINK("http://csr.bu.edu/ftp/asl/asllvd/demos/verify_start_end_handshape_annotations//test_auto_move//signs_mov_separ_signers/Dana_1624.mov","MOV")</f>
        <v>21</v>
      </c>
      <c r="M7153" t="s" s="10">
        <v>44</v>
      </c>
      <c r="N7153" s="17">
        <v>20</v>
      </c>
      <c r="O7153" s="18">
        <v>2801</v>
      </c>
      <c r="P7153" s="18">
        <v>2845</v>
      </c>
      <c r="Q7153" s="15"/>
      <c r="R7153" t="s" s="16">
        <f>HYPERLINK("http://secrets.rutgers.edu:8080/data/asl-ftp/asllvd/demos/verify_start_end_handshape_annotations//test_auto_move//signs_mov_separ_signers/Dana_1624.mov","MOV")</f>
        <v>21</v>
      </c>
    </row>
    <row r="7154" s="2" customFormat="1" ht="13.5" customHeight="1">
      <c r="B7154" s="13"/>
      <c r="C7154" t="s" s="9">
        <v>43</v>
      </c>
      <c r="D7154" t="s" s="8">
        <v>2481</v>
      </c>
      <c r="E7154" t="s" s="9">
        <v>2481</v>
      </c>
      <c r="F7154" t="s" s="10">
        <v>240</v>
      </c>
      <c r="G7154" t="s" s="11">
        <v>150</v>
      </c>
      <c r="H7154" t="s" s="10">
        <v>240</v>
      </c>
      <c r="I7154" t="s" s="11">
        <v>150</v>
      </c>
      <c r="J7154" t="s" s="11">
        <v>20</v>
      </c>
      <c r="K7154" s="15"/>
      <c r="L7154" t="s" s="16">
        <f>HYPERLINK("http://csr.bu.edu/ftp/asl/asllvd/demos/verify_start_end_handshape_annotations//test_auto_move//signs_mov_separ_signers/Dana_15179.mov","MOV")</f>
        <v>21</v>
      </c>
      <c r="M7154" t="s" s="10">
        <v>44</v>
      </c>
      <c r="N7154" s="17">
        <v>21</v>
      </c>
      <c r="O7154" s="18">
        <v>1446</v>
      </c>
      <c r="P7154" s="18">
        <v>1484</v>
      </c>
      <c r="Q7154" s="15"/>
      <c r="R7154" t="s" s="16">
        <f>HYPERLINK("http://secrets.rutgers.edu:8080/data/asl-ftp/asllvd/demos/verify_start_end_handshape_annotations//test_auto_move//signs_mov_separ_signers/Dana_15179.mov","MOV")</f>
        <v>21</v>
      </c>
    </row>
    <row r="7155" s="2" customFormat="1" ht="13.5" customHeight="1">
      <c r="B7155" t="s" s="8">
        <v>2482</v>
      </c>
      <c r="C7155" t="s" s="9">
        <v>14</v>
      </c>
      <c r="D7155" t="s" s="8">
        <v>14</v>
      </c>
      <c r="E7155" t="s" s="9">
        <v>14</v>
      </c>
      <c r="F7155" t="s" s="10">
        <v>14</v>
      </c>
      <c r="G7155" t="s" s="11">
        <v>14</v>
      </c>
      <c r="H7155" t="s" s="10">
        <v>14</v>
      </c>
      <c r="I7155" t="s" s="11">
        <v>14</v>
      </c>
      <c r="J7155" t="s" s="11">
        <v>14</v>
      </c>
      <c r="K7155" t="s" s="12">
        <v>14</v>
      </c>
      <c r="L7155" t="s" s="12">
        <v>14</v>
      </c>
      <c r="M7155" t="s" s="10">
        <v>14</v>
      </c>
      <c r="N7155" t="s" s="11">
        <v>14</v>
      </c>
      <c r="O7155" t="s" s="8">
        <v>14</v>
      </c>
      <c r="P7155" t="s" s="8">
        <v>14</v>
      </c>
      <c r="Q7155" t="s" s="12">
        <v>14</v>
      </c>
      <c r="R7155" t="s" s="12">
        <v>14</v>
      </c>
    </row>
    <row r="7156" s="2" customFormat="1" ht="13.5" customHeight="1">
      <c r="B7156" s="13"/>
      <c r="C7156" t="s" s="9">
        <v>16</v>
      </c>
      <c r="D7156" t="s" s="8">
        <v>2482</v>
      </c>
      <c r="E7156" t="s" s="9">
        <v>2482</v>
      </c>
      <c r="F7156" t="s" s="10">
        <v>282</v>
      </c>
      <c r="G7156" s="14"/>
      <c r="H7156" t="s" s="10">
        <v>282</v>
      </c>
      <c r="I7156" s="14"/>
      <c r="J7156" t="s" s="11">
        <v>20</v>
      </c>
      <c r="K7156" t="s" s="16">
        <f>HYPERLINK("http://csr.bu.edu/ftp/asl/asllvd/demos/verify_start_end_handshape_annotations//test_auto_move//signs_mov/1626.mov","MOV")</f>
        <v>21</v>
      </c>
      <c r="L7156" t="s" s="16">
        <f>HYPERLINK("http://csr.bu.edu/ftp/asl/asllvd/demos/verify_start_end_handshape_annotations//test_auto_move//signs_mov_separ_signers/Liz_1626.mov","MOV")</f>
        <v>21</v>
      </c>
      <c r="M7156" t="s" s="10">
        <v>88</v>
      </c>
      <c r="N7156" s="17">
        <v>15</v>
      </c>
      <c r="O7156" s="18">
        <v>2220</v>
      </c>
      <c r="P7156" s="18">
        <v>2272</v>
      </c>
      <c r="Q7156" t="s" s="16">
        <f>HYPERLINK("http://secrets.rutgers.edu:8080/data/asl-ftp/asllvd/demos/verify_start_end_handshape_annotations//test_auto_move//signs_mov/1626.mov","MOV")</f>
        <v>21</v>
      </c>
      <c r="R7156" t="s" s="16">
        <f>HYPERLINK("http://secrets.rutgers.edu:8080/data/asl-ftp/asllvd/demos/verify_start_end_handshape_annotations//test_auto_move//signs_mov_separ_signers/Liz_1626.mov","MOV")</f>
        <v>21</v>
      </c>
    </row>
    <row r="7157" s="2" customFormat="1" ht="13.5" customHeight="1">
      <c r="B7157" s="13"/>
      <c r="C7157" t="s" s="9">
        <v>23</v>
      </c>
      <c r="D7157" t="s" s="8">
        <v>2482</v>
      </c>
      <c r="E7157" t="s" s="9">
        <v>2482</v>
      </c>
      <c r="F7157" t="s" s="10">
        <v>282</v>
      </c>
      <c r="G7157" s="14"/>
      <c r="H7157" t="s" s="10">
        <v>282</v>
      </c>
      <c r="I7157" s="14"/>
      <c r="J7157" t="s" s="11">
        <v>20</v>
      </c>
      <c r="K7157" s="15"/>
      <c r="L7157" t="s" s="16">
        <f>HYPERLINK("http://csr.bu.edu/ftp/asl/asllvd/demos/verify_start_end_handshape_annotations//test_auto_move//signs_mov_separ_signers/Tyler_1626.mov","MOV")</f>
        <v>21</v>
      </c>
      <c r="M7157" t="s" s="10">
        <v>47</v>
      </c>
      <c r="N7157" s="17">
        <v>23</v>
      </c>
      <c r="O7157" s="18">
        <v>2340</v>
      </c>
      <c r="P7157" s="18">
        <v>2365</v>
      </c>
      <c r="Q7157" s="15"/>
      <c r="R7157" t="s" s="16">
        <f>HYPERLINK("http://secrets.rutgers.edu:8080/data/asl-ftp/asllvd/demos/verify_start_end_handshape_annotations//test_auto_move//signs_mov_separ_signers/Tyler_1626.mov","MOV")</f>
        <v>21</v>
      </c>
    </row>
    <row r="7158" s="2" customFormat="1" ht="13.5" customHeight="1">
      <c r="B7158" t="s" s="8">
        <v>2483</v>
      </c>
      <c r="C7158" t="s" s="9">
        <v>14</v>
      </c>
      <c r="D7158" t="s" s="8">
        <v>14</v>
      </c>
      <c r="E7158" t="s" s="9">
        <v>14</v>
      </c>
      <c r="F7158" t="s" s="10">
        <v>14</v>
      </c>
      <c r="G7158" t="s" s="11">
        <v>14</v>
      </c>
      <c r="H7158" t="s" s="10">
        <v>14</v>
      </c>
      <c r="I7158" t="s" s="11">
        <v>14</v>
      </c>
      <c r="J7158" t="s" s="11">
        <v>14</v>
      </c>
      <c r="K7158" t="s" s="12">
        <v>14</v>
      </c>
      <c r="L7158" t="s" s="12">
        <v>14</v>
      </c>
      <c r="M7158" t="s" s="10">
        <v>14</v>
      </c>
      <c r="N7158" t="s" s="11">
        <v>14</v>
      </c>
      <c r="O7158" t="s" s="8">
        <v>14</v>
      </c>
      <c r="P7158" t="s" s="8">
        <v>14</v>
      </c>
      <c r="Q7158" t="s" s="12">
        <v>14</v>
      </c>
      <c r="R7158" t="s" s="12">
        <v>14</v>
      </c>
    </row>
    <row r="7159" s="2" customFormat="1" ht="13.5" customHeight="1">
      <c r="B7159" s="13"/>
      <c r="C7159" t="s" s="9">
        <v>16</v>
      </c>
      <c r="D7159" t="s" s="8">
        <v>2483</v>
      </c>
      <c r="E7159" t="s" s="9">
        <v>2483</v>
      </c>
      <c r="F7159" s="19">
        <v>3</v>
      </c>
      <c r="G7159" s="17">
        <v>3</v>
      </c>
      <c r="H7159" t="s" s="10">
        <v>453</v>
      </c>
      <c r="I7159" t="s" s="11">
        <v>453</v>
      </c>
      <c r="J7159" t="s" s="11">
        <v>20</v>
      </c>
      <c r="K7159" t="s" s="16">
        <f>HYPERLINK("http://csr.bu.edu/ftp/asl/asllvd/demos/verify_start_end_handshape_annotations//test_auto_move//signs_mov/1628.mov","MOV")</f>
        <v>21</v>
      </c>
      <c r="L7159" t="s" s="16">
        <f>HYPERLINK("http://csr.bu.edu/ftp/asl/asllvd/demos/verify_start_end_handshape_annotations//test_auto_move//signs_mov_separ_signers/Liz_1628.mov","MOV")</f>
        <v>21</v>
      </c>
      <c r="M7159" t="s" s="10">
        <v>88</v>
      </c>
      <c r="N7159" s="17">
        <v>15</v>
      </c>
      <c r="O7159" s="18">
        <v>2996</v>
      </c>
      <c r="P7159" s="18">
        <v>3060</v>
      </c>
      <c r="Q7159" t="s" s="16">
        <f>HYPERLINK("http://secrets.rutgers.edu:8080/data/asl-ftp/asllvd/demos/verify_start_end_handshape_annotations//test_auto_move//signs_mov/1628.mov","MOV")</f>
        <v>21</v>
      </c>
      <c r="R7159" t="s" s="16">
        <f>HYPERLINK("http://secrets.rutgers.edu:8080/data/asl-ftp/asllvd/demos/verify_start_end_handshape_annotations//test_auto_move//signs_mov_separ_signers/Liz_1628.mov","MOV")</f>
        <v>21</v>
      </c>
    </row>
    <row r="7160" s="2" customFormat="1" ht="13.5" customHeight="1">
      <c r="B7160" s="13"/>
      <c r="C7160" t="s" s="9">
        <v>23</v>
      </c>
      <c r="D7160" t="s" s="8">
        <v>2483</v>
      </c>
      <c r="E7160" t="s" s="9">
        <v>2483</v>
      </c>
      <c r="F7160" s="19">
        <v>3</v>
      </c>
      <c r="G7160" s="17">
        <v>3</v>
      </c>
      <c r="H7160" t="s" s="10">
        <v>453</v>
      </c>
      <c r="I7160" t="s" s="11">
        <v>453</v>
      </c>
      <c r="J7160" t="s" s="11">
        <v>20</v>
      </c>
      <c r="K7160" s="15"/>
      <c r="L7160" t="s" s="16">
        <f>HYPERLINK("http://csr.bu.edu/ftp/asl/asllvd/demos/verify_start_end_handshape_annotations//test_auto_move//signs_mov_separ_signers/Tyler_1628.mov","MOV")</f>
        <v>21</v>
      </c>
      <c r="M7160" t="s" s="10">
        <v>47</v>
      </c>
      <c r="N7160" s="17">
        <v>23</v>
      </c>
      <c r="O7160" s="18">
        <v>2914</v>
      </c>
      <c r="P7160" s="18">
        <v>2957</v>
      </c>
      <c r="Q7160" s="15"/>
      <c r="R7160" t="s" s="16">
        <f>HYPERLINK("http://secrets.rutgers.edu:8080/data/asl-ftp/asllvd/demos/verify_start_end_handshape_annotations//test_auto_move//signs_mov_separ_signers/Tyler_1628.mov","MOV")</f>
        <v>21</v>
      </c>
    </row>
    <row r="7161" s="2" customFormat="1" ht="13.5" customHeight="1">
      <c r="B7161" t="s" s="8">
        <v>2484</v>
      </c>
      <c r="C7161" t="s" s="9">
        <v>14</v>
      </c>
      <c r="D7161" t="s" s="8">
        <v>14</v>
      </c>
      <c r="E7161" t="s" s="9">
        <v>14</v>
      </c>
      <c r="F7161" t="s" s="10">
        <v>14</v>
      </c>
      <c r="G7161" t="s" s="11">
        <v>14</v>
      </c>
      <c r="H7161" t="s" s="10">
        <v>14</v>
      </c>
      <c r="I7161" t="s" s="11">
        <v>14</v>
      </c>
      <c r="J7161" t="s" s="11">
        <v>14</v>
      </c>
      <c r="K7161" t="s" s="12">
        <v>14</v>
      </c>
      <c r="L7161" t="s" s="12">
        <v>14</v>
      </c>
      <c r="M7161" t="s" s="10">
        <v>14</v>
      </c>
      <c r="N7161" t="s" s="11">
        <v>14</v>
      </c>
      <c r="O7161" t="s" s="8">
        <v>14</v>
      </c>
      <c r="P7161" t="s" s="8">
        <v>14</v>
      </c>
      <c r="Q7161" t="s" s="12">
        <v>14</v>
      </c>
      <c r="R7161" t="s" s="12">
        <v>14</v>
      </c>
    </row>
    <row r="7162" s="2" customFormat="1" ht="13.5" customHeight="1">
      <c r="B7162" s="13"/>
      <c r="C7162" t="s" s="9">
        <v>16</v>
      </c>
      <c r="D7162" t="s" s="8">
        <v>2484</v>
      </c>
      <c r="E7162" t="s" s="9">
        <v>2485</v>
      </c>
      <c r="F7162" t="s" s="10">
        <v>73</v>
      </c>
      <c r="G7162" s="14"/>
      <c r="H7162" t="s" s="10">
        <v>73</v>
      </c>
      <c r="I7162" s="14"/>
      <c r="J7162" t="s" s="11">
        <v>20</v>
      </c>
      <c r="K7162" t="s" s="16">
        <f>HYPERLINK("http://csr.bu.edu/ftp/asl/asllvd/demos/verify_start_end_handshape_annotations//test_auto_move//signs_mov/1631.mov","MOV")</f>
        <v>21</v>
      </c>
      <c r="L7162" t="s" s="16">
        <f>HYPERLINK("http://csr.bu.edu/ftp/asl/asllvd/demos/verify_start_end_handshape_annotations//test_auto_move//signs_mov_separ_signers/Liz_1631.mov","MOV")</f>
        <v>21</v>
      </c>
      <c r="M7162" t="s" s="10">
        <v>88</v>
      </c>
      <c r="N7162" s="17">
        <v>16</v>
      </c>
      <c r="O7162" s="18">
        <v>665</v>
      </c>
      <c r="P7162" s="18">
        <v>707</v>
      </c>
      <c r="Q7162" t="s" s="16">
        <f>HYPERLINK("http://secrets.rutgers.edu:8080/data/asl-ftp/asllvd/demos/verify_start_end_handshape_annotations//test_auto_move//signs_mov/1631.mov","MOV")</f>
        <v>21</v>
      </c>
      <c r="R7162" t="s" s="16">
        <f>HYPERLINK("http://secrets.rutgers.edu:8080/data/asl-ftp/asllvd/demos/verify_start_end_handshape_annotations//test_auto_move//signs_mov_separ_signers/Liz_1631.mov","MOV")</f>
        <v>21</v>
      </c>
    </row>
    <row r="7163" s="2" customFormat="1" ht="13.5" customHeight="1">
      <c r="B7163" t="s" s="8">
        <v>2486</v>
      </c>
      <c r="C7163" t="s" s="9">
        <v>14</v>
      </c>
      <c r="D7163" t="s" s="8">
        <v>14</v>
      </c>
      <c r="E7163" t="s" s="9">
        <v>14</v>
      </c>
      <c r="F7163" t="s" s="10">
        <v>14</v>
      </c>
      <c r="G7163" t="s" s="11">
        <v>14</v>
      </c>
      <c r="H7163" t="s" s="10">
        <v>14</v>
      </c>
      <c r="I7163" t="s" s="11">
        <v>14</v>
      </c>
      <c r="J7163" t="s" s="11">
        <v>14</v>
      </c>
      <c r="K7163" t="s" s="12">
        <v>14</v>
      </c>
      <c r="L7163" t="s" s="12">
        <v>14</v>
      </c>
      <c r="M7163" t="s" s="10">
        <v>14</v>
      </c>
      <c r="N7163" t="s" s="11">
        <v>14</v>
      </c>
      <c r="O7163" t="s" s="8">
        <v>14</v>
      </c>
      <c r="P7163" t="s" s="8">
        <v>14</v>
      </c>
      <c r="Q7163" t="s" s="12">
        <v>14</v>
      </c>
      <c r="R7163" t="s" s="12">
        <v>14</v>
      </c>
    </row>
    <row r="7164" s="2" customFormat="1" ht="13.5" customHeight="1">
      <c r="B7164" s="13"/>
      <c r="C7164" t="s" s="9">
        <v>16</v>
      </c>
      <c r="D7164" t="s" s="8">
        <v>2486</v>
      </c>
      <c r="E7164" t="s" s="9">
        <v>2486</v>
      </c>
      <c r="F7164" t="s" s="10">
        <v>425</v>
      </c>
      <c r="G7164" t="s" s="11">
        <v>150</v>
      </c>
      <c r="H7164" t="s" s="10">
        <v>425</v>
      </c>
      <c r="I7164" t="s" s="11">
        <v>150</v>
      </c>
      <c r="J7164" t="s" s="11">
        <v>20</v>
      </c>
      <c r="K7164" t="s" s="16">
        <f>HYPERLINK("http://csr.bu.edu/ftp/asl/asllvd/demos/verify_start_end_handshape_annotations//test_auto_move//signs_mov/1634.mov","MOV")</f>
        <v>21</v>
      </c>
      <c r="L7164" t="s" s="16">
        <f>HYPERLINK("http://csr.bu.edu/ftp/asl/asllvd/demos/verify_start_end_handshape_annotations//test_auto_move//signs_mov_separ_signers/Liz_1634.mov","MOV")</f>
        <v>21</v>
      </c>
      <c r="M7164" t="s" s="10">
        <v>88</v>
      </c>
      <c r="N7164" s="17">
        <v>16</v>
      </c>
      <c r="O7164" s="18">
        <v>2220</v>
      </c>
      <c r="P7164" s="18">
        <v>2265</v>
      </c>
      <c r="Q7164" t="s" s="16">
        <f>HYPERLINK("http://secrets.rutgers.edu:8080/data/asl-ftp/asllvd/demos/verify_start_end_handshape_annotations//test_auto_move//signs_mov/1634.mov","MOV")</f>
        <v>21</v>
      </c>
      <c r="R7164" t="s" s="16">
        <f>HYPERLINK("http://secrets.rutgers.edu:8080/data/asl-ftp/asllvd/demos/verify_start_end_handshape_annotations//test_auto_move//signs_mov_separ_signers/Liz_1634.mov","MOV")</f>
        <v>21</v>
      </c>
    </row>
    <row r="7165" s="2" customFormat="1" ht="13.5" customHeight="1">
      <c r="B7165" t="s" s="8">
        <v>52</v>
      </c>
      <c r="C7165" t="s" s="9">
        <v>53</v>
      </c>
      <c r="D7165" t="s" s="8">
        <v>53</v>
      </c>
      <c r="E7165" t="s" s="9">
        <v>53</v>
      </c>
      <c r="F7165" t="s" s="10">
        <v>53</v>
      </c>
      <c r="G7165" t="s" s="11">
        <v>53</v>
      </c>
      <c r="H7165" t="s" s="10">
        <v>53</v>
      </c>
      <c r="I7165" t="s" s="11">
        <v>53</v>
      </c>
      <c r="J7165" t="s" s="11">
        <v>53</v>
      </c>
      <c r="K7165" t="s" s="12">
        <v>53</v>
      </c>
      <c r="L7165" t="s" s="12">
        <v>53</v>
      </c>
      <c r="M7165" t="s" s="10">
        <v>53</v>
      </c>
      <c r="N7165" t="s" s="11">
        <v>53</v>
      </c>
      <c r="O7165" t="s" s="8">
        <v>53</v>
      </c>
      <c r="P7165" t="s" s="8">
        <v>53</v>
      </c>
      <c r="Q7165" t="s" s="12">
        <v>53</v>
      </c>
      <c r="R7165" t="s" s="12">
        <v>53</v>
      </c>
    </row>
    <row r="7166" s="2" customFormat="1" ht="13.5" customHeight="1">
      <c r="B7166" s="13"/>
      <c r="C7166" t="s" s="9">
        <v>16</v>
      </c>
      <c r="D7166" t="s" s="8">
        <v>2486</v>
      </c>
      <c r="E7166" t="s" s="9">
        <v>2487</v>
      </c>
      <c r="F7166" t="s" s="10">
        <v>240</v>
      </c>
      <c r="G7166" t="s" s="11">
        <v>240</v>
      </c>
      <c r="H7166" t="s" s="10">
        <v>425</v>
      </c>
      <c r="I7166" t="s" s="11">
        <v>240</v>
      </c>
      <c r="J7166" t="s" s="11">
        <v>20</v>
      </c>
      <c r="K7166" t="s" s="16">
        <f>HYPERLINK("http://csr.bu.edu/ftp/asl/asllvd/demos/verify_start_end_handshape_annotations//test_auto_move//signs_mov/3487.mov","MOV")</f>
        <v>21</v>
      </c>
      <c r="L7166" t="s" s="16">
        <f>HYPERLINK("http://csr.bu.edu/ftp/asl/asllvd/demos/verify_start_end_handshape_annotations//test_auto_move//signs_mov_separ_signers/Liz_3487.mov","MOV")</f>
        <v>21</v>
      </c>
      <c r="M7166" t="s" s="10">
        <v>59</v>
      </c>
      <c r="N7166" s="17">
        <v>18</v>
      </c>
      <c r="O7166" s="18">
        <v>865</v>
      </c>
      <c r="P7166" s="18">
        <v>930</v>
      </c>
      <c r="Q7166" t="s" s="16">
        <f>HYPERLINK("http://secrets.rutgers.edu:8080/data/asl-ftp/asllvd/demos/verify_start_end_handshape_annotations//test_auto_move//signs_mov/3487.mov","MOV")</f>
        <v>21</v>
      </c>
      <c r="R7166" t="s" s="16">
        <f>HYPERLINK("http://secrets.rutgers.edu:8080/data/asl-ftp/asllvd/demos/verify_start_end_handshape_annotations//test_auto_move//signs_mov_separ_signers/Liz_3487.mov","MOV")</f>
        <v>21</v>
      </c>
    </row>
    <row r="7167" s="2" customFormat="1" ht="13.5" customHeight="1">
      <c r="B7167" t="s" s="8">
        <v>2488</v>
      </c>
      <c r="C7167" t="s" s="9">
        <v>14</v>
      </c>
      <c r="D7167" t="s" s="8">
        <v>14</v>
      </c>
      <c r="E7167" t="s" s="9">
        <v>14</v>
      </c>
      <c r="F7167" t="s" s="10">
        <v>14</v>
      </c>
      <c r="G7167" t="s" s="11">
        <v>14</v>
      </c>
      <c r="H7167" t="s" s="10">
        <v>14</v>
      </c>
      <c r="I7167" t="s" s="11">
        <v>14</v>
      </c>
      <c r="J7167" t="s" s="11">
        <v>14</v>
      </c>
      <c r="K7167" t="s" s="12">
        <v>14</v>
      </c>
      <c r="L7167" t="s" s="12">
        <v>14</v>
      </c>
      <c r="M7167" t="s" s="10">
        <v>14</v>
      </c>
      <c r="N7167" t="s" s="11">
        <v>14</v>
      </c>
      <c r="O7167" t="s" s="8">
        <v>14</v>
      </c>
      <c r="P7167" t="s" s="8">
        <v>14</v>
      </c>
      <c r="Q7167" t="s" s="12">
        <v>14</v>
      </c>
      <c r="R7167" t="s" s="12">
        <v>14</v>
      </c>
    </row>
    <row r="7168" s="2" customFormat="1" ht="13.5" customHeight="1">
      <c r="B7168" s="13"/>
      <c r="C7168" t="s" s="9">
        <v>16</v>
      </c>
      <c r="D7168" t="s" s="8">
        <v>2488</v>
      </c>
      <c r="E7168" t="s" s="9">
        <v>2488</v>
      </c>
      <c r="F7168" s="19">
        <v>1</v>
      </c>
      <c r="G7168" t="s" s="11">
        <v>73</v>
      </c>
      <c r="H7168" s="19">
        <v>1</v>
      </c>
      <c r="I7168" t="s" s="11">
        <v>73</v>
      </c>
      <c r="J7168" t="s" s="11">
        <v>20</v>
      </c>
      <c r="K7168" t="s" s="16">
        <f>HYPERLINK("http://csr.bu.edu/ftp/asl/asllvd/demos/verify_start_end_handshape_annotations//test_auto_move//signs_mov/1636.mov","MOV")</f>
        <v>21</v>
      </c>
      <c r="L7168" t="s" s="16">
        <f>HYPERLINK("http://csr.bu.edu/ftp/asl/asllvd/demos/verify_start_end_handshape_annotations//test_auto_move//signs_mov_separ_signers/Liz_1636.mov","MOV")</f>
        <v>21</v>
      </c>
      <c r="M7168" t="s" s="10">
        <v>88</v>
      </c>
      <c r="N7168" s="17">
        <v>16</v>
      </c>
      <c r="O7168" s="18">
        <v>2745</v>
      </c>
      <c r="P7168" s="18">
        <v>2805</v>
      </c>
      <c r="Q7168" t="s" s="16">
        <f>HYPERLINK("http://secrets.rutgers.edu:8080/data/asl-ftp/asllvd/demos/verify_start_end_handshape_annotations//test_auto_move//signs_mov/1636.mov","MOV")</f>
        <v>21</v>
      </c>
      <c r="R7168" t="s" s="16">
        <f>HYPERLINK("http://secrets.rutgers.edu:8080/data/asl-ftp/asllvd/demos/verify_start_end_handshape_annotations//test_auto_move//signs_mov_separ_signers/Liz_1636.mov","MOV")</f>
        <v>21</v>
      </c>
    </row>
    <row r="7169" s="2" customFormat="1" ht="13.5" customHeight="1">
      <c r="B7169" t="s" s="8">
        <v>2489</v>
      </c>
      <c r="C7169" t="s" s="9">
        <v>14</v>
      </c>
      <c r="D7169" t="s" s="8">
        <v>14</v>
      </c>
      <c r="E7169" t="s" s="9">
        <v>14</v>
      </c>
      <c r="F7169" t="s" s="10">
        <v>14</v>
      </c>
      <c r="G7169" t="s" s="11">
        <v>14</v>
      </c>
      <c r="H7169" t="s" s="10">
        <v>14</v>
      </c>
      <c r="I7169" t="s" s="11">
        <v>14</v>
      </c>
      <c r="J7169" t="s" s="11">
        <v>14</v>
      </c>
      <c r="K7169" t="s" s="12">
        <v>14</v>
      </c>
      <c r="L7169" t="s" s="12">
        <v>14</v>
      </c>
      <c r="M7169" t="s" s="10">
        <v>14</v>
      </c>
      <c r="N7169" t="s" s="11">
        <v>14</v>
      </c>
      <c r="O7169" t="s" s="8">
        <v>14</v>
      </c>
      <c r="P7169" t="s" s="8">
        <v>14</v>
      </c>
      <c r="Q7169" t="s" s="12">
        <v>14</v>
      </c>
      <c r="R7169" t="s" s="12">
        <v>14</v>
      </c>
    </row>
    <row r="7170" s="2" customFormat="1" ht="13.5" customHeight="1">
      <c r="B7170" s="13"/>
      <c r="C7170" t="s" s="9">
        <v>16</v>
      </c>
      <c r="D7170" t="s" s="8">
        <v>2489</v>
      </c>
      <c r="E7170" t="s" s="9">
        <v>2490</v>
      </c>
      <c r="F7170" t="s" s="10">
        <v>391</v>
      </c>
      <c r="G7170" s="14"/>
      <c r="H7170" t="s" s="10">
        <v>391</v>
      </c>
      <c r="I7170" s="14"/>
      <c r="J7170" t="s" s="11">
        <v>20</v>
      </c>
      <c r="K7170" t="s" s="16">
        <f>HYPERLINK("http://csr.bu.edu/ftp/asl/asllvd/demos/verify_start_end_handshape_annotations//test_auto_move//signs_mov/1640.mov","MOV")</f>
        <v>21</v>
      </c>
      <c r="L7170" t="s" s="16">
        <f>HYPERLINK("http://csr.bu.edu/ftp/asl/asllvd/demos/verify_start_end_handshape_annotations//test_auto_move//signs_mov_separ_signers/Liz_1640.mov","MOV")</f>
        <v>21</v>
      </c>
      <c r="M7170" t="s" s="10">
        <v>88</v>
      </c>
      <c r="N7170" s="17">
        <v>17</v>
      </c>
      <c r="O7170" s="18">
        <v>305</v>
      </c>
      <c r="P7170" s="18">
        <v>351</v>
      </c>
      <c r="Q7170" t="s" s="16">
        <f>HYPERLINK("http://secrets.rutgers.edu:8080/data/asl-ftp/asllvd/demos/verify_start_end_handshape_annotations//test_auto_move//signs_mov/1640.mov","MOV")</f>
        <v>21</v>
      </c>
      <c r="R7170" t="s" s="16">
        <f>HYPERLINK("http://secrets.rutgers.edu:8080/data/asl-ftp/asllvd/demos/verify_start_end_handshape_annotations//test_auto_move//signs_mov_separ_signers/Liz_1640.mov","MOV")</f>
        <v>21</v>
      </c>
    </row>
    <row r="7171" s="2" customFormat="1" ht="13.5" customHeight="1">
      <c r="B7171" t="s" s="8">
        <v>2491</v>
      </c>
      <c r="C7171" t="s" s="9">
        <v>14</v>
      </c>
      <c r="D7171" t="s" s="8">
        <v>14</v>
      </c>
      <c r="E7171" t="s" s="9">
        <v>14</v>
      </c>
      <c r="F7171" t="s" s="10">
        <v>14</v>
      </c>
      <c r="G7171" t="s" s="11">
        <v>14</v>
      </c>
      <c r="H7171" t="s" s="10">
        <v>14</v>
      </c>
      <c r="I7171" t="s" s="11">
        <v>14</v>
      </c>
      <c r="J7171" t="s" s="11">
        <v>14</v>
      </c>
      <c r="K7171" t="s" s="12">
        <v>14</v>
      </c>
      <c r="L7171" t="s" s="12">
        <v>14</v>
      </c>
      <c r="M7171" t="s" s="10">
        <v>14</v>
      </c>
      <c r="N7171" t="s" s="11">
        <v>14</v>
      </c>
      <c r="O7171" t="s" s="8">
        <v>14</v>
      </c>
      <c r="P7171" t="s" s="8">
        <v>14</v>
      </c>
      <c r="Q7171" t="s" s="12">
        <v>14</v>
      </c>
      <c r="R7171" t="s" s="12">
        <v>14</v>
      </c>
    </row>
    <row r="7172" s="2" customFormat="1" ht="13.5" customHeight="1">
      <c r="B7172" s="13"/>
      <c r="C7172" t="s" s="9">
        <v>16</v>
      </c>
      <c r="D7172" t="s" s="8">
        <v>2491</v>
      </c>
      <c r="E7172" t="s" s="9">
        <v>2492</v>
      </c>
      <c r="F7172" t="s" s="10">
        <v>391</v>
      </c>
      <c r="G7172" s="14"/>
      <c r="H7172" t="s" s="10">
        <v>391</v>
      </c>
      <c r="I7172" s="14"/>
      <c r="J7172" t="s" s="11">
        <v>20</v>
      </c>
      <c r="K7172" t="s" s="16">
        <f>HYPERLINK("http://csr.bu.edu/ftp/asl/asllvd/demos/verify_start_end_handshape_annotations//test_auto_move//signs_mov/15542.mov","MOV")</f>
        <v>21</v>
      </c>
      <c r="L7172" t="s" s="16">
        <f>HYPERLINK("http://csr.bu.edu/ftp/asl/asllvd/demos/verify_start_end_handshape_annotations//test_auto_move//signs_mov_separ_signers/Liz_15542.mov","MOV")</f>
        <v>21</v>
      </c>
      <c r="M7172" t="s" s="10">
        <v>88</v>
      </c>
      <c r="N7172" s="17">
        <v>19</v>
      </c>
      <c r="O7172" s="18">
        <v>1862</v>
      </c>
      <c r="P7172" s="18">
        <v>1901</v>
      </c>
      <c r="Q7172" t="s" s="16">
        <f>HYPERLINK("http://secrets.rutgers.edu:8080/data/asl-ftp/asllvd/demos/verify_start_end_handshape_annotations//test_auto_move//signs_mov/15542.mov","MOV")</f>
        <v>21</v>
      </c>
      <c r="R7172" t="s" s="16">
        <f>HYPERLINK("http://secrets.rutgers.edu:8080/data/asl-ftp/asllvd/demos/verify_start_end_handshape_annotations//test_auto_move//signs_mov_separ_signers/Liz_15542.mov","MOV")</f>
        <v>21</v>
      </c>
    </row>
    <row r="7173" s="2" customFormat="1" ht="13.5" customHeight="1">
      <c r="B7173" t="s" s="8">
        <v>2493</v>
      </c>
      <c r="C7173" t="s" s="9">
        <v>14</v>
      </c>
      <c r="D7173" t="s" s="8">
        <v>14</v>
      </c>
      <c r="E7173" t="s" s="9">
        <v>14</v>
      </c>
      <c r="F7173" t="s" s="10">
        <v>14</v>
      </c>
      <c r="G7173" t="s" s="11">
        <v>14</v>
      </c>
      <c r="H7173" t="s" s="10">
        <v>14</v>
      </c>
      <c r="I7173" t="s" s="11">
        <v>14</v>
      </c>
      <c r="J7173" t="s" s="11">
        <v>14</v>
      </c>
      <c r="K7173" t="s" s="12">
        <v>14</v>
      </c>
      <c r="L7173" t="s" s="12">
        <v>14</v>
      </c>
      <c r="M7173" t="s" s="10">
        <v>14</v>
      </c>
      <c r="N7173" t="s" s="11">
        <v>14</v>
      </c>
      <c r="O7173" t="s" s="8">
        <v>14</v>
      </c>
      <c r="P7173" t="s" s="8">
        <v>14</v>
      </c>
      <c r="Q7173" t="s" s="12">
        <v>14</v>
      </c>
      <c r="R7173" t="s" s="12">
        <v>14</v>
      </c>
    </row>
    <row r="7174" s="2" customFormat="1" ht="13.5" customHeight="1">
      <c r="B7174" s="13"/>
      <c r="C7174" t="s" s="9">
        <v>16</v>
      </c>
      <c r="D7174" t="s" s="8">
        <v>2493</v>
      </c>
      <c r="E7174" t="s" s="9">
        <v>2493</v>
      </c>
      <c r="F7174" s="19">
        <v>1</v>
      </c>
      <c r="G7174" t="s" s="11">
        <v>105</v>
      </c>
      <c r="H7174" s="19">
        <v>1</v>
      </c>
      <c r="I7174" t="s" s="11">
        <v>105</v>
      </c>
      <c r="J7174" t="s" s="11">
        <v>136</v>
      </c>
      <c r="K7174" t="s" s="16">
        <f>HYPERLINK("http://csr.bu.edu/ftp/asl/asllvd/demos/verify_start_end_handshape_annotations//test_auto_move//signs_mov/1642_3808_merged.mov","MOV")</f>
        <v>21</v>
      </c>
      <c r="L7174" t="s" s="16">
        <f>HYPERLINK("http://csr.bu.edu/ftp/asl/asllvd/demos/verify_start_end_handshape_annotations//test_auto_move//signs_mov_separ_signers/Liz_1642.mov","MOV")</f>
        <v>21</v>
      </c>
      <c r="M7174" t="s" s="10">
        <v>88</v>
      </c>
      <c r="N7174" s="17">
        <v>17</v>
      </c>
      <c r="O7174" s="18">
        <v>1277</v>
      </c>
      <c r="P7174" s="18">
        <v>1307</v>
      </c>
      <c r="Q7174" t="s" s="16">
        <f>HYPERLINK("http://secrets.rutgers.edu:8080/data/asl-ftp/asllvd/demos/verify_start_end_handshape_annotations//test_auto_move//signs_mov/1642_3808_merged.mov","MOV")</f>
        <v>21</v>
      </c>
      <c r="R7174" t="s" s="16">
        <f>HYPERLINK("http://secrets.rutgers.edu:8080/data/asl-ftp/asllvd/demos/verify_start_end_handshape_annotations//test_auto_move//signs_mov_separ_signers/Liz_1642.mov","MOV")</f>
        <v>21</v>
      </c>
    </row>
    <row r="7175" s="2" customFormat="1" ht="13.5" customHeight="1">
      <c r="B7175" s="13"/>
      <c r="C7175" t="s" s="9">
        <v>16</v>
      </c>
      <c r="D7175" t="s" s="8">
        <v>2493</v>
      </c>
      <c r="E7175" t="s" s="9">
        <v>2494</v>
      </c>
      <c r="F7175" s="19">
        <v>1</v>
      </c>
      <c r="G7175" t="s" s="11">
        <v>105</v>
      </c>
      <c r="H7175" s="19">
        <v>1</v>
      </c>
      <c r="I7175" t="s" s="11">
        <v>105</v>
      </c>
      <c r="J7175" t="s" s="11">
        <v>136</v>
      </c>
      <c r="K7175" s="15"/>
      <c r="L7175" t="s" s="16">
        <f>HYPERLINK("http://csr.bu.edu/ftp/asl/asllvd/demos/verify_start_end_handshape_annotations//test_auto_move//signs_mov_separ_signers/Liz_3808.mov","MOV")</f>
        <v>21</v>
      </c>
      <c r="M7175" t="s" s="10">
        <v>59</v>
      </c>
      <c r="N7175" s="17">
        <v>31</v>
      </c>
      <c r="O7175" s="18">
        <v>580</v>
      </c>
      <c r="P7175" s="18">
        <v>627</v>
      </c>
      <c r="Q7175" s="15"/>
      <c r="R7175" t="s" s="16">
        <f>HYPERLINK("http://secrets.rutgers.edu:8080/data/asl-ftp/asllvd/demos/verify_start_end_handshape_annotations//test_auto_move//signs_mov_separ_signers/Liz_3808.mov","MOV")</f>
        <v>21</v>
      </c>
    </row>
    <row r="7176" s="2" customFormat="1" ht="13.5" customHeight="1">
      <c r="B7176" t="s" s="8">
        <v>2495</v>
      </c>
      <c r="C7176" t="s" s="9">
        <v>14</v>
      </c>
      <c r="D7176" t="s" s="8">
        <v>14</v>
      </c>
      <c r="E7176" t="s" s="9">
        <v>14</v>
      </c>
      <c r="F7176" t="s" s="10">
        <v>14</v>
      </c>
      <c r="G7176" t="s" s="11">
        <v>14</v>
      </c>
      <c r="H7176" t="s" s="10">
        <v>14</v>
      </c>
      <c r="I7176" t="s" s="11">
        <v>14</v>
      </c>
      <c r="J7176" t="s" s="11">
        <v>14</v>
      </c>
      <c r="K7176" t="s" s="12">
        <v>14</v>
      </c>
      <c r="L7176" t="s" s="12">
        <v>14</v>
      </c>
      <c r="M7176" t="s" s="10">
        <v>14</v>
      </c>
      <c r="N7176" t="s" s="11">
        <v>14</v>
      </c>
      <c r="O7176" t="s" s="8">
        <v>14</v>
      </c>
      <c r="P7176" t="s" s="8">
        <v>14</v>
      </c>
      <c r="Q7176" t="s" s="12">
        <v>14</v>
      </c>
      <c r="R7176" t="s" s="12">
        <v>14</v>
      </c>
    </row>
    <row r="7177" s="2" customFormat="1" ht="13.5" customHeight="1">
      <c r="B7177" s="13"/>
      <c r="C7177" t="s" s="9">
        <v>16</v>
      </c>
      <c r="D7177" t="s" s="8">
        <v>2495</v>
      </c>
      <c r="E7177" t="s" s="9">
        <v>2495</v>
      </c>
      <c r="F7177" s="19">
        <v>5</v>
      </c>
      <c r="G7177" s="17">
        <v>5</v>
      </c>
      <c r="H7177" s="19">
        <v>5</v>
      </c>
      <c r="I7177" s="17">
        <v>5</v>
      </c>
      <c r="J7177" t="s" s="11">
        <v>20</v>
      </c>
      <c r="K7177" s="15"/>
      <c r="L7177" t="s" s="16">
        <f>HYPERLINK("http://csr.bu.edu/ftp/asl/asllvd/demos/verify_start_end_handshape_annotations//test_auto_move//signs_mov_separ_signers/Liz_1643.mov","MOV")</f>
        <v>21</v>
      </c>
      <c r="M7177" t="s" s="10">
        <v>88</v>
      </c>
      <c r="N7177" s="17">
        <v>17</v>
      </c>
      <c r="O7177" s="18">
        <v>2475</v>
      </c>
      <c r="P7177" s="18">
        <v>2530</v>
      </c>
      <c r="Q7177" s="15"/>
      <c r="R7177" t="s" s="16">
        <f>HYPERLINK("http://secrets.rutgers.edu:8080/data/asl-ftp/asllvd/demos/verify_start_end_handshape_annotations//test_auto_move//signs_mov_separ_signers/Liz_1643.mov","MOV")</f>
        <v>21</v>
      </c>
    </row>
    <row r="7178" s="2" customFormat="1" ht="13.5" customHeight="1">
      <c r="B7178" s="13"/>
      <c r="C7178" t="s" s="9">
        <v>41</v>
      </c>
      <c r="D7178" t="s" s="8">
        <v>2495</v>
      </c>
      <c r="E7178" t="s" s="9">
        <v>2496</v>
      </c>
      <c r="F7178" s="19">
        <v>5</v>
      </c>
      <c r="G7178" s="17">
        <v>5</v>
      </c>
      <c r="H7178" s="19">
        <v>5</v>
      </c>
      <c r="I7178" s="17">
        <v>5</v>
      </c>
      <c r="J7178" t="s" s="11">
        <v>20</v>
      </c>
      <c r="K7178" t="s" s="16">
        <f>HYPERLINK("http://csr.bu.edu/ftp/asl/asllvd/demos/verify_start_end_handshape_annotations//test_auto_move//signs_mov/1643.mov","MOV")</f>
        <v>21</v>
      </c>
      <c r="L7178" t="s" s="16">
        <f>HYPERLINK("http://csr.bu.edu/ftp/asl/asllvd/demos/verify_start_end_handshape_annotations//test_auto_move//signs_mov_separ_signers/Lana_1643.mov","MOV")</f>
        <v>21</v>
      </c>
      <c r="M7178" t="s" s="10">
        <v>42</v>
      </c>
      <c r="N7178" s="17">
        <v>19</v>
      </c>
      <c r="O7178" s="18">
        <v>521</v>
      </c>
      <c r="P7178" s="18">
        <v>564</v>
      </c>
      <c r="Q7178" t="s" s="16">
        <f>HYPERLINK("http://secrets.rutgers.edu:8080/data/asl-ftp/asllvd/demos/verify_start_end_handshape_annotations//test_auto_move//signs_mov/1643.mov","MOV")</f>
        <v>21</v>
      </c>
      <c r="R7178" t="s" s="16">
        <f>HYPERLINK("http://secrets.rutgers.edu:8080/data/asl-ftp/asllvd/demos/verify_start_end_handshape_annotations//test_auto_move//signs_mov_separ_signers/Lana_1643.mov","MOV")</f>
        <v>21</v>
      </c>
    </row>
    <row r="7179" s="2" customFormat="1" ht="13.5" customHeight="1">
      <c r="B7179" s="13"/>
      <c r="C7179" t="s" s="9">
        <v>43</v>
      </c>
      <c r="D7179" t="s" s="8">
        <v>2495</v>
      </c>
      <c r="E7179" t="s" s="9">
        <v>2497</v>
      </c>
      <c r="F7179" s="19">
        <v>5</v>
      </c>
      <c r="G7179" s="17">
        <v>5</v>
      </c>
      <c r="H7179" s="19">
        <v>5</v>
      </c>
      <c r="I7179" s="17">
        <v>5</v>
      </c>
      <c r="J7179" t="s" s="11">
        <v>20</v>
      </c>
      <c r="K7179" s="15"/>
      <c r="L7179" t="s" s="16">
        <f>HYPERLINK("http://csr.bu.edu/ftp/asl/asllvd/demos/verify_start_end_handshape_annotations//test_auto_move//signs_mov_separ_signers/Dana_1643.mov","MOV")</f>
        <v>21</v>
      </c>
      <c r="M7179" t="s" s="10">
        <v>44</v>
      </c>
      <c r="N7179" s="17">
        <v>21</v>
      </c>
      <c r="O7179" s="18">
        <v>441</v>
      </c>
      <c r="P7179" s="18">
        <v>492</v>
      </c>
      <c r="Q7179" s="15"/>
      <c r="R7179" t="s" s="16">
        <f>HYPERLINK("http://secrets.rutgers.edu:8080/data/asl-ftp/asllvd/demos/verify_start_end_handshape_annotations//test_auto_move//signs_mov_separ_signers/Dana_1643.mov","MOV")</f>
        <v>21</v>
      </c>
    </row>
    <row r="7180" s="2" customFormat="1" ht="13.5" customHeight="1">
      <c r="B7180" t="s" s="8">
        <v>2498</v>
      </c>
      <c r="C7180" t="s" s="9">
        <v>14</v>
      </c>
      <c r="D7180" t="s" s="8">
        <v>14</v>
      </c>
      <c r="E7180" t="s" s="9">
        <v>14</v>
      </c>
      <c r="F7180" t="s" s="10">
        <v>14</v>
      </c>
      <c r="G7180" t="s" s="11">
        <v>14</v>
      </c>
      <c r="H7180" t="s" s="10">
        <v>14</v>
      </c>
      <c r="I7180" t="s" s="11">
        <v>14</v>
      </c>
      <c r="J7180" t="s" s="11">
        <v>14</v>
      </c>
      <c r="K7180" t="s" s="12">
        <v>14</v>
      </c>
      <c r="L7180" t="s" s="12">
        <v>14</v>
      </c>
      <c r="M7180" t="s" s="10">
        <v>14</v>
      </c>
      <c r="N7180" t="s" s="11">
        <v>14</v>
      </c>
      <c r="O7180" t="s" s="8">
        <v>14</v>
      </c>
      <c r="P7180" t="s" s="8">
        <v>14</v>
      </c>
      <c r="Q7180" t="s" s="12">
        <v>14</v>
      </c>
      <c r="R7180" t="s" s="12">
        <v>14</v>
      </c>
    </row>
    <row r="7181" s="2" customFormat="1" ht="13.5" customHeight="1">
      <c r="B7181" s="13"/>
      <c r="C7181" t="s" s="9">
        <v>16</v>
      </c>
      <c r="D7181" t="s" s="8">
        <v>2498</v>
      </c>
      <c r="E7181" t="s" s="9">
        <v>2498</v>
      </c>
      <c r="F7181" s="19">
        <v>5</v>
      </c>
      <c r="G7181" s="17">
        <v>5</v>
      </c>
      <c r="H7181" s="19">
        <v>5</v>
      </c>
      <c r="I7181" s="17">
        <v>5</v>
      </c>
      <c r="J7181" t="s" s="11">
        <v>20</v>
      </c>
      <c r="K7181" s="15"/>
      <c r="L7181" t="s" s="16">
        <f>HYPERLINK("http://csr.bu.edu/ftp/asl/asllvd/demos/verify_start_end_handshape_annotations//test_auto_move//signs_mov_separ_signers/Liz_15834.mov","MOV")</f>
        <v>21</v>
      </c>
      <c r="M7181" t="s" s="10">
        <v>59</v>
      </c>
      <c r="N7181" s="17">
        <v>31</v>
      </c>
      <c r="O7181" s="18">
        <v>2167</v>
      </c>
      <c r="P7181" s="18">
        <v>2207</v>
      </c>
      <c r="Q7181" s="15"/>
      <c r="R7181" t="s" s="16">
        <f>HYPERLINK("http://secrets.rutgers.edu:8080/data/asl-ftp/asllvd/demos/verify_start_end_handshape_annotations//test_auto_move//signs_mov_separ_signers/Liz_15834.mov","MOV")</f>
        <v>21</v>
      </c>
    </row>
    <row r="7182" s="2" customFormat="1" ht="13.5" customHeight="1">
      <c r="B7182" s="13"/>
      <c r="C7182" t="s" s="9">
        <v>30</v>
      </c>
      <c r="D7182" t="s" s="8">
        <v>2498</v>
      </c>
      <c r="E7182" t="s" s="9">
        <v>2498</v>
      </c>
      <c r="F7182" s="19">
        <v>5</v>
      </c>
      <c r="G7182" s="17">
        <v>5</v>
      </c>
      <c r="H7182" s="19">
        <v>5</v>
      </c>
      <c r="I7182" s="17">
        <v>5</v>
      </c>
      <c r="J7182" t="s" s="11">
        <v>20</v>
      </c>
      <c r="K7182" t="s" s="16">
        <f>HYPERLINK("http://csr.bu.edu/ftp/asl/asllvd/demos/verify_start_end_handshape_annotations//test_auto_move//signs_mov/15834_15868_merged.mov","MOV")</f>
        <v>21</v>
      </c>
      <c r="L7182" t="s" s="16">
        <f>HYPERLINK("http://csr.bu.edu/ftp/asl/asllvd/demos/verify_start_end_handshape_annotations//test_auto_move//signs_mov_separ_signers/Brady_15834.mov","MOV")</f>
        <v>21</v>
      </c>
      <c r="M7182" t="s" s="10">
        <v>60</v>
      </c>
      <c r="N7182" s="17">
        <v>19</v>
      </c>
      <c r="O7182" s="18">
        <v>3046</v>
      </c>
      <c r="P7182" s="18">
        <v>3079</v>
      </c>
      <c r="Q7182" t="s" s="16">
        <f>HYPERLINK("http://secrets.rutgers.edu:8080/data/asl-ftp/asllvd/demos/verify_start_end_handshape_annotations//test_auto_move//signs_mov/15834_15868_merged.mov","MOV")</f>
        <v>21</v>
      </c>
      <c r="R7182" t="s" s="16">
        <f>HYPERLINK("http://secrets.rutgers.edu:8080/data/asl-ftp/asllvd/demos/verify_start_end_handshape_annotations//test_auto_move//signs_mov_separ_signers/Brady_15834.mov","MOV")</f>
        <v>21</v>
      </c>
    </row>
    <row r="7183" s="2" customFormat="1" ht="13.5" customHeight="1">
      <c r="B7183" s="13"/>
      <c r="C7183" t="s" s="9">
        <v>30</v>
      </c>
      <c r="D7183" t="s" s="8">
        <v>2498</v>
      </c>
      <c r="E7183" t="s" s="9">
        <v>2498</v>
      </c>
      <c r="F7183" s="19">
        <v>5</v>
      </c>
      <c r="G7183" s="17">
        <v>5</v>
      </c>
      <c r="H7183" s="19">
        <v>5</v>
      </c>
      <c r="I7183" s="17">
        <v>5</v>
      </c>
      <c r="J7183" t="s" s="11">
        <v>20</v>
      </c>
      <c r="K7183" s="15"/>
      <c r="L7183" t="s" s="16">
        <f>HYPERLINK("http://csr.bu.edu/ftp/asl/asllvd/demos/verify_start_end_handshape_annotations//test_auto_move//signs_mov_separ_signers/Brady_15868.mov","MOV")</f>
        <v>21</v>
      </c>
      <c r="M7183" t="s" s="10">
        <v>60</v>
      </c>
      <c r="N7183" s="17">
        <v>57</v>
      </c>
      <c r="O7183" s="18">
        <v>543</v>
      </c>
      <c r="P7183" s="18">
        <v>570</v>
      </c>
      <c r="Q7183" s="15"/>
      <c r="R7183" t="s" s="16">
        <f>HYPERLINK("http://secrets.rutgers.edu:8080/data/asl-ftp/asllvd/demos/verify_start_end_handshape_annotations//test_auto_move//signs_mov_separ_signers/Brady_15868.mov","MOV")</f>
        <v>21</v>
      </c>
    </row>
    <row r="7184" s="2" customFormat="1" ht="13.5" customHeight="1">
      <c r="B7184" t="s" s="8">
        <v>2499</v>
      </c>
      <c r="C7184" t="s" s="9">
        <v>14</v>
      </c>
      <c r="D7184" t="s" s="8">
        <v>14</v>
      </c>
      <c r="E7184" t="s" s="9">
        <v>14</v>
      </c>
      <c r="F7184" t="s" s="10">
        <v>14</v>
      </c>
      <c r="G7184" t="s" s="11">
        <v>14</v>
      </c>
      <c r="H7184" t="s" s="10">
        <v>14</v>
      </c>
      <c r="I7184" t="s" s="11">
        <v>14</v>
      </c>
      <c r="J7184" t="s" s="11">
        <v>14</v>
      </c>
      <c r="K7184" t="s" s="12">
        <v>14</v>
      </c>
      <c r="L7184" t="s" s="12">
        <v>14</v>
      </c>
      <c r="M7184" t="s" s="10">
        <v>14</v>
      </c>
      <c r="N7184" t="s" s="11">
        <v>14</v>
      </c>
      <c r="O7184" t="s" s="8">
        <v>14</v>
      </c>
      <c r="P7184" t="s" s="8">
        <v>14</v>
      </c>
      <c r="Q7184" t="s" s="12">
        <v>14</v>
      </c>
      <c r="R7184" t="s" s="12">
        <v>14</v>
      </c>
    </row>
    <row r="7185" s="2" customFormat="1" ht="13.5" customHeight="1">
      <c r="B7185" s="13"/>
      <c r="C7185" t="s" s="9">
        <v>16</v>
      </c>
      <c r="D7185" t="s" s="8">
        <v>2499</v>
      </c>
      <c r="E7185" t="s" s="9">
        <v>2500</v>
      </c>
      <c r="F7185" s="19">
        <v>5</v>
      </c>
      <c r="G7185" s="17">
        <v>5</v>
      </c>
      <c r="H7185" s="19">
        <v>5</v>
      </c>
      <c r="I7185" s="17">
        <v>5</v>
      </c>
      <c r="J7185" t="s" s="11">
        <v>20</v>
      </c>
      <c r="K7185" t="s" s="16">
        <f>HYPERLINK("http://csr.bu.edu/ftp/asl/asllvd/demos/verify_start_end_handshape_annotations//test_auto_move//signs_mov/15886.mov","MOV")</f>
        <v>21</v>
      </c>
      <c r="L7185" t="s" s="16">
        <f>HYPERLINK("http://csr.bu.edu/ftp/asl/asllvd/demos/verify_start_end_handshape_annotations//test_auto_move//signs_mov_separ_signers/Liz_15886.mov","MOV")</f>
        <v>21</v>
      </c>
      <c r="M7185" t="s" s="10">
        <v>59</v>
      </c>
      <c r="N7185" s="17">
        <v>31</v>
      </c>
      <c r="O7185" s="18">
        <v>2425</v>
      </c>
      <c r="P7185" s="18">
        <v>2517</v>
      </c>
      <c r="Q7185" t="s" s="16">
        <f>HYPERLINK("http://secrets.rutgers.edu:8080/data/asl-ftp/asllvd/demos/verify_start_end_handshape_annotations//test_auto_move//signs_mov/15886.mov","MOV")</f>
        <v>21</v>
      </c>
      <c r="R7185" t="s" s="16">
        <f>HYPERLINK("http://secrets.rutgers.edu:8080/data/asl-ftp/asllvd/demos/verify_start_end_handshape_annotations//test_auto_move//signs_mov_separ_signers/Liz_15886.mov","MOV")</f>
        <v>21</v>
      </c>
    </row>
    <row r="7186" s="2" customFormat="1" ht="13.5" customHeight="1">
      <c r="B7186" t="s" s="8">
        <v>2501</v>
      </c>
      <c r="C7186" t="s" s="9">
        <v>14</v>
      </c>
      <c r="D7186" t="s" s="8">
        <v>14</v>
      </c>
      <c r="E7186" t="s" s="9">
        <v>14</v>
      </c>
      <c r="F7186" t="s" s="10">
        <v>14</v>
      </c>
      <c r="G7186" t="s" s="11">
        <v>14</v>
      </c>
      <c r="H7186" t="s" s="10">
        <v>14</v>
      </c>
      <c r="I7186" t="s" s="11">
        <v>14</v>
      </c>
      <c r="J7186" t="s" s="11">
        <v>14</v>
      </c>
      <c r="K7186" t="s" s="12">
        <v>14</v>
      </c>
      <c r="L7186" t="s" s="12">
        <v>14</v>
      </c>
      <c r="M7186" t="s" s="10">
        <v>14</v>
      </c>
      <c r="N7186" t="s" s="11">
        <v>14</v>
      </c>
      <c r="O7186" t="s" s="8">
        <v>14</v>
      </c>
      <c r="P7186" t="s" s="8">
        <v>14</v>
      </c>
      <c r="Q7186" t="s" s="12">
        <v>14</v>
      </c>
      <c r="R7186" t="s" s="12">
        <v>14</v>
      </c>
    </row>
    <row r="7187" s="2" customFormat="1" ht="13.5" customHeight="1">
      <c r="B7187" s="13"/>
      <c r="C7187" t="s" s="9">
        <v>16</v>
      </c>
      <c r="D7187" t="s" s="8">
        <v>2501</v>
      </c>
      <c r="E7187" t="s" s="9">
        <v>2501</v>
      </c>
      <c r="F7187" t="s" s="10">
        <v>55</v>
      </c>
      <c r="G7187" s="14"/>
      <c r="H7187" t="s" s="10">
        <v>55</v>
      </c>
      <c r="I7187" s="14"/>
      <c r="J7187" t="s" s="11">
        <v>20</v>
      </c>
      <c r="K7187" s="15"/>
      <c r="L7187" t="s" s="16">
        <f>HYPERLINK("http://csr.bu.edu/ftp/asl/asllvd/demos/verify_start_end_handshape_annotations//test_auto_move//signs_mov_separ_signers/Liz_1649.mov","MOV")</f>
        <v>21</v>
      </c>
      <c r="M7187" t="s" s="10">
        <v>88</v>
      </c>
      <c r="N7187" s="17">
        <v>17</v>
      </c>
      <c r="O7187" s="18">
        <v>4270</v>
      </c>
      <c r="P7187" s="18">
        <v>4296</v>
      </c>
      <c r="Q7187" s="15"/>
      <c r="R7187" t="s" s="16">
        <f>HYPERLINK("http://secrets.rutgers.edu:8080/data/asl-ftp/asllvd/demos/verify_start_end_handshape_annotations//test_auto_move//signs_mov_separ_signers/Liz_1649.mov","MOV")</f>
        <v>21</v>
      </c>
    </row>
    <row r="7188" s="2" customFormat="1" ht="13.5" customHeight="1">
      <c r="B7188" s="13"/>
      <c r="C7188" t="s" s="9">
        <v>41</v>
      </c>
      <c r="D7188" t="s" s="8">
        <v>2501</v>
      </c>
      <c r="E7188" t="s" s="9">
        <v>2501</v>
      </c>
      <c r="F7188" t="s" s="10">
        <v>55</v>
      </c>
      <c r="G7188" s="14"/>
      <c r="H7188" t="s" s="10">
        <v>55</v>
      </c>
      <c r="I7188" s="14"/>
      <c r="J7188" t="s" s="11">
        <v>20</v>
      </c>
      <c r="K7188" t="s" s="16">
        <f>HYPERLINK("http://csr.bu.edu/ftp/asl/asllvd/demos/verify_start_end_handshape_annotations//test_auto_move//signs_mov/1649.mov","MOV")</f>
        <v>21</v>
      </c>
      <c r="L7188" t="s" s="16">
        <f>HYPERLINK("http://csr.bu.edu/ftp/asl/asllvd/demos/verify_start_end_handshape_annotations//test_auto_move//signs_mov_separ_signers/Lana_1649.mov","MOV")</f>
        <v>21</v>
      </c>
      <c r="M7188" t="s" s="10">
        <v>42</v>
      </c>
      <c r="N7188" s="17">
        <v>19</v>
      </c>
      <c r="O7188" s="18">
        <v>1676</v>
      </c>
      <c r="P7188" s="18">
        <v>1702</v>
      </c>
      <c r="Q7188" t="s" s="16">
        <f>HYPERLINK("http://secrets.rutgers.edu:8080/data/asl-ftp/asllvd/demos/verify_start_end_handshape_annotations//test_auto_move//signs_mov/1649.mov","MOV")</f>
        <v>21</v>
      </c>
      <c r="R7188" t="s" s="16">
        <f>HYPERLINK("http://secrets.rutgers.edu:8080/data/asl-ftp/asllvd/demos/verify_start_end_handshape_annotations//test_auto_move//signs_mov_separ_signers/Lana_1649.mov","MOV")</f>
        <v>21</v>
      </c>
    </row>
    <row r="7189" s="2" customFormat="1" ht="13.5" customHeight="1">
      <c r="B7189" s="13"/>
      <c r="C7189" t="s" s="9">
        <v>43</v>
      </c>
      <c r="D7189" t="s" s="8">
        <v>2501</v>
      </c>
      <c r="E7189" t="s" s="9">
        <v>2501</v>
      </c>
      <c r="F7189" t="s" s="10">
        <v>152</v>
      </c>
      <c r="G7189" s="14"/>
      <c r="H7189" t="s" s="10">
        <v>152</v>
      </c>
      <c r="I7189" s="14"/>
      <c r="J7189" t="s" s="11">
        <v>20</v>
      </c>
      <c r="K7189" s="15"/>
      <c r="L7189" t="s" s="16">
        <f>HYPERLINK("http://csr.bu.edu/ftp/asl/asllvd/demos/verify_start_end_handshape_annotations//test_auto_move//signs_mov_separ_signers/Dana_1649.mov","MOV")</f>
        <v>21</v>
      </c>
      <c r="M7189" t="s" s="10">
        <v>44</v>
      </c>
      <c r="N7189" s="17">
        <v>21</v>
      </c>
      <c r="O7189" s="18">
        <v>1579</v>
      </c>
      <c r="P7189" s="18">
        <v>1619</v>
      </c>
      <c r="Q7189" s="15"/>
      <c r="R7189" t="s" s="16">
        <f>HYPERLINK("http://secrets.rutgers.edu:8080/data/asl-ftp/asllvd/demos/verify_start_end_handshape_annotations//test_auto_move//signs_mov_separ_signers/Dana_1649.mov","MOV")</f>
        <v>21</v>
      </c>
    </row>
    <row r="7190" s="2" customFormat="1" ht="13.5" customHeight="1">
      <c r="B7190" t="s" s="8">
        <v>2502</v>
      </c>
      <c r="C7190" t="s" s="9">
        <v>14</v>
      </c>
      <c r="D7190" t="s" s="8">
        <v>14</v>
      </c>
      <c r="E7190" t="s" s="9">
        <v>14</v>
      </c>
      <c r="F7190" t="s" s="10">
        <v>14</v>
      </c>
      <c r="G7190" t="s" s="11">
        <v>14</v>
      </c>
      <c r="H7190" t="s" s="10">
        <v>14</v>
      </c>
      <c r="I7190" t="s" s="11">
        <v>14</v>
      </c>
      <c r="J7190" t="s" s="11">
        <v>14</v>
      </c>
      <c r="K7190" t="s" s="12">
        <v>14</v>
      </c>
      <c r="L7190" t="s" s="12">
        <v>14</v>
      </c>
      <c r="M7190" t="s" s="10">
        <v>14</v>
      </c>
      <c r="N7190" t="s" s="11">
        <v>14</v>
      </c>
      <c r="O7190" t="s" s="8">
        <v>14</v>
      </c>
      <c r="P7190" t="s" s="8">
        <v>14</v>
      </c>
      <c r="Q7190" t="s" s="12">
        <v>14</v>
      </c>
      <c r="R7190" t="s" s="12">
        <v>14</v>
      </c>
    </row>
    <row r="7191" s="2" customFormat="1" ht="13.5" customHeight="1">
      <c r="B7191" s="13"/>
      <c r="C7191" t="s" s="9">
        <v>16</v>
      </c>
      <c r="D7191" t="s" s="8">
        <v>2502</v>
      </c>
      <c r="E7191" t="s" s="9">
        <v>2502</v>
      </c>
      <c r="F7191" t="s" s="10">
        <v>150</v>
      </c>
      <c r="G7191" t="s" s="11">
        <v>73</v>
      </c>
      <c r="H7191" t="s" s="10">
        <v>150</v>
      </c>
      <c r="I7191" t="s" s="11">
        <v>73</v>
      </c>
      <c r="J7191" t="s" s="11">
        <v>20</v>
      </c>
      <c r="K7191" s="15"/>
      <c r="L7191" t="s" s="16">
        <f>HYPERLINK("http://csr.bu.edu/ftp/asl/asllvd/demos/verify_start_end_handshape_annotations//test_auto_move//signs_mov_separ_signers/Liz_1650.mov","MOV")</f>
        <v>21</v>
      </c>
      <c r="M7191" t="s" s="10">
        <v>88</v>
      </c>
      <c r="N7191" s="17">
        <v>18</v>
      </c>
      <c r="O7191" s="18">
        <v>270</v>
      </c>
      <c r="P7191" s="18">
        <v>312</v>
      </c>
      <c r="Q7191" s="15"/>
      <c r="R7191" t="s" s="16">
        <f>HYPERLINK("http://secrets.rutgers.edu:8080/data/asl-ftp/asllvd/demos/verify_start_end_handshape_annotations//test_auto_move//signs_mov_separ_signers/Liz_1650.mov","MOV")</f>
        <v>21</v>
      </c>
    </row>
    <row r="7192" s="2" customFormat="1" ht="13.5" customHeight="1">
      <c r="B7192" s="13"/>
      <c r="C7192" t="s" s="9">
        <v>41</v>
      </c>
      <c r="D7192" t="s" s="8">
        <v>2502</v>
      </c>
      <c r="E7192" t="s" s="9">
        <v>2502</v>
      </c>
      <c r="F7192" t="s" s="10">
        <v>80</v>
      </c>
      <c r="G7192" t="s" s="11">
        <v>73</v>
      </c>
      <c r="H7192" t="s" s="10">
        <v>80</v>
      </c>
      <c r="I7192" t="s" s="11">
        <v>73</v>
      </c>
      <c r="J7192" t="s" s="11">
        <v>20</v>
      </c>
      <c r="K7192" t="s" s="16">
        <f>HYPERLINK("http://csr.bu.edu/ftp/asl/asllvd/demos/verify_start_end_handshape_annotations//test_auto_move//signs_mov/1650.mov","MOV")</f>
        <v>21</v>
      </c>
      <c r="L7192" t="s" s="16">
        <f>HYPERLINK("http://csr.bu.edu/ftp/asl/asllvd/demos/verify_start_end_handshape_annotations//test_auto_move//signs_mov_separ_signers/Lana_1650.mov","MOV")</f>
        <v>21</v>
      </c>
      <c r="M7192" t="s" s="10">
        <v>42</v>
      </c>
      <c r="N7192" s="17">
        <v>19</v>
      </c>
      <c r="O7192" s="18">
        <v>776</v>
      </c>
      <c r="P7192" s="18">
        <v>815</v>
      </c>
      <c r="Q7192" t="s" s="16">
        <f>HYPERLINK("http://secrets.rutgers.edu:8080/data/asl-ftp/asllvd/demos/verify_start_end_handshape_annotations//test_auto_move//signs_mov/1650.mov","MOV")</f>
        <v>21</v>
      </c>
      <c r="R7192" t="s" s="16">
        <f>HYPERLINK("http://secrets.rutgers.edu:8080/data/asl-ftp/asllvd/demos/verify_start_end_handshape_annotations//test_auto_move//signs_mov_separ_signers/Lana_1650.mov","MOV")</f>
        <v>21</v>
      </c>
    </row>
    <row r="7193" s="2" customFormat="1" ht="13.5" customHeight="1">
      <c r="B7193" s="13"/>
      <c r="C7193" t="s" s="9">
        <v>43</v>
      </c>
      <c r="D7193" t="s" s="8">
        <v>2502</v>
      </c>
      <c r="E7193" t="s" s="9">
        <v>2502</v>
      </c>
      <c r="F7193" t="s" s="10">
        <v>80</v>
      </c>
      <c r="G7193" t="s" s="11">
        <v>73</v>
      </c>
      <c r="H7193" t="s" s="10">
        <v>80</v>
      </c>
      <c r="I7193" t="s" s="11">
        <v>73</v>
      </c>
      <c r="J7193" t="s" s="11">
        <v>20</v>
      </c>
      <c r="K7193" s="15"/>
      <c r="L7193" t="s" s="16">
        <f>HYPERLINK("http://csr.bu.edu/ftp/asl/asllvd/demos/verify_start_end_handshape_annotations//test_auto_move//signs_mov_separ_signers/Dana_1650.mov","MOV")</f>
        <v>21</v>
      </c>
      <c r="M7193" t="s" s="10">
        <v>44</v>
      </c>
      <c r="N7193" s="17">
        <v>21</v>
      </c>
      <c r="O7193" s="18">
        <v>687</v>
      </c>
      <c r="P7193" s="18">
        <v>725</v>
      </c>
      <c r="Q7193" s="15"/>
      <c r="R7193" t="s" s="16">
        <f>HYPERLINK("http://secrets.rutgers.edu:8080/data/asl-ftp/asllvd/demos/verify_start_end_handshape_annotations//test_auto_move//signs_mov_separ_signers/Dana_1650.mov","MOV")</f>
        <v>21</v>
      </c>
    </row>
    <row r="7194" s="2" customFormat="1" ht="13.5" customHeight="1">
      <c r="B7194" t="s" s="8">
        <v>2503</v>
      </c>
      <c r="C7194" t="s" s="9">
        <v>14</v>
      </c>
      <c r="D7194" t="s" s="8">
        <v>14</v>
      </c>
      <c r="E7194" t="s" s="9">
        <v>14</v>
      </c>
      <c r="F7194" t="s" s="10">
        <v>14</v>
      </c>
      <c r="G7194" t="s" s="11">
        <v>14</v>
      </c>
      <c r="H7194" t="s" s="10">
        <v>14</v>
      </c>
      <c r="I7194" t="s" s="11">
        <v>14</v>
      </c>
      <c r="J7194" t="s" s="11">
        <v>14</v>
      </c>
      <c r="K7194" t="s" s="12">
        <v>14</v>
      </c>
      <c r="L7194" t="s" s="12">
        <v>14</v>
      </c>
      <c r="M7194" t="s" s="10">
        <v>14</v>
      </c>
      <c r="N7194" t="s" s="11">
        <v>14</v>
      </c>
      <c r="O7194" t="s" s="8">
        <v>14</v>
      </c>
      <c r="P7194" t="s" s="8">
        <v>14</v>
      </c>
      <c r="Q7194" t="s" s="12">
        <v>14</v>
      </c>
      <c r="R7194" t="s" s="12">
        <v>14</v>
      </c>
    </row>
    <row r="7195" s="2" customFormat="1" ht="13.5" customHeight="1">
      <c r="B7195" s="13"/>
      <c r="C7195" t="s" s="9">
        <v>16</v>
      </c>
      <c r="D7195" t="s" s="8">
        <v>2503</v>
      </c>
      <c r="E7195" t="s" s="9">
        <v>2503</v>
      </c>
      <c r="F7195" t="s" s="10">
        <v>119</v>
      </c>
      <c r="G7195" t="s" s="11">
        <v>73</v>
      </c>
      <c r="H7195" t="s" s="10">
        <v>119</v>
      </c>
      <c r="I7195" t="s" s="11">
        <v>73</v>
      </c>
      <c r="J7195" t="s" s="11">
        <v>20</v>
      </c>
      <c r="K7195" t="s" s="16">
        <f>HYPERLINK("http://csr.bu.edu/ftp/asl/asllvd/demos/verify_start_end_handshape_annotations//test_auto_move//signs_mov/1651.mov","MOV")</f>
        <v>21</v>
      </c>
      <c r="L7195" t="s" s="16">
        <f>HYPERLINK("http://csr.bu.edu/ftp/asl/asllvd/demos/verify_start_end_handshape_annotations//test_auto_move//signs_mov_separ_signers/Liz_1651.mov","MOV")</f>
        <v>21</v>
      </c>
      <c r="M7195" t="s" s="10">
        <v>88</v>
      </c>
      <c r="N7195" s="17">
        <v>18</v>
      </c>
      <c r="O7195" s="18">
        <v>600</v>
      </c>
      <c r="P7195" s="18">
        <v>652</v>
      </c>
      <c r="Q7195" t="s" s="16">
        <f>HYPERLINK("http://secrets.rutgers.edu:8080/data/asl-ftp/asllvd/demos/verify_start_end_handshape_annotations//test_auto_move//signs_mov/1651.mov","MOV")</f>
        <v>21</v>
      </c>
      <c r="R7195" t="s" s="16">
        <f>HYPERLINK("http://secrets.rutgers.edu:8080/data/asl-ftp/asllvd/demos/verify_start_end_handshape_annotations//test_auto_move//signs_mov_separ_signers/Liz_1651.mov","MOV")</f>
        <v>21</v>
      </c>
    </row>
    <row r="7196" s="2" customFormat="1" ht="13.5" customHeight="1">
      <c r="B7196" t="s" s="8">
        <v>52</v>
      </c>
      <c r="C7196" t="s" s="9">
        <v>53</v>
      </c>
      <c r="D7196" t="s" s="8">
        <v>53</v>
      </c>
      <c r="E7196" t="s" s="9">
        <v>53</v>
      </c>
      <c r="F7196" t="s" s="10">
        <v>53</v>
      </c>
      <c r="G7196" t="s" s="11">
        <v>53</v>
      </c>
      <c r="H7196" t="s" s="10">
        <v>53</v>
      </c>
      <c r="I7196" t="s" s="11">
        <v>53</v>
      </c>
      <c r="J7196" t="s" s="11">
        <v>53</v>
      </c>
      <c r="K7196" t="s" s="12">
        <v>53</v>
      </c>
      <c r="L7196" t="s" s="12">
        <v>53</v>
      </c>
      <c r="M7196" t="s" s="10">
        <v>53</v>
      </c>
      <c r="N7196" t="s" s="11">
        <v>53</v>
      </c>
      <c r="O7196" t="s" s="8">
        <v>53</v>
      </c>
      <c r="P7196" t="s" s="8">
        <v>53</v>
      </c>
      <c r="Q7196" t="s" s="12">
        <v>53</v>
      </c>
      <c r="R7196" t="s" s="12">
        <v>53</v>
      </c>
    </row>
    <row r="7197" s="2" customFormat="1" ht="13.5" customHeight="1">
      <c r="B7197" s="13"/>
      <c r="C7197" t="s" s="9">
        <v>16</v>
      </c>
      <c r="D7197" t="s" s="8">
        <v>2503</v>
      </c>
      <c r="E7197" t="s" s="9">
        <v>2504</v>
      </c>
      <c r="F7197" t="s" s="10">
        <v>391</v>
      </c>
      <c r="G7197" t="s" s="11">
        <v>73</v>
      </c>
      <c r="H7197" t="s" s="10">
        <v>158</v>
      </c>
      <c r="I7197" t="s" s="11">
        <v>73</v>
      </c>
      <c r="J7197" t="s" s="11">
        <v>20</v>
      </c>
      <c r="K7197" t="s" s="16">
        <f>HYPERLINK("http://csr.bu.edu/ftp/asl/asllvd/demos/verify_start_end_handshape_annotations//test_auto_move//signs_mov/3887.mov","MOV")</f>
        <v>21</v>
      </c>
      <c r="L7197" t="s" s="16">
        <f>HYPERLINK("http://csr.bu.edu/ftp/asl/asllvd/demos/verify_start_end_handshape_annotations//test_auto_move//signs_mov_separ_signers/Liz_3887.mov","MOV")</f>
        <v>21</v>
      </c>
      <c r="M7197" t="s" s="10">
        <v>77</v>
      </c>
      <c r="N7197" s="17">
        <v>12</v>
      </c>
      <c r="O7197" s="18">
        <v>330</v>
      </c>
      <c r="P7197" s="18">
        <v>405</v>
      </c>
      <c r="Q7197" t="s" s="16">
        <f>HYPERLINK("http://secrets.rutgers.edu:8080/data/asl-ftp/asllvd/demos/verify_start_end_handshape_annotations//test_auto_move//signs_mov/3887.mov","MOV")</f>
        <v>21</v>
      </c>
      <c r="R7197" t="s" s="16">
        <f>HYPERLINK("http://secrets.rutgers.edu:8080/data/asl-ftp/asllvd/demos/verify_start_end_handshape_annotations//test_auto_move//signs_mov_separ_signers/Liz_3887.mov","MOV")</f>
        <v>21</v>
      </c>
    </row>
    <row r="7198" s="2" customFormat="1" ht="13.5" customHeight="1">
      <c r="B7198" t="s" s="8">
        <v>2505</v>
      </c>
      <c r="C7198" t="s" s="9">
        <v>14</v>
      </c>
      <c r="D7198" t="s" s="8">
        <v>14</v>
      </c>
      <c r="E7198" t="s" s="9">
        <v>14</v>
      </c>
      <c r="F7198" t="s" s="10">
        <v>14</v>
      </c>
      <c r="G7198" t="s" s="11">
        <v>14</v>
      </c>
      <c r="H7198" t="s" s="10">
        <v>14</v>
      </c>
      <c r="I7198" t="s" s="11">
        <v>14</v>
      </c>
      <c r="J7198" t="s" s="11">
        <v>14</v>
      </c>
      <c r="K7198" t="s" s="12">
        <v>14</v>
      </c>
      <c r="L7198" t="s" s="12">
        <v>14</v>
      </c>
      <c r="M7198" t="s" s="10">
        <v>14</v>
      </c>
      <c r="N7198" t="s" s="11">
        <v>14</v>
      </c>
      <c r="O7198" t="s" s="8">
        <v>14</v>
      </c>
      <c r="P7198" t="s" s="8">
        <v>14</v>
      </c>
      <c r="Q7198" t="s" s="12">
        <v>14</v>
      </c>
      <c r="R7198" t="s" s="12">
        <v>14</v>
      </c>
    </row>
    <row r="7199" s="2" customFormat="1" ht="13.5" customHeight="1">
      <c r="B7199" s="13"/>
      <c r="C7199" t="s" s="9">
        <v>16</v>
      </c>
      <c r="D7199" t="s" s="8">
        <v>2505</v>
      </c>
      <c r="E7199" t="s" s="9">
        <v>2505</v>
      </c>
      <c r="F7199" t="s" s="10">
        <v>136</v>
      </c>
      <c r="G7199" t="s" s="11">
        <v>73</v>
      </c>
      <c r="H7199" t="s" s="10">
        <v>136</v>
      </c>
      <c r="I7199" t="s" s="11">
        <v>73</v>
      </c>
      <c r="J7199" t="s" s="11">
        <v>20</v>
      </c>
      <c r="K7199" t="s" s="16">
        <f>HYPERLINK("http://csr.bu.edu/ftp/asl/asllvd/demos/verify_start_end_handshape_annotations//test_auto_move//signs_mov/1653.mov","MOV")</f>
        <v>21</v>
      </c>
      <c r="L7199" t="s" s="16">
        <f>HYPERLINK("http://csr.bu.edu/ftp/asl/asllvd/demos/verify_start_end_handshape_annotations//test_auto_move//signs_mov_separ_signers/Liz_1653.mov","MOV")</f>
        <v>21</v>
      </c>
      <c r="M7199" t="s" s="10">
        <v>88</v>
      </c>
      <c r="N7199" s="17">
        <v>18</v>
      </c>
      <c r="O7199" s="18">
        <v>1245</v>
      </c>
      <c r="P7199" s="18">
        <v>1281</v>
      </c>
      <c r="Q7199" t="s" s="16">
        <f>HYPERLINK("http://secrets.rutgers.edu:8080/data/asl-ftp/asllvd/demos/verify_start_end_handshape_annotations//test_auto_move//signs_mov/1653.mov","MOV")</f>
        <v>21</v>
      </c>
      <c r="R7199" t="s" s="16">
        <f>HYPERLINK("http://secrets.rutgers.edu:8080/data/asl-ftp/asllvd/demos/verify_start_end_handshape_annotations//test_auto_move//signs_mov_separ_signers/Liz_1653.mov","MOV")</f>
        <v>21</v>
      </c>
    </row>
    <row r="7200" s="2" customFormat="1" ht="13.5" customHeight="1">
      <c r="B7200" s="13"/>
      <c r="C7200" t="s" s="9">
        <v>43</v>
      </c>
      <c r="D7200" t="s" s="8">
        <v>2505</v>
      </c>
      <c r="E7200" t="s" s="9">
        <v>2505</v>
      </c>
      <c r="F7200" t="s" s="10">
        <v>136</v>
      </c>
      <c r="G7200" t="s" s="11">
        <v>73</v>
      </c>
      <c r="H7200" t="s" s="10">
        <v>136</v>
      </c>
      <c r="I7200" t="s" s="11">
        <v>73</v>
      </c>
      <c r="J7200" t="s" s="11">
        <v>20</v>
      </c>
      <c r="K7200" s="15"/>
      <c r="L7200" t="s" s="16">
        <f>HYPERLINK("http://csr.bu.edu/ftp/asl/asllvd/demos/verify_start_end_handshape_annotations//test_auto_move//signs_mov_separ_signers/Dana_1653.mov","MOV")</f>
        <v>21</v>
      </c>
      <c r="M7200" t="s" s="10">
        <v>44</v>
      </c>
      <c r="N7200" s="17">
        <v>21</v>
      </c>
      <c r="O7200" s="18">
        <v>808</v>
      </c>
      <c r="P7200" s="18">
        <v>862</v>
      </c>
      <c r="Q7200" s="15"/>
      <c r="R7200" t="s" s="16">
        <f>HYPERLINK("http://secrets.rutgers.edu:8080/data/asl-ftp/asllvd/demos/verify_start_end_handshape_annotations//test_auto_move//signs_mov_separ_signers/Dana_1653.mov","MOV")</f>
        <v>21</v>
      </c>
    </row>
    <row r="7201" s="2" customFormat="1" ht="13.5" customHeight="1">
      <c r="B7201" t="s" s="8">
        <v>52</v>
      </c>
      <c r="C7201" t="s" s="9">
        <v>53</v>
      </c>
      <c r="D7201" t="s" s="8">
        <v>53</v>
      </c>
      <c r="E7201" t="s" s="9">
        <v>53</v>
      </c>
      <c r="F7201" t="s" s="10">
        <v>53</v>
      </c>
      <c r="G7201" t="s" s="11">
        <v>53</v>
      </c>
      <c r="H7201" t="s" s="10">
        <v>53</v>
      </c>
      <c r="I7201" t="s" s="11">
        <v>53</v>
      </c>
      <c r="J7201" t="s" s="11">
        <v>53</v>
      </c>
      <c r="K7201" t="s" s="12">
        <v>53</v>
      </c>
      <c r="L7201" t="s" s="12">
        <v>53</v>
      </c>
      <c r="M7201" t="s" s="10">
        <v>53</v>
      </c>
      <c r="N7201" t="s" s="11">
        <v>53</v>
      </c>
      <c r="O7201" t="s" s="8">
        <v>53</v>
      </c>
      <c r="P7201" t="s" s="8">
        <v>53</v>
      </c>
      <c r="Q7201" t="s" s="12">
        <v>53</v>
      </c>
      <c r="R7201" t="s" s="12">
        <v>53</v>
      </c>
    </row>
    <row r="7202" s="2" customFormat="1" ht="13.5" customHeight="1">
      <c r="B7202" s="13"/>
      <c r="C7202" t="s" s="9">
        <v>41</v>
      </c>
      <c r="D7202" t="s" s="8">
        <v>2505</v>
      </c>
      <c r="E7202" t="s" s="9">
        <v>2506</v>
      </c>
      <c r="F7202" t="s" s="10">
        <v>136</v>
      </c>
      <c r="G7202" t="s" s="11">
        <v>73</v>
      </c>
      <c r="H7202" t="s" s="10">
        <v>136</v>
      </c>
      <c r="I7202" t="s" s="11">
        <v>73</v>
      </c>
      <c r="J7202" t="s" s="11">
        <v>20</v>
      </c>
      <c r="K7202" t="s" s="16">
        <f>HYPERLINK("http://csr.bu.edu/ftp/asl/asllvd/demos/verify_start_end_handshape_annotations//test_auto_move//signs_mov/16416.mov","MOV")</f>
        <v>21</v>
      </c>
      <c r="L7202" t="s" s="16">
        <f>HYPERLINK("http://csr.bu.edu/ftp/asl/asllvd/demos/verify_start_end_handshape_annotations//test_auto_move//signs_mov_separ_signers/Lana_16416.mov","MOV")</f>
        <v>21</v>
      </c>
      <c r="M7202" t="s" s="10">
        <v>42</v>
      </c>
      <c r="N7202" s="17">
        <v>19</v>
      </c>
      <c r="O7202" s="18">
        <v>916</v>
      </c>
      <c r="P7202" s="18">
        <v>931</v>
      </c>
      <c r="Q7202" t="s" s="16">
        <f>HYPERLINK("http://secrets.rutgers.edu:8080/data/asl-ftp/asllvd/demos/verify_start_end_handshape_annotations//test_auto_move//signs_mov/16416.mov","MOV")</f>
        <v>21</v>
      </c>
      <c r="R7202" t="s" s="16">
        <f>HYPERLINK("http://secrets.rutgers.edu:8080/data/asl-ftp/asllvd/demos/verify_start_end_handshape_annotations//test_auto_move//signs_mov_separ_signers/Lana_16416.mov","MOV")</f>
        <v>21</v>
      </c>
    </row>
    <row r="7203" s="2" customFormat="1" ht="13.5" customHeight="1">
      <c r="B7203" t="s" s="8">
        <v>2507</v>
      </c>
      <c r="C7203" t="s" s="9">
        <v>14</v>
      </c>
      <c r="D7203" t="s" s="8">
        <v>14</v>
      </c>
      <c r="E7203" t="s" s="9">
        <v>14</v>
      </c>
      <c r="F7203" t="s" s="10">
        <v>14</v>
      </c>
      <c r="G7203" t="s" s="11">
        <v>14</v>
      </c>
      <c r="H7203" t="s" s="10">
        <v>14</v>
      </c>
      <c r="I7203" t="s" s="11">
        <v>14</v>
      </c>
      <c r="J7203" t="s" s="11">
        <v>14</v>
      </c>
      <c r="K7203" t="s" s="12">
        <v>14</v>
      </c>
      <c r="L7203" t="s" s="12">
        <v>14</v>
      </c>
      <c r="M7203" t="s" s="10">
        <v>14</v>
      </c>
      <c r="N7203" t="s" s="11">
        <v>14</v>
      </c>
      <c r="O7203" t="s" s="8">
        <v>14</v>
      </c>
      <c r="P7203" t="s" s="8">
        <v>14</v>
      </c>
      <c r="Q7203" t="s" s="12">
        <v>14</v>
      </c>
      <c r="R7203" t="s" s="12">
        <v>14</v>
      </c>
    </row>
    <row r="7204" s="2" customFormat="1" ht="13.5" customHeight="1">
      <c r="B7204" s="13"/>
      <c r="C7204" t="s" s="9">
        <v>16</v>
      </c>
      <c r="D7204" t="s" s="8">
        <v>2507</v>
      </c>
      <c r="E7204" t="s" s="9">
        <v>2507</v>
      </c>
      <c r="F7204" t="s" s="10">
        <v>25</v>
      </c>
      <c r="G7204" s="14"/>
      <c r="H7204" t="s" s="10">
        <v>25</v>
      </c>
      <c r="I7204" s="14"/>
      <c r="J7204" t="s" s="11">
        <v>20</v>
      </c>
      <c r="K7204" t="s" s="16">
        <f>HYPERLINK("http://csr.bu.edu/ftp/asl/asllvd/demos/verify_start_end_handshape_annotations//test_auto_move//signs_mov/1659.mov","MOV")</f>
        <v>21</v>
      </c>
      <c r="L7204" t="s" s="16">
        <f>HYPERLINK("http://csr.bu.edu/ftp/asl/asllvd/demos/verify_start_end_handshape_annotations//test_auto_move//signs_mov_separ_signers/Liz_1659.mov","MOV")</f>
        <v>21</v>
      </c>
      <c r="M7204" t="s" s="10">
        <v>88</v>
      </c>
      <c r="N7204" s="17">
        <v>18</v>
      </c>
      <c r="O7204" s="18">
        <v>3275</v>
      </c>
      <c r="P7204" s="18">
        <v>3322</v>
      </c>
      <c r="Q7204" t="s" s="16">
        <f>HYPERLINK("http://secrets.rutgers.edu:8080/data/asl-ftp/asllvd/demos/verify_start_end_handshape_annotations//test_auto_move//signs_mov/1659.mov","MOV")</f>
        <v>21</v>
      </c>
      <c r="R7204" t="s" s="16">
        <f>HYPERLINK("http://secrets.rutgers.edu:8080/data/asl-ftp/asllvd/demos/verify_start_end_handshape_annotations//test_auto_move//signs_mov_separ_signers/Liz_1659.mov","MOV")</f>
        <v>21</v>
      </c>
    </row>
    <row r="7205" s="2" customFormat="1" ht="13.5" customHeight="1">
      <c r="B7205" t="s" s="8">
        <v>52</v>
      </c>
      <c r="C7205" t="s" s="9">
        <v>53</v>
      </c>
      <c r="D7205" t="s" s="8">
        <v>53</v>
      </c>
      <c r="E7205" t="s" s="9">
        <v>53</v>
      </c>
      <c r="F7205" t="s" s="10">
        <v>53</v>
      </c>
      <c r="G7205" t="s" s="11">
        <v>53</v>
      </c>
      <c r="H7205" t="s" s="10">
        <v>53</v>
      </c>
      <c r="I7205" t="s" s="11">
        <v>53</v>
      </c>
      <c r="J7205" t="s" s="11">
        <v>53</v>
      </c>
      <c r="K7205" t="s" s="12">
        <v>53</v>
      </c>
      <c r="L7205" t="s" s="12">
        <v>53</v>
      </c>
      <c r="M7205" t="s" s="10">
        <v>53</v>
      </c>
      <c r="N7205" t="s" s="11">
        <v>53</v>
      </c>
      <c r="O7205" t="s" s="8">
        <v>53</v>
      </c>
      <c r="P7205" t="s" s="8">
        <v>53</v>
      </c>
      <c r="Q7205" t="s" s="12">
        <v>53</v>
      </c>
      <c r="R7205" t="s" s="12">
        <v>53</v>
      </c>
    </row>
    <row r="7206" s="2" customFormat="1" ht="13.5" customHeight="1">
      <c r="B7206" s="13"/>
      <c r="C7206" t="s" s="9">
        <v>16</v>
      </c>
      <c r="D7206" t="s" s="8">
        <v>2507</v>
      </c>
      <c r="E7206" t="s" s="9">
        <v>2508</v>
      </c>
      <c r="F7206" t="s" s="10">
        <v>18</v>
      </c>
      <c r="G7206" s="14"/>
      <c r="H7206" t="s" s="10">
        <v>18</v>
      </c>
      <c r="I7206" s="14"/>
      <c r="J7206" t="s" s="11">
        <v>20</v>
      </c>
      <c r="K7206" t="s" s="16">
        <f>HYPERLINK("http://csr.bu.edu/ftp/asl/asllvd/demos/verify_start_end_handshape_annotations//test_auto_move//signs_mov/3784.mov","MOV")</f>
        <v>21</v>
      </c>
      <c r="L7206" t="s" s="16">
        <f>HYPERLINK("http://csr.bu.edu/ftp/asl/asllvd/demos/verify_start_end_handshape_annotations//test_auto_move//signs_mov_separ_signers/Liz_3784.mov","MOV")</f>
        <v>21</v>
      </c>
      <c r="M7206" t="s" s="10">
        <v>59</v>
      </c>
      <c r="N7206" s="17">
        <v>4</v>
      </c>
      <c r="O7206" s="18">
        <v>2235</v>
      </c>
      <c r="P7206" s="18">
        <v>2290</v>
      </c>
      <c r="Q7206" t="s" s="16">
        <f>HYPERLINK("http://secrets.rutgers.edu:8080/data/asl-ftp/asllvd/demos/verify_start_end_handshape_annotations//test_auto_move//signs_mov/3784.mov","MOV")</f>
        <v>21</v>
      </c>
      <c r="R7206" t="s" s="16">
        <f>HYPERLINK("http://secrets.rutgers.edu:8080/data/asl-ftp/asllvd/demos/verify_start_end_handshape_annotations//test_auto_move//signs_mov_separ_signers/Liz_3784.mov","MOV")</f>
        <v>21</v>
      </c>
    </row>
    <row r="7207" s="2" customFormat="1" ht="13.5" customHeight="1">
      <c r="B7207" t="s" s="8">
        <v>2509</v>
      </c>
      <c r="C7207" t="s" s="9">
        <v>14</v>
      </c>
      <c r="D7207" t="s" s="8">
        <v>14</v>
      </c>
      <c r="E7207" t="s" s="9">
        <v>14</v>
      </c>
      <c r="F7207" t="s" s="10">
        <v>14</v>
      </c>
      <c r="G7207" t="s" s="11">
        <v>14</v>
      </c>
      <c r="H7207" t="s" s="10">
        <v>14</v>
      </c>
      <c r="I7207" t="s" s="11">
        <v>14</v>
      </c>
      <c r="J7207" t="s" s="11">
        <v>14</v>
      </c>
      <c r="K7207" t="s" s="12">
        <v>14</v>
      </c>
      <c r="L7207" t="s" s="12">
        <v>14</v>
      </c>
      <c r="M7207" t="s" s="10">
        <v>14</v>
      </c>
      <c r="N7207" t="s" s="11">
        <v>14</v>
      </c>
      <c r="O7207" t="s" s="8">
        <v>14</v>
      </c>
      <c r="P7207" t="s" s="8">
        <v>14</v>
      </c>
      <c r="Q7207" t="s" s="12">
        <v>14</v>
      </c>
      <c r="R7207" t="s" s="12">
        <v>14</v>
      </c>
    </row>
    <row r="7208" s="2" customFormat="1" ht="13.5" customHeight="1">
      <c r="B7208" s="13"/>
      <c r="C7208" t="s" s="9">
        <v>16</v>
      </c>
      <c r="D7208" t="s" s="8">
        <v>2509</v>
      </c>
      <c r="E7208" t="s" s="9">
        <v>2510</v>
      </c>
      <c r="F7208" t="s" s="10">
        <v>230</v>
      </c>
      <c r="G7208" t="s" s="11">
        <v>150</v>
      </c>
      <c r="H7208" t="s" s="10">
        <v>230</v>
      </c>
      <c r="I7208" t="s" s="11">
        <v>150</v>
      </c>
      <c r="J7208" t="s" s="11">
        <v>20</v>
      </c>
      <c r="K7208" t="s" s="16">
        <f>HYPERLINK("http://csr.bu.edu/ftp/asl/asllvd/demos/verify_start_end_handshape_annotations//test_auto_move//signs_mov/1660.mov","MOV")</f>
        <v>21</v>
      </c>
      <c r="L7208" t="s" s="16">
        <f>HYPERLINK("http://csr.bu.edu/ftp/asl/asllvd/demos/verify_start_end_handshape_annotations//test_auto_move//signs_mov_separ_signers/Liz_1660.mov","MOV")</f>
        <v>21</v>
      </c>
      <c r="M7208" t="s" s="10">
        <v>88</v>
      </c>
      <c r="N7208" s="17">
        <v>19</v>
      </c>
      <c r="O7208" s="18">
        <v>535</v>
      </c>
      <c r="P7208" s="18">
        <v>582</v>
      </c>
      <c r="Q7208" t="s" s="16">
        <f>HYPERLINK("http://secrets.rutgers.edu:8080/data/asl-ftp/asllvd/demos/verify_start_end_handshape_annotations//test_auto_move//signs_mov/1660.mov","MOV")</f>
        <v>21</v>
      </c>
      <c r="R7208" t="s" s="16">
        <f>HYPERLINK("http://secrets.rutgers.edu:8080/data/asl-ftp/asllvd/demos/verify_start_end_handshape_annotations//test_auto_move//signs_mov_separ_signers/Liz_1660.mov","MOV")</f>
        <v>21</v>
      </c>
    </row>
    <row r="7209" s="2" customFormat="1" ht="13.5" customHeight="1">
      <c r="B7209" t="s" s="8">
        <v>2511</v>
      </c>
      <c r="C7209" t="s" s="9">
        <v>14</v>
      </c>
      <c r="D7209" t="s" s="8">
        <v>14</v>
      </c>
      <c r="E7209" t="s" s="9">
        <v>14</v>
      </c>
      <c r="F7209" t="s" s="10">
        <v>14</v>
      </c>
      <c r="G7209" t="s" s="11">
        <v>14</v>
      </c>
      <c r="H7209" t="s" s="10">
        <v>14</v>
      </c>
      <c r="I7209" t="s" s="11">
        <v>14</v>
      </c>
      <c r="J7209" t="s" s="11">
        <v>14</v>
      </c>
      <c r="K7209" t="s" s="12">
        <v>14</v>
      </c>
      <c r="L7209" t="s" s="12">
        <v>14</v>
      </c>
      <c r="M7209" t="s" s="10">
        <v>14</v>
      </c>
      <c r="N7209" t="s" s="11">
        <v>14</v>
      </c>
      <c r="O7209" t="s" s="8">
        <v>14</v>
      </c>
      <c r="P7209" t="s" s="8">
        <v>14</v>
      </c>
      <c r="Q7209" t="s" s="12">
        <v>14</v>
      </c>
      <c r="R7209" t="s" s="12">
        <v>14</v>
      </c>
    </row>
    <row r="7210" s="2" customFormat="1" ht="13.5" customHeight="1">
      <c r="B7210" s="13"/>
      <c r="C7210" t="s" s="9">
        <v>16</v>
      </c>
      <c r="D7210" t="s" s="8">
        <v>2511</v>
      </c>
      <c r="E7210" t="s" s="9">
        <v>2511</v>
      </c>
      <c r="F7210" t="s" s="10">
        <v>391</v>
      </c>
      <c r="G7210" s="14"/>
      <c r="H7210" t="s" s="10">
        <v>391</v>
      </c>
      <c r="I7210" s="14"/>
      <c r="J7210" t="s" s="11">
        <v>20</v>
      </c>
      <c r="K7210" t="s" s="16">
        <f>HYPERLINK("http://csr.bu.edu/ftp/asl/asllvd/demos/verify_start_end_handshape_annotations//test_auto_move//signs_mov/1664.mov","MOV")</f>
        <v>21</v>
      </c>
      <c r="L7210" t="s" s="16">
        <f>HYPERLINK("http://csr.bu.edu/ftp/asl/asllvd/demos/verify_start_end_handshape_annotations//test_auto_move//signs_mov_separ_signers/Liz_1664.mov","MOV")</f>
        <v>21</v>
      </c>
      <c r="M7210" t="s" s="10">
        <v>88</v>
      </c>
      <c r="N7210" s="17">
        <v>19</v>
      </c>
      <c r="O7210" s="18">
        <v>2095</v>
      </c>
      <c r="P7210" s="18">
        <v>2140</v>
      </c>
      <c r="Q7210" t="s" s="16">
        <f>HYPERLINK("http://secrets.rutgers.edu:8080/data/asl-ftp/asllvd/demos/verify_start_end_handshape_annotations//test_auto_move//signs_mov/1664.mov","MOV")</f>
        <v>21</v>
      </c>
      <c r="R7210" t="s" s="16">
        <f>HYPERLINK("http://secrets.rutgers.edu:8080/data/asl-ftp/asllvd/demos/verify_start_end_handshape_annotations//test_auto_move//signs_mov_separ_signers/Liz_1664.mov","MOV")</f>
        <v>21</v>
      </c>
    </row>
    <row r="7211" s="2" customFormat="1" ht="13.5" customHeight="1">
      <c r="B7211" t="s" s="8">
        <v>2512</v>
      </c>
      <c r="C7211" t="s" s="9">
        <v>14</v>
      </c>
      <c r="D7211" t="s" s="8">
        <v>14</v>
      </c>
      <c r="E7211" t="s" s="9">
        <v>14</v>
      </c>
      <c r="F7211" t="s" s="10">
        <v>14</v>
      </c>
      <c r="G7211" t="s" s="11">
        <v>14</v>
      </c>
      <c r="H7211" t="s" s="10">
        <v>14</v>
      </c>
      <c r="I7211" t="s" s="11">
        <v>14</v>
      </c>
      <c r="J7211" t="s" s="11">
        <v>14</v>
      </c>
      <c r="K7211" t="s" s="12">
        <v>14</v>
      </c>
      <c r="L7211" t="s" s="12">
        <v>14</v>
      </c>
      <c r="M7211" t="s" s="10">
        <v>14</v>
      </c>
      <c r="N7211" t="s" s="11">
        <v>14</v>
      </c>
      <c r="O7211" t="s" s="8">
        <v>14</v>
      </c>
      <c r="P7211" t="s" s="8">
        <v>14</v>
      </c>
      <c r="Q7211" t="s" s="12">
        <v>14</v>
      </c>
      <c r="R7211" t="s" s="12">
        <v>14</v>
      </c>
    </row>
    <row r="7212" s="2" customFormat="1" ht="13.5" customHeight="1">
      <c r="B7212" s="13"/>
      <c r="C7212" t="s" s="9">
        <v>16</v>
      </c>
      <c r="D7212" t="s" s="8">
        <v>2512</v>
      </c>
      <c r="E7212" t="s" s="9">
        <v>2512</v>
      </c>
      <c r="F7212" t="s" s="10">
        <v>80</v>
      </c>
      <c r="G7212" t="s" s="11">
        <v>55</v>
      </c>
      <c r="H7212" t="s" s="10">
        <v>80</v>
      </c>
      <c r="I7212" t="s" s="11">
        <v>55</v>
      </c>
      <c r="J7212" t="s" s="11">
        <v>136</v>
      </c>
      <c r="K7212" s="15"/>
      <c r="L7212" t="s" s="16">
        <f>HYPERLINK("http://csr.bu.edu/ftp/asl/asllvd/demos/verify_start_end_handshape_annotations//test_auto_move//signs_mov_separ_signers/Liz_1665.mov","MOV")</f>
        <v>21</v>
      </c>
      <c r="M7212" t="s" s="10">
        <v>88</v>
      </c>
      <c r="N7212" s="17">
        <v>19</v>
      </c>
      <c r="O7212" s="18">
        <v>2381</v>
      </c>
      <c r="P7212" s="18">
        <v>2420</v>
      </c>
      <c r="Q7212" s="15"/>
      <c r="R7212" t="s" s="16">
        <f>HYPERLINK("http://secrets.rutgers.edu:8080/data/asl-ftp/asllvd/demos/verify_start_end_handshape_annotations//test_auto_move//signs_mov_separ_signers/Liz_1665.mov","MOV")</f>
        <v>21</v>
      </c>
    </row>
    <row r="7213" s="2" customFormat="1" ht="13.5" customHeight="1">
      <c r="B7213" s="13"/>
      <c r="C7213" t="s" s="9">
        <v>16</v>
      </c>
      <c r="D7213" t="s" s="8">
        <v>2512</v>
      </c>
      <c r="E7213" t="s" s="9">
        <v>2513</v>
      </c>
      <c r="F7213" t="s" s="10">
        <v>80</v>
      </c>
      <c r="G7213" t="s" s="11">
        <v>55</v>
      </c>
      <c r="H7213" t="s" s="10">
        <v>80</v>
      </c>
      <c r="I7213" t="s" s="11">
        <v>55</v>
      </c>
      <c r="J7213" t="s" s="11">
        <v>136</v>
      </c>
      <c r="K7213" t="s" s="16">
        <f>HYPERLINK("http://csr.bu.edu/ftp/asl/asllvd/demos/verify_start_end_handshape_annotations//test_auto_move//signs_mov/1665_3699_merged.mov","MOV")</f>
        <v>21</v>
      </c>
      <c r="L7213" t="s" s="16">
        <f>HYPERLINK("http://csr.bu.edu/ftp/asl/asllvd/demos/verify_start_end_handshape_annotations//test_auto_move//signs_mov_separ_signers/Liz_3699.mov","MOV")</f>
        <v>21</v>
      </c>
      <c r="M7213" t="s" s="10">
        <v>88</v>
      </c>
      <c r="N7213" s="17">
        <v>19</v>
      </c>
      <c r="O7213" s="18">
        <v>2595</v>
      </c>
      <c r="P7213" s="18">
        <v>2641</v>
      </c>
      <c r="Q7213" t="s" s="16">
        <f>HYPERLINK("http://secrets.rutgers.edu:8080/data/asl-ftp/asllvd/demos/verify_start_end_handshape_annotations//test_auto_move//signs_mov/1665_3699_merged.mov","MOV")</f>
        <v>21</v>
      </c>
      <c r="R7213" t="s" s="16">
        <f>HYPERLINK("http://secrets.rutgers.edu:8080/data/asl-ftp/asllvd/demos/verify_start_end_handshape_annotations//test_auto_move//signs_mov_separ_signers/Liz_3699.mov","MOV")</f>
        <v>21</v>
      </c>
    </row>
    <row r="7214" s="2" customFormat="1" ht="13.5" customHeight="1">
      <c r="B7214" s="13"/>
      <c r="C7214" t="s" s="9">
        <v>41</v>
      </c>
      <c r="D7214" t="s" s="8">
        <v>2512</v>
      </c>
      <c r="E7214" t="s" s="9">
        <v>2513</v>
      </c>
      <c r="F7214" t="s" s="10">
        <v>80</v>
      </c>
      <c r="G7214" t="s" s="11">
        <v>55</v>
      </c>
      <c r="H7214" t="s" s="10">
        <v>80</v>
      </c>
      <c r="I7214" t="s" s="11">
        <v>55</v>
      </c>
      <c r="J7214" t="s" s="11">
        <v>136</v>
      </c>
      <c r="K7214" s="15"/>
      <c r="L7214" t="s" s="16">
        <f>HYPERLINK("http://csr.bu.edu/ftp/asl/asllvd/demos/verify_start_end_handshape_annotations//test_auto_move//signs_mov_separ_signers/Lana_1665.mov","MOV")</f>
        <v>21</v>
      </c>
      <c r="M7214" t="s" s="10">
        <v>442</v>
      </c>
      <c r="N7214" s="17">
        <v>61</v>
      </c>
      <c r="O7214" s="18">
        <v>2418</v>
      </c>
      <c r="P7214" s="18">
        <v>2449</v>
      </c>
      <c r="Q7214" s="15"/>
      <c r="R7214" t="s" s="16">
        <f>HYPERLINK("http://secrets.rutgers.edu:8080/data/asl-ftp/asllvd/demos/verify_start_end_handshape_annotations//test_auto_move//signs_mov_separ_signers/Lana_1665.mov","MOV")</f>
        <v>21</v>
      </c>
    </row>
    <row r="7215" s="2" customFormat="1" ht="13.5" customHeight="1">
      <c r="B7215" t="s" s="8">
        <v>2514</v>
      </c>
      <c r="C7215" t="s" s="9">
        <v>14</v>
      </c>
      <c r="D7215" t="s" s="8">
        <v>14</v>
      </c>
      <c r="E7215" t="s" s="9">
        <v>14</v>
      </c>
      <c r="F7215" t="s" s="10">
        <v>14</v>
      </c>
      <c r="G7215" t="s" s="11">
        <v>14</v>
      </c>
      <c r="H7215" t="s" s="10">
        <v>14</v>
      </c>
      <c r="I7215" t="s" s="11">
        <v>14</v>
      </c>
      <c r="J7215" t="s" s="11">
        <v>14</v>
      </c>
      <c r="K7215" t="s" s="12">
        <v>14</v>
      </c>
      <c r="L7215" t="s" s="12">
        <v>14</v>
      </c>
      <c r="M7215" t="s" s="10">
        <v>14</v>
      </c>
      <c r="N7215" t="s" s="11">
        <v>14</v>
      </c>
      <c r="O7215" t="s" s="8">
        <v>14</v>
      </c>
      <c r="P7215" t="s" s="8">
        <v>14</v>
      </c>
      <c r="Q7215" t="s" s="12">
        <v>14</v>
      </c>
      <c r="R7215" t="s" s="12">
        <v>14</v>
      </c>
    </row>
    <row r="7216" s="2" customFormat="1" ht="13.5" customHeight="1">
      <c r="B7216" s="13"/>
      <c r="C7216" t="s" s="9">
        <v>16</v>
      </c>
      <c r="D7216" t="s" s="8">
        <v>2514</v>
      </c>
      <c r="E7216" t="s" s="9">
        <v>2514</v>
      </c>
      <c r="F7216" t="s" s="10">
        <v>282</v>
      </c>
      <c r="G7216" s="14"/>
      <c r="H7216" t="s" s="10">
        <v>282</v>
      </c>
      <c r="I7216" s="14"/>
      <c r="J7216" t="s" s="11">
        <v>20</v>
      </c>
      <c r="K7216" t="s" s="16">
        <f>HYPERLINK("http://csr.bu.edu/ftp/asl/asllvd/demos/verify_start_end_handshape_annotations//test_auto_move//signs_mov/1668.mov","MOV")</f>
        <v>21</v>
      </c>
      <c r="L7216" t="s" s="16">
        <f>HYPERLINK("http://csr.bu.edu/ftp/asl/asllvd/demos/verify_start_end_handshape_annotations//test_auto_move//signs_mov_separ_signers/Liz_1668.mov","MOV")</f>
        <v>21</v>
      </c>
      <c r="M7216" t="s" s="10">
        <v>88</v>
      </c>
      <c r="N7216" s="17">
        <v>19</v>
      </c>
      <c r="O7216" s="18">
        <v>3485</v>
      </c>
      <c r="P7216" s="18">
        <v>3532</v>
      </c>
      <c r="Q7216" t="s" s="16">
        <f>HYPERLINK("http://secrets.rutgers.edu:8080/data/asl-ftp/asllvd/demos/verify_start_end_handshape_annotations//test_auto_move//signs_mov/1668.mov","MOV")</f>
        <v>21</v>
      </c>
      <c r="R7216" t="s" s="16">
        <f>HYPERLINK("http://secrets.rutgers.edu:8080/data/asl-ftp/asllvd/demos/verify_start_end_handshape_annotations//test_auto_move//signs_mov_separ_signers/Liz_1668.mov","MOV")</f>
        <v>21</v>
      </c>
    </row>
    <row r="7217" s="2" customFormat="1" ht="13.5" customHeight="1">
      <c r="B7217" t="s" s="8">
        <v>2515</v>
      </c>
      <c r="C7217" t="s" s="9">
        <v>14</v>
      </c>
      <c r="D7217" t="s" s="8">
        <v>14</v>
      </c>
      <c r="E7217" t="s" s="9">
        <v>14</v>
      </c>
      <c r="F7217" t="s" s="10">
        <v>14</v>
      </c>
      <c r="G7217" t="s" s="11">
        <v>14</v>
      </c>
      <c r="H7217" t="s" s="10">
        <v>14</v>
      </c>
      <c r="I7217" t="s" s="11">
        <v>14</v>
      </c>
      <c r="J7217" t="s" s="11">
        <v>14</v>
      </c>
      <c r="K7217" t="s" s="12">
        <v>14</v>
      </c>
      <c r="L7217" t="s" s="12">
        <v>14</v>
      </c>
      <c r="M7217" t="s" s="10">
        <v>14</v>
      </c>
      <c r="N7217" t="s" s="11">
        <v>14</v>
      </c>
      <c r="O7217" t="s" s="8">
        <v>14</v>
      </c>
      <c r="P7217" t="s" s="8">
        <v>14</v>
      </c>
      <c r="Q7217" t="s" s="12">
        <v>14</v>
      </c>
      <c r="R7217" t="s" s="12">
        <v>14</v>
      </c>
    </row>
    <row r="7218" s="2" customFormat="1" ht="13.5" customHeight="1">
      <c r="B7218" s="13"/>
      <c r="C7218" t="s" s="9">
        <v>16</v>
      </c>
      <c r="D7218" t="s" s="8">
        <v>2515</v>
      </c>
      <c r="E7218" t="s" s="9">
        <v>2516</v>
      </c>
      <c r="F7218" s="19">
        <v>5</v>
      </c>
      <c r="G7218" s="17">
        <v>5</v>
      </c>
      <c r="H7218" s="19">
        <v>5</v>
      </c>
      <c r="I7218" s="17">
        <v>5</v>
      </c>
      <c r="J7218" t="s" s="11">
        <v>20</v>
      </c>
      <c r="K7218" t="s" s="16">
        <f>HYPERLINK("http://csr.bu.edu/ftp/asl/asllvd/demos/verify_start_end_handshape_annotations//test_auto_move//signs_mov/1670.mov","MOV")</f>
        <v>21</v>
      </c>
      <c r="L7218" t="s" s="16">
        <f>HYPERLINK("http://csr.bu.edu/ftp/asl/asllvd/demos/verify_start_end_handshape_annotations//test_auto_move//signs_mov_separ_signers/Liz_1670.mov","MOV")</f>
        <v>21</v>
      </c>
      <c r="M7218" t="s" s="10">
        <v>88</v>
      </c>
      <c r="N7218" s="17">
        <v>20</v>
      </c>
      <c r="O7218" s="18">
        <v>296</v>
      </c>
      <c r="P7218" s="18">
        <v>335</v>
      </c>
      <c r="Q7218" t="s" s="16">
        <f>HYPERLINK("http://secrets.rutgers.edu:8080/data/asl-ftp/asllvd/demos/verify_start_end_handshape_annotations//test_auto_move//signs_mov/1670.mov","MOV")</f>
        <v>21</v>
      </c>
      <c r="R7218" t="s" s="16">
        <f>HYPERLINK("http://secrets.rutgers.edu:8080/data/asl-ftp/asllvd/demos/verify_start_end_handshape_annotations//test_auto_move//signs_mov_separ_signers/Liz_1670.mov","MOV")</f>
        <v>21</v>
      </c>
    </row>
    <row r="7219" s="2" customFormat="1" ht="13.5" customHeight="1">
      <c r="B7219" t="s" s="8">
        <v>2517</v>
      </c>
      <c r="C7219" t="s" s="9">
        <v>14</v>
      </c>
      <c r="D7219" t="s" s="8">
        <v>14</v>
      </c>
      <c r="E7219" t="s" s="9">
        <v>14</v>
      </c>
      <c r="F7219" t="s" s="10">
        <v>14</v>
      </c>
      <c r="G7219" t="s" s="11">
        <v>14</v>
      </c>
      <c r="H7219" t="s" s="10">
        <v>14</v>
      </c>
      <c r="I7219" t="s" s="11">
        <v>14</v>
      </c>
      <c r="J7219" t="s" s="11">
        <v>14</v>
      </c>
      <c r="K7219" t="s" s="12">
        <v>14</v>
      </c>
      <c r="L7219" t="s" s="12">
        <v>14</v>
      </c>
      <c r="M7219" t="s" s="10">
        <v>14</v>
      </c>
      <c r="N7219" t="s" s="11">
        <v>14</v>
      </c>
      <c r="O7219" t="s" s="8">
        <v>14</v>
      </c>
      <c r="P7219" t="s" s="8">
        <v>14</v>
      </c>
      <c r="Q7219" t="s" s="12">
        <v>14</v>
      </c>
      <c r="R7219" t="s" s="12">
        <v>14</v>
      </c>
    </row>
    <row r="7220" s="2" customFormat="1" ht="13.5" customHeight="1">
      <c r="B7220" s="13"/>
      <c r="C7220" t="s" s="9">
        <v>16</v>
      </c>
      <c r="D7220" t="s" s="8">
        <v>2518</v>
      </c>
      <c r="E7220" t="s" s="9">
        <v>2518</v>
      </c>
      <c r="F7220" t="s" s="10">
        <v>158</v>
      </c>
      <c r="G7220" s="14"/>
      <c r="H7220" t="s" s="10">
        <v>158</v>
      </c>
      <c r="I7220" s="14"/>
      <c r="J7220" t="s" s="11">
        <v>20</v>
      </c>
      <c r="K7220" t="s" s="16">
        <f>HYPERLINK("http://csr.bu.edu/ftp/asl/asllvd/demos/verify_start_end_handshape_annotations//test_auto_move//signs_mov/1673.mov","MOV")</f>
        <v>21</v>
      </c>
      <c r="L7220" t="s" s="16">
        <f>HYPERLINK("http://csr.bu.edu/ftp/asl/asllvd/demos/verify_start_end_handshape_annotations//test_auto_move//signs_mov_separ_signers/Liz_1673.mov","MOV")</f>
        <v>21</v>
      </c>
      <c r="M7220" t="s" s="10">
        <v>88</v>
      </c>
      <c r="N7220" s="17">
        <v>20</v>
      </c>
      <c r="O7220" s="18">
        <v>971</v>
      </c>
      <c r="P7220" s="18">
        <v>1015</v>
      </c>
      <c r="Q7220" t="s" s="16">
        <f>HYPERLINK("http://secrets.rutgers.edu:8080/data/asl-ftp/asllvd/demos/verify_start_end_handshape_annotations//test_auto_move//signs_mov/1673.mov","MOV")</f>
        <v>21</v>
      </c>
      <c r="R7220" t="s" s="16">
        <f>HYPERLINK("http://secrets.rutgers.edu:8080/data/asl-ftp/asllvd/demos/verify_start_end_handshape_annotations//test_auto_move//signs_mov_separ_signers/Liz_1673.mov","MOV")</f>
        <v>21</v>
      </c>
    </row>
    <row r="7221" s="2" customFormat="1" ht="13.5" customHeight="1">
      <c r="B7221" t="s" s="8">
        <v>2519</v>
      </c>
      <c r="C7221" t="s" s="9">
        <v>14</v>
      </c>
      <c r="D7221" t="s" s="8">
        <v>14</v>
      </c>
      <c r="E7221" t="s" s="9">
        <v>14</v>
      </c>
      <c r="F7221" t="s" s="10">
        <v>14</v>
      </c>
      <c r="G7221" t="s" s="11">
        <v>14</v>
      </c>
      <c r="H7221" t="s" s="10">
        <v>14</v>
      </c>
      <c r="I7221" t="s" s="11">
        <v>14</v>
      </c>
      <c r="J7221" t="s" s="11">
        <v>14</v>
      </c>
      <c r="K7221" t="s" s="12">
        <v>14</v>
      </c>
      <c r="L7221" t="s" s="12">
        <v>14</v>
      </c>
      <c r="M7221" t="s" s="10">
        <v>14</v>
      </c>
      <c r="N7221" t="s" s="11">
        <v>14</v>
      </c>
      <c r="O7221" t="s" s="8">
        <v>14</v>
      </c>
      <c r="P7221" t="s" s="8">
        <v>14</v>
      </c>
      <c r="Q7221" t="s" s="12">
        <v>14</v>
      </c>
      <c r="R7221" t="s" s="12">
        <v>14</v>
      </c>
    </row>
    <row r="7222" s="2" customFormat="1" ht="13.5" customHeight="1">
      <c r="B7222" s="13"/>
      <c r="C7222" t="s" s="9">
        <v>16</v>
      </c>
      <c r="D7222" t="s" s="8">
        <v>2519</v>
      </c>
      <c r="E7222" t="s" s="9">
        <v>2519</v>
      </c>
      <c r="F7222" t="s" s="10">
        <v>63</v>
      </c>
      <c r="G7222" t="s" s="11">
        <v>63</v>
      </c>
      <c r="H7222" s="19">
        <v>5</v>
      </c>
      <c r="I7222" s="17">
        <v>5</v>
      </c>
      <c r="J7222" t="s" s="11">
        <v>20</v>
      </c>
      <c r="K7222" t="s" s="16">
        <f>HYPERLINK("http://csr.bu.edu/ftp/asl/asllvd/demos/verify_start_end_handshape_annotations//test_auto_move//signs_mov/5898.mov","MOV")</f>
        <v>21</v>
      </c>
      <c r="L7222" t="s" s="16">
        <f>HYPERLINK("http://csr.bu.edu/ftp/asl/asllvd/demos/verify_start_end_handshape_annotations//test_auto_move//signs_mov_separ_signers/Liz_5898.mov","MOV")</f>
        <v>21</v>
      </c>
      <c r="M7222" t="s" s="10">
        <v>88</v>
      </c>
      <c r="N7222" s="17">
        <v>21</v>
      </c>
      <c r="O7222" s="18">
        <v>1911</v>
      </c>
      <c r="P7222" s="18">
        <v>1946</v>
      </c>
      <c r="Q7222" t="s" s="16">
        <f>HYPERLINK("http://secrets.rutgers.edu:8080/data/asl-ftp/asllvd/demos/verify_start_end_handshape_annotations//test_auto_move//signs_mov/5898.mov","MOV")</f>
        <v>21</v>
      </c>
      <c r="R7222" t="s" s="16">
        <f>HYPERLINK("http://secrets.rutgers.edu:8080/data/asl-ftp/asllvd/demos/verify_start_end_handshape_annotations//test_auto_move//signs_mov_separ_signers/Liz_5898.mov","MOV")</f>
        <v>21</v>
      </c>
    </row>
    <row r="7223" s="2" customFormat="1" ht="13.5" customHeight="1">
      <c r="B7223" t="s" s="8">
        <v>2520</v>
      </c>
      <c r="C7223" t="s" s="9">
        <v>14</v>
      </c>
      <c r="D7223" t="s" s="8">
        <v>14</v>
      </c>
      <c r="E7223" t="s" s="9">
        <v>14</v>
      </c>
      <c r="F7223" t="s" s="10">
        <v>14</v>
      </c>
      <c r="G7223" t="s" s="11">
        <v>14</v>
      </c>
      <c r="H7223" t="s" s="10">
        <v>14</v>
      </c>
      <c r="I7223" t="s" s="11">
        <v>14</v>
      </c>
      <c r="J7223" t="s" s="11">
        <v>14</v>
      </c>
      <c r="K7223" t="s" s="12">
        <v>14</v>
      </c>
      <c r="L7223" t="s" s="12">
        <v>14</v>
      </c>
      <c r="M7223" t="s" s="10">
        <v>14</v>
      </c>
      <c r="N7223" t="s" s="11">
        <v>14</v>
      </c>
      <c r="O7223" t="s" s="8">
        <v>14</v>
      </c>
      <c r="P7223" t="s" s="8">
        <v>14</v>
      </c>
      <c r="Q7223" t="s" s="12">
        <v>14</v>
      </c>
      <c r="R7223" t="s" s="12">
        <v>14</v>
      </c>
    </row>
    <row r="7224" s="2" customFormat="1" ht="13.5" customHeight="1">
      <c r="B7224" s="13"/>
      <c r="C7224" t="s" s="9">
        <v>16</v>
      </c>
      <c r="D7224" t="s" s="8">
        <v>2520</v>
      </c>
      <c r="E7224" t="s" s="9">
        <v>2521</v>
      </c>
      <c r="F7224" t="s" s="10">
        <v>282</v>
      </c>
      <c r="G7224" t="s" s="11">
        <v>282</v>
      </c>
      <c r="H7224" t="s" s="10">
        <v>282</v>
      </c>
      <c r="I7224" t="s" s="11">
        <v>282</v>
      </c>
      <c r="J7224" t="s" s="11">
        <v>20</v>
      </c>
      <c r="K7224" s="15"/>
      <c r="L7224" t="s" s="16">
        <f>HYPERLINK("http://csr.bu.edu/ftp/asl/asllvd/demos/verify_start_end_handshape_annotations//test_auto_move//signs_mov_separ_signers/Liz_15237.mov","MOV")</f>
        <v>21</v>
      </c>
      <c r="M7224" t="s" s="10">
        <v>88</v>
      </c>
      <c r="N7224" s="17">
        <v>6</v>
      </c>
      <c r="O7224" s="18">
        <v>282</v>
      </c>
      <c r="P7224" s="18">
        <v>320</v>
      </c>
      <c r="Q7224" s="15"/>
      <c r="R7224" t="s" s="16">
        <f>HYPERLINK("http://secrets.rutgers.edu:8080/data/asl-ftp/asllvd/demos/verify_start_end_handshape_annotations//test_auto_move//signs_mov_separ_signers/Liz_15237.mov","MOV")</f>
        <v>21</v>
      </c>
    </row>
    <row r="7225" s="2" customFormat="1" ht="13.5" customHeight="1">
      <c r="B7225" s="13"/>
      <c r="C7225" t="s" s="9">
        <v>30</v>
      </c>
      <c r="D7225" t="s" s="8">
        <v>2520</v>
      </c>
      <c r="E7225" t="s" s="9">
        <v>2522</v>
      </c>
      <c r="F7225" t="s" s="10">
        <v>282</v>
      </c>
      <c r="G7225" t="s" s="11">
        <v>282</v>
      </c>
      <c r="H7225" t="s" s="10">
        <v>282</v>
      </c>
      <c r="I7225" t="s" s="11">
        <v>282</v>
      </c>
      <c r="J7225" t="s" s="11">
        <v>20</v>
      </c>
      <c r="K7225" t="s" s="16">
        <f>HYPERLINK("http://csr.bu.edu/ftp/asl/asllvd/demos/verify_start_end_handshape_annotations//test_auto_move//signs_mov/15237.mov","MOV")</f>
        <v>21</v>
      </c>
      <c r="L7225" t="s" s="16">
        <f>HYPERLINK("http://csr.bu.edu/ftp/asl/asllvd/demos/verify_start_end_handshape_annotations//test_auto_move//signs_mov_separ_signers/Brady_15237.mov","MOV")</f>
        <v>21</v>
      </c>
      <c r="M7225" t="s" s="10">
        <v>60</v>
      </c>
      <c r="N7225" s="17">
        <v>47</v>
      </c>
      <c r="O7225" s="18">
        <v>1774</v>
      </c>
      <c r="P7225" s="18">
        <v>1828</v>
      </c>
      <c r="Q7225" t="s" s="16">
        <f>HYPERLINK("http://secrets.rutgers.edu:8080/data/asl-ftp/asllvd/demos/verify_start_end_handshape_annotations//test_auto_move//signs_mov/15237.mov","MOV")</f>
        <v>21</v>
      </c>
      <c r="R7225" t="s" s="16">
        <f>HYPERLINK("http://secrets.rutgers.edu:8080/data/asl-ftp/asllvd/demos/verify_start_end_handshape_annotations//test_auto_move//signs_mov_separ_signers/Brady_15237.mov","MOV")</f>
        <v>21</v>
      </c>
    </row>
    <row r="7226" s="2" customFormat="1" ht="13.5" customHeight="1">
      <c r="B7226" s="13"/>
      <c r="C7226" t="s" s="9">
        <v>43</v>
      </c>
      <c r="D7226" t="s" s="8">
        <v>2520</v>
      </c>
      <c r="E7226" t="s" s="9">
        <v>2522</v>
      </c>
      <c r="F7226" t="s" s="10">
        <v>282</v>
      </c>
      <c r="G7226" t="s" s="11">
        <v>282</v>
      </c>
      <c r="H7226" t="s" s="10">
        <v>282</v>
      </c>
      <c r="I7226" t="s" s="11">
        <v>282</v>
      </c>
      <c r="J7226" t="s" s="11">
        <v>20</v>
      </c>
      <c r="K7226" s="15"/>
      <c r="L7226" t="s" s="16">
        <f>HYPERLINK("http://csr.bu.edu/ftp/asl/asllvd/demos/verify_start_end_handshape_annotations//test_auto_move//signs_mov_separ_signers/Dana_15237.mov","MOV")</f>
        <v>21</v>
      </c>
      <c r="M7226" t="s" s="10">
        <v>44</v>
      </c>
      <c r="N7226" s="17">
        <v>21</v>
      </c>
      <c r="O7226" s="18">
        <v>1701</v>
      </c>
      <c r="P7226" s="18">
        <v>1763</v>
      </c>
      <c r="Q7226" s="15"/>
      <c r="R7226" t="s" s="16">
        <f>HYPERLINK("http://secrets.rutgers.edu:8080/data/asl-ftp/asllvd/demos/verify_start_end_handshape_annotations//test_auto_move//signs_mov_separ_signers/Dana_15237.mov","MOV")</f>
        <v>21</v>
      </c>
    </row>
    <row r="7227" s="2" customFormat="1" ht="13.5" customHeight="1">
      <c r="B7227" t="s" s="8">
        <v>2523</v>
      </c>
      <c r="C7227" t="s" s="9">
        <v>14</v>
      </c>
      <c r="D7227" t="s" s="8">
        <v>14</v>
      </c>
      <c r="E7227" t="s" s="9">
        <v>14</v>
      </c>
      <c r="F7227" t="s" s="10">
        <v>14</v>
      </c>
      <c r="G7227" t="s" s="11">
        <v>14</v>
      </c>
      <c r="H7227" t="s" s="10">
        <v>14</v>
      </c>
      <c r="I7227" t="s" s="11">
        <v>14</v>
      </c>
      <c r="J7227" t="s" s="11">
        <v>14</v>
      </c>
      <c r="K7227" t="s" s="12">
        <v>14</v>
      </c>
      <c r="L7227" t="s" s="12">
        <v>14</v>
      </c>
      <c r="M7227" t="s" s="10">
        <v>14</v>
      </c>
      <c r="N7227" t="s" s="11">
        <v>14</v>
      </c>
      <c r="O7227" t="s" s="8">
        <v>14</v>
      </c>
      <c r="P7227" t="s" s="8">
        <v>14</v>
      </c>
      <c r="Q7227" t="s" s="12">
        <v>14</v>
      </c>
      <c r="R7227" t="s" s="12">
        <v>14</v>
      </c>
    </row>
    <row r="7228" s="2" customFormat="1" ht="13.5" customHeight="1">
      <c r="B7228" s="13"/>
      <c r="C7228" t="s" s="9">
        <v>16</v>
      </c>
      <c r="D7228" t="s" s="8">
        <v>2523</v>
      </c>
      <c r="E7228" t="s" s="9">
        <v>2523</v>
      </c>
      <c r="F7228" t="s" s="10">
        <v>158</v>
      </c>
      <c r="G7228" t="s" s="11">
        <v>158</v>
      </c>
      <c r="H7228" t="s" s="10">
        <v>158</v>
      </c>
      <c r="I7228" t="s" s="11">
        <v>158</v>
      </c>
      <c r="J7228" t="s" s="11">
        <v>20</v>
      </c>
      <c r="K7228" t="s" s="16">
        <f>HYPERLINK("http://csr.bu.edu/ftp/asl/asllvd/demos/verify_start_end_handshape_annotations//test_auto_move//signs_mov/15245.mov","MOV")</f>
        <v>21</v>
      </c>
      <c r="L7228" t="s" s="16">
        <f>HYPERLINK("http://csr.bu.edu/ftp/asl/asllvd/demos/verify_start_end_handshape_annotations//test_auto_move//signs_mov_separ_signers/Liz_15245.mov","MOV")</f>
        <v>21</v>
      </c>
      <c r="M7228" t="s" s="10">
        <v>88</v>
      </c>
      <c r="N7228" s="17">
        <v>20</v>
      </c>
      <c r="O7228" s="18">
        <v>787</v>
      </c>
      <c r="P7228" s="18">
        <v>816</v>
      </c>
      <c r="Q7228" t="s" s="16">
        <f>HYPERLINK("http://secrets.rutgers.edu:8080/data/asl-ftp/asllvd/demos/verify_start_end_handshape_annotations//test_auto_move//signs_mov/15245.mov","MOV")</f>
        <v>21</v>
      </c>
      <c r="R7228" t="s" s="16">
        <f>HYPERLINK("http://secrets.rutgers.edu:8080/data/asl-ftp/asllvd/demos/verify_start_end_handshape_annotations//test_auto_move//signs_mov_separ_signers/Liz_15245.mov","MOV")</f>
        <v>21</v>
      </c>
    </row>
    <row r="7229" s="2" customFormat="1" ht="13.5" customHeight="1">
      <c r="B7229" t="s" s="8">
        <v>2524</v>
      </c>
      <c r="C7229" t="s" s="9">
        <v>14</v>
      </c>
      <c r="D7229" t="s" s="8">
        <v>14</v>
      </c>
      <c r="E7229" t="s" s="9">
        <v>14</v>
      </c>
      <c r="F7229" t="s" s="10">
        <v>14</v>
      </c>
      <c r="G7229" t="s" s="11">
        <v>14</v>
      </c>
      <c r="H7229" t="s" s="10">
        <v>14</v>
      </c>
      <c r="I7229" t="s" s="11">
        <v>14</v>
      </c>
      <c r="J7229" t="s" s="11">
        <v>14</v>
      </c>
      <c r="K7229" t="s" s="12">
        <v>14</v>
      </c>
      <c r="L7229" t="s" s="12">
        <v>14</v>
      </c>
      <c r="M7229" t="s" s="10">
        <v>14</v>
      </c>
      <c r="N7229" t="s" s="11">
        <v>14</v>
      </c>
      <c r="O7229" t="s" s="8">
        <v>14</v>
      </c>
      <c r="P7229" t="s" s="8">
        <v>14</v>
      </c>
      <c r="Q7229" t="s" s="12">
        <v>14</v>
      </c>
      <c r="R7229" t="s" s="12">
        <v>14</v>
      </c>
    </row>
    <row r="7230" s="2" customFormat="1" ht="13.5" customHeight="1">
      <c r="B7230" s="13"/>
      <c r="C7230" t="s" s="9">
        <v>16</v>
      </c>
      <c r="D7230" t="s" s="8">
        <v>2524</v>
      </c>
      <c r="E7230" t="s" s="9">
        <v>2524</v>
      </c>
      <c r="F7230" t="s" s="10">
        <v>73</v>
      </c>
      <c r="G7230" s="14"/>
      <c r="H7230" t="s" s="10">
        <v>73</v>
      </c>
      <c r="I7230" s="14"/>
      <c r="J7230" t="s" s="11">
        <v>20</v>
      </c>
      <c r="K7230" t="s" s="16">
        <f>HYPERLINK("http://csr.bu.edu/ftp/asl/asllvd/demos/verify_start_end_handshape_annotations//test_auto_move//signs_mov/15265.mov","MOV")</f>
        <v>21</v>
      </c>
      <c r="L7230" t="s" s="16">
        <f>HYPERLINK("http://csr.bu.edu/ftp/asl/asllvd/demos/verify_start_end_handshape_annotations//test_auto_move//signs_mov_separ_signers/Liz_15265.mov","MOV")</f>
        <v>21</v>
      </c>
      <c r="M7230" t="s" s="10">
        <v>77</v>
      </c>
      <c r="N7230" s="17">
        <v>13</v>
      </c>
      <c r="O7230" s="18">
        <v>1492</v>
      </c>
      <c r="P7230" s="18">
        <v>1509</v>
      </c>
      <c r="Q7230" t="s" s="16">
        <f>HYPERLINK("http://secrets.rutgers.edu:8080/data/asl-ftp/asllvd/demos/verify_start_end_handshape_annotations//test_auto_move//signs_mov/15265.mov","MOV")</f>
        <v>21</v>
      </c>
      <c r="R7230" t="s" s="16">
        <f>HYPERLINK("http://secrets.rutgers.edu:8080/data/asl-ftp/asllvd/demos/verify_start_end_handshape_annotations//test_auto_move//signs_mov_separ_signers/Liz_15265.mov","MOV")</f>
        <v>21</v>
      </c>
    </row>
    <row r="7231" s="2" customFormat="1" ht="13.5" customHeight="1">
      <c r="B7231" s="13"/>
      <c r="C7231" t="s" s="9">
        <v>30</v>
      </c>
      <c r="D7231" t="s" s="8">
        <v>2524</v>
      </c>
      <c r="E7231" t="s" s="9">
        <v>2524</v>
      </c>
      <c r="F7231" t="s" s="10">
        <v>73</v>
      </c>
      <c r="G7231" s="14"/>
      <c r="H7231" t="s" s="10">
        <v>73</v>
      </c>
      <c r="I7231" s="14"/>
      <c r="J7231" t="s" s="11">
        <v>20</v>
      </c>
      <c r="K7231" s="15"/>
      <c r="L7231" t="s" s="16">
        <f>HYPERLINK("http://csr.bu.edu/ftp/asl/asllvd/demos/verify_start_end_handshape_annotations//test_auto_move//signs_mov_separ_signers/Brady_15265.mov","MOV")</f>
        <v>21</v>
      </c>
      <c r="M7231" t="s" s="10">
        <v>31</v>
      </c>
      <c r="N7231" s="17">
        <v>22</v>
      </c>
      <c r="O7231" s="18">
        <v>14039</v>
      </c>
      <c r="P7231" s="18">
        <v>14050</v>
      </c>
      <c r="Q7231" s="15"/>
      <c r="R7231" t="s" s="16">
        <f>HYPERLINK("http://secrets.rutgers.edu:8080/data/asl-ftp/asllvd/demos/verify_start_end_handshape_annotations//test_auto_move//signs_mov_separ_signers/Brady_15265.mov","MOV")</f>
        <v>21</v>
      </c>
    </row>
    <row r="7232" s="2" customFormat="1" ht="13.5" customHeight="1">
      <c r="B7232" t="s" s="8">
        <v>2525</v>
      </c>
      <c r="C7232" t="s" s="9">
        <v>14</v>
      </c>
      <c r="D7232" t="s" s="8">
        <v>14</v>
      </c>
      <c r="E7232" t="s" s="9">
        <v>14</v>
      </c>
      <c r="F7232" t="s" s="10">
        <v>14</v>
      </c>
      <c r="G7232" t="s" s="11">
        <v>14</v>
      </c>
      <c r="H7232" t="s" s="10">
        <v>14</v>
      </c>
      <c r="I7232" t="s" s="11">
        <v>14</v>
      </c>
      <c r="J7232" t="s" s="11">
        <v>14</v>
      </c>
      <c r="K7232" t="s" s="12">
        <v>14</v>
      </c>
      <c r="L7232" t="s" s="12">
        <v>14</v>
      </c>
      <c r="M7232" t="s" s="10">
        <v>14</v>
      </c>
      <c r="N7232" t="s" s="11">
        <v>14</v>
      </c>
      <c r="O7232" t="s" s="8">
        <v>14</v>
      </c>
      <c r="P7232" t="s" s="8">
        <v>14</v>
      </c>
      <c r="Q7232" t="s" s="12">
        <v>14</v>
      </c>
      <c r="R7232" t="s" s="12">
        <v>14</v>
      </c>
    </row>
    <row r="7233" s="2" customFormat="1" ht="13.5" customHeight="1">
      <c r="B7233" s="13"/>
      <c r="C7233" t="s" s="9">
        <v>16</v>
      </c>
      <c r="D7233" t="s" s="8">
        <v>2525</v>
      </c>
      <c r="E7233" t="s" s="9">
        <v>2525</v>
      </c>
      <c r="F7233" t="s" s="10">
        <v>158</v>
      </c>
      <c r="G7233" s="14"/>
      <c r="H7233" t="s" s="10">
        <v>158</v>
      </c>
      <c r="I7233" s="14"/>
      <c r="J7233" t="s" s="11">
        <v>20</v>
      </c>
      <c r="K7233" s="15"/>
      <c r="L7233" t="s" s="16">
        <f>HYPERLINK("http://csr.bu.edu/ftp/asl/asllvd/demos/verify_start_end_handshape_annotations//test_auto_move//signs_mov_separ_signers/Liz_15270.mov","MOV")</f>
        <v>21</v>
      </c>
      <c r="M7233" t="s" s="10">
        <v>22</v>
      </c>
      <c r="N7233" s="17">
        <v>4</v>
      </c>
      <c r="O7233" s="18">
        <v>1926</v>
      </c>
      <c r="P7233" s="18">
        <v>1955</v>
      </c>
      <c r="Q7233" s="15"/>
      <c r="R7233" t="s" s="16">
        <f>HYPERLINK("http://secrets.rutgers.edu:8080/data/asl-ftp/asllvd/demos/verify_start_end_handshape_annotations//test_auto_move//signs_mov_separ_signers/Liz_15270.mov","MOV")</f>
        <v>21</v>
      </c>
    </row>
    <row r="7234" s="2" customFormat="1" ht="13.5" customHeight="1">
      <c r="B7234" s="13"/>
      <c r="C7234" t="s" s="9">
        <v>23</v>
      </c>
      <c r="D7234" t="s" s="8">
        <v>2525</v>
      </c>
      <c r="E7234" t="s" s="9">
        <v>2525</v>
      </c>
      <c r="F7234" t="s" s="10">
        <v>158</v>
      </c>
      <c r="G7234" s="14"/>
      <c r="H7234" t="s" s="10">
        <v>158</v>
      </c>
      <c r="I7234" s="14"/>
      <c r="J7234" t="s" s="11">
        <v>20</v>
      </c>
      <c r="K7234" t="s" s="16">
        <f>HYPERLINK("http://csr.bu.edu/ftp/asl/asllvd/demos/verify_start_end_handshape_annotations//test_auto_move//signs_mov/15270.mov","MOV")</f>
        <v>21</v>
      </c>
      <c r="L7234" t="s" s="16">
        <f>HYPERLINK("http://csr.bu.edu/ftp/asl/asllvd/demos/verify_start_end_handshape_annotations//test_auto_move//signs_mov_separ_signers/Tyler_15270.mov","MOV")</f>
        <v>21</v>
      </c>
      <c r="M7234" t="s" s="10">
        <v>26</v>
      </c>
      <c r="N7234" s="17">
        <v>3</v>
      </c>
      <c r="O7234" s="18">
        <v>1095</v>
      </c>
      <c r="P7234" s="18">
        <v>1176</v>
      </c>
      <c r="Q7234" t="s" s="16">
        <f>HYPERLINK("http://secrets.rutgers.edu:8080/data/asl-ftp/asllvd/demos/verify_start_end_handshape_annotations//test_auto_move//signs_mov/15270.mov","MOV")</f>
        <v>21</v>
      </c>
      <c r="R7234" t="s" s="16">
        <f>HYPERLINK("http://secrets.rutgers.edu:8080/data/asl-ftp/asllvd/demos/verify_start_end_handshape_annotations//test_auto_move//signs_mov_separ_signers/Tyler_15270.mov","MOV")</f>
        <v>21</v>
      </c>
    </row>
    <row r="7235" s="2" customFormat="1" ht="13.5" customHeight="1">
      <c r="B7235" s="13"/>
      <c r="C7235" t="s" s="9">
        <v>27</v>
      </c>
      <c r="D7235" t="s" s="8">
        <v>2525</v>
      </c>
      <c r="E7235" t="s" s="9">
        <v>2525</v>
      </c>
      <c r="F7235" t="s" s="10">
        <v>158</v>
      </c>
      <c r="G7235" s="14"/>
      <c r="H7235" t="s" s="10">
        <v>158</v>
      </c>
      <c r="I7235" s="14"/>
      <c r="J7235" t="s" s="11">
        <v>20</v>
      </c>
      <c r="K7235" s="15"/>
      <c r="L7235" t="s" s="16">
        <f>HYPERLINK("http://csr.bu.edu/ftp/asl/asllvd/demos/verify_start_end_handshape_annotations//test_auto_move//signs_mov_separ_signers/Naomi_15270.mov","MOV")</f>
        <v>21</v>
      </c>
      <c r="M7235" t="s" s="10">
        <v>29</v>
      </c>
      <c r="N7235" s="17">
        <v>3</v>
      </c>
      <c r="O7235" s="18">
        <v>1440</v>
      </c>
      <c r="P7235" s="18">
        <v>1463</v>
      </c>
      <c r="Q7235" s="15"/>
      <c r="R7235" t="s" s="16">
        <f>HYPERLINK("http://secrets.rutgers.edu:8080/data/asl-ftp/asllvd/demos/verify_start_end_handshape_annotations//test_auto_move//signs_mov_separ_signers/Naomi_15270.mov","MOV")</f>
        <v>21</v>
      </c>
    </row>
    <row r="7236" s="2" customFormat="1" ht="13.5" customHeight="1">
      <c r="B7236" s="13"/>
      <c r="C7236" t="s" s="9">
        <v>30</v>
      </c>
      <c r="D7236" t="s" s="8">
        <v>2525</v>
      </c>
      <c r="E7236" t="s" s="9">
        <v>2525</v>
      </c>
      <c r="F7236" t="s" s="10">
        <v>158</v>
      </c>
      <c r="G7236" s="14"/>
      <c r="H7236" t="s" s="10">
        <v>158</v>
      </c>
      <c r="I7236" s="14"/>
      <c r="J7236" t="s" s="11">
        <v>20</v>
      </c>
      <c r="K7236" s="15"/>
      <c r="L7236" t="s" s="16">
        <f>HYPERLINK("http://csr.bu.edu/ftp/asl/asllvd/demos/verify_start_end_handshape_annotations//test_auto_move//signs_mov_separ_signers/Brady_15270.mov","MOV")</f>
        <v>21</v>
      </c>
      <c r="M7236" t="s" s="10">
        <v>31</v>
      </c>
      <c r="N7236" s="17">
        <v>4</v>
      </c>
      <c r="O7236" s="18">
        <v>3820</v>
      </c>
      <c r="P7236" s="18">
        <v>3836</v>
      </c>
      <c r="Q7236" s="15"/>
      <c r="R7236" t="s" s="16">
        <f>HYPERLINK("http://secrets.rutgers.edu:8080/data/asl-ftp/asllvd/demos/verify_start_end_handshape_annotations//test_auto_move//signs_mov_separ_signers/Brady_15270.mov","MOV")</f>
        <v>21</v>
      </c>
    </row>
    <row r="7237" s="2" customFormat="1" ht="13.5" customHeight="1">
      <c r="B7237" t="s" s="8">
        <v>2526</v>
      </c>
      <c r="C7237" t="s" s="9">
        <v>14</v>
      </c>
      <c r="D7237" t="s" s="8">
        <v>14</v>
      </c>
      <c r="E7237" t="s" s="9">
        <v>14</v>
      </c>
      <c r="F7237" t="s" s="10">
        <v>14</v>
      </c>
      <c r="G7237" t="s" s="11">
        <v>14</v>
      </c>
      <c r="H7237" t="s" s="10">
        <v>14</v>
      </c>
      <c r="I7237" t="s" s="11">
        <v>14</v>
      </c>
      <c r="J7237" t="s" s="11">
        <v>14</v>
      </c>
      <c r="K7237" t="s" s="12">
        <v>14</v>
      </c>
      <c r="L7237" t="s" s="12">
        <v>14</v>
      </c>
      <c r="M7237" t="s" s="10">
        <v>14</v>
      </c>
      <c r="N7237" t="s" s="11">
        <v>14</v>
      </c>
      <c r="O7237" t="s" s="8">
        <v>14</v>
      </c>
      <c r="P7237" t="s" s="8">
        <v>14</v>
      </c>
      <c r="Q7237" t="s" s="12">
        <v>14</v>
      </c>
      <c r="R7237" t="s" s="12">
        <v>14</v>
      </c>
    </row>
    <row r="7238" s="2" customFormat="1" ht="13.5" customHeight="1">
      <c r="B7238" s="13"/>
      <c r="C7238" t="s" s="9">
        <v>16</v>
      </c>
      <c r="D7238" t="s" s="8">
        <v>2526</v>
      </c>
      <c r="E7238" t="s" s="9">
        <v>2527</v>
      </c>
      <c r="F7238" t="s" s="10">
        <v>109</v>
      </c>
      <c r="G7238" t="s" s="11">
        <v>55</v>
      </c>
      <c r="H7238" t="s" s="10">
        <v>109</v>
      </c>
      <c r="I7238" t="s" s="11">
        <v>55</v>
      </c>
      <c r="J7238" t="s" s="11">
        <v>136</v>
      </c>
      <c r="K7238" t="s" s="16">
        <f>HYPERLINK("http://csr.bu.edu/ftp/asl/asllvd/demos/verify_start_end_handshape_annotations//test_auto_move//signs_mov/1674.mov","MOV")</f>
        <v>21</v>
      </c>
      <c r="L7238" t="s" s="16">
        <f>HYPERLINK("http://csr.bu.edu/ftp/asl/asllvd/demos/verify_start_end_handshape_annotations//test_auto_move//signs_mov_separ_signers/Liz_1674.mov","MOV")</f>
        <v>21</v>
      </c>
      <c r="M7238" t="s" s="10">
        <v>88</v>
      </c>
      <c r="N7238" s="17">
        <v>20</v>
      </c>
      <c r="O7238" s="18">
        <v>1232</v>
      </c>
      <c r="P7238" s="18">
        <v>1295</v>
      </c>
      <c r="Q7238" t="s" s="16">
        <f>HYPERLINK("http://secrets.rutgers.edu:8080/data/asl-ftp/asllvd/demos/verify_start_end_handshape_annotations//test_auto_move//signs_mov/1674.mov","MOV")</f>
        <v>21</v>
      </c>
      <c r="R7238" t="s" s="16">
        <f>HYPERLINK("http://secrets.rutgers.edu:8080/data/asl-ftp/asllvd/demos/verify_start_end_handshape_annotations//test_auto_move//signs_mov_separ_signers/Liz_1674.mov","MOV")</f>
        <v>21</v>
      </c>
    </row>
    <row r="7239" s="2" customFormat="1" ht="13.5" customHeight="1">
      <c r="B7239" t="s" s="8">
        <v>2528</v>
      </c>
      <c r="C7239" t="s" s="9">
        <v>14</v>
      </c>
      <c r="D7239" t="s" s="8">
        <v>14</v>
      </c>
      <c r="E7239" t="s" s="9">
        <v>14</v>
      </c>
      <c r="F7239" t="s" s="10">
        <v>14</v>
      </c>
      <c r="G7239" t="s" s="11">
        <v>14</v>
      </c>
      <c r="H7239" t="s" s="10">
        <v>14</v>
      </c>
      <c r="I7239" t="s" s="11">
        <v>14</v>
      </c>
      <c r="J7239" t="s" s="11">
        <v>14</v>
      </c>
      <c r="K7239" t="s" s="12">
        <v>14</v>
      </c>
      <c r="L7239" t="s" s="12">
        <v>14</v>
      </c>
      <c r="M7239" t="s" s="10">
        <v>14</v>
      </c>
      <c r="N7239" t="s" s="11">
        <v>14</v>
      </c>
      <c r="O7239" t="s" s="8">
        <v>14</v>
      </c>
      <c r="P7239" t="s" s="8">
        <v>14</v>
      </c>
      <c r="Q7239" t="s" s="12">
        <v>14</v>
      </c>
      <c r="R7239" t="s" s="12">
        <v>14</v>
      </c>
    </row>
    <row r="7240" s="2" customFormat="1" ht="13.5" customHeight="1">
      <c r="B7240" s="13"/>
      <c r="C7240" t="s" s="9">
        <v>16</v>
      </c>
      <c r="D7240" t="s" s="8">
        <v>2528</v>
      </c>
      <c r="E7240" t="s" s="9">
        <v>2528</v>
      </c>
      <c r="F7240" t="s" s="10">
        <v>391</v>
      </c>
      <c r="G7240" s="14"/>
      <c r="H7240" t="s" s="10">
        <v>391</v>
      </c>
      <c r="I7240" s="14"/>
      <c r="J7240" t="s" s="11">
        <v>20</v>
      </c>
      <c r="K7240" s="15"/>
      <c r="L7240" t="s" s="16">
        <f>HYPERLINK("http://csr.bu.edu/ftp/asl/asllvd/demos/verify_start_end_handshape_annotations//test_auto_move//signs_mov_separ_signers/Liz_1675.mov","MOV")</f>
        <v>21</v>
      </c>
      <c r="M7240" t="s" s="10">
        <v>88</v>
      </c>
      <c r="N7240" s="17">
        <v>20</v>
      </c>
      <c r="O7240" s="18">
        <v>1470</v>
      </c>
      <c r="P7240" s="18">
        <v>1510</v>
      </c>
      <c r="Q7240" s="15"/>
      <c r="R7240" t="s" s="16">
        <f>HYPERLINK("http://secrets.rutgers.edu:8080/data/asl-ftp/asllvd/demos/verify_start_end_handshape_annotations//test_auto_move//signs_mov_separ_signers/Liz_1675.mov","MOV")</f>
        <v>21</v>
      </c>
    </row>
    <row r="7241" s="2" customFormat="1" ht="13.5" customHeight="1">
      <c r="B7241" s="13"/>
      <c r="C7241" t="s" s="9">
        <v>41</v>
      </c>
      <c r="D7241" t="s" s="8">
        <v>2528</v>
      </c>
      <c r="E7241" t="s" s="9">
        <v>2528</v>
      </c>
      <c r="F7241" t="s" s="10">
        <v>391</v>
      </c>
      <c r="G7241" s="14"/>
      <c r="H7241" t="s" s="10">
        <v>391</v>
      </c>
      <c r="I7241" s="14"/>
      <c r="J7241" t="s" s="11">
        <v>20</v>
      </c>
      <c r="K7241" t="s" s="16">
        <f>HYPERLINK("http://csr.bu.edu/ftp/asl/asllvd/demos/verify_start_end_handshape_annotations//test_auto_move//signs_mov/1675.mov","MOV")</f>
        <v>21</v>
      </c>
      <c r="L7241" t="s" s="16">
        <f>HYPERLINK("http://csr.bu.edu/ftp/asl/asllvd/demos/verify_start_end_handshape_annotations//test_auto_move//signs_mov_separ_signers/Lana_1675.mov","MOV")</f>
        <v>21</v>
      </c>
      <c r="M7241" t="s" s="10">
        <v>42</v>
      </c>
      <c r="N7241" s="17">
        <v>19</v>
      </c>
      <c r="O7241" s="18">
        <v>2285</v>
      </c>
      <c r="P7241" s="18">
        <v>2307</v>
      </c>
      <c r="Q7241" t="s" s="16">
        <f>HYPERLINK("http://secrets.rutgers.edu:8080/data/asl-ftp/asllvd/demos/verify_start_end_handshape_annotations//test_auto_move//signs_mov/1675.mov","MOV")</f>
        <v>21</v>
      </c>
      <c r="R7241" t="s" s="16">
        <f>HYPERLINK("http://secrets.rutgers.edu:8080/data/asl-ftp/asllvd/demos/verify_start_end_handshape_annotations//test_auto_move//signs_mov_separ_signers/Lana_1675.mov","MOV")</f>
        <v>21</v>
      </c>
    </row>
    <row r="7242" s="2" customFormat="1" ht="13.5" customHeight="1">
      <c r="B7242" s="13"/>
      <c r="C7242" t="s" s="9">
        <v>43</v>
      </c>
      <c r="D7242" t="s" s="8">
        <v>2528</v>
      </c>
      <c r="E7242" t="s" s="9">
        <v>2528</v>
      </c>
      <c r="F7242" t="s" s="10">
        <v>391</v>
      </c>
      <c r="G7242" s="14"/>
      <c r="H7242" t="s" s="10">
        <v>391</v>
      </c>
      <c r="I7242" s="14"/>
      <c r="J7242" t="s" s="11">
        <v>20</v>
      </c>
      <c r="K7242" s="15"/>
      <c r="L7242" t="s" s="16">
        <f>HYPERLINK("http://csr.bu.edu/ftp/asl/asllvd/demos/verify_start_end_handshape_annotations//test_auto_move//signs_mov_separ_signers/Dana_1675.mov","MOV")</f>
        <v>21</v>
      </c>
      <c r="M7242" t="s" s="10">
        <v>44</v>
      </c>
      <c r="N7242" s="17">
        <v>21</v>
      </c>
      <c r="O7242" s="18">
        <v>2230</v>
      </c>
      <c r="P7242" s="18">
        <v>2258</v>
      </c>
      <c r="Q7242" s="15"/>
      <c r="R7242" t="s" s="16">
        <f>HYPERLINK("http://secrets.rutgers.edu:8080/data/asl-ftp/asllvd/demos/verify_start_end_handshape_annotations//test_auto_move//signs_mov_separ_signers/Dana_1675.mov","MOV")</f>
        <v>21</v>
      </c>
    </row>
    <row r="7243" s="2" customFormat="1" ht="13.5" customHeight="1">
      <c r="B7243" t="s" s="8">
        <v>2529</v>
      </c>
      <c r="C7243" t="s" s="9">
        <v>14</v>
      </c>
      <c r="D7243" t="s" s="8">
        <v>14</v>
      </c>
      <c r="E7243" t="s" s="9">
        <v>14</v>
      </c>
      <c r="F7243" t="s" s="10">
        <v>14</v>
      </c>
      <c r="G7243" t="s" s="11">
        <v>14</v>
      </c>
      <c r="H7243" t="s" s="10">
        <v>14</v>
      </c>
      <c r="I7243" t="s" s="11">
        <v>14</v>
      </c>
      <c r="J7243" t="s" s="11">
        <v>14</v>
      </c>
      <c r="K7243" t="s" s="12">
        <v>14</v>
      </c>
      <c r="L7243" t="s" s="12">
        <v>14</v>
      </c>
      <c r="M7243" t="s" s="10">
        <v>14</v>
      </c>
      <c r="N7243" t="s" s="11">
        <v>14</v>
      </c>
      <c r="O7243" t="s" s="8">
        <v>14</v>
      </c>
      <c r="P7243" t="s" s="8">
        <v>14</v>
      </c>
      <c r="Q7243" t="s" s="12">
        <v>14</v>
      </c>
      <c r="R7243" t="s" s="12">
        <v>14</v>
      </c>
    </row>
    <row r="7244" s="2" customFormat="1" ht="13.5" customHeight="1">
      <c r="B7244" s="13"/>
      <c r="C7244" t="s" s="9">
        <v>16</v>
      </c>
      <c r="D7244" t="s" s="8">
        <v>2529</v>
      </c>
      <c r="E7244" t="s" s="9">
        <v>2529</v>
      </c>
      <c r="F7244" s="19">
        <v>5</v>
      </c>
      <c r="G7244" s="17">
        <v>10</v>
      </c>
      <c r="H7244" s="19">
        <v>5</v>
      </c>
      <c r="I7244" s="17">
        <v>10</v>
      </c>
      <c r="J7244" t="s" s="11">
        <v>20</v>
      </c>
      <c r="K7244" t="s" s="16">
        <f>HYPERLINK("http://csr.bu.edu/ftp/asl/asllvd/demos/verify_start_end_handshape_annotations//test_auto_move//signs_mov/1676.mov","MOV")</f>
        <v>21</v>
      </c>
      <c r="L7244" t="s" s="16">
        <f>HYPERLINK("http://csr.bu.edu/ftp/asl/asllvd/demos/verify_start_end_handshape_annotations//test_auto_move//signs_mov_separ_signers/Liz_1676.mov","MOV")</f>
        <v>21</v>
      </c>
      <c r="M7244" t="s" s="10">
        <v>88</v>
      </c>
      <c r="N7244" s="17">
        <v>20</v>
      </c>
      <c r="O7244" s="18">
        <v>1725</v>
      </c>
      <c r="P7244" s="18">
        <v>1782</v>
      </c>
      <c r="Q7244" t="s" s="16">
        <f>HYPERLINK("http://secrets.rutgers.edu:8080/data/asl-ftp/asllvd/demos/verify_start_end_handshape_annotations//test_auto_move//signs_mov/1676.mov","MOV")</f>
        <v>21</v>
      </c>
      <c r="R7244" t="s" s="16">
        <f>HYPERLINK("http://secrets.rutgers.edu:8080/data/asl-ftp/asllvd/demos/verify_start_end_handshape_annotations//test_auto_move//signs_mov_separ_signers/Liz_1676.mov","MOV")</f>
        <v>21</v>
      </c>
    </row>
    <row r="7245" s="2" customFormat="1" ht="13.5" customHeight="1">
      <c r="B7245" t="s" s="8">
        <v>2530</v>
      </c>
      <c r="C7245" t="s" s="9">
        <v>14</v>
      </c>
      <c r="D7245" t="s" s="8">
        <v>14</v>
      </c>
      <c r="E7245" t="s" s="9">
        <v>14</v>
      </c>
      <c r="F7245" t="s" s="10">
        <v>14</v>
      </c>
      <c r="G7245" t="s" s="11">
        <v>14</v>
      </c>
      <c r="H7245" t="s" s="10">
        <v>14</v>
      </c>
      <c r="I7245" t="s" s="11">
        <v>14</v>
      </c>
      <c r="J7245" t="s" s="11">
        <v>14</v>
      </c>
      <c r="K7245" t="s" s="12">
        <v>14</v>
      </c>
      <c r="L7245" t="s" s="12">
        <v>14</v>
      </c>
      <c r="M7245" t="s" s="10">
        <v>14</v>
      </c>
      <c r="N7245" t="s" s="11">
        <v>14</v>
      </c>
      <c r="O7245" t="s" s="8">
        <v>14</v>
      </c>
      <c r="P7245" t="s" s="8">
        <v>14</v>
      </c>
      <c r="Q7245" t="s" s="12">
        <v>14</v>
      </c>
      <c r="R7245" t="s" s="12">
        <v>14</v>
      </c>
    </row>
    <row r="7246" s="2" customFormat="1" ht="13.5" customHeight="1">
      <c r="B7246" s="13"/>
      <c r="C7246" t="s" s="9">
        <v>16</v>
      </c>
      <c r="D7246" t="s" s="8">
        <v>2530</v>
      </c>
      <c r="E7246" t="s" s="9">
        <v>2530</v>
      </c>
      <c r="F7246" s="19">
        <v>1</v>
      </c>
      <c r="G7246" s="14"/>
      <c r="H7246" s="19">
        <v>1</v>
      </c>
      <c r="I7246" s="14"/>
      <c r="J7246" t="s" s="11">
        <v>20</v>
      </c>
      <c r="K7246" t="s" s="16">
        <f>HYPERLINK("http://csr.bu.edu/ftp/asl/asllvd/demos/verify_start_end_handshape_annotations//test_auto_move//signs_mov/1678.mov","MOV")</f>
        <v>21</v>
      </c>
      <c r="L7246" t="s" s="16">
        <f>HYPERLINK("http://csr.bu.edu/ftp/asl/asllvd/demos/verify_start_end_handshape_annotations//test_auto_move//signs_mov_separ_signers/Liz_1678.mov","MOV")</f>
        <v>21</v>
      </c>
      <c r="M7246" t="s" s="10">
        <v>88</v>
      </c>
      <c r="N7246" s="17">
        <v>20</v>
      </c>
      <c r="O7246" s="18">
        <v>2680</v>
      </c>
      <c r="P7246" s="18">
        <v>2720</v>
      </c>
      <c r="Q7246" t="s" s="16">
        <f>HYPERLINK("http://secrets.rutgers.edu:8080/data/asl-ftp/asllvd/demos/verify_start_end_handshape_annotations//test_auto_move//signs_mov/1678.mov","MOV")</f>
        <v>21</v>
      </c>
      <c r="R7246" t="s" s="16">
        <f>HYPERLINK("http://secrets.rutgers.edu:8080/data/asl-ftp/asllvd/demos/verify_start_end_handshape_annotations//test_auto_move//signs_mov_separ_signers/Liz_1678.mov","MOV")</f>
        <v>21</v>
      </c>
    </row>
    <row r="7247" s="2" customFormat="1" ht="13.5" customHeight="1">
      <c r="B7247" t="s" s="8">
        <v>2531</v>
      </c>
      <c r="C7247" t="s" s="9">
        <v>14</v>
      </c>
      <c r="D7247" t="s" s="8">
        <v>14</v>
      </c>
      <c r="E7247" t="s" s="9">
        <v>14</v>
      </c>
      <c r="F7247" t="s" s="10">
        <v>14</v>
      </c>
      <c r="G7247" t="s" s="11">
        <v>14</v>
      </c>
      <c r="H7247" t="s" s="10">
        <v>14</v>
      </c>
      <c r="I7247" t="s" s="11">
        <v>14</v>
      </c>
      <c r="J7247" t="s" s="11">
        <v>14</v>
      </c>
      <c r="K7247" t="s" s="12">
        <v>14</v>
      </c>
      <c r="L7247" t="s" s="12">
        <v>14</v>
      </c>
      <c r="M7247" t="s" s="10">
        <v>14</v>
      </c>
      <c r="N7247" t="s" s="11">
        <v>14</v>
      </c>
      <c r="O7247" t="s" s="8">
        <v>14</v>
      </c>
      <c r="P7247" t="s" s="8">
        <v>14</v>
      </c>
      <c r="Q7247" t="s" s="12">
        <v>14</v>
      </c>
      <c r="R7247" t="s" s="12">
        <v>14</v>
      </c>
    </row>
    <row r="7248" s="2" customFormat="1" ht="13.5" customHeight="1">
      <c r="B7248" s="13"/>
      <c r="C7248" t="s" s="9">
        <v>16</v>
      </c>
      <c r="D7248" t="s" s="8">
        <v>2531</v>
      </c>
      <c r="E7248" t="s" s="9">
        <v>2531</v>
      </c>
      <c r="F7248" s="19">
        <v>10</v>
      </c>
      <c r="G7248" s="14"/>
      <c r="H7248" s="19">
        <v>10</v>
      </c>
      <c r="I7248" s="14"/>
      <c r="J7248" t="s" s="11">
        <v>20</v>
      </c>
      <c r="K7248" s="15"/>
      <c r="L7248" t="s" s="16">
        <f>HYPERLINK("http://csr.bu.edu/ftp/asl/asllvd/demos/verify_start_end_handshape_annotations//test_auto_move//signs_mov_separ_signers/Liz_1679.mov","MOV")</f>
        <v>21</v>
      </c>
      <c r="M7248" t="s" s="10">
        <v>88</v>
      </c>
      <c r="N7248" s="17">
        <v>20</v>
      </c>
      <c r="O7248" s="18">
        <v>2937</v>
      </c>
      <c r="P7248" s="18">
        <v>2975</v>
      </c>
      <c r="Q7248" s="15"/>
      <c r="R7248" t="s" s="16">
        <f>HYPERLINK("http://secrets.rutgers.edu:8080/data/asl-ftp/asllvd/demos/verify_start_end_handshape_annotations//test_auto_move//signs_mov_separ_signers/Liz_1679.mov","MOV")</f>
        <v>21</v>
      </c>
    </row>
    <row r="7249" s="2" customFormat="1" ht="13.5" customHeight="1">
      <c r="B7249" s="13"/>
      <c r="C7249" t="s" s="9">
        <v>23</v>
      </c>
      <c r="D7249" t="s" s="8">
        <v>2531</v>
      </c>
      <c r="E7249" t="s" s="9">
        <v>2531</v>
      </c>
      <c r="F7249" s="19">
        <v>10</v>
      </c>
      <c r="G7249" s="14"/>
      <c r="H7249" s="19">
        <v>10</v>
      </c>
      <c r="I7249" s="14"/>
      <c r="J7249" t="s" s="11">
        <v>20</v>
      </c>
      <c r="K7249" t="s" s="16">
        <f>HYPERLINK("http://csr.bu.edu/ftp/asl/asllvd/demos/verify_start_end_handshape_annotations//test_auto_move//signs_mov/1679.mov","MOV")</f>
        <v>21</v>
      </c>
      <c r="L7249" t="s" s="16">
        <f>HYPERLINK("http://csr.bu.edu/ftp/asl/asllvd/demos/verify_start_end_handshape_annotations//test_auto_move//signs_mov_separ_signers/Tyler_1679.mov","MOV")</f>
        <v>21</v>
      </c>
      <c r="M7249" t="s" s="10">
        <v>92</v>
      </c>
      <c r="N7249" s="17">
        <v>2</v>
      </c>
      <c r="O7249" s="18">
        <v>355</v>
      </c>
      <c r="P7249" s="18">
        <v>375</v>
      </c>
      <c r="Q7249" t="s" s="16">
        <f>HYPERLINK("http://secrets.rutgers.edu:8080/data/asl-ftp/asllvd/demos/verify_start_end_handshape_annotations//test_auto_move//signs_mov/1679.mov","MOV")</f>
        <v>21</v>
      </c>
      <c r="R7249" t="s" s="16">
        <f>HYPERLINK("http://secrets.rutgers.edu:8080/data/asl-ftp/asllvd/demos/verify_start_end_handshape_annotations//test_auto_move//signs_mov_separ_signers/Tyler_1679.mov","MOV")</f>
        <v>21</v>
      </c>
    </row>
    <row r="7250" s="2" customFormat="1" ht="13.5" customHeight="1">
      <c r="B7250" s="13"/>
      <c r="C7250" t="s" s="9">
        <v>41</v>
      </c>
      <c r="D7250" t="s" s="8">
        <v>2531</v>
      </c>
      <c r="E7250" t="s" s="9">
        <v>2531</v>
      </c>
      <c r="F7250" s="19">
        <v>10</v>
      </c>
      <c r="G7250" s="14"/>
      <c r="H7250" s="19">
        <v>10</v>
      </c>
      <c r="I7250" s="14"/>
      <c r="J7250" t="s" s="11">
        <v>20</v>
      </c>
      <c r="K7250" s="15"/>
      <c r="L7250" t="s" s="16">
        <f>HYPERLINK("http://csr.bu.edu/ftp/asl/asllvd/demos/verify_start_end_handshape_annotations//test_auto_move//signs_mov_separ_signers/Lana_1679.mov","MOV")</f>
        <v>21</v>
      </c>
      <c r="M7250" t="s" s="10">
        <v>42</v>
      </c>
      <c r="N7250" s="17">
        <v>19</v>
      </c>
      <c r="O7250" s="18">
        <v>2574</v>
      </c>
      <c r="P7250" s="18">
        <v>2586</v>
      </c>
      <c r="Q7250" s="15"/>
      <c r="R7250" t="s" s="16">
        <f>HYPERLINK("http://secrets.rutgers.edu:8080/data/asl-ftp/asllvd/demos/verify_start_end_handshape_annotations//test_auto_move//signs_mov_separ_signers/Lana_1679.mov","MOV")</f>
        <v>21</v>
      </c>
    </row>
    <row r="7251" s="2" customFormat="1" ht="13.5" customHeight="1">
      <c r="B7251" s="13"/>
      <c r="C7251" t="s" s="9">
        <v>43</v>
      </c>
      <c r="D7251" t="s" s="8">
        <v>2531</v>
      </c>
      <c r="E7251" t="s" s="9">
        <v>2531</v>
      </c>
      <c r="F7251" s="19">
        <v>10</v>
      </c>
      <c r="G7251" s="14"/>
      <c r="H7251" s="19">
        <v>10</v>
      </c>
      <c r="I7251" s="14"/>
      <c r="J7251" t="s" s="11">
        <v>20</v>
      </c>
      <c r="K7251" s="15"/>
      <c r="L7251" t="s" s="16">
        <f>HYPERLINK("http://csr.bu.edu/ftp/asl/asllvd/demos/verify_start_end_handshape_annotations//test_auto_move//signs_mov_separ_signers/Dana_1679.mov","MOV")</f>
        <v>21</v>
      </c>
      <c r="M7251" t="s" s="10">
        <v>44</v>
      </c>
      <c r="N7251" s="17">
        <v>21</v>
      </c>
      <c r="O7251" s="18">
        <v>2512</v>
      </c>
      <c r="P7251" s="18">
        <v>2539</v>
      </c>
      <c r="Q7251" s="15"/>
      <c r="R7251" t="s" s="16">
        <f>HYPERLINK("http://secrets.rutgers.edu:8080/data/asl-ftp/asllvd/demos/verify_start_end_handshape_annotations//test_auto_move//signs_mov_separ_signers/Dana_1679.mov","MOV")</f>
        <v>21</v>
      </c>
    </row>
    <row r="7252" s="2" customFormat="1" ht="13.5" customHeight="1">
      <c r="B7252" t="s" s="8">
        <v>2532</v>
      </c>
      <c r="C7252" t="s" s="9">
        <v>14</v>
      </c>
      <c r="D7252" t="s" s="8">
        <v>14</v>
      </c>
      <c r="E7252" t="s" s="9">
        <v>14</v>
      </c>
      <c r="F7252" t="s" s="10">
        <v>14</v>
      </c>
      <c r="G7252" t="s" s="11">
        <v>14</v>
      </c>
      <c r="H7252" t="s" s="10">
        <v>14</v>
      </c>
      <c r="I7252" t="s" s="11">
        <v>14</v>
      </c>
      <c r="J7252" t="s" s="11">
        <v>14</v>
      </c>
      <c r="K7252" t="s" s="12">
        <v>14</v>
      </c>
      <c r="L7252" t="s" s="12">
        <v>14</v>
      </c>
      <c r="M7252" t="s" s="10">
        <v>14</v>
      </c>
      <c r="N7252" t="s" s="11">
        <v>14</v>
      </c>
      <c r="O7252" t="s" s="8">
        <v>14</v>
      </c>
      <c r="P7252" t="s" s="8">
        <v>14</v>
      </c>
      <c r="Q7252" t="s" s="12">
        <v>14</v>
      </c>
      <c r="R7252" t="s" s="12">
        <v>14</v>
      </c>
    </row>
    <row r="7253" s="2" customFormat="1" ht="13.5" customHeight="1">
      <c r="B7253" s="13"/>
      <c r="C7253" t="s" s="9">
        <v>16</v>
      </c>
      <c r="D7253" t="s" s="8">
        <v>2532</v>
      </c>
      <c r="E7253" t="s" s="9">
        <v>2532</v>
      </c>
      <c r="F7253" s="19">
        <v>10</v>
      </c>
      <c r="G7253" s="17">
        <v>10</v>
      </c>
      <c r="H7253" s="19">
        <v>10</v>
      </c>
      <c r="I7253" s="17">
        <v>10</v>
      </c>
      <c r="J7253" t="s" s="11">
        <v>20</v>
      </c>
      <c r="K7253" s="15"/>
      <c r="L7253" t="s" s="16">
        <f>HYPERLINK("http://csr.bu.edu/ftp/asl/asllvd/demos/verify_start_end_handshape_annotations//test_auto_move//signs_mov_separ_signers/Liz_15915.mov","MOV")</f>
        <v>21</v>
      </c>
      <c r="M7253" t="s" s="10">
        <v>84</v>
      </c>
      <c r="N7253" s="17">
        <v>14</v>
      </c>
      <c r="O7253" s="18">
        <v>1990</v>
      </c>
      <c r="P7253" s="18">
        <v>2017</v>
      </c>
      <c r="Q7253" s="15"/>
      <c r="R7253" t="s" s="16">
        <f>HYPERLINK("http://secrets.rutgers.edu:8080/data/asl-ftp/asllvd/demos/verify_start_end_handshape_annotations//test_auto_move//signs_mov_separ_signers/Liz_15915.mov","MOV")</f>
        <v>21</v>
      </c>
    </row>
    <row r="7254" s="2" customFormat="1" ht="13.5" customHeight="1">
      <c r="B7254" s="13"/>
      <c r="C7254" t="s" s="9">
        <v>27</v>
      </c>
      <c r="D7254" t="s" s="8">
        <v>2532</v>
      </c>
      <c r="E7254" t="s" s="9">
        <v>2532</v>
      </c>
      <c r="F7254" s="19">
        <v>10</v>
      </c>
      <c r="G7254" s="17">
        <v>10</v>
      </c>
      <c r="H7254" s="19">
        <v>10</v>
      </c>
      <c r="I7254" s="17">
        <v>10</v>
      </c>
      <c r="J7254" t="s" s="11">
        <v>20</v>
      </c>
      <c r="K7254" t="s" s="16">
        <f>HYPERLINK("http://csr.bu.edu/ftp/asl/asllvd/demos/verify_start_end_handshape_annotations//test_auto_move//signs_mov/15915.mov","MOV")</f>
        <v>21</v>
      </c>
      <c r="L7254" t="s" s="16">
        <f>HYPERLINK("http://csr.bu.edu/ftp/asl/asllvd/demos/verify_start_end_handshape_annotations//test_auto_move//signs_mov_separ_signers/Naomi_15915.mov","MOV")</f>
        <v>21</v>
      </c>
      <c r="M7254" t="s" s="10">
        <v>86</v>
      </c>
      <c r="N7254" s="17">
        <v>14</v>
      </c>
      <c r="O7254" s="18">
        <v>3235</v>
      </c>
      <c r="P7254" s="18">
        <v>3261</v>
      </c>
      <c r="Q7254" t="s" s="16">
        <f>HYPERLINK("http://secrets.rutgers.edu:8080/data/asl-ftp/asllvd/demos/verify_start_end_handshape_annotations//test_auto_move//signs_mov/15915.mov","MOV")</f>
        <v>21</v>
      </c>
      <c r="R7254" t="s" s="16">
        <f>HYPERLINK("http://secrets.rutgers.edu:8080/data/asl-ftp/asllvd/demos/verify_start_end_handshape_annotations//test_auto_move//signs_mov_separ_signers/Naomi_15915.mov","MOV")</f>
        <v>21</v>
      </c>
    </row>
    <row r="7255" s="2" customFormat="1" ht="13.5" customHeight="1">
      <c r="B7255" s="13"/>
      <c r="C7255" t="s" s="9">
        <v>30</v>
      </c>
      <c r="D7255" t="s" s="8">
        <v>2532</v>
      </c>
      <c r="E7255" t="s" s="9">
        <v>2532</v>
      </c>
      <c r="F7255" s="19">
        <v>10</v>
      </c>
      <c r="G7255" s="17">
        <v>10</v>
      </c>
      <c r="H7255" s="19">
        <v>10</v>
      </c>
      <c r="I7255" s="17">
        <v>10</v>
      </c>
      <c r="J7255" t="s" s="11">
        <v>20</v>
      </c>
      <c r="K7255" s="15"/>
      <c r="L7255" t="s" s="16">
        <f>HYPERLINK("http://csr.bu.edu/ftp/asl/asllvd/demos/verify_start_end_handshape_annotations//test_auto_move//signs_mov_separ_signers/Brady_15915.mov","MOV")</f>
        <v>21</v>
      </c>
      <c r="M7255" t="s" s="10">
        <v>31</v>
      </c>
      <c r="N7255" s="17">
        <v>33</v>
      </c>
      <c r="O7255" s="18">
        <v>462</v>
      </c>
      <c r="P7255" s="18">
        <v>485</v>
      </c>
      <c r="Q7255" s="15"/>
      <c r="R7255" t="s" s="16">
        <f>HYPERLINK("http://secrets.rutgers.edu:8080/data/asl-ftp/asllvd/demos/verify_start_end_handshape_annotations//test_auto_move//signs_mov_separ_signers/Brady_15915.mov","MOV")</f>
        <v>21</v>
      </c>
    </row>
    <row r="7256" s="2" customFormat="1" ht="13.5" customHeight="1">
      <c r="B7256" t="s" s="8">
        <v>2533</v>
      </c>
      <c r="C7256" t="s" s="9">
        <v>14</v>
      </c>
      <c r="D7256" t="s" s="8">
        <v>14</v>
      </c>
      <c r="E7256" t="s" s="9">
        <v>14</v>
      </c>
      <c r="F7256" t="s" s="10">
        <v>14</v>
      </c>
      <c r="G7256" t="s" s="11">
        <v>14</v>
      </c>
      <c r="H7256" t="s" s="10">
        <v>14</v>
      </c>
      <c r="I7256" t="s" s="11">
        <v>14</v>
      </c>
      <c r="J7256" t="s" s="11">
        <v>14</v>
      </c>
      <c r="K7256" t="s" s="12">
        <v>14</v>
      </c>
      <c r="L7256" t="s" s="12">
        <v>14</v>
      </c>
      <c r="M7256" t="s" s="10">
        <v>14</v>
      </c>
      <c r="N7256" t="s" s="11">
        <v>14</v>
      </c>
      <c r="O7256" t="s" s="8">
        <v>14</v>
      </c>
      <c r="P7256" t="s" s="8">
        <v>14</v>
      </c>
      <c r="Q7256" t="s" s="12">
        <v>14</v>
      </c>
      <c r="R7256" t="s" s="12">
        <v>14</v>
      </c>
    </row>
    <row r="7257" s="2" customFormat="1" ht="13.5" customHeight="1">
      <c r="B7257" s="13"/>
      <c r="C7257" t="s" s="9">
        <v>16</v>
      </c>
      <c r="D7257" t="s" s="8">
        <v>2533</v>
      </c>
      <c r="E7257" t="s" s="9">
        <v>2533</v>
      </c>
      <c r="F7257" s="19">
        <v>1</v>
      </c>
      <c r="G7257" t="s" s="11">
        <v>105</v>
      </c>
      <c r="H7257" t="s" s="10">
        <v>255</v>
      </c>
      <c r="I7257" t="s" s="11">
        <v>73</v>
      </c>
      <c r="J7257" t="s" s="11">
        <v>20</v>
      </c>
      <c r="K7257" t="s" s="16">
        <f>HYPERLINK("http://csr.bu.edu/ftp/asl/asllvd/demos/verify_start_end_handshape_annotations//test_auto_move//signs_mov/1686.mov","MOV")</f>
        <v>21</v>
      </c>
      <c r="L7257" t="s" s="16">
        <f>HYPERLINK("http://csr.bu.edu/ftp/asl/asllvd/demos/verify_start_end_handshape_annotations//test_auto_move//signs_mov_separ_signers/Liz_1686.mov","MOV")</f>
        <v>21</v>
      </c>
      <c r="M7257" t="s" s="10">
        <v>88</v>
      </c>
      <c r="N7257" s="17">
        <v>21</v>
      </c>
      <c r="O7257" s="18">
        <v>2275</v>
      </c>
      <c r="P7257" s="18">
        <v>2321</v>
      </c>
      <c r="Q7257" t="s" s="16">
        <f>HYPERLINK("http://secrets.rutgers.edu:8080/data/asl-ftp/asllvd/demos/verify_start_end_handshape_annotations//test_auto_move//signs_mov/1686.mov","MOV")</f>
        <v>21</v>
      </c>
      <c r="R7257" t="s" s="16">
        <f>HYPERLINK("http://secrets.rutgers.edu:8080/data/asl-ftp/asllvd/demos/verify_start_end_handshape_annotations//test_auto_move//signs_mov_separ_signers/Liz_1686.mov","MOV")</f>
        <v>21</v>
      </c>
    </row>
    <row r="7258" s="2" customFormat="1" ht="13.5" customHeight="1">
      <c r="B7258" t="s" s="8">
        <v>2534</v>
      </c>
      <c r="C7258" t="s" s="9">
        <v>14</v>
      </c>
      <c r="D7258" t="s" s="8">
        <v>14</v>
      </c>
      <c r="E7258" t="s" s="9">
        <v>14</v>
      </c>
      <c r="F7258" t="s" s="10">
        <v>14</v>
      </c>
      <c r="G7258" t="s" s="11">
        <v>14</v>
      </c>
      <c r="H7258" t="s" s="10">
        <v>14</v>
      </c>
      <c r="I7258" t="s" s="11">
        <v>14</v>
      </c>
      <c r="J7258" t="s" s="11">
        <v>14</v>
      </c>
      <c r="K7258" t="s" s="12">
        <v>14</v>
      </c>
      <c r="L7258" t="s" s="12">
        <v>14</v>
      </c>
      <c r="M7258" t="s" s="10">
        <v>14</v>
      </c>
      <c r="N7258" t="s" s="11">
        <v>14</v>
      </c>
      <c r="O7258" t="s" s="8">
        <v>14</v>
      </c>
      <c r="P7258" t="s" s="8">
        <v>14</v>
      </c>
      <c r="Q7258" t="s" s="12">
        <v>14</v>
      </c>
      <c r="R7258" t="s" s="12">
        <v>14</v>
      </c>
    </row>
    <row r="7259" s="2" customFormat="1" ht="13.5" customHeight="1">
      <c r="B7259" s="13"/>
      <c r="C7259" t="s" s="9">
        <v>16</v>
      </c>
      <c r="D7259" t="s" s="8">
        <v>2534</v>
      </c>
      <c r="E7259" t="s" s="9">
        <v>2535</v>
      </c>
      <c r="F7259" t="s" s="10">
        <v>136</v>
      </c>
      <c r="G7259" t="s" s="11">
        <v>136</v>
      </c>
      <c r="H7259" t="s" s="10">
        <v>136</v>
      </c>
      <c r="I7259" t="s" s="11">
        <v>136</v>
      </c>
      <c r="J7259" t="s" s="11">
        <v>20</v>
      </c>
      <c r="K7259" s="15"/>
      <c r="L7259" t="s" s="16">
        <f>HYPERLINK("http://csr.bu.edu/ftp/asl/asllvd/demos/verify_start_end_handshape_annotations//test_auto_move//signs_mov_separ_signers/Liz_1687.mov","MOV")</f>
        <v>21</v>
      </c>
      <c r="M7259" t="s" s="10">
        <v>88</v>
      </c>
      <c r="N7259" s="17">
        <v>21</v>
      </c>
      <c r="O7259" s="18">
        <v>2530</v>
      </c>
      <c r="P7259" s="18">
        <v>2580</v>
      </c>
      <c r="Q7259" s="15"/>
      <c r="R7259" t="s" s="16">
        <f>HYPERLINK("http://secrets.rutgers.edu:8080/data/asl-ftp/asllvd/demos/verify_start_end_handshape_annotations//test_auto_move//signs_mov_separ_signers/Liz_1687.mov","MOV")</f>
        <v>21</v>
      </c>
    </row>
    <row r="7260" s="2" customFormat="1" ht="13.5" customHeight="1">
      <c r="B7260" s="13"/>
      <c r="C7260" t="s" s="9">
        <v>16</v>
      </c>
      <c r="D7260" t="s" s="8">
        <v>2534</v>
      </c>
      <c r="E7260" t="s" s="9">
        <v>2535</v>
      </c>
      <c r="F7260" t="s" s="10">
        <v>136</v>
      </c>
      <c r="G7260" t="s" s="11">
        <v>136</v>
      </c>
      <c r="H7260" t="s" s="10">
        <v>136</v>
      </c>
      <c r="I7260" t="s" s="11">
        <v>136</v>
      </c>
      <c r="J7260" t="s" s="11">
        <v>20</v>
      </c>
      <c r="K7260" s="15"/>
      <c r="L7260" t="s" s="16">
        <f>HYPERLINK("http://csr.bu.edu/ftp/asl/asllvd/demos/verify_start_end_handshape_annotations//test_auto_move//signs_mov_separ_signers/Liz_3702.mov","MOV")</f>
        <v>21</v>
      </c>
      <c r="M7260" t="s" s="10">
        <v>59</v>
      </c>
      <c r="N7260" s="17">
        <v>19</v>
      </c>
      <c r="O7260" s="18">
        <v>955</v>
      </c>
      <c r="P7260" s="18">
        <v>995</v>
      </c>
      <c r="Q7260" s="15"/>
      <c r="R7260" t="s" s="16">
        <f>HYPERLINK("http://secrets.rutgers.edu:8080/data/asl-ftp/asllvd/demos/verify_start_end_handshape_annotations//test_auto_move//signs_mov_separ_signers/Liz_3702.mov","MOV")</f>
        <v>21</v>
      </c>
    </row>
    <row r="7261" s="2" customFormat="1" ht="13.5" customHeight="1">
      <c r="B7261" s="13"/>
      <c r="C7261" t="s" s="9">
        <v>16</v>
      </c>
      <c r="D7261" t="s" s="8">
        <v>2534</v>
      </c>
      <c r="E7261" t="s" s="9">
        <v>2534</v>
      </c>
      <c r="F7261" t="s" s="10">
        <v>136</v>
      </c>
      <c r="G7261" t="s" s="11">
        <v>136</v>
      </c>
      <c r="H7261" t="s" s="10">
        <v>136</v>
      </c>
      <c r="I7261" t="s" s="11">
        <v>136</v>
      </c>
      <c r="J7261" t="s" s="11">
        <v>20</v>
      </c>
      <c r="K7261" t="s" s="16">
        <f>HYPERLINK("http://csr.bu.edu/ftp/asl/asllvd/demos/verify_start_end_handshape_annotations//test_auto_move//signs_mov/1687_3702_3901_merged.mov","MOV")</f>
        <v>21</v>
      </c>
      <c r="L7261" t="s" s="16">
        <f>HYPERLINK("http://csr.bu.edu/ftp/asl/asllvd/demos/verify_start_end_handshape_annotations//test_auto_move//signs_mov_separ_signers/Liz_3901.mov","MOV")</f>
        <v>21</v>
      </c>
      <c r="M7261" t="s" s="10">
        <v>77</v>
      </c>
      <c r="N7261" s="17">
        <v>27</v>
      </c>
      <c r="O7261" s="18">
        <v>90</v>
      </c>
      <c r="P7261" s="18">
        <v>145</v>
      </c>
      <c r="Q7261" t="s" s="16">
        <f>HYPERLINK("http://secrets.rutgers.edu:8080/data/asl-ftp/asllvd/demos/verify_start_end_handshape_annotations//test_auto_move//signs_mov/1687_3702_3901_merged.mov","MOV")</f>
        <v>21</v>
      </c>
      <c r="R7261" t="s" s="16">
        <f>HYPERLINK("http://secrets.rutgers.edu:8080/data/asl-ftp/asllvd/demos/verify_start_end_handshape_annotations//test_auto_move//signs_mov_separ_signers/Liz_3901.mov","MOV")</f>
        <v>21</v>
      </c>
    </row>
    <row r="7262" s="2" customFormat="1" ht="13.5" customHeight="1">
      <c r="B7262" s="13"/>
      <c r="C7262" t="s" s="9">
        <v>30</v>
      </c>
      <c r="D7262" t="s" s="8">
        <v>2534</v>
      </c>
      <c r="E7262" t="s" s="9">
        <v>2535</v>
      </c>
      <c r="F7262" t="s" s="10">
        <v>136</v>
      </c>
      <c r="G7262" t="s" s="11">
        <v>136</v>
      </c>
      <c r="H7262" t="s" s="10">
        <v>136</v>
      </c>
      <c r="I7262" t="s" s="11">
        <v>136</v>
      </c>
      <c r="J7262" t="s" s="11">
        <v>20</v>
      </c>
      <c r="K7262" s="15"/>
      <c r="L7262" t="s" s="16">
        <f>HYPERLINK("http://csr.bu.edu/ftp/asl/asllvd/demos/verify_start_end_handshape_annotations//test_auto_move//signs_mov_separ_signers/Brady_1687.mov","MOV")</f>
        <v>21</v>
      </c>
      <c r="M7262" t="s" s="10">
        <v>31</v>
      </c>
      <c r="N7262" s="17">
        <v>31</v>
      </c>
      <c r="O7262" s="18">
        <v>13710</v>
      </c>
      <c r="P7262" s="18">
        <v>13742</v>
      </c>
      <c r="Q7262" s="15"/>
      <c r="R7262" t="s" s="16">
        <f>HYPERLINK("http://secrets.rutgers.edu:8080/data/asl-ftp/asllvd/demos/verify_start_end_handshape_annotations//test_auto_move//signs_mov_separ_signers/Brady_1687.mov","MOV")</f>
        <v>21</v>
      </c>
    </row>
    <row r="7263" s="2" customFormat="1" ht="13.5" customHeight="1">
      <c r="B7263" s="13"/>
      <c r="C7263" t="s" s="9">
        <v>30</v>
      </c>
      <c r="D7263" t="s" s="8">
        <v>2534</v>
      </c>
      <c r="E7263" t="s" s="9">
        <v>2535</v>
      </c>
      <c r="F7263" t="s" s="10">
        <v>136</v>
      </c>
      <c r="G7263" t="s" s="11">
        <v>136</v>
      </c>
      <c r="H7263" t="s" s="10">
        <v>136</v>
      </c>
      <c r="I7263" t="s" s="11">
        <v>136</v>
      </c>
      <c r="J7263" t="s" s="11">
        <v>20</v>
      </c>
      <c r="K7263" s="15"/>
      <c r="L7263" t="s" s="16">
        <f>HYPERLINK("http://csr.bu.edu/ftp/asl/asllvd/demos/verify_start_end_handshape_annotations//test_auto_move//signs_mov_separ_signers/Brady_3702.mov","MOV")</f>
        <v>21</v>
      </c>
      <c r="M7263" t="s" s="10">
        <v>60</v>
      </c>
      <c r="N7263" s="17">
        <v>7</v>
      </c>
      <c r="O7263" s="18">
        <v>1329</v>
      </c>
      <c r="P7263" s="18">
        <v>1364</v>
      </c>
      <c r="Q7263" s="15"/>
      <c r="R7263" t="s" s="16">
        <f>HYPERLINK("http://secrets.rutgers.edu:8080/data/asl-ftp/asllvd/demos/verify_start_end_handshape_annotations//test_auto_move//signs_mov_separ_signers/Brady_3702.mov","MOV")</f>
        <v>21</v>
      </c>
    </row>
    <row r="7264" s="2" customFormat="1" ht="13.5" customHeight="1">
      <c r="B7264" s="13"/>
      <c r="C7264" t="s" s="9">
        <v>41</v>
      </c>
      <c r="D7264" t="s" s="8">
        <v>2534</v>
      </c>
      <c r="E7264" t="s" s="9">
        <v>2534</v>
      </c>
      <c r="F7264" t="s" s="10">
        <v>136</v>
      </c>
      <c r="G7264" t="s" s="11">
        <v>136</v>
      </c>
      <c r="H7264" t="s" s="10">
        <v>136</v>
      </c>
      <c r="I7264" t="s" s="11">
        <v>136</v>
      </c>
      <c r="J7264" t="s" s="11">
        <v>20</v>
      </c>
      <c r="K7264" s="15"/>
      <c r="L7264" t="s" s="16">
        <f>HYPERLINK("http://csr.bu.edu/ftp/asl/asllvd/demos/verify_start_end_handshape_annotations//test_auto_move//signs_mov_separ_signers/Lana_1687.mov","MOV")</f>
        <v>21</v>
      </c>
      <c r="M7264" t="s" s="10">
        <v>245</v>
      </c>
      <c r="N7264" s="17">
        <v>22</v>
      </c>
      <c r="O7264" s="18">
        <v>2148</v>
      </c>
      <c r="P7264" s="18">
        <v>2186</v>
      </c>
      <c r="Q7264" s="15"/>
      <c r="R7264" t="s" s="16">
        <f>HYPERLINK("http://secrets.rutgers.edu:8080/data/asl-ftp/asllvd/demos/verify_start_end_handshape_annotations//test_auto_move//signs_mov_separ_signers/Lana_1687.mov","MOV")</f>
        <v>21</v>
      </c>
    </row>
    <row r="7265" s="2" customFormat="1" ht="13.5" customHeight="1">
      <c r="B7265" t="s" s="8">
        <v>52</v>
      </c>
      <c r="C7265" t="s" s="9">
        <v>53</v>
      </c>
      <c r="D7265" t="s" s="8">
        <v>53</v>
      </c>
      <c r="E7265" t="s" s="9">
        <v>53</v>
      </c>
      <c r="F7265" t="s" s="10">
        <v>53</v>
      </c>
      <c r="G7265" t="s" s="11">
        <v>53</v>
      </c>
      <c r="H7265" t="s" s="10">
        <v>53</v>
      </c>
      <c r="I7265" t="s" s="11">
        <v>53</v>
      </c>
      <c r="J7265" t="s" s="11">
        <v>53</v>
      </c>
      <c r="K7265" t="s" s="12">
        <v>53</v>
      </c>
      <c r="L7265" t="s" s="12">
        <v>53</v>
      </c>
      <c r="M7265" t="s" s="10">
        <v>53</v>
      </c>
      <c r="N7265" t="s" s="11">
        <v>53</v>
      </c>
      <c r="O7265" t="s" s="8">
        <v>53</v>
      </c>
      <c r="P7265" t="s" s="8">
        <v>53</v>
      </c>
      <c r="Q7265" t="s" s="12">
        <v>53</v>
      </c>
      <c r="R7265" t="s" s="12">
        <v>53</v>
      </c>
    </row>
    <row r="7266" s="2" customFormat="1" ht="13.5" customHeight="1">
      <c r="B7266" s="13"/>
      <c r="C7266" t="s" s="9">
        <v>16</v>
      </c>
      <c r="D7266" t="s" s="8">
        <v>2534</v>
      </c>
      <c r="E7266" t="s" s="9">
        <v>2536</v>
      </c>
      <c r="F7266" t="s" s="10">
        <v>80</v>
      </c>
      <c r="G7266" t="s" s="11">
        <v>80</v>
      </c>
      <c r="H7266" t="s" s="10">
        <v>80</v>
      </c>
      <c r="I7266" t="s" s="11">
        <v>80</v>
      </c>
      <c r="J7266" t="s" s="11">
        <v>20</v>
      </c>
      <c r="K7266" t="s" s="16">
        <f>HYPERLINK("http://csr.bu.edu/ftp/asl/asllvd/demos/verify_start_end_handshape_annotations//test_auto_move//signs_mov/5646.mov","MOV")</f>
        <v>21</v>
      </c>
      <c r="L7266" t="s" s="16">
        <f>HYPERLINK("http://csr.bu.edu/ftp/asl/asllvd/demos/verify_start_end_handshape_annotations//test_auto_move//signs_mov_separ_signers/Liz_5646.mov","MOV")</f>
        <v>21</v>
      </c>
      <c r="M7266" t="s" s="10">
        <v>88</v>
      </c>
      <c r="N7266" s="17">
        <v>21</v>
      </c>
      <c r="O7266" s="18">
        <v>2775</v>
      </c>
      <c r="P7266" s="18">
        <v>2832</v>
      </c>
      <c r="Q7266" t="s" s="16">
        <f>HYPERLINK("http://secrets.rutgers.edu:8080/data/asl-ftp/asllvd/demos/verify_start_end_handshape_annotations//test_auto_move//signs_mov/5646.mov","MOV")</f>
        <v>21</v>
      </c>
      <c r="R7266" t="s" s="16">
        <f>HYPERLINK("http://secrets.rutgers.edu:8080/data/asl-ftp/asllvd/demos/verify_start_end_handshape_annotations//test_auto_move//signs_mov_separ_signers/Liz_5646.mov","MOV")</f>
        <v>21</v>
      </c>
    </row>
    <row r="7267" s="2" customFormat="1" ht="13.5" customHeight="1">
      <c r="B7267" s="13"/>
      <c r="C7267" t="s" s="9">
        <v>30</v>
      </c>
      <c r="D7267" t="s" s="8">
        <v>2534</v>
      </c>
      <c r="E7267" t="s" s="9">
        <v>2536</v>
      </c>
      <c r="F7267" t="s" s="10">
        <v>80</v>
      </c>
      <c r="G7267" t="s" s="11">
        <v>80</v>
      </c>
      <c r="H7267" t="s" s="10">
        <v>80</v>
      </c>
      <c r="I7267" t="s" s="11">
        <v>80</v>
      </c>
      <c r="J7267" t="s" s="11">
        <v>20</v>
      </c>
      <c r="K7267" s="15"/>
      <c r="L7267" t="s" s="16">
        <f>HYPERLINK("http://csr.bu.edu/ftp/asl/asllvd/demos/verify_start_end_handshape_annotations//test_auto_move//signs_mov_separ_signers/Brady_5646.mov","MOV")</f>
        <v>21</v>
      </c>
      <c r="M7267" t="s" s="10">
        <v>40</v>
      </c>
      <c r="N7267" s="17">
        <v>17</v>
      </c>
      <c r="O7267" s="18">
        <v>228</v>
      </c>
      <c r="P7267" s="18">
        <v>260</v>
      </c>
      <c r="Q7267" s="15"/>
      <c r="R7267" t="s" s="16">
        <f>HYPERLINK("http://secrets.rutgers.edu:8080/data/asl-ftp/asllvd/demos/verify_start_end_handshape_annotations//test_auto_move//signs_mov_separ_signers/Brady_5646.mov","MOV")</f>
        <v>21</v>
      </c>
    </row>
    <row r="7268" s="2" customFormat="1" ht="13.5" customHeight="1">
      <c r="B7268" t="s" s="8">
        <v>2537</v>
      </c>
      <c r="C7268" t="s" s="9">
        <v>14</v>
      </c>
      <c r="D7268" t="s" s="8">
        <v>14</v>
      </c>
      <c r="E7268" t="s" s="9">
        <v>14</v>
      </c>
      <c r="F7268" t="s" s="10">
        <v>14</v>
      </c>
      <c r="G7268" t="s" s="11">
        <v>14</v>
      </c>
      <c r="H7268" t="s" s="10">
        <v>14</v>
      </c>
      <c r="I7268" t="s" s="11">
        <v>14</v>
      </c>
      <c r="J7268" t="s" s="11">
        <v>14</v>
      </c>
      <c r="K7268" t="s" s="12">
        <v>14</v>
      </c>
      <c r="L7268" t="s" s="12">
        <v>14</v>
      </c>
      <c r="M7268" t="s" s="10">
        <v>14</v>
      </c>
      <c r="N7268" t="s" s="11">
        <v>14</v>
      </c>
      <c r="O7268" t="s" s="8">
        <v>14</v>
      </c>
      <c r="P7268" t="s" s="8">
        <v>14</v>
      </c>
      <c r="Q7268" t="s" s="12">
        <v>14</v>
      </c>
      <c r="R7268" t="s" s="12">
        <v>14</v>
      </c>
    </row>
    <row r="7269" s="2" customFormat="1" ht="13.5" customHeight="1">
      <c r="B7269" s="13"/>
      <c r="C7269" t="s" s="9">
        <v>16</v>
      </c>
      <c r="D7269" t="s" s="8">
        <v>2537</v>
      </c>
      <c r="E7269" t="s" s="9">
        <v>2538</v>
      </c>
      <c r="F7269" t="s" s="10">
        <v>63</v>
      </c>
      <c r="G7269" s="14"/>
      <c r="H7269" t="s" s="10">
        <v>63</v>
      </c>
      <c r="I7269" s="14"/>
      <c r="J7269" t="s" s="11">
        <v>20</v>
      </c>
      <c r="K7269" t="s" s="16">
        <f>HYPERLINK("http://csr.bu.edu/ftp/asl/asllvd/demos/verify_start_end_handshape_annotations//test_auto_move//signs_mov/1692.mov","MOV")</f>
        <v>21</v>
      </c>
      <c r="L7269" t="s" s="16">
        <f>HYPERLINK("http://csr.bu.edu/ftp/asl/asllvd/demos/verify_start_end_handshape_annotations//test_auto_move//signs_mov_separ_signers/Liz_1692.mov","MOV")</f>
        <v>21</v>
      </c>
      <c r="M7269" t="s" s="10">
        <v>88</v>
      </c>
      <c r="N7269" s="17">
        <v>22</v>
      </c>
      <c r="O7269" s="18">
        <v>735</v>
      </c>
      <c r="P7269" s="18">
        <v>772</v>
      </c>
      <c r="Q7269" t="s" s="16">
        <f>HYPERLINK("http://secrets.rutgers.edu:8080/data/asl-ftp/asllvd/demos/verify_start_end_handshape_annotations//test_auto_move//signs_mov/1692.mov","MOV")</f>
        <v>21</v>
      </c>
      <c r="R7269" t="s" s="16">
        <f>HYPERLINK("http://secrets.rutgers.edu:8080/data/asl-ftp/asllvd/demos/verify_start_end_handshape_annotations//test_auto_move//signs_mov_separ_signers/Liz_1692.mov","MOV")</f>
        <v>21</v>
      </c>
    </row>
    <row r="7270" s="2" customFormat="1" ht="13.5" customHeight="1">
      <c r="B7270" s="13"/>
      <c r="C7270" t="s" s="9">
        <v>30</v>
      </c>
      <c r="D7270" t="s" s="8">
        <v>2537</v>
      </c>
      <c r="E7270" t="s" s="9">
        <v>2538</v>
      </c>
      <c r="F7270" t="s" s="10">
        <v>63</v>
      </c>
      <c r="G7270" s="14"/>
      <c r="H7270" t="s" s="10">
        <v>63</v>
      </c>
      <c r="I7270" s="14"/>
      <c r="J7270" t="s" s="11">
        <v>20</v>
      </c>
      <c r="K7270" s="15"/>
      <c r="L7270" t="s" s="16">
        <f>HYPERLINK("http://csr.bu.edu/ftp/asl/asllvd/demos/verify_start_end_handshape_annotations//test_auto_move//signs_mov_separ_signers/Brady_1692.mov","MOV")</f>
        <v>21</v>
      </c>
      <c r="M7270" t="s" s="10">
        <v>40</v>
      </c>
      <c r="N7270" s="17">
        <v>17</v>
      </c>
      <c r="O7270" s="18">
        <v>1348</v>
      </c>
      <c r="P7270" s="18">
        <v>1372</v>
      </c>
      <c r="Q7270" s="15"/>
      <c r="R7270" t="s" s="16">
        <f>HYPERLINK("http://secrets.rutgers.edu:8080/data/asl-ftp/asllvd/demos/verify_start_end_handshape_annotations//test_auto_move//signs_mov_separ_signers/Brady_1692.mov","MOV")</f>
        <v>21</v>
      </c>
    </row>
    <row r="7271" s="2" customFormat="1" ht="13.5" customHeight="1">
      <c r="B7271" t="s" s="8">
        <v>2539</v>
      </c>
      <c r="C7271" t="s" s="9">
        <v>14</v>
      </c>
      <c r="D7271" t="s" s="8">
        <v>14</v>
      </c>
      <c r="E7271" t="s" s="9">
        <v>14</v>
      </c>
      <c r="F7271" t="s" s="10">
        <v>14</v>
      </c>
      <c r="G7271" t="s" s="11">
        <v>14</v>
      </c>
      <c r="H7271" t="s" s="10">
        <v>14</v>
      </c>
      <c r="I7271" t="s" s="11">
        <v>14</v>
      </c>
      <c r="J7271" t="s" s="11">
        <v>14</v>
      </c>
      <c r="K7271" t="s" s="12">
        <v>14</v>
      </c>
      <c r="L7271" t="s" s="12">
        <v>14</v>
      </c>
      <c r="M7271" t="s" s="10">
        <v>14</v>
      </c>
      <c r="N7271" t="s" s="11">
        <v>14</v>
      </c>
      <c r="O7271" t="s" s="8">
        <v>14</v>
      </c>
      <c r="P7271" t="s" s="8">
        <v>14</v>
      </c>
      <c r="Q7271" t="s" s="12">
        <v>14</v>
      </c>
      <c r="R7271" t="s" s="12">
        <v>14</v>
      </c>
    </row>
    <row r="7272" s="2" customFormat="1" ht="13.5" customHeight="1">
      <c r="B7272" s="13"/>
      <c r="C7272" t="s" s="9">
        <v>16</v>
      </c>
      <c r="D7272" t="s" s="8">
        <v>2539</v>
      </c>
      <c r="E7272" t="s" s="9">
        <v>2539</v>
      </c>
      <c r="F7272" t="s" s="10">
        <v>185</v>
      </c>
      <c r="G7272" s="14"/>
      <c r="H7272" t="s" s="10">
        <v>185</v>
      </c>
      <c r="I7272" s="14"/>
      <c r="J7272" t="s" s="11">
        <v>20</v>
      </c>
      <c r="K7272" s="15"/>
      <c r="L7272" t="s" s="16">
        <f>HYPERLINK("http://csr.bu.edu/ftp/asl/asllvd/demos/verify_start_end_handshape_annotations//test_auto_move//signs_mov_separ_signers/Liz_1699.mov","MOV")</f>
        <v>21</v>
      </c>
      <c r="M7272" t="s" s="10">
        <v>88</v>
      </c>
      <c r="N7272" s="17">
        <v>22</v>
      </c>
      <c r="O7272" s="18">
        <v>2280</v>
      </c>
      <c r="P7272" s="18">
        <v>2312</v>
      </c>
      <c r="Q7272" s="15"/>
      <c r="R7272" t="s" s="16">
        <f>HYPERLINK("http://secrets.rutgers.edu:8080/data/asl-ftp/asllvd/demos/verify_start_end_handshape_annotations//test_auto_move//signs_mov_separ_signers/Liz_1699.mov","MOV")</f>
        <v>21</v>
      </c>
    </row>
    <row r="7273" s="2" customFormat="1" ht="13.5" customHeight="1">
      <c r="B7273" s="13"/>
      <c r="C7273" t="s" s="9">
        <v>16</v>
      </c>
      <c r="D7273" t="s" s="8">
        <v>2539</v>
      </c>
      <c r="E7273" t="s" s="9">
        <v>2539</v>
      </c>
      <c r="F7273" t="s" s="10">
        <v>185</v>
      </c>
      <c r="G7273" s="14"/>
      <c r="H7273" t="s" s="10">
        <v>185</v>
      </c>
      <c r="I7273" s="14"/>
      <c r="J7273" t="s" s="11">
        <v>20</v>
      </c>
      <c r="K7273" s="15"/>
      <c r="L7273" t="s" s="16">
        <f>HYPERLINK("http://csr.bu.edu/ftp/asl/asllvd/demos/verify_start_end_handshape_annotations//test_auto_move//signs_mov_separ_signers/Liz_3509.mov","MOV")</f>
        <v>21</v>
      </c>
      <c r="M7273" t="s" s="10">
        <v>77</v>
      </c>
      <c r="N7273" s="17">
        <v>25</v>
      </c>
      <c r="O7273" s="18">
        <v>200</v>
      </c>
      <c r="P7273" s="18">
        <v>251</v>
      </c>
      <c r="Q7273" s="15"/>
      <c r="R7273" t="s" s="16">
        <f>HYPERLINK("http://secrets.rutgers.edu:8080/data/asl-ftp/asllvd/demos/verify_start_end_handshape_annotations//test_auto_move//signs_mov_separ_signers/Liz_3509.mov","MOV")</f>
        <v>21</v>
      </c>
    </row>
    <row r="7274" s="2" customFormat="1" ht="13.5" customHeight="1">
      <c r="B7274" s="13"/>
      <c r="C7274" t="s" s="9">
        <v>30</v>
      </c>
      <c r="D7274" t="s" s="8">
        <v>2539</v>
      </c>
      <c r="E7274" t="s" s="9">
        <v>2539</v>
      </c>
      <c r="F7274" t="s" s="10">
        <v>185</v>
      </c>
      <c r="G7274" s="14"/>
      <c r="H7274" t="s" s="10">
        <v>185</v>
      </c>
      <c r="I7274" s="14"/>
      <c r="J7274" t="s" s="11">
        <v>20</v>
      </c>
      <c r="K7274" t="s" s="16">
        <f>HYPERLINK("http://csr.bu.edu/ftp/asl/asllvd/demos/verify_start_end_handshape_annotations//test_auto_move//signs_mov/1699_3509_merged.mov","MOV")</f>
        <v>21</v>
      </c>
      <c r="L7274" t="s" s="16">
        <f>HYPERLINK("http://csr.bu.edu/ftp/asl/asllvd/demos/verify_start_end_handshape_annotations//test_auto_move//signs_mov_separ_signers/Brady_1699.mov","MOV")</f>
        <v>21</v>
      </c>
      <c r="M7274" t="s" s="10">
        <v>31</v>
      </c>
      <c r="N7274" s="17">
        <v>21</v>
      </c>
      <c r="O7274" s="18">
        <v>9174</v>
      </c>
      <c r="P7274" s="18">
        <v>9192</v>
      </c>
      <c r="Q7274" t="s" s="16">
        <f>HYPERLINK("http://secrets.rutgers.edu:8080/data/asl-ftp/asllvd/demos/verify_start_end_handshape_annotations//test_auto_move//signs_mov/1699_3509_merged.mov","MOV")</f>
        <v>21</v>
      </c>
      <c r="R7274" t="s" s="16">
        <f>HYPERLINK("http://secrets.rutgers.edu:8080/data/asl-ftp/asllvd/demos/verify_start_end_handshape_annotations//test_auto_move//signs_mov_separ_signers/Brady_1699.mov","MOV")</f>
        <v>21</v>
      </c>
    </row>
    <row r="7275" s="2" customFormat="1" ht="13.5" customHeight="1">
      <c r="B7275" s="13"/>
      <c r="C7275" t="s" s="9">
        <v>30</v>
      </c>
      <c r="D7275" t="s" s="8">
        <v>2539</v>
      </c>
      <c r="E7275" t="s" s="9">
        <v>2539</v>
      </c>
      <c r="F7275" t="s" s="10">
        <v>244</v>
      </c>
      <c r="G7275" s="14"/>
      <c r="H7275" t="s" s="10">
        <v>244</v>
      </c>
      <c r="I7275" s="14"/>
      <c r="J7275" t="s" s="11">
        <v>20</v>
      </c>
      <c r="K7275" s="15"/>
      <c r="L7275" t="s" s="16">
        <f>HYPERLINK("http://csr.bu.edu/ftp/asl/asllvd/demos/verify_start_end_handshape_annotations//test_auto_move//signs_mov_separ_signers/Brady_3509.mov","MOV")</f>
        <v>21</v>
      </c>
      <c r="M7275" t="s" s="10">
        <v>40</v>
      </c>
      <c r="N7275" s="17">
        <v>18</v>
      </c>
      <c r="O7275" s="18">
        <v>412</v>
      </c>
      <c r="P7275" s="18">
        <v>430</v>
      </c>
      <c r="Q7275" s="15"/>
      <c r="R7275" t="s" s="16">
        <f>HYPERLINK("http://secrets.rutgers.edu:8080/data/asl-ftp/asllvd/demos/verify_start_end_handshape_annotations//test_auto_move//signs_mov_separ_signers/Brady_3509.mov","MOV")</f>
        <v>21</v>
      </c>
    </row>
    <row r="7276" s="2" customFormat="1" ht="13.5" customHeight="1">
      <c r="B7276" s="13"/>
      <c r="C7276" t="s" s="9">
        <v>41</v>
      </c>
      <c r="D7276" t="s" s="8">
        <v>2539</v>
      </c>
      <c r="E7276" t="s" s="9">
        <v>2539</v>
      </c>
      <c r="F7276" t="s" s="10">
        <v>185</v>
      </c>
      <c r="G7276" s="14"/>
      <c r="H7276" t="s" s="10">
        <v>244</v>
      </c>
      <c r="I7276" s="14"/>
      <c r="J7276" t="s" s="11">
        <v>20</v>
      </c>
      <c r="K7276" s="15"/>
      <c r="L7276" t="s" s="16">
        <f>HYPERLINK("http://csr.bu.edu/ftp/asl/asllvd/demos/verify_start_end_handshape_annotations//test_auto_move//signs_mov_separ_signers/Lana_1699.mov","MOV")</f>
        <v>21</v>
      </c>
      <c r="M7276" t="s" s="10">
        <v>442</v>
      </c>
      <c r="N7276" s="17">
        <v>61</v>
      </c>
      <c r="O7276" s="18">
        <v>2893</v>
      </c>
      <c r="P7276" s="18">
        <v>2904</v>
      </c>
      <c r="Q7276" s="15"/>
      <c r="R7276" t="s" s="16">
        <f>HYPERLINK("http://secrets.rutgers.edu:8080/data/asl-ftp/asllvd/demos/verify_start_end_handshape_annotations//test_auto_move//signs_mov_separ_signers/Lana_1699.mov","MOV")</f>
        <v>21</v>
      </c>
    </row>
    <row r="7277" s="2" customFormat="1" ht="13.5" customHeight="1">
      <c r="B7277" t="s" s="8">
        <v>2540</v>
      </c>
      <c r="C7277" t="s" s="9">
        <v>14</v>
      </c>
      <c r="D7277" t="s" s="8">
        <v>14</v>
      </c>
      <c r="E7277" t="s" s="9">
        <v>14</v>
      </c>
      <c r="F7277" t="s" s="10">
        <v>14</v>
      </c>
      <c r="G7277" t="s" s="11">
        <v>14</v>
      </c>
      <c r="H7277" t="s" s="10">
        <v>14</v>
      </c>
      <c r="I7277" t="s" s="11">
        <v>14</v>
      </c>
      <c r="J7277" t="s" s="11">
        <v>14</v>
      </c>
      <c r="K7277" t="s" s="12">
        <v>14</v>
      </c>
      <c r="L7277" t="s" s="12">
        <v>14</v>
      </c>
      <c r="M7277" t="s" s="10">
        <v>14</v>
      </c>
      <c r="N7277" t="s" s="11">
        <v>14</v>
      </c>
      <c r="O7277" t="s" s="8">
        <v>14</v>
      </c>
      <c r="P7277" t="s" s="8">
        <v>14</v>
      </c>
      <c r="Q7277" t="s" s="12">
        <v>14</v>
      </c>
      <c r="R7277" t="s" s="12">
        <v>14</v>
      </c>
    </row>
    <row r="7278" s="2" customFormat="1" ht="13.5" customHeight="1">
      <c r="B7278" s="13"/>
      <c r="C7278" t="s" s="9">
        <v>16</v>
      </c>
      <c r="D7278" t="s" s="8">
        <v>2540</v>
      </c>
      <c r="E7278" t="s" s="9">
        <v>2540</v>
      </c>
      <c r="F7278" t="s" s="10">
        <v>72</v>
      </c>
      <c r="G7278" s="14"/>
      <c r="H7278" t="s" s="10">
        <v>72</v>
      </c>
      <c r="I7278" s="14"/>
      <c r="J7278" t="s" s="11">
        <v>20</v>
      </c>
      <c r="K7278" s="15"/>
      <c r="L7278" t="s" s="16">
        <f>HYPERLINK("http://csr.bu.edu/ftp/asl/asllvd/demos/verify_start_end_handshape_annotations//test_auto_move//signs_mov_separ_signers/Liz_5282.mov","MOV")</f>
        <v>21</v>
      </c>
      <c r="M7278" t="s" s="10">
        <v>84</v>
      </c>
      <c r="N7278" s="17">
        <v>8</v>
      </c>
      <c r="O7278" s="18">
        <v>1402</v>
      </c>
      <c r="P7278" s="18">
        <v>1420</v>
      </c>
      <c r="Q7278" s="15"/>
      <c r="R7278" t="s" s="16">
        <f>HYPERLINK("http://secrets.rutgers.edu:8080/data/asl-ftp/asllvd/demos/verify_start_end_handshape_annotations//test_auto_move//signs_mov_separ_signers/Liz_5282.mov","MOV")</f>
        <v>21</v>
      </c>
    </row>
    <row r="7279" s="2" customFormat="1" ht="13.5" customHeight="1">
      <c r="B7279" s="13"/>
      <c r="C7279" t="s" s="9">
        <v>27</v>
      </c>
      <c r="D7279" t="s" s="8">
        <v>2540</v>
      </c>
      <c r="E7279" t="s" s="9">
        <v>2540</v>
      </c>
      <c r="F7279" t="s" s="10">
        <v>75</v>
      </c>
      <c r="G7279" s="14"/>
      <c r="H7279" t="s" s="10">
        <v>75</v>
      </c>
      <c r="I7279" s="14"/>
      <c r="J7279" t="s" s="11">
        <v>20</v>
      </c>
      <c r="K7279" s="15"/>
      <c r="L7279" t="s" s="16">
        <f>HYPERLINK("http://csr.bu.edu/ftp/asl/asllvd/demos/verify_start_end_handshape_annotations//test_auto_move//signs_mov_separ_signers/Naomi_5282.mov","MOV")</f>
        <v>21</v>
      </c>
      <c r="M7279" t="s" s="10">
        <v>86</v>
      </c>
      <c r="N7279" s="17">
        <v>8</v>
      </c>
      <c r="O7279" s="18">
        <v>1521</v>
      </c>
      <c r="P7279" s="18">
        <v>1540</v>
      </c>
      <c r="Q7279" s="15"/>
      <c r="R7279" t="s" s="16">
        <f>HYPERLINK("http://secrets.rutgers.edu:8080/data/asl-ftp/asllvd/demos/verify_start_end_handshape_annotations//test_auto_move//signs_mov_separ_signers/Naomi_5282.mov","MOV")</f>
        <v>21</v>
      </c>
    </row>
    <row r="7280" s="2" customFormat="1" ht="13.5" customHeight="1">
      <c r="B7280" s="13"/>
      <c r="C7280" t="s" s="9">
        <v>30</v>
      </c>
      <c r="D7280" t="s" s="8">
        <v>2540</v>
      </c>
      <c r="E7280" t="s" s="9">
        <v>2540</v>
      </c>
      <c r="F7280" t="s" s="10">
        <v>72</v>
      </c>
      <c r="G7280" s="14"/>
      <c r="H7280" t="s" s="10">
        <v>72</v>
      </c>
      <c r="I7280" s="14"/>
      <c r="J7280" t="s" s="11">
        <v>20</v>
      </c>
      <c r="K7280" t="s" s="16">
        <f>HYPERLINK("http://csr.bu.edu/ftp/asl/asllvd/demos/verify_start_end_handshape_annotations//test_auto_move//signs_mov/5282_5940_16508_merged.mov","MOV")</f>
        <v>21</v>
      </c>
      <c r="L7280" t="s" s="16">
        <f>HYPERLINK("http://csr.bu.edu/ftp/asl/asllvd/demos/verify_start_end_handshape_annotations//test_auto_move//signs_mov_separ_signers/Brady_5282.mov","MOV")</f>
        <v>21</v>
      </c>
      <c r="M7280" t="s" s="10">
        <v>31</v>
      </c>
      <c r="N7280" s="17">
        <v>31</v>
      </c>
      <c r="O7280" s="18">
        <v>4388</v>
      </c>
      <c r="P7280" s="18">
        <v>4406</v>
      </c>
      <c r="Q7280" t="s" s="16">
        <f>HYPERLINK("http://secrets.rutgers.edu:8080/data/asl-ftp/asllvd/demos/verify_start_end_handshape_annotations//test_auto_move//signs_mov/5282_5940_16508_merged.mov","MOV")</f>
        <v>21</v>
      </c>
      <c r="R7280" t="s" s="16">
        <f>HYPERLINK("http://secrets.rutgers.edu:8080/data/asl-ftp/asllvd/demos/verify_start_end_handshape_annotations//test_auto_move//signs_mov_separ_signers/Brady_5282.mov","MOV")</f>
        <v>21</v>
      </c>
    </row>
    <row r="7281" s="2" customFormat="1" ht="13.5" customHeight="1">
      <c r="B7281" s="13"/>
      <c r="C7281" t="s" s="9">
        <v>30</v>
      </c>
      <c r="D7281" t="s" s="8">
        <v>2540</v>
      </c>
      <c r="E7281" t="s" s="9">
        <v>2540</v>
      </c>
      <c r="F7281" t="s" s="10">
        <v>185</v>
      </c>
      <c r="G7281" s="14"/>
      <c r="H7281" t="s" s="10">
        <v>185</v>
      </c>
      <c r="I7281" s="14"/>
      <c r="J7281" t="s" s="11">
        <v>20</v>
      </c>
      <c r="K7281" s="15"/>
      <c r="L7281" t="s" s="16">
        <f>HYPERLINK("http://csr.bu.edu/ftp/asl/asllvd/demos/verify_start_end_handshape_annotations//test_auto_move//signs_mov_separ_signers/Brady_5940.mov","MOV")</f>
        <v>21</v>
      </c>
      <c r="M7281" t="s" s="10">
        <v>39</v>
      </c>
      <c r="N7281" s="17">
        <v>21</v>
      </c>
      <c r="O7281" s="18">
        <v>1098</v>
      </c>
      <c r="P7281" s="18">
        <v>1114</v>
      </c>
      <c r="Q7281" s="15"/>
      <c r="R7281" t="s" s="16">
        <f>HYPERLINK("http://secrets.rutgers.edu:8080/data/asl-ftp/asllvd/demos/verify_start_end_handshape_annotations//test_auto_move//signs_mov_separ_signers/Brady_5940.mov","MOV")</f>
        <v>21</v>
      </c>
    </row>
    <row r="7282" s="2" customFormat="1" ht="13.5" customHeight="1">
      <c r="B7282" s="13"/>
      <c r="C7282" t="s" s="9">
        <v>30</v>
      </c>
      <c r="D7282" t="s" s="8">
        <v>2540</v>
      </c>
      <c r="E7282" t="s" s="9">
        <v>2540</v>
      </c>
      <c r="F7282" t="s" s="10">
        <v>72</v>
      </c>
      <c r="G7282" s="14"/>
      <c r="H7282" t="s" s="10">
        <v>148</v>
      </c>
      <c r="I7282" s="14"/>
      <c r="J7282" t="s" s="11">
        <v>20</v>
      </c>
      <c r="K7282" s="15"/>
      <c r="L7282" t="s" s="16">
        <f>HYPERLINK("http://csr.bu.edu/ftp/asl/asllvd/demos/verify_start_end_handshape_annotations//test_auto_move//signs_mov_separ_signers/Brady_16508.mov","MOV")</f>
        <v>21</v>
      </c>
      <c r="M7282" t="s" s="10">
        <v>60</v>
      </c>
      <c r="N7282" s="17">
        <v>43</v>
      </c>
      <c r="O7282" s="18">
        <v>1167</v>
      </c>
      <c r="P7282" s="18">
        <v>1185</v>
      </c>
      <c r="Q7282" s="15"/>
      <c r="R7282" t="s" s="16">
        <f>HYPERLINK("http://secrets.rutgers.edu:8080/data/asl-ftp/asllvd/demos/verify_start_end_handshape_annotations//test_auto_move//signs_mov_separ_signers/Brady_16508.mov","MOV")</f>
        <v>21</v>
      </c>
    </row>
    <row r="7283" s="2" customFormat="1" ht="13.5" customHeight="1">
      <c r="B7283" t="s" s="8">
        <v>2541</v>
      </c>
      <c r="C7283" t="s" s="9">
        <v>14</v>
      </c>
      <c r="D7283" t="s" s="8">
        <v>14</v>
      </c>
      <c r="E7283" t="s" s="9">
        <v>14</v>
      </c>
      <c r="F7283" t="s" s="10">
        <v>14</v>
      </c>
      <c r="G7283" t="s" s="11">
        <v>14</v>
      </c>
      <c r="H7283" t="s" s="10">
        <v>14</v>
      </c>
      <c r="I7283" t="s" s="11">
        <v>14</v>
      </c>
      <c r="J7283" t="s" s="11">
        <v>14</v>
      </c>
      <c r="K7283" t="s" s="12">
        <v>14</v>
      </c>
      <c r="L7283" t="s" s="12">
        <v>14</v>
      </c>
      <c r="M7283" t="s" s="10">
        <v>14</v>
      </c>
      <c r="N7283" t="s" s="11">
        <v>14</v>
      </c>
      <c r="O7283" t="s" s="8">
        <v>14</v>
      </c>
      <c r="P7283" t="s" s="8">
        <v>14</v>
      </c>
      <c r="Q7283" t="s" s="12">
        <v>14</v>
      </c>
      <c r="R7283" t="s" s="12">
        <v>14</v>
      </c>
    </row>
    <row r="7284" s="2" customFormat="1" ht="13.5" customHeight="1">
      <c r="B7284" s="13"/>
      <c r="C7284" t="s" s="9">
        <v>16</v>
      </c>
      <c r="D7284" t="s" s="8">
        <v>2541</v>
      </c>
      <c r="E7284" t="s" s="9">
        <v>2541</v>
      </c>
      <c r="F7284" t="s" s="10">
        <v>73</v>
      </c>
      <c r="G7284" t="s" s="11">
        <v>63</v>
      </c>
      <c r="H7284" t="s" s="10">
        <v>73</v>
      </c>
      <c r="I7284" t="s" s="11">
        <v>63</v>
      </c>
      <c r="J7284" t="s" s="11">
        <v>20</v>
      </c>
      <c r="K7284" t="s" s="16">
        <f>HYPERLINK("http://csr.bu.edu/ftp/asl/asllvd/demos/verify_start_end_handshape_annotations//test_auto_move//signs_mov/1701.mov","MOV")</f>
        <v>21</v>
      </c>
      <c r="L7284" t="s" s="16">
        <f>HYPERLINK("http://csr.bu.edu/ftp/asl/asllvd/demos/verify_start_end_handshape_annotations//test_auto_move//signs_mov_separ_signers/Liz_1701.mov","MOV")</f>
        <v>21</v>
      </c>
      <c r="M7284" t="s" s="10">
        <v>88</v>
      </c>
      <c r="N7284" s="17">
        <v>23</v>
      </c>
      <c r="O7284" s="18">
        <v>512</v>
      </c>
      <c r="P7284" s="18">
        <v>542</v>
      </c>
      <c r="Q7284" t="s" s="16">
        <f>HYPERLINK("http://secrets.rutgers.edu:8080/data/asl-ftp/asllvd/demos/verify_start_end_handshape_annotations//test_auto_move//signs_mov/1701.mov","MOV")</f>
        <v>21</v>
      </c>
      <c r="R7284" t="s" s="16">
        <f>HYPERLINK("http://secrets.rutgers.edu:8080/data/asl-ftp/asllvd/demos/verify_start_end_handshape_annotations//test_auto_move//signs_mov_separ_signers/Liz_1701.mov","MOV")</f>
        <v>21</v>
      </c>
    </row>
    <row r="7285" s="2" customFormat="1" ht="13.5" customHeight="1">
      <c r="B7285" s="13"/>
      <c r="C7285" t="s" s="9">
        <v>30</v>
      </c>
      <c r="D7285" t="s" s="8">
        <v>2541</v>
      </c>
      <c r="E7285" t="s" s="9">
        <v>2541</v>
      </c>
      <c r="F7285" t="s" s="10">
        <v>55</v>
      </c>
      <c r="G7285" t="s" s="11">
        <v>68</v>
      </c>
      <c r="H7285" t="s" s="10">
        <v>55</v>
      </c>
      <c r="I7285" t="s" s="11">
        <v>68</v>
      </c>
      <c r="J7285" t="s" s="11">
        <v>20</v>
      </c>
      <c r="K7285" s="15"/>
      <c r="L7285" t="s" s="16">
        <f>HYPERLINK("http://csr.bu.edu/ftp/asl/asllvd/demos/verify_start_end_handshape_annotations//test_auto_move//signs_mov_separ_signers/Brady_1701.mov","MOV")</f>
        <v>21</v>
      </c>
      <c r="M7285" t="s" s="10">
        <v>40</v>
      </c>
      <c r="N7285" s="17">
        <v>18</v>
      </c>
      <c r="O7285" s="18">
        <v>1200</v>
      </c>
      <c r="P7285" s="18">
        <v>1218</v>
      </c>
      <c r="Q7285" s="15"/>
      <c r="R7285" t="s" s="16">
        <f>HYPERLINK("http://secrets.rutgers.edu:8080/data/asl-ftp/asllvd/demos/verify_start_end_handshape_annotations//test_auto_move//signs_mov_separ_signers/Brady_1701.mov","MOV")</f>
        <v>21</v>
      </c>
    </row>
    <row r="7286" s="2" customFormat="1" ht="13.5" customHeight="1">
      <c r="B7286" t="s" s="8">
        <v>2542</v>
      </c>
      <c r="C7286" t="s" s="9">
        <v>14</v>
      </c>
      <c r="D7286" t="s" s="8">
        <v>14</v>
      </c>
      <c r="E7286" t="s" s="9">
        <v>14</v>
      </c>
      <c r="F7286" t="s" s="10">
        <v>14</v>
      </c>
      <c r="G7286" t="s" s="11">
        <v>14</v>
      </c>
      <c r="H7286" t="s" s="10">
        <v>14</v>
      </c>
      <c r="I7286" t="s" s="11">
        <v>14</v>
      </c>
      <c r="J7286" t="s" s="11">
        <v>14</v>
      </c>
      <c r="K7286" t="s" s="12">
        <v>14</v>
      </c>
      <c r="L7286" t="s" s="12">
        <v>14</v>
      </c>
      <c r="M7286" t="s" s="10">
        <v>14</v>
      </c>
      <c r="N7286" t="s" s="11">
        <v>14</v>
      </c>
      <c r="O7286" t="s" s="8">
        <v>14</v>
      </c>
      <c r="P7286" t="s" s="8">
        <v>14</v>
      </c>
      <c r="Q7286" t="s" s="12">
        <v>14</v>
      </c>
      <c r="R7286" t="s" s="12">
        <v>14</v>
      </c>
    </row>
    <row r="7287" s="2" customFormat="1" ht="13.5" customHeight="1">
      <c r="B7287" s="13"/>
      <c r="C7287" t="s" s="9">
        <v>16</v>
      </c>
      <c r="D7287" t="s" s="8">
        <v>2542</v>
      </c>
      <c r="E7287" t="s" s="9">
        <v>2543</v>
      </c>
      <c r="F7287" t="s" s="10">
        <v>136</v>
      </c>
      <c r="G7287" s="14"/>
      <c r="H7287" t="s" s="10">
        <v>136</v>
      </c>
      <c r="I7287" s="14"/>
      <c r="J7287" t="s" s="11">
        <v>20</v>
      </c>
      <c r="K7287" s="15"/>
      <c r="L7287" t="s" s="16">
        <f>HYPERLINK("http://csr.bu.edu/ftp/asl/asllvd/demos/verify_start_end_handshape_annotations//test_auto_move//signs_mov_separ_signers/Liz_1708.mov","MOV")</f>
        <v>21</v>
      </c>
      <c r="M7287" t="s" s="10">
        <v>88</v>
      </c>
      <c r="N7287" s="17">
        <v>23</v>
      </c>
      <c r="O7287" s="18">
        <v>1870</v>
      </c>
      <c r="P7287" s="18">
        <v>1915</v>
      </c>
      <c r="Q7287" s="15"/>
      <c r="R7287" t="s" s="16">
        <f>HYPERLINK("http://secrets.rutgers.edu:8080/data/asl-ftp/asllvd/demos/verify_start_end_handshape_annotations//test_auto_move//signs_mov_separ_signers/Liz_1708.mov","MOV")</f>
        <v>21</v>
      </c>
    </row>
    <row r="7288" s="2" customFormat="1" ht="13.5" customHeight="1">
      <c r="B7288" s="13"/>
      <c r="C7288" t="s" s="9">
        <v>30</v>
      </c>
      <c r="D7288" t="s" s="8">
        <v>2542</v>
      </c>
      <c r="E7288" t="s" s="9">
        <v>2544</v>
      </c>
      <c r="F7288" t="s" s="10">
        <v>136</v>
      </c>
      <c r="G7288" s="14"/>
      <c r="H7288" t="s" s="10">
        <v>136</v>
      </c>
      <c r="I7288" s="14"/>
      <c r="J7288" t="s" s="11">
        <v>20</v>
      </c>
      <c r="K7288" t="s" s="16">
        <f>HYPERLINK("http://csr.bu.edu/ftp/asl/asllvd/demos/verify_start_end_handshape_annotations//test_auto_move//signs_mov/1708.mov","MOV")</f>
        <v>21</v>
      </c>
      <c r="L7288" t="s" s="16">
        <f>HYPERLINK("http://csr.bu.edu/ftp/asl/asllvd/demos/verify_start_end_handshape_annotations//test_auto_move//signs_mov_separ_signers/Brady_1708.mov","MOV")</f>
        <v>21</v>
      </c>
      <c r="M7288" t="s" s="10">
        <v>40</v>
      </c>
      <c r="N7288" s="17">
        <v>18</v>
      </c>
      <c r="O7288" s="18">
        <v>2886</v>
      </c>
      <c r="P7288" s="18">
        <v>2916</v>
      </c>
      <c r="Q7288" t="s" s="16">
        <f>HYPERLINK("http://secrets.rutgers.edu:8080/data/asl-ftp/asllvd/demos/verify_start_end_handshape_annotations//test_auto_move//signs_mov/1708.mov","MOV")</f>
        <v>21</v>
      </c>
      <c r="R7288" t="s" s="16">
        <f>HYPERLINK("http://secrets.rutgers.edu:8080/data/asl-ftp/asllvd/demos/verify_start_end_handshape_annotations//test_auto_move//signs_mov_separ_signers/Brady_1708.mov","MOV")</f>
        <v>21</v>
      </c>
    </row>
    <row r="7289" s="2" customFormat="1" ht="13.5" customHeight="1">
      <c r="B7289" s="13"/>
      <c r="C7289" t="s" s="9">
        <v>41</v>
      </c>
      <c r="D7289" t="s" s="8">
        <v>2542</v>
      </c>
      <c r="E7289" t="s" s="9">
        <v>2543</v>
      </c>
      <c r="F7289" t="s" s="10">
        <v>287</v>
      </c>
      <c r="G7289" s="14"/>
      <c r="H7289" t="s" s="10">
        <v>287</v>
      </c>
      <c r="I7289" s="14"/>
      <c r="J7289" t="s" s="11">
        <v>20</v>
      </c>
      <c r="K7289" s="15"/>
      <c r="L7289" t="s" s="16">
        <f>HYPERLINK("http://csr.bu.edu/ftp/asl/asllvd/demos/verify_start_end_handshape_annotations//test_auto_move//signs_mov_separ_signers/Lana_1708.mov","MOV")</f>
        <v>21</v>
      </c>
      <c r="M7289" t="s" s="10">
        <v>42</v>
      </c>
      <c r="N7289" s="17">
        <v>20</v>
      </c>
      <c r="O7289" s="18">
        <v>714</v>
      </c>
      <c r="P7289" s="18">
        <v>763</v>
      </c>
      <c r="Q7289" s="15"/>
      <c r="R7289" t="s" s="16">
        <f>HYPERLINK("http://secrets.rutgers.edu:8080/data/asl-ftp/asllvd/demos/verify_start_end_handshape_annotations//test_auto_move//signs_mov_separ_signers/Lana_1708.mov","MOV")</f>
        <v>21</v>
      </c>
    </row>
    <row r="7290" s="2" customFormat="1" ht="13.5" customHeight="1">
      <c r="B7290" s="13"/>
      <c r="C7290" t="s" s="9">
        <v>43</v>
      </c>
      <c r="D7290" t="s" s="8">
        <v>2542</v>
      </c>
      <c r="E7290" t="s" s="9">
        <v>2543</v>
      </c>
      <c r="F7290" t="s" s="10">
        <v>136</v>
      </c>
      <c r="G7290" s="14"/>
      <c r="H7290" t="s" s="10">
        <v>136</v>
      </c>
      <c r="I7290" s="14"/>
      <c r="J7290" t="s" s="11">
        <v>20</v>
      </c>
      <c r="K7290" s="15"/>
      <c r="L7290" t="s" s="16">
        <f>HYPERLINK("http://csr.bu.edu/ftp/asl/asllvd/demos/verify_start_end_handshape_annotations//test_auto_move//signs_mov_separ_signers/Dana_1708.mov","MOV")</f>
        <v>21</v>
      </c>
      <c r="M7290" t="s" s="10">
        <v>44</v>
      </c>
      <c r="N7290" s="17">
        <v>22</v>
      </c>
      <c r="O7290" s="18">
        <v>557</v>
      </c>
      <c r="P7290" s="18">
        <v>636</v>
      </c>
      <c r="Q7290" s="15"/>
      <c r="R7290" t="s" s="16">
        <f>HYPERLINK("http://secrets.rutgers.edu:8080/data/asl-ftp/asllvd/demos/verify_start_end_handshape_annotations//test_auto_move//signs_mov_separ_signers/Dana_1708.mov","MOV")</f>
        <v>21</v>
      </c>
    </row>
    <row r="7291" s="2" customFormat="1" ht="13.5" customHeight="1">
      <c r="B7291" t="s" s="8">
        <v>2545</v>
      </c>
      <c r="C7291" t="s" s="9">
        <v>14</v>
      </c>
      <c r="D7291" t="s" s="8">
        <v>14</v>
      </c>
      <c r="E7291" t="s" s="9">
        <v>14</v>
      </c>
      <c r="F7291" t="s" s="10">
        <v>14</v>
      </c>
      <c r="G7291" t="s" s="11">
        <v>14</v>
      </c>
      <c r="H7291" t="s" s="10">
        <v>14</v>
      </c>
      <c r="I7291" t="s" s="11">
        <v>14</v>
      </c>
      <c r="J7291" t="s" s="11">
        <v>14</v>
      </c>
      <c r="K7291" t="s" s="12">
        <v>14</v>
      </c>
      <c r="L7291" t="s" s="12">
        <v>14</v>
      </c>
      <c r="M7291" t="s" s="10">
        <v>14</v>
      </c>
      <c r="N7291" t="s" s="11">
        <v>14</v>
      </c>
      <c r="O7291" t="s" s="8">
        <v>14</v>
      </c>
      <c r="P7291" t="s" s="8">
        <v>14</v>
      </c>
      <c r="Q7291" t="s" s="12">
        <v>14</v>
      </c>
      <c r="R7291" t="s" s="12">
        <v>14</v>
      </c>
    </row>
    <row r="7292" s="2" customFormat="1" ht="13.5" customHeight="1">
      <c r="B7292" s="13"/>
      <c r="C7292" t="s" s="9">
        <v>16</v>
      </c>
      <c r="D7292" t="s" s="8">
        <v>2545</v>
      </c>
      <c r="E7292" t="s" s="9">
        <v>2545</v>
      </c>
      <c r="F7292" t="s" s="10">
        <v>73</v>
      </c>
      <c r="G7292" t="s" s="11">
        <v>73</v>
      </c>
      <c r="H7292" t="s" s="10">
        <v>73</v>
      </c>
      <c r="I7292" t="s" s="11">
        <v>73</v>
      </c>
      <c r="J7292" t="s" s="11">
        <v>20</v>
      </c>
      <c r="K7292" t="s" s="16">
        <f>HYPERLINK("http://csr.bu.edu/ftp/asl/asllvd/demos/verify_start_end_handshape_annotations//test_auto_move//signs_mov/1712.mov","MOV")</f>
        <v>21</v>
      </c>
      <c r="L7292" t="s" s="16">
        <f>HYPERLINK("http://csr.bu.edu/ftp/asl/asllvd/demos/verify_start_end_handshape_annotations//test_auto_move//signs_mov_separ_signers/Liz_1712.mov","MOV")</f>
        <v>21</v>
      </c>
      <c r="M7292" t="s" s="10">
        <v>88</v>
      </c>
      <c r="N7292" s="17">
        <v>24</v>
      </c>
      <c r="O7292" s="18">
        <v>1385</v>
      </c>
      <c r="P7292" s="18">
        <v>1415</v>
      </c>
      <c r="Q7292" t="s" s="16">
        <f>HYPERLINK("http://secrets.rutgers.edu:8080/data/asl-ftp/asllvd/demos/verify_start_end_handshape_annotations//test_auto_move//signs_mov/1712.mov","MOV")</f>
        <v>21</v>
      </c>
      <c r="R7292" t="s" s="16">
        <f>HYPERLINK("http://secrets.rutgers.edu:8080/data/asl-ftp/asllvd/demos/verify_start_end_handshape_annotations//test_auto_move//signs_mov_separ_signers/Liz_1712.mov","MOV")</f>
        <v>21</v>
      </c>
    </row>
    <row r="7293" s="2" customFormat="1" ht="13.5" customHeight="1">
      <c r="B7293" s="13"/>
      <c r="C7293" t="s" s="9">
        <v>30</v>
      </c>
      <c r="D7293" t="s" s="8">
        <v>2545</v>
      </c>
      <c r="E7293" t="s" s="9">
        <v>2545</v>
      </c>
      <c r="F7293" t="s" s="10">
        <v>73</v>
      </c>
      <c r="G7293" t="s" s="11">
        <v>150</v>
      </c>
      <c r="H7293" t="s" s="10">
        <v>73</v>
      </c>
      <c r="I7293" t="s" s="11">
        <v>150</v>
      </c>
      <c r="J7293" t="s" s="11">
        <v>20</v>
      </c>
      <c r="K7293" s="15"/>
      <c r="L7293" t="s" s="16">
        <f>HYPERLINK("http://csr.bu.edu/ftp/asl/asllvd/demos/verify_start_end_handshape_annotations//test_auto_move//signs_mov_separ_signers/Brady_1712.mov","MOV")</f>
        <v>21</v>
      </c>
      <c r="M7293" t="s" s="10">
        <v>40</v>
      </c>
      <c r="N7293" s="17">
        <v>19</v>
      </c>
      <c r="O7293" s="18">
        <v>1576</v>
      </c>
      <c r="P7293" s="18">
        <v>1596</v>
      </c>
      <c r="Q7293" s="15"/>
      <c r="R7293" t="s" s="16">
        <f>HYPERLINK("http://secrets.rutgers.edu:8080/data/asl-ftp/asllvd/demos/verify_start_end_handshape_annotations//test_auto_move//signs_mov_separ_signers/Brady_1712.mov","MOV")</f>
        <v>21</v>
      </c>
    </row>
    <row r="7294" s="2" customFormat="1" ht="13.5" customHeight="1">
      <c r="B7294" t="s" s="8">
        <v>2546</v>
      </c>
      <c r="C7294" t="s" s="9">
        <v>14</v>
      </c>
      <c r="D7294" t="s" s="8">
        <v>14</v>
      </c>
      <c r="E7294" t="s" s="9">
        <v>14</v>
      </c>
      <c r="F7294" t="s" s="10">
        <v>14</v>
      </c>
      <c r="G7294" t="s" s="11">
        <v>14</v>
      </c>
      <c r="H7294" t="s" s="10">
        <v>14</v>
      </c>
      <c r="I7294" t="s" s="11">
        <v>14</v>
      </c>
      <c r="J7294" t="s" s="11">
        <v>14</v>
      </c>
      <c r="K7294" t="s" s="12">
        <v>14</v>
      </c>
      <c r="L7294" t="s" s="12">
        <v>14</v>
      </c>
      <c r="M7294" t="s" s="10">
        <v>14</v>
      </c>
      <c r="N7294" t="s" s="11">
        <v>14</v>
      </c>
      <c r="O7294" t="s" s="8">
        <v>14</v>
      </c>
      <c r="P7294" t="s" s="8">
        <v>14</v>
      </c>
      <c r="Q7294" t="s" s="12">
        <v>14</v>
      </c>
      <c r="R7294" t="s" s="12">
        <v>14</v>
      </c>
    </row>
    <row r="7295" s="2" customFormat="1" ht="13.5" customHeight="1">
      <c r="B7295" s="13"/>
      <c r="C7295" t="s" s="9">
        <v>16</v>
      </c>
      <c r="D7295" t="s" s="8">
        <v>2546</v>
      </c>
      <c r="E7295" t="s" s="9">
        <v>2546</v>
      </c>
      <c r="F7295" s="19">
        <v>1</v>
      </c>
      <c r="G7295" t="s" s="11">
        <v>73</v>
      </c>
      <c r="H7295" s="19">
        <v>1</v>
      </c>
      <c r="I7295" t="s" s="11">
        <v>73</v>
      </c>
      <c r="J7295" t="s" s="11">
        <v>20</v>
      </c>
      <c r="K7295" t="s" s="16">
        <f>HYPERLINK("http://csr.bu.edu/ftp/asl/asllvd/demos/verify_start_end_handshape_annotations//test_auto_move//signs_mov/1713.mov","MOV")</f>
        <v>21</v>
      </c>
      <c r="L7295" t="s" s="16">
        <f>HYPERLINK("http://csr.bu.edu/ftp/asl/asllvd/demos/verify_start_end_handshape_annotations//test_auto_move//signs_mov_separ_signers/Liz_1713.mov","MOV")</f>
        <v>21</v>
      </c>
      <c r="M7295" t="s" s="10">
        <v>88</v>
      </c>
      <c r="N7295" s="17">
        <v>24</v>
      </c>
      <c r="O7295" s="18">
        <v>1596</v>
      </c>
      <c r="P7295" s="18">
        <v>1630</v>
      </c>
      <c r="Q7295" t="s" s="16">
        <f>HYPERLINK("http://secrets.rutgers.edu:8080/data/asl-ftp/asllvd/demos/verify_start_end_handshape_annotations//test_auto_move//signs_mov/1713.mov","MOV")</f>
        <v>21</v>
      </c>
      <c r="R7295" t="s" s="16">
        <f>HYPERLINK("http://secrets.rutgers.edu:8080/data/asl-ftp/asllvd/demos/verify_start_end_handshape_annotations//test_auto_move//signs_mov_separ_signers/Liz_1713.mov","MOV")</f>
        <v>21</v>
      </c>
    </row>
    <row r="7296" s="2" customFormat="1" ht="13.5" customHeight="1">
      <c r="B7296" s="13"/>
      <c r="C7296" t="s" s="9">
        <v>30</v>
      </c>
      <c r="D7296" t="s" s="8">
        <v>2546</v>
      </c>
      <c r="E7296" t="s" s="9">
        <v>2546</v>
      </c>
      <c r="F7296" s="19">
        <v>1</v>
      </c>
      <c r="G7296" t="s" s="11">
        <v>73</v>
      </c>
      <c r="H7296" s="19">
        <v>1</v>
      </c>
      <c r="I7296" t="s" s="11">
        <v>73</v>
      </c>
      <c r="J7296" t="s" s="11">
        <v>20</v>
      </c>
      <c r="K7296" s="15"/>
      <c r="L7296" t="s" s="16">
        <f>HYPERLINK("http://csr.bu.edu/ftp/asl/asllvd/demos/verify_start_end_handshape_annotations//test_auto_move//signs_mov_separ_signers/Brady_1713.mov","MOV")</f>
        <v>21</v>
      </c>
      <c r="M7296" t="s" s="10">
        <v>40</v>
      </c>
      <c r="N7296" s="17">
        <v>19</v>
      </c>
      <c r="O7296" s="18">
        <v>1806</v>
      </c>
      <c r="P7296" s="18">
        <v>1824</v>
      </c>
      <c r="Q7296" s="15"/>
      <c r="R7296" t="s" s="16">
        <f>HYPERLINK("http://secrets.rutgers.edu:8080/data/asl-ftp/asllvd/demos/verify_start_end_handshape_annotations//test_auto_move//signs_mov_separ_signers/Brady_1713.mov","MOV")</f>
        <v>21</v>
      </c>
    </row>
    <row r="7297" s="2" customFormat="1" ht="13.5" customHeight="1">
      <c r="B7297" t="s" s="8">
        <v>2547</v>
      </c>
      <c r="C7297" t="s" s="9">
        <v>14</v>
      </c>
      <c r="D7297" t="s" s="8">
        <v>14</v>
      </c>
      <c r="E7297" t="s" s="9">
        <v>14</v>
      </c>
      <c r="F7297" t="s" s="10">
        <v>14</v>
      </c>
      <c r="G7297" t="s" s="11">
        <v>14</v>
      </c>
      <c r="H7297" t="s" s="10">
        <v>14</v>
      </c>
      <c r="I7297" t="s" s="11">
        <v>14</v>
      </c>
      <c r="J7297" t="s" s="11">
        <v>14</v>
      </c>
      <c r="K7297" t="s" s="12">
        <v>14</v>
      </c>
      <c r="L7297" t="s" s="12">
        <v>14</v>
      </c>
      <c r="M7297" t="s" s="10">
        <v>14</v>
      </c>
      <c r="N7297" t="s" s="11">
        <v>14</v>
      </c>
      <c r="O7297" t="s" s="8">
        <v>14</v>
      </c>
      <c r="P7297" t="s" s="8">
        <v>14</v>
      </c>
      <c r="Q7297" t="s" s="12">
        <v>14</v>
      </c>
      <c r="R7297" t="s" s="12">
        <v>14</v>
      </c>
    </row>
    <row r="7298" s="2" customFormat="1" ht="13.5" customHeight="1">
      <c r="B7298" s="13"/>
      <c r="C7298" t="s" s="9">
        <v>16</v>
      </c>
      <c r="D7298" t="s" s="8">
        <v>2547</v>
      </c>
      <c r="E7298" t="s" s="9">
        <v>2548</v>
      </c>
      <c r="F7298" t="s" s="10">
        <v>70</v>
      </c>
      <c r="G7298" s="14"/>
      <c r="H7298" t="s" s="10">
        <v>70</v>
      </c>
      <c r="I7298" s="14"/>
      <c r="J7298" t="s" s="11">
        <v>20</v>
      </c>
      <c r="K7298" t="s" s="16">
        <f>HYPERLINK("http://csr.bu.edu/ftp/asl/asllvd/demos/verify_start_end_handshape_annotations//test_auto_move//signs_mov/1725.mov","MOV")</f>
        <v>21</v>
      </c>
      <c r="L7298" t="s" s="16">
        <f>HYPERLINK("http://csr.bu.edu/ftp/asl/asllvd/demos/verify_start_end_handshape_annotations//test_auto_move//signs_mov_separ_signers/Liz_1725.mov","MOV")</f>
        <v>21</v>
      </c>
      <c r="M7298" t="s" s="10">
        <v>88</v>
      </c>
      <c r="N7298" s="17">
        <v>25</v>
      </c>
      <c r="O7298" s="18">
        <v>1585</v>
      </c>
      <c r="P7298" s="18">
        <v>1617</v>
      </c>
      <c r="Q7298" t="s" s="16">
        <f>HYPERLINK("http://secrets.rutgers.edu:8080/data/asl-ftp/asllvd/demos/verify_start_end_handshape_annotations//test_auto_move//signs_mov/1725.mov","MOV")</f>
        <v>21</v>
      </c>
      <c r="R7298" t="s" s="16">
        <f>HYPERLINK("http://secrets.rutgers.edu:8080/data/asl-ftp/asllvd/demos/verify_start_end_handshape_annotations//test_auto_move//signs_mov_separ_signers/Liz_1725.mov","MOV")</f>
        <v>21</v>
      </c>
    </row>
    <row r="7299" s="2" customFormat="1" ht="13.5" customHeight="1">
      <c r="B7299" s="13"/>
      <c r="C7299" t="s" s="9">
        <v>30</v>
      </c>
      <c r="D7299" t="s" s="8">
        <v>2547</v>
      </c>
      <c r="E7299" t="s" s="9">
        <v>2547</v>
      </c>
      <c r="F7299" t="s" s="10">
        <v>70</v>
      </c>
      <c r="G7299" s="14"/>
      <c r="H7299" t="s" s="10">
        <v>70</v>
      </c>
      <c r="I7299" s="14"/>
      <c r="J7299" t="s" s="11">
        <v>20</v>
      </c>
      <c r="K7299" s="15"/>
      <c r="L7299" t="s" s="16">
        <f>HYPERLINK("http://csr.bu.edu/ftp/asl/asllvd/demos/verify_start_end_handshape_annotations//test_auto_move//signs_mov_separ_signers/Brady_1725.mov","MOV")</f>
        <v>21</v>
      </c>
      <c r="M7299" t="s" s="10">
        <v>40</v>
      </c>
      <c r="N7299" s="17">
        <v>20</v>
      </c>
      <c r="O7299" s="18">
        <v>4142</v>
      </c>
      <c r="P7299" s="18">
        <v>4170</v>
      </c>
      <c r="Q7299" s="15"/>
      <c r="R7299" t="s" s="16">
        <f>HYPERLINK("http://secrets.rutgers.edu:8080/data/asl-ftp/asllvd/demos/verify_start_end_handshape_annotations//test_auto_move//signs_mov_separ_signers/Brady_1725.mov","MOV")</f>
        <v>21</v>
      </c>
    </row>
    <row r="7300" s="2" customFormat="1" ht="13.5" customHeight="1">
      <c r="B7300" t="s" s="8">
        <v>2549</v>
      </c>
      <c r="C7300" t="s" s="9">
        <v>14</v>
      </c>
      <c r="D7300" t="s" s="8">
        <v>14</v>
      </c>
      <c r="E7300" t="s" s="9">
        <v>14</v>
      </c>
      <c r="F7300" t="s" s="10">
        <v>14</v>
      </c>
      <c r="G7300" t="s" s="11">
        <v>14</v>
      </c>
      <c r="H7300" t="s" s="10">
        <v>14</v>
      </c>
      <c r="I7300" t="s" s="11">
        <v>14</v>
      </c>
      <c r="J7300" t="s" s="11">
        <v>14</v>
      </c>
      <c r="K7300" t="s" s="12">
        <v>14</v>
      </c>
      <c r="L7300" t="s" s="12">
        <v>14</v>
      </c>
      <c r="M7300" t="s" s="10">
        <v>14</v>
      </c>
      <c r="N7300" t="s" s="11">
        <v>14</v>
      </c>
      <c r="O7300" t="s" s="8">
        <v>14</v>
      </c>
      <c r="P7300" t="s" s="8">
        <v>14</v>
      </c>
      <c r="Q7300" t="s" s="12">
        <v>14</v>
      </c>
      <c r="R7300" t="s" s="12">
        <v>14</v>
      </c>
    </row>
    <row r="7301" s="2" customFormat="1" ht="13.5" customHeight="1">
      <c r="B7301" s="13"/>
      <c r="C7301" t="s" s="9">
        <v>16</v>
      </c>
      <c r="D7301" t="s" s="8">
        <v>2549</v>
      </c>
      <c r="E7301" t="s" s="9">
        <v>2549</v>
      </c>
      <c r="F7301" t="s" s="10">
        <v>152</v>
      </c>
      <c r="G7301" t="s" s="11">
        <v>152</v>
      </c>
      <c r="H7301" t="s" s="10">
        <v>152</v>
      </c>
      <c r="I7301" t="s" s="11">
        <v>152</v>
      </c>
      <c r="J7301" t="s" s="11">
        <v>20</v>
      </c>
      <c r="K7301" t="s" s="16">
        <f>HYPERLINK("http://csr.bu.edu/ftp/asl/asllvd/demos/verify_start_end_handshape_annotations//test_auto_move//signs_mov/1727.mov","MOV")</f>
        <v>21</v>
      </c>
      <c r="L7301" t="s" s="16">
        <f>HYPERLINK("http://csr.bu.edu/ftp/asl/asllvd/demos/verify_start_end_handshape_annotations//test_auto_move//signs_mov_separ_signers/Liz_1727.mov","MOV")</f>
        <v>21</v>
      </c>
      <c r="M7301" t="s" s="10">
        <v>88</v>
      </c>
      <c r="N7301" s="17">
        <v>25</v>
      </c>
      <c r="O7301" s="18">
        <v>2745</v>
      </c>
      <c r="P7301" s="18">
        <v>2782</v>
      </c>
      <c r="Q7301" t="s" s="16">
        <f>HYPERLINK("http://secrets.rutgers.edu:8080/data/asl-ftp/asllvd/demos/verify_start_end_handshape_annotations//test_auto_move//signs_mov/1727.mov","MOV")</f>
        <v>21</v>
      </c>
      <c r="R7301" t="s" s="16">
        <f>HYPERLINK("http://secrets.rutgers.edu:8080/data/asl-ftp/asllvd/demos/verify_start_end_handshape_annotations//test_auto_move//signs_mov_separ_signers/Liz_1727.mov","MOV")</f>
        <v>21</v>
      </c>
    </row>
    <row r="7302" s="2" customFormat="1" ht="13.5" customHeight="1">
      <c r="B7302" s="13"/>
      <c r="C7302" t="s" s="9">
        <v>30</v>
      </c>
      <c r="D7302" t="s" s="8">
        <v>2549</v>
      </c>
      <c r="E7302" t="s" s="9">
        <v>2549</v>
      </c>
      <c r="F7302" t="s" s="10">
        <v>55</v>
      </c>
      <c r="G7302" t="s" s="11">
        <v>55</v>
      </c>
      <c r="H7302" t="s" s="10">
        <v>55</v>
      </c>
      <c r="I7302" t="s" s="11">
        <v>55</v>
      </c>
      <c r="J7302" t="s" s="11">
        <v>20</v>
      </c>
      <c r="K7302" s="15"/>
      <c r="L7302" t="s" s="16">
        <f>HYPERLINK("http://csr.bu.edu/ftp/asl/asllvd/demos/verify_start_end_handshape_annotations//test_auto_move//signs_mov_separ_signers/Brady_1727.mov","MOV")</f>
        <v>21</v>
      </c>
      <c r="M7302" t="s" s="10">
        <v>40</v>
      </c>
      <c r="N7302" s="17">
        <v>20</v>
      </c>
      <c r="O7302" s="18">
        <v>4368</v>
      </c>
      <c r="P7302" s="18">
        <v>4382</v>
      </c>
      <c r="Q7302" s="15"/>
      <c r="R7302" t="s" s="16">
        <f>HYPERLINK("http://secrets.rutgers.edu:8080/data/asl-ftp/asllvd/demos/verify_start_end_handshape_annotations//test_auto_move//signs_mov_separ_signers/Brady_1727.mov","MOV")</f>
        <v>21</v>
      </c>
    </row>
    <row r="7303" s="2" customFormat="1" ht="13.5" customHeight="1">
      <c r="B7303" t="s" s="8">
        <v>2550</v>
      </c>
      <c r="C7303" t="s" s="9">
        <v>14</v>
      </c>
      <c r="D7303" t="s" s="8">
        <v>14</v>
      </c>
      <c r="E7303" t="s" s="9">
        <v>14</v>
      </c>
      <c r="F7303" t="s" s="10">
        <v>14</v>
      </c>
      <c r="G7303" t="s" s="11">
        <v>14</v>
      </c>
      <c r="H7303" t="s" s="10">
        <v>14</v>
      </c>
      <c r="I7303" t="s" s="11">
        <v>14</v>
      </c>
      <c r="J7303" t="s" s="11">
        <v>14</v>
      </c>
      <c r="K7303" t="s" s="12">
        <v>14</v>
      </c>
      <c r="L7303" t="s" s="12">
        <v>14</v>
      </c>
      <c r="M7303" t="s" s="10">
        <v>14</v>
      </c>
      <c r="N7303" t="s" s="11">
        <v>14</v>
      </c>
      <c r="O7303" t="s" s="8">
        <v>14</v>
      </c>
      <c r="P7303" t="s" s="8">
        <v>14</v>
      </c>
      <c r="Q7303" t="s" s="12">
        <v>14</v>
      </c>
      <c r="R7303" t="s" s="12">
        <v>14</v>
      </c>
    </row>
    <row r="7304" s="2" customFormat="1" ht="13.5" customHeight="1">
      <c r="B7304" s="13"/>
      <c r="C7304" t="s" s="9">
        <v>16</v>
      </c>
      <c r="D7304" t="s" s="8">
        <v>2550</v>
      </c>
      <c r="E7304" t="s" s="9">
        <v>2550</v>
      </c>
      <c r="F7304" t="s" s="10">
        <v>55</v>
      </c>
      <c r="G7304" t="s" s="11">
        <v>55</v>
      </c>
      <c r="H7304" t="s" s="10">
        <v>55</v>
      </c>
      <c r="I7304" t="s" s="11">
        <v>55</v>
      </c>
      <c r="J7304" t="s" s="11">
        <v>20</v>
      </c>
      <c r="K7304" t="s" s="16">
        <f>HYPERLINK("http://csr.bu.edu/ftp/asl/asllvd/demos/verify_start_end_handshape_annotations//test_auto_move//signs_mov/1729.mov","MOV")</f>
        <v>21</v>
      </c>
      <c r="L7304" t="s" s="16">
        <f>HYPERLINK("http://csr.bu.edu/ftp/asl/asllvd/demos/verify_start_end_handshape_annotations//test_auto_move//signs_mov_separ_signers/Liz_1729.mov","MOV")</f>
        <v>21</v>
      </c>
      <c r="M7304" t="s" s="10">
        <v>88</v>
      </c>
      <c r="N7304" s="17">
        <v>25</v>
      </c>
      <c r="O7304" s="18">
        <v>3155</v>
      </c>
      <c r="P7304" s="18">
        <v>3200</v>
      </c>
      <c r="Q7304" t="s" s="16">
        <f>HYPERLINK("http://secrets.rutgers.edu:8080/data/asl-ftp/asllvd/demos/verify_start_end_handshape_annotations//test_auto_move//signs_mov/1729.mov","MOV")</f>
        <v>21</v>
      </c>
      <c r="R7304" t="s" s="16">
        <f>HYPERLINK("http://secrets.rutgers.edu:8080/data/asl-ftp/asllvd/demos/verify_start_end_handshape_annotations//test_auto_move//signs_mov_separ_signers/Liz_1729.mov","MOV")</f>
        <v>21</v>
      </c>
    </row>
    <row r="7305" s="2" customFormat="1" ht="13.5" customHeight="1">
      <c r="B7305" s="13"/>
      <c r="C7305" t="s" s="9">
        <v>30</v>
      </c>
      <c r="D7305" t="s" s="8">
        <v>2550</v>
      </c>
      <c r="E7305" t="s" s="9">
        <v>2550</v>
      </c>
      <c r="F7305" t="s" s="10">
        <v>152</v>
      </c>
      <c r="G7305" t="s" s="11">
        <v>152</v>
      </c>
      <c r="H7305" t="s" s="10">
        <v>152</v>
      </c>
      <c r="I7305" t="s" s="11">
        <v>152</v>
      </c>
      <c r="J7305" t="s" s="11">
        <v>20</v>
      </c>
      <c r="K7305" s="15"/>
      <c r="L7305" t="s" s="16">
        <f>HYPERLINK("http://csr.bu.edu/ftp/asl/asllvd/demos/verify_start_end_handshape_annotations//test_auto_move//signs_mov_separ_signers/Brady_1729.mov","MOV")</f>
        <v>21</v>
      </c>
      <c r="M7305" t="s" s="10">
        <v>40</v>
      </c>
      <c r="N7305" s="17">
        <v>21</v>
      </c>
      <c r="O7305" s="18">
        <v>412</v>
      </c>
      <c r="P7305" s="18">
        <v>431</v>
      </c>
      <c r="Q7305" s="15"/>
      <c r="R7305" t="s" s="16">
        <f>HYPERLINK("http://secrets.rutgers.edu:8080/data/asl-ftp/asllvd/demos/verify_start_end_handshape_annotations//test_auto_move//signs_mov_separ_signers/Brady_1729.mov","MOV")</f>
        <v>21</v>
      </c>
    </row>
    <row r="7306" s="2" customFormat="1" ht="13.5" customHeight="1">
      <c r="B7306" t="s" s="8">
        <v>2551</v>
      </c>
      <c r="C7306" t="s" s="9">
        <v>14</v>
      </c>
      <c r="D7306" t="s" s="8">
        <v>14</v>
      </c>
      <c r="E7306" t="s" s="9">
        <v>14</v>
      </c>
      <c r="F7306" t="s" s="10">
        <v>14</v>
      </c>
      <c r="G7306" t="s" s="11">
        <v>14</v>
      </c>
      <c r="H7306" t="s" s="10">
        <v>14</v>
      </c>
      <c r="I7306" t="s" s="11">
        <v>14</v>
      </c>
      <c r="J7306" t="s" s="11">
        <v>14</v>
      </c>
      <c r="K7306" t="s" s="12">
        <v>14</v>
      </c>
      <c r="L7306" t="s" s="12">
        <v>14</v>
      </c>
      <c r="M7306" t="s" s="10">
        <v>14</v>
      </c>
      <c r="N7306" t="s" s="11">
        <v>14</v>
      </c>
      <c r="O7306" t="s" s="8">
        <v>14</v>
      </c>
      <c r="P7306" t="s" s="8">
        <v>14</v>
      </c>
      <c r="Q7306" t="s" s="12">
        <v>14</v>
      </c>
      <c r="R7306" t="s" s="12">
        <v>14</v>
      </c>
    </row>
    <row r="7307" s="2" customFormat="1" ht="13.5" customHeight="1">
      <c r="B7307" s="13"/>
      <c r="C7307" t="s" s="9">
        <v>16</v>
      </c>
      <c r="D7307" t="s" s="8">
        <v>2551</v>
      </c>
      <c r="E7307" t="s" s="9">
        <v>2551</v>
      </c>
      <c r="F7307" t="s" s="10">
        <v>73</v>
      </c>
      <c r="G7307" t="s" s="11">
        <v>55</v>
      </c>
      <c r="H7307" t="s" s="10">
        <v>73</v>
      </c>
      <c r="I7307" t="s" s="11">
        <v>55</v>
      </c>
      <c r="J7307" t="s" s="11">
        <v>20</v>
      </c>
      <c r="K7307" t="s" s="16">
        <f>HYPERLINK("http://csr.bu.edu/ftp/asl/asllvd/demos/verify_start_end_handshape_annotations//test_auto_move//signs_mov/1731.mov","MOV")</f>
        <v>21</v>
      </c>
      <c r="L7307" t="s" s="16">
        <f>HYPERLINK("http://csr.bu.edu/ftp/asl/asllvd/demos/verify_start_end_handshape_annotations//test_auto_move//signs_mov_separ_signers/Liz_1731.mov","MOV")</f>
        <v>21</v>
      </c>
      <c r="M7307" t="s" s="10">
        <v>88</v>
      </c>
      <c r="N7307" s="17">
        <v>26</v>
      </c>
      <c r="O7307" s="18">
        <v>560</v>
      </c>
      <c r="P7307" s="18">
        <v>605</v>
      </c>
      <c r="Q7307" t="s" s="16">
        <f>HYPERLINK("http://secrets.rutgers.edu:8080/data/asl-ftp/asllvd/demos/verify_start_end_handshape_annotations//test_auto_move//signs_mov/1731.mov","MOV")</f>
        <v>21</v>
      </c>
      <c r="R7307" t="s" s="16">
        <f>HYPERLINK("http://secrets.rutgers.edu:8080/data/asl-ftp/asllvd/demos/verify_start_end_handshape_annotations//test_auto_move//signs_mov_separ_signers/Liz_1731.mov","MOV")</f>
        <v>21</v>
      </c>
    </row>
    <row r="7308" s="2" customFormat="1" ht="13.5" customHeight="1">
      <c r="B7308" s="13"/>
      <c r="C7308" t="s" s="9">
        <v>30</v>
      </c>
      <c r="D7308" t="s" s="8">
        <v>2551</v>
      </c>
      <c r="E7308" t="s" s="9">
        <v>2551</v>
      </c>
      <c r="F7308" t="s" s="10">
        <v>80</v>
      </c>
      <c r="G7308" t="s" s="11">
        <v>80</v>
      </c>
      <c r="H7308" t="s" s="10">
        <v>80</v>
      </c>
      <c r="I7308" t="s" s="11">
        <v>80</v>
      </c>
      <c r="J7308" t="s" s="11">
        <v>20</v>
      </c>
      <c r="K7308" s="15"/>
      <c r="L7308" t="s" s="16">
        <f>HYPERLINK("http://csr.bu.edu/ftp/asl/asllvd/demos/verify_start_end_handshape_annotations//test_auto_move//signs_mov_separ_signers/Brady_1731.mov","MOV")</f>
        <v>21</v>
      </c>
      <c r="M7308" t="s" s="10">
        <v>40</v>
      </c>
      <c r="N7308" s="17">
        <v>21</v>
      </c>
      <c r="O7308" s="18">
        <v>1114</v>
      </c>
      <c r="P7308" s="18">
        <v>1130</v>
      </c>
      <c r="Q7308" s="15"/>
      <c r="R7308" t="s" s="16">
        <f>HYPERLINK("http://secrets.rutgers.edu:8080/data/asl-ftp/asllvd/demos/verify_start_end_handshape_annotations//test_auto_move//signs_mov_separ_signers/Brady_1731.mov","MOV")</f>
        <v>21</v>
      </c>
    </row>
    <row r="7309" s="2" customFormat="1" ht="13.5" customHeight="1">
      <c r="B7309" t="s" s="8">
        <v>2552</v>
      </c>
      <c r="C7309" t="s" s="9">
        <v>14</v>
      </c>
      <c r="D7309" t="s" s="8">
        <v>14</v>
      </c>
      <c r="E7309" t="s" s="9">
        <v>14</v>
      </c>
      <c r="F7309" t="s" s="10">
        <v>14</v>
      </c>
      <c r="G7309" t="s" s="11">
        <v>14</v>
      </c>
      <c r="H7309" t="s" s="10">
        <v>14</v>
      </c>
      <c r="I7309" t="s" s="11">
        <v>14</v>
      </c>
      <c r="J7309" t="s" s="11">
        <v>14</v>
      </c>
      <c r="K7309" t="s" s="12">
        <v>14</v>
      </c>
      <c r="L7309" t="s" s="12">
        <v>14</v>
      </c>
      <c r="M7309" t="s" s="10">
        <v>14</v>
      </c>
      <c r="N7309" t="s" s="11">
        <v>14</v>
      </c>
      <c r="O7309" t="s" s="8">
        <v>14</v>
      </c>
      <c r="P7309" t="s" s="8">
        <v>14</v>
      </c>
      <c r="Q7309" t="s" s="12">
        <v>14</v>
      </c>
      <c r="R7309" t="s" s="12">
        <v>14</v>
      </c>
    </row>
    <row r="7310" s="2" customFormat="1" ht="13.5" customHeight="1">
      <c r="B7310" s="13"/>
      <c r="C7310" t="s" s="9">
        <v>16</v>
      </c>
      <c r="D7310" t="s" s="8">
        <v>2552</v>
      </c>
      <c r="E7310" t="s" s="9">
        <v>2552</v>
      </c>
      <c r="F7310" t="s" s="10">
        <v>63</v>
      </c>
      <c r="G7310" t="s" s="11">
        <v>73</v>
      </c>
      <c r="H7310" t="s" s="10">
        <v>63</v>
      </c>
      <c r="I7310" t="s" s="11">
        <v>73</v>
      </c>
      <c r="J7310" t="s" s="11">
        <v>20</v>
      </c>
      <c r="K7310" s="15"/>
      <c r="L7310" t="s" s="16">
        <f>HYPERLINK("http://csr.bu.edu/ftp/asl/asllvd/demos/verify_start_end_handshape_annotations//test_auto_move//signs_mov_separ_signers/Liz_1732.mov","MOV")</f>
        <v>21</v>
      </c>
      <c r="M7310" t="s" s="10">
        <v>88</v>
      </c>
      <c r="N7310" s="17">
        <v>26</v>
      </c>
      <c r="O7310" s="18">
        <v>2310</v>
      </c>
      <c r="P7310" s="18">
        <v>2367</v>
      </c>
      <c r="Q7310" s="15"/>
      <c r="R7310" t="s" s="16">
        <f>HYPERLINK("http://secrets.rutgers.edu:8080/data/asl-ftp/asllvd/demos/verify_start_end_handshape_annotations//test_auto_move//signs_mov_separ_signers/Liz_1732.mov","MOV")</f>
        <v>21</v>
      </c>
    </row>
    <row r="7311" s="2" customFormat="1" ht="13.5" customHeight="1">
      <c r="B7311" s="13"/>
      <c r="C7311" t="s" s="9">
        <v>16</v>
      </c>
      <c r="D7311" t="s" s="8">
        <v>2552</v>
      </c>
      <c r="E7311" t="s" s="9">
        <v>2552</v>
      </c>
      <c r="F7311" s="19">
        <v>10</v>
      </c>
      <c r="G7311" t="s" s="11">
        <v>73</v>
      </c>
      <c r="H7311" s="19">
        <v>10</v>
      </c>
      <c r="I7311" t="s" s="11">
        <v>73</v>
      </c>
      <c r="J7311" t="s" s="11">
        <v>20</v>
      </c>
      <c r="K7311" s="15"/>
      <c r="L7311" t="s" s="16">
        <f>HYPERLINK("http://csr.bu.edu/ftp/asl/asllvd/demos/verify_start_end_handshape_annotations//test_auto_move//signs_mov_separ_signers/Liz_3707.mov","MOV")</f>
        <v>21</v>
      </c>
      <c r="M7311" t="s" s="10">
        <v>36</v>
      </c>
      <c r="N7311" s="17">
        <v>54</v>
      </c>
      <c r="O7311" s="18">
        <v>625</v>
      </c>
      <c r="P7311" s="18">
        <v>660</v>
      </c>
      <c r="Q7311" s="15"/>
      <c r="R7311" t="s" s="16">
        <f>HYPERLINK("http://secrets.rutgers.edu:8080/data/asl-ftp/asllvd/demos/verify_start_end_handshape_annotations//test_auto_move//signs_mov_separ_signers/Liz_3707.mov","MOV")</f>
        <v>21</v>
      </c>
    </row>
    <row r="7312" s="2" customFormat="1" ht="13.5" customHeight="1">
      <c r="B7312" s="13"/>
      <c r="C7312" t="s" s="9">
        <v>30</v>
      </c>
      <c r="D7312" t="s" s="8">
        <v>2552</v>
      </c>
      <c r="E7312" t="s" s="9">
        <v>2552</v>
      </c>
      <c r="F7312" s="19">
        <v>10</v>
      </c>
      <c r="G7312" t="s" s="11">
        <v>73</v>
      </c>
      <c r="H7312" s="19">
        <v>10</v>
      </c>
      <c r="I7312" t="s" s="11">
        <v>73</v>
      </c>
      <c r="J7312" t="s" s="11">
        <v>20</v>
      </c>
      <c r="K7312" t="s" s="16">
        <f>HYPERLINK("http://csr.bu.edu/ftp/asl/asllvd/demos/verify_start_end_handshape_annotations//test_auto_move//signs_mov/1732_3707_15257_merged.mov","MOV")</f>
        <v>21</v>
      </c>
      <c r="L7312" t="s" s="16">
        <f>HYPERLINK("http://csr.bu.edu/ftp/asl/asllvd/demos/verify_start_end_handshape_annotations//test_auto_move//signs_mov_separ_signers/Brady_1732.mov","MOV")</f>
        <v>21</v>
      </c>
      <c r="M7312" t="s" s="10">
        <v>40</v>
      </c>
      <c r="N7312" s="17">
        <v>21</v>
      </c>
      <c r="O7312" s="18">
        <v>1307</v>
      </c>
      <c r="P7312" s="18">
        <v>1332</v>
      </c>
      <c r="Q7312" t="s" s="16">
        <f>HYPERLINK("http://secrets.rutgers.edu:8080/data/asl-ftp/asllvd/demos/verify_start_end_handshape_annotations//test_auto_move//signs_mov/1732_3707_15257_merged.mov","MOV")</f>
        <v>21</v>
      </c>
      <c r="R7312" t="s" s="16">
        <f>HYPERLINK("http://secrets.rutgers.edu:8080/data/asl-ftp/asllvd/demos/verify_start_end_handshape_annotations//test_auto_move//signs_mov_separ_signers/Brady_1732.mov","MOV")</f>
        <v>21</v>
      </c>
    </row>
    <row r="7313" s="2" customFormat="1" ht="13.5" customHeight="1">
      <c r="B7313" s="13"/>
      <c r="C7313" t="s" s="9">
        <v>30</v>
      </c>
      <c r="D7313" t="s" s="8">
        <v>2552</v>
      </c>
      <c r="E7313" t="s" s="9">
        <v>2552</v>
      </c>
      <c r="F7313" s="19">
        <v>10</v>
      </c>
      <c r="G7313" t="s" s="11">
        <v>73</v>
      </c>
      <c r="H7313" s="19">
        <v>10</v>
      </c>
      <c r="I7313" t="s" s="11">
        <v>73</v>
      </c>
      <c r="J7313" t="s" s="11">
        <v>20</v>
      </c>
      <c r="K7313" s="15"/>
      <c r="L7313" t="s" s="16">
        <f>HYPERLINK("http://csr.bu.edu/ftp/asl/asllvd/demos/verify_start_end_handshape_annotations//test_auto_move//signs_mov_separ_signers/Brady_3707.mov","MOV")</f>
        <v>21</v>
      </c>
      <c r="M7313" t="s" s="10">
        <v>40</v>
      </c>
      <c r="N7313" s="17">
        <v>21</v>
      </c>
      <c r="O7313" s="18">
        <v>1613</v>
      </c>
      <c r="P7313" s="18">
        <v>1636</v>
      </c>
      <c r="Q7313" s="15"/>
      <c r="R7313" t="s" s="16">
        <f>HYPERLINK("http://secrets.rutgers.edu:8080/data/asl-ftp/asllvd/demos/verify_start_end_handshape_annotations//test_auto_move//signs_mov_separ_signers/Brady_3707.mov","MOV")</f>
        <v>21</v>
      </c>
    </row>
    <row r="7314" s="2" customFormat="1" ht="13.5" customHeight="1">
      <c r="B7314" s="13"/>
      <c r="C7314" t="s" s="9">
        <v>30</v>
      </c>
      <c r="D7314" t="s" s="8">
        <v>2552</v>
      </c>
      <c r="E7314" t="s" s="9">
        <v>2552</v>
      </c>
      <c r="F7314" s="19">
        <v>10</v>
      </c>
      <c r="G7314" t="s" s="11">
        <v>73</v>
      </c>
      <c r="H7314" s="19">
        <v>10</v>
      </c>
      <c r="I7314" t="s" s="11">
        <v>73</v>
      </c>
      <c r="J7314" t="s" s="11">
        <v>20</v>
      </c>
      <c r="K7314" s="15"/>
      <c r="L7314" t="s" s="16">
        <f>HYPERLINK("http://csr.bu.edu/ftp/asl/asllvd/demos/verify_start_end_handshape_annotations//test_auto_move//signs_mov_separ_signers/Brady_15257.mov","MOV")</f>
        <v>21</v>
      </c>
      <c r="M7314" t="s" s="10">
        <v>40</v>
      </c>
      <c r="N7314" s="17">
        <v>105</v>
      </c>
      <c r="O7314" s="18">
        <v>3226</v>
      </c>
      <c r="P7314" s="18">
        <v>3243</v>
      </c>
      <c r="Q7314" s="15"/>
      <c r="R7314" t="s" s="16">
        <f>HYPERLINK("http://secrets.rutgers.edu:8080/data/asl-ftp/asllvd/demos/verify_start_end_handshape_annotations//test_auto_move//signs_mov_separ_signers/Brady_15257.mov","MOV")</f>
        <v>21</v>
      </c>
    </row>
    <row r="7315" s="2" customFormat="1" ht="13.5" customHeight="1">
      <c r="B7315" t="s" s="8">
        <v>52</v>
      </c>
      <c r="C7315" t="s" s="9">
        <v>53</v>
      </c>
      <c r="D7315" t="s" s="8">
        <v>53</v>
      </c>
      <c r="E7315" t="s" s="9">
        <v>53</v>
      </c>
      <c r="F7315" t="s" s="10">
        <v>53</v>
      </c>
      <c r="G7315" t="s" s="11">
        <v>53</v>
      </c>
      <c r="H7315" t="s" s="10">
        <v>53</v>
      </c>
      <c r="I7315" t="s" s="11">
        <v>53</v>
      </c>
      <c r="J7315" t="s" s="11">
        <v>53</v>
      </c>
      <c r="K7315" t="s" s="12">
        <v>53</v>
      </c>
      <c r="L7315" t="s" s="12">
        <v>53</v>
      </c>
      <c r="M7315" t="s" s="10">
        <v>53</v>
      </c>
      <c r="N7315" t="s" s="11">
        <v>53</v>
      </c>
      <c r="O7315" t="s" s="8">
        <v>53</v>
      </c>
      <c r="P7315" t="s" s="8">
        <v>53</v>
      </c>
      <c r="Q7315" t="s" s="12">
        <v>53</v>
      </c>
      <c r="R7315" t="s" s="12">
        <v>53</v>
      </c>
    </row>
    <row r="7316" s="2" customFormat="1" ht="13.5" customHeight="1">
      <c r="B7316" s="13"/>
      <c r="C7316" t="s" s="9">
        <v>16</v>
      </c>
      <c r="D7316" t="s" s="8">
        <v>2552</v>
      </c>
      <c r="E7316" t="s" s="9">
        <v>2553</v>
      </c>
      <c r="F7316" s="19">
        <v>10</v>
      </c>
      <c r="G7316" t="s" s="11">
        <v>73</v>
      </c>
      <c r="H7316" s="19">
        <v>10</v>
      </c>
      <c r="I7316" t="s" s="11">
        <v>73</v>
      </c>
      <c r="J7316" t="s" s="11">
        <v>20</v>
      </c>
      <c r="K7316" t="s" s="16">
        <f>HYPERLINK("http://csr.bu.edu/ftp/asl/asllvd/demos/verify_start_end_handshape_annotations//test_auto_move//signs_mov/16443.mov","MOV")</f>
        <v>21</v>
      </c>
      <c r="L7316" t="s" s="16">
        <f>HYPERLINK("http://csr.bu.edu/ftp/asl/asllvd/demos/verify_start_end_handshape_annotations//test_auto_move//signs_mov_separ_signers/Liz_16443.mov","MOV")</f>
        <v>21</v>
      </c>
      <c r="M7316" t="s" s="10">
        <v>88</v>
      </c>
      <c r="N7316" s="17">
        <v>26</v>
      </c>
      <c r="O7316" s="18">
        <v>776</v>
      </c>
      <c r="P7316" s="18">
        <v>815</v>
      </c>
      <c r="Q7316" t="s" s="16">
        <f>HYPERLINK("http://secrets.rutgers.edu:8080/data/asl-ftp/asllvd/demos/verify_start_end_handshape_annotations//test_auto_move//signs_mov/16443.mov","MOV")</f>
        <v>21</v>
      </c>
      <c r="R7316" t="s" s="16">
        <f>HYPERLINK("http://secrets.rutgers.edu:8080/data/asl-ftp/asllvd/demos/verify_start_end_handshape_annotations//test_auto_move//signs_mov_separ_signers/Liz_16443.mov","MOV")</f>
        <v>21</v>
      </c>
    </row>
    <row r="7317" s="2" customFormat="1" ht="13.5" customHeight="1">
      <c r="B7317" t="s" s="8">
        <v>2554</v>
      </c>
      <c r="C7317" t="s" s="9">
        <v>14</v>
      </c>
      <c r="D7317" t="s" s="8">
        <v>14</v>
      </c>
      <c r="E7317" t="s" s="9">
        <v>14</v>
      </c>
      <c r="F7317" t="s" s="10">
        <v>14</v>
      </c>
      <c r="G7317" t="s" s="11">
        <v>14</v>
      </c>
      <c r="H7317" t="s" s="10">
        <v>14</v>
      </c>
      <c r="I7317" t="s" s="11">
        <v>14</v>
      </c>
      <c r="J7317" t="s" s="11">
        <v>14</v>
      </c>
      <c r="K7317" t="s" s="12">
        <v>14</v>
      </c>
      <c r="L7317" t="s" s="12">
        <v>14</v>
      </c>
      <c r="M7317" t="s" s="10">
        <v>14</v>
      </c>
      <c r="N7317" t="s" s="11">
        <v>14</v>
      </c>
      <c r="O7317" t="s" s="8">
        <v>14</v>
      </c>
      <c r="P7317" t="s" s="8">
        <v>14</v>
      </c>
      <c r="Q7317" t="s" s="12">
        <v>14</v>
      </c>
      <c r="R7317" t="s" s="12">
        <v>14</v>
      </c>
    </row>
    <row r="7318" s="2" customFormat="1" ht="13.5" customHeight="1">
      <c r="B7318" s="13"/>
      <c r="C7318" t="s" s="9">
        <v>16</v>
      </c>
      <c r="D7318" t="s" s="8">
        <v>2554</v>
      </c>
      <c r="E7318" t="s" s="9">
        <v>2555</v>
      </c>
      <c r="F7318" t="s" s="10">
        <v>292</v>
      </c>
      <c r="G7318" s="14"/>
      <c r="H7318" t="s" s="10">
        <v>292</v>
      </c>
      <c r="I7318" s="14"/>
      <c r="J7318" t="s" s="11">
        <v>20</v>
      </c>
      <c r="K7318" t="s" s="16">
        <f>HYPERLINK("http://csr.bu.edu/ftp/asl/asllvd/demos/verify_start_end_handshape_annotations//test_auto_move//signs_mov/1734.mov","MOV")</f>
        <v>21</v>
      </c>
      <c r="L7318" t="s" s="16">
        <f>HYPERLINK("http://csr.bu.edu/ftp/asl/asllvd/demos/verify_start_end_handshape_annotations//test_auto_move//signs_mov_separ_signers/Liz_1734.mov","MOV")</f>
        <v>21</v>
      </c>
      <c r="M7318" t="s" s="10">
        <v>88</v>
      </c>
      <c r="N7318" s="17">
        <v>26</v>
      </c>
      <c r="O7318" s="18">
        <v>2550</v>
      </c>
      <c r="P7318" s="18">
        <v>2610</v>
      </c>
      <c r="Q7318" t="s" s="16">
        <f>HYPERLINK("http://secrets.rutgers.edu:8080/data/asl-ftp/asllvd/demos/verify_start_end_handshape_annotations//test_auto_move//signs_mov/1734.mov","MOV")</f>
        <v>21</v>
      </c>
      <c r="R7318" t="s" s="16">
        <f>HYPERLINK("http://secrets.rutgers.edu:8080/data/asl-ftp/asllvd/demos/verify_start_end_handshape_annotations//test_auto_move//signs_mov_separ_signers/Liz_1734.mov","MOV")</f>
        <v>21</v>
      </c>
    </row>
    <row r="7319" s="2" customFormat="1" ht="13.5" customHeight="1">
      <c r="B7319" s="13"/>
      <c r="C7319" t="s" s="9">
        <v>30</v>
      </c>
      <c r="D7319" t="s" s="8">
        <v>2554</v>
      </c>
      <c r="E7319" t="s" s="9">
        <v>2555</v>
      </c>
      <c r="F7319" t="s" s="10">
        <v>292</v>
      </c>
      <c r="G7319" s="14"/>
      <c r="H7319" t="s" s="10">
        <v>292</v>
      </c>
      <c r="I7319" s="14"/>
      <c r="J7319" t="s" s="11">
        <v>20</v>
      </c>
      <c r="K7319" s="15"/>
      <c r="L7319" t="s" s="16">
        <f>HYPERLINK("http://csr.bu.edu/ftp/asl/asllvd/demos/verify_start_end_handshape_annotations//test_auto_move//signs_mov_separ_signers/Brady_1734.mov","MOV")</f>
        <v>21</v>
      </c>
      <c r="M7319" t="s" s="10">
        <v>40</v>
      </c>
      <c r="N7319" s="17">
        <v>21</v>
      </c>
      <c r="O7319" s="18">
        <v>1893</v>
      </c>
      <c r="P7319" s="18">
        <v>1920</v>
      </c>
      <c r="Q7319" s="15"/>
      <c r="R7319" t="s" s="16">
        <f>HYPERLINK("http://secrets.rutgers.edu:8080/data/asl-ftp/asllvd/demos/verify_start_end_handshape_annotations//test_auto_move//signs_mov_separ_signers/Brady_1734.mov","MOV")</f>
        <v>21</v>
      </c>
    </row>
    <row r="7320" s="2" customFormat="1" ht="13.5" customHeight="1">
      <c r="B7320" t="s" s="8">
        <v>2556</v>
      </c>
      <c r="C7320" t="s" s="9">
        <v>14</v>
      </c>
      <c r="D7320" t="s" s="8">
        <v>14</v>
      </c>
      <c r="E7320" t="s" s="9">
        <v>14</v>
      </c>
      <c r="F7320" t="s" s="10">
        <v>14</v>
      </c>
      <c r="G7320" t="s" s="11">
        <v>14</v>
      </c>
      <c r="H7320" t="s" s="10">
        <v>14</v>
      </c>
      <c r="I7320" t="s" s="11">
        <v>14</v>
      </c>
      <c r="J7320" t="s" s="11">
        <v>14</v>
      </c>
      <c r="K7320" t="s" s="12">
        <v>14</v>
      </c>
      <c r="L7320" t="s" s="12">
        <v>14</v>
      </c>
      <c r="M7320" t="s" s="10">
        <v>14</v>
      </c>
      <c r="N7320" t="s" s="11">
        <v>14</v>
      </c>
      <c r="O7320" t="s" s="8">
        <v>14</v>
      </c>
      <c r="P7320" t="s" s="8">
        <v>14</v>
      </c>
      <c r="Q7320" t="s" s="12">
        <v>14</v>
      </c>
      <c r="R7320" t="s" s="12">
        <v>14</v>
      </c>
    </row>
    <row r="7321" s="2" customFormat="1" ht="13.5" customHeight="1">
      <c r="B7321" s="13"/>
      <c r="C7321" t="s" s="9">
        <v>16</v>
      </c>
      <c r="D7321" t="s" s="8">
        <v>2556</v>
      </c>
      <c r="E7321" t="s" s="9">
        <v>2557</v>
      </c>
      <c r="F7321" t="s" s="10">
        <v>158</v>
      </c>
      <c r="G7321" s="14"/>
      <c r="H7321" t="s" s="10">
        <v>158</v>
      </c>
      <c r="I7321" s="14"/>
      <c r="J7321" t="s" s="11">
        <v>20</v>
      </c>
      <c r="K7321" t="s" s="16">
        <f>HYPERLINK("http://csr.bu.edu/ftp/asl/asllvd/demos/verify_start_end_handshape_annotations//test_auto_move//signs_mov/1735.mov","MOV")</f>
        <v>21</v>
      </c>
      <c r="L7321" t="s" s="16">
        <f>HYPERLINK("http://csr.bu.edu/ftp/asl/asllvd/demos/verify_start_end_handshape_annotations//test_auto_move//signs_mov_separ_signers/Liz_1735.mov","MOV")</f>
        <v>21</v>
      </c>
      <c r="M7321" t="s" s="10">
        <v>88</v>
      </c>
      <c r="N7321" s="17">
        <v>26</v>
      </c>
      <c r="O7321" s="18">
        <v>2822</v>
      </c>
      <c r="P7321" s="18">
        <v>2865</v>
      </c>
      <c r="Q7321" t="s" s="16">
        <f>HYPERLINK("http://secrets.rutgers.edu:8080/data/asl-ftp/asllvd/demos/verify_start_end_handshape_annotations//test_auto_move//signs_mov/1735.mov","MOV")</f>
        <v>21</v>
      </c>
      <c r="R7321" t="s" s="16">
        <f>HYPERLINK("http://secrets.rutgers.edu:8080/data/asl-ftp/asllvd/demos/verify_start_end_handshape_annotations//test_auto_move//signs_mov_separ_signers/Liz_1735.mov","MOV")</f>
        <v>21</v>
      </c>
    </row>
    <row r="7322" s="2" customFormat="1" ht="13.5" customHeight="1">
      <c r="B7322" s="13"/>
      <c r="C7322" t="s" s="9">
        <v>30</v>
      </c>
      <c r="D7322" t="s" s="8">
        <v>2556</v>
      </c>
      <c r="E7322" t="s" s="9">
        <v>2557</v>
      </c>
      <c r="F7322" t="s" s="10">
        <v>158</v>
      </c>
      <c r="G7322" s="14"/>
      <c r="H7322" t="s" s="10">
        <v>158</v>
      </c>
      <c r="I7322" s="14"/>
      <c r="J7322" t="s" s="11">
        <v>20</v>
      </c>
      <c r="K7322" s="15"/>
      <c r="L7322" t="s" s="16">
        <f>HYPERLINK("http://csr.bu.edu/ftp/asl/asllvd/demos/verify_start_end_handshape_annotations//test_auto_move//signs_mov_separ_signers/Brady_1735.mov","MOV")</f>
        <v>21</v>
      </c>
      <c r="M7322" t="s" s="10">
        <v>40</v>
      </c>
      <c r="N7322" s="17">
        <v>21</v>
      </c>
      <c r="O7322" s="18">
        <v>2149</v>
      </c>
      <c r="P7322" s="18">
        <v>2176</v>
      </c>
      <c r="Q7322" s="15"/>
      <c r="R7322" t="s" s="16">
        <f>HYPERLINK("http://secrets.rutgers.edu:8080/data/asl-ftp/asllvd/demos/verify_start_end_handshape_annotations//test_auto_move//signs_mov_separ_signers/Brady_1735.mov","MOV")</f>
        <v>21</v>
      </c>
    </row>
    <row r="7323" s="2" customFormat="1" ht="13.5" customHeight="1">
      <c r="B7323" t="s" s="8">
        <v>2558</v>
      </c>
      <c r="C7323" t="s" s="9">
        <v>14</v>
      </c>
      <c r="D7323" t="s" s="8">
        <v>14</v>
      </c>
      <c r="E7323" t="s" s="9">
        <v>14</v>
      </c>
      <c r="F7323" t="s" s="10">
        <v>14</v>
      </c>
      <c r="G7323" t="s" s="11">
        <v>14</v>
      </c>
      <c r="H7323" t="s" s="10">
        <v>14</v>
      </c>
      <c r="I7323" t="s" s="11">
        <v>14</v>
      </c>
      <c r="J7323" t="s" s="11">
        <v>14</v>
      </c>
      <c r="K7323" t="s" s="12">
        <v>14</v>
      </c>
      <c r="L7323" t="s" s="12">
        <v>14</v>
      </c>
      <c r="M7323" t="s" s="10">
        <v>14</v>
      </c>
      <c r="N7323" t="s" s="11">
        <v>14</v>
      </c>
      <c r="O7323" t="s" s="8">
        <v>14</v>
      </c>
      <c r="P7323" t="s" s="8">
        <v>14</v>
      </c>
      <c r="Q7323" t="s" s="12">
        <v>14</v>
      </c>
      <c r="R7323" t="s" s="12">
        <v>14</v>
      </c>
    </row>
    <row r="7324" s="2" customFormat="1" ht="13.5" customHeight="1">
      <c r="B7324" s="13"/>
      <c r="C7324" t="s" s="9">
        <v>16</v>
      </c>
      <c r="D7324" t="s" s="8">
        <v>2558</v>
      </c>
      <c r="E7324" t="s" s="9">
        <v>2558</v>
      </c>
      <c r="F7324" t="s" s="10">
        <v>73</v>
      </c>
      <c r="G7324" t="s" s="11">
        <v>73</v>
      </c>
      <c r="H7324" t="s" s="10">
        <v>73</v>
      </c>
      <c r="I7324" t="s" s="11">
        <v>73</v>
      </c>
      <c r="J7324" t="s" s="11">
        <v>20</v>
      </c>
      <c r="K7324" s="15"/>
      <c r="L7324" t="s" s="16">
        <f>HYPERLINK("http://csr.bu.edu/ftp/asl/asllvd/demos/verify_start_end_handshape_annotations//test_auto_move//signs_mov_separ_signers/Liz_1736.mov","MOV")</f>
        <v>21</v>
      </c>
      <c r="M7324" t="s" s="10">
        <v>88</v>
      </c>
      <c r="N7324" s="17">
        <v>26</v>
      </c>
      <c r="O7324" s="18">
        <v>3070</v>
      </c>
      <c r="P7324" s="18">
        <v>3118</v>
      </c>
      <c r="Q7324" s="15"/>
      <c r="R7324" t="s" s="16">
        <f>HYPERLINK("http://secrets.rutgers.edu:8080/data/asl-ftp/asllvd/demos/verify_start_end_handshape_annotations//test_auto_move//signs_mov_separ_signers/Liz_1736.mov","MOV")</f>
        <v>21</v>
      </c>
    </row>
    <row r="7325" s="2" customFormat="1" ht="13.5" customHeight="1">
      <c r="B7325" s="13"/>
      <c r="C7325" t="s" s="9">
        <v>30</v>
      </c>
      <c r="D7325" t="s" s="8">
        <v>2558</v>
      </c>
      <c r="E7325" t="s" s="9">
        <v>2558</v>
      </c>
      <c r="F7325" t="s" s="10">
        <v>73</v>
      </c>
      <c r="G7325" t="s" s="11">
        <v>73</v>
      </c>
      <c r="H7325" t="s" s="10">
        <v>73</v>
      </c>
      <c r="I7325" t="s" s="11">
        <v>73</v>
      </c>
      <c r="J7325" t="s" s="11">
        <v>20</v>
      </c>
      <c r="K7325" t="s" s="16">
        <f>HYPERLINK("http://csr.bu.edu/ftp/asl/asllvd/demos/verify_start_end_handshape_annotations//test_auto_move//signs_mov/1736.mov","MOV")</f>
        <v>21</v>
      </c>
      <c r="L7325" t="s" s="16">
        <f>HYPERLINK("http://csr.bu.edu/ftp/asl/asllvd/demos/verify_start_end_handshape_annotations//test_auto_move//signs_mov_separ_signers/Brady_1736.mov","MOV")</f>
        <v>21</v>
      </c>
      <c r="M7325" t="s" s="10">
        <v>40</v>
      </c>
      <c r="N7325" s="17">
        <v>22</v>
      </c>
      <c r="O7325" s="18">
        <v>140</v>
      </c>
      <c r="P7325" s="18">
        <v>178</v>
      </c>
      <c r="Q7325" t="s" s="16">
        <f>HYPERLINK("http://secrets.rutgers.edu:8080/data/asl-ftp/asllvd/demos/verify_start_end_handshape_annotations//test_auto_move//signs_mov/1736.mov","MOV")</f>
        <v>21</v>
      </c>
      <c r="R7325" t="s" s="16">
        <f>HYPERLINK("http://secrets.rutgers.edu:8080/data/asl-ftp/asllvd/demos/verify_start_end_handshape_annotations//test_auto_move//signs_mov_separ_signers/Brady_1736.mov","MOV")</f>
        <v>21</v>
      </c>
    </row>
    <row r="7326" s="2" customFormat="1" ht="13.5" customHeight="1">
      <c r="B7326" s="13"/>
      <c r="C7326" t="s" s="9">
        <v>41</v>
      </c>
      <c r="D7326" t="s" s="8">
        <v>2558</v>
      </c>
      <c r="E7326" t="s" s="9">
        <v>2558</v>
      </c>
      <c r="F7326" t="s" s="10">
        <v>55</v>
      </c>
      <c r="G7326" t="s" s="11">
        <v>73</v>
      </c>
      <c r="H7326" t="s" s="10">
        <v>55</v>
      </c>
      <c r="I7326" t="s" s="11">
        <v>73</v>
      </c>
      <c r="J7326" t="s" s="11">
        <v>20</v>
      </c>
      <c r="K7326" s="15"/>
      <c r="L7326" t="s" s="16">
        <f>HYPERLINK("http://csr.bu.edu/ftp/asl/asllvd/demos/verify_start_end_handshape_annotations//test_auto_move//signs_mov_separ_signers/Lana_1736.mov","MOV")</f>
        <v>21</v>
      </c>
      <c r="M7326" t="s" s="10">
        <v>42</v>
      </c>
      <c r="N7326" s="17">
        <v>2</v>
      </c>
      <c r="O7326" s="18">
        <v>1652</v>
      </c>
      <c r="P7326" s="18">
        <v>1692</v>
      </c>
      <c r="Q7326" s="15"/>
      <c r="R7326" t="s" s="16">
        <f>HYPERLINK("http://secrets.rutgers.edu:8080/data/asl-ftp/asllvd/demos/verify_start_end_handshape_annotations//test_auto_move//signs_mov_separ_signers/Lana_1736.mov","MOV")</f>
        <v>21</v>
      </c>
    </row>
    <row r="7327" s="2" customFormat="1" ht="13.5" customHeight="1">
      <c r="B7327" s="13"/>
      <c r="C7327" t="s" s="9">
        <v>43</v>
      </c>
      <c r="D7327" t="s" s="8">
        <v>2558</v>
      </c>
      <c r="E7327" t="s" s="9">
        <v>2558</v>
      </c>
      <c r="F7327" t="s" s="10">
        <v>55</v>
      </c>
      <c r="G7327" t="s" s="11">
        <v>73</v>
      </c>
      <c r="H7327" t="s" s="10">
        <v>55</v>
      </c>
      <c r="I7327" t="s" s="11">
        <v>73</v>
      </c>
      <c r="J7327" t="s" s="11">
        <v>20</v>
      </c>
      <c r="K7327" s="15"/>
      <c r="L7327" t="s" s="16">
        <f>HYPERLINK("http://csr.bu.edu/ftp/asl/asllvd/demos/verify_start_end_handshape_annotations//test_auto_move//signs_mov_separ_signers/Dana_1736.mov","MOV")</f>
        <v>21</v>
      </c>
      <c r="M7327" t="s" s="10">
        <v>44</v>
      </c>
      <c r="N7327" s="17">
        <v>5</v>
      </c>
      <c r="O7327" s="18">
        <v>1965</v>
      </c>
      <c r="P7327" s="18">
        <v>1991</v>
      </c>
      <c r="Q7327" s="15"/>
      <c r="R7327" t="s" s="16">
        <f>HYPERLINK("http://secrets.rutgers.edu:8080/data/asl-ftp/asllvd/demos/verify_start_end_handshape_annotations//test_auto_move//signs_mov_separ_signers/Dana_1736.mov","MOV")</f>
        <v>21</v>
      </c>
    </row>
    <row r="7328" s="2" customFormat="1" ht="13.5" customHeight="1">
      <c r="B7328" t="s" s="8">
        <v>2559</v>
      </c>
      <c r="C7328" t="s" s="9">
        <v>14</v>
      </c>
      <c r="D7328" t="s" s="8">
        <v>14</v>
      </c>
      <c r="E7328" t="s" s="9">
        <v>14</v>
      </c>
      <c r="F7328" t="s" s="10">
        <v>14</v>
      </c>
      <c r="G7328" t="s" s="11">
        <v>14</v>
      </c>
      <c r="H7328" t="s" s="10">
        <v>14</v>
      </c>
      <c r="I7328" t="s" s="11">
        <v>14</v>
      </c>
      <c r="J7328" t="s" s="11">
        <v>14</v>
      </c>
      <c r="K7328" t="s" s="12">
        <v>14</v>
      </c>
      <c r="L7328" t="s" s="12">
        <v>14</v>
      </c>
      <c r="M7328" t="s" s="10">
        <v>14</v>
      </c>
      <c r="N7328" t="s" s="11">
        <v>14</v>
      </c>
      <c r="O7328" t="s" s="8">
        <v>14</v>
      </c>
      <c r="P7328" t="s" s="8">
        <v>14</v>
      </c>
      <c r="Q7328" t="s" s="12">
        <v>14</v>
      </c>
      <c r="R7328" t="s" s="12">
        <v>14</v>
      </c>
    </row>
    <row r="7329" s="2" customFormat="1" ht="13.5" customHeight="1">
      <c r="B7329" s="13"/>
      <c r="C7329" t="s" s="9">
        <v>16</v>
      </c>
      <c r="D7329" t="s" s="8">
        <v>2559</v>
      </c>
      <c r="E7329" t="s" s="9">
        <v>2559</v>
      </c>
      <c r="F7329" s="19">
        <v>1</v>
      </c>
      <c r="G7329" s="17">
        <v>1</v>
      </c>
      <c r="H7329" s="19">
        <v>1</v>
      </c>
      <c r="I7329" s="17">
        <v>1</v>
      </c>
      <c r="J7329" t="s" s="11">
        <v>20</v>
      </c>
      <c r="K7329" s="15"/>
      <c r="L7329" t="s" s="16">
        <f>HYPERLINK("http://csr.bu.edu/ftp/asl/asllvd/demos/verify_start_end_handshape_annotations//test_auto_move//signs_mov_separ_signers/Liz_1737.mov","MOV")</f>
        <v>21</v>
      </c>
      <c r="M7329" t="s" s="10">
        <v>88</v>
      </c>
      <c r="N7329" s="17">
        <v>26</v>
      </c>
      <c r="O7329" s="18">
        <v>3312</v>
      </c>
      <c r="P7329" s="18">
        <v>3360</v>
      </c>
      <c r="Q7329" s="15"/>
      <c r="R7329" t="s" s="16">
        <f>HYPERLINK("http://secrets.rutgers.edu:8080/data/asl-ftp/asllvd/demos/verify_start_end_handshape_annotations//test_auto_move//signs_mov_separ_signers/Liz_1737.mov","MOV")</f>
        <v>21</v>
      </c>
    </row>
    <row r="7330" s="2" customFormat="1" ht="13.5" customHeight="1">
      <c r="B7330" s="13"/>
      <c r="C7330" t="s" s="9">
        <v>30</v>
      </c>
      <c r="D7330" t="s" s="8">
        <v>2559</v>
      </c>
      <c r="E7330" t="s" s="9">
        <v>2559</v>
      </c>
      <c r="F7330" s="19">
        <v>1</v>
      </c>
      <c r="G7330" s="17">
        <v>1</v>
      </c>
      <c r="H7330" s="19">
        <v>1</v>
      </c>
      <c r="I7330" s="17">
        <v>1</v>
      </c>
      <c r="J7330" t="s" s="11">
        <v>20</v>
      </c>
      <c r="K7330" t="s" s="16">
        <f>HYPERLINK("http://csr.bu.edu/ftp/asl/asllvd/demos/verify_start_end_handshape_annotations//test_auto_move//signs_mov/1737.mov","MOV")</f>
        <v>21</v>
      </c>
      <c r="L7330" t="s" s="16">
        <f>HYPERLINK("http://csr.bu.edu/ftp/asl/asllvd/demos/verify_start_end_handshape_annotations//test_auto_move//signs_mov_separ_signers/Brady_1737.mov","MOV")</f>
        <v>21</v>
      </c>
      <c r="M7330" t="s" s="10">
        <v>40</v>
      </c>
      <c r="N7330" s="17">
        <v>22</v>
      </c>
      <c r="O7330" s="18">
        <v>429</v>
      </c>
      <c r="P7330" s="18">
        <v>456</v>
      </c>
      <c r="Q7330" t="s" s="16">
        <f>HYPERLINK("http://secrets.rutgers.edu:8080/data/asl-ftp/asllvd/demos/verify_start_end_handshape_annotations//test_auto_move//signs_mov/1737.mov","MOV")</f>
        <v>21</v>
      </c>
      <c r="R7330" t="s" s="16">
        <f>HYPERLINK("http://secrets.rutgers.edu:8080/data/asl-ftp/asllvd/demos/verify_start_end_handshape_annotations//test_auto_move//signs_mov_separ_signers/Brady_1737.mov","MOV")</f>
        <v>21</v>
      </c>
    </row>
    <row r="7331" s="2" customFormat="1" ht="13.5" customHeight="1">
      <c r="B7331" s="13"/>
      <c r="C7331" t="s" s="9">
        <v>41</v>
      </c>
      <c r="D7331" t="s" s="8">
        <v>2559</v>
      </c>
      <c r="E7331" t="s" s="9">
        <v>2559</v>
      </c>
      <c r="F7331" s="19">
        <v>1</v>
      </c>
      <c r="G7331" s="17">
        <v>1</v>
      </c>
      <c r="H7331" s="19">
        <v>1</v>
      </c>
      <c r="I7331" s="17">
        <v>1</v>
      </c>
      <c r="J7331" t="s" s="11">
        <v>20</v>
      </c>
      <c r="K7331" s="15"/>
      <c r="L7331" t="s" s="16">
        <f>HYPERLINK("http://csr.bu.edu/ftp/asl/asllvd/demos/verify_start_end_handshape_annotations//test_auto_move//signs_mov_separ_signers/Lana_1737.mov","MOV")</f>
        <v>21</v>
      </c>
      <c r="M7331" t="s" s="10">
        <v>42</v>
      </c>
      <c r="N7331" s="17">
        <v>20</v>
      </c>
      <c r="O7331" s="18">
        <v>236</v>
      </c>
      <c r="P7331" s="18">
        <v>263</v>
      </c>
      <c r="Q7331" s="15"/>
      <c r="R7331" t="s" s="16">
        <f>HYPERLINK("http://secrets.rutgers.edu:8080/data/asl-ftp/asllvd/demos/verify_start_end_handshape_annotations//test_auto_move//signs_mov_separ_signers/Lana_1737.mov","MOV")</f>
        <v>21</v>
      </c>
    </row>
    <row r="7332" s="2" customFormat="1" ht="13.5" customHeight="1">
      <c r="B7332" s="13"/>
      <c r="C7332" t="s" s="9">
        <v>43</v>
      </c>
      <c r="D7332" t="s" s="8">
        <v>2559</v>
      </c>
      <c r="E7332" t="s" s="9">
        <v>2559</v>
      </c>
      <c r="F7332" s="19">
        <v>1</v>
      </c>
      <c r="G7332" s="17">
        <v>1</v>
      </c>
      <c r="H7332" s="19">
        <v>1</v>
      </c>
      <c r="I7332" s="17">
        <v>1</v>
      </c>
      <c r="J7332" t="s" s="11">
        <v>20</v>
      </c>
      <c r="K7332" s="15"/>
      <c r="L7332" t="s" s="16">
        <f>HYPERLINK("http://csr.bu.edu/ftp/asl/asllvd/demos/verify_start_end_handshape_annotations//test_auto_move//signs_mov_separ_signers/Dana_1737.mov","MOV")</f>
        <v>21</v>
      </c>
      <c r="M7332" t="s" s="10">
        <v>44</v>
      </c>
      <c r="N7332" s="17">
        <v>22</v>
      </c>
      <c r="O7332" s="18">
        <v>164</v>
      </c>
      <c r="P7332" s="18">
        <v>207</v>
      </c>
      <c r="Q7332" s="15"/>
      <c r="R7332" t="s" s="16">
        <f>HYPERLINK("http://secrets.rutgers.edu:8080/data/asl-ftp/asllvd/demos/verify_start_end_handshape_annotations//test_auto_move//signs_mov_separ_signers/Dana_1737.mov","MOV")</f>
        <v>21</v>
      </c>
    </row>
    <row r="7333" s="2" customFormat="1" ht="13.5" customHeight="1">
      <c r="B7333" t="s" s="8">
        <v>2560</v>
      </c>
      <c r="C7333" t="s" s="9">
        <v>14</v>
      </c>
      <c r="D7333" t="s" s="8">
        <v>14</v>
      </c>
      <c r="E7333" t="s" s="9">
        <v>14</v>
      </c>
      <c r="F7333" t="s" s="10">
        <v>14</v>
      </c>
      <c r="G7333" t="s" s="11">
        <v>14</v>
      </c>
      <c r="H7333" t="s" s="10">
        <v>14</v>
      </c>
      <c r="I7333" t="s" s="11">
        <v>14</v>
      </c>
      <c r="J7333" t="s" s="11">
        <v>14</v>
      </c>
      <c r="K7333" t="s" s="12">
        <v>14</v>
      </c>
      <c r="L7333" t="s" s="12">
        <v>14</v>
      </c>
      <c r="M7333" t="s" s="10">
        <v>14</v>
      </c>
      <c r="N7333" t="s" s="11">
        <v>14</v>
      </c>
      <c r="O7333" t="s" s="8">
        <v>14</v>
      </c>
      <c r="P7333" t="s" s="8">
        <v>14</v>
      </c>
      <c r="Q7333" t="s" s="12">
        <v>14</v>
      </c>
      <c r="R7333" t="s" s="12">
        <v>14</v>
      </c>
    </row>
    <row r="7334" s="2" customFormat="1" ht="13.5" customHeight="1">
      <c r="B7334" s="13"/>
      <c r="C7334" t="s" s="9">
        <v>16</v>
      </c>
      <c r="D7334" t="s" s="8">
        <v>2560</v>
      </c>
      <c r="E7334" t="s" s="9">
        <v>2561</v>
      </c>
      <c r="F7334" s="19">
        <v>1</v>
      </c>
      <c r="G7334" t="s" s="11">
        <v>268</v>
      </c>
      <c r="H7334" s="19">
        <v>1</v>
      </c>
      <c r="I7334" t="s" s="11">
        <v>268</v>
      </c>
      <c r="J7334" t="s" s="11">
        <v>20</v>
      </c>
      <c r="K7334" t="s" s="16">
        <f>HYPERLINK("http://csr.bu.edu/ftp/asl/asllvd/demos/verify_start_end_handshape_annotations//test_auto_move//signs_mov/16037.mov","MOV")</f>
        <v>21</v>
      </c>
      <c r="L7334" t="s" s="16">
        <f>HYPERLINK("http://csr.bu.edu/ftp/asl/asllvd/demos/verify_start_end_handshape_annotations//test_auto_move//signs_mov_separ_signers/Liz_16037.mov","MOV")</f>
        <v>21</v>
      </c>
      <c r="M7334" t="s" s="10">
        <v>36</v>
      </c>
      <c r="N7334" s="17">
        <v>50</v>
      </c>
      <c r="O7334" s="18">
        <v>1074</v>
      </c>
      <c r="P7334" s="18">
        <v>1162</v>
      </c>
      <c r="Q7334" t="s" s="16">
        <f>HYPERLINK("http://secrets.rutgers.edu:8080/data/asl-ftp/asllvd/demos/verify_start_end_handshape_annotations//test_auto_move//signs_mov/16037.mov","MOV")</f>
        <v>21</v>
      </c>
      <c r="R7334" t="s" s="16">
        <f>HYPERLINK("http://secrets.rutgers.edu:8080/data/asl-ftp/asllvd/demos/verify_start_end_handshape_annotations//test_auto_move//signs_mov_separ_signers/Liz_16037.mov","MOV")</f>
        <v>21</v>
      </c>
    </row>
    <row r="7335" s="2" customFormat="1" ht="13.5" customHeight="1">
      <c r="B7335" s="13"/>
      <c r="C7335" t="s" s="9">
        <v>30</v>
      </c>
      <c r="D7335" t="s" s="8">
        <v>2560</v>
      </c>
      <c r="E7335" t="s" s="9">
        <v>2561</v>
      </c>
      <c r="F7335" s="19">
        <v>1</v>
      </c>
      <c r="G7335" s="17">
        <v>1</v>
      </c>
      <c r="H7335" t="s" s="10">
        <v>268</v>
      </c>
      <c r="I7335" t="s" s="11">
        <v>268</v>
      </c>
      <c r="J7335" t="s" s="11">
        <v>20</v>
      </c>
      <c r="K7335" s="15"/>
      <c r="L7335" t="s" s="16">
        <f>HYPERLINK("http://csr.bu.edu/ftp/asl/asllvd/demos/verify_start_end_handshape_annotations//test_auto_move//signs_mov_separ_signers/Brady_16037.mov","MOV")</f>
        <v>21</v>
      </c>
      <c r="M7335" t="s" s="10">
        <v>40</v>
      </c>
      <c r="N7335" s="17">
        <v>101</v>
      </c>
      <c r="O7335" s="18">
        <v>2262</v>
      </c>
      <c r="P7335" s="18">
        <v>2347</v>
      </c>
      <c r="Q7335" s="15"/>
      <c r="R7335" t="s" s="16">
        <f>HYPERLINK("http://secrets.rutgers.edu:8080/data/asl-ftp/asllvd/demos/verify_start_end_handshape_annotations//test_auto_move//signs_mov_separ_signers/Brady_16037.mov","MOV")</f>
        <v>21</v>
      </c>
    </row>
    <row r="7336" s="2" customFormat="1" ht="13.5" customHeight="1">
      <c r="B7336" t="s" s="8">
        <v>2562</v>
      </c>
      <c r="C7336" t="s" s="9">
        <v>14</v>
      </c>
      <c r="D7336" t="s" s="8">
        <v>14</v>
      </c>
      <c r="E7336" t="s" s="9">
        <v>14</v>
      </c>
      <c r="F7336" t="s" s="10">
        <v>14</v>
      </c>
      <c r="G7336" t="s" s="11">
        <v>14</v>
      </c>
      <c r="H7336" t="s" s="10">
        <v>14</v>
      </c>
      <c r="I7336" t="s" s="11">
        <v>14</v>
      </c>
      <c r="J7336" t="s" s="11">
        <v>14</v>
      </c>
      <c r="K7336" t="s" s="12">
        <v>14</v>
      </c>
      <c r="L7336" t="s" s="12">
        <v>14</v>
      </c>
      <c r="M7336" t="s" s="10">
        <v>14</v>
      </c>
      <c r="N7336" t="s" s="11">
        <v>14</v>
      </c>
      <c r="O7336" t="s" s="8">
        <v>14</v>
      </c>
      <c r="P7336" t="s" s="8">
        <v>14</v>
      </c>
      <c r="Q7336" t="s" s="12">
        <v>14</v>
      </c>
      <c r="R7336" t="s" s="12">
        <v>14</v>
      </c>
    </row>
    <row r="7337" s="2" customFormat="1" ht="13.5" customHeight="1">
      <c r="B7337" s="13"/>
      <c r="C7337" t="s" s="9">
        <v>16</v>
      </c>
      <c r="D7337" t="s" s="8">
        <v>2562</v>
      </c>
      <c r="E7337" t="s" s="9">
        <v>2563</v>
      </c>
      <c r="F7337" t="s" s="10">
        <v>185</v>
      </c>
      <c r="G7337" s="14"/>
      <c r="H7337" t="s" s="10">
        <v>68</v>
      </c>
      <c r="I7337" s="14"/>
      <c r="J7337" t="s" s="11">
        <v>20</v>
      </c>
      <c r="K7337" s="15"/>
      <c r="L7337" t="s" s="16">
        <f>HYPERLINK("http://csr.bu.edu/ftp/asl/asllvd/demos/verify_start_end_handshape_annotations//test_auto_move//signs_mov_separ_signers/Liz_1742.mov","MOV")</f>
        <v>21</v>
      </c>
      <c r="M7337" t="s" s="10">
        <v>88</v>
      </c>
      <c r="N7337" s="17">
        <v>27</v>
      </c>
      <c r="O7337" s="18">
        <v>707</v>
      </c>
      <c r="P7337" s="18">
        <v>750</v>
      </c>
      <c r="Q7337" s="15"/>
      <c r="R7337" t="s" s="16">
        <f>HYPERLINK("http://secrets.rutgers.edu:8080/data/asl-ftp/asllvd/demos/verify_start_end_handshape_annotations//test_auto_move//signs_mov_separ_signers/Liz_1742.mov","MOV")</f>
        <v>21</v>
      </c>
    </row>
    <row r="7338" s="2" customFormat="1" ht="13.5" customHeight="1">
      <c r="B7338" s="13"/>
      <c r="C7338" t="s" s="9">
        <v>30</v>
      </c>
      <c r="D7338" t="s" s="8">
        <v>2562</v>
      </c>
      <c r="E7338" t="s" s="9">
        <v>2563</v>
      </c>
      <c r="F7338" t="s" s="10">
        <v>185</v>
      </c>
      <c r="G7338" s="14"/>
      <c r="H7338" t="s" s="10">
        <v>68</v>
      </c>
      <c r="I7338" s="14"/>
      <c r="J7338" t="s" s="11">
        <v>20</v>
      </c>
      <c r="K7338" t="s" s="16">
        <f>HYPERLINK("http://csr.bu.edu/ftp/asl/asllvd/demos/verify_start_end_handshape_annotations//test_auto_move//signs_mov/1742.mov","MOV")</f>
        <v>21</v>
      </c>
      <c r="L7338" t="s" s="16">
        <f>HYPERLINK("http://csr.bu.edu/ftp/asl/asllvd/demos/verify_start_end_handshape_annotations//test_auto_move//signs_mov_separ_signers/Brady_1742.mov","MOV")</f>
        <v>21</v>
      </c>
      <c r="M7338" t="s" s="10">
        <v>40</v>
      </c>
      <c r="N7338" s="17">
        <v>22</v>
      </c>
      <c r="O7338" s="18">
        <v>1567</v>
      </c>
      <c r="P7338" s="18">
        <v>1602</v>
      </c>
      <c r="Q7338" t="s" s="16">
        <f>HYPERLINK("http://secrets.rutgers.edu:8080/data/asl-ftp/asllvd/demos/verify_start_end_handshape_annotations//test_auto_move//signs_mov/1742.mov","MOV")</f>
        <v>21</v>
      </c>
      <c r="R7338" t="s" s="16">
        <f>HYPERLINK("http://secrets.rutgers.edu:8080/data/asl-ftp/asllvd/demos/verify_start_end_handshape_annotations//test_auto_move//signs_mov_separ_signers/Brady_1742.mov","MOV")</f>
        <v>21</v>
      </c>
    </row>
    <row r="7339" s="2" customFormat="1" ht="13.5" customHeight="1">
      <c r="B7339" s="13"/>
      <c r="C7339" t="s" s="9">
        <v>41</v>
      </c>
      <c r="D7339" t="s" s="8">
        <v>2562</v>
      </c>
      <c r="E7339" t="s" s="9">
        <v>2563</v>
      </c>
      <c r="F7339" t="s" s="10">
        <v>185</v>
      </c>
      <c r="G7339" s="14"/>
      <c r="H7339" t="s" s="10">
        <v>68</v>
      </c>
      <c r="I7339" s="14"/>
      <c r="J7339" t="s" s="11">
        <v>20</v>
      </c>
      <c r="K7339" s="15"/>
      <c r="L7339" t="s" s="16">
        <f>HYPERLINK("http://csr.bu.edu/ftp/asl/asllvd/demos/verify_start_end_handshape_annotations//test_auto_move//signs_mov_separ_signers/Lana_1742.mov","MOV")</f>
        <v>21</v>
      </c>
      <c r="M7339" t="s" s="10">
        <v>42</v>
      </c>
      <c r="N7339" s="17">
        <v>20</v>
      </c>
      <c r="O7339" s="18">
        <v>1718</v>
      </c>
      <c r="P7339" s="18">
        <v>1738</v>
      </c>
      <c r="Q7339" s="15"/>
      <c r="R7339" t="s" s="16">
        <f>HYPERLINK("http://secrets.rutgers.edu:8080/data/asl-ftp/asllvd/demos/verify_start_end_handshape_annotations//test_auto_move//signs_mov_separ_signers/Lana_1742.mov","MOV")</f>
        <v>21</v>
      </c>
    </row>
    <row r="7340" s="2" customFormat="1" ht="13.5" customHeight="1">
      <c r="B7340" s="13"/>
      <c r="C7340" t="s" s="9">
        <v>43</v>
      </c>
      <c r="D7340" t="s" s="8">
        <v>2562</v>
      </c>
      <c r="E7340" t="s" s="9">
        <v>2563</v>
      </c>
      <c r="F7340" t="s" s="10">
        <v>185</v>
      </c>
      <c r="G7340" s="14"/>
      <c r="H7340" t="s" s="10">
        <v>68</v>
      </c>
      <c r="I7340" s="14"/>
      <c r="J7340" t="s" s="11">
        <v>20</v>
      </c>
      <c r="K7340" s="15"/>
      <c r="L7340" t="s" s="16">
        <f>HYPERLINK("http://csr.bu.edu/ftp/asl/asllvd/demos/verify_start_end_handshape_annotations//test_auto_move//signs_mov_separ_signers/Dana_1742.mov","MOV")</f>
        <v>21</v>
      </c>
      <c r="M7340" t="s" s="10">
        <v>44</v>
      </c>
      <c r="N7340" s="17">
        <v>22</v>
      </c>
      <c r="O7340" s="18">
        <v>1671</v>
      </c>
      <c r="P7340" s="18">
        <v>1718</v>
      </c>
      <c r="Q7340" s="15"/>
      <c r="R7340" t="s" s="16">
        <f>HYPERLINK("http://secrets.rutgers.edu:8080/data/asl-ftp/asllvd/demos/verify_start_end_handshape_annotations//test_auto_move//signs_mov_separ_signers/Dana_1742.mov","MOV")</f>
        <v>21</v>
      </c>
    </row>
    <row r="7341" s="2" customFormat="1" ht="13.5" customHeight="1">
      <c r="B7341" t="s" s="8">
        <v>2564</v>
      </c>
      <c r="C7341" t="s" s="9">
        <v>14</v>
      </c>
      <c r="D7341" t="s" s="8">
        <v>14</v>
      </c>
      <c r="E7341" t="s" s="9">
        <v>14</v>
      </c>
      <c r="F7341" t="s" s="10">
        <v>14</v>
      </c>
      <c r="G7341" t="s" s="11">
        <v>14</v>
      </c>
      <c r="H7341" t="s" s="10">
        <v>14</v>
      </c>
      <c r="I7341" t="s" s="11">
        <v>14</v>
      </c>
      <c r="J7341" t="s" s="11">
        <v>14</v>
      </c>
      <c r="K7341" t="s" s="12">
        <v>14</v>
      </c>
      <c r="L7341" t="s" s="12">
        <v>14</v>
      </c>
      <c r="M7341" t="s" s="10">
        <v>14</v>
      </c>
      <c r="N7341" t="s" s="11">
        <v>14</v>
      </c>
      <c r="O7341" t="s" s="8">
        <v>14</v>
      </c>
      <c r="P7341" t="s" s="8">
        <v>14</v>
      </c>
      <c r="Q7341" t="s" s="12">
        <v>14</v>
      </c>
      <c r="R7341" t="s" s="12">
        <v>14</v>
      </c>
    </row>
    <row r="7342" s="2" customFormat="1" ht="13.5" customHeight="1">
      <c r="B7342" s="13"/>
      <c r="C7342" t="s" s="9">
        <v>16</v>
      </c>
      <c r="D7342" t="s" s="8">
        <v>2564</v>
      </c>
      <c r="E7342" t="s" s="9">
        <v>2564</v>
      </c>
      <c r="F7342" t="s" s="10">
        <v>282</v>
      </c>
      <c r="G7342" t="s" s="11">
        <v>73</v>
      </c>
      <c r="H7342" t="s" s="10">
        <v>282</v>
      </c>
      <c r="I7342" t="s" s="11">
        <v>73</v>
      </c>
      <c r="J7342" t="s" s="11">
        <v>20</v>
      </c>
      <c r="K7342" t="s" s="16">
        <f>HYPERLINK("http://csr.bu.edu/ftp/asl/asllvd/demos/verify_start_end_handshape_annotations//test_auto_move//signs_mov/1748.mov","MOV")</f>
        <v>21</v>
      </c>
      <c r="L7342" t="s" s="16">
        <f>HYPERLINK("http://csr.bu.edu/ftp/asl/asllvd/demos/verify_start_end_handshape_annotations//test_auto_move//signs_mov_separ_signers/Liz_1748.mov","MOV")</f>
        <v>21</v>
      </c>
      <c r="M7342" t="s" s="10">
        <v>88</v>
      </c>
      <c r="N7342" s="17">
        <v>27</v>
      </c>
      <c r="O7342" s="18">
        <v>4090</v>
      </c>
      <c r="P7342" s="18">
        <v>4125</v>
      </c>
      <c r="Q7342" t="s" s="16">
        <f>HYPERLINK("http://secrets.rutgers.edu:8080/data/asl-ftp/asllvd/demos/verify_start_end_handshape_annotations//test_auto_move//signs_mov/1748.mov","MOV")</f>
        <v>21</v>
      </c>
      <c r="R7342" t="s" s="16">
        <f>HYPERLINK("http://secrets.rutgers.edu:8080/data/asl-ftp/asllvd/demos/verify_start_end_handshape_annotations//test_auto_move//signs_mov_separ_signers/Liz_1748.mov","MOV")</f>
        <v>21</v>
      </c>
    </row>
    <row r="7343" s="2" customFormat="1" ht="13.5" customHeight="1">
      <c r="B7343" s="13"/>
      <c r="C7343" t="s" s="9">
        <v>30</v>
      </c>
      <c r="D7343" t="s" s="8">
        <v>2564</v>
      </c>
      <c r="E7343" t="s" s="9">
        <v>2564</v>
      </c>
      <c r="F7343" t="s" s="10">
        <v>282</v>
      </c>
      <c r="G7343" t="s" s="11">
        <v>73</v>
      </c>
      <c r="H7343" t="s" s="10">
        <v>282</v>
      </c>
      <c r="I7343" t="s" s="11">
        <v>73</v>
      </c>
      <c r="J7343" t="s" s="11">
        <v>20</v>
      </c>
      <c r="K7343" s="15"/>
      <c r="L7343" t="s" s="16">
        <f>HYPERLINK("http://csr.bu.edu/ftp/asl/asllvd/demos/verify_start_end_handshape_annotations//test_auto_move//signs_mov_separ_signers/Brady_1748.mov","MOV")</f>
        <v>21</v>
      </c>
      <c r="M7343" t="s" s="10">
        <v>40</v>
      </c>
      <c r="N7343" s="17">
        <v>23</v>
      </c>
      <c r="O7343" s="18">
        <v>1583</v>
      </c>
      <c r="P7343" s="18">
        <v>1608</v>
      </c>
      <c r="Q7343" s="15"/>
      <c r="R7343" t="s" s="16">
        <f>HYPERLINK("http://secrets.rutgers.edu:8080/data/asl-ftp/asllvd/demos/verify_start_end_handshape_annotations//test_auto_move//signs_mov_separ_signers/Brady_1748.mov","MOV")</f>
        <v>21</v>
      </c>
    </row>
    <row r="7344" s="2" customFormat="1" ht="13.5" customHeight="1">
      <c r="B7344" t="s" s="8">
        <v>2565</v>
      </c>
      <c r="C7344" t="s" s="9">
        <v>14</v>
      </c>
      <c r="D7344" t="s" s="8">
        <v>14</v>
      </c>
      <c r="E7344" t="s" s="9">
        <v>14</v>
      </c>
      <c r="F7344" t="s" s="10">
        <v>14</v>
      </c>
      <c r="G7344" t="s" s="11">
        <v>14</v>
      </c>
      <c r="H7344" t="s" s="10">
        <v>14</v>
      </c>
      <c r="I7344" t="s" s="11">
        <v>14</v>
      </c>
      <c r="J7344" t="s" s="11">
        <v>14</v>
      </c>
      <c r="K7344" t="s" s="12">
        <v>14</v>
      </c>
      <c r="L7344" t="s" s="12">
        <v>14</v>
      </c>
      <c r="M7344" t="s" s="10">
        <v>14</v>
      </c>
      <c r="N7344" t="s" s="11">
        <v>14</v>
      </c>
      <c r="O7344" t="s" s="8">
        <v>14</v>
      </c>
      <c r="P7344" t="s" s="8">
        <v>14</v>
      </c>
      <c r="Q7344" t="s" s="12">
        <v>14</v>
      </c>
      <c r="R7344" t="s" s="12">
        <v>14</v>
      </c>
    </row>
    <row r="7345" s="2" customFormat="1" ht="13.5" customHeight="1">
      <c r="B7345" s="13"/>
      <c r="C7345" t="s" s="9">
        <v>16</v>
      </c>
      <c r="D7345" t="s" s="8">
        <v>2565</v>
      </c>
      <c r="E7345" t="s" s="9">
        <v>2565</v>
      </c>
      <c r="F7345" t="s" s="10">
        <v>1352</v>
      </c>
      <c r="G7345" t="s" s="11">
        <v>1352</v>
      </c>
      <c r="H7345" t="s" s="10">
        <v>119</v>
      </c>
      <c r="I7345" t="s" s="11">
        <v>119</v>
      </c>
      <c r="J7345" t="s" s="11">
        <v>20</v>
      </c>
      <c r="K7345" s="15"/>
      <c r="L7345" t="s" s="16">
        <f>HYPERLINK("http://csr.bu.edu/ftp/asl/asllvd/demos/verify_start_end_handshape_annotations//test_auto_move//signs_mov_separ_signers/Liz_1752.mov","MOV")</f>
        <v>21</v>
      </c>
      <c r="M7345" t="s" s="10">
        <v>88</v>
      </c>
      <c r="N7345" s="17">
        <v>28</v>
      </c>
      <c r="O7345" s="18">
        <v>685</v>
      </c>
      <c r="P7345" s="18">
        <v>710</v>
      </c>
      <c r="Q7345" s="15"/>
      <c r="R7345" t="s" s="16">
        <f>HYPERLINK("http://secrets.rutgers.edu:8080/data/asl-ftp/asllvd/demos/verify_start_end_handshape_annotations//test_auto_move//signs_mov_separ_signers/Liz_1752.mov","MOV")</f>
        <v>21</v>
      </c>
    </row>
    <row r="7346" s="2" customFormat="1" ht="13.5" customHeight="1">
      <c r="B7346" s="13"/>
      <c r="C7346" t="s" s="9">
        <v>16</v>
      </c>
      <c r="D7346" t="s" s="8">
        <v>2565</v>
      </c>
      <c r="E7346" t="s" s="9">
        <v>2566</v>
      </c>
      <c r="F7346" s="19">
        <v>5</v>
      </c>
      <c r="G7346" s="17">
        <v>5</v>
      </c>
      <c r="H7346" t="s" s="10">
        <v>119</v>
      </c>
      <c r="I7346" t="s" s="11">
        <v>119</v>
      </c>
      <c r="J7346" t="s" s="11">
        <v>20</v>
      </c>
      <c r="K7346" t="s" s="16">
        <f>HYPERLINK("http://csr.bu.edu/ftp/asl/asllvd/demos/verify_start_end_handshape_annotations//test_auto_move//signs_mov/1752_3708_merged.mov","MOV")</f>
        <v>21</v>
      </c>
      <c r="L7346" t="s" s="16">
        <f>HYPERLINK("http://csr.bu.edu/ftp/asl/asllvd/demos/verify_start_end_handshape_annotations//test_auto_move//signs_mov_separ_signers/Liz_3708.mov","MOV")</f>
        <v>21</v>
      </c>
      <c r="M7346" t="s" s="10">
        <v>88</v>
      </c>
      <c r="N7346" s="17">
        <v>28</v>
      </c>
      <c r="O7346" s="18">
        <v>885</v>
      </c>
      <c r="P7346" s="18">
        <v>926</v>
      </c>
      <c r="Q7346" t="s" s="16">
        <f>HYPERLINK("http://secrets.rutgers.edu:8080/data/asl-ftp/asllvd/demos/verify_start_end_handshape_annotations//test_auto_move//signs_mov/1752_3708_merged.mov","MOV")</f>
        <v>21</v>
      </c>
      <c r="R7346" t="s" s="16">
        <f>HYPERLINK("http://secrets.rutgers.edu:8080/data/asl-ftp/asllvd/demos/verify_start_end_handshape_annotations//test_auto_move//signs_mov_separ_signers/Liz_3708.mov","MOV")</f>
        <v>21</v>
      </c>
    </row>
    <row r="7347" s="2" customFormat="1" ht="13.5" customHeight="1">
      <c r="B7347" s="13"/>
      <c r="C7347" t="s" s="9">
        <v>30</v>
      </c>
      <c r="D7347" t="s" s="8">
        <v>2565</v>
      </c>
      <c r="E7347" t="s" s="9">
        <v>2565</v>
      </c>
      <c r="F7347" t="s" s="10">
        <v>1352</v>
      </c>
      <c r="G7347" t="s" s="11">
        <v>1352</v>
      </c>
      <c r="H7347" t="s" s="10">
        <v>119</v>
      </c>
      <c r="I7347" t="s" s="11">
        <v>1352</v>
      </c>
      <c r="J7347" t="s" s="11">
        <v>20</v>
      </c>
      <c r="K7347" s="15"/>
      <c r="L7347" t="s" s="16">
        <f>HYPERLINK("http://csr.bu.edu/ftp/asl/asllvd/demos/verify_start_end_handshape_annotations//test_auto_move//signs_mov_separ_signers/Brady_1752.mov","MOV")</f>
        <v>21</v>
      </c>
      <c r="M7347" t="s" s="10">
        <v>40</v>
      </c>
      <c r="N7347" s="17">
        <v>23</v>
      </c>
      <c r="O7347" s="18">
        <v>2650</v>
      </c>
      <c r="P7347" s="18">
        <v>2664</v>
      </c>
      <c r="Q7347" s="15"/>
      <c r="R7347" t="s" s="16">
        <f>HYPERLINK("http://secrets.rutgers.edu:8080/data/asl-ftp/asllvd/demos/verify_start_end_handshape_annotations//test_auto_move//signs_mov_separ_signers/Brady_1752.mov","MOV")</f>
        <v>21</v>
      </c>
    </row>
    <row r="7348" s="2" customFormat="1" ht="13.5" customHeight="1">
      <c r="B7348" t="s" s="8">
        <v>2567</v>
      </c>
      <c r="C7348" t="s" s="9">
        <v>14</v>
      </c>
      <c r="D7348" t="s" s="8">
        <v>14</v>
      </c>
      <c r="E7348" t="s" s="9">
        <v>14</v>
      </c>
      <c r="F7348" t="s" s="10">
        <v>14</v>
      </c>
      <c r="G7348" t="s" s="11">
        <v>14</v>
      </c>
      <c r="H7348" t="s" s="10">
        <v>14</v>
      </c>
      <c r="I7348" t="s" s="11">
        <v>14</v>
      </c>
      <c r="J7348" t="s" s="11">
        <v>14</v>
      </c>
      <c r="K7348" t="s" s="12">
        <v>14</v>
      </c>
      <c r="L7348" t="s" s="12">
        <v>14</v>
      </c>
      <c r="M7348" t="s" s="10">
        <v>14</v>
      </c>
      <c r="N7348" t="s" s="11">
        <v>14</v>
      </c>
      <c r="O7348" t="s" s="8">
        <v>14</v>
      </c>
      <c r="P7348" t="s" s="8">
        <v>14</v>
      </c>
      <c r="Q7348" t="s" s="12">
        <v>14</v>
      </c>
      <c r="R7348" t="s" s="12">
        <v>14</v>
      </c>
    </row>
    <row r="7349" s="2" customFormat="1" ht="13.5" customHeight="1">
      <c r="B7349" s="13"/>
      <c r="C7349" t="s" s="9">
        <v>30</v>
      </c>
      <c r="D7349" t="s" s="8">
        <v>2567</v>
      </c>
      <c r="E7349" t="s" s="9">
        <v>2568</v>
      </c>
      <c r="F7349" t="s" s="10">
        <v>1352</v>
      </c>
      <c r="G7349" s="14"/>
      <c r="H7349" t="s" s="10">
        <v>119</v>
      </c>
      <c r="I7349" s="14"/>
      <c r="J7349" t="s" s="11">
        <v>20</v>
      </c>
      <c r="K7349" t="s" s="16">
        <f>HYPERLINK("http://csr.bu.edu/ftp/asl/asllvd/demos/verify_start_end_handshape_annotations//test_auto_move//signs_mov/4566.mov","MOV")</f>
        <v>21</v>
      </c>
      <c r="L7349" t="s" s="16">
        <f>HYPERLINK("http://csr.bu.edu/ftp/asl/asllvd/demos/verify_start_end_handshape_annotations//test_auto_move//signs_mov_separ_signers/Brady_4566.mov","MOV")</f>
        <v>21</v>
      </c>
      <c r="M7349" t="s" s="10">
        <v>40</v>
      </c>
      <c r="N7349" s="17">
        <v>23</v>
      </c>
      <c r="O7349" s="18">
        <v>2914</v>
      </c>
      <c r="P7349" s="18">
        <v>2944</v>
      </c>
      <c r="Q7349" t="s" s="16">
        <f>HYPERLINK("http://secrets.rutgers.edu:8080/data/asl-ftp/asllvd/demos/verify_start_end_handshape_annotations//test_auto_move//signs_mov/4566.mov","MOV")</f>
        <v>21</v>
      </c>
      <c r="R7349" t="s" s="16">
        <f>HYPERLINK("http://secrets.rutgers.edu:8080/data/asl-ftp/asllvd/demos/verify_start_end_handshape_annotations//test_auto_move//signs_mov_separ_signers/Brady_4566.mov","MOV")</f>
        <v>21</v>
      </c>
    </row>
    <row r="7350" s="2" customFormat="1" ht="13.5" customHeight="1">
      <c r="B7350" s="13"/>
      <c r="C7350" t="s" s="9">
        <v>41</v>
      </c>
      <c r="D7350" t="s" s="8">
        <v>2567</v>
      </c>
      <c r="E7350" t="s" s="9">
        <v>2567</v>
      </c>
      <c r="F7350" s="19">
        <v>5</v>
      </c>
      <c r="G7350" s="14"/>
      <c r="H7350" t="s" s="10">
        <v>119</v>
      </c>
      <c r="I7350" s="14"/>
      <c r="J7350" t="s" s="11">
        <v>20</v>
      </c>
      <c r="K7350" s="15"/>
      <c r="L7350" t="s" s="16">
        <f>HYPERLINK("http://csr.bu.edu/ftp/asl/asllvd/demos/verify_start_end_handshape_annotations//test_auto_move//signs_mov_separ_signers/Lana_4566.mov","MOV")</f>
        <v>21</v>
      </c>
      <c r="M7350" t="s" s="10">
        <v>245</v>
      </c>
      <c r="N7350" s="17">
        <v>22</v>
      </c>
      <c r="O7350" s="18">
        <v>2283</v>
      </c>
      <c r="P7350" s="18">
        <v>2325</v>
      </c>
      <c r="Q7350" s="15"/>
      <c r="R7350" t="s" s="16">
        <f>HYPERLINK("http://secrets.rutgers.edu:8080/data/asl-ftp/asllvd/demos/verify_start_end_handshape_annotations//test_auto_move//signs_mov_separ_signers/Lana_4566.mov","MOV")</f>
        <v>21</v>
      </c>
    </row>
    <row r="7351" s="2" customFormat="1" ht="13.5" customHeight="1">
      <c r="B7351" t="s" s="8">
        <v>2569</v>
      </c>
      <c r="C7351" t="s" s="9">
        <v>14</v>
      </c>
      <c r="D7351" t="s" s="8">
        <v>14</v>
      </c>
      <c r="E7351" t="s" s="9">
        <v>14</v>
      </c>
      <c r="F7351" t="s" s="10">
        <v>14</v>
      </c>
      <c r="G7351" t="s" s="11">
        <v>14</v>
      </c>
      <c r="H7351" t="s" s="10">
        <v>14</v>
      </c>
      <c r="I7351" t="s" s="11">
        <v>14</v>
      </c>
      <c r="J7351" t="s" s="11">
        <v>14</v>
      </c>
      <c r="K7351" t="s" s="12">
        <v>14</v>
      </c>
      <c r="L7351" t="s" s="12">
        <v>14</v>
      </c>
      <c r="M7351" t="s" s="10">
        <v>14</v>
      </c>
      <c r="N7351" t="s" s="11">
        <v>14</v>
      </c>
      <c r="O7351" t="s" s="8">
        <v>14</v>
      </c>
      <c r="P7351" t="s" s="8">
        <v>14</v>
      </c>
      <c r="Q7351" t="s" s="12">
        <v>14</v>
      </c>
      <c r="R7351" t="s" s="12">
        <v>14</v>
      </c>
    </row>
    <row r="7352" s="2" customFormat="1" ht="13.5" customHeight="1">
      <c r="B7352" s="13"/>
      <c r="C7352" t="s" s="9">
        <v>16</v>
      </c>
      <c r="D7352" t="s" s="8">
        <v>2569</v>
      </c>
      <c r="E7352" t="s" s="9">
        <v>2569</v>
      </c>
      <c r="F7352" t="s" s="10">
        <v>260</v>
      </c>
      <c r="G7352" t="s" s="11">
        <v>73</v>
      </c>
      <c r="H7352" s="19">
        <v>5</v>
      </c>
      <c r="I7352" t="s" s="11">
        <v>73</v>
      </c>
      <c r="J7352" t="s" s="11">
        <v>20</v>
      </c>
      <c r="K7352" t="s" s="16">
        <f>HYPERLINK("http://csr.bu.edu/ftp/asl/asllvd/demos/verify_start_end_handshape_annotations//test_auto_move//signs_mov/1755.mov","MOV")</f>
        <v>21</v>
      </c>
      <c r="L7352" t="s" s="16">
        <f>HYPERLINK("http://csr.bu.edu/ftp/asl/asllvd/demos/verify_start_end_handshape_annotations//test_auto_move//signs_mov_separ_signers/Liz_1755.mov","MOV")</f>
        <v>21</v>
      </c>
      <c r="M7352" t="s" s="10">
        <v>88</v>
      </c>
      <c r="N7352" s="17">
        <v>28</v>
      </c>
      <c r="O7352" s="18">
        <v>1742</v>
      </c>
      <c r="P7352" s="18">
        <v>1807</v>
      </c>
      <c r="Q7352" t="s" s="16">
        <f>HYPERLINK("http://secrets.rutgers.edu:8080/data/asl-ftp/asllvd/demos/verify_start_end_handshape_annotations//test_auto_move//signs_mov/1755.mov","MOV")</f>
        <v>21</v>
      </c>
      <c r="R7352" t="s" s="16">
        <f>HYPERLINK("http://secrets.rutgers.edu:8080/data/asl-ftp/asllvd/demos/verify_start_end_handshape_annotations//test_auto_move//signs_mov_separ_signers/Liz_1755.mov","MOV")</f>
        <v>21</v>
      </c>
    </row>
    <row r="7353" s="2" customFormat="1" ht="13.5" customHeight="1">
      <c r="B7353" s="13"/>
      <c r="C7353" t="s" s="9">
        <v>30</v>
      </c>
      <c r="D7353" t="s" s="8">
        <v>2569</v>
      </c>
      <c r="E7353" t="s" s="9">
        <v>2569</v>
      </c>
      <c r="F7353" s="19">
        <v>5</v>
      </c>
      <c r="G7353" t="s" s="11">
        <v>73</v>
      </c>
      <c r="H7353" s="19">
        <v>5</v>
      </c>
      <c r="I7353" t="s" s="11">
        <v>73</v>
      </c>
      <c r="J7353" t="s" s="11">
        <v>20</v>
      </c>
      <c r="K7353" s="15"/>
      <c r="L7353" t="s" s="16">
        <f>HYPERLINK("http://csr.bu.edu/ftp/asl/asllvd/demos/verify_start_end_handshape_annotations//test_auto_move//signs_mov_separ_signers/Brady_1755.mov","MOV")</f>
        <v>21</v>
      </c>
      <c r="M7353" t="s" s="10">
        <v>40</v>
      </c>
      <c r="N7353" s="17">
        <v>23</v>
      </c>
      <c r="O7353" s="18">
        <v>4134</v>
      </c>
      <c r="P7353" s="18">
        <v>4182</v>
      </c>
      <c r="Q7353" s="15"/>
      <c r="R7353" t="s" s="16">
        <f>HYPERLINK("http://secrets.rutgers.edu:8080/data/asl-ftp/asllvd/demos/verify_start_end_handshape_annotations//test_auto_move//signs_mov_separ_signers/Brady_1755.mov","MOV")</f>
        <v>21</v>
      </c>
    </row>
    <row r="7354" s="2" customFormat="1" ht="13.5" customHeight="1">
      <c r="B7354" t="s" s="8">
        <v>2570</v>
      </c>
      <c r="C7354" t="s" s="9">
        <v>14</v>
      </c>
      <c r="D7354" t="s" s="8">
        <v>14</v>
      </c>
      <c r="E7354" t="s" s="9">
        <v>14</v>
      </c>
      <c r="F7354" t="s" s="10">
        <v>14</v>
      </c>
      <c r="G7354" t="s" s="11">
        <v>14</v>
      </c>
      <c r="H7354" t="s" s="10">
        <v>14</v>
      </c>
      <c r="I7354" t="s" s="11">
        <v>14</v>
      </c>
      <c r="J7354" t="s" s="11">
        <v>14</v>
      </c>
      <c r="K7354" t="s" s="12">
        <v>14</v>
      </c>
      <c r="L7354" t="s" s="12">
        <v>14</v>
      </c>
      <c r="M7354" t="s" s="10">
        <v>14</v>
      </c>
      <c r="N7354" t="s" s="11">
        <v>14</v>
      </c>
      <c r="O7354" t="s" s="8">
        <v>14</v>
      </c>
      <c r="P7354" t="s" s="8">
        <v>14</v>
      </c>
      <c r="Q7354" t="s" s="12">
        <v>14</v>
      </c>
      <c r="R7354" t="s" s="12">
        <v>14</v>
      </c>
    </row>
    <row r="7355" s="2" customFormat="1" ht="13.5" customHeight="1">
      <c r="B7355" s="13"/>
      <c r="C7355" t="s" s="9">
        <v>16</v>
      </c>
      <c r="D7355" t="s" s="8">
        <v>2570</v>
      </c>
      <c r="E7355" t="s" s="9">
        <v>2570</v>
      </c>
      <c r="F7355" t="s" s="10">
        <v>119</v>
      </c>
      <c r="G7355" s="14"/>
      <c r="H7355" t="s" s="10">
        <v>148</v>
      </c>
      <c r="I7355" s="14"/>
      <c r="J7355" t="s" s="11">
        <v>20</v>
      </c>
      <c r="K7355" t="s" s="16">
        <f>HYPERLINK("http://csr.bu.edu/ftp/asl/asllvd/demos/verify_start_end_handshape_annotations//test_auto_move//signs_mov/1757.mov","MOV")</f>
        <v>21</v>
      </c>
      <c r="L7355" t="s" s="16">
        <f>HYPERLINK("http://csr.bu.edu/ftp/asl/asllvd/demos/verify_start_end_handshape_annotations//test_auto_move//signs_mov_separ_signers/Liz_1757.mov","MOV")</f>
        <v>21</v>
      </c>
      <c r="M7355" t="s" s="10">
        <v>88</v>
      </c>
      <c r="N7355" s="17">
        <v>28</v>
      </c>
      <c r="O7355" s="18">
        <v>2755</v>
      </c>
      <c r="P7355" s="18">
        <v>2814</v>
      </c>
      <c r="Q7355" t="s" s="16">
        <f>HYPERLINK("http://secrets.rutgers.edu:8080/data/asl-ftp/asllvd/demos/verify_start_end_handshape_annotations//test_auto_move//signs_mov/1757.mov","MOV")</f>
        <v>21</v>
      </c>
      <c r="R7355" t="s" s="16">
        <f>HYPERLINK("http://secrets.rutgers.edu:8080/data/asl-ftp/asllvd/demos/verify_start_end_handshape_annotations//test_auto_move//signs_mov_separ_signers/Liz_1757.mov","MOV")</f>
        <v>21</v>
      </c>
    </row>
    <row r="7356" s="2" customFormat="1" ht="13.5" customHeight="1">
      <c r="B7356" t="s" s="8">
        <v>52</v>
      </c>
      <c r="C7356" t="s" s="9">
        <v>53</v>
      </c>
      <c r="D7356" t="s" s="8">
        <v>53</v>
      </c>
      <c r="E7356" t="s" s="9">
        <v>53</v>
      </c>
      <c r="F7356" t="s" s="10">
        <v>53</v>
      </c>
      <c r="G7356" t="s" s="11">
        <v>53</v>
      </c>
      <c r="H7356" t="s" s="10">
        <v>53</v>
      </c>
      <c r="I7356" t="s" s="11">
        <v>53</v>
      </c>
      <c r="J7356" t="s" s="11">
        <v>53</v>
      </c>
      <c r="K7356" t="s" s="12">
        <v>53</v>
      </c>
      <c r="L7356" t="s" s="12">
        <v>53</v>
      </c>
      <c r="M7356" t="s" s="10">
        <v>53</v>
      </c>
      <c r="N7356" t="s" s="11">
        <v>53</v>
      </c>
      <c r="O7356" t="s" s="8">
        <v>53</v>
      </c>
      <c r="P7356" t="s" s="8">
        <v>53</v>
      </c>
      <c r="Q7356" t="s" s="12">
        <v>53</v>
      </c>
      <c r="R7356" t="s" s="12">
        <v>53</v>
      </c>
    </row>
    <row r="7357" s="2" customFormat="1" ht="27.75" customHeight="1">
      <c r="B7357" s="13"/>
      <c r="C7357" t="s" s="9">
        <v>30</v>
      </c>
      <c r="D7357" t="s" s="8">
        <v>2570</v>
      </c>
      <c r="E7357" t="s" s="9">
        <v>2571</v>
      </c>
      <c r="F7357" t="s" s="10">
        <v>119</v>
      </c>
      <c r="G7357" s="14"/>
      <c r="H7357" s="19">
        <v>5</v>
      </c>
      <c r="I7357" s="14"/>
      <c r="J7357" t="s" s="11">
        <v>20</v>
      </c>
      <c r="K7357" t="s" s="16">
        <f>HYPERLINK("http://csr.bu.edu/ftp/asl/asllvd/demos/verify_start_end_handshape_annotations//test_auto_move//signs_mov/16258.mov","MOV")</f>
        <v>21</v>
      </c>
      <c r="L7357" t="s" s="16">
        <f>HYPERLINK("http://csr.bu.edu/ftp/asl/asllvd/demos/verify_start_end_handshape_annotations//test_auto_move//signs_mov_separ_signers/Brady_16258.mov","MOV")</f>
        <v>21</v>
      </c>
      <c r="M7357" t="s" s="10">
        <v>40</v>
      </c>
      <c r="N7357" s="17">
        <v>24</v>
      </c>
      <c r="O7357" s="18">
        <v>160</v>
      </c>
      <c r="P7357" s="18">
        <v>188</v>
      </c>
      <c r="Q7357" t="s" s="16">
        <f>HYPERLINK("http://secrets.rutgers.edu:8080/data/asl-ftp/asllvd/demos/verify_start_end_handshape_annotations//test_auto_move//signs_mov/16258.mov","MOV")</f>
        <v>21</v>
      </c>
      <c r="R7357" t="s" s="16">
        <f>HYPERLINK("http://secrets.rutgers.edu:8080/data/asl-ftp/asllvd/demos/verify_start_end_handshape_annotations//test_auto_move//signs_mov_separ_signers/Brady_16258.mov","MOV")</f>
        <v>21</v>
      </c>
    </row>
    <row r="7358" s="2" customFormat="1" ht="13.5" customHeight="1">
      <c r="B7358" t="s" s="8">
        <v>2572</v>
      </c>
      <c r="C7358" t="s" s="9">
        <v>14</v>
      </c>
      <c r="D7358" t="s" s="8">
        <v>14</v>
      </c>
      <c r="E7358" t="s" s="9">
        <v>14</v>
      </c>
      <c r="F7358" t="s" s="10">
        <v>14</v>
      </c>
      <c r="G7358" t="s" s="11">
        <v>14</v>
      </c>
      <c r="H7358" t="s" s="10">
        <v>14</v>
      </c>
      <c r="I7358" t="s" s="11">
        <v>14</v>
      </c>
      <c r="J7358" t="s" s="11">
        <v>14</v>
      </c>
      <c r="K7358" t="s" s="12">
        <v>14</v>
      </c>
      <c r="L7358" t="s" s="12">
        <v>14</v>
      </c>
      <c r="M7358" t="s" s="10">
        <v>14</v>
      </c>
      <c r="N7358" t="s" s="11">
        <v>14</v>
      </c>
      <c r="O7358" t="s" s="8">
        <v>14</v>
      </c>
      <c r="P7358" t="s" s="8">
        <v>14</v>
      </c>
      <c r="Q7358" t="s" s="12">
        <v>14</v>
      </c>
      <c r="R7358" t="s" s="12">
        <v>14</v>
      </c>
    </row>
    <row r="7359" s="2" customFormat="1" ht="13.5" customHeight="1">
      <c r="B7359" s="13"/>
      <c r="C7359" t="s" s="9">
        <v>16</v>
      </c>
      <c r="D7359" t="s" s="8">
        <v>2572</v>
      </c>
      <c r="E7359" t="s" s="9">
        <v>2573</v>
      </c>
      <c r="F7359" t="s" s="10">
        <v>119</v>
      </c>
      <c r="G7359" t="s" s="11">
        <v>158</v>
      </c>
      <c r="H7359" t="s" s="10">
        <v>119</v>
      </c>
      <c r="I7359" t="s" s="11">
        <v>158</v>
      </c>
      <c r="J7359" t="s" s="11">
        <v>20</v>
      </c>
      <c r="K7359" t="s" s="16">
        <f>HYPERLINK("http://csr.bu.edu/ftp/asl/asllvd/demos/verify_start_end_handshape_annotations//test_auto_move//signs_mov/1759.mov","MOV")</f>
        <v>21</v>
      </c>
      <c r="L7359" t="s" s="16">
        <f>HYPERLINK("http://csr.bu.edu/ftp/asl/asllvd/demos/verify_start_end_handshape_annotations//test_auto_move//signs_mov_separ_signers/Liz_1759.mov","MOV")</f>
        <v>21</v>
      </c>
      <c r="M7359" t="s" s="10">
        <v>88</v>
      </c>
      <c r="N7359" s="17">
        <v>28</v>
      </c>
      <c r="O7359" s="18">
        <v>3271</v>
      </c>
      <c r="P7359" s="18">
        <v>3325</v>
      </c>
      <c r="Q7359" t="s" s="16">
        <f>HYPERLINK("http://secrets.rutgers.edu:8080/data/asl-ftp/asllvd/demos/verify_start_end_handshape_annotations//test_auto_move//signs_mov/1759.mov","MOV")</f>
        <v>21</v>
      </c>
      <c r="R7359" t="s" s="16">
        <f>HYPERLINK("http://secrets.rutgers.edu:8080/data/asl-ftp/asllvd/demos/verify_start_end_handshape_annotations//test_auto_move//signs_mov_separ_signers/Liz_1759.mov","MOV")</f>
        <v>21</v>
      </c>
    </row>
    <row r="7360" s="2" customFormat="1" ht="13.5" customHeight="1">
      <c r="B7360" s="13"/>
      <c r="C7360" t="s" s="9">
        <v>30</v>
      </c>
      <c r="D7360" t="s" s="8">
        <v>2572</v>
      </c>
      <c r="E7360" t="s" s="9">
        <v>2572</v>
      </c>
      <c r="F7360" t="s" s="10">
        <v>158</v>
      </c>
      <c r="G7360" t="s" s="11">
        <v>158</v>
      </c>
      <c r="H7360" t="s" s="10">
        <v>158</v>
      </c>
      <c r="I7360" t="s" s="11">
        <v>158</v>
      </c>
      <c r="J7360" t="s" s="11">
        <v>20</v>
      </c>
      <c r="K7360" s="15"/>
      <c r="L7360" t="s" s="16">
        <f>HYPERLINK("http://csr.bu.edu/ftp/asl/asllvd/demos/verify_start_end_handshape_annotations//test_auto_move//signs_mov_separ_signers/Brady_1759.mov","MOV")</f>
        <v>21</v>
      </c>
      <c r="M7360" t="s" s="10">
        <v>40</v>
      </c>
      <c r="N7360" s="17">
        <v>24</v>
      </c>
      <c r="O7360" s="18">
        <v>521</v>
      </c>
      <c r="P7360" s="18">
        <v>538</v>
      </c>
      <c r="Q7360" s="15"/>
      <c r="R7360" t="s" s="16">
        <f>HYPERLINK("http://secrets.rutgers.edu:8080/data/asl-ftp/asllvd/demos/verify_start_end_handshape_annotations//test_auto_move//signs_mov_separ_signers/Brady_1759.mov","MOV")</f>
        <v>21</v>
      </c>
    </row>
    <row r="7361" s="2" customFormat="1" ht="13.5" customHeight="1">
      <c r="B7361" t="s" s="8">
        <v>2574</v>
      </c>
      <c r="C7361" t="s" s="9">
        <v>14</v>
      </c>
      <c r="D7361" t="s" s="8">
        <v>14</v>
      </c>
      <c r="E7361" t="s" s="9">
        <v>14</v>
      </c>
      <c r="F7361" t="s" s="10">
        <v>14</v>
      </c>
      <c r="G7361" t="s" s="11">
        <v>14</v>
      </c>
      <c r="H7361" t="s" s="10">
        <v>14</v>
      </c>
      <c r="I7361" t="s" s="11">
        <v>14</v>
      </c>
      <c r="J7361" t="s" s="11">
        <v>14</v>
      </c>
      <c r="K7361" t="s" s="12">
        <v>14</v>
      </c>
      <c r="L7361" t="s" s="12">
        <v>14</v>
      </c>
      <c r="M7361" t="s" s="10">
        <v>14</v>
      </c>
      <c r="N7361" t="s" s="11">
        <v>14</v>
      </c>
      <c r="O7361" t="s" s="8">
        <v>14</v>
      </c>
      <c r="P7361" t="s" s="8">
        <v>14</v>
      </c>
      <c r="Q7361" t="s" s="12">
        <v>14</v>
      </c>
      <c r="R7361" t="s" s="12">
        <v>14</v>
      </c>
    </row>
    <row r="7362" s="2" customFormat="1" ht="13.5" customHeight="1">
      <c r="B7362" s="13"/>
      <c r="C7362" t="s" s="9">
        <v>16</v>
      </c>
      <c r="D7362" t="s" s="8">
        <v>2574</v>
      </c>
      <c r="E7362" t="s" s="9">
        <v>2575</v>
      </c>
      <c r="F7362" t="s" s="10">
        <v>119</v>
      </c>
      <c r="G7362" t="s" s="11">
        <v>119</v>
      </c>
      <c r="H7362" t="s" s="10">
        <v>119</v>
      </c>
      <c r="I7362" t="s" s="11">
        <v>119</v>
      </c>
      <c r="J7362" t="s" s="11">
        <v>20</v>
      </c>
      <c r="K7362" t="s" s="16">
        <f>HYPERLINK("http://csr.bu.edu/ftp/asl/asllvd/demos/verify_start_end_handshape_annotations//test_auto_move//signs_mov/1760.mov","MOV")</f>
        <v>21</v>
      </c>
      <c r="L7362" t="s" s="16">
        <f>HYPERLINK("http://csr.bu.edu/ftp/asl/asllvd/demos/verify_start_end_handshape_annotations//test_auto_move//signs_mov_separ_signers/Liz_1760.mov","MOV")</f>
        <v>21</v>
      </c>
      <c r="M7362" t="s" s="10">
        <v>88</v>
      </c>
      <c r="N7362" s="17">
        <v>29</v>
      </c>
      <c r="O7362" s="18">
        <v>303</v>
      </c>
      <c r="P7362" s="18">
        <v>369</v>
      </c>
      <c r="Q7362" t="s" s="16">
        <f>HYPERLINK("http://secrets.rutgers.edu:8080/data/asl-ftp/asllvd/demos/verify_start_end_handshape_annotations//test_auto_move//signs_mov/1760.mov","MOV")</f>
        <v>21</v>
      </c>
      <c r="R7362" t="s" s="16">
        <f>HYPERLINK("http://secrets.rutgers.edu:8080/data/asl-ftp/asllvd/demos/verify_start_end_handshape_annotations//test_auto_move//signs_mov_separ_signers/Liz_1760.mov","MOV")</f>
        <v>21</v>
      </c>
    </row>
    <row r="7363" s="2" customFormat="1" ht="13.5" customHeight="1">
      <c r="B7363" s="13"/>
      <c r="C7363" t="s" s="9">
        <v>30</v>
      </c>
      <c r="D7363" t="s" s="8">
        <v>2574</v>
      </c>
      <c r="E7363" t="s" s="9">
        <v>2576</v>
      </c>
      <c r="F7363" t="s" s="10">
        <v>119</v>
      </c>
      <c r="G7363" t="s" s="11">
        <v>119</v>
      </c>
      <c r="H7363" t="s" s="10">
        <v>119</v>
      </c>
      <c r="I7363" t="s" s="11">
        <v>119</v>
      </c>
      <c r="J7363" t="s" s="11">
        <v>20</v>
      </c>
      <c r="K7363" s="15"/>
      <c r="L7363" t="s" s="16">
        <f>HYPERLINK("http://csr.bu.edu/ftp/asl/asllvd/demos/verify_start_end_handshape_annotations//test_auto_move//signs_mov_separ_signers/Brady_1760.mov","MOV")</f>
        <v>21</v>
      </c>
      <c r="M7363" t="s" s="10">
        <v>40</v>
      </c>
      <c r="N7363" s="17">
        <v>24</v>
      </c>
      <c r="O7363" s="18">
        <v>1344</v>
      </c>
      <c r="P7363" s="18">
        <v>1384</v>
      </c>
      <c r="Q7363" s="15"/>
      <c r="R7363" t="s" s="16">
        <f>HYPERLINK("http://secrets.rutgers.edu:8080/data/asl-ftp/asllvd/demos/verify_start_end_handshape_annotations//test_auto_move//signs_mov_separ_signers/Brady_1760.mov","MOV")</f>
        <v>21</v>
      </c>
    </row>
    <row r="7364" s="2" customFormat="1" ht="13.5" customHeight="1">
      <c r="B7364" t="s" s="8">
        <v>2577</v>
      </c>
      <c r="C7364" t="s" s="9">
        <v>14</v>
      </c>
      <c r="D7364" t="s" s="8">
        <v>14</v>
      </c>
      <c r="E7364" t="s" s="9">
        <v>14</v>
      </c>
      <c r="F7364" t="s" s="10">
        <v>14</v>
      </c>
      <c r="G7364" t="s" s="11">
        <v>14</v>
      </c>
      <c r="H7364" t="s" s="10">
        <v>14</v>
      </c>
      <c r="I7364" t="s" s="11">
        <v>14</v>
      </c>
      <c r="J7364" t="s" s="11">
        <v>14</v>
      </c>
      <c r="K7364" t="s" s="12">
        <v>14</v>
      </c>
      <c r="L7364" t="s" s="12">
        <v>14</v>
      </c>
      <c r="M7364" t="s" s="10">
        <v>14</v>
      </c>
      <c r="N7364" t="s" s="11">
        <v>14</v>
      </c>
      <c r="O7364" t="s" s="8">
        <v>14</v>
      </c>
      <c r="P7364" t="s" s="8">
        <v>14</v>
      </c>
      <c r="Q7364" t="s" s="12">
        <v>14</v>
      </c>
      <c r="R7364" t="s" s="12">
        <v>14</v>
      </c>
    </row>
    <row r="7365" s="2" customFormat="1" ht="13.5" customHeight="1">
      <c r="B7365" s="13"/>
      <c r="C7365" t="s" s="9">
        <v>16</v>
      </c>
      <c r="D7365" t="s" s="8">
        <v>2577</v>
      </c>
      <c r="E7365" t="s" s="9">
        <v>2578</v>
      </c>
      <c r="F7365" s="19">
        <v>10</v>
      </c>
      <c r="G7365" t="s" s="11">
        <v>73</v>
      </c>
      <c r="H7365" s="19">
        <v>10</v>
      </c>
      <c r="I7365" t="s" s="11">
        <v>73</v>
      </c>
      <c r="J7365" t="s" s="11">
        <v>20</v>
      </c>
      <c r="K7365" t="s" s="16">
        <f>HYPERLINK("http://csr.bu.edu/ftp/asl/asllvd/demos/verify_start_end_handshape_annotations//test_auto_move//signs_mov/1761.mov","MOV")</f>
        <v>21</v>
      </c>
      <c r="L7365" t="s" s="16">
        <f>HYPERLINK("http://csr.bu.edu/ftp/asl/asllvd/demos/verify_start_end_handshape_annotations//test_auto_move//signs_mov_separ_signers/Liz_1761.mov","MOV")</f>
        <v>21</v>
      </c>
      <c r="M7365" t="s" s="10">
        <v>88</v>
      </c>
      <c r="N7365" s="17">
        <v>29</v>
      </c>
      <c r="O7365" s="18">
        <v>490</v>
      </c>
      <c r="P7365" s="18">
        <v>552</v>
      </c>
      <c r="Q7365" t="s" s="16">
        <f>HYPERLINK("http://secrets.rutgers.edu:8080/data/asl-ftp/asllvd/demos/verify_start_end_handshape_annotations//test_auto_move//signs_mov/1761.mov","MOV")</f>
        <v>21</v>
      </c>
      <c r="R7365" t="s" s="16">
        <f>HYPERLINK("http://secrets.rutgers.edu:8080/data/asl-ftp/asllvd/demos/verify_start_end_handshape_annotations//test_auto_move//signs_mov_separ_signers/Liz_1761.mov","MOV")</f>
        <v>21</v>
      </c>
    </row>
    <row r="7366" s="2" customFormat="1" ht="13.5" customHeight="1">
      <c r="B7366" s="13"/>
      <c r="C7366" t="s" s="9">
        <v>30</v>
      </c>
      <c r="D7366" t="s" s="8">
        <v>2577</v>
      </c>
      <c r="E7366" t="s" s="9">
        <v>2578</v>
      </c>
      <c r="F7366" s="19">
        <v>10</v>
      </c>
      <c r="G7366" t="s" s="11">
        <v>73</v>
      </c>
      <c r="H7366" s="19">
        <v>10</v>
      </c>
      <c r="I7366" t="s" s="11">
        <v>73</v>
      </c>
      <c r="J7366" t="s" s="11">
        <v>20</v>
      </c>
      <c r="K7366" s="15"/>
      <c r="L7366" t="s" s="16">
        <f>HYPERLINK("http://csr.bu.edu/ftp/asl/asllvd/demos/verify_start_end_handshape_annotations//test_auto_move//signs_mov_separ_signers/Brady_1761.mov","MOV")</f>
        <v>21</v>
      </c>
      <c r="M7366" t="s" s="10">
        <v>40</v>
      </c>
      <c r="N7366" s="17">
        <v>24</v>
      </c>
      <c r="O7366" s="18">
        <v>1610</v>
      </c>
      <c r="P7366" s="18">
        <v>1645</v>
      </c>
      <c r="Q7366" s="15"/>
      <c r="R7366" t="s" s="16">
        <f>HYPERLINK("http://secrets.rutgers.edu:8080/data/asl-ftp/asllvd/demos/verify_start_end_handshape_annotations//test_auto_move//signs_mov_separ_signers/Brady_1761.mov","MOV")</f>
        <v>21</v>
      </c>
    </row>
    <row r="7367" s="2" customFormat="1" ht="13.5" customHeight="1">
      <c r="B7367" t="s" s="8">
        <v>2579</v>
      </c>
      <c r="C7367" t="s" s="9">
        <v>14</v>
      </c>
      <c r="D7367" t="s" s="8">
        <v>14</v>
      </c>
      <c r="E7367" t="s" s="9">
        <v>14</v>
      </c>
      <c r="F7367" t="s" s="10">
        <v>14</v>
      </c>
      <c r="G7367" t="s" s="11">
        <v>14</v>
      </c>
      <c r="H7367" t="s" s="10">
        <v>14</v>
      </c>
      <c r="I7367" t="s" s="11">
        <v>14</v>
      </c>
      <c r="J7367" t="s" s="11">
        <v>14</v>
      </c>
      <c r="K7367" t="s" s="12">
        <v>14</v>
      </c>
      <c r="L7367" t="s" s="12">
        <v>14</v>
      </c>
      <c r="M7367" t="s" s="10">
        <v>14</v>
      </c>
      <c r="N7367" t="s" s="11">
        <v>14</v>
      </c>
      <c r="O7367" t="s" s="8">
        <v>14</v>
      </c>
      <c r="P7367" t="s" s="8">
        <v>14</v>
      </c>
      <c r="Q7367" t="s" s="12">
        <v>14</v>
      </c>
      <c r="R7367" t="s" s="12">
        <v>14</v>
      </c>
    </row>
    <row r="7368" s="2" customFormat="1" ht="13.5" customHeight="1">
      <c r="B7368" s="13"/>
      <c r="C7368" t="s" s="9">
        <v>16</v>
      </c>
      <c r="D7368" t="s" s="8">
        <v>2579</v>
      </c>
      <c r="E7368" t="s" s="9">
        <v>2580</v>
      </c>
      <c r="F7368" t="s" s="10">
        <v>51</v>
      </c>
      <c r="G7368" t="s" s="11">
        <v>73</v>
      </c>
      <c r="H7368" t="s" s="10">
        <v>51</v>
      </c>
      <c r="I7368" t="s" s="11">
        <v>73</v>
      </c>
      <c r="J7368" t="s" s="11">
        <v>20</v>
      </c>
      <c r="K7368" s="15"/>
      <c r="L7368" t="s" s="16">
        <f>HYPERLINK("http://csr.bu.edu/ftp/asl/asllvd/demos/verify_start_end_handshape_annotations//test_auto_move//signs_mov_separ_signers/Liz_16031.mov","MOV")</f>
        <v>21</v>
      </c>
      <c r="M7368" t="s" s="10">
        <v>84</v>
      </c>
      <c r="N7368" s="17">
        <v>17</v>
      </c>
      <c r="O7368" s="18">
        <v>525</v>
      </c>
      <c r="P7368" s="18">
        <v>580</v>
      </c>
      <c r="Q7368" s="15"/>
      <c r="R7368" t="s" s="16">
        <f>HYPERLINK("http://secrets.rutgers.edu:8080/data/asl-ftp/asllvd/demos/verify_start_end_handshape_annotations//test_auto_move//signs_mov_separ_signers/Liz_16031.mov","MOV")</f>
        <v>21</v>
      </c>
    </row>
    <row r="7369" s="2" customFormat="1" ht="13.5" customHeight="1">
      <c r="B7369" s="13"/>
      <c r="C7369" t="s" s="9">
        <v>23</v>
      </c>
      <c r="D7369" t="s" s="8">
        <v>2579</v>
      </c>
      <c r="E7369" t="s" s="9">
        <v>2580</v>
      </c>
      <c r="F7369" t="s" s="10">
        <v>51</v>
      </c>
      <c r="G7369" t="s" s="11">
        <v>73</v>
      </c>
      <c r="H7369" t="s" s="10">
        <v>51</v>
      </c>
      <c r="I7369" t="s" s="11">
        <v>73</v>
      </c>
      <c r="J7369" t="s" s="11">
        <v>20</v>
      </c>
      <c r="K7369" t="s" s="16">
        <f>HYPERLINK("http://csr.bu.edu/ftp/asl/asllvd/demos/verify_start_end_handshape_annotations//test_auto_move//signs_mov/16031.mov","MOV")</f>
        <v>21</v>
      </c>
      <c r="L7369" t="s" s="16">
        <f>HYPERLINK("http://csr.bu.edu/ftp/asl/asllvd/demos/verify_start_end_handshape_annotations//test_auto_move//signs_mov_separ_signers/Tyler_16031.mov","MOV")</f>
        <v>21</v>
      </c>
      <c r="M7369" t="s" s="10">
        <v>125</v>
      </c>
      <c r="N7369" s="17">
        <v>16</v>
      </c>
      <c r="O7369" s="18">
        <v>395</v>
      </c>
      <c r="P7369" s="18">
        <v>445</v>
      </c>
      <c r="Q7369" t="s" s="16">
        <f>HYPERLINK("http://secrets.rutgers.edu:8080/data/asl-ftp/asllvd/demos/verify_start_end_handshape_annotations//test_auto_move//signs_mov/16031.mov","MOV")</f>
        <v>21</v>
      </c>
      <c r="R7369" t="s" s="16">
        <f>HYPERLINK("http://secrets.rutgers.edu:8080/data/asl-ftp/asllvd/demos/verify_start_end_handshape_annotations//test_auto_move//signs_mov_separ_signers/Tyler_16031.mov","MOV")</f>
        <v>21</v>
      </c>
    </row>
    <row r="7370" s="2" customFormat="1" ht="13.5" customHeight="1">
      <c r="B7370" s="13"/>
      <c r="C7370" t="s" s="9">
        <v>27</v>
      </c>
      <c r="D7370" t="s" s="8">
        <v>2579</v>
      </c>
      <c r="E7370" t="s" s="9">
        <v>2580</v>
      </c>
      <c r="F7370" t="s" s="10">
        <v>51</v>
      </c>
      <c r="G7370" t="s" s="11">
        <v>73</v>
      </c>
      <c r="H7370" t="s" s="10">
        <v>51</v>
      </c>
      <c r="I7370" t="s" s="11">
        <v>73</v>
      </c>
      <c r="J7370" t="s" s="11">
        <v>20</v>
      </c>
      <c r="K7370" s="15"/>
      <c r="L7370" t="s" s="16">
        <f>HYPERLINK("http://csr.bu.edu/ftp/asl/asllvd/demos/verify_start_end_handshape_annotations//test_auto_move//signs_mov_separ_signers/Naomi_16031.mov","MOV")</f>
        <v>21</v>
      </c>
      <c r="M7370" t="s" s="10">
        <v>86</v>
      </c>
      <c r="N7370" s="17">
        <v>17</v>
      </c>
      <c r="O7370" s="18">
        <v>295</v>
      </c>
      <c r="P7370" s="18">
        <v>360</v>
      </c>
      <c r="Q7370" s="15"/>
      <c r="R7370" t="s" s="16">
        <f>HYPERLINK("http://secrets.rutgers.edu:8080/data/asl-ftp/asllvd/demos/verify_start_end_handshape_annotations//test_auto_move//signs_mov_separ_signers/Naomi_16031.mov","MOV")</f>
        <v>21</v>
      </c>
    </row>
    <row r="7371" s="2" customFormat="1" ht="13.5" customHeight="1">
      <c r="B7371" s="13"/>
      <c r="C7371" t="s" s="9">
        <v>30</v>
      </c>
      <c r="D7371" t="s" s="8">
        <v>2579</v>
      </c>
      <c r="E7371" t="s" s="9">
        <v>2580</v>
      </c>
      <c r="F7371" t="s" s="10">
        <v>51</v>
      </c>
      <c r="G7371" t="s" s="11">
        <v>73</v>
      </c>
      <c r="H7371" t="s" s="10">
        <v>51</v>
      </c>
      <c r="I7371" t="s" s="11">
        <v>73</v>
      </c>
      <c r="J7371" t="s" s="11">
        <v>20</v>
      </c>
      <c r="K7371" s="15"/>
      <c r="L7371" t="s" s="16">
        <f>HYPERLINK("http://csr.bu.edu/ftp/asl/asllvd/demos/verify_start_end_handshape_annotations//test_auto_move//signs_mov_separ_signers/Brady_16031.mov","MOV")</f>
        <v>21</v>
      </c>
      <c r="M7371" t="s" s="10">
        <v>31</v>
      </c>
      <c r="N7371" s="17">
        <v>34</v>
      </c>
      <c r="O7371" s="18">
        <v>2175</v>
      </c>
      <c r="P7371" s="18">
        <v>2209</v>
      </c>
      <c r="Q7371" s="15"/>
      <c r="R7371" t="s" s="16">
        <f>HYPERLINK("http://secrets.rutgers.edu:8080/data/asl-ftp/asllvd/demos/verify_start_end_handshape_annotations//test_auto_move//signs_mov_separ_signers/Brady_16031.mov","MOV")</f>
        <v>21</v>
      </c>
    </row>
    <row r="7372" s="2" customFormat="1" ht="13.5" customHeight="1">
      <c r="B7372" t="s" s="8">
        <v>2581</v>
      </c>
      <c r="C7372" t="s" s="9">
        <v>14</v>
      </c>
      <c r="D7372" t="s" s="8">
        <v>14</v>
      </c>
      <c r="E7372" t="s" s="9">
        <v>14</v>
      </c>
      <c r="F7372" t="s" s="10">
        <v>14</v>
      </c>
      <c r="G7372" t="s" s="11">
        <v>14</v>
      </c>
      <c r="H7372" t="s" s="10">
        <v>14</v>
      </c>
      <c r="I7372" t="s" s="11">
        <v>14</v>
      </c>
      <c r="J7372" t="s" s="11">
        <v>14</v>
      </c>
      <c r="K7372" t="s" s="12">
        <v>14</v>
      </c>
      <c r="L7372" t="s" s="12">
        <v>14</v>
      </c>
      <c r="M7372" t="s" s="10">
        <v>14</v>
      </c>
      <c r="N7372" t="s" s="11">
        <v>14</v>
      </c>
      <c r="O7372" t="s" s="8">
        <v>14</v>
      </c>
      <c r="P7372" t="s" s="8">
        <v>14</v>
      </c>
      <c r="Q7372" t="s" s="12">
        <v>14</v>
      </c>
      <c r="R7372" t="s" s="12">
        <v>14</v>
      </c>
    </row>
    <row r="7373" s="2" customFormat="1" ht="13.5" customHeight="1">
      <c r="B7373" s="13"/>
      <c r="C7373" t="s" s="9">
        <v>16</v>
      </c>
      <c r="D7373" t="s" s="8">
        <v>2581</v>
      </c>
      <c r="E7373" t="s" s="9">
        <v>2582</v>
      </c>
      <c r="F7373" t="s" s="10">
        <v>115</v>
      </c>
      <c r="G7373" t="s" s="11">
        <v>73</v>
      </c>
      <c r="H7373" t="s" s="10">
        <v>115</v>
      </c>
      <c r="I7373" t="s" s="11">
        <v>73</v>
      </c>
      <c r="J7373" t="s" s="11">
        <v>20</v>
      </c>
      <c r="K7373" s="15"/>
      <c r="L7373" t="s" s="16">
        <f>HYPERLINK("http://csr.bu.edu/ftp/asl/asllvd/demos/verify_start_end_handshape_annotations//test_auto_move//signs_mov_separ_signers/Liz_16054.mov","MOV")</f>
        <v>21</v>
      </c>
      <c r="M7373" t="s" s="10">
        <v>84</v>
      </c>
      <c r="N7373" s="17">
        <v>31</v>
      </c>
      <c r="O7373" s="18">
        <v>670</v>
      </c>
      <c r="P7373" s="18">
        <v>722</v>
      </c>
      <c r="Q7373" s="15"/>
      <c r="R7373" t="s" s="16">
        <f>HYPERLINK("http://secrets.rutgers.edu:8080/data/asl-ftp/asllvd/demos/verify_start_end_handshape_annotations//test_auto_move//signs_mov_separ_signers/Liz_16054.mov","MOV")</f>
        <v>21</v>
      </c>
    </row>
    <row r="7374" s="2" customFormat="1" ht="13.5" customHeight="1">
      <c r="B7374" s="13"/>
      <c r="C7374" t="s" s="9">
        <v>23</v>
      </c>
      <c r="D7374" t="s" s="8">
        <v>2581</v>
      </c>
      <c r="E7374" t="s" s="9">
        <v>2582</v>
      </c>
      <c r="F7374" t="s" s="10">
        <v>117</v>
      </c>
      <c r="G7374" t="s" s="11">
        <v>73</v>
      </c>
      <c r="H7374" t="s" s="10">
        <v>117</v>
      </c>
      <c r="I7374" t="s" s="11">
        <v>73</v>
      </c>
      <c r="J7374" t="s" s="11">
        <v>20</v>
      </c>
      <c r="K7374" t="s" s="16">
        <f>HYPERLINK("http://csr.bu.edu/ftp/asl/asllvd/demos/verify_start_end_handshape_annotations//test_auto_move//signs_mov/16054.mov","MOV")</f>
        <v>21</v>
      </c>
      <c r="L7374" t="s" s="16">
        <f>HYPERLINK("http://csr.bu.edu/ftp/asl/asllvd/demos/verify_start_end_handshape_annotations//test_auto_move//signs_mov_separ_signers/Tyler_16054.mov","MOV")</f>
        <v>21</v>
      </c>
      <c r="M7374" t="s" s="10">
        <v>92</v>
      </c>
      <c r="N7374" s="17">
        <v>11</v>
      </c>
      <c r="O7374" s="18">
        <v>620</v>
      </c>
      <c r="P7374" s="18">
        <v>670</v>
      </c>
      <c r="Q7374" t="s" s="16">
        <f>HYPERLINK("http://secrets.rutgers.edu:8080/data/asl-ftp/asllvd/demos/verify_start_end_handshape_annotations//test_auto_move//signs_mov/16054.mov","MOV")</f>
        <v>21</v>
      </c>
      <c r="R7374" t="s" s="16">
        <f>HYPERLINK("http://secrets.rutgers.edu:8080/data/asl-ftp/asllvd/demos/verify_start_end_handshape_annotations//test_auto_move//signs_mov_separ_signers/Tyler_16054.mov","MOV")</f>
        <v>21</v>
      </c>
    </row>
    <row r="7375" s="2" customFormat="1" ht="13.5" customHeight="1">
      <c r="B7375" s="13"/>
      <c r="C7375" t="s" s="9">
        <v>27</v>
      </c>
      <c r="D7375" t="s" s="8">
        <v>2581</v>
      </c>
      <c r="E7375" t="s" s="9">
        <v>2582</v>
      </c>
      <c r="F7375" t="s" s="10">
        <v>115</v>
      </c>
      <c r="G7375" t="s" s="11">
        <v>73</v>
      </c>
      <c r="H7375" t="s" s="10">
        <v>115</v>
      </c>
      <c r="I7375" t="s" s="11">
        <v>73</v>
      </c>
      <c r="J7375" t="s" s="11">
        <v>20</v>
      </c>
      <c r="K7375" s="15"/>
      <c r="L7375" t="s" s="16">
        <f>HYPERLINK("http://csr.bu.edu/ftp/asl/asllvd/demos/verify_start_end_handshape_annotations//test_auto_move//signs_mov_separ_signers/Naomi_16054.mov","MOV")</f>
        <v>21</v>
      </c>
      <c r="M7375" t="s" s="10">
        <v>86</v>
      </c>
      <c r="N7375" s="17">
        <v>31</v>
      </c>
      <c r="O7375" s="18">
        <v>500</v>
      </c>
      <c r="P7375" s="18">
        <v>535</v>
      </c>
      <c r="Q7375" s="15"/>
      <c r="R7375" t="s" s="16">
        <f>HYPERLINK("http://secrets.rutgers.edu:8080/data/asl-ftp/asllvd/demos/verify_start_end_handshape_annotations//test_auto_move//signs_mov_separ_signers/Naomi_16054.mov","MOV")</f>
        <v>21</v>
      </c>
    </row>
    <row r="7376" s="2" customFormat="1" ht="13.5" customHeight="1">
      <c r="B7376" s="13"/>
      <c r="C7376" t="s" s="9">
        <v>30</v>
      </c>
      <c r="D7376" t="s" s="8">
        <v>2581</v>
      </c>
      <c r="E7376" t="s" s="9">
        <v>2582</v>
      </c>
      <c r="F7376" t="s" s="10">
        <v>115</v>
      </c>
      <c r="G7376" t="s" s="11">
        <v>73</v>
      </c>
      <c r="H7376" t="s" s="10">
        <v>115</v>
      </c>
      <c r="I7376" t="s" s="11">
        <v>73</v>
      </c>
      <c r="J7376" t="s" s="11">
        <v>20</v>
      </c>
      <c r="K7376" s="15"/>
      <c r="L7376" t="s" s="16">
        <f>HYPERLINK("http://csr.bu.edu/ftp/asl/asllvd/demos/verify_start_end_handshape_annotations//test_auto_move//signs_mov_separ_signers/Brady_16054.mov","MOV")</f>
        <v>21</v>
      </c>
      <c r="M7376" t="s" s="10">
        <v>39</v>
      </c>
      <c r="N7376" s="17">
        <v>11</v>
      </c>
      <c r="O7376" s="18">
        <v>9175</v>
      </c>
      <c r="P7376" s="18">
        <v>9210</v>
      </c>
      <c r="Q7376" s="15"/>
      <c r="R7376" t="s" s="16">
        <f>HYPERLINK("http://secrets.rutgers.edu:8080/data/asl-ftp/asllvd/demos/verify_start_end_handshape_annotations//test_auto_move//signs_mov_separ_signers/Brady_16054.mov","MOV")</f>
        <v>21</v>
      </c>
    </row>
    <row r="7377" s="2" customFormat="1" ht="13.5" customHeight="1">
      <c r="B7377" t="s" s="8">
        <v>52</v>
      </c>
      <c r="C7377" t="s" s="9">
        <v>53</v>
      </c>
      <c r="D7377" t="s" s="8">
        <v>53</v>
      </c>
      <c r="E7377" t="s" s="9">
        <v>53</v>
      </c>
      <c r="F7377" t="s" s="10">
        <v>53</v>
      </c>
      <c r="G7377" t="s" s="11">
        <v>53</v>
      </c>
      <c r="H7377" t="s" s="10">
        <v>53</v>
      </c>
      <c r="I7377" t="s" s="11">
        <v>53</v>
      </c>
      <c r="J7377" t="s" s="11">
        <v>53</v>
      </c>
      <c r="K7377" t="s" s="12">
        <v>53</v>
      </c>
      <c r="L7377" t="s" s="12">
        <v>53</v>
      </c>
      <c r="M7377" t="s" s="10">
        <v>53</v>
      </c>
      <c r="N7377" t="s" s="11">
        <v>53</v>
      </c>
      <c r="O7377" t="s" s="8">
        <v>53</v>
      </c>
      <c r="P7377" t="s" s="8">
        <v>53</v>
      </c>
      <c r="Q7377" t="s" s="12">
        <v>53</v>
      </c>
      <c r="R7377" t="s" s="12">
        <v>53</v>
      </c>
    </row>
    <row r="7378" s="2" customFormat="1" ht="13.5" customHeight="1">
      <c r="B7378" s="13"/>
      <c r="C7378" t="s" s="9">
        <v>16</v>
      </c>
      <c r="D7378" t="s" s="8">
        <v>2581</v>
      </c>
      <c r="E7378" t="s" s="9">
        <v>2583</v>
      </c>
      <c r="F7378" t="s" s="10">
        <v>115</v>
      </c>
      <c r="G7378" t="s" s="11">
        <v>73</v>
      </c>
      <c r="H7378" t="s" s="10">
        <v>115</v>
      </c>
      <c r="I7378" t="s" s="11">
        <v>73</v>
      </c>
      <c r="J7378" t="s" s="11">
        <v>20</v>
      </c>
      <c r="K7378" t="s" s="16">
        <f>HYPERLINK("http://csr.bu.edu/ftp/asl/asllvd/demos/verify_start_end_handshape_annotations//test_auto_move//signs_mov/16079.mov","MOV")</f>
        <v>21</v>
      </c>
      <c r="L7378" t="s" s="16">
        <f>HYPERLINK("http://csr.bu.edu/ftp/asl/asllvd/demos/verify_start_end_handshape_annotations//test_auto_move//signs_mov_separ_signers/Liz_16079.mov","MOV")</f>
        <v>21</v>
      </c>
      <c r="M7378" t="s" s="10">
        <v>84</v>
      </c>
      <c r="N7378" s="17">
        <v>31</v>
      </c>
      <c r="O7378" s="18">
        <v>885</v>
      </c>
      <c r="P7378" s="18">
        <v>940</v>
      </c>
      <c r="Q7378" t="s" s="16">
        <f>HYPERLINK("http://secrets.rutgers.edu:8080/data/asl-ftp/asllvd/demos/verify_start_end_handshape_annotations//test_auto_move//signs_mov/16079.mov","MOV")</f>
        <v>21</v>
      </c>
      <c r="R7378" t="s" s="16">
        <f>HYPERLINK("http://secrets.rutgers.edu:8080/data/asl-ftp/asllvd/demos/verify_start_end_handshape_annotations//test_auto_move//signs_mov_separ_signers/Liz_16079.mov","MOV")</f>
        <v>21</v>
      </c>
    </row>
    <row r="7379" s="2" customFormat="1" ht="13.5" customHeight="1">
      <c r="B7379" t="s" s="8">
        <v>2584</v>
      </c>
      <c r="C7379" t="s" s="9">
        <v>14</v>
      </c>
      <c r="D7379" t="s" s="8">
        <v>14</v>
      </c>
      <c r="E7379" t="s" s="9">
        <v>14</v>
      </c>
      <c r="F7379" t="s" s="10">
        <v>14</v>
      </c>
      <c r="G7379" t="s" s="11">
        <v>14</v>
      </c>
      <c r="H7379" t="s" s="10">
        <v>14</v>
      </c>
      <c r="I7379" t="s" s="11">
        <v>14</v>
      </c>
      <c r="J7379" t="s" s="11">
        <v>14</v>
      </c>
      <c r="K7379" t="s" s="12">
        <v>14</v>
      </c>
      <c r="L7379" t="s" s="12">
        <v>14</v>
      </c>
      <c r="M7379" t="s" s="10">
        <v>14</v>
      </c>
      <c r="N7379" t="s" s="11">
        <v>14</v>
      </c>
      <c r="O7379" t="s" s="8">
        <v>14</v>
      </c>
      <c r="P7379" t="s" s="8">
        <v>14</v>
      </c>
      <c r="Q7379" t="s" s="12">
        <v>14</v>
      </c>
      <c r="R7379" t="s" s="12">
        <v>14</v>
      </c>
    </row>
    <row r="7380" s="2" customFormat="1" ht="13.5" customHeight="1">
      <c r="B7380" s="13"/>
      <c r="C7380" t="s" s="9">
        <v>16</v>
      </c>
      <c r="D7380" t="s" s="8">
        <v>2584</v>
      </c>
      <c r="E7380" t="s" s="9">
        <v>2585</v>
      </c>
      <c r="F7380" s="19">
        <v>3</v>
      </c>
      <c r="G7380" s="14"/>
      <c r="H7380" t="s" s="10">
        <v>453</v>
      </c>
      <c r="I7380" s="14"/>
      <c r="J7380" t="s" s="11">
        <v>20</v>
      </c>
      <c r="K7380" t="s" s="16">
        <f>HYPERLINK("http://csr.bu.edu/ftp/asl/asllvd/demos/verify_start_end_handshape_annotations//test_auto_move//signs_mov/1762.mov","MOV")</f>
        <v>21</v>
      </c>
      <c r="L7380" t="s" s="16">
        <f>HYPERLINK("http://csr.bu.edu/ftp/asl/asllvd/demos/verify_start_end_handshape_annotations//test_auto_move//signs_mov_separ_signers/Liz_1762.mov","MOV")</f>
        <v>21</v>
      </c>
      <c r="M7380" t="s" s="10">
        <v>88</v>
      </c>
      <c r="N7380" s="17">
        <v>29</v>
      </c>
      <c r="O7380" s="18">
        <v>677</v>
      </c>
      <c r="P7380" s="18">
        <v>708</v>
      </c>
      <c r="Q7380" t="s" s="16">
        <f>HYPERLINK("http://secrets.rutgers.edu:8080/data/asl-ftp/asllvd/demos/verify_start_end_handshape_annotations//test_auto_move//signs_mov/1762.mov","MOV")</f>
        <v>21</v>
      </c>
      <c r="R7380" t="s" s="16">
        <f>HYPERLINK("http://secrets.rutgers.edu:8080/data/asl-ftp/asllvd/demos/verify_start_end_handshape_annotations//test_auto_move//signs_mov_separ_signers/Liz_1762.mov","MOV")</f>
        <v>21</v>
      </c>
    </row>
    <row r="7381" s="2" customFormat="1" ht="13.5" customHeight="1">
      <c r="B7381" s="13"/>
      <c r="C7381" t="s" s="9">
        <v>30</v>
      </c>
      <c r="D7381" t="s" s="8">
        <v>2584</v>
      </c>
      <c r="E7381" t="s" s="9">
        <v>2585</v>
      </c>
      <c r="F7381" s="19">
        <v>3</v>
      </c>
      <c r="G7381" s="14"/>
      <c r="H7381" t="s" s="10">
        <v>453</v>
      </c>
      <c r="I7381" s="14"/>
      <c r="J7381" t="s" s="11">
        <v>20</v>
      </c>
      <c r="K7381" s="15"/>
      <c r="L7381" t="s" s="16">
        <f>HYPERLINK("http://csr.bu.edu/ftp/asl/asllvd/demos/verify_start_end_handshape_annotations//test_auto_move//signs_mov_separ_signers/Brady_1762.mov","MOV")</f>
        <v>21</v>
      </c>
      <c r="M7381" t="s" s="10">
        <v>40</v>
      </c>
      <c r="N7381" s="17">
        <v>24</v>
      </c>
      <c r="O7381" s="18">
        <v>1872</v>
      </c>
      <c r="P7381" s="18">
        <v>1922</v>
      </c>
      <c r="Q7381" s="15"/>
      <c r="R7381" t="s" s="16">
        <f>HYPERLINK("http://secrets.rutgers.edu:8080/data/asl-ftp/asllvd/demos/verify_start_end_handshape_annotations//test_auto_move//signs_mov_separ_signers/Brady_1762.mov","MOV")</f>
        <v>21</v>
      </c>
    </row>
    <row r="7382" s="2" customFormat="1" ht="13.5" customHeight="1">
      <c r="B7382" t="s" s="8">
        <v>2586</v>
      </c>
      <c r="C7382" t="s" s="9">
        <v>14</v>
      </c>
      <c r="D7382" t="s" s="8">
        <v>14</v>
      </c>
      <c r="E7382" t="s" s="9">
        <v>14</v>
      </c>
      <c r="F7382" t="s" s="10">
        <v>14</v>
      </c>
      <c r="G7382" t="s" s="11">
        <v>14</v>
      </c>
      <c r="H7382" t="s" s="10">
        <v>14</v>
      </c>
      <c r="I7382" t="s" s="11">
        <v>14</v>
      </c>
      <c r="J7382" t="s" s="11">
        <v>14</v>
      </c>
      <c r="K7382" t="s" s="12">
        <v>14</v>
      </c>
      <c r="L7382" t="s" s="12">
        <v>14</v>
      </c>
      <c r="M7382" t="s" s="10">
        <v>14</v>
      </c>
      <c r="N7382" t="s" s="11">
        <v>14</v>
      </c>
      <c r="O7382" t="s" s="8">
        <v>14</v>
      </c>
      <c r="P7382" t="s" s="8">
        <v>14</v>
      </c>
      <c r="Q7382" t="s" s="12">
        <v>14</v>
      </c>
      <c r="R7382" t="s" s="12">
        <v>14</v>
      </c>
    </row>
    <row r="7383" s="2" customFormat="1" ht="13.5" customHeight="1">
      <c r="B7383" s="13"/>
      <c r="C7383" t="s" s="9">
        <v>30</v>
      </c>
      <c r="D7383" t="s" s="8">
        <v>2586</v>
      </c>
      <c r="E7383" t="s" s="9">
        <v>2587</v>
      </c>
      <c r="F7383" t="s" s="10">
        <v>63</v>
      </c>
      <c r="G7383" t="s" s="11">
        <v>63</v>
      </c>
      <c r="H7383" t="s" s="10">
        <v>63</v>
      </c>
      <c r="I7383" t="s" s="11">
        <v>63</v>
      </c>
      <c r="J7383" t="s" s="11">
        <v>20</v>
      </c>
      <c r="K7383" t="s" s="16">
        <f>HYPERLINK("http://csr.bu.edu/ftp/asl/asllvd/demos/verify_start_end_handshape_annotations//test_auto_move//signs_mov/1763.mov","MOV")</f>
        <v>21</v>
      </c>
      <c r="L7383" t="s" s="16">
        <f>HYPERLINK("http://csr.bu.edu/ftp/asl/asllvd/demos/verify_start_end_handshape_annotations//test_auto_move//signs_mov_separ_signers/Brady_1763.mov","MOV")</f>
        <v>21</v>
      </c>
      <c r="M7383" t="s" s="10">
        <v>40</v>
      </c>
      <c r="N7383" s="17">
        <v>24</v>
      </c>
      <c r="O7383" s="18">
        <v>2168</v>
      </c>
      <c r="P7383" s="18">
        <v>2208</v>
      </c>
      <c r="Q7383" t="s" s="16">
        <f>HYPERLINK("http://secrets.rutgers.edu:8080/data/asl-ftp/asllvd/demos/verify_start_end_handshape_annotations//test_auto_move//signs_mov/1763.mov","MOV")</f>
        <v>21</v>
      </c>
      <c r="R7383" t="s" s="16">
        <f>HYPERLINK("http://secrets.rutgers.edu:8080/data/asl-ftp/asllvd/demos/verify_start_end_handshape_annotations//test_auto_move//signs_mov_separ_signers/Brady_1763.mov","MOV")</f>
        <v>21</v>
      </c>
    </row>
    <row r="7384" s="2" customFormat="1" ht="13.5" customHeight="1">
      <c r="B7384" t="s" s="8">
        <v>52</v>
      </c>
      <c r="C7384" t="s" s="9">
        <v>53</v>
      </c>
      <c r="D7384" t="s" s="8">
        <v>53</v>
      </c>
      <c r="E7384" t="s" s="9">
        <v>53</v>
      </c>
      <c r="F7384" t="s" s="10">
        <v>53</v>
      </c>
      <c r="G7384" t="s" s="11">
        <v>53</v>
      </c>
      <c r="H7384" t="s" s="10">
        <v>53</v>
      </c>
      <c r="I7384" t="s" s="11">
        <v>53</v>
      </c>
      <c r="J7384" t="s" s="11">
        <v>53</v>
      </c>
      <c r="K7384" t="s" s="12">
        <v>53</v>
      </c>
      <c r="L7384" t="s" s="12">
        <v>53</v>
      </c>
      <c r="M7384" t="s" s="10">
        <v>53</v>
      </c>
      <c r="N7384" t="s" s="11">
        <v>53</v>
      </c>
      <c r="O7384" t="s" s="8">
        <v>53</v>
      </c>
      <c r="P7384" t="s" s="8">
        <v>53</v>
      </c>
      <c r="Q7384" t="s" s="12">
        <v>53</v>
      </c>
      <c r="R7384" t="s" s="12">
        <v>53</v>
      </c>
    </row>
    <row r="7385" s="2" customFormat="1" ht="13.5" customHeight="1">
      <c r="B7385" s="13"/>
      <c r="C7385" t="s" s="9">
        <v>16</v>
      </c>
      <c r="D7385" t="s" s="8">
        <v>2586</v>
      </c>
      <c r="E7385" t="s" s="9">
        <v>2588</v>
      </c>
      <c r="F7385" s="19">
        <v>10</v>
      </c>
      <c r="G7385" s="17">
        <v>10</v>
      </c>
      <c r="H7385" s="19">
        <v>10</v>
      </c>
      <c r="I7385" s="17">
        <v>10</v>
      </c>
      <c r="J7385" t="s" s="11">
        <v>20</v>
      </c>
      <c r="K7385" t="s" s="16">
        <f>HYPERLINK("http://csr.bu.edu/ftp/asl/asllvd/demos/verify_start_end_handshape_annotations//test_auto_move//signs_mov/15439.mov","MOV")</f>
        <v>21</v>
      </c>
      <c r="L7385" t="s" s="16">
        <f>HYPERLINK("http://csr.bu.edu/ftp/asl/asllvd/demos/verify_start_end_handshape_annotations//test_auto_move//signs_mov_separ_signers/Liz_15439.mov","MOV")</f>
        <v>21</v>
      </c>
      <c r="M7385" t="s" s="10">
        <v>88</v>
      </c>
      <c r="N7385" s="17">
        <v>29</v>
      </c>
      <c r="O7385" s="18">
        <v>948</v>
      </c>
      <c r="P7385" s="18">
        <v>1001</v>
      </c>
      <c r="Q7385" t="s" s="16">
        <f>HYPERLINK("http://secrets.rutgers.edu:8080/data/asl-ftp/asllvd/demos/verify_start_end_handshape_annotations//test_auto_move//signs_mov/15439.mov","MOV")</f>
        <v>21</v>
      </c>
      <c r="R7385" t="s" s="16">
        <f>HYPERLINK("http://secrets.rutgers.edu:8080/data/asl-ftp/asllvd/demos/verify_start_end_handshape_annotations//test_auto_move//signs_mov_separ_signers/Liz_15439.mov","MOV")</f>
        <v>21</v>
      </c>
    </row>
    <row r="7386" s="2" customFormat="1" ht="13.5" customHeight="1">
      <c r="B7386" t="s" s="8">
        <v>2589</v>
      </c>
      <c r="C7386" t="s" s="9">
        <v>14</v>
      </c>
      <c r="D7386" t="s" s="8">
        <v>14</v>
      </c>
      <c r="E7386" t="s" s="9">
        <v>14</v>
      </c>
      <c r="F7386" t="s" s="10">
        <v>14</v>
      </c>
      <c r="G7386" t="s" s="11">
        <v>14</v>
      </c>
      <c r="H7386" t="s" s="10">
        <v>14</v>
      </c>
      <c r="I7386" t="s" s="11">
        <v>14</v>
      </c>
      <c r="J7386" t="s" s="11">
        <v>14</v>
      </c>
      <c r="K7386" t="s" s="12">
        <v>14</v>
      </c>
      <c r="L7386" t="s" s="12">
        <v>14</v>
      </c>
      <c r="M7386" t="s" s="10">
        <v>14</v>
      </c>
      <c r="N7386" t="s" s="11">
        <v>14</v>
      </c>
      <c r="O7386" t="s" s="8">
        <v>14</v>
      </c>
      <c r="P7386" t="s" s="8">
        <v>14</v>
      </c>
      <c r="Q7386" t="s" s="12">
        <v>14</v>
      </c>
      <c r="R7386" t="s" s="12">
        <v>14</v>
      </c>
    </row>
    <row r="7387" s="2" customFormat="1" ht="13.5" customHeight="1">
      <c r="B7387" s="13"/>
      <c r="C7387" t="s" s="9">
        <v>16</v>
      </c>
      <c r="D7387" t="s" s="8">
        <v>2589</v>
      </c>
      <c r="E7387" t="s" s="9">
        <v>2589</v>
      </c>
      <c r="F7387" s="19">
        <v>10</v>
      </c>
      <c r="G7387" s="17">
        <v>10</v>
      </c>
      <c r="H7387" s="19">
        <v>10</v>
      </c>
      <c r="I7387" s="17">
        <v>10</v>
      </c>
      <c r="J7387" t="s" s="11">
        <v>20</v>
      </c>
      <c r="K7387" t="s" s="16">
        <f>HYPERLINK("http://csr.bu.edu/ftp/asl/asllvd/demos/verify_start_end_handshape_annotations//test_auto_move//signs_mov/16444.mov","MOV")</f>
        <v>21</v>
      </c>
      <c r="L7387" t="s" s="16">
        <f>HYPERLINK("http://csr.bu.edu/ftp/asl/asllvd/demos/verify_start_end_handshape_annotations//test_auto_move//signs_mov_separ_signers/Liz_16444.mov","MOV")</f>
        <v>21</v>
      </c>
      <c r="M7387" t="s" s="10">
        <v>59</v>
      </c>
      <c r="N7387" s="17">
        <v>2</v>
      </c>
      <c r="O7387" s="18">
        <v>835</v>
      </c>
      <c r="P7387" s="18">
        <v>880</v>
      </c>
      <c r="Q7387" t="s" s="16">
        <f>HYPERLINK("http://secrets.rutgers.edu:8080/data/asl-ftp/asllvd/demos/verify_start_end_handshape_annotations//test_auto_move//signs_mov/16444.mov","MOV")</f>
        <v>21</v>
      </c>
      <c r="R7387" t="s" s="16">
        <f>HYPERLINK("http://secrets.rutgers.edu:8080/data/asl-ftp/asllvd/demos/verify_start_end_handshape_annotations//test_auto_move//signs_mov_separ_signers/Liz_16444.mov","MOV")</f>
        <v>21</v>
      </c>
    </row>
    <row r="7388" s="2" customFormat="1" ht="13.5" customHeight="1">
      <c r="B7388" s="13"/>
      <c r="C7388" t="s" s="9">
        <v>30</v>
      </c>
      <c r="D7388" t="s" s="8">
        <v>2589</v>
      </c>
      <c r="E7388" t="s" s="9">
        <v>2589</v>
      </c>
      <c r="F7388" s="19">
        <v>10</v>
      </c>
      <c r="G7388" s="17">
        <v>10</v>
      </c>
      <c r="H7388" s="19">
        <v>10</v>
      </c>
      <c r="I7388" s="17">
        <v>10</v>
      </c>
      <c r="J7388" t="s" s="11">
        <v>20</v>
      </c>
      <c r="K7388" s="15"/>
      <c r="L7388" t="s" s="16">
        <f>HYPERLINK("http://csr.bu.edu/ftp/asl/asllvd/demos/verify_start_end_handshape_annotations//test_auto_move//signs_mov_separ_signers/Brady_16444.mov","MOV")</f>
        <v>21</v>
      </c>
      <c r="M7388" t="s" s="10">
        <v>40</v>
      </c>
      <c r="N7388" s="17">
        <v>106</v>
      </c>
      <c r="O7388" s="18">
        <v>3330</v>
      </c>
      <c r="P7388" s="18">
        <v>3376</v>
      </c>
      <c r="Q7388" s="15"/>
      <c r="R7388" t="s" s="16">
        <f>HYPERLINK("http://secrets.rutgers.edu:8080/data/asl-ftp/asllvd/demos/verify_start_end_handshape_annotations//test_auto_move//signs_mov_separ_signers/Brady_16444.mov","MOV")</f>
        <v>21</v>
      </c>
    </row>
    <row r="7389" s="2" customFormat="1" ht="13.5" customHeight="1">
      <c r="B7389" t="s" s="8">
        <v>2590</v>
      </c>
      <c r="C7389" t="s" s="9">
        <v>14</v>
      </c>
      <c r="D7389" t="s" s="8">
        <v>14</v>
      </c>
      <c r="E7389" t="s" s="9">
        <v>14</v>
      </c>
      <c r="F7389" t="s" s="10">
        <v>14</v>
      </c>
      <c r="G7389" t="s" s="11">
        <v>14</v>
      </c>
      <c r="H7389" t="s" s="10">
        <v>14</v>
      </c>
      <c r="I7389" t="s" s="11">
        <v>14</v>
      </c>
      <c r="J7389" t="s" s="11">
        <v>14</v>
      </c>
      <c r="K7389" t="s" s="12">
        <v>14</v>
      </c>
      <c r="L7389" t="s" s="12">
        <v>14</v>
      </c>
      <c r="M7389" t="s" s="10">
        <v>14</v>
      </c>
      <c r="N7389" t="s" s="11">
        <v>14</v>
      </c>
      <c r="O7389" t="s" s="8">
        <v>14</v>
      </c>
      <c r="P7389" t="s" s="8">
        <v>14</v>
      </c>
      <c r="Q7389" t="s" s="12">
        <v>14</v>
      </c>
      <c r="R7389" t="s" s="12">
        <v>14</v>
      </c>
    </row>
    <row r="7390" s="2" customFormat="1" ht="13.5" customHeight="1">
      <c r="B7390" s="13"/>
      <c r="C7390" t="s" s="9">
        <v>16</v>
      </c>
      <c r="D7390" t="s" s="8">
        <v>2590</v>
      </c>
      <c r="E7390" t="s" s="9">
        <v>2591</v>
      </c>
      <c r="F7390" t="s" s="10">
        <v>80</v>
      </c>
      <c r="G7390" t="s" s="11">
        <v>73</v>
      </c>
      <c r="H7390" t="s" s="10">
        <v>73</v>
      </c>
      <c r="I7390" t="s" s="11">
        <v>73</v>
      </c>
      <c r="J7390" t="s" s="11">
        <v>20</v>
      </c>
      <c r="K7390" s="15"/>
      <c r="L7390" t="s" s="16">
        <f>HYPERLINK("http://csr.bu.edu/ftp/asl/asllvd/demos/verify_start_end_handshape_annotations//test_auto_move//signs_mov_separ_signers/Liz_1764.mov","MOV")</f>
        <v>21</v>
      </c>
      <c r="M7390" t="s" s="10">
        <v>88</v>
      </c>
      <c r="N7390" s="17">
        <v>29</v>
      </c>
      <c r="O7390" s="18">
        <v>1187</v>
      </c>
      <c r="P7390" s="18">
        <v>1250</v>
      </c>
      <c r="Q7390" s="15"/>
      <c r="R7390" t="s" s="16">
        <f>HYPERLINK("http://secrets.rutgers.edu:8080/data/asl-ftp/asllvd/demos/verify_start_end_handshape_annotations//test_auto_move//signs_mov_separ_signers/Liz_1764.mov","MOV")</f>
        <v>21</v>
      </c>
    </row>
    <row r="7391" s="2" customFormat="1" ht="13.5" customHeight="1">
      <c r="B7391" s="13"/>
      <c r="C7391" t="s" s="9">
        <v>16</v>
      </c>
      <c r="D7391" t="s" s="8">
        <v>2590</v>
      </c>
      <c r="E7391" t="s" s="9">
        <v>2591</v>
      </c>
      <c r="F7391" t="s" s="10">
        <v>73</v>
      </c>
      <c r="G7391" t="s" s="11">
        <v>73</v>
      </c>
      <c r="H7391" t="s" s="10">
        <v>73</v>
      </c>
      <c r="I7391" t="s" s="11">
        <v>73</v>
      </c>
      <c r="J7391" t="s" s="11">
        <v>20</v>
      </c>
      <c r="K7391" s="15"/>
      <c r="L7391" t="s" s="16">
        <f>HYPERLINK("http://csr.bu.edu/ftp/asl/asllvd/demos/verify_start_end_handshape_annotations//test_auto_move//signs_mov_separ_signers/Liz_5757.mov","MOV")</f>
        <v>21</v>
      </c>
      <c r="M7391" t="s" s="10">
        <v>59</v>
      </c>
      <c r="N7391" s="17">
        <v>34</v>
      </c>
      <c r="O7391" s="18">
        <v>2907</v>
      </c>
      <c r="P7391" s="18">
        <v>2952</v>
      </c>
      <c r="Q7391" s="15"/>
      <c r="R7391" t="s" s="16">
        <f>HYPERLINK("http://secrets.rutgers.edu:8080/data/asl-ftp/asllvd/demos/verify_start_end_handshape_annotations//test_auto_move//signs_mov_separ_signers/Liz_5757.mov","MOV")</f>
        <v>21</v>
      </c>
    </row>
    <row r="7392" s="2" customFormat="1" ht="13.5" customHeight="1">
      <c r="B7392" s="13"/>
      <c r="C7392" t="s" s="9">
        <v>30</v>
      </c>
      <c r="D7392" t="s" s="8">
        <v>2590</v>
      </c>
      <c r="E7392" t="s" s="9">
        <v>2591</v>
      </c>
      <c r="F7392" t="s" s="10">
        <v>73</v>
      </c>
      <c r="G7392" t="s" s="11">
        <v>73</v>
      </c>
      <c r="H7392" t="s" s="10">
        <v>73</v>
      </c>
      <c r="I7392" t="s" s="11">
        <v>73</v>
      </c>
      <c r="J7392" t="s" s="11">
        <v>20</v>
      </c>
      <c r="K7392" t="s" s="16">
        <f>HYPERLINK("http://csr.bu.edu/ftp/asl/asllvd/demos/verify_start_end_handshape_annotations//test_auto_move//signs_mov/1764_5757_merged.mov","MOV")</f>
        <v>21</v>
      </c>
      <c r="L7392" t="s" s="16">
        <f>HYPERLINK("http://csr.bu.edu/ftp/asl/asllvd/demos/verify_start_end_handshape_annotations//test_auto_move//signs_mov_separ_signers/Brady_1764.mov","MOV")</f>
        <v>21</v>
      </c>
      <c r="M7392" t="s" s="10">
        <v>40</v>
      </c>
      <c r="N7392" s="17">
        <v>24</v>
      </c>
      <c r="O7392" s="18">
        <v>2530</v>
      </c>
      <c r="P7392" s="18">
        <v>2566</v>
      </c>
      <c r="Q7392" t="s" s="16">
        <f>HYPERLINK("http://secrets.rutgers.edu:8080/data/asl-ftp/asllvd/demos/verify_start_end_handshape_annotations//test_auto_move//signs_mov/1764_5757_merged.mov","MOV")</f>
        <v>21</v>
      </c>
      <c r="R7392" t="s" s="16">
        <f>HYPERLINK("http://secrets.rutgers.edu:8080/data/asl-ftp/asllvd/demos/verify_start_end_handshape_annotations//test_auto_move//signs_mov_separ_signers/Brady_1764.mov","MOV")</f>
        <v>21</v>
      </c>
    </row>
    <row r="7393" s="2" customFormat="1" ht="13.5" customHeight="1">
      <c r="B7393" s="13"/>
      <c r="C7393" t="s" s="9">
        <v>30</v>
      </c>
      <c r="D7393" t="s" s="8">
        <v>2590</v>
      </c>
      <c r="E7393" t="s" s="9">
        <v>2591</v>
      </c>
      <c r="F7393" t="s" s="10">
        <v>73</v>
      </c>
      <c r="G7393" t="s" s="11">
        <v>73</v>
      </c>
      <c r="H7393" t="s" s="10">
        <v>73</v>
      </c>
      <c r="I7393" t="s" s="11">
        <v>73</v>
      </c>
      <c r="J7393" t="s" s="11">
        <v>20</v>
      </c>
      <c r="K7393" s="15"/>
      <c r="L7393" t="s" s="16">
        <f>HYPERLINK("http://csr.bu.edu/ftp/asl/asllvd/demos/verify_start_end_handshape_annotations//test_auto_move//signs_mov_separ_signers/Brady_5757.mov","MOV")</f>
        <v>21</v>
      </c>
      <c r="M7393" t="s" s="10">
        <v>60</v>
      </c>
      <c r="N7393" s="17">
        <v>23</v>
      </c>
      <c r="O7393" s="18">
        <v>459</v>
      </c>
      <c r="P7393" s="18">
        <v>519</v>
      </c>
      <c r="Q7393" s="15"/>
      <c r="R7393" t="s" s="16">
        <f>HYPERLINK("http://secrets.rutgers.edu:8080/data/asl-ftp/asllvd/demos/verify_start_end_handshape_annotations//test_auto_move//signs_mov_separ_signers/Brady_5757.mov","MOV")</f>
        <v>21</v>
      </c>
    </row>
    <row r="7394" s="2" customFormat="1" ht="13.5" customHeight="1">
      <c r="B7394" s="13"/>
      <c r="C7394" t="s" s="9">
        <v>41</v>
      </c>
      <c r="D7394" t="s" s="8">
        <v>2590</v>
      </c>
      <c r="E7394" t="s" s="9">
        <v>2591</v>
      </c>
      <c r="F7394" t="s" s="10">
        <v>80</v>
      </c>
      <c r="G7394" t="s" s="11">
        <v>73</v>
      </c>
      <c r="H7394" t="s" s="10">
        <v>73</v>
      </c>
      <c r="I7394" t="s" s="11">
        <v>73</v>
      </c>
      <c r="J7394" t="s" s="11">
        <v>20</v>
      </c>
      <c r="K7394" s="15"/>
      <c r="L7394" t="s" s="16">
        <f>HYPERLINK("http://csr.bu.edu/ftp/asl/asllvd/demos/verify_start_end_handshape_annotations//test_auto_move//signs_mov_separ_signers/Lana_1764.mov","MOV")</f>
        <v>21</v>
      </c>
      <c r="M7394" t="s" s="10">
        <v>42</v>
      </c>
      <c r="N7394" s="17">
        <v>20</v>
      </c>
      <c r="O7394" s="18">
        <v>963</v>
      </c>
      <c r="P7394" s="18">
        <v>1022</v>
      </c>
      <c r="Q7394" s="15"/>
      <c r="R7394" t="s" s="16">
        <f>HYPERLINK("http://secrets.rutgers.edu:8080/data/asl-ftp/asllvd/demos/verify_start_end_handshape_annotations//test_auto_move//signs_mov_separ_signers/Lana_1764.mov","MOV")</f>
        <v>21</v>
      </c>
    </row>
    <row r="7395" s="2" customFormat="1" ht="13.5" customHeight="1">
      <c r="B7395" s="13"/>
      <c r="C7395" t="s" s="9">
        <v>43</v>
      </c>
      <c r="D7395" t="s" s="8">
        <v>2590</v>
      </c>
      <c r="E7395" t="s" s="9">
        <v>2591</v>
      </c>
      <c r="F7395" t="s" s="10">
        <v>73</v>
      </c>
      <c r="G7395" t="s" s="11">
        <v>73</v>
      </c>
      <c r="H7395" t="s" s="10">
        <v>80</v>
      </c>
      <c r="I7395" t="s" s="11">
        <v>73</v>
      </c>
      <c r="J7395" t="s" s="11">
        <v>20</v>
      </c>
      <c r="K7395" s="15"/>
      <c r="L7395" t="s" s="16">
        <f>HYPERLINK("http://csr.bu.edu/ftp/asl/asllvd/demos/verify_start_end_handshape_annotations//test_auto_move//signs_mov_separ_signers/Dana_1764.mov","MOV")</f>
        <v>21</v>
      </c>
      <c r="M7395" t="s" s="10">
        <v>44</v>
      </c>
      <c r="N7395" s="17">
        <v>22</v>
      </c>
      <c r="O7395" s="18">
        <v>853</v>
      </c>
      <c r="P7395" s="18">
        <v>939</v>
      </c>
      <c r="Q7395" s="15"/>
      <c r="R7395" t="s" s="16">
        <f>HYPERLINK("http://secrets.rutgers.edu:8080/data/asl-ftp/asllvd/demos/verify_start_end_handshape_annotations//test_auto_move//signs_mov_separ_signers/Dana_1764.mov","MOV")</f>
        <v>21</v>
      </c>
    </row>
    <row r="7396" s="2" customFormat="1" ht="13.5" customHeight="1">
      <c r="B7396" t="s" s="8">
        <v>52</v>
      </c>
      <c r="C7396" t="s" s="9">
        <v>53</v>
      </c>
      <c r="D7396" t="s" s="8">
        <v>53</v>
      </c>
      <c r="E7396" t="s" s="9">
        <v>53</v>
      </c>
      <c r="F7396" t="s" s="10">
        <v>53</v>
      </c>
      <c r="G7396" t="s" s="11">
        <v>53</v>
      </c>
      <c r="H7396" t="s" s="10">
        <v>53</v>
      </c>
      <c r="I7396" t="s" s="11">
        <v>53</v>
      </c>
      <c r="J7396" t="s" s="11">
        <v>53</v>
      </c>
      <c r="K7396" t="s" s="12">
        <v>53</v>
      </c>
      <c r="L7396" t="s" s="12">
        <v>53</v>
      </c>
      <c r="M7396" t="s" s="10">
        <v>53</v>
      </c>
      <c r="N7396" t="s" s="11">
        <v>53</v>
      </c>
      <c r="O7396" t="s" s="8">
        <v>53</v>
      </c>
      <c r="P7396" t="s" s="8">
        <v>53</v>
      </c>
      <c r="Q7396" t="s" s="12">
        <v>53</v>
      </c>
      <c r="R7396" t="s" s="12">
        <v>53</v>
      </c>
    </row>
    <row r="7397" s="2" customFormat="1" ht="13.5" customHeight="1">
      <c r="B7397" s="13"/>
      <c r="C7397" t="s" s="9">
        <v>16</v>
      </c>
      <c r="D7397" t="s" s="8">
        <v>2590</v>
      </c>
      <c r="E7397" t="s" s="9">
        <v>2592</v>
      </c>
      <c r="F7397" t="s" s="10">
        <v>229</v>
      </c>
      <c r="G7397" t="s" s="11">
        <v>73</v>
      </c>
      <c r="H7397" t="s" s="10">
        <v>229</v>
      </c>
      <c r="I7397" t="s" s="11">
        <v>73</v>
      </c>
      <c r="J7397" t="s" s="11">
        <v>20</v>
      </c>
      <c r="K7397" t="s" s="16">
        <f>HYPERLINK("http://csr.bu.edu/ftp/asl/asllvd/demos/verify_start_end_handshape_annotations//test_auto_move//signs_mov/15246.mov","MOV")</f>
        <v>21</v>
      </c>
      <c r="L7397" t="s" s="16">
        <f>HYPERLINK("http://csr.bu.edu/ftp/asl/asllvd/demos/verify_start_end_handshape_annotations//test_auto_move//signs_mov_separ_signers/Liz_15246.mov","MOV")</f>
        <v>21</v>
      </c>
      <c r="M7397" t="s" s="10">
        <v>88</v>
      </c>
      <c r="N7397" s="17">
        <v>29</v>
      </c>
      <c r="O7397" s="18">
        <v>1465</v>
      </c>
      <c r="P7397" s="18">
        <v>1532</v>
      </c>
      <c r="Q7397" t="s" s="16">
        <f>HYPERLINK("http://secrets.rutgers.edu:8080/data/asl-ftp/asllvd/demos/verify_start_end_handshape_annotations//test_auto_move//signs_mov/15246.mov","MOV")</f>
        <v>21</v>
      </c>
      <c r="R7397" t="s" s="16">
        <f>HYPERLINK("http://secrets.rutgers.edu:8080/data/asl-ftp/asllvd/demos/verify_start_end_handshape_annotations//test_auto_move//signs_mov_separ_signers/Liz_15246.mov","MOV")</f>
        <v>21</v>
      </c>
    </row>
    <row r="7398" s="2" customFormat="1" ht="13.5" customHeight="1">
      <c r="B7398" s="13"/>
      <c r="C7398" t="s" s="9">
        <v>30</v>
      </c>
      <c r="D7398" t="s" s="8">
        <v>2590</v>
      </c>
      <c r="E7398" t="s" s="9">
        <v>2592</v>
      </c>
      <c r="F7398" t="s" s="10">
        <v>240</v>
      </c>
      <c r="G7398" t="s" s="11">
        <v>73</v>
      </c>
      <c r="H7398" t="s" s="10">
        <v>240</v>
      </c>
      <c r="I7398" t="s" s="11">
        <v>73</v>
      </c>
      <c r="J7398" t="s" s="11">
        <v>20</v>
      </c>
      <c r="K7398" s="15"/>
      <c r="L7398" t="s" s="16">
        <f>HYPERLINK("http://csr.bu.edu/ftp/asl/asllvd/demos/verify_start_end_handshape_annotations//test_auto_move//signs_mov_separ_signers/Brady_15246.mov","MOV")</f>
        <v>21</v>
      </c>
      <c r="M7398" t="s" s="10">
        <v>40</v>
      </c>
      <c r="N7398" s="17">
        <v>24</v>
      </c>
      <c r="O7398" s="18">
        <v>2910</v>
      </c>
      <c r="P7398" s="18">
        <v>2960</v>
      </c>
      <c r="Q7398" s="15"/>
      <c r="R7398" t="s" s="16">
        <f>HYPERLINK("http://secrets.rutgers.edu:8080/data/asl-ftp/asllvd/demos/verify_start_end_handshape_annotations//test_auto_move//signs_mov_separ_signers/Brady_15246.mov","MOV")</f>
        <v>21</v>
      </c>
    </row>
    <row r="7399" s="2" customFormat="1" ht="13.5" customHeight="1">
      <c r="B7399" t="s" s="8">
        <v>2593</v>
      </c>
      <c r="C7399" t="s" s="9">
        <v>14</v>
      </c>
      <c r="D7399" t="s" s="8">
        <v>14</v>
      </c>
      <c r="E7399" t="s" s="9">
        <v>14</v>
      </c>
      <c r="F7399" t="s" s="10">
        <v>14</v>
      </c>
      <c r="G7399" t="s" s="11">
        <v>14</v>
      </c>
      <c r="H7399" t="s" s="10">
        <v>14</v>
      </c>
      <c r="I7399" t="s" s="11">
        <v>14</v>
      </c>
      <c r="J7399" t="s" s="11">
        <v>14</v>
      </c>
      <c r="K7399" t="s" s="12">
        <v>14</v>
      </c>
      <c r="L7399" t="s" s="12">
        <v>14</v>
      </c>
      <c r="M7399" t="s" s="10">
        <v>14</v>
      </c>
      <c r="N7399" t="s" s="11">
        <v>14</v>
      </c>
      <c r="O7399" t="s" s="8">
        <v>14</v>
      </c>
      <c r="P7399" t="s" s="8">
        <v>14</v>
      </c>
      <c r="Q7399" t="s" s="12">
        <v>14</v>
      </c>
      <c r="R7399" t="s" s="12">
        <v>14</v>
      </c>
    </row>
    <row r="7400" s="2" customFormat="1" ht="13.5" customHeight="1">
      <c r="B7400" s="13"/>
      <c r="C7400" t="s" s="9">
        <v>16</v>
      </c>
      <c r="D7400" t="s" s="8">
        <v>2593</v>
      </c>
      <c r="E7400" t="s" s="9">
        <v>2594</v>
      </c>
      <c r="F7400" t="s" s="10">
        <v>187</v>
      </c>
      <c r="G7400" t="s" s="11">
        <v>73</v>
      </c>
      <c r="H7400" t="s" s="10">
        <v>187</v>
      </c>
      <c r="I7400" t="s" s="11">
        <v>73</v>
      </c>
      <c r="J7400" t="s" s="11">
        <v>20</v>
      </c>
      <c r="K7400" t="s" s="16">
        <f>HYPERLINK("http://csr.bu.edu/ftp/asl/asllvd/demos/verify_start_end_handshape_annotations//test_auto_move//signs_mov/15256.mov","MOV")</f>
        <v>21</v>
      </c>
      <c r="L7400" t="s" s="16">
        <f>HYPERLINK("http://csr.bu.edu/ftp/asl/asllvd/demos/verify_start_end_handshape_annotations//test_auto_move//signs_mov_separ_signers/Liz_15256.mov","MOV")</f>
        <v>21</v>
      </c>
      <c r="M7400" t="s" s="10">
        <v>36</v>
      </c>
      <c r="N7400" s="17">
        <v>49</v>
      </c>
      <c r="O7400" s="18">
        <v>2645</v>
      </c>
      <c r="P7400" s="18">
        <v>2715</v>
      </c>
      <c r="Q7400" t="s" s="16">
        <f>HYPERLINK("http://secrets.rutgers.edu:8080/data/asl-ftp/asllvd/demos/verify_start_end_handshape_annotations//test_auto_move//signs_mov/15256.mov","MOV")</f>
        <v>21</v>
      </c>
      <c r="R7400" t="s" s="16">
        <f>HYPERLINK("http://secrets.rutgers.edu:8080/data/asl-ftp/asllvd/demos/verify_start_end_handshape_annotations//test_auto_move//signs_mov_separ_signers/Liz_15256.mov","MOV")</f>
        <v>21</v>
      </c>
    </row>
    <row r="7401" s="2" customFormat="1" ht="13.5" customHeight="1">
      <c r="B7401" s="13"/>
      <c r="C7401" t="s" s="9">
        <v>30</v>
      </c>
      <c r="D7401" t="s" s="8">
        <v>2593</v>
      </c>
      <c r="E7401" t="s" s="9">
        <v>2594</v>
      </c>
      <c r="F7401" t="s" s="10">
        <v>72</v>
      </c>
      <c r="G7401" s="17">
        <v>5</v>
      </c>
      <c r="H7401" t="s" s="10">
        <v>72</v>
      </c>
      <c r="I7401" s="17">
        <v>5</v>
      </c>
      <c r="J7401" t="s" s="11">
        <v>20</v>
      </c>
      <c r="K7401" s="15"/>
      <c r="L7401" t="s" s="16">
        <f>HYPERLINK("http://csr.bu.edu/ftp/asl/asllvd/demos/verify_start_end_handshape_annotations//test_auto_move//signs_mov_separ_signers/Brady_15256.mov","MOV")</f>
        <v>21</v>
      </c>
      <c r="M7401" t="s" s="10">
        <v>40</v>
      </c>
      <c r="N7401" s="17">
        <v>101</v>
      </c>
      <c r="O7401" s="18">
        <v>442</v>
      </c>
      <c r="P7401" s="18">
        <v>492</v>
      </c>
      <c r="Q7401" s="15"/>
      <c r="R7401" t="s" s="16">
        <f>HYPERLINK("http://secrets.rutgers.edu:8080/data/asl-ftp/asllvd/demos/verify_start_end_handshape_annotations//test_auto_move//signs_mov_separ_signers/Brady_15256.mov","MOV")</f>
        <v>21</v>
      </c>
    </row>
    <row r="7402" s="2" customFormat="1" ht="13.5" customHeight="1">
      <c r="B7402" t="s" s="8">
        <v>2595</v>
      </c>
      <c r="C7402" t="s" s="9">
        <v>14</v>
      </c>
      <c r="D7402" t="s" s="8">
        <v>14</v>
      </c>
      <c r="E7402" t="s" s="9">
        <v>14</v>
      </c>
      <c r="F7402" t="s" s="10">
        <v>14</v>
      </c>
      <c r="G7402" t="s" s="11">
        <v>14</v>
      </c>
      <c r="H7402" t="s" s="10">
        <v>14</v>
      </c>
      <c r="I7402" t="s" s="11">
        <v>14</v>
      </c>
      <c r="J7402" t="s" s="11">
        <v>14</v>
      </c>
      <c r="K7402" t="s" s="12">
        <v>14</v>
      </c>
      <c r="L7402" t="s" s="12">
        <v>14</v>
      </c>
      <c r="M7402" t="s" s="10">
        <v>14</v>
      </c>
      <c r="N7402" t="s" s="11">
        <v>14</v>
      </c>
      <c r="O7402" t="s" s="8">
        <v>14</v>
      </c>
      <c r="P7402" t="s" s="8">
        <v>14</v>
      </c>
      <c r="Q7402" t="s" s="12">
        <v>14</v>
      </c>
      <c r="R7402" t="s" s="12">
        <v>14</v>
      </c>
    </row>
    <row r="7403" s="2" customFormat="1" ht="13.5" customHeight="1">
      <c r="B7403" s="13"/>
      <c r="C7403" t="s" s="9">
        <v>16</v>
      </c>
      <c r="D7403" t="s" s="8">
        <v>2595</v>
      </c>
      <c r="E7403" t="s" s="9">
        <v>2596</v>
      </c>
      <c r="F7403" t="s" s="10">
        <v>437</v>
      </c>
      <c r="G7403" t="s" s="11">
        <v>73</v>
      </c>
      <c r="H7403" t="s" s="10">
        <v>282</v>
      </c>
      <c r="I7403" t="s" s="11">
        <v>73</v>
      </c>
      <c r="J7403" t="s" s="11">
        <v>20</v>
      </c>
      <c r="K7403" t="s" s="16">
        <f>HYPERLINK("http://csr.bu.edu/ftp/asl/asllvd/demos/verify_start_end_handshape_annotations//test_auto_move//signs_mov/15269.mov","MOV")</f>
        <v>21</v>
      </c>
      <c r="L7403" t="s" s="16">
        <f>HYPERLINK("http://csr.bu.edu/ftp/asl/asllvd/demos/verify_start_end_handshape_annotations//test_auto_move//signs_mov_separ_signers/Liz_15269.mov","MOV")</f>
        <v>21</v>
      </c>
      <c r="M7403" t="s" s="10">
        <v>88</v>
      </c>
      <c r="N7403" s="17">
        <v>34</v>
      </c>
      <c r="O7403" s="18">
        <v>935</v>
      </c>
      <c r="P7403" s="18">
        <v>1000</v>
      </c>
      <c r="Q7403" t="s" s="16">
        <f>HYPERLINK("http://secrets.rutgers.edu:8080/data/asl-ftp/asllvd/demos/verify_start_end_handshape_annotations//test_auto_move//signs_mov/15269.mov","MOV")</f>
        <v>21</v>
      </c>
      <c r="R7403" t="s" s="16">
        <f>HYPERLINK("http://secrets.rutgers.edu:8080/data/asl-ftp/asllvd/demos/verify_start_end_handshape_annotations//test_auto_move//signs_mov_separ_signers/Liz_15269.mov","MOV")</f>
        <v>21</v>
      </c>
    </row>
    <row r="7404" s="2" customFormat="1" ht="13.5" customHeight="1">
      <c r="B7404" t="s" s="8">
        <v>2597</v>
      </c>
      <c r="C7404" t="s" s="9">
        <v>14</v>
      </c>
      <c r="D7404" t="s" s="8">
        <v>14</v>
      </c>
      <c r="E7404" t="s" s="9">
        <v>14</v>
      </c>
      <c r="F7404" t="s" s="10">
        <v>14</v>
      </c>
      <c r="G7404" t="s" s="11">
        <v>14</v>
      </c>
      <c r="H7404" t="s" s="10">
        <v>14</v>
      </c>
      <c r="I7404" t="s" s="11">
        <v>14</v>
      </c>
      <c r="J7404" t="s" s="11">
        <v>14</v>
      </c>
      <c r="K7404" t="s" s="12">
        <v>14</v>
      </c>
      <c r="L7404" t="s" s="12">
        <v>14</v>
      </c>
      <c r="M7404" t="s" s="10">
        <v>14</v>
      </c>
      <c r="N7404" t="s" s="11">
        <v>14</v>
      </c>
      <c r="O7404" t="s" s="8">
        <v>14</v>
      </c>
      <c r="P7404" t="s" s="8">
        <v>14</v>
      </c>
      <c r="Q7404" t="s" s="12">
        <v>14</v>
      </c>
      <c r="R7404" t="s" s="12">
        <v>14</v>
      </c>
    </row>
    <row r="7405" s="2" customFormat="1" ht="13.5" customHeight="1">
      <c r="B7405" s="13"/>
      <c r="C7405" t="s" s="9">
        <v>16</v>
      </c>
      <c r="D7405" t="s" s="8">
        <v>2597</v>
      </c>
      <c r="E7405" t="s" s="9">
        <v>2597</v>
      </c>
      <c r="F7405" t="s" s="10">
        <v>282</v>
      </c>
      <c r="G7405" t="s" s="11">
        <v>51</v>
      </c>
      <c r="H7405" t="s" s="10">
        <v>282</v>
      </c>
      <c r="I7405" t="s" s="11">
        <v>51</v>
      </c>
      <c r="J7405" t="s" s="11">
        <v>20</v>
      </c>
      <c r="K7405" t="s" s="16">
        <f>HYPERLINK("http://csr.bu.edu/ftp/asl/asllvd/demos/verify_start_end_handshape_annotations//test_auto_move//signs_mov/1768.mov","MOV")</f>
        <v>21</v>
      </c>
      <c r="L7405" t="s" s="16">
        <f>HYPERLINK("http://csr.bu.edu/ftp/asl/asllvd/demos/verify_start_end_handshape_annotations//test_auto_move//signs_mov_separ_signers/Liz_1768.mov","MOV")</f>
        <v>21</v>
      </c>
      <c r="M7405" t="s" s="10">
        <v>88</v>
      </c>
      <c r="N7405" s="17">
        <v>29</v>
      </c>
      <c r="O7405" s="18">
        <v>2428</v>
      </c>
      <c r="P7405" s="18">
        <v>2506</v>
      </c>
      <c r="Q7405" t="s" s="16">
        <f>HYPERLINK("http://secrets.rutgers.edu:8080/data/asl-ftp/asllvd/demos/verify_start_end_handshape_annotations//test_auto_move//signs_mov/1768.mov","MOV")</f>
        <v>21</v>
      </c>
      <c r="R7405" t="s" s="16">
        <f>HYPERLINK("http://secrets.rutgers.edu:8080/data/asl-ftp/asllvd/demos/verify_start_end_handshape_annotations//test_auto_move//signs_mov_separ_signers/Liz_1768.mov","MOV")</f>
        <v>21</v>
      </c>
    </row>
    <row r="7406" s="2" customFormat="1" ht="13.5" customHeight="1">
      <c r="B7406" s="13"/>
      <c r="C7406" t="s" s="9">
        <v>30</v>
      </c>
      <c r="D7406" t="s" s="8">
        <v>2597</v>
      </c>
      <c r="E7406" t="s" s="9">
        <v>2597</v>
      </c>
      <c r="F7406" s="19">
        <v>1</v>
      </c>
      <c r="G7406" t="s" s="11">
        <v>282</v>
      </c>
      <c r="H7406" s="19">
        <v>1</v>
      </c>
      <c r="I7406" t="s" s="11">
        <v>282</v>
      </c>
      <c r="J7406" t="s" s="11">
        <v>20</v>
      </c>
      <c r="K7406" s="15"/>
      <c r="L7406" t="s" s="16">
        <f>HYPERLINK("http://csr.bu.edu/ftp/asl/asllvd/demos/verify_start_end_handshape_annotations//test_auto_move//signs_mov_separ_signers/Brady_1768.mov","MOV")</f>
        <v>21</v>
      </c>
      <c r="M7406" t="s" s="10">
        <v>40</v>
      </c>
      <c r="N7406" s="17">
        <v>25</v>
      </c>
      <c r="O7406" s="18">
        <v>800</v>
      </c>
      <c r="P7406" s="18">
        <v>830</v>
      </c>
      <c r="Q7406" s="15"/>
      <c r="R7406" t="s" s="16">
        <f>HYPERLINK("http://secrets.rutgers.edu:8080/data/asl-ftp/asllvd/demos/verify_start_end_handshape_annotations//test_auto_move//signs_mov_separ_signers/Brady_1768.mov","MOV")</f>
        <v>21</v>
      </c>
    </row>
    <row r="7407" s="2" customFormat="1" ht="13.5" customHeight="1">
      <c r="B7407" t="s" s="8">
        <v>2598</v>
      </c>
      <c r="C7407" t="s" s="9">
        <v>14</v>
      </c>
      <c r="D7407" t="s" s="8">
        <v>14</v>
      </c>
      <c r="E7407" t="s" s="9">
        <v>14</v>
      </c>
      <c r="F7407" t="s" s="10">
        <v>14</v>
      </c>
      <c r="G7407" t="s" s="11">
        <v>14</v>
      </c>
      <c r="H7407" t="s" s="10">
        <v>14</v>
      </c>
      <c r="I7407" t="s" s="11">
        <v>14</v>
      </c>
      <c r="J7407" t="s" s="11">
        <v>14</v>
      </c>
      <c r="K7407" t="s" s="12">
        <v>14</v>
      </c>
      <c r="L7407" t="s" s="12">
        <v>14</v>
      </c>
      <c r="M7407" t="s" s="10">
        <v>14</v>
      </c>
      <c r="N7407" t="s" s="11">
        <v>14</v>
      </c>
      <c r="O7407" t="s" s="8">
        <v>14</v>
      </c>
      <c r="P7407" t="s" s="8">
        <v>14</v>
      </c>
      <c r="Q7407" t="s" s="12">
        <v>14</v>
      </c>
      <c r="R7407" t="s" s="12">
        <v>14</v>
      </c>
    </row>
    <row r="7408" s="2" customFormat="1" ht="13.5" customHeight="1">
      <c r="B7408" s="13"/>
      <c r="C7408" t="s" s="9">
        <v>16</v>
      </c>
      <c r="D7408" t="s" s="8">
        <v>2598</v>
      </c>
      <c r="E7408" t="s" s="9">
        <v>2599</v>
      </c>
      <c r="F7408" t="s" s="10">
        <v>73</v>
      </c>
      <c r="G7408" t="s" s="11">
        <v>73</v>
      </c>
      <c r="H7408" t="s" s="10">
        <v>80</v>
      </c>
      <c r="I7408" t="s" s="11">
        <v>80</v>
      </c>
      <c r="J7408" t="s" s="11">
        <v>20</v>
      </c>
      <c r="K7408" t="s" s="16">
        <f>HYPERLINK("http://csr.bu.edu/ftp/asl/asllvd/demos/verify_start_end_handshape_annotations//test_auto_move//signs_mov/1773.mov","MOV")</f>
        <v>21</v>
      </c>
      <c r="L7408" t="s" s="16">
        <f>HYPERLINK("http://csr.bu.edu/ftp/asl/asllvd/demos/verify_start_end_handshape_annotations//test_auto_move//signs_mov_separ_signers/Liz_1773.mov","MOV")</f>
        <v>21</v>
      </c>
      <c r="M7408" t="s" s="10">
        <v>88</v>
      </c>
      <c r="N7408" s="17">
        <v>30</v>
      </c>
      <c r="O7408" s="18">
        <v>2449</v>
      </c>
      <c r="P7408" s="18">
        <v>2492</v>
      </c>
      <c r="Q7408" t="s" s="16">
        <f>HYPERLINK("http://secrets.rutgers.edu:8080/data/asl-ftp/asllvd/demos/verify_start_end_handshape_annotations//test_auto_move//signs_mov/1773.mov","MOV")</f>
        <v>21</v>
      </c>
      <c r="R7408" t="s" s="16">
        <f>HYPERLINK("http://secrets.rutgers.edu:8080/data/asl-ftp/asllvd/demos/verify_start_end_handshape_annotations//test_auto_move//signs_mov_separ_signers/Liz_1773.mov","MOV")</f>
        <v>21</v>
      </c>
    </row>
    <row r="7409" s="2" customFormat="1" ht="13.5" customHeight="1">
      <c r="B7409" s="13"/>
      <c r="C7409" t="s" s="9">
        <v>30</v>
      </c>
      <c r="D7409" t="s" s="8">
        <v>2598</v>
      </c>
      <c r="E7409" t="s" s="9">
        <v>2600</v>
      </c>
      <c r="F7409" t="s" s="10">
        <v>73</v>
      </c>
      <c r="G7409" t="s" s="11">
        <v>73</v>
      </c>
      <c r="H7409" t="s" s="10">
        <v>80</v>
      </c>
      <c r="I7409" t="s" s="11">
        <v>80</v>
      </c>
      <c r="J7409" t="s" s="11">
        <v>20</v>
      </c>
      <c r="K7409" s="15"/>
      <c r="L7409" t="s" s="16">
        <f>HYPERLINK("http://csr.bu.edu/ftp/asl/asllvd/demos/verify_start_end_handshape_annotations//test_auto_move//signs_mov_separ_signers/Brady_1773.mov","MOV")</f>
        <v>21</v>
      </c>
      <c r="M7409" t="s" s="10">
        <v>40</v>
      </c>
      <c r="N7409" s="17">
        <v>25</v>
      </c>
      <c r="O7409" s="18">
        <v>1584</v>
      </c>
      <c r="P7409" s="18">
        <v>1636</v>
      </c>
      <c r="Q7409" s="15"/>
      <c r="R7409" t="s" s="16">
        <f>HYPERLINK("http://secrets.rutgers.edu:8080/data/asl-ftp/asllvd/demos/verify_start_end_handshape_annotations//test_auto_move//signs_mov_separ_signers/Brady_1773.mov","MOV")</f>
        <v>21</v>
      </c>
    </row>
    <row r="7410" s="2" customFormat="1" ht="13.5" customHeight="1">
      <c r="B7410" t="s" s="8">
        <v>2601</v>
      </c>
      <c r="C7410" t="s" s="9">
        <v>14</v>
      </c>
      <c r="D7410" t="s" s="8">
        <v>14</v>
      </c>
      <c r="E7410" t="s" s="9">
        <v>14</v>
      </c>
      <c r="F7410" t="s" s="10">
        <v>14</v>
      </c>
      <c r="G7410" t="s" s="11">
        <v>14</v>
      </c>
      <c r="H7410" t="s" s="10">
        <v>14</v>
      </c>
      <c r="I7410" t="s" s="11">
        <v>14</v>
      </c>
      <c r="J7410" t="s" s="11">
        <v>14</v>
      </c>
      <c r="K7410" t="s" s="12">
        <v>14</v>
      </c>
      <c r="L7410" t="s" s="12">
        <v>14</v>
      </c>
      <c r="M7410" t="s" s="10">
        <v>14</v>
      </c>
      <c r="N7410" t="s" s="11">
        <v>14</v>
      </c>
      <c r="O7410" t="s" s="8">
        <v>14</v>
      </c>
      <c r="P7410" t="s" s="8">
        <v>14</v>
      </c>
      <c r="Q7410" t="s" s="12">
        <v>14</v>
      </c>
      <c r="R7410" t="s" s="12">
        <v>14</v>
      </c>
    </row>
    <row r="7411" s="2" customFormat="1" ht="13.5" customHeight="1">
      <c r="B7411" s="13"/>
      <c r="C7411" t="s" s="9">
        <v>16</v>
      </c>
      <c r="D7411" t="s" s="8">
        <v>2601</v>
      </c>
      <c r="E7411" t="s" s="9">
        <v>2602</v>
      </c>
      <c r="F7411" s="19">
        <v>5</v>
      </c>
      <c r="G7411" t="s" s="11">
        <v>73</v>
      </c>
      <c r="H7411" s="19">
        <v>5</v>
      </c>
      <c r="I7411" t="s" s="11">
        <v>73</v>
      </c>
      <c r="J7411" t="s" s="11">
        <v>20</v>
      </c>
      <c r="K7411" s="15"/>
      <c r="L7411" t="s" s="16">
        <f>HYPERLINK("http://csr.bu.edu/ftp/asl/asllvd/demos/verify_start_end_handshape_annotations//test_auto_move//signs_mov_separ_signers/Liz_1774.mov","MOV")</f>
        <v>21</v>
      </c>
      <c r="M7411" t="s" s="10">
        <v>88</v>
      </c>
      <c r="N7411" s="17">
        <v>30</v>
      </c>
      <c r="O7411" s="18">
        <v>2661</v>
      </c>
      <c r="P7411" s="18">
        <v>2698</v>
      </c>
      <c r="Q7411" s="15"/>
      <c r="R7411" t="s" s="16">
        <f>HYPERLINK("http://secrets.rutgers.edu:8080/data/asl-ftp/asllvd/demos/verify_start_end_handshape_annotations//test_auto_move//signs_mov_separ_signers/Liz_1774.mov","MOV")</f>
        <v>21</v>
      </c>
    </row>
    <row r="7412" s="2" customFormat="1" ht="13.5" customHeight="1">
      <c r="B7412" s="13"/>
      <c r="C7412" t="s" s="9">
        <v>30</v>
      </c>
      <c r="D7412" t="s" s="8">
        <v>2601</v>
      </c>
      <c r="E7412" t="s" s="9">
        <v>2602</v>
      </c>
      <c r="F7412" s="19">
        <v>5</v>
      </c>
      <c r="G7412" t="s" s="11">
        <v>73</v>
      </c>
      <c r="H7412" s="19">
        <v>5</v>
      </c>
      <c r="I7412" t="s" s="11">
        <v>73</v>
      </c>
      <c r="J7412" t="s" s="11">
        <v>20</v>
      </c>
      <c r="K7412" t="s" s="16">
        <f>HYPERLINK("http://csr.bu.edu/ftp/asl/asllvd/demos/verify_start_end_handshape_annotations//test_auto_move//signs_mov/1774.mov","MOV")</f>
        <v>21</v>
      </c>
      <c r="L7412" t="s" s="16">
        <f>HYPERLINK("http://csr.bu.edu/ftp/asl/asllvd/demos/verify_start_end_handshape_annotations//test_auto_move//signs_mov_separ_signers/Brady_1774.mov","MOV")</f>
        <v>21</v>
      </c>
      <c r="M7412" t="s" s="10">
        <v>40</v>
      </c>
      <c r="N7412" s="17">
        <v>25</v>
      </c>
      <c r="O7412" s="18">
        <v>1820</v>
      </c>
      <c r="P7412" s="18">
        <v>1846</v>
      </c>
      <c r="Q7412" t="s" s="16">
        <f>HYPERLINK("http://secrets.rutgers.edu:8080/data/asl-ftp/asllvd/demos/verify_start_end_handshape_annotations//test_auto_move//signs_mov/1774.mov","MOV")</f>
        <v>21</v>
      </c>
      <c r="R7412" t="s" s="16">
        <f>HYPERLINK("http://secrets.rutgers.edu:8080/data/asl-ftp/asllvd/demos/verify_start_end_handshape_annotations//test_auto_move//signs_mov_separ_signers/Brady_1774.mov","MOV")</f>
        <v>21</v>
      </c>
    </row>
    <row r="7413" s="2" customFormat="1" ht="13.5" customHeight="1">
      <c r="B7413" s="13"/>
      <c r="C7413" t="s" s="9">
        <v>41</v>
      </c>
      <c r="D7413" t="s" s="8">
        <v>2601</v>
      </c>
      <c r="E7413" t="s" s="9">
        <v>2602</v>
      </c>
      <c r="F7413" s="19">
        <v>5</v>
      </c>
      <c r="G7413" s="17">
        <v>5</v>
      </c>
      <c r="H7413" s="19">
        <v>5</v>
      </c>
      <c r="I7413" s="17">
        <v>5</v>
      </c>
      <c r="J7413" t="s" s="11">
        <v>20</v>
      </c>
      <c r="K7413" s="15"/>
      <c r="L7413" t="s" s="16">
        <f>HYPERLINK("http://csr.bu.edu/ftp/asl/asllvd/demos/verify_start_end_handshape_annotations//test_auto_move//signs_mov_separ_signers/Lana_1774.mov","MOV")</f>
        <v>21</v>
      </c>
      <c r="M7413" t="s" s="10">
        <v>42</v>
      </c>
      <c r="N7413" s="17">
        <v>20</v>
      </c>
      <c r="O7413" s="18">
        <v>1210</v>
      </c>
      <c r="P7413" s="18">
        <v>1248</v>
      </c>
      <c r="Q7413" s="15"/>
      <c r="R7413" t="s" s="16">
        <f>HYPERLINK("http://secrets.rutgers.edu:8080/data/asl-ftp/asllvd/demos/verify_start_end_handshape_annotations//test_auto_move//signs_mov_separ_signers/Lana_1774.mov","MOV")</f>
        <v>21</v>
      </c>
    </row>
    <row r="7414" s="2" customFormat="1" ht="13.5" customHeight="1">
      <c r="B7414" s="13"/>
      <c r="C7414" t="s" s="9">
        <v>43</v>
      </c>
      <c r="D7414" t="s" s="8">
        <v>2601</v>
      </c>
      <c r="E7414" t="s" s="9">
        <v>2602</v>
      </c>
      <c r="F7414" t="s" s="10">
        <v>73</v>
      </c>
      <c r="G7414" t="s" s="11">
        <v>73</v>
      </c>
      <c r="H7414" t="s" s="10">
        <v>73</v>
      </c>
      <c r="I7414" t="s" s="11">
        <v>73</v>
      </c>
      <c r="J7414" t="s" s="11">
        <v>20</v>
      </c>
      <c r="K7414" s="15"/>
      <c r="L7414" t="s" s="16">
        <f>HYPERLINK("http://csr.bu.edu/ftp/asl/asllvd/demos/verify_start_end_handshape_annotations//test_auto_move//signs_mov_separ_signers/Dana_1774.mov","MOV")</f>
        <v>21</v>
      </c>
      <c r="M7414" t="s" s="10">
        <v>44</v>
      </c>
      <c r="N7414" s="17">
        <v>22</v>
      </c>
      <c r="O7414" s="18">
        <v>1125</v>
      </c>
      <c r="P7414" s="18">
        <v>1170</v>
      </c>
      <c r="Q7414" s="15"/>
      <c r="R7414" t="s" s="16">
        <f>HYPERLINK("http://secrets.rutgers.edu:8080/data/asl-ftp/asllvd/demos/verify_start_end_handshape_annotations//test_auto_move//signs_mov_separ_signers/Dana_1774.mov","MOV")</f>
        <v>21</v>
      </c>
    </row>
    <row r="7415" s="2" customFormat="1" ht="13.5" customHeight="1">
      <c r="B7415" t="s" s="8">
        <v>2603</v>
      </c>
      <c r="C7415" t="s" s="9">
        <v>14</v>
      </c>
      <c r="D7415" t="s" s="8">
        <v>14</v>
      </c>
      <c r="E7415" t="s" s="9">
        <v>14</v>
      </c>
      <c r="F7415" t="s" s="10">
        <v>14</v>
      </c>
      <c r="G7415" t="s" s="11">
        <v>14</v>
      </c>
      <c r="H7415" t="s" s="10">
        <v>14</v>
      </c>
      <c r="I7415" t="s" s="11">
        <v>14</v>
      </c>
      <c r="J7415" t="s" s="11">
        <v>14</v>
      </c>
      <c r="K7415" t="s" s="12">
        <v>14</v>
      </c>
      <c r="L7415" t="s" s="12">
        <v>14</v>
      </c>
      <c r="M7415" t="s" s="10">
        <v>14</v>
      </c>
      <c r="N7415" t="s" s="11">
        <v>14</v>
      </c>
      <c r="O7415" t="s" s="8">
        <v>14</v>
      </c>
      <c r="P7415" t="s" s="8">
        <v>14</v>
      </c>
      <c r="Q7415" t="s" s="12">
        <v>14</v>
      </c>
      <c r="R7415" t="s" s="12">
        <v>14</v>
      </c>
    </row>
    <row r="7416" s="2" customFormat="1" ht="13.5" customHeight="1">
      <c r="B7416" s="13"/>
      <c r="C7416" t="s" s="9">
        <v>16</v>
      </c>
      <c r="D7416" t="s" s="8">
        <v>2603</v>
      </c>
      <c r="E7416" t="s" s="9">
        <v>2603</v>
      </c>
      <c r="F7416" t="s" s="10">
        <v>229</v>
      </c>
      <c r="G7416" t="s" s="11">
        <v>229</v>
      </c>
      <c r="H7416" t="s" s="10">
        <v>229</v>
      </c>
      <c r="I7416" t="s" s="11">
        <v>229</v>
      </c>
      <c r="J7416" t="s" s="11">
        <v>20</v>
      </c>
      <c r="K7416" t="s" s="16">
        <f>HYPERLINK("http://csr.bu.edu/ftp/asl/asllvd/demos/verify_start_end_handshape_annotations//test_auto_move//signs_mov/1784.mov","MOV")</f>
        <v>21</v>
      </c>
      <c r="L7416" t="s" s="16">
        <f>HYPERLINK("http://csr.bu.edu/ftp/asl/asllvd/demos/verify_start_end_handshape_annotations//test_auto_move//signs_mov_separ_signers/Liz_1784.mov","MOV")</f>
        <v>21</v>
      </c>
      <c r="M7416" t="s" s="10">
        <v>88</v>
      </c>
      <c r="N7416" s="17">
        <v>31</v>
      </c>
      <c r="O7416" s="18">
        <v>1090</v>
      </c>
      <c r="P7416" s="18">
        <v>1141</v>
      </c>
      <c r="Q7416" t="s" s="16">
        <f>HYPERLINK("http://secrets.rutgers.edu:8080/data/asl-ftp/asllvd/demos/verify_start_end_handshape_annotations//test_auto_move//signs_mov/1784.mov","MOV")</f>
        <v>21</v>
      </c>
      <c r="R7416" t="s" s="16">
        <f>HYPERLINK("http://secrets.rutgers.edu:8080/data/asl-ftp/asllvd/demos/verify_start_end_handshape_annotations//test_auto_move//signs_mov_separ_signers/Liz_1784.mov","MOV")</f>
        <v>21</v>
      </c>
    </row>
    <row r="7417" s="2" customFormat="1" ht="13.5" customHeight="1">
      <c r="B7417" s="13"/>
      <c r="C7417" t="s" s="9">
        <v>30</v>
      </c>
      <c r="D7417" t="s" s="8">
        <v>2603</v>
      </c>
      <c r="E7417" t="s" s="9">
        <v>2603</v>
      </c>
      <c r="F7417" t="s" s="10">
        <v>229</v>
      </c>
      <c r="G7417" t="s" s="11">
        <v>229</v>
      </c>
      <c r="H7417" t="s" s="10">
        <v>229</v>
      </c>
      <c r="I7417" t="s" s="11">
        <v>229</v>
      </c>
      <c r="J7417" t="s" s="11">
        <v>20</v>
      </c>
      <c r="K7417" s="15"/>
      <c r="L7417" t="s" s="16">
        <f>HYPERLINK("http://csr.bu.edu/ftp/asl/asllvd/demos/verify_start_end_handshape_annotations//test_auto_move//signs_mov_separ_signers/Brady_1784.mov","MOV")</f>
        <v>21</v>
      </c>
      <c r="M7417" t="s" s="10">
        <v>40</v>
      </c>
      <c r="N7417" s="17">
        <v>26</v>
      </c>
      <c r="O7417" s="18">
        <v>2370</v>
      </c>
      <c r="P7417" s="18">
        <v>2389</v>
      </c>
      <c r="Q7417" s="15"/>
      <c r="R7417" t="s" s="16">
        <f>HYPERLINK("http://secrets.rutgers.edu:8080/data/asl-ftp/asllvd/demos/verify_start_end_handshape_annotations//test_auto_move//signs_mov_separ_signers/Brady_1784.mov","MOV")</f>
        <v>21</v>
      </c>
    </row>
    <row r="7418" s="2" customFormat="1" ht="13.5" customHeight="1">
      <c r="B7418" t="s" s="8">
        <v>2604</v>
      </c>
      <c r="C7418" t="s" s="9">
        <v>14</v>
      </c>
      <c r="D7418" t="s" s="8">
        <v>14</v>
      </c>
      <c r="E7418" t="s" s="9">
        <v>14</v>
      </c>
      <c r="F7418" t="s" s="10">
        <v>14</v>
      </c>
      <c r="G7418" t="s" s="11">
        <v>14</v>
      </c>
      <c r="H7418" t="s" s="10">
        <v>14</v>
      </c>
      <c r="I7418" t="s" s="11">
        <v>14</v>
      </c>
      <c r="J7418" t="s" s="11">
        <v>14</v>
      </c>
      <c r="K7418" t="s" s="12">
        <v>14</v>
      </c>
      <c r="L7418" t="s" s="12">
        <v>14</v>
      </c>
      <c r="M7418" t="s" s="10">
        <v>14</v>
      </c>
      <c r="N7418" t="s" s="11">
        <v>14</v>
      </c>
      <c r="O7418" t="s" s="8">
        <v>14</v>
      </c>
      <c r="P7418" t="s" s="8">
        <v>14</v>
      </c>
      <c r="Q7418" t="s" s="12">
        <v>14</v>
      </c>
      <c r="R7418" t="s" s="12">
        <v>14</v>
      </c>
    </row>
    <row r="7419" s="2" customFormat="1" ht="13.5" customHeight="1">
      <c r="B7419" s="13"/>
      <c r="C7419" t="s" s="9">
        <v>16</v>
      </c>
      <c r="D7419" t="s" s="8">
        <v>2604</v>
      </c>
      <c r="E7419" t="s" s="9">
        <v>2605</v>
      </c>
      <c r="F7419" t="s" s="10">
        <v>73</v>
      </c>
      <c r="G7419" s="14"/>
      <c r="H7419" t="s" s="10">
        <v>73</v>
      </c>
      <c r="I7419" s="14"/>
      <c r="J7419" t="s" s="11">
        <v>20</v>
      </c>
      <c r="K7419" t="s" s="16">
        <f>HYPERLINK("http://csr.bu.edu/ftp/asl/asllvd/demos/verify_start_end_handshape_annotations//test_auto_move//signs_mov/1794.mov","MOV")</f>
        <v>21</v>
      </c>
      <c r="L7419" t="s" s="16">
        <f>HYPERLINK("http://csr.bu.edu/ftp/asl/asllvd/demos/verify_start_end_handshape_annotations//test_auto_move//signs_mov_separ_signers/Liz_1794.mov","MOV")</f>
        <v>21</v>
      </c>
      <c r="M7419" t="s" s="10">
        <v>88</v>
      </c>
      <c r="N7419" s="17">
        <v>32</v>
      </c>
      <c r="O7419" s="18">
        <v>1430</v>
      </c>
      <c r="P7419" s="18">
        <v>1482</v>
      </c>
      <c r="Q7419" t="s" s="16">
        <f>HYPERLINK("http://secrets.rutgers.edu:8080/data/asl-ftp/asllvd/demos/verify_start_end_handshape_annotations//test_auto_move//signs_mov/1794.mov","MOV")</f>
        <v>21</v>
      </c>
      <c r="R7419" t="s" s="16">
        <f>HYPERLINK("http://secrets.rutgers.edu:8080/data/asl-ftp/asllvd/demos/verify_start_end_handshape_annotations//test_auto_move//signs_mov_separ_signers/Liz_1794.mov","MOV")</f>
        <v>21</v>
      </c>
    </row>
    <row r="7420" s="2" customFormat="1" ht="13.5" customHeight="1">
      <c r="B7420" s="13"/>
      <c r="C7420" t="s" s="9">
        <v>30</v>
      </c>
      <c r="D7420" t="s" s="8">
        <v>2604</v>
      </c>
      <c r="E7420" t="s" s="9">
        <v>2605</v>
      </c>
      <c r="F7420" t="s" s="10">
        <v>73</v>
      </c>
      <c r="G7420" s="14"/>
      <c r="H7420" t="s" s="10">
        <v>73</v>
      </c>
      <c r="I7420" s="14"/>
      <c r="J7420" t="s" s="11">
        <v>20</v>
      </c>
      <c r="K7420" s="15"/>
      <c r="L7420" t="s" s="16">
        <f>HYPERLINK("http://csr.bu.edu/ftp/asl/asllvd/demos/verify_start_end_handshape_annotations//test_auto_move//signs_mov_separ_signers/Brady_1794.mov","MOV")</f>
        <v>21</v>
      </c>
      <c r="M7420" t="s" s="10">
        <v>40</v>
      </c>
      <c r="N7420" s="17">
        <v>27</v>
      </c>
      <c r="O7420" s="18">
        <v>977</v>
      </c>
      <c r="P7420" s="18">
        <v>1013</v>
      </c>
      <c r="Q7420" s="15"/>
      <c r="R7420" t="s" s="16">
        <f>HYPERLINK("http://secrets.rutgers.edu:8080/data/asl-ftp/asllvd/demos/verify_start_end_handshape_annotations//test_auto_move//signs_mov_separ_signers/Brady_1794.mov","MOV")</f>
        <v>21</v>
      </c>
    </row>
    <row r="7421" s="2" customFormat="1" ht="13.5" customHeight="1">
      <c r="B7421" t="s" s="8">
        <v>2606</v>
      </c>
      <c r="C7421" t="s" s="9">
        <v>14</v>
      </c>
      <c r="D7421" t="s" s="8">
        <v>14</v>
      </c>
      <c r="E7421" t="s" s="9">
        <v>14</v>
      </c>
      <c r="F7421" t="s" s="10">
        <v>14</v>
      </c>
      <c r="G7421" t="s" s="11">
        <v>14</v>
      </c>
      <c r="H7421" t="s" s="10">
        <v>14</v>
      </c>
      <c r="I7421" t="s" s="11">
        <v>14</v>
      </c>
      <c r="J7421" t="s" s="11">
        <v>14</v>
      </c>
      <c r="K7421" t="s" s="12">
        <v>14</v>
      </c>
      <c r="L7421" t="s" s="12">
        <v>14</v>
      </c>
      <c r="M7421" t="s" s="10">
        <v>14</v>
      </c>
      <c r="N7421" t="s" s="11">
        <v>14</v>
      </c>
      <c r="O7421" t="s" s="8">
        <v>14</v>
      </c>
      <c r="P7421" t="s" s="8">
        <v>14</v>
      </c>
      <c r="Q7421" t="s" s="12">
        <v>14</v>
      </c>
      <c r="R7421" t="s" s="12">
        <v>14</v>
      </c>
    </row>
    <row r="7422" s="2" customFormat="1" ht="13.5" customHeight="1">
      <c r="B7422" s="13"/>
      <c r="C7422" t="s" s="9">
        <v>16</v>
      </c>
      <c r="D7422" t="s" s="8">
        <v>2606</v>
      </c>
      <c r="E7422" t="s" s="9">
        <v>2607</v>
      </c>
      <c r="F7422" t="s" s="10">
        <v>109</v>
      </c>
      <c r="G7422" s="14"/>
      <c r="H7422" t="s" s="10">
        <v>109</v>
      </c>
      <c r="I7422" s="14"/>
      <c r="J7422" t="s" s="11">
        <v>20</v>
      </c>
      <c r="K7422" t="s" s="16">
        <f>HYPERLINK("http://csr.bu.edu/ftp/asl/asllvd/demos/verify_start_end_handshape_annotations//test_auto_move//signs_mov/1795.mov","MOV")</f>
        <v>21</v>
      </c>
      <c r="L7422" t="s" s="16">
        <f>HYPERLINK("http://csr.bu.edu/ftp/asl/asllvd/demos/verify_start_end_handshape_annotations//test_auto_move//signs_mov_separ_signers/Liz_1795.mov","MOV")</f>
        <v>21</v>
      </c>
      <c r="M7422" t="s" s="10">
        <v>88</v>
      </c>
      <c r="N7422" s="17">
        <v>32</v>
      </c>
      <c r="O7422" s="18">
        <v>1705</v>
      </c>
      <c r="P7422" s="18">
        <v>1746</v>
      </c>
      <c r="Q7422" t="s" s="16">
        <f>HYPERLINK("http://secrets.rutgers.edu:8080/data/asl-ftp/asllvd/demos/verify_start_end_handshape_annotations//test_auto_move//signs_mov/1795.mov","MOV")</f>
        <v>21</v>
      </c>
      <c r="R7422" t="s" s="16">
        <f>HYPERLINK("http://secrets.rutgers.edu:8080/data/asl-ftp/asllvd/demos/verify_start_end_handshape_annotations//test_auto_move//signs_mov_separ_signers/Liz_1795.mov","MOV")</f>
        <v>21</v>
      </c>
    </row>
    <row r="7423" s="2" customFormat="1" ht="13.5" customHeight="1">
      <c r="B7423" s="13"/>
      <c r="C7423" t="s" s="9">
        <v>30</v>
      </c>
      <c r="D7423" t="s" s="8">
        <v>2606</v>
      </c>
      <c r="E7423" t="s" s="9">
        <v>2607</v>
      </c>
      <c r="F7423" t="s" s="10">
        <v>260</v>
      </c>
      <c r="G7423" s="14"/>
      <c r="H7423" t="s" s="10">
        <v>260</v>
      </c>
      <c r="I7423" s="14"/>
      <c r="J7423" t="s" s="11">
        <v>20</v>
      </c>
      <c r="K7423" s="15"/>
      <c r="L7423" t="s" s="16">
        <f>HYPERLINK("http://csr.bu.edu/ftp/asl/asllvd/demos/verify_start_end_handshape_annotations//test_auto_move//signs_mov_separ_signers/Brady_1795.mov","MOV")</f>
        <v>21</v>
      </c>
      <c r="M7423" t="s" s="10">
        <v>40</v>
      </c>
      <c r="N7423" s="17">
        <v>27</v>
      </c>
      <c r="O7423" s="18">
        <v>1206</v>
      </c>
      <c r="P7423" s="18">
        <v>1229</v>
      </c>
      <c r="Q7423" s="15"/>
      <c r="R7423" t="s" s="16">
        <f>HYPERLINK("http://secrets.rutgers.edu:8080/data/asl-ftp/asllvd/demos/verify_start_end_handshape_annotations//test_auto_move//signs_mov_separ_signers/Brady_1795.mov","MOV")</f>
        <v>21</v>
      </c>
    </row>
    <row r="7424" s="2" customFormat="1" ht="13.5" customHeight="1">
      <c r="B7424" t="s" s="8">
        <v>2608</v>
      </c>
      <c r="C7424" t="s" s="9">
        <v>14</v>
      </c>
      <c r="D7424" t="s" s="8">
        <v>14</v>
      </c>
      <c r="E7424" t="s" s="9">
        <v>14</v>
      </c>
      <c r="F7424" t="s" s="10">
        <v>14</v>
      </c>
      <c r="G7424" t="s" s="11">
        <v>14</v>
      </c>
      <c r="H7424" t="s" s="10">
        <v>14</v>
      </c>
      <c r="I7424" t="s" s="11">
        <v>14</v>
      </c>
      <c r="J7424" t="s" s="11">
        <v>14</v>
      </c>
      <c r="K7424" t="s" s="12">
        <v>14</v>
      </c>
      <c r="L7424" t="s" s="12">
        <v>14</v>
      </c>
      <c r="M7424" t="s" s="10">
        <v>14</v>
      </c>
      <c r="N7424" t="s" s="11">
        <v>14</v>
      </c>
      <c r="O7424" t="s" s="8">
        <v>14</v>
      </c>
      <c r="P7424" t="s" s="8">
        <v>14</v>
      </c>
      <c r="Q7424" t="s" s="12">
        <v>14</v>
      </c>
      <c r="R7424" t="s" s="12">
        <v>14</v>
      </c>
    </row>
    <row r="7425" s="2" customFormat="1" ht="13.5" customHeight="1">
      <c r="B7425" s="13"/>
      <c r="C7425" t="s" s="9">
        <v>16</v>
      </c>
      <c r="D7425" t="s" s="8">
        <v>2608</v>
      </c>
      <c r="E7425" t="s" s="9">
        <v>2609</v>
      </c>
      <c r="F7425" t="s" s="10">
        <v>63</v>
      </c>
      <c r="G7425" s="14"/>
      <c r="H7425" t="s" s="10">
        <v>63</v>
      </c>
      <c r="I7425" s="14"/>
      <c r="J7425" t="s" s="11">
        <v>20</v>
      </c>
      <c r="K7425" s="15"/>
      <c r="L7425" t="s" s="16">
        <f>HYPERLINK("http://csr.bu.edu/ftp/asl/asllvd/demos/verify_start_end_handshape_annotations//test_auto_move//signs_mov_separ_signers/Liz_1797.mov","MOV")</f>
        <v>21</v>
      </c>
      <c r="M7425" t="s" s="10">
        <v>34</v>
      </c>
      <c r="N7425" s="17">
        <v>29</v>
      </c>
      <c r="O7425" s="18">
        <v>805</v>
      </c>
      <c r="P7425" s="18">
        <v>856</v>
      </c>
      <c r="Q7425" s="15"/>
      <c r="R7425" t="s" s="16">
        <f>HYPERLINK("http://secrets.rutgers.edu:8080/data/asl-ftp/asllvd/demos/verify_start_end_handshape_annotations//test_auto_move//signs_mov_separ_signers/Liz_1797.mov","MOV")</f>
        <v>21</v>
      </c>
    </row>
    <row r="7426" s="2" customFormat="1" ht="13.5" customHeight="1">
      <c r="B7426" s="13"/>
      <c r="C7426" t="s" s="9">
        <v>16</v>
      </c>
      <c r="D7426" t="s" s="8">
        <v>2608</v>
      </c>
      <c r="E7426" t="s" s="9">
        <v>2608</v>
      </c>
      <c r="F7426" t="s" s="10">
        <v>63</v>
      </c>
      <c r="G7426" s="14"/>
      <c r="H7426" t="s" s="10">
        <v>63</v>
      </c>
      <c r="I7426" s="14"/>
      <c r="J7426" t="s" s="11">
        <v>20</v>
      </c>
      <c r="K7426" s="15"/>
      <c r="L7426" t="s" s="16">
        <f>HYPERLINK("http://csr.bu.edu/ftp/asl/asllvd/demos/verify_start_end_handshape_annotations//test_auto_move//signs_mov_separ_signers/Liz_3499.mov","MOV")</f>
        <v>21</v>
      </c>
      <c r="M7426" t="s" s="10">
        <v>88</v>
      </c>
      <c r="N7426" s="17">
        <v>32</v>
      </c>
      <c r="O7426" s="18">
        <v>2480</v>
      </c>
      <c r="P7426" s="18">
        <v>2512</v>
      </c>
      <c r="Q7426" s="15"/>
      <c r="R7426" t="s" s="16">
        <f>HYPERLINK("http://secrets.rutgers.edu:8080/data/asl-ftp/asllvd/demos/verify_start_end_handshape_annotations//test_auto_move//signs_mov_separ_signers/Liz_3499.mov","MOV")</f>
        <v>21</v>
      </c>
    </row>
    <row r="7427" s="2" customFormat="1" ht="13.5" customHeight="1">
      <c r="B7427" s="13"/>
      <c r="C7427" t="s" s="9">
        <v>30</v>
      </c>
      <c r="D7427" t="s" s="8">
        <v>2608</v>
      </c>
      <c r="E7427" t="s" s="9">
        <v>2608</v>
      </c>
      <c r="F7427" t="s" s="10">
        <v>63</v>
      </c>
      <c r="G7427" s="14"/>
      <c r="H7427" t="s" s="10">
        <v>63</v>
      </c>
      <c r="I7427" s="14"/>
      <c r="J7427" t="s" s="11">
        <v>20</v>
      </c>
      <c r="K7427" t="s" s="16">
        <f>HYPERLINK("http://csr.bu.edu/ftp/asl/asllvd/demos/verify_start_end_handshape_annotations//test_auto_move//signs_mov/1797_3499_merged.mov","MOV")</f>
        <v>21</v>
      </c>
      <c r="L7427" t="s" s="16">
        <f>HYPERLINK("http://csr.bu.edu/ftp/asl/asllvd/demos/verify_start_end_handshape_annotations//test_auto_move//signs_mov_separ_signers/Brady_1797.mov","MOV")</f>
        <v>21</v>
      </c>
      <c r="M7427" t="s" s="10">
        <v>40</v>
      </c>
      <c r="N7427" s="17">
        <v>27</v>
      </c>
      <c r="O7427" s="18">
        <v>2160</v>
      </c>
      <c r="P7427" s="18">
        <v>2186</v>
      </c>
      <c r="Q7427" t="s" s="16">
        <f>HYPERLINK("http://secrets.rutgers.edu:8080/data/asl-ftp/asllvd/demos/verify_start_end_handshape_annotations//test_auto_move//signs_mov/1797_3499_merged.mov","MOV")</f>
        <v>21</v>
      </c>
      <c r="R7427" t="s" s="16">
        <f>HYPERLINK("http://secrets.rutgers.edu:8080/data/asl-ftp/asllvd/demos/verify_start_end_handshape_annotations//test_auto_move//signs_mov_separ_signers/Brady_1797.mov","MOV")</f>
        <v>21</v>
      </c>
    </row>
    <row r="7428" s="2" customFormat="1" ht="13.5" customHeight="1">
      <c r="B7428" s="13"/>
      <c r="C7428" t="s" s="9">
        <v>30</v>
      </c>
      <c r="D7428" t="s" s="8">
        <v>2608</v>
      </c>
      <c r="E7428" t="s" s="9">
        <v>2610</v>
      </c>
      <c r="F7428" t="s" s="10">
        <v>63</v>
      </c>
      <c r="G7428" s="14"/>
      <c r="H7428" t="s" s="10">
        <v>63</v>
      </c>
      <c r="I7428" s="14"/>
      <c r="J7428" t="s" s="11">
        <v>20</v>
      </c>
      <c r="K7428" s="15"/>
      <c r="L7428" t="s" s="16">
        <f>HYPERLINK("http://csr.bu.edu/ftp/asl/asllvd/demos/verify_start_end_handshape_annotations//test_auto_move//signs_mov_separ_signers/Brady_3499.mov","MOV")</f>
        <v>21</v>
      </c>
      <c r="M7428" t="s" s="10">
        <v>60</v>
      </c>
      <c r="N7428" s="17">
        <v>45</v>
      </c>
      <c r="O7428" s="18">
        <v>1765</v>
      </c>
      <c r="P7428" s="18">
        <v>1804</v>
      </c>
      <c r="Q7428" s="15"/>
      <c r="R7428" t="s" s="16">
        <f>HYPERLINK("http://secrets.rutgers.edu:8080/data/asl-ftp/asllvd/demos/verify_start_end_handshape_annotations//test_auto_move//signs_mov_separ_signers/Brady_3499.mov","MOV")</f>
        <v>21</v>
      </c>
    </row>
    <row r="7429" s="2" customFormat="1" ht="13.5" customHeight="1">
      <c r="B7429" s="13"/>
      <c r="C7429" t="s" s="9">
        <v>41</v>
      </c>
      <c r="D7429" t="s" s="8">
        <v>2608</v>
      </c>
      <c r="E7429" t="s" s="9">
        <v>2608</v>
      </c>
      <c r="F7429" t="s" s="10">
        <v>63</v>
      </c>
      <c r="G7429" s="14"/>
      <c r="H7429" t="s" s="10">
        <v>63</v>
      </c>
      <c r="I7429" s="14"/>
      <c r="J7429" t="s" s="11">
        <v>20</v>
      </c>
      <c r="K7429" s="15"/>
      <c r="L7429" t="s" s="16">
        <f>HYPERLINK("http://csr.bu.edu/ftp/asl/asllvd/demos/verify_start_end_handshape_annotations//test_auto_move//signs_mov_separ_signers/Lana_1797.mov","MOV")</f>
        <v>21</v>
      </c>
      <c r="M7429" t="s" s="10">
        <v>42</v>
      </c>
      <c r="N7429" s="17">
        <v>4</v>
      </c>
      <c r="O7429" s="18">
        <v>487</v>
      </c>
      <c r="P7429" s="18">
        <v>505</v>
      </c>
      <c r="Q7429" s="15"/>
      <c r="R7429" t="s" s="16">
        <f>HYPERLINK("http://secrets.rutgers.edu:8080/data/asl-ftp/asllvd/demos/verify_start_end_handshape_annotations//test_auto_move//signs_mov_separ_signers/Lana_1797.mov","MOV")</f>
        <v>21</v>
      </c>
    </row>
    <row r="7430" s="2" customFormat="1" ht="13.5" customHeight="1">
      <c r="B7430" s="13"/>
      <c r="C7430" t="s" s="9">
        <v>43</v>
      </c>
      <c r="D7430" t="s" s="8">
        <v>2608</v>
      </c>
      <c r="E7430" t="s" s="9">
        <v>2609</v>
      </c>
      <c r="F7430" t="s" s="10">
        <v>63</v>
      </c>
      <c r="G7430" s="14"/>
      <c r="H7430" t="s" s="10">
        <v>63</v>
      </c>
      <c r="I7430" s="14"/>
      <c r="J7430" t="s" s="11">
        <v>20</v>
      </c>
      <c r="K7430" s="15"/>
      <c r="L7430" t="s" s="16">
        <f>HYPERLINK("http://csr.bu.edu/ftp/asl/asllvd/demos/verify_start_end_handshape_annotations//test_auto_move//signs_mov_separ_signers/Dana_1797.mov","MOV")</f>
        <v>21</v>
      </c>
      <c r="M7430" t="s" s="10">
        <v>44</v>
      </c>
      <c r="N7430" s="17">
        <v>8</v>
      </c>
      <c r="O7430" s="18">
        <v>347.05</v>
      </c>
      <c r="P7430" s="18">
        <v>406.55</v>
      </c>
      <c r="Q7430" s="15"/>
      <c r="R7430" t="s" s="16">
        <f>HYPERLINK("http://secrets.rutgers.edu:8080/data/asl-ftp/asllvd/demos/verify_start_end_handshape_annotations//test_auto_move//signs_mov_separ_signers/Dana_1797.mov","MOV")</f>
        <v>21</v>
      </c>
    </row>
    <row r="7431" s="2" customFormat="1" ht="13.5" customHeight="1">
      <c r="B7431" t="s" s="8">
        <v>2611</v>
      </c>
      <c r="C7431" t="s" s="9">
        <v>14</v>
      </c>
      <c r="D7431" t="s" s="8">
        <v>14</v>
      </c>
      <c r="E7431" t="s" s="9">
        <v>14</v>
      </c>
      <c r="F7431" t="s" s="10">
        <v>14</v>
      </c>
      <c r="G7431" t="s" s="11">
        <v>14</v>
      </c>
      <c r="H7431" t="s" s="10">
        <v>14</v>
      </c>
      <c r="I7431" t="s" s="11">
        <v>14</v>
      </c>
      <c r="J7431" t="s" s="11">
        <v>14</v>
      </c>
      <c r="K7431" t="s" s="12">
        <v>14</v>
      </c>
      <c r="L7431" t="s" s="12">
        <v>14</v>
      </c>
      <c r="M7431" t="s" s="10">
        <v>14</v>
      </c>
      <c r="N7431" t="s" s="11">
        <v>14</v>
      </c>
      <c r="O7431" t="s" s="8">
        <v>14</v>
      </c>
      <c r="P7431" t="s" s="8">
        <v>14</v>
      </c>
      <c r="Q7431" t="s" s="12">
        <v>14</v>
      </c>
      <c r="R7431" t="s" s="12">
        <v>14</v>
      </c>
    </row>
    <row r="7432" s="2" customFormat="1" ht="13.5" customHeight="1">
      <c r="B7432" s="13"/>
      <c r="C7432" t="s" s="9">
        <v>16</v>
      </c>
      <c r="D7432" t="s" s="8">
        <v>2611</v>
      </c>
      <c r="E7432" t="s" s="9">
        <v>2611</v>
      </c>
      <c r="F7432" t="s" s="10">
        <v>63</v>
      </c>
      <c r="G7432" s="14"/>
      <c r="H7432" t="s" s="10">
        <v>63</v>
      </c>
      <c r="I7432" s="14"/>
      <c r="J7432" t="s" s="11">
        <v>20</v>
      </c>
      <c r="K7432" t="s" s="16">
        <f>HYPERLINK("http://csr.bu.edu/ftp/asl/asllvd/demos/verify_start_end_handshape_annotations//test_auto_move//signs_mov/3555.mov","MOV")</f>
        <v>21</v>
      </c>
      <c r="L7432" t="s" s="16">
        <f>HYPERLINK("http://csr.bu.edu/ftp/asl/asllvd/demos/verify_start_end_handshape_annotations//test_auto_move//signs_mov_separ_signers/Liz_3555.mov","MOV")</f>
        <v>21</v>
      </c>
      <c r="M7432" t="s" s="10">
        <v>36</v>
      </c>
      <c r="N7432" s="17">
        <v>52</v>
      </c>
      <c r="O7432" s="18">
        <v>797</v>
      </c>
      <c r="P7432" s="18">
        <v>845</v>
      </c>
      <c r="Q7432" t="s" s="16">
        <f>HYPERLINK("http://secrets.rutgers.edu:8080/data/asl-ftp/asllvd/demos/verify_start_end_handshape_annotations//test_auto_move//signs_mov/3555.mov","MOV")</f>
        <v>21</v>
      </c>
      <c r="R7432" t="s" s="16">
        <f>HYPERLINK("http://secrets.rutgers.edu:8080/data/asl-ftp/asllvd/demos/verify_start_end_handshape_annotations//test_auto_move//signs_mov_separ_signers/Liz_3555.mov","MOV")</f>
        <v>21</v>
      </c>
    </row>
    <row r="7433" s="2" customFormat="1" ht="13.5" customHeight="1">
      <c r="B7433" s="13"/>
      <c r="C7433" t="s" s="9">
        <v>30</v>
      </c>
      <c r="D7433" t="s" s="8">
        <v>2611</v>
      </c>
      <c r="E7433" t="s" s="9">
        <v>2611</v>
      </c>
      <c r="F7433" t="s" s="10">
        <v>63</v>
      </c>
      <c r="G7433" s="14"/>
      <c r="H7433" t="s" s="10">
        <v>63</v>
      </c>
      <c r="I7433" s="14"/>
      <c r="J7433" t="s" s="11">
        <v>20</v>
      </c>
      <c r="K7433" s="15"/>
      <c r="L7433" t="s" s="16">
        <f>HYPERLINK("http://csr.bu.edu/ftp/asl/asllvd/demos/verify_start_end_handshape_annotations//test_auto_move//signs_mov_separ_signers/Brady_3555.mov","MOV")</f>
        <v>21</v>
      </c>
      <c r="M7433" t="s" s="10">
        <v>40</v>
      </c>
      <c r="N7433" s="17">
        <v>103</v>
      </c>
      <c r="O7433" s="18">
        <v>2720</v>
      </c>
      <c r="P7433" s="18">
        <v>2775</v>
      </c>
      <c r="Q7433" s="15"/>
      <c r="R7433" t="s" s="16">
        <f>HYPERLINK("http://secrets.rutgers.edu:8080/data/asl-ftp/asllvd/demos/verify_start_end_handshape_annotations//test_auto_move//signs_mov_separ_signers/Brady_3555.mov","MOV")</f>
        <v>21</v>
      </c>
    </row>
    <row r="7434" s="2" customFormat="1" ht="13.5" customHeight="1">
      <c r="B7434" t="s" s="8">
        <v>2612</v>
      </c>
      <c r="C7434" t="s" s="9">
        <v>14</v>
      </c>
      <c r="D7434" t="s" s="8">
        <v>14</v>
      </c>
      <c r="E7434" t="s" s="9">
        <v>14</v>
      </c>
      <c r="F7434" t="s" s="10">
        <v>14</v>
      </c>
      <c r="G7434" t="s" s="11">
        <v>14</v>
      </c>
      <c r="H7434" t="s" s="10">
        <v>14</v>
      </c>
      <c r="I7434" t="s" s="11">
        <v>14</v>
      </c>
      <c r="J7434" t="s" s="11">
        <v>14</v>
      </c>
      <c r="K7434" t="s" s="12">
        <v>14</v>
      </c>
      <c r="L7434" t="s" s="12">
        <v>14</v>
      </c>
      <c r="M7434" t="s" s="10">
        <v>14</v>
      </c>
      <c r="N7434" t="s" s="11">
        <v>14</v>
      </c>
      <c r="O7434" t="s" s="8">
        <v>14</v>
      </c>
      <c r="P7434" t="s" s="8">
        <v>14</v>
      </c>
      <c r="Q7434" t="s" s="12">
        <v>14</v>
      </c>
      <c r="R7434" t="s" s="12">
        <v>14</v>
      </c>
    </row>
    <row r="7435" s="2" customFormat="1" ht="13.5" customHeight="1">
      <c r="B7435" s="13"/>
      <c r="C7435" t="s" s="9">
        <v>30</v>
      </c>
      <c r="D7435" t="s" s="8">
        <v>2612</v>
      </c>
      <c r="E7435" t="s" s="9">
        <v>2612</v>
      </c>
      <c r="F7435" s="19">
        <v>1</v>
      </c>
      <c r="G7435" t="s" s="11">
        <v>73</v>
      </c>
      <c r="H7435" s="19">
        <v>1</v>
      </c>
      <c r="I7435" t="s" s="11">
        <v>73</v>
      </c>
      <c r="J7435" t="s" s="11">
        <v>20</v>
      </c>
      <c r="K7435" t="s" s="16">
        <f>HYPERLINK("http://csr.bu.edu/ftp/asl/asllvd/demos/verify_start_end_handshape_annotations//test_auto_move//signs_mov/1799.mov","MOV")</f>
        <v>21</v>
      </c>
      <c r="L7435" t="s" s="16">
        <f>HYPERLINK("http://csr.bu.edu/ftp/asl/asllvd/demos/verify_start_end_handshape_annotations//test_auto_move//signs_mov_separ_signers/Brady_1799.mov","MOV")</f>
        <v>21</v>
      </c>
      <c r="M7435" t="s" s="10">
        <v>40</v>
      </c>
      <c r="N7435" s="17">
        <v>28</v>
      </c>
      <c r="O7435" s="18">
        <v>133</v>
      </c>
      <c r="P7435" s="18">
        <v>154</v>
      </c>
      <c r="Q7435" t="s" s="16">
        <f>HYPERLINK("http://secrets.rutgers.edu:8080/data/asl-ftp/asllvd/demos/verify_start_end_handshape_annotations//test_auto_move//signs_mov/1799.mov","MOV")</f>
        <v>21</v>
      </c>
      <c r="R7435" t="s" s="16">
        <f>HYPERLINK("http://secrets.rutgers.edu:8080/data/asl-ftp/asllvd/demos/verify_start_end_handshape_annotations//test_auto_move//signs_mov_separ_signers/Brady_1799.mov","MOV")</f>
        <v>21</v>
      </c>
    </row>
    <row r="7436" s="2" customFormat="1" ht="13.5" customHeight="1">
      <c r="B7436" s="13"/>
      <c r="C7436" t="s" s="9">
        <v>41</v>
      </c>
      <c r="D7436" t="s" s="8">
        <v>2612</v>
      </c>
      <c r="E7436" t="s" s="9">
        <v>2612</v>
      </c>
      <c r="F7436" s="19">
        <v>1</v>
      </c>
      <c r="G7436" t="s" s="11">
        <v>73</v>
      </c>
      <c r="H7436" s="19">
        <v>1</v>
      </c>
      <c r="I7436" t="s" s="11">
        <v>73</v>
      </c>
      <c r="J7436" t="s" s="11">
        <v>20</v>
      </c>
      <c r="K7436" s="15"/>
      <c r="L7436" t="s" s="16">
        <f>HYPERLINK("http://csr.bu.edu/ftp/asl/asllvd/demos/verify_start_end_handshape_annotations//test_auto_move//signs_mov_separ_signers/Lana_1799.mov","MOV")</f>
        <v>21</v>
      </c>
      <c r="M7436" t="s" s="10">
        <v>42</v>
      </c>
      <c r="N7436" s="17">
        <v>20</v>
      </c>
      <c r="O7436" s="18">
        <v>1854</v>
      </c>
      <c r="P7436" s="18">
        <v>1863</v>
      </c>
      <c r="Q7436" s="15"/>
      <c r="R7436" t="s" s="16">
        <f>HYPERLINK("http://secrets.rutgers.edu:8080/data/asl-ftp/asllvd/demos/verify_start_end_handshape_annotations//test_auto_move//signs_mov_separ_signers/Lana_1799.mov","MOV")</f>
        <v>21</v>
      </c>
    </row>
    <row r="7437" s="2" customFormat="1" ht="13.5" customHeight="1">
      <c r="B7437" t="s" s="8">
        <v>52</v>
      </c>
      <c r="C7437" t="s" s="9">
        <v>53</v>
      </c>
      <c r="D7437" t="s" s="8">
        <v>53</v>
      </c>
      <c r="E7437" t="s" s="9">
        <v>53</v>
      </c>
      <c r="F7437" t="s" s="10">
        <v>53</v>
      </c>
      <c r="G7437" t="s" s="11">
        <v>53</v>
      </c>
      <c r="H7437" t="s" s="10">
        <v>53</v>
      </c>
      <c r="I7437" t="s" s="11">
        <v>53</v>
      </c>
      <c r="J7437" t="s" s="11">
        <v>53</v>
      </c>
      <c r="K7437" t="s" s="12">
        <v>53</v>
      </c>
      <c r="L7437" t="s" s="12">
        <v>53</v>
      </c>
      <c r="M7437" t="s" s="10">
        <v>53</v>
      </c>
      <c r="N7437" t="s" s="11">
        <v>53</v>
      </c>
      <c r="O7437" t="s" s="8">
        <v>53</v>
      </c>
      <c r="P7437" t="s" s="8">
        <v>53</v>
      </c>
      <c r="Q7437" t="s" s="12">
        <v>53</v>
      </c>
      <c r="R7437" t="s" s="12">
        <v>53</v>
      </c>
    </row>
    <row r="7438" s="2" customFormat="1" ht="13.5" customHeight="1">
      <c r="B7438" s="13"/>
      <c r="C7438" t="s" s="9">
        <v>16</v>
      </c>
      <c r="D7438" t="s" s="8">
        <v>2612</v>
      </c>
      <c r="E7438" t="s" s="9">
        <v>2613</v>
      </c>
      <c r="F7438" t="s" s="10">
        <v>220</v>
      </c>
      <c r="G7438" t="s" s="11">
        <v>73</v>
      </c>
      <c r="H7438" t="s" s="10">
        <v>220</v>
      </c>
      <c r="I7438" t="s" s="11">
        <v>73</v>
      </c>
      <c r="J7438" t="s" s="11">
        <v>20</v>
      </c>
      <c r="K7438" t="s" s="16">
        <f>HYPERLINK("http://csr.bu.edu/ftp/asl/asllvd/demos/verify_start_end_handshape_annotations//test_auto_move//signs_mov/5333.mov","MOV")</f>
        <v>21</v>
      </c>
      <c r="L7438" t="s" s="16">
        <f>HYPERLINK("http://csr.bu.edu/ftp/asl/asllvd/demos/verify_start_end_handshape_annotations//test_auto_move//signs_mov_separ_signers/Liz_5333.mov","MOV")</f>
        <v>21</v>
      </c>
      <c r="M7438" t="s" s="10">
        <v>88</v>
      </c>
      <c r="N7438" s="17">
        <v>33</v>
      </c>
      <c r="O7438" s="18">
        <v>335</v>
      </c>
      <c r="P7438" s="18">
        <v>362</v>
      </c>
      <c r="Q7438" t="s" s="16">
        <f>HYPERLINK("http://secrets.rutgers.edu:8080/data/asl-ftp/asllvd/demos/verify_start_end_handshape_annotations//test_auto_move//signs_mov/5333.mov","MOV")</f>
        <v>21</v>
      </c>
      <c r="R7438" t="s" s="16">
        <f>HYPERLINK("http://secrets.rutgers.edu:8080/data/asl-ftp/asllvd/demos/verify_start_end_handshape_annotations//test_auto_move//signs_mov_separ_signers/Liz_5333.mov","MOV")</f>
        <v>21</v>
      </c>
    </row>
    <row r="7439" s="2" customFormat="1" ht="13.5" customHeight="1">
      <c r="B7439" t="s" s="8">
        <v>2614</v>
      </c>
      <c r="C7439" t="s" s="9">
        <v>14</v>
      </c>
      <c r="D7439" t="s" s="8">
        <v>14</v>
      </c>
      <c r="E7439" t="s" s="9">
        <v>14</v>
      </c>
      <c r="F7439" t="s" s="10">
        <v>14</v>
      </c>
      <c r="G7439" t="s" s="11">
        <v>14</v>
      </c>
      <c r="H7439" t="s" s="10">
        <v>14</v>
      </c>
      <c r="I7439" t="s" s="11">
        <v>14</v>
      </c>
      <c r="J7439" t="s" s="11">
        <v>14</v>
      </c>
      <c r="K7439" t="s" s="12">
        <v>14</v>
      </c>
      <c r="L7439" t="s" s="12">
        <v>14</v>
      </c>
      <c r="M7439" t="s" s="10">
        <v>14</v>
      </c>
      <c r="N7439" t="s" s="11">
        <v>14</v>
      </c>
      <c r="O7439" t="s" s="8">
        <v>14</v>
      </c>
      <c r="P7439" t="s" s="8">
        <v>14</v>
      </c>
      <c r="Q7439" t="s" s="12">
        <v>14</v>
      </c>
      <c r="R7439" t="s" s="12">
        <v>14</v>
      </c>
    </row>
    <row r="7440" s="2" customFormat="1" ht="13.5" customHeight="1">
      <c r="B7440" s="13"/>
      <c r="C7440" t="s" s="9">
        <v>41</v>
      </c>
      <c r="D7440" t="s" s="8">
        <v>2615</v>
      </c>
      <c r="E7440" t="s" s="9">
        <v>2616</v>
      </c>
      <c r="F7440" s="19">
        <v>1</v>
      </c>
      <c r="G7440" t="s" s="11">
        <v>73</v>
      </c>
      <c r="H7440" s="19">
        <v>1</v>
      </c>
      <c r="I7440" t="s" s="11">
        <v>73</v>
      </c>
      <c r="J7440" t="s" s="11">
        <v>20</v>
      </c>
      <c r="K7440" t="s" s="16">
        <f>HYPERLINK("http://csr.bu.edu/ftp/asl/asllvd/demos/verify_start_end_handshape_annotations//test_auto_move//signs_mov/15285.mov","MOV")</f>
        <v>21</v>
      </c>
      <c r="L7440" t="s" s="16">
        <f>HYPERLINK("http://csr.bu.edu/ftp/asl/asllvd/demos/verify_start_end_handshape_annotations//test_auto_move//signs_mov_separ_signers/Lana_15285.mov","MOV")</f>
        <v>21</v>
      </c>
      <c r="M7440" t="s" s="10">
        <v>42</v>
      </c>
      <c r="N7440" s="17">
        <v>20</v>
      </c>
      <c r="O7440" s="18">
        <v>839</v>
      </c>
      <c r="P7440" s="18">
        <v>874</v>
      </c>
      <c r="Q7440" t="s" s="16">
        <f>HYPERLINK("http://secrets.rutgers.edu:8080/data/asl-ftp/asllvd/demos/verify_start_end_handshape_annotations//test_auto_move//signs_mov/15285.mov","MOV")</f>
        <v>21</v>
      </c>
      <c r="R7440" t="s" s="16">
        <f>HYPERLINK("http://secrets.rutgers.edu:8080/data/asl-ftp/asllvd/demos/verify_start_end_handshape_annotations//test_auto_move//signs_mov_separ_signers/Lana_15285.mov","MOV")</f>
        <v>21</v>
      </c>
    </row>
    <row r="7441" s="2" customFormat="1" ht="13.5" customHeight="1">
      <c r="B7441" t="s" s="8">
        <v>2617</v>
      </c>
      <c r="C7441" t="s" s="9">
        <v>14</v>
      </c>
      <c r="D7441" t="s" s="8">
        <v>14</v>
      </c>
      <c r="E7441" t="s" s="9">
        <v>14</v>
      </c>
      <c r="F7441" t="s" s="10">
        <v>14</v>
      </c>
      <c r="G7441" t="s" s="11">
        <v>14</v>
      </c>
      <c r="H7441" t="s" s="10">
        <v>14</v>
      </c>
      <c r="I7441" t="s" s="11">
        <v>14</v>
      </c>
      <c r="J7441" t="s" s="11">
        <v>14</v>
      </c>
      <c r="K7441" t="s" s="12">
        <v>14</v>
      </c>
      <c r="L7441" t="s" s="12">
        <v>14</v>
      </c>
      <c r="M7441" t="s" s="10">
        <v>14</v>
      </c>
      <c r="N7441" t="s" s="11">
        <v>14</v>
      </c>
      <c r="O7441" t="s" s="8">
        <v>14</v>
      </c>
      <c r="P7441" t="s" s="8">
        <v>14</v>
      </c>
      <c r="Q7441" t="s" s="12">
        <v>14</v>
      </c>
      <c r="R7441" t="s" s="12">
        <v>14</v>
      </c>
    </row>
    <row r="7442" s="2" customFormat="1" ht="13.5" customHeight="1">
      <c r="B7442" s="13"/>
      <c r="C7442" t="s" s="9">
        <v>16</v>
      </c>
      <c r="D7442" t="s" s="8">
        <v>2617</v>
      </c>
      <c r="E7442" t="s" s="9">
        <v>2618</v>
      </c>
      <c r="F7442" t="s" s="10">
        <v>1352</v>
      </c>
      <c r="G7442" t="s" s="11">
        <v>119</v>
      </c>
      <c r="H7442" t="s" s="10">
        <v>119</v>
      </c>
      <c r="I7442" t="s" s="11">
        <v>119</v>
      </c>
      <c r="J7442" t="s" s="11">
        <v>20</v>
      </c>
      <c r="K7442" t="s" s="16">
        <f>HYPERLINK("http://csr.bu.edu/ftp/asl/asllvd/demos/verify_start_end_handshape_annotations//test_auto_move//signs_mov/1805.mov","MOV")</f>
        <v>21</v>
      </c>
      <c r="L7442" t="s" s="16">
        <f>HYPERLINK("http://csr.bu.edu/ftp/asl/asllvd/demos/verify_start_end_handshape_annotations//test_auto_move//signs_mov_separ_signers/Liz_1805.mov","MOV")</f>
        <v>21</v>
      </c>
      <c r="M7442" t="s" s="10">
        <v>88</v>
      </c>
      <c r="N7442" s="17">
        <v>33</v>
      </c>
      <c r="O7442" s="18">
        <v>2605</v>
      </c>
      <c r="P7442" s="18">
        <v>2646</v>
      </c>
      <c r="Q7442" t="s" s="16">
        <f>HYPERLINK("http://secrets.rutgers.edu:8080/data/asl-ftp/asllvd/demos/verify_start_end_handshape_annotations//test_auto_move//signs_mov/1805.mov","MOV")</f>
        <v>21</v>
      </c>
      <c r="R7442" t="s" s="16">
        <f>HYPERLINK("http://secrets.rutgers.edu:8080/data/asl-ftp/asllvd/demos/verify_start_end_handshape_annotations//test_auto_move//signs_mov_separ_signers/Liz_1805.mov","MOV")</f>
        <v>21</v>
      </c>
    </row>
    <row r="7443" s="2" customFormat="1" ht="13.5" customHeight="1">
      <c r="B7443" s="13"/>
      <c r="C7443" t="s" s="9">
        <v>30</v>
      </c>
      <c r="D7443" t="s" s="8">
        <v>2617</v>
      </c>
      <c r="E7443" t="s" s="9">
        <v>2618</v>
      </c>
      <c r="F7443" t="s" s="10">
        <v>1352</v>
      </c>
      <c r="G7443" t="s" s="11">
        <v>119</v>
      </c>
      <c r="H7443" t="s" s="10">
        <v>119</v>
      </c>
      <c r="I7443" t="s" s="11">
        <v>119</v>
      </c>
      <c r="J7443" t="s" s="11">
        <v>20</v>
      </c>
      <c r="K7443" s="15"/>
      <c r="L7443" t="s" s="16">
        <f>HYPERLINK("http://csr.bu.edu/ftp/asl/asllvd/demos/verify_start_end_handshape_annotations//test_auto_move//signs_mov_separ_signers/Brady_1805.mov","MOV")</f>
        <v>21</v>
      </c>
      <c r="M7443" t="s" s="10">
        <v>40</v>
      </c>
      <c r="N7443" s="17">
        <v>28</v>
      </c>
      <c r="O7443" s="18">
        <v>1934</v>
      </c>
      <c r="P7443" s="18">
        <v>1973</v>
      </c>
      <c r="Q7443" s="15"/>
      <c r="R7443" t="s" s="16">
        <f>HYPERLINK("http://secrets.rutgers.edu:8080/data/asl-ftp/asllvd/demos/verify_start_end_handshape_annotations//test_auto_move//signs_mov_separ_signers/Brady_1805.mov","MOV")</f>
        <v>21</v>
      </c>
    </row>
    <row r="7444" s="2" customFormat="1" ht="13.5" customHeight="1">
      <c r="B7444" t="s" s="8">
        <v>2619</v>
      </c>
      <c r="C7444" t="s" s="9">
        <v>14</v>
      </c>
      <c r="D7444" t="s" s="8">
        <v>14</v>
      </c>
      <c r="E7444" t="s" s="9">
        <v>14</v>
      </c>
      <c r="F7444" t="s" s="10">
        <v>14</v>
      </c>
      <c r="G7444" t="s" s="11">
        <v>14</v>
      </c>
      <c r="H7444" t="s" s="10">
        <v>14</v>
      </c>
      <c r="I7444" t="s" s="11">
        <v>14</v>
      </c>
      <c r="J7444" t="s" s="11">
        <v>14</v>
      </c>
      <c r="K7444" t="s" s="12">
        <v>14</v>
      </c>
      <c r="L7444" t="s" s="12">
        <v>14</v>
      </c>
      <c r="M7444" t="s" s="10">
        <v>14</v>
      </c>
      <c r="N7444" t="s" s="11">
        <v>14</v>
      </c>
      <c r="O7444" t="s" s="8">
        <v>14</v>
      </c>
      <c r="P7444" t="s" s="8">
        <v>14</v>
      </c>
      <c r="Q7444" t="s" s="12">
        <v>14</v>
      </c>
      <c r="R7444" t="s" s="12">
        <v>14</v>
      </c>
    </row>
    <row r="7445" s="2" customFormat="1" ht="13.5" customHeight="1">
      <c r="B7445" s="13"/>
      <c r="C7445" t="s" s="9">
        <v>16</v>
      </c>
      <c r="D7445" t="s" s="8">
        <v>2619</v>
      </c>
      <c r="E7445" t="s" s="9">
        <v>2620</v>
      </c>
      <c r="F7445" t="s" s="10">
        <v>109</v>
      </c>
      <c r="G7445" t="s" s="11">
        <v>109</v>
      </c>
      <c r="H7445" t="s" s="10">
        <v>109</v>
      </c>
      <c r="I7445" t="s" s="11">
        <v>109</v>
      </c>
      <c r="J7445" t="s" s="11">
        <v>20</v>
      </c>
      <c r="K7445" t="s" s="16">
        <f>HYPERLINK("http://csr.bu.edu/ftp/asl/asllvd/demos/verify_start_end_handshape_annotations//test_auto_move//signs_mov/1816.mov","MOV")</f>
        <v>21</v>
      </c>
      <c r="L7445" t="s" s="16">
        <f>HYPERLINK("http://csr.bu.edu/ftp/asl/asllvd/demos/verify_start_end_handshape_annotations//test_auto_move//signs_mov_separ_signers/Liz_1816.mov","MOV")</f>
        <v>21</v>
      </c>
      <c r="M7445" t="s" s="10">
        <v>88</v>
      </c>
      <c r="N7445" s="17">
        <v>34</v>
      </c>
      <c r="O7445" s="18">
        <v>2051</v>
      </c>
      <c r="P7445" s="18">
        <v>2127</v>
      </c>
      <c r="Q7445" t="s" s="16">
        <f>HYPERLINK("http://secrets.rutgers.edu:8080/data/asl-ftp/asllvd/demos/verify_start_end_handshape_annotations//test_auto_move//signs_mov/1816.mov","MOV")</f>
        <v>21</v>
      </c>
      <c r="R7445" t="s" s="16">
        <f>HYPERLINK("http://secrets.rutgers.edu:8080/data/asl-ftp/asllvd/demos/verify_start_end_handshape_annotations//test_auto_move//signs_mov_separ_signers/Liz_1816.mov","MOV")</f>
        <v>21</v>
      </c>
    </row>
    <row r="7446" s="2" customFormat="1" ht="13.5" customHeight="1">
      <c r="B7446" t="s" s="8">
        <v>2621</v>
      </c>
      <c r="C7446" t="s" s="9">
        <v>14</v>
      </c>
      <c r="D7446" t="s" s="8">
        <v>14</v>
      </c>
      <c r="E7446" t="s" s="9">
        <v>14</v>
      </c>
      <c r="F7446" t="s" s="10">
        <v>14</v>
      </c>
      <c r="G7446" t="s" s="11">
        <v>14</v>
      </c>
      <c r="H7446" t="s" s="10">
        <v>14</v>
      </c>
      <c r="I7446" t="s" s="11">
        <v>14</v>
      </c>
      <c r="J7446" t="s" s="11">
        <v>14</v>
      </c>
      <c r="K7446" t="s" s="12">
        <v>14</v>
      </c>
      <c r="L7446" t="s" s="12">
        <v>14</v>
      </c>
      <c r="M7446" t="s" s="10">
        <v>14</v>
      </c>
      <c r="N7446" t="s" s="11">
        <v>14</v>
      </c>
      <c r="O7446" t="s" s="8">
        <v>14</v>
      </c>
      <c r="P7446" t="s" s="8">
        <v>14</v>
      </c>
      <c r="Q7446" t="s" s="12">
        <v>14</v>
      </c>
      <c r="R7446" t="s" s="12">
        <v>14</v>
      </c>
    </row>
    <row r="7447" s="2" customFormat="1" ht="13.5" customHeight="1">
      <c r="B7447" s="13"/>
      <c r="C7447" t="s" s="9">
        <v>16</v>
      </c>
      <c r="D7447" t="s" s="8">
        <v>2622</v>
      </c>
      <c r="E7447" t="s" s="9">
        <v>2623</v>
      </c>
      <c r="F7447" t="s" s="10">
        <v>220</v>
      </c>
      <c r="G7447" s="14"/>
      <c r="H7447" t="s" s="10">
        <v>220</v>
      </c>
      <c r="I7447" s="14"/>
      <c r="J7447" t="s" s="11">
        <v>20</v>
      </c>
      <c r="K7447" t="s" s="16">
        <f>HYPERLINK("http://csr.bu.edu/ftp/asl/asllvd/demos/verify_start_end_handshape_annotations//test_auto_move//signs_mov/1818.mov","MOV")</f>
        <v>21</v>
      </c>
      <c r="L7447" t="s" s="16">
        <f>HYPERLINK("http://csr.bu.edu/ftp/asl/asllvd/demos/verify_start_end_handshape_annotations//test_auto_move//signs_mov_separ_signers/Liz_1818.mov","MOV")</f>
        <v>21</v>
      </c>
      <c r="M7447" t="s" s="10">
        <v>88</v>
      </c>
      <c r="N7447" s="17">
        <v>34</v>
      </c>
      <c r="O7447" s="18">
        <v>3675</v>
      </c>
      <c r="P7447" s="18">
        <v>3706</v>
      </c>
      <c r="Q7447" t="s" s="16">
        <f>HYPERLINK("http://secrets.rutgers.edu:8080/data/asl-ftp/asllvd/demos/verify_start_end_handshape_annotations//test_auto_move//signs_mov/1818.mov","MOV")</f>
        <v>21</v>
      </c>
      <c r="R7447" t="s" s="16">
        <f>HYPERLINK("http://secrets.rutgers.edu:8080/data/asl-ftp/asllvd/demos/verify_start_end_handshape_annotations//test_auto_move//signs_mov_separ_signers/Liz_1818.mov","MOV")</f>
        <v>21</v>
      </c>
    </row>
    <row r="7448" s="2" customFormat="1" ht="13.5" customHeight="1">
      <c r="B7448" t="s" s="8">
        <v>2624</v>
      </c>
      <c r="C7448" t="s" s="9">
        <v>14</v>
      </c>
      <c r="D7448" t="s" s="8">
        <v>14</v>
      </c>
      <c r="E7448" t="s" s="9">
        <v>14</v>
      </c>
      <c r="F7448" t="s" s="10">
        <v>14</v>
      </c>
      <c r="G7448" t="s" s="11">
        <v>14</v>
      </c>
      <c r="H7448" t="s" s="10">
        <v>14</v>
      </c>
      <c r="I7448" t="s" s="11">
        <v>14</v>
      </c>
      <c r="J7448" t="s" s="11">
        <v>14</v>
      </c>
      <c r="K7448" t="s" s="12">
        <v>14</v>
      </c>
      <c r="L7448" t="s" s="12">
        <v>14</v>
      </c>
      <c r="M7448" t="s" s="10">
        <v>14</v>
      </c>
      <c r="N7448" t="s" s="11">
        <v>14</v>
      </c>
      <c r="O7448" t="s" s="8">
        <v>14</v>
      </c>
      <c r="P7448" t="s" s="8">
        <v>14</v>
      </c>
      <c r="Q7448" t="s" s="12">
        <v>14</v>
      </c>
      <c r="R7448" t="s" s="12">
        <v>14</v>
      </c>
    </row>
    <row r="7449" s="2" customFormat="1" ht="13.5" customHeight="1">
      <c r="B7449" s="13"/>
      <c r="C7449" t="s" s="9">
        <v>16</v>
      </c>
      <c r="D7449" t="s" s="8">
        <v>2624</v>
      </c>
      <c r="E7449" t="s" s="9">
        <v>2624</v>
      </c>
      <c r="F7449" t="s" s="10">
        <v>158</v>
      </c>
      <c r="G7449" s="14"/>
      <c r="H7449" t="s" s="10">
        <v>158</v>
      </c>
      <c r="I7449" s="14"/>
      <c r="J7449" t="s" s="11">
        <v>20</v>
      </c>
      <c r="K7449" s="15"/>
      <c r="L7449" t="s" s="16">
        <f>HYPERLINK("http://csr.bu.edu/ftp/asl/asllvd/demos/verify_start_end_handshape_annotations//test_auto_move//signs_mov_separ_signers/Liz_1823.mov","MOV")</f>
        <v>21</v>
      </c>
      <c r="M7449" t="s" s="10">
        <v>88</v>
      </c>
      <c r="N7449" s="17">
        <v>35</v>
      </c>
      <c r="O7449" s="18">
        <v>1911</v>
      </c>
      <c r="P7449" s="18">
        <v>1955</v>
      </c>
      <c r="Q7449" s="15"/>
      <c r="R7449" t="s" s="16">
        <f>HYPERLINK("http://secrets.rutgers.edu:8080/data/asl-ftp/asllvd/demos/verify_start_end_handshape_annotations//test_auto_move//signs_mov_separ_signers/Liz_1823.mov","MOV")</f>
        <v>21</v>
      </c>
    </row>
    <row r="7450" s="2" customFormat="1" ht="13.5" customHeight="1">
      <c r="B7450" s="13"/>
      <c r="C7450" t="s" s="9">
        <v>30</v>
      </c>
      <c r="D7450" t="s" s="8">
        <v>2624</v>
      </c>
      <c r="E7450" t="s" s="9">
        <v>2624</v>
      </c>
      <c r="F7450" t="s" s="10">
        <v>158</v>
      </c>
      <c r="G7450" s="14"/>
      <c r="H7450" t="s" s="10">
        <v>158</v>
      </c>
      <c r="I7450" s="14"/>
      <c r="J7450" t="s" s="11">
        <v>20</v>
      </c>
      <c r="K7450" t="s" s="16">
        <f>HYPERLINK("http://csr.bu.edu/ftp/asl/asllvd/demos/verify_start_end_handshape_annotations//test_auto_move//signs_mov/1823.mov","MOV")</f>
        <v>21</v>
      </c>
      <c r="L7450" t="s" s="16">
        <f>HYPERLINK("http://csr.bu.edu/ftp/asl/asllvd/demos/verify_start_end_handshape_annotations//test_auto_move//signs_mov_separ_signers/Brady_1823.mov","MOV")</f>
        <v>21</v>
      </c>
      <c r="M7450" t="s" s="10">
        <v>40</v>
      </c>
      <c r="N7450" s="17">
        <v>30</v>
      </c>
      <c r="O7450" s="18">
        <v>470</v>
      </c>
      <c r="P7450" s="18">
        <v>494</v>
      </c>
      <c r="Q7450" t="s" s="16">
        <f>HYPERLINK("http://secrets.rutgers.edu:8080/data/asl-ftp/asllvd/demos/verify_start_end_handshape_annotations//test_auto_move//signs_mov/1823.mov","MOV")</f>
        <v>21</v>
      </c>
      <c r="R7450" t="s" s="16">
        <f>HYPERLINK("http://secrets.rutgers.edu:8080/data/asl-ftp/asllvd/demos/verify_start_end_handshape_annotations//test_auto_move//signs_mov_separ_signers/Brady_1823.mov","MOV")</f>
        <v>21</v>
      </c>
    </row>
    <row r="7451" s="2" customFormat="1" ht="13.5" customHeight="1">
      <c r="B7451" s="13"/>
      <c r="C7451" t="s" s="9">
        <v>41</v>
      </c>
      <c r="D7451" t="s" s="8">
        <v>2624</v>
      </c>
      <c r="E7451" t="s" s="9">
        <v>2624</v>
      </c>
      <c r="F7451" t="s" s="10">
        <v>158</v>
      </c>
      <c r="G7451" s="14"/>
      <c r="H7451" t="s" s="10">
        <v>158</v>
      </c>
      <c r="I7451" s="14"/>
      <c r="J7451" t="s" s="11">
        <v>20</v>
      </c>
      <c r="K7451" s="15"/>
      <c r="L7451" t="s" s="16">
        <f>HYPERLINK("http://csr.bu.edu/ftp/asl/asllvd/demos/verify_start_end_handshape_annotations//test_auto_move//signs_mov_separ_signers/Lana_1823.mov","MOV")</f>
        <v>21</v>
      </c>
      <c r="M7451" t="s" s="10">
        <v>42</v>
      </c>
      <c r="N7451" s="17">
        <v>21</v>
      </c>
      <c r="O7451" s="18">
        <v>632</v>
      </c>
      <c r="P7451" s="18">
        <v>659</v>
      </c>
      <c r="Q7451" s="15"/>
      <c r="R7451" t="s" s="16">
        <f>HYPERLINK("http://secrets.rutgers.edu:8080/data/asl-ftp/asllvd/demos/verify_start_end_handshape_annotations//test_auto_move//signs_mov_separ_signers/Lana_1823.mov","MOV")</f>
        <v>21</v>
      </c>
    </row>
    <row r="7452" s="2" customFormat="1" ht="13.5" customHeight="1">
      <c r="B7452" s="13"/>
      <c r="C7452" t="s" s="9">
        <v>43</v>
      </c>
      <c r="D7452" t="s" s="8">
        <v>2624</v>
      </c>
      <c r="E7452" t="s" s="9">
        <v>2624</v>
      </c>
      <c r="F7452" t="s" s="10">
        <v>158</v>
      </c>
      <c r="G7452" s="14"/>
      <c r="H7452" t="s" s="10">
        <v>158</v>
      </c>
      <c r="I7452" s="14"/>
      <c r="J7452" t="s" s="11">
        <v>20</v>
      </c>
      <c r="K7452" s="15"/>
      <c r="L7452" t="s" s="16">
        <f>HYPERLINK("http://csr.bu.edu/ftp/asl/asllvd/demos/verify_start_end_handshape_annotations//test_auto_move//signs_mov_separ_signers/Dana_1823.mov","MOV")</f>
        <v>21</v>
      </c>
      <c r="M7452" t="s" s="10">
        <v>44</v>
      </c>
      <c r="N7452" s="17">
        <v>23</v>
      </c>
      <c r="O7452" s="18">
        <v>544</v>
      </c>
      <c r="P7452" s="18">
        <v>592</v>
      </c>
      <c r="Q7452" s="15"/>
      <c r="R7452" t="s" s="16">
        <f>HYPERLINK("http://secrets.rutgers.edu:8080/data/asl-ftp/asllvd/demos/verify_start_end_handshape_annotations//test_auto_move//signs_mov_separ_signers/Dana_1823.mov","MOV")</f>
        <v>21</v>
      </c>
    </row>
    <row r="7453" s="2" customFormat="1" ht="13.5" customHeight="1">
      <c r="B7453" t="s" s="8">
        <v>2625</v>
      </c>
      <c r="C7453" t="s" s="9">
        <v>14</v>
      </c>
      <c r="D7453" t="s" s="8">
        <v>14</v>
      </c>
      <c r="E7453" t="s" s="9">
        <v>14</v>
      </c>
      <c r="F7453" t="s" s="10">
        <v>14</v>
      </c>
      <c r="G7453" t="s" s="11">
        <v>14</v>
      </c>
      <c r="H7453" t="s" s="10">
        <v>14</v>
      </c>
      <c r="I7453" t="s" s="11">
        <v>14</v>
      </c>
      <c r="J7453" t="s" s="11">
        <v>14</v>
      </c>
      <c r="K7453" t="s" s="12">
        <v>14</v>
      </c>
      <c r="L7453" t="s" s="12">
        <v>14</v>
      </c>
      <c r="M7453" t="s" s="10">
        <v>14</v>
      </c>
      <c r="N7453" t="s" s="11">
        <v>14</v>
      </c>
      <c r="O7453" t="s" s="8">
        <v>14</v>
      </c>
      <c r="P7453" t="s" s="8">
        <v>14</v>
      </c>
      <c r="Q7453" t="s" s="12">
        <v>14</v>
      </c>
      <c r="R7453" t="s" s="12">
        <v>14</v>
      </c>
    </row>
    <row r="7454" s="2" customFormat="1" ht="13.5" customHeight="1">
      <c r="B7454" s="13"/>
      <c r="C7454" t="s" s="9">
        <v>16</v>
      </c>
      <c r="D7454" t="s" s="8">
        <v>2625</v>
      </c>
      <c r="E7454" t="s" s="9">
        <v>2626</v>
      </c>
      <c r="F7454" t="s" s="10">
        <v>136</v>
      </c>
      <c r="G7454" s="14"/>
      <c r="H7454" t="s" s="10">
        <v>136</v>
      </c>
      <c r="I7454" s="14"/>
      <c r="J7454" t="s" s="11">
        <v>20</v>
      </c>
      <c r="K7454" t="s" s="16">
        <f>HYPERLINK("http://csr.bu.edu/ftp/asl/asllvd/demos/verify_start_end_handshape_annotations//test_auto_move//signs_mov/1827.mov","MOV")</f>
        <v>21</v>
      </c>
      <c r="L7454" t="s" s="16">
        <f>HYPERLINK("http://csr.bu.edu/ftp/asl/asllvd/demos/verify_start_end_handshape_annotations//test_auto_move//signs_mov_separ_signers/Liz_1827.mov","MOV")</f>
        <v>21</v>
      </c>
      <c r="M7454" t="s" s="10">
        <v>88</v>
      </c>
      <c r="N7454" s="17">
        <v>35</v>
      </c>
      <c r="O7454" s="18">
        <v>3510</v>
      </c>
      <c r="P7454" s="18">
        <v>3555</v>
      </c>
      <c r="Q7454" t="s" s="16">
        <f>HYPERLINK("http://secrets.rutgers.edu:8080/data/asl-ftp/asllvd/demos/verify_start_end_handshape_annotations//test_auto_move//signs_mov/1827.mov","MOV")</f>
        <v>21</v>
      </c>
      <c r="R7454" t="s" s="16">
        <f>HYPERLINK("http://secrets.rutgers.edu:8080/data/asl-ftp/asllvd/demos/verify_start_end_handshape_annotations//test_auto_move//signs_mov_separ_signers/Liz_1827.mov","MOV")</f>
        <v>21</v>
      </c>
    </row>
    <row r="7455" s="2" customFormat="1" ht="13.5" customHeight="1">
      <c r="B7455" s="13"/>
      <c r="C7455" t="s" s="9">
        <v>30</v>
      </c>
      <c r="D7455" t="s" s="8">
        <v>2625</v>
      </c>
      <c r="E7455" t="s" s="9">
        <v>2626</v>
      </c>
      <c r="F7455" t="s" s="10">
        <v>136</v>
      </c>
      <c r="G7455" s="14"/>
      <c r="H7455" t="s" s="10">
        <v>136</v>
      </c>
      <c r="I7455" s="14"/>
      <c r="J7455" t="s" s="11">
        <v>20</v>
      </c>
      <c r="K7455" s="15"/>
      <c r="L7455" t="s" s="16">
        <f>HYPERLINK("http://csr.bu.edu/ftp/asl/asllvd/demos/verify_start_end_handshape_annotations//test_auto_move//signs_mov_separ_signers/Brady_1827.mov","MOV")</f>
        <v>21</v>
      </c>
      <c r="M7455" t="s" s="10">
        <v>40</v>
      </c>
      <c r="N7455" s="17">
        <v>30</v>
      </c>
      <c r="O7455" s="18">
        <v>1838</v>
      </c>
      <c r="P7455" s="18">
        <v>1857</v>
      </c>
      <c r="Q7455" s="15"/>
      <c r="R7455" t="s" s="16">
        <f>HYPERLINK("http://secrets.rutgers.edu:8080/data/asl-ftp/asllvd/demos/verify_start_end_handshape_annotations//test_auto_move//signs_mov_separ_signers/Brady_1827.mov","MOV")</f>
        <v>21</v>
      </c>
    </row>
    <row r="7456" s="2" customFormat="1" ht="13.5" customHeight="1">
      <c r="B7456" t="s" s="8">
        <v>52</v>
      </c>
      <c r="C7456" t="s" s="9">
        <v>53</v>
      </c>
      <c r="D7456" t="s" s="8">
        <v>53</v>
      </c>
      <c r="E7456" t="s" s="9">
        <v>53</v>
      </c>
      <c r="F7456" t="s" s="10">
        <v>53</v>
      </c>
      <c r="G7456" t="s" s="11">
        <v>53</v>
      </c>
      <c r="H7456" t="s" s="10">
        <v>53</v>
      </c>
      <c r="I7456" t="s" s="11">
        <v>53</v>
      </c>
      <c r="J7456" t="s" s="11">
        <v>53</v>
      </c>
      <c r="K7456" t="s" s="12">
        <v>53</v>
      </c>
      <c r="L7456" t="s" s="12">
        <v>53</v>
      </c>
      <c r="M7456" t="s" s="10">
        <v>53</v>
      </c>
      <c r="N7456" t="s" s="11">
        <v>53</v>
      </c>
      <c r="O7456" t="s" s="8">
        <v>53</v>
      </c>
      <c r="P7456" t="s" s="8">
        <v>53</v>
      </c>
      <c r="Q7456" t="s" s="12">
        <v>53</v>
      </c>
      <c r="R7456" t="s" s="12">
        <v>53</v>
      </c>
    </row>
    <row r="7457" s="2" customFormat="1" ht="13.5" customHeight="1">
      <c r="B7457" s="13"/>
      <c r="C7457" t="s" s="9">
        <v>30</v>
      </c>
      <c r="D7457" t="s" s="8">
        <v>2625</v>
      </c>
      <c r="E7457" t="s" s="9">
        <v>2627</v>
      </c>
      <c r="F7457" t="s" s="10">
        <v>136</v>
      </c>
      <c r="G7457" s="14"/>
      <c r="H7457" t="s" s="10">
        <v>136</v>
      </c>
      <c r="I7457" s="14"/>
      <c r="J7457" t="s" s="11">
        <v>20</v>
      </c>
      <c r="K7457" t="s" s="16">
        <f>HYPERLINK("http://csr.bu.edu/ftp/asl/asllvd/demos/verify_start_end_handshape_annotations//test_auto_move//signs_mov/3712.mov","MOV")</f>
        <v>21</v>
      </c>
      <c r="L7457" t="s" s="16">
        <f>HYPERLINK("http://csr.bu.edu/ftp/asl/asllvd/demos/verify_start_end_handshape_annotations//test_auto_move//signs_mov_separ_signers/Brady_3712.mov","MOV")</f>
        <v>21</v>
      </c>
      <c r="M7457" t="s" s="10">
        <v>40</v>
      </c>
      <c r="N7457" s="17">
        <v>30</v>
      </c>
      <c r="O7457" s="18">
        <v>1526</v>
      </c>
      <c r="P7457" s="18">
        <v>1552</v>
      </c>
      <c r="Q7457" t="s" s="16">
        <f>HYPERLINK("http://secrets.rutgers.edu:8080/data/asl-ftp/asllvd/demos/verify_start_end_handshape_annotations//test_auto_move//signs_mov/3712.mov","MOV")</f>
        <v>21</v>
      </c>
      <c r="R7457" t="s" s="16">
        <f>HYPERLINK("http://secrets.rutgers.edu:8080/data/asl-ftp/asllvd/demos/verify_start_end_handshape_annotations//test_auto_move//signs_mov_separ_signers/Brady_3712.mov","MOV")</f>
        <v>21</v>
      </c>
    </row>
    <row r="7458" s="2" customFormat="1" ht="13.5" customHeight="1">
      <c r="B7458" t="s" s="8">
        <v>52</v>
      </c>
      <c r="C7458" t="s" s="9">
        <v>53</v>
      </c>
      <c r="D7458" t="s" s="8">
        <v>53</v>
      </c>
      <c r="E7458" t="s" s="9">
        <v>53</v>
      </c>
      <c r="F7458" t="s" s="10">
        <v>53</v>
      </c>
      <c r="G7458" t="s" s="11">
        <v>53</v>
      </c>
      <c r="H7458" t="s" s="10">
        <v>53</v>
      </c>
      <c r="I7458" t="s" s="11">
        <v>53</v>
      </c>
      <c r="J7458" t="s" s="11">
        <v>53</v>
      </c>
      <c r="K7458" t="s" s="12">
        <v>53</v>
      </c>
      <c r="L7458" t="s" s="12">
        <v>53</v>
      </c>
      <c r="M7458" t="s" s="10">
        <v>53</v>
      </c>
      <c r="N7458" t="s" s="11">
        <v>53</v>
      </c>
      <c r="O7458" t="s" s="8">
        <v>53</v>
      </c>
      <c r="P7458" t="s" s="8">
        <v>53</v>
      </c>
      <c r="Q7458" t="s" s="12">
        <v>53</v>
      </c>
      <c r="R7458" t="s" s="12">
        <v>53</v>
      </c>
    </row>
    <row r="7459" s="2" customFormat="1" ht="13.5" customHeight="1">
      <c r="B7459" s="13"/>
      <c r="C7459" t="s" s="9">
        <v>16</v>
      </c>
      <c r="D7459" t="s" s="8">
        <v>2625</v>
      </c>
      <c r="E7459" t="s" s="9">
        <v>2628</v>
      </c>
      <c r="F7459" t="s" s="10">
        <v>136</v>
      </c>
      <c r="G7459" s="14"/>
      <c r="H7459" t="s" s="10">
        <v>136</v>
      </c>
      <c r="I7459" s="14"/>
      <c r="J7459" t="s" s="11">
        <v>20</v>
      </c>
      <c r="K7459" t="s" s="16">
        <f>HYPERLINK("http://csr.bu.edu/ftp/asl/asllvd/demos/verify_start_end_handshape_annotations//test_auto_move//signs_mov/5334.mov","MOV")</f>
        <v>21</v>
      </c>
      <c r="L7459" t="s" s="16">
        <f>HYPERLINK("http://csr.bu.edu/ftp/asl/asllvd/demos/verify_start_end_handshape_annotations//test_auto_move//signs_mov_separ_signers/Liz_5334.mov","MOV")</f>
        <v>21</v>
      </c>
      <c r="M7459" t="s" s="10">
        <v>88</v>
      </c>
      <c r="N7459" s="17">
        <v>35</v>
      </c>
      <c r="O7459" s="18">
        <v>3207</v>
      </c>
      <c r="P7459" s="18">
        <v>3261</v>
      </c>
      <c r="Q7459" t="s" s="16">
        <f>HYPERLINK("http://secrets.rutgers.edu:8080/data/asl-ftp/asllvd/demos/verify_start_end_handshape_annotations//test_auto_move//signs_mov/5334.mov","MOV")</f>
        <v>21</v>
      </c>
      <c r="R7459" t="s" s="16">
        <f>HYPERLINK("http://secrets.rutgers.edu:8080/data/asl-ftp/asllvd/demos/verify_start_end_handshape_annotations//test_auto_move//signs_mov_separ_signers/Liz_5334.mov","MOV")</f>
        <v>21</v>
      </c>
    </row>
    <row r="7460" s="2" customFormat="1" ht="13.5" customHeight="1">
      <c r="B7460" t="s" s="8">
        <v>2629</v>
      </c>
      <c r="C7460" t="s" s="9">
        <v>14</v>
      </c>
      <c r="D7460" t="s" s="8">
        <v>14</v>
      </c>
      <c r="E7460" t="s" s="9">
        <v>14</v>
      </c>
      <c r="F7460" t="s" s="10">
        <v>14</v>
      </c>
      <c r="G7460" t="s" s="11">
        <v>14</v>
      </c>
      <c r="H7460" t="s" s="10">
        <v>14</v>
      </c>
      <c r="I7460" t="s" s="11">
        <v>14</v>
      </c>
      <c r="J7460" t="s" s="11">
        <v>14</v>
      </c>
      <c r="K7460" t="s" s="12">
        <v>14</v>
      </c>
      <c r="L7460" t="s" s="12">
        <v>14</v>
      </c>
      <c r="M7460" t="s" s="10">
        <v>14</v>
      </c>
      <c r="N7460" t="s" s="11">
        <v>14</v>
      </c>
      <c r="O7460" t="s" s="8">
        <v>14</v>
      </c>
      <c r="P7460" t="s" s="8">
        <v>14</v>
      </c>
      <c r="Q7460" t="s" s="12">
        <v>14</v>
      </c>
      <c r="R7460" t="s" s="12">
        <v>14</v>
      </c>
    </row>
    <row r="7461" s="2" customFormat="1" ht="13.5" customHeight="1">
      <c r="B7461" s="13"/>
      <c r="C7461" t="s" s="9">
        <v>16</v>
      </c>
      <c r="D7461" t="s" s="8">
        <v>2629</v>
      </c>
      <c r="E7461" t="s" s="9">
        <v>2629</v>
      </c>
      <c r="F7461" t="s" s="10">
        <v>65</v>
      </c>
      <c r="G7461" s="14"/>
      <c r="H7461" t="s" s="10">
        <v>65</v>
      </c>
      <c r="I7461" s="14"/>
      <c r="J7461" t="s" s="11">
        <v>20</v>
      </c>
      <c r="K7461" t="s" s="16">
        <f>HYPERLINK("http://csr.bu.edu/ftp/asl/asllvd/demos/verify_start_end_handshape_annotations//test_auto_move//signs_mov/1829.mov","MOV")</f>
        <v>21</v>
      </c>
      <c r="L7461" t="s" s="16">
        <f>HYPERLINK("http://csr.bu.edu/ftp/asl/asllvd/demos/verify_start_end_handshape_annotations//test_auto_move//signs_mov_separ_signers/Liz_1829.mov","MOV")</f>
        <v>21</v>
      </c>
      <c r="M7461" t="s" s="10">
        <v>88</v>
      </c>
      <c r="N7461" s="17">
        <v>35</v>
      </c>
      <c r="O7461" s="18">
        <v>4581</v>
      </c>
      <c r="P7461" s="18">
        <v>4625</v>
      </c>
      <c r="Q7461" t="s" s="16">
        <f>HYPERLINK("http://secrets.rutgers.edu:8080/data/asl-ftp/asllvd/demos/verify_start_end_handshape_annotations//test_auto_move//signs_mov/1829.mov","MOV")</f>
        <v>21</v>
      </c>
      <c r="R7461" t="s" s="16">
        <f>HYPERLINK("http://secrets.rutgers.edu:8080/data/asl-ftp/asllvd/demos/verify_start_end_handshape_annotations//test_auto_move//signs_mov_separ_signers/Liz_1829.mov","MOV")</f>
        <v>21</v>
      </c>
    </row>
    <row r="7462" s="2" customFormat="1" ht="13.5" customHeight="1">
      <c r="B7462" s="13"/>
      <c r="C7462" t="s" s="9">
        <v>30</v>
      </c>
      <c r="D7462" t="s" s="8">
        <v>2629</v>
      </c>
      <c r="E7462" t="s" s="9">
        <v>2629</v>
      </c>
      <c r="F7462" t="s" s="10">
        <v>65</v>
      </c>
      <c r="G7462" s="14"/>
      <c r="H7462" t="s" s="10">
        <v>65</v>
      </c>
      <c r="I7462" s="14"/>
      <c r="J7462" t="s" s="11">
        <v>20</v>
      </c>
      <c r="K7462" s="15"/>
      <c r="L7462" t="s" s="16">
        <f>HYPERLINK("http://csr.bu.edu/ftp/asl/asllvd/demos/verify_start_end_handshape_annotations//test_auto_move//signs_mov_separ_signers/Brady_1829.mov","MOV")</f>
        <v>21</v>
      </c>
      <c r="M7462" t="s" s="10">
        <v>40</v>
      </c>
      <c r="N7462" s="17">
        <v>30</v>
      </c>
      <c r="O7462" s="18">
        <v>2105</v>
      </c>
      <c r="P7462" s="18">
        <v>2121</v>
      </c>
      <c r="Q7462" s="15"/>
      <c r="R7462" t="s" s="16">
        <f>HYPERLINK("http://secrets.rutgers.edu:8080/data/asl-ftp/asllvd/demos/verify_start_end_handshape_annotations//test_auto_move//signs_mov_separ_signers/Brady_1829.mov","MOV")</f>
        <v>21</v>
      </c>
    </row>
    <row r="7463" s="2" customFormat="1" ht="13.5" customHeight="1">
      <c r="B7463" t="s" s="8">
        <v>2630</v>
      </c>
      <c r="C7463" t="s" s="9">
        <v>14</v>
      </c>
      <c r="D7463" t="s" s="8">
        <v>14</v>
      </c>
      <c r="E7463" t="s" s="9">
        <v>14</v>
      </c>
      <c r="F7463" t="s" s="10">
        <v>14</v>
      </c>
      <c r="G7463" t="s" s="11">
        <v>14</v>
      </c>
      <c r="H7463" t="s" s="10">
        <v>14</v>
      </c>
      <c r="I7463" t="s" s="11">
        <v>14</v>
      </c>
      <c r="J7463" t="s" s="11">
        <v>14</v>
      </c>
      <c r="K7463" t="s" s="12">
        <v>14</v>
      </c>
      <c r="L7463" t="s" s="12">
        <v>14</v>
      </c>
      <c r="M7463" t="s" s="10">
        <v>14</v>
      </c>
      <c r="N7463" t="s" s="11">
        <v>14</v>
      </c>
      <c r="O7463" t="s" s="8">
        <v>14</v>
      </c>
      <c r="P7463" t="s" s="8">
        <v>14</v>
      </c>
      <c r="Q7463" t="s" s="12">
        <v>14</v>
      </c>
      <c r="R7463" t="s" s="12">
        <v>14</v>
      </c>
    </row>
    <row r="7464" s="2" customFormat="1" ht="13.5" customHeight="1">
      <c r="B7464" s="13"/>
      <c r="C7464" t="s" s="9">
        <v>16</v>
      </c>
      <c r="D7464" t="s" s="8">
        <v>2630</v>
      </c>
      <c r="E7464" t="s" s="9">
        <v>2630</v>
      </c>
      <c r="F7464" s="19">
        <v>1</v>
      </c>
      <c r="G7464" t="s" s="11">
        <v>73</v>
      </c>
      <c r="H7464" s="19">
        <v>1</v>
      </c>
      <c r="I7464" t="s" s="11">
        <v>73</v>
      </c>
      <c r="J7464" t="s" s="11">
        <v>20</v>
      </c>
      <c r="K7464" t="s" s="16">
        <f>HYPERLINK("http://csr.bu.edu/ftp/asl/asllvd/demos/verify_start_end_handshape_annotations//test_auto_move//signs_mov/15248.mov","MOV")</f>
        <v>21</v>
      </c>
      <c r="L7464" t="s" s="16">
        <f>HYPERLINK("http://csr.bu.edu/ftp/asl/asllvd/demos/verify_start_end_handshape_annotations//test_auto_move//signs_mov_separ_signers/Liz_15248.mov","MOV")</f>
        <v>21</v>
      </c>
      <c r="M7464" t="s" s="10">
        <v>88</v>
      </c>
      <c r="N7464" s="17">
        <v>36</v>
      </c>
      <c r="O7464" s="18">
        <v>515</v>
      </c>
      <c r="P7464" s="18">
        <v>556</v>
      </c>
      <c r="Q7464" t="s" s="16">
        <f>HYPERLINK("http://secrets.rutgers.edu:8080/data/asl-ftp/asllvd/demos/verify_start_end_handshape_annotations//test_auto_move//signs_mov/15248.mov","MOV")</f>
        <v>21</v>
      </c>
      <c r="R7464" t="s" s="16">
        <f>HYPERLINK("http://secrets.rutgers.edu:8080/data/asl-ftp/asllvd/demos/verify_start_end_handshape_annotations//test_auto_move//signs_mov_separ_signers/Liz_15248.mov","MOV")</f>
        <v>21</v>
      </c>
    </row>
    <row r="7465" s="2" customFormat="1" ht="13.5" customHeight="1">
      <c r="B7465" s="13"/>
      <c r="C7465" t="s" s="9">
        <v>30</v>
      </c>
      <c r="D7465" t="s" s="8">
        <v>2630</v>
      </c>
      <c r="E7465" t="s" s="9">
        <v>2630</v>
      </c>
      <c r="F7465" s="19">
        <v>1</v>
      </c>
      <c r="G7465" t="s" s="11">
        <v>73</v>
      </c>
      <c r="H7465" s="19">
        <v>1</v>
      </c>
      <c r="I7465" t="s" s="11">
        <v>73</v>
      </c>
      <c r="J7465" t="s" s="11">
        <v>20</v>
      </c>
      <c r="K7465" s="15"/>
      <c r="L7465" t="s" s="16">
        <f>HYPERLINK("http://csr.bu.edu/ftp/asl/asllvd/demos/verify_start_end_handshape_annotations//test_auto_move//signs_mov_separ_signers/Brady_15248.mov","MOV")</f>
        <v>21</v>
      </c>
      <c r="M7465" t="s" s="10">
        <v>40</v>
      </c>
      <c r="N7465" s="17">
        <v>30</v>
      </c>
      <c r="O7465" s="18">
        <v>2546</v>
      </c>
      <c r="P7465" s="18">
        <v>2573</v>
      </c>
      <c r="Q7465" s="15"/>
      <c r="R7465" t="s" s="16">
        <f>HYPERLINK("http://secrets.rutgers.edu:8080/data/asl-ftp/asllvd/demos/verify_start_end_handshape_annotations//test_auto_move//signs_mov_separ_signers/Brady_15248.mov","MOV")</f>
        <v>21</v>
      </c>
    </row>
    <row r="7466" s="2" customFormat="1" ht="13.5" customHeight="1">
      <c r="B7466" t="s" s="8">
        <v>2631</v>
      </c>
      <c r="C7466" t="s" s="9">
        <v>14</v>
      </c>
      <c r="D7466" t="s" s="8">
        <v>14</v>
      </c>
      <c r="E7466" t="s" s="9">
        <v>14</v>
      </c>
      <c r="F7466" t="s" s="10">
        <v>14</v>
      </c>
      <c r="G7466" t="s" s="11">
        <v>14</v>
      </c>
      <c r="H7466" t="s" s="10">
        <v>14</v>
      </c>
      <c r="I7466" t="s" s="11">
        <v>14</v>
      </c>
      <c r="J7466" t="s" s="11">
        <v>14</v>
      </c>
      <c r="K7466" t="s" s="12">
        <v>14</v>
      </c>
      <c r="L7466" t="s" s="12">
        <v>14</v>
      </c>
      <c r="M7466" t="s" s="10">
        <v>14</v>
      </c>
      <c r="N7466" t="s" s="11">
        <v>14</v>
      </c>
      <c r="O7466" t="s" s="8">
        <v>14</v>
      </c>
      <c r="P7466" t="s" s="8">
        <v>14</v>
      </c>
      <c r="Q7466" t="s" s="12">
        <v>14</v>
      </c>
      <c r="R7466" t="s" s="12">
        <v>14</v>
      </c>
    </row>
    <row r="7467" s="2" customFormat="1" ht="13.5" customHeight="1">
      <c r="B7467" s="13"/>
      <c r="C7467" t="s" s="9">
        <v>16</v>
      </c>
      <c r="D7467" t="s" s="8">
        <v>2631</v>
      </c>
      <c r="E7467" t="s" s="9">
        <v>2631</v>
      </c>
      <c r="F7467" t="s" s="10">
        <v>220</v>
      </c>
      <c r="G7467" t="s" s="11">
        <v>220</v>
      </c>
      <c r="H7467" t="s" s="10">
        <v>220</v>
      </c>
      <c r="I7467" t="s" s="11">
        <v>220</v>
      </c>
      <c r="J7467" t="s" s="11">
        <v>20</v>
      </c>
      <c r="K7467" t="s" s="16">
        <f>HYPERLINK("http://csr.bu.edu/ftp/asl/asllvd/demos/verify_start_end_handshape_annotations//test_auto_move//signs_mov/1832.mov","MOV")</f>
        <v>21</v>
      </c>
      <c r="L7467" t="s" s="16">
        <f>HYPERLINK("http://csr.bu.edu/ftp/asl/asllvd/demos/verify_start_end_handshape_annotations//test_auto_move//signs_mov_separ_signers/Liz_1832.mov","MOV")</f>
        <v>21</v>
      </c>
      <c r="M7467" t="s" s="10">
        <v>88</v>
      </c>
      <c r="N7467" s="17">
        <v>36</v>
      </c>
      <c r="O7467" s="18">
        <v>980</v>
      </c>
      <c r="P7467" s="18">
        <v>1004</v>
      </c>
      <c r="Q7467" t="s" s="16">
        <f>HYPERLINK("http://secrets.rutgers.edu:8080/data/asl-ftp/asllvd/demos/verify_start_end_handshape_annotations//test_auto_move//signs_mov/1832.mov","MOV")</f>
        <v>21</v>
      </c>
      <c r="R7467" t="s" s="16">
        <f>HYPERLINK("http://secrets.rutgers.edu:8080/data/asl-ftp/asllvd/demos/verify_start_end_handshape_annotations//test_auto_move//signs_mov_separ_signers/Liz_1832.mov","MOV")</f>
        <v>21</v>
      </c>
    </row>
    <row r="7468" s="2" customFormat="1" ht="13.5" customHeight="1">
      <c r="B7468" t="s" s="8">
        <v>2632</v>
      </c>
      <c r="C7468" t="s" s="9">
        <v>14</v>
      </c>
      <c r="D7468" t="s" s="8">
        <v>14</v>
      </c>
      <c r="E7468" t="s" s="9">
        <v>14</v>
      </c>
      <c r="F7468" t="s" s="10">
        <v>14</v>
      </c>
      <c r="G7468" t="s" s="11">
        <v>14</v>
      </c>
      <c r="H7468" t="s" s="10">
        <v>14</v>
      </c>
      <c r="I7468" t="s" s="11">
        <v>14</v>
      </c>
      <c r="J7468" t="s" s="11">
        <v>14</v>
      </c>
      <c r="K7468" t="s" s="12">
        <v>14</v>
      </c>
      <c r="L7468" t="s" s="12">
        <v>14</v>
      </c>
      <c r="M7468" t="s" s="10">
        <v>14</v>
      </c>
      <c r="N7468" t="s" s="11">
        <v>14</v>
      </c>
      <c r="O7468" t="s" s="8">
        <v>14</v>
      </c>
      <c r="P7468" t="s" s="8">
        <v>14</v>
      </c>
      <c r="Q7468" t="s" s="12">
        <v>14</v>
      </c>
      <c r="R7468" t="s" s="12">
        <v>14</v>
      </c>
    </row>
    <row r="7469" s="2" customFormat="1" ht="13.5" customHeight="1">
      <c r="B7469" s="13"/>
      <c r="C7469" t="s" s="9">
        <v>16</v>
      </c>
      <c r="D7469" t="s" s="8">
        <v>2632</v>
      </c>
      <c r="E7469" t="s" s="9">
        <v>2633</v>
      </c>
      <c r="F7469" t="s" s="10">
        <v>220</v>
      </c>
      <c r="G7469" t="s" s="11">
        <v>220</v>
      </c>
      <c r="H7469" t="s" s="10">
        <v>220</v>
      </c>
      <c r="I7469" t="s" s="11">
        <v>220</v>
      </c>
      <c r="J7469" t="s" s="11">
        <v>20</v>
      </c>
      <c r="K7469" s="15"/>
      <c r="L7469" t="s" s="16">
        <f>HYPERLINK("http://csr.bu.edu/ftp/asl/asllvd/demos/verify_start_end_handshape_annotations//test_auto_move//signs_mov_separ_signers/Liz_16067.mov","MOV")</f>
        <v>21</v>
      </c>
      <c r="M7469" t="s" s="10">
        <v>88</v>
      </c>
      <c r="N7469" s="17">
        <v>35</v>
      </c>
      <c r="O7469" s="18">
        <v>316</v>
      </c>
      <c r="P7469" s="18">
        <v>380</v>
      </c>
      <c r="Q7469" s="15"/>
      <c r="R7469" t="s" s="16">
        <f>HYPERLINK("http://secrets.rutgers.edu:8080/data/asl-ftp/asllvd/demos/verify_start_end_handshape_annotations//test_auto_move//signs_mov_separ_signers/Liz_16067.mov","MOV")</f>
        <v>21</v>
      </c>
    </row>
    <row r="7470" s="2" customFormat="1" ht="13.5" customHeight="1">
      <c r="B7470" s="13"/>
      <c r="C7470" t="s" s="9">
        <v>41</v>
      </c>
      <c r="D7470" t="s" s="8">
        <v>2632</v>
      </c>
      <c r="E7470" t="s" s="9">
        <v>2633</v>
      </c>
      <c r="F7470" t="s" s="10">
        <v>220</v>
      </c>
      <c r="G7470" t="s" s="11">
        <v>220</v>
      </c>
      <c r="H7470" t="s" s="10">
        <v>220</v>
      </c>
      <c r="I7470" t="s" s="11">
        <v>220</v>
      </c>
      <c r="J7470" t="s" s="11">
        <v>20</v>
      </c>
      <c r="K7470" t="s" s="16">
        <f>HYPERLINK("http://csr.bu.edu/ftp/asl/asllvd/demos/verify_start_end_handshape_annotations//test_auto_move//signs_mov/16067.mov","MOV")</f>
        <v>21</v>
      </c>
      <c r="L7470" t="s" s="16">
        <f>HYPERLINK("http://csr.bu.edu/ftp/asl/asllvd/demos/verify_start_end_handshape_annotations//test_auto_move//signs_mov_separ_signers/Lana_16067.mov","MOV")</f>
        <v>21</v>
      </c>
      <c r="M7470" t="s" s="10">
        <v>42</v>
      </c>
      <c r="N7470" s="17">
        <v>20</v>
      </c>
      <c r="O7470" s="18">
        <v>2231</v>
      </c>
      <c r="P7470" s="18">
        <v>2285</v>
      </c>
      <c r="Q7470" t="s" s="16">
        <f>HYPERLINK("http://secrets.rutgers.edu:8080/data/asl-ftp/asllvd/demos/verify_start_end_handshape_annotations//test_auto_move//signs_mov/16067.mov","MOV")</f>
        <v>21</v>
      </c>
      <c r="R7470" t="s" s="16">
        <f>HYPERLINK("http://secrets.rutgers.edu:8080/data/asl-ftp/asllvd/demos/verify_start_end_handshape_annotations//test_auto_move//signs_mov_separ_signers/Lana_16067.mov","MOV")</f>
        <v>21</v>
      </c>
    </row>
    <row r="7471" s="2" customFormat="1" ht="13.5" customHeight="1">
      <c r="B7471" s="13"/>
      <c r="C7471" t="s" s="9">
        <v>43</v>
      </c>
      <c r="D7471" t="s" s="8">
        <v>2632</v>
      </c>
      <c r="E7471" t="s" s="9">
        <v>2633</v>
      </c>
      <c r="F7471" t="s" s="10">
        <v>220</v>
      </c>
      <c r="G7471" t="s" s="11">
        <v>220</v>
      </c>
      <c r="H7471" t="s" s="10">
        <v>220</v>
      </c>
      <c r="I7471" t="s" s="11">
        <v>220</v>
      </c>
      <c r="J7471" t="s" s="11">
        <v>20</v>
      </c>
      <c r="K7471" s="15"/>
      <c r="L7471" t="s" s="16">
        <f>HYPERLINK("http://csr.bu.edu/ftp/asl/asllvd/demos/verify_start_end_handshape_annotations//test_auto_move//signs_mov_separ_signers/Dana_16067.mov","MOV")</f>
        <v>21</v>
      </c>
      <c r="M7471" t="s" s="10">
        <v>44</v>
      </c>
      <c r="N7471" s="17">
        <v>22</v>
      </c>
      <c r="O7471" s="18">
        <v>2198</v>
      </c>
      <c r="P7471" s="18">
        <v>2276</v>
      </c>
      <c r="Q7471" s="15"/>
      <c r="R7471" t="s" s="16">
        <f>HYPERLINK("http://secrets.rutgers.edu:8080/data/asl-ftp/asllvd/demos/verify_start_end_handshape_annotations//test_auto_move//signs_mov_separ_signers/Dana_16067.mov","MOV")</f>
        <v>21</v>
      </c>
    </row>
    <row r="7472" s="2" customFormat="1" ht="13.5" customHeight="1">
      <c r="B7472" t="s" s="8">
        <v>2634</v>
      </c>
      <c r="C7472" t="s" s="9">
        <v>14</v>
      </c>
      <c r="D7472" t="s" s="8">
        <v>14</v>
      </c>
      <c r="E7472" t="s" s="9">
        <v>14</v>
      </c>
      <c r="F7472" t="s" s="10">
        <v>14</v>
      </c>
      <c r="G7472" t="s" s="11">
        <v>14</v>
      </c>
      <c r="H7472" t="s" s="10">
        <v>14</v>
      </c>
      <c r="I7472" t="s" s="11">
        <v>14</v>
      </c>
      <c r="J7472" t="s" s="11">
        <v>14</v>
      </c>
      <c r="K7472" t="s" s="12">
        <v>14</v>
      </c>
      <c r="L7472" t="s" s="12">
        <v>14</v>
      </c>
      <c r="M7472" t="s" s="10">
        <v>14</v>
      </c>
      <c r="N7472" t="s" s="11">
        <v>14</v>
      </c>
      <c r="O7472" t="s" s="8">
        <v>14</v>
      </c>
      <c r="P7472" t="s" s="8">
        <v>14</v>
      </c>
      <c r="Q7472" t="s" s="12">
        <v>14</v>
      </c>
      <c r="R7472" t="s" s="12">
        <v>14</v>
      </c>
    </row>
    <row r="7473" s="2" customFormat="1" ht="13.5" customHeight="1">
      <c r="B7473" s="13"/>
      <c r="C7473" t="s" s="9">
        <v>30</v>
      </c>
      <c r="D7473" t="s" s="8">
        <v>2634</v>
      </c>
      <c r="E7473" t="s" s="9">
        <v>2634</v>
      </c>
      <c r="F7473" t="s" s="10">
        <v>73</v>
      </c>
      <c r="G7473" t="s" s="11">
        <v>73</v>
      </c>
      <c r="H7473" t="s" s="10">
        <v>73</v>
      </c>
      <c r="I7473" t="s" s="11">
        <v>73</v>
      </c>
      <c r="J7473" t="s" s="11">
        <v>20</v>
      </c>
      <c r="K7473" t="s" s="16">
        <f>HYPERLINK("http://csr.bu.edu/ftp/asl/asllvd/demos/verify_start_end_handshape_annotations//test_auto_move//signs_mov/16115.mov","MOV")</f>
        <v>21</v>
      </c>
      <c r="L7473" t="s" s="16">
        <f>HYPERLINK("http://csr.bu.edu/ftp/asl/asllvd/demos/verify_start_end_handshape_annotations//test_auto_move//signs_mov_separ_signers/Brady_16115.mov","MOV")</f>
        <v>21</v>
      </c>
      <c r="M7473" t="s" s="10">
        <v>40</v>
      </c>
      <c r="N7473" s="17">
        <v>31</v>
      </c>
      <c r="O7473" s="18">
        <v>135</v>
      </c>
      <c r="P7473" s="18">
        <v>154</v>
      </c>
      <c r="Q7473" t="s" s="16">
        <f>HYPERLINK("http://secrets.rutgers.edu:8080/data/asl-ftp/asllvd/demos/verify_start_end_handshape_annotations//test_auto_move//signs_mov/16115.mov","MOV")</f>
        <v>21</v>
      </c>
      <c r="R7473" t="s" s="16">
        <f>HYPERLINK("http://secrets.rutgers.edu:8080/data/asl-ftp/asllvd/demos/verify_start_end_handshape_annotations//test_auto_move//signs_mov_separ_signers/Brady_16115.mov","MOV")</f>
        <v>21</v>
      </c>
    </row>
    <row r="7474" s="2" customFormat="1" ht="13.5" customHeight="1">
      <c r="B7474" t="s" s="8">
        <v>2635</v>
      </c>
      <c r="C7474" t="s" s="9">
        <v>14</v>
      </c>
      <c r="D7474" t="s" s="8">
        <v>14</v>
      </c>
      <c r="E7474" t="s" s="9">
        <v>14</v>
      </c>
      <c r="F7474" t="s" s="10">
        <v>14</v>
      </c>
      <c r="G7474" t="s" s="11">
        <v>14</v>
      </c>
      <c r="H7474" t="s" s="10">
        <v>14</v>
      </c>
      <c r="I7474" t="s" s="11">
        <v>14</v>
      </c>
      <c r="J7474" t="s" s="11">
        <v>14</v>
      </c>
      <c r="K7474" t="s" s="12">
        <v>14</v>
      </c>
      <c r="L7474" t="s" s="12">
        <v>14</v>
      </c>
      <c r="M7474" t="s" s="10">
        <v>14</v>
      </c>
      <c r="N7474" t="s" s="11">
        <v>14</v>
      </c>
      <c r="O7474" t="s" s="8">
        <v>14</v>
      </c>
      <c r="P7474" t="s" s="8">
        <v>14</v>
      </c>
      <c r="Q7474" t="s" s="12">
        <v>14</v>
      </c>
      <c r="R7474" t="s" s="12">
        <v>14</v>
      </c>
    </row>
    <row r="7475" s="2" customFormat="1" ht="13.5" customHeight="1">
      <c r="B7475" s="13"/>
      <c r="C7475" t="s" s="9">
        <v>16</v>
      </c>
      <c r="D7475" t="s" s="8">
        <v>2635</v>
      </c>
      <c r="E7475" t="s" s="9">
        <v>2635</v>
      </c>
      <c r="F7475" t="s" s="10">
        <v>220</v>
      </c>
      <c r="G7475" s="14"/>
      <c r="H7475" t="s" s="10">
        <v>220</v>
      </c>
      <c r="I7475" s="14"/>
      <c r="J7475" t="s" s="11">
        <v>20</v>
      </c>
      <c r="K7475" t="s" s="16">
        <f>HYPERLINK("http://csr.bu.edu/ftp/asl/asllvd/demos/verify_start_end_handshape_annotations//test_auto_move//signs_mov/1833.mov","MOV")</f>
        <v>21</v>
      </c>
      <c r="L7475" t="s" s="16">
        <f>HYPERLINK("http://csr.bu.edu/ftp/asl/asllvd/demos/verify_start_end_handshape_annotations//test_auto_move//signs_mov_separ_signers/Liz_1833.mov","MOV")</f>
        <v>21</v>
      </c>
      <c r="M7475" t="s" s="10">
        <v>88</v>
      </c>
      <c r="N7475" s="17">
        <v>36</v>
      </c>
      <c r="O7475" s="18">
        <v>1245</v>
      </c>
      <c r="P7475" s="18">
        <v>1320</v>
      </c>
      <c r="Q7475" t="s" s="16">
        <f>HYPERLINK("http://secrets.rutgers.edu:8080/data/asl-ftp/asllvd/demos/verify_start_end_handshape_annotations//test_auto_move//signs_mov/1833.mov","MOV")</f>
        <v>21</v>
      </c>
      <c r="R7475" t="s" s="16">
        <f>HYPERLINK("http://secrets.rutgers.edu:8080/data/asl-ftp/asllvd/demos/verify_start_end_handshape_annotations//test_auto_move//signs_mov_separ_signers/Liz_1833.mov","MOV")</f>
        <v>21</v>
      </c>
    </row>
    <row r="7476" s="2" customFormat="1" ht="13.5" customHeight="1">
      <c r="B7476" s="13"/>
      <c r="C7476" t="s" s="9">
        <v>30</v>
      </c>
      <c r="D7476" t="s" s="8">
        <v>2635</v>
      </c>
      <c r="E7476" t="s" s="9">
        <v>2635</v>
      </c>
      <c r="F7476" t="s" s="10">
        <v>220</v>
      </c>
      <c r="G7476" s="14"/>
      <c r="H7476" t="s" s="10">
        <v>220</v>
      </c>
      <c r="I7476" s="14"/>
      <c r="J7476" t="s" s="11">
        <v>20</v>
      </c>
      <c r="K7476" s="15"/>
      <c r="L7476" t="s" s="16">
        <f>HYPERLINK("http://csr.bu.edu/ftp/asl/asllvd/demos/verify_start_end_handshape_annotations//test_auto_move//signs_mov_separ_signers/Brady_1833.mov","MOV")</f>
        <v>21</v>
      </c>
      <c r="M7476" t="s" s="10">
        <v>40</v>
      </c>
      <c r="N7476" s="17">
        <v>31</v>
      </c>
      <c r="O7476" s="18">
        <v>511</v>
      </c>
      <c r="P7476" s="18">
        <v>531</v>
      </c>
      <c r="Q7476" s="15"/>
      <c r="R7476" t="s" s="16">
        <f>HYPERLINK("http://secrets.rutgers.edu:8080/data/asl-ftp/asllvd/demos/verify_start_end_handshape_annotations//test_auto_move//signs_mov_separ_signers/Brady_1833.mov","MOV")</f>
        <v>21</v>
      </c>
    </row>
    <row r="7477" s="2" customFormat="1" ht="13.5" customHeight="1">
      <c r="B7477" t="s" s="8">
        <v>2636</v>
      </c>
      <c r="C7477" t="s" s="9">
        <v>14</v>
      </c>
      <c r="D7477" t="s" s="8">
        <v>14</v>
      </c>
      <c r="E7477" t="s" s="9">
        <v>14</v>
      </c>
      <c r="F7477" t="s" s="10">
        <v>14</v>
      </c>
      <c r="G7477" t="s" s="11">
        <v>14</v>
      </c>
      <c r="H7477" t="s" s="10">
        <v>14</v>
      </c>
      <c r="I7477" t="s" s="11">
        <v>14</v>
      </c>
      <c r="J7477" t="s" s="11">
        <v>14</v>
      </c>
      <c r="K7477" t="s" s="12">
        <v>14</v>
      </c>
      <c r="L7477" t="s" s="12">
        <v>14</v>
      </c>
      <c r="M7477" t="s" s="10">
        <v>14</v>
      </c>
      <c r="N7477" t="s" s="11">
        <v>14</v>
      </c>
      <c r="O7477" t="s" s="8">
        <v>14</v>
      </c>
      <c r="P7477" t="s" s="8">
        <v>14</v>
      </c>
      <c r="Q7477" t="s" s="12">
        <v>14</v>
      </c>
      <c r="R7477" t="s" s="12">
        <v>14</v>
      </c>
    </row>
    <row r="7478" s="2" customFormat="1" ht="13.5" customHeight="1">
      <c r="B7478" s="13"/>
      <c r="C7478" t="s" s="9">
        <v>30</v>
      </c>
      <c r="D7478" t="s" s="8">
        <v>2636</v>
      </c>
      <c r="E7478" t="s" s="9">
        <v>2636</v>
      </c>
      <c r="F7478" t="s" s="10">
        <v>229</v>
      </c>
      <c r="G7478" s="17">
        <v>1</v>
      </c>
      <c r="H7478" t="s" s="10">
        <v>229</v>
      </c>
      <c r="I7478" s="17">
        <v>1</v>
      </c>
      <c r="J7478" t="s" s="11">
        <v>20</v>
      </c>
      <c r="K7478" t="s" s="16">
        <f>HYPERLINK("http://csr.bu.edu/ftp/asl/asllvd/demos/verify_start_end_handshape_annotations//test_auto_move//signs_mov/1834_3434_merged.mov","MOV")</f>
        <v>21</v>
      </c>
      <c r="L7478" t="s" s="16">
        <f>HYPERLINK("http://csr.bu.edu/ftp/asl/asllvd/demos/verify_start_end_handshape_annotations//test_auto_move//signs_mov_separ_signers/Brady_1834.mov","MOV")</f>
        <v>21</v>
      </c>
      <c r="M7478" t="s" s="10">
        <v>40</v>
      </c>
      <c r="N7478" s="17">
        <v>31</v>
      </c>
      <c r="O7478" s="18">
        <v>990</v>
      </c>
      <c r="P7478" s="18">
        <v>1013</v>
      </c>
      <c r="Q7478" t="s" s="16">
        <f>HYPERLINK("http://secrets.rutgers.edu:8080/data/asl-ftp/asllvd/demos/verify_start_end_handshape_annotations//test_auto_move//signs_mov/1834_3434_merged.mov","MOV")</f>
        <v>21</v>
      </c>
      <c r="R7478" t="s" s="16">
        <f>HYPERLINK("http://secrets.rutgers.edu:8080/data/asl-ftp/asllvd/demos/verify_start_end_handshape_annotations//test_auto_move//signs_mov_separ_signers/Brady_1834.mov","MOV")</f>
        <v>21</v>
      </c>
    </row>
    <row r="7479" s="2" customFormat="1" ht="13.5" customHeight="1">
      <c r="B7479" s="13"/>
      <c r="C7479" t="s" s="9">
        <v>30</v>
      </c>
      <c r="D7479" t="s" s="8">
        <v>2636</v>
      </c>
      <c r="E7479" t="s" s="9">
        <v>2636</v>
      </c>
      <c r="F7479" t="s" s="10">
        <v>229</v>
      </c>
      <c r="G7479" s="17">
        <v>1</v>
      </c>
      <c r="H7479" t="s" s="10">
        <v>229</v>
      </c>
      <c r="I7479" s="17">
        <v>1</v>
      </c>
      <c r="J7479" t="s" s="11">
        <v>20</v>
      </c>
      <c r="K7479" s="15"/>
      <c r="L7479" t="s" s="16">
        <f>HYPERLINK("http://csr.bu.edu/ftp/asl/asllvd/demos/verify_start_end_handshape_annotations//test_auto_move//signs_mov_separ_signers/Brady_3434.mov","MOV")</f>
        <v>21</v>
      </c>
      <c r="M7479" t="s" s="10">
        <v>60</v>
      </c>
      <c r="N7479" s="17">
        <v>49</v>
      </c>
      <c r="O7479" s="18">
        <v>1152</v>
      </c>
      <c r="P7479" s="18">
        <v>1193</v>
      </c>
      <c r="Q7479" s="15"/>
      <c r="R7479" t="s" s="16">
        <f>HYPERLINK("http://secrets.rutgers.edu:8080/data/asl-ftp/asllvd/demos/verify_start_end_handshape_annotations//test_auto_move//signs_mov_separ_signers/Brady_3434.mov","MOV")</f>
        <v>21</v>
      </c>
    </row>
    <row r="7480" s="2" customFormat="1" ht="13.5" customHeight="1">
      <c r="B7480" t="s" s="8">
        <v>52</v>
      </c>
      <c r="C7480" t="s" s="9">
        <v>53</v>
      </c>
      <c r="D7480" t="s" s="8">
        <v>53</v>
      </c>
      <c r="E7480" t="s" s="9">
        <v>53</v>
      </c>
      <c r="F7480" t="s" s="10">
        <v>53</v>
      </c>
      <c r="G7480" t="s" s="11">
        <v>53</v>
      </c>
      <c r="H7480" t="s" s="10">
        <v>53</v>
      </c>
      <c r="I7480" t="s" s="11">
        <v>53</v>
      </c>
      <c r="J7480" t="s" s="11">
        <v>53</v>
      </c>
      <c r="K7480" t="s" s="12">
        <v>53</v>
      </c>
      <c r="L7480" t="s" s="12">
        <v>53</v>
      </c>
      <c r="M7480" t="s" s="10">
        <v>53</v>
      </c>
      <c r="N7480" t="s" s="11">
        <v>53</v>
      </c>
      <c r="O7480" t="s" s="8">
        <v>53</v>
      </c>
      <c r="P7480" t="s" s="8">
        <v>53</v>
      </c>
      <c r="Q7480" t="s" s="12">
        <v>53</v>
      </c>
      <c r="R7480" t="s" s="12">
        <v>53</v>
      </c>
    </row>
    <row r="7481" s="2" customFormat="1" ht="13.5" customHeight="1">
      <c r="B7481" s="13"/>
      <c r="C7481" t="s" s="9">
        <v>16</v>
      </c>
      <c r="D7481" t="s" s="8">
        <v>2636</v>
      </c>
      <c r="E7481" t="s" s="9">
        <v>2637</v>
      </c>
      <c r="F7481" t="s" s="10">
        <v>229</v>
      </c>
      <c r="G7481" s="17">
        <v>1</v>
      </c>
      <c r="H7481" t="s" s="10">
        <v>229</v>
      </c>
      <c r="I7481" s="17">
        <v>1</v>
      </c>
      <c r="J7481" t="s" s="11">
        <v>20</v>
      </c>
      <c r="K7481" t="s" s="16">
        <f>HYPERLINK("http://csr.bu.edu/ftp/asl/asllvd/demos/verify_start_end_handshape_annotations//test_auto_move//signs_mov/5924_16425_merged.mov","MOV")</f>
        <v>21</v>
      </c>
      <c r="L7481" t="s" s="16">
        <f>HYPERLINK("http://csr.bu.edu/ftp/asl/asllvd/demos/verify_start_end_handshape_annotations//test_auto_move//signs_mov_separ_signers/Liz_5924.mov","MOV")</f>
        <v>21</v>
      </c>
      <c r="M7481" t="s" s="10">
        <v>88</v>
      </c>
      <c r="N7481" s="17">
        <v>36</v>
      </c>
      <c r="O7481" s="18">
        <v>1550</v>
      </c>
      <c r="P7481" s="18">
        <v>1600</v>
      </c>
      <c r="Q7481" t="s" s="16">
        <f>HYPERLINK("http://secrets.rutgers.edu:8080/data/asl-ftp/asllvd/demos/verify_start_end_handshape_annotations//test_auto_move//signs_mov/5924_16425_merged.mov","MOV")</f>
        <v>21</v>
      </c>
      <c r="R7481" t="s" s="16">
        <f>HYPERLINK("http://secrets.rutgers.edu:8080/data/asl-ftp/asllvd/demos/verify_start_end_handshape_annotations//test_auto_move//signs_mov_separ_signers/Liz_5924.mov","MOV")</f>
        <v>21</v>
      </c>
    </row>
    <row r="7482" s="2" customFormat="1" ht="13.5" customHeight="1">
      <c r="B7482" s="13"/>
      <c r="C7482" t="s" s="9">
        <v>16</v>
      </c>
      <c r="D7482" t="s" s="8">
        <v>2636</v>
      </c>
      <c r="E7482" t="s" s="9">
        <v>2637</v>
      </c>
      <c r="F7482" t="s" s="10">
        <v>229</v>
      </c>
      <c r="G7482" s="17">
        <v>1</v>
      </c>
      <c r="H7482" t="s" s="10">
        <v>229</v>
      </c>
      <c r="I7482" s="17">
        <v>1</v>
      </c>
      <c r="J7482" t="s" s="11">
        <v>20</v>
      </c>
      <c r="K7482" s="15"/>
      <c r="L7482" t="s" s="16">
        <f>HYPERLINK("http://csr.bu.edu/ftp/asl/asllvd/demos/verify_start_end_handshape_annotations//test_auto_move//signs_mov_separ_signers/Liz_16425.mov","MOV")</f>
        <v>21</v>
      </c>
      <c r="M7482" t="s" s="10">
        <v>88</v>
      </c>
      <c r="N7482" s="17">
        <v>36</v>
      </c>
      <c r="O7482" s="18">
        <v>1822</v>
      </c>
      <c r="P7482" s="18">
        <v>1874</v>
      </c>
      <c r="Q7482" s="15"/>
      <c r="R7482" t="s" s="16">
        <f>HYPERLINK("http://secrets.rutgers.edu:8080/data/asl-ftp/asllvd/demos/verify_start_end_handshape_annotations//test_auto_move//signs_mov_separ_signers/Liz_16425.mov","MOV")</f>
        <v>21</v>
      </c>
    </row>
    <row r="7483" s="2" customFormat="1" ht="13.5" customHeight="1">
      <c r="B7483" t="s" s="8">
        <v>2638</v>
      </c>
      <c r="C7483" t="s" s="9">
        <v>14</v>
      </c>
      <c r="D7483" t="s" s="8">
        <v>14</v>
      </c>
      <c r="E7483" t="s" s="9">
        <v>14</v>
      </c>
      <c r="F7483" t="s" s="10">
        <v>14</v>
      </c>
      <c r="G7483" t="s" s="11">
        <v>14</v>
      </c>
      <c r="H7483" t="s" s="10">
        <v>14</v>
      </c>
      <c r="I7483" t="s" s="11">
        <v>14</v>
      </c>
      <c r="J7483" t="s" s="11">
        <v>14</v>
      </c>
      <c r="K7483" t="s" s="12">
        <v>14</v>
      </c>
      <c r="L7483" t="s" s="12">
        <v>14</v>
      </c>
      <c r="M7483" t="s" s="10">
        <v>14</v>
      </c>
      <c r="N7483" t="s" s="11">
        <v>14</v>
      </c>
      <c r="O7483" t="s" s="8">
        <v>14</v>
      </c>
      <c r="P7483" t="s" s="8">
        <v>14</v>
      </c>
      <c r="Q7483" t="s" s="12">
        <v>14</v>
      </c>
      <c r="R7483" t="s" s="12">
        <v>14</v>
      </c>
    </row>
    <row r="7484" s="2" customFormat="1" ht="13.5" customHeight="1">
      <c r="B7484" s="13"/>
      <c r="C7484" t="s" s="9">
        <v>23</v>
      </c>
      <c r="D7484" t="s" s="8">
        <v>2638</v>
      </c>
      <c r="E7484" t="s" s="9">
        <v>2638</v>
      </c>
      <c r="F7484" t="s" s="10">
        <v>229</v>
      </c>
      <c r="G7484" t="s" s="11">
        <v>51</v>
      </c>
      <c r="H7484" t="s" s="10">
        <v>229</v>
      </c>
      <c r="I7484" t="s" s="11">
        <v>51</v>
      </c>
      <c r="J7484" t="s" s="11">
        <v>20</v>
      </c>
      <c r="K7484" t="s" s="16">
        <f>HYPERLINK("http://csr.bu.edu/ftp/asl/asllvd/demos/verify_start_end_handshape_annotations//test_auto_move//signs_mov/16426.mov","MOV")</f>
        <v>21</v>
      </c>
      <c r="L7484" t="s" s="16">
        <f>HYPERLINK("http://csr.bu.edu/ftp/asl/asllvd/demos/verify_start_end_handshape_annotations//test_auto_move//signs_mov_separ_signers/Tyler_16426.mov","MOV")</f>
        <v>21</v>
      </c>
      <c r="M7484" t="s" s="10">
        <v>37</v>
      </c>
      <c r="N7484" s="17">
        <v>11</v>
      </c>
      <c r="O7484" s="18">
        <v>3325</v>
      </c>
      <c r="P7484" s="18">
        <v>3351</v>
      </c>
      <c r="Q7484" t="s" s="16">
        <f>HYPERLINK("http://secrets.rutgers.edu:8080/data/asl-ftp/asllvd/demos/verify_start_end_handshape_annotations//test_auto_move//signs_mov/16426.mov","MOV")</f>
        <v>21</v>
      </c>
      <c r="R7484" t="s" s="16">
        <f>HYPERLINK("http://secrets.rutgers.edu:8080/data/asl-ftp/asllvd/demos/verify_start_end_handshape_annotations//test_auto_move//signs_mov_separ_signers/Tyler_16426.mov","MOV")</f>
        <v>21</v>
      </c>
    </row>
    <row r="7485" s="2" customFormat="1" ht="13.5" customHeight="1">
      <c r="B7485" s="13"/>
      <c r="C7485" t="s" s="9">
        <v>30</v>
      </c>
      <c r="D7485" t="s" s="8">
        <v>2638</v>
      </c>
      <c r="E7485" t="s" s="9">
        <v>2638</v>
      </c>
      <c r="F7485" t="s" s="10">
        <v>229</v>
      </c>
      <c r="G7485" s="17">
        <v>1</v>
      </c>
      <c r="H7485" t="s" s="10">
        <v>229</v>
      </c>
      <c r="I7485" s="17">
        <v>1</v>
      </c>
      <c r="J7485" t="s" s="11">
        <v>20</v>
      </c>
      <c r="K7485" s="15"/>
      <c r="L7485" t="s" s="16">
        <f>HYPERLINK("http://csr.bu.edu/ftp/asl/asllvd/demos/verify_start_end_handshape_annotations//test_auto_move//signs_mov_separ_signers/Brady_16426.mov","MOV")</f>
        <v>21</v>
      </c>
      <c r="M7485" t="s" s="10">
        <v>39</v>
      </c>
      <c r="N7485" s="17">
        <v>43</v>
      </c>
      <c r="O7485" s="18">
        <v>8741</v>
      </c>
      <c r="P7485" s="18">
        <v>8764</v>
      </c>
      <c r="Q7485" s="15"/>
      <c r="R7485" t="s" s="16">
        <f>HYPERLINK("http://secrets.rutgers.edu:8080/data/asl-ftp/asllvd/demos/verify_start_end_handshape_annotations//test_auto_move//signs_mov_separ_signers/Brady_16426.mov","MOV")</f>
        <v>21</v>
      </c>
    </row>
    <row r="7486" s="2" customFormat="1" ht="13.5" customHeight="1">
      <c r="B7486" t="s" s="8">
        <v>2639</v>
      </c>
      <c r="C7486" t="s" s="9">
        <v>14</v>
      </c>
      <c r="D7486" t="s" s="8">
        <v>14</v>
      </c>
      <c r="E7486" t="s" s="9">
        <v>14</v>
      </c>
      <c r="F7486" t="s" s="10">
        <v>14</v>
      </c>
      <c r="G7486" t="s" s="11">
        <v>14</v>
      </c>
      <c r="H7486" t="s" s="10">
        <v>14</v>
      </c>
      <c r="I7486" t="s" s="11">
        <v>14</v>
      </c>
      <c r="J7486" t="s" s="11">
        <v>14</v>
      </c>
      <c r="K7486" t="s" s="12">
        <v>14</v>
      </c>
      <c r="L7486" t="s" s="12">
        <v>14</v>
      </c>
      <c r="M7486" t="s" s="10">
        <v>14</v>
      </c>
      <c r="N7486" t="s" s="11">
        <v>14</v>
      </c>
      <c r="O7486" t="s" s="8">
        <v>14</v>
      </c>
      <c r="P7486" t="s" s="8">
        <v>14</v>
      </c>
      <c r="Q7486" t="s" s="12">
        <v>14</v>
      </c>
      <c r="R7486" t="s" s="12">
        <v>14</v>
      </c>
    </row>
    <row r="7487" s="2" customFormat="1" ht="13.5" customHeight="1">
      <c r="B7487" s="13"/>
      <c r="C7487" t="s" s="9">
        <v>16</v>
      </c>
      <c r="D7487" t="s" s="8">
        <v>2639</v>
      </c>
      <c r="E7487" t="s" s="9">
        <v>2639</v>
      </c>
      <c r="F7487" t="s" s="10">
        <v>220</v>
      </c>
      <c r="G7487" s="14"/>
      <c r="H7487" t="s" s="10">
        <v>220</v>
      </c>
      <c r="I7487" s="14"/>
      <c r="J7487" t="s" s="11">
        <v>20</v>
      </c>
      <c r="K7487" t="s" s="16">
        <f>HYPERLINK("http://csr.bu.edu/ftp/asl/asllvd/demos/verify_start_end_handshape_annotations//test_auto_move//signs_mov/1841.mov","MOV")</f>
        <v>21</v>
      </c>
      <c r="L7487" t="s" s="16">
        <f>HYPERLINK("http://csr.bu.edu/ftp/asl/asllvd/demos/verify_start_end_handshape_annotations//test_auto_move//signs_mov_separ_signers/Liz_1841.mov","MOV")</f>
        <v>21</v>
      </c>
      <c r="M7487" t="s" s="10">
        <v>88</v>
      </c>
      <c r="N7487" s="17">
        <v>37</v>
      </c>
      <c r="O7487" s="18">
        <v>1030</v>
      </c>
      <c r="P7487" s="18">
        <v>1093</v>
      </c>
      <c r="Q7487" t="s" s="16">
        <f>HYPERLINK("http://secrets.rutgers.edu:8080/data/asl-ftp/asllvd/demos/verify_start_end_handshape_annotations//test_auto_move//signs_mov/1841.mov","MOV")</f>
        <v>21</v>
      </c>
      <c r="R7487" t="s" s="16">
        <f>HYPERLINK("http://secrets.rutgers.edu:8080/data/asl-ftp/asllvd/demos/verify_start_end_handshape_annotations//test_auto_move//signs_mov_separ_signers/Liz_1841.mov","MOV")</f>
        <v>21</v>
      </c>
    </row>
    <row r="7488" s="2" customFormat="1" ht="13.5" customHeight="1">
      <c r="B7488" s="13"/>
      <c r="C7488" t="s" s="9">
        <v>30</v>
      </c>
      <c r="D7488" t="s" s="8">
        <v>2639</v>
      </c>
      <c r="E7488" t="s" s="9">
        <v>2639</v>
      </c>
      <c r="F7488" t="s" s="10">
        <v>220</v>
      </c>
      <c r="G7488" s="14"/>
      <c r="H7488" t="s" s="10">
        <v>220</v>
      </c>
      <c r="I7488" s="14"/>
      <c r="J7488" t="s" s="11">
        <v>20</v>
      </c>
      <c r="K7488" s="15"/>
      <c r="L7488" t="s" s="16">
        <f>HYPERLINK("http://csr.bu.edu/ftp/asl/asllvd/demos/verify_start_end_handshape_annotations//test_auto_move//signs_mov_separ_signers/Brady_1841.mov","MOV")</f>
        <v>21</v>
      </c>
      <c r="M7488" t="s" s="10">
        <v>40</v>
      </c>
      <c r="N7488" s="17">
        <v>24</v>
      </c>
      <c r="O7488" s="18">
        <v>818</v>
      </c>
      <c r="P7488" s="18">
        <v>844</v>
      </c>
      <c r="Q7488" s="15"/>
      <c r="R7488" t="s" s="16">
        <f>HYPERLINK("http://secrets.rutgers.edu:8080/data/asl-ftp/asllvd/demos/verify_start_end_handshape_annotations//test_auto_move//signs_mov_separ_signers/Brady_1841.mov","MOV")</f>
        <v>21</v>
      </c>
    </row>
    <row r="7489" s="2" customFormat="1" ht="13.5" customHeight="1">
      <c r="B7489" t="s" s="8">
        <v>2640</v>
      </c>
      <c r="C7489" t="s" s="9">
        <v>14</v>
      </c>
      <c r="D7489" t="s" s="8">
        <v>14</v>
      </c>
      <c r="E7489" t="s" s="9">
        <v>14</v>
      </c>
      <c r="F7489" t="s" s="10">
        <v>14</v>
      </c>
      <c r="G7489" t="s" s="11">
        <v>14</v>
      </c>
      <c r="H7489" t="s" s="10">
        <v>14</v>
      </c>
      <c r="I7489" t="s" s="11">
        <v>14</v>
      </c>
      <c r="J7489" t="s" s="11">
        <v>14</v>
      </c>
      <c r="K7489" t="s" s="12">
        <v>14</v>
      </c>
      <c r="L7489" t="s" s="12">
        <v>14</v>
      </c>
      <c r="M7489" t="s" s="10">
        <v>14</v>
      </c>
      <c r="N7489" t="s" s="11">
        <v>14</v>
      </c>
      <c r="O7489" t="s" s="8">
        <v>14</v>
      </c>
      <c r="P7489" t="s" s="8">
        <v>14</v>
      </c>
      <c r="Q7489" t="s" s="12">
        <v>14</v>
      </c>
      <c r="R7489" t="s" s="12">
        <v>14</v>
      </c>
    </row>
    <row r="7490" s="2" customFormat="1" ht="13.5" customHeight="1">
      <c r="B7490" s="13"/>
      <c r="C7490" t="s" s="9">
        <v>16</v>
      </c>
      <c r="D7490" t="s" s="8">
        <v>2640</v>
      </c>
      <c r="E7490" t="s" s="9">
        <v>2640</v>
      </c>
      <c r="F7490" t="s" s="10">
        <v>220</v>
      </c>
      <c r="G7490" s="14"/>
      <c r="H7490" t="s" s="10">
        <v>220</v>
      </c>
      <c r="I7490" s="14"/>
      <c r="J7490" t="s" s="11">
        <v>20</v>
      </c>
      <c r="K7490" s="15"/>
      <c r="L7490" t="s" s="16">
        <f>HYPERLINK("http://csr.bu.edu/ftp/asl/asllvd/demos/verify_start_end_handshape_annotations//test_auto_move//signs_mov_separ_signers/Liz_1842.mov","MOV")</f>
        <v>21</v>
      </c>
      <c r="M7490" t="s" s="10">
        <v>88</v>
      </c>
      <c r="N7490" s="17">
        <v>37</v>
      </c>
      <c r="O7490" s="18">
        <v>1370</v>
      </c>
      <c r="P7490" s="18">
        <v>1435</v>
      </c>
      <c r="Q7490" s="15"/>
      <c r="R7490" t="s" s="16">
        <f>HYPERLINK("http://secrets.rutgers.edu:8080/data/asl-ftp/asllvd/demos/verify_start_end_handshape_annotations//test_auto_move//signs_mov_separ_signers/Liz_1842.mov","MOV")</f>
        <v>21</v>
      </c>
    </row>
    <row r="7491" s="2" customFormat="1" ht="13.5" customHeight="1">
      <c r="B7491" s="13"/>
      <c r="C7491" t="s" s="9">
        <v>30</v>
      </c>
      <c r="D7491" t="s" s="8">
        <v>2640</v>
      </c>
      <c r="E7491" t="s" s="9">
        <v>2640</v>
      </c>
      <c r="F7491" t="s" s="10">
        <v>220</v>
      </c>
      <c r="G7491" s="14"/>
      <c r="H7491" t="s" s="10">
        <v>220</v>
      </c>
      <c r="I7491" s="14"/>
      <c r="J7491" t="s" s="11">
        <v>20</v>
      </c>
      <c r="K7491" t="s" s="16">
        <f>HYPERLINK("http://csr.bu.edu/ftp/asl/asllvd/demos/verify_start_end_handshape_annotations//test_auto_move//signs_mov/1842.mov","MOV")</f>
        <v>21</v>
      </c>
      <c r="L7491" t="s" s="16">
        <f>HYPERLINK("http://csr.bu.edu/ftp/asl/asllvd/demos/verify_start_end_handshape_annotations//test_auto_move//signs_mov_separ_signers/Brady_1842.mov","MOV")</f>
        <v>21</v>
      </c>
      <c r="M7491" t="s" s="10">
        <v>40</v>
      </c>
      <c r="N7491" s="17">
        <v>31</v>
      </c>
      <c r="O7491" s="18">
        <v>1768</v>
      </c>
      <c r="P7491" s="18">
        <v>1800</v>
      </c>
      <c r="Q7491" t="s" s="16">
        <f>HYPERLINK("http://secrets.rutgers.edu:8080/data/asl-ftp/asllvd/demos/verify_start_end_handshape_annotations//test_auto_move//signs_mov/1842.mov","MOV")</f>
        <v>21</v>
      </c>
      <c r="R7491" t="s" s="16">
        <f>HYPERLINK("http://secrets.rutgers.edu:8080/data/asl-ftp/asllvd/demos/verify_start_end_handshape_annotations//test_auto_move//signs_mov_separ_signers/Brady_1842.mov","MOV")</f>
        <v>21</v>
      </c>
    </row>
    <row r="7492" s="2" customFormat="1" ht="13.5" customHeight="1">
      <c r="B7492" s="13"/>
      <c r="C7492" t="s" s="9">
        <v>41</v>
      </c>
      <c r="D7492" t="s" s="8">
        <v>2640</v>
      </c>
      <c r="E7492" t="s" s="9">
        <v>2640</v>
      </c>
      <c r="F7492" t="s" s="10">
        <v>220</v>
      </c>
      <c r="G7492" s="14"/>
      <c r="H7492" t="s" s="10">
        <v>220</v>
      </c>
      <c r="I7492" s="14"/>
      <c r="J7492" t="s" s="11">
        <v>20</v>
      </c>
      <c r="K7492" s="15"/>
      <c r="L7492" t="s" s="16">
        <f>HYPERLINK("http://csr.bu.edu/ftp/asl/asllvd/demos/verify_start_end_handshape_annotations//test_auto_move//signs_mov_separ_signers/Lana_1842.mov","MOV")</f>
        <v>21</v>
      </c>
      <c r="M7492" t="s" s="10">
        <v>42</v>
      </c>
      <c r="N7492" s="17">
        <v>21</v>
      </c>
      <c r="O7492" s="18">
        <v>1014</v>
      </c>
      <c r="P7492" s="18">
        <v>1033</v>
      </c>
      <c r="Q7492" s="15"/>
      <c r="R7492" t="s" s="16">
        <f>HYPERLINK("http://secrets.rutgers.edu:8080/data/asl-ftp/asllvd/demos/verify_start_end_handshape_annotations//test_auto_move//signs_mov_separ_signers/Lana_1842.mov","MOV")</f>
        <v>21</v>
      </c>
    </row>
    <row r="7493" s="2" customFormat="1" ht="13.5" customHeight="1">
      <c r="B7493" s="13"/>
      <c r="C7493" t="s" s="9">
        <v>43</v>
      </c>
      <c r="D7493" t="s" s="8">
        <v>2640</v>
      </c>
      <c r="E7493" t="s" s="9">
        <v>2640</v>
      </c>
      <c r="F7493" t="s" s="10">
        <v>220</v>
      </c>
      <c r="G7493" s="14"/>
      <c r="H7493" t="s" s="10">
        <v>220</v>
      </c>
      <c r="I7493" s="14"/>
      <c r="J7493" t="s" s="11">
        <v>20</v>
      </c>
      <c r="K7493" s="15"/>
      <c r="L7493" t="s" s="16">
        <f>HYPERLINK("http://csr.bu.edu/ftp/asl/asllvd/demos/verify_start_end_handshape_annotations//test_auto_move//signs_mov_separ_signers/Dana_1842.mov","MOV")</f>
        <v>21</v>
      </c>
      <c r="M7493" t="s" s="10">
        <v>44</v>
      </c>
      <c r="N7493" s="17">
        <v>23</v>
      </c>
      <c r="O7493" s="18">
        <v>945</v>
      </c>
      <c r="P7493" s="18">
        <v>978</v>
      </c>
      <c r="Q7493" s="15"/>
      <c r="R7493" t="s" s="16">
        <f>HYPERLINK("http://secrets.rutgers.edu:8080/data/asl-ftp/asllvd/demos/verify_start_end_handshape_annotations//test_auto_move//signs_mov_separ_signers/Dana_1842.mov","MOV")</f>
        <v>21</v>
      </c>
    </row>
    <row r="7494" s="2" customFormat="1" ht="13.5" customHeight="1">
      <c r="B7494" t="s" s="8">
        <v>2641</v>
      </c>
      <c r="C7494" t="s" s="9">
        <v>14</v>
      </c>
      <c r="D7494" t="s" s="8">
        <v>14</v>
      </c>
      <c r="E7494" t="s" s="9">
        <v>14</v>
      </c>
      <c r="F7494" t="s" s="10">
        <v>14</v>
      </c>
      <c r="G7494" t="s" s="11">
        <v>14</v>
      </c>
      <c r="H7494" t="s" s="10">
        <v>14</v>
      </c>
      <c r="I7494" t="s" s="11">
        <v>14</v>
      </c>
      <c r="J7494" t="s" s="11">
        <v>14</v>
      </c>
      <c r="K7494" t="s" s="12">
        <v>14</v>
      </c>
      <c r="L7494" t="s" s="12">
        <v>14</v>
      </c>
      <c r="M7494" t="s" s="10">
        <v>14</v>
      </c>
      <c r="N7494" t="s" s="11">
        <v>14</v>
      </c>
      <c r="O7494" t="s" s="8">
        <v>14</v>
      </c>
      <c r="P7494" t="s" s="8">
        <v>14</v>
      </c>
      <c r="Q7494" t="s" s="12">
        <v>14</v>
      </c>
      <c r="R7494" t="s" s="12">
        <v>14</v>
      </c>
    </row>
    <row r="7495" s="2" customFormat="1" ht="13.5" customHeight="1">
      <c r="B7495" s="13"/>
      <c r="C7495" t="s" s="9">
        <v>16</v>
      </c>
      <c r="D7495" t="s" s="8">
        <v>2641</v>
      </c>
      <c r="E7495" t="s" s="9">
        <v>2642</v>
      </c>
      <c r="F7495" t="s" s="10">
        <v>72</v>
      </c>
      <c r="G7495" t="s" s="11">
        <v>72</v>
      </c>
      <c r="H7495" t="s" s="10">
        <v>72</v>
      </c>
      <c r="I7495" t="s" s="11">
        <v>72</v>
      </c>
      <c r="J7495" t="s" s="11">
        <v>20</v>
      </c>
      <c r="K7495" s="15"/>
      <c r="L7495" t="s" s="16">
        <f>HYPERLINK("http://csr.bu.edu/ftp/asl/asllvd/demos/verify_start_end_handshape_annotations//test_auto_move//signs_mov_separ_signers/Liz_1850.mov","MOV")</f>
        <v>21</v>
      </c>
      <c r="M7495" t="s" s="10">
        <v>88</v>
      </c>
      <c r="N7495" s="17">
        <v>38</v>
      </c>
      <c r="O7495" s="18">
        <v>256</v>
      </c>
      <c r="P7495" s="18">
        <v>350</v>
      </c>
      <c r="Q7495" s="15"/>
      <c r="R7495" t="s" s="16">
        <f>HYPERLINK("http://secrets.rutgers.edu:8080/data/asl-ftp/asllvd/demos/verify_start_end_handshape_annotations//test_auto_move//signs_mov_separ_signers/Liz_1850.mov","MOV")</f>
        <v>21</v>
      </c>
    </row>
    <row r="7496" s="2" customFormat="1" ht="13.5" customHeight="1">
      <c r="B7496" s="13"/>
      <c r="C7496" t="s" s="9">
        <v>30</v>
      </c>
      <c r="D7496" t="s" s="8">
        <v>2641</v>
      </c>
      <c r="E7496" t="s" s="9">
        <v>2642</v>
      </c>
      <c r="F7496" t="s" s="10">
        <v>72</v>
      </c>
      <c r="G7496" t="s" s="11">
        <v>72</v>
      </c>
      <c r="H7496" t="s" s="10">
        <v>72</v>
      </c>
      <c r="I7496" t="s" s="11">
        <v>72</v>
      </c>
      <c r="J7496" t="s" s="11">
        <v>20</v>
      </c>
      <c r="K7496" t="s" s="16">
        <f>HYPERLINK("http://csr.bu.edu/ftp/asl/asllvd/demos/verify_start_end_handshape_annotations//test_auto_move//signs_mov/1850_15659_16427_merged.mov","MOV")</f>
        <v>21</v>
      </c>
      <c r="L7496" t="s" s="16">
        <f>HYPERLINK("http://csr.bu.edu/ftp/asl/asllvd/demos/verify_start_end_handshape_annotations//test_auto_move//signs_mov_separ_signers/Brady_1850.mov","MOV")</f>
        <v>21</v>
      </c>
      <c r="M7496" t="s" s="10">
        <v>40</v>
      </c>
      <c r="N7496" s="17">
        <v>22</v>
      </c>
      <c r="O7496" s="18">
        <v>2496</v>
      </c>
      <c r="P7496" s="18">
        <v>2567</v>
      </c>
      <c r="Q7496" t="s" s="16">
        <f>HYPERLINK("http://secrets.rutgers.edu:8080/data/asl-ftp/asllvd/demos/verify_start_end_handshape_annotations//test_auto_move//signs_mov/1850_15659_16427_merged.mov","MOV")</f>
        <v>21</v>
      </c>
      <c r="R7496" t="s" s="16">
        <f>HYPERLINK("http://secrets.rutgers.edu:8080/data/asl-ftp/asllvd/demos/verify_start_end_handshape_annotations//test_auto_move//signs_mov_separ_signers/Brady_1850.mov","MOV")</f>
        <v>21</v>
      </c>
    </row>
    <row r="7497" s="2" customFormat="1" ht="13.5" customHeight="1">
      <c r="B7497" s="13"/>
      <c r="C7497" t="s" s="9">
        <v>30</v>
      </c>
      <c r="D7497" t="s" s="8">
        <v>2641</v>
      </c>
      <c r="E7497" t="s" s="9">
        <v>2642</v>
      </c>
      <c r="F7497" t="s" s="10">
        <v>72</v>
      </c>
      <c r="G7497" t="s" s="11">
        <v>72</v>
      </c>
      <c r="H7497" t="s" s="10">
        <v>72</v>
      </c>
      <c r="I7497" t="s" s="11">
        <v>72</v>
      </c>
      <c r="J7497" t="s" s="11">
        <v>20</v>
      </c>
      <c r="K7497" s="15"/>
      <c r="L7497" t="s" s="16">
        <f>HYPERLINK("http://csr.bu.edu/ftp/asl/asllvd/demos/verify_start_end_handshape_annotations//test_auto_move//signs_mov_separ_signers/Brady_15659.mov","MOV")</f>
        <v>21</v>
      </c>
      <c r="M7497" t="s" s="10">
        <v>40</v>
      </c>
      <c r="N7497" s="17">
        <v>31</v>
      </c>
      <c r="O7497" s="18">
        <v>3704</v>
      </c>
      <c r="P7497" s="18">
        <v>3767</v>
      </c>
      <c r="Q7497" s="15"/>
      <c r="R7497" t="s" s="16">
        <f>HYPERLINK("http://secrets.rutgers.edu:8080/data/asl-ftp/asllvd/demos/verify_start_end_handshape_annotations//test_auto_move//signs_mov_separ_signers/Brady_15659.mov","MOV")</f>
        <v>21</v>
      </c>
    </row>
    <row r="7498" s="2" customFormat="1" ht="13.5" customHeight="1">
      <c r="B7498" s="13"/>
      <c r="C7498" t="s" s="9">
        <v>30</v>
      </c>
      <c r="D7498" t="s" s="8">
        <v>2641</v>
      </c>
      <c r="E7498" t="s" s="9">
        <v>2641</v>
      </c>
      <c r="F7498" t="s" s="10">
        <v>72</v>
      </c>
      <c r="G7498" t="s" s="11">
        <v>72</v>
      </c>
      <c r="H7498" t="s" s="10">
        <v>72</v>
      </c>
      <c r="I7498" t="s" s="11">
        <v>72</v>
      </c>
      <c r="J7498" t="s" s="11">
        <v>20</v>
      </c>
      <c r="K7498" s="15"/>
      <c r="L7498" t="s" s="16">
        <f>HYPERLINK("http://csr.bu.edu/ftp/asl/asllvd/demos/verify_start_end_handshape_annotations//test_auto_move//signs_mov_separ_signers/Brady_16427.mov","MOV")</f>
        <v>21</v>
      </c>
      <c r="M7498" t="s" s="10">
        <v>60</v>
      </c>
      <c r="N7498" s="17">
        <v>15</v>
      </c>
      <c r="O7498" s="18">
        <v>934</v>
      </c>
      <c r="P7498" s="18">
        <v>986</v>
      </c>
      <c r="Q7498" s="15"/>
      <c r="R7498" t="s" s="16">
        <f>HYPERLINK("http://secrets.rutgers.edu:8080/data/asl-ftp/asllvd/demos/verify_start_end_handshape_annotations//test_auto_move//signs_mov_separ_signers/Brady_16427.mov","MOV")</f>
        <v>21</v>
      </c>
    </row>
    <row r="7499" s="2" customFormat="1" ht="13.5" customHeight="1">
      <c r="B7499" t="s" s="8">
        <v>2643</v>
      </c>
      <c r="C7499" t="s" s="9">
        <v>14</v>
      </c>
      <c r="D7499" t="s" s="8">
        <v>14</v>
      </c>
      <c r="E7499" t="s" s="9">
        <v>14</v>
      </c>
      <c r="F7499" t="s" s="10">
        <v>14</v>
      </c>
      <c r="G7499" t="s" s="11">
        <v>14</v>
      </c>
      <c r="H7499" t="s" s="10">
        <v>14</v>
      </c>
      <c r="I7499" t="s" s="11">
        <v>14</v>
      </c>
      <c r="J7499" t="s" s="11">
        <v>14</v>
      </c>
      <c r="K7499" t="s" s="12">
        <v>14</v>
      </c>
      <c r="L7499" t="s" s="12">
        <v>14</v>
      </c>
      <c r="M7499" t="s" s="10">
        <v>14</v>
      </c>
      <c r="N7499" t="s" s="11">
        <v>14</v>
      </c>
      <c r="O7499" t="s" s="8">
        <v>14</v>
      </c>
      <c r="P7499" t="s" s="8">
        <v>14</v>
      </c>
      <c r="Q7499" t="s" s="12">
        <v>14</v>
      </c>
      <c r="R7499" t="s" s="12">
        <v>14</v>
      </c>
    </row>
    <row r="7500" s="2" customFormat="1" ht="13.5" customHeight="1">
      <c r="B7500" s="13"/>
      <c r="C7500" t="s" s="9">
        <v>16</v>
      </c>
      <c r="D7500" t="s" s="8">
        <v>2643</v>
      </c>
      <c r="E7500" t="s" s="9">
        <v>2644</v>
      </c>
      <c r="F7500" t="s" s="10">
        <v>72</v>
      </c>
      <c r="G7500" t="s" s="11">
        <v>72</v>
      </c>
      <c r="H7500" t="s" s="10">
        <v>72</v>
      </c>
      <c r="I7500" t="s" s="11">
        <v>72</v>
      </c>
      <c r="J7500" t="s" s="11">
        <v>20</v>
      </c>
      <c r="K7500" t="s" s="16">
        <f>HYPERLINK("http://csr.bu.edu/ftp/asl/asllvd/demos/verify_start_end_handshape_annotations//test_auto_move//signs_mov/16446.mov","MOV")</f>
        <v>21</v>
      </c>
      <c r="L7500" t="s" s="16">
        <f>HYPERLINK("http://csr.bu.edu/ftp/asl/asllvd/demos/verify_start_end_handshape_annotations//test_auto_move//signs_mov_separ_signers/Liz_16446.mov","MOV")</f>
        <v>21</v>
      </c>
      <c r="M7500" t="s" s="10">
        <v>88</v>
      </c>
      <c r="N7500" s="17">
        <v>27</v>
      </c>
      <c r="O7500" s="18">
        <v>3365</v>
      </c>
      <c r="P7500" s="18">
        <v>3450</v>
      </c>
      <c r="Q7500" t="s" s="16">
        <f>HYPERLINK("http://secrets.rutgers.edu:8080/data/asl-ftp/asllvd/demos/verify_start_end_handshape_annotations//test_auto_move//signs_mov/16446.mov","MOV")</f>
        <v>21</v>
      </c>
      <c r="R7500" t="s" s="16">
        <f>HYPERLINK("http://secrets.rutgers.edu:8080/data/asl-ftp/asllvd/demos/verify_start_end_handshape_annotations//test_auto_move//signs_mov_separ_signers/Liz_16446.mov","MOV")</f>
        <v>21</v>
      </c>
    </row>
    <row r="7501" s="2" customFormat="1" ht="13.5" customHeight="1">
      <c r="B7501" t="s" s="8">
        <v>2645</v>
      </c>
      <c r="C7501" t="s" s="9">
        <v>14</v>
      </c>
      <c r="D7501" t="s" s="8">
        <v>14</v>
      </c>
      <c r="E7501" t="s" s="9">
        <v>14</v>
      </c>
      <c r="F7501" t="s" s="10">
        <v>14</v>
      </c>
      <c r="G7501" t="s" s="11">
        <v>14</v>
      </c>
      <c r="H7501" t="s" s="10">
        <v>14</v>
      </c>
      <c r="I7501" t="s" s="11">
        <v>14</v>
      </c>
      <c r="J7501" t="s" s="11">
        <v>14</v>
      </c>
      <c r="K7501" t="s" s="12">
        <v>14</v>
      </c>
      <c r="L7501" t="s" s="12">
        <v>14</v>
      </c>
      <c r="M7501" t="s" s="10">
        <v>14</v>
      </c>
      <c r="N7501" t="s" s="11">
        <v>14</v>
      </c>
      <c r="O7501" t="s" s="8">
        <v>14</v>
      </c>
      <c r="P7501" t="s" s="8">
        <v>14</v>
      </c>
      <c r="Q7501" t="s" s="12">
        <v>14</v>
      </c>
      <c r="R7501" t="s" s="12">
        <v>14</v>
      </c>
    </row>
    <row r="7502" s="2" customFormat="1" ht="13.5" customHeight="1">
      <c r="B7502" s="13"/>
      <c r="C7502" t="s" s="9">
        <v>16</v>
      </c>
      <c r="D7502" t="s" s="8">
        <v>2645</v>
      </c>
      <c r="E7502" t="s" s="9">
        <v>2646</v>
      </c>
      <c r="F7502" t="s" s="10">
        <v>240</v>
      </c>
      <c r="G7502" s="14"/>
      <c r="H7502" t="s" s="10">
        <v>240</v>
      </c>
      <c r="I7502" s="14"/>
      <c r="J7502" t="s" s="11">
        <v>20</v>
      </c>
      <c r="K7502" t="s" s="16">
        <f>HYPERLINK("http://csr.bu.edu/ftp/asl/asllvd/demos/verify_start_end_handshape_annotations//test_auto_move//signs_mov/1851.mov","MOV")</f>
        <v>21</v>
      </c>
      <c r="L7502" t="s" s="16">
        <f>HYPERLINK("http://csr.bu.edu/ftp/asl/asllvd/demos/verify_start_end_handshape_annotations//test_auto_move//signs_mov_separ_signers/Liz_1851.mov","MOV")</f>
        <v>21</v>
      </c>
      <c r="M7502" t="s" s="10">
        <v>88</v>
      </c>
      <c r="N7502" s="17">
        <v>38</v>
      </c>
      <c r="O7502" s="18">
        <v>920</v>
      </c>
      <c r="P7502" s="18">
        <v>985</v>
      </c>
      <c r="Q7502" t="s" s="16">
        <f>HYPERLINK("http://secrets.rutgers.edu:8080/data/asl-ftp/asllvd/demos/verify_start_end_handshape_annotations//test_auto_move//signs_mov/1851.mov","MOV")</f>
        <v>21</v>
      </c>
      <c r="R7502" t="s" s="16">
        <f>HYPERLINK("http://secrets.rutgers.edu:8080/data/asl-ftp/asllvd/demos/verify_start_end_handshape_annotations//test_auto_move//signs_mov_separ_signers/Liz_1851.mov","MOV")</f>
        <v>21</v>
      </c>
    </row>
    <row r="7503" s="2" customFormat="1" ht="13.5" customHeight="1">
      <c r="B7503" t="s" s="8">
        <v>2647</v>
      </c>
      <c r="C7503" t="s" s="9">
        <v>14</v>
      </c>
      <c r="D7503" t="s" s="8">
        <v>14</v>
      </c>
      <c r="E7503" t="s" s="9">
        <v>14</v>
      </c>
      <c r="F7503" t="s" s="10">
        <v>14</v>
      </c>
      <c r="G7503" t="s" s="11">
        <v>14</v>
      </c>
      <c r="H7503" t="s" s="10">
        <v>14</v>
      </c>
      <c r="I7503" t="s" s="11">
        <v>14</v>
      </c>
      <c r="J7503" t="s" s="11">
        <v>14</v>
      </c>
      <c r="K7503" t="s" s="12">
        <v>14</v>
      </c>
      <c r="L7503" t="s" s="12">
        <v>14</v>
      </c>
      <c r="M7503" t="s" s="10">
        <v>14</v>
      </c>
      <c r="N7503" t="s" s="11">
        <v>14</v>
      </c>
      <c r="O7503" t="s" s="8">
        <v>14</v>
      </c>
      <c r="P7503" t="s" s="8">
        <v>14</v>
      </c>
      <c r="Q7503" t="s" s="12">
        <v>14</v>
      </c>
      <c r="R7503" t="s" s="12">
        <v>14</v>
      </c>
    </row>
    <row r="7504" s="2" customFormat="1" ht="13.5" customHeight="1">
      <c r="B7504" s="13"/>
      <c r="C7504" t="s" s="9">
        <v>30</v>
      </c>
      <c r="D7504" t="s" s="8">
        <v>2647</v>
      </c>
      <c r="E7504" t="s" s="9">
        <v>2647</v>
      </c>
      <c r="F7504" t="s" s="10">
        <v>220</v>
      </c>
      <c r="G7504" s="14"/>
      <c r="H7504" t="s" s="10">
        <v>115</v>
      </c>
      <c r="I7504" s="14"/>
      <c r="J7504" t="s" s="11">
        <v>20</v>
      </c>
      <c r="K7504" t="s" s="16">
        <f>HYPERLINK("http://csr.bu.edu/ftp/asl/asllvd/demos/verify_start_end_handshape_annotations//test_auto_move//signs_mov/15061.mov","MOV")</f>
        <v>21</v>
      </c>
      <c r="L7504" t="s" s="16">
        <f>HYPERLINK("http://csr.bu.edu/ftp/asl/asllvd/demos/verify_start_end_handshape_annotations//test_auto_move//signs_mov_separ_signers/Brady_15061.mov","MOV")</f>
        <v>21</v>
      </c>
      <c r="M7504" t="s" s="10">
        <v>40</v>
      </c>
      <c r="N7504" s="17">
        <v>32</v>
      </c>
      <c r="O7504" s="18">
        <v>1113</v>
      </c>
      <c r="P7504" s="18">
        <v>1166</v>
      </c>
      <c r="Q7504" t="s" s="16">
        <f>HYPERLINK("http://secrets.rutgers.edu:8080/data/asl-ftp/asllvd/demos/verify_start_end_handshape_annotations//test_auto_move//signs_mov/15061.mov","MOV")</f>
        <v>21</v>
      </c>
      <c r="R7504" t="s" s="16">
        <f>HYPERLINK("http://secrets.rutgers.edu:8080/data/asl-ftp/asllvd/demos/verify_start_end_handshape_annotations//test_auto_move//signs_mov_separ_signers/Brady_15061.mov","MOV")</f>
        <v>21</v>
      </c>
    </row>
    <row r="7505" s="2" customFormat="1" ht="13.5" customHeight="1">
      <c r="B7505" t="s" s="8">
        <v>2648</v>
      </c>
      <c r="C7505" t="s" s="9">
        <v>14</v>
      </c>
      <c r="D7505" t="s" s="8">
        <v>14</v>
      </c>
      <c r="E7505" t="s" s="9">
        <v>14</v>
      </c>
      <c r="F7505" t="s" s="10">
        <v>14</v>
      </c>
      <c r="G7505" t="s" s="11">
        <v>14</v>
      </c>
      <c r="H7505" t="s" s="10">
        <v>14</v>
      </c>
      <c r="I7505" t="s" s="11">
        <v>14</v>
      </c>
      <c r="J7505" t="s" s="11">
        <v>14</v>
      </c>
      <c r="K7505" t="s" s="12">
        <v>14</v>
      </c>
      <c r="L7505" t="s" s="12">
        <v>14</v>
      </c>
      <c r="M7505" t="s" s="10">
        <v>14</v>
      </c>
      <c r="N7505" t="s" s="11">
        <v>14</v>
      </c>
      <c r="O7505" t="s" s="8">
        <v>14</v>
      </c>
      <c r="P7505" t="s" s="8">
        <v>14</v>
      </c>
      <c r="Q7505" t="s" s="12">
        <v>14</v>
      </c>
      <c r="R7505" t="s" s="12">
        <v>14</v>
      </c>
    </row>
    <row r="7506" s="2" customFormat="1" ht="13.5" customHeight="1">
      <c r="B7506" s="13"/>
      <c r="C7506" t="s" s="9">
        <v>16</v>
      </c>
      <c r="D7506" t="s" s="8">
        <v>2648</v>
      </c>
      <c r="E7506" t="s" s="9">
        <v>2648</v>
      </c>
      <c r="F7506" t="s" s="10">
        <v>150</v>
      </c>
      <c r="G7506" t="s" s="11">
        <v>150</v>
      </c>
      <c r="H7506" t="s" s="10">
        <v>80</v>
      </c>
      <c r="I7506" t="s" s="11">
        <v>80</v>
      </c>
      <c r="J7506" t="s" s="11">
        <v>20</v>
      </c>
      <c r="K7506" s="15"/>
      <c r="L7506" t="s" s="16">
        <f>HYPERLINK("http://csr.bu.edu/ftp/asl/asllvd/demos/verify_start_end_handshape_annotations//test_auto_move//signs_mov_separ_signers/Liz_1853.mov","MOV")</f>
        <v>21</v>
      </c>
      <c r="M7506" t="s" s="10">
        <v>88</v>
      </c>
      <c r="N7506" s="17">
        <v>38</v>
      </c>
      <c r="O7506" s="18">
        <v>2121</v>
      </c>
      <c r="P7506" s="18">
        <v>2171</v>
      </c>
      <c r="Q7506" s="15"/>
      <c r="R7506" t="s" s="16">
        <f>HYPERLINK("http://secrets.rutgers.edu:8080/data/asl-ftp/asllvd/demos/verify_start_end_handshape_annotations//test_auto_move//signs_mov_separ_signers/Liz_1853.mov","MOV")</f>
        <v>21</v>
      </c>
    </row>
    <row r="7507" s="2" customFormat="1" ht="13.5" customHeight="1">
      <c r="B7507" s="13"/>
      <c r="C7507" t="s" s="9">
        <v>30</v>
      </c>
      <c r="D7507" t="s" s="8">
        <v>2648</v>
      </c>
      <c r="E7507" t="s" s="9">
        <v>2648</v>
      </c>
      <c r="F7507" t="s" s="10">
        <v>80</v>
      </c>
      <c r="G7507" t="s" s="11">
        <v>80</v>
      </c>
      <c r="H7507" t="s" s="10">
        <v>80</v>
      </c>
      <c r="I7507" t="s" s="11">
        <v>80</v>
      </c>
      <c r="J7507" t="s" s="11">
        <v>20</v>
      </c>
      <c r="K7507" t="s" s="16">
        <f>HYPERLINK("http://csr.bu.edu/ftp/asl/asllvd/demos/verify_start_end_handshape_annotations//test_auto_move//signs_mov/1853.mov","MOV")</f>
        <v>21</v>
      </c>
      <c r="L7507" t="s" s="16">
        <f>HYPERLINK("http://csr.bu.edu/ftp/asl/asllvd/demos/verify_start_end_handshape_annotations//test_auto_move//signs_mov_separ_signers/Brady_1853.mov","MOV")</f>
        <v>21</v>
      </c>
      <c r="M7507" t="s" s="10">
        <v>40</v>
      </c>
      <c r="N7507" s="17">
        <v>32</v>
      </c>
      <c r="O7507" s="18">
        <v>2341</v>
      </c>
      <c r="P7507" s="18">
        <v>2366</v>
      </c>
      <c r="Q7507" t="s" s="16">
        <f>HYPERLINK("http://secrets.rutgers.edu:8080/data/asl-ftp/asllvd/demos/verify_start_end_handshape_annotations//test_auto_move//signs_mov/1853.mov","MOV")</f>
        <v>21</v>
      </c>
      <c r="R7507" t="s" s="16">
        <f>HYPERLINK("http://secrets.rutgers.edu:8080/data/asl-ftp/asllvd/demos/verify_start_end_handshape_annotations//test_auto_move//signs_mov_separ_signers/Brady_1853.mov","MOV")</f>
        <v>21</v>
      </c>
    </row>
    <row r="7508" s="2" customFormat="1" ht="13.5" customHeight="1">
      <c r="B7508" s="13"/>
      <c r="C7508" t="s" s="9">
        <v>43</v>
      </c>
      <c r="D7508" t="s" s="8">
        <v>2648</v>
      </c>
      <c r="E7508" t="s" s="9">
        <v>2648</v>
      </c>
      <c r="F7508" t="s" s="10">
        <v>80</v>
      </c>
      <c r="G7508" t="s" s="11">
        <v>80</v>
      </c>
      <c r="H7508" t="s" s="10">
        <v>80</v>
      </c>
      <c r="I7508" t="s" s="11">
        <v>80</v>
      </c>
      <c r="J7508" t="s" s="11">
        <v>20</v>
      </c>
      <c r="K7508" s="15"/>
      <c r="L7508" t="s" s="16">
        <f>HYPERLINK("http://csr.bu.edu/ftp/asl/asllvd/demos/verify_start_end_handshape_annotations//test_auto_move//signs_mov_separ_signers/Dana_1853.mov","MOV")</f>
        <v>21</v>
      </c>
      <c r="M7508" t="s" s="10">
        <v>44</v>
      </c>
      <c r="N7508" s="17">
        <v>26</v>
      </c>
      <c r="O7508" s="18">
        <v>1727</v>
      </c>
      <c r="P7508" s="18">
        <v>1765</v>
      </c>
      <c r="Q7508" s="15"/>
      <c r="R7508" t="s" s="16">
        <f>HYPERLINK("http://secrets.rutgers.edu:8080/data/asl-ftp/asllvd/demos/verify_start_end_handshape_annotations//test_auto_move//signs_mov_separ_signers/Dana_1853.mov","MOV")</f>
        <v>21</v>
      </c>
    </row>
    <row r="7509" s="2" customFormat="1" ht="13.5" customHeight="1">
      <c r="B7509" t="s" s="8">
        <v>52</v>
      </c>
      <c r="C7509" t="s" s="9">
        <v>53</v>
      </c>
      <c r="D7509" t="s" s="8">
        <v>53</v>
      </c>
      <c r="E7509" t="s" s="9">
        <v>53</v>
      </c>
      <c r="F7509" t="s" s="10">
        <v>53</v>
      </c>
      <c r="G7509" t="s" s="11">
        <v>53</v>
      </c>
      <c r="H7509" t="s" s="10">
        <v>53</v>
      </c>
      <c r="I7509" t="s" s="11">
        <v>53</v>
      </c>
      <c r="J7509" t="s" s="11">
        <v>53</v>
      </c>
      <c r="K7509" t="s" s="12">
        <v>53</v>
      </c>
      <c r="L7509" t="s" s="12">
        <v>53</v>
      </c>
      <c r="M7509" t="s" s="10">
        <v>53</v>
      </c>
      <c r="N7509" t="s" s="11">
        <v>53</v>
      </c>
      <c r="O7509" t="s" s="8">
        <v>53</v>
      </c>
      <c r="P7509" t="s" s="8">
        <v>53</v>
      </c>
      <c r="Q7509" t="s" s="12">
        <v>53</v>
      </c>
      <c r="R7509" t="s" s="12">
        <v>53</v>
      </c>
    </row>
    <row r="7510" s="2" customFormat="1" ht="13.5" customHeight="1">
      <c r="B7510" s="13"/>
      <c r="C7510" t="s" s="9">
        <v>41</v>
      </c>
      <c r="D7510" t="s" s="8">
        <v>2648</v>
      </c>
      <c r="E7510" t="s" s="9">
        <v>2649</v>
      </c>
      <c r="F7510" t="s" s="10">
        <v>80</v>
      </c>
      <c r="G7510" t="s" s="11">
        <v>244</v>
      </c>
      <c r="H7510" t="s" s="10">
        <v>80</v>
      </c>
      <c r="I7510" t="s" s="11">
        <v>244</v>
      </c>
      <c r="J7510" t="s" s="11">
        <v>20</v>
      </c>
      <c r="K7510" t="s" s="16">
        <f>HYPERLINK("http://csr.bu.edu/ftp/asl/asllvd/demos/verify_start_end_handshape_annotations//test_auto_move//signs_mov/16447.mov","MOV")</f>
        <v>21</v>
      </c>
      <c r="L7510" t="s" s="16">
        <f>HYPERLINK("http://csr.bu.edu/ftp/asl/asllvd/demos/verify_start_end_handshape_annotations//test_auto_move//signs_mov_separ_signers/Lana_16447.mov","MOV")</f>
        <v>21</v>
      </c>
      <c r="M7510" t="s" s="10">
        <v>42</v>
      </c>
      <c r="N7510" s="17">
        <v>24</v>
      </c>
      <c r="O7510" s="18">
        <v>1714</v>
      </c>
      <c r="P7510" s="18">
        <v>1744</v>
      </c>
      <c r="Q7510" t="s" s="16">
        <f>HYPERLINK("http://secrets.rutgers.edu:8080/data/asl-ftp/asllvd/demos/verify_start_end_handshape_annotations//test_auto_move//signs_mov/16447.mov","MOV")</f>
        <v>21</v>
      </c>
      <c r="R7510" t="s" s="16">
        <f>HYPERLINK("http://secrets.rutgers.edu:8080/data/asl-ftp/asllvd/demos/verify_start_end_handshape_annotations//test_auto_move//signs_mov_separ_signers/Lana_16447.mov","MOV")</f>
        <v>21</v>
      </c>
    </row>
    <row r="7511" s="2" customFormat="1" ht="13.5" customHeight="1">
      <c r="B7511" t="s" s="8">
        <v>2650</v>
      </c>
      <c r="C7511" t="s" s="9">
        <v>14</v>
      </c>
      <c r="D7511" t="s" s="8">
        <v>14</v>
      </c>
      <c r="E7511" t="s" s="9">
        <v>14</v>
      </c>
      <c r="F7511" t="s" s="10">
        <v>14</v>
      </c>
      <c r="G7511" t="s" s="11">
        <v>14</v>
      </c>
      <c r="H7511" t="s" s="10">
        <v>14</v>
      </c>
      <c r="I7511" t="s" s="11">
        <v>14</v>
      </c>
      <c r="J7511" t="s" s="11">
        <v>14</v>
      </c>
      <c r="K7511" t="s" s="12">
        <v>14</v>
      </c>
      <c r="L7511" t="s" s="12">
        <v>14</v>
      </c>
      <c r="M7511" t="s" s="10">
        <v>14</v>
      </c>
      <c r="N7511" t="s" s="11">
        <v>14</v>
      </c>
      <c r="O7511" t="s" s="8">
        <v>14</v>
      </c>
      <c r="P7511" t="s" s="8">
        <v>14</v>
      </c>
      <c r="Q7511" t="s" s="12">
        <v>14</v>
      </c>
      <c r="R7511" t="s" s="12">
        <v>14</v>
      </c>
    </row>
    <row r="7512" s="2" customFormat="1" ht="13.5" customHeight="1">
      <c r="B7512" s="13"/>
      <c r="C7512" t="s" s="9">
        <v>16</v>
      </c>
      <c r="D7512" t="s" s="8">
        <v>2650</v>
      </c>
      <c r="E7512" t="s" s="9">
        <v>2650</v>
      </c>
      <c r="F7512" t="s" s="10">
        <v>185</v>
      </c>
      <c r="G7512" t="s" s="11">
        <v>73</v>
      </c>
      <c r="H7512" t="s" s="10">
        <v>185</v>
      </c>
      <c r="I7512" t="s" s="11">
        <v>73</v>
      </c>
      <c r="J7512" t="s" s="11">
        <v>20</v>
      </c>
      <c r="K7512" t="s" s="16">
        <f>HYPERLINK("http://csr.bu.edu/ftp/asl/asllvd/demos/verify_start_end_handshape_annotations//test_auto_move//signs_mov/1854.mov","MOV")</f>
        <v>21</v>
      </c>
      <c r="L7512" t="s" s="16">
        <f>HYPERLINK("http://csr.bu.edu/ftp/asl/asllvd/demos/verify_start_end_handshape_annotations//test_auto_move//signs_mov_separ_signers/Liz_1854.mov","MOV")</f>
        <v>21</v>
      </c>
      <c r="M7512" t="s" s="10">
        <v>88</v>
      </c>
      <c r="N7512" s="17">
        <v>38</v>
      </c>
      <c r="O7512" s="18">
        <v>2385</v>
      </c>
      <c r="P7512" s="18">
        <v>2430</v>
      </c>
      <c r="Q7512" t="s" s="16">
        <f>HYPERLINK("http://secrets.rutgers.edu:8080/data/asl-ftp/asllvd/demos/verify_start_end_handshape_annotations//test_auto_move//signs_mov/1854.mov","MOV")</f>
        <v>21</v>
      </c>
      <c r="R7512" t="s" s="16">
        <f>HYPERLINK("http://secrets.rutgers.edu:8080/data/asl-ftp/asllvd/demos/verify_start_end_handshape_annotations//test_auto_move//signs_mov_separ_signers/Liz_1854.mov","MOV")</f>
        <v>21</v>
      </c>
    </row>
    <row r="7513" s="2" customFormat="1" ht="13.5" customHeight="1">
      <c r="B7513" s="13"/>
      <c r="C7513" t="s" s="9">
        <v>30</v>
      </c>
      <c r="D7513" t="s" s="8">
        <v>2650</v>
      </c>
      <c r="E7513" t="s" s="9">
        <v>2650</v>
      </c>
      <c r="F7513" t="s" s="10">
        <v>185</v>
      </c>
      <c r="G7513" t="s" s="11">
        <v>73</v>
      </c>
      <c r="H7513" t="s" s="10">
        <v>185</v>
      </c>
      <c r="I7513" t="s" s="11">
        <v>73</v>
      </c>
      <c r="J7513" t="s" s="11">
        <v>20</v>
      </c>
      <c r="K7513" s="15"/>
      <c r="L7513" t="s" s="16">
        <f>HYPERLINK("http://csr.bu.edu/ftp/asl/asllvd/demos/verify_start_end_handshape_annotations//test_auto_move//signs_mov_separ_signers/Brady_1854.mov","MOV")</f>
        <v>21</v>
      </c>
      <c r="M7513" t="s" s="10">
        <v>40</v>
      </c>
      <c r="N7513" s="17">
        <v>32</v>
      </c>
      <c r="O7513" s="18">
        <v>2700</v>
      </c>
      <c r="P7513" s="18">
        <v>2721</v>
      </c>
      <c r="Q7513" s="15"/>
      <c r="R7513" t="s" s="16">
        <f>HYPERLINK("http://secrets.rutgers.edu:8080/data/asl-ftp/asllvd/demos/verify_start_end_handshape_annotations//test_auto_move//signs_mov_separ_signers/Brady_1854.mov","MOV")</f>
        <v>21</v>
      </c>
    </row>
    <row r="7514" s="2" customFormat="1" ht="13.5" customHeight="1">
      <c r="B7514" t="s" s="8">
        <v>2651</v>
      </c>
      <c r="C7514" t="s" s="9">
        <v>14</v>
      </c>
      <c r="D7514" t="s" s="8">
        <v>14</v>
      </c>
      <c r="E7514" t="s" s="9">
        <v>14</v>
      </c>
      <c r="F7514" t="s" s="10">
        <v>14</v>
      </c>
      <c r="G7514" t="s" s="11">
        <v>14</v>
      </c>
      <c r="H7514" t="s" s="10">
        <v>14</v>
      </c>
      <c r="I7514" t="s" s="11">
        <v>14</v>
      </c>
      <c r="J7514" t="s" s="11">
        <v>14</v>
      </c>
      <c r="K7514" t="s" s="12">
        <v>14</v>
      </c>
      <c r="L7514" t="s" s="12">
        <v>14</v>
      </c>
      <c r="M7514" t="s" s="10">
        <v>14</v>
      </c>
      <c r="N7514" t="s" s="11">
        <v>14</v>
      </c>
      <c r="O7514" t="s" s="8">
        <v>14</v>
      </c>
      <c r="P7514" t="s" s="8">
        <v>14</v>
      </c>
      <c r="Q7514" t="s" s="12">
        <v>14</v>
      </c>
      <c r="R7514" t="s" s="12">
        <v>14</v>
      </c>
    </row>
    <row r="7515" s="2" customFormat="1" ht="13.5" customHeight="1">
      <c r="B7515" s="13"/>
      <c r="C7515" t="s" s="9">
        <v>16</v>
      </c>
      <c r="D7515" t="s" s="8">
        <v>2651</v>
      </c>
      <c r="E7515" t="s" s="9">
        <v>2651</v>
      </c>
      <c r="F7515" t="s" s="10">
        <v>73</v>
      </c>
      <c r="G7515" t="s" s="11">
        <v>73</v>
      </c>
      <c r="H7515" t="s" s="10">
        <v>73</v>
      </c>
      <c r="I7515" t="s" s="11">
        <v>73</v>
      </c>
      <c r="J7515" t="s" s="11">
        <v>20</v>
      </c>
      <c r="K7515" t="s" s="16">
        <f>HYPERLINK("http://csr.bu.edu/ftp/asl/asllvd/demos/verify_start_end_handshape_annotations//test_auto_move//signs_mov/1855.mov","MOV")</f>
        <v>21</v>
      </c>
      <c r="L7515" t="s" s="16">
        <f>HYPERLINK("http://csr.bu.edu/ftp/asl/asllvd/demos/verify_start_end_handshape_annotations//test_auto_move//signs_mov_separ_signers/Liz_1855.mov","MOV")</f>
        <v>21</v>
      </c>
      <c r="M7515" t="s" s="10">
        <v>88</v>
      </c>
      <c r="N7515" s="17">
        <v>38</v>
      </c>
      <c r="O7515" s="18">
        <v>2920</v>
      </c>
      <c r="P7515" s="18">
        <v>2986</v>
      </c>
      <c r="Q7515" t="s" s="16">
        <f>HYPERLINK("http://secrets.rutgers.edu:8080/data/asl-ftp/asllvd/demos/verify_start_end_handshape_annotations//test_auto_move//signs_mov/1855.mov","MOV")</f>
        <v>21</v>
      </c>
      <c r="R7515" t="s" s="16">
        <f>HYPERLINK("http://secrets.rutgers.edu:8080/data/asl-ftp/asllvd/demos/verify_start_end_handshape_annotations//test_auto_move//signs_mov_separ_signers/Liz_1855.mov","MOV")</f>
        <v>21</v>
      </c>
    </row>
    <row r="7516" s="2" customFormat="1" ht="13.5" customHeight="1">
      <c r="B7516" s="13"/>
      <c r="C7516" t="s" s="9">
        <v>30</v>
      </c>
      <c r="D7516" t="s" s="8">
        <v>2651</v>
      </c>
      <c r="E7516" t="s" s="9">
        <v>2651</v>
      </c>
      <c r="F7516" t="s" s="10">
        <v>73</v>
      </c>
      <c r="G7516" t="s" s="11">
        <v>73</v>
      </c>
      <c r="H7516" t="s" s="10">
        <v>73</v>
      </c>
      <c r="I7516" t="s" s="11">
        <v>73</v>
      </c>
      <c r="J7516" t="s" s="11">
        <v>20</v>
      </c>
      <c r="K7516" s="15"/>
      <c r="L7516" t="s" s="16">
        <f>HYPERLINK("http://csr.bu.edu/ftp/asl/asllvd/demos/verify_start_end_handshape_annotations//test_auto_move//signs_mov_separ_signers/Brady_1855.mov","MOV")</f>
        <v>21</v>
      </c>
      <c r="M7516" t="s" s="10">
        <v>40</v>
      </c>
      <c r="N7516" s="17">
        <v>32</v>
      </c>
      <c r="O7516" s="18">
        <v>3010</v>
      </c>
      <c r="P7516" s="18">
        <v>3050</v>
      </c>
      <c r="Q7516" s="15"/>
      <c r="R7516" t="s" s="16">
        <f>HYPERLINK("http://secrets.rutgers.edu:8080/data/asl-ftp/asllvd/demos/verify_start_end_handshape_annotations//test_auto_move//signs_mov_separ_signers/Brady_1855.mov","MOV")</f>
        <v>21</v>
      </c>
    </row>
    <row r="7517" s="2" customFormat="1" ht="13.5" customHeight="1">
      <c r="B7517" t="s" s="8">
        <v>2652</v>
      </c>
      <c r="C7517" t="s" s="9">
        <v>14</v>
      </c>
      <c r="D7517" t="s" s="8">
        <v>14</v>
      </c>
      <c r="E7517" t="s" s="9">
        <v>14</v>
      </c>
      <c r="F7517" t="s" s="10">
        <v>14</v>
      </c>
      <c r="G7517" t="s" s="11">
        <v>14</v>
      </c>
      <c r="H7517" t="s" s="10">
        <v>14</v>
      </c>
      <c r="I7517" t="s" s="11">
        <v>14</v>
      </c>
      <c r="J7517" t="s" s="11">
        <v>14</v>
      </c>
      <c r="K7517" t="s" s="12">
        <v>14</v>
      </c>
      <c r="L7517" t="s" s="12">
        <v>14</v>
      </c>
      <c r="M7517" t="s" s="10">
        <v>14</v>
      </c>
      <c r="N7517" t="s" s="11">
        <v>14</v>
      </c>
      <c r="O7517" t="s" s="8">
        <v>14</v>
      </c>
      <c r="P7517" t="s" s="8">
        <v>14</v>
      </c>
      <c r="Q7517" t="s" s="12">
        <v>14</v>
      </c>
      <c r="R7517" t="s" s="12">
        <v>14</v>
      </c>
    </row>
    <row r="7518" s="2" customFormat="1" ht="13.5" customHeight="1">
      <c r="B7518" s="13"/>
      <c r="C7518" t="s" s="9">
        <v>16</v>
      </c>
      <c r="D7518" t="s" s="8">
        <v>2652</v>
      </c>
      <c r="E7518" t="s" s="9">
        <v>2653</v>
      </c>
      <c r="F7518" s="19">
        <v>5</v>
      </c>
      <c r="G7518" s="17">
        <v>5</v>
      </c>
      <c r="H7518" t="s" s="10">
        <v>72</v>
      </c>
      <c r="I7518" t="s" s="11">
        <v>72</v>
      </c>
      <c r="J7518" t="s" s="11">
        <v>20</v>
      </c>
      <c r="K7518" t="s" s="16">
        <f>HYPERLINK("http://csr.bu.edu/ftp/asl/asllvd/demos/verify_start_end_handshape_annotations//test_auto_move//signs_mov/1859.mov","MOV")</f>
        <v>21</v>
      </c>
      <c r="L7518" t="s" s="16">
        <f>HYPERLINK("http://csr.bu.edu/ftp/asl/asllvd/demos/verify_start_end_handshape_annotations//test_auto_move//signs_mov_separ_signers/Liz_1859.mov","MOV")</f>
        <v>21</v>
      </c>
      <c r="M7518" t="s" s="10">
        <v>88</v>
      </c>
      <c r="N7518" s="17">
        <v>38</v>
      </c>
      <c r="O7518" s="18">
        <v>3975</v>
      </c>
      <c r="P7518" s="18">
        <v>4025</v>
      </c>
      <c r="Q7518" t="s" s="16">
        <f>HYPERLINK("http://secrets.rutgers.edu:8080/data/asl-ftp/asllvd/demos/verify_start_end_handshape_annotations//test_auto_move//signs_mov/1859.mov","MOV")</f>
        <v>21</v>
      </c>
      <c r="R7518" t="s" s="16">
        <f>HYPERLINK("http://secrets.rutgers.edu:8080/data/asl-ftp/asllvd/demos/verify_start_end_handshape_annotations//test_auto_move//signs_mov_separ_signers/Liz_1859.mov","MOV")</f>
        <v>21</v>
      </c>
    </row>
    <row r="7519" s="2" customFormat="1" ht="13.5" customHeight="1">
      <c r="B7519" s="13"/>
      <c r="C7519" t="s" s="9">
        <v>30</v>
      </c>
      <c r="D7519" t="s" s="8">
        <v>2652</v>
      </c>
      <c r="E7519" t="s" s="9">
        <v>2653</v>
      </c>
      <c r="F7519" s="19">
        <v>5</v>
      </c>
      <c r="G7519" s="17">
        <v>5</v>
      </c>
      <c r="H7519" t="s" s="10">
        <v>72</v>
      </c>
      <c r="I7519" t="s" s="11">
        <v>72</v>
      </c>
      <c r="J7519" t="s" s="11">
        <v>20</v>
      </c>
      <c r="K7519" s="15"/>
      <c r="L7519" t="s" s="16">
        <f>HYPERLINK("http://csr.bu.edu/ftp/asl/asllvd/demos/verify_start_end_handshape_annotations//test_auto_move//signs_mov_separ_signers/Brady_1859.mov","MOV")</f>
        <v>21</v>
      </c>
      <c r="M7519" t="s" s="10">
        <v>40</v>
      </c>
      <c r="N7519" s="17">
        <v>33</v>
      </c>
      <c r="O7519" s="18">
        <v>427</v>
      </c>
      <c r="P7519" s="18">
        <v>458</v>
      </c>
      <c r="Q7519" s="15"/>
      <c r="R7519" t="s" s="16">
        <f>HYPERLINK("http://secrets.rutgers.edu:8080/data/asl-ftp/asllvd/demos/verify_start_end_handshape_annotations//test_auto_move//signs_mov_separ_signers/Brady_1859.mov","MOV")</f>
        <v>21</v>
      </c>
    </row>
    <row r="7520" s="2" customFormat="1" ht="13.5" customHeight="1">
      <c r="B7520" t="s" s="8">
        <v>2654</v>
      </c>
      <c r="C7520" t="s" s="9">
        <v>14</v>
      </c>
      <c r="D7520" t="s" s="8">
        <v>14</v>
      </c>
      <c r="E7520" t="s" s="9">
        <v>14</v>
      </c>
      <c r="F7520" t="s" s="10">
        <v>14</v>
      </c>
      <c r="G7520" t="s" s="11">
        <v>14</v>
      </c>
      <c r="H7520" t="s" s="10">
        <v>14</v>
      </c>
      <c r="I7520" t="s" s="11">
        <v>14</v>
      </c>
      <c r="J7520" t="s" s="11">
        <v>14</v>
      </c>
      <c r="K7520" t="s" s="12">
        <v>14</v>
      </c>
      <c r="L7520" t="s" s="12">
        <v>14</v>
      </c>
      <c r="M7520" t="s" s="10">
        <v>14</v>
      </c>
      <c r="N7520" t="s" s="11">
        <v>14</v>
      </c>
      <c r="O7520" t="s" s="8">
        <v>14</v>
      </c>
      <c r="P7520" t="s" s="8">
        <v>14</v>
      </c>
      <c r="Q7520" t="s" s="12">
        <v>14</v>
      </c>
      <c r="R7520" t="s" s="12">
        <v>14</v>
      </c>
    </row>
    <row r="7521" s="2" customFormat="1" ht="13.5" customHeight="1">
      <c r="B7521" s="13"/>
      <c r="C7521" t="s" s="9">
        <v>16</v>
      </c>
      <c r="D7521" t="s" s="8">
        <v>2654</v>
      </c>
      <c r="E7521" t="s" s="9">
        <v>2655</v>
      </c>
      <c r="F7521" t="s" s="10">
        <v>220</v>
      </c>
      <c r="G7521" s="14"/>
      <c r="H7521" t="s" s="10">
        <v>220</v>
      </c>
      <c r="I7521" s="14"/>
      <c r="J7521" t="s" s="11">
        <v>20</v>
      </c>
      <c r="K7521" t="s" s="16">
        <f>HYPERLINK("http://csr.bu.edu/ftp/asl/asllvd/demos/verify_start_end_handshape_annotations//test_auto_move//signs_mov/1866.mov","MOV")</f>
        <v>21</v>
      </c>
      <c r="L7521" t="s" s="16">
        <f>HYPERLINK("http://csr.bu.edu/ftp/asl/asllvd/demos/verify_start_end_handshape_annotations//test_auto_move//signs_mov_separ_signers/Liz_1866.mov","MOV")</f>
        <v>21</v>
      </c>
      <c r="M7521" t="s" s="10">
        <v>88</v>
      </c>
      <c r="N7521" s="17">
        <v>39</v>
      </c>
      <c r="O7521" s="18">
        <v>3406</v>
      </c>
      <c r="P7521" s="18">
        <v>3465</v>
      </c>
      <c r="Q7521" t="s" s="16">
        <f>HYPERLINK("http://secrets.rutgers.edu:8080/data/asl-ftp/asllvd/demos/verify_start_end_handshape_annotations//test_auto_move//signs_mov/1866.mov","MOV")</f>
        <v>21</v>
      </c>
      <c r="R7521" t="s" s="16">
        <f>HYPERLINK("http://secrets.rutgers.edu:8080/data/asl-ftp/asllvd/demos/verify_start_end_handshape_annotations//test_auto_move//signs_mov_separ_signers/Liz_1866.mov","MOV")</f>
        <v>21</v>
      </c>
    </row>
    <row r="7522" s="2" customFormat="1" ht="13.5" customHeight="1">
      <c r="B7522" s="13"/>
      <c r="C7522" t="s" s="9">
        <v>30</v>
      </c>
      <c r="D7522" t="s" s="8">
        <v>2654</v>
      </c>
      <c r="E7522" t="s" s="9">
        <v>2655</v>
      </c>
      <c r="F7522" t="s" s="10">
        <v>220</v>
      </c>
      <c r="G7522" s="14"/>
      <c r="H7522" t="s" s="10">
        <v>220</v>
      </c>
      <c r="I7522" s="14"/>
      <c r="J7522" t="s" s="11">
        <v>20</v>
      </c>
      <c r="K7522" s="15"/>
      <c r="L7522" t="s" s="16">
        <f>HYPERLINK("http://csr.bu.edu/ftp/asl/asllvd/demos/verify_start_end_handshape_annotations//test_auto_move//signs_mov_separ_signers/Brady_1866.mov","MOV")</f>
        <v>21</v>
      </c>
      <c r="M7522" t="s" s="10">
        <v>40</v>
      </c>
      <c r="N7522" s="17">
        <v>33</v>
      </c>
      <c r="O7522" s="18">
        <v>1851</v>
      </c>
      <c r="P7522" s="18">
        <v>1881</v>
      </c>
      <c r="Q7522" s="15"/>
      <c r="R7522" t="s" s="16">
        <f>HYPERLINK("http://secrets.rutgers.edu:8080/data/asl-ftp/asllvd/demos/verify_start_end_handshape_annotations//test_auto_move//signs_mov_separ_signers/Brady_1866.mov","MOV")</f>
        <v>21</v>
      </c>
    </row>
    <row r="7523" s="2" customFormat="1" ht="13.5" customHeight="1">
      <c r="B7523" t="s" s="8">
        <v>2656</v>
      </c>
      <c r="C7523" t="s" s="9">
        <v>14</v>
      </c>
      <c r="D7523" t="s" s="8">
        <v>14</v>
      </c>
      <c r="E7523" t="s" s="9">
        <v>14</v>
      </c>
      <c r="F7523" t="s" s="10">
        <v>14</v>
      </c>
      <c r="G7523" t="s" s="11">
        <v>14</v>
      </c>
      <c r="H7523" t="s" s="10">
        <v>14</v>
      </c>
      <c r="I7523" t="s" s="11">
        <v>14</v>
      </c>
      <c r="J7523" t="s" s="11">
        <v>14</v>
      </c>
      <c r="K7523" t="s" s="12">
        <v>14</v>
      </c>
      <c r="L7523" t="s" s="12">
        <v>14</v>
      </c>
      <c r="M7523" t="s" s="10">
        <v>14</v>
      </c>
      <c r="N7523" t="s" s="11">
        <v>14</v>
      </c>
      <c r="O7523" t="s" s="8">
        <v>14</v>
      </c>
      <c r="P7523" t="s" s="8">
        <v>14</v>
      </c>
      <c r="Q7523" t="s" s="12">
        <v>14</v>
      </c>
      <c r="R7523" t="s" s="12">
        <v>14</v>
      </c>
    </row>
    <row r="7524" s="2" customFormat="1" ht="13.5" customHeight="1">
      <c r="B7524" s="13"/>
      <c r="C7524" t="s" s="9">
        <v>16</v>
      </c>
      <c r="D7524" t="s" s="8">
        <v>2656</v>
      </c>
      <c r="E7524" t="s" s="9">
        <v>2657</v>
      </c>
      <c r="F7524" t="s" s="10">
        <v>136</v>
      </c>
      <c r="G7524" s="14"/>
      <c r="H7524" t="s" s="10">
        <v>136</v>
      </c>
      <c r="I7524" s="14"/>
      <c r="J7524" t="s" s="11">
        <v>20</v>
      </c>
      <c r="K7524" t="s" s="16">
        <f>HYPERLINK("http://csr.bu.edu/ftp/asl/asllvd/demos/verify_start_end_handshape_annotations//test_auto_move//signs_mov/1871.mov","MOV")</f>
        <v>21</v>
      </c>
      <c r="L7524" t="s" s="16">
        <f>HYPERLINK("http://csr.bu.edu/ftp/asl/asllvd/demos/verify_start_end_handshape_annotations//test_auto_move//signs_mov_separ_signers/Liz_1871.mov","MOV")</f>
        <v>21</v>
      </c>
      <c r="M7524" t="s" s="10">
        <v>88</v>
      </c>
      <c r="N7524" s="17">
        <v>40</v>
      </c>
      <c r="O7524" s="18">
        <v>705</v>
      </c>
      <c r="P7524" s="18">
        <v>767</v>
      </c>
      <c r="Q7524" t="s" s="16">
        <f>HYPERLINK("http://secrets.rutgers.edu:8080/data/asl-ftp/asllvd/demos/verify_start_end_handshape_annotations//test_auto_move//signs_mov/1871.mov","MOV")</f>
        <v>21</v>
      </c>
      <c r="R7524" t="s" s="16">
        <f>HYPERLINK("http://secrets.rutgers.edu:8080/data/asl-ftp/asllvd/demos/verify_start_end_handshape_annotations//test_auto_move//signs_mov_separ_signers/Liz_1871.mov","MOV")</f>
        <v>21</v>
      </c>
    </row>
    <row r="7525" s="2" customFormat="1" ht="13.5" customHeight="1">
      <c r="B7525" s="13"/>
      <c r="C7525" t="s" s="9">
        <v>30</v>
      </c>
      <c r="D7525" t="s" s="8">
        <v>2656</v>
      </c>
      <c r="E7525" t="s" s="9">
        <v>2657</v>
      </c>
      <c r="F7525" t="s" s="10">
        <v>136</v>
      </c>
      <c r="G7525" s="14"/>
      <c r="H7525" t="s" s="10">
        <v>136</v>
      </c>
      <c r="I7525" s="14"/>
      <c r="J7525" t="s" s="11">
        <v>20</v>
      </c>
      <c r="K7525" s="15"/>
      <c r="L7525" t="s" s="16">
        <f>HYPERLINK("http://csr.bu.edu/ftp/asl/asllvd/demos/verify_start_end_handshape_annotations//test_auto_move//signs_mov_separ_signers/Brady_1871.mov","MOV")</f>
        <v>21</v>
      </c>
      <c r="M7525" t="s" s="10">
        <v>60</v>
      </c>
      <c r="N7525" s="17">
        <v>11</v>
      </c>
      <c r="O7525" s="18">
        <v>3019</v>
      </c>
      <c r="P7525" s="18">
        <v>3065</v>
      </c>
      <c r="Q7525" s="15"/>
      <c r="R7525" t="s" s="16">
        <f>HYPERLINK("http://secrets.rutgers.edu:8080/data/asl-ftp/asllvd/demos/verify_start_end_handshape_annotations//test_auto_move//signs_mov_separ_signers/Brady_1871.mov","MOV")</f>
        <v>21</v>
      </c>
    </row>
    <row r="7526" s="2" customFormat="1" ht="13.5" customHeight="1">
      <c r="B7526" t="s" s="8">
        <v>2658</v>
      </c>
      <c r="C7526" t="s" s="9">
        <v>14</v>
      </c>
      <c r="D7526" t="s" s="8">
        <v>14</v>
      </c>
      <c r="E7526" t="s" s="9">
        <v>14</v>
      </c>
      <c r="F7526" t="s" s="10">
        <v>14</v>
      </c>
      <c r="G7526" t="s" s="11">
        <v>14</v>
      </c>
      <c r="H7526" t="s" s="10">
        <v>14</v>
      </c>
      <c r="I7526" t="s" s="11">
        <v>14</v>
      </c>
      <c r="J7526" t="s" s="11">
        <v>14</v>
      </c>
      <c r="K7526" t="s" s="12">
        <v>14</v>
      </c>
      <c r="L7526" t="s" s="12">
        <v>14</v>
      </c>
      <c r="M7526" t="s" s="10">
        <v>14</v>
      </c>
      <c r="N7526" t="s" s="11">
        <v>14</v>
      </c>
      <c r="O7526" t="s" s="8">
        <v>14</v>
      </c>
      <c r="P7526" t="s" s="8">
        <v>14</v>
      </c>
      <c r="Q7526" t="s" s="12">
        <v>14</v>
      </c>
      <c r="R7526" t="s" s="12">
        <v>14</v>
      </c>
    </row>
    <row r="7527" s="2" customFormat="1" ht="13.5" customHeight="1">
      <c r="B7527" s="13"/>
      <c r="C7527" t="s" s="9">
        <v>16</v>
      </c>
      <c r="D7527" t="s" s="8">
        <v>2658</v>
      </c>
      <c r="E7527" t="s" s="9">
        <v>2659</v>
      </c>
      <c r="F7527" s="19">
        <v>25</v>
      </c>
      <c r="G7527" s="14"/>
      <c r="H7527" s="19">
        <v>25</v>
      </c>
      <c r="I7527" s="14"/>
      <c r="J7527" t="s" s="11">
        <v>20</v>
      </c>
      <c r="K7527" t="s" s="16">
        <f>HYPERLINK("http://csr.bu.edu/ftp/asl/asllvd/demos/verify_start_end_handshape_annotations//test_auto_move//signs_mov/1878.mov","MOV")</f>
        <v>21</v>
      </c>
      <c r="L7527" t="s" s="16">
        <f>HYPERLINK("http://csr.bu.edu/ftp/asl/asllvd/demos/verify_start_end_handshape_annotations//test_auto_move//signs_mov_separ_signers/Liz_1878.mov","MOV")</f>
        <v>21</v>
      </c>
      <c r="M7527" t="s" s="10">
        <v>88</v>
      </c>
      <c r="N7527" s="17">
        <v>40</v>
      </c>
      <c r="O7527" s="18">
        <v>3275</v>
      </c>
      <c r="P7527" s="18">
        <v>3365</v>
      </c>
      <c r="Q7527" t="s" s="16">
        <f>HYPERLINK("http://secrets.rutgers.edu:8080/data/asl-ftp/asllvd/demos/verify_start_end_handshape_annotations//test_auto_move//signs_mov/1878.mov","MOV")</f>
        <v>21</v>
      </c>
      <c r="R7527" t="s" s="16">
        <f>HYPERLINK("http://secrets.rutgers.edu:8080/data/asl-ftp/asllvd/demos/verify_start_end_handshape_annotations//test_auto_move//signs_mov_separ_signers/Liz_1878.mov","MOV")</f>
        <v>21</v>
      </c>
    </row>
    <row r="7528" s="2" customFormat="1" ht="13.5" customHeight="1">
      <c r="B7528" s="13"/>
      <c r="C7528" t="s" s="9">
        <v>30</v>
      </c>
      <c r="D7528" t="s" s="8">
        <v>2658</v>
      </c>
      <c r="E7528" t="s" s="9">
        <v>2659</v>
      </c>
      <c r="F7528" s="19">
        <v>25</v>
      </c>
      <c r="G7528" s="14"/>
      <c r="H7528" s="19">
        <v>25</v>
      </c>
      <c r="I7528" s="14"/>
      <c r="J7528" t="s" s="11">
        <v>20</v>
      </c>
      <c r="K7528" s="15"/>
      <c r="L7528" t="s" s="16">
        <f>HYPERLINK("http://csr.bu.edu/ftp/asl/asllvd/demos/verify_start_end_handshape_annotations//test_auto_move//signs_mov_separ_signers/Brady_1878.mov","MOV")</f>
        <v>21</v>
      </c>
      <c r="M7528" t="s" s="10">
        <v>40</v>
      </c>
      <c r="N7528" s="17">
        <v>35</v>
      </c>
      <c r="O7528" s="18">
        <v>203</v>
      </c>
      <c r="P7528" s="18">
        <v>244</v>
      </c>
      <c r="Q7528" s="15"/>
      <c r="R7528" t="s" s="16">
        <f>HYPERLINK("http://secrets.rutgers.edu:8080/data/asl-ftp/asllvd/demos/verify_start_end_handshape_annotations//test_auto_move//signs_mov_separ_signers/Brady_1878.mov","MOV")</f>
        <v>21</v>
      </c>
    </row>
    <row r="7529" s="2" customFormat="1" ht="13.5" customHeight="1">
      <c r="B7529" t="s" s="8">
        <v>2660</v>
      </c>
      <c r="C7529" t="s" s="9">
        <v>14</v>
      </c>
      <c r="D7529" t="s" s="8">
        <v>14</v>
      </c>
      <c r="E7529" t="s" s="9">
        <v>14</v>
      </c>
      <c r="F7529" t="s" s="10">
        <v>14</v>
      </c>
      <c r="G7529" t="s" s="11">
        <v>14</v>
      </c>
      <c r="H7529" t="s" s="10">
        <v>14</v>
      </c>
      <c r="I7529" t="s" s="11">
        <v>14</v>
      </c>
      <c r="J7529" t="s" s="11">
        <v>14</v>
      </c>
      <c r="K7529" t="s" s="12">
        <v>14</v>
      </c>
      <c r="L7529" t="s" s="12">
        <v>14</v>
      </c>
      <c r="M7529" t="s" s="10">
        <v>14</v>
      </c>
      <c r="N7529" t="s" s="11">
        <v>14</v>
      </c>
      <c r="O7529" t="s" s="8">
        <v>14</v>
      </c>
      <c r="P7529" t="s" s="8">
        <v>14</v>
      </c>
      <c r="Q7529" t="s" s="12">
        <v>14</v>
      </c>
      <c r="R7529" t="s" s="12">
        <v>14</v>
      </c>
    </row>
    <row r="7530" s="2" customFormat="1" ht="13.5" customHeight="1">
      <c r="B7530" s="13"/>
      <c r="C7530" t="s" s="9">
        <v>16</v>
      </c>
      <c r="D7530" t="s" s="8">
        <v>2660</v>
      </c>
      <c r="E7530" t="s" s="9">
        <v>2660</v>
      </c>
      <c r="F7530" t="s" s="10">
        <v>80</v>
      </c>
      <c r="G7530" s="14"/>
      <c r="H7530" t="s" s="10">
        <v>80</v>
      </c>
      <c r="I7530" s="14"/>
      <c r="J7530" t="s" s="11">
        <v>20</v>
      </c>
      <c r="K7530" t="s" s="16">
        <f>HYPERLINK("http://csr.bu.edu/ftp/asl/asllvd/demos/verify_start_end_handshape_annotations//test_auto_move//signs_mov/1881.mov","MOV")</f>
        <v>21</v>
      </c>
      <c r="L7530" t="s" s="16">
        <f>HYPERLINK("http://csr.bu.edu/ftp/asl/asllvd/demos/verify_start_end_handshape_annotations//test_auto_move//signs_mov_separ_signers/Liz_1881.mov","MOV")</f>
        <v>21</v>
      </c>
      <c r="M7530" t="s" s="10">
        <v>88</v>
      </c>
      <c r="N7530" s="17">
        <v>41</v>
      </c>
      <c r="O7530" s="18">
        <v>985</v>
      </c>
      <c r="P7530" s="18">
        <v>1038</v>
      </c>
      <c r="Q7530" t="s" s="16">
        <f>HYPERLINK("http://secrets.rutgers.edu:8080/data/asl-ftp/asllvd/demos/verify_start_end_handshape_annotations//test_auto_move//signs_mov/1881.mov","MOV")</f>
        <v>21</v>
      </c>
      <c r="R7530" t="s" s="16">
        <f>HYPERLINK("http://secrets.rutgers.edu:8080/data/asl-ftp/asllvd/demos/verify_start_end_handshape_annotations//test_auto_move//signs_mov_separ_signers/Liz_1881.mov","MOV")</f>
        <v>21</v>
      </c>
    </row>
    <row r="7531" s="2" customFormat="1" ht="13.5" customHeight="1">
      <c r="B7531" s="13"/>
      <c r="C7531" t="s" s="9">
        <v>30</v>
      </c>
      <c r="D7531" t="s" s="8">
        <v>2660</v>
      </c>
      <c r="E7531" t="s" s="9">
        <v>2661</v>
      </c>
      <c r="F7531" t="s" s="10">
        <v>80</v>
      </c>
      <c r="G7531" s="14"/>
      <c r="H7531" t="s" s="10">
        <v>80</v>
      </c>
      <c r="I7531" s="14"/>
      <c r="J7531" t="s" s="11">
        <v>20</v>
      </c>
      <c r="K7531" s="15"/>
      <c r="L7531" t="s" s="16">
        <f>HYPERLINK("http://csr.bu.edu/ftp/asl/asllvd/demos/verify_start_end_handshape_annotations//test_auto_move//signs_mov_separ_signers/Brady_1881.mov","MOV")</f>
        <v>21</v>
      </c>
      <c r="M7531" t="s" s="10">
        <v>40</v>
      </c>
      <c r="N7531" s="17">
        <v>35</v>
      </c>
      <c r="O7531" s="18">
        <v>1549</v>
      </c>
      <c r="P7531" s="18">
        <v>1584</v>
      </c>
      <c r="Q7531" s="15"/>
      <c r="R7531" t="s" s="16">
        <f>HYPERLINK("http://secrets.rutgers.edu:8080/data/asl-ftp/asllvd/demos/verify_start_end_handshape_annotations//test_auto_move//signs_mov_separ_signers/Brady_1881.mov","MOV")</f>
        <v>21</v>
      </c>
    </row>
    <row r="7532" s="2" customFormat="1" ht="13.5" customHeight="1">
      <c r="B7532" t="s" s="8">
        <v>2660</v>
      </c>
      <c r="C7532" t="s" s="9">
        <v>14</v>
      </c>
      <c r="D7532" t="s" s="8">
        <v>14</v>
      </c>
      <c r="E7532" t="s" s="9">
        <v>14</v>
      </c>
      <c r="F7532" t="s" s="10">
        <v>14</v>
      </c>
      <c r="G7532" t="s" s="11">
        <v>14</v>
      </c>
      <c r="H7532" t="s" s="10">
        <v>14</v>
      </c>
      <c r="I7532" t="s" s="11">
        <v>14</v>
      </c>
      <c r="J7532" t="s" s="11">
        <v>14</v>
      </c>
      <c r="K7532" t="s" s="12">
        <v>14</v>
      </c>
      <c r="L7532" t="s" s="12">
        <v>14</v>
      </c>
      <c r="M7532" t="s" s="10">
        <v>14</v>
      </c>
      <c r="N7532" t="s" s="11">
        <v>14</v>
      </c>
      <c r="O7532" t="s" s="8">
        <v>14</v>
      </c>
      <c r="P7532" t="s" s="8">
        <v>14</v>
      </c>
      <c r="Q7532" t="s" s="12">
        <v>14</v>
      </c>
      <c r="R7532" t="s" s="12">
        <v>14</v>
      </c>
    </row>
    <row r="7533" s="2" customFormat="1" ht="13.5" customHeight="1">
      <c r="B7533" s="13"/>
      <c r="C7533" t="s" s="9">
        <v>16</v>
      </c>
      <c r="D7533" t="s" s="8">
        <v>2662</v>
      </c>
      <c r="E7533" t="s" s="9">
        <v>2663</v>
      </c>
      <c r="F7533" t="s" s="10">
        <v>80</v>
      </c>
      <c r="G7533" s="14"/>
      <c r="H7533" t="s" s="10">
        <v>80</v>
      </c>
      <c r="I7533" s="14"/>
      <c r="J7533" t="s" s="11">
        <v>20</v>
      </c>
      <c r="K7533" t="s" s="16">
        <f>HYPERLINK("http://csr.bu.edu/ftp/asl/asllvd/demos/verify_start_end_handshape_annotations//test_auto_move//signs_mov/3716.mov","MOV")</f>
        <v>21</v>
      </c>
      <c r="L7533" t="s" s="16">
        <f>HYPERLINK("http://csr.bu.edu/ftp/asl/asllvd/demos/verify_start_end_handshape_annotations//test_auto_move//signs_mov_separ_signers/Liz_3716.mov","MOV")</f>
        <v>21</v>
      </c>
      <c r="M7533" t="s" s="10">
        <v>88</v>
      </c>
      <c r="N7533" s="17">
        <v>41</v>
      </c>
      <c r="O7533" s="18">
        <v>710</v>
      </c>
      <c r="P7533" s="18">
        <v>762</v>
      </c>
      <c r="Q7533" t="s" s="16">
        <f>HYPERLINK("http://secrets.rutgers.edu:8080/data/asl-ftp/asllvd/demos/verify_start_end_handshape_annotations//test_auto_move//signs_mov/3716.mov","MOV")</f>
        <v>21</v>
      </c>
      <c r="R7533" t="s" s="16">
        <f>HYPERLINK("http://secrets.rutgers.edu:8080/data/asl-ftp/asllvd/demos/verify_start_end_handshape_annotations//test_auto_move//signs_mov_separ_signers/Liz_3716.mov","MOV")</f>
        <v>21</v>
      </c>
    </row>
    <row r="7534" s="2" customFormat="1" ht="13.5" customHeight="1">
      <c r="B7534" t="s" s="8">
        <v>2660</v>
      </c>
      <c r="C7534" t="s" s="9">
        <v>14</v>
      </c>
      <c r="D7534" t="s" s="8">
        <v>14</v>
      </c>
      <c r="E7534" t="s" s="9">
        <v>14</v>
      </c>
      <c r="F7534" t="s" s="10">
        <v>14</v>
      </c>
      <c r="G7534" t="s" s="11">
        <v>14</v>
      </c>
      <c r="H7534" t="s" s="10">
        <v>14</v>
      </c>
      <c r="I7534" t="s" s="11">
        <v>14</v>
      </c>
      <c r="J7534" t="s" s="11">
        <v>14</v>
      </c>
      <c r="K7534" t="s" s="12">
        <v>14</v>
      </c>
      <c r="L7534" t="s" s="12">
        <v>14</v>
      </c>
      <c r="M7534" t="s" s="10">
        <v>14</v>
      </c>
      <c r="N7534" t="s" s="11">
        <v>14</v>
      </c>
      <c r="O7534" t="s" s="8">
        <v>14</v>
      </c>
      <c r="P7534" t="s" s="8">
        <v>14</v>
      </c>
      <c r="Q7534" t="s" s="12">
        <v>14</v>
      </c>
      <c r="R7534" t="s" s="12">
        <v>14</v>
      </c>
    </row>
    <row r="7535" s="2" customFormat="1" ht="13.5" customHeight="1">
      <c r="B7535" s="13"/>
      <c r="C7535" t="s" s="9">
        <v>16</v>
      </c>
      <c r="D7535" t="s" s="8">
        <v>2664</v>
      </c>
      <c r="E7535" t="s" s="9">
        <v>2664</v>
      </c>
      <c r="F7535" t="s" s="10">
        <v>230</v>
      </c>
      <c r="G7535" s="14"/>
      <c r="H7535" t="s" s="10">
        <v>230</v>
      </c>
      <c r="I7535" s="14"/>
      <c r="J7535" t="s" s="11">
        <v>20</v>
      </c>
      <c r="K7535" t="s" s="16">
        <f>HYPERLINK("http://csr.bu.edu/ftp/asl/asllvd/demos/verify_start_end_handshape_annotations//test_auto_move//signs_mov/3911.mov","MOV")</f>
        <v>21</v>
      </c>
      <c r="L7535" t="s" s="16">
        <f>HYPERLINK("http://csr.bu.edu/ftp/asl/asllvd/demos/verify_start_end_handshape_annotations//test_auto_move//signs_mov_separ_signers/Liz_3911.mov","MOV")</f>
        <v>21</v>
      </c>
      <c r="M7535" t="s" s="10">
        <v>77</v>
      </c>
      <c r="N7535" s="17">
        <v>7</v>
      </c>
      <c r="O7535" s="18">
        <v>2617</v>
      </c>
      <c r="P7535" s="18">
        <v>2685</v>
      </c>
      <c r="Q7535" t="s" s="16">
        <f>HYPERLINK("http://secrets.rutgers.edu:8080/data/asl-ftp/asllvd/demos/verify_start_end_handshape_annotations//test_auto_move//signs_mov/3911.mov","MOV")</f>
        <v>21</v>
      </c>
      <c r="R7535" t="s" s="16">
        <f>HYPERLINK("http://secrets.rutgers.edu:8080/data/asl-ftp/asllvd/demos/verify_start_end_handshape_annotations//test_auto_move//signs_mov_separ_signers/Liz_3911.mov","MOV")</f>
        <v>21</v>
      </c>
    </row>
    <row r="7536" s="2" customFormat="1" ht="13.5" customHeight="1">
      <c r="B7536" t="s" s="8">
        <v>52</v>
      </c>
      <c r="C7536" t="s" s="9">
        <v>53</v>
      </c>
      <c r="D7536" t="s" s="8">
        <v>53</v>
      </c>
      <c r="E7536" t="s" s="9">
        <v>53</v>
      </c>
      <c r="F7536" t="s" s="10">
        <v>53</v>
      </c>
      <c r="G7536" t="s" s="11">
        <v>53</v>
      </c>
      <c r="H7536" t="s" s="10">
        <v>53</v>
      </c>
      <c r="I7536" t="s" s="11">
        <v>53</v>
      </c>
      <c r="J7536" t="s" s="11">
        <v>53</v>
      </c>
      <c r="K7536" t="s" s="12">
        <v>53</v>
      </c>
      <c r="L7536" t="s" s="12">
        <v>53</v>
      </c>
      <c r="M7536" t="s" s="10">
        <v>53</v>
      </c>
      <c r="N7536" t="s" s="11">
        <v>53</v>
      </c>
      <c r="O7536" t="s" s="8">
        <v>53</v>
      </c>
      <c r="P7536" t="s" s="8">
        <v>53</v>
      </c>
      <c r="Q7536" t="s" s="12">
        <v>53</v>
      </c>
      <c r="R7536" t="s" s="12">
        <v>53</v>
      </c>
    </row>
    <row r="7537" s="2" customFormat="1" ht="13.5" customHeight="1">
      <c r="B7537" s="13"/>
      <c r="C7537" t="s" s="9">
        <v>30</v>
      </c>
      <c r="D7537" t="s" s="8">
        <v>2664</v>
      </c>
      <c r="E7537" t="s" s="9">
        <v>2665</v>
      </c>
      <c r="F7537" s="19">
        <v>3</v>
      </c>
      <c r="G7537" s="14"/>
      <c r="H7537" t="s" s="10">
        <v>63</v>
      </c>
      <c r="I7537" s="14"/>
      <c r="J7537" t="s" s="11">
        <v>20</v>
      </c>
      <c r="K7537" t="s" s="16">
        <f>HYPERLINK("http://csr.bu.edu/ftp/asl/asllvd/demos/verify_start_end_handshape_annotations//test_auto_move//signs_mov/5666.mov","MOV")</f>
        <v>21</v>
      </c>
      <c r="L7537" t="s" s="16">
        <f>HYPERLINK("http://csr.bu.edu/ftp/asl/asllvd/demos/verify_start_end_handshape_annotations//test_auto_move//signs_mov_separ_signers/Brady_5666.mov","MOV")</f>
        <v>21</v>
      </c>
      <c r="M7537" t="s" s="10">
        <v>40</v>
      </c>
      <c r="N7537" s="17">
        <v>34</v>
      </c>
      <c r="O7537" s="18">
        <v>3131</v>
      </c>
      <c r="P7537" s="18">
        <v>3154</v>
      </c>
      <c r="Q7537" t="s" s="16">
        <f>HYPERLINK("http://secrets.rutgers.edu:8080/data/asl-ftp/asllvd/demos/verify_start_end_handshape_annotations//test_auto_move//signs_mov/5666.mov","MOV")</f>
        <v>21</v>
      </c>
      <c r="R7537" t="s" s="16">
        <f>HYPERLINK("http://secrets.rutgers.edu:8080/data/asl-ftp/asllvd/demos/verify_start_end_handshape_annotations//test_auto_move//signs_mov_separ_signers/Brady_5666.mov","MOV")</f>
        <v>21</v>
      </c>
    </row>
    <row r="7538" s="2" customFormat="1" ht="13.5" customHeight="1">
      <c r="B7538" t="s" s="8">
        <v>2666</v>
      </c>
      <c r="C7538" t="s" s="9">
        <v>14</v>
      </c>
      <c r="D7538" t="s" s="8">
        <v>14</v>
      </c>
      <c r="E7538" t="s" s="9">
        <v>14</v>
      </c>
      <c r="F7538" t="s" s="10">
        <v>14</v>
      </c>
      <c r="G7538" t="s" s="11">
        <v>14</v>
      </c>
      <c r="H7538" t="s" s="10">
        <v>14</v>
      </c>
      <c r="I7538" t="s" s="11">
        <v>14</v>
      </c>
      <c r="J7538" t="s" s="11">
        <v>14</v>
      </c>
      <c r="K7538" t="s" s="12">
        <v>14</v>
      </c>
      <c r="L7538" t="s" s="12">
        <v>14</v>
      </c>
      <c r="M7538" t="s" s="10">
        <v>14</v>
      </c>
      <c r="N7538" t="s" s="11">
        <v>14</v>
      </c>
      <c r="O7538" t="s" s="8">
        <v>14</v>
      </c>
      <c r="P7538" t="s" s="8">
        <v>14</v>
      </c>
      <c r="Q7538" t="s" s="12">
        <v>14</v>
      </c>
      <c r="R7538" t="s" s="12">
        <v>14</v>
      </c>
    </row>
    <row r="7539" s="2" customFormat="1" ht="13.5" customHeight="1">
      <c r="B7539" s="13"/>
      <c r="C7539" t="s" s="9">
        <v>16</v>
      </c>
      <c r="D7539" t="s" s="8">
        <v>2666</v>
      </c>
      <c r="E7539" t="s" s="9">
        <v>2666</v>
      </c>
      <c r="F7539" t="s" s="10">
        <v>220</v>
      </c>
      <c r="G7539" s="14"/>
      <c r="H7539" t="s" s="10">
        <v>63</v>
      </c>
      <c r="I7539" s="14"/>
      <c r="J7539" t="s" s="11">
        <v>20</v>
      </c>
      <c r="K7539" t="s" s="16">
        <f>HYPERLINK("http://csr.bu.edu/ftp/asl/asllvd/demos/verify_start_end_handshape_annotations//test_auto_move//signs_mov/15062.mov","MOV")</f>
        <v>21</v>
      </c>
      <c r="L7539" t="s" s="16">
        <f>HYPERLINK("http://csr.bu.edu/ftp/asl/asllvd/demos/verify_start_end_handshape_annotations//test_auto_move//signs_mov_separ_signers/Liz_15062.mov","MOV")</f>
        <v>21</v>
      </c>
      <c r="M7539" t="s" s="10">
        <v>88</v>
      </c>
      <c r="N7539" s="17">
        <v>40</v>
      </c>
      <c r="O7539" s="18">
        <v>3820</v>
      </c>
      <c r="P7539" s="18">
        <v>3885</v>
      </c>
      <c r="Q7539" t="s" s="16">
        <f>HYPERLINK("http://secrets.rutgers.edu:8080/data/asl-ftp/asllvd/demos/verify_start_end_handshape_annotations//test_auto_move//signs_mov/15062.mov","MOV")</f>
        <v>21</v>
      </c>
      <c r="R7539" t="s" s="16">
        <f>HYPERLINK("http://secrets.rutgers.edu:8080/data/asl-ftp/asllvd/demos/verify_start_end_handshape_annotations//test_auto_move//signs_mov_separ_signers/Liz_15062.mov","MOV")</f>
        <v>21</v>
      </c>
    </row>
    <row r="7540" s="2" customFormat="1" ht="13.5" customHeight="1">
      <c r="B7540" t="s" s="8">
        <v>2667</v>
      </c>
      <c r="C7540" t="s" s="9">
        <v>14</v>
      </c>
      <c r="D7540" t="s" s="8">
        <v>14</v>
      </c>
      <c r="E7540" t="s" s="9">
        <v>14</v>
      </c>
      <c r="F7540" t="s" s="10">
        <v>14</v>
      </c>
      <c r="G7540" t="s" s="11">
        <v>14</v>
      </c>
      <c r="H7540" t="s" s="10">
        <v>14</v>
      </c>
      <c r="I7540" t="s" s="11">
        <v>14</v>
      </c>
      <c r="J7540" t="s" s="11">
        <v>14</v>
      </c>
      <c r="K7540" t="s" s="12">
        <v>14</v>
      </c>
      <c r="L7540" t="s" s="12">
        <v>14</v>
      </c>
      <c r="M7540" t="s" s="10">
        <v>14</v>
      </c>
      <c r="N7540" t="s" s="11">
        <v>14</v>
      </c>
      <c r="O7540" t="s" s="8">
        <v>14</v>
      </c>
      <c r="P7540" t="s" s="8">
        <v>14</v>
      </c>
      <c r="Q7540" t="s" s="12">
        <v>14</v>
      </c>
      <c r="R7540" t="s" s="12">
        <v>14</v>
      </c>
    </row>
    <row r="7541" s="2" customFormat="1" ht="13.5" customHeight="1">
      <c r="B7541" s="13"/>
      <c r="C7541" t="s" s="9">
        <v>16</v>
      </c>
      <c r="D7541" t="s" s="8">
        <v>2667</v>
      </c>
      <c r="E7541" t="s" s="9">
        <v>2667</v>
      </c>
      <c r="F7541" t="s" s="10">
        <v>73</v>
      </c>
      <c r="G7541" t="s" s="11">
        <v>73</v>
      </c>
      <c r="H7541" t="s" s="10">
        <v>73</v>
      </c>
      <c r="I7541" t="s" s="11">
        <v>73</v>
      </c>
      <c r="J7541" t="s" s="11">
        <v>20</v>
      </c>
      <c r="K7541" s="15"/>
      <c r="L7541" t="s" s="16">
        <f>HYPERLINK("http://csr.bu.edu/ftp/asl/asllvd/demos/verify_start_end_handshape_annotations//test_auto_move//signs_mov_separ_signers/Liz_1885.mov","MOV")</f>
        <v>21</v>
      </c>
      <c r="M7541" t="s" s="10">
        <v>88</v>
      </c>
      <c r="N7541" s="17">
        <v>41</v>
      </c>
      <c r="O7541" s="18">
        <v>1925</v>
      </c>
      <c r="P7541" s="18">
        <v>1970</v>
      </c>
      <c r="Q7541" s="15"/>
      <c r="R7541" t="s" s="16">
        <f>HYPERLINK("http://secrets.rutgers.edu:8080/data/asl-ftp/asllvd/demos/verify_start_end_handshape_annotations//test_auto_move//signs_mov_separ_signers/Liz_1885.mov","MOV")</f>
        <v>21</v>
      </c>
    </row>
    <row r="7542" s="2" customFormat="1" ht="13.5" customHeight="1">
      <c r="B7542" s="13"/>
      <c r="C7542" t="s" s="9">
        <v>30</v>
      </c>
      <c r="D7542" t="s" s="8">
        <v>2667</v>
      </c>
      <c r="E7542" t="s" s="9">
        <v>2667</v>
      </c>
      <c r="F7542" t="s" s="10">
        <v>73</v>
      </c>
      <c r="G7542" t="s" s="11">
        <v>73</v>
      </c>
      <c r="H7542" t="s" s="10">
        <v>73</v>
      </c>
      <c r="I7542" t="s" s="11">
        <v>73</v>
      </c>
      <c r="J7542" t="s" s="11">
        <v>20</v>
      </c>
      <c r="K7542" t="s" s="16">
        <f>HYPERLINK("http://csr.bu.edu/ftp/asl/asllvd/demos/verify_start_end_handshape_annotations//test_auto_move//signs_mov/1885.mov","MOV")</f>
        <v>21</v>
      </c>
      <c r="L7542" t="s" s="16">
        <f>HYPERLINK("http://csr.bu.edu/ftp/asl/asllvd/demos/verify_start_end_handshape_annotations//test_auto_move//signs_mov_separ_signers/Brady_1885.mov","MOV")</f>
        <v>21</v>
      </c>
      <c r="M7542" t="s" s="10">
        <v>40</v>
      </c>
      <c r="N7542" s="17">
        <v>35</v>
      </c>
      <c r="O7542" s="18">
        <v>2614</v>
      </c>
      <c r="P7542" s="18">
        <v>2643</v>
      </c>
      <c r="Q7542" t="s" s="16">
        <f>HYPERLINK("http://secrets.rutgers.edu:8080/data/asl-ftp/asllvd/demos/verify_start_end_handshape_annotations//test_auto_move//signs_mov/1885.mov","MOV")</f>
        <v>21</v>
      </c>
      <c r="R7542" t="s" s="16">
        <f>HYPERLINK("http://secrets.rutgers.edu:8080/data/asl-ftp/asllvd/demos/verify_start_end_handshape_annotations//test_auto_move//signs_mov_separ_signers/Brady_1885.mov","MOV")</f>
        <v>21</v>
      </c>
    </row>
    <row r="7543" s="2" customFormat="1" ht="13.5" customHeight="1">
      <c r="B7543" s="13"/>
      <c r="C7543" t="s" s="9">
        <v>41</v>
      </c>
      <c r="D7543" t="s" s="8">
        <v>2667</v>
      </c>
      <c r="E7543" t="s" s="9">
        <v>2667</v>
      </c>
      <c r="F7543" t="s" s="10">
        <v>73</v>
      </c>
      <c r="G7543" t="s" s="11">
        <v>73</v>
      </c>
      <c r="H7543" t="s" s="10">
        <v>73</v>
      </c>
      <c r="I7543" t="s" s="11">
        <v>73</v>
      </c>
      <c r="J7543" t="s" s="11">
        <v>20</v>
      </c>
      <c r="K7543" s="15"/>
      <c r="L7543" t="s" s="16">
        <f>HYPERLINK("http://csr.bu.edu/ftp/asl/asllvd/demos/verify_start_end_handshape_annotations//test_auto_move//signs_mov_separ_signers/Lana_1885.mov","MOV")</f>
        <v>21</v>
      </c>
      <c r="M7543" t="s" s="10">
        <v>42</v>
      </c>
      <c r="N7543" s="17">
        <v>21</v>
      </c>
      <c r="O7543" s="18">
        <v>495</v>
      </c>
      <c r="P7543" s="18">
        <v>519</v>
      </c>
      <c r="Q7543" s="15"/>
      <c r="R7543" t="s" s="16">
        <f>HYPERLINK("http://secrets.rutgers.edu:8080/data/asl-ftp/asllvd/demos/verify_start_end_handshape_annotations//test_auto_move//signs_mov_separ_signers/Lana_1885.mov","MOV")</f>
        <v>21</v>
      </c>
    </row>
    <row r="7544" s="2" customFormat="1" ht="13.5" customHeight="1">
      <c r="B7544" s="13"/>
      <c r="C7544" t="s" s="9">
        <v>43</v>
      </c>
      <c r="D7544" t="s" s="8">
        <v>2667</v>
      </c>
      <c r="E7544" t="s" s="9">
        <v>2667</v>
      </c>
      <c r="F7544" t="s" s="10">
        <v>73</v>
      </c>
      <c r="G7544" t="s" s="11">
        <v>73</v>
      </c>
      <c r="H7544" t="s" s="10">
        <v>73</v>
      </c>
      <c r="I7544" t="s" s="11">
        <v>73</v>
      </c>
      <c r="J7544" t="s" s="11">
        <v>20</v>
      </c>
      <c r="K7544" s="15"/>
      <c r="L7544" t="s" s="16">
        <f>HYPERLINK("http://csr.bu.edu/ftp/asl/asllvd/demos/verify_start_end_handshape_annotations//test_auto_move//signs_mov_separ_signers/Dana_1885.mov","MOV")</f>
        <v>21</v>
      </c>
      <c r="M7544" t="s" s="10">
        <v>44</v>
      </c>
      <c r="N7544" s="17">
        <v>23</v>
      </c>
      <c r="O7544" s="18">
        <v>406</v>
      </c>
      <c r="P7544" s="18">
        <v>458</v>
      </c>
      <c r="Q7544" s="15"/>
      <c r="R7544" t="s" s="16">
        <f>HYPERLINK("http://secrets.rutgers.edu:8080/data/asl-ftp/asllvd/demos/verify_start_end_handshape_annotations//test_auto_move//signs_mov_separ_signers/Dana_1885.mov","MOV")</f>
        <v>21</v>
      </c>
    </row>
    <row r="7545" s="2" customFormat="1" ht="13.5" customHeight="1">
      <c r="B7545" t="s" s="8">
        <v>52</v>
      </c>
      <c r="C7545" t="s" s="9">
        <v>53</v>
      </c>
      <c r="D7545" t="s" s="8">
        <v>53</v>
      </c>
      <c r="E7545" t="s" s="9">
        <v>53</v>
      </c>
      <c r="F7545" t="s" s="10">
        <v>53</v>
      </c>
      <c r="G7545" t="s" s="11">
        <v>53</v>
      </c>
      <c r="H7545" t="s" s="10">
        <v>53</v>
      </c>
      <c r="I7545" t="s" s="11">
        <v>53</v>
      </c>
      <c r="J7545" t="s" s="11">
        <v>53</v>
      </c>
      <c r="K7545" t="s" s="12">
        <v>53</v>
      </c>
      <c r="L7545" t="s" s="12">
        <v>53</v>
      </c>
      <c r="M7545" t="s" s="10">
        <v>53</v>
      </c>
      <c r="N7545" t="s" s="11">
        <v>53</v>
      </c>
      <c r="O7545" t="s" s="8">
        <v>53</v>
      </c>
      <c r="P7545" t="s" s="8">
        <v>53</v>
      </c>
      <c r="Q7545" t="s" s="12">
        <v>53</v>
      </c>
      <c r="R7545" t="s" s="12">
        <v>53</v>
      </c>
    </row>
    <row r="7546" s="2" customFormat="1" ht="13.5" customHeight="1">
      <c r="B7546" s="13"/>
      <c r="C7546" t="s" s="9">
        <v>16</v>
      </c>
      <c r="D7546" t="s" s="8">
        <v>2667</v>
      </c>
      <c r="E7546" t="s" s="9">
        <v>2668</v>
      </c>
      <c r="F7546" t="s" s="10">
        <v>73</v>
      </c>
      <c r="G7546" t="s" s="11">
        <v>73</v>
      </c>
      <c r="H7546" t="s" s="10">
        <v>73</v>
      </c>
      <c r="I7546" t="s" s="11">
        <v>73</v>
      </c>
      <c r="J7546" t="s" s="11">
        <v>20</v>
      </c>
      <c r="K7546" t="s" s="16">
        <f>HYPERLINK("http://csr.bu.edu/ftp/asl/asllvd/demos/verify_start_end_handshape_annotations//test_auto_move//signs_mov/15250.mov","MOV")</f>
        <v>21</v>
      </c>
      <c r="L7546" t="s" s="16">
        <f>HYPERLINK("http://csr.bu.edu/ftp/asl/asllvd/demos/verify_start_end_handshape_annotations//test_auto_move//signs_mov_separ_signers/Liz_15250.mov","MOV")</f>
        <v>21</v>
      </c>
      <c r="M7546" t="s" s="10">
        <v>88</v>
      </c>
      <c r="N7546" s="17">
        <v>47</v>
      </c>
      <c r="O7546" s="18">
        <v>522</v>
      </c>
      <c r="P7546" s="18">
        <v>565</v>
      </c>
      <c r="Q7546" t="s" s="16">
        <f>HYPERLINK("http://secrets.rutgers.edu:8080/data/asl-ftp/asllvd/demos/verify_start_end_handshape_annotations//test_auto_move//signs_mov/15250.mov","MOV")</f>
        <v>21</v>
      </c>
      <c r="R7546" t="s" s="16">
        <f>HYPERLINK("http://secrets.rutgers.edu:8080/data/asl-ftp/asllvd/demos/verify_start_end_handshape_annotations//test_auto_move//signs_mov_separ_signers/Liz_15250.mov","MOV")</f>
        <v>21</v>
      </c>
    </row>
    <row r="7547" s="2" customFormat="1" ht="13.5" customHeight="1">
      <c r="B7547" t="s" s="8">
        <v>2669</v>
      </c>
      <c r="C7547" t="s" s="9">
        <v>14</v>
      </c>
      <c r="D7547" t="s" s="8">
        <v>14</v>
      </c>
      <c r="E7547" t="s" s="9">
        <v>14</v>
      </c>
      <c r="F7547" t="s" s="10">
        <v>14</v>
      </c>
      <c r="G7547" t="s" s="11">
        <v>14</v>
      </c>
      <c r="H7547" t="s" s="10">
        <v>14</v>
      </c>
      <c r="I7547" t="s" s="11">
        <v>14</v>
      </c>
      <c r="J7547" t="s" s="11">
        <v>14</v>
      </c>
      <c r="K7547" t="s" s="12">
        <v>14</v>
      </c>
      <c r="L7547" t="s" s="12">
        <v>14</v>
      </c>
      <c r="M7547" t="s" s="10">
        <v>14</v>
      </c>
      <c r="N7547" t="s" s="11">
        <v>14</v>
      </c>
      <c r="O7547" t="s" s="8">
        <v>14</v>
      </c>
      <c r="P7547" t="s" s="8">
        <v>14</v>
      </c>
      <c r="Q7547" t="s" s="12">
        <v>14</v>
      </c>
      <c r="R7547" t="s" s="12">
        <v>14</v>
      </c>
    </row>
    <row r="7548" s="2" customFormat="1" ht="13.5" customHeight="1">
      <c r="B7548" s="13"/>
      <c r="C7548" t="s" s="9">
        <v>16</v>
      </c>
      <c r="D7548" t="s" s="8">
        <v>2669</v>
      </c>
      <c r="E7548" t="s" s="9">
        <v>2669</v>
      </c>
      <c r="F7548" t="s" s="10">
        <v>1352</v>
      </c>
      <c r="G7548" s="14"/>
      <c r="H7548" t="s" s="10">
        <v>63</v>
      </c>
      <c r="I7548" s="14"/>
      <c r="J7548" t="s" s="11">
        <v>20</v>
      </c>
      <c r="K7548" t="s" s="16">
        <f>HYPERLINK("http://csr.bu.edu/ftp/asl/asllvd/demos/verify_start_end_handshape_annotations//test_auto_move//signs_mov/1886.mov","MOV")</f>
        <v>21</v>
      </c>
      <c r="L7548" t="s" s="16">
        <f>HYPERLINK("http://csr.bu.edu/ftp/asl/asllvd/demos/verify_start_end_handshape_annotations//test_auto_move//signs_mov_separ_signers/Liz_1886.mov","MOV")</f>
        <v>21</v>
      </c>
      <c r="M7548" t="s" s="10">
        <v>88</v>
      </c>
      <c r="N7548" s="17">
        <v>41</v>
      </c>
      <c r="O7548" s="18">
        <v>2152</v>
      </c>
      <c r="P7548" s="18">
        <v>2168</v>
      </c>
      <c r="Q7548" t="s" s="16">
        <f>HYPERLINK("http://secrets.rutgers.edu:8080/data/asl-ftp/asllvd/demos/verify_start_end_handshape_annotations//test_auto_move//signs_mov/1886.mov","MOV")</f>
        <v>21</v>
      </c>
      <c r="R7548" t="s" s="16">
        <f>HYPERLINK("http://secrets.rutgers.edu:8080/data/asl-ftp/asllvd/demos/verify_start_end_handshape_annotations//test_auto_move//signs_mov_separ_signers/Liz_1886.mov","MOV")</f>
        <v>21</v>
      </c>
    </row>
    <row r="7549" s="2" customFormat="1" ht="13.5" customHeight="1">
      <c r="B7549" s="13"/>
      <c r="C7549" t="s" s="9">
        <v>30</v>
      </c>
      <c r="D7549" t="s" s="8">
        <v>2669</v>
      </c>
      <c r="E7549" t="s" s="9">
        <v>2669</v>
      </c>
      <c r="F7549" t="s" s="10">
        <v>119</v>
      </c>
      <c r="G7549" s="14"/>
      <c r="H7549" t="s" s="10">
        <v>63</v>
      </c>
      <c r="I7549" s="14"/>
      <c r="J7549" t="s" s="11">
        <v>20</v>
      </c>
      <c r="K7549" s="15"/>
      <c r="L7549" t="s" s="16">
        <f>HYPERLINK("http://csr.bu.edu/ftp/asl/asllvd/demos/verify_start_end_handshape_annotations//test_auto_move//signs_mov_separ_signers/Brady_1886.mov","MOV")</f>
        <v>21</v>
      </c>
      <c r="M7549" t="s" s="10">
        <v>40</v>
      </c>
      <c r="N7549" s="17">
        <v>35</v>
      </c>
      <c r="O7549" s="18">
        <v>3126</v>
      </c>
      <c r="P7549" s="18">
        <v>3138</v>
      </c>
      <c r="Q7549" s="15"/>
      <c r="R7549" t="s" s="16">
        <f>HYPERLINK("http://secrets.rutgers.edu:8080/data/asl-ftp/asllvd/demos/verify_start_end_handshape_annotations//test_auto_move//signs_mov_separ_signers/Brady_1886.mov","MOV")</f>
        <v>21</v>
      </c>
    </row>
    <row r="7550" s="2" customFormat="1" ht="13.5" customHeight="1">
      <c r="B7550" t="s" s="8">
        <v>2670</v>
      </c>
      <c r="C7550" t="s" s="9">
        <v>14</v>
      </c>
      <c r="D7550" t="s" s="8">
        <v>14</v>
      </c>
      <c r="E7550" t="s" s="9">
        <v>14</v>
      </c>
      <c r="F7550" t="s" s="10">
        <v>14</v>
      </c>
      <c r="G7550" t="s" s="11">
        <v>14</v>
      </c>
      <c r="H7550" t="s" s="10">
        <v>14</v>
      </c>
      <c r="I7550" t="s" s="11">
        <v>14</v>
      </c>
      <c r="J7550" t="s" s="11">
        <v>14</v>
      </c>
      <c r="K7550" t="s" s="12">
        <v>14</v>
      </c>
      <c r="L7550" t="s" s="12">
        <v>14</v>
      </c>
      <c r="M7550" t="s" s="10">
        <v>14</v>
      </c>
      <c r="N7550" t="s" s="11">
        <v>14</v>
      </c>
      <c r="O7550" t="s" s="8">
        <v>14</v>
      </c>
      <c r="P7550" t="s" s="8">
        <v>14</v>
      </c>
      <c r="Q7550" t="s" s="12">
        <v>14</v>
      </c>
      <c r="R7550" t="s" s="12">
        <v>14</v>
      </c>
    </row>
    <row r="7551" s="2" customFormat="1" ht="13.5" customHeight="1">
      <c r="B7551" s="13"/>
      <c r="C7551" t="s" s="9">
        <v>16</v>
      </c>
      <c r="D7551" t="s" s="8">
        <v>2670</v>
      </c>
      <c r="E7551" t="s" s="9">
        <v>2671</v>
      </c>
      <c r="F7551" t="s" s="10">
        <v>136</v>
      </c>
      <c r="G7551" t="s" s="11">
        <v>136</v>
      </c>
      <c r="H7551" t="s" s="10">
        <v>136</v>
      </c>
      <c r="I7551" t="s" s="11">
        <v>136</v>
      </c>
      <c r="J7551" t="s" s="11">
        <v>20</v>
      </c>
      <c r="K7551" s="15"/>
      <c r="L7551" t="s" s="16">
        <f>HYPERLINK("http://csr.bu.edu/ftp/asl/asllvd/demos/verify_start_end_handshape_annotations//test_auto_move//signs_mov_separ_signers/Liz_1887.mov","MOV")</f>
        <v>21</v>
      </c>
      <c r="M7551" t="s" s="10">
        <v>88</v>
      </c>
      <c r="N7551" s="17">
        <v>41</v>
      </c>
      <c r="O7551" s="18">
        <v>2374</v>
      </c>
      <c r="P7551" s="18">
        <v>2425</v>
      </c>
      <c r="Q7551" s="15"/>
      <c r="R7551" t="s" s="16">
        <f>HYPERLINK("http://secrets.rutgers.edu:8080/data/asl-ftp/asllvd/demos/verify_start_end_handshape_annotations//test_auto_move//signs_mov_separ_signers/Liz_1887.mov","MOV")</f>
        <v>21</v>
      </c>
    </row>
    <row r="7552" s="2" customFormat="1" ht="13.5" customHeight="1">
      <c r="B7552" s="13"/>
      <c r="C7552" t="s" s="9">
        <v>16</v>
      </c>
      <c r="D7552" t="s" s="8">
        <v>2670</v>
      </c>
      <c r="E7552" t="s" s="9">
        <v>2672</v>
      </c>
      <c r="F7552" t="s" s="10">
        <v>136</v>
      </c>
      <c r="G7552" t="s" s="11">
        <v>136</v>
      </c>
      <c r="H7552" t="s" s="10">
        <v>136</v>
      </c>
      <c r="I7552" t="s" s="11">
        <v>136</v>
      </c>
      <c r="J7552" t="s" s="11">
        <v>20</v>
      </c>
      <c r="K7552" s="15"/>
      <c r="L7552" t="s" s="16">
        <f>HYPERLINK("http://csr.bu.edu/ftp/asl/asllvd/demos/verify_start_end_handshape_annotations//test_auto_move//signs_mov_separ_signers/Liz_3454.mov","MOV")</f>
        <v>21</v>
      </c>
      <c r="M7552" t="s" s="10">
        <v>77</v>
      </c>
      <c r="N7552" s="17">
        <v>7</v>
      </c>
      <c r="O7552" s="18">
        <v>2192</v>
      </c>
      <c r="P7552" s="18">
        <v>2252</v>
      </c>
      <c r="Q7552" s="15"/>
      <c r="R7552" t="s" s="16">
        <f>HYPERLINK("http://secrets.rutgers.edu:8080/data/asl-ftp/asllvd/demos/verify_start_end_handshape_annotations//test_auto_move//signs_mov_separ_signers/Liz_3454.mov","MOV")</f>
        <v>21</v>
      </c>
    </row>
    <row r="7553" s="2" customFormat="1" ht="13.5" customHeight="1">
      <c r="B7553" s="13"/>
      <c r="C7553" t="s" s="9">
        <v>30</v>
      </c>
      <c r="D7553" t="s" s="8">
        <v>2670</v>
      </c>
      <c r="E7553" t="s" s="9">
        <v>2672</v>
      </c>
      <c r="F7553" t="s" s="10">
        <v>136</v>
      </c>
      <c r="G7553" t="s" s="11">
        <v>136</v>
      </c>
      <c r="H7553" t="s" s="10">
        <v>136</v>
      </c>
      <c r="I7553" t="s" s="11">
        <v>136</v>
      </c>
      <c r="J7553" t="s" s="11">
        <v>20</v>
      </c>
      <c r="K7553" t="s" s="16">
        <f>HYPERLINK("http://csr.bu.edu/ftp/asl/asllvd/demos/verify_start_end_handshape_annotations//test_auto_move//signs_mov/1887_3454_merged.mov","MOV")</f>
        <v>21</v>
      </c>
      <c r="L7553" t="s" s="16">
        <f>HYPERLINK("http://csr.bu.edu/ftp/asl/asllvd/demos/verify_start_end_handshape_annotations//test_auto_move//signs_mov_separ_signers/Brady_1887.mov","MOV")</f>
        <v>21</v>
      </c>
      <c r="M7553" t="s" s="10">
        <v>40</v>
      </c>
      <c r="N7553" s="17">
        <v>27</v>
      </c>
      <c r="O7553" s="18">
        <v>165</v>
      </c>
      <c r="P7553" s="18">
        <v>205</v>
      </c>
      <c r="Q7553" t="s" s="16">
        <f>HYPERLINK("http://secrets.rutgers.edu:8080/data/asl-ftp/asllvd/demos/verify_start_end_handshape_annotations//test_auto_move//signs_mov/1887_3454_merged.mov","MOV")</f>
        <v>21</v>
      </c>
      <c r="R7553" t="s" s="16">
        <f>HYPERLINK("http://secrets.rutgers.edu:8080/data/asl-ftp/asllvd/demos/verify_start_end_handshape_annotations//test_auto_move//signs_mov_separ_signers/Brady_1887.mov","MOV")</f>
        <v>21</v>
      </c>
    </row>
    <row r="7554" s="2" customFormat="1" ht="13.5" customHeight="1">
      <c r="B7554" s="13"/>
      <c r="C7554" t="s" s="9">
        <v>30</v>
      </c>
      <c r="D7554" t="s" s="8">
        <v>2670</v>
      </c>
      <c r="E7554" t="s" s="9">
        <v>2671</v>
      </c>
      <c r="F7554" t="s" s="10">
        <v>136</v>
      </c>
      <c r="G7554" t="s" s="11">
        <v>136</v>
      </c>
      <c r="H7554" t="s" s="10">
        <v>136</v>
      </c>
      <c r="I7554" t="s" s="11">
        <v>136</v>
      </c>
      <c r="J7554" t="s" s="11">
        <v>20</v>
      </c>
      <c r="K7554" s="15"/>
      <c r="L7554" t="s" s="16">
        <f>HYPERLINK("http://csr.bu.edu/ftp/asl/asllvd/demos/verify_start_end_handshape_annotations//test_auto_move//signs_mov_separ_signers/Brady_3454.mov","MOV")</f>
        <v>21</v>
      </c>
      <c r="M7554" t="s" s="10">
        <v>40</v>
      </c>
      <c r="N7554" s="17">
        <v>35</v>
      </c>
      <c r="O7554" s="18">
        <v>2850</v>
      </c>
      <c r="P7554" s="18">
        <v>2879</v>
      </c>
      <c r="Q7554" s="15"/>
      <c r="R7554" t="s" s="16">
        <f>HYPERLINK("http://secrets.rutgers.edu:8080/data/asl-ftp/asllvd/demos/verify_start_end_handshape_annotations//test_auto_move//signs_mov_separ_signers/Brady_3454.mov","MOV")</f>
        <v>21</v>
      </c>
    </row>
    <row r="7555" s="2" customFormat="1" ht="13.5" customHeight="1">
      <c r="B7555" s="13"/>
      <c r="C7555" t="s" s="9">
        <v>41</v>
      </c>
      <c r="D7555" t="s" s="8">
        <v>2670</v>
      </c>
      <c r="E7555" t="s" s="9">
        <v>2672</v>
      </c>
      <c r="F7555" t="s" s="10">
        <v>136</v>
      </c>
      <c r="G7555" t="s" s="11">
        <v>136</v>
      </c>
      <c r="H7555" t="s" s="10">
        <v>136</v>
      </c>
      <c r="I7555" t="s" s="11">
        <v>136</v>
      </c>
      <c r="J7555" t="s" s="11">
        <v>20</v>
      </c>
      <c r="K7555" s="15"/>
      <c r="L7555" t="s" s="16">
        <f>HYPERLINK("http://csr.bu.edu/ftp/asl/asllvd/demos/verify_start_end_handshape_annotations//test_auto_move//signs_mov_separ_signers/Lana_1887.mov","MOV")</f>
        <v>21</v>
      </c>
      <c r="M7555" t="s" s="10">
        <v>42</v>
      </c>
      <c r="N7555" s="17">
        <v>21</v>
      </c>
      <c r="O7555" s="18">
        <v>884</v>
      </c>
      <c r="P7555" s="18">
        <v>932</v>
      </c>
      <c r="Q7555" s="15"/>
      <c r="R7555" t="s" s="16">
        <f>HYPERLINK("http://secrets.rutgers.edu:8080/data/asl-ftp/asllvd/demos/verify_start_end_handshape_annotations//test_auto_move//signs_mov_separ_signers/Lana_1887.mov","MOV")</f>
        <v>21</v>
      </c>
    </row>
    <row r="7556" s="2" customFormat="1" ht="13.5" customHeight="1">
      <c r="B7556" s="13"/>
      <c r="C7556" t="s" s="9">
        <v>43</v>
      </c>
      <c r="D7556" t="s" s="8">
        <v>2670</v>
      </c>
      <c r="E7556" t="s" s="9">
        <v>2672</v>
      </c>
      <c r="F7556" t="s" s="10">
        <v>136</v>
      </c>
      <c r="G7556" t="s" s="11">
        <v>136</v>
      </c>
      <c r="H7556" t="s" s="10">
        <v>136</v>
      </c>
      <c r="I7556" t="s" s="11">
        <v>136</v>
      </c>
      <c r="J7556" t="s" s="11">
        <v>20</v>
      </c>
      <c r="K7556" s="15"/>
      <c r="L7556" t="s" s="16">
        <f>HYPERLINK("http://csr.bu.edu/ftp/asl/asllvd/demos/verify_start_end_handshape_annotations//test_auto_move//signs_mov_separ_signers/Dana_1887.mov","MOV")</f>
        <v>21</v>
      </c>
      <c r="M7556" t="s" s="10">
        <v>44</v>
      </c>
      <c r="N7556" s="17">
        <v>23</v>
      </c>
      <c r="O7556" s="18">
        <v>816</v>
      </c>
      <c r="P7556" s="18">
        <v>872</v>
      </c>
      <c r="Q7556" s="15"/>
      <c r="R7556" t="s" s="16">
        <f>HYPERLINK("http://secrets.rutgers.edu:8080/data/asl-ftp/asllvd/demos/verify_start_end_handshape_annotations//test_auto_move//signs_mov_separ_signers/Dana_1887.mov","MOV")</f>
        <v>21</v>
      </c>
    </row>
    <row r="7557" s="2" customFormat="1" ht="13.5" customHeight="1">
      <c r="B7557" t="s" s="8">
        <v>2673</v>
      </c>
      <c r="C7557" t="s" s="9">
        <v>14</v>
      </c>
      <c r="D7557" t="s" s="8">
        <v>14</v>
      </c>
      <c r="E7557" t="s" s="9">
        <v>14</v>
      </c>
      <c r="F7557" t="s" s="10">
        <v>14</v>
      </c>
      <c r="G7557" t="s" s="11">
        <v>14</v>
      </c>
      <c r="H7557" t="s" s="10">
        <v>14</v>
      </c>
      <c r="I7557" t="s" s="11">
        <v>14</v>
      </c>
      <c r="J7557" t="s" s="11">
        <v>14</v>
      </c>
      <c r="K7557" t="s" s="12">
        <v>14</v>
      </c>
      <c r="L7557" t="s" s="12">
        <v>14</v>
      </c>
      <c r="M7557" t="s" s="10">
        <v>14</v>
      </c>
      <c r="N7557" t="s" s="11">
        <v>14</v>
      </c>
      <c r="O7557" t="s" s="8">
        <v>14</v>
      </c>
      <c r="P7557" t="s" s="8">
        <v>14</v>
      </c>
      <c r="Q7557" t="s" s="12">
        <v>14</v>
      </c>
      <c r="R7557" t="s" s="12">
        <v>14</v>
      </c>
    </row>
    <row r="7558" s="2" customFormat="1" ht="13.5" customHeight="1">
      <c r="B7558" s="13"/>
      <c r="C7558" t="s" s="9">
        <v>16</v>
      </c>
      <c r="D7558" t="s" s="8">
        <v>2673</v>
      </c>
      <c r="E7558" t="s" s="9">
        <v>2674</v>
      </c>
      <c r="F7558" t="s" s="10">
        <v>136</v>
      </c>
      <c r="G7558" t="s" s="11">
        <v>136</v>
      </c>
      <c r="H7558" t="s" s="10">
        <v>136</v>
      </c>
      <c r="I7558" t="s" s="11">
        <v>136</v>
      </c>
      <c r="J7558" t="s" s="11">
        <v>20</v>
      </c>
      <c r="K7558" t="s" s="16">
        <f>HYPERLINK("http://csr.bu.edu/ftp/asl/asllvd/demos/verify_start_end_handshape_annotations//test_auto_move//signs_mov/15249.mov","MOV")</f>
        <v>21</v>
      </c>
      <c r="L7558" t="s" s="16">
        <f>HYPERLINK("http://csr.bu.edu/ftp/asl/asllvd/demos/verify_start_end_handshape_annotations//test_auto_move//signs_mov_separ_signers/Liz_15249.mov","MOV")</f>
        <v>21</v>
      </c>
      <c r="M7558" t="s" s="10">
        <v>88</v>
      </c>
      <c r="N7558" s="17">
        <v>42</v>
      </c>
      <c r="O7558" s="18">
        <v>339</v>
      </c>
      <c r="P7558" s="18">
        <v>408</v>
      </c>
      <c r="Q7558" t="s" s="16">
        <f>HYPERLINK("http://secrets.rutgers.edu:8080/data/asl-ftp/asllvd/demos/verify_start_end_handshape_annotations//test_auto_move//signs_mov/15249.mov","MOV")</f>
        <v>21</v>
      </c>
      <c r="R7558" t="s" s="16">
        <f>HYPERLINK("http://secrets.rutgers.edu:8080/data/asl-ftp/asllvd/demos/verify_start_end_handshape_annotations//test_auto_move//signs_mov_separ_signers/Liz_15249.mov","MOV")</f>
        <v>21</v>
      </c>
    </row>
    <row r="7559" s="2" customFormat="1" ht="13.5" customHeight="1">
      <c r="B7559" s="13"/>
      <c r="C7559" t="s" s="9">
        <v>30</v>
      </c>
      <c r="D7559" t="s" s="8">
        <v>2673</v>
      </c>
      <c r="E7559" t="s" s="9">
        <v>2674</v>
      </c>
      <c r="F7559" t="s" s="10">
        <v>136</v>
      </c>
      <c r="G7559" t="s" s="11">
        <v>136</v>
      </c>
      <c r="H7559" t="s" s="10">
        <v>136</v>
      </c>
      <c r="I7559" t="s" s="11">
        <v>136</v>
      </c>
      <c r="J7559" t="s" s="11">
        <v>20</v>
      </c>
      <c r="K7559" s="15"/>
      <c r="L7559" t="s" s="16">
        <f>HYPERLINK("http://csr.bu.edu/ftp/asl/asllvd/demos/verify_start_end_handshape_annotations//test_auto_move//signs_mov_separ_signers/Brady_15249.mov","MOV")</f>
        <v>21</v>
      </c>
      <c r="M7559" t="s" s="10">
        <v>40</v>
      </c>
      <c r="N7559" s="17">
        <v>36</v>
      </c>
      <c r="O7559" s="18">
        <v>436</v>
      </c>
      <c r="P7559" s="18">
        <v>489</v>
      </c>
      <c r="Q7559" s="15"/>
      <c r="R7559" t="s" s="16">
        <f>HYPERLINK("http://secrets.rutgers.edu:8080/data/asl-ftp/asllvd/demos/verify_start_end_handshape_annotations//test_auto_move//signs_mov_separ_signers/Brady_15249.mov","MOV")</f>
        <v>21</v>
      </c>
    </row>
    <row r="7560" s="2" customFormat="1" ht="13.5" customHeight="1">
      <c r="B7560" t="s" s="8">
        <v>2675</v>
      </c>
      <c r="C7560" t="s" s="9">
        <v>14</v>
      </c>
      <c r="D7560" t="s" s="8">
        <v>14</v>
      </c>
      <c r="E7560" t="s" s="9">
        <v>14</v>
      </c>
      <c r="F7560" t="s" s="10">
        <v>14</v>
      </c>
      <c r="G7560" t="s" s="11">
        <v>14</v>
      </c>
      <c r="H7560" t="s" s="10">
        <v>14</v>
      </c>
      <c r="I7560" t="s" s="11">
        <v>14</v>
      </c>
      <c r="J7560" t="s" s="11">
        <v>14</v>
      </c>
      <c r="K7560" t="s" s="12">
        <v>14</v>
      </c>
      <c r="L7560" t="s" s="12">
        <v>14</v>
      </c>
      <c r="M7560" t="s" s="10">
        <v>14</v>
      </c>
      <c r="N7560" t="s" s="11">
        <v>14</v>
      </c>
      <c r="O7560" t="s" s="8">
        <v>14</v>
      </c>
      <c r="P7560" t="s" s="8">
        <v>14</v>
      </c>
      <c r="Q7560" t="s" s="12">
        <v>14</v>
      </c>
      <c r="R7560" t="s" s="12">
        <v>14</v>
      </c>
    </row>
    <row r="7561" s="2" customFormat="1" ht="13.5" customHeight="1">
      <c r="B7561" s="13"/>
      <c r="C7561" t="s" s="9">
        <v>41</v>
      </c>
      <c r="D7561" t="s" s="8">
        <v>2675</v>
      </c>
      <c r="E7561" t="s" s="9">
        <v>2676</v>
      </c>
      <c r="F7561" t="s" s="10">
        <v>136</v>
      </c>
      <c r="G7561" t="s" s="11">
        <v>136</v>
      </c>
      <c r="H7561" t="s" s="10">
        <v>136</v>
      </c>
      <c r="I7561" t="s" s="11">
        <v>136</v>
      </c>
      <c r="J7561" t="s" s="11">
        <v>20</v>
      </c>
      <c r="K7561" t="s" s="16">
        <f>HYPERLINK("http://csr.bu.edu/ftp/asl/asllvd/demos/verify_start_end_handshape_annotations//test_auto_move//signs_mov/16039.mov","MOV")</f>
        <v>21</v>
      </c>
      <c r="L7561" t="s" s="16">
        <f>HYPERLINK("http://csr.bu.edu/ftp/asl/asllvd/demos/verify_start_end_handshape_annotations//test_auto_move//signs_mov_separ_signers/Lana_16039.mov","MOV")</f>
        <v>21</v>
      </c>
      <c r="M7561" t="s" s="10">
        <v>42</v>
      </c>
      <c r="N7561" s="17">
        <v>20</v>
      </c>
      <c r="O7561" s="18">
        <v>1446</v>
      </c>
      <c r="P7561" s="18">
        <v>1492</v>
      </c>
      <c r="Q7561" t="s" s="16">
        <f>HYPERLINK("http://secrets.rutgers.edu:8080/data/asl-ftp/asllvd/demos/verify_start_end_handshape_annotations//test_auto_move//signs_mov/16039.mov","MOV")</f>
        <v>21</v>
      </c>
      <c r="R7561" t="s" s="16">
        <f>HYPERLINK("http://secrets.rutgers.edu:8080/data/asl-ftp/asllvd/demos/verify_start_end_handshape_annotations//test_auto_move//signs_mov_separ_signers/Lana_16039.mov","MOV")</f>
        <v>21</v>
      </c>
    </row>
    <row r="7562" s="2" customFormat="1" ht="13.5" customHeight="1">
      <c r="B7562" t="s" s="8">
        <v>52</v>
      </c>
      <c r="C7562" t="s" s="9">
        <v>53</v>
      </c>
      <c r="D7562" t="s" s="8">
        <v>53</v>
      </c>
      <c r="E7562" t="s" s="9">
        <v>53</v>
      </c>
      <c r="F7562" t="s" s="10">
        <v>53</v>
      </c>
      <c r="G7562" t="s" s="11">
        <v>53</v>
      </c>
      <c r="H7562" t="s" s="10">
        <v>53</v>
      </c>
      <c r="I7562" t="s" s="11">
        <v>53</v>
      </c>
      <c r="J7562" t="s" s="11">
        <v>53</v>
      </c>
      <c r="K7562" t="s" s="12">
        <v>53</v>
      </c>
      <c r="L7562" t="s" s="12">
        <v>53</v>
      </c>
      <c r="M7562" t="s" s="10">
        <v>53</v>
      </c>
      <c r="N7562" t="s" s="11">
        <v>53</v>
      </c>
      <c r="O7562" t="s" s="8">
        <v>53</v>
      </c>
      <c r="P7562" t="s" s="8">
        <v>53</v>
      </c>
      <c r="Q7562" t="s" s="12">
        <v>53</v>
      </c>
      <c r="R7562" t="s" s="12">
        <v>53</v>
      </c>
    </row>
    <row r="7563" s="2" customFormat="1" ht="13.5" customHeight="1">
      <c r="B7563" s="13"/>
      <c r="C7563" t="s" s="9">
        <v>16</v>
      </c>
      <c r="D7563" t="s" s="8">
        <v>2675</v>
      </c>
      <c r="E7563" t="s" s="9">
        <v>2677</v>
      </c>
      <c r="F7563" t="s" s="10">
        <v>220</v>
      </c>
      <c r="G7563" t="s" s="11">
        <v>220</v>
      </c>
      <c r="H7563" t="s" s="10">
        <v>220</v>
      </c>
      <c r="I7563" t="s" s="11">
        <v>220</v>
      </c>
      <c r="J7563" t="s" s="11">
        <v>20</v>
      </c>
      <c r="K7563" t="s" s="16">
        <f>HYPERLINK("http://csr.bu.edu/ftp/asl/asllvd/demos/verify_start_end_handshape_annotations//test_auto_move//signs_mov/16049.mov","MOV")</f>
        <v>21</v>
      </c>
      <c r="L7563" t="s" s="16">
        <f>HYPERLINK("http://csr.bu.edu/ftp/asl/asllvd/demos/verify_start_end_handshape_annotations//test_auto_move//signs_mov_separ_signers/Liz_16049.mov","MOV")</f>
        <v>21</v>
      </c>
      <c r="M7563" t="s" s="10">
        <v>88</v>
      </c>
      <c r="N7563" s="17">
        <v>32</v>
      </c>
      <c r="O7563" s="18">
        <v>747</v>
      </c>
      <c r="P7563" s="18">
        <v>805</v>
      </c>
      <c r="Q7563" t="s" s="16">
        <f>HYPERLINK("http://secrets.rutgers.edu:8080/data/asl-ftp/asllvd/demos/verify_start_end_handshape_annotations//test_auto_move//signs_mov/16049.mov","MOV")</f>
        <v>21</v>
      </c>
      <c r="R7563" t="s" s="16">
        <f>HYPERLINK("http://secrets.rutgers.edu:8080/data/asl-ftp/asllvd/demos/verify_start_end_handshape_annotations//test_auto_move//signs_mov_separ_signers/Liz_16049.mov","MOV")</f>
        <v>21</v>
      </c>
    </row>
    <row r="7564" s="2" customFormat="1" ht="13.5" customHeight="1">
      <c r="B7564" t="s" s="8">
        <v>2678</v>
      </c>
      <c r="C7564" t="s" s="9">
        <v>14</v>
      </c>
      <c r="D7564" t="s" s="8">
        <v>14</v>
      </c>
      <c r="E7564" t="s" s="9">
        <v>14</v>
      </c>
      <c r="F7564" t="s" s="10">
        <v>14</v>
      </c>
      <c r="G7564" t="s" s="11">
        <v>14</v>
      </c>
      <c r="H7564" t="s" s="10">
        <v>14</v>
      </c>
      <c r="I7564" t="s" s="11">
        <v>14</v>
      </c>
      <c r="J7564" t="s" s="11">
        <v>14</v>
      </c>
      <c r="K7564" t="s" s="12">
        <v>14</v>
      </c>
      <c r="L7564" t="s" s="12">
        <v>14</v>
      </c>
      <c r="M7564" t="s" s="10">
        <v>14</v>
      </c>
      <c r="N7564" t="s" s="11">
        <v>14</v>
      </c>
      <c r="O7564" t="s" s="8">
        <v>14</v>
      </c>
      <c r="P7564" t="s" s="8">
        <v>14</v>
      </c>
      <c r="Q7564" t="s" s="12">
        <v>14</v>
      </c>
      <c r="R7564" t="s" s="12">
        <v>14</v>
      </c>
    </row>
    <row r="7565" s="2" customFormat="1" ht="13.5" customHeight="1">
      <c r="B7565" s="13"/>
      <c r="C7565" t="s" s="9">
        <v>16</v>
      </c>
      <c r="D7565" t="s" s="8">
        <v>2678</v>
      </c>
      <c r="E7565" t="s" s="9">
        <v>2678</v>
      </c>
      <c r="F7565" t="s" s="10">
        <v>65</v>
      </c>
      <c r="G7565" t="s" s="11">
        <v>65</v>
      </c>
      <c r="H7565" t="s" s="10">
        <v>65</v>
      </c>
      <c r="I7565" t="s" s="11">
        <v>65</v>
      </c>
      <c r="J7565" t="s" s="11">
        <v>20</v>
      </c>
      <c r="K7565" t="s" s="16">
        <f>HYPERLINK("http://csr.bu.edu/ftp/asl/asllvd/demos/verify_start_end_handshape_annotations//test_auto_move//signs_mov/1888.mov","MOV")</f>
        <v>21</v>
      </c>
      <c r="L7565" t="s" s="16">
        <f>HYPERLINK("http://csr.bu.edu/ftp/asl/asllvd/demos/verify_start_end_handshape_annotations//test_auto_move//signs_mov_separ_signers/Liz_1888.mov","MOV")</f>
        <v>21</v>
      </c>
      <c r="M7565" t="s" s="10">
        <v>88</v>
      </c>
      <c r="N7565" s="17">
        <v>41</v>
      </c>
      <c r="O7565" s="18">
        <v>2572</v>
      </c>
      <c r="P7565" s="18">
        <v>2646</v>
      </c>
      <c r="Q7565" t="s" s="16">
        <f>HYPERLINK("http://secrets.rutgers.edu:8080/data/asl-ftp/asllvd/demos/verify_start_end_handshape_annotations//test_auto_move//signs_mov/1888.mov","MOV")</f>
        <v>21</v>
      </c>
      <c r="R7565" t="s" s="16">
        <f>HYPERLINK("http://secrets.rutgers.edu:8080/data/asl-ftp/asllvd/demos/verify_start_end_handshape_annotations//test_auto_move//signs_mov_separ_signers/Liz_1888.mov","MOV")</f>
        <v>21</v>
      </c>
    </row>
    <row r="7566" s="2" customFormat="1" ht="13.5" customHeight="1">
      <c r="B7566" s="13"/>
      <c r="C7566" t="s" s="9">
        <v>30</v>
      </c>
      <c r="D7566" t="s" s="8">
        <v>2678</v>
      </c>
      <c r="E7566" t="s" s="9">
        <v>2678</v>
      </c>
      <c r="F7566" t="s" s="10">
        <v>65</v>
      </c>
      <c r="G7566" t="s" s="11">
        <v>65</v>
      </c>
      <c r="H7566" t="s" s="10">
        <v>65</v>
      </c>
      <c r="I7566" t="s" s="11">
        <v>65</v>
      </c>
      <c r="J7566" t="s" s="11">
        <v>20</v>
      </c>
      <c r="K7566" s="15"/>
      <c r="L7566" t="s" s="16">
        <f>HYPERLINK("http://csr.bu.edu/ftp/asl/asllvd/demos/verify_start_end_handshape_annotations//test_auto_move//signs_mov_separ_signers/Brady_1888.mov","MOV")</f>
        <v>21</v>
      </c>
      <c r="M7566" t="s" s="10">
        <v>40</v>
      </c>
      <c r="N7566" s="17">
        <v>35</v>
      </c>
      <c r="O7566" s="18">
        <v>3589</v>
      </c>
      <c r="P7566" s="18">
        <v>3623</v>
      </c>
      <c r="Q7566" s="15"/>
      <c r="R7566" t="s" s="16">
        <f>HYPERLINK("http://secrets.rutgers.edu:8080/data/asl-ftp/asllvd/demos/verify_start_end_handshape_annotations//test_auto_move//signs_mov_separ_signers/Brady_1888.mov","MOV")</f>
        <v>21</v>
      </c>
    </row>
    <row r="7567" s="2" customFormat="1" ht="13.5" customHeight="1">
      <c r="B7567" t="s" s="8">
        <v>2679</v>
      </c>
      <c r="C7567" t="s" s="9">
        <v>14</v>
      </c>
      <c r="D7567" t="s" s="8">
        <v>14</v>
      </c>
      <c r="E7567" t="s" s="9">
        <v>14</v>
      </c>
      <c r="F7567" t="s" s="10">
        <v>14</v>
      </c>
      <c r="G7567" t="s" s="11">
        <v>14</v>
      </c>
      <c r="H7567" t="s" s="10">
        <v>14</v>
      </c>
      <c r="I7567" t="s" s="11">
        <v>14</v>
      </c>
      <c r="J7567" t="s" s="11">
        <v>14</v>
      </c>
      <c r="K7567" t="s" s="12">
        <v>14</v>
      </c>
      <c r="L7567" t="s" s="12">
        <v>14</v>
      </c>
      <c r="M7567" t="s" s="10">
        <v>14</v>
      </c>
      <c r="N7567" t="s" s="11">
        <v>14</v>
      </c>
      <c r="O7567" t="s" s="8">
        <v>14</v>
      </c>
      <c r="P7567" t="s" s="8">
        <v>14</v>
      </c>
      <c r="Q7567" t="s" s="12">
        <v>14</v>
      </c>
      <c r="R7567" t="s" s="12">
        <v>14</v>
      </c>
    </row>
    <row r="7568" s="2" customFormat="1" ht="13.5" customHeight="1">
      <c r="B7568" s="13"/>
      <c r="C7568" t="s" s="9">
        <v>16</v>
      </c>
      <c r="D7568" t="s" s="8">
        <v>2679</v>
      </c>
      <c r="E7568" t="s" s="9">
        <v>2679</v>
      </c>
      <c r="F7568" s="19">
        <v>5</v>
      </c>
      <c r="G7568" s="17">
        <v>5</v>
      </c>
      <c r="H7568" s="19">
        <v>5</v>
      </c>
      <c r="I7568" s="17">
        <v>5</v>
      </c>
      <c r="J7568" t="s" s="11">
        <v>20</v>
      </c>
      <c r="K7568" s="15"/>
      <c r="L7568" t="s" s="16">
        <f>HYPERLINK("http://csr.bu.edu/ftp/asl/asllvd/demos/verify_start_end_handshape_annotations//test_auto_move//signs_mov_separ_signers/Liz_1892.mov","MOV")</f>
        <v>21</v>
      </c>
      <c r="M7568" t="s" s="10">
        <v>88</v>
      </c>
      <c r="N7568" s="17">
        <v>42</v>
      </c>
      <c r="O7568" s="18">
        <v>826</v>
      </c>
      <c r="P7568" s="18">
        <v>858</v>
      </c>
      <c r="Q7568" s="15"/>
      <c r="R7568" t="s" s="16">
        <f>HYPERLINK("http://secrets.rutgers.edu:8080/data/asl-ftp/asllvd/demos/verify_start_end_handshape_annotations//test_auto_move//signs_mov_separ_signers/Liz_1892.mov","MOV")</f>
        <v>21</v>
      </c>
    </row>
    <row r="7569" s="2" customFormat="1" ht="13.5" customHeight="1">
      <c r="B7569" s="13"/>
      <c r="C7569" t="s" s="9">
        <v>30</v>
      </c>
      <c r="D7569" t="s" s="8">
        <v>2679</v>
      </c>
      <c r="E7569" t="s" s="9">
        <v>2679</v>
      </c>
      <c r="F7569" s="19">
        <v>5</v>
      </c>
      <c r="G7569" s="17">
        <v>5</v>
      </c>
      <c r="H7569" s="19">
        <v>5</v>
      </c>
      <c r="I7569" s="17">
        <v>5</v>
      </c>
      <c r="J7569" t="s" s="11">
        <v>20</v>
      </c>
      <c r="K7569" t="s" s="16">
        <f>HYPERLINK("http://csr.bu.edu/ftp/asl/asllvd/demos/verify_start_end_handshape_annotations//test_auto_move//signs_mov/1892.mov","MOV")</f>
        <v>21</v>
      </c>
      <c r="L7569" t="s" s="16">
        <f>HYPERLINK("http://csr.bu.edu/ftp/asl/asllvd/demos/verify_start_end_handshape_annotations//test_auto_move//signs_mov_separ_signers/Brady_1892.mov","MOV")</f>
        <v>21</v>
      </c>
      <c r="M7569" t="s" s="10">
        <v>40</v>
      </c>
      <c r="N7569" s="17">
        <v>36</v>
      </c>
      <c r="O7569" s="18">
        <v>953</v>
      </c>
      <c r="P7569" s="18">
        <v>971</v>
      </c>
      <c r="Q7569" t="s" s="16">
        <f>HYPERLINK("http://secrets.rutgers.edu:8080/data/asl-ftp/asllvd/demos/verify_start_end_handshape_annotations//test_auto_move//signs_mov/1892.mov","MOV")</f>
        <v>21</v>
      </c>
      <c r="R7569" t="s" s="16">
        <f>HYPERLINK("http://secrets.rutgers.edu:8080/data/asl-ftp/asllvd/demos/verify_start_end_handshape_annotations//test_auto_move//signs_mov_separ_signers/Brady_1892.mov","MOV")</f>
        <v>21</v>
      </c>
    </row>
    <row r="7570" s="2" customFormat="1" ht="13.5" customHeight="1">
      <c r="B7570" s="13"/>
      <c r="C7570" t="s" s="9">
        <v>41</v>
      </c>
      <c r="D7570" t="s" s="8">
        <v>2679</v>
      </c>
      <c r="E7570" t="s" s="9">
        <v>2679</v>
      </c>
      <c r="F7570" s="19">
        <v>5</v>
      </c>
      <c r="G7570" s="17">
        <v>5</v>
      </c>
      <c r="H7570" s="19">
        <v>5</v>
      </c>
      <c r="I7570" s="17">
        <v>5</v>
      </c>
      <c r="J7570" t="s" s="11">
        <v>20</v>
      </c>
      <c r="K7570" s="15"/>
      <c r="L7570" t="s" s="16">
        <f>HYPERLINK("http://csr.bu.edu/ftp/asl/asllvd/demos/verify_start_end_handshape_annotations//test_auto_move//signs_mov_separ_signers/Lana_1892.mov","MOV")</f>
        <v>21</v>
      </c>
      <c r="M7570" t="s" s="10">
        <v>42</v>
      </c>
      <c r="N7570" s="17">
        <v>11</v>
      </c>
      <c r="O7570" s="18">
        <v>1948</v>
      </c>
      <c r="P7570" s="18">
        <v>1980</v>
      </c>
      <c r="Q7570" s="15"/>
      <c r="R7570" t="s" s="16">
        <f>HYPERLINK("http://secrets.rutgers.edu:8080/data/asl-ftp/asllvd/demos/verify_start_end_handshape_annotations//test_auto_move//signs_mov_separ_signers/Lana_1892.mov","MOV")</f>
        <v>21</v>
      </c>
    </row>
    <row r="7571" s="2" customFormat="1" ht="13.5" customHeight="1">
      <c r="B7571" s="13"/>
      <c r="C7571" t="s" s="9">
        <v>43</v>
      </c>
      <c r="D7571" t="s" s="8">
        <v>2679</v>
      </c>
      <c r="E7571" t="s" s="9">
        <v>2679</v>
      </c>
      <c r="F7571" s="19">
        <v>5</v>
      </c>
      <c r="G7571" s="17">
        <v>5</v>
      </c>
      <c r="H7571" s="19">
        <v>5</v>
      </c>
      <c r="I7571" s="17">
        <v>5</v>
      </c>
      <c r="J7571" t="s" s="11">
        <v>20</v>
      </c>
      <c r="K7571" s="15"/>
      <c r="L7571" t="s" s="16">
        <f>HYPERLINK("http://csr.bu.edu/ftp/asl/asllvd/demos/verify_start_end_handshape_annotations//test_auto_move//signs_mov_separ_signers/Dana_1892.mov","MOV")</f>
        <v>21</v>
      </c>
      <c r="M7571" t="s" s="10">
        <v>44</v>
      </c>
      <c r="N7571" s="17">
        <v>15</v>
      </c>
      <c r="O7571" s="18">
        <v>1884</v>
      </c>
      <c r="P7571" s="18">
        <v>1911</v>
      </c>
      <c r="Q7571" s="15"/>
      <c r="R7571" t="s" s="16">
        <f>HYPERLINK("http://secrets.rutgers.edu:8080/data/asl-ftp/asllvd/demos/verify_start_end_handshape_annotations//test_auto_move//signs_mov_separ_signers/Dana_1892.mov","MOV")</f>
        <v>21</v>
      </c>
    </row>
    <row r="7572" s="2" customFormat="1" ht="13.5" customHeight="1">
      <c r="B7572" t="s" s="8">
        <v>2680</v>
      </c>
      <c r="C7572" t="s" s="9">
        <v>14</v>
      </c>
      <c r="D7572" t="s" s="8">
        <v>14</v>
      </c>
      <c r="E7572" t="s" s="9">
        <v>14</v>
      </c>
      <c r="F7572" t="s" s="10">
        <v>14</v>
      </c>
      <c r="G7572" t="s" s="11">
        <v>14</v>
      </c>
      <c r="H7572" t="s" s="10">
        <v>14</v>
      </c>
      <c r="I7572" t="s" s="11">
        <v>14</v>
      </c>
      <c r="J7572" t="s" s="11">
        <v>14</v>
      </c>
      <c r="K7572" t="s" s="12">
        <v>14</v>
      </c>
      <c r="L7572" t="s" s="12">
        <v>14</v>
      </c>
      <c r="M7572" t="s" s="10">
        <v>14</v>
      </c>
      <c r="N7572" t="s" s="11">
        <v>14</v>
      </c>
      <c r="O7572" t="s" s="8">
        <v>14</v>
      </c>
      <c r="P7572" t="s" s="8">
        <v>14</v>
      </c>
      <c r="Q7572" t="s" s="12">
        <v>14</v>
      </c>
      <c r="R7572" t="s" s="12">
        <v>14</v>
      </c>
    </row>
    <row r="7573" s="2" customFormat="1" ht="13.5" customHeight="1">
      <c r="B7573" s="13"/>
      <c r="C7573" t="s" s="9">
        <v>16</v>
      </c>
      <c r="D7573" t="s" s="8">
        <v>2680</v>
      </c>
      <c r="E7573" t="s" s="9">
        <v>2680</v>
      </c>
      <c r="F7573" t="s" s="10">
        <v>73</v>
      </c>
      <c r="G7573" t="s" s="11">
        <v>73</v>
      </c>
      <c r="H7573" t="s" s="10">
        <v>73</v>
      </c>
      <c r="I7573" t="s" s="11">
        <v>73</v>
      </c>
      <c r="J7573" t="s" s="11">
        <v>20</v>
      </c>
      <c r="K7573" s="15"/>
      <c r="L7573" t="s" s="16">
        <f>HYPERLINK("http://csr.bu.edu/ftp/asl/asllvd/demos/verify_start_end_handshape_annotations//test_auto_move//signs_mov_separ_signers/Liz_1893.mov","MOV")</f>
        <v>21</v>
      </c>
      <c r="M7573" t="s" s="10">
        <v>88</v>
      </c>
      <c r="N7573" s="17">
        <v>42</v>
      </c>
      <c r="O7573" s="18">
        <v>1236</v>
      </c>
      <c r="P7573" s="18">
        <v>1297</v>
      </c>
      <c r="Q7573" s="15"/>
      <c r="R7573" t="s" s="16">
        <f>HYPERLINK("http://secrets.rutgers.edu:8080/data/asl-ftp/asllvd/demos/verify_start_end_handshape_annotations//test_auto_move//signs_mov_separ_signers/Liz_1893.mov","MOV")</f>
        <v>21</v>
      </c>
    </row>
    <row r="7574" s="2" customFormat="1" ht="13.5" customHeight="1">
      <c r="B7574" s="13"/>
      <c r="C7574" t="s" s="9">
        <v>16</v>
      </c>
      <c r="D7574" t="s" s="8">
        <v>2680</v>
      </c>
      <c r="E7574" t="s" s="9">
        <v>2680</v>
      </c>
      <c r="F7574" t="s" s="10">
        <v>73</v>
      </c>
      <c r="G7574" t="s" s="11">
        <v>73</v>
      </c>
      <c r="H7574" t="s" s="10">
        <v>73</v>
      </c>
      <c r="I7574" t="s" s="11">
        <v>73</v>
      </c>
      <c r="J7574" t="s" s="11">
        <v>20</v>
      </c>
      <c r="K7574" t="s" s="16">
        <f>HYPERLINK("http://csr.bu.edu/ftp/asl/asllvd/demos/verify_start_end_handshape_annotations//test_auto_move//signs_mov/1893_3900_merged.mov","MOV")</f>
        <v>21</v>
      </c>
      <c r="L7574" t="s" s="16">
        <f>HYPERLINK("http://csr.bu.edu/ftp/asl/asllvd/demos/verify_start_end_handshape_annotations//test_auto_move//signs_mov_separ_signers/Liz_3900.mov","MOV")</f>
        <v>21</v>
      </c>
      <c r="M7574" t="s" s="10">
        <v>77</v>
      </c>
      <c r="N7574" s="17">
        <v>26</v>
      </c>
      <c r="O7574" s="18">
        <v>2296</v>
      </c>
      <c r="P7574" s="18">
        <v>2360</v>
      </c>
      <c r="Q7574" t="s" s="16">
        <f>HYPERLINK("http://secrets.rutgers.edu:8080/data/asl-ftp/asllvd/demos/verify_start_end_handshape_annotations//test_auto_move//signs_mov/1893_3900_merged.mov","MOV")</f>
        <v>21</v>
      </c>
      <c r="R7574" t="s" s="16">
        <f>HYPERLINK("http://secrets.rutgers.edu:8080/data/asl-ftp/asllvd/demos/verify_start_end_handshape_annotations//test_auto_move//signs_mov_separ_signers/Liz_3900.mov","MOV")</f>
        <v>21</v>
      </c>
    </row>
    <row r="7575" s="2" customFormat="1" ht="13.5" customHeight="1">
      <c r="B7575" s="13"/>
      <c r="C7575" t="s" s="9">
        <v>30</v>
      </c>
      <c r="D7575" t="s" s="8">
        <v>2680</v>
      </c>
      <c r="E7575" t="s" s="9">
        <v>2680</v>
      </c>
      <c r="F7575" t="s" s="10">
        <v>73</v>
      </c>
      <c r="G7575" t="s" s="11">
        <v>73</v>
      </c>
      <c r="H7575" t="s" s="10">
        <v>73</v>
      </c>
      <c r="I7575" t="s" s="11">
        <v>73</v>
      </c>
      <c r="J7575" t="s" s="11">
        <v>20</v>
      </c>
      <c r="K7575" s="15"/>
      <c r="L7575" t="s" s="16">
        <f>HYPERLINK("http://csr.bu.edu/ftp/asl/asllvd/demos/verify_start_end_handshape_annotations//test_auto_move//signs_mov_separ_signers/Brady_1893.mov","MOV")</f>
        <v>21</v>
      </c>
      <c r="M7575" t="s" s="10">
        <v>31</v>
      </c>
      <c r="N7575" s="17">
        <v>30</v>
      </c>
      <c r="O7575" s="18">
        <v>4977</v>
      </c>
      <c r="P7575" s="18">
        <v>5031</v>
      </c>
      <c r="Q7575" s="15"/>
      <c r="R7575" t="s" s="16">
        <f>HYPERLINK("http://secrets.rutgers.edu:8080/data/asl-ftp/asllvd/demos/verify_start_end_handshape_annotations//test_auto_move//signs_mov_separ_signers/Brady_1893.mov","MOV")</f>
        <v>21</v>
      </c>
    </row>
    <row r="7576" s="2" customFormat="1" ht="13.5" customHeight="1">
      <c r="B7576" s="13"/>
      <c r="C7576" t="s" s="9">
        <v>30</v>
      </c>
      <c r="D7576" t="s" s="8">
        <v>2680</v>
      </c>
      <c r="E7576" t="s" s="9">
        <v>2680</v>
      </c>
      <c r="F7576" t="s" s="10">
        <v>73</v>
      </c>
      <c r="G7576" t="s" s="11">
        <v>73</v>
      </c>
      <c r="H7576" t="s" s="10">
        <v>73</v>
      </c>
      <c r="I7576" t="s" s="11">
        <v>73</v>
      </c>
      <c r="J7576" t="s" s="11">
        <v>20</v>
      </c>
      <c r="K7576" s="15"/>
      <c r="L7576" t="s" s="16">
        <f>HYPERLINK("http://csr.bu.edu/ftp/asl/asllvd/demos/verify_start_end_handshape_annotations//test_auto_move//signs_mov_separ_signers/Brady_3900.mov","MOV")</f>
        <v>21</v>
      </c>
      <c r="M7576" t="s" s="10">
        <v>40</v>
      </c>
      <c r="N7576" s="17">
        <v>36</v>
      </c>
      <c r="O7576" s="18">
        <v>1532</v>
      </c>
      <c r="P7576" s="18">
        <v>1584</v>
      </c>
      <c r="Q7576" s="15"/>
      <c r="R7576" t="s" s="16">
        <f>HYPERLINK("http://secrets.rutgers.edu:8080/data/asl-ftp/asllvd/demos/verify_start_end_handshape_annotations//test_auto_move//signs_mov_separ_signers/Brady_3900.mov","MOV")</f>
        <v>21</v>
      </c>
    </row>
    <row r="7577" s="2" customFormat="1" ht="13.5" customHeight="1">
      <c r="B7577" t="s" s="8">
        <v>2681</v>
      </c>
      <c r="C7577" t="s" s="9">
        <v>14</v>
      </c>
      <c r="D7577" t="s" s="8">
        <v>14</v>
      </c>
      <c r="E7577" t="s" s="9">
        <v>14</v>
      </c>
      <c r="F7577" t="s" s="10">
        <v>14</v>
      </c>
      <c r="G7577" t="s" s="11">
        <v>14</v>
      </c>
      <c r="H7577" t="s" s="10">
        <v>14</v>
      </c>
      <c r="I7577" t="s" s="11">
        <v>14</v>
      </c>
      <c r="J7577" t="s" s="11">
        <v>14</v>
      </c>
      <c r="K7577" t="s" s="12">
        <v>14</v>
      </c>
      <c r="L7577" t="s" s="12">
        <v>14</v>
      </c>
      <c r="M7577" t="s" s="10">
        <v>14</v>
      </c>
      <c r="N7577" t="s" s="11">
        <v>14</v>
      </c>
      <c r="O7577" t="s" s="8">
        <v>14</v>
      </c>
      <c r="P7577" t="s" s="8">
        <v>14</v>
      </c>
      <c r="Q7577" t="s" s="12">
        <v>14</v>
      </c>
      <c r="R7577" t="s" s="12">
        <v>14</v>
      </c>
    </row>
    <row r="7578" s="2" customFormat="1" ht="13.5" customHeight="1">
      <c r="B7578" s="13"/>
      <c r="C7578" t="s" s="9">
        <v>16</v>
      </c>
      <c r="D7578" t="s" s="8">
        <v>2681</v>
      </c>
      <c r="E7578" t="s" s="9">
        <v>2682</v>
      </c>
      <c r="F7578" t="s" s="10">
        <v>229</v>
      </c>
      <c r="G7578" t="s" s="11">
        <v>51</v>
      </c>
      <c r="H7578" t="s" s="10">
        <v>229</v>
      </c>
      <c r="I7578" t="s" s="11">
        <v>51</v>
      </c>
      <c r="J7578" t="s" s="11">
        <v>20</v>
      </c>
      <c r="K7578" s="15"/>
      <c r="L7578" t="s" s="16">
        <f>HYPERLINK("http://csr.bu.edu/ftp/asl/asllvd/demos/verify_start_end_handshape_annotations//test_auto_move//signs_mov_separ_signers/Liz_1896.mov","MOV")</f>
        <v>21</v>
      </c>
      <c r="M7578" t="s" s="10">
        <v>88</v>
      </c>
      <c r="N7578" s="17">
        <v>42</v>
      </c>
      <c r="O7578" s="18">
        <v>2675</v>
      </c>
      <c r="P7578" s="18">
        <v>2733</v>
      </c>
      <c r="Q7578" s="15"/>
      <c r="R7578" t="s" s="16">
        <f>HYPERLINK("http://secrets.rutgers.edu:8080/data/asl-ftp/asllvd/demos/verify_start_end_handshape_annotations//test_auto_move//signs_mov_separ_signers/Liz_1896.mov","MOV")</f>
        <v>21</v>
      </c>
    </row>
    <row r="7579" s="2" customFormat="1" ht="13.5" customHeight="1">
      <c r="B7579" s="13"/>
      <c r="C7579" t="s" s="9">
        <v>30</v>
      </c>
      <c r="D7579" t="s" s="8">
        <v>2681</v>
      </c>
      <c r="E7579" t="s" s="9">
        <v>2682</v>
      </c>
      <c r="F7579" t="s" s="10">
        <v>229</v>
      </c>
      <c r="G7579" s="17">
        <v>1</v>
      </c>
      <c r="H7579" t="s" s="10">
        <v>229</v>
      </c>
      <c r="I7579" s="17">
        <v>1</v>
      </c>
      <c r="J7579" t="s" s="11">
        <v>20</v>
      </c>
      <c r="K7579" t="s" s="16">
        <f>HYPERLINK("http://csr.bu.edu/ftp/asl/asllvd/demos/verify_start_end_handshape_annotations//test_auto_move//signs_mov/1896_5786_merged.mov","MOV")</f>
        <v>21</v>
      </c>
      <c r="L7579" t="s" s="16">
        <f>HYPERLINK("http://csr.bu.edu/ftp/asl/asllvd/demos/verify_start_end_handshape_annotations//test_auto_move//signs_mov_separ_signers/Brady_1896.mov","MOV")</f>
        <v>21</v>
      </c>
      <c r="M7579" t="s" s="10">
        <v>40</v>
      </c>
      <c r="N7579" s="17">
        <v>36</v>
      </c>
      <c r="O7579" s="18">
        <v>2591</v>
      </c>
      <c r="P7579" s="18">
        <v>2616</v>
      </c>
      <c r="Q7579" t="s" s="16">
        <f>HYPERLINK("http://secrets.rutgers.edu:8080/data/asl-ftp/asllvd/demos/verify_start_end_handshape_annotations//test_auto_move//signs_mov/1896_5786_merged.mov","MOV")</f>
        <v>21</v>
      </c>
      <c r="R7579" t="s" s="16">
        <f>HYPERLINK("http://secrets.rutgers.edu:8080/data/asl-ftp/asllvd/demos/verify_start_end_handshape_annotations//test_auto_move//signs_mov_separ_signers/Brady_1896.mov","MOV")</f>
        <v>21</v>
      </c>
    </row>
    <row r="7580" s="2" customFormat="1" ht="13.5" customHeight="1">
      <c r="B7580" s="13"/>
      <c r="C7580" t="s" s="9">
        <v>30</v>
      </c>
      <c r="D7580" t="s" s="8">
        <v>2681</v>
      </c>
      <c r="E7580" t="s" s="9">
        <v>2682</v>
      </c>
      <c r="F7580" t="s" s="10">
        <v>229</v>
      </c>
      <c r="G7580" s="17">
        <v>1</v>
      </c>
      <c r="H7580" t="s" s="10">
        <v>229</v>
      </c>
      <c r="I7580" s="17">
        <v>1</v>
      </c>
      <c r="J7580" t="s" s="11">
        <v>20</v>
      </c>
      <c r="K7580" s="15"/>
      <c r="L7580" t="s" s="16">
        <f>HYPERLINK("http://csr.bu.edu/ftp/asl/asllvd/demos/verify_start_end_handshape_annotations//test_auto_move//signs_mov_separ_signers/Brady_5786.mov","MOV")</f>
        <v>21</v>
      </c>
      <c r="M7580" t="s" s="10">
        <v>60</v>
      </c>
      <c r="N7580" s="17">
        <v>49</v>
      </c>
      <c r="O7580" s="18">
        <v>2177</v>
      </c>
      <c r="P7580" s="18">
        <v>2209</v>
      </c>
      <c r="Q7580" s="15"/>
      <c r="R7580" t="s" s="16">
        <f>HYPERLINK("http://secrets.rutgers.edu:8080/data/asl-ftp/asllvd/demos/verify_start_end_handshape_annotations//test_auto_move//signs_mov_separ_signers/Brady_5786.mov","MOV")</f>
        <v>21</v>
      </c>
    </row>
    <row r="7581" s="2" customFormat="1" ht="13.5" customHeight="1">
      <c r="B7581" t="s" s="8">
        <v>2683</v>
      </c>
      <c r="C7581" t="s" s="9">
        <v>14</v>
      </c>
      <c r="D7581" t="s" s="8">
        <v>14</v>
      </c>
      <c r="E7581" t="s" s="9">
        <v>14</v>
      </c>
      <c r="F7581" t="s" s="10">
        <v>14</v>
      </c>
      <c r="G7581" t="s" s="11">
        <v>14</v>
      </c>
      <c r="H7581" t="s" s="10">
        <v>14</v>
      </c>
      <c r="I7581" t="s" s="11">
        <v>14</v>
      </c>
      <c r="J7581" t="s" s="11">
        <v>14</v>
      </c>
      <c r="K7581" t="s" s="12">
        <v>14</v>
      </c>
      <c r="L7581" t="s" s="12">
        <v>14</v>
      </c>
      <c r="M7581" t="s" s="10">
        <v>14</v>
      </c>
      <c r="N7581" t="s" s="11">
        <v>14</v>
      </c>
      <c r="O7581" t="s" s="8">
        <v>14</v>
      </c>
      <c r="P7581" t="s" s="8">
        <v>14</v>
      </c>
      <c r="Q7581" t="s" s="12">
        <v>14</v>
      </c>
      <c r="R7581" t="s" s="12">
        <v>14</v>
      </c>
    </row>
    <row r="7582" s="2" customFormat="1" ht="13.5" customHeight="1">
      <c r="B7582" s="13"/>
      <c r="C7582" t="s" s="9">
        <v>16</v>
      </c>
      <c r="D7582" t="s" s="8">
        <v>2683</v>
      </c>
      <c r="E7582" t="s" s="9">
        <v>2684</v>
      </c>
      <c r="F7582" t="s" s="10">
        <v>73</v>
      </c>
      <c r="G7582" s="14"/>
      <c r="H7582" t="s" s="10">
        <v>73</v>
      </c>
      <c r="I7582" s="14"/>
      <c r="J7582" t="s" s="11">
        <v>20</v>
      </c>
      <c r="K7582" t="s" s="16">
        <f>HYPERLINK("http://csr.bu.edu/ftp/asl/asllvd/demos/verify_start_end_handshape_annotations//test_auto_move//signs_mov/1901.mov","MOV")</f>
        <v>21</v>
      </c>
      <c r="L7582" t="s" s="16">
        <f>HYPERLINK("http://csr.bu.edu/ftp/asl/asllvd/demos/verify_start_end_handshape_annotations//test_auto_move//signs_mov_separ_signers/Liz_1901.mov","MOV")</f>
        <v>21</v>
      </c>
      <c r="M7582" t="s" s="10">
        <v>88</v>
      </c>
      <c r="N7582" s="17">
        <v>43</v>
      </c>
      <c r="O7582" s="18">
        <v>440</v>
      </c>
      <c r="P7582" s="18">
        <v>495</v>
      </c>
      <c r="Q7582" t="s" s="16">
        <f>HYPERLINK("http://secrets.rutgers.edu:8080/data/asl-ftp/asllvd/demos/verify_start_end_handshape_annotations//test_auto_move//signs_mov/1901.mov","MOV")</f>
        <v>21</v>
      </c>
      <c r="R7582" t="s" s="16">
        <f>HYPERLINK("http://secrets.rutgers.edu:8080/data/asl-ftp/asllvd/demos/verify_start_end_handshape_annotations//test_auto_move//signs_mov_separ_signers/Liz_1901.mov","MOV")</f>
        <v>21</v>
      </c>
    </row>
    <row r="7583" s="2" customFormat="1" ht="13.5" customHeight="1">
      <c r="B7583" s="13"/>
      <c r="C7583" t="s" s="9">
        <v>30</v>
      </c>
      <c r="D7583" t="s" s="8">
        <v>2683</v>
      </c>
      <c r="E7583" t="s" s="9">
        <v>2684</v>
      </c>
      <c r="F7583" t="s" s="10">
        <v>73</v>
      </c>
      <c r="G7583" s="14"/>
      <c r="H7583" t="s" s="10">
        <v>73</v>
      </c>
      <c r="I7583" s="14"/>
      <c r="J7583" t="s" s="11">
        <v>20</v>
      </c>
      <c r="K7583" s="15"/>
      <c r="L7583" t="s" s="16">
        <f>HYPERLINK("http://csr.bu.edu/ftp/asl/asllvd/demos/verify_start_end_handshape_annotations//test_auto_move//signs_mov_separ_signers/Brady_1901.mov","MOV")</f>
        <v>21</v>
      </c>
      <c r="M7583" t="s" s="10">
        <v>40</v>
      </c>
      <c r="N7583" s="17">
        <v>37</v>
      </c>
      <c r="O7583" s="18">
        <v>451</v>
      </c>
      <c r="P7583" s="18">
        <v>493</v>
      </c>
      <c r="Q7583" s="15"/>
      <c r="R7583" t="s" s="16">
        <f>HYPERLINK("http://secrets.rutgers.edu:8080/data/asl-ftp/asllvd/demos/verify_start_end_handshape_annotations//test_auto_move//signs_mov_separ_signers/Brady_1901.mov","MOV")</f>
        <v>21</v>
      </c>
    </row>
    <row r="7584" s="2" customFormat="1" ht="13.5" customHeight="1">
      <c r="B7584" t="s" s="8">
        <v>2685</v>
      </c>
      <c r="C7584" t="s" s="9">
        <v>14</v>
      </c>
      <c r="D7584" t="s" s="8">
        <v>14</v>
      </c>
      <c r="E7584" t="s" s="9">
        <v>14</v>
      </c>
      <c r="F7584" t="s" s="10">
        <v>14</v>
      </c>
      <c r="G7584" t="s" s="11">
        <v>14</v>
      </c>
      <c r="H7584" t="s" s="10">
        <v>14</v>
      </c>
      <c r="I7584" t="s" s="11">
        <v>14</v>
      </c>
      <c r="J7584" t="s" s="11">
        <v>14</v>
      </c>
      <c r="K7584" t="s" s="12">
        <v>14</v>
      </c>
      <c r="L7584" t="s" s="12">
        <v>14</v>
      </c>
      <c r="M7584" t="s" s="10">
        <v>14</v>
      </c>
      <c r="N7584" t="s" s="11">
        <v>14</v>
      </c>
      <c r="O7584" t="s" s="8">
        <v>14</v>
      </c>
      <c r="P7584" t="s" s="8">
        <v>14</v>
      </c>
      <c r="Q7584" t="s" s="12">
        <v>14</v>
      </c>
      <c r="R7584" t="s" s="12">
        <v>14</v>
      </c>
    </row>
    <row r="7585" s="2" customFormat="1" ht="13.5" customHeight="1">
      <c r="B7585" s="13"/>
      <c r="C7585" t="s" s="9">
        <v>16</v>
      </c>
      <c r="D7585" t="s" s="8">
        <v>2685</v>
      </c>
      <c r="E7585" t="s" s="9">
        <v>2685</v>
      </c>
      <c r="F7585" s="19">
        <v>1</v>
      </c>
      <c r="G7585" s="14"/>
      <c r="H7585" s="19">
        <v>1</v>
      </c>
      <c r="I7585" s="14"/>
      <c r="J7585" t="s" s="11">
        <v>20</v>
      </c>
      <c r="K7585" t="s" s="16">
        <f>HYPERLINK("http://csr.bu.edu/ftp/asl/asllvd/demos/verify_start_end_handshape_annotations//test_auto_move//signs_mov/1904.mov","MOV")</f>
        <v>21</v>
      </c>
      <c r="L7585" t="s" s="16">
        <f>HYPERLINK("http://csr.bu.edu/ftp/asl/asllvd/demos/verify_start_end_handshape_annotations//test_auto_move//signs_mov_separ_signers/Liz_1904.mov","MOV")</f>
        <v>21</v>
      </c>
      <c r="M7585" t="s" s="10">
        <v>88</v>
      </c>
      <c r="N7585" s="17">
        <v>43</v>
      </c>
      <c r="O7585" s="18">
        <v>1425</v>
      </c>
      <c r="P7585" s="18">
        <v>1450</v>
      </c>
      <c r="Q7585" t="s" s="16">
        <f>HYPERLINK("http://secrets.rutgers.edu:8080/data/asl-ftp/asllvd/demos/verify_start_end_handshape_annotations//test_auto_move//signs_mov/1904.mov","MOV")</f>
        <v>21</v>
      </c>
      <c r="R7585" t="s" s="16">
        <f>HYPERLINK("http://secrets.rutgers.edu:8080/data/asl-ftp/asllvd/demos/verify_start_end_handshape_annotations//test_auto_move//signs_mov_separ_signers/Liz_1904.mov","MOV")</f>
        <v>21</v>
      </c>
    </row>
    <row r="7586" s="2" customFormat="1" ht="13.5" customHeight="1">
      <c r="B7586" s="13"/>
      <c r="C7586" t="s" s="9">
        <v>30</v>
      </c>
      <c r="D7586" t="s" s="8">
        <v>2685</v>
      </c>
      <c r="E7586" t="s" s="9">
        <v>2685</v>
      </c>
      <c r="F7586" s="19">
        <v>1</v>
      </c>
      <c r="G7586" s="14"/>
      <c r="H7586" s="19">
        <v>1</v>
      </c>
      <c r="I7586" s="14"/>
      <c r="J7586" t="s" s="11">
        <v>20</v>
      </c>
      <c r="K7586" s="15"/>
      <c r="L7586" t="s" s="16">
        <f>HYPERLINK("http://csr.bu.edu/ftp/asl/asllvd/demos/verify_start_end_handshape_annotations//test_auto_move//signs_mov_separ_signers/Brady_1904.mov","MOV")</f>
        <v>21</v>
      </c>
      <c r="M7586" t="s" s="10">
        <v>40</v>
      </c>
      <c r="N7586" s="17">
        <v>37</v>
      </c>
      <c r="O7586" s="18">
        <v>1406</v>
      </c>
      <c r="P7586" s="18">
        <v>1427</v>
      </c>
      <c r="Q7586" s="15"/>
      <c r="R7586" t="s" s="16">
        <f>HYPERLINK("http://secrets.rutgers.edu:8080/data/asl-ftp/asllvd/demos/verify_start_end_handshape_annotations//test_auto_move//signs_mov_separ_signers/Brady_1904.mov","MOV")</f>
        <v>21</v>
      </c>
    </row>
    <row r="7587" s="2" customFormat="1" ht="13.5" customHeight="1">
      <c r="B7587" t="s" s="8">
        <v>2686</v>
      </c>
      <c r="C7587" t="s" s="9">
        <v>14</v>
      </c>
      <c r="D7587" t="s" s="8">
        <v>14</v>
      </c>
      <c r="E7587" t="s" s="9">
        <v>14</v>
      </c>
      <c r="F7587" t="s" s="10">
        <v>14</v>
      </c>
      <c r="G7587" t="s" s="11">
        <v>14</v>
      </c>
      <c r="H7587" t="s" s="10">
        <v>14</v>
      </c>
      <c r="I7587" t="s" s="11">
        <v>14</v>
      </c>
      <c r="J7587" t="s" s="11">
        <v>14</v>
      </c>
      <c r="K7587" t="s" s="12">
        <v>14</v>
      </c>
      <c r="L7587" t="s" s="12">
        <v>14</v>
      </c>
      <c r="M7587" t="s" s="10">
        <v>14</v>
      </c>
      <c r="N7587" t="s" s="11">
        <v>14</v>
      </c>
      <c r="O7587" t="s" s="8">
        <v>14</v>
      </c>
      <c r="P7587" t="s" s="8">
        <v>14</v>
      </c>
      <c r="Q7587" t="s" s="12">
        <v>14</v>
      </c>
      <c r="R7587" t="s" s="12">
        <v>14</v>
      </c>
    </row>
    <row r="7588" s="2" customFormat="1" ht="13.5" customHeight="1">
      <c r="B7588" s="13"/>
      <c r="C7588" t="s" s="9">
        <v>16</v>
      </c>
      <c r="D7588" t="s" s="8">
        <v>2686</v>
      </c>
      <c r="E7588" t="s" s="9">
        <v>2686</v>
      </c>
      <c r="F7588" s="19">
        <v>1</v>
      </c>
      <c r="G7588" s="14"/>
      <c r="H7588" s="19">
        <v>1</v>
      </c>
      <c r="I7588" s="14"/>
      <c r="J7588" t="s" s="11">
        <v>20</v>
      </c>
      <c r="K7588" t="s" s="16">
        <f>HYPERLINK("http://csr.bu.edu/ftp/asl/asllvd/demos/verify_start_end_handshape_annotations//test_auto_move//signs_mov/1906.mov","MOV")</f>
        <v>21</v>
      </c>
      <c r="L7588" t="s" s="16">
        <f>HYPERLINK("http://csr.bu.edu/ftp/asl/asllvd/demos/verify_start_end_handshape_annotations//test_auto_move//signs_mov_separ_signers/Liz_1906.mov","MOV")</f>
        <v>21</v>
      </c>
      <c r="M7588" t="s" s="10">
        <v>88</v>
      </c>
      <c r="N7588" s="17">
        <v>43</v>
      </c>
      <c r="O7588" s="18">
        <v>2236</v>
      </c>
      <c r="P7588" s="18">
        <v>2260</v>
      </c>
      <c r="Q7588" t="s" s="16">
        <f>HYPERLINK("http://secrets.rutgers.edu:8080/data/asl-ftp/asllvd/demos/verify_start_end_handshape_annotations//test_auto_move//signs_mov/1906.mov","MOV")</f>
        <v>21</v>
      </c>
      <c r="R7588" t="s" s="16">
        <f>HYPERLINK("http://secrets.rutgers.edu:8080/data/asl-ftp/asllvd/demos/verify_start_end_handshape_annotations//test_auto_move//signs_mov_separ_signers/Liz_1906.mov","MOV")</f>
        <v>21</v>
      </c>
    </row>
    <row r="7589" s="2" customFormat="1" ht="13.5" customHeight="1">
      <c r="B7589" s="13"/>
      <c r="C7589" t="s" s="9">
        <v>30</v>
      </c>
      <c r="D7589" t="s" s="8">
        <v>2686</v>
      </c>
      <c r="E7589" t="s" s="9">
        <v>2686</v>
      </c>
      <c r="F7589" s="19">
        <v>1</v>
      </c>
      <c r="G7589" s="14"/>
      <c r="H7589" s="19">
        <v>1</v>
      </c>
      <c r="I7589" s="14"/>
      <c r="J7589" t="s" s="11">
        <v>20</v>
      </c>
      <c r="K7589" s="15"/>
      <c r="L7589" t="s" s="16">
        <f>HYPERLINK("http://csr.bu.edu/ftp/asl/asllvd/demos/verify_start_end_handshape_annotations//test_auto_move//signs_mov_separ_signers/Brady_1906.mov","MOV")</f>
        <v>21</v>
      </c>
      <c r="M7589" t="s" s="10">
        <v>40</v>
      </c>
      <c r="N7589" s="17">
        <v>37</v>
      </c>
      <c r="O7589" s="18">
        <v>1964</v>
      </c>
      <c r="P7589" s="18">
        <v>1986</v>
      </c>
      <c r="Q7589" s="15"/>
      <c r="R7589" t="s" s="16">
        <f>HYPERLINK("http://secrets.rutgers.edu:8080/data/asl-ftp/asllvd/demos/verify_start_end_handshape_annotations//test_auto_move//signs_mov_separ_signers/Brady_1906.mov","MOV")</f>
        <v>21</v>
      </c>
    </row>
    <row r="7590" s="2" customFormat="1" ht="13.5" customHeight="1">
      <c r="B7590" t="s" s="8">
        <v>2687</v>
      </c>
      <c r="C7590" t="s" s="9">
        <v>14</v>
      </c>
      <c r="D7590" t="s" s="8">
        <v>14</v>
      </c>
      <c r="E7590" t="s" s="9">
        <v>14</v>
      </c>
      <c r="F7590" t="s" s="10">
        <v>14</v>
      </c>
      <c r="G7590" t="s" s="11">
        <v>14</v>
      </c>
      <c r="H7590" t="s" s="10">
        <v>14</v>
      </c>
      <c r="I7590" t="s" s="11">
        <v>14</v>
      </c>
      <c r="J7590" t="s" s="11">
        <v>14</v>
      </c>
      <c r="K7590" t="s" s="12">
        <v>14</v>
      </c>
      <c r="L7590" t="s" s="12">
        <v>14</v>
      </c>
      <c r="M7590" t="s" s="10">
        <v>14</v>
      </c>
      <c r="N7590" t="s" s="11">
        <v>14</v>
      </c>
      <c r="O7590" t="s" s="8">
        <v>14</v>
      </c>
      <c r="P7590" t="s" s="8">
        <v>14</v>
      </c>
      <c r="Q7590" t="s" s="12">
        <v>14</v>
      </c>
      <c r="R7590" t="s" s="12">
        <v>14</v>
      </c>
    </row>
    <row r="7591" s="2" customFormat="1" ht="13.5" customHeight="1">
      <c r="B7591" s="13"/>
      <c r="C7591" t="s" s="9">
        <v>16</v>
      </c>
      <c r="D7591" t="s" s="8">
        <v>2687</v>
      </c>
      <c r="E7591" t="s" s="9">
        <v>2687</v>
      </c>
      <c r="F7591" t="s" s="10">
        <v>80</v>
      </c>
      <c r="G7591" s="14"/>
      <c r="H7591" t="s" s="10">
        <v>80</v>
      </c>
      <c r="I7591" s="14"/>
      <c r="J7591" t="s" s="11">
        <v>20</v>
      </c>
      <c r="K7591" t="s" s="16">
        <f>HYPERLINK("http://csr.bu.edu/ftp/asl/asllvd/demos/verify_start_end_handshape_annotations//test_auto_move//signs_mov/1907.mov","MOV")</f>
        <v>21</v>
      </c>
      <c r="L7591" t="s" s="16">
        <f>HYPERLINK("http://csr.bu.edu/ftp/asl/asllvd/demos/verify_start_end_handshape_annotations//test_auto_move//signs_mov_separ_signers/Liz_1907.mov","MOV")</f>
        <v>21</v>
      </c>
      <c r="M7591" t="s" s="10">
        <v>88</v>
      </c>
      <c r="N7591" s="17">
        <v>43</v>
      </c>
      <c r="O7591" s="18">
        <v>2541</v>
      </c>
      <c r="P7591" s="18">
        <v>2600</v>
      </c>
      <c r="Q7591" t="s" s="16">
        <f>HYPERLINK("http://secrets.rutgers.edu:8080/data/asl-ftp/asllvd/demos/verify_start_end_handshape_annotations//test_auto_move//signs_mov/1907.mov","MOV")</f>
        <v>21</v>
      </c>
      <c r="R7591" t="s" s="16">
        <f>HYPERLINK("http://secrets.rutgers.edu:8080/data/asl-ftp/asllvd/demos/verify_start_end_handshape_annotations//test_auto_move//signs_mov_separ_signers/Liz_1907.mov","MOV")</f>
        <v>21</v>
      </c>
    </row>
    <row r="7592" s="2" customFormat="1" ht="13.5" customHeight="1">
      <c r="B7592" s="13"/>
      <c r="C7592" t="s" s="9">
        <v>30</v>
      </c>
      <c r="D7592" t="s" s="8">
        <v>2687</v>
      </c>
      <c r="E7592" t="s" s="9">
        <v>2687</v>
      </c>
      <c r="F7592" t="s" s="10">
        <v>80</v>
      </c>
      <c r="G7592" s="14"/>
      <c r="H7592" t="s" s="10">
        <v>80</v>
      </c>
      <c r="I7592" s="14"/>
      <c r="J7592" t="s" s="11">
        <v>20</v>
      </c>
      <c r="K7592" s="15"/>
      <c r="L7592" t="s" s="16">
        <f>HYPERLINK("http://csr.bu.edu/ftp/asl/asllvd/demos/verify_start_end_handshape_annotations//test_auto_move//signs_mov_separ_signers/Brady_1907.mov","MOV")</f>
        <v>21</v>
      </c>
      <c r="M7592" t="s" s="10">
        <v>40</v>
      </c>
      <c r="N7592" s="17">
        <v>37</v>
      </c>
      <c r="O7592" s="18">
        <v>2552</v>
      </c>
      <c r="P7592" s="18">
        <v>2576</v>
      </c>
      <c r="Q7592" s="15"/>
      <c r="R7592" t="s" s="16">
        <f>HYPERLINK("http://secrets.rutgers.edu:8080/data/asl-ftp/asllvd/demos/verify_start_end_handshape_annotations//test_auto_move//signs_mov_separ_signers/Brady_1907.mov","MOV")</f>
        <v>21</v>
      </c>
    </row>
    <row r="7593" s="2" customFormat="1" ht="13.5" customHeight="1">
      <c r="B7593" t="s" s="8">
        <v>2688</v>
      </c>
      <c r="C7593" t="s" s="9">
        <v>14</v>
      </c>
      <c r="D7593" t="s" s="8">
        <v>14</v>
      </c>
      <c r="E7593" t="s" s="9">
        <v>14</v>
      </c>
      <c r="F7593" t="s" s="10">
        <v>14</v>
      </c>
      <c r="G7593" t="s" s="11">
        <v>14</v>
      </c>
      <c r="H7593" t="s" s="10">
        <v>14</v>
      </c>
      <c r="I7593" t="s" s="11">
        <v>14</v>
      </c>
      <c r="J7593" t="s" s="11">
        <v>14</v>
      </c>
      <c r="K7593" t="s" s="12">
        <v>14</v>
      </c>
      <c r="L7593" t="s" s="12">
        <v>14</v>
      </c>
      <c r="M7593" t="s" s="10">
        <v>14</v>
      </c>
      <c r="N7593" t="s" s="11">
        <v>14</v>
      </c>
      <c r="O7593" t="s" s="8">
        <v>14</v>
      </c>
      <c r="P7593" t="s" s="8">
        <v>14</v>
      </c>
      <c r="Q7593" t="s" s="12">
        <v>14</v>
      </c>
      <c r="R7593" t="s" s="12">
        <v>14</v>
      </c>
    </row>
    <row r="7594" s="2" customFormat="1" ht="13.5" customHeight="1">
      <c r="B7594" s="13"/>
      <c r="C7594" t="s" s="9">
        <v>16</v>
      </c>
      <c r="D7594" t="s" s="8">
        <v>2688</v>
      </c>
      <c r="E7594" t="s" s="9">
        <v>2689</v>
      </c>
      <c r="F7594" t="s" s="10">
        <v>185</v>
      </c>
      <c r="G7594" s="14"/>
      <c r="H7594" t="s" s="10">
        <v>185</v>
      </c>
      <c r="I7594" s="14"/>
      <c r="J7594" t="s" s="11">
        <v>20</v>
      </c>
      <c r="K7594" s="15"/>
      <c r="L7594" t="s" s="16">
        <f>HYPERLINK("http://csr.bu.edu/ftp/asl/asllvd/demos/verify_start_end_handshape_annotations//test_auto_move//signs_mov_separ_signers/Liz_1910.mov","MOV")</f>
        <v>21</v>
      </c>
      <c r="M7594" t="s" s="10">
        <v>88</v>
      </c>
      <c r="N7594" s="17">
        <v>44</v>
      </c>
      <c r="O7594" s="18">
        <v>200</v>
      </c>
      <c r="P7594" s="18">
        <v>240</v>
      </c>
      <c r="Q7594" s="15"/>
      <c r="R7594" t="s" s="16">
        <f>HYPERLINK("http://secrets.rutgers.edu:8080/data/asl-ftp/asllvd/demos/verify_start_end_handshape_annotations//test_auto_move//signs_mov_separ_signers/Liz_1910.mov","MOV")</f>
        <v>21</v>
      </c>
    </row>
    <row r="7595" s="2" customFormat="1" ht="13.5" customHeight="1">
      <c r="B7595" s="13"/>
      <c r="C7595" t="s" s="9">
        <v>30</v>
      </c>
      <c r="D7595" t="s" s="8">
        <v>2688</v>
      </c>
      <c r="E7595" t="s" s="9">
        <v>2689</v>
      </c>
      <c r="F7595" t="s" s="10">
        <v>185</v>
      </c>
      <c r="G7595" s="14"/>
      <c r="H7595" t="s" s="10">
        <v>185</v>
      </c>
      <c r="I7595" s="14"/>
      <c r="J7595" t="s" s="11">
        <v>20</v>
      </c>
      <c r="K7595" s="15"/>
      <c r="L7595" t="s" s="16">
        <f>HYPERLINK("http://csr.bu.edu/ftp/asl/asllvd/demos/verify_start_end_handshape_annotations//test_auto_move//signs_mov_separ_signers/Brady_1910.mov","MOV")</f>
        <v>21</v>
      </c>
      <c r="M7595" t="s" s="10">
        <v>31</v>
      </c>
      <c r="N7595" s="17">
        <v>15</v>
      </c>
      <c r="O7595" s="18">
        <v>4005</v>
      </c>
      <c r="P7595" s="18">
        <v>4031</v>
      </c>
      <c r="Q7595" s="15"/>
      <c r="R7595" t="s" s="16">
        <f>HYPERLINK("http://secrets.rutgers.edu:8080/data/asl-ftp/asllvd/demos/verify_start_end_handshape_annotations//test_auto_move//signs_mov_separ_signers/Brady_1910.mov","MOV")</f>
        <v>21</v>
      </c>
    </row>
    <row r="7596" s="2" customFormat="1" ht="13.5" customHeight="1">
      <c r="B7596" s="13"/>
      <c r="C7596" t="s" s="9">
        <v>30</v>
      </c>
      <c r="D7596" t="s" s="8">
        <v>2688</v>
      </c>
      <c r="E7596" t="s" s="9">
        <v>2689</v>
      </c>
      <c r="F7596" t="s" s="10">
        <v>185</v>
      </c>
      <c r="G7596" s="14"/>
      <c r="H7596" t="s" s="10">
        <v>185</v>
      </c>
      <c r="I7596" s="14"/>
      <c r="J7596" t="s" s="11">
        <v>20</v>
      </c>
      <c r="K7596" t="s" s="16">
        <f>HYPERLINK("http://csr.bu.edu/ftp/asl/asllvd/demos/verify_start_end_handshape_annotations//test_auto_move//signs_mov/1910_5342_15063_merged.mov","MOV")</f>
        <v>21</v>
      </c>
      <c r="L7596" t="s" s="16">
        <f>HYPERLINK("http://csr.bu.edu/ftp/asl/asllvd/demos/verify_start_end_handshape_annotations//test_auto_move//signs_mov_separ_signers/Brady_5342.mov","MOV")</f>
        <v>21</v>
      </c>
      <c r="M7596" t="s" s="10">
        <v>31</v>
      </c>
      <c r="N7596" s="17">
        <v>26</v>
      </c>
      <c r="O7596" s="18">
        <v>16393</v>
      </c>
      <c r="P7596" s="18">
        <v>16413</v>
      </c>
      <c r="Q7596" t="s" s="16">
        <f>HYPERLINK("http://secrets.rutgers.edu:8080/data/asl-ftp/asllvd/demos/verify_start_end_handshape_annotations//test_auto_move//signs_mov/1910_5342_15063_merged.mov","MOV")</f>
        <v>21</v>
      </c>
      <c r="R7596" t="s" s="16">
        <f>HYPERLINK("http://secrets.rutgers.edu:8080/data/asl-ftp/asllvd/demos/verify_start_end_handshape_annotations//test_auto_move//signs_mov_separ_signers/Brady_5342.mov","MOV")</f>
        <v>21</v>
      </c>
    </row>
    <row r="7597" s="2" customFormat="1" ht="13.5" customHeight="1">
      <c r="B7597" s="13"/>
      <c r="C7597" t="s" s="9">
        <v>30</v>
      </c>
      <c r="D7597" t="s" s="8">
        <v>2688</v>
      </c>
      <c r="E7597" t="s" s="9">
        <v>2689</v>
      </c>
      <c r="F7597" t="s" s="10">
        <v>185</v>
      </c>
      <c r="G7597" s="14"/>
      <c r="H7597" t="s" s="10">
        <v>185</v>
      </c>
      <c r="I7597" s="14"/>
      <c r="J7597" t="s" s="11">
        <v>20</v>
      </c>
      <c r="K7597" s="15"/>
      <c r="L7597" t="s" s="16">
        <f>HYPERLINK("http://csr.bu.edu/ftp/asl/asllvd/demos/verify_start_end_handshape_annotations//test_auto_move//signs_mov_separ_signers/Brady_15063.mov","MOV")</f>
        <v>21</v>
      </c>
      <c r="M7597" t="s" s="10">
        <v>40</v>
      </c>
      <c r="N7597" s="17">
        <v>37</v>
      </c>
      <c r="O7597" s="18">
        <v>3784</v>
      </c>
      <c r="P7597" s="18">
        <v>3805</v>
      </c>
      <c r="Q7597" s="15"/>
      <c r="R7597" t="s" s="16">
        <f>HYPERLINK("http://secrets.rutgers.edu:8080/data/asl-ftp/asllvd/demos/verify_start_end_handshape_annotations//test_auto_move//signs_mov_separ_signers/Brady_15063.mov","MOV")</f>
        <v>21</v>
      </c>
    </row>
    <row r="7598" s="2" customFormat="1" ht="13.5" customHeight="1">
      <c r="B7598" s="13"/>
      <c r="C7598" t="s" s="9">
        <v>41</v>
      </c>
      <c r="D7598" t="s" s="8">
        <v>2688</v>
      </c>
      <c r="E7598" t="s" s="9">
        <v>2689</v>
      </c>
      <c r="F7598" t="s" s="10">
        <v>185</v>
      </c>
      <c r="G7598" s="14"/>
      <c r="H7598" t="s" s="10">
        <v>185</v>
      </c>
      <c r="I7598" s="14"/>
      <c r="J7598" t="s" s="11">
        <v>20</v>
      </c>
      <c r="K7598" s="15"/>
      <c r="L7598" t="s" s="16">
        <f>HYPERLINK("http://csr.bu.edu/ftp/asl/asllvd/demos/verify_start_end_handshape_annotations//test_auto_move//signs_mov_separ_signers/Lana_1910.mov","MOV")</f>
        <v>21</v>
      </c>
      <c r="M7598" t="s" s="10">
        <v>42</v>
      </c>
      <c r="N7598" s="17">
        <v>21</v>
      </c>
      <c r="O7598" s="18">
        <v>1868</v>
      </c>
      <c r="P7598" s="18">
        <v>1897</v>
      </c>
      <c r="Q7598" s="15"/>
      <c r="R7598" t="s" s="16">
        <f>HYPERLINK("http://secrets.rutgers.edu:8080/data/asl-ftp/asllvd/demos/verify_start_end_handshape_annotations//test_auto_move//signs_mov_separ_signers/Lana_1910.mov","MOV")</f>
        <v>21</v>
      </c>
    </row>
    <row r="7599" s="2" customFormat="1" ht="13.5" customHeight="1">
      <c r="B7599" t="s" s="8">
        <v>52</v>
      </c>
      <c r="C7599" t="s" s="9">
        <v>53</v>
      </c>
      <c r="D7599" t="s" s="8">
        <v>53</v>
      </c>
      <c r="E7599" t="s" s="9">
        <v>53</v>
      </c>
      <c r="F7599" t="s" s="10">
        <v>53</v>
      </c>
      <c r="G7599" t="s" s="11">
        <v>53</v>
      </c>
      <c r="H7599" t="s" s="10">
        <v>53</v>
      </c>
      <c r="I7599" t="s" s="11">
        <v>53</v>
      </c>
      <c r="J7599" t="s" s="11">
        <v>53</v>
      </c>
      <c r="K7599" t="s" s="12">
        <v>53</v>
      </c>
      <c r="L7599" t="s" s="12">
        <v>53</v>
      </c>
      <c r="M7599" t="s" s="10">
        <v>53</v>
      </c>
      <c r="N7599" t="s" s="11">
        <v>53</v>
      </c>
      <c r="O7599" t="s" s="8">
        <v>53</v>
      </c>
      <c r="P7599" t="s" s="8">
        <v>53</v>
      </c>
      <c r="Q7599" t="s" s="12">
        <v>53</v>
      </c>
      <c r="R7599" t="s" s="12">
        <v>53</v>
      </c>
    </row>
    <row r="7600" s="2" customFormat="1" ht="13.5" customHeight="1">
      <c r="B7600" s="13"/>
      <c r="C7600" t="s" s="9">
        <v>16</v>
      </c>
      <c r="D7600" t="s" s="8">
        <v>2688</v>
      </c>
      <c r="E7600" t="s" s="9">
        <v>2690</v>
      </c>
      <c r="F7600" t="s" s="10">
        <v>349</v>
      </c>
      <c r="G7600" s="14"/>
      <c r="H7600" t="s" s="10">
        <v>349</v>
      </c>
      <c r="I7600" s="14"/>
      <c r="J7600" t="s" s="11">
        <v>20</v>
      </c>
      <c r="K7600" s="15"/>
      <c r="L7600" t="s" s="16">
        <f>HYPERLINK("http://csr.bu.edu/ftp/asl/asllvd/demos/verify_start_end_handshape_annotations//test_auto_move//signs_mov_separ_signers/Liz_15286.mov","MOV")</f>
        <v>21</v>
      </c>
      <c r="M7600" t="s" s="10">
        <v>22</v>
      </c>
      <c r="N7600" s="17">
        <v>29</v>
      </c>
      <c r="O7600" s="18">
        <v>1820</v>
      </c>
      <c r="P7600" s="18">
        <v>1870</v>
      </c>
      <c r="Q7600" s="15"/>
      <c r="R7600" t="s" s="16">
        <f>HYPERLINK("http://secrets.rutgers.edu:8080/data/asl-ftp/asllvd/demos/verify_start_end_handshape_annotations//test_auto_move//signs_mov_separ_signers/Liz_15286.mov","MOV")</f>
        <v>21</v>
      </c>
    </row>
    <row r="7601" s="2" customFormat="1" ht="13.5" customHeight="1">
      <c r="B7601" s="13"/>
      <c r="C7601" t="s" s="9">
        <v>16</v>
      </c>
      <c r="D7601" t="s" s="8">
        <v>2688</v>
      </c>
      <c r="E7601" t="s" s="9">
        <v>2691</v>
      </c>
      <c r="F7601" t="s" s="10">
        <v>349</v>
      </c>
      <c r="G7601" s="14"/>
      <c r="H7601" t="s" s="10">
        <v>349</v>
      </c>
      <c r="I7601" s="14"/>
      <c r="J7601" t="s" s="11">
        <v>20</v>
      </c>
      <c r="K7601" s="15"/>
      <c r="L7601" t="s" s="16">
        <f>HYPERLINK("http://csr.bu.edu/ftp/asl/asllvd/demos/verify_start_end_handshape_annotations//test_auto_move//signs_mov_separ_signers/Liz_15482.mov","MOV")</f>
        <v>21</v>
      </c>
      <c r="M7601" t="s" s="10">
        <v>77</v>
      </c>
      <c r="N7601" s="17">
        <v>8</v>
      </c>
      <c r="O7601" s="18">
        <v>3052</v>
      </c>
      <c r="P7601" s="18">
        <v>3130</v>
      </c>
      <c r="Q7601" s="15"/>
      <c r="R7601" t="s" s="16">
        <f>HYPERLINK("http://secrets.rutgers.edu:8080/data/asl-ftp/asllvd/demos/verify_start_end_handshape_annotations//test_auto_move//signs_mov_separ_signers/Liz_15482.mov","MOV")</f>
        <v>21</v>
      </c>
    </row>
    <row r="7602" s="2" customFormat="1" ht="13.5" customHeight="1">
      <c r="B7602" s="13"/>
      <c r="C7602" t="s" s="9">
        <v>27</v>
      </c>
      <c r="D7602" t="s" s="8">
        <v>2688</v>
      </c>
      <c r="E7602" t="s" s="9">
        <v>2690</v>
      </c>
      <c r="F7602" t="s" s="10">
        <v>349</v>
      </c>
      <c r="G7602" s="14"/>
      <c r="H7602" t="s" s="10">
        <v>349</v>
      </c>
      <c r="I7602" s="14"/>
      <c r="J7602" t="s" s="11">
        <v>20</v>
      </c>
      <c r="K7602" t="s" s="16">
        <f>HYPERLINK("http://csr.bu.edu/ftp/asl/asllvd/demos/verify_start_end_handshape_annotations//test_auto_move//signs_mov/15286_15482_merged.mov","MOV")</f>
        <v>21</v>
      </c>
      <c r="L7602" t="s" s="16">
        <f>HYPERLINK("http://csr.bu.edu/ftp/asl/asllvd/demos/verify_start_end_handshape_annotations//test_auto_move//signs_mov_separ_signers/Naomi_15286.mov","MOV")</f>
        <v>21</v>
      </c>
      <c r="M7602" t="s" s="10">
        <v>29</v>
      </c>
      <c r="N7602" s="17">
        <v>19</v>
      </c>
      <c r="O7602" s="18">
        <v>1132</v>
      </c>
      <c r="P7602" s="18">
        <v>1163</v>
      </c>
      <c r="Q7602" t="s" s="16">
        <f>HYPERLINK("http://secrets.rutgers.edu:8080/data/asl-ftp/asllvd/demos/verify_start_end_handshape_annotations//test_auto_move//signs_mov/15286_15482_merged.mov","MOV")</f>
        <v>21</v>
      </c>
      <c r="R7602" t="s" s="16">
        <f>HYPERLINK("http://secrets.rutgers.edu:8080/data/asl-ftp/asllvd/demos/verify_start_end_handshape_annotations//test_auto_move//signs_mov_separ_signers/Naomi_15286.mov","MOV")</f>
        <v>21</v>
      </c>
    </row>
    <row r="7603" s="2" customFormat="1" ht="13.5" customHeight="1">
      <c r="B7603" s="13"/>
      <c r="C7603" t="s" s="9">
        <v>27</v>
      </c>
      <c r="D7603" t="s" s="8">
        <v>2688</v>
      </c>
      <c r="E7603" t="s" s="9">
        <v>2691</v>
      </c>
      <c r="F7603" t="s" s="10">
        <v>349</v>
      </c>
      <c r="G7603" s="14"/>
      <c r="H7603" t="s" s="10">
        <v>349</v>
      </c>
      <c r="I7603" s="14"/>
      <c r="J7603" t="s" s="11">
        <v>20</v>
      </c>
      <c r="K7603" s="15"/>
      <c r="L7603" t="s" s="16">
        <f>HYPERLINK("http://csr.bu.edu/ftp/asl/asllvd/demos/verify_start_end_handshape_annotations//test_auto_move//signs_mov_separ_signers/Naomi_15482.mov","MOV")</f>
        <v>21</v>
      </c>
      <c r="M7603" t="s" s="10">
        <v>86</v>
      </c>
      <c r="N7603" s="17">
        <v>15</v>
      </c>
      <c r="O7603" s="18">
        <v>2460</v>
      </c>
      <c r="P7603" s="18">
        <v>2492</v>
      </c>
      <c r="Q7603" s="15"/>
      <c r="R7603" t="s" s="16">
        <f>HYPERLINK("http://secrets.rutgers.edu:8080/data/asl-ftp/asllvd/demos/verify_start_end_handshape_annotations//test_auto_move//signs_mov_separ_signers/Naomi_15482.mov","MOV")</f>
        <v>21</v>
      </c>
    </row>
    <row r="7604" s="2" customFormat="1" ht="13.5" customHeight="1">
      <c r="B7604" s="13"/>
      <c r="C7604" t="s" s="9">
        <v>30</v>
      </c>
      <c r="D7604" t="s" s="8">
        <v>2688</v>
      </c>
      <c r="E7604" t="s" s="9">
        <v>2691</v>
      </c>
      <c r="F7604" t="s" s="10">
        <v>349</v>
      </c>
      <c r="G7604" s="14"/>
      <c r="H7604" t="s" s="10">
        <v>349</v>
      </c>
      <c r="I7604" s="14"/>
      <c r="J7604" t="s" s="11">
        <v>20</v>
      </c>
      <c r="K7604" s="15"/>
      <c r="L7604" t="s" s="16">
        <f>HYPERLINK("http://csr.bu.edu/ftp/asl/asllvd/demos/verify_start_end_handshape_annotations//test_auto_move//signs_mov_separ_signers/Brady_15286.mov","MOV")</f>
        <v>21</v>
      </c>
      <c r="M7604" t="s" s="10">
        <v>60</v>
      </c>
      <c r="N7604" s="17">
        <v>38</v>
      </c>
      <c r="O7604" s="18">
        <v>530</v>
      </c>
      <c r="P7604" s="18">
        <v>565</v>
      </c>
      <c r="Q7604" s="15"/>
      <c r="R7604" t="s" s="16">
        <f>HYPERLINK("http://secrets.rutgers.edu:8080/data/asl-ftp/asllvd/demos/verify_start_end_handshape_annotations//test_auto_move//signs_mov_separ_signers/Brady_15286.mov","MOV")</f>
        <v>21</v>
      </c>
    </row>
    <row r="7605" s="2" customFormat="1" ht="13.5" customHeight="1">
      <c r="B7605" s="13"/>
      <c r="C7605" t="s" s="9">
        <v>43</v>
      </c>
      <c r="D7605" t="s" s="8">
        <v>2688</v>
      </c>
      <c r="E7605" t="s" s="9">
        <v>2690</v>
      </c>
      <c r="F7605" t="s" s="10">
        <v>349</v>
      </c>
      <c r="G7605" s="14"/>
      <c r="H7605" t="s" s="10">
        <v>349</v>
      </c>
      <c r="I7605" s="14"/>
      <c r="J7605" t="s" s="11">
        <v>20</v>
      </c>
      <c r="K7605" s="15"/>
      <c r="L7605" t="s" s="16">
        <f>HYPERLINK("http://csr.bu.edu/ftp/asl/asllvd/demos/verify_start_end_handshape_annotations//test_auto_move//signs_mov_separ_signers/Dana_15286.mov","MOV")</f>
        <v>21</v>
      </c>
      <c r="M7605" t="s" s="10">
        <v>44</v>
      </c>
      <c r="N7605" s="17">
        <v>23</v>
      </c>
      <c r="O7605" s="18">
        <v>2017</v>
      </c>
      <c r="P7605" s="18">
        <v>2067</v>
      </c>
      <c r="Q7605" s="15"/>
      <c r="R7605" t="s" s="16">
        <f>HYPERLINK("http://secrets.rutgers.edu:8080/data/asl-ftp/asllvd/demos/verify_start_end_handshape_annotations//test_auto_move//signs_mov_separ_signers/Dana_15286.mov","MOV")</f>
        <v>21</v>
      </c>
    </row>
    <row r="7606" s="2" customFormat="1" ht="13.5" customHeight="1">
      <c r="B7606" t="s" s="8">
        <v>2692</v>
      </c>
      <c r="C7606" t="s" s="9">
        <v>14</v>
      </c>
      <c r="D7606" t="s" s="8">
        <v>14</v>
      </c>
      <c r="E7606" t="s" s="9">
        <v>14</v>
      </c>
      <c r="F7606" t="s" s="10">
        <v>14</v>
      </c>
      <c r="G7606" t="s" s="11">
        <v>14</v>
      </c>
      <c r="H7606" t="s" s="10">
        <v>14</v>
      </c>
      <c r="I7606" t="s" s="11">
        <v>14</v>
      </c>
      <c r="J7606" t="s" s="11">
        <v>14</v>
      </c>
      <c r="K7606" t="s" s="12">
        <v>14</v>
      </c>
      <c r="L7606" t="s" s="12">
        <v>14</v>
      </c>
      <c r="M7606" t="s" s="10">
        <v>14</v>
      </c>
      <c r="N7606" t="s" s="11">
        <v>14</v>
      </c>
      <c r="O7606" t="s" s="8">
        <v>14</v>
      </c>
      <c r="P7606" t="s" s="8">
        <v>14</v>
      </c>
      <c r="Q7606" t="s" s="12">
        <v>14</v>
      </c>
      <c r="R7606" t="s" s="12">
        <v>14</v>
      </c>
    </row>
    <row r="7607" s="2" customFormat="1" ht="13.5" customHeight="1">
      <c r="B7607" s="13"/>
      <c r="C7607" t="s" s="9">
        <v>16</v>
      </c>
      <c r="D7607" t="s" s="8">
        <v>2692</v>
      </c>
      <c r="E7607" t="s" s="9">
        <v>2693</v>
      </c>
      <c r="F7607" t="s" s="10">
        <v>51</v>
      </c>
      <c r="G7607" s="14"/>
      <c r="H7607" t="s" s="10">
        <v>51</v>
      </c>
      <c r="I7607" s="14"/>
      <c r="J7607" t="s" s="11">
        <v>20</v>
      </c>
      <c r="K7607" t="s" s="16">
        <f>HYPERLINK("http://csr.bu.edu/ftp/asl/asllvd/demos/verify_start_end_handshape_annotations//test_auto_move//signs_mov/16273.mov","MOV")</f>
        <v>21</v>
      </c>
      <c r="L7607" t="s" s="16">
        <f>HYPERLINK("http://csr.bu.edu/ftp/asl/asllvd/demos/verify_start_end_handshape_annotations//test_auto_move//signs_mov_separ_signers/Liz_16273.mov","MOV")</f>
        <v>21</v>
      </c>
      <c r="M7607" t="s" s="10">
        <v>84</v>
      </c>
      <c r="N7607" s="17">
        <v>15</v>
      </c>
      <c r="O7607" s="18">
        <v>1955</v>
      </c>
      <c r="P7607" s="18">
        <v>2015</v>
      </c>
      <c r="Q7607" t="s" s="16">
        <f>HYPERLINK("http://secrets.rutgers.edu:8080/data/asl-ftp/asllvd/demos/verify_start_end_handshape_annotations//test_auto_move//signs_mov/16273.mov","MOV")</f>
        <v>21</v>
      </c>
      <c r="R7607" t="s" s="16">
        <f>HYPERLINK("http://secrets.rutgers.edu:8080/data/asl-ftp/asllvd/demos/verify_start_end_handshape_annotations//test_auto_move//signs_mov_separ_signers/Liz_16273.mov","MOV")</f>
        <v>21</v>
      </c>
    </row>
    <row r="7608" s="2" customFormat="1" ht="13.5" customHeight="1">
      <c r="B7608" s="13"/>
      <c r="C7608" t="s" s="9">
        <v>30</v>
      </c>
      <c r="D7608" t="s" s="8">
        <v>2692</v>
      </c>
      <c r="E7608" t="s" s="9">
        <v>2693</v>
      </c>
      <c r="F7608" t="s" s="10">
        <v>51</v>
      </c>
      <c r="G7608" s="14"/>
      <c r="H7608" t="s" s="10">
        <v>51</v>
      </c>
      <c r="I7608" s="14"/>
      <c r="J7608" t="s" s="11">
        <v>20</v>
      </c>
      <c r="K7608" s="15"/>
      <c r="L7608" t="s" s="16">
        <f>HYPERLINK("http://csr.bu.edu/ftp/asl/asllvd/demos/verify_start_end_handshape_annotations//test_auto_move//signs_mov_separ_signers/Brady_16273.mov","MOV")</f>
        <v>21</v>
      </c>
      <c r="M7608" t="s" s="10">
        <v>31</v>
      </c>
      <c r="N7608" s="17">
        <v>33</v>
      </c>
      <c r="O7608" s="18">
        <v>8260</v>
      </c>
      <c r="P7608" s="18">
        <v>8292</v>
      </c>
      <c r="Q7608" s="15"/>
      <c r="R7608" t="s" s="16">
        <f>HYPERLINK("http://secrets.rutgers.edu:8080/data/asl-ftp/asllvd/demos/verify_start_end_handshape_annotations//test_auto_move//signs_mov_separ_signers/Brady_16273.mov","MOV")</f>
        <v>21</v>
      </c>
    </row>
    <row r="7609" s="2" customFormat="1" ht="13.5" customHeight="1">
      <c r="B7609" t="s" s="8">
        <v>2694</v>
      </c>
      <c r="C7609" t="s" s="9">
        <v>14</v>
      </c>
      <c r="D7609" t="s" s="8">
        <v>14</v>
      </c>
      <c r="E7609" t="s" s="9">
        <v>14</v>
      </c>
      <c r="F7609" t="s" s="10">
        <v>14</v>
      </c>
      <c r="G7609" t="s" s="11">
        <v>14</v>
      </c>
      <c r="H7609" t="s" s="10">
        <v>14</v>
      </c>
      <c r="I7609" t="s" s="11">
        <v>14</v>
      </c>
      <c r="J7609" t="s" s="11">
        <v>14</v>
      </c>
      <c r="K7609" t="s" s="12">
        <v>14</v>
      </c>
      <c r="L7609" t="s" s="12">
        <v>14</v>
      </c>
      <c r="M7609" t="s" s="10">
        <v>14</v>
      </c>
      <c r="N7609" t="s" s="11">
        <v>14</v>
      </c>
      <c r="O7609" t="s" s="8">
        <v>14</v>
      </c>
      <c r="P7609" t="s" s="8">
        <v>14</v>
      </c>
      <c r="Q7609" t="s" s="12">
        <v>14</v>
      </c>
      <c r="R7609" t="s" s="12">
        <v>14</v>
      </c>
    </row>
    <row r="7610" s="2" customFormat="1" ht="13.5" customHeight="1">
      <c r="B7610" s="13"/>
      <c r="C7610" t="s" s="9">
        <v>16</v>
      </c>
      <c r="D7610" t="s" s="8">
        <v>2694</v>
      </c>
      <c r="E7610" t="s" s="9">
        <v>2694</v>
      </c>
      <c r="F7610" t="s" s="10">
        <v>65</v>
      </c>
      <c r="G7610" t="s" s="11">
        <v>150</v>
      </c>
      <c r="H7610" t="s" s="10">
        <v>65</v>
      </c>
      <c r="I7610" t="s" s="11">
        <v>150</v>
      </c>
      <c r="J7610" t="s" s="11">
        <v>20</v>
      </c>
      <c r="K7610" t="s" s="16">
        <f>HYPERLINK("http://csr.bu.edu/ftp/asl/asllvd/demos/verify_start_end_handshape_annotations//test_auto_move//signs_mov/1914.mov","MOV")</f>
        <v>21</v>
      </c>
      <c r="L7610" t="s" s="16">
        <f>HYPERLINK("http://csr.bu.edu/ftp/asl/asllvd/demos/verify_start_end_handshape_annotations//test_auto_move//signs_mov_separ_signers/Liz_1914.mov","MOV")</f>
        <v>21</v>
      </c>
      <c r="M7610" t="s" s="10">
        <v>88</v>
      </c>
      <c r="N7610" s="17">
        <v>44</v>
      </c>
      <c r="O7610" s="18">
        <v>1255</v>
      </c>
      <c r="P7610" s="18">
        <v>1320</v>
      </c>
      <c r="Q7610" t="s" s="16">
        <f>HYPERLINK("http://secrets.rutgers.edu:8080/data/asl-ftp/asllvd/demos/verify_start_end_handshape_annotations//test_auto_move//signs_mov/1914.mov","MOV")</f>
        <v>21</v>
      </c>
      <c r="R7610" t="s" s="16">
        <f>HYPERLINK("http://secrets.rutgers.edu:8080/data/asl-ftp/asllvd/demos/verify_start_end_handshape_annotations//test_auto_move//signs_mov_separ_signers/Liz_1914.mov","MOV")</f>
        <v>21</v>
      </c>
    </row>
    <row r="7611" s="2" customFormat="1" ht="13.5" customHeight="1">
      <c r="B7611" s="13"/>
      <c r="C7611" t="s" s="9">
        <v>30</v>
      </c>
      <c r="D7611" t="s" s="8">
        <v>2694</v>
      </c>
      <c r="E7611" t="s" s="9">
        <v>2694</v>
      </c>
      <c r="F7611" t="s" s="10">
        <v>65</v>
      </c>
      <c r="G7611" t="s" s="11">
        <v>63</v>
      </c>
      <c r="H7611" t="s" s="10">
        <v>65</v>
      </c>
      <c r="I7611" t="s" s="11">
        <v>63</v>
      </c>
      <c r="J7611" t="s" s="11">
        <v>20</v>
      </c>
      <c r="K7611" s="15"/>
      <c r="L7611" t="s" s="16">
        <f>HYPERLINK("http://csr.bu.edu/ftp/asl/asllvd/demos/verify_start_end_handshape_annotations//test_auto_move//signs_mov_separ_signers/Brady_1914.mov","MOV")</f>
        <v>21</v>
      </c>
      <c r="M7611" t="s" s="10">
        <v>40</v>
      </c>
      <c r="N7611" s="17">
        <v>38</v>
      </c>
      <c r="O7611" s="18">
        <v>1098</v>
      </c>
      <c r="P7611" s="18">
        <v>1151</v>
      </c>
      <c r="Q7611" s="15"/>
      <c r="R7611" t="s" s="16">
        <f>HYPERLINK("http://secrets.rutgers.edu:8080/data/asl-ftp/asllvd/demos/verify_start_end_handshape_annotations//test_auto_move//signs_mov_separ_signers/Brady_1914.mov","MOV")</f>
        <v>21</v>
      </c>
    </row>
    <row r="7612" s="2" customFormat="1" ht="13.5" customHeight="1">
      <c r="B7612" t="s" s="8">
        <v>2695</v>
      </c>
      <c r="C7612" t="s" s="9">
        <v>14</v>
      </c>
      <c r="D7612" t="s" s="8">
        <v>14</v>
      </c>
      <c r="E7612" t="s" s="9">
        <v>14</v>
      </c>
      <c r="F7612" t="s" s="10">
        <v>14</v>
      </c>
      <c r="G7612" t="s" s="11">
        <v>14</v>
      </c>
      <c r="H7612" t="s" s="10">
        <v>14</v>
      </c>
      <c r="I7612" t="s" s="11">
        <v>14</v>
      </c>
      <c r="J7612" t="s" s="11">
        <v>14</v>
      </c>
      <c r="K7612" t="s" s="12">
        <v>14</v>
      </c>
      <c r="L7612" t="s" s="12">
        <v>14</v>
      </c>
      <c r="M7612" t="s" s="10">
        <v>14</v>
      </c>
      <c r="N7612" t="s" s="11">
        <v>14</v>
      </c>
      <c r="O7612" t="s" s="8">
        <v>14</v>
      </c>
      <c r="P7612" t="s" s="8">
        <v>14</v>
      </c>
      <c r="Q7612" t="s" s="12">
        <v>14</v>
      </c>
      <c r="R7612" t="s" s="12">
        <v>14</v>
      </c>
    </row>
    <row r="7613" s="2" customFormat="1" ht="13.5" customHeight="1">
      <c r="B7613" s="13"/>
      <c r="C7613" t="s" s="9">
        <v>16</v>
      </c>
      <c r="D7613" t="s" s="8">
        <v>2695</v>
      </c>
      <c r="E7613" t="s" s="9">
        <v>2696</v>
      </c>
      <c r="F7613" t="s" s="10">
        <v>72</v>
      </c>
      <c r="G7613" t="s" s="11">
        <v>68</v>
      </c>
      <c r="H7613" t="s" s="10">
        <v>119</v>
      </c>
      <c r="I7613" t="s" s="11">
        <v>68</v>
      </c>
      <c r="J7613" t="s" s="11">
        <v>136</v>
      </c>
      <c r="K7613" t="s" s="16">
        <f>HYPERLINK("http://csr.bu.edu/ftp/asl/asllvd/demos/verify_start_end_handshape_annotations//test_auto_move//signs_mov/1915.mov","MOV")</f>
        <v>21</v>
      </c>
      <c r="L7613" t="s" s="16">
        <f>HYPERLINK("http://csr.bu.edu/ftp/asl/asllvd/demos/verify_start_end_handshape_annotations//test_auto_move//signs_mov_separ_signers/Liz_1915.mov","MOV")</f>
        <v>21</v>
      </c>
      <c r="M7613" t="s" s="10">
        <v>88</v>
      </c>
      <c r="N7613" s="17">
        <v>44</v>
      </c>
      <c r="O7613" s="18">
        <v>1460</v>
      </c>
      <c r="P7613" s="18">
        <v>1520</v>
      </c>
      <c r="Q7613" t="s" s="16">
        <f>HYPERLINK("http://secrets.rutgers.edu:8080/data/asl-ftp/asllvd/demos/verify_start_end_handshape_annotations//test_auto_move//signs_mov/1915.mov","MOV")</f>
        <v>21</v>
      </c>
      <c r="R7613" t="s" s="16">
        <f>HYPERLINK("http://secrets.rutgers.edu:8080/data/asl-ftp/asllvd/demos/verify_start_end_handshape_annotations//test_auto_move//signs_mov_separ_signers/Liz_1915.mov","MOV")</f>
        <v>21</v>
      </c>
    </row>
    <row r="7614" s="2" customFormat="1" ht="13.5" customHeight="1">
      <c r="B7614" s="13"/>
      <c r="C7614" t="s" s="9">
        <v>30</v>
      </c>
      <c r="D7614" t="s" s="8">
        <v>2695</v>
      </c>
      <c r="E7614" t="s" s="9">
        <v>2696</v>
      </c>
      <c r="F7614" t="s" s="10">
        <v>72</v>
      </c>
      <c r="G7614" t="s" s="11">
        <v>68</v>
      </c>
      <c r="H7614" t="s" s="10">
        <v>119</v>
      </c>
      <c r="I7614" t="s" s="11">
        <v>68</v>
      </c>
      <c r="J7614" t="s" s="11">
        <v>20</v>
      </c>
      <c r="K7614" s="15"/>
      <c r="L7614" t="s" s="16">
        <f>HYPERLINK("http://csr.bu.edu/ftp/asl/asllvd/demos/verify_start_end_handshape_annotations//test_auto_move//signs_mov_separ_signers/Brady_1915.mov","MOV")</f>
        <v>21</v>
      </c>
      <c r="M7614" t="s" s="10">
        <v>40</v>
      </c>
      <c r="N7614" s="17">
        <v>38</v>
      </c>
      <c r="O7614" s="18">
        <v>1352</v>
      </c>
      <c r="P7614" s="18">
        <v>1380</v>
      </c>
      <c r="Q7614" s="15"/>
      <c r="R7614" t="s" s="16">
        <f>HYPERLINK("http://secrets.rutgers.edu:8080/data/asl-ftp/asllvd/demos/verify_start_end_handshape_annotations//test_auto_move//signs_mov_separ_signers/Brady_1915.mov","MOV")</f>
        <v>21</v>
      </c>
    </row>
    <row r="7615" s="2" customFormat="1" ht="13.5" customHeight="1">
      <c r="B7615" t="s" s="8">
        <v>2697</v>
      </c>
      <c r="C7615" t="s" s="9">
        <v>14</v>
      </c>
      <c r="D7615" t="s" s="8">
        <v>14</v>
      </c>
      <c r="E7615" t="s" s="9">
        <v>14</v>
      </c>
      <c r="F7615" t="s" s="10">
        <v>14</v>
      </c>
      <c r="G7615" t="s" s="11">
        <v>14</v>
      </c>
      <c r="H7615" t="s" s="10">
        <v>14</v>
      </c>
      <c r="I7615" t="s" s="11">
        <v>14</v>
      </c>
      <c r="J7615" t="s" s="11">
        <v>14</v>
      </c>
      <c r="K7615" t="s" s="12">
        <v>14</v>
      </c>
      <c r="L7615" t="s" s="12">
        <v>14</v>
      </c>
      <c r="M7615" t="s" s="10">
        <v>14</v>
      </c>
      <c r="N7615" t="s" s="11">
        <v>14</v>
      </c>
      <c r="O7615" t="s" s="8">
        <v>14</v>
      </c>
      <c r="P7615" t="s" s="8">
        <v>14</v>
      </c>
      <c r="Q7615" t="s" s="12">
        <v>14</v>
      </c>
      <c r="R7615" t="s" s="12">
        <v>14</v>
      </c>
    </row>
    <row r="7616" s="2" customFormat="1" ht="13.5" customHeight="1">
      <c r="B7616" s="13"/>
      <c r="C7616" t="s" s="9">
        <v>16</v>
      </c>
      <c r="D7616" t="s" s="8">
        <v>2697</v>
      </c>
      <c r="E7616" t="s" s="9">
        <v>2697</v>
      </c>
      <c r="F7616" t="s" s="10">
        <v>65</v>
      </c>
      <c r="G7616" t="s" s="11">
        <v>65</v>
      </c>
      <c r="H7616" s="19">
        <v>10</v>
      </c>
      <c r="I7616" t="s" s="11">
        <v>65</v>
      </c>
      <c r="J7616" t="s" s="11">
        <v>20</v>
      </c>
      <c r="K7616" s="15"/>
      <c r="L7616" t="s" s="16">
        <f>HYPERLINK("http://csr.bu.edu/ftp/asl/asllvd/demos/verify_start_end_handshape_annotations//test_auto_move//signs_mov_separ_signers/Liz_1916.mov","MOV")</f>
        <v>21</v>
      </c>
      <c r="M7616" t="s" s="10">
        <v>22</v>
      </c>
      <c r="N7616" s="17">
        <v>69</v>
      </c>
      <c r="O7616" s="18">
        <v>645</v>
      </c>
      <c r="P7616" s="18">
        <v>666</v>
      </c>
      <c r="Q7616" s="15"/>
      <c r="R7616" t="s" s="16">
        <f>HYPERLINK("http://secrets.rutgers.edu:8080/data/asl-ftp/asllvd/demos/verify_start_end_handshape_annotations//test_auto_move//signs_mov_separ_signers/Liz_1916.mov","MOV")</f>
        <v>21</v>
      </c>
    </row>
    <row r="7617" s="2" customFormat="1" ht="13.5" customHeight="1">
      <c r="B7617" s="13"/>
      <c r="C7617" t="s" s="9">
        <v>16</v>
      </c>
      <c r="D7617" t="s" s="8">
        <v>2697</v>
      </c>
      <c r="E7617" t="s" s="9">
        <v>2697</v>
      </c>
      <c r="F7617" t="s" s="10">
        <v>65</v>
      </c>
      <c r="G7617" t="s" s="11">
        <v>65</v>
      </c>
      <c r="H7617" s="19">
        <v>10</v>
      </c>
      <c r="I7617" t="s" s="11">
        <v>65</v>
      </c>
      <c r="J7617" t="s" s="11">
        <v>20</v>
      </c>
      <c r="K7617" s="15"/>
      <c r="L7617" t="s" s="16">
        <f>HYPERLINK("http://csr.bu.edu/ftp/asl/asllvd/demos/verify_start_end_handshape_annotations//test_auto_move//signs_mov_separ_signers/Liz_3375.mov","MOV")</f>
        <v>21</v>
      </c>
      <c r="M7617" t="s" s="10">
        <v>88</v>
      </c>
      <c r="N7617" s="17">
        <v>44</v>
      </c>
      <c r="O7617" s="18">
        <v>2217</v>
      </c>
      <c r="P7617" s="18">
        <v>2255</v>
      </c>
      <c r="Q7617" s="15"/>
      <c r="R7617" t="s" s="16">
        <f>HYPERLINK("http://secrets.rutgers.edu:8080/data/asl-ftp/asllvd/demos/verify_start_end_handshape_annotations//test_auto_move//signs_mov_separ_signers/Liz_3375.mov","MOV")</f>
        <v>21</v>
      </c>
    </row>
    <row r="7618" s="2" customFormat="1" ht="13.5" customHeight="1">
      <c r="B7618" s="13"/>
      <c r="C7618" t="s" s="9">
        <v>27</v>
      </c>
      <c r="D7618" t="s" s="8">
        <v>2697</v>
      </c>
      <c r="E7618" t="s" s="9">
        <v>2697</v>
      </c>
      <c r="F7618" t="s" s="10">
        <v>65</v>
      </c>
      <c r="G7618" t="s" s="11">
        <v>63</v>
      </c>
      <c r="H7618" s="19">
        <v>10</v>
      </c>
      <c r="I7618" t="s" s="11">
        <v>63</v>
      </c>
      <c r="J7618" t="s" s="11">
        <v>20</v>
      </c>
      <c r="K7618" t="s" s="16">
        <f>HYPERLINK("http://csr.bu.edu/ftp/asl/asllvd/demos/verify_start_end_handshape_annotations//test_auto_move//signs_mov/1916_3375_merged.mov","MOV")</f>
        <v>21</v>
      </c>
      <c r="L7618" t="s" s="16">
        <f>HYPERLINK("http://csr.bu.edu/ftp/asl/asllvd/demos/verify_start_end_handshape_annotations//test_auto_move//signs_mov_separ_signers/Naomi_1916.mov","MOV")</f>
        <v>21</v>
      </c>
      <c r="M7618" t="s" s="10">
        <v>29</v>
      </c>
      <c r="N7618" s="17">
        <v>44</v>
      </c>
      <c r="O7618" s="18">
        <v>545</v>
      </c>
      <c r="P7618" s="18">
        <v>560</v>
      </c>
      <c r="Q7618" t="s" s="16">
        <f>HYPERLINK("http://secrets.rutgers.edu:8080/data/asl-ftp/asllvd/demos/verify_start_end_handshape_annotations//test_auto_move//signs_mov/1916_3375_merged.mov","MOV")</f>
        <v>21</v>
      </c>
      <c r="R7618" t="s" s="16">
        <f>HYPERLINK("http://secrets.rutgers.edu:8080/data/asl-ftp/asllvd/demos/verify_start_end_handshape_annotations//test_auto_move//signs_mov_separ_signers/Naomi_1916.mov","MOV")</f>
        <v>21</v>
      </c>
    </row>
    <row r="7619" s="2" customFormat="1" ht="13.5" customHeight="1">
      <c r="B7619" s="13"/>
      <c r="C7619" t="s" s="9">
        <v>30</v>
      </c>
      <c r="D7619" t="s" s="8">
        <v>2697</v>
      </c>
      <c r="E7619" t="s" s="9">
        <v>2697</v>
      </c>
      <c r="F7619" t="s" s="10">
        <v>65</v>
      </c>
      <c r="G7619" t="s" s="11">
        <v>63</v>
      </c>
      <c r="H7619" s="19">
        <v>10</v>
      </c>
      <c r="I7619" t="s" s="11">
        <v>63</v>
      </c>
      <c r="J7619" t="s" s="11">
        <v>20</v>
      </c>
      <c r="K7619" s="15"/>
      <c r="L7619" t="s" s="16">
        <f>HYPERLINK("http://csr.bu.edu/ftp/asl/asllvd/demos/verify_start_end_handshape_annotations//test_auto_move//signs_mov_separ_signers/Brady_1916.mov","MOV")</f>
        <v>21</v>
      </c>
      <c r="M7619" t="s" s="10">
        <v>40</v>
      </c>
      <c r="N7619" s="17">
        <v>38</v>
      </c>
      <c r="O7619" s="18">
        <v>1594</v>
      </c>
      <c r="P7619" s="18">
        <v>1614</v>
      </c>
      <c r="Q7619" s="15"/>
      <c r="R7619" t="s" s="16">
        <f>HYPERLINK("http://secrets.rutgers.edu:8080/data/asl-ftp/asllvd/demos/verify_start_end_handshape_annotations//test_auto_move//signs_mov_separ_signers/Brady_1916.mov","MOV")</f>
        <v>21</v>
      </c>
    </row>
    <row r="7620" s="2" customFormat="1" ht="13.5" customHeight="1">
      <c r="B7620" s="13"/>
      <c r="C7620" t="s" s="9">
        <v>30</v>
      </c>
      <c r="D7620" t="s" s="8">
        <v>2697</v>
      </c>
      <c r="E7620" t="s" s="9">
        <v>2697</v>
      </c>
      <c r="F7620" t="s" s="10">
        <v>63</v>
      </c>
      <c r="G7620" t="s" s="11">
        <v>63</v>
      </c>
      <c r="H7620" s="19">
        <v>10</v>
      </c>
      <c r="I7620" t="s" s="11">
        <v>63</v>
      </c>
      <c r="J7620" t="s" s="11">
        <v>20</v>
      </c>
      <c r="K7620" s="15"/>
      <c r="L7620" t="s" s="16">
        <f>HYPERLINK("http://csr.bu.edu/ftp/asl/asllvd/demos/verify_start_end_handshape_annotations//test_auto_move//signs_mov_separ_signers/Brady_3375.mov","MOV")</f>
        <v>21</v>
      </c>
      <c r="M7620" t="s" s="10">
        <v>60</v>
      </c>
      <c r="N7620" s="17">
        <v>39</v>
      </c>
      <c r="O7620" s="18">
        <v>3670</v>
      </c>
      <c r="P7620" s="18">
        <v>3686</v>
      </c>
      <c r="Q7620" s="15"/>
      <c r="R7620" t="s" s="16">
        <f>HYPERLINK("http://secrets.rutgers.edu:8080/data/asl-ftp/asllvd/demos/verify_start_end_handshape_annotations//test_auto_move//signs_mov_separ_signers/Brady_3375.mov","MOV")</f>
        <v>21</v>
      </c>
    </row>
    <row r="7621" s="2" customFormat="1" ht="13.5" customHeight="1">
      <c r="B7621" t="s" s="8">
        <v>2698</v>
      </c>
      <c r="C7621" t="s" s="9">
        <v>14</v>
      </c>
      <c r="D7621" t="s" s="8">
        <v>14</v>
      </c>
      <c r="E7621" t="s" s="9">
        <v>14</v>
      </c>
      <c r="F7621" t="s" s="10">
        <v>14</v>
      </c>
      <c r="G7621" t="s" s="11">
        <v>14</v>
      </c>
      <c r="H7621" t="s" s="10">
        <v>14</v>
      </c>
      <c r="I7621" t="s" s="11">
        <v>14</v>
      </c>
      <c r="J7621" t="s" s="11">
        <v>14</v>
      </c>
      <c r="K7621" t="s" s="12">
        <v>14</v>
      </c>
      <c r="L7621" t="s" s="12">
        <v>14</v>
      </c>
      <c r="M7621" t="s" s="10">
        <v>14</v>
      </c>
      <c r="N7621" t="s" s="11">
        <v>14</v>
      </c>
      <c r="O7621" t="s" s="8">
        <v>14</v>
      </c>
      <c r="P7621" t="s" s="8">
        <v>14</v>
      </c>
      <c r="Q7621" t="s" s="12">
        <v>14</v>
      </c>
      <c r="R7621" t="s" s="12">
        <v>14</v>
      </c>
    </row>
    <row r="7622" s="2" customFormat="1" ht="13.5" customHeight="1">
      <c r="B7622" s="13"/>
      <c r="C7622" t="s" s="9">
        <v>16</v>
      </c>
      <c r="D7622" t="s" s="8">
        <v>2698</v>
      </c>
      <c r="E7622" t="s" s="9">
        <v>2699</v>
      </c>
      <c r="F7622" t="s" s="10">
        <v>68</v>
      </c>
      <c r="G7622" t="s" s="11">
        <v>68</v>
      </c>
      <c r="H7622" s="19">
        <v>1</v>
      </c>
      <c r="I7622" s="17">
        <v>1</v>
      </c>
      <c r="J7622" t="s" s="11">
        <v>20</v>
      </c>
      <c r="K7622" t="s" s="16">
        <f>HYPERLINK("http://csr.bu.edu/ftp/asl/asllvd/demos/verify_start_end_handshape_annotations//test_auto_move//signs_mov/1917.mov","MOV")</f>
        <v>21</v>
      </c>
      <c r="L7622" t="s" s="16">
        <f>HYPERLINK("http://csr.bu.edu/ftp/asl/asllvd/demos/verify_start_end_handshape_annotations//test_auto_move//signs_mov_separ_signers/Liz_1917.mov","MOV")</f>
        <v>21</v>
      </c>
      <c r="M7622" t="s" s="10">
        <v>88</v>
      </c>
      <c r="N7622" s="17">
        <v>44</v>
      </c>
      <c r="O7622" s="18">
        <v>2484</v>
      </c>
      <c r="P7622" s="18">
        <v>2537</v>
      </c>
      <c r="Q7622" t="s" s="16">
        <f>HYPERLINK("http://secrets.rutgers.edu:8080/data/asl-ftp/asllvd/demos/verify_start_end_handshape_annotations//test_auto_move//signs_mov/1917.mov","MOV")</f>
        <v>21</v>
      </c>
      <c r="R7622" t="s" s="16">
        <f>HYPERLINK("http://secrets.rutgers.edu:8080/data/asl-ftp/asllvd/demos/verify_start_end_handshape_annotations//test_auto_move//signs_mov_separ_signers/Liz_1917.mov","MOV")</f>
        <v>21</v>
      </c>
    </row>
    <row r="7623" s="2" customFormat="1" ht="13.5" customHeight="1">
      <c r="B7623" s="13"/>
      <c r="C7623" t="s" s="9">
        <v>30</v>
      </c>
      <c r="D7623" t="s" s="8">
        <v>2698</v>
      </c>
      <c r="E7623" t="s" s="9">
        <v>2699</v>
      </c>
      <c r="F7623" t="s" s="10">
        <v>68</v>
      </c>
      <c r="G7623" t="s" s="11">
        <v>68</v>
      </c>
      <c r="H7623" s="19">
        <v>1</v>
      </c>
      <c r="I7623" t="s" s="11">
        <v>68</v>
      </c>
      <c r="J7623" t="s" s="11">
        <v>20</v>
      </c>
      <c r="K7623" s="15"/>
      <c r="L7623" t="s" s="16">
        <f>HYPERLINK("http://csr.bu.edu/ftp/asl/asllvd/demos/verify_start_end_handshape_annotations//test_auto_move//signs_mov_separ_signers/Brady_1917.mov","MOV")</f>
        <v>21</v>
      </c>
      <c r="M7623" t="s" s="10">
        <v>40</v>
      </c>
      <c r="N7623" s="17">
        <v>38</v>
      </c>
      <c r="O7623" s="18">
        <v>1825</v>
      </c>
      <c r="P7623" s="18">
        <v>1882</v>
      </c>
      <c r="Q7623" s="15"/>
      <c r="R7623" t="s" s="16">
        <f>HYPERLINK("http://secrets.rutgers.edu:8080/data/asl-ftp/asllvd/demos/verify_start_end_handshape_annotations//test_auto_move//signs_mov_separ_signers/Brady_1917.mov","MOV")</f>
        <v>21</v>
      </c>
    </row>
    <row r="7624" s="2" customFormat="1" ht="13.5" customHeight="1">
      <c r="B7624" t="s" s="8">
        <v>2700</v>
      </c>
      <c r="C7624" t="s" s="9">
        <v>14</v>
      </c>
      <c r="D7624" t="s" s="8">
        <v>14</v>
      </c>
      <c r="E7624" t="s" s="9">
        <v>14</v>
      </c>
      <c r="F7624" t="s" s="10">
        <v>14</v>
      </c>
      <c r="G7624" t="s" s="11">
        <v>14</v>
      </c>
      <c r="H7624" t="s" s="10">
        <v>14</v>
      </c>
      <c r="I7624" t="s" s="11">
        <v>14</v>
      </c>
      <c r="J7624" t="s" s="11">
        <v>14</v>
      </c>
      <c r="K7624" t="s" s="12">
        <v>14</v>
      </c>
      <c r="L7624" t="s" s="12">
        <v>14</v>
      </c>
      <c r="M7624" t="s" s="10">
        <v>14</v>
      </c>
      <c r="N7624" t="s" s="11">
        <v>14</v>
      </c>
      <c r="O7624" t="s" s="8">
        <v>14</v>
      </c>
      <c r="P7624" t="s" s="8">
        <v>14</v>
      </c>
      <c r="Q7624" t="s" s="12">
        <v>14</v>
      </c>
      <c r="R7624" t="s" s="12">
        <v>14</v>
      </c>
    </row>
    <row r="7625" s="2" customFormat="1" ht="13.5" customHeight="1">
      <c r="B7625" s="13"/>
      <c r="C7625" t="s" s="9">
        <v>30</v>
      </c>
      <c r="D7625" t="s" s="8">
        <v>2700</v>
      </c>
      <c r="E7625" t="s" s="9">
        <v>2700</v>
      </c>
      <c r="F7625" s="19">
        <v>3</v>
      </c>
      <c r="G7625" s="14"/>
      <c r="H7625" s="19">
        <v>3</v>
      </c>
      <c r="I7625" s="14"/>
      <c r="J7625" t="s" s="11">
        <v>20</v>
      </c>
      <c r="K7625" t="s" s="16">
        <f>HYPERLINK("http://csr.bu.edu/ftp/asl/asllvd/demos/verify_start_end_handshape_annotations//test_auto_move//signs_mov/1918.mov","MOV")</f>
        <v>21</v>
      </c>
      <c r="L7625" t="s" s="16">
        <f>HYPERLINK("http://csr.bu.edu/ftp/asl/asllvd/demos/verify_start_end_handshape_annotations//test_auto_move//signs_mov_separ_signers/Brady_1918.mov","MOV")</f>
        <v>21</v>
      </c>
      <c r="M7625" t="s" s="10">
        <v>40</v>
      </c>
      <c r="N7625" s="17">
        <v>38</v>
      </c>
      <c r="O7625" s="18">
        <v>3788</v>
      </c>
      <c r="P7625" s="18">
        <v>3807</v>
      </c>
      <c r="Q7625" t="s" s="16">
        <f>HYPERLINK("http://secrets.rutgers.edu:8080/data/asl-ftp/asllvd/demos/verify_start_end_handshape_annotations//test_auto_move//signs_mov/1918.mov","MOV")</f>
        <v>21</v>
      </c>
      <c r="R7625" t="s" s="16">
        <f>HYPERLINK("http://secrets.rutgers.edu:8080/data/asl-ftp/asllvd/demos/verify_start_end_handshape_annotations//test_auto_move//signs_mov_separ_signers/Brady_1918.mov","MOV")</f>
        <v>21</v>
      </c>
    </row>
    <row r="7626" s="2" customFormat="1" ht="13.5" customHeight="1">
      <c r="B7626" t="s" s="8">
        <v>2700</v>
      </c>
      <c r="C7626" t="s" s="9">
        <v>14</v>
      </c>
      <c r="D7626" t="s" s="8">
        <v>14</v>
      </c>
      <c r="E7626" t="s" s="9">
        <v>14</v>
      </c>
      <c r="F7626" t="s" s="10">
        <v>14</v>
      </c>
      <c r="G7626" t="s" s="11">
        <v>14</v>
      </c>
      <c r="H7626" t="s" s="10">
        <v>14</v>
      </c>
      <c r="I7626" t="s" s="11">
        <v>14</v>
      </c>
      <c r="J7626" t="s" s="11">
        <v>14</v>
      </c>
      <c r="K7626" t="s" s="12">
        <v>14</v>
      </c>
      <c r="L7626" t="s" s="12">
        <v>14</v>
      </c>
      <c r="M7626" t="s" s="10">
        <v>14</v>
      </c>
      <c r="N7626" t="s" s="11">
        <v>14</v>
      </c>
      <c r="O7626" t="s" s="8">
        <v>14</v>
      </c>
      <c r="P7626" t="s" s="8">
        <v>14</v>
      </c>
      <c r="Q7626" t="s" s="12">
        <v>14</v>
      </c>
      <c r="R7626" t="s" s="12">
        <v>14</v>
      </c>
    </row>
    <row r="7627" s="2" customFormat="1" ht="13.5" customHeight="1">
      <c r="B7627" s="13"/>
      <c r="C7627" t="s" s="9">
        <v>16</v>
      </c>
      <c r="D7627" t="s" s="8">
        <v>2701</v>
      </c>
      <c r="E7627" t="s" s="9">
        <v>2701</v>
      </c>
      <c r="F7627" s="19">
        <v>1</v>
      </c>
      <c r="G7627" s="14"/>
      <c r="H7627" s="19">
        <v>1</v>
      </c>
      <c r="I7627" s="14"/>
      <c r="J7627" t="s" s="11">
        <v>20</v>
      </c>
      <c r="K7627" t="s" s="16">
        <f>HYPERLINK("http://csr.bu.edu/ftp/asl/asllvd/demos/verify_start_end_handshape_annotations//test_auto_move//signs_mov/15064.mov","MOV")</f>
        <v>21</v>
      </c>
      <c r="L7627" t="s" s="16">
        <f>HYPERLINK("http://csr.bu.edu/ftp/asl/asllvd/demos/verify_start_end_handshape_annotations//test_auto_move//signs_mov_separ_signers/Liz_15064.mov","MOV")</f>
        <v>21</v>
      </c>
      <c r="M7627" t="s" s="10">
        <v>88</v>
      </c>
      <c r="N7627" s="17">
        <v>44</v>
      </c>
      <c r="O7627" s="18">
        <v>2790</v>
      </c>
      <c r="P7627" s="18">
        <v>2847</v>
      </c>
      <c r="Q7627" t="s" s="16">
        <f>HYPERLINK("http://secrets.rutgers.edu:8080/data/asl-ftp/asllvd/demos/verify_start_end_handshape_annotations//test_auto_move//signs_mov/15064.mov","MOV")</f>
        <v>21</v>
      </c>
      <c r="R7627" t="s" s="16">
        <f>HYPERLINK("http://secrets.rutgers.edu:8080/data/asl-ftp/asllvd/demos/verify_start_end_handshape_annotations//test_auto_move//signs_mov_separ_signers/Liz_15064.mov","MOV")</f>
        <v>21</v>
      </c>
    </row>
    <row r="7628" s="2" customFormat="1" ht="13.5" customHeight="1">
      <c r="B7628" t="s" s="8">
        <v>2702</v>
      </c>
      <c r="C7628" t="s" s="9">
        <v>14</v>
      </c>
      <c r="D7628" t="s" s="8">
        <v>14</v>
      </c>
      <c r="E7628" t="s" s="9">
        <v>14</v>
      </c>
      <c r="F7628" t="s" s="10">
        <v>14</v>
      </c>
      <c r="G7628" t="s" s="11">
        <v>14</v>
      </c>
      <c r="H7628" t="s" s="10">
        <v>14</v>
      </c>
      <c r="I7628" t="s" s="11">
        <v>14</v>
      </c>
      <c r="J7628" t="s" s="11">
        <v>14</v>
      </c>
      <c r="K7628" t="s" s="12">
        <v>14</v>
      </c>
      <c r="L7628" t="s" s="12">
        <v>14</v>
      </c>
      <c r="M7628" t="s" s="10">
        <v>14</v>
      </c>
      <c r="N7628" t="s" s="11">
        <v>14</v>
      </c>
      <c r="O7628" t="s" s="8">
        <v>14</v>
      </c>
      <c r="P7628" t="s" s="8">
        <v>14</v>
      </c>
      <c r="Q7628" t="s" s="12">
        <v>14</v>
      </c>
      <c r="R7628" t="s" s="12">
        <v>14</v>
      </c>
    </row>
    <row r="7629" s="2" customFormat="1" ht="13.5" customHeight="1">
      <c r="B7629" s="13"/>
      <c r="C7629" t="s" s="9">
        <v>16</v>
      </c>
      <c r="D7629" t="s" s="8">
        <v>2702</v>
      </c>
      <c r="E7629" t="s" s="9">
        <v>2703</v>
      </c>
      <c r="F7629" s="19">
        <v>1</v>
      </c>
      <c r="G7629" s="17">
        <v>1</v>
      </c>
      <c r="H7629" s="19">
        <v>1</v>
      </c>
      <c r="I7629" s="17">
        <v>1</v>
      </c>
      <c r="J7629" t="s" s="11">
        <v>20</v>
      </c>
      <c r="K7629" s="15"/>
      <c r="L7629" t="s" s="16">
        <f>HYPERLINK("http://csr.bu.edu/ftp/asl/asllvd/demos/verify_start_end_handshape_annotations//test_auto_move//signs_mov_separ_signers/Liz_1919.mov","MOV")</f>
        <v>21</v>
      </c>
      <c r="M7629" t="s" s="10">
        <v>88</v>
      </c>
      <c r="N7629" s="17">
        <v>44</v>
      </c>
      <c r="O7629" s="18">
        <v>3142</v>
      </c>
      <c r="P7629" s="18">
        <v>3172</v>
      </c>
      <c r="Q7629" s="15"/>
      <c r="R7629" t="s" s="16">
        <f>HYPERLINK("http://secrets.rutgers.edu:8080/data/asl-ftp/asllvd/demos/verify_start_end_handshape_annotations//test_auto_move//signs_mov_separ_signers/Liz_1919.mov","MOV")</f>
        <v>21</v>
      </c>
    </row>
    <row r="7630" s="2" customFormat="1" ht="13.5" customHeight="1">
      <c r="B7630" s="13"/>
      <c r="C7630" t="s" s="9">
        <v>23</v>
      </c>
      <c r="D7630" t="s" s="8">
        <v>2702</v>
      </c>
      <c r="E7630" t="s" s="9">
        <v>2702</v>
      </c>
      <c r="F7630" s="19">
        <v>1</v>
      </c>
      <c r="G7630" s="17">
        <v>1</v>
      </c>
      <c r="H7630" s="19">
        <v>1</v>
      </c>
      <c r="I7630" s="17">
        <v>1</v>
      </c>
      <c r="J7630" t="s" s="11">
        <v>20</v>
      </c>
      <c r="K7630" s="15"/>
      <c r="L7630" t="s" s="16">
        <f>HYPERLINK("http://csr.bu.edu/ftp/asl/asllvd/demos/verify_start_end_handshape_annotations//test_auto_move//signs_mov_separ_signers/Tyler_1919.mov","MOV")</f>
        <v>21</v>
      </c>
      <c r="M7630" t="s" s="10">
        <v>125</v>
      </c>
      <c r="N7630" s="17">
        <v>9</v>
      </c>
      <c r="O7630" s="18">
        <v>439</v>
      </c>
      <c r="P7630" s="18">
        <v>478</v>
      </c>
      <c r="Q7630" s="15"/>
      <c r="R7630" t="s" s="16">
        <f>HYPERLINK("http://secrets.rutgers.edu:8080/data/asl-ftp/asllvd/demos/verify_start_end_handshape_annotations//test_auto_move//signs_mov_separ_signers/Tyler_1919.mov","MOV")</f>
        <v>21</v>
      </c>
    </row>
    <row r="7631" s="2" customFormat="1" ht="13.5" customHeight="1">
      <c r="B7631" s="13"/>
      <c r="C7631" t="s" s="9">
        <v>30</v>
      </c>
      <c r="D7631" t="s" s="8">
        <v>2702</v>
      </c>
      <c r="E7631" t="s" s="9">
        <v>2703</v>
      </c>
      <c r="F7631" s="19">
        <v>1</v>
      </c>
      <c r="G7631" s="17">
        <v>1</v>
      </c>
      <c r="H7631" s="19">
        <v>1</v>
      </c>
      <c r="I7631" s="17">
        <v>1</v>
      </c>
      <c r="J7631" t="s" s="11">
        <v>20</v>
      </c>
      <c r="K7631" t="s" s="16">
        <f>HYPERLINK("http://csr.bu.edu/ftp/asl/asllvd/demos/verify_start_end_handshape_annotations//test_auto_move//signs_mov/1919_5340_merged.mov","MOV")</f>
        <v>21</v>
      </c>
      <c r="L7631" t="s" s="16">
        <f>HYPERLINK("http://csr.bu.edu/ftp/asl/asllvd/demos/verify_start_end_handshape_annotations//test_auto_move//signs_mov_separ_signers/Brady_1919.mov","MOV")</f>
        <v>21</v>
      </c>
      <c r="M7631" t="s" s="10">
        <v>40</v>
      </c>
      <c r="N7631" s="17">
        <v>38</v>
      </c>
      <c r="O7631" s="18">
        <v>4298</v>
      </c>
      <c r="P7631" s="18">
        <v>4320</v>
      </c>
      <c r="Q7631" t="s" s="16">
        <f>HYPERLINK("http://secrets.rutgers.edu:8080/data/asl-ftp/asllvd/demos/verify_start_end_handshape_annotations//test_auto_move//signs_mov/1919_5340_merged.mov","MOV")</f>
        <v>21</v>
      </c>
      <c r="R7631" t="s" s="16">
        <f>HYPERLINK("http://secrets.rutgers.edu:8080/data/asl-ftp/asllvd/demos/verify_start_end_handshape_annotations//test_auto_move//signs_mov_separ_signers/Brady_1919.mov","MOV")</f>
        <v>21</v>
      </c>
    </row>
    <row r="7632" s="2" customFormat="1" ht="13.5" customHeight="1">
      <c r="B7632" s="13"/>
      <c r="C7632" t="s" s="9">
        <v>30</v>
      </c>
      <c r="D7632" t="s" s="8">
        <v>2702</v>
      </c>
      <c r="E7632" t="s" s="9">
        <v>2703</v>
      </c>
      <c r="F7632" s="19">
        <v>1</v>
      </c>
      <c r="G7632" s="17">
        <v>1</v>
      </c>
      <c r="H7632" s="19">
        <v>1</v>
      </c>
      <c r="I7632" s="17">
        <v>1</v>
      </c>
      <c r="J7632" t="s" s="11">
        <v>20</v>
      </c>
      <c r="K7632" s="15"/>
      <c r="L7632" t="s" s="16">
        <f>HYPERLINK("http://csr.bu.edu/ftp/asl/asllvd/demos/verify_start_end_handshape_annotations//test_auto_move//signs_mov_separ_signers/Brady_5340.mov","MOV")</f>
        <v>21</v>
      </c>
      <c r="M7632" t="s" s="10">
        <v>40</v>
      </c>
      <c r="N7632" s="17">
        <v>38</v>
      </c>
      <c r="O7632" s="18">
        <v>4444</v>
      </c>
      <c r="P7632" s="18">
        <v>4462</v>
      </c>
      <c r="Q7632" s="15"/>
      <c r="R7632" t="s" s="16">
        <f>HYPERLINK("http://secrets.rutgers.edu:8080/data/asl-ftp/asllvd/demos/verify_start_end_handshape_annotations//test_auto_move//signs_mov_separ_signers/Brady_5340.mov","MOV")</f>
        <v>21</v>
      </c>
    </row>
    <row r="7633" s="2" customFormat="1" ht="13.5" customHeight="1">
      <c r="B7633" s="13"/>
      <c r="C7633" t="s" s="9">
        <v>41</v>
      </c>
      <c r="D7633" t="s" s="8">
        <v>2702</v>
      </c>
      <c r="E7633" t="s" s="9">
        <v>2702</v>
      </c>
      <c r="F7633" s="19">
        <v>1</v>
      </c>
      <c r="G7633" s="17">
        <v>1</v>
      </c>
      <c r="H7633" s="19">
        <v>1</v>
      </c>
      <c r="I7633" s="17">
        <v>1</v>
      </c>
      <c r="J7633" t="s" s="11">
        <v>20</v>
      </c>
      <c r="K7633" s="15"/>
      <c r="L7633" t="s" s="16">
        <f>HYPERLINK("http://csr.bu.edu/ftp/asl/asllvd/demos/verify_start_end_handshape_annotations//test_auto_move//signs_mov_separ_signers/Lana_1919.mov","MOV")</f>
        <v>21</v>
      </c>
      <c r="M7633" t="s" s="10">
        <v>42</v>
      </c>
      <c r="N7633" s="17">
        <v>21</v>
      </c>
      <c r="O7633" s="18">
        <v>1381</v>
      </c>
      <c r="P7633" s="18">
        <v>1394</v>
      </c>
      <c r="Q7633" s="15"/>
      <c r="R7633" t="s" s="16">
        <f>HYPERLINK("http://secrets.rutgers.edu:8080/data/asl-ftp/asllvd/demos/verify_start_end_handshape_annotations//test_auto_move//signs_mov_separ_signers/Lana_1919.mov","MOV")</f>
        <v>21</v>
      </c>
    </row>
    <row r="7634" s="2" customFormat="1" ht="13.5" customHeight="1">
      <c r="B7634" s="13"/>
      <c r="C7634" t="s" s="9">
        <v>43</v>
      </c>
      <c r="D7634" t="s" s="8">
        <v>2702</v>
      </c>
      <c r="E7634" t="s" s="9">
        <v>2703</v>
      </c>
      <c r="F7634" s="19">
        <v>1</v>
      </c>
      <c r="G7634" s="17">
        <v>1</v>
      </c>
      <c r="H7634" s="19">
        <v>1</v>
      </c>
      <c r="I7634" s="17">
        <v>1</v>
      </c>
      <c r="J7634" t="s" s="11">
        <v>20</v>
      </c>
      <c r="K7634" s="15"/>
      <c r="L7634" t="s" s="16">
        <f>HYPERLINK("http://csr.bu.edu/ftp/asl/asllvd/demos/verify_start_end_handshape_annotations//test_auto_move//signs_mov_separ_signers/Dana_1919.mov","MOV")</f>
        <v>21</v>
      </c>
      <c r="M7634" t="s" s="10">
        <v>44</v>
      </c>
      <c r="N7634" s="17">
        <v>23</v>
      </c>
      <c r="O7634" s="18">
        <v>1346</v>
      </c>
      <c r="P7634" s="18">
        <v>1371</v>
      </c>
      <c r="Q7634" s="15"/>
      <c r="R7634" t="s" s="16">
        <f>HYPERLINK("http://secrets.rutgers.edu:8080/data/asl-ftp/asllvd/demos/verify_start_end_handshape_annotations//test_auto_move//signs_mov_separ_signers/Dana_1919.mov","MOV")</f>
        <v>21</v>
      </c>
    </row>
    <row r="7635" s="2" customFormat="1" ht="13.5" customHeight="1">
      <c r="B7635" t="s" s="8">
        <v>2704</v>
      </c>
      <c r="C7635" t="s" s="9">
        <v>14</v>
      </c>
      <c r="D7635" t="s" s="8">
        <v>14</v>
      </c>
      <c r="E7635" t="s" s="9">
        <v>14</v>
      </c>
      <c r="F7635" t="s" s="10">
        <v>14</v>
      </c>
      <c r="G7635" t="s" s="11">
        <v>14</v>
      </c>
      <c r="H7635" t="s" s="10">
        <v>14</v>
      </c>
      <c r="I7635" t="s" s="11">
        <v>14</v>
      </c>
      <c r="J7635" t="s" s="11">
        <v>14</v>
      </c>
      <c r="K7635" t="s" s="12">
        <v>14</v>
      </c>
      <c r="L7635" t="s" s="12">
        <v>14</v>
      </c>
      <c r="M7635" t="s" s="10">
        <v>14</v>
      </c>
      <c r="N7635" t="s" s="11">
        <v>14</v>
      </c>
      <c r="O7635" t="s" s="8">
        <v>14</v>
      </c>
      <c r="P7635" t="s" s="8">
        <v>14</v>
      </c>
      <c r="Q7635" t="s" s="12">
        <v>14</v>
      </c>
      <c r="R7635" t="s" s="12">
        <v>14</v>
      </c>
    </row>
    <row r="7636" s="2" customFormat="1" ht="13.5" customHeight="1">
      <c r="B7636" s="13"/>
      <c r="C7636" t="s" s="9">
        <v>16</v>
      </c>
      <c r="D7636" t="s" s="8">
        <v>2704</v>
      </c>
      <c r="E7636" t="s" s="9">
        <v>2704</v>
      </c>
      <c r="F7636" s="19">
        <v>1</v>
      </c>
      <c r="G7636" s="17">
        <v>1</v>
      </c>
      <c r="H7636" t="s" s="10">
        <v>268</v>
      </c>
      <c r="I7636" t="s" s="11">
        <v>268</v>
      </c>
      <c r="J7636" t="s" s="11">
        <v>20</v>
      </c>
      <c r="K7636" s="15"/>
      <c r="L7636" t="s" s="16">
        <f>HYPERLINK("http://csr.bu.edu/ftp/asl/asllvd/demos/verify_start_end_handshape_annotations//test_auto_move//signs_mov_separ_signers/Liz_1922.mov","MOV")</f>
        <v>21</v>
      </c>
      <c r="M7636" t="s" s="10">
        <v>88</v>
      </c>
      <c r="N7636" s="17">
        <v>45</v>
      </c>
      <c r="O7636" s="18">
        <v>1471</v>
      </c>
      <c r="P7636" s="18">
        <v>1525</v>
      </c>
      <c r="Q7636" s="15"/>
      <c r="R7636" t="s" s="16">
        <f>HYPERLINK("http://secrets.rutgers.edu:8080/data/asl-ftp/asllvd/demos/verify_start_end_handshape_annotations//test_auto_move//signs_mov_separ_signers/Liz_1922.mov","MOV")</f>
        <v>21</v>
      </c>
    </row>
    <row r="7637" s="2" customFormat="1" ht="13.5" customHeight="1">
      <c r="B7637" s="13"/>
      <c r="C7637" t="s" s="9">
        <v>16</v>
      </c>
      <c r="D7637" t="s" s="8">
        <v>2704</v>
      </c>
      <c r="E7637" t="s" s="9">
        <v>2704</v>
      </c>
      <c r="F7637" t="s" s="10">
        <v>268</v>
      </c>
      <c r="G7637" t="s" s="11">
        <v>268</v>
      </c>
      <c r="H7637" t="s" s="10">
        <v>268</v>
      </c>
      <c r="I7637" t="s" s="11">
        <v>268</v>
      </c>
      <c r="J7637" t="s" s="11">
        <v>20</v>
      </c>
      <c r="K7637" t="s" s="16">
        <f>HYPERLINK("http://csr.bu.edu/ftp/asl/asllvd/demos/verify_start_end_handshape_annotations//test_auto_move//signs_mov/1922_3769_merged.mov","MOV")</f>
        <v>21</v>
      </c>
      <c r="L7637" t="s" s="16">
        <f>HYPERLINK("http://csr.bu.edu/ftp/asl/asllvd/demos/verify_start_end_handshape_annotations//test_auto_move//signs_mov_separ_signers/Liz_3769.mov","MOV")</f>
        <v>21</v>
      </c>
      <c r="M7637" t="s" s="10">
        <v>36</v>
      </c>
      <c r="N7637" s="17">
        <v>42</v>
      </c>
      <c r="O7637" s="18">
        <v>1355</v>
      </c>
      <c r="P7637" s="18">
        <v>1405</v>
      </c>
      <c r="Q7637" t="s" s="16">
        <f>HYPERLINK("http://secrets.rutgers.edu:8080/data/asl-ftp/asllvd/demos/verify_start_end_handshape_annotations//test_auto_move//signs_mov/1922_3769_merged.mov","MOV")</f>
        <v>21</v>
      </c>
      <c r="R7637" t="s" s="16">
        <f>HYPERLINK("http://secrets.rutgers.edu:8080/data/asl-ftp/asllvd/demos/verify_start_end_handshape_annotations//test_auto_move//signs_mov_separ_signers/Liz_3769.mov","MOV")</f>
        <v>21</v>
      </c>
    </row>
    <row r="7638" s="2" customFormat="1" ht="13.5" customHeight="1">
      <c r="B7638" s="13"/>
      <c r="C7638" t="s" s="9">
        <v>30</v>
      </c>
      <c r="D7638" t="s" s="8">
        <v>2704</v>
      </c>
      <c r="E7638" t="s" s="9">
        <v>2704</v>
      </c>
      <c r="F7638" s="19">
        <v>1</v>
      </c>
      <c r="G7638" s="17">
        <v>1</v>
      </c>
      <c r="H7638" s="19">
        <v>1</v>
      </c>
      <c r="I7638" s="17">
        <v>1</v>
      </c>
      <c r="J7638" t="s" s="11">
        <v>20</v>
      </c>
      <c r="K7638" s="15"/>
      <c r="L7638" t="s" s="16">
        <f>HYPERLINK("http://csr.bu.edu/ftp/asl/asllvd/demos/verify_start_end_handshape_annotations//test_auto_move//signs_mov_separ_signers/Brady_1922.mov","MOV")</f>
        <v>21</v>
      </c>
      <c r="M7638" t="s" s="10">
        <v>40</v>
      </c>
      <c r="N7638" s="17">
        <v>39</v>
      </c>
      <c r="O7638" s="18">
        <v>1256</v>
      </c>
      <c r="P7638" s="18">
        <v>1300</v>
      </c>
      <c r="Q7638" s="15"/>
      <c r="R7638" t="s" s="16">
        <f>HYPERLINK("http://secrets.rutgers.edu:8080/data/asl-ftp/asllvd/demos/verify_start_end_handshape_annotations//test_auto_move//signs_mov_separ_signers/Brady_1922.mov","MOV")</f>
        <v>21</v>
      </c>
    </row>
    <row r="7639" s="2" customFormat="1" ht="13.5" customHeight="1">
      <c r="B7639" s="13"/>
      <c r="C7639" t="s" s="9">
        <v>30</v>
      </c>
      <c r="D7639" t="s" s="8">
        <v>2704</v>
      </c>
      <c r="E7639" t="s" s="9">
        <v>2704</v>
      </c>
      <c r="F7639" s="19">
        <v>1</v>
      </c>
      <c r="G7639" s="17">
        <v>1</v>
      </c>
      <c r="H7639" s="19">
        <v>1</v>
      </c>
      <c r="I7639" s="17">
        <v>1</v>
      </c>
      <c r="J7639" t="s" s="11">
        <v>20</v>
      </c>
      <c r="K7639" s="15"/>
      <c r="L7639" t="s" s="16">
        <f>HYPERLINK("http://csr.bu.edu/ftp/asl/asllvd/demos/verify_start_end_handshape_annotations//test_auto_move//signs_mov_separ_signers/Brady_3769.mov","MOV")</f>
        <v>21</v>
      </c>
      <c r="M7639" t="s" s="10">
        <v>40</v>
      </c>
      <c r="N7639" s="17">
        <v>94</v>
      </c>
      <c r="O7639" s="18">
        <v>2633</v>
      </c>
      <c r="P7639" s="18">
        <v>2665</v>
      </c>
      <c r="Q7639" s="15"/>
      <c r="R7639" t="s" s="16">
        <f>HYPERLINK("http://secrets.rutgers.edu:8080/data/asl-ftp/asllvd/demos/verify_start_end_handshape_annotations//test_auto_move//signs_mov_separ_signers/Brady_3769.mov","MOV")</f>
        <v>21</v>
      </c>
    </row>
    <row r="7640" s="2" customFormat="1" ht="13.5" customHeight="1">
      <c r="B7640" t="s" s="8">
        <v>2705</v>
      </c>
      <c r="C7640" t="s" s="9">
        <v>14</v>
      </c>
      <c r="D7640" t="s" s="8">
        <v>14</v>
      </c>
      <c r="E7640" t="s" s="9">
        <v>14</v>
      </c>
      <c r="F7640" t="s" s="10">
        <v>14</v>
      </c>
      <c r="G7640" t="s" s="11">
        <v>14</v>
      </c>
      <c r="H7640" t="s" s="10">
        <v>14</v>
      </c>
      <c r="I7640" t="s" s="11">
        <v>14</v>
      </c>
      <c r="J7640" t="s" s="11">
        <v>14</v>
      </c>
      <c r="K7640" t="s" s="12">
        <v>14</v>
      </c>
      <c r="L7640" t="s" s="12">
        <v>14</v>
      </c>
      <c r="M7640" t="s" s="10">
        <v>14</v>
      </c>
      <c r="N7640" t="s" s="11">
        <v>14</v>
      </c>
      <c r="O7640" t="s" s="8">
        <v>14</v>
      </c>
      <c r="P7640" t="s" s="8">
        <v>14</v>
      </c>
      <c r="Q7640" t="s" s="12">
        <v>14</v>
      </c>
      <c r="R7640" t="s" s="12">
        <v>14</v>
      </c>
    </row>
    <row r="7641" s="2" customFormat="1" ht="13.5" customHeight="1">
      <c r="B7641" s="13"/>
      <c r="C7641" t="s" s="9">
        <v>16</v>
      </c>
      <c r="D7641" t="s" s="8">
        <v>2705</v>
      </c>
      <c r="E7641" t="s" s="9">
        <v>2705</v>
      </c>
      <c r="F7641" t="s" s="10">
        <v>18</v>
      </c>
      <c r="G7641" t="s" s="11">
        <v>18</v>
      </c>
      <c r="H7641" t="s" s="10">
        <v>18</v>
      </c>
      <c r="I7641" t="s" s="11">
        <v>18</v>
      </c>
      <c r="J7641" t="s" s="11">
        <v>20</v>
      </c>
      <c r="K7641" t="s" s="16">
        <f>HYPERLINK("http://csr.bu.edu/ftp/asl/asllvd/demos/verify_start_end_handshape_annotations//test_auto_move//signs_mov/16032.mov","MOV")</f>
        <v>21</v>
      </c>
      <c r="L7641" t="s" s="16">
        <f>HYPERLINK("http://csr.bu.edu/ftp/asl/asllvd/demos/verify_start_end_handshape_annotations//test_auto_move//signs_mov_separ_signers/Liz_16032.mov","MOV")</f>
        <v>21</v>
      </c>
      <c r="M7641" t="s" s="10">
        <v>84</v>
      </c>
      <c r="N7641" s="17">
        <v>49</v>
      </c>
      <c r="O7641" s="18">
        <v>620</v>
      </c>
      <c r="P7641" s="18">
        <v>680</v>
      </c>
      <c r="Q7641" t="s" s="16">
        <f>HYPERLINK("http://secrets.rutgers.edu:8080/data/asl-ftp/asllvd/demos/verify_start_end_handshape_annotations//test_auto_move//signs_mov/16032.mov","MOV")</f>
        <v>21</v>
      </c>
      <c r="R7641" t="s" s="16">
        <f>HYPERLINK("http://secrets.rutgers.edu:8080/data/asl-ftp/asllvd/demos/verify_start_end_handshape_annotations//test_auto_move//signs_mov_separ_signers/Liz_16032.mov","MOV")</f>
        <v>21</v>
      </c>
    </row>
    <row r="7642" s="2" customFormat="1" ht="13.5" customHeight="1">
      <c r="B7642" t="s" s="8">
        <v>52</v>
      </c>
      <c r="C7642" t="s" s="9">
        <v>53</v>
      </c>
      <c r="D7642" t="s" s="8">
        <v>53</v>
      </c>
      <c r="E7642" t="s" s="9">
        <v>53</v>
      </c>
      <c r="F7642" t="s" s="10">
        <v>53</v>
      </c>
      <c r="G7642" t="s" s="11">
        <v>53</v>
      </c>
      <c r="H7642" t="s" s="10">
        <v>53</v>
      </c>
      <c r="I7642" t="s" s="11">
        <v>53</v>
      </c>
      <c r="J7642" t="s" s="11">
        <v>53</v>
      </c>
      <c r="K7642" t="s" s="12">
        <v>53</v>
      </c>
      <c r="L7642" t="s" s="12">
        <v>53</v>
      </c>
      <c r="M7642" t="s" s="10">
        <v>53</v>
      </c>
      <c r="N7642" t="s" s="11">
        <v>53</v>
      </c>
      <c r="O7642" t="s" s="8">
        <v>53</v>
      </c>
      <c r="P7642" t="s" s="8">
        <v>53</v>
      </c>
      <c r="Q7642" t="s" s="12">
        <v>53</v>
      </c>
      <c r="R7642" t="s" s="12">
        <v>53</v>
      </c>
    </row>
    <row r="7643" s="2" customFormat="1" ht="13.5" customHeight="1">
      <c r="B7643" s="13"/>
      <c r="C7643" t="s" s="9">
        <v>27</v>
      </c>
      <c r="D7643" t="s" s="8">
        <v>2705</v>
      </c>
      <c r="E7643" t="s" s="9">
        <v>2706</v>
      </c>
      <c r="F7643" t="s" s="10">
        <v>337</v>
      </c>
      <c r="G7643" t="s" s="11">
        <v>337</v>
      </c>
      <c r="H7643" t="s" s="10">
        <v>337</v>
      </c>
      <c r="I7643" t="s" s="11">
        <v>337</v>
      </c>
      <c r="J7643" t="s" s="11">
        <v>20</v>
      </c>
      <c r="K7643" t="s" s="16">
        <f>HYPERLINK("http://csr.bu.edu/ftp/asl/asllvd/demos/verify_start_end_handshape_annotations//test_auto_move//signs_mov/16060.mov","MOV")</f>
        <v>21</v>
      </c>
      <c r="L7643" t="s" s="16">
        <f>HYPERLINK("http://csr.bu.edu/ftp/asl/asllvd/demos/verify_start_end_handshape_annotations//test_auto_move//signs_mov_separ_signers/Naomi_16060.mov","MOV")</f>
        <v>21</v>
      </c>
      <c r="M7643" t="s" s="10">
        <v>86</v>
      </c>
      <c r="N7643" s="17">
        <v>49</v>
      </c>
      <c r="O7643" s="18">
        <v>125</v>
      </c>
      <c r="P7643" s="18">
        <v>176</v>
      </c>
      <c r="Q7643" t="s" s="16">
        <f>HYPERLINK("http://secrets.rutgers.edu:8080/data/asl-ftp/asllvd/demos/verify_start_end_handshape_annotations//test_auto_move//signs_mov/16060.mov","MOV")</f>
        <v>21</v>
      </c>
      <c r="R7643" t="s" s="16">
        <f>HYPERLINK("http://secrets.rutgers.edu:8080/data/asl-ftp/asllvd/demos/verify_start_end_handshape_annotations//test_auto_move//signs_mov_separ_signers/Naomi_16060.mov","MOV")</f>
        <v>21</v>
      </c>
    </row>
    <row r="7644" s="2" customFormat="1" ht="13.5" customHeight="1">
      <c r="B7644" t="s" s="8">
        <v>52</v>
      </c>
      <c r="C7644" t="s" s="9">
        <v>53</v>
      </c>
      <c r="D7644" t="s" s="8">
        <v>53</v>
      </c>
      <c r="E7644" t="s" s="9">
        <v>53</v>
      </c>
      <c r="F7644" t="s" s="10">
        <v>53</v>
      </c>
      <c r="G7644" t="s" s="11">
        <v>53</v>
      </c>
      <c r="H7644" t="s" s="10">
        <v>53</v>
      </c>
      <c r="I7644" t="s" s="11">
        <v>53</v>
      </c>
      <c r="J7644" t="s" s="11">
        <v>53</v>
      </c>
      <c r="K7644" t="s" s="12">
        <v>53</v>
      </c>
      <c r="L7644" t="s" s="12">
        <v>53</v>
      </c>
      <c r="M7644" t="s" s="10">
        <v>53</v>
      </c>
      <c r="N7644" t="s" s="11">
        <v>53</v>
      </c>
      <c r="O7644" t="s" s="8">
        <v>53</v>
      </c>
      <c r="P7644" t="s" s="8">
        <v>53</v>
      </c>
      <c r="Q7644" t="s" s="12">
        <v>53</v>
      </c>
      <c r="R7644" t="s" s="12">
        <v>53</v>
      </c>
    </row>
    <row r="7645" s="2" customFormat="1" ht="13.5" customHeight="1">
      <c r="B7645" s="13"/>
      <c r="C7645" t="s" s="9">
        <v>30</v>
      </c>
      <c r="D7645" t="s" s="8">
        <v>2705</v>
      </c>
      <c r="E7645" t="s" s="9">
        <v>2707</v>
      </c>
      <c r="F7645" t="s" s="10">
        <v>337</v>
      </c>
      <c r="G7645" t="s" s="11">
        <v>337</v>
      </c>
      <c r="H7645" t="s" s="10">
        <v>292</v>
      </c>
      <c r="I7645" t="s" s="11">
        <v>292</v>
      </c>
      <c r="J7645" t="s" s="11">
        <v>20</v>
      </c>
      <c r="K7645" t="s" s="16">
        <f>HYPERLINK("http://csr.bu.edu/ftp/asl/asllvd/demos/verify_start_end_handshape_annotations//test_auto_move//signs_mov/16116.mov","MOV")</f>
        <v>21</v>
      </c>
      <c r="L7645" t="s" s="16">
        <f>HYPERLINK("http://csr.bu.edu/ftp/asl/asllvd/demos/verify_start_end_handshape_annotations//test_auto_move//signs_mov_separ_signers/Brady_16116.mov","MOV")</f>
        <v>21</v>
      </c>
      <c r="M7645" t="s" s="10">
        <v>39</v>
      </c>
      <c r="N7645" s="17">
        <v>22</v>
      </c>
      <c r="O7645" s="18">
        <v>5586</v>
      </c>
      <c r="P7645" s="18">
        <v>5629</v>
      </c>
      <c r="Q7645" t="s" s="16">
        <f>HYPERLINK("http://secrets.rutgers.edu:8080/data/asl-ftp/asllvd/demos/verify_start_end_handshape_annotations//test_auto_move//signs_mov/16116.mov","MOV")</f>
        <v>21</v>
      </c>
      <c r="R7645" t="s" s="16">
        <f>HYPERLINK("http://secrets.rutgers.edu:8080/data/asl-ftp/asllvd/demos/verify_start_end_handshape_annotations//test_auto_move//signs_mov_separ_signers/Brady_16116.mov","MOV")</f>
        <v>21</v>
      </c>
    </row>
    <row r="7646" s="2" customFormat="1" ht="13.5" customHeight="1">
      <c r="B7646" t="s" s="8">
        <v>2708</v>
      </c>
      <c r="C7646" t="s" s="9">
        <v>14</v>
      </c>
      <c r="D7646" t="s" s="8">
        <v>14</v>
      </c>
      <c r="E7646" t="s" s="9">
        <v>14</v>
      </c>
      <c r="F7646" t="s" s="10">
        <v>14</v>
      </c>
      <c r="G7646" t="s" s="11">
        <v>14</v>
      </c>
      <c r="H7646" t="s" s="10">
        <v>14</v>
      </c>
      <c r="I7646" t="s" s="11">
        <v>14</v>
      </c>
      <c r="J7646" t="s" s="11">
        <v>14</v>
      </c>
      <c r="K7646" t="s" s="12">
        <v>14</v>
      </c>
      <c r="L7646" t="s" s="12">
        <v>14</v>
      </c>
      <c r="M7646" t="s" s="10">
        <v>14</v>
      </c>
      <c r="N7646" t="s" s="11">
        <v>14</v>
      </c>
      <c r="O7646" t="s" s="8">
        <v>14</v>
      </c>
      <c r="P7646" t="s" s="8">
        <v>14</v>
      </c>
      <c r="Q7646" t="s" s="12">
        <v>14</v>
      </c>
      <c r="R7646" t="s" s="12">
        <v>14</v>
      </c>
    </row>
    <row r="7647" s="2" customFormat="1" ht="13.5" customHeight="1">
      <c r="B7647" s="13"/>
      <c r="C7647" t="s" s="9">
        <v>16</v>
      </c>
      <c r="D7647" t="s" s="8">
        <v>2708</v>
      </c>
      <c r="E7647" t="s" s="9">
        <v>2708</v>
      </c>
      <c r="F7647" t="s" s="10">
        <v>282</v>
      </c>
      <c r="G7647" t="s" s="11">
        <v>282</v>
      </c>
      <c r="H7647" t="s" s="10">
        <v>282</v>
      </c>
      <c r="I7647" t="s" s="11">
        <v>282</v>
      </c>
      <c r="J7647" t="s" s="11">
        <v>20</v>
      </c>
      <c r="K7647" s="15"/>
      <c r="L7647" t="s" s="16">
        <f>HYPERLINK("http://csr.bu.edu/ftp/asl/asllvd/demos/verify_start_end_handshape_annotations//test_auto_move//signs_mov_separ_signers/Liz_16448.mov","MOV")</f>
        <v>21</v>
      </c>
      <c r="M7647" t="s" s="10">
        <v>84</v>
      </c>
      <c r="N7647" s="17">
        <v>48</v>
      </c>
      <c r="O7647" s="18">
        <v>1435</v>
      </c>
      <c r="P7647" s="18">
        <v>1500</v>
      </c>
      <c r="Q7647" s="15"/>
      <c r="R7647" t="s" s="16">
        <f>HYPERLINK("http://secrets.rutgers.edu:8080/data/asl-ftp/asllvd/demos/verify_start_end_handshape_annotations//test_auto_move//signs_mov_separ_signers/Liz_16448.mov","MOV")</f>
        <v>21</v>
      </c>
    </row>
    <row r="7648" s="2" customFormat="1" ht="13.5" customHeight="1">
      <c r="B7648" s="13"/>
      <c r="C7648" t="s" s="9">
        <v>23</v>
      </c>
      <c r="D7648" t="s" s="8">
        <v>2708</v>
      </c>
      <c r="E7648" t="s" s="9">
        <v>2708</v>
      </c>
      <c r="F7648" t="s" s="10">
        <v>282</v>
      </c>
      <c r="G7648" t="s" s="11">
        <v>282</v>
      </c>
      <c r="H7648" t="s" s="10">
        <v>282</v>
      </c>
      <c r="I7648" t="s" s="11">
        <v>282</v>
      </c>
      <c r="J7648" t="s" s="11">
        <v>20</v>
      </c>
      <c r="K7648" t="s" s="16">
        <f>HYPERLINK("http://csr.bu.edu/ftp/asl/asllvd/demos/verify_start_end_handshape_annotations//test_auto_move//signs_mov/16448_16449_merged.mov","MOV")</f>
        <v>21</v>
      </c>
      <c r="L7648" t="s" s="16">
        <f>HYPERLINK("http://csr.bu.edu/ftp/asl/asllvd/demos/verify_start_end_handshape_annotations//test_auto_move//signs_mov_separ_signers/Tyler_16448.mov","MOV")</f>
        <v>21</v>
      </c>
      <c r="M7648" t="s" s="10">
        <v>92</v>
      </c>
      <c r="N7648" s="17">
        <v>28</v>
      </c>
      <c r="O7648" s="18">
        <v>1227</v>
      </c>
      <c r="P7648" s="18">
        <v>1265</v>
      </c>
      <c r="Q7648" t="s" s="16">
        <f>HYPERLINK("http://secrets.rutgers.edu:8080/data/asl-ftp/asllvd/demos/verify_start_end_handshape_annotations//test_auto_move//signs_mov/16448_16449_merged.mov","MOV")</f>
        <v>21</v>
      </c>
      <c r="R7648" t="s" s="16">
        <f>HYPERLINK("http://secrets.rutgers.edu:8080/data/asl-ftp/asllvd/demos/verify_start_end_handshape_annotations//test_auto_move//signs_mov_separ_signers/Tyler_16448.mov","MOV")</f>
        <v>21</v>
      </c>
    </row>
    <row r="7649" s="2" customFormat="1" ht="13.5" customHeight="1">
      <c r="B7649" s="13"/>
      <c r="C7649" t="s" s="9">
        <v>23</v>
      </c>
      <c r="D7649" t="s" s="8">
        <v>2708</v>
      </c>
      <c r="E7649" t="s" s="9">
        <v>2708</v>
      </c>
      <c r="F7649" t="s" s="10">
        <v>282</v>
      </c>
      <c r="G7649" t="s" s="11">
        <v>282</v>
      </c>
      <c r="H7649" t="s" s="10">
        <v>282</v>
      </c>
      <c r="I7649" t="s" s="11">
        <v>282</v>
      </c>
      <c r="J7649" t="s" s="11">
        <v>20</v>
      </c>
      <c r="K7649" s="15"/>
      <c r="L7649" t="s" s="16">
        <f>HYPERLINK("http://csr.bu.edu/ftp/asl/asllvd/demos/verify_start_end_handshape_annotations//test_auto_move//signs_mov_separ_signers/Tyler_16449.mov","MOV")</f>
        <v>21</v>
      </c>
      <c r="M7649" t="s" s="10">
        <v>92</v>
      </c>
      <c r="N7649" s="17">
        <v>30</v>
      </c>
      <c r="O7649" s="18">
        <v>410</v>
      </c>
      <c r="P7649" s="18">
        <v>450</v>
      </c>
      <c r="Q7649" s="15"/>
      <c r="R7649" t="s" s="16">
        <f>HYPERLINK("http://secrets.rutgers.edu:8080/data/asl-ftp/asllvd/demos/verify_start_end_handshape_annotations//test_auto_move//signs_mov_separ_signers/Tyler_16449.mov","MOV")</f>
        <v>21</v>
      </c>
    </row>
    <row r="7650" s="2" customFormat="1" ht="13.5" customHeight="1">
      <c r="B7650" s="13"/>
      <c r="C7650" t="s" s="9">
        <v>27</v>
      </c>
      <c r="D7650" t="s" s="8">
        <v>2708</v>
      </c>
      <c r="E7650" t="s" s="9">
        <v>2708</v>
      </c>
      <c r="F7650" t="s" s="10">
        <v>282</v>
      </c>
      <c r="G7650" t="s" s="11">
        <v>282</v>
      </c>
      <c r="H7650" t="s" s="10">
        <v>282</v>
      </c>
      <c r="I7650" t="s" s="11">
        <v>282</v>
      </c>
      <c r="J7650" t="s" s="11">
        <v>20</v>
      </c>
      <c r="K7650" s="15"/>
      <c r="L7650" t="s" s="16">
        <f>HYPERLINK("http://csr.bu.edu/ftp/asl/asllvd/demos/verify_start_end_handshape_annotations//test_auto_move//signs_mov_separ_signers/Naomi_16448.mov","MOV")</f>
        <v>21</v>
      </c>
      <c r="M7650" t="s" s="10">
        <v>86</v>
      </c>
      <c r="N7650" s="17">
        <v>48</v>
      </c>
      <c r="O7650" s="18">
        <v>1470</v>
      </c>
      <c r="P7650" s="18">
        <v>1510</v>
      </c>
      <c r="Q7650" s="15"/>
      <c r="R7650" t="s" s="16">
        <f>HYPERLINK("http://secrets.rutgers.edu:8080/data/asl-ftp/asllvd/demos/verify_start_end_handshape_annotations//test_auto_move//signs_mov_separ_signers/Naomi_16448.mov","MOV")</f>
        <v>21</v>
      </c>
    </row>
    <row r="7651" s="2" customFormat="1" ht="13.5" customHeight="1">
      <c r="B7651" t="s" s="8">
        <v>2709</v>
      </c>
      <c r="C7651" t="s" s="9">
        <v>14</v>
      </c>
      <c r="D7651" t="s" s="8">
        <v>14</v>
      </c>
      <c r="E7651" t="s" s="9">
        <v>14</v>
      </c>
      <c r="F7651" t="s" s="10">
        <v>14</v>
      </c>
      <c r="G7651" t="s" s="11">
        <v>14</v>
      </c>
      <c r="H7651" t="s" s="10">
        <v>14</v>
      </c>
      <c r="I7651" t="s" s="11">
        <v>14</v>
      </c>
      <c r="J7651" t="s" s="11">
        <v>14</v>
      </c>
      <c r="K7651" t="s" s="12">
        <v>14</v>
      </c>
      <c r="L7651" t="s" s="12">
        <v>14</v>
      </c>
      <c r="M7651" t="s" s="10">
        <v>14</v>
      </c>
      <c r="N7651" t="s" s="11">
        <v>14</v>
      </c>
      <c r="O7651" t="s" s="8">
        <v>14</v>
      </c>
      <c r="P7651" t="s" s="8">
        <v>14</v>
      </c>
      <c r="Q7651" t="s" s="12">
        <v>14</v>
      </c>
      <c r="R7651" t="s" s="12">
        <v>14</v>
      </c>
    </row>
    <row r="7652" s="2" customFormat="1" ht="13.5" customHeight="1">
      <c r="B7652" s="13"/>
      <c r="C7652" t="s" s="9">
        <v>16</v>
      </c>
      <c r="D7652" t="s" s="8">
        <v>2709</v>
      </c>
      <c r="E7652" t="s" s="9">
        <v>2709</v>
      </c>
      <c r="F7652" t="s" s="10">
        <v>282</v>
      </c>
      <c r="G7652" t="s" s="11">
        <v>282</v>
      </c>
      <c r="H7652" t="s" s="10">
        <v>282</v>
      </c>
      <c r="I7652" t="s" s="11">
        <v>282</v>
      </c>
      <c r="J7652" t="s" s="11">
        <v>20</v>
      </c>
      <c r="K7652" s="15"/>
      <c r="L7652" t="s" s="16">
        <f>HYPERLINK("http://csr.bu.edu/ftp/asl/asllvd/demos/verify_start_end_handshape_annotations//test_auto_move//signs_mov_separ_signers/Liz_1923.mov","MOV")</f>
        <v>21</v>
      </c>
      <c r="M7652" t="s" s="10">
        <v>88</v>
      </c>
      <c r="N7652" s="17">
        <v>45</v>
      </c>
      <c r="O7652" s="18">
        <v>2055</v>
      </c>
      <c r="P7652" s="18">
        <v>2095</v>
      </c>
      <c r="Q7652" s="15"/>
      <c r="R7652" t="s" s="16">
        <f>HYPERLINK("http://secrets.rutgers.edu:8080/data/asl-ftp/asllvd/demos/verify_start_end_handshape_annotations//test_auto_move//signs_mov_separ_signers/Liz_1923.mov","MOV")</f>
        <v>21</v>
      </c>
    </row>
    <row r="7653" s="2" customFormat="1" ht="13.5" customHeight="1">
      <c r="B7653" s="13"/>
      <c r="C7653" t="s" s="9">
        <v>16</v>
      </c>
      <c r="D7653" t="s" s="8">
        <v>2709</v>
      </c>
      <c r="E7653" t="s" s="9">
        <v>2710</v>
      </c>
      <c r="F7653" t="s" s="10">
        <v>282</v>
      </c>
      <c r="G7653" t="s" s="11">
        <v>282</v>
      </c>
      <c r="H7653" t="s" s="10">
        <v>282</v>
      </c>
      <c r="I7653" t="s" s="11">
        <v>282</v>
      </c>
      <c r="J7653" t="s" s="11">
        <v>20</v>
      </c>
      <c r="K7653" s="15"/>
      <c r="L7653" t="s" s="16">
        <f>HYPERLINK("http://csr.bu.edu/ftp/asl/asllvd/demos/verify_start_end_handshape_annotations//test_auto_move//signs_mov_separ_signers/Liz_5722.mov","MOV")</f>
        <v>21</v>
      </c>
      <c r="M7653" t="s" s="10">
        <v>88</v>
      </c>
      <c r="N7653" s="17">
        <v>49</v>
      </c>
      <c r="O7653" s="18">
        <v>1921</v>
      </c>
      <c r="P7653" s="18">
        <v>1980</v>
      </c>
      <c r="Q7653" s="15"/>
      <c r="R7653" t="s" s="16">
        <f>HYPERLINK("http://secrets.rutgers.edu:8080/data/asl-ftp/asllvd/demos/verify_start_end_handshape_annotations//test_auto_move//signs_mov_separ_signers/Liz_5722.mov","MOV")</f>
        <v>21</v>
      </c>
    </row>
    <row r="7654" s="2" customFormat="1" ht="13.5" customHeight="1">
      <c r="B7654" s="13"/>
      <c r="C7654" t="s" s="9">
        <v>30</v>
      </c>
      <c r="D7654" t="s" s="8">
        <v>2709</v>
      </c>
      <c r="E7654" t="s" s="9">
        <v>2709</v>
      </c>
      <c r="F7654" t="s" s="10">
        <v>282</v>
      </c>
      <c r="G7654" t="s" s="11">
        <v>282</v>
      </c>
      <c r="H7654" t="s" s="10">
        <v>282</v>
      </c>
      <c r="I7654" t="s" s="11">
        <v>282</v>
      </c>
      <c r="J7654" t="s" s="11">
        <v>20</v>
      </c>
      <c r="K7654" t="s" s="16">
        <f>HYPERLINK("http://csr.bu.edu/ftp/asl/asllvd/demos/verify_start_end_handshape_annotations//test_auto_move//signs_mov/1923_5722_merged.mov","MOV")</f>
        <v>21</v>
      </c>
      <c r="L7654" t="s" s="16">
        <f>HYPERLINK("http://csr.bu.edu/ftp/asl/asllvd/demos/verify_start_end_handshape_annotations//test_auto_move//signs_mov_separ_signers/Brady_1923.mov","MOV")</f>
        <v>21</v>
      </c>
      <c r="M7654" t="s" s="10">
        <v>40</v>
      </c>
      <c r="N7654" s="17">
        <v>39</v>
      </c>
      <c r="O7654" s="18">
        <v>1526</v>
      </c>
      <c r="P7654" s="18">
        <v>1548</v>
      </c>
      <c r="Q7654" t="s" s="16">
        <f>HYPERLINK("http://secrets.rutgers.edu:8080/data/asl-ftp/asllvd/demos/verify_start_end_handshape_annotations//test_auto_move//signs_mov/1923_5722_merged.mov","MOV")</f>
        <v>21</v>
      </c>
      <c r="R7654" t="s" s="16">
        <f>HYPERLINK("http://secrets.rutgers.edu:8080/data/asl-ftp/asllvd/demos/verify_start_end_handshape_annotations//test_auto_move//signs_mov_separ_signers/Brady_1923.mov","MOV")</f>
        <v>21</v>
      </c>
    </row>
    <row r="7655" s="2" customFormat="1" ht="13.5" customHeight="1">
      <c r="B7655" s="13"/>
      <c r="C7655" t="s" s="9">
        <v>30</v>
      </c>
      <c r="D7655" t="s" s="8">
        <v>2709</v>
      </c>
      <c r="E7655" t="s" s="9">
        <v>2710</v>
      </c>
      <c r="F7655" t="s" s="10">
        <v>282</v>
      </c>
      <c r="G7655" t="s" s="11">
        <v>282</v>
      </c>
      <c r="H7655" t="s" s="10">
        <v>282</v>
      </c>
      <c r="I7655" t="s" s="11">
        <v>282</v>
      </c>
      <c r="J7655" t="s" s="11">
        <v>20</v>
      </c>
      <c r="K7655" s="15"/>
      <c r="L7655" t="s" s="16">
        <f>HYPERLINK("http://csr.bu.edu/ftp/asl/asllvd/demos/verify_start_end_handshape_annotations//test_auto_move//signs_mov_separ_signers/Brady_5722.mov","MOV")</f>
        <v>21</v>
      </c>
      <c r="M7655" t="s" s="10">
        <v>40</v>
      </c>
      <c r="N7655" s="17">
        <v>44</v>
      </c>
      <c r="O7655" s="18">
        <v>166</v>
      </c>
      <c r="P7655" s="18">
        <v>216</v>
      </c>
      <c r="Q7655" s="15"/>
      <c r="R7655" t="s" s="16">
        <f>HYPERLINK("http://secrets.rutgers.edu:8080/data/asl-ftp/asllvd/demos/verify_start_end_handshape_annotations//test_auto_move//signs_mov_separ_signers/Brady_5722.mov","MOV")</f>
        <v>21</v>
      </c>
    </row>
    <row r="7656" s="2" customFormat="1" ht="13.5" customHeight="1">
      <c r="B7656" s="13"/>
      <c r="C7656" t="s" s="9">
        <v>41</v>
      </c>
      <c r="D7656" t="s" s="8">
        <v>2709</v>
      </c>
      <c r="E7656" t="s" s="9">
        <v>2709</v>
      </c>
      <c r="F7656" t="s" s="10">
        <v>282</v>
      </c>
      <c r="G7656" t="s" s="11">
        <v>282</v>
      </c>
      <c r="H7656" t="s" s="10">
        <v>282</v>
      </c>
      <c r="I7656" t="s" s="11">
        <v>282</v>
      </c>
      <c r="J7656" t="s" s="11">
        <v>20</v>
      </c>
      <c r="K7656" s="15"/>
      <c r="L7656" t="s" s="16">
        <f>HYPERLINK("http://csr.bu.edu/ftp/asl/asllvd/demos/verify_start_end_handshape_annotations//test_auto_move//signs_mov_separ_signers/Lana_1923.mov","MOV")</f>
        <v>21</v>
      </c>
      <c r="M7656" t="s" s="10">
        <v>42</v>
      </c>
      <c r="N7656" s="17">
        <v>21</v>
      </c>
      <c r="O7656" s="18">
        <v>1501</v>
      </c>
      <c r="P7656" s="18">
        <v>1531</v>
      </c>
      <c r="Q7656" s="15"/>
      <c r="R7656" t="s" s="16">
        <f>HYPERLINK("http://secrets.rutgers.edu:8080/data/asl-ftp/asllvd/demos/verify_start_end_handshape_annotations//test_auto_move//signs_mov_separ_signers/Lana_1923.mov","MOV")</f>
        <v>21</v>
      </c>
    </row>
    <row r="7657" s="2" customFormat="1" ht="13.5" customHeight="1">
      <c r="B7657" s="13"/>
      <c r="C7657" t="s" s="9">
        <v>43</v>
      </c>
      <c r="D7657" t="s" s="8">
        <v>2709</v>
      </c>
      <c r="E7657" t="s" s="9">
        <v>2709</v>
      </c>
      <c r="F7657" t="s" s="10">
        <v>282</v>
      </c>
      <c r="G7657" t="s" s="11">
        <v>282</v>
      </c>
      <c r="H7657" t="s" s="10">
        <v>282</v>
      </c>
      <c r="I7657" t="s" s="11">
        <v>282</v>
      </c>
      <c r="J7657" t="s" s="11">
        <v>20</v>
      </c>
      <c r="K7657" s="15"/>
      <c r="L7657" t="s" s="16">
        <f>HYPERLINK("http://csr.bu.edu/ftp/asl/asllvd/demos/verify_start_end_handshape_annotations//test_auto_move//signs_mov_separ_signers/Dana_1923.mov","MOV")</f>
        <v>21</v>
      </c>
      <c r="M7657" t="s" s="10">
        <v>44</v>
      </c>
      <c r="N7657" s="17">
        <v>23</v>
      </c>
      <c r="O7657" s="18">
        <v>1607</v>
      </c>
      <c r="P7657" s="18">
        <v>1664</v>
      </c>
      <c r="Q7657" s="15"/>
      <c r="R7657" t="s" s="16">
        <f>HYPERLINK("http://secrets.rutgers.edu:8080/data/asl-ftp/asllvd/demos/verify_start_end_handshape_annotations//test_auto_move//signs_mov_separ_signers/Dana_1923.mov","MOV")</f>
        <v>21</v>
      </c>
    </row>
    <row r="7658" s="2" customFormat="1" ht="13.5" customHeight="1">
      <c r="B7658" t="s" s="8">
        <v>2711</v>
      </c>
      <c r="C7658" t="s" s="9">
        <v>14</v>
      </c>
      <c r="D7658" t="s" s="8">
        <v>14</v>
      </c>
      <c r="E7658" t="s" s="9">
        <v>14</v>
      </c>
      <c r="F7658" t="s" s="10">
        <v>14</v>
      </c>
      <c r="G7658" t="s" s="11">
        <v>14</v>
      </c>
      <c r="H7658" t="s" s="10">
        <v>14</v>
      </c>
      <c r="I7658" t="s" s="11">
        <v>14</v>
      </c>
      <c r="J7658" t="s" s="11">
        <v>14</v>
      </c>
      <c r="K7658" t="s" s="12">
        <v>14</v>
      </c>
      <c r="L7658" t="s" s="12">
        <v>14</v>
      </c>
      <c r="M7658" t="s" s="10">
        <v>14</v>
      </c>
      <c r="N7658" t="s" s="11">
        <v>14</v>
      </c>
      <c r="O7658" t="s" s="8">
        <v>14</v>
      </c>
      <c r="P7658" t="s" s="8">
        <v>14</v>
      </c>
      <c r="Q7658" t="s" s="12">
        <v>14</v>
      </c>
      <c r="R7658" t="s" s="12">
        <v>14</v>
      </c>
    </row>
    <row r="7659" s="2" customFormat="1" ht="13.5" customHeight="1">
      <c r="B7659" s="13"/>
      <c r="C7659" t="s" s="9">
        <v>16</v>
      </c>
      <c r="D7659" t="s" s="8">
        <v>2711</v>
      </c>
      <c r="E7659" t="s" s="9">
        <v>2712</v>
      </c>
      <c r="F7659" t="s" s="10">
        <v>230</v>
      </c>
      <c r="G7659" t="s" s="11">
        <v>68</v>
      </c>
      <c r="H7659" t="s" s="10">
        <v>230</v>
      </c>
      <c r="I7659" t="s" s="11">
        <v>68</v>
      </c>
      <c r="J7659" t="s" s="11">
        <v>20</v>
      </c>
      <c r="K7659" s="15"/>
      <c r="L7659" t="s" s="16">
        <f>HYPERLINK("http://csr.bu.edu/ftp/asl/asllvd/demos/verify_start_end_handshape_annotations//test_auto_move//signs_mov_separ_signers/Liz_1924.mov","MOV")</f>
        <v>21</v>
      </c>
      <c r="M7659" t="s" s="10">
        <v>88</v>
      </c>
      <c r="N7659" s="17">
        <v>45</v>
      </c>
      <c r="O7659" s="18">
        <v>2320</v>
      </c>
      <c r="P7659" s="18">
        <v>2350</v>
      </c>
      <c r="Q7659" s="15"/>
      <c r="R7659" t="s" s="16">
        <f>HYPERLINK("http://secrets.rutgers.edu:8080/data/asl-ftp/asllvd/demos/verify_start_end_handshape_annotations//test_auto_move//signs_mov_separ_signers/Liz_1924.mov","MOV")</f>
        <v>21</v>
      </c>
    </row>
    <row r="7660" s="2" customFormat="1" ht="13.5" customHeight="1">
      <c r="B7660" s="13"/>
      <c r="C7660" t="s" s="9">
        <v>30</v>
      </c>
      <c r="D7660" t="s" s="8">
        <v>2711</v>
      </c>
      <c r="E7660" t="s" s="9">
        <v>2712</v>
      </c>
      <c r="F7660" t="s" s="10">
        <v>230</v>
      </c>
      <c r="G7660" t="s" s="11">
        <v>68</v>
      </c>
      <c r="H7660" t="s" s="10">
        <v>230</v>
      </c>
      <c r="I7660" t="s" s="11">
        <v>68</v>
      </c>
      <c r="J7660" t="s" s="11">
        <v>20</v>
      </c>
      <c r="K7660" t="s" s="16">
        <f>HYPERLINK("http://csr.bu.edu/ftp/asl/asllvd/demos/verify_start_end_handshape_annotations//test_auto_move//signs_mov/1924.mov","MOV")</f>
        <v>21</v>
      </c>
      <c r="L7660" t="s" s="16">
        <f>HYPERLINK("http://csr.bu.edu/ftp/asl/asllvd/demos/verify_start_end_handshape_annotations//test_auto_move//signs_mov_separ_signers/Brady_1924.mov","MOV")</f>
        <v>21</v>
      </c>
      <c r="M7660" t="s" s="10">
        <v>40</v>
      </c>
      <c r="N7660" s="17">
        <v>39</v>
      </c>
      <c r="O7660" s="18">
        <v>1737</v>
      </c>
      <c r="P7660" s="18">
        <v>1770</v>
      </c>
      <c r="Q7660" t="s" s="16">
        <f>HYPERLINK("http://secrets.rutgers.edu:8080/data/asl-ftp/asllvd/demos/verify_start_end_handshape_annotations//test_auto_move//signs_mov/1924.mov","MOV")</f>
        <v>21</v>
      </c>
      <c r="R7660" t="s" s="16">
        <f>HYPERLINK("http://secrets.rutgers.edu:8080/data/asl-ftp/asllvd/demos/verify_start_end_handshape_annotations//test_auto_move//signs_mov_separ_signers/Brady_1924.mov","MOV")</f>
        <v>21</v>
      </c>
    </row>
    <row r="7661" s="2" customFormat="1" ht="13.5" customHeight="1">
      <c r="B7661" s="13"/>
      <c r="C7661" t="s" s="9">
        <v>41</v>
      </c>
      <c r="D7661" t="s" s="8">
        <v>2711</v>
      </c>
      <c r="E7661" t="s" s="9">
        <v>2712</v>
      </c>
      <c r="F7661" t="s" s="10">
        <v>230</v>
      </c>
      <c r="G7661" t="s" s="11">
        <v>63</v>
      </c>
      <c r="H7661" t="s" s="10">
        <v>230</v>
      </c>
      <c r="I7661" t="s" s="11">
        <v>63</v>
      </c>
      <c r="J7661" t="s" s="11">
        <v>20</v>
      </c>
      <c r="K7661" s="15"/>
      <c r="L7661" t="s" s="16">
        <f>HYPERLINK("http://csr.bu.edu/ftp/asl/asllvd/demos/verify_start_end_handshape_annotations//test_auto_move//signs_mov_separ_signers/Lana_1924.mov","MOV")</f>
        <v>21</v>
      </c>
      <c r="M7661" t="s" s="10">
        <v>42</v>
      </c>
      <c r="N7661" s="17">
        <v>21</v>
      </c>
      <c r="O7661" s="18">
        <v>1748</v>
      </c>
      <c r="P7661" s="18">
        <v>1772</v>
      </c>
      <c r="Q7661" s="15"/>
      <c r="R7661" t="s" s="16">
        <f>HYPERLINK("http://secrets.rutgers.edu:8080/data/asl-ftp/asllvd/demos/verify_start_end_handshape_annotations//test_auto_move//signs_mov_separ_signers/Lana_1924.mov","MOV")</f>
        <v>21</v>
      </c>
    </row>
    <row r="7662" s="2" customFormat="1" ht="13.5" customHeight="1">
      <c r="B7662" s="13"/>
      <c r="C7662" t="s" s="9">
        <v>43</v>
      </c>
      <c r="D7662" t="s" s="8">
        <v>2711</v>
      </c>
      <c r="E7662" t="s" s="9">
        <v>2712</v>
      </c>
      <c r="F7662" t="s" s="10">
        <v>230</v>
      </c>
      <c r="G7662" t="s" s="11">
        <v>68</v>
      </c>
      <c r="H7662" t="s" s="10">
        <v>230</v>
      </c>
      <c r="I7662" t="s" s="11">
        <v>68</v>
      </c>
      <c r="J7662" t="s" s="11">
        <v>20</v>
      </c>
      <c r="K7662" s="15"/>
      <c r="L7662" t="s" s="16">
        <f>HYPERLINK("http://csr.bu.edu/ftp/asl/asllvd/demos/verify_start_end_handshape_annotations//test_auto_move//signs_mov_separ_signers/Dana_1924.mov","MOV")</f>
        <v>21</v>
      </c>
      <c r="M7662" t="s" s="10">
        <v>44</v>
      </c>
      <c r="N7662" s="17">
        <v>23</v>
      </c>
      <c r="O7662" s="18">
        <v>1879</v>
      </c>
      <c r="P7662" s="18">
        <v>1934</v>
      </c>
      <c r="Q7662" s="15"/>
      <c r="R7662" t="s" s="16">
        <f>HYPERLINK("http://secrets.rutgers.edu:8080/data/asl-ftp/asllvd/demos/verify_start_end_handshape_annotations//test_auto_move//signs_mov_separ_signers/Dana_1924.mov","MOV")</f>
        <v>21</v>
      </c>
    </row>
    <row r="7663" s="2" customFormat="1" ht="13.5" customHeight="1">
      <c r="B7663" t="s" s="8">
        <v>2713</v>
      </c>
      <c r="C7663" t="s" s="9">
        <v>14</v>
      </c>
      <c r="D7663" t="s" s="8">
        <v>14</v>
      </c>
      <c r="E7663" t="s" s="9">
        <v>14</v>
      </c>
      <c r="F7663" t="s" s="10">
        <v>14</v>
      </c>
      <c r="G7663" t="s" s="11">
        <v>14</v>
      </c>
      <c r="H7663" t="s" s="10">
        <v>14</v>
      </c>
      <c r="I7663" t="s" s="11">
        <v>14</v>
      </c>
      <c r="J7663" t="s" s="11">
        <v>14</v>
      </c>
      <c r="K7663" t="s" s="12">
        <v>14</v>
      </c>
      <c r="L7663" t="s" s="12">
        <v>14</v>
      </c>
      <c r="M7663" t="s" s="10">
        <v>14</v>
      </c>
      <c r="N7663" t="s" s="11">
        <v>14</v>
      </c>
      <c r="O7663" t="s" s="8">
        <v>14</v>
      </c>
      <c r="P7663" t="s" s="8">
        <v>14</v>
      </c>
      <c r="Q7663" t="s" s="12">
        <v>14</v>
      </c>
      <c r="R7663" t="s" s="12">
        <v>14</v>
      </c>
    </row>
    <row r="7664" s="2" customFormat="1" ht="13.5" customHeight="1">
      <c r="B7664" s="13"/>
      <c r="C7664" t="s" s="9">
        <v>30</v>
      </c>
      <c r="D7664" t="s" s="8">
        <v>2713</v>
      </c>
      <c r="E7664" t="s" s="9">
        <v>2713</v>
      </c>
      <c r="F7664" t="s" s="10">
        <v>185</v>
      </c>
      <c r="G7664" s="14"/>
      <c r="H7664" t="s" s="10">
        <v>185</v>
      </c>
      <c r="I7664" s="14"/>
      <c r="J7664" t="s" s="11">
        <v>20</v>
      </c>
      <c r="K7664" t="s" s="16">
        <f>HYPERLINK("http://csr.bu.edu/ftp/asl/asllvd/demos/verify_start_end_handshape_annotations//test_auto_move//signs_mov/1925.mov","MOV")</f>
        <v>21</v>
      </c>
      <c r="L7664" t="s" s="16">
        <f>HYPERLINK("http://csr.bu.edu/ftp/asl/asllvd/demos/verify_start_end_handshape_annotations//test_auto_move//signs_mov_separ_signers/Brady_1925.mov","MOV")</f>
        <v>21</v>
      </c>
      <c r="M7664" t="s" s="10">
        <v>40</v>
      </c>
      <c r="N7664" s="17">
        <v>39</v>
      </c>
      <c r="O7664" s="18">
        <v>2091</v>
      </c>
      <c r="P7664" s="18">
        <v>2106</v>
      </c>
      <c r="Q7664" t="s" s="16">
        <f>HYPERLINK("http://secrets.rutgers.edu:8080/data/asl-ftp/asllvd/demos/verify_start_end_handshape_annotations//test_auto_move//signs_mov/1925.mov","MOV")</f>
        <v>21</v>
      </c>
      <c r="R7664" t="s" s="16">
        <f>HYPERLINK("http://secrets.rutgers.edu:8080/data/asl-ftp/asllvd/demos/verify_start_end_handshape_annotations//test_auto_move//signs_mov_separ_signers/Brady_1925.mov","MOV")</f>
        <v>21</v>
      </c>
    </row>
    <row r="7665" s="2" customFormat="1" ht="13.5" customHeight="1">
      <c r="B7665" t="s" s="8">
        <v>2714</v>
      </c>
      <c r="C7665" t="s" s="9">
        <v>14</v>
      </c>
      <c r="D7665" t="s" s="8">
        <v>14</v>
      </c>
      <c r="E7665" t="s" s="9">
        <v>14</v>
      </c>
      <c r="F7665" t="s" s="10">
        <v>14</v>
      </c>
      <c r="G7665" t="s" s="11">
        <v>14</v>
      </c>
      <c r="H7665" t="s" s="10">
        <v>14</v>
      </c>
      <c r="I7665" t="s" s="11">
        <v>14</v>
      </c>
      <c r="J7665" t="s" s="11">
        <v>14</v>
      </c>
      <c r="K7665" t="s" s="12">
        <v>14</v>
      </c>
      <c r="L7665" t="s" s="12">
        <v>14</v>
      </c>
      <c r="M7665" t="s" s="10">
        <v>14</v>
      </c>
      <c r="N7665" t="s" s="11">
        <v>14</v>
      </c>
      <c r="O7665" t="s" s="8">
        <v>14</v>
      </c>
      <c r="P7665" t="s" s="8">
        <v>14</v>
      </c>
      <c r="Q7665" t="s" s="12">
        <v>14</v>
      </c>
      <c r="R7665" t="s" s="12">
        <v>14</v>
      </c>
    </row>
    <row r="7666" s="2" customFormat="1" ht="13.5" customHeight="1">
      <c r="B7666" s="13"/>
      <c r="C7666" t="s" s="9">
        <v>16</v>
      </c>
      <c r="D7666" t="s" s="8">
        <v>2714</v>
      </c>
      <c r="E7666" t="s" s="9">
        <v>2715</v>
      </c>
      <c r="F7666" t="s" s="10">
        <v>136</v>
      </c>
      <c r="G7666" s="14"/>
      <c r="H7666" t="s" s="10">
        <v>136</v>
      </c>
      <c r="I7666" s="14"/>
      <c r="J7666" t="s" s="11">
        <v>20</v>
      </c>
      <c r="K7666" s="15"/>
      <c r="L7666" t="s" s="16">
        <f>HYPERLINK("http://csr.bu.edu/ftp/asl/asllvd/demos/verify_start_end_handshape_annotations//test_auto_move//signs_mov_separ_signers/Liz_3719.mov","MOV")</f>
        <v>21</v>
      </c>
      <c r="M7666" t="s" s="10">
        <v>88</v>
      </c>
      <c r="N7666" s="17">
        <v>40</v>
      </c>
      <c r="O7666" s="18">
        <v>2478</v>
      </c>
      <c r="P7666" s="18">
        <v>2585</v>
      </c>
      <c r="Q7666" s="15"/>
      <c r="R7666" t="s" s="16">
        <f>HYPERLINK("http://secrets.rutgers.edu:8080/data/asl-ftp/asllvd/demos/verify_start_end_handshape_annotations//test_auto_move//signs_mov_separ_signers/Liz_3719.mov","MOV")</f>
        <v>21</v>
      </c>
    </row>
    <row r="7667" s="2" customFormat="1" ht="13.5" customHeight="1">
      <c r="B7667" s="13"/>
      <c r="C7667" t="s" s="9">
        <v>16</v>
      </c>
      <c r="D7667" t="s" s="8">
        <v>2714</v>
      </c>
      <c r="E7667" t="s" s="9">
        <v>2715</v>
      </c>
      <c r="F7667" t="s" s="10">
        <v>136</v>
      </c>
      <c r="G7667" s="14"/>
      <c r="H7667" t="s" s="10">
        <v>136</v>
      </c>
      <c r="I7667" s="14"/>
      <c r="J7667" t="s" s="11">
        <v>20</v>
      </c>
      <c r="K7667" t="s" s="16">
        <f>HYPERLINK("http://csr.bu.edu/ftp/asl/asllvd/demos/verify_start_end_handshape_annotations//test_auto_move//signs_mov/3719_15584_merged.mov","MOV")</f>
        <v>21</v>
      </c>
      <c r="L7667" t="s" s="16">
        <f>HYPERLINK("http://csr.bu.edu/ftp/asl/asllvd/demos/verify_start_end_handshape_annotations//test_auto_move//signs_mov_separ_signers/Liz_15584.mov","MOV")</f>
        <v>21</v>
      </c>
      <c r="M7667" t="s" s="10">
        <v>88</v>
      </c>
      <c r="N7667" s="17">
        <v>45</v>
      </c>
      <c r="O7667" s="18">
        <v>2575</v>
      </c>
      <c r="P7667" s="18">
        <v>2630</v>
      </c>
      <c r="Q7667" t="s" s="16">
        <f>HYPERLINK("http://secrets.rutgers.edu:8080/data/asl-ftp/asllvd/demos/verify_start_end_handshape_annotations//test_auto_move//signs_mov/3719_15584_merged.mov","MOV")</f>
        <v>21</v>
      </c>
      <c r="R7667" t="s" s="16">
        <f>HYPERLINK("http://secrets.rutgers.edu:8080/data/asl-ftp/asllvd/demos/verify_start_end_handshape_annotations//test_auto_move//signs_mov_separ_signers/Liz_15584.mov","MOV")</f>
        <v>21</v>
      </c>
    </row>
    <row r="7668" s="2" customFormat="1" ht="13.5" customHeight="1">
      <c r="B7668" s="13"/>
      <c r="C7668" t="s" s="9">
        <v>30</v>
      </c>
      <c r="D7668" t="s" s="8">
        <v>2714</v>
      </c>
      <c r="E7668" t="s" s="9">
        <v>2714</v>
      </c>
      <c r="F7668" t="s" s="10">
        <v>136</v>
      </c>
      <c r="G7668" s="14"/>
      <c r="H7668" t="s" s="10">
        <v>136</v>
      </c>
      <c r="I7668" s="14"/>
      <c r="J7668" t="s" s="11">
        <v>20</v>
      </c>
      <c r="K7668" s="15"/>
      <c r="L7668" t="s" s="16">
        <f>HYPERLINK("http://csr.bu.edu/ftp/asl/asllvd/demos/verify_start_end_handshape_annotations//test_auto_move//signs_mov_separ_signers/Brady_3719.mov","MOV")</f>
        <v>21</v>
      </c>
      <c r="M7668" t="s" s="10">
        <v>40</v>
      </c>
      <c r="N7668" s="17">
        <v>34</v>
      </c>
      <c r="O7668" s="18">
        <v>1764</v>
      </c>
      <c r="P7668" s="18">
        <v>1788</v>
      </c>
      <c r="Q7668" s="15"/>
      <c r="R7668" t="s" s="16">
        <f>HYPERLINK("http://secrets.rutgers.edu:8080/data/asl-ftp/asllvd/demos/verify_start_end_handshape_annotations//test_auto_move//signs_mov_separ_signers/Brady_3719.mov","MOV")</f>
        <v>21</v>
      </c>
    </row>
    <row r="7669" s="2" customFormat="1" ht="13.5" customHeight="1">
      <c r="B7669" s="13"/>
      <c r="C7669" t="s" s="9">
        <v>30</v>
      </c>
      <c r="D7669" t="s" s="8">
        <v>2714</v>
      </c>
      <c r="E7669" t="s" s="9">
        <v>2714</v>
      </c>
      <c r="F7669" t="s" s="10">
        <v>136</v>
      </c>
      <c r="G7669" s="14"/>
      <c r="H7669" t="s" s="10">
        <v>136</v>
      </c>
      <c r="I7669" s="14"/>
      <c r="J7669" t="s" s="11">
        <v>20</v>
      </c>
      <c r="K7669" s="15"/>
      <c r="L7669" t="s" s="16">
        <f>HYPERLINK("http://csr.bu.edu/ftp/asl/asllvd/demos/verify_start_end_handshape_annotations//test_auto_move//signs_mov_separ_signers/Brady_15584.mov","MOV")</f>
        <v>21</v>
      </c>
      <c r="M7669" t="s" s="10">
        <v>40</v>
      </c>
      <c r="N7669" s="17">
        <v>39</v>
      </c>
      <c r="O7669" s="18">
        <v>1994</v>
      </c>
      <c r="P7669" s="18">
        <v>2031</v>
      </c>
      <c r="Q7669" s="15"/>
      <c r="R7669" t="s" s="16">
        <f>HYPERLINK("http://secrets.rutgers.edu:8080/data/asl-ftp/asllvd/demos/verify_start_end_handshape_annotations//test_auto_move//signs_mov_separ_signers/Brady_15584.mov","MOV")</f>
        <v>21</v>
      </c>
    </row>
    <row r="7670" s="2" customFormat="1" ht="13.5" customHeight="1">
      <c r="B7670" t="s" s="8">
        <v>2714</v>
      </c>
      <c r="C7670" t="s" s="9">
        <v>14</v>
      </c>
      <c r="D7670" t="s" s="8">
        <v>14</v>
      </c>
      <c r="E7670" t="s" s="9">
        <v>14</v>
      </c>
      <c r="F7670" t="s" s="10">
        <v>14</v>
      </c>
      <c r="G7670" t="s" s="11">
        <v>14</v>
      </c>
      <c r="H7670" t="s" s="10">
        <v>14</v>
      </c>
      <c r="I7670" t="s" s="11">
        <v>14</v>
      </c>
      <c r="J7670" t="s" s="11">
        <v>14</v>
      </c>
      <c r="K7670" t="s" s="12">
        <v>14</v>
      </c>
      <c r="L7670" t="s" s="12">
        <v>14</v>
      </c>
      <c r="M7670" t="s" s="10">
        <v>14</v>
      </c>
      <c r="N7670" t="s" s="11">
        <v>14</v>
      </c>
      <c r="O7670" t="s" s="8">
        <v>14</v>
      </c>
      <c r="P7670" t="s" s="8">
        <v>14</v>
      </c>
      <c r="Q7670" t="s" s="12">
        <v>14</v>
      </c>
      <c r="R7670" t="s" s="12">
        <v>14</v>
      </c>
    </row>
    <row r="7671" s="2" customFormat="1" ht="13.5" customHeight="1">
      <c r="B7671" s="13"/>
      <c r="C7671" t="s" s="9">
        <v>16</v>
      </c>
      <c r="D7671" t="s" s="8">
        <v>2716</v>
      </c>
      <c r="E7671" t="s" s="9">
        <v>2717</v>
      </c>
      <c r="F7671" s="19">
        <v>10</v>
      </c>
      <c r="G7671" s="14"/>
      <c r="H7671" s="19">
        <v>10</v>
      </c>
      <c r="I7671" s="14"/>
      <c r="J7671" t="s" s="11">
        <v>20</v>
      </c>
      <c r="K7671" t="s" s="16">
        <f>HYPERLINK("http://csr.bu.edu/ftp/asl/asllvd/demos/verify_start_end_handshape_annotations//test_auto_move//signs_mov/15591.mov","MOV")</f>
        <v>21</v>
      </c>
      <c r="L7671" t="s" s="16">
        <f>HYPERLINK("http://csr.bu.edu/ftp/asl/asllvd/demos/verify_start_end_handshape_annotations//test_auto_move//signs_mov_separ_signers/Liz_15591.mov","MOV")</f>
        <v>21</v>
      </c>
      <c r="M7671" t="s" s="10">
        <v>88</v>
      </c>
      <c r="N7671" s="17">
        <v>40</v>
      </c>
      <c r="O7671" s="18">
        <v>2775</v>
      </c>
      <c r="P7671" s="18">
        <v>2875</v>
      </c>
      <c r="Q7671" t="s" s="16">
        <f>HYPERLINK("http://secrets.rutgers.edu:8080/data/asl-ftp/asllvd/demos/verify_start_end_handshape_annotations//test_auto_move//signs_mov/15591.mov","MOV")</f>
        <v>21</v>
      </c>
      <c r="R7671" t="s" s="16">
        <f>HYPERLINK("http://secrets.rutgers.edu:8080/data/asl-ftp/asllvd/demos/verify_start_end_handshape_annotations//test_auto_move//signs_mov_separ_signers/Liz_15591.mov","MOV")</f>
        <v>21</v>
      </c>
    </row>
    <row r="7672" s="2" customFormat="1" ht="13.5" customHeight="1">
      <c r="B7672" t="s" s="8">
        <v>2718</v>
      </c>
      <c r="C7672" t="s" s="9">
        <v>14</v>
      </c>
      <c r="D7672" t="s" s="8">
        <v>14</v>
      </c>
      <c r="E7672" t="s" s="9">
        <v>14</v>
      </c>
      <c r="F7672" t="s" s="10">
        <v>14</v>
      </c>
      <c r="G7672" t="s" s="11">
        <v>14</v>
      </c>
      <c r="H7672" t="s" s="10">
        <v>14</v>
      </c>
      <c r="I7672" t="s" s="11">
        <v>14</v>
      </c>
      <c r="J7672" t="s" s="11">
        <v>14</v>
      </c>
      <c r="K7672" t="s" s="12">
        <v>14</v>
      </c>
      <c r="L7672" t="s" s="12">
        <v>14</v>
      </c>
      <c r="M7672" t="s" s="10">
        <v>14</v>
      </c>
      <c r="N7672" t="s" s="11">
        <v>14</v>
      </c>
      <c r="O7672" t="s" s="8">
        <v>14</v>
      </c>
      <c r="P7672" t="s" s="8">
        <v>14</v>
      </c>
      <c r="Q7672" t="s" s="12">
        <v>14</v>
      </c>
      <c r="R7672" t="s" s="12">
        <v>14</v>
      </c>
    </row>
    <row r="7673" s="2" customFormat="1" ht="13.5" customHeight="1">
      <c r="B7673" s="13"/>
      <c r="C7673" t="s" s="9">
        <v>16</v>
      </c>
      <c r="D7673" t="s" s="8">
        <v>2718</v>
      </c>
      <c r="E7673" t="s" s="9">
        <v>2718</v>
      </c>
      <c r="F7673" t="s" s="10">
        <v>185</v>
      </c>
      <c r="G7673" s="14"/>
      <c r="H7673" t="s" s="10">
        <v>185</v>
      </c>
      <c r="I7673" s="14"/>
      <c r="J7673" t="s" s="11">
        <v>20</v>
      </c>
      <c r="K7673" t="s" s="16">
        <f>HYPERLINK("http://csr.bu.edu/ftp/asl/asllvd/demos/verify_start_end_handshape_annotations//test_auto_move//signs_mov/15662.mov","MOV")</f>
        <v>21</v>
      </c>
      <c r="L7673" t="s" s="16">
        <f>HYPERLINK("http://csr.bu.edu/ftp/asl/asllvd/demos/verify_start_end_handshape_annotations//test_auto_move//signs_mov_separ_signers/Liz_15662.mov","MOV")</f>
        <v>21</v>
      </c>
      <c r="M7673" t="s" s="10">
        <v>88</v>
      </c>
      <c r="N7673" s="17">
        <v>45</v>
      </c>
      <c r="O7673" s="18">
        <v>2760</v>
      </c>
      <c r="P7673" s="18">
        <v>2863</v>
      </c>
      <c r="Q7673" t="s" s="16">
        <f>HYPERLINK("http://secrets.rutgers.edu:8080/data/asl-ftp/asllvd/demos/verify_start_end_handshape_annotations//test_auto_move//signs_mov/15662.mov","MOV")</f>
        <v>21</v>
      </c>
      <c r="R7673" t="s" s="16">
        <f>HYPERLINK("http://secrets.rutgers.edu:8080/data/asl-ftp/asllvd/demos/verify_start_end_handshape_annotations//test_auto_move//signs_mov_separ_signers/Liz_15662.mov","MOV")</f>
        <v>21</v>
      </c>
    </row>
    <row r="7674" s="2" customFormat="1" ht="13.5" customHeight="1">
      <c r="B7674" t="s" s="8">
        <v>2719</v>
      </c>
      <c r="C7674" t="s" s="9">
        <v>14</v>
      </c>
      <c r="D7674" t="s" s="8">
        <v>14</v>
      </c>
      <c r="E7674" t="s" s="9">
        <v>14</v>
      </c>
      <c r="F7674" t="s" s="10">
        <v>14</v>
      </c>
      <c r="G7674" t="s" s="11">
        <v>14</v>
      </c>
      <c r="H7674" t="s" s="10">
        <v>14</v>
      </c>
      <c r="I7674" t="s" s="11">
        <v>14</v>
      </c>
      <c r="J7674" t="s" s="11">
        <v>14</v>
      </c>
      <c r="K7674" t="s" s="12">
        <v>14</v>
      </c>
      <c r="L7674" t="s" s="12">
        <v>14</v>
      </c>
      <c r="M7674" t="s" s="10">
        <v>14</v>
      </c>
      <c r="N7674" t="s" s="11">
        <v>14</v>
      </c>
      <c r="O7674" t="s" s="8">
        <v>14</v>
      </c>
      <c r="P7674" t="s" s="8">
        <v>14</v>
      </c>
      <c r="Q7674" t="s" s="12">
        <v>14</v>
      </c>
      <c r="R7674" t="s" s="12">
        <v>14</v>
      </c>
    </row>
    <row r="7675" s="2" customFormat="1" ht="13.5" customHeight="1">
      <c r="B7675" s="13"/>
      <c r="C7675" t="s" s="9">
        <v>16</v>
      </c>
      <c r="D7675" t="s" s="8">
        <v>2719</v>
      </c>
      <c r="E7675" t="s" s="9">
        <v>2720</v>
      </c>
      <c r="F7675" t="s" s="10">
        <v>63</v>
      </c>
      <c r="G7675" t="s" s="11">
        <v>85</v>
      </c>
      <c r="H7675" t="s" s="10">
        <v>63</v>
      </c>
      <c r="I7675" t="s" s="11">
        <v>85</v>
      </c>
      <c r="J7675" t="s" s="11">
        <v>20</v>
      </c>
      <c r="K7675" t="s" s="16">
        <f>HYPERLINK("http://csr.bu.edu/ftp/asl/asllvd/demos/verify_start_end_handshape_annotations//test_auto_move//signs_mov/1933.mov","MOV")</f>
        <v>21</v>
      </c>
      <c r="L7675" t="s" s="16">
        <f>HYPERLINK("http://csr.bu.edu/ftp/asl/asllvd/demos/verify_start_end_handshape_annotations//test_auto_move//signs_mov_separ_signers/Liz_1933.mov","MOV")</f>
        <v>21</v>
      </c>
      <c r="M7675" t="s" s="10">
        <v>59</v>
      </c>
      <c r="N7675" s="17">
        <v>45</v>
      </c>
      <c r="O7675" s="18">
        <v>1152</v>
      </c>
      <c r="P7675" s="18">
        <v>1197</v>
      </c>
      <c r="Q7675" t="s" s="16">
        <f>HYPERLINK("http://secrets.rutgers.edu:8080/data/asl-ftp/asllvd/demos/verify_start_end_handshape_annotations//test_auto_move//signs_mov/1933.mov","MOV")</f>
        <v>21</v>
      </c>
      <c r="R7675" t="s" s="16">
        <f>HYPERLINK("http://secrets.rutgers.edu:8080/data/asl-ftp/asllvd/demos/verify_start_end_handshape_annotations//test_auto_move//signs_mov_separ_signers/Liz_1933.mov","MOV")</f>
        <v>21</v>
      </c>
    </row>
    <row r="7676" s="2" customFormat="1" ht="13.5" customHeight="1">
      <c r="B7676" s="13"/>
      <c r="C7676" t="s" s="9">
        <v>30</v>
      </c>
      <c r="D7676" t="s" s="8">
        <v>2719</v>
      </c>
      <c r="E7676" t="s" s="9">
        <v>2720</v>
      </c>
      <c r="F7676" t="s" s="10">
        <v>85</v>
      </c>
      <c r="G7676" t="s" s="11">
        <v>63</v>
      </c>
      <c r="H7676" t="s" s="10">
        <v>85</v>
      </c>
      <c r="I7676" t="s" s="11">
        <v>63</v>
      </c>
      <c r="J7676" t="s" s="11">
        <v>20</v>
      </c>
      <c r="K7676" s="15"/>
      <c r="L7676" t="s" s="16">
        <f>HYPERLINK("http://csr.bu.edu/ftp/asl/asllvd/demos/verify_start_end_handshape_annotations//test_auto_move//signs_mov_separ_signers/Brady_1933.mov","MOV")</f>
        <v>21</v>
      </c>
      <c r="M7676" t="s" s="10">
        <v>60</v>
      </c>
      <c r="N7676" s="17">
        <v>33</v>
      </c>
      <c r="O7676" s="18">
        <v>1832</v>
      </c>
      <c r="P7676" s="18">
        <v>1860</v>
      </c>
      <c r="Q7676" s="15"/>
      <c r="R7676" t="s" s="16">
        <f>HYPERLINK("http://secrets.rutgers.edu:8080/data/asl-ftp/asllvd/demos/verify_start_end_handshape_annotations//test_auto_move//signs_mov_separ_signers/Brady_1933.mov","MOV")</f>
        <v>21</v>
      </c>
    </row>
    <row r="7677" s="2" customFormat="1" ht="13.5" customHeight="1">
      <c r="B7677" t="s" s="8">
        <v>52</v>
      </c>
      <c r="C7677" t="s" s="9">
        <v>53</v>
      </c>
      <c r="D7677" t="s" s="8">
        <v>53</v>
      </c>
      <c r="E7677" t="s" s="9">
        <v>53</v>
      </c>
      <c r="F7677" t="s" s="10">
        <v>53</v>
      </c>
      <c r="G7677" t="s" s="11">
        <v>53</v>
      </c>
      <c r="H7677" t="s" s="10">
        <v>53</v>
      </c>
      <c r="I7677" t="s" s="11">
        <v>53</v>
      </c>
      <c r="J7677" t="s" s="11">
        <v>53</v>
      </c>
      <c r="K7677" t="s" s="12">
        <v>53</v>
      </c>
      <c r="L7677" t="s" s="12">
        <v>53</v>
      </c>
      <c r="M7677" t="s" s="10">
        <v>53</v>
      </c>
      <c r="N7677" t="s" s="11">
        <v>53</v>
      </c>
      <c r="O7677" t="s" s="8">
        <v>53</v>
      </c>
      <c r="P7677" t="s" s="8">
        <v>53</v>
      </c>
      <c r="Q7677" t="s" s="12">
        <v>53</v>
      </c>
      <c r="R7677" t="s" s="12">
        <v>53</v>
      </c>
    </row>
    <row r="7678" s="2" customFormat="1" ht="13.5" customHeight="1">
      <c r="B7678" s="13"/>
      <c r="C7678" t="s" s="9">
        <v>16</v>
      </c>
      <c r="D7678" t="s" s="8">
        <v>2719</v>
      </c>
      <c r="E7678" t="s" s="9">
        <v>2721</v>
      </c>
      <c r="F7678" t="s" s="10">
        <v>73</v>
      </c>
      <c r="G7678" t="s" s="11">
        <v>73</v>
      </c>
      <c r="H7678" t="s" s="10">
        <v>73</v>
      </c>
      <c r="I7678" t="s" s="11">
        <v>73</v>
      </c>
      <c r="J7678" t="s" s="11">
        <v>20</v>
      </c>
      <c r="K7678" t="s" s="16">
        <f>HYPERLINK("http://csr.bu.edu/ftp/asl/asllvd/demos/verify_start_end_handshape_annotations//test_auto_move//signs_mov/3827.mov","MOV")</f>
        <v>21</v>
      </c>
      <c r="L7678" t="s" s="16">
        <f>HYPERLINK("http://csr.bu.edu/ftp/asl/asllvd/demos/verify_start_end_handshape_annotations//test_auto_move//signs_mov_separ_signers/Liz_3827.mov","MOV")</f>
        <v>21</v>
      </c>
      <c r="M7678" t="s" s="10">
        <v>88</v>
      </c>
      <c r="N7678" s="17">
        <v>46</v>
      </c>
      <c r="O7678" s="18">
        <v>801</v>
      </c>
      <c r="P7678" s="18">
        <v>852</v>
      </c>
      <c r="Q7678" t="s" s="16">
        <f>HYPERLINK("http://secrets.rutgers.edu:8080/data/asl-ftp/asllvd/demos/verify_start_end_handshape_annotations//test_auto_move//signs_mov/3827.mov","MOV")</f>
        <v>21</v>
      </c>
      <c r="R7678" t="s" s="16">
        <f>HYPERLINK("http://secrets.rutgers.edu:8080/data/asl-ftp/asllvd/demos/verify_start_end_handshape_annotations//test_auto_move//signs_mov_separ_signers/Liz_3827.mov","MOV")</f>
        <v>21</v>
      </c>
    </row>
    <row r="7679" s="2" customFormat="1" ht="13.5" customHeight="1">
      <c r="B7679" s="13"/>
      <c r="C7679" t="s" s="9">
        <v>30</v>
      </c>
      <c r="D7679" t="s" s="8">
        <v>2719</v>
      </c>
      <c r="E7679" t="s" s="9">
        <v>2721</v>
      </c>
      <c r="F7679" t="s" s="10">
        <v>73</v>
      </c>
      <c r="G7679" t="s" s="11">
        <v>73</v>
      </c>
      <c r="H7679" t="s" s="10">
        <v>73</v>
      </c>
      <c r="I7679" t="s" s="11">
        <v>73</v>
      </c>
      <c r="J7679" t="s" s="11">
        <v>20</v>
      </c>
      <c r="K7679" s="15"/>
      <c r="L7679" t="s" s="16">
        <f>HYPERLINK("http://csr.bu.edu/ftp/asl/asllvd/demos/verify_start_end_handshape_annotations//test_auto_move//signs_mov_separ_signers/Brady_3827.mov","MOV")</f>
        <v>21</v>
      </c>
      <c r="M7679" t="s" s="10">
        <v>40</v>
      </c>
      <c r="N7679" s="17">
        <v>40</v>
      </c>
      <c r="O7679" s="18">
        <v>1446</v>
      </c>
      <c r="P7679" s="18">
        <v>1478</v>
      </c>
      <c r="Q7679" s="15"/>
      <c r="R7679" t="s" s="16">
        <f>HYPERLINK("http://secrets.rutgers.edu:8080/data/asl-ftp/asllvd/demos/verify_start_end_handshape_annotations//test_auto_move//signs_mov_separ_signers/Brady_3827.mov","MOV")</f>
        <v>21</v>
      </c>
    </row>
    <row r="7680" s="2" customFormat="1" ht="13.5" customHeight="1">
      <c r="B7680" t="s" s="8">
        <v>2722</v>
      </c>
      <c r="C7680" t="s" s="9">
        <v>14</v>
      </c>
      <c r="D7680" t="s" s="8">
        <v>14</v>
      </c>
      <c r="E7680" t="s" s="9">
        <v>14</v>
      </c>
      <c r="F7680" t="s" s="10">
        <v>14</v>
      </c>
      <c r="G7680" t="s" s="11">
        <v>14</v>
      </c>
      <c r="H7680" t="s" s="10">
        <v>14</v>
      </c>
      <c r="I7680" t="s" s="11">
        <v>14</v>
      </c>
      <c r="J7680" t="s" s="11">
        <v>14</v>
      </c>
      <c r="K7680" t="s" s="12">
        <v>14</v>
      </c>
      <c r="L7680" t="s" s="12">
        <v>14</v>
      </c>
      <c r="M7680" t="s" s="10">
        <v>14</v>
      </c>
      <c r="N7680" t="s" s="11">
        <v>14</v>
      </c>
      <c r="O7680" t="s" s="8">
        <v>14</v>
      </c>
      <c r="P7680" t="s" s="8">
        <v>14</v>
      </c>
      <c r="Q7680" t="s" s="12">
        <v>14</v>
      </c>
      <c r="R7680" t="s" s="12">
        <v>14</v>
      </c>
    </row>
    <row r="7681" s="2" customFormat="1" ht="13.5" customHeight="1">
      <c r="B7681" s="13"/>
      <c r="C7681" t="s" s="9">
        <v>16</v>
      </c>
      <c r="D7681" t="s" s="8">
        <v>2722</v>
      </c>
      <c r="E7681" t="s" s="9">
        <v>2722</v>
      </c>
      <c r="F7681" t="s" s="10">
        <v>73</v>
      </c>
      <c r="G7681" t="s" s="11">
        <v>73</v>
      </c>
      <c r="H7681" t="s" s="10">
        <v>73</v>
      </c>
      <c r="I7681" t="s" s="11">
        <v>73</v>
      </c>
      <c r="J7681" t="s" s="11">
        <v>20</v>
      </c>
      <c r="K7681" s="15"/>
      <c r="L7681" t="s" s="16">
        <f>HYPERLINK("http://csr.bu.edu/ftp/asl/asllvd/demos/verify_start_end_handshape_annotations//test_auto_move//signs_mov_separ_signers/Liz_15642.mov","MOV")</f>
        <v>21</v>
      </c>
      <c r="M7681" t="s" s="10">
        <v>22</v>
      </c>
      <c r="N7681" s="17">
        <v>23</v>
      </c>
      <c r="O7681" s="18">
        <v>480</v>
      </c>
      <c r="P7681" s="18">
        <v>520</v>
      </c>
      <c r="Q7681" s="15"/>
      <c r="R7681" t="s" s="16">
        <f>HYPERLINK("http://secrets.rutgers.edu:8080/data/asl-ftp/asllvd/demos/verify_start_end_handshape_annotations//test_auto_move//signs_mov_separ_signers/Liz_15642.mov","MOV")</f>
        <v>21</v>
      </c>
    </row>
    <row r="7682" s="2" customFormat="1" ht="13.5" customHeight="1">
      <c r="B7682" s="13"/>
      <c r="C7682" t="s" s="9">
        <v>23</v>
      </c>
      <c r="D7682" t="s" s="8">
        <v>2722</v>
      </c>
      <c r="E7682" t="s" s="9">
        <v>2722</v>
      </c>
      <c r="F7682" t="s" s="10">
        <v>73</v>
      </c>
      <c r="G7682" t="s" s="11">
        <v>73</v>
      </c>
      <c r="H7682" t="s" s="10">
        <v>73</v>
      </c>
      <c r="I7682" t="s" s="11">
        <v>73</v>
      </c>
      <c r="J7682" t="s" s="11">
        <v>20</v>
      </c>
      <c r="K7682" t="s" s="16">
        <f>HYPERLINK("http://csr.bu.edu/ftp/asl/asllvd/demos/verify_start_end_handshape_annotations//test_auto_move//signs_mov/15642.mov","MOV")</f>
        <v>21</v>
      </c>
      <c r="L7682" t="s" s="16">
        <f>HYPERLINK("http://csr.bu.edu/ftp/asl/asllvd/demos/verify_start_end_handshape_annotations//test_auto_move//signs_mov_separ_signers/Tyler_15642.mov","MOV")</f>
        <v>21</v>
      </c>
      <c r="M7682" t="s" s="10">
        <v>26</v>
      </c>
      <c r="N7682" s="17">
        <v>15</v>
      </c>
      <c r="O7682" s="18">
        <v>2436</v>
      </c>
      <c r="P7682" s="18">
        <v>2447</v>
      </c>
      <c r="Q7682" t="s" s="16">
        <f>HYPERLINK("http://secrets.rutgers.edu:8080/data/asl-ftp/asllvd/demos/verify_start_end_handshape_annotations//test_auto_move//signs_mov/15642.mov","MOV")</f>
        <v>21</v>
      </c>
      <c r="R7682" t="s" s="16">
        <f>HYPERLINK("http://secrets.rutgers.edu:8080/data/asl-ftp/asllvd/demos/verify_start_end_handshape_annotations//test_auto_move//signs_mov_separ_signers/Tyler_15642.mov","MOV")</f>
        <v>21</v>
      </c>
    </row>
    <row r="7683" s="2" customFormat="1" ht="13.5" customHeight="1">
      <c r="B7683" s="13"/>
      <c r="C7683" t="s" s="9">
        <v>27</v>
      </c>
      <c r="D7683" t="s" s="8">
        <v>2722</v>
      </c>
      <c r="E7683" t="s" s="9">
        <v>2722</v>
      </c>
      <c r="F7683" t="s" s="10">
        <v>73</v>
      </c>
      <c r="G7683" t="s" s="11">
        <v>73</v>
      </c>
      <c r="H7683" t="s" s="10">
        <v>73</v>
      </c>
      <c r="I7683" t="s" s="11">
        <v>73</v>
      </c>
      <c r="J7683" t="s" s="11">
        <v>20</v>
      </c>
      <c r="K7683" s="15"/>
      <c r="L7683" t="s" s="16">
        <f>HYPERLINK("http://csr.bu.edu/ftp/asl/asllvd/demos/verify_start_end_handshape_annotations//test_auto_move//signs_mov_separ_signers/Naomi_15642.mov","MOV")</f>
        <v>21</v>
      </c>
      <c r="M7683" t="s" s="10">
        <v>29</v>
      </c>
      <c r="N7683" s="17">
        <v>15</v>
      </c>
      <c r="O7683" s="18">
        <v>2197</v>
      </c>
      <c r="P7683" s="18">
        <v>2217</v>
      </c>
      <c r="Q7683" s="15"/>
      <c r="R7683" t="s" s="16">
        <f>HYPERLINK("http://secrets.rutgers.edu:8080/data/asl-ftp/asllvd/demos/verify_start_end_handshape_annotations//test_auto_move//signs_mov_separ_signers/Naomi_15642.mov","MOV")</f>
        <v>21</v>
      </c>
    </row>
    <row r="7684" s="2" customFormat="1" ht="13.5" customHeight="1">
      <c r="B7684" s="13"/>
      <c r="C7684" t="s" s="9">
        <v>30</v>
      </c>
      <c r="D7684" t="s" s="8">
        <v>2722</v>
      </c>
      <c r="E7684" t="s" s="9">
        <v>2722</v>
      </c>
      <c r="F7684" t="s" s="10">
        <v>73</v>
      </c>
      <c r="G7684" t="s" s="11">
        <v>73</v>
      </c>
      <c r="H7684" t="s" s="10">
        <v>73</v>
      </c>
      <c r="I7684" t="s" s="11">
        <v>73</v>
      </c>
      <c r="J7684" t="s" s="11">
        <v>20</v>
      </c>
      <c r="K7684" s="15"/>
      <c r="L7684" t="s" s="16">
        <f>HYPERLINK("http://csr.bu.edu/ftp/asl/asllvd/demos/verify_start_end_handshape_annotations//test_auto_move//signs_mov_separ_signers/Brady_15642.mov","MOV")</f>
        <v>21</v>
      </c>
      <c r="M7684" t="s" s="10">
        <v>31</v>
      </c>
      <c r="N7684" s="17">
        <v>13</v>
      </c>
      <c r="O7684" s="18">
        <v>6902</v>
      </c>
      <c r="P7684" s="18">
        <v>6922</v>
      </c>
      <c r="Q7684" s="15"/>
      <c r="R7684" t="s" s="16">
        <f>HYPERLINK("http://secrets.rutgers.edu:8080/data/asl-ftp/asllvd/demos/verify_start_end_handshape_annotations//test_auto_move//signs_mov_separ_signers/Brady_15642.mov","MOV")</f>
        <v>21</v>
      </c>
    </row>
    <row r="7685" s="2" customFormat="1" ht="13.5" customHeight="1">
      <c r="B7685" t="s" s="8">
        <v>2723</v>
      </c>
      <c r="C7685" t="s" s="9">
        <v>14</v>
      </c>
      <c r="D7685" t="s" s="8">
        <v>14</v>
      </c>
      <c r="E7685" t="s" s="9">
        <v>14</v>
      </c>
      <c r="F7685" t="s" s="10">
        <v>14</v>
      </c>
      <c r="G7685" t="s" s="11">
        <v>14</v>
      </c>
      <c r="H7685" t="s" s="10">
        <v>14</v>
      </c>
      <c r="I7685" t="s" s="11">
        <v>14</v>
      </c>
      <c r="J7685" t="s" s="11">
        <v>14</v>
      </c>
      <c r="K7685" t="s" s="12">
        <v>14</v>
      </c>
      <c r="L7685" t="s" s="12">
        <v>14</v>
      </c>
      <c r="M7685" t="s" s="10">
        <v>14</v>
      </c>
      <c r="N7685" t="s" s="11">
        <v>14</v>
      </c>
      <c r="O7685" t="s" s="8">
        <v>14</v>
      </c>
      <c r="P7685" t="s" s="8">
        <v>14</v>
      </c>
      <c r="Q7685" t="s" s="12">
        <v>14</v>
      </c>
      <c r="R7685" t="s" s="12">
        <v>14</v>
      </c>
    </row>
    <row r="7686" s="2" customFormat="1" ht="13.5" customHeight="1">
      <c r="B7686" s="13"/>
      <c r="C7686" t="s" s="9">
        <v>16</v>
      </c>
      <c r="D7686" t="s" s="8">
        <v>2723</v>
      </c>
      <c r="E7686" t="s" s="9">
        <v>2724</v>
      </c>
      <c r="F7686" t="s" s="10">
        <v>282</v>
      </c>
      <c r="G7686" s="14"/>
      <c r="H7686" t="s" s="10">
        <v>282</v>
      </c>
      <c r="I7686" s="14"/>
      <c r="J7686" t="s" s="11">
        <v>20</v>
      </c>
      <c r="K7686" t="s" s="16">
        <f>HYPERLINK("http://csr.bu.edu/ftp/asl/asllvd/demos/verify_start_end_handshape_annotations//test_auto_move//signs_mov/1934.mov","MOV")</f>
        <v>21</v>
      </c>
      <c r="L7686" t="s" s="16">
        <f>HYPERLINK("http://csr.bu.edu/ftp/asl/asllvd/demos/verify_start_end_handshape_annotations//test_auto_move//signs_mov_separ_signers/Liz_1934.mov","MOV")</f>
        <v>21</v>
      </c>
      <c r="M7686" t="s" s="10">
        <v>88</v>
      </c>
      <c r="N7686" s="17">
        <v>46</v>
      </c>
      <c r="O7686" s="18">
        <v>1005</v>
      </c>
      <c r="P7686" s="18">
        <v>1050</v>
      </c>
      <c r="Q7686" t="s" s="16">
        <f>HYPERLINK("http://secrets.rutgers.edu:8080/data/asl-ftp/asllvd/demos/verify_start_end_handshape_annotations//test_auto_move//signs_mov/1934.mov","MOV")</f>
        <v>21</v>
      </c>
      <c r="R7686" t="s" s="16">
        <f>HYPERLINK("http://secrets.rutgers.edu:8080/data/asl-ftp/asllvd/demos/verify_start_end_handshape_annotations//test_auto_move//signs_mov_separ_signers/Liz_1934.mov","MOV")</f>
        <v>21</v>
      </c>
    </row>
    <row r="7687" s="2" customFormat="1" ht="13.5" customHeight="1">
      <c r="B7687" s="13"/>
      <c r="C7687" t="s" s="9">
        <v>30</v>
      </c>
      <c r="D7687" t="s" s="8">
        <v>2723</v>
      </c>
      <c r="E7687" t="s" s="9">
        <v>2724</v>
      </c>
      <c r="F7687" t="s" s="10">
        <v>282</v>
      </c>
      <c r="G7687" s="14"/>
      <c r="H7687" t="s" s="10">
        <v>282</v>
      </c>
      <c r="I7687" s="14"/>
      <c r="J7687" t="s" s="11">
        <v>20</v>
      </c>
      <c r="K7687" s="15"/>
      <c r="L7687" t="s" s="16">
        <f>HYPERLINK("http://csr.bu.edu/ftp/asl/asllvd/demos/verify_start_end_handshape_annotations//test_auto_move//signs_mov_separ_signers/Brady_1934.mov","MOV")</f>
        <v>21</v>
      </c>
      <c r="M7687" t="s" s="10">
        <v>40</v>
      </c>
      <c r="N7687" s="17">
        <v>40</v>
      </c>
      <c r="O7687" s="18">
        <v>1650</v>
      </c>
      <c r="P7687" s="18">
        <v>1681</v>
      </c>
      <c r="Q7687" s="15"/>
      <c r="R7687" t="s" s="16">
        <f>HYPERLINK("http://secrets.rutgers.edu:8080/data/asl-ftp/asllvd/demos/verify_start_end_handshape_annotations//test_auto_move//signs_mov_separ_signers/Brady_1934.mov","MOV")</f>
        <v>21</v>
      </c>
    </row>
    <row r="7688" s="2" customFormat="1" ht="13.5" customHeight="1">
      <c r="B7688" t="s" s="8">
        <v>2725</v>
      </c>
      <c r="C7688" t="s" s="9">
        <v>14</v>
      </c>
      <c r="D7688" t="s" s="8">
        <v>14</v>
      </c>
      <c r="E7688" t="s" s="9">
        <v>14</v>
      </c>
      <c r="F7688" t="s" s="10">
        <v>14</v>
      </c>
      <c r="G7688" t="s" s="11">
        <v>14</v>
      </c>
      <c r="H7688" t="s" s="10">
        <v>14</v>
      </c>
      <c r="I7688" t="s" s="11">
        <v>14</v>
      </c>
      <c r="J7688" t="s" s="11">
        <v>14</v>
      </c>
      <c r="K7688" t="s" s="12">
        <v>14</v>
      </c>
      <c r="L7688" t="s" s="12">
        <v>14</v>
      </c>
      <c r="M7688" t="s" s="10">
        <v>14</v>
      </c>
      <c r="N7688" t="s" s="11">
        <v>14</v>
      </c>
      <c r="O7688" t="s" s="8">
        <v>14</v>
      </c>
      <c r="P7688" t="s" s="8">
        <v>14</v>
      </c>
      <c r="Q7688" t="s" s="12">
        <v>14</v>
      </c>
      <c r="R7688" t="s" s="12">
        <v>14</v>
      </c>
    </row>
    <row r="7689" s="2" customFormat="1" ht="13.5" customHeight="1">
      <c r="B7689" s="13"/>
      <c r="C7689" t="s" s="9">
        <v>16</v>
      </c>
      <c r="D7689" t="s" s="8">
        <v>2725</v>
      </c>
      <c r="E7689" t="s" s="9">
        <v>2725</v>
      </c>
      <c r="F7689" s="19">
        <v>5</v>
      </c>
      <c r="G7689" s="17">
        <v>5</v>
      </c>
      <c r="H7689" s="19">
        <v>5</v>
      </c>
      <c r="I7689" s="17">
        <v>5</v>
      </c>
      <c r="J7689" t="s" s="11">
        <v>20</v>
      </c>
      <c r="K7689" t="s" s="16">
        <f>HYPERLINK("http://csr.bu.edu/ftp/asl/asllvd/demos/verify_start_end_handshape_annotations//test_auto_move//signs_mov/1940.mov","MOV")</f>
        <v>21</v>
      </c>
      <c r="L7689" t="s" s="16">
        <f>HYPERLINK("http://csr.bu.edu/ftp/asl/asllvd/demos/verify_start_end_handshape_annotations//test_auto_move//signs_mov_separ_signers/Liz_1940.mov","MOV")</f>
        <v>21</v>
      </c>
      <c r="M7689" t="s" s="10">
        <v>88</v>
      </c>
      <c r="N7689" s="17">
        <v>47</v>
      </c>
      <c r="O7689" s="18">
        <v>275</v>
      </c>
      <c r="P7689" s="18">
        <v>315</v>
      </c>
      <c r="Q7689" t="s" s="16">
        <f>HYPERLINK("http://secrets.rutgers.edu:8080/data/asl-ftp/asllvd/demos/verify_start_end_handshape_annotations//test_auto_move//signs_mov/1940.mov","MOV")</f>
        <v>21</v>
      </c>
      <c r="R7689" t="s" s="16">
        <f>HYPERLINK("http://secrets.rutgers.edu:8080/data/asl-ftp/asllvd/demos/verify_start_end_handshape_annotations//test_auto_move//signs_mov_separ_signers/Liz_1940.mov","MOV")</f>
        <v>21</v>
      </c>
    </row>
    <row r="7690" s="2" customFormat="1" ht="13.5" customHeight="1">
      <c r="B7690" s="13"/>
      <c r="C7690" t="s" s="9">
        <v>30</v>
      </c>
      <c r="D7690" t="s" s="8">
        <v>2725</v>
      </c>
      <c r="E7690" t="s" s="9">
        <v>2725</v>
      </c>
      <c r="F7690" s="19">
        <v>5</v>
      </c>
      <c r="G7690" s="17">
        <v>5</v>
      </c>
      <c r="H7690" s="19">
        <v>5</v>
      </c>
      <c r="I7690" s="17">
        <v>5</v>
      </c>
      <c r="J7690" t="s" s="11">
        <v>20</v>
      </c>
      <c r="K7690" s="15"/>
      <c r="L7690" t="s" s="16">
        <f>HYPERLINK("http://csr.bu.edu/ftp/asl/asllvd/demos/verify_start_end_handshape_annotations//test_auto_move//signs_mov_separ_signers/Brady_1940.mov","MOV")</f>
        <v>21</v>
      </c>
      <c r="M7690" t="s" s="10">
        <v>40</v>
      </c>
      <c r="N7690" s="17">
        <v>41</v>
      </c>
      <c r="O7690" s="18">
        <v>391</v>
      </c>
      <c r="P7690" s="18">
        <v>421</v>
      </c>
      <c r="Q7690" s="15"/>
      <c r="R7690" t="s" s="16">
        <f>HYPERLINK("http://secrets.rutgers.edu:8080/data/asl-ftp/asllvd/demos/verify_start_end_handshape_annotations//test_auto_move//signs_mov_separ_signers/Brady_1940.mov","MOV")</f>
        <v>21</v>
      </c>
    </row>
    <row r="7691" s="2" customFormat="1" ht="13.5" customHeight="1">
      <c r="B7691" t="s" s="8">
        <v>52</v>
      </c>
      <c r="C7691" t="s" s="9">
        <v>53</v>
      </c>
      <c r="D7691" t="s" s="8">
        <v>53</v>
      </c>
      <c r="E7691" t="s" s="9">
        <v>53</v>
      </c>
      <c r="F7691" t="s" s="10">
        <v>53</v>
      </c>
      <c r="G7691" t="s" s="11">
        <v>53</v>
      </c>
      <c r="H7691" t="s" s="10">
        <v>53</v>
      </c>
      <c r="I7691" t="s" s="11">
        <v>53</v>
      </c>
      <c r="J7691" t="s" s="11">
        <v>53</v>
      </c>
      <c r="K7691" t="s" s="12">
        <v>53</v>
      </c>
      <c r="L7691" t="s" s="12">
        <v>53</v>
      </c>
      <c r="M7691" t="s" s="10">
        <v>53</v>
      </c>
      <c r="N7691" t="s" s="11">
        <v>53</v>
      </c>
      <c r="O7691" t="s" s="8">
        <v>53</v>
      </c>
      <c r="P7691" t="s" s="8">
        <v>53</v>
      </c>
      <c r="Q7691" t="s" s="12">
        <v>53</v>
      </c>
      <c r="R7691" t="s" s="12">
        <v>53</v>
      </c>
    </row>
    <row r="7692" s="2" customFormat="1" ht="13.5" customHeight="1">
      <c r="B7692" s="13"/>
      <c r="C7692" t="s" s="9">
        <v>16</v>
      </c>
      <c r="D7692" t="s" s="8">
        <v>2725</v>
      </c>
      <c r="E7692" t="s" s="9">
        <v>2726</v>
      </c>
      <c r="F7692" s="19">
        <v>5</v>
      </c>
      <c r="G7692" s="14"/>
      <c r="H7692" s="19">
        <v>5</v>
      </c>
      <c r="I7692" s="14"/>
      <c r="J7692" t="s" s="11">
        <v>20</v>
      </c>
      <c r="K7692" t="s" s="16">
        <f>HYPERLINK("http://csr.bu.edu/ftp/asl/asllvd/demos/verify_start_end_handshape_annotations//test_auto_move//signs_mov/15084.mov","MOV")</f>
        <v>21</v>
      </c>
      <c r="L7692" t="s" s="16">
        <f>HYPERLINK("http://csr.bu.edu/ftp/asl/asllvd/demos/verify_start_end_handshape_annotations//test_auto_move//signs_mov_separ_signers/Liz_15084.mov","MOV")</f>
        <v>21</v>
      </c>
      <c r="M7692" t="s" s="10">
        <v>88</v>
      </c>
      <c r="N7692" s="17">
        <v>46</v>
      </c>
      <c r="O7692" s="18">
        <v>2876</v>
      </c>
      <c r="P7692" s="18">
        <v>2905</v>
      </c>
      <c r="Q7692" t="s" s="16">
        <f>HYPERLINK("http://secrets.rutgers.edu:8080/data/asl-ftp/asllvd/demos/verify_start_end_handshape_annotations//test_auto_move//signs_mov/15084.mov","MOV")</f>
        <v>21</v>
      </c>
      <c r="R7692" t="s" s="16">
        <f>HYPERLINK("http://secrets.rutgers.edu:8080/data/asl-ftp/asllvd/demos/verify_start_end_handshape_annotations//test_auto_move//signs_mov_separ_signers/Liz_15084.mov","MOV")</f>
        <v>21</v>
      </c>
    </row>
    <row r="7693" s="2" customFormat="1" ht="13.5" customHeight="1">
      <c r="B7693" s="13"/>
      <c r="C7693" t="s" s="9">
        <v>30</v>
      </c>
      <c r="D7693" t="s" s="8">
        <v>2725</v>
      </c>
      <c r="E7693" t="s" s="9">
        <v>2726</v>
      </c>
      <c r="F7693" t="s" s="10">
        <v>72</v>
      </c>
      <c r="G7693" s="14"/>
      <c r="H7693" t="s" s="10">
        <v>72</v>
      </c>
      <c r="I7693" s="14"/>
      <c r="J7693" t="s" s="11">
        <v>20</v>
      </c>
      <c r="K7693" s="15"/>
      <c r="L7693" t="s" s="16">
        <f>HYPERLINK("http://csr.bu.edu/ftp/asl/asllvd/demos/verify_start_end_handshape_annotations//test_auto_move//signs_mov_separ_signers/Brady_15084.mov","MOV")</f>
        <v>21</v>
      </c>
      <c r="M7693" t="s" s="10">
        <v>40</v>
      </c>
      <c r="N7693" s="17">
        <v>41</v>
      </c>
      <c r="O7693" s="18">
        <v>143</v>
      </c>
      <c r="P7693" s="18">
        <v>158</v>
      </c>
      <c r="Q7693" s="15"/>
      <c r="R7693" t="s" s="16">
        <f>HYPERLINK("http://secrets.rutgers.edu:8080/data/asl-ftp/asllvd/demos/verify_start_end_handshape_annotations//test_auto_move//signs_mov_separ_signers/Brady_15084.mov","MOV")</f>
        <v>21</v>
      </c>
    </row>
    <row r="7694" s="2" customFormat="1" ht="13.5" customHeight="1">
      <c r="B7694" t="s" s="8">
        <v>2727</v>
      </c>
      <c r="C7694" t="s" s="9">
        <v>14</v>
      </c>
      <c r="D7694" t="s" s="8">
        <v>14</v>
      </c>
      <c r="E7694" t="s" s="9">
        <v>14</v>
      </c>
      <c r="F7694" t="s" s="10">
        <v>14</v>
      </c>
      <c r="G7694" t="s" s="11">
        <v>14</v>
      </c>
      <c r="H7694" t="s" s="10">
        <v>14</v>
      </c>
      <c r="I7694" t="s" s="11">
        <v>14</v>
      </c>
      <c r="J7694" t="s" s="11">
        <v>14</v>
      </c>
      <c r="K7694" t="s" s="12">
        <v>14</v>
      </c>
      <c r="L7694" t="s" s="12">
        <v>14</v>
      </c>
      <c r="M7694" t="s" s="10">
        <v>14</v>
      </c>
      <c r="N7694" t="s" s="11">
        <v>14</v>
      </c>
      <c r="O7694" t="s" s="8">
        <v>14</v>
      </c>
      <c r="P7694" t="s" s="8">
        <v>14</v>
      </c>
      <c r="Q7694" t="s" s="12">
        <v>14</v>
      </c>
      <c r="R7694" t="s" s="12">
        <v>14</v>
      </c>
    </row>
    <row r="7695" s="2" customFormat="1" ht="13.5" customHeight="1">
      <c r="B7695" s="13"/>
      <c r="C7695" t="s" s="9">
        <v>16</v>
      </c>
      <c r="D7695" t="s" s="8">
        <v>2727</v>
      </c>
      <c r="E7695" t="s" s="9">
        <v>2727</v>
      </c>
      <c r="F7695" t="s" s="10">
        <v>72</v>
      </c>
      <c r="G7695" t="s" s="11">
        <v>72</v>
      </c>
      <c r="H7695" t="s" s="10">
        <v>68</v>
      </c>
      <c r="I7695" t="s" s="11">
        <v>68</v>
      </c>
      <c r="J7695" t="s" s="11">
        <v>20</v>
      </c>
      <c r="K7695" s="15"/>
      <c r="L7695" t="s" s="16">
        <f>HYPERLINK("http://csr.bu.edu/ftp/asl/asllvd/demos/verify_start_end_handshape_annotations//test_auto_move//signs_mov_separ_signers/Liz_1946.mov","MOV")</f>
        <v>21</v>
      </c>
      <c r="M7695" t="s" s="10">
        <v>88</v>
      </c>
      <c r="N7695" s="17">
        <v>47</v>
      </c>
      <c r="O7695" s="18">
        <v>1940</v>
      </c>
      <c r="P7695" s="18">
        <v>1971</v>
      </c>
      <c r="Q7695" s="15"/>
      <c r="R7695" t="s" s="16">
        <f>HYPERLINK("http://secrets.rutgers.edu:8080/data/asl-ftp/asllvd/demos/verify_start_end_handshape_annotations//test_auto_move//signs_mov_separ_signers/Liz_1946.mov","MOV")</f>
        <v>21</v>
      </c>
    </row>
    <row r="7696" s="2" customFormat="1" ht="13.5" customHeight="1">
      <c r="B7696" s="13"/>
      <c r="C7696" t="s" s="9">
        <v>30</v>
      </c>
      <c r="D7696" t="s" s="8">
        <v>2727</v>
      </c>
      <c r="E7696" t="s" s="9">
        <v>2727</v>
      </c>
      <c r="F7696" s="19">
        <v>5</v>
      </c>
      <c r="G7696" s="17">
        <v>5</v>
      </c>
      <c r="H7696" t="s" s="10">
        <v>68</v>
      </c>
      <c r="I7696" t="s" s="11">
        <v>68</v>
      </c>
      <c r="J7696" t="s" s="11">
        <v>20</v>
      </c>
      <c r="K7696" t="s" s="16">
        <f>HYPERLINK("http://csr.bu.edu/ftp/asl/asllvd/demos/verify_start_end_handshape_annotations//test_auto_move//signs_mov/1946.mov","MOV")</f>
        <v>21</v>
      </c>
      <c r="L7696" t="s" s="16">
        <f>HYPERLINK("http://csr.bu.edu/ftp/asl/asllvd/demos/verify_start_end_handshape_annotations//test_auto_move//signs_mov_separ_signers/Brady_1946.mov","MOV")</f>
        <v>21</v>
      </c>
      <c r="M7696" t="s" s="10">
        <v>40</v>
      </c>
      <c r="N7696" s="17">
        <v>41</v>
      </c>
      <c r="O7696" s="18">
        <v>3010</v>
      </c>
      <c r="P7696" s="18">
        <v>3041</v>
      </c>
      <c r="Q7696" t="s" s="16">
        <f>HYPERLINK("http://secrets.rutgers.edu:8080/data/asl-ftp/asllvd/demos/verify_start_end_handshape_annotations//test_auto_move//signs_mov/1946.mov","MOV")</f>
        <v>21</v>
      </c>
      <c r="R7696" t="s" s="16">
        <f>HYPERLINK("http://secrets.rutgers.edu:8080/data/asl-ftp/asllvd/demos/verify_start_end_handshape_annotations//test_auto_move//signs_mov_separ_signers/Brady_1946.mov","MOV")</f>
        <v>21</v>
      </c>
    </row>
    <row r="7697" s="2" customFormat="1" ht="13.5" customHeight="1">
      <c r="B7697" s="13"/>
      <c r="C7697" t="s" s="9">
        <v>41</v>
      </c>
      <c r="D7697" t="s" s="8">
        <v>2727</v>
      </c>
      <c r="E7697" t="s" s="9">
        <v>2727</v>
      </c>
      <c r="F7697" t="s" s="10">
        <v>701</v>
      </c>
      <c r="G7697" t="s" s="11">
        <v>701</v>
      </c>
      <c r="H7697" t="s" s="10">
        <v>68</v>
      </c>
      <c r="I7697" t="s" s="11">
        <v>68</v>
      </c>
      <c r="J7697" t="s" s="11">
        <v>20</v>
      </c>
      <c r="K7697" s="15"/>
      <c r="L7697" t="s" s="16">
        <f>HYPERLINK("http://csr.bu.edu/ftp/asl/asllvd/demos/verify_start_end_handshape_annotations//test_auto_move//signs_mov_separ_signers/Lana_1946.mov","MOV")</f>
        <v>21</v>
      </c>
      <c r="M7697" t="s" s="10">
        <v>42</v>
      </c>
      <c r="N7697" s="17">
        <v>21</v>
      </c>
      <c r="O7697" s="18">
        <v>2120</v>
      </c>
      <c r="P7697" s="18">
        <v>2138</v>
      </c>
      <c r="Q7697" s="15"/>
      <c r="R7697" t="s" s="16">
        <f>HYPERLINK("http://secrets.rutgers.edu:8080/data/asl-ftp/asllvd/demos/verify_start_end_handshape_annotations//test_auto_move//signs_mov_separ_signers/Lana_1946.mov","MOV")</f>
        <v>21</v>
      </c>
    </row>
    <row r="7698" s="2" customFormat="1" ht="13.5" customHeight="1">
      <c r="B7698" s="13"/>
      <c r="C7698" t="s" s="9">
        <v>43</v>
      </c>
      <c r="D7698" t="s" s="8">
        <v>2727</v>
      </c>
      <c r="E7698" t="s" s="9">
        <v>2727</v>
      </c>
      <c r="F7698" s="19">
        <v>5</v>
      </c>
      <c r="G7698" s="17">
        <v>5</v>
      </c>
      <c r="H7698" t="s" s="10">
        <v>68</v>
      </c>
      <c r="I7698" t="s" s="11">
        <v>68</v>
      </c>
      <c r="J7698" t="s" s="11">
        <v>20</v>
      </c>
      <c r="K7698" s="15"/>
      <c r="L7698" t="s" s="16">
        <f>HYPERLINK("http://csr.bu.edu/ftp/asl/asllvd/demos/verify_start_end_handshape_annotations//test_auto_move//signs_mov_separ_signers/Dana_1946.mov","MOV")</f>
        <v>21</v>
      </c>
      <c r="M7698" t="s" s="10">
        <v>44</v>
      </c>
      <c r="N7698" s="17">
        <v>23</v>
      </c>
      <c r="O7698" s="18">
        <v>2280</v>
      </c>
      <c r="P7698" s="18">
        <v>2317</v>
      </c>
      <c r="Q7698" s="15"/>
      <c r="R7698" t="s" s="16">
        <f>HYPERLINK("http://secrets.rutgers.edu:8080/data/asl-ftp/asllvd/demos/verify_start_end_handshape_annotations//test_auto_move//signs_mov_separ_signers/Dana_1946.mov","MOV")</f>
        <v>21</v>
      </c>
    </row>
    <row r="7699" s="2" customFormat="1" ht="13.5" customHeight="1">
      <c r="B7699" t="s" s="8">
        <v>2728</v>
      </c>
      <c r="C7699" t="s" s="9">
        <v>14</v>
      </c>
      <c r="D7699" t="s" s="8">
        <v>14</v>
      </c>
      <c r="E7699" t="s" s="9">
        <v>14</v>
      </c>
      <c r="F7699" t="s" s="10">
        <v>14</v>
      </c>
      <c r="G7699" t="s" s="11">
        <v>14</v>
      </c>
      <c r="H7699" t="s" s="10">
        <v>14</v>
      </c>
      <c r="I7699" t="s" s="11">
        <v>14</v>
      </c>
      <c r="J7699" t="s" s="11">
        <v>14</v>
      </c>
      <c r="K7699" t="s" s="12">
        <v>14</v>
      </c>
      <c r="L7699" t="s" s="12">
        <v>14</v>
      </c>
      <c r="M7699" t="s" s="10">
        <v>14</v>
      </c>
      <c r="N7699" t="s" s="11">
        <v>14</v>
      </c>
      <c r="O7699" t="s" s="8">
        <v>14</v>
      </c>
      <c r="P7699" t="s" s="8">
        <v>14</v>
      </c>
      <c r="Q7699" t="s" s="12">
        <v>14</v>
      </c>
      <c r="R7699" t="s" s="12">
        <v>14</v>
      </c>
    </row>
    <row r="7700" s="2" customFormat="1" ht="13.5" customHeight="1">
      <c r="B7700" s="13"/>
      <c r="C7700" t="s" s="9">
        <v>16</v>
      </c>
      <c r="D7700" t="s" s="8">
        <v>2728</v>
      </c>
      <c r="E7700" t="s" s="9">
        <v>2729</v>
      </c>
      <c r="F7700" s="19">
        <v>5</v>
      </c>
      <c r="G7700" t="s" s="11">
        <v>68</v>
      </c>
      <c r="H7700" s="19">
        <v>5</v>
      </c>
      <c r="I7700" t="s" s="11">
        <v>68</v>
      </c>
      <c r="J7700" t="s" s="11">
        <v>20</v>
      </c>
      <c r="K7700" s="15"/>
      <c r="L7700" t="s" s="16">
        <f>HYPERLINK("http://csr.bu.edu/ftp/asl/asllvd/demos/verify_start_end_handshape_annotations//test_auto_move//signs_mov_separ_signers/Liz_1947.mov","MOV")</f>
        <v>21</v>
      </c>
      <c r="M7700" t="s" s="10">
        <v>88</v>
      </c>
      <c r="N7700" s="17">
        <v>47</v>
      </c>
      <c r="O7700" s="18">
        <v>2155</v>
      </c>
      <c r="P7700" s="18">
        <v>2196</v>
      </c>
      <c r="Q7700" s="15"/>
      <c r="R7700" t="s" s="16">
        <f>HYPERLINK("http://secrets.rutgers.edu:8080/data/asl-ftp/asllvd/demos/verify_start_end_handshape_annotations//test_auto_move//signs_mov_separ_signers/Liz_1947.mov","MOV")</f>
        <v>21</v>
      </c>
    </row>
    <row r="7701" s="2" customFormat="1" ht="13.5" customHeight="1">
      <c r="B7701" s="13"/>
      <c r="C7701" t="s" s="9">
        <v>16</v>
      </c>
      <c r="D7701" t="s" s="8">
        <v>2728</v>
      </c>
      <c r="E7701" t="s" s="9">
        <v>2728</v>
      </c>
      <c r="F7701" s="19">
        <v>5</v>
      </c>
      <c r="G7701" t="s" s="11">
        <v>68</v>
      </c>
      <c r="H7701" s="19">
        <v>5</v>
      </c>
      <c r="I7701" t="s" s="11">
        <v>68</v>
      </c>
      <c r="J7701" t="s" s="11">
        <v>20</v>
      </c>
      <c r="K7701" s="15"/>
      <c r="L7701" t="s" s="16">
        <f>HYPERLINK("http://csr.bu.edu/ftp/asl/asllvd/demos/verify_start_end_handshape_annotations//test_auto_move//signs_mov_separ_signers/Liz_15558.mov","MOV")</f>
        <v>21</v>
      </c>
      <c r="M7701" t="s" s="10">
        <v>36</v>
      </c>
      <c r="N7701" s="17">
        <v>53</v>
      </c>
      <c r="O7701" s="18">
        <v>3210</v>
      </c>
      <c r="P7701" s="18">
        <v>3245</v>
      </c>
      <c r="Q7701" s="15"/>
      <c r="R7701" t="s" s="16">
        <f>HYPERLINK("http://secrets.rutgers.edu:8080/data/asl-ftp/asllvd/demos/verify_start_end_handshape_annotations//test_auto_move//signs_mov_separ_signers/Liz_15558.mov","MOV")</f>
        <v>21</v>
      </c>
    </row>
    <row r="7702" s="2" customFormat="1" ht="13.5" customHeight="1">
      <c r="B7702" s="13"/>
      <c r="C7702" t="s" s="9">
        <v>30</v>
      </c>
      <c r="D7702" t="s" s="8">
        <v>2728</v>
      </c>
      <c r="E7702" t="s" s="9">
        <v>2729</v>
      </c>
      <c r="F7702" s="19">
        <v>5</v>
      </c>
      <c r="G7702" t="s" s="11">
        <v>68</v>
      </c>
      <c r="H7702" s="19">
        <v>5</v>
      </c>
      <c r="I7702" t="s" s="11">
        <v>68</v>
      </c>
      <c r="J7702" t="s" s="11">
        <v>20</v>
      </c>
      <c r="K7702" t="s" s="16">
        <f>HYPERLINK("http://csr.bu.edu/ftp/asl/asllvd/demos/verify_start_end_handshape_annotations//test_auto_move//signs_mov/1947_15558_merged.mov","MOV")</f>
        <v>21</v>
      </c>
      <c r="L7702" t="s" s="16">
        <f>HYPERLINK("http://csr.bu.edu/ftp/asl/asllvd/demos/verify_start_end_handshape_annotations//test_auto_move//signs_mov_separ_signers/Brady_1947.mov","MOV")</f>
        <v>21</v>
      </c>
      <c r="M7702" t="s" s="10">
        <v>40</v>
      </c>
      <c r="N7702" s="17">
        <v>41</v>
      </c>
      <c r="O7702" s="18">
        <v>3226</v>
      </c>
      <c r="P7702" s="18">
        <v>3260</v>
      </c>
      <c r="Q7702" t="s" s="16">
        <f>HYPERLINK("http://secrets.rutgers.edu:8080/data/asl-ftp/asllvd/demos/verify_start_end_handshape_annotations//test_auto_move//signs_mov/1947_15558_merged.mov","MOV")</f>
        <v>21</v>
      </c>
      <c r="R7702" t="s" s="16">
        <f>HYPERLINK("http://secrets.rutgers.edu:8080/data/asl-ftp/asllvd/demos/verify_start_end_handshape_annotations//test_auto_move//signs_mov_separ_signers/Brady_1947.mov","MOV")</f>
        <v>21</v>
      </c>
    </row>
    <row r="7703" s="2" customFormat="1" ht="13.5" customHeight="1">
      <c r="B7703" s="13"/>
      <c r="C7703" t="s" s="9">
        <v>30</v>
      </c>
      <c r="D7703" t="s" s="8">
        <v>2728</v>
      </c>
      <c r="E7703" t="s" s="9">
        <v>2730</v>
      </c>
      <c r="F7703" s="19">
        <v>5</v>
      </c>
      <c r="G7703" t="s" s="11">
        <v>68</v>
      </c>
      <c r="H7703" s="19">
        <v>5</v>
      </c>
      <c r="I7703" t="s" s="11">
        <v>68</v>
      </c>
      <c r="J7703" t="s" s="11">
        <v>20</v>
      </c>
      <c r="K7703" s="15"/>
      <c r="L7703" t="s" s="16">
        <f>HYPERLINK("http://csr.bu.edu/ftp/asl/asllvd/demos/verify_start_end_handshape_annotations//test_auto_move//signs_mov_separ_signers/Brady_15558.mov","MOV")</f>
        <v>21</v>
      </c>
      <c r="M7703" t="s" s="10">
        <v>40</v>
      </c>
      <c r="N7703" s="17">
        <v>105</v>
      </c>
      <c r="O7703" s="18">
        <v>2734</v>
      </c>
      <c r="P7703" s="18">
        <v>2768</v>
      </c>
      <c r="Q7703" s="15"/>
      <c r="R7703" t="s" s="16">
        <f>HYPERLINK("http://secrets.rutgers.edu:8080/data/asl-ftp/asllvd/demos/verify_start_end_handshape_annotations//test_auto_move//signs_mov_separ_signers/Brady_15558.mov","MOV")</f>
        <v>21</v>
      </c>
    </row>
    <row r="7704" s="2" customFormat="1" ht="13.5" customHeight="1">
      <c r="B7704" s="13"/>
      <c r="C7704" t="s" s="9">
        <v>41</v>
      </c>
      <c r="D7704" t="s" s="8">
        <v>2728</v>
      </c>
      <c r="E7704" t="s" s="9">
        <v>2729</v>
      </c>
      <c r="F7704" s="19">
        <v>5</v>
      </c>
      <c r="G7704" t="s" s="11">
        <v>68</v>
      </c>
      <c r="H7704" s="19">
        <v>5</v>
      </c>
      <c r="I7704" t="s" s="11">
        <v>68</v>
      </c>
      <c r="J7704" t="s" s="11">
        <v>20</v>
      </c>
      <c r="K7704" s="15"/>
      <c r="L7704" t="s" s="16">
        <f>HYPERLINK("http://csr.bu.edu/ftp/asl/asllvd/demos/verify_start_end_handshape_annotations//test_auto_move//signs_mov_separ_signers/Lana_1947.mov","MOV")</f>
        <v>21</v>
      </c>
      <c r="M7704" t="s" s="10">
        <v>42</v>
      </c>
      <c r="N7704" s="17">
        <v>21</v>
      </c>
      <c r="O7704" s="18">
        <v>2354</v>
      </c>
      <c r="P7704" s="18">
        <v>2382</v>
      </c>
      <c r="Q7704" s="15"/>
      <c r="R7704" t="s" s="16">
        <f>HYPERLINK("http://secrets.rutgers.edu:8080/data/asl-ftp/asllvd/demos/verify_start_end_handshape_annotations//test_auto_move//signs_mov_separ_signers/Lana_1947.mov","MOV")</f>
        <v>21</v>
      </c>
    </row>
    <row r="7705" s="2" customFormat="1" ht="13.5" customHeight="1">
      <c r="B7705" s="13"/>
      <c r="C7705" t="s" s="9">
        <v>43</v>
      </c>
      <c r="D7705" t="s" s="8">
        <v>2728</v>
      </c>
      <c r="E7705" t="s" s="9">
        <v>2729</v>
      </c>
      <c r="F7705" s="19">
        <v>5</v>
      </c>
      <c r="G7705" t="s" s="11">
        <v>68</v>
      </c>
      <c r="H7705" s="19">
        <v>5</v>
      </c>
      <c r="I7705" t="s" s="11">
        <v>68</v>
      </c>
      <c r="J7705" t="s" s="11">
        <v>20</v>
      </c>
      <c r="K7705" s="15"/>
      <c r="L7705" t="s" s="16">
        <f>HYPERLINK("http://csr.bu.edu/ftp/asl/asllvd/demos/verify_start_end_handshape_annotations//test_auto_move//signs_mov_separ_signers/Dana_1947.mov","MOV")</f>
        <v>21</v>
      </c>
      <c r="M7705" t="s" s="10">
        <v>44</v>
      </c>
      <c r="N7705" s="17">
        <v>23</v>
      </c>
      <c r="O7705" s="18">
        <v>2530</v>
      </c>
      <c r="P7705" s="18">
        <v>2593</v>
      </c>
      <c r="Q7705" s="15"/>
      <c r="R7705" t="s" s="16">
        <f>HYPERLINK("http://secrets.rutgers.edu:8080/data/asl-ftp/asllvd/demos/verify_start_end_handshape_annotations//test_auto_move//signs_mov_separ_signers/Dana_1947.mov","MOV")</f>
        <v>21</v>
      </c>
    </row>
    <row r="7706" s="2" customFormat="1" ht="13.5" customHeight="1">
      <c r="B7706" t="s" s="8">
        <v>2731</v>
      </c>
      <c r="C7706" t="s" s="9">
        <v>14</v>
      </c>
      <c r="D7706" t="s" s="8">
        <v>14</v>
      </c>
      <c r="E7706" t="s" s="9">
        <v>14</v>
      </c>
      <c r="F7706" t="s" s="10">
        <v>14</v>
      </c>
      <c r="G7706" t="s" s="11">
        <v>14</v>
      </c>
      <c r="H7706" t="s" s="10">
        <v>14</v>
      </c>
      <c r="I7706" t="s" s="11">
        <v>14</v>
      </c>
      <c r="J7706" t="s" s="11">
        <v>14</v>
      </c>
      <c r="K7706" t="s" s="12">
        <v>14</v>
      </c>
      <c r="L7706" t="s" s="12">
        <v>14</v>
      </c>
      <c r="M7706" t="s" s="10">
        <v>14</v>
      </c>
      <c r="N7706" t="s" s="11">
        <v>14</v>
      </c>
      <c r="O7706" t="s" s="8">
        <v>14</v>
      </c>
      <c r="P7706" t="s" s="8">
        <v>14</v>
      </c>
      <c r="Q7706" t="s" s="12">
        <v>14</v>
      </c>
      <c r="R7706" t="s" s="12">
        <v>14</v>
      </c>
    </row>
    <row r="7707" s="2" customFormat="1" ht="13.5" customHeight="1">
      <c r="B7707" s="13"/>
      <c r="C7707" t="s" s="9">
        <v>16</v>
      </c>
      <c r="D7707" t="s" s="8">
        <v>2731</v>
      </c>
      <c r="E7707" t="s" s="9">
        <v>2731</v>
      </c>
      <c r="F7707" s="19">
        <v>5</v>
      </c>
      <c r="G7707" s="14"/>
      <c r="H7707" t="s" s="10">
        <v>119</v>
      </c>
      <c r="I7707" s="14"/>
      <c r="J7707" t="s" s="11">
        <v>20</v>
      </c>
      <c r="K7707" s="15"/>
      <c r="L7707" t="s" s="16">
        <f>HYPERLINK("http://csr.bu.edu/ftp/asl/asllvd/demos/verify_start_end_handshape_annotations//test_auto_move//signs_mov_separ_signers/Liz_1949.mov","MOV")</f>
        <v>21</v>
      </c>
      <c r="M7707" t="s" s="10">
        <v>88</v>
      </c>
      <c r="N7707" s="17">
        <v>47</v>
      </c>
      <c r="O7707" s="18">
        <v>2765</v>
      </c>
      <c r="P7707" s="18">
        <v>2805</v>
      </c>
      <c r="Q7707" s="15"/>
      <c r="R7707" t="s" s="16">
        <f>HYPERLINK("http://secrets.rutgers.edu:8080/data/asl-ftp/asllvd/demos/verify_start_end_handshape_annotations//test_auto_move//signs_mov_separ_signers/Liz_1949.mov","MOV")</f>
        <v>21</v>
      </c>
    </row>
    <row r="7708" s="2" customFormat="1" ht="13.5" customHeight="1">
      <c r="B7708" s="13"/>
      <c r="C7708" t="s" s="9">
        <v>23</v>
      </c>
      <c r="D7708" t="s" s="8">
        <v>2731</v>
      </c>
      <c r="E7708" t="s" s="9">
        <v>2731</v>
      </c>
      <c r="F7708" s="19">
        <v>5</v>
      </c>
      <c r="G7708" s="14"/>
      <c r="H7708" t="s" s="10">
        <v>119</v>
      </c>
      <c r="I7708" s="14"/>
      <c r="J7708" t="s" s="11">
        <v>20</v>
      </c>
      <c r="K7708" s="15"/>
      <c r="L7708" t="s" s="16">
        <f>HYPERLINK("http://csr.bu.edu/ftp/asl/asllvd/demos/verify_start_end_handshape_annotations//test_auto_move//signs_mov_separ_signers/Tyler_1949.mov","MOV")</f>
        <v>21</v>
      </c>
      <c r="M7708" t="s" s="10">
        <v>26</v>
      </c>
      <c r="N7708" s="17">
        <v>23</v>
      </c>
      <c r="O7708" s="18">
        <v>1241</v>
      </c>
      <c r="P7708" s="18">
        <v>1265</v>
      </c>
      <c r="Q7708" s="15"/>
      <c r="R7708" t="s" s="16">
        <f>HYPERLINK("http://secrets.rutgers.edu:8080/data/asl-ftp/asllvd/demos/verify_start_end_handshape_annotations//test_auto_move//signs_mov_separ_signers/Tyler_1949.mov","MOV")</f>
        <v>21</v>
      </c>
    </row>
    <row r="7709" s="2" customFormat="1" ht="13.5" customHeight="1">
      <c r="B7709" s="13"/>
      <c r="C7709" t="s" s="9">
        <v>27</v>
      </c>
      <c r="D7709" t="s" s="8">
        <v>2731</v>
      </c>
      <c r="E7709" t="s" s="9">
        <v>2731</v>
      </c>
      <c r="F7709" s="19">
        <v>5</v>
      </c>
      <c r="G7709" s="14"/>
      <c r="H7709" t="s" s="10">
        <v>119</v>
      </c>
      <c r="I7709" s="14"/>
      <c r="J7709" t="s" s="11">
        <v>20</v>
      </c>
      <c r="K7709" s="15"/>
      <c r="L7709" t="s" s="16">
        <f>HYPERLINK("http://csr.bu.edu/ftp/asl/asllvd/demos/verify_start_end_handshape_annotations//test_auto_move//signs_mov_separ_signers/Naomi_1949.mov","MOV")</f>
        <v>21</v>
      </c>
      <c r="M7709" t="s" s="10">
        <v>29</v>
      </c>
      <c r="N7709" s="17">
        <v>24</v>
      </c>
      <c r="O7709" s="18">
        <v>1100</v>
      </c>
      <c r="P7709" s="18">
        <v>1113</v>
      </c>
      <c r="Q7709" s="15"/>
      <c r="R7709" t="s" s="16">
        <f>HYPERLINK("http://secrets.rutgers.edu:8080/data/asl-ftp/asllvd/demos/verify_start_end_handshape_annotations//test_auto_move//signs_mov_separ_signers/Naomi_1949.mov","MOV")</f>
        <v>21</v>
      </c>
    </row>
    <row r="7710" s="2" customFormat="1" ht="13.5" customHeight="1">
      <c r="B7710" s="13"/>
      <c r="C7710" t="s" s="9">
        <v>30</v>
      </c>
      <c r="D7710" t="s" s="8">
        <v>2731</v>
      </c>
      <c r="E7710" t="s" s="9">
        <v>2731</v>
      </c>
      <c r="F7710" s="19">
        <v>5</v>
      </c>
      <c r="G7710" s="14"/>
      <c r="H7710" t="s" s="10">
        <v>119</v>
      </c>
      <c r="I7710" s="14"/>
      <c r="J7710" t="s" s="11">
        <v>20</v>
      </c>
      <c r="K7710" t="s" s="16">
        <f>HYPERLINK("http://csr.bu.edu/ftp/asl/asllvd/demos/verify_start_end_handshape_annotations//test_auto_move//signs_mov/1949_5341_merged.mov","MOV")</f>
        <v>21</v>
      </c>
      <c r="L7710" t="s" s="16">
        <f>HYPERLINK("http://csr.bu.edu/ftp/asl/asllvd/demos/verify_start_end_handshape_annotations//test_auto_move//signs_mov_separ_signers/Brady_1949.mov","MOV")</f>
        <v>21</v>
      </c>
      <c r="M7710" t="s" s="10">
        <v>31</v>
      </c>
      <c r="N7710" s="17">
        <v>18</v>
      </c>
      <c r="O7710" s="18">
        <v>457</v>
      </c>
      <c r="P7710" s="18">
        <v>479</v>
      </c>
      <c r="Q7710" t="s" s="16">
        <f>HYPERLINK("http://secrets.rutgers.edu:8080/data/asl-ftp/asllvd/demos/verify_start_end_handshape_annotations//test_auto_move//signs_mov/1949_5341_merged.mov","MOV")</f>
        <v>21</v>
      </c>
      <c r="R7710" t="s" s="16">
        <f>HYPERLINK("http://secrets.rutgers.edu:8080/data/asl-ftp/asllvd/demos/verify_start_end_handshape_annotations//test_auto_move//signs_mov_separ_signers/Brady_1949.mov","MOV")</f>
        <v>21</v>
      </c>
    </row>
    <row r="7711" s="2" customFormat="1" ht="13.5" customHeight="1">
      <c r="B7711" s="13"/>
      <c r="C7711" t="s" s="9">
        <v>30</v>
      </c>
      <c r="D7711" t="s" s="8">
        <v>2731</v>
      </c>
      <c r="E7711" t="s" s="9">
        <v>2731</v>
      </c>
      <c r="F7711" s="19">
        <v>5</v>
      </c>
      <c r="G7711" s="14"/>
      <c r="H7711" t="s" s="10">
        <v>119</v>
      </c>
      <c r="I7711" s="14"/>
      <c r="J7711" t="s" s="11">
        <v>20</v>
      </c>
      <c r="K7711" s="15"/>
      <c r="L7711" t="s" s="16">
        <f>HYPERLINK("http://csr.bu.edu/ftp/asl/asllvd/demos/verify_start_end_handshape_annotations//test_auto_move//signs_mov_separ_signers/Brady_5341.mov","MOV")</f>
        <v>21</v>
      </c>
      <c r="M7711" t="s" s="10">
        <v>40</v>
      </c>
      <c r="N7711" s="17">
        <v>42</v>
      </c>
      <c r="O7711" s="18">
        <v>237</v>
      </c>
      <c r="P7711" s="18">
        <v>256</v>
      </c>
      <c r="Q7711" s="15"/>
      <c r="R7711" t="s" s="16">
        <f>HYPERLINK("http://secrets.rutgers.edu:8080/data/asl-ftp/asllvd/demos/verify_start_end_handshape_annotations//test_auto_move//signs_mov_separ_signers/Brady_5341.mov","MOV")</f>
        <v>21</v>
      </c>
    </row>
    <row r="7712" s="2" customFormat="1" ht="13.5" customHeight="1">
      <c r="B7712" s="13"/>
      <c r="C7712" t="s" s="9">
        <v>41</v>
      </c>
      <c r="D7712" t="s" s="8">
        <v>2731</v>
      </c>
      <c r="E7712" t="s" s="9">
        <v>2731</v>
      </c>
      <c r="F7712" s="19">
        <v>5</v>
      </c>
      <c r="G7712" s="14"/>
      <c r="H7712" t="s" s="10">
        <v>119</v>
      </c>
      <c r="I7712" s="14"/>
      <c r="J7712" t="s" s="11">
        <v>20</v>
      </c>
      <c r="K7712" s="15"/>
      <c r="L7712" t="s" s="16">
        <f>HYPERLINK("http://csr.bu.edu/ftp/asl/asllvd/demos/verify_start_end_handshape_annotations//test_auto_move//signs_mov_separ_signers/Lana_1949.mov","MOV")</f>
        <v>21</v>
      </c>
      <c r="M7712" t="s" s="10">
        <v>42</v>
      </c>
      <c r="N7712" s="17">
        <v>21</v>
      </c>
      <c r="O7712" s="18">
        <v>2237</v>
      </c>
      <c r="P7712" s="18">
        <v>2252</v>
      </c>
      <c r="Q7712" s="15"/>
      <c r="R7712" t="s" s="16">
        <f>HYPERLINK("http://secrets.rutgers.edu:8080/data/asl-ftp/asllvd/demos/verify_start_end_handshape_annotations//test_auto_move//signs_mov_separ_signers/Lana_1949.mov","MOV")</f>
        <v>21</v>
      </c>
    </row>
    <row r="7713" s="2" customFormat="1" ht="13.5" customHeight="1">
      <c r="B7713" s="13"/>
      <c r="C7713" t="s" s="9">
        <v>43</v>
      </c>
      <c r="D7713" t="s" s="8">
        <v>2731</v>
      </c>
      <c r="E7713" t="s" s="9">
        <v>2731</v>
      </c>
      <c r="F7713" s="19">
        <v>5</v>
      </c>
      <c r="G7713" s="14"/>
      <c r="H7713" t="s" s="10">
        <v>119</v>
      </c>
      <c r="I7713" s="14"/>
      <c r="J7713" t="s" s="11">
        <v>20</v>
      </c>
      <c r="K7713" s="15"/>
      <c r="L7713" t="s" s="16">
        <f>HYPERLINK("http://csr.bu.edu/ftp/asl/asllvd/demos/verify_start_end_handshape_annotations//test_auto_move//signs_mov_separ_signers/Dana_1949.mov","MOV")</f>
        <v>21</v>
      </c>
      <c r="M7713" t="s" s="10">
        <v>44</v>
      </c>
      <c r="N7713" s="17">
        <v>23</v>
      </c>
      <c r="O7713" s="18">
        <v>2411</v>
      </c>
      <c r="P7713" s="18">
        <v>2451</v>
      </c>
      <c r="Q7713" s="15"/>
      <c r="R7713" t="s" s="16">
        <f>HYPERLINK("http://secrets.rutgers.edu:8080/data/asl-ftp/asllvd/demos/verify_start_end_handshape_annotations//test_auto_move//signs_mov_separ_signers/Dana_1949.mov","MOV")</f>
        <v>21</v>
      </c>
    </row>
    <row r="7714" s="2" customFormat="1" ht="13.5" customHeight="1">
      <c r="B7714" t="s" s="8">
        <v>52</v>
      </c>
      <c r="C7714" t="s" s="9">
        <v>53</v>
      </c>
      <c r="D7714" t="s" s="8">
        <v>53</v>
      </c>
      <c r="E7714" t="s" s="9">
        <v>53</v>
      </c>
      <c r="F7714" t="s" s="10">
        <v>53</v>
      </c>
      <c r="G7714" t="s" s="11">
        <v>53</v>
      </c>
      <c r="H7714" t="s" s="10">
        <v>53</v>
      </c>
      <c r="I7714" t="s" s="11">
        <v>53</v>
      </c>
      <c r="J7714" t="s" s="11">
        <v>53</v>
      </c>
      <c r="K7714" t="s" s="12">
        <v>53</v>
      </c>
      <c r="L7714" t="s" s="12">
        <v>53</v>
      </c>
      <c r="M7714" t="s" s="10">
        <v>53</v>
      </c>
      <c r="N7714" t="s" s="11">
        <v>53</v>
      </c>
      <c r="O7714" t="s" s="8">
        <v>53</v>
      </c>
      <c r="P7714" t="s" s="8">
        <v>53</v>
      </c>
      <c r="Q7714" t="s" s="12">
        <v>53</v>
      </c>
      <c r="R7714" t="s" s="12">
        <v>53</v>
      </c>
    </row>
    <row r="7715" s="2" customFormat="1" ht="13.5" customHeight="1">
      <c r="B7715" s="13"/>
      <c r="C7715" t="s" s="9">
        <v>16</v>
      </c>
      <c r="D7715" t="s" s="8">
        <v>2731</v>
      </c>
      <c r="E7715" t="s" s="9">
        <v>2732</v>
      </c>
      <c r="F7715" s="19">
        <v>5</v>
      </c>
      <c r="G7715" s="14"/>
      <c r="H7715" s="19">
        <v>5</v>
      </c>
      <c r="I7715" s="14"/>
      <c r="J7715" t="s" s="11">
        <v>20</v>
      </c>
      <c r="K7715" t="s" s="16">
        <f>HYPERLINK("http://csr.bu.edu/ftp/asl/asllvd/demos/verify_start_end_handshape_annotations//test_auto_move//signs_mov/15140.mov","MOV")</f>
        <v>21</v>
      </c>
      <c r="L7715" t="s" s="16">
        <f>HYPERLINK("http://csr.bu.edu/ftp/asl/asllvd/demos/verify_start_end_handshape_annotations//test_auto_move//signs_mov_separ_signers/Liz_15140.mov","MOV")</f>
        <v>21</v>
      </c>
      <c r="M7715" t="s" s="10">
        <v>22</v>
      </c>
      <c r="N7715" s="17">
        <v>36</v>
      </c>
      <c r="O7715" s="18">
        <v>470</v>
      </c>
      <c r="P7715" s="18">
        <v>521</v>
      </c>
      <c r="Q7715" t="s" s="16">
        <f>HYPERLINK("http://secrets.rutgers.edu:8080/data/asl-ftp/asllvd/demos/verify_start_end_handshape_annotations//test_auto_move//signs_mov/15140.mov","MOV")</f>
        <v>21</v>
      </c>
      <c r="R7715" t="s" s="16">
        <f>HYPERLINK("http://secrets.rutgers.edu:8080/data/asl-ftp/asllvd/demos/verify_start_end_handshape_annotations//test_auto_move//signs_mov_separ_signers/Liz_15140.mov","MOV")</f>
        <v>21</v>
      </c>
    </row>
    <row r="7716" s="2" customFormat="1" ht="13.5" customHeight="1">
      <c r="B7716" t="s" s="8">
        <v>2733</v>
      </c>
      <c r="C7716" t="s" s="9">
        <v>14</v>
      </c>
      <c r="D7716" t="s" s="8">
        <v>14</v>
      </c>
      <c r="E7716" t="s" s="9">
        <v>14</v>
      </c>
      <c r="F7716" t="s" s="10">
        <v>14</v>
      </c>
      <c r="G7716" t="s" s="11">
        <v>14</v>
      </c>
      <c r="H7716" t="s" s="10">
        <v>14</v>
      </c>
      <c r="I7716" t="s" s="11">
        <v>14</v>
      </c>
      <c r="J7716" t="s" s="11">
        <v>14</v>
      </c>
      <c r="K7716" t="s" s="12">
        <v>14</v>
      </c>
      <c r="L7716" t="s" s="12">
        <v>14</v>
      </c>
      <c r="M7716" t="s" s="10">
        <v>14</v>
      </c>
      <c r="N7716" t="s" s="11">
        <v>14</v>
      </c>
      <c r="O7716" t="s" s="8">
        <v>14</v>
      </c>
      <c r="P7716" t="s" s="8">
        <v>14</v>
      </c>
      <c r="Q7716" t="s" s="12">
        <v>14</v>
      </c>
      <c r="R7716" t="s" s="12">
        <v>14</v>
      </c>
    </row>
    <row r="7717" s="2" customFormat="1" ht="13.5" customHeight="1">
      <c r="B7717" s="13"/>
      <c r="C7717" t="s" s="9">
        <v>16</v>
      </c>
      <c r="D7717" t="s" s="8">
        <v>2733</v>
      </c>
      <c r="E7717" t="s" s="9">
        <v>2733</v>
      </c>
      <c r="F7717" t="s" s="10">
        <v>220</v>
      </c>
      <c r="G7717" t="s" s="11">
        <v>63</v>
      </c>
      <c r="H7717" t="s" s="10">
        <v>220</v>
      </c>
      <c r="I7717" t="s" s="11">
        <v>63</v>
      </c>
      <c r="J7717" t="s" s="11">
        <v>20</v>
      </c>
      <c r="K7717" s="15"/>
      <c r="L7717" t="s" s="16">
        <f>HYPERLINK("http://csr.bu.edu/ftp/asl/asllvd/demos/verify_start_end_handshape_annotations//test_auto_move//signs_mov_separ_signers/Liz_1955.mov","MOV")</f>
        <v>21</v>
      </c>
      <c r="M7717" t="s" s="10">
        <v>88</v>
      </c>
      <c r="N7717" s="17">
        <v>48</v>
      </c>
      <c r="O7717" s="18">
        <v>2485</v>
      </c>
      <c r="P7717" s="18">
        <v>2520</v>
      </c>
      <c r="Q7717" s="15"/>
      <c r="R7717" t="s" s="16">
        <f>HYPERLINK("http://secrets.rutgers.edu:8080/data/asl-ftp/asllvd/demos/verify_start_end_handshape_annotations//test_auto_move//signs_mov_separ_signers/Liz_1955.mov","MOV")</f>
        <v>21</v>
      </c>
    </row>
    <row r="7718" s="2" customFormat="1" ht="13.5" customHeight="1">
      <c r="B7718" s="13"/>
      <c r="C7718" t="s" s="9">
        <v>30</v>
      </c>
      <c r="D7718" t="s" s="8">
        <v>2733</v>
      </c>
      <c r="E7718" t="s" s="9">
        <v>2733</v>
      </c>
      <c r="F7718" t="s" s="10">
        <v>220</v>
      </c>
      <c r="G7718" t="s" s="11">
        <v>68</v>
      </c>
      <c r="H7718" t="s" s="10">
        <v>220</v>
      </c>
      <c r="I7718" t="s" s="11">
        <v>68</v>
      </c>
      <c r="J7718" t="s" s="11">
        <v>20</v>
      </c>
      <c r="K7718" t="s" s="16">
        <f>HYPERLINK("http://csr.bu.edu/ftp/asl/asllvd/demos/verify_start_end_handshape_annotations//test_auto_move//signs_mov/1955.mov","MOV")</f>
        <v>21</v>
      </c>
      <c r="L7718" t="s" s="16">
        <f>HYPERLINK("http://csr.bu.edu/ftp/asl/asllvd/demos/verify_start_end_handshape_annotations//test_auto_move//signs_mov_separ_signers/Brady_1955.mov","MOV")</f>
        <v>21</v>
      </c>
      <c r="M7718" t="s" s="10">
        <v>40</v>
      </c>
      <c r="N7718" s="17">
        <v>42</v>
      </c>
      <c r="O7718" s="18">
        <v>1728</v>
      </c>
      <c r="P7718" s="18">
        <v>1750</v>
      </c>
      <c r="Q7718" t="s" s="16">
        <f>HYPERLINK("http://secrets.rutgers.edu:8080/data/asl-ftp/asllvd/demos/verify_start_end_handshape_annotations//test_auto_move//signs_mov/1955.mov","MOV")</f>
        <v>21</v>
      </c>
      <c r="R7718" t="s" s="16">
        <f>HYPERLINK("http://secrets.rutgers.edu:8080/data/asl-ftp/asllvd/demos/verify_start_end_handshape_annotations//test_auto_move//signs_mov_separ_signers/Brady_1955.mov","MOV")</f>
        <v>21</v>
      </c>
    </row>
    <row r="7719" s="2" customFormat="1" ht="13.5" customHeight="1">
      <c r="B7719" s="13"/>
      <c r="C7719" t="s" s="9">
        <v>41</v>
      </c>
      <c r="D7719" t="s" s="8">
        <v>2733</v>
      </c>
      <c r="E7719" t="s" s="9">
        <v>2733</v>
      </c>
      <c r="F7719" t="s" s="10">
        <v>220</v>
      </c>
      <c r="G7719" t="s" s="11">
        <v>63</v>
      </c>
      <c r="H7719" t="s" s="10">
        <v>220</v>
      </c>
      <c r="I7719" t="s" s="11">
        <v>63</v>
      </c>
      <c r="J7719" t="s" s="11">
        <v>20</v>
      </c>
      <c r="K7719" s="15"/>
      <c r="L7719" t="s" s="16">
        <f>HYPERLINK("http://csr.bu.edu/ftp/asl/asllvd/demos/verify_start_end_handshape_annotations//test_auto_move//signs_mov_separ_signers/Lana_1955.mov","MOV")</f>
        <v>21</v>
      </c>
      <c r="M7719" t="s" s="10">
        <v>42</v>
      </c>
      <c r="N7719" s="17">
        <v>21</v>
      </c>
      <c r="O7719" s="18">
        <v>2595</v>
      </c>
      <c r="P7719" s="18">
        <v>2617</v>
      </c>
      <c r="Q7719" s="15"/>
      <c r="R7719" t="s" s="16">
        <f>HYPERLINK("http://secrets.rutgers.edu:8080/data/asl-ftp/asllvd/demos/verify_start_end_handshape_annotations//test_auto_move//signs_mov_separ_signers/Lana_1955.mov","MOV")</f>
        <v>21</v>
      </c>
    </row>
    <row r="7720" s="2" customFormat="1" ht="13.5" customHeight="1">
      <c r="B7720" s="13"/>
      <c r="C7720" t="s" s="9">
        <v>43</v>
      </c>
      <c r="D7720" t="s" s="8">
        <v>2733</v>
      </c>
      <c r="E7720" t="s" s="9">
        <v>2733</v>
      </c>
      <c r="F7720" t="s" s="10">
        <v>220</v>
      </c>
      <c r="G7720" t="s" s="11">
        <v>1352</v>
      </c>
      <c r="H7720" t="s" s="10">
        <v>220</v>
      </c>
      <c r="I7720" t="s" s="11">
        <v>1352</v>
      </c>
      <c r="J7720" t="s" s="11">
        <v>20</v>
      </c>
      <c r="K7720" s="15"/>
      <c r="L7720" t="s" s="16">
        <f>HYPERLINK("http://csr.bu.edu/ftp/asl/asllvd/demos/verify_start_end_handshape_annotations//test_auto_move//signs_mov_separ_signers/Dana_1955.mov","MOV")</f>
        <v>21</v>
      </c>
      <c r="M7720" t="s" s="10">
        <v>44</v>
      </c>
      <c r="N7720" s="17">
        <v>23</v>
      </c>
      <c r="O7720" s="18">
        <v>2798</v>
      </c>
      <c r="P7720" s="18">
        <v>2851</v>
      </c>
      <c r="Q7720" s="15"/>
      <c r="R7720" t="s" s="16">
        <f>HYPERLINK("http://secrets.rutgers.edu:8080/data/asl-ftp/asllvd/demos/verify_start_end_handshape_annotations//test_auto_move//signs_mov_separ_signers/Dana_1955.mov","MOV")</f>
        <v>21</v>
      </c>
    </row>
    <row r="7721" s="2" customFormat="1" ht="13.5" customHeight="1">
      <c r="B7721" t="s" s="8">
        <v>2734</v>
      </c>
      <c r="C7721" t="s" s="9">
        <v>14</v>
      </c>
      <c r="D7721" t="s" s="8">
        <v>14</v>
      </c>
      <c r="E7721" t="s" s="9">
        <v>14</v>
      </c>
      <c r="F7721" t="s" s="10">
        <v>14</v>
      </c>
      <c r="G7721" t="s" s="11">
        <v>14</v>
      </c>
      <c r="H7721" t="s" s="10">
        <v>14</v>
      </c>
      <c r="I7721" t="s" s="11">
        <v>14</v>
      </c>
      <c r="J7721" t="s" s="11">
        <v>14</v>
      </c>
      <c r="K7721" t="s" s="12">
        <v>14</v>
      </c>
      <c r="L7721" t="s" s="12">
        <v>14</v>
      </c>
      <c r="M7721" t="s" s="10">
        <v>14</v>
      </c>
      <c r="N7721" t="s" s="11">
        <v>14</v>
      </c>
      <c r="O7721" t="s" s="8">
        <v>14</v>
      </c>
      <c r="P7721" t="s" s="8">
        <v>14</v>
      </c>
      <c r="Q7721" t="s" s="12">
        <v>14</v>
      </c>
      <c r="R7721" t="s" s="12">
        <v>14</v>
      </c>
    </row>
    <row r="7722" s="2" customFormat="1" ht="13.5" customHeight="1">
      <c r="B7722" s="13"/>
      <c r="C7722" t="s" s="9">
        <v>16</v>
      </c>
      <c r="D7722" t="s" s="8">
        <v>2734</v>
      </c>
      <c r="E7722" t="s" s="9">
        <v>2735</v>
      </c>
      <c r="F7722" t="s" s="10">
        <v>349</v>
      </c>
      <c r="G7722" t="s" s="11">
        <v>73</v>
      </c>
      <c r="H7722" t="s" s="10">
        <v>19</v>
      </c>
      <c r="I7722" t="s" s="11">
        <v>73</v>
      </c>
      <c r="J7722" t="s" s="11">
        <v>20</v>
      </c>
      <c r="K7722" s="15"/>
      <c r="L7722" t="s" s="16">
        <f>HYPERLINK("http://csr.bu.edu/ftp/asl/asllvd/demos/verify_start_end_handshape_annotations//test_auto_move//signs_mov_separ_signers/Liz_1956.mov","MOV")</f>
        <v>21</v>
      </c>
      <c r="M7722" t="s" s="10">
        <v>88</v>
      </c>
      <c r="N7722" s="17">
        <v>18</v>
      </c>
      <c r="O7722" s="18">
        <v>2210</v>
      </c>
      <c r="P7722" s="18">
        <v>2270</v>
      </c>
      <c r="Q7722" s="15"/>
      <c r="R7722" t="s" s="16">
        <f>HYPERLINK("http://secrets.rutgers.edu:8080/data/asl-ftp/asllvd/demos/verify_start_end_handshape_annotations//test_auto_move//signs_mov_separ_signers/Liz_1956.mov","MOV")</f>
        <v>21</v>
      </c>
    </row>
    <row r="7723" s="2" customFormat="1" ht="13.5" customHeight="1">
      <c r="B7723" s="13"/>
      <c r="C7723" t="s" s="9">
        <v>16</v>
      </c>
      <c r="D7723" t="s" s="8">
        <v>2734</v>
      </c>
      <c r="E7723" t="s" s="9">
        <v>2734</v>
      </c>
      <c r="F7723" t="s" s="10">
        <v>25</v>
      </c>
      <c r="G7723" t="s" s="11">
        <v>73</v>
      </c>
      <c r="H7723" t="s" s="10">
        <v>19</v>
      </c>
      <c r="I7723" t="s" s="11">
        <v>73</v>
      </c>
      <c r="J7723" t="s" s="11">
        <v>20</v>
      </c>
      <c r="K7723" s="15"/>
      <c r="L7723" t="s" s="16">
        <f>HYPERLINK("http://csr.bu.edu/ftp/asl/asllvd/demos/verify_start_end_handshape_annotations//test_auto_move//signs_mov_separ_signers/Liz_3532.mov","MOV")</f>
        <v>21</v>
      </c>
      <c r="M7723" t="s" s="10">
        <v>88</v>
      </c>
      <c r="N7723" s="17">
        <v>48</v>
      </c>
      <c r="O7723" s="18">
        <v>2687</v>
      </c>
      <c r="P7723" s="18">
        <v>2722</v>
      </c>
      <c r="Q7723" s="15"/>
      <c r="R7723" t="s" s="16">
        <f>HYPERLINK("http://secrets.rutgers.edu:8080/data/asl-ftp/asllvd/demos/verify_start_end_handshape_annotations//test_auto_move//signs_mov_separ_signers/Liz_3532.mov","MOV")</f>
        <v>21</v>
      </c>
    </row>
    <row r="7724" s="2" customFormat="1" ht="13.5" customHeight="1">
      <c r="B7724" s="13"/>
      <c r="C7724" t="s" s="9">
        <v>30</v>
      </c>
      <c r="D7724" t="s" s="8">
        <v>2734</v>
      </c>
      <c r="E7724" t="s" s="9">
        <v>2734</v>
      </c>
      <c r="F7724" t="s" s="10">
        <v>25</v>
      </c>
      <c r="G7724" t="s" s="11">
        <v>73</v>
      </c>
      <c r="H7724" t="s" s="10">
        <v>19</v>
      </c>
      <c r="I7724" t="s" s="11">
        <v>73</v>
      </c>
      <c r="J7724" t="s" s="11">
        <v>20</v>
      </c>
      <c r="K7724" t="s" s="16">
        <f>HYPERLINK("http://csr.bu.edu/ftp/asl/asllvd/demos/verify_start_end_handshape_annotations//test_auto_move//signs_mov/1956_3532_merged.mov","MOV")</f>
        <v>21</v>
      </c>
      <c r="L7724" t="s" s="16">
        <f>HYPERLINK("http://csr.bu.edu/ftp/asl/asllvd/demos/verify_start_end_handshape_annotations//test_auto_move//signs_mov_separ_signers/Brady_1956.mov","MOV")</f>
        <v>21</v>
      </c>
      <c r="M7724" t="s" s="10">
        <v>40</v>
      </c>
      <c r="N7724" s="17">
        <v>42</v>
      </c>
      <c r="O7724" s="18">
        <v>1950</v>
      </c>
      <c r="P7724" s="18">
        <v>1965</v>
      </c>
      <c r="Q7724" t="s" s="16">
        <f>HYPERLINK("http://secrets.rutgers.edu:8080/data/asl-ftp/asllvd/demos/verify_start_end_handshape_annotations//test_auto_move//signs_mov/1956_3532_merged.mov","MOV")</f>
        <v>21</v>
      </c>
      <c r="R7724" t="s" s="16">
        <f>HYPERLINK("http://secrets.rutgers.edu:8080/data/asl-ftp/asllvd/demos/verify_start_end_handshape_annotations//test_auto_move//signs_mov_separ_signers/Brady_1956.mov","MOV")</f>
        <v>21</v>
      </c>
    </row>
    <row r="7725" s="2" customFormat="1" ht="13.5" customHeight="1">
      <c r="B7725" s="13"/>
      <c r="C7725" t="s" s="9">
        <v>41</v>
      </c>
      <c r="D7725" t="s" s="8">
        <v>2734</v>
      </c>
      <c r="E7725" t="s" s="9">
        <v>2735</v>
      </c>
      <c r="F7725" t="s" s="10">
        <v>25</v>
      </c>
      <c r="G7725" t="s" s="11">
        <v>73</v>
      </c>
      <c r="H7725" t="s" s="10">
        <v>19</v>
      </c>
      <c r="I7725" t="s" s="11">
        <v>73</v>
      </c>
      <c r="J7725" t="s" s="11">
        <v>20</v>
      </c>
      <c r="K7725" s="15"/>
      <c r="L7725" t="s" s="16">
        <f>HYPERLINK("http://csr.bu.edu/ftp/asl/asllvd/demos/verify_start_end_handshape_annotations//test_auto_move//signs_mov_separ_signers/Lana_1956.mov","MOV")</f>
        <v>21</v>
      </c>
      <c r="M7725" t="s" s="10">
        <v>42</v>
      </c>
      <c r="N7725" s="17">
        <v>19</v>
      </c>
      <c r="O7725" s="18">
        <v>1162</v>
      </c>
      <c r="P7725" s="18">
        <v>1185</v>
      </c>
      <c r="Q7725" s="15"/>
      <c r="R7725" t="s" s="16">
        <f>HYPERLINK("http://secrets.rutgers.edu:8080/data/asl-ftp/asllvd/demos/verify_start_end_handshape_annotations//test_auto_move//signs_mov_separ_signers/Lana_1956.mov","MOV")</f>
        <v>21</v>
      </c>
    </row>
    <row r="7726" s="2" customFormat="1" ht="13.5" customHeight="1">
      <c r="B7726" s="13"/>
      <c r="C7726" t="s" s="9">
        <v>43</v>
      </c>
      <c r="D7726" t="s" s="8">
        <v>2734</v>
      </c>
      <c r="E7726" t="s" s="9">
        <v>2736</v>
      </c>
      <c r="F7726" t="s" s="10">
        <v>18</v>
      </c>
      <c r="G7726" t="s" s="11">
        <v>73</v>
      </c>
      <c r="H7726" t="s" s="10">
        <v>19</v>
      </c>
      <c r="I7726" t="s" s="11">
        <v>73</v>
      </c>
      <c r="J7726" t="s" s="11">
        <v>20</v>
      </c>
      <c r="K7726" s="15"/>
      <c r="L7726" t="s" s="16">
        <f>HYPERLINK("http://csr.bu.edu/ftp/asl/asllvd/demos/verify_start_end_handshape_annotations//test_auto_move//signs_mov_separ_signers/Dana_1956.mov","MOV")</f>
        <v>21</v>
      </c>
      <c r="M7726" t="s" s="10">
        <v>44</v>
      </c>
      <c r="N7726" s="17">
        <v>21</v>
      </c>
      <c r="O7726" s="18">
        <v>1057</v>
      </c>
      <c r="P7726" s="18">
        <v>1114</v>
      </c>
      <c r="Q7726" s="15"/>
      <c r="R7726" t="s" s="16">
        <f>HYPERLINK("http://secrets.rutgers.edu:8080/data/asl-ftp/asllvd/demos/verify_start_end_handshape_annotations//test_auto_move//signs_mov_separ_signers/Dana_1956.mov","MOV")</f>
        <v>21</v>
      </c>
    </row>
    <row r="7727" s="2" customFormat="1" ht="13.5" customHeight="1">
      <c r="B7727" t="s" s="8">
        <v>2737</v>
      </c>
      <c r="C7727" t="s" s="9">
        <v>14</v>
      </c>
      <c r="D7727" t="s" s="8">
        <v>14</v>
      </c>
      <c r="E7727" t="s" s="9">
        <v>14</v>
      </c>
      <c r="F7727" t="s" s="10">
        <v>14</v>
      </c>
      <c r="G7727" t="s" s="11">
        <v>14</v>
      </c>
      <c r="H7727" t="s" s="10">
        <v>14</v>
      </c>
      <c r="I7727" t="s" s="11">
        <v>14</v>
      </c>
      <c r="J7727" t="s" s="11">
        <v>14</v>
      </c>
      <c r="K7727" t="s" s="12">
        <v>14</v>
      </c>
      <c r="L7727" t="s" s="12">
        <v>14</v>
      </c>
      <c r="M7727" t="s" s="10">
        <v>14</v>
      </c>
      <c r="N7727" t="s" s="11">
        <v>14</v>
      </c>
      <c r="O7727" t="s" s="8">
        <v>14</v>
      </c>
      <c r="P7727" t="s" s="8">
        <v>14</v>
      </c>
      <c r="Q7727" t="s" s="12">
        <v>14</v>
      </c>
      <c r="R7727" t="s" s="12">
        <v>14</v>
      </c>
    </row>
    <row r="7728" s="2" customFormat="1" ht="13.5" customHeight="1">
      <c r="B7728" s="13"/>
      <c r="C7728" t="s" s="9">
        <v>16</v>
      </c>
      <c r="D7728" t="s" s="8">
        <v>2737</v>
      </c>
      <c r="E7728" t="s" s="9">
        <v>2737</v>
      </c>
      <c r="F7728" t="s" s="10">
        <v>73</v>
      </c>
      <c r="G7728" s="17">
        <v>5</v>
      </c>
      <c r="H7728" t="s" s="10">
        <v>73</v>
      </c>
      <c r="I7728" s="17">
        <v>5</v>
      </c>
      <c r="J7728" t="s" s="11">
        <v>20</v>
      </c>
      <c r="K7728" t="s" s="16">
        <f>HYPERLINK("http://csr.bu.edu/ftp/asl/asllvd/demos/verify_start_end_handshape_annotations//test_auto_move//signs_mov/1958.mov","MOV")</f>
        <v>21</v>
      </c>
      <c r="L7728" t="s" s="16">
        <f>HYPERLINK("http://csr.bu.edu/ftp/asl/asllvd/demos/verify_start_end_handshape_annotations//test_auto_move//signs_mov_separ_signers/Liz_1958.mov","MOV")</f>
        <v>21</v>
      </c>
      <c r="M7728" t="s" s="10">
        <v>88</v>
      </c>
      <c r="N7728" s="17">
        <v>48</v>
      </c>
      <c r="O7728" s="18">
        <v>3245</v>
      </c>
      <c r="P7728" s="18">
        <v>3300</v>
      </c>
      <c r="Q7728" t="s" s="16">
        <f>HYPERLINK("http://secrets.rutgers.edu:8080/data/asl-ftp/asllvd/demos/verify_start_end_handshape_annotations//test_auto_move//signs_mov/1958.mov","MOV")</f>
        <v>21</v>
      </c>
      <c r="R7728" t="s" s="16">
        <f>HYPERLINK("http://secrets.rutgers.edu:8080/data/asl-ftp/asllvd/demos/verify_start_end_handshape_annotations//test_auto_move//signs_mov_separ_signers/Liz_1958.mov","MOV")</f>
        <v>21</v>
      </c>
    </row>
    <row r="7729" s="2" customFormat="1" ht="13.5" customHeight="1">
      <c r="B7729" s="13"/>
      <c r="C7729" t="s" s="9">
        <v>30</v>
      </c>
      <c r="D7729" t="s" s="8">
        <v>2737</v>
      </c>
      <c r="E7729" t="s" s="9">
        <v>2737</v>
      </c>
      <c r="F7729" s="19">
        <v>5</v>
      </c>
      <c r="G7729" s="17">
        <v>5</v>
      </c>
      <c r="H7729" s="19">
        <v>5</v>
      </c>
      <c r="I7729" s="17">
        <v>5</v>
      </c>
      <c r="J7729" t="s" s="11">
        <v>20</v>
      </c>
      <c r="K7729" s="15"/>
      <c r="L7729" t="s" s="16">
        <f>HYPERLINK("http://csr.bu.edu/ftp/asl/asllvd/demos/verify_start_end_handshape_annotations//test_auto_move//signs_mov_separ_signers/Brady_1958.mov","MOV")</f>
        <v>21</v>
      </c>
      <c r="M7729" t="s" s="10">
        <v>40</v>
      </c>
      <c r="N7729" s="17">
        <v>42</v>
      </c>
      <c r="O7729" s="18">
        <v>2214</v>
      </c>
      <c r="P7729" s="18">
        <v>2236</v>
      </c>
      <c r="Q7729" s="15"/>
      <c r="R7729" t="s" s="16">
        <f>HYPERLINK("http://secrets.rutgers.edu:8080/data/asl-ftp/asllvd/demos/verify_start_end_handshape_annotations//test_auto_move//signs_mov_separ_signers/Brady_1958.mov","MOV")</f>
        <v>21</v>
      </c>
    </row>
    <row r="7730" s="2" customFormat="1" ht="13.5" customHeight="1">
      <c r="B7730" t="s" s="8">
        <v>2738</v>
      </c>
      <c r="C7730" t="s" s="9">
        <v>14</v>
      </c>
      <c r="D7730" t="s" s="8">
        <v>14</v>
      </c>
      <c r="E7730" t="s" s="9">
        <v>14</v>
      </c>
      <c r="F7730" t="s" s="10">
        <v>14</v>
      </c>
      <c r="G7730" t="s" s="11">
        <v>14</v>
      </c>
      <c r="H7730" t="s" s="10">
        <v>14</v>
      </c>
      <c r="I7730" t="s" s="11">
        <v>14</v>
      </c>
      <c r="J7730" t="s" s="11">
        <v>14</v>
      </c>
      <c r="K7730" t="s" s="12">
        <v>14</v>
      </c>
      <c r="L7730" t="s" s="12">
        <v>14</v>
      </c>
      <c r="M7730" t="s" s="10">
        <v>14</v>
      </c>
      <c r="N7730" t="s" s="11">
        <v>14</v>
      </c>
      <c r="O7730" t="s" s="8">
        <v>14</v>
      </c>
      <c r="P7730" t="s" s="8">
        <v>14</v>
      </c>
      <c r="Q7730" t="s" s="12">
        <v>14</v>
      </c>
      <c r="R7730" t="s" s="12">
        <v>14</v>
      </c>
    </row>
    <row r="7731" s="2" customFormat="1" ht="13.5" customHeight="1">
      <c r="B7731" s="13"/>
      <c r="C7731" t="s" s="9">
        <v>16</v>
      </c>
      <c r="D7731" t="s" s="8">
        <v>2738</v>
      </c>
      <c r="E7731" t="s" s="9">
        <v>2738</v>
      </c>
      <c r="F7731" t="s" s="10">
        <v>220</v>
      </c>
      <c r="G7731" s="17">
        <v>5</v>
      </c>
      <c r="H7731" t="s" s="10">
        <v>220</v>
      </c>
      <c r="I7731" s="17">
        <v>5</v>
      </c>
      <c r="J7731" t="s" s="11">
        <v>20</v>
      </c>
      <c r="K7731" t="s" s="16">
        <f>HYPERLINK("http://csr.bu.edu/ftp/asl/asllvd/demos/verify_start_end_handshape_annotations//test_auto_move//signs_mov/1968.mov","MOV")</f>
        <v>21</v>
      </c>
      <c r="L7731" t="s" s="16">
        <f>HYPERLINK("http://csr.bu.edu/ftp/asl/asllvd/demos/verify_start_end_handshape_annotations//test_auto_move//signs_mov_separ_signers/Liz_1968.mov","MOV")</f>
        <v>21</v>
      </c>
      <c r="M7731" t="s" s="10">
        <v>88</v>
      </c>
      <c r="N7731" s="17">
        <v>49</v>
      </c>
      <c r="O7731" s="18">
        <v>2135</v>
      </c>
      <c r="P7731" s="18">
        <v>2179</v>
      </c>
      <c r="Q7731" t="s" s="16">
        <f>HYPERLINK("http://secrets.rutgers.edu:8080/data/asl-ftp/asllvd/demos/verify_start_end_handshape_annotations//test_auto_move//signs_mov/1968.mov","MOV")</f>
        <v>21</v>
      </c>
      <c r="R7731" t="s" s="16">
        <f>HYPERLINK("http://secrets.rutgers.edu:8080/data/asl-ftp/asllvd/demos/verify_start_end_handshape_annotations//test_auto_move//signs_mov_separ_signers/Liz_1968.mov","MOV")</f>
        <v>21</v>
      </c>
    </row>
    <row r="7732" s="2" customFormat="1" ht="13.5" customHeight="1">
      <c r="B7732" s="13"/>
      <c r="C7732" t="s" s="9">
        <v>30</v>
      </c>
      <c r="D7732" t="s" s="8">
        <v>2738</v>
      </c>
      <c r="E7732" t="s" s="9">
        <v>2738</v>
      </c>
      <c r="F7732" t="s" s="10">
        <v>220</v>
      </c>
      <c r="G7732" t="s" s="11">
        <v>73</v>
      </c>
      <c r="H7732" t="s" s="10">
        <v>220</v>
      </c>
      <c r="I7732" t="s" s="11">
        <v>73</v>
      </c>
      <c r="J7732" t="s" s="11">
        <v>20</v>
      </c>
      <c r="K7732" s="15"/>
      <c r="L7732" t="s" s="16">
        <f>HYPERLINK("http://csr.bu.edu/ftp/asl/asllvd/demos/verify_start_end_handshape_annotations//test_auto_move//signs_mov_separ_signers/Brady_1968.mov","MOV")</f>
        <v>21</v>
      </c>
      <c r="M7732" t="s" s="10">
        <v>40</v>
      </c>
      <c r="N7732" s="17">
        <v>44</v>
      </c>
      <c r="O7732" s="18">
        <v>2710</v>
      </c>
      <c r="P7732" s="18">
        <v>2739</v>
      </c>
      <c r="Q7732" s="15"/>
      <c r="R7732" t="s" s="16">
        <f>HYPERLINK("http://secrets.rutgers.edu:8080/data/asl-ftp/asllvd/demos/verify_start_end_handshape_annotations//test_auto_move//signs_mov_separ_signers/Brady_1968.mov","MOV")</f>
        <v>21</v>
      </c>
    </row>
    <row r="7733" s="2" customFormat="1" ht="13.5" customHeight="1">
      <c r="B7733" t="s" s="8">
        <v>2739</v>
      </c>
      <c r="C7733" t="s" s="9">
        <v>14</v>
      </c>
      <c r="D7733" t="s" s="8">
        <v>14</v>
      </c>
      <c r="E7733" t="s" s="9">
        <v>14</v>
      </c>
      <c r="F7733" t="s" s="10">
        <v>14</v>
      </c>
      <c r="G7733" t="s" s="11">
        <v>14</v>
      </c>
      <c r="H7733" t="s" s="10">
        <v>14</v>
      </c>
      <c r="I7733" t="s" s="11">
        <v>14</v>
      </c>
      <c r="J7733" t="s" s="11">
        <v>14</v>
      </c>
      <c r="K7733" t="s" s="12">
        <v>14</v>
      </c>
      <c r="L7733" t="s" s="12">
        <v>14</v>
      </c>
      <c r="M7733" t="s" s="10">
        <v>14</v>
      </c>
      <c r="N7733" t="s" s="11">
        <v>14</v>
      </c>
      <c r="O7733" t="s" s="8">
        <v>14</v>
      </c>
      <c r="P7733" t="s" s="8">
        <v>14</v>
      </c>
      <c r="Q7733" t="s" s="12">
        <v>14</v>
      </c>
      <c r="R7733" t="s" s="12">
        <v>14</v>
      </c>
    </row>
    <row r="7734" s="2" customFormat="1" ht="13.5" customHeight="1">
      <c r="B7734" s="13"/>
      <c r="C7734" t="s" s="9">
        <v>16</v>
      </c>
      <c r="D7734" t="s" s="8">
        <v>2739</v>
      </c>
      <c r="E7734" t="s" s="9">
        <v>2739</v>
      </c>
      <c r="F7734" t="s" s="10">
        <v>220</v>
      </c>
      <c r="G7734" t="s" s="11">
        <v>73</v>
      </c>
      <c r="H7734" t="s" s="10">
        <v>287</v>
      </c>
      <c r="I7734" t="s" s="11">
        <v>73</v>
      </c>
      <c r="J7734" t="s" s="11">
        <v>20</v>
      </c>
      <c r="K7734" t="s" s="16">
        <f>HYPERLINK("http://csr.bu.edu/ftp/asl/asllvd/demos/verify_start_end_handshape_annotations//test_auto_move//signs_mov/15929.mov","MOV")</f>
        <v>21</v>
      </c>
      <c r="L7734" t="s" s="16">
        <f>HYPERLINK("http://csr.bu.edu/ftp/asl/asllvd/demos/verify_start_end_handshape_annotations//test_auto_move//signs_mov_separ_signers/Liz_15929.mov","MOV")</f>
        <v>21</v>
      </c>
      <c r="M7734" t="s" s="10">
        <v>88</v>
      </c>
      <c r="N7734" s="17">
        <v>50</v>
      </c>
      <c r="O7734" s="18">
        <v>240</v>
      </c>
      <c r="P7734" s="18">
        <v>285</v>
      </c>
      <c r="Q7734" t="s" s="16">
        <f>HYPERLINK("http://secrets.rutgers.edu:8080/data/asl-ftp/asllvd/demos/verify_start_end_handshape_annotations//test_auto_move//signs_mov/15929.mov","MOV")</f>
        <v>21</v>
      </c>
      <c r="R7734" t="s" s="16">
        <f>HYPERLINK("http://secrets.rutgers.edu:8080/data/asl-ftp/asllvd/demos/verify_start_end_handshape_annotations//test_auto_move//signs_mov_separ_signers/Liz_15929.mov","MOV")</f>
        <v>21</v>
      </c>
    </row>
    <row r="7735" s="2" customFormat="1" ht="13.5" customHeight="1">
      <c r="B7735" s="13"/>
      <c r="C7735" t="s" s="9">
        <v>30</v>
      </c>
      <c r="D7735" t="s" s="8">
        <v>2739</v>
      </c>
      <c r="E7735" t="s" s="9">
        <v>2739</v>
      </c>
      <c r="F7735" t="s" s="10">
        <v>220</v>
      </c>
      <c r="G7735" t="s" s="11">
        <v>73</v>
      </c>
      <c r="H7735" t="s" s="10">
        <v>287</v>
      </c>
      <c r="I7735" t="s" s="11">
        <v>73</v>
      </c>
      <c r="J7735" t="s" s="11">
        <v>20</v>
      </c>
      <c r="K7735" s="15"/>
      <c r="L7735" t="s" s="16">
        <f>HYPERLINK("http://csr.bu.edu/ftp/asl/asllvd/demos/verify_start_end_handshape_annotations//test_auto_move//signs_mov_separ_signers/Brady_15929.mov","MOV")</f>
        <v>21</v>
      </c>
      <c r="M7735" t="s" s="10">
        <v>40</v>
      </c>
      <c r="N7735" s="17">
        <v>44</v>
      </c>
      <c r="O7735" s="18">
        <v>3313</v>
      </c>
      <c r="P7735" s="18">
        <v>3346</v>
      </c>
      <c r="Q7735" s="15"/>
      <c r="R7735" t="s" s="16">
        <f>HYPERLINK("http://secrets.rutgers.edu:8080/data/asl-ftp/asllvd/demos/verify_start_end_handshape_annotations//test_auto_move//signs_mov_separ_signers/Brady_15929.mov","MOV")</f>
        <v>21</v>
      </c>
    </row>
    <row r="7736" s="2" customFormat="1" ht="13.5" customHeight="1">
      <c r="B7736" t="s" s="8">
        <v>2740</v>
      </c>
      <c r="C7736" t="s" s="9">
        <v>14</v>
      </c>
      <c r="D7736" t="s" s="8">
        <v>14</v>
      </c>
      <c r="E7736" t="s" s="9">
        <v>14</v>
      </c>
      <c r="F7736" t="s" s="10">
        <v>14</v>
      </c>
      <c r="G7736" t="s" s="11">
        <v>14</v>
      </c>
      <c r="H7736" t="s" s="10">
        <v>14</v>
      </c>
      <c r="I7736" t="s" s="11">
        <v>14</v>
      </c>
      <c r="J7736" t="s" s="11">
        <v>14</v>
      </c>
      <c r="K7736" t="s" s="12">
        <v>14</v>
      </c>
      <c r="L7736" t="s" s="12">
        <v>14</v>
      </c>
      <c r="M7736" t="s" s="10">
        <v>14</v>
      </c>
      <c r="N7736" t="s" s="11">
        <v>14</v>
      </c>
      <c r="O7736" t="s" s="8">
        <v>14</v>
      </c>
      <c r="P7736" t="s" s="8">
        <v>14</v>
      </c>
      <c r="Q7736" t="s" s="12">
        <v>14</v>
      </c>
      <c r="R7736" t="s" s="12">
        <v>14</v>
      </c>
    </row>
    <row r="7737" s="2" customFormat="1" ht="13.5" customHeight="1">
      <c r="B7737" s="13"/>
      <c r="C7737" t="s" s="9">
        <v>16</v>
      </c>
      <c r="D7737" t="s" s="8">
        <v>2740</v>
      </c>
      <c r="E7737" t="s" s="9">
        <v>2740</v>
      </c>
      <c r="F7737" s="19">
        <v>1</v>
      </c>
      <c r="G7737" t="s" s="11">
        <v>73</v>
      </c>
      <c r="H7737" t="s" s="10">
        <v>268</v>
      </c>
      <c r="I7737" t="s" s="11">
        <v>73</v>
      </c>
      <c r="J7737" t="s" s="11">
        <v>20</v>
      </c>
      <c r="K7737" t="s" s="16">
        <f>HYPERLINK("http://csr.bu.edu/ftp/asl/asllvd/demos/verify_start_end_handshape_annotations//test_auto_move//signs_mov/1972.mov","MOV")</f>
        <v>21</v>
      </c>
      <c r="L7737" t="s" s="16">
        <f>HYPERLINK("http://csr.bu.edu/ftp/asl/asllvd/demos/verify_start_end_handshape_annotations//test_auto_move//signs_mov_separ_signers/Liz_1972.mov","MOV")</f>
        <v>21</v>
      </c>
      <c r="M7737" t="s" s="10">
        <v>88</v>
      </c>
      <c r="N7737" s="17">
        <v>50</v>
      </c>
      <c r="O7737" s="18">
        <v>620</v>
      </c>
      <c r="P7737" s="18">
        <v>675</v>
      </c>
      <c r="Q7737" t="s" s="16">
        <f>HYPERLINK("http://secrets.rutgers.edu:8080/data/asl-ftp/asllvd/demos/verify_start_end_handshape_annotations//test_auto_move//signs_mov/1972.mov","MOV")</f>
        <v>21</v>
      </c>
      <c r="R7737" t="s" s="16">
        <f>HYPERLINK("http://secrets.rutgers.edu:8080/data/asl-ftp/asllvd/demos/verify_start_end_handshape_annotations//test_auto_move//signs_mov_separ_signers/Liz_1972.mov","MOV")</f>
        <v>21</v>
      </c>
    </row>
    <row r="7738" s="2" customFormat="1" ht="13.5" customHeight="1">
      <c r="B7738" s="13"/>
      <c r="C7738" t="s" s="9">
        <v>30</v>
      </c>
      <c r="D7738" t="s" s="8">
        <v>2740</v>
      </c>
      <c r="E7738" t="s" s="9">
        <v>2740</v>
      </c>
      <c r="F7738" s="19">
        <v>1</v>
      </c>
      <c r="G7738" t="s" s="11">
        <v>73</v>
      </c>
      <c r="H7738" s="19">
        <v>1</v>
      </c>
      <c r="I7738" t="s" s="11">
        <v>73</v>
      </c>
      <c r="J7738" t="s" s="11">
        <v>20</v>
      </c>
      <c r="K7738" s="15"/>
      <c r="L7738" t="s" s="16">
        <f>HYPERLINK("http://csr.bu.edu/ftp/asl/asllvd/demos/verify_start_end_handshape_annotations//test_auto_move//signs_mov_separ_signers/Brady_1972.mov","MOV")</f>
        <v>21</v>
      </c>
      <c r="M7738" t="s" s="10">
        <v>40</v>
      </c>
      <c r="N7738" s="17">
        <v>44</v>
      </c>
      <c r="O7738" s="18">
        <v>4105</v>
      </c>
      <c r="P7738" s="18">
        <v>4142</v>
      </c>
      <c r="Q7738" s="15"/>
      <c r="R7738" t="s" s="16">
        <f>HYPERLINK("http://secrets.rutgers.edu:8080/data/asl-ftp/asllvd/demos/verify_start_end_handshape_annotations//test_auto_move//signs_mov_separ_signers/Brady_1972.mov","MOV")</f>
        <v>21</v>
      </c>
    </row>
    <row r="7739" s="2" customFormat="1" ht="13.5" customHeight="1">
      <c r="B7739" t="s" s="8">
        <v>2741</v>
      </c>
      <c r="C7739" t="s" s="9">
        <v>14</v>
      </c>
      <c r="D7739" t="s" s="8">
        <v>14</v>
      </c>
      <c r="E7739" t="s" s="9">
        <v>14</v>
      </c>
      <c r="F7739" t="s" s="10">
        <v>14</v>
      </c>
      <c r="G7739" t="s" s="11">
        <v>14</v>
      </c>
      <c r="H7739" t="s" s="10">
        <v>14</v>
      </c>
      <c r="I7739" t="s" s="11">
        <v>14</v>
      </c>
      <c r="J7739" t="s" s="11">
        <v>14</v>
      </c>
      <c r="K7739" t="s" s="12">
        <v>14</v>
      </c>
      <c r="L7739" t="s" s="12">
        <v>14</v>
      </c>
      <c r="M7739" t="s" s="10">
        <v>14</v>
      </c>
      <c r="N7739" t="s" s="11">
        <v>14</v>
      </c>
      <c r="O7739" t="s" s="8">
        <v>14</v>
      </c>
      <c r="P7739" t="s" s="8">
        <v>14</v>
      </c>
      <c r="Q7739" t="s" s="12">
        <v>14</v>
      </c>
      <c r="R7739" t="s" s="12">
        <v>14</v>
      </c>
    </row>
    <row r="7740" s="2" customFormat="1" ht="13.5" customHeight="1">
      <c r="B7740" s="13"/>
      <c r="C7740" t="s" s="9">
        <v>16</v>
      </c>
      <c r="D7740" t="s" s="8">
        <v>2741</v>
      </c>
      <c r="E7740" t="s" s="9">
        <v>2741</v>
      </c>
      <c r="F7740" s="19">
        <v>1</v>
      </c>
      <c r="G7740" t="s" s="11">
        <v>68</v>
      </c>
      <c r="H7740" s="19">
        <v>5</v>
      </c>
      <c r="I7740" t="s" s="11">
        <v>68</v>
      </c>
      <c r="J7740" t="s" s="11">
        <v>20</v>
      </c>
      <c r="K7740" s="15"/>
      <c r="L7740" t="s" s="16">
        <f>HYPERLINK("http://csr.bu.edu/ftp/asl/asllvd/demos/verify_start_end_handshape_annotations//test_auto_move//signs_mov_separ_signers/Liz_1973.mov","MOV")</f>
        <v>21</v>
      </c>
      <c r="M7740" t="s" s="10">
        <v>88</v>
      </c>
      <c r="N7740" s="17">
        <v>50</v>
      </c>
      <c r="O7740" s="18">
        <v>805</v>
      </c>
      <c r="P7740" s="18">
        <v>846</v>
      </c>
      <c r="Q7740" s="15"/>
      <c r="R7740" t="s" s="16">
        <f>HYPERLINK("http://secrets.rutgers.edu:8080/data/asl-ftp/asllvd/demos/verify_start_end_handshape_annotations//test_auto_move//signs_mov_separ_signers/Liz_1973.mov","MOV")</f>
        <v>21</v>
      </c>
    </row>
    <row r="7741" s="2" customFormat="1" ht="13.5" customHeight="1">
      <c r="B7741" s="13"/>
      <c r="C7741" t="s" s="9">
        <v>30</v>
      </c>
      <c r="D7741" t="s" s="8">
        <v>2741</v>
      </c>
      <c r="E7741" t="s" s="9">
        <v>2741</v>
      </c>
      <c r="F7741" s="19">
        <v>1</v>
      </c>
      <c r="G7741" t="s" s="11">
        <v>68</v>
      </c>
      <c r="H7741" s="19">
        <v>5</v>
      </c>
      <c r="I7741" t="s" s="11">
        <v>68</v>
      </c>
      <c r="J7741" t="s" s="11">
        <v>20</v>
      </c>
      <c r="K7741" t="s" s="16">
        <f>HYPERLINK("http://csr.bu.edu/ftp/asl/asllvd/demos/verify_start_end_handshape_annotations//test_auto_move//signs_mov/1973.mov","MOV")</f>
        <v>21</v>
      </c>
      <c r="L7741" t="s" s="16">
        <f>HYPERLINK("http://csr.bu.edu/ftp/asl/asllvd/demos/verify_start_end_handshape_annotations//test_auto_move//signs_mov_separ_signers/Brady_1973.mov","MOV")</f>
        <v>21</v>
      </c>
      <c r="M7741" t="s" s="10">
        <v>40</v>
      </c>
      <c r="N7741" s="17">
        <v>44</v>
      </c>
      <c r="O7741" s="18">
        <v>4337</v>
      </c>
      <c r="P7741" s="18">
        <v>4352</v>
      </c>
      <c r="Q7741" t="s" s="16">
        <f>HYPERLINK("http://secrets.rutgers.edu:8080/data/asl-ftp/asllvd/demos/verify_start_end_handshape_annotations//test_auto_move//signs_mov/1973.mov","MOV")</f>
        <v>21</v>
      </c>
      <c r="R7741" t="s" s="16">
        <f>HYPERLINK("http://secrets.rutgers.edu:8080/data/asl-ftp/asllvd/demos/verify_start_end_handshape_annotations//test_auto_move//signs_mov_separ_signers/Brady_1973.mov","MOV")</f>
        <v>21</v>
      </c>
    </row>
    <row r="7742" s="2" customFormat="1" ht="13.5" customHeight="1">
      <c r="B7742" s="13"/>
      <c r="C7742" t="s" s="9">
        <v>41</v>
      </c>
      <c r="D7742" t="s" s="8">
        <v>2741</v>
      </c>
      <c r="E7742" t="s" s="9">
        <v>2741</v>
      </c>
      <c r="F7742" t="s" s="10">
        <v>25</v>
      </c>
      <c r="G7742" t="s" s="11">
        <v>68</v>
      </c>
      <c r="H7742" s="19">
        <v>5</v>
      </c>
      <c r="I7742" t="s" s="11">
        <v>68</v>
      </c>
      <c r="J7742" t="s" s="11">
        <v>20</v>
      </c>
      <c r="K7742" s="15"/>
      <c r="L7742" t="s" s="16">
        <f>HYPERLINK("http://csr.bu.edu/ftp/asl/asllvd/demos/verify_start_end_handshape_annotations//test_auto_move//signs_mov_separ_signers/Lana_1973.mov","MOV")</f>
        <v>21</v>
      </c>
      <c r="M7742" t="s" s="10">
        <v>42</v>
      </c>
      <c r="N7742" s="17">
        <v>22</v>
      </c>
      <c r="O7742" s="18">
        <v>472</v>
      </c>
      <c r="P7742" s="18">
        <v>490</v>
      </c>
      <c r="Q7742" s="15"/>
      <c r="R7742" t="s" s="16">
        <f>HYPERLINK("http://secrets.rutgers.edu:8080/data/asl-ftp/asllvd/demos/verify_start_end_handshape_annotations//test_auto_move//signs_mov_separ_signers/Lana_1973.mov","MOV")</f>
        <v>21</v>
      </c>
    </row>
    <row r="7743" s="2" customFormat="1" ht="13.5" customHeight="1">
      <c r="B7743" s="13"/>
      <c r="C7743" t="s" s="9">
        <v>43</v>
      </c>
      <c r="D7743" t="s" s="8">
        <v>2741</v>
      </c>
      <c r="E7743" t="s" s="9">
        <v>2741</v>
      </c>
      <c r="F7743" s="19">
        <v>1</v>
      </c>
      <c r="G7743" t="s" s="11">
        <v>68</v>
      </c>
      <c r="H7743" s="19">
        <v>5</v>
      </c>
      <c r="I7743" t="s" s="11">
        <v>68</v>
      </c>
      <c r="J7743" t="s" s="11">
        <v>20</v>
      </c>
      <c r="K7743" s="15"/>
      <c r="L7743" t="s" s="16">
        <f>HYPERLINK("http://csr.bu.edu/ftp/asl/asllvd/demos/verify_start_end_handshape_annotations//test_auto_move//signs_mov_separ_signers/Dana_1973.mov","MOV")</f>
        <v>21</v>
      </c>
      <c r="M7743" t="s" s="10">
        <v>44</v>
      </c>
      <c r="N7743" s="17">
        <v>25</v>
      </c>
      <c r="O7743" s="18">
        <v>405</v>
      </c>
      <c r="P7743" s="18">
        <v>452</v>
      </c>
      <c r="Q7743" s="15"/>
      <c r="R7743" t="s" s="16">
        <f>HYPERLINK("http://secrets.rutgers.edu:8080/data/asl-ftp/asllvd/demos/verify_start_end_handshape_annotations//test_auto_move//signs_mov_separ_signers/Dana_1973.mov","MOV")</f>
        <v>21</v>
      </c>
    </row>
    <row r="7744" s="2" customFormat="1" ht="13.5" customHeight="1">
      <c r="B7744" t="s" s="8">
        <v>2742</v>
      </c>
      <c r="C7744" t="s" s="9">
        <v>14</v>
      </c>
      <c r="D7744" t="s" s="8">
        <v>14</v>
      </c>
      <c r="E7744" t="s" s="9">
        <v>14</v>
      </c>
      <c r="F7744" t="s" s="10">
        <v>14</v>
      </c>
      <c r="G7744" t="s" s="11">
        <v>14</v>
      </c>
      <c r="H7744" t="s" s="10">
        <v>14</v>
      </c>
      <c r="I7744" t="s" s="11">
        <v>14</v>
      </c>
      <c r="J7744" t="s" s="11">
        <v>14</v>
      </c>
      <c r="K7744" t="s" s="12">
        <v>14</v>
      </c>
      <c r="L7744" t="s" s="12">
        <v>14</v>
      </c>
      <c r="M7744" t="s" s="10">
        <v>14</v>
      </c>
      <c r="N7744" t="s" s="11">
        <v>14</v>
      </c>
      <c r="O7744" t="s" s="8">
        <v>14</v>
      </c>
      <c r="P7744" t="s" s="8">
        <v>14</v>
      </c>
      <c r="Q7744" t="s" s="12">
        <v>14</v>
      </c>
      <c r="R7744" t="s" s="12">
        <v>14</v>
      </c>
    </row>
    <row r="7745" s="2" customFormat="1" ht="13.5" customHeight="1">
      <c r="B7745" s="13"/>
      <c r="C7745" t="s" s="9">
        <v>16</v>
      </c>
      <c r="D7745" t="s" s="8">
        <v>2742</v>
      </c>
      <c r="E7745" t="s" s="9">
        <v>2742</v>
      </c>
      <c r="F7745" t="s" s="10">
        <v>220</v>
      </c>
      <c r="G7745" t="s" s="11">
        <v>220</v>
      </c>
      <c r="H7745" t="s" s="10">
        <v>220</v>
      </c>
      <c r="I7745" t="s" s="11">
        <v>220</v>
      </c>
      <c r="J7745" t="s" s="11">
        <v>20</v>
      </c>
      <c r="K7745" t="s" s="16">
        <f>HYPERLINK("http://csr.bu.edu/ftp/asl/asllvd/demos/verify_start_end_handshape_annotations//test_auto_move//signs_mov/1976.mov","MOV")</f>
        <v>21</v>
      </c>
      <c r="L7745" t="s" s="16">
        <f>HYPERLINK("http://csr.bu.edu/ftp/asl/asllvd/demos/verify_start_end_handshape_annotations//test_auto_move//signs_mov_separ_signers/Liz_1976.mov","MOV")</f>
        <v>21</v>
      </c>
      <c r="M7745" t="s" s="10">
        <v>88</v>
      </c>
      <c r="N7745" s="17">
        <v>50</v>
      </c>
      <c r="O7745" s="18">
        <v>1875</v>
      </c>
      <c r="P7745" s="18">
        <v>1930</v>
      </c>
      <c r="Q7745" t="s" s="16">
        <f>HYPERLINK("http://secrets.rutgers.edu:8080/data/asl-ftp/asllvd/demos/verify_start_end_handshape_annotations//test_auto_move//signs_mov/1976.mov","MOV")</f>
        <v>21</v>
      </c>
      <c r="R7745" t="s" s="16">
        <f>HYPERLINK("http://secrets.rutgers.edu:8080/data/asl-ftp/asllvd/demos/verify_start_end_handshape_annotations//test_auto_move//signs_mov_separ_signers/Liz_1976.mov","MOV")</f>
        <v>21</v>
      </c>
    </row>
    <row r="7746" s="2" customFormat="1" ht="13.5" customHeight="1">
      <c r="B7746" s="13"/>
      <c r="C7746" t="s" s="9">
        <v>30</v>
      </c>
      <c r="D7746" t="s" s="8">
        <v>2742</v>
      </c>
      <c r="E7746" t="s" s="9">
        <v>2742</v>
      </c>
      <c r="F7746" t="s" s="10">
        <v>220</v>
      </c>
      <c r="G7746" t="s" s="11">
        <v>220</v>
      </c>
      <c r="H7746" t="s" s="10">
        <v>220</v>
      </c>
      <c r="I7746" t="s" s="11">
        <v>220</v>
      </c>
      <c r="J7746" t="s" s="11">
        <v>20</v>
      </c>
      <c r="K7746" s="15"/>
      <c r="L7746" t="s" s="16">
        <f>HYPERLINK("http://csr.bu.edu/ftp/asl/asllvd/demos/verify_start_end_handshape_annotations//test_auto_move//signs_mov_separ_signers/Brady_1976.mov","MOV")</f>
        <v>21</v>
      </c>
      <c r="M7746" t="s" s="10">
        <v>40</v>
      </c>
      <c r="N7746" s="17">
        <v>45</v>
      </c>
      <c r="O7746" s="18">
        <v>678</v>
      </c>
      <c r="P7746" s="18">
        <v>701</v>
      </c>
      <c r="Q7746" s="15"/>
      <c r="R7746" t="s" s="16">
        <f>HYPERLINK("http://secrets.rutgers.edu:8080/data/asl-ftp/asllvd/demos/verify_start_end_handshape_annotations//test_auto_move//signs_mov_separ_signers/Brady_1976.mov","MOV")</f>
        <v>21</v>
      </c>
    </row>
    <row r="7747" s="2" customFormat="1" ht="13.5" customHeight="1">
      <c r="B7747" t="s" s="8">
        <v>2743</v>
      </c>
      <c r="C7747" t="s" s="9">
        <v>14</v>
      </c>
      <c r="D7747" t="s" s="8">
        <v>14</v>
      </c>
      <c r="E7747" t="s" s="9">
        <v>14</v>
      </c>
      <c r="F7747" t="s" s="10">
        <v>14</v>
      </c>
      <c r="G7747" t="s" s="11">
        <v>14</v>
      </c>
      <c r="H7747" t="s" s="10">
        <v>14</v>
      </c>
      <c r="I7747" t="s" s="11">
        <v>14</v>
      </c>
      <c r="J7747" t="s" s="11">
        <v>14</v>
      </c>
      <c r="K7747" t="s" s="12">
        <v>14</v>
      </c>
      <c r="L7747" t="s" s="12">
        <v>14</v>
      </c>
      <c r="M7747" t="s" s="10">
        <v>14</v>
      </c>
      <c r="N7747" t="s" s="11">
        <v>14</v>
      </c>
      <c r="O7747" t="s" s="8">
        <v>14</v>
      </c>
      <c r="P7747" t="s" s="8">
        <v>14</v>
      </c>
      <c r="Q7747" t="s" s="12">
        <v>14</v>
      </c>
      <c r="R7747" t="s" s="12">
        <v>14</v>
      </c>
    </row>
    <row r="7748" s="2" customFormat="1" ht="13.5" customHeight="1">
      <c r="B7748" s="13"/>
      <c r="C7748" t="s" s="9">
        <v>16</v>
      </c>
      <c r="D7748" t="s" s="8">
        <v>2743</v>
      </c>
      <c r="E7748" t="s" s="9">
        <v>2743</v>
      </c>
      <c r="F7748" t="s" s="10">
        <v>63</v>
      </c>
      <c r="G7748" s="14"/>
      <c r="H7748" t="s" s="10">
        <v>63</v>
      </c>
      <c r="I7748" s="14"/>
      <c r="J7748" t="s" s="11">
        <v>20</v>
      </c>
      <c r="K7748" s="15"/>
      <c r="L7748" t="s" s="16">
        <f>HYPERLINK("http://csr.bu.edu/ftp/asl/asllvd/demos/verify_start_end_handshape_annotations//test_auto_move//signs_mov_separ_signers/Liz_1979.mov","MOV")</f>
        <v>21</v>
      </c>
      <c r="M7748" t="s" s="10">
        <v>88</v>
      </c>
      <c r="N7748" s="17">
        <v>50</v>
      </c>
      <c r="O7748" s="18">
        <v>2770</v>
      </c>
      <c r="P7748" s="18">
        <v>2820</v>
      </c>
      <c r="Q7748" s="15"/>
      <c r="R7748" t="s" s="16">
        <f>HYPERLINK("http://secrets.rutgers.edu:8080/data/asl-ftp/asllvd/demos/verify_start_end_handshape_annotations//test_auto_move//signs_mov_separ_signers/Liz_1979.mov","MOV")</f>
        <v>21</v>
      </c>
    </row>
    <row r="7749" s="2" customFormat="1" ht="13.5" customHeight="1">
      <c r="B7749" s="13"/>
      <c r="C7749" t="s" s="9">
        <v>30</v>
      </c>
      <c r="D7749" t="s" s="8">
        <v>2743</v>
      </c>
      <c r="E7749" t="s" s="9">
        <v>2743</v>
      </c>
      <c r="F7749" s="19">
        <v>10</v>
      </c>
      <c r="G7749" s="14"/>
      <c r="H7749" s="19">
        <v>10</v>
      </c>
      <c r="I7749" s="14"/>
      <c r="J7749" t="s" s="11">
        <v>20</v>
      </c>
      <c r="K7749" t="s" s="16">
        <f>HYPERLINK("http://csr.bu.edu/ftp/asl/asllvd/demos/verify_start_end_handshape_annotations//test_auto_move//signs_mov/1979.mov","MOV")</f>
        <v>21</v>
      </c>
      <c r="L7749" t="s" s="16">
        <f>HYPERLINK("http://csr.bu.edu/ftp/asl/asllvd/demos/verify_start_end_handshape_annotations//test_auto_move//signs_mov_separ_signers/Brady_1979.mov","MOV")</f>
        <v>21</v>
      </c>
      <c r="M7749" t="s" s="10">
        <v>40</v>
      </c>
      <c r="N7749" s="17">
        <v>45</v>
      </c>
      <c r="O7749" s="18">
        <v>1408</v>
      </c>
      <c r="P7749" s="18">
        <v>1437</v>
      </c>
      <c r="Q7749" t="s" s="16">
        <f>HYPERLINK("http://secrets.rutgers.edu:8080/data/asl-ftp/asllvd/demos/verify_start_end_handshape_annotations//test_auto_move//signs_mov/1979.mov","MOV")</f>
        <v>21</v>
      </c>
      <c r="R7749" t="s" s="16">
        <f>HYPERLINK("http://secrets.rutgers.edu:8080/data/asl-ftp/asllvd/demos/verify_start_end_handshape_annotations//test_auto_move//signs_mov_separ_signers/Brady_1979.mov","MOV")</f>
        <v>21</v>
      </c>
    </row>
    <row r="7750" s="2" customFormat="1" ht="13.5" customHeight="1">
      <c r="B7750" s="13"/>
      <c r="C7750" t="s" s="9">
        <v>41</v>
      </c>
      <c r="D7750" t="s" s="8">
        <v>2743</v>
      </c>
      <c r="E7750" t="s" s="9">
        <v>2743</v>
      </c>
      <c r="F7750" s="19">
        <v>10</v>
      </c>
      <c r="G7750" s="14"/>
      <c r="H7750" s="19">
        <v>10</v>
      </c>
      <c r="I7750" s="14"/>
      <c r="J7750" t="s" s="11">
        <v>20</v>
      </c>
      <c r="K7750" s="15"/>
      <c r="L7750" t="s" s="16">
        <f>HYPERLINK("http://csr.bu.edu/ftp/asl/asllvd/demos/verify_start_end_handshape_annotations//test_auto_move//signs_mov_separ_signers/Lana_1979.mov","MOV")</f>
        <v>21</v>
      </c>
      <c r="M7750" t="s" s="10">
        <v>42</v>
      </c>
      <c r="N7750" s="17">
        <v>21</v>
      </c>
      <c r="O7750" s="18">
        <v>2476</v>
      </c>
      <c r="P7750" s="18">
        <v>2506</v>
      </c>
      <c r="Q7750" s="15"/>
      <c r="R7750" t="s" s="16">
        <f>HYPERLINK("http://secrets.rutgers.edu:8080/data/asl-ftp/asllvd/demos/verify_start_end_handshape_annotations//test_auto_move//signs_mov_separ_signers/Lana_1979.mov","MOV")</f>
        <v>21</v>
      </c>
    </row>
    <row r="7751" s="2" customFormat="1" ht="13.5" customHeight="1">
      <c r="B7751" s="13"/>
      <c r="C7751" t="s" s="9">
        <v>43</v>
      </c>
      <c r="D7751" t="s" s="8">
        <v>2743</v>
      </c>
      <c r="E7751" t="s" s="9">
        <v>2743</v>
      </c>
      <c r="F7751" t="s" s="10">
        <v>63</v>
      </c>
      <c r="G7751" s="14"/>
      <c r="H7751" t="s" s="10">
        <v>63</v>
      </c>
      <c r="I7751" s="14"/>
      <c r="J7751" t="s" s="11">
        <v>20</v>
      </c>
      <c r="K7751" s="15"/>
      <c r="L7751" t="s" s="16">
        <f>HYPERLINK("http://csr.bu.edu/ftp/asl/asllvd/demos/verify_start_end_handshape_annotations//test_auto_move//signs_mov_separ_signers/Dana_1979.mov","MOV")</f>
        <v>21</v>
      </c>
      <c r="M7751" t="s" s="10">
        <v>44</v>
      </c>
      <c r="N7751" s="17">
        <v>23</v>
      </c>
      <c r="O7751" s="18">
        <v>2665</v>
      </c>
      <c r="P7751" s="18">
        <v>2713</v>
      </c>
      <c r="Q7751" s="15"/>
      <c r="R7751" t="s" s="16">
        <f>HYPERLINK("http://secrets.rutgers.edu:8080/data/asl-ftp/asllvd/demos/verify_start_end_handshape_annotations//test_auto_move//signs_mov_separ_signers/Dana_1979.mov","MOV")</f>
        <v>21</v>
      </c>
    </row>
    <row r="7752" s="2" customFormat="1" ht="13.5" customHeight="1">
      <c r="B7752" t="s" s="8">
        <v>2744</v>
      </c>
      <c r="C7752" t="s" s="9">
        <v>14</v>
      </c>
      <c r="D7752" t="s" s="8">
        <v>14</v>
      </c>
      <c r="E7752" t="s" s="9">
        <v>14</v>
      </c>
      <c r="F7752" t="s" s="10">
        <v>14</v>
      </c>
      <c r="G7752" t="s" s="11">
        <v>14</v>
      </c>
      <c r="H7752" t="s" s="10">
        <v>14</v>
      </c>
      <c r="I7752" t="s" s="11">
        <v>14</v>
      </c>
      <c r="J7752" t="s" s="11">
        <v>14</v>
      </c>
      <c r="K7752" t="s" s="12">
        <v>14</v>
      </c>
      <c r="L7752" t="s" s="12">
        <v>14</v>
      </c>
      <c r="M7752" t="s" s="10">
        <v>14</v>
      </c>
      <c r="N7752" t="s" s="11">
        <v>14</v>
      </c>
      <c r="O7752" t="s" s="8">
        <v>14</v>
      </c>
      <c r="P7752" t="s" s="8">
        <v>14</v>
      </c>
      <c r="Q7752" t="s" s="12">
        <v>14</v>
      </c>
      <c r="R7752" t="s" s="12">
        <v>14</v>
      </c>
    </row>
    <row r="7753" s="2" customFormat="1" ht="13.5" customHeight="1">
      <c r="B7753" s="13"/>
      <c r="C7753" t="s" s="9">
        <v>16</v>
      </c>
      <c r="D7753" t="s" s="8">
        <v>2744</v>
      </c>
      <c r="E7753" t="s" s="9">
        <v>2744</v>
      </c>
      <c r="F7753" t="s" s="10">
        <v>109</v>
      </c>
      <c r="G7753" t="s" s="11">
        <v>73</v>
      </c>
      <c r="H7753" t="s" s="10">
        <v>109</v>
      </c>
      <c r="I7753" t="s" s="11">
        <v>73</v>
      </c>
      <c r="J7753" t="s" s="11">
        <v>20</v>
      </c>
      <c r="K7753" s="15"/>
      <c r="L7753" t="s" s="16">
        <f>HYPERLINK("http://csr.bu.edu/ftp/asl/asllvd/demos/verify_start_end_handshape_annotations//test_auto_move//signs_mov_separ_signers/Liz_1980.mov","MOV")</f>
        <v>21</v>
      </c>
      <c r="M7753" t="s" s="10">
        <v>88</v>
      </c>
      <c r="N7753" s="17">
        <v>50</v>
      </c>
      <c r="O7753" s="18">
        <v>993</v>
      </c>
      <c r="P7753" s="18">
        <v>1010</v>
      </c>
      <c r="Q7753" s="15"/>
      <c r="R7753" t="s" s="16">
        <f>HYPERLINK("http://secrets.rutgers.edu:8080/data/asl-ftp/asllvd/demos/verify_start_end_handshape_annotations//test_auto_move//signs_mov_separ_signers/Liz_1980.mov","MOV")</f>
        <v>21</v>
      </c>
    </row>
    <row r="7754" s="2" customFormat="1" ht="13.5" customHeight="1">
      <c r="B7754" s="13"/>
      <c r="C7754" t="s" s="9">
        <v>16</v>
      </c>
      <c r="D7754" t="s" s="8">
        <v>2744</v>
      </c>
      <c r="E7754" t="s" s="9">
        <v>2744</v>
      </c>
      <c r="F7754" t="s" s="10">
        <v>73</v>
      </c>
      <c r="G7754" t="s" s="11">
        <v>73</v>
      </c>
      <c r="H7754" t="s" s="10">
        <v>73</v>
      </c>
      <c r="I7754" t="s" s="11">
        <v>73</v>
      </c>
      <c r="J7754" t="s" s="11">
        <v>20</v>
      </c>
      <c r="K7754" t="s" s="16">
        <f>HYPERLINK("http://csr.bu.edu/ftp/asl/asllvd/demos/verify_start_end_handshape_annotations//test_auto_move//signs_mov/1980_5723_merged.mov","MOV")</f>
        <v>21</v>
      </c>
      <c r="L7754" t="s" s="16">
        <f>HYPERLINK("http://csr.bu.edu/ftp/asl/asllvd/demos/verify_start_end_handshape_annotations//test_auto_move//signs_mov_separ_signers/Liz_5723.mov","MOV")</f>
        <v>21</v>
      </c>
      <c r="M7754" t="s" s="10">
        <v>88</v>
      </c>
      <c r="N7754" s="17">
        <v>51</v>
      </c>
      <c r="O7754" s="18">
        <v>270</v>
      </c>
      <c r="P7754" s="18">
        <v>300</v>
      </c>
      <c r="Q7754" t="s" s="16">
        <f>HYPERLINK("http://secrets.rutgers.edu:8080/data/asl-ftp/asllvd/demos/verify_start_end_handshape_annotations//test_auto_move//signs_mov/1980_5723_merged.mov","MOV")</f>
        <v>21</v>
      </c>
      <c r="R7754" t="s" s="16">
        <f>HYPERLINK("http://secrets.rutgers.edu:8080/data/asl-ftp/asllvd/demos/verify_start_end_handshape_annotations//test_auto_move//signs_mov_separ_signers/Liz_5723.mov","MOV")</f>
        <v>21</v>
      </c>
    </row>
    <row r="7755" s="2" customFormat="1" ht="13.5" customHeight="1">
      <c r="B7755" s="13"/>
      <c r="C7755" t="s" s="9">
        <v>30</v>
      </c>
      <c r="D7755" t="s" s="8">
        <v>2744</v>
      </c>
      <c r="E7755" t="s" s="9">
        <v>2744</v>
      </c>
      <c r="F7755" t="s" s="10">
        <v>73</v>
      </c>
      <c r="G7755" t="s" s="11">
        <v>73</v>
      </c>
      <c r="H7755" t="s" s="10">
        <v>73</v>
      </c>
      <c r="I7755" t="s" s="11">
        <v>73</v>
      </c>
      <c r="J7755" t="s" s="11">
        <v>20</v>
      </c>
      <c r="K7755" s="15"/>
      <c r="L7755" t="s" s="16">
        <f>HYPERLINK("http://csr.bu.edu/ftp/asl/asllvd/demos/verify_start_end_handshape_annotations//test_auto_move//signs_mov_separ_signers/Brady_1980.mov","MOV")</f>
        <v>21</v>
      </c>
      <c r="M7755" t="s" s="10">
        <v>40</v>
      </c>
      <c r="N7755" s="17">
        <v>45</v>
      </c>
      <c r="O7755" s="18">
        <v>126</v>
      </c>
      <c r="P7755" s="18">
        <v>148</v>
      </c>
      <c r="Q7755" s="15"/>
      <c r="R7755" t="s" s="16">
        <f>HYPERLINK("http://secrets.rutgers.edu:8080/data/asl-ftp/asllvd/demos/verify_start_end_handshape_annotations//test_auto_move//signs_mov_separ_signers/Brady_1980.mov","MOV")</f>
        <v>21</v>
      </c>
    </row>
    <row r="7756" s="2" customFormat="1" ht="13.5" customHeight="1">
      <c r="B7756" s="13"/>
      <c r="C7756" t="s" s="9">
        <v>30</v>
      </c>
      <c r="D7756" t="s" s="8">
        <v>2744</v>
      </c>
      <c r="E7756" t="s" s="9">
        <v>2744</v>
      </c>
      <c r="F7756" t="s" s="10">
        <v>73</v>
      </c>
      <c r="G7756" t="s" s="11">
        <v>73</v>
      </c>
      <c r="H7756" t="s" s="10">
        <v>73</v>
      </c>
      <c r="I7756" t="s" s="11">
        <v>73</v>
      </c>
      <c r="J7756" t="s" s="11">
        <v>20</v>
      </c>
      <c r="K7756" s="15"/>
      <c r="L7756" t="s" s="16">
        <f>HYPERLINK("http://csr.bu.edu/ftp/asl/asllvd/demos/verify_start_end_handshape_annotations//test_auto_move//signs_mov_separ_signers/Brady_5723.mov","MOV")</f>
        <v>21</v>
      </c>
      <c r="M7756" t="s" s="10">
        <v>40</v>
      </c>
      <c r="N7756" s="17">
        <v>45</v>
      </c>
      <c r="O7756" s="18">
        <v>1653</v>
      </c>
      <c r="P7756" s="18">
        <v>1672</v>
      </c>
      <c r="Q7756" s="15"/>
      <c r="R7756" t="s" s="16">
        <f>HYPERLINK("http://secrets.rutgers.edu:8080/data/asl-ftp/asllvd/demos/verify_start_end_handshape_annotations//test_auto_move//signs_mov_separ_signers/Brady_5723.mov","MOV")</f>
        <v>21</v>
      </c>
    </row>
    <row r="7757" s="2" customFormat="1" ht="13.5" customHeight="1">
      <c r="B7757" t="s" s="8">
        <v>2745</v>
      </c>
      <c r="C7757" t="s" s="9">
        <v>14</v>
      </c>
      <c r="D7757" t="s" s="8">
        <v>14</v>
      </c>
      <c r="E7757" t="s" s="9">
        <v>14</v>
      </c>
      <c r="F7757" t="s" s="10">
        <v>14</v>
      </c>
      <c r="G7757" t="s" s="11">
        <v>14</v>
      </c>
      <c r="H7757" t="s" s="10">
        <v>14</v>
      </c>
      <c r="I7757" t="s" s="11">
        <v>14</v>
      </c>
      <c r="J7757" t="s" s="11">
        <v>14</v>
      </c>
      <c r="K7757" t="s" s="12">
        <v>14</v>
      </c>
      <c r="L7757" t="s" s="12">
        <v>14</v>
      </c>
      <c r="M7757" t="s" s="10">
        <v>14</v>
      </c>
      <c r="N7757" t="s" s="11">
        <v>14</v>
      </c>
      <c r="O7757" t="s" s="8">
        <v>14</v>
      </c>
      <c r="P7757" t="s" s="8">
        <v>14</v>
      </c>
      <c r="Q7757" t="s" s="12">
        <v>14</v>
      </c>
      <c r="R7757" t="s" s="12">
        <v>14</v>
      </c>
    </row>
    <row r="7758" s="2" customFormat="1" ht="13.5" customHeight="1">
      <c r="B7758" s="13"/>
      <c r="C7758" t="s" s="9">
        <v>16</v>
      </c>
      <c r="D7758" t="s" s="8">
        <v>2745</v>
      </c>
      <c r="E7758" t="s" s="9">
        <v>2745</v>
      </c>
      <c r="F7758" t="s" s="10">
        <v>220</v>
      </c>
      <c r="G7758" s="14"/>
      <c r="H7758" t="s" s="10">
        <v>251</v>
      </c>
      <c r="I7758" s="14"/>
      <c r="J7758" t="s" s="11">
        <v>20</v>
      </c>
      <c r="K7758" t="s" s="16">
        <f>HYPERLINK("http://csr.bu.edu/ftp/asl/asllvd/demos/verify_start_end_handshape_annotations//test_auto_move//signs_mov/1986.mov","MOV")</f>
        <v>21</v>
      </c>
      <c r="L7758" t="s" s="16">
        <f>HYPERLINK("http://csr.bu.edu/ftp/asl/asllvd/demos/verify_start_end_handshape_annotations//test_auto_move//signs_mov_separ_signers/Liz_1986.mov","MOV")</f>
        <v>21</v>
      </c>
      <c r="M7758" t="s" s="10">
        <v>88</v>
      </c>
      <c r="N7758" s="17">
        <v>51</v>
      </c>
      <c r="O7758" s="18">
        <v>2071</v>
      </c>
      <c r="P7758" s="18">
        <v>2120</v>
      </c>
      <c r="Q7758" t="s" s="16">
        <f>HYPERLINK("http://secrets.rutgers.edu:8080/data/asl-ftp/asllvd/demos/verify_start_end_handshape_annotations//test_auto_move//signs_mov/1986.mov","MOV")</f>
        <v>21</v>
      </c>
      <c r="R7758" t="s" s="16">
        <f>HYPERLINK("http://secrets.rutgers.edu:8080/data/asl-ftp/asllvd/demos/verify_start_end_handshape_annotations//test_auto_move//signs_mov_separ_signers/Liz_1986.mov","MOV")</f>
        <v>21</v>
      </c>
    </row>
    <row r="7759" s="2" customFormat="1" ht="13.5" customHeight="1">
      <c r="B7759" s="13"/>
      <c r="C7759" t="s" s="9">
        <v>30</v>
      </c>
      <c r="D7759" t="s" s="8">
        <v>2745</v>
      </c>
      <c r="E7759" t="s" s="9">
        <v>2745</v>
      </c>
      <c r="F7759" t="s" s="10">
        <v>220</v>
      </c>
      <c r="G7759" s="14"/>
      <c r="H7759" t="s" s="10">
        <v>251</v>
      </c>
      <c r="I7759" s="14"/>
      <c r="J7759" t="s" s="11">
        <v>20</v>
      </c>
      <c r="K7759" s="15"/>
      <c r="L7759" t="s" s="16">
        <f>HYPERLINK("http://csr.bu.edu/ftp/asl/asllvd/demos/verify_start_end_handshape_annotations//test_auto_move//signs_mov_separ_signers/Brady_1986.mov","MOV")</f>
        <v>21</v>
      </c>
      <c r="M7759" t="s" s="10">
        <v>40</v>
      </c>
      <c r="N7759" s="17">
        <v>46</v>
      </c>
      <c r="O7759" s="18">
        <v>683</v>
      </c>
      <c r="P7759" s="18">
        <v>699</v>
      </c>
      <c r="Q7759" s="15"/>
      <c r="R7759" t="s" s="16">
        <f>HYPERLINK("http://secrets.rutgers.edu:8080/data/asl-ftp/asllvd/demos/verify_start_end_handshape_annotations//test_auto_move//signs_mov_separ_signers/Brady_1986.mov","MOV")</f>
        <v>21</v>
      </c>
    </row>
    <row r="7760" s="2" customFormat="1" ht="13.5" customHeight="1">
      <c r="B7760" t="s" s="8">
        <v>2745</v>
      </c>
      <c r="C7760" t="s" s="9">
        <v>14</v>
      </c>
      <c r="D7760" t="s" s="8">
        <v>14</v>
      </c>
      <c r="E7760" t="s" s="9">
        <v>14</v>
      </c>
      <c r="F7760" t="s" s="10">
        <v>14</v>
      </c>
      <c r="G7760" t="s" s="11">
        <v>14</v>
      </c>
      <c r="H7760" t="s" s="10">
        <v>14</v>
      </c>
      <c r="I7760" t="s" s="11">
        <v>14</v>
      </c>
      <c r="J7760" t="s" s="11">
        <v>14</v>
      </c>
      <c r="K7760" t="s" s="12">
        <v>14</v>
      </c>
      <c r="L7760" t="s" s="12">
        <v>14</v>
      </c>
      <c r="M7760" t="s" s="10">
        <v>14</v>
      </c>
      <c r="N7760" t="s" s="11">
        <v>14</v>
      </c>
      <c r="O7760" t="s" s="8">
        <v>14</v>
      </c>
      <c r="P7760" t="s" s="8">
        <v>14</v>
      </c>
      <c r="Q7760" t="s" s="12">
        <v>14</v>
      </c>
      <c r="R7760" t="s" s="12">
        <v>14</v>
      </c>
    </row>
    <row r="7761" s="2" customFormat="1" ht="13.5" customHeight="1">
      <c r="B7761" s="13"/>
      <c r="C7761" t="s" s="9">
        <v>16</v>
      </c>
      <c r="D7761" t="s" s="8">
        <v>2746</v>
      </c>
      <c r="E7761" t="s" s="9">
        <v>2746</v>
      </c>
      <c r="F7761" t="s" s="10">
        <v>220</v>
      </c>
      <c r="G7761" t="s" s="11">
        <v>68</v>
      </c>
      <c r="H7761" t="s" s="10">
        <v>251</v>
      </c>
      <c r="I7761" t="s" s="11">
        <v>68</v>
      </c>
      <c r="J7761" t="s" s="11">
        <v>20</v>
      </c>
      <c r="K7761" t="s" s="16">
        <f>HYPERLINK("http://csr.bu.edu/ftp/asl/asllvd/demos/verify_start_end_handshape_annotations//test_auto_move//signs_mov/3728.mov","MOV")</f>
        <v>21</v>
      </c>
      <c r="L7761" t="s" s="16">
        <f>HYPERLINK("http://csr.bu.edu/ftp/asl/asllvd/demos/verify_start_end_handshape_annotations//test_auto_move//signs_mov_separ_signers/Liz_3728.mov","MOV")</f>
        <v>21</v>
      </c>
      <c r="M7761" t="s" s="10">
        <v>88</v>
      </c>
      <c r="N7761" s="17">
        <v>51</v>
      </c>
      <c r="O7761" s="18">
        <v>2330</v>
      </c>
      <c r="P7761" s="18">
        <v>2390</v>
      </c>
      <c r="Q7761" t="s" s="16">
        <f>HYPERLINK("http://secrets.rutgers.edu:8080/data/asl-ftp/asllvd/demos/verify_start_end_handshape_annotations//test_auto_move//signs_mov/3728.mov","MOV")</f>
        <v>21</v>
      </c>
      <c r="R7761" t="s" s="16">
        <f>HYPERLINK("http://secrets.rutgers.edu:8080/data/asl-ftp/asllvd/demos/verify_start_end_handshape_annotations//test_auto_move//signs_mov_separ_signers/Liz_3728.mov","MOV")</f>
        <v>21</v>
      </c>
    </row>
    <row r="7762" s="2" customFormat="1" ht="13.5" customHeight="1">
      <c r="B7762" s="13"/>
      <c r="C7762" t="s" s="9">
        <v>30</v>
      </c>
      <c r="D7762" t="s" s="8">
        <v>2746</v>
      </c>
      <c r="E7762" t="s" s="9">
        <v>2746</v>
      </c>
      <c r="F7762" t="s" s="10">
        <v>220</v>
      </c>
      <c r="G7762" t="s" s="11">
        <v>68</v>
      </c>
      <c r="H7762" t="s" s="10">
        <v>251</v>
      </c>
      <c r="I7762" t="s" s="11">
        <v>68</v>
      </c>
      <c r="J7762" t="s" s="11">
        <v>20</v>
      </c>
      <c r="K7762" s="15"/>
      <c r="L7762" t="s" s="16">
        <f>HYPERLINK("http://csr.bu.edu/ftp/asl/asllvd/demos/verify_start_end_handshape_annotations//test_auto_move//signs_mov_separ_signers/Brady_3728.mov","MOV")</f>
        <v>21</v>
      </c>
      <c r="M7762" t="s" s="10">
        <v>40</v>
      </c>
      <c r="N7762" s="17">
        <v>46</v>
      </c>
      <c r="O7762" s="18">
        <v>941</v>
      </c>
      <c r="P7762" s="18">
        <v>968</v>
      </c>
      <c r="Q7762" s="15"/>
      <c r="R7762" t="s" s="16">
        <f>HYPERLINK("http://secrets.rutgers.edu:8080/data/asl-ftp/asllvd/demos/verify_start_end_handshape_annotations//test_auto_move//signs_mov_separ_signers/Brady_3728.mov","MOV")</f>
        <v>21</v>
      </c>
    </row>
    <row r="7763" s="2" customFormat="1" ht="13.5" customHeight="1">
      <c r="B7763" t="s" s="8">
        <v>2747</v>
      </c>
      <c r="C7763" t="s" s="9">
        <v>14</v>
      </c>
      <c r="D7763" t="s" s="8">
        <v>14</v>
      </c>
      <c r="E7763" t="s" s="9">
        <v>14</v>
      </c>
      <c r="F7763" t="s" s="10">
        <v>14</v>
      </c>
      <c r="G7763" t="s" s="11">
        <v>14</v>
      </c>
      <c r="H7763" t="s" s="10">
        <v>14</v>
      </c>
      <c r="I7763" t="s" s="11">
        <v>14</v>
      </c>
      <c r="J7763" t="s" s="11">
        <v>14</v>
      </c>
      <c r="K7763" t="s" s="12">
        <v>14</v>
      </c>
      <c r="L7763" t="s" s="12">
        <v>14</v>
      </c>
      <c r="M7763" t="s" s="10">
        <v>14</v>
      </c>
      <c r="N7763" t="s" s="11">
        <v>14</v>
      </c>
      <c r="O7763" t="s" s="8">
        <v>14</v>
      </c>
      <c r="P7763" t="s" s="8">
        <v>14</v>
      </c>
      <c r="Q7763" t="s" s="12">
        <v>14</v>
      </c>
      <c r="R7763" t="s" s="12">
        <v>14</v>
      </c>
    </row>
    <row r="7764" s="2" customFormat="1" ht="13.5" customHeight="1">
      <c r="B7764" s="13"/>
      <c r="C7764" t="s" s="9">
        <v>16</v>
      </c>
      <c r="D7764" t="s" s="8">
        <v>2747</v>
      </c>
      <c r="E7764" t="s" s="9">
        <v>2747</v>
      </c>
      <c r="F7764" t="s" s="10">
        <v>158</v>
      </c>
      <c r="G7764" s="14"/>
      <c r="H7764" t="s" s="10">
        <v>148</v>
      </c>
      <c r="I7764" s="14"/>
      <c r="J7764" t="s" s="11">
        <v>20</v>
      </c>
      <c r="K7764" t="s" s="16">
        <f>HYPERLINK("http://csr.bu.edu/ftp/asl/asllvd/demos/verify_start_end_handshape_annotations//test_auto_move//signs_mov/1988.mov","MOV")</f>
        <v>21</v>
      </c>
      <c r="L7764" t="s" s="16">
        <f>HYPERLINK("http://csr.bu.edu/ftp/asl/asllvd/demos/verify_start_end_handshape_annotations//test_auto_move//signs_mov_separ_signers/Liz_1988.mov","MOV")</f>
        <v>21</v>
      </c>
      <c r="M7764" t="s" s="10">
        <v>88</v>
      </c>
      <c r="N7764" s="17">
        <v>51</v>
      </c>
      <c r="O7764" s="18">
        <v>2793</v>
      </c>
      <c r="P7764" s="18">
        <v>2837</v>
      </c>
      <c r="Q7764" t="s" s="16">
        <f>HYPERLINK("http://secrets.rutgers.edu:8080/data/asl-ftp/asllvd/demos/verify_start_end_handshape_annotations//test_auto_move//signs_mov/1988.mov","MOV")</f>
        <v>21</v>
      </c>
      <c r="R7764" t="s" s="16">
        <f>HYPERLINK("http://secrets.rutgers.edu:8080/data/asl-ftp/asllvd/demos/verify_start_end_handshape_annotations//test_auto_move//signs_mov_separ_signers/Liz_1988.mov","MOV")</f>
        <v>21</v>
      </c>
    </row>
    <row r="7765" s="2" customFormat="1" ht="13.5" customHeight="1">
      <c r="B7765" t="s" s="8">
        <v>2748</v>
      </c>
      <c r="C7765" t="s" s="9">
        <v>14</v>
      </c>
      <c r="D7765" t="s" s="8">
        <v>14</v>
      </c>
      <c r="E7765" t="s" s="9">
        <v>14</v>
      </c>
      <c r="F7765" t="s" s="10">
        <v>14</v>
      </c>
      <c r="G7765" t="s" s="11">
        <v>14</v>
      </c>
      <c r="H7765" t="s" s="10">
        <v>14</v>
      </c>
      <c r="I7765" t="s" s="11">
        <v>14</v>
      </c>
      <c r="J7765" t="s" s="11">
        <v>14</v>
      </c>
      <c r="K7765" t="s" s="12">
        <v>14</v>
      </c>
      <c r="L7765" t="s" s="12">
        <v>14</v>
      </c>
      <c r="M7765" t="s" s="10">
        <v>14</v>
      </c>
      <c r="N7765" t="s" s="11">
        <v>14</v>
      </c>
      <c r="O7765" t="s" s="8">
        <v>14</v>
      </c>
      <c r="P7765" t="s" s="8">
        <v>14</v>
      </c>
      <c r="Q7765" t="s" s="12">
        <v>14</v>
      </c>
      <c r="R7765" t="s" s="12">
        <v>14</v>
      </c>
    </row>
    <row r="7766" s="2" customFormat="1" ht="13.5" customHeight="1">
      <c r="B7766" s="13"/>
      <c r="C7766" t="s" s="9">
        <v>30</v>
      </c>
      <c r="D7766" t="s" s="8">
        <v>2748</v>
      </c>
      <c r="E7766" t="s" s="9">
        <v>2749</v>
      </c>
      <c r="F7766" t="s" s="10">
        <v>158</v>
      </c>
      <c r="G7766" s="14"/>
      <c r="H7766" t="s" s="10">
        <v>1352</v>
      </c>
      <c r="I7766" s="14"/>
      <c r="J7766" t="s" s="11">
        <v>20</v>
      </c>
      <c r="K7766" t="s" s="16">
        <f>HYPERLINK("http://csr.bu.edu/ftp/asl/asllvd/demos/verify_start_end_handshape_annotations//test_auto_move//signs_mov/16428.mov","MOV")</f>
        <v>21</v>
      </c>
      <c r="L7766" t="s" s="16">
        <f>HYPERLINK("http://csr.bu.edu/ftp/asl/asllvd/demos/verify_start_end_handshape_annotations//test_auto_move//signs_mov_separ_signers/Brady_16428.mov","MOV")</f>
        <v>21</v>
      </c>
      <c r="M7766" t="s" s="10">
        <v>40</v>
      </c>
      <c r="N7766" s="17">
        <v>46</v>
      </c>
      <c r="O7766" s="18">
        <v>1230</v>
      </c>
      <c r="P7766" s="18">
        <v>1294</v>
      </c>
      <c r="Q7766" t="s" s="16">
        <f>HYPERLINK("http://secrets.rutgers.edu:8080/data/asl-ftp/asllvd/demos/verify_start_end_handshape_annotations//test_auto_move//signs_mov/16428.mov","MOV")</f>
        <v>21</v>
      </c>
      <c r="R7766" t="s" s="16">
        <f>HYPERLINK("http://secrets.rutgers.edu:8080/data/asl-ftp/asllvd/demos/verify_start_end_handshape_annotations//test_auto_move//signs_mov_separ_signers/Brady_16428.mov","MOV")</f>
        <v>21</v>
      </c>
    </row>
    <row r="7767" s="2" customFormat="1" ht="13.5" customHeight="1">
      <c r="B7767" t="s" s="8">
        <v>2750</v>
      </c>
      <c r="C7767" t="s" s="9">
        <v>14</v>
      </c>
      <c r="D7767" t="s" s="8">
        <v>14</v>
      </c>
      <c r="E7767" t="s" s="9">
        <v>14</v>
      </c>
      <c r="F7767" t="s" s="10">
        <v>14</v>
      </c>
      <c r="G7767" t="s" s="11">
        <v>14</v>
      </c>
      <c r="H7767" t="s" s="10">
        <v>14</v>
      </c>
      <c r="I7767" t="s" s="11">
        <v>14</v>
      </c>
      <c r="J7767" t="s" s="11">
        <v>14</v>
      </c>
      <c r="K7767" t="s" s="12">
        <v>14</v>
      </c>
      <c r="L7767" t="s" s="12">
        <v>14</v>
      </c>
      <c r="M7767" t="s" s="10">
        <v>14</v>
      </c>
      <c r="N7767" t="s" s="11">
        <v>14</v>
      </c>
      <c r="O7767" t="s" s="8">
        <v>14</v>
      </c>
      <c r="P7767" t="s" s="8">
        <v>14</v>
      </c>
      <c r="Q7767" t="s" s="12">
        <v>14</v>
      </c>
      <c r="R7767" t="s" s="12">
        <v>14</v>
      </c>
    </row>
    <row r="7768" s="2" customFormat="1" ht="13.5" customHeight="1">
      <c r="B7768" s="13"/>
      <c r="C7768" t="s" s="9">
        <v>16</v>
      </c>
      <c r="D7768" t="s" s="8">
        <v>2750</v>
      </c>
      <c r="E7768" t="s" s="9">
        <v>2750</v>
      </c>
      <c r="F7768" t="s" s="10">
        <v>68</v>
      </c>
      <c r="G7768" t="s" s="11">
        <v>70</v>
      </c>
      <c r="H7768" t="s" s="10">
        <v>68</v>
      </c>
      <c r="I7768" t="s" s="11">
        <v>70</v>
      </c>
      <c r="J7768" t="s" s="11">
        <v>20</v>
      </c>
      <c r="K7768" s="15"/>
      <c r="L7768" t="s" s="16">
        <f>HYPERLINK("http://csr.bu.edu/ftp/asl/asllvd/demos/verify_start_end_handshape_annotations//test_auto_move//signs_mov_separ_signers/Liz_1989.mov","MOV")</f>
        <v>21</v>
      </c>
      <c r="M7768" t="s" s="10">
        <v>84</v>
      </c>
      <c r="N7768" s="17">
        <v>23</v>
      </c>
      <c r="O7768" s="18">
        <v>1202</v>
      </c>
      <c r="P7768" s="18">
        <v>1245</v>
      </c>
      <c r="Q7768" s="15"/>
      <c r="R7768" t="s" s="16">
        <f>HYPERLINK("http://secrets.rutgers.edu:8080/data/asl-ftp/asllvd/demos/verify_start_end_handshape_annotations//test_auto_move//signs_mov_separ_signers/Liz_1989.mov","MOV")</f>
        <v>21</v>
      </c>
    </row>
    <row r="7769" s="2" customFormat="1" ht="13.5" customHeight="1">
      <c r="B7769" s="13"/>
      <c r="C7769" t="s" s="9">
        <v>16</v>
      </c>
      <c r="D7769" t="s" s="8">
        <v>2750</v>
      </c>
      <c r="E7769" t="s" s="9">
        <v>2750</v>
      </c>
      <c r="F7769" t="s" s="10">
        <v>63</v>
      </c>
      <c r="G7769" t="s" s="11">
        <v>65</v>
      </c>
      <c r="H7769" t="s" s="10">
        <v>63</v>
      </c>
      <c r="I7769" t="s" s="11">
        <v>65</v>
      </c>
      <c r="J7769" t="s" s="11">
        <v>20</v>
      </c>
      <c r="K7769" s="15"/>
      <c r="L7769" t="s" s="16">
        <f>HYPERLINK("http://csr.bu.edu/ftp/asl/asllvd/demos/verify_start_end_handshape_annotations//test_auto_move//signs_mov_separ_signers/Liz_3353.mov","MOV")</f>
        <v>21</v>
      </c>
      <c r="M7769" t="s" s="10">
        <v>88</v>
      </c>
      <c r="N7769" s="17">
        <v>51</v>
      </c>
      <c r="O7769" s="18">
        <v>3010</v>
      </c>
      <c r="P7769" s="18">
        <v>3057</v>
      </c>
      <c r="Q7769" s="15"/>
      <c r="R7769" t="s" s="16">
        <f>HYPERLINK("http://secrets.rutgers.edu:8080/data/asl-ftp/asllvd/demos/verify_start_end_handshape_annotations//test_auto_move//signs_mov_separ_signers/Liz_3353.mov","MOV")</f>
        <v>21</v>
      </c>
    </row>
    <row r="7770" s="2" customFormat="1" ht="13.5" customHeight="1">
      <c r="B7770" s="13"/>
      <c r="C7770" t="s" s="9">
        <v>23</v>
      </c>
      <c r="D7770" t="s" s="8">
        <v>2750</v>
      </c>
      <c r="E7770" t="s" s="9">
        <v>2751</v>
      </c>
      <c r="F7770" t="s" s="10">
        <v>65</v>
      </c>
      <c r="G7770" t="s" s="11">
        <v>63</v>
      </c>
      <c r="H7770" t="s" s="10">
        <v>65</v>
      </c>
      <c r="I7770" t="s" s="11">
        <v>63</v>
      </c>
      <c r="J7770" t="s" s="11">
        <v>20</v>
      </c>
      <c r="K7770" t="s" s="16">
        <f>HYPERLINK("http://csr.bu.edu/ftp/asl/asllvd/demos/verify_start_end_handshape_annotations//test_auto_move//signs_mov/1989_3353_merged.mov","MOV")</f>
        <v>21</v>
      </c>
      <c r="L7770" t="s" s="16">
        <f>HYPERLINK("http://csr.bu.edu/ftp/asl/asllvd/demos/verify_start_end_handshape_annotations//test_auto_move//signs_mov_separ_signers/Tyler_1989.mov","MOV")</f>
        <v>21</v>
      </c>
      <c r="M7770" t="s" s="10">
        <v>92</v>
      </c>
      <c r="N7770" s="17">
        <v>3</v>
      </c>
      <c r="O7770" s="18">
        <v>1392</v>
      </c>
      <c r="P7770" s="18">
        <v>1441</v>
      </c>
      <c r="Q7770" t="s" s="16">
        <f>HYPERLINK("http://secrets.rutgers.edu:8080/data/asl-ftp/asllvd/demos/verify_start_end_handshape_annotations//test_auto_move//signs_mov/1989_3353_merged.mov","MOV")</f>
        <v>21</v>
      </c>
      <c r="R7770" t="s" s="16">
        <f>HYPERLINK("http://secrets.rutgers.edu:8080/data/asl-ftp/asllvd/demos/verify_start_end_handshape_annotations//test_auto_move//signs_mov_separ_signers/Tyler_1989.mov","MOV")</f>
        <v>21</v>
      </c>
    </row>
    <row r="7771" s="2" customFormat="1" ht="13.5" customHeight="1">
      <c r="B7771" s="13"/>
      <c r="C7771" t="s" s="9">
        <v>27</v>
      </c>
      <c r="D7771" t="s" s="8">
        <v>2750</v>
      </c>
      <c r="E7771" t="s" s="9">
        <v>2750</v>
      </c>
      <c r="F7771" t="s" s="10">
        <v>65</v>
      </c>
      <c r="G7771" t="s" s="11">
        <v>65</v>
      </c>
      <c r="H7771" t="s" s="10">
        <v>65</v>
      </c>
      <c r="I7771" t="s" s="11">
        <v>65</v>
      </c>
      <c r="J7771" t="s" s="11">
        <v>20</v>
      </c>
      <c r="K7771" s="15"/>
      <c r="L7771" t="s" s="16">
        <f>HYPERLINK("http://csr.bu.edu/ftp/asl/asllvd/demos/verify_start_end_handshape_annotations//test_auto_move//signs_mov_separ_signers/Naomi_1989.mov","MOV")</f>
        <v>21</v>
      </c>
      <c r="M7771" t="s" s="10">
        <v>86</v>
      </c>
      <c r="N7771" s="17">
        <v>23</v>
      </c>
      <c r="O7771" s="18">
        <v>1045</v>
      </c>
      <c r="P7771" s="18">
        <v>1080</v>
      </c>
      <c r="Q7771" s="15"/>
      <c r="R7771" t="s" s="16">
        <f>HYPERLINK("http://secrets.rutgers.edu:8080/data/asl-ftp/asllvd/demos/verify_start_end_handshape_annotations//test_auto_move//signs_mov_separ_signers/Naomi_1989.mov","MOV")</f>
        <v>21</v>
      </c>
    </row>
    <row r="7772" s="2" customFormat="1" ht="13.5" customHeight="1">
      <c r="B7772" s="13"/>
      <c r="C7772" t="s" s="9">
        <v>30</v>
      </c>
      <c r="D7772" t="s" s="8">
        <v>2750</v>
      </c>
      <c r="E7772" t="s" s="9">
        <v>2750</v>
      </c>
      <c r="F7772" t="s" s="10">
        <v>63</v>
      </c>
      <c r="G7772" t="s" s="11">
        <v>63</v>
      </c>
      <c r="H7772" t="s" s="10">
        <v>63</v>
      </c>
      <c r="I7772" t="s" s="11">
        <v>63</v>
      </c>
      <c r="J7772" t="s" s="11">
        <v>20</v>
      </c>
      <c r="K7772" s="15"/>
      <c r="L7772" t="s" s="16">
        <f>HYPERLINK("http://csr.bu.edu/ftp/asl/asllvd/demos/verify_start_end_handshape_annotations//test_auto_move//signs_mov_separ_signers/Brady_1989.mov","MOV")</f>
        <v>21</v>
      </c>
      <c r="M7772" t="s" s="10">
        <v>40</v>
      </c>
      <c r="N7772" s="17">
        <v>46</v>
      </c>
      <c r="O7772" s="18">
        <v>2377</v>
      </c>
      <c r="P7772" s="18">
        <v>2399</v>
      </c>
      <c r="Q7772" s="15"/>
      <c r="R7772" t="s" s="16">
        <f>HYPERLINK("http://secrets.rutgers.edu:8080/data/asl-ftp/asllvd/demos/verify_start_end_handshape_annotations//test_auto_move//signs_mov_separ_signers/Brady_1989.mov","MOV")</f>
        <v>21</v>
      </c>
    </row>
    <row r="7773" s="2" customFormat="1" ht="13.5" customHeight="1">
      <c r="B7773" s="13"/>
      <c r="C7773" t="s" s="9">
        <v>30</v>
      </c>
      <c r="D7773" t="s" s="8">
        <v>2750</v>
      </c>
      <c r="E7773" t="s" s="9">
        <v>2750</v>
      </c>
      <c r="F7773" t="s" s="10">
        <v>292</v>
      </c>
      <c r="G7773" t="s" s="11">
        <v>292</v>
      </c>
      <c r="H7773" t="s" s="10">
        <v>63</v>
      </c>
      <c r="I7773" t="s" s="11">
        <v>63</v>
      </c>
      <c r="J7773" t="s" s="11">
        <v>20</v>
      </c>
      <c r="K7773" s="15"/>
      <c r="L7773" t="s" s="16">
        <f>HYPERLINK("http://csr.bu.edu/ftp/asl/asllvd/demos/verify_start_end_handshape_annotations//test_auto_move//signs_mov_separ_signers/Brady_3353.mov","MOV")</f>
        <v>21</v>
      </c>
      <c r="M7773" t="s" s="10">
        <v>60</v>
      </c>
      <c r="N7773" s="17">
        <v>42</v>
      </c>
      <c r="O7773" s="18">
        <v>196</v>
      </c>
      <c r="P7773" s="18">
        <v>224</v>
      </c>
      <c r="Q7773" s="15"/>
      <c r="R7773" t="s" s="16">
        <f>HYPERLINK("http://secrets.rutgers.edu:8080/data/asl-ftp/asllvd/demos/verify_start_end_handshape_annotations//test_auto_move//signs_mov_separ_signers/Brady_3353.mov","MOV")</f>
        <v>21</v>
      </c>
    </row>
    <row r="7774" s="2" customFormat="1" ht="13.5" customHeight="1">
      <c r="B7774" t="s" s="8">
        <v>52</v>
      </c>
      <c r="C7774" t="s" s="9">
        <v>53</v>
      </c>
      <c r="D7774" t="s" s="8">
        <v>53</v>
      </c>
      <c r="E7774" t="s" s="9">
        <v>53</v>
      </c>
      <c r="F7774" t="s" s="10">
        <v>53</v>
      </c>
      <c r="G7774" t="s" s="11">
        <v>53</v>
      </c>
      <c r="H7774" t="s" s="10">
        <v>53</v>
      </c>
      <c r="I7774" t="s" s="11">
        <v>53</v>
      </c>
      <c r="J7774" t="s" s="11">
        <v>53</v>
      </c>
      <c r="K7774" t="s" s="12">
        <v>53</v>
      </c>
      <c r="L7774" t="s" s="12">
        <v>53</v>
      </c>
      <c r="M7774" t="s" s="10">
        <v>53</v>
      </c>
      <c r="N7774" t="s" s="11">
        <v>53</v>
      </c>
      <c r="O7774" t="s" s="8">
        <v>53</v>
      </c>
      <c r="P7774" t="s" s="8">
        <v>53</v>
      </c>
      <c r="Q7774" t="s" s="12">
        <v>53</v>
      </c>
      <c r="R7774" t="s" s="12">
        <v>53</v>
      </c>
    </row>
    <row r="7775" s="2" customFormat="1" ht="13.5" customHeight="1">
      <c r="B7775" s="13"/>
      <c r="C7775" t="s" s="9">
        <v>30</v>
      </c>
      <c r="D7775" t="s" s="8">
        <v>2750</v>
      </c>
      <c r="E7775" t="s" s="9">
        <v>2752</v>
      </c>
      <c r="F7775" t="s" s="10">
        <v>292</v>
      </c>
      <c r="G7775" t="s" s="11">
        <v>292</v>
      </c>
      <c r="H7775" t="s" s="10">
        <v>63</v>
      </c>
      <c r="I7775" t="s" s="11">
        <v>63</v>
      </c>
      <c r="J7775" t="s" s="11">
        <v>20</v>
      </c>
      <c r="K7775" t="s" s="16">
        <f>HYPERLINK("http://csr.bu.edu/ftp/asl/asllvd/demos/verify_start_end_handshape_annotations//test_auto_move//signs_mov/15033.mov","MOV")</f>
        <v>21</v>
      </c>
      <c r="L7775" t="s" s="16">
        <f>HYPERLINK("http://csr.bu.edu/ftp/asl/asllvd/demos/verify_start_end_handshape_annotations//test_auto_move//signs_mov_separ_signers/Brady_15033.mov","MOV")</f>
        <v>21</v>
      </c>
      <c r="M7775" t="s" s="10">
        <v>39</v>
      </c>
      <c r="N7775" s="17">
        <v>6</v>
      </c>
      <c r="O7775" s="18">
        <v>6776</v>
      </c>
      <c r="P7775" s="18">
        <v>6834</v>
      </c>
      <c r="Q7775" t="s" s="16">
        <f>HYPERLINK("http://secrets.rutgers.edu:8080/data/asl-ftp/asllvd/demos/verify_start_end_handshape_annotations//test_auto_move//signs_mov/15033.mov","MOV")</f>
        <v>21</v>
      </c>
      <c r="R7775" t="s" s="16">
        <f>HYPERLINK("http://secrets.rutgers.edu:8080/data/asl-ftp/asllvd/demos/verify_start_end_handshape_annotations//test_auto_move//signs_mov_separ_signers/Brady_15033.mov","MOV")</f>
        <v>21</v>
      </c>
    </row>
    <row r="7776" s="2" customFormat="1" ht="13.5" customHeight="1">
      <c r="B7776" t="s" s="8">
        <v>2753</v>
      </c>
      <c r="C7776" t="s" s="9">
        <v>14</v>
      </c>
      <c r="D7776" t="s" s="8">
        <v>14</v>
      </c>
      <c r="E7776" t="s" s="9">
        <v>14</v>
      </c>
      <c r="F7776" t="s" s="10">
        <v>14</v>
      </c>
      <c r="G7776" t="s" s="11">
        <v>14</v>
      </c>
      <c r="H7776" t="s" s="10">
        <v>14</v>
      </c>
      <c r="I7776" t="s" s="11">
        <v>14</v>
      </c>
      <c r="J7776" t="s" s="11">
        <v>14</v>
      </c>
      <c r="K7776" t="s" s="12">
        <v>14</v>
      </c>
      <c r="L7776" t="s" s="12">
        <v>14</v>
      </c>
      <c r="M7776" t="s" s="10">
        <v>14</v>
      </c>
      <c r="N7776" t="s" s="11">
        <v>14</v>
      </c>
      <c r="O7776" t="s" s="8">
        <v>14</v>
      </c>
      <c r="P7776" t="s" s="8">
        <v>14</v>
      </c>
      <c r="Q7776" t="s" s="12">
        <v>14</v>
      </c>
      <c r="R7776" t="s" s="12">
        <v>14</v>
      </c>
    </row>
    <row r="7777" s="2" customFormat="1" ht="13.5" customHeight="1">
      <c r="B7777" s="13"/>
      <c r="C7777" t="s" s="9">
        <v>16</v>
      </c>
      <c r="D7777" t="s" s="8">
        <v>2753</v>
      </c>
      <c r="E7777" t="s" s="9">
        <v>2754</v>
      </c>
      <c r="F7777" t="s" s="10">
        <v>65</v>
      </c>
      <c r="G7777" t="s" s="11">
        <v>65</v>
      </c>
      <c r="H7777" t="s" s="10">
        <v>65</v>
      </c>
      <c r="I7777" t="s" s="11">
        <v>65</v>
      </c>
      <c r="J7777" t="s" s="11">
        <v>20</v>
      </c>
      <c r="K7777" s="15"/>
      <c r="L7777" t="s" s="16">
        <f>HYPERLINK("http://csr.bu.edu/ftp/asl/asllvd/demos/verify_start_end_handshape_annotations//test_auto_move//signs_mov_separ_signers/Liz_16068.mov","MOV")</f>
        <v>21</v>
      </c>
      <c r="M7777" t="s" s="10">
        <v>88</v>
      </c>
      <c r="N7777" s="17">
        <v>36</v>
      </c>
      <c r="O7777" s="18">
        <v>2080</v>
      </c>
      <c r="P7777" s="18">
        <v>2128</v>
      </c>
      <c r="Q7777" s="15"/>
      <c r="R7777" t="s" s="16">
        <f>HYPERLINK("http://secrets.rutgers.edu:8080/data/asl-ftp/asllvd/demos/verify_start_end_handshape_annotations//test_auto_move//signs_mov_separ_signers/Liz_16068.mov","MOV")</f>
        <v>21</v>
      </c>
    </row>
    <row r="7778" s="2" customFormat="1" ht="13.5" customHeight="1">
      <c r="B7778" s="13"/>
      <c r="C7778" t="s" s="9">
        <v>30</v>
      </c>
      <c r="D7778" t="s" s="8">
        <v>2753</v>
      </c>
      <c r="E7778" t="s" s="9">
        <v>2754</v>
      </c>
      <c r="F7778" t="s" s="10">
        <v>65</v>
      </c>
      <c r="G7778" t="s" s="11">
        <v>65</v>
      </c>
      <c r="H7778" t="s" s="10">
        <v>65</v>
      </c>
      <c r="I7778" t="s" s="11">
        <v>65</v>
      </c>
      <c r="J7778" t="s" s="11">
        <v>20</v>
      </c>
      <c r="K7778" t="s" s="16">
        <f>HYPERLINK("http://csr.bu.edu/ftp/asl/asllvd/demos/verify_start_end_handshape_annotations//test_auto_move//signs_mov/16068_16089_merged.mov","MOV")</f>
        <v>21</v>
      </c>
      <c r="L7778" t="s" s="16">
        <f>HYPERLINK("http://csr.bu.edu/ftp/asl/asllvd/demos/verify_start_end_handshape_annotations//test_auto_move//signs_mov_separ_signers/Brady_16068.mov","MOV")</f>
        <v>21</v>
      </c>
      <c r="M7778" t="s" s="10">
        <v>40</v>
      </c>
      <c r="N7778" s="17">
        <v>31</v>
      </c>
      <c r="O7778" s="18">
        <v>1254</v>
      </c>
      <c r="P7778" s="18">
        <v>1281</v>
      </c>
      <c r="Q7778" t="s" s="16">
        <f>HYPERLINK("http://secrets.rutgers.edu:8080/data/asl-ftp/asllvd/demos/verify_start_end_handshape_annotations//test_auto_move//signs_mov/16068_16089_merged.mov","MOV")</f>
        <v>21</v>
      </c>
      <c r="R7778" t="s" s="16">
        <f>HYPERLINK("http://secrets.rutgers.edu:8080/data/asl-ftp/asllvd/demos/verify_start_end_handshape_annotations//test_auto_move//signs_mov_separ_signers/Brady_16068.mov","MOV")</f>
        <v>21</v>
      </c>
    </row>
    <row r="7779" s="2" customFormat="1" ht="13.5" customHeight="1">
      <c r="B7779" s="13"/>
      <c r="C7779" t="s" s="9">
        <v>30</v>
      </c>
      <c r="D7779" t="s" s="8">
        <v>2753</v>
      </c>
      <c r="E7779" t="s" s="9">
        <v>2755</v>
      </c>
      <c r="F7779" t="s" s="10">
        <v>65</v>
      </c>
      <c r="G7779" t="s" s="11">
        <v>65</v>
      </c>
      <c r="H7779" t="s" s="10">
        <v>65</v>
      </c>
      <c r="I7779" t="s" s="11">
        <v>65</v>
      </c>
      <c r="J7779" t="s" s="11">
        <v>20</v>
      </c>
      <c r="K7779" s="15"/>
      <c r="L7779" t="s" s="16">
        <f>HYPERLINK("http://csr.bu.edu/ftp/asl/asllvd/demos/verify_start_end_handshape_annotations//test_auto_move//signs_mov_separ_signers/Brady_16089.mov","MOV")</f>
        <v>21</v>
      </c>
      <c r="M7779" t="s" s="10">
        <v>60</v>
      </c>
      <c r="N7779" s="17">
        <v>56</v>
      </c>
      <c r="O7779" s="18">
        <v>1625</v>
      </c>
      <c r="P7779" s="18">
        <v>1675</v>
      </c>
      <c r="Q7779" s="15"/>
      <c r="R7779" t="s" s="16">
        <f>HYPERLINK("http://secrets.rutgers.edu:8080/data/asl-ftp/asllvd/demos/verify_start_end_handshape_annotations//test_auto_move//signs_mov_separ_signers/Brady_16089.mov","MOV")</f>
        <v>21</v>
      </c>
    </row>
    <row r="7780" s="2" customFormat="1" ht="13.5" customHeight="1">
      <c r="B7780" t="s" s="8">
        <v>2756</v>
      </c>
      <c r="C7780" t="s" s="9">
        <v>14</v>
      </c>
      <c r="D7780" t="s" s="8">
        <v>14</v>
      </c>
      <c r="E7780" t="s" s="9">
        <v>14</v>
      </c>
      <c r="F7780" t="s" s="10">
        <v>14</v>
      </c>
      <c r="G7780" t="s" s="11">
        <v>14</v>
      </c>
      <c r="H7780" t="s" s="10">
        <v>14</v>
      </c>
      <c r="I7780" t="s" s="11">
        <v>14</v>
      </c>
      <c r="J7780" t="s" s="11">
        <v>14</v>
      </c>
      <c r="K7780" t="s" s="12">
        <v>14</v>
      </c>
      <c r="L7780" t="s" s="12">
        <v>14</v>
      </c>
      <c r="M7780" t="s" s="10">
        <v>14</v>
      </c>
      <c r="N7780" t="s" s="11">
        <v>14</v>
      </c>
      <c r="O7780" t="s" s="8">
        <v>14</v>
      </c>
      <c r="P7780" t="s" s="8">
        <v>14</v>
      </c>
      <c r="Q7780" t="s" s="12">
        <v>14</v>
      </c>
      <c r="R7780" t="s" s="12">
        <v>14</v>
      </c>
    </row>
    <row r="7781" s="2" customFormat="1" ht="13.5" customHeight="1">
      <c r="B7781" s="13"/>
      <c r="C7781" t="s" s="9">
        <v>16</v>
      </c>
      <c r="D7781" t="s" s="8">
        <v>2756</v>
      </c>
      <c r="E7781" t="s" s="9">
        <v>2757</v>
      </c>
      <c r="F7781" t="s" s="10">
        <v>68</v>
      </c>
      <c r="G7781" t="s" s="11">
        <v>68</v>
      </c>
      <c r="H7781" t="s" s="10">
        <v>68</v>
      </c>
      <c r="I7781" t="s" s="11">
        <v>68</v>
      </c>
      <c r="J7781" t="s" s="11">
        <v>20</v>
      </c>
      <c r="K7781" t="s" s="16">
        <f>HYPERLINK("http://csr.bu.edu/ftp/asl/asllvd/demos/verify_start_end_handshape_annotations//test_auto_move//signs_mov/1990.mov","MOV")</f>
        <v>21</v>
      </c>
      <c r="L7781" t="s" s="16">
        <f>HYPERLINK("http://csr.bu.edu/ftp/asl/asllvd/demos/verify_start_end_handshape_annotations//test_auto_move//signs_mov_separ_signers/Liz_1990.mov","MOV")</f>
        <v>21</v>
      </c>
      <c r="M7781" t="s" s="10">
        <v>88</v>
      </c>
      <c r="N7781" s="17">
        <v>52</v>
      </c>
      <c r="O7781" s="18">
        <v>465</v>
      </c>
      <c r="P7781" s="18">
        <v>550</v>
      </c>
      <c r="Q7781" t="s" s="16">
        <f>HYPERLINK("http://secrets.rutgers.edu:8080/data/asl-ftp/asllvd/demos/verify_start_end_handshape_annotations//test_auto_move//signs_mov/1990.mov","MOV")</f>
        <v>21</v>
      </c>
      <c r="R7781" t="s" s="16">
        <f>HYPERLINK("http://secrets.rutgers.edu:8080/data/asl-ftp/asllvd/demos/verify_start_end_handshape_annotations//test_auto_move//signs_mov_separ_signers/Liz_1990.mov","MOV")</f>
        <v>21</v>
      </c>
    </row>
    <row r="7782" s="2" customFormat="1" ht="13.5" customHeight="1">
      <c r="B7782" s="13"/>
      <c r="C7782" t="s" s="9">
        <v>30</v>
      </c>
      <c r="D7782" t="s" s="8">
        <v>2756</v>
      </c>
      <c r="E7782" t="s" s="9">
        <v>2757</v>
      </c>
      <c r="F7782" t="s" s="10">
        <v>68</v>
      </c>
      <c r="G7782" t="s" s="11">
        <v>68</v>
      </c>
      <c r="H7782" t="s" s="10">
        <v>68</v>
      </c>
      <c r="I7782" t="s" s="11">
        <v>68</v>
      </c>
      <c r="J7782" t="s" s="11">
        <v>20</v>
      </c>
      <c r="K7782" s="15"/>
      <c r="L7782" t="s" s="16">
        <f>HYPERLINK("http://csr.bu.edu/ftp/asl/asllvd/demos/verify_start_end_handshape_annotations//test_auto_move//signs_mov_separ_signers/Brady_1990.mov","MOV")</f>
        <v>21</v>
      </c>
      <c r="M7782" t="s" s="10">
        <v>40</v>
      </c>
      <c r="N7782" s="17">
        <v>46</v>
      </c>
      <c r="O7782" s="18">
        <v>2800</v>
      </c>
      <c r="P7782" s="18">
        <v>2849</v>
      </c>
      <c r="Q7782" s="15"/>
      <c r="R7782" t="s" s="16">
        <f>HYPERLINK("http://secrets.rutgers.edu:8080/data/asl-ftp/asllvd/demos/verify_start_end_handshape_annotations//test_auto_move//signs_mov_separ_signers/Brady_1990.mov","MOV")</f>
        <v>21</v>
      </c>
    </row>
    <row r="7783" s="2" customFormat="1" ht="13.5" customHeight="1">
      <c r="B7783" t="s" s="8">
        <v>2758</v>
      </c>
      <c r="C7783" t="s" s="9">
        <v>14</v>
      </c>
      <c r="D7783" t="s" s="8">
        <v>14</v>
      </c>
      <c r="E7783" t="s" s="9">
        <v>14</v>
      </c>
      <c r="F7783" t="s" s="10">
        <v>14</v>
      </c>
      <c r="G7783" t="s" s="11">
        <v>14</v>
      </c>
      <c r="H7783" t="s" s="10">
        <v>14</v>
      </c>
      <c r="I7783" t="s" s="11">
        <v>14</v>
      </c>
      <c r="J7783" t="s" s="11">
        <v>14</v>
      </c>
      <c r="K7783" t="s" s="12">
        <v>14</v>
      </c>
      <c r="L7783" t="s" s="12">
        <v>14</v>
      </c>
      <c r="M7783" t="s" s="10">
        <v>14</v>
      </c>
      <c r="N7783" t="s" s="11">
        <v>14</v>
      </c>
      <c r="O7783" t="s" s="8">
        <v>14</v>
      </c>
      <c r="P7783" t="s" s="8">
        <v>14</v>
      </c>
      <c r="Q7783" t="s" s="12">
        <v>14</v>
      </c>
      <c r="R7783" t="s" s="12">
        <v>14</v>
      </c>
    </row>
    <row r="7784" s="2" customFormat="1" ht="13.5" customHeight="1">
      <c r="B7784" s="13"/>
      <c r="C7784" t="s" s="9">
        <v>30</v>
      </c>
      <c r="D7784" t="s" s="8">
        <v>2758</v>
      </c>
      <c r="E7784" t="s" s="9">
        <v>2759</v>
      </c>
      <c r="F7784" t="s" s="10">
        <v>68</v>
      </c>
      <c r="G7784" t="s" s="11">
        <v>68</v>
      </c>
      <c r="H7784" t="s" s="10">
        <v>68</v>
      </c>
      <c r="I7784" t="s" s="11">
        <v>68</v>
      </c>
      <c r="J7784" t="s" s="11">
        <v>20</v>
      </c>
      <c r="K7784" t="s" s="16">
        <f>HYPERLINK("http://csr.bu.edu/ftp/asl/asllvd/demos/verify_start_end_handshape_annotations//test_auto_move//signs_mov/1992.mov","MOV")</f>
        <v>21</v>
      </c>
      <c r="L7784" t="s" s="16">
        <f>HYPERLINK("http://csr.bu.edu/ftp/asl/asllvd/demos/verify_start_end_handshape_annotations//test_auto_move//signs_mov_separ_signers/Brady_1992.mov","MOV")</f>
        <v>21</v>
      </c>
      <c r="M7784" t="s" s="10">
        <v>40</v>
      </c>
      <c r="N7784" s="17">
        <v>46</v>
      </c>
      <c r="O7784" s="18">
        <v>3439</v>
      </c>
      <c r="P7784" s="18">
        <v>3498</v>
      </c>
      <c r="Q7784" t="s" s="16">
        <f>HYPERLINK("http://secrets.rutgers.edu:8080/data/asl-ftp/asllvd/demos/verify_start_end_handshape_annotations//test_auto_move//signs_mov/1992.mov","MOV")</f>
        <v>21</v>
      </c>
      <c r="R7784" t="s" s="16">
        <f>HYPERLINK("http://secrets.rutgers.edu:8080/data/asl-ftp/asllvd/demos/verify_start_end_handshape_annotations//test_auto_move//signs_mov_separ_signers/Brady_1992.mov","MOV")</f>
        <v>21</v>
      </c>
    </row>
    <row r="7785" s="2" customFormat="1" ht="13.5" customHeight="1">
      <c r="B7785" t="s" s="8">
        <v>52</v>
      </c>
      <c r="C7785" t="s" s="9">
        <v>53</v>
      </c>
      <c r="D7785" t="s" s="8">
        <v>53</v>
      </c>
      <c r="E7785" t="s" s="9">
        <v>53</v>
      </c>
      <c r="F7785" t="s" s="10">
        <v>53</v>
      </c>
      <c r="G7785" t="s" s="11">
        <v>53</v>
      </c>
      <c r="H7785" t="s" s="10">
        <v>53</v>
      </c>
      <c r="I7785" t="s" s="11">
        <v>53</v>
      </c>
      <c r="J7785" t="s" s="11">
        <v>53</v>
      </c>
      <c r="K7785" t="s" s="12">
        <v>53</v>
      </c>
      <c r="L7785" t="s" s="12">
        <v>53</v>
      </c>
      <c r="M7785" t="s" s="10">
        <v>53</v>
      </c>
      <c r="N7785" t="s" s="11">
        <v>53</v>
      </c>
      <c r="O7785" t="s" s="8">
        <v>53</v>
      </c>
      <c r="P7785" t="s" s="8">
        <v>53</v>
      </c>
      <c r="Q7785" t="s" s="12">
        <v>53</v>
      </c>
      <c r="R7785" t="s" s="12">
        <v>53</v>
      </c>
    </row>
    <row r="7786" s="2" customFormat="1" ht="13.5" customHeight="1">
      <c r="B7786" s="13"/>
      <c r="C7786" t="s" s="9">
        <v>16</v>
      </c>
      <c r="D7786" t="s" s="8">
        <v>2758</v>
      </c>
      <c r="E7786" t="s" s="9">
        <v>2760</v>
      </c>
      <c r="F7786" t="s" s="10">
        <v>68</v>
      </c>
      <c r="G7786" s="14"/>
      <c r="H7786" t="s" s="10">
        <v>68</v>
      </c>
      <c r="I7786" s="14"/>
      <c r="J7786" t="s" s="11">
        <v>20</v>
      </c>
      <c r="K7786" t="s" s="16">
        <f>HYPERLINK("http://csr.bu.edu/ftp/asl/asllvd/demos/verify_start_end_handshape_annotations//test_auto_move//signs_mov/5618.mov","MOV")</f>
        <v>21</v>
      </c>
      <c r="L7786" t="s" s="16">
        <f>HYPERLINK("http://csr.bu.edu/ftp/asl/asllvd/demos/verify_start_end_handshape_annotations//test_auto_move//signs_mov_separ_signers/Liz_5618.mov","MOV")</f>
        <v>21</v>
      </c>
      <c r="M7786" t="s" s="10">
        <v>88</v>
      </c>
      <c r="N7786" s="17">
        <v>52</v>
      </c>
      <c r="O7786" s="18">
        <v>935</v>
      </c>
      <c r="P7786" s="18">
        <v>1027</v>
      </c>
      <c r="Q7786" t="s" s="16">
        <f>HYPERLINK("http://secrets.rutgers.edu:8080/data/asl-ftp/asllvd/demos/verify_start_end_handshape_annotations//test_auto_move//signs_mov/5618.mov","MOV")</f>
        <v>21</v>
      </c>
      <c r="R7786" t="s" s="16">
        <f>HYPERLINK("http://secrets.rutgers.edu:8080/data/asl-ftp/asllvd/demos/verify_start_end_handshape_annotations//test_auto_move//signs_mov_separ_signers/Liz_5618.mov","MOV")</f>
        <v>21</v>
      </c>
    </row>
    <row r="7787" s="2" customFormat="1" ht="13.5" customHeight="1">
      <c r="B7787" t="s" s="8">
        <v>2761</v>
      </c>
      <c r="C7787" t="s" s="9">
        <v>14</v>
      </c>
      <c r="D7787" t="s" s="8">
        <v>14</v>
      </c>
      <c r="E7787" t="s" s="9">
        <v>14</v>
      </c>
      <c r="F7787" t="s" s="10">
        <v>14</v>
      </c>
      <c r="G7787" t="s" s="11">
        <v>14</v>
      </c>
      <c r="H7787" t="s" s="10">
        <v>14</v>
      </c>
      <c r="I7787" t="s" s="11">
        <v>14</v>
      </c>
      <c r="J7787" t="s" s="11">
        <v>14</v>
      </c>
      <c r="K7787" t="s" s="12">
        <v>14</v>
      </c>
      <c r="L7787" t="s" s="12">
        <v>14</v>
      </c>
      <c r="M7787" t="s" s="10">
        <v>14</v>
      </c>
      <c r="N7787" t="s" s="11">
        <v>14</v>
      </c>
      <c r="O7787" t="s" s="8">
        <v>14</v>
      </c>
      <c r="P7787" t="s" s="8">
        <v>14</v>
      </c>
      <c r="Q7787" t="s" s="12">
        <v>14</v>
      </c>
      <c r="R7787" t="s" s="12">
        <v>14</v>
      </c>
    </row>
    <row r="7788" s="2" customFormat="1" ht="13.5" customHeight="1">
      <c r="B7788" s="13"/>
      <c r="C7788" t="s" s="9">
        <v>16</v>
      </c>
      <c r="D7788" t="s" s="8">
        <v>2761</v>
      </c>
      <c r="E7788" t="s" s="9">
        <v>2762</v>
      </c>
      <c r="F7788" t="s" s="10">
        <v>277</v>
      </c>
      <c r="G7788" t="s" s="11">
        <v>105</v>
      </c>
      <c r="H7788" t="s" s="10">
        <v>430</v>
      </c>
      <c r="I7788" t="s" s="11">
        <v>105</v>
      </c>
      <c r="J7788" t="s" s="11">
        <v>20</v>
      </c>
      <c r="K7788" t="s" s="16">
        <f>HYPERLINK("http://csr.bu.edu/ftp/asl/asllvd/demos/verify_start_end_handshape_annotations//test_auto_move//signs_mov/1993.mov","MOV")</f>
        <v>21</v>
      </c>
      <c r="L7788" t="s" s="16">
        <f>HYPERLINK("http://csr.bu.edu/ftp/asl/asllvd/demos/verify_start_end_handshape_annotations//test_auto_move//signs_mov_separ_signers/Liz_1993.mov","MOV")</f>
        <v>21</v>
      </c>
      <c r="M7788" t="s" s="10">
        <v>88</v>
      </c>
      <c r="N7788" s="17">
        <v>52</v>
      </c>
      <c r="O7788" s="18">
        <v>1155</v>
      </c>
      <c r="P7788" s="18">
        <v>1176</v>
      </c>
      <c r="Q7788" t="s" s="16">
        <f>HYPERLINK("http://secrets.rutgers.edu:8080/data/asl-ftp/asllvd/demos/verify_start_end_handshape_annotations//test_auto_move//signs_mov/1993.mov","MOV")</f>
        <v>21</v>
      </c>
      <c r="R7788" t="s" s="16">
        <f>HYPERLINK("http://secrets.rutgers.edu:8080/data/asl-ftp/asllvd/demos/verify_start_end_handshape_annotations//test_auto_move//signs_mov_separ_signers/Liz_1993.mov","MOV")</f>
        <v>21</v>
      </c>
    </row>
    <row r="7789" s="2" customFormat="1" ht="13.5" customHeight="1">
      <c r="B7789" s="13"/>
      <c r="C7789" t="s" s="9">
        <v>30</v>
      </c>
      <c r="D7789" t="s" s="8">
        <v>2761</v>
      </c>
      <c r="E7789" t="s" s="9">
        <v>2762</v>
      </c>
      <c r="F7789" s="19">
        <v>7</v>
      </c>
      <c r="G7789" t="s" s="11">
        <v>158</v>
      </c>
      <c r="H7789" s="19">
        <v>7</v>
      </c>
      <c r="I7789" t="s" s="11">
        <v>158</v>
      </c>
      <c r="J7789" t="s" s="11">
        <v>20</v>
      </c>
      <c r="K7789" s="15"/>
      <c r="L7789" t="s" s="16">
        <f>HYPERLINK("http://csr.bu.edu/ftp/asl/asllvd/demos/verify_start_end_handshape_annotations//test_auto_move//signs_mov_separ_signers/Brady_1993.mov","MOV")</f>
        <v>21</v>
      </c>
      <c r="M7789" t="s" s="10">
        <v>40</v>
      </c>
      <c r="N7789" s="17">
        <v>47</v>
      </c>
      <c r="O7789" s="18">
        <v>539</v>
      </c>
      <c r="P7789" s="18">
        <v>564</v>
      </c>
      <c r="Q7789" s="15"/>
      <c r="R7789" t="s" s="16">
        <f>HYPERLINK("http://secrets.rutgers.edu:8080/data/asl-ftp/asllvd/demos/verify_start_end_handshape_annotations//test_auto_move//signs_mov_separ_signers/Brady_1993.mov","MOV")</f>
        <v>21</v>
      </c>
    </row>
    <row r="7790" s="2" customFormat="1" ht="13.5" customHeight="1">
      <c r="B7790" t="s" s="8">
        <v>2763</v>
      </c>
      <c r="C7790" t="s" s="9">
        <v>14</v>
      </c>
      <c r="D7790" t="s" s="8">
        <v>14</v>
      </c>
      <c r="E7790" t="s" s="9">
        <v>14</v>
      </c>
      <c r="F7790" t="s" s="10">
        <v>14</v>
      </c>
      <c r="G7790" t="s" s="11">
        <v>14</v>
      </c>
      <c r="H7790" t="s" s="10">
        <v>14</v>
      </c>
      <c r="I7790" t="s" s="11">
        <v>14</v>
      </c>
      <c r="J7790" t="s" s="11">
        <v>14</v>
      </c>
      <c r="K7790" t="s" s="12">
        <v>14</v>
      </c>
      <c r="L7790" t="s" s="12">
        <v>14</v>
      </c>
      <c r="M7790" t="s" s="10">
        <v>14</v>
      </c>
      <c r="N7790" t="s" s="11">
        <v>14</v>
      </c>
      <c r="O7790" t="s" s="8">
        <v>14</v>
      </c>
      <c r="P7790" t="s" s="8">
        <v>14</v>
      </c>
      <c r="Q7790" t="s" s="12">
        <v>14</v>
      </c>
      <c r="R7790" t="s" s="12">
        <v>14</v>
      </c>
    </row>
    <row r="7791" s="2" customFormat="1" ht="13.5" customHeight="1">
      <c r="B7791" s="13"/>
      <c r="C7791" t="s" s="9">
        <v>16</v>
      </c>
      <c r="D7791" t="s" s="8">
        <v>2763</v>
      </c>
      <c r="E7791" t="s" s="9">
        <v>2763</v>
      </c>
      <c r="F7791" s="19">
        <v>1</v>
      </c>
      <c r="G7791" t="s" s="11">
        <v>68</v>
      </c>
      <c r="H7791" s="19">
        <v>1</v>
      </c>
      <c r="I7791" t="s" s="11">
        <v>68</v>
      </c>
      <c r="J7791" t="s" s="11">
        <v>136</v>
      </c>
      <c r="K7791" t="s" s="16">
        <f>HYPERLINK("http://csr.bu.edu/ftp/asl/asllvd/demos/verify_start_end_handshape_annotations//test_auto_move//signs_mov/1996.mov","MOV")</f>
        <v>21</v>
      </c>
      <c r="L7791" t="s" s="16">
        <f>HYPERLINK("http://csr.bu.edu/ftp/asl/asllvd/demos/verify_start_end_handshape_annotations//test_auto_move//signs_mov_separ_signers/Liz_1996.mov","MOV")</f>
        <v>21</v>
      </c>
      <c r="M7791" t="s" s="10">
        <v>88</v>
      </c>
      <c r="N7791" s="17">
        <v>52</v>
      </c>
      <c r="O7791" s="18">
        <v>1897</v>
      </c>
      <c r="P7791" s="18">
        <v>1935</v>
      </c>
      <c r="Q7791" t="s" s="16">
        <f>HYPERLINK("http://secrets.rutgers.edu:8080/data/asl-ftp/asllvd/demos/verify_start_end_handshape_annotations//test_auto_move//signs_mov/1996.mov","MOV")</f>
        <v>21</v>
      </c>
      <c r="R7791" t="s" s="16">
        <f>HYPERLINK("http://secrets.rutgers.edu:8080/data/asl-ftp/asllvd/demos/verify_start_end_handshape_annotations//test_auto_move//signs_mov_separ_signers/Liz_1996.mov","MOV")</f>
        <v>21</v>
      </c>
    </row>
    <row r="7792" s="2" customFormat="1" ht="13.5" customHeight="1">
      <c r="B7792" s="13"/>
      <c r="C7792" t="s" s="9">
        <v>30</v>
      </c>
      <c r="D7792" t="s" s="8">
        <v>2763</v>
      </c>
      <c r="E7792" t="s" s="9">
        <v>2763</v>
      </c>
      <c r="F7792" s="19">
        <v>1</v>
      </c>
      <c r="G7792" t="s" s="11">
        <v>68</v>
      </c>
      <c r="H7792" s="19">
        <v>1</v>
      </c>
      <c r="I7792" t="s" s="11">
        <v>68</v>
      </c>
      <c r="J7792" t="s" s="11">
        <v>20</v>
      </c>
      <c r="K7792" s="15"/>
      <c r="L7792" t="s" s="16">
        <f>HYPERLINK("http://csr.bu.edu/ftp/asl/asllvd/demos/verify_start_end_handshape_annotations//test_auto_move//signs_mov_separ_signers/Brady_1996.mov","MOV")</f>
        <v>21</v>
      </c>
      <c r="M7792" t="s" s="10">
        <v>40</v>
      </c>
      <c r="N7792" s="17">
        <v>47</v>
      </c>
      <c r="O7792" s="18">
        <v>1839</v>
      </c>
      <c r="P7792" s="18">
        <v>1855</v>
      </c>
      <c r="Q7792" s="15"/>
      <c r="R7792" t="s" s="16">
        <f>HYPERLINK("http://secrets.rutgers.edu:8080/data/asl-ftp/asllvd/demos/verify_start_end_handshape_annotations//test_auto_move//signs_mov_separ_signers/Brady_1996.mov","MOV")</f>
        <v>21</v>
      </c>
    </row>
    <row r="7793" s="2" customFormat="1" ht="13.5" customHeight="1">
      <c r="B7793" t="s" s="8">
        <v>2764</v>
      </c>
      <c r="C7793" t="s" s="9">
        <v>14</v>
      </c>
      <c r="D7793" t="s" s="8">
        <v>14</v>
      </c>
      <c r="E7793" t="s" s="9">
        <v>14</v>
      </c>
      <c r="F7793" t="s" s="10">
        <v>14</v>
      </c>
      <c r="G7793" t="s" s="11">
        <v>14</v>
      </c>
      <c r="H7793" t="s" s="10">
        <v>14</v>
      </c>
      <c r="I7793" t="s" s="11">
        <v>14</v>
      </c>
      <c r="J7793" t="s" s="11">
        <v>14</v>
      </c>
      <c r="K7793" t="s" s="12">
        <v>14</v>
      </c>
      <c r="L7793" t="s" s="12">
        <v>14</v>
      </c>
      <c r="M7793" t="s" s="10">
        <v>14</v>
      </c>
      <c r="N7793" t="s" s="11">
        <v>14</v>
      </c>
      <c r="O7793" t="s" s="8">
        <v>14</v>
      </c>
      <c r="P7793" t="s" s="8">
        <v>14</v>
      </c>
      <c r="Q7793" t="s" s="12">
        <v>14</v>
      </c>
      <c r="R7793" t="s" s="12">
        <v>14</v>
      </c>
    </row>
    <row r="7794" s="2" customFormat="1" ht="13.5" customHeight="1">
      <c r="B7794" s="13"/>
      <c r="C7794" t="s" s="9">
        <v>16</v>
      </c>
      <c r="D7794" t="s" s="8">
        <v>2764</v>
      </c>
      <c r="E7794" t="s" s="9">
        <v>2765</v>
      </c>
      <c r="F7794" t="s" s="10">
        <v>220</v>
      </c>
      <c r="G7794" s="14"/>
      <c r="H7794" t="s" s="10">
        <v>220</v>
      </c>
      <c r="I7794" s="14"/>
      <c r="J7794" t="s" s="11">
        <v>20</v>
      </c>
      <c r="K7794" t="s" s="16">
        <f>HYPERLINK("http://csr.bu.edu/ftp/asl/asllvd/demos/verify_start_end_handshape_annotations//test_auto_move//signs_mov/1998.mov","MOV")</f>
        <v>21</v>
      </c>
      <c r="L7794" t="s" s="16">
        <f>HYPERLINK("http://csr.bu.edu/ftp/asl/asllvd/demos/verify_start_end_handshape_annotations//test_auto_move//signs_mov_separ_signers/Liz_1998.mov","MOV")</f>
        <v>21</v>
      </c>
      <c r="M7794" t="s" s="10">
        <v>88</v>
      </c>
      <c r="N7794" s="17">
        <v>52</v>
      </c>
      <c r="O7794" s="18">
        <v>2650</v>
      </c>
      <c r="P7794" s="18">
        <v>2687</v>
      </c>
      <c r="Q7794" t="s" s="16">
        <f>HYPERLINK("http://secrets.rutgers.edu:8080/data/asl-ftp/asllvd/demos/verify_start_end_handshape_annotations//test_auto_move//signs_mov/1998.mov","MOV")</f>
        <v>21</v>
      </c>
      <c r="R7794" t="s" s="16">
        <f>HYPERLINK("http://secrets.rutgers.edu:8080/data/asl-ftp/asllvd/demos/verify_start_end_handshape_annotations//test_auto_move//signs_mov_separ_signers/Liz_1998.mov","MOV")</f>
        <v>21</v>
      </c>
    </row>
    <row r="7795" s="2" customFormat="1" ht="13.5" customHeight="1">
      <c r="B7795" s="13"/>
      <c r="C7795" t="s" s="9">
        <v>30</v>
      </c>
      <c r="D7795" t="s" s="8">
        <v>2764</v>
      </c>
      <c r="E7795" t="s" s="9">
        <v>2766</v>
      </c>
      <c r="F7795" t="s" s="10">
        <v>220</v>
      </c>
      <c r="G7795" s="14"/>
      <c r="H7795" t="s" s="10">
        <v>220</v>
      </c>
      <c r="I7795" s="14"/>
      <c r="J7795" t="s" s="11">
        <v>20</v>
      </c>
      <c r="K7795" s="15"/>
      <c r="L7795" t="s" s="16">
        <f>HYPERLINK("http://csr.bu.edu/ftp/asl/asllvd/demos/verify_start_end_handshape_annotations//test_auto_move//signs_mov_separ_signers/Brady_1998.mov","MOV")</f>
        <v>21</v>
      </c>
      <c r="M7795" t="s" s="10">
        <v>40</v>
      </c>
      <c r="N7795" s="17">
        <v>47</v>
      </c>
      <c r="O7795" s="18">
        <v>2621</v>
      </c>
      <c r="P7795" s="18">
        <v>2661</v>
      </c>
      <c r="Q7795" s="15"/>
      <c r="R7795" t="s" s="16">
        <f>HYPERLINK("http://secrets.rutgers.edu:8080/data/asl-ftp/asllvd/demos/verify_start_end_handshape_annotations//test_auto_move//signs_mov_separ_signers/Brady_1998.mov","MOV")</f>
        <v>21</v>
      </c>
    </row>
    <row r="7796" s="2" customFormat="1" ht="13.5" customHeight="1">
      <c r="B7796" t="s" s="8">
        <v>2767</v>
      </c>
      <c r="C7796" t="s" s="9">
        <v>14</v>
      </c>
      <c r="D7796" t="s" s="8">
        <v>14</v>
      </c>
      <c r="E7796" t="s" s="9">
        <v>14</v>
      </c>
      <c r="F7796" t="s" s="10">
        <v>14</v>
      </c>
      <c r="G7796" t="s" s="11">
        <v>14</v>
      </c>
      <c r="H7796" t="s" s="10">
        <v>14</v>
      </c>
      <c r="I7796" t="s" s="11">
        <v>14</v>
      </c>
      <c r="J7796" t="s" s="11">
        <v>14</v>
      </c>
      <c r="K7796" t="s" s="12">
        <v>14</v>
      </c>
      <c r="L7796" t="s" s="12">
        <v>14</v>
      </c>
      <c r="M7796" t="s" s="10">
        <v>14</v>
      </c>
      <c r="N7796" t="s" s="11">
        <v>14</v>
      </c>
      <c r="O7796" t="s" s="8">
        <v>14</v>
      </c>
      <c r="P7796" t="s" s="8">
        <v>14</v>
      </c>
      <c r="Q7796" t="s" s="12">
        <v>14</v>
      </c>
      <c r="R7796" t="s" s="12">
        <v>14</v>
      </c>
    </row>
    <row r="7797" s="2" customFormat="1" ht="13.5" customHeight="1">
      <c r="B7797" s="13"/>
      <c r="C7797" t="s" s="9">
        <v>16</v>
      </c>
      <c r="D7797" t="s" s="8">
        <v>2767</v>
      </c>
      <c r="E7797" t="s" s="9">
        <v>2768</v>
      </c>
      <c r="F7797" t="s" s="10">
        <v>150</v>
      </c>
      <c r="G7797" s="14"/>
      <c r="H7797" t="s" s="10">
        <v>150</v>
      </c>
      <c r="I7797" s="14"/>
      <c r="J7797" t="s" s="11">
        <v>20</v>
      </c>
      <c r="K7797" t="s" s="16">
        <f>HYPERLINK("http://csr.bu.edu/ftp/asl/asllvd/demos/verify_start_end_handshape_annotations//test_auto_move//signs_mov/1999.mov","MOV")</f>
        <v>21</v>
      </c>
      <c r="L7797" t="s" s="16">
        <f>HYPERLINK("http://csr.bu.edu/ftp/asl/asllvd/demos/verify_start_end_handshape_annotations//test_auto_move//signs_mov_separ_signers/Liz_1999.mov","MOV")</f>
        <v>21</v>
      </c>
      <c r="M7797" t="s" s="10">
        <v>88</v>
      </c>
      <c r="N7797" s="17">
        <v>52</v>
      </c>
      <c r="O7797" s="18">
        <v>3127</v>
      </c>
      <c r="P7797" s="18">
        <v>3185</v>
      </c>
      <c r="Q7797" t="s" s="16">
        <f>HYPERLINK("http://secrets.rutgers.edu:8080/data/asl-ftp/asllvd/demos/verify_start_end_handshape_annotations//test_auto_move//signs_mov/1999.mov","MOV")</f>
        <v>21</v>
      </c>
      <c r="R7797" t="s" s="16">
        <f>HYPERLINK("http://secrets.rutgers.edu:8080/data/asl-ftp/asllvd/demos/verify_start_end_handshape_annotations//test_auto_move//signs_mov_separ_signers/Liz_1999.mov","MOV")</f>
        <v>21</v>
      </c>
    </row>
    <row r="7798" s="2" customFormat="1" ht="13.5" customHeight="1">
      <c r="B7798" t="s" s="8">
        <v>2767</v>
      </c>
      <c r="C7798" t="s" s="9">
        <v>14</v>
      </c>
      <c r="D7798" t="s" s="8">
        <v>14</v>
      </c>
      <c r="E7798" t="s" s="9">
        <v>14</v>
      </c>
      <c r="F7798" t="s" s="10">
        <v>14</v>
      </c>
      <c r="G7798" t="s" s="11">
        <v>14</v>
      </c>
      <c r="H7798" t="s" s="10">
        <v>14</v>
      </c>
      <c r="I7798" t="s" s="11">
        <v>14</v>
      </c>
      <c r="J7798" t="s" s="11">
        <v>14</v>
      </c>
      <c r="K7798" t="s" s="12">
        <v>14</v>
      </c>
      <c r="L7798" t="s" s="12">
        <v>14</v>
      </c>
      <c r="M7798" t="s" s="10">
        <v>14</v>
      </c>
      <c r="N7798" t="s" s="11">
        <v>14</v>
      </c>
      <c r="O7798" t="s" s="8">
        <v>14</v>
      </c>
      <c r="P7798" t="s" s="8">
        <v>14</v>
      </c>
      <c r="Q7798" t="s" s="12">
        <v>14</v>
      </c>
      <c r="R7798" t="s" s="12">
        <v>14</v>
      </c>
    </row>
    <row r="7799" s="2" customFormat="1" ht="13.5" customHeight="1">
      <c r="B7799" s="13"/>
      <c r="C7799" t="s" s="9">
        <v>30</v>
      </c>
      <c r="D7799" t="s" s="8">
        <v>2769</v>
      </c>
      <c r="E7799" t="s" s="9">
        <v>2770</v>
      </c>
      <c r="F7799" t="s" s="10">
        <v>68</v>
      </c>
      <c r="G7799" s="14"/>
      <c r="H7799" t="s" s="10">
        <v>68</v>
      </c>
      <c r="I7799" s="14"/>
      <c r="J7799" t="s" s="11">
        <v>20</v>
      </c>
      <c r="K7799" t="s" s="16">
        <f>HYPERLINK("http://csr.bu.edu/ftp/asl/asllvd/demos/verify_start_end_handshape_annotations//test_auto_move//signs_mov/16288.mov","MOV")</f>
        <v>21</v>
      </c>
      <c r="L7799" t="s" s="16">
        <f>HYPERLINK("http://csr.bu.edu/ftp/asl/asllvd/demos/verify_start_end_handshape_annotations//test_auto_move//signs_mov_separ_signers/Brady_16288.mov","MOV")</f>
        <v>21</v>
      </c>
      <c r="M7799" t="s" s="10">
        <v>40</v>
      </c>
      <c r="N7799" s="17">
        <v>47</v>
      </c>
      <c r="O7799" s="18">
        <v>4477</v>
      </c>
      <c r="P7799" s="18">
        <v>4517</v>
      </c>
      <c r="Q7799" t="s" s="16">
        <f>HYPERLINK("http://secrets.rutgers.edu:8080/data/asl-ftp/asllvd/demos/verify_start_end_handshape_annotations//test_auto_move//signs_mov/16288.mov","MOV")</f>
        <v>21</v>
      </c>
      <c r="R7799" t="s" s="16">
        <f>HYPERLINK("http://secrets.rutgers.edu:8080/data/asl-ftp/asllvd/demos/verify_start_end_handshape_annotations//test_auto_move//signs_mov_separ_signers/Brady_16288.mov","MOV")</f>
        <v>21</v>
      </c>
    </row>
    <row r="7800" s="2" customFormat="1" ht="13.5" customHeight="1">
      <c r="B7800" t="s" s="8">
        <v>2771</v>
      </c>
      <c r="C7800" t="s" s="9">
        <v>14</v>
      </c>
      <c r="D7800" t="s" s="8">
        <v>14</v>
      </c>
      <c r="E7800" t="s" s="9">
        <v>14</v>
      </c>
      <c r="F7800" t="s" s="10">
        <v>14</v>
      </c>
      <c r="G7800" t="s" s="11">
        <v>14</v>
      </c>
      <c r="H7800" t="s" s="10">
        <v>14</v>
      </c>
      <c r="I7800" t="s" s="11">
        <v>14</v>
      </c>
      <c r="J7800" t="s" s="11">
        <v>14</v>
      </c>
      <c r="K7800" t="s" s="12">
        <v>14</v>
      </c>
      <c r="L7800" t="s" s="12">
        <v>14</v>
      </c>
      <c r="M7800" t="s" s="10">
        <v>14</v>
      </c>
      <c r="N7800" t="s" s="11">
        <v>14</v>
      </c>
      <c r="O7800" t="s" s="8">
        <v>14</v>
      </c>
      <c r="P7800" t="s" s="8">
        <v>14</v>
      </c>
      <c r="Q7800" t="s" s="12">
        <v>14</v>
      </c>
      <c r="R7800" t="s" s="12">
        <v>14</v>
      </c>
    </row>
    <row r="7801" s="2" customFormat="1" ht="27.75" customHeight="1">
      <c r="B7801" s="13"/>
      <c r="C7801" t="s" s="9">
        <v>16</v>
      </c>
      <c r="D7801" t="s" s="8">
        <v>2771</v>
      </c>
      <c r="E7801" t="s" s="9">
        <v>2772</v>
      </c>
      <c r="F7801" s="19">
        <v>10</v>
      </c>
      <c r="G7801" s="17">
        <v>10</v>
      </c>
      <c r="H7801" s="19">
        <v>10</v>
      </c>
      <c r="I7801" s="17">
        <v>10</v>
      </c>
      <c r="J7801" t="s" s="11">
        <v>20</v>
      </c>
      <c r="K7801" s="15"/>
      <c r="L7801" t="s" s="16">
        <f>HYPERLINK("http://csr.bu.edu/ftp/asl/asllvd/demos/verify_start_end_handshape_annotations//test_auto_move//signs_mov_separ_signers/Liz_2006.mov","MOV")</f>
        <v>21</v>
      </c>
      <c r="M7801" t="s" s="10">
        <v>36</v>
      </c>
      <c r="N7801" s="17">
        <v>3</v>
      </c>
      <c r="O7801" s="18">
        <v>2710</v>
      </c>
      <c r="P7801" s="18">
        <v>2812</v>
      </c>
      <c r="Q7801" s="15"/>
      <c r="R7801" t="s" s="16">
        <f>HYPERLINK("http://secrets.rutgers.edu:8080/data/asl-ftp/asllvd/demos/verify_start_end_handshape_annotations//test_auto_move//signs_mov_separ_signers/Liz_2006.mov","MOV")</f>
        <v>21</v>
      </c>
    </row>
    <row r="7802" s="2" customFormat="1" ht="27.75" customHeight="1">
      <c r="B7802" s="13"/>
      <c r="C7802" t="s" s="9">
        <v>30</v>
      </c>
      <c r="D7802" t="s" s="8">
        <v>2771</v>
      </c>
      <c r="E7802" t="s" s="9">
        <v>2772</v>
      </c>
      <c r="F7802" s="19">
        <v>10</v>
      </c>
      <c r="G7802" s="17">
        <v>10</v>
      </c>
      <c r="H7802" s="19">
        <v>10</v>
      </c>
      <c r="I7802" s="17">
        <v>10</v>
      </c>
      <c r="J7802" t="s" s="11">
        <v>20</v>
      </c>
      <c r="K7802" t="s" s="16">
        <f>HYPERLINK("http://csr.bu.edu/ftp/asl/asllvd/demos/verify_start_end_handshape_annotations//test_auto_move//signs_mov/2006_16328_merged.mov","MOV")</f>
        <v>21</v>
      </c>
      <c r="L7802" t="s" s="16">
        <f>HYPERLINK("http://csr.bu.edu/ftp/asl/asllvd/demos/verify_start_end_handshape_annotations//test_auto_move//signs_mov_separ_signers/Brady_2006.mov","MOV")</f>
        <v>21</v>
      </c>
      <c r="M7802" t="s" s="10">
        <v>39</v>
      </c>
      <c r="N7802" s="17">
        <v>6</v>
      </c>
      <c r="O7802" s="18">
        <v>4420</v>
      </c>
      <c r="P7802" s="18">
        <v>4467</v>
      </c>
      <c r="Q7802" t="s" s="16">
        <f>HYPERLINK("http://secrets.rutgers.edu:8080/data/asl-ftp/asllvd/demos/verify_start_end_handshape_annotations//test_auto_move//signs_mov/2006_16328_merged.mov","MOV")</f>
        <v>21</v>
      </c>
      <c r="R7802" t="s" s="16">
        <f>HYPERLINK("http://secrets.rutgers.edu:8080/data/asl-ftp/asllvd/demos/verify_start_end_handshape_annotations//test_auto_move//signs_mov_separ_signers/Brady_2006.mov","MOV")</f>
        <v>21</v>
      </c>
    </row>
    <row r="7803" s="2" customFormat="1" ht="27.75" customHeight="1">
      <c r="B7803" s="13"/>
      <c r="C7803" t="s" s="9">
        <v>30</v>
      </c>
      <c r="D7803" t="s" s="8">
        <v>2771</v>
      </c>
      <c r="E7803" t="s" s="9">
        <v>2772</v>
      </c>
      <c r="F7803" s="19">
        <v>10</v>
      </c>
      <c r="G7803" s="17">
        <v>10</v>
      </c>
      <c r="H7803" s="19">
        <v>10</v>
      </c>
      <c r="I7803" s="17">
        <v>10</v>
      </c>
      <c r="J7803" t="s" s="11">
        <v>20</v>
      </c>
      <c r="K7803" s="15"/>
      <c r="L7803" t="s" s="16">
        <f>HYPERLINK("http://csr.bu.edu/ftp/asl/asllvd/demos/verify_start_end_handshape_annotations//test_auto_move//signs_mov_separ_signers/Brady_16328.mov","MOV")</f>
        <v>21</v>
      </c>
      <c r="M7803" t="s" s="10">
        <v>40</v>
      </c>
      <c r="N7803" s="17">
        <v>48</v>
      </c>
      <c r="O7803" s="18">
        <v>950</v>
      </c>
      <c r="P7803" s="18">
        <v>1000</v>
      </c>
      <c r="Q7803" s="15"/>
      <c r="R7803" t="s" s="16">
        <f>HYPERLINK("http://secrets.rutgers.edu:8080/data/asl-ftp/asllvd/demos/verify_start_end_handshape_annotations//test_auto_move//signs_mov_separ_signers/Brady_16328.mov","MOV")</f>
        <v>21</v>
      </c>
    </row>
    <row r="7804" s="2" customFormat="1" ht="13.5" customHeight="1">
      <c r="B7804" t="s" s="8">
        <v>2773</v>
      </c>
      <c r="C7804" t="s" s="9">
        <v>14</v>
      </c>
      <c r="D7804" t="s" s="8">
        <v>14</v>
      </c>
      <c r="E7804" t="s" s="9">
        <v>14</v>
      </c>
      <c r="F7804" t="s" s="10">
        <v>14</v>
      </c>
      <c r="G7804" t="s" s="11">
        <v>14</v>
      </c>
      <c r="H7804" t="s" s="10">
        <v>14</v>
      </c>
      <c r="I7804" t="s" s="11">
        <v>14</v>
      </c>
      <c r="J7804" t="s" s="11">
        <v>14</v>
      </c>
      <c r="K7804" t="s" s="12">
        <v>14</v>
      </c>
      <c r="L7804" t="s" s="12">
        <v>14</v>
      </c>
      <c r="M7804" t="s" s="10">
        <v>14</v>
      </c>
      <c r="N7804" t="s" s="11">
        <v>14</v>
      </c>
      <c r="O7804" t="s" s="8">
        <v>14</v>
      </c>
      <c r="P7804" t="s" s="8">
        <v>14</v>
      </c>
      <c r="Q7804" t="s" s="12">
        <v>14</v>
      </c>
      <c r="R7804" t="s" s="12">
        <v>14</v>
      </c>
    </row>
    <row r="7805" s="2" customFormat="1" ht="13.5" customHeight="1">
      <c r="B7805" s="13"/>
      <c r="C7805" t="s" s="9">
        <v>16</v>
      </c>
      <c r="D7805" t="s" s="8">
        <v>2773</v>
      </c>
      <c r="E7805" t="s" s="9">
        <v>2773</v>
      </c>
      <c r="F7805" t="s" s="10">
        <v>337</v>
      </c>
      <c r="G7805" s="14"/>
      <c r="H7805" t="s" s="10">
        <v>337</v>
      </c>
      <c r="I7805" s="14"/>
      <c r="J7805" t="s" s="11">
        <v>20</v>
      </c>
      <c r="K7805" t="s" s="16">
        <f>HYPERLINK("http://csr.bu.edu/ftp/asl/asllvd/demos/verify_start_end_handshape_annotations//test_auto_move//signs_mov/2008.mov","MOV")</f>
        <v>21</v>
      </c>
      <c r="L7805" t="s" s="16">
        <f>HYPERLINK("http://csr.bu.edu/ftp/asl/asllvd/demos/verify_start_end_handshape_annotations//test_auto_move//signs_mov_separ_signers/Liz_2008.mov","MOV")</f>
        <v>21</v>
      </c>
      <c r="M7805" t="s" s="10">
        <v>36</v>
      </c>
      <c r="N7805" s="17">
        <v>3</v>
      </c>
      <c r="O7805" s="18">
        <v>3345</v>
      </c>
      <c r="P7805" s="18">
        <v>3400</v>
      </c>
      <c r="Q7805" t="s" s="16">
        <f>HYPERLINK("http://secrets.rutgers.edu:8080/data/asl-ftp/asllvd/demos/verify_start_end_handshape_annotations//test_auto_move//signs_mov/2008.mov","MOV")</f>
        <v>21</v>
      </c>
      <c r="R7805" t="s" s="16">
        <f>HYPERLINK("http://secrets.rutgers.edu:8080/data/asl-ftp/asllvd/demos/verify_start_end_handshape_annotations//test_auto_move//signs_mov_separ_signers/Liz_2008.mov","MOV")</f>
        <v>21</v>
      </c>
    </row>
    <row r="7806" s="2" customFormat="1" ht="13.5" customHeight="1">
      <c r="B7806" s="13"/>
      <c r="C7806" t="s" s="9">
        <v>30</v>
      </c>
      <c r="D7806" t="s" s="8">
        <v>2773</v>
      </c>
      <c r="E7806" t="s" s="9">
        <v>2773</v>
      </c>
      <c r="F7806" t="s" s="10">
        <v>337</v>
      </c>
      <c r="G7806" s="14"/>
      <c r="H7806" t="s" s="10">
        <v>337</v>
      </c>
      <c r="I7806" s="14"/>
      <c r="J7806" t="s" s="11">
        <v>20</v>
      </c>
      <c r="K7806" s="15"/>
      <c r="L7806" t="s" s="16">
        <f>HYPERLINK("http://csr.bu.edu/ftp/asl/asllvd/demos/verify_start_end_handshape_annotations//test_auto_move//signs_mov_separ_signers/Brady_2008.mov","MOV")</f>
        <v>21</v>
      </c>
      <c r="M7806" t="s" s="10">
        <v>40</v>
      </c>
      <c r="N7806" s="17">
        <v>48</v>
      </c>
      <c r="O7806" s="18">
        <v>1452</v>
      </c>
      <c r="P7806" s="18">
        <v>1500</v>
      </c>
      <c r="Q7806" s="15"/>
      <c r="R7806" t="s" s="16">
        <f>HYPERLINK("http://secrets.rutgers.edu:8080/data/asl-ftp/asllvd/demos/verify_start_end_handshape_annotations//test_auto_move//signs_mov_separ_signers/Brady_2008.mov","MOV")</f>
        <v>21</v>
      </c>
    </row>
    <row r="7807" s="2" customFormat="1" ht="13.5" customHeight="1">
      <c r="B7807" t="s" s="8">
        <v>2774</v>
      </c>
      <c r="C7807" t="s" s="9">
        <v>14</v>
      </c>
      <c r="D7807" t="s" s="8">
        <v>14</v>
      </c>
      <c r="E7807" t="s" s="9">
        <v>14</v>
      </c>
      <c r="F7807" t="s" s="10">
        <v>14</v>
      </c>
      <c r="G7807" t="s" s="11">
        <v>14</v>
      </c>
      <c r="H7807" t="s" s="10">
        <v>14</v>
      </c>
      <c r="I7807" t="s" s="11">
        <v>14</v>
      </c>
      <c r="J7807" t="s" s="11">
        <v>14</v>
      </c>
      <c r="K7807" t="s" s="12">
        <v>14</v>
      </c>
      <c r="L7807" t="s" s="12">
        <v>14</v>
      </c>
      <c r="M7807" t="s" s="10">
        <v>14</v>
      </c>
      <c r="N7807" t="s" s="11">
        <v>14</v>
      </c>
      <c r="O7807" t="s" s="8">
        <v>14</v>
      </c>
      <c r="P7807" t="s" s="8">
        <v>14</v>
      </c>
      <c r="Q7807" t="s" s="12">
        <v>14</v>
      </c>
      <c r="R7807" t="s" s="12">
        <v>14</v>
      </c>
    </row>
    <row r="7808" s="2" customFormat="1" ht="13.5" customHeight="1">
      <c r="B7808" s="13"/>
      <c r="C7808" t="s" s="9">
        <v>16</v>
      </c>
      <c r="D7808" t="s" s="8">
        <v>2774</v>
      </c>
      <c r="E7808" t="s" s="9">
        <v>2775</v>
      </c>
      <c r="F7808" s="19">
        <v>1</v>
      </c>
      <c r="G7808" s="17">
        <v>1</v>
      </c>
      <c r="H7808" s="19">
        <v>1</v>
      </c>
      <c r="I7808" s="17">
        <v>1</v>
      </c>
      <c r="J7808" t="s" s="11">
        <v>20</v>
      </c>
      <c r="K7808" s="15"/>
      <c r="L7808" t="s" s="16">
        <f>HYPERLINK("http://csr.bu.edu/ftp/asl/asllvd/demos/verify_start_end_handshape_annotations//test_auto_move//signs_mov_separ_signers/Liz_2010.mov","MOV")</f>
        <v>21</v>
      </c>
      <c r="M7808" t="s" s="10">
        <v>36</v>
      </c>
      <c r="N7808" s="17">
        <v>4</v>
      </c>
      <c r="O7808" s="18">
        <v>255</v>
      </c>
      <c r="P7808" s="18">
        <v>310</v>
      </c>
      <c r="Q7808" s="15"/>
      <c r="R7808" t="s" s="16">
        <f>HYPERLINK("http://secrets.rutgers.edu:8080/data/asl-ftp/asllvd/demos/verify_start_end_handshape_annotations//test_auto_move//signs_mov_separ_signers/Liz_2010.mov","MOV")</f>
        <v>21</v>
      </c>
    </row>
    <row r="7809" s="2" customFormat="1" ht="13.5" customHeight="1">
      <c r="B7809" s="13"/>
      <c r="C7809" t="s" s="9">
        <v>23</v>
      </c>
      <c r="D7809" t="s" s="8">
        <v>2774</v>
      </c>
      <c r="E7809" t="s" s="9">
        <v>2775</v>
      </c>
      <c r="F7809" s="19">
        <v>1</v>
      </c>
      <c r="G7809" s="17">
        <v>1</v>
      </c>
      <c r="H7809" s="19">
        <v>1</v>
      </c>
      <c r="I7809" s="17">
        <v>1</v>
      </c>
      <c r="J7809" t="s" s="11">
        <v>20</v>
      </c>
      <c r="K7809" t="s" s="16">
        <f>HYPERLINK("http://csr.bu.edu/ftp/asl/asllvd/demos/verify_start_end_handshape_annotations//test_auto_move//signs_mov/2010.mov","MOV")</f>
        <v>21</v>
      </c>
      <c r="L7809" t="s" s="16">
        <f>HYPERLINK("http://csr.bu.edu/ftp/asl/asllvd/demos/verify_start_end_handshape_annotations//test_auto_move//signs_mov_separ_signers/Tyler_2010.mov","MOV")</f>
        <v>21</v>
      </c>
      <c r="M7809" t="s" s="10">
        <v>92</v>
      </c>
      <c r="N7809" s="17">
        <v>20</v>
      </c>
      <c r="O7809" s="18">
        <v>3000</v>
      </c>
      <c r="P7809" s="18">
        <v>3045</v>
      </c>
      <c r="Q7809" t="s" s="16">
        <f>HYPERLINK("http://secrets.rutgers.edu:8080/data/asl-ftp/asllvd/demos/verify_start_end_handshape_annotations//test_auto_move//signs_mov/2010.mov","MOV")</f>
        <v>21</v>
      </c>
      <c r="R7809" t="s" s="16">
        <f>HYPERLINK("http://secrets.rutgers.edu:8080/data/asl-ftp/asllvd/demos/verify_start_end_handshape_annotations//test_auto_move//signs_mov_separ_signers/Tyler_2010.mov","MOV")</f>
        <v>21</v>
      </c>
    </row>
    <row r="7810" s="2" customFormat="1" ht="13.5" customHeight="1">
      <c r="B7810" s="13"/>
      <c r="C7810" t="s" s="9">
        <v>30</v>
      </c>
      <c r="D7810" t="s" s="8">
        <v>2774</v>
      </c>
      <c r="E7810" t="s" s="9">
        <v>2775</v>
      </c>
      <c r="F7810" s="19">
        <v>1</v>
      </c>
      <c r="G7810" s="17">
        <v>1</v>
      </c>
      <c r="H7810" s="19">
        <v>1</v>
      </c>
      <c r="I7810" s="17">
        <v>1</v>
      </c>
      <c r="J7810" t="s" s="11">
        <v>20</v>
      </c>
      <c r="K7810" s="15"/>
      <c r="L7810" t="s" s="16">
        <f>HYPERLINK("http://csr.bu.edu/ftp/asl/asllvd/demos/verify_start_end_handshape_annotations//test_auto_move//signs_mov_separ_signers/Brady_2010.mov","MOV")</f>
        <v>21</v>
      </c>
      <c r="M7810" t="s" s="10">
        <v>40</v>
      </c>
      <c r="N7810" s="17">
        <v>48</v>
      </c>
      <c r="O7810" s="18">
        <v>1902</v>
      </c>
      <c r="P7810" s="18">
        <v>1959</v>
      </c>
      <c r="Q7810" s="15"/>
      <c r="R7810" t="s" s="16">
        <f>HYPERLINK("http://secrets.rutgers.edu:8080/data/asl-ftp/asllvd/demos/verify_start_end_handshape_annotations//test_auto_move//signs_mov_separ_signers/Brady_2010.mov","MOV")</f>
        <v>21</v>
      </c>
    </row>
    <row r="7811" s="2" customFormat="1" ht="13.5" customHeight="1">
      <c r="B7811" t="s" s="8">
        <v>2776</v>
      </c>
      <c r="C7811" t="s" s="9">
        <v>14</v>
      </c>
      <c r="D7811" t="s" s="8">
        <v>14</v>
      </c>
      <c r="E7811" t="s" s="9">
        <v>14</v>
      </c>
      <c r="F7811" t="s" s="10">
        <v>14</v>
      </c>
      <c r="G7811" t="s" s="11">
        <v>14</v>
      </c>
      <c r="H7811" t="s" s="10">
        <v>14</v>
      </c>
      <c r="I7811" t="s" s="11">
        <v>14</v>
      </c>
      <c r="J7811" t="s" s="11">
        <v>14</v>
      </c>
      <c r="K7811" t="s" s="12">
        <v>14</v>
      </c>
      <c r="L7811" t="s" s="12">
        <v>14</v>
      </c>
      <c r="M7811" t="s" s="10">
        <v>14</v>
      </c>
      <c r="N7811" t="s" s="11">
        <v>14</v>
      </c>
      <c r="O7811" t="s" s="8">
        <v>14</v>
      </c>
      <c r="P7811" t="s" s="8">
        <v>14</v>
      </c>
      <c r="Q7811" t="s" s="12">
        <v>14</v>
      </c>
      <c r="R7811" t="s" s="12">
        <v>14</v>
      </c>
    </row>
    <row r="7812" s="2" customFormat="1" ht="13.5" customHeight="1">
      <c r="B7812" s="13"/>
      <c r="C7812" t="s" s="9">
        <v>16</v>
      </c>
      <c r="D7812" t="s" s="8">
        <v>2776</v>
      </c>
      <c r="E7812" t="s" s="9">
        <v>2776</v>
      </c>
      <c r="F7812" t="s" s="10">
        <v>341</v>
      </c>
      <c r="G7812" t="s" s="11">
        <v>158</v>
      </c>
      <c r="H7812" t="s" s="10">
        <v>341</v>
      </c>
      <c r="I7812" t="s" s="11">
        <v>158</v>
      </c>
      <c r="J7812" t="s" s="11">
        <v>20</v>
      </c>
      <c r="K7812" s="15"/>
      <c r="L7812" t="s" s="16">
        <f>HYPERLINK("http://csr.bu.edu/ftp/asl/asllvd/demos/verify_start_end_handshape_annotations//test_auto_move//signs_mov_separ_signers/Liz_2016.mov","MOV")</f>
        <v>21</v>
      </c>
      <c r="M7812" t="s" s="10">
        <v>36</v>
      </c>
      <c r="N7812" s="17">
        <v>4</v>
      </c>
      <c r="O7812" s="18">
        <v>1806</v>
      </c>
      <c r="P7812" s="18">
        <v>1836</v>
      </c>
      <c r="Q7812" s="15"/>
      <c r="R7812" t="s" s="16">
        <f>HYPERLINK("http://secrets.rutgers.edu:8080/data/asl-ftp/asllvd/demos/verify_start_end_handshape_annotations//test_auto_move//signs_mov_separ_signers/Liz_2016.mov","MOV")</f>
        <v>21</v>
      </c>
    </row>
    <row r="7813" s="2" customFormat="1" ht="13.5" customHeight="1">
      <c r="B7813" s="13"/>
      <c r="C7813" t="s" s="9">
        <v>30</v>
      </c>
      <c r="D7813" t="s" s="8">
        <v>2776</v>
      </c>
      <c r="E7813" t="s" s="9">
        <v>2776</v>
      </c>
      <c r="F7813" t="s" s="10">
        <v>240</v>
      </c>
      <c r="G7813" t="s" s="11">
        <v>158</v>
      </c>
      <c r="H7813" t="s" s="10">
        <v>240</v>
      </c>
      <c r="I7813" t="s" s="11">
        <v>158</v>
      </c>
      <c r="J7813" t="s" s="11">
        <v>20</v>
      </c>
      <c r="K7813" t="s" s="16">
        <f>HYPERLINK("http://csr.bu.edu/ftp/asl/asllvd/demos/verify_start_end_handshape_annotations//test_auto_move//signs_mov/2016.mov","MOV")</f>
        <v>21</v>
      </c>
      <c r="L7813" t="s" s="16">
        <f>HYPERLINK("http://csr.bu.edu/ftp/asl/asllvd/demos/verify_start_end_handshape_annotations//test_auto_move//signs_mov_separ_signers/Brady_2016.mov","MOV")</f>
        <v>21</v>
      </c>
      <c r="M7813" t="s" s="10">
        <v>40</v>
      </c>
      <c r="N7813" s="17">
        <v>49</v>
      </c>
      <c r="O7813" s="18">
        <v>916</v>
      </c>
      <c r="P7813" s="18">
        <v>925</v>
      </c>
      <c r="Q7813" t="s" s="16">
        <f>HYPERLINK("http://secrets.rutgers.edu:8080/data/asl-ftp/asllvd/demos/verify_start_end_handshape_annotations//test_auto_move//signs_mov/2016.mov","MOV")</f>
        <v>21</v>
      </c>
      <c r="R7813" t="s" s="16">
        <f>HYPERLINK("http://secrets.rutgers.edu:8080/data/asl-ftp/asllvd/demos/verify_start_end_handshape_annotations//test_auto_move//signs_mov_separ_signers/Brady_2016.mov","MOV")</f>
        <v>21</v>
      </c>
    </row>
    <row r="7814" s="2" customFormat="1" ht="13.5" customHeight="1">
      <c r="B7814" s="13"/>
      <c r="C7814" t="s" s="9">
        <v>41</v>
      </c>
      <c r="D7814" t="s" s="8">
        <v>2776</v>
      </c>
      <c r="E7814" t="s" s="9">
        <v>2776</v>
      </c>
      <c r="F7814" t="s" s="10">
        <v>240</v>
      </c>
      <c r="G7814" t="s" s="11">
        <v>68</v>
      </c>
      <c r="H7814" t="s" s="10">
        <v>240</v>
      </c>
      <c r="I7814" t="s" s="11">
        <v>68</v>
      </c>
      <c r="J7814" t="s" s="11">
        <v>20</v>
      </c>
      <c r="K7814" s="15"/>
      <c r="L7814" t="s" s="16">
        <f>HYPERLINK("http://csr.bu.edu/ftp/asl/asllvd/demos/verify_start_end_handshape_annotations//test_auto_move//signs_mov_separ_signers/Lana_2016.mov","MOV")</f>
        <v>21</v>
      </c>
      <c r="M7814" t="s" s="10">
        <v>42</v>
      </c>
      <c r="N7814" s="17">
        <v>22</v>
      </c>
      <c r="O7814" s="18">
        <v>1104</v>
      </c>
      <c r="P7814" s="18">
        <v>1120</v>
      </c>
      <c r="Q7814" s="15"/>
      <c r="R7814" t="s" s="16">
        <f>HYPERLINK("http://secrets.rutgers.edu:8080/data/asl-ftp/asllvd/demos/verify_start_end_handshape_annotations//test_auto_move//signs_mov_separ_signers/Lana_2016.mov","MOV")</f>
        <v>21</v>
      </c>
    </row>
    <row r="7815" s="2" customFormat="1" ht="13.5" customHeight="1">
      <c r="B7815" s="13"/>
      <c r="C7815" t="s" s="9">
        <v>43</v>
      </c>
      <c r="D7815" t="s" s="8">
        <v>2776</v>
      </c>
      <c r="E7815" t="s" s="9">
        <v>2776</v>
      </c>
      <c r="F7815" t="s" s="10">
        <v>240</v>
      </c>
      <c r="G7815" t="s" s="11">
        <v>68</v>
      </c>
      <c r="H7815" t="s" s="10">
        <v>240</v>
      </c>
      <c r="I7815" t="s" s="11">
        <v>68</v>
      </c>
      <c r="J7815" t="s" s="11">
        <v>20</v>
      </c>
      <c r="K7815" s="15"/>
      <c r="L7815" t="s" s="16">
        <f>HYPERLINK("http://csr.bu.edu/ftp/asl/asllvd/demos/verify_start_end_handshape_annotations//test_auto_move//signs_mov_separ_signers/Dana_2016.mov","MOV")</f>
        <v>21</v>
      </c>
      <c r="M7815" t="s" s="10">
        <v>44</v>
      </c>
      <c r="N7815" s="17">
        <v>25</v>
      </c>
      <c r="O7815" s="18">
        <v>1027</v>
      </c>
      <c r="P7815" s="18">
        <v>1054</v>
      </c>
      <c r="Q7815" s="15"/>
      <c r="R7815" t="s" s="16">
        <f>HYPERLINK("http://secrets.rutgers.edu:8080/data/asl-ftp/asllvd/demos/verify_start_end_handshape_annotations//test_auto_move//signs_mov_separ_signers/Dana_2016.mov","MOV")</f>
        <v>21</v>
      </c>
    </row>
    <row r="7816" s="2" customFormat="1" ht="13.5" customHeight="1">
      <c r="B7816" t="s" s="8">
        <v>2777</v>
      </c>
      <c r="C7816" t="s" s="9">
        <v>14</v>
      </c>
      <c r="D7816" t="s" s="8">
        <v>14</v>
      </c>
      <c r="E7816" t="s" s="9">
        <v>14</v>
      </c>
      <c r="F7816" t="s" s="10">
        <v>14</v>
      </c>
      <c r="G7816" t="s" s="11">
        <v>14</v>
      </c>
      <c r="H7816" t="s" s="10">
        <v>14</v>
      </c>
      <c r="I7816" t="s" s="11">
        <v>14</v>
      </c>
      <c r="J7816" t="s" s="11">
        <v>14</v>
      </c>
      <c r="K7816" t="s" s="12">
        <v>14</v>
      </c>
      <c r="L7816" t="s" s="12">
        <v>14</v>
      </c>
      <c r="M7816" t="s" s="10">
        <v>14</v>
      </c>
      <c r="N7816" t="s" s="11">
        <v>14</v>
      </c>
      <c r="O7816" t="s" s="8">
        <v>14</v>
      </c>
      <c r="P7816" t="s" s="8">
        <v>14</v>
      </c>
      <c r="Q7816" t="s" s="12">
        <v>14</v>
      </c>
      <c r="R7816" t="s" s="12">
        <v>14</v>
      </c>
    </row>
    <row r="7817" s="2" customFormat="1" ht="13.5" customHeight="1">
      <c r="B7817" s="13"/>
      <c r="C7817" t="s" s="9">
        <v>16</v>
      </c>
      <c r="D7817" t="s" s="8">
        <v>2777</v>
      </c>
      <c r="E7817" t="s" s="9">
        <v>2777</v>
      </c>
      <c r="F7817" t="s" s="10">
        <v>229</v>
      </c>
      <c r="G7817" t="s" s="11">
        <v>229</v>
      </c>
      <c r="H7817" t="s" s="10">
        <v>230</v>
      </c>
      <c r="I7817" t="s" s="11">
        <v>230</v>
      </c>
      <c r="J7817" t="s" s="11">
        <v>20</v>
      </c>
      <c r="K7817" t="s" s="16">
        <f>HYPERLINK("http://csr.bu.edu/ftp/asl/asllvd/demos/verify_start_end_handshape_annotations//test_auto_move//signs_mov/2017.mov","MOV")</f>
        <v>21</v>
      </c>
      <c r="L7817" t="s" s="16">
        <f>HYPERLINK("http://csr.bu.edu/ftp/asl/asllvd/demos/verify_start_end_handshape_annotations//test_auto_move//signs_mov_separ_signers/Liz_2017.mov","MOV")</f>
        <v>21</v>
      </c>
      <c r="M7817" t="s" s="10">
        <v>36</v>
      </c>
      <c r="N7817" s="17">
        <v>4</v>
      </c>
      <c r="O7817" s="18">
        <v>2033</v>
      </c>
      <c r="P7817" s="18">
        <v>2062</v>
      </c>
      <c r="Q7817" t="s" s="16">
        <f>HYPERLINK("http://secrets.rutgers.edu:8080/data/asl-ftp/asllvd/demos/verify_start_end_handshape_annotations//test_auto_move//signs_mov/2017.mov","MOV")</f>
        <v>21</v>
      </c>
      <c r="R7817" t="s" s="16">
        <f>HYPERLINK("http://secrets.rutgers.edu:8080/data/asl-ftp/asllvd/demos/verify_start_end_handshape_annotations//test_auto_move//signs_mov_separ_signers/Liz_2017.mov","MOV")</f>
        <v>21</v>
      </c>
    </row>
    <row r="7818" s="2" customFormat="1" ht="13.5" customHeight="1">
      <c r="B7818" s="13"/>
      <c r="C7818" t="s" s="9">
        <v>30</v>
      </c>
      <c r="D7818" t="s" s="8">
        <v>2777</v>
      </c>
      <c r="E7818" t="s" s="9">
        <v>2777</v>
      </c>
      <c r="F7818" t="s" s="10">
        <v>229</v>
      </c>
      <c r="G7818" t="s" s="11">
        <v>229</v>
      </c>
      <c r="H7818" t="s" s="10">
        <v>230</v>
      </c>
      <c r="I7818" t="s" s="11">
        <v>230</v>
      </c>
      <c r="J7818" t="s" s="11">
        <v>20</v>
      </c>
      <c r="K7818" s="15"/>
      <c r="L7818" t="s" s="16">
        <f>HYPERLINK("http://csr.bu.edu/ftp/asl/asllvd/demos/verify_start_end_handshape_annotations//test_auto_move//signs_mov_separ_signers/Brady_2017.mov","MOV")</f>
        <v>21</v>
      </c>
      <c r="M7818" t="s" s="10">
        <v>40</v>
      </c>
      <c r="N7818" s="17">
        <v>49</v>
      </c>
      <c r="O7818" s="18">
        <v>1159</v>
      </c>
      <c r="P7818" s="18">
        <v>1170</v>
      </c>
      <c r="Q7818" s="15"/>
      <c r="R7818" t="s" s="16">
        <f>HYPERLINK("http://secrets.rutgers.edu:8080/data/asl-ftp/asllvd/demos/verify_start_end_handshape_annotations//test_auto_move//signs_mov_separ_signers/Brady_2017.mov","MOV")</f>
        <v>21</v>
      </c>
    </row>
    <row r="7819" s="2" customFormat="1" ht="13.5" customHeight="1">
      <c r="B7819" t="s" s="8">
        <v>251</v>
      </c>
      <c r="C7819" t="s" s="9">
        <v>14</v>
      </c>
      <c r="D7819" t="s" s="8">
        <v>14</v>
      </c>
      <c r="E7819" t="s" s="9">
        <v>14</v>
      </c>
      <c r="F7819" t="s" s="10">
        <v>14</v>
      </c>
      <c r="G7819" t="s" s="11">
        <v>14</v>
      </c>
      <c r="H7819" t="s" s="10">
        <v>14</v>
      </c>
      <c r="I7819" t="s" s="11">
        <v>14</v>
      </c>
      <c r="J7819" t="s" s="11">
        <v>14</v>
      </c>
      <c r="K7819" t="s" s="12">
        <v>14</v>
      </c>
      <c r="L7819" t="s" s="12">
        <v>14</v>
      </c>
      <c r="M7819" t="s" s="10">
        <v>14</v>
      </c>
      <c r="N7819" t="s" s="11">
        <v>14</v>
      </c>
      <c r="O7819" t="s" s="8">
        <v>14</v>
      </c>
      <c r="P7819" t="s" s="8">
        <v>14</v>
      </c>
      <c r="Q7819" t="s" s="12">
        <v>14</v>
      </c>
      <c r="R7819" t="s" s="12">
        <v>14</v>
      </c>
    </row>
    <row r="7820" s="2" customFormat="1" ht="13.5" customHeight="1">
      <c r="B7820" s="13"/>
      <c r="C7820" t="s" s="9">
        <v>16</v>
      </c>
      <c r="D7820" t="s" s="8">
        <v>251</v>
      </c>
      <c r="E7820" t="s" s="9">
        <v>251</v>
      </c>
      <c r="F7820" t="s" s="10">
        <v>251</v>
      </c>
      <c r="G7820" s="14"/>
      <c r="H7820" t="s" s="10">
        <v>251</v>
      </c>
      <c r="I7820" s="14"/>
      <c r="J7820" t="s" s="11">
        <v>20</v>
      </c>
      <c r="K7820" t="s" s="16">
        <f>HYPERLINK("http://csr.bu.edu/ftp/asl/asllvd/demos/verify_start_end_handshape_annotations//test_auto_move//signs_mov/2018.mov","MOV")</f>
        <v>21</v>
      </c>
      <c r="L7820" t="s" s="16">
        <f>HYPERLINK("http://csr.bu.edu/ftp/asl/asllvd/demos/verify_start_end_handshape_annotations//test_auto_move//signs_mov_separ_signers/Liz_2018.mov","MOV")</f>
        <v>21</v>
      </c>
      <c r="M7820" t="s" s="10">
        <v>36</v>
      </c>
      <c r="N7820" s="17">
        <v>4</v>
      </c>
      <c r="O7820" s="18">
        <v>2255</v>
      </c>
      <c r="P7820" s="18">
        <v>2320</v>
      </c>
      <c r="Q7820" t="s" s="16">
        <f>HYPERLINK("http://secrets.rutgers.edu:8080/data/asl-ftp/asllvd/demos/verify_start_end_handshape_annotations//test_auto_move//signs_mov/2018.mov","MOV")</f>
        <v>21</v>
      </c>
      <c r="R7820" t="s" s="16">
        <f>HYPERLINK("http://secrets.rutgers.edu:8080/data/asl-ftp/asllvd/demos/verify_start_end_handshape_annotations//test_auto_move//signs_mov_separ_signers/Liz_2018.mov","MOV")</f>
        <v>21</v>
      </c>
    </row>
    <row r="7821" s="2" customFormat="1" ht="13.5" customHeight="1">
      <c r="B7821" s="13"/>
      <c r="C7821" t="s" s="9">
        <v>30</v>
      </c>
      <c r="D7821" t="s" s="8">
        <v>251</v>
      </c>
      <c r="E7821" t="s" s="9">
        <v>251</v>
      </c>
      <c r="F7821" t="s" s="10">
        <v>251</v>
      </c>
      <c r="G7821" s="14"/>
      <c r="H7821" t="s" s="10">
        <v>251</v>
      </c>
      <c r="I7821" s="14"/>
      <c r="J7821" t="s" s="11">
        <v>20</v>
      </c>
      <c r="K7821" s="15"/>
      <c r="L7821" t="s" s="16">
        <f>HYPERLINK("http://csr.bu.edu/ftp/asl/asllvd/demos/verify_start_end_handshape_annotations//test_auto_move//signs_mov_separ_signers/Brady_2018.mov","MOV")</f>
        <v>21</v>
      </c>
      <c r="M7821" t="s" s="10">
        <v>40</v>
      </c>
      <c r="N7821" s="17">
        <v>49</v>
      </c>
      <c r="O7821" s="18">
        <v>1400</v>
      </c>
      <c r="P7821" s="18">
        <v>1452</v>
      </c>
      <c r="Q7821" s="15"/>
      <c r="R7821" t="s" s="16">
        <f>HYPERLINK("http://secrets.rutgers.edu:8080/data/asl-ftp/asllvd/demos/verify_start_end_handshape_annotations//test_auto_move//signs_mov_separ_signers/Brady_2018.mov","MOV")</f>
        <v>21</v>
      </c>
    </row>
    <row r="7822" s="2" customFormat="1" ht="13.5" customHeight="1">
      <c r="B7822" t="s" s="8">
        <v>2778</v>
      </c>
      <c r="C7822" t="s" s="9">
        <v>14</v>
      </c>
      <c r="D7822" t="s" s="8">
        <v>14</v>
      </c>
      <c r="E7822" t="s" s="9">
        <v>14</v>
      </c>
      <c r="F7822" t="s" s="10">
        <v>14</v>
      </c>
      <c r="G7822" t="s" s="11">
        <v>14</v>
      </c>
      <c r="H7822" t="s" s="10">
        <v>14</v>
      </c>
      <c r="I7822" t="s" s="11">
        <v>14</v>
      </c>
      <c r="J7822" t="s" s="11">
        <v>14</v>
      </c>
      <c r="K7822" t="s" s="12">
        <v>14</v>
      </c>
      <c r="L7822" t="s" s="12">
        <v>14</v>
      </c>
      <c r="M7822" t="s" s="10">
        <v>14</v>
      </c>
      <c r="N7822" t="s" s="11">
        <v>14</v>
      </c>
      <c r="O7822" t="s" s="8">
        <v>14</v>
      </c>
      <c r="P7822" t="s" s="8">
        <v>14</v>
      </c>
      <c r="Q7822" t="s" s="12">
        <v>14</v>
      </c>
      <c r="R7822" t="s" s="12">
        <v>14</v>
      </c>
    </row>
    <row r="7823" s="2" customFormat="1" ht="13.5" customHeight="1">
      <c r="B7823" s="13"/>
      <c r="C7823" t="s" s="9">
        <v>41</v>
      </c>
      <c r="D7823" t="s" s="8">
        <v>2778</v>
      </c>
      <c r="E7823" t="s" s="9">
        <v>2779</v>
      </c>
      <c r="F7823" t="s" s="10">
        <v>185</v>
      </c>
      <c r="G7823" t="s" s="11">
        <v>185</v>
      </c>
      <c r="H7823" t="s" s="10">
        <v>185</v>
      </c>
      <c r="I7823" t="s" s="11">
        <v>185</v>
      </c>
      <c r="J7823" t="s" s="11">
        <v>20</v>
      </c>
      <c r="K7823" t="s" s="16">
        <f>HYPERLINK("http://csr.bu.edu/ftp/asl/asllvd/demos/verify_start_end_handshape_annotations//test_auto_move//signs_mov/2019.mov","MOV")</f>
        <v>21</v>
      </c>
      <c r="L7823" t="s" s="16">
        <f>HYPERLINK("http://csr.bu.edu/ftp/asl/asllvd/demos/verify_start_end_handshape_annotations//test_auto_move//signs_mov_separ_signers/Lana_2019.mov","MOV")</f>
        <v>21</v>
      </c>
      <c r="M7823" t="s" s="10">
        <v>42</v>
      </c>
      <c r="N7823" s="17">
        <v>22</v>
      </c>
      <c r="O7823" s="18">
        <v>1350</v>
      </c>
      <c r="P7823" s="18">
        <v>1376</v>
      </c>
      <c r="Q7823" t="s" s="16">
        <f>HYPERLINK("http://secrets.rutgers.edu:8080/data/asl-ftp/asllvd/demos/verify_start_end_handshape_annotations//test_auto_move//signs_mov/2019.mov","MOV")</f>
        <v>21</v>
      </c>
      <c r="R7823" t="s" s="16">
        <f>HYPERLINK("http://secrets.rutgers.edu:8080/data/asl-ftp/asllvd/demos/verify_start_end_handshape_annotations//test_auto_move//signs_mov_separ_signers/Lana_2019.mov","MOV")</f>
        <v>21</v>
      </c>
    </row>
    <row r="7824" s="2" customFormat="1" ht="13.5" customHeight="1">
      <c r="B7824" s="13"/>
      <c r="C7824" t="s" s="9">
        <v>43</v>
      </c>
      <c r="D7824" t="s" s="8">
        <v>2778</v>
      </c>
      <c r="E7824" t="s" s="9">
        <v>2778</v>
      </c>
      <c r="F7824" t="s" s="10">
        <v>185</v>
      </c>
      <c r="G7824" t="s" s="11">
        <v>185</v>
      </c>
      <c r="H7824" t="s" s="10">
        <v>185</v>
      </c>
      <c r="I7824" t="s" s="11">
        <v>185</v>
      </c>
      <c r="J7824" t="s" s="11">
        <v>20</v>
      </c>
      <c r="K7824" s="15"/>
      <c r="L7824" t="s" s="16">
        <f>HYPERLINK("http://csr.bu.edu/ftp/asl/asllvd/demos/verify_start_end_handshape_annotations//test_auto_move//signs_mov_separ_signers/Dana_2019.mov","MOV")</f>
        <v>21</v>
      </c>
      <c r="M7824" t="s" s="10">
        <v>44</v>
      </c>
      <c r="N7824" s="17">
        <v>25</v>
      </c>
      <c r="O7824" s="18">
        <v>1279</v>
      </c>
      <c r="P7824" s="18">
        <v>1313</v>
      </c>
      <c r="Q7824" s="15"/>
      <c r="R7824" t="s" s="16">
        <f>HYPERLINK("http://secrets.rutgers.edu:8080/data/asl-ftp/asllvd/demos/verify_start_end_handshape_annotations//test_auto_move//signs_mov_separ_signers/Dana_2019.mov","MOV")</f>
        <v>21</v>
      </c>
    </row>
    <row r="7825" s="2" customFormat="1" ht="13.5" customHeight="1">
      <c r="B7825" t="s" s="8">
        <v>52</v>
      </c>
      <c r="C7825" t="s" s="9">
        <v>53</v>
      </c>
      <c r="D7825" t="s" s="8">
        <v>53</v>
      </c>
      <c r="E7825" t="s" s="9">
        <v>53</v>
      </c>
      <c r="F7825" t="s" s="10">
        <v>53</v>
      </c>
      <c r="G7825" t="s" s="11">
        <v>53</v>
      </c>
      <c r="H7825" t="s" s="10">
        <v>53</v>
      </c>
      <c r="I7825" t="s" s="11">
        <v>53</v>
      </c>
      <c r="J7825" t="s" s="11">
        <v>53</v>
      </c>
      <c r="K7825" t="s" s="12">
        <v>53</v>
      </c>
      <c r="L7825" t="s" s="12">
        <v>53</v>
      </c>
      <c r="M7825" t="s" s="10">
        <v>53</v>
      </c>
      <c r="N7825" t="s" s="11">
        <v>53</v>
      </c>
      <c r="O7825" t="s" s="8">
        <v>53</v>
      </c>
      <c r="P7825" t="s" s="8">
        <v>53</v>
      </c>
      <c r="Q7825" t="s" s="12">
        <v>53</v>
      </c>
      <c r="R7825" t="s" s="12">
        <v>53</v>
      </c>
    </row>
    <row r="7826" s="2" customFormat="1" ht="13.5" customHeight="1">
      <c r="B7826" s="13"/>
      <c r="C7826" t="s" s="9">
        <v>16</v>
      </c>
      <c r="D7826" t="s" s="8">
        <v>2778</v>
      </c>
      <c r="E7826" t="s" s="9">
        <v>2780</v>
      </c>
      <c r="F7826" t="s" s="10">
        <v>18</v>
      </c>
      <c r="G7826" t="s" s="11">
        <v>18</v>
      </c>
      <c r="H7826" t="s" s="10">
        <v>18</v>
      </c>
      <c r="I7826" t="s" s="11">
        <v>18</v>
      </c>
      <c r="J7826" t="s" s="11">
        <v>20</v>
      </c>
      <c r="K7826" t="s" s="16">
        <f>HYPERLINK("http://csr.bu.edu/ftp/asl/asllvd/demos/verify_start_end_handshape_annotations//test_auto_move//signs_mov/3729.mov","MOV")</f>
        <v>21</v>
      </c>
      <c r="L7826" t="s" s="16">
        <f>HYPERLINK("http://csr.bu.edu/ftp/asl/asllvd/demos/verify_start_end_handshape_annotations//test_auto_move//signs_mov_separ_signers/Liz_3729.mov","MOV")</f>
        <v>21</v>
      </c>
      <c r="M7826" t="s" s="10">
        <v>36</v>
      </c>
      <c r="N7826" s="17">
        <v>4</v>
      </c>
      <c r="O7826" s="18">
        <v>2792</v>
      </c>
      <c r="P7826" s="18">
        <v>2855</v>
      </c>
      <c r="Q7826" t="s" s="16">
        <f>HYPERLINK("http://secrets.rutgers.edu:8080/data/asl-ftp/asllvd/demos/verify_start_end_handshape_annotations//test_auto_move//signs_mov/3729.mov","MOV")</f>
        <v>21</v>
      </c>
      <c r="R7826" t="s" s="16">
        <f>HYPERLINK("http://secrets.rutgers.edu:8080/data/asl-ftp/asllvd/demos/verify_start_end_handshape_annotations//test_auto_move//signs_mov_separ_signers/Liz_3729.mov","MOV")</f>
        <v>21</v>
      </c>
    </row>
    <row r="7827" s="2" customFormat="1" ht="13.5" customHeight="1">
      <c r="B7827" t="s" s="8">
        <v>2778</v>
      </c>
      <c r="C7827" t="s" s="9">
        <v>14</v>
      </c>
      <c r="D7827" t="s" s="8">
        <v>14</v>
      </c>
      <c r="E7827" t="s" s="9">
        <v>14</v>
      </c>
      <c r="F7827" t="s" s="10">
        <v>14</v>
      </c>
      <c r="G7827" t="s" s="11">
        <v>14</v>
      </c>
      <c r="H7827" t="s" s="10">
        <v>14</v>
      </c>
      <c r="I7827" t="s" s="11">
        <v>14</v>
      </c>
      <c r="J7827" t="s" s="11">
        <v>14</v>
      </c>
      <c r="K7827" t="s" s="12">
        <v>14</v>
      </c>
      <c r="L7827" t="s" s="12">
        <v>14</v>
      </c>
      <c r="M7827" t="s" s="10">
        <v>14</v>
      </c>
      <c r="N7827" t="s" s="11">
        <v>14</v>
      </c>
      <c r="O7827" t="s" s="8">
        <v>14</v>
      </c>
      <c r="P7827" t="s" s="8">
        <v>14</v>
      </c>
      <c r="Q7827" t="s" s="12">
        <v>14</v>
      </c>
      <c r="R7827" t="s" s="12">
        <v>14</v>
      </c>
    </row>
    <row r="7828" s="2" customFormat="1" ht="13.5" customHeight="1">
      <c r="B7828" s="13"/>
      <c r="C7828" t="s" s="9">
        <v>30</v>
      </c>
      <c r="D7828" t="s" s="8">
        <v>2781</v>
      </c>
      <c r="E7828" t="s" s="9">
        <v>2781</v>
      </c>
      <c r="F7828" s="19">
        <v>1</v>
      </c>
      <c r="G7828" s="17">
        <v>1</v>
      </c>
      <c r="H7828" s="19">
        <v>1</v>
      </c>
      <c r="I7828" s="17">
        <v>1</v>
      </c>
      <c r="J7828" t="s" s="11">
        <v>20</v>
      </c>
      <c r="K7828" t="s" s="16">
        <f>HYPERLINK("http://csr.bu.edu/ftp/asl/asllvd/demos/verify_start_end_handshape_annotations//test_auto_move//signs_mov/5371_5667_merged.mov","MOV")</f>
        <v>21</v>
      </c>
      <c r="L7828" t="s" s="16">
        <f>HYPERLINK("http://csr.bu.edu/ftp/asl/asllvd/demos/verify_start_end_handshape_annotations//test_auto_move//signs_mov_separ_signers/Brady_5371.mov","MOV")</f>
        <v>21</v>
      </c>
      <c r="M7828" t="s" s="10">
        <v>40</v>
      </c>
      <c r="N7828" s="17">
        <v>49</v>
      </c>
      <c r="O7828" s="18">
        <v>1943</v>
      </c>
      <c r="P7828" s="18">
        <v>1976</v>
      </c>
      <c r="Q7828" t="s" s="16">
        <f>HYPERLINK("http://secrets.rutgers.edu:8080/data/asl-ftp/asllvd/demos/verify_start_end_handshape_annotations//test_auto_move//signs_mov/5371_5667_merged.mov","MOV")</f>
        <v>21</v>
      </c>
      <c r="R7828" t="s" s="16">
        <f>HYPERLINK("http://secrets.rutgers.edu:8080/data/asl-ftp/asllvd/demos/verify_start_end_handshape_annotations//test_auto_move//signs_mov_separ_signers/Brady_5371.mov","MOV")</f>
        <v>21</v>
      </c>
    </row>
    <row r="7829" s="2" customFormat="1" ht="13.5" customHeight="1">
      <c r="B7829" s="13"/>
      <c r="C7829" t="s" s="9">
        <v>30</v>
      </c>
      <c r="D7829" t="s" s="8">
        <v>2781</v>
      </c>
      <c r="E7829" t="s" s="9">
        <v>2781</v>
      </c>
      <c r="F7829" s="19">
        <v>1</v>
      </c>
      <c r="G7829" s="17">
        <v>1</v>
      </c>
      <c r="H7829" s="19">
        <v>1</v>
      </c>
      <c r="I7829" s="17">
        <v>1</v>
      </c>
      <c r="J7829" t="s" s="11">
        <v>20</v>
      </c>
      <c r="K7829" s="15"/>
      <c r="L7829" t="s" s="16">
        <f>HYPERLINK("http://csr.bu.edu/ftp/asl/asllvd/demos/verify_start_end_handshape_annotations//test_auto_move//signs_mov_separ_signers/Brady_5667.mov","MOV")</f>
        <v>21</v>
      </c>
      <c r="M7829" t="s" s="10">
        <v>40</v>
      </c>
      <c r="N7829" s="17">
        <v>49</v>
      </c>
      <c r="O7829" s="18">
        <v>2428</v>
      </c>
      <c r="P7829" s="18">
        <v>2460</v>
      </c>
      <c r="Q7829" s="15"/>
      <c r="R7829" t="s" s="16">
        <f>HYPERLINK("http://secrets.rutgers.edu:8080/data/asl-ftp/asllvd/demos/verify_start_end_handshape_annotations//test_auto_move//signs_mov_separ_signers/Brady_5667.mov","MOV")</f>
        <v>21</v>
      </c>
    </row>
    <row r="7830" s="2" customFormat="1" ht="13.5" customHeight="1">
      <c r="B7830" t="s" s="8">
        <v>52</v>
      </c>
      <c r="C7830" t="s" s="9">
        <v>53</v>
      </c>
      <c r="D7830" t="s" s="8">
        <v>53</v>
      </c>
      <c r="E7830" t="s" s="9">
        <v>53</v>
      </c>
      <c r="F7830" t="s" s="10">
        <v>53</v>
      </c>
      <c r="G7830" t="s" s="11">
        <v>53</v>
      </c>
      <c r="H7830" t="s" s="10">
        <v>53</v>
      </c>
      <c r="I7830" t="s" s="11">
        <v>53</v>
      </c>
      <c r="J7830" t="s" s="11">
        <v>53</v>
      </c>
      <c r="K7830" t="s" s="12">
        <v>53</v>
      </c>
      <c r="L7830" t="s" s="12">
        <v>53</v>
      </c>
      <c r="M7830" t="s" s="10">
        <v>53</v>
      </c>
      <c r="N7830" t="s" s="11">
        <v>53</v>
      </c>
      <c r="O7830" t="s" s="8">
        <v>53</v>
      </c>
      <c r="P7830" t="s" s="8">
        <v>53</v>
      </c>
      <c r="Q7830" t="s" s="12">
        <v>53</v>
      </c>
      <c r="R7830" t="s" s="12">
        <v>53</v>
      </c>
    </row>
    <row r="7831" s="2" customFormat="1" ht="13.5" customHeight="1">
      <c r="B7831" s="13"/>
      <c r="C7831" t="s" s="9">
        <v>16</v>
      </c>
      <c r="D7831" t="s" s="8">
        <v>2781</v>
      </c>
      <c r="E7831" t="s" s="9">
        <v>2782</v>
      </c>
      <c r="F7831" t="s" s="10">
        <v>251</v>
      </c>
      <c r="G7831" t="s" s="11">
        <v>251</v>
      </c>
      <c r="H7831" t="s" s="10">
        <v>251</v>
      </c>
      <c r="I7831" t="s" s="11">
        <v>251</v>
      </c>
      <c r="J7831" t="s" s="11">
        <v>20</v>
      </c>
      <c r="K7831" t="s" s="16">
        <f>HYPERLINK("http://csr.bu.edu/ftp/asl/asllvd/demos/verify_start_end_handshape_annotations//test_auto_move//signs_mov/15629.mov","MOV")</f>
        <v>21</v>
      </c>
      <c r="L7831" t="s" s="16">
        <f>HYPERLINK("http://csr.bu.edu/ftp/asl/asllvd/demos/verify_start_end_handshape_annotations//test_auto_move//signs_mov_separ_signers/Liz_15629.mov","MOV")</f>
        <v>21</v>
      </c>
      <c r="M7831" t="s" s="10">
        <v>36</v>
      </c>
      <c r="N7831" s="17">
        <v>5</v>
      </c>
      <c r="O7831" s="18">
        <v>284</v>
      </c>
      <c r="P7831" s="18">
        <v>335</v>
      </c>
      <c r="Q7831" t="s" s="16">
        <f>HYPERLINK("http://secrets.rutgers.edu:8080/data/asl-ftp/asllvd/demos/verify_start_end_handshape_annotations//test_auto_move//signs_mov/15629.mov","MOV")</f>
        <v>21</v>
      </c>
      <c r="R7831" t="s" s="16">
        <f>HYPERLINK("http://secrets.rutgers.edu:8080/data/asl-ftp/asllvd/demos/verify_start_end_handshape_annotations//test_auto_move//signs_mov_separ_signers/Liz_15629.mov","MOV")</f>
        <v>21</v>
      </c>
    </row>
    <row r="7832" s="2" customFormat="1" ht="13.5" customHeight="1">
      <c r="B7832" t="s" s="8">
        <v>2783</v>
      </c>
      <c r="C7832" t="s" s="9">
        <v>14</v>
      </c>
      <c r="D7832" t="s" s="8">
        <v>14</v>
      </c>
      <c r="E7832" t="s" s="9">
        <v>14</v>
      </c>
      <c r="F7832" t="s" s="10">
        <v>14</v>
      </c>
      <c r="G7832" t="s" s="11">
        <v>14</v>
      </c>
      <c r="H7832" t="s" s="10">
        <v>14</v>
      </c>
      <c r="I7832" t="s" s="11">
        <v>14</v>
      </c>
      <c r="J7832" t="s" s="11">
        <v>14</v>
      </c>
      <c r="K7832" t="s" s="12">
        <v>14</v>
      </c>
      <c r="L7832" t="s" s="12">
        <v>14</v>
      </c>
      <c r="M7832" t="s" s="10">
        <v>14</v>
      </c>
      <c r="N7832" t="s" s="11">
        <v>14</v>
      </c>
      <c r="O7832" t="s" s="8">
        <v>14</v>
      </c>
      <c r="P7832" t="s" s="8">
        <v>14</v>
      </c>
      <c r="Q7832" t="s" s="12">
        <v>14</v>
      </c>
      <c r="R7832" t="s" s="12">
        <v>14</v>
      </c>
    </row>
    <row r="7833" s="2" customFormat="1" ht="13.5" customHeight="1">
      <c r="B7833" s="13"/>
      <c r="C7833" t="s" s="9">
        <v>16</v>
      </c>
      <c r="D7833" t="s" s="8">
        <v>2783</v>
      </c>
      <c r="E7833" t="s" s="9">
        <v>2784</v>
      </c>
      <c r="F7833" t="s" s="10">
        <v>341</v>
      </c>
      <c r="G7833" t="s" s="11">
        <v>240</v>
      </c>
      <c r="H7833" t="s" s="10">
        <v>342</v>
      </c>
      <c r="I7833" t="s" s="11">
        <v>425</v>
      </c>
      <c r="J7833" t="s" s="11">
        <v>20</v>
      </c>
      <c r="K7833" t="s" s="16">
        <f>HYPERLINK("http://csr.bu.edu/ftp/asl/asllvd/demos/verify_start_end_handshape_annotations//test_auto_move//signs_mov/2021.mov","MOV")</f>
        <v>21</v>
      </c>
      <c r="L7833" t="s" s="16">
        <f>HYPERLINK("http://csr.bu.edu/ftp/asl/asllvd/demos/verify_start_end_handshape_annotations//test_auto_move//signs_mov_separ_signers/Liz_2021.mov","MOV")</f>
        <v>21</v>
      </c>
      <c r="M7833" t="s" s="10">
        <v>36</v>
      </c>
      <c r="N7833" s="17">
        <v>5</v>
      </c>
      <c r="O7833" s="18">
        <v>600</v>
      </c>
      <c r="P7833" s="18">
        <v>645</v>
      </c>
      <c r="Q7833" t="s" s="16">
        <f>HYPERLINK("http://secrets.rutgers.edu:8080/data/asl-ftp/asllvd/demos/verify_start_end_handshape_annotations//test_auto_move//signs_mov/2021.mov","MOV")</f>
        <v>21</v>
      </c>
      <c r="R7833" t="s" s="16">
        <f>HYPERLINK("http://secrets.rutgers.edu:8080/data/asl-ftp/asllvd/demos/verify_start_end_handshape_annotations//test_auto_move//signs_mov_separ_signers/Liz_2021.mov","MOV")</f>
        <v>21</v>
      </c>
    </row>
    <row r="7834" s="2" customFormat="1" ht="13.5" customHeight="1">
      <c r="B7834" s="13"/>
      <c r="C7834" t="s" s="9">
        <v>30</v>
      </c>
      <c r="D7834" t="s" s="8">
        <v>2783</v>
      </c>
      <c r="E7834" t="s" s="9">
        <v>2784</v>
      </c>
      <c r="F7834" t="s" s="10">
        <v>342</v>
      </c>
      <c r="G7834" t="s" s="11">
        <v>342</v>
      </c>
      <c r="H7834" t="s" s="10">
        <v>342</v>
      </c>
      <c r="I7834" t="s" s="11">
        <v>342</v>
      </c>
      <c r="J7834" t="s" s="11">
        <v>20</v>
      </c>
      <c r="K7834" s="15"/>
      <c r="L7834" t="s" s="16">
        <f>HYPERLINK("http://csr.bu.edu/ftp/asl/asllvd/demos/verify_start_end_handshape_annotations//test_auto_move//signs_mov_separ_signers/Brady_2021.mov","MOV")</f>
        <v>21</v>
      </c>
      <c r="M7834" t="s" s="10">
        <v>40</v>
      </c>
      <c r="N7834" s="17">
        <v>49</v>
      </c>
      <c r="O7834" s="18">
        <v>2780</v>
      </c>
      <c r="P7834" s="18">
        <v>2806</v>
      </c>
      <c r="Q7834" s="15"/>
      <c r="R7834" t="s" s="16">
        <f>HYPERLINK("http://secrets.rutgers.edu:8080/data/asl-ftp/asllvd/demos/verify_start_end_handshape_annotations//test_auto_move//signs_mov_separ_signers/Brady_2021.mov","MOV")</f>
        <v>21</v>
      </c>
    </row>
    <row r="7835" s="2" customFormat="1" ht="13.5" customHeight="1">
      <c r="B7835" t="s" s="8">
        <v>2785</v>
      </c>
      <c r="C7835" t="s" s="9">
        <v>14</v>
      </c>
      <c r="D7835" t="s" s="8">
        <v>14</v>
      </c>
      <c r="E7835" t="s" s="9">
        <v>14</v>
      </c>
      <c r="F7835" t="s" s="10">
        <v>14</v>
      </c>
      <c r="G7835" t="s" s="11">
        <v>14</v>
      </c>
      <c r="H7835" t="s" s="10">
        <v>14</v>
      </c>
      <c r="I7835" t="s" s="11">
        <v>14</v>
      </c>
      <c r="J7835" t="s" s="11">
        <v>14</v>
      </c>
      <c r="K7835" t="s" s="12">
        <v>14</v>
      </c>
      <c r="L7835" t="s" s="12">
        <v>14</v>
      </c>
      <c r="M7835" t="s" s="10">
        <v>14</v>
      </c>
      <c r="N7835" t="s" s="11">
        <v>14</v>
      </c>
      <c r="O7835" t="s" s="8">
        <v>14</v>
      </c>
      <c r="P7835" t="s" s="8">
        <v>14</v>
      </c>
      <c r="Q7835" t="s" s="12">
        <v>14</v>
      </c>
      <c r="R7835" t="s" s="12">
        <v>14</v>
      </c>
    </row>
    <row r="7836" s="2" customFormat="1" ht="13.5" customHeight="1">
      <c r="B7836" s="13"/>
      <c r="C7836" t="s" s="9">
        <v>16</v>
      </c>
      <c r="D7836" t="s" s="8">
        <v>2785</v>
      </c>
      <c r="E7836" t="s" s="9">
        <v>2786</v>
      </c>
      <c r="F7836" t="s" s="10">
        <v>229</v>
      </c>
      <c r="G7836" t="s" s="11">
        <v>229</v>
      </c>
      <c r="H7836" t="s" s="10">
        <v>240</v>
      </c>
      <c r="I7836" t="s" s="11">
        <v>240</v>
      </c>
      <c r="J7836" t="s" s="11">
        <v>20</v>
      </c>
      <c r="K7836" s="15"/>
      <c r="L7836" t="s" s="16">
        <f>HYPERLINK("http://csr.bu.edu/ftp/asl/asllvd/demos/verify_start_end_handshape_annotations//test_auto_move//signs_mov_separ_signers/Liz_2022.mov","MOV")</f>
        <v>21</v>
      </c>
      <c r="M7836" t="s" s="10">
        <v>36</v>
      </c>
      <c r="N7836" s="17">
        <v>5</v>
      </c>
      <c r="O7836" s="18">
        <v>860</v>
      </c>
      <c r="P7836" s="18">
        <v>910</v>
      </c>
      <c r="Q7836" s="15"/>
      <c r="R7836" t="s" s="16">
        <f>HYPERLINK("http://secrets.rutgers.edu:8080/data/asl-ftp/asllvd/demos/verify_start_end_handshape_annotations//test_auto_move//signs_mov_separ_signers/Liz_2022.mov","MOV")</f>
        <v>21</v>
      </c>
    </row>
    <row r="7837" s="2" customFormat="1" ht="13.5" customHeight="1">
      <c r="B7837" s="13"/>
      <c r="C7837" t="s" s="9">
        <v>30</v>
      </c>
      <c r="D7837" t="s" s="8">
        <v>2785</v>
      </c>
      <c r="E7837" t="s" s="9">
        <v>2786</v>
      </c>
      <c r="F7837" t="s" s="10">
        <v>229</v>
      </c>
      <c r="G7837" t="s" s="11">
        <v>229</v>
      </c>
      <c r="H7837" t="s" s="10">
        <v>240</v>
      </c>
      <c r="I7837" t="s" s="11">
        <v>240</v>
      </c>
      <c r="J7837" t="s" s="11">
        <v>20</v>
      </c>
      <c r="K7837" t="s" s="16">
        <f>HYPERLINK("http://csr.bu.edu/ftp/asl/asllvd/demos/verify_start_end_handshape_annotations//test_auto_move//signs_mov/2022_5350_merged.mov","MOV")</f>
        <v>21</v>
      </c>
      <c r="L7837" t="s" s="16">
        <f>HYPERLINK("http://csr.bu.edu/ftp/asl/asllvd/demos/verify_start_end_handshape_annotations//test_auto_move//signs_mov_separ_signers/Brady_2022.mov","MOV")</f>
        <v>21</v>
      </c>
      <c r="M7837" t="s" s="10">
        <v>40</v>
      </c>
      <c r="N7837" s="17">
        <v>49</v>
      </c>
      <c r="O7837" s="18">
        <v>3003</v>
      </c>
      <c r="P7837" s="18">
        <v>3050</v>
      </c>
      <c r="Q7837" t="s" s="16">
        <f>HYPERLINK("http://secrets.rutgers.edu:8080/data/asl-ftp/asllvd/demos/verify_start_end_handshape_annotations//test_auto_move//signs_mov/2022_5350_merged.mov","MOV")</f>
        <v>21</v>
      </c>
      <c r="R7837" t="s" s="16">
        <f>HYPERLINK("http://secrets.rutgers.edu:8080/data/asl-ftp/asllvd/demos/verify_start_end_handshape_annotations//test_auto_move//signs_mov_separ_signers/Brady_2022.mov","MOV")</f>
        <v>21</v>
      </c>
    </row>
    <row r="7838" s="2" customFormat="1" ht="13.5" customHeight="1">
      <c r="B7838" s="13"/>
      <c r="C7838" t="s" s="9">
        <v>30</v>
      </c>
      <c r="D7838" t="s" s="8">
        <v>2785</v>
      </c>
      <c r="E7838" t="s" s="9">
        <v>2786</v>
      </c>
      <c r="F7838" t="s" s="10">
        <v>229</v>
      </c>
      <c r="G7838" t="s" s="11">
        <v>229</v>
      </c>
      <c r="H7838" t="s" s="10">
        <v>240</v>
      </c>
      <c r="I7838" t="s" s="11">
        <v>240</v>
      </c>
      <c r="J7838" t="s" s="11">
        <v>20</v>
      </c>
      <c r="K7838" s="15"/>
      <c r="L7838" t="s" s="16">
        <f>HYPERLINK("http://csr.bu.edu/ftp/asl/asllvd/demos/verify_start_end_handshape_annotations//test_auto_move//signs_mov_separ_signers/Brady_5350.mov","MOV")</f>
        <v>21</v>
      </c>
      <c r="M7838" t="s" s="10">
        <v>40</v>
      </c>
      <c r="N7838" s="17">
        <v>50</v>
      </c>
      <c r="O7838" s="18">
        <v>132</v>
      </c>
      <c r="P7838" s="18">
        <v>170</v>
      </c>
      <c r="Q7838" s="15"/>
      <c r="R7838" t="s" s="16">
        <f>HYPERLINK("http://secrets.rutgers.edu:8080/data/asl-ftp/asllvd/demos/verify_start_end_handshape_annotations//test_auto_move//signs_mov_separ_signers/Brady_5350.mov","MOV")</f>
        <v>21</v>
      </c>
    </row>
    <row r="7839" s="2" customFormat="1" ht="13.5" customHeight="1">
      <c r="B7839" t="s" s="8">
        <v>2787</v>
      </c>
      <c r="C7839" t="s" s="9">
        <v>14</v>
      </c>
      <c r="D7839" t="s" s="8">
        <v>14</v>
      </c>
      <c r="E7839" t="s" s="9">
        <v>14</v>
      </c>
      <c r="F7839" t="s" s="10">
        <v>14</v>
      </c>
      <c r="G7839" t="s" s="11">
        <v>14</v>
      </c>
      <c r="H7839" t="s" s="10">
        <v>14</v>
      </c>
      <c r="I7839" t="s" s="11">
        <v>14</v>
      </c>
      <c r="J7839" t="s" s="11">
        <v>14</v>
      </c>
      <c r="K7839" t="s" s="12">
        <v>14</v>
      </c>
      <c r="L7839" t="s" s="12">
        <v>14</v>
      </c>
      <c r="M7839" t="s" s="10">
        <v>14</v>
      </c>
      <c r="N7839" t="s" s="11">
        <v>14</v>
      </c>
      <c r="O7839" t="s" s="8">
        <v>14</v>
      </c>
      <c r="P7839" t="s" s="8">
        <v>14</v>
      </c>
      <c r="Q7839" t="s" s="12">
        <v>14</v>
      </c>
      <c r="R7839" t="s" s="12">
        <v>14</v>
      </c>
    </row>
    <row r="7840" s="2" customFormat="1" ht="13.5" customHeight="1">
      <c r="B7840" s="13"/>
      <c r="C7840" t="s" s="9">
        <v>16</v>
      </c>
      <c r="D7840" t="s" s="8">
        <v>2787</v>
      </c>
      <c r="E7840" t="s" s="9">
        <v>2788</v>
      </c>
      <c r="F7840" s="19">
        <v>5</v>
      </c>
      <c r="G7840" s="17">
        <v>5</v>
      </c>
      <c r="H7840" s="19">
        <v>5</v>
      </c>
      <c r="I7840" s="17">
        <v>5</v>
      </c>
      <c r="J7840" t="s" s="11">
        <v>20</v>
      </c>
      <c r="K7840" s="15"/>
      <c r="L7840" t="s" s="16">
        <f>HYPERLINK("http://csr.bu.edu/ftp/asl/asllvd/demos/verify_start_end_handshape_annotations//test_auto_move//signs_mov_separ_signers/Liz_2025.mov","MOV")</f>
        <v>21</v>
      </c>
      <c r="M7840" t="s" s="10">
        <v>36</v>
      </c>
      <c r="N7840" s="17">
        <v>5</v>
      </c>
      <c r="O7840" s="18">
        <v>1995</v>
      </c>
      <c r="P7840" s="18">
        <v>2040</v>
      </c>
      <c r="Q7840" s="15"/>
      <c r="R7840" t="s" s="16">
        <f>HYPERLINK("http://secrets.rutgers.edu:8080/data/asl-ftp/asllvd/demos/verify_start_end_handshape_annotations//test_auto_move//signs_mov_separ_signers/Liz_2025.mov","MOV")</f>
        <v>21</v>
      </c>
    </row>
    <row r="7841" s="2" customFormat="1" ht="13.5" customHeight="1">
      <c r="B7841" s="13"/>
      <c r="C7841" t="s" s="9">
        <v>30</v>
      </c>
      <c r="D7841" t="s" s="8">
        <v>2787</v>
      </c>
      <c r="E7841" t="s" s="9">
        <v>2788</v>
      </c>
      <c r="F7841" s="19">
        <v>5</v>
      </c>
      <c r="G7841" s="17">
        <v>5</v>
      </c>
      <c r="H7841" s="19">
        <v>5</v>
      </c>
      <c r="I7841" s="17">
        <v>5</v>
      </c>
      <c r="J7841" t="s" s="11">
        <v>20</v>
      </c>
      <c r="K7841" t="s" s="16">
        <f>HYPERLINK("http://csr.bu.edu/ftp/asl/asllvd/demos/verify_start_end_handshape_annotations//test_auto_move//signs_mov/2025.mov","MOV")</f>
        <v>21</v>
      </c>
      <c r="L7841" t="s" s="16">
        <f>HYPERLINK("http://csr.bu.edu/ftp/asl/asllvd/demos/verify_start_end_handshape_annotations//test_auto_move//signs_mov_separ_signers/Brady_2025.mov","MOV")</f>
        <v>21</v>
      </c>
      <c r="M7841" t="s" s="10">
        <v>40</v>
      </c>
      <c r="N7841" s="17">
        <v>50</v>
      </c>
      <c r="O7841" s="18">
        <v>1150</v>
      </c>
      <c r="P7841" s="18">
        <v>1189</v>
      </c>
      <c r="Q7841" t="s" s="16">
        <f>HYPERLINK("http://secrets.rutgers.edu:8080/data/asl-ftp/asllvd/demos/verify_start_end_handshape_annotations//test_auto_move//signs_mov/2025.mov","MOV")</f>
        <v>21</v>
      </c>
      <c r="R7841" t="s" s="16">
        <f>HYPERLINK("http://secrets.rutgers.edu:8080/data/asl-ftp/asllvd/demos/verify_start_end_handshape_annotations//test_auto_move//signs_mov_separ_signers/Brady_2025.mov","MOV")</f>
        <v>21</v>
      </c>
    </row>
    <row r="7842" s="2" customFormat="1" ht="13.5" customHeight="1">
      <c r="B7842" s="13"/>
      <c r="C7842" t="s" s="9">
        <v>41</v>
      </c>
      <c r="D7842" t="s" s="8">
        <v>2787</v>
      </c>
      <c r="E7842" t="s" s="9">
        <v>2789</v>
      </c>
      <c r="F7842" s="19">
        <v>5</v>
      </c>
      <c r="G7842" s="17">
        <v>5</v>
      </c>
      <c r="H7842" s="19">
        <v>5</v>
      </c>
      <c r="I7842" s="17">
        <v>5</v>
      </c>
      <c r="J7842" t="s" s="11">
        <v>20</v>
      </c>
      <c r="K7842" s="15"/>
      <c r="L7842" t="s" s="16">
        <f>HYPERLINK("http://csr.bu.edu/ftp/asl/asllvd/demos/verify_start_end_handshape_annotations//test_auto_move//signs_mov_separ_signers/Lana_2025.mov","MOV")</f>
        <v>21</v>
      </c>
      <c r="M7842" t="s" s="10">
        <v>245</v>
      </c>
      <c r="N7842" s="17">
        <v>22</v>
      </c>
      <c r="O7842" s="18">
        <v>2566</v>
      </c>
      <c r="P7842" s="18">
        <v>2613</v>
      </c>
      <c r="Q7842" s="15"/>
      <c r="R7842" t="s" s="16">
        <f>HYPERLINK("http://secrets.rutgers.edu:8080/data/asl-ftp/asllvd/demos/verify_start_end_handshape_annotations//test_auto_move//signs_mov_separ_signers/Lana_2025.mov","MOV")</f>
        <v>21</v>
      </c>
    </row>
    <row r="7843" s="2" customFormat="1" ht="13.5" customHeight="1">
      <c r="B7843" t="s" s="8">
        <v>52</v>
      </c>
      <c r="C7843" t="s" s="9">
        <v>53</v>
      </c>
      <c r="D7843" t="s" s="8">
        <v>53</v>
      </c>
      <c r="E7843" t="s" s="9">
        <v>53</v>
      </c>
      <c r="F7843" t="s" s="10">
        <v>53</v>
      </c>
      <c r="G7843" t="s" s="11">
        <v>53</v>
      </c>
      <c r="H7843" t="s" s="10">
        <v>53</v>
      </c>
      <c r="I7843" t="s" s="11">
        <v>53</v>
      </c>
      <c r="J7843" t="s" s="11">
        <v>53</v>
      </c>
      <c r="K7843" t="s" s="12">
        <v>53</v>
      </c>
      <c r="L7843" t="s" s="12">
        <v>53</v>
      </c>
      <c r="M7843" t="s" s="10">
        <v>53</v>
      </c>
      <c r="N7843" t="s" s="11">
        <v>53</v>
      </c>
      <c r="O7843" t="s" s="8">
        <v>53</v>
      </c>
      <c r="P7843" t="s" s="8">
        <v>53</v>
      </c>
      <c r="Q7843" t="s" s="12">
        <v>53</v>
      </c>
      <c r="R7843" t="s" s="12">
        <v>53</v>
      </c>
    </row>
    <row r="7844" s="2" customFormat="1" ht="13.5" customHeight="1">
      <c r="B7844" s="13"/>
      <c r="C7844" t="s" s="9">
        <v>16</v>
      </c>
      <c r="D7844" t="s" s="8">
        <v>2787</v>
      </c>
      <c r="E7844" t="s" s="9">
        <v>2790</v>
      </c>
      <c r="F7844" s="19">
        <v>5</v>
      </c>
      <c r="G7844" s="17">
        <v>5</v>
      </c>
      <c r="H7844" s="19">
        <v>5</v>
      </c>
      <c r="I7844" s="17">
        <v>5</v>
      </c>
      <c r="J7844" t="s" s="11">
        <v>20</v>
      </c>
      <c r="K7844" t="s" s="16">
        <f>HYPERLINK("http://csr.bu.edu/ftp/asl/asllvd/demos/verify_start_end_handshape_annotations//test_auto_move//signs_mov/5683.mov","MOV")</f>
        <v>21</v>
      </c>
      <c r="L7844" t="s" s="16">
        <f>HYPERLINK("http://csr.bu.edu/ftp/asl/asllvd/demos/verify_start_end_handshape_annotations//test_auto_move//signs_mov_separ_signers/Liz_5683.mov","MOV")</f>
        <v>21</v>
      </c>
      <c r="M7844" t="s" s="10">
        <v>36</v>
      </c>
      <c r="N7844" s="17">
        <v>42</v>
      </c>
      <c r="O7844" s="18">
        <v>1105</v>
      </c>
      <c r="P7844" s="18">
        <v>1151</v>
      </c>
      <c r="Q7844" t="s" s="16">
        <f>HYPERLINK("http://secrets.rutgers.edu:8080/data/asl-ftp/asllvd/demos/verify_start_end_handshape_annotations//test_auto_move//signs_mov/5683.mov","MOV")</f>
        <v>21</v>
      </c>
      <c r="R7844" t="s" s="16">
        <f>HYPERLINK("http://secrets.rutgers.edu:8080/data/asl-ftp/asllvd/demos/verify_start_end_handshape_annotations//test_auto_move//signs_mov_separ_signers/Liz_5683.mov","MOV")</f>
        <v>21</v>
      </c>
    </row>
    <row r="7845" s="2" customFormat="1" ht="13.5" customHeight="1">
      <c r="B7845" s="13"/>
      <c r="C7845" t="s" s="9">
        <v>30</v>
      </c>
      <c r="D7845" t="s" s="8">
        <v>2787</v>
      </c>
      <c r="E7845" t="s" s="9">
        <v>2790</v>
      </c>
      <c r="F7845" s="19">
        <v>5</v>
      </c>
      <c r="G7845" s="17">
        <v>5</v>
      </c>
      <c r="H7845" s="19">
        <v>5</v>
      </c>
      <c r="I7845" s="17">
        <v>5</v>
      </c>
      <c r="J7845" t="s" s="11">
        <v>20</v>
      </c>
      <c r="K7845" s="15"/>
      <c r="L7845" t="s" s="16">
        <f>HYPERLINK("http://csr.bu.edu/ftp/asl/asllvd/demos/verify_start_end_handshape_annotations//test_auto_move//signs_mov_separ_signers/Brady_5683.mov","MOV")</f>
        <v>21</v>
      </c>
      <c r="M7845" t="s" s="10">
        <v>40</v>
      </c>
      <c r="N7845" s="17">
        <v>94</v>
      </c>
      <c r="O7845" s="18">
        <v>2298</v>
      </c>
      <c r="P7845" s="18">
        <v>2352</v>
      </c>
      <c r="Q7845" s="15"/>
      <c r="R7845" t="s" s="16">
        <f>HYPERLINK("http://secrets.rutgers.edu:8080/data/asl-ftp/asllvd/demos/verify_start_end_handshape_annotations//test_auto_move//signs_mov_separ_signers/Brady_5683.mov","MOV")</f>
        <v>21</v>
      </c>
    </row>
    <row r="7846" s="2" customFormat="1" ht="13.5" customHeight="1">
      <c r="B7846" t="s" s="8">
        <v>2791</v>
      </c>
      <c r="C7846" t="s" s="9">
        <v>14</v>
      </c>
      <c r="D7846" t="s" s="8">
        <v>14</v>
      </c>
      <c r="E7846" t="s" s="9">
        <v>14</v>
      </c>
      <c r="F7846" t="s" s="10">
        <v>14</v>
      </c>
      <c r="G7846" t="s" s="11">
        <v>14</v>
      </c>
      <c r="H7846" t="s" s="10">
        <v>14</v>
      </c>
      <c r="I7846" t="s" s="11">
        <v>14</v>
      </c>
      <c r="J7846" t="s" s="11">
        <v>14</v>
      </c>
      <c r="K7846" t="s" s="12">
        <v>14</v>
      </c>
      <c r="L7846" t="s" s="12">
        <v>14</v>
      </c>
      <c r="M7846" t="s" s="10">
        <v>14</v>
      </c>
      <c r="N7846" t="s" s="11">
        <v>14</v>
      </c>
      <c r="O7846" t="s" s="8">
        <v>14</v>
      </c>
      <c r="P7846" t="s" s="8">
        <v>14</v>
      </c>
      <c r="Q7846" t="s" s="12">
        <v>14</v>
      </c>
      <c r="R7846" t="s" s="12">
        <v>14</v>
      </c>
    </row>
    <row r="7847" s="2" customFormat="1" ht="13.5" customHeight="1">
      <c r="B7847" s="13"/>
      <c r="C7847" t="s" s="9">
        <v>16</v>
      </c>
      <c r="D7847" t="s" s="8">
        <v>2791</v>
      </c>
      <c r="E7847" t="s" s="9">
        <v>2791</v>
      </c>
      <c r="F7847" s="19">
        <v>5</v>
      </c>
      <c r="G7847" s="17">
        <v>5</v>
      </c>
      <c r="H7847" s="19">
        <v>5</v>
      </c>
      <c r="I7847" s="17">
        <v>5</v>
      </c>
      <c r="J7847" t="s" s="11">
        <v>20</v>
      </c>
      <c r="K7847" t="s" s="16">
        <f>HYPERLINK("http://csr.bu.edu/ftp/asl/asllvd/demos/verify_start_end_handshape_annotations//test_auto_move//signs_mov/15937.mov","MOV")</f>
        <v>21</v>
      </c>
      <c r="L7847" t="s" s="16">
        <f>HYPERLINK("http://csr.bu.edu/ftp/asl/asllvd/demos/verify_start_end_handshape_annotations//test_auto_move//signs_mov_separ_signers/Liz_15937.mov","MOV")</f>
        <v>21</v>
      </c>
      <c r="M7847" t="s" s="10">
        <v>36</v>
      </c>
      <c r="N7847" s="17">
        <v>36</v>
      </c>
      <c r="O7847" s="18">
        <v>2885</v>
      </c>
      <c r="P7847" s="18">
        <v>2936</v>
      </c>
      <c r="Q7847" t="s" s="16">
        <f>HYPERLINK("http://secrets.rutgers.edu:8080/data/asl-ftp/asllvd/demos/verify_start_end_handshape_annotations//test_auto_move//signs_mov/15937.mov","MOV")</f>
        <v>21</v>
      </c>
      <c r="R7847" t="s" s="16">
        <f>HYPERLINK("http://secrets.rutgers.edu:8080/data/asl-ftp/asllvd/demos/verify_start_end_handshape_annotations//test_auto_move//signs_mov_separ_signers/Liz_15937.mov","MOV")</f>
        <v>21</v>
      </c>
    </row>
    <row r="7848" s="2" customFormat="1" ht="13.5" customHeight="1">
      <c r="B7848" s="13"/>
      <c r="C7848" t="s" s="9">
        <v>30</v>
      </c>
      <c r="D7848" t="s" s="8">
        <v>2791</v>
      </c>
      <c r="E7848" t="s" s="9">
        <v>2791</v>
      </c>
      <c r="F7848" s="19">
        <v>5</v>
      </c>
      <c r="G7848" s="17">
        <v>5</v>
      </c>
      <c r="H7848" s="19">
        <v>5</v>
      </c>
      <c r="I7848" s="17">
        <v>5</v>
      </c>
      <c r="J7848" t="s" s="11">
        <v>20</v>
      </c>
      <c r="K7848" s="15"/>
      <c r="L7848" t="s" s="16">
        <f>HYPERLINK("http://csr.bu.edu/ftp/asl/asllvd/demos/verify_start_end_handshape_annotations//test_auto_move//signs_mov_separ_signers/Brady_15937.mov","MOV")</f>
        <v>21</v>
      </c>
      <c r="M7848" t="s" s="10">
        <v>40</v>
      </c>
      <c r="N7848" s="17">
        <v>89</v>
      </c>
      <c r="O7848" s="18">
        <v>662</v>
      </c>
      <c r="P7848" s="18">
        <v>703</v>
      </c>
      <c r="Q7848" s="15"/>
      <c r="R7848" t="s" s="16">
        <f>HYPERLINK("http://secrets.rutgers.edu:8080/data/asl-ftp/asllvd/demos/verify_start_end_handshape_annotations//test_auto_move//signs_mov_separ_signers/Brady_15937.mov","MOV")</f>
        <v>21</v>
      </c>
    </row>
    <row r="7849" s="2" customFormat="1" ht="13.5" customHeight="1">
      <c r="B7849" t="s" s="8">
        <v>2792</v>
      </c>
      <c r="C7849" t="s" s="9">
        <v>14</v>
      </c>
      <c r="D7849" t="s" s="8">
        <v>14</v>
      </c>
      <c r="E7849" t="s" s="9">
        <v>14</v>
      </c>
      <c r="F7849" t="s" s="10">
        <v>14</v>
      </c>
      <c r="G7849" t="s" s="11">
        <v>14</v>
      </c>
      <c r="H7849" t="s" s="10">
        <v>14</v>
      </c>
      <c r="I7849" t="s" s="11">
        <v>14</v>
      </c>
      <c r="J7849" t="s" s="11">
        <v>14</v>
      </c>
      <c r="K7849" t="s" s="12">
        <v>14</v>
      </c>
      <c r="L7849" t="s" s="12">
        <v>14</v>
      </c>
      <c r="M7849" t="s" s="10">
        <v>14</v>
      </c>
      <c r="N7849" t="s" s="11">
        <v>14</v>
      </c>
      <c r="O7849" t="s" s="8">
        <v>14</v>
      </c>
      <c r="P7849" t="s" s="8">
        <v>14</v>
      </c>
      <c r="Q7849" t="s" s="12">
        <v>14</v>
      </c>
      <c r="R7849" t="s" s="12">
        <v>14</v>
      </c>
    </row>
    <row r="7850" s="2" customFormat="1" ht="13.5" customHeight="1">
      <c r="B7850" s="13"/>
      <c r="C7850" t="s" s="9">
        <v>16</v>
      </c>
      <c r="D7850" t="s" s="8">
        <v>2793</v>
      </c>
      <c r="E7850" t="s" s="9">
        <v>2793</v>
      </c>
      <c r="F7850" s="19">
        <v>5</v>
      </c>
      <c r="G7850" s="17">
        <v>5</v>
      </c>
      <c r="H7850" s="19">
        <v>5</v>
      </c>
      <c r="I7850" s="17">
        <v>5</v>
      </c>
      <c r="J7850" t="s" s="11">
        <v>20</v>
      </c>
      <c r="K7850" t="s" s="16">
        <f>HYPERLINK("http://csr.bu.edu/ftp/asl/asllvd/demos/verify_start_end_handshape_annotations//test_auto_move//signs_mov/15947.mov","MOV")</f>
        <v>21</v>
      </c>
      <c r="L7850" t="s" s="16">
        <f>HYPERLINK("http://csr.bu.edu/ftp/asl/asllvd/demos/verify_start_end_handshape_annotations//test_auto_move//signs_mov_separ_signers/Liz_15947.mov","MOV")</f>
        <v>21</v>
      </c>
      <c r="M7850" t="s" s="10">
        <v>59</v>
      </c>
      <c r="N7850" s="17">
        <v>37</v>
      </c>
      <c r="O7850" s="18">
        <v>2905</v>
      </c>
      <c r="P7850" s="18">
        <v>2935</v>
      </c>
      <c r="Q7850" t="s" s="16">
        <f>HYPERLINK("http://secrets.rutgers.edu:8080/data/asl-ftp/asllvd/demos/verify_start_end_handshape_annotations//test_auto_move//signs_mov/15947.mov","MOV")</f>
        <v>21</v>
      </c>
      <c r="R7850" t="s" s="16">
        <f>HYPERLINK("http://secrets.rutgers.edu:8080/data/asl-ftp/asllvd/demos/verify_start_end_handshape_annotations//test_auto_move//signs_mov_separ_signers/Liz_15947.mov","MOV")</f>
        <v>21</v>
      </c>
    </row>
    <row r="7851" s="2" customFormat="1" ht="13.5" customHeight="1">
      <c r="B7851" s="13"/>
      <c r="C7851" t="s" s="9">
        <v>30</v>
      </c>
      <c r="D7851" t="s" s="8">
        <v>2793</v>
      </c>
      <c r="E7851" t="s" s="9">
        <v>2793</v>
      </c>
      <c r="F7851" s="19">
        <v>5</v>
      </c>
      <c r="G7851" s="17">
        <v>5</v>
      </c>
      <c r="H7851" s="19">
        <v>5</v>
      </c>
      <c r="I7851" s="17">
        <v>5</v>
      </c>
      <c r="J7851" t="s" s="11">
        <v>20</v>
      </c>
      <c r="K7851" s="15"/>
      <c r="L7851" t="s" s="16">
        <f>HYPERLINK("http://csr.bu.edu/ftp/asl/asllvd/demos/verify_start_end_handshape_annotations//test_auto_move//signs_mov_separ_signers/Brady_15947.mov","MOV")</f>
        <v>21</v>
      </c>
      <c r="M7851" t="s" s="10">
        <v>60</v>
      </c>
      <c r="N7851" s="17">
        <v>26</v>
      </c>
      <c r="O7851" s="18">
        <v>781</v>
      </c>
      <c r="P7851" s="18">
        <v>813</v>
      </c>
      <c r="Q7851" s="15"/>
      <c r="R7851" t="s" s="16">
        <f>HYPERLINK("http://secrets.rutgers.edu:8080/data/asl-ftp/asllvd/demos/verify_start_end_handshape_annotations//test_auto_move//signs_mov_separ_signers/Brady_15947.mov","MOV")</f>
        <v>21</v>
      </c>
    </row>
    <row r="7852" s="2" customFormat="1" ht="13.5" customHeight="1">
      <c r="B7852" t="s" s="8">
        <v>2792</v>
      </c>
      <c r="C7852" t="s" s="9">
        <v>14</v>
      </c>
      <c r="D7852" t="s" s="8">
        <v>14</v>
      </c>
      <c r="E7852" t="s" s="9">
        <v>14</v>
      </c>
      <c r="F7852" t="s" s="10">
        <v>14</v>
      </c>
      <c r="G7852" t="s" s="11">
        <v>14</v>
      </c>
      <c r="H7852" t="s" s="10">
        <v>14</v>
      </c>
      <c r="I7852" t="s" s="11">
        <v>14</v>
      </c>
      <c r="J7852" t="s" s="11">
        <v>14</v>
      </c>
      <c r="K7852" t="s" s="12">
        <v>14</v>
      </c>
      <c r="L7852" t="s" s="12">
        <v>14</v>
      </c>
      <c r="M7852" t="s" s="10">
        <v>14</v>
      </c>
      <c r="N7852" t="s" s="11">
        <v>14</v>
      </c>
      <c r="O7852" t="s" s="8">
        <v>14</v>
      </c>
      <c r="P7852" t="s" s="8">
        <v>14</v>
      </c>
      <c r="Q7852" t="s" s="12">
        <v>14</v>
      </c>
      <c r="R7852" t="s" s="12">
        <v>14</v>
      </c>
    </row>
    <row r="7853" s="2" customFormat="1" ht="13.5" customHeight="1">
      <c r="B7853" s="13"/>
      <c r="C7853" t="s" s="9">
        <v>16</v>
      </c>
      <c r="D7853" t="s" s="8">
        <v>2792</v>
      </c>
      <c r="E7853" t="s" s="9">
        <v>2794</v>
      </c>
      <c r="F7853" t="s" s="10">
        <v>2795</v>
      </c>
      <c r="G7853" t="s" s="11">
        <v>2795</v>
      </c>
      <c r="H7853" t="s" s="10">
        <v>2795</v>
      </c>
      <c r="I7853" t="s" s="11">
        <v>2795</v>
      </c>
      <c r="J7853" t="s" s="11">
        <v>20</v>
      </c>
      <c r="K7853" t="s" s="16">
        <f>HYPERLINK("http://csr.bu.edu/ftp/asl/asllvd/demos/verify_start_end_handshape_annotations//test_auto_move//signs_mov/15966.mov","MOV")</f>
        <v>21</v>
      </c>
      <c r="L7853" t="s" s="16">
        <f>HYPERLINK("http://csr.bu.edu/ftp/asl/asllvd/demos/verify_start_end_handshape_annotations//test_auto_move//signs_mov_separ_signers/Liz_15966.mov","MOV")</f>
        <v>21</v>
      </c>
      <c r="M7853" t="s" s="10">
        <v>59</v>
      </c>
      <c r="N7853" s="17">
        <v>37</v>
      </c>
      <c r="O7853" s="18">
        <v>2625</v>
      </c>
      <c r="P7853" s="18">
        <v>2685</v>
      </c>
      <c r="Q7853" t="s" s="16">
        <f>HYPERLINK("http://secrets.rutgers.edu:8080/data/asl-ftp/asllvd/demos/verify_start_end_handshape_annotations//test_auto_move//signs_mov/15966.mov","MOV")</f>
        <v>21</v>
      </c>
      <c r="R7853" t="s" s="16">
        <f>HYPERLINK("http://secrets.rutgers.edu:8080/data/asl-ftp/asllvd/demos/verify_start_end_handshape_annotations//test_auto_move//signs_mov_separ_signers/Liz_15966.mov","MOV")</f>
        <v>21</v>
      </c>
    </row>
    <row r="7854" s="2" customFormat="1" ht="13.5" customHeight="1">
      <c r="B7854" s="13"/>
      <c r="C7854" t="s" s="9">
        <v>30</v>
      </c>
      <c r="D7854" t="s" s="8">
        <v>2792</v>
      </c>
      <c r="E7854" t="s" s="9">
        <v>2794</v>
      </c>
      <c r="F7854" t="s" s="10">
        <v>2795</v>
      </c>
      <c r="G7854" t="s" s="11">
        <v>2795</v>
      </c>
      <c r="H7854" t="s" s="10">
        <v>2795</v>
      </c>
      <c r="I7854" t="s" s="11">
        <v>2795</v>
      </c>
      <c r="J7854" t="s" s="11">
        <v>20</v>
      </c>
      <c r="K7854" s="15"/>
      <c r="L7854" t="s" s="16">
        <f>HYPERLINK("http://csr.bu.edu/ftp/asl/asllvd/demos/verify_start_end_handshape_annotations//test_auto_move//signs_mov_separ_signers/Brady_15966.mov","MOV")</f>
        <v>21</v>
      </c>
      <c r="M7854" t="s" s="10">
        <v>60</v>
      </c>
      <c r="N7854" s="17">
        <v>26</v>
      </c>
      <c r="O7854" s="18">
        <v>1106</v>
      </c>
      <c r="P7854" s="18">
        <v>1141</v>
      </c>
      <c r="Q7854" s="15"/>
      <c r="R7854" t="s" s="16">
        <f>HYPERLINK("http://secrets.rutgers.edu:8080/data/asl-ftp/asllvd/demos/verify_start_end_handshape_annotations//test_auto_move//signs_mov_separ_signers/Brady_15966.mov","MOV")</f>
        <v>21</v>
      </c>
    </row>
    <row r="7855" s="2" customFormat="1" ht="13.5" customHeight="1">
      <c r="B7855" t="s" s="8">
        <v>2796</v>
      </c>
      <c r="C7855" t="s" s="9">
        <v>14</v>
      </c>
      <c r="D7855" t="s" s="8">
        <v>14</v>
      </c>
      <c r="E7855" t="s" s="9">
        <v>14</v>
      </c>
      <c r="F7855" t="s" s="10">
        <v>14</v>
      </c>
      <c r="G7855" t="s" s="11">
        <v>14</v>
      </c>
      <c r="H7855" t="s" s="10">
        <v>14</v>
      </c>
      <c r="I7855" t="s" s="11">
        <v>14</v>
      </c>
      <c r="J7855" t="s" s="11">
        <v>14</v>
      </c>
      <c r="K7855" t="s" s="12">
        <v>14</v>
      </c>
      <c r="L7855" t="s" s="12">
        <v>14</v>
      </c>
      <c r="M7855" t="s" s="10">
        <v>14</v>
      </c>
      <c r="N7855" t="s" s="11">
        <v>14</v>
      </c>
      <c r="O7855" t="s" s="8">
        <v>14</v>
      </c>
      <c r="P7855" t="s" s="8">
        <v>14</v>
      </c>
      <c r="Q7855" t="s" s="12">
        <v>14</v>
      </c>
      <c r="R7855" t="s" s="12">
        <v>14</v>
      </c>
    </row>
    <row r="7856" s="2" customFormat="1" ht="13.5" customHeight="1">
      <c r="B7856" s="13"/>
      <c r="C7856" t="s" s="9">
        <v>16</v>
      </c>
      <c r="D7856" t="s" s="8">
        <v>2796</v>
      </c>
      <c r="E7856" t="s" s="9">
        <v>2796</v>
      </c>
      <c r="F7856" s="19">
        <v>4</v>
      </c>
      <c r="G7856" s="14"/>
      <c r="H7856" s="19">
        <v>4</v>
      </c>
      <c r="I7856" s="14"/>
      <c r="J7856" t="s" s="11">
        <v>20</v>
      </c>
      <c r="K7856" t="s" s="16">
        <f>HYPERLINK("http://csr.bu.edu/ftp/asl/asllvd/demos/verify_start_end_handshape_annotations//test_auto_move//signs_mov/2026.mov","MOV")</f>
        <v>21</v>
      </c>
      <c r="L7856" t="s" s="16">
        <f>HYPERLINK("http://csr.bu.edu/ftp/asl/asllvd/demos/verify_start_end_handshape_annotations//test_auto_move//signs_mov_separ_signers/Liz_2026.mov","MOV")</f>
        <v>21</v>
      </c>
      <c r="M7856" t="s" s="10">
        <v>36</v>
      </c>
      <c r="N7856" s="17">
        <v>5</v>
      </c>
      <c r="O7856" s="18">
        <v>2240</v>
      </c>
      <c r="P7856" s="18">
        <v>2305</v>
      </c>
      <c r="Q7856" t="s" s="16">
        <f>HYPERLINK("http://secrets.rutgers.edu:8080/data/asl-ftp/asllvd/demos/verify_start_end_handshape_annotations//test_auto_move//signs_mov/2026.mov","MOV")</f>
        <v>21</v>
      </c>
      <c r="R7856" t="s" s="16">
        <f>HYPERLINK("http://secrets.rutgers.edu:8080/data/asl-ftp/asllvd/demos/verify_start_end_handshape_annotations//test_auto_move//signs_mov_separ_signers/Liz_2026.mov","MOV")</f>
        <v>21</v>
      </c>
    </row>
    <row r="7857" s="2" customFormat="1" ht="13.5" customHeight="1">
      <c r="B7857" t="s" s="8">
        <v>52</v>
      </c>
      <c r="C7857" t="s" s="9">
        <v>53</v>
      </c>
      <c r="D7857" t="s" s="8">
        <v>53</v>
      </c>
      <c r="E7857" t="s" s="9">
        <v>53</v>
      </c>
      <c r="F7857" t="s" s="10">
        <v>53</v>
      </c>
      <c r="G7857" t="s" s="11">
        <v>53</v>
      </c>
      <c r="H7857" t="s" s="10">
        <v>53</v>
      </c>
      <c r="I7857" t="s" s="11">
        <v>53</v>
      </c>
      <c r="J7857" t="s" s="11">
        <v>53</v>
      </c>
      <c r="K7857" t="s" s="12">
        <v>53</v>
      </c>
      <c r="L7857" t="s" s="12">
        <v>53</v>
      </c>
      <c r="M7857" t="s" s="10">
        <v>53</v>
      </c>
      <c r="N7857" t="s" s="11">
        <v>53</v>
      </c>
      <c r="O7857" t="s" s="8">
        <v>53</v>
      </c>
      <c r="P7857" t="s" s="8">
        <v>53</v>
      </c>
      <c r="Q7857" t="s" s="12">
        <v>53</v>
      </c>
      <c r="R7857" t="s" s="12">
        <v>53</v>
      </c>
    </row>
    <row r="7858" s="2" customFormat="1" ht="13.5" customHeight="1">
      <c r="B7858" s="13"/>
      <c r="C7858" t="s" s="9">
        <v>30</v>
      </c>
      <c r="D7858" t="s" s="8">
        <v>2796</v>
      </c>
      <c r="E7858" t="s" s="9">
        <v>2797</v>
      </c>
      <c r="F7858" s="19">
        <v>4</v>
      </c>
      <c r="G7858" s="17">
        <v>4</v>
      </c>
      <c r="H7858" s="19">
        <v>4</v>
      </c>
      <c r="I7858" s="17">
        <v>4</v>
      </c>
      <c r="J7858" t="s" s="11">
        <v>20</v>
      </c>
      <c r="K7858" t="s" s="16">
        <f>HYPERLINK("http://csr.bu.edu/ftp/asl/asllvd/demos/verify_start_end_handshape_annotations//test_auto_move//signs_mov/16429.mov","MOV")</f>
        <v>21</v>
      </c>
      <c r="L7858" t="s" s="16">
        <f>HYPERLINK("http://csr.bu.edu/ftp/asl/asllvd/demos/verify_start_end_handshape_annotations//test_auto_move//signs_mov_separ_signers/Brady_16429.mov","MOV")</f>
        <v>21</v>
      </c>
      <c r="M7858" t="s" s="10">
        <v>40</v>
      </c>
      <c r="N7858" s="17">
        <v>50</v>
      </c>
      <c r="O7858" s="18">
        <v>1356</v>
      </c>
      <c r="P7858" s="18">
        <v>1386</v>
      </c>
      <c r="Q7858" t="s" s="16">
        <f>HYPERLINK("http://secrets.rutgers.edu:8080/data/asl-ftp/asllvd/demos/verify_start_end_handshape_annotations//test_auto_move//signs_mov/16429.mov","MOV")</f>
        <v>21</v>
      </c>
      <c r="R7858" t="s" s="16">
        <f>HYPERLINK("http://secrets.rutgers.edu:8080/data/asl-ftp/asllvd/demos/verify_start_end_handshape_annotations//test_auto_move//signs_mov_separ_signers/Brady_16429.mov","MOV")</f>
        <v>21</v>
      </c>
    </row>
    <row r="7859" s="2" customFormat="1" ht="13.5" customHeight="1">
      <c r="B7859" t="s" s="8">
        <v>2798</v>
      </c>
      <c r="C7859" t="s" s="9">
        <v>14</v>
      </c>
      <c r="D7859" t="s" s="8">
        <v>14</v>
      </c>
      <c r="E7859" t="s" s="9">
        <v>14</v>
      </c>
      <c r="F7859" t="s" s="10">
        <v>14</v>
      </c>
      <c r="G7859" t="s" s="11">
        <v>14</v>
      </c>
      <c r="H7859" t="s" s="10">
        <v>14</v>
      </c>
      <c r="I7859" t="s" s="11">
        <v>14</v>
      </c>
      <c r="J7859" t="s" s="11">
        <v>14</v>
      </c>
      <c r="K7859" t="s" s="12">
        <v>14</v>
      </c>
      <c r="L7859" t="s" s="12">
        <v>14</v>
      </c>
      <c r="M7859" t="s" s="10">
        <v>14</v>
      </c>
      <c r="N7859" t="s" s="11">
        <v>14</v>
      </c>
      <c r="O7859" t="s" s="8">
        <v>14</v>
      </c>
      <c r="P7859" t="s" s="8">
        <v>14</v>
      </c>
      <c r="Q7859" t="s" s="12">
        <v>14</v>
      </c>
      <c r="R7859" t="s" s="12">
        <v>14</v>
      </c>
    </row>
    <row r="7860" s="2" customFormat="1" ht="13.5" customHeight="1">
      <c r="B7860" s="13"/>
      <c r="C7860" t="s" s="9">
        <v>16</v>
      </c>
      <c r="D7860" t="s" s="8">
        <v>2798</v>
      </c>
      <c r="E7860" t="s" s="9">
        <v>2799</v>
      </c>
      <c r="F7860" t="s" s="10">
        <v>75</v>
      </c>
      <c r="G7860" t="s" s="11">
        <v>73</v>
      </c>
      <c r="H7860" t="s" s="10">
        <v>75</v>
      </c>
      <c r="I7860" t="s" s="11">
        <v>73</v>
      </c>
      <c r="J7860" t="s" s="11">
        <v>20</v>
      </c>
      <c r="K7860" s="15"/>
      <c r="L7860" t="s" s="16">
        <f>HYPERLINK("http://csr.bu.edu/ftp/asl/asllvd/demos/verify_start_end_handshape_annotations//test_auto_move//signs_mov_separ_signers/Liz_2029.mov","MOV")</f>
        <v>21</v>
      </c>
      <c r="M7860" t="s" s="10">
        <v>36</v>
      </c>
      <c r="N7860" s="17">
        <v>5</v>
      </c>
      <c r="O7860" s="18">
        <v>3040</v>
      </c>
      <c r="P7860" s="18">
        <v>3086</v>
      </c>
      <c r="Q7860" s="15"/>
      <c r="R7860" t="s" s="16">
        <f>HYPERLINK("http://secrets.rutgers.edu:8080/data/asl-ftp/asllvd/demos/verify_start_end_handshape_annotations//test_auto_move//signs_mov_separ_signers/Liz_2029.mov","MOV")</f>
        <v>21</v>
      </c>
    </row>
    <row r="7861" s="2" customFormat="1" ht="13.5" customHeight="1">
      <c r="B7861" s="13"/>
      <c r="C7861" t="s" s="9">
        <v>23</v>
      </c>
      <c r="D7861" t="s" s="8">
        <v>2798</v>
      </c>
      <c r="E7861" t="s" s="9">
        <v>2800</v>
      </c>
      <c r="F7861" t="s" s="10">
        <v>72</v>
      </c>
      <c r="G7861" t="s" s="11">
        <v>73</v>
      </c>
      <c r="H7861" t="s" s="10">
        <v>72</v>
      </c>
      <c r="I7861" t="s" s="11">
        <v>73</v>
      </c>
      <c r="J7861" t="s" s="11">
        <v>20</v>
      </c>
      <c r="K7861" t="s" s="16">
        <f>HYPERLINK("http://csr.bu.edu/ftp/asl/asllvd/demos/verify_start_end_handshape_annotations//test_auto_move//signs_mov/2029.mov","MOV")</f>
        <v>21</v>
      </c>
      <c r="L7861" t="s" s="16">
        <f>HYPERLINK("http://csr.bu.edu/ftp/asl/asllvd/demos/verify_start_end_handshape_annotations//test_auto_move//signs_mov_separ_signers/Tyler_2029.mov","MOV")</f>
        <v>21</v>
      </c>
      <c r="M7861" t="s" s="10">
        <v>92</v>
      </c>
      <c r="N7861" s="17">
        <v>34</v>
      </c>
      <c r="O7861" s="18">
        <v>1576</v>
      </c>
      <c r="P7861" s="18">
        <v>1642</v>
      </c>
      <c r="Q7861" t="s" s="16">
        <f>HYPERLINK("http://secrets.rutgers.edu:8080/data/asl-ftp/asllvd/demos/verify_start_end_handshape_annotations//test_auto_move//signs_mov/2029.mov","MOV")</f>
        <v>21</v>
      </c>
      <c r="R7861" t="s" s="16">
        <f>HYPERLINK("http://secrets.rutgers.edu:8080/data/asl-ftp/asllvd/demos/verify_start_end_handshape_annotations//test_auto_move//signs_mov_separ_signers/Tyler_2029.mov","MOV")</f>
        <v>21</v>
      </c>
    </row>
    <row r="7862" s="2" customFormat="1" ht="13.5" customHeight="1">
      <c r="B7862" s="13"/>
      <c r="C7862" t="s" s="9">
        <v>30</v>
      </c>
      <c r="D7862" t="s" s="8">
        <v>2798</v>
      </c>
      <c r="E7862" t="s" s="9">
        <v>2800</v>
      </c>
      <c r="F7862" t="s" s="10">
        <v>72</v>
      </c>
      <c r="G7862" t="s" s="11">
        <v>73</v>
      </c>
      <c r="H7862" t="s" s="10">
        <v>75</v>
      </c>
      <c r="I7862" t="s" s="11">
        <v>73</v>
      </c>
      <c r="J7862" t="s" s="11">
        <v>20</v>
      </c>
      <c r="K7862" s="15"/>
      <c r="L7862" t="s" s="16">
        <f>HYPERLINK("http://csr.bu.edu/ftp/asl/asllvd/demos/verify_start_end_handshape_annotations//test_auto_move//signs_mov_separ_signers/Brady_2029.mov","MOV")</f>
        <v>21</v>
      </c>
      <c r="M7862" t="s" s="10">
        <v>40</v>
      </c>
      <c r="N7862" s="17">
        <v>50</v>
      </c>
      <c r="O7862" s="18">
        <v>2049</v>
      </c>
      <c r="P7862" s="18">
        <v>2090</v>
      </c>
      <c r="Q7862" s="15"/>
      <c r="R7862" t="s" s="16">
        <f>HYPERLINK("http://secrets.rutgers.edu:8080/data/asl-ftp/asllvd/demos/verify_start_end_handshape_annotations//test_auto_move//signs_mov_separ_signers/Brady_2029.mov","MOV")</f>
        <v>21</v>
      </c>
    </row>
    <row r="7863" s="2" customFormat="1" ht="13.5" customHeight="1">
      <c r="B7863" t="s" s="8">
        <v>2801</v>
      </c>
      <c r="C7863" t="s" s="9">
        <v>14</v>
      </c>
      <c r="D7863" t="s" s="8">
        <v>14</v>
      </c>
      <c r="E7863" t="s" s="9">
        <v>14</v>
      </c>
      <c r="F7863" t="s" s="10">
        <v>14</v>
      </c>
      <c r="G7863" t="s" s="11">
        <v>14</v>
      </c>
      <c r="H7863" t="s" s="10">
        <v>14</v>
      </c>
      <c r="I7863" t="s" s="11">
        <v>14</v>
      </c>
      <c r="J7863" t="s" s="11">
        <v>14</v>
      </c>
      <c r="K7863" t="s" s="12">
        <v>14</v>
      </c>
      <c r="L7863" t="s" s="12">
        <v>14</v>
      </c>
      <c r="M7863" t="s" s="10">
        <v>14</v>
      </c>
      <c r="N7863" t="s" s="11">
        <v>14</v>
      </c>
      <c r="O7863" t="s" s="8">
        <v>14</v>
      </c>
      <c r="P7863" t="s" s="8">
        <v>14</v>
      </c>
      <c r="Q7863" t="s" s="12">
        <v>14</v>
      </c>
      <c r="R7863" t="s" s="12">
        <v>14</v>
      </c>
    </row>
    <row r="7864" s="2" customFormat="1" ht="13.5" customHeight="1">
      <c r="B7864" s="13"/>
      <c r="C7864" t="s" s="9">
        <v>16</v>
      </c>
      <c r="D7864" t="s" s="8">
        <v>2801</v>
      </c>
      <c r="E7864" t="s" s="9">
        <v>2801</v>
      </c>
      <c r="F7864" s="19">
        <v>1</v>
      </c>
      <c r="G7864" s="17">
        <v>1</v>
      </c>
      <c r="H7864" t="s" s="10">
        <v>268</v>
      </c>
      <c r="I7864" t="s" s="11">
        <v>268</v>
      </c>
      <c r="J7864" t="s" s="11">
        <v>20</v>
      </c>
      <c r="K7864" t="s" s="16">
        <f>HYPERLINK("http://csr.bu.edu/ftp/asl/asllvd/demos/verify_start_end_handshape_annotations//test_auto_move//signs_mov/2030.mov","MOV")</f>
        <v>21</v>
      </c>
      <c r="L7864" t="s" s="16">
        <f>HYPERLINK("http://csr.bu.edu/ftp/asl/asllvd/demos/verify_start_end_handshape_annotations//test_auto_move//signs_mov_separ_signers/Liz_2030.mov","MOV")</f>
        <v>21</v>
      </c>
      <c r="M7864" t="s" s="10">
        <v>36</v>
      </c>
      <c r="N7864" s="17">
        <v>6</v>
      </c>
      <c r="O7864" s="18">
        <v>780</v>
      </c>
      <c r="P7864" s="18">
        <v>826</v>
      </c>
      <c r="Q7864" t="s" s="16">
        <f>HYPERLINK("http://secrets.rutgers.edu:8080/data/asl-ftp/asllvd/demos/verify_start_end_handshape_annotations//test_auto_move//signs_mov/2030.mov","MOV")</f>
        <v>21</v>
      </c>
      <c r="R7864" t="s" s="16">
        <f>HYPERLINK("http://secrets.rutgers.edu:8080/data/asl-ftp/asllvd/demos/verify_start_end_handshape_annotations//test_auto_move//signs_mov_separ_signers/Liz_2030.mov","MOV")</f>
        <v>21</v>
      </c>
    </row>
    <row r="7865" s="2" customFormat="1" ht="13.5" customHeight="1">
      <c r="B7865" s="13"/>
      <c r="C7865" t="s" s="9">
        <v>30</v>
      </c>
      <c r="D7865" t="s" s="8">
        <v>2801</v>
      </c>
      <c r="E7865" t="s" s="9">
        <v>2801</v>
      </c>
      <c r="F7865" s="19">
        <v>1</v>
      </c>
      <c r="G7865" s="17">
        <v>1</v>
      </c>
      <c r="H7865" s="19">
        <v>1</v>
      </c>
      <c r="I7865" s="17">
        <v>1</v>
      </c>
      <c r="J7865" t="s" s="11">
        <v>20</v>
      </c>
      <c r="K7865" s="15"/>
      <c r="L7865" t="s" s="16">
        <f>HYPERLINK("http://csr.bu.edu/ftp/asl/asllvd/demos/verify_start_end_handshape_annotations//test_auto_move//signs_mov_separ_signers/Brady_2030.mov","MOV")</f>
        <v>21</v>
      </c>
      <c r="M7865" t="s" s="10">
        <v>40</v>
      </c>
      <c r="N7865" s="17">
        <v>51</v>
      </c>
      <c r="O7865" s="18">
        <v>112</v>
      </c>
      <c r="P7865" s="18">
        <v>148</v>
      </c>
      <c r="Q7865" s="15"/>
      <c r="R7865" t="s" s="16">
        <f>HYPERLINK("http://secrets.rutgers.edu:8080/data/asl-ftp/asllvd/demos/verify_start_end_handshape_annotations//test_auto_move//signs_mov_separ_signers/Brady_2030.mov","MOV")</f>
        <v>21</v>
      </c>
    </row>
    <row r="7866" s="2" customFormat="1" ht="13.5" customHeight="1">
      <c r="B7866" t="s" s="8">
        <v>52</v>
      </c>
      <c r="C7866" t="s" s="9">
        <v>53</v>
      </c>
      <c r="D7866" t="s" s="8">
        <v>53</v>
      </c>
      <c r="E7866" t="s" s="9">
        <v>53</v>
      </c>
      <c r="F7866" t="s" s="10">
        <v>53</v>
      </c>
      <c r="G7866" t="s" s="11">
        <v>53</v>
      </c>
      <c r="H7866" t="s" s="10">
        <v>53</v>
      </c>
      <c r="I7866" t="s" s="11">
        <v>53</v>
      </c>
      <c r="J7866" t="s" s="11">
        <v>53</v>
      </c>
      <c r="K7866" t="s" s="12">
        <v>53</v>
      </c>
      <c r="L7866" t="s" s="12">
        <v>53</v>
      </c>
      <c r="M7866" t="s" s="10">
        <v>53</v>
      </c>
      <c r="N7866" t="s" s="11">
        <v>53</v>
      </c>
      <c r="O7866" t="s" s="8">
        <v>53</v>
      </c>
      <c r="P7866" t="s" s="8">
        <v>53</v>
      </c>
      <c r="Q7866" t="s" s="12">
        <v>53</v>
      </c>
      <c r="R7866" t="s" s="12">
        <v>53</v>
      </c>
    </row>
    <row r="7867" s="2" customFormat="1" ht="13.5" customHeight="1">
      <c r="B7867" s="13"/>
      <c r="C7867" t="s" s="9">
        <v>16</v>
      </c>
      <c r="D7867" t="s" s="8">
        <v>2801</v>
      </c>
      <c r="E7867" t="s" s="9">
        <v>2802</v>
      </c>
      <c r="F7867" t="s" s="10">
        <v>251</v>
      </c>
      <c r="G7867" t="s" s="11">
        <v>251</v>
      </c>
      <c r="H7867" t="s" s="10">
        <v>251</v>
      </c>
      <c r="I7867" t="s" s="11">
        <v>251</v>
      </c>
      <c r="J7867" t="s" s="11">
        <v>20</v>
      </c>
      <c r="K7867" t="s" s="16">
        <f>HYPERLINK("http://csr.bu.edu/ftp/asl/asllvd/demos/verify_start_end_handshape_annotations//test_auto_move//signs_mov/3731.mov","MOV")</f>
        <v>21</v>
      </c>
      <c r="L7867" t="s" s="16">
        <f>HYPERLINK("http://csr.bu.edu/ftp/asl/asllvd/demos/verify_start_end_handshape_annotations//test_auto_move//signs_mov_separ_signers/Liz_3731.mov","MOV")</f>
        <v>21</v>
      </c>
      <c r="M7867" t="s" s="10">
        <v>36</v>
      </c>
      <c r="N7867" s="17">
        <v>6</v>
      </c>
      <c r="O7867" s="18">
        <v>300</v>
      </c>
      <c r="P7867" s="18">
        <v>380</v>
      </c>
      <c r="Q7867" t="s" s="16">
        <f>HYPERLINK("http://secrets.rutgers.edu:8080/data/asl-ftp/asllvd/demos/verify_start_end_handshape_annotations//test_auto_move//signs_mov/3731.mov","MOV")</f>
        <v>21</v>
      </c>
      <c r="R7867" t="s" s="16">
        <f>HYPERLINK("http://secrets.rutgers.edu:8080/data/asl-ftp/asllvd/demos/verify_start_end_handshape_annotations//test_auto_move//signs_mov_separ_signers/Liz_3731.mov","MOV")</f>
        <v>21</v>
      </c>
    </row>
    <row r="7868" s="2" customFormat="1" ht="13.5" customHeight="1">
      <c r="B7868" s="13"/>
      <c r="C7868" t="s" s="9">
        <v>30</v>
      </c>
      <c r="D7868" t="s" s="8">
        <v>2801</v>
      </c>
      <c r="E7868" t="s" s="9">
        <v>2802</v>
      </c>
      <c r="F7868" t="s" s="10">
        <v>251</v>
      </c>
      <c r="G7868" t="s" s="11">
        <v>251</v>
      </c>
      <c r="H7868" t="s" s="10">
        <v>251</v>
      </c>
      <c r="I7868" t="s" s="11">
        <v>251</v>
      </c>
      <c r="J7868" t="s" s="11">
        <v>20</v>
      </c>
      <c r="K7868" s="15"/>
      <c r="L7868" t="s" s="16">
        <f>HYPERLINK("http://csr.bu.edu/ftp/asl/asllvd/demos/verify_start_end_handshape_annotations//test_auto_move//signs_mov_separ_signers/Brady_3731.mov","MOV")</f>
        <v>21</v>
      </c>
      <c r="M7868" t="s" s="10">
        <v>40</v>
      </c>
      <c r="N7868" s="17">
        <v>50</v>
      </c>
      <c r="O7868" s="18">
        <v>2694</v>
      </c>
      <c r="P7868" s="18">
        <v>2732</v>
      </c>
      <c r="Q7868" s="15"/>
      <c r="R7868" t="s" s="16">
        <f>HYPERLINK("http://secrets.rutgers.edu:8080/data/asl-ftp/asllvd/demos/verify_start_end_handshape_annotations//test_auto_move//signs_mov_separ_signers/Brady_3731.mov","MOV")</f>
        <v>21</v>
      </c>
    </row>
    <row r="7869" s="2" customFormat="1" ht="13.5" customHeight="1">
      <c r="B7869" t="s" s="8">
        <v>2803</v>
      </c>
      <c r="C7869" t="s" s="9">
        <v>14</v>
      </c>
      <c r="D7869" t="s" s="8">
        <v>14</v>
      </c>
      <c r="E7869" t="s" s="9">
        <v>14</v>
      </c>
      <c r="F7869" t="s" s="10">
        <v>14</v>
      </c>
      <c r="G7869" t="s" s="11">
        <v>14</v>
      </c>
      <c r="H7869" t="s" s="10">
        <v>14</v>
      </c>
      <c r="I7869" t="s" s="11">
        <v>14</v>
      </c>
      <c r="J7869" t="s" s="11">
        <v>14</v>
      </c>
      <c r="K7869" t="s" s="12">
        <v>14</v>
      </c>
      <c r="L7869" t="s" s="12">
        <v>14</v>
      </c>
      <c r="M7869" t="s" s="10">
        <v>14</v>
      </c>
      <c r="N7869" t="s" s="11">
        <v>14</v>
      </c>
      <c r="O7869" t="s" s="8">
        <v>14</v>
      </c>
      <c r="P7869" t="s" s="8">
        <v>14</v>
      </c>
      <c r="Q7869" t="s" s="12">
        <v>14</v>
      </c>
      <c r="R7869" t="s" s="12">
        <v>14</v>
      </c>
    </row>
    <row r="7870" s="2" customFormat="1" ht="13.5" customHeight="1">
      <c r="B7870" s="13"/>
      <c r="C7870" t="s" s="9">
        <v>16</v>
      </c>
      <c r="D7870" t="s" s="8">
        <v>2803</v>
      </c>
      <c r="E7870" t="s" s="9">
        <v>2803</v>
      </c>
      <c r="F7870" t="s" s="10">
        <v>229</v>
      </c>
      <c r="G7870" t="s" s="11">
        <v>73</v>
      </c>
      <c r="H7870" t="s" s="10">
        <v>229</v>
      </c>
      <c r="I7870" t="s" s="11">
        <v>73</v>
      </c>
      <c r="J7870" t="s" s="11">
        <v>20</v>
      </c>
      <c r="K7870" s="15"/>
      <c r="L7870" t="s" s="16">
        <f>HYPERLINK("http://csr.bu.edu/ftp/asl/asllvd/demos/verify_start_end_handshape_annotations//test_auto_move//signs_mov_separ_signers/Liz_2037.mov","MOV")</f>
        <v>21</v>
      </c>
      <c r="M7870" t="s" s="10">
        <v>36</v>
      </c>
      <c r="N7870" s="17">
        <v>6</v>
      </c>
      <c r="O7870" s="18">
        <v>5390</v>
      </c>
      <c r="P7870" s="18">
        <v>5423</v>
      </c>
      <c r="Q7870" s="15"/>
      <c r="R7870" t="s" s="16">
        <f>HYPERLINK("http://secrets.rutgers.edu:8080/data/asl-ftp/asllvd/demos/verify_start_end_handshape_annotations//test_auto_move//signs_mov_separ_signers/Liz_2037.mov","MOV")</f>
        <v>21</v>
      </c>
    </row>
    <row r="7871" s="2" customFormat="1" ht="13.5" customHeight="1">
      <c r="B7871" s="13"/>
      <c r="C7871" t="s" s="9">
        <v>16</v>
      </c>
      <c r="D7871" t="s" s="8">
        <v>2803</v>
      </c>
      <c r="E7871" t="s" s="9">
        <v>2804</v>
      </c>
      <c r="F7871" t="s" s="10">
        <v>229</v>
      </c>
      <c r="G7871" t="s" s="11">
        <v>73</v>
      </c>
      <c r="H7871" t="s" s="10">
        <v>229</v>
      </c>
      <c r="I7871" t="s" s="11">
        <v>73</v>
      </c>
      <c r="J7871" t="s" s="11">
        <v>20</v>
      </c>
      <c r="K7871" t="s" s="16">
        <f>HYPERLINK("http://csr.bu.edu/ftp/asl/asllvd/demos/verify_start_end_handshape_annotations//test_auto_move//signs_mov/2037_3732_merged.mov","MOV")</f>
        <v>21</v>
      </c>
      <c r="L7871" t="s" s="16">
        <f>HYPERLINK("http://csr.bu.edu/ftp/asl/asllvd/demos/verify_start_end_handshape_annotations//test_auto_move//signs_mov_separ_signers/Liz_3732.mov","MOV")</f>
        <v>21</v>
      </c>
      <c r="M7871" t="s" s="10">
        <v>36</v>
      </c>
      <c r="N7871" s="17">
        <v>6</v>
      </c>
      <c r="O7871" s="18">
        <v>5605</v>
      </c>
      <c r="P7871" s="18">
        <v>5650</v>
      </c>
      <c r="Q7871" t="s" s="16">
        <f>HYPERLINK("http://secrets.rutgers.edu:8080/data/asl-ftp/asllvd/demos/verify_start_end_handshape_annotations//test_auto_move//signs_mov/2037_3732_merged.mov","MOV")</f>
        <v>21</v>
      </c>
      <c r="R7871" t="s" s="16">
        <f>HYPERLINK("http://secrets.rutgers.edu:8080/data/asl-ftp/asllvd/demos/verify_start_end_handshape_annotations//test_auto_move//signs_mov_separ_signers/Liz_3732.mov","MOV")</f>
        <v>21</v>
      </c>
    </row>
    <row r="7872" s="2" customFormat="1" ht="13.5" customHeight="1">
      <c r="B7872" s="13"/>
      <c r="C7872" t="s" s="9">
        <v>30</v>
      </c>
      <c r="D7872" t="s" s="8">
        <v>2803</v>
      </c>
      <c r="E7872" t="s" s="9">
        <v>2803</v>
      </c>
      <c r="F7872" t="s" s="10">
        <v>229</v>
      </c>
      <c r="G7872" t="s" s="11">
        <v>73</v>
      </c>
      <c r="H7872" t="s" s="10">
        <v>229</v>
      </c>
      <c r="I7872" t="s" s="11">
        <v>73</v>
      </c>
      <c r="J7872" t="s" s="11">
        <v>20</v>
      </c>
      <c r="K7872" s="15"/>
      <c r="L7872" t="s" s="16">
        <f>HYPERLINK("http://csr.bu.edu/ftp/asl/asllvd/demos/verify_start_end_handshape_annotations//test_auto_move//signs_mov_separ_signers/Brady_2037.mov","MOV")</f>
        <v>21</v>
      </c>
      <c r="M7872" t="s" s="10">
        <v>40</v>
      </c>
      <c r="N7872" s="17">
        <v>51</v>
      </c>
      <c r="O7872" s="18">
        <v>2673</v>
      </c>
      <c r="P7872" s="18">
        <v>2692</v>
      </c>
      <c r="Q7872" s="15"/>
      <c r="R7872" t="s" s="16">
        <f>HYPERLINK("http://secrets.rutgers.edu:8080/data/asl-ftp/asllvd/demos/verify_start_end_handshape_annotations//test_auto_move//signs_mov_separ_signers/Brady_2037.mov","MOV")</f>
        <v>21</v>
      </c>
    </row>
    <row r="7873" s="2" customFormat="1" ht="13.5" customHeight="1">
      <c r="B7873" s="13"/>
      <c r="C7873" t="s" s="9">
        <v>30</v>
      </c>
      <c r="D7873" t="s" s="8">
        <v>2803</v>
      </c>
      <c r="E7873" t="s" s="9">
        <v>2804</v>
      </c>
      <c r="F7873" t="s" s="10">
        <v>229</v>
      </c>
      <c r="G7873" t="s" s="11">
        <v>73</v>
      </c>
      <c r="H7873" t="s" s="10">
        <v>229</v>
      </c>
      <c r="I7873" t="s" s="11">
        <v>73</v>
      </c>
      <c r="J7873" t="s" s="11">
        <v>20</v>
      </c>
      <c r="K7873" s="15"/>
      <c r="L7873" t="s" s="16">
        <f>HYPERLINK("http://csr.bu.edu/ftp/asl/asllvd/demos/verify_start_end_handshape_annotations//test_auto_move//signs_mov_separ_signers/Brady_3732.mov","MOV")</f>
        <v>21</v>
      </c>
      <c r="M7873" t="s" s="10">
        <v>40</v>
      </c>
      <c r="N7873" s="17">
        <v>51</v>
      </c>
      <c r="O7873" s="18">
        <v>2926</v>
      </c>
      <c r="P7873" s="18">
        <v>2958</v>
      </c>
      <c r="Q7873" s="15"/>
      <c r="R7873" t="s" s="16">
        <f>HYPERLINK("http://secrets.rutgers.edu:8080/data/asl-ftp/asllvd/demos/verify_start_end_handshape_annotations//test_auto_move//signs_mov_separ_signers/Brady_3732.mov","MOV")</f>
        <v>21</v>
      </c>
    </row>
    <row r="7874" s="2" customFormat="1" ht="13.5" customHeight="1">
      <c r="B7874" t="s" s="8">
        <v>2805</v>
      </c>
      <c r="C7874" t="s" s="9">
        <v>14</v>
      </c>
      <c r="D7874" t="s" s="8">
        <v>14</v>
      </c>
      <c r="E7874" t="s" s="9">
        <v>14</v>
      </c>
      <c r="F7874" t="s" s="10">
        <v>14</v>
      </c>
      <c r="G7874" t="s" s="11">
        <v>14</v>
      </c>
      <c r="H7874" t="s" s="10">
        <v>14</v>
      </c>
      <c r="I7874" t="s" s="11">
        <v>14</v>
      </c>
      <c r="J7874" t="s" s="11">
        <v>14</v>
      </c>
      <c r="K7874" t="s" s="12">
        <v>14</v>
      </c>
      <c r="L7874" t="s" s="12">
        <v>14</v>
      </c>
      <c r="M7874" t="s" s="10">
        <v>14</v>
      </c>
      <c r="N7874" t="s" s="11">
        <v>14</v>
      </c>
      <c r="O7874" t="s" s="8">
        <v>14</v>
      </c>
      <c r="P7874" t="s" s="8">
        <v>14</v>
      </c>
      <c r="Q7874" t="s" s="12">
        <v>14</v>
      </c>
      <c r="R7874" t="s" s="12">
        <v>14</v>
      </c>
    </row>
    <row r="7875" s="2" customFormat="1" ht="13.5" customHeight="1">
      <c r="B7875" s="13"/>
      <c r="C7875" t="s" s="9">
        <v>41</v>
      </c>
      <c r="D7875" t="s" s="8">
        <v>2805</v>
      </c>
      <c r="E7875" t="s" s="9">
        <v>2805</v>
      </c>
      <c r="F7875" t="s" s="10">
        <v>251</v>
      </c>
      <c r="G7875" t="s" s="11">
        <v>251</v>
      </c>
      <c r="H7875" t="s" s="10">
        <v>251</v>
      </c>
      <c r="I7875" t="s" s="11">
        <v>251</v>
      </c>
      <c r="J7875" t="s" s="11">
        <v>20</v>
      </c>
      <c r="K7875" t="s" s="16">
        <f>HYPERLINK("http://csr.bu.edu/ftp/asl/asllvd/demos/verify_start_end_handshape_annotations//test_auto_move//signs_mov/2039.mov","MOV")</f>
        <v>21</v>
      </c>
      <c r="L7875" t="s" s="16">
        <f>HYPERLINK("http://csr.bu.edu/ftp/asl/asllvd/demos/verify_start_end_handshape_annotations//test_auto_move//signs_mov_separ_signers/Lana_2039.mov","MOV")</f>
        <v>21</v>
      </c>
      <c r="M7875" t="s" s="10">
        <v>42</v>
      </c>
      <c r="N7875" s="17">
        <v>22</v>
      </c>
      <c r="O7875" s="18">
        <v>1710</v>
      </c>
      <c r="P7875" s="18">
        <v>1724</v>
      </c>
      <c r="Q7875" t="s" s="16">
        <f>HYPERLINK("http://secrets.rutgers.edu:8080/data/asl-ftp/asllvd/demos/verify_start_end_handshape_annotations//test_auto_move//signs_mov/2039.mov","MOV")</f>
        <v>21</v>
      </c>
      <c r="R7875" t="s" s="16">
        <f>HYPERLINK("http://secrets.rutgers.edu:8080/data/asl-ftp/asllvd/demos/verify_start_end_handshape_annotations//test_auto_move//signs_mov_separ_signers/Lana_2039.mov","MOV")</f>
        <v>21</v>
      </c>
    </row>
    <row r="7876" s="2" customFormat="1" ht="13.5" customHeight="1">
      <c r="B7876" s="13"/>
      <c r="C7876" t="s" s="9">
        <v>43</v>
      </c>
      <c r="D7876" t="s" s="8">
        <v>2805</v>
      </c>
      <c r="E7876" t="s" s="9">
        <v>2805</v>
      </c>
      <c r="F7876" t="s" s="10">
        <v>251</v>
      </c>
      <c r="G7876" t="s" s="11">
        <v>251</v>
      </c>
      <c r="H7876" t="s" s="10">
        <v>251</v>
      </c>
      <c r="I7876" t="s" s="11">
        <v>251</v>
      </c>
      <c r="J7876" t="s" s="11">
        <v>20</v>
      </c>
      <c r="K7876" s="15"/>
      <c r="L7876" t="s" s="16">
        <f>HYPERLINK("http://csr.bu.edu/ftp/asl/asllvd/demos/verify_start_end_handshape_annotations//test_auto_move//signs_mov_separ_signers/Dana_2039.mov","MOV")</f>
        <v>21</v>
      </c>
      <c r="M7876" t="s" s="10">
        <v>44</v>
      </c>
      <c r="N7876" s="17">
        <v>25</v>
      </c>
      <c r="O7876" s="18">
        <v>1642</v>
      </c>
      <c r="P7876" s="18">
        <v>1663</v>
      </c>
      <c r="Q7876" s="15"/>
      <c r="R7876" t="s" s="16">
        <f>HYPERLINK("http://secrets.rutgers.edu:8080/data/asl-ftp/asllvd/demos/verify_start_end_handshape_annotations//test_auto_move//signs_mov_separ_signers/Dana_2039.mov","MOV")</f>
        <v>21</v>
      </c>
    </row>
    <row r="7877" s="2" customFormat="1" ht="13.5" customHeight="1">
      <c r="B7877" t="s" s="8">
        <v>52</v>
      </c>
      <c r="C7877" t="s" s="9">
        <v>53</v>
      </c>
      <c r="D7877" t="s" s="8">
        <v>53</v>
      </c>
      <c r="E7877" t="s" s="9">
        <v>53</v>
      </c>
      <c r="F7877" t="s" s="10">
        <v>53</v>
      </c>
      <c r="G7877" t="s" s="11">
        <v>53</v>
      </c>
      <c r="H7877" t="s" s="10">
        <v>53</v>
      </c>
      <c r="I7877" t="s" s="11">
        <v>53</v>
      </c>
      <c r="J7877" t="s" s="11">
        <v>53</v>
      </c>
      <c r="K7877" t="s" s="12">
        <v>53</v>
      </c>
      <c r="L7877" t="s" s="12">
        <v>53</v>
      </c>
      <c r="M7877" t="s" s="10">
        <v>53</v>
      </c>
      <c r="N7877" t="s" s="11">
        <v>53</v>
      </c>
      <c r="O7877" t="s" s="8">
        <v>53</v>
      </c>
      <c r="P7877" t="s" s="8">
        <v>53</v>
      </c>
      <c r="Q7877" t="s" s="12">
        <v>53</v>
      </c>
      <c r="R7877" t="s" s="12">
        <v>53</v>
      </c>
    </row>
    <row r="7878" s="2" customFormat="1" ht="13.5" customHeight="1">
      <c r="B7878" s="13"/>
      <c r="C7878" t="s" s="9">
        <v>16</v>
      </c>
      <c r="D7878" t="s" s="8">
        <v>2805</v>
      </c>
      <c r="E7878" t="s" s="9">
        <v>2806</v>
      </c>
      <c r="F7878" t="s" s="10">
        <v>251</v>
      </c>
      <c r="G7878" t="s" s="11">
        <v>251</v>
      </c>
      <c r="H7878" t="s" s="10">
        <v>251</v>
      </c>
      <c r="I7878" t="s" s="11">
        <v>251</v>
      </c>
      <c r="J7878" t="s" s="11">
        <v>20</v>
      </c>
      <c r="K7878" t="s" s="16">
        <f>HYPERLINK("http://csr.bu.edu/ftp/asl/asllvd/demos/verify_start_end_handshape_annotations//test_auto_move//signs_mov/15930.mov","MOV")</f>
        <v>21</v>
      </c>
      <c r="L7878" t="s" s="16">
        <f>HYPERLINK("http://csr.bu.edu/ftp/asl/asllvd/demos/verify_start_end_handshape_annotations//test_auto_move//signs_mov_separ_signers/Liz_15930.mov","MOV")</f>
        <v>21</v>
      </c>
      <c r="M7878" t="s" s="10">
        <v>36</v>
      </c>
      <c r="N7878" s="17">
        <v>6</v>
      </c>
      <c r="O7878" s="18">
        <v>5930</v>
      </c>
      <c r="P7878" s="18">
        <v>5955</v>
      </c>
      <c r="Q7878" t="s" s="16">
        <f>HYPERLINK("http://secrets.rutgers.edu:8080/data/asl-ftp/asllvd/demos/verify_start_end_handshape_annotations//test_auto_move//signs_mov/15930.mov","MOV")</f>
        <v>21</v>
      </c>
      <c r="R7878" t="s" s="16">
        <f>HYPERLINK("http://secrets.rutgers.edu:8080/data/asl-ftp/asllvd/demos/verify_start_end_handshape_annotations//test_auto_move//signs_mov_separ_signers/Liz_15930.mov","MOV")</f>
        <v>21</v>
      </c>
    </row>
    <row r="7879" s="2" customFormat="1" ht="13.5" customHeight="1">
      <c r="B7879" s="13"/>
      <c r="C7879" t="s" s="9">
        <v>30</v>
      </c>
      <c r="D7879" t="s" s="8">
        <v>2805</v>
      </c>
      <c r="E7879" t="s" s="9">
        <v>2806</v>
      </c>
      <c r="F7879" t="s" s="10">
        <v>251</v>
      </c>
      <c r="G7879" t="s" s="11">
        <v>251</v>
      </c>
      <c r="H7879" t="s" s="10">
        <v>251</v>
      </c>
      <c r="I7879" t="s" s="11">
        <v>251</v>
      </c>
      <c r="J7879" t="s" s="11">
        <v>20</v>
      </c>
      <c r="K7879" s="15"/>
      <c r="L7879" t="s" s="16">
        <f>HYPERLINK("http://csr.bu.edu/ftp/asl/asllvd/demos/verify_start_end_handshape_annotations//test_auto_move//signs_mov_separ_signers/Brady_15930.mov","MOV")</f>
        <v>21</v>
      </c>
      <c r="M7879" t="s" s="10">
        <v>40</v>
      </c>
      <c r="N7879" s="17">
        <v>51</v>
      </c>
      <c r="O7879" s="18">
        <v>3163</v>
      </c>
      <c r="P7879" s="18">
        <v>3202</v>
      </c>
      <c r="Q7879" s="15"/>
      <c r="R7879" t="s" s="16">
        <f>HYPERLINK("http://secrets.rutgers.edu:8080/data/asl-ftp/asllvd/demos/verify_start_end_handshape_annotations//test_auto_move//signs_mov_separ_signers/Brady_15930.mov","MOV")</f>
        <v>21</v>
      </c>
    </row>
    <row r="7880" s="2" customFormat="1" ht="13.5" customHeight="1">
      <c r="B7880" t="s" s="8">
        <v>2807</v>
      </c>
      <c r="C7880" t="s" s="9">
        <v>14</v>
      </c>
      <c r="D7880" t="s" s="8">
        <v>14</v>
      </c>
      <c r="E7880" t="s" s="9">
        <v>14</v>
      </c>
      <c r="F7880" t="s" s="10">
        <v>14</v>
      </c>
      <c r="G7880" t="s" s="11">
        <v>14</v>
      </c>
      <c r="H7880" t="s" s="10">
        <v>14</v>
      </c>
      <c r="I7880" t="s" s="11">
        <v>14</v>
      </c>
      <c r="J7880" t="s" s="11">
        <v>14</v>
      </c>
      <c r="K7880" t="s" s="12">
        <v>14</v>
      </c>
      <c r="L7880" t="s" s="12">
        <v>14</v>
      </c>
      <c r="M7880" t="s" s="10">
        <v>14</v>
      </c>
      <c r="N7880" t="s" s="11">
        <v>14</v>
      </c>
      <c r="O7880" t="s" s="8">
        <v>14</v>
      </c>
      <c r="P7880" t="s" s="8">
        <v>14</v>
      </c>
      <c r="Q7880" t="s" s="12">
        <v>14</v>
      </c>
      <c r="R7880" t="s" s="12">
        <v>14</v>
      </c>
    </row>
    <row r="7881" s="2" customFormat="1" ht="13.5" customHeight="1">
      <c r="B7881" s="13"/>
      <c r="C7881" t="s" s="9">
        <v>16</v>
      </c>
      <c r="D7881" t="s" s="8">
        <v>2807</v>
      </c>
      <c r="E7881" t="s" s="9">
        <v>2808</v>
      </c>
      <c r="F7881" t="s" s="10">
        <v>251</v>
      </c>
      <c r="G7881" s="14"/>
      <c r="H7881" t="s" s="10">
        <v>251</v>
      </c>
      <c r="I7881" s="14"/>
      <c r="J7881" t="s" s="11">
        <v>20</v>
      </c>
      <c r="K7881" t="s" s="16">
        <f>HYPERLINK("http://csr.bu.edu/ftp/asl/asllvd/demos/verify_start_end_handshape_annotations//test_auto_move//signs_mov/16308.mov","MOV")</f>
        <v>21</v>
      </c>
      <c r="L7881" t="s" s="16">
        <f>HYPERLINK("http://csr.bu.edu/ftp/asl/asllvd/demos/verify_start_end_handshape_annotations//test_auto_move//signs_mov_separ_signers/Liz_16308.mov","MOV")</f>
        <v>21</v>
      </c>
      <c r="M7881" t="s" s="10">
        <v>36</v>
      </c>
      <c r="N7881" s="17">
        <v>7</v>
      </c>
      <c r="O7881" s="18">
        <v>252</v>
      </c>
      <c r="P7881" s="18">
        <v>300</v>
      </c>
      <c r="Q7881" t="s" s="16">
        <f>HYPERLINK("http://secrets.rutgers.edu:8080/data/asl-ftp/asllvd/demos/verify_start_end_handshape_annotations//test_auto_move//signs_mov/16308.mov","MOV")</f>
        <v>21</v>
      </c>
      <c r="R7881" t="s" s="16">
        <f>HYPERLINK("http://secrets.rutgers.edu:8080/data/asl-ftp/asllvd/demos/verify_start_end_handshape_annotations//test_auto_move//signs_mov_separ_signers/Liz_16308.mov","MOV")</f>
        <v>21</v>
      </c>
    </row>
    <row r="7882" s="2" customFormat="1" ht="13.5" customHeight="1">
      <c r="B7882" s="13"/>
      <c r="C7882" t="s" s="9">
        <v>30</v>
      </c>
      <c r="D7882" t="s" s="8">
        <v>2807</v>
      </c>
      <c r="E7882" t="s" s="9">
        <v>2808</v>
      </c>
      <c r="F7882" t="s" s="10">
        <v>251</v>
      </c>
      <c r="G7882" s="14"/>
      <c r="H7882" t="s" s="10">
        <v>251</v>
      </c>
      <c r="I7882" s="14"/>
      <c r="J7882" t="s" s="11">
        <v>20</v>
      </c>
      <c r="K7882" s="15"/>
      <c r="L7882" t="s" s="16">
        <f>HYPERLINK("http://csr.bu.edu/ftp/asl/asllvd/demos/verify_start_end_handshape_annotations//test_auto_move//signs_mov_separ_signers/Brady_16308.mov","MOV")</f>
        <v>21</v>
      </c>
      <c r="M7882" t="s" s="10">
        <v>40</v>
      </c>
      <c r="N7882" s="17">
        <v>51</v>
      </c>
      <c r="O7882" s="18">
        <v>3397</v>
      </c>
      <c r="P7882" s="18">
        <v>3442</v>
      </c>
      <c r="Q7882" s="15"/>
      <c r="R7882" t="s" s="16">
        <f>HYPERLINK("http://secrets.rutgers.edu:8080/data/asl-ftp/asllvd/demos/verify_start_end_handshape_annotations//test_auto_move//signs_mov_separ_signers/Brady_16308.mov","MOV")</f>
        <v>21</v>
      </c>
    </row>
    <row r="7883" s="2" customFormat="1" ht="13.5" customHeight="1">
      <c r="B7883" t="s" s="8">
        <v>2809</v>
      </c>
      <c r="C7883" t="s" s="9">
        <v>14</v>
      </c>
      <c r="D7883" t="s" s="8">
        <v>14</v>
      </c>
      <c r="E7883" t="s" s="9">
        <v>14</v>
      </c>
      <c r="F7883" t="s" s="10">
        <v>14</v>
      </c>
      <c r="G7883" t="s" s="11">
        <v>14</v>
      </c>
      <c r="H7883" t="s" s="10">
        <v>14</v>
      </c>
      <c r="I7883" t="s" s="11">
        <v>14</v>
      </c>
      <c r="J7883" t="s" s="11">
        <v>14</v>
      </c>
      <c r="K7883" t="s" s="12">
        <v>14</v>
      </c>
      <c r="L7883" t="s" s="12">
        <v>14</v>
      </c>
      <c r="M7883" t="s" s="10">
        <v>14</v>
      </c>
      <c r="N7883" t="s" s="11">
        <v>14</v>
      </c>
      <c r="O7883" t="s" s="8">
        <v>14</v>
      </c>
      <c r="P7883" t="s" s="8">
        <v>14</v>
      </c>
      <c r="Q7883" t="s" s="12">
        <v>14</v>
      </c>
      <c r="R7883" t="s" s="12">
        <v>14</v>
      </c>
    </row>
    <row r="7884" s="2" customFormat="1" ht="13.5" customHeight="1">
      <c r="B7884" s="13"/>
      <c r="C7884" t="s" s="9">
        <v>16</v>
      </c>
      <c r="D7884" t="s" s="8">
        <v>2809</v>
      </c>
      <c r="E7884" t="s" s="9">
        <v>2809</v>
      </c>
      <c r="F7884" s="19">
        <v>5</v>
      </c>
      <c r="G7884" s="17">
        <v>5</v>
      </c>
      <c r="H7884" t="s" s="10">
        <v>68</v>
      </c>
      <c r="I7884" t="s" s="11">
        <v>68</v>
      </c>
      <c r="J7884" t="s" s="11">
        <v>20</v>
      </c>
      <c r="K7884" t="s" s="16">
        <f>HYPERLINK("http://csr.bu.edu/ftp/asl/asllvd/demos/verify_start_end_handshape_annotations//test_auto_move//signs_mov/2041.mov","MOV")</f>
        <v>21</v>
      </c>
      <c r="L7884" t="s" s="16">
        <f>HYPERLINK("http://csr.bu.edu/ftp/asl/asllvd/demos/verify_start_end_handshape_annotations//test_auto_move//signs_mov_separ_signers/Liz_2041.mov","MOV")</f>
        <v>21</v>
      </c>
      <c r="M7884" t="s" s="10">
        <v>36</v>
      </c>
      <c r="N7884" s="17">
        <v>7</v>
      </c>
      <c r="O7884" s="18">
        <v>462</v>
      </c>
      <c r="P7884" s="18">
        <v>496</v>
      </c>
      <c r="Q7884" t="s" s="16">
        <f>HYPERLINK("http://secrets.rutgers.edu:8080/data/asl-ftp/asllvd/demos/verify_start_end_handshape_annotations//test_auto_move//signs_mov/2041.mov","MOV")</f>
        <v>21</v>
      </c>
      <c r="R7884" t="s" s="16">
        <f>HYPERLINK("http://secrets.rutgers.edu:8080/data/asl-ftp/asllvd/demos/verify_start_end_handshape_annotations//test_auto_move//signs_mov_separ_signers/Liz_2041.mov","MOV")</f>
        <v>21</v>
      </c>
    </row>
    <row r="7885" s="2" customFormat="1" ht="13.5" customHeight="1">
      <c r="B7885" s="13"/>
      <c r="C7885" t="s" s="9">
        <v>30</v>
      </c>
      <c r="D7885" t="s" s="8">
        <v>2809</v>
      </c>
      <c r="E7885" t="s" s="9">
        <v>2809</v>
      </c>
      <c r="F7885" s="19">
        <v>5</v>
      </c>
      <c r="G7885" s="17">
        <v>5</v>
      </c>
      <c r="H7885" t="s" s="10">
        <v>68</v>
      </c>
      <c r="I7885" t="s" s="11">
        <v>68</v>
      </c>
      <c r="J7885" t="s" s="11">
        <v>20</v>
      </c>
      <c r="K7885" s="15"/>
      <c r="L7885" t="s" s="16">
        <f>HYPERLINK("http://csr.bu.edu/ftp/asl/asllvd/demos/verify_start_end_handshape_annotations//test_auto_move//signs_mov_separ_signers/Brady_2041.mov","MOV")</f>
        <v>21</v>
      </c>
      <c r="M7885" t="s" s="10">
        <v>40</v>
      </c>
      <c r="N7885" s="17">
        <v>52</v>
      </c>
      <c r="O7885" s="18">
        <v>111</v>
      </c>
      <c r="P7885" s="18">
        <v>137</v>
      </c>
      <c r="Q7885" s="15"/>
      <c r="R7885" t="s" s="16">
        <f>HYPERLINK("http://secrets.rutgers.edu:8080/data/asl-ftp/asllvd/demos/verify_start_end_handshape_annotations//test_auto_move//signs_mov_separ_signers/Brady_2041.mov","MOV")</f>
        <v>21</v>
      </c>
    </row>
    <row r="7886" s="2" customFormat="1" ht="13.5" customHeight="1">
      <c r="B7886" t="s" s="8">
        <v>2810</v>
      </c>
      <c r="C7886" t="s" s="9">
        <v>14</v>
      </c>
      <c r="D7886" t="s" s="8">
        <v>14</v>
      </c>
      <c r="E7886" t="s" s="9">
        <v>14</v>
      </c>
      <c r="F7886" t="s" s="10">
        <v>14</v>
      </c>
      <c r="G7886" t="s" s="11">
        <v>14</v>
      </c>
      <c r="H7886" t="s" s="10">
        <v>14</v>
      </c>
      <c r="I7886" t="s" s="11">
        <v>14</v>
      </c>
      <c r="J7886" t="s" s="11">
        <v>14</v>
      </c>
      <c r="K7886" t="s" s="12">
        <v>14</v>
      </c>
      <c r="L7886" t="s" s="12">
        <v>14</v>
      </c>
      <c r="M7886" t="s" s="10">
        <v>14</v>
      </c>
      <c r="N7886" t="s" s="11">
        <v>14</v>
      </c>
      <c r="O7886" t="s" s="8">
        <v>14</v>
      </c>
      <c r="P7886" t="s" s="8">
        <v>14</v>
      </c>
      <c r="Q7886" t="s" s="12">
        <v>14</v>
      </c>
      <c r="R7886" t="s" s="12">
        <v>14</v>
      </c>
    </row>
    <row r="7887" s="2" customFormat="1" ht="13.5" customHeight="1">
      <c r="B7887" s="13"/>
      <c r="C7887" t="s" s="9">
        <v>16</v>
      </c>
      <c r="D7887" t="s" s="8">
        <v>2810</v>
      </c>
      <c r="E7887" t="s" s="9">
        <v>2810</v>
      </c>
      <c r="F7887" t="s" s="10">
        <v>255</v>
      </c>
      <c r="G7887" s="14"/>
      <c r="H7887" t="s" s="10">
        <v>255</v>
      </c>
      <c r="I7887" s="14"/>
      <c r="J7887" t="s" s="11">
        <v>20</v>
      </c>
      <c r="K7887" s="15"/>
      <c r="L7887" t="s" s="16">
        <f>HYPERLINK("http://csr.bu.edu/ftp/asl/asllvd/demos/verify_start_end_handshape_annotations//test_auto_move//signs_mov_separ_signers/Liz_2042.mov","MOV")</f>
        <v>21</v>
      </c>
      <c r="M7887" t="s" s="10">
        <v>36</v>
      </c>
      <c r="N7887" s="17">
        <v>7</v>
      </c>
      <c r="O7887" s="18">
        <v>645</v>
      </c>
      <c r="P7887" s="18">
        <v>680</v>
      </c>
      <c r="Q7887" s="15"/>
      <c r="R7887" t="s" s="16">
        <f>HYPERLINK("http://secrets.rutgers.edu:8080/data/asl-ftp/asllvd/demos/verify_start_end_handshape_annotations//test_auto_move//signs_mov_separ_signers/Liz_2042.mov","MOV")</f>
        <v>21</v>
      </c>
    </row>
    <row r="7888" s="2" customFormat="1" ht="13.5" customHeight="1">
      <c r="B7888" s="13"/>
      <c r="C7888" t="s" s="9">
        <v>30</v>
      </c>
      <c r="D7888" t="s" s="8">
        <v>2810</v>
      </c>
      <c r="E7888" t="s" s="9">
        <v>2810</v>
      </c>
      <c r="F7888" t="s" s="10">
        <v>255</v>
      </c>
      <c r="G7888" s="14"/>
      <c r="H7888" t="s" s="10">
        <v>255</v>
      </c>
      <c r="I7888" s="14"/>
      <c r="J7888" t="s" s="11">
        <v>20</v>
      </c>
      <c r="K7888" t="s" s="16">
        <f>HYPERLINK("http://csr.bu.edu/ftp/asl/asllvd/demos/verify_start_end_handshape_annotations//test_auto_move//signs_mov/2042.mov","MOV")</f>
        <v>21</v>
      </c>
      <c r="L7888" t="s" s="16">
        <f>HYPERLINK("http://csr.bu.edu/ftp/asl/asllvd/demos/verify_start_end_handshape_annotations//test_auto_move//signs_mov_separ_signers/Brady_2042.mov","MOV")</f>
        <v>21</v>
      </c>
      <c r="M7888" t="s" s="10">
        <v>40</v>
      </c>
      <c r="N7888" s="17">
        <v>52</v>
      </c>
      <c r="O7888" s="18">
        <v>375</v>
      </c>
      <c r="P7888" s="18">
        <v>408</v>
      </c>
      <c r="Q7888" t="s" s="16">
        <f>HYPERLINK("http://secrets.rutgers.edu:8080/data/asl-ftp/asllvd/demos/verify_start_end_handshape_annotations//test_auto_move//signs_mov/2042.mov","MOV")</f>
        <v>21</v>
      </c>
      <c r="R7888" t="s" s="16">
        <f>HYPERLINK("http://secrets.rutgers.edu:8080/data/asl-ftp/asllvd/demos/verify_start_end_handshape_annotations//test_auto_move//signs_mov_separ_signers/Brady_2042.mov","MOV")</f>
        <v>21</v>
      </c>
    </row>
    <row r="7889" s="2" customFormat="1" ht="13.5" customHeight="1">
      <c r="B7889" s="13"/>
      <c r="C7889" t="s" s="9">
        <v>41</v>
      </c>
      <c r="D7889" t="s" s="8">
        <v>2810</v>
      </c>
      <c r="E7889" t="s" s="9">
        <v>2810</v>
      </c>
      <c r="F7889" s="19">
        <v>1</v>
      </c>
      <c r="G7889" s="14"/>
      <c r="H7889" t="s" s="10">
        <v>255</v>
      </c>
      <c r="I7889" s="14"/>
      <c r="J7889" t="s" s="11">
        <v>20</v>
      </c>
      <c r="K7889" s="15"/>
      <c r="L7889" t="s" s="16">
        <f>HYPERLINK("http://csr.bu.edu/ftp/asl/asllvd/demos/verify_start_end_handshape_annotations//test_auto_move//signs_mov_separ_signers/Lana_2042.mov","MOV")</f>
        <v>21</v>
      </c>
      <c r="M7889" t="s" s="10">
        <v>42</v>
      </c>
      <c r="N7889" s="17">
        <v>22</v>
      </c>
      <c r="O7889" s="18">
        <v>595</v>
      </c>
      <c r="P7889" s="18">
        <v>638</v>
      </c>
      <c r="Q7889" s="15"/>
      <c r="R7889" t="s" s="16">
        <f>HYPERLINK("http://secrets.rutgers.edu:8080/data/asl-ftp/asllvd/demos/verify_start_end_handshape_annotations//test_auto_move//signs_mov_separ_signers/Lana_2042.mov","MOV")</f>
        <v>21</v>
      </c>
    </row>
    <row r="7890" s="2" customFormat="1" ht="13.5" customHeight="1">
      <c r="B7890" s="13"/>
      <c r="C7890" t="s" s="9">
        <v>43</v>
      </c>
      <c r="D7890" t="s" s="8">
        <v>2810</v>
      </c>
      <c r="E7890" t="s" s="9">
        <v>2810</v>
      </c>
      <c r="F7890" t="s" s="10">
        <v>255</v>
      </c>
      <c r="G7890" s="14"/>
      <c r="H7890" t="s" s="10">
        <v>255</v>
      </c>
      <c r="I7890" s="14"/>
      <c r="J7890" t="s" s="11">
        <v>20</v>
      </c>
      <c r="K7890" s="15"/>
      <c r="L7890" t="s" s="16">
        <f>HYPERLINK("http://csr.bu.edu/ftp/asl/asllvd/demos/verify_start_end_handshape_annotations//test_auto_move//signs_mov_separ_signers/Dana_2042.mov","MOV")</f>
        <v>21</v>
      </c>
      <c r="M7890" t="s" s="10">
        <v>44</v>
      </c>
      <c r="N7890" s="17">
        <v>25</v>
      </c>
      <c r="O7890" s="18">
        <v>533</v>
      </c>
      <c r="P7890" s="18">
        <v>576</v>
      </c>
      <c r="Q7890" s="15"/>
      <c r="R7890" t="s" s="16">
        <f>HYPERLINK("http://secrets.rutgers.edu:8080/data/asl-ftp/asllvd/demos/verify_start_end_handshape_annotations//test_auto_move//signs_mov_separ_signers/Dana_2042.mov","MOV")</f>
        <v>21</v>
      </c>
    </row>
    <row r="7891" s="2" customFormat="1" ht="13.5" customHeight="1">
      <c r="B7891" t="s" s="8">
        <v>2811</v>
      </c>
      <c r="C7891" t="s" s="9">
        <v>14</v>
      </c>
      <c r="D7891" t="s" s="8">
        <v>14</v>
      </c>
      <c r="E7891" t="s" s="9">
        <v>14</v>
      </c>
      <c r="F7891" t="s" s="10">
        <v>14</v>
      </c>
      <c r="G7891" t="s" s="11">
        <v>14</v>
      </c>
      <c r="H7891" t="s" s="10">
        <v>14</v>
      </c>
      <c r="I7891" t="s" s="11">
        <v>14</v>
      </c>
      <c r="J7891" t="s" s="11">
        <v>14</v>
      </c>
      <c r="K7891" t="s" s="12">
        <v>14</v>
      </c>
      <c r="L7891" t="s" s="12">
        <v>14</v>
      </c>
      <c r="M7891" t="s" s="10">
        <v>14</v>
      </c>
      <c r="N7891" t="s" s="11">
        <v>14</v>
      </c>
      <c r="O7891" t="s" s="8">
        <v>14</v>
      </c>
      <c r="P7891" t="s" s="8">
        <v>14</v>
      </c>
      <c r="Q7891" t="s" s="12">
        <v>14</v>
      </c>
      <c r="R7891" t="s" s="12">
        <v>14</v>
      </c>
    </row>
    <row r="7892" s="2" customFormat="1" ht="13.5" customHeight="1">
      <c r="B7892" s="13"/>
      <c r="C7892" t="s" s="9">
        <v>16</v>
      </c>
      <c r="D7892" t="s" s="8">
        <v>2811</v>
      </c>
      <c r="E7892" t="s" s="9">
        <v>2811</v>
      </c>
      <c r="F7892" s="19">
        <v>3</v>
      </c>
      <c r="G7892" s="17">
        <v>3</v>
      </c>
      <c r="H7892" s="19">
        <v>3</v>
      </c>
      <c r="I7892" s="17">
        <v>3</v>
      </c>
      <c r="J7892" t="s" s="11">
        <v>20</v>
      </c>
      <c r="K7892" s="15"/>
      <c r="L7892" t="s" s="16">
        <f>HYPERLINK("http://csr.bu.edu/ftp/asl/asllvd/demos/verify_start_end_handshape_annotations//test_auto_move//signs_mov_separ_signers/Liz_2043.mov","MOV")</f>
        <v>21</v>
      </c>
      <c r="M7892" t="s" s="10">
        <v>36</v>
      </c>
      <c r="N7892" s="17">
        <v>7</v>
      </c>
      <c r="O7892" s="18">
        <v>877</v>
      </c>
      <c r="P7892" s="18">
        <v>919</v>
      </c>
      <c r="Q7892" s="15"/>
      <c r="R7892" t="s" s="16">
        <f>HYPERLINK("http://secrets.rutgers.edu:8080/data/asl-ftp/asllvd/demos/verify_start_end_handshape_annotations//test_auto_move//signs_mov_separ_signers/Liz_2043.mov","MOV")</f>
        <v>21</v>
      </c>
    </row>
    <row r="7893" s="2" customFormat="1" ht="27.75" customHeight="1">
      <c r="B7893" s="13"/>
      <c r="C7893" t="s" s="9">
        <v>16</v>
      </c>
      <c r="D7893" t="s" s="8">
        <v>2811</v>
      </c>
      <c r="E7893" t="s" s="9">
        <v>2812</v>
      </c>
      <c r="F7893" s="19">
        <v>3</v>
      </c>
      <c r="G7893" s="17">
        <v>3</v>
      </c>
      <c r="H7893" s="19">
        <v>3</v>
      </c>
      <c r="I7893" s="17">
        <v>3</v>
      </c>
      <c r="J7893" t="s" s="11">
        <v>20</v>
      </c>
      <c r="K7893" t="s" s="16">
        <f>HYPERLINK("http://csr.bu.edu/ftp/asl/asllvd/demos/verify_start_end_handshape_annotations//test_auto_move//signs_mov/2043_5724_merged.mov","MOV")</f>
        <v>21</v>
      </c>
      <c r="L7893" t="s" s="16">
        <f>HYPERLINK("http://csr.bu.edu/ftp/asl/asllvd/demos/verify_start_end_handshape_annotations//test_auto_move//signs_mov_separ_signers/Liz_5724.mov","MOV")</f>
        <v>21</v>
      </c>
      <c r="M7893" t="s" s="10">
        <v>36</v>
      </c>
      <c r="N7893" s="17">
        <v>17</v>
      </c>
      <c r="O7893" s="18">
        <v>1995</v>
      </c>
      <c r="P7893" s="18">
        <v>2036</v>
      </c>
      <c r="Q7893" t="s" s="16">
        <f>HYPERLINK("http://secrets.rutgers.edu:8080/data/asl-ftp/asllvd/demos/verify_start_end_handshape_annotations//test_auto_move//signs_mov/2043_5724_merged.mov","MOV")</f>
        <v>21</v>
      </c>
      <c r="R7893" t="s" s="16">
        <f>HYPERLINK("http://secrets.rutgers.edu:8080/data/asl-ftp/asllvd/demos/verify_start_end_handshape_annotations//test_auto_move//signs_mov_separ_signers/Liz_5724.mov","MOV")</f>
        <v>21</v>
      </c>
    </row>
    <row r="7894" s="2" customFormat="1" ht="27.75" customHeight="1">
      <c r="B7894" s="13"/>
      <c r="C7894" t="s" s="9">
        <v>30</v>
      </c>
      <c r="D7894" t="s" s="8">
        <v>2811</v>
      </c>
      <c r="E7894" t="s" s="9">
        <v>2812</v>
      </c>
      <c r="F7894" s="19">
        <v>3</v>
      </c>
      <c r="G7894" s="17">
        <v>3</v>
      </c>
      <c r="H7894" s="19">
        <v>3</v>
      </c>
      <c r="I7894" s="17">
        <v>3</v>
      </c>
      <c r="J7894" t="s" s="11">
        <v>20</v>
      </c>
      <c r="K7894" s="15"/>
      <c r="L7894" t="s" s="16">
        <f>HYPERLINK("http://csr.bu.edu/ftp/asl/asllvd/demos/verify_start_end_handshape_annotations//test_auto_move//signs_mov_separ_signers/Brady_2043.mov","MOV")</f>
        <v>21</v>
      </c>
      <c r="M7894" t="s" s="10">
        <v>40</v>
      </c>
      <c r="N7894" s="17">
        <v>52</v>
      </c>
      <c r="O7894" s="18">
        <v>675</v>
      </c>
      <c r="P7894" s="18">
        <v>730</v>
      </c>
      <c r="Q7894" s="15"/>
      <c r="R7894" t="s" s="16">
        <f>HYPERLINK("http://secrets.rutgers.edu:8080/data/asl-ftp/asllvd/demos/verify_start_end_handshape_annotations//test_auto_move//signs_mov_separ_signers/Brady_2043.mov","MOV")</f>
        <v>21</v>
      </c>
    </row>
    <row r="7895" s="2" customFormat="1" ht="27.75" customHeight="1">
      <c r="B7895" s="13"/>
      <c r="C7895" t="s" s="9">
        <v>30</v>
      </c>
      <c r="D7895" t="s" s="8">
        <v>2811</v>
      </c>
      <c r="E7895" t="s" s="9">
        <v>2813</v>
      </c>
      <c r="F7895" s="19">
        <v>3</v>
      </c>
      <c r="G7895" s="17">
        <v>3</v>
      </c>
      <c r="H7895" s="19">
        <v>3</v>
      </c>
      <c r="I7895" s="17">
        <v>3</v>
      </c>
      <c r="J7895" t="s" s="11">
        <v>20</v>
      </c>
      <c r="K7895" s="15"/>
      <c r="L7895" t="s" s="16">
        <f>HYPERLINK("http://csr.bu.edu/ftp/asl/asllvd/demos/verify_start_end_handshape_annotations//test_auto_move//signs_mov_separ_signers/Brady_5724.mov","MOV")</f>
        <v>21</v>
      </c>
      <c r="M7895" t="s" s="10">
        <v>40</v>
      </c>
      <c r="N7895" s="17">
        <v>61</v>
      </c>
      <c r="O7895" s="18">
        <v>2706</v>
      </c>
      <c r="P7895" s="18">
        <v>2740</v>
      </c>
      <c r="Q7895" s="15"/>
      <c r="R7895" t="s" s="16">
        <f>HYPERLINK("http://secrets.rutgers.edu:8080/data/asl-ftp/asllvd/demos/verify_start_end_handshape_annotations//test_auto_move//signs_mov_separ_signers/Brady_5724.mov","MOV")</f>
        <v>21</v>
      </c>
    </row>
    <row r="7896" s="2" customFormat="1" ht="13.5" customHeight="1">
      <c r="B7896" t="s" s="8">
        <v>2814</v>
      </c>
      <c r="C7896" t="s" s="9">
        <v>14</v>
      </c>
      <c r="D7896" t="s" s="8">
        <v>14</v>
      </c>
      <c r="E7896" t="s" s="9">
        <v>14</v>
      </c>
      <c r="F7896" t="s" s="10">
        <v>14</v>
      </c>
      <c r="G7896" t="s" s="11">
        <v>14</v>
      </c>
      <c r="H7896" t="s" s="10">
        <v>14</v>
      </c>
      <c r="I7896" t="s" s="11">
        <v>14</v>
      </c>
      <c r="J7896" t="s" s="11">
        <v>14</v>
      </c>
      <c r="K7896" t="s" s="12">
        <v>14</v>
      </c>
      <c r="L7896" t="s" s="12">
        <v>14</v>
      </c>
      <c r="M7896" t="s" s="10">
        <v>14</v>
      </c>
      <c r="N7896" t="s" s="11">
        <v>14</v>
      </c>
      <c r="O7896" t="s" s="8">
        <v>14</v>
      </c>
      <c r="P7896" t="s" s="8">
        <v>14</v>
      </c>
      <c r="Q7896" t="s" s="12">
        <v>14</v>
      </c>
      <c r="R7896" t="s" s="12">
        <v>14</v>
      </c>
    </row>
    <row r="7897" s="2" customFormat="1" ht="13.5" customHeight="1">
      <c r="B7897" s="13"/>
      <c r="C7897" t="s" s="9">
        <v>16</v>
      </c>
      <c r="D7897" t="s" s="8">
        <v>2814</v>
      </c>
      <c r="E7897" t="s" s="9">
        <v>2814</v>
      </c>
      <c r="F7897" t="s" s="10">
        <v>73</v>
      </c>
      <c r="G7897" t="s" s="11">
        <v>73</v>
      </c>
      <c r="H7897" t="s" s="10">
        <v>73</v>
      </c>
      <c r="I7897" t="s" s="11">
        <v>73</v>
      </c>
      <c r="J7897" t="s" s="11">
        <v>20</v>
      </c>
      <c r="K7897" s="15"/>
      <c r="L7897" t="s" s="16">
        <f>HYPERLINK("http://csr.bu.edu/ftp/asl/asllvd/demos/verify_start_end_handshape_annotations//test_auto_move//signs_mov_separ_signers/Liz_2044.mov","MOV")</f>
        <v>21</v>
      </c>
      <c r="M7897" t="s" s="10">
        <v>88</v>
      </c>
      <c r="N7897" s="17">
        <v>23</v>
      </c>
      <c r="O7897" s="18">
        <v>932</v>
      </c>
      <c r="P7897" s="18">
        <v>980</v>
      </c>
      <c r="Q7897" s="15"/>
      <c r="R7897" t="s" s="16">
        <f>HYPERLINK("http://secrets.rutgers.edu:8080/data/asl-ftp/asllvd/demos/verify_start_end_handshape_annotations//test_auto_move//signs_mov_separ_signers/Liz_2044.mov","MOV")</f>
        <v>21</v>
      </c>
    </row>
    <row r="7898" s="2" customFormat="1" ht="13.5" customHeight="1">
      <c r="B7898" s="13"/>
      <c r="C7898" t="s" s="9">
        <v>30</v>
      </c>
      <c r="D7898" t="s" s="8">
        <v>2814</v>
      </c>
      <c r="E7898" t="s" s="9">
        <v>2814</v>
      </c>
      <c r="F7898" t="s" s="10">
        <v>73</v>
      </c>
      <c r="G7898" t="s" s="11">
        <v>73</v>
      </c>
      <c r="H7898" t="s" s="10">
        <v>73</v>
      </c>
      <c r="I7898" t="s" s="11">
        <v>73</v>
      </c>
      <c r="J7898" t="s" s="11">
        <v>20</v>
      </c>
      <c r="K7898" t="s" s="16">
        <f>HYPERLINK("http://csr.bu.edu/ftp/asl/asllvd/demos/verify_start_end_handshape_annotations//test_auto_move//signs_mov/2044_5459_merged.mov","MOV")</f>
        <v>21</v>
      </c>
      <c r="L7898" t="s" s="16">
        <f>HYPERLINK("http://csr.bu.edu/ftp/asl/asllvd/demos/verify_start_end_handshape_annotations//test_auto_move//signs_mov_separ_signers/Brady_2044.mov","MOV")</f>
        <v>21</v>
      </c>
      <c r="M7898" t="s" s="10">
        <v>40</v>
      </c>
      <c r="N7898" s="17">
        <v>18</v>
      </c>
      <c r="O7898" s="18">
        <v>1816</v>
      </c>
      <c r="P7898" s="18">
        <v>1842</v>
      </c>
      <c r="Q7898" t="s" s="16">
        <f>HYPERLINK("http://secrets.rutgers.edu:8080/data/asl-ftp/asllvd/demos/verify_start_end_handshape_annotations//test_auto_move//signs_mov/2044_5459_merged.mov","MOV")</f>
        <v>21</v>
      </c>
      <c r="R7898" t="s" s="16">
        <f>HYPERLINK("http://secrets.rutgers.edu:8080/data/asl-ftp/asllvd/demos/verify_start_end_handshape_annotations//test_auto_move//signs_mov_separ_signers/Brady_2044.mov","MOV")</f>
        <v>21</v>
      </c>
    </row>
    <row r="7899" s="2" customFormat="1" ht="13.5" customHeight="1">
      <c r="B7899" s="13"/>
      <c r="C7899" t="s" s="9">
        <v>30</v>
      </c>
      <c r="D7899" t="s" s="8">
        <v>2814</v>
      </c>
      <c r="E7899" t="s" s="9">
        <v>2814</v>
      </c>
      <c r="F7899" t="s" s="10">
        <v>73</v>
      </c>
      <c r="G7899" t="s" s="11">
        <v>73</v>
      </c>
      <c r="H7899" t="s" s="10">
        <v>73</v>
      </c>
      <c r="I7899" t="s" s="11">
        <v>73</v>
      </c>
      <c r="J7899" t="s" s="11">
        <v>20</v>
      </c>
      <c r="K7899" s="15"/>
      <c r="L7899" t="s" s="16">
        <f>HYPERLINK("http://csr.bu.edu/ftp/asl/asllvd/demos/verify_start_end_handshape_annotations//test_auto_move//signs_mov_separ_signers/Brady_5459.mov","MOV")</f>
        <v>21</v>
      </c>
      <c r="M7899" t="s" s="10">
        <v>40</v>
      </c>
      <c r="N7899" s="17">
        <v>52</v>
      </c>
      <c r="O7899" s="18">
        <v>965</v>
      </c>
      <c r="P7899" s="18">
        <v>992</v>
      </c>
      <c r="Q7899" s="15"/>
      <c r="R7899" t="s" s="16">
        <f>HYPERLINK("http://secrets.rutgers.edu:8080/data/asl-ftp/asllvd/demos/verify_start_end_handshape_annotations//test_auto_move//signs_mov_separ_signers/Brady_5459.mov","MOV")</f>
        <v>21</v>
      </c>
    </row>
    <row r="7900" s="2" customFormat="1" ht="13.5" customHeight="1">
      <c r="B7900" t="s" s="8">
        <v>52</v>
      </c>
      <c r="C7900" t="s" s="9">
        <v>53</v>
      </c>
      <c r="D7900" t="s" s="8">
        <v>53</v>
      </c>
      <c r="E7900" t="s" s="9">
        <v>53</v>
      </c>
      <c r="F7900" t="s" s="10">
        <v>53</v>
      </c>
      <c r="G7900" t="s" s="11">
        <v>53</v>
      </c>
      <c r="H7900" t="s" s="10">
        <v>53</v>
      </c>
      <c r="I7900" t="s" s="11">
        <v>53</v>
      </c>
      <c r="J7900" t="s" s="11">
        <v>53</v>
      </c>
      <c r="K7900" t="s" s="12">
        <v>53</v>
      </c>
      <c r="L7900" t="s" s="12">
        <v>53</v>
      </c>
      <c r="M7900" t="s" s="10">
        <v>53</v>
      </c>
      <c r="N7900" t="s" s="11">
        <v>53</v>
      </c>
      <c r="O7900" t="s" s="8">
        <v>53</v>
      </c>
      <c r="P7900" t="s" s="8">
        <v>53</v>
      </c>
      <c r="Q7900" t="s" s="12">
        <v>53</v>
      </c>
      <c r="R7900" t="s" s="12">
        <v>53</v>
      </c>
    </row>
    <row r="7901" s="2" customFormat="1" ht="13.5" customHeight="1">
      <c r="B7901" s="13"/>
      <c r="C7901" t="s" s="9">
        <v>16</v>
      </c>
      <c r="D7901" t="s" s="8">
        <v>2814</v>
      </c>
      <c r="E7901" t="s" s="9">
        <v>2815</v>
      </c>
      <c r="F7901" t="s" s="10">
        <v>260</v>
      </c>
      <c r="G7901" s="14"/>
      <c r="H7901" t="s" s="10">
        <v>260</v>
      </c>
      <c r="I7901" s="14"/>
      <c r="J7901" t="s" s="11">
        <v>20</v>
      </c>
      <c r="K7901" t="s" s="16">
        <f>HYPERLINK("http://csr.bu.edu/ftp/asl/asllvd/demos/verify_start_end_handshape_annotations//test_auto_move//signs_mov/5701.mov","MOV")</f>
        <v>21</v>
      </c>
      <c r="L7901" t="s" s="16">
        <f>HYPERLINK("http://csr.bu.edu/ftp/asl/asllvd/demos/verify_start_end_handshape_annotations//test_auto_move//signs_mov_separ_signers/Liz_5701.mov","MOV")</f>
        <v>21</v>
      </c>
      <c r="M7901" t="s" s="10">
        <v>36</v>
      </c>
      <c r="N7901" s="17">
        <v>52</v>
      </c>
      <c r="O7901" s="18">
        <v>2570</v>
      </c>
      <c r="P7901" s="18">
        <v>2610</v>
      </c>
      <c r="Q7901" t="s" s="16">
        <f>HYPERLINK("http://secrets.rutgers.edu:8080/data/asl-ftp/asllvd/demos/verify_start_end_handshape_annotations//test_auto_move//signs_mov/5701.mov","MOV")</f>
        <v>21</v>
      </c>
      <c r="R7901" t="s" s="16">
        <f>HYPERLINK("http://secrets.rutgers.edu:8080/data/asl-ftp/asllvd/demos/verify_start_end_handshape_annotations//test_auto_move//signs_mov_separ_signers/Liz_5701.mov","MOV")</f>
        <v>21</v>
      </c>
    </row>
    <row r="7902" s="2" customFormat="1" ht="13.5" customHeight="1">
      <c r="B7902" s="13"/>
      <c r="C7902" t="s" s="9">
        <v>30</v>
      </c>
      <c r="D7902" t="s" s="8">
        <v>2814</v>
      </c>
      <c r="E7902" t="s" s="9">
        <v>2815</v>
      </c>
      <c r="F7902" t="s" s="10">
        <v>73</v>
      </c>
      <c r="G7902" s="14"/>
      <c r="H7902" t="s" s="10">
        <v>73</v>
      </c>
      <c r="I7902" s="14"/>
      <c r="J7902" t="s" s="11">
        <v>20</v>
      </c>
      <c r="K7902" s="15"/>
      <c r="L7902" t="s" s="16">
        <f>HYPERLINK("http://csr.bu.edu/ftp/asl/asllvd/demos/verify_start_end_handshape_annotations//test_auto_move//signs_mov_separ_signers/Brady_5701.mov","MOV")</f>
        <v>21</v>
      </c>
      <c r="M7902" t="s" s="10">
        <v>40</v>
      </c>
      <c r="N7902" s="17">
        <v>104</v>
      </c>
      <c r="O7902" s="18">
        <v>987</v>
      </c>
      <c r="P7902" s="18">
        <v>1017</v>
      </c>
      <c r="Q7902" s="15"/>
      <c r="R7902" t="s" s="16">
        <f>HYPERLINK("http://secrets.rutgers.edu:8080/data/asl-ftp/asllvd/demos/verify_start_end_handshape_annotations//test_auto_move//signs_mov_separ_signers/Brady_5701.mov","MOV")</f>
        <v>21</v>
      </c>
    </row>
    <row r="7903" s="2" customFormat="1" ht="13.5" customHeight="1">
      <c r="B7903" t="s" s="8">
        <v>52</v>
      </c>
      <c r="C7903" t="s" s="9">
        <v>53</v>
      </c>
      <c r="D7903" t="s" s="8">
        <v>53</v>
      </c>
      <c r="E7903" t="s" s="9">
        <v>53</v>
      </c>
      <c r="F7903" t="s" s="10">
        <v>53</v>
      </c>
      <c r="G7903" t="s" s="11">
        <v>53</v>
      </c>
      <c r="H7903" t="s" s="10">
        <v>53</v>
      </c>
      <c r="I7903" t="s" s="11">
        <v>53</v>
      </c>
      <c r="J7903" t="s" s="11">
        <v>53</v>
      </c>
      <c r="K7903" t="s" s="12">
        <v>53</v>
      </c>
      <c r="L7903" t="s" s="12">
        <v>53</v>
      </c>
      <c r="M7903" t="s" s="10">
        <v>53</v>
      </c>
      <c r="N7903" t="s" s="11">
        <v>53</v>
      </c>
      <c r="O7903" t="s" s="8">
        <v>53</v>
      </c>
      <c r="P7903" t="s" s="8">
        <v>53</v>
      </c>
      <c r="Q7903" t="s" s="12">
        <v>53</v>
      </c>
      <c r="R7903" t="s" s="12">
        <v>53</v>
      </c>
    </row>
    <row r="7904" s="2" customFormat="1" ht="13.5" customHeight="1">
      <c r="B7904" s="13"/>
      <c r="C7904" t="s" s="9">
        <v>16</v>
      </c>
      <c r="D7904" t="s" s="8">
        <v>2814</v>
      </c>
      <c r="E7904" t="s" s="9">
        <v>2816</v>
      </c>
      <c r="F7904" t="s" s="10">
        <v>251</v>
      </c>
      <c r="G7904" t="s" s="11">
        <v>251</v>
      </c>
      <c r="H7904" t="s" s="10">
        <v>251</v>
      </c>
      <c r="I7904" t="s" s="11">
        <v>251</v>
      </c>
      <c r="J7904" t="s" s="11">
        <v>20</v>
      </c>
      <c r="K7904" t="s" s="16">
        <f>HYPERLINK("http://csr.bu.edu/ftp/asl/asllvd/demos/verify_start_end_handshape_annotations//test_auto_move//signs_mov/15483.mov","MOV")</f>
        <v>21</v>
      </c>
      <c r="L7904" t="s" s="16">
        <f>HYPERLINK("http://csr.bu.edu/ftp/asl/asllvd/demos/verify_start_end_handshape_annotations//test_auto_move//signs_mov_separ_signers/Liz_15483.mov","MOV")</f>
        <v>21</v>
      </c>
      <c r="M7904" t="s" s="10">
        <v>36</v>
      </c>
      <c r="N7904" s="17">
        <v>7</v>
      </c>
      <c r="O7904" s="18">
        <v>1116</v>
      </c>
      <c r="P7904" s="18">
        <v>1151</v>
      </c>
      <c r="Q7904" t="s" s="16">
        <f>HYPERLINK("http://secrets.rutgers.edu:8080/data/asl-ftp/asllvd/demos/verify_start_end_handshape_annotations//test_auto_move//signs_mov/15483.mov","MOV")</f>
        <v>21</v>
      </c>
      <c r="R7904" t="s" s="16">
        <f>HYPERLINK("http://secrets.rutgers.edu:8080/data/asl-ftp/asllvd/demos/verify_start_end_handshape_annotations//test_auto_move//signs_mov_separ_signers/Liz_15483.mov","MOV")</f>
        <v>21</v>
      </c>
    </row>
    <row r="7905" s="2" customFormat="1" ht="13.5" customHeight="1">
      <c r="B7905" t="s" s="8">
        <v>2817</v>
      </c>
      <c r="C7905" t="s" s="9">
        <v>14</v>
      </c>
      <c r="D7905" t="s" s="8">
        <v>14</v>
      </c>
      <c r="E7905" t="s" s="9">
        <v>14</v>
      </c>
      <c r="F7905" t="s" s="10">
        <v>14</v>
      </c>
      <c r="G7905" t="s" s="11">
        <v>14</v>
      </c>
      <c r="H7905" t="s" s="10">
        <v>14</v>
      </c>
      <c r="I7905" t="s" s="11">
        <v>14</v>
      </c>
      <c r="J7905" t="s" s="11">
        <v>14</v>
      </c>
      <c r="K7905" t="s" s="12">
        <v>14</v>
      </c>
      <c r="L7905" t="s" s="12">
        <v>14</v>
      </c>
      <c r="M7905" t="s" s="10">
        <v>14</v>
      </c>
      <c r="N7905" t="s" s="11">
        <v>14</v>
      </c>
      <c r="O7905" t="s" s="8">
        <v>14</v>
      </c>
      <c r="P7905" t="s" s="8">
        <v>14</v>
      </c>
      <c r="Q7905" t="s" s="12">
        <v>14</v>
      </c>
      <c r="R7905" t="s" s="12">
        <v>14</v>
      </c>
    </row>
    <row r="7906" s="2" customFormat="1" ht="13.5" customHeight="1">
      <c r="B7906" s="13"/>
      <c r="C7906" t="s" s="9">
        <v>16</v>
      </c>
      <c r="D7906" t="s" s="8">
        <v>2817</v>
      </c>
      <c r="E7906" t="s" s="9">
        <v>2817</v>
      </c>
      <c r="F7906" t="s" s="10">
        <v>158</v>
      </c>
      <c r="G7906" t="s" s="11">
        <v>73</v>
      </c>
      <c r="H7906" t="s" s="10">
        <v>73</v>
      </c>
      <c r="I7906" t="s" s="11">
        <v>73</v>
      </c>
      <c r="J7906" t="s" s="11">
        <v>20</v>
      </c>
      <c r="K7906" t="s" s="16">
        <f>HYPERLINK("http://csr.bu.edu/ftp/asl/asllvd/demos/verify_start_end_handshape_annotations//test_auto_move//signs_mov/2045.mov","MOV")</f>
        <v>21</v>
      </c>
      <c r="L7906" t="s" s="16">
        <f>HYPERLINK("http://csr.bu.edu/ftp/asl/asllvd/demos/verify_start_end_handshape_annotations//test_auto_move//signs_mov_separ_signers/Liz_2045.mov","MOV")</f>
        <v>21</v>
      </c>
      <c r="M7906" t="s" s="10">
        <v>36</v>
      </c>
      <c r="N7906" s="17">
        <v>7</v>
      </c>
      <c r="O7906" s="18">
        <v>1350</v>
      </c>
      <c r="P7906" s="18">
        <v>1390</v>
      </c>
      <c r="Q7906" t="s" s="16">
        <f>HYPERLINK("http://secrets.rutgers.edu:8080/data/asl-ftp/asllvd/demos/verify_start_end_handshape_annotations//test_auto_move//signs_mov/2045.mov","MOV")</f>
        <v>21</v>
      </c>
      <c r="R7906" t="s" s="16">
        <f>HYPERLINK("http://secrets.rutgers.edu:8080/data/asl-ftp/asllvd/demos/verify_start_end_handshape_annotations//test_auto_move//signs_mov_separ_signers/Liz_2045.mov","MOV")</f>
        <v>21</v>
      </c>
    </row>
    <row r="7907" s="2" customFormat="1" ht="13.5" customHeight="1">
      <c r="B7907" s="13"/>
      <c r="C7907" t="s" s="9">
        <v>30</v>
      </c>
      <c r="D7907" t="s" s="8">
        <v>2817</v>
      </c>
      <c r="E7907" t="s" s="9">
        <v>2817</v>
      </c>
      <c r="F7907" t="s" s="10">
        <v>119</v>
      </c>
      <c r="G7907" t="s" s="11">
        <v>73</v>
      </c>
      <c r="H7907" t="s" s="10">
        <v>73</v>
      </c>
      <c r="I7907" t="s" s="11">
        <v>73</v>
      </c>
      <c r="J7907" t="s" s="11">
        <v>20</v>
      </c>
      <c r="K7907" s="15"/>
      <c r="L7907" t="s" s="16">
        <f>HYPERLINK("http://csr.bu.edu/ftp/asl/asllvd/demos/verify_start_end_handshape_annotations//test_auto_move//signs_mov_separ_signers/Brady_2045.mov","MOV")</f>
        <v>21</v>
      </c>
      <c r="M7907" t="s" s="10">
        <v>40</v>
      </c>
      <c r="N7907" s="17">
        <v>52</v>
      </c>
      <c r="O7907" s="18">
        <v>1192</v>
      </c>
      <c r="P7907" s="18">
        <v>1221</v>
      </c>
      <c r="Q7907" s="15"/>
      <c r="R7907" t="s" s="16">
        <f>HYPERLINK("http://secrets.rutgers.edu:8080/data/asl-ftp/asllvd/demos/verify_start_end_handshape_annotations//test_auto_move//signs_mov_separ_signers/Brady_2045.mov","MOV")</f>
        <v>21</v>
      </c>
    </row>
    <row r="7908" s="2" customFormat="1" ht="13.5" customHeight="1">
      <c r="B7908" t="s" s="8">
        <v>2818</v>
      </c>
      <c r="C7908" t="s" s="9">
        <v>14</v>
      </c>
      <c r="D7908" t="s" s="8">
        <v>14</v>
      </c>
      <c r="E7908" t="s" s="9">
        <v>14</v>
      </c>
      <c r="F7908" t="s" s="10">
        <v>14</v>
      </c>
      <c r="G7908" t="s" s="11">
        <v>14</v>
      </c>
      <c r="H7908" t="s" s="10">
        <v>14</v>
      </c>
      <c r="I7908" t="s" s="11">
        <v>14</v>
      </c>
      <c r="J7908" t="s" s="11">
        <v>14</v>
      </c>
      <c r="K7908" t="s" s="12">
        <v>14</v>
      </c>
      <c r="L7908" t="s" s="12">
        <v>14</v>
      </c>
      <c r="M7908" t="s" s="10">
        <v>14</v>
      </c>
      <c r="N7908" t="s" s="11">
        <v>14</v>
      </c>
      <c r="O7908" t="s" s="8">
        <v>14</v>
      </c>
      <c r="P7908" t="s" s="8">
        <v>14</v>
      </c>
      <c r="Q7908" t="s" s="12">
        <v>14</v>
      </c>
      <c r="R7908" t="s" s="12">
        <v>14</v>
      </c>
    </row>
    <row r="7909" s="2" customFormat="1" ht="13.5" customHeight="1">
      <c r="B7909" s="13"/>
      <c r="C7909" t="s" s="9">
        <v>16</v>
      </c>
      <c r="D7909" t="s" s="8">
        <v>2818</v>
      </c>
      <c r="E7909" t="s" s="9">
        <v>2819</v>
      </c>
      <c r="F7909" s="19">
        <v>25</v>
      </c>
      <c r="G7909" s="17">
        <v>25</v>
      </c>
      <c r="H7909" s="19">
        <v>25</v>
      </c>
      <c r="I7909" s="17">
        <v>25</v>
      </c>
      <c r="J7909" t="s" s="11">
        <v>20</v>
      </c>
      <c r="K7909" t="s" s="16">
        <f>HYPERLINK("http://csr.bu.edu/ftp/asl/asllvd/demos/verify_start_end_handshape_annotations//test_auto_move//signs_mov/2046.mov","MOV")</f>
        <v>21</v>
      </c>
      <c r="L7909" t="s" s="16">
        <f>HYPERLINK("http://csr.bu.edu/ftp/asl/asllvd/demos/verify_start_end_handshape_annotations//test_auto_move//signs_mov_separ_signers/Liz_2046.mov","MOV")</f>
        <v>21</v>
      </c>
      <c r="M7909" t="s" s="10">
        <v>36</v>
      </c>
      <c r="N7909" s="17">
        <v>7</v>
      </c>
      <c r="O7909" s="18">
        <v>1610</v>
      </c>
      <c r="P7909" s="18">
        <v>1675</v>
      </c>
      <c r="Q7909" t="s" s="16">
        <f>HYPERLINK("http://secrets.rutgers.edu:8080/data/asl-ftp/asllvd/demos/verify_start_end_handshape_annotations//test_auto_move//signs_mov/2046.mov","MOV")</f>
        <v>21</v>
      </c>
      <c r="R7909" t="s" s="16">
        <f>HYPERLINK("http://secrets.rutgers.edu:8080/data/asl-ftp/asllvd/demos/verify_start_end_handshape_annotations//test_auto_move//signs_mov_separ_signers/Liz_2046.mov","MOV")</f>
        <v>21</v>
      </c>
    </row>
    <row r="7910" s="2" customFormat="1" ht="13.5" customHeight="1">
      <c r="B7910" s="13"/>
      <c r="C7910" t="s" s="9">
        <v>30</v>
      </c>
      <c r="D7910" t="s" s="8">
        <v>2818</v>
      </c>
      <c r="E7910" t="s" s="9">
        <v>2819</v>
      </c>
      <c r="F7910" s="19">
        <v>25</v>
      </c>
      <c r="G7910" s="17">
        <v>25</v>
      </c>
      <c r="H7910" s="19">
        <v>25</v>
      </c>
      <c r="I7910" s="17">
        <v>25</v>
      </c>
      <c r="J7910" t="s" s="11">
        <v>20</v>
      </c>
      <c r="K7910" s="15"/>
      <c r="L7910" t="s" s="16">
        <f>HYPERLINK("http://csr.bu.edu/ftp/asl/asllvd/demos/verify_start_end_handshape_annotations//test_auto_move//signs_mov_separ_signers/Brady_2046.mov","MOV")</f>
        <v>21</v>
      </c>
      <c r="M7910" t="s" s="10">
        <v>40</v>
      </c>
      <c r="N7910" s="17">
        <v>52</v>
      </c>
      <c r="O7910" s="18">
        <v>1412</v>
      </c>
      <c r="P7910" s="18">
        <v>1446</v>
      </c>
      <c r="Q7910" s="15"/>
      <c r="R7910" t="s" s="16">
        <f>HYPERLINK("http://secrets.rutgers.edu:8080/data/asl-ftp/asllvd/demos/verify_start_end_handshape_annotations//test_auto_move//signs_mov_separ_signers/Brady_2046.mov","MOV")</f>
        <v>21</v>
      </c>
    </row>
    <row r="7911" s="2" customFormat="1" ht="13.5" customHeight="1">
      <c r="B7911" t="s" s="8">
        <v>2820</v>
      </c>
      <c r="C7911" t="s" s="9">
        <v>14</v>
      </c>
      <c r="D7911" t="s" s="8">
        <v>14</v>
      </c>
      <c r="E7911" t="s" s="9">
        <v>14</v>
      </c>
      <c r="F7911" t="s" s="10">
        <v>14</v>
      </c>
      <c r="G7911" t="s" s="11">
        <v>14</v>
      </c>
      <c r="H7911" t="s" s="10">
        <v>14</v>
      </c>
      <c r="I7911" t="s" s="11">
        <v>14</v>
      </c>
      <c r="J7911" t="s" s="11">
        <v>14</v>
      </c>
      <c r="K7911" t="s" s="12">
        <v>14</v>
      </c>
      <c r="L7911" t="s" s="12">
        <v>14</v>
      </c>
      <c r="M7911" t="s" s="10">
        <v>14</v>
      </c>
      <c r="N7911" t="s" s="11">
        <v>14</v>
      </c>
      <c r="O7911" t="s" s="8">
        <v>14</v>
      </c>
      <c r="P7911" t="s" s="8">
        <v>14</v>
      </c>
      <c r="Q7911" t="s" s="12">
        <v>14</v>
      </c>
      <c r="R7911" t="s" s="12">
        <v>14</v>
      </c>
    </row>
    <row r="7912" s="2" customFormat="1" ht="13.5" customHeight="1">
      <c r="B7912" s="13"/>
      <c r="C7912" t="s" s="9">
        <v>16</v>
      </c>
      <c r="D7912" t="s" s="8">
        <v>2820</v>
      </c>
      <c r="E7912" t="s" s="9">
        <v>2821</v>
      </c>
      <c r="F7912" s="19">
        <v>1</v>
      </c>
      <c r="G7912" s="14"/>
      <c r="H7912" t="s" s="10">
        <v>255</v>
      </c>
      <c r="I7912" s="14"/>
      <c r="J7912" t="s" s="11">
        <v>20</v>
      </c>
      <c r="K7912" t="s" s="16">
        <f>HYPERLINK("http://csr.bu.edu/ftp/asl/asllvd/demos/verify_start_end_handshape_annotations//test_auto_move//signs_mov/2048.mov","MOV")</f>
        <v>21</v>
      </c>
      <c r="L7912" t="s" s="16">
        <f>HYPERLINK("http://csr.bu.edu/ftp/asl/asllvd/demos/verify_start_end_handshape_annotations//test_auto_move//signs_mov_separ_signers/Liz_2048.mov","MOV")</f>
        <v>21</v>
      </c>
      <c r="M7912" t="s" s="10">
        <v>36</v>
      </c>
      <c r="N7912" s="17">
        <v>7</v>
      </c>
      <c r="O7912" s="18">
        <v>2050</v>
      </c>
      <c r="P7912" s="18">
        <v>2075</v>
      </c>
      <c r="Q7912" t="s" s="16">
        <f>HYPERLINK("http://secrets.rutgers.edu:8080/data/asl-ftp/asllvd/demos/verify_start_end_handshape_annotations//test_auto_move//signs_mov/2048.mov","MOV")</f>
        <v>21</v>
      </c>
      <c r="R7912" t="s" s="16">
        <f>HYPERLINK("http://secrets.rutgers.edu:8080/data/asl-ftp/asllvd/demos/verify_start_end_handshape_annotations//test_auto_move//signs_mov_separ_signers/Liz_2048.mov","MOV")</f>
        <v>21</v>
      </c>
    </row>
    <row r="7913" s="2" customFormat="1" ht="13.5" customHeight="1">
      <c r="B7913" s="13"/>
      <c r="C7913" t="s" s="9">
        <v>30</v>
      </c>
      <c r="D7913" t="s" s="8">
        <v>2820</v>
      </c>
      <c r="E7913" t="s" s="9">
        <v>2821</v>
      </c>
      <c r="F7913" s="19">
        <v>1</v>
      </c>
      <c r="G7913" s="14"/>
      <c r="H7913" t="s" s="10">
        <v>255</v>
      </c>
      <c r="I7913" s="14"/>
      <c r="J7913" t="s" s="11">
        <v>20</v>
      </c>
      <c r="K7913" s="15"/>
      <c r="L7913" t="s" s="16">
        <f>HYPERLINK("http://csr.bu.edu/ftp/asl/asllvd/demos/verify_start_end_handshape_annotations//test_auto_move//signs_mov_separ_signers/Brady_2048.mov","MOV")</f>
        <v>21</v>
      </c>
      <c r="M7913" t="s" s="10">
        <v>40</v>
      </c>
      <c r="N7913" s="17">
        <v>52</v>
      </c>
      <c r="O7913" s="18">
        <v>1914</v>
      </c>
      <c r="P7913" s="18">
        <v>1941</v>
      </c>
      <c r="Q7913" s="15"/>
      <c r="R7913" t="s" s="16">
        <f>HYPERLINK("http://secrets.rutgers.edu:8080/data/asl-ftp/asllvd/demos/verify_start_end_handshape_annotations//test_auto_move//signs_mov_separ_signers/Brady_2048.mov","MOV")</f>
        <v>21</v>
      </c>
    </row>
    <row r="7914" s="2" customFormat="1" ht="13.5" customHeight="1">
      <c r="B7914" t="s" s="8">
        <v>2822</v>
      </c>
      <c r="C7914" t="s" s="9">
        <v>14</v>
      </c>
      <c r="D7914" t="s" s="8">
        <v>14</v>
      </c>
      <c r="E7914" t="s" s="9">
        <v>14</v>
      </c>
      <c r="F7914" t="s" s="10">
        <v>14</v>
      </c>
      <c r="G7914" t="s" s="11">
        <v>14</v>
      </c>
      <c r="H7914" t="s" s="10">
        <v>14</v>
      </c>
      <c r="I7914" t="s" s="11">
        <v>14</v>
      </c>
      <c r="J7914" t="s" s="11">
        <v>14</v>
      </c>
      <c r="K7914" t="s" s="12">
        <v>14</v>
      </c>
      <c r="L7914" t="s" s="12">
        <v>14</v>
      </c>
      <c r="M7914" t="s" s="10">
        <v>14</v>
      </c>
      <c r="N7914" t="s" s="11">
        <v>14</v>
      </c>
      <c r="O7914" t="s" s="8">
        <v>14</v>
      </c>
      <c r="P7914" t="s" s="8">
        <v>14</v>
      </c>
      <c r="Q7914" t="s" s="12">
        <v>14</v>
      </c>
      <c r="R7914" t="s" s="12">
        <v>14</v>
      </c>
    </row>
    <row r="7915" s="2" customFormat="1" ht="13.5" customHeight="1">
      <c r="B7915" s="13"/>
      <c r="C7915" t="s" s="9">
        <v>16</v>
      </c>
      <c r="D7915" t="s" s="8">
        <v>2822</v>
      </c>
      <c r="E7915" t="s" s="9">
        <v>2823</v>
      </c>
      <c r="F7915" t="s" s="10">
        <v>220</v>
      </c>
      <c r="G7915" s="14"/>
      <c r="H7915" t="s" s="10">
        <v>220</v>
      </c>
      <c r="I7915" s="14"/>
      <c r="J7915" t="s" s="11">
        <v>20</v>
      </c>
      <c r="K7915" s="15"/>
      <c r="L7915" t="s" s="16">
        <f>HYPERLINK("http://csr.bu.edu/ftp/asl/asllvd/demos/verify_start_end_handshape_annotations//test_auto_move//signs_mov_separ_signers/Liz_15544.mov","MOV")</f>
        <v>21</v>
      </c>
      <c r="M7915" t="s" s="10">
        <v>88</v>
      </c>
      <c r="N7915" s="17">
        <v>38</v>
      </c>
      <c r="O7915" s="18">
        <v>1753</v>
      </c>
      <c r="P7915" s="18">
        <v>1790</v>
      </c>
      <c r="Q7915" s="15"/>
      <c r="R7915" t="s" s="16">
        <f>HYPERLINK("http://secrets.rutgers.edu:8080/data/asl-ftp/asllvd/demos/verify_start_end_handshape_annotations//test_auto_move//signs_mov_separ_signers/Liz_15544.mov","MOV")</f>
        <v>21</v>
      </c>
    </row>
    <row r="7916" s="2" customFormat="1" ht="13.5" customHeight="1">
      <c r="B7916" s="13"/>
      <c r="C7916" t="s" s="9">
        <v>16</v>
      </c>
      <c r="D7916" t="s" s="8">
        <v>2822</v>
      </c>
      <c r="E7916" t="s" s="9">
        <v>2822</v>
      </c>
      <c r="F7916" t="s" s="10">
        <v>220</v>
      </c>
      <c r="G7916" s="14"/>
      <c r="H7916" t="s" s="10">
        <v>220</v>
      </c>
      <c r="I7916" s="14"/>
      <c r="J7916" t="s" s="11">
        <v>20</v>
      </c>
      <c r="K7916" t="s" s="16">
        <f>HYPERLINK("http://csr.bu.edu/ftp/asl/asllvd/demos/verify_start_end_handshape_annotations//test_auto_move//signs_mov/15544_16418_merged.mov","MOV")</f>
        <v>21</v>
      </c>
      <c r="L7916" t="s" s="16">
        <f>HYPERLINK("http://csr.bu.edu/ftp/asl/asllvd/demos/verify_start_end_handshape_annotations//test_auto_move//signs_mov_separ_signers/Liz_16418.mov","MOV")</f>
        <v>21</v>
      </c>
      <c r="M7916" t="s" s="10">
        <v>88</v>
      </c>
      <c r="N7916" s="17">
        <v>39</v>
      </c>
      <c r="O7916" s="18">
        <v>5570</v>
      </c>
      <c r="P7916" s="18">
        <v>5595</v>
      </c>
      <c r="Q7916" t="s" s="16">
        <f>HYPERLINK("http://secrets.rutgers.edu:8080/data/asl-ftp/asllvd/demos/verify_start_end_handshape_annotations//test_auto_move//signs_mov/15544_16418_merged.mov","MOV")</f>
        <v>21</v>
      </c>
      <c r="R7916" t="s" s="16">
        <f>HYPERLINK("http://secrets.rutgers.edu:8080/data/asl-ftp/asllvd/demos/verify_start_end_handshape_annotations//test_auto_move//signs_mov_separ_signers/Liz_16418.mov","MOV")</f>
        <v>21</v>
      </c>
    </row>
    <row r="7917" s="2" customFormat="1" ht="13.5" customHeight="1">
      <c r="B7917" s="13"/>
      <c r="C7917" t="s" s="9">
        <v>30</v>
      </c>
      <c r="D7917" t="s" s="8">
        <v>2822</v>
      </c>
      <c r="E7917" t="s" s="9">
        <v>2823</v>
      </c>
      <c r="F7917" t="s" s="10">
        <v>220</v>
      </c>
      <c r="G7917" s="14"/>
      <c r="H7917" t="s" s="10">
        <v>220</v>
      </c>
      <c r="I7917" s="14"/>
      <c r="J7917" t="s" s="11">
        <v>20</v>
      </c>
      <c r="K7917" s="15"/>
      <c r="L7917" t="s" s="16">
        <f>HYPERLINK("http://csr.bu.edu/ftp/asl/asllvd/demos/verify_start_end_handshape_annotations//test_auto_move//signs_mov_separ_signers/Brady_15544.mov","MOV")</f>
        <v>21</v>
      </c>
      <c r="M7917" t="s" s="10">
        <v>40</v>
      </c>
      <c r="N7917" s="17">
        <v>32</v>
      </c>
      <c r="O7917" s="18">
        <v>1728</v>
      </c>
      <c r="P7917" s="18">
        <v>1753</v>
      </c>
      <c r="Q7917" s="15"/>
      <c r="R7917" t="s" s="16">
        <f>HYPERLINK("http://secrets.rutgers.edu:8080/data/asl-ftp/asllvd/demos/verify_start_end_handshape_annotations//test_auto_move//signs_mov_separ_signers/Brady_15544.mov","MOV")</f>
        <v>21</v>
      </c>
    </row>
    <row r="7918" s="2" customFormat="1" ht="13.5" customHeight="1">
      <c r="B7918" s="13"/>
      <c r="C7918" t="s" s="9">
        <v>30</v>
      </c>
      <c r="D7918" t="s" s="8">
        <v>2822</v>
      </c>
      <c r="E7918" t="s" s="9">
        <v>2822</v>
      </c>
      <c r="F7918" t="s" s="10">
        <v>220</v>
      </c>
      <c r="G7918" s="14"/>
      <c r="H7918" t="s" s="10">
        <v>220</v>
      </c>
      <c r="I7918" s="14"/>
      <c r="J7918" t="s" s="11">
        <v>20</v>
      </c>
      <c r="K7918" s="15"/>
      <c r="L7918" t="s" s="16">
        <f>HYPERLINK("http://csr.bu.edu/ftp/asl/asllvd/demos/verify_start_end_handshape_annotations//test_auto_move//signs_mov_separ_signers/Brady_16418.mov","MOV")</f>
        <v>21</v>
      </c>
      <c r="M7918" t="s" s="10">
        <v>40</v>
      </c>
      <c r="N7918" s="17">
        <v>33</v>
      </c>
      <c r="O7918" s="18">
        <v>4172</v>
      </c>
      <c r="P7918" s="18">
        <v>4200</v>
      </c>
      <c r="Q7918" s="15"/>
      <c r="R7918" t="s" s="16">
        <f>HYPERLINK("http://secrets.rutgers.edu:8080/data/asl-ftp/asllvd/demos/verify_start_end_handshape_annotations//test_auto_move//signs_mov_separ_signers/Brady_16418.mov","MOV")</f>
        <v>21</v>
      </c>
    </row>
    <row r="7919" s="2" customFormat="1" ht="13.5" customHeight="1">
      <c r="B7919" t="s" s="8">
        <v>2824</v>
      </c>
      <c r="C7919" t="s" s="9">
        <v>14</v>
      </c>
      <c r="D7919" t="s" s="8">
        <v>14</v>
      </c>
      <c r="E7919" t="s" s="9">
        <v>14</v>
      </c>
      <c r="F7919" t="s" s="10">
        <v>14</v>
      </c>
      <c r="G7919" t="s" s="11">
        <v>14</v>
      </c>
      <c r="H7919" t="s" s="10">
        <v>14</v>
      </c>
      <c r="I7919" t="s" s="11">
        <v>14</v>
      </c>
      <c r="J7919" t="s" s="11">
        <v>14</v>
      </c>
      <c r="K7919" t="s" s="12">
        <v>14</v>
      </c>
      <c r="L7919" t="s" s="12">
        <v>14</v>
      </c>
      <c r="M7919" t="s" s="10">
        <v>14</v>
      </c>
      <c r="N7919" t="s" s="11">
        <v>14</v>
      </c>
      <c r="O7919" t="s" s="8">
        <v>14</v>
      </c>
      <c r="P7919" t="s" s="8">
        <v>14</v>
      </c>
      <c r="Q7919" t="s" s="12">
        <v>14</v>
      </c>
      <c r="R7919" t="s" s="12">
        <v>14</v>
      </c>
    </row>
    <row r="7920" s="2" customFormat="1" ht="13.5" customHeight="1">
      <c r="B7920" s="13"/>
      <c r="C7920" t="s" s="9">
        <v>16</v>
      </c>
      <c r="D7920" t="s" s="8">
        <v>2824</v>
      </c>
      <c r="E7920" t="s" s="9">
        <v>2824</v>
      </c>
      <c r="F7920" t="s" s="10">
        <v>220</v>
      </c>
      <c r="G7920" t="s" s="11">
        <v>220</v>
      </c>
      <c r="H7920" t="s" s="10">
        <v>220</v>
      </c>
      <c r="I7920" t="s" s="11">
        <v>220</v>
      </c>
      <c r="J7920" t="s" s="11">
        <v>20</v>
      </c>
      <c r="K7920" t="s" s="16">
        <f>HYPERLINK("http://csr.bu.edu/ftp/asl/asllvd/demos/verify_start_end_handshape_annotations//test_auto_move//signs_mov/16419.mov","MOV")</f>
        <v>21</v>
      </c>
      <c r="L7920" t="s" s="16">
        <f>HYPERLINK("http://csr.bu.edu/ftp/asl/asllvd/demos/verify_start_end_handshape_annotations//test_auto_move//signs_mov_separ_signers/Liz_16419.mov","MOV")</f>
        <v>21</v>
      </c>
      <c r="M7920" t="s" s="10">
        <v>77</v>
      </c>
      <c r="N7920" s="17">
        <v>7</v>
      </c>
      <c r="O7920" s="18">
        <v>2402</v>
      </c>
      <c r="P7920" s="18">
        <v>2437</v>
      </c>
      <c r="Q7920" t="s" s="16">
        <f>HYPERLINK("http://secrets.rutgers.edu:8080/data/asl-ftp/asllvd/demos/verify_start_end_handshape_annotations//test_auto_move//signs_mov/16419.mov","MOV")</f>
        <v>21</v>
      </c>
      <c r="R7920" t="s" s="16">
        <f>HYPERLINK("http://secrets.rutgers.edu:8080/data/asl-ftp/asllvd/demos/verify_start_end_handshape_annotations//test_auto_move//signs_mov_separ_signers/Liz_16419.mov","MOV")</f>
        <v>21</v>
      </c>
    </row>
    <row r="7921" s="2" customFormat="1" ht="13.5" customHeight="1">
      <c r="B7921" t="s" s="8">
        <v>2825</v>
      </c>
      <c r="C7921" t="s" s="9">
        <v>14</v>
      </c>
      <c r="D7921" t="s" s="8">
        <v>14</v>
      </c>
      <c r="E7921" t="s" s="9">
        <v>14</v>
      </c>
      <c r="F7921" t="s" s="10">
        <v>14</v>
      </c>
      <c r="G7921" t="s" s="11">
        <v>14</v>
      </c>
      <c r="H7921" t="s" s="10">
        <v>14</v>
      </c>
      <c r="I7921" t="s" s="11">
        <v>14</v>
      </c>
      <c r="J7921" t="s" s="11">
        <v>14</v>
      </c>
      <c r="K7921" t="s" s="12">
        <v>14</v>
      </c>
      <c r="L7921" t="s" s="12">
        <v>14</v>
      </c>
      <c r="M7921" t="s" s="10">
        <v>14</v>
      </c>
      <c r="N7921" t="s" s="11">
        <v>14</v>
      </c>
      <c r="O7921" t="s" s="8">
        <v>14</v>
      </c>
      <c r="P7921" t="s" s="8">
        <v>14</v>
      </c>
      <c r="Q7921" t="s" s="12">
        <v>14</v>
      </c>
      <c r="R7921" t="s" s="12">
        <v>14</v>
      </c>
    </row>
    <row r="7922" s="2" customFormat="1" ht="13.5" customHeight="1">
      <c r="B7922" s="13"/>
      <c r="C7922" t="s" s="9">
        <v>16</v>
      </c>
      <c r="D7922" t="s" s="8">
        <v>2825</v>
      </c>
      <c r="E7922" t="s" s="9">
        <v>2825</v>
      </c>
      <c r="F7922" t="s" s="10">
        <v>268</v>
      </c>
      <c r="G7922" t="s" s="11">
        <v>105</v>
      </c>
      <c r="H7922" s="19">
        <v>1</v>
      </c>
      <c r="I7922" t="s" s="11">
        <v>105</v>
      </c>
      <c r="J7922" t="s" s="11">
        <v>20</v>
      </c>
      <c r="K7922" t="s" s="16">
        <f>HYPERLINK("http://csr.bu.edu/ftp/asl/asllvd/demos/verify_start_end_handshape_annotations//test_auto_move//signs_mov/2052.mov","MOV")</f>
        <v>21</v>
      </c>
      <c r="L7922" t="s" s="16">
        <f>HYPERLINK("http://csr.bu.edu/ftp/asl/asllvd/demos/verify_start_end_handshape_annotations//test_auto_move//signs_mov_separ_signers/Liz_2052.mov","MOV")</f>
        <v>21</v>
      </c>
      <c r="M7922" t="s" s="10">
        <v>36</v>
      </c>
      <c r="N7922" s="17">
        <v>8</v>
      </c>
      <c r="O7922" s="18">
        <v>1135</v>
      </c>
      <c r="P7922" s="18">
        <v>1170</v>
      </c>
      <c r="Q7922" t="s" s="16">
        <f>HYPERLINK("http://secrets.rutgers.edu:8080/data/asl-ftp/asllvd/demos/verify_start_end_handshape_annotations//test_auto_move//signs_mov/2052.mov","MOV")</f>
        <v>21</v>
      </c>
      <c r="R7922" t="s" s="16">
        <f>HYPERLINK("http://secrets.rutgers.edu:8080/data/asl-ftp/asllvd/demos/verify_start_end_handshape_annotations//test_auto_move//signs_mov_separ_signers/Liz_2052.mov","MOV")</f>
        <v>21</v>
      </c>
    </row>
    <row r="7923" s="2" customFormat="1" ht="13.5" customHeight="1">
      <c r="B7923" s="13"/>
      <c r="C7923" t="s" s="9">
        <v>30</v>
      </c>
      <c r="D7923" t="s" s="8">
        <v>2825</v>
      </c>
      <c r="E7923" t="s" s="9">
        <v>2825</v>
      </c>
      <c r="F7923" s="19">
        <v>1</v>
      </c>
      <c r="G7923" t="s" s="11">
        <v>68</v>
      </c>
      <c r="H7923" s="19">
        <v>1</v>
      </c>
      <c r="I7923" t="s" s="11">
        <v>68</v>
      </c>
      <c r="J7923" t="s" s="11">
        <v>20</v>
      </c>
      <c r="K7923" s="15"/>
      <c r="L7923" t="s" s="16">
        <f>HYPERLINK("http://csr.bu.edu/ftp/asl/asllvd/demos/verify_start_end_handshape_annotations//test_auto_move//signs_mov_separ_signers/Brady_2052.mov","MOV")</f>
        <v>21</v>
      </c>
      <c r="M7923" t="s" s="10">
        <v>40</v>
      </c>
      <c r="N7923" s="17">
        <v>53</v>
      </c>
      <c r="O7923" s="18">
        <v>646</v>
      </c>
      <c r="P7923" s="18">
        <v>662</v>
      </c>
      <c r="Q7923" s="15"/>
      <c r="R7923" t="s" s="16">
        <f>HYPERLINK("http://secrets.rutgers.edu:8080/data/asl-ftp/asllvd/demos/verify_start_end_handshape_annotations//test_auto_move//signs_mov_separ_signers/Brady_2052.mov","MOV")</f>
        <v>21</v>
      </c>
    </row>
    <row r="7924" s="2" customFormat="1" ht="13.5" customHeight="1">
      <c r="B7924" t="s" s="8">
        <v>52</v>
      </c>
      <c r="C7924" t="s" s="9">
        <v>53</v>
      </c>
      <c r="D7924" t="s" s="8">
        <v>53</v>
      </c>
      <c r="E7924" t="s" s="9">
        <v>53</v>
      </c>
      <c r="F7924" t="s" s="10">
        <v>53</v>
      </c>
      <c r="G7924" t="s" s="11">
        <v>53</v>
      </c>
      <c r="H7924" t="s" s="10">
        <v>53</v>
      </c>
      <c r="I7924" t="s" s="11">
        <v>53</v>
      </c>
      <c r="J7924" t="s" s="11">
        <v>53</v>
      </c>
      <c r="K7924" t="s" s="12">
        <v>53</v>
      </c>
      <c r="L7924" t="s" s="12">
        <v>53</v>
      </c>
      <c r="M7924" t="s" s="10">
        <v>53</v>
      </c>
      <c r="N7924" t="s" s="11">
        <v>53</v>
      </c>
      <c r="O7924" t="s" s="8">
        <v>53</v>
      </c>
      <c r="P7924" t="s" s="8">
        <v>53</v>
      </c>
      <c r="Q7924" t="s" s="12">
        <v>53</v>
      </c>
      <c r="R7924" t="s" s="12">
        <v>53</v>
      </c>
    </row>
    <row r="7925" s="2" customFormat="1" ht="13.5" customHeight="1">
      <c r="B7925" s="13"/>
      <c r="C7925" t="s" s="9">
        <v>16</v>
      </c>
      <c r="D7925" t="s" s="8">
        <v>2825</v>
      </c>
      <c r="E7925" t="s" s="9">
        <v>2826</v>
      </c>
      <c r="F7925" t="s" s="10">
        <v>251</v>
      </c>
      <c r="G7925" t="s" s="11">
        <v>105</v>
      </c>
      <c r="H7925" t="s" s="10">
        <v>251</v>
      </c>
      <c r="I7925" t="s" s="11">
        <v>105</v>
      </c>
      <c r="J7925" t="s" s="11">
        <v>20</v>
      </c>
      <c r="K7925" t="s" s="16">
        <f>HYPERLINK("http://csr.bu.edu/ftp/asl/asllvd/demos/verify_start_end_handshape_annotations//test_auto_move//signs_mov/3733.mov","MOV")</f>
        <v>21</v>
      </c>
      <c r="L7925" t="s" s="16">
        <f>HYPERLINK("http://csr.bu.edu/ftp/asl/asllvd/demos/verify_start_end_handshape_annotations//test_auto_move//signs_mov_separ_signers/Liz_3733.mov","MOV")</f>
        <v>21</v>
      </c>
      <c r="M7925" t="s" s="10">
        <v>36</v>
      </c>
      <c r="N7925" s="17">
        <v>8</v>
      </c>
      <c r="O7925" s="18">
        <v>903</v>
      </c>
      <c r="P7925" s="18">
        <v>943</v>
      </c>
      <c r="Q7925" t="s" s="16">
        <f>HYPERLINK("http://secrets.rutgers.edu:8080/data/asl-ftp/asllvd/demos/verify_start_end_handshape_annotations//test_auto_move//signs_mov/3733.mov","MOV")</f>
        <v>21</v>
      </c>
      <c r="R7925" t="s" s="16">
        <f>HYPERLINK("http://secrets.rutgers.edu:8080/data/asl-ftp/asllvd/demos/verify_start_end_handshape_annotations//test_auto_move//signs_mov_separ_signers/Liz_3733.mov","MOV")</f>
        <v>21</v>
      </c>
    </row>
    <row r="7926" s="2" customFormat="1" ht="13.5" customHeight="1">
      <c r="B7926" s="13"/>
      <c r="C7926" t="s" s="9">
        <v>30</v>
      </c>
      <c r="D7926" t="s" s="8">
        <v>2825</v>
      </c>
      <c r="E7926" t="s" s="9">
        <v>2826</v>
      </c>
      <c r="F7926" t="s" s="10">
        <v>251</v>
      </c>
      <c r="G7926" t="s" s="11">
        <v>68</v>
      </c>
      <c r="H7926" t="s" s="10">
        <v>251</v>
      </c>
      <c r="I7926" t="s" s="11">
        <v>68</v>
      </c>
      <c r="J7926" t="s" s="11">
        <v>20</v>
      </c>
      <c r="K7926" s="15"/>
      <c r="L7926" t="s" s="16">
        <f>HYPERLINK("http://csr.bu.edu/ftp/asl/asllvd/demos/verify_start_end_handshape_annotations//test_auto_move//signs_mov_separ_signers/Brady_3733.mov","MOV")</f>
        <v>21</v>
      </c>
      <c r="M7926" t="s" s="10">
        <v>40</v>
      </c>
      <c r="N7926" s="17">
        <v>53</v>
      </c>
      <c r="O7926" s="18">
        <v>407</v>
      </c>
      <c r="P7926" s="18">
        <v>426</v>
      </c>
      <c r="Q7926" s="15"/>
      <c r="R7926" t="s" s="16">
        <f>HYPERLINK("http://secrets.rutgers.edu:8080/data/asl-ftp/asllvd/demos/verify_start_end_handshape_annotations//test_auto_move//signs_mov_separ_signers/Brady_3733.mov","MOV")</f>
        <v>21</v>
      </c>
    </row>
    <row r="7927" s="2" customFormat="1" ht="13.5" customHeight="1">
      <c r="B7927" t="s" s="8">
        <v>2827</v>
      </c>
      <c r="C7927" t="s" s="9">
        <v>14</v>
      </c>
      <c r="D7927" t="s" s="8">
        <v>14</v>
      </c>
      <c r="E7927" t="s" s="9">
        <v>14</v>
      </c>
      <c r="F7927" t="s" s="10">
        <v>14</v>
      </c>
      <c r="G7927" t="s" s="11">
        <v>14</v>
      </c>
      <c r="H7927" t="s" s="10">
        <v>14</v>
      </c>
      <c r="I7927" t="s" s="11">
        <v>14</v>
      </c>
      <c r="J7927" t="s" s="11">
        <v>14</v>
      </c>
      <c r="K7927" t="s" s="12">
        <v>14</v>
      </c>
      <c r="L7927" t="s" s="12">
        <v>14</v>
      </c>
      <c r="M7927" t="s" s="10">
        <v>14</v>
      </c>
      <c r="N7927" t="s" s="11">
        <v>14</v>
      </c>
      <c r="O7927" t="s" s="8">
        <v>14</v>
      </c>
      <c r="P7927" t="s" s="8">
        <v>14</v>
      </c>
      <c r="Q7927" t="s" s="12">
        <v>14</v>
      </c>
      <c r="R7927" t="s" s="12">
        <v>14</v>
      </c>
    </row>
    <row r="7928" s="2" customFormat="1" ht="13.5" customHeight="1">
      <c r="B7928" s="13"/>
      <c r="C7928" t="s" s="9">
        <v>16</v>
      </c>
      <c r="D7928" t="s" s="8">
        <v>2827</v>
      </c>
      <c r="E7928" t="s" s="9">
        <v>2827</v>
      </c>
      <c r="F7928" s="19">
        <v>10</v>
      </c>
      <c r="G7928" s="14"/>
      <c r="H7928" s="19">
        <v>10</v>
      </c>
      <c r="I7928" s="14"/>
      <c r="J7928" t="s" s="11">
        <v>20</v>
      </c>
      <c r="K7928" s="15"/>
      <c r="L7928" t="s" s="16">
        <f>HYPERLINK("http://csr.bu.edu/ftp/asl/asllvd/demos/verify_start_end_handshape_annotations//test_auto_move//signs_mov_separ_signers/Liz_2056.mov","MOV")</f>
        <v>21</v>
      </c>
      <c r="M7928" t="s" s="10">
        <v>36</v>
      </c>
      <c r="N7928" s="17">
        <v>8</v>
      </c>
      <c r="O7928" s="18">
        <v>2470</v>
      </c>
      <c r="P7928" s="18">
        <v>2526</v>
      </c>
      <c r="Q7928" s="15"/>
      <c r="R7928" t="s" s="16">
        <f>HYPERLINK("http://secrets.rutgers.edu:8080/data/asl-ftp/asllvd/demos/verify_start_end_handshape_annotations//test_auto_move//signs_mov_separ_signers/Liz_2056.mov","MOV")</f>
        <v>21</v>
      </c>
    </row>
    <row r="7929" s="2" customFormat="1" ht="13.5" customHeight="1">
      <c r="B7929" s="13"/>
      <c r="C7929" t="s" s="9">
        <v>23</v>
      </c>
      <c r="D7929" t="s" s="8">
        <v>2827</v>
      </c>
      <c r="E7929" t="s" s="9">
        <v>2827</v>
      </c>
      <c r="F7929" s="19">
        <v>10</v>
      </c>
      <c r="G7929" s="14"/>
      <c r="H7929" s="19">
        <v>10</v>
      </c>
      <c r="I7929" s="14"/>
      <c r="J7929" t="s" s="11">
        <v>20</v>
      </c>
      <c r="K7929" t="s" s="16">
        <f>HYPERLINK("http://csr.bu.edu/ftp/asl/asllvd/demos/verify_start_end_handshape_annotations//test_auto_move//signs_mov/2056.mov","MOV")</f>
        <v>21</v>
      </c>
      <c r="L7929" t="s" s="16">
        <f>HYPERLINK("http://csr.bu.edu/ftp/asl/asllvd/demos/verify_start_end_handshape_annotations//test_auto_move//signs_mov_separ_signers/Tyler_2056.mov","MOV")</f>
        <v>21</v>
      </c>
      <c r="M7929" t="s" s="10">
        <v>125</v>
      </c>
      <c r="N7929" s="17">
        <v>14</v>
      </c>
      <c r="O7929" s="18">
        <v>2317</v>
      </c>
      <c r="P7929" s="18">
        <v>2355</v>
      </c>
      <c r="Q7929" t="s" s="16">
        <f>HYPERLINK("http://secrets.rutgers.edu:8080/data/asl-ftp/asllvd/demos/verify_start_end_handshape_annotations//test_auto_move//signs_mov/2056.mov","MOV")</f>
        <v>21</v>
      </c>
      <c r="R7929" t="s" s="16">
        <f>HYPERLINK("http://secrets.rutgers.edu:8080/data/asl-ftp/asllvd/demos/verify_start_end_handshape_annotations//test_auto_move//signs_mov_separ_signers/Tyler_2056.mov","MOV")</f>
        <v>21</v>
      </c>
    </row>
    <row r="7930" s="2" customFormat="1" ht="13.5" customHeight="1">
      <c r="B7930" s="13"/>
      <c r="C7930" t="s" s="9">
        <v>30</v>
      </c>
      <c r="D7930" t="s" s="8">
        <v>2827</v>
      </c>
      <c r="E7930" t="s" s="9">
        <v>2827</v>
      </c>
      <c r="F7930" s="19">
        <v>10</v>
      </c>
      <c r="G7930" s="14"/>
      <c r="H7930" s="19">
        <v>10</v>
      </c>
      <c r="I7930" s="14"/>
      <c r="J7930" t="s" s="11">
        <v>20</v>
      </c>
      <c r="K7930" s="15"/>
      <c r="L7930" t="s" s="16">
        <f>HYPERLINK("http://csr.bu.edu/ftp/asl/asllvd/demos/verify_start_end_handshape_annotations//test_auto_move//signs_mov_separ_signers/Brady_2056.mov","MOV")</f>
        <v>21</v>
      </c>
      <c r="M7930" t="s" s="10">
        <v>40</v>
      </c>
      <c r="N7930" s="17">
        <v>53</v>
      </c>
      <c r="O7930" s="18">
        <v>1609</v>
      </c>
      <c r="P7930" s="18">
        <v>1633</v>
      </c>
      <c r="Q7930" s="15"/>
      <c r="R7930" t="s" s="16">
        <f>HYPERLINK("http://secrets.rutgers.edu:8080/data/asl-ftp/asllvd/demos/verify_start_end_handshape_annotations//test_auto_move//signs_mov_separ_signers/Brady_2056.mov","MOV")</f>
        <v>21</v>
      </c>
    </row>
    <row r="7931" s="2" customFormat="1" ht="13.5" customHeight="1">
      <c r="B7931" t="s" s="8">
        <v>2828</v>
      </c>
      <c r="C7931" t="s" s="9">
        <v>14</v>
      </c>
      <c r="D7931" t="s" s="8">
        <v>14</v>
      </c>
      <c r="E7931" t="s" s="9">
        <v>14</v>
      </c>
      <c r="F7931" t="s" s="10">
        <v>14</v>
      </c>
      <c r="G7931" t="s" s="11">
        <v>14</v>
      </c>
      <c r="H7931" t="s" s="10">
        <v>14</v>
      </c>
      <c r="I7931" t="s" s="11">
        <v>14</v>
      </c>
      <c r="J7931" t="s" s="11">
        <v>14</v>
      </c>
      <c r="K7931" t="s" s="12">
        <v>14</v>
      </c>
      <c r="L7931" t="s" s="12">
        <v>14</v>
      </c>
      <c r="M7931" t="s" s="10">
        <v>14</v>
      </c>
      <c r="N7931" t="s" s="11">
        <v>14</v>
      </c>
      <c r="O7931" t="s" s="8">
        <v>14</v>
      </c>
      <c r="P7931" t="s" s="8">
        <v>14</v>
      </c>
      <c r="Q7931" t="s" s="12">
        <v>14</v>
      </c>
      <c r="R7931" t="s" s="12">
        <v>14</v>
      </c>
    </row>
    <row r="7932" s="2" customFormat="1" ht="13.5" customHeight="1">
      <c r="B7932" s="13"/>
      <c r="C7932" t="s" s="9">
        <v>16</v>
      </c>
      <c r="D7932" t="s" s="8">
        <v>2828</v>
      </c>
      <c r="E7932" t="s" s="9">
        <v>2829</v>
      </c>
      <c r="F7932" t="s" s="10">
        <v>68</v>
      </c>
      <c r="G7932" t="s" s="11">
        <v>68</v>
      </c>
      <c r="H7932" t="s" s="10">
        <v>68</v>
      </c>
      <c r="I7932" t="s" s="11">
        <v>68</v>
      </c>
      <c r="J7932" t="s" s="11">
        <v>20</v>
      </c>
      <c r="K7932" s="15"/>
      <c r="L7932" t="s" s="16">
        <f>HYPERLINK("http://csr.bu.edu/ftp/asl/asllvd/demos/verify_start_end_handshape_annotations//test_auto_move//signs_mov_separ_signers/Liz_2061.mov","MOV")</f>
        <v>21</v>
      </c>
      <c r="M7932" t="s" s="10">
        <v>36</v>
      </c>
      <c r="N7932" s="17">
        <v>9</v>
      </c>
      <c r="O7932" s="18">
        <v>405</v>
      </c>
      <c r="P7932" s="18">
        <v>470</v>
      </c>
      <c r="Q7932" s="15"/>
      <c r="R7932" t="s" s="16">
        <f>HYPERLINK("http://secrets.rutgers.edu:8080/data/asl-ftp/asllvd/demos/verify_start_end_handshape_annotations//test_auto_move//signs_mov_separ_signers/Liz_2061.mov","MOV")</f>
        <v>21</v>
      </c>
    </row>
    <row r="7933" s="2" customFormat="1" ht="13.5" customHeight="1">
      <c r="B7933" s="13"/>
      <c r="C7933" t="s" s="9">
        <v>16</v>
      </c>
      <c r="D7933" t="s" s="8">
        <v>2828</v>
      </c>
      <c r="E7933" t="s" s="9">
        <v>2828</v>
      </c>
      <c r="F7933" t="s" s="10">
        <v>68</v>
      </c>
      <c r="G7933" t="s" s="11">
        <v>68</v>
      </c>
      <c r="H7933" t="s" s="10">
        <v>68</v>
      </c>
      <c r="I7933" t="s" s="11">
        <v>68</v>
      </c>
      <c r="J7933" t="s" s="11">
        <v>20</v>
      </c>
      <c r="K7933" t="s" s="16">
        <f>HYPERLINK("http://csr.bu.edu/ftp/asl/asllvd/demos/verify_start_end_handshape_annotations//test_auto_move//signs_mov/2061_3735_merged.mov","MOV")</f>
        <v>21</v>
      </c>
      <c r="L7933" t="s" s="16">
        <f>HYPERLINK("http://csr.bu.edu/ftp/asl/asllvd/demos/verify_start_end_handshape_annotations//test_auto_move//signs_mov_separ_signers/Liz_3735.mov","MOV")</f>
        <v>21</v>
      </c>
      <c r="M7933" t="s" s="10">
        <v>36</v>
      </c>
      <c r="N7933" s="17">
        <v>53</v>
      </c>
      <c r="O7933" s="18">
        <v>2695</v>
      </c>
      <c r="P7933" s="18">
        <v>2730</v>
      </c>
      <c r="Q7933" t="s" s="16">
        <f>HYPERLINK("http://secrets.rutgers.edu:8080/data/asl-ftp/asllvd/demos/verify_start_end_handshape_annotations//test_auto_move//signs_mov/2061_3735_merged.mov","MOV")</f>
        <v>21</v>
      </c>
      <c r="R7933" t="s" s="16">
        <f>HYPERLINK("http://secrets.rutgers.edu:8080/data/asl-ftp/asllvd/demos/verify_start_end_handshape_annotations//test_auto_move//signs_mov_separ_signers/Liz_3735.mov","MOV")</f>
        <v>21</v>
      </c>
    </row>
    <row r="7934" s="2" customFormat="1" ht="13.5" customHeight="1">
      <c r="B7934" s="13"/>
      <c r="C7934" t="s" s="9">
        <v>30</v>
      </c>
      <c r="D7934" t="s" s="8">
        <v>2828</v>
      </c>
      <c r="E7934" t="s" s="9">
        <v>2829</v>
      </c>
      <c r="F7934" t="s" s="10">
        <v>68</v>
      </c>
      <c r="G7934" t="s" s="11">
        <v>68</v>
      </c>
      <c r="H7934" t="s" s="10">
        <v>68</v>
      </c>
      <c r="I7934" t="s" s="11">
        <v>68</v>
      </c>
      <c r="J7934" t="s" s="11">
        <v>20</v>
      </c>
      <c r="K7934" s="15"/>
      <c r="L7934" t="s" s="16">
        <f>HYPERLINK("http://csr.bu.edu/ftp/asl/asllvd/demos/verify_start_end_handshape_annotations//test_auto_move//signs_mov_separ_signers/Brady_2061.mov","MOV")</f>
        <v>21</v>
      </c>
      <c r="M7934" t="s" s="10">
        <v>40</v>
      </c>
      <c r="N7934" s="17">
        <v>54</v>
      </c>
      <c r="O7934" s="18">
        <v>392</v>
      </c>
      <c r="P7934" s="18">
        <v>425</v>
      </c>
      <c r="Q7934" s="15"/>
      <c r="R7934" t="s" s="16">
        <f>HYPERLINK("http://secrets.rutgers.edu:8080/data/asl-ftp/asllvd/demos/verify_start_end_handshape_annotations//test_auto_move//signs_mov_separ_signers/Brady_2061.mov","MOV")</f>
        <v>21</v>
      </c>
    </row>
    <row r="7935" s="2" customFormat="1" ht="13.5" customHeight="1">
      <c r="B7935" s="13"/>
      <c r="C7935" t="s" s="9">
        <v>30</v>
      </c>
      <c r="D7935" t="s" s="8">
        <v>2828</v>
      </c>
      <c r="E7935" t="s" s="9">
        <v>2829</v>
      </c>
      <c r="F7935" t="s" s="10">
        <v>68</v>
      </c>
      <c r="G7935" t="s" s="11">
        <v>68</v>
      </c>
      <c r="H7935" t="s" s="10">
        <v>68</v>
      </c>
      <c r="I7935" t="s" s="11">
        <v>68</v>
      </c>
      <c r="J7935" t="s" s="11">
        <v>20</v>
      </c>
      <c r="K7935" s="15"/>
      <c r="L7935" t="s" s="16">
        <f>HYPERLINK("http://csr.bu.edu/ftp/asl/asllvd/demos/verify_start_end_handshape_annotations//test_auto_move//signs_mov_separ_signers/Brady_3735.mov","MOV")</f>
        <v>21</v>
      </c>
      <c r="M7935" t="s" s="10">
        <v>40</v>
      </c>
      <c r="N7935" s="17">
        <v>105</v>
      </c>
      <c r="O7935" s="18">
        <v>2246</v>
      </c>
      <c r="P7935" s="18">
        <v>2269</v>
      </c>
      <c r="Q7935" s="15"/>
      <c r="R7935" t="s" s="16">
        <f>HYPERLINK("http://secrets.rutgers.edu:8080/data/asl-ftp/asllvd/demos/verify_start_end_handshape_annotations//test_auto_move//signs_mov_separ_signers/Brady_3735.mov","MOV")</f>
        <v>21</v>
      </c>
    </row>
    <row r="7936" s="2" customFormat="1" ht="13.5" customHeight="1">
      <c r="B7936" t="s" s="8">
        <v>52</v>
      </c>
      <c r="C7936" t="s" s="9">
        <v>53</v>
      </c>
      <c r="D7936" t="s" s="8">
        <v>53</v>
      </c>
      <c r="E7936" t="s" s="9">
        <v>53</v>
      </c>
      <c r="F7936" t="s" s="10">
        <v>53</v>
      </c>
      <c r="G7936" t="s" s="11">
        <v>53</v>
      </c>
      <c r="H7936" t="s" s="10">
        <v>53</v>
      </c>
      <c r="I7936" t="s" s="11">
        <v>53</v>
      </c>
      <c r="J7936" t="s" s="11">
        <v>53</v>
      </c>
      <c r="K7936" t="s" s="12">
        <v>53</v>
      </c>
      <c r="L7936" t="s" s="12">
        <v>53</v>
      </c>
      <c r="M7936" t="s" s="10">
        <v>53</v>
      </c>
      <c r="N7936" t="s" s="11">
        <v>53</v>
      </c>
      <c r="O7936" t="s" s="8">
        <v>53</v>
      </c>
      <c r="P7936" t="s" s="8">
        <v>53</v>
      </c>
      <c r="Q7936" t="s" s="12">
        <v>53</v>
      </c>
      <c r="R7936" t="s" s="12">
        <v>53</v>
      </c>
    </row>
    <row r="7937" s="2" customFormat="1" ht="13.5" customHeight="1">
      <c r="B7937" s="13"/>
      <c r="C7937" t="s" s="9">
        <v>16</v>
      </c>
      <c r="D7937" t="s" s="8">
        <v>2828</v>
      </c>
      <c r="E7937" t="s" s="9">
        <v>2830</v>
      </c>
      <c r="F7937" t="s" s="10">
        <v>251</v>
      </c>
      <c r="G7937" t="s" s="11">
        <v>68</v>
      </c>
      <c r="H7937" t="s" s="10">
        <v>251</v>
      </c>
      <c r="I7937" t="s" s="11">
        <v>68</v>
      </c>
      <c r="J7937" t="s" s="11">
        <v>20</v>
      </c>
      <c r="K7937" t="s" s="16">
        <f>HYPERLINK("http://csr.bu.edu/ftp/asl/asllvd/demos/verify_start_end_handshape_annotations//test_auto_move//signs_mov/3780.mov","MOV")</f>
        <v>21</v>
      </c>
      <c r="L7937" t="s" s="16">
        <f>HYPERLINK("http://csr.bu.edu/ftp/asl/asllvd/demos/verify_start_end_handshape_annotations//test_auto_move//signs_mov_separ_signers/Liz_3780.mov","MOV")</f>
        <v>21</v>
      </c>
      <c r="M7937" t="s" s="10">
        <v>36</v>
      </c>
      <c r="N7937" s="17">
        <v>9</v>
      </c>
      <c r="O7937" s="18">
        <v>655</v>
      </c>
      <c r="P7937" s="18">
        <v>713</v>
      </c>
      <c r="Q7937" t="s" s="16">
        <f>HYPERLINK("http://secrets.rutgers.edu:8080/data/asl-ftp/asllvd/demos/verify_start_end_handshape_annotations//test_auto_move//signs_mov/3780.mov","MOV")</f>
        <v>21</v>
      </c>
      <c r="R7937" t="s" s="16">
        <f>HYPERLINK("http://secrets.rutgers.edu:8080/data/asl-ftp/asllvd/demos/verify_start_end_handshape_annotations//test_auto_move//signs_mov_separ_signers/Liz_3780.mov","MOV")</f>
        <v>21</v>
      </c>
    </row>
    <row r="7938" s="2" customFormat="1" ht="13.5" customHeight="1">
      <c r="B7938" s="13"/>
      <c r="C7938" t="s" s="9">
        <v>30</v>
      </c>
      <c r="D7938" t="s" s="8">
        <v>2828</v>
      </c>
      <c r="E7938" t="s" s="9">
        <v>2830</v>
      </c>
      <c r="F7938" t="s" s="10">
        <v>251</v>
      </c>
      <c r="G7938" t="s" s="11">
        <v>68</v>
      </c>
      <c r="H7938" t="s" s="10">
        <v>251</v>
      </c>
      <c r="I7938" t="s" s="11">
        <v>68</v>
      </c>
      <c r="J7938" t="s" s="11">
        <v>20</v>
      </c>
      <c r="K7938" s="15"/>
      <c r="L7938" t="s" s="16">
        <f>HYPERLINK("http://csr.bu.edu/ftp/asl/asllvd/demos/verify_start_end_handshape_annotations//test_auto_move//signs_mov_separ_signers/Brady_3780.mov","MOV")</f>
        <v>21</v>
      </c>
      <c r="M7938" t="s" s="10">
        <v>40</v>
      </c>
      <c r="N7938" s="17">
        <v>54</v>
      </c>
      <c r="O7938" s="18">
        <v>1193</v>
      </c>
      <c r="P7938" s="18">
        <v>1214</v>
      </c>
      <c r="Q7938" s="15"/>
      <c r="R7938" t="s" s="16">
        <f>HYPERLINK("http://secrets.rutgers.edu:8080/data/asl-ftp/asllvd/demos/verify_start_end_handshape_annotations//test_auto_move//signs_mov_separ_signers/Brady_3780.mov","MOV")</f>
        <v>21</v>
      </c>
    </row>
    <row r="7939" s="2" customFormat="1" ht="13.5" customHeight="1">
      <c r="B7939" t="s" s="8">
        <v>2831</v>
      </c>
      <c r="C7939" t="s" s="9">
        <v>14</v>
      </c>
      <c r="D7939" t="s" s="8">
        <v>14</v>
      </c>
      <c r="E7939" t="s" s="9">
        <v>14</v>
      </c>
      <c r="F7939" t="s" s="10">
        <v>14</v>
      </c>
      <c r="G7939" t="s" s="11">
        <v>14</v>
      </c>
      <c r="H7939" t="s" s="10">
        <v>14</v>
      </c>
      <c r="I7939" t="s" s="11">
        <v>14</v>
      </c>
      <c r="J7939" t="s" s="11">
        <v>14</v>
      </c>
      <c r="K7939" t="s" s="12">
        <v>14</v>
      </c>
      <c r="L7939" t="s" s="12">
        <v>14</v>
      </c>
      <c r="M7939" t="s" s="10">
        <v>14</v>
      </c>
      <c r="N7939" t="s" s="11">
        <v>14</v>
      </c>
      <c r="O7939" t="s" s="8">
        <v>14</v>
      </c>
      <c r="P7939" t="s" s="8">
        <v>14</v>
      </c>
      <c r="Q7939" t="s" s="12">
        <v>14</v>
      </c>
      <c r="R7939" t="s" s="12">
        <v>14</v>
      </c>
    </row>
    <row r="7940" s="2" customFormat="1" ht="13.5" customHeight="1">
      <c r="B7940" s="13"/>
      <c r="C7940" t="s" s="9">
        <v>16</v>
      </c>
      <c r="D7940" t="s" s="8">
        <v>2831</v>
      </c>
      <c r="E7940" t="s" s="9">
        <v>2831</v>
      </c>
      <c r="F7940" t="s" s="10">
        <v>337</v>
      </c>
      <c r="G7940" t="s" s="11">
        <v>337</v>
      </c>
      <c r="H7940" t="s" s="10">
        <v>337</v>
      </c>
      <c r="I7940" t="s" s="11">
        <v>337</v>
      </c>
      <c r="J7940" t="s" s="11">
        <v>20</v>
      </c>
      <c r="K7940" t="s" s="16">
        <f>HYPERLINK("http://csr.bu.edu/ftp/asl/asllvd/demos/verify_start_end_handshape_annotations//test_auto_move//signs_mov/2063.mov","MOV")</f>
        <v>21</v>
      </c>
      <c r="L7940" t="s" s="16">
        <f>HYPERLINK("http://csr.bu.edu/ftp/asl/asllvd/demos/verify_start_end_handshape_annotations//test_auto_move//signs_mov_separ_signers/Liz_2063.mov","MOV")</f>
        <v>21</v>
      </c>
      <c r="M7940" t="s" s="10">
        <v>36</v>
      </c>
      <c r="N7940" s="17">
        <v>9</v>
      </c>
      <c r="O7940" s="18">
        <v>1076</v>
      </c>
      <c r="P7940" s="18">
        <v>1157</v>
      </c>
      <c r="Q7940" t="s" s="16">
        <f>HYPERLINK("http://secrets.rutgers.edu:8080/data/asl-ftp/asllvd/demos/verify_start_end_handshape_annotations//test_auto_move//signs_mov/2063.mov","MOV")</f>
        <v>21</v>
      </c>
      <c r="R7940" t="s" s="16">
        <f>HYPERLINK("http://secrets.rutgers.edu:8080/data/asl-ftp/asllvd/demos/verify_start_end_handshape_annotations//test_auto_move//signs_mov_separ_signers/Liz_2063.mov","MOV")</f>
        <v>21</v>
      </c>
    </row>
    <row r="7941" s="2" customFormat="1" ht="13.5" customHeight="1">
      <c r="B7941" s="13"/>
      <c r="C7941" t="s" s="9">
        <v>30</v>
      </c>
      <c r="D7941" t="s" s="8">
        <v>2831</v>
      </c>
      <c r="E7941" t="s" s="9">
        <v>2831</v>
      </c>
      <c r="F7941" t="s" s="10">
        <v>337</v>
      </c>
      <c r="G7941" t="s" s="11">
        <v>337</v>
      </c>
      <c r="H7941" t="s" s="10">
        <v>337</v>
      </c>
      <c r="I7941" t="s" s="11">
        <v>337</v>
      </c>
      <c r="J7941" t="s" s="11">
        <v>20</v>
      </c>
      <c r="K7941" s="15"/>
      <c r="L7941" t="s" s="16">
        <f>HYPERLINK("http://csr.bu.edu/ftp/asl/asllvd/demos/verify_start_end_handshape_annotations//test_auto_move//signs_mov_separ_signers/Brady_2063.mov","MOV")</f>
        <v>21</v>
      </c>
      <c r="M7941" t="s" s="10">
        <v>40</v>
      </c>
      <c r="N7941" s="17">
        <v>54</v>
      </c>
      <c r="O7941" s="18">
        <v>1492</v>
      </c>
      <c r="P7941" s="18">
        <v>1528</v>
      </c>
      <c r="Q7941" s="15"/>
      <c r="R7941" t="s" s="16">
        <f>HYPERLINK("http://secrets.rutgers.edu:8080/data/asl-ftp/asllvd/demos/verify_start_end_handshape_annotations//test_auto_move//signs_mov_separ_signers/Brady_2063.mov","MOV")</f>
        <v>21</v>
      </c>
    </row>
    <row r="7942" s="2" customFormat="1" ht="13.5" customHeight="1">
      <c r="B7942" t="s" s="8">
        <v>2832</v>
      </c>
      <c r="C7942" t="s" s="9">
        <v>14</v>
      </c>
      <c r="D7942" t="s" s="8">
        <v>14</v>
      </c>
      <c r="E7942" t="s" s="9">
        <v>14</v>
      </c>
      <c r="F7942" t="s" s="10">
        <v>14</v>
      </c>
      <c r="G7942" t="s" s="11">
        <v>14</v>
      </c>
      <c r="H7942" t="s" s="10">
        <v>14</v>
      </c>
      <c r="I7942" t="s" s="11">
        <v>14</v>
      </c>
      <c r="J7942" t="s" s="11">
        <v>14</v>
      </c>
      <c r="K7942" t="s" s="12">
        <v>14</v>
      </c>
      <c r="L7942" t="s" s="12">
        <v>14</v>
      </c>
      <c r="M7942" t="s" s="10">
        <v>14</v>
      </c>
      <c r="N7942" t="s" s="11">
        <v>14</v>
      </c>
      <c r="O7942" t="s" s="8">
        <v>14</v>
      </c>
      <c r="P7942" t="s" s="8">
        <v>14</v>
      </c>
      <c r="Q7942" t="s" s="12">
        <v>14</v>
      </c>
      <c r="R7942" t="s" s="12">
        <v>14</v>
      </c>
    </row>
    <row r="7943" s="2" customFormat="1" ht="13.5" customHeight="1">
      <c r="B7943" s="13"/>
      <c r="C7943" t="s" s="9">
        <v>16</v>
      </c>
      <c r="D7943" t="s" s="8">
        <v>2832</v>
      </c>
      <c r="E7943" t="s" s="9">
        <v>2832</v>
      </c>
      <c r="F7943" t="s" s="10">
        <v>73</v>
      </c>
      <c r="G7943" t="s" s="11">
        <v>73</v>
      </c>
      <c r="H7943" t="s" s="10">
        <v>73</v>
      </c>
      <c r="I7943" t="s" s="11">
        <v>73</v>
      </c>
      <c r="J7943" t="s" s="11">
        <v>20</v>
      </c>
      <c r="K7943" t="s" s="16">
        <f>HYPERLINK("http://csr.bu.edu/ftp/asl/asllvd/demos/verify_start_end_handshape_annotations//test_auto_move//signs_mov/2064.mov","MOV")</f>
        <v>21</v>
      </c>
      <c r="L7943" t="s" s="16">
        <f>HYPERLINK("http://csr.bu.edu/ftp/asl/asllvd/demos/verify_start_end_handshape_annotations//test_auto_move//signs_mov_separ_signers/Liz_2064.mov","MOV")</f>
        <v>21</v>
      </c>
      <c r="M7943" t="s" s="10">
        <v>36</v>
      </c>
      <c r="N7943" s="17">
        <v>9</v>
      </c>
      <c r="O7943" s="18">
        <v>1347</v>
      </c>
      <c r="P7943" s="18">
        <v>1385</v>
      </c>
      <c r="Q7943" t="s" s="16">
        <f>HYPERLINK("http://secrets.rutgers.edu:8080/data/asl-ftp/asllvd/demos/verify_start_end_handshape_annotations//test_auto_move//signs_mov/2064.mov","MOV")</f>
        <v>21</v>
      </c>
      <c r="R7943" t="s" s="16">
        <f>HYPERLINK("http://secrets.rutgers.edu:8080/data/asl-ftp/asllvd/demos/verify_start_end_handshape_annotations//test_auto_move//signs_mov_separ_signers/Liz_2064.mov","MOV")</f>
        <v>21</v>
      </c>
    </row>
    <row r="7944" s="2" customFormat="1" ht="13.5" customHeight="1">
      <c r="B7944" s="13"/>
      <c r="C7944" t="s" s="9">
        <v>30</v>
      </c>
      <c r="D7944" t="s" s="8">
        <v>2832</v>
      </c>
      <c r="E7944" t="s" s="9">
        <v>2832</v>
      </c>
      <c r="F7944" t="s" s="10">
        <v>73</v>
      </c>
      <c r="G7944" t="s" s="11">
        <v>73</v>
      </c>
      <c r="H7944" t="s" s="10">
        <v>73</v>
      </c>
      <c r="I7944" t="s" s="11">
        <v>73</v>
      </c>
      <c r="J7944" t="s" s="11">
        <v>20</v>
      </c>
      <c r="K7944" s="15"/>
      <c r="L7944" t="s" s="16">
        <f>HYPERLINK("http://csr.bu.edu/ftp/asl/asllvd/demos/verify_start_end_handshape_annotations//test_auto_move//signs_mov_separ_signers/Brady_2064.mov","MOV")</f>
        <v>21</v>
      </c>
      <c r="M7944" t="s" s="10">
        <v>40</v>
      </c>
      <c r="N7944" s="17">
        <v>54</v>
      </c>
      <c r="O7944" s="18">
        <v>1753</v>
      </c>
      <c r="P7944" s="18">
        <v>1775</v>
      </c>
      <c r="Q7944" s="15"/>
      <c r="R7944" t="s" s="16">
        <f>HYPERLINK("http://secrets.rutgers.edu:8080/data/asl-ftp/asllvd/demos/verify_start_end_handshape_annotations//test_auto_move//signs_mov_separ_signers/Brady_2064.mov","MOV")</f>
        <v>21</v>
      </c>
    </row>
    <row r="7945" s="2" customFormat="1" ht="13.5" customHeight="1">
      <c r="B7945" t="s" s="8">
        <v>2833</v>
      </c>
      <c r="C7945" t="s" s="9">
        <v>14</v>
      </c>
      <c r="D7945" t="s" s="8">
        <v>14</v>
      </c>
      <c r="E7945" t="s" s="9">
        <v>14</v>
      </c>
      <c r="F7945" t="s" s="10">
        <v>14</v>
      </c>
      <c r="G7945" t="s" s="11">
        <v>14</v>
      </c>
      <c r="H7945" t="s" s="10">
        <v>14</v>
      </c>
      <c r="I7945" t="s" s="11">
        <v>14</v>
      </c>
      <c r="J7945" t="s" s="11">
        <v>14</v>
      </c>
      <c r="K7945" t="s" s="12">
        <v>14</v>
      </c>
      <c r="L7945" t="s" s="12">
        <v>14</v>
      </c>
      <c r="M7945" t="s" s="10">
        <v>14</v>
      </c>
      <c r="N7945" t="s" s="11">
        <v>14</v>
      </c>
      <c r="O7945" t="s" s="8">
        <v>14</v>
      </c>
      <c r="P7945" t="s" s="8">
        <v>14</v>
      </c>
      <c r="Q7945" t="s" s="12">
        <v>14</v>
      </c>
      <c r="R7945" t="s" s="12">
        <v>14</v>
      </c>
    </row>
    <row r="7946" s="2" customFormat="1" ht="13.5" customHeight="1">
      <c r="B7946" s="13"/>
      <c r="C7946" t="s" s="9">
        <v>16</v>
      </c>
      <c r="D7946" t="s" s="8">
        <v>2833</v>
      </c>
      <c r="E7946" t="s" s="9">
        <v>2833</v>
      </c>
      <c r="F7946" t="s" s="10">
        <v>158</v>
      </c>
      <c r="G7946" t="s" s="11">
        <v>158</v>
      </c>
      <c r="H7946" t="s" s="10">
        <v>282</v>
      </c>
      <c r="I7946" t="s" s="11">
        <v>282</v>
      </c>
      <c r="J7946" t="s" s="11">
        <v>20</v>
      </c>
      <c r="K7946" t="s" s="16">
        <f>HYPERLINK("http://csr.bu.edu/ftp/asl/asllvd/demos/verify_start_end_handshape_annotations//test_auto_move//signs_mov/2066.mov","MOV")</f>
        <v>21</v>
      </c>
      <c r="L7946" t="s" s="16">
        <f>HYPERLINK("http://csr.bu.edu/ftp/asl/asllvd/demos/verify_start_end_handshape_annotations//test_auto_move//signs_mov_separ_signers/Liz_2066.mov","MOV")</f>
        <v>21</v>
      </c>
      <c r="M7946" t="s" s="10">
        <v>36</v>
      </c>
      <c r="N7946" s="17">
        <v>9</v>
      </c>
      <c r="O7946" s="18">
        <v>2211</v>
      </c>
      <c r="P7946" s="18">
        <v>2260</v>
      </c>
      <c r="Q7946" t="s" s="16">
        <f>HYPERLINK("http://secrets.rutgers.edu:8080/data/asl-ftp/asllvd/demos/verify_start_end_handshape_annotations//test_auto_move//signs_mov/2066.mov","MOV")</f>
        <v>21</v>
      </c>
      <c r="R7946" t="s" s="16">
        <f>HYPERLINK("http://secrets.rutgers.edu:8080/data/asl-ftp/asllvd/demos/verify_start_end_handshape_annotations//test_auto_move//signs_mov_separ_signers/Liz_2066.mov","MOV")</f>
        <v>21</v>
      </c>
    </row>
    <row r="7947" s="2" customFormat="1" ht="13.5" customHeight="1">
      <c r="B7947" s="13"/>
      <c r="C7947" t="s" s="9">
        <v>30</v>
      </c>
      <c r="D7947" t="s" s="8">
        <v>2833</v>
      </c>
      <c r="E7947" t="s" s="9">
        <v>2833</v>
      </c>
      <c r="F7947" t="s" s="10">
        <v>158</v>
      </c>
      <c r="G7947" t="s" s="11">
        <v>158</v>
      </c>
      <c r="H7947" t="s" s="10">
        <v>282</v>
      </c>
      <c r="I7947" t="s" s="11">
        <v>282</v>
      </c>
      <c r="J7947" t="s" s="11">
        <v>20</v>
      </c>
      <c r="K7947" s="15"/>
      <c r="L7947" t="s" s="16">
        <f>HYPERLINK("http://csr.bu.edu/ftp/asl/asllvd/demos/verify_start_end_handshape_annotations//test_auto_move//signs_mov_separ_signers/Brady_2066.mov","MOV")</f>
        <v>21</v>
      </c>
      <c r="M7947" t="s" s="10">
        <v>40</v>
      </c>
      <c r="N7947" s="17">
        <v>54</v>
      </c>
      <c r="O7947" s="18">
        <v>2258</v>
      </c>
      <c r="P7947" s="18">
        <v>2274</v>
      </c>
      <c r="Q7947" s="15"/>
      <c r="R7947" t="s" s="16">
        <f>HYPERLINK("http://secrets.rutgers.edu:8080/data/asl-ftp/asllvd/demos/verify_start_end_handshape_annotations//test_auto_move//signs_mov_separ_signers/Brady_2066.mov","MOV")</f>
        <v>21</v>
      </c>
    </row>
    <row r="7948" s="2" customFormat="1" ht="13.5" customHeight="1">
      <c r="B7948" t="s" s="8">
        <v>2834</v>
      </c>
      <c r="C7948" t="s" s="9">
        <v>14</v>
      </c>
      <c r="D7948" t="s" s="8">
        <v>14</v>
      </c>
      <c r="E7948" t="s" s="9">
        <v>14</v>
      </c>
      <c r="F7948" t="s" s="10">
        <v>14</v>
      </c>
      <c r="G7948" t="s" s="11">
        <v>14</v>
      </c>
      <c r="H7948" t="s" s="10">
        <v>14</v>
      </c>
      <c r="I7948" t="s" s="11">
        <v>14</v>
      </c>
      <c r="J7948" t="s" s="11">
        <v>14</v>
      </c>
      <c r="K7948" t="s" s="12">
        <v>14</v>
      </c>
      <c r="L7948" t="s" s="12">
        <v>14</v>
      </c>
      <c r="M7948" t="s" s="10">
        <v>14</v>
      </c>
      <c r="N7948" t="s" s="11">
        <v>14</v>
      </c>
      <c r="O7948" t="s" s="8">
        <v>14</v>
      </c>
      <c r="P7948" t="s" s="8">
        <v>14</v>
      </c>
      <c r="Q7948" t="s" s="12">
        <v>14</v>
      </c>
      <c r="R7948" t="s" s="12">
        <v>14</v>
      </c>
    </row>
    <row r="7949" s="2" customFormat="1" ht="13.5" customHeight="1">
      <c r="B7949" s="13"/>
      <c r="C7949" t="s" s="9">
        <v>16</v>
      </c>
      <c r="D7949" t="s" s="8">
        <v>2834</v>
      </c>
      <c r="E7949" t="s" s="9">
        <v>2834</v>
      </c>
      <c r="F7949" t="s" s="10">
        <v>251</v>
      </c>
      <c r="G7949" s="14"/>
      <c r="H7949" t="s" s="10">
        <v>251</v>
      </c>
      <c r="I7949" s="14"/>
      <c r="J7949" t="s" s="11">
        <v>20</v>
      </c>
      <c r="K7949" t="s" s="16">
        <f>HYPERLINK("http://csr.bu.edu/ftp/asl/asllvd/demos/verify_start_end_handshape_annotations//test_auto_move//signs_mov/2072.mov","MOV")</f>
        <v>21</v>
      </c>
      <c r="L7949" t="s" s="16">
        <f>HYPERLINK("http://csr.bu.edu/ftp/asl/asllvd/demos/verify_start_end_handshape_annotations//test_auto_move//signs_mov_separ_signers/Liz_2072.mov","MOV")</f>
        <v>21</v>
      </c>
      <c r="M7949" t="s" s="10">
        <v>36</v>
      </c>
      <c r="N7949" s="17">
        <v>10</v>
      </c>
      <c r="O7949" s="18">
        <v>1842</v>
      </c>
      <c r="P7949" s="18">
        <v>1887</v>
      </c>
      <c r="Q7949" t="s" s="16">
        <f>HYPERLINK("http://secrets.rutgers.edu:8080/data/asl-ftp/asllvd/demos/verify_start_end_handshape_annotations//test_auto_move//signs_mov/2072.mov","MOV")</f>
        <v>21</v>
      </c>
      <c r="R7949" t="s" s="16">
        <f>HYPERLINK("http://secrets.rutgers.edu:8080/data/asl-ftp/asllvd/demos/verify_start_end_handshape_annotations//test_auto_move//signs_mov_separ_signers/Liz_2072.mov","MOV")</f>
        <v>21</v>
      </c>
    </row>
    <row r="7950" s="2" customFormat="1" ht="13.5" customHeight="1">
      <c r="B7950" t="s" s="8">
        <v>2835</v>
      </c>
      <c r="C7950" t="s" s="9">
        <v>14</v>
      </c>
      <c r="D7950" t="s" s="8">
        <v>14</v>
      </c>
      <c r="E7950" t="s" s="9">
        <v>14</v>
      </c>
      <c r="F7950" t="s" s="10">
        <v>14</v>
      </c>
      <c r="G7950" t="s" s="11">
        <v>14</v>
      </c>
      <c r="H7950" t="s" s="10">
        <v>14</v>
      </c>
      <c r="I7950" t="s" s="11">
        <v>14</v>
      </c>
      <c r="J7950" t="s" s="11">
        <v>14</v>
      </c>
      <c r="K7950" t="s" s="12">
        <v>14</v>
      </c>
      <c r="L7950" t="s" s="12">
        <v>14</v>
      </c>
      <c r="M7950" t="s" s="10">
        <v>14</v>
      </c>
      <c r="N7950" t="s" s="11">
        <v>14</v>
      </c>
      <c r="O7950" t="s" s="8">
        <v>14</v>
      </c>
      <c r="P7950" t="s" s="8">
        <v>14</v>
      </c>
      <c r="Q7950" t="s" s="12">
        <v>14</v>
      </c>
      <c r="R7950" t="s" s="12">
        <v>14</v>
      </c>
    </row>
    <row r="7951" s="2" customFormat="1" ht="13.5" customHeight="1">
      <c r="B7951" s="13"/>
      <c r="C7951" t="s" s="9">
        <v>16</v>
      </c>
      <c r="D7951" t="s" s="8">
        <v>2835</v>
      </c>
      <c r="E7951" t="s" s="9">
        <v>2835</v>
      </c>
      <c r="F7951" s="19">
        <v>10</v>
      </c>
      <c r="G7951" t="s" s="11">
        <v>63</v>
      </c>
      <c r="H7951" s="19">
        <v>10</v>
      </c>
      <c r="I7951" t="s" s="11">
        <v>63</v>
      </c>
      <c r="J7951" t="s" s="11">
        <v>20</v>
      </c>
      <c r="K7951" s="15"/>
      <c r="L7951" t="s" s="16">
        <f>HYPERLINK("http://csr.bu.edu/ftp/asl/asllvd/demos/verify_start_end_handshape_annotations//test_auto_move//signs_mov_separ_signers/Liz_2074.mov","MOV")</f>
        <v>21</v>
      </c>
      <c r="M7951" t="s" s="10">
        <v>36</v>
      </c>
      <c r="N7951" s="17">
        <v>10</v>
      </c>
      <c r="O7951" s="18">
        <v>2270</v>
      </c>
      <c r="P7951" s="18">
        <v>2320</v>
      </c>
      <c r="Q7951" s="15"/>
      <c r="R7951" t="s" s="16">
        <f>HYPERLINK("http://secrets.rutgers.edu:8080/data/asl-ftp/asllvd/demos/verify_start_end_handshape_annotations//test_auto_move//signs_mov_separ_signers/Liz_2074.mov","MOV")</f>
        <v>21</v>
      </c>
    </row>
    <row r="7952" s="2" customFormat="1" ht="13.5" customHeight="1">
      <c r="B7952" s="13"/>
      <c r="C7952" t="s" s="9">
        <v>41</v>
      </c>
      <c r="D7952" t="s" s="8">
        <v>2835</v>
      </c>
      <c r="E7952" t="s" s="9">
        <v>2835</v>
      </c>
      <c r="F7952" s="19">
        <v>10</v>
      </c>
      <c r="G7952" s="17">
        <v>10</v>
      </c>
      <c r="H7952" s="19">
        <v>10</v>
      </c>
      <c r="I7952" s="17">
        <v>10</v>
      </c>
      <c r="J7952" t="s" s="11">
        <v>20</v>
      </c>
      <c r="K7952" t="s" s="16">
        <f>HYPERLINK("http://csr.bu.edu/ftp/asl/asllvd/demos/verify_start_end_handshape_annotations//test_auto_move//signs_mov/2074.mov","MOV")</f>
        <v>21</v>
      </c>
      <c r="L7952" t="s" s="16">
        <f>HYPERLINK("http://csr.bu.edu/ftp/asl/asllvd/demos/verify_start_end_handshape_annotations//test_auto_move//signs_mov_separ_signers/Lana_2074.mov","MOV")</f>
        <v>21</v>
      </c>
      <c r="M7952" t="s" s="10">
        <v>42</v>
      </c>
      <c r="N7952" s="17">
        <v>22</v>
      </c>
      <c r="O7952" s="18">
        <v>1949</v>
      </c>
      <c r="P7952" s="18">
        <v>1976</v>
      </c>
      <c r="Q7952" t="s" s="16">
        <f>HYPERLINK("http://secrets.rutgers.edu:8080/data/asl-ftp/asllvd/demos/verify_start_end_handshape_annotations//test_auto_move//signs_mov/2074.mov","MOV")</f>
        <v>21</v>
      </c>
      <c r="R7952" t="s" s="16">
        <f>HYPERLINK("http://secrets.rutgers.edu:8080/data/asl-ftp/asllvd/demos/verify_start_end_handshape_annotations//test_auto_move//signs_mov_separ_signers/Lana_2074.mov","MOV")</f>
        <v>21</v>
      </c>
    </row>
    <row r="7953" s="2" customFormat="1" ht="13.5" customHeight="1">
      <c r="B7953" s="13"/>
      <c r="C7953" t="s" s="9">
        <v>43</v>
      </c>
      <c r="D7953" t="s" s="8">
        <v>2835</v>
      </c>
      <c r="E7953" t="s" s="9">
        <v>2835</v>
      </c>
      <c r="F7953" s="19">
        <v>10</v>
      </c>
      <c r="G7953" s="17">
        <v>10</v>
      </c>
      <c r="H7953" s="19">
        <v>10</v>
      </c>
      <c r="I7953" s="17">
        <v>10</v>
      </c>
      <c r="J7953" t="s" s="11">
        <v>20</v>
      </c>
      <c r="K7953" s="15"/>
      <c r="L7953" t="s" s="16">
        <f>HYPERLINK("http://csr.bu.edu/ftp/asl/asllvd/demos/verify_start_end_handshape_annotations//test_auto_move//signs_mov_separ_signers/Dana_2074.mov","MOV")</f>
        <v>21</v>
      </c>
      <c r="M7953" t="s" s="10">
        <v>44</v>
      </c>
      <c r="N7953" s="17">
        <v>25</v>
      </c>
      <c r="O7953" s="18">
        <v>1877</v>
      </c>
      <c r="P7953" s="18">
        <v>1903</v>
      </c>
      <c r="Q7953" s="15"/>
      <c r="R7953" t="s" s="16">
        <f>HYPERLINK("http://secrets.rutgers.edu:8080/data/asl-ftp/asllvd/demos/verify_start_end_handshape_annotations//test_auto_move//signs_mov_separ_signers/Dana_2074.mov","MOV")</f>
        <v>21</v>
      </c>
    </row>
    <row r="7954" s="2" customFormat="1" ht="13.5" customHeight="1">
      <c r="B7954" t="s" s="8">
        <v>2836</v>
      </c>
      <c r="C7954" t="s" s="9">
        <v>14</v>
      </c>
      <c r="D7954" t="s" s="8">
        <v>14</v>
      </c>
      <c r="E7954" t="s" s="9">
        <v>14</v>
      </c>
      <c r="F7954" t="s" s="10">
        <v>14</v>
      </c>
      <c r="G7954" t="s" s="11">
        <v>14</v>
      </c>
      <c r="H7954" t="s" s="10">
        <v>14</v>
      </c>
      <c r="I7954" t="s" s="11">
        <v>14</v>
      </c>
      <c r="J7954" t="s" s="11">
        <v>14</v>
      </c>
      <c r="K7954" t="s" s="12">
        <v>14</v>
      </c>
      <c r="L7954" t="s" s="12">
        <v>14</v>
      </c>
      <c r="M7954" t="s" s="10">
        <v>14</v>
      </c>
      <c r="N7954" t="s" s="11">
        <v>14</v>
      </c>
      <c r="O7954" t="s" s="8">
        <v>14</v>
      </c>
      <c r="P7954" t="s" s="8">
        <v>14</v>
      </c>
      <c r="Q7954" t="s" s="12">
        <v>14</v>
      </c>
      <c r="R7954" t="s" s="12">
        <v>14</v>
      </c>
    </row>
    <row r="7955" s="2" customFormat="1" ht="13.5" customHeight="1">
      <c r="B7955" s="13"/>
      <c r="C7955" t="s" s="9">
        <v>16</v>
      </c>
      <c r="D7955" t="s" s="8">
        <v>2836</v>
      </c>
      <c r="E7955" t="s" s="9">
        <v>2837</v>
      </c>
      <c r="F7955" t="s" s="10">
        <v>80</v>
      </c>
      <c r="G7955" t="s" s="11">
        <v>51</v>
      </c>
      <c r="H7955" t="s" s="10">
        <v>80</v>
      </c>
      <c r="I7955" t="s" s="11">
        <v>51</v>
      </c>
      <c r="J7955" t="s" s="11">
        <v>20</v>
      </c>
      <c r="K7955" t="s" s="16">
        <f>HYPERLINK("http://csr.bu.edu/ftp/asl/asllvd/demos/verify_start_end_handshape_annotations//test_auto_move//signs_mov/2075.mov","MOV")</f>
        <v>21</v>
      </c>
      <c r="L7955" t="s" s="16">
        <f>HYPERLINK("http://csr.bu.edu/ftp/asl/asllvd/demos/verify_start_end_handshape_annotations//test_auto_move//signs_mov_separ_signers/Liz_2075.mov","MOV")</f>
        <v>21</v>
      </c>
      <c r="M7955" t="s" s="10">
        <v>36</v>
      </c>
      <c r="N7955" s="17">
        <v>10</v>
      </c>
      <c r="O7955" s="18">
        <v>2985</v>
      </c>
      <c r="P7955" s="18">
        <v>3031</v>
      </c>
      <c r="Q7955" t="s" s="16">
        <f>HYPERLINK("http://secrets.rutgers.edu:8080/data/asl-ftp/asllvd/demos/verify_start_end_handshape_annotations//test_auto_move//signs_mov/2075.mov","MOV")</f>
        <v>21</v>
      </c>
      <c r="R7955" t="s" s="16">
        <f>HYPERLINK("http://secrets.rutgers.edu:8080/data/asl-ftp/asllvd/demos/verify_start_end_handshape_annotations//test_auto_move//signs_mov_separ_signers/Liz_2075.mov","MOV")</f>
        <v>21</v>
      </c>
    </row>
    <row r="7956" s="2" customFormat="1" ht="13.5" customHeight="1">
      <c r="B7956" t="s" s="8">
        <v>2836</v>
      </c>
      <c r="C7956" t="s" s="9">
        <v>14</v>
      </c>
      <c r="D7956" t="s" s="8">
        <v>14</v>
      </c>
      <c r="E7956" t="s" s="9">
        <v>14</v>
      </c>
      <c r="F7956" t="s" s="10">
        <v>14</v>
      </c>
      <c r="G7956" t="s" s="11">
        <v>14</v>
      </c>
      <c r="H7956" t="s" s="10">
        <v>14</v>
      </c>
      <c r="I7956" t="s" s="11">
        <v>14</v>
      </c>
      <c r="J7956" t="s" s="11">
        <v>14</v>
      </c>
      <c r="K7956" t="s" s="12">
        <v>14</v>
      </c>
      <c r="L7956" t="s" s="12">
        <v>14</v>
      </c>
      <c r="M7956" t="s" s="10">
        <v>14</v>
      </c>
      <c r="N7956" t="s" s="11">
        <v>14</v>
      </c>
      <c r="O7956" t="s" s="8">
        <v>14</v>
      </c>
      <c r="P7956" t="s" s="8">
        <v>14</v>
      </c>
      <c r="Q7956" t="s" s="12">
        <v>14</v>
      </c>
      <c r="R7956" t="s" s="12">
        <v>14</v>
      </c>
    </row>
    <row r="7957" s="2" customFormat="1" ht="13.5" customHeight="1">
      <c r="B7957" s="13"/>
      <c r="C7957" t="s" s="9">
        <v>16</v>
      </c>
      <c r="D7957" t="s" s="8">
        <v>2838</v>
      </c>
      <c r="E7957" t="s" s="9">
        <v>2839</v>
      </c>
      <c r="F7957" t="s" s="10">
        <v>80</v>
      </c>
      <c r="G7957" s="14"/>
      <c r="H7957" t="s" s="10">
        <v>80</v>
      </c>
      <c r="I7957" s="14"/>
      <c r="J7957" t="s" s="11">
        <v>20</v>
      </c>
      <c r="K7957" t="s" s="16">
        <f>HYPERLINK("http://csr.bu.edu/ftp/asl/asllvd/demos/verify_start_end_handshape_annotations//test_auto_move//signs_mov/5405.mov","MOV")</f>
        <v>21</v>
      </c>
      <c r="L7957" t="s" s="16">
        <f>HYPERLINK("http://csr.bu.edu/ftp/asl/asllvd/demos/verify_start_end_handshape_annotations//test_auto_move//signs_mov_separ_signers/Liz_5405.mov","MOV")</f>
        <v>21</v>
      </c>
      <c r="M7957" t="s" s="10">
        <v>36</v>
      </c>
      <c r="N7957" s="17">
        <v>10</v>
      </c>
      <c r="O7957" s="18">
        <v>2476</v>
      </c>
      <c r="P7957" s="18">
        <v>2523</v>
      </c>
      <c r="Q7957" t="s" s="16">
        <f>HYPERLINK("http://secrets.rutgers.edu:8080/data/asl-ftp/asllvd/demos/verify_start_end_handshape_annotations//test_auto_move//signs_mov/5405.mov","MOV")</f>
        <v>21</v>
      </c>
      <c r="R7957" t="s" s="16">
        <f>HYPERLINK("http://secrets.rutgers.edu:8080/data/asl-ftp/asllvd/demos/verify_start_end_handshape_annotations//test_auto_move//signs_mov_separ_signers/Liz_5405.mov","MOV")</f>
        <v>21</v>
      </c>
    </row>
    <row r="7958" s="2" customFormat="1" ht="13.5" customHeight="1">
      <c r="B7958" t="s" s="8">
        <v>2840</v>
      </c>
      <c r="C7958" t="s" s="9">
        <v>14</v>
      </c>
      <c r="D7958" t="s" s="8">
        <v>14</v>
      </c>
      <c r="E7958" t="s" s="9">
        <v>14</v>
      </c>
      <c r="F7958" t="s" s="10">
        <v>14</v>
      </c>
      <c r="G7958" t="s" s="11">
        <v>14</v>
      </c>
      <c r="H7958" t="s" s="10">
        <v>14</v>
      </c>
      <c r="I7958" t="s" s="11">
        <v>14</v>
      </c>
      <c r="J7958" t="s" s="11">
        <v>14</v>
      </c>
      <c r="K7958" t="s" s="12">
        <v>14</v>
      </c>
      <c r="L7958" t="s" s="12">
        <v>14</v>
      </c>
      <c r="M7958" t="s" s="10">
        <v>14</v>
      </c>
      <c r="N7958" t="s" s="11">
        <v>14</v>
      </c>
      <c r="O7958" t="s" s="8">
        <v>14</v>
      </c>
      <c r="P7958" t="s" s="8">
        <v>14</v>
      </c>
      <c r="Q7958" t="s" s="12">
        <v>14</v>
      </c>
      <c r="R7958" t="s" s="12">
        <v>14</v>
      </c>
    </row>
    <row r="7959" s="2" customFormat="1" ht="13.5" customHeight="1">
      <c r="B7959" s="13"/>
      <c r="C7959" t="s" s="9">
        <v>16</v>
      </c>
      <c r="D7959" t="s" s="8">
        <v>2840</v>
      </c>
      <c r="E7959" t="s" s="9">
        <v>2840</v>
      </c>
      <c r="F7959" t="s" s="10">
        <v>63</v>
      </c>
      <c r="G7959" t="s" s="11">
        <v>73</v>
      </c>
      <c r="H7959" s="19">
        <v>5</v>
      </c>
      <c r="I7959" t="s" s="11">
        <v>73</v>
      </c>
      <c r="J7959" t="s" s="11">
        <v>20</v>
      </c>
      <c r="K7959" t="s" s="16">
        <f>HYPERLINK("http://csr.bu.edu/ftp/asl/asllvd/demos/verify_start_end_handshape_annotations//test_auto_move//signs_mov/2078.mov","MOV")</f>
        <v>21</v>
      </c>
      <c r="L7959" t="s" s="16">
        <f>HYPERLINK("http://csr.bu.edu/ftp/asl/asllvd/demos/verify_start_end_handshape_annotations//test_auto_move//signs_mov_separ_signers/Liz_2078.mov","MOV")</f>
        <v>21</v>
      </c>
      <c r="M7959" t="s" s="10">
        <v>36</v>
      </c>
      <c r="N7959" s="17">
        <v>10</v>
      </c>
      <c r="O7959" s="18">
        <v>3280</v>
      </c>
      <c r="P7959" s="18">
        <v>3316</v>
      </c>
      <c r="Q7959" t="s" s="16">
        <f>HYPERLINK("http://secrets.rutgers.edu:8080/data/asl-ftp/asllvd/demos/verify_start_end_handshape_annotations//test_auto_move//signs_mov/2078.mov","MOV")</f>
        <v>21</v>
      </c>
      <c r="R7959" t="s" s="16">
        <f>HYPERLINK("http://secrets.rutgers.edu:8080/data/asl-ftp/asllvd/demos/verify_start_end_handshape_annotations//test_auto_move//signs_mov_separ_signers/Liz_2078.mov","MOV")</f>
        <v>21</v>
      </c>
    </row>
    <row r="7960" s="2" customFormat="1" ht="13.5" customHeight="1">
      <c r="B7960" t="s" s="8">
        <v>2841</v>
      </c>
      <c r="C7960" t="s" s="9">
        <v>14</v>
      </c>
      <c r="D7960" t="s" s="8">
        <v>14</v>
      </c>
      <c r="E7960" t="s" s="9">
        <v>14</v>
      </c>
      <c r="F7960" t="s" s="10">
        <v>14</v>
      </c>
      <c r="G7960" t="s" s="11">
        <v>14</v>
      </c>
      <c r="H7960" t="s" s="10">
        <v>14</v>
      </c>
      <c r="I7960" t="s" s="11">
        <v>14</v>
      </c>
      <c r="J7960" t="s" s="11">
        <v>14</v>
      </c>
      <c r="K7960" t="s" s="12">
        <v>14</v>
      </c>
      <c r="L7960" t="s" s="12">
        <v>14</v>
      </c>
      <c r="M7960" t="s" s="10">
        <v>14</v>
      </c>
      <c r="N7960" t="s" s="11">
        <v>14</v>
      </c>
      <c r="O7960" t="s" s="8">
        <v>14</v>
      </c>
      <c r="P7960" t="s" s="8">
        <v>14</v>
      </c>
      <c r="Q7960" t="s" s="12">
        <v>14</v>
      </c>
      <c r="R7960" t="s" s="12">
        <v>14</v>
      </c>
    </row>
    <row r="7961" s="2" customFormat="1" ht="13.5" customHeight="1">
      <c r="B7961" s="13"/>
      <c r="C7961" t="s" s="9">
        <v>16</v>
      </c>
      <c r="D7961" t="s" s="8">
        <v>2841</v>
      </c>
      <c r="E7961" t="s" s="9">
        <v>2842</v>
      </c>
      <c r="F7961" s="19">
        <v>1</v>
      </c>
      <c r="G7961" t="s" s="11">
        <v>73</v>
      </c>
      <c r="H7961" s="19">
        <v>1</v>
      </c>
      <c r="I7961" t="s" s="11">
        <v>73</v>
      </c>
      <c r="J7961" t="s" s="11">
        <v>20</v>
      </c>
      <c r="K7961" s="15"/>
      <c r="L7961" t="s" s="16">
        <f>HYPERLINK("http://csr.bu.edu/ftp/asl/asllvd/demos/verify_start_end_handshape_annotations//test_auto_move//signs_mov_separ_signers/Liz_2091.mov","MOV")</f>
        <v>21</v>
      </c>
      <c r="M7961" t="s" s="10">
        <v>34</v>
      </c>
      <c r="N7961" s="17">
        <v>34</v>
      </c>
      <c r="O7961" s="18">
        <v>2560</v>
      </c>
      <c r="P7961" s="18">
        <v>2617</v>
      </c>
      <c r="Q7961" s="15"/>
      <c r="R7961" t="s" s="16">
        <f>HYPERLINK("http://secrets.rutgers.edu:8080/data/asl-ftp/asllvd/demos/verify_start_end_handshape_annotations//test_auto_move//signs_mov_separ_signers/Liz_2091.mov","MOV")</f>
        <v>21</v>
      </c>
    </row>
    <row r="7962" s="2" customFormat="1" ht="13.5" customHeight="1">
      <c r="B7962" s="13"/>
      <c r="C7962" t="s" s="9">
        <v>16</v>
      </c>
      <c r="D7962" t="s" s="8">
        <v>2841</v>
      </c>
      <c r="E7962" t="s" s="9">
        <v>2842</v>
      </c>
      <c r="F7962" s="19">
        <v>1</v>
      </c>
      <c r="G7962" t="s" s="11">
        <v>73</v>
      </c>
      <c r="H7962" s="19">
        <v>1</v>
      </c>
      <c r="I7962" t="s" s="11">
        <v>73</v>
      </c>
      <c r="J7962" t="s" s="11">
        <v>20</v>
      </c>
      <c r="K7962" s="15"/>
      <c r="L7962" t="s" s="16">
        <f>HYPERLINK("http://csr.bu.edu/ftp/asl/asllvd/demos/verify_start_end_handshape_annotations//test_auto_move//signs_mov_separ_signers/Liz_3742.mov","MOV")</f>
        <v>21</v>
      </c>
      <c r="M7962" t="s" s="10">
        <v>36</v>
      </c>
      <c r="N7962" s="17">
        <v>12</v>
      </c>
      <c r="O7962" s="18">
        <v>627</v>
      </c>
      <c r="P7962" s="18">
        <v>678</v>
      </c>
      <c r="Q7962" s="15"/>
      <c r="R7962" t="s" s="16">
        <f>HYPERLINK("http://secrets.rutgers.edu:8080/data/asl-ftp/asllvd/demos/verify_start_end_handshape_annotations//test_auto_move//signs_mov_separ_signers/Liz_3742.mov","MOV")</f>
        <v>21</v>
      </c>
    </row>
    <row r="7963" s="2" customFormat="1" ht="13.5" customHeight="1">
      <c r="B7963" s="13"/>
      <c r="C7963" t="s" s="9">
        <v>23</v>
      </c>
      <c r="D7963" t="s" s="8">
        <v>2841</v>
      </c>
      <c r="E7963" t="s" s="9">
        <v>2842</v>
      </c>
      <c r="F7963" s="19">
        <v>1</v>
      </c>
      <c r="G7963" t="s" s="11">
        <v>73</v>
      </c>
      <c r="H7963" s="19">
        <v>1</v>
      </c>
      <c r="I7963" t="s" s="11">
        <v>73</v>
      </c>
      <c r="J7963" t="s" s="11">
        <v>20</v>
      </c>
      <c r="K7963" s="15"/>
      <c r="L7963" t="s" s="16">
        <f>HYPERLINK("http://csr.bu.edu/ftp/asl/asllvd/demos/verify_start_end_handshape_annotations//test_auto_move//signs_mov_separ_signers/Tyler_2091.mov","MOV")</f>
        <v>21</v>
      </c>
      <c r="M7963" t="s" s="10">
        <v>37</v>
      </c>
      <c r="N7963" s="17">
        <v>8</v>
      </c>
      <c r="O7963" s="18">
        <v>1909</v>
      </c>
      <c r="P7963" s="18">
        <v>1965</v>
      </c>
      <c r="Q7963" s="15"/>
      <c r="R7963" t="s" s="16">
        <f>HYPERLINK("http://secrets.rutgers.edu:8080/data/asl-ftp/asllvd/demos/verify_start_end_handshape_annotations//test_auto_move//signs_mov_separ_signers/Tyler_2091.mov","MOV")</f>
        <v>21</v>
      </c>
    </row>
    <row r="7964" s="2" customFormat="1" ht="13.5" customHeight="1">
      <c r="B7964" s="13"/>
      <c r="C7964" t="s" s="9">
        <v>27</v>
      </c>
      <c r="D7964" t="s" s="8">
        <v>2841</v>
      </c>
      <c r="E7964" t="s" s="9">
        <v>2842</v>
      </c>
      <c r="F7964" s="19">
        <v>1</v>
      </c>
      <c r="G7964" t="s" s="11">
        <v>73</v>
      </c>
      <c r="H7964" s="19">
        <v>1</v>
      </c>
      <c r="I7964" t="s" s="11">
        <v>73</v>
      </c>
      <c r="J7964" t="s" s="11">
        <v>20</v>
      </c>
      <c r="K7964" t="s" s="16">
        <f>HYPERLINK("http://csr.bu.edu/ftp/asl/asllvd/demos/verify_start_end_handshape_annotations//test_auto_move//signs_mov/2091_3742_3853_15094_merged.mov","MOV")</f>
        <v>21</v>
      </c>
      <c r="L7964" t="s" s="16">
        <f>HYPERLINK("http://csr.bu.edu/ftp/asl/asllvd/demos/verify_start_end_handshape_annotations//test_auto_move//signs_mov_separ_signers/Naomi_2091.mov","MOV")</f>
        <v>21</v>
      </c>
      <c r="M7964" t="s" s="10">
        <v>38</v>
      </c>
      <c r="N7964" s="17">
        <v>28</v>
      </c>
      <c r="O7964" s="18">
        <v>2470</v>
      </c>
      <c r="P7964" s="18">
        <v>2530</v>
      </c>
      <c r="Q7964" t="s" s="16">
        <f>HYPERLINK("http://secrets.rutgers.edu:8080/data/asl-ftp/asllvd/demos/verify_start_end_handshape_annotations//test_auto_move//signs_mov/2091_3742_3853_15094_merged.mov","MOV")</f>
        <v>21</v>
      </c>
      <c r="R7964" t="s" s="16">
        <f>HYPERLINK("http://secrets.rutgers.edu:8080/data/asl-ftp/asllvd/demos/verify_start_end_handshape_annotations//test_auto_move//signs_mov_separ_signers/Naomi_2091.mov","MOV")</f>
        <v>21</v>
      </c>
    </row>
    <row r="7965" s="2" customFormat="1" ht="13.5" customHeight="1">
      <c r="B7965" s="13"/>
      <c r="C7965" t="s" s="9">
        <v>30</v>
      </c>
      <c r="D7965" t="s" s="8">
        <v>2841</v>
      </c>
      <c r="E7965" t="s" s="9">
        <v>2842</v>
      </c>
      <c r="F7965" s="19">
        <v>1</v>
      </c>
      <c r="G7965" t="s" s="11">
        <v>73</v>
      </c>
      <c r="H7965" s="19">
        <v>1</v>
      </c>
      <c r="I7965" t="s" s="11">
        <v>73</v>
      </c>
      <c r="J7965" t="s" s="11">
        <v>20</v>
      </c>
      <c r="K7965" s="15"/>
      <c r="L7965" t="s" s="16">
        <f>HYPERLINK("http://csr.bu.edu/ftp/asl/asllvd/demos/verify_start_end_handshape_annotations//test_auto_move//signs_mov_separ_signers/Brady_2091.mov","MOV")</f>
        <v>21</v>
      </c>
      <c r="M7965" t="s" s="10">
        <v>39</v>
      </c>
      <c r="N7965" s="17">
        <v>41</v>
      </c>
      <c r="O7965" s="18">
        <v>3363</v>
      </c>
      <c r="P7965" s="18">
        <v>3413</v>
      </c>
      <c r="Q7965" s="15"/>
      <c r="R7965" t="s" s="16">
        <f>HYPERLINK("http://secrets.rutgers.edu:8080/data/asl-ftp/asllvd/demos/verify_start_end_handshape_annotations//test_auto_move//signs_mov_separ_signers/Brady_2091.mov","MOV")</f>
        <v>21</v>
      </c>
    </row>
    <row r="7966" s="2" customFormat="1" ht="13.5" customHeight="1">
      <c r="B7966" s="13"/>
      <c r="C7966" t="s" s="9">
        <v>30</v>
      </c>
      <c r="D7966" t="s" s="8">
        <v>2841</v>
      </c>
      <c r="E7966" t="s" s="9">
        <v>2842</v>
      </c>
      <c r="F7966" s="19">
        <v>1</v>
      </c>
      <c r="G7966" t="s" s="11">
        <v>73</v>
      </c>
      <c r="H7966" s="19">
        <v>1</v>
      </c>
      <c r="I7966" t="s" s="11">
        <v>73</v>
      </c>
      <c r="J7966" t="s" s="11">
        <v>20</v>
      </c>
      <c r="K7966" s="15"/>
      <c r="L7966" t="s" s="16">
        <f>HYPERLINK("http://csr.bu.edu/ftp/asl/asllvd/demos/verify_start_end_handshape_annotations//test_auto_move//signs_mov_separ_signers/Brady_3742.mov","MOV")</f>
        <v>21</v>
      </c>
      <c r="M7966" t="s" s="10">
        <v>40</v>
      </c>
      <c r="N7966" s="17">
        <v>57</v>
      </c>
      <c r="O7966" s="18">
        <v>343</v>
      </c>
      <c r="P7966" s="18">
        <v>386</v>
      </c>
      <c r="Q7966" s="15"/>
      <c r="R7966" t="s" s="16">
        <f>HYPERLINK("http://secrets.rutgers.edu:8080/data/asl-ftp/asllvd/demos/verify_start_end_handshape_annotations//test_auto_move//signs_mov_separ_signers/Brady_3742.mov","MOV")</f>
        <v>21</v>
      </c>
    </row>
    <row r="7967" s="2" customFormat="1" ht="13.5" customHeight="1">
      <c r="B7967" s="13"/>
      <c r="C7967" t="s" s="9">
        <v>30</v>
      </c>
      <c r="D7967" t="s" s="8">
        <v>2841</v>
      </c>
      <c r="E7967" t="s" s="9">
        <v>2842</v>
      </c>
      <c r="F7967" s="19">
        <v>1</v>
      </c>
      <c r="G7967" t="s" s="11">
        <v>73</v>
      </c>
      <c r="H7967" s="19">
        <v>1</v>
      </c>
      <c r="I7967" t="s" s="11">
        <v>73</v>
      </c>
      <c r="J7967" t="s" s="11">
        <v>20</v>
      </c>
      <c r="K7967" s="15"/>
      <c r="L7967" t="s" s="16">
        <f>HYPERLINK("http://csr.bu.edu/ftp/asl/asllvd/demos/verify_start_end_handshape_annotations//test_auto_move//signs_mov_separ_signers/Brady_3853.mov","MOV")</f>
        <v>21</v>
      </c>
      <c r="M7967" t="s" s="10">
        <v>40</v>
      </c>
      <c r="N7967" s="17">
        <v>57</v>
      </c>
      <c r="O7967" s="18">
        <v>679</v>
      </c>
      <c r="P7967" s="18">
        <v>712</v>
      </c>
      <c r="Q7967" s="15"/>
      <c r="R7967" t="s" s="16">
        <f>HYPERLINK("http://secrets.rutgers.edu:8080/data/asl-ftp/asllvd/demos/verify_start_end_handshape_annotations//test_auto_move//signs_mov_separ_signers/Brady_3853.mov","MOV")</f>
        <v>21</v>
      </c>
    </row>
    <row r="7968" s="2" customFormat="1" ht="13.5" customHeight="1">
      <c r="B7968" s="13"/>
      <c r="C7968" t="s" s="9">
        <v>30</v>
      </c>
      <c r="D7968" t="s" s="8">
        <v>2841</v>
      </c>
      <c r="E7968" t="s" s="9">
        <v>2843</v>
      </c>
      <c r="F7968" s="19">
        <v>1</v>
      </c>
      <c r="G7968" t="s" s="11">
        <v>73</v>
      </c>
      <c r="H7968" s="19">
        <v>1</v>
      </c>
      <c r="I7968" t="s" s="11">
        <v>73</v>
      </c>
      <c r="J7968" t="s" s="11">
        <v>20</v>
      </c>
      <c r="K7968" s="15"/>
      <c r="L7968" t="s" s="16">
        <f>HYPERLINK("http://csr.bu.edu/ftp/asl/asllvd/demos/verify_start_end_handshape_annotations//test_auto_move//signs_mov_separ_signers/Brady_15094.mov","MOV")</f>
        <v>21</v>
      </c>
      <c r="M7968" t="s" s="10">
        <v>60</v>
      </c>
      <c r="N7968" s="17">
        <v>45</v>
      </c>
      <c r="O7968" s="18">
        <v>2701</v>
      </c>
      <c r="P7968" s="18">
        <v>2748</v>
      </c>
      <c r="Q7968" s="15"/>
      <c r="R7968" t="s" s="16">
        <f>HYPERLINK("http://secrets.rutgers.edu:8080/data/asl-ftp/asllvd/demos/verify_start_end_handshape_annotations//test_auto_move//signs_mov_separ_signers/Brady_15094.mov","MOV")</f>
        <v>21</v>
      </c>
    </row>
    <row r="7969" s="2" customFormat="1" ht="13.5" customHeight="1">
      <c r="B7969" t="s" s="8">
        <v>52</v>
      </c>
      <c r="C7969" t="s" s="9">
        <v>53</v>
      </c>
      <c r="D7969" t="s" s="8">
        <v>53</v>
      </c>
      <c r="E7969" t="s" s="9">
        <v>53</v>
      </c>
      <c r="F7969" t="s" s="10">
        <v>53</v>
      </c>
      <c r="G7969" t="s" s="11">
        <v>53</v>
      </c>
      <c r="H7969" t="s" s="10">
        <v>53</v>
      </c>
      <c r="I7969" t="s" s="11">
        <v>53</v>
      </c>
      <c r="J7969" t="s" s="11">
        <v>53</v>
      </c>
      <c r="K7969" t="s" s="12">
        <v>53</v>
      </c>
      <c r="L7969" t="s" s="12">
        <v>53</v>
      </c>
      <c r="M7969" t="s" s="10">
        <v>53</v>
      </c>
      <c r="N7969" t="s" s="11">
        <v>53</v>
      </c>
      <c r="O7969" t="s" s="8">
        <v>53</v>
      </c>
      <c r="P7969" t="s" s="8">
        <v>53</v>
      </c>
      <c r="Q7969" t="s" s="12">
        <v>53</v>
      </c>
      <c r="R7969" t="s" s="12">
        <v>53</v>
      </c>
    </row>
    <row r="7970" s="2" customFormat="1" ht="13.5" customHeight="1">
      <c r="B7970" s="13"/>
      <c r="C7970" t="s" s="9">
        <v>16</v>
      </c>
      <c r="D7970" t="s" s="8">
        <v>2841</v>
      </c>
      <c r="E7970" t="s" s="9">
        <v>2844</v>
      </c>
      <c r="F7970" t="s" s="10">
        <v>251</v>
      </c>
      <c r="G7970" t="s" s="11">
        <v>73</v>
      </c>
      <c r="H7970" t="s" s="10">
        <v>251</v>
      </c>
      <c r="I7970" t="s" s="11">
        <v>73</v>
      </c>
      <c r="J7970" t="s" s="11">
        <v>20</v>
      </c>
      <c r="K7970" t="s" s="16">
        <f>HYPERLINK("http://csr.bu.edu/ftp/asl/asllvd/demos/verify_start_end_handshape_annotations//test_auto_move//signs_mov/15110.mov","MOV")</f>
        <v>21</v>
      </c>
      <c r="L7970" t="s" s="16">
        <f>HYPERLINK("http://csr.bu.edu/ftp/asl/asllvd/demos/verify_start_end_handshape_annotations//test_auto_move//signs_mov_separ_signers/Liz_15110.mov","MOV")</f>
        <v>21</v>
      </c>
      <c r="M7970" t="s" s="10">
        <v>36</v>
      </c>
      <c r="N7970" s="17">
        <v>12</v>
      </c>
      <c r="O7970" s="18">
        <v>410</v>
      </c>
      <c r="P7970" s="18">
        <v>460</v>
      </c>
      <c r="Q7970" t="s" s="16">
        <f>HYPERLINK("http://secrets.rutgers.edu:8080/data/asl-ftp/asllvd/demos/verify_start_end_handshape_annotations//test_auto_move//signs_mov/15110.mov","MOV")</f>
        <v>21</v>
      </c>
      <c r="R7970" t="s" s="16">
        <f>HYPERLINK("http://secrets.rutgers.edu:8080/data/asl-ftp/asllvd/demos/verify_start_end_handshape_annotations//test_auto_move//signs_mov_separ_signers/Liz_15110.mov","MOV")</f>
        <v>21</v>
      </c>
    </row>
    <row r="7971" s="2" customFormat="1" ht="13.5" customHeight="1">
      <c r="B7971" t="s" s="8">
        <v>2845</v>
      </c>
      <c r="C7971" t="s" s="9">
        <v>14</v>
      </c>
      <c r="D7971" t="s" s="8">
        <v>14</v>
      </c>
      <c r="E7971" t="s" s="9">
        <v>14</v>
      </c>
      <c r="F7971" t="s" s="10">
        <v>14</v>
      </c>
      <c r="G7971" t="s" s="11">
        <v>14</v>
      </c>
      <c r="H7971" t="s" s="10">
        <v>14</v>
      </c>
      <c r="I7971" t="s" s="11">
        <v>14</v>
      </c>
      <c r="J7971" t="s" s="11">
        <v>14</v>
      </c>
      <c r="K7971" t="s" s="12">
        <v>14</v>
      </c>
      <c r="L7971" t="s" s="12">
        <v>14</v>
      </c>
      <c r="M7971" t="s" s="10">
        <v>14</v>
      </c>
      <c r="N7971" t="s" s="11">
        <v>14</v>
      </c>
      <c r="O7971" t="s" s="8">
        <v>14</v>
      </c>
      <c r="P7971" t="s" s="8">
        <v>14</v>
      </c>
      <c r="Q7971" t="s" s="12">
        <v>14</v>
      </c>
      <c r="R7971" t="s" s="12">
        <v>14</v>
      </c>
    </row>
    <row r="7972" s="2" customFormat="1" ht="13.5" customHeight="1">
      <c r="B7972" s="13"/>
      <c r="C7972" t="s" s="9">
        <v>16</v>
      </c>
      <c r="D7972" t="s" s="8">
        <v>2845</v>
      </c>
      <c r="E7972" t="s" s="9">
        <v>2846</v>
      </c>
      <c r="F7972" t="s" s="10">
        <v>287</v>
      </c>
      <c r="G7972" t="s" s="11">
        <v>287</v>
      </c>
      <c r="H7972" t="s" s="10">
        <v>287</v>
      </c>
      <c r="I7972" t="s" s="11">
        <v>287</v>
      </c>
      <c r="J7972" t="s" s="11">
        <v>20</v>
      </c>
      <c r="K7972" s="15"/>
      <c r="L7972" t="s" s="16">
        <f>HYPERLINK("http://csr.bu.edu/ftp/asl/asllvd/demos/verify_start_end_handshape_annotations//test_auto_move//signs_mov_separ_signers/Liz_2094.mov","MOV")</f>
        <v>21</v>
      </c>
      <c r="M7972" t="s" s="10">
        <v>36</v>
      </c>
      <c r="N7972" s="17">
        <v>12</v>
      </c>
      <c r="O7972" s="18">
        <v>1130</v>
      </c>
      <c r="P7972" s="18">
        <v>1185</v>
      </c>
      <c r="Q7972" s="15"/>
      <c r="R7972" t="s" s="16">
        <f>HYPERLINK("http://secrets.rutgers.edu:8080/data/asl-ftp/asllvd/demos/verify_start_end_handshape_annotations//test_auto_move//signs_mov_separ_signers/Liz_2094.mov","MOV")</f>
        <v>21</v>
      </c>
    </row>
    <row r="7973" s="2" customFormat="1" ht="13.5" customHeight="1">
      <c r="B7973" s="13"/>
      <c r="C7973" t="s" s="9">
        <v>16</v>
      </c>
      <c r="D7973" t="s" s="8">
        <v>2845</v>
      </c>
      <c r="E7973" t="s" s="9">
        <v>2846</v>
      </c>
      <c r="F7973" t="s" s="10">
        <v>287</v>
      </c>
      <c r="G7973" t="s" s="11">
        <v>287</v>
      </c>
      <c r="H7973" t="s" s="10">
        <v>287</v>
      </c>
      <c r="I7973" t="s" s="11">
        <v>287</v>
      </c>
      <c r="J7973" t="s" s="11">
        <v>20</v>
      </c>
      <c r="K7973" s="15"/>
      <c r="L7973" t="s" s="16">
        <f>HYPERLINK("http://csr.bu.edu/ftp/asl/asllvd/demos/verify_start_end_handshape_annotations//test_auto_move//signs_mov_separ_signers/Liz_3416.mov","MOV")</f>
        <v>21</v>
      </c>
      <c r="M7973" t="s" s="10">
        <v>77</v>
      </c>
      <c r="N7973" s="17">
        <v>30</v>
      </c>
      <c r="O7973" s="18">
        <v>2900</v>
      </c>
      <c r="P7973" s="18">
        <v>2976</v>
      </c>
      <c r="Q7973" s="15"/>
      <c r="R7973" t="s" s="16">
        <f>HYPERLINK("http://secrets.rutgers.edu:8080/data/asl-ftp/asllvd/demos/verify_start_end_handshape_annotations//test_auto_move//signs_mov_separ_signers/Liz_3416.mov","MOV")</f>
        <v>21</v>
      </c>
    </row>
    <row r="7974" s="2" customFormat="1" ht="13.5" customHeight="1">
      <c r="B7974" s="13"/>
      <c r="C7974" t="s" s="9">
        <v>30</v>
      </c>
      <c r="D7974" t="s" s="8">
        <v>2845</v>
      </c>
      <c r="E7974" t="s" s="9">
        <v>2846</v>
      </c>
      <c r="F7974" t="s" s="10">
        <v>287</v>
      </c>
      <c r="G7974" t="s" s="11">
        <v>287</v>
      </c>
      <c r="H7974" t="s" s="10">
        <v>287</v>
      </c>
      <c r="I7974" t="s" s="11">
        <v>287</v>
      </c>
      <c r="J7974" t="s" s="11">
        <v>20</v>
      </c>
      <c r="K7974" t="s" s="16">
        <f>HYPERLINK("http://csr.bu.edu/ftp/asl/asllvd/demos/verify_start_end_handshape_annotations//test_auto_move//signs_mov/2094_3416_3417_merged.mov","MOV")</f>
        <v>21</v>
      </c>
      <c r="L7974" t="s" s="16">
        <f>HYPERLINK("http://csr.bu.edu/ftp/asl/asllvd/demos/verify_start_end_handshape_annotations//test_auto_move//signs_mov_separ_signers/Brady_2094.mov","MOV")</f>
        <v>21</v>
      </c>
      <c r="M7974" t="s" s="10">
        <v>39</v>
      </c>
      <c r="N7974" s="17">
        <v>40</v>
      </c>
      <c r="O7974" s="18">
        <v>5159</v>
      </c>
      <c r="P7974" s="18">
        <v>5187</v>
      </c>
      <c r="Q7974" t="s" s="16">
        <f>HYPERLINK("http://secrets.rutgers.edu:8080/data/asl-ftp/asllvd/demos/verify_start_end_handshape_annotations//test_auto_move//signs_mov/2094_3416_3417_merged.mov","MOV")</f>
        <v>21</v>
      </c>
      <c r="R7974" t="s" s="16">
        <f>HYPERLINK("http://secrets.rutgers.edu:8080/data/asl-ftp/asllvd/demos/verify_start_end_handshape_annotations//test_auto_move//signs_mov_separ_signers/Brady_2094.mov","MOV")</f>
        <v>21</v>
      </c>
    </row>
    <row r="7975" s="2" customFormat="1" ht="13.5" customHeight="1">
      <c r="B7975" s="13"/>
      <c r="C7975" t="s" s="9">
        <v>30</v>
      </c>
      <c r="D7975" t="s" s="8">
        <v>2845</v>
      </c>
      <c r="E7975" t="s" s="9">
        <v>2847</v>
      </c>
      <c r="F7975" t="s" s="10">
        <v>287</v>
      </c>
      <c r="G7975" t="s" s="11">
        <v>287</v>
      </c>
      <c r="H7975" t="s" s="10">
        <v>287</v>
      </c>
      <c r="I7975" t="s" s="11">
        <v>287</v>
      </c>
      <c r="J7975" t="s" s="11">
        <v>20</v>
      </c>
      <c r="K7975" s="15"/>
      <c r="L7975" t="s" s="16">
        <f>HYPERLINK("http://csr.bu.edu/ftp/asl/asllvd/demos/verify_start_end_handshape_annotations//test_auto_move//signs_mov_separ_signers/Brady_3416.mov","MOV")</f>
        <v>21</v>
      </c>
      <c r="M7975" t="s" s="10">
        <v>39</v>
      </c>
      <c r="N7975" s="17">
        <v>40</v>
      </c>
      <c r="O7975" s="18">
        <v>5900</v>
      </c>
      <c r="P7975" s="18">
        <v>5939</v>
      </c>
      <c r="Q7975" s="15"/>
      <c r="R7975" t="s" s="16">
        <f>HYPERLINK("http://secrets.rutgers.edu:8080/data/asl-ftp/asllvd/demos/verify_start_end_handshape_annotations//test_auto_move//signs_mov_separ_signers/Brady_3416.mov","MOV")</f>
        <v>21</v>
      </c>
    </row>
    <row r="7976" s="2" customFormat="1" ht="13.5" customHeight="1">
      <c r="B7976" s="13"/>
      <c r="C7976" t="s" s="9">
        <v>30</v>
      </c>
      <c r="D7976" t="s" s="8">
        <v>2845</v>
      </c>
      <c r="E7976" t="s" s="9">
        <v>2846</v>
      </c>
      <c r="F7976" t="s" s="10">
        <v>287</v>
      </c>
      <c r="G7976" t="s" s="11">
        <v>287</v>
      </c>
      <c r="H7976" t="s" s="10">
        <v>287</v>
      </c>
      <c r="I7976" t="s" s="11">
        <v>287</v>
      </c>
      <c r="J7976" t="s" s="11">
        <v>20</v>
      </c>
      <c r="K7976" s="15"/>
      <c r="L7976" t="s" s="16">
        <f>HYPERLINK("http://csr.bu.edu/ftp/asl/asllvd/demos/verify_start_end_handshape_annotations//test_auto_move//signs_mov_separ_signers/Brady_3417.mov","MOV")</f>
        <v>21</v>
      </c>
      <c r="M7976" t="s" s="10">
        <v>40</v>
      </c>
      <c r="N7976" s="17">
        <v>57</v>
      </c>
      <c r="O7976" s="18">
        <v>1175</v>
      </c>
      <c r="P7976" s="18">
        <v>1200</v>
      </c>
      <c r="Q7976" s="15"/>
      <c r="R7976" t="s" s="16">
        <f>HYPERLINK("http://secrets.rutgers.edu:8080/data/asl-ftp/asllvd/demos/verify_start_end_handshape_annotations//test_auto_move//signs_mov_separ_signers/Brady_3417.mov","MOV")</f>
        <v>21</v>
      </c>
    </row>
    <row r="7977" s="2" customFormat="1" ht="13.5" customHeight="1">
      <c r="B7977" t="s" s="8">
        <v>52</v>
      </c>
      <c r="C7977" t="s" s="9">
        <v>53</v>
      </c>
      <c r="D7977" t="s" s="8">
        <v>53</v>
      </c>
      <c r="E7977" t="s" s="9">
        <v>53</v>
      </c>
      <c r="F7977" t="s" s="10">
        <v>53</v>
      </c>
      <c r="G7977" t="s" s="11">
        <v>53</v>
      </c>
      <c r="H7977" t="s" s="10">
        <v>53</v>
      </c>
      <c r="I7977" t="s" s="11">
        <v>53</v>
      </c>
      <c r="J7977" t="s" s="11">
        <v>53</v>
      </c>
      <c r="K7977" t="s" s="12">
        <v>53</v>
      </c>
      <c r="L7977" t="s" s="12">
        <v>53</v>
      </c>
      <c r="M7977" t="s" s="10">
        <v>53</v>
      </c>
      <c r="N7977" t="s" s="11">
        <v>53</v>
      </c>
      <c r="O7977" t="s" s="8">
        <v>53</v>
      </c>
      <c r="P7977" t="s" s="8">
        <v>53</v>
      </c>
      <c r="Q7977" t="s" s="12">
        <v>53</v>
      </c>
      <c r="R7977" t="s" s="12">
        <v>53</v>
      </c>
    </row>
    <row r="7978" s="2" customFormat="1" ht="13.5" customHeight="1">
      <c r="B7978" s="13"/>
      <c r="C7978" t="s" s="9">
        <v>41</v>
      </c>
      <c r="D7978" t="s" s="8">
        <v>2845</v>
      </c>
      <c r="E7978" t="s" s="9">
        <v>2848</v>
      </c>
      <c r="F7978" t="s" s="10">
        <v>287</v>
      </c>
      <c r="G7978" t="s" s="11">
        <v>68</v>
      </c>
      <c r="H7978" t="s" s="10">
        <v>287</v>
      </c>
      <c r="I7978" t="s" s="11">
        <v>68</v>
      </c>
      <c r="J7978" t="s" s="11">
        <v>20</v>
      </c>
      <c r="K7978" t="s" s="16">
        <f>HYPERLINK("http://csr.bu.edu/ftp/asl/asllvd/demos/verify_start_end_handshape_annotations//test_auto_move//signs_mov/16289.mov","MOV")</f>
        <v>21</v>
      </c>
      <c r="L7978" t="s" s="16">
        <f>HYPERLINK("http://csr.bu.edu/ftp/asl/asllvd/demos/verify_start_end_handshape_annotations//test_auto_move//signs_mov_separ_signers/Lana_16289.mov","MOV")</f>
        <v>21</v>
      </c>
      <c r="M7978" t="s" s="10">
        <v>42</v>
      </c>
      <c r="N7978" s="17">
        <v>22</v>
      </c>
      <c r="O7978" s="18">
        <v>2333</v>
      </c>
      <c r="P7978" s="18">
        <v>2364</v>
      </c>
      <c r="Q7978" t="s" s="16">
        <f>HYPERLINK("http://secrets.rutgers.edu:8080/data/asl-ftp/asllvd/demos/verify_start_end_handshape_annotations//test_auto_move//signs_mov/16289.mov","MOV")</f>
        <v>21</v>
      </c>
      <c r="R7978" t="s" s="16">
        <f>HYPERLINK("http://secrets.rutgers.edu:8080/data/asl-ftp/asllvd/demos/verify_start_end_handshape_annotations//test_auto_move//signs_mov_separ_signers/Lana_16289.mov","MOV")</f>
        <v>21</v>
      </c>
    </row>
    <row r="7979" s="2" customFormat="1" ht="13.5" customHeight="1">
      <c r="B7979" t="s" s="8">
        <v>52</v>
      </c>
      <c r="C7979" t="s" s="9">
        <v>53</v>
      </c>
      <c r="D7979" t="s" s="8">
        <v>53</v>
      </c>
      <c r="E7979" t="s" s="9">
        <v>53</v>
      </c>
      <c r="F7979" t="s" s="10">
        <v>53</v>
      </c>
      <c r="G7979" t="s" s="11">
        <v>53</v>
      </c>
      <c r="H7979" t="s" s="10">
        <v>53</v>
      </c>
      <c r="I7979" t="s" s="11">
        <v>53</v>
      </c>
      <c r="J7979" t="s" s="11">
        <v>53</v>
      </c>
      <c r="K7979" t="s" s="12">
        <v>53</v>
      </c>
      <c r="L7979" t="s" s="12">
        <v>53</v>
      </c>
      <c r="M7979" t="s" s="10">
        <v>53</v>
      </c>
      <c r="N7979" t="s" s="11">
        <v>53</v>
      </c>
      <c r="O7979" t="s" s="8">
        <v>53</v>
      </c>
      <c r="P7979" t="s" s="8">
        <v>53</v>
      </c>
      <c r="Q7979" t="s" s="12">
        <v>53</v>
      </c>
      <c r="R7979" t="s" s="12">
        <v>53</v>
      </c>
    </row>
    <row r="7980" s="2" customFormat="1" ht="13.5" customHeight="1">
      <c r="B7980" s="13"/>
      <c r="C7980" t="s" s="9">
        <v>43</v>
      </c>
      <c r="D7980" t="s" s="8">
        <v>2845</v>
      </c>
      <c r="E7980" t="s" s="9">
        <v>2849</v>
      </c>
      <c r="F7980" t="s" s="10">
        <v>287</v>
      </c>
      <c r="G7980" t="s" s="11">
        <v>68</v>
      </c>
      <c r="H7980" t="s" s="10">
        <v>287</v>
      </c>
      <c r="I7980" t="s" s="11">
        <v>68</v>
      </c>
      <c r="J7980" t="s" s="11">
        <v>20</v>
      </c>
      <c r="K7980" t="s" s="16">
        <f>HYPERLINK("http://csr.bu.edu/ftp/asl/asllvd/demos/verify_start_end_handshape_annotations//test_auto_move//signs_mov/16564.mov","MOV")</f>
        <v>21</v>
      </c>
      <c r="L7980" t="s" s="16">
        <f>HYPERLINK("http://csr.bu.edu/ftp/asl/asllvd/demos/verify_start_end_handshape_annotations//test_auto_move//signs_mov_separ_signers/Dana_16564.mov","MOV")</f>
        <v>21</v>
      </c>
      <c r="M7980" t="s" s="10">
        <v>44</v>
      </c>
      <c r="N7980" s="17">
        <v>25</v>
      </c>
      <c r="O7980" s="18">
        <v>2242</v>
      </c>
      <c r="P7980" s="18">
        <v>2303</v>
      </c>
      <c r="Q7980" t="s" s="16">
        <f>HYPERLINK("http://secrets.rutgers.edu:8080/data/asl-ftp/asllvd/demos/verify_start_end_handshape_annotations//test_auto_move//signs_mov/16564.mov","MOV")</f>
        <v>21</v>
      </c>
      <c r="R7980" t="s" s="16">
        <f>HYPERLINK("http://secrets.rutgers.edu:8080/data/asl-ftp/asllvd/demos/verify_start_end_handshape_annotations//test_auto_move//signs_mov_separ_signers/Dana_16564.mov","MOV")</f>
        <v>21</v>
      </c>
    </row>
    <row r="7981" s="2" customFormat="1" ht="13.5" customHeight="1">
      <c r="B7981" t="s" s="8">
        <v>2850</v>
      </c>
      <c r="C7981" t="s" s="9">
        <v>14</v>
      </c>
      <c r="D7981" t="s" s="8">
        <v>14</v>
      </c>
      <c r="E7981" t="s" s="9">
        <v>14</v>
      </c>
      <c r="F7981" t="s" s="10">
        <v>14</v>
      </c>
      <c r="G7981" t="s" s="11">
        <v>14</v>
      </c>
      <c r="H7981" t="s" s="10">
        <v>14</v>
      </c>
      <c r="I7981" t="s" s="11">
        <v>14</v>
      </c>
      <c r="J7981" t="s" s="11">
        <v>14</v>
      </c>
      <c r="K7981" t="s" s="12">
        <v>14</v>
      </c>
      <c r="L7981" t="s" s="12">
        <v>14</v>
      </c>
      <c r="M7981" t="s" s="10">
        <v>14</v>
      </c>
      <c r="N7981" t="s" s="11">
        <v>14</v>
      </c>
      <c r="O7981" t="s" s="8">
        <v>14</v>
      </c>
      <c r="P7981" t="s" s="8">
        <v>14</v>
      </c>
      <c r="Q7981" t="s" s="12">
        <v>14</v>
      </c>
      <c r="R7981" t="s" s="12">
        <v>14</v>
      </c>
    </row>
    <row r="7982" s="2" customFormat="1" ht="13.5" customHeight="1">
      <c r="B7982" s="13"/>
      <c r="C7982" t="s" s="9">
        <v>16</v>
      </c>
      <c r="D7982" t="s" s="8">
        <v>2850</v>
      </c>
      <c r="E7982" t="s" s="9">
        <v>2850</v>
      </c>
      <c r="F7982" t="s" s="10">
        <v>344</v>
      </c>
      <c r="G7982" t="s" s="11">
        <v>158</v>
      </c>
      <c r="H7982" t="s" s="10">
        <v>344</v>
      </c>
      <c r="I7982" t="s" s="11">
        <v>158</v>
      </c>
      <c r="J7982" t="s" s="11">
        <v>20</v>
      </c>
      <c r="K7982" t="s" s="16">
        <f>HYPERLINK("http://csr.bu.edu/ftp/asl/asllvd/demos/verify_start_end_handshape_annotations//test_auto_move//signs_mov/2095.mov","MOV")</f>
        <v>21</v>
      </c>
      <c r="L7982" t="s" s="16">
        <f>HYPERLINK("http://csr.bu.edu/ftp/asl/asllvd/demos/verify_start_end_handshape_annotations//test_auto_move//signs_mov_separ_signers/Liz_2095.mov","MOV")</f>
        <v>21</v>
      </c>
      <c r="M7982" t="s" s="10">
        <v>36</v>
      </c>
      <c r="N7982" s="17">
        <v>12</v>
      </c>
      <c r="O7982" s="18">
        <v>1353</v>
      </c>
      <c r="P7982" s="18">
        <v>1391</v>
      </c>
      <c r="Q7982" t="s" s="16">
        <f>HYPERLINK("http://secrets.rutgers.edu:8080/data/asl-ftp/asllvd/demos/verify_start_end_handshape_annotations//test_auto_move//signs_mov/2095.mov","MOV")</f>
        <v>21</v>
      </c>
      <c r="R7982" t="s" s="16">
        <f>HYPERLINK("http://secrets.rutgers.edu:8080/data/asl-ftp/asllvd/demos/verify_start_end_handshape_annotations//test_auto_move//signs_mov_separ_signers/Liz_2095.mov","MOV")</f>
        <v>21</v>
      </c>
    </row>
    <row r="7983" s="2" customFormat="1" ht="13.5" customHeight="1">
      <c r="B7983" s="13"/>
      <c r="C7983" t="s" s="9">
        <v>30</v>
      </c>
      <c r="D7983" t="s" s="8">
        <v>2850</v>
      </c>
      <c r="E7983" t="s" s="9">
        <v>2850</v>
      </c>
      <c r="F7983" t="s" s="10">
        <v>344</v>
      </c>
      <c r="G7983" t="s" s="11">
        <v>158</v>
      </c>
      <c r="H7983" t="s" s="10">
        <v>344</v>
      </c>
      <c r="I7983" t="s" s="11">
        <v>158</v>
      </c>
      <c r="J7983" t="s" s="11">
        <v>20</v>
      </c>
      <c r="K7983" s="15"/>
      <c r="L7983" t="s" s="16">
        <f>HYPERLINK("http://csr.bu.edu/ftp/asl/asllvd/demos/verify_start_end_handshape_annotations//test_auto_move//signs_mov_separ_signers/Brady_2095.mov","MOV")</f>
        <v>21</v>
      </c>
      <c r="M7983" t="s" s="10">
        <v>40</v>
      </c>
      <c r="N7983" s="17">
        <v>57</v>
      </c>
      <c r="O7983" s="18">
        <v>1405</v>
      </c>
      <c r="P7983" s="18">
        <v>1429</v>
      </c>
      <c r="Q7983" s="15"/>
      <c r="R7983" t="s" s="16">
        <f>HYPERLINK("http://secrets.rutgers.edu:8080/data/asl-ftp/asllvd/demos/verify_start_end_handshape_annotations//test_auto_move//signs_mov_separ_signers/Brady_2095.mov","MOV")</f>
        <v>21</v>
      </c>
    </row>
    <row r="7984" s="2" customFormat="1" ht="13.5" customHeight="1">
      <c r="B7984" t="s" s="8">
        <v>2851</v>
      </c>
      <c r="C7984" t="s" s="9">
        <v>14</v>
      </c>
      <c r="D7984" t="s" s="8">
        <v>14</v>
      </c>
      <c r="E7984" t="s" s="9">
        <v>14</v>
      </c>
      <c r="F7984" t="s" s="10">
        <v>14</v>
      </c>
      <c r="G7984" t="s" s="11">
        <v>14</v>
      </c>
      <c r="H7984" t="s" s="10">
        <v>14</v>
      </c>
      <c r="I7984" t="s" s="11">
        <v>14</v>
      </c>
      <c r="J7984" t="s" s="11">
        <v>14</v>
      </c>
      <c r="K7984" t="s" s="12">
        <v>14</v>
      </c>
      <c r="L7984" t="s" s="12">
        <v>14</v>
      </c>
      <c r="M7984" t="s" s="10">
        <v>14</v>
      </c>
      <c r="N7984" t="s" s="11">
        <v>14</v>
      </c>
      <c r="O7984" t="s" s="8">
        <v>14</v>
      </c>
      <c r="P7984" t="s" s="8">
        <v>14</v>
      </c>
      <c r="Q7984" t="s" s="12">
        <v>14</v>
      </c>
      <c r="R7984" t="s" s="12">
        <v>14</v>
      </c>
    </row>
    <row r="7985" s="2" customFormat="1" ht="13.5" customHeight="1">
      <c r="B7985" s="13"/>
      <c r="C7985" t="s" s="9">
        <v>16</v>
      </c>
      <c r="D7985" t="s" s="8">
        <v>2851</v>
      </c>
      <c r="E7985" t="s" s="9">
        <v>2852</v>
      </c>
      <c r="F7985" t="s" s="10">
        <v>80</v>
      </c>
      <c r="G7985" t="s" s="11">
        <v>85</v>
      </c>
      <c r="H7985" t="s" s="10">
        <v>80</v>
      </c>
      <c r="I7985" t="s" s="11">
        <v>85</v>
      </c>
      <c r="J7985" t="s" s="11">
        <v>20</v>
      </c>
      <c r="K7985" s="15"/>
      <c r="L7985" t="s" s="16">
        <f>HYPERLINK("http://csr.bu.edu/ftp/asl/asllvd/demos/verify_start_end_handshape_annotations//test_auto_move//signs_mov_separ_signers/Liz_2097.mov","MOV")</f>
        <v>21</v>
      </c>
      <c r="M7985" t="s" s="10">
        <v>36</v>
      </c>
      <c r="N7985" s="17">
        <v>12</v>
      </c>
      <c r="O7985" s="18">
        <v>2215</v>
      </c>
      <c r="P7985" s="18">
        <v>2275</v>
      </c>
      <c r="Q7985" s="15"/>
      <c r="R7985" t="s" s="16">
        <f>HYPERLINK("http://secrets.rutgers.edu:8080/data/asl-ftp/asllvd/demos/verify_start_end_handshape_annotations//test_auto_move//signs_mov_separ_signers/Liz_2097.mov","MOV")</f>
        <v>21</v>
      </c>
    </row>
    <row r="7986" s="2" customFormat="1" ht="13.5" customHeight="1">
      <c r="B7986" s="13"/>
      <c r="C7986" t="s" s="9">
        <v>30</v>
      </c>
      <c r="D7986" t="s" s="8">
        <v>2851</v>
      </c>
      <c r="E7986" t="s" s="9">
        <v>2852</v>
      </c>
      <c r="F7986" t="s" s="10">
        <v>80</v>
      </c>
      <c r="G7986" t="s" s="11">
        <v>80</v>
      </c>
      <c r="H7986" t="s" s="10">
        <v>80</v>
      </c>
      <c r="I7986" t="s" s="11">
        <v>80</v>
      </c>
      <c r="J7986" t="s" s="11">
        <v>20</v>
      </c>
      <c r="K7986" t="s" s="16">
        <f>HYPERLINK("http://csr.bu.edu/ftp/asl/asllvd/demos/verify_start_end_handshape_annotations//test_auto_move//signs_mov/2097_3743_merged.mov","MOV")</f>
        <v>21</v>
      </c>
      <c r="L7986" t="s" s="16">
        <f>HYPERLINK("http://csr.bu.edu/ftp/asl/asllvd/demos/verify_start_end_handshape_annotations//test_auto_move//signs_mov_separ_signers/Brady_2097.mov","MOV")</f>
        <v>21</v>
      </c>
      <c r="M7986" t="s" s="10">
        <v>40</v>
      </c>
      <c r="N7986" s="17">
        <v>57</v>
      </c>
      <c r="O7986" s="18">
        <v>2063</v>
      </c>
      <c r="P7986" s="18">
        <v>2082</v>
      </c>
      <c r="Q7986" t="s" s="16">
        <f>HYPERLINK("http://secrets.rutgers.edu:8080/data/asl-ftp/asllvd/demos/verify_start_end_handshape_annotations//test_auto_move//signs_mov/2097_3743_merged.mov","MOV")</f>
        <v>21</v>
      </c>
      <c r="R7986" t="s" s="16">
        <f>HYPERLINK("http://secrets.rutgers.edu:8080/data/asl-ftp/asllvd/demos/verify_start_end_handshape_annotations//test_auto_move//signs_mov_separ_signers/Brady_2097.mov","MOV")</f>
        <v>21</v>
      </c>
    </row>
    <row r="7987" s="2" customFormat="1" ht="13.5" customHeight="1">
      <c r="B7987" s="13"/>
      <c r="C7987" t="s" s="9">
        <v>30</v>
      </c>
      <c r="D7987" t="s" s="8">
        <v>2851</v>
      </c>
      <c r="E7987" t="s" s="9">
        <v>2852</v>
      </c>
      <c r="F7987" t="s" s="10">
        <v>80</v>
      </c>
      <c r="G7987" t="s" s="11">
        <v>80</v>
      </c>
      <c r="H7987" t="s" s="10">
        <v>80</v>
      </c>
      <c r="I7987" t="s" s="11">
        <v>80</v>
      </c>
      <c r="J7987" t="s" s="11">
        <v>20</v>
      </c>
      <c r="K7987" s="15"/>
      <c r="L7987" t="s" s="16">
        <f>HYPERLINK("http://csr.bu.edu/ftp/asl/asllvd/demos/verify_start_end_handshape_annotations//test_auto_move//signs_mov_separ_signers/Brady_3743.mov","MOV")</f>
        <v>21</v>
      </c>
      <c r="M7987" t="s" s="10">
        <v>40</v>
      </c>
      <c r="N7987" s="17">
        <v>57</v>
      </c>
      <c r="O7987" s="18">
        <v>2311</v>
      </c>
      <c r="P7987" s="18">
        <v>2334</v>
      </c>
      <c r="Q7987" s="15"/>
      <c r="R7987" t="s" s="16">
        <f>HYPERLINK("http://secrets.rutgers.edu:8080/data/asl-ftp/asllvd/demos/verify_start_end_handshape_annotations//test_auto_move//signs_mov_separ_signers/Brady_3743.mov","MOV")</f>
        <v>21</v>
      </c>
    </row>
    <row r="7988" s="2" customFormat="1" ht="13.5" customHeight="1">
      <c r="B7988" t="s" s="8">
        <v>52</v>
      </c>
      <c r="C7988" t="s" s="9">
        <v>53</v>
      </c>
      <c r="D7988" t="s" s="8">
        <v>53</v>
      </c>
      <c r="E7988" t="s" s="9">
        <v>53</v>
      </c>
      <c r="F7988" t="s" s="10">
        <v>53</v>
      </c>
      <c r="G7988" t="s" s="11">
        <v>53</v>
      </c>
      <c r="H7988" t="s" s="10">
        <v>53</v>
      </c>
      <c r="I7988" t="s" s="11">
        <v>53</v>
      </c>
      <c r="J7988" t="s" s="11">
        <v>53</v>
      </c>
      <c r="K7988" t="s" s="12">
        <v>53</v>
      </c>
      <c r="L7988" t="s" s="12">
        <v>53</v>
      </c>
      <c r="M7988" t="s" s="10">
        <v>53</v>
      </c>
      <c r="N7988" t="s" s="11">
        <v>53</v>
      </c>
      <c r="O7988" t="s" s="8">
        <v>53</v>
      </c>
      <c r="P7988" t="s" s="8">
        <v>53</v>
      </c>
      <c r="Q7988" t="s" s="12">
        <v>53</v>
      </c>
      <c r="R7988" t="s" s="12">
        <v>53</v>
      </c>
    </row>
    <row r="7989" s="2" customFormat="1" ht="13.5" customHeight="1">
      <c r="B7989" s="13"/>
      <c r="C7989" t="s" s="9">
        <v>23</v>
      </c>
      <c r="D7989" t="s" s="8">
        <v>2851</v>
      </c>
      <c r="E7989" t="s" s="9">
        <v>2853</v>
      </c>
      <c r="F7989" t="s" s="10">
        <v>80</v>
      </c>
      <c r="G7989" s="14"/>
      <c r="H7989" t="s" s="10">
        <v>80</v>
      </c>
      <c r="I7989" s="14"/>
      <c r="J7989" t="s" s="11">
        <v>20</v>
      </c>
      <c r="K7989" t="s" s="16">
        <f>HYPERLINK("http://csr.bu.edu/ftp/asl/asllvd/demos/verify_start_end_handshape_annotations//test_auto_move//signs_mov/5373.mov","MOV")</f>
        <v>21</v>
      </c>
      <c r="L7989" t="s" s="16">
        <f>HYPERLINK("http://csr.bu.edu/ftp/asl/asllvd/demos/verify_start_end_handshape_annotations//test_auto_move//signs_mov_separ_signers/Tyler_5373.mov","MOV")</f>
        <v>21</v>
      </c>
      <c r="M7989" t="s" s="10">
        <v>92</v>
      </c>
      <c r="N7989" s="17">
        <v>19</v>
      </c>
      <c r="O7989" s="18">
        <v>2730</v>
      </c>
      <c r="P7989" s="18">
        <v>2765</v>
      </c>
      <c r="Q7989" t="s" s="16">
        <f>HYPERLINK("http://secrets.rutgers.edu:8080/data/asl-ftp/asllvd/demos/verify_start_end_handshape_annotations//test_auto_move//signs_mov/5373.mov","MOV")</f>
        <v>21</v>
      </c>
      <c r="R7989" t="s" s="16">
        <f>HYPERLINK("http://secrets.rutgers.edu:8080/data/asl-ftp/asllvd/demos/verify_start_end_handshape_annotations//test_auto_move//signs_mov_separ_signers/Tyler_5373.mov","MOV")</f>
        <v>21</v>
      </c>
    </row>
    <row r="7990" s="2" customFormat="1" ht="13.5" customHeight="1">
      <c r="B7990" t="s" s="8">
        <v>52</v>
      </c>
      <c r="C7990" t="s" s="9">
        <v>53</v>
      </c>
      <c r="D7990" t="s" s="8">
        <v>53</v>
      </c>
      <c r="E7990" t="s" s="9">
        <v>53</v>
      </c>
      <c r="F7990" t="s" s="10">
        <v>53</v>
      </c>
      <c r="G7990" t="s" s="11">
        <v>53</v>
      </c>
      <c r="H7990" t="s" s="10">
        <v>53</v>
      </c>
      <c r="I7990" t="s" s="11">
        <v>53</v>
      </c>
      <c r="J7990" t="s" s="11">
        <v>53</v>
      </c>
      <c r="K7990" t="s" s="12">
        <v>53</v>
      </c>
      <c r="L7990" t="s" s="12">
        <v>53</v>
      </c>
      <c r="M7990" t="s" s="10">
        <v>53</v>
      </c>
      <c r="N7990" t="s" s="11">
        <v>53</v>
      </c>
      <c r="O7990" t="s" s="8">
        <v>53</v>
      </c>
      <c r="P7990" t="s" s="8">
        <v>53</v>
      </c>
      <c r="Q7990" t="s" s="12">
        <v>53</v>
      </c>
      <c r="R7990" t="s" s="12">
        <v>53</v>
      </c>
    </row>
    <row r="7991" s="2" customFormat="1" ht="13.5" customHeight="1">
      <c r="B7991" s="13"/>
      <c r="C7991" t="s" s="9">
        <v>16</v>
      </c>
      <c r="D7991" t="s" s="8">
        <v>2851</v>
      </c>
      <c r="E7991" t="s" s="9">
        <v>2854</v>
      </c>
      <c r="F7991" t="s" s="10">
        <v>251</v>
      </c>
      <c r="G7991" t="s" s="11">
        <v>251</v>
      </c>
      <c r="H7991" t="s" s="10">
        <v>251</v>
      </c>
      <c r="I7991" t="s" s="11">
        <v>251</v>
      </c>
      <c r="J7991" t="s" s="11">
        <v>20</v>
      </c>
      <c r="K7991" t="s" s="16">
        <f>HYPERLINK("http://csr.bu.edu/ftp/asl/asllvd/demos/verify_start_end_handshape_annotations//test_auto_move//signs_mov/15229.mov","MOV")</f>
        <v>21</v>
      </c>
      <c r="L7991" t="s" s="16">
        <f>HYPERLINK("http://csr.bu.edu/ftp/asl/asllvd/demos/verify_start_end_handshape_annotations//test_auto_move//signs_mov_separ_signers/Liz_15229.mov","MOV")</f>
        <v>21</v>
      </c>
      <c r="M7991" t="s" s="10">
        <v>36</v>
      </c>
      <c r="N7991" s="17">
        <v>12</v>
      </c>
      <c r="O7991" s="18">
        <v>2035</v>
      </c>
      <c r="P7991" s="18">
        <v>2075</v>
      </c>
      <c r="Q7991" t="s" s="16">
        <f>HYPERLINK("http://secrets.rutgers.edu:8080/data/asl-ftp/asllvd/demos/verify_start_end_handshape_annotations//test_auto_move//signs_mov/15229.mov","MOV")</f>
        <v>21</v>
      </c>
      <c r="R7991" t="s" s="16">
        <f>HYPERLINK("http://secrets.rutgers.edu:8080/data/asl-ftp/asllvd/demos/verify_start_end_handshape_annotations//test_auto_move//signs_mov_separ_signers/Liz_15229.mov","MOV")</f>
        <v>21</v>
      </c>
    </row>
    <row r="7992" s="2" customFormat="1" ht="13.5" customHeight="1">
      <c r="B7992" t="s" s="8">
        <v>2855</v>
      </c>
      <c r="C7992" t="s" s="9">
        <v>14</v>
      </c>
      <c r="D7992" t="s" s="8">
        <v>14</v>
      </c>
      <c r="E7992" t="s" s="9">
        <v>14</v>
      </c>
      <c r="F7992" t="s" s="10">
        <v>14</v>
      </c>
      <c r="G7992" t="s" s="11">
        <v>14</v>
      </c>
      <c r="H7992" t="s" s="10">
        <v>14</v>
      </c>
      <c r="I7992" t="s" s="11">
        <v>14</v>
      </c>
      <c r="J7992" t="s" s="11">
        <v>14</v>
      </c>
      <c r="K7992" t="s" s="12">
        <v>14</v>
      </c>
      <c r="L7992" t="s" s="12">
        <v>14</v>
      </c>
      <c r="M7992" t="s" s="10">
        <v>14</v>
      </c>
      <c r="N7992" t="s" s="11">
        <v>14</v>
      </c>
      <c r="O7992" t="s" s="8">
        <v>14</v>
      </c>
      <c r="P7992" t="s" s="8">
        <v>14</v>
      </c>
      <c r="Q7992" t="s" s="12">
        <v>14</v>
      </c>
      <c r="R7992" t="s" s="12">
        <v>14</v>
      </c>
    </row>
    <row r="7993" s="2" customFormat="1" ht="13.5" customHeight="1">
      <c r="B7993" s="13"/>
      <c r="C7993" t="s" s="9">
        <v>16</v>
      </c>
      <c r="D7993" t="s" s="8">
        <v>2855</v>
      </c>
      <c r="E7993" t="s" s="9">
        <v>2855</v>
      </c>
      <c r="F7993" t="s" s="10">
        <v>80</v>
      </c>
      <c r="G7993" s="14"/>
      <c r="H7993" t="s" s="10">
        <v>80</v>
      </c>
      <c r="I7993" s="14"/>
      <c r="J7993" t="s" s="11">
        <v>20</v>
      </c>
      <c r="K7993" s="15"/>
      <c r="L7993" t="s" s="16">
        <f>HYPERLINK("http://csr.bu.edu/ftp/asl/asllvd/demos/verify_start_end_handshape_annotations//test_auto_move//signs_mov_separ_signers/Liz_16565.mov","MOV")</f>
        <v>21</v>
      </c>
      <c r="M7993" t="s" s="10">
        <v>84</v>
      </c>
      <c r="N7993" s="17">
        <v>39</v>
      </c>
      <c r="O7993" s="18">
        <v>1535</v>
      </c>
      <c r="P7993" s="18">
        <v>1565</v>
      </c>
      <c r="Q7993" s="15"/>
      <c r="R7993" t="s" s="16">
        <f>HYPERLINK("http://secrets.rutgers.edu:8080/data/asl-ftp/asllvd/demos/verify_start_end_handshape_annotations//test_auto_move//signs_mov_separ_signers/Liz_16565.mov","MOV")</f>
        <v>21</v>
      </c>
    </row>
    <row r="7994" s="2" customFormat="1" ht="13.5" customHeight="1">
      <c r="B7994" s="13"/>
      <c r="C7994" t="s" s="9">
        <v>27</v>
      </c>
      <c r="D7994" t="s" s="8">
        <v>2855</v>
      </c>
      <c r="E7994" t="s" s="9">
        <v>2855</v>
      </c>
      <c r="F7994" t="s" s="10">
        <v>80</v>
      </c>
      <c r="G7994" s="14"/>
      <c r="H7994" t="s" s="10">
        <v>80</v>
      </c>
      <c r="I7994" s="14"/>
      <c r="J7994" t="s" s="11">
        <v>20</v>
      </c>
      <c r="K7994" t="s" s="16">
        <f>HYPERLINK("http://csr.bu.edu/ftp/asl/asllvd/demos/verify_start_end_handshape_annotations//test_auto_move//signs_mov/16565.mov","MOV")</f>
        <v>21</v>
      </c>
      <c r="L7994" t="s" s="16">
        <f>HYPERLINK("http://csr.bu.edu/ftp/asl/asllvd/demos/verify_start_end_handshape_annotations//test_auto_move//signs_mov_separ_signers/Naomi_16565.mov","MOV")</f>
        <v>21</v>
      </c>
      <c r="M7994" t="s" s="10">
        <v>86</v>
      </c>
      <c r="N7994" s="17">
        <v>39</v>
      </c>
      <c r="O7994" s="18">
        <v>1392</v>
      </c>
      <c r="P7994" s="18">
        <v>1415</v>
      </c>
      <c r="Q7994" t="s" s="16">
        <f>HYPERLINK("http://secrets.rutgers.edu:8080/data/asl-ftp/asllvd/demos/verify_start_end_handshape_annotations//test_auto_move//signs_mov/16565.mov","MOV")</f>
        <v>21</v>
      </c>
      <c r="R7994" t="s" s="16">
        <f>HYPERLINK("http://secrets.rutgers.edu:8080/data/asl-ftp/asllvd/demos/verify_start_end_handshape_annotations//test_auto_move//signs_mov_separ_signers/Naomi_16565.mov","MOV")</f>
        <v>21</v>
      </c>
    </row>
    <row r="7995" s="2" customFormat="1" ht="13.5" customHeight="1">
      <c r="B7995" s="13"/>
      <c r="C7995" t="s" s="9">
        <v>30</v>
      </c>
      <c r="D7995" t="s" s="8">
        <v>2855</v>
      </c>
      <c r="E7995" t="s" s="9">
        <v>2855</v>
      </c>
      <c r="F7995" t="s" s="10">
        <v>85</v>
      </c>
      <c r="G7995" s="14"/>
      <c r="H7995" t="s" s="10">
        <v>85</v>
      </c>
      <c r="I7995" s="14"/>
      <c r="J7995" t="s" s="11">
        <v>20</v>
      </c>
      <c r="K7995" s="15"/>
      <c r="L7995" t="s" s="16">
        <f>HYPERLINK("http://csr.bu.edu/ftp/asl/asllvd/demos/verify_start_end_handshape_annotations//test_auto_move//signs_mov_separ_signers/Brady_16565.mov","MOV")</f>
        <v>21</v>
      </c>
      <c r="M7995" t="s" s="10">
        <v>39</v>
      </c>
      <c r="N7995" s="17">
        <v>16</v>
      </c>
      <c r="O7995" s="18">
        <v>6600</v>
      </c>
      <c r="P7995" s="18">
        <v>6625</v>
      </c>
      <c r="Q7995" s="15"/>
      <c r="R7995" t="s" s="16">
        <f>HYPERLINK("http://secrets.rutgers.edu:8080/data/asl-ftp/asllvd/demos/verify_start_end_handshape_annotations//test_auto_move//signs_mov_separ_signers/Brady_16565.mov","MOV")</f>
        <v>21</v>
      </c>
    </row>
    <row r="7996" s="2" customFormat="1" ht="13.5" customHeight="1">
      <c r="B7996" t="s" s="8">
        <v>2856</v>
      </c>
      <c r="C7996" t="s" s="9">
        <v>14</v>
      </c>
      <c r="D7996" t="s" s="8">
        <v>14</v>
      </c>
      <c r="E7996" t="s" s="9">
        <v>14</v>
      </c>
      <c r="F7996" t="s" s="10">
        <v>14</v>
      </c>
      <c r="G7996" t="s" s="11">
        <v>14</v>
      </c>
      <c r="H7996" t="s" s="10">
        <v>14</v>
      </c>
      <c r="I7996" t="s" s="11">
        <v>14</v>
      </c>
      <c r="J7996" t="s" s="11">
        <v>14</v>
      </c>
      <c r="K7996" t="s" s="12">
        <v>14</v>
      </c>
      <c r="L7996" t="s" s="12">
        <v>14</v>
      </c>
      <c r="M7996" t="s" s="10">
        <v>14</v>
      </c>
      <c r="N7996" t="s" s="11">
        <v>14</v>
      </c>
      <c r="O7996" t="s" s="8">
        <v>14</v>
      </c>
      <c r="P7996" t="s" s="8">
        <v>14</v>
      </c>
      <c r="Q7996" t="s" s="12">
        <v>14</v>
      </c>
      <c r="R7996" t="s" s="12">
        <v>14</v>
      </c>
    </row>
    <row r="7997" s="2" customFormat="1" ht="13.5" customHeight="1">
      <c r="B7997" s="13"/>
      <c r="C7997" t="s" s="9">
        <v>16</v>
      </c>
      <c r="D7997" t="s" s="8">
        <v>2856</v>
      </c>
      <c r="E7997" t="s" s="9">
        <v>2856</v>
      </c>
      <c r="F7997" t="s" s="10">
        <v>73</v>
      </c>
      <c r="G7997" t="s" s="11">
        <v>73</v>
      </c>
      <c r="H7997" t="s" s="10">
        <v>73</v>
      </c>
      <c r="I7997" t="s" s="11">
        <v>73</v>
      </c>
      <c r="J7997" t="s" s="11">
        <v>20</v>
      </c>
      <c r="K7997" t="s" s="16">
        <f>HYPERLINK("http://csr.bu.edu/ftp/asl/asllvd/demos/verify_start_end_handshape_annotations//test_auto_move//signs_mov/2099.mov","MOV")</f>
        <v>21</v>
      </c>
      <c r="L7997" t="s" s="16">
        <f>HYPERLINK("http://csr.bu.edu/ftp/asl/asllvd/demos/verify_start_end_handshape_annotations//test_auto_move//signs_mov_separ_signers/Liz_2099.mov","MOV")</f>
        <v>21</v>
      </c>
      <c r="M7997" t="s" s="10">
        <v>36</v>
      </c>
      <c r="N7997" s="17">
        <v>12</v>
      </c>
      <c r="O7997" s="18">
        <v>2435</v>
      </c>
      <c r="P7997" s="18">
        <v>2495</v>
      </c>
      <c r="Q7997" t="s" s="16">
        <f>HYPERLINK("http://secrets.rutgers.edu:8080/data/asl-ftp/asllvd/demos/verify_start_end_handshape_annotations//test_auto_move//signs_mov/2099.mov","MOV")</f>
        <v>21</v>
      </c>
      <c r="R7997" t="s" s="16">
        <f>HYPERLINK("http://secrets.rutgers.edu:8080/data/asl-ftp/asllvd/demos/verify_start_end_handshape_annotations//test_auto_move//signs_mov_separ_signers/Liz_2099.mov","MOV")</f>
        <v>21</v>
      </c>
    </row>
    <row r="7998" s="2" customFormat="1" ht="13.5" customHeight="1">
      <c r="B7998" s="13"/>
      <c r="C7998" t="s" s="9">
        <v>30</v>
      </c>
      <c r="D7998" t="s" s="8">
        <v>2856</v>
      </c>
      <c r="E7998" t="s" s="9">
        <v>2856</v>
      </c>
      <c r="F7998" t="s" s="10">
        <v>73</v>
      </c>
      <c r="G7998" t="s" s="11">
        <v>73</v>
      </c>
      <c r="H7998" t="s" s="10">
        <v>73</v>
      </c>
      <c r="I7998" t="s" s="11">
        <v>73</v>
      </c>
      <c r="J7998" t="s" s="11">
        <v>20</v>
      </c>
      <c r="K7998" s="15"/>
      <c r="L7998" t="s" s="16">
        <f>HYPERLINK("http://csr.bu.edu/ftp/asl/asllvd/demos/verify_start_end_handshape_annotations//test_auto_move//signs_mov_separ_signers/Brady_2099.mov","MOV")</f>
        <v>21</v>
      </c>
      <c r="M7998" t="s" s="10">
        <v>40</v>
      </c>
      <c r="N7998" s="17">
        <v>57</v>
      </c>
      <c r="O7998" s="18">
        <v>2840</v>
      </c>
      <c r="P7998" s="18">
        <v>2871</v>
      </c>
      <c r="Q7998" s="15"/>
      <c r="R7998" t="s" s="16">
        <f>HYPERLINK("http://secrets.rutgers.edu:8080/data/asl-ftp/asllvd/demos/verify_start_end_handshape_annotations//test_auto_move//signs_mov_separ_signers/Brady_2099.mov","MOV")</f>
        <v>21</v>
      </c>
    </row>
    <row r="7999" s="2" customFormat="1" ht="13.5" customHeight="1">
      <c r="B7999" t="s" s="8">
        <v>2857</v>
      </c>
      <c r="C7999" t="s" s="9">
        <v>14</v>
      </c>
      <c r="D7999" t="s" s="8">
        <v>14</v>
      </c>
      <c r="E7999" t="s" s="9">
        <v>14</v>
      </c>
      <c r="F7999" t="s" s="10">
        <v>14</v>
      </c>
      <c r="G7999" t="s" s="11">
        <v>14</v>
      </c>
      <c r="H7999" t="s" s="10">
        <v>14</v>
      </c>
      <c r="I7999" t="s" s="11">
        <v>14</v>
      </c>
      <c r="J7999" t="s" s="11">
        <v>14</v>
      </c>
      <c r="K7999" t="s" s="12">
        <v>14</v>
      </c>
      <c r="L7999" t="s" s="12">
        <v>14</v>
      </c>
      <c r="M7999" t="s" s="10">
        <v>14</v>
      </c>
      <c r="N7999" t="s" s="11">
        <v>14</v>
      </c>
      <c r="O7999" t="s" s="8">
        <v>14</v>
      </c>
      <c r="P7999" t="s" s="8">
        <v>14</v>
      </c>
      <c r="Q7999" t="s" s="12">
        <v>14</v>
      </c>
      <c r="R7999" t="s" s="12">
        <v>14</v>
      </c>
    </row>
    <row r="8000" s="2" customFormat="1" ht="13.5" customHeight="1">
      <c r="B8000" s="13"/>
      <c r="C8000" t="s" s="9">
        <v>16</v>
      </c>
      <c r="D8000" t="s" s="8">
        <v>2857</v>
      </c>
      <c r="E8000" t="s" s="9">
        <v>2857</v>
      </c>
      <c r="F8000" t="s" s="10">
        <v>251</v>
      </c>
      <c r="G8000" s="14"/>
      <c r="H8000" t="s" s="10">
        <v>251</v>
      </c>
      <c r="I8000" s="14"/>
      <c r="J8000" t="s" s="11">
        <v>20</v>
      </c>
      <c r="K8000" s="15"/>
      <c r="L8000" t="s" s="16">
        <f>HYPERLINK("http://csr.bu.edu/ftp/asl/asllvd/demos/verify_start_end_handshape_annotations//test_auto_move//signs_mov_separ_signers/Liz_2100.mov","MOV")</f>
        <v>21</v>
      </c>
      <c r="M8000" t="s" s="10">
        <v>36</v>
      </c>
      <c r="N8000" s="17">
        <v>13</v>
      </c>
      <c r="O8000" s="18">
        <v>40</v>
      </c>
      <c r="P8000" s="18">
        <v>70</v>
      </c>
      <c r="Q8000" s="15"/>
      <c r="R8000" t="s" s="16">
        <f>HYPERLINK("http://secrets.rutgers.edu:8080/data/asl-ftp/asllvd/demos/verify_start_end_handshape_annotations//test_auto_move//signs_mov_separ_signers/Liz_2100.mov","MOV")</f>
        <v>21</v>
      </c>
    </row>
    <row r="8001" s="2" customFormat="1" ht="13.5" customHeight="1">
      <c r="B8001" s="13"/>
      <c r="C8001" t="s" s="9">
        <v>30</v>
      </c>
      <c r="D8001" t="s" s="8">
        <v>2857</v>
      </c>
      <c r="E8001" t="s" s="9">
        <v>2857</v>
      </c>
      <c r="F8001" t="s" s="10">
        <v>251</v>
      </c>
      <c r="G8001" s="14"/>
      <c r="H8001" t="s" s="10">
        <v>251</v>
      </c>
      <c r="I8001" s="14"/>
      <c r="J8001" t="s" s="11">
        <v>20</v>
      </c>
      <c r="K8001" t="s" s="16">
        <f>HYPERLINK("http://csr.bu.edu/ftp/asl/asllvd/demos/verify_start_end_handshape_annotations//test_auto_move//signs_mov/2100.mov","MOV")</f>
        <v>21</v>
      </c>
      <c r="L8001" t="s" s="16">
        <f>HYPERLINK("http://csr.bu.edu/ftp/asl/asllvd/demos/verify_start_end_handshape_annotations//test_auto_move//signs_mov_separ_signers/Brady_2100.mov","MOV")</f>
        <v>21</v>
      </c>
      <c r="M8001" t="s" s="10">
        <v>40</v>
      </c>
      <c r="N8001" s="17">
        <v>58</v>
      </c>
      <c r="O8001" s="18">
        <v>140</v>
      </c>
      <c r="P8001" s="18">
        <v>169</v>
      </c>
      <c r="Q8001" t="s" s="16">
        <f>HYPERLINK("http://secrets.rutgers.edu:8080/data/asl-ftp/asllvd/demos/verify_start_end_handshape_annotations//test_auto_move//signs_mov/2100.mov","MOV")</f>
        <v>21</v>
      </c>
      <c r="R8001" t="s" s="16">
        <f>HYPERLINK("http://secrets.rutgers.edu:8080/data/asl-ftp/asllvd/demos/verify_start_end_handshape_annotations//test_auto_move//signs_mov_separ_signers/Brady_2100.mov","MOV")</f>
        <v>21</v>
      </c>
    </row>
    <row r="8002" s="2" customFormat="1" ht="13.5" customHeight="1">
      <c r="B8002" s="13"/>
      <c r="C8002" t="s" s="9">
        <v>41</v>
      </c>
      <c r="D8002" t="s" s="8">
        <v>2857</v>
      </c>
      <c r="E8002" t="s" s="9">
        <v>2857</v>
      </c>
      <c r="F8002" t="s" s="10">
        <v>251</v>
      </c>
      <c r="G8002" s="14"/>
      <c r="H8002" t="s" s="10">
        <v>251</v>
      </c>
      <c r="I8002" s="14"/>
      <c r="J8002" t="s" s="11">
        <v>20</v>
      </c>
      <c r="K8002" s="15"/>
      <c r="L8002" t="s" s="16">
        <f>HYPERLINK("http://csr.bu.edu/ftp/asl/asllvd/demos/verify_start_end_handshape_annotations//test_auto_move//signs_mov_separ_signers/Lana_2100.mov","MOV")</f>
        <v>21</v>
      </c>
      <c r="M8002" t="s" s="10">
        <v>42</v>
      </c>
      <c r="N8002" s="17">
        <v>22</v>
      </c>
      <c r="O8002" s="18">
        <v>983</v>
      </c>
      <c r="P8002" s="18">
        <v>1016</v>
      </c>
      <c r="Q8002" s="15"/>
      <c r="R8002" t="s" s="16">
        <f>HYPERLINK("http://secrets.rutgers.edu:8080/data/asl-ftp/asllvd/demos/verify_start_end_handshape_annotations//test_auto_move//signs_mov_separ_signers/Lana_2100.mov","MOV")</f>
        <v>21</v>
      </c>
    </row>
    <row r="8003" s="2" customFormat="1" ht="13.5" customHeight="1">
      <c r="B8003" s="13"/>
      <c r="C8003" t="s" s="9">
        <v>43</v>
      </c>
      <c r="D8003" t="s" s="8">
        <v>2857</v>
      </c>
      <c r="E8003" t="s" s="9">
        <v>2857</v>
      </c>
      <c r="F8003" t="s" s="10">
        <v>251</v>
      </c>
      <c r="G8003" s="14"/>
      <c r="H8003" t="s" s="10">
        <v>251</v>
      </c>
      <c r="I8003" s="14"/>
      <c r="J8003" t="s" s="11">
        <v>20</v>
      </c>
      <c r="K8003" s="15"/>
      <c r="L8003" t="s" s="16">
        <f>HYPERLINK("http://csr.bu.edu/ftp/asl/asllvd/demos/verify_start_end_handshape_annotations//test_auto_move//signs_mov_separ_signers/Dana_2100.mov","MOV")</f>
        <v>21</v>
      </c>
      <c r="M8003" t="s" s="10">
        <v>44</v>
      </c>
      <c r="N8003" s="17">
        <v>25</v>
      </c>
      <c r="O8003" s="18">
        <v>902</v>
      </c>
      <c r="P8003" s="18">
        <v>943</v>
      </c>
      <c r="Q8003" s="15"/>
      <c r="R8003" t="s" s="16">
        <f>HYPERLINK("http://secrets.rutgers.edu:8080/data/asl-ftp/asllvd/demos/verify_start_end_handshape_annotations//test_auto_move//signs_mov_separ_signers/Dana_2100.mov","MOV")</f>
        <v>21</v>
      </c>
    </row>
    <row r="8004" s="2" customFormat="1" ht="13.5" customHeight="1">
      <c r="B8004" t="s" s="8">
        <v>2858</v>
      </c>
      <c r="C8004" t="s" s="9">
        <v>14</v>
      </c>
      <c r="D8004" t="s" s="8">
        <v>14</v>
      </c>
      <c r="E8004" t="s" s="9">
        <v>14</v>
      </c>
      <c r="F8004" t="s" s="10">
        <v>14</v>
      </c>
      <c r="G8004" t="s" s="11">
        <v>14</v>
      </c>
      <c r="H8004" t="s" s="10">
        <v>14</v>
      </c>
      <c r="I8004" t="s" s="11">
        <v>14</v>
      </c>
      <c r="J8004" t="s" s="11">
        <v>14</v>
      </c>
      <c r="K8004" t="s" s="12">
        <v>14</v>
      </c>
      <c r="L8004" t="s" s="12">
        <v>14</v>
      </c>
      <c r="M8004" t="s" s="10">
        <v>14</v>
      </c>
      <c r="N8004" t="s" s="11">
        <v>14</v>
      </c>
      <c r="O8004" t="s" s="8">
        <v>14</v>
      </c>
      <c r="P8004" t="s" s="8">
        <v>14</v>
      </c>
      <c r="Q8004" t="s" s="12">
        <v>14</v>
      </c>
      <c r="R8004" t="s" s="12">
        <v>14</v>
      </c>
    </row>
    <row r="8005" s="2" customFormat="1" ht="13.5" customHeight="1">
      <c r="B8005" s="13"/>
      <c r="C8005" t="s" s="9">
        <v>16</v>
      </c>
      <c r="D8005" t="s" s="8">
        <v>2858</v>
      </c>
      <c r="E8005" t="s" s="9">
        <v>2858</v>
      </c>
      <c r="F8005" t="s" s="10">
        <v>185</v>
      </c>
      <c r="G8005" s="14"/>
      <c r="H8005" t="s" s="10">
        <v>185</v>
      </c>
      <c r="I8005" s="14"/>
      <c r="J8005" t="s" s="11">
        <v>20</v>
      </c>
      <c r="K8005" s="15"/>
      <c r="L8005" t="s" s="16">
        <f>HYPERLINK("http://csr.bu.edu/ftp/asl/asllvd/demos/verify_start_end_handshape_annotations//test_auto_move//signs_mov_separ_signers/Liz_16191.mov","MOV")</f>
        <v>21</v>
      </c>
      <c r="M8005" t="s" s="10">
        <v>22</v>
      </c>
      <c r="N8005" s="17">
        <v>61</v>
      </c>
      <c r="O8005" s="18">
        <v>1410</v>
      </c>
      <c r="P8005" s="18">
        <v>1441</v>
      </c>
      <c r="Q8005" s="15"/>
      <c r="R8005" t="s" s="16">
        <f>HYPERLINK("http://secrets.rutgers.edu:8080/data/asl-ftp/asllvd/demos/verify_start_end_handshape_annotations//test_auto_move//signs_mov_separ_signers/Liz_16191.mov","MOV")</f>
        <v>21</v>
      </c>
    </row>
    <row r="8006" s="2" customFormat="1" ht="13.5" customHeight="1">
      <c r="B8006" s="13"/>
      <c r="C8006" t="s" s="9">
        <v>23</v>
      </c>
      <c r="D8006" t="s" s="8">
        <v>2858</v>
      </c>
      <c r="E8006" t="s" s="9">
        <v>2858</v>
      </c>
      <c r="F8006" t="s" s="10">
        <v>185</v>
      </c>
      <c r="G8006" s="14"/>
      <c r="H8006" t="s" s="10">
        <v>185</v>
      </c>
      <c r="I8006" s="14"/>
      <c r="J8006" t="s" s="11">
        <v>20</v>
      </c>
      <c r="K8006" t="s" s="16">
        <f>HYPERLINK("http://csr.bu.edu/ftp/asl/asllvd/demos/verify_start_end_handshape_annotations//test_auto_move//signs_mov/16191.mov","MOV")</f>
        <v>21</v>
      </c>
      <c r="L8006" t="s" s="16">
        <f>HYPERLINK("http://csr.bu.edu/ftp/asl/asllvd/demos/verify_start_end_handshape_annotations//test_auto_move//signs_mov_separ_signers/Tyler_16191.mov","MOV")</f>
        <v>21</v>
      </c>
      <c r="M8006" t="s" s="10">
        <v>26</v>
      </c>
      <c r="N8006" s="17">
        <v>38</v>
      </c>
      <c r="O8006" s="18">
        <v>822</v>
      </c>
      <c r="P8006" s="18">
        <v>850</v>
      </c>
      <c r="Q8006" t="s" s="16">
        <f>HYPERLINK("http://secrets.rutgers.edu:8080/data/asl-ftp/asllvd/demos/verify_start_end_handshape_annotations//test_auto_move//signs_mov/16191.mov","MOV")</f>
        <v>21</v>
      </c>
      <c r="R8006" t="s" s="16">
        <f>HYPERLINK("http://secrets.rutgers.edu:8080/data/asl-ftp/asllvd/demos/verify_start_end_handshape_annotations//test_auto_move//signs_mov_separ_signers/Tyler_16191.mov","MOV")</f>
        <v>21</v>
      </c>
    </row>
    <row r="8007" s="2" customFormat="1" ht="13.5" customHeight="1">
      <c r="B8007" s="13"/>
      <c r="C8007" t="s" s="9">
        <v>27</v>
      </c>
      <c r="D8007" t="s" s="8">
        <v>2858</v>
      </c>
      <c r="E8007" t="s" s="9">
        <v>2858</v>
      </c>
      <c r="F8007" t="s" s="10">
        <v>185</v>
      </c>
      <c r="G8007" s="14"/>
      <c r="H8007" t="s" s="10">
        <v>185</v>
      </c>
      <c r="I8007" s="14"/>
      <c r="J8007" t="s" s="11">
        <v>20</v>
      </c>
      <c r="K8007" s="15"/>
      <c r="L8007" t="s" s="16">
        <f>HYPERLINK("http://csr.bu.edu/ftp/asl/asllvd/demos/verify_start_end_handshape_annotations//test_auto_move//signs_mov_separ_signers/Naomi_16191.mov","MOV")</f>
        <v>21</v>
      </c>
      <c r="M8007" t="s" s="10">
        <v>29</v>
      </c>
      <c r="N8007" s="17">
        <v>39</v>
      </c>
      <c r="O8007" s="18">
        <v>2032</v>
      </c>
      <c r="P8007" s="18">
        <v>2065</v>
      </c>
      <c r="Q8007" s="15"/>
      <c r="R8007" t="s" s="16">
        <f>HYPERLINK("http://secrets.rutgers.edu:8080/data/asl-ftp/asllvd/demos/verify_start_end_handshape_annotations//test_auto_move//signs_mov_separ_signers/Naomi_16191.mov","MOV")</f>
        <v>21</v>
      </c>
    </row>
    <row r="8008" s="2" customFormat="1" ht="13.5" customHeight="1">
      <c r="B8008" s="13"/>
      <c r="C8008" t="s" s="9">
        <v>30</v>
      </c>
      <c r="D8008" t="s" s="8">
        <v>2858</v>
      </c>
      <c r="E8008" t="s" s="9">
        <v>2858</v>
      </c>
      <c r="F8008" t="s" s="10">
        <v>185</v>
      </c>
      <c r="G8008" s="14"/>
      <c r="H8008" t="s" s="10">
        <v>185</v>
      </c>
      <c r="I8008" s="14"/>
      <c r="J8008" t="s" s="11">
        <v>20</v>
      </c>
      <c r="K8008" s="15"/>
      <c r="L8008" t="s" s="16">
        <f>HYPERLINK("http://csr.bu.edu/ftp/asl/asllvd/demos/verify_start_end_handshape_annotations//test_auto_move//signs_mov_separ_signers/Brady_16191.mov","MOV")</f>
        <v>21</v>
      </c>
      <c r="M8008" t="s" s="10">
        <v>31</v>
      </c>
      <c r="N8008" s="17">
        <v>24</v>
      </c>
      <c r="O8008" s="18">
        <v>12188</v>
      </c>
      <c r="P8008" s="18">
        <v>12208</v>
      </c>
      <c r="Q8008" s="15"/>
      <c r="R8008" t="s" s="16">
        <f>HYPERLINK("http://secrets.rutgers.edu:8080/data/asl-ftp/asllvd/demos/verify_start_end_handshape_annotations//test_auto_move//signs_mov_separ_signers/Brady_16191.mov","MOV")</f>
        <v>21</v>
      </c>
    </row>
    <row r="8009" s="2" customFormat="1" ht="13.5" customHeight="1">
      <c r="B8009" t="s" s="8">
        <v>2859</v>
      </c>
      <c r="C8009" t="s" s="9">
        <v>14</v>
      </c>
      <c r="D8009" t="s" s="8">
        <v>14</v>
      </c>
      <c r="E8009" t="s" s="9">
        <v>14</v>
      </c>
      <c r="F8009" t="s" s="10">
        <v>14</v>
      </c>
      <c r="G8009" t="s" s="11">
        <v>14</v>
      </c>
      <c r="H8009" t="s" s="10">
        <v>14</v>
      </c>
      <c r="I8009" t="s" s="11">
        <v>14</v>
      </c>
      <c r="J8009" t="s" s="11">
        <v>14</v>
      </c>
      <c r="K8009" t="s" s="12">
        <v>14</v>
      </c>
      <c r="L8009" t="s" s="12">
        <v>14</v>
      </c>
      <c r="M8009" t="s" s="10">
        <v>14</v>
      </c>
      <c r="N8009" t="s" s="11">
        <v>14</v>
      </c>
      <c r="O8009" t="s" s="8">
        <v>14</v>
      </c>
      <c r="P8009" t="s" s="8">
        <v>14</v>
      </c>
      <c r="Q8009" t="s" s="12">
        <v>14</v>
      </c>
      <c r="R8009" t="s" s="12">
        <v>14</v>
      </c>
    </row>
    <row r="8010" s="2" customFormat="1" ht="13.5" customHeight="1">
      <c r="B8010" s="13"/>
      <c r="C8010" t="s" s="9">
        <v>16</v>
      </c>
      <c r="D8010" t="s" s="8">
        <v>2859</v>
      </c>
      <c r="E8010" t="s" s="9">
        <v>2859</v>
      </c>
      <c r="F8010" t="s" s="10">
        <v>28</v>
      </c>
      <c r="G8010" t="s" s="11">
        <v>28</v>
      </c>
      <c r="H8010" t="s" s="10">
        <v>28</v>
      </c>
      <c r="I8010" t="s" s="11">
        <v>28</v>
      </c>
      <c r="J8010" t="s" s="11">
        <v>20</v>
      </c>
      <c r="K8010" t="s" s="16">
        <f>HYPERLINK("http://csr.bu.edu/ftp/asl/asllvd/demos/verify_start_end_handshape_annotations//test_auto_move//signs_mov/2111.mov","MOV")</f>
        <v>21</v>
      </c>
      <c r="L8010" t="s" s="16">
        <f>HYPERLINK("http://csr.bu.edu/ftp/asl/asllvd/demos/verify_start_end_handshape_annotations//test_auto_move//signs_mov_separ_signers/Liz_2111.mov","MOV")</f>
        <v>21</v>
      </c>
      <c r="M8010" t="s" s="10">
        <v>36</v>
      </c>
      <c r="N8010" s="17">
        <v>14</v>
      </c>
      <c r="O8010" s="18">
        <v>582</v>
      </c>
      <c r="P8010" s="18">
        <v>612</v>
      </c>
      <c r="Q8010" t="s" s="16">
        <f>HYPERLINK("http://secrets.rutgers.edu:8080/data/asl-ftp/asllvd/demos/verify_start_end_handshape_annotations//test_auto_move//signs_mov/2111.mov","MOV")</f>
        <v>21</v>
      </c>
      <c r="R8010" t="s" s="16">
        <f>HYPERLINK("http://secrets.rutgers.edu:8080/data/asl-ftp/asllvd/demos/verify_start_end_handshape_annotations//test_auto_move//signs_mov_separ_signers/Liz_2111.mov","MOV")</f>
        <v>21</v>
      </c>
    </row>
    <row r="8011" s="2" customFormat="1" ht="13.5" customHeight="1">
      <c r="B8011" s="13"/>
      <c r="C8011" t="s" s="9">
        <v>30</v>
      </c>
      <c r="D8011" t="s" s="8">
        <v>2859</v>
      </c>
      <c r="E8011" t="s" s="9">
        <v>2859</v>
      </c>
      <c r="F8011" t="s" s="10">
        <v>28</v>
      </c>
      <c r="G8011" t="s" s="11">
        <v>28</v>
      </c>
      <c r="H8011" t="s" s="10">
        <v>28</v>
      </c>
      <c r="I8011" t="s" s="11">
        <v>28</v>
      </c>
      <c r="J8011" t="s" s="11">
        <v>20</v>
      </c>
      <c r="K8011" s="15"/>
      <c r="L8011" t="s" s="16">
        <f>HYPERLINK("http://csr.bu.edu/ftp/asl/asllvd/demos/verify_start_end_handshape_annotations//test_auto_move//signs_mov_separ_signers/Brady_2111.mov","MOV")</f>
        <v>21</v>
      </c>
      <c r="M8011" t="s" s="10">
        <v>40</v>
      </c>
      <c r="N8011" s="17">
        <v>59</v>
      </c>
      <c r="O8011" s="18">
        <v>416</v>
      </c>
      <c r="P8011" s="18">
        <v>439</v>
      </c>
      <c r="Q8011" s="15"/>
      <c r="R8011" t="s" s="16">
        <f>HYPERLINK("http://secrets.rutgers.edu:8080/data/asl-ftp/asllvd/demos/verify_start_end_handshape_annotations//test_auto_move//signs_mov_separ_signers/Brady_2111.mov","MOV")</f>
        <v>21</v>
      </c>
    </row>
    <row r="8012" s="2" customFormat="1" ht="13.5" customHeight="1">
      <c r="B8012" t="s" s="8">
        <v>2860</v>
      </c>
      <c r="C8012" t="s" s="9">
        <v>14</v>
      </c>
      <c r="D8012" t="s" s="8">
        <v>14</v>
      </c>
      <c r="E8012" t="s" s="9">
        <v>14</v>
      </c>
      <c r="F8012" t="s" s="10">
        <v>14</v>
      </c>
      <c r="G8012" t="s" s="11">
        <v>14</v>
      </c>
      <c r="H8012" t="s" s="10">
        <v>14</v>
      </c>
      <c r="I8012" t="s" s="11">
        <v>14</v>
      </c>
      <c r="J8012" t="s" s="11">
        <v>14</v>
      </c>
      <c r="K8012" t="s" s="12">
        <v>14</v>
      </c>
      <c r="L8012" t="s" s="12">
        <v>14</v>
      </c>
      <c r="M8012" t="s" s="10">
        <v>14</v>
      </c>
      <c r="N8012" t="s" s="11">
        <v>14</v>
      </c>
      <c r="O8012" t="s" s="8">
        <v>14</v>
      </c>
      <c r="P8012" t="s" s="8">
        <v>14</v>
      </c>
      <c r="Q8012" t="s" s="12">
        <v>14</v>
      </c>
      <c r="R8012" t="s" s="12">
        <v>14</v>
      </c>
    </row>
    <row r="8013" s="2" customFormat="1" ht="13.5" customHeight="1">
      <c r="B8013" s="13"/>
      <c r="C8013" t="s" s="9">
        <v>16</v>
      </c>
      <c r="D8013" t="s" s="8">
        <v>2860</v>
      </c>
      <c r="E8013" t="s" s="9">
        <v>2860</v>
      </c>
      <c r="F8013" t="s" s="10">
        <v>2861</v>
      </c>
      <c r="G8013" t="s" s="11">
        <v>73</v>
      </c>
      <c r="H8013" t="s" s="10">
        <v>2861</v>
      </c>
      <c r="I8013" t="s" s="11">
        <v>73</v>
      </c>
      <c r="J8013" t="s" s="11">
        <v>20</v>
      </c>
      <c r="K8013" t="s" s="16">
        <f>HYPERLINK("http://csr.bu.edu/ftp/asl/asllvd/demos/verify_start_end_handshape_annotations//test_auto_move//signs_mov/2112.mov","MOV")</f>
        <v>21</v>
      </c>
      <c r="L8013" t="s" s="16">
        <f>HYPERLINK("http://csr.bu.edu/ftp/asl/asllvd/demos/verify_start_end_handshape_annotations//test_auto_move//signs_mov_separ_signers/Liz_2112.mov","MOV")</f>
        <v>21</v>
      </c>
      <c r="M8013" t="s" s="10">
        <v>36</v>
      </c>
      <c r="N8013" s="17">
        <v>14</v>
      </c>
      <c r="O8013" s="18">
        <v>920</v>
      </c>
      <c r="P8013" s="18">
        <v>955</v>
      </c>
      <c r="Q8013" t="s" s="16">
        <f>HYPERLINK("http://secrets.rutgers.edu:8080/data/asl-ftp/asllvd/demos/verify_start_end_handshape_annotations//test_auto_move//signs_mov/2112.mov","MOV")</f>
        <v>21</v>
      </c>
      <c r="R8013" t="s" s="16">
        <f>HYPERLINK("http://secrets.rutgers.edu:8080/data/asl-ftp/asllvd/demos/verify_start_end_handshape_annotations//test_auto_move//signs_mov_separ_signers/Liz_2112.mov","MOV")</f>
        <v>21</v>
      </c>
    </row>
    <row r="8014" s="2" customFormat="1" ht="13.5" customHeight="1">
      <c r="B8014" t="s" s="8">
        <v>52</v>
      </c>
      <c r="C8014" t="s" s="9">
        <v>53</v>
      </c>
      <c r="D8014" t="s" s="8">
        <v>53</v>
      </c>
      <c r="E8014" t="s" s="9">
        <v>53</v>
      </c>
      <c r="F8014" t="s" s="10">
        <v>53</v>
      </c>
      <c r="G8014" t="s" s="11">
        <v>53</v>
      </c>
      <c r="H8014" t="s" s="10">
        <v>53</v>
      </c>
      <c r="I8014" t="s" s="11">
        <v>53</v>
      </c>
      <c r="J8014" t="s" s="11">
        <v>53</v>
      </c>
      <c r="K8014" t="s" s="12">
        <v>53</v>
      </c>
      <c r="L8014" t="s" s="12">
        <v>53</v>
      </c>
      <c r="M8014" t="s" s="10">
        <v>53</v>
      </c>
      <c r="N8014" t="s" s="11">
        <v>53</v>
      </c>
      <c r="O8014" t="s" s="8">
        <v>53</v>
      </c>
      <c r="P8014" t="s" s="8">
        <v>53</v>
      </c>
      <c r="Q8014" t="s" s="12">
        <v>53</v>
      </c>
      <c r="R8014" t="s" s="12">
        <v>53</v>
      </c>
    </row>
    <row r="8015" s="2" customFormat="1" ht="13.5" customHeight="1">
      <c r="B8015" s="13"/>
      <c r="C8015" t="s" s="9">
        <v>30</v>
      </c>
      <c r="D8015" t="s" s="8">
        <v>2860</v>
      </c>
      <c r="E8015" t="s" s="9">
        <v>2862</v>
      </c>
      <c r="F8015" t="s" s="10">
        <v>25</v>
      </c>
      <c r="G8015" t="s" s="11">
        <v>73</v>
      </c>
      <c r="H8015" t="s" s="10">
        <v>25</v>
      </c>
      <c r="I8015" t="s" s="11">
        <v>73</v>
      </c>
      <c r="J8015" t="s" s="11">
        <v>20</v>
      </c>
      <c r="K8015" t="s" s="16">
        <f>HYPERLINK("http://csr.bu.edu/ftp/asl/asllvd/demos/verify_start_end_handshape_annotations//test_auto_move//signs_mov/16290.mov","MOV")</f>
        <v>21</v>
      </c>
      <c r="L8015" t="s" s="16">
        <f>HYPERLINK("http://csr.bu.edu/ftp/asl/asllvd/demos/verify_start_end_handshape_annotations//test_auto_move//signs_mov_separ_signers/Brady_16290.mov","MOV")</f>
        <v>21</v>
      </c>
      <c r="M8015" t="s" s="10">
        <v>40</v>
      </c>
      <c r="N8015" s="17">
        <v>59</v>
      </c>
      <c r="O8015" s="18">
        <v>645</v>
      </c>
      <c r="P8015" s="18">
        <v>665</v>
      </c>
      <c r="Q8015" t="s" s="16">
        <f>HYPERLINK("http://secrets.rutgers.edu:8080/data/asl-ftp/asllvd/demos/verify_start_end_handshape_annotations//test_auto_move//signs_mov/16290.mov","MOV")</f>
        <v>21</v>
      </c>
      <c r="R8015" t="s" s="16">
        <f>HYPERLINK("http://secrets.rutgers.edu:8080/data/asl-ftp/asllvd/demos/verify_start_end_handshape_annotations//test_auto_move//signs_mov_separ_signers/Brady_16290.mov","MOV")</f>
        <v>21</v>
      </c>
    </row>
    <row r="8016" s="2" customFormat="1" ht="13.5" customHeight="1">
      <c r="B8016" t="s" s="8">
        <v>2863</v>
      </c>
      <c r="C8016" t="s" s="9">
        <v>14</v>
      </c>
      <c r="D8016" t="s" s="8">
        <v>14</v>
      </c>
      <c r="E8016" t="s" s="9">
        <v>14</v>
      </c>
      <c r="F8016" t="s" s="10">
        <v>14</v>
      </c>
      <c r="G8016" t="s" s="11">
        <v>14</v>
      </c>
      <c r="H8016" t="s" s="10">
        <v>14</v>
      </c>
      <c r="I8016" t="s" s="11">
        <v>14</v>
      </c>
      <c r="J8016" t="s" s="11">
        <v>14</v>
      </c>
      <c r="K8016" t="s" s="12">
        <v>14</v>
      </c>
      <c r="L8016" t="s" s="12">
        <v>14</v>
      </c>
      <c r="M8016" t="s" s="10">
        <v>14</v>
      </c>
      <c r="N8016" t="s" s="11">
        <v>14</v>
      </c>
      <c r="O8016" t="s" s="8">
        <v>14</v>
      </c>
      <c r="P8016" t="s" s="8">
        <v>14</v>
      </c>
      <c r="Q8016" t="s" s="12">
        <v>14</v>
      </c>
      <c r="R8016" t="s" s="12">
        <v>14</v>
      </c>
    </row>
    <row r="8017" s="2" customFormat="1" ht="13.5" customHeight="1">
      <c r="B8017" s="13"/>
      <c r="C8017" t="s" s="9">
        <v>16</v>
      </c>
      <c r="D8017" t="s" s="8">
        <v>2863</v>
      </c>
      <c r="E8017" t="s" s="9">
        <v>2863</v>
      </c>
      <c r="F8017" s="19">
        <v>4</v>
      </c>
      <c r="G8017" s="17">
        <v>4</v>
      </c>
      <c r="H8017" s="19">
        <v>4</v>
      </c>
      <c r="I8017" s="17">
        <v>4</v>
      </c>
      <c r="J8017" t="s" s="11">
        <v>20</v>
      </c>
      <c r="K8017" s="15"/>
      <c r="L8017" t="s" s="16">
        <f>HYPERLINK("http://csr.bu.edu/ftp/asl/asllvd/demos/verify_start_end_handshape_annotations//test_auto_move//signs_mov_separ_signers/Liz_2117.mov","MOV")</f>
        <v>21</v>
      </c>
      <c r="M8017" t="s" s="10">
        <v>36</v>
      </c>
      <c r="N8017" s="17">
        <v>14</v>
      </c>
      <c r="O8017" s="18">
        <v>2502</v>
      </c>
      <c r="P8017" s="18">
        <v>2560</v>
      </c>
      <c r="Q8017" s="15"/>
      <c r="R8017" t="s" s="16">
        <f>HYPERLINK("http://secrets.rutgers.edu:8080/data/asl-ftp/asllvd/demos/verify_start_end_handshape_annotations//test_auto_move//signs_mov_separ_signers/Liz_2117.mov","MOV")</f>
        <v>21</v>
      </c>
    </row>
    <row r="8018" s="2" customFormat="1" ht="13.5" customHeight="1">
      <c r="B8018" s="13"/>
      <c r="C8018" t="s" s="9">
        <v>30</v>
      </c>
      <c r="D8018" t="s" s="8">
        <v>2863</v>
      </c>
      <c r="E8018" t="s" s="9">
        <v>2863</v>
      </c>
      <c r="F8018" s="19">
        <v>4</v>
      </c>
      <c r="G8018" s="17">
        <v>4</v>
      </c>
      <c r="H8018" s="19">
        <v>4</v>
      </c>
      <c r="I8018" s="17">
        <v>4</v>
      </c>
      <c r="J8018" t="s" s="11">
        <v>20</v>
      </c>
      <c r="K8018" t="s" s="16">
        <f>HYPERLINK("http://csr.bu.edu/ftp/asl/asllvd/demos/verify_start_end_handshape_annotations//test_auto_move//signs_mov/2117_5356_merged.mov","MOV")</f>
        <v>21</v>
      </c>
      <c r="L8018" t="s" s="16">
        <f>HYPERLINK("http://csr.bu.edu/ftp/asl/asllvd/demos/verify_start_end_handshape_annotations//test_auto_move//signs_mov_separ_signers/Brady_2117.mov","MOV")</f>
        <v>21</v>
      </c>
      <c r="M8018" t="s" s="10">
        <v>40</v>
      </c>
      <c r="N8018" s="17">
        <v>59</v>
      </c>
      <c r="O8018" s="18">
        <v>2606</v>
      </c>
      <c r="P8018" s="18">
        <v>2635</v>
      </c>
      <c r="Q8018" t="s" s="16">
        <f>HYPERLINK("http://secrets.rutgers.edu:8080/data/asl-ftp/asllvd/demos/verify_start_end_handshape_annotations//test_auto_move//signs_mov/2117_5356_merged.mov","MOV")</f>
        <v>21</v>
      </c>
      <c r="R8018" t="s" s="16">
        <f>HYPERLINK("http://secrets.rutgers.edu:8080/data/asl-ftp/asllvd/demos/verify_start_end_handshape_annotations//test_auto_move//signs_mov_separ_signers/Brady_2117.mov","MOV")</f>
        <v>21</v>
      </c>
    </row>
    <row r="8019" s="2" customFormat="1" ht="13.5" customHeight="1">
      <c r="B8019" s="13"/>
      <c r="C8019" t="s" s="9">
        <v>30</v>
      </c>
      <c r="D8019" t="s" s="8">
        <v>2863</v>
      </c>
      <c r="E8019" t="s" s="9">
        <v>2863</v>
      </c>
      <c r="F8019" s="19">
        <v>4</v>
      </c>
      <c r="G8019" s="17">
        <v>4</v>
      </c>
      <c r="H8019" s="19">
        <v>4</v>
      </c>
      <c r="I8019" s="17">
        <v>4</v>
      </c>
      <c r="J8019" t="s" s="11">
        <v>20</v>
      </c>
      <c r="K8019" s="15"/>
      <c r="L8019" t="s" s="16">
        <f>HYPERLINK("http://csr.bu.edu/ftp/asl/asllvd/demos/verify_start_end_handshape_annotations//test_auto_move//signs_mov_separ_signers/Brady_5356.mov","MOV")</f>
        <v>21</v>
      </c>
      <c r="M8019" t="s" s="10">
        <v>40</v>
      </c>
      <c r="N8019" s="17">
        <v>59</v>
      </c>
      <c r="O8019" s="18">
        <v>3856</v>
      </c>
      <c r="P8019" s="18">
        <v>3889</v>
      </c>
      <c r="Q8019" s="15"/>
      <c r="R8019" t="s" s="16">
        <f>HYPERLINK("http://secrets.rutgers.edu:8080/data/asl-ftp/asllvd/demos/verify_start_end_handshape_annotations//test_auto_move//signs_mov_separ_signers/Brady_5356.mov","MOV")</f>
        <v>21</v>
      </c>
    </row>
    <row r="8020" s="2" customFormat="1" ht="13.5" customHeight="1">
      <c r="B8020" t="s" s="8">
        <v>2864</v>
      </c>
      <c r="C8020" t="s" s="9">
        <v>14</v>
      </c>
      <c r="D8020" t="s" s="8">
        <v>14</v>
      </c>
      <c r="E8020" t="s" s="9">
        <v>14</v>
      </c>
      <c r="F8020" t="s" s="10">
        <v>14</v>
      </c>
      <c r="G8020" t="s" s="11">
        <v>14</v>
      </c>
      <c r="H8020" t="s" s="10">
        <v>14</v>
      </c>
      <c r="I8020" t="s" s="11">
        <v>14</v>
      </c>
      <c r="J8020" t="s" s="11">
        <v>14</v>
      </c>
      <c r="K8020" t="s" s="12">
        <v>14</v>
      </c>
      <c r="L8020" t="s" s="12">
        <v>14</v>
      </c>
      <c r="M8020" t="s" s="10">
        <v>14</v>
      </c>
      <c r="N8020" t="s" s="11">
        <v>14</v>
      </c>
      <c r="O8020" t="s" s="8">
        <v>14</v>
      </c>
      <c r="P8020" t="s" s="8">
        <v>14</v>
      </c>
      <c r="Q8020" t="s" s="12">
        <v>14</v>
      </c>
      <c r="R8020" t="s" s="12">
        <v>14</v>
      </c>
    </row>
    <row r="8021" s="2" customFormat="1" ht="13.5" customHeight="1">
      <c r="B8021" s="13"/>
      <c r="C8021" t="s" s="9">
        <v>16</v>
      </c>
      <c r="D8021" t="s" s="8">
        <v>2864</v>
      </c>
      <c r="E8021" t="s" s="9">
        <v>2864</v>
      </c>
      <c r="F8021" t="s" s="10">
        <v>18</v>
      </c>
      <c r="G8021" s="14"/>
      <c r="H8021" t="s" s="10">
        <v>18</v>
      </c>
      <c r="I8021" s="14"/>
      <c r="J8021" t="s" s="11">
        <v>20</v>
      </c>
      <c r="K8021" t="s" s="16">
        <f>HYPERLINK("http://csr.bu.edu/ftp/asl/asllvd/demos/verify_start_end_handshape_annotations//test_auto_move//signs_mov/5900.mov","MOV")</f>
        <v>21</v>
      </c>
      <c r="L8021" t="s" s="16">
        <f>HYPERLINK("http://csr.bu.edu/ftp/asl/asllvd/demos/verify_start_end_handshape_annotations//test_auto_move//signs_mov_separ_signers/Liz_5900.mov","MOV")</f>
        <v>21</v>
      </c>
      <c r="M8021" t="s" s="10">
        <v>36</v>
      </c>
      <c r="N8021" s="17">
        <v>14</v>
      </c>
      <c r="O8021" s="18">
        <v>1797</v>
      </c>
      <c r="P8021" s="18">
        <v>1860</v>
      </c>
      <c r="Q8021" t="s" s="16">
        <f>HYPERLINK("http://secrets.rutgers.edu:8080/data/asl-ftp/asllvd/demos/verify_start_end_handshape_annotations//test_auto_move//signs_mov/5900.mov","MOV")</f>
        <v>21</v>
      </c>
      <c r="R8021" t="s" s="16">
        <f>HYPERLINK("http://secrets.rutgers.edu:8080/data/asl-ftp/asllvd/demos/verify_start_end_handshape_annotations//test_auto_move//signs_mov_separ_signers/Liz_5900.mov","MOV")</f>
        <v>21</v>
      </c>
    </row>
    <row r="8022" s="2" customFormat="1" ht="13.5" customHeight="1">
      <c r="B8022" s="13"/>
      <c r="C8022" t="s" s="9">
        <v>30</v>
      </c>
      <c r="D8022" t="s" s="8">
        <v>2864</v>
      </c>
      <c r="E8022" t="s" s="9">
        <v>2864</v>
      </c>
      <c r="F8022" t="s" s="10">
        <v>18</v>
      </c>
      <c r="G8022" s="14"/>
      <c r="H8022" t="s" s="10">
        <v>18</v>
      </c>
      <c r="I8022" s="14"/>
      <c r="J8022" t="s" s="11">
        <v>20</v>
      </c>
      <c r="K8022" s="15"/>
      <c r="L8022" t="s" s="16">
        <f>HYPERLINK("http://csr.bu.edu/ftp/asl/asllvd/demos/verify_start_end_handshape_annotations//test_auto_move//signs_mov_separ_signers/Brady_5900.mov","MOV")</f>
        <v>21</v>
      </c>
      <c r="M8022" t="s" s="10">
        <v>40</v>
      </c>
      <c r="N8022" s="17">
        <v>59</v>
      </c>
      <c r="O8022" s="18">
        <v>2220</v>
      </c>
      <c r="P8022" s="18">
        <v>2282</v>
      </c>
      <c r="Q8022" s="15"/>
      <c r="R8022" t="s" s="16">
        <f>HYPERLINK("http://secrets.rutgers.edu:8080/data/asl-ftp/asllvd/demos/verify_start_end_handshape_annotations//test_auto_move//signs_mov_separ_signers/Brady_5900.mov","MOV")</f>
        <v>21</v>
      </c>
    </row>
    <row r="8023" s="2" customFormat="1" ht="13.5" customHeight="1">
      <c r="B8023" t="s" s="8">
        <v>2865</v>
      </c>
      <c r="C8023" t="s" s="9">
        <v>14</v>
      </c>
      <c r="D8023" t="s" s="8">
        <v>14</v>
      </c>
      <c r="E8023" t="s" s="9">
        <v>14</v>
      </c>
      <c r="F8023" t="s" s="10">
        <v>14</v>
      </c>
      <c r="G8023" t="s" s="11">
        <v>14</v>
      </c>
      <c r="H8023" t="s" s="10">
        <v>14</v>
      </c>
      <c r="I8023" t="s" s="11">
        <v>14</v>
      </c>
      <c r="J8023" t="s" s="11">
        <v>14</v>
      </c>
      <c r="K8023" t="s" s="12">
        <v>14</v>
      </c>
      <c r="L8023" t="s" s="12">
        <v>14</v>
      </c>
      <c r="M8023" t="s" s="10">
        <v>14</v>
      </c>
      <c r="N8023" t="s" s="11">
        <v>14</v>
      </c>
      <c r="O8023" t="s" s="8">
        <v>14</v>
      </c>
      <c r="P8023" t="s" s="8">
        <v>14</v>
      </c>
      <c r="Q8023" t="s" s="12">
        <v>14</v>
      </c>
      <c r="R8023" t="s" s="12">
        <v>14</v>
      </c>
    </row>
    <row r="8024" s="2" customFormat="1" ht="13.5" customHeight="1">
      <c r="B8024" s="13"/>
      <c r="C8024" t="s" s="9">
        <v>16</v>
      </c>
      <c r="D8024" t="s" s="8">
        <v>2865</v>
      </c>
      <c r="E8024" t="s" s="9">
        <v>2865</v>
      </c>
      <c r="F8024" t="s" s="10">
        <v>68</v>
      </c>
      <c r="G8024" t="s" s="11">
        <v>150</v>
      </c>
      <c r="H8024" s="19">
        <v>5</v>
      </c>
      <c r="I8024" t="s" s="11">
        <v>150</v>
      </c>
      <c r="J8024" t="s" s="11">
        <v>20</v>
      </c>
      <c r="K8024" t="s" s="16">
        <f>HYPERLINK("http://csr.bu.edu/ftp/asl/asllvd/demos/verify_start_end_handshape_annotations//test_auto_move//signs_mov/2118.mov","MOV")</f>
        <v>21</v>
      </c>
      <c r="L8024" t="s" s="16">
        <f>HYPERLINK("http://csr.bu.edu/ftp/asl/asllvd/demos/verify_start_end_handshape_annotations//test_auto_move//signs_mov_separ_signers/Liz_2118.mov","MOV")</f>
        <v>21</v>
      </c>
      <c r="M8024" t="s" s="10">
        <v>36</v>
      </c>
      <c r="N8024" s="17">
        <v>14</v>
      </c>
      <c r="O8024" s="18">
        <v>2775</v>
      </c>
      <c r="P8024" s="18">
        <v>2800</v>
      </c>
      <c r="Q8024" t="s" s="16">
        <f>HYPERLINK("http://secrets.rutgers.edu:8080/data/asl-ftp/asllvd/demos/verify_start_end_handshape_annotations//test_auto_move//signs_mov/2118.mov","MOV")</f>
        <v>21</v>
      </c>
      <c r="R8024" t="s" s="16">
        <f>HYPERLINK("http://secrets.rutgers.edu:8080/data/asl-ftp/asllvd/demos/verify_start_end_handshape_annotations//test_auto_move//signs_mov_separ_signers/Liz_2118.mov","MOV")</f>
        <v>21</v>
      </c>
    </row>
    <row r="8025" s="2" customFormat="1" ht="13.5" customHeight="1">
      <c r="B8025" s="13"/>
      <c r="C8025" t="s" s="9">
        <v>30</v>
      </c>
      <c r="D8025" t="s" s="8">
        <v>2865</v>
      </c>
      <c r="E8025" t="s" s="9">
        <v>2865</v>
      </c>
      <c r="F8025" t="s" s="10">
        <v>68</v>
      </c>
      <c r="G8025" t="s" s="11">
        <v>73</v>
      </c>
      <c r="H8025" s="19">
        <v>5</v>
      </c>
      <c r="I8025" t="s" s="11">
        <v>73</v>
      </c>
      <c r="J8025" t="s" s="11">
        <v>20</v>
      </c>
      <c r="K8025" s="15"/>
      <c r="L8025" t="s" s="16">
        <f>HYPERLINK("http://csr.bu.edu/ftp/asl/asllvd/demos/verify_start_end_handshape_annotations//test_auto_move//signs_mov_separ_signers/Brady_2118.mov","MOV")</f>
        <v>21</v>
      </c>
      <c r="M8025" t="s" s="10">
        <v>40</v>
      </c>
      <c r="N8025" s="17">
        <v>59</v>
      </c>
      <c r="O8025" s="18">
        <v>4000</v>
      </c>
      <c r="P8025" s="18">
        <v>4020</v>
      </c>
      <c r="Q8025" s="15"/>
      <c r="R8025" t="s" s="16">
        <f>HYPERLINK("http://secrets.rutgers.edu:8080/data/asl-ftp/asllvd/demos/verify_start_end_handshape_annotations//test_auto_move//signs_mov_separ_signers/Brady_2118.mov","MOV")</f>
        <v>21</v>
      </c>
    </row>
    <row r="8026" s="2" customFormat="1" ht="13.5" customHeight="1">
      <c r="B8026" t="s" s="8">
        <v>2866</v>
      </c>
      <c r="C8026" t="s" s="9">
        <v>14</v>
      </c>
      <c r="D8026" t="s" s="8">
        <v>14</v>
      </c>
      <c r="E8026" t="s" s="9">
        <v>14</v>
      </c>
      <c r="F8026" t="s" s="10">
        <v>14</v>
      </c>
      <c r="G8026" t="s" s="11">
        <v>14</v>
      </c>
      <c r="H8026" t="s" s="10">
        <v>14</v>
      </c>
      <c r="I8026" t="s" s="11">
        <v>14</v>
      </c>
      <c r="J8026" t="s" s="11">
        <v>14</v>
      </c>
      <c r="K8026" t="s" s="12">
        <v>14</v>
      </c>
      <c r="L8026" t="s" s="12">
        <v>14</v>
      </c>
      <c r="M8026" t="s" s="10">
        <v>14</v>
      </c>
      <c r="N8026" t="s" s="11">
        <v>14</v>
      </c>
      <c r="O8026" t="s" s="8">
        <v>14</v>
      </c>
      <c r="P8026" t="s" s="8">
        <v>14</v>
      </c>
      <c r="Q8026" t="s" s="12">
        <v>14</v>
      </c>
      <c r="R8026" t="s" s="12">
        <v>14</v>
      </c>
    </row>
    <row r="8027" s="2" customFormat="1" ht="13.5" customHeight="1">
      <c r="B8027" s="13"/>
      <c r="C8027" t="s" s="9">
        <v>16</v>
      </c>
      <c r="D8027" t="s" s="8">
        <v>2866</v>
      </c>
      <c r="E8027" t="s" s="9">
        <v>2866</v>
      </c>
      <c r="F8027" t="s" s="10">
        <v>72</v>
      </c>
      <c r="G8027" t="s" s="11">
        <v>72</v>
      </c>
      <c r="H8027" t="s" s="10">
        <v>72</v>
      </c>
      <c r="I8027" t="s" s="11">
        <v>72</v>
      </c>
      <c r="J8027" t="s" s="11">
        <v>20</v>
      </c>
      <c r="K8027" s="15"/>
      <c r="L8027" t="s" s="16">
        <f>HYPERLINK("http://csr.bu.edu/ftp/asl/asllvd/demos/verify_start_end_handshape_annotations//test_auto_move//signs_mov_separ_signers/Liz_15501.mov","MOV")</f>
        <v>21</v>
      </c>
      <c r="M8027" t="s" s="10">
        <v>36</v>
      </c>
      <c r="N8027" s="17">
        <v>15</v>
      </c>
      <c r="O8027" s="18">
        <v>70</v>
      </c>
      <c r="P8027" s="18">
        <v>92</v>
      </c>
      <c r="Q8027" s="15"/>
      <c r="R8027" t="s" s="16">
        <f>HYPERLINK("http://secrets.rutgers.edu:8080/data/asl-ftp/asllvd/demos/verify_start_end_handshape_annotations//test_auto_move//signs_mov_separ_signers/Liz_15501.mov","MOV")</f>
        <v>21</v>
      </c>
    </row>
    <row r="8028" s="2" customFormat="1" ht="13.5" customHeight="1">
      <c r="B8028" s="13"/>
      <c r="C8028" t="s" s="9">
        <v>30</v>
      </c>
      <c r="D8028" t="s" s="8">
        <v>2866</v>
      </c>
      <c r="E8028" t="s" s="9">
        <v>2866</v>
      </c>
      <c r="F8028" t="s" s="10">
        <v>72</v>
      </c>
      <c r="G8028" t="s" s="11">
        <v>72</v>
      </c>
      <c r="H8028" t="s" s="10">
        <v>72</v>
      </c>
      <c r="I8028" t="s" s="11">
        <v>72</v>
      </c>
      <c r="J8028" t="s" s="11">
        <v>20</v>
      </c>
      <c r="K8028" t="s" s="16">
        <f>HYPERLINK("http://csr.bu.edu/ftp/asl/asllvd/demos/verify_start_end_handshape_annotations//test_auto_move//signs_mov/15501_15513_merged.mov","MOV")</f>
        <v>21</v>
      </c>
      <c r="L8028" t="s" s="16">
        <f>HYPERLINK("http://csr.bu.edu/ftp/asl/asllvd/demos/verify_start_end_handshape_annotations//test_auto_move//signs_mov_separ_signers/Brady_15501.mov","MOV")</f>
        <v>21</v>
      </c>
      <c r="M8028" t="s" s="10">
        <v>40</v>
      </c>
      <c r="N8028" s="17">
        <v>61</v>
      </c>
      <c r="O8028" s="18">
        <v>952</v>
      </c>
      <c r="P8028" s="18">
        <v>977</v>
      </c>
      <c r="Q8028" t="s" s="16">
        <f>HYPERLINK("http://secrets.rutgers.edu:8080/data/asl-ftp/asllvd/demos/verify_start_end_handshape_annotations//test_auto_move//signs_mov/15501_15513_merged.mov","MOV")</f>
        <v>21</v>
      </c>
      <c r="R8028" t="s" s="16">
        <f>HYPERLINK("http://secrets.rutgers.edu:8080/data/asl-ftp/asllvd/demos/verify_start_end_handshape_annotations//test_auto_move//signs_mov_separ_signers/Brady_15501.mov","MOV")</f>
        <v>21</v>
      </c>
    </row>
    <row r="8029" s="2" customFormat="1" ht="13.5" customHeight="1">
      <c r="B8029" s="13"/>
      <c r="C8029" t="s" s="9">
        <v>30</v>
      </c>
      <c r="D8029" t="s" s="8">
        <v>2866</v>
      </c>
      <c r="E8029" t="s" s="9">
        <v>2866</v>
      </c>
      <c r="F8029" t="s" s="10">
        <v>72</v>
      </c>
      <c r="G8029" t="s" s="11">
        <v>72</v>
      </c>
      <c r="H8029" t="s" s="10">
        <v>72</v>
      </c>
      <c r="I8029" t="s" s="11">
        <v>72</v>
      </c>
      <c r="J8029" t="s" s="11">
        <v>20</v>
      </c>
      <c r="K8029" s="15"/>
      <c r="L8029" t="s" s="16">
        <f>HYPERLINK("http://csr.bu.edu/ftp/asl/asllvd/demos/verify_start_end_handshape_annotations//test_auto_move//signs_mov_separ_signers/Brady_15513.mov","MOV")</f>
        <v>21</v>
      </c>
      <c r="M8029" t="s" s="10">
        <v>60</v>
      </c>
      <c r="N8029" s="17">
        <v>26</v>
      </c>
      <c r="O8029" s="18">
        <v>470</v>
      </c>
      <c r="P8029" s="18">
        <v>497</v>
      </c>
      <c r="Q8029" s="15"/>
      <c r="R8029" t="s" s="16">
        <f>HYPERLINK("http://secrets.rutgers.edu:8080/data/asl-ftp/asllvd/demos/verify_start_end_handshape_annotations//test_auto_move//signs_mov_separ_signers/Brady_15513.mov","MOV")</f>
        <v>21</v>
      </c>
    </row>
    <row r="8030" s="2" customFormat="1" ht="13.5" customHeight="1">
      <c r="B8030" t="s" s="8">
        <v>2867</v>
      </c>
      <c r="C8030" t="s" s="9">
        <v>14</v>
      </c>
      <c r="D8030" t="s" s="8">
        <v>14</v>
      </c>
      <c r="E8030" t="s" s="9">
        <v>14</v>
      </c>
      <c r="F8030" t="s" s="10">
        <v>14</v>
      </c>
      <c r="G8030" t="s" s="11">
        <v>14</v>
      </c>
      <c r="H8030" t="s" s="10">
        <v>14</v>
      </c>
      <c r="I8030" t="s" s="11">
        <v>14</v>
      </c>
      <c r="J8030" t="s" s="11">
        <v>14</v>
      </c>
      <c r="K8030" t="s" s="12">
        <v>14</v>
      </c>
      <c r="L8030" t="s" s="12">
        <v>14</v>
      </c>
      <c r="M8030" t="s" s="10">
        <v>14</v>
      </c>
      <c r="N8030" t="s" s="11">
        <v>14</v>
      </c>
      <c r="O8030" t="s" s="8">
        <v>14</v>
      </c>
      <c r="P8030" t="s" s="8">
        <v>14</v>
      </c>
      <c r="Q8030" t="s" s="12">
        <v>14</v>
      </c>
      <c r="R8030" t="s" s="12">
        <v>14</v>
      </c>
    </row>
    <row r="8031" s="2" customFormat="1" ht="13.5" customHeight="1">
      <c r="B8031" s="13"/>
      <c r="C8031" t="s" s="9">
        <v>16</v>
      </c>
      <c r="D8031" t="s" s="8">
        <v>2867</v>
      </c>
      <c r="E8031" t="s" s="9">
        <v>2867</v>
      </c>
      <c r="F8031" t="s" s="10">
        <v>251</v>
      </c>
      <c r="G8031" s="14"/>
      <c r="H8031" t="s" s="10">
        <v>251</v>
      </c>
      <c r="I8031" s="14"/>
      <c r="J8031" t="s" s="11">
        <v>20</v>
      </c>
      <c r="K8031" t="s" s="16">
        <f>HYPERLINK("http://csr.bu.edu/ftp/asl/asllvd/demos/verify_start_end_handshape_annotations//test_auto_move//signs_mov/2120.mov","MOV")</f>
        <v>21</v>
      </c>
      <c r="L8031" t="s" s="16">
        <f>HYPERLINK("http://csr.bu.edu/ftp/asl/asllvd/demos/verify_start_end_handshape_annotations//test_auto_move//signs_mov_separ_signers/Liz_2120.mov","MOV")</f>
        <v>21</v>
      </c>
      <c r="M8031" t="s" s="10">
        <v>36</v>
      </c>
      <c r="N8031" s="17">
        <v>15</v>
      </c>
      <c r="O8031" s="18">
        <v>332</v>
      </c>
      <c r="P8031" s="18">
        <v>365</v>
      </c>
      <c r="Q8031" t="s" s="16">
        <f>HYPERLINK("http://secrets.rutgers.edu:8080/data/asl-ftp/asllvd/demos/verify_start_end_handshape_annotations//test_auto_move//signs_mov/2120.mov","MOV")</f>
        <v>21</v>
      </c>
      <c r="R8031" t="s" s="16">
        <f>HYPERLINK("http://secrets.rutgers.edu:8080/data/asl-ftp/asllvd/demos/verify_start_end_handshape_annotations//test_auto_move//signs_mov_separ_signers/Liz_2120.mov","MOV")</f>
        <v>21</v>
      </c>
    </row>
    <row r="8032" s="2" customFormat="1" ht="13.5" customHeight="1">
      <c r="B8032" s="13"/>
      <c r="C8032" t="s" s="9">
        <v>30</v>
      </c>
      <c r="D8032" t="s" s="8">
        <v>2867</v>
      </c>
      <c r="E8032" t="s" s="9">
        <v>2867</v>
      </c>
      <c r="F8032" t="s" s="10">
        <v>251</v>
      </c>
      <c r="G8032" s="14"/>
      <c r="H8032" t="s" s="10">
        <v>251</v>
      </c>
      <c r="I8032" s="14"/>
      <c r="J8032" t="s" s="11">
        <v>20</v>
      </c>
      <c r="K8032" s="15"/>
      <c r="L8032" t="s" s="16">
        <f>HYPERLINK("http://csr.bu.edu/ftp/asl/asllvd/demos/verify_start_end_handshape_annotations//test_auto_move//signs_mov_separ_signers/Brady_2120.mov","MOV")</f>
        <v>21</v>
      </c>
      <c r="M8032" t="s" s="10">
        <v>40</v>
      </c>
      <c r="N8032" s="17">
        <v>59</v>
      </c>
      <c r="O8032" s="18">
        <v>4253</v>
      </c>
      <c r="P8032" s="18">
        <v>4278</v>
      </c>
      <c r="Q8032" s="15"/>
      <c r="R8032" t="s" s="16">
        <f>HYPERLINK("http://secrets.rutgers.edu:8080/data/asl-ftp/asllvd/demos/verify_start_end_handshape_annotations//test_auto_move//signs_mov_separ_signers/Brady_2120.mov","MOV")</f>
        <v>21</v>
      </c>
    </row>
    <row r="8033" s="2" customFormat="1" ht="13.5" customHeight="1">
      <c r="B8033" t="s" s="8">
        <v>2868</v>
      </c>
      <c r="C8033" t="s" s="9">
        <v>14</v>
      </c>
      <c r="D8033" t="s" s="8">
        <v>14</v>
      </c>
      <c r="E8033" t="s" s="9">
        <v>14</v>
      </c>
      <c r="F8033" t="s" s="10">
        <v>14</v>
      </c>
      <c r="G8033" t="s" s="11">
        <v>14</v>
      </c>
      <c r="H8033" t="s" s="10">
        <v>14</v>
      </c>
      <c r="I8033" t="s" s="11">
        <v>14</v>
      </c>
      <c r="J8033" t="s" s="11">
        <v>14</v>
      </c>
      <c r="K8033" t="s" s="12">
        <v>14</v>
      </c>
      <c r="L8033" t="s" s="12">
        <v>14</v>
      </c>
      <c r="M8033" t="s" s="10">
        <v>14</v>
      </c>
      <c r="N8033" t="s" s="11">
        <v>14</v>
      </c>
      <c r="O8033" t="s" s="8">
        <v>14</v>
      </c>
      <c r="P8033" t="s" s="8">
        <v>14</v>
      </c>
      <c r="Q8033" t="s" s="12">
        <v>14</v>
      </c>
      <c r="R8033" t="s" s="12">
        <v>14</v>
      </c>
    </row>
    <row r="8034" s="2" customFormat="1" ht="13.5" customHeight="1">
      <c r="B8034" s="13"/>
      <c r="C8034" t="s" s="9">
        <v>16</v>
      </c>
      <c r="D8034" t="s" s="8">
        <v>2868</v>
      </c>
      <c r="E8034" t="s" s="9">
        <v>2868</v>
      </c>
      <c r="F8034" t="s" s="10">
        <v>344</v>
      </c>
      <c r="G8034" t="s" s="11">
        <v>158</v>
      </c>
      <c r="H8034" t="s" s="10">
        <v>344</v>
      </c>
      <c r="I8034" t="s" s="11">
        <v>158</v>
      </c>
      <c r="J8034" t="s" s="11">
        <v>20</v>
      </c>
      <c r="K8034" t="s" s="16">
        <f>HYPERLINK("http://csr.bu.edu/ftp/asl/asllvd/demos/verify_start_end_handshape_annotations//test_auto_move//signs_mov/2121.mov","MOV")</f>
        <v>21</v>
      </c>
      <c r="L8034" t="s" s="16">
        <f>HYPERLINK("http://csr.bu.edu/ftp/asl/asllvd/demos/verify_start_end_handshape_annotations//test_auto_move//signs_mov_separ_signers/Liz_2121.mov","MOV")</f>
        <v>21</v>
      </c>
      <c r="M8034" t="s" s="10">
        <v>36</v>
      </c>
      <c r="N8034" s="17">
        <v>15</v>
      </c>
      <c r="O8034" s="18">
        <v>650</v>
      </c>
      <c r="P8034" s="18">
        <v>690</v>
      </c>
      <c r="Q8034" t="s" s="16">
        <f>HYPERLINK("http://secrets.rutgers.edu:8080/data/asl-ftp/asllvd/demos/verify_start_end_handshape_annotations//test_auto_move//signs_mov/2121.mov","MOV")</f>
        <v>21</v>
      </c>
      <c r="R8034" t="s" s="16">
        <f>HYPERLINK("http://secrets.rutgers.edu:8080/data/asl-ftp/asllvd/demos/verify_start_end_handshape_annotations//test_auto_move//signs_mov_separ_signers/Liz_2121.mov","MOV")</f>
        <v>21</v>
      </c>
    </row>
    <row r="8035" s="2" customFormat="1" ht="13.5" customHeight="1">
      <c r="B8035" t="s" s="8">
        <v>52</v>
      </c>
      <c r="C8035" t="s" s="9">
        <v>53</v>
      </c>
      <c r="D8035" t="s" s="8">
        <v>53</v>
      </c>
      <c r="E8035" t="s" s="9">
        <v>53</v>
      </c>
      <c r="F8035" t="s" s="10">
        <v>53</v>
      </c>
      <c r="G8035" t="s" s="11">
        <v>53</v>
      </c>
      <c r="H8035" t="s" s="10">
        <v>53</v>
      </c>
      <c r="I8035" t="s" s="11">
        <v>53</v>
      </c>
      <c r="J8035" t="s" s="11">
        <v>53</v>
      </c>
      <c r="K8035" t="s" s="12">
        <v>53</v>
      </c>
      <c r="L8035" t="s" s="12">
        <v>53</v>
      </c>
      <c r="M8035" t="s" s="10">
        <v>53</v>
      </c>
      <c r="N8035" t="s" s="11">
        <v>53</v>
      </c>
      <c r="O8035" t="s" s="8">
        <v>53</v>
      </c>
      <c r="P8035" t="s" s="8">
        <v>53</v>
      </c>
      <c r="Q8035" t="s" s="12">
        <v>53</v>
      </c>
      <c r="R8035" t="s" s="12">
        <v>53</v>
      </c>
    </row>
    <row r="8036" s="2" customFormat="1" ht="13.5" customHeight="1">
      <c r="B8036" s="13"/>
      <c r="C8036" t="s" s="9">
        <v>30</v>
      </c>
      <c r="D8036" t="s" s="8">
        <v>2868</v>
      </c>
      <c r="E8036" t="s" s="9">
        <v>2869</v>
      </c>
      <c r="F8036" t="s" s="10">
        <v>341</v>
      </c>
      <c r="G8036" t="s" s="11">
        <v>341</v>
      </c>
      <c r="H8036" t="s" s="10">
        <v>341</v>
      </c>
      <c r="I8036" t="s" s="11">
        <v>341</v>
      </c>
      <c r="J8036" t="s" s="11">
        <v>20</v>
      </c>
      <c r="K8036" t="s" s="16">
        <f>HYPERLINK("http://csr.bu.edu/ftp/asl/asllvd/demos/verify_start_end_handshape_annotations//test_auto_move//signs_mov/16291.mov","MOV")</f>
        <v>21</v>
      </c>
      <c r="L8036" t="s" s="16">
        <f>HYPERLINK("http://csr.bu.edu/ftp/asl/asllvd/demos/verify_start_end_handshape_annotations//test_auto_move//signs_mov_separ_signers/Brady_16291.mov","MOV")</f>
        <v>21</v>
      </c>
      <c r="M8036" t="s" s="10">
        <v>40</v>
      </c>
      <c r="N8036" s="17">
        <v>60</v>
      </c>
      <c r="O8036" s="18">
        <v>183</v>
      </c>
      <c r="P8036" s="18">
        <v>210</v>
      </c>
      <c r="Q8036" t="s" s="16">
        <f>HYPERLINK("http://secrets.rutgers.edu:8080/data/asl-ftp/asllvd/demos/verify_start_end_handshape_annotations//test_auto_move//signs_mov/16291.mov","MOV")</f>
        <v>21</v>
      </c>
      <c r="R8036" t="s" s="16">
        <f>HYPERLINK("http://secrets.rutgers.edu:8080/data/asl-ftp/asllvd/demos/verify_start_end_handshape_annotations//test_auto_move//signs_mov_separ_signers/Brady_16291.mov","MOV")</f>
        <v>21</v>
      </c>
    </row>
    <row r="8037" s="2" customFormat="1" ht="13.5" customHeight="1">
      <c r="B8037" t="s" s="8">
        <v>2870</v>
      </c>
      <c r="C8037" t="s" s="9">
        <v>14</v>
      </c>
      <c r="D8037" t="s" s="8">
        <v>14</v>
      </c>
      <c r="E8037" t="s" s="9">
        <v>14</v>
      </c>
      <c r="F8037" t="s" s="10">
        <v>14</v>
      </c>
      <c r="G8037" t="s" s="11">
        <v>14</v>
      </c>
      <c r="H8037" t="s" s="10">
        <v>14</v>
      </c>
      <c r="I8037" t="s" s="11">
        <v>14</v>
      </c>
      <c r="J8037" t="s" s="11">
        <v>14</v>
      </c>
      <c r="K8037" t="s" s="12">
        <v>14</v>
      </c>
      <c r="L8037" t="s" s="12">
        <v>14</v>
      </c>
      <c r="M8037" t="s" s="10">
        <v>14</v>
      </c>
      <c r="N8037" t="s" s="11">
        <v>14</v>
      </c>
      <c r="O8037" t="s" s="8">
        <v>14</v>
      </c>
      <c r="P8037" t="s" s="8">
        <v>14</v>
      </c>
      <c r="Q8037" t="s" s="12">
        <v>14</v>
      </c>
      <c r="R8037" t="s" s="12">
        <v>14</v>
      </c>
    </row>
    <row r="8038" s="2" customFormat="1" ht="13.5" customHeight="1">
      <c r="B8038" s="13"/>
      <c r="C8038" t="s" s="9">
        <v>16</v>
      </c>
      <c r="D8038" t="s" s="8">
        <v>2870</v>
      </c>
      <c r="E8038" t="s" s="9">
        <v>2871</v>
      </c>
      <c r="F8038" s="19">
        <v>3</v>
      </c>
      <c r="G8038" t="s" s="11">
        <v>55</v>
      </c>
      <c r="H8038" s="19">
        <v>3</v>
      </c>
      <c r="I8038" t="s" s="11">
        <v>55</v>
      </c>
      <c r="J8038" t="s" s="11">
        <v>20</v>
      </c>
      <c r="K8038" s="15"/>
      <c r="L8038" t="s" s="16">
        <f>HYPERLINK("http://csr.bu.edu/ftp/asl/asllvd/demos/verify_start_end_handshape_annotations//test_auto_move//signs_mov_separ_signers/Liz_2123.mov","MOV")</f>
        <v>21</v>
      </c>
      <c r="M8038" t="s" s="10">
        <v>36</v>
      </c>
      <c r="N8038" s="17">
        <v>15</v>
      </c>
      <c r="O8038" s="18">
        <v>841</v>
      </c>
      <c r="P8038" s="18">
        <v>910</v>
      </c>
      <c r="Q8038" s="15"/>
      <c r="R8038" t="s" s="16">
        <f>HYPERLINK("http://secrets.rutgers.edu:8080/data/asl-ftp/asllvd/demos/verify_start_end_handshape_annotations//test_auto_move//signs_mov_separ_signers/Liz_2123.mov","MOV")</f>
        <v>21</v>
      </c>
    </row>
    <row r="8039" s="2" customFormat="1" ht="13.5" customHeight="1">
      <c r="B8039" s="13"/>
      <c r="C8039" t="s" s="9">
        <v>16</v>
      </c>
      <c r="D8039" t="s" s="8">
        <v>2870</v>
      </c>
      <c r="E8039" t="s" s="9">
        <v>2870</v>
      </c>
      <c r="F8039" s="19">
        <v>3</v>
      </c>
      <c r="G8039" t="s" s="11">
        <v>55</v>
      </c>
      <c r="H8039" s="19">
        <v>3</v>
      </c>
      <c r="I8039" t="s" s="11">
        <v>55</v>
      </c>
      <c r="J8039" t="s" s="11">
        <v>20</v>
      </c>
      <c r="K8039" s="15"/>
      <c r="L8039" t="s" s="16">
        <f>HYPERLINK("http://csr.bu.edu/ftp/asl/asllvd/demos/verify_start_end_handshape_annotations//test_auto_move//signs_mov_separ_signers/Liz_3836.mov","MOV")</f>
        <v>21</v>
      </c>
      <c r="M8039" t="s" s="10">
        <v>36</v>
      </c>
      <c r="N8039" s="17">
        <v>15</v>
      </c>
      <c r="O8039" s="18">
        <v>1075</v>
      </c>
      <c r="P8039" s="18">
        <v>1115</v>
      </c>
      <c r="Q8039" s="15"/>
      <c r="R8039" t="s" s="16">
        <f>HYPERLINK("http://secrets.rutgers.edu:8080/data/asl-ftp/asllvd/demos/verify_start_end_handshape_annotations//test_auto_move//signs_mov_separ_signers/Liz_3836.mov","MOV")</f>
        <v>21</v>
      </c>
    </row>
    <row r="8040" s="2" customFormat="1" ht="13.5" customHeight="1">
      <c r="B8040" s="13"/>
      <c r="C8040" t="s" s="9">
        <v>30</v>
      </c>
      <c r="D8040" t="s" s="8">
        <v>2870</v>
      </c>
      <c r="E8040" t="s" s="9">
        <v>2871</v>
      </c>
      <c r="F8040" s="19">
        <v>3</v>
      </c>
      <c r="G8040" t="s" s="11">
        <v>55</v>
      </c>
      <c r="H8040" s="19">
        <v>3</v>
      </c>
      <c r="I8040" t="s" s="11">
        <v>55</v>
      </c>
      <c r="J8040" t="s" s="11">
        <v>20</v>
      </c>
      <c r="K8040" t="s" s="16">
        <f>HYPERLINK("http://csr.bu.edu/ftp/asl/asllvd/demos/verify_start_end_handshape_annotations//test_auto_move//signs_mov/2123_3836_5913_merged.mov","MOV")</f>
        <v>21</v>
      </c>
      <c r="L8040" t="s" s="16">
        <f>HYPERLINK("http://csr.bu.edu/ftp/asl/asllvd/demos/verify_start_end_handshape_annotations//test_auto_move//signs_mov_separ_signers/Brady_2123.mov","MOV")</f>
        <v>21</v>
      </c>
      <c r="M8040" t="s" s="10">
        <v>40</v>
      </c>
      <c r="N8040" s="17">
        <v>60</v>
      </c>
      <c r="O8040" s="18">
        <v>507</v>
      </c>
      <c r="P8040" s="18">
        <v>545</v>
      </c>
      <c r="Q8040" t="s" s="16">
        <f>HYPERLINK("http://secrets.rutgers.edu:8080/data/asl-ftp/asllvd/demos/verify_start_end_handshape_annotations//test_auto_move//signs_mov/2123_3836_5913_merged.mov","MOV")</f>
        <v>21</v>
      </c>
      <c r="R8040" t="s" s="16">
        <f>HYPERLINK("http://secrets.rutgers.edu:8080/data/asl-ftp/asllvd/demos/verify_start_end_handshape_annotations//test_auto_move//signs_mov_separ_signers/Brady_2123.mov","MOV")</f>
        <v>21</v>
      </c>
    </row>
    <row r="8041" s="2" customFormat="1" ht="13.5" customHeight="1">
      <c r="B8041" s="13"/>
      <c r="C8041" t="s" s="9">
        <v>30</v>
      </c>
      <c r="D8041" t="s" s="8">
        <v>2870</v>
      </c>
      <c r="E8041" t="s" s="9">
        <v>2870</v>
      </c>
      <c r="F8041" t="s" s="10">
        <v>229</v>
      </c>
      <c r="G8041" t="s" s="11">
        <v>73</v>
      </c>
      <c r="H8041" t="s" s="10">
        <v>229</v>
      </c>
      <c r="I8041" t="s" s="11">
        <v>73</v>
      </c>
      <c r="J8041" t="s" s="11">
        <v>20</v>
      </c>
      <c r="K8041" s="15"/>
      <c r="L8041" t="s" s="16">
        <f>HYPERLINK("http://csr.bu.edu/ftp/asl/asllvd/demos/verify_start_end_handshape_annotations//test_auto_move//signs_mov_separ_signers/Brady_3836.mov","MOV")</f>
        <v>21</v>
      </c>
      <c r="M8041" t="s" s="10">
        <v>40</v>
      </c>
      <c r="N8041" s="17">
        <v>60</v>
      </c>
      <c r="O8041" s="18">
        <v>721</v>
      </c>
      <c r="P8041" s="18">
        <v>755</v>
      </c>
      <c r="Q8041" s="15"/>
      <c r="R8041" t="s" s="16">
        <f>HYPERLINK("http://secrets.rutgers.edu:8080/data/asl-ftp/asllvd/demos/verify_start_end_handshape_annotations//test_auto_move//signs_mov_separ_signers/Brady_3836.mov","MOV")</f>
        <v>21</v>
      </c>
    </row>
    <row r="8042" s="2" customFormat="1" ht="13.5" customHeight="1">
      <c r="B8042" s="13"/>
      <c r="C8042" t="s" s="9">
        <v>30</v>
      </c>
      <c r="D8042" t="s" s="8">
        <v>2870</v>
      </c>
      <c r="E8042" t="s" s="9">
        <v>2872</v>
      </c>
      <c r="F8042" s="19">
        <v>3</v>
      </c>
      <c r="G8042" t="s" s="11">
        <v>55</v>
      </c>
      <c r="H8042" s="19">
        <v>3</v>
      </c>
      <c r="I8042" t="s" s="11">
        <v>55</v>
      </c>
      <c r="J8042" t="s" s="11">
        <v>20</v>
      </c>
      <c r="K8042" s="15"/>
      <c r="L8042" t="s" s="16">
        <f>HYPERLINK("http://csr.bu.edu/ftp/asl/asllvd/demos/verify_start_end_handshape_annotations//test_auto_move//signs_mov_separ_signers/Brady_5913.mov","MOV")</f>
        <v>21</v>
      </c>
      <c r="M8042" t="s" s="10">
        <v>60</v>
      </c>
      <c r="N8042" s="17">
        <v>51</v>
      </c>
      <c r="O8042" s="18">
        <v>1171</v>
      </c>
      <c r="P8042" s="18">
        <v>1229</v>
      </c>
      <c r="Q8042" s="15"/>
      <c r="R8042" t="s" s="16">
        <f>HYPERLINK("http://secrets.rutgers.edu:8080/data/asl-ftp/asllvd/demos/verify_start_end_handshape_annotations//test_auto_move//signs_mov_separ_signers/Brady_5913.mov","MOV")</f>
        <v>21</v>
      </c>
    </row>
    <row r="8043" s="2" customFormat="1" ht="13.5" customHeight="1">
      <c r="B8043" t="s" s="8">
        <v>2873</v>
      </c>
      <c r="C8043" t="s" s="9">
        <v>14</v>
      </c>
      <c r="D8043" t="s" s="8">
        <v>14</v>
      </c>
      <c r="E8043" t="s" s="9">
        <v>14</v>
      </c>
      <c r="F8043" t="s" s="10">
        <v>14</v>
      </c>
      <c r="G8043" t="s" s="11">
        <v>14</v>
      </c>
      <c r="H8043" t="s" s="10">
        <v>14</v>
      </c>
      <c r="I8043" t="s" s="11">
        <v>14</v>
      </c>
      <c r="J8043" t="s" s="11">
        <v>14</v>
      </c>
      <c r="K8043" t="s" s="12">
        <v>14</v>
      </c>
      <c r="L8043" t="s" s="12">
        <v>14</v>
      </c>
      <c r="M8043" t="s" s="10">
        <v>14</v>
      </c>
      <c r="N8043" t="s" s="11">
        <v>14</v>
      </c>
      <c r="O8043" t="s" s="8">
        <v>14</v>
      </c>
      <c r="P8043" t="s" s="8">
        <v>14</v>
      </c>
      <c r="Q8043" t="s" s="12">
        <v>14</v>
      </c>
      <c r="R8043" t="s" s="12">
        <v>14</v>
      </c>
    </row>
    <row r="8044" s="2" customFormat="1" ht="13.5" customHeight="1">
      <c r="B8044" s="13"/>
      <c r="C8044" t="s" s="9">
        <v>16</v>
      </c>
      <c r="D8044" t="s" s="8">
        <v>2873</v>
      </c>
      <c r="E8044" t="s" s="9">
        <v>2874</v>
      </c>
      <c r="F8044" t="s" s="10">
        <v>260</v>
      </c>
      <c r="G8044" s="14"/>
      <c r="H8044" t="s" s="10">
        <v>260</v>
      </c>
      <c r="I8044" s="14"/>
      <c r="J8044" t="s" s="11">
        <v>20</v>
      </c>
      <c r="K8044" t="s" s="16">
        <f>HYPERLINK("http://csr.bu.edu/ftp/asl/asllvd/demos/verify_start_end_handshape_annotations//test_auto_move//signs_mov/2127.mov","MOV")</f>
        <v>21</v>
      </c>
      <c r="L8044" t="s" s="16">
        <f>HYPERLINK("http://csr.bu.edu/ftp/asl/asllvd/demos/verify_start_end_handshape_annotations//test_auto_move//signs_mov_separ_signers/Liz_2127.mov","MOV")</f>
        <v>21</v>
      </c>
      <c r="M8044" t="s" s="10">
        <v>36</v>
      </c>
      <c r="N8044" s="17">
        <v>15</v>
      </c>
      <c r="O8044" s="18">
        <v>2275</v>
      </c>
      <c r="P8044" s="18">
        <v>2316</v>
      </c>
      <c r="Q8044" t="s" s="16">
        <f>HYPERLINK("http://secrets.rutgers.edu:8080/data/asl-ftp/asllvd/demos/verify_start_end_handshape_annotations//test_auto_move//signs_mov/2127.mov","MOV")</f>
        <v>21</v>
      </c>
      <c r="R8044" t="s" s="16">
        <f>HYPERLINK("http://secrets.rutgers.edu:8080/data/asl-ftp/asllvd/demos/verify_start_end_handshape_annotations//test_auto_move//signs_mov_separ_signers/Liz_2127.mov","MOV")</f>
        <v>21</v>
      </c>
    </row>
    <row r="8045" s="2" customFormat="1" ht="13.5" customHeight="1">
      <c r="B8045" t="s" s="8">
        <v>52</v>
      </c>
      <c r="C8045" t="s" s="9">
        <v>53</v>
      </c>
      <c r="D8045" t="s" s="8">
        <v>53</v>
      </c>
      <c r="E8045" t="s" s="9">
        <v>53</v>
      </c>
      <c r="F8045" t="s" s="10">
        <v>53</v>
      </c>
      <c r="G8045" t="s" s="11">
        <v>53</v>
      </c>
      <c r="H8045" t="s" s="10">
        <v>53</v>
      </c>
      <c r="I8045" t="s" s="11">
        <v>53</v>
      </c>
      <c r="J8045" t="s" s="11">
        <v>53</v>
      </c>
      <c r="K8045" t="s" s="12">
        <v>53</v>
      </c>
      <c r="L8045" t="s" s="12">
        <v>53</v>
      </c>
      <c r="M8045" t="s" s="10">
        <v>53</v>
      </c>
      <c r="N8045" t="s" s="11">
        <v>53</v>
      </c>
      <c r="O8045" t="s" s="8">
        <v>53</v>
      </c>
      <c r="P8045" t="s" s="8">
        <v>53</v>
      </c>
      <c r="Q8045" t="s" s="12">
        <v>53</v>
      </c>
      <c r="R8045" t="s" s="12">
        <v>53</v>
      </c>
    </row>
    <row r="8046" s="2" customFormat="1" ht="13.5" customHeight="1">
      <c r="B8046" s="13"/>
      <c r="C8046" t="s" s="9">
        <v>16</v>
      </c>
      <c r="D8046" t="s" s="8">
        <v>2873</v>
      </c>
      <c r="E8046" t="s" s="9">
        <v>2873</v>
      </c>
      <c r="F8046" t="s" s="10">
        <v>150</v>
      </c>
      <c r="G8046" s="14"/>
      <c r="H8046" t="s" s="10">
        <v>150</v>
      </c>
      <c r="I8046" s="14"/>
      <c r="J8046" t="s" s="11">
        <v>20</v>
      </c>
      <c r="K8046" s="15"/>
      <c r="L8046" t="s" s="16">
        <f>HYPERLINK("http://csr.bu.edu/ftp/asl/asllvd/demos/verify_start_end_handshape_annotations//test_auto_move//signs_mov_separ_signers/Liz_5716.mov","MOV")</f>
        <v>21</v>
      </c>
      <c r="M8046" t="s" s="10">
        <v>34</v>
      </c>
      <c r="N8046" s="17">
        <v>45</v>
      </c>
      <c r="O8046" s="18">
        <v>3060</v>
      </c>
      <c r="P8046" s="18">
        <v>3095</v>
      </c>
      <c r="Q8046" s="15"/>
      <c r="R8046" t="s" s="16">
        <f>HYPERLINK("http://secrets.rutgers.edu:8080/data/asl-ftp/asllvd/demos/verify_start_end_handshape_annotations//test_auto_move//signs_mov_separ_signers/Liz_5716.mov","MOV")</f>
        <v>21</v>
      </c>
    </row>
    <row r="8047" s="2" customFormat="1" ht="13.5" customHeight="1">
      <c r="B8047" s="13"/>
      <c r="C8047" t="s" s="9">
        <v>27</v>
      </c>
      <c r="D8047" t="s" s="8">
        <v>2873</v>
      </c>
      <c r="E8047" t="s" s="9">
        <v>2875</v>
      </c>
      <c r="F8047" t="s" s="10">
        <v>150</v>
      </c>
      <c r="G8047" s="14"/>
      <c r="H8047" t="s" s="10">
        <v>150</v>
      </c>
      <c r="I8047" s="14"/>
      <c r="J8047" t="s" s="11">
        <v>20</v>
      </c>
      <c r="K8047" t="s" s="16">
        <f>HYPERLINK("http://csr.bu.edu/ftp/asl/asllvd/demos/verify_start_end_handshape_annotations//test_auto_move//signs_mov/5716_5730_merged.mov","MOV")</f>
        <v>21</v>
      </c>
      <c r="L8047" t="s" s="16">
        <f>HYPERLINK("http://csr.bu.edu/ftp/asl/asllvd/demos/verify_start_end_handshape_annotations//test_auto_move//signs_mov_separ_signers/Naomi_5716.mov","MOV")</f>
        <v>21</v>
      </c>
      <c r="M8047" t="s" s="10">
        <v>48</v>
      </c>
      <c r="N8047" s="17">
        <v>1</v>
      </c>
      <c r="O8047" s="18">
        <v>4225</v>
      </c>
      <c r="P8047" s="18">
        <v>4252</v>
      </c>
      <c r="Q8047" t="s" s="16">
        <f>HYPERLINK("http://secrets.rutgers.edu:8080/data/asl-ftp/asllvd/demos/verify_start_end_handshape_annotations//test_auto_move//signs_mov/5716_5730_merged.mov","MOV")</f>
        <v>21</v>
      </c>
      <c r="R8047" t="s" s="16">
        <f>HYPERLINK("http://secrets.rutgers.edu:8080/data/asl-ftp/asllvd/demos/verify_start_end_handshape_annotations//test_auto_move//signs_mov_separ_signers/Naomi_5716.mov","MOV")</f>
        <v>21</v>
      </c>
    </row>
    <row r="8048" s="2" customFormat="1" ht="13.5" customHeight="1">
      <c r="B8048" s="13"/>
      <c r="C8048" t="s" s="9">
        <v>30</v>
      </c>
      <c r="D8048" t="s" s="8">
        <v>2873</v>
      </c>
      <c r="E8048" t="s" s="9">
        <v>2875</v>
      </c>
      <c r="F8048" t="s" s="10">
        <v>150</v>
      </c>
      <c r="G8048" s="14"/>
      <c r="H8048" t="s" s="10">
        <v>150</v>
      </c>
      <c r="I8048" s="14"/>
      <c r="J8048" t="s" s="11">
        <v>20</v>
      </c>
      <c r="K8048" s="15"/>
      <c r="L8048" t="s" s="16">
        <f>HYPERLINK("http://csr.bu.edu/ftp/asl/asllvd/demos/verify_start_end_handshape_annotations//test_auto_move//signs_mov_separ_signers/Brady_5716.mov","MOV")</f>
        <v>21</v>
      </c>
      <c r="M8048" t="s" s="10">
        <v>39</v>
      </c>
      <c r="N8048" s="17">
        <v>48</v>
      </c>
      <c r="O8048" s="18">
        <v>474</v>
      </c>
      <c r="P8048" s="18">
        <v>516</v>
      </c>
      <c r="Q8048" s="15"/>
      <c r="R8048" t="s" s="16">
        <f>HYPERLINK("http://secrets.rutgers.edu:8080/data/asl-ftp/asllvd/demos/verify_start_end_handshape_annotations//test_auto_move//signs_mov_separ_signers/Brady_5716.mov","MOV")</f>
        <v>21</v>
      </c>
    </row>
    <row r="8049" s="2" customFormat="1" ht="13.5" customHeight="1">
      <c r="B8049" s="13"/>
      <c r="C8049" t="s" s="9">
        <v>30</v>
      </c>
      <c r="D8049" t="s" s="8">
        <v>2873</v>
      </c>
      <c r="E8049" t="s" s="9">
        <v>2875</v>
      </c>
      <c r="F8049" t="s" s="10">
        <v>73</v>
      </c>
      <c r="G8049" s="14"/>
      <c r="H8049" t="s" s="10">
        <v>73</v>
      </c>
      <c r="I8049" s="14"/>
      <c r="J8049" t="s" s="11">
        <v>20</v>
      </c>
      <c r="K8049" s="15"/>
      <c r="L8049" t="s" s="16">
        <f>HYPERLINK("http://csr.bu.edu/ftp/asl/asllvd/demos/verify_start_end_handshape_annotations//test_auto_move//signs_mov_separ_signers/Brady_5730.mov","MOV")</f>
        <v>21</v>
      </c>
      <c r="M8049" t="s" s="10">
        <v>40</v>
      </c>
      <c r="N8049" s="17">
        <v>60</v>
      </c>
      <c r="O8049" s="18">
        <v>2807</v>
      </c>
      <c r="P8049" s="18">
        <v>2838</v>
      </c>
      <c r="Q8049" s="15"/>
      <c r="R8049" t="s" s="16">
        <f>HYPERLINK("http://secrets.rutgers.edu:8080/data/asl-ftp/asllvd/demos/verify_start_end_handshape_annotations//test_auto_move//signs_mov_separ_signers/Brady_5730.mov","MOV")</f>
        <v>21</v>
      </c>
    </row>
    <row r="8050" s="2" customFormat="1" ht="13.5" customHeight="1">
      <c r="B8050" t="s" s="8">
        <v>2876</v>
      </c>
      <c r="C8050" t="s" s="9">
        <v>14</v>
      </c>
      <c r="D8050" t="s" s="8">
        <v>14</v>
      </c>
      <c r="E8050" t="s" s="9">
        <v>14</v>
      </c>
      <c r="F8050" t="s" s="10">
        <v>14</v>
      </c>
      <c r="G8050" t="s" s="11">
        <v>14</v>
      </c>
      <c r="H8050" t="s" s="10">
        <v>14</v>
      </c>
      <c r="I8050" t="s" s="11">
        <v>14</v>
      </c>
      <c r="J8050" t="s" s="11">
        <v>14</v>
      </c>
      <c r="K8050" t="s" s="12">
        <v>14</v>
      </c>
      <c r="L8050" t="s" s="12">
        <v>14</v>
      </c>
      <c r="M8050" t="s" s="10">
        <v>14</v>
      </c>
      <c r="N8050" t="s" s="11">
        <v>14</v>
      </c>
      <c r="O8050" t="s" s="8">
        <v>14</v>
      </c>
      <c r="P8050" t="s" s="8">
        <v>14</v>
      </c>
      <c r="Q8050" t="s" s="12">
        <v>14</v>
      </c>
      <c r="R8050" t="s" s="12">
        <v>14</v>
      </c>
    </row>
    <row r="8051" s="2" customFormat="1" ht="13.5" customHeight="1">
      <c r="B8051" s="13"/>
      <c r="C8051" t="s" s="9">
        <v>16</v>
      </c>
      <c r="D8051" t="s" s="8">
        <v>2876</v>
      </c>
      <c r="E8051" t="s" s="9">
        <v>2876</v>
      </c>
      <c r="F8051" t="s" s="10">
        <v>150</v>
      </c>
      <c r="G8051" s="14"/>
      <c r="H8051" t="s" s="10">
        <v>150</v>
      </c>
      <c r="I8051" s="14"/>
      <c r="J8051" t="s" s="11">
        <v>20</v>
      </c>
      <c r="K8051" s="15"/>
      <c r="L8051" t="s" s="16">
        <f>HYPERLINK("http://csr.bu.edu/ftp/asl/asllvd/demos/verify_start_end_handshape_annotations//test_auto_move//signs_mov_separ_signers/Liz_5860.mov","MOV")</f>
        <v>21</v>
      </c>
      <c r="M8051" t="s" s="10">
        <v>22</v>
      </c>
      <c r="N8051" s="17">
        <v>21</v>
      </c>
      <c r="O8051" s="18">
        <v>985</v>
      </c>
      <c r="P8051" s="18">
        <v>1025</v>
      </c>
      <c r="Q8051" s="15"/>
      <c r="R8051" t="s" s="16">
        <f>HYPERLINK("http://secrets.rutgers.edu:8080/data/asl-ftp/asllvd/demos/verify_start_end_handshape_annotations//test_auto_move//signs_mov_separ_signers/Liz_5860.mov","MOV")</f>
        <v>21</v>
      </c>
    </row>
    <row r="8052" s="2" customFormat="1" ht="13.5" customHeight="1">
      <c r="B8052" s="13"/>
      <c r="C8052" t="s" s="9">
        <v>23</v>
      </c>
      <c r="D8052" t="s" s="8">
        <v>2876</v>
      </c>
      <c r="E8052" t="s" s="9">
        <v>2876</v>
      </c>
      <c r="F8052" t="s" s="10">
        <v>150</v>
      </c>
      <c r="G8052" s="14"/>
      <c r="H8052" t="s" s="10">
        <v>150</v>
      </c>
      <c r="I8052" s="14"/>
      <c r="J8052" t="s" s="11">
        <v>20</v>
      </c>
      <c r="K8052" s="15"/>
      <c r="L8052" t="s" s="16">
        <f>HYPERLINK("http://csr.bu.edu/ftp/asl/asllvd/demos/verify_start_end_handshape_annotations//test_auto_move//signs_mov_separ_signers/Tyler_5860.mov","MOV")</f>
        <v>21</v>
      </c>
      <c r="M8052" t="s" s="10">
        <v>26</v>
      </c>
      <c r="N8052" s="17">
        <v>14</v>
      </c>
      <c r="O8052" s="18">
        <v>1652</v>
      </c>
      <c r="P8052" s="18">
        <v>1691</v>
      </c>
      <c r="Q8052" s="15"/>
      <c r="R8052" t="s" s="16">
        <f>HYPERLINK("http://secrets.rutgers.edu:8080/data/asl-ftp/asllvd/demos/verify_start_end_handshape_annotations//test_auto_move//signs_mov_separ_signers/Tyler_5860.mov","MOV")</f>
        <v>21</v>
      </c>
    </row>
    <row r="8053" s="2" customFormat="1" ht="13.5" customHeight="1">
      <c r="B8053" s="13"/>
      <c r="C8053" t="s" s="9">
        <v>23</v>
      </c>
      <c r="D8053" t="s" s="8">
        <v>2876</v>
      </c>
      <c r="E8053" t="s" s="9">
        <v>2876</v>
      </c>
      <c r="F8053" t="s" s="10">
        <v>150</v>
      </c>
      <c r="G8053" s="14"/>
      <c r="H8053" t="s" s="10">
        <v>150</v>
      </c>
      <c r="I8053" s="14"/>
      <c r="J8053" t="s" s="11">
        <v>20</v>
      </c>
      <c r="K8053" t="s" s="16">
        <f>HYPERLINK("http://csr.bu.edu/ftp/asl/asllvd/demos/verify_start_end_handshape_annotations//test_auto_move//signs_mov/5860_5861_merged.mov","MOV")</f>
        <v>21</v>
      </c>
      <c r="L8053" t="s" s="16">
        <f>HYPERLINK("http://csr.bu.edu/ftp/asl/asllvd/demos/verify_start_end_handshape_annotations//test_auto_move//signs_mov_separ_signers/Tyler_5861.mov","MOV")</f>
        <v>21</v>
      </c>
      <c r="M8053" t="s" s="10">
        <v>37</v>
      </c>
      <c r="N8053" s="17">
        <v>18</v>
      </c>
      <c r="O8053" s="18">
        <v>2927</v>
      </c>
      <c r="P8053" s="18">
        <v>2956</v>
      </c>
      <c r="Q8053" t="s" s="16">
        <f>HYPERLINK("http://secrets.rutgers.edu:8080/data/asl-ftp/asllvd/demos/verify_start_end_handshape_annotations//test_auto_move//signs_mov/5860_5861_merged.mov","MOV")</f>
        <v>21</v>
      </c>
      <c r="R8053" t="s" s="16">
        <f>HYPERLINK("http://secrets.rutgers.edu:8080/data/asl-ftp/asllvd/demos/verify_start_end_handshape_annotations//test_auto_move//signs_mov_separ_signers/Tyler_5861.mov","MOV")</f>
        <v>21</v>
      </c>
    </row>
    <row r="8054" s="2" customFormat="1" ht="13.5" customHeight="1">
      <c r="B8054" s="13"/>
      <c r="C8054" t="s" s="9">
        <v>27</v>
      </c>
      <c r="D8054" t="s" s="8">
        <v>2876</v>
      </c>
      <c r="E8054" t="s" s="9">
        <v>2876</v>
      </c>
      <c r="F8054" s="19">
        <v>5</v>
      </c>
      <c r="G8054" s="14"/>
      <c r="H8054" s="19">
        <v>5</v>
      </c>
      <c r="I8054" s="14"/>
      <c r="J8054" t="s" s="11">
        <v>20</v>
      </c>
      <c r="K8054" s="15"/>
      <c r="L8054" t="s" s="16">
        <f>HYPERLINK("http://csr.bu.edu/ftp/asl/asllvd/demos/verify_start_end_handshape_annotations//test_auto_move//signs_mov_separ_signers/Naomi_5860.mov","MOV")</f>
        <v>21</v>
      </c>
      <c r="M8054" t="s" s="10">
        <v>29</v>
      </c>
      <c r="N8054" s="17">
        <v>14</v>
      </c>
      <c r="O8054" s="18">
        <v>1300</v>
      </c>
      <c r="P8054" s="18">
        <v>1327</v>
      </c>
      <c r="Q8054" s="15"/>
      <c r="R8054" t="s" s="16">
        <f>HYPERLINK("http://secrets.rutgers.edu:8080/data/asl-ftp/asllvd/demos/verify_start_end_handshape_annotations//test_auto_move//signs_mov_separ_signers/Naomi_5860.mov","MOV")</f>
        <v>21</v>
      </c>
    </row>
    <row r="8055" s="2" customFormat="1" ht="13.5" customHeight="1">
      <c r="B8055" s="13"/>
      <c r="C8055" t="s" s="9">
        <v>30</v>
      </c>
      <c r="D8055" t="s" s="8">
        <v>2876</v>
      </c>
      <c r="E8055" t="s" s="9">
        <v>2876</v>
      </c>
      <c r="F8055" t="s" s="10">
        <v>150</v>
      </c>
      <c r="G8055" s="14"/>
      <c r="H8055" t="s" s="10">
        <v>150</v>
      </c>
      <c r="I8055" s="14"/>
      <c r="J8055" t="s" s="11">
        <v>20</v>
      </c>
      <c r="K8055" s="15"/>
      <c r="L8055" t="s" s="16">
        <f>HYPERLINK("http://csr.bu.edu/ftp/asl/asllvd/demos/verify_start_end_handshape_annotations//test_auto_move//signs_mov_separ_signers/Brady_5860.mov","MOV")</f>
        <v>21</v>
      </c>
      <c r="M8055" t="s" s="10">
        <v>31</v>
      </c>
      <c r="N8055" s="17">
        <v>13</v>
      </c>
      <c r="O8055" s="18">
        <v>504</v>
      </c>
      <c r="P8055" s="18">
        <v>529</v>
      </c>
      <c r="Q8055" s="15"/>
      <c r="R8055" t="s" s="16">
        <f>HYPERLINK("http://secrets.rutgers.edu:8080/data/asl-ftp/asllvd/demos/verify_start_end_handshape_annotations//test_auto_move//signs_mov_separ_signers/Brady_5860.mov","MOV")</f>
        <v>21</v>
      </c>
    </row>
    <row r="8056" s="2" customFormat="1" ht="13.5" customHeight="1">
      <c r="B8056" t="s" s="8">
        <v>2877</v>
      </c>
      <c r="C8056" t="s" s="9">
        <v>14</v>
      </c>
      <c r="D8056" t="s" s="8">
        <v>14</v>
      </c>
      <c r="E8056" t="s" s="9">
        <v>14</v>
      </c>
      <c r="F8056" t="s" s="10">
        <v>14</v>
      </c>
      <c r="G8056" t="s" s="11">
        <v>14</v>
      </c>
      <c r="H8056" t="s" s="10">
        <v>14</v>
      </c>
      <c r="I8056" t="s" s="11">
        <v>14</v>
      </c>
      <c r="J8056" t="s" s="11">
        <v>14</v>
      </c>
      <c r="K8056" t="s" s="12">
        <v>14</v>
      </c>
      <c r="L8056" t="s" s="12">
        <v>14</v>
      </c>
      <c r="M8056" t="s" s="10">
        <v>14</v>
      </c>
      <c r="N8056" t="s" s="11">
        <v>14</v>
      </c>
      <c r="O8056" t="s" s="8">
        <v>14</v>
      </c>
      <c r="P8056" t="s" s="8">
        <v>14</v>
      </c>
      <c r="Q8056" t="s" s="12">
        <v>14</v>
      </c>
      <c r="R8056" t="s" s="12">
        <v>14</v>
      </c>
    </row>
    <row r="8057" s="2" customFormat="1" ht="13.5" customHeight="1">
      <c r="B8057" s="13"/>
      <c r="C8057" t="s" s="9">
        <v>16</v>
      </c>
      <c r="D8057" t="s" s="8">
        <v>2877</v>
      </c>
      <c r="E8057" t="s" s="9">
        <v>2877</v>
      </c>
      <c r="F8057" t="s" s="10">
        <v>185</v>
      </c>
      <c r="G8057" t="s" s="11">
        <v>105</v>
      </c>
      <c r="H8057" t="s" s="10">
        <v>73</v>
      </c>
      <c r="I8057" t="s" s="11">
        <v>105</v>
      </c>
      <c r="J8057" t="s" s="11">
        <v>136</v>
      </c>
      <c r="K8057" s="15"/>
      <c r="L8057" t="s" s="16">
        <f>HYPERLINK("http://csr.bu.edu/ftp/asl/asllvd/demos/verify_start_end_handshape_annotations//test_auto_move//signs_mov_separ_signers/Liz_15460.mov","MOV")</f>
        <v>21</v>
      </c>
      <c r="M8057" t="s" s="10">
        <v>36</v>
      </c>
      <c r="N8057" s="17">
        <v>35</v>
      </c>
      <c r="O8057" s="18">
        <v>396</v>
      </c>
      <c r="P8057" s="18">
        <v>447</v>
      </c>
      <c r="Q8057" s="15"/>
      <c r="R8057" t="s" s="16">
        <f>HYPERLINK("http://secrets.rutgers.edu:8080/data/asl-ftp/asllvd/demos/verify_start_end_handshape_annotations//test_auto_move//signs_mov_separ_signers/Liz_15460.mov","MOV")</f>
        <v>21</v>
      </c>
    </row>
    <row r="8058" s="2" customFormat="1" ht="13.5" customHeight="1">
      <c r="B8058" s="13"/>
      <c r="C8058" t="s" s="9">
        <v>30</v>
      </c>
      <c r="D8058" t="s" s="8">
        <v>2877</v>
      </c>
      <c r="E8058" t="s" s="9">
        <v>2877</v>
      </c>
      <c r="F8058" t="s" s="10">
        <v>185</v>
      </c>
      <c r="G8058" t="s" s="11">
        <v>68</v>
      </c>
      <c r="H8058" t="s" s="10">
        <v>73</v>
      </c>
      <c r="I8058" t="s" s="11">
        <v>68</v>
      </c>
      <c r="J8058" t="s" s="11">
        <v>136</v>
      </c>
      <c r="K8058" t="s" s="16">
        <f>HYPERLINK("http://csr.bu.edu/ftp/asl/asllvd/demos/verify_start_end_handshape_annotations//test_auto_move//signs_mov/15460_15484_merged.mov","MOV")</f>
        <v>21</v>
      </c>
      <c r="L8058" t="s" s="16">
        <f>HYPERLINK("http://csr.bu.edu/ftp/asl/asllvd/demos/verify_start_end_handshape_annotations//test_auto_move//signs_mov_separ_signers/Brady_15460.mov","MOV")</f>
        <v>21</v>
      </c>
      <c r="M8058" t="s" s="10">
        <v>40</v>
      </c>
      <c r="N8058" s="17">
        <v>87</v>
      </c>
      <c r="O8058" s="18">
        <v>772</v>
      </c>
      <c r="P8058" s="18">
        <v>811</v>
      </c>
      <c r="Q8058" t="s" s="16">
        <f>HYPERLINK("http://secrets.rutgers.edu:8080/data/asl-ftp/asllvd/demos/verify_start_end_handshape_annotations//test_auto_move//signs_mov/15460_15484_merged.mov","MOV")</f>
        <v>21</v>
      </c>
      <c r="R8058" t="s" s="16">
        <f>HYPERLINK("http://secrets.rutgers.edu:8080/data/asl-ftp/asllvd/demos/verify_start_end_handshape_annotations//test_auto_move//signs_mov_separ_signers/Brady_15460.mov","MOV")</f>
        <v>21</v>
      </c>
    </row>
    <row r="8059" s="2" customFormat="1" ht="13.5" customHeight="1">
      <c r="B8059" s="13"/>
      <c r="C8059" t="s" s="9">
        <v>30</v>
      </c>
      <c r="D8059" t="s" s="8">
        <v>2877</v>
      </c>
      <c r="E8059" t="s" s="9">
        <v>2877</v>
      </c>
      <c r="F8059" t="s" s="10">
        <v>150</v>
      </c>
      <c r="G8059" t="s" s="11">
        <v>105</v>
      </c>
      <c r="H8059" t="s" s="10">
        <v>73</v>
      </c>
      <c r="I8059" t="s" s="11">
        <v>105</v>
      </c>
      <c r="J8059" t="s" s="11">
        <v>136</v>
      </c>
      <c r="K8059" s="15"/>
      <c r="L8059" t="s" s="16">
        <f>HYPERLINK("http://csr.bu.edu/ftp/asl/asllvd/demos/verify_start_end_handshape_annotations//test_auto_move//signs_mov_separ_signers/Brady_15484.mov","MOV")</f>
        <v>21</v>
      </c>
      <c r="M8059" t="s" s="10">
        <v>60</v>
      </c>
      <c r="N8059" s="17">
        <v>53</v>
      </c>
      <c r="O8059" s="18">
        <v>675</v>
      </c>
      <c r="P8059" s="18">
        <v>725</v>
      </c>
      <c r="Q8059" s="15"/>
      <c r="R8059" t="s" s="16">
        <f>HYPERLINK("http://secrets.rutgers.edu:8080/data/asl-ftp/asllvd/demos/verify_start_end_handshape_annotations//test_auto_move//signs_mov_separ_signers/Brady_15484.mov","MOV")</f>
        <v>21</v>
      </c>
    </row>
    <row r="8060" s="2" customFormat="1" ht="13.5" customHeight="1">
      <c r="B8060" t="s" s="8">
        <v>2878</v>
      </c>
      <c r="C8060" t="s" s="9">
        <v>14</v>
      </c>
      <c r="D8060" t="s" s="8">
        <v>14</v>
      </c>
      <c r="E8060" t="s" s="9">
        <v>14</v>
      </c>
      <c r="F8060" t="s" s="10">
        <v>14</v>
      </c>
      <c r="G8060" t="s" s="11">
        <v>14</v>
      </c>
      <c r="H8060" t="s" s="10">
        <v>14</v>
      </c>
      <c r="I8060" t="s" s="11">
        <v>14</v>
      </c>
      <c r="J8060" t="s" s="11">
        <v>14</v>
      </c>
      <c r="K8060" t="s" s="12">
        <v>14</v>
      </c>
      <c r="L8060" t="s" s="12">
        <v>14</v>
      </c>
      <c r="M8060" t="s" s="10">
        <v>14</v>
      </c>
      <c r="N8060" t="s" s="11">
        <v>14</v>
      </c>
      <c r="O8060" t="s" s="8">
        <v>14</v>
      </c>
      <c r="P8060" t="s" s="8">
        <v>14</v>
      </c>
      <c r="Q8060" t="s" s="12">
        <v>14</v>
      </c>
      <c r="R8060" t="s" s="12">
        <v>14</v>
      </c>
    </row>
    <row r="8061" s="2" customFormat="1" ht="13.5" customHeight="1">
      <c r="B8061" s="13"/>
      <c r="C8061" t="s" s="9">
        <v>16</v>
      </c>
      <c r="D8061" t="s" s="8">
        <v>2878</v>
      </c>
      <c r="E8061" t="s" s="9">
        <v>2878</v>
      </c>
      <c r="F8061" t="s" s="10">
        <v>185</v>
      </c>
      <c r="G8061" t="s" s="11">
        <v>105</v>
      </c>
      <c r="H8061" t="s" s="10">
        <v>73</v>
      </c>
      <c r="I8061" t="s" s="11">
        <v>105</v>
      </c>
      <c r="J8061" t="s" s="11">
        <v>136</v>
      </c>
      <c r="K8061" t="s" s="16">
        <f>HYPERLINK("http://csr.bu.edu/ftp/asl/asllvd/demos/verify_start_end_handshape_annotations//test_auto_move//signs_mov/15485.mov","MOV")</f>
        <v>21</v>
      </c>
      <c r="L8061" t="s" s="16">
        <f>HYPERLINK("http://csr.bu.edu/ftp/asl/asllvd/demos/verify_start_end_handshape_annotations//test_auto_move//signs_mov_separ_signers/Liz_15485.mov","MOV")</f>
        <v>21</v>
      </c>
      <c r="M8061" t="s" s="10">
        <v>36</v>
      </c>
      <c r="N8061" s="17">
        <v>35</v>
      </c>
      <c r="O8061" s="18">
        <v>641</v>
      </c>
      <c r="P8061" s="18">
        <v>690</v>
      </c>
      <c r="Q8061" t="s" s="16">
        <f>HYPERLINK("http://secrets.rutgers.edu:8080/data/asl-ftp/asllvd/demos/verify_start_end_handshape_annotations//test_auto_move//signs_mov/15485.mov","MOV")</f>
        <v>21</v>
      </c>
      <c r="R8061" t="s" s="16">
        <f>HYPERLINK("http://secrets.rutgers.edu:8080/data/asl-ftp/asllvd/demos/verify_start_end_handshape_annotations//test_auto_move//signs_mov_separ_signers/Liz_15485.mov","MOV")</f>
        <v>21</v>
      </c>
    </row>
    <row r="8062" s="2" customFormat="1" ht="13.5" customHeight="1">
      <c r="B8062" t="s" s="8">
        <v>2879</v>
      </c>
      <c r="C8062" t="s" s="9">
        <v>14</v>
      </c>
      <c r="D8062" t="s" s="8">
        <v>14</v>
      </c>
      <c r="E8062" t="s" s="9">
        <v>14</v>
      </c>
      <c r="F8062" t="s" s="10">
        <v>14</v>
      </c>
      <c r="G8062" t="s" s="11">
        <v>14</v>
      </c>
      <c r="H8062" t="s" s="10">
        <v>14</v>
      </c>
      <c r="I8062" t="s" s="11">
        <v>14</v>
      </c>
      <c r="J8062" t="s" s="11">
        <v>14</v>
      </c>
      <c r="K8062" t="s" s="12">
        <v>14</v>
      </c>
      <c r="L8062" t="s" s="12">
        <v>14</v>
      </c>
      <c r="M8062" t="s" s="10">
        <v>14</v>
      </c>
      <c r="N8062" t="s" s="11">
        <v>14</v>
      </c>
      <c r="O8062" t="s" s="8">
        <v>14</v>
      </c>
      <c r="P8062" t="s" s="8">
        <v>14</v>
      </c>
      <c r="Q8062" t="s" s="12">
        <v>14</v>
      </c>
      <c r="R8062" t="s" s="12">
        <v>14</v>
      </c>
    </row>
    <row r="8063" s="2" customFormat="1" ht="13.5" customHeight="1">
      <c r="B8063" s="13"/>
      <c r="C8063" t="s" s="9">
        <v>30</v>
      </c>
      <c r="D8063" t="s" s="8">
        <v>2879</v>
      </c>
      <c r="E8063" t="s" s="9">
        <v>2879</v>
      </c>
      <c r="F8063" t="s" s="10">
        <v>185</v>
      </c>
      <c r="G8063" s="14"/>
      <c r="H8063" t="s" s="10">
        <v>73</v>
      </c>
      <c r="I8063" s="14"/>
      <c r="J8063" t="s" s="11">
        <v>20</v>
      </c>
      <c r="K8063" t="s" s="16">
        <f>HYPERLINK("http://csr.bu.edu/ftp/asl/asllvd/demos/verify_start_end_handshape_annotations//test_auto_move//signs_mov/16433.mov","MOV")</f>
        <v>21</v>
      </c>
      <c r="L8063" t="s" s="16">
        <f>HYPERLINK("http://csr.bu.edu/ftp/asl/asllvd/demos/verify_start_end_handshape_annotations//test_auto_move//signs_mov_separ_signers/Brady_16433.mov","MOV")</f>
        <v>21</v>
      </c>
      <c r="M8063" t="s" s="10">
        <v>40</v>
      </c>
      <c r="N8063" s="17">
        <v>87</v>
      </c>
      <c r="O8063" s="18">
        <v>1450</v>
      </c>
      <c r="P8063" s="18">
        <v>1485</v>
      </c>
      <c r="Q8063" t="s" s="16">
        <f>HYPERLINK("http://secrets.rutgers.edu:8080/data/asl-ftp/asllvd/demos/verify_start_end_handshape_annotations//test_auto_move//signs_mov/16433.mov","MOV")</f>
        <v>21</v>
      </c>
      <c r="R8063" t="s" s="16">
        <f>HYPERLINK("http://secrets.rutgers.edu:8080/data/asl-ftp/asllvd/demos/verify_start_end_handshape_annotations//test_auto_move//signs_mov_separ_signers/Brady_16433.mov","MOV")</f>
        <v>21</v>
      </c>
    </row>
    <row r="8064" s="2" customFormat="1" ht="13.5" customHeight="1">
      <c r="B8064" t="s" s="8">
        <v>2880</v>
      </c>
      <c r="C8064" t="s" s="9">
        <v>14</v>
      </c>
      <c r="D8064" t="s" s="8">
        <v>14</v>
      </c>
      <c r="E8064" t="s" s="9">
        <v>14</v>
      </c>
      <c r="F8064" t="s" s="10">
        <v>14</v>
      </c>
      <c r="G8064" t="s" s="11">
        <v>14</v>
      </c>
      <c r="H8064" t="s" s="10">
        <v>14</v>
      </c>
      <c r="I8064" t="s" s="11">
        <v>14</v>
      </c>
      <c r="J8064" t="s" s="11">
        <v>14</v>
      </c>
      <c r="K8064" t="s" s="12">
        <v>14</v>
      </c>
      <c r="L8064" t="s" s="12">
        <v>14</v>
      </c>
      <c r="M8064" t="s" s="10">
        <v>14</v>
      </c>
      <c r="N8064" t="s" s="11">
        <v>14</v>
      </c>
      <c r="O8064" t="s" s="8">
        <v>14</v>
      </c>
      <c r="P8064" t="s" s="8">
        <v>14</v>
      </c>
      <c r="Q8064" t="s" s="12">
        <v>14</v>
      </c>
      <c r="R8064" t="s" s="12">
        <v>14</v>
      </c>
    </row>
    <row r="8065" s="2" customFormat="1" ht="13.5" customHeight="1">
      <c r="B8065" s="13"/>
      <c r="C8065" t="s" s="9">
        <v>16</v>
      </c>
      <c r="D8065" t="s" s="8">
        <v>2880</v>
      </c>
      <c r="E8065" t="s" s="9">
        <v>2880</v>
      </c>
      <c r="F8065" t="s" s="10">
        <v>73</v>
      </c>
      <c r="G8065" t="s" s="11">
        <v>73</v>
      </c>
      <c r="H8065" t="s" s="10">
        <v>73</v>
      </c>
      <c r="I8065" t="s" s="11">
        <v>73</v>
      </c>
      <c r="J8065" t="s" s="11">
        <v>20</v>
      </c>
      <c r="K8065" t="s" s="16">
        <f>HYPERLINK("http://csr.bu.edu/ftp/asl/asllvd/demos/verify_start_end_handshape_annotations//test_auto_move//signs_mov/2128.mov","MOV")</f>
        <v>21</v>
      </c>
      <c r="L8065" t="s" s="16">
        <f>HYPERLINK("http://csr.bu.edu/ftp/asl/asllvd/demos/verify_start_end_handshape_annotations//test_auto_move//signs_mov_separ_signers/Liz_2128.mov","MOV")</f>
        <v>21</v>
      </c>
      <c r="M8065" t="s" s="10">
        <v>36</v>
      </c>
      <c r="N8065" s="17">
        <v>15</v>
      </c>
      <c r="O8065" s="18">
        <v>2521</v>
      </c>
      <c r="P8065" s="18">
        <v>2550</v>
      </c>
      <c r="Q8065" t="s" s="16">
        <f>HYPERLINK("http://secrets.rutgers.edu:8080/data/asl-ftp/asllvd/demos/verify_start_end_handshape_annotations//test_auto_move//signs_mov/2128.mov","MOV")</f>
        <v>21</v>
      </c>
      <c r="R8065" t="s" s="16">
        <f>HYPERLINK("http://secrets.rutgers.edu:8080/data/asl-ftp/asllvd/demos/verify_start_end_handshape_annotations//test_auto_move//signs_mov_separ_signers/Liz_2128.mov","MOV")</f>
        <v>21</v>
      </c>
    </row>
    <row r="8066" s="2" customFormat="1" ht="13.5" customHeight="1">
      <c r="B8066" s="13"/>
      <c r="C8066" t="s" s="9">
        <v>30</v>
      </c>
      <c r="D8066" t="s" s="8">
        <v>2880</v>
      </c>
      <c r="E8066" t="s" s="9">
        <v>2880</v>
      </c>
      <c r="F8066" t="s" s="10">
        <v>73</v>
      </c>
      <c r="G8066" t="s" s="11">
        <v>73</v>
      </c>
      <c r="H8066" t="s" s="10">
        <v>73</v>
      </c>
      <c r="I8066" t="s" s="11">
        <v>73</v>
      </c>
      <c r="J8066" t="s" s="11">
        <v>20</v>
      </c>
      <c r="K8066" s="15"/>
      <c r="L8066" t="s" s="16">
        <f>HYPERLINK("http://csr.bu.edu/ftp/asl/asllvd/demos/verify_start_end_handshape_annotations//test_auto_move//signs_mov_separ_signers/Brady_2128.mov","MOV")</f>
        <v>21</v>
      </c>
      <c r="M8066" t="s" s="10">
        <v>40</v>
      </c>
      <c r="N8066" s="17">
        <v>60</v>
      </c>
      <c r="O8066" s="18">
        <v>1667</v>
      </c>
      <c r="P8066" s="18">
        <v>1688</v>
      </c>
      <c r="Q8066" s="15"/>
      <c r="R8066" t="s" s="16">
        <f>HYPERLINK("http://secrets.rutgers.edu:8080/data/asl-ftp/asllvd/demos/verify_start_end_handshape_annotations//test_auto_move//signs_mov_separ_signers/Brady_2128.mov","MOV")</f>
        <v>21</v>
      </c>
    </row>
    <row r="8067" s="2" customFormat="1" ht="13.5" customHeight="1">
      <c r="B8067" t="s" s="8">
        <v>2881</v>
      </c>
      <c r="C8067" t="s" s="9">
        <v>14</v>
      </c>
      <c r="D8067" t="s" s="8">
        <v>14</v>
      </c>
      <c r="E8067" t="s" s="9">
        <v>14</v>
      </c>
      <c r="F8067" t="s" s="10">
        <v>14</v>
      </c>
      <c r="G8067" t="s" s="11">
        <v>14</v>
      </c>
      <c r="H8067" t="s" s="10">
        <v>14</v>
      </c>
      <c r="I8067" t="s" s="11">
        <v>14</v>
      </c>
      <c r="J8067" t="s" s="11">
        <v>14</v>
      </c>
      <c r="K8067" t="s" s="12">
        <v>14</v>
      </c>
      <c r="L8067" t="s" s="12">
        <v>14</v>
      </c>
      <c r="M8067" t="s" s="10">
        <v>14</v>
      </c>
      <c r="N8067" t="s" s="11">
        <v>14</v>
      </c>
      <c r="O8067" t="s" s="8">
        <v>14</v>
      </c>
      <c r="P8067" t="s" s="8">
        <v>14</v>
      </c>
      <c r="Q8067" t="s" s="12">
        <v>14</v>
      </c>
      <c r="R8067" t="s" s="12">
        <v>14</v>
      </c>
    </row>
    <row r="8068" s="2" customFormat="1" ht="13.5" customHeight="1">
      <c r="B8068" s="13"/>
      <c r="C8068" t="s" s="9">
        <v>16</v>
      </c>
      <c r="D8068" t="s" s="8">
        <v>2881</v>
      </c>
      <c r="E8068" t="s" s="9">
        <v>2881</v>
      </c>
      <c r="F8068" s="19">
        <v>1</v>
      </c>
      <c r="G8068" s="17">
        <v>1</v>
      </c>
      <c r="H8068" s="19">
        <v>1</v>
      </c>
      <c r="I8068" s="17">
        <v>1</v>
      </c>
      <c r="J8068" t="s" s="11">
        <v>20</v>
      </c>
      <c r="K8068" s="15"/>
      <c r="L8068" t="s" s="16">
        <f>HYPERLINK("http://csr.bu.edu/ftp/asl/asllvd/demos/verify_start_end_handshape_annotations//test_auto_move//signs_mov_separ_signers/Liz_2129.mov","MOV")</f>
        <v>21</v>
      </c>
      <c r="M8068" t="s" s="10">
        <v>36</v>
      </c>
      <c r="N8068" s="17">
        <v>15</v>
      </c>
      <c r="O8068" s="18">
        <v>2746</v>
      </c>
      <c r="P8068" s="18">
        <v>2760</v>
      </c>
      <c r="Q8068" s="15"/>
      <c r="R8068" t="s" s="16">
        <f>HYPERLINK("http://secrets.rutgers.edu:8080/data/asl-ftp/asllvd/demos/verify_start_end_handshape_annotations//test_auto_move//signs_mov_separ_signers/Liz_2129.mov","MOV")</f>
        <v>21</v>
      </c>
    </row>
    <row r="8069" s="2" customFormat="1" ht="13.5" customHeight="1">
      <c r="B8069" s="13"/>
      <c r="C8069" t="s" s="9">
        <v>30</v>
      </c>
      <c r="D8069" t="s" s="8">
        <v>2881</v>
      </c>
      <c r="E8069" t="s" s="9">
        <v>2881</v>
      </c>
      <c r="F8069" s="19">
        <v>1</v>
      </c>
      <c r="G8069" s="17">
        <v>1</v>
      </c>
      <c r="H8069" s="19">
        <v>1</v>
      </c>
      <c r="I8069" s="17">
        <v>1</v>
      </c>
      <c r="J8069" t="s" s="11">
        <v>20</v>
      </c>
      <c r="K8069" t="s" s="16">
        <f>HYPERLINK("http://csr.bu.edu/ftp/asl/asllvd/demos/verify_start_end_handshape_annotations//test_auto_move//signs_mov/2129.mov","MOV")</f>
        <v>21</v>
      </c>
      <c r="L8069" t="s" s="16">
        <f>HYPERLINK("http://csr.bu.edu/ftp/asl/asllvd/demos/verify_start_end_handshape_annotations//test_auto_move//signs_mov_separ_signers/Brady_2129.mov","MOV")</f>
        <v>21</v>
      </c>
      <c r="M8069" t="s" s="10">
        <v>40</v>
      </c>
      <c r="N8069" s="17">
        <v>60</v>
      </c>
      <c r="O8069" s="18">
        <v>1900</v>
      </c>
      <c r="P8069" s="18">
        <v>1916</v>
      </c>
      <c r="Q8069" t="s" s="16">
        <f>HYPERLINK("http://secrets.rutgers.edu:8080/data/asl-ftp/asllvd/demos/verify_start_end_handshape_annotations//test_auto_move//signs_mov/2129.mov","MOV")</f>
        <v>21</v>
      </c>
      <c r="R8069" t="s" s="16">
        <f>HYPERLINK("http://secrets.rutgers.edu:8080/data/asl-ftp/asllvd/demos/verify_start_end_handshape_annotations//test_auto_move//signs_mov_separ_signers/Brady_2129.mov","MOV")</f>
        <v>21</v>
      </c>
    </row>
    <row r="8070" s="2" customFormat="1" ht="13.5" customHeight="1">
      <c r="B8070" s="13"/>
      <c r="C8070" t="s" s="9">
        <v>41</v>
      </c>
      <c r="D8070" t="s" s="8">
        <v>2881</v>
      </c>
      <c r="E8070" t="s" s="9">
        <v>2881</v>
      </c>
      <c r="F8070" s="19">
        <v>1</v>
      </c>
      <c r="G8070" s="17">
        <v>1</v>
      </c>
      <c r="H8070" s="19">
        <v>1</v>
      </c>
      <c r="I8070" s="17">
        <v>1</v>
      </c>
      <c r="J8070" t="s" s="11">
        <v>20</v>
      </c>
      <c r="K8070" s="15"/>
      <c r="L8070" t="s" s="16">
        <f>HYPERLINK("http://csr.bu.edu/ftp/asl/asllvd/demos/verify_start_end_handshape_annotations//test_auto_move//signs_mov_separ_signers/Lana_2129.mov","MOV")</f>
        <v>21</v>
      </c>
      <c r="M8070" t="s" s="10">
        <v>42</v>
      </c>
      <c r="N8070" s="17">
        <v>24</v>
      </c>
      <c r="O8070" s="18">
        <v>202</v>
      </c>
      <c r="P8070" s="18">
        <v>208</v>
      </c>
      <c r="Q8070" s="15"/>
      <c r="R8070" t="s" s="16">
        <f>HYPERLINK("http://secrets.rutgers.edu:8080/data/asl-ftp/asllvd/demos/verify_start_end_handshape_annotations//test_auto_move//signs_mov_separ_signers/Lana_2129.mov","MOV")</f>
        <v>21</v>
      </c>
    </row>
    <row r="8071" s="2" customFormat="1" ht="13.5" customHeight="1">
      <c r="B8071" s="13"/>
      <c r="C8071" t="s" s="9">
        <v>43</v>
      </c>
      <c r="D8071" t="s" s="8">
        <v>2881</v>
      </c>
      <c r="E8071" t="s" s="9">
        <v>2881</v>
      </c>
      <c r="F8071" s="19">
        <v>1</v>
      </c>
      <c r="G8071" s="17">
        <v>1</v>
      </c>
      <c r="H8071" s="19">
        <v>1</v>
      </c>
      <c r="I8071" s="17">
        <v>1</v>
      </c>
      <c r="J8071" t="s" s="11">
        <v>20</v>
      </c>
      <c r="K8071" s="15"/>
      <c r="L8071" t="s" s="16">
        <f>HYPERLINK("http://csr.bu.edu/ftp/asl/asllvd/demos/verify_start_end_handshape_annotations//test_auto_move//signs_mov_separ_signers/Dana_2129.mov","MOV")</f>
        <v>21</v>
      </c>
      <c r="M8071" t="s" s="10">
        <v>44</v>
      </c>
      <c r="N8071" s="17">
        <v>26</v>
      </c>
      <c r="O8071" s="18">
        <v>155</v>
      </c>
      <c r="P8071" s="18">
        <v>196</v>
      </c>
      <c r="Q8071" s="15"/>
      <c r="R8071" t="s" s="16">
        <f>HYPERLINK("http://secrets.rutgers.edu:8080/data/asl-ftp/asllvd/demos/verify_start_end_handshape_annotations//test_auto_move//signs_mov_separ_signers/Dana_2129.mov","MOV")</f>
        <v>21</v>
      </c>
    </row>
    <row r="8072" s="2" customFormat="1" ht="13.5" customHeight="1">
      <c r="B8072" t="s" s="8">
        <v>2882</v>
      </c>
      <c r="C8072" t="s" s="9">
        <v>14</v>
      </c>
      <c r="D8072" t="s" s="8">
        <v>14</v>
      </c>
      <c r="E8072" t="s" s="9">
        <v>14</v>
      </c>
      <c r="F8072" t="s" s="10">
        <v>14</v>
      </c>
      <c r="G8072" t="s" s="11">
        <v>14</v>
      </c>
      <c r="H8072" t="s" s="10">
        <v>14</v>
      </c>
      <c r="I8072" t="s" s="11">
        <v>14</v>
      </c>
      <c r="J8072" t="s" s="11">
        <v>14</v>
      </c>
      <c r="K8072" t="s" s="12">
        <v>14</v>
      </c>
      <c r="L8072" t="s" s="12">
        <v>14</v>
      </c>
      <c r="M8072" t="s" s="10">
        <v>14</v>
      </c>
      <c r="N8072" t="s" s="11">
        <v>14</v>
      </c>
      <c r="O8072" t="s" s="8">
        <v>14</v>
      </c>
      <c r="P8072" t="s" s="8">
        <v>14</v>
      </c>
      <c r="Q8072" t="s" s="12">
        <v>14</v>
      </c>
      <c r="R8072" t="s" s="12">
        <v>14</v>
      </c>
    </row>
    <row r="8073" s="2" customFormat="1" ht="13.5" customHeight="1">
      <c r="B8073" s="13"/>
      <c r="C8073" t="s" s="9">
        <v>16</v>
      </c>
      <c r="D8073" t="s" s="8">
        <v>2882</v>
      </c>
      <c r="E8073" t="s" s="9">
        <v>2882</v>
      </c>
      <c r="F8073" t="s" s="10">
        <v>251</v>
      </c>
      <c r="G8073" s="14"/>
      <c r="H8073" t="s" s="10">
        <v>251</v>
      </c>
      <c r="I8073" s="14"/>
      <c r="J8073" t="s" s="11">
        <v>20</v>
      </c>
      <c r="K8073" s="15"/>
      <c r="L8073" t="s" s="16">
        <f>HYPERLINK("http://csr.bu.edu/ftp/asl/asllvd/demos/verify_start_end_handshape_annotations//test_auto_move//signs_mov_separ_signers/Liz_2130.mov","MOV")</f>
        <v>21</v>
      </c>
      <c r="M8073" t="s" s="10">
        <v>36</v>
      </c>
      <c r="N8073" s="17">
        <v>16</v>
      </c>
      <c r="O8073" s="18">
        <v>580</v>
      </c>
      <c r="P8073" s="18">
        <v>607</v>
      </c>
      <c r="Q8073" s="15"/>
      <c r="R8073" t="s" s="16">
        <f>HYPERLINK("http://secrets.rutgers.edu:8080/data/asl-ftp/asllvd/demos/verify_start_end_handshape_annotations//test_auto_move//signs_mov_separ_signers/Liz_2130.mov","MOV")</f>
        <v>21</v>
      </c>
    </row>
    <row r="8074" s="2" customFormat="1" ht="13.5" customHeight="1">
      <c r="B8074" s="13"/>
      <c r="C8074" t="s" s="9">
        <v>30</v>
      </c>
      <c r="D8074" t="s" s="8">
        <v>2882</v>
      </c>
      <c r="E8074" t="s" s="9">
        <v>2882</v>
      </c>
      <c r="F8074" t="s" s="10">
        <v>251</v>
      </c>
      <c r="G8074" s="14"/>
      <c r="H8074" t="s" s="10">
        <v>251</v>
      </c>
      <c r="I8074" s="14"/>
      <c r="J8074" t="s" s="11">
        <v>20</v>
      </c>
      <c r="K8074" t="s" s="16">
        <f>HYPERLINK("http://csr.bu.edu/ftp/asl/asllvd/demos/verify_start_end_handshape_annotations//test_auto_move//signs_mov/2130.mov","MOV")</f>
        <v>21</v>
      </c>
      <c r="L8074" t="s" s="16">
        <f>HYPERLINK("http://csr.bu.edu/ftp/asl/asllvd/demos/verify_start_end_handshape_annotations//test_auto_move//signs_mov_separ_signers/Brady_2130.mov","MOV")</f>
        <v>21</v>
      </c>
      <c r="M8074" t="s" s="10">
        <v>40</v>
      </c>
      <c r="N8074" s="17">
        <v>60</v>
      </c>
      <c r="O8074" s="18">
        <v>2442</v>
      </c>
      <c r="P8074" s="18">
        <v>2459</v>
      </c>
      <c r="Q8074" t="s" s="16">
        <f>HYPERLINK("http://secrets.rutgers.edu:8080/data/asl-ftp/asllvd/demos/verify_start_end_handshape_annotations//test_auto_move//signs_mov/2130.mov","MOV")</f>
        <v>21</v>
      </c>
      <c r="R8074" t="s" s="16">
        <f>HYPERLINK("http://secrets.rutgers.edu:8080/data/asl-ftp/asllvd/demos/verify_start_end_handshape_annotations//test_auto_move//signs_mov_separ_signers/Brady_2130.mov","MOV")</f>
        <v>21</v>
      </c>
    </row>
    <row r="8075" s="2" customFormat="1" ht="13.5" customHeight="1">
      <c r="B8075" s="13"/>
      <c r="C8075" t="s" s="9">
        <v>43</v>
      </c>
      <c r="D8075" t="s" s="8">
        <v>2882</v>
      </c>
      <c r="E8075" t="s" s="9">
        <v>2882</v>
      </c>
      <c r="F8075" t="s" s="10">
        <v>251</v>
      </c>
      <c r="G8075" s="14"/>
      <c r="H8075" t="s" s="10">
        <v>251</v>
      </c>
      <c r="I8075" s="14"/>
      <c r="J8075" t="s" s="11">
        <v>20</v>
      </c>
      <c r="K8075" s="15"/>
      <c r="L8075" t="s" s="16">
        <f>HYPERLINK("http://csr.bu.edu/ftp/asl/asllvd/demos/verify_start_end_handshape_annotations//test_auto_move//signs_mov_separ_signers/Dana_2130.mov","MOV")</f>
        <v>21</v>
      </c>
      <c r="M8075" t="s" s="10">
        <v>44</v>
      </c>
      <c r="N8075" s="17">
        <v>25</v>
      </c>
      <c r="O8075" s="18">
        <v>1521</v>
      </c>
      <c r="P8075" s="18">
        <v>1556</v>
      </c>
      <c r="Q8075" s="15"/>
      <c r="R8075" t="s" s="16">
        <f>HYPERLINK("http://secrets.rutgers.edu:8080/data/asl-ftp/asllvd/demos/verify_start_end_handshape_annotations//test_auto_move//signs_mov_separ_signers/Dana_2130.mov","MOV")</f>
        <v>21</v>
      </c>
    </row>
    <row r="8076" s="2" customFormat="1" ht="13.5" customHeight="1">
      <c r="B8076" t="s" s="8">
        <v>52</v>
      </c>
      <c r="C8076" t="s" s="9">
        <v>53</v>
      </c>
      <c r="D8076" t="s" s="8">
        <v>53</v>
      </c>
      <c r="E8076" t="s" s="9">
        <v>53</v>
      </c>
      <c r="F8076" t="s" s="10">
        <v>53</v>
      </c>
      <c r="G8076" t="s" s="11">
        <v>53</v>
      </c>
      <c r="H8076" t="s" s="10">
        <v>53</v>
      </c>
      <c r="I8076" t="s" s="11">
        <v>53</v>
      </c>
      <c r="J8076" t="s" s="11">
        <v>53</v>
      </c>
      <c r="K8076" t="s" s="12">
        <v>53</v>
      </c>
      <c r="L8076" t="s" s="12">
        <v>53</v>
      </c>
      <c r="M8076" t="s" s="10">
        <v>53</v>
      </c>
      <c r="N8076" t="s" s="11">
        <v>53</v>
      </c>
      <c r="O8076" t="s" s="8">
        <v>53</v>
      </c>
      <c r="P8076" t="s" s="8">
        <v>53</v>
      </c>
      <c r="Q8076" t="s" s="12">
        <v>53</v>
      </c>
      <c r="R8076" t="s" s="12">
        <v>53</v>
      </c>
    </row>
    <row r="8077" s="2" customFormat="1" ht="13.5" customHeight="1">
      <c r="B8077" s="13"/>
      <c r="C8077" t="s" s="9">
        <v>41</v>
      </c>
      <c r="D8077" t="s" s="8">
        <v>2882</v>
      </c>
      <c r="E8077" t="s" s="9">
        <v>2883</v>
      </c>
      <c r="F8077" t="s" s="10">
        <v>251</v>
      </c>
      <c r="G8077" s="14"/>
      <c r="H8077" t="s" s="10">
        <v>251</v>
      </c>
      <c r="I8077" s="14"/>
      <c r="J8077" t="s" s="11">
        <v>20</v>
      </c>
      <c r="K8077" t="s" s="16">
        <f>HYPERLINK("http://csr.bu.edu/ftp/asl/asllvd/demos/verify_start_end_handshape_annotations//test_auto_move//signs_mov/16434.mov","MOV")</f>
        <v>21</v>
      </c>
      <c r="L8077" t="s" s="16">
        <f>HYPERLINK("http://csr.bu.edu/ftp/asl/asllvd/demos/verify_start_end_handshape_annotations//test_auto_move//signs_mov_separ_signers/Lana_16434.mov","MOV")</f>
        <v>21</v>
      </c>
      <c r="M8077" t="s" s="10">
        <v>42</v>
      </c>
      <c r="N8077" s="17">
        <v>22</v>
      </c>
      <c r="O8077" s="18">
        <v>1598</v>
      </c>
      <c r="P8077" s="18">
        <v>1612</v>
      </c>
      <c r="Q8077" t="s" s="16">
        <f>HYPERLINK("http://secrets.rutgers.edu:8080/data/asl-ftp/asllvd/demos/verify_start_end_handshape_annotations//test_auto_move//signs_mov/16434.mov","MOV")</f>
        <v>21</v>
      </c>
      <c r="R8077" t="s" s="16">
        <f>HYPERLINK("http://secrets.rutgers.edu:8080/data/asl-ftp/asllvd/demos/verify_start_end_handshape_annotations//test_auto_move//signs_mov_separ_signers/Lana_16434.mov","MOV")</f>
        <v>21</v>
      </c>
    </row>
    <row r="8078" s="2" customFormat="1" ht="13.5" customHeight="1">
      <c r="B8078" t="s" s="8">
        <v>2884</v>
      </c>
      <c r="C8078" t="s" s="9">
        <v>14</v>
      </c>
      <c r="D8078" t="s" s="8">
        <v>14</v>
      </c>
      <c r="E8078" t="s" s="9">
        <v>14</v>
      </c>
      <c r="F8078" t="s" s="10">
        <v>14</v>
      </c>
      <c r="G8078" t="s" s="11">
        <v>14</v>
      </c>
      <c r="H8078" t="s" s="10">
        <v>14</v>
      </c>
      <c r="I8078" t="s" s="11">
        <v>14</v>
      </c>
      <c r="J8078" t="s" s="11">
        <v>14</v>
      </c>
      <c r="K8078" t="s" s="12">
        <v>14</v>
      </c>
      <c r="L8078" t="s" s="12">
        <v>14</v>
      </c>
      <c r="M8078" t="s" s="10">
        <v>14</v>
      </c>
      <c r="N8078" t="s" s="11">
        <v>14</v>
      </c>
      <c r="O8078" t="s" s="8">
        <v>14</v>
      </c>
      <c r="P8078" t="s" s="8">
        <v>14</v>
      </c>
      <c r="Q8078" t="s" s="12">
        <v>14</v>
      </c>
      <c r="R8078" t="s" s="12">
        <v>14</v>
      </c>
    </row>
    <row r="8079" s="2" customFormat="1" ht="13.5" customHeight="1">
      <c r="B8079" s="13"/>
      <c r="C8079" t="s" s="9">
        <v>16</v>
      </c>
      <c r="D8079" t="s" s="8">
        <v>2884</v>
      </c>
      <c r="E8079" t="s" s="9">
        <v>2885</v>
      </c>
      <c r="F8079" t="s" s="10">
        <v>437</v>
      </c>
      <c r="G8079" s="17">
        <v>5</v>
      </c>
      <c r="H8079" t="s" s="10">
        <v>437</v>
      </c>
      <c r="I8079" s="17">
        <v>5</v>
      </c>
      <c r="J8079" t="s" s="11">
        <v>20</v>
      </c>
      <c r="K8079" t="s" s="16">
        <f>HYPERLINK("http://csr.bu.edu/ftp/asl/asllvd/demos/verify_start_end_handshape_annotations//test_auto_move//signs_mov/2131.mov","MOV")</f>
        <v>21</v>
      </c>
      <c r="L8079" t="s" s="16">
        <f>HYPERLINK("http://csr.bu.edu/ftp/asl/asllvd/demos/verify_start_end_handshape_annotations//test_auto_move//signs_mov_separ_signers/Liz_2131.mov","MOV")</f>
        <v>21</v>
      </c>
      <c r="M8079" t="s" s="10">
        <v>36</v>
      </c>
      <c r="N8079" s="17">
        <v>16</v>
      </c>
      <c r="O8079" s="18">
        <v>870</v>
      </c>
      <c r="P8079" s="18">
        <v>907</v>
      </c>
      <c r="Q8079" t="s" s="16">
        <f>HYPERLINK("http://secrets.rutgers.edu:8080/data/asl-ftp/asllvd/demos/verify_start_end_handshape_annotations//test_auto_move//signs_mov/2131.mov","MOV")</f>
        <v>21</v>
      </c>
      <c r="R8079" t="s" s="16">
        <f>HYPERLINK("http://secrets.rutgers.edu:8080/data/asl-ftp/asllvd/demos/verify_start_end_handshape_annotations//test_auto_move//signs_mov_separ_signers/Liz_2131.mov","MOV")</f>
        <v>21</v>
      </c>
    </row>
    <row r="8080" s="2" customFormat="1" ht="13.5" customHeight="1">
      <c r="B8080" s="13"/>
      <c r="C8080" t="s" s="9">
        <v>30</v>
      </c>
      <c r="D8080" t="s" s="8">
        <v>2884</v>
      </c>
      <c r="E8080" t="s" s="9">
        <v>2885</v>
      </c>
      <c r="F8080" t="s" s="10">
        <v>437</v>
      </c>
      <c r="G8080" s="17">
        <v>5</v>
      </c>
      <c r="H8080" t="s" s="10">
        <v>437</v>
      </c>
      <c r="I8080" s="17">
        <v>5</v>
      </c>
      <c r="J8080" t="s" s="11">
        <v>20</v>
      </c>
      <c r="K8080" s="15"/>
      <c r="L8080" t="s" s="16">
        <f>HYPERLINK("http://csr.bu.edu/ftp/asl/asllvd/demos/verify_start_end_handshape_annotations//test_auto_move//signs_mov_separ_signers/Brady_2131.mov","MOV")</f>
        <v>21</v>
      </c>
      <c r="M8080" t="s" s="10">
        <v>40</v>
      </c>
      <c r="N8080" s="17">
        <v>61</v>
      </c>
      <c r="O8080" s="18">
        <v>186</v>
      </c>
      <c r="P8080" s="18">
        <v>216</v>
      </c>
      <c r="Q8080" s="15"/>
      <c r="R8080" t="s" s="16">
        <f>HYPERLINK("http://secrets.rutgers.edu:8080/data/asl-ftp/asllvd/demos/verify_start_end_handshape_annotations//test_auto_move//signs_mov_separ_signers/Brady_2131.mov","MOV")</f>
        <v>21</v>
      </c>
    </row>
    <row r="8081" s="2" customFormat="1" ht="13.5" customHeight="1">
      <c r="B8081" t="s" s="8">
        <v>2886</v>
      </c>
      <c r="C8081" t="s" s="9">
        <v>14</v>
      </c>
      <c r="D8081" t="s" s="8">
        <v>14</v>
      </c>
      <c r="E8081" t="s" s="9">
        <v>14</v>
      </c>
      <c r="F8081" t="s" s="10">
        <v>14</v>
      </c>
      <c r="G8081" t="s" s="11">
        <v>14</v>
      </c>
      <c r="H8081" t="s" s="10">
        <v>14</v>
      </c>
      <c r="I8081" t="s" s="11">
        <v>14</v>
      </c>
      <c r="J8081" t="s" s="11">
        <v>14</v>
      </c>
      <c r="K8081" t="s" s="12">
        <v>14</v>
      </c>
      <c r="L8081" t="s" s="12">
        <v>14</v>
      </c>
      <c r="M8081" t="s" s="10">
        <v>14</v>
      </c>
      <c r="N8081" t="s" s="11">
        <v>14</v>
      </c>
      <c r="O8081" t="s" s="8">
        <v>14</v>
      </c>
      <c r="P8081" t="s" s="8">
        <v>14</v>
      </c>
      <c r="Q8081" t="s" s="12">
        <v>14</v>
      </c>
      <c r="R8081" t="s" s="12">
        <v>14</v>
      </c>
    </row>
    <row r="8082" s="2" customFormat="1" ht="13.5" customHeight="1">
      <c r="B8082" s="13"/>
      <c r="C8082" t="s" s="9">
        <v>16</v>
      </c>
      <c r="D8082" t="s" s="8">
        <v>2886</v>
      </c>
      <c r="E8082" t="s" s="9">
        <v>2887</v>
      </c>
      <c r="F8082" t="s" s="10">
        <v>51</v>
      </c>
      <c r="G8082" t="s" s="11">
        <v>55</v>
      </c>
      <c r="H8082" t="s" s="10">
        <v>51</v>
      </c>
      <c r="I8082" t="s" s="11">
        <v>55</v>
      </c>
      <c r="J8082" t="s" s="11">
        <v>20</v>
      </c>
      <c r="K8082" t="s" s="16">
        <f>HYPERLINK("http://csr.bu.edu/ftp/asl/asllvd/demos/verify_start_end_handshape_annotations//test_auto_move//signs_mov/15159.mov","MOV")</f>
        <v>21</v>
      </c>
      <c r="L8082" t="s" s="16">
        <f>HYPERLINK("http://csr.bu.edu/ftp/asl/asllvd/demos/verify_start_end_handshape_annotations//test_auto_move//signs_mov_separ_signers/Liz_15159.mov","MOV")</f>
        <v>21</v>
      </c>
      <c r="M8082" t="s" s="10">
        <v>77</v>
      </c>
      <c r="N8082" s="17">
        <v>12</v>
      </c>
      <c r="O8082" s="18">
        <v>1121</v>
      </c>
      <c r="P8082" s="18">
        <v>1195</v>
      </c>
      <c r="Q8082" t="s" s="16">
        <f>HYPERLINK("http://secrets.rutgers.edu:8080/data/asl-ftp/asllvd/demos/verify_start_end_handshape_annotations//test_auto_move//signs_mov/15159.mov","MOV")</f>
        <v>21</v>
      </c>
      <c r="R8082" t="s" s="16">
        <f>HYPERLINK("http://secrets.rutgers.edu:8080/data/asl-ftp/asllvd/demos/verify_start_end_handshape_annotations//test_auto_move//signs_mov_separ_signers/Liz_15159.mov","MOV")</f>
        <v>21</v>
      </c>
    </row>
    <row r="8083" s="2" customFormat="1" ht="13.5" customHeight="1">
      <c r="B8083" s="13"/>
      <c r="C8083" t="s" s="9">
        <v>30</v>
      </c>
      <c r="D8083" t="s" s="8">
        <v>2886</v>
      </c>
      <c r="E8083" t="s" s="9">
        <v>2887</v>
      </c>
      <c r="F8083" t="s" s="10">
        <v>51</v>
      </c>
      <c r="G8083" t="s" s="11">
        <v>152</v>
      </c>
      <c r="H8083" t="s" s="10">
        <v>51</v>
      </c>
      <c r="I8083" t="s" s="11">
        <v>152</v>
      </c>
      <c r="J8083" t="s" s="11">
        <v>20</v>
      </c>
      <c r="K8083" s="15"/>
      <c r="L8083" t="s" s="16">
        <f>HYPERLINK("http://csr.bu.edu/ftp/asl/asllvd/demos/verify_start_end_handshape_annotations//test_auto_move//signs_mov_separ_signers/Brady_15159.mov","MOV")</f>
        <v>21</v>
      </c>
      <c r="M8083" t="s" s="10">
        <v>31</v>
      </c>
      <c r="N8083" s="17">
        <v>34</v>
      </c>
      <c r="O8083" s="18">
        <v>831</v>
      </c>
      <c r="P8083" s="18">
        <v>854</v>
      </c>
      <c r="Q8083" s="15"/>
      <c r="R8083" t="s" s="16">
        <f>HYPERLINK("http://secrets.rutgers.edu:8080/data/asl-ftp/asllvd/demos/verify_start_end_handshape_annotations//test_auto_move//signs_mov_separ_signers/Brady_15159.mov","MOV")</f>
        <v>21</v>
      </c>
    </row>
    <row r="8084" s="2" customFormat="1" ht="13.5" customHeight="1">
      <c r="B8084" t="s" s="8">
        <v>2888</v>
      </c>
      <c r="C8084" t="s" s="9">
        <v>14</v>
      </c>
      <c r="D8084" t="s" s="8">
        <v>14</v>
      </c>
      <c r="E8084" t="s" s="9">
        <v>14</v>
      </c>
      <c r="F8084" t="s" s="10">
        <v>14</v>
      </c>
      <c r="G8084" t="s" s="11">
        <v>14</v>
      </c>
      <c r="H8084" t="s" s="10">
        <v>14</v>
      </c>
      <c r="I8084" t="s" s="11">
        <v>14</v>
      </c>
      <c r="J8084" t="s" s="11">
        <v>14</v>
      </c>
      <c r="K8084" t="s" s="12">
        <v>14</v>
      </c>
      <c r="L8084" t="s" s="12">
        <v>14</v>
      </c>
      <c r="M8084" t="s" s="10">
        <v>14</v>
      </c>
      <c r="N8084" t="s" s="11">
        <v>14</v>
      </c>
      <c r="O8084" t="s" s="8">
        <v>14</v>
      </c>
      <c r="P8084" t="s" s="8">
        <v>14</v>
      </c>
      <c r="Q8084" t="s" s="12">
        <v>14</v>
      </c>
      <c r="R8084" t="s" s="12">
        <v>14</v>
      </c>
    </row>
    <row r="8085" s="2" customFormat="1" ht="13.5" customHeight="1">
      <c r="B8085" s="13"/>
      <c r="C8085" t="s" s="9">
        <v>16</v>
      </c>
      <c r="D8085" t="s" s="8">
        <v>2888</v>
      </c>
      <c r="E8085" t="s" s="9">
        <v>2888</v>
      </c>
      <c r="F8085" t="s" s="10">
        <v>115</v>
      </c>
      <c r="G8085" t="s" s="11">
        <v>73</v>
      </c>
      <c r="H8085" t="s" s="10">
        <v>115</v>
      </c>
      <c r="I8085" t="s" s="11">
        <v>73</v>
      </c>
      <c r="J8085" t="s" s="11">
        <v>20</v>
      </c>
      <c r="K8085" s="15"/>
      <c r="L8085" t="s" s="16">
        <f>HYPERLINK("http://csr.bu.edu/ftp/asl/asllvd/demos/verify_start_end_handshape_annotations//test_auto_move//signs_mov_separ_signers/Liz_15195.mov","MOV")</f>
        <v>21</v>
      </c>
      <c r="M8085" t="s" s="10">
        <v>84</v>
      </c>
      <c r="N8085" s="17">
        <v>31</v>
      </c>
      <c r="O8085" s="18">
        <v>3445</v>
      </c>
      <c r="P8085" s="18">
        <v>3470</v>
      </c>
      <c r="Q8085" s="15"/>
      <c r="R8085" t="s" s="16">
        <f>HYPERLINK("http://secrets.rutgers.edu:8080/data/asl-ftp/asllvd/demos/verify_start_end_handshape_annotations//test_auto_move//signs_mov_separ_signers/Liz_15195.mov","MOV")</f>
        <v>21</v>
      </c>
    </row>
    <row r="8086" s="2" customFormat="1" ht="13.5" customHeight="1">
      <c r="B8086" s="13"/>
      <c r="C8086" t="s" s="9">
        <v>16</v>
      </c>
      <c r="D8086" t="s" s="8">
        <v>2888</v>
      </c>
      <c r="E8086" t="s" s="9">
        <v>2888</v>
      </c>
      <c r="F8086" t="s" s="10">
        <v>115</v>
      </c>
      <c r="G8086" t="s" s="11">
        <v>55</v>
      </c>
      <c r="H8086" t="s" s="10">
        <v>115</v>
      </c>
      <c r="I8086" t="s" s="11">
        <v>55</v>
      </c>
      <c r="J8086" t="s" s="11">
        <v>20</v>
      </c>
      <c r="K8086" s="15"/>
      <c r="L8086" t="s" s="16">
        <f>HYPERLINK("http://csr.bu.edu/ftp/asl/asllvd/demos/verify_start_end_handshape_annotations//test_auto_move//signs_mov_separ_signers/Liz_15200.mov","MOV")</f>
        <v>21</v>
      </c>
      <c r="M8086" t="s" s="10">
        <v>84</v>
      </c>
      <c r="N8086" s="17">
        <v>31</v>
      </c>
      <c r="O8086" s="18">
        <v>3755</v>
      </c>
      <c r="P8086" s="18">
        <v>3795</v>
      </c>
      <c r="Q8086" s="15"/>
      <c r="R8086" t="s" s="16">
        <f>HYPERLINK("http://secrets.rutgers.edu:8080/data/asl-ftp/asllvd/demos/verify_start_end_handshape_annotations//test_auto_move//signs_mov_separ_signers/Liz_15200.mov","MOV")</f>
        <v>21</v>
      </c>
    </row>
    <row r="8087" s="2" customFormat="1" ht="13.5" customHeight="1">
      <c r="B8087" s="13"/>
      <c r="C8087" t="s" s="9">
        <v>27</v>
      </c>
      <c r="D8087" t="s" s="8">
        <v>2888</v>
      </c>
      <c r="E8087" t="s" s="9">
        <v>2888</v>
      </c>
      <c r="F8087" t="s" s="10">
        <v>115</v>
      </c>
      <c r="G8087" s="17">
        <v>5</v>
      </c>
      <c r="H8087" t="s" s="10">
        <v>115</v>
      </c>
      <c r="I8087" s="17">
        <v>5</v>
      </c>
      <c r="J8087" t="s" s="11">
        <v>20</v>
      </c>
      <c r="K8087" t="s" s="16">
        <f>HYPERLINK("http://csr.bu.edu/ftp/asl/asllvd/demos/verify_start_end_handshape_annotations//test_auto_move//signs_mov/15195_15200_merged.mov","MOV")</f>
        <v>21</v>
      </c>
      <c r="L8087" t="s" s="16">
        <f>HYPERLINK("http://csr.bu.edu/ftp/asl/asllvd/demos/verify_start_end_handshape_annotations//test_auto_move//signs_mov_separ_signers/Naomi_15195.mov","MOV")</f>
        <v>21</v>
      </c>
      <c r="M8087" t="s" s="10">
        <v>86</v>
      </c>
      <c r="N8087" s="17">
        <v>31</v>
      </c>
      <c r="O8087" s="18">
        <v>2450</v>
      </c>
      <c r="P8087" s="18">
        <v>2475</v>
      </c>
      <c r="Q8087" t="s" s="16">
        <f>HYPERLINK("http://secrets.rutgers.edu:8080/data/asl-ftp/asllvd/demos/verify_start_end_handshape_annotations//test_auto_move//signs_mov/15195_15200_merged.mov","MOV")</f>
        <v>21</v>
      </c>
      <c r="R8087" t="s" s="16">
        <f>HYPERLINK("http://secrets.rutgers.edu:8080/data/asl-ftp/asllvd/demos/verify_start_end_handshape_annotations//test_auto_move//signs_mov_separ_signers/Naomi_15195.mov","MOV")</f>
        <v>21</v>
      </c>
    </row>
    <row r="8088" s="2" customFormat="1" ht="13.5" customHeight="1">
      <c r="B8088" s="13"/>
      <c r="C8088" t="s" s="9">
        <v>27</v>
      </c>
      <c r="D8088" t="s" s="8">
        <v>2888</v>
      </c>
      <c r="E8088" t="s" s="9">
        <v>2888</v>
      </c>
      <c r="F8088" t="s" s="10">
        <v>115</v>
      </c>
      <c r="G8088" s="17">
        <v>5</v>
      </c>
      <c r="H8088" t="s" s="10">
        <v>115</v>
      </c>
      <c r="I8088" s="17">
        <v>5</v>
      </c>
      <c r="J8088" t="s" s="11">
        <v>20</v>
      </c>
      <c r="K8088" s="15"/>
      <c r="L8088" t="s" s="16">
        <f>HYPERLINK("http://csr.bu.edu/ftp/asl/asllvd/demos/verify_start_end_handshape_annotations//test_auto_move//signs_mov_separ_signers/Naomi_15200.mov","MOV")</f>
        <v>21</v>
      </c>
      <c r="M8088" t="s" s="10">
        <v>86</v>
      </c>
      <c r="N8088" s="17">
        <v>31</v>
      </c>
      <c r="O8088" s="18">
        <v>2705</v>
      </c>
      <c r="P8088" s="18">
        <v>2730</v>
      </c>
      <c r="Q8088" s="15"/>
      <c r="R8088" t="s" s="16">
        <f>HYPERLINK("http://secrets.rutgers.edu:8080/data/asl-ftp/asllvd/demos/verify_start_end_handshape_annotations//test_auto_move//signs_mov_separ_signers/Naomi_15200.mov","MOV")</f>
        <v>21</v>
      </c>
    </row>
    <row r="8089" s="2" customFormat="1" ht="13.5" customHeight="1">
      <c r="B8089" s="13"/>
      <c r="C8089" t="s" s="9">
        <v>30</v>
      </c>
      <c r="D8089" t="s" s="8">
        <v>2888</v>
      </c>
      <c r="E8089" t="s" s="9">
        <v>2888</v>
      </c>
      <c r="F8089" t="s" s="10">
        <v>115</v>
      </c>
      <c r="G8089" t="s" s="11">
        <v>109</v>
      </c>
      <c r="H8089" t="s" s="10">
        <v>115</v>
      </c>
      <c r="I8089" t="s" s="11">
        <v>109</v>
      </c>
      <c r="J8089" t="s" s="11">
        <v>20</v>
      </c>
      <c r="K8089" s="15"/>
      <c r="L8089" t="s" s="16">
        <f>HYPERLINK("http://csr.bu.edu/ftp/asl/asllvd/demos/verify_start_end_handshape_annotations//test_auto_move//signs_mov_separ_signers/Brady_15195.mov","MOV")</f>
        <v>21</v>
      </c>
      <c r="M8089" t="s" s="10">
        <v>39</v>
      </c>
      <c r="N8089" s="17">
        <v>12</v>
      </c>
      <c r="O8089" s="18">
        <v>1142</v>
      </c>
      <c r="P8089" s="18">
        <v>1160</v>
      </c>
      <c r="Q8089" s="15"/>
      <c r="R8089" t="s" s="16">
        <f>HYPERLINK("http://secrets.rutgers.edu:8080/data/asl-ftp/asllvd/demos/verify_start_end_handshape_annotations//test_auto_move//signs_mov_separ_signers/Brady_15195.mov","MOV")</f>
        <v>21</v>
      </c>
    </row>
    <row r="8090" s="2" customFormat="1" ht="13.5" customHeight="1">
      <c r="B8090" s="13"/>
      <c r="C8090" t="s" s="9">
        <v>30</v>
      </c>
      <c r="D8090" t="s" s="8">
        <v>2888</v>
      </c>
      <c r="E8090" t="s" s="9">
        <v>2888</v>
      </c>
      <c r="F8090" t="s" s="10">
        <v>115</v>
      </c>
      <c r="G8090" s="17">
        <v>5</v>
      </c>
      <c r="H8090" t="s" s="10">
        <v>115</v>
      </c>
      <c r="I8090" s="17">
        <v>5</v>
      </c>
      <c r="J8090" t="s" s="11">
        <v>20</v>
      </c>
      <c r="K8090" s="15"/>
      <c r="L8090" t="s" s="16">
        <f>HYPERLINK("http://csr.bu.edu/ftp/asl/asllvd/demos/verify_start_end_handshape_annotations//test_auto_move//signs_mov_separ_signers/Brady_15200.mov","MOV")</f>
        <v>21</v>
      </c>
      <c r="M8090" t="s" s="10">
        <v>39</v>
      </c>
      <c r="N8090" s="17">
        <v>12</v>
      </c>
      <c r="O8090" s="18">
        <v>2847</v>
      </c>
      <c r="P8090" s="18">
        <v>2860</v>
      </c>
      <c r="Q8090" s="15"/>
      <c r="R8090" t="s" s="16">
        <f>HYPERLINK("http://secrets.rutgers.edu:8080/data/asl-ftp/asllvd/demos/verify_start_end_handshape_annotations//test_auto_move//signs_mov_separ_signers/Brady_15200.mov","MOV")</f>
        <v>21</v>
      </c>
    </row>
    <row r="8091" s="2" customFormat="1" ht="13.5" customHeight="1">
      <c r="B8091" t="s" s="8">
        <v>52</v>
      </c>
      <c r="C8091" t="s" s="9">
        <v>53</v>
      </c>
      <c r="D8091" t="s" s="8">
        <v>53</v>
      </c>
      <c r="E8091" t="s" s="9">
        <v>53</v>
      </c>
      <c r="F8091" t="s" s="10">
        <v>53</v>
      </c>
      <c r="G8091" t="s" s="11">
        <v>53</v>
      </c>
      <c r="H8091" t="s" s="10">
        <v>53</v>
      </c>
      <c r="I8091" t="s" s="11">
        <v>53</v>
      </c>
      <c r="J8091" t="s" s="11">
        <v>53</v>
      </c>
      <c r="K8091" t="s" s="12">
        <v>53</v>
      </c>
      <c r="L8091" t="s" s="12">
        <v>53</v>
      </c>
      <c r="M8091" t="s" s="10">
        <v>53</v>
      </c>
      <c r="N8091" t="s" s="11">
        <v>53</v>
      </c>
      <c r="O8091" t="s" s="8">
        <v>53</v>
      </c>
      <c r="P8091" t="s" s="8">
        <v>53</v>
      </c>
      <c r="Q8091" t="s" s="12">
        <v>53</v>
      </c>
      <c r="R8091" t="s" s="12">
        <v>53</v>
      </c>
    </row>
    <row r="8092" s="2" customFormat="1" ht="13.5" customHeight="1">
      <c r="B8092" s="13"/>
      <c r="C8092" t="s" s="9">
        <v>23</v>
      </c>
      <c r="D8092" t="s" s="8">
        <v>2888</v>
      </c>
      <c r="E8092" t="s" s="9">
        <v>2889</v>
      </c>
      <c r="F8092" t="s" s="10">
        <v>117</v>
      </c>
      <c r="G8092" t="s" s="11">
        <v>117</v>
      </c>
      <c r="H8092" t="s" s="10">
        <v>117</v>
      </c>
      <c r="I8092" t="s" s="11">
        <v>117</v>
      </c>
      <c r="J8092" t="s" s="11">
        <v>20</v>
      </c>
      <c r="K8092" t="s" s="16">
        <f>HYPERLINK("http://csr.bu.edu/ftp/asl/asllvd/demos/verify_start_end_handshape_annotations//test_auto_move//signs_mov/15204_15230_merged.mov","MOV")</f>
        <v>21</v>
      </c>
      <c r="L8092" t="s" s="16">
        <f>HYPERLINK("http://csr.bu.edu/ftp/asl/asllvd/demos/verify_start_end_handshape_annotations//test_auto_move//signs_mov_separ_signers/Tyler_15204.mov","MOV")</f>
        <v>21</v>
      </c>
      <c r="M8092" t="s" s="10">
        <v>92</v>
      </c>
      <c r="N8092" s="17">
        <v>11</v>
      </c>
      <c r="O8092" s="18">
        <v>2355</v>
      </c>
      <c r="P8092" s="18">
        <v>2385</v>
      </c>
      <c r="Q8092" t="s" s="16">
        <f>HYPERLINK("http://secrets.rutgers.edu:8080/data/asl-ftp/asllvd/demos/verify_start_end_handshape_annotations//test_auto_move//signs_mov/15204_15230_merged.mov","MOV")</f>
        <v>21</v>
      </c>
      <c r="R8092" t="s" s="16">
        <f>HYPERLINK("http://secrets.rutgers.edu:8080/data/asl-ftp/asllvd/demos/verify_start_end_handshape_annotations//test_auto_move//signs_mov_separ_signers/Tyler_15204.mov","MOV")</f>
        <v>21</v>
      </c>
    </row>
    <row r="8093" s="2" customFormat="1" ht="13.5" customHeight="1">
      <c r="B8093" s="13"/>
      <c r="C8093" t="s" s="9">
        <v>23</v>
      </c>
      <c r="D8093" t="s" s="8">
        <v>2888</v>
      </c>
      <c r="E8093" t="s" s="9">
        <v>2889</v>
      </c>
      <c r="F8093" t="s" s="10">
        <v>117</v>
      </c>
      <c r="G8093" t="s" s="11">
        <v>105</v>
      </c>
      <c r="H8093" t="s" s="10">
        <v>117</v>
      </c>
      <c r="I8093" t="s" s="11">
        <v>105</v>
      </c>
      <c r="J8093" t="s" s="11">
        <v>20</v>
      </c>
      <c r="K8093" s="15"/>
      <c r="L8093" t="s" s="16">
        <f>HYPERLINK("http://csr.bu.edu/ftp/asl/asllvd/demos/verify_start_end_handshape_annotations//test_auto_move//signs_mov_separ_signers/Tyler_15230.mov","MOV")</f>
        <v>21</v>
      </c>
      <c r="M8093" t="s" s="10">
        <v>92</v>
      </c>
      <c r="N8093" s="17">
        <v>11</v>
      </c>
      <c r="O8093" s="18">
        <v>2590</v>
      </c>
      <c r="P8093" s="18">
        <v>2615</v>
      </c>
      <c r="Q8093" s="15"/>
      <c r="R8093" t="s" s="16">
        <f>HYPERLINK("http://secrets.rutgers.edu:8080/data/asl-ftp/asllvd/demos/verify_start_end_handshape_annotations//test_auto_move//signs_mov_separ_signers/Tyler_15230.mov","MOV")</f>
        <v>21</v>
      </c>
    </row>
    <row r="8094" s="2" customFormat="1" ht="13.5" customHeight="1">
      <c r="B8094" t="s" s="8">
        <v>2890</v>
      </c>
      <c r="C8094" t="s" s="9">
        <v>14</v>
      </c>
      <c r="D8094" t="s" s="8">
        <v>14</v>
      </c>
      <c r="E8094" t="s" s="9">
        <v>14</v>
      </c>
      <c r="F8094" t="s" s="10">
        <v>14</v>
      </c>
      <c r="G8094" t="s" s="11">
        <v>14</v>
      </c>
      <c r="H8094" t="s" s="10">
        <v>14</v>
      </c>
      <c r="I8094" t="s" s="11">
        <v>14</v>
      </c>
      <c r="J8094" t="s" s="11">
        <v>14</v>
      </c>
      <c r="K8094" t="s" s="12">
        <v>14</v>
      </c>
      <c r="L8094" t="s" s="12">
        <v>14</v>
      </c>
      <c r="M8094" t="s" s="10">
        <v>14</v>
      </c>
      <c r="N8094" t="s" s="11">
        <v>14</v>
      </c>
      <c r="O8094" t="s" s="8">
        <v>14</v>
      </c>
      <c r="P8094" t="s" s="8">
        <v>14</v>
      </c>
      <c r="Q8094" t="s" s="12">
        <v>14</v>
      </c>
      <c r="R8094" t="s" s="12">
        <v>14</v>
      </c>
    </row>
    <row r="8095" s="2" customFormat="1" ht="13.5" customHeight="1">
      <c r="B8095" s="13"/>
      <c r="C8095" t="s" s="9">
        <v>16</v>
      </c>
      <c r="D8095" t="s" s="8">
        <v>2890</v>
      </c>
      <c r="E8095" t="s" s="9">
        <v>2890</v>
      </c>
      <c r="F8095" t="s" s="10">
        <v>282</v>
      </c>
      <c r="G8095" t="s" s="11">
        <v>109</v>
      </c>
      <c r="H8095" t="s" s="10">
        <v>282</v>
      </c>
      <c r="I8095" t="s" s="11">
        <v>109</v>
      </c>
      <c r="J8095" t="s" s="11">
        <v>20</v>
      </c>
      <c r="K8095" t="s" s="16">
        <f>HYPERLINK("http://csr.bu.edu/ftp/asl/asllvd/demos/verify_start_end_handshape_annotations//test_auto_move//signs_mov/15349.mov","MOV")</f>
        <v>21</v>
      </c>
      <c r="L8095" t="s" s="16">
        <f>HYPERLINK("http://csr.bu.edu/ftp/asl/asllvd/demos/verify_start_end_handshape_annotations//test_auto_move//signs_mov_separ_signers/Liz_15349.mov","MOV")</f>
        <v>21</v>
      </c>
      <c r="M8095" t="s" s="10">
        <v>77</v>
      </c>
      <c r="N8095" s="17">
        <v>28</v>
      </c>
      <c r="O8095" s="18">
        <v>1662</v>
      </c>
      <c r="P8095" s="18">
        <v>1720</v>
      </c>
      <c r="Q8095" t="s" s="16">
        <f>HYPERLINK("http://secrets.rutgers.edu:8080/data/asl-ftp/asllvd/demos/verify_start_end_handshape_annotations//test_auto_move//signs_mov/15349.mov","MOV")</f>
        <v>21</v>
      </c>
      <c r="R8095" t="s" s="16">
        <f>HYPERLINK("http://secrets.rutgers.edu:8080/data/asl-ftp/asllvd/demos/verify_start_end_handshape_annotations//test_auto_move//signs_mov_separ_signers/Liz_15349.mov","MOV")</f>
        <v>21</v>
      </c>
    </row>
    <row r="8096" s="2" customFormat="1" ht="13.5" customHeight="1">
      <c r="B8096" s="13"/>
      <c r="C8096" t="s" s="9">
        <v>30</v>
      </c>
      <c r="D8096" t="s" s="8">
        <v>2890</v>
      </c>
      <c r="E8096" t="s" s="9">
        <v>2890</v>
      </c>
      <c r="F8096" t="s" s="10">
        <v>282</v>
      </c>
      <c r="G8096" t="s" s="11">
        <v>55</v>
      </c>
      <c r="H8096" t="s" s="10">
        <v>282</v>
      </c>
      <c r="I8096" t="s" s="11">
        <v>55</v>
      </c>
      <c r="J8096" t="s" s="11">
        <v>20</v>
      </c>
      <c r="K8096" s="15"/>
      <c r="L8096" t="s" s="16">
        <f>HYPERLINK("http://csr.bu.edu/ftp/asl/asllvd/demos/verify_start_end_handshape_annotations//test_auto_move//signs_mov_separ_signers/Brady_15349.mov","MOV")</f>
        <v>21</v>
      </c>
      <c r="M8096" t="s" s="10">
        <v>39</v>
      </c>
      <c r="N8096" s="17">
        <v>17</v>
      </c>
      <c r="O8096" s="18">
        <v>4366</v>
      </c>
      <c r="P8096" s="18">
        <v>4388</v>
      </c>
      <c r="Q8096" s="15"/>
      <c r="R8096" t="s" s="16">
        <f>HYPERLINK("http://secrets.rutgers.edu:8080/data/asl-ftp/asllvd/demos/verify_start_end_handshape_annotations//test_auto_move//signs_mov_separ_signers/Brady_15349.mov","MOV")</f>
        <v>21</v>
      </c>
    </row>
    <row r="8097" s="2" customFormat="1" ht="13.5" customHeight="1">
      <c r="B8097" t="s" s="8">
        <v>2891</v>
      </c>
      <c r="C8097" t="s" s="9">
        <v>14</v>
      </c>
      <c r="D8097" t="s" s="8">
        <v>14</v>
      </c>
      <c r="E8097" t="s" s="9">
        <v>14</v>
      </c>
      <c r="F8097" t="s" s="10">
        <v>14</v>
      </c>
      <c r="G8097" t="s" s="11">
        <v>14</v>
      </c>
      <c r="H8097" t="s" s="10">
        <v>14</v>
      </c>
      <c r="I8097" t="s" s="11">
        <v>14</v>
      </c>
      <c r="J8097" t="s" s="11">
        <v>14</v>
      </c>
      <c r="K8097" t="s" s="12">
        <v>14</v>
      </c>
      <c r="L8097" t="s" s="12">
        <v>14</v>
      </c>
      <c r="M8097" t="s" s="10">
        <v>14</v>
      </c>
      <c r="N8097" t="s" s="11">
        <v>14</v>
      </c>
      <c r="O8097" t="s" s="8">
        <v>14</v>
      </c>
      <c r="P8097" t="s" s="8">
        <v>14</v>
      </c>
      <c r="Q8097" t="s" s="12">
        <v>14</v>
      </c>
      <c r="R8097" t="s" s="12">
        <v>14</v>
      </c>
    </row>
    <row r="8098" s="2" customFormat="1" ht="13.5" customHeight="1">
      <c r="B8098" s="13"/>
      <c r="C8098" t="s" s="9">
        <v>16</v>
      </c>
      <c r="D8098" t="s" s="8">
        <v>2891</v>
      </c>
      <c r="E8098" t="s" s="9">
        <v>2891</v>
      </c>
      <c r="F8098" t="s" s="10">
        <v>437</v>
      </c>
      <c r="G8098" s="17">
        <v>5</v>
      </c>
      <c r="H8098" t="s" s="10">
        <v>437</v>
      </c>
      <c r="I8098" s="17">
        <v>5</v>
      </c>
      <c r="J8098" t="s" s="11">
        <v>20</v>
      </c>
      <c r="K8098" t="s" s="16">
        <f>HYPERLINK("http://csr.bu.edu/ftp/asl/asllvd/demos/verify_start_end_handshape_annotations//test_auto_move//signs_mov/16015.mov","MOV")</f>
        <v>21</v>
      </c>
      <c r="L8098" t="s" s="16">
        <f>HYPERLINK("http://csr.bu.edu/ftp/asl/asllvd/demos/verify_start_end_handshape_annotations//test_auto_move//signs_mov_separ_signers/Liz_16015.mov","MOV")</f>
        <v>21</v>
      </c>
      <c r="M8098" t="s" s="10">
        <v>36</v>
      </c>
      <c r="N8098" s="17">
        <v>3</v>
      </c>
      <c r="O8098" s="18">
        <v>2160</v>
      </c>
      <c r="P8098" s="18">
        <v>2192</v>
      </c>
      <c r="Q8098" t="s" s="16">
        <f>HYPERLINK("http://secrets.rutgers.edu:8080/data/asl-ftp/asllvd/demos/verify_start_end_handshape_annotations//test_auto_move//signs_mov/16015.mov","MOV")</f>
        <v>21</v>
      </c>
      <c r="R8098" t="s" s="16">
        <f>HYPERLINK("http://secrets.rutgers.edu:8080/data/asl-ftp/asllvd/demos/verify_start_end_handshape_annotations//test_auto_move//signs_mov_separ_signers/Liz_16015.mov","MOV")</f>
        <v>21</v>
      </c>
    </row>
    <row r="8099" s="2" customFormat="1" ht="13.5" customHeight="1">
      <c r="B8099" s="13"/>
      <c r="C8099" t="s" s="9">
        <v>30</v>
      </c>
      <c r="D8099" t="s" s="8">
        <v>2891</v>
      </c>
      <c r="E8099" t="s" s="9">
        <v>2891</v>
      </c>
      <c r="F8099" t="s" s="10">
        <v>437</v>
      </c>
      <c r="G8099" t="s" s="11">
        <v>148</v>
      </c>
      <c r="H8099" t="s" s="10">
        <v>282</v>
      </c>
      <c r="I8099" t="s" s="11">
        <v>148</v>
      </c>
      <c r="J8099" t="s" s="11">
        <v>20</v>
      </c>
      <c r="K8099" s="15"/>
      <c r="L8099" t="s" s="16">
        <f>HYPERLINK("http://csr.bu.edu/ftp/asl/asllvd/demos/verify_start_end_handshape_annotations//test_auto_move//signs_mov_separ_signers/Brady_16015.mov","MOV")</f>
        <v>21</v>
      </c>
      <c r="M8099" t="s" s="10">
        <v>40</v>
      </c>
      <c r="N8099" s="17">
        <v>48</v>
      </c>
      <c r="O8099" s="18">
        <v>665</v>
      </c>
      <c r="P8099" s="18">
        <v>700</v>
      </c>
      <c r="Q8099" s="15"/>
      <c r="R8099" t="s" s="16">
        <f>HYPERLINK("http://secrets.rutgers.edu:8080/data/asl-ftp/asllvd/demos/verify_start_end_handshape_annotations//test_auto_move//signs_mov_separ_signers/Brady_16015.mov","MOV")</f>
        <v>21</v>
      </c>
    </row>
    <row r="8100" s="2" customFormat="1" ht="13.5" customHeight="1">
      <c r="B8100" t="s" s="8">
        <v>2892</v>
      </c>
      <c r="C8100" t="s" s="9">
        <v>14</v>
      </c>
      <c r="D8100" t="s" s="8">
        <v>14</v>
      </c>
      <c r="E8100" t="s" s="9">
        <v>14</v>
      </c>
      <c r="F8100" t="s" s="10">
        <v>14</v>
      </c>
      <c r="G8100" t="s" s="11">
        <v>14</v>
      </c>
      <c r="H8100" t="s" s="10">
        <v>14</v>
      </c>
      <c r="I8100" t="s" s="11">
        <v>14</v>
      </c>
      <c r="J8100" t="s" s="11">
        <v>14</v>
      </c>
      <c r="K8100" t="s" s="12">
        <v>14</v>
      </c>
      <c r="L8100" t="s" s="12">
        <v>14</v>
      </c>
      <c r="M8100" t="s" s="10">
        <v>14</v>
      </c>
      <c r="N8100" t="s" s="11">
        <v>14</v>
      </c>
      <c r="O8100" t="s" s="8">
        <v>14</v>
      </c>
      <c r="P8100" t="s" s="8">
        <v>14</v>
      </c>
      <c r="Q8100" t="s" s="12">
        <v>14</v>
      </c>
      <c r="R8100" t="s" s="12">
        <v>14</v>
      </c>
    </row>
    <row r="8101" s="2" customFormat="1" ht="13.5" customHeight="1">
      <c r="B8101" s="13"/>
      <c r="C8101" t="s" s="9">
        <v>16</v>
      </c>
      <c r="D8101" t="s" s="8">
        <v>2892</v>
      </c>
      <c r="E8101" t="s" s="9">
        <v>2892</v>
      </c>
      <c r="F8101" t="s" s="10">
        <v>65</v>
      </c>
      <c r="G8101" t="s" s="11">
        <v>65</v>
      </c>
      <c r="H8101" t="s" s="10">
        <v>65</v>
      </c>
      <c r="I8101" t="s" s="11">
        <v>65</v>
      </c>
      <c r="J8101" t="s" s="11">
        <v>20</v>
      </c>
      <c r="K8101" t="s" s="16">
        <f>HYPERLINK("http://csr.bu.edu/ftp/asl/asllvd/demos/verify_start_end_handshape_annotations//test_auto_move//signs_mov/2132.mov","MOV")</f>
        <v>21</v>
      </c>
      <c r="L8101" t="s" s="16">
        <f>HYPERLINK("http://csr.bu.edu/ftp/asl/asllvd/demos/verify_start_end_handshape_annotations//test_auto_move//signs_mov_separ_signers/Liz_2132.mov","MOV")</f>
        <v>21</v>
      </c>
      <c r="M8101" t="s" s="10">
        <v>36</v>
      </c>
      <c r="N8101" s="17">
        <v>17</v>
      </c>
      <c r="O8101" s="18">
        <v>250</v>
      </c>
      <c r="P8101" s="18">
        <v>281</v>
      </c>
      <c r="Q8101" t="s" s="16">
        <f>HYPERLINK("http://secrets.rutgers.edu:8080/data/asl-ftp/asllvd/demos/verify_start_end_handshape_annotations//test_auto_move//signs_mov/2132.mov","MOV")</f>
        <v>21</v>
      </c>
      <c r="R8101" t="s" s="16">
        <f>HYPERLINK("http://secrets.rutgers.edu:8080/data/asl-ftp/asllvd/demos/verify_start_end_handshape_annotations//test_auto_move//signs_mov_separ_signers/Liz_2132.mov","MOV")</f>
        <v>21</v>
      </c>
    </row>
    <row r="8102" s="2" customFormat="1" ht="13.5" customHeight="1">
      <c r="B8102" s="13"/>
      <c r="C8102" t="s" s="9">
        <v>30</v>
      </c>
      <c r="D8102" t="s" s="8">
        <v>2892</v>
      </c>
      <c r="E8102" t="s" s="9">
        <v>2892</v>
      </c>
      <c r="F8102" t="s" s="10">
        <v>65</v>
      </c>
      <c r="G8102" t="s" s="11">
        <v>65</v>
      </c>
      <c r="H8102" t="s" s="10">
        <v>65</v>
      </c>
      <c r="I8102" t="s" s="11">
        <v>65</v>
      </c>
      <c r="J8102" t="s" s="11">
        <v>20</v>
      </c>
      <c r="K8102" s="15"/>
      <c r="L8102" t="s" s="16">
        <f>HYPERLINK("http://csr.bu.edu/ftp/asl/asllvd/demos/verify_start_end_handshape_annotations//test_auto_move//signs_mov_separ_signers/Brady_2132.mov","MOV")</f>
        <v>21</v>
      </c>
      <c r="M8102" t="s" s="10">
        <v>40</v>
      </c>
      <c r="N8102" s="17">
        <v>61</v>
      </c>
      <c r="O8102" s="18">
        <v>454</v>
      </c>
      <c r="P8102" s="18">
        <v>483</v>
      </c>
      <c r="Q8102" s="15"/>
      <c r="R8102" t="s" s="16">
        <f>HYPERLINK("http://secrets.rutgers.edu:8080/data/asl-ftp/asllvd/demos/verify_start_end_handshape_annotations//test_auto_move//signs_mov_separ_signers/Brady_2132.mov","MOV")</f>
        <v>21</v>
      </c>
    </row>
    <row r="8103" s="2" customFormat="1" ht="13.5" customHeight="1">
      <c r="B8103" t="s" s="8">
        <v>2893</v>
      </c>
      <c r="C8103" t="s" s="9">
        <v>14</v>
      </c>
      <c r="D8103" t="s" s="8">
        <v>14</v>
      </c>
      <c r="E8103" t="s" s="9">
        <v>14</v>
      </c>
      <c r="F8103" t="s" s="10">
        <v>14</v>
      </c>
      <c r="G8103" t="s" s="11">
        <v>14</v>
      </c>
      <c r="H8103" t="s" s="10">
        <v>14</v>
      </c>
      <c r="I8103" t="s" s="11">
        <v>14</v>
      </c>
      <c r="J8103" t="s" s="11">
        <v>14</v>
      </c>
      <c r="K8103" t="s" s="12">
        <v>14</v>
      </c>
      <c r="L8103" t="s" s="12">
        <v>14</v>
      </c>
      <c r="M8103" t="s" s="10">
        <v>14</v>
      </c>
      <c r="N8103" t="s" s="11">
        <v>14</v>
      </c>
      <c r="O8103" t="s" s="8">
        <v>14</v>
      </c>
      <c r="P8103" t="s" s="8">
        <v>14</v>
      </c>
      <c r="Q8103" t="s" s="12">
        <v>14</v>
      </c>
      <c r="R8103" t="s" s="12">
        <v>14</v>
      </c>
    </row>
    <row r="8104" s="2" customFormat="1" ht="13.5" customHeight="1">
      <c r="B8104" s="13"/>
      <c r="C8104" t="s" s="9">
        <v>16</v>
      </c>
      <c r="D8104" t="s" s="8">
        <v>2893</v>
      </c>
      <c r="E8104" t="s" s="9">
        <v>2894</v>
      </c>
      <c r="F8104" t="s" s="10">
        <v>63</v>
      </c>
      <c r="G8104" t="s" s="11">
        <v>68</v>
      </c>
      <c r="H8104" t="s" s="10">
        <v>63</v>
      </c>
      <c r="I8104" t="s" s="11">
        <v>68</v>
      </c>
      <c r="J8104" t="s" s="11">
        <v>20</v>
      </c>
      <c r="K8104" s="15"/>
      <c r="L8104" t="s" s="16">
        <f>HYPERLINK("http://csr.bu.edu/ftp/asl/asllvd/demos/verify_start_end_handshape_annotations//test_auto_move//signs_mov_separ_signers/Liz_2135.mov","MOV")</f>
        <v>21</v>
      </c>
      <c r="M8104" t="s" s="10">
        <v>36</v>
      </c>
      <c r="N8104" s="17">
        <v>17</v>
      </c>
      <c r="O8104" s="18">
        <v>1060</v>
      </c>
      <c r="P8104" s="18">
        <v>1102</v>
      </c>
      <c r="Q8104" s="15"/>
      <c r="R8104" t="s" s="16">
        <f>HYPERLINK("http://secrets.rutgers.edu:8080/data/asl-ftp/asllvd/demos/verify_start_end_handshape_annotations//test_auto_move//signs_mov_separ_signers/Liz_2135.mov","MOV")</f>
        <v>21</v>
      </c>
    </row>
    <row r="8105" s="2" customFormat="1" ht="13.5" customHeight="1">
      <c r="B8105" s="13"/>
      <c r="C8105" t="s" s="9">
        <v>23</v>
      </c>
      <c r="D8105" t="s" s="8">
        <v>2893</v>
      </c>
      <c r="E8105" t="s" s="9">
        <v>2893</v>
      </c>
      <c r="F8105" t="s" s="10">
        <v>63</v>
      </c>
      <c r="G8105" t="s" s="11">
        <v>55</v>
      </c>
      <c r="H8105" t="s" s="10">
        <v>63</v>
      </c>
      <c r="I8105" t="s" s="11">
        <v>55</v>
      </c>
      <c r="J8105" t="s" s="11">
        <v>20</v>
      </c>
      <c r="K8105" t="s" s="16">
        <f>HYPERLINK("http://csr.bu.edu/ftp/asl/asllvd/demos/verify_start_end_handshape_annotations//test_auto_move//signs_mov/2135_16233_merged.mov","MOV")</f>
        <v>21</v>
      </c>
      <c r="L8105" t="s" s="16">
        <f>HYPERLINK("http://csr.bu.edu/ftp/asl/asllvd/demos/verify_start_end_handshape_annotations//test_auto_move//signs_mov_separ_signers/Tyler_2135.mov","MOV")</f>
        <v>21</v>
      </c>
      <c r="M8105" t="s" s="10">
        <v>37</v>
      </c>
      <c r="N8105" s="17">
        <v>9</v>
      </c>
      <c r="O8105" s="18">
        <v>2760</v>
      </c>
      <c r="P8105" s="18">
        <v>2785</v>
      </c>
      <c r="Q8105" t="s" s="16">
        <f>HYPERLINK("http://secrets.rutgers.edu:8080/data/asl-ftp/asllvd/demos/verify_start_end_handshape_annotations//test_auto_move//signs_mov/2135_16233_merged.mov","MOV")</f>
        <v>21</v>
      </c>
      <c r="R8105" t="s" s="16">
        <f>HYPERLINK("http://secrets.rutgers.edu:8080/data/asl-ftp/asllvd/demos/verify_start_end_handshape_annotations//test_auto_move//signs_mov_separ_signers/Tyler_2135.mov","MOV")</f>
        <v>21</v>
      </c>
    </row>
    <row r="8106" s="2" customFormat="1" ht="13.5" customHeight="1">
      <c r="B8106" s="13"/>
      <c r="C8106" t="s" s="9">
        <v>30</v>
      </c>
      <c r="D8106" t="s" s="8">
        <v>2893</v>
      </c>
      <c r="E8106" t="s" s="9">
        <v>2893</v>
      </c>
      <c r="F8106" t="s" s="10">
        <v>63</v>
      </c>
      <c r="G8106" t="s" s="11">
        <v>63</v>
      </c>
      <c r="H8106" t="s" s="10">
        <v>63</v>
      </c>
      <c r="I8106" t="s" s="11">
        <v>63</v>
      </c>
      <c r="J8106" t="s" s="11">
        <v>20</v>
      </c>
      <c r="K8106" s="15"/>
      <c r="L8106" t="s" s="16">
        <f>HYPERLINK("http://csr.bu.edu/ftp/asl/asllvd/demos/verify_start_end_handshape_annotations//test_auto_move//signs_mov_separ_signers/Brady_2135.mov","MOV")</f>
        <v>21</v>
      </c>
      <c r="M8106" t="s" s="10">
        <v>39</v>
      </c>
      <c r="N8106" s="17">
        <v>41</v>
      </c>
      <c r="O8106" s="18">
        <v>6185</v>
      </c>
      <c r="P8106" s="18">
        <v>6208</v>
      </c>
      <c r="Q8106" s="15"/>
      <c r="R8106" t="s" s="16">
        <f>HYPERLINK("http://secrets.rutgers.edu:8080/data/asl-ftp/asllvd/demos/verify_start_end_handshape_annotations//test_auto_move//signs_mov_separ_signers/Brady_2135.mov","MOV")</f>
        <v>21</v>
      </c>
    </row>
    <row r="8107" s="2" customFormat="1" ht="13.5" customHeight="1">
      <c r="B8107" s="13"/>
      <c r="C8107" t="s" s="9">
        <v>30</v>
      </c>
      <c r="D8107" t="s" s="8">
        <v>2893</v>
      </c>
      <c r="E8107" t="s" s="9">
        <v>2894</v>
      </c>
      <c r="F8107" t="s" s="10">
        <v>63</v>
      </c>
      <c r="G8107" t="s" s="11">
        <v>63</v>
      </c>
      <c r="H8107" t="s" s="10">
        <v>63</v>
      </c>
      <c r="I8107" t="s" s="11">
        <v>63</v>
      </c>
      <c r="J8107" t="s" s="11">
        <v>20</v>
      </c>
      <c r="K8107" s="15"/>
      <c r="L8107" t="s" s="16">
        <f>HYPERLINK("http://csr.bu.edu/ftp/asl/asllvd/demos/verify_start_end_handshape_annotations//test_auto_move//signs_mov_separ_signers/Brady_16233.mov","MOV")</f>
        <v>21</v>
      </c>
      <c r="M8107" t="s" s="10">
        <v>40</v>
      </c>
      <c r="N8107" s="17">
        <v>61</v>
      </c>
      <c r="O8107" s="18">
        <v>1905</v>
      </c>
      <c r="P8107" s="18">
        <v>1933</v>
      </c>
      <c r="Q8107" s="15"/>
      <c r="R8107" t="s" s="16">
        <f>HYPERLINK("http://secrets.rutgers.edu:8080/data/asl-ftp/asllvd/demos/verify_start_end_handshape_annotations//test_auto_move//signs_mov_separ_signers/Brady_16233.mov","MOV")</f>
        <v>21</v>
      </c>
    </row>
    <row r="8108" s="2" customFormat="1" ht="13.5" customHeight="1">
      <c r="B8108" t="s" s="8">
        <v>2895</v>
      </c>
      <c r="C8108" t="s" s="9">
        <v>14</v>
      </c>
      <c r="D8108" t="s" s="8">
        <v>14</v>
      </c>
      <c r="E8108" t="s" s="9">
        <v>14</v>
      </c>
      <c r="F8108" t="s" s="10">
        <v>14</v>
      </c>
      <c r="G8108" t="s" s="11">
        <v>14</v>
      </c>
      <c r="H8108" t="s" s="10">
        <v>14</v>
      </c>
      <c r="I8108" t="s" s="11">
        <v>14</v>
      </c>
      <c r="J8108" t="s" s="11">
        <v>14</v>
      </c>
      <c r="K8108" t="s" s="12">
        <v>14</v>
      </c>
      <c r="L8108" t="s" s="12">
        <v>14</v>
      </c>
      <c r="M8108" t="s" s="10">
        <v>14</v>
      </c>
      <c r="N8108" t="s" s="11">
        <v>14</v>
      </c>
      <c r="O8108" t="s" s="8">
        <v>14</v>
      </c>
      <c r="P8108" t="s" s="8">
        <v>14</v>
      </c>
      <c r="Q8108" t="s" s="12">
        <v>14</v>
      </c>
      <c r="R8108" t="s" s="12">
        <v>14</v>
      </c>
    </row>
    <row r="8109" s="2" customFormat="1" ht="13.5" customHeight="1">
      <c r="B8109" s="13"/>
      <c r="C8109" t="s" s="9">
        <v>16</v>
      </c>
      <c r="D8109" t="s" s="8">
        <v>2895</v>
      </c>
      <c r="E8109" t="s" s="9">
        <v>2896</v>
      </c>
      <c r="F8109" s="19">
        <v>3</v>
      </c>
      <c r="G8109" s="14"/>
      <c r="H8109" s="19">
        <v>3</v>
      </c>
      <c r="I8109" s="14"/>
      <c r="J8109" t="s" s="11">
        <v>20</v>
      </c>
      <c r="K8109" t="s" s="16">
        <f>HYPERLINK("http://csr.bu.edu/ftp/asl/asllvd/demos/verify_start_end_handshape_annotations//test_auto_move//signs_mov/2146.mov","MOV")</f>
        <v>21</v>
      </c>
      <c r="L8109" t="s" s="16">
        <f>HYPERLINK("http://csr.bu.edu/ftp/asl/asllvd/demos/verify_start_end_handshape_annotations//test_auto_move//signs_mov_separ_signers/Liz_2146.mov","MOV")</f>
        <v>21</v>
      </c>
      <c r="M8109" t="s" s="10">
        <v>36</v>
      </c>
      <c r="N8109" s="17">
        <v>18</v>
      </c>
      <c r="O8109" s="18">
        <v>3879</v>
      </c>
      <c r="P8109" s="18">
        <v>3925</v>
      </c>
      <c r="Q8109" t="s" s="16">
        <f>HYPERLINK("http://secrets.rutgers.edu:8080/data/asl-ftp/asllvd/demos/verify_start_end_handshape_annotations//test_auto_move//signs_mov/2146.mov","MOV")</f>
        <v>21</v>
      </c>
      <c r="R8109" t="s" s="16">
        <f>HYPERLINK("http://secrets.rutgers.edu:8080/data/asl-ftp/asllvd/demos/verify_start_end_handshape_annotations//test_auto_move//signs_mov_separ_signers/Liz_2146.mov","MOV")</f>
        <v>21</v>
      </c>
    </row>
    <row r="8110" s="2" customFormat="1" ht="13.5" customHeight="1">
      <c r="B8110" t="s" s="8">
        <v>2897</v>
      </c>
      <c r="C8110" t="s" s="9">
        <v>14</v>
      </c>
      <c r="D8110" t="s" s="8">
        <v>14</v>
      </c>
      <c r="E8110" t="s" s="9">
        <v>14</v>
      </c>
      <c r="F8110" t="s" s="10">
        <v>14</v>
      </c>
      <c r="G8110" t="s" s="11">
        <v>14</v>
      </c>
      <c r="H8110" t="s" s="10">
        <v>14</v>
      </c>
      <c r="I8110" t="s" s="11">
        <v>14</v>
      </c>
      <c r="J8110" t="s" s="11">
        <v>14</v>
      </c>
      <c r="K8110" t="s" s="12">
        <v>14</v>
      </c>
      <c r="L8110" t="s" s="12">
        <v>14</v>
      </c>
      <c r="M8110" t="s" s="10">
        <v>14</v>
      </c>
      <c r="N8110" t="s" s="11">
        <v>14</v>
      </c>
      <c r="O8110" t="s" s="8">
        <v>14</v>
      </c>
      <c r="P8110" t="s" s="8">
        <v>14</v>
      </c>
      <c r="Q8110" t="s" s="12">
        <v>14</v>
      </c>
      <c r="R8110" t="s" s="12">
        <v>14</v>
      </c>
    </row>
    <row r="8111" s="2" customFormat="1" ht="13.5" customHeight="1">
      <c r="B8111" s="13"/>
      <c r="C8111" t="s" s="9">
        <v>16</v>
      </c>
      <c r="D8111" t="s" s="8">
        <v>2897</v>
      </c>
      <c r="E8111" t="s" s="9">
        <v>2897</v>
      </c>
      <c r="F8111" t="s" s="10">
        <v>119</v>
      </c>
      <c r="G8111" s="14"/>
      <c r="H8111" t="s" s="10">
        <v>119</v>
      </c>
      <c r="I8111" s="14"/>
      <c r="J8111" t="s" s="11">
        <v>20</v>
      </c>
      <c r="K8111" s="15"/>
      <c r="L8111" t="s" s="16">
        <f>HYPERLINK("http://csr.bu.edu/ftp/asl/asllvd/demos/verify_start_end_handshape_annotations//test_auto_move//signs_mov_separ_signers/Liz_2149.mov","MOV")</f>
        <v>21</v>
      </c>
      <c r="M8111" t="s" s="10">
        <v>36</v>
      </c>
      <c r="N8111" s="17">
        <v>19</v>
      </c>
      <c r="O8111" s="18">
        <v>147</v>
      </c>
      <c r="P8111" s="18">
        <v>190</v>
      </c>
      <c r="Q8111" s="15"/>
      <c r="R8111" t="s" s="16">
        <f>HYPERLINK("http://secrets.rutgers.edu:8080/data/asl-ftp/asllvd/demos/verify_start_end_handshape_annotations//test_auto_move//signs_mov_separ_signers/Liz_2149.mov","MOV")</f>
        <v>21</v>
      </c>
    </row>
    <row r="8112" s="2" customFormat="1" ht="13.5" customHeight="1">
      <c r="B8112" s="13"/>
      <c r="C8112" t="s" s="9">
        <v>30</v>
      </c>
      <c r="D8112" t="s" s="8">
        <v>2897</v>
      </c>
      <c r="E8112" t="s" s="9">
        <v>2897</v>
      </c>
      <c r="F8112" t="s" s="10">
        <v>119</v>
      </c>
      <c r="G8112" s="14"/>
      <c r="H8112" t="s" s="10">
        <v>119</v>
      </c>
      <c r="I8112" s="14"/>
      <c r="J8112" t="s" s="11">
        <v>20</v>
      </c>
      <c r="K8112" t="s" s="16">
        <f>HYPERLINK("http://csr.bu.edu/ftp/asl/asllvd/demos/verify_start_end_handshape_annotations//test_auto_move//signs_mov/2149.mov","MOV")</f>
        <v>21</v>
      </c>
      <c r="L8112" t="s" s="16">
        <f>HYPERLINK("http://csr.bu.edu/ftp/asl/asllvd/demos/verify_start_end_handshape_annotations//test_auto_move//signs_mov_separ_signers/Brady_2149.mov","MOV")</f>
        <v>21</v>
      </c>
      <c r="M8112" t="s" s="10">
        <v>40</v>
      </c>
      <c r="N8112" s="17">
        <v>69</v>
      </c>
      <c r="O8112" s="18">
        <v>393</v>
      </c>
      <c r="P8112" s="18">
        <v>420</v>
      </c>
      <c r="Q8112" t="s" s="16">
        <f>HYPERLINK("http://secrets.rutgers.edu:8080/data/asl-ftp/asllvd/demos/verify_start_end_handshape_annotations//test_auto_move//signs_mov/2149.mov","MOV")</f>
        <v>21</v>
      </c>
      <c r="R8112" t="s" s="16">
        <f>HYPERLINK("http://secrets.rutgers.edu:8080/data/asl-ftp/asllvd/demos/verify_start_end_handshape_annotations//test_auto_move//signs_mov_separ_signers/Brady_2149.mov","MOV")</f>
        <v>21</v>
      </c>
    </row>
    <row r="8113" s="2" customFormat="1" ht="13.5" customHeight="1">
      <c r="B8113" s="13"/>
      <c r="C8113" t="s" s="9">
        <v>41</v>
      </c>
      <c r="D8113" t="s" s="8">
        <v>2897</v>
      </c>
      <c r="E8113" t="s" s="9">
        <v>2897</v>
      </c>
      <c r="F8113" t="s" s="10">
        <v>119</v>
      </c>
      <c r="G8113" s="14"/>
      <c r="H8113" t="s" s="10">
        <v>119</v>
      </c>
      <c r="I8113" s="14"/>
      <c r="J8113" t="s" s="11">
        <v>20</v>
      </c>
      <c r="K8113" s="15"/>
      <c r="L8113" t="s" s="16">
        <f>HYPERLINK("http://csr.bu.edu/ftp/asl/asllvd/demos/verify_start_end_handshape_annotations//test_auto_move//signs_mov_separ_signers/Lana_2149.mov","MOV")</f>
        <v>21</v>
      </c>
      <c r="M8113" t="s" s="10">
        <v>42</v>
      </c>
      <c r="N8113" s="17">
        <v>11</v>
      </c>
      <c r="O8113" s="18">
        <v>517</v>
      </c>
      <c r="P8113" s="18">
        <v>536</v>
      </c>
      <c r="Q8113" s="15"/>
      <c r="R8113" t="s" s="16">
        <f>HYPERLINK("http://secrets.rutgers.edu:8080/data/asl-ftp/asllvd/demos/verify_start_end_handshape_annotations//test_auto_move//signs_mov_separ_signers/Lana_2149.mov","MOV")</f>
        <v>21</v>
      </c>
    </row>
    <row r="8114" s="2" customFormat="1" ht="13.5" customHeight="1">
      <c r="B8114" s="13"/>
      <c r="C8114" t="s" s="9">
        <v>43</v>
      </c>
      <c r="D8114" t="s" s="8">
        <v>2897</v>
      </c>
      <c r="E8114" t="s" s="9">
        <v>2897</v>
      </c>
      <c r="F8114" t="s" s="10">
        <v>119</v>
      </c>
      <c r="G8114" s="14"/>
      <c r="H8114" t="s" s="10">
        <v>119</v>
      </c>
      <c r="I8114" s="14"/>
      <c r="J8114" t="s" s="11">
        <v>20</v>
      </c>
      <c r="K8114" s="15"/>
      <c r="L8114" t="s" s="16">
        <f>HYPERLINK("http://csr.bu.edu/ftp/asl/asllvd/demos/verify_start_end_handshape_annotations//test_auto_move//signs_mov_separ_signers/Dana_2149.mov","MOV")</f>
        <v>21</v>
      </c>
      <c r="M8114" t="s" s="10">
        <v>44</v>
      </c>
      <c r="N8114" s="17">
        <v>14</v>
      </c>
      <c r="O8114" s="18">
        <v>456</v>
      </c>
      <c r="P8114" s="18">
        <v>496</v>
      </c>
      <c r="Q8114" s="15"/>
      <c r="R8114" t="s" s="16">
        <f>HYPERLINK("http://secrets.rutgers.edu:8080/data/asl-ftp/asllvd/demos/verify_start_end_handshape_annotations//test_auto_move//signs_mov_separ_signers/Dana_2149.mov","MOV")</f>
        <v>21</v>
      </c>
    </row>
    <row r="8115" s="2" customFormat="1" ht="13.5" customHeight="1">
      <c r="B8115" t="s" s="8">
        <v>52</v>
      </c>
      <c r="C8115" t="s" s="9">
        <v>53</v>
      </c>
      <c r="D8115" t="s" s="8">
        <v>53</v>
      </c>
      <c r="E8115" t="s" s="9">
        <v>53</v>
      </c>
      <c r="F8115" t="s" s="10">
        <v>53</v>
      </c>
      <c r="G8115" t="s" s="11">
        <v>53</v>
      </c>
      <c r="H8115" t="s" s="10">
        <v>53</v>
      </c>
      <c r="I8115" t="s" s="11">
        <v>53</v>
      </c>
      <c r="J8115" t="s" s="11">
        <v>53</v>
      </c>
      <c r="K8115" t="s" s="12">
        <v>53</v>
      </c>
      <c r="L8115" t="s" s="12">
        <v>53</v>
      </c>
      <c r="M8115" t="s" s="10">
        <v>53</v>
      </c>
      <c r="N8115" t="s" s="11">
        <v>53</v>
      </c>
      <c r="O8115" t="s" s="8">
        <v>53</v>
      </c>
      <c r="P8115" t="s" s="8">
        <v>53</v>
      </c>
      <c r="Q8115" t="s" s="12">
        <v>53</v>
      </c>
      <c r="R8115" t="s" s="12">
        <v>53</v>
      </c>
    </row>
    <row r="8116" s="2" customFormat="1" ht="13.5" customHeight="1">
      <c r="B8116" s="13"/>
      <c r="C8116" t="s" s="9">
        <v>16</v>
      </c>
      <c r="D8116" t="s" s="8">
        <v>2897</v>
      </c>
      <c r="E8116" t="s" s="9">
        <v>2898</v>
      </c>
      <c r="F8116" t="s" s="10">
        <v>251</v>
      </c>
      <c r="G8116" s="14"/>
      <c r="H8116" t="s" s="10">
        <v>251</v>
      </c>
      <c r="I8116" s="14"/>
      <c r="J8116" t="s" s="11">
        <v>20</v>
      </c>
      <c r="K8116" t="s" s="16">
        <f>HYPERLINK("http://csr.bu.edu/ftp/asl/asllvd/demos/verify_start_end_handshape_annotations//test_auto_move//signs_mov/3750.mov","MOV")</f>
        <v>21</v>
      </c>
      <c r="L8116" t="s" s="16">
        <f>HYPERLINK("http://csr.bu.edu/ftp/asl/asllvd/demos/verify_start_end_handshape_annotations//test_auto_move//signs_mov_separ_signers/Liz_3750.mov","MOV")</f>
        <v>21</v>
      </c>
      <c r="M8116" t="s" s="10">
        <v>36</v>
      </c>
      <c r="N8116" s="17">
        <v>18</v>
      </c>
      <c r="O8116" s="18">
        <v>4910</v>
      </c>
      <c r="P8116" s="18">
        <v>4945</v>
      </c>
      <c r="Q8116" t="s" s="16">
        <f>HYPERLINK("http://secrets.rutgers.edu:8080/data/asl-ftp/asllvd/demos/verify_start_end_handshape_annotations//test_auto_move//signs_mov/3750.mov","MOV")</f>
        <v>21</v>
      </c>
      <c r="R8116" t="s" s="16">
        <f>HYPERLINK("http://secrets.rutgers.edu:8080/data/asl-ftp/asllvd/demos/verify_start_end_handshape_annotations//test_auto_move//signs_mov_separ_signers/Liz_3750.mov","MOV")</f>
        <v>21</v>
      </c>
    </row>
    <row r="8117" s="2" customFormat="1" ht="13.5" customHeight="1">
      <c r="B8117" s="13"/>
      <c r="C8117" t="s" s="9">
        <v>30</v>
      </c>
      <c r="D8117" t="s" s="8">
        <v>2897</v>
      </c>
      <c r="E8117" t="s" s="9">
        <v>2898</v>
      </c>
      <c r="F8117" t="s" s="10">
        <v>251</v>
      </c>
      <c r="G8117" s="14"/>
      <c r="H8117" t="s" s="10">
        <v>251</v>
      </c>
      <c r="I8117" s="14"/>
      <c r="J8117" t="s" s="11">
        <v>20</v>
      </c>
      <c r="K8117" s="15"/>
      <c r="L8117" t="s" s="16">
        <f>HYPERLINK("http://csr.bu.edu/ftp/asl/asllvd/demos/verify_start_end_handshape_annotations//test_auto_move//signs_mov_separ_signers/Brady_3750.mov","MOV")</f>
        <v>21</v>
      </c>
      <c r="M8117" t="s" s="10">
        <v>40</v>
      </c>
      <c r="N8117" s="17">
        <v>69</v>
      </c>
      <c r="O8117" s="18">
        <v>137</v>
      </c>
      <c r="P8117" s="18">
        <v>166</v>
      </c>
      <c r="Q8117" s="15"/>
      <c r="R8117" t="s" s="16">
        <f>HYPERLINK("http://secrets.rutgers.edu:8080/data/asl-ftp/asllvd/demos/verify_start_end_handshape_annotations//test_auto_move//signs_mov_separ_signers/Brady_3750.mov","MOV")</f>
        <v>21</v>
      </c>
    </row>
    <row r="8118" s="2" customFormat="1" ht="13.5" customHeight="1">
      <c r="B8118" t="s" s="8">
        <v>2899</v>
      </c>
      <c r="C8118" t="s" s="9">
        <v>14</v>
      </c>
      <c r="D8118" t="s" s="8">
        <v>14</v>
      </c>
      <c r="E8118" t="s" s="9">
        <v>14</v>
      </c>
      <c r="F8118" t="s" s="10">
        <v>14</v>
      </c>
      <c r="G8118" t="s" s="11">
        <v>14</v>
      </c>
      <c r="H8118" t="s" s="10">
        <v>14</v>
      </c>
      <c r="I8118" t="s" s="11">
        <v>14</v>
      </c>
      <c r="J8118" t="s" s="11">
        <v>14</v>
      </c>
      <c r="K8118" t="s" s="12">
        <v>14</v>
      </c>
      <c r="L8118" t="s" s="12">
        <v>14</v>
      </c>
      <c r="M8118" t="s" s="10">
        <v>14</v>
      </c>
      <c r="N8118" t="s" s="11">
        <v>14</v>
      </c>
      <c r="O8118" t="s" s="8">
        <v>14</v>
      </c>
      <c r="P8118" t="s" s="8">
        <v>14</v>
      </c>
      <c r="Q8118" t="s" s="12">
        <v>14</v>
      </c>
      <c r="R8118" t="s" s="12">
        <v>14</v>
      </c>
    </row>
    <row r="8119" s="2" customFormat="1" ht="13.5" customHeight="1">
      <c r="B8119" s="13"/>
      <c r="C8119" t="s" s="9">
        <v>16</v>
      </c>
      <c r="D8119" t="s" s="8">
        <v>2899</v>
      </c>
      <c r="E8119" t="s" s="9">
        <v>2899</v>
      </c>
      <c r="F8119" t="s" s="10">
        <v>75</v>
      </c>
      <c r="G8119" t="s" s="11">
        <v>73</v>
      </c>
      <c r="H8119" t="s" s="10">
        <v>75</v>
      </c>
      <c r="I8119" t="s" s="11">
        <v>73</v>
      </c>
      <c r="J8119" t="s" s="11">
        <v>20</v>
      </c>
      <c r="K8119" t="s" s="16">
        <f>HYPERLINK("http://csr.bu.edu/ftp/asl/asllvd/demos/verify_start_end_handshape_annotations//test_auto_move//signs_mov/2152.mov","MOV")</f>
        <v>21</v>
      </c>
      <c r="L8119" t="s" s="16">
        <f>HYPERLINK("http://csr.bu.edu/ftp/asl/asllvd/demos/verify_start_end_handshape_annotations//test_auto_move//signs_mov_separ_signers/Liz_2152.mov","MOV")</f>
        <v>21</v>
      </c>
      <c r="M8119" t="s" s="10">
        <v>36</v>
      </c>
      <c r="N8119" s="17">
        <v>19</v>
      </c>
      <c r="O8119" s="18">
        <v>770</v>
      </c>
      <c r="P8119" s="18">
        <v>788</v>
      </c>
      <c r="Q8119" t="s" s="16">
        <f>HYPERLINK("http://secrets.rutgers.edu:8080/data/asl-ftp/asllvd/demos/verify_start_end_handshape_annotations//test_auto_move//signs_mov/2152.mov","MOV")</f>
        <v>21</v>
      </c>
      <c r="R8119" t="s" s="16">
        <f>HYPERLINK("http://secrets.rutgers.edu:8080/data/asl-ftp/asllvd/demos/verify_start_end_handshape_annotations//test_auto_move//signs_mov_separ_signers/Liz_2152.mov","MOV")</f>
        <v>21</v>
      </c>
    </row>
    <row r="8120" s="2" customFormat="1" ht="13.5" customHeight="1">
      <c r="B8120" s="13"/>
      <c r="C8120" t="s" s="9">
        <v>30</v>
      </c>
      <c r="D8120" t="s" s="8">
        <v>2899</v>
      </c>
      <c r="E8120" t="s" s="9">
        <v>2899</v>
      </c>
      <c r="F8120" t="s" s="10">
        <v>72</v>
      </c>
      <c r="G8120" s="17">
        <v>5</v>
      </c>
      <c r="H8120" t="s" s="10">
        <v>72</v>
      </c>
      <c r="I8120" s="17">
        <v>5</v>
      </c>
      <c r="J8120" t="s" s="11">
        <v>20</v>
      </c>
      <c r="K8120" s="15"/>
      <c r="L8120" t="s" s="16">
        <f>HYPERLINK("http://csr.bu.edu/ftp/asl/asllvd/demos/verify_start_end_handshape_annotations//test_auto_move//signs_mov_separ_signers/Brady_2152.mov","MOV")</f>
        <v>21</v>
      </c>
      <c r="M8120" t="s" s="10">
        <v>40</v>
      </c>
      <c r="N8120" s="17">
        <v>69</v>
      </c>
      <c r="O8120" s="18">
        <v>947</v>
      </c>
      <c r="P8120" s="18">
        <v>967</v>
      </c>
      <c r="Q8120" s="15"/>
      <c r="R8120" t="s" s="16">
        <f>HYPERLINK("http://secrets.rutgers.edu:8080/data/asl-ftp/asllvd/demos/verify_start_end_handshape_annotations//test_auto_move//signs_mov_separ_signers/Brady_2152.mov","MOV")</f>
        <v>21</v>
      </c>
    </row>
    <row r="8121" s="2" customFormat="1" ht="13.5" customHeight="1">
      <c r="B8121" t="s" s="8">
        <v>2900</v>
      </c>
      <c r="C8121" t="s" s="9">
        <v>14</v>
      </c>
      <c r="D8121" t="s" s="8">
        <v>14</v>
      </c>
      <c r="E8121" t="s" s="9">
        <v>14</v>
      </c>
      <c r="F8121" t="s" s="10">
        <v>14</v>
      </c>
      <c r="G8121" t="s" s="11">
        <v>14</v>
      </c>
      <c r="H8121" t="s" s="10">
        <v>14</v>
      </c>
      <c r="I8121" t="s" s="11">
        <v>14</v>
      </c>
      <c r="J8121" t="s" s="11">
        <v>14</v>
      </c>
      <c r="K8121" t="s" s="12">
        <v>14</v>
      </c>
      <c r="L8121" t="s" s="12">
        <v>14</v>
      </c>
      <c r="M8121" t="s" s="10">
        <v>14</v>
      </c>
      <c r="N8121" t="s" s="11">
        <v>14</v>
      </c>
      <c r="O8121" t="s" s="8">
        <v>14</v>
      </c>
      <c r="P8121" t="s" s="8">
        <v>14</v>
      </c>
      <c r="Q8121" t="s" s="12">
        <v>14</v>
      </c>
      <c r="R8121" t="s" s="12">
        <v>14</v>
      </c>
    </row>
    <row r="8122" s="2" customFormat="1" ht="13.5" customHeight="1">
      <c r="B8122" s="13"/>
      <c r="C8122" t="s" s="9">
        <v>16</v>
      </c>
      <c r="D8122" t="s" s="8">
        <v>2900</v>
      </c>
      <c r="E8122" t="s" s="9">
        <v>2901</v>
      </c>
      <c r="F8122" t="s" s="10">
        <v>255</v>
      </c>
      <c r="G8122" s="14"/>
      <c r="H8122" t="s" s="10">
        <v>255</v>
      </c>
      <c r="I8122" s="14"/>
      <c r="J8122" t="s" s="11">
        <v>20</v>
      </c>
      <c r="K8122" t="s" s="16">
        <f>HYPERLINK("http://csr.bu.edu/ftp/asl/asllvd/demos/verify_start_end_handshape_annotations//test_auto_move//signs_mov/2156.mov","MOV")</f>
        <v>21</v>
      </c>
      <c r="L8122" t="s" s="16">
        <f>HYPERLINK("http://csr.bu.edu/ftp/asl/asllvd/demos/verify_start_end_handshape_annotations//test_auto_move//signs_mov_separ_signers/Liz_2156.mov","MOV")</f>
        <v>21</v>
      </c>
      <c r="M8122" t="s" s="10">
        <v>36</v>
      </c>
      <c r="N8122" s="17">
        <v>19</v>
      </c>
      <c r="O8122" s="18">
        <v>2517</v>
      </c>
      <c r="P8122" s="18">
        <v>2555</v>
      </c>
      <c r="Q8122" t="s" s="16">
        <f>HYPERLINK("http://secrets.rutgers.edu:8080/data/asl-ftp/asllvd/demos/verify_start_end_handshape_annotations//test_auto_move//signs_mov/2156.mov","MOV")</f>
        <v>21</v>
      </c>
      <c r="R8122" t="s" s="16">
        <f>HYPERLINK("http://secrets.rutgers.edu:8080/data/asl-ftp/asllvd/demos/verify_start_end_handshape_annotations//test_auto_move//signs_mov_separ_signers/Liz_2156.mov","MOV")</f>
        <v>21</v>
      </c>
    </row>
    <row r="8123" s="2" customFormat="1" ht="13.5" customHeight="1">
      <c r="B8123" s="13"/>
      <c r="C8123" t="s" s="9">
        <v>30</v>
      </c>
      <c r="D8123" t="s" s="8">
        <v>2900</v>
      </c>
      <c r="E8123" t="s" s="9">
        <v>2901</v>
      </c>
      <c r="F8123" t="s" s="10">
        <v>255</v>
      </c>
      <c r="G8123" s="14"/>
      <c r="H8123" t="s" s="10">
        <v>255</v>
      </c>
      <c r="I8123" s="14"/>
      <c r="J8123" t="s" s="11">
        <v>20</v>
      </c>
      <c r="K8123" s="15"/>
      <c r="L8123" t="s" s="16">
        <f>HYPERLINK("http://csr.bu.edu/ftp/asl/asllvd/demos/verify_start_end_handshape_annotations//test_auto_move//signs_mov_separ_signers/Brady_2156.mov","MOV")</f>
        <v>21</v>
      </c>
      <c r="M8123" t="s" s="10">
        <v>40</v>
      </c>
      <c r="N8123" s="17">
        <v>69</v>
      </c>
      <c r="O8123" s="18">
        <v>1950</v>
      </c>
      <c r="P8123" s="18">
        <v>1974</v>
      </c>
      <c r="Q8123" s="15"/>
      <c r="R8123" t="s" s="16">
        <f>HYPERLINK("http://secrets.rutgers.edu:8080/data/asl-ftp/asllvd/demos/verify_start_end_handshape_annotations//test_auto_move//signs_mov_separ_signers/Brady_2156.mov","MOV")</f>
        <v>21</v>
      </c>
    </row>
    <row r="8124" s="2" customFormat="1" ht="13.5" customHeight="1">
      <c r="B8124" t="s" s="8">
        <v>2902</v>
      </c>
      <c r="C8124" t="s" s="9">
        <v>14</v>
      </c>
      <c r="D8124" t="s" s="8">
        <v>14</v>
      </c>
      <c r="E8124" t="s" s="9">
        <v>14</v>
      </c>
      <c r="F8124" t="s" s="10">
        <v>14</v>
      </c>
      <c r="G8124" t="s" s="11">
        <v>14</v>
      </c>
      <c r="H8124" t="s" s="10">
        <v>14</v>
      </c>
      <c r="I8124" t="s" s="11">
        <v>14</v>
      </c>
      <c r="J8124" t="s" s="11">
        <v>14</v>
      </c>
      <c r="K8124" t="s" s="12">
        <v>14</v>
      </c>
      <c r="L8124" t="s" s="12">
        <v>14</v>
      </c>
      <c r="M8124" t="s" s="10">
        <v>14</v>
      </c>
      <c r="N8124" t="s" s="11">
        <v>14</v>
      </c>
      <c r="O8124" t="s" s="8">
        <v>14</v>
      </c>
      <c r="P8124" t="s" s="8">
        <v>14</v>
      </c>
      <c r="Q8124" t="s" s="12">
        <v>14</v>
      </c>
      <c r="R8124" t="s" s="12">
        <v>14</v>
      </c>
    </row>
    <row r="8125" s="2" customFormat="1" ht="13.5" customHeight="1">
      <c r="B8125" s="13"/>
      <c r="C8125" t="s" s="9">
        <v>30</v>
      </c>
      <c r="D8125" t="s" s="8">
        <v>2902</v>
      </c>
      <c r="E8125" t="s" s="9">
        <v>2902</v>
      </c>
      <c r="F8125" t="s" s="10">
        <v>68</v>
      </c>
      <c r="G8125" t="s" s="11">
        <v>68</v>
      </c>
      <c r="H8125" s="19">
        <v>4</v>
      </c>
      <c r="I8125" t="s" s="11">
        <v>68</v>
      </c>
      <c r="J8125" t="s" s="11">
        <v>20</v>
      </c>
      <c r="K8125" t="s" s="16">
        <f>HYPERLINK("http://csr.bu.edu/ftp/asl/asllvd/demos/verify_start_end_handshape_annotations//test_auto_move//signs_mov/2159.mov","MOV")</f>
        <v>21</v>
      </c>
      <c r="L8125" t="s" s="16">
        <f>HYPERLINK("http://csr.bu.edu/ftp/asl/asllvd/demos/verify_start_end_handshape_annotations//test_auto_move//signs_mov_separ_signers/Brady_2159.mov","MOV")</f>
        <v>21</v>
      </c>
      <c r="M8125" t="s" s="10">
        <v>40</v>
      </c>
      <c r="N8125" s="17">
        <v>70</v>
      </c>
      <c r="O8125" s="18">
        <v>1430</v>
      </c>
      <c r="P8125" s="18">
        <v>1464</v>
      </c>
      <c r="Q8125" t="s" s="16">
        <f>HYPERLINK("http://secrets.rutgers.edu:8080/data/asl-ftp/asllvd/demos/verify_start_end_handshape_annotations//test_auto_move//signs_mov/2159.mov","MOV")</f>
        <v>21</v>
      </c>
      <c r="R8125" t="s" s="16">
        <f>HYPERLINK("http://secrets.rutgers.edu:8080/data/asl-ftp/asllvd/demos/verify_start_end_handshape_annotations//test_auto_move//signs_mov_separ_signers/Brady_2159.mov","MOV")</f>
        <v>21</v>
      </c>
    </row>
    <row r="8126" s="2" customFormat="1" ht="13.5" customHeight="1">
      <c r="B8126" t="s" s="8">
        <v>2903</v>
      </c>
      <c r="C8126" t="s" s="9">
        <v>14</v>
      </c>
      <c r="D8126" t="s" s="8">
        <v>14</v>
      </c>
      <c r="E8126" t="s" s="9">
        <v>14</v>
      </c>
      <c r="F8126" t="s" s="10">
        <v>14</v>
      </c>
      <c r="G8126" t="s" s="11">
        <v>14</v>
      </c>
      <c r="H8126" t="s" s="10">
        <v>14</v>
      </c>
      <c r="I8126" t="s" s="11">
        <v>14</v>
      </c>
      <c r="J8126" t="s" s="11">
        <v>14</v>
      </c>
      <c r="K8126" t="s" s="12">
        <v>14</v>
      </c>
      <c r="L8126" t="s" s="12">
        <v>14</v>
      </c>
      <c r="M8126" t="s" s="10">
        <v>14</v>
      </c>
      <c r="N8126" t="s" s="11">
        <v>14</v>
      </c>
      <c r="O8126" t="s" s="8">
        <v>14</v>
      </c>
      <c r="P8126" t="s" s="8">
        <v>14</v>
      </c>
      <c r="Q8126" t="s" s="12">
        <v>14</v>
      </c>
      <c r="R8126" t="s" s="12">
        <v>14</v>
      </c>
    </row>
    <row r="8127" s="2" customFormat="1" ht="13.5" customHeight="1">
      <c r="B8127" s="13"/>
      <c r="C8127" t="s" s="9">
        <v>16</v>
      </c>
      <c r="D8127" t="s" s="8">
        <v>2903</v>
      </c>
      <c r="E8127" t="s" s="9">
        <v>2903</v>
      </c>
      <c r="F8127" t="s" s="10">
        <v>292</v>
      </c>
      <c r="G8127" t="s" s="11">
        <v>292</v>
      </c>
      <c r="H8127" t="s" s="10">
        <v>292</v>
      </c>
      <c r="I8127" t="s" s="11">
        <v>292</v>
      </c>
      <c r="J8127" t="s" s="11">
        <v>20</v>
      </c>
      <c r="K8127" s="15"/>
      <c r="L8127" t="s" s="16">
        <f>HYPERLINK("http://csr.bu.edu/ftp/asl/asllvd/demos/verify_start_end_handshape_annotations//test_auto_move//signs_mov_separ_signers/Liz_2160.mov","MOV")</f>
        <v>21</v>
      </c>
      <c r="M8127" t="s" s="10">
        <v>36</v>
      </c>
      <c r="N8127" s="17">
        <v>20</v>
      </c>
      <c r="O8127" s="18">
        <v>335</v>
      </c>
      <c r="P8127" s="18">
        <v>366</v>
      </c>
      <c r="Q8127" s="15"/>
      <c r="R8127" t="s" s="16">
        <f>HYPERLINK("http://secrets.rutgers.edu:8080/data/asl-ftp/asllvd/demos/verify_start_end_handshape_annotations//test_auto_move//signs_mov_separ_signers/Liz_2160.mov","MOV")</f>
        <v>21</v>
      </c>
    </row>
    <row r="8128" s="2" customFormat="1" ht="13.5" customHeight="1">
      <c r="B8128" s="13"/>
      <c r="C8128" t="s" s="9">
        <v>23</v>
      </c>
      <c r="D8128" t="s" s="8">
        <v>2903</v>
      </c>
      <c r="E8128" t="s" s="9">
        <v>2904</v>
      </c>
      <c r="F8128" t="s" s="10">
        <v>292</v>
      </c>
      <c r="G8128" t="s" s="11">
        <v>292</v>
      </c>
      <c r="H8128" t="s" s="10">
        <v>292</v>
      </c>
      <c r="I8128" t="s" s="11">
        <v>292</v>
      </c>
      <c r="J8128" t="s" s="11">
        <v>20</v>
      </c>
      <c r="K8128" s="15"/>
      <c r="L8128" t="s" s="16">
        <f>HYPERLINK("http://csr.bu.edu/ftp/asl/asllvd/demos/verify_start_end_handshape_annotations//test_auto_move//signs_mov_separ_signers/Tyler_2160.mov","MOV")</f>
        <v>21</v>
      </c>
      <c r="M8128" t="s" s="10">
        <v>37</v>
      </c>
      <c r="N8128" s="17">
        <v>11</v>
      </c>
      <c r="O8128" s="18">
        <v>2201</v>
      </c>
      <c r="P8128" s="18">
        <v>2256</v>
      </c>
      <c r="Q8128" s="15"/>
      <c r="R8128" t="s" s="16">
        <f>HYPERLINK("http://secrets.rutgers.edu:8080/data/asl-ftp/asllvd/demos/verify_start_end_handshape_annotations//test_auto_move//signs_mov_separ_signers/Tyler_2160.mov","MOV")</f>
        <v>21</v>
      </c>
    </row>
    <row r="8129" s="2" customFormat="1" ht="13.5" customHeight="1">
      <c r="B8129" s="13"/>
      <c r="C8129" t="s" s="9">
        <v>30</v>
      </c>
      <c r="D8129" t="s" s="8">
        <v>2903</v>
      </c>
      <c r="E8129" t="s" s="9">
        <v>2903</v>
      </c>
      <c r="F8129" t="s" s="10">
        <v>18</v>
      </c>
      <c r="G8129" t="s" s="11">
        <v>18</v>
      </c>
      <c r="H8129" t="s" s="10">
        <v>18</v>
      </c>
      <c r="I8129" t="s" s="11">
        <v>18</v>
      </c>
      <c r="J8129" t="s" s="11">
        <v>20</v>
      </c>
      <c r="K8129" t="s" s="16">
        <f>HYPERLINK("http://csr.bu.edu/ftp/asl/asllvd/demos/verify_start_end_handshape_annotations//test_auto_move//signs_mov/2160_3751_merged.mov","MOV")</f>
        <v>21</v>
      </c>
      <c r="L8129" t="s" s="16">
        <f>HYPERLINK("http://csr.bu.edu/ftp/asl/asllvd/demos/verify_start_end_handshape_annotations//test_auto_move//signs_mov_separ_signers/Brady_2160.mov","MOV")</f>
        <v>21</v>
      </c>
      <c r="M8129" t="s" s="10">
        <v>39</v>
      </c>
      <c r="N8129" s="17">
        <v>43</v>
      </c>
      <c r="O8129" s="18">
        <v>4461</v>
      </c>
      <c r="P8129" s="18">
        <v>4493</v>
      </c>
      <c r="Q8129" t="s" s="16">
        <f>HYPERLINK("http://secrets.rutgers.edu:8080/data/asl-ftp/asllvd/demos/verify_start_end_handshape_annotations//test_auto_move//signs_mov/2160_3751_merged.mov","MOV")</f>
        <v>21</v>
      </c>
      <c r="R8129" t="s" s="16">
        <f>HYPERLINK("http://secrets.rutgers.edu:8080/data/asl-ftp/asllvd/demos/verify_start_end_handshape_annotations//test_auto_move//signs_mov_separ_signers/Brady_2160.mov","MOV")</f>
        <v>21</v>
      </c>
    </row>
    <row r="8130" s="2" customFormat="1" ht="13.5" customHeight="1">
      <c r="B8130" s="13"/>
      <c r="C8130" t="s" s="9">
        <v>30</v>
      </c>
      <c r="D8130" t="s" s="8">
        <v>2903</v>
      </c>
      <c r="E8130" t="s" s="9">
        <v>2904</v>
      </c>
      <c r="F8130" t="s" s="10">
        <v>25</v>
      </c>
      <c r="G8130" t="s" s="11">
        <v>25</v>
      </c>
      <c r="H8130" t="s" s="10">
        <v>292</v>
      </c>
      <c r="I8130" t="s" s="11">
        <v>292</v>
      </c>
      <c r="J8130" t="s" s="11">
        <v>20</v>
      </c>
      <c r="K8130" s="15"/>
      <c r="L8130" t="s" s="16">
        <f>HYPERLINK("http://csr.bu.edu/ftp/asl/asllvd/demos/verify_start_end_handshape_annotations//test_auto_move//signs_mov_separ_signers/Brady_3751.mov","MOV")</f>
        <v>21</v>
      </c>
      <c r="M8130" t="s" s="10">
        <v>40</v>
      </c>
      <c r="N8130" s="17">
        <v>70</v>
      </c>
      <c r="O8130" s="18">
        <v>758</v>
      </c>
      <c r="P8130" s="18">
        <v>791</v>
      </c>
      <c r="Q8130" s="15"/>
      <c r="R8130" t="s" s="16">
        <f>HYPERLINK("http://secrets.rutgers.edu:8080/data/asl-ftp/asllvd/demos/verify_start_end_handshape_annotations//test_auto_move//signs_mov_separ_signers/Brady_3751.mov","MOV")</f>
        <v>21</v>
      </c>
    </row>
    <row r="8131" s="2" customFormat="1" ht="13.5" customHeight="1">
      <c r="B8131" s="13"/>
      <c r="C8131" t="s" s="9">
        <v>41</v>
      </c>
      <c r="D8131" t="s" s="8">
        <v>2903</v>
      </c>
      <c r="E8131" t="s" s="9">
        <v>2903</v>
      </c>
      <c r="F8131" t="s" s="10">
        <v>292</v>
      </c>
      <c r="G8131" t="s" s="11">
        <v>292</v>
      </c>
      <c r="H8131" t="s" s="10">
        <v>292</v>
      </c>
      <c r="I8131" t="s" s="11">
        <v>292</v>
      </c>
      <c r="J8131" t="s" s="11">
        <v>20</v>
      </c>
      <c r="K8131" s="15"/>
      <c r="L8131" t="s" s="16">
        <f>HYPERLINK("http://csr.bu.edu/ftp/asl/asllvd/demos/verify_start_end_handshape_annotations//test_auto_move//signs_mov_separ_signers/Lana_2160.mov","MOV")</f>
        <v>21</v>
      </c>
      <c r="M8131" t="s" s="10">
        <v>42</v>
      </c>
      <c r="N8131" s="17">
        <v>24</v>
      </c>
      <c r="O8131" s="18">
        <v>831</v>
      </c>
      <c r="P8131" s="18">
        <v>871</v>
      </c>
      <c r="Q8131" s="15"/>
      <c r="R8131" t="s" s="16">
        <f>HYPERLINK("http://secrets.rutgers.edu:8080/data/asl-ftp/asllvd/demos/verify_start_end_handshape_annotations//test_auto_move//signs_mov_separ_signers/Lana_2160.mov","MOV")</f>
        <v>21</v>
      </c>
    </row>
    <row r="8132" s="2" customFormat="1" ht="13.5" customHeight="1">
      <c r="B8132" s="13"/>
      <c r="C8132" t="s" s="9">
        <v>43</v>
      </c>
      <c r="D8132" t="s" s="8">
        <v>2903</v>
      </c>
      <c r="E8132" t="s" s="9">
        <v>2904</v>
      </c>
      <c r="F8132" t="s" s="10">
        <v>292</v>
      </c>
      <c r="G8132" t="s" s="11">
        <v>292</v>
      </c>
      <c r="H8132" t="s" s="10">
        <v>292</v>
      </c>
      <c r="I8132" t="s" s="11">
        <v>292</v>
      </c>
      <c r="J8132" t="s" s="11">
        <v>20</v>
      </c>
      <c r="K8132" s="15"/>
      <c r="L8132" t="s" s="16">
        <f>HYPERLINK("http://csr.bu.edu/ftp/asl/asllvd/demos/verify_start_end_handshape_annotations//test_auto_move//signs_mov_separ_signers/Dana_2160.mov","MOV")</f>
        <v>21</v>
      </c>
      <c r="M8132" t="s" s="10">
        <v>44</v>
      </c>
      <c r="N8132" s="17">
        <v>26</v>
      </c>
      <c r="O8132" s="18">
        <v>784</v>
      </c>
      <c r="P8132" s="18">
        <v>837</v>
      </c>
      <c r="Q8132" s="15"/>
      <c r="R8132" t="s" s="16">
        <f>HYPERLINK("http://secrets.rutgers.edu:8080/data/asl-ftp/asllvd/demos/verify_start_end_handshape_annotations//test_auto_move//signs_mov_separ_signers/Dana_2160.mov","MOV")</f>
        <v>21</v>
      </c>
    </row>
    <row r="8133" s="2" customFormat="1" ht="13.5" customHeight="1">
      <c r="B8133" t="s" s="8">
        <v>52</v>
      </c>
      <c r="C8133" t="s" s="9">
        <v>53</v>
      </c>
      <c r="D8133" t="s" s="8">
        <v>53</v>
      </c>
      <c r="E8133" t="s" s="9">
        <v>53</v>
      </c>
      <c r="F8133" t="s" s="10">
        <v>53</v>
      </c>
      <c r="G8133" t="s" s="11">
        <v>53</v>
      </c>
      <c r="H8133" t="s" s="10">
        <v>53</v>
      </c>
      <c r="I8133" t="s" s="11">
        <v>53</v>
      </c>
      <c r="J8133" t="s" s="11">
        <v>53</v>
      </c>
      <c r="K8133" t="s" s="12">
        <v>53</v>
      </c>
      <c r="L8133" t="s" s="12">
        <v>53</v>
      </c>
      <c r="M8133" t="s" s="10">
        <v>53</v>
      </c>
      <c r="N8133" t="s" s="11">
        <v>53</v>
      </c>
      <c r="O8133" t="s" s="8">
        <v>53</v>
      </c>
      <c r="P8133" t="s" s="8">
        <v>53</v>
      </c>
      <c r="Q8133" t="s" s="12">
        <v>53</v>
      </c>
      <c r="R8133" t="s" s="12">
        <v>53</v>
      </c>
    </row>
    <row r="8134" s="2" customFormat="1" ht="13.5" customHeight="1">
      <c r="B8134" s="13"/>
      <c r="C8134" t="s" s="9">
        <v>16</v>
      </c>
      <c r="D8134" t="s" s="8">
        <v>2903</v>
      </c>
      <c r="E8134" t="s" s="9">
        <v>2905</v>
      </c>
      <c r="F8134" t="s" s="10">
        <v>292</v>
      </c>
      <c r="G8134" t="s" s="11">
        <v>292</v>
      </c>
      <c r="H8134" t="s" s="10">
        <v>292</v>
      </c>
      <c r="I8134" t="s" s="11">
        <v>292</v>
      </c>
      <c r="J8134" t="s" s="11">
        <v>20</v>
      </c>
      <c r="K8134" s="15"/>
      <c r="L8134" t="s" s="16">
        <f>HYPERLINK("http://csr.bu.edu/ftp/asl/asllvd/demos/verify_start_end_handshape_annotations//test_auto_move//signs_mov_separ_signers/Liz_3851.mov","MOV")</f>
        <v>21</v>
      </c>
      <c r="M8134" t="s" s="10">
        <v>34</v>
      </c>
      <c r="N8134" s="17">
        <v>37</v>
      </c>
      <c r="O8134" s="18">
        <v>2780</v>
      </c>
      <c r="P8134" s="18">
        <v>2845</v>
      </c>
      <c r="Q8134" s="15"/>
      <c r="R8134" t="s" s="16">
        <f>HYPERLINK("http://secrets.rutgers.edu:8080/data/asl-ftp/asllvd/demos/verify_start_end_handshape_annotations//test_auto_move//signs_mov_separ_signers/Liz_3851.mov","MOV")</f>
        <v>21</v>
      </c>
    </row>
    <row r="8135" s="2" customFormat="1" ht="13.5" customHeight="1">
      <c r="B8135" s="13"/>
      <c r="C8135" t="s" s="9">
        <v>16</v>
      </c>
      <c r="D8135" t="s" s="8">
        <v>2903</v>
      </c>
      <c r="E8135" t="s" s="9">
        <v>2905</v>
      </c>
      <c r="F8135" t="s" s="10">
        <v>292</v>
      </c>
      <c r="G8135" t="s" s="11">
        <v>292</v>
      </c>
      <c r="H8135" t="s" s="10">
        <v>292</v>
      </c>
      <c r="I8135" t="s" s="11">
        <v>292</v>
      </c>
      <c r="J8135" t="s" s="11">
        <v>20</v>
      </c>
      <c r="K8135" t="s" s="16">
        <f>HYPERLINK("http://csr.bu.edu/ftp/asl/asllvd/demos/verify_start_end_handshape_annotations//test_auto_move//signs_mov/3851_5439_merged.mov","MOV")</f>
        <v>21</v>
      </c>
      <c r="L8135" t="s" s="16">
        <f>HYPERLINK("http://csr.bu.edu/ftp/asl/asllvd/demos/verify_start_end_handshape_annotations//test_auto_move//signs_mov_separ_signers/Liz_5439.mov","MOV")</f>
        <v>21</v>
      </c>
      <c r="M8135" t="s" s="10">
        <v>36</v>
      </c>
      <c r="N8135" s="17">
        <v>20</v>
      </c>
      <c r="O8135" s="18">
        <v>575</v>
      </c>
      <c r="P8135" s="18">
        <v>620</v>
      </c>
      <c r="Q8135" t="s" s="16">
        <f>HYPERLINK("http://secrets.rutgers.edu:8080/data/asl-ftp/asllvd/demos/verify_start_end_handshape_annotations//test_auto_move//signs_mov/3851_5439_merged.mov","MOV")</f>
        <v>21</v>
      </c>
      <c r="R8135" t="s" s="16">
        <f>HYPERLINK("http://secrets.rutgers.edu:8080/data/asl-ftp/asllvd/demos/verify_start_end_handshape_annotations//test_auto_move//signs_mov_separ_signers/Liz_5439.mov","MOV")</f>
        <v>21</v>
      </c>
    </row>
    <row r="8136" s="2" customFormat="1" ht="13.5" customHeight="1">
      <c r="B8136" s="13"/>
      <c r="C8136" t="s" s="9">
        <v>30</v>
      </c>
      <c r="D8136" t="s" s="8">
        <v>2903</v>
      </c>
      <c r="E8136" t="s" s="9">
        <v>2905</v>
      </c>
      <c r="F8136" t="s" s="10">
        <v>25</v>
      </c>
      <c r="G8136" t="s" s="11">
        <v>25</v>
      </c>
      <c r="H8136" t="s" s="10">
        <v>292</v>
      </c>
      <c r="I8136" t="s" s="11">
        <v>292</v>
      </c>
      <c r="J8136" t="s" s="11">
        <v>20</v>
      </c>
      <c r="K8136" s="15"/>
      <c r="L8136" t="s" s="16">
        <f>HYPERLINK("http://csr.bu.edu/ftp/asl/asllvd/demos/verify_start_end_handshape_annotations//test_auto_move//signs_mov_separ_signers/Brady_3851.mov","MOV")</f>
        <v>21</v>
      </c>
      <c r="M8136" t="s" s="10">
        <v>40</v>
      </c>
      <c r="N8136" s="17">
        <v>70</v>
      </c>
      <c r="O8136" s="18">
        <v>965</v>
      </c>
      <c r="P8136" s="18">
        <v>1005</v>
      </c>
      <c r="Q8136" s="15"/>
      <c r="R8136" t="s" s="16">
        <f>HYPERLINK("http://secrets.rutgers.edu:8080/data/asl-ftp/asllvd/demos/verify_start_end_handshape_annotations//test_auto_move//signs_mov_separ_signers/Brady_3851.mov","MOV")</f>
        <v>21</v>
      </c>
    </row>
    <row r="8137" s="2" customFormat="1" ht="13.5" customHeight="1">
      <c r="B8137" s="13"/>
      <c r="C8137" t="s" s="9">
        <v>30</v>
      </c>
      <c r="D8137" t="s" s="8">
        <v>2903</v>
      </c>
      <c r="E8137" t="s" s="9">
        <v>2905</v>
      </c>
      <c r="F8137" t="s" s="10">
        <v>292</v>
      </c>
      <c r="G8137" t="s" s="11">
        <v>292</v>
      </c>
      <c r="H8137" t="s" s="10">
        <v>292</v>
      </c>
      <c r="I8137" t="s" s="11">
        <v>292</v>
      </c>
      <c r="J8137" t="s" s="11">
        <v>20</v>
      </c>
      <c r="K8137" s="15"/>
      <c r="L8137" t="s" s="16">
        <f>HYPERLINK("http://csr.bu.edu/ftp/asl/asllvd/demos/verify_start_end_handshape_annotations//test_auto_move//signs_mov_separ_signers/Brady_5439.mov","MOV")</f>
        <v>21</v>
      </c>
      <c r="M8137" t="s" s="10">
        <v>60</v>
      </c>
      <c r="N8137" s="17">
        <v>45</v>
      </c>
      <c r="O8137" s="18">
        <v>3579</v>
      </c>
      <c r="P8137" s="18">
        <v>3635</v>
      </c>
      <c r="Q8137" s="15"/>
      <c r="R8137" t="s" s="16">
        <f>HYPERLINK("http://secrets.rutgers.edu:8080/data/asl-ftp/asllvd/demos/verify_start_end_handshape_annotations//test_auto_move//signs_mov_separ_signers/Brady_5439.mov","MOV")</f>
        <v>21</v>
      </c>
    </row>
    <row r="8138" s="2" customFormat="1" ht="13.5" customHeight="1">
      <c r="B8138" t="s" s="8">
        <v>2906</v>
      </c>
      <c r="C8138" t="s" s="9">
        <v>14</v>
      </c>
      <c r="D8138" t="s" s="8">
        <v>14</v>
      </c>
      <c r="E8138" t="s" s="9">
        <v>14</v>
      </c>
      <c r="F8138" t="s" s="10">
        <v>14</v>
      </c>
      <c r="G8138" t="s" s="11">
        <v>14</v>
      </c>
      <c r="H8138" t="s" s="10">
        <v>14</v>
      </c>
      <c r="I8138" t="s" s="11">
        <v>14</v>
      </c>
      <c r="J8138" t="s" s="11">
        <v>14</v>
      </c>
      <c r="K8138" t="s" s="12">
        <v>14</v>
      </c>
      <c r="L8138" t="s" s="12">
        <v>14</v>
      </c>
      <c r="M8138" t="s" s="10">
        <v>14</v>
      </c>
      <c r="N8138" t="s" s="11">
        <v>14</v>
      </c>
      <c r="O8138" t="s" s="8">
        <v>14</v>
      </c>
      <c r="P8138" t="s" s="8">
        <v>14</v>
      </c>
      <c r="Q8138" t="s" s="12">
        <v>14</v>
      </c>
      <c r="R8138" t="s" s="12">
        <v>14</v>
      </c>
    </row>
    <row r="8139" s="2" customFormat="1" ht="13.5" customHeight="1">
      <c r="B8139" s="13"/>
      <c r="C8139" t="s" s="9">
        <v>16</v>
      </c>
      <c r="D8139" t="s" s="8">
        <v>2906</v>
      </c>
      <c r="E8139" t="s" s="9">
        <v>2907</v>
      </c>
      <c r="F8139" t="s" s="10">
        <v>73</v>
      </c>
      <c r="G8139" t="s" s="11">
        <v>73</v>
      </c>
      <c r="H8139" t="s" s="10">
        <v>73</v>
      </c>
      <c r="I8139" t="s" s="11">
        <v>73</v>
      </c>
      <c r="J8139" t="s" s="11">
        <v>20</v>
      </c>
      <c r="K8139" t="s" s="16">
        <f>HYPERLINK("http://csr.bu.edu/ftp/asl/asllvd/demos/verify_start_end_handshape_annotations//test_auto_move//signs_mov/2162.mov","MOV")</f>
        <v>21</v>
      </c>
      <c r="L8139" t="s" s="16">
        <f>HYPERLINK("http://csr.bu.edu/ftp/asl/asllvd/demos/verify_start_end_handshape_annotations//test_auto_move//signs_mov_separ_signers/Liz_2162.mov","MOV")</f>
        <v>21</v>
      </c>
      <c r="M8139" t="s" s="10">
        <v>36</v>
      </c>
      <c r="N8139" s="17">
        <v>20</v>
      </c>
      <c r="O8139" s="18">
        <v>822</v>
      </c>
      <c r="P8139" s="18">
        <v>880</v>
      </c>
      <c r="Q8139" t="s" s="16">
        <f>HYPERLINK("http://secrets.rutgers.edu:8080/data/asl-ftp/asllvd/demos/verify_start_end_handshape_annotations//test_auto_move//signs_mov/2162.mov","MOV")</f>
        <v>21</v>
      </c>
      <c r="R8139" t="s" s="16">
        <f>HYPERLINK("http://secrets.rutgers.edu:8080/data/asl-ftp/asllvd/demos/verify_start_end_handshape_annotations//test_auto_move//signs_mov_separ_signers/Liz_2162.mov","MOV")</f>
        <v>21</v>
      </c>
    </row>
    <row r="8140" s="2" customFormat="1" ht="13.5" customHeight="1">
      <c r="B8140" s="13"/>
      <c r="C8140" t="s" s="9">
        <v>30</v>
      </c>
      <c r="D8140" t="s" s="8">
        <v>2906</v>
      </c>
      <c r="E8140" t="s" s="9">
        <v>2908</v>
      </c>
      <c r="F8140" t="s" s="10">
        <v>73</v>
      </c>
      <c r="G8140" t="s" s="11">
        <v>73</v>
      </c>
      <c r="H8140" t="s" s="10">
        <v>73</v>
      </c>
      <c r="I8140" t="s" s="11">
        <v>73</v>
      </c>
      <c r="J8140" t="s" s="11">
        <v>20</v>
      </c>
      <c r="K8140" s="15"/>
      <c r="L8140" t="s" s="16">
        <f>HYPERLINK("http://csr.bu.edu/ftp/asl/asllvd/demos/verify_start_end_handshape_annotations//test_auto_move//signs_mov_separ_signers/Brady_2162.mov","MOV")</f>
        <v>21</v>
      </c>
      <c r="M8140" t="s" s="10">
        <v>40</v>
      </c>
      <c r="N8140" s="17">
        <v>70</v>
      </c>
      <c r="O8140" s="18">
        <v>1182</v>
      </c>
      <c r="P8140" s="18">
        <v>1226</v>
      </c>
      <c r="Q8140" s="15"/>
      <c r="R8140" t="s" s="16">
        <f>HYPERLINK("http://secrets.rutgers.edu:8080/data/asl-ftp/asllvd/demos/verify_start_end_handshape_annotations//test_auto_move//signs_mov_separ_signers/Brady_2162.mov","MOV")</f>
        <v>21</v>
      </c>
    </row>
    <row r="8141" s="2" customFormat="1" ht="13.5" customHeight="1">
      <c r="B8141" t="s" s="8">
        <v>2909</v>
      </c>
      <c r="C8141" t="s" s="9">
        <v>14</v>
      </c>
      <c r="D8141" t="s" s="8">
        <v>14</v>
      </c>
      <c r="E8141" t="s" s="9">
        <v>14</v>
      </c>
      <c r="F8141" t="s" s="10">
        <v>14</v>
      </c>
      <c r="G8141" t="s" s="11">
        <v>14</v>
      </c>
      <c r="H8141" t="s" s="10">
        <v>14</v>
      </c>
      <c r="I8141" t="s" s="11">
        <v>14</v>
      </c>
      <c r="J8141" t="s" s="11">
        <v>14</v>
      </c>
      <c r="K8141" t="s" s="12">
        <v>14</v>
      </c>
      <c r="L8141" t="s" s="12">
        <v>14</v>
      </c>
      <c r="M8141" t="s" s="10">
        <v>14</v>
      </c>
      <c r="N8141" t="s" s="11">
        <v>14</v>
      </c>
      <c r="O8141" t="s" s="8">
        <v>14</v>
      </c>
      <c r="P8141" t="s" s="8">
        <v>14</v>
      </c>
      <c r="Q8141" t="s" s="12">
        <v>14</v>
      </c>
      <c r="R8141" t="s" s="12">
        <v>14</v>
      </c>
    </row>
    <row r="8142" s="2" customFormat="1" ht="13.5" customHeight="1">
      <c r="B8142" s="13"/>
      <c r="C8142" t="s" s="9">
        <v>16</v>
      </c>
      <c r="D8142" t="s" s="8">
        <v>2909</v>
      </c>
      <c r="E8142" t="s" s="9">
        <v>2910</v>
      </c>
      <c r="F8142" s="19">
        <v>4</v>
      </c>
      <c r="G8142" s="17">
        <v>1</v>
      </c>
      <c r="H8142" s="19">
        <v>4</v>
      </c>
      <c r="I8142" s="17">
        <v>1</v>
      </c>
      <c r="J8142" t="s" s="11">
        <v>20</v>
      </c>
      <c r="K8142" t="s" s="16">
        <f>HYPERLINK("http://csr.bu.edu/ftp/asl/asllvd/demos/verify_start_end_handshape_annotations//test_auto_move//signs_mov/2163.mov","MOV")</f>
        <v>21</v>
      </c>
      <c r="L8142" t="s" s="16">
        <f>HYPERLINK("http://csr.bu.edu/ftp/asl/asllvd/demos/verify_start_end_handshape_annotations//test_auto_move//signs_mov_separ_signers/Liz_2163.mov","MOV")</f>
        <v>21</v>
      </c>
      <c r="M8142" t="s" s="10">
        <v>36</v>
      </c>
      <c r="N8142" s="17">
        <v>20</v>
      </c>
      <c r="O8142" s="18">
        <v>1080</v>
      </c>
      <c r="P8142" s="18">
        <v>1142</v>
      </c>
      <c r="Q8142" t="s" s="16">
        <f>HYPERLINK("http://secrets.rutgers.edu:8080/data/asl-ftp/asllvd/demos/verify_start_end_handshape_annotations//test_auto_move//signs_mov/2163.mov","MOV")</f>
        <v>21</v>
      </c>
      <c r="R8142" t="s" s="16">
        <f>HYPERLINK("http://secrets.rutgers.edu:8080/data/asl-ftp/asllvd/demos/verify_start_end_handshape_annotations//test_auto_move//signs_mov_separ_signers/Liz_2163.mov","MOV")</f>
        <v>21</v>
      </c>
    </row>
    <row r="8143" s="2" customFormat="1" ht="13.5" customHeight="1">
      <c r="B8143" t="s" s="8">
        <v>2911</v>
      </c>
      <c r="C8143" t="s" s="9">
        <v>14</v>
      </c>
      <c r="D8143" t="s" s="8">
        <v>14</v>
      </c>
      <c r="E8143" t="s" s="9">
        <v>14</v>
      </c>
      <c r="F8143" t="s" s="10">
        <v>14</v>
      </c>
      <c r="G8143" t="s" s="11">
        <v>14</v>
      </c>
      <c r="H8143" t="s" s="10">
        <v>14</v>
      </c>
      <c r="I8143" t="s" s="11">
        <v>14</v>
      </c>
      <c r="J8143" t="s" s="11">
        <v>14</v>
      </c>
      <c r="K8143" t="s" s="12">
        <v>14</v>
      </c>
      <c r="L8143" t="s" s="12">
        <v>14</v>
      </c>
      <c r="M8143" t="s" s="10">
        <v>14</v>
      </c>
      <c r="N8143" t="s" s="11">
        <v>14</v>
      </c>
      <c r="O8143" t="s" s="8">
        <v>14</v>
      </c>
      <c r="P8143" t="s" s="8">
        <v>14</v>
      </c>
      <c r="Q8143" t="s" s="12">
        <v>14</v>
      </c>
      <c r="R8143" t="s" s="12">
        <v>14</v>
      </c>
    </row>
    <row r="8144" s="2" customFormat="1" ht="13.5" customHeight="1">
      <c r="B8144" s="13"/>
      <c r="C8144" t="s" s="9">
        <v>16</v>
      </c>
      <c r="D8144" t="s" s="8">
        <v>2911</v>
      </c>
      <c r="E8144" t="s" s="9">
        <v>2911</v>
      </c>
      <c r="F8144" s="19">
        <v>5</v>
      </c>
      <c r="G8144" s="17">
        <v>5</v>
      </c>
      <c r="H8144" s="19">
        <v>5</v>
      </c>
      <c r="I8144" s="17">
        <v>5</v>
      </c>
      <c r="J8144" t="s" s="11">
        <v>20</v>
      </c>
      <c r="K8144" t="s" s="16">
        <f>HYPERLINK("http://csr.bu.edu/ftp/asl/asllvd/demos/verify_start_end_handshape_annotations//test_auto_move//signs_mov/2166.mov","MOV")</f>
        <v>21</v>
      </c>
      <c r="L8144" t="s" s="16">
        <f>HYPERLINK("http://csr.bu.edu/ftp/asl/asllvd/demos/verify_start_end_handshape_annotations//test_auto_move//signs_mov_separ_signers/Liz_2166.mov","MOV")</f>
        <v>21</v>
      </c>
      <c r="M8144" t="s" s="10">
        <v>36</v>
      </c>
      <c r="N8144" s="17">
        <v>20</v>
      </c>
      <c r="O8144" s="18">
        <v>1795</v>
      </c>
      <c r="P8144" s="18">
        <v>1832</v>
      </c>
      <c r="Q8144" t="s" s="16">
        <f>HYPERLINK("http://secrets.rutgers.edu:8080/data/asl-ftp/asllvd/demos/verify_start_end_handshape_annotations//test_auto_move//signs_mov/2166.mov","MOV")</f>
        <v>21</v>
      </c>
      <c r="R8144" t="s" s="16">
        <f>HYPERLINK("http://secrets.rutgers.edu:8080/data/asl-ftp/asllvd/demos/verify_start_end_handshape_annotations//test_auto_move//signs_mov_separ_signers/Liz_2166.mov","MOV")</f>
        <v>21</v>
      </c>
    </row>
    <row r="8145" s="2" customFormat="1" ht="13.5" customHeight="1">
      <c r="B8145" s="13"/>
      <c r="C8145" t="s" s="9">
        <v>30</v>
      </c>
      <c r="D8145" t="s" s="8">
        <v>2911</v>
      </c>
      <c r="E8145" t="s" s="9">
        <v>2911</v>
      </c>
      <c r="F8145" s="19">
        <v>5</v>
      </c>
      <c r="G8145" s="17">
        <v>5</v>
      </c>
      <c r="H8145" s="19">
        <v>5</v>
      </c>
      <c r="I8145" s="17">
        <v>5</v>
      </c>
      <c r="J8145" t="s" s="11">
        <v>20</v>
      </c>
      <c r="K8145" s="15"/>
      <c r="L8145" t="s" s="16">
        <f>HYPERLINK("http://csr.bu.edu/ftp/asl/asllvd/demos/verify_start_end_handshape_annotations//test_auto_move//signs_mov_separ_signers/Brady_2166.mov","MOV")</f>
        <v>21</v>
      </c>
      <c r="M8145" t="s" s="10">
        <v>40</v>
      </c>
      <c r="N8145" s="17">
        <v>71</v>
      </c>
      <c r="O8145" s="18">
        <v>162</v>
      </c>
      <c r="P8145" s="18">
        <v>200</v>
      </c>
      <c r="Q8145" s="15"/>
      <c r="R8145" t="s" s="16">
        <f>HYPERLINK("http://secrets.rutgers.edu:8080/data/asl-ftp/asllvd/demos/verify_start_end_handshape_annotations//test_auto_move//signs_mov_separ_signers/Brady_2166.mov","MOV")</f>
        <v>21</v>
      </c>
    </row>
    <row r="8146" s="2" customFormat="1" ht="13.5" customHeight="1">
      <c r="B8146" t="s" s="8">
        <v>2912</v>
      </c>
      <c r="C8146" t="s" s="9">
        <v>14</v>
      </c>
      <c r="D8146" t="s" s="8">
        <v>14</v>
      </c>
      <c r="E8146" t="s" s="9">
        <v>14</v>
      </c>
      <c r="F8146" t="s" s="10">
        <v>14</v>
      </c>
      <c r="G8146" t="s" s="11">
        <v>14</v>
      </c>
      <c r="H8146" t="s" s="10">
        <v>14</v>
      </c>
      <c r="I8146" t="s" s="11">
        <v>14</v>
      </c>
      <c r="J8146" t="s" s="11">
        <v>14</v>
      </c>
      <c r="K8146" t="s" s="12">
        <v>14</v>
      </c>
      <c r="L8146" t="s" s="12">
        <v>14</v>
      </c>
      <c r="M8146" t="s" s="10">
        <v>14</v>
      </c>
      <c r="N8146" t="s" s="11">
        <v>14</v>
      </c>
      <c r="O8146" t="s" s="8">
        <v>14</v>
      </c>
      <c r="P8146" t="s" s="8">
        <v>14</v>
      </c>
      <c r="Q8146" t="s" s="12">
        <v>14</v>
      </c>
      <c r="R8146" t="s" s="12">
        <v>14</v>
      </c>
    </row>
    <row r="8147" s="2" customFormat="1" ht="13.5" customHeight="1">
      <c r="B8147" s="13"/>
      <c r="C8147" t="s" s="9">
        <v>16</v>
      </c>
      <c r="D8147" t="s" s="8">
        <v>2912</v>
      </c>
      <c r="E8147" t="s" s="9">
        <v>2912</v>
      </c>
      <c r="F8147" s="19">
        <v>1</v>
      </c>
      <c r="G8147" s="14"/>
      <c r="H8147" s="19">
        <v>1</v>
      </c>
      <c r="I8147" s="14"/>
      <c r="J8147" t="s" s="11">
        <v>20</v>
      </c>
      <c r="K8147" s="15"/>
      <c r="L8147" t="s" s="16">
        <f>HYPERLINK("http://csr.bu.edu/ftp/asl/asllvd/demos/verify_start_end_handshape_annotations//test_auto_move//signs_mov_separ_signers/Liz_5725.mov","MOV")</f>
        <v>21</v>
      </c>
      <c r="M8147" t="s" s="10">
        <v>34</v>
      </c>
      <c r="N8147" s="17">
        <v>24</v>
      </c>
      <c r="O8147" s="18">
        <v>480</v>
      </c>
      <c r="P8147" s="18">
        <v>516</v>
      </c>
      <c r="Q8147" s="15"/>
      <c r="R8147" t="s" s="16">
        <f>HYPERLINK("http://secrets.rutgers.edu:8080/data/asl-ftp/asllvd/demos/verify_start_end_handshape_annotations//test_auto_move//signs_mov_separ_signers/Liz_5725.mov","MOV")</f>
        <v>21</v>
      </c>
    </row>
    <row r="8148" s="2" customFormat="1" ht="13.5" customHeight="1">
      <c r="B8148" s="13"/>
      <c r="C8148" t="s" s="9">
        <v>16</v>
      </c>
      <c r="D8148" t="s" s="8">
        <v>2912</v>
      </c>
      <c r="E8148" t="s" s="9">
        <v>2912</v>
      </c>
      <c r="F8148" s="19">
        <v>1</v>
      </c>
      <c r="G8148" s="14"/>
      <c r="H8148" s="19">
        <v>1</v>
      </c>
      <c r="I8148" s="14"/>
      <c r="J8148" t="s" s="11">
        <v>20</v>
      </c>
      <c r="K8148" t="s" s="16">
        <f>HYPERLINK("http://csr.bu.edu/ftp/asl/asllvd/demos/verify_start_end_handshape_annotations//test_auto_move//signs_mov/5725_16381_merged.mov","MOV")</f>
        <v>21</v>
      </c>
      <c r="L8148" t="s" s="16">
        <f>HYPERLINK("http://csr.bu.edu/ftp/asl/asllvd/demos/verify_start_end_handshape_annotations//test_auto_move//signs_mov_separ_signers/Liz_16381.mov","MOV")</f>
        <v>21</v>
      </c>
      <c r="M8148" t="s" s="10">
        <v>36</v>
      </c>
      <c r="N8148" s="17">
        <v>20</v>
      </c>
      <c r="O8148" s="18">
        <v>1500</v>
      </c>
      <c r="P8148" s="18">
        <v>1537</v>
      </c>
      <c r="Q8148" t="s" s="16">
        <f>HYPERLINK("http://secrets.rutgers.edu:8080/data/asl-ftp/asllvd/demos/verify_start_end_handshape_annotations//test_auto_move//signs_mov/5725_16381_merged.mov","MOV")</f>
        <v>21</v>
      </c>
      <c r="R8148" t="s" s="16">
        <f>HYPERLINK("http://secrets.rutgers.edu:8080/data/asl-ftp/asllvd/demos/verify_start_end_handshape_annotations//test_auto_move//signs_mov_separ_signers/Liz_16381.mov","MOV")</f>
        <v>21</v>
      </c>
    </row>
    <row r="8149" s="2" customFormat="1" ht="13.5" customHeight="1">
      <c r="B8149" s="13"/>
      <c r="C8149" t="s" s="9">
        <v>30</v>
      </c>
      <c r="D8149" t="s" s="8">
        <v>2912</v>
      </c>
      <c r="E8149" t="s" s="9">
        <v>2912</v>
      </c>
      <c r="F8149" s="19">
        <v>1</v>
      </c>
      <c r="G8149" s="14"/>
      <c r="H8149" s="19">
        <v>1</v>
      </c>
      <c r="I8149" s="14"/>
      <c r="J8149" t="s" s="11">
        <v>20</v>
      </c>
      <c r="K8149" s="15"/>
      <c r="L8149" t="s" s="16">
        <f>HYPERLINK("http://csr.bu.edu/ftp/asl/asllvd/demos/verify_start_end_handshape_annotations//test_auto_move//signs_mov_separ_signers/Brady_5725.mov","MOV")</f>
        <v>21</v>
      </c>
      <c r="M8149" t="s" s="10">
        <v>39</v>
      </c>
      <c r="N8149" s="17">
        <v>35</v>
      </c>
      <c r="O8149" s="18">
        <v>3244</v>
      </c>
      <c r="P8149" s="18">
        <v>3272</v>
      </c>
      <c r="Q8149" s="15"/>
      <c r="R8149" t="s" s="16">
        <f>HYPERLINK("http://secrets.rutgers.edu:8080/data/asl-ftp/asllvd/demos/verify_start_end_handshape_annotations//test_auto_move//signs_mov_separ_signers/Brady_5725.mov","MOV")</f>
        <v>21</v>
      </c>
    </row>
    <row r="8150" s="2" customFormat="1" ht="13.5" customHeight="1">
      <c r="B8150" s="13"/>
      <c r="C8150" t="s" s="9">
        <v>30</v>
      </c>
      <c r="D8150" t="s" s="8">
        <v>2912</v>
      </c>
      <c r="E8150" t="s" s="9">
        <v>2912</v>
      </c>
      <c r="F8150" s="19">
        <v>1</v>
      </c>
      <c r="G8150" s="14"/>
      <c r="H8150" s="19">
        <v>1</v>
      </c>
      <c r="I8150" s="14"/>
      <c r="J8150" t="s" s="11">
        <v>20</v>
      </c>
      <c r="K8150" s="15"/>
      <c r="L8150" t="s" s="16">
        <f>HYPERLINK("http://csr.bu.edu/ftp/asl/asllvd/demos/verify_start_end_handshape_annotations//test_auto_move//signs_mov_separ_signers/Brady_16381.mov","MOV")</f>
        <v>21</v>
      </c>
      <c r="M8150" t="s" s="10">
        <v>40</v>
      </c>
      <c r="N8150" s="17">
        <v>70</v>
      </c>
      <c r="O8150" s="18">
        <v>2813</v>
      </c>
      <c r="P8150" s="18">
        <v>2833</v>
      </c>
      <c r="Q8150" s="15"/>
      <c r="R8150" t="s" s="16">
        <f>HYPERLINK("http://secrets.rutgers.edu:8080/data/asl-ftp/asllvd/demos/verify_start_end_handshape_annotations//test_auto_move//signs_mov_separ_signers/Brady_16381.mov","MOV")</f>
        <v>21</v>
      </c>
    </row>
    <row r="8151" s="2" customFormat="1" ht="13.5" customHeight="1">
      <c r="B8151" t="s" s="8">
        <v>2913</v>
      </c>
      <c r="C8151" t="s" s="9">
        <v>14</v>
      </c>
      <c r="D8151" t="s" s="8">
        <v>14</v>
      </c>
      <c r="E8151" t="s" s="9">
        <v>14</v>
      </c>
      <c r="F8151" t="s" s="10">
        <v>14</v>
      </c>
      <c r="G8151" t="s" s="11">
        <v>14</v>
      </c>
      <c r="H8151" t="s" s="10">
        <v>14</v>
      </c>
      <c r="I8151" t="s" s="11">
        <v>14</v>
      </c>
      <c r="J8151" t="s" s="11">
        <v>14</v>
      </c>
      <c r="K8151" t="s" s="12">
        <v>14</v>
      </c>
      <c r="L8151" t="s" s="12">
        <v>14</v>
      </c>
      <c r="M8151" t="s" s="10">
        <v>14</v>
      </c>
      <c r="N8151" t="s" s="11">
        <v>14</v>
      </c>
      <c r="O8151" t="s" s="8">
        <v>14</v>
      </c>
      <c r="P8151" t="s" s="8">
        <v>14</v>
      </c>
      <c r="Q8151" t="s" s="12">
        <v>14</v>
      </c>
      <c r="R8151" t="s" s="12">
        <v>14</v>
      </c>
    </row>
    <row r="8152" s="2" customFormat="1" ht="13.5" customHeight="1">
      <c r="B8152" s="13"/>
      <c r="C8152" t="s" s="9">
        <v>30</v>
      </c>
      <c r="D8152" t="s" s="8">
        <v>2913</v>
      </c>
      <c r="E8152" t="s" s="9">
        <v>2913</v>
      </c>
      <c r="F8152" t="s" s="10">
        <v>68</v>
      </c>
      <c r="G8152" t="s" s="11">
        <v>68</v>
      </c>
      <c r="H8152" t="s" s="10">
        <v>68</v>
      </c>
      <c r="I8152" t="s" s="11">
        <v>68</v>
      </c>
      <c r="J8152" t="s" s="11">
        <v>20</v>
      </c>
      <c r="K8152" t="s" s="16">
        <f>HYPERLINK("http://csr.bu.edu/ftp/asl/asllvd/demos/verify_start_end_handshape_annotations//test_auto_move//signs_mov/2168.mov","MOV")</f>
        <v>21</v>
      </c>
      <c r="L8152" t="s" s="16">
        <f>HYPERLINK("http://csr.bu.edu/ftp/asl/asllvd/demos/verify_start_end_handshape_annotations//test_auto_move//signs_mov_separ_signers/Brady_2168.mov","MOV")</f>
        <v>21</v>
      </c>
      <c r="M8152" t="s" s="10">
        <v>40</v>
      </c>
      <c r="N8152" s="17">
        <v>71</v>
      </c>
      <c r="O8152" s="18">
        <v>712</v>
      </c>
      <c r="P8152" s="18">
        <v>727</v>
      </c>
      <c r="Q8152" t="s" s="16">
        <f>HYPERLINK("http://secrets.rutgers.edu:8080/data/asl-ftp/asllvd/demos/verify_start_end_handshape_annotations//test_auto_move//signs_mov/2168.mov","MOV")</f>
        <v>21</v>
      </c>
      <c r="R8152" t="s" s="16">
        <f>HYPERLINK("http://secrets.rutgers.edu:8080/data/asl-ftp/asllvd/demos/verify_start_end_handshape_annotations//test_auto_move//signs_mov_separ_signers/Brady_2168.mov","MOV")</f>
        <v>21</v>
      </c>
    </row>
    <row r="8153" s="2" customFormat="1" ht="13.5" customHeight="1">
      <c r="B8153" t="s" s="8">
        <v>52</v>
      </c>
      <c r="C8153" t="s" s="9">
        <v>53</v>
      </c>
      <c r="D8153" t="s" s="8">
        <v>53</v>
      </c>
      <c r="E8153" t="s" s="9">
        <v>53</v>
      </c>
      <c r="F8153" t="s" s="10">
        <v>53</v>
      </c>
      <c r="G8153" t="s" s="11">
        <v>53</v>
      </c>
      <c r="H8153" t="s" s="10">
        <v>53</v>
      </c>
      <c r="I8153" t="s" s="11">
        <v>53</v>
      </c>
      <c r="J8153" t="s" s="11">
        <v>53</v>
      </c>
      <c r="K8153" t="s" s="12">
        <v>53</v>
      </c>
      <c r="L8153" t="s" s="12">
        <v>53</v>
      </c>
      <c r="M8153" t="s" s="10">
        <v>53</v>
      </c>
      <c r="N8153" t="s" s="11">
        <v>53</v>
      </c>
      <c r="O8153" t="s" s="8">
        <v>53</v>
      </c>
      <c r="P8153" t="s" s="8">
        <v>53</v>
      </c>
      <c r="Q8153" t="s" s="12">
        <v>53</v>
      </c>
      <c r="R8153" t="s" s="12">
        <v>53</v>
      </c>
    </row>
    <row r="8154" s="2" customFormat="1" ht="13.5" customHeight="1">
      <c r="B8154" s="13"/>
      <c r="C8154" t="s" s="9">
        <v>16</v>
      </c>
      <c r="D8154" t="s" s="8">
        <v>2913</v>
      </c>
      <c r="E8154" t="s" s="9">
        <v>2914</v>
      </c>
      <c r="F8154" t="s" s="10">
        <v>68</v>
      </c>
      <c r="G8154" t="s" s="11">
        <v>68</v>
      </c>
      <c r="H8154" t="s" s="10">
        <v>68</v>
      </c>
      <c r="I8154" t="s" s="11">
        <v>68</v>
      </c>
      <c r="J8154" t="s" s="11">
        <v>20</v>
      </c>
      <c r="K8154" t="s" s="16">
        <f>HYPERLINK("http://csr.bu.edu/ftp/asl/asllvd/demos/verify_start_end_handshape_annotations//test_auto_move//signs_mov/16566.mov","MOV")</f>
        <v>21</v>
      </c>
      <c r="L8154" t="s" s="16">
        <f>HYPERLINK("http://csr.bu.edu/ftp/asl/asllvd/demos/verify_start_end_handshape_annotations//test_auto_move//signs_mov_separ_signers/Liz_16566.mov","MOV")</f>
        <v>21</v>
      </c>
      <c r="M8154" t="s" s="10">
        <v>36</v>
      </c>
      <c r="N8154" s="17">
        <v>20</v>
      </c>
      <c r="O8154" s="18">
        <v>2235</v>
      </c>
      <c r="P8154" s="18">
        <v>2267</v>
      </c>
      <c r="Q8154" t="s" s="16">
        <f>HYPERLINK("http://secrets.rutgers.edu:8080/data/asl-ftp/asllvd/demos/verify_start_end_handshape_annotations//test_auto_move//signs_mov/16566.mov","MOV")</f>
        <v>21</v>
      </c>
      <c r="R8154" t="s" s="16">
        <f>HYPERLINK("http://secrets.rutgers.edu:8080/data/asl-ftp/asllvd/demos/verify_start_end_handshape_annotations//test_auto_move//signs_mov_separ_signers/Liz_16566.mov","MOV")</f>
        <v>21</v>
      </c>
    </row>
    <row r="8155" s="2" customFormat="1" ht="13.5" customHeight="1">
      <c r="B8155" t="s" s="8">
        <v>2915</v>
      </c>
      <c r="C8155" t="s" s="9">
        <v>14</v>
      </c>
      <c r="D8155" t="s" s="8">
        <v>14</v>
      </c>
      <c r="E8155" t="s" s="9">
        <v>14</v>
      </c>
      <c r="F8155" t="s" s="10">
        <v>14</v>
      </c>
      <c r="G8155" t="s" s="11">
        <v>14</v>
      </c>
      <c r="H8155" t="s" s="10">
        <v>14</v>
      </c>
      <c r="I8155" t="s" s="11">
        <v>14</v>
      </c>
      <c r="J8155" t="s" s="11">
        <v>14</v>
      </c>
      <c r="K8155" t="s" s="12">
        <v>14</v>
      </c>
      <c r="L8155" t="s" s="12">
        <v>14</v>
      </c>
      <c r="M8155" t="s" s="10">
        <v>14</v>
      </c>
      <c r="N8155" t="s" s="11">
        <v>14</v>
      </c>
      <c r="O8155" t="s" s="8">
        <v>14</v>
      </c>
      <c r="P8155" t="s" s="8">
        <v>14</v>
      </c>
      <c r="Q8155" t="s" s="12">
        <v>14</v>
      </c>
      <c r="R8155" t="s" s="12">
        <v>14</v>
      </c>
    </row>
    <row r="8156" s="2" customFormat="1" ht="13.5" customHeight="1">
      <c r="B8156" s="13"/>
      <c r="C8156" t="s" s="9">
        <v>16</v>
      </c>
      <c r="D8156" t="s" s="8">
        <v>2915</v>
      </c>
      <c r="E8156" t="s" s="9">
        <v>2915</v>
      </c>
      <c r="F8156" t="s" s="10">
        <v>80</v>
      </c>
      <c r="G8156" s="17">
        <v>1</v>
      </c>
      <c r="H8156" t="s" s="10">
        <v>80</v>
      </c>
      <c r="I8156" s="17">
        <v>1</v>
      </c>
      <c r="J8156" t="s" s="11">
        <v>20</v>
      </c>
      <c r="K8156" t="s" s="16">
        <f>HYPERLINK("http://csr.bu.edu/ftp/asl/asllvd/demos/verify_start_end_handshape_annotations//test_auto_move//signs_mov/2169.mov","MOV")</f>
        <v>21</v>
      </c>
      <c r="L8156" t="s" s="16">
        <f>HYPERLINK("http://csr.bu.edu/ftp/asl/asllvd/demos/verify_start_end_handshape_annotations//test_auto_move//signs_mov_separ_signers/Liz_2169.mov","MOV")</f>
        <v>21</v>
      </c>
      <c r="M8156" t="s" s="10">
        <v>36</v>
      </c>
      <c r="N8156" s="17">
        <v>20</v>
      </c>
      <c r="O8156" s="18">
        <v>2550</v>
      </c>
      <c r="P8156" s="18">
        <v>2585</v>
      </c>
      <c r="Q8156" t="s" s="16">
        <f>HYPERLINK("http://secrets.rutgers.edu:8080/data/asl-ftp/asllvd/demos/verify_start_end_handshape_annotations//test_auto_move//signs_mov/2169.mov","MOV")</f>
        <v>21</v>
      </c>
      <c r="R8156" t="s" s="16">
        <f>HYPERLINK("http://secrets.rutgers.edu:8080/data/asl-ftp/asllvd/demos/verify_start_end_handshape_annotations//test_auto_move//signs_mov_separ_signers/Liz_2169.mov","MOV")</f>
        <v>21</v>
      </c>
    </row>
    <row r="8157" s="2" customFormat="1" ht="13.5" customHeight="1">
      <c r="B8157" s="13"/>
      <c r="C8157" t="s" s="9">
        <v>30</v>
      </c>
      <c r="D8157" t="s" s="8">
        <v>2915</v>
      </c>
      <c r="E8157" t="s" s="9">
        <v>2915</v>
      </c>
      <c r="F8157" t="s" s="10">
        <v>80</v>
      </c>
      <c r="G8157" s="17">
        <v>1</v>
      </c>
      <c r="H8157" t="s" s="10">
        <v>80</v>
      </c>
      <c r="I8157" s="17">
        <v>1</v>
      </c>
      <c r="J8157" t="s" s="11">
        <v>20</v>
      </c>
      <c r="K8157" s="15"/>
      <c r="L8157" t="s" s="16">
        <f>HYPERLINK("http://csr.bu.edu/ftp/asl/asllvd/demos/verify_start_end_handshape_annotations//test_auto_move//signs_mov_separ_signers/Brady_2169.mov","MOV")</f>
        <v>21</v>
      </c>
      <c r="M8157" t="s" s="10">
        <v>40</v>
      </c>
      <c r="N8157" s="17">
        <v>71</v>
      </c>
      <c r="O8157" s="18">
        <v>1265</v>
      </c>
      <c r="P8157" s="18">
        <v>1295</v>
      </c>
      <c r="Q8157" s="15"/>
      <c r="R8157" t="s" s="16">
        <f>HYPERLINK("http://secrets.rutgers.edu:8080/data/asl-ftp/asllvd/demos/verify_start_end_handshape_annotations//test_auto_move//signs_mov_separ_signers/Brady_2169.mov","MOV")</f>
        <v>21</v>
      </c>
    </row>
    <row r="8158" s="2" customFormat="1" ht="13.5" customHeight="1">
      <c r="B8158" t="s" s="8">
        <v>2916</v>
      </c>
      <c r="C8158" t="s" s="9">
        <v>14</v>
      </c>
      <c r="D8158" t="s" s="8">
        <v>14</v>
      </c>
      <c r="E8158" t="s" s="9">
        <v>14</v>
      </c>
      <c r="F8158" t="s" s="10">
        <v>14</v>
      </c>
      <c r="G8158" t="s" s="11">
        <v>14</v>
      </c>
      <c r="H8158" t="s" s="10">
        <v>14</v>
      </c>
      <c r="I8158" t="s" s="11">
        <v>14</v>
      </c>
      <c r="J8158" t="s" s="11">
        <v>14</v>
      </c>
      <c r="K8158" t="s" s="12">
        <v>14</v>
      </c>
      <c r="L8158" t="s" s="12">
        <v>14</v>
      </c>
      <c r="M8158" t="s" s="10">
        <v>14</v>
      </c>
      <c r="N8158" t="s" s="11">
        <v>14</v>
      </c>
      <c r="O8158" t="s" s="8">
        <v>14</v>
      </c>
      <c r="P8158" t="s" s="8">
        <v>14</v>
      </c>
      <c r="Q8158" t="s" s="12">
        <v>14</v>
      </c>
      <c r="R8158" t="s" s="12">
        <v>14</v>
      </c>
    </row>
    <row r="8159" s="2" customFormat="1" ht="13.5" customHeight="1">
      <c r="B8159" s="13"/>
      <c r="C8159" t="s" s="9">
        <v>16</v>
      </c>
      <c r="D8159" t="s" s="8">
        <v>2916</v>
      </c>
      <c r="E8159" t="s" s="9">
        <v>2917</v>
      </c>
      <c r="F8159" t="s" s="10">
        <v>72</v>
      </c>
      <c r="G8159" t="s" s="11">
        <v>72</v>
      </c>
      <c r="H8159" t="s" s="10">
        <v>72</v>
      </c>
      <c r="I8159" t="s" s="11">
        <v>72</v>
      </c>
      <c r="J8159" t="s" s="11">
        <v>20</v>
      </c>
      <c r="K8159" s="15"/>
      <c r="L8159" t="s" s="16">
        <f>HYPERLINK("http://csr.bu.edu/ftp/asl/asllvd/demos/verify_start_end_handshape_annotations//test_auto_move//signs_mov_separ_signers/Liz_2170.mov","MOV")</f>
        <v>21</v>
      </c>
      <c r="M8159" t="s" s="10">
        <v>36</v>
      </c>
      <c r="N8159" s="17">
        <v>21</v>
      </c>
      <c r="O8159" s="18">
        <v>240</v>
      </c>
      <c r="P8159" s="18">
        <v>294</v>
      </c>
      <c r="Q8159" s="15"/>
      <c r="R8159" t="s" s="16">
        <f>HYPERLINK("http://secrets.rutgers.edu:8080/data/asl-ftp/asllvd/demos/verify_start_end_handshape_annotations//test_auto_move//signs_mov_separ_signers/Liz_2170.mov","MOV")</f>
        <v>21</v>
      </c>
    </row>
    <row r="8160" s="2" customFormat="1" ht="13.5" customHeight="1">
      <c r="B8160" s="13"/>
      <c r="C8160" t="s" s="9">
        <v>30</v>
      </c>
      <c r="D8160" t="s" s="8">
        <v>2916</v>
      </c>
      <c r="E8160" t="s" s="9">
        <v>2917</v>
      </c>
      <c r="F8160" t="s" s="10">
        <v>72</v>
      </c>
      <c r="G8160" t="s" s="11">
        <v>72</v>
      </c>
      <c r="H8160" t="s" s="10">
        <v>72</v>
      </c>
      <c r="I8160" t="s" s="11">
        <v>72</v>
      </c>
      <c r="J8160" t="s" s="11">
        <v>20</v>
      </c>
      <c r="K8160" t="s" s="16">
        <f>HYPERLINK("http://csr.bu.edu/ftp/asl/asllvd/demos/verify_start_end_handshape_annotations//test_auto_move//signs_mov/2170.mov","MOV")</f>
        <v>21</v>
      </c>
      <c r="L8160" t="s" s="16">
        <f>HYPERLINK("http://csr.bu.edu/ftp/asl/asllvd/demos/verify_start_end_handshape_annotations//test_auto_move//signs_mov_separ_signers/Brady_2170.mov","MOV")</f>
        <v>21</v>
      </c>
      <c r="M8160" t="s" s="10">
        <v>40</v>
      </c>
      <c r="N8160" s="17">
        <v>71</v>
      </c>
      <c r="O8160" s="18">
        <v>960</v>
      </c>
      <c r="P8160" s="18">
        <v>992</v>
      </c>
      <c r="Q8160" t="s" s="16">
        <f>HYPERLINK("http://secrets.rutgers.edu:8080/data/asl-ftp/asllvd/demos/verify_start_end_handshape_annotations//test_auto_move//signs_mov/2170.mov","MOV")</f>
        <v>21</v>
      </c>
      <c r="R8160" t="s" s="16">
        <f>HYPERLINK("http://secrets.rutgers.edu:8080/data/asl-ftp/asllvd/demos/verify_start_end_handshape_annotations//test_auto_move//signs_mov_separ_signers/Brady_2170.mov","MOV")</f>
        <v>21</v>
      </c>
    </row>
    <row r="8161" s="2" customFormat="1" ht="13.5" customHeight="1">
      <c r="B8161" s="13"/>
      <c r="C8161" t="s" s="9">
        <v>41</v>
      </c>
      <c r="D8161" t="s" s="8">
        <v>2916</v>
      </c>
      <c r="E8161" t="s" s="9">
        <v>2917</v>
      </c>
      <c r="F8161" t="s" s="10">
        <v>72</v>
      </c>
      <c r="G8161" t="s" s="11">
        <v>72</v>
      </c>
      <c r="H8161" t="s" s="10">
        <v>72</v>
      </c>
      <c r="I8161" t="s" s="11">
        <v>72</v>
      </c>
      <c r="J8161" t="s" s="11">
        <v>20</v>
      </c>
      <c r="K8161" s="15"/>
      <c r="L8161" t="s" s="16">
        <f>HYPERLINK("http://csr.bu.edu/ftp/asl/asllvd/demos/verify_start_end_handshape_annotations//test_auto_move//signs_mov_separ_signers/Lana_2170.mov","MOV")</f>
        <v>21</v>
      </c>
      <c r="M8161" t="s" s="10">
        <v>42</v>
      </c>
      <c r="N8161" s="17">
        <v>24</v>
      </c>
      <c r="O8161" s="18">
        <v>1460</v>
      </c>
      <c r="P8161" s="18">
        <v>1517</v>
      </c>
      <c r="Q8161" s="15"/>
      <c r="R8161" t="s" s="16">
        <f>HYPERLINK("http://secrets.rutgers.edu:8080/data/asl-ftp/asllvd/demos/verify_start_end_handshape_annotations//test_auto_move//signs_mov_separ_signers/Lana_2170.mov","MOV")</f>
        <v>21</v>
      </c>
    </row>
    <row r="8162" s="2" customFormat="1" ht="13.5" customHeight="1">
      <c r="B8162" s="13"/>
      <c r="C8162" t="s" s="9">
        <v>43</v>
      </c>
      <c r="D8162" t="s" s="8">
        <v>2916</v>
      </c>
      <c r="E8162" t="s" s="9">
        <v>2917</v>
      </c>
      <c r="F8162" t="s" s="10">
        <v>72</v>
      </c>
      <c r="G8162" t="s" s="11">
        <v>72</v>
      </c>
      <c r="H8162" t="s" s="10">
        <v>72</v>
      </c>
      <c r="I8162" t="s" s="11">
        <v>72</v>
      </c>
      <c r="J8162" t="s" s="11">
        <v>20</v>
      </c>
      <c r="K8162" s="15"/>
      <c r="L8162" t="s" s="16">
        <f>HYPERLINK("http://csr.bu.edu/ftp/asl/asllvd/demos/verify_start_end_handshape_annotations//test_auto_move//signs_mov_separ_signers/Dana_2170.mov","MOV")</f>
        <v>21</v>
      </c>
      <c r="M8162" t="s" s="10">
        <v>44</v>
      </c>
      <c r="N8162" s="17">
        <v>26</v>
      </c>
      <c r="O8162" s="18">
        <v>1451</v>
      </c>
      <c r="P8162" s="18">
        <v>1524</v>
      </c>
      <c r="Q8162" s="15"/>
      <c r="R8162" t="s" s="16">
        <f>HYPERLINK("http://secrets.rutgers.edu:8080/data/asl-ftp/asllvd/demos/verify_start_end_handshape_annotations//test_auto_move//signs_mov_separ_signers/Dana_2170.mov","MOV")</f>
        <v>21</v>
      </c>
    </row>
    <row r="8163" s="2" customFormat="1" ht="13.5" customHeight="1">
      <c r="B8163" t="s" s="8">
        <v>2918</v>
      </c>
      <c r="C8163" t="s" s="9">
        <v>14</v>
      </c>
      <c r="D8163" t="s" s="8">
        <v>14</v>
      </c>
      <c r="E8163" t="s" s="9">
        <v>14</v>
      </c>
      <c r="F8163" t="s" s="10">
        <v>14</v>
      </c>
      <c r="G8163" t="s" s="11">
        <v>14</v>
      </c>
      <c r="H8163" t="s" s="10">
        <v>14</v>
      </c>
      <c r="I8163" t="s" s="11">
        <v>14</v>
      </c>
      <c r="J8163" t="s" s="11">
        <v>14</v>
      </c>
      <c r="K8163" t="s" s="12">
        <v>14</v>
      </c>
      <c r="L8163" t="s" s="12">
        <v>14</v>
      </c>
      <c r="M8163" t="s" s="10">
        <v>14</v>
      </c>
      <c r="N8163" t="s" s="11">
        <v>14</v>
      </c>
      <c r="O8163" t="s" s="8">
        <v>14</v>
      </c>
      <c r="P8163" t="s" s="8">
        <v>14</v>
      </c>
      <c r="Q8163" t="s" s="12">
        <v>14</v>
      </c>
      <c r="R8163" t="s" s="12">
        <v>14</v>
      </c>
    </row>
    <row r="8164" s="2" customFormat="1" ht="13.5" customHeight="1">
      <c r="B8164" s="13"/>
      <c r="C8164" t="s" s="9">
        <v>16</v>
      </c>
      <c r="D8164" t="s" s="8">
        <v>2918</v>
      </c>
      <c r="E8164" t="s" s="9">
        <v>2918</v>
      </c>
      <c r="F8164" t="s" s="10">
        <v>229</v>
      </c>
      <c r="G8164" t="s" s="11">
        <v>229</v>
      </c>
      <c r="H8164" t="s" s="10">
        <v>229</v>
      </c>
      <c r="I8164" t="s" s="11">
        <v>229</v>
      </c>
      <c r="J8164" t="s" s="11">
        <v>20</v>
      </c>
      <c r="K8164" t="s" s="16">
        <f>HYPERLINK("http://csr.bu.edu/ftp/asl/asllvd/demos/verify_start_end_handshape_annotations//test_auto_move//signs_mov/2171.mov","MOV")</f>
        <v>21</v>
      </c>
      <c r="L8164" t="s" s="16">
        <f>HYPERLINK("http://csr.bu.edu/ftp/asl/asllvd/demos/verify_start_end_handshape_annotations//test_auto_move//signs_mov_separ_signers/Liz_2171.mov","MOV")</f>
        <v>21</v>
      </c>
      <c r="M8164" t="s" s="10">
        <v>36</v>
      </c>
      <c r="N8164" s="17">
        <v>21</v>
      </c>
      <c r="O8164" s="18">
        <v>470</v>
      </c>
      <c r="P8164" s="18">
        <v>515</v>
      </c>
      <c r="Q8164" t="s" s="16">
        <f>HYPERLINK("http://secrets.rutgers.edu:8080/data/asl-ftp/asllvd/demos/verify_start_end_handshape_annotations//test_auto_move//signs_mov/2171.mov","MOV")</f>
        <v>21</v>
      </c>
      <c r="R8164" t="s" s="16">
        <f>HYPERLINK("http://secrets.rutgers.edu:8080/data/asl-ftp/asllvd/demos/verify_start_end_handshape_annotations//test_auto_move//signs_mov_separ_signers/Liz_2171.mov","MOV")</f>
        <v>21</v>
      </c>
    </row>
    <row r="8165" s="2" customFormat="1" ht="13.5" customHeight="1">
      <c r="B8165" s="13"/>
      <c r="C8165" t="s" s="9">
        <v>30</v>
      </c>
      <c r="D8165" t="s" s="8">
        <v>2918</v>
      </c>
      <c r="E8165" t="s" s="9">
        <v>2918</v>
      </c>
      <c r="F8165" t="s" s="10">
        <v>229</v>
      </c>
      <c r="G8165" t="s" s="11">
        <v>229</v>
      </c>
      <c r="H8165" t="s" s="10">
        <v>229</v>
      </c>
      <c r="I8165" t="s" s="11">
        <v>229</v>
      </c>
      <c r="J8165" t="s" s="11">
        <v>20</v>
      </c>
      <c r="K8165" s="15"/>
      <c r="L8165" t="s" s="16">
        <f>HYPERLINK("http://csr.bu.edu/ftp/asl/asllvd/demos/verify_start_end_handshape_annotations//test_auto_move//signs_mov_separ_signers/Brady_2171.mov","MOV")</f>
        <v>21</v>
      </c>
      <c r="M8165" t="s" s="10">
        <v>40</v>
      </c>
      <c r="N8165" s="17">
        <v>71</v>
      </c>
      <c r="O8165" s="18">
        <v>1637</v>
      </c>
      <c r="P8165" s="18">
        <v>1676</v>
      </c>
      <c r="Q8165" s="15"/>
      <c r="R8165" t="s" s="16">
        <f>HYPERLINK("http://secrets.rutgers.edu:8080/data/asl-ftp/asllvd/demos/verify_start_end_handshape_annotations//test_auto_move//signs_mov_separ_signers/Brady_2171.mov","MOV")</f>
        <v>21</v>
      </c>
    </row>
    <row r="8166" s="2" customFormat="1" ht="13.5" customHeight="1">
      <c r="B8166" t="s" s="8">
        <v>2919</v>
      </c>
      <c r="C8166" t="s" s="9">
        <v>14</v>
      </c>
      <c r="D8166" t="s" s="8">
        <v>14</v>
      </c>
      <c r="E8166" t="s" s="9">
        <v>14</v>
      </c>
      <c r="F8166" t="s" s="10">
        <v>14</v>
      </c>
      <c r="G8166" t="s" s="11">
        <v>14</v>
      </c>
      <c r="H8166" t="s" s="10">
        <v>14</v>
      </c>
      <c r="I8166" t="s" s="11">
        <v>14</v>
      </c>
      <c r="J8166" t="s" s="11">
        <v>14</v>
      </c>
      <c r="K8166" t="s" s="12">
        <v>14</v>
      </c>
      <c r="L8166" t="s" s="12">
        <v>14</v>
      </c>
      <c r="M8166" t="s" s="10">
        <v>14</v>
      </c>
      <c r="N8166" t="s" s="11">
        <v>14</v>
      </c>
      <c r="O8166" t="s" s="8">
        <v>14</v>
      </c>
      <c r="P8166" t="s" s="8">
        <v>14</v>
      </c>
      <c r="Q8166" t="s" s="12">
        <v>14</v>
      </c>
      <c r="R8166" t="s" s="12">
        <v>14</v>
      </c>
    </row>
    <row r="8167" s="2" customFormat="1" ht="13.5" customHeight="1">
      <c r="B8167" s="13"/>
      <c r="C8167" t="s" s="9">
        <v>16</v>
      </c>
      <c r="D8167" t="s" s="8">
        <v>2919</v>
      </c>
      <c r="E8167" t="s" s="9">
        <v>2919</v>
      </c>
      <c r="F8167" t="s" s="10">
        <v>196</v>
      </c>
      <c r="G8167" t="s" s="11">
        <v>196</v>
      </c>
      <c r="H8167" t="s" s="10">
        <v>136</v>
      </c>
      <c r="I8167" t="s" s="11">
        <v>136</v>
      </c>
      <c r="J8167" t="s" s="11">
        <v>20</v>
      </c>
      <c r="K8167" t="s" s="16">
        <f>HYPERLINK("http://csr.bu.edu/ftp/asl/asllvd/demos/verify_start_end_handshape_annotations//test_auto_move//signs_mov/2172.mov","MOV")</f>
        <v>21</v>
      </c>
      <c r="L8167" t="s" s="16">
        <f>HYPERLINK("http://csr.bu.edu/ftp/asl/asllvd/demos/verify_start_end_handshape_annotations//test_auto_move//signs_mov_separ_signers/Liz_2172.mov","MOV")</f>
        <v>21</v>
      </c>
      <c r="M8167" t="s" s="10">
        <v>36</v>
      </c>
      <c r="N8167" s="17">
        <v>21</v>
      </c>
      <c r="O8167" s="18">
        <v>700</v>
      </c>
      <c r="P8167" s="18">
        <v>741</v>
      </c>
      <c r="Q8167" t="s" s="16">
        <f>HYPERLINK("http://secrets.rutgers.edu:8080/data/asl-ftp/asllvd/demos/verify_start_end_handshape_annotations//test_auto_move//signs_mov/2172.mov","MOV")</f>
        <v>21</v>
      </c>
      <c r="R8167" t="s" s="16">
        <f>HYPERLINK("http://secrets.rutgers.edu:8080/data/asl-ftp/asllvd/demos/verify_start_end_handshape_annotations//test_auto_move//signs_mov_separ_signers/Liz_2172.mov","MOV")</f>
        <v>21</v>
      </c>
    </row>
    <row r="8168" s="2" customFormat="1" ht="13.5" customHeight="1">
      <c r="B8168" s="13"/>
      <c r="C8168" t="s" s="9">
        <v>30</v>
      </c>
      <c r="D8168" t="s" s="8">
        <v>2919</v>
      </c>
      <c r="E8168" t="s" s="9">
        <v>2919</v>
      </c>
      <c r="F8168" t="s" s="10">
        <v>196</v>
      </c>
      <c r="G8168" t="s" s="11">
        <v>196</v>
      </c>
      <c r="H8168" t="s" s="10">
        <v>136</v>
      </c>
      <c r="I8168" t="s" s="11">
        <v>136</v>
      </c>
      <c r="J8168" t="s" s="11">
        <v>20</v>
      </c>
      <c r="K8168" s="15"/>
      <c r="L8168" t="s" s="16">
        <f>HYPERLINK("http://csr.bu.edu/ftp/asl/asllvd/demos/verify_start_end_handshape_annotations//test_auto_move//signs_mov_separ_signers/Brady_2172.mov","MOV")</f>
        <v>21</v>
      </c>
      <c r="M8168" t="s" s="10">
        <v>40</v>
      </c>
      <c r="N8168" s="17">
        <v>71</v>
      </c>
      <c r="O8168" s="18">
        <v>2161</v>
      </c>
      <c r="P8168" s="18">
        <v>2176</v>
      </c>
      <c r="Q8168" s="15"/>
      <c r="R8168" t="s" s="16">
        <f>HYPERLINK("http://secrets.rutgers.edu:8080/data/asl-ftp/asllvd/demos/verify_start_end_handshape_annotations//test_auto_move//signs_mov_separ_signers/Brady_2172.mov","MOV")</f>
        <v>21</v>
      </c>
    </row>
    <row r="8169" s="2" customFormat="1" ht="13.5" customHeight="1">
      <c r="B8169" t="s" s="8">
        <v>2920</v>
      </c>
      <c r="C8169" t="s" s="9">
        <v>14</v>
      </c>
      <c r="D8169" t="s" s="8">
        <v>14</v>
      </c>
      <c r="E8169" t="s" s="9">
        <v>14</v>
      </c>
      <c r="F8169" t="s" s="10">
        <v>14</v>
      </c>
      <c r="G8169" t="s" s="11">
        <v>14</v>
      </c>
      <c r="H8169" t="s" s="10">
        <v>14</v>
      </c>
      <c r="I8169" t="s" s="11">
        <v>14</v>
      </c>
      <c r="J8169" t="s" s="11">
        <v>14</v>
      </c>
      <c r="K8169" t="s" s="12">
        <v>14</v>
      </c>
      <c r="L8169" t="s" s="12">
        <v>14</v>
      </c>
      <c r="M8169" t="s" s="10">
        <v>14</v>
      </c>
      <c r="N8169" t="s" s="11">
        <v>14</v>
      </c>
      <c r="O8169" t="s" s="8">
        <v>14</v>
      </c>
      <c r="P8169" t="s" s="8">
        <v>14</v>
      </c>
      <c r="Q8169" t="s" s="12">
        <v>14</v>
      </c>
      <c r="R8169" t="s" s="12">
        <v>14</v>
      </c>
    </row>
    <row r="8170" s="2" customFormat="1" ht="13.5" customHeight="1">
      <c r="B8170" s="13"/>
      <c r="C8170" t="s" s="9">
        <v>16</v>
      </c>
      <c r="D8170" t="s" s="8">
        <v>2920</v>
      </c>
      <c r="E8170" t="s" s="9">
        <v>2921</v>
      </c>
      <c r="F8170" t="s" s="10">
        <v>136</v>
      </c>
      <c r="G8170" s="14"/>
      <c r="H8170" t="s" s="10">
        <v>136</v>
      </c>
      <c r="I8170" s="14"/>
      <c r="J8170" t="s" s="11">
        <v>20</v>
      </c>
      <c r="K8170" s="15"/>
      <c r="L8170" t="s" s="16">
        <f>HYPERLINK("http://csr.bu.edu/ftp/asl/asllvd/demos/verify_start_end_handshape_annotations//test_auto_move//signs_mov_separ_signers/Liz_2173.mov","MOV")</f>
        <v>21</v>
      </c>
      <c r="M8170" t="s" s="10">
        <v>36</v>
      </c>
      <c r="N8170" s="17">
        <v>21</v>
      </c>
      <c r="O8170" s="18">
        <v>925</v>
      </c>
      <c r="P8170" s="18">
        <v>985</v>
      </c>
      <c r="Q8170" s="15"/>
      <c r="R8170" t="s" s="16">
        <f>HYPERLINK("http://secrets.rutgers.edu:8080/data/asl-ftp/asllvd/demos/verify_start_end_handshape_annotations//test_auto_move//signs_mov_separ_signers/Liz_2173.mov","MOV")</f>
        <v>21</v>
      </c>
    </row>
    <row r="8171" s="2" customFormat="1" ht="13.5" customHeight="1">
      <c r="B8171" s="13"/>
      <c r="C8171" t="s" s="9">
        <v>16</v>
      </c>
      <c r="D8171" t="s" s="8">
        <v>2920</v>
      </c>
      <c r="E8171" t="s" s="9">
        <v>2921</v>
      </c>
      <c r="F8171" t="s" s="10">
        <v>136</v>
      </c>
      <c r="G8171" s="14"/>
      <c r="H8171" t="s" s="10">
        <v>136</v>
      </c>
      <c r="I8171" s="14"/>
      <c r="J8171" t="s" s="11">
        <v>20</v>
      </c>
      <c r="K8171" s="15"/>
      <c r="L8171" t="s" s="16">
        <f>HYPERLINK("http://csr.bu.edu/ftp/asl/asllvd/demos/verify_start_end_handshape_annotations//test_auto_move//signs_mov_separ_signers/Liz_3758.mov","MOV")</f>
        <v>21</v>
      </c>
      <c r="M8171" t="s" s="10">
        <v>59</v>
      </c>
      <c r="N8171" s="17">
        <v>15</v>
      </c>
      <c r="O8171" s="18">
        <v>1095</v>
      </c>
      <c r="P8171" s="18">
        <v>1131</v>
      </c>
      <c r="Q8171" s="15"/>
      <c r="R8171" t="s" s="16">
        <f>HYPERLINK("http://secrets.rutgers.edu:8080/data/asl-ftp/asllvd/demos/verify_start_end_handshape_annotations//test_auto_move//signs_mov_separ_signers/Liz_3758.mov","MOV")</f>
        <v>21</v>
      </c>
    </row>
    <row r="8172" s="2" customFormat="1" ht="13.5" customHeight="1">
      <c r="B8172" s="13"/>
      <c r="C8172" t="s" s="9">
        <v>30</v>
      </c>
      <c r="D8172" t="s" s="8">
        <v>2920</v>
      </c>
      <c r="E8172" t="s" s="9">
        <v>2921</v>
      </c>
      <c r="F8172" t="s" s="10">
        <v>136</v>
      </c>
      <c r="G8172" s="14"/>
      <c r="H8172" t="s" s="10">
        <v>136</v>
      </c>
      <c r="I8172" s="14"/>
      <c r="J8172" t="s" s="11">
        <v>20</v>
      </c>
      <c r="K8172" s="15"/>
      <c r="L8172" t="s" s="16">
        <f>HYPERLINK("http://csr.bu.edu/ftp/asl/asllvd/demos/verify_start_end_handshape_annotations//test_auto_move//signs_mov_separ_signers/Brady_2173.mov","MOV")</f>
        <v>21</v>
      </c>
      <c r="M8172" t="s" s="10">
        <v>40</v>
      </c>
      <c r="N8172" s="17">
        <v>71</v>
      </c>
      <c r="O8172" s="18">
        <v>1913</v>
      </c>
      <c r="P8172" s="18">
        <v>1969</v>
      </c>
      <c r="Q8172" s="15"/>
      <c r="R8172" t="s" s="16">
        <f>HYPERLINK("http://secrets.rutgers.edu:8080/data/asl-ftp/asllvd/demos/verify_start_end_handshape_annotations//test_auto_move//signs_mov_separ_signers/Brady_2173.mov","MOV")</f>
        <v>21</v>
      </c>
    </row>
    <row r="8173" s="2" customFormat="1" ht="13.5" customHeight="1">
      <c r="B8173" s="13"/>
      <c r="C8173" t="s" s="9">
        <v>30</v>
      </c>
      <c r="D8173" t="s" s="8">
        <v>2920</v>
      </c>
      <c r="E8173" t="s" s="9">
        <v>2921</v>
      </c>
      <c r="F8173" t="s" s="10">
        <v>136</v>
      </c>
      <c r="G8173" s="14"/>
      <c r="H8173" t="s" s="10">
        <v>136</v>
      </c>
      <c r="I8173" s="14"/>
      <c r="J8173" t="s" s="11">
        <v>20</v>
      </c>
      <c r="K8173" t="s" s="16">
        <f>HYPERLINK("http://csr.bu.edu/ftp/asl/asllvd/demos/verify_start_end_handshape_annotations//test_auto_move//signs_mov/2173_3758_3793_merged.mov","MOV")</f>
        <v>21</v>
      </c>
      <c r="L8173" t="s" s="16">
        <f>HYPERLINK("http://csr.bu.edu/ftp/asl/asllvd/demos/verify_start_end_handshape_annotations//test_auto_move//signs_mov_separ_signers/Brady_3758.mov","MOV")</f>
        <v>21</v>
      </c>
      <c r="M8173" t="s" s="10">
        <v>40</v>
      </c>
      <c r="N8173" s="17">
        <v>116</v>
      </c>
      <c r="O8173" s="18">
        <v>1040</v>
      </c>
      <c r="P8173" s="18">
        <v>1086</v>
      </c>
      <c r="Q8173" t="s" s="16">
        <f>HYPERLINK("http://secrets.rutgers.edu:8080/data/asl-ftp/asllvd/demos/verify_start_end_handshape_annotations//test_auto_move//signs_mov/2173_3758_3793_merged.mov","MOV")</f>
        <v>21</v>
      </c>
      <c r="R8173" t="s" s="16">
        <f>HYPERLINK("http://secrets.rutgers.edu:8080/data/asl-ftp/asllvd/demos/verify_start_end_handshape_annotations//test_auto_move//signs_mov_separ_signers/Brady_3758.mov","MOV")</f>
        <v>21</v>
      </c>
    </row>
    <row r="8174" s="2" customFormat="1" ht="13.5" customHeight="1">
      <c r="B8174" s="13"/>
      <c r="C8174" t="s" s="9">
        <v>30</v>
      </c>
      <c r="D8174" t="s" s="8">
        <v>2920</v>
      </c>
      <c r="E8174" t="s" s="9">
        <v>2921</v>
      </c>
      <c r="F8174" t="s" s="10">
        <v>136</v>
      </c>
      <c r="G8174" s="14"/>
      <c r="H8174" t="s" s="10">
        <v>136</v>
      </c>
      <c r="I8174" s="14"/>
      <c r="J8174" t="s" s="11">
        <v>20</v>
      </c>
      <c r="K8174" s="15"/>
      <c r="L8174" t="s" s="16">
        <f>HYPERLINK("http://csr.bu.edu/ftp/asl/asllvd/demos/verify_start_end_handshape_annotations//test_auto_move//signs_mov_separ_signers/Brady_3793.mov","MOV")</f>
        <v>21</v>
      </c>
      <c r="M8174" t="s" s="10">
        <v>60</v>
      </c>
      <c r="N8174" s="17">
        <v>55</v>
      </c>
      <c r="O8174" s="18">
        <v>2243</v>
      </c>
      <c r="P8174" s="18">
        <v>2284</v>
      </c>
      <c r="Q8174" s="15"/>
      <c r="R8174" t="s" s="16">
        <f>HYPERLINK("http://secrets.rutgers.edu:8080/data/asl-ftp/asllvd/demos/verify_start_end_handshape_annotations//test_auto_move//signs_mov_separ_signers/Brady_3793.mov","MOV")</f>
        <v>21</v>
      </c>
    </row>
    <row r="8175" s="2" customFormat="1" ht="13.5" customHeight="1">
      <c r="B8175" s="13"/>
      <c r="C8175" t="s" s="9">
        <v>41</v>
      </c>
      <c r="D8175" t="s" s="8">
        <v>2920</v>
      </c>
      <c r="E8175" t="s" s="9">
        <v>2921</v>
      </c>
      <c r="F8175" t="s" s="10">
        <v>136</v>
      </c>
      <c r="G8175" s="14"/>
      <c r="H8175" t="s" s="10">
        <v>136</v>
      </c>
      <c r="I8175" s="14"/>
      <c r="J8175" t="s" s="11">
        <v>20</v>
      </c>
      <c r="K8175" s="15"/>
      <c r="L8175" t="s" s="16">
        <f>HYPERLINK("http://csr.bu.edu/ftp/asl/asllvd/demos/verify_start_end_handshape_annotations//test_auto_move//signs_mov_separ_signers/Lana_2173.mov","MOV")</f>
        <v>21</v>
      </c>
      <c r="M8175" t="s" s="10">
        <v>42</v>
      </c>
      <c r="N8175" s="17">
        <v>22</v>
      </c>
      <c r="O8175" s="18">
        <v>1825</v>
      </c>
      <c r="P8175" s="18">
        <v>1870</v>
      </c>
      <c r="Q8175" s="15"/>
      <c r="R8175" t="s" s="16">
        <f>HYPERLINK("http://secrets.rutgers.edu:8080/data/asl-ftp/asllvd/demos/verify_start_end_handshape_annotations//test_auto_move//signs_mov_separ_signers/Lana_2173.mov","MOV")</f>
        <v>21</v>
      </c>
    </row>
    <row r="8176" s="2" customFormat="1" ht="13.5" customHeight="1">
      <c r="B8176" s="13"/>
      <c r="C8176" t="s" s="9">
        <v>43</v>
      </c>
      <c r="D8176" t="s" s="8">
        <v>2920</v>
      </c>
      <c r="E8176" t="s" s="9">
        <v>2921</v>
      </c>
      <c r="F8176" t="s" s="10">
        <v>136</v>
      </c>
      <c r="G8176" s="14"/>
      <c r="H8176" t="s" s="10">
        <v>136</v>
      </c>
      <c r="I8176" s="14"/>
      <c r="J8176" t="s" s="11">
        <v>20</v>
      </c>
      <c r="K8176" s="15"/>
      <c r="L8176" t="s" s="16">
        <f>HYPERLINK("http://csr.bu.edu/ftp/asl/asllvd/demos/verify_start_end_handshape_annotations//test_auto_move//signs_mov_separ_signers/Dana_2173.mov","MOV")</f>
        <v>21</v>
      </c>
      <c r="M8176" t="s" s="10">
        <v>44</v>
      </c>
      <c r="N8176" s="17">
        <v>19</v>
      </c>
      <c r="O8176" s="18">
        <v>2413</v>
      </c>
      <c r="P8176" s="18">
        <v>2461</v>
      </c>
      <c r="Q8176" s="15"/>
      <c r="R8176" t="s" s="16">
        <f>HYPERLINK("http://secrets.rutgers.edu:8080/data/asl-ftp/asllvd/demos/verify_start_end_handshape_annotations//test_auto_move//signs_mov_separ_signers/Dana_2173.mov","MOV")</f>
        <v>21</v>
      </c>
    </row>
    <row r="8177" s="2" customFormat="1" ht="13.5" customHeight="1">
      <c r="B8177" s="13"/>
      <c r="C8177" t="s" s="9">
        <v>43</v>
      </c>
      <c r="D8177" t="s" s="8">
        <v>2920</v>
      </c>
      <c r="E8177" t="s" s="9">
        <v>2922</v>
      </c>
      <c r="F8177" t="s" s="10">
        <v>136</v>
      </c>
      <c r="G8177" s="14"/>
      <c r="H8177" t="s" s="10">
        <v>136</v>
      </c>
      <c r="I8177" s="14"/>
      <c r="J8177" t="s" s="11">
        <v>20</v>
      </c>
      <c r="K8177" s="15"/>
      <c r="L8177" t="s" s="16">
        <f>HYPERLINK("http://csr.bu.edu/ftp/asl/asllvd/demos/verify_start_end_handshape_annotations//test_auto_move//signs_mov_separ_signers/Dana_3758.mov","MOV")</f>
        <v>21</v>
      </c>
      <c r="M8177" t="s" s="10">
        <v>44</v>
      </c>
      <c r="N8177" s="17">
        <v>25</v>
      </c>
      <c r="O8177" s="18">
        <v>1750</v>
      </c>
      <c r="P8177" s="18">
        <v>1807</v>
      </c>
      <c r="Q8177" s="15"/>
      <c r="R8177" t="s" s="16">
        <f>HYPERLINK("http://secrets.rutgers.edu:8080/data/asl-ftp/asllvd/demos/verify_start_end_handshape_annotations//test_auto_move//signs_mov_separ_signers/Dana_3758.mov","MOV")</f>
        <v>21</v>
      </c>
    </row>
    <row r="8178" s="2" customFormat="1" ht="13.5" customHeight="1">
      <c r="B8178" t="s" s="8">
        <v>52</v>
      </c>
      <c r="C8178" t="s" s="9">
        <v>53</v>
      </c>
      <c r="D8178" t="s" s="8">
        <v>53</v>
      </c>
      <c r="E8178" t="s" s="9">
        <v>53</v>
      </c>
      <c r="F8178" t="s" s="10">
        <v>53</v>
      </c>
      <c r="G8178" t="s" s="11">
        <v>53</v>
      </c>
      <c r="H8178" t="s" s="10">
        <v>53</v>
      </c>
      <c r="I8178" t="s" s="11">
        <v>53</v>
      </c>
      <c r="J8178" t="s" s="11">
        <v>53</v>
      </c>
      <c r="K8178" t="s" s="12">
        <v>53</v>
      </c>
      <c r="L8178" t="s" s="12">
        <v>53</v>
      </c>
      <c r="M8178" t="s" s="10">
        <v>53</v>
      </c>
      <c r="N8178" t="s" s="11">
        <v>53</v>
      </c>
      <c r="O8178" t="s" s="8">
        <v>53</v>
      </c>
      <c r="P8178" t="s" s="8">
        <v>53</v>
      </c>
      <c r="Q8178" t="s" s="12">
        <v>53</v>
      </c>
      <c r="R8178" t="s" s="12">
        <v>53</v>
      </c>
    </row>
    <row r="8179" s="2" customFormat="1" ht="13.5" customHeight="1">
      <c r="B8179" s="13"/>
      <c r="C8179" t="s" s="9">
        <v>16</v>
      </c>
      <c r="D8179" t="s" s="8">
        <v>2920</v>
      </c>
      <c r="E8179" t="s" s="9">
        <v>2923</v>
      </c>
      <c r="F8179" t="s" s="10">
        <v>136</v>
      </c>
      <c r="G8179" t="s" s="11">
        <v>136</v>
      </c>
      <c r="H8179" t="s" s="10">
        <v>136</v>
      </c>
      <c r="I8179" t="s" s="11">
        <v>136</v>
      </c>
      <c r="J8179" t="s" s="11">
        <v>20</v>
      </c>
      <c r="K8179" t="s" s="16">
        <f>HYPERLINK("http://csr.bu.edu/ftp/asl/asllvd/demos/verify_start_end_handshape_annotations//test_auto_move//signs_mov/5419.mov","MOV")</f>
        <v>21</v>
      </c>
      <c r="L8179" t="s" s="16">
        <f>HYPERLINK("http://csr.bu.edu/ftp/asl/asllvd/demos/verify_start_end_handshape_annotations//test_auto_move//signs_mov_separ_signers/Liz_5419.mov","MOV")</f>
        <v>21</v>
      </c>
      <c r="M8179" t="s" s="10">
        <v>36</v>
      </c>
      <c r="N8179" s="17">
        <v>32</v>
      </c>
      <c r="O8179" s="18">
        <v>494</v>
      </c>
      <c r="P8179" s="18">
        <v>566</v>
      </c>
      <c r="Q8179" t="s" s="16">
        <f>HYPERLINK("http://secrets.rutgers.edu:8080/data/asl-ftp/asllvd/demos/verify_start_end_handshape_annotations//test_auto_move//signs_mov/5419.mov","MOV")</f>
        <v>21</v>
      </c>
      <c r="R8179" t="s" s="16">
        <f>HYPERLINK("http://secrets.rutgers.edu:8080/data/asl-ftp/asllvd/demos/verify_start_end_handshape_annotations//test_auto_move//signs_mov_separ_signers/Liz_5419.mov","MOV")</f>
        <v>21</v>
      </c>
    </row>
    <row r="8180" s="2" customFormat="1" ht="13.5" customHeight="1">
      <c r="B8180" s="13"/>
      <c r="C8180" t="s" s="9">
        <v>30</v>
      </c>
      <c r="D8180" t="s" s="8">
        <v>2920</v>
      </c>
      <c r="E8180" t="s" s="9">
        <v>2923</v>
      </c>
      <c r="F8180" t="s" s="10">
        <v>136</v>
      </c>
      <c r="G8180" t="s" s="11">
        <v>136</v>
      </c>
      <c r="H8180" t="s" s="10">
        <v>136</v>
      </c>
      <c r="I8180" t="s" s="11">
        <v>136</v>
      </c>
      <c r="J8180" t="s" s="11">
        <v>20</v>
      </c>
      <c r="K8180" s="15"/>
      <c r="L8180" t="s" s="16">
        <f>HYPERLINK("http://csr.bu.edu/ftp/asl/asllvd/demos/verify_start_end_handshape_annotations//test_auto_move//signs_mov_separ_signers/Brady_5419.mov","MOV")</f>
        <v>21</v>
      </c>
      <c r="M8180" t="s" s="10">
        <v>40</v>
      </c>
      <c r="N8180" s="17">
        <v>83</v>
      </c>
      <c r="O8180" s="18">
        <v>906</v>
      </c>
      <c r="P8180" s="18">
        <v>947</v>
      </c>
      <c r="Q8180" s="15"/>
      <c r="R8180" t="s" s="16">
        <f>HYPERLINK("http://secrets.rutgers.edu:8080/data/asl-ftp/asllvd/demos/verify_start_end_handshape_annotations//test_auto_move//signs_mov_separ_signers/Brady_5419.mov","MOV")</f>
        <v>21</v>
      </c>
    </row>
    <row r="8181" s="2" customFormat="1" ht="13.5" customHeight="1">
      <c r="B8181" t="s" s="8">
        <v>52</v>
      </c>
      <c r="C8181" t="s" s="9">
        <v>53</v>
      </c>
      <c r="D8181" t="s" s="8">
        <v>53</v>
      </c>
      <c r="E8181" t="s" s="9">
        <v>53</v>
      </c>
      <c r="F8181" t="s" s="10">
        <v>53</v>
      </c>
      <c r="G8181" t="s" s="11">
        <v>53</v>
      </c>
      <c r="H8181" t="s" s="10">
        <v>53</v>
      </c>
      <c r="I8181" t="s" s="11">
        <v>53</v>
      </c>
      <c r="J8181" t="s" s="11">
        <v>53</v>
      </c>
      <c r="K8181" t="s" s="12">
        <v>53</v>
      </c>
      <c r="L8181" t="s" s="12">
        <v>53</v>
      </c>
      <c r="M8181" t="s" s="10">
        <v>53</v>
      </c>
      <c r="N8181" t="s" s="11">
        <v>53</v>
      </c>
      <c r="O8181" t="s" s="8">
        <v>53</v>
      </c>
      <c r="P8181" t="s" s="8">
        <v>53</v>
      </c>
      <c r="Q8181" t="s" s="12">
        <v>53</v>
      </c>
      <c r="R8181" t="s" s="12">
        <v>53</v>
      </c>
    </row>
    <row r="8182" s="2" customFormat="1" ht="13.5" customHeight="1">
      <c r="B8182" s="13"/>
      <c r="C8182" t="s" s="9">
        <v>16</v>
      </c>
      <c r="D8182" t="s" s="8">
        <v>2920</v>
      </c>
      <c r="E8182" t="s" s="9">
        <v>2924</v>
      </c>
      <c r="F8182" t="s" s="10">
        <v>136</v>
      </c>
      <c r="G8182" s="14"/>
      <c r="H8182" t="s" s="10">
        <v>136</v>
      </c>
      <c r="I8182" s="14"/>
      <c r="J8182" t="s" s="11">
        <v>20</v>
      </c>
      <c r="K8182" t="s" s="16">
        <f>HYPERLINK("http://csr.bu.edu/ftp/asl/asllvd/demos/verify_start_end_handshape_annotations//test_auto_move//signs_mov/5440.mov","MOV")</f>
        <v>21</v>
      </c>
      <c r="L8182" t="s" s="16">
        <f>HYPERLINK("http://csr.bu.edu/ftp/asl/asllvd/demos/verify_start_end_handshape_annotations//test_auto_move//signs_mov_separ_signers/Liz_5440.mov","MOV")</f>
        <v>21</v>
      </c>
      <c r="M8182" t="s" s="10">
        <v>59</v>
      </c>
      <c r="N8182" s="17">
        <v>15</v>
      </c>
      <c r="O8182" s="18">
        <v>1340</v>
      </c>
      <c r="P8182" s="18">
        <v>1365</v>
      </c>
      <c r="Q8182" t="s" s="16">
        <f>HYPERLINK("http://secrets.rutgers.edu:8080/data/asl-ftp/asllvd/demos/verify_start_end_handshape_annotations//test_auto_move//signs_mov/5440.mov","MOV")</f>
        <v>21</v>
      </c>
      <c r="R8182" t="s" s="16">
        <f>HYPERLINK("http://secrets.rutgers.edu:8080/data/asl-ftp/asllvd/demos/verify_start_end_handshape_annotations//test_auto_move//signs_mov_separ_signers/Liz_5440.mov","MOV")</f>
        <v>21</v>
      </c>
    </row>
    <row r="8183" s="2" customFormat="1" ht="13.5" customHeight="1">
      <c r="B8183" s="13"/>
      <c r="C8183" t="s" s="9">
        <v>30</v>
      </c>
      <c r="D8183" t="s" s="8">
        <v>2920</v>
      </c>
      <c r="E8183" t="s" s="9">
        <v>2924</v>
      </c>
      <c r="F8183" t="s" s="10">
        <v>136</v>
      </c>
      <c r="G8183" s="14"/>
      <c r="H8183" t="s" s="10">
        <v>136</v>
      </c>
      <c r="I8183" s="14"/>
      <c r="J8183" t="s" s="11">
        <v>20</v>
      </c>
      <c r="K8183" s="15"/>
      <c r="L8183" t="s" s="16">
        <f>HYPERLINK("http://csr.bu.edu/ftp/asl/asllvd/demos/verify_start_end_handshape_annotations//test_auto_move//signs_mov_separ_signers/Brady_5440.mov","MOV")</f>
        <v>21</v>
      </c>
      <c r="M8183" t="s" s="10">
        <v>40</v>
      </c>
      <c r="N8183" s="17">
        <v>116</v>
      </c>
      <c r="O8183" s="18">
        <v>490</v>
      </c>
      <c r="P8183" s="18">
        <v>518</v>
      </c>
      <c r="Q8183" s="15"/>
      <c r="R8183" t="s" s="16">
        <f>HYPERLINK("http://secrets.rutgers.edu:8080/data/asl-ftp/asllvd/demos/verify_start_end_handshape_annotations//test_auto_move//signs_mov_separ_signers/Brady_5440.mov","MOV")</f>
        <v>21</v>
      </c>
    </row>
    <row r="8184" s="2" customFormat="1" ht="13.5" customHeight="1">
      <c r="B8184" t="s" s="8">
        <v>52</v>
      </c>
      <c r="C8184" t="s" s="9">
        <v>53</v>
      </c>
      <c r="D8184" t="s" s="8">
        <v>53</v>
      </c>
      <c r="E8184" t="s" s="9">
        <v>53</v>
      </c>
      <c r="F8184" t="s" s="10">
        <v>53</v>
      </c>
      <c r="G8184" t="s" s="11">
        <v>53</v>
      </c>
      <c r="H8184" t="s" s="10">
        <v>53</v>
      </c>
      <c r="I8184" t="s" s="11">
        <v>53</v>
      </c>
      <c r="J8184" t="s" s="11">
        <v>53</v>
      </c>
      <c r="K8184" t="s" s="12">
        <v>53</v>
      </c>
      <c r="L8184" t="s" s="12">
        <v>53</v>
      </c>
      <c r="M8184" t="s" s="10">
        <v>53</v>
      </c>
      <c r="N8184" t="s" s="11">
        <v>53</v>
      </c>
      <c r="O8184" t="s" s="8">
        <v>53</v>
      </c>
      <c r="P8184" t="s" s="8">
        <v>53</v>
      </c>
      <c r="Q8184" t="s" s="12">
        <v>53</v>
      </c>
      <c r="R8184" t="s" s="12">
        <v>53</v>
      </c>
    </row>
    <row r="8185" s="2" customFormat="1" ht="13.5" customHeight="1">
      <c r="B8185" s="13"/>
      <c r="C8185" t="s" s="9">
        <v>16</v>
      </c>
      <c r="D8185" t="s" s="8">
        <v>2920</v>
      </c>
      <c r="E8185" t="s" s="9">
        <v>2925</v>
      </c>
      <c r="F8185" t="s" s="10">
        <v>136</v>
      </c>
      <c r="G8185" s="14"/>
      <c r="H8185" t="s" s="10">
        <v>136</v>
      </c>
      <c r="I8185" s="14"/>
      <c r="J8185" t="s" s="11">
        <v>20</v>
      </c>
      <c r="K8185" s="15"/>
      <c r="L8185" t="s" s="16">
        <f>HYPERLINK("http://csr.bu.edu/ftp/asl/asllvd/demos/verify_start_end_handshape_annotations//test_auto_move//signs_mov_separ_signers/Liz_5619.mov","MOV")</f>
        <v>21</v>
      </c>
      <c r="M8185" t="s" s="10">
        <v>88</v>
      </c>
      <c r="N8185" s="17">
        <v>1</v>
      </c>
      <c r="O8185" s="18">
        <v>3067</v>
      </c>
      <c r="P8185" s="18">
        <v>3135</v>
      </c>
      <c r="Q8185" s="15"/>
      <c r="R8185" t="s" s="16">
        <f>HYPERLINK("http://secrets.rutgers.edu:8080/data/asl-ftp/asllvd/demos/verify_start_end_handshape_annotations//test_auto_move//signs_mov_separ_signers/Liz_5619.mov","MOV")</f>
        <v>21</v>
      </c>
    </row>
    <row r="8186" s="2" customFormat="1" ht="13.5" customHeight="1">
      <c r="B8186" s="13"/>
      <c r="C8186" t="s" s="9">
        <v>30</v>
      </c>
      <c r="D8186" t="s" s="8">
        <v>2920</v>
      </c>
      <c r="E8186" t="s" s="9">
        <v>2926</v>
      </c>
      <c r="F8186" t="s" s="10">
        <v>136</v>
      </c>
      <c r="G8186" s="14"/>
      <c r="H8186" t="s" s="10">
        <v>136</v>
      </c>
      <c r="I8186" s="14"/>
      <c r="J8186" t="s" s="11">
        <v>20</v>
      </c>
      <c r="K8186" t="s" s="16">
        <f>HYPERLINK("http://csr.bu.edu/ftp/asl/asllvd/demos/verify_start_end_handshape_annotations//test_auto_move//signs_mov/5619_5781_merged.mov","MOV")</f>
        <v>21</v>
      </c>
      <c r="L8186" t="s" s="16">
        <f>HYPERLINK("http://csr.bu.edu/ftp/asl/asllvd/demos/verify_start_end_handshape_annotations//test_auto_move//signs_mov_separ_signers/Brady_5619.mov","MOV")</f>
        <v>21</v>
      </c>
      <c r="M8186" t="s" s="10">
        <v>39</v>
      </c>
      <c r="N8186" s="17">
        <v>55</v>
      </c>
      <c r="O8186" s="18">
        <v>4404</v>
      </c>
      <c r="P8186" s="18">
        <v>4446</v>
      </c>
      <c r="Q8186" t="s" s="16">
        <f>HYPERLINK("http://secrets.rutgers.edu:8080/data/asl-ftp/asllvd/demos/verify_start_end_handshape_annotations//test_auto_move//signs_mov/5619_5781_merged.mov","MOV")</f>
        <v>21</v>
      </c>
      <c r="R8186" t="s" s="16">
        <f>HYPERLINK("http://secrets.rutgers.edu:8080/data/asl-ftp/asllvd/demos/verify_start_end_handshape_annotations//test_auto_move//signs_mov_separ_signers/Brady_5619.mov","MOV")</f>
        <v>21</v>
      </c>
    </row>
    <row r="8187" s="2" customFormat="1" ht="13.5" customHeight="1">
      <c r="B8187" s="13"/>
      <c r="C8187" t="s" s="9">
        <v>30</v>
      </c>
      <c r="D8187" t="s" s="8">
        <v>2920</v>
      </c>
      <c r="E8187" t="s" s="9">
        <v>2926</v>
      </c>
      <c r="F8187" t="s" s="10">
        <v>136</v>
      </c>
      <c r="G8187" s="14"/>
      <c r="H8187" t="s" s="10">
        <v>136</v>
      </c>
      <c r="I8187" s="14"/>
      <c r="J8187" t="s" s="11">
        <v>20</v>
      </c>
      <c r="K8187" s="15"/>
      <c r="L8187" t="s" s="16">
        <f>HYPERLINK("http://csr.bu.edu/ftp/asl/asllvd/demos/verify_start_end_handshape_annotations//test_auto_move//signs_mov_separ_signers/Brady_5781.mov","MOV")</f>
        <v>21</v>
      </c>
      <c r="M8187" t="s" s="10">
        <v>60</v>
      </c>
      <c r="N8187" s="17">
        <v>47</v>
      </c>
      <c r="O8187" s="18">
        <v>1027</v>
      </c>
      <c r="P8187" s="18">
        <v>1091</v>
      </c>
      <c r="Q8187" s="15"/>
      <c r="R8187" t="s" s="16">
        <f>HYPERLINK("http://secrets.rutgers.edu:8080/data/asl-ftp/asllvd/demos/verify_start_end_handshape_annotations//test_auto_move//signs_mov_separ_signers/Brady_5781.mov","MOV")</f>
        <v>21</v>
      </c>
    </row>
    <row r="8188" s="2" customFormat="1" ht="13.5" customHeight="1">
      <c r="B8188" t="s" s="8">
        <v>52</v>
      </c>
      <c r="C8188" t="s" s="9">
        <v>53</v>
      </c>
      <c r="D8188" t="s" s="8">
        <v>53</v>
      </c>
      <c r="E8188" t="s" s="9">
        <v>53</v>
      </c>
      <c r="F8188" t="s" s="10">
        <v>53</v>
      </c>
      <c r="G8188" t="s" s="11">
        <v>53</v>
      </c>
      <c r="H8188" t="s" s="10">
        <v>53</v>
      </c>
      <c r="I8188" t="s" s="11">
        <v>53</v>
      </c>
      <c r="J8188" t="s" s="11">
        <v>53</v>
      </c>
      <c r="K8188" t="s" s="12">
        <v>53</v>
      </c>
      <c r="L8188" t="s" s="12">
        <v>53</v>
      </c>
      <c r="M8188" t="s" s="10">
        <v>53</v>
      </c>
      <c r="N8188" t="s" s="11">
        <v>53</v>
      </c>
      <c r="O8188" t="s" s="8">
        <v>53</v>
      </c>
      <c r="P8188" t="s" s="8">
        <v>53</v>
      </c>
      <c r="Q8188" t="s" s="12">
        <v>53</v>
      </c>
      <c r="R8188" t="s" s="12">
        <v>53</v>
      </c>
    </row>
    <row r="8189" s="2" customFormat="1" ht="13.5" customHeight="1">
      <c r="B8189" s="13"/>
      <c r="C8189" t="s" s="9">
        <v>16</v>
      </c>
      <c r="D8189" t="s" s="8">
        <v>2920</v>
      </c>
      <c r="E8189" t="s" s="9">
        <v>2927</v>
      </c>
      <c r="F8189" t="s" s="10">
        <v>136</v>
      </c>
      <c r="G8189" t="s" s="11">
        <v>136</v>
      </c>
      <c r="H8189" t="s" s="10">
        <v>136</v>
      </c>
      <c r="I8189" t="s" s="11">
        <v>136</v>
      </c>
      <c r="J8189" t="s" s="11">
        <v>20</v>
      </c>
      <c r="K8189" s="15"/>
      <c r="L8189" t="s" s="16">
        <f>HYPERLINK("http://csr.bu.edu/ftp/asl/asllvd/demos/verify_start_end_handshape_annotations//test_auto_move//signs_mov_separ_signers/Liz_5839.mov","MOV")</f>
        <v>21</v>
      </c>
      <c r="M8189" t="s" s="10">
        <v>36</v>
      </c>
      <c r="N8189" s="17">
        <v>43</v>
      </c>
      <c r="O8189" s="18">
        <v>4176</v>
      </c>
      <c r="P8189" s="18">
        <v>4240</v>
      </c>
      <c r="Q8189" s="15"/>
      <c r="R8189" t="s" s="16">
        <f>HYPERLINK("http://secrets.rutgers.edu:8080/data/asl-ftp/asllvd/demos/verify_start_end_handshape_annotations//test_auto_move//signs_mov_separ_signers/Liz_5839.mov","MOV")</f>
        <v>21</v>
      </c>
    </row>
    <row r="8190" s="2" customFormat="1" ht="13.5" customHeight="1">
      <c r="B8190" s="13"/>
      <c r="C8190" t="s" s="9">
        <v>30</v>
      </c>
      <c r="D8190" t="s" s="8">
        <v>2920</v>
      </c>
      <c r="E8190" t="s" s="9">
        <v>2927</v>
      </c>
      <c r="F8190" t="s" s="10">
        <v>136</v>
      </c>
      <c r="G8190" t="s" s="11">
        <v>136</v>
      </c>
      <c r="H8190" t="s" s="10">
        <v>136</v>
      </c>
      <c r="I8190" t="s" s="11">
        <v>136</v>
      </c>
      <c r="J8190" t="s" s="11">
        <v>20</v>
      </c>
      <c r="K8190" t="s" s="16">
        <f>HYPERLINK("http://csr.bu.edu/ftp/asl/asllvd/demos/verify_start_end_handshape_annotations//test_auto_move//signs_mov/5839_5862_merged.mov","MOV")</f>
        <v>21</v>
      </c>
      <c r="L8190" t="s" s="16">
        <f>HYPERLINK("http://csr.bu.edu/ftp/asl/asllvd/demos/verify_start_end_handshape_annotations//test_auto_move//signs_mov_separ_signers/Brady_5839.mov","MOV")</f>
        <v>21</v>
      </c>
      <c r="M8190" t="s" s="10">
        <v>40</v>
      </c>
      <c r="N8190" s="17">
        <v>96</v>
      </c>
      <c r="O8190" s="18">
        <v>755</v>
      </c>
      <c r="P8190" s="18">
        <v>804</v>
      </c>
      <c r="Q8190" t="s" s="16">
        <f>HYPERLINK("http://secrets.rutgers.edu:8080/data/asl-ftp/asllvd/demos/verify_start_end_handshape_annotations//test_auto_move//signs_mov/5839_5862_merged.mov","MOV")</f>
        <v>21</v>
      </c>
      <c r="R8190" t="s" s="16">
        <f>HYPERLINK("http://secrets.rutgers.edu:8080/data/asl-ftp/asllvd/demos/verify_start_end_handshape_annotations//test_auto_move//signs_mov_separ_signers/Brady_5839.mov","MOV")</f>
        <v>21</v>
      </c>
    </row>
    <row r="8191" s="2" customFormat="1" ht="13.5" customHeight="1">
      <c r="B8191" s="13"/>
      <c r="C8191" t="s" s="9">
        <v>30</v>
      </c>
      <c r="D8191" t="s" s="8">
        <v>2920</v>
      </c>
      <c r="E8191" t="s" s="9">
        <v>2927</v>
      </c>
      <c r="F8191" t="s" s="10">
        <v>136</v>
      </c>
      <c r="G8191" t="s" s="11">
        <v>136</v>
      </c>
      <c r="H8191" t="s" s="10">
        <v>136</v>
      </c>
      <c r="I8191" t="s" s="11">
        <v>136</v>
      </c>
      <c r="J8191" t="s" s="11">
        <v>20</v>
      </c>
      <c r="K8191" s="15"/>
      <c r="L8191" t="s" s="16">
        <f>HYPERLINK("http://csr.bu.edu/ftp/asl/asllvd/demos/verify_start_end_handshape_annotations//test_auto_move//signs_mov_separ_signers/Brady_5862.mov","MOV")</f>
        <v>21</v>
      </c>
      <c r="M8191" t="s" s="10">
        <v>60</v>
      </c>
      <c r="N8191" s="17">
        <v>54</v>
      </c>
      <c r="O8191" s="18">
        <v>706</v>
      </c>
      <c r="P8191" s="18">
        <v>766</v>
      </c>
      <c r="Q8191" s="15"/>
      <c r="R8191" t="s" s="16">
        <f>HYPERLINK("http://secrets.rutgers.edu:8080/data/asl-ftp/asllvd/demos/verify_start_end_handshape_annotations//test_auto_move//signs_mov_separ_signers/Brady_5862.mov","MOV")</f>
        <v>21</v>
      </c>
    </row>
    <row r="8192" s="2" customFormat="1" ht="13.5" customHeight="1">
      <c r="B8192" t="s" s="8">
        <v>2928</v>
      </c>
      <c r="C8192" t="s" s="9">
        <v>14</v>
      </c>
      <c r="D8192" t="s" s="8">
        <v>14</v>
      </c>
      <c r="E8192" t="s" s="9">
        <v>14</v>
      </c>
      <c r="F8192" t="s" s="10">
        <v>14</v>
      </c>
      <c r="G8192" t="s" s="11">
        <v>14</v>
      </c>
      <c r="H8192" t="s" s="10">
        <v>14</v>
      </c>
      <c r="I8192" t="s" s="11">
        <v>14</v>
      </c>
      <c r="J8192" t="s" s="11">
        <v>14</v>
      </c>
      <c r="K8192" t="s" s="12">
        <v>14</v>
      </c>
      <c r="L8192" t="s" s="12">
        <v>14</v>
      </c>
      <c r="M8192" t="s" s="10">
        <v>14</v>
      </c>
      <c r="N8192" t="s" s="11">
        <v>14</v>
      </c>
      <c r="O8192" t="s" s="8">
        <v>14</v>
      </c>
      <c r="P8192" t="s" s="8">
        <v>14</v>
      </c>
      <c r="Q8192" t="s" s="12">
        <v>14</v>
      </c>
      <c r="R8192" t="s" s="12">
        <v>14</v>
      </c>
    </row>
    <row r="8193" s="2" customFormat="1" ht="13.5" customHeight="1">
      <c r="B8193" s="13"/>
      <c r="C8193" t="s" s="9">
        <v>16</v>
      </c>
      <c r="D8193" t="s" s="8">
        <v>2928</v>
      </c>
      <c r="E8193" t="s" s="9">
        <v>2929</v>
      </c>
      <c r="F8193" t="s" s="10">
        <v>136</v>
      </c>
      <c r="G8193" t="s" s="11">
        <v>136</v>
      </c>
      <c r="H8193" t="s" s="10">
        <v>136</v>
      </c>
      <c r="I8193" t="s" s="11">
        <v>136</v>
      </c>
      <c r="J8193" t="s" s="11">
        <v>20</v>
      </c>
      <c r="K8193" s="15"/>
      <c r="L8193" t="s" s="16">
        <f>HYPERLINK("http://csr.bu.edu/ftp/asl/asllvd/demos/verify_start_end_handshape_annotations//test_auto_move//signs_mov_separ_signers/Liz_15153.mov","MOV")</f>
        <v>21</v>
      </c>
      <c r="M8193" t="s" s="10">
        <v>84</v>
      </c>
      <c r="N8193" s="17">
        <v>3</v>
      </c>
      <c r="O8193" s="18">
        <v>2560</v>
      </c>
      <c r="P8193" s="18">
        <v>2675</v>
      </c>
      <c r="Q8193" s="15"/>
      <c r="R8193" t="s" s="16">
        <f>HYPERLINK("http://secrets.rutgers.edu:8080/data/asl-ftp/asllvd/demos/verify_start_end_handshape_annotations//test_auto_move//signs_mov_separ_signers/Liz_15153.mov","MOV")</f>
        <v>21</v>
      </c>
    </row>
    <row r="8194" s="2" customFormat="1" ht="13.5" customHeight="1">
      <c r="B8194" s="13"/>
      <c r="C8194" t="s" s="9">
        <v>16</v>
      </c>
      <c r="D8194" t="s" s="8">
        <v>2928</v>
      </c>
      <c r="E8194" t="s" s="9">
        <v>2929</v>
      </c>
      <c r="F8194" t="s" s="10">
        <v>136</v>
      </c>
      <c r="G8194" t="s" s="11">
        <v>136</v>
      </c>
      <c r="H8194" t="s" s="10">
        <v>136</v>
      </c>
      <c r="I8194" t="s" s="11">
        <v>136</v>
      </c>
      <c r="J8194" t="s" s="11">
        <v>20</v>
      </c>
      <c r="K8194" s="15"/>
      <c r="L8194" t="s" s="16">
        <f>HYPERLINK("http://csr.bu.edu/ftp/asl/asllvd/demos/verify_start_end_handshape_annotations//test_auto_move//signs_mov_separ_signers/Liz_15592.mov","MOV")</f>
        <v>21</v>
      </c>
      <c r="M8194" t="s" s="10">
        <v>59</v>
      </c>
      <c r="N8194" s="17">
        <v>6</v>
      </c>
      <c r="O8194" s="18">
        <v>2415</v>
      </c>
      <c r="P8194" s="18">
        <v>2497</v>
      </c>
      <c r="Q8194" s="15"/>
      <c r="R8194" t="s" s="16">
        <f>HYPERLINK("http://secrets.rutgers.edu:8080/data/asl-ftp/asllvd/demos/verify_start_end_handshape_annotations//test_auto_move//signs_mov_separ_signers/Liz_15592.mov","MOV")</f>
        <v>21</v>
      </c>
    </row>
    <row r="8195" s="2" customFormat="1" ht="13.5" customHeight="1">
      <c r="B8195" s="13"/>
      <c r="C8195" t="s" s="9">
        <v>23</v>
      </c>
      <c r="D8195" t="s" s="8">
        <v>2928</v>
      </c>
      <c r="E8195" t="s" s="9">
        <v>2929</v>
      </c>
      <c r="F8195" t="s" s="10">
        <v>136</v>
      </c>
      <c r="G8195" t="s" s="11">
        <v>136</v>
      </c>
      <c r="H8195" t="s" s="10">
        <v>136</v>
      </c>
      <c r="I8195" t="s" s="11">
        <v>136</v>
      </c>
      <c r="J8195" t="s" s="11">
        <v>20</v>
      </c>
      <c r="K8195" s="15"/>
      <c r="L8195" t="s" s="16">
        <f>HYPERLINK("http://csr.bu.edu/ftp/asl/asllvd/demos/verify_start_end_handshape_annotations//test_auto_move//signs_mov_separ_signers/Tyler_15153.mov","MOV")</f>
        <v>21</v>
      </c>
      <c r="M8195" t="s" s="10">
        <v>125</v>
      </c>
      <c r="N8195" s="17">
        <v>3</v>
      </c>
      <c r="O8195" s="18">
        <v>2077</v>
      </c>
      <c r="P8195" s="18">
        <v>2145</v>
      </c>
      <c r="Q8195" s="15"/>
      <c r="R8195" t="s" s="16">
        <f>HYPERLINK("http://secrets.rutgers.edu:8080/data/asl-ftp/asllvd/demos/verify_start_end_handshape_annotations//test_auto_move//signs_mov_separ_signers/Tyler_15153.mov","MOV")</f>
        <v>21</v>
      </c>
    </row>
    <row r="8196" s="2" customFormat="1" ht="13.5" customHeight="1">
      <c r="B8196" s="13"/>
      <c r="C8196" t="s" s="9">
        <v>27</v>
      </c>
      <c r="D8196" t="s" s="8">
        <v>2928</v>
      </c>
      <c r="E8196" t="s" s="9">
        <v>2929</v>
      </c>
      <c r="F8196" t="s" s="10">
        <v>136</v>
      </c>
      <c r="G8196" t="s" s="11">
        <v>136</v>
      </c>
      <c r="H8196" t="s" s="10">
        <v>136</v>
      </c>
      <c r="I8196" t="s" s="11">
        <v>136</v>
      </c>
      <c r="J8196" t="s" s="11">
        <v>20</v>
      </c>
      <c r="K8196" t="s" s="16">
        <f>HYPERLINK("http://csr.bu.edu/ftp/asl/asllvd/demos/verify_start_end_handshape_annotations//test_auto_move//signs_mov/15153_15592_15601_merged.mov","MOV")</f>
        <v>21</v>
      </c>
      <c r="L8196" t="s" s="16">
        <f>HYPERLINK("http://csr.bu.edu/ftp/asl/asllvd/demos/verify_start_end_handshape_annotations//test_auto_move//signs_mov_separ_signers/Naomi_15153.mov","MOV")</f>
        <v>21</v>
      </c>
      <c r="M8196" t="s" s="10">
        <v>86</v>
      </c>
      <c r="N8196" s="17">
        <v>3</v>
      </c>
      <c r="O8196" s="18">
        <v>1990</v>
      </c>
      <c r="P8196" s="18">
        <v>2060</v>
      </c>
      <c r="Q8196" t="s" s="16">
        <f>HYPERLINK("http://secrets.rutgers.edu:8080/data/asl-ftp/asllvd/demos/verify_start_end_handshape_annotations//test_auto_move//signs_mov/15153_15592_15601_merged.mov","MOV")</f>
        <v>21</v>
      </c>
      <c r="R8196" t="s" s="16">
        <f>HYPERLINK("http://secrets.rutgers.edu:8080/data/asl-ftp/asllvd/demos/verify_start_end_handshape_annotations//test_auto_move//signs_mov_separ_signers/Naomi_15153.mov","MOV")</f>
        <v>21</v>
      </c>
    </row>
    <row r="8197" s="2" customFormat="1" ht="13.5" customHeight="1">
      <c r="B8197" s="13"/>
      <c r="C8197" t="s" s="9">
        <v>30</v>
      </c>
      <c r="D8197" t="s" s="8">
        <v>2928</v>
      </c>
      <c r="E8197" t="s" s="9">
        <v>2929</v>
      </c>
      <c r="F8197" t="s" s="10">
        <v>136</v>
      </c>
      <c r="G8197" t="s" s="11">
        <v>136</v>
      </c>
      <c r="H8197" t="s" s="10">
        <v>136</v>
      </c>
      <c r="I8197" t="s" s="11">
        <v>136</v>
      </c>
      <c r="J8197" t="s" s="11">
        <v>20</v>
      </c>
      <c r="K8197" s="15"/>
      <c r="L8197" t="s" s="16">
        <f>HYPERLINK("http://csr.bu.edu/ftp/asl/asllvd/demos/verify_start_end_handshape_annotations//test_auto_move//signs_mov_separ_signers/Brady_15153.mov","MOV")</f>
        <v>21</v>
      </c>
      <c r="M8197" t="s" s="10">
        <v>31</v>
      </c>
      <c r="N8197" s="17">
        <v>29</v>
      </c>
      <c r="O8197" s="18">
        <v>16574</v>
      </c>
      <c r="P8197" s="18">
        <v>16647</v>
      </c>
      <c r="Q8197" s="15"/>
      <c r="R8197" t="s" s="16">
        <f>HYPERLINK("http://secrets.rutgers.edu:8080/data/asl-ftp/asllvd/demos/verify_start_end_handshape_annotations//test_auto_move//signs_mov_separ_signers/Brady_15153.mov","MOV")</f>
        <v>21</v>
      </c>
    </row>
    <row r="8198" s="2" customFormat="1" ht="13.5" customHeight="1">
      <c r="B8198" s="13"/>
      <c r="C8198" t="s" s="9">
        <v>30</v>
      </c>
      <c r="D8198" t="s" s="8">
        <v>2928</v>
      </c>
      <c r="E8198" t="s" s="9">
        <v>2929</v>
      </c>
      <c r="F8198" t="s" s="10">
        <v>136</v>
      </c>
      <c r="G8198" t="s" s="11">
        <v>136</v>
      </c>
      <c r="H8198" t="s" s="10">
        <v>136</v>
      </c>
      <c r="I8198" t="s" s="11">
        <v>136</v>
      </c>
      <c r="J8198" t="s" s="11">
        <v>20</v>
      </c>
      <c r="K8198" s="15"/>
      <c r="L8198" t="s" s="16">
        <f>HYPERLINK("http://csr.bu.edu/ftp/asl/asllvd/demos/verify_start_end_handshape_annotations//test_auto_move//signs_mov_separ_signers/Brady_15592.mov","MOV")</f>
        <v>21</v>
      </c>
      <c r="M8198" t="s" s="10">
        <v>40</v>
      </c>
      <c r="N8198" s="17">
        <v>110</v>
      </c>
      <c r="O8198" s="18">
        <v>2903</v>
      </c>
      <c r="P8198" s="18">
        <v>2992</v>
      </c>
      <c r="Q8198" s="15"/>
      <c r="R8198" t="s" s="16">
        <f>HYPERLINK("http://secrets.rutgers.edu:8080/data/asl-ftp/asllvd/demos/verify_start_end_handshape_annotations//test_auto_move//signs_mov_separ_signers/Brady_15592.mov","MOV")</f>
        <v>21</v>
      </c>
    </row>
    <row r="8199" s="2" customFormat="1" ht="13.5" customHeight="1">
      <c r="B8199" s="13"/>
      <c r="C8199" t="s" s="9">
        <v>30</v>
      </c>
      <c r="D8199" t="s" s="8">
        <v>2928</v>
      </c>
      <c r="E8199" t="s" s="9">
        <v>2929</v>
      </c>
      <c r="F8199" t="s" s="10">
        <v>136</v>
      </c>
      <c r="G8199" t="s" s="11">
        <v>136</v>
      </c>
      <c r="H8199" t="s" s="10">
        <v>136</v>
      </c>
      <c r="I8199" t="s" s="11">
        <v>136</v>
      </c>
      <c r="J8199" t="s" s="11">
        <v>20</v>
      </c>
      <c r="K8199" s="15"/>
      <c r="L8199" t="s" s="16">
        <f>HYPERLINK("http://csr.bu.edu/ftp/asl/asllvd/demos/verify_start_end_handshape_annotations//test_auto_move//signs_mov_separ_signers/Brady_15601.mov","MOV")</f>
        <v>21</v>
      </c>
      <c r="M8199" t="s" s="10">
        <v>60</v>
      </c>
      <c r="N8199" s="17">
        <v>55</v>
      </c>
      <c r="O8199" s="18">
        <v>453</v>
      </c>
      <c r="P8199" s="18">
        <v>512</v>
      </c>
      <c r="Q8199" s="15"/>
      <c r="R8199" t="s" s="16">
        <f>HYPERLINK("http://secrets.rutgers.edu:8080/data/asl-ftp/asllvd/demos/verify_start_end_handshape_annotations//test_auto_move//signs_mov_separ_signers/Brady_15601.mov","MOV")</f>
        <v>21</v>
      </c>
    </row>
    <row r="8200" s="2" customFormat="1" ht="13.5" customHeight="1">
      <c r="B8200" t="s" s="8">
        <v>2930</v>
      </c>
      <c r="C8200" t="s" s="9">
        <v>14</v>
      </c>
      <c r="D8200" t="s" s="8">
        <v>14</v>
      </c>
      <c r="E8200" t="s" s="9">
        <v>14</v>
      </c>
      <c r="F8200" t="s" s="10">
        <v>14</v>
      </c>
      <c r="G8200" t="s" s="11">
        <v>14</v>
      </c>
      <c r="H8200" t="s" s="10">
        <v>14</v>
      </c>
      <c r="I8200" t="s" s="11">
        <v>14</v>
      </c>
      <c r="J8200" t="s" s="11">
        <v>14</v>
      </c>
      <c r="K8200" t="s" s="12">
        <v>14</v>
      </c>
      <c r="L8200" t="s" s="12">
        <v>14</v>
      </c>
      <c r="M8200" t="s" s="10">
        <v>14</v>
      </c>
      <c r="N8200" t="s" s="11">
        <v>14</v>
      </c>
      <c r="O8200" t="s" s="8">
        <v>14</v>
      </c>
      <c r="P8200" t="s" s="8">
        <v>14</v>
      </c>
      <c r="Q8200" t="s" s="12">
        <v>14</v>
      </c>
      <c r="R8200" t="s" s="12">
        <v>14</v>
      </c>
    </row>
    <row r="8201" s="2" customFormat="1" ht="13.5" customHeight="1">
      <c r="B8201" s="13"/>
      <c r="C8201" t="s" s="9">
        <v>16</v>
      </c>
      <c r="D8201" t="s" s="8">
        <v>2930</v>
      </c>
      <c r="E8201" t="s" s="9">
        <v>2930</v>
      </c>
      <c r="F8201" s="19">
        <v>1</v>
      </c>
      <c r="G8201" s="17">
        <v>1</v>
      </c>
      <c r="H8201" s="19">
        <v>1</v>
      </c>
      <c r="I8201" s="17">
        <v>1</v>
      </c>
      <c r="J8201" t="s" s="11">
        <v>20</v>
      </c>
      <c r="K8201" s="15"/>
      <c r="L8201" t="s" s="16">
        <f>HYPERLINK("http://csr.bu.edu/ftp/asl/asllvd/demos/verify_start_end_handshape_annotations//test_auto_move//signs_mov_separ_signers/Liz_2174.mov","MOV")</f>
        <v>21</v>
      </c>
      <c r="M8201" t="s" s="10">
        <v>22</v>
      </c>
      <c r="N8201" s="17">
        <v>22</v>
      </c>
      <c r="O8201" s="18">
        <v>1101</v>
      </c>
      <c r="P8201" s="18">
        <v>1121</v>
      </c>
      <c r="Q8201" s="15"/>
      <c r="R8201" t="s" s="16">
        <f>HYPERLINK("http://secrets.rutgers.edu:8080/data/asl-ftp/asllvd/demos/verify_start_end_handshape_annotations//test_auto_move//signs_mov_separ_signers/Liz_2174.mov","MOV")</f>
        <v>21</v>
      </c>
    </row>
    <row r="8202" s="2" customFormat="1" ht="13.5" customHeight="1">
      <c r="B8202" s="13"/>
      <c r="C8202" t="s" s="9">
        <v>16</v>
      </c>
      <c r="D8202" t="s" s="8">
        <v>2930</v>
      </c>
      <c r="E8202" t="s" s="9">
        <v>2931</v>
      </c>
      <c r="F8202" s="19">
        <v>1</v>
      </c>
      <c r="G8202" s="17">
        <v>1</v>
      </c>
      <c r="H8202" s="19">
        <v>1</v>
      </c>
      <c r="I8202" s="17">
        <v>1</v>
      </c>
      <c r="J8202" t="s" s="11">
        <v>20</v>
      </c>
      <c r="K8202" s="15"/>
      <c r="L8202" t="s" s="16">
        <f>HYPERLINK("http://csr.bu.edu/ftp/asl/asllvd/demos/verify_start_end_handshape_annotations//test_auto_move//signs_mov_separ_signers/Liz_5587.mov","MOV")</f>
        <v>21</v>
      </c>
      <c r="M8202" t="s" s="10">
        <v>36</v>
      </c>
      <c r="N8202" s="17">
        <v>21</v>
      </c>
      <c r="O8202" s="18">
        <v>1240</v>
      </c>
      <c r="P8202" s="18">
        <v>1285</v>
      </c>
      <c r="Q8202" s="15"/>
      <c r="R8202" t="s" s="16">
        <f>HYPERLINK("http://secrets.rutgers.edu:8080/data/asl-ftp/asllvd/demos/verify_start_end_handshape_annotations//test_auto_move//signs_mov_separ_signers/Liz_5587.mov","MOV")</f>
        <v>21</v>
      </c>
    </row>
    <row r="8203" s="2" customFormat="1" ht="13.5" customHeight="1">
      <c r="B8203" s="13"/>
      <c r="C8203" t="s" s="9">
        <v>23</v>
      </c>
      <c r="D8203" t="s" s="8">
        <v>2930</v>
      </c>
      <c r="E8203" t="s" s="9">
        <v>2932</v>
      </c>
      <c r="F8203" s="19">
        <v>1</v>
      </c>
      <c r="G8203" s="17">
        <v>1</v>
      </c>
      <c r="H8203" s="19">
        <v>1</v>
      </c>
      <c r="I8203" s="17">
        <v>1</v>
      </c>
      <c r="J8203" t="s" s="11">
        <v>20</v>
      </c>
      <c r="K8203" t="s" s="16">
        <f>HYPERLINK("http://csr.bu.edu/ftp/asl/asllvd/demos/verify_start_end_handshape_annotations//test_auto_move//signs_mov/2174_5587_merged.mov","MOV")</f>
        <v>21</v>
      </c>
      <c r="L8203" t="s" s="16">
        <f>HYPERLINK("http://csr.bu.edu/ftp/asl/asllvd/demos/verify_start_end_handshape_annotations//test_auto_move//signs_mov_separ_signers/Tyler_2174.mov","MOV")</f>
        <v>21</v>
      </c>
      <c r="M8203" t="s" s="10">
        <v>26</v>
      </c>
      <c r="N8203" s="17">
        <v>15</v>
      </c>
      <c r="O8203" s="18">
        <v>795</v>
      </c>
      <c r="P8203" s="18">
        <v>851</v>
      </c>
      <c r="Q8203" t="s" s="16">
        <f>HYPERLINK("http://secrets.rutgers.edu:8080/data/asl-ftp/asllvd/demos/verify_start_end_handshape_annotations//test_auto_move//signs_mov/2174_5587_merged.mov","MOV")</f>
        <v>21</v>
      </c>
      <c r="R8203" t="s" s="16">
        <f>HYPERLINK("http://secrets.rutgers.edu:8080/data/asl-ftp/asllvd/demos/verify_start_end_handshape_annotations//test_auto_move//signs_mov_separ_signers/Tyler_2174.mov","MOV")</f>
        <v>21</v>
      </c>
    </row>
    <row r="8204" s="2" customFormat="1" ht="13.5" customHeight="1">
      <c r="B8204" s="13"/>
      <c r="C8204" t="s" s="9">
        <v>27</v>
      </c>
      <c r="D8204" t="s" s="8">
        <v>2930</v>
      </c>
      <c r="E8204" t="s" s="9">
        <v>2931</v>
      </c>
      <c r="F8204" s="19">
        <v>1</v>
      </c>
      <c r="G8204" s="17">
        <v>1</v>
      </c>
      <c r="H8204" s="19">
        <v>1</v>
      </c>
      <c r="I8204" s="17">
        <v>1</v>
      </c>
      <c r="J8204" t="s" s="11">
        <v>20</v>
      </c>
      <c r="K8204" s="15"/>
      <c r="L8204" t="s" s="16">
        <f>HYPERLINK("http://csr.bu.edu/ftp/asl/asllvd/demos/verify_start_end_handshape_annotations//test_auto_move//signs_mov_separ_signers/Naomi_2174.mov","MOV")</f>
        <v>21</v>
      </c>
      <c r="M8204" t="s" s="10">
        <v>29</v>
      </c>
      <c r="N8204" s="17">
        <v>15</v>
      </c>
      <c r="O8204" s="18">
        <v>452</v>
      </c>
      <c r="P8204" s="18">
        <v>480</v>
      </c>
      <c r="Q8204" s="15"/>
      <c r="R8204" t="s" s="16">
        <f>HYPERLINK("http://secrets.rutgers.edu:8080/data/asl-ftp/asllvd/demos/verify_start_end_handshape_annotations//test_auto_move//signs_mov_separ_signers/Naomi_2174.mov","MOV")</f>
        <v>21</v>
      </c>
    </row>
    <row r="8205" s="2" customFormat="1" ht="13.5" customHeight="1">
      <c r="B8205" s="13"/>
      <c r="C8205" t="s" s="9">
        <v>30</v>
      </c>
      <c r="D8205" t="s" s="8">
        <v>2930</v>
      </c>
      <c r="E8205" t="s" s="9">
        <v>2931</v>
      </c>
      <c r="F8205" s="19">
        <v>1</v>
      </c>
      <c r="G8205" s="17">
        <v>1</v>
      </c>
      <c r="H8205" s="19">
        <v>1</v>
      </c>
      <c r="I8205" s="17">
        <v>1</v>
      </c>
      <c r="J8205" t="s" s="11">
        <v>20</v>
      </c>
      <c r="K8205" s="15"/>
      <c r="L8205" t="s" s="16">
        <f>HYPERLINK("http://csr.bu.edu/ftp/asl/asllvd/demos/verify_start_end_handshape_annotations//test_auto_move//signs_mov_separ_signers/Brady_2174.mov","MOV")</f>
        <v>21</v>
      </c>
      <c r="M8205" t="s" s="10">
        <v>31</v>
      </c>
      <c r="N8205" s="17">
        <v>13</v>
      </c>
      <c r="O8205" s="18">
        <v>5602</v>
      </c>
      <c r="P8205" s="18">
        <v>5624</v>
      </c>
      <c r="Q8205" s="15"/>
      <c r="R8205" t="s" s="16">
        <f>HYPERLINK("http://secrets.rutgers.edu:8080/data/asl-ftp/asllvd/demos/verify_start_end_handshape_annotations//test_auto_move//signs_mov_separ_signers/Brady_2174.mov","MOV")</f>
        <v>21</v>
      </c>
    </row>
    <row r="8206" s="2" customFormat="1" ht="13.5" customHeight="1">
      <c r="B8206" s="13"/>
      <c r="C8206" t="s" s="9">
        <v>30</v>
      </c>
      <c r="D8206" t="s" s="8">
        <v>2930</v>
      </c>
      <c r="E8206" t="s" s="9">
        <v>2930</v>
      </c>
      <c r="F8206" s="19">
        <v>1</v>
      </c>
      <c r="G8206" s="17">
        <v>1</v>
      </c>
      <c r="H8206" s="19">
        <v>1</v>
      </c>
      <c r="I8206" s="17">
        <v>1</v>
      </c>
      <c r="J8206" t="s" s="11">
        <v>20</v>
      </c>
      <c r="K8206" s="15"/>
      <c r="L8206" t="s" s="16">
        <f>HYPERLINK("http://csr.bu.edu/ftp/asl/asllvd/demos/verify_start_end_handshape_annotations//test_auto_move//signs_mov_separ_signers/Brady_5587.mov","MOV")</f>
        <v>21</v>
      </c>
      <c r="M8206" t="s" s="10">
        <v>40</v>
      </c>
      <c r="N8206" s="17">
        <v>71</v>
      </c>
      <c r="O8206" s="18">
        <v>3443</v>
      </c>
      <c r="P8206" s="18">
        <v>3463</v>
      </c>
      <c r="Q8206" s="15"/>
      <c r="R8206" t="s" s="16">
        <f>HYPERLINK("http://secrets.rutgers.edu:8080/data/asl-ftp/asllvd/demos/verify_start_end_handshape_annotations//test_auto_move//signs_mov_separ_signers/Brady_5587.mov","MOV")</f>
        <v>21</v>
      </c>
    </row>
    <row r="8207" s="2" customFormat="1" ht="13.5" customHeight="1">
      <c r="B8207" t="s" s="8">
        <v>2933</v>
      </c>
      <c r="C8207" t="s" s="9">
        <v>14</v>
      </c>
      <c r="D8207" t="s" s="8">
        <v>14</v>
      </c>
      <c r="E8207" t="s" s="9">
        <v>14</v>
      </c>
      <c r="F8207" t="s" s="10">
        <v>14</v>
      </c>
      <c r="G8207" t="s" s="11">
        <v>14</v>
      </c>
      <c r="H8207" t="s" s="10">
        <v>14</v>
      </c>
      <c r="I8207" t="s" s="11">
        <v>14</v>
      </c>
      <c r="J8207" t="s" s="11">
        <v>14</v>
      </c>
      <c r="K8207" t="s" s="12">
        <v>14</v>
      </c>
      <c r="L8207" t="s" s="12">
        <v>14</v>
      </c>
      <c r="M8207" t="s" s="10">
        <v>14</v>
      </c>
      <c r="N8207" t="s" s="11">
        <v>14</v>
      </c>
      <c r="O8207" t="s" s="8">
        <v>14</v>
      </c>
      <c r="P8207" t="s" s="8">
        <v>14</v>
      </c>
      <c r="Q8207" t="s" s="12">
        <v>14</v>
      </c>
      <c r="R8207" t="s" s="12">
        <v>14</v>
      </c>
    </row>
    <row r="8208" s="2" customFormat="1" ht="13.5" customHeight="1">
      <c r="B8208" s="13"/>
      <c r="C8208" t="s" s="9">
        <v>16</v>
      </c>
      <c r="D8208" t="s" s="8">
        <v>2933</v>
      </c>
      <c r="E8208" t="s" s="9">
        <v>2933</v>
      </c>
      <c r="F8208" t="s" s="10">
        <v>72</v>
      </c>
      <c r="G8208" s="14"/>
      <c r="H8208" t="s" s="10">
        <v>72</v>
      </c>
      <c r="I8208" s="14"/>
      <c r="J8208" t="s" s="11">
        <v>20</v>
      </c>
      <c r="K8208" t="s" s="16">
        <f>HYPERLINK("http://csr.bu.edu/ftp/asl/asllvd/demos/verify_start_end_handshape_annotations//test_auto_move//signs_mov/2179.mov","MOV")</f>
        <v>21</v>
      </c>
      <c r="L8208" t="s" s="16">
        <f>HYPERLINK("http://csr.bu.edu/ftp/asl/asllvd/demos/verify_start_end_handshape_annotations//test_auto_move//signs_mov_separ_signers/Liz_2179.mov","MOV")</f>
        <v>21</v>
      </c>
      <c r="M8208" t="s" s="10">
        <v>36</v>
      </c>
      <c r="N8208" s="17">
        <v>21</v>
      </c>
      <c r="O8208" s="18">
        <v>3910</v>
      </c>
      <c r="P8208" s="18">
        <v>3955</v>
      </c>
      <c r="Q8208" t="s" s="16">
        <f>HYPERLINK("http://secrets.rutgers.edu:8080/data/asl-ftp/asllvd/demos/verify_start_end_handshape_annotations//test_auto_move//signs_mov/2179.mov","MOV")</f>
        <v>21</v>
      </c>
      <c r="R8208" t="s" s="16">
        <f>HYPERLINK("http://secrets.rutgers.edu:8080/data/asl-ftp/asllvd/demos/verify_start_end_handshape_annotations//test_auto_move//signs_mov_separ_signers/Liz_2179.mov","MOV")</f>
        <v>21</v>
      </c>
    </row>
    <row r="8209" s="2" customFormat="1" ht="13.5" customHeight="1">
      <c r="B8209" s="13"/>
      <c r="C8209" t="s" s="9">
        <v>30</v>
      </c>
      <c r="D8209" t="s" s="8">
        <v>2933</v>
      </c>
      <c r="E8209" t="s" s="9">
        <v>2933</v>
      </c>
      <c r="F8209" t="s" s="10">
        <v>72</v>
      </c>
      <c r="G8209" s="14"/>
      <c r="H8209" t="s" s="10">
        <v>72</v>
      </c>
      <c r="I8209" s="14"/>
      <c r="J8209" t="s" s="11">
        <v>20</v>
      </c>
      <c r="K8209" s="15"/>
      <c r="L8209" t="s" s="16">
        <f>HYPERLINK("http://csr.bu.edu/ftp/asl/asllvd/demos/verify_start_end_handshape_annotations//test_auto_move//signs_mov_separ_signers/Brady_2179.mov","MOV")</f>
        <v>21</v>
      </c>
      <c r="M8209" t="s" s="10">
        <v>40</v>
      </c>
      <c r="N8209" s="17">
        <v>72</v>
      </c>
      <c r="O8209" s="18">
        <v>1035</v>
      </c>
      <c r="P8209" s="18">
        <v>1075</v>
      </c>
      <c r="Q8209" s="15"/>
      <c r="R8209" t="s" s="16">
        <f>HYPERLINK("http://secrets.rutgers.edu:8080/data/asl-ftp/asllvd/demos/verify_start_end_handshape_annotations//test_auto_move//signs_mov_separ_signers/Brady_2179.mov","MOV")</f>
        <v>21</v>
      </c>
    </row>
    <row r="8210" s="2" customFormat="1" ht="13.5" customHeight="1">
      <c r="B8210" t="s" s="8">
        <v>2934</v>
      </c>
      <c r="C8210" t="s" s="9">
        <v>14</v>
      </c>
      <c r="D8210" t="s" s="8">
        <v>14</v>
      </c>
      <c r="E8210" t="s" s="9">
        <v>14</v>
      </c>
      <c r="F8210" t="s" s="10">
        <v>14</v>
      </c>
      <c r="G8210" t="s" s="11">
        <v>14</v>
      </c>
      <c r="H8210" t="s" s="10">
        <v>14</v>
      </c>
      <c r="I8210" t="s" s="11">
        <v>14</v>
      </c>
      <c r="J8210" t="s" s="11">
        <v>14</v>
      </c>
      <c r="K8210" t="s" s="12">
        <v>14</v>
      </c>
      <c r="L8210" t="s" s="12">
        <v>14</v>
      </c>
      <c r="M8210" t="s" s="10">
        <v>14</v>
      </c>
      <c r="N8210" t="s" s="11">
        <v>14</v>
      </c>
      <c r="O8210" t="s" s="8">
        <v>14</v>
      </c>
      <c r="P8210" t="s" s="8">
        <v>14</v>
      </c>
      <c r="Q8210" t="s" s="12">
        <v>14</v>
      </c>
      <c r="R8210" t="s" s="12">
        <v>14</v>
      </c>
    </row>
    <row r="8211" s="2" customFormat="1" ht="13.5" customHeight="1">
      <c r="B8211" s="13"/>
      <c r="C8211" t="s" s="9">
        <v>16</v>
      </c>
      <c r="D8211" t="s" s="8">
        <v>2934</v>
      </c>
      <c r="E8211" t="s" s="9">
        <v>2934</v>
      </c>
      <c r="F8211" t="s" s="10">
        <v>55</v>
      </c>
      <c r="G8211" t="s" s="11">
        <v>55</v>
      </c>
      <c r="H8211" t="s" s="10">
        <v>55</v>
      </c>
      <c r="I8211" t="s" s="11">
        <v>55</v>
      </c>
      <c r="J8211" t="s" s="11">
        <v>20</v>
      </c>
      <c r="K8211" s="15"/>
      <c r="L8211" t="s" s="16">
        <f>HYPERLINK("http://csr.bu.edu/ftp/asl/asllvd/demos/verify_start_end_handshape_annotations//test_auto_move//signs_mov_separ_signers/Liz_2180.mov","MOV")</f>
        <v>21</v>
      </c>
      <c r="M8211" t="s" s="10">
        <v>36</v>
      </c>
      <c r="N8211" s="17">
        <v>22</v>
      </c>
      <c r="O8211" s="18">
        <v>440</v>
      </c>
      <c r="P8211" s="18">
        <v>490</v>
      </c>
      <c r="Q8211" s="15"/>
      <c r="R8211" t="s" s="16">
        <f>HYPERLINK("http://secrets.rutgers.edu:8080/data/asl-ftp/asllvd/demos/verify_start_end_handshape_annotations//test_auto_move//signs_mov_separ_signers/Liz_2180.mov","MOV")</f>
        <v>21</v>
      </c>
    </row>
    <row r="8212" s="2" customFormat="1" ht="13.5" customHeight="1">
      <c r="B8212" s="13"/>
      <c r="C8212" t="s" s="9">
        <v>30</v>
      </c>
      <c r="D8212" t="s" s="8">
        <v>2934</v>
      </c>
      <c r="E8212" t="s" s="9">
        <v>2934</v>
      </c>
      <c r="F8212" t="s" s="10">
        <v>152</v>
      </c>
      <c r="G8212" t="s" s="11">
        <v>152</v>
      </c>
      <c r="H8212" t="s" s="10">
        <v>152</v>
      </c>
      <c r="I8212" t="s" s="11">
        <v>152</v>
      </c>
      <c r="J8212" t="s" s="11">
        <v>20</v>
      </c>
      <c r="K8212" s="15"/>
      <c r="L8212" t="s" s="16">
        <f>HYPERLINK("http://csr.bu.edu/ftp/asl/asllvd/demos/verify_start_end_handshape_annotations//test_auto_move//signs_mov_separ_signers/Brady_2180.mov","MOV")</f>
        <v>21</v>
      </c>
      <c r="M8212" t="s" s="10">
        <v>40</v>
      </c>
      <c r="N8212" s="17">
        <v>72</v>
      </c>
      <c r="O8212" s="18">
        <v>1500</v>
      </c>
      <c r="P8212" s="18">
        <v>1517</v>
      </c>
      <c r="Q8212" s="15"/>
      <c r="R8212" t="s" s="16">
        <f>HYPERLINK("http://secrets.rutgers.edu:8080/data/asl-ftp/asllvd/demos/verify_start_end_handshape_annotations//test_auto_move//signs_mov_separ_signers/Brady_2180.mov","MOV")</f>
        <v>21</v>
      </c>
    </row>
    <row r="8213" s="2" customFormat="1" ht="13.5" customHeight="1">
      <c r="B8213" s="13"/>
      <c r="C8213" t="s" s="9">
        <v>30</v>
      </c>
      <c r="D8213" t="s" s="8">
        <v>2934</v>
      </c>
      <c r="E8213" t="s" s="9">
        <v>2934</v>
      </c>
      <c r="F8213" t="s" s="10">
        <v>460</v>
      </c>
      <c r="G8213" t="s" s="11">
        <v>460</v>
      </c>
      <c r="H8213" t="s" s="10">
        <v>460</v>
      </c>
      <c r="I8213" t="s" s="11">
        <v>460</v>
      </c>
      <c r="J8213" t="s" s="11">
        <v>20</v>
      </c>
      <c r="K8213" t="s" s="16">
        <f>HYPERLINK("http://csr.bu.edu/ftp/asl/asllvd/demos/verify_start_end_handshape_annotations//test_auto_move//signs_mov/2180_15098_merged.mov","MOV")</f>
        <v>21</v>
      </c>
      <c r="L8213" t="s" s="16">
        <f>HYPERLINK("http://csr.bu.edu/ftp/asl/asllvd/demos/verify_start_end_handshape_annotations//test_auto_move//signs_mov_separ_signers/Brady_15098.mov","MOV")</f>
        <v>21</v>
      </c>
      <c r="M8213" t="s" s="10">
        <v>60</v>
      </c>
      <c r="N8213" s="17">
        <v>41</v>
      </c>
      <c r="O8213" s="18">
        <v>2970</v>
      </c>
      <c r="P8213" s="18">
        <v>3042</v>
      </c>
      <c r="Q8213" t="s" s="16">
        <f>HYPERLINK("http://secrets.rutgers.edu:8080/data/asl-ftp/asllvd/demos/verify_start_end_handshape_annotations//test_auto_move//signs_mov/2180_15098_merged.mov","MOV")</f>
        <v>21</v>
      </c>
      <c r="R8213" t="s" s="16">
        <f>HYPERLINK("http://secrets.rutgers.edu:8080/data/asl-ftp/asllvd/demos/verify_start_end_handshape_annotations//test_auto_move//signs_mov_separ_signers/Brady_15098.mov","MOV")</f>
        <v>21</v>
      </c>
    </row>
    <row r="8214" s="2" customFormat="1" ht="13.5" customHeight="1">
      <c r="B8214" s="13"/>
      <c r="C8214" t="s" s="9">
        <v>41</v>
      </c>
      <c r="D8214" t="s" s="8">
        <v>2934</v>
      </c>
      <c r="E8214" t="s" s="9">
        <v>2934</v>
      </c>
      <c r="F8214" t="s" s="10">
        <v>55</v>
      </c>
      <c r="G8214" t="s" s="11">
        <v>55</v>
      </c>
      <c r="H8214" t="s" s="10">
        <v>55</v>
      </c>
      <c r="I8214" t="s" s="11">
        <v>55</v>
      </c>
      <c r="J8214" t="s" s="11">
        <v>20</v>
      </c>
      <c r="K8214" s="15"/>
      <c r="L8214" t="s" s="16">
        <f>HYPERLINK("http://csr.bu.edu/ftp/asl/asllvd/demos/verify_start_end_handshape_annotations//test_auto_move//signs_mov_separ_signers/Lana_2180.mov","MOV")</f>
        <v>21</v>
      </c>
      <c r="M8214" t="s" s="10">
        <v>42</v>
      </c>
      <c r="N8214" s="17">
        <v>24</v>
      </c>
      <c r="O8214" s="18">
        <v>1942</v>
      </c>
      <c r="P8214" s="18">
        <v>1949</v>
      </c>
      <c r="Q8214" s="15"/>
      <c r="R8214" t="s" s="16">
        <f>HYPERLINK("http://secrets.rutgers.edu:8080/data/asl-ftp/asllvd/demos/verify_start_end_handshape_annotations//test_auto_move//signs_mov_separ_signers/Lana_2180.mov","MOV")</f>
        <v>21</v>
      </c>
    </row>
    <row r="8215" s="2" customFormat="1" ht="13.5" customHeight="1">
      <c r="B8215" s="13"/>
      <c r="C8215" t="s" s="9">
        <v>43</v>
      </c>
      <c r="D8215" t="s" s="8">
        <v>2934</v>
      </c>
      <c r="E8215" t="s" s="9">
        <v>2934</v>
      </c>
      <c r="F8215" t="s" s="10">
        <v>152</v>
      </c>
      <c r="G8215" t="s" s="11">
        <v>152</v>
      </c>
      <c r="H8215" t="s" s="10">
        <v>152</v>
      </c>
      <c r="I8215" t="s" s="11">
        <v>152</v>
      </c>
      <c r="J8215" t="s" s="11">
        <v>20</v>
      </c>
      <c r="K8215" s="15"/>
      <c r="L8215" t="s" s="16">
        <f>HYPERLINK("http://csr.bu.edu/ftp/asl/asllvd/demos/verify_start_end_handshape_annotations//test_auto_move//signs_mov_separ_signers/Dana_2180.mov","MOV")</f>
        <v>21</v>
      </c>
      <c r="M8215" t="s" s="10">
        <v>44</v>
      </c>
      <c r="N8215" s="17">
        <v>26</v>
      </c>
      <c r="O8215" s="18">
        <v>1983</v>
      </c>
      <c r="P8215" s="18">
        <v>2001</v>
      </c>
      <c r="Q8215" s="15"/>
      <c r="R8215" t="s" s="16">
        <f>HYPERLINK("http://secrets.rutgers.edu:8080/data/asl-ftp/asllvd/demos/verify_start_end_handshape_annotations//test_auto_move//signs_mov_separ_signers/Dana_2180.mov","MOV")</f>
        <v>21</v>
      </c>
    </row>
    <row r="8216" s="2" customFormat="1" ht="13.5" customHeight="1">
      <c r="B8216" t="s" s="8">
        <v>2935</v>
      </c>
      <c r="C8216" t="s" s="9">
        <v>14</v>
      </c>
      <c r="D8216" t="s" s="8">
        <v>14</v>
      </c>
      <c r="E8216" t="s" s="9">
        <v>14</v>
      </c>
      <c r="F8216" t="s" s="10">
        <v>14</v>
      </c>
      <c r="G8216" t="s" s="11">
        <v>14</v>
      </c>
      <c r="H8216" t="s" s="10">
        <v>14</v>
      </c>
      <c r="I8216" t="s" s="11">
        <v>14</v>
      </c>
      <c r="J8216" t="s" s="11">
        <v>14</v>
      </c>
      <c r="K8216" t="s" s="12">
        <v>14</v>
      </c>
      <c r="L8216" t="s" s="12">
        <v>14</v>
      </c>
      <c r="M8216" t="s" s="10">
        <v>14</v>
      </c>
      <c r="N8216" t="s" s="11">
        <v>14</v>
      </c>
      <c r="O8216" t="s" s="8">
        <v>14</v>
      </c>
      <c r="P8216" t="s" s="8">
        <v>14</v>
      </c>
      <c r="Q8216" t="s" s="12">
        <v>14</v>
      </c>
      <c r="R8216" t="s" s="12">
        <v>14</v>
      </c>
    </row>
    <row r="8217" s="2" customFormat="1" ht="13.5" customHeight="1">
      <c r="B8217" s="13"/>
      <c r="C8217" t="s" s="9">
        <v>16</v>
      </c>
      <c r="D8217" t="s" s="8">
        <v>2935</v>
      </c>
      <c r="E8217" t="s" s="9">
        <v>2935</v>
      </c>
      <c r="F8217" t="s" s="10">
        <v>55</v>
      </c>
      <c r="G8217" t="s" s="11">
        <v>55</v>
      </c>
      <c r="H8217" t="s" s="10">
        <v>55</v>
      </c>
      <c r="I8217" t="s" s="11">
        <v>55</v>
      </c>
      <c r="J8217" t="s" s="11">
        <v>20</v>
      </c>
      <c r="K8217" t="s" s="16">
        <f>HYPERLINK("http://csr.bu.edu/ftp/asl/asllvd/demos/verify_start_end_handshape_annotations//test_auto_move//signs_mov/16117.mov","MOV")</f>
        <v>21</v>
      </c>
      <c r="L8217" t="s" s="16">
        <f>HYPERLINK("http://csr.bu.edu/ftp/asl/asllvd/demos/verify_start_end_handshape_annotations//test_auto_move//signs_mov_separ_signers/Liz_16117.mov","MOV")</f>
        <v>21</v>
      </c>
      <c r="M8217" t="s" s="10">
        <v>36</v>
      </c>
      <c r="N8217" s="17">
        <v>10</v>
      </c>
      <c r="O8217" s="18">
        <v>1580</v>
      </c>
      <c r="P8217" s="18">
        <v>1650</v>
      </c>
      <c r="Q8217" t="s" s="16">
        <f>HYPERLINK("http://secrets.rutgers.edu:8080/data/asl-ftp/asllvd/demos/verify_start_end_handshape_annotations//test_auto_move//signs_mov/16117.mov","MOV")</f>
        <v>21</v>
      </c>
      <c r="R8217" t="s" s="16">
        <f>HYPERLINK("http://secrets.rutgers.edu:8080/data/asl-ftp/asllvd/demos/verify_start_end_handshape_annotations//test_auto_move//signs_mov_separ_signers/Liz_16117.mov","MOV")</f>
        <v>21</v>
      </c>
    </row>
    <row r="8218" s="2" customFormat="1" ht="13.5" customHeight="1">
      <c r="B8218" t="s" s="8">
        <v>2936</v>
      </c>
      <c r="C8218" t="s" s="9">
        <v>14</v>
      </c>
      <c r="D8218" t="s" s="8">
        <v>14</v>
      </c>
      <c r="E8218" t="s" s="9">
        <v>14</v>
      </c>
      <c r="F8218" t="s" s="10">
        <v>14</v>
      </c>
      <c r="G8218" t="s" s="11">
        <v>14</v>
      </c>
      <c r="H8218" t="s" s="10">
        <v>14</v>
      </c>
      <c r="I8218" t="s" s="11">
        <v>14</v>
      </c>
      <c r="J8218" t="s" s="11">
        <v>14</v>
      </c>
      <c r="K8218" t="s" s="12">
        <v>14</v>
      </c>
      <c r="L8218" t="s" s="12">
        <v>14</v>
      </c>
      <c r="M8218" t="s" s="10">
        <v>14</v>
      </c>
      <c r="N8218" t="s" s="11">
        <v>14</v>
      </c>
      <c r="O8218" t="s" s="8">
        <v>14</v>
      </c>
      <c r="P8218" t="s" s="8">
        <v>14</v>
      </c>
      <c r="Q8218" t="s" s="12">
        <v>14</v>
      </c>
      <c r="R8218" t="s" s="12">
        <v>14</v>
      </c>
    </row>
    <row r="8219" s="2" customFormat="1" ht="13.5" customHeight="1">
      <c r="B8219" s="13"/>
      <c r="C8219" t="s" s="9">
        <v>16</v>
      </c>
      <c r="D8219" t="s" s="8">
        <v>2936</v>
      </c>
      <c r="E8219" t="s" s="9">
        <v>2937</v>
      </c>
      <c r="F8219" t="s" s="10">
        <v>68</v>
      </c>
      <c r="G8219" s="14"/>
      <c r="H8219" t="s" s="10">
        <v>68</v>
      </c>
      <c r="I8219" s="14"/>
      <c r="J8219" t="s" s="11">
        <v>20</v>
      </c>
      <c r="K8219" s="15"/>
      <c r="L8219" t="s" s="16">
        <f>HYPERLINK("http://csr.bu.edu/ftp/asl/asllvd/demos/verify_start_end_handshape_annotations//test_auto_move//signs_mov_separ_signers/Liz_2181.mov","MOV")</f>
        <v>21</v>
      </c>
      <c r="M8219" t="s" s="10">
        <v>36</v>
      </c>
      <c r="N8219" s="17">
        <v>22</v>
      </c>
      <c r="O8219" s="18">
        <v>761</v>
      </c>
      <c r="P8219" s="18">
        <v>825</v>
      </c>
      <c r="Q8219" s="15"/>
      <c r="R8219" t="s" s="16">
        <f>HYPERLINK("http://secrets.rutgers.edu:8080/data/asl-ftp/asllvd/demos/verify_start_end_handshape_annotations//test_auto_move//signs_mov_separ_signers/Liz_2181.mov","MOV")</f>
        <v>21</v>
      </c>
    </row>
    <row r="8220" s="2" customFormat="1" ht="13.5" customHeight="1">
      <c r="B8220" s="13"/>
      <c r="C8220" t="s" s="9">
        <v>30</v>
      </c>
      <c r="D8220" t="s" s="8">
        <v>2936</v>
      </c>
      <c r="E8220" t="s" s="9">
        <v>2937</v>
      </c>
      <c r="F8220" t="s" s="10">
        <v>68</v>
      </c>
      <c r="G8220" s="14"/>
      <c r="H8220" t="s" s="10">
        <v>68</v>
      </c>
      <c r="I8220" s="14"/>
      <c r="J8220" t="s" s="11">
        <v>20</v>
      </c>
      <c r="K8220" t="s" s="16">
        <f>HYPERLINK("http://csr.bu.edu/ftp/asl/asllvd/demos/verify_start_end_handshape_annotations//test_auto_move//signs_mov/2181.mov","MOV")</f>
        <v>21</v>
      </c>
      <c r="L8220" t="s" s="16">
        <f>HYPERLINK("http://csr.bu.edu/ftp/asl/asllvd/demos/verify_start_end_handshape_annotations//test_auto_move//signs_mov_separ_signers/Brady_2181.mov","MOV")</f>
        <v>21</v>
      </c>
      <c r="M8220" t="s" s="10">
        <v>40</v>
      </c>
      <c r="N8220" s="17">
        <v>72</v>
      </c>
      <c r="O8220" s="18">
        <v>1805</v>
      </c>
      <c r="P8220" s="18">
        <v>1846</v>
      </c>
      <c r="Q8220" t="s" s="16">
        <f>HYPERLINK("http://secrets.rutgers.edu:8080/data/asl-ftp/asllvd/demos/verify_start_end_handshape_annotations//test_auto_move//signs_mov/2181.mov","MOV")</f>
        <v>21</v>
      </c>
      <c r="R8220" t="s" s="16">
        <f>HYPERLINK("http://secrets.rutgers.edu:8080/data/asl-ftp/asllvd/demos/verify_start_end_handshape_annotations//test_auto_move//signs_mov_separ_signers/Brady_2181.mov","MOV")</f>
        <v>21</v>
      </c>
    </row>
    <row r="8221" s="2" customFormat="1" ht="13.5" customHeight="1">
      <c r="B8221" s="13"/>
      <c r="C8221" t="s" s="9">
        <v>41</v>
      </c>
      <c r="D8221" t="s" s="8">
        <v>2936</v>
      </c>
      <c r="E8221" t="s" s="9">
        <v>2937</v>
      </c>
      <c r="F8221" t="s" s="10">
        <v>68</v>
      </c>
      <c r="G8221" s="14"/>
      <c r="H8221" t="s" s="10">
        <v>68</v>
      </c>
      <c r="I8221" s="14"/>
      <c r="J8221" t="s" s="11">
        <v>20</v>
      </c>
      <c r="K8221" s="15"/>
      <c r="L8221" t="s" s="16">
        <f>HYPERLINK("http://csr.bu.edu/ftp/asl/asllvd/demos/verify_start_end_handshape_annotations//test_auto_move//signs_mov_separ_signers/Lana_2181.mov","MOV")</f>
        <v>21</v>
      </c>
      <c r="M8221" t="s" s="10">
        <v>42</v>
      </c>
      <c r="N8221" s="17">
        <v>22</v>
      </c>
      <c r="O8221" s="18">
        <v>2202</v>
      </c>
      <c r="P8221" s="18">
        <v>2250</v>
      </c>
      <c r="Q8221" s="15"/>
      <c r="R8221" t="s" s="16">
        <f>HYPERLINK("http://secrets.rutgers.edu:8080/data/asl-ftp/asllvd/demos/verify_start_end_handshape_annotations//test_auto_move//signs_mov_separ_signers/Lana_2181.mov","MOV")</f>
        <v>21</v>
      </c>
    </row>
    <row r="8222" s="2" customFormat="1" ht="13.5" customHeight="1">
      <c r="B8222" s="13"/>
      <c r="C8222" t="s" s="9">
        <v>43</v>
      </c>
      <c r="D8222" t="s" s="8">
        <v>2936</v>
      </c>
      <c r="E8222" t="s" s="9">
        <v>2937</v>
      </c>
      <c r="F8222" t="s" s="10">
        <v>68</v>
      </c>
      <c r="G8222" s="14"/>
      <c r="H8222" t="s" s="10">
        <v>68</v>
      </c>
      <c r="I8222" s="14"/>
      <c r="J8222" t="s" s="11">
        <v>20</v>
      </c>
      <c r="K8222" s="15"/>
      <c r="L8222" t="s" s="16">
        <f>HYPERLINK("http://csr.bu.edu/ftp/asl/asllvd/demos/verify_start_end_handshape_annotations//test_auto_move//signs_mov_separ_signers/Dana_2181.mov","MOV")</f>
        <v>21</v>
      </c>
      <c r="M8222" t="s" s="10">
        <v>44</v>
      </c>
      <c r="N8222" s="17">
        <v>25</v>
      </c>
      <c r="O8222" s="18">
        <v>2113</v>
      </c>
      <c r="P8222" s="18">
        <v>2177</v>
      </c>
      <c r="Q8222" s="15"/>
      <c r="R8222" t="s" s="16">
        <f>HYPERLINK("http://secrets.rutgers.edu:8080/data/asl-ftp/asllvd/demos/verify_start_end_handshape_annotations//test_auto_move//signs_mov_separ_signers/Dana_2181.mov","MOV")</f>
        <v>21</v>
      </c>
    </row>
    <row r="8223" s="2" customFormat="1" ht="13.5" customHeight="1">
      <c r="B8223" t="s" s="8">
        <v>2938</v>
      </c>
      <c r="C8223" t="s" s="9">
        <v>14</v>
      </c>
      <c r="D8223" t="s" s="8">
        <v>14</v>
      </c>
      <c r="E8223" t="s" s="9">
        <v>14</v>
      </c>
      <c r="F8223" t="s" s="10">
        <v>14</v>
      </c>
      <c r="G8223" t="s" s="11">
        <v>14</v>
      </c>
      <c r="H8223" t="s" s="10">
        <v>14</v>
      </c>
      <c r="I8223" t="s" s="11">
        <v>14</v>
      </c>
      <c r="J8223" t="s" s="11">
        <v>14</v>
      </c>
      <c r="K8223" t="s" s="12">
        <v>14</v>
      </c>
      <c r="L8223" t="s" s="12">
        <v>14</v>
      </c>
      <c r="M8223" t="s" s="10">
        <v>14</v>
      </c>
      <c r="N8223" t="s" s="11">
        <v>14</v>
      </c>
      <c r="O8223" t="s" s="8">
        <v>14</v>
      </c>
      <c r="P8223" t="s" s="8">
        <v>14</v>
      </c>
      <c r="Q8223" t="s" s="12">
        <v>14</v>
      </c>
      <c r="R8223" t="s" s="12">
        <v>14</v>
      </c>
    </row>
    <row r="8224" s="2" customFormat="1" ht="13.5" customHeight="1">
      <c r="B8224" s="13"/>
      <c r="C8224" t="s" s="9">
        <v>16</v>
      </c>
      <c r="D8224" t="s" s="8">
        <v>2938</v>
      </c>
      <c r="E8224" t="s" s="9">
        <v>2938</v>
      </c>
      <c r="F8224" t="s" s="10">
        <v>68</v>
      </c>
      <c r="G8224" s="14"/>
      <c r="H8224" t="s" s="10">
        <v>68</v>
      </c>
      <c r="I8224" s="14"/>
      <c r="J8224" t="s" s="11">
        <v>20</v>
      </c>
      <c r="K8224" s="15"/>
      <c r="L8224" t="s" s="16">
        <f>HYPERLINK("http://csr.bu.edu/ftp/asl/asllvd/demos/verify_start_end_handshape_annotations//test_auto_move//signs_mov_separ_signers/Liz_15162.mov","MOV")</f>
        <v>21</v>
      </c>
      <c r="M8224" t="s" s="10">
        <v>84</v>
      </c>
      <c r="N8224" s="17">
        <v>34</v>
      </c>
      <c r="O8224" s="18">
        <v>580</v>
      </c>
      <c r="P8224" s="18">
        <v>611</v>
      </c>
      <c r="Q8224" s="15"/>
      <c r="R8224" t="s" s="16">
        <f>HYPERLINK("http://secrets.rutgers.edu:8080/data/asl-ftp/asllvd/demos/verify_start_end_handshape_annotations//test_auto_move//signs_mov_separ_signers/Liz_15162.mov","MOV")</f>
        <v>21</v>
      </c>
    </row>
    <row r="8225" s="2" customFormat="1" ht="13.5" customHeight="1">
      <c r="B8225" s="13"/>
      <c r="C8225" t="s" s="9">
        <v>23</v>
      </c>
      <c r="D8225" t="s" s="8">
        <v>2938</v>
      </c>
      <c r="E8225" t="s" s="9">
        <v>2938</v>
      </c>
      <c r="F8225" t="s" s="10">
        <v>68</v>
      </c>
      <c r="G8225" s="14"/>
      <c r="H8225" t="s" s="10">
        <v>68</v>
      </c>
      <c r="I8225" s="14"/>
      <c r="J8225" t="s" s="11">
        <v>20</v>
      </c>
      <c r="K8225" t="s" s="16">
        <f>HYPERLINK("http://csr.bu.edu/ftp/asl/asllvd/demos/verify_start_end_handshape_annotations//test_auto_move//signs_mov/15162.mov","MOV")</f>
        <v>21</v>
      </c>
      <c r="L8225" t="s" s="16">
        <f>HYPERLINK("http://csr.bu.edu/ftp/asl/asllvd/demos/verify_start_end_handshape_annotations//test_auto_move//signs_mov_separ_signers/Tyler_15162.mov","MOV")</f>
        <v>21</v>
      </c>
      <c r="M8225" t="s" s="10">
        <v>92</v>
      </c>
      <c r="N8225" s="17">
        <v>14</v>
      </c>
      <c r="O8225" s="18">
        <v>290</v>
      </c>
      <c r="P8225" s="18">
        <v>330</v>
      </c>
      <c r="Q8225" t="s" s="16">
        <f>HYPERLINK("http://secrets.rutgers.edu:8080/data/asl-ftp/asllvd/demos/verify_start_end_handshape_annotations//test_auto_move//signs_mov/15162.mov","MOV")</f>
        <v>21</v>
      </c>
      <c r="R8225" t="s" s="16">
        <f>HYPERLINK("http://secrets.rutgers.edu:8080/data/asl-ftp/asllvd/demos/verify_start_end_handshape_annotations//test_auto_move//signs_mov_separ_signers/Tyler_15162.mov","MOV")</f>
        <v>21</v>
      </c>
    </row>
    <row r="8226" s="2" customFormat="1" ht="13.5" customHeight="1">
      <c r="B8226" s="13"/>
      <c r="C8226" t="s" s="9">
        <v>27</v>
      </c>
      <c r="D8226" t="s" s="8">
        <v>2938</v>
      </c>
      <c r="E8226" t="s" s="9">
        <v>2938</v>
      </c>
      <c r="F8226" t="s" s="10">
        <v>68</v>
      </c>
      <c r="G8226" s="14"/>
      <c r="H8226" t="s" s="10">
        <v>68</v>
      </c>
      <c r="I8226" s="14"/>
      <c r="J8226" t="s" s="11">
        <v>20</v>
      </c>
      <c r="K8226" s="15"/>
      <c r="L8226" t="s" s="16">
        <f>HYPERLINK("http://csr.bu.edu/ftp/asl/asllvd/demos/verify_start_end_handshape_annotations//test_auto_move//signs_mov_separ_signers/Naomi_15162.mov","MOV")</f>
        <v>21</v>
      </c>
      <c r="M8226" t="s" s="10">
        <v>86</v>
      </c>
      <c r="N8226" s="17">
        <v>34</v>
      </c>
      <c r="O8226" s="18">
        <v>190</v>
      </c>
      <c r="P8226" s="18">
        <v>215</v>
      </c>
      <c r="Q8226" s="15"/>
      <c r="R8226" t="s" s="16">
        <f>HYPERLINK("http://secrets.rutgers.edu:8080/data/asl-ftp/asllvd/demos/verify_start_end_handshape_annotations//test_auto_move//signs_mov_separ_signers/Naomi_15162.mov","MOV")</f>
        <v>21</v>
      </c>
    </row>
    <row r="8227" s="2" customFormat="1" ht="13.5" customHeight="1">
      <c r="B8227" s="13"/>
      <c r="C8227" t="s" s="9">
        <v>30</v>
      </c>
      <c r="D8227" t="s" s="8">
        <v>2938</v>
      </c>
      <c r="E8227" t="s" s="9">
        <v>2938</v>
      </c>
      <c r="F8227" t="s" s="10">
        <v>68</v>
      </c>
      <c r="G8227" s="14"/>
      <c r="H8227" t="s" s="10">
        <v>68</v>
      </c>
      <c r="I8227" s="14"/>
      <c r="J8227" t="s" s="11">
        <v>20</v>
      </c>
      <c r="K8227" s="15"/>
      <c r="L8227" t="s" s="16">
        <f>HYPERLINK("http://csr.bu.edu/ftp/asl/asllvd/demos/verify_start_end_handshape_annotations//test_auto_move//signs_mov_separ_signers/Brady_15162.mov","MOV")</f>
        <v>21</v>
      </c>
      <c r="M8227" t="s" s="10">
        <v>39</v>
      </c>
      <c r="N8227" s="17">
        <v>13</v>
      </c>
      <c r="O8227" s="18">
        <v>3555</v>
      </c>
      <c r="P8227" s="18">
        <v>3582</v>
      </c>
      <c r="Q8227" s="15"/>
      <c r="R8227" t="s" s="16">
        <f>HYPERLINK("http://secrets.rutgers.edu:8080/data/asl-ftp/asllvd/demos/verify_start_end_handshape_annotations//test_auto_move//signs_mov_separ_signers/Brady_15162.mov","MOV")</f>
        <v>21</v>
      </c>
    </row>
    <row r="8228" s="2" customFormat="1" ht="13.5" customHeight="1">
      <c r="B8228" t="s" s="8">
        <v>2939</v>
      </c>
      <c r="C8228" t="s" s="9">
        <v>14</v>
      </c>
      <c r="D8228" t="s" s="8">
        <v>14</v>
      </c>
      <c r="E8228" t="s" s="9">
        <v>14</v>
      </c>
      <c r="F8228" t="s" s="10">
        <v>14</v>
      </c>
      <c r="G8228" t="s" s="11">
        <v>14</v>
      </c>
      <c r="H8228" t="s" s="10">
        <v>14</v>
      </c>
      <c r="I8228" t="s" s="11">
        <v>14</v>
      </c>
      <c r="J8228" t="s" s="11">
        <v>14</v>
      </c>
      <c r="K8228" t="s" s="12">
        <v>14</v>
      </c>
      <c r="L8228" t="s" s="12">
        <v>14</v>
      </c>
      <c r="M8228" t="s" s="10">
        <v>14</v>
      </c>
      <c r="N8228" t="s" s="11">
        <v>14</v>
      </c>
      <c r="O8228" t="s" s="8">
        <v>14</v>
      </c>
      <c r="P8228" t="s" s="8">
        <v>14</v>
      </c>
      <c r="Q8228" t="s" s="12">
        <v>14</v>
      </c>
      <c r="R8228" t="s" s="12">
        <v>14</v>
      </c>
    </row>
    <row r="8229" s="2" customFormat="1" ht="13.5" customHeight="1">
      <c r="B8229" s="13"/>
      <c r="C8229" t="s" s="9">
        <v>16</v>
      </c>
      <c r="D8229" t="s" s="8">
        <v>2939</v>
      </c>
      <c r="E8229" t="s" s="9">
        <v>2940</v>
      </c>
      <c r="F8229" s="19">
        <v>10</v>
      </c>
      <c r="G8229" t="s" s="11">
        <v>73</v>
      </c>
      <c r="H8229" s="19">
        <v>10</v>
      </c>
      <c r="I8229" t="s" s="11">
        <v>73</v>
      </c>
      <c r="J8229" t="s" s="11">
        <v>20</v>
      </c>
      <c r="K8229" t="s" s="16">
        <f>HYPERLINK("http://csr.bu.edu/ftp/asl/asllvd/demos/verify_start_end_handshape_annotations//test_auto_move//signs_mov/2182.mov","MOV")</f>
        <v>21</v>
      </c>
      <c r="L8229" t="s" s="16">
        <f>HYPERLINK("http://csr.bu.edu/ftp/asl/asllvd/demos/verify_start_end_handshape_annotations//test_auto_move//signs_mov_separ_signers/Liz_2182.mov","MOV")</f>
        <v>21</v>
      </c>
      <c r="M8229" t="s" s="10">
        <v>36</v>
      </c>
      <c r="N8229" s="17">
        <v>22</v>
      </c>
      <c r="O8229" s="18">
        <v>1095</v>
      </c>
      <c r="P8229" s="18">
        <v>1155</v>
      </c>
      <c r="Q8229" t="s" s="16">
        <f>HYPERLINK("http://secrets.rutgers.edu:8080/data/asl-ftp/asllvd/demos/verify_start_end_handshape_annotations//test_auto_move//signs_mov/2182.mov","MOV")</f>
        <v>21</v>
      </c>
      <c r="R8229" t="s" s="16">
        <f>HYPERLINK("http://secrets.rutgers.edu:8080/data/asl-ftp/asllvd/demos/verify_start_end_handshape_annotations//test_auto_move//signs_mov_separ_signers/Liz_2182.mov","MOV")</f>
        <v>21</v>
      </c>
    </row>
    <row r="8230" s="2" customFormat="1" ht="13.5" customHeight="1">
      <c r="B8230" s="13"/>
      <c r="C8230" t="s" s="9">
        <v>30</v>
      </c>
      <c r="D8230" t="s" s="8">
        <v>2939</v>
      </c>
      <c r="E8230" t="s" s="9">
        <v>2940</v>
      </c>
      <c r="F8230" s="19">
        <v>10</v>
      </c>
      <c r="G8230" t="s" s="11">
        <v>73</v>
      </c>
      <c r="H8230" s="19">
        <v>10</v>
      </c>
      <c r="I8230" t="s" s="11">
        <v>73</v>
      </c>
      <c r="J8230" t="s" s="11">
        <v>20</v>
      </c>
      <c r="K8230" s="15"/>
      <c r="L8230" t="s" s="16">
        <f>HYPERLINK("http://csr.bu.edu/ftp/asl/asllvd/demos/verify_start_end_handshape_annotations//test_auto_move//signs_mov_separ_signers/Brady_2182.mov","MOV")</f>
        <v>21</v>
      </c>
      <c r="M8230" t="s" s="10">
        <v>40</v>
      </c>
      <c r="N8230" s="17">
        <v>72</v>
      </c>
      <c r="O8230" s="18">
        <v>2046</v>
      </c>
      <c r="P8230" s="18">
        <v>2069</v>
      </c>
      <c r="Q8230" s="15"/>
      <c r="R8230" t="s" s="16">
        <f>HYPERLINK("http://secrets.rutgers.edu:8080/data/asl-ftp/asllvd/demos/verify_start_end_handshape_annotations//test_auto_move//signs_mov_separ_signers/Brady_2182.mov","MOV")</f>
        <v>21</v>
      </c>
    </row>
    <row r="8231" s="2" customFormat="1" ht="13.5" customHeight="1">
      <c r="B8231" t="s" s="8">
        <v>2941</v>
      </c>
      <c r="C8231" t="s" s="9">
        <v>14</v>
      </c>
      <c r="D8231" t="s" s="8">
        <v>14</v>
      </c>
      <c r="E8231" t="s" s="9">
        <v>14</v>
      </c>
      <c r="F8231" t="s" s="10">
        <v>14</v>
      </c>
      <c r="G8231" t="s" s="11">
        <v>14</v>
      </c>
      <c r="H8231" t="s" s="10">
        <v>14</v>
      </c>
      <c r="I8231" t="s" s="11">
        <v>14</v>
      </c>
      <c r="J8231" t="s" s="11">
        <v>14</v>
      </c>
      <c r="K8231" t="s" s="12">
        <v>14</v>
      </c>
      <c r="L8231" t="s" s="12">
        <v>14</v>
      </c>
      <c r="M8231" t="s" s="10">
        <v>14</v>
      </c>
      <c r="N8231" t="s" s="11">
        <v>14</v>
      </c>
      <c r="O8231" t="s" s="8">
        <v>14</v>
      </c>
      <c r="P8231" t="s" s="8">
        <v>14</v>
      </c>
      <c r="Q8231" t="s" s="12">
        <v>14</v>
      </c>
      <c r="R8231" t="s" s="12">
        <v>14</v>
      </c>
    </row>
    <row r="8232" s="2" customFormat="1" ht="13.5" customHeight="1">
      <c r="B8232" s="13"/>
      <c r="C8232" t="s" s="9">
        <v>30</v>
      </c>
      <c r="D8232" t="s" s="8">
        <v>2941</v>
      </c>
      <c r="E8232" t="s" s="9">
        <v>2942</v>
      </c>
      <c r="F8232" t="s" s="10">
        <v>229</v>
      </c>
      <c r="G8232" t="s" s="11">
        <v>68</v>
      </c>
      <c r="H8232" t="s" s="10">
        <v>229</v>
      </c>
      <c r="I8232" t="s" s="11">
        <v>68</v>
      </c>
      <c r="J8232" t="s" s="11">
        <v>20</v>
      </c>
      <c r="K8232" t="s" s="16">
        <f>HYPERLINK("http://csr.bu.edu/ftp/asl/asllvd/demos/verify_start_end_handshape_annotations//test_auto_move//signs_mov/2184.mov","MOV")</f>
        <v>21</v>
      </c>
      <c r="L8232" t="s" s="16">
        <f>HYPERLINK("http://csr.bu.edu/ftp/asl/asllvd/demos/verify_start_end_handshape_annotations//test_auto_move//signs_mov_separ_signers/Brady_2184.mov","MOV")</f>
        <v>21</v>
      </c>
      <c r="M8232" t="s" s="10">
        <v>40</v>
      </c>
      <c r="N8232" s="17">
        <v>72</v>
      </c>
      <c r="O8232" s="18">
        <v>2259</v>
      </c>
      <c r="P8232" s="18">
        <v>2300</v>
      </c>
      <c r="Q8232" t="s" s="16">
        <f>HYPERLINK("http://secrets.rutgers.edu:8080/data/asl-ftp/asllvd/demos/verify_start_end_handshape_annotations//test_auto_move//signs_mov/2184.mov","MOV")</f>
        <v>21</v>
      </c>
      <c r="R8232" t="s" s="16">
        <f>HYPERLINK("http://secrets.rutgers.edu:8080/data/asl-ftp/asllvd/demos/verify_start_end_handshape_annotations//test_auto_move//signs_mov_separ_signers/Brady_2184.mov","MOV")</f>
        <v>21</v>
      </c>
    </row>
    <row r="8233" s="2" customFormat="1" ht="13.5" customHeight="1">
      <c r="B8233" s="13"/>
      <c r="C8233" t="s" s="9">
        <v>41</v>
      </c>
      <c r="D8233" t="s" s="8">
        <v>2941</v>
      </c>
      <c r="E8233" t="s" s="9">
        <v>2943</v>
      </c>
      <c r="F8233" t="s" s="10">
        <v>229</v>
      </c>
      <c r="G8233" t="s" s="11">
        <v>68</v>
      </c>
      <c r="H8233" t="s" s="10">
        <v>229</v>
      </c>
      <c r="I8233" t="s" s="11">
        <v>68</v>
      </c>
      <c r="J8233" t="s" s="11">
        <v>20</v>
      </c>
      <c r="K8233" s="15"/>
      <c r="L8233" t="s" s="16">
        <f>HYPERLINK("http://csr.bu.edu/ftp/asl/asllvd/demos/verify_start_end_handshape_annotations//test_auto_move//signs_mov_separ_signers/Lana_2184.mov","MOV")</f>
        <v>21</v>
      </c>
      <c r="M8233" t="s" s="10">
        <v>42</v>
      </c>
      <c r="N8233" s="17">
        <v>24</v>
      </c>
      <c r="O8233" s="18">
        <v>2067</v>
      </c>
      <c r="P8233" s="18">
        <v>2092</v>
      </c>
      <c r="Q8233" s="15"/>
      <c r="R8233" t="s" s="16">
        <f>HYPERLINK("http://secrets.rutgers.edu:8080/data/asl-ftp/asllvd/demos/verify_start_end_handshape_annotations//test_auto_move//signs_mov_separ_signers/Lana_2184.mov","MOV")</f>
        <v>21</v>
      </c>
    </row>
    <row r="8234" s="2" customFormat="1" ht="13.5" customHeight="1">
      <c r="B8234" t="s" s="8">
        <v>52</v>
      </c>
      <c r="C8234" t="s" s="9">
        <v>53</v>
      </c>
      <c r="D8234" t="s" s="8">
        <v>53</v>
      </c>
      <c r="E8234" t="s" s="9">
        <v>53</v>
      </c>
      <c r="F8234" t="s" s="10">
        <v>53</v>
      </c>
      <c r="G8234" t="s" s="11">
        <v>53</v>
      </c>
      <c r="H8234" t="s" s="10">
        <v>53</v>
      </c>
      <c r="I8234" t="s" s="11">
        <v>53</v>
      </c>
      <c r="J8234" t="s" s="11">
        <v>53</v>
      </c>
      <c r="K8234" t="s" s="12">
        <v>53</v>
      </c>
      <c r="L8234" t="s" s="12">
        <v>53</v>
      </c>
      <c r="M8234" t="s" s="10">
        <v>53</v>
      </c>
      <c r="N8234" t="s" s="11">
        <v>53</v>
      </c>
      <c r="O8234" t="s" s="8">
        <v>53</v>
      </c>
      <c r="P8234" t="s" s="8">
        <v>53</v>
      </c>
      <c r="Q8234" t="s" s="12">
        <v>53</v>
      </c>
      <c r="R8234" t="s" s="12">
        <v>53</v>
      </c>
    </row>
    <row r="8235" s="2" customFormat="1" ht="13.5" customHeight="1">
      <c r="B8235" s="13"/>
      <c r="C8235" t="s" s="9">
        <v>16</v>
      </c>
      <c r="D8235" t="s" s="8">
        <v>2941</v>
      </c>
      <c r="E8235" t="s" s="9">
        <v>2944</v>
      </c>
      <c r="F8235" t="s" s="10">
        <v>229</v>
      </c>
      <c r="G8235" t="s" s="11">
        <v>68</v>
      </c>
      <c r="H8235" t="s" s="10">
        <v>229</v>
      </c>
      <c r="I8235" t="s" s="11">
        <v>68</v>
      </c>
      <c r="J8235" t="s" s="11">
        <v>20</v>
      </c>
      <c r="K8235" t="s" s="16">
        <f>HYPERLINK("http://csr.bu.edu/ftp/asl/asllvd/demos/verify_start_end_handshape_annotations//test_auto_move//signs_mov/16450.mov","MOV")</f>
        <v>21</v>
      </c>
      <c r="L8235" t="s" s="16">
        <f>HYPERLINK("http://csr.bu.edu/ftp/asl/asllvd/demos/verify_start_end_handshape_annotations//test_auto_move//signs_mov_separ_signers/Liz_16450.mov","MOV")</f>
        <v>21</v>
      </c>
      <c r="M8235" t="s" s="10">
        <v>36</v>
      </c>
      <c r="N8235" s="17">
        <v>22</v>
      </c>
      <c r="O8235" s="18">
        <v>2125</v>
      </c>
      <c r="P8235" s="18">
        <v>2180</v>
      </c>
      <c r="Q8235" t="s" s="16">
        <f>HYPERLINK("http://secrets.rutgers.edu:8080/data/asl-ftp/asllvd/demos/verify_start_end_handshape_annotations//test_auto_move//signs_mov/16450.mov","MOV")</f>
        <v>21</v>
      </c>
      <c r="R8235" t="s" s="16">
        <f>HYPERLINK("http://secrets.rutgers.edu:8080/data/asl-ftp/asllvd/demos/verify_start_end_handshape_annotations//test_auto_move//signs_mov_separ_signers/Liz_16450.mov","MOV")</f>
        <v>21</v>
      </c>
    </row>
    <row r="8236" s="2" customFormat="1" ht="13.5" customHeight="1">
      <c r="B8236" t="s" s="8">
        <v>2945</v>
      </c>
      <c r="C8236" t="s" s="9">
        <v>14</v>
      </c>
      <c r="D8236" t="s" s="8">
        <v>14</v>
      </c>
      <c r="E8236" t="s" s="9">
        <v>14</v>
      </c>
      <c r="F8236" t="s" s="10">
        <v>14</v>
      </c>
      <c r="G8236" t="s" s="11">
        <v>14</v>
      </c>
      <c r="H8236" t="s" s="10">
        <v>14</v>
      </c>
      <c r="I8236" t="s" s="11">
        <v>14</v>
      </c>
      <c r="J8236" t="s" s="11">
        <v>14</v>
      </c>
      <c r="K8236" t="s" s="12">
        <v>14</v>
      </c>
      <c r="L8236" t="s" s="12">
        <v>14</v>
      </c>
      <c r="M8236" t="s" s="10">
        <v>14</v>
      </c>
      <c r="N8236" t="s" s="11">
        <v>14</v>
      </c>
      <c r="O8236" t="s" s="8">
        <v>14</v>
      </c>
      <c r="P8236" t="s" s="8">
        <v>14</v>
      </c>
      <c r="Q8236" t="s" s="12">
        <v>14</v>
      </c>
      <c r="R8236" t="s" s="12">
        <v>14</v>
      </c>
    </row>
    <row r="8237" s="2" customFormat="1" ht="13.5" customHeight="1">
      <c r="B8237" s="13"/>
      <c r="C8237" t="s" s="9">
        <v>16</v>
      </c>
      <c r="D8237" t="s" s="8">
        <v>2945</v>
      </c>
      <c r="E8237" t="s" s="9">
        <v>2946</v>
      </c>
      <c r="F8237" s="19">
        <v>1</v>
      </c>
      <c r="G8237" s="14"/>
      <c r="H8237" s="19">
        <v>1</v>
      </c>
      <c r="I8237" s="14"/>
      <c r="J8237" t="s" s="11">
        <v>20</v>
      </c>
      <c r="K8237" s="15"/>
      <c r="L8237" t="s" s="16">
        <f>HYPERLINK("http://csr.bu.edu/ftp/asl/asllvd/demos/verify_start_end_handshape_annotations//test_auto_move//signs_mov_separ_signers/Liz_2188.mov","MOV")</f>
        <v>21</v>
      </c>
      <c r="M8237" t="s" s="10">
        <v>36</v>
      </c>
      <c r="N8237" s="17">
        <v>22</v>
      </c>
      <c r="O8237" s="18">
        <v>3245</v>
      </c>
      <c r="P8237" s="18">
        <v>3290</v>
      </c>
      <c r="Q8237" s="15"/>
      <c r="R8237" t="s" s="16">
        <f>HYPERLINK("http://secrets.rutgers.edu:8080/data/asl-ftp/asllvd/demos/verify_start_end_handshape_annotations//test_auto_move//signs_mov_separ_signers/Liz_2188.mov","MOV")</f>
        <v>21</v>
      </c>
    </row>
    <row r="8238" s="2" customFormat="1" ht="13.5" customHeight="1">
      <c r="B8238" s="13"/>
      <c r="C8238" t="s" s="9">
        <v>30</v>
      </c>
      <c r="D8238" t="s" s="8">
        <v>2945</v>
      </c>
      <c r="E8238" t="s" s="9">
        <v>2946</v>
      </c>
      <c r="F8238" s="19">
        <v>1</v>
      </c>
      <c r="G8238" s="14"/>
      <c r="H8238" s="19">
        <v>1</v>
      </c>
      <c r="I8238" s="14"/>
      <c r="J8238" t="s" s="11">
        <v>20</v>
      </c>
      <c r="K8238" t="s" s="16">
        <f>HYPERLINK("http://csr.bu.edu/ftp/asl/asllvd/demos/verify_start_end_handshape_annotations//test_auto_move//signs_mov/2188.mov","MOV")</f>
        <v>21</v>
      </c>
      <c r="L8238" t="s" s="16">
        <f>HYPERLINK("http://csr.bu.edu/ftp/asl/asllvd/demos/verify_start_end_handshape_annotations//test_auto_move//signs_mov_separ_signers/Brady_2188.mov","MOV")</f>
        <v>21</v>
      </c>
      <c r="M8238" t="s" s="10">
        <v>40</v>
      </c>
      <c r="N8238" s="17">
        <v>73</v>
      </c>
      <c r="O8238" s="18">
        <v>503</v>
      </c>
      <c r="P8238" s="18">
        <v>538</v>
      </c>
      <c r="Q8238" t="s" s="16">
        <f>HYPERLINK("http://secrets.rutgers.edu:8080/data/asl-ftp/asllvd/demos/verify_start_end_handshape_annotations//test_auto_move//signs_mov/2188.mov","MOV")</f>
        <v>21</v>
      </c>
      <c r="R8238" t="s" s="16">
        <f>HYPERLINK("http://secrets.rutgers.edu:8080/data/asl-ftp/asllvd/demos/verify_start_end_handshape_annotations//test_auto_move//signs_mov_separ_signers/Brady_2188.mov","MOV")</f>
        <v>21</v>
      </c>
    </row>
    <row r="8239" s="2" customFormat="1" ht="13.5" customHeight="1">
      <c r="B8239" s="13"/>
      <c r="C8239" t="s" s="9">
        <v>43</v>
      </c>
      <c r="D8239" t="s" s="8">
        <v>2945</v>
      </c>
      <c r="E8239" t="s" s="9">
        <v>2947</v>
      </c>
      <c r="F8239" s="19">
        <v>1</v>
      </c>
      <c r="G8239" s="14"/>
      <c r="H8239" s="19">
        <v>1</v>
      </c>
      <c r="I8239" s="14"/>
      <c r="J8239" t="s" s="11">
        <v>20</v>
      </c>
      <c r="K8239" s="15"/>
      <c r="L8239" t="s" s="16">
        <f>HYPERLINK("http://csr.bu.edu/ftp/asl/asllvd/demos/verify_start_end_handshape_annotations//test_auto_move//signs_mov_separ_signers/Dana_2188.mov","MOV")</f>
        <v>21</v>
      </c>
      <c r="M8239" t="s" s="10">
        <v>44</v>
      </c>
      <c r="N8239" s="17">
        <v>25</v>
      </c>
      <c r="O8239" s="18">
        <v>2371</v>
      </c>
      <c r="P8239" s="18">
        <v>2414</v>
      </c>
      <c r="Q8239" s="15"/>
      <c r="R8239" t="s" s="16">
        <f>HYPERLINK("http://secrets.rutgers.edu:8080/data/asl-ftp/asllvd/demos/verify_start_end_handshape_annotations//test_auto_move//signs_mov_separ_signers/Dana_2188.mov","MOV")</f>
        <v>21</v>
      </c>
    </row>
    <row r="8240" s="2" customFormat="1" ht="13.5" customHeight="1">
      <c r="B8240" t="s" s="8">
        <v>2948</v>
      </c>
      <c r="C8240" t="s" s="9">
        <v>14</v>
      </c>
      <c r="D8240" t="s" s="8">
        <v>14</v>
      </c>
      <c r="E8240" t="s" s="9">
        <v>14</v>
      </c>
      <c r="F8240" t="s" s="10">
        <v>14</v>
      </c>
      <c r="G8240" t="s" s="11">
        <v>14</v>
      </c>
      <c r="H8240" t="s" s="10">
        <v>14</v>
      </c>
      <c r="I8240" t="s" s="11">
        <v>14</v>
      </c>
      <c r="J8240" t="s" s="11">
        <v>14</v>
      </c>
      <c r="K8240" t="s" s="12">
        <v>14</v>
      </c>
      <c r="L8240" t="s" s="12">
        <v>14</v>
      </c>
      <c r="M8240" t="s" s="10">
        <v>14</v>
      </c>
      <c r="N8240" t="s" s="11">
        <v>14</v>
      </c>
      <c r="O8240" t="s" s="8">
        <v>14</v>
      </c>
      <c r="P8240" t="s" s="8">
        <v>14</v>
      </c>
      <c r="Q8240" t="s" s="12">
        <v>14</v>
      </c>
      <c r="R8240" t="s" s="12">
        <v>14</v>
      </c>
    </row>
    <row r="8241" s="2" customFormat="1" ht="13.5" customHeight="1">
      <c r="B8241" s="13"/>
      <c r="C8241" t="s" s="9">
        <v>16</v>
      </c>
      <c r="D8241" t="s" s="8">
        <v>2948</v>
      </c>
      <c r="E8241" t="s" s="9">
        <v>2948</v>
      </c>
      <c r="F8241" t="s" s="10">
        <v>255</v>
      </c>
      <c r="G8241" s="14"/>
      <c r="H8241" t="s" s="10">
        <v>255</v>
      </c>
      <c r="I8241" s="14"/>
      <c r="J8241" t="s" s="11">
        <v>20</v>
      </c>
      <c r="K8241" t="s" s="16">
        <f>HYPERLINK("http://csr.bu.edu/ftp/asl/asllvd/demos/verify_start_end_handshape_annotations//test_auto_move//signs_mov/2190.mov","MOV")</f>
        <v>21</v>
      </c>
      <c r="L8241" t="s" s="16">
        <f>HYPERLINK("http://csr.bu.edu/ftp/asl/asllvd/demos/verify_start_end_handshape_annotations//test_auto_move//signs_mov_separ_signers/Liz_2190.mov","MOV")</f>
        <v>21</v>
      </c>
      <c r="M8241" t="s" s="10">
        <v>36</v>
      </c>
      <c r="N8241" s="17">
        <v>23</v>
      </c>
      <c r="O8241" s="18">
        <v>832</v>
      </c>
      <c r="P8241" s="18">
        <v>881</v>
      </c>
      <c r="Q8241" t="s" s="16">
        <f>HYPERLINK("http://secrets.rutgers.edu:8080/data/asl-ftp/asllvd/demos/verify_start_end_handshape_annotations//test_auto_move//signs_mov/2190.mov","MOV")</f>
        <v>21</v>
      </c>
      <c r="R8241" t="s" s="16">
        <f>HYPERLINK("http://secrets.rutgers.edu:8080/data/asl-ftp/asllvd/demos/verify_start_end_handshape_annotations//test_auto_move//signs_mov_separ_signers/Liz_2190.mov","MOV")</f>
        <v>21</v>
      </c>
    </row>
    <row r="8242" s="2" customFormat="1" ht="13.5" customHeight="1">
      <c r="B8242" s="13"/>
      <c r="C8242" t="s" s="9">
        <v>30</v>
      </c>
      <c r="D8242" t="s" s="8">
        <v>2948</v>
      </c>
      <c r="E8242" t="s" s="9">
        <v>2948</v>
      </c>
      <c r="F8242" t="s" s="10">
        <v>255</v>
      </c>
      <c r="G8242" s="14"/>
      <c r="H8242" t="s" s="10">
        <v>255</v>
      </c>
      <c r="I8242" s="14"/>
      <c r="J8242" t="s" s="11">
        <v>20</v>
      </c>
      <c r="K8242" s="15"/>
      <c r="L8242" t="s" s="16">
        <f>HYPERLINK("http://csr.bu.edu/ftp/asl/asllvd/demos/verify_start_end_handshape_annotations//test_auto_move//signs_mov_separ_signers/Brady_2190.mov","MOV")</f>
        <v>21</v>
      </c>
      <c r="M8242" t="s" s="10">
        <v>40</v>
      </c>
      <c r="N8242" s="17">
        <v>73</v>
      </c>
      <c r="O8242" s="18">
        <v>1031</v>
      </c>
      <c r="P8242" s="18">
        <v>1065</v>
      </c>
      <c r="Q8242" s="15"/>
      <c r="R8242" t="s" s="16">
        <f>HYPERLINK("http://secrets.rutgers.edu:8080/data/asl-ftp/asllvd/demos/verify_start_end_handshape_annotations//test_auto_move//signs_mov_separ_signers/Brady_2190.mov","MOV")</f>
        <v>21</v>
      </c>
    </row>
    <row r="8243" s="2" customFormat="1" ht="13.5" customHeight="1">
      <c r="B8243" t="s" s="8">
        <v>2949</v>
      </c>
      <c r="C8243" t="s" s="9">
        <v>14</v>
      </c>
      <c r="D8243" t="s" s="8">
        <v>14</v>
      </c>
      <c r="E8243" t="s" s="9">
        <v>14</v>
      </c>
      <c r="F8243" t="s" s="10">
        <v>14</v>
      </c>
      <c r="G8243" t="s" s="11">
        <v>14</v>
      </c>
      <c r="H8243" t="s" s="10">
        <v>14</v>
      </c>
      <c r="I8243" t="s" s="11">
        <v>14</v>
      </c>
      <c r="J8243" t="s" s="11">
        <v>14</v>
      </c>
      <c r="K8243" t="s" s="12">
        <v>14</v>
      </c>
      <c r="L8243" t="s" s="12">
        <v>14</v>
      </c>
      <c r="M8243" t="s" s="10">
        <v>14</v>
      </c>
      <c r="N8243" t="s" s="11">
        <v>14</v>
      </c>
      <c r="O8243" t="s" s="8">
        <v>14</v>
      </c>
      <c r="P8243" t="s" s="8">
        <v>14</v>
      </c>
      <c r="Q8243" t="s" s="12">
        <v>14</v>
      </c>
      <c r="R8243" t="s" s="12">
        <v>14</v>
      </c>
    </row>
    <row r="8244" s="2" customFormat="1" ht="13.5" customHeight="1">
      <c r="B8244" s="13"/>
      <c r="C8244" t="s" s="9">
        <v>30</v>
      </c>
      <c r="D8244" t="s" s="8">
        <v>2949</v>
      </c>
      <c r="E8244" t="s" s="9">
        <v>2949</v>
      </c>
      <c r="F8244" t="s" s="10">
        <v>65</v>
      </c>
      <c r="G8244" t="s" s="11">
        <v>65</v>
      </c>
      <c r="H8244" t="s" s="10">
        <v>65</v>
      </c>
      <c r="I8244" t="s" s="11">
        <v>65</v>
      </c>
      <c r="J8244" t="s" s="11">
        <v>20</v>
      </c>
      <c r="K8244" t="s" s="16">
        <f>HYPERLINK("http://csr.bu.edu/ftp/asl/asllvd/demos/verify_start_end_handshape_annotations//test_auto_move//signs_mov/2192.mov","MOV")</f>
        <v>21</v>
      </c>
      <c r="L8244" t="s" s="16">
        <f>HYPERLINK("http://csr.bu.edu/ftp/asl/asllvd/demos/verify_start_end_handshape_annotations//test_auto_move//signs_mov_separ_signers/Brady_2192.mov","MOV")</f>
        <v>21</v>
      </c>
      <c r="M8244" t="s" s="10">
        <v>39</v>
      </c>
      <c r="N8244" s="17">
        <v>30</v>
      </c>
      <c r="O8244" s="18">
        <v>1384</v>
      </c>
      <c r="P8244" s="18">
        <v>1421</v>
      </c>
      <c r="Q8244" t="s" s="16">
        <f>HYPERLINK("http://secrets.rutgers.edu:8080/data/asl-ftp/asllvd/demos/verify_start_end_handshape_annotations//test_auto_move//signs_mov/2192.mov","MOV")</f>
        <v>21</v>
      </c>
      <c r="R8244" t="s" s="16">
        <f>HYPERLINK("http://secrets.rutgers.edu:8080/data/asl-ftp/asllvd/demos/verify_start_end_handshape_annotations//test_auto_move//signs_mov_separ_signers/Brady_2192.mov","MOV")</f>
        <v>21</v>
      </c>
    </row>
    <row r="8245" s="2" customFormat="1" ht="13.5" customHeight="1">
      <c r="B8245" t="s" s="8">
        <v>52</v>
      </c>
      <c r="C8245" t="s" s="9">
        <v>53</v>
      </c>
      <c r="D8245" t="s" s="8">
        <v>53</v>
      </c>
      <c r="E8245" t="s" s="9">
        <v>53</v>
      </c>
      <c r="F8245" t="s" s="10">
        <v>53</v>
      </c>
      <c r="G8245" t="s" s="11">
        <v>53</v>
      </c>
      <c r="H8245" t="s" s="10">
        <v>53</v>
      </c>
      <c r="I8245" t="s" s="11">
        <v>53</v>
      </c>
      <c r="J8245" t="s" s="11">
        <v>53</v>
      </c>
      <c r="K8245" t="s" s="12">
        <v>53</v>
      </c>
      <c r="L8245" t="s" s="12">
        <v>53</v>
      </c>
      <c r="M8245" t="s" s="10">
        <v>53</v>
      </c>
      <c r="N8245" t="s" s="11">
        <v>53</v>
      </c>
      <c r="O8245" t="s" s="8">
        <v>53</v>
      </c>
      <c r="P8245" t="s" s="8">
        <v>53</v>
      </c>
      <c r="Q8245" t="s" s="12">
        <v>53</v>
      </c>
      <c r="R8245" t="s" s="12">
        <v>53</v>
      </c>
    </row>
    <row r="8246" s="2" customFormat="1" ht="13.5" customHeight="1">
      <c r="B8246" s="13"/>
      <c r="C8246" t="s" s="9">
        <v>16</v>
      </c>
      <c r="D8246" t="s" s="8">
        <v>2949</v>
      </c>
      <c r="E8246" t="s" s="9">
        <v>2950</v>
      </c>
      <c r="F8246" s="19">
        <v>1</v>
      </c>
      <c r="G8246" s="17">
        <v>1</v>
      </c>
      <c r="H8246" t="s" s="10">
        <v>65</v>
      </c>
      <c r="I8246" t="s" s="11">
        <v>65</v>
      </c>
      <c r="J8246" t="s" s="11">
        <v>20</v>
      </c>
      <c r="K8246" t="s" s="16">
        <f>HYPERLINK("http://csr.bu.edu/ftp/asl/asllvd/demos/verify_start_end_handshape_annotations//test_auto_move//signs_mov/16451.mov","MOV")</f>
        <v>21</v>
      </c>
      <c r="L8246" t="s" s="16">
        <f>HYPERLINK("http://csr.bu.edu/ftp/asl/asllvd/demos/verify_start_end_handshape_annotations//test_auto_move//signs_mov_separ_signers/Liz_16451.mov","MOV")</f>
        <v>21</v>
      </c>
      <c r="M8246" t="s" s="10">
        <v>36</v>
      </c>
      <c r="N8246" s="17">
        <v>23</v>
      </c>
      <c r="O8246" s="18">
        <v>1652</v>
      </c>
      <c r="P8246" s="18">
        <v>1740</v>
      </c>
      <c r="Q8246" t="s" s="16">
        <f>HYPERLINK("http://secrets.rutgers.edu:8080/data/asl-ftp/asllvd/demos/verify_start_end_handshape_annotations//test_auto_move//signs_mov/16451.mov","MOV")</f>
        <v>21</v>
      </c>
      <c r="R8246" t="s" s="16">
        <f>HYPERLINK("http://secrets.rutgers.edu:8080/data/asl-ftp/asllvd/demos/verify_start_end_handshape_annotations//test_auto_move//signs_mov_separ_signers/Liz_16451.mov","MOV")</f>
        <v>21</v>
      </c>
    </row>
    <row r="8247" s="2" customFormat="1" ht="13.5" customHeight="1">
      <c r="B8247" t="s" s="8">
        <v>2951</v>
      </c>
      <c r="C8247" t="s" s="9">
        <v>14</v>
      </c>
      <c r="D8247" t="s" s="8">
        <v>14</v>
      </c>
      <c r="E8247" t="s" s="9">
        <v>14</v>
      </c>
      <c r="F8247" t="s" s="10">
        <v>14</v>
      </c>
      <c r="G8247" t="s" s="11">
        <v>14</v>
      </c>
      <c r="H8247" t="s" s="10">
        <v>14</v>
      </c>
      <c r="I8247" t="s" s="11">
        <v>14</v>
      </c>
      <c r="J8247" t="s" s="11">
        <v>14</v>
      </c>
      <c r="K8247" t="s" s="12">
        <v>14</v>
      </c>
      <c r="L8247" t="s" s="12">
        <v>14</v>
      </c>
      <c r="M8247" t="s" s="10">
        <v>14</v>
      </c>
      <c r="N8247" t="s" s="11">
        <v>14</v>
      </c>
      <c r="O8247" t="s" s="8">
        <v>14</v>
      </c>
      <c r="P8247" t="s" s="8">
        <v>14</v>
      </c>
      <c r="Q8247" t="s" s="12">
        <v>14</v>
      </c>
      <c r="R8247" t="s" s="12">
        <v>14</v>
      </c>
    </row>
    <row r="8248" s="2" customFormat="1" ht="13.5" customHeight="1">
      <c r="B8248" s="13"/>
      <c r="C8248" t="s" s="9">
        <v>16</v>
      </c>
      <c r="D8248" t="s" s="8">
        <v>2951</v>
      </c>
      <c r="E8248" t="s" s="9">
        <v>2951</v>
      </c>
      <c r="F8248" s="19">
        <v>4</v>
      </c>
      <c r="G8248" s="17">
        <v>5</v>
      </c>
      <c r="H8248" s="19">
        <v>4</v>
      </c>
      <c r="I8248" s="17">
        <v>5</v>
      </c>
      <c r="J8248" t="s" s="11">
        <v>20</v>
      </c>
      <c r="K8248" s="15"/>
      <c r="L8248" t="s" s="16">
        <f>HYPERLINK("http://csr.bu.edu/ftp/asl/asllvd/demos/verify_start_end_handshape_annotations//test_auto_move//signs_mov_separ_signers/Liz_2193.mov","MOV")</f>
        <v>21</v>
      </c>
      <c r="M8248" t="s" s="10">
        <v>36</v>
      </c>
      <c r="N8248" s="17">
        <v>23</v>
      </c>
      <c r="O8248" s="18">
        <v>1950</v>
      </c>
      <c r="P8248" s="18">
        <v>2000</v>
      </c>
      <c r="Q8248" s="15"/>
      <c r="R8248" t="s" s="16">
        <f>HYPERLINK("http://secrets.rutgers.edu:8080/data/asl-ftp/asllvd/demos/verify_start_end_handshape_annotations//test_auto_move//signs_mov_separ_signers/Liz_2193.mov","MOV")</f>
        <v>21</v>
      </c>
    </row>
    <row r="8249" s="2" customFormat="1" ht="13.5" customHeight="1">
      <c r="B8249" s="13"/>
      <c r="C8249" t="s" s="9">
        <v>16</v>
      </c>
      <c r="D8249" t="s" s="8">
        <v>2951</v>
      </c>
      <c r="E8249" t="s" s="9">
        <v>2951</v>
      </c>
      <c r="F8249" s="19">
        <v>4</v>
      </c>
      <c r="G8249" s="17">
        <v>5</v>
      </c>
      <c r="H8249" s="19">
        <v>4</v>
      </c>
      <c r="I8249" s="17">
        <v>5</v>
      </c>
      <c r="J8249" t="s" s="11">
        <v>20</v>
      </c>
      <c r="K8249" t="s" s="16">
        <f>HYPERLINK("http://csr.bu.edu/ftp/asl/asllvd/demos/verify_start_end_handshape_annotations//test_auto_move//signs_mov/2193_3408_merged.mov","MOV")</f>
        <v>21</v>
      </c>
      <c r="L8249" t="s" s="16">
        <f>HYPERLINK("http://csr.bu.edu/ftp/asl/asllvd/demos/verify_start_end_handshape_annotations//test_auto_move//signs_mov_separ_signers/Liz_3408.mov","MOV")</f>
        <v>21</v>
      </c>
      <c r="M8249" t="s" s="10">
        <v>77</v>
      </c>
      <c r="N8249" s="17">
        <v>29</v>
      </c>
      <c r="O8249" s="18">
        <v>690</v>
      </c>
      <c r="P8249" s="18">
        <v>745</v>
      </c>
      <c r="Q8249" t="s" s="16">
        <f>HYPERLINK("http://secrets.rutgers.edu:8080/data/asl-ftp/asllvd/demos/verify_start_end_handshape_annotations//test_auto_move//signs_mov/2193_3408_merged.mov","MOV")</f>
        <v>21</v>
      </c>
      <c r="R8249" t="s" s="16">
        <f>HYPERLINK("http://secrets.rutgers.edu:8080/data/asl-ftp/asllvd/demos/verify_start_end_handshape_annotations//test_auto_move//signs_mov_separ_signers/Liz_3408.mov","MOV")</f>
        <v>21</v>
      </c>
    </row>
    <row r="8250" s="2" customFormat="1" ht="13.5" customHeight="1">
      <c r="B8250" s="13"/>
      <c r="C8250" t="s" s="9">
        <v>30</v>
      </c>
      <c r="D8250" t="s" s="8">
        <v>2951</v>
      </c>
      <c r="E8250" t="s" s="9">
        <v>2951</v>
      </c>
      <c r="F8250" s="19">
        <v>4</v>
      </c>
      <c r="G8250" t="s" s="11">
        <v>73</v>
      </c>
      <c r="H8250" s="19">
        <v>4</v>
      </c>
      <c r="I8250" t="s" s="11">
        <v>73</v>
      </c>
      <c r="J8250" t="s" s="11">
        <v>20</v>
      </c>
      <c r="K8250" s="15"/>
      <c r="L8250" t="s" s="16">
        <f>HYPERLINK("http://csr.bu.edu/ftp/asl/asllvd/demos/verify_start_end_handshape_annotations//test_auto_move//signs_mov_separ_signers/Brady_2193.mov","MOV")</f>
        <v>21</v>
      </c>
      <c r="M8250" t="s" s="10">
        <v>39</v>
      </c>
      <c r="N8250" s="17">
        <v>28</v>
      </c>
      <c r="O8250" s="18">
        <v>9385</v>
      </c>
      <c r="P8250" s="18">
        <v>9425</v>
      </c>
      <c r="Q8250" s="15"/>
      <c r="R8250" t="s" s="16">
        <f>HYPERLINK("http://secrets.rutgers.edu:8080/data/asl-ftp/asllvd/demos/verify_start_end_handshape_annotations//test_auto_move//signs_mov_separ_signers/Brady_2193.mov","MOV")</f>
        <v>21</v>
      </c>
    </row>
    <row r="8251" s="2" customFormat="1" ht="13.5" customHeight="1">
      <c r="B8251" s="13"/>
      <c r="C8251" t="s" s="9">
        <v>30</v>
      </c>
      <c r="D8251" t="s" s="8">
        <v>2951</v>
      </c>
      <c r="E8251" t="s" s="9">
        <v>2951</v>
      </c>
      <c r="F8251" s="19">
        <v>5</v>
      </c>
      <c r="G8251" t="s" s="11">
        <v>73</v>
      </c>
      <c r="H8251" s="19">
        <v>5</v>
      </c>
      <c r="I8251" t="s" s="11">
        <v>73</v>
      </c>
      <c r="J8251" t="s" s="11">
        <v>20</v>
      </c>
      <c r="K8251" s="15"/>
      <c r="L8251" t="s" s="16">
        <f>HYPERLINK("http://csr.bu.edu/ftp/asl/asllvd/demos/verify_start_end_handshape_annotations//test_auto_move//signs_mov_separ_signers/Brady_3408.mov","MOV")</f>
        <v>21</v>
      </c>
      <c r="M8251" t="s" s="10">
        <v>40</v>
      </c>
      <c r="N8251" s="17">
        <v>73</v>
      </c>
      <c r="O8251" s="18">
        <v>2107</v>
      </c>
      <c r="P8251" s="18">
        <v>2139</v>
      </c>
      <c r="Q8251" s="15"/>
      <c r="R8251" t="s" s="16">
        <f>HYPERLINK("http://secrets.rutgers.edu:8080/data/asl-ftp/asllvd/demos/verify_start_end_handshape_annotations//test_auto_move//signs_mov_separ_signers/Brady_3408.mov","MOV")</f>
        <v>21</v>
      </c>
    </row>
    <row r="8252" s="2" customFormat="1" ht="13.5" customHeight="1">
      <c r="B8252" t="s" s="8">
        <v>2952</v>
      </c>
      <c r="C8252" t="s" s="9">
        <v>14</v>
      </c>
      <c r="D8252" t="s" s="8">
        <v>14</v>
      </c>
      <c r="E8252" t="s" s="9">
        <v>14</v>
      </c>
      <c r="F8252" t="s" s="10">
        <v>14</v>
      </c>
      <c r="G8252" t="s" s="11">
        <v>14</v>
      </c>
      <c r="H8252" t="s" s="10">
        <v>14</v>
      </c>
      <c r="I8252" t="s" s="11">
        <v>14</v>
      </c>
      <c r="J8252" t="s" s="11">
        <v>14</v>
      </c>
      <c r="K8252" t="s" s="12">
        <v>14</v>
      </c>
      <c r="L8252" t="s" s="12">
        <v>14</v>
      </c>
      <c r="M8252" t="s" s="10">
        <v>14</v>
      </c>
      <c r="N8252" t="s" s="11">
        <v>14</v>
      </c>
      <c r="O8252" t="s" s="8">
        <v>14</v>
      </c>
      <c r="P8252" t="s" s="8">
        <v>14</v>
      </c>
      <c r="Q8252" t="s" s="12">
        <v>14</v>
      </c>
      <c r="R8252" t="s" s="12">
        <v>14</v>
      </c>
    </row>
    <row r="8253" s="2" customFormat="1" ht="13.5" customHeight="1">
      <c r="B8253" s="13"/>
      <c r="C8253" t="s" s="9">
        <v>16</v>
      </c>
      <c r="D8253" t="s" s="8">
        <v>2952</v>
      </c>
      <c r="E8253" t="s" s="9">
        <v>2953</v>
      </c>
      <c r="F8253" t="s" s="10">
        <v>73</v>
      </c>
      <c r="G8253" t="s" s="11">
        <v>73</v>
      </c>
      <c r="H8253" t="s" s="10">
        <v>73</v>
      </c>
      <c r="I8253" t="s" s="11">
        <v>73</v>
      </c>
      <c r="J8253" t="s" s="11">
        <v>20</v>
      </c>
      <c r="K8253" s="15"/>
      <c r="L8253" t="s" s="16">
        <f>HYPERLINK("http://csr.bu.edu/ftp/asl/asllvd/demos/verify_start_end_handshape_annotations//test_auto_move//signs_mov_separ_signers/Liz_2194.mov","MOV")</f>
        <v>21</v>
      </c>
      <c r="M8253" t="s" s="10">
        <v>36</v>
      </c>
      <c r="N8253" s="17">
        <v>23</v>
      </c>
      <c r="O8253" s="18">
        <v>2190</v>
      </c>
      <c r="P8253" s="18">
        <v>2235</v>
      </c>
      <c r="Q8253" s="15"/>
      <c r="R8253" t="s" s="16">
        <f>HYPERLINK("http://secrets.rutgers.edu:8080/data/asl-ftp/asllvd/demos/verify_start_end_handshape_annotations//test_auto_move//signs_mov_separ_signers/Liz_2194.mov","MOV")</f>
        <v>21</v>
      </c>
    </row>
    <row r="8254" s="2" customFormat="1" ht="13.5" customHeight="1">
      <c r="B8254" s="13"/>
      <c r="C8254" t="s" s="9">
        <v>30</v>
      </c>
      <c r="D8254" t="s" s="8">
        <v>2952</v>
      </c>
      <c r="E8254" t="s" s="9">
        <v>2953</v>
      </c>
      <c r="F8254" t="s" s="10">
        <v>73</v>
      </c>
      <c r="G8254" t="s" s="11">
        <v>73</v>
      </c>
      <c r="H8254" t="s" s="10">
        <v>73</v>
      </c>
      <c r="I8254" t="s" s="11">
        <v>73</v>
      </c>
      <c r="J8254" t="s" s="11">
        <v>20</v>
      </c>
      <c r="K8254" t="s" s="16">
        <f>HYPERLINK("http://csr.bu.edu/ftp/asl/asllvd/demos/verify_start_end_handshape_annotations//test_auto_move//signs_mov/2194.mov","MOV")</f>
        <v>21</v>
      </c>
      <c r="L8254" t="s" s="16">
        <f>HYPERLINK("http://csr.bu.edu/ftp/asl/asllvd/demos/verify_start_end_handshape_annotations//test_auto_move//signs_mov_separ_signers/Brady_2194.mov","MOV")</f>
        <v>21</v>
      </c>
      <c r="M8254" t="s" s="10">
        <v>40</v>
      </c>
      <c r="N8254" s="17">
        <v>73</v>
      </c>
      <c r="O8254" s="18">
        <v>2366</v>
      </c>
      <c r="P8254" s="18">
        <v>2395</v>
      </c>
      <c r="Q8254" t="s" s="16">
        <f>HYPERLINK("http://secrets.rutgers.edu:8080/data/asl-ftp/asllvd/demos/verify_start_end_handshape_annotations//test_auto_move//signs_mov/2194.mov","MOV")</f>
        <v>21</v>
      </c>
      <c r="R8254" t="s" s="16">
        <f>HYPERLINK("http://secrets.rutgers.edu:8080/data/asl-ftp/asllvd/demos/verify_start_end_handshape_annotations//test_auto_move//signs_mov_separ_signers/Brady_2194.mov","MOV")</f>
        <v>21</v>
      </c>
    </row>
    <row r="8255" s="2" customFormat="1" ht="13.5" customHeight="1">
      <c r="B8255" s="13"/>
      <c r="C8255" t="s" s="9">
        <v>41</v>
      </c>
      <c r="D8255" t="s" s="8">
        <v>2952</v>
      </c>
      <c r="E8255" t="s" s="9">
        <v>2953</v>
      </c>
      <c r="F8255" t="s" s="10">
        <v>73</v>
      </c>
      <c r="G8255" t="s" s="11">
        <v>73</v>
      </c>
      <c r="H8255" t="s" s="10">
        <v>73</v>
      </c>
      <c r="I8255" t="s" s="11">
        <v>73</v>
      </c>
      <c r="J8255" t="s" s="11">
        <v>20</v>
      </c>
      <c r="K8255" s="15"/>
      <c r="L8255" t="s" s="16">
        <f>HYPERLINK("http://csr.bu.edu/ftp/asl/asllvd/demos/verify_start_end_handshape_annotations//test_auto_move//signs_mov_separ_signers/Lana_2194.mov","MOV")</f>
        <v>21</v>
      </c>
      <c r="M8255" t="s" s="10">
        <v>42</v>
      </c>
      <c r="N8255" s="17">
        <v>24</v>
      </c>
      <c r="O8255" s="18">
        <v>2555</v>
      </c>
      <c r="P8255" s="18">
        <v>2580</v>
      </c>
      <c r="Q8255" s="15"/>
      <c r="R8255" t="s" s="16">
        <f>HYPERLINK("http://secrets.rutgers.edu:8080/data/asl-ftp/asllvd/demos/verify_start_end_handshape_annotations//test_auto_move//signs_mov_separ_signers/Lana_2194.mov","MOV")</f>
        <v>21</v>
      </c>
    </row>
    <row r="8256" s="2" customFormat="1" ht="13.5" customHeight="1">
      <c r="B8256" t="s" s="8">
        <v>2954</v>
      </c>
      <c r="C8256" t="s" s="9">
        <v>14</v>
      </c>
      <c r="D8256" t="s" s="8">
        <v>14</v>
      </c>
      <c r="E8256" t="s" s="9">
        <v>14</v>
      </c>
      <c r="F8256" t="s" s="10">
        <v>14</v>
      </c>
      <c r="G8256" t="s" s="11">
        <v>14</v>
      </c>
      <c r="H8256" t="s" s="10">
        <v>14</v>
      </c>
      <c r="I8256" t="s" s="11">
        <v>14</v>
      </c>
      <c r="J8256" t="s" s="11">
        <v>14</v>
      </c>
      <c r="K8256" t="s" s="12">
        <v>14</v>
      </c>
      <c r="L8256" t="s" s="12">
        <v>14</v>
      </c>
      <c r="M8256" t="s" s="10">
        <v>14</v>
      </c>
      <c r="N8256" t="s" s="11">
        <v>14</v>
      </c>
      <c r="O8256" t="s" s="8">
        <v>14</v>
      </c>
      <c r="P8256" t="s" s="8">
        <v>14</v>
      </c>
      <c r="Q8256" t="s" s="12">
        <v>14</v>
      </c>
      <c r="R8256" t="s" s="12">
        <v>14</v>
      </c>
    </row>
    <row r="8257" s="2" customFormat="1" ht="13.5" customHeight="1">
      <c r="B8257" s="13"/>
      <c r="C8257" t="s" s="9">
        <v>16</v>
      </c>
      <c r="D8257" t="s" s="8">
        <v>2954</v>
      </c>
      <c r="E8257" t="s" s="9">
        <v>2955</v>
      </c>
      <c r="F8257" s="19">
        <v>10</v>
      </c>
      <c r="G8257" s="17">
        <v>10</v>
      </c>
      <c r="H8257" s="19">
        <v>10</v>
      </c>
      <c r="I8257" s="17">
        <v>10</v>
      </c>
      <c r="J8257" t="s" s="11">
        <v>20</v>
      </c>
      <c r="K8257" s="15"/>
      <c r="L8257" t="s" s="16">
        <f>HYPERLINK("http://csr.bu.edu/ftp/asl/asllvd/demos/verify_start_end_handshape_annotations//test_auto_move//signs_mov_separ_signers/Liz_2195.mov","MOV")</f>
        <v>21</v>
      </c>
      <c r="M8257" t="s" s="10">
        <v>36</v>
      </c>
      <c r="N8257" s="17">
        <v>23</v>
      </c>
      <c r="O8257" s="18">
        <v>2435</v>
      </c>
      <c r="P8257" s="18">
        <v>2490</v>
      </c>
      <c r="Q8257" s="15"/>
      <c r="R8257" t="s" s="16">
        <f>HYPERLINK("http://secrets.rutgers.edu:8080/data/asl-ftp/asllvd/demos/verify_start_end_handshape_annotations//test_auto_move//signs_mov_separ_signers/Liz_2195.mov","MOV")</f>
        <v>21</v>
      </c>
    </row>
    <row r="8258" s="2" customFormat="1" ht="13.5" customHeight="1">
      <c r="B8258" s="13"/>
      <c r="C8258" t="s" s="9">
        <v>30</v>
      </c>
      <c r="D8258" t="s" s="8">
        <v>2954</v>
      </c>
      <c r="E8258" t="s" s="9">
        <v>2954</v>
      </c>
      <c r="F8258" s="19">
        <v>10</v>
      </c>
      <c r="G8258" s="17">
        <v>10</v>
      </c>
      <c r="H8258" s="19">
        <v>10</v>
      </c>
      <c r="I8258" s="17">
        <v>10</v>
      </c>
      <c r="J8258" t="s" s="11">
        <v>20</v>
      </c>
      <c r="K8258" t="s" s="16">
        <f>HYPERLINK("http://csr.bu.edu/ftp/asl/asllvd/demos/verify_start_end_handshape_annotations//test_auto_move//signs_mov/2195.mov","MOV")</f>
        <v>21</v>
      </c>
      <c r="L8258" t="s" s="16">
        <f>HYPERLINK("http://csr.bu.edu/ftp/asl/asllvd/demos/verify_start_end_handshape_annotations//test_auto_move//signs_mov_separ_signers/Brady_2195.mov","MOV")</f>
        <v>21</v>
      </c>
      <c r="M8258" t="s" s="10">
        <v>40</v>
      </c>
      <c r="N8258" s="17">
        <v>73</v>
      </c>
      <c r="O8258" s="18">
        <v>2585</v>
      </c>
      <c r="P8258" s="18">
        <v>2610</v>
      </c>
      <c r="Q8258" t="s" s="16">
        <f>HYPERLINK("http://secrets.rutgers.edu:8080/data/asl-ftp/asllvd/demos/verify_start_end_handshape_annotations//test_auto_move//signs_mov/2195.mov","MOV")</f>
        <v>21</v>
      </c>
      <c r="R8258" t="s" s="16">
        <f>HYPERLINK("http://secrets.rutgers.edu:8080/data/asl-ftp/asllvd/demos/verify_start_end_handshape_annotations//test_auto_move//signs_mov_separ_signers/Brady_2195.mov","MOV")</f>
        <v>21</v>
      </c>
    </row>
    <row r="8259" s="2" customFormat="1" ht="13.5" customHeight="1">
      <c r="B8259" s="13"/>
      <c r="C8259" t="s" s="9">
        <v>41</v>
      </c>
      <c r="D8259" t="s" s="8">
        <v>2954</v>
      </c>
      <c r="E8259" t="s" s="9">
        <v>2955</v>
      </c>
      <c r="F8259" s="19">
        <v>10</v>
      </c>
      <c r="G8259" s="17">
        <v>10</v>
      </c>
      <c r="H8259" s="19">
        <v>10</v>
      </c>
      <c r="I8259" s="17">
        <v>10</v>
      </c>
      <c r="J8259" t="s" s="11">
        <v>20</v>
      </c>
      <c r="K8259" s="15"/>
      <c r="L8259" t="s" s="16">
        <f>HYPERLINK("http://csr.bu.edu/ftp/asl/asllvd/demos/verify_start_end_handshape_annotations//test_auto_move//signs_mov_separ_signers/Lana_2195.mov","MOV")</f>
        <v>21</v>
      </c>
      <c r="M8259" t="s" s="10">
        <v>42</v>
      </c>
      <c r="N8259" s="17">
        <v>25</v>
      </c>
      <c r="O8259" s="18">
        <v>206</v>
      </c>
      <c r="P8259" s="18">
        <v>253</v>
      </c>
      <c r="Q8259" s="15"/>
      <c r="R8259" t="s" s="16">
        <f>HYPERLINK("http://secrets.rutgers.edu:8080/data/asl-ftp/asllvd/demos/verify_start_end_handshape_annotations//test_auto_move//signs_mov_separ_signers/Lana_2195.mov","MOV")</f>
        <v>21</v>
      </c>
    </row>
    <row r="8260" s="2" customFormat="1" ht="13.5" customHeight="1">
      <c r="B8260" s="13"/>
      <c r="C8260" t="s" s="9">
        <v>43</v>
      </c>
      <c r="D8260" t="s" s="8">
        <v>2954</v>
      </c>
      <c r="E8260" t="s" s="9">
        <v>2955</v>
      </c>
      <c r="F8260" s="19">
        <v>10</v>
      </c>
      <c r="G8260" s="17">
        <v>10</v>
      </c>
      <c r="H8260" s="19">
        <v>10</v>
      </c>
      <c r="I8260" s="17">
        <v>10</v>
      </c>
      <c r="J8260" t="s" s="11">
        <v>20</v>
      </c>
      <c r="K8260" s="15"/>
      <c r="L8260" t="s" s="16">
        <f>HYPERLINK("http://csr.bu.edu/ftp/asl/asllvd/demos/verify_start_end_handshape_annotations//test_auto_move//signs_mov_separ_signers/Dana_2195.mov","MOV")</f>
        <v>21</v>
      </c>
      <c r="M8260" t="s" s="10">
        <v>44</v>
      </c>
      <c r="N8260" s="17">
        <v>27</v>
      </c>
      <c r="O8260" s="18">
        <v>164</v>
      </c>
      <c r="P8260" s="18">
        <v>231</v>
      </c>
      <c r="Q8260" s="15"/>
      <c r="R8260" t="s" s="16">
        <f>HYPERLINK("http://secrets.rutgers.edu:8080/data/asl-ftp/asllvd/demos/verify_start_end_handshape_annotations//test_auto_move//signs_mov_separ_signers/Dana_2195.mov","MOV")</f>
        <v>21</v>
      </c>
    </row>
    <row r="8261" s="2" customFormat="1" ht="13.5" customHeight="1">
      <c r="B8261" t="s" s="8">
        <v>2956</v>
      </c>
      <c r="C8261" t="s" s="9">
        <v>14</v>
      </c>
      <c r="D8261" t="s" s="8">
        <v>14</v>
      </c>
      <c r="E8261" t="s" s="9">
        <v>14</v>
      </c>
      <c r="F8261" t="s" s="10">
        <v>14</v>
      </c>
      <c r="G8261" t="s" s="11">
        <v>14</v>
      </c>
      <c r="H8261" t="s" s="10">
        <v>14</v>
      </c>
      <c r="I8261" t="s" s="11">
        <v>14</v>
      </c>
      <c r="J8261" t="s" s="11">
        <v>14</v>
      </c>
      <c r="K8261" t="s" s="12">
        <v>14</v>
      </c>
      <c r="L8261" t="s" s="12">
        <v>14</v>
      </c>
      <c r="M8261" t="s" s="10">
        <v>14</v>
      </c>
      <c r="N8261" t="s" s="11">
        <v>14</v>
      </c>
      <c r="O8261" t="s" s="8">
        <v>14</v>
      </c>
      <c r="P8261" t="s" s="8">
        <v>14</v>
      </c>
      <c r="Q8261" t="s" s="12">
        <v>14</v>
      </c>
      <c r="R8261" t="s" s="12">
        <v>14</v>
      </c>
    </row>
    <row r="8262" s="2" customFormat="1" ht="13.5" customHeight="1">
      <c r="B8262" s="13"/>
      <c r="C8262" t="s" s="9">
        <v>16</v>
      </c>
      <c r="D8262" t="s" s="8">
        <v>2956</v>
      </c>
      <c r="E8262" t="s" s="9">
        <v>2957</v>
      </c>
      <c r="F8262" t="s" s="10">
        <v>152</v>
      </c>
      <c r="G8262" t="s" s="11">
        <v>152</v>
      </c>
      <c r="H8262" t="s" s="10">
        <v>152</v>
      </c>
      <c r="I8262" t="s" s="11">
        <v>152</v>
      </c>
      <c r="J8262" t="s" s="11">
        <v>20</v>
      </c>
      <c r="K8262" s="15"/>
      <c r="L8262" t="s" s="16">
        <f>HYPERLINK("http://csr.bu.edu/ftp/asl/asllvd/demos/verify_start_end_handshape_annotations//test_auto_move//signs_mov_separ_signers/Liz_15413.mov","MOV")</f>
        <v>21</v>
      </c>
      <c r="M8262" t="s" s="10">
        <v>22</v>
      </c>
      <c r="N8262" s="17">
        <v>42</v>
      </c>
      <c r="O8262" s="18">
        <v>1880</v>
      </c>
      <c r="P8262" s="18">
        <v>1935</v>
      </c>
      <c r="Q8262" s="15"/>
      <c r="R8262" t="s" s="16">
        <f>HYPERLINK("http://secrets.rutgers.edu:8080/data/asl-ftp/asllvd/demos/verify_start_end_handshape_annotations//test_auto_move//signs_mov_separ_signers/Liz_15413.mov","MOV")</f>
        <v>21</v>
      </c>
    </row>
    <row r="8263" s="2" customFormat="1" ht="13.5" customHeight="1">
      <c r="B8263" s="13"/>
      <c r="C8263" t="s" s="9">
        <v>23</v>
      </c>
      <c r="D8263" t="s" s="8">
        <v>2956</v>
      </c>
      <c r="E8263" t="s" s="9">
        <v>2957</v>
      </c>
      <c r="F8263" t="s" s="10">
        <v>55</v>
      </c>
      <c r="G8263" t="s" s="11">
        <v>55</v>
      </c>
      <c r="H8263" t="s" s="10">
        <v>55</v>
      </c>
      <c r="I8263" t="s" s="11">
        <v>55</v>
      </c>
      <c r="J8263" t="s" s="11">
        <v>20</v>
      </c>
      <c r="K8263" t="s" s="16">
        <f>HYPERLINK("http://csr.bu.edu/ftp/asl/asllvd/demos/verify_start_end_handshape_annotations//test_auto_move//signs_mov/15413.mov","MOV")</f>
        <v>21</v>
      </c>
      <c r="L8263" t="s" s="16">
        <f>HYPERLINK("http://csr.bu.edu/ftp/asl/asllvd/demos/verify_start_end_handshape_annotations//test_auto_move//signs_mov_separ_signers/Tyler_15413.mov","MOV")</f>
        <v>21</v>
      </c>
      <c r="M8263" t="s" s="10">
        <v>26</v>
      </c>
      <c r="N8263" s="17">
        <v>27</v>
      </c>
      <c r="O8263" s="18">
        <v>2207</v>
      </c>
      <c r="P8263" s="18">
        <v>2260</v>
      </c>
      <c r="Q8263" t="s" s="16">
        <f>HYPERLINK("http://secrets.rutgers.edu:8080/data/asl-ftp/asllvd/demos/verify_start_end_handshape_annotations//test_auto_move//signs_mov/15413.mov","MOV")</f>
        <v>21</v>
      </c>
      <c r="R8263" t="s" s="16">
        <f>HYPERLINK("http://secrets.rutgers.edu:8080/data/asl-ftp/asllvd/demos/verify_start_end_handshape_annotations//test_auto_move//signs_mov_separ_signers/Tyler_15413.mov","MOV")</f>
        <v>21</v>
      </c>
    </row>
    <row r="8264" s="2" customFormat="1" ht="13.5" customHeight="1">
      <c r="B8264" s="13"/>
      <c r="C8264" t="s" s="9">
        <v>27</v>
      </c>
      <c r="D8264" t="s" s="8">
        <v>2956</v>
      </c>
      <c r="E8264" t="s" s="9">
        <v>2957</v>
      </c>
      <c r="F8264" t="s" s="10">
        <v>55</v>
      </c>
      <c r="G8264" t="s" s="11">
        <v>55</v>
      </c>
      <c r="H8264" t="s" s="10">
        <v>55</v>
      </c>
      <c r="I8264" t="s" s="11">
        <v>55</v>
      </c>
      <c r="J8264" t="s" s="11">
        <v>20</v>
      </c>
      <c r="K8264" s="15"/>
      <c r="L8264" t="s" s="16">
        <f>HYPERLINK("http://csr.bu.edu/ftp/asl/asllvd/demos/verify_start_end_handshape_annotations//test_auto_move//signs_mov_separ_signers/Naomi_15413.mov","MOV")</f>
        <v>21</v>
      </c>
      <c r="M8264" t="s" s="10">
        <v>29</v>
      </c>
      <c r="N8264" s="17">
        <v>28</v>
      </c>
      <c r="O8264" s="18">
        <v>1985</v>
      </c>
      <c r="P8264" s="18">
        <v>2036</v>
      </c>
      <c r="Q8264" s="15"/>
      <c r="R8264" t="s" s="16">
        <f>HYPERLINK("http://secrets.rutgers.edu:8080/data/asl-ftp/asllvd/demos/verify_start_end_handshape_annotations//test_auto_move//signs_mov_separ_signers/Naomi_15413.mov","MOV")</f>
        <v>21</v>
      </c>
    </row>
    <row r="8265" s="2" customFormat="1" ht="13.5" customHeight="1">
      <c r="B8265" s="13"/>
      <c r="C8265" t="s" s="9">
        <v>30</v>
      </c>
      <c r="D8265" t="s" s="8">
        <v>2956</v>
      </c>
      <c r="E8265" t="s" s="9">
        <v>2957</v>
      </c>
      <c r="F8265" t="s" s="10">
        <v>152</v>
      </c>
      <c r="G8265" t="s" s="11">
        <v>152</v>
      </c>
      <c r="H8265" t="s" s="10">
        <v>152</v>
      </c>
      <c r="I8265" t="s" s="11">
        <v>152</v>
      </c>
      <c r="J8265" t="s" s="11">
        <v>20</v>
      </c>
      <c r="K8265" s="15"/>
      <c r="L8265" t="s" s="16">
        <f>HYPERLINK("http://csr.bu.edu/ftp/asl/asllvd/demos/verify_start_end_handshape_annotations//test_auto_move//signs_mov_separ_signers/Brady_15413.mov","MOV")</f>
        <v>21</v>
      </c>
      <c r="M8265" t="s" s="10">
        <v>31</v>
      </c>
      <c r="N8265" s="17">
        <v>21</v>
      </c>
      <c r="O8265" s="18">
        <v>6667</v>
      </c>
      <c r="P8265" s="18">
        <v>6700</v>
      </c>
      <c r="Q8265" s="15"/>
      <c r="R8265" t="s" s="16">
        <f>HYPERLINK("http://secrets.rutgers.edu:8080/data/asl-ftp/asllvd/demos/verify_start_end_handshape_annotations//test_auto_move//signs_mov_separ_signers/Brady_15413.mov","MOV")</f>
        <v>21</v>
      </c>
    </row>
    <row r="8266" s="2" customFormat="1" ht="13.5" customHeight="1">
      <c r="B8266" t="s" s="8">
        <v>2958</v>
      </c>
      <c r="C8266" t="s" s="9">
        <v>14</v>
      </c>
      <c r="D8266" t="s" s="8">
        <v>14</v>
      </c>
      <c r="E8266" t="s" s="9">
        <v>14</v>
      </c>
      <c r="F8266" t="s" s="10">
        <v>14</v>
      </c>
      <c r="G8266" t="s" s="11">
        <v>14</v>
      </c>
      <c r="H8266" t="s" s="10">
        <v>14</v>
      </c>
      <c r="I8266" t="s" s="11">
        <v>14</v>
      </c>
      <c r="J8266" t="s" s="11">
        <v>14</v>
      </c>
      <c r="K8266" t="s" s="12">
        <v>14</v>
      </c>
      <c r="L8266" t="s" s="12">
        <v>14</v>
      </c>
      <c r="M8266" t="s" s="10">
        <v>14</v>
      </c>
      <c r="N8266" t="s" s="11">
        <v>14</v>
      </c>
      <c r="O8266" t="s" s="8">
        <v>14</v>
      </c>
      <c r="P8266" t="s" s="8">
        <v>14</v>
      </c>
      <c r="Q8266" t="s" s="12">
        <v>14</v>
      </c>
      <c r="R8266" t="s" s="12">
        <v>14</v>
      </c>
    </row>
    <row r="8267" s="2" customFormat="1" ht="13.5" customHeight="1">
      <c r="B8267" s="13"/>
      <c r="C8267" t="s" s="9">
        <v>16</v>
      </c>
      <c r="D8267" t="s" s="8">
        <v>2958</v>
      </c>
      <c r="E8267" t="s" s="9">
        <v>2959</v>
      </c>
      <c r="F8267" t="s" s="10">
        <v>185</v>
      </c>
      <c r="G8267" t="s" s="11">
        <v>185</v>
      </c>
      <c r="H8267" t="s" s="10">
        <v>185</v>
      </c>
      <c r="I8267" t="s" s="11">
        <v>185</v>
      </c>
      <c r="J8267" t="s" s="11">
        <v>20</v>
      </c>
      <c r="K8267" s="15"/>
      <c r="L8267" t="s" s="16">
        <f>HYPERLINK("http://csr.bu.edu/ftp/asl/asllvd/demos/verify_start_end_handshape_annotations//test_auto_move//signs_mov_separ_signers/Liz_15415.mov","MOV")</f>
        <v>21</v>
      </c>
      <c r="M8267" t="s" s="10">
        <v>22</v>
      </c>
      <c r="N8267" s="17">
        <v>73</v>
      </c>
      <c r="O8267" s="18">
        <v>885</v>
      </c>
      <c r="P8267" s="18">
        <v>930</v>
      </c>
      <c r="Q8267" s="15"/>
      <c r="R8267" t="s" s="16">
        <f>HYPERLINK("http://secrets.rutgers.edu:8080/data/asl-ftp/asllvd/demos/verify_start_end_handshape_annotations//test_auto_move//signs_mov_separ_signers/Liz_15415.mov","MOV")</f>
        <v>21</v>
      </c>
    </row>
    <row r="8268" s="2" customFormat="1" ht="13.5" customHeight="1">
      <c r="B8268" s="13"/>
      <c r="C8268" t="s" s="9">
        <v>23</v>
      </c>
      <c r="D8268" t="s" s="8">
        <v>2958</v>
      </c>
      <c r="E8268" t="s" s="9">
        <v>2959</v>
      </c>
      <c r="F8268" t="s" s="10">
        <v>185</v>
      </c>
      <c r="G8268" t="s" s="11">
        <v>185</v>
      </c>
      <c r="H8268" t="s" s="10">
        <v>185</v>
      </c>
      <c r="I8268" t="s" s="11">
        <v>185</v>
      </c>
      <c r="J8268" t="s" s="11">
        <v>20</v>
      </c>
      <c r="K8268" s="15"/>
      <c r="L8268" t="s" s="16">
        <f>HYPERLINK("http://csr.bu.edu/ftp/asl/asllvd/demos/verify_start_end_handshape_annotations//test_auto_move//signs_mov_separ_signers/Tyler_15415.mov","MOV")</f>
        <v>21</v>
      </c>
      <c r="M8268" t="s" s="10">
        <v>26</v>
      </c>
      <c r="N8268" s="17">
        <v>44</v>
      </c>
      <c r="O8268" s="18">
        <v>5120</v>
      </c>
      <c r="P8268" s="18">
        <v>5181</v>
      </c>
      <c r="Q8268" s="15"/>
      <c r="R8268" t="s" s="16">
        <f>HYPERLINK("http://secrets.rutgers.edu:8080/data/asl-ftp/asllvd/demos/verify_start_end_handshape_annotations//test_auto_move//signs_mov_separ_signers/Tyler_15415.mov","MOV")</f>
        <v>21</v>
      </c>
    </row>
    <row r="8269" s="2" customFormat="1" ht="13.5" customHeight="1">
      <c r="B8269" s="13"/>
      <c r="C8269" t="s" s="9">
        <v>27</v>
      </c>
      <c r="D8269" t="s" s="8">
        <v>2958</v>
      </c>
      <c r="E8269" t="s" s="9">
        <v>2959</v>
      </c>
      <c r="F8269" t="s" s="10">
        <v>185</v>
      </c>
      <c r="G8269" t="s" s="11">
        <v>185</v>
      </c>
      <c r="H8269" t="s" s="10">
        <v>185</v>
      </c>
      <c r="I8269" t="s" s="11">
        <v>185</v>
      </c>
      <c r="J8269" t="s" s="11">
        <v>20</v>
      </c>
      <c r="K8269" t="s" s="16">
        <f>HYPERLINK("http://csr.bu.edu/ftp/asl/asllvd/demos/verify_start_end_handshape_annotations//test_auto_move//signs_mov/15415.mov","MOV")</f>
        <v>21</v>
      </c>
      <c r="L8269" t="s" s="16">
        <f>HYPERLINK("http://csr.bu.edu/ftp/asl/asllvd/demos/verify_start_end_handshape_annotations//test_auto_move//signs_mov_separ_signers/Naomi_15415.mov","MOV")</f>
        <v>21</v>
      </c>
      <c r="M8269" t="s" s="10">
        <v>29</v>
      </c>
      <c r="N8269" s="17">
        <v>46</v>
      </c>
      <c r="O8269" s="18">
        <v>3290</v>
      </c>
      <c r="P8269" s="18">
        <v>3345</v>
      </c>
      <c r="Q8269" t="s" s="16">
        <f>HYPERLINK("http://secrets.rutgers.edu:8080/data/asl-ftp/asllvd/demos/verify_start_end_handshape_annotations//test_auto_move//signs_mov/15415.mov","MOV")</f>
        <v>21</v>
      </c>
      <c r="R8269" t="s" s="16">
        <f>HYPERLINK("http://secrets.rutgers.edu:8080/data/asl-ftp/asllvd/demos/verify_start_end_handshape_annotations//test_auto_move//signs_mov_separ_signers/Naomi_15415.mov","MOV")</f>
        <v>21</v>
      </c>
    </row>
    <row r="8270" s="2" customFormat="1" ht="13.5" customHeight="1">
      <c r="B8270" s="13"/>
      <c r="C8270" t="s" s="9">
        <v>30</v>
      </c>
      <c r="D8270" t="s" s="8">
        <v>2958</v>
      </c>
      <c r="E8270" t="s" s="9">
        <v>2959</v>
      </c>
      <c r="F8270" t="s" s="10">
        <v>185</v>
      </c>
      <c r="G8270" t="s" s="11">
        <v>185</v>
      </c>
      <c r="H8270" t="s" s="10">
        <v>185</v>
      </c>
      <c r="I8270" t="s" s="11">
        <v>185</v>
      </c>
      <c r="J8270" t="s" s="11">
        <v>20</v>
      </c>
      <c r="K8270" s="15"/>
      <c r="L8270" t="s" s="16">
        <f>HYPERLINK("http://csr.bu.edu/ftp/asl/asllvd/demos/verify_start_end_handshape_annotations//test_auto_move//signs_mov_separ_signers/Brady_15415.mov","MOV")</f>
        <v>21</v>
      </c>
      <c r="M8270" t="s" s="10">
        <v>31</v>
      </c>
      <c r="N8270" s="17">
        <v>27</v>
      </c>
      <c r="O8270" s="18">
        <v>3967</v>
      </c>
      <c r="P8270" s="18">
        <v>4000</v>
      </c>
      <c r="Q8270" s="15"/>
      <c r="R8270" t="s" s="16">
        <f>HYPERLINK("http://secrets.rutgers.edu:8080/data/asl-ftp/asllvd/demos/verify_start_end_handshape_annotations//test_auto_move//signs_mov_separ_signers/Brady_15415.mov","MOV")</f>
        <v>21</v>
      </c>
    </row>
    <row r="8271" s="2" customFormat="1" ht="13.5" customHeight="1">
      <c r="B8271" s="13"/>
      <c r="C8271" t="s" s="9">
        <v>41</v>
      </c>
      <c r="D8271" t="s" s="8">
        <v>2958</v>
      </c>
      <c r="E8271" t="s" s="9">
        <v>2959</v>
      </c>
      <c r="F8271" t="s" s="10">
        <v>185</v>
      </c>
      <c r="G8271" t="s" s="11">
        <v>185</v>
      </c>
      <c r="H8271" t="s" s="10">
        <v>185</v>
      </c>
      <c r="I8271" t="s" s="11">
        <v>185</v>
      </c>
      <c r="J8271" t="s" s="11">
        <v>20</v>
      </c>
      <c r="K8271" s="15"/>
      <c r="L8271" t="s" s="16">
        <f>HYPERLINK("http://csr.bu.edu/ftp/asl/asllvd/demos/verify_start_end_handshape_annotations//test_auto_move//signs_mov_separ_signers/Lana_15415.mov","MOV")</f>
        <v>21</v>
      </c>
      <c r="M8271" t="s" s="10">
        <v>42</v>
      </c>
      <c r="N8271" s="17">
        <v>5</v>
      </c>
      <c r="O8271" s="18">
        <v>1165</v>
      </c>
      <c r="P8271" s="18">
        <v>1212</v>
      </c>
      <c r="Q8271" s="15"/>
      <c r="R8271" t="s" s="16">
        <f>HYPERLINK("http://secrets.rutgers.edu:8080/data/asl-ftp/asllvd/demos/verify_start_end_handshape_annotations//test_auto_move//signs_mov_separ_signers/Lana_15415.mov","MOV")</f>
        <v>21</v>
      </c>
    </row>
    <row r="8272" s="2" customFormat="1" ht="13.5" customHeight="1">
      <c r="B8272" s="13"/>
      <c r="C8272" t="s" s="9">
        <v>43</v>
      </c>
      <c r="D8272" t="s" s="8">
        <v>2958</v>
      </c>
      <c r="E8272" t="s" s="9">
        <v>2959</v>
      </c>
      <c r="F8272" t="s" s="10">
        <v>185</v>
      </c>
      <c r="G8272" t="s" s="11">
        <v>185</v>
      </c>
      <c r="H8272" t="s" s="10">
        <v>185</v>
      </c>
      <c r="I8272" t="s" s="11">
        <v>185</v>
      </c>
      <c r="J8272" t="s" s="11">
        <v>20</v>
      </c>
      <c r="K8272" s="15"/>
      <c r="L8272" t="s" s="16">
        <f>HYPERLINK("http://csr.bu.edu/ftp/asl/asllvd/demos/verify_start_end_handshape_annotations//test_auto_move//signs_mov_separ_signers/Dana_15415.mov","MOV")</f>
        <v>21</v>
      </c>
      <c r="M8272" t="s" s="10">
        <v>44</v>
      </c>
      <c r="N8272" s="17">
        <v>9</v>
      </c>
      <c r="O8272" s="18">
        <v>1258</v>
      </c>
      <c r="P8272" s="18">
        <v>1312</v>
      </c>
      <c r="Q8272" s="15"/>
      <c r="R8272" t="s" s="16">
        <f>HYPERLINK("http://secrets.rutgers.edu:8080/data/asl-ftp/asllvd/demos/verify_start_end_handshape_annotations//test_auto_move//signs_mov_separ_signers/Dana_15415.mov","MOV")</f>
        <v>21</v>
      </c>
    </row>
    <row r="8273" s="2" customFormat="1" ht="13.5" customHeight="1">
      <c r="B8273" t="s" s="8">
        <v>2960</v>
      </c>
      <c r="C8273" t="s" s="9">
        <v>14</v>
      </c>
      <c r="D8273" t="s" s="8">
        <v>14</v>
      </c>
      <c r="E8273" t="s" s="9">
        <v>14</v>
      </c>
      <c r="F8273" t="s" s="10">
        <v>14</v>
      </c>
      <c r="G8273" t="s" s="11">
        <v>14</v>
      </c>
      <c r="H8273" t="s" s="10">
        <v>14</v>
      </c>
      <c r="I8273" t="s" s="11">
        <v>14</v>
      </c>
      <c r="J8273" t="s" s="11">
        <v>14</v>
      </c>
      <c r="K8273" t="s" s="12">
        <v>14</v>
      </c>
      <c r="L8273" t="s" s="12">
        <v>14</v>
      </c>
      <c r="M8273" t="s" s="10">
        <v>14</v>
      </c>
      <c r="N8273" t="s" s="11">
        <v>14</v>
      </c>
      <c r="O8273" t="s" s="8">
        <v>14</v>
      </c>
      <c r="P8273" t="s" s="8">
        <v>14</v>
      </c>
      <c r="Q8273" t="s" s="12">
        <v>14</v>
      </c>
      <c r="R8273" t="s" s="12">
        <v>14</v>
      </c>
    </row>
    <row r="8274" s="2" customFormat="1" ht="13.5" customHeight="1">
      <c r="B8274" s="13"/>
      <c r="C8274" t="s" s="9">
        <v>16</v>
      </c>
      <c r="D8274" t="s" s="8">
        <v>2960</v>
      </c>
      <c r="E8274" t="s" s="9">
        <v>2960</v>
      </c>
      <c r="F8274" t="s" s="10">
        <v>229</v>
      </c>
      <c r="G8274" s="14"/>
      <c r="H8274" t="s" s="10">
        <v>240</v>
      </c>
      <c r="I8274" s="14"/>
      <c r="J8274" t="s" s="11">
        <v>20</v>
      </c>
      <c r="K8274" t="s" s="16">
        <f>HYPERLINK("http://csr.bu.edu/ftp/asl/asllvd/demos/verify_start_end_handshape_annotations//test_auto_move//signs_mov/2197.mov","MOV")</f>
        <v>21</v>
      </c>
      <c r="L8274" t="s" s="16">
        <f>HYPERLINK("http://csr.bu.edu/ftp/asl/asllvd/demos/verify_start_end_handshape_annotations//test_auto_move//signs_mov_separ_signers/Liz_2197.mov","MOV")</f>
        <v>21</v>
      </c>
      <c r="M8274" t="s" s="10">
        <v>36</v>
      </c>
      <c r="N8274" s="17">
        <v>23</v>
      </c>
      <c r="O8274" s="18">
        <v>2900</v>
      </c>
      <c r="P8274" s="18">
        <v>2932</v>
      </c>
      <c r="Q8274" t="s" s="16">
        <f>HYPERLINK("http://secrets.rutgers.edu:8080/data/asl-ftp/asllvd/demos/verify_start_end_handshape_annotations//test_auto_move//signs_mov/2197.mov","MOV")</f>
        <v>21</v>
      </c>
      <c r="R8274" t="s" s="16">
        <f>HYPERLINK("http://secrets.rutgers.edu:8080/data/asl-ftp/asllvd/demos/verify_start_end_handshape_annotations//test_auto_move//signs_mov_separ_signers/Liz_2197.mov","MOV")</f>
        <v>21</v>
      </c>
    </row>
    <row r="8275" s="2" customFormat="1" ht="13.5" customHeight="1">
      <c r="B8275" s="13"/>
      <c r="C8275" t="s" s="9">
        <v>30</v>
      </c>
      <c r="D8275" t="s" s="8">
        <v>2960</v>
      </c>
      <c r="E8275" t="s" s="9">
        <v>2960</v>
      </c>
      <c r="F8275" t="s" s="10">
        <v>229</v>
      </c>
      <c r="G8275" s="14"/>
      <c r="H8275" t="s" s="10">
        <v>240</v>
      </c>
      <c r="I8275" s="14"/>
      <c r="J8275" t="s" s="11">
        <v>20</v>
      </c>
      <c r="K8275" s="15"/>
      <c r="L8275" t="s" s="16">
        <f>HYPERLINK("http://csr.bu.edu/ftp/asl/asllvd/demos/verify_start_end_handshape_annotations//test_auto_move//signs_mov_separ_signers/Brady_2197.mov","MOV")</f>
        <v>21</v>
      </c>
      <c r="M8275" t="s" s="10">
        <v>40</v>
      </c>
      <c r="N8275" s="17">
        <v>73</v>
      </c>
      <c r="O8275" s="18">
        <v>3140</v>
      </c>
      <c r="P8275" s="18">
        <v>3179</v>
      </c>
      <c r="Q8275" s="15"/>
      <c r="R8275" t="s" s="16">
        <f>HYPERLINK("http://secrets.rutgers.edu:8080/data/asl-ftp/asllvd/demos/verify_start_end_handshape_annotations//test_auto_move//signs_mov_separ_signers/Brady_2197.mov","MOV")</f>
        <v>21</v>
      </c>
    </row>
    <row r="8276" s="2" customFormat="1" ht="13.5" customHeight="1">
      <c r="B8276" t="s" s="8">
        <v>2961</v>
      </c>
      <c r="C8276" t="s" s="9">
        <v>14</v>
      </c>
      <c r="D8276" t="s" s="8">
        <v>14</v>
      </c>
      <c r="E8276" t="s" s="9">
        <v>14</v>
      </c>
      <c r="F8276" t="s" s="10">
        <v>14</v>
      </c>
      <c r="G8276" t="s" s="11">
        <v>14</v>
      </c>
      <c r="H8276" t="s" s="10">
        <v>14</v>
      </c>
      <c r="I8276" t="s" s="11">
        <v>14</v>
      </c>
      <c r="J8276" t="s" s="11">
        <v>14</v>
      </c>
      <c r="K8276" t="s" s="12">
        <v>14</v>
      </c>
      <c r="L8276" t="s" s="12">
        <v>14</v>
      </c>
      <c r="M8276" t="s" s="10">
        <v>14</v>
      </c>
      <c r="N8276" t="s" s="11">
        <v>14</v>
      </c>
      <c r="O8276" t="s" s="8">
        <v>14</v>
      </c>
      <c r="P8276" t="s" s="8">
        <v>14</v>
      </c>
      <c r="Q8276" t="s" s="12">
        <v>14</v>
      </c>
      <c r="R8276" t="s" s="12">
        <v>14</v>
      </c>
    </row>
    <row r="8277" s="2" customFormat="1" ht="13.5" customHeight="1">
      <c r="B8277" s="13"/>
      <c r="C8277" t="s" s="9">
        <v>16</v>
      </c>
      <c r="D8277" t="s" s="8">
        <v>2961</v>
      </c>
      <c r="E8277" t="s" s="9">
        <v>2962</v>
      </c>
      <c r="F8277" t="s" s="10">
        <v>229</v>
      </c>
      <c r="G8277" t="s" s="11">
        <v>229</v>
      </c>
      <c r="H8277" t="s" s="10">
        <v>240</v>
      </c>
      <c r="I8277" t="s" s="11">
        <v>240</v>
      </c>
      <c r="J8277" t="s" s="11">
        <v>20</v>
      </c>
      <c r="K8277" s="15"/>
      <c r="L8277" t="s" s="16">
        <f>HYPERLINK("http://csr.bu.edu/ftp/asl/asllvd/demos/verify_start_end_handshape_annotations//test_auto_move//signs_mov_separ_signers/Liz_16063.mov","MOV")</f>
        <v>21</v>
      </c>
      <c r="M8277" t="s" s="10">
        <v>34</v>
      </c>
      <c r="N8277" s="17">
        <v>51</v>
      </c>
      <c r="O8277" s="18">
        <v>3010</v>
      </c>
      <c r="P8277" s="18">
        <v>3055</v>
      </c>
      <c r="Q8277" s="15"/>
      <c r="R8277" t="s" s="16">
        <f>HYPERLINK("http://secrets.rutgers.edu:8080/data/asl-ftp/asllvd/demos/verify_start_end_handshape_annotations//test_auto_move//signs_mov_separ_signers/Liz_16063.mov","MOV")</f>
        <v>21</v>
      </c>
    </row>
    <row r="8278" s="2" customFormat="1" ht="13.5" customHeight="1">
      <c r="B8278" s="13"/>
      <c r="C8278" t="s" s="9">
        <v>23</v>
      </c>
      <c r="D8278" t="s" s="8">
        <v>2961</v>
      </c>
      <c r="E8278" t="s" s="9">
        <v>2962</v>
      </c>
      <c r="F8278" t="s" s="10">
        <v>229</v>
      </c>
      <c r="G8278" t="s" s="11">
        <v>229</v>
      </c>
      <c r="H8278" t="s" s="10">
        <v>240</v>
      </c>
      <c r="I8278" t="s" s="11">
        <v>240</v>
      </c>
      <c r="J8278" t="s" s="11">
        <v>20</v>
      </c>
      <c r="K8278" t="s" s="16">
        <f>HYPERLINK("http://csr.bu.edu/ftp/asl/asllvd/demos/verify_start_end_handshape_annotations//test_auto_move//signs_mov/16063.mov","MOV")</f>
        <v>21</v>
      </c>
      <c r="L8278" t="s" s="16">
        <f>HYPERLINK("http://csr.bu.edu/ftp/asl/asllvd/demos/verify_start_end_handshape_annotations//test_auto_move//signs_mov_separ_signers/Tyler_16063.mov","MOV")</f>
        <v>21</v>
      </c>
      <c r="M8278" t="s" s="10">
        <v>47</v>
      </c>
      <c r="N8278" s="17">
        <v>3</v>
      </c>
      <c r="O8278" s="18">
        <v>3750</v>
      </c>
      <c r="P8278" s="18">
        <v>3782</v>
      </c>
      <c r="Q8278" t="s" s="16">
        <f>HYPERLINK("http://secrets.rutgers.edu:8080/data/asl-ftp/asllvd/demos/verify_start_end_handshape_annotations//test_auto_move//signs_mov/16063.mov","MOV")</f>
        <v>21</v>
      </c>
      <c r="R8278" t="s" s="16">
        <f>HYPERLINK("http://secrets.rutgers.edu:8080/data/asl-ftp/asllvd/demos/verify_start_end_handshape_annotations//test_auto_move//signs_mov_separ_signers/Tyler_16063.mov","MOV")</f>
        <v>21</v>
      </c>
    </row>
    <row r="8279" s="2" customFormat="1" ht="13.5" customHeight="1">
      <c r="B8279" s="13"/>
      <c r="C8279" t="s" s="9">
        <v>27</v>
      </c>
      <c r="D8279" t="s" s="8">
        <v>2961</v>
      </c>
      <c r="E8279" t="s" s="9">
        <v>2962</v>
      </c>
      <c r="F8279" t="s" s="10">
        <v>229</v>
      </c>
      <c r="G8279" t="s" s="11">
        <v>229</v>
      </c>
      <c r="H8279" t="s" s="10">
        <v>240</v>
      </c>
      <c r="I8279" t="s" s="11">
        <v>240</v>
      </c>
      <c r="J8279" t="s" s="11">
        <v>20</v>
      </c>
      <c r="K8279" s="15"/>
      <c r="L8279" t="s" s="16">
        <f>HYPERLINK("http://csr.bu.edu/ftp/asl/asllvd/demos/verify_start_end_handshape_annotations//test_auto_move//signs_mov_separ_signers/Naomi_16063.mov","MOV")</f>
        <v>21</v>
      </c>
      <c r="M8279" t="s" s="10">
        <v>48</v>
      </c>
      <c r="N8279" s="17">
        <v>6</v>
      </c>
      <c r="O8279" s="18">
        <v>3481</v>
      </c>
      <c r="P8279" s="18">
        <v>3510</v>
      </c>
      <c r="Q8279" s="15"/>
      <c r="R8279" t="s" s="16">
        <f>HYPERLINK("http://secrets.rutgers.edu:8080/data/asl-ftp/asllvd/demos/verify_start_end_handshape_annotations//test_auto_move//signs_mov_separ_signers/Naomi_16063.mov","MOV")</f>
        <v>21</v>
      </c>
    </row>
    <row r="8280" s="2" customFormat="1" ht="13.5" customHeight="1">
      <c r="B8280" s="13"/>
      <c r="C8280" t="s" s="9">
        <v>30</v>
      </c>
      <c r="D8280" t="s" s="8">
        <v>2961</v>
      </c>
      <c r="E8280" t="s" s="9">
        <v>2962</v>
      </c>
      <c r="F8280" t="s" s="10">
        <v>229</v>
      </c>
      <c r="G8280" t="s" s="11">
        <v>229</v>
      </c>
      <c r="H8280" t="s" s="10">
        <v>240</v>
      </c>
      <c r="I8280" t="s" s="11">
        <v>240</v>
      </c>
      <c r="J8280" t="s" s="11">
        <v>20</v>
      </c>
      <c r="K8280" s="15"/>
      <c r="L8280" t="s" s="16">
        <f>HYPERLINK("http://csr.bu.edu/ftp/asl/asllvd/demos/verify_start_end_handshape_annotations//test_auto_move//signs_mov_separ_signers/Brady_16063.mov","MOV")</f>
        <v>21</v>
      </c>
      <c r="M8280" t="s" s="10">
        <v>39</v>
      </c>
      <c r="N8280" s="17">
        <v>50</v>
      </c>
      <c r="O8280" s="18">
        <v>4316</v>
      </c>
      <c r="P8280" s="18">
        <v>4347</v>
      </c>
      <c r="Q8280" s="15"/>
      <c r="R8280" t="s" s="16">
        <f>HYPERLINK("http://secrets.rutgers.edu:8080/data/asl-ftp/asllvd/demos/verify_start_end_handshape_annotations//test_auto_move//signs_mov_separ_signers/Brady_16063.mov","MOV")</f>
        <v>21</v>
      </c>
    </row>
    <row r="8281" s="2" customFormat="1" ht="13.5" customHeight="1">
      <c r="B8281" t="s" s="8">
        <v>2963</v>
      </c>
      <c r="C8281" t="s" s="9">
        <v>14</v>
      </c>
      <c r="D8281" t="s" s="8">
        <v>14</v>
      </c>
      <c r="E8281" t="s" s="9">
        <v>14</v>
      </c>
      <c r="F8281" t="s" s="10">
        <v>14</v>
      </c>
      <c r="G8281" t="s" s="11">
        <v>14</v>
      </c>
      <c r="H8281" t="s" s="10">
        <v>14</v>
      </c>
      <c r="I8281" t="s" s="11">
        <v>14</v>
      </c>
      <c r="J8281" t="s" s="11">
        <v>14</v>
      </c>
      <c r="K8281" t="s" s="12">
        <v>14</v>
      </c>
      <c r="L8281" t="s" s="12">
        <v>14</v>
      </c>
      <c r="M8281" t="s" s="10">
        <v>14</v>
      </c>
      <c r="N8281" t="s" s="11">
        <v>14</v>
      </c>
      <c r="O8281" t="s" s="8">
        <v>14</v>
      </c>
      <c r="P8281" t="s" s="8">
        <v>14</v>
      </c>
      <c r="Q8281" t="s" s="12">
        <v>14</v>
      </c>
      <c r="R8281" t="s" s="12">
        <v>14</v>
      </c>
    </row>
    <row r="8282" s="2" customFormat="1" ht="13.5" customHeight="1">
      <c r="B8282" s="13"/>
      <c r="C8282" t="s" s="9">
        <v>30</v>
      </c>
      <c r="D8282" t="s" s="8">
        <v>2963</v>
      </c>
      <c r="E8282" t="s" s="9">
        <v>2964</v>
      </c>
      <c r="F8282" t="s" s="10">
        <v>73</v>
      </c>
      <c r="G8282" t="s" s="11">
        <v>73</v>
      </c>
      <c r="H8282" t="s" s="10">
        <v>73</v>
      </c>
      <c r="I8282" t="s" s="11">
        <v>73</v>
      </c>
      <c r="J8282" t="s" s="11">
        <v>20</v>
      </c>
      <c r="K8282" t="s" s="16">
        <f>HYPERLINK("http://csr.bu.edu/ftp/asl/asllvd/demos/verify_start_end_handshape_annotations//test_auto_move//signs_mov/2200.mov","MOV")</f>
        <v>21</v>
      </c>
      <c r="L8282" t="s" s="16">
        <f>HYPERLINK("http://csr.bu.edu/ftp/asl/asllvd/demos/verify_start_end_handshape_annotations//test_auto_move//signs_mov_separ_signers/Brady_2200.mov","MOV")</f>
        <v>21</v>
      </c>
      <c r="M8282" t="s" s="10">
        <v>40</v>
      </c>
      <c r="N8282" s="17">
        <v>74</v>
      </c>
      <c r="O8282" s="18">
        <v>1176</v>
      </c>
      <c r="P8282" s="18">
        <v>1220</v>
      </c>
      <c r="Q8282" t="s" s="16">
        <f>HYPERLINK("http://secrets.rutgers.edu:8080/data/asl-ftp/asllvd/demos/verify_start_end_handshape_annotations//test_auto_move//signs_mov/2200.mov","MOV")</f>
        <v>21</v>
      </c>
      <c r="R8282" t="s" s="16">
        <f>HYPERLINK("http://secrets.rutgers.edu:8080/data/asl-ftp/asllvd/demos/verify_start_end_handshape_annotations//test_auto_move//signs_mov_separ_signers/Brady_2200.mov","MOV")</f>
        <v>21</v>
      </c>
    </row>
    <row r="8283" s="2" customFormat="1" ht="13.5" customHeight="1">
      <c r="B8283" t="s" s="8">
        <v>2965</v>
      </c>
      <c r="C8283" t="s" s="9">
        <v>14</v>
      </c>
      <c r="D8283" t="s" s="8">
        <v>14</v>
      </c>
      <c r="E8283" t="s" s="9">
        <v>14</v>
      </c>
      <c r="F8283" t="s" s="10">
        <v>14</v>
      </c>
      <c r="G8283" t="s" s="11">
        <v>14</v>
      </c>
      <c r="H8283" t="s" s="10">
        <v>14</v>
      </c>
      <c r="I8283" t="s" s="11">
        <v>14</v>
      </c>
      <c r="J8283" t="s" s="11">
        <v>14</v>
      </c>
      <c r="K8283" t="s" s="12">
        <v>14</v>
      </c>
      <c r="L8283" t="s" s="12">
        <v>14</v>
      </c>
      <c r="M8283" t="s" s="10">
        <v>14</v>
      </c>
      <c r="N8283" t="s" s="11">
        <v>14</v>
      </c>
      <c r="O8283" t="s" s="8">
        <v>14</v>
      </c>
      <c r="P8283" t="s" s="8">
        <v>14</v>
      </c>
      <c r="Q8283" t="s" s="12">
        <v>14</v>
      </c>
      <c r="R8283" t="s" s="12">
        <v>14</v>
      </c>
    </row>
    <row r="8284" s="2" customFormat="1" ht="13.5" customHeight="1">
      <c r="B8284" s="13"/>
      <c r="C8284" t="s" s="9">
        <v>30</v>
      </c>
      <c r="D8284" t="s" s="8">
        <v>2965</v>
      </c>
      <c r="E8284" t="s" s="9">
        <v>2966</v>
      </c>
      <c r="F8284" t="s" s="10">
        <v>240</v>
      </c>
      <c r="G8284" s="14"/>
      <c r="H8284" t="s" s="10">
        <v>240</v>
      </c>
      <c r="I8284" s="14"/>
      <c r="J8284" t="s" s="11">
        <v>20</v>
      </c>
      <c r="K8284" t="s" s="16">
        <f>HYPERLINK("http://csr.bu.edu/ftp/asl/asllvd/demos/verify_start_end_handshape_annotations//test_auto_move//signs_mov/2202.mov","MOV")</f>
        <v>21</v>
      </c>
      <c r="L8284" t="s" s="16">
        <f>HYPERLINK("http://csr.bu.edu/ftp/asl/asllvd/demos/verify_start_end_handshape_annotations//test_auto_move//signs_mov_separ_signers/Brady_2202.mov","MOV")</f>
        <v>21</v>
      </c>
      <c r="M8284" t="s" s="10">
        <v>40</v>
      </c>
      <c r="N8284" s="17">
        <v>74</v>
      </c>
      <c r="O8284" s="18">
        <v>1736</v>
      </c>
      <c r="P8284" s="18">
        <v>1768</v>
      </c>
      <c r="Q8284" t="s" s="16">
        <f>HYPERLINK("http://secrets.rutgers.edu:8080/data/asl-ftp/asllvd/demos/verify_start_end_handshape_annotations//test_auto_move//signs_mov/2202.mov","MOV")</f>
        <v>21</v>
      </c>
      <c r="R8284" t="s" s="16">
        <f>HYPERLINK("http://secrets.rutgers.edu:8080/data/asl-ftp/asllvd/demos/verify_start_end_handshape_annotations//test_auto_move//signs_mov_separ_signers/Brady_2202.mov","MOV")</f>
        <v>21</v>
      </c>
    </row>
    <row r="8285" s="2" customFormat="1" ht="13.5" customHeight="1">
      <c r="B8285" t="s" s="8">
        <v>2967</v>
      </c>
      <c r="C8285" t="s" s="9">
        <v>14</v>
      </c>
      <c r="D8285" t="s" s="8">
        <v>14</v>
      </c>
      <c r="E8285" t="s" s="9">
        <v>14</v>
      </c>
      <c r="F8285" t="s" s="10">
        <v>14</v>
      </c>
      <c r="G8285" t="s" s="11">
        <v>14</v>
      </c>
      <c r="H8285" t="s" s="10">
        <v>14</v>
      </c>
      <c r="I8285" t="s" s="11">
        <v>14</v>
      </c>
      <c r="J8285" t="s" s="11">
        <v>14</v>
      </c>
      <c r="K8285" t="s" s="12">
        <v>14</v>
      </c>
      <c r="L8285" t="s" s="12">
        <v>14</v>
      </c>
      <c r="M8285" t="s" s="10">
        <v>14</v>
      </c>
      <c r="N8285" t="s" s="11">
        <v>14</v>
      </c>
      <c r="O8285" t="s" s="8">
        <v>14</v>
      </c>
      <c r="P8285" t="s" s="8">
        <v>14</v>
      </c>
      <c r="Q8285" t="s" s="12">
        <v>14</v>
      </c>
      <c r="R8285" t="s" s="12">
        <v>14</v>
      </c>
    </row>
    <row r="8286" s="2" customFormat="1" ht="13.5" customHeight="1">
      <c r="B8286" s="13"/>
      <c r="C8286" t="s" s="9">
        <v>16</v>
      </c>
      <c r="D8286" t="s" s="8">
        <v>2967</v>
      </c>
      <c r="E8286" t="s" s="9">
        <v>2967</v>
      </c>
      <c r="F8286" t="s" s="10">
        <v>2968</v>
      </c>
      <c r="G8286" s="14"/>
      <c r="H8286" t="s" s="10">
        <v>2968</v>
      </c>
      <c r="I8286" s="14"/>
      <c r="J8286" t="s" s="11">
        <v>20</v>
      </c>
      <c r="K8286" t="s" s="16">
        <f>HYPERLINK("http://csr.bu.edu/ftp/asl/asllvd/demos/verify_start_end_handshape_annotations//test_auto_move//signs_mov/16292.mov","MOV")</f>
        <v>21</v>
      </c>
      <c r="L8286" t="s" s="16">
        <f>HYPERLINK("http://csr.bu.edu/ftp/asl/asllvd/demos/verify_start_end_handshape_annotations//test_auto_move//signs_mov_separ_signers/Liz_16292.mov","MOV")</f>
        <v>21</v>
      </c>
      <c r="M8286" t="s" s="10">
        <v>36</v>
      </c>
      <c r="N8286" s="17">
        <v>24</v>
      </c>
      <c r="O8286" s="18">
        <v>1925</v>
      </c>
      <c r="P8286" s="18">
        <v>1952</v>
      </c>
      <c r="Q8286" t="s" s="16">
        <f>HYPERLINK("http://secrets.rutgers.edu:8080/data/asl-ftp/asllvd/demos/verify_start_end_handshape_annotations//test_auto_move//signs_mov/16292.mov","MOV")</f>
        <v>21</v>
      </c>
      <c r="R8286" t="s" s="16">
        <f>HYPERLINK("http://secrets.rutgers.edu:8080/data/asl-ftp/asllvd/demos/verify_start_end_handshape_annotations//test_auto_move//signs_mov_separ_signers/Liz_16292.mov","MOV")</f>
        <v>21</v>
      </c>
    </row>
    <row r="8287" s="2" customFormat="1" ht="13.5" customHeight="1">
      <c r="B8287" t="s" s="8">
        <v>2969</v>
      </c>
      <c r="C8287" t="s" s="9">
        <v>14</v>
      </c>
      <c r="D8287" t="s" s="8">
        <v>14</v>
      </c>
      <c r="E8287" t="s" s="9">
        <v>14</v>
      </c>
      <c r="F8287" t="s" s="10">
        <v>14</v>
      </c>
      <c r="G8287" t="s" s="11">
        <v>14</v>
      </c>
      <c r="H8287" t="s" s="10">
        <v>14</v>
      </c>
      <c r="I8287" t="s" s="11">
        <v>14</v>
      </c>
      <c r="J8287" t="s" s="11">
        <v>14</v>
      </c>
      <c r="K8287" t="s" s="12">
        <v>14</v>
      </c>
      <c r="L8287" t="s" s="12">
        <v>14</v>
      </c>
      <c r="M8287" t="s" s="10">
        <v>14</v>
      </c>
      <c r="N8287" t="s" s="11">
        <v>14</v>
      </c>
      <c r="O8287" t="s" s="8">
        <v>14</v>
      </c>
      <c r="P8287" t="s" s="8">
        <v>14</v>
      </c>
      <c r="Q8287" t="s" s="12">
        <v>14</v>
      </c>
      <c r="R8287" t="s" s="12">
        <v>14</v>
      </c>
    </row>
    <row r="8288" s="2" customFormat="1" ht="13.5" customHeight="1">
      <c r="B8288" s="13"/>
      <c r="C8288" t="s" s="9">
        <v>16</v>
      </c>
      <c r="D8288" t="s" s="8">
        <v>2969</v>
      </c>
      <c r="E8288" t="s" s="9">
        <v>2970</v>
      </c>
      <c r="F8288" t="s" s="10">
        <v>187</v>
      </c>
      <c r="G8288" t="s" s="11">
        <v>73</v>
      </c>
      <c r="H8288" t="s" s="10">
        <v>187</v>
      </c>
      <c r="I8288" t="s" s="11">
        <v>73</v>
      </c>
      <c r="J8288" t="s" s="11">
        <v>20</v>
      </c>
      <c r="K8288" t="s" s="16">
        <f>HYPERLINK("http://csr.bu.edu/ftp/asl/asllvd/demos/verify_start_end_handshape_annotations//test_auto_move//signs_mov/2203.mov","MOV")</f>
        <v>21</v>
      </c>
      <c r="L8288" t="s" s="16">
        <f>HYPERLINK("http://csr.bu.edu/ftp/asl/asllvd/demos/verify_start_end_handshape_annotations//test_auto_move//signs_mov_separ_signers/Liz_2203.mov","MOV")</f>
        <v>21</v>
      </c>
      <c r="M8288" t="s" s="10">
        <v>36</v>
      </c>
      <c r="N8288" s="17">
        <v>24</v>
      </c>
      <c r="O8288" s="18">
        <v>2297</v>
      </c>
      <c r="P8288" s="18">
        <v>2347</v>
      </c>
      <c r="Q8288" t="s" s="16">
        <f>HYPERLINK("http://secrets.rutgers.edu:8080/data/asl-ftp/asllvd/demos/verify_start_end_handshape_annotations//test_auto_move//signs_mov/2203.mov","MOV")</f>
        <v>21</v>
      </c>
      <c r="R8288" t="s" s="16">
        <f>HYPERLINK("http://secrets.rutgers.edu:8080/data/asl-ftp/asllvd/demos/verify_start_end_handshape_annotations//test_auto_move//signs_mov_separ_signers/Liz_2203.mov","MOV")</f>
        <v>21</v>
      </c>
    </row>
    <row r="8289" s="2" customFormat="1" ht="13.5" customHeight="1">
      <c r="B8289" s="13"/>
      <c r="C8289" t="s" s="9">
        <v>30</v>
      </c>
      <c r="D8289" t="s" s="8">
        <v>2969</v>
      </c>
      <c r="E8289" t="s" s="9">
        <v>2969</v>
      </c>
      <c r="F8289" t="s" s="10">
        <v>187</v>
      </c>
      <c r="G8289" t="s" s="11">
        <v>73</v>
      </c>
      <c r="H8289" t="s" s="10">
        <v>187</v>
      </c>
      <c r="I8289" t="s" s="11">
        <v>73</v>
      </c>
      <c r="J8289" t="s" s="11">
        <v>20</v>
      </c>
      <c r="K8289" s="15"/>
      <c r="L8289" t="s" s="16">
        <f>HYPERLINK("http://csr.bu.edu/ftp/asl/asllvd/demos/verify_start_end_handshape_annotations//test_auto_move//signs_mov_separ_signers/Brady_2203.mov","MOV")</f>
        <v>21</v>
      </c>
      <c r="M8289" t="s" s="10">
        <v>40</v>
      </c>
      <c r="N8289" s="17">
        <v>74</v>
      </c>
      <c r="O8289" s="18">
        <v>1985</v>
      </c>
      <c r="P8289" s="18">
        <v>2013</v>
      </c>
      <c r="Q8289" s="15"/>
      <c r="R8289" t="s" s="16">
        <f>HYPERLINK("http://secrets.rutgers.edu:8080/data/asl-ftp/asllvd/demos/verify_start_end_handshape_annotations//test_auto_move//signs_mov_separ_signers/Brady_2203.mov","MOV")</f>
        <v>21</v>
      </c>
    </row>
    <row r="8290" s="2" customFormat="1" ht="13.5" customHeight="1">
      <c r="B8290" t="s" s="8">
        <v>2971</v>
      </c>
      <c r="C8290" t="s" s="9">
        <v>14</v>
      </c>
      <c r="D8290" t="s" s="8">
        <v>14</v>
      </c>
      <c r="E8290" t="s" s="9">
        <v>14</v>
      </c>
      <c r="F8290" t="s" s="10">
        <v>14</v>
      </c>
      <c r="G8290" t="s" s="11">
        <v>14</v>
      </c>
      <c r="H8290" t="s" s="10">
        <v>14</v>
      </c>
      <c r="I8290" t="s" s="11">
        <v>14</v>
      </c>
      <c r="J8290" t="s" s="11">
        <v>14</v>
      </c>
      <c r="K8290" t="s" s="12">
        <v>14</v>
      </c>
      <c r="L8290" t="s" s="12">
        <v>14</v>
      </c>
      <c r="M8290" t="s" s="10">
        <v>14</v>
      </c>
      <c r="N8290" t="s" s="11">
        <v>14</v>
      </c>
      <c r="O8290" t="s" s="8">
        <v>14</v>
      </c>
      <c r="P8290" t="s" s="8">
        <v>14</v>
      </c>
      <c r="Q8290" t="s" s="12">
        <v>14</v>
      </c>
      <c r="R8290" t="s" s="12">
        <v>14</v>
      </c>
    </row>
    <row r="8291" s="2" customFormat="1" ht="13.5" customHeight="1">
      <c r="B8291" s="13"/>
      <c r="C8291" t="s" s="9">
        <v>16</v>
      </c>
      <c r="D8291" t="s" s="8">
        <v>2971</v>
      </c>
      <c r="E8291" t="s" s="9">
        <v>2972</v>
      </c>
      <c r="F8291" t="s" s="10">
        <v>240</v>
      </c>
      <c r="G8291" t="s" s="11">
        <v>73</v>
      </c>
      <c r="H8291" t="s" s="10">
        <v>240</v>
      </c>
      <c r="I8291" t="s" s="11">
        <v>73</v>
      </c>
      <c r="J8291" t="s" s="11">
        <v>20</v>
      </c>
      <c r="K8291" t="s" s="16">
        <f>HYPERLINK("http://csr.bu.edu/ftp/asl/asllvd/demos/verify_start_end_handshape_annotations//test_auto_move//signs_mov/2207.mov","MOV")</f>
        <v>21</v>
      </c>
      <c r="L8291" t="s" s="16">
        <f>HYPERLINK("http://csr.bu.edu/ftp/asl/asllvd/demos/verify_start_end_handshape_annotations//test_auto_move//signs_mov_separ_signers/Liz_2207.mov","MOV")</f>
        <v>21</v>
      </c>
      <c r="M8291" t="s" s="10">
        <v>36</v>
      </c>
      <c r="N8291" s="17">
        <v>24</v>
      </c>
      <c r="O8291" s="18">
        <v>3595</v>
      </c>
      <c r="P8291" s="18">
        <v>3660</v>
      </c>
      <c r="Q8291" t="s" s="16">
        <f>HYPERLINK("http://secrets.rutgers.edu:8080/data/asl-ftp/asllvd/demos/verify_start_end_handshape_annotations//test_auto_move//signs_mov/2207.mov","MOV")</f>
        <v>21</v>
      </c>
      <c r="R8291" t="s" s="16">
        <f>HYPERLINK("http://secrets.rutgers.edu:8080/data/asl-ftp/asllvd/demos/verify_start_end_handshape_annotations//test_auto_move//signs_mov_separ_signers/Liz_2207.mov","MOV")</f>
        <v>21</v>
      </c>
    </row>
    <row r="8292" s="2" customFormat="1" ht="13.5" customHeight="1">
      <c r="B8292" t="s" s="8">
        <v>52</v>
      </c>
      <c r="C8292" t="s" s="9">
        <v>53</v>
      </c>
      <c r="D8292" t="s" s="8">
        <v>53</v>
      </c>
      <c r="E8292" t="s" s="9">
        <v>53</v>
      </c>
      <c r="F8292" t="s" s="10">
        <v>53</v>
      </c>
      <c r="G8292" t="s" s="11">
        <v>53</v>
      </c>
      <c r="H8292" t="s" s="10">
        <v>53</v>
      </c>
      <c r="I8292" t="s" s="11">
        <v>53</v>
      </c>
      <c r="J8292" t="s" s="11">
        <v>53</v>
      </c>
      <c r="K8292" t="s" s="12">
        <v>53</v>
      </c>
      <c r="L8292" t="s" s="12">
        <v>53</v>
      </c>
      <c r="M8292" t="s" s="10">
        <v>53</v>
      </c>
      <c r="N8292" t="s" s="11">
        <v>53</v>
      </c>
      <c r="O8292" t="s" s="8">
        <v>53</v>
      </c>
      <c r="P8292" t="s" s="8">
        <v>53</v>
      </c>
      <c r="Q8292" t="s" s="12">
        <v>53</v>
      </c>
      <c r="R8292" t="s" s="12">
        <v>53</v>
      </c>
    </row>
    <row r="8293" s="2" customFormat="1" ht="13.5" customHeight="1">
      <c r="B8293" s="13"/>
      <c r="C8293" t="s" s="9">
        <v>30</v>
      </c>
      <c r="D8293" t="s" s="8">
        <v>2971</v>
      </c>
      <c r="E8293" t="s" s="9">
        <v>2973</v>
      </c>
      <c r="F8293" t="s" s="10">
        <v>251</v>
      </c>
      <c r="G8293" t="s" s="11">
        <v>73</v>
      </c>
      <c r="H8293" t="s" s="10">
        <v>251</v>
      </c>
      <c r="I8293" t="s" s="11">
        <v>73</v>
      </c>
      <c r="J8293" t="s" s="11">
        <v>20</v>
      </c>
      <c r="K8293" t="s" s="16">
        <f>HYPERLINK("http://csr.bu.edu/ftp/asl/asllvd/demos/verify_start_end_handshape_annotations//test_auto_move//signs_mov/5764.mov","MOV")</f>
        <v>21</v>
      </c>
      <c r="L8293" t="s" s="16">
        <f>HYPERLINK("http://csr.bu.edu/ftp/asl/asllvd/demos/verify_start_end_handshape_annotations//test_auto_move//signs_mov_separ_signers/Brady_5764.mov","MOV")</f>
        <v>21</v>
      </c>
      <c r="M8293" t="s" s="10">
        <v>40</v>
      </c>
      <c r="N8293" s="17">
        <v>74</v>
      </c>
      <c r="O8293" s="18">
        <v>3087</v>
      </c>
      <c r="P8293" s="18">
        <v>3119</v>
      </c>
      <c r="Q8293" t="s" s="16">
        <f>HYPERLINK("http://secrets.rutgers.edu:8080/data/asl-ftp/asllvd/demos/verify_start_end_handshape_annotations//test_auto_move//signs_mov/5764.mov","MOV")</f>
        <v>21</v>
      </c>
      <c r="R8293" t="s" s="16">
        <f>HYPERLINK("http://secrets.rutgers.edu:8080/data/asl-ftp/asllvd/demos/verify_start_end_handshape_annotations//test_auto_move//signs_mov_separ_signers/Brady_5764.mov","MOV")</f>
        <v>21</v>
      </c>
    </row>
    <row r="8294" s="2" customFormat="1" ht="13.5" customHeight="1">
      <c r="B8294" t="s" s="8">
        <v>2974</v>
      </c>
      <c r="C8294" t="s" s="9">
        <v>14</v>
      </c>
      <c r="D8294" t="s" s="8">
        <v>14</v>
      </c>
      <c r="E8294" t="s" s="9">
        <v>14</v>
      </c>
      <c r="F8294" t="s" s="10">
        <v>14</v>
      </c>
      <c r="G8294" t="s" s="11">
        <v>14</v>
      </c>
      <c r="H8294" t="s" s="10">
        <v>14</v>
      </c>
      <c r="I8294" t="s" s="11">
        <v>14</v>
      </c>
      <c r="J8294" t="s" s="11">
        <v>14</v>
      </c>
      <c r="K8294" t="s" s="12">
        <v>14</v>
      </c>
      <c r="L8294" t="s" s="12">
        <v>14</v>
      </c>
      <c r="M8294" t="s" s="10">
        <v>14</v>
      </c>
      <c r="N8294" t="s" s="11">
        <v>14</v>
      </c>
      <c r="O8294" t="s" s="8">
        <v>14</v>
      </c>
      <c r="P8294" t="s" s="8">
        <v>14</v>
      </c>
      <c r="Q8294" t="s" s="12">
        <v>14</v>
      </c>
      <c r="R8294" t="s" s="12">
        <v>14</v>
      </c>
    </row>
    <row r="8295" s="2" customFormat="1" ht="13.5" customHeight="1">
      <c r="B8295" s="13"/>
      <c r="C8295" t="s" s="9">
        <v>16</v>
      </c>
      <c r="D8295" t="s" s="8">
        <v>2974</v>
      </c>
      <c r="E8295" t="s" s="9">
        <v>2975</v>
      </c>
      <c r="F8295" s="19">
        <v>25</v>
      </c>
      <c r="G8295" t="s" s="11">
        <v>73</v>
      </c>
      <c r="H8295" s="19">
        <v>25</v>
      </c>
      <c r="I8295" t="s" s="11">
        <v>73</v>
      </c>
      <c r="J8295" t="s" s="11">
        <v>20</v>
      </c>
      <c r="K8295" t="s" s="16">
        <f>HYPERLINK("http://csr.bu.edu/ftp/asl/asllvd/demos/verify_start_end_handshape_annotations//test_auto_move//signs_mov/2208.mov","MOV")</f>
        <v>21</v>
      </c>
      <c r="L8295" t="s" s="16">
        <f>HYPERLINK("http://csr.bu.edu/ftp/asl/asllvd/demos/verify_start_end_handshape_annotations//test_auto_move//signs_mov_separ_signers/Liz_2208.mov","MOV")</f>
        <v>21</v>
      </c>
      <c r="M8295" t="s" s="10">
        <v>36</v>
      </c>
      <c r="N8295" s="17">
        <v>24</v>
      </c>
      <c r="O8295" s="18">
        <v>3892</v>
      </c>
      <c r="P8295" s="18">
        <v>3932</v>
      </c>
      <c r="Q8295" t="s" s="16">
        <f>HYPERLINK("http://secrets.rutgers.edu:8080/data/asl-ftp/asllvd/demos/verify_start_end_handshape_annotations//test_auto_move//signs_mov/2208.mov","MOV")</f>
        <v>21</v>
      </c>
      <c r="R8295" t="s" s="16">
        <f>HYPERLINK("http://secrets.rutgers.edu:8080/data/asl-ftp/asllvd/demos/verify_start_end_handshape_annotations//test_auto_move//signs_mov_separ_signers/Liz_2208.mov","MOV")</f>
        <v>21</v>
      </c>
    </row>
    <row r="8296" s="2" customFormat="1" ht="13.5" customHeight="1">
      <c r="B8296" s="13"/>
      <c r="C8296" t="s" s="9">
        <v>30</v>
      </c>
      <c r="D8296" t="s" s="8">
        <v>2974</v>
      </c>
      <c r="E8296" t="s" s="9">
        <v>2975</v>
      </c>
      <c r="F8296" s="19">
        <v>25</v>
      </c>
      <c r="G8296" t="s" s="11">
        <v>73</v>
      </c>
      <c r="H8296" s="19">
        <v>25</v>
      </c>
      <c r="I8296" t="s" s="11">
        <v>73</v>
      </c>
      <c r="J8296" t="s" s="11">
        <v>20</v>
      </c>
      <c r="K8296" s="15"/>
      <c r="L8296" t="s" s="16">
        <f>HYPERLINK("http://csr.bu.edu/ftp/asl/asllvd/demos/verify_start_end_handshape_annotations//test_auto_move//signs_mov_separ_signers/Brady_2208.mov","MOV")</f>
        <v>21</v>
      </c>
      <c r="M8296" t="s" s="10">
        <v>40</v>
      </c>
      <c r="N8296" s="17">
        <v>75</v>
      </c>
      <c r="O8296" s="18">
        <v>659</v>
      </c>
      <c r="P8296" s="18">
        <v>695</v>
      </c>
      <c r="Q8296" s="15"/>
      <c r="R8296" t="s" s="16">
        <f>HYPERLINK("http://secrets.rutgers.edu:8080/data/asl-ftp/asllvd/demos/verify_start_end_handshape_annotations//test_auto_move//signs_mov_separ_signers/Brady_2208.mov","MOV")</f>
        <v>21</v>
      </c>
    </row>
    <row r="8297" s="2" customFormat="1" ht="13.5" customHeight="1">
      <c r="B8297" t="s" s="8">
        <v>2976</v>
      </c>
      <c r="C8297" t="s" s="9">
        <v>14</v>
      </c>
      <c r="D8297" t="s" s="8">
        <v>14</v>
      </c>
      <c r="E8297" t="s" s="9">
        <v>14</v>
      </c>
      <c r="F8297" t="s" s="10">
        <v>14</v>
      </c>
      <c r="G8297" t="s" s="11">
        <v>14</v>
      </c>
      <c r="H8297" t="s" s="10">
        <v>14</v>
      </c>
      <c r="I8297" t="s" s="11">
        <v>14</v>
      </c>
      <c r="J8297" t="s" s="11">
        <v>14</v>
      </c>
      <c r="K8297" t="s" s="12">
        <v>14</v>
      </c>
      <c r="L8297" t="s" s="12">
        <v>14</v>
      </c>
      <c r="M8297" t="s" s="10">
        <v>14</v>
      </c>
      <c r="N8297" t="s" s="11">
        <v>14</v>
      </c>
      <c r="O8297" t="s" s="8">
        <v>14</v>
      </c>
      <c r="P8297" t="s" s="8">
        <v>14</v>
      </c>
      <c r="Q8297" t="s" s="12">
        <v>14</v>
      </c>
      <c r="R8297" t="s" s="12">
        <v>14</v>
      </c>
    </row>
    <row r="8298" s="2" customFormat="1" ht="13.5" customHeight="1">
      <c r="B8298" s="13"/>
      <c r="C8298" t="s" s="9">
        <v>16</v>
      </c>
      <c r="D8298" t="s" s="8">
        <v>2976</v>
      </c>
      <c r="E8298" t="s" s="9">
        <v>2977</v>
      </c>
      <c r="F8298" t="s" s="10">
        <v>187</v>
      </c>
      <c r="G8298" s="14"/>
      <c r="H8298" t="s" s="10">
        <v>187</v>
      </c>
      <c r="I8298" s="14"/>
      <c r="J8298" t="s" s="11">
        <v>20</v>
      </c>
      <c r="K8298" t="s" s="16">
        <f>HYPERLINK("http://csr.bu.edu/ftp/asl/asllvd/demos/verify_start_end_handshape_annotations//test_auto_move//signs_mov/2209.mov","MOV")</f>
        <v>21</v>
      </c>
      <c r="L8298" t="s" s="16">
        <f>HYPERLINK("http://csr.bu.edu/ftp/asl/asllvd/demos/verify_start_end_handshape_annotations//test_auto_move//signs_mov_separ_signers/Liz_2209.mov","MOV")</f>
        <v>21</v>
      </c>
      <c r="M8298" t="s" s="10">
        <v>36</v>
      </c>
      <c r="N8298" s="17">
        <v>24</v>
      </c>
      <c r="O8298" s="18">
        <v>4341</v>
      </c>
      <c r="P8298" s="18">
        <v>4385</v>
      </c>
      <c r="Q8298" t="s" s="16">
        <f>HYPERLINK("http://secrets.rutgers.edu:8080/data/asl-ftp/asllvd/demos/verify_start_end_handshape_annotations//test_auto_move//signs_mov/2209.mov","MOV")</f>
        <v>21</v>
      </c>
      <c r="R8298" t="s" s="16">
        <f>HYPERLINK("http://secrets.rutgers.edu:8080/data/asl-ftp/asllvd/demos/verify_start_end_handshape_annotations//test_auto_move//signs_mov_separ_signers/Liz_2209.mov","MOV")</f>
        <v>21</v>
      </c>
    </row>
    <row r="8299" s="2" customFormat="1" ht="13.5" customHeight="1">
      <c r="B8299" s="13"/>
      <c r="C8299" t="s" s="9">
        <v>30</v>
      </c>
      <c r="D8299" t="s" s="8">
        <v>2976</v>
      </c>
      <c r="E8299" t="s" s="9">
        <v>2977</v>
      </c>
      <c r="F8299" t="s" s="10">
        <v>187</v>
      </c>
      <c r="G8299" s="14"/>
      <c r="H8299" t="s" s="10">
        <v>187</v>
      </c>
      <c r="I8299" s="14"/>
      <c r="J8299" t="s" s="11">
        <v>20</v>
      </c>
      <c r="K8299" s="15"/>
      <c r="L8299" t="s" s="16">
        <f>HYPERLINK("http://csr.bu.edu/ftp/asl/asllvd/demos/verify_start_end_handshape_annotations//test_auto_move//signs_mov_separ_signers/Brady_2209.mov","MOV")</f>
        <v>21</v>
      </c>
      <c r="M8299" t="s" s="10">
        <v>40</v>
      </c>
      <c r="N8299" s="17">
        <v>75</v>
      </c>
      <c r="O8299" s="18">
        <v>948</v>
      </c>
      <c r="P8299" s="18">
        <v>976</v>
      </c>
      <c r="Q8299" s="15"/>
      <c r="R8299" t="s" s="16">
        <f>HYPERLINK("http://secrets.rutgers.edu:8080/data/asl-ftp/asllvd/demos/verify_start_end_handshape_annotations//test_auto_move//signs_mov_separ_signers/Brady_2209.mov","MOV")</f>
        <v>21</v>
      </c>
    </row>
    <row r="8300" s="2" customFormat="1" ht="13.5" customHeight="1">
      <c r="B8300" t="s" s="8">
        <v>2978</v>
      </c>
      <c r="C8300" t="s" s="9">
        <v>14</v>
      </c>
      <c r="D8300" t="s" s="8">
        <v>14</v>
      </c>
      <c r="E8300" t="s" s="9">
        <v>14</v>
      </c>
      <c r="F8300" t="s" s="10">
        <v>14</v>
      </c>
      <c r="G8300" t="s" s="11">
        <v>14</v>
      </c>
      <c r="H8300" t="s" s="10">
        <v>14</v>
      </c>
      <c r="I8300" t="s" s="11">
        <v>14</v>
      </c>
      <c r="J8300" t="s" s="11">
        <v>14</v>
      </c>
      <c r="K8300" t="s" s="12">
        <v>14</v>
      </c>
      <c r="L8300" t="s" s="12">
        <v>14</v>
      </c>
      <c r="M8300" t="s" s="10">
        <v>14</v>
      </c>
      <c r="N8300" t="s" s="11">
        <v>14</v>
      </c>
      <c r="O8300" t="s" s="8">
        <v>14</v>
      </c>
      <c r="P8300" t="s" s="8">
        <v>14</v>
      </c>
      <c r="Q8300" t="s" s="12">
        <v>14</v>
      </c>
      <c r="R8300" t="s" s="12">
        <v>14</v>
      </c>
    </row>
    <row r="8301" s="2" customFormat="1" ht="13.5" customHeight="1">
      <c r="B8301" s="13"/>
      <c r="C8301" t="s" s="9">
        <v>16</v>
      </c>
      <c r="D8301" t="s" s="8">
        <v>2978</v>
      </c>
      <c r="E8301" t="s" s="9">
        <v>2978</v>
      </c>
      <c r="F8301" s="19">
        <v>1</v>
      </c>
      <c r="G8301" t="s" s="11">
        <v>73</v>
      </c>
      <c r="H8301" s="19">
        <v>1</v>
      </c>
      <c r="I8301" t="s" s="11">
        <v>73</v>
      </c>
      <c r="J8301" t="s" s="11">
        <v>20</v>
      </c>
      <c r="K8301" t="s" s="16">
        <f>HYPERLINK("http://csr.bu.edu/ftp/asl/asllvd/demos/verify_start_end_handshape_annotations//test_auto_move//signs_mov/2211.mov","MOV")</f>
        <v>21</v>
      </c>
      <c r="L8301" t="s" s="16">
        <f>HYPERLINK("http://csr.bu.edu/ftp/asl/asllvd/demos/verify_start_end_handshape_annotations//test_auto_move//signs_mov_separ_signers/Liz_2211.mov","MOV")</f>
        <v>21</v>
      </c>
      <c r="M8301" t="s" s="10">
        <v>36</v>
      </c>
      <c r="N8301" s="17">
        <v>25</v>
      </c>
      <c r="O8301" s="18">
        <v>901</v>
      </c>
      <c r="P8301" s="18">
        <v>980</v>
      </c>
      <c r="Q8301" t="s" s="16">
        <f>HYPERLINK("http://secrets.rutgers.edu:8080/data/asl-ftp/asllvd/demos/verify_start_end_handshape_annotations//test_auto_move//signs_mov/2211.mov","MOV")</f>
        <v>21</v>
      </c>
      <c r="R8301" t="s" s="16">
        <f>HYPERLINK("http://secrets.rutgers.edu:8080/data/asl-ftp/asllvd/demos/verify_start_end_handshape_annotations//test_auto_move//signs_mov_separ_signers/Liz_2211.mov","MOV")</f>
        <v>21</v>
      </c>
    </row>
    <row r="8302" s="2" customFormat="1" ht="13.5" customHeight="1">
      <c r="B8302" s="13"/>
      <c r="C8302" t="s" s="9">
        <v>30</v>
      </c>
      <c r="D8302" t="s" s="8">
        <v>2978</v>
      </c>
      <c r="E8302" t="s" s="9">
        <v>2978</v>
      </c>
      <c r="F8302" s="19">
        <v>1</v>
      </c>
      <c r="G8302" t="s" s="11">
        <v>73</v>
      </c>
      <c r="H8302" s="19">
        <v>1</v>
      </c>
      <c r="I8302" t="s" s="11">
        <v>73</v>
      </c>
      <c r="J8302" t="s" s="11">
        <v>20</v>
      </c>
      <c r="K8302" s="15"/>
      <c r="L8302" t="s" s="16">
        <f>HYPERLINK("http://csr.bu.edu/ftp/asl/asllvd/demos/verify_start_end_handshape_annotations//test_auto_move//signs_mov_separ_signers/Brady_2211.mov","MOV")</f>
        <v>21</v>
      </c>
      <c r="M8302" t="s" s="10">
        <v>40</v>
      </c>
      <c r="N8302" s="17">
        <v>75</v>
      </c>
      <c r="O8302" s="18">
        <v>2124</v>
      </c>
      <c r="P8302" s="18">
        <v>2160</v>
      </c>
      <c r="Q8302" s="15"/>
      <c r="R8302" t="s" s="16">
        <f>HYPERLINK("http://secrets.rutgers.edu:8080/data/asl-ftp/asllvd/demos/verify_start_end_handshape_annotations//test_auto_move//signs_mov_separ_signers/Brady_2211.mov","MOV")</f>
        <v>21</v>
      </c>
    </row>
    <row r="8303" s="2" customFormat="1" ht="13.5" customHeight="1">
      <c r="B8303" t="s" s="8">
        <v>2979</v>
      </c>
      <c r="C8303" t="s" s="9">
        <v>14</v>
      </c>
      <c r="D8303" t="s" s="8">
        <v>14</v>
      </c>
      <c r="E8303" t="s" s="9">
        <v>14</v>
      </c>
      <c r="F8303" t="s" s="10">
        <v>14</v>
      </c>
      <c r="G8303" t="s" s="11">
        <v>14</v>
      </c>
      <c r="H8303" t="s" s="10">
        <v>14</v>
      </c>
      <c r="I8303" t="s" s="11">
        <v>14</v>
      </c>
      <c r="J8303" t="s" s="11">
        <v>14</v>
      </c>
      <c r="K8303" t="s" s="12">
        <v>14</v>
      </c>
      <c r="L8303" t="s" s="12">
        <v>14</v>
      </c>
      <c r="M8303" t="s" s="10">
        <v>14</v>
      </c>
      <c r="N8303" t="s" s="11">
        <v>14</v>
      </c>
      <c r="O8303" t="s" s="8">
        <v>14</v>
      </c>
      <c r="P8303" t="s" s="8">
        <v>14</v>
      </c>
      <c r="Q8303" t="s" s="12">
        <v>14</v>
      </c>
      <c r="R8303" t="s" s="12">
        <v>14</v>
      </c>
    </row>
    <row r="8304" s="2" customFormat="1" ht="13.5" customHeight="1">
      <c r="B8304" s="13"/>
      <c r="C8304" t="s" s="9">
        <v>16</v>
      </c>
      <c r="D8304" t="s" s="8">
        <v>2979</v>
      </c>
      <c r="E8304" t="s" s="9">
        <v>2980</v>
      </c>
      <c r="F8304" t="s" s="10">
        <v>63</v>
      </c>
      <c r="G8304" s="14"/>
      <c r="H8304" t="s" s="10">
        <v>63</v>
      </c>
      <c r="I8304" s="14"/>
      <c r="J8304" t="s" s="11">
        <v>20</v>
      </c>
      <c r="K8304" s="15"/>
      <c r="L8304" t="s" s="16">
        <f>HYPERLINK("http://csr.bu.edu/ftp/asl/asllvd/demos/verify_start_end_handshape_annotations//test_auto_move//signs_mov_separ_signers/Liz_2213.mov","MOV")</f>
        <v>21</v>
      </c>
      <c r="M8304" t="s" s="10">
        <v>36</v>
      </c>
      <c r="N8304" s="17">
        <v>25</v>
      </c>
      <c r="O8304" s="18">
        <v>1637</v>
      </c>
      <c r="P8304" s="18">
        <v>1675</v>
      </c>
      <c r="Q8304" s="15"/>
      <c r="R8304" t="s" s="16">
        <f>HYPERLINK("http://secrets.rutgers.edu:8080/data/asl-ftp/asllvd/demos/verify_start_end_handshape_annotations//test_auto_move//signs_mov_separ_signers/Liz_2213.mov","MOV")</f>
        <v>21</v>
      </c>
    </row>
    <row r="8305" s="2" customFormat="1" ht="13.5" customHeight="1">
      <c r="B8305" s="13"/>
      <c r="C8305" t="s" s="9">
        <v>16</v>
      </c>
      <c r="D8305" t="s" s="8">
        <v>2979</v>
      </c>
      <c r="E8305" t="s" s="9">
        <v>2980</v>
      </c>
      <c r="F8305" t="s" s="10">
        <v>63</v>
      </c>
      <c r="G8305" s="14"/>
      <c r="H8305" t="s" s="10">
        <v>63</v>
      </c>
      <c r="I8305" s="14"/>
      <c r="J8305" t="s" s="11">
        <v>20</v>
      </c>
      <c r="K8305" s="15"/>
      <c r="L8305" t="s" s="16">
        <f>HYPERLINK("http://csr.bu.edu/ftp/asl/asllvd/demos/verify_start_end_handshape_annotations//test_auto_move//signs_mov_separ_signers/Liz_3492.mov","MOV")</f>
        <v>21</v>
      </c>
      <c r="M8305" t="s" s="10">
        <v>77</v>
      </c>
      <c r="N8305" s="17">
        <v>22</v>
      </c>
      <c r="O8305" s="18">
        <v>1150</v>
      </c>
      <c r="P8305" s="18">
        <v>1202</v>
      </c>
      <c r="Q8305" s="15"/>
      <c r="R8305" t="s" s="16">
        <f>HYPERLINK("http://secrets.rutgers.edu:8080/data/asl-ftp/asllvd/demos/verify_start_end_handshape_annotations//test_auto_move//signs_mov_separ_signers/Liz_3492.mov","MOV")</f>
        <v>21</v>
      </c>
    </row>
    <row r="8306" s="2" customFormat="1" ht="13.5" customHeight="1">
      <c r="B8306" s="13"/>
      <c r="C8306" t="s" s="9">
        <v>30</v>
      </c>
      <c r="D8306" t="s" s="8">
        <v>2979</v>
      </c>
      <c r="E8306" t="s" s="9">
        <v>2980</v>
      </c>
      <c r="F8306" t="s" s="10">
        <v>63</v>
      </c>
      <c r="G8306" s="14"/>
      <c r="H8306" t="s" s="10">
        <v>63</v>
      </c>
      <c r="I8306" s="14"/>
      <c r="J8306" t="s" s="11">
        <v>20</v>
      </c>
      <c r="K8306" t="s" s="16">
        <f>HYPERLINK("http://csr.bu.edu/ftp/asl/asllvd/demos/verify_start_end_handshape_annotations//test_auto_move//signs_mov/2213_3492_merged.mov","MOV")</f>
        <v>21</v>
      </c>
      <c r="L8306" t="s" s="16">
        <f>HYPERLINK("http://csr.bu.edu/ftp/asl/asllvd/demos/verify_start_end_handshape_annotations//test_auto_move//signs_mov_separ_signers/Brady_2213.mov","MOV")</f>
        <v>21</v>
      </c>
      <c r="M8306" t="s" s="10">
        <v>40</v>
      </c>
      <c r="N8306" s="17">
        <v>43</v>
      </c>
      <c r="O8306" s="18">
        <v>946</v>
      </c>
      <c r="P8306" s="18">
        <v>970</v>
      </c>
      <c r="Q8306" t="s" s="16">
        <f>HYPERLINK("http://secrets.rutgers.edu:8080/data/asl-ftp/asllvd/demos/verify_start_end_handshape_annotations//test_auto_move//signs_mov/2213_3492_merged.mov","MOV")</f>
        <v>21</v>
      </c>
      <c r="R8306" t="s" s="16">
        <f>HYPERLINK("http://secrets.rutgers.edu:8080/data/asl-ftp/asllvd/demos/verify_start_end_handshape_annotations//test_auto_move//signs_mov_separ_signers/Brady_2213.mov","MOV")</f>
        <v>21</v>
      </c>
    </row>
    <row r="8307" s="2" customFormat="1" ht="13.5" customHeight="1">
      <c r="B8307" s="13"/>
      <c r="C8307" t="s" s="9">
        <v>30</v>
      </c>
      <c r="D8307" t="s" s="8">
        <v>2979</v>
      </c>
      <c r="E8307" t="s" s="9">
        <v>2981</v>
      </c>
      <c r="F8307" t="s" s="10">
        <v>63</v>
      </c>
      <c r="G8307" s="14"/>
      <c r="H8307" t="s" s="10">
        <v>63</v>
      </c>
      <c r="I8307" s="14"/>
      <c r="J8307" t="s" s="11">
        <v>20</v>
      </c>
      <c r="K8307" s="15"/>
      <c r="L8307" t="s" s="16">
        <f>HYPERLINK("http://csr.bu.edu/ftp/asl/asllvd/demos/verify_start_end_handshape_annotations//test_auto_move//signs_mov_separ_signers/Brady_3492.mov","MOV")</f>
        <v>21</v>
      </c>
      <c r="M8307" t="s" s="10">
        <v>40</v>
      </c>
      <c r="N8307" s="17">
        <v>75</v>
      </c>
      <c r="O8307" s="18">
        <v>2400</v>
      </c>
      <c r="P8307" s="18">
        <v>2418</v>
      </c>
      <c r="Q8307" s="15"/>
      <c r="R8307" t="s" s="16">
        <f>HYPERLINK("http://secrets.rutgers.edu:8080/data/asl-ftp/asllvd/demos/verify_start_end_handshape_annotations//test_auto_move//signs_mov_separ_signers/Brady_3492.mov","MOV")</f>
        <v>21</v>
      </c>
    </row>
    <row r="8308" s="2" customFormat="1" ht="13.5" customHeight="1">
      <c r="B8308" s="13"/>
      <c r="C8308" t="s" s="9">
        <v>41</v>
      </c>
      <c r="D8308" t="s" s="8">
        <v>2979</v>
      </c>
      <c r="E8308" t="s" s="9">
        <v>2981</v>
      </c>
      <c r="F8308" t="s" s="10">
        <v>63</v>
      </c>
      <c r="G8308" s="14"/>
      <c r="H8308" t="s" s="10">
        <v>63</v>
      </c>
      <c r="I8308" s="14"/>
      <c r="J8308" t="s" s="11">
        <v>20</v>
      </c>
      <c r="K8308" s="15"/>
      <c r="L8308" t="s" s="16">
        <f>HYPERLINK("http://csr.bu.edu/ftp/asl/asllvd/demos/verify_start_end_handshape_annotations//test_auto_move//signs_mov_separ_signers/Lana_2213.mov","MOV")</f>
        <v>21</v>
      </c>
      <c r="M8308" t="s" s="10">
        <v>42</v>
      </c>
      <c r="N8308" s="17">
        <v>24</v>
      </c>
      <c r="O8308" s="18">
        <v>317</v>
      </c>
      <c r="P8308" s="18">
        <v>340</v>
      </c>
      <c r="Q8308" s="15"/>
      <c r="R8308" t="s" s="16">
        <f>HYPERLINK("http://secrets.rutgers.edu:8080/data/asl-ftp/asllvd/demos/verify_start_end_handshape_annotations//test_auto_move//signs_mov_separ_signers/Lana_2213.mov","MOV")</f>
        <v>21</v>
      </c>
    </row>
    <row r="8309" s="2" customFormat="1" ht="13.5" customHeight="1">
      <c r="B8309" s="13"/>
      <c r="C8309" t="s" s="9">
        <v>43</v>
      </c>
      <c r="D8309" t="s" s="8">
        <v>2979</v>
      </c>
      <c r="E8309" t="s" s="9">
        <v>2980</v>
      </c>
      <c r="F8309" t="s" s="10">
        <v>63</v>
      </c>
      <c r="G8309" s="14"/>
      <c r="H8309" t="s" s="10">
        <v>63</v>
      </c>
      <c r="I8309" s="14"/>
      <c r="J8309" t="s" s="11">
        <v>20</v>
      </c>
      <c r="K8309" s="15"/>
      <c r="L8309" t="s" s="16">
        <f>HYPERLINK("http://csr.bu.edu/ftp/asl/asllvd/demos/verify_start_end_handshape_annotations//test_auto_move//signs_mov_separ_signers/Dana_2213.mov","MOV")</f>
        <v>21</v>
      </c>
      <c r="M8309" t="s" s="10">
        <v>44</v>
      </c>
      <c r="N8309" s="17">
        <v>26</v>
      </c>
      <c r="O8309" s="18">
        <v>272</v>
      </c>
      <c r="P8309" s="18">
        <v>326</v>
      </c>
      <c r="Q8309" s="15"/>
      <c r="R8309" t="s" s="16">
        <f>HYPERLINK("http://secrets.rutgers.edu:8080/data/asl-ftp/asllvd/demos/verify_start_end_handshape_annotations//test_auto_move//signs_mov_separ_signers/Dana_2213.mov","MOV")</f>
        <v>21</v>
      </c>
    </row>
    <row r="8310" s="2" customFormat="1" ht="13.5" customHeight="1">
      <c r="B8310" t="s" s="8">
        <v>52</v>
      </c>
      <c r="C8310" t="s" s="9">
        <v>53</v>
      </c>
      <c r="D8310" t="s" s="8">
        <v>53</v>
      </c>
      <c r="E8310" t="s" s="9">
        <v>53</v>
      </c>
      <c r="F8310" t="s" s="10">
        <v>53</v>
      </c>
      <c r="G8310" t="s" s="11">
        <v>53</v>
      </c>
      <c r="H8310" t="s" s="10">
        <v>53</v>
      </c>
      <c r="I8310" t="s" s="11">
        <v>53</v>
      </c>
      <c r="J8310" t="s" s="11">
        <v>53</v>
      </c>
      <c r="K8310" t="s" s="12">
        <v>53</v>
      </c>
      <c r="L8310" t="s" s="12">
        <v>53</v>
      </c>
      <c r="M8310" t="s" s="10">
        <v>53</v>
      </c>
      <c r="N8310" t="s" s="11">
        <v>53</v>
      </c>
      <c r="O8310" t="s" s="8">
        <v>53</v>
      </c>
      <c r="P8310" t="s" s="8">
        <v>53</v>
      </c>
      <c r="Q8310" t="s" s="12">
        <v>53</v>
      </c>
      <c r="R8310" t="s" s="12">
        <v>53</v>
      </c>
    </row>
    <row r="8311" s="2" customFormat="1" ht="13.5" customHeight="1">
      <c r="B8311" s="13"/>
      <c r="C8311" t="s" s="9">
        <v>30</v>
      </c>
      <c r="D8311" t="s" s="8">
        <v>2979</v>
      </c>
      <c r="E8311" t="s" s="9">
        <v>2982</v>
      </c>
      <c r="F8311" s="19">
        <v>10</v>
      </c>
      <c r="G8311" s="14"/>
      <c r="H8311" s="19">
        <v>10</v>
      </c>
      <c r="I8311" s="14"/>
      <c r="J8311" t="s" s="11">
        <v>20</v>
      </c>
      <c r="K8311" t="s" s="16">
        <f>HYPERLINK("http://csr.bu.edu/ftp/asl/asllvd/demos/verify_start_end_handshape_annotations//test_auto_move//signs_mov/5919.mov","MOV")</f>
        <v>21</v>
      </c>
      <c r="L8311" t="s" s="16">
        <f>HYPERLINK("http://csr.bu.edu/ftp/asl/asllvd/demos/verify_start_end_handshape_annotations//test_auto_move//signs_mov_separ_signers/Brady_5919.mov","MOV")</f>
        <v>21</v>
      </c>
      <c r="M8311" t="s" s="10">
        <v>60</v>
      </c>
      <c r="N8311" s="17">
        <v>45</v>
      </c>
      <c r="O8311" s="18">
        <v>1930</v>
      </c>
      <c r="P8311" s="18">
        <v>1973</v>
      </c>
      <c r="Q8311" t="s" s="16">
        <f>HYPERLINK("http://secrets.rutgers.edu:8080/data/asl-ftp/asllvd/demos/verify_start_end_handshape_annotations//test_auto_move//signs_mov/5919.mov","MOV")</f>
        <v>21</v>
      </c>
      <c r="R8311" t="s" s="16">
        <f>HYPERLINK("http://secrets.rutgers.edu:8080/data/asl-ftp/asllvd/demos/verify_start_end_handshape_annotations//test_auto_move//signs_mov_separ_signers/Brady_5919.mov","MOV")</f>
        <v>21</v>
      </c>
    </row>
    <row r="8312" s="2" customFormat="1" ht="13.5" customHeight="1">
      <c r="B8312" t="s" s="8">
        <v>2983</v>
      </c>
      <c r="C8312" t="s" s="9">
        <v>14</v>
      </c>
      <c r="D8312" t="s" s="8">
        <v>14</v>
      </c>
      <c r="E8312" t="s" s="9">
        <v>14</v>
      </c>
      <c r="F8312" t="s" s="10">
        <v>14</v>
      </c>
      <c r="G8312" t="s" s="11">
        <v>14</v>
      </c>
      <c r="H8312" t="s" s="10">
        <v>14</v>
      </c>
      <c r="I8312" t="s" s="11">
        <v>14</v>
      </c>
      <c r="J8312" t="s" s="11">
        <v>14</v>
      </c>
      <c r="K8312" t="s" s="12">
        <v>14</v>
      </c>
      <c r="L8312" t="s" s="12">
        <v>14</v>
      </c>
      <c r="M8312" t="s" s="10">
        <v>14</v>
      </c>
      <c r="N8312" t="s" s="11">
        <v>14</v>
      </c>
      <c r="O8312" t="s" s="8">
        <v>14</v>
      </c>
      <c r="P8312" t="s" s="8">
        <v>14</v>
      </c>
      <c r="Q8312" t="s" s="12">
        <v>14</v>
      </c>
      <c r="R8312" t="s" s="12">
        <v>14</v>
      </c>
    </row>
    <row r="8313" s="2" customFormat="1" ht="13.5" customHeight="1">
      <c r="B8313" s="13"/>
      <c r="C8313" t="s" s="9">
        <v>16</v>
      </c>
      <c r="D8313" t="s" s="8">
        <v>2983</v>
      </c>
      <c r="E8313" t="s" s="9">
        <v>2983</v>
      </c>
      <c r="F8313" t="s" s="10">
        <v>220</v>
      </c>
      <c r="G8313" t="s" s="11">
        <v>73</v>
      </c>
      <c r="H8313" t="s" s="10">
        <v>220</v>
      </c>
      <c r="I8313" t="s" s="11">
        <v>73</v>
      </c>
      <c r="J8313" t="s" s="11">
        <v>20</v>
      </c>
      <c r="K8313" t="s" s="16">
        <f>HYPERLINK("http://csr.bu.edu/ftp/asl/asllvd/demos/verify_start_end_handshape_annotations//test_auto_move//signs_mov/2214.mov","MOV")</f>
        <v>21</v>
      </c>
      <c r="L8313" t="s" s="16">
        <f>HYPERLINK("http://csr.bu.edu/ftp/asl/asllvd/demos/verify_start_end_handshape_annotations//test_auto_move//signs_mov_separ_signers/Liz_2214.mov","MOV")</f>
        <v>21</v>
      </c>
      <c r="M8313" t="s" s="10">
        <v>36</v>
      </c>
      <c r="N8313" s="17">
        <v>25</v>
      </c>
      <c r="O8313" s="18">
        <v>1876</v>
      </c>
      <c r="P8313" s="18">
        <v>1915</v>
      </c>
      <c r="Q8313" t="s" s="16">
        <f>HYPERLINK("http://secrets.rutgers.edu:8080/data/asl-ftp/asllvd/demos/verify_start_end_handshape_annotations//test_auto_move//signs_mov/2214.mov","MOV")</f>
        <v>21</v>
      </c>
      <c r="R8313" t="s" s="16">
        <f>HYPERLINK("http://secrets.rutgers.edu:8080/data/asl-ftp/asllvd/demos/verify_start_end_handshape_annotations//test_auto_move//signs_mov_separ_signers/Liz_2214.mov","MOV")</f>
        <v>21</v>
      </c>
    </row>
    <row r="8314" s="2" customFormat="1" ht="13.5" customHeight="1">
      <c r="B8314" s="13"/>
      <c r="C8314" t="s" s="9">
        <v>30</v>
      </c>
      <c r="D8314" t="s" s="8">
        <v>2983</v>
      </c>
      <c r="E8314" t="s" s="9">
        <v>2983</v>
      </c>
      <c r="F8314" t="s" s="10">
        <v>220</v>
      </c>
      <c r="G8314" t="s" s="11">
        <v>73</v>
      </c>
      <c r="H8314" t="s" s="10">
        <v>220</v>
      </c>
      <c r="I8314" t="s" s="11">
        <v>73</v>
      </c>
      <c r="J8314" t="s" s="11">
        <v>20</v>
      </c>
      <c r="K8314" s="15"/>
      <c r="L8314" t="s" s="16">
        <f>HYPERLINK("http://csr.bu.edu/ftp/asl/asllvd/demos/verify_start_end_handshape_annotations//test_auto_move//signs_mov_separ_signers/Brady_2214.mov","MOV")</f>
        <v>21</v>
      </c>
      <c r="M8314" t="s" s="10">
        <v>40</v>
      </c>
      <c r="N8314" s="17">
        <v>75</v>
      </c>
      <c r="O8314" s="18">
        <v>2617</v>
      </c>
      <c r="P8314" s="18">
        <v>2644</v>
      </c>
      <c r="Q8314" s="15"/>
      <c r="R8314" t="s" s="16">
        <f>HYPERLINK("http://secrets.rutgers.edu:8080/data/asl-ftp/asllvd/demos/verify_start_end_handshape_annotations//test_auto_move//signs_mov_separ_signers/Brady_2214.mov","MOV")</f>
        <v>21</v>
      </c>
    </row>
    <row r="8315" s="2" customFormat="1" ht="13.5" customHeight="1">
      <c r="B8315" t="s" s="8">
        <v>2983</v>
      </c>
      <c r="C8315" t="s" s="9">
        <v>14</v>
      </c>
      <c r="D8315" t="s" s="8">
        <v>14</v>
      </c>
      <c r="E8315" t="s" s="9">
        <v>14</v>
      </c>
      <c r="F8315" t="s" s="10">
        <v>14</v>
      </c>
      <c r="G8315" t="s" s="11">
        <v>14</v>
      </c>
      <c r="H8315" t="s" s="10">
        <v>14</v>
      </c>
      <c r="I8315" t="s" s="11">
        <v>14</v>
      </c>
      <c r="J8315" t="s" s="11">
        <v>14</v>
      </c>
      <c r="K8315" t="s" s="12">
        <v>14</v>
      </c>
      <c r="L8315" t="s" s="12">
        <v>14</v>
      </c>
      <c r="M8315" t="s" s="10">
        <v>14</v>
      </c>
      <c r="N8315" t="s" s="11">
        <v>14</v>
      </c>
      <c r="O8315" t="s" s="8">
        <v>14</v>
      </c>
      <c r="P8315" t="s" s="8">
        <v>14</v>
      </c>
      <c r="Q8315" t="s" s="12">
        <v>14</v>
      </c>
      <c r="R8315" t="s" s="12">
        <v>14</v>
      </c>
    </row>
    <row r="8316" s="2" customFormat="1" ht="13.5" customHeight="1">
      <c r="B8316" s="13"/>
      <c r="C8316" t="s" s="9">
        <v>41</v>
      </c>
      <c r="D8316" t="s" s="8">
        <v>2984</v>
      </c>
      <c r="E8316" t="s" s="9">
        <v>2984</v>
      </c>
      <c r="F8316" t="s" s="10">
        <v>240</v>
      </c>
      <c r="G8316" t="s" s="11">
        <v>73</v>
      </c>
      <c r="H8316" t="s" s="10">
        <v>240</v>
      </c>
      <c r="I8316" t="s" s="11">
        <v>73</v>
      </c>
      <c r="J8316" t="s" s="11">
        <v>20</v>
      </c>
      <c r="K8316" t="s" s="16">
        <f>HYPERLINK("http://csr.bu.edu/ftp/asl/asllvd/demos/verify_start_end_handshape_annotations//test_auto_move//signs_mov/5376.mov","MOV")</f>
        <v>21</v>
      </c>
      <c r="L8316" t="s" s="16">
        <f>HYPERLINK("http://csr.bu.edu/ftp/asl/asllvd/demos/verify_start_end_handshape_annotations//test_auto_move//signs_mov_separ_signers/Lana_5376.mov","MOV")</f>
        <v>21</v>
      </c>
      <c r="M8316" t="s" s="10">
        <v>42</v>
      </c>
      <c r="N8316" s="17">
        <v>25</v>
      </c>
      <c r="O8316" s="18">
        <v>485</v>
      </c>
      <c r="P8316" s="18">
        <v>517</v>
      </c>
      <c r="Q8316" t="s" s="16">
        <f>HYPERLINK("http://secrets.rutgers.edu:8080/data/asl-ftp/asllvd/demos/verify_start_end_handshape_annotations//test_auto_move//signs_mov/5376.mov","MOV")</f>
        <v>21</v>
      </c>
      <c r="R8316" t="s" s="16">
        <f>HYPERLINK("http://secrets.rutgers.edu:8080/data/asl-ftp/asllvd/demos/verify_start_end_handshape_annotations//test_auto_move//signs_mov_separ_signers/Lana_5376.mov","MOV")</f>
        <v>21</v>
      </c>
    </row>
    <row r="8317" s="2" customFormat="1" ht="13.5" customHeight="1">
      <c r="B8317" t="s" s="8">
        <v>2985</v>
      </c>
      <c r="C8317" t="s" s="9">
        <v>14</v>
      </c>
      <c r="D8317" t="s" s="8">
        <v>14</v>
      </c>
      <c r="E8317" t="s" s="9">
        <v>14</v>
      </c>
      <c r="F8317" t="s" s="10">
        <v>14</v>
      </c>
      <c r="G8317" t="s" s="11">
        <v>14</v>
      </c>
      <c r="H8317" t="s" s="10">
        <v>14</v>
      </c>
      <c r="I8317" t="s" s="11">
        <v>14</v>
      </c>
      <c r="J8317" t="s" s="11">
        <v>14</v>
      </c>
      <c r="K8317" t="s" s="12">
        <v>14</v>
      </c>
      <c r="L8317" t="s" s="12">
        <v>14</v>
      </c>
      <c r="M8317" t="s" s="10">
        <v>14</v>
      </c>
      <c r="N8317" t="s" s="11">
        <v>14</v>
      </c>
      <c r="O8317" t="s" s="8">
        <v>14</v>
      </c>
      <c r="P8317" t="s" s="8">
        <v>14</v>
      </c>
      <c r="Q8317" t="s" s="12">
        <v>14</v>
      </c>
      <c r="R8317" t="s" s="12">
        <v>14</v>
      </c>
    </row>
    <row r="8318" s="2" customFormat="1" ht="13.5" customHeight="1">
      <c r="B8318" s="13"/>
      <c r="C8318" t="s" s="9">
        <v>16</v>
      </c>
      <c r="D8318" t="s" s="8">
        <v>2985</v>
      </c>
      <c r="E8318" t="s" s="9">
        <v>2985</v>
      </c>
      <c r="F8318" t="s" s="10">
        <v>220</v>
      </c>
      <c r="G8318" s="14"/>
      <c r="H8318" t="s" s="10">
        <v>220</v>
      </c>
      <c r="I8318" s="14"/>
      <c r="J8318" t="s" s="11">
        <v>20</v>
      </c>
      <c r="K8318" s="15"/>
      <c r="L8318" t="s" s="16">
        <f>HYPERLINK("http://csr.bu.edu/ftp/asl/asllvd/demos/verify_start_end_handshape_annotations//test_auto_move//signs_mov_separ_signers/Liz_2215.mov","MOV")</f>
        <v>21</v>
      </c>
      <c r="M8318" t="s" s="10">
        <v>36</v>
      </c>
      <c r="N8318" s="17">
        <v>25</v>
      </c>
      <c r="O8318" s="18">
        <v>2115</v>
      </c>
      <c r="P8318" s="18">
        <v>2136</v>
      </c>
      <c r="Q8318" s="15"/>
      <c r="R8318" t="s" s="16">
        <f>HYPERLINK("http://secrets.rutgers.edu:8080/data/asl-ftp/asllvd/demos/verify_start_end_handshape_annotations//test_auto_move//signs_mov_separ_signers/Liz_2215.mov","MOV")</f>
        <v>21</v>
      </c>
    </row>
    <row r="8319" s="2" customFormat="1" ht="13.5" customHeight="1">
      <c r="B8319" s="13"/>
      <c r="C8319" t="s" s="9">
        <v>30</v>
      </c>
      <c r="D8319" t="s" s="8">
        <v>2985</v>
      </c>
      <c r="E8319" t="s" s="9">
        <v>2985</v>
      </c>
      <c r="F8319" t="s" s="10">
        <v>220</v>
      </c>
      <c r="G8319" s="14"/>
      <c r="H8319" t="s" s="10">
        <v>220</v>
      </c>
      <c r="I8319" s="14"/>
      <c r="J8319" t="s" s="11">
        <v>20</v>
      </c>
      <c r="K8319" t="s" s="16">
        <f>HYPERLINK("http://csr.bu.edu/ftp/asl/asllvd/demos/verify_start_end_handshape_annotations//test_auto_move//signs_mov/2215.mov","MOV")</f>
        <v>21</v>
      </c>
      <c r="L8319" t="s" s="16">
        <f>HYPERLINK("http://csr.bu.edu/ftp/asl/asllvd/demos/verify_start_end_handshape_annotations//test_auto_move//signs_mov_separ_signers/Brady_2215.mov","MOV")</f>
        <v>21</v>
      </c>
      <c r="M8319" t="s" s="10">
        <v>40</v>
      </c>
      <c r="N8319" s="17">
        <v>75</v>
      </c>
      <c r="O8319" s="18">
        <v>2844</v>
      </c>
      <c r="P8319" s="18">
        <v>2856</v>
      </c>
      <c r="Q8319" t="s" s="16">
        <f>HYPERLINK("http://secrets.rutgers.edu:8080/data/asl-ftp/asllvd/demos/verify_start_end_handshape_annotations//test_auto_move//signs_mov/2215.mov","MOV")</f>
        <v>21</v>
      </c>
      <c r="R8319" t="s" s="16">
        <f>HYPERLINK("http://secrets.rutgers.edu:8080/data/asl-ftp/asllvd/demos/verify_start_end_handshape_annotations//test_auto_move//signs_mov_separ_signers/Brady_2215.mov","MOV")</f>
        <v>21</v>
      </c>
    </row>
    <row r="8320" s="2" customFormat="1" ht="13.5" customHeight="1">
      <c r="B8320" s="13"/>
      <c r="C8320" t="s" s="9">
        <v>41</v>
      </c>
      <c r="D8320" t="s" s="8">
        <v>2985</v>
      </c>
      <c r="E8320" t="s" s="9">
        <v>2985</v>
      </c>
      <c r="F8320" t="s" s="10">
        <v>229</v>
      </c>
      <c r="G8320" s="14"/>
      <c r="H8320" t="s" s="10">
        <v>229</v>
      </c>
      <c r="I8320" s="14"/>
      <c r="J8320" t="s" s="11">
        <v>20</v>
      </c>
      <c r="K8320" s="15"/>
      <c r="L8320" t="s" s="16">
        <f>HYPERLINK("http://csr.bu.edu/ftp/asl/asllvd/demos/verify_start_end_handshape_annotations//test_auto_move//signs_mov_separ_signers/Lana_2215.mov","MOV")</f>
        <v>21</v>
      </c>
      <c r="M8320" t="s" s="10">
        <v>42</v>
      </c>
      <c r="N8320" s="17">
        <v>24</v>
      </c>
      <c r="O8320" s="18">
        <v>582</v>
      </c>
      <c r="P8320" s="18">
        <v>600</v>
      </c>
      <c r="Q8320" s="15"/>
      <c r="R8320" t="s" s="16">
        <f>HYPERLINK("http://secrets.rutgers.edu:8080/data/asl-ftp/asllvd/demos/verify_start_end_handshape_annotations//test_auto_move//signs_mov_separ_signers/Lana_2215.mov","MOV")</f>
        <v>21</v>
      </c>
    </row>
    <row r="8321" s="2" customFormat="1" ht="13.5" customHeight="1">
      <c r="B8321" s="13"/>
      <c r="C8321" t="s" s="9">
        <v>43</v>
      </c>
      <c r="D8321" t="s" s="8">
        <v>2985</v>
      </c>
      <c r="E8321" t="s" s="9">
        <v>2985</v>
      </c>
      <c r="F8321" t="s" s="10">
        <v>229</v>
      </c>
      <c r="G8321" s="14"/>
      <c r="H8321" t="s" s="10">
        <v>229</v>
      </c>
      <c r="I8321" s="14"/>
      <c r="J8321" t="s" s="11">
        <v>20</v>
      </c>
      <c r="K8321" s="15"/>
      <c r="L8321" t="s" s="16">
        <f>HYPERLINK("http://csr.bu.edu/ftp/asl/asllvd/demos/verify_start_end_handshape_annotations//test_auto_move//signs_mov_separ_signers/Dana_2215.mov","MOV")</f>
        <v>21</v>
      </c>
      <c r="M8321" t="s" s="10">
        <v>44</v>
      </c>
      <c r="N8321" s="17">
        <v>26</v>
      </c>
      <c r="O8321" s="18">
        <v>539</v>
      </c>
      <c r="P8321" s="18">
        <v>557</v>
      </c>
      <c r="Q8321" s="15"/>
      <c r="R8321" t="s" s="16">
        <f>HYPERLINK("http://secrets.rutgers.edu:8080/data/asl-ftp/asllvd/demos/verify_start_end_handshape_annotations//test_auto_move//signs_mov_separ_signers/Dana_2215.mov","MOV")</f>
        <v>21</v>
      </c>
    </row>
    <row r="8322" s="2" customFormat="1" ht="13.5" customHeight="1">
      <c r="B8322" t="s" s="8">
        <v>2986</v>
      </c>
      <c r="C8322" t="s" s="9">
        <v>14</v>
      </c>
      <c r="D8322" t="s" s="8">
        <v>14</v>
      </c>
      <c r="E8322" t="s" s="9">
        <v>14</v>
      </c>
      <c r="F8322" t="s" s="10">
        <v>14</v>
      </c>
      <c r="G8322" t="s" s="11">
        <v>14</v>
      </c>
      <c r="H8322" t="s" s="10">
        <v>14</v>
      </c>
      <c r="I8322" t="s" s="11">
        <v>14</v>
      </c>
      <c r="J8322" t="s" s="11">
        <v>14</v>
      </c>
      <c r="K8322" t="s" s="12">
        <v>14</v>
      </c>
      <c r="L8322" t="s" s="12">
        <v>14</v>
      </c>
      <c r="M8322" t="s" s="10">
        <v>14</v>
      </c>
      <c r="N8322" t="s" s="11">
        <v>14</v>
      </c>
      <c r="O8322" t="s" s="8">
        <v>14</v>
      </c>
      <c r="P8322" t="s" s="8">
        <v>14</v>
      </c>
      <c r="Q8322" t="s" s="12">
        <v>14</v>
      </c>
      <c r="R8322" t="s" s="12">
        <v>14</v>
      </c>
    </row>
    <row r="8323" s="2" customFormat="1" ht="13.5" customHeight="1">
      <c r="B8323" s="13"/>
      <c r="C8323" t="s" s="9">
        <v>16</v>
      </c>
      <c r="D8323" t="s" s="8">
        <v>2986</v>
      </c>
      <c r="E8323" t="s" s="9">
        <v>2987</v>
      </c>
      <c r="F8323" t="s" s="10">
        <v>229</v>
      </c>
      <c r="G8323" s="14"/>
      <c r="H8323" t="s" s="10">
        <v>229</v>
      </c>
      <c r="I8323" s="14"/>
      <c r="J8323" t="s" s="11">
        <v>20</v>
      </c>
      <c r="K8323" s="15"/>
      <c r="L8323" t="s" s="16">
        <f>HYPERLINK("http://csr.bu.edu/ftp/asl/asllvd/demos/verify_start_end_handshape_annotations//test_auto_move//signs_mov_separ_signers/Liz_15083.mov","MOV")</f>
        <v>21</v>
      </c>
      <c r="M8323" t="s" s="10">
        <v>88</v>
      </c>
      <c r="N8323" s="17">
        <v>23</v>
      </c>
      <c r="O8323" s="18">
        <v>1632</v>
      </c>
      <c r="P8323" s="18">
        <v>1680</v>
      </c>
      <c r="Q8323" s="15"/>
      <c r="R8323" t="s" s="16">
        <f>HYPERLINK("http://secrets.rutgers.edu:8080/data/asl-ftp/asllvd/demos/verify_start_end_handshape_annotations//test_auto_move//signs_mov_separ_signers/Liz_15083.mov","MOV")</f>
        <v>21</v>
      </c>
    </row>
    <row r="8324" s="2" customFormat="1" ht="13.5" customHeight="1">
      <c r="B8324" s="13"/>
      <c r="C8324" t="s" s="9">
        <v>30</v>
      </c>
      <c r="D8324" t="s" s="8">
        <v>2986</v>
      </c>
      <c r="E8324" t="s" s="9">
        <v>2987</v>
      </c>
      <c r="F8324" t="s" s="10">
        <v>229</v>
      </c>
      <c r="G8324" s="14"/>
      <c r="H8324" t="s" s="10">
        <v>229</v>
      </c>
      <c r="I8324" s="14"/>
      <c r="J8324" t="s" s="11">
        <v>20</v>
      </c>
      <c r="K8324" t="s" s="16">
        <f>HYPERLINK("http://csr.bu.edu/ftp/asl/asllvd/demos/verify_start_end_handshape_annotations//test_auto_move//signs_mov/15083.mov","MOV")</f>
        <v>21</v>
      </c>
      <c r="L8324" t="s" s="16">
        <f>HYPERLINK("http://csr.bu.edu/ftp/asl/asllvd/demos/verify_start_end_handshape_annotations//test_auto_move//signs_mov_separ_signers/Brady_15083.mov","MOV")</f>
        <v>21</v>
      </c>
      <c r="M8324" t="s" s="10">
        <v>40</v>
      </c>
      <c r="N8324" s="17">
        <v>18</v>
      </c>
      <c r="O8324" s="18">
        <v>2620</v>
      </c>
      <c r="P8324" s="18">
        <v>2642</v>
      </c>
      <c r="Q8324" t="s" s="16">
        <f>HYPERLINK("http://secrets.rutgers.edu:8080/data/asl-ftp/asllvd/demos/verify_start_end_handshape_annotations//test_auto_move//signs_mov/15083.mov","MOV")</f>
        <v>21</v>
      </c>
      <c r="R8324" t="s" s="16">
        <f>HYPERLINK("http://secrets.rutgers.edu:8080/data/asl-ftp/asllvd/demos/verify_start_end_handshape_annotations//test_auto_move//signs_mov_separ_signers/Brady_15083.mov","MOV")</f>
        <v>21</v>
      </c>
    </row>
    <row r="8325" s="2" customFormat="1" ht="13.5" customHeight="1">
      <c r="B8325" s="13"/>
      <c r="C8325" t="s" s="9">
        <v>41</v>
      </c>
      <c r="D8325" t="s" s="8">
        <v>2986</v>
      </c>
      <c r="E8325" t="s" s="9">
        <v>2987</v>
      </c>
      <c r="F8325" t="s" s="10">
        <v>229</v>
      </c>
      <c r="G8325" s="14"/>
      <c r="H8325" t="s" s="10">
        <v>229</v>
      </c>
      <c r="I8325" s="14"/>
      <c r="J8325" t="s" s="11">
        <v>20</v>
      </c>
      <c r="K8325" s="15"/>
      <c r="L8325" t="s" s="16">
        <f>HYPERLINK("http://csr.bu.edu/ftp/asl/asllvd/demos/verify_start_end_handshape_annotations//test_auto_move//signs_mov_separ_signers/Lana_15083.mov","MOV")</f>
        <v>21</v>
      </c>
      <c r="M8325" t="s" s="10">
        <v>42</v>
      </c>
      <c r="N8325" s="17">
        <v>16</v>
      </c>
      <c r="O8325" s="18">
        <v>1907</v>
      </c>
      <c r="P8325" s="18">
        <v>1942</v>
      </c>
      <c r="Q8325" s="15"/>
      <c r="R8325" t="s" s="16">
        <f>HYPERLINK("http://secrets.rutgers.edu:8080/data/asl-ftp/asllvd/demos/verify_start_end_handshape_annotations//test_auto_move//signs_mov_separ_signers/Lana_15083.mov","MOV")</f>
        <v>21</v>
      </c>
    </row>
    <row r="8326" s="2" customFormat="1" ht="13.5" customHeight="1">
      <c r="B8326" s="13"/>
      <c r="C8326" t="s" s="9">
        <v>43</v>
      </c>
      <c r="D8326" t="s" s="8">
        <v>2986</v>
      </c>
      <c r="E8326" t="s" s="9">
        <v>2986</v>
      </c>
      <c r="F8326" t="s" s="10">
        <v>229</v>
      </c>
      <c r="G8326" s="14"/>
      <c r="H8326" t="s" s="10">
        <v>229</v>
      </c>
      <c r="I8326" s="14"/>
      <c r="J8326" t="s" s="11">
        <v>20</v>
      </c>
      <c r="K8326" s="15"/>
      <c r="L8326" t="s" s="16">
        <f>HYPERLINK("http://csr.bu.edu/ftp/asl/asllvd/demos/verify_start_end_handshape_annotations//test_auto_move//signs_mov_separ_signers/Dana_15083.mov","MOV")</f>
        <v>21</v>
      </c>
      <c r="M8326" t="s" s="10">
        <v>44</v>
      </c>
      <c r="N8326" s="17">
        <v>19</v>
      </c>
      <c r="O8326" s="18">
        <v>1977</v>
      </c>
      <c r="P8326" s="18">
        <v>2022</v>
      </c>
      <c r="Q8326" s="15"/>
      <c r="R8326" t="s" s="16">
        <f>HYPERLINK("http://secrets.rutgers.edu:8080/data/asl-ftp/asllvd/demos/verify_start_end_handshape_annotations//test_auto_move//signs_mov_separ_signers/Dana_15083.mov","MOV")</f>
        <v>21</v>
      </c>
    </row>
    <row r="8327" s="2" customFormat="1" ht="13.5" customHeight="1">
      <c r="B8327" t="s" s="8">
        <v>2988</v>
      </c>
      <c r="C8327" t="s" s="9">
        <v>14</v>
      </c>
      <c r="D8327" t="s" s="8">
        <v>14</v>
      </c>
      <c r="E8327" t="s" s="9">
        <v>14</v>
      </c>
      <c r="F8327" t="s" s="10">
        <v>14</v>
      </c>
      <c r="G8327" t="s" s="11">
        <v>14</v>
      </c>
      <c r="H8327" t="s" s="10">
        <v>14</v>
      </c>
      <c r="I8327" t="s" s="11">
        <v>14</v>
      </c>
      <c r="J8327" t="s" s="11">
        <v>14</v>
      </c>
      <c r="K8327" t="s" s="12">
        <v>14</v>
      </c>
      <c r="L8327" t="s" s="12">
        <v>14</v>
      </c>
      <c r="M8327" t="s" s="10">
        <v>14</v>
      </c>
      <c r="N8327" t="s" s="11">
        <v>14</v>
      </c>
      <c r="O8327" t="s" s="8">
        <v>14</v>
      </c>
      <c r="P8327" t="s" s="8">
        <v>14</v>
      </c>
      <c r="Q8327" t="s" s="12">
        <v>14</v>
      </c>
      <c r="R8327" t="s" s="12">
        <v>14</v>
      </c>
    </row>
    <row r="8328" s="2" customFormat="1" ht="13.5" customHeight="1">
      <c r="B8328" s="13"/>
      <c r="C8328" t="s" s="9">
        <v>16</v>
      </c>
      <c r="D8328" t="s" s="8">
        <v>2988</v>
      </c>
      <c r="E8328" t="s" s="9">
        <v>2988</v>
      </c>
      <c r="F8328" t="s" s="10">
        <v>229</v>
      </c>
      <c r="G8328" t="s" s="11">
        <v>105</v>
      </c>
      <c r="H8328" t="s" s="10">
        <v>229</v>
      </c>
      <c r="I8328" t="s" s="11">
        <v>105</v>
      </c>
      <c r="J8328" t="s" s="11">
        <v>136</v>
      </c>
      <c r="K8328" t="s" s="16">
        <f>HYPERLINK("http://csr.bu.edu/ftp/asl/asllvd/demos/verify_start_end_handshape_annotations//test_auto_move//signs_mov/15928.mov","MOV")</f>
        <v>21</v>
      </c>
      <c r="L8328" t="s" s="16">
        <f>HYPERLINK("http://csr.bu.edu/ftp/asl/asllvd/demos/verify_start_end_handshape_annotations//test_auto_move//signs_mov_separ_signers/Liz_15928.mov","MOV")</f>
        <v>21</v>
      </c>
      <c r="M8328" t="s" s="10">
        <v>88</v>
      </c>
      <c r="N8328" s="17">
        <v>46</v>
      </c>
      <c r="O8328" s="18">
        <v>1407</v>
      </c>
      <c r="P8328" s="18">
        <v>1440</v>
      </c>
      <c r="Q8328" t="s" s="16">
        <f>HYPERLINK("http://secrets.rutgers.edu:8080/data/asl-ftp/asllvd/demos/verify_start_end_handshape_annotations//test_auto_move//signs_mov/15928.mov","MOV")</f>
        <v>21</v>
      </c>
      <c r="R8328" t="s" s="16">
        <f>HYPERLINK("http://secrets.rutgers.edu:8080/data/asl-ftp/asllvd/demos/verify_start_end_handshape_annotations//test_auto_move//signs_mov_separ_signers/Liz_15928.mov","MOV")</f>
        <v>21</v>
      </c>
    </row>
    <row r="8329" s="2" customFormat="1" ht="13.5" customHeight="1">
      <c r="B8329" s="13"/>
      <c r="C8329" t="s" s="9">
        <v>30</v>
      </c>
      <c r="D8329" t="s" s="8">
        <v>2988</v>
      </c>
      <c r="E8329" t="s" s="9">
        <v>2988</v>
      </c>
      <c r="F8329" t="s" s="10">
        <v>229</v>
      </c>
      <c r="G8329" t="s" s="11">
        <v>105</v>
      </c>
      <c r="H8329" t="s" s="10">
        <v>229</v>
      </c>
      <c r="I8329" t="s" s="11">
        <v>105</v>
      </c>
      <c r="J8329" t="s" s="11">
        <v>136</v>
      </c>
      <c r="K8329" s="15"/>
      <c r="L8329" t="s" s="16">
        <f>HYPERLINK("http://csr.bu.edu/ftp/asl/asllvd/demos/verify_start_end_handshape_annotations//test_auto_move//signs_mov_separ_signers/Brady_15928.mov","MOV")</f>
        <v>21</v>
      </c>
      <c r="M8329" t="s" s="10">
        <v>40</v>
      </c>
      <c r="N8329" s="17">
        <v>40</v>
      </c>
      <c r="O8329" s="18">
        <v>2076</v>
      </c>
      <c r="P8329" s="18">
        <v>2113</v>
      </c>
      <c r="Q8329" s="15"/>
      <c r="R8329" t="s" s="16">
        <f>HYPERLINK("http://secrets.rutgers.edu:8080/data/asl-ftp/asllvd/demos/verify_start_end_handshape_annotations//test_auto_move//signs_mov_separ_signers/Brady_15928.mov","MOV")</f>
        <v>21</v>
      </c>
    </row>
    <row r="8330" s="2" customFormat="1" ht="13.5" customHeight="1">
      <c r="B8330" t="s" s="8">
        <v>2989</v>
      </c>
      <c r="C8330" t="s" s="9">
        <v>14</v>
      </c>
      <c r="D8330" t="s" s="8">
        <v>14</v>
      </c>
      <c r="E8330" t="s" s="9">
        <v>14</v>
      </c>
      <c r="F8330" t="s" s="10">
        <v>14</v>
      </c>
      <c r="G8330" t="s" s="11">
        <v>14</v>
      </c>
      <c r="H8330" t="s" s="10">
        <v>14</v>
      </c>
      <c r="I8330" t="s" s="11">
        <v>14</v>
      </c>
      <c r="J8330" t="s" s="11">
        <v>14</v>
      </c>
      <c r="K8330" t="s" s="12">
        <v>14</v>
      </c>
      <c r="L8330" t="s" s="12">
        <v>14</v>
      </c>
      <c r="M8330" t="s" s="10">
        <v>14</v>
      </c>
      <c r="N8330" t="s" s="11">
        <v>14</v>
      </c>
      <c r="O8330" t="s" s="8">
        <v>14</v>
      </c>
      <c r="P8330" t="s" s="8">
        <v>14</v>
      </c>
      <c r="Q8330" t="s" s="12">
        <v>14</v>
      </c>
      <c r="R8330" t="s" s="12">
        <v>14</v>
      </c>
    </row>
    <row r="8331" s="2" customFormat="1" ht="13.5" customHeight="1">
      <c r="B8331" s="13"/>
      <c r="C8331" t="s" s="9">
        <v>16</v>
      </c>
      <c r="D8331" t="s" s="8">
        <v>2989</v>
      </c>
      <c r="E8331" t="s" s="9">
        <v>2989</v>
      </c>
      <c r="F8331" t="s" s="10">
        <v>260</v>
      </c>
      <c r="G8331" s="14"/>
      <c r="H8331" t="s" s="10">
        <v>260</v>
      </c>
      <c r="I8331" s="14"/>
      <c r="J8331" t="s" s="11">
        <v>20</v>
      </c>
      <c r="K8331" s="15"/>
      <c r="L8331" t="s" s="16">
        <f>HYPERLINK("http://csr.bu.edu/ftp/asl/asllvd/demos/verify_start_end_handshape_annotations//test_auto_move//signs_mov_separ_signers/Liz_2216.mov","MOV")</f>
        <v>21</v>
      </c>
      <c r="M8331" t="s" s="10">
        <v>36</v>
      </c>
      <c r="N8331" s="17">
        <v>25</v>
      </c>
      <c r="O8331" s="18">
        <v>2340</v>
      </c>
      <c r="P8331" s="18">
        <v>2375</v>
      </c>
      <c r="Q8331" s="15"/>
      <c r="R8331" t="s" s="16">
        <f>HYPERLINK("http://secrets.rutgers.edu:8080/data/asl-ftp/asllvd/demos/verify_start_end_handshape_annotations//test_auto_move//signs_mov_separ_signers/Liz_2216.mov","MOV")</f>
        <v>21</v>
      </c>
    </row>
    <row r="8332" s="2" customFormat="1" ht="13.5" customHeight="1">
      <c r="B8332" s="13"/>
      <c r="C8332" t="s" s="9">
        <v>30</v>
      </c>
      <c r="D8332" t="s" s="8">
        <v>2989</v>
      </c>
      <c r="E8332" t="s" s="9">
        <v>2990</v>
      </c>
      <c r="F8332" t="s" s="10">
        <v>260</v>
      </c>
      <c r="G8332" s="14"/>
      <c r="H8332" t="s" s="10">
        <v>260</v>
      </c>
      <c r="I8332" s="14"/>
      <c r="J8332" t="s" s="11">
        <v>20</v>
      </c>
      <c r="K8332" t="s" s="16">
        <f>HYPERLINK("http://csr.bu.edu/ftp/asl/asllvd/demos/verify_start_end_handshape_annotations//test_auto_move//signs_mov/2216.mov","MOV")</f>
        <v>21</v>
      </c>
      <c r="L8332" t="s" s="16">
        <f>HYPERLINK("http://csr.bu.edu/ftp/asl/asllvd/demos/verify_start_end_handshape_annotations//test_auto_move//signs_mov_separ_signers/Brady_2216.mov","MOV")</f>
        <v>21</v>
      </c>
      <c r="M8332" t="s" s="10">
        <v>40</v>
      </c>
      <c r="N8332" s="17">
        <v>75</v>
      </c>
      <c r="O8332" s="18">
        <v>3077</v>
      </c>
      <c r="P8332" s="18">
        <v>3114</v>
      </c>
      <c r="Q8332" t="s" s="16">
        <f>HYPERLINK("http://secrets.rutgers.edu:8080/data/asl-ftp/asllvd/demos/verify_start_end_handshape_annotations//test_auto_move//signs_mov/2216.mov","MOV")</f>
        <v>21</v>
      </c>
      <c r="R8332" t="s" s="16">
        <f>HYPERLINK("http://secrets.rutgers.edu:8080/data/asl-ftp/asllvd/demos/verify_start_end_handshape_annotations//test_auto_move//signs_mov_separ_signers/Brady_2216.mov","MOV")</f>
        <v>21</v>
      </c>
    </row>
    <row r="8333" s="2" customFormat="1" ht="13.5" customHeight="1">
      <c r="B8333" s="13"/>
      <c r="C8333" t="s" s="9">
        <v>41</v>
      </c>
      <c r="D8333" t="s" s="8">
        <v>2989</v>
      </c>
      <c r="E8333" t="s" s="9">
        <v>2991</v>
      </c>
      <c r="F8333" t="s" s="10">
        <v>80</v>
      </c>
      <c r="G8333" s="14"/>
      <c r="H8333" t="s" s="10">
        <v>80</v>
      </c>
      <c r="I8333" s="14"/>
      <c r="J8333" t="s" s="11">
        <v>20</v>
      </c>
      <c r="K8333" s="15"/>
      <c r="L8333" t="s" s="16">
        <f>HYPERLINK("http://csr.bu.edu/ftp/asl/asllvd/demos/verify_start_end_handshape_annotations//test_auto_move//signs_mov_separ_signers/Lana_2216.mov","MOV")</f>
        <v>21</v>
      </c>
      <c r="M8333" t="s" s="10">
        <v>42</v>
      </c>
      <c r="N8333" s="17">
        <v>24</v>
      </c>
      <c r="O8333" s="18">
        <v>955</v>
      </c>
      <c r="P8333" s="18">
        <v>984</v>
      </c>
      <c r="Q8333" s="15"/>
      <c r="R8333" t="s" s="16">
        <f>HYPERLINK("http://secrets.rutgers.edu:8080/data/asl-ftp/asllvd/demos/verify_start_end_handshape_annotations//test_auto_move//signs_mov_separ_signers/Lana_2216.mov","MOV")</f>
        <v>21</v>
      </c>
    </row>
    <row r="8334" s="2" customFormat="1" ht="13.5" customHeight="1">
      <c r="B8334" s="13"/>
      <c r="C8334" t="s" s="9">
        <v>43</v>
      </c>
      <c r="D8334" t="s" s="8">
        <v>2989</v>
      </c>
      <c r="E8334" t="s" s="9">
        <v>2991</v>
      </c>
      <c r="F8334" t="s" s="10">
        <v>150</v>
      </c>
      <c r="G8334" s="14"/>
      <c r="H8334" t="s" s="10">
        <v>150</v>
      </c>
      <c r="I8334" s="14"/>
      <c r="J8334" t="s" s="11">
        <v>20</v>
      </c>
      <c r="K8334" s="15"/>
      <c r="L8334" t="s" s="16">
        <f>HYPERLINK("http://csr.bu.edu/ftp/asl/asllvd/demos/verify_start_end_handshape_annotations//test_auto_move//signs_mov_separ_signers/Dana_2216.mov","MOV")</f>
        <v>21</v>
      </c>
      <c r="M8334" t="s" s="10">
        <v>44</v>
      </c>
      <c r="N8334" s="17">
        <v>26</v>
      </c>
      <c r="O8334" s="18">
        <v>914</v>
      </c>
      <c r="P8334" s="18">
        <v>959</v>
      </c>
      <c r="Q8334" s="15"/>
      <c r="R8334" t="s" s="16">
        <f>HYPERLINK("http://secrets.rutgers.edu:8080/data/asl-ftp/asllvd/demos/verify_start_end_handshape_annotations//test_auto_move//signs_mov_separ_signers/Dana_2216.mov","MOV")</f>
        <v>21</v>
      </c>
    </row>
    <row r="8335" s="2" customFormat="1" ht="13.5" customHeight="1">
      <c r="B8335" t="s" s="8">
        <v>2992</v>
      </c>
      <c r="C8335" t="s" s="9">
        <v>14</v>
      </c>
      <c r="D8335" t="s" s="8">
        <v>14</v>
      </c>
      <c r="E8335" t="s" s="9">
        <v>14</v>
      </c>
      <c r="F8335" t="s" s="10">
        <v>14</v>
      </c>
      <c r="G8335" t="s" s="11">
        <v>14</v>
      </c>
      <c r="H8335" t="s" s="10">
        <v>14</v>
      </c>
      <c r="I8335" t="s" s="11">
        <v>14</v>
      </c>
      <c r="J8335" t="s" s="11">
        <v>14</v>
      </c>
      <c r="K8335" t="s" s="12">
        <v>14</v>
      </c>
      <c r="L8335" t="s" s="12">
        <v>14</v>
      </c>
      <c r="M8335" t="s" s="10">
        <v>14</v>
      </c>
      <c r="N8335" t="s" s="11">
        <v>14</v>
      </c>
      <c r="O8335" t="s" s="8">
        <v>14</v>
      </c>
      <c r="P8335" t="s" s="8">
        <v>14</v>
      </c>
      <c r="Q8335" t="s" s="12">
        <v>14</v>
      </c>
      <c r="R8335" t="s" s="12">
        <v>14</v>
      </c>
    </row>
    <row r="8336" s="2" customFormat="1" ht="13.5" customHeight="1">
      <c r="B8336" s="13"/>
      <c r="C8336" t="s" s="9">
        <v>16</v>
      </c>
      <c r="D8336" t="s" s="8">
        <v>2992</v>
      </c>
      <c r="E8336" t="s" s="9">
        <v>2993</v>
      </c>
      <c r="F8336" t="s" s="10">
        <v>150</v>
      </c>
      <c r="G8336" t="s" s="11">
        <v>150</v>
      </c>
      <c r="H8336" t="s" s="10">
        <v>150</v>
      </c>
      <c r="I8336" t="s" s="11">
        <v>150</v>
      </c>
      <c r="J8336" t="s" s="11">
        <v>20</v>
      </c>
      <c r="K8336" s="15"/>
      <c r="L8336" t="s" s="16">
        <f>HYPERLINK("http://csr.bu.edu/ftp/asl/asllvd/demos/verify_start_end_handshape_annotations//test_auto_move//signs_mov_separ_signers/Liz_15908.mov","MOV")</f>
        <v>21</v>
      </c>
      <c r="M8336" t="s" s="10">
        <v>84</v>
      </c>
      <c r="N8336" s="17">
        <v>1</v>
      </c>
      <c r="O8336" s="18">
        <v>2780</v>
      </c>
      <c r="P8336" s="18">
        <v>2840</v>
      </c>
      <c r="Q8336" s="15"/>
      <c r="R8336" t="s" s="16">
        <f>HYPERLINK("http://secrets.rutgers.edu:8080/data/asl-ftp/asllvd/demos/verify_start_end_handshape_annotations//test_auto_move//signs_mov_separ_signers/Liz_15908.mov","MOV")</f>
        <v>21</v>
      </c>
    </row>
    <row r="8337" s="2" customFormat="1" ht="13.5" customHeight="1">
      <c r="B8337" s="13"/>
      <c r="C8337" t="s" s="9">
        <v>23</v>
      </c>
      <c r="D8337" t="s" s="8">
        <v>2992</v>
      </c>
      <c r="E8337" t="s" s="9">
        <v>2993</v>
      </c>
      <c r="F8337" t="s" s="10">
        <v>150</v>
      </c>
      <c r="G8337" t="s" s="11">
        <v>150</v>
      </c>
      <c r="H8337" t="s" s="10">
        <v>150</v>
      </c>
      <c r="I8337" t="s" s="11">
        <v>150</v>
      </c>
      <c r="J8337" t="s" s="11">
        <v>20</v>
      </c>
      <c r="K8337" t="s" s="16">
        <f>HYPERLINK("http://csr.bu.edu/ftp/asl/asllvd/demos/verify_start_end_handshape_annotations//test_auto_move//signs_mov/15908.mov","MOV")</f>
        <v>21</v>
      </c>
      <c r="L8337" t="s" s="16">
        <f>HYPERLINK("http://csr.bu.edu/ftp/asl/asllvd/demos/verify_start_end_handshape_annotations//test_auto_move//signs_mov_separ_signers/Tyler_15908.mov","MOV")</f>
        <v>21</v>
      </c>
      <c r="M8337" t="s" s="10">
        <v>125</v>
      </c>
      <c r="N8337" s="17">
        <v>1</v>
      </c>
      <c r="O8337" s="18">
        <v>3335</v>
      </c>
      <c r="P8337" s="18">
        <v>3380</v>
      </c>
      <c r="Q8337" t="s" s="16">
        <f>HYPERLINK("http://secrets.rutgers.edu:8080/data/asl-ftp/asllvd/demos/verify_start_end_handshape_annotations//test_auto_move//signs_mov/15908.mov","MOV")</f>
        <v>21</v>
      </c>
      <c r="R8337" t="s" s="16">
        <f>HYPERLINK("http://secrets.rutgers.edu:8080/data/asl-ftp/asllvd/demos/verify_start_end_handshape_annotations//test_auto_move//signs_mov_separ_signers/Tyler_15908.mov","MOV")</f>
        <v>21</v>
      </c>
    </row>
    <row r="8338" s="2" customFormat="1" ht="13.5" customHeight="1">
      <c r="B8338" s="13"/>
      <c r="C8338" t="s" s="9">
        <v>27</v>
      </c>
      <c r="D8338" t="s" s="8">
        <v>2992</v>
      </c>
      <c r="E8338" t="s" s="9">
        <v>2993</v>
      </c>
      <c r="F8338" t="s" s="10">
        <v>150</v>
      </c>
      <c r="G8338" t="s" s="11">
        <v>150</v>
      </c>
      <c r="H8338" t="s" s="10">
        <v>150</v>
      </c>
      <c r="I8338" t="s" s="11">
        <v>150</v>
      </c>
      <c r="J8338" t="s" s="11">
        <v>20</v>
      </c>
      <c r="K8338" s="15"/>
      <c r="L8338" t="s" s="16">
        <f>HYPERLINK("http://csr.bu.edu/ftp/asl/asllvd/demos/verify_start_end_handshape_annotations//test_auto_move//signs_mov_separ_signers/Naomi_15908.mov","MOV")</f>
        <v>21</v>
      </c>
      <c r="M8338" t="s" s="10">
        <v>86</v>
      </c>
      <c r="N8338" s="17">
        <v>1</v>
      </c>
      <c r="O8338" s="18">
        <v>3531</v>
      </c>
      <c r="P8338" s="18">
        <v>3561</v>
      </c>
      <c r="Q8338" s="15"/>
      <c r="R8338" t="s" s="16">
        <f>HYPERLINK("http://secrets.rutgers.edu:8080/data/asl-ftp/asllvd/demos/verify_start_end_handshape_annotations//test_auto_move//signs_mov_separ_signers/Naomi_15908.mov","MOV")</f>
        <v>21</v>
      </c>
    </row>
    <row r="8339" s="2" customFormat="1" ht="13.5" customHeight="1">
      <c r="B8339" s="13"/>
      <c r="C8339" t="s" s="9">
        <v>30</v>
      </c>
      <c r="D8339" t="s" s="8">
        <v>2992</v>
      </c>
      <c r="E8339" t="s" s="9">
        <v>2993</v>
      </c>
      <c r="F8339" t="s" s="10">
        <v>150</v>
      </c>
      <c r="G8339" t="s" s="11">
        <v>150</v>
      </c>
      <c r="H8339" t="s" s="10">
        <v>150</v>
      </c>
      <c r="I8339" t="s" s="11">
        <v>150</v>
      </c>
      <c r="J8339" t="s" s="11">
        <v>20</v>
      </c>
      <c r="K8339" s="15"/>
      <c r="L8339" t="s" s="16">
        <f>HYPERLINK("http://csr.bu.edu/ftp/asl/asllvd/demos/verify_start_end_handshape_annotations//test_auto_move//signs_mov_separ_signers/Brady_15908.mov","MOV")</f>
        <v>21</v>
      </c>
      <c r="M8339" t="s" s="10">
        <v>31</v>
      </c>
      <c r="N8339" s="17">
        <v>29</v>
      </c>
      <c r="O8339" s="18">
        <v>5139</v>
      </c>
      <c r="P8339" s="18">
        <v>5179</v>
      </c>
      <c r="Q8339" s="15"/>
      <c r="R8339" t="s" s="16">
        <f>HYPERLINK("http://secrets.rutgers.edu:8080/data/asl-ftp/asllvd/demos/verify_start_end_handshape_annotations//test_auto_move//signs_mov_separ_signers/Brady_15908.mov","MOV")</f>
        <v>21</v>
      </c>
    </row>
    <row r="8340" s="2" customFormat="1" ht="13.5" customHeight="1">
      <c r="B8340" t="s" s="8">
        <v>2994</v>
      </c>
      <c r="C8340" t="s" s="9">
        <v>14</v>
      </c>
      <c r="D8340" t="s" s="8">
        <v>14</v>
      </c>
      <c r="E8340" t="s" s="9">
        <v>14</v>
      </c>
      <c r="F8340" t="s" s="10">
        <v>14</v>
      </c>
      <c r="G8340" t="s" s="11">
        <v>14</v>
      </c>
      <c r="H8340" t="s" s="10">
        <v>14</v>
      </c>
      <c r="I8340" t="s" s="11">
        <v>14</v>
      </c>
      <c r="J8340" t="s" s="11">
        <v>14</v>
      </c>
      <c r="K8340" t="s" s="12">
        <v>14</v>
      </c>
      <c r="L8340" t="s" s="12">
        <v>14</v>
      </c>
      <c r="M8340" t="s" s="10">
        <v>14</v>
      </c>
      <c r="N8340" t="s" s="11">
        <v>14</v>
      </c>
      <c r="O8340" t="s" s="8">
        <v>14</v>
      </c>
      <c r="P8340" t="s" s="8">
        <v>14</v>
      </c>
      <c r="Q8340" t="s" s="12">
        <v>14</v>
      </c>
      <c r="R8340" t="s" s="12">
        <v>14</v>
      </c>
    </row>
    <row r="8341" s="2" customFormat="1" ht="13.5" customHeight="1">
      <c r="B8341" s="13"/>
      <c r="C8341" t="s" s="9">
        <v>16</v>
      </c>
      <c r="D8341" t="s" s="8">
        <v>2994</v>
      </c>
      <c r="E8341" t="s" s="9">
        <v>2995</v>
      </c>
      <c r="F8341" t="s" s="10">
        <v>230</v>
      </c>
      <c r="G8341" t="s" s="11">
        <v>230</v>
      </c>
      <c r="H8341" t="s" s="10">
        <v>230</v>
      </c>
      <c r="I8341" t="s" s="11">
        <v>230</v>
      </c>
      <c r="J8341" t="s" s="11">
        <v>20</v>
      </c>
      <c r="K8341" t="s" s="16">
        <f>HYPERLINK("http://csr.bu.edu/ftp/asl/asllvd/demos/verify_start_end_handshape_annotations//test_auto_move//signs_mov/2217.mov","MOV")</f>
        <v>21</v>
      </c>
      <c r="L8341" t="s" s="16">
        <f>HYPERLINK("http://csr.bu.edu/ftp/asl/asllvd/demos/verify_start_end_handshape_annotations//test_auto_move//signs_mov_separ_signers/Liz_2217.mov","MOV")</f>
        <v>21</v>
      </c>
      <c r="M8341" t="s" s="10">
        <v>36</v>
      </c>
      <c r="N8341" s="17">
        <v>25</v>
      </c>
      <c r="O8341" s="18">
        <v>2791</v>
      </c>
      <c r="P8341" s="18">
        <v>2855</v>
      </c>
      <c r="Q8341" t="s" s="16">
        <f>HYPERLINK("http://secrets.rutgers.edu:8080/data/asl-ftp/asllvd/demos/verify_start_end_handshape_annotations//test_auto_move//signs_mov/2217.mov","MOV")</f>
        <v>21</v>
      </c>
      <c r="R8341" t="s" s="16">
        <f>HYPERLINK("http://secrets.rutgers.edu:8080/data/asl-ftp/asllvd/demos/verify_start_end_handshape_annotations//test_auto_move//signs_mov_separ_signers/Liz_2217.mov","MOV")</f>
        <v>21</v>
      </c>
    </row>
    <row r="8342" s="2" customFormat="1" ht="13.5" customHeight="1">
      <c r="B8342" s="13"/>
      <c r="C8342" t="s" s="9">
        <v>30</v>
      </c>
      <c r="D8342" t="s" s="8">
        <v>2994</v>
      </c>
      <c r="E8342" t="s" s="9">
        <v>2995</v>
      </c>
      <c r="F8342" t="s" s="10">
        <v>230</v>
      </c>
      <c r="G8342" t="s" s="11">
        <v>230</v>
      </c>
      <c r="H8342" t="s" s="10">
        <v>230</v>
      </c>
      <c r="I8342" t="s" s="11">
        <v>230</v>
      </c>
      <c r="J8342" t="s" s="11">
        <v>20</v>
      </c>
      <c r="K8342" s="15"/>
      <c r="L8342" t="s" s="16">
        <f>HYPERLINK("http://csr.bu.edu/ftp/asl/asllvd/demos/verify_start_end_handshape_annotations//test_auto_move//signs_mov_separ_signers/Brady_2217.mov","MOV")</f>
        <v>21</v>
      </c>
      <c r="M8342" t="s" s="10">
        <v>40</v>
      </c>
      <c r="N8342" s="17">
        <v>75</v>
      </c>
      <c r="O8342" s="18">
        <v>3319</v>
      </c>
      <c r="P8342" s="18">
        <v>3364</v>
      </c>
      <c r="Q8342" s="15"/>
      <c r="R8342" t="s" s="16">
        <f>HYPERLINK("http://secrets.rutgers.edu:8080/data/asl-ftp/asllvd/demos/verify_start_end_handshape_annotations//test_auto_move//signs_mov_separ_signers/Brady_2217.mov","MOV")</f>
        <v>21</v>
      </c>
    </row>
    <row r="8343" s="2" customFormat="1" ht="13.5" customHeight="1">
      <c r="B8343" t="s" s="8">
        <v>2996</v>
      </c>
      <c r="C8343" t="s" s="9">
        <v>14</v>
      </c>
      <c r="D8343" t="s" s="8">
        <v>14</v>
      </c>
      <c r="E8343" t="s" s="9">
        <v>14</v>
      </c>
      <c r="F8343" t="s" s="10">
        <v>14</v>
      </c>
      <c r="G8343" t="s" s="11">
        <v>14</v>
      </c>
      <c r="H8343" t="s" s="10">
        <v>14</v>
      </c>
      <c r="I8343" t="s" s="11">
        <v>14</v>
      </c>
      <c r="J8343" t="s" s="11">
        <v>14</v>
      </c>
      <c r="K8343" t="s" s="12">
        <v>14</v>
      </c>
      <c r="L8343" t="s" s="12">
        <v>14</v>
      </c>
      <c r="M8343" t="s" s="10">
        <v>14</v>
      </c>
      <c r="N8343" t="s" s="11">
        <v>14</v>
      </c>
      <c r="O8343" t="s" s="8">
        <v>14</v>
      </c>
      <c r="P8343" t="s" s="8">
        <v>14</v>
      </c>
      <c r="Q8343" t="s" s="12">
        <v>14</v>
      </c>
      <c r="R8343" t="s" s="12">
        <v>14</v>
      </c>
    </row>
    <row r="8344" s="2" customFormat="1" ht="13.5" customHeight="1">
      <c r="B8344" s="13"/>
      <c r="C8344" t="s" s="9">
        <v>16</v>
      </c>
      <c r="D8344" t="s" s="8">
        <v>2996</v>
      </c>
      <c r="E8344" t="s" s="9">
        <v>2996</v>
      </c>
      <c r="F8344" t="s" s="10">
        <v>119</v>
      </c>
      <c r="G8344" t="s" s="11">
        <v>119</v>
      </c>
      <c r="H8344" t="s" s="10">
        <v>119</v>
      </c>
      <c r="I8344" t="s" s="11">
        <v>119</v>
      </c>
      <c r="J8344" t="s" s="11">
        <v>20</v>
      </c>
      <c r="K8344" s="15"/>
      <c r="L8344" t="s" s="16">
        <f>HYPERLINK("http://csr.bu.edu/ftp/asl/asllvd/demos/verify_start_end_handshape_annotations//test_auto_move//signs_mov_separ_signers/Liz_2220.mov","MOV")</f>
        <v>21</v>
      </c>
      <c r="M8344" t="s" s="10">
        <v>36</v>
      </c>
      <c r="N8344" s="17">
        <v>26</v>
      </c>
      <c r="O8344" s="18">
        <v>197</v>
      </c>
      <c r="P8344" s="18">
        <v>221</v>
      </c>
      <c r="Q8344" s="15"/>
      <c r="R8344" t="s" s="16">
        <f>HYPERLINK("http://secrets.rutgers.edu:8080/data/asl-ftp/asllvd/demos/verify_start_end_handshape_annotations//test_auto_move//signs_mov_separ_signers/Liz_2220.mov","MOV")</f>
        <v>21</v>
      </c>
    </row>
    <row r="8345" s="2" customFormat="1" ht="13.5" customHeight="1">
      <c r="B8345" s="13"/>
      <c r="C8345" t="s" s="9">
        <v>16</v>
      </c>
      <c r="D8345" t="s" s="8">
        <v>2996</v>
      </c>
      <c r="E8345" t="s" s="9">
        <v>2997</v>
      </c>
      <c r="F8345" t="s" s="10">
        <v>119</v>
      </c>
      <c r="G8345" t="s" s="11">
        <v>119</v>
      </c>
      <c r="H8345" t="s" s="10">
        <v>119</v>
      </c>
      <c r="I8345" t="s" s="11">
        <v>119</v>
      </c>
      <c r="J8345" t="s" s="11">
        <v>20</v>
      </c>
      <c r="K8345" s="15"/>
      <c r="L8345" t="s" s="16">
        <f>HYPERLINK("http://csr.bu.edu/ftp/asl/asllvd/demos/verify_start_end_handshape_annotations//test_auto_move//signs_mov_separ_signers/Liz_5453.mov","MOV")</f>
        <v>21</v>
      </c>
      <c r="M8345" t="s" s="10">
        <v>36</v>
      </c>
      <c r="N8345" s="17">
        <v>48</v>
      </c>
      <c r="O8345" s="18">
        <v>1332</v>
      </c>
      <c r="P8345" s="18">
        <v>1365</v>
      </c>
      <c r="Q8345" s="15"/>
      <c r="R8345" t="s" s="16">
        <f>HYPERLINK("http://secrets.rutgers.edu:8080/data/asl-ftp/asllvd/demos/verify_start_end_handshape_annotations//test_auto_move//signs_mov_separ_signers/Liz_5453.mov","MOV")</f>
        <v>21</v>
      </c>
    </row>
    <row r="8346" s="2" customFormat="1" ht="13.5" customHeight="1">
      <c r="B8346" s="13"/>
      <c r="C8346" t="s" s="9">
        <v>30</v>
      </c>
      <c r="D8346" t="s" s="8">
        <v>2996</v>
      </c>
      <c r="E8346" t="s" s="9">
        <v>2998</v>
      </c>
      <c r="F8346" t="s" s="10">
        <v>119</v>
      </c>
      <c r="G8346" t="s" s="11">
        <v>119</v>
      </c>
      <c r="H8346" t="s" s="10">
        <v>119</v>
      </c>
      <c r="I8346" t="s" s="11">
        <v>119</v>
      </c>
      <c r="J8346" t="s" s="11">
        <v>20</v>
      </c>
      <c r="K8346" t="s" s="16">
        <f>HYPERLINK("http://csr.bu.edu/ftp/asl/asllvd/demos/verify_start_end_handshape_annotations//test_auto_move//signs_mov/2220_5453_5454_merged.mov","MOV")</f>
        <v>21</v>
      </c>
      <c r="L8346" t="s" s="16">
        <f>HYPERLINK("http://csr.bu.edu/ftp/asl/asllvd/demos/verify_start_end_handshape_annotations//test_auto_move//signs_mov_separ_signers/Brady_2220.mov","MOV")</f>
        <v>21</v>
      </c>
      <c r="M8346" t="s" s="10">
        <v>40</v>
      </c>
      <c r="N8346" s="17">
        <v>76</v>
      </c>
      <c r="O8346" s="18">
        <v>171</v>
      </c>
      <c r="P8346" s="18">
        <v>200</v>
      </c>
      <c r="Q8346" t="s" s="16">
        <f>HYPERLINK("http://secrets.rutgers.edu:8080/data/asl-ftp/asllvd/demos/verify_start_end_handshape_annotations//test_auto_move//signs_mov/2220_5453_5454_merged.mov","MOV")</f>
        <v>21</v>
      </c>
      <c r="R8346" t="s" s="16">
        <f>HYPERLINK("http://secrets.rutgers.edu:8080/data/asl-ftp/asllvd/demos/verify_start_end_handshape_annotations//test_auto_move//signs_mov_separ_signers/Brady_2220.mov","MOV")</f>
        <v>21</v>
      </c>
    </row>
    <row r="8347" s="2" customFormat="1" ht="13.5" customHeight="1">
      <c r="B8347" s="13"/>
      <c r="C8347" t="s" s="9">
        <v>30</v>
      </c>
      <c r="D8347" t="s" s="8">
        <v>2996</v>
      </c>
      <c r="E8347" t="s" s="9">
        <v>2996</v>
      </c>
      <c r="F8347" t="s" s="10">
        <v>119</v>
      </c>
      <c r="G8347" t="s" s="11">
        <v>119</v>
      </c>
      <c r="H8347" t="s" s="10">
        <v>119</v>
      </c>
      <c r="I8347" t="s" s="11">
        <v>119</v>
      </c>
      <c r="J8347" t="s" s="11">
        <v>20</v>
      </c>
      <c r="K8347" s="15"/>
      <c r="L8347" t="s" s="16">
        <f>HYPERLINK("http://csr.bu.edu/ftp/asl/asllvd/demos/verify_start_end_handshape_annotations//test_auto_move//signs_mov_separ_signers/Brady_5453.mov","MOV")</f>
        <v>21</v>
      </c>
      <c r="M8347" t="s" s="10">
        <v>40</v>
      </c>
      <c r="N8347" s="17">
        <v>76</v>
      </c>
      <c r="O8347" s="18">
        <v>660</v>
      </c>
      <c r="P8347" s="18">
        <v>680</v>
      </c>
      <c r="Q8347" s="15"/>
      <c r="R8347" t="s" s="16">
        <f>HYPERLINK("http://secrets.rutgers.edu:8080/data/asl-ftp/asllvd/demos/verify_start_end_handshape_annotations//test_auto_move//signs_mov_separ_signers/Brady_5453.mov","MOV")</f>
        <v>21</v>
      </c>
    </row>
    <row r="8348" s="2" customFormat="1" ht="13.5" customHeight="1">
      <c r="B8348" s="13"/>
      <c r="C8348" t="s" s="9">
        <v>30</v>
      </c>
      <c r="D8348" t="s" s="8">
        <v>2996</v>
      </c>
      <c r="E8348" t="s" s="9">
        <v>2997</v>
      </c>
      <c r="F8348" t="s" s="10">
        <v>119</v>
      </c>
      <c r="G8348" t="s" s="11">
        <v>119</v>
      </c>
      <c r="H8348" t="s" s="10">
        <v>119</v>
      </c>
      <c r="I8348" t="s" s="11">
        <v>119</v>
      </c>
      <c r="J8348" t="s" s="11">
        <v>20</v>
      </c>
      <c r="K8348" s="15"/>
      <c r="L8348" t="s" s="16">
        <f>HYPERLINK("http://csr.bu.edu/ftp/asl/asllvd/demos/verify_start_end_handshape_annotations//test_auto_move//signs_mov_separ_signers/Brady_5454.mov","MOV")</f>
        <v>21</v>
      </c>
      <c r="M8348" t="s" s="10">
        <v>40</v>
      </c>
      <c r="N8348" s="17">
        <v>99</v>
      </c>
      <c r="O8348" s="18">
        <v>2302</v>
      </c>
      <c r="P8348" s="18">
        <v>2339</v>
      </c>
      <c r="Q8348" s="15"/>
      <c r="R8348" t="s" s="16">
        <f>HYPERLINK("http://secrets.rutgers.edu:8080/data/asl-ftp/asllvd/demos/verify_start_end_handshape_annotations//test_auto_move//signs_mov_separ_signers/Brady_5454.mov","MOV")</f>
        <v>21</v>
      </c>
    </row>
    <row r="8349" s="2" customFormat="1" ht="13.5" customHeight="1">
      <c r="B8349" t="s" s="8">
        <v>2999</v>
      </c>
      <c r="C8349" t="s" s="9">
        <v>14</v>
      </c>
      <c r="D8349" t="s" s="8">
        <v>14</v>
      </c>
      <c r="E8349" t="s" s="9">
        <v>14</v>
      </c>
      <c r="F8349" t="s" s="10">
        <v>14</v>
      </c>
      <c r="G8349" t="s" s="11">
        <v>14</v>
      </c>
      <c r="H8349" t="s" s="10">
        <v>14</v>
      </c>
      <c r="I8349" t="s" s="11">
        <v>14</v>
      </c>
      <c r="J8349" t="s" s="11">
        <v>14</v>
      </c>
      <c r="K8349" t="s" s="12">
        <v>14</v>
      </c>
      <c r="L8349" t="s" s="12">
        <v>14</v>
      </c>
      <c r="M8349" t="s" s="10">
        <v>14</v>
      </c>
      <c r="N8349" t="s" s="11">
        <v>14</v>
      </c>
      <c r="O8349" t="s" s="8">
        <v>14</v>
      </c>
      <c r="P8349" t="s" s="8">
        <v>14</v>
      </c>
      <c r="Q8349" t="s" s="12">
        <v>14</v>
      </c>
      <c r="R8349" t="s" s="12">
        <v>14</v>
      </c>
    </row>
    <row r="8350" s="2" customFormat="1" ht="13.5" customHeight="1">
      <c r="B8350" s="13"/>
      <c r="C8350" t="s" s="9">
        <v>16</v>
      </c>
      <c r="D8350" t="s" s="8">
        <v>2999</v>
      </c>
      <c r="E8350" t="s" s="9">
        <v>2999</v>
      </c>
      <c r="F8350" t="s" s="10">
        <v>80</v>
      </c>
      <c r="G8350" t="s" s="11">
        <v>105</v>
      </c>
      <c r="H8350" t="s" s="10">
        <v>73</v>
      </c>
      <c r="I8350" t="s" s="11">
        <v>105</v>
      </c>
      <c r="J8350" t="s" s="11">
        <v>20</v>
      </c>
      <c r="K8350" s="15"/>
      <c r="L8350" t="s" s="16">
        <f>HYPERLINK("http://csr.bu.edu/ftp/asl/asllvd/demos/verify_start_end_handshape_annotations//test_auto_move//signs_mov_separ_signers/Liz_2224.mov","MOV")</f>
        <v>21</v>
      </c>
      <c r="M8350" t="s" s="10">
        <v>36</v>
      </c>
      <c r="N8350" s="17">
        <v>26</v>
      </c>
      <c r="O8350" s="18">
        <v>1330</v>
      </c>
      <c r="P8350" s="18">
        <v>1355</v>
      </c>
      <c r="Q8350" s="15"/>
      <c r="R8350" t="s" s="16">
        <f>HYPERLINK("http://secrets.rutgers.edu:8080/data/asl-ftp/asllvd/demos/verify_start_end_handshape_annotations//test_auto_move//signs_mov_separ_signers/Liz_2224.mov","MOV")</f>
        <v>21</v>
      </c>
    </row>
    <row r="8351" s="2" customFormat="1" ht="13.5" customHeight="1">
      <c r="B8351" s="13"/>
      <c r="C8351" t="s" s="9">
        <v>30</v>
      </c>
      <c r="D8351" t="s" s="8">
        <v>2999</v>
      </c>
      <c r="E8351" t="s" s="9">
        <v>2999</v>
      </c>
      <c r="F8351" t="s" s="10">
        <v>80</v>
      </c>
      <c r="G8351" s="14"/>
      <c r="H8351" t="s" s="10">
        <v>73</v>
      </c>
      <c r="I8351" s="14"/>
      <c r="J8351" t="s" s="11">
        <v>20</v>
      </c>
      <c r="K8351" t="s" s="16">
        <f>HYPERLINK("http://csr.bu.edu/ftp/asl/asllvd/demos/verify_start_end_handshape_annotations//test_auto_move//signs_mov/2224.mov","MOV")</f>
        <v>21</v>
      </c>
      <c r="L8351" t="s" s="16">
        <f>HYPERLINK("http://csr.bu.edu/ftp/asl/asllvd/demos/verify_start_end_handshape_annotations//test_auto_move//signs_mov_separ_signers/Brady_2224.mov","MOV")</f>
        <v>21</v>
      </c>
      <c r="M8351" t="s" s="10">
        <v>40</v>
      </c>
      <c r="N8351" s="17">
        <v>76</v>
      </c>
      <c r="O8351" s="18">
        <v>1785</v>
      </c>
      <c r="P8351" s="18">
        <v>1801</v>
      </c>
      <c r="Q8351" t="s" s="16">
        <f>HYPERLINK("http://secrets.rutgers.edu:8080/data/asl-ftp/asllvd/demos/verify_start_end_handshape_annotations//test_auto_move//signs_mov/2224.mov","MOV")</f>
        <v>21</v>
      </c>
      <c r="R8351" t="s" s="16">
        <f>HYPERLINK("http://secrets.rutgers.edu:8080/data/asl-ftp/asllvd/demos/verify_start_end_handshape_annotations//test_auto_move//signs_mov_separ_signers/Brady_2224.mov","MOV")</f>
        <v>21</v>
      </c>
    </row>
    <row r="8352" s="2" customFormat="1" ht="13.5" customHeight="1">
      <c r="B8352" s="13"/>
      <c r="C8352" t="s" s="9">
        <v>43</v>
      </c>
      <c r="D8352" t="s" s="8">
        <v>2999</v>
      </c>
      <c r="E8352" t="s" s="9">
        <v>2999</v>
      </c>
      <c r="F8352" t="s" s="10">
        <v>85</v>
      </c>
      <c r="G8352" t="s" s="11">
        <v>260</v>
      </c>
      <c r="H8352" t="s" s="10">
        <v>73</v>
      </c>
      <c r="I8352" t="s" s="11">
        <v>260</v>
      </c>
      <c r="J8352" t="s" s="11">
        <v>20</v>
      </c>
      <c r="K8352" s="15"/>
      <c r="L8352" t="s" s="16">
        <f>HYPERLINK("http://csr.bu.edu/ftp/asl/asllvd/demos/verify_start_end_handshape_annotations//test_auto_move//signs_mov_separ_signers/Dana_2224.mov","MOV")</f>
        <v>21</v>
      </c>
      <c r="M8352" t="s" s="10">
        <v>44</v>
      </c>
      <c r="N8352" s="17">
        <v>26</v>
      </c>
      <c r="O8352" s="18">
        <v>1187</v>
      </c>
      <c r="P8352" s="18">
        <v>1207</v>
      </c>
      <c r="Q8352" s="15"/>
      <c r="R8352" t="s" s="16">
        <f>HYPERLINK("http://secrets.rutgers.edu:8080/data/asl-ftp/asllvd/demos/verify_start_end_handshape_annotations//test_auto_move//signs_mov_separ_signers/Dana_2224.mov","MOV")</f>
        <v>21</v>
      </c>
    </row>
    <row r="8353" s="2" customFormat="1" ht="13.5" customHeight="1">
      <c r="B8353" t="s" s="8">
        <v>3000</v>
      </c>
      <c r="C8353" t="s" s="9">
        <v>14</v>
      </c>
      <c r="D8353" t="s" s="8">
        <v>14</v>
      </c>
      <c r="E8353" t="s" s="9">
        <v>14</v>
      </c>
      <c r="F8353" t="s" s="10">
        <v>14</v>
      </c>
      <c r="G8353" t="s" s="11">
        <v>14</v>
      </c>
      <c r="H8353" t="s" s="10">
        <v>14</v>
      </c>
      <c r="I8353" t="s" s="11">
        <v>14</v>
      </c>
      <c r="J8353" t="s" s="11">
        <v>14</v>
      </c>
      <c r="K8353" t="s" s="12">
        <v>14</v>
      </c>
      <c r="L8353" t="s" s="12">
        <v>14</v>
      </c>
      <c r="M8353" t="s" s="10">
        <v>14</v>
      </c>
      <c r="N8353" t="s" s="11">
        <v>14</v>
      </c>
      <c r="O8353" t="s" s="8">
        <v>14</v>
      </c>
      <c r="P8353" t="s" s="8">
        <v>14</v>
      </c>
      <c r="Q8353" t="s" s="12">
        <v>14</v>
      </c>
      <c r="R8353" t="s" s="12">
        <v>14</v>
      </c>
    </row>
    <row r="8354" s="2" customFormat="1" ht="13.5" customHeight="1">
      <c r="B8354" s="13"/>
      <c r="C8354" t="s" s="9">
        <v>16</v>
      </c>
      <c r="D8354" t="s" s="8">
        <v>3000</v>
      </c>
      <c r="E8354" t="s" s="9">
        <v>3000</v>
      </c>
      <c r="F8354" t="s" s="10">
        <v>68</v>
      </c>
      <c r="G8354" s="14"/>
      <c r="H8354" s="19">
        <v>5</v>
      </c>
      <c r="I8354" s="14"/>
      <c r="J8354" t="s" s="11">
        <v>20</v>
      </c>
      <c r="K8354" s="15"/>
      <c r="L8354" t="s" s="16">
        <f>HYPERLINK("http://csr.bu.edu/ftp/asl/asllvd/demos/verify_start_end_handshape_annotations//test_auto_move//signs_mov_separ_signers/Liz_3752.mov","MOV")</f>
        <v>21</v>
      </c>
      <c r="M8354" t="s" s="10">
        <v>36</v>
      </c>
      <c r="N8354" s="17">
        <v>26</v>
      </c>
      <c r="O8354" s="18">
        <v>1115</v>
      </c>
      <c r="P8354" s="18">
        <v>1150</v>
      </c>
      <c r="Q8354" s="15"/>
      <c r="R8354" t="s" s="16">
        <f>HYPERLINK("http://secrets.rutgers.edu:8080/data/asl-ftp/asllvd/demos/verify_start_end_handshape_annotations//test_auto_move//signs_mov_separ_signers/Liz_3752.mov","MOV")</f>
        <v>21</v>
      </c>
    </row>
    <row r="8355" s="2" customFormat="1" ht="13.5" customHeight="1">
      <c r="B8355" s="13"/>
      <c r="C8355" t="s" s="9">
        <v>30</v>
      </c>
      <c r="D8355" t="s" s="8">
        <v>3000</v>
      </c>
      <c r="E8355" t="s" s="9">
        <v>3000</v>
      </c>
      <c r="F8355" t="s" s="10">
        <v>68</v>
      </c>
      <c r="G8355" s="14"/>
      <c r="H8355" s="19">
        <v>5</v>
      </c>
      <c r="I8355" s="14"/>
      <c r="J8355" t="s" s="11">
        <v>20</v>
      </c>
      <c r="K8355" t="s" s="16">
        <f>HYPERLINK("http://csr.bu.edu/ftp/asl/asllvd/demos/verify_start_end_handshape_annotations//test_auto_move//signs_mov/3752.mov","MOV")</f>
        <v>21</v>
      </c>
      <c r="L8355" t="s" s="16">
        <f>HYPERLINK("http://csr.bu.edu/ftp/asl/asllvd/demos/verify_start_end_handshape_annotations//test_auto_move//signs_mov_separ_signers/Brady_3752.mov","MOV")</f>
        <v>21</v>
      </c>
      <c r="M8355" t="s" s="10">
        <v>40</v>
      </c>
      <c r="N8355" s="17">
        <v>76</v>
      </c>
      <c r="O8355" s="18">
        <v>1564</v>
      </c>
      <c r="P8355" s="18">
        <v>1586</v>
      </c>
      <c r="Q8355" t="s" s="16">
        <f>HYPERLINK("http://secrets.rutgers.edu:8080/data/asl-ftp/asllvd/demos/verify_start_end_handshape_annotations//test_auto_move//signs_mov/3752.mov","MOV")</f>
        <v>21</v>
      </c>
      <c r="R8355" t="s" s="16">
        <f>HYPERLINK("http://secrets.rutgers.edu:8080/data/asl-ftp/asllvd/demos/verify_start_end_handshape_annotations//test_auto_move//signs_mov_separ_signers/Brady_3752.mov","MOV")</f>
        <v>21</v>
      </c>
    </row>
    <row r="8356" s="2" customFormat="1" ht="13.5" customHeight="1">
      <c r="B8356" s="13"/>
      <c r="C8356" t="s" s="9">
        <v>41</v>
      </c>
      <c r="D8356" t="s" s="8">
        <v>3000</v>
      </c>
      <c r="E8356" t="s" s="9">
        <v>3000</v>
      </c>
      <c r="F8356" t="s" s="10">
        <v>68</v>
      </c>
      <c r="G8356" s="14"/>
      <c r="H8356" s="19">
        <v>5</v>
      </c>
      <c r="I8356" s="14"/>
      <c r="J8356" t="s" s="11">
        <v>20</v>
      </c>
      <c r="K8356" s="15"/>
      <c r="L8356" t="s" s="16">
        <f>HYPERLINK("http://csr.bu.edu/ftp/asl/asllvd/demos/verify_start_end_handshape_annotations//test_auto_move//signs_mov_separ_signers/Lana_3752.mov","MOV")</f>
        <v>21</v>
      </c>
      <c r="M8356" t="s" s="10">
        <v>42</v>
      </c>
      <c r="N8356" s="17">
        <v>24</v>
      </c>
      <c r="O8356" s="18">
        <v>1205</v>
      </c>
      <c r="P8356" s="18">
        <v>1225</v>
      </c>
      <c r="Q8356" s="15"/>
      <c r="R8356" t="s" s="16">
        <f>HYPERLINK("http://secrets.rutgers.edu:8080/data/asl-ftp/asllvd/demos/verify_start_end_handshape_annotations//test_auto_move//signs_mov_separ_signers/Lana_3752.mov","MOV")</f>
        <v>21</v>
      </c>
    </row>
    <row r="8357" s="2" customFormat="1" ht="13.5" customHeight="1">
      <c r="B8357" t="s" s="8">
        <v>3001</v>
      </c>
      <c r="C8357" t="s" s="9">
        <v>14</v>
      </c>
      <c r="D8357" t="s" s="8">
        <v>14</v>
      </c>
      <c r="E8357" t="s" s="9">
        <v>14</v>
      </c>
      <c r="F8357" t="s" s="10">
        <v>14</v>
      </c>
      <c r="G8357" t="s" s="11">
        <v>14</v>
      </c>
      <c r="H8357" t="s" s="10">
        <v>14</v>
      </c>
      <c r="I8357" t="s" s="11">
        <v>14</v>
      </c>
      <c r="J8357" t="s" s="11">
        <v>14</v>
      </c>
      <c r="K8357" t="s" s="12">
        <v>14</v>
      </c>
      <c r="L8357" t="s" s="12">
        <v>14</v>
      </c>
      <c r="M8357" t="s" s="10">
        <v>14</v>
      </c>
      <c r="N8357" t="s" s="11">
        <v>14</v>
      </c>
      <c r="O8357" t="s" s="8">
        <v>14</v>
      </c>
      <c r="P8357" t="s" s="8">
        <v>14</v>
      </c>
      <c r="Q8357" t="s" s="12">
        <v>14</v>
      </c>
      <c r="R8357" t="s" s="12">
        <v>14</v>
      </c>
    </row>
    <row r="8358" s="2" customFormat="1" ht="13.5" customHeight="1">
      <c r="B8358" s="13"/>
      <c r="C8358" t="s" s="9">
        <v>16</v>
      </c>
      <c r="D8358" t="s" s="8">
        <v>3001</v>
      </c>
      <c r="E8358" t="s" s="9">
        <v>3001</v>
      </c>
      <c r="F8358" t="s" s="10">
        <v>373</v>
      </c>
      <c r="G8358" s="14"/>
      <c r="H8358" t="s" s="10">
        <v>373</v>
      </c>
      <c r="I8358" s="14"/>
      <c r="J8358" t="s" s="11">
        <v>20</v>
      </c>
      <c r="K8358" s="15"/>
      <c r="L8358" t="s" s="16">
        <f>HYPERLINK("http://csr.bu.edu/ftp/asl/asllvd/demos/verify_start_end_handshape_annotations//test_auto_move//signs_mov_separ_signers/Liz_15822.mov","MOV")</f>
        <v>21</v>
      </c>
      <c r="M8358" t="s" s="10">
        <v>88</v>
      </c>
      <c r="N8358" s="17">
        <v>40</v>
      </c>
      <c r="O8358" s="18">
        <v>995</v>
      </c>
      <c r="P8358" s="18">
        <v>1045</v>
      </c>
      <c r="Q8358" s="15"/>
      <c r="R8358" t="s" s="16">
        <f>HYPERLINK("http://secrets.rutgers.edu:8080/data/asl-ftp/asllvd/demos/verify_start_end_handshape_annotations//test_auto_move//signs_mov_separ_signers/Liz_15822.mov","MOV")</f>
        <v>21</v>
      </c>
    </row>
    <row r="8359" s="2" customFormat="1" ht="13.5" customHeight="1">
      <c r="B8359" s="13"/>
      <c r="C8359" t="s" s="9">
        <v>16</v>
      </c>
      <c r="D8359" t="s" s="8">
        <v>3001</v>
      </c>
      <c r="E8359" t="s" s="9">
        <v>3001</v>
      </c>
      <c r="F8359" t="s" s="10">
        <v>373</v>
      </c>
      <c r="G8359" s="14"/>
      <c r="H8359" s="19">
        <v>3</v>
      </c>
      <c r="I8359" s="14"/>
      <c r="J8359" t="s" s="11">
        <v>20</v>
      </c>
      <c r="K8359" t="s" s="16">
        <f>HYPERLINK("http://csr.bu.edu/ftp/asl/asllvd/demos/verify_start_end_handshape_annotations//test_auto_move//signs_mov/15822_15836_merged.mov","MOV")</f>
        <v>21</v>
      </c>
      <c r="L8359" t="s" s="16">
        <f>HYPERLINK("http://csr.bu.edu/ftp/asl/asllvd/demos/verify_start_end_handshape_annotations//test_auto_move//signs_mov_separ_signers/Liz_15836.mov","MOV")</f>
        <v>21</v>
      </c>
      <c r="M8359" t="s" s="10">
        <v>59</v>
      </c>
      <c r="N8359" s="17">
        <v>16</v>
      </c>
      <c r="O8359" s="18">
        <v>1677</v>
      </c>
      <c r="P8359" s="18">
        <v>1715</v>
      </c>
      <c r="Q8359" t="s" s="16">
        <f>HYPERLINK("http://secrets.rutgers.edu:8080/data/asl-ftp/asllvd/demos/verify_start_end_handshape_annotations//test_auto_move//signs_mov/15822_15836_merged.mov","MOV")</f>
        <v>21</v>
      </c>
      <c r="R8359" t="s" s="16">
        <f>HYPERLINK("http://secrets.rutgers.edu:8080/data/asl-ftp/asllvd/demos/verify_start_end_handshape_annotations//test_auto_move//signs_mov_separ_signers/Liz_15836.mov","MOV")</f>
        <v>21</v>
      </c>
    </row>
    <row r="8360" s="2" customFormat="1" ht="13.5" customHeight="1">
      <c r="B8360" s="13"/>
      <c r="C8360" t="s" s="9">
        <v>30</v>
      </c>
      <c r="D8360" t="s" s="8">
        <v>3001</v>
      </c>
      <c r="E8360" t="s" s="9">
        <v>3001</v>
      </c>
      <c r="F8360" t="s" s="10">
        <v>68</v>
      </c>
      <c r="G8360" s="14"/>
      <c r="H8360" s="19">
        <v>3</v>
      </c>
      <c r="I8360" s="14"/>
      <c r="J8360" t="s" s="11">
        <v>20</v>
      </c>
      <c r="K8360" s="15"/>
      <c r="L8360" t="s" s="16">
        <f>HYPERLINK("http://csr.bu.edu/ftp/asl/asllvd/demos/verify_start_end_handshape_annotations//test_auto_move//signs_mov_separ_signers/Brady_15822.mov","MOV")</f>
        <v>21</v>
      </c>
      <c r="M8360" t="s" s="10">
        <v>40</v>
      </c>
      <c r="N8360" s="17">
        <v>117</v>
      </c>
      <c r="O8360" s="18">
        <v>3315</v>
      </c>
      <c r="P8360" s="18">
        <v>3335</v>
      </c>
      <c r="Q8360" s="15"/>
      <c r="R8360" t="s" s="16">
        <f>HYPERLINK("http://secrets.rutgers.edu:8080/data/asl-ftp/asllvd/demos/verify_start_end_handshape_annotations//test_auto_move//signs_mov_separ_signers/Brady_15822.mov","MOV")</f>
        <v>21</v>
      </c>
    </row>
    <row r="8361" s="2" customFormat="1" ht="13.5" customHeight="1">
      <c r="B8361" t="s" s="8">
        <v>3002</v>
      </c>
      <c r="C8361" t="s" s="9">
        <v>14</v>
      </c>
      <c r="D8361" t="s" s="8">
        <v>14</v>
      </c>
      <c r="E8361" t="s" s="9">
        <v>14</v>
      </c>
      <c r="F8361" t="s" s="10">
        <v>14</v>
      </c>
      <c r="G8361" t="s" s="11">
        <v>14</v>
      </c>
      <c r="H8361" t="s" s="10">
        <v>14</v>
      </c>
      <c r="I8361" t="s" s="11">
        <v>14</v>
      </c>
      <c r="J8361" t="s" s="11">
        <v>14</v>
      </c>
      <c r="K8361" t="s" s="12">
        <v>14</v>
      </c>
      <c r="L8361" t="s" s="12">
        <v>14</v>
      </c>
      <c r="M8361" t="s" s="10">
        <v>14</v>
      </c>
      <c r="N8361" t="s" s="11">
        <v>14</v>
      </c>
      <c r="O8361" t="s" s="8">
        <v>14</v>
      </c>
      <c r="P8361" t="s" s="8">
        <v>14</v>
      </c>
      <c r="Q8361" t="s" s="12">
        <v>14</v>
      </c>
      <c r="R8361" t="s" s="12">
        <v>14</v>
      </c>
    </row>
    <row r="8362" s="2" customFormat="1" ht="13.5" customHeight="1">
      <c r="B8362" s="13"/>
      <c r="C8362" t="s" s="9">
        <v>16</v>
      </c>
      <c r="D8362" t="s" s="8">
        <v>3002</v>
      </c>
      <c r="E8362" t="s" s="9">
        <v>3002</v>
      </c>
      <c r="F8362" t="s" s="10">
        <v>68</v>
      </c>
      <c r="G8362" s="14"/>
      <c r="H8362" s="19">
        <v>5</v>
      </c>
      <c r="I8362" s="14"/>
      <c r="J8362" t="s" s="11">
        <v>20</v>
      </c>
      <c r="K8362" t="s" s="16">
        <f>HYPERLINK("http://csr.bu.edu/ftp/asl/asllvd/demos/verify_start_end_handshape_annotations//test_auto_move//signs_mov/15840.mov","MOV")</f>
        <v>21</v>
      </c>
      <c r="L8362" t="s" s="16">
        <f>HYPERLINK("http://csr.bu.edu/ftp/asl/asllvd/demos/verify_start_end_handshape_annotations//test_auto_move//signs_mov_separ_signers/Liz_15840.mov","MOV")</f>
        <v>21</v>
      </c>
      <c r="M8362" t="s" s="10">
        <v>59</v>
      </c>
      <c r="N8362" s="17">
        <v>16</v>
      </c>
      <c r="O8362" s="18">
        <v>2936</v>
      </c>
      <c r="P8362" s="18">
        <v>2966</v>
      </c>
      <c r="Q8362" t="s" s="16">
        <f>HYPERLINK("http://secrets.rutgers.edu:8080/data/asl-ftp/asllvd/demos/verify_start_end_handshape_annotations//test_auto_move//signs_mov/15840.mov","MOV")</f>
        <v>21</v>
      </c>
      <c r="R8362" t="s" s="16">
        <f>HYPERLINK("http://secrets.rutgers.edu:8080/data/asl-ftp/asllvd/demos/verify_start_end_handshape_annotations//test_auto_move//signs_mov_separ_signers/Liz_15840.mov","MOV")</f>
        <v>21</v>
      </c>
    </row>
    <row r="8363" s="2" customFormat="1" ht="13.5" customHeight="1">
      <c r="B8363" t="s" s="8">
        <v>3003</v>
      </c>
      <c r="C8363" t="s" s="9">
        <v>14</v>
      </c>
      <c r="D8363" t="s" s="8">
        <v>14</v>
      </c>
      <c r="E8363" t="s" s="9">
        <v>14</v>
      </c>
      <c r="F8363" t="s" s="10">
        <v>14</v>
      </c>
      <c r="G8363" t="s" s="11">
        <v>14</v>
      </c>
      <c r="H8363" t="s" s="10">
        <v>14</v>
      </c>
      <c r="I8363" t="s" s="11">
        <v>14</v>
      </c>
      <c r="J8363" t="s" s="11">
        <v>14</v>
      </c>
      <c r="K8363" t="s" s="12">
        <v>14</v>
      </c>
      <c r="L8363" t="s" s="12">
        <v>14</v>
      </c>
      <c r="M8363" t="s" s="10">
        <v>14</v>
      </c>
      <c r="N8363" t="s" s="11">
        <v>14</v>
      </c>
      <c r="O8363" t="s" s="8">
        <v>14</v>
      </c>
      <c r="P8363" t="s" s="8">
        <v>14</v>
      </c>
      <c r="Q8363" t="s" s="12">
        <v>14</v>
      </c>
      <c r="R8363" t="s" s="12">
        <v>14</v>
      </c>
    </row>
    <row r="8364" s="2" customFormat="1" ht="13.5" customHeight="1">
      <c r="B8364" s="13"/>
      <c r="C8364" t="s" s="9">
        <v>16</v>
      </c>
      <c r="D8364" t="s" s="8">
        <v>3003</v>
      </c>
      <c r="E8364" t="s" s="9">
        <v>3004</v>
      </c>
      <c r="F8364" s="19">
        <v>5</v>
      </c>
      <c r="G8364" s="17">
        <v>5</v>
      </c>
      <c r="H8364" s="19">
        <v>5</v>
      </c>
      <c r="I8364" s="17">
        <v>5</v>
      </c>
      <c r="J8364" t="s" s="11">
        <v>20</v>
      </c>
      <c r="K8364" t="s" s="16">
        <f>HYPERLINK("http://csr.bu.edu/ftp/asl/asllvd/demos/verify_start_end_handshape_annotations//test_auto_move//signs_mov/2226.mov","MOV")</f>
        <v>21</v>
      </c>
      <c r="L8364" t="s" s="16">
        <f>HYPERLINK("http://csr.bu.edu/ftp/asl/asllvd/demos/verify_start_end_handshape_annotations//test_auto_move//signs_mov_separ_signers/Liz_2226.mov","MOV")</f>
        <v>21</v>
      </c>
      <c r="M8364" t="s" s="10">
        <v>36</v>
      </c>
      <c r="N8364" s="17">
        <v>26</v>
      </c>
      <c r="O8364" s="18">
        <v>1546</v>
      </c>
      <c r="P8364" s="18">
        <v>1585</v>
      </c>
      <c r="Q8364" t="s" s="16">
        <f>HYPERLINK("http://secrets.rutgers.edu:8080/data/asl-ftp/asllvd/demos/verify_start_end_handshape_annotations//test_auto_move//signs_mov/2226.mov","MOV")</f>
        <v>21</v>
      </c>
      <c r="R8364" t="s" s="16">
        <f>HYPERLINK("http://secrets.rutgers.edu:8080/data/asl-ftp/asllvd/demos/verify_start_end_handshape_annotations//test_auto_move//signs_mov_separ_signers/Liz_2226.mov","MOV")</f>
        <v>21</v>
      </c>
    </row>
    <row r="8365" s="2" customFormat="1" ht="13.5" customHeight="1">
      <c r="B8365" s="13"/>
      <c r="C8365" t="s" s="9">
        <v>30</v>
      </c>
      <c r="D8365" t="s" s="8">
        <v>3003</v>
      </c>
      <c r="E8365" t="s" s="9">
        <v>3004</v>
      </c>
      <c r="F8365" s="19">
        <v>5</v>
      </c>
      <c r="G8365" s="17">
        <v>5</v>
      </c>
      <c r="H8365" s="19">
        <v>5</v>
      </c>
      <c r="I8365" s="17">
        <v>5</v>
      </c>
      <c r="J8365" t="s" s="11">
        <v>20</v>
      </c>
      <c r="K8365" s="15"/>
      <c r="L8365" t="s" s="16">
        <f>HYPERLINK("http://csr.bu.edu/ftp/asl/asllvd/demos/verify_start_end_handshape_annotations//test_auto_move//signs_mov_separ_signers/Brady_2226.mov","MOV")</f>
        <v>21</v>
      </c>
      <c r="M8365" t="s" s="10">
        <v>40</v>
      </c>
      <c r="N8365" s="17">
        <v>76</v>
      </c>
      <c r="O8365" s="18">
        <v>2513</v>
      </c>
      <c r="P8365" s="18">
        <v>2540</v>
      </c>
      <c r="Q8365" s="15"/>
      <c r="R8365" t="s" s="16">
        <f>HYPERLINK("http://secrets.rutgers.edu:8080/data/asl-ftp/asllvd/demos/verify_start_end_handshape_annotations//test_auto_move//signs_mov_separ_signers/Brady_2226.mov","MOV")</f>
        <v>21</v>
      </c>
    </row>
    <row r="8366" s="2" customFormat="1" ht="13.5" customHeight="1">
      <c r="B8366" t="s" s="8">
        <v>3005</v>
      </c>
      <c r="C8366" t="s" s="9">
        <v>14</v>
      </c>
      <c r="D8366" t="s" s="8">
        <v>14</v>
      </c>
      <c r="E8366" t="s" s="9">
        <v>14</v>
      </c>
      <c r="F8366" t="s" s="10">
        <v>14</v>
      </c>
      <c r="G8366" t="s" s="11">
        <v>14</v>
      </c>
      <c r="H8366" t="s" s="10">
        <v>14</v>
      </c>
      <c r="I8366" t="s" s="11">
        <v>14</v>
      </c>
      <c r="J8366" t="s" s="11">
        <v>14</v>
      </c>
      <c r="K8366" t="s" s="12">
        <v>14</v>
      </c>
      <c r="L8366" t="s" s="12">
        <v>14</v>
      </c>
      <c r="M8366" t="s" s="10">
        <v>14</v>
      </c>
      <c r="N8366" t="s" s="11">
        <v>14</v>
      </c>
      <c r="O8366" t="s" s="8">
        <v>14</v>
      </c>
      <c r="P8366" t="s" s="8">
        <v>14</v>
      </c>
      <c r="Q8366" t="s" s="12">
        <v>14</v>
      </c>
      <c r="R8366" t="s" s="12">
        <v>14</v>
      </c>
    </row>
    <row r="8367" s="2" customFormat="1" ht="13.5" customHeight="1">
      <c r="B8367" s="13"/>
      <c r="C8367" t="s" s="9">
        <v>16</v>
      </c>
      <c r="D8367" t="s" s="8">
        <v>3005</v>
      </c>
      <c r="E8367" t="s" s="9">
        <v>3005</v>
      </c>
      <c r="F8367" t="s" s="10">
        <v>68</v>
      </c>
      <c r="G8367" s="14"/>
      <c r="H8367" t="s" s="10">
        <v>185</v>
      </c>
      <c r="I8367" s="14"/>
      <c r="J8367" t="s" s="11">
        <v>20</v>
      </c>
      <c r="K8367" t="s" s="16">
        <f>HYPERLINK("http://csr.bu.edu/ftp/asl/asllvd/demos/verify_start_end_handshape_annotations//test_auto_move//signs_mov/2227.mov","MOV")</f>
        <v>21</v>
      </c>
      <c r="L8367" t="s" s="16">
        <f>HYPERLINK("http://csr.bu.edu/ftp/asl/asllvd/demos/verify_start_end_handshape_annotations//test_auto_move//signs_mov_separ_signers/Liz_2227.mov","MOV")</f>
        <v>21</v>
      </c>
      <c r="M8367" t="s" s="10">
        <v>36</v>
      </c>
      <c r="N8367" s="17">
        <v>26</v>
      </c>
      <c r="O8367" s="18">
        <v>1795</v>
      </c>
      <c r="P8367" s="18">
        <v>1830</v>
      </c>
      <c r="Q8367" t="s" s="16">
        <f>HYPERLINK("http://secrets.rutgers.edu:8080/data/asl-ftp/asllvd/demos/verify_start_end_handshape_annotations//test_auto_move//signs_mov/2227.mov","MOV")</f>
        <v>21</v>
      </c>
      <c r="R8367" t="s" s="16">
        <f>HYPERLINK("http://secrets.rutgers.edu:8080/data/asl-ftp/asllvd/demos/verify_start_end_handshape_annotations//test_auto_move//signs_mov_separ_signers/Liz_2227.mov","MOV")</f>
        <v>21</v>
      </c>
    </row>
    <row r="8368" s="2" customFormat="1" ht="13.5" customHeight="1">
      <c r="B8368" s="13"/>
      <c r="C8368" t="s" s="9">
        <v>30</v>
      </c>
      <c r="D8368" t="s" s="8">
        <v>3005</v>
      </c>
      <c r="E8368" t="s" s="9">
        <v>3005</v>
      </c>
      <c r="F8368" t="s" s="10">
        <v>68</v>
      </c>
      <c r="G8368" s="14"/>
      <c r="H8368" t="s" s="10">
        <v>185</v>
      </c>
      <c r="I8368" s="14"/>
      <c r="J8368" t="s" s="11">
        <v>20</v>
      </c>
      <c r="K8368" s="15"/>
      <c r="L8368" t="s" s="16">
        <f>HYPERLINK("http://csr.bu.edu/ftp/asl/asllvd/demos/verify_start_end_handshape_annotations//test_auto_move//signs_mov_separ_signers/Brady_2227.mov","MOV")</f>
        <v>21</v>
      </c>
      <c r="M8368" t="s" s="10">
        <v>40</v>
      </c>
      <c r="N8368" s="17">
        <v>76</v>
      </c>
      <c r="O8368" s="18">
        <v>2798</v>
      </c>
      <c r="P8368" s="18">
        <v>2824</v>
      </c>
      <c r="Q8368" s="15"/>
      <c r="R8368" t="s" s="16">
        <f>HYPERLINK("http://secrets.rutgers.edu:8080/data/asl-ftp/asllvd/demos/verify_start_end_handshape_annotations//test_auto_move//signs_mov_separ_signers/Brady_2227.mov","MOV")</f>
        <v>21</v>
      </c>
    </row>
    <row r="8369" s="2" customFormat="1" ht="13.5" customHeight="1">
      <c r="B8369" t="s" s="8">
        <v>3006</v>
      </c>
      <c r="C8369" t="s" s="9">
        <v>14</v>
      </c>
      <c r="D8369" t="s" s="8">
        <v>14</v>
      </c>
      <c r="E8369" t="s" s="9">
        <v>14</v>
      </c>
      <c r="F8369" t="s" s="10">
        <v>14</v>
      </c>
      <c r="G8369" t="s" s="11">
        <v>14</v>
      </c>
      <c r="H8369" t="s" s="10">
        <v>14</v>
      </c>
      <c r="I8369" t="s" s="11">
        <v>14</v>
      </c>
      <c r="J8369" t="s" s="11">
        <v>14</v>
      </c>
      <c r="K8369" t="s" s="12">
        <v>14</v>
      </c>
      <c r="L8369" t="s" s="12">
        <v>14</v>
      </c>
      <c r="M8369" t="s" s="10">
        <v>14</v>
      </c>
      <c r="N8369" t="s" s="11">
        <v>14</v>
      </c>
      <c r="O8369" t="s" s="8">
        <v>14</v>
      </c>
      <c r="P8369" t="s" s="8">
        <v>14</v>
      </c>
      <c r="Q8369" t="s" s="12">
        <v>14</v>
      </c>
      <c r="R8369" t="s" s="12">
        <v>14</v>
      </c>
    </row>
    <row r="8370" s="2" customFormat="1" ht="13.5" customHeight="1">
      <c r="B8370" s="13"/>
      <c r="C8370" t="s" s="9">
        <v>16</v>
      </c>
      <c r="D8370" t="s" s="8">
        <v>3006</v>
      </c>
      <c r="E8370" t="s" s="9">
        <v>3006</v>
      </c>
      <c r="F8370" t="s" s="10">
        <v>73</v>
      </c>
      <c r="G8370" t="s" s="11">
        <v>73</v>
      </c>
      <c r="H8370" t="s" s="10">
        <v>73</v>
      </c>
      <c r="I8370" t="s" s="11">
        <v>73</v>
      </c>
      <c r="J8370" t="s" s="11">
        <v>20</v>
      </c>
      <c r="K8370" s="15"/>
      <c r="L8370" t="s" s="16">
        <f>HYPERLINK("http://csr.bu.edu/ftp/asl/asllvd/demos/verify_start_end_handshape_annotations//test_auto_move//signs_mov_separ_signers/Liz_2231.mov","MOV")</f>
        <v>21</v>
      </c>
      <c r="M8370" t="s" s="10">
        <v>36</v>
      </c>
      <c r="N8370" s="17">
        <v>27</v>
      </c>
      <c r="O8370" s="18">
        <v>530</v>
      </c>
      <c r="P8370" s="18">
        <v>585</v>
      </c>
      <c r="Q8370" s="15"/>
      <c r="R8370" t="s" s="16">
        <f>HYPERLINK("http://secrets.rutgers.edu:8080/data/asl-ftp/asllvd/demos/verify_start_end_handshape_annotations//test_auto_move//signs_mov_separ_signers/Liz_2231.mov","MOV")</f>
        <v>21</v>
      </c>
    </row>
    <row r="8371" s="2" customFormat="1" ht="13.5" customHeight="1">
      <c r="B8371" s="13"/>
      <c r="C8371" t="s" s="9">
        <v>30</v>
      </c>
      <c r="D8371" t="s" s="8">
        <v>3006</v>
      </c>
      <c r="E8371" t="s" s="9">
        <v>3006</v>
      </c>
      <c r="F8371" t="s" s="10">
        <v>73</v>
      </c>
      <c r="G8371" t="s" s="11">
        <v>73</v>
      </c>
      <c r="H8371" t="s" s="10">
        <v>73</v>
      </c>
      <c r="I8371" t="s" s="11">
        <v>73</v>
      </c>
      <c r="J8371" t="s" s="11">
        <v>20</v>
      </c>
      <c r="K8371" t="s" s="16">
        <f>HYPERLINK("http://csr.bu.edu/ftp/asl/asllvd/demos/verify_start_end_handshape_annotations//test_auto_move//signs_mov/2231_5767_merged.mov","MOV")</f>
        <v>21</v>
      </c>
      <c r="L8371" t="s" s="16">
        <f>HYPERLINK("http://csr.bu.edu/ftp/asl/asllvd/demos/verify_start_end_handshape_annotations//test_auto_move//signs_mov_separ_signers/Brady_2231.mov","MOV")</f>
        <v>21</v>
      </c>
      <c r="M8371" t="s" s="10">
        <v>40</v>
      </c>
      <c r="N8371" s="17">
        <v>77</v>
      </c>
      <c r="O8371" s="18">
        <v>1741</v>
      </c>
      <c r="P8371" s="18">
        <v>1776</v>
      </c>
      <c r="Q8371" t="s" s="16">
        <f>HYPERLINK("http://secrets.rutgers.edu:8080/data/asl-ftp/asllvd/demos/verify_start_end_handshape_annotations//test_auto_move//signs_mov/2231_5767_merged.mov","MOV")</f>
        <v>21</v>
      </c>
      <c r="R8371" t="s" s="16">
        <f>HYPERLINK("http://secrets.rutgers.edu:8080/data/asl-ftp/asllvd/demos/verify_start_end_handshape_annotations//test_auto_move//signs_mov_separ_signers/Brady_2231.mov","MOV")</f>
        <v>21</v>
      </c>
    </row>
    <row r="8372" s="2" customFormat="1" ht="13.5" customHeight="1">
      <c r="B8372" s="13"/>
      <c r="C8372" t="s" s="9">
        <v>30</v>
      </c>
      <c r="D8372" t="s" s="8">
        <v>3006</v>
      </c>
      <c r="E8372" t="s" s="9">
        <v>3006</v>
      </c>
      <c r="F8372" t="s" s="10">
        <v>73</v>
      </c>
      <c r="G8372" t="s" s="11">
        <v>73</v>
      </c>
      <c r="H8372" t="s" s="10">
        <v>73</v>
      </c>
      <c r="I8372" t="s" s="11">
        <v>73</v>
      </c>
      <c r="J8372" t="s" s="11">
        <v>20</v>
      </c>
      <c r="K8372" s="15"/>
      <c r="L8372" t="s" s="16">
        <f>HYPERLINK("http://csr.bu.edu/ftp/asl/asllvd/demos/verify_start_end_handshape_annotations//test_auto_move//signs_mov_separ_signers/Brady_5767.mov","MOV")</f>
        <v>21</v>
      </c>
      <c r="M8372" t="s" s="10">
        <v>60</v>
      </c>
      <c r="N8372" s="17">
        <v>22</v>
      </c>
      <c r="O8372" s="18">
        <v>1922</v>
      </c>
      <c r="P8372" s="18">
        <v>1951</v>
      </c>
      <c r="Q8372" s="15"/>
      <c r="R8372" t="s" s="16">
        <f>HYPERLINK("http://secrets.rutgers.edu:8080/data/asl-ftp/asllvd/demos/verify_start_end_handshape_annotations//test_auto_move//signs_mov_separ_signers/Brady_5767.mov","MOV")</f>
        <v>21</v>
      </c>
    </row>
    <row r="8373" s="2" customFormat="1" ht="13.5" customHeight="1">
      <c r="B8373" t="s" s="8">
        <v>52</v>
      </c>
      <c r="C8373" t="s" s="9">
        <v>53</v>
      </c>
      <c r="D8373" t="s" s="8">
        <v>53</v>
      </c>
      <c r="E8373" t="s" s="9">
        <v>53</v>
      </c>
      <c r="F8373" t="s" s="10">
        <v>53</v>
      </c>
      <c r="G8373" t="s" s="11">
        <v>53</v>
      </c>
      <c r="H8373" t="s" s="10">
        <v>53</v>
      </c>
      <c r="I8373" t="s" s="11">
        <v>53</v>
      </c>
      <c r="J8373" t="s" s="11">
        <v>53</v>
      </c>
      <c r="K8373" t="s" s="12">
        <v>53</v>
      </c>
      <c r="L8373" t="s" s="12">
        <v>53</v>
      </c>
      <c r="M8373" t="s" s="10">
        <v>53</v>
      </c>
      <c r="N8373" t="s" s="11">
        <v>53</v>
      </c>
      <c r="O8373" t="s" s="8">
        <v>53</v>
      </c>
      <c r="P8373" t="s" s="8">
        <v>53</v>
      </c>
      <c r="Q8373" t="s" s="12">
        <v>53</v>
      </c>
      <c r="R8373" t="s" s="12">
        <v>53</v>
      </c>
    </row>
    <row r="8374" s="2" customFormat="1" ht="13.5" customHeight="1">
      <c r="B8374" s="13"/>
      <c r="C8374" t="s" s="9">
        <v>30</v>
      </c>
      <c r="D8374" t="s" s="8">
        <v>3006</v>
      </c>
      <c r="E8374" t="s" s="9">
        <v>3007</v>
      </c>
      <c r="F8374" t="s" s="10">
        <v>205</v>
      </c>
      <c r="G8374" t="s" s="11">
        <v>205</v>
      </c>
      <c r="H8374" t="s" s="10">
        <v>205</v>
      </c>
      <c r="I8374" t="s" s="11">
        <v>205</v>
      </c>
      <c r="J8374" t="s" s="11">
        <v>20</v>
      </c>
      <c r="K8374" t="s" s="16">
        <f>HYPERLINK("http://csr.bu.edu/ftp/asl/asllvd/demos/verify_start_end_handshape_annotations//test_auto_move//signs_mov/15097.mov","MOV")</f>
        <v>21</v>
      </c>
      <c r="L8374" t="s" s="16">
        <f>HYPERLINK("http://csr.bu.edu/ftp/asl/asllvd/demos/verify_start_end_handshape_annotations//test_auto_move//signs_mov_separ_signers/Brady_15097.mov","MOV")</f>
        <v>21</v>
      </c>
      <c r="M8374" t="s" s="10">
        <v>60</v>
      </c>
      <c r="N8374" s="17">
        <v>57</v>
      </c>
      <c r="O8374" s="18">
        <v>1291</v>
      </c>
      <c r="P8374" s="18">
        <v>1339</v>
      </c>
      <c r="Q8374" t="s" s="16">
        <f>HYPERLINK("http://secrets.rutgers.edu:8080/data/asl-ftp/asllvd/demos/verify_start_end_handshape_annotations//test_auto_move//signs_mov/15097.mov","MOV")</f>
        <v>21</v>
      </c>
      <c r="R8374" t="s" s="16">
        <f>HYPERLINK("http://secrets.rutgers.edu:8080/data/asl-ftp/asllvd/demos/verify_start_end_handshape_annotations//test_auto_move//signs_mov_separ_signers/Brady_15097.mov","MOV")</f>
        <v>21</v>
      </c>
    </row>
    <row r="8375" s="2" customFormat="1" ht="13.5" customHeight="1">
      <c r="B8375" t="s" s="8">
        <v>3008</v>
      </c>
      <c r="C8375" t="s" s="9">
        <v>14</v>
      </c>
      <c r="D8375" t="s" s="8">
        <v>14</v>
      </c>
      <c r="E8375" t="s" s="9">
        <v>14</v>
      </c>
      <c r="F8375" t="s" s="10">
        <v>14</v>
      </c>
      <c r="G8375" t="s" s="11">
        <v>14</v>
      </c>
      <c r="H8375" t="s" s="10">
        <v>14</v>
      </c>
      <c r="I8375" t="s" s="11">
        <v>14</v>
      </c>
      <c r="J8375" t="s" s="11">
        <v>14</v>
      </c>
      <c r="K8375" t="s" s="12">
        <v>14</v>
      </c>
      <c r="L8375" t="s" s="12">
        <v>14</v>
      </c>
      <c r="M8375" t="s" s="10">
        <v>14</v>
      </c>
      <c r="N8375" t="s" s="11">
        <v>14</v>
      </c>
      <c r="O8375" t="s" s="8">
        <v>14</v>
      </c>
      <c r="P8375" t="s" s="8">
        <v>14</v>
      </c>
      <c r="Q8375" t="s" s="12">
        <v>14</v>
      </c>
      <c r="R8375" t="s" s="12">
        <v>14</v>
      </c>
    </row>
    <row r="8376" s="2" customFormat="1" ht="13.5" customHeight="1">
      <c r="B8376" s="13"/>
      <c r="C8376" t="s" s="9">
        <v>16</v>
      </c>
      <c r="D8376" t="s" s="8">
        <v>3008</v>
      </c>
      <c r="E8376" t="s" s="9">
        <v>3008</v>
      </c>
      <c r="F8376" t="s" s="10">
        <v>150</v>
      </c>
      <c r="G8376" t="s" s="11">
        <v>150</v>
      </c>
      <c r="H8376" t="s" s="10">
        <v>73</v>
      </c>
      <c r="I8376" t="s" s="11">
        <v>73</v>
      </c>
      <c r="J8376" t="s" s="11">
        <v>20</v>
      </c>
      <c r="K8376" t="s" s="16">
        <f>HYPERLINK("http://csr.bu.edu/ftp/asl/asllvd/demos/verify_start_end_handshape_annotations//test_auto_move//signs_mov/2232.mov","MOV")</f>
        <v>21</v>
      </c>
      <c r="L8376" t="s" s="16">
        <f>HYPERLINK("http://csr.bu.edu/ftp/asl/asllvd/demos/verify_start_end_handshape_annotations//test_auto_move//signs_mov_separ_signers/Liz_2232.mov","MOV")</f>
        <v>21</v>
      </c>
      <c r="M8376" t="s" s="10">
        <v>36</v>
      </c>
      <c r="N8376" s="17">
        <v>27</v>
      </c>
      <c r="O8376" s="18">
        <v>775</v>
      </c>
      <c r="P8376" s="18">
        <v>820</v>
      </c>
      <c r="Q8376" t="s" s="16">
        <f>HYPERLINK("http://secrets.rutgers.edu:8080/data/asl-ftp/asllvd/demos/verify_start_end_handshape_annotations//test_auto_move//signs_mov/2232.mov","MOV")</f>
        <v>21</v>
      </c>
      <c r="R8376" t="s" s="16">
        <f>HYPERLINK("http://secrets.rutgers.edu:8080/data/asl-ftp/asllvd/demos/verify_start_end_handshape_annotations//test_auto_move//signs_mov_separ_signers/Liz_2232.mov","MOV")</f>
        <v>21</v>
      </c>
    </row>
    <row r="8377" s="2" customFormat="1" ht="13.5" customHeight="1">
      <c r="B8377" s="13"/>
      <c r="C8377" t="s" s="9">
        <v>30</v>
      </c>
      <c r="D8377" t="s" s="8">
        <v>3008</v>
      </c>
      <c r="E8377" t="s" s="9">
        <v>3008</v>
      </c>
      <c r="F8377" t="s" s="10">
        <v>148</v>
      </c>
      <c r="G8377" t="s" s="11">
        <v>148</v>
      </c>
      <c r="H8377" s="19">
        <v>5</v>
      </c>
      <c r="I8377" s="17">
        <v>5</v>
      </c>
      <c r="J8377" t="s" s="11">
        <v>20</v>
      </c>
      <c r="K8377" s="15"/>
      <c r="L8377" t="s" s="16">
        <f>HYPERLINK("http://csr.bu.edu/ftp/asl/asllvd/demos/verify_start_end_handshape_annotations//test_auto_move//signs_mov_separ_signers/Brady_2232.mov","MOV")</f>
        <v>21</v>
      </c>
      <c r="M8377" t="s" s="10">
        <v>40</v>
      </c>
      <c r="N8377" s="17">
        <v>77</v>
      </c>
      <c r="O8377" s="18">
        <v>2012</v>
      </c>
      <c r="P8377" s="18">
        <v>2044</v>
      </c>
      <c r="Q8377" s="15"/>
      <c r="R8377" t="s" s="16">
        <f>HYPERLINK("http://secrets.rutgers.edu:8080/data/asl-ftp/asllvd/demos/verify_start_end_handshape_annotations//test_auto_move//signs_mov_separ_signers/Brady_2232.mov","MOV")</f>
        <v>21</v>
      </c>
    </row>
    <row r="8378" s="2" customFormat="1" ht="13.5" customHeight="1">
      <c r="B8378" t="s" s="8">
        <v>3009</v>
      </c>
      <c r="C8378" t="s" s="9">
        <v>14</v>
      </c>
      <c r="D8378" t="s" s="8">
        <v>14</v>
      </c>
      <c r="E8378" t="s" s="9">
        <v>14</v>
      </c>
      <c r="F8378" t="s" s="10">
        <v>14</v>
      </c>
      <c r="G8378" t="s" s="11">
        <v>14</v>
      </c>
      <c r="H8378" t="s" s="10">
        <v>14</v>
      </c>
      <c r="I8378" t="s" s="11">
        <v>14</v>
      </c>
      <c r="J8378" t="s" s="11">
        <v>14</v>
      </c>
      <c r="K8378" t="s" s="12">
        <v>14</v>
      </c>
      <c r="L8378" t="s" s="12">
        <v>14</v>
      </c>
      <c r="M8378" t="s" s="10">
        <v>14</v>
      </c>
      <c r="N8378" t="s" s="11">
        <v>14</v>
      </c>
      <c r="O8378" t="s" s="8">
        <v>14</v>
      </c>
      <c r="P8378" t="s" s="8">
        <v>14</v>
      </c>
      <c r="Q8378" t="s" s="12">
        <v>14</v>
      </c>
      <c r="R8378" t="s" s="12">
        <v>14</v>
      </c>
    </row>
    <row r="8379" s="2" customFormat="1" ht="13.5" customHeight="1">
      <c r="B8379" s="13"/>
      <c r="C8379" t="s" s="9">
        <v>16</v>
      </c>
      <c r="D8379" t="s" s="8">
        <v>3009</v>
      </c>
      <c r="E8379" t="s" s="9">
        <v>3009</v>
      </c>
      <c r="F8379" t="s" s="10">
        <v>119</v>
      </c>
      <c r="G8379" s="14"/>
      <c r="H8379" s="19">
        <v>4</v>
      </c>
      <c r="I8379" s="14"/>
      <c r="J8379" t="s" s="11">
        <v>20</v>
      </c>
      <c r="K8379" s="15"/>
      <c r="L8379" t="s" s="16">
        <f>HYPERLINK("http://csr.bu.edu/ftp/asl/asllvd/demos/verify_start_end_handshape_annotations//test_auto_move//signs_mov_separ_signers/Liz_2234.mov","MOV")</f>
        <v>21</v>
      </c>
      <c r="M8379" t="s" s="10">
        <v>36</v>
      </c>
      <c r="N8379" s="17">
        <v>27</v>
      </c>
      <c r="O8379" s="18">
        <v>1185</v>
      </c>
      <c r="P8379" s="18">
        <v>1225</v>
      </c>
      <c r="Q8379" s="15"/>
      <c r="R8379" t="s" s="16">
        <f>HYPERLINK("http://secrets.rutgers.edu:8080/data/asl-ftp/asllvd/demos/verify_start_end_handshape_annotations//test_auto_move//signs_mov_separ_signers/Liz_2234.mov","MOV")</f>
        <v>21</v>
      </c>
    </row>
    <row r="8380" s="2" customFormat="1" ht="13.5" customHeight="1">
      <c r="B8380" s="13"/>
      <c r="C8380" t="s" s="9">
        <v>30</v>
      </c>
      <c r="D8380" t="s" s="8">
        <v>3009</v>
      </c>
      <c r="E8380" t="s" s="9">
        <v>3009</v>
      </c>
      <c r="F8380" t="s" s="10">
        <v>63</v>
      </c>
      <c r="G8380" s="14"/>
      <c r="H8380" s="19">
        <v>6</v>
      </c>
      <c r="I8380" s="14"/>
      <c r="J8380" t="s" s="11">
        <v>20</v>
      </c>
      <c r="K8380" t="s" s="16">
        <f>HYPERLINK("http://csr.bu.edu/ftp/asl/asllvd/demos/verify_start_end_handshape_annotations//test_auto_move//signs_mov/2234.mov","MOV")</f>
        <v>21</v>
      </c>
      <c r="L8380" t="s" s="16">
        <f>HYPERLINK("http://csr.bu.edu/ftp/asl/asllvd/demos/verify_start_end_handshape_annotations//test_auto_move//signs_mov_separ_signers/Brady_2234.mov","MOV")</f>
        <v>21</v>
      </c>
      <c r="M8380" t="s" s="10">
        <v>40</v>
      </c>
      <c r="N8380" s="17">
        <v>78</v>
      </c>
      <c r="O8380" s="18">
        <v>1511</v>
      </c>
      <c r="P8380" s="18">
        <v>1530</v>
      </c>
      <c r="Q8380" t="s" s="16">
        <f>HYPERLINK("http://secrets.rutgers.edu:8080/data/asl-ftp/asllvd/demos/verify_start_end_handshape_annotations//test_auto_move//signs_mov/2234.mov","MOV")</f>
        <v>21</v>
      </c>
      <c r="R8380" t="s" s="16">
        <f>HYPERLINK("http://secrets.rutgers.edu:8080/data/asl-ftp/asllvd/demos/verify_start_end_handshape_annotations//test_auto_move//signs_mov_separ_signers/Brady_2234.mov","MOV")</f>
        <v>21</v>
      </c>
    </row>
    <row r="8381" s="2" customFormat="1" ht="13.5" customHeight="1">
      <c r="B8381" s="13"/>
      <c r="C8381" t="s" s="9">
        <v>41</v>
      </c>
      <c r="D8381" t="s" s="8">
        <v>3009</v>
      </c>
      <c r="E8381" t="s" s="9">
        <v>3009</v>
      </c>
      <c r="F8381" t="s" s="10">
        <v>63</v>
      </c>
      <c r="G8381" s="14"/>
      <c r="H8381" s="19">
        <v>4</v>
      </c>
      <c r="I8381" s="14"/>
      <c r="J8381" t="s" s="11">
        <v>20</v>
      </c>
      <c r="K8381" s="15"/>
      <c r="L8381" t="s" s="16">
        <f>HYPERLINK("http://csr.bu.edu/ftp/asl/asllvd/demos/verify_start_end_handshape_annotations//test_auto_move//signs_mov_separ_signers/Lana_2234.mov","MOV")</f>
        <v>21</v>
      </c>
      <c r="M8381" t="s" s="10">
        <v>42</v>
      </c>
      <c r="N8381" s="17">
        <v>2</v>
      </c>
      <c r="O8381" s="18">
        <v>1367</v>
      </c>
      <c r="P8381" s="18">
        <v>1385</v>
      </c>
      <c r="Q8381" s="15"/>
      <c r="R8381" t="s" s="16">
        <f>HYPERLINK("http://secrets.rutgers.edu:8080/data/asl-ftp/asllvd/demos/verify_start_end_handshape_annotations//test_auto_move//signs_mov_separ_signers/Lana_2234.mov","MOV")</f>
        <v>21</v>
      </c>
    </row>
    <row r="8382" s="2" customFormat="1" ht="13.5" customHeight="1">
      <c r="B8382" t="s" s="8">
        <v>52</v>
      </c>
      <c r="C8382" t="s" s="9">
        <v>53</v>
      </c>
      <c r="D8382" t="s" s="8">
        <v>53</v>
      </c>
      <c r="E8382" t="s" s="9">
        <v>53</v>
      </c>
      <c r="F8382" t="s" s="10">
        <v>53</v>
      </c>
      <c r="G8382" t="s" s="11">
        <v>53</v>
      </c>
      <c r="H8382" t="s" s="10">
        <v>53</v>
      </c>
      <c r="I8382" t="s" s="11">
        <v>53</v>
      </c>
      <c r="J8382" t="s" s="11">
        <v>53</v>
      </c>
      <c r="K8382" t="s" s="12">
        <v>53</v>
      </c>
      <c r="L8382" t="s" s="12">
        <v>53</v>
      </c>
      <c r="M8382" t="s" s="10">
        <v>53</v>
      </c>
      <c r="N8382" t="s" s="11">
        <v>53</v>
      </c>
      <c r="O8382" t="s" s="8">
        <v>53</v>
      </c>
      <c r="P8382" t="s" s="8">
        <v>53</v>
      </c>
      <c r="Q8382" t="s" s="12">
        <v>53</v>
      </c>
      <c r="R8382" t="s" s="12">
        <v>53</v>
      </c>
    </row>
    <row r="8383" s="2" customFormat="1" ht="13.5" customHeight="1">
      <c r="B8383" s="13"/>
      <c r="C8383" t="s" s="9">
        <v>43</v>
      </c>
      <c r="D8383" t="s" s="8">
        <v>3009</v>
      </c>
      <c r="E8383" t="s" s="9">
        <v>3010</v>
      </c>
      <c r="F8383" t="s" s="10">
        <v>119</v>
      </c>
      <c r="G8383" s="14"/>
      <c r="H8383" t="s" s="10">
        <v>63</v>
      </c>
      <c r="I8383" s="14"/>
      <c r="J8383" t="s" s="11">
        <v>20</v>
      </c>
      <c r="K8383" t="s" s="16">
        <f>HYPERLINK("http://csr.bu.edu/ftp/asl/asllvd/demos/verify_start_end_handshape_annotations//test_auto_move//signs_mov/3889.mov","MOV")</f>
        <v>21</v>
      </c>
      <c r="L8383" t="s" s="16">
        <f>HYPERLINK("http://csr.bu.edu/ftp/asl/asllvd/demos/verify_start_end_handshape_annotations//test_auto_move//signs_mov_separ_signers/Dana_3889.mov","MOV")</f>
        <v>21</v>
      </c>
      <c r="M8383" t="s" s="10">
        <v>44</v>
      </c>
      <c r="N8383" s="17">
        <v>5</v>
      </c>
      <c r="O8383" s="18">
        <v>1651</v>
      </c>
      <c r="P8383" s="18">
        <v>1672</v>
      </c>
      <c r="Q8383" t="s" s="16">
        <f>HYPERLINK("http://secrets.rutgers.edu:8080/data/asl-ftp/asllvd/demos/verify_start_end_handshape_annotations//test_auto_move//signs_mov/3889.mov","MOV")</f>
        <v>21</v>
      </c>
      <c r="R8383" t="s" s="16">
        <f>HYPERLINK("http://secrets.rutgers.edu:8080/data/asl-ftp/asllvd/demos/verify_start_end_handshape_annotations//test_auto_move//signs_mov_separ_signers/Dana_3889.mov","MOV")</f>
        <v>21</v>
      </c>
    </row>
    <row r="8384" s="2" customFormat="1" ht="13.5" customHeight="1">
      <c r="B8384" t="s" s="8">
        <v>3011</v>
      </c>
      <c r="C8384" t="s" s="9">
        <v>14</v>
      </c>
      <c r="D8384" t="s" s="8">
        <v>14</v>
      </c>
      <c r="E8384" t="s" s="9">
        <v>14</v>
      </c>
      <c r="F8384" t="s" s="10">
        <v>14</v>
      </c>
      <c r="G8384" t="s" s="11">
        <v>14</v>
      </c>
      <c r="H8384" t="s" s="10">
        <v>14</v>
      </c>
      <c r="I8384" t="s" s="11">
        <v>14</v>
      </c>
      <c r="J8384" t="s" s="11">
        <v>14</v>
      </c>
      <c r="K8384" t="s" s="12">
        <v>14</v>
      </c>
      <c r="L8384" t="s" s="12">
        <v>14</v>
      </c>
      <c r="M8384" t="s" s="10">
        <v>14</v>
      </c>
      <c r="N8384" t="s" s="11">
        <v>14</v>
      </c>
      <c r="O8384" t="s" s="8">
        <v>14</v>
      </c>
      <c r="P8384" t="s" s="8">
        <v>14</v>
      </c>
      <c r="Q8384" t="s" s="12">
        <v>14</v>
      </c>
      <c r="R8384" t="s" s="12">
        <v>14</v>
      </c>
    </row>
    <row r="8385" s="2" customFormat="1" ht="13.5" customHeight="1">
      <c r="B8385" s="13"/>
      <c r="C8385" t="s" s="9">
        <v>16</v>
      </c>
      <c r="D8385" t="s" s="8">
        <v>3011</v>
      </c>
      <c r="E8385" t="s" s="9">
        <v>3011</v>
      </c>
      <c r="F8385" t="s" s="10">
        <v>282</v>
      </c>
      <c r="G8385" s="14"/>
      <c r="H8385" t="s" s="10">
        <v>282</v>
      </c>
      <c r="I8385" s="14"/>
      <c r="J8385" t="s" s="11">
        <v>20</v>
      </c>
      <c r="K8385" t="s" s="16">
        <f>HYPERLINK("http://csr.bu.edu/ftp/asl/asllvd/demos/verify_start_end_handshape_annotations//test_auto_move//signs_mov/5668.mov","MOV")</f>
        <v>21</v>
      </c>
      <c r="L8385" t="s" s="16">
        <f>HYPERLINK("http://csr.bu.edu/ftp/asl/asllvd/demos/verify_start_end_handshape_annotations//test_auto_move//signs_mov_separ_signers/Liz_5668.mov","MOV")</f>
        <v>21</v>
      </c>
      <c r="M8385" t="s" s="10">
        <v>77</v>
      </c>
      <c r="N8385" s="17">
        <v>16</v>
      </c>
      <c r="O8385" s="18">
        <v>932</v>
      </c>
      <c r="P8385" s="18">
        <v>970</v>
      </c>
      <c r="Q8385" t="s" s="16">
        <f>HYPERLINK("http://secrets.rutgers.edu:8080/data/asl-ftp/asllvd/demos/verify_start_end_handshape_annotations//test_auto_move//signs_mov/5668.mov","MOV")</f>
        <v>21</v>
      </c>
      <c r="R8385" t="s" s="16">
        <f>HYPERLINK("http://secrets.rutgers.edu:8080/data/asl-ftp/asllvd/demos/verify_start_end_handshape_annotations//test_auto_move//signs_mov_separ_signers/Liz_5668.mov","MOV")</f>
        <v>21</v>
      </c>
    </row>
    <row r="8386" s="2" customFormat="1" ht="13.5" customHeight="1">
      <c r="B8386" s="13"/>
      <c r="C8386" t="s" s="9">
        <v>30</v>
      </c>
      <c r="D8386" t="s" s="8">
        <v>3011</v>
      </c>
      <c r="E8386" t="s" s="9">
        <v>3011</v>
      </c>
      <c r="F8386" t="s" s="10">
        <v>282</v>
      </c>
      <c r="G8386" s="14"/>
      <c r="H8386" t="s" s="10">
        <v>282</v>
      </c>
      <c r="I8386" s="14"/>
      <c r="J8386" t="s" s="11">
        <v>20</v>
      </c>
      <c r="K8386" s="15"/>
      <c r="L8386" t="s" s="16">
        <f>HYPERLINK("http://csr.bu.edu/ftp/asl/asllvd/demos/verify_start_end_handshape_annotations//test_auto_move//signs_mov_separ_signers/Brady_5668.mov","MOV")</f>
        <v>21</v>
      </c>
      <c r="M8386" t="s" s="10">
        <v>39</v>
      </c>
      <c r="N8386" s="17">
        <v>17</v>
      </c>
      <c r="O8386" s="18">
        <v>4130</v>
      </c>
      <c r="P8386" s="18">
        <v>4151</v>
      </c>
      <c r="Q8386" s="15"/>
      <c r="R8386" t="s" s="16">
        <f>HYPERLINK("http://secrets.rutgers.edu:8080/data/asl-ftp/asllvd/demos/verify_start_end_handshape_annotations//test_auto_move//signs_mov_separ_signers/Brady_5668.mov","MOV")</f>
        <v>21</v>
      </c>
    </row>
    <row r="8387" s="2" customFormat="1" ht="13.5" customHeight="1">
      <c r="B8387" t="s" s="8">
        <v>3012</v>
      </c>
      <c r="C8387" t="s" s="9">
        <v>14</v>
      </c>
      <c r="D8387" t="s" s="8">
        <v>14</v>
      </c>
      <c r="E8387" t="s" s="9">
        <v>14</v>
      </c>
      <c r="F8387" t="s" s="10">
        <v>14</v>
      </c>
      <c r="G8387" t="s" s="11">
        <v>14</v>
      </c>
      <c r="H8387" t="s" s="10">
        <v>14</v>
      </c>
      <c r="I8387" t="s" s="11">
        <v>14</v>
      </c>
      <c r="J8387" t="s" s="11">
        <v>14</v>
      </c>
      <c r="K8387" t="s" s="12">
        <v>14</v>
      </c>
      <c r="L8387" t="s" s="12">
        <v>14</v>
      </c>
      <c r="M8387" t="s" s="10">
        <v>14</v>
      </c>
      <c r="N8387" t="s" s="11">
        <v>14</v>
      </c>
      <c r="O8387" t="s" s="8">
        <v>14</v>
      </c>
      <c r="P8387" t="s" s="8">
        <v>14</v>
      </c>
      <c r="Q8387" t="s" s="12">
        <v>14</v>
      </c>
      <c r="R8387" t="s" s="12">
        <v>14</v>
      </c>
    </row>
    <row r="8388" s="2" customFormat="1" ht="13.5" customHeight="1">
      <c r="B8388" s="13"/>
      <c r="C8388" t="s" s="9">
        <v>16</v>
      </c>
      <c r="D8388" t="s" s="8">
        <v>3012</v>
      </c>
      <c r="E8388" t="s" s="9">
        <v>3013</v>
      </c>
      <c r="F8388" t="s" s="10">
        <v>282</v>
      </c>
      <c r="G8388" t="s" s="11">
        <v>282</v>
      </c>
      <c r="H8388" t="s" s="10">
        <v>282</v>
      </c>
      <c r="I8388" t="s" s="11">
        <v>282</v>
      </c>
      <c r="J8388" t="s" s="11">
        <v>20</v>
      </c>
      <c r="K8388" t="s" s="16">
        <f>HYPERLINK("http://csr.bu.edu/ftp/asl/asllvd/demos/verify_start_end_handshape_annotations//test_auto_move//signs_mov/2235.mov","MOV")</f>
        <v>21</v>
      </c>
      <c r="L8388" t="s" s="16">
        <f>HYPERLINK("http://csr.bu.edu/ftp/asl/asllvd/demos/verify_start_end_handshape_annotations//test_auto_move//signs_mov_separ_signers/Liz_2235.mov","MOV")</f>
        <v>21</v>
      </c>
      <c r="M8388" t="s" s="10">
        <v>36</v>
      </c>
      <c r="N8388" s="17">
        <v>27</v>
      </c>
      <c r="O8388" s="18">
        <v>1430</v>
      </c>
      <c r="P8388" s="18">
        <v>1495</v>
      </c>
      <c r="Q8388" t="s" s="16">
        <f>HYPERLINK("http://secrets.rutgers.edu:8080/data/asl-ftp/asllvd/demos/verify_start_end_handshape_annotations//test_auto_move//signs_mov/2235.mov","MOV")</f>
        <v>21</v>
      </c>
      <c r="R8388" t="s" s="16">
        <f>HYPERLINK("http://secrets.rutgers.edu:8080/data/asl-ftp/asllvd/demos/verify_start_end_handshape_annotations//test_auto_move//signs_mov_separ_signers/Liz_2235.mov","MOV")</f>
        <v>21</v>
      </c>
    </row>
    <row r="8389" s="2" customFormat="1" ht="13.5" customHeight="1">
      <c r="B8389" s="13"/>
      <c r="C8389" t="s" s="9">
        <v>30</v>
      </c>
      <c r="D8389" t="s" s="8">
        <v>3012</v>
      </c>
      <c r="E8389" t="s" s="9">
        <v>3014</v>
      </c>
      <c r="F8389" t="s" s="10">
        <v>282</v>
      </c>
      <c r="G8389" t="s" s="11">
        <v>282</v>
      </c>
      <c r="H8389" t="s" s="10">
        <v>282</v>
      </c>
      <c r="I8389" t="s" s="11">
        <v>282</v>
      </c>
      <c r="J8389" t="s" s="11">
        <v>20</v>
      </c>
      <c r="K8389" s="15"/>
      <c r="L8389" t="s" s="16">
        <f>HYPERLINK("http://csr.bu.edu/ftp/asl/asllvd/demos/verify_start_end_handshape_annotations//test_auto_move//signs_mov_separ_signers/Brady_2235.mov","MOV")</f>
        <v>21</v>
      </c>
      <c r="M8389" t="s" s="10">
        <v>40</v>
      </c>
      <c r="N8389" s="17">
        <v>78</v>
      </c>
      <c r="O8389" s="18">
        <v>1737</v>
      </c>
      <c r="P8389" s="18">
        <v>1764</v>
      </c>
      <c r="Q8389" s="15"/>
      <c r="R8389" t="s" s="16">
        <f>HYPERLINK("http://secrets.rutgers.edu:8080/data/asl-ftp/asllvd/demos/verify_start_end_handshape_annotations//test_auto_move//signs_mov_separ_signers/Brady_2235.mov","MOV")</f>
        <v>21</v>
      </c>
    </row>
    <row r="8390" s="2" customFormat="1" ht="13.5" customHeight="1">
      <c r="B8390" t="s" s="8">
        <v>3015</v>
      </c>
      <c r="C8390" t="s" s="9">
        <v>14</v>
      </c>
      <c r="D8390" t="s" s="8">
        <v>14</v>
      </c>
      <c r="E8390" t="s" s="9">
        <v>14</v>
      </c>
      <c r="F8390" t="s" s="10">
        <v>14</v>
      </c>
      <c r="G8390" t="s" s="11">
        <v>14</v>
      </c>
      <c r="H8390" t="s" s="10">
        <v>14</v>
      </c>
      <c r="I8390" t="s" s="11">
        <v>14</v>
      </c>
      <c r="J8390" t="s" s="11">
        <v>14</v>
      </c>
      <c r="K8390" t="s" s="12">
        <v>14</v>
      </c>
      <c r="L8390" t="s" s="12">
        <v>14</v>
      </c>
      <c r="M8390" t="s" s="10">
        <v>14</v>
      </c>
      <c r="N8390" t="s" s="11">
        <v>14</v>
      </c>
      <c r="O8390" t="s" s="8">
        <v>14</v>
      </c>
      <c r="P8390" t="s" s="8">
        <v>14</v>
      </c>
      <c r="Q8390" t="s" s="12">
        <v>14</v>
      </c>
      <c r="R8390" t="s" s="12">
        <v>14</v>
      </c>
    </row>
    <row r="8391" s="2" customFormat="1" ht="13.5" customHeight="1">
      <c r="B8391" s="13"/>
      <c r="C8391" t="s" s="9">
        <v>16</v>
      </c>
      <c r="D8391" t="s" s="8">
        <v>3015</v>
      </c>
      <c r="E8391" t="s" s="9">
        <v>3016</v>
      </c>
      <c r="F8391" t="s" s="10">
        <v>282</v>
      </c>
      <c r="G8391" t="s" s="11">
        <v>73</v>
      </c>
      <c r="H8391" t="s" s="10">
        <v>282</v>
      </c>
      <c r="I8391" t="s" s="11">
        <v>73</v>
      </c>
      <c r="J8391" t="s" s="11">
        <v>20</v>
      </c>
      <c r="K8391" t="s" s="16">
        <f>HYPERLINK("http://csr.bu.edu/ftp/asl/asllvd/demos/verify_start_end_handshape_annotations//test_auto_move//signs_mov/15252.mov","MOV")</f>
        <v>21</v>
      </c>
      <c r="L8391" t="s" s="16">
        <f>HYPERLINK("http://csr.bu.edu/ftp/asl/asllvd/demos/verify_start_end_handshape_annotations//test_auto_move//signs_mov_separ_signers/Liz_15252.mov","MOV")</f>
        <v>21</v>
      </c>
      <c r="M8391" t="s" s="10">
        <v>36</v>
      </c>
      <c r="N8391" s="17">
        <v>27</v>
      </c>
      <c r="O8391" s="18">
        <v>1975</v>
      </c>
      <c r="P8391" s="18">
        <v>2045</v>
      </c>
      <c r="Q8391" t="s" s="16">
        <f>HYPERLINK("http://secrets.rutgers.edu:8080/data/asl-ftp/asllvd/demos/verify_start_end_handshape_annotations//test_auto_move//signs_mov/15252.mov","MOV")</f>
        <v>21</v>
      </c>
      <c r="R8391" t="s" s="16">
        <f>HYPERLINK("http://secrets.rutgers.edu:8080/data/asl-ftp/asllvd/demos/verify_start_end_handshape_annotations//test_auto_move//signs_mov_separ_signers/Liz_15252.mov","MOV")</f>
        <v>21</v>
      </c>
    </row>
    <row r="8392" s="2" customFormat="1" ht="13.5" customHeight="1">
      <c r="B8392" s="13"/>
      <c r="C8392" t="s" s="9">
        <v>30</v>
      </c>
      <c r="D8392" t="s" s="8">
        <v>3015</v>
      </c>
      <c r="E8392" t="s" s="9">
        <v>3017</v>
      </c>
      <c r="F8392" t="s" s="10">
        <v>282</v>
      </c>
      <c r="G8392" t="s" s="11">
        <v>73</v>
      </c>
      <c r="H8392" t="s" s="10">
        <v>282</v>
      </c>
      <c r="I8392" t="s" s="11">
        <v>73</v>
      </c>
      <c r="J8392" t="s" s="11">
        <v>20</v>
      </c>
      <c r="K8392" s="15"/>
      <c r="L8392" t="s" s="16">
        <f>HYPERLINK("http://csr.bu.edu/ftp/asl/asllvd/demos/verify_start_end_handshape_annotations//test_auto_move//signs_mov_separ_signers/Brady_15252.mov","MOV")</f>
        <v>21</v>
      </c>
      <c r="M8392" t="s" s="10">
        <v>40</v>
      </c>
      <c r="N8392" s="17">
        <v>78</v>
      </c>
      <c r="O8392" s="18">
        <v>1976</v>
      </c>
      <c r="P8392" s="18">
        <v>2019</v>
      </c>
      <c r="Q8392" s="15"/>
      <c r="R8392" t="s" s="16">
        <f>HYPERLINK("http://secrets.rutgers.edu:8080/data/asl-ftp/asllvd/demos/verify_start_end_handshape_annotations//test_auto_move//signs_mov_separ_signers/Brady_15252.mov","MOV")</f>
        <v>21</v>
      </c>
    </row>
    <row r="8393" s="2" customFormat="1" ht="13.5" customHeight="1">
      <c r="B8393" t="s" s="8">
        <v>3018</v>
      </c>
      <c r="C8393" t="s" s="9">
        <v>14</v>
      </c>
      <c r="D8393" t="s" s="8">
        <v>14</v>
      </c>
      <c r="E8393" t="s" s="9">
        <v>14</v>
      </c>
      <c r="F8393" t="s" s="10">
        <v>14</v>
      </c>
      <c r="G8393" t="s" s="11">
        <v>14</v>
      </c>
      <c r="H8393" t="s" s="10">
        <v>14</v>
      </c>
      <c r="I8393" t="s" s="11">
        <v>14</v>
      </c>
      <c r="J8393" t="s" s="11">
        <v>14</v>
      </c>
      <c r="K8393" t="s" s="12">
        <v>14</v>
      </c>
      <c r="L8393" t="s" s="12">
        <v>14</v>
      </c>
      <c r="M8393" t="s" s="10">
        <v>14</v>
      </c>
      <c r="N8393" t="s" s="11">
        <v>14</v>
      </c>
      <c r="O8393" t="s" s="8">
        <v>14</v>
      </c>
      <c r="P8393" t="s" s="8">
        <v>14</v>
      </c>
      <c r="Q8393" t="s" s="12">
        <v>14</v>
      </c>
      <c r="R8393" t="s" s="12">
        <v>14</v>
      </c>
    </row>
    <row r="8394" s="2" customFormat="1" ht="13.5" customHeight="1">
      <c r="B8394" s="13"/>
      <c r="C8394" t="s" s="9">
        <v>16</v>
      </c>
      <c r="D8394" t="s" s="8">
        <v>3018</v>
      </c>
      <c r="E8394" t="s" s="9">
        <v>3018</v>
      </c>
      <c r="F8394" t="s" s="10">
        <v>255</v>
      </c>
      <c r="G8394" s="14"/>
      <c r="H8394" t="s" s="10">
        <v>255</v>
      </c>
      <c r="I8394" s="14"/>
      <c r="J8394" t="s" s="11">
        <v>20</v>
      </c>
      <c r="K8394" t="s" s="16">
        <f>HYPERLINK("http://csr.bu.edu/ftp/asl/asllvd/demos/verify_start_end_handshape_annotations//test_auto_move//signs_mov/2238.mov","MOV")</f>
        <v>21</v>
      </c>
      <c r="L8394" t="s" s="16">
        <f>HYPERLINK("http://csr.bu.edu/ftp/asl/asllvd/demos/verify_start_end_handshape_annotations//test_auto_move//signs_mov_separ_signers/Liz_2238.mov","MOV")</f>
        <v>21</v>
      </c>
      <c r="M8394" t="s" s="10">
        <v>36</v>
      </c>
      <c r="N8394" s="17">
        <v>27</v>
      </c>
      <c r="O8394" s="18">
        <v>2535</v>
      </c>
      <c r="P8394" s="18">
        <v>2585</v>
      </c>
      <c r="Q8394" t="s" s="16">
        <f>HYPERLINK("http://secrets.rutgers.edu:8080/data/asl-ftp/asllvd/demos/verify_start_end_handshape_annotations//test_auto_move//signs_mov/2238.mov","MOV")</f>
        <v>21</v>
      </c>
      <c r="R8394" t="s" s="16">
        <f>HYPERLINK("http://secrets.rutgers.edu:8080/data/asl-ftp/asllvd/demos/verify_start_end_handshape_annotations//test_auto_move//signs_mov_separ_signers/Liz_2238.mov","MOV")</f>
        <v>21</v>
      </c>
    </row>
    <row r="8395" s="2" customFormat="1" ht="13.5" customHeight="1">
      <c r="B8395" s="13"/>
      <c r="C8395" t="s" s="9">
        <v>30</v>
      </c>
      <c r="D8395" t="s" s="8">
        <v>3018</v>
      </c>
      <c r="E8395" t="s" s="9">
        <v>3018</v>
      </c>
      <c r="F8395" t="s" s="10">
        <v>255</v>
      </c>
      <c r="G8395" s="14"/>
      <c r="H8395" t="s" s="10">
        <v>255</v>
      </c>
      <c r="I8395" s="14"/>
      <c r="J8395" t="s" s="11">
        <v>20</v>
      </c>
      <c r="K8395" s="15"/>
      <c r="L8395" t="s" s="16">
        <f>HYPERLINK("http://csr.bu.edu/ftp/asl/asllvd/demos/verify_start_end_handshape_annotations//test_auto_move//signs_mov_separ_signers/Brady_2238.mov","MOV")</f>
        <v>21</v>
      </c>
      <c r="M8395" t="s" s="10">
        <v>40</v>
      </c>
      <c r="N8395" s="17">
        <v>78</v>
      </c>
      <c r="O8395" s="18">
        <v>2510</v>
      </c>
      <c r="P8395" s="18">
        <v>2528</v>
      </c>
      <c r="Q8395" s="15"/>
      <c r="R8395" t="s" s="16">
        <f>HYPERLINK("http://secrets.rutgers.edu:8080/data/asl-ftp/asllvd/demos/verify_start_end_handshape_annotations//test_auto_move//signs_mov_separ_signers/Brady_2238.mov","MOV")</f>
        <v>21</v>
      </c>
    </row>
    <row r="8396" s="2" customFormat="1" ht="13.5" customHeight="1">
      <c r="B8396" t="s" s="8">
        <v>3019</v>
      </c>
      <c r="C8396" t="s" s="9">
        <v>14</v>
      </c>
      <c r="D8396" t="s" s="8">
        <v>14</v>
      </c>
      <c r="E8396" t="s" s="9">
        <v>14</v>
      </c>
      <c r="F8396" t="s" s="10">
        <v>14</v>
      </c>
      <c r="G8396" t="s" s="11">
        <v>14</v>
      </c>
      <c r="H8396" t="s" s="10">
        <v>14</v>
      </c>
      <c r="I8396" t="s" s="11">
        <v>14</v>
      </c>
      <c r="J8396" t="s" s="11">
        <v>14</v>
      </c>
      <c r="K8396" t="s" s="12">
        <v>14</v>
      </c>
      <c r="L8396" t="s" s="12">
        <v>14</v>
      </c>
      <c r="M8396" t="s" s="10">
        <v>14</v>
      </c>
      <c r="N8396" t="s" s="11">
        <v>14</v>
      </c>
      <c r="O8396" t="s" s="8">
        <v>14</v>
      </c>
      <c r="P8396" t="s" s="8">
        <v>14</v>
      </c>
      <c r="Q8396" t="s" s="12">
        <v>14</v>
      </c>
      <c r="R8396" t="s" s="12">
        <v>14</v>
      </c>
    </row>
    <row r="8397" s="2" customFormat="1" ht="13.5" customHeight="1">
      <c r="B8397" s="13"/>
      <c r="C8397" t="s" s="9">
        <v>16</v>
      </c>
      <c r="D8397" t="s" s="8">
        <v>3019</v>
      </c>
      <c r="E8397" t="s" s="9">
        <v>3019</v>
      </c>
      <c r="F8397" t="s" s="10">
        <v>72</v>
      </c>
      <c r="G8397" t="s" s="11">
        <v>72</v>
      </c>
      <c r="H8397" t="s" s="10">
        <v>72</v>
      </c>
      <c r="I8397" t="s" s="11">
        <v>72</v>
      </c>
      <c r="J8397" t="s" s="11">
        <v>20</v>
      </c>
      <c r="K8397" t="s" s="16">
        <f>HYPERLINK("http://csr.bu.edu/ftp/asl/asllvd/demos/verify_start_end_handshape_annotations//test_auto_move//signs_mov/2245.mov","MOV")</f>
        <v>21</v>
      </c>
      <c r="L8397" t="s" s="16">
        <f>HYPERLINK("http://csr.bu.edu/ftp/asl/asllvd/demos/verify_start_end_handshape_annotations//test_auto_move//signs_mov_separ_signers/Liz_2245.mov","MOV")</f>
        <v>21</v>
      </c>
      <c r="M8397" t="s" s="10">
        <v>36</v>
      </c>
      <c r="N8397" s="17">
        <v>28</v>
      </c>
      <c r="O8397" s="18">
        <v>1745</v>
      </c>
      <c r="P8397" s="18">
        <v>1806</v>
      </c>
      <c r="Q8397" t="s" s="16">
        <f>HYPERLINK("http://secrets.rutgers.edu:8080/data/asl-ftp/asllvd/demos/verify_start_end_handshape_annotations//test_auto_move//signs_mov/2245.mov","MOV")</f>
        <v>21</v>
      </c>
      <c r="R8397" t="s" s="16">
        <f>HYPERLINK("http://secrets.rutgers.edu:8080/data/asl-ftp/asllvd/demos/verify_start_end_handshape_annotations//test_auto_move//signs_mov_separ_signers/Liz_2245.mov","MOV")</f>
        <v>21</v>
      </c>
    </row>
    <row r="8398" s="2" customFormat="1" ht="13.5" customHeight="1">
      <c r="B8398" s="13"/>
      <c r="C8398" t="s" s="9">
        <v>30</v>
      </c>
      <c r="D8398" t="s" s="8">
        <v>3019</v>
      </c>
      <c r="E8398" t="s" s="9">
        <v>3019</v>
      </c>
      <c r="F8398" t="s" s="10">
        <v>72</v>
      </c>
      <c r="G8398" t="s" s="11">
        <v>72</v>
      </c>
      <c r="H8398" t="s" s="10">
        <v>72</v>
      </c>
      <c r="I8398" t="s" s="11">
        <v>72</v>
      </c>
      <c r="J8398" t="s" s="11">
        <v>20</v>
      </c>
      <c r="K8398" s="15"/>
      <c r="L8398" t="s" s="16">
        <f>HYPERLINK("http://csr.bu.edu/ftp/asl/asllvd/demos/verify_start_end_handshape_annotations//test_auto_move//signs_mov_separ_signers/Brady_2245.mov","MOV")</f>
        <v>21</v>
      </c>
      <c r="M8398" t="s" s="10">
        <v>40</v>
      </c>
      <c r="N8398" s="17">
        <v>79</v>
      </c>
      <c r="O8398" s="18">
        <v>5767</v>
      </c>
      <c r="P8398" s="18">
        <v>5811</v>
      </c>
      <c r="Q8398" s="15"/>
      <c r="R8398" t="s" s="16">
        <f>HYPERLINK("http://secrets.rutgers.edu:8080/data/asl-ftp/asllvd/demos/verify_start_end_handshape_annotations//test_auto_move//signs_mov_separ_signers/Brady_2245.mov","MOV")</f>
        <v>21</v>
      </c>
    </row>
    <row r="8399" s="2" customFormat="1" ht="13.5" customHeight="1">
      <c r="B8399" t="s" s="8">
        <v>3020</v>
      </c>
      <c r="C8399" t="s" s="9">
        <v>14</v>
      </c>
      <c r="D8399" t="s" s="8">
        <v>14</v>
      </c>
      <c r="E8399" t="s" s="9">
        <v>14</v>
      </c>
      <c r="F8399" t="s" s="10">
        <v>14</v>
      </c>
      <c r="G8399" t="s" s="11">
        <v>14</v>
      </c>
      <c r="H8399" t="s" s="10">
        <v>14</v>
      </c>
      <c r="I8399" t="s" s="11">
        <v>14</v>
      </c>
      <c r="J8399" t="s" s="11">
        <v>14</v>
      </c>
      <c r="K8399" t="s" s="12">
        <v>14</v>
      </c>
      <c r="L8399" t="s" s="12">
        <v>14</v>
      </c>
      <c r="M8399" t="s" s="10">
        <v>14</v>
      </c>
      <c r="N8399" t="s" s="11">
        <v>14</v>
      </c>
      <c r="O8399" t="s" s="8">
        <v>14</v>
      </c>
      <c r="P8399" t="s" s="8">
        <v>14</v>
      </c>
      <c r="Q8399" t="s" s="12">
        <v>14</v>
      </c>
      <c r="R8399" t="s" s="12">
        <v>14</v>
      </c>
    </row>
    <row r="8400" s="2" customFormat="1" ht="13.5" customHeight="1">
      <c r="B8400" s="13"/>
      <c r="C8400" t="s" s="9">
        <v>16</v>
      </c>
      <c r="D8400" t="s" s="8">
        <v>3020</v>
      </c>
      <c r="E8400" t="s" s="9">
        <v>3020</v>
      </c>
      <c r="F8400" t="s" s="10">
        <v>287</v>
      </c>
      <c r="G8400" t="s" s="11">
        <v>287</v>
      </c>
      <c r="H8400" t="s" s="10">
        <v>287</v>
      </c>
      <c r="I8400" t="s" s="11">
        <v>287</v>
      </c>
      <c r="J8400" t="s" s="11">
        <v>20</v>
      </c>
      <c r="K8400" t="s" s="16">
        <f>HYPERLINK("http://csr.bu.edu/ftp/asl/asllvd/demos/verify_start_end_handshape_annotations//test_auto_move//signs_mov/2246.mov","MOV")</f>
        <v>21</v>
      </c>
      <c r="L8400" t="s" s="16">
        <f>HYPERLINK("http://csr.bu.edu/ftp/asl/asllvd/demos/verify_start_end_handshape_annotations//test_auto_move//signs_mov_separ_signers/Liz_2246.mov","MOV")</f>
        <v>21</v>
      </c>
      <c r="M8400" t="s" s="10">
        <v>36</v>
      </c>
      <c r="N8400" s="17">
        <v>28</v>
      </c>
      <c r="O8400" s="18">
        <v>2355</v>
      </c>
      <c r="P8400" s="18">
        <v>2576</v>
      </c>
      <c r="Q8400" t="s" s="16">
        <f>HYPERLINK("http://secrets.rutgers.edu:8080/data/asl-ftp/asllvd/demos/verify_start_end_handshape_annotations//test_auto_move//signs_mov/2246.mov","MOV")</f>
        <v>21</v>
      </c>
      <c r="R8400" t="s" s="16">
        <f>HYPERLINK("http://secrets.rutgers.edu:8080/data/asl-ftp/asllvd/demos/verify_start_end_handshape_annotations//test_auto_move//signs_mov_separ_signers/Liz_2246.mov","MOV")</f>
        <v>21</v>
      </c>
    </row>
    <row r="8401" s="2" customFormat="1" ht="13.5" customHeight="1">
      <c r="B8401" s="13"/>
      <c r="C8401" t="s" s="9">
        <v>30</v>
      </c>
      <c r="D8401" t="s" s="8">
        <v>3020</v>
      </c>
      <c r="E8401" t="s" s="9">
        <v>3020</v>
      </c>
      <c r="F8401" t="s" s="10">
        <v>287</v>
      </c>
      <c r="G8401" t="s" s="11">
        <v>287</v>
      </c>
      <c r="H8401" t="s" s="10">
        <v>287</v>
      </c>
      <c r="I8401" t="s" s="11">
        <v>287</v>
      </c>
      <c r="J8401" t="s" s="11">
        <v>20</v>
      </c>
      <c r="K8401" s="15"/>
      <c r="L8401" t="s" s="16">
        <f>HYPERLINK("http://csr.bu.edu/ftp/asl/asllvd/demos/verify_start_end_handshape_annotations//test_auto_move//signs_mov_separ_signers/Brady_2246.mov","MOV")</f>
        <v>21</v>
      </c>
      <c r="M8401" t="s" s="10">
        <v>40</v>
      </c>
      <c r="N8401" s="17">
        <v>79</v>
      </c>
      <c r="O8401" s="18">
        <v>6314</v>
      </c>
      <c r="P8401" s="18">
        <v>6429</v>
      </c>
      <c r="Q8401" s="15"/>
      <c r="R8401" t="s" s="16">
        <f>HYPERLINK("http://secrets.rutgers.edu:8080/data/asl-ftp/asllvd/demos/verify_start_end_handshape_annotations//test_auto_move//signs_mov_separ_signers/Brady_2246.mov","MOV")</f>
        <v>21</v>
      </c>
    </row>
    <row r="8402" s="2" customFormat="1" ht="13.5" customHeight="1">
      <c r="B8402" t="s" s="8">
        <v>3021</v>
      </c>
      <c r="C8402" t="s" s="9">
        <v>14</v>
      </c>
      <c r="D8402" t="s" s="8">
        <v>14</v>
      </c>
      <c r="E8402" t="s" s="9">
        <v>14</v>
      </c>
      <c r="F8402" t="s" s="10">
        <v>14</v>
      </c>
      <c r="G8402" t="s" s="11">
        <v>14</v>
      </c>
      <c r="H8402" t="s" s="10">
        <v>14</v>
      </c>
      <c r="I8402" t="s" s="11">
        <v>14</v>
      </c>
      <c r="J8402" t="s" s="11">
        <v>14</v>
      </c>
      <c r="K8402" t="s" s="12">
        <v>14</v>
      </c>
      <c r="L8402" t="s" s="12">
        <v>14</v>
      </c>
      <c r="M8402" t="s" s="10">
        <v>14</v>
      </c>
      <c r="N8402" t="s" s="11">
        <v>14</v>
      </c>
      <c r="O8402" t="s" s="8">
        <v>14</v>
      </c>
      <c r="P8402" t="s" s="8">
        <v>14</v>
      </c>
      <c r="Q8402" t="s" s="12">
        <v>14</v>
      </c>
      <c r="R8402" t="s" s="12">
        <v>14</v>
      </c>
    </row>
    <row r="8403" s="2" customFormat="1" ht="13.5" customHeight="1">
      <c r="B8403" s="13"/>
      <c r="C8403" t="s" s="9">
        <v>16</v>
      </c>
      <c r="D8403" t="s" s="8">
        <v>3021</v>
      </c>
      <c r="E8403" t="s" s="9">
        <v>3022</v>
      </c>
      <c r="F8403" t="s" s="10">
        <v>255</v>
      </c>
      <c r="G8403" s="14"/>
      <c r="H8403" t="s" s="10">
        <v>255</v>
      </c>
      <c r="I8403" s="14"/>
      <c r="J8403" t="s" s="11">
        <v>20</v>
      </c>
      <c r="K8403" t="s" s="16">
        <f>HYPERLINK("http://csr.bu.edu/ftp/asl/asllvd/demos/verify_start_end_handshape_annotations//test_auto_move//signs_mov/2248.mov","MOV")</f>
        <v>21</v>
      </c>
      <c r="L8403" t="s" s="16">
        <f>HYPERLINK("http://csr.bu.edu/ftp/asl/asllvd/demos/verify_start_end_handshape_annotations//test_auto_move//signs_mov_separ_signers/Liz_2248.mov","MOV")</f>
        <v>21</v>
      </c>
      <c r="M8403" t="s" s="10">
        <v>36</v>
      </c>
      <c r="N8403" s="17">
        <v>28</v>
      </c>
      <c r="O8403" s="18">
        <v>4620</v>
      </c>
      <c r="P8403" s="18">
        <v>4680</v>
      </c>
      <c r="Q8403" t="s" s="16">
        <f>HYPERLINK("http://secrets.rutgers.edu:8080/data/asl-ftp/asllvd/demos/verify_start_end_handshape_annotations//test_auto_move//signs_mov/2248.mov","MOV")</f>
        <v>21</v>
      </c>
      <c r="R8403" t="s" s="16">
        <f>HYPERLINK("http://secrets.rutgers.edu:8080/data/asl-ftp/asllvd/demos/verify_start_end_handshape_annotations//test_auto_move//signs_mov_separ_signers/Liz_2248.mov","MOV")</f>
        <v>21</v>
      </c>
    </row>
    <row r="8404" s="2" customFormat="1" ht="13.5" customHeight="1">
      <c r="B8404" s="13"/>
      <c r="C8404" t="s" s="9">
        <v>30</v>
      </c>
      <c r="D8404" t="s" s="8">
        <v>3021</v>
      </c>
      <c r="E8404" t="s" s="9">
        <v>3022</v>
      </c>
      <c r="F8404" t="s" s="10">
        <v>255</v>
      </c>
      <c r="G8404" s="14"/>
      <c r="H8404" t="s" s="10">
        <v>255</v>
      </c>
      <c r="I8404" s="14"/>
      <c r="J8404" t="s" s="11">
        <v>20</v>
      </c>
      <c r="K8404" s="15"/>
      <c r="L8404" t="s" s="16">
        <f>HYPERLINK("http://csr.bu.edu/ftp/asl/asllvd/demos/verify_start_end_handshape_annotations//test_auto_move//signs_mov_separ_signers/Brady_2248.mov","MOV")</f>
        <v>21</v>
      </c>
      <c r="M8404" t="s" s="10">
        <v>40</v>
      </c>
      <c r="N8404" s="17">
        <v>80</v>
      </c>
      <c r="O8404" s="18">
        <v>463</v>
      </c>
      <c r="P8404" s="18">
        <v>497</v>
      </c>
      <c r="Q8404" s="15"/>
      <c r="R8404" t="s" s="16">
        <f>HYPERLINK("http://secrets.rutgers.edu:8080/data/asl-ftp/asllvd/demos/verify_start_end_handshape_annotations//test_auto_move//signs_mov_separ_signers/Brady_2248.mov","MOV")</f>
        <v>21</v>
      </c>
    </row>
    <row r="8405" s="2" customFormat="1" ht="13.5" customHeight="1">
      <c r="B8405" t="s" s="8">
        <v>52</v>
      </c>
      <c r="C8405" t="s" s="9">
        <v>53</v>
      </c>
      <c r="D8405" t="s" s="8">
        <v>53</v>
      </c>
      <c r="E8405" t="s" s="9">
        <v>53</v>
      </c>
      <c r="F8405" t="s" s="10">
        <v>53</v>
      </c>
      <c r="G8405" t="s" s="11">
        <v>53</v>
      </c>
      <c r="H8405" t="s" s="10">
        <v>53</v>
      </c>
      <c r="I8405" t="s" s="11">
        <v>53</v>
      </c>
      <c r="J8405" t="s" s="11">
        <v>53</v>
      </c>
      <c r="K8405" t="s" s="12">
        <v>53</v>
      </c>
      <c r="L8405" t="s" s="12">
        <v>53</v>
      </c>
      <c r="M8405" t="s" s="10">
        <v>53</v>
      </c>
      <c r="N8405" t="s" s="11">
        <v>53</v>
      </c>
      <c r="O8405" t="s" s="8">
        <v>53</v>
      </c>
      <c r="P8405" t="s" s="8">
        <v>53</v>
      </c>
      <c r="Q8405" t="s" s="12">
        <v>53</v>
      </c>
      <c r="R8405" t="s" s="12">
        <v>53</v>
      </c>
    </row>
    <row r="8406" s="2" customFormat="1" ht="13.5" customHeight="1">
      <c r="B8406" s="13"/>
      <c r="C8406" t="s" s="9">
        <v>16</v>
      </c>
      <c r="D8406" t="s" s="8">
        <v>3021</v>
      </c>
      <c r="E8406" t="s" s="9">
        <v>3023</v>
      </c>
      <c r="F8406" t="s" s="10">
        <v>136</v>
      </c>
      <c r="G8406" s="14"/>
      <c r="H8406" t="s" s="10">
        <v>136</v>
      </c>
      <c r="I8406" s="14"/>
      <c r="J8406" t="s" s="11">
        <v>20</v>
      </c>
      <c r="K8406" s="15"/>
      <c r="L8406" t="s" s="16">
        <f>HYPERLINK("http://csr.bu.edu/ftp/asl/asllvd/demos/verify_start_end_handshape_annotations//test_auto_move//signs_mov_separ_signers/Liz_3755.mov","MOV")</f>
        <v>21</v>
      </c>
      <c r="M8406" t="s" s="10">
        <v>36</v>
      </c>
      <c r="N8406" s="17">
        <v>28</v>
      </c>
      <c r="O8406" s="18">
        <v>4275</v>
      </c>
      <c r="P8406" s="18">
        <v>4331</v>
      </c>
      <c r="Q8406" s="15"/>
      <c r="R8406" t="s" s="16">
        <f>HYPERLINK("http://secrets.rutgers.edu:8080/data/asl-ftp/asllvd/demos/verify_start_end_handshape_annotations//test_auto_move//signs_mov_separ_signers/Liz_3755.mov","MOV")</f>
        <v>21</v>
      </c>
    </row>
    <row r="8407" s="2" customFormat="1" ht="13.5" customHeight="1">
      <c r="B8407" s="13"/>
      <c r="C8407" t="s" s="9">
        <v>30</v>
      </c>
      <c r="D8407" t="s" s="8">
        <v>3021</v>
      </c>
      <c r="E8407" t="s" s="9">
        <v>3023</v>
      </c>
      <c r="F8407" t="s" s="10">
        <v>136</v>
      </c>
      <c r="G8407" s="14"/>
      <c r="H8407" t="s" s="10">
        <v>136</v>
      </c>
      <c r="I8407" s="14"/>
      <c r="J8407" t="s" s="11">
        <v>20</v>
      </c>
      <c r="K8407" t="s" s="16">
        <f>HYPERLINK("http://csr.bu.edu/ftp/asl/asllvd/demos/verify_start_end_handshape_annotations//test_auto_move//signs_mov/3755_15815_merged.mov","MOV")</f>
        <v>21</v>
      </c>
      <c r="L8407" t="s" s="16">
        <f>HYPERLINK("http://csr.bu.edu/ftp/asl/asllvd/demos/verify_start_end_handshape_annotations//test_auto_move//signs_mov_separ_signers/Brady_3755.mov","MOV")</f>
        <v>21</v>
      </c>
      <c r="M8407" t="s" s="10">
        <v>40</v>
      </c>
      <c r="N8407" s="17">
        <v>74</v>
      </c>
      <c r="O8407" s="18">
        <v>165</v>
      </c>
      <c r="P8407" s="18">
        <v>202</v>
      </c>
      <c r="Q8407" t="s" s="16">
        <f>HYPERLINK("http://secrets.rutgers.edu:8080/data/asl-ftp/asllvd/demos/verify_start_end_handshape_annotations//test_auto_move//signs_mov/3755_15815_merged.mov","MOV")</f>
        <v>21</v>
      </c>
      <c r="R8407" t="s" s="16">
        <f>HYPERLINK("http://secrets.rutgers.edu:8080/data/asl-ftp/asllvd/demos/verify_start_end_handshape_annotations//test_auto_move//signs_mov_separ_signers/Brady_3755.mov","MOV")</f>
        <v>21</v>
      </c>
    </row>
    <row r="8408" s="2" customFormat="1" ht="13.5" customHeight="1">
      <c r="B8408" s="13"/>
      <c r="C8408" t="s" s="9">
        <v>30</v>
      </c>
      <c r="D8408" t="s" s="8">
        <v>3021</v>
      </c>
      <c r="E8408" t="s" s="9">
        <v>3024</v>
      </c>
      <c r="F8408" t="s" s="10">
        <v>136</v>
      </c>
      <c r="G8408" s="14"/>
      <c r="H8408" t="s" s="10">
        <v>136</v>
      </c>
      <c r="I8408" s="14"/>
      <c r="J8408" t="s" s="11">
        <v>20</v>
      </c>
      <c r="K8408" s="15"/>
      <c r="L8408" t="s" s="16">
        <f>HYPERLINK("http://csr.bu.edu/ftp/asl/asllvd/demos/verify_start_end_handshape_annotations//test_auto_move//signs_mov_separ_signers/Brady_15815.mov","MOV")</f>
        <v>21</v>
      </c>
      <c r="M8408" t="s" s="10">
        <v>40</v>
      </c>
      <c r="N8408" s="17">
        <v>80</v>
      </c>
      <c r="O8408" s="18">
        <v>131</v>
      </c>
      <c r="P8408" s="18">
        <v>167</v>
      </c>
      <c r="Q8408" s="15"/>
      <c r="R8408" t="s" s="16">
        <f>HYPERLINK("http://secrets.rutgers.edu:8080/data/asl-ftp/asllvd/demos/verify_start_end_handshape_annotations//test_auto_move//signs_mov_separ_signers/Brady_15815.mov","MOV")</f>
        <v>21</v>
      </c>
    </row>
    <row r="8409" s="2" customFormat="1" ht="13.5" customHeight="1">
      <c r="B8409" t="s" s="8">
        <v>3025</v>
      </c>
      <c r="C8409" t="s" s="9">
        <v>14</v>
      </c>
      <c r="D8409" t="s" s="8">
        <v>14</v>
      </c>
      <c r="E8409" t="s" s="9">
        <v>14</v>
      </c>
      <c r="F8409" t="s" s="10">
        <v>14</v>
      </c>
      <c r="G8409" t="s" s="11">
        <v>14</v>
      </c>
      <c r="H8409" t="s" s="10">
        <v>14</v>
      </c>
      <c r="I8409" t="s" s="11">
        <v>14</v>
      </c>
      <c r="J8409" t="s" s="11">
        <v>14</v>
      </c>
      <c r="K8409" t="s" s="12">
        <v>14</v>
      </c>
      <c r="L8409" t="s" s="12">
        <v>14</v>
      </c>
      <c r="M8409" t="s" s="10">
        <v>14</v>
      </c>
      <c r="N8409" t="s" s="11">
        <v>14</v>
      </c>
      <c r="O8409" t="s" s="8">
        <v>14</v>
      </c>
      <c r="P8409" t="s" s="8">
        <v>14</v>
      </c>
      <c r="Q8409" t="s" s="12">
        <v>14</v>
      </c>
      <c r="R8409" t="s" s="12">
        <v>14</v>
      </c>
    </row>
    <row r="8410" s="2" customFormat="1" ht="13.5" customHeight="1">
      <c r="B8410" s="13"/>
      <c r="C8410" t="s" s="9">
        <v>16</v>
      </c>
      <c r="D8410" t="s" s="8">
        <v>3025</v>
      </c>
      <c r="E8410" t="s" s="9">
        <v>3026</v>
      </c>
      <c r="F8410" t="s" s="10">
        <v>85</v>
      </c>
      <c r="G8410" s="14"/>
      <c r="H8410" t="s" s="10">
        <v>85</v>
      </c>
      <c r="I8410" s="14"/>
      <c r="J8410" t="s" s="11">
        <v>20</v>
      </c>
      <c r="K8410" t="s" s="16">
        <f>HYPERLINK("http://csr.bu.edu/ftp/asl/asllvd/demos/verify_start_end_handshape_annotations//test_auto_move//signs_mov/15887.mov","MOV")</f>
        <v>21</v>
      </c>
      <c r="L8410" t="s" s="16">
        <f>HYPERLINK("http://csr.bu.edu/ftp/asl/asllvd/demos/verify_start_end_handshape_annotations//test_auto_move//signs_mov_separ_signers/Liz_15887.mov","MOV")</f>
        <v>21</v>
      </c>
      <c r="M8410" t="s" s="10">
        <v>36</v>
      </c>
      <c r="N8410" s="17">
        <v>23</v>
      </c>
      <c r="O8410" s="18">
        <v>3187</v>
      </c>
      <c r="P8410" s="18">
        <v>3240</v>
      </c>
      <c r="Q8410" t="s" s="16">
        <f>HYPERLINK("http://secrets.rutgers.edu:8080/data/asl-ftp/asllvd/demos/verify_start_end_handshape_annotations//test_auto_move//signs_mov/15887.mov","MOV")</f>
        <v>21</v>
      </c>
      <c r="R8410" t="s" s="16">
        <f>HYPERLINK("http://secrets.rutgers.edu:8080/data/asl-ftp/asllvd/demos/verify_start_end_handshape_annotations//test_auto_move//signs_mov_separ_signers/Liz_15887.mov","MOV")</f>
        <v>21</v>
      </c>
    </row>
    <row r="8411" s="2" customFormat="1" ht="13.5" customHeight="1">
      <c r="B8411" t="s" s="8">
        <v>3027</v>
      </c>
      <c r="C8411" t="s" s="9">
        <v>14</v>
      </c>
      <c r="D8411" t="s" s="8">
        <v>14</v>
      </c>
      <c r="E8411" t="s" s="9">
        <v>14</v>
      </c>
      <c r="F8411" t="s" s="10">
        <v>14</v>
      </c>
      <c r="G8411" t="s" s="11">
        <v>14</v>
      </c>
      <c r="H8411" t="s" s="10">
        <v>14</v>
      </c>
      <c r="I8411" t="s" s="11">
        <v>14</v>
      </c>
      <c r="J8411" t="s" s="11">
        <v>14</v>
      </c>
      <c r="K8411" t="s" s="12">
        <v>14</v>
      </c>
      <c r="L8411" t="s" s="12">
        <v>14</v>
      </c>
      <c r="M8411" t="s" s="10">
        <v>14</v>
      </c>
      <c r="N8411" t="s" s="11">
        <v>14</v>
      </c>
      <c r="O8411" t="s" s="8">
        <v>14</v>
      </c>
      <c r="P8411" t="s" s="8">
        <v>14</v>
      </c>
      <c r="Q8411" t="s" s="12">
        <v>14</v>
      </c>
      <c r="R8411" t="s" s="12">
        <v>14</v>
      </c>
    </row>
    <row r="8412" s="2" customFormat="1" ht="13.5" customHeight="1">
      <c r="B8412" s="13"/>
      <c r="C8412" t="s" s="9">
        <v>16</v>
      </c>
      <c r="D8412" t="s" s="8">
        <v>3027</v>
      </c>
      <c r="E8412" t="s" s="9">
        <v>3028</v>
      </c>
      <c r="F8412" t="s" s="10">
        <v>229</v>
      </c>
      <c r="G8412" t="s" s="11">
        <v>105</v>
      </c>
      <c r="H8412" t="s" s="10">
        <v>229</v>
      </c>
      <c r="I8412" t="s" s="11">
        <v>105</v>
      </c>
      <c r="J8412" t="s" s="11">
        <v>136</v>
      </c>
      <c r="K8412" s="15"/>
      <c r="L8412" t="s" s="16">
        <f>HYPERLINK("http://csr.bu.edu/ftp/asl/asllvd/demos/verify_start_end_handshape_annotations//test_auto_move//signs_mov_separ_signers/Liz_2250.mov","MOV")</f>
        <v>21</v>
      </c>
      <c r="M8412" t="s" s="10">
        <v>36</v>
      </c>
      <c r="N8412" s="17">
        <v>29</v>
      </c>
      <c r="O8412" s="18">
        <v>16</v>
      </c>
      <c r="P8412" s="18">
        <v>63</v>
      </c>
      <c r="Q8412" s="15"/>
      <c r="R8412" t="s" s="16">
        <f>HYPERLINK("http://secrets.rutgers.edu:8080/data/asl-ftp/asllvd/demos/verify_start_end_handshape_annotations//test_auto_move//signs_mov_separ_signers/Liz_2250.mov","MOV")</f>
        <v>21</v>
      </c>
    </row>
    <row r="8413" s="2" customFormat="1" ht="13.5" customHeight="1">
      <c r="B8413" s="13"/>
      <c r="C8413" t="s" s="9">
        <v>16</v>
      </c>
      <c r="D8413" t="s" s="8">
        <v>3027</v>
      </c>
      <c r="E8413" t="s" s="9">
        <v>3028</v>
      </c>
      <c r="F8413" t="s" s="10">
        <v>229</v>
      </c>
      <c r="G8413" t="s" s="11">
        <v>105</v>
      </c>
      <c r="H8413" t="s" s="10">
        <v>229</v>
      </c>
      <c r="I8413" t="s" s="11">
        <v>105</v>
      </c>
      <c r="J8413" t="s" s="11">
        <v>136</v>
      </c>
      <c r="K8413" t="s" s="16">
        <f>HYPERLINK("http://csr.bu.edu/ftp/asl/asllvd/demos/verify_start_end_handshape_annotations//test_auto_move//signs_mov/2250_3413_merged.mov","MOV")</f>
        <v>21</v>
      </c>
      <c r="L8413" t="s" s="16">
        <f>HYPERLINK("http://csr.bu.edu/ftp/asl/asllvd/demos/verify_start_end_handshape_annotations//test_auto_move//signs_mov_separ_signers/Liz_3413.mov","MOV")</f>
        <v>21</v>
      </c>
      <c r="M8413" t="s" s="10">
        <v>77</v>
      </c>
      <c r="N8413" s="17">
        <v>31</v>
      </c>
      <c r="O8413" s="18">
        <v>866</v>
      </c>
      <c r="P8413" s="18">
        <v>945</v>
      </c>
      <c r="Q8413" t="s" s="16">
        <f>HYPERLINK("http://secrets.rutgers.edu:8080/data/asl-ftp/asllvd/demos/verify_start_end_handshape_annotations//test_auto_move//signs_mov/2250_3413_merged.mov","MOV")</f>
        <v>21</v>
      </c>
      <c r="R8413" t="s" s="16">
        <f>HYPERLINK("http://secrets.rutgers.edu:8080/data/asl-ftp/asllvd/demos/verify_start_end_handshape_annotations//test_auto_move//signs_mov_separ_signers/Liz_3413.mov","MOV")</f>
        <v>21</v>
      </c>
    </row>
    <row r="8414" s="2" customFormat="1" ht="13.5" customHeight="1">
      <c r="B8414" s="13"/>
      <c r="C8414" t="s" s="9">
        <v>30</v>
      </c>
      <c r="D8414" t="s" s="8">
        <v>3027</v>
      </c>
      <c r="E8414" t="s" s="9">
        <v>3028</v>
      </c>
      <c r="F8414" t="s" s="10">
        <v>220</v>
      </c>
      <c r="G8414" t="s" s="11">
        <v>68</v>
      </c>
      <c r="H8414" t="s" s="10">
        <v>220</v>
      </c>
      <c r="I8414" t="s" s="11">
        <v>68</v>
      </c>
      <c r="J8414" t="s" s="11">
        <v>136</v>
      </c>
      <c r="K8414" s="15"/>
      <c r="L8414" t="s" s="16">
        <f>HYPERLINK("http://csr.bu.edu/ftp/asl/asllvd/demos/verify_start_end_handshape_annotations//test_auto_move//signs_mov_separ_signers/Brady_2250.mov","MOV")</f>
        <v>21</v>
      </c>
      <c r="M8414" t="s" s="10">
        <v>39</v>
      </c>
      <c r="N8414" s="17">
        <v>46</v>
      </c>
      <c r="O8414" s="18">
        <v>3002</v>
      </c>
      <c r="P8414" s="18">
        <v>3030</v>
      </c>
      <c r="Q8414" s="15"/>
      <c r="R8414" t="s" s="16">
        <f>HYPERLINK("http://secrets.rutgers.edu:8080/data/asl-ftp/asllvd/demos/verify_start_end_handshape_annotations//test_auto_move//signs_mov_separ_signers/Brady_2250.mov","MOV")</f>
        <v>21</v>
      </c>
    </row>
    <row r="8415" s="2" customFormat="1" ht="13.5" customHeight="1">
      <c r="B8415" s="13"/>
      <c r="C8415" t="s" s="9">
        <v>30</v>
      </c>
      <c r="D8415" t="s" s="8">
        <v>3027</v>
      </c>
      <c r="E8415" t="s" s="9">
        <v>3029</v>
      </c>
      <c r="F8415" t="s" s="10">
        <v>229</v>
      </c>
      <c r="G8415" t="s" s="11">
        <v>68</v>
      </c>
      <c r="H8415" t="s" s="10">
        <v>229</v>
      </c>
      <c r="I8415" t="s" s="11">
        <v>68</v>
      </c>
      <c r="J8415" t="s" s="11">
        <v>136</v>
      </c>
      <c r="K8415" s="15"/>
      <c r="L8415" t="s" s="16">
        <f>HYPERLINK("http://csr.bu.edu/ftp/asl/asllvd/demos/verify_start_end_handshape_annotations//test_auto_move//signs_mov_separ_signers/Brady_3413.mov","MOV")</f>
        <v>21</v>
      </c>
      <c r="M8415" t="s" s="10">
        <v>40</v>
      </c>
      <c r="N8415" s="17">
        <v>80</v>
      </c>
      <c r="O8415" s="18">
        <v>662</v>
      </c>
      <c r="P8415" s="18">
        <v>700</v>
      </c>
      <c r="Q8415" s="15"/>
      <c r="R8415" t="s" s="16">
        <f>HYPERLINK("http://secrets.rutgers.edu:8080/data/asl-ftp/asllvd/demos/verify_start_end_handshape_annotations//test_auto_move//signs_mov_separ_signers/Brady_3413.mov","MOV")</f>
        <v>21</v>
      </c>
    </row>
    <row r="8416" s="2" customFormat="1" ht="13.5" customHeight="1">
      <c r="B8416" t="s" s="8">
        <v>3030</v>
      </c>
      <c r="C8416" t="s" s="9">
        <v>14</v>
      </c>
      <c r="D8416" t="s" s="8">
        <v>14</v>
      </c>
      <c r="E8416" t="s" s="9">
        <v>14</v>
      </c>
      <c r="F8416" t="s" s="10">
        <v>14</v>
      </c>
      <c r="G8416" t="s" s="11">
        <v>14</v>
      </c>
      <c r="H8416" t="s" s="10">
        <v>14</v>
      </c>
      <c r="I8416" t="s" s="11">
        <v>14</v>
      </c>
      <c r="J8416" t="s" s="11">
        <v>14</v>
      </c>
      <c r="K8416" t="s" s="12">
        <v>14</v>
      </c>
      <c r="L8416" t="s" s="12">
        <v>14</v>
      </c>
      <c r="M8416" t="s" s="10">
        <v>14</v>
      </c>
      <c r="N8416" t="s" s="11">
        <v>14</v>
      </c>
      <c r="O8416" t="s" s="8">
        <v>14</v>
      </c>
      <c r="P8416" t="s" s="8">
        <v>14</v>
      </c>
      <c r="Q8416" t="s" s="12">
        <v>14</v>
      </c>
      <c r="R8416" t="s" s="12">
        <v>14</v>
      </c>
    </row>
    <row r="8417" s="2" customFormat="1" ht="13.5" customHeight="1">
      <c r="B8417" s="13"/>
      <c r="C8417" t="s" s="9">
        <v>16</v>
      </c>
      <c r="D8417" t="s" s="8">
        <v>3030</v>
      </c>
      <c r="E8417" t="s" s="9">
        <v>3030</v>
      </c>
      <c r="F8417" s="19">
        <v>25</v>
      </c>
      <c r="G8417" t="s" s="11">
        <v>68</v>
      </c>
      <c r="H8417" s="19">
        <v>25</v>
      </c>
      <c r="I8417" t="s" s="11">
        <v>68</v>
      </c>
      <c r="J8417" t="s" s="11">
        <v>20</v>
      </c>
      <c r="K8417" t="s" s="16">
        <f>HYPERLINK("http://csr.bu.edu/ftp/asl/asllvd/demos/verify_start_end_handshape_annotations//test_auto_move//signs_mov/2252.mov","MOV")</f>
        <v>21</v>
      </c>
      <c r="L8417" t="s" s="16">
        <f>HYPERLINK("http://csr.bu.edu/ftp/asl/asllvd/demos/verify_start_end_handshape_annotations//test_auto_move//signs_mov_separ_signers/Liz_2252.mov","MOV")</f>
        <v>21</v>
      </c>
      <c r="M8417" t="s" s="10">
        <v>36</v>
      </c>
      <c r="N8417" s="17">
        <v>29</v>
      </c>
      <c r="O8417" s="18">
        <v>1093</v>
      </c>
      <c r="P8417" s="18">
        <v>1134</v>
      </c>
      <c r="Q8417" t="s" s="16">
        <f>HYPERLINK("http://secrets.rutgers.edu:8080/data/asl-ftp/asllvd/demos/verify_start_end_handshape_annotations//test_auto_move//signs_mov/2252.mov","MOV")</f>
        <v>21</v>
      </c>
      <c r="R8417" t="s" s="16">
        <f>HYPERLINK("http://secrets.rutgers.edu:8080/data/asl-ftp/asllvd/demos/verify_start_end_handshape_annotations//test_auto_move//signs_mov_separ_signers/Liz_2252.mov","MOV")</f>
        <v>21</v>
      </c>
    </row>
    <row r="8418" s="2" customFormat="1" ht="13.5" customHeight="1">
      <c r="B8418" s="13"/>
      <c r="C8418" t="s" s="9">
        <v>30</v>
      </c>
      <c r="D8418" t="s" s="8">
        <v>3030</v>
      </c>
      <c r="E8418" t="s" s="9">
        <v>3030</v>
      </c>
      <c r="F8418" s="19">
        <v>25</v>
      </c>
      <c r="G8418" t="s" s="11">
        <v>68</v>
      </c>
      <c r="H8418" s="19">
        <v>25</v>
      </c>
      <c r="I8418" t="s" s="11">
        <v>68</v>
      </c>
      <c r="J8418" t="s" s="11">
        <v>20</v>
      </c>
      <c r="K8418" s="15"/>
      <c r="L8418" t="s" s="16">
        <f>HYPERLINK("http://csr.bu.edu/ftp/asl/asllvd/demos/verify_start_end_handshape_annotations//test_auto_move//signs_mov_separ_signers/Brady_2252.mov","MOV")</f>
        <v>21</v>
      </c>
      <c r="M8418" t="s" s="10">
        <v>40</v>
      </c>
      <c r="N8418" s="17">
        <v>80</v>
      </c>
      <c r="O8418" s="18">
        <v>1144</v>
      </c>
      <c r="P8418" s="18">
        <v>1166</v>
      </c>
      <c r="Q8418" s="15"/>
      <c r="R8418" t="s" s="16">
        <f>HYPERLINK("http://secrets.rutgers.edu:8080/data/asl-ftp/asllvd/demos/verify_start_end_handshape_annotations//test_auto_move//signs_mov_separ_signers/Brady_2252.mov","MOV")</f>
        <v>21</v>
      </c>
    </row>
    <row r="8419" s="2" customFormat="1" ht="13.5" customHeight="1">
      <c r="B8419" t="s" s="8">
        <v>3031</v>
      </c>
      <c r="C8419" t="s" s="9">
        <v>14</v>
      </c>
      <c r="D8419" t="s" s="8">
        <v>14</v>
      </c>
      <c r="E8419" t="s" s="9">
        <v>14</v>
      </c>
      <c r="F8419" t="s" s="10">
        <v>14</v>
      </c>
      <c r="G8419" t="s" s="11">
        <v>14</v>
      </c>
      <c r="H8419" t="s" s="10">
        <v>14</v>
      </c>
      <c r="I8419" t="s" s="11">
        <v>14</v>
      </c>
      <c r="J8419" t="s" s="11">
        <v>14</v>
      </c>
      <c r="K8419" t="s" s="12">
        <v>14</v>
      </c>
      <c r="L8419" t="s" s="12">
        <v>14</v>
      </c>
      <c r="M8419" t="s" s="10">
        <v>14</v>
      </c>
      <c r="N8419" t="s" s="11">
        <v>14</v>
      </c>
      <c r="O8419" t="s" s="8">
        <v>14</v>
      </c>
      <c r="P8419" t="s" s="8">
        <v>14</v>
      </c>
      <c r="Q8419" t="s" s="12">
        <v>14</v>
      </c>
      <c r="R8419" t="s" s="12">
        <v>14</v>
      </c>
    </row>
    <row r="8420" s="2" customFormat="1" ht="13.5" customHeight="1">
      <c r="B8420" s="13"/>
      <c r="C8420" t="s" s="9">
        <v>16</v>
      </c>
      <c r="D8420" t="s" s="8">
        <v>3031</v>
      </c>
      <c r="E8420" t="s" s="9">
        <v>3032</v>
      </c>
      <c r="F8420" t="s" s="10">
        <v>68</v>
      </c>
      <c r="G8420" t="s" s="11">
        <v>68</v>
      </c>
      <c r="H8420" t="s" s="10">
        <v>68</v>
      </c>
      <c r="I8420" t="s" s="11">
        <v>68</v>
      </c>
      <c r="J8420" t="s" s="11">
        <v>20</v>
      </c>
      <c r="K8420" s="15"/>
      <c r="L8420" t="s" s="16">
        <f>HYPERLINK("http://csr.bu.edu/ftp/asl/asllvd/demos/verify_start_end_handshape_annotations//test_auto_move//signs_mov_separ_signers/Liz_2258.mov","MOV")</f>
        <v>21</v>
      </c>
      <c r="M8420" t="s" s="10">
        <v>36</v>
      </c>
      <c r="N8420" s="17">
        <v>29</v>
      </c>
      <c r="O8420" s="18">
        <v>2746</v>
      </c>
      <c r="P8420" s="18">
        <v>2773</v>
      </c>
      <c r="Q8420" s="15"/>
      <c r="R8420" t="s" s="16">
        <f>HYPERLINK("http://secrets.rutgers.edu:8080/data/asl-ftp/asllvd/demos/verify_start_end_handshape_annotations//test_auto_move//signs_mov_separ_signers/Liz_2258.mov","MOV")</f>
        <v>21</v>
      </c>
    </row>
    <row r="8421" s="2" customFormat="1" ht="13.5" customHeight="1">
      <c r="B8421" s="13"/>
      <c r="C8421" t="s" s="9">
        <v>30</v>
      </c>
      <c r="D8421" t="s" s="8">
        <v>3031</v>
      </c>
      <c r="E8421" t="s" s="9">
        <v>3032</v>
      </c>
      <c r="F8421" t="s" s="10">
        <v>68</v>
      </c>
      <c r="G8421" t="s" s="11">
        <v>68</v>
      </c>
      <c r="H8421" t="s" s="10">
        <v>68</v>
      </c>
      <c r="I8421" t="s" s="11">
        <v>68</v>
      </c>
      <c r="J8421" t="s" s="11">
        <v>20</v>
      </c>
      <c r="K8421" t="s" s="16">
        <f>HYPERLINK("http://csr.bu.edu/ftp/asl/asllvd/demos/verify_start_end_handshape_annotations//test_auto_move//signs_mov/2258.mov","MOV")</f>
        <v>21</v>
      </c>
      <c r="L8421" t="s" s="16">
        <f>HYPERLINK("http://csr.bu.edu/ftp/asl/asllvd/demos/verify_start_end_handshape_annotations//test_auto_move//signs_mov_separ_signers/Brady_2258.mov","MOV")</f>
        <v>21</v>
      </c>
      <c r="M8421" t="s" s="10">
        <v>40</v>
      </c>
      <c r="N8421" s="17">
        <v>80</v>
      </c>
      <c r="O8421" s="18">
        <v>4700</v>
      </c>
      <c r="P8421" s="18">
        <v>4725</v>
      </c>
      <c r="Q8421" t="s" s="16">
        <f>HYPERLINK("http://secrets.rutgers.edu:8080/data/asl-ftp/asllvd/demos/verify_start_end_handshape_annotations//test_auto_move//signs_mov/2258.mov","MOV")</f>
        <v>21</v>
      </c>
      <c r="R8421" t="s" s="16">
        <f>HYPERLINK("http://secrets.rutgers.edu:8080/data/asl-ftp/asllvd/demos/verify_start_end_handshape_annotations//test_auto_move//signs_mov_separ_signers/Brady_2258.mov","MOV")</f>
        <v>21</v>
      </c>
    </row>
    <row r="8422" s="2" customFormat="1" ht="13.5" customHeight="1">
      <c r="B8422" s="13"/>
      <c r="C8422" t="s" s="9">
        <v>41</v>
      </c>
      <c r="D8422" t="s" s="8">
        <v>3031</v>
      </c>
      <c r="E8422" t="s" s="9">
        <v>3032</v>
      </c>
      <c r="F8422" t="s" s="10">
        <v>68</v>
      </c>
      <c r="G8422" t="s" s="11">
        <v>68</v>
      </c>
      <c r="H8422" t="s" s="10">
        <v>68</v>
      </c>
      <c r="I8422" t="s" s="11">
        <v>68</v>
      </c>
      <c r="J8422" t="s" s="11">
        <v>20</v>
      </c>
      <c r="K8422" s="15"/>
      <c r="L8422" t="s" s="16">
        <f>HYPERLINK("http://csr.bu.edu/ftp/asl/asllvd/demos/verify_start_end_handshape_annotations//test_auto_move//signs_mov_separ_signers/Lana_2258.mov","MOV")</f>
        <v>21</v>
      </c>
      <c r="M8422" t="s" s="10">
        <v>442</v>
      </c>
      <c r="N8422" s="17">
        <v>61</v>
      </c>
      <c r="O8422" s="18">
        <v>2529</v>
      </c>
      <c r="P8422" s="18">
        <v>2558</v>
      </c>
      <c r="Q8422" s="15"/>
      <c r="R8422" t="s" s="16">
        <f>HYPERLINK("http://secrets.rutgers.edu:8080/data/asl-ftp/asllvd/demos/verify_start_end_handshape_annotations//test_auto_move//signs_mov_separ_signers/Lana_2258.mov","MOV")</f>
        <v>21</v>
      </c>
    </row>
    <row r="8423" s="2" customFormat="1" ht="13.5" customHeight="1">
      <c r="B8423" t="s" s="8">
        <v>3033</v>
      </c>
      <c r="C8423" t="s" s="9">
        <v>14</v>
      </c>
      <c r="D8423" t="s" s="8">
        <v>14</v>
      </c>
      <c r="E8423" t="s" s="9">
        <v>14</v>
      </c>
      <c r="F8423" t="s" s="10">
        <v>14</v>
      </c>
      <c r="G8423" t="s" s="11">
        <v>14</v>
      </c>
      <c r="H8423" t="s" s="10">
        <v>14</v>
      </c>
      <c r="I8423" t="s" s="11">
        <v>14</v>
      </c>
      <c r="J8423" t="s" s="11">
        <v>14</v>
      </c>
      <c r="K8423" t="s" s="12">
        <v>14</v>
      </c>
      <c r="L8423" t="s" s="12">
        <v>14</v>
      </c>
      <c r="M8423" t="s" s="10">
        <v>14</v>
      </c>
      <c r="N8423" t="s" s="11">
        <v>14</v>
      </c>
      <c r="O8423" t="s" s="8">
        <v>14</v>
      </c>
      <c r="P8423" t="s" s="8">
        <v>14</v>
      </c>
      <c r="Q8423" t="s" s="12">
        <v>14</v>
      </c>
      <c r="R8423" t="s" s="12">
        <v>14</v>
      </c>
    </row>
    <row r="8424" s="2" customFormat="1" ht="13.5" customHeight="1">
      <c r="B8424" s="13"/>
      <c r="C8424" t="s" s="9">
        <v>23</v>
      </c>
      <c r="D8424" t="s" s="8">
        <v>3033</v>
      </c>
      <c r="E8424" t="s" s="9">
        <v>3034</v>
      </c>
      <c r="F8424" t="s" s="10">
        <v>55</v>
      </c>
      <c r="G8424" t="s" s="11">
        <v>55</v>
      </c>
      <c r="H8424" t="s" s="10">
        <v>55</v>
      </c>
      <c r="I8424" t="s" s="11">
        <v>55</v>
      </c>
      <c r="J8424" t="s" s="11">
        <v>20</v>
      </c>
      <c r="K8424" t="s" s="16">
        <f>HYPERLINK("http://csr.bu.edu/ftp/asl/asllvd/demos/verify_start_end_handshape_annotations//test_auto_move//signs_mov/5081.mov","MOV")</f>
        <v>21</v>
      </c>
      <c r="L8424" t="s" s="16">
        <f>HYPERLINK("http://csr.bu.edu/ftp/asl/asllvd/demos/verify_start_end_handshape_annotations//test_auto_move//signs_mov_separ_signers/Tyler_5081.mov","MOV")</f>
        <v>21</v>
      </c>
      <c r="M8424" t="s" s="10">
        <v>26</v>
      </c>
      <c r="N8424" s="17">
        <v>31</v>
      </c>
      <c r="O8424" s="18">
        <v>1630</v>
      </c>
      <c r="P8424" s="18">
        <v>1702</v>
      </c>
      <c r="Q8424" t="s" s="16">
        <f>HYPERLINK("http://secrets.rutgers.edu:8080/data/asl-ftp/asllvd/demos/verify_start_end_handshape_annotations//test_auto_move//signs_mov/5081.mov","MOV")</f>
        <v>21</v>
      </c>
      <c r="R8424" t="s" s="16">
        <f>HYPERLINK("http://secrets.rutgers.edu:8080/data/asl-ftp/asllvd/demos/verify_start_end_handshape_annotations//test_auto_move//signs_mov_separ_signers/Tyler_5081.mov","MOV")</f>
        <v>21</v>
      </c>
    </row>
    <row r="8425" s="2" customFormat="1" ht="13.5" customHeight="1">
      <c r="B8425" s="13"/>
      <c r="C8425" t="s" s="9">
        <v>30</v>
      </c>
      <c r="D8425" t="s" s="8">
        <v>3033</v>
      </c>
      <c r="E8425" t="s" s="9">
        <v>3035</v>
      </c>
      <c r="F8425" t="s" s="10">
        <v>55</v>
      </c>
      <c r="G8425" t="s" s="11">
        <v>55</v>
      </c>
      <c r="H8425" t="s" s="10">
        <v>55</v>
      </c>
      <c r="I8425" t="s" s="11">
        <v>55</v>
      </c>
      <c r="J8425" t="s" s="11">
        <v>20</v>
      </c>
      <c r="K8425" s="15"/>
      <c r="L8425" t="s" s="16">
        <f>HYPERLINK("http://csr.bu.edu/ftp/asl/asllvd/demos/verify_start_end_handshape_annotations//test_auto_move//signs_mov_separ_signers/Brady_5081.mov","MOV")</f>
        <v>21</v>
      </c>
      <c r="M8425" t="s" s="10">
        <v>31</v>
      </c>
      <c r="N8425" s="17">
        <v>22</v>
      </c>
      <c r="O8425" s="18">
        <v>17561</v>
      </c>
      <c r="P8425" s="18">
        <v>17588</v>
      </c>
      <c r="Q8425" s="15"/>
      <c r="R8425" t="s" s="16">
        <f>HYPERLINK("http://secrets.rutgers.edu:8080/data/asl-ftp/asllvd/demos/verify_start_end_handshape_annotations//test_auto_move//signs_mov_separ_signers/Brady_5081.mov","MOV")</f>
        <v>21</v>
      </c>
    </row>
    <row r="8426" s="2" customFormat="1" ht="13.5" customHeight="1">
      <c r="B8426" t="s" s="8">
        <v>3036</v>
      </c>
      <c r="C8426" t="s" s="9">
        <v>14</v>
      </c>
      <c r="D8426" t="s" s="8">
        <v>14</v>
      </c>
      <c r="E8426" t="s" s="9">
        <v>14</v>
      </c>
      <c r="F8426" t="s" s="10">
        <v>14</v>
      </c>
      <c r="G8426" t="s" s="11">
        <v>14</v>
      </c>
      <c r="H8426" t="s" s="10">
        <v>14</v>
      </c>
      <c r="I8426" t="s" s="11">
        <v>14</v>
      </c>
      <c r="J8426" t="s" s="11">
        <v>14</v>
      </c>
      <c r="K8426" t="s" s="12">
        <v>14</v>
      </c>
      <c r="L8426" t="s" s="12">
        <v>14</v>
      </c>
      <c r="M8426" t="s" s="10">
        <v>14</v>
      </c>
      <c r="N8426" t="s" s="11">
        <v>14</v>
      </c>
      <c r="O8426" t="s" s="8">
        <v>14</v>
      </c>
      <c r="P8426" t="s" s="8">
        <v>14</v>
      </c>
      <c r="Q8426" t="s" s="12">
        <v>14</v>
      </c>
      <c r="R8426" t="s" s="12">
        <v>14</v>
      </c>
    </row>
    <row r="8427" s="2" customFormat="1" ht="13.5" customHeight="1">
      <c r="B8427" s="13"/>
      <c r="C8427" t="s" s="9">
        <v>16</v>
      </c>
      <c r="D8427" t="s" s="8">
        <v>3036</v>
      </c>
      <c r="E8427" t="s" s="9">
        <v>3037</v>
      </c>
      <c r="F8427" t="s" s="10">
        <v>80</v>
      </c>
      <c r="G8427" t="s" s="11">
        <v>80</v>
      </c>
      <c r="H8427" t="s" s="10">
        <v>80</v>
      </c>
      <c r="I8427" t="s" s="11">
        <v>80</v>
      </c>
      <c r="J8427" t="s" s="11">
        <v>20</v>
      </c>
      <c r="K8427" t="s" s="16">
        <f>HYPERLINK("http://csr.bu.edu/ftp/asl/asllvd/demos/verify_start_end_handshape_annotations//test_auto_move//signs_mov/2263.mov","MOV")</f>
        <v>21</v>
      </c>
      <c r="L8427" t="s" s="16">
        <f>HYPERLINK("http://csr.bu.edu/ftp/asl/asllvd/demos/verify_start_end_handshape_annotations//test_auto_move//signs_mov_separ_signers/Liz_2263.mov","MOV")</f>
        <v>21</v>
      </c>
      <c r="M8427" t="s" s="10">
        <v>36</v>
      </c>
      <c r="N8427" s="17">
        <v>30</v>
      </c>
      <c r="O8427" s="18">
        <v>1081</v>
      </c>
      <c r="P8427" s="18">
        <v>1147</v>
      </c>
      <c r="Q8427" t="s" s="16">
        <f>HYPERLINK("http://secrets.rutgers.edu:8080/data/asl-ftp/asllvd/demos/verify_start_end_handshape_annotations//test_auto_move//signs_mov/2263.mov","MOV")</f>
        <v>21</v>
      </c>
      <c r="R8427" t="s" s="16">
        <f>HYPERLINK("http://secrets.rutgers.edu:8080/data/asl-ftp/asllvd/demos/verify_start_end_handshape_annotations//test_auto_move//signs_mov_separ_signers/Liz_2263.mov","MOV")</f>
        <v>21</v>
      </c>
    </row>
    <row r="8428" s="2" customFormat="1" ht="13.5" customHeight="1">
      <c r="B8428" t="s" s="8">
        <v>52</v>
      </c>
      <c r="C8428" t="s" s="9">
        <v>53</v>
      </c>
      <c r="D8428" t="s" s="8">
        <v>53</v>
      </c>
      <c r="E8428" t="s" s="9">
        <v>53</v>
      </c>
      <c r="F8428" t="s" s="10">
        <v>53</v>
      </c>
      <c r="G8428" t="s" s="11">
        <v>53</v>
      </c>
      <c r="H8428" t="s" s="10">
        <v>53</v>
      </c>
      <c r="I8428" t="s" s="11">
        <v>53</v>
      </c>
      <c r="J8428" t="s" s="11">
        <v>53</v>
      </c>
      <c r="K8428" t="s" s="12">
        <v>53</v>
      </c>
      <c r="L8428" t="s" s="12">
        <v>53</v>
      </c>
      <c r="M8428" t="s" s="10">
        <v>53</v>
      </c>
      <c r="N8428" t="s" s="11">
        <v>53</v>
      </c>
      <c r="O8428" t="s" s="8">
        <v>53</v>
      </c>
      <c r="P8428" t="s" s="8">
        <v>53</v>
      </c>
      <c r="Q8428" t="s" s="12">
        <v>53</v>
      </c>
      <c r="R8428" t="s" s="12">
        <v>53</v>
      </c>
    </row>
    <row r="8429" s="2" customFormat="1" ht="13.5" customHeight="1">
      <c r="B8429" s="13"/>
      <c r="C8429" t="s" s="9">
        <v>30</v>
      </c>
      <c r="D8429" t="s" s="8">
        <v>3036</v>
      </c>
      <c r="E8429" t="s" s="9">
        <v>3038</v>
      </c>
      <c r="F8429" t="s" s="10">
        <v>80</v>
      </c>
      <c r="G8429" t="s" s="11">
        <v>80</v>
      </c>
      <c r="H8429" t="s" s="10">
        <v>80</v>
      </c>
      <c r="I8429" t="s" s="11">
        <v>80</v>
      </c>
      <c r="J8429" t="s" s="11">
        <v>20</v>
      </c>
      <c r="K8429" t="s" s="16">
        <f>HYPERLINK("http://csr.bu.edu/ftp/asl/asllvd/demos/verify_start_end_handshape_annotations//test_auto_move//signs_mov/16453.mov","MOV")</f>
        <v>21</v>
      </c>
      <c r="L8429" t="s" s="16">
        <f>HYPERLINK("http://csr.bu.edu/ftp/asl/asllvd/demos/verify_start_end_handshape_annotations//test_auto_move//signs_mov_separ_signers/Brady_16453.mov","MOV")</f>
        <v>21</v>
      </c>
      <c r="M8429" t="s" s="10">
        <v>40</v>
      </c>
      <c r="N8429" s="17">
        <v>81</v>
      </c>
      <c r="O8429" s="18">
        <v>1229</v>
      </c>
      <c r="P8429" s="18">
        <v>1260</v>
      </c>
      <c r="Q8429" t="s" s="16">
        <f>HYPERLINK("http://secrets.rutgers.edu:8080/data/asl-ftp/asllvd/demos/verify_start_end_handshape_annotations//test_auto_move//signs_mov/16453.mov","MOV")</f>
        <v>21</v>
      </c>
      <c r="R8429" t="s" s="16">
        <f>HYPERLINK("http://secrets.rutgers.edu:8080/data/asl-ftp/asllvd/demos/verify_start_end_handshape_annotations//test_auto_move//signs_mov_separ_signers/Brady_16453.mov","MOV")</f>
        <v>21</v>
      </c>
    </row>
    <row r="8430" s="2" customFormat="1" ht="13.5" customHeight="1">
      <c r="B8430" t="s" s="8">
        <v>3039</v>
      </c>
      <c r="C8430" t="s" s="9">
        <v>14</v>
      </c>
      <c r="D8430" t="s" s="8">
        <v>14</v>
      </c>
      <c r="E8430" t="s" s="9">
        <v>14</v>
      </c>
      <c r="F8430" t="s" s="10">
        <v>14</v>
      </c>
      <c r="G8430" t="s" s="11">
        <v>14</v>
      </c>
      <c r="H8430" t="s" s="10">
        <v>14</v>
      </c>
      <c r="I8430" t="s" s="11">
        <v>14</v>
      </c>
      <c r="J8430" t="s" s="11">
        <v>14</v>
      </c>
      <c r="K8430" t="s" s="12">
        <v>14</v>
      </c>
      <c r="L8430" t="s" s="12">
        <v>14</v>
      </c>
      <c r="M8430" t="s" s="10">
        <v>14</v>
      </c>
      <c r="N8430" t="s" s="11">
        <v>14</v>
      </c>
      <c r="O8430" t="s" s="8">
        <v>14</v>
      </c>
      <c r="P8430" t="s" s="8">
        <v>14</v>
      </c>
      <c r="Q8430" t="s" s="12">
        <v>14</v>
      </c>
      <c r="R8430" t="s" s="12">
        <v>14</v>
      </c>
    </row>
    <row r="8431" s="2" customFormat="1" ht="13.5" customHeight="1">
      <c r="B8431" s="13"/>
      <c r="C8431" t="s" s="9">
        <v>16</v>
      </c>
      <c r="D8431" t="s" s="8">
        <v>3039</v>
      </c>
      <c r="E8431" t="s" s="9">
        <v>3040</v>
      </c>
      <c r="F8431" t="s" s="10">
        <v>68</v>
      </c>
      <c r="G8431" t="s" s="11">
        <v>68</v>
      </c>
      <c r="H8431" t="s" s="10">
        <v>68</v>
      </c>
      <c r="I8431" t="s" s="11">
        <v>68</v>
      </c>
      <c r="J8431" t="s" s="11">
        <v>20</v>
      </c>
      <c r="K8431" s="15"/>
      <c r="L8431" t="s" s="16">
        <f>HYPERLINK("http://csr.bu.edu/ftp/asl/asllvd/demos/verify_start_end_handshape_annotations//test_auto_move//signs_mov_separ_signers/Liz_2266.mov","MOV")</f>
        <v>21</v>
      </c>
      <c r="M8431" t="s" s="10">
        <v>84</v>
      </c>
      <c r="N8431" s="17">
        <v>17</v>
      </c>
      <c r="O8431" s="18">
        <v>1345</v>
      </c>
      <c r="P8431" s="18">
        <v>1422</v>
      </c>
      <c r="Q8431" s="15"/>
      <c r="R8431" t="s" s="16">
        <f>HYPERLINK("http://secrets.rutgers.edu:8080/data/asl-ftp/asllvd/demos/verify_start_end_handshape_annotations//test_auto_move//signs_mov_separ_signers/Liz_2266.mov","MOV")</f>
        <v>21</v>
      </c>
    </row>
    <row r="8432" s="2" customFormat="1" ht="13.5" customHeight="1">
      <c r="B8432" s="13"/>
      <c r="C8432" t="s" s="9">
        <v>16</v>
      </c>
      <c r="D8432" t="s" s="8">
        <v>3039</v>
      </c>
      <c r="E8432" t="s" s="9">
        <v>3039</v>
      </c>
      <c r="F8432" t="s" s="10">
        <v>63</v>
      </c>
      <c r="G8432" t="s" s="11">
        <v>68</v>
      </c>
      <c r="H8432" t="s" s="10">
        <v>63</v>
      </c>
      <c r="I8432" t="s" s="11">
        <v>68</v>
      </c>
      <c r="J8432" t="s" s="11">
        <v>20</v>
      </c>
      <c r="K8432" s="15"/>
      <c r="L8432" t="s" s="16">
        <f>HYPERLINK("http://csr.bu.edu/ftp/asl/asllvd/demos/verify_start_end_handshape_annotations//test_auto_move//signs_mov_separ_signers/Liz_15807.mov","MOV")</f>
        <v>21</v>
      </c>
      <c r="M8432" t="s" s="10">
        <v>36</v>
      </c>
      <c r="N8432" s="17">
        <v>30</v>
      </c>
      <c r="O8432" s="18">
        <v>1870</v>
      </c>
      <c r="P8432" s="18">
        <v>1928</v>
      </c>
      <c r="Q8432" s="15"/>
      <c r="R8432" t="s" s="16">
        <f>HYPERLINK("http://secrets.rutgers.edu:8080/data/asl-ftp/asllvd/demos/verify_start_end_handshape_annotations//test_auto_move//signs_mov_separ_signers/Liz_15807.mov","MOV")</f>
        <v>21</v>
      </c>
    </row>
    <row r="8433" s="2" customFormat="1" ht="13.5" customHeight="1">
      <c r="B8433" s="13"/>
      <c r="C8433" t="s" s="9">
        <v>23</v>
      </c>
      <c r="D8433" t="s" s="8">
        <v>3039</v>
      </c>
      <c r="E8433" t="s" s="9">
        <v>3040</v>
      </c>
      <c r="F8433" t="s" s="10">
        <v>65</v>
      </c>
      <c r="G8433" t="s" s="11">
        <v>65</v>
      </c>
      <c r="H8433" t="s" s="10">
        <v>65</v>
      </c>
      <c r="I8433" t="s" s="11">
        <v>65</v>
      </c>
      <c r="J8433" t="s" s="11">
        <v>20</v>
      </c>
      <c r="K8433" t="s" s="16">
        <f>HYPERLINK("http://csr.bu.edu/ftp/asl/asllvd/demos/verify_start_end_handshape_annotations//test_auto_move//signs_mov/2266_15807_merged.mov","MOV")</f>
        <v>21</v>
      </c>
      <c r="L8433" t="s" s="16">
        <f>HYPERLINK("http://csr.bu.edu/ftp/asl/asllvd/demos/verify_start_end_handshape_annotations//test_auto_move//signs_mov_separ_signers/Tyler_2266.mov","MOV")</f>
        <v>21</v>
      </c>
      <c r="M8433" t="s" s="10">
        <v>125</v>
      </c>
      <c r="N8433" s="17">
        <v>16</v>
      </c>
      <c r="O8433" s="18">
        <v>1710</v>
      </c>
      <c r="P8433" s="18">
        <v>1770</v>
      </c>
      <c r="Q8433" t="s" s="16">
        <f>HYPERLINK("http://secrets.rutgers.edu:8080/data/asl-ftp/asllvd/demos/verify_start_end_handshape_annotations//test_auto_move//signs_mov/2266_15807_merged.mov","MOV")</f>
        <v>21</v>
      </c>
      <c r="R8433" t="s" s="16">
        <f>HYPERLINK("http://secrets.rutgers.edu:8080/data/asl-ftp/asllvd/demos/verify_start_end_handshape_annotations//test_auto_move//signs_mov_separ_signers/Tyler_2266.mov","MOV")</f>
        <v>21</v>
      </c>
    </row>
    <row r="8434" s="2" customFormat="1" ht="13.5" customHeight="1">
      <c r="B8434" s="13"/>
      <c r="C8434" t="s" s="9">
        <v>27</v>
      </c>
      <c r="D8434" t="s" s="8">
        <v>3039</v>
      </c>
      <c r="E8434" t="s" s="9">
        <v>3040</v>
      </c>
      <c r="F8434" t="s" s="10">
        <v>65</v>
      </c>
      <c r="G8434" t="s" s="11">
        <v>65</v>
      </c>
      <c r="H8434" t="s" s="10">
        <v>65</v>
      </c>
      <c r="I8434" t="s" s="11">
        <v>65</v>
      </c>
      <c r="J8434" t="s" s="11">
        <v>20</v>
      </c>
      <c r="K8434" s="15"/>
      <c r="L8434" t="s" s="16">
        <f>HYPERLINK("http://csr.bu.edu/ftp/asl/asllvd/demos/verify_start_end_handshape_annotations//test_auto_move//signs_mov_separ_signers/Naomi_2266.mov","MOV")</f>
        <v>21</v>
      </c>
      <c r="M8434" t="s" s="10">
        <v>86</v>
      </c>
      <c r="N8434" s="17">
        <v>17</v>
      </c>
      <c r="O8434" s="18">
        <v>2001</v>
      </c>
      <c r="P8434" s="18">
        <v>2080</v>
      </c>
      <c r="Q8434" s="15"/>
      <c r="R8434" t="s" s="16">
        <f>HYPERLINK("http://secrets.rutgers.edu:8080/data/asl-ftp/asllvd/demos/verify_start_end_handshape_annotations//test_auto_move//signs_mov_separ_signers/Naomi_2266.mov","MOV")</f>
        <v>21</v>
      </c>
    </row>
    <row r="8435" s="2" customFormat="1" ht="13.5" customHeight="1">
      <c r="B8435" s="13"/>
      <c r="C8435" t="s" s="9">
        <v>30</v>
      </c>
      <c r="D8435" t="s" s="8">
        <v>3039</v>
      </c>
      <c r="E8435" t="s" s="9">
        <v>3041</v>
      </c>
      <c r="F8435" t="s" s="10">
        <v>65</v>
      </c>
      <c r="G8435" t="s" s="11">
        <v>65</v>
      </c>
      <c r="H8435" t="s" s="10">
        <v>65</v>
      </c>
      <c r="I8435" t="s" s="11">
        <v>65</v>
      </c>
      <c r="J8435" t="s" s="11">
        <v>20</v>
      </c>
      <c r="K8435" s="15"/>
      <c r="L8435" t="s" s="16">
        <f>HYPERLINK("http://csr.bu.edu/ftp/asl/asllvd/demos/verify_start_end_handshape_annotations//test_auto_move//signs_mov_separ_signers/Brady_2266.mov","MOV")</f>
        <v>21</v>
      </c>
      <c r="M8435" t="s" s="10">
        <v>31</v>
      </c>
      <c r="N8435" s="17">
        <v>34</v>
      </c>
      <c r="O8435" s="18">
        <v>3487</v>
      </c>
      <c r="P8435" s="18">
        <v>3526</v>
      </c>
      <c r="Q8435" s="15"/>
      <c r="R8435" t="s" s="16">
        <f>HYPERLINK("http://secrets.rutgers.edu:8080/data/asl-ftp/asllvd/demos/verify_start_end_handshape_annotations//test_auto_move//signs_mov_separ_signers/Brady_2266.mov","MOV")</f>
        <v>21</v>
      </c>
    </row>
    <row r="8436" s="2" customFormat="1" ht="13.5" customHeight="1">
      <c r="B8436" s="13"/>
      <c r="C8436" t="s" s="9">
        <v>30</v>
      </c>
      <c r="D8436" t="s" s="8">
        <v>3039</v>
      </c>
      <c r="E8436" t="s" s="9">
        <v>3040</v>
      </c>
      <c r="F8436" t="s" s="10">
        <v>65</v>
      </c>
      <c r="G8436" t="s" s="11">
        <v>65</v>
      </c>
      <c r="H8436" t="s" s="10">
        <v>65</v>
      </c>
      <c r="I8436" t="s" s="11">
        <v>65</v>
      </c>
      <c r="J8436" t="s" s="11">
        <v>20</v>
      </c>
      <c r="K8436" s="15"/>
      <c r="L8436" t="s" s="16">
        <f>HYPERLINK("http://csr.bu.edu/ftp/asl/asllvd/demos/verify_start_end_handshape_annotations//test_auto_move//signs_mov_separ_signers/Brady_15807.mov","MOV")</f>
        <v>21</v>
      </c>
      <c r="M8436" t="s" s="10">
        <v>40</v>
      </c>
      <c r="N8436" s="17">
        <v>81</v>
      </c>
      <c r="O8436" s="18">
        <v>2201</v>
      </c>
      <c r="P8436" s="18">
        <v>2233</v>
      </c>
      <c r="Q8436" s="15"/>
      <c r="R8436" t="s" s="16">
        <f>HYPERLINK("http://secrets.rutgers.edu:8080/data/asl-ftp/asllvd/demos/verify_start_end_handshape_annotations//test_auto_move//signs_mov_separ_signers/Brady_15807.mov","MOV")</f>
        <v>21</v>
      </c>
    </row>
    <row r="8437" s="2" customFormat="1" ht="13.5" customHeight="1">
      <c r="B8437" t="s" s="8">
        <v>3042</v>
      </c>
      <c r="C8437" t="s" s="9">
        <v>14</v>
      </c>
      <c r="D8437" t="s" s="8">
        <v>14</v>
      </c>
      <c r="E8437" t="s" s="9">
        <v>14</v>
      </c>
      <c r="F8437" t="s" s="10">
        <v>14</v>
      </c>
      <c r="G8437" t="s" s="11">
        <v>14</v>
      </c>
      <c r="H8437" t="s" s="10">
        <v>14</v>
      </c>
      <c r="I8437" t="s" s="11">
        <v>14</v>
      </c>
      <c r="J8437" t="s" s="11">
        <v>14</v>
      </c>
      <c r="K8437" t="s" s="12">
        <v>14</v>
      </c>
      <c r="L8437" t="s" s="12">
        <v>14</v>
      </c>
      <c r="M8437" t="s" s="10">
        <v>14</v>
      </c>
      <c r="N8437" t="s" s="11">
        <v>14</v>
      </c>
      <c r="O8437" t="s" s="8">
        <v>14</v>
      </c>
      <c r="P8437" t="s" s="8">
        <v>14</v>
      </c>
      <c r="Q8437" t="s" s="12">
        <v>14</v>
      </c>
      <c r="R8437" t="s" s="12">
        <v>14</v>
      </c>
    </row>
    <row r="8438" s="2" customFormat="1" ht="13.5" customHeight="1">
      <c r="B8438" s="13"/>
      <c r="C8438" t="s" s="9">
        <v>16</v>
      </c>
      <c r="D8438" t="s" s="8">
        <v>3042</v>
      </c>
      <c r="E8438" t="s" s="9">
        <v>3043</v>
      </c>
      <c r="F8438" t="s" s="10">
        <v>68</v>
      </c>
      <c r="G8438" s="14"/>
      <c r="H8438" t="s" s="10">
        <v>72</v>
      </c>
      <c r="I8438" s="14"/>
      <c r="J8438" t="s" s="11">
        <v>20</v>
      </c>
      <c r="K8438" t="s" s="16">
        <f>HYPERLINK("http://csr.bu.edu/ftp/asl/asllvd/demos/verify_start_end_handshape_annotations//test_auto_move//signs_mov/2268.mov","MOV")</f>
        <v>21</v>
      </c>
      <c r="L8438" t="s" s="16">
        <f>HYPERLINK("http://csr.bu.edu/ftp/asl/asllvd/demos/verify_start_end_handshape_annotations//test_auto_move//signs_mov_separ_signers/Liz_2268.mov","MOV")</f>
        <v>21</v>
      </c>
      <c r="M8438" t="s" s="10">
        <v>36</v>
      </c>
      <c r="N8438" s="17">
        <v>30</v>
      </c>
      <c r="O8438" s="18">
        <v>2337</v>
      </c>
      <c r="P8438" s="18">
        <v>2370</v>
      </c>
      <c r="Q8438" t="s" s="16">
        <f>HYPERLINK("http://secrets.rutgers.edu:8080/data/asl-ftp/asllvd/demos/verify_start_end_handshape_annotations//test_auto_move//signs_mov/2268.mov","MOV")</f>
        <v>21</v>
      </c>
      <c r="R8438" t="s" s="16">
        <f>HYPERLINK("http://secrets.rutgers.edu:8080/data/asl-ftp/asllvd/demos/verify_start_end_handshape_annotations//test_auto_move//signs_mov_separ_signers/Liz_2268.mov","MOV")</f>
        <v>21</v>
      </c>
    </row>
    <row r="8439" s="2" customFormat="1" ht="13.5" customHeight="1">
      <c r="B8439" s="13"/>
      <c r="C8439" t="s" s="9">
        <v>30</v>
      </c>
      <c r="D8439" t="s" s="8">
        <v>3042</v>
      </c>
      <c r="E8439" t="s" s="9">
        <v>3043</v>
      </c>
      <c r="F8439" t="s" s="10">
        <v>68</v>
      </c>
      <c r="G8439" s="14"/>
      <c r="H8439" t="s" s="10">
        <v>72</v>
      </c>
      <c r="I8439" s="14"/>
      <c r="J8439" t="s" s="11">
        <v>20</v>
      </c>
      <c r="K8439" s="15"/>
      <c r="L8439" t="s" s="16">
        <f>HYPERLINK("http://csr.bu.edu/ftp/asl/asllvd/demos/verify_start_end_handshape_annotations//test_auto_move//signs_mov_separ_signers/Brady_2268.mov","MOV")</f>
        <v>21</v>
      </c>
      <c r="M8439" t="s" s="10">
        <v>40</v>
      </c>
      <c r="N8439" s="17">
        <v>81</v>
      </c>
      <c r="O8439" s="18">
        <v>2763</v>
      </c>
      <c r="P8439" s="18">
        <v>2792</v>
      </c>
      <c r="Q8439" s="15"/>
      <c r="R8439" t="s" s="16">
        <f>HYPERLINK("http://secrets.rutgers.edu:8080/data/asl-ftp/asllvd/demos/verify_start_end_handshape_annotations//test_auto_move//signs_mov_separ_signers/Brady_2268.mov","MOV")</f>
        <v>21</v>
      </c>
    </row>
    <row r="8440" s="2" customFormat="1" ht="13.5" customHeight="1">
      <c r="B8440" t="s" s="8">
        <v>3044</v>
      </c>
      <c r="C8440" t="s" s="9">
        <v>14</v>
      </c>
      <c r="D8440" t="s" s="8">
        <v>14</v>
      </c>
      <c r="E8440" t="s" s="9">
        <v>14</v>
      </c>
      <c r="F8440" t="s" s="10">
        <v>14</v>
      </c>
      <c r="G8440" t="s" s="11">
        <v>14</v>
      </c>
      <c r="H8440" t="s" s="10">
        <v>14</v>
      </c>
      <c r="I8440" t="s" s="11">
        <v>14</v>
      </c>
      <c r="J8440" t="s" s="11">
        <v>14</v>
      </c>
      <c r="K8440" t="s" s="12">
        <v>14</v>
      </c>
      <c r="L8440" t="s" s="12">
        <v>14</v>
      </c>
      <c r="M8440" t="s" s="10">
        <v>14</v>
      </c>
      <c r="N8440" t="s" s="11">
        <v>14</v>
      </c>
      <c r="O8440" t="s" s="8">
        <v>14</v>
      </c>
      <c r="P8440" t="s" s="8">
        <v>14</v>
      </c>
      <c r="Q8440" t="s" s="12">
        <v>14</v>
      </c>
      <c r="R8440" t="s" s="12">
        <v>14</v>
      </c>
    </row>
    <row r="8441" s="2" customFormat="1" ht="13.5" customHeight="1">
      <c r="B8441" s="13"/>
      <c r="C8441" t="s" s="9">
        <v>16</v>
      </c>
      <c r="D8441" t="s" s="8">
        <v>3044</v>
      </c>
      <c r="E8441" t="s" s="9">
        <v>3044</v>
      </c>
      <c r="F8441" t="s" s="10">
        <v>148</v>
      </c>
      <c r="G8441" s="14"/>
      <c r="H8441" t="s" s="10">
        <v>119</v>
      </c>
      <c r="I8441" s="14"/>
      <c r="J8441" t="s" s="11">
        <v>20</v>
      </c>
      <c r="K8441" t="s" s="16">
        <f>HYPERLINK("http://csr.bu.edu/ftp/asl/asllvd/demos/verify_start_end_handshape_annotations//test_auto_move//signs_mov/2269.mov","MOV")</f>
        <v>21</v>
      </c>
      <c r="L8441" t="s" s="16">
        <f>HYPERLINK("http://csr.bu.edu/ftp/asl/asllvd/demos/verify_start_end_handshape_annotations//test_auto_move//signs_mov_separ_signers/Liz_2269.mov","MOV")</f>
        <v>21</v>
      </c>
      <c r="M8441" t="s" s="10">
        <v>36</v>
      </c>
      <c r="N8441" s="17">
        <v>30</v>
      </c>
      <c r="O8441" s="18">
        <v>2568</v>
      </c>
      <c r="P8441" s="18">
        <v>2608</v>
      </c>
      <c r="Q8441" t="s" s="16">
        <f>HYPERLINK("http://secrets.rutgers.edu:8080/data/asl-ftp/asllvd/demos/verify_start_end_handshape_annotations//test_auto_move//signs_mov/2269.mov","MOV")</f>
        <v>21</v>
      </c>
      <c r="R8441" t="s" s="16">
        <f>HYPERLINK("http://secrets.rutgers.edu:8080/data/asl-ftp/asllvd/demos/verify_start_end_handshape_annotations//test_auto_move//signs_mov_separ_signers/Liz_2269.mov","MOV")</f>
        <v>21</v>
      </c>
    </row>
    <row r="8442" s="2" customFormat="1" ht="13.5" customHeight="1">
      <c r="B8442" s="13"/>
      <c r="C8442" t="s" s="9">
        <v>30</v>
      </c>
      <c r="D8442" t="s" s="8">
        <v>3044</v>
      </c>
      <c r="E8442" t="s" s="9">
        <v>3044</v>
      </c>
      <c r="F8442" t="s" s="10">
        <v>73</v>
      </c>
      <c r="G8442" s="14"/>
      <c r="H8442" t="s" s="10">
        <v>119</v>
      </c>
      <c r="I8442" s="14"/>
      <c r="J8442" t="s" s="11">
        <v>20</v>
      </c>
      <c r="K8442" s="15"/>
      <c r="L8442" t="s" s="16">
        <f>HYPERLINK("http://csr.bu.edu/ftp/asl/asllvd/demos/verify_start_end_handshape_annotations//test_auto_move//signs_mov_separ_signers/Brady_2269.mov","MOV")</f>
        <v>21</v>
      </c>
      <c r="M8442" t="s" s="10">
        <v>40</v>
      </c>
      <c r="N8442" s="17">
        <v>82</v>
      </c>
      <c r="O8442" s="18">
        <v>138</v>
      </c>
      <c r="P8442" s="18">
        <v>158</v>
      </c>
      <c r="Q8442" s="15"/>
      <c r="R8442" t="s" s="16">
        <f>HYPERLINK("http://secrets.rutgers.edu:8080/data/asl-ftp/asllvd/demos/verify_start_end_handshape_annotations//test_auto_move//signs_mov_separ_signers/Brady_2269.mov","MOV")</f>
        <v>21</v>
      </c>
    </row>
    <row r="8443" s="2" customFormat="1" ht="13.5" customHeight="1">
      <c r="B8443" t="s" s="8">
        <v>3045</v>
      </c>
      <c r="C8443" t="s" s="9">
        <v>14</v>
      </c>
      <c r="D8443" t="s" s="8">
        <v>14</v>
      </c>
      <c r="E8443" t="s" s="9">
        <v>14</v>
      </c>
      <c r="F8443" t="s" s="10">
        <v>14</v>
      </c>
      <c r="G8443" t="s" s="11">
        <v>14</v>
      </c>
      <c r="H8443" t="s" s="10">
        <v>14</v>
      </c>
      <c r="I8443" t="s" s="11">
        <v>14</v>
      </c>
      <c r="J8443" t="s" s="11">
        <v>14</v>
      </c>
      <c r="K8443" t="s" s="12">
        <v>14</v>
      </c>
      <c r="L8443" t="s" s="12">
        <v>14</v>
      </c>
      <c r="M8443" t="s" s="10">
        <v>14</v>
      </c>
      <c r="N8443" t="s" s="11">
        <v>14</v>
      </c>
      <c r="O8443" t="s" s="8">
        <v>14</v>
      </c>
      <c r="P8443" t="s" s="8">
        <v>14</v>
      </c>
      <c r="Q8443" t="s" s="12">
        <v>14</v>
      </c>
      <c r="R8443" t="s" s="12">
        <v>14</v>
      </c>
    </row>
    <row r="8444" s="2" customFormat="1" ht="13.5" customHeight="1">
      <c r="B8444" s="13"/>
      <c r="C8444" t="s" s="9">
        <v>16</v>
      </c>
      <c r="D8444" t="s" s="8">
        <v>3045</v>
      </c>
      <c r="E8444" t="s" s="9">
        <v>3045</v>
      </c>
      <c r="F8444" t="s" s="10">
        <v>80</v>
      </c>
      <c r="G8444" s="14"/>
      <c r="H8444" t="s" s="10">
        <v>80</v>
      </c>
      <c r="I8444" s="14"/>
      <c r="J8444" t="s" s="11">
        <v>20</v>
      </c>
      <c r="K8444" s="15"/>
      <c r="L8444" t="s" s="16">
        <f>HYPERLINK("http://csr.bu.edu/ftp/asl/asllvd/demos/verify_start_end_handshape_annotations//test_auto_move//signs_mov_separ_signers/Liz_2270.mov","MOV")</f>
        <v>21</v>
      </c>
      <c r="M8444" t="s" s="10">
        <v>36</v>
      </c>
      <c r="N8444" s="17">
        <v>31</v>
      </c>
      <c r="O8444" s="18">
        <v>631</v>
      </c>
      <c r="P8444" s="18">
        <v>664</v>
      </c>
      <c r="Q8444" s="15"/>
      <c r="R8444" t="s" s="16">
        <f>HYPERLINK("http://secrets.rutgers.edu:8080/data/asl-ftp/asllvd/demos/verify_start_end_handshape_annotations//test_auto_move//signs_mov_separ_signers/Liz_2270.mov","MOV")</f>
        <v>21</v>
      </c>
    </row>
    <row r="8445" s="2" customFormat="1" ht="13.5" customHeight="1">
      <c r="B8445" s="13"/>
      <c r="C8445" t="s" s="9">
        <v>30</v>
      </c>
      <c r="D8445" t="s" s="8">
        <v>3045</v>
      </c>
      <c r="E8445" t="s" s="9">
        <v>3045</v>
      </c>
      <c r="F8445" t="s" s="10">
        <v>80</v>
      </c>
      <c r="G8445" s="14"/>
      <c r="H8445" t="s" s="10">
        <v>80</v>
      </c>
      <c r="I8445" s="14"/>
      <c r="J8445" t="s" s="11">
        <v>20</v>
      </c>
      <c r="K8445" t="s" s="16">
        <f>HYPERLINK("http://csr.bu.edu/ftp/asl/asllvd/demos/verify_start_end_handshape_annotations//test_auto_move//signs_mov/2270.mov","MOV")</f>
        <v>21</v>
      </c>
      <c r="L8445" t="s" s="16">
        <f>HYPERLINK("http://csr.bu.edu/ftp/asl/asllvd/demos/verify_start_end_handshape_annotations//test_auto_move//signs_mov_separ_signers/Brady_2270.mov","MOV")</f>
        <v>21</v>
      </c>
      <c r="M8445" t="s" s="10">
        <v>40</v>
      </c>
      <c r="N8445" s="17">
        <v>82</v>
      </c>
      <c r="O8445" s="18">
        <v>900</v>
      </c>
      <c r="P8445" s="18">
        <v>926</v>
      </c>
      <c r="Q8445" t="s" s="16">
        <f>HYPERLINK("http://secrets.rutgers.edu:8080/data/asl-ftp/asllvd/demos/verify_start_end_handshape_annotations//test_auto_move//signs_mov/2270.mov","MOV")</f>
        <v>21</v>
      </c>
      <c r="R8445" t="s" s="16">
        <f>HYPERLINK("http://secrets.rutgers.edu:8080/data/asl-ftp/asllvd/demos/verify_start_end_handshape_annotations//test_auto_move//signs_mov_separ_signers/Brady_2270.mov","MOV")</f>
        <v>21</v>
      </c>
    </row>
    <row r="8446" s="2" customFormat="1" ht="13.5" customHeight="1">
      <c r="B8446" s="13"/>
      <c r="C8446" t="s" s="9">
        <v>43</v>
      </c>
      <c r="D8446" t="s" s="8">
        <v>3045</v>
      </c>
      <c r="E8446" t="s" s="9">
        <v>3045</v>
      </c>
      <c r="F8446" t="s" s="10">
        <v>85</v>
      </c>
      <c r="G8446" s="14"/>
      <c r="H8446" t="s" s="10">
        <v>85</v>
      </c>
      <c r="I8446" s="14"/>
      <c r="J8446" t="s" s="11">
        <v>20</v>
      </c>
      <c r="K8446" s="15"/>
      <c r="L8446" t="s" s="16">
        <f>HYPERLINK("http://csr.bu.edu/ftp/asl/asllvd/demos/verify_start_end_handshape_annotations//test_auto_move//signs_mov_separ_signers/Dana_2270.mov","MOV")</f>
        <v>21</v>
      </c>
      <c r="M8446" t="s" s="10">
        <v>44</v>
      </c>
      <c r="N8446" s="17">
        <v>26</v>
      </c>
      <c r="O8446" s="18">
        <v>1600</v>
      </c>
      <c r="P8446" s="18">
        <v>1641</v>
      </c>
      <c r="Q8446" s="15"/>
      <c r="R8446" t="s" s="16">
        <f>HYPERLINK("http://secrets.rutgers.edu:8080/data/asl-ftp/asllvd/demos/verify_start_end_handshape_annotations//test_auto_move//signs_mov_separ_signers/Dana_2270.mov","MOV")</f>
        <v>21</v>
      </c>
    </row>
    <row r="8447" s="2" customFormat="1" ht="13.5" customHeight="1">
      <c r="B8447" t="s" s="8">
        <v>52</v>
      </c>
      <c r="C8447" t="s" s="9">
        <v>53</v>
      </c>
      <c r="D8447" t="s" s="8">
        <v>53</v>
      </c>
      <c r="E8447" t="s" s="9">
        <v>53</v>
      </c>
      <c r="F8447" t="s" s="10">
        <v>53</v>
      </c>
      <c r="G8447" t="s" s="11">
        <v>53</v>
      </c>
      <c r="H8447" t="s" s="10">
        <v>53</v>
      </c>
      <c r="I8447" t="s" s="11">
        <v>53</v>
      </c>
      <c r="J8447" t="s" s="11">
        <v>53</v>
      </c>
      <c r="K8447" t="s" s="12">
        <v>53</v>
      </c>
      <c r="L8447" t="s" s="12">
        <v>53</v>
      </c>
      <c r="M8447" t="s" s="10">
        <v>53</v>
      </c>
      <c r="N8447" t="s" s="11">
        <v>53</v>
      </c>
      <c r="O8447" t="s" s="8">
        <v>53</v>
      </c>
      <c r="P8447" t="s" s="8">
        <v>53</v>
      </c>
      <c r="Q8447" t="s" s="12">
        <v>53</v>
      </c>
      <c r="R8447" t="s" s="12">
        <v>53</v>
      </c>
    </row>
    <row r="8448" s="2" customFormat="1" ht="13.5" customHeight="1">
      <c r="B8448" s="13"/>
      <c r="C8448" t="s" s="9">
        <v>41</v>
      </c>
      <c r="D8448" t="s" s="8">
        <v>3045</v>
      </c>
      <c r="E8448" t="s" s="9">
        <v>3046</v>
      </c>
      <c r="F8448" t="s" s="10">
        <v>80</v>
      </c>
      <c r="G8448" s="14"/>
      <c r="H8448" t="s" s="10">
        <v>80</v>
      </c>
      <c r="I8448" s="14"/>
      <c r="J8448" t="s" s="11">
        <v>20</v>
      </c>
      <c r="K8448" t="s" s="16">
        <f>HYPERLINK("http://csr.bu.edu/ftp/asl/asllvd/demos/verify_start_end_handshape_annotations//test_auto_move//signs_mov/15816.mov","MOV")</f>
        <v>21</v>
      </c>
      <c r="L8448" t="s" s="16">
        <f>HYPERLINK("http://csr.bu.edu/ftp/asl/asllvd/demos/verify_start_end_handshape_annotations//test_auto_move//signs_mov_separ_signers/Lana_15816.mov","MOV")</f>
        <v>21</v>
      </c>
      <c r="M8448" t="s" s="10">
        <v>42</v>
      </c>
      <c r="N8448" s="17">
        <v>24</v>
      </c>
      <c r="O8448" s="18">
        <v>1598</v>
      </c>
      <c r="P8448" s="18">
        <v>1616</v>
      </c>
      <c r="Q8448" t="s" s="16">
        <f>HYPERLINK("http://secrets.rutgers.edu:8080/data/asl-ftp/asllvd/demos/verify_start_end_handshape_annotations//test_auto_move//signs_mov/15816.mov","MOV")</f>
        <v>21</v>
      </c>
      <c r="R8448" t="s" s="16">
        <f>HYPERLINK("http://secrets.rutgers.edu:8080/data/asl-ftp/asllvd/demos/verify_start_end_handshape_annotations//test_auto_move//signs_mov_separ_signers/Lana_15816.mov","MOV")</f>
        <v>21</v>
      </c>
    </row>
    <row r="8449" s="2" customFormat="1" ht="13.5" customHeight="1">
      <c r="B8449" t="s" s="8">
        <v>3047</v>
      </c>
      <c r="C8449" t="s" s="9">
        <v>14</v>
      </c>
      <c r="D8449" t="s" s="8">
        <v>14</v>
      </c>
      <c r="E8449" t="s" s="9">
        <v>14</v>
      </c>
      <c r="F8449" t="s" s="10">
        <v>14</v>
      </c>
      <c r="G8449" t="s" s="11">
        <v>14</v>
      </c>
      <c r="H8449" t="s" s="10">
        <v>14</v>
      </c>
      <c r="I8449" t="s" s="11">
        <v>14</v>
      </c>
      <c r="J8449" t="s" s="11">
        <v>14</v>
      </c>
      <c r="K8449" t="s" s="12">
        <v>14</v>
      </c>
      <c r="L8449" t="s" s="12">
        <v>14</v>
      </c>
      <c r="M8449" t="s" s="10">
        <v>14</v>
      </c>
      <c r="N8449" t="s" s="11">
        <v>14</v>
      </c>
      <c r="O8449" t="s" s="8">
        <v>14</v>
      </c>
      <c r="P8449" t="s" s="8">
        <v>14</v>
      </c>
      <c r="Q8449" t="s" s="12">
        <v>14</v>
      </c>
      <c r="R8449" t="s" s="12">
        <v>14</v>
      </c>
    </row>
    <row r="8450" s="2" customFormat="1" ht="13.5" customHeight="1">
      <c r="B8450" s="13"/>
      <c r="C8450" t="s" s="9">
        <v>16</v>
      </c>
      <c r="D8450" t="s" s="8">
        <v>3047</v>
      </c>
      <c r="E8450" t="s" s="9">
        <v>3047</v>
      </c>
      <c r="F8450" t="s" s="10">
        <v>80</v>
      </c>
      <c r="G8450" s="14"/>
      <c r="H8450" t="s" s="10">
        <v>150</v>
      </c>
      <c r="I8450" s="14"/>
      <c r="J8450" t="s" s="11">
        <v>20</v>
      </c>
      <c r="K8450" s="15"/>
      <c r="L8450" t="s" s="16">
        <f>HYPERLINK("http://csr.bu.edu/ftp/asl/asllvd/demos/verify_start_end_handshape_annotations//test_auto_move//signs_mov_separ_signers/Liz_15833.mov","MOV")</f>
        <v>21</v>
      </c>
      <c r="M8450" t="s" s="10">
        <v>36</v>
      </c>
      <c r="N8450" s="17">
        <v>28</v>
      </c>
      <c r="O8450" s="18">
        <v>1510</v>
      </c>
      <c r="P8450" s="18">
        <v>1545</v>
      </c>
      <c r="Q8450" s="15"/>
      <c r="R8450" t="s" s="16">
        <f>HYPERLINK("http://secrets.rutgers.edu:8080/data/asl-ftp/asllvd/demos/verify_start_end_handshape_annotations//test_auto_move//signs_mov_separ_signers/Liz_15833.mov","MOV")</f>
        <v>21</v>
      </c>
    </row>
    <row r="8451" s="2" customFormat="1" ht="13.5" customHeight="1">
      <c r="B8451" s="13"/>
      <c r="C8451" t="s" s="9">
        <v>23</v>
      </c>
      <c r="D8451" t="s" s="8">
        <v>3047</v>
      </c>
      <c r="E8451" t="s" s="9">
        <v>3047</v>
      </c>
      <c r="F8451" t="s" s="10">
        <v>80</v>
      </c>
      <c r="G8451" s="14"/>
      <c r="H8451" t="s" s="10">
        <v>73</v>
      </c>
      <c r="I8451" s="14"/>
      <c r="J8451" t="s" s="11">
        <v>20</v>
      </c>
      <c r="K8451" s="15"/>
      <c r="L8451" t="s" s="16">
        <f>HYPERLINK("http://csr.bu.edu/ftp/asl/asllvd/demos/verify_start_end_handshape_annotations//test_auto_move//signs_mov_separ_signers/Tyler_15833.mov","MOV")</f>
        <v>21</v>
      </c>
      <c r="M8451" t="s" s="10">
        <v>26</v>
      </c>
      <c r="N8451" s="17">
        <v>15</v>
      </c>
      <c r="O8451" s="18">
        <v>1065</v>
      </c>
      <c r="P8451" s="18">
        <v>1077</v>
      </c>
      <c r="Q8451" s="15"/>
      <c r="R8451" t="s" s="16">
        <f>HYPERLINK("http://secrets.rutgers.edu:8080/data/asl-ftp/asllvd/demos/verify_start_end_handshape_annotations//test_auto_move//signs_mov_separ_signers/Tyler_15833.mov","MOV")</f>
        <v>21</v>
      </c>
    </row>
    <row r="8452" s="2" customFormat="1" ht="13.5" customHeight="1">
      <c r="B8452" s="13"/>
      <c r="C8452" t="s" s="9">
        <v>27</v>
      </c>
      <c r="D8452" t="s" s="8">
        <v>3047</v>
      </c>
      <c r="E8452" t="s" s="9">
        <v>3047</v>
      </c>
      <c r="F8452" t="s" s="10">
        <v>85</v>
      </c>
      <c r="G8452" s="14"/>
      <c r="H8452" t="s" s="10">
        <v>73</v>
      </c>
      <c r="I8452" s="14"/>
      <c r="J8452" t="s" s="11">
        <v>20</v>
      </c>
      <c r="K8452" s="15"/>
      <c r="L8452" t="s" s="16">
        <f>HYPERLINK("http://csr.bu.edu/ftp/asl/asllvd/demos/verify_start_end_handshape_annotations//test_auto_move//signs_mov_separ_signers/Naomi_15833.mov","MOV")</f>
        <v>21</v>
      </c>
      <c r="M8452" t="s" s="10">
        <v>29</v>
      </c>
      <c r="N8452" s="17">
        <v>15</v>
      </c>
      <c r="O8452" s="18">
        <v>790</v>
      </c>
      <c r="P8452" s="18">
        <v>815</v>
      </c>
      <c r="Q8452" s="15"/>
      <c r="R8452" t="s" s="16">
        <f>HYPERLINK("http://secrets.rutgers.edu:8080/data/asl-ftp/asllvd/demos/verify_start_end_handshape_annotations//test_auto_move//signs_mov_separ_signers/Naomi_15833.mov","MOV")</f>
        <v>21</v>
      </c>
    </row>
    <row r="8453" s="2" customFormat="1" ht="13.5" customHeight="1">
      <c r="B8453" s="13"/>
      <c r="C8453" t="s" s="9">
        <v>30</v>
      </c>
      <c r="D8453" t="s" s="8">
        <v>3047</v>
      </c>
      <c r="E8453" t="s" s="9">
        <v>3047</v>
      </c>
      <c r="F8453" t="s" s="10">
        <v>80</v>
      </c>
      <c r="G8453" s="14"/>
      <c r="H8453" t="s" s="10">
        <v>150</v>
      </c>
      <c r="I8453" s="14"/>
      <c r="J8453" t="s" s="11">
        <v>20</v>
      </c>
      <c r="K8453" t="s" s="16">
        <f>HYPERLINK("http://csr.bu.edu/ftp/asl/asllvd/demos/verify_start_end_handshape_annotations//test_auto_move//signs_mov/15833_15849_15851_15888_merged.mov","MOV")</f>
        <v>21</v>
      </c>
      <c r="L8453" t="s" s="16">
        <f>HYPERLINK("http://csr.bu.edu/ftp/asl/asllvd/demos/verify_start_end_handshape_annotations//test_auto_move//signs_mov_separ_signers/Brady_15833.mov","MOV")</f>
        <v>21</v>
      </c>
      <c r="M8453" t="s" s="10">
        <v>31</v>
      </c>
      <c r="N8453" s="17">
        <v>13</v>
      </c>
      <c r="O8453" s="18">
        <v>6020</v>
      </c>
      <c r="P8453" s="18">
        <v>6037</v>
      </c>
      <c r="Q8453" t="s" s="16">
        <f>HYPERLINK("http://secrets.rutgers.edu:8080/data/asl-ftp/asllvd/demos/verify_start_end_handshape_annotations//test_auto_move//signs_mov/15833_15849_15851_15888_merged.mov","MOV")</f>
        <v>21</v>
      </c>
      <c r="R8453" t="s" s="16">
        <f>HYPERLINK("http://secrets.rutgers.edu:8080/data/asl-ftp/asllvd/demos/verify_start_end_handshape_annotations//test_auto_move//signs_mov_separ_signers/Brady_15833.mov","MOV")</f>
        <v>21</v>
      </c>
    </row>
    <row r="8454" s="2" customFormat="1" ht="13.5" customHeight="1">
      <c r="B8454" s="13"/>
      <c r="C8454" t="s" s="9">
        <v>30</v>
      </c>
      <c r="D8454" t="s" s="8">
        <v>3047</v>
      </c>
      <c r="E8454" t="s" s="9">
        <v>3047</v>
      </c>
      <c r="F8454" t="s" s="10">
        <v>150</v>
      </c>
      <c r="G8454" s="14"/>
      <c r="H8454" t="s" s="10">
        <v>150</v>
      </c>
      <c r="I8454" s="14"/>
      <c r="J8454" t="s" s="11">
        <v>20</v>
      </c>
      <c r="K8454" s="15"/>
      <c r="L8454" t="s" s="16">
        <f>HYPERLINK("http://csr.bu.edu/ftp/asl/asllvd/demos/verify_start_end_handshape_annotations//test_auto_move//signs_mov_separ_signers/Brady_15849.mov","MOV")</f>
        <v>21</v>
      </c>
      <c r="M8454" t="s" s="10">
        <v>40</v>
      </c>
      <c r="N8454" s="17">
        <v>79</v>
      </c>
      <c r="O8454" s="18">
        <v>918</v>
      </c>
      <c r="P8454" s="18">
        <v>941</v>
      </c>
      <c r="Q8454" s="15"/>
      <c r="R8454" t="s" s="16">
        <f>HYPERLINK("http://secrets.rutgers.edu:8080/data/asl-ftp/asllvd/demos/verify_start_end_handshape_annotations//test_auto_move//signs_mov_separ_signers/Brady_15849.mov","MOV")</f>
        <v>21</v>
      </c>
    </row>
    <row r="8455" s="2" customFormat="1" ht="13.5" customHeight="1">
      <c r="B8455" s="13"/>
      <c r="C8455" t="s" s="9">
        <v>30</v>
      </c>
      <c r="D8455" t="s" s="8">
        <v>3047</v>
      </c>
      <c r="E8455" t="s" s="9">
        <v>3047</v>
      </c>
      <c r="F8455" t="s" s="10">
        <v>150</v>
      </c>
      <c r="G8455" s="14"/>
      <c r="H8455" t="s" s="10">
        <v>150</v>
      </c>
      <c r="I8455" s="14"/>
      <c r="J8455" t="s" s="11">
        <v>20</v>
      </c>
      <c r="K8455" s="15"/>
      <c r="L8455" t="s" s="16">
        <f>HYPERLINK("http://csr.bu.edu/ftp/asl/asllvd/demos/verify_start_end_handshape_annotations//test_auto_move//signs_mov_separ_signers/Brady_15851.mov","MOV")</f>
        <v>21</v>
      </c>
      <c r="M8455" t="s" s="10">
        <v>40</v>
      </c>
      <c r="N8455" s="17">
        <v>79</v>
      </c>
      <c r="O8455" s="18">
        <v>5421</v>
      </c>
      <c r="P8455" s="18">
        <v>5438</v>
      </c>
      <c r="Q8455" s="15"/>
      <c r="R8455" t="s" s="16">
        <f>HYPERLINK("http://secrets.rutgers.edu:8080/data/asl-ftp/asllvd/demos/verify_start_end_handshape_annotations//test_auto_move//signs_mov_separ_signers/Brady_15851.mov","MOV")</f>
        <v>21</v>
      </c>
    </row>
    <row r="8456" s="2" customFormat="1" ht="13.5" customHeight="1">
      <c r="B8456" s="13"/>
      <c r="C8456" t="s" s="9">
        <v>30</v>
      </c>
      <c r="D8456" t="s" s="8">
        <v>3047</v>
      </c>
      <c r="E8456" t="s" s="9">
        <v>3047</v>
      </c>
      <c r="F8456" t="s" s="10">
        <v>80</v>
      </c>
      <c r="G8456" s="14"/>
      <c r="H8456" t="s" s="10">
        <v>150</v>
      </c>
      <c r="I8456" s="14"/>
      <c r="J8456" t="s" s="11">
        <v>20</v>
      </c>
      <c r="K8456" s="15"/>
      <c r="L8456" t="s" s="16">
        <f>HYPERLINK("http://csr.bu.edu/ftp/asl/asllvd/demos/verify_start_end_handshape_annotations//test_auto_move//signs_mov_separ_signers/Brady_15888.mov","MOV")</f>
        <v>21</v>
      </c>
      <c r="M8456" t="s" s="10">
        <v>60</v>
      </c>
      <c r="N8456" s="17">
        <v>37</v>
      </c>
      <c r="O8456" s="18">
        <v>2448</v>
      </c>
      <c r="P8456" s="18">
        <v>2479</v>
      </c>
      <c r="Q8456" s="15"/>
      <c r="R8456" t="s" s="16">
        <f>HYPERLINK("http://secrets.rutgers.edu:8080/data/asl-ftp/asllvd/demos/verify_start_end_handshape_annotations//test_auto_move//signs_mov_separ_signers/Brady_15888.mov","MOV")</f>
        <v>21</v>
      </c>
    </row>
    <row r="8457" s="2" customFormat="1" ht="13.5" customHeight="1">
      <c r="B8457" t="s" s="8">
        <v>52</v>
      </c>
      <c r="C8457" t="s" s="9">
        <v>53</v>
      </c>
      <c r="D8457" t="s" s="8">
        <v>53</v>
      </c>
      <c r="E8457" t="s" s="9">
        <v>53</v>
      </c>
      <c r="F8457" t="s" s="10">
        <v>53</v>
      </c>
      <c r="G8457" t="s" s="11">
        <v>53</v>
      </c>
      <c r="H8457" t="s" s="10">
        <v>53</v>
      </c>
      <c r="I8457" t="s" s="11">
        <v>53</v>
      </c>
      <c r="J8457" t="s" s="11">
        <v>53</v>
      </c>
      <c r="K8457" t="s" s="12">
        <v>53</v>
      </c>
      <c r="L8457" t="s" s="12">
        <v>53</v>
      </c>
      <c r="M8457" t="s" s="10">
        <v>53</v>
      </c>
      <c r="N8457" t="s" s="11">
        <v>53</v>
      </c>
      <c r="O8457" t="s" s="8">
        <v>53</v>
      </c>
      <c r="P8457" t="s" s="8">
        <v>53</v>
      </c>
      <c r="Q8457" t="s" s="12">
        <v>53</v>
      </c>
      <c r="R8457" t="s" s="12">
        <v>53</v>
      </c>
    </row>
    <row r="8458" s="2" customFormat="1" ht="13.5" customHeight="1">
      <c r="B8458" s="13"/>
      <c r="C8458" t="s" s="9">
        <v>16</v>
      </c>
      <c r="D8458" t="s" s="8">
        <v>3047</v>
      </c>
      <c r="E8458" t="s" s="9">
        <v>3048</v>
      </c>
      <c r="F8458" t="s" s="10">
        <v>80</v>
      </c>
      <c r="G8458" t="s" s="11">
        <v>80</v>
      </c>
      <c r="H8458" t="s" s="10">
        <v>150</v>
      </c>
      <c r="I8458" t="s" s="11">
        <v>150</v>
      </c>
      <c r="J8458" t="s" s="11">
        <v>20</v>
      </c>
      <c r="K8458" t="s" s="16">
        <f>HYPERLINK("http://csr.bu.edu/ftp/asl/asllvd/demos/verify_start_end_handshape_annotations//test_auto_move//signs_mov/16454.mov","MOV")</f>
        <v>21</v>
      </c>
      <c r="L8458" t="s" s="16">
        <f>HYPERLINK("http://csr.bu.edu/ftp/asl/asllvd/demos/verify_start_end_handshape_annotations//test_auto_move//signs_mov_separ_signers/Liz_16454.mov","MOV")</f>
        <v>21</v>
      </c>
      <c r="M8458" t="s" s="10">
        <v>22</v>
      </c>
      <c r="N8458" s="17">
        <v>22</v>
      </c>
      <c r="O8458" s="18">
        <v>1345</v>
      </c>
      <c r="P8458" s="18">
        <v>1380</v>
      </c>
      <c r="Q8458" t="s" s="16">
        <f>HYPERLINK("http://secrets.rutgers.edu:8080/data/asl-ftp/asllvd/demos/verify_start_end_handshape_annotations//test_auto_move//signs_mov/16454.mov","MOV")</f>
        <v>21</v>
      </c>
      <c r="R8458" t="s" s="16">
        <f>HYPERLINK("http://secrets.rutgers.edu:8080/data/asl-ftp/asllvd/demos/verify_start_end_handshape_annotations//test_auto_move//signs_mov_separ_signers/Liz_16454.mov","MOV")</f>
        <v>21</v>
      </c>
    </row>
    <row r="8459" s="2" customFormat="1" ht="13.5" customHeight="1">
      <c r="B8459" t="s" s="8">
        <v>3049</v>
      </c>
      <c r="C8459" t="s" s="9">
        <v>14</v>
      </c>
      <c r="D8459" t="s" s="8">
        <v>14</v>
      </c>
      <c r="E8459" t="s" s="9">
        <v>14</v>
      </c>
      <c r="F8459" t="s" s="10">
        <v>14</v>
      </c>
      <c r="G8459" t="s" s="11">
        <v>14</v>
      </c>
      <c r="H8459" t="s" s="10">
        <v>14</v>
      </c>
      <c r="I8459" t="s" s="11">
        <v>14</v>
      </c>
      <c r="J8459" t="s" s="11">
        <v>14</v>
      </c>
      <c r="K8459" t="s" s="12">
        <v>14</v>
      </c>
      <c r="L8459" t="s" s="12">
        <v>14</v>
      </c>
      <c r="M8459" t="s" s="10">
        <v>14</v>
      </c>
      <c r="N8459" t="s" s="11">
        <v>14</v>
      </c>
      <c r="O8459" t="s" s="8">
        <v>14</v>
      </c>
      <c r="P8459" t="s" s="8">
        <v>14</v>
      </c>
      <c r="Q8459" t="s" s="12">
        <v>14</v>
      </c>
      <c r="R8459" t="s" s="12">
        <v>14</v>
      </c>
    </row>
    <row r="8460" s="2" customFormat="1" ht="13.5" customHeight="1">
      <c r="B8460" s="13"/>
      <c r="C8460" t="s" s="9">
        <v>16</v>
      </c>
      <c r="D8460" t="s" s="8">
        <v>3049</v>
      </c>
      <c r="E8460" t="s" s="9">
        <v>3049</v>
      </c>
      <c r="F8460" s="19">
        <v>25</v>
      </c>
      <c r="G8460" s="17">
        <v>25</v>
      </c>
      <c r="H8460" s="19">
        <v>25</v>
      </c>
      <c r="I8460" s="17">
        <v>25</v>
      </c>
      <c r="J8460" t="s" s="11">
        <v>20</v>
      </c>
      <c r="K8460" s="15"/>
      <c r="L8460" t="s" s="16">
        <f>HYPERLINK("http://csr.bu.edu/ftp/asl/asllvd/demos/verify_start_end_handshape_annotations//test_auto_move//signs_mov_separ_signers/Liz_2271.mov","MOV")</f>
        <v>21</v>
      </c>
      <c r="M8460" t="s" s="10">
        <v>36</v>
      </c>
      <c r="N8460" s="17">
        <v>31</v>
      </c>
      <c r="O8460" s="18">
        <v>887</v>
      </c>
      <c r="P8460" s="18">
        <v>929</v>
      </c>
      <c r="Q8460" s="15"/>
      <c r="R8460" t="s" s="16">
        <f>HYPERLINK("http://secrets.rutgers.edu:8080/data/asl-ftp/asllvd/demos/verify_start_end_handshape_annotations//test_auto_move//signs_mov_separ_signers/Liz_2271.mov","MOV")</f>
        <v>21</v>
      </c>
    </row>
    <row r="8461" s="2" customFormat="1" ht="13.5" customHeight="1">
      <c r="B8461" s="13"/>
      <c r="C8461" t="s" s="9">
        <v>30</v>
      </c>
      <c r="D8461" t="s" s="8">
        <v>3049</v>
      </c>
      <c r="E8461" t="s" s="9">
        <v>3049</v>
      </c>
      <c r="F8461" s="19">
        <v>25</v>
      </c>
      <c r="G8461" s="17">
        <v>25</v>
      </c>
      <c r="H8461" s="19">
        <v>25</v>
      </c>
      <c r="I8461" s="17">
        <v>25</v>
      </c>
      <c r="J8461" t="s" s="11">
        <v>20</v>
      </c>
      <c r="K8461" t="s" s="16">
        <f>HYPERLINK("http://csr.bu.edu/ftp/asl/asllvd/demos/verify_start_end_handshape_annotations//test_auto_move//signs_mov/2271.mov","MOV")</f>
        <v>21</v>
      </c>
      <c r="L8461" t="s" s="16">
        <f>HYPERLINK("http://csr.bu.edu/ftp/asl/asllvd/demos/verify_start_end_handshape_annotations//test_auto_move//signs_mov_separ_signers/Brady_2271.mov","MOV")</f>
        <v>21</v>
      </c>
      <c r="M8461" t="s" s="10">
        <v>40</v>
      </c>
      <c r="N8461" s="17">
        <v>82</v>
      </c>
      <c r="O8461" s="18">
        <v>1190</v>
      </c>
      <c r="P8461" s="18">
        <v>1209</v>
      </c>
      <c r="Q8461" t="s" s="16">
        <f>HYPERLINK("http://secrets.rutgers.edu:8080/data/asl-ftp/asllvd/demos/verify_start_end_handshape_annotations//test_auto_move//signs_mov/2271.mov","MOV")</f>
        <v>21</v>
      </c>
      <c r="R8461" t="s" s="16">
        <f>HYPERLINK("http://secrets.rutgers.edu:8080/data/asl-ftp/asllvd/demos/verify_start_end_handshape_annotations//test_auto_move//signs_mov_separ_signers/Brady_2271.mov","MOV")</f>
        <v>21</v>
      </c>
    </row>
    <row r="8462" s="2" customFormat="1" ht="13.5" customHeight="1">
      <c r="B8462" s="13"/>
      <c r="C8462" t="s" s="9">
        <v>43</v>
      </c>
      <c r="D8462" t="s" s="8">
        <v>3049</v>
      </c>
      <c r="E8462" t="s" s="9">
        <v>3049</v>
      </c>
      <c r="F8462" s="19">
        <v>25</v>
      </c>
      <c r="G8462" s="17">
        <v>25</v>
      </c>
      <c r="H8462" s="19">
        <v>25</v>
      </c>
      <c r="I8462" s="17">
        <v>25</v>
      </c>
      <c r="J8462" t="s" s="11">
        <v>20</v>
      </c>
      <c r="K8462" s="15"/>
      <c r="L8462" t="s" s="16">
        <f>HYPERLINK("http://csr.bu.edu/ftp/asl/asllvd/demos/verify_start_end_handshape_annotations//test_auto_move//signs_mov_separ_signers/Dana_2271.mov","MOV")</f>
        <v>21</v>
      </c>
      <c r="M8462" t="s" s="10">
        <v>44</v>
      </c>
      <c r="N8462" s="17">
        <v>27</v>
      </c>
      <c r="O8462" s="18">
        <v>821</v>
      </c>
      <c r="P8462" s="18">
        <v>839</v>
      </c>
      <c r="Q8462" s="15"/>
      <c r="R8462" t="s" s="16">
        <f>HYPERLINK("http://secrets.rutgers.edu:8080/data/asl-ftp/asllvd/demos/verify_start_end_handshape_annotations//test_auto_move//signs_mov_separ_signers/Dana_2271.mov","MOV")</f>
        <v>21</v>
      </c>
    </row>
    <row r="8463" s="2" customFormat="1" ht="13.5" customHeight="1">
      <c r="B8463" t="s" s="8">
        <v>3050</v>
      </c>
      <c r="C8463" t="s" s="9">
        <v>14</v>
      </c>
      <c r="D8463" t="s" s="8">
        <v>14</v>
      </c>
      <c r="E8463" t="s" s="9">
        <v>14</v>
      </c>
      <c r="F8463" t="s" s="10">
        <v>14</v>
      </c>
      <c r="G8463" t="s" s="11">
        <v>14</v>
      </c>
      <c r="H8463" t="s" s="10">
        <v>14</v>
      </c>
      <c r="I8463" t="s" s="11">
        <v>14</v>
      </c>
      <c r="J8463" t="s" s="11">
        <v>14</v>
      </c>
      <c r="K8463" t="s" s="12">
        <v>14</v>
      </c>
      <c r="L8463" t="s" s="12">
        <v>14</v>
      </c>
      <c r="M8463" t="s" s="10">
        <v>14</v>
      </c>
      <c r="N8463" t="s" s="11">
        <v>14</v>
      </c>
      <c r="O8463" t="s" s="8">
        <v>14</v>
      </c>
      <c r="P8463" t="s" s="8">
        <v>14</v>
      </c>
      <c r="Q8463" t="s" s="12">
        <v>14</v>
      </c>
      <c r="R8463" t="s" s="12">
        <v>14</v>
      </c>
    </row>
    <row r="8464" s="2" customFormat="1" ht="13.5" customHeight="1">
      <c r="B8464" s="13"/>
      <c r="C8464" t="s" s="9">
        <v>16</v>
      </c>
      <c r="D8464" t="s" s="8">
        <v>3050</v>
      </c>
      <c r="E8464" t="s" s="9">
        <v>3050</v>
      </c>
      <c r="F8464" t="s" s="10">
        <v>73</v>
      </c>
      <c r="G8464" s="14"/>
      <c r="H8464" t="s" s="10">
        <v>73</v>
      </c>
      <c r="I8464" s="14"/>
      <c r="J8464" t="s" s="11">
        <v>20</v>
      </c>
      <c r="K8464" t="s" s="16">
        <f>HYPERLINK("http://csr.bu.edu/ftp/asl/asllvd/demos/verify_start_end_handshape_annotations//test_auto_move//signs_mov/2273.mov","MOV")</f>
        <v>21</v>
      </c>
      <c r="L8464" t="s" s="16">
        <f>HYPERLINK("http://csr.bu.edu/ftp/asl/asllvd/demos/verify_start_end_handshape_annotations//test_auto_move//signs_mov_separ_signers/Liz_2273.mov","MOV")</f>
        <v>21</v>
      </c>
      <c r="M8464" t="s" s="10">
        <v>36</v>
      </c>
      <c r="N8464" s="17">
        <v>31</v>
      </c>
      <c r="O8464" s="18">
        <v>1527</v>
      </c>
      <c r="P8464" s="18">
        <v>1573</v>
      </c>
      <c r="Q8464" t="s" s="16">
        <f>HYPERLINK("http://secrets.rutgers.edu:8080/data/asl-ftp/asllvd/demos/verify_start_end_handshape_annotations//test_auto_move//signs_mov/2273.mov","MOV")</f>
        <v>21</v>
      </c>
      <c r="R8464" t="s" s="16">
        <f>HYPERLINK("http://secrets.rutgers.edu:8080/data/asl-ftp/asllvd/demos/verify_start_end_handshape_annotations//test_auto_move//signs_mov_separ_signers/Liz_2273.mov","MOV")</f>
        <v>21</v>
      </c>
    </row>
    <row r="8465" s="2" customFormat="1" ht="13.5" customHeight="1">
      <c r="B8465" s="13"/>
      <c r="C8465" t="s" s="9">
        <v>30</v>
      </c>
      <c r="D8465" t="s" s="8">
        <v>3050</v>
      </c>
      <c r="E8465" t="s" s="9">
        <v>3050</v>
      </c>
      <c r="F8465" t="s" s="10">
        <v>73</v>
      </c>
      <c r="G8465" s="14"/>
      <c r="H8465" t="s" s="10">
        <v>73</v>
      </c>
      <c r="I8465" s="14"/>
      <c r="J8465" t="s" s="11">
        <v>20</v>
      </c>
      <c r="K8465" s="15"/>
      <c r="L8465" t="s" s="16">
        <f>HYPERLINK("http://csr.bu.edu/ftp/asl/asllvd/demos/verify_start_end_handshape_annotations//test_auto_move//signs_mov_separ_signers/Brady_2273.mov","MOV")</f>
        <v>21</v>
      </c>
      <c r="M8465" t="s" s="10">
        <v>40</v>
      </c>
      <c r="N8465" s="17">
        <v>82</v>
      </c>
      <c r="O8465" s="18">
        <v>1641</v>
      </c>
      <c r="P8465" s="18">
        <v>1661</v>
      </c>
      <c r="Q8465" s="15"/>
      <c r="R8465" t="s" s="16">
        <f>HYPERLINK("http://secrets.rutgers.edu:8080/data/asl-ftp/asllvd/demos/verify_start_end_handshape_annotations//test_auto_move//signs_mov_separ_signers/Brady_2273.mov","MOV")</f>
        <v>21</v>
      </c>
    </row>
    <row r="8466" s="2" customFormat="1" ht="13.5" customHeight="1">
      <c r="B8466" t="s" s="8">
        <v>3051</v>
      </c>
      <c r="C8466" t="s" s="9">
        <v>14</v>
      </c>
      <c r="D8466" t="s" s="8">
        <v>14</v>
      </c>
      <c r="E8466" t="s" s="9">
        <v>14</v>
      </c>
      <c r="F8466" t="s" s="10">
        <v>14</v>
      </c>
      <c r="G8466" t="s" s="11">
        <v>14</v>
      </c>
      <c r="H8466" t="s" s="10">
        <v>14</v>
      </c>
      <c r="I8466" t="s" s="11">
        <v>14</v>
      </c>
      <c r="J8466" t="s" s="11">
        <v>14</v>
      </c>
      <c r="K8466" t="s" s="12">
        <v>14</v>
      </c>
      <c r="L8466" t="s" s="12">
        <v>14</v>
      </c>
      <c r="M8466" t="s" s="10">
        <v>14</v>
      </c>
      <c r="N8466" t="s" s="11">
        <v>14</v>
      </c>
      <c r="O8466" t="s" s="8">
        <v>14</v>
      </c>
      <c r="P8466" t="s" s="8">
        <v>14</v>
      </c>
      <c r="Q8466" t="s" s="12">
        <v>14</v>
      </c>
      <c r="R8466" t="s" s="12">
        <v>14</v>
      </c>
    </row>
    <row r="8467" s="2" customFormat="1" ht="27.75" customHeight="1">
      <c r="B8467" s="13"/>
      <c r="C8467" t="s" s="9">
        <v>16</v>
      </c>
      <c r="D8467" t="s" s="8">
        <v>3052</v>
      </c>
      <c r="E8467" t="s" s="9">
        <v>3053</v>
      </c>
      <c r="F8467" t="s" s="10">
        <v>68</v>
      </c>
      <c r="G8467" t="s" s="11">
        <v>68</v>
      </c>
      <c r="H8467" t="s" s="10">
        <v>72</v>
      </c>
      <c r="I8467" t="s" s="11">
        <v>72</v>
      </c>
      <c r="J8467" t="s" s="11">
        <v>20</v>
      </c>
      <c r="K8467" t="s" s="16">
        <f>HYPERLINK("http://csr.bu.edu/ftp/asl/asllvd/demos/verify_start_end_handshape_annotations//test_auto_move//signs_mov/2276.mov","MOV")</f>
        <v>21</v>
      </c>
      <c r="L8467" t="s" s="16">
        <f>HYPERLINK("http://csr.bu.edu/ftp/asl/asllvd/demos/verify_start_end_handshape_annotations//test_auto_move//signs_mov_separ_signers/Liz_2276.mov","MOV")</f>
        <v>21</v>
      </c>
      <c r="M8467" t="s" s="10">
        <v>36</v>
      </c>
      <c r="N8467" s="17">
        <v>31</v>
      </c>
      <c r="O8467" s="18">
        <v>2516</v>
      </c>
      <c r="P8467" s="18">
        <v>2580</v>
      </c>
      <c r="Q8467" t="s" s="16">
        <f>HYPERLINK("http://secrets.rutgers.edu:8080/data/asl-ftp/asllvd/demos/verify_start_end_handshape_annotations//test_auto_move//signs_mov/2276.mov","MOV")</f>
        <v>21</v>
      </c>
      <c r="R8467" t="s" s="16">
        <f>HYPERLINK("http://secrets.rutgers.edu:8080/data/asl-ftp/asllvd/demos/verify_start_end_handshape_annotations//test_auto_move//signs_mov_separ_signers/Liz_2276.mov","MOV")</f>
        <v>21</v>
      </c>
    </row>
    <row r="8468" s="2" customFormat="1" ht="27.75" customHeight="1">
      <c r="B8468" s="13"/>
      <c r="C8468" t="s" s="9">
        <v>30</v>
      </c>
      <c r="D8468" t="s" s="8">
        <v>3052</v>
      </c>
      <c r="E8468" t="s" s="9">
        <v>3053</v>
      </c>
      <c r="F8468" t="s" s="10">
        <v>68</v>
      </c>
      <c r="G8468" t="s" s="11">
        <v>68</v>
      </c>
      <c r="H8468" t="s" s="10">
        <v>72</v>
      </c>
      <c r="I8468" t="s" s="11">
        <v>72</v>
      </c>
      <c r="J8468" t="s" s="11">
        <v>20</v>
      </c>
      <c r="K8468" s="15"/>
      <c r="L8468" t="s" s="16">
        <f>HYPERLINK("http://csr.bu.edu/ftp/asl/asllvd/demos/verify_start_end_handshape_annotations//test_auto_move//signs_mov_separ_signers/Brady_2276.mov","MOV")</f>
        <v>21</v>
      </c>
      <c r="M8468" t="s" s="10">
        <v>40</v>
      </c>
      <c r="N8468" s="17">
        <v>82</v>
      </c>
      <c r="O8468" s="18">
        <v>1900</v>
      </c>
      <c r="P8468" s="18">
        <v>1950</v>
      </c>
      <c r="Q8468" s="15"/>
      <c r="R8468" t="s" s="16">
        <f>HYPERLINK("http://secrets.rutgers.edu:8080/data/asl-ftp/asllvd/demos/verify_start_end_handshape_annotations//test_auto_move//signs_mov_separ_signers/Brady_2276.mov","MOV")</f>
        <v>21</v>
      </c>
    </row>
    <row r="8469" s="2" customFormat="1" ht="13.5" customHeight="1">
      <c r="B8469" t="s" s="8">
        <v>3054</v>
      </c>
      <c r="C8469" t="s" s="9">
        <v>14</v>
      </c>
      <c r="D8469" t="s" s="8">
        <v>14</v>
      </c>
      <c r="E8469" t="s" s="9">
        <v>14</v>
      </c>
      <c r="F8469" t="s" s="10">
        <v>14</v>
      </c>
      <c r="G8469" t="s" s="11">
        <v>14</v>
      </c>
      <c r="H8469" t="s" s="10">
        <v>14</v>
      </c>
      <c r="I8469" t="s" s="11">
        <v>14</v>
      </c>
      <c r="J8469" t="s" s="11">
        <v>14</v>
      </c>
      <c r="K8469" t="s" s="12">
        <v>14</v>
      </c>
      <c r="L8469" t="s" s="12">
        <v>14</v>
      </c>
      <c r="M8469" t="s" s="10">
        <v>14</v>
      </c>
      <c r="N8469" t="s" s="11">
        <v>14</v>
      </c>
      <c r="O8469" t="s" s="8">
        <v>14</v>
      </c>
      <c r="P8469" t="s" s="8">
        <v>14</v>
      </c>
      <c r="Q8469" t="s" s="12">
        <v>14</v>
      </c>
      <c r="R8469" t="s" s="12">
        <v>14</v>
      </c>
    </row>
    <row r="8470" s="2" customFormat="1" ht="13.5" customHeight="1">
      <c r="B8470" s="13"/>
      <c r="C8470" t="s" s="9">
        <v>16</v>
      </c>
      <c r="D8470" t="s" s="8">
        <v>3054</v>
      </c>
      <c r="E8470" t="s" s="9">
        <v>3054</v>
      </c>
      <c r="F8470" t="s" s="10">
        <v>240</v>
      </c>
      <c r="G8470" t="s" s="11">
        <v>73</v>
      </c>
      <c r="H8470" t="s" s="10">
        <v>240</v>
      </c>
      <c r="I8470" t="s" s="11">
        <v>73</v>
      </c>
      <c r="J8470" t="s" s="11">
        <v>20</v>
      </c>
      <c r="K8470" s="15"/>
      <c r="L8470" t="s" s="16">
        <f>HYPERLINK("http://csr.bu.edu/ftp/asl/asllvd/demos/verify_start_end_handshape_annotations//test_auto_move//signs_mov_separ_signers/Liz_2277.mov","MOV")</f>
        <v>21</v>
      </c>
      <c r="M8470" t="s" s="10">
        <v>36</v>
      </c>
      <c r="N8470" s="17">
        <v>8</v>
      </c>
      <c r="O8470" s="18">
        <v>3020</v>
      </c>
      <c r="P8470" s="18">
        <v>3077</v>
      </c>
      <c r="Q8470" s="15"/>
      <c r="R8470" t="s" s="16">
        <f>HYPERLINK("http://secrets.rutgers.edu:8080/data/asl-ftp/asllvd/demos/verify_start_end_handshape_annotations//test_auto_move//signs_mov_separ_signers/Liz_2277.mov","MOV")</f>
        <v>21</v>
      </c>
    </row>
    <row r="8471" s="2" customFormat="1" ht="13.5" customHeight="1">
      <c r="B8471" s="13"/>
      <c r="C8471" t="s" s="9">
        <v>30</v>
      </c>
      <c r="D8471" t="s" s="8">
        <v>3054</v>
      </c>
      <c r="E8471" t="s" s="9">
        <v>3054</v>
      </c>
      <c r="F8471" t="s" s="10">
        <v>240</v>
      </c>
      <c r="G8471" t="s" s="11">
        <v>73</v>
      </c>
      <c r="H8471" t="s" s="10">
        <v>240</v>
      </c>
      <c r="I8471" t="s" s="11">
        <v>73</v>
      </c>
      <c r="J8471" t="s" s="11">
        <v>20</v>
      </c>
      <c r="K8471" t="s" s="16">
        <f>HYPERLINK("http://csr.bu.edu/ftp/asl/asllvd/demos/verify_start_end_handshape_annotations//test_auto_move//signs_mov/2277_3899_5680_merged.mov","MOV")</f>
        <v>21</v>
      </c>
      <c r="L8471" t="s" s="16">
        <f>HYPERLINK("http://csr.bu.edu/ftp/asl/asllvd/demos/verify_start_end_handshape_annotations//test_auto_move//signs_mov_separ_signers/Brady_2277.mov","MOV")</f>
        <v>21</v>
      </c>
      <c r="M8471" t="s" s="10">
        <v>31</v>
      </c>
      <c r="N8471" s="17">
        <v>30</v>
      </c>
      <c r="O8471" s="18">
        <v>2868</v>
      </c>
      <c r="P8471" s="18">
        <v>2885</v>
      </c>
      <c r="Q8471" t="s" s="16">
        <f>HYPERLINK("http://secrets.rutgers.edu:8080/data/asl-ftp/asllvd/demos/verify_start_end_handshape_annotations//test_auto_move//signs_mov/2277_3899_5680_merged.mov","MOV")</f>
        <v>21</v>
      </c>
      <c r="R8471" t="s" s="16">
        <f>HYPERLINK("http://secrets.rutgers.edu:8080/data/asl-ftp/asllvd/demos/verify_start_end_handshape_annotations//test_auto_move//signs_mov_separ_signers/Brady_2277.mov","MOV")</f>
        <v>21</v>
      </c>
    </row>
    <row r="8472" s="2" customFormat="1" ht="13.5" customHeight="1">
      <c r="B8472" s="13"/>
      <c r="C8472" t="s" s="9">
        <v>30</v>
      </c>
      <c r="D8472" t="s" s="8">
        <v>3054</v>
      </c>
      <c r="E8472" t="s" s="9">
        <v>3054</v>
      </c>
      <c r="F8472" t="s" s="10">
        <v>240</v>
      </c>
      <c r="G8472" t="s" s="11">
        <v>73</v>
      </c>
      <c r="H8472" t="s" s="10">
        <v>240</v>
      </c>
      <c r="I8472" t="s" s="11">
        <v>73</v>
      </c>
      <c r="J8472" t="s" s="11">
        <v>20</v>
      </c>
      <c r="K8472" s="15"/>
      <c r="L8472" t="s" s="16">
        <f>HYPERLINK("http://csr.bu.edu/ftp/asl/asllvd/demos/verify_start_end_handshape_annotations//test_auto_move//signs_mov_separ_signers/Brady_3899.mov","MOV")</f>
        <v>21</v>
      </c>
      <c r="M8472" t="s" s="10">
        <v>40</v>
      </c>
      <c r="N8472" s="17">
        <v>53</v>
      </c>
      <c r="O8472" s="18">
        <v>2105</v>
      </c>
      <c r="P8472" s="18">
        <v>2127</v>
      </c>
      <c r="Q8472" s="15"/>
      <c r="R8472" t="s" s="16">
        <f>HYPERLINK("http://secrets.rutgers.edu:8080/data/asl-ftp/asllvd/demos/verify_start_end_handshape_annotations//test_auto_move//signs_mov_separ_signers/Brady_3899.mov","MOV")</f>
        <v>21</v>
      </c>
    </row>
    <row r="8473" s="2" customFormat="1" ht="13.5" customHeight="1">
      <c r="B8473" s="13"/>
      <c r="C8473" t="s" s="9">
        <v>30</v>
      </c>
      <c r="D8473" t="s" s="8">
        <v>3054</v>
      </c>
      <c r="E8473" t="s" s="9">
        <v>3054</v>
      </c>
      <c r="F8473" t="s" s="10">
        <v>240</v>
      </c>
      <c r="G8473" t="s" s="11">
        <v>73</v>
      </c>
      <c r="H8473" t="s" s="10">
        <v>240</v>
      </c>
      <c r="I8473" t="s" s="11">
        <v>73</v>
      </c>
      <c r="J8473" t="s" s="11">
        <v>20</v>
      </c>
      <c r="K8473" s="15"/>
      <c r="L8473" t="s" s="16">
        <f>HYPERLINK("http://csr.bu.edu/ftp/asl/asllvd/demos/verify_start_end_handshape_annotations//test_auto_move//signs_mov_separ_signers/Brady_5680.mov","MOV")</f>
        <v>21</v>
      </c>
      <c r="M8473" t="s" s="10">
        <v>40</v>
      </c>
      <c r="N8473" s="17">
        <v>82</v>
      </c>
      <c r="O8473" s="18">
        <v>2672</v>
      </c>
      <c r="P8473" s="18">
        <v>2691</v>
      </c>
      <c r="Q8473" s="15"/>
      <c r="R8473" t="s" s="16">
        <f>HYPERLINK("http://secrets.rutgers.edu:8080/data/asl-ftp/asllvd/demos/verify_start_end_handshape_annotations//test_auto_move//signs_mov_separ_signers/Brady_5680.mov","MOV")</f>
        <v>21</v>
      </c>
    </row>
    <row r="8474" s="2" customFormat="1" ht="13.5" customHeight="1">
      <c r="B8474" t="s" s="8">
        <v>52</v>
      </c>
      <c r="C8474" t="s" s="9">
        <v>53</v>
      </c>
      <c r="D8474" t="s" s="8">
        <v>53</v>
      </c>
      <c r="E8474" t="s" s="9">
        <v>53</v>
      </c>
      <c r="F8474" t="s" s="10">
        <v>53</v>
      </c>
      <c r="G8474" t="s" s="11">
        <v>53</v>
      </c>
      <c r="H8474" t="s" s="10">
        <v>53</v>
      </c>
      <c r="I8474" t="s" s="11">
        <v>53</v>
      </c>
      <c r="J8474" t="s" s="11">
        <v>53</v>
      </c>
      <c r="K8474" t="s" s="12">
        <v>53</v>
      </c>
      <c r="L8474" t="s" s="12">
        <v>53</v>
      </c>
      <c r="M8474" t="s" s="10">
        <v>53</v>
      </c>
      <c r="N8474" t="s" s="11">
        <v>53</v>
      </c>
      <c r="O8474" t="s" s="8">
        <v>53</v>
      </c>
      <c r="P8474" t="s" s="8">
        <v>53</v>
      </c>
      <c r="Q8474" t="s" s="12">
        <v>53</v>
      </c>
      <c r="R8474" t="s" s="12">
        <v>53</v>
      </c>
    </row>
    <row r="8475" s="2" customFormat="1" ht="13.5" customHeight="1">
      <c r="B8475" s="13"/>
      <c r="C8475" t="s" s="9">
        <v>16</v>
      </c>
      <c r="D8475" t="s" s="8">
        <v>3054</v>
      </c>
      <c r="E8475" t="s" s="9">
        <v>3055</v>
      </c>
      <c r="F8475" t="s" s="10">
        <v>240</v>
      </c>
      <c r="G8475" t="s" s="11">
        <v>73</v>
      </c>
      <c r="H8475" t="s" s="10">
        <v>240</v>
      </c>
      <c r="I8475" t="s" s="11">
        <v>73</v>
      </c>
      <c r="J8475" t="s" s="11">
        <v>20</v>
      </c>
      <c r="K8475" t="s" s="16">
        <f>HYPERLINK("http://csr.bu.edu/ftp/asl/asllvd/demos/verify_start_end_handshape_annotations//test_auto_move//signs_mov/16455_16456_merged.mov","MOV")</f>
        <v>21</v>
      </c>
      <c r="L8475" t="s" s="16">
        <f>HYPERLINK("http://csr.bu.edu/ftp/asl/asllvd/demos/verify_start_end_handshape_annotations//test_auto_move//signs_mov_separ_signers/Liz_16455.mov","MOV")</f>
        <v>21</v>
      </c>
      <c r="M8475" t="s" s="10">
        <v>36</v>
      </c>
      <c r="N8475" s="17">
        <v>31</v>
      </c>
      <c r="O8475" s="18">
        <v>2757</v>
      </c>
      <c r="P8475" s="18">
        <v>2799</v>
      </c>
      <c r="Q8475" t="s" s="16">
        <f>HYPERLINK("http://secrets.rutgers.edu:8080/data/asl-ftp/asllvd/demos/verify_start_end_handshape_annotations//test_auto_move//signs_mov/16455_16456_merged.mov","MOV")</f>
        <v>21</v>
      </c>
      <c r="R8475" t="s" s="16">
        <f>HYPERLINK("http://secrets.rutgers.edu:8080/data/asl-ftp/asllvd/demos/verify_start_end_handshape_annotations//test_auto_move//signs_mov_separ_signers/Liz_16455.mov","MOV")</f>
        <v>21</v>
      </c>
    </row>
    <row r="8476" s="2" customFormat="1" ht="13.5" customHeight="1">
      <c r="B8476" s="13"/>
      <c r="C8476" t="s" s="9">
        <v>16</v>
      </c>
      <c r="D8476" t="s" s="8">
        <v>3054</v>
      </c>
      <c r="E8476" t="s" s="9">
        <v>3055</v>
      </c>
      <c r="F8476" t="s" s="10">
        <v>240</v>
      </c>
      <c r="G8476" t="s" s="11">
        <v>73</v>
      </c>
      <c r="H8476" t="s" s="10">
        <v>240</v>
      </c>
      <c r="I8476" t="s" s="11">
        <v>73</v>
      </c>
      <c r="J8476" t="s" s="11">
        <v>20</v>
      </c>
      <c r="K8476" s="15"/>
      <c r="L8476" t="s" s="16">
        <f>HYPERLINK("http://csr.bu.edu/ftp/asl/asllvd/demos/verify_start_end_handshape_annotations//test_auto_move//signs_mov_separ_signers/Liz_16456.mov","MOV")</f>
        <v>21</v>
      </c>
      <c r="M8476" t="s" s="10">
        <v>77</v>
      </c>
      <c r="N8476" s="17">
        <v>26</v>
      </c>
      <c r="O8476" s="18">
        <v>1915</v>
      </c>
      <c r="P8476" s="18">
        <v>1976</v>
      </c>
      <c r="Q8476" s="15"/>
      <c r="R8476" t="s" s="16">
        <f>HYPERLINK("http://secrets.rutgers.edu:8080/data/asl-ftp/asllvd/demos/verify_start_end_handshape_annotations//test_auto_move//signs_mov_separ_signers/Liz_16456.mov","MOV")</f>
        <v>21</v>
      </c>
    </row>
    <row r="8477" s="2" customFormat="1" ht="13.5" customHeight="1">
      <c r="B8477" t="s" s="8">
        <v>3056</v>
      </c>
      <c r="C8477" t="s" s="9">
        <v>14</v>
      </c>
      <c r="D8477" t="s" s="8">
        <v>14</v>
      </c>
      <c r="E8477" t="s" s="9">
        <v>14</v>
      </c>
      <c r="F8477" t="s" s="10">
        <v>14</v>
      </c>
      <c r="G8477" t="s" s="11">
        <v>14</v>
      </c>
      <c r="H8477" t="s" s="10">
        <v>14</v>
      </c>
      <c r="I8477" t="s" s="11">
        <v>14</v>
      </c>
      <c r="J8477" t="s" s="11">
        <v>14</v>
      </c>
      <c r="K8477" t="s" s="12">
        <v>14</v>
      </c>
      <c r="L8477" t="s" s="12">
        <v>14</v>
      </c>
      <c r="M8477" t="s" s="10">
        <v>14</v>
      </c>
      <c r="N8477" t="s" s="11">
        <v>14</v>
      </c>
      <c r="O8477" t="s" s="8">
        <v>14</v>
      </c>
      <c r="P8477" t="s" s="8">
        <v>14</v>
      </c>
      <c r="Q8477" t="s" s="12">
        <v>14</v>
      </c>
      <c r="R8477" t="s" s="12">
        <v>14</v>
      </c>
    </row>
    <row r="8478" s="2" customFormat="1" ht="13.5" customHeight="1">
      <c r="B8478" s="13"/>
      <c r="C8478" t="s" s="9">
        <v>16</v>
      </c>
      <c r="D8478" t="s" s="8">
        <v>3056</v>
      </c>
      <c r="E8478" t="s" s="9">
        <v>3056</v>
      </c>
      <c r="F8478" t="s" s="10">
        <v>136</v>
      </c>
      <c r="G8478" s="14"/>
      <c r="H8478" t="s" s="10">
        <v>136</v>
      </c>
      <c r="I8478" s="14"/>
      <c r="J8478" t="s" s="11">
        <v>20</v>
      </c>
      <c r="K8478" s="15"/>
      <c r="L8478" t="s" s="16">
        <f>HYPERLINK("http://csr.bu.edu/ftp/asl/asllvd/demos/verify_start_end_handshape_annotations//test_auto_move//signs_mov_separ_signers/Liz_2278.mov","MOV")</f>
        <v>21</v>
      </c>
      <c r="M8478" t="s" s="10">
        <v>84</v>
      </c>
      <c r="N8478" s="17">
        <v>46</v>
      </c>
      <c r="O8478" s="18">
        <v>1590</v>
      </c>
      <c r="P8478" s="18">
        <v>1615</v>
      </c>
      <c r="Q8478" s="15"/>
      <c r="R8478" t="s" s="16">
        <f>HYPERLINK("http://secrets.rutgers.edu:8080/data/asl-ftp/asllvd/demos/verify_start_end_handshape_annotations//test_auto_move//signs_mov_separ_signers/Liz_2278.mov","MOV")</f>
        <v>21</v>
      </c>
    </row>
    <row r="8479" s="2" customFormat="1" ht="13.5" customHeight="1">
      <c r="B8479" s="13"/>
      <c r="C8479" t="s" s="9">
        <v>16</v>
      </c>
      <c r="D8479" t="s" s="8">
        <v>3056</v>
      </c>
      <c r="E8479" t="s" s="9">
        <v>3056</v>
      </c>
      <c r="F8479" t="s" s="10">
        <v>136</v>
      </c>
      <c r="G8479" s="14"/>
      <c r="H8479" t="s" s="10">
        <v>136</v>
      </c>
      <c r="I8479" s="14"/>
      <c r="J8479" t="s" s="11">
        <v>20</v>
      </c>
      <c r="K8479" s="15"/>
      <c r="L8479" t="s" s="16">
        <f>HYPERLINK("http://csr.bu.edu/ftp/asl/asllvd/demos/verify_start_end_handshape_annotations//test_auto_move//signs_mov_separ_signers/Liz_3547.mov","MOV")</f>
        <v>21</v>
      </c>
      <c r="M8479" t="s" s="10">
        <v>84</v>
      </c>
      <c r="N8479" s="17">
        <v>46</v>
      </c>
      <c r="O8479" s="18">
        <v>2400</v>
      </c>
      <c r="P8479" s="18">
        <v>2425</v>
      </c>
      <c r="Q8479" s="15"/>
      <c r="R8479" t="s" s="16">
        <f>HYPERLINK("http://secrets.rutgers.edu:8080/data/asl-ftp/asllvd/demos/verify_start_end_handshape_annotations//test_auto_move//signs_mov_separ_signers/Liz_3547.mov","MOV")</f>
        <v>21</v>
      </c>
    </row>
    <row r="8480" s="2" customFormat="1" ht="13.5" customHeight="1">
      <c r="B8480" s="13"/>
      <c r="C8480" t="s" s="9">
        <v>16</v>
      </c>
      <c r="D8480" t="s" s="8">
        <v>3056</v>
      </c>
      <c r="E8480" t="s" s="9">
        <v>3056</v>
      </c>
      <c r="F8480" t="s" s="10">
        <v>136</v>
      </c>
      <c r="G8480" s="14"/>
      <c r="H8480" t="s" s="10">
        <v>136</v>
      </c>
      <c r="I8480" s="14"/>
      <c r="J8480" t="s" s="11">
        <v>20</v>
      </c>
      <c r="K8480" s="15"/>
      <c r="L8480" t="s" s="16">
        <f>HYPERLINK("http://csr.bu.edu/ftp/asl/asllvd/demos/verify_start_end_handshape_annotations//test_auto_move//signs_mov_separ_signers/Liz_3551.mov","MOV")</f>
        <v>21</v>
      </c>
      <c r="M8480" t="s" s="10">
        <v>36</v>
      </c>
      <c r="N8480" s="17">
        <v>15</v>
      </c>
      <c r="O8480" s="18">
        <v>1315</v>
      </c>
      <c r="P8480" s="18">
        <v>1341</v>
      </c>
      <c r="Q8480" s="15"/>
      <c r="R8480" t="s" s="16">
        <f>HYPERLINK("http://secrets.rutgers.edu:8080/data/asl-ftp/asllvd/demos/verify_start_end_handshape_annotations//test_auto_move//signs_mov_separ_signers/Liz_3551.mov","MOV")</f>
        <v>21</v>
      </c>
    </row>
    <row r="8481" s="2" customFormat="1" ht="13.5" customHeight="1">
      <c r="B8481" s="13"/>
      <c r="C8481" t="s" s="9">
        <v>16</v>
      </c>
      <c r="D8481" t="s" s="8">
        <v>3056</v>
      </c>
      <c r="E8481" t="s" s="9">
        <v>3057</v>
      </c>
      <c r="F8481" t="s" s="10">
        <v>136</v>
      </c>
      <c r="G8481" s="14"/>
      <c r="H8481" t="s" s="10">
        <v>136</v>
      </c>
      <c r="I8481" s="14"/>
      <c r="J8481" t="s" s="11">
        <v>20</v>
      </c>
      <c r="K8481" s="15"/>
      <c r="L8481" t="s" s="16">
        <f>HYPERLINK("http://csr.bu.edu/ftp/asl/asllvd/demos/verify_start_end_handshape_annotations//test_auto_move//signs_mov_separ_signers/Liz_3559.mov","MOV")</f>
        <v>21</v>
      </c>
      <c r="M8481" t="s" s="10">
        <v>36</v>
      </c>
      <c r="N8481" s="17">
        <v>31</v>
      </c>
      <c r="O8481" s="18">
        <v>2987</v>
      </c>
      <c r="P8481" s="18">
        <v>3028</v>
      </c>
      <c r="Q8481" s="15"/>
      <c r="R8481" t="s" s="16">
        <f>HYPERLINK("http://secrets.rutgers.edu:8080/data/asl-ftp/asllvd/demos/verify_start_end_handshape_annotations//test_auto_move//signs_mov_separ_signers/Liz_3559.mov","MOV")</f>
        <v>21</v>
      </c>
    </row>
    <row r="8482" s="2" customFormat="1" ht="13.5" customHeight="1">
      <c r="B8482" s="13"/>
      <c r="C8482" t="s" s="9">
        <v>16</v>
      </c>
      <c r="D8482" t="s" s="8">
        <v>3056</v>
      </c>
      <c r="E8482" t="s" s="9">
        <v>3056</v>
      </c>
      <c r="F8482" t="s" s="10">
        <v>136</v>
      </c>
      <c r="G8482" s="14"/>
      <c r="H8482" t="s" s="10">
        <v>136</v>
      </c>
      <c r="I8482" s="14"/>
      <c r="J8482" t="s" s="11">
        <v>20</v>
      </c>
      <c r="K8482" s="15"/>
      <c r="L8482" t="s" s="16">
        <f>HYPERLINK("http://csr.bu.edu/ftp/asl/asllvd/demos/verify_start_end_handshape_annotations//test_auto_move//signs_mov_separ_signers/Liz_3907.mov","MOV")</f>
        <v>21</v>
      </c>
      <c r="M8482" t="s" s="10">
        <v>77</v>
      </c>
      <c r="N8482" s="17">
        <v>30</v>
      </c>
      <c r="O8482" s="18">
        <v>1740</v>
      </c>
      <c r="P8482" s="18">
        <v>1800</v>
      </c>
      <c r="Q8482" s="15"/>
      <c r="R8482" t="s" s="16">
        <f>HYPERLINK("http://secrets.rutgers.edu:8080/data/asl-ftp/asllvd/demos/verify_start_end_handshape_annotations//test_auto_move//signs_mov_separ_signers/Liz_3907.mov","MOV")</f>
        <v>21</v>
      </c>
    </row>
    <row r="8483" s="2" customFormat="1" ht="13.5" customHeight="1">
      <c r="B8483" s="13"/>
      <c r="C8483" t="s" s="9">
        <v>27</v>
      </c>
      <c r="D8483" t="s" s="8">
        <v>3056</v>
      </c>
      <c r="E8483" t="s" s="9">
        <v>3056</v>
      </c>
      <c r="F8483" t="s" s="10">
        <v>136</v>
      </c>
      <c r="G8483" s="14"/>
      <c r="H8483" t="s" s="10">
        <v>136</v>
      </c>
      <c r="I8483" s="14"/>
      <c r="J8483" t="s" s="11">
        <v>20</v>
      </c>
      <c r="K8483" s="15"/>
      <c r="L8483" t="s" s="16">
        <f>HYPERLINK("http://csr.bu.edu/ftp/asl/asllvd/demos/verify_start_end_handshape_annotations//test_auto_move//signs_mov_separ_signers/Naomi_2278.mov","MOV")</f>
        <v>21</v>
      </c>
      <c r="M8483" t="s" s="10">
        <v>86</v>
      </c>
      <c r="N8483" s="17">
        <v>46</v>
      </c>
      <c r="O8483" s="18">
        <v>1665</v>
      </c>
      <c r="P8483" s="18">
        <v>1680</v>
      </c>
      <c r="Q8483" s="15"/>
      <c r="R8483" t="s" s="16">
        <f>HYPERLINK("http://secrets.rutgers.edu:8080/data/asl-ftp/asllvd/demos/verify_start_end_handshape_annotations//test_auto_move//signs_mov_separ_signers/Naomi_2278.mov","MOV")</f>
        <v>21</v>
      </c>
    </row>
    <row r="8484" s="2" customFormat="1" ht="13.5" customHeight="1">
      <c r="B8484" s="13"/>
      <c r="C8484" t="s" s="9">
        <v>27</v>
      </c>
      <c r="D8484" t="s" s="8">
        <v>3056</v>
      </c>
      <c r="E8484" t="s" s="9">
        <v>3057</v>
      </c>
      <c r="F8484" t="s" s="10">
        <v>136</v>
      </c>
      <c r="G8484" s="14"/>
      <c r="H8484" t="s" s="10">
        <v>136</v>
      </c>
      <c r="I8484" s="14"/>
      <c r="J8484" t="s" s="11">
        <v>20</v>
      </c>
      <c r="K8484" t="s" s="16">
        <f>HYPERLINK("http://csr.bu.edu/ftp/asl/asllvd/demos/verify_start_end_handshape_annotations//test_auto_move//signs_mov/2278_3547_3551_3559_3907_merged.mov","MOV")</f>
        <v>21</v>
      </c>
      <c r="L8484" t="s" s="16">
        <f>HYPERLINK("http://csr.bu.edu/ftp/asl/asllvd/demos/verify_start_end_handshape_annotations//test_auto_move//signs_mov_separ_signers/Naomi_3547.mov","MOV")</f>
        <v>21</v>
      </c>
      <c r="M8484" t="s" s="10">
        <v>86</v>
      </c>
      <c r="N8484" s="17">
        <v>46</v>
      </c>
      <c r="O8484" s="18">
        <v>2330</v>
      </c>
      <c r="P8484" s="18">
        <v>2355</v>
      </c>
      <c r="Q8484" t="s" s="16">
        <f>HYPERLINK("http://secrets.rutgers.edu:8080/data/asl-ftp/asllvd/demos/verify_start_end_handshape_annotations//test_auto_move//signs_mov/2278_3547_3551_3559_3907_merged.mov","MOV")</f>
        <v>21</v>
      </c>
      <c r="R8484" t="s" s="16">
        <f>HYPERLINK("http://secrets.rutgers.edu:8080/data/asl-ftp/asllvd/demos/verify_start_end_handshape_annotations//test_auto_move//signs_mov_separ_signers/Naomi_3547.mov","MOV")</f>
        <v>21</v>
      </c>
    </row>
    <row r="8485" s="2" customFormat="1" ht="13.5" customHeight="1">
      <c r="B8485" s="13"/>
      <c r="C8485" t="s" s="9">
        <v>30</v>
      </c>
      <c r="D8485" t="s" s="8">
        <v>3056</v>
      </c>
      <c r="E8485" t="s" s="9">
        <v>3056</v>
      </c>
      <c r="F8485" t="s" s="10">
        <v>136</v>
      </c>
      <c r="G8485" s="14"/>
      <c r="H8485" t="s" s="10">
        <v>136</v>
      </c>
      <c r="I8485" s="14"/>
      <c r="J8485" t="s" s="11">
        <v>20</v>
      </c>
      <c r="K8485" s="15"/>
      <c r="L8485" t="s" s="16">
        <f>HYPERLINK("http://csr.bu.edu/ftp/asl/asllvd/demos/verify_start_end_handshape_annotations//test_auto_move//signs_mov_separ_signers/Brady_2278.mov","MOV")</f>
        <v>21</v>
      </c>
      <c r="M8485" t="s" s="10">
        <v>39</v>
      </c>
      <c r="N8485" s="17">
        <v>21</v>
      </c>
      <c r="O8485" s="18">
        <v>1907</v>
      </c>
      <c r="P8485" s="18">
        <v>1933</v>
      </c>
      <c r="Q8485" s="15"/>
      <c r="R8485" t="s" s="16">
        <f>HYPERLINK("http://secrets.rutgers.edu:8080/data/asl-ftp/asllvd/demos/verify_start_end_handshape_annotations//test_auto_move//signs_mov_separ_signers/Brady_2278.mov","MOV")</f>
        <v>21</v>
      </c>
    </row>
    <row r="8486" s="2" customFormat="1" ht="13.5" customHeight="1">
      <c r="B8486" s="13"/>
      <c r="C8486" t="s" s="9">
        <v>30</v>
      </c>
      <c r="D8486" t="s" s="8">
        <v>3056</v>
      </c>
      <c r="E8486" t="s" s="9">
        <v>3056</v>
      </c>
      <c r="F8486" t="s" s="10">
        <v>136</v>
      </c>
      <c r="G8486" s="14"/>
      <c r="H8486" t="s" s="10">
        <v>136</v>
      </c>
      <c r="I8486" s="14"/>
      <c r="J8486" t="s" s="11">
        <v>20</v>
      </c>
      <c r="K8486" s="15"/>
      <c r="L8486" t="s" s="16">
        <f>HYPERLINK("http://csr.bu.edu/ftp/asl/asllvd/demos/verify_start_end_handshape_annotations//test_auto_move//signs_mov_separ_signers/Brady_3547.mov","MOV")</f>
        <v>21</v>
      </c>
      <c r="M8486" t="s" s="10">
        <v>39</v>
      </c>
      <c r="N8486" s="17">
        <v>21</v>
      </c>
      <c r="O8486" s="18">
        <v>2523</v>
      </c>
      <c r="P8486" s="18">
        <v>2537</v>
      </c>
      <c r="Q8486" s="15"/>
      <c r="R8486" t="s" s="16">
        <f>HYPERLINK("http://secrets.rutgers.edu:8080/data/asl-ftp/asllvd/demos/verify_start_end_handshape_annotations//test_auto_move//signs_mov_separ_signers/Brady_3547.mov","MOV")</f>
        <v>21</v>
      </c>
    </row>
    <row r="8487" s="2" customFormat="1" ht="13.5" customHeight="1">
      <c r="B8487" s="13"/>
      <c r="C8487" t="s" s="9">
        <v>30</v>
      </c>
      <c r="D8487" t="s" s="8">
        <v>3056</v>
      </c>
      <c r="E8487" t="s" s="9">
        <v>3056</v>
      </c>
      <c r="F8487" t="s" s="10">
        <v>136</v>
      </c>
      <c r="G8487" s="14"/>
      <c r="H8487" t="s" s="10">
        <v>136</v>
      </c>
      <c r="I8487" s="14"/>
      <c r="J8487" t="s" s="11">
        <v>20</v>
      </c>
      <c r="K8487" s="15"/>
      <c r="L8487" t="s" s="16">
        <f>HYPERLINK("http://csr.bu.edu/ftp/asl/asllvd/demos/verify_start_end_handshape_annotations//test_auto_move//signs_mov_separ_signers/Brady_3551.mov","MOV")</f>
        <v>21</v>
      </c>
      <c r="M8487" t="s" s="10">
        <v>40</v>
      </c>
      <c r="N8487" s="17">
        <v>60</v>
      </c>
      <c r="O8487" s="18">
        <v>949</v>
      </c>
      <c r="P8487" s="18">
        <v>969</v>
      </c>
      <c r="Q8487" s="15"/>
      <c r="R8487" t="s" s="16">
        <f>HYPERLINK("http://secrets.rutgers.edu:8080/data/asl-ftp/asllvd/demos/verify_start_end_handshape_annotations//test_auto_move//signs_mov_separ_signers/Brady_3551.mov","MOV")</f>
        <v>21</v>
      </c>
    </row>
    <row r="8488" s="2" customFormat="1" ht="13.5" customHeight="1">
      <c r="B8488" s="13"/>
      <c r="C8488" t="s" s="9">
        <v>30</v>
      </c>
      <c r="D8488" t="s" s="8">
        <v>3056</v>
      </c>
      <c r="E8488" t="s" s="9">
        <v>3056</v>
      </c>
      <c r="F8488" t="s" s="10">
        <v>136</v>
      </c>
      <c r="G8488" s="14"/>
      <c r="H8488" t="s" s="10">
        <v>136</v>
      </c>
      <c r="I8488" s="14"/>
      <c r="J8488" t="s" s="11">
        <v>20</v>
      </c>
      <c r="K8488" s="15"/>
      <c r="L8488" t="s" s="16">
        <f>HYPERLINK("http://csr.bu.edu/ftp/asl/asllvd/demos/verify_start_end_handshape_annotations//test_auto_move//signs_mov_separ_signers/Brady_3559.mov","MOV")</f>
        <v>21</v>
      </c>
      <c r="M8488" t="s" s="10">
        <v>40</v>
      </c>
      <c r="N8488" s="17">
        <v>82</v>
      </c>
      <c r="O8488" s="18">
        <v>2926</v>
      </c>
      <c r="P8488" s="18">
        <v>2964</v>
      </c>
      <c r="Q8488" s="15"/>
      <c r="R8488" t="s" s="16">
        <f>HYPERLINK("http://secrets.rutgers.edu:8080/data/asl-ftp/asllvd/demos/verify_start_end_handshape_annotations//test_auto_move//signs_mov_separ_signers/Brady_3559.mov","MOV")</f>
        <v>21</v>
      </c>
    </row>
    <row r="8489" s="2" customFormat="1" ht="13.5" customHeight="1">
      <c r="B8489" s="13"/>
      <c r="C8489" t="s" s="9">
        <v>30</v>
      </c>
      <c r="D8489" t="s" s="8">
        <v>3056</v>
      </c>
      <c r="E8489" t="s" s="9">
        <v>3056</v>
      </c>
      <c r="F8489" t="s" s="10">
        <v>136</v>
      </c>
      <c r="G8489" s="14"/>
      <c r="H8489" t="s" s="10">
        <v>136</v>
      </c>
      <c r="I8489" s="14"/>
      <c r="J8489" t="s" s="11">
        <v>20</v>
      </c>
      <c r="K8489" s="15"/>
      <c r="L8489" t="s" s="16">
        <f>HYPERLINK("http://csr.bu.edu/ftp/asl/asllvd/demos/verify_start_end_handshape_annotations//test_auto_move//signs_mov_separ_signers/Brady_3907.mov","MOV")</f>
        <v>21</v>
      </c>
      <c r="M8489" t="s" s="10">
        <v>40</v>
      </c>
      <c r="N8489" s="17">
        <v>83</v>
      </c>
      <c r="O8489" s="18">
        <v>136</v>
      </c>
      <c r="P8489" s="18">
        <v>157</v>
      </c>
      <c r="Q8489" s="15"/>
      <c r="R8489" t="s" s="16">
        <f>HYPERLINK("http://secrets.rutgers.edu:8080/data/asl-ftp/asllvd/demos/verify_start_end_handshape_annotations//test_auto_move//signs_mov_separ_signers/Brady_3907.mov","MOV")</f>
        <v>21</v>
      </c>
    </row>
    <row r="8490" s="2" customFormat="1" ht="13.5" customHeight="1">
      <c r="B8490" s="13"/>
      <c r="C8490" t="s" s="9">
        <v>41</v>
      </c>
      <c r="D8490" t="s" s="8">
        <v>3056</v>
      </c>
      <c r="E8490" t="s" s="9">
        <v>3057</v>
      </c>
      <c r="F8490" t="s" s="10">
        <v>136</v>
      </c>
      <c r="G8490" s="14"/>
      <c r="H8490" t="s" s="10">
        <v>136</v>
      </c>
      <c r="I8490" s="14"/>
      <c r="J8490" t="s" s="11">
        <v>20</v>
      </c>
      <c r="K8490" s="15"/>
      <c r="L8490" t="s" s="16">
        <f>HYPERLINK("http://csr.bu.edu/ftp/asl/asllvd/demos/verify_start_end_handshape_annotations//test_auto_move//signs_mov_separ_signers/Lana_2278.mov","MOV")</f>
        <v>21</v>
      </c>
      <c r="M8490" t="s" s="10">
        <v>42</v>
      </c>
      <c r="N8490" s="17">
        <v>24</v>
      </c>
      <c r="O8490" s="18">
        <v>1833</v>
      </c>
      <c r="P8490" s="18">
        <v>1856</v>
      </c>
      <c r="Q8490" s="15"/>
      <c r="R8490" t="s" s="16">
        <f>HYPERLINK("http://secrets.rutgers.edu:8080/data/asl-ftp/asllvd/demos/verify_start_end_handshape_annotations//test_auto_move//signs_mov_separ_signers/Lana_2278.mov","MOV")</f>
        <v>21</v>
      </c>
    </row>
    <row r="8491" s="2" customFormat="1" ht="13.5" customHeight="1">
      <c r="B8491" s="13"/>
      <c r="C8491" t="s" s="9">
        <v>43</v>
      </c>
      <c r="D8491" t="s" s="8">
        <v>3056</v>
      </c>
      <c r="E8491" t="s" s="9">
        <v>3057</v>
      </c>
      <c r="F8491" t="s" s="10">
        <v>136</v>
      </c>
      <c r="G8491" s="14"/>
      <c r="H8491" t="s" s="10">
        <v>136</v>
      </c>
      <c r="I8491" s="14"/>
      <c r="J8491" t="s" s="11">
        <v>20</v>
      </c>
      <c r="K8491" s="15"/>
      <c r="L8491" t="s" s="16">
        <f>HYPERLINK("http://csr.bu.edu/ftp/asl/asllvd/demos/verify_start_end_handshape_annotations//test_auto_move//signs_mov_separ_signers/Dana_2278.mov","MOV")</f>
        <v>21</v>
      </c>
      <c r="M8491" t="s" s="10">
        <v>44</v>
      </c>
      <c r="N8491" s="17">
        <v>26</v>
      </c>
      <c r="O8491" s="18">
        <v>1849</v>
      </c>
      <c r="P8491" s="18">
        <v>1896</v>
      </c>
      <c r="Q8491" s="15"/>
      <c r="R8491" t="s" s="16">
        <f>HYPERLINK("http://secrets.rutgers.edu:8080/data/asl-ftp/asllvd/demos/verify_start_end_handshape_annotations//test_auto_move//signs_mov_separ_signers/Dana_2278.mov","MOV")</f>
        <v>21</v>
      </c>
    </row>
    <row r="8492" s="2" customFormat="1" ht="13.5" customHeight="1">
      <c r="B8492" t="s" s="8">
        <v>3058</v>
      </c>
      <c r="C8492" t="s" s="9">
        <v>14</v>
      </c>
      <c r="D8492" t="s" s="8">
        <v>14</v>
      </c>
      <c r="E8492" t="s" s="9">
        <v>14</v>
      </c>
      <c r="F8492" t="s" s="10">
        <v>14</v>
      </c>
      <c r="G8492" t="s" s="11">
        <v>14</v>
      </c>
      <c r="H8492" t="s" s="10">
        <v>14</v>
      </c>
      <c r="I8492" t="s" s="11">
        <v>14</v>
      </c>
      <c r="J8492" t="s" s="11">
        <v>14</v>
      </c>
      <c r="K8492" t="s" s="12">
        <v>14</v>
      </c>
      <c r="L8492" t="s" s="12">
        <v>14</v>
      </c>
      <c r="M8492" t="s" s="10">
        <v>14</v>
      </c>
      <c r="N8492" t="s" s="11">
        <v>14</v>
      </c>
      <c r="O8492" t="s" s="8">
        <v>14</v>
      </c>
      <c r="P8492" t="s" s="8">
        <v>14</v>
      </c>
      <c r="Q8492" t="s" s="12">
        <v>14</v>
      </c>
      <c r="R8492" t="s" s="12">
        <v>14</v>
      </c>
    </row>
    <row r="8493" s="2" customFormat="1" ht="13.5" customHeight="1">
      <c r="B8493" s="13"/>
      <c r="C8493" t="s" s="9">
        <v>16</v>
      </c>
      <c r="D8493" t="s" s="8">
        <v>3058</v>
      </c>
      <c r="E8493" t="s" s="9">
        <v>3058</v>
      </c>
      <c r="F8493" t="s" s="10">
        <v>68</v>
      </c>
      <c r="G8493" s="14"/>
      <c r="H8493" t="s" s="10">
        <v>68</v>
      </c>
      <c r="I8493" s="14"/>
      <c r="J8493" t="s" s="11">
        <v>20</v>
      </c>
      <c r="K8493" t="s" s="16">
        <f>HYPERLINK("http://csr.bu.edu/ftp/asl/asllvd/demos/verify_start_end_handshape_annotations//test_auto_move//signs_mov/2279.mov","MOV")</f>
        <v>21</v>
      </c>
      <c r="L8493" t="s" s="16">
        <f>HYPERLINK("http://csr.bu.edu/ftp/asl/asllvd/demos/verify_start_end_handshape_annotations//test_auto_move//signs_mov_separ_signers/Liz_2279.mov","MOV")</f>
        <v>21</v>
      </c>
      <c r="M8493" t="s" s="10">
        <v>36</v>
      </c>
      <c r="N8493" s="17">
        <v>31</v>
      </c>
      <c r="O8493" s="18">
        <v>3229</v>
      </c>
      <c r="P8493" s="18">
        <v>3265</v>
      </c>
      <c r="Q8493" t="s" s="16">
        <f>HYPERLINK("http://secrets.rutgers.edu:8080/data/asl-ftp/asllvd/demos/verify_start_end_handshape_annotations//test_auto_move//signs_mov/2279.mov","MOV")</f>
        <v>21</v>
      </c>
      <c r="R8493" t="s" s="16">
        <f>HYPERLINK("http://secrets.rutgers.edu:8080/data/asl-ftp/asllvd/demos/verify_start_end_handshape_annotations//test_auto_move//signs_mov_separ_signers/Liz_2279.mov","MOV")</f>
        <v>21</v>
      </c>
    </row>
    <row r="8494" s="2" customFormat="1" ht="13.5" customHeight="1">
      <c r="B8494" s="13"/>
      <c r="C8494" t="s" s="9">
        <v>30</v>
      </c>
      <c r="D8494" t="s" s="8">
        <v>3058</v>
      </c>
      <c r="E8494" t="s" s="9">
        <v>3058</v>
      </c>
      <c r="F8494" t="s" s="10">
        <v>68</v>
      </c>
      <c r="G8494" s="14"/>
      <c r="H8494" t="s" s="10">
        <v>68</v>
      </c>
      <c r="I8494" s="14"/>
      <c r="J8494" t="s" s="11">
        <v>20</v>
      </c>
      <c r="K8494" s="15"/>
      <c r="L8494" t="s" s="16">
        <f>HYPERLINK("http://csr.bu.edu/ftp/asl/asllvd/demos/verify_start_end_handshape_annotations//test_auto_move//signs_mov_separ_signers/Brady_2279.mov","MOV")</f>
        <v>21</v>
      </c>
      <c r="M8494" t="s" s="10">
        <v>40</v>
      </c>
      <c r="N8494" s="17">
        <v>83</v>
      </c>
      <c r="O8494" s="18">
        <v>626</v>
      </c>
      <c r="P8494" s="18">
        <v>650</v>
      </c>
      <c r="Q8494" s="15"/>
      <c r="R8494" t="s" s="16">
        <f>HYPERLINK("http://secrets.rutgers.edu:8080/data/asl-ftp/asllvd/demos/verify_start_end_handshape_annotations//test_auto_move//signs_mov_separ_signers/Brady_2279.mov","MOV")</f>
        <v>21</v>
      </c>
    </row>
    <row r="8495" s="2" customFormat="1" ht="13.5" customHeight="1">
      <c r="B8495" t="s" s="8">
        <v>3059</v>
      </c>
      <c r="C8495" t="s" s="9">
        <v>14</v>
      </c>
      <c r="D8495" t="s" s="8">
        <v>14</v>
      </c>
      <c r="E8495" t="s" s="9">
        <v>14</v>
      </c>
      <c r="F8495" t="s" s="10">
        <v>14</v>
      </c>
      <c r="G8495" t="s" s="11">
        <v>14</v>
      </c>
      <c r="H8495" t="s" s="10">
        <v>14</v>
      </c>
      <c r="I8495" t="s" s="11">
        <v>14</v>
      </c>
      <c r="J8495" t="s" s="11">
        <v>14</v>
      </c>
      <c r="K8495" t="s" s="12">
        <v>14</v>
      </c>
      <c r="L8495" t="s" s="12">
        <v>14</v>
      </c>
      <c r="M8495" t="s" s="10">
        <v>14</v>
      </c>
      <c r="N8495" t="s" s="11">
        <v>14</v>
      </c>
      <c r="O8495" t="s" s="8">
        <v>14</v>
      </c>
      <c r="P8495" t="s" s="8">
        <v>14</v>
      </c>
      <c r="Q8495" t="s" s="12">
        <v>14</v>
      </c>
      <c r="R8495" t="s" s="12">
        <v>14</v>
      </c>
    </row>
    <row r="8496" s="2" customFormat="1" ht="13.5" customHeight="1">
      <c r="B8496" s="13"/>
      <c r="C8496" t="s" s="9">
        <v>16</v>
      </c>
      <c r="D8496" t="s" s="8">
        <v>3059</v>
      </c>
      <c r="E8496" t="s" s="9">
        <v>3059</v>
      </c>
      <c r="F8496" t="s" s="10">
        <v>282</v>
      </c>
      <c r="G8496" t="s" s="11">
        <v>282</v>
      </c>
      <c r="H8496" t="s" s="10">
        <v>282</v>
      </c>
      <c r="I8496" t="s" s="11">
        <v>282</v>
      </c>
      <c r="J8496" t="s" s="11">
        <v>20</v>
      </c>
      <c r="K8496" t="s" s="16">
        <f>HYPERLINK("http://csr.bu.edu/ftp/asl/asllvd/demos/verify_start_end_handshape_annotations//test_auto_move//signs_mov/2281.mov","MOV")</f>
        <v>21</v>
      </c>
      <c r="L8496" t="s" s="16">
        <f>HYPERLINK("http://csr.bu.edu/ftp/asl/asllvd/demos/verify_start_end_handshape_annotations//test_auto_move//signs_mov_separ_signers/Liz_2281.mov","MOV")</f>
        <v>21</v>
      </c>
      <c r="M8496" t="s" s="10">
        <v>36</v>
      </c>
      <c r="N8496" s="17">
        <v>32</v>
      </c>
      <c r="O8496" s="18">
        <v>749</v>
      </c>
      <c r="P8496" s="18">
        <v>776</v>
      </c>
      <c r="Q8496" t="s" s="16">
        <f>HYPERLINK("http://secrets.rutgers.edu:8080/data/asl-ftp/asllvd/demos/verify_start_end_handshape_annotations//test_auto_move//signs_mov/2281.mov","MOV")</f>
        <v>21</v>
      </c>
      <c r="R8496" t="s" s="16">
        <f>HYPERLINK("http://secrets.rutgers.edu:8080/data/asl-ftp/asllvd/demos/verify_start_end_handshape_annotations//test_auto_move//signs_mov_separ_signers/Liz_2281.mov","MOV")</f>
        <v>21</v>
      </c>
    </row>
    <row r="8497" s="2" customFormat="1" ht="13.5" customHeight="1">
      <c r="B8497" s="13"/>
      <c r="C8497" t="s" s="9">
        <v>30</v>
      </c>
      <c r="D8497" t="s" s="8">
        <v>3059</v>
      </c>
      <c r="E8497" t="s" s="9">
        <v>3059</v>
      </c>
      <c r="F8497" t="s" s="10">
        <v>282</v>
      </c>
      <c r="G8497" t="s" s="11">
        <v>282</v>
      </c>
      <c r="H8497" t="s" s="10">
        <v>282</v>
      </c>
      <c r="I8497" t="s" s="11">
        <v>282</v>
      </c>
      <c r="J8497" t="s" s="11">
        <v>20</v>
      </c>
      <c r="K8497" s="15"/>
      <c r="L8497" t="s" s="16">
        <f>HYPERLINK("http://csr.bu.edu/ftp/asl/asllvd/demos/verify_start_end_handshape_annotations//test_auto_move//signs_mov_separ_signers/Brady_2281.mov","MOV")</f>
        <v>21</v>
      </c>
      <c r="M8497" t="s" s="10">
        <v>40</v>
      </c>
      <c r="N8497" s="17">
        <v>83</v>
      </c>
      <c r="O8497" s="18">
        <v>1155</v>
      </c>
      <c r="P8497" s="18">
        <v>1171</v>
      </c>
      <c r="Q8497" s="15"/>
      <c r="R8497" t="s" s="16">
        <f>HYPERLINK("http://secrets.rutgers.edu:8080/data/asl-ftp/asllvd/demos/verify_start_end_handshape_annotations//test_auto_move//signs_mov_separ_signers/Brady_2281.mov","MOV")</f>
        <v>21</v>
      </c>
    </row>
    <row r="8498" s="2" customFormat="1" ht="13.5" customHeight="1">
      <c r="B8498" t="s" s="8">
        <v>3060</v>
      </c>
      <c r="C8498" t="s" s="9">
        <v>14</v>
      </c>
      <c r="D8498" t="s" s="8">
        <v>14</v>
      </c>
      <c r="E8498" t="s" s="9">
        <v>14</v>
      </c>
      <c r="F8498" t="s" s="10">
        <v>14</v>
      </c>
      <c r="G8498" t="s" s="11">
        <v>14</v>
      </c>
      <c r="H8498" t="s" s="10">
        <v>14</v>
      </c>
      <c r="I8498" t="s" s="11">
        <v>14</v>
      </c>
      <c r="J8498" t="s" s="11">
        <v>14</v>
      </c>
      <c r="K8498" t="s" s="12">
        <v>14</v>
      </c>
      <c r="L8498" t="s" s="12">
        <v>14</v>
      </c>
      <c r="M8498" t="s" s="10">
        <v>14</v>
      </c>
      <c r="N8498" t="s" s="11">
        <v>14</v>
      </c>
      <c r="O8498" t="s" s="8">
        <v>14</v>
      </c>
      <c r="P8498" t="s" s="8">
        <v>14</v>
      </c>
      <c r="Q8498" t="s" s="12">
        <v>14</v>
      </c>
      <c r="R8498" t="s" s="12">
        <v>14</v>
      </c>
    </row>
    <row r="8499" s="2" customFormat="1" ht="13.5" customHeight="1">
      <c r="B8499" s="13"/>
      <c r="C8499" t="s" s="9">
        <v>16</v>
      </c>
      <c r="D8499" t="s" s="8">
        <v>3060</v>
      </c>
      <c r="E8499" t="s" s="9">
        <v>3060</v>
      </c>
      <c r="F8499" t="s" s="10">
        <v>268</v>
      </c>
      <c r="G8499" t="s" s="11">
        <v>268</v>
      </c>
      <c r="H8499" t="s" s="10">
        <v>268</v>
      </c>
      <c r="I8499" t="s" s="11">
        <v>268</v>
      </c>
      <c r="J8499" t="s" s="11">
        <v>20</v>
      </c>
      <c r="K8499" s="15"/>
      <c r="L8499" t="s" s="16">
        <f>HYPERLINK("http://csr.bu.edu/ftp/asl/asllvd/demos/verify_start_end_handshape_annotations//test_auto_move//signs_mov_separ_signers/Liz_2283.mov","MOV")</f>
        <v>21</v>
      </c>
      <c r="M8499" t="s" s="10">
        <v>36</v>
      </c>
      <c r="N8499" s="17">
        <v>32</v>
      </c>
      <c r="O8499" s="18">
        <v>1230</v>
      </c>
      <c r="P8499" s="18">
        <v>1296</v>
      </c>
      <c r="Q8499" s="15"/>
      <c r="R8499" t="s" s="16">
        <f>HYPERLINK("http://secrets.rutgers.edu:8080/data/asl-ftp/asllvd/demos/verify_start_end_handshape_annotations//test_auto_move//signs_mov_separ_signers/Liz_2283.mov","MOV")</f>
        <v>21</v>
      </c>
    </row>
    <row r="8500" s="2" customFormat="1" ht="13.5" customHeight="1">
      <c r="B8500" s="13"/>
      <c r="C8500" t="s" s="9">
        <v>30</v>
      </c>
      <c r="D8500" t="s" s="8">
        <v>3060</v>
      </c>
      <c r="E8500" t="s" s="9">
        <v>3060</v>
      </c>
      <c r="F8500" t="s" s="10">
        <v>3061</v>
      </c>
      <c r="G8500" t="s" s="11">
        <v>3061</v>
      </c>
      <c r="H8500" t="s" s="10">
        <v>3061</v>
      </c>
      <c r="I8500" t="s" s="11">
        <v>3061</v>
      </c>
      <c r="J8500" t="s" s="11">
        <v>20</v>
      </c>
      <c r="K8500" t="s" s="16">
        <f>HYPERLINK("http://csr.bu.edu/ftp/asl/asllvd/demos/verify_start_end_handshape_annotations//test_auto_move//signs_mov/2283.mov","MOV")</f>
        <v>21</v>
      </c>
      <c r="L8500" t="s" s="16">
        <f>HYPERLINK("http://csr.bu.edu/ftp/asl/asllvd/demos/verify_start_end_handshape_annotations//test_auto_move//signs_mov_separ_signers/Brady_2283.mov","MOV")</f>
        <v>21</v>
      </c>
      <c r="M8500" t="s" s="10">
        <v>40</v>
      </c>
      <c r="N8500" s="17">
        <v>83</v>
      </c>
      <c r="O8500" s="18">
        <v>1728</v>
      </c>
      <c r="P8500" s="18">
        <v>1766</v>
      </c>
      <c r="Q8500" t="s" s="16">
        <f>HYPERLINK("http://secrets.rutgers.edu:8080/data/asl-ftp/asllvd/demos/verify_start_end_handshape_annotations//test_auto_move//signs_mov/2283.mov","MOV")</f>
        <v>21</v>
      </c>
      <c r="R8500" t="s" s="16">
        <f>HYPERLINK("http://secrets.rutgers.edu:8080/data/asl-ftp/asllvd/demos/verify_start_end_handshape_annotations//test_auto_move//signs_mov_separ_signers/Brady_2283.mov","MOV")</f>
        <v>21</v>
      </c>
    </row>
    <row r="8501" s="2" customFormat="1" ht="13.5" customHeight="1">
      <c r="B8501" s="13"/>
      <c r="C8501" t="s" s="9">
        <v>41</v>
      </c>
      <c r="D8501" t="s" s="8">
        <v>3060</v>
      </c>
      <c r="E8501" t="s" s="9">
        <v>3060</v>
      </c>
      <c r="F8501" s="19">
        <v>1</v>
      </c>
      <c r="G8501" s="17">
        <v>1</v>
      </c>
      <c r="H8501" s="19">
        <v>1</v>
      </c>
      <c r="I8501" s="17">
        <v>1</v>
      </c>
      <c r="J8501" t="s" s="11">
        <v>20</v>
      </c>
      <c r="K8501" s="15"/>
      <c r="L8501" t="s" s="16">
        <f>HYPERLINK("http://csr.bu.edu/ftp/asl/asllvd/demos/verify_start_end_handshape_annotations//test_auto_move//signs_mov_separ_signers/Lana_2283.mov","MOV")</f>
        <v>21</v>
      </c>
      <c r="M8501" t="s" s="10">
        <v>42</v>
      </c>
      <c r="N8501" s="17">
        <v>25</v>
      </c>
      <c r="O8501" s="18">
        <v>1401</v>
      </c>
      <c r="P8501" s="18">
        <v>1423</v>
      </c>
      <c r="Q8501" s="15"/>
      <c r="R8501" t="s" s="16">
        <f>HYPERLINK("http://secrets.rutgers.edu:8080/data/asl-ftp/asllvd/demos/verify_start_end_handshape_annotations//test_auto_move//signs_mov_separ_signers/Lana_2283.mov","MOV")</f>
        <v>21</v>
      </c>
    </row>
    <row r="8502" s="2" customFormat="1" ht="13.5" customHeight="1">
      <c r="B8502" s="13"/>
      <c r="C8502" t="s" s="9">
        <v>43</v>
      </c>
      <c r="D8502" t="s" s="8">
        <v>3060</v>
      </c>
      <c r="E8502" t="s" s="9">
        <v>3060</v>
      </c>
      <c r="F8502" s="19">
        <v>1</v>
      </c>
      <c r="G8502" s="17">
        <v>1</v>
      </c>
      <c r="H8502" s="19">
        <v>1</v>
      </c>
      <c r="I8502" s="17">
        <v>1</v>
      </c>
      <c r="J8502" t="s" s="11">
        <v>20</v>
      </c>
      <c r="K8502" s="15"/>
      <c r="L8502" t="s" s="16">
        <f>HYPERLINK("http://csr.bu.edu/ftp/asl/asllvd/demos/verify_start_end_handshape_annotations//test_auto_move//signs_mov_separ_signers/Dana_2283.mov","MOV")</f>
        <v>21</v>
      </c>
      <c r="M8502" t="s" s="10">
        <v>44</v>
      </c>
      <c r="N8502" s="17">
        <v>27</v>
      </c>
      <c r="O8502" s="18">
        <v>1323</v>
      </c>
      <c r="P8502" s="18">
        <v>1365</v>
      </c>
      <c r="Q8502" s="15"/>
      <c r="R8502" t="s" s="16">
        <f>HYPERLINK("http://secrets.rutgers.edu:8080/data/asl-ftp/asllvd/demos/verify_start_end_handshape_annotations//test_auto_move//signs_mov_separ_signers/Dana_2283.mov","MOV")</f>
        <v>21</v>
      </c>
    </row>
    <row r="8503" s="2" customFormat="1" ht="13.5" customHeight="1">
      <c r="B8503" t="s" s="8">
        <v>3062</v>
      </c>
      <c r="C8503" t="s" s="9">
        <v>14</v>
      </c>
      <c r="D8503" t="s" s="8">
        <v>14</v>
      </c>
      <c r="E8503" t="s" s="9">
        <v>14</v>
      </c>
      <c r="F8503" t="s" s="10">
        <v>14</v>
      </c>
      <c r="G8503" t="s" s="11">
        <v>14</v>
      </c>
      <c r="H8503" t="s" s="10">
        <v>14</v>
      </c>
      <c r="I8503" t="s" s="11">
        <v>14</v>
      </c>
      <c r="J8503" t="s" s="11">
        <v>14</v>
      </c>
      <c r="K8503" t="s" s="12">
        <v>14</v>
      </c>
      <c r="L8503" t="s" s="12">
        <v>14</v>
      </c>
      <c r="M8503" t="s" s="10">
        <v>14</v>
      </c>
      <c r="N8503" t="s" s="11">
        <v>14</v>
      </c>
      <c r="O8503" t="s" s="8">
        <v>14</v>
      </c>
      <c r="P8503" t="s" s="8">
        <v>14</v>
      </c>
      <c r="Q8503" t="s" s="12">
        <v>14</v>
      </c>
      <c r="R8503" t="s" s="12">
        <v>14</v>
      </c>
    </row>
    <row r="8504" s="2" customFormat="1" ht="13.5" customHeight="1">
      <c r="B8504" s="13"/>
      <c r="C8504" t="s" s="9">
        <v>16</v>
      </c>
      <c r="D8504" t="s" s="8">
        <v>3062</v>
      </c>
      <c r="E8504" t="s" s="9">
        <v>3063</v>
      </c>
      <c r="F8504" t="s" s="10">
        <v>240</v>
      </c>
      <c r="G8504" t="s" s="11">
        <v>240</v>
      </c>
      <c r="H8504" t="s" s="10">
        <v>344</v>
      </c>
      <c r="I8504" t="s" s="11">
        <v>240</v>
      </c>
      <c r="J8504" t="s" s="11">
        <v>20</v>
      </c>
      <c r="K8504" s="15"/>
      <c r="L8504" t="s" s="16">
        <f>HYPERLINK("http://csr.bu.edu/ftp/asl/asllvd/demos/verify_start_end_handshape_annotations//test_auto_move//signs_mov_separ_signers/Liz_2292.mov","MOV")</f>
        <v>21</v>
      </c>
      <c r="M8504" t="s" s="10">
        <v>22</v>
      </c>
      <c r="N8504" s="17">
        <v>68</v>
      </c>
      <c r="O8504" s="18">
        <v>1535</v>
      </c>
      <c r="P8504" s="18">
        <v>1580</v>
      </c>
      <c r="Q8504" s="15"/>
      <c r="R8504" t="s" s="16">
        <f>HYPERLINK("http://secrets.rutgers.edu:8080/data/asl-ftp/asllvd/demos/verify_start_end_handshape_annotations//test_auto_move//signs_mov_separ_signers/Liz_2292.mov","MOV")</f>
        <v>21</v>
      </c>
    </row>
    <row r="8505" s="2" customFormat="1" ht="13.5" customHeight="1">
      <c r="B8505" s="13"/>
      <c r="C8505" t="s" s="9">
        <v>16</v>
      </c>
      <c r="D8505" t="s" s="8">
        <v>3062</v>
      </c>
      <c r="E8505" t="s" s="9">
        <v>3062</v>
      </c>
      <c r="F8505" t="s" s="10">
        <v>240</v>
      </c>
      <c r="G8505" t="s" s="11">
        <v>240</v>
      </c>
      <c r="H8505" t="s" s="10">
        <v>344</v>
      </c>
      <c r="I8505" t="s" s="11">
        <v>240</v>
      </c>
      <c r="J8505" t="s" s="11">
        <v>20</v>
      </c>
      <c r="K8505" s="15"/>
      <c r="L8505" t="s" s="16">
        <f>HYPERLINK("http://csr.bu.edu/ftp/asl/asllvd/demos/verify_start_end_handshape_annotations//test_auto_move//signs_mov_separ_signers/Liz_5977.mov","MOV")</f>
        <v>21</v>
      </c>
      <c r="M8505" t="s" s="10">
        <v>36</v>
      </c>
      <c r="N8505" s="17">
        <v>33</v>
      </c>
      <c r="O8505" s="18">
        <v>755</v>
      </c>
      <c r="P8505" s="18">
        <v>789</v>
      </c>
      <c r="Q8505" s="15"/>
      <c r="R8505" t="s" s="16">
        <f>HYPERLINK("http://secrets.rutgers.edu:8080/data/asl-ftp/asllvd/demos/verify_start_end_handshape_annotations//test_auto_move//signs_mov_separ_signers/Liz_5977.mov","MOV")</f>
        <v>21</v>
      </c>
    </row>
    <row r="8506" s="2" customFormat="1" ht="13.5" customHeight="1">
      <c r="B8506" s="13"/>
      <c r="C8506" t="s" s="9">
        <v>23</v>
      </c>
      <c r="D8506" t="s" s="8">
        <v>3062</v>
      </c>
      <c r="E8506" t="s" s="9">
        <v>3064</v>
      </c>
      <c r="F8506" t="s" s="10">
        <v>344</v>
      </c>
      <c r="G8506" t="s" s="11">
        <v>240</v>
      </c>
      <c r="H8506" t="s" s="10">
        <v>344</v>
      </c>
      <c r="I8506" t="s" s="11">
        <v>240</v>
      </c>
      <c r="J8506" t="s" s="11">
        <v>20</v>
      </c>
      <c r="K8506" t="s" s="16">
        <f>HYPERLINK("http://csr.bu.edu/ftp/asl/asllvd/demos/verify_start_end_handshape_annotations//test_auto_move//signs_mov/2292_5977_merged.mov","MOV")</f>
        <v>21</v>
      </c>
      <c r="L8506" t="s" s="16">
        <f>HYPERLINK("http://csr.bu.edu/ftp/asl/asllvd/demos/verify_start_end_handshape_annotations//test_auto_move//signs_mov_separ_signers/Tyler_2292.mov","MOV")</f>
        <v>21</v>
      </c>
      <c r="M8506" t="s" s="10">
        <v>26</v>
      </c>
      <c r="N8506" s="17">
        <v>42</v>
      </c>
      <c r="O8506" s="18">
        <v>2720</v>
      </c>
      <c r="P8506" s="18">
        <v>2755</v>
      </c>
      <c r="Q8506" t="s" s="16">
        <f>HYPERLINK("http://secrets.rutgers.edu:8080/data/asl-ftp/asllvd/demos/verify_start_end_handshape_annotations//test_auto_move//signs_mov/2292_5977_merged.mov","MOV")</f>
        <v>21</v>
      </c>
      <c r="R8506" t="s" s="16">
        <f>HYPERLINK("http://secrets.rutgers.edu:8080/data/asl-ftp/asllvd/demos/verify_start_end_handshape_annotations//test_auto_move//signs_mov_separ_signers/Tyler_2292.mov","MOV")</f>
        <v>21</v>
      </c>
    </row>
    <row r="8507" s="2" customFormat="1" ht="13.5" customHeight="1">
      <c r="B8507" s="13"/>
      <c r="C8507" t="s" s="9">
        <v>27</v>
      </c>
      <c r="D8507" t="s" s="8">
        <v>3062</v>
      </c>
      <c r="E8507" t="s" s="9">
        <v>3064</v>
      </c>
      <c r="F8507" t="s" s="10">
        <v>344</v>
      </c>
      <c r="G8507" t="s" s="11">
        <v>240</v>
      </c>
      <c r="H8507" t="s" s="10">
        <v>344</v>
      </c>
      <c r="I8507" t="s" s="11">
        <v>240</v>
      </c>
      <c r="J8507" t="s" s="11">
        <v>20</v>
      </c>
      <c r="K8507" s="15"/>
      <c r="L8507" t="s" s="16">
        <f>HYPERLINK("http://csr.bu.edu/ftp/asl/asllvd/demos/verify_start_end_handshape_annotations//test_auto_move//signs_mov_separ_signers/Naomi_2292.mov","MOV")</f>
        <v>21</v>
      </c>
      <c r="M8507" t="s" s="10">
        <v>29</v>
      </c>
      <c r="N8507" s="17">
        <v>43</v>
      </c>
      <c r="O8507" s="18">
        <v>4821</v>
      </c>
      <c r="P8507" s="18">
        <v>4855</v>
      </c>
      <c r="Q8507" s="15"/>
      <c r="R8507" t="s" s="16">
        <f>HYPERLINK("http://secrets.rutgers.edu:8080/data/asl-ftp/asllvd/demos/verify_start_end_handshape_annotations//test_auto_move//signs_mov_separ_signers/Naomi_2292.mov","MOV")</f>
        <v>21</v>
      </c>
    </row>
    <row r="8508" s="2" customFormat="1" ht="13.5" customHeight="1">
      <c r="B8508" s="13"/>
      <c r="C8508" t="s" s="9">
        <v>30</v>
      </c>
      <c r="D8508" t="s" s="8">
        <v>3062</v>
      </c>
      <c r="E8508" t="s" s="9">
        <v>3063</v>
      </c>
      <c r="F8508" t="s" s="10">
        <v>240</v>
      </c>
      <c r="G8508" t="s" s="11">
        <v>240</v>
      </c>
      <c r="H8508" t="s" s="10">
        <v>240</v>
      </c>
      <c r="I8508" t="s" s="11">
        <v>240</v>
      </c>
      <c r="J8508" t="s" s="11">
        <v>20</v>
      </c>
      <c r="K8508" s="15"/>
      <c r="L8508" t="s" s="16">
        <f>HYPERLINK("http://csr.bu.edu/ftp/asl/asllvd/demos/verify_start_end_handshape_annotations//test_auto_move//signs_mov_separ_signers/Brady_2292.mov","MOV")</f>
        <v>21</v>
      </c>
      <c r="M8508" t="s" s="10">
        <v>31</v>
      </c>
      <c r="N8508" s="17">
        <v>26</v>
      </c>
      <c r="O8508" s="18">
        <v>6775</v>
      </c>
      <c r="P8508" s="18">
        <v>6811</v>
      </c>
      <c r="Q8508" s="15"/>
      <c r="R8508" t="s" s="16">
        <f>HYPERLINK("http://secrets.rutgers.edu:8080/data/asl-ftp/asllvd/demos/verify_start_end_handshape_annotations//test_auto_move//signs_mov_separ_signers/Brady_2292.mov","MOV")</f>
        <v>21</v>
      </c>
    </row>
    <row r="8509" s="2" customFormat="1" ht="13.5" customHeight="1">
      <c r="B8509" s="13"/>
      <c r="C8509" t="s" s="9">
        <v>41</v>
      </c>
      <c r="D8509" t="s" s="8">
        <v>3062</v>
      </c>
      <c r="E8509" t="s" s="9">
        <v>3062</v>
      </c>
      <c r="F8509" t="s" s="10">
        <v>344</v>
      </c>
      <c r="G8509" t="s" s="11">
        <v>240</v>
      </c>
      <c r="H8509" t="s" s="10">
        <v>344</v>
      </c>
      <c r="I8509" t="s" s="11">
        <v>240</v>
      </c>
      <c r="J8509" t="s" s="11">
        <v>20</v>
      </c>
      <c r="K8509" s="15"/>
      <c r="L8509" t="s" s="16">
        <f>HYPERLINK("http://csr.bu.edu/ftp/asl/asllvd/demos/verify_start_end_handshape_annotations//test_auto_move//signs_mov_separ_signers/Lana_2292.mov","MOV")</f>
        <v>21</v>
      </c>
      <c r="M8509" t="s" s="10">
        <v>442</v>
      </c>
      <c r="N8509" s="17">
        <v>61</v>
      </c>
      <c r="O8509" s="18">
        <v>2650</v>
      </c>
      <c r="P8509" s="18">
        <v>2683</v>
      </c>
      <c r="Q8509" s="15"/>
      <c r="R8509" t="s" s="16">
        <f>HYPERLINK("http://secrets.rutgers.edu:8080/data/asl-ftp/asllvd/demos/verify_start_end_handshape_annotations//test_auto_move//signs_mov_separ_signers/Lana_2292.mov","MOV")</f>
        <v>21</v>
      </c>
    </row>
    <row r="8510" s="2" customFormat="1" ht="13.5" customHeight="1">
      <c r="B8510" t="s" s="8">
        <v>3065</v>
      </c>
      <c r="C8510" t="s" s="9">
        <v>14</v>
      </c>
      <c r="D8510" t="s" s="8">
        <v>14</v>
      </c>
      <c r="E8510" t="s" s="9">
        <v>14</v>
      </c>
      <c r="F8510" t="s" s="10">
        <v>14</v>
      </c>
      <c r="G8510" t="s" s="11">
        <v>14</v>
      </c>
      <c r="H8510" t="s" s="10">
        <v>14</v>
      </c>
      <c r="I8510" t="s" s="11">
        <v>14</v>
      </c>
      <c r="J8510" t="s" s="11">
        <v>14</v>
      </c>
      <c r="K8510" t="s" s="12">
        <v>14</v>
      </c>
      <c r="L8510" t="s" s="12">
        <v>14</v>
      </c>
      <c r="M8510" t="s" s="10">
        <v>14</v>
      </c>
      <c r="N8510" t="s" s="11">
        <v>14</v>
      </c>
      <c r="O8510" t="s" s="8">
        <v>14</v>
      </c>
      <c r="P8510" t="s" s="8">
        <v>14</v>
      </c>
      <c r="Q8510" t="s" s="12">
        <v>14</v>
      </c>
      <c r="R8510" t="s" s="12">
        <v>14</v>
      </c>
    </row>
    <row r="8511" s="2" customFormat="1" ht="13.5" customHeight="1">
      <c r="B8511" s="13"/>
      <c r="C8511" t="s" s="9">
        <v>16</v>
      </c>
      <c r="D8511" t="s" s="8">
        <v>3065</v>
      </c>
      <c r="E8511" t="s" s="9">
        <v>3065</v>
      </c>
      <c r="F8511" t="s" s="10">
        <v>230</v>
      </c>
      <c r="G8511" t="s" s="11">
        <v>230</v>
      </c>
      <c r="H8511" t="s" s="10">
        <v>230</v>
      </c>
      <c r="I8511" t="s" s="11">
        <v>230</v>
      </c>
      <c r="J8511" t="s" s="11">
        <v>20</v>
      </c>
      <c r="K8511" t="s" s="16">
        <f>HYPERLINK("http://csr.bu.edu/ftp/asl/asllvd/demos/verify_start_end_handshape_annotations//test_auto_move//signs_mov/2295.mov","MOV")</f>
        <v>21</v>
      </c>
      <c r="L8511" t="s" s="16">
        <f>HYPERLINK("http://csr.bu.edu/ftp/asl/asllvd/demos/verify_start_end_handshape_annotations//test_auto_move//signs_mov_separ_signers/Liz_2295.mov","MOV")</f>
        <v>21</v>
      </c>
      <c r="M8511" t="s" s="10">
        <v>36</v>
      </c>
      <c r="N8511" s="17">
        <v>33</v>
      </c>
      <c r="O8511" s="18">
        <v>1470</v>
      </c>
      <c r="P8511" s="18">
        <v>1510</v>
      </c>
      <c r="Q8511" t="s" s="16">
        <f>HYPERLINK("http://secrets.rutgers.edu:8080/data/asl-ftp/asllvd/demos/verify_start_end_handshape_annotations//test_auto_move//signs_mov/2295.mov","MOV")</f>
        <v>21</v>
      </c>
      <c r="R8511" t="s" s="16">
        <f>HYPERLINK("http://secrets.rutgers.edu:8080/data/asl-ftp/asllvd/demos/verify_start_end_handshape_annotations//test_auto_move//signs_mov_separ_signers/Liz_2295.mov","MOV")</f>
        <v>21</v>
      </c>
    </row>
    <row r="8512" s="2" customFormat="1" ht="13.5" customHeight="1">
      <c r="B8512" s="13"/>
      <c r="C8512" t="s" s="9">
        <v>30</v>
      </c>
      <c r="D8512" t="s" s="8">
        <v>3065</v>
      </c>
      <c r="E8512" t="s" s="9">
        <v>3065</v>
      </c>
      <c r="F8512" t="s" s="10">
        <v>230</v>
      </c>
      <c r="G8512" t="s" s="11">
        <v>230</v>
      </c>
      <c r="H8512" t="s" s="10">
        <v>230</v>
      </c>
      <c r="I8512" t="s" s="11">
        <v>230</v>
      </c>
      <c r="J8512" t="s" s="11">
        <v>20</v>
      </c>
      <c r="K8512" s="15"/>
      <c r="L8512" t="s" s="16">
        <f>HYPERLINK("http://csr.bu.edu/ftp/asl/asllvd/demos/verify_start_end_handshape_annotations//test_auto_move//signs_mov_separ_signers/Brady_2295.mov","MOV")</f>
        <v>21</v>
      </c>
      <c r="M8512" t="s" s="10">
        <v>40</v>
      </c>
      <c r="N8512" s="17">
        <v>85</v>
      </c>
      <c r="O8512" s="18">
        <v>2130</v>
      </c>
      <c r="P8512" s="18">
        <v>2156</v>
      </c>
      <c r="Q8512" s="15"/>
      <c r="R8512" t="s" s="16">
        <f>HYPERLINK("http://secrets.rutgers.edu:8080/data/asl-ftp/asllvd/demos/verify_start_end_handshape_annotations//test_auto_move//signs_mov_separ_signers/Brady_2295.mov","MOV")</f>
        <v>21</v>
      </c>
    </row>
    <row r="8513" s="2" customFormat="1" ht="13.5" customHeight="1">
      <c r="B8513" t="s" s="8">
        <v>3066</v>
      </c>
      <c r="C8513" t="s" s="9">
        <v>14</v>
      </c>
      <c r="D8513" t="s" s="8">
        <v>14</v>
      </c>
      <c r="E8513" t="s" s="9">
        <v>14</v>
      </c>
      <c r="F8513" t="s" s="10">
        <v>14</v>
      </c>
      <c r="G8513" t="s" s="11">
        <v>14</v>
      </c>
      <c r="H8513" t="s" s="10">
        <v>14</v>
      </c>
      <c r="I8513" t="s" s="11">
        <v>14</v>
      </c>
      <c r="J8513" t="s" s="11">
        <v>14</v>
      </c>
      <c r="K8513" t="s" s="12">
        <v>14</v>
      </c>
      <c r="L8513" t="s" s="12">
        <v>14</v>
      </c>
      <c r="M8513" t="s" s="10">
        <v>14</v>
      </c>
      <c r="N8513" t="s" s="11">
        <v>14</v>
      </c>
      <c r="O8513" t="s" s="8">
        <v>14</v>
      </c>
      <c r="P8513" t="s" s="8">
        <v>14</v>
      </c>
      <c r="Q8513" t="s" s="12">
        <v>14</v>
      </c>
      <c r="R8513" t="s" s="12">
        <v>14</v>
      </c>
    </row>
    <row r="8514" s="2" customFormat="1" ht="13.5" customHeight="1">
      <c r="B8514" s="13"/>
      <c r="C8514" t="s" s="9">
        <v>16</v>
      </c>
      <c r="D8514" t="s" s="8">
        <v>3066</v>
      </c>
      <c r="E8514" t="s" s="9">
        <v>3067</v>
      </c>
      <c r="F8514" t="s" s="10">
        <v>255</v>
      </c>
      <c r="G8514" t="s" s="11">
        <v>255</v>
      </c>
      <c r="H8514" t="s" s="10">
        <v>255</v>
      </c>
      <c r="I8514" t="s" s="11">
        <v>255</v>
      </c>
      <c r="J8514" t="s" s="11">
        <v>20</v>
      </c>
      <c r="K8514" t="s" s="16">
        <f>HYPERLINK("http://csr.bu.edu/ftp/asl/asllvd/demos/verify_start_end_handshape_annotations//test_auto_move//signs_mov/2297.mov","MOV")</f>
        <v>21</v>
      </c>
      <c r="L8514" t="s" s="16">
        <f>HYPERLINK("http://csr.bu.edu/ftp/asl/asllvd/demos/verify_start_end_handshape_annotations//test_auto_move//signs_mov_separ_signers/Liz_2297.mov","MOV")</f>
        <v>21</v>
      </c>
      <c r="M8514" t="s" s="10">
        <v>36</v>
      </c>
      <c r="N8514" s="17">
        <v>33</v>
      </c>
      <c r="O8514" s="18">
        <v>2013</v>
      </c>
      <c r="P8514" s="18">
        <v>2080</v>
      </c>
      <c r="Q8514" t="s" s="16">
        <f>HYPERLINK("http://secrets.rutgers.edu:8080/data/asl-ftp/asllvd/demos/verify_start_end_handshape_annotations//test_auto_move//signs_mov/2297.mov","MOV")</f>
        <v>21</v>
      </c>
      <c r="R8514" t="s" s="16">
        <f>HYPERLINK("http://secrets.rutgers.edu:8080/data/asl-ftp/asllvd/demos/verify_start_end_handshape_annotations//test_auto_move//signs_mov_separ_signers/Liz_2297.mov","MOV")</f>
        <v>21</v>
      </c>
    </row>
    <row r="8515" s="2" customFormat="1" ht="13.5" customHeight="1">
      <c r="B8515" s="13"/>
      <c r="C8515" t="s" s="9">
        <v>30</v>
      </c>
      <c r="D8515" t="s" s="8">
        <v>3066</v>
      </c>
      <c r="E8515" t="s" s="9">
        <v>3068</v>
      </c>
      <c r="F8515" t="s" s="10">
        <v>255</v>
      </c>
      <c r="G8515" t="s" s="11">
        <v>255</v>
      </c>
      <c r="H8515" t="s" s="10">
        <v>255</v>
      </c>
      <c r="I8515" t="s" s="11">
        <v>255</v>
      </c>
      <c r="J8515" t="s" s="11">
        <v>20</v>
      </c>
      <c r="K8515" s="15"/>
      <c r="L8515" t="s" s="16">
        <f>HYPERLINK("http://csr.bu.edu/ftp/asl/asllvd/demos/verify_start_end_handshape_annotations//test_auto_move//signs_mov_separ_signers/Brady_2297.mov","MOV")</f>
        <v>21</v>
      </c>
      <c r="M8515" t="s" s="10">
        <v>40</v>
      </c>
      <c r="N8515" s="17">
        <v>85</v>
      </c>
      <c r="O8515" s="18">
        <v>2677</v>
      </c>
      <c r="P8515" s="18">
        <v>2703</v>
      </c>
      <c r="Q8515" s="15"/>
      <c r="R8515" t="s" s="16">
        <f>HYPERLINK("http://secrets.rutgers.edu:8080/data/asl-ftp/asllvd/demos/verify_start_end_handshape_annotations//test_auto_move//signs_mov_separ_signers/Brady_2297.mov","MOV")</f>
        <v>21</v>
      </c>
    </row>
    <row r="8516" s="2" customFormat="1" ht="13.5" customHeight="1">
      <c r="B8516" t="s" s="8">
        <v>3069</v>
      </c>
      <c r="C8516" t="s" s="9">
        <v>14</v>
      </c>
      <c r="D8516" t="s" s="8">
        <v>14</v>
      </c>
      <c r="E8516" t="s" s="9">
        <v>14</v>
      </c>
      <c r="F8516" t="s" s="10">
        <v>14</v>
      </c>
      <c r="G8516" t="s" s="11">
        <v>14</v>
      </c>
      <c r="H8516" t="s" s="10">
        <v>14</v>
      </c>
      <c r="I8516" t="s" s="11">
        <v>14</v>
      </c>
      <c r="J8516" t="s" s="11">
        <v>14</v>
      </c>
      <c r="K8516" t="s" s="12">
        <v>14</v>
      </c>
      <c r="L8516" t="s" s="12">
        <v>14</v>
      </c>
      <c r="M8516" t="s" s="10">
        <v>14</v>
      </c>
      <c r="N8516" t="s" s="11">
        <v>14</v>
      </c>
      <c r="O8516" t="s" s="8">
        <v>14</v>
      </c>
      <c r="P8516" t="s" s="8">
        <v>14</v>
      </c>
      <c r="Q8516" t="s" s="12">
        <v>14</v>
      </c>
      <c r="R8516" t="s" s="12">
        <v>14</v>
      </c>
    </row>
    <row r="8517" s="2" customFormat="1" ht="13.5" customHeight="1">
      <c r="B8517" s="13"/>
      <c r="C8517" t="s" s="9">
        <v>16</v>
      </c>
      <c r="D8517" t="s" s="8">
        <v>3069</v>
      </c>
      <c r="E8517" t="s" s="9">
        <v>3070</v>
      </c>
      <c r="F8517" t="s" s="10">
        <v>255</v>
      </c>
      <c r="G8517" t="s" s="11">
        <v>255</v>
      </c>
      <c r="H8517" t="s" s="10">
        <v>255</v>
      </c>
      <c r="I8517" t="s" s="11">
        <v>255</v>
      </c>
      <c r="J8517" t="s" s="11">
        <v>20</v>
      </c>
      <c r="K8517" s="15"/>
      <c r="L8517" t="s" s="16">
        <f>HYPERLINK("http://csr.bu.edu/ftp/asl/asllvd/demos/verify_start_end_handshape_annotations//test_auto_move//signs_mov_separ_signers/Liz_15818.mov","MOV")</f>
        <v>21</v>
      </c>
      <c r="M8517" t="s" s="10">
        <v>36</v>
      </c>
      <c r="N8517" s="17">
        <v>33</v>
      </c>
      <c r="O8517" s="18">
        <v>1191</v>
      </c>
      <c r="P8517" s="18">
        <v>1275</v>
      </c>
      <c r="Q8517" s="15"/>
      <c r="R8517" t="s" s="16">
        <f>HYPERLINK("http://secrets.rutgers.edu:8080/data/asl-ftp/asllvd/demos/verify_start_end_handshape_annotations//test_auto_move//signs_mov_separ_signers/Liz_15818.mov","MOV")</f>
        <v>21</v>
      </c>
    </row>
    <row r="8518" s="2" customFormat="1" ht="13.5" customHeight="1">
      <c r="B8518" s="13"/>
      <c r="C8518" t="s" s="9">
        <v>30</v>
      </c>
      <c r="D8518" t="s" s="8">
        <v>3069</v>
      </c>
      <c r="E8518" t="s" s="9">
        <v>3070</v>
      </c>
      <c r="F8518" t="s" s="10">
        <v>255</v>
      </c>
      <c r="G8518" t="s" s="11">
        <v>255</v>
      </c>
      <c r="H8518" t="s" s="10">
        <v>255</v>
      </c>
      <c r="I8518" t="s" s="11">
        <v>255</v>
      </c>
      <c r="J8518" t="s" s="11">
        <v>20</v>
      </c>
      <c r="K8518" t="s" s="16">
        <f>HYPERLINK("http://csr.bu.edu/ftp/asl/asllvd/demos/verify_start_end_handshape_annotations//test_auto_move//signs_mov/15818.mov","MOV")</f>
        <v>21</v>
      </c>
      <c r="L8518" t="s" s="16">
        <f>HYPERLINK("http://csr.bu.edu/ftp/asl/asllvd/demos/verify_start_end_handshape_annotations//test_auto_move//signs_mov_separ_signers/Brady_15818.mov","MOV")</f>
        <v>21</v>
      </c>
      <c r="M8518" t="s" s="10">
        <v>40</v>
      </c>
      <c r="N8518" s="17">
        <v>85</v>
      </c>
      <c r="O8518" s="18">
        <v>1902</v>
      </c>
      <c r="P8518" s="18">
        <v>1965</v>
      </c>
      <c r="Q8518" t="s" s="16">
        <f>HYPERLINK("http://secrets.rutgers.edu:8080/data/asl-ftp/asllvd/demos/verify_start_end_handshape_annotations//test_auto_move//signs_mov/15818.mov","MOV")</f>
        <v>21</v>
      </c>
      <c r="R8518" t="s" s="16">
        <f>HYPERLINK("http://secrets.rutgers.edu:8080/data/asl-ftp/asllvd/demos/verify_start_end_handshape_annotations//test_auto_move//signs_mov_separ_signers/Brady_15818.mov","MOV")</f>
        <v>21</v>
      </c>
    </row>
    <row r="8519" s="2" customFormat="1" ht="13.5" customHeight="1">
      <c r="B8519" s="13"/>
      <c r="C8519" t="s" s="9">
        <v>41</v>
      </c>
      <c r="D8519" t="s" s="8">
        <v>3069</v>
      </c>
      <c r="E8519" t="s" s="9">
        <v>3070</v>
      </c>
      <c r="F8519" t="s" s="10">
        <v>255</v>
      </c>
      <c r="G8519" t="s" s="11">
        <v>255</v>
      </c>
      <c r="H8519" t="s" s="10">
        <v>255</v>
      </c>
      <c r="I8519" t="s" s="11">
        <v>255</v>
      </c>
      <c r="J8519" t="s" s="11">
        <v>20</v>
      </c>
      <c r="K8519" s="15"/>
      <c r="L8519" t="s" s="16">
        <f>HYPERLINK("http://csr.bu.edu/ftp/asl/asllvd/demos/verify_start_end_handshape_annotations//test_auto_move//signs_mov_separ_signers/Lana_15818.mov","MOV")</f>
        <v>21</v>
      </c>
      <c r="M8519" t="s" s="10">
        <v>42</v>
      </c>
      <c r="N8519" s="17">
        <v>14</v>
      </c>
      <c r="O8519" s="18">
        <v>2570</v>
      </c>
      <c r="P8519" s="18">
        <v>2640</v>
      </c>
      <c r="Q8519" s="15"/>
      <c r="R8519" t="s" s="16">
        <f>HYPERLINK("http://secrets.rutgers.edu:8080/data/asl-ftp/asllvd/demos/verify_start_end_handshape_annotations//test_auto_move//signs_mov_separ_signers/Lana_15818.mov","MOV")</f>
        <v>21</v>
      </c>
    </row>
    <row r="8520" s="2" customFormat="1" ht="13.5" customHeight="1">
      <c r="B8520" s="13"/>
      <c r="C8520" t="s" s="9">
        <v>43</v>
      </c>
      <c r="D8520" t="s" s="8">
        <v>3069</v>
      </c>
      <c r="E8520" t="s" s="9">
        <v>3070</v>
      </c>
      <c r="F8520" t="s" s="10">
        <v>255</v>
      </c>
      <c r="G8520" t="s" s="11">
        <v>255</v>
      </c>
      <c r="H8520" t="s" s="10">
        <v>255</v>
      </c>
      <c r="I8520" t="s" s="11">
        <v>255</v>
      </c>
      <c r="J8520" t="s" s="11">
        <v>20</v>
      </c>
      <c r="K8520" s="15"/>
      <c r="L8520" t="s" s="16">
        <f>HYPERLINK("http://csr.bu.edu/ftp/asl/asllvd/demos/verify_start_end_handshape_annotations//test_auto_move//signs_mov_separ_signers/Dana_15818.mov","MOV")</f>
        <v>21</v>
      </c>
      <c r="M8520" t="s" s="10">
        <v>44</v>
      </c>
      <c r="N8520" s="17">
        <v>17</v>
      </c>
      <c r="O8520" s="18">
        <v>2859</v>
      </c>
      <c r="P8520" s="18">
        <v>2941</v>
      </c>
      <c r="Q8520" s="15"/>
      <c r="R8520" t="s" s="16">
        <f>HYPERLINK("http://secrets.rutgers.edu:8080/data/asl-ftp/asllvd/demos/verify_start_end_handshape_annotations//test_auto_move//signs_mov_separ_signers/Dana_15818.mov","MOV")</f>
        <v>21</v>
      </c>
    </row>
    <row r="8521" s="2" customFormat="1" ht="13.5" customHeight="1">
      <c r="B8521" t="s" s="8">
        <v>3071</v>
      </c>
      <c r="C8521" t="s" s="9">
        <v>14</v>
      </c>
      <c r="D8521" t="s" s="8">
        <v>14</v>
      </c>
      <c r="E8521" t="s" s="9">
        <v>14</v>
      </c>
      <c r="F8521" t="s" s="10">
        <v>14</v>
      </c>
      <c r="G8521" t="s" s="11">
        <v>14</v>
      </c>
      <c r="H8521" t="s" s="10">
        <v>14</v>
      </c>
      <c r="I8521" t="s" s="11">
        <v>14</v>
      </c>
      <c r="J8521" t="s" s="11">
        <v>14</v>
      </c>
      <c r="K8521" t="s" s="12">
        <v>14</v>
      </c>
      <c r="L8521" t="s" s="12">
        <v>14</v>
      </c>
      <c r="M8521" t="s" s="10">
        <v>14</v>
      </c>
      <c r="N8521" t="s" s="11">
        <v>14</v>
      </c>
      <c r="O8521" t="s" s="8">
        <v>14</v>
      </c>
      <c r="P8521" t="s" s="8">
        <v>14</v>
      </c>
      <c r="Q8521" t="s" s="12">
        <v>14</v>
      </c>
      <c r="R8521" t="s" s="12">
        <v>14</v>
      </c>
    </row>
    <row r="8522" s="2" customFormat="1" ht="13.5" customHeight="1">
      <c r="B8522" s="13"/>
      <c r="C8522" t="s" s="9">
        <v>16</v>
      </c>
      <c r="D8522" t="s" s="8">
        <v>3071</v>
      </c>
      <c r="E8522" t="s" s="9">
        <v>3072</v>
      </c>
      <c r="F8522" t="s" s="10">
        <v>230</v>
      </c>
      <c r="G8522" t="s" s="11">
        <v>230</v>
      </c>
      <c r="H8522" t="s" s="10">
        <v>230</v>
      </c>
      <c r="I8522" t="s" s="11">
        <v>230</v>
      </c>
      <c r="J8522" t="s" s="11">
        <v>20</v>
      </c>
      <c r="K8522" t="s" s="16">
        <f>HYPERLINK("http://csr.bu.edu/ftp/asl/asllvd/demos/verify_start_end_handshape_annotations//test_auto_move//signs_mov/15870.mov","MOV")</f>
        <v>21</v>
      </c>
      <c r="L8522" t="s" s="16">
        <f>HYPERLINK("http://csr.bu.edu/ftp/asl/asllvd/demos/verify_start_end_handshape_annotations//test_auto_move//signs_mov_separ_signers/Liz_15870.mov","MOV")</f>
        <v>21</v>
      </c>
      <c r="M8522" t="s" s="10">
        <v>36</v>
      </c>
      <c r="N8522" s="17">
        <v>18</v>
      </c>
      <c r="O8522" s="18">
        <v>416</v>
      </c>
      <c r="P8522" s="18">
        <v>477</v>
      </c>
      <c r="Q8522" t="s" s="16">
        <f>HYPERLINK("http://secrets.rutgers.edu:8080/data/asl-ftp/asllvd/demos/verify_start_end_handshape_annotations//test_auto_move//signs_mov/15870.mov","MOV")</f>
        <v>21</v>
      </c>
      <c r="R8522" t="s" s="16">
        <f>HYPERLINK("http://secrets.rutgers.edu:8080/data/asl-ftp/asllvd/demos/verify_start_end_handshape_annotations//test_auto_move//signs_mov_separ_signers/Liz_15870.mov","MOV")</f>
        <v>21</v>
      </c>
    </row>
    <row r="8523" s="2" customFormat="1" ht="13.5" customHeight="1">
      <c r="B8523" t="s" s="8">
        <v>3073</v>
      </c>
      <c r="C8523" t="s" s="9">
        <v>14</v>
      </c>
      <c r="D8523" t="s" s="8">
        <v>14</v>
      </c>
      <c r="E8523" t="s" s="9">
        <v>14</v>
      </c>
      <c r="F8523" t="s" s="10">
        <v>14</v>
      </c>
      <c r="G8523" t="s" s="11">
        <v>14</v>
      </c>
      <c r="H8523" t="s" s="10">
        <v>14</v>
      </c>
      <c r="I8523" t="s" s="11">
        <v>14</v>
      </c>
      <c r="J8523" t="s" s="11">
        <v>14</v>
      </c>
      <c r="K8523" t="s" s="12">
        <v>14</v>
      </c>
      <c r="L8523" t="s" s="12">
        <v>14</v>
      </c>
      <c r="M8523" t="s" s="10">
        <v>14</v>
      </c>
      <c r="N8523" t="s" s="11">
        <v>14</v>
      </c>
      <c r="O8523" t="s" s="8">
        <v>14</v>
      </c>
      <c r="P8523" t="s" s="8">
        <v>14</v>
      </c>
      <c r="Q8523" t="s" s="12">
        <v>14</v>
      </c>
      <c r="R8523" t="s" s="12">
        <v>14</v>
      </c>
    </row>
    <row r="8524" s="2" customFormat="1" ht="13.5" customHeight="1">
      <c r="B8524" s="13"/>
      <c r="C8524" t="s" s="9">
        <v>16</v>
      </c>
      <c r="D8524" t="s" s="8">
        <v>3073</v>
      </c>
      <c r="E8524" t="s" s="9">
        <v>3074</v>
      </c>
      <c r="F8524" t="s" s="10">
        <v>255</v>
      </c>
      <c r="G8524" t="s" s="11">
        <v>73</v>
      </c>
      <c r="H8524" t="s" s="10">
        <v>255</v>
      </c>
      <c r="I8524" t="s" s="11">
        <v>73</v>
      </c>
      <c r="J8524" t="s" s="11">
        <v>20</v>
      </c>
      <c r="K8524" s="15"/>
      <c r="L8524" t="s" s="16">
        <f>HYPERLINK("http://csr.bu.edu/ftp/asl/asllvd/demos/verify_start_end_handshape_annotations//test_auto_move//signs_mov_separ_signers/Liz_15922.mov","MOV")</f>
        <v>21</v>
      </c>
      <c r="M8524" t="s" s="10">
        <v>34</v>
      </c>
      <c r="N8524" s="17">
        <v>23</v>
      </c>
      <c r="O8524" s="18">
        <v>435</v>
      </c>
      <c r="P8524" s="18">
        <v>500</v>
      </c>
      <c r="Q8524" s="15"/>
      <c r="R8524" t="s" s="16">
        <f>HYPERLINK("http://secrets.rutgers.edu:8080/data/asl-ftp/asllvd/demos/verify_start_end_handshape_annotations//test_auto_move//signs_mov_separ_signers/Liz_15922.mov","MOV")</f>
        <v>21</v>
      </c>
    </row>
    <row r="8525" s="2" customFormat="1" ht="13.5" customHeight="1">
      <c r="B8525" s="13"/>
      <c r="C8525" t="s" s="9">
        <v>23</v>
      </c>
      <c r="D8525" t="s" s="8">
        <v>3073</v>
      </c>
      <c r="E8525" t="s" s="9">
        <v>3074</v>
      </c>
      <c r="F8525" t="s" s="10">
        <v>255</v>
      </c>
      <c r="G8525" t="s" s="11">
        <v>73</v>
      </c>
      <c r="H8525" t="s" s="10">
        <v>255</v>
      </c>
      <c r="I8525" t="s" s="11">
        <v>73</v>
      </c>
      <c r="J8525" t="s" s="11">
        <v>20</v>
      </c>
      <c r="K8525" s="15"/>
      <c r="L8525" t="s" s="16">
        <f>HYPERLINK("http://csr.bu.edu/ftp/asl/asllvd/demos/verify_start_end_handshape_annotations//test_auto_move//signs_mov_separ_signers/Tyler_15922.mov","MOV")</f>
        <v>21</v>
      </c>
      <c r="M8525" t="s" s="10">
        <v>92</v>
      </c>
      <c r="N8525" s="17">
        <v>51</v>
      </c>
      <c r="O8525" s="18">
        <v>372</v>
      </c>
      <c r="P8525" s="18">
        <v>425</v>
      </c>
      <c r="Q8525" s="15"/>
      <c r="R8525" t="s" s="16">
        <f>HYPERLINK("http://secrets.rutgers.edu:8080/data/asl-ftp/asllvd/demos/verify_start_end_handshape_annotations//test_auto_move//signs_mov_separ_signers/Tyler_15922.mov","MOV")</f>
        <v>21</v>
      </c>
    </row>
    <row r="8526" s="2" customFormat="1" ht="13.5" customHeight="1">
      <c r="B8526" s="13"/>
      <c r="C8526" t="s" s="9">
        <v>27</v>
      </c>
      <c r="D8526" t="s" s="8">
        <v>3073</v>
      </c>
      <c r="E8526" t="s" s="9">
        <v>3074</v>
      </c>
      <c r="F8526" t="s" s="10">
        <v>255</v>
      </c>
      <c r="G8526" t="s" s="11">
        <v>73</v>
      </c>
      <c r="H8526" t="s" s="10">
        <v>255</v>
      </c>
      <c r="I8526" t="s" s="11">
        <v>73</v>
      </c>
      <c r="J8526" t="s" s="11">
        <v>20</v>
      </c>
      <c r="K8526" t="s" s="16">
        <f>HYPERLINK("http://csr.bu.edu/ftp/asl/asllvd/demos/verify_start_end_handshape_annotations//test_auto_move//signs_mov/15922.mov","MOV")</f>
        <v>21</v>
      </c>
      <c r="L8526" t="s" s="16">
        <f>HYPERLINK("http://csr.bu.edu/ftp/asl/asllvd/demos/verify_start_end_handshape_annotations//test_auto_move//signs_mov_separ_signers/Naomi_15922.mov","MOV")</f>
        <v>21</v>
      </c>
      <c r="M8526" t="s" s="10">
        <v>38</v>
      </c>
      <c r="N8526" s="17">
        <v>19</v>
      </c>
      <c r="O8526" s="18">
        <v>247</v>
      </c>
      <c r="P8526" s="18">
        <v>292</v>
      </c>
      <c r="Q8526" t="s" s="16">
        <f>HYPERLINK("http://secrets.rutgers.edu:8080/data/asl-ftp/asllvd/demos/verify_start_end_handshape_annotations//test_auto_move//signs_mov/15922.mov","MOV")</f>
        <v>21</v>
      </c>
      <c r="R8526" t="s" s="16">
        <f>HYPERLINK("http://secrets.rutgers.edu:8080/data/asl-ftp/asllvd/demos/verify_start_end_handshape_annotations//test_auto_move//signs_mov_separ_signers/Naomi_15922.mov","MOV")</f>
        <v>21</v>
      </c>
    </row>
    <row r="8527" s="2" customFormat="1" ht="13.5" customHeight="1">
      <c r="B8527" s="13"/>
      <c r="C8527" t="s" s="9">
        <v>30</v>
      </c>
      <c r="D8527" t="s" s="8">
        <v>3073</v>
      </c>
      <c r="E8527" t="s" s="9">
        <v>3075</v>
      </c>
      <c r="F8527" t="s" s="10">
        <v>255</v>
      </c>
      <c r="G8527" t="s" s="11">
        <v>73</v>
      </c>
      <c r="H8527" t="s" s="10">
        <v>255</v>
      </c>
      <c r="I8527" t="s" s="11">
        <v>73</v>
      </c>
      <c r="J8527" t="s" s="11">
        <v>20</v>
      </c>
      <c r="K8527" s="15"/>
      <c r="L8527" t="s" s="16">
        <f>HYPERLINK("http://csr.bu.edu/ftp/asl/asllvd/demos/verify_start_end_handshape_annotations//test_auto_move//signs_mov_separ_signers/Brady_15922.mov","MOV")</f>
        <v>21</v>
      </c>
      <c r="M8527" t="s" s="10">
        <v>39</v>
      </c>
      <c r="N8527" s="17">
        <v>34</v>
      </c>
      <c r="O8527" s="18">
        <v>4530</v>
      </c>
      <c r="P8527" s="18">
        <v>4560</v>
      </c>
      <c r="Q8527" s="15"/>
      <c r="R8527" t="s" s="16">
        <f>HYPERLINK("http://secrets.rutgers.edu:8080/data/asl-ftp/asllvd/demos/verify_start_end_handshape_annotations//test_auto_move//signs_mov_separ_signers/Brady_15922.mov","MOV")</f>
        <v>21</v>
      </c>
    </row>
    <row r="8528" s="2" customFormat="1" ht="13.5" customHeight="1">
      <c r="B8528" s="13"/>
      <c r="C8528" t="s" s="9">
        <v>41</v>
      </c>
      <c r="D8528" t="s" s="8">
        <v>3073</v>
      </c>
      <c r="E8528" t="s" s="9">
        <v>3075</v>
      </c>
      <c r="F8528" t="s" s="10">
        <v>255</v>
      </c>
      <c r="G8528" s="17">
        <v>5</v>
      </c>
      <c r="H8528" t="s" s="10">
        <v>255</v>
      </c>
      <c r="I8528" s="17">
        <v>5</v>
      </c>
      <c r="J8528" t="s" s="11">
        <v>20</v>
      </c>
      <c r="K8528" s="15"/>
      <c r="L8528" t="s" s="16">
        <f>HYPERLINK("http://csr.bu.edu/ftp/asl/asllvd/demos/verify_start_end_handshape_annotations//test_auto_move//signs_mov_separ_signers/Lana_15922.mov","MOV")</f>
        <v>21</v>
      </c>
      <c r="M8528" t="s" s="10">
        <v>42</v>
      </c>
      <c r="N8528" s="17">
        <v>14</v>
      </c>
      <c r="O8528" s="18">
        <v>513</v>
      </c>
      <c r="P8528" s="18">
        <v>547</v>
      </c>
      <c r="Q8528" s="15"/>
      <c r="R8528" t="s" s="16">
        <f>HYPERLINK("http://secrets.rutgers.edu:8080/data/asl-ftp/asllvd/demos/verify_start_end_handshape_annotations//test_auto_move//signs_mov_separ_signers/Lana_15922.mov","MOV")</f>
        <v>21</v>
      </c>
    </row>
    <row r="8529" s="2" customFormat="1" ht="13.5" customHeight="1">
      <c r="B8529" s="13"/>
      <c r="C8529" t="s" s="9">
        <v>43</v>
      </c>
      <c r="D8529" t="s" s="8">
        <v>3073</v>
      </c>
      <c r="E8529" t="s" s="9">
        <v>3074</v>
      </c>
      <c r="F8529" t="s" s="10">
        <v>255</v>
      </c>
      <c r="G8529" t="s" s="11">
        <v>73</v>
      </c>
      <c r="H8529" t="s" s="10">
        <v>255</v>
      </c>
      <c r="I8529" t="s" s="11">
        <v>73</v>
      </c>
      <c r="J8529" t="s" s="11">
        <v>20</v>
      </c>
      <c r="K8529" s="15"/>
      <c r="L8529" t="s" s="16">
        <f>HYPERLINK("http://csr.bu.edu/ftp/asl/asllvd/demos/verify_start_end_handshape_annotations//test_auto_move//signs_mov_separ_signers/Dana_15922.mov","MOV")</f>
        <v>21</v>
      </c>
      <c r="M8529" t="s" s="10">
        <v>44</v>
      </c>
      <c r="N8529" s="17">
        <v>17</v>
      </c>
      <c r="O8529" s="18">
        <v>917</v>
      </c>
      <c r="P8529" s="18">
        <v>968</v>
      </c>
      <c r="Q8529" s="15"/>
      <c r="R8529" t="s" s="16">
        <f>HYPERLINK("http://secrets.rutgers.edu:8080/data/asl-ftp/asllvd/demos/verify_start_end_handshape_annotations//test_auto_move//signs_mov_separ_signers/Dana_15922.mov","MOV")</f>
        <v>21</v>
      </c>
    </row>
    <row r="8530" s="2" customFormat="1" ht="13.5" customHeight="1">
      <c r="B8530" t="s" s="8">
        <v>3076</v>
      </c>
      <c r="C8530" t="s" s="9">
        <v>14</v>
      </c>
      <c r="D8530" t="s" s="8">
        <v>14</v>
      </c>
      <c r="E8530" t="s" s="9">
        <v>14</v>
      </c>
      <c r="F8530" t="s" s="10">
        <v>14</v>
      </c>
      <c r="G8530" t="s" s="11">
        <v>14</v>
      </c>
      <c r="H8530" t="s" s="10">
        <v>14</v>
      </c>
      <c r="I8530" t="s" s="11">
        <v>14</v>
      </c>
      <c r="J8530" t="s" s="11">
        <v>14</v>
      </c>
      <c r="K8530" t="s" s="12">
        <v>14</v>
      </c>
      <c r="L8530" t="s" s="12">
        <v>14</v>
      </c>
      <c r="M8530" t="s" s="10">
        <v>14</v>
      </c>
      <c r="N8530" t="s" s="11">
        <v>14</v>
      </c>
      <c r="O8530" t="s" s="8">
        <v>14</v>
      </c>
      <c r="P8530" t="s" s="8">
        <v>14</v>
      </c>
      <c r="Q8530" t="s" s="12">
        <v>14</v>
      </c>
      <c r="R8530" t="s" s="12">
        <v>14</v>
      </c>
    </row>
    <row r="8531" s="2" customFormat="1" ht="13.5" customHeight="1">
      <c r="B8531" s="13"/>
      <c r="C8531" t="s" s="9">
        <v>16</v>
      </c>
      <c r="D8531" t="s" s="8">
        <v>3076</v>
      </c>
      <c r="E8531" t="s" s="9">
        <v>3076</v>
      </c>
      <c r="F8531" t="s" s="10">
        <v>109</v>
      </c>
      <c r="G8531" t="s" s="11">
        <v>109</v>
      </c>
      <c r="H8531" t="s" s="10">
        <v>109</v>
      </c>
      <c r="I8531" t="s" s="11">
        <v>109</v>
      </c>
      <c r="J8531" t="s" s="11">
        <v>20</v>
      </c>
      <c r="K8531" t="s" s="16">
        <f>HYPERLINK("http://csr.bu.edu/ftp/asl/asllvd/demos/verify_start_end_handshape_annotations//test_auto_move//signs_mov/4773.mov","MOV")</f>
        <v>21</v>
      </c>
      <c r="L8531" t="s" s="16">
        <f>HYPERLINK("http://csr.bu.edu/ftp/asl/asllvd/demos/verify_start_end_handshape_annotations//test_auto_move//signs_mov_separ_signers/Liz_4773.mov","MOV")</f>
        <v>21</v>
      </c>
      <c r="M8531" t="s" s="10">
        <v>36</v>
      </c>
      <c r="N8531" s="17">
        <v>18</v>
      </c>
      <c r="O8531" s="18">
        <v>654</v>
      </c>
      <c r="P8531" s="18">
        <v>710</v>
      </c>
      <c r="Q8531" t="s" s="16">
        <f>HYPERLINK("http://secrets.rutgers.edu:8080/data/asl-ftp/asllvd/demos/verify_start_end_handshape_annotations//test_auto_move//signs_mov/4773.mov","MOV")</f>
        <v>21</v>
      </c>
      <c r="R8531" t="s" s="16">
        <f>HYPERLINK("http://secrets.rutgers.edu:8080/data/asl-ftp/asllvd/demos/verify_start_end_handshape_annotations//test_auto_move//signs_mov_separ_signers/Liz_4773.mov","MOV")</f>
        <v>21</v>
      </c>
    </row>
    <row r="8532" s="2" customFormat="1" ht="13.5" customHeight="1">
      <c r="B8532" t="s" s="8">
        <v>3077</v>
      </c>
      <c r="C8532" t="s" s="9">
        <v>14</v>
      </c>
      <c r="D8532" t="s" s="8">
        <v>14</v>
      </c>
      <c r="E8532" t="s" s="9">
        <v>14</v>
      </c>
      <c r="F8532" t="s" s="10">
        <v>14</v>
      </c>
      <c r="G8532" t="s" s="11">
        <v>14</v>
      </c>
      <c r="H8532" t="s" s="10">
        <v>14</v>
      </c>
      <c r="I8532" t="s" s="11">
        <v>14</v>
      </c>
      <c r="J8532" t="s" s="11">
        <v>14</v>
      </c>
      <c r="K8532" t="s" s="12">
        <v>14</v>
      </c>
      <c r="L8532" t="s" s="12">
        <v>14</v>
      </c>
      <c r="M8532" t="s" s="10">
        <v>14</v>
      </c>
      <c r="N8532" t="s" s="11">
        <v>14</v>
      </c>
      <c r="O8532" t="s" s="8">
        <v>14</v>
      </c>
      <c r="P8532" t="s" s="8">
        <v>14</v>
      </c>
      <c r="Q8532" t="s" s="12">
        <v>14</v>
      </c>
      <c r="R8532" t="s" s="12">
        <v>14</v>
      </c>
    </row>
    <row r="8533" s="2" customFormat="1" ht="13.5" customHeight="1">
      <c r="B8533" s="13"/>
      <c r="C8533" t="s" s="9">
        <v>16</v>
      </c>
      <c r="D8533" t="s" s="8">
        <v>3077</v>
      </c>
      <c r="E8533" t="s" s="9">
        <v>3077</v>
      </c>
      <c r="F8533" s="19">
        <v>10</v>
      </c>
      <c r="G8533" t="s" s="11">
        <v>73</v>
      </c>
      <c r="H8533" s="19">
        <v>10</v>
      </c>
      <c r="I8533" t="s" s="11">
        <v>73</v>
      </c>
      <c r="J8533" t="s" s="11">
        <v>20</v>
      </c>
      <c r="K8533" s="15"/>
      <c r="L8533" t="s" s="16">
        <f>HYPERLINK("http://csr.bu.edu/ftp/asl/asllvd/demos/verify_start_end_handshape_annotations//test_auto_move//signs_mov_separ_signers/Liz_2298.mov","MOV")</f>
        <v>21</v>
      </c>
      <c r="M8533" t="s" s="10">
        <v>36</v>
      </c>
      <c r="N8533" s="17">
        <v>33</v>
      </c>
      <c r="O8533" s="18">
        <v>2275</v>
      </c>
      <c r="P8533" s="18">
        <v>2295</v>
      </c>
      <c r="Q8533" s="15"/>
      <c r="R8533" t="s" s="16">
        <f>HYPERLINK("http://secrets.rutgers.edu:8080/data/asl-ftp/asllvd/demos/verify_start_end_handshape_annotations//test_auto_move//signs_mov_separ_signers/Liz_2298.mov","MOV")</f>
        <v>21</v>
      </c>
    </row>
    <row r="8534" s="2" customFormat="1" ht="13.5" customHeight="1">
      <c r="B8534" s="13"/>
      <c r="C8534" t="s" s="9">
        <v>30</v>
      </c>
      <c r="D8534" t="s" s="8">
        <v>3077</v>
      </c>
      <c r="E8534" t="s" s="9">
        <v>3077</v>
      </c>
      <c r="F8534" t="s" s="10">
        <v>80</v>
      </c>
      <c r="G8534" t="s" s="11">
        <v>73</v>
      </c>
      <c r="H8534" t="s" s="10">
        <v>63</v>
      </c>
      <c r="I8534" t="s" s="11">
        <v>73</v>
      </c>
      <c r="J8534" t="s" s="11">
        <v>20</v>
      </c>
      <c r="K8534" t="s" s="16">
        <f>HYPERLINK("http://csr.bu.edu/ftp/asl/asllvd/demos/verify_start_end_handshape_annotations//test_auto_move//signs_mov/2298.mov","MOV")</f>
        <v>21</v>
      </c>
      <c r="L8534" t="s" s="16">
        <f>HYPERLINK("http://csr.bu.edu/ftp/asl/asllvd/demos/verify_start_end_handshape_annotations//test_auto_move//signs_mov_separ_signers/Brady_2298.mov","MOV")</f>
        <v>21</v>
      </c>
      <c r="M8534" t="s" s="10">
        <v>40</v>
      </c>
      <c r="N8534" s="17">
        <v>86</v>
      </c>
      <c r="O8534" s="18">
        <v>333</v>
      </c>
      <c r="P8534" s="18">
        <v>347</v>
      </c>
      <c r="Q8534" t="s" s="16">
        <f>HYPERLINK("http://secrets.rutgers.edu:8080/data/asl-ftp/asllvd/demos/verify_start_end_handshape_annotations//test_auto_move//signs_mov/2298.mov","MOV")</f>
        <v>21</v>
      </c>
      <c r="R8534" t="s" s="16">
        <f>HYPERLINK("http://secrets.rutgers.edu:8080/data/asl-ftp/asllvd/demos/verify_start_end_handshape_annotations//test_auto_move//signs_mov_separ_signers/Brady_2298.mov","MOV")</f>
        <v>21</v>
      </c>
    </row>
    <row r="8535" s="2" customFormat="1" ht="13.5" customHeight="1">
      <c r="B8535" s="13"/>
      <c r="C8535" t="s" s="9">
        <v>41</v>
      </c>
      <c r="D8535" t="s" s="8">
        <v>3077</v>
      </c>
      <c r="E8535" t="s" s="9">
        <v>3077</v>
      </c>
      <c r="F8535" t="s" s="10">
        <v>80</v>
      </c>
      <c r="G8535" t="s" s="11">
        <v>73</v>
      </c>
      <c r="H8535" t="s" s="10">
        <v>63</v>
      </c>
      <c r="I8535" t="s" s="11">
        <v>73</v>
      </c>
      <c r="J8535" t="s" s="11">
        <v>20</v>
      </c>
      <c r="K8535" s="15"/>
      <c r="L8535" t="s" s="16">
        <f>HYPERLINK("http://csr.bu.edu/ftp/asl/asllvd/demos/verify_start_end_handshape_annotations//test_auto_move//signs_mov_separ_signers/Lana_2298.mov","MOV")</f>
        <v>21</v>
      </c>
      <c r="M8535" t="s" s="10">
        <v>42</v>
      </c>
      <c r="N8535" s="17">
        <v>25</v>
      </c>
      <c r="O8535" s="18">
        <v>1794</v>
      </c>
      <c r="P8535" s="18">
        <v>1808</v>
      </c>
      <c r="Q8535" s="15"/>
      <c r="R8535" t="s" s="16">
        <f>HYPERLINK("http://secrets.rutgers.edu:8080/data/asl-ftp/asllvd/demos/verify_start_end_handshape_annotations//test_auto_move//signs_mov_separ_signers/Lana_2298.mov","MOV")</f>
        <v>21</v>
      </c>
    </row>
    <row r="8536" s="2" customFormat="1" ht="13.5" customHeight="1">
      <c r="B8536" s="13"/>
      <c r="C8536" t="s" s="9">
        <v>43</v>
      </c>
      <c r="D8536" t="s" s="8">
        <v>3077</v>
      </c>
      <c r="E8536" t="s" s="9">
        <v>3077</v>
      </c>
      <c r="F8536" s="19">
        <v>10</v>
      </c>
      <c r="G8536" t="s" s="11">
        <v>73</v>
      </c>
      <c r="H8536" t="s" s="10">
        <v>63</v>
      </c>
      <c r="I8536" t="s" s="11">
        <v>73</v>
      </c>
      <c r="J8536" t="s" s="11">
        <v>20</v>
      </c>
      <c r="K8536" s="15"/>
      <c r="L8536" t="s" s="16">
        <f>HYPERLINK("http://csr.bu.edu/ftp/asl/asllvd/demos/verify_start_end_handshape_annotations//test_auto_move//signs_mov_separ_signers/Dana_2298.mov","MOV")</f>
        <v>21</v>
      </c>
      <c r="M8536" t="s" s="10">
        <v>44</v>
      </c>
      <c r="N8536" s="17">
        <v>27</v>
      </c>
      <c r="O8536" s="18">
        <v>1706</v>
      </c>
      <c r="P8536" s="18">
        <v>1744</v>
      </c>
      <c r="Q8536" s="15"/>
      <c r="R8536" t="s" s="16">
        <f>HYPERLINK("http://secrets.rutgers.edu:8080/data/asl-ftp/asllvd/demos/verify_start_end_handshape_annotations//test_auto_move//signs_mov_separ_signers/Dana_2298.mov","MOV")</f>
        <v>21</v>
      </c>
    </row>
    <row r="8537" s="2" customFormat="1" ht="13.5" customHeight="1">
      <c r="B8537" t="s" s="8">
        <v>3078</v>
      </c>
      <c r="C8537" t="s" s="9">
        <v>14</v>
      </c>
      <c r="D8537" t="s" s="8">
        <v>14</v>
      </c>
      <c r="E8537" t="s" s="9">
        <v>14</v>
      </c>
      <c r="F8537" t="s" s="10">
        <v>14</v>
      </c>
      <c r="G8537" t="s" s="11">
        <v>14</v>
      </c>
      <c r="H8537" t="s" s="10">
        <v>14</v>
      </c>
      <c r="I8537" t="s" s="11">
        <v>14</v>
      </c>
      <c r="J8537" t="s" s="11">
        <v>14</v>
      </c>
      <c r="K8537" t="s" s="12">
        <v>14</v>
      </c>
      <c r="L8537" t="s" s="12">
        <v>14</v>
      </c>
      <c r="M8537" t="s" s="10">
        <v>14</v>
      </c>
      <c r="N8537" t="s" s="11">
        <v>14</v>
      </c>
      <c r="O8537" t="s" s="8">
        <v>14</v>
      </c>
      <c r="P8537" t="s" s="8">
        <v>14</v>
      </c>
      <c r="Q8537" t="s" s="12">
        <v>14</v>
      </c>
      <c r="R8537" t="s" s="12">
        <v>14</v>
      </c>
    </row>
    <row r="8538" s="2" customFormat="1" ht="13.5" customHeight="1">
      <c r="B8538" s="13"/>
      <c r="C8538" t="s" s="9">
        <v>16</v>
      </c>
      <c r="D8538" t="s" s="8">
        <v>3078</v>
      </c>
      <c r="E8538" t="s" s="9">
        <v>3078</v>
      </c>
      <c r="F8538" t="s" s="10">
        <v>292</v>
      </c>
      <c r="G8538" s="14"/>
      <c r="H8538" t="s" s="10">
        <v>292</v>
      </c>
      <c r="I8538" s="14"/>
      <c r="J8538" t="s" s="11">
        <v>20</v>
      </c>
      <c r="K8538" s="15"/>
      <c r="L8538" t="s" s="16">
        <f>HYPERLINK("http://csr.bu.edu/ftp/asl/asllvd/demos/verify_start_end_handshape_annotations//test_auto_move//signs_mov_separ_signers/Liz_2299.mov","MOV")</f>
        <v>21</v>
      </c>
      <c r="M8538" t="s" s="10">
        <v>22</v>
      </c>
      <c r="N8538" s="17">
        <v>73</v>
      </c>
      <c r="O8538" s="18">
        <v>200</v>
      </c>
      <c r="P8538" s="18">
        <v>245</v>
      </c>
      <c r="Q8538" s="15"/>
      <c r="R8538" t="s" s="16">
        <f>HYPERLINK("http://secrets.rutgers.edu:8080/data/asl-ftp/asllvd/demos/verify_start_end_handshape_annotations//test_auto_move//signs_mov_separ_signers/Liz_2299.mov","MOV")</f>
        <v>21</v>
      </c>
    </row>
    <row r="8539" s="2" customFormat="1" ht="13.5" customHeight="1">
      <c r="B8539" s="13"/>
      <c r="C8539" t="s" s="9">
        <v>16</v>
      </c>
      <c r="D8539" t="s" s="8">
        <v>3078</v>
      </c>
      <c r="E8539" t="s" s="9">
        <v>3078</v>
      </c>
      <c r="F8539" t="s" s="10">
        <v>292</v>
      </c>
      <c r="G8539" s="14"/>
      <c r="H8539" t="s" s="10">
        <v>292</v>
      </c>
      <c r="I8539" s="14"/>
      <c r="J8539" t="s" s="11">
        <v>20</v>
      </c>
      <c r="K8539" s="15"/>
      <c r="L8539" t="s" s="16">
        <f>HYPERLINK("http://csr.bu.edu/ftp/asl/asllvd/demos/verify_start_end_handshape_annotations//test_auto_move//signs_mov_separ_signers/Liz_16264.mov","MOV")</f>
        <v>21</v>
      </c>
      <c r="M8539" t="s" s="10">
        <v>36</v>
      </c>
      <c r="N8539" s="17">
        <v>33</v>
      </c>
      <c r="O8539" s="18">
        <v>2647</v>
      </c>
      <c r="P8539" s="18">
        <v>2705</v>
      </c>
      <c r="Q8539" s="15"/>
      <c r="R8539" t="s" s="16">
        <f>HYPERLINK("http://secrets.rutgers.edu:8080/data/asl-ftp/asllvd/demos/verify_start_end_handshape_annotations//test_auto_move//signs_mov_separ_signers/Liz_16264.mov","MOV")</f>
        <v>21</v>
      </c>
    </row>
    <row r="8540" s="2" customFormat="1" ht="13.5" customHeight="1">
      <c r="B8540" s="13"/>
      <c r="C8540" t="s" s="9">
        <v>27</v>
      </c>
      <c r="D8540" t="s" s="8">
        <v>3078</v>
      </c>
      <c r="E8540" t="s" s="9">
        <v>3078</v>
      </c>
      <c r="F8540" t="s" s="10">
        <v>292</v>
      </c>
      <c r="G8540" s="14"/>
      <c r="H8540" t="s" s="10">
        <v>292</v>
      </c>
      <c r="I8540" s="14"/>
      <c r="J8540" t="s" s="11">
        <v>20</v>
      </c>
      <c r="K8540" t="s" s="16">
        <f>HYPERLINK("http://csr.bu.edu/ftp/asl/asllvd/demos/verify_start_end_handshape_annotations//test_auto_move//signs_mov/2299_16264_merged.mov","MOV")</f>
        <v>21</v>
      </c>
      <c r="L8540" t="s" s="16">
        <f>HYPERLINK("http://csr.bu.edu/ftp/asl/asllvd/demos/verify_start_end_handshape_annotations//test_auto_move//signs_mov_separ_signers/Naomi_2299.mov","MOV")</f>
        <v>21</v>
      </c>
      <c r="M8540" t="s" s="10">
        <v>29</v>
      </c>
      <c r="N8540" s="17">
        <v>46</v>
      </c>
      <c r="O8540" s="18">
        <v>2565</v>
      </c>
      <c r="P8540" s="18">
        <v>2585</v>
      </c>
      <c r="Q8540" t="s" s="16">
        <f>HYPERLINK("http://secrets.rutgers.edu:8080/data/asl-ftp/asllvd/demos/verify_start_end_handshape_annotations//test_auto_move//signs_mov/2299_16264_merged.mov","MOV")</f>
        <v>21</v>
      </c>
      <c r="R8540" t="s" s="16">
        <f>HYPERLINK("http://secrets.rutgers.edu:8080/data/asl-ftp/asllvd/demos/verify_start_end_handshape_annotations//test_auto_move//signs_mov_separ_signers/Naomi_2299.mov","MOV")</f>
        <v>21</v>
      </c>
    </row>
    <row r="8541" s="2" customFormat="1" ht="13.5" customHeight="1">
      <c r="B8541" s="13"/>
      <c r="C8541" t="s" s="9">
        <v>30</v>
      </c>
      <c r="D8541" t="s" s="8">
        <v>3078</v>
      </c>
      <c r="E8541" t="s" s="9">
        <v>3078</v>
      </c>
      <c r="F8541" t="s" s="10">
        <v>292</v>
      </c>
      <c r="G8541" s="14"/>
      <c r="H8541" t="s" s="10">
        <v>292</v>
      </c>
      <c r="I8541" s="14"/>
      <c r="J8541" t="s" s="11">
        <v>20</v>
      </c>
      <c r="K8541" s="15"/>
      <c r="L8541" t="s" s="16">
        <f>HYPERLINK("http://csr.bu.edu/ftp/asl/asllvd/demos/verify_start_end_handshape_annotations//test_auto_move//signs_mov_separ_signers/Brady_2299.mov","MOV")</f>
        <v>21</v>
      </c>
      <c r="M8541" t="s" s="10">
        <v>31</v>
      </c>
      <c r="N8541" s="17">
        <v>27</v>
      </c>
      <c r="O8541" s="18">
        <v>3100</v>
      </c>
      <c r="P8541" s="18">
        <v>3125</v>
      </c>
      <c r="Q8541" s="15"/>
      <c r="R8541" t="s" s="16">
        <f>HYPERLINK("http://secrets.rutgers.edu:8080/data/asl-ftp/asllvd/demos/verify_start_end_handshape_annotations//test_auto_move//signs_mov_separ_signers/Brady_2299.mov","MOV")</f>
        <v>21</v>
      </c>
    </row>
    <row r="8542" s="2" customFormat="1" ht="13.5" customHeight="1">
      <c r="B8542" s="13"/>
      <c r="C8542" t="s" s="9">
        <v>30</v>
      </c>
      <c r="D8542" t="s" s="8">
        <v>3078</v>
      </c>
      <c r="E8542" t="s" s="9">
        <v>3078</v>
      </c>
      <c r="F8542" t="s" s="10">
        <v>292</v>
      </c>
      <c r="G8542" s="14"/>
      <c r="H8542" t="s" s="10">
        <v>292</v>
      </c>
      <c r="I8542" s="14"/>
      <c r="J8542" t="s" s="11">
        <v>20</v>
      </c>
      <c r="K8542" s="15"/>
      <c r="L8542" t="s" s="16">
        <f>HYPERLINK("http://csr.bu.edu/ftp/asl/asllvd/demos/verify_start_end_handshape_annotations//test_auto_move//signs_mov_separ_signers/Brady_16264.mov","MOV")</f>
        <v>21</v>
      </c>
      <c r="M8542" t="s" s="10">
        <v>40</v>
      </c>
      <c r="N8542" s="17">
        <v>86</v>
      </c>
      <c r="O8542" s="18">
        <v>694</v>
      </c>
      <c r="P8542" s="18">
        <v>730</v>
      </c>
      <c r="Q8542" s="15"/>
      <c r="R8542" t="s" s="16">
        <f>HYPERLINK("http://secrets.rutgers.edu:8080/data/asl-ftp/asllvd/demos/verify_start_end_handshape_annotations//test_auto_move//signs_mov_separ_signers/Brady_16264.mov","MOV")</f>
        <v>21</v>
      </c>
    </row>
    <row r="8543" s="2" customFormat="1" ht="13.5" customHeight="1">
      <c r="B8543" t="s" s="8">
        <v>52</v>
      </c>
      <c r="C8543" t="s" s="9">
        <v>53</v>
      </c>
      <c r="D8543" t="s" s="8">
        <v>53</v>
      </c>
      <c r="E8543" t="s" s="9">
        <v>53</v>
      </c>
      <c r="F8543" t="s" s="10">
        <v>53</v>
      </c>
      <c r="G8543" t="s" s="11">
        <v>53</v>
      </c>
      <c r="H8543" t="s" s="10">
        <v>53</v>
      </c>
      <c r="I8543" t="s" s="11">
        <v>53</v>
      </c>
      <c r="J8543" t="s" s="11">
        <v>53</v>
      </c>
      <c r="K8543" t="s" s="12">
        <v>53</v>
      </c>
      <c r="L8543" t="s" s="12">
        <v>53</v>
      </c>
      <c r="M8543" t="s" s="10">
        <v>53</v>
      </c>
      <c r="N8543" t="s" s="11">
        <v>53</v>
      </c>
      <c r="O8543" t="s" s="8">
        <v>53</v>
      </c>
      <c r="P8543" t="s" s="8">
        <v>53</v>
      </c>
      <c r="Q8543" t="s" s="12">
        <v>53</v>
      </c>
      <c r="R8543" t="s" s="12">
        <v>53</v>
      </c>
    </row>
    <row r="8544" s="2" customFormat="1" ht="13.5" customHeight="1">
      <c r="B8544" s="13"/>
      <c r="C8544" t="s" s="9">
        <v>23</v>
      </c>
      <c r="D8544" t="s" s="8">
        <v>3078</v>
      </c>
      <c r="E8544" t="s" s="9">
        <v>3079</v>
      </c>
      <c r="F8544" t="s" s="10">
        <v>337</v>
      </c>
      <c r="G8544" s="14"/>
      <c r="H8544" t="s" s="10">
        <v>337</v>
      </c>
      <c r="I8544" s="14"/>
      <c r="J8544" t="s" s="11">
        <v>20</v>
      </c>
      <c r="K8544" t="s" s="16">
        <f>HYPERLINK("http://csr.bu.edu/ftp/asl/asllvd/demos/verify_start_end_handshape_annotations//test_auto_move//signs_mov/16274.mov","MOV")</f>
        <v>21</v>
      </c>
      <c r="L8544" t="s" s="16">
        <f>HYPERLINK("http://csr.bu.edu/ftp/asl/asllvd/demos/verify_start_end_handshape_annotations//test_auto_move//signs_mov_separ_signers/Tyler_16274.mov","MOV")</f>
        <v>21</v>
      </c>
      <c r="M8544" t="s" s="10">
        <v>26</v>
      </c>
      <c r="N8544" s="17">
        <v>44</v>
      </c>
      <c r="O8544" s="18">
        <v>4267</v>
      </c>
      <c r="P8544" s="18">
        <v>4307</v>
      </c>
      <c r="Q8544" t="s" s="16">
        <f>HYPERLINK("http://secrets.rutgers.edu:8080/data/asl-ftp/asllvd/demos/verify_start_end_handshape_annotations//test_auto_move//signs_mov/16274.mov","MOV")</f>
        <v>21</v>
      </c>
      <c r="R8544" t="s" s="16">
        <f>HYPERLINK("http://secrets.rutgers.edu:8080/data/asl-ftp/asllvd/demos/verify_start_end_handshape_annotations//test_auto_move//signs_mov_separ_signers/Tyler_16274.mov","MOV")</f>
        <v>21</v>
      </c>
    </row>
    <row r="8545" s="2" customFormat="1" ht="13.5" customHeight="1">
      <c r="B8545" t="s" s="8">
        <v>3080</v>
      </c>
      <c r="C8545" t="s" s="9">
        <v>14</v>
      </c>
      <c r="D8545" t="s" s="8">
        <v>14</v>
      </c>
      <c r="E8545" t="s" s="9">
        <v>14</v>
      </c>
      <c r="F8545" t="s" s="10">
        <v>14</v>
      </c>
      <c r="G8545" t="s" s="11">
        <v>14</v>
      </c>
      <c r="H8545" t="s" s="10">
        <v>14</v>
      </c>
      <c r="I8545" t="s" s="11">
        <v>14</v>
      </c>
      <c r="J8545" t="s" s="11">
        <v>14</v>
      </c>
      <c r="K8545" t="s" s="12">
        <v>14</v>
      </c>
      <c r="L8545" t="s" s="12">
        <v>14</v>
      </c>
      <c r="M8545" t="s" s="10">
        <v>14</v>
      </c>
      <c r="N8545" t="s" s="11">
        <v>14</v>
      </c>
      <c r="O8545" t="s" s="8">
        <v>14</v>
      </c>
      <c r="P8545" t="s" s="8">
        <v>14</v>
      </c>
      <c r="Q8545" t="s" s="12">
        <v>14</v>
      </c>
      <c r="R8545" t="s" s="12">
        <v>14</v>
      </c>
    </row>
    <row r="8546" s="2" customFormat="1" ht="13.5" customHeight="1">
      <c r="B8546" s="13"/>
      <c r="C8546" t="s" s="9">
        <v>16</v>
      </c>
      <c r="D8546" t="s" s="8">
        <v>3080</v>
      </c>
      <c r="E8546" t="s" s="9">
        <v>3080</v>
      </c>
      <c r="F8546" t="s" s="10">
        <v>287</v>
      </c>
      <c r="G8546" t="s" s="11">
        <v>287</v>
      </c>
      <c r="H8546" t="s" s="10">
        <v>287</v>
      </c>
      <c r="I8546" t="s" s="11">
        <v>287</v>
      </c>
      <c r="J8546" t="s" s="11">
        <v>20</v>
      </c>
      <c r="K8546" t="s" s="16">
        <f>HYPERLINK("http://csr.bu.edu/ftp/asl/asllvd/demos/verify_start_end_handshape_annotations//test_auto_move//signs_mov/2300.mov","MOV")</f>
        <v>21</v>
      </c>
      <c r="L8546" t="s" s="16">
        <f>HYPERLINK("http://csr.bu.edu/ftp/asl/asllvd/demos/verify_start_end_handshape_annotations//test_auto_move//signs_mov_separ_signers/Liz_2300.mov","MOV")</f>
        <v>21</v>
      </c>
      <c r="M8546" t="s" s="10">
        <v>36</v>
      </c>
      <c r="N8546" s="17">
        <v>34</v>
      </c>
      <c r="O8546" s="18">
        <v>302</v>
      </c>
      <c r="P8546" s="18">
        <v>355</v>
      </c>
      <c r="Q8546" t="s" s="16">
        <f>HYPERLINK("http://secrets.rutgers.edu:8080/data/asl-ftp/asllvd/demos/verify_start_end_handshape_annotations//test_auto_move//signs_mov/2300.mov","MOV")</f>
        <v>21</v>
      </c>
      <c r="R8546" t="s" s="16">
        <f>HYPERLINK("http://secrets.rutgers.edu:8080/data/asl-ftp/asllvd/demos/verify_start_end_handshape_annotations//test_auto_move//signs_mov_separ_signers/Liz_2300.mov","MOV")</f>
        <v>21</v>
      </c>
    </row>
    <row r="8547" s="2" customFormat="1" ht="13.5" customHeight="1">
      <c r="B8547" t="s" s="8">
        <v>52</v>
      </c>
      <c r="C8547" t="s" s="9">
        <v>53</v>
      </c>
      <c r="D8547" t="s" s="8">
        <v>53</v>
      </c>
      <c r="E8547" t="s" s="9">
        <v>53</v>
      </c>
      <c r="F8547" t="s" s="10">
        <v>53</v>
      </c>
      <c r="G8547" t="s" s="11">
        <v>53</v>
      </c>
      <c r="H8547" t="s" s="10">
        <v>53</v>
      </c>
      <c r="I8547" t="s" s="11">
        <v>53</v>
      </c>
      <c r="J8547" t="s" s="11">
        <v>53</v>
      </c>
      <c r="K8547" t="s" s="12">
        <v>53</v>
      </c>
      <c r="L8547" t="s" s="12">
        <v>53</v>
      </c>
      <c r="M8547" t="s" s="10">
        <v>53</v>
      </c>
      <c r="N8547" t="s" s="11">
        <v>53</v>
      </c>
      <c r="O8547" t="s" s="8">
        <v>53</v>
      </c>
      <c r="P8547" t="s" s="8">
        <v>53</v>
      </c>
      <c r="Q8547" t="s" s="12">
        <v>53</v>
      </c>
      <c r="R8547" t="s" s="12">
        <v>53</v>
      </c>
    </row>
    <row r="8548" s="2" customFormat="1" ht="13.5" customHeight="1">
      <c r="B8548" s="13"/>
      <c r="C8548" t="s" s="9">
        <v>30</v>
      </c>
      <c r="D8548" t="s" s="8">
        <v>3080</v>
      </c>
      <c r="E8548" t="s" s="9">
        <v>3081</v>
      </c>
      <c r="F8548" t="s" s="10">
        <v>287</v>
      </c>
      <c r="G8548" t="s" s="11">
        <v>287</v>
      </c>
      <c r="H8548" t="s" s="10">
        <v>287</v>
      </c>
      <c r="I8548" t="s" s="11">
        <v>287</v>
      </c>
      <c r="J8548" t="s" s="11">
        <v>20</v>
      </c>
      <c r="K8548" t="s" s="16">
        <f>HYPERLINK("http://csr.bu.edu/ftp/asl/asllvd/demos/verify_start_end_handshape_annotations//test_auto_move//signs_mov/16457.mov","MOV")</f>
        <v>21</v>
      </c>
      <c r="L8548" t="s" s="16">
        <f>HYPERLINK("http://csr.bu.edu/ftp/asl/asllvd/demos/verify_start_end_handshape_annotations//test_auto_move//signs_mov_separ_signers/Brady_16457.mov","MOV")</f>
        <v>21</v>
      </c>
      <c r="M8548" t="s" s="10">
        <v>40</v>
      </c>
      <c r="N8548" s="17">
        <v>86</v>
      </c>
      <c r="O8548" s="18">
        <v>1446</v>
      </c>
      <c r="P8548" s="18">
        <v>1469</v>
      </c>
      <c r="Q8548" t="s" s="16">
        <f>HYPERLINK("http://secrets.rutgers.edu:8080/data/asl-ftp/asllvd/demos/verify_start_end_handshape_annotations//test_auto_move//signs_mov/16457.mov","MOV")</f>
        <v>21</v>
      </c>
      <c r="R8548" t="s" s="16">
        <f>HYPERLINK("http://secrets.rutgers.edu:8080/data/asl-ftp/asllvd/demos/verify_start_end_handshape_annotations//test_auto_move//signs_mov_separ_signers/Brady_16457.mov","MOV")</f>
        <v>21</v>
      </c>
    </row>
    <row r="8549" s="2" customFormat="1" ht="13.5" customHeight="1">
      <c r="B8549" t="s" s="8">
        <v>3082</v>
      </c>
      <c r="C8549" t="s" s="9">
        <v>14</v>
      </c>
      <c r="D8549" t="s" s="8">
        <v>14</v>
      </c>
      <c r="E8549" t="s" s="9">
        <v>14</v>
      </c>
      <c r="F8549" t="s" s="10">
        <v>14</v>
      </c>
      <c r="G8549" t="s" s="11">
        <v>14</v>
      </c>
      <c r="H8549" t="s" s="10">
        <v>14</v>
      </c>
      <c r="I8549" t="s" s="11">
        <v>14</v>
      </c>
      <c r="J8549" t="s" s="11">
        <v>14</v>
      </c>
      <c r="K8549" t="s" s="12">
        <v>14</v>
      </c>
      <c r="L8549" t="s" s="12">
        <v>14</v>
      </c>
      <c r="M8549" t="s" s="10">
        <v>14</v>
      </c>
      <c r="N8549" t="s" s="11">
        <v>14</v>
      </c>
      <c r="O8549" t="s" s="8">
        <v>14</v>
      </c>
      <c r="P8549" t="s" s="8">
        <v>14</v>
      </c>
      <c r="Q8549" t="s" s="12">
        <v>14</v>
      </c>
      <c r="R8549" t="s" s="12">
        <v>14</v>
      </c>
    </row>
    <row r="8550" s="2" customFormat="1" ht="13.5" customHeight="1">
      <c r="B8550" s="13"/>
      <c r="C8550" t="s" s="9">
        <v>16</v>
      </c>
      <c r="D8550" t="s" s="8">
        <v>3082</v>
      </c>
      <c r="E8550" t="s" s="9">
        <v>3082</v>
      </c>
      <c r="F8550" s="19">
        <v>5</v>
      </c>
      <c r="G8550" s="17">
        <v>5</v>
      </c>
      <c r="H8550" s="19">
        <v>5</v>
      </c>
      <c r="I8550" s="17">
        <v>5</v>
      </c>
      <c r="J8550" t="s" s="11">
        <v>20</v>
      </c>
      <c r="K8550" t="s" s="16">
        <f>HYPERLINK("http://csr.bu.edu/ftp/asl/asllvd/demos/verify_start_end_handshape_annotations//test_auto_move//signs_mov/2301.mov","MOV")</f>
        <v>21</v>
      </c>
      <c r="L8550" t="s" s="16">
        <f>HYPERLINK("http://csr.bu.edu/ftp/asl/asllvd/demos/verify_start_end_handshape_annotations//test_auto_move//signs_mov_separ_signers/Liz_2301.mov","MOV")</f>
        <v>21</v>
      </c>
      <c r="M8550" t="s" s="10">
        <v>36</v>
      </c>
      <c r="N8550" s="17">
        <v>34</v>
      </c>
      <c r="O8550" s="18">
        <v>730</v>
      </c>
      <c r="P8550" s="18">
        <v>785</v>
      </c>
      <c r="Q8550" t="s" s="16">
        <f>HYPERLINK("http://secrets.rutgers.edu:8080/data/asl-ftp/asllvd/demos/verify_start_end_handshape_annotations//test_auto_move//signs_mov/2301.mov","MOV")</f>
        <v>21</v>
      </c>
      <c r="R8550" t="s" s="16">
        <f>HYPERLINK("http://secrets.rutgers.edu:8080/data/asl-ftp/asllvd/demos/verify_start_end_handshape_annotations//test_auto_move//signs_mov_separ_signers/Liz_2301.mov","MOV")</f>
        <v>21</v>
      </c>
    </row>
    <row r="8551" s="2" customFormat="1" ht="13.5" customHeight="1">
      <c r="B8551" s="13"/>
      <c r="C8551" t="s" s="9">
        <v>30</v>
      </c>
      <c r="D8551" t="s" s="8">
        <v>3082</v>
      </c>
      <c r="E8551" t="s" s="9">
        <v>3082</v>
      </c>
      <c r="F8551" s="19">
        <v>5</v>
      </c>
      <c r="G8551" s="17">
        <v>5</v>
      </c>
      <c r="H8551" s="19">
        <v>5</v>
      </c>
      <c r="I8551" s="17">
        <v>5</v>
      </c>
      <c r="J8551" t="s" s="11">
        <v>20</v>
      </c>
      <c r="K8551" s="15"/>
      <c r="L8551" t="s" s="16">
        <f>HYPERLINK("http://csr.bu.edu/ftp/asl/asllvd/demos/verify_start_end_handshape_annotations//test_auto_move//signs_mov_separ_signers/Brady_2301.mov","MOV")</f>
        <v>21</v>
      </c>
      <c r="M8551" t="s" s="10">
        <v>40</v>
      </c>
      <c r="N8551" s="17">
        <v>86</v>
      </c>
      <c r="O8551" s="18">
        <v>1726</v>
      </c>
      <c r="P8551" s="18">
        <v>1738</v>
      </c>
      <c r="Q8551" s="15"/>
      <c r="R8551" t="s" s="16">
        <f>HYPERLINK("http://secrets.rutgers.edu:8080/data/asl-ftp/asllvd/demos/verify_start_end_handshape_annotations//test_auto_move//signs_mov_separ_signers/Brady_2301.mov","MOV")</f>
        <v>21</v>
      </c>
    </row>
    <row r="8552" s="2" customFormat="1" ht="13.5" customHeight="1">
      <c r="B8552" t="s" s="8">
        <v>3083</v>
      </c>
      <c r="C8552" t="s" s="9">
        <v>14</v>
      </c>
      <c r="D8552" t="s" s="8">
        <v>14</v>
      </c>
      <c r="E8552" t="s" s="9">
        <v>14</v>
      </c>
      <c r="F8552" t="s" s="10">
        <v>14</v>
      </c>
      <c r="G8552" t="s" s="11">
        <v>14</v>
      </c>
      <c r="H8552" t="s" s="10">
        <v>14</v>
      </c>
      <c r="I8552" t="s" s="11">
        <v>14</v>
      </c>
      <c r="J8552" t="s" s="11">
        <v>14</v>
      </c>
      <c r="K8552" t="s" s="12">
        <v>14</v>
      </c>
      <c r="L8552" t="s" s="12">
        <v>14</v>
      </c>
      <c r="M8552" t="s" s="10">
        <v>14</v>
      </c>
      <c r="N8552" t="s" s="11">
        <v>14</v>
      </c>
      <c r="O8552" t="s" s="8">
        <v>14</v>
      </c>
      <c r="P8552" t="s" s="8">
        <v>14</v>
      </c>
      <c r="Q8552" t="s" s="12">
        <v>14</v>
      </c>
      <c r="R8552" t="s" s="12">
        <v>14</v>
      </c>
    </row>
    <row r="8553" s="2" customFormat="1" ht="13.5" customHeight="1">
      <c r="B8553" s="13"/>
      <c r="C8553" t="s" s="9">
        <v>30</v>
      </c>
      <c r="D8553" t="s" s="8">
        <v>3083</v>
      </c>
      <c r="E8553" t="s" s="9">
        <v>3083</v>
      </c>
      <c r="F8553" t="s" s="10">
        <v>220</v>
      </c>
      <c r="G8553" s="14"/>
      <c r="H8553" t="s" s="10">
        <v>220</v>
      </c>
      <c r="I8553" s="14"/>
      <c r="J8553" t="s" s="11">
        <v>20</v>
      </c>
      <c r="K8553" t="s" s="16">
        <f>HYPERLINK("http://csr.bu.edu/ftp/asl/asllvd/demos/verify_start_end_handshape_annotations//test_auto_move//signs_mov/2302.mov","MOV")</f>
        <v>21</v>
      </c>
      <c r="L8553" t="s" s="16">
        <f>HYPERLINK("http://csr.bu.edu/ftp/asl/asllvd/demos/verify_start_end_handshape_annotations//test_auto_move//signs_mov_separ_signers/Brady_2302.mov","MOV")</f>
        <v>21</v>
      </c>
      <c r="M8553" t="s" s="10">
        <v>40</v>
      </c>
      <c r="N8553" s="17">
        <v>86</v>
      </c>
      <c r="O8553" s="18">
        <v>1955</v>
      </c>
      <c r="P8553" s="18">
        <v>1986</v>
      </c>
      <c r="Q8553" t="s" s="16">
        <f>HYPERLINK("http://secrets.rutgers.edu:8080/data/asl-ftp/asllvd/demos/verify_start_end_handshape_annotations//test_auto_move//signs_mov/2302.mov","MOV")</f>
        <v>21</v>
      </c>
      <c r="R8553" t="s" s="16">
        <f>HYPERLINK("http://secrets.rutgers.edu:8080/data/asl-ftp/asllvd/demos/verify_start_end_handshape_annotations//test_auto_move//signs_mov_separ_signers/Brady_2302.mov","MOV")</f>
        <v>21</v>
      </c>
    </row>
    <row r="8554" s="2" customFormat="1" ht="13.5" customHeight="1">
      <c r="B8554" t="s" s="8">
        <v>52</v>
      </c>
      <c r="C8554" t="s" s="9">
        <v>53</v>
      </c>
      <c r="D8554" t="s" s="8">
        <v>53</v>
      </c>
      <c r="E8554" t="s" s="9">
        <v>53</v>
      </c>
      <c r="F8554" t="s" s="10">
        <v>53</v>
      </c>
      <c r="G8554" t="s" s="11">
        <v>53</v>
      </c>
      <c r="H8554" t="s" s="10">
        <v>53</v>
      </c>
      <c r="I8554" t="s" s="11">
        <v>53</v>
      </c>
      <c r="J8554" t="s" s="11">
        <v>53</v>
      </c>
      <c r="K8554" t="s" s="12">
        <v>53</v>
      </c>
      <c r="L8554" t="s" s="12">
        <v>53</v>
      </c>
      <c r="M8554" t="s" s="10">
        <v>53</v>
      </c>
      <c r="N8554" t="s" s="11">
        <v>53</v>
      </c>
      <c r="O8554" t="s" s="8">
        <v>53</v>
      </c>
      <c r="P8554" t="s" s="8">
        <v>53</v>
      </c>
      <c r="Q8554" t="s" s="12">
        <v>53</v>
      </c>
      <c r="R8554" t="s" s="12">
        <v>53</v>
      </c>
    </row>
    <row r="8555" s="2" customFormat="1" ht="13.5" customHeight="1">
      <c r="B8555" s="13"/>
      <c r="C8555" t="s" s="9">
        <v>16</v>
      </c>
      <c r="D8555" t="s" s="8">
        <v>3083</v>
      </c>
      <c r="E8555" t="s" s="9">
        <v>3084</v>
      </c>
      <c r="F8555" s="19">
        <v>8</v>
      </c>
      <c r="G8555" s="14"/>
      <c r="H8555" s="19">
        <v>8</v>
      </c>
      <c r="I8555" s="14"/>
      <c r="J8555" t="s" s="11">
        <v>20</v>
      </c>
      <c r="K8555" t="s" s="16">
        <f>HYPERLINK("http://csr.bu.edu/ftp/asl/asllvd/demos/verify_start_end_handshape_annotations//test_auto_move//signs_mov/16293.mov","MOV")</f>
        <v>21</v>
      </c>
      <c r="L8555" t="s" s="16">
        <f>HYPERLINK("http://csr.bu.edu/ftp/asl/asllvd/demos/verify_start_end_handshape_annotations//test_auto_move//signs_mov_separ_signers/Liz_16293.mov","MOV")</f>
        <v>21</v>
      </c>
      <c r="M8555" t="s" s="10">
        <v>36</v>
      </c>
      <c r="N8555" s="17">
        <v>34</v>
      </c>
      <c r="O8555" s="18">
        <v>1990</v>
      </c>
      <c r="P8555" s="18">
        <v>2031</v>
      </c>
      <c r="Q8555" t="s" s="16">
        <f>HYPERLINK("http://secrets.rutgers.edu:8080/data/asl-ftp/asllvd/demos/verify_start_end_handshape_annotations//test_auto_move//signs_mov/16293.mov","MOV")</f>
        <v>21</v>
      </c>
      <c r="R8555" t="s" s="16">
        <f>HYPERLINK("http://secrets.rutgers.edu:8080/data/asl-ftp/asllvd/demos/verify_start_end_handshape_annotations//test_auto_move//signs_mov_separ_signers/Liz_16293.mov","MOV")</f>
        <v>21</v>
      </c>
    </row>
    <row r="8556" s="2" customFormat="1" ht="13.5" customHeight="1">
      <c r="B8556" t="s" s="8">
        <v>3085</v>
      </c>
      <c r="C8556" t="s" s="9">
        <v>14</v>
      </c>
      <c r="D8556" t="s" s="8">
        <v>14</v>
      </c>
      <c r="E8556" t="s" s="9">
        <v>14</v>
      </c>
      <c r="F8556" t="s" s="10">
        <v>14</v>
      </c>
      <c r="G8556" t="s" s="11">
        <v>14</v>
      </c>
      <c r="H8556" t="s" s="10">
        <v>14</v>
      </c>
      <c r="I8556" t="s" s="11">
        <v>14</v>
      </c>
      <c r="J8556" t="s" s="11">
        <v>14</v>
      </c>
      <c r="K8556" t="s" s="12">
        <v>14</v>
      </c>
      <c r="L8556" t="s" s="12">
        <v>14</v>
      </c>
      <c r="M8556" t="s" s="10">
        <v>14</v>
      </c>
      <c r="N8556" t="s" s="11">
        <v>14</v>
      </c>
      <c r="O8556" t="s" s="8">
        <v>14</v>
      </c>
      <c r="P8556" t="s" s="8">
        <v>14</v>
      </c>
      <c r="Q8556" t="s" s="12">
        <v>14</v>
      </c>
      <c r="R8556" t="s" s="12">
        <v>14</v>
      </c>
    </row>
    <row r="8557" s="2" customFormat="1" ht="13.5" customHeight="1">
      <c r="B8557" s="13"/>
      <c r="C8557" t="s" s="9">
        <v>16</v>
      </c>
      <c r="D8557" t="s" s="8">
        <v>3085</v>
      </c>
      <c r="E8557" t="s" s="9">
        <v>3085</v>
      </c>
      <c r="F8557" t="s" s="10">
        <v>73</v>
      </c>
      <c r="G8557" s="14"/>
      <c r="H8557" t="s" s="10">
        <v>73</v>
      </c>
      <c r="I8557" s="14"/>
      <c r="J8557" t="s" s="11">
        <v>20</v>
      </c>
      <c r="K8557" t="s" s="16">
        <f>HYPERLINK("http://csr.bu.edu/ftp/asl/asllvd/demos/verify_start_end_handshape_annotations//test_auto_move//signs_mov/2303.mov","MOV")</f>
        <v>21</v>
      </c>
      <c r="L8557" t="s" s="16">
        <f>HYPERLINK("http://csr.bu.edu/ftp/asl/asllvd/demos/verify_start_end_handshape_annotations//test_auto_move//signs_mov_separ_signers/Liz_2303.mov","MOV")</f>
        <v>21</v>
      </c>
      <c r="M8557" t="s" s="10">
        <v>36</v>
      </c>
      <c r="N8557" s="17">
        <v>34</v>
      </c>
      <c r="O8557" s="18">
        <v>2517</v>
      </c>
      <c r="P8557" s="18">
        <v>2556</v>
      </c>
      <c r="Q8557" t="s" s="16">
        <f>HYPERLINK("http://secrets.rutgers.edu:8080/data/asl-ftp/asllvd/demos/verify_start_end_handshape_annotations//test_auto_move//signs_mov/2303.mov","MOV")</f>
        <v>21</v>
      </c>
      <c r="R8557" t="s" s="16">
        <f>HYPERLINK("http://secrets.rutgers.edu:8080/data/asl-ftp/asllvd/demos/verify_start_end_handshape_annotations//test_auto_move//signs_mov_separ_signers/Liz_2303.mov","MOV")</f>
        <v>21</v>
      </c>
    </row>
    <row r="8558" s="2" customFormat="1" ht="13.5" customHeight="1">
      <c r="B8558" t="s" s="8">
        <v>3086</v>
      </c>
      <c r="C8558" t="s" s="9">
        <v>14</v>
      </c>
      <c r="D8558" t="s" s="8">
        <v>14</v>
      </c>
      <c r="E8558" t="s" s="9">
        <v>14</v>
      </c>
      <c r="F8558" t="s" s="10">
        <v>14</v>
      </c>
      <c r="G8558" t="s" s="11">
        <v>14</v>
      </c>
      <c r="H8558" t="s" s="10">
        <v>14</v>
      </c>
      <c r="I8558" t="s" s="11">
        <v>14</v>
      </c>
      <c r="J8558" t="s" s="11">
        <v>14</v>
      </c>
      <c r="K8558" t="s" s="12">
        <v>14</v>
      </c>
      <c r="L8558" t="s" s="12">
        <v>14</v>
      </c>
      <c r="M8558" t="s" s="10">
        <v>14</v>
      </c>
      <c r="N8558" t="s" s="11">
        <v>14</v>
      </c>
      <c r="O8558" t="s" s="8">
        <v>14</v>
      </c>
      <c r="P8558" t="s" s="8">
        <v>14</v>
      </c>
      <c r="Q8558" t="s" s="12">
        <v>14</v>
      </c>
      <c r="R8558" t="s" s="12">
        <v>14</v>
      </c>
    </row>
    <row r="8559" s="2" customFormat="1" ht="13.5" customHeight="1">
      <c r="B8559" s="13"/>
      <c r="C8559" t="s" s="9">
        <v>16</v>
      </c>
      <c r="D8559" t="s" s="8">
        <v>3086</v>
      </c>
      <c r="E8559" t="s" s="9">
        <v>3087</v>
      </c>
      <c r="F8559" t="s" s="10">
        <v>68</v>
      </c>
      <c r="G8559" t="s" s="11">
        <v>68</v>
      </c>
      <c r="H8559" t="s" s="10">
        <v>68</v>
      </c>
      <c r="I8559" t="s" s="11">
        <v>68</v>
      </c>
      <c r="J8559" t="s" s="11">
        <v>20</v>
      </c>
      <c r="K8559" t="s" s="16">
        <f>HYPERLINK("http://csr.bu.edu/ftp/asl/asllvd/demos/verify_start_end_handshape_annotations//test_auto_move//signs_mov/2305.mov","MOV")</f>
        <v>21</v>
      </c>
      <c r="L8559" t="s" s="16">
        <f>HYPERLINK("http://csr.bu.edu/ftp/asl/asllvd/demos/verify_start_end_handshape_annotations//test_auto_move//signs_mov_separ_signers/Liz_2305.mov","MOV")</f>
        <v>21</v>
      </c>
      <c r="M8559" t="s" s="10">
        <v>36</v>
      </c>
      <c r="N8559" s="17">
        <v>34</v>
      </c>
      <c r="O8559" s="18">
        <v>3385</v>
      </c>
      <c r="P8559" s="18">
        <v>3452</v>
      </c>
      <c r="Q8559" t="s" s="16">
        <f>HYPERLINK("http://secrets.rutgers.edu:8080/data/asl-ftp/asllvd/demos/verify_start_end_handshape_annotations//test_auto_move//signs_mov/2305.mov","MOV")</f>
        <v>21</v>
      </c>
      <c r="R8559" t="s" s="16">
        <f>HYPERLINK("http://secrets.rutgers.edu:8080/data/asl-ftp/asllvd/demos/verify_start_end_handshape_annotations//test_auto_move//signs_mov_separ_signers/Liz_2305.mov","MOV")</f>
        <v>21</v>
      </c>
    </row>
    <row r="8560" s="2" customFormat="1" ht="13.5" customHeight="1">
      <c r="B8560" s="13"/>
      <c r="C8560" t="s" s="9">
        <v>30</v>
      </c>
      <c r="D8560" t="s" s="8">
        <v>3086</v>
      </c>
      <c r="E8560" t="s" s="9">
        <v>3087</v>
      </c>
      <c r="F8560" t="s" s="10">
        <v>63</v>
      </c>
      <c r="G8560" t="s" s="11">
        <v>63</v>
      </c>
      <c r="H8560" t="s" s="10">
        <v>63</v>
      </c>
      <c r="I8560" t="s" s="11">
        <v>63</v>
      </c>
      <c r="J8560" t="s" s="11">
        <v>20</v>
      </c>
      <c r="K8560" s="15"/>
      <c r="L8560" t="s" s="16">
        <f>HYPERLINK("http://csr.bu.edu/ftp/asl/asllvd/demos/verify_start_end_handshape_annotations//test_auto_move//signs_mov_separ_signers/Brady_2305.mov","MOV")</f>
        <v>21</v>
      </c>
      <c r="M8560" t="s" s="10">
        <v>40</v>
      </c>
      <c r="N8560" s="17">
        <v>86</v>
      </c>
      <c r="O8560" s="18">
        <v>2825</v>
      </c>
      <c r="P8560" s="18">
        <v>2890</v>
      </c>
      <c r="Q8560" s="15"/>
      <c r="R8560" t="s" s="16">
        <f>HYPERLINK("http://secrets.rutgers.edu:8080/data/asl-ftp/asllvd/demos/verify_start_end_handshape_annotations//test_auto_move//signs_mov_separ_signers/Brady_2305.mov","MOV")</f>
        <v>21</v>
      </c>
    </row>
    <row r="8561" s="2" customFormat="1" ht="13.5" customHeight="1">
      <c r="B8561" t="s" s="8">
        <v>3088</v>
      </c>
      <c r="C8561" t="s" s="9">
        <v>14</v>
      </c>
      <c r="D8561" t="s" s="8">
        <v>14</v>
      </c>
      <c r="E8561" t="s" s="9">
        <v>14</v>
      </c>
      <c r="F8561" t="s" s="10">
        <v>14</v>
      </c>
      <c r="G8561" t="s" s="11">
        <v>14</v>
      </c>
      <c r="H8561" t="s" s="10">
        <v>14</v>
      </c>
      <c r="I8561" t="s" s="11">
        <v>14</v>
      </c>
      <c r="J8561" t="s" s="11">
        <v>14</v>
      </c>
      <c r="K8561" t="s" s="12">
        <v>14</v>
      </c>
      <c r="L8561" t="s" s="12">
        <v>14</v>
      </c>
      <c r="M8561" t="s" s="10">
        <v>14</v>
      </c>
      <c r="N8561" t="s" s="11">
        <v>14</v>
      </c>
      <c r="O8561" t="s" s="8">
        <v>14</v>
      </c>
      <c r="P8561" t="s" s="8">
        <v>14</v>
      </c>
      <c r="Q8561" t="s" s="12">
        <v>14</v>
      </c>
      <c r="R8561" t="s" s="12">
        <v>14</v>
      </c>
    </row>
    <row r="8562" s="2" customFormat="1" ht="13.5" customHeight="1">
      <c r="B8562" s="13"/>
      <c r="C8562" t="s" s="9">
        <v>16</v>
      </c>
      <c r="D8562" t="s" s="8">
        <v>3088</v>
      </c>
      <c r="E8562" t="s" s="9">
        <v>3088</v>
      </c>
      <c r="F8562" t="s" s="10">
        <v>148</v>
      </c>
      <c r="G8562" s="14"/>
      <c r="H8562" t="s" s="10">
        <v>119</v>
      </c>
      <c r="I8562" s="14"/>
      <c r="J8562" t="s" s="11">
        <v>20</v>
      </c>
      <c r="K8562" s="15"/>
      <c r="L8562" t="s" s="16">
        <f>HYPERLINK("http://csr.bu.edu/ftp/asl/asllvd/demos/verify_start_end_handshape_annotations//test_auto_move//signs_mov_separ_signers/Liz_2307.mov","MOV")</f>
        <v>21</v>
      </c>
      <c r="M8562" t="s" s="10">
        <v>36</v>
      </c>
      <c r="N8562" s="17">
        <v>34</v>
      </c>
      <c r="O8562" s="18">
        <v>3811</v>
      </c>
      <c r="P8562" s="18">
        <v>3850</v>
      </c>
      <c r="Q8562" s="15"/>
      <c r="R8562" t="s" s="16">
        <f>HYPERLINK("http://secrets.rutgers.edu:8080/data/asl-ftp/asllvd/demos/verify_start_end_handshape_annotations//test_auto_move//signs_mov_separ_signers/Liz_2307.mov","MOV")</f>
        <v>21</v>
      </c>
    </row>
    <row r="8563" s="2" customFormat="1" ht="13.5" customHeight="1">
      <c r="B8563" s="13"/>
      <c r="C8563" t="s" s="9">
        <v>16</v>
      </c>
      <c r="D8563" t="s" s="8">
        <v>3088</v>
      </c>
      <c r="E8563" t="s" s="9">
        <v>3089</v>
      </c>
      <c r="F8563" t="s" s="10">
        <v>148</v>
      </c>
      <c r="G8563" s="14"/>
      <c r="H8563" t="s" s="10">
        <v>119</v>
      </c>
      <c r="I8563" s="14"/>
      <c r="J8563" t="s" s="11">
        <v>20</v>
      </c>
      <c r="K8563" s="15"/>
      <c r="L8563" t="s" s="16">
        <f>HYPERLINK("http://csr.bu.edu/ftp/asl/asllvd/demos/verify_start_end_handshape_annotations//test_auto_move//signs_mov_separ_signers/Liz_3450.mov","MOV")</f>
        <v>21</v>
      </c>
      <c r="M8563" t="s" s="10">
        <v>36</v>
      </c>
      <c r="N8563" s="17">
        <v>34</v>
      </c>
      <c r="O8563" s="18">
        <v>4045</v>
      </c>
      <c r="P8563" s="18">
        <v>4110</v>
      </c>
      <c r="Q8563" s="15"/>
      <c r="R8563" t="s" s="16">
        <f>HYPERLINK("http://secrets.rutgers.edu:8080/data/asl-ftp/asllvd/demos/verify_start_end_handshape_annotations//test_auto_move//signs_mov_separ_signers/Liz_3450.mov","MOV")</f>
        <v>21</v>
      </c>
    </row>
    <row r="8564" s="2" customFormat="1" ht="13.5" customHeight="1">
      <c r="B8564" s="13"/>
      <c r="C8564" t="s" s="9">
        <v>16</v>
      </c>
      <c r="D8564" t="s" s="8">
        <v>3088</v>
      </c>
      <c r="E8564" t="s" s="9">
        <v>3088</v>
      </c>
      <c r="F8564" t="s" s="10">
        <v>148</v>
      </c>
      <c r="G8564" s="14"/>
      <c r="H8564" t="s" s="10">
        <v>119</v>
      </c>
      <c r="I8564" s="14"/>
      <c r="J8564" t="s" s="11">
        <v>20</v>
      </c>
      <c r="K8564" t="s" s="16">
        <f>HYPERLINK("http://csr.bu.edu/ftp/asl/asllvd/demos/verify_start_end_handshape_annotations//test_auto_move//signs_mov/2307_3450_15253_merged.mov","MOV")</f>
        <v>21</v>
      </c>
      <c r="L8564" t="s" s="16">
        <f>HYPERLINK("http://csr.bu.edu/ftp/asl/asllvd/demos/verify_start_end_handshape_annotations//test_auto_move//signs_mov_separ_signers/Liz_15253.mov","MOV")</f>
        <v>21</v>
      </c>
      <c r="M8564" t="s" s="10">
        <v>77</v>
      </c>
      <c r="N8564" s="17">
        <v>12</v>
      </c>
      <c r="O8564" s="18">
        <v>2730</v>
      </c>
      <c r="P8564" s="18">
        <v>2763</v>
      </c>
      <c r="Q8564" t="s" s="16">
        <f>HYPERLINK("http://secrets.rutgers.edu:8080/data/asl-ftp/asllvd/demos/verify_start_end_handshape_annotations//test_auto_move//signs_mov/2307_3450_15253_merged.mov","MOV")</f>
        <v>21</v>
      </c>
      <c r="R8564" t="s" s="16">
        <f>HYPERLINK("http://secrets.rutgers.edu:8080/data/asl-ftp/asllvd/demos/verify_start_end_handshape_annotations//test_auto_move//signs_mov_separ_signers/Liz_15253.mov","MOV")</f>
        <v>21</v>
      </c>
    </row>
    <row r="8565" s="2" customFormat="1" ht="13.5" customHeight="1">
      <c r="B8565" s="13"/>
      <c r="C8565" t="s" s="9">
        <v>30</v>
      </c>
      <c r="D8565" t="s" s="8">
        <v>3088</v>
      </c>
      <c r="E8565" t="s" s="9">
        <v>3089</v>
      </c>
      <c r="F8565" t="s" s="10">
        <v>148</v>
      </c>
      <c r="G8565" s="14"/>
      <c r="H8565" t="s" s="10">
        <v>119</v>
      </c>
      <c r="I8565" s="14"/>
      <c r="J8565" t="s" s="11">
        <v>20</v>
      </c>
      <c r="K8565" s="15"/>
      <c r="L8565" t="s" s="16">
        <f>HYPERLINK("http://csr.bu.edu/ftp/asl/asllvd/demos/verify_start_end_handshape_annotations//test_auto_move//signs_mov_separ_signers/Brady_2307.mov","MOV")</f>
        <v>21</v>
      </c>
      <c r="M8565" t="s" s="10">
        <v>39</v>
      </c>
      <c r="N8565" s="17">
        <v>6</v>
      </c>
      <c r="O8565" s="18">
        <v>6323</v>
      </c>
      <c r="P8565" s="18">
        <v>6370</v>
      </c>
      <c r="Q8565" s="15"/>
      <c r="R8565" t="s" s="16">
        <f>HYPERLINK("http://secrets.rutgers.edu:8080/data/asl-ftp/asllvd/demos/verify_start_end_handshape_annotations//test_auto_move//signs_mov_separ_signers/Brady_2307.mov","MOV")</f>
        <v>21</v>
      </c>
    </row>
    <row r="8566" s="2" customFormat="1" ht="13.5" customHeight="1">
      <c r="B8566" s="13"/>
      <c r="C8566" t="s" s="9">
        <v>30</v>
      </c>
      <c r="D8566" t="s" s="8">
        <v>3088</v>
      </c>
      <c r="E8566" t="s" s="9">
        <v>3088</v>
      </c>
      <c r="F8566" t="s" s="10">
        <v>72</v>
      </c>
      <c r="G8566" s="14"/>
      <c r="H8566" t="s" s="10">
        <v>119</v>
      </c>
      <c r="I8566" s="14"/>
      <c r="J8566" t="s" s="11">
        <v>20</v>
      </c>
      <c r="K8566" s="15"/>
      <c r="L8566" t="s" s="16">
        <f>HYPERLINK("http://csr.bu.edu/ftp/asl/asllvd/demos/verify_start_end_handshape_annotations//test_auto_move//signs_mov_separ_signers/Brady_3450.mov","MOV")</f>
        <v>21</v>
      </c>
      <c r="M8566" t="s" s="10">
        <v>40</v>
      </c>
      <c r="N8566" s="17">
        <v>86</v>
      </c>
      <c r="O8566" s="18">
        <v>4258</v>
      </c>
      <c r="P8566" s="18">
        <v>4275</v>
      </c>
      <c r="Q8566" s="15"/>
      <c r="R8566" t="s" s="16">
        <f>HYPERLINK("http://secrets.rutgers.edu:8080/data/asl-ftp/asllvd/demos/verify_start_end_handshape_annotations//test_auto_move//signs_mov_separ_signers/Brady_3450.mov","MOV")</f>
        <v>21</v>
      </c>
    </row>
    <row r="8567" s="2" customFormat="1" ht="13.5" customHeight="1">
      <c r="B8567" s="13"/>
      <c r="C8567" t="s" s="9">
        <v>30</v>
      </c>
      <c r="D8567" t="s" s="8">
        <v>3088</v>
      </c>
      <c r="E8567" t="s" s="9">
        <v>3090</v>
      </c>
      <c r="F8567" t="s" s="10">
        <v>148</v>
      </c>
      <c r="G8567" s="14"/>
      <c r="H8567" t="s" s="10">
        <v>119</v>
      </c>
      <c r="I8567" s="14"/>
      <c r="J8567" t="s" s="11">
        <v>20</v>
      </c>
      <c r="K8567" s="15"/>
      <c r="L8567" t="s" s="16">
        <f>HYPERLINK("http://csr.bu.edu/ftp/asl/asllvd/demos/verify_start_end_handshape_annotations//test_auto_move//signs_mov_separ_signers/Brady_15253.mov","MOV")</f>
        <v>21</v>
      </c>
      <c r="M8567" t="s" s="10">
        <v>40</v>
      </c>
      <c r="N8567" s="17">
        <v>87</v>
      </c>
      <c r="O8567" s="18">
        <v>149</v>
      </c>
      <c r="P8567" s="18">
        <v>206</v>
      </c>
      <c r="Q8567" s="15"/>
      <c r="R8567" t="s" s="16">
        <f>HYPERLINK("http://secrets.rutgers.edu:8080/data/asl-ftp/asllvd/demos/verify_start_end_handshape_annotations//test_auto_move//signs_mov_separ_signers/Brady_15253.mov","MOV")</f>
        <v>21</v>
      </c>
    </row>
    <row r="8568" s="2" customFormat="1" ht="13.5" customHeight="1">
      <c r="B8568" t="s" s="8">
        <v>3091</v>
      </c>
      <c r="C8568" t="s" s="9">
        <v>14</v>
      </c>
      <c r="D8568" t="s" s="8">
        <v>14</v>
      </c>
      <c r="E8568" t="s" s="9">
        <v>14</v>
      </c>
      <c r="F8568" t="s" s="10">
        <v>14</v>
      </c>
      <c r="G8568" t="s" s="11">
        <v>14</v>
      </c>
      <c r="H8568" t="s" s="10">
        <v>14</v>
      </c>
      <c r="I8568" t="s" s="11">
        <v>14</v>
      </c>
      <c r="J8568" t="s" s="11">
        <v>14</v>
      </c>
      <c r="K8568" t="s" s="12">
        <v>14</v>
      </c>
      <c r="L8568" t="s" s="12">
        <v>14</v>
      </c>
      <c r="M8568" t="s" s="10">
        <v>14</v>
      </c>
      <c r="N8568" t="s" s="11">
        <v>14</v>
      </c>
      <c r="O8568" t="s" s="8">
        <v>14</v>
      </c>
      <c r="P8568" t="s" s="8">
        <v>14</v>
      </c>
      <c r="Q8568" t="s" s="12">
        <v>14</v>
      </c>
      <c r="R8568" t="s" s="12">
        <v>14</v>
      </c>
    </row>
    <row r="8569" s="2" customFormat="1" ht="13.5" customHeight="1">
      <c r="B8569" s="13"/>
      <c r="C8569" t="s" s="9">
        <v>16</v>
      </c>
      <c r="D8569" t="s" s="8">
        <v>3091</v>
      </c>
      <c r="E8569" t="s" s="9">
        <v>3091</v>
      </c>
      <c r="F8569" s="19">
        <v>1</v>
      </c>
      <c r="G8569" t="s" s="11">
        <v>119</v>
      </c>
      <c r="H8569" s="19">
        <v>1</v>
      </c>
      <c r="I8569" t="s" s="11">
        <v>119</v>
      </c>
      <c r="J8569" t="s" s="11">
        <v>20</v>
      </c>
      <c r="K8569" t="s" s="16">
        <f>HYPERLINK("http://csr.bu.edu/ftp/asl/asllvd/demos/verify_start_end_handshape_annotations//test_auto_move//signs_mov/2312.mov","MOV")</f>
        <v>21</v>
      </c>
      <c r="L8569" t="s" s="16">
        <f>HYPERLINK("http://csr.bu.edu/ftp/asl/asllvd/demos/verify_start_end_handshape_annotations//test_auto_move//signs_mov_separ_signers/Liz_2312.mov","MOV")</f>
        <v>21</v>
      </c>
      <c r="M8569" t="s" s="10">
        <v>36</v>
      </c>
      <c r="N8569" s="17">
        <v>35</v>
      </c>
      <c r="O8569" s="18">
        <v>930</v>
      </c>
      <c r="P8569" s="18">
        <v>970</v>
      </c>
      <c r="Q8569" t="s" s="16">
        <f>HYPERLINK("http://secrets.rutgers.edu:8080/data/asl-ftp/asllvd/demos/verify_start_end_handshape_annotations//test_auto_move//signs_mov/2312.mov","MOV")</f>
        <v>21</v>
      </c>
      <c r="R8569" t="s" s="16">
        <f>HYPERLINK("http://secrets.rutgers.edu:8080/data/asl-ftp/asllvd/demos/verify_start_end_handshape_annotations//test_auto_move//signs_mov_separ_signers/Liz_2312.mov","MOV")</f>
        <v>21</v>
      </c>
    </row>
    <row r="8570" s="2" customFormat="1" ht="13.5" customHeight="1">
      <c r="B8570" t="s" s="8">
        <v>3092</v>
      </c>
      <c r="C8570" t="s" s="9">
        <v>14</v>
      </c>
      <c r="D8570" t="s" s="8">
        <v>14</v>
      </c>
      <c r="E8570" t="s" s="9">
        <v>14</v>
      </c>
      <c r="F8570" t="s" s="10">
        <v>14</v>
      </c>
      <c r="G8570" t="s" s="11">
        <v>14</v>
      </c>
      <c r="H8570" t="s" s="10">
        <v>14</v>
      </c>
      <c r="I8570" t="s" s="11">
        <v>14</v>
      </c>
      <c r="J8570" t="s" s="11">
        <v>14</v>
      </c>
      <c r="K8570" t="s" s="12">
        <v>14</v>
      </c>
      <c r="L8570" t="s" s="12">
        <v>14</v>
      </c>
      <c r="M8570" t="s" s="10">
        <v>14</v>
      </c>
      <c r="N8570" t="s" s="11">
        <v>14</v>
      </c>
      <c r="O8570" t="s" s="8">
        <v>14</v>
      </c>
      <c r="P8570" t="s" s="8">
        <v>14</v>
      </c>
      <c r="Q8570" t="s" s="12">
        <v>14</v>
      </c>
      <c r="R8570" t="s" s="12">
        <v>14</v>
      </c>
    </row>
    <row r="8571" s="2" customFormat="1" ht="13.5" customHeight="1">
      <c r="B8571" s="13"/>
      <c r="C8571" t="s" s="9">
        <v>16</v>
      </c>
      <c r="D8571" t="s" s="8">
        <v>3092</v>
      </c>
      <c r="E8571" t="s" s="9">
        <v>3092</v>
      </c>
      <c r="F8571" s="19">
        <v>1</v>
      </c>
      <c r="G8571" s="14"/>
      <c r="H8571" s="19">
        <v>1</v>
      </c>
      <c r="I8571" s="17">
        <v>1</v>
      </c>
      <c r="J8571" t="s" s="11">
        <v>20</v>
      </c>
      <c r="K8571" t="s" s="16">
        <f>HYPERLINK("http://csr.bu.edu/ftp/asl/asllvd/demos/verify_start_end_handshape_annotations//test_auto_move//signs_mov/5693_16435_merged.mov","MOV")</f>
        <v>21</v>
      </c>
      <c r="L8571" t="s" s="16">
        <f>HYPERLINK("http://csr.bu.edu/ftp/asl/asllvd/demos/verify_start_end_handshape_annotations//test_auto_move//signs_mov_separ_signers/Liz_5693.mov","MOV")</f>
        <v>21</v>
      </c>
      <c r="M8571" t="s" s="10">
        <v>59</v>
      </c>
      <c r="N8571" s="17">
        <v>19</v>
      </c>
      <c r="O8571" s="18">
        <v>2016</v>
      </c>
      <c r="P8571" s="18">
        <v>2050</v>
      </c>
      <c r="Q8571" t="s" s="16">
        <f>HYPERLINK("http://secrets.rutgers.edu:8080/data/asl-ftp/asllvd/demos/verify_start_end_handshape_annotations//test_auto_move//signs_mov/5693_16435_merged.mov","MOV")</f>
        <v>21</v>
      </c>
      <c r="R8571" t="s" s="16">
        <f>HYPERLINK("http://secrets.rutgers.edu:8080/data/asl-ftp/asllvd/demos/verify_start_end_handshape_annotations//test_auto_move//signs_mov_separ_signers/Liz_5693.mov","MOV")</f>
        <v>21</v>
      </c>
    </row>
    <row r="8572" s="2" customFormat="1" ht="13.5" customHeight="1">
      <c r="B8572" s="13"/>
      <c r="C8572" t="s" s="9">
        <v>16</v>
      </c>
      <c r="D8572" t="s" s="8">
        <v>3092</v>
      </c>
      <c r="E8572" t="s" s="9">
        <v>3092</v>
      </c>
      <c r="F8572" s="19">
        <v>1</v>
      </c>
      <c r="G8572" s="14"/>
      <c r="H8572" s="19">
        <v>1</v>
      </c>
      <c r="I8572" s="17">
        <v>1</v>
      </c>
      <c r="J8572" t="s" s="11">
        <v>20</v>
      </c>
      <c r="K8572" s="15"/>
      <c r="L8572" t="s" s="16">
        <f>HYPERLINK("http://csr.bu.edu/ftp/asl/asllvd/demos/verify_start_end_handshape_annotations//test_auto_move//signs_mov_separ_signers/Liz_16435.mov","MOV")</f>
        <v>21</v>
      </c>
      <c r="M8572" t="s" s="10">
        <v>59</v>
      </c>
      <c r="N8572" s="17">
        <v>19</v>
      </c>
      <c r="O8572" s="18">
        <v>2455</v>
      </c>
      <c r="P8572" s="18">
        <v>2490</v>
      </c>
      <c r="Q8572" s="15"/>
      <c r="R8572" t="s" s="16">
        <f>HYPERLINK("http://secrets.rutgers.edu:8080/data/asl-ftp/asllvd/demos/verify_start_end_handshape_annotations//test_auto_move//signs_mov_separ_signers/Liz_16435.mov","MOV")</f>
        <v>21</v>
      </c>
    </row>
    <row r="8573" s="2" customFormat="1" ht="13.5" customHeight="1">
      <c r="B8573" t="s" s="8">
        <v>3093</v>
      </c>
      <c r="C8573" t="s" s="9">
        <v>14</v>
      </c>
      <c r="D8573" t="s" s="8">
        <v>14</v>
      </c>
      <c r="E8573" t="s" s="9">
        <v>14</v>
      </c>
      <c r="F8573" t="s" s="10">
        <v>14</v>
      </c>
      <c r="G8573" t="s" s="11">
        <v>14</v>
      </c>
      <c r="H8573" t="s" s="10">
        <v>14</v>
      </c>
      <c r="I8573" t="s" s="11">
        <v>14</v>
      </c>
      <c r="J8573" t="s" s="11">
        <v>14</v>
      </c>
      <c r="K8573" t="s" s="12">
        <v>14</v>
      </c>
      <c r="L8573" t="s" s="12">
        <v>14</v>
      </c>
      <c r="M8573" t="s" s="10">
        <v>14</v>
      </c>
      <c r="N8573" t="s" s="11">
        <v>14</v>
      </c>
      <c r="O8573" t="s" s="8">
        <v>14</v>
      </c>
      <c r="P8573" t="s" s="8">
        <v>14</v>
      </c>
      <c r="Q8573" t="s" s="12">
        <v>14</v>
      </c>
      <c r="R8573" t="s" s="12">
        <v>14</v>
      </c>
    </row>
    <row r="8574" s="2" customFormat="1" ht="13.5" customHeight="1">
      <c r="B8574" s="13"/>
      <c r="C8574" t="s" s="9">
        <v>30</v>
      </c>
      <c r="D8574" t="s" s="8">
        <v>3093</v>
      </c>
      <c r="E8574" t="s" s="9">
        <v>3093</v>
      </c>
      <c r="F8574" s="19">
        <v>1</v>
      </c>
      <c r="G8574" s="14"/>
      <c r="H8574" s="19">
        <v>1</v>
      </c>
      <c r="I8574" t="s" s="11">
        <v>158</v>
      </c>
      <c r="J8574" t="s" s="11">
        <v>20</v>
      </c>
      <c r="K8574" t="s" s="16">
        <f>HYPERLINK("http://csr.bu.edu/ftp/asl/asllvd/demos/verify_start_end_handshape_annotations//test_auto_move//signs_mov/16568_16569_merged.mov","MOV")</f>
        <v>21</v>
      </c>
      <c r="L8574" t="s" s="16">
        <f>HYPERLINK("http://csr.bu.edu/ftp/asl/asllvd/demos/verify_start_end_handshape_annotations//test_auto_move//signs_mov_separ_signers/Brady_16568.mov","MOV")</f>
        <v>21</v>
      </c>
      <c r="M8574" t="s" s="10">
        <v>40</v>
      </c>
      <c r="N8574" s="17">
        <v>87</v>
      </c>
      <c r="O8574" s="18">
        <v>1904</v>
      </c>
      <c r="P8574" s="18">
        <v>1926</v>
      </c>
      <c r="Q8574" t="s" s="16">
        <f>HYPERLINK("http://secrets.rutgers.edu:8080/data/asl-ftp/asllvd/demos/verify_start_end_handshape_annotations//test_auto_move//signs_mov/16568_16569_merged.mov","MOV")</f>
        <v>21</v>
      </c>
      <c r="R8574" t="s" s="16">
        <f>HYPERLINK("http://secrets.rutgers.edu:8080/data/asl-ftp/asllvd/demos/verify_start_end_handshape_annotations//test_auto_move//signs_mov_separ_signers/Brady_16568.mov","MOV")</f>
        <v>21</v>
      </c>
    </row>
    <row r="8575" s="2" customFormat="1" ht="13.5" customHeight="1">
      <c r="B8575" s="13"/>
      <c r="C8575" t="s" s="9">
        <v>30</v>
      </c>
      <c r="D8575" t="s" s="8">
        <v>3093</v>
      </c>
      <c r="E8575" t="s" s="9">
        <v>3093</v>
      </c>
      <c r="F8575" s="19">
        <v>1</v>
      </c>
      <c r="G8575" s="14"/>
      <c r="H8575" s="19">
        <v>1</v>
      </c>
      <c r="I8575" t="s" s="11">
        <v>119</v>
      </c>
      <c r="J8575" t="s" s="11">
        <v>20</v>
      </c>
      <c r="K8575" s="15"/>
      <c r="L8575" t="s" s="16">
        <f>HYPERLINK("http://csr.bu.edu/ftp/asl/asllvd/demos/verify_start_end_handshape_annotations//test_auto_move//signs_mov_separ_signers/Brady_16569.mov","MOV")</f>
        <v>21</v>
      </c>
      <c r="M8575" t="s" s="10">
        <v>60</v>
      </c>
      <c r="N8575" s="17">
        <v>8</v>
      </c>
      <c r="O8575" s="18">
        <v>512</v>
      </c>
      <c r="P8575" s="18">
        <v>535</v>
      </c>
      <c r="Q8575" s="15"/>
      <c r="R8575" t="s" s="16">
        <f>HYPERLINK("http://secrets.rutgers.edu:8080/data/asl-ftp/asllvd/demos/verify_start_end_handshape_annotations//test_auto_move//signs_mov_separ_signers/Brady_16569.mov","MOV")</f>
        <v>21</v>
      </c>
    </row>
    <row r="8576" s="2" customFormat="1" ht="13.5" customHeight="1">
      <c r="B8576" t="s" s="8">
        <v>3094</v>
      </c>
      <c r="C8576" t="s" s="9">
        <v>14</v>
      </c>
      <c r="D8576" t="s" s="8">
        <v>14</v>
      </c>
      <c r="E8576" t="s" s="9">
        <v>14</v>
      </c>
      <c r="F8576" t="s" s="10">
        <v>14</v>
      </c>
      <c r="G8576" t="s" s="11">
        <v>14</v>
      </c>
      <c r="H8576" t="s" s="10">
        <v>14</v>
      </c>
      <c r="I8576" t="s" s="11">
        <v>14</v>
      </c>
      <c r="J8576" t="s" s="11">
        <v>14</v>
      </c>
      <c r="K8576" t="s" s="12">
        <v>14</v>
      </c>
      <c r="L8576" t="s" s="12">
        <v>14</v>
      </c>
      <c r="M8576" t="s" s="10">
        <v>14</v>
      </c>
      <c r="N8576" t="s" s="11">
        <v>14</v>
      </c>
      <c r="O8576" t="s" s="8">
        <v>14</v>
      </c>
      <c r="P8576" t="s" s="8">
        <v>14</v>
      </c>
      <c r="Q8576" t="s" s="12">
        <v>14</v>
      </c>
      <c r="R8576" t="s" s="12">
        <v>14</v>
      </c>
    </row>
    <row r="8577" s="2" customFormat="1" ht="13.5" customHeight="1">
      <c r="B8577" s="13"/>
      <c r="C8577" t="s" s="9">
        <v>16</v>
      </c>
      <c r="D8577" t="s" s="8">
        <v>3094</v>
      </c>
      <c r="E8577" t="s" s="9">
        <v>3094</v>
      </c>
      <c r="F8577" t="s" s="10">
        <v>152</v>
      </c>
      <c r="G8577" t="s" s="11">
        <v>152</v>
      </c>
      <c r="H8577" t="s" s="10">
        <v>152</v>
      </c>
      <c r="I8577" t="s" s="11">
        <v>152</v>
      </c>
      <c r="J8577" t="s" s="11">
        <v>20</v>
      </c>
      <c r="K8577" t="s" s="16">
        <f>HYPERLINK("http://csr.bu.edu/ftp/asl/asllvd/demos/verify_start_end_handshape_annotations//test_auto_move//signs_mov/2314.mov","MOV")</f>
        <v>21</v>
      </c>
      <c r="L8577" t="s" s="16">
        <f>HYPERLINK("http://csr.bu.edu/ftp/asl/asllvd/demos/verify_start_end_handshape_annotations//test_auto_move//signs_mov_separ_signers/Liz_2314.mov","MOV")</f>
        <v>21</v>
      </c>
      <c r="M8577" t="s" s="10">
        <v>36</v>
      </c>
      <c r="N8577" s="17">
        <v>35</v>
      </c>
      <c r="O8577" s="18">
        <v>1820</v>
      </c>
      <c r="P8577" s="18">
        <v>1890</v>
      </c>
      <c r="Q8577" t="s" s="16">
        <f>HYPERLINK("http://secrets.rutgers.edu:8080/data/asl-ftp/asllvd/demos/verify_start_end_handshape_annotations//test_auto_move//signs_mov/2314.mov","MOV")</f>
        <v>21</v>
      </c>
      <c r="R8577" t="s" s="16">
        <f>HYPERLINK("http://secrets.rutgers.edu:8080/data/asl-ftp/asllvd/demos/verify_start_end_handshape_annotations//test_auto_move//signs_mov_separ_signers/Liz_2314.mov","MOV")</f>
        <v>21</v>
      </c>
    </row>
    <row r="8578" s="2" customFormat="1" ht="13.5" customHeight="1">
      <c r="B8578" s="13"/>
      <c r="C8578" t="s" s="9">
        <v>30</v>
      </c>
      <c r="D8578" t="s" s="8">
        <v>3094</v>
      </c>
      <c r="E8578" t="s" s="9">
        <v>3094</v>
      </c>
      <c r="F8578" t="s" s="10">
        <v>152</v>
      </c>
      <c r="G8578" t="s" s="11">
        <v>152</v>
      </c>
      <c r="H8578" t="s" s="10">
        <v>152</v>
      </c>
      <c r="I8578" t="s" s="11">
        <v>152</v>
      </c>
      <c r="J8578" t="s" s="11">
        <v>20</v>
      </c>
      <c r="K8578" s="15"/>
      <c r="L8578" t="s" s="16">
        <f>HYPERLINK("http://csr.bu.edu/ftp/asl/asllvd/demos/verify_start_end_handshape_annotations//test_auto_move//signs_mov_separ_signers/Brady_2314.mov","MOV")</f>
        <v>21</v>
      </c>
      <c r="M8578" t="s" s="10">
        <v>40</v>
      </c>
      <c r="N8578" s="17">
        <v>87</v>
      </c>
      <c r="O8578" s="18">
        <v>3186</v>
      </c>
      <c r="P8578" s="18">
        <v>3231</v>
      </c>
      <c r="Q8578" s="15"/>
      <c r="R8578" t="s" s="16">
        <f>HYPERLINK("http://secrets.rutgers.edu:8080/data/asl-ftp/asllvd/demos/verify_start_end_handshape_annotations//test_auto_move//signs_mov_separ_signers/Brady_2314.mov","MOV")</f>
        <v>21</v>
      </c>
    </row>
    <row r="8579" s="2" customFormat="1" ht="13.5" customHeight="1">
      <c r="B8579" t="s" s="8">
        <v>3095</v>
      </c>
      <c r="C8579" t="s" s="9">
        <v>14</v>
      </c>
      <c r="D8579" t="s" s="8">
        <v>14</v>
      </c>
      <c r="E8579" t="s" s="9">
        <v>14</v>
      </c>
      <c r="F8579" t="s" s="10">
        <v>14</v>
      </c>
      <c r="G8579" t="s" s="11">
        <v>14</v>
      </c>
      <c r="H8579" t="s" s="10">
        <v>14</v>
      </c>
      <c r="I8579" t="s" s="11">
        <v>14</v>
      </c>
      <c r="J8579" t="s" s="11">
        <v>14</v>
      </c>
      <c r="K8579" t="s" s="12">
        <v>14</v>
      </c>
      <c r="L8579" t="s" s="12">
        <v>14</v>
      </c>
      <c r="M8579" t="s" s="10">
        <v>14</v>
      </c>
      <c r="N8579" t="s" s="11">
        <v>14</v>
      </c>
      <c r="O8579" t="s" s="8">
        <v>14</v>
      </c>
      <c r="P8579" t="s" s="8">
        <v>14</v>
      </c>
      <c r="Q8579" t="s" s="12">
        <v>14</v>
      </c>
      <c r="R8579" t="s" s="12">
        <v>14</v>
      </c>
    </row>
    <row r="8580" s="2" customFormat="1" ht="13.5" customHeight="1">
      <c r="B8580" s="13"/>
      <c r="C8580" t="s" s="9">
        <v>30</v>
      </c>
      <c r="D8580" t="s" s="8">
        <v>3095</v>
      </c>
      <c r="E8580" t="s" s="9">
        <v>3095</v>
      </c>
      <c r="F8580" t="s" s="10">
        <v>73</v>
      </c>
      <c r="G8580" t="s" s="11">
        <v>73</v>
      </c>
      <c r="H8580" t="s" s="10">
        <v>150</v>
      </c>
      <c r="I8580" t="s" s="11">
        <v>150</v>
      </c>
      <c r="J8580" t="s" s="11">
        <v>20</v>
      </c>
      <c r="K8580" t="s" s="16">
        <f>HYPERLINK("http://csr.bu.edu/ftp/asl/asllvd/demos/verify_start_end_handshape_annotations//test_auto_move//signs_mov/2315.mov","MOV")</f>
        <v>21</v>
      </c>
      <c r="L8580" t="s" s="16">
        <f>HYPERLINK("http://csr.bu.edu/ftp/asl/asllvd/demos/verify_start_end_handshape_annotations//test_auto_move//signs_mov_separ_signers/Brady_2315.mov","MOV")</f>
        <v>21</v>
      </c>
      <c r="M8580" t="s" s="10">
        <v>40</v>
      </c>
      <c r="N8580" s="17">
        <v>87</v>
      </c>
      <c r="O8580" s="18">
        <v>4238</v>
      </c>
      <c r="P8580" s="18">
        <v>4288</v>
      </c>
      <c r="Q8580" t="s" s="16">
        <f>HYPERLINK("http://secrets.rutgers.edu:8080/data/asl-ftp/asllvd/demos/verify_start_end_handshape_annotations//test_auto_move//signs_mov/2315.mov","MOV")</f>
        <v>21</v>
      </c>
      <c r="R8580" t="s" s="16">
        <f>HYPERLINK("http://secrets.rutgers.edu:8080/data/asl-ftp/asllvd/demos/verify_start_end_handshape_annotations//test_auto_move//signs_mov_separ_signers/Brady_2315.mov","MOV")</f>
        <v>21</v>
      </c>
    </row>
    <row r="8581" s="2" customFormat="1" ht="13.5" customHeight="1">
      <c r="B8581" t="s" s="8">
        <v>52</v>
      </c>
      <c r="C8581" t="s" s="9">
        <v>53</v>
      </c>
      <c r="D8581" t="s" s="8">
        <v>53</v>
      </c>
      <c r="E8581" t="s" s="9">
        <v>53</v>
      </c>
      <c r="F8581" t="s" s="10">
        <v>53</v>
      </c>
      <c r="G8581" t="s" s="11">
        <v>53</v>
      </c>
      <c r="H8581" t="s" s="10">
        <v>53</v>
      </c>
      <c r="I8581" t="s" s="11">
        <v>53</v>
      </c>
      <c r="J8581" t="s" s="11">
        <v>53</v>
      </c>
      <c r="K8581" t="s" s="12">
        <v>53</v>
      </c>
      <c r="L8581" t="s" s="12">
        <v>53</v>
      </c>
      <c r="M8581" t="s" s="10">
        <v>53</v>
      </c>
      <c r="N8581" t="s" s="11">
        <v>53</v>
      </c>
      <c r="O8581" t="s" s="8">
        <v>53</v>
      </c>
      <c r="P8581" t="s" s="8">
        <v>53</v>
      </c>
      <c r="Q8581" t="s" s="12">
        <v>53</v>
      </c>
      <c r="R8581" t="s" s="12">
        <v>53</v>
      </c>
    </row>
    <row r="8582" s="2" customFormat="1" ht="13.5" customHeight="1">
      <c r="B8582" s="13"/>
      <c r="C8582" t="s" s="9">
        <v>16</v>
      </c>
      <c r="D8582" t="s" s="8">
        <v>3095</v>
      </c>
      <c r="E8582" t="s" s="9">
        <v>3096</v>
      </c>
      <c r="F8582" t="s" s="10">
        <v>73</v>
      </c>
      <c r="G8582" t="s" s="11">
        <v>150</v>
      </c>
      <c r="H8582" t="s" s="10">
        <v>73</v>
      </c>
      <c r="I8582" t="s" s="11">
        <v>73</v>
      </c>
      <c r="J8582" t="s" s="11">
        <v>20</v>
      </c>
      <c r="K8582" t="s" s="16">
        <f>HYPERLINK("http://csr.bu.edu/ftp/asl/asllvd/demos/verify_start_end_handshape_annotations//test_auto_move//signs_mov/16294.mov","MOV")</f>
        <v>21</v>
      </c>
      <c r="L8582" t="s" s="16">
        <f>HYPERLINK("http://csr.bu.edu/ftp/asl/asllvd/demos/verify_start_end_handshape_annotations//test_auto_move//signs_mov_separ_signers/Liz_16294.mov","MOV")</f>
        <v>21</v>
      </c>
      <c r="M8582" t="s" s="10">
        <v>36</v>
      </c>
      <c r="N8582" s="17">
        <v>35</v>
      </c>
      <c r="O8582" s="18">
        <v>2166</v>
      </c>
      <c r="P8582" s="18">
        <v>2247</v>
      </c>
      <c r="Q8582" t="s" s="16">
        <f>HYPERLINK("http://secrets.rutgers.edu:8080/data/asl-ftp/asllvd/demos/verify_start_end_handshape_annotations//test_auto_move//signs_mov/16294.mov","MOV")</f>
        <v>21</v>
      </c>
      <c r="R8582" t="s" s="16">
        <f>HYPERLINK("http://secrets.rutgers.edu:8080/data/asl-ftp/asllvd/demos/verify_start_end_handshape_annotations//test_auto_move//signs_mov_separ_signers/Liz_16294.mov","MOV")</f>
        <v>21</v>
      </c>
    </row>
    <row r="8583" s="2" customFormat="1" ht="13.5" customHeight="1">
      <c r="B8583" t="s" s="8">
        <v>3097</v>
      </c>
      <c r="C8583" t="s" s="9">
        <v>14</v>
      </c>
      <c r="D8583" t="s" s="8">
        <v>14</v>
      </c>
      <c r="E8583" t="s" s="9">
        <v>14</v>
      </c>
      <c r="F8583" t="s" s="10">
        <v>14</v>
      </c>
      <c r="G8583" t="s" s="11">
        <v>14</v>
      </c>
      <c r="H8583" t="s" s="10">
        <v>14</v>
      </c>
      <c r="I8583" t="s" s="11">
        <v>14</v>
      </c>
      <c r="J8583" t="s" s="11">
        <v>14</v>
      </c>
      <c r="K8583" t="s" s="12">
        <v>14</v>
      </c>
      <c r="L8583" t="s" s="12">
        <v>14</v>
      </c>
      <c r="M8583" t="s" s="10">
        <v>14</v>
      </c>
      <c r="N8583" t="s" s="11">
        <v>14</v>
      </c>
      <c r="O8583" t="s" s="8">
        <v>14</v>
      </c>
      <c r="P8583" t="s" s="8">
        <v>14</v>
      </c>
      <c r="Q8583" t="s" s="12">
        <v>14</v>
      </c>
      <c r="R8583" t="s" s="12">
        <v>14</v>
      </c>
    </row>
    <row r="8584" s="2" customFormat="1" ht="13.5" customHeight="1">
      <c r="B8584" s="13"/>
      <c r="C8584" t="s" s="9">
        <v>16</v>
      </c>
      <c r="D8584" t="s" s="8">
        <v>3097</v>
      </c>
      <c r="E8584" t="s" s="9">
        <v>3097</v>
      </c>
      <c r="F8584" t="s" s="10">
        <v>73</v>
      </c>
      <c r="G8584" t="s" s="11">
        <v>73</v>
      </c>
      <c r="H8584" t="s" s="10">
        <v>73</v>
      </c>
      <c r="I8584" t="s" s="11">
        <v>73</v>
      </c>
      <c r="J8584" t="s" s="11">
        <v>20</v>
      </c>
      <c r="K8584" t="s" s="16">
        <f>HYPERLINK("http://csr.bu.edu/ftp/asl/asllvd/demos/verify_start_end_handshape_annotations//test_auto_move//signs_mov/2316.mov","MOV")</f>
        <v>21</v>
      </c>
      <c r="L8584" t="s" s="16">
        <f>HYPERLINK("http://csr.bu.edu/ftp/asl/asllvd/demos/verify_start_end_handshape_annotations//test_auto_move//signs_mov_separ_signers/Liz_2316.mov","MOV")</f>
        <v>21</v>
      </c>
      <c r="M8584" t="s" s="10">
        <v>36</v>
      </c>
      <c r="N8584" s="17">
        <v>35</v>
      </c>
      <c r="O8584" s="18">
        <v>2480</v>
      </c>
      <c r="P8584" s="18">
        <v>2525</v>
      </c>
      <c r="Q8584" t="s" s="16">
        <f>HYPERLINK("http://secrets.rutgers.edu:8080/data/asl-ftp/asllvd/demos/verify_start_end_handshape_annotations//test_auto_move//signs_mov/2316.mov","MOV")</f>
        <v>21</v>
      </c>
      <c r="R8584" t="s" s="16">
        <f>HYPERLINK("http://secrets.rutgers.edu:8080/data/asl-ftp/asllvd/demos/verify_start_end_handshape_annotations//test_auto_move//signs_mov_separ_signers/Liz_2316.mov","MOV")</f>
        <v>21</v>
      </c>
    </row>
    <row r="8585" s="2" customFormat="1" ht="13.5" customHeight="1">
      <c r="B8585" s="13"/>
      <c r="C8585" t="s" s="9">
        <v>30</v>
      </c>
      <c r="D8585" t="s" s="8">
        <v>3097</v>
      </c>
      <c r="E8585" t="s" s="9">
        <v>3097</v>
      </c>
      <c r="F8585" t="s" s="10">
        <v>73</v>
      </c>
      <c r="G8585" t="s" s="11">
        <v>73</v>
      </c>
      <c r="H8585" t="s" s="10">
        <v>73</v>
      </c>
      <c r="I8585" t="s" s="11">
        <v>73</v>
      </c>
      <c r="J8585" t="s" s="11">
        <v>20</v>
      </c>
      <c r="K8585" s="15"/>
      <c r="L8585" t="s" s="16">
        <f>HYPERLINK("http://csr.bu.edu/ftp/asl/asllvd/demos/verify_start_end_handshape_annotations//test_auto_move//signs_mov_separ_signers/Brady_2316.mov","MOV")</f>
        <v>21</v>
      </c>
      <c r="M8585" t="s" s="10">
        <v>40</v>
      </c>
      <c r="N8585" s="17">
        <v>87</v>
      </c>
      <c r="O8585" s="18">
        <v>4582</v>
      </c>
      <c r="P8585" s="18">
        <v>4598</v>
      </c>
      <c r="Q8585" s="15"/>
      <c r="R8585" t="s" s="16">
        <f>HYPERLINK("http://secrets.rutgers.edu:8080/data/asl-ftp/asllvd/demos/verify_start_end_handshape_annotations//test_auto_move//signs_mov_separ_signers/Brady_2316.mov","MOV")</f>
        <v>21</v>
      </c>
    </row>
    <row r="8586" s="2" customFormat="1" ht="13.5" customHeight="1">
      <c r="B8586" t="s" s="8">
        <v>3098</v>
      </c>
      <c r="C8586" t="s" s="9">
        <v>14</v>
      </c>
      <c r="D8586" t="s" s="8">
        <v>14</v>
      </c>
      <c r="E8586" t="s" s="9">
        <v>14</v>
      </c>
      <c r="F8586" t="s" s="10">
        <v>14</v>
      </c>
      <c r="G8586" t="s" s="11">
        <v>14</v>
      </c>
      <c r="H8586" t="s" s="10">
        <v>14</v>
      </c>
      <c r="I8586" t="s" s="11">
        <v>14</v>
      </c>
      <c r="J8586" t="s" s="11">
        <v>14</v>
      </c>
      <c r="K8586" t="s" s="12">
        <v>14</v>
      </c>
      <c r="L8586" t="s" s="12">
        <v>14</v>
      </c>
      <c r="M8586" t="s" s="10">
        <v>14</v>
      </c>
      <c r="N8586" t="s" s="11">
        <v>14</v>
      </c>
      <c r="O8586" t="s" s="8">
        <v>14</v>
      </c>
      <c r="P8586" t="s" s="8">
        <v>14</v>
      </c>
      <c r="Q8586" t="s" s="12">
        <v>14</v>
      </c>
      <c r="R8586" t="s" s="12">
        <v>14</v>
      </c>
    </row>
    <row r="8587" s="2" customFormat="1" ht="13.5" customHeight="1">
      <c r="B8587" s="13"/>
      <c r="C8587" t="s" s="9">
        <v>16</v>
      </c>
      <c r="D8587" t="s" s="8">
        <v>3098</v>
      </c>
      <c r="E8587" t="s" s="9">
        <v>3098</v>
      </c>
      <c r="F8587" t="s" s="10">
        <v>73</v>
      </c>
      <c r="G8587" t="s" s="11">
        <v>55</v>
      </c>
      <c r="H8587" t="s" s="10">
        <v>80</v>
      </c>
      <c r="I8587" t="s" s="11">
        <v>55</v>
      </c>
      <c r="J8587" t="s" s="11">
        <v>20</v>
      </c>
      <c r="K8587" s="15"/>
      <c r="L8587" t="s" s="16">
        <f>HYPERLINK("http://csr.bu.edu/ftp/asl/asllvd/demos/verify_start_end_handshape_annotations//test_auto_move//signs_mov_separ_signers/Liz_2317.mov","MOV")</f>
        <v>21</v>
      </c>
      <c r="M8587" t="s" s="10">
        <v>36</v>
      </c>
      <c r="N8587" s="17">
        <v>35</v>
      </c>
      <c r="O8587" s="18">
        <v>2726</v>
      </c>
      <c r="P8587" s="18">
        <v>2782</v>
      </c>
      <c r="Q8587" s="15"/>
      <c r="R8587" t="s" s="16">
        <f>HYPERLINK("http://secrets.rutgers.edu:8080/data/asl-ftp/asllvd/demos/verify_start_end_handshape_annotations//test_auto_move//signs_mov_separ_signers/Liz_2317.mov","MOV")</f>
        <v>21</v>
      </c>
    </row>
    <row r="8588" s="2" customFormat="1" ht="13.5" customHeight="1">
      <c r="B8588" s="13"/>
      <c r="C8588" t="s" s="9">
        <v>30</v>
      </c>
      <c r="D8588" t="s" s="8">
        <v>3098</v>
      </c>
      <c r="E8588" t="s" s="9">
        <v>3098</v>
      </c>
      <c r="F8588" t="s" s="10">
        <v>73</v>
      </c>
      <c r="G8588" t="s" s="11">
        <v>73</v>
      </c>
      <c r="H8588" t="s" s="10">
        <v>73</v>
      </c>
      <c r="I8588" t="s" s="11">
        <v>73</v>
      </c>
      <c r="J8588" t="s" s="11">
        <v>20</v>
      </c>
      <c r="K8588" t="s" s="16">
        <f>HYPERLINK("http://csr.bu.edu/ftp/asl/asllvd/demos/verify_start_end_handshape_annotations//test_auto_move//signs_mov/2317.mov","MOV")</f>
        <v>21</v>
      </c>
      <c r="L8588" t="s" s="16">
        <f>HYPERLINK("http://csr.bu.edu/ftp/asl/asllvd/demos/verify_start_end_handshape_annotations//test_auto_move//signs_mov_separ_signers/Brady_2317.mov","MOV")</f>
        <v>21</v>
      </c>
      <c r="M8588" t="s" s="10">
        <v>40</v>
      </c>
      <c r="N8588" s="17">
        <v>87</v>
      </c>
      <c r="O8588" s="18">
        <v>4829</v>
      </c>
      <c r="P8588" s="18">
        <v>4858</v>
      </c>
      <c r="Q8588" t="s" s="16">
        <f>HYPERLINK("http://secrets.rutgers.edu:8080/data/asl-ftp/asllvd/demos/verify_start_end_handshape_annotations//test_auto_move//signs_mov/2317.mov","MOV")</f>
        <v>21</v>
      </c>
      <c r="R8588" t="s" s="16">
        <f>HYPERLINK("http://secrets.rutgers.edu:8080/data/asl-ftp/asllvd/demos/verify_start_end_handshape_annotations//test_auto_move//signs_mov_separ_signers/Brady_2317.mov","MOV")</f>
        <v>21</v>
      </c>
    </row>
    <row r="8589" s="2" customFormat="1" ht="13.5" customHeight="1">
      <c r="B8589" s="13"/>
      <c r="C8589" t="s" s="9">
        <v>41</v>
      </c>
      <c r="D8589" t="s" s="8">
        <v>3098</v>
      </c>
      <c r="E8589" t="s" s="9">
        <v>3098</v>
      </c>
      <c r="F8589" s="19">
        <v>5</v>
      </c>
      <c r="G8589" s="17">
        <v>5</v>
      </c>
      <c r="H8589" s="19">
        <v>5</v>
      </c>
      <c r="I8589" s="17">
        <v>5</v>
      </c>
      <c r="J8589" t="s" s="11">
        <v>20</v>
      </c>
      <c r="K8589" s="15"/>
      <c r="L8589" t="s" s="16">
        <f>HYPERLINK("http://csr.bu.edu/ftp/asl/asllvd/demos/verify_start_end_handshape_annotations//test_auto_move//signs_mov_separ_signers/Lana_2317.mov","MOV")</f>
        <v>21</v>
      </c>
      <c r="M8589" t="s" s="10">
        <v>42</v>
      </c>
      <c r="N8589" s="17">
        <v>25</v>
      </c>
      <c r="O8589" s="18">
        <v>2018</v>
      </c>
      <c r="P8589" s="18">
        <v>2056</v>
      </c>
      <c r="Q8589" s="15"/>
      <c r="R8589" t="s" s="16">
        <f>HYPERLINK("http://secrets.rutgers.edu:8080/data/asl-ftp/asllvd/demos/verify_start_end_handshape_annotations//test_auto_move//signs_mov_separ_signers/Lana_2317.mov","MOV")</f>
        <v>21</v>
      </c>
    </row>
    <row r="8590" s="2" customFormat="1" ht="13.5" customHeight="1">
      <c r="B8590" s="13"/>
      <c r="C8590" t="s" s="9">
        <v>43</v>
      </c>
      <c r="D8590" t="s" s="8">
        <v>3098</v>
      </c>
      <c r="E8590" t="s" s="9">
        <v>3098</v>
      </c>
      <c r="F8590" t="s" s="10">
        <v>73</v>
      </c>
      <c r="G8590" t="s" s="11">
        <v>73</v>
      </c>
      <c r="H8590" t="s" s="10">
        <v>73</v>
      </c>
      <c r="I8590" t="s" s="11">
        <v>73</v>
      </c>
      <c r="J8590" t="s" s="11">
        <v>20</v>
      </c>
      <c r="K8590" s="15"/>
      <c r="L8590" t="s" s="16">
        <f>HYPERLINK("http://csr.bu.edu/ftp/asl/asllvd/demos/verify_start_end_handshape_annotations//test_auto_move//signs_mov_separ_signers/Dana_2317.mov","MOV")</f>
        <v>21</v>
      </c>
      <c r="M8590" t="s" s="10">
        <v>44</v>
      </c>
      <c r="N8590" s="17">
        <v>27</v>
      </c>
      <c r="O8590" s="18">
        <v>1942</v>
      </c>
      <c r="P8590" s="18">
        <v>1996</v>
      </c>
      <c r="Q8590" s="15"/>
      <c r="R8590" t="s" s="16">
        <f>HYPERLINK("http://secrets.rutgers.edu:8080/data/asl-ftp/asllvd/demos/verify_start_end_handshape_annotations//test_auto_move//signs_mov_separ_signers/Dana_2317.mov","MOV")</f>
        <v>21</v>
      </c>
    </row>
    <row r="8591" s="2" customFormat="1" ht="13.5" customHeight="1">
      <c r="B8591" t="s" s="8">
        <v>3099</v>
      </c>
      <c r="C8591" t="s" s="9">
        <v>14</v>
      </c>
      <c r="D8591" t="s" s="8">
        <v>14</v>
      </c>
      <c r="E8591" t="s" s="9">
        <v>14</v>
      </c>
      <c r="F8591" t="s" s="10">
        <v>14</v>
      </c>
      <c r="G8591" t="s" s="11">
        <v>14</v>
      </c>
      <c r="H8591" t="s" s="10">
        <v>14</v>
      </c>
      <c r="I8591" t="s" s="11">
        <v>14</v>
      </c>
      <c r="J8591" t="s" s="11">
        <v>14</v>
      </c>
      <c r="K8591" t="s" s="12">
        <v>14</v>
      </c>
      <c r="L8591" t="s" s="12">
        <v>14</v>
      </c>
      <c r="M8591" t="s" s="10">
        <v>14</v>
      </c>
      <c r="N8591" t="s" s="11">
        <v>14</v>
      </c>
      <c r="O8591" t="s" s="8">
        <v>14</v>
      </c>
      <c r="P8591" t="s" s="8">
        <v>14</v>
      </c>
      <c r="Q8591" t="s" s="12">
        <v>14</v>
      </c>
      <c r="R8591" t="s" s="12">
        <v>14</v>
      </c>
    </row>
    <row r="8592" s="2" customFormat="1" ht="13.5" customHeight="1">
      <c r="B8592" s="13"/>
      <c r="C8592" t="s" s="9">
        <v>16</v>
      </c>
      <c r="D8592" t="s" s="8">
        <v>3099</v>
      </c>
      <c r="E8592" t="s" s="9">
        <v>3100</v>
      </c>
      <c r="F8592" t="s" s="10">
        <v>73</v>
      </c>
      <c r="G8592" s="14"/>
      <c r="H8592" t="s" s="10">
        <v>73</v>
      </c>
      <c r="I8592" s="14"/>
      <c r="J8592" t="s" s="11">
        <v>20</v>
      </c>
      <c r="K8592" t="s" s="16">
        <f>HYPERLINK("http://csr.bu.edu/ftp/asl/asllvd/demos/verify_start_end_handshape_annotations//test_auto_move//signs_mov/2319.mov","MOV")</f>
        <v>21</v>
      </c>
      <c r="L8592" t="s" s="16">
        <f>HYPERLINK("http://csr.bu.edu/ftp/asl/asllvd/demos/verify_start_end_handshape_annotations//test_auto_move//signs_mov_separ_signers/Liz_2319.mov","MOV")</f>
        <v>21</v>
      </c>
      <c r="M8592" t="s" s="10">
        <v>36</v>
      </c>
      <c r="N8592" s="17">
        <v>35</v>
      </c>
      <c r="O8592" s="18">
        <v>3780</v>
      </c>
      <c r="P8592" s="18">
        <v>3815</v>
      </c>
      <c r="Q8592" t="s" s="16">
        <f>HYPERLINK("http://secrets.rutgers.edu:8080/data/asl-ftp/asllvd/demos/verify_start_end_handshape_annotations//test_auto_move//signs_mov/2319.mov","MOV")</f>
        <v>21</v>
      </c>
      <c r="R8592" t="s" s="16">
        <f>HYPERLINK("http://secrets.rutgers.edu:8080/data/asl-ftp/asllvd/demos/verify_start_end_handshape_annotations//test_auto_move//signs_mov_separ_signers/Liz_2319.mov","MOV")</f>
        <v>21</v>
      </c>
    </row>
    <row r="8593" s="2" customFormat="1" ht="13.5" customHeight="1">
      <c r="B8593" s="13"/>
      <c r="C8593" t="s" s="9">
        <v>30</v>
      </c>
      <c r="D8593" t="s" s="8">
        <v>3099</v>
      </c>
      <c r="E8593" t="s" s="9">
        <v>3100</v>
      </c>
      <c r="F8593" t="s" s="10">
        <v>73</v>
      </c>
      <c r="G8593" s="14"/>
      <c r="H8593" t="s" s="10">
        <v>73</v>
      </c>
      <c r="I8593" s="14"/>
      <c r="J8593" t="s" s="11">
        <v>20</v>
      </c>
      <c r="K8593" s="15"/>
      <c r="L8593" t="s" s="16">
        <f>HYPERLINK("http://csr.bu.edu/ftp/asl/asllvd/demos/verify_start_end_handshape_annotations//test_auto_move//signs_mov_separ_signers/Brady_2319.mov","MOV")</f>
        <v>21</v>
      </c>
      <c r="M8593" t="s" s="10">
        <v>40</v>
      </c>
      <c r="N8593" s="17">
        <v>88</v>
      </c>
      <c r="O8593" s="18">
        <v>804</v>
      </c>
      <c r="P8593" s="18">
        <v>821</v>
      </c>
      <c r="Q8593" s="15"/>
      <c r="R8593" t="s" s="16">
        <f>HYPERLINK("http://secrets.rutgers.edu:8080/data/asl-ftp/asllvd/demos/verify_start_end_handshape_annotations//test_auto_move//signs_mov_separ_signers/Brady_2319.mov","MOV")</f>
        <v>21</v>
      </c>
    </row>
    <row r="8594" s="2" customFormat="1" ht="13.5" customHeight="1">
      <c r="B8594" t="s" s="8">
        <v>3101</v>
      </c>
      <c r="C8594" t="s" s="9">
        <v>14</v>
      </c>
      <c r="D8594" t="s" s="8">
        <v>14</v>
      </c>
      <c r="E8594" t="s" s="9">
        <v>14</v>
      </c>
      <c r="F8594" t="s" s="10">
        <v>14</v>
      </c>
      <c r="G8594" t="s" s="11">
        <v>14</v>
      </c>
      <c r="H8594" t="s" s="10">
        <v>14</v>
      </c>
      <c r="I8594" t="s" s="11">
        <v>14</v>
      </c>
      <c r="J8594" t="s" s="11">
        <v>14</v>
      </c>
      <c r="K8594" t="s" s="12">
        <v>14</v>
      </c>
      <c r="L8594" t="s" s="12">
        <v>14</v>
      </c>
      <c r="M8594" t="s" s="10">
        <v>14</v>
      </c>
      <c r="N8594" t="s" s="11">
        <v>14</v>
      </c>
      <c r="O8594" t="s" s="8">
        <v>14</v>
      </c>
      <c r="P8594" t="s" s="8">
        <v>14</v>
      </c>
      <c r="Q8594" t="s" s="12">
        <v>14</v>
      </c>
      <c r="R8594" t="s" s="12">
        <v>14</v>
      </c>
    </row>
    <row r="8595" s="2" customFormat="1" ht="13.5" customHeight="1">
      <c r="B8595" s="13"/>
      <c r="C8595" t="s" s="9">
        <v>16</v>
      </c>
      <c r="D8595" t="s" s="8">
        <v>3101</v>
      </c>
      <c r="E8595" t="s" s="9">
        <v>3102</v>
      </c>
      <c r="F8595" t="s" s="10">
        <v>55</v>
      </c>
      <c r="G8595" s="14"/>
      <c r="H8595" t="s" s="10">
        <v>55</v>
      </c>
      <c r="I8595" s="14"/>
      <c r="J8595" t="s" s="11">
        <v>20</v>
      </c>
      <c r="K8595" t="s" s="16">
        <f>HYPERLINK("http://csr.bu.edu/ftp/asl/asllvd/demos/verify_start_end_handshape_annotations//test_auto_move//signs_mov/15820.mov","MOV")</f>
        <v>21</v>
      </c>
      <c r="L8595" t="s" s="16">
        <f>HYPERLINK("http://csr.bu.edu/ftp/asl/asllvd/demos/verify_start_end_handshape_annotations//test_auto_move//signs_mov_separ_signers/Liz_15820.mov","MOV")</f>
        <v>21</v>
      </c>
      <c r="M8595" t="s" s="10">
        <v>36</v>
      </c>
      <c r="N8595" s="17">
        <v>47</v>
      </c>
      <c r="O8595" s="18">
        <v>378</v>
      </c>
      <c r="P8595" s="18">
        <v>440</v>
      </c>
      <c r="Q8595" t="s" s="16">
        <f>HYPERLINK("http://secrets.rutgers.edu:8080/data/asl-ftp/asllvd/demos/verify_start_end_handshape_annotations//test_auto_move//signs_mov/15820.mov","MOV")</f>
        <v>21</v>
      </c>
      <c r="R8595" t="s" s="16">
        <f>HYPERLINK("http://secrets.rutgers.edu:8080/data/asl-ftp/asllvd/demos/verify_start_end_handshape_annotations//test_auto_move//signs_mov_separ_signers/Liz_15820.mov","MOV")</f>
        <v>21</v>
      </c>
    </row>
    <row r="8596" s="2" customFormat="1" ht="13.5" customHeight="1">
      <c r="B8596" s="13"/>
      <c r="C8596" t="s" s="9">
        <v>30</v>
      </c>
      <c r="D8596" t="s" s="8">
        <v>3101</v>
      </c>
      <c r="E8596" t="s" s="9">
        <v>3102</v>
      </c>
      <c r="F8596" t="s" s="10">
        <v>55</v>
      </c>
      <c r="G8596" s="14"/>
      <c r="H8596" t="s" s="10">
        <v>55</v>
      </c>
      <c r="I8596" s="14"/>
      <c r="J8596" t="s" s="11">
        <v>20</v>
      </c>
      <c r="K8596" s="15"/>
      <c r="L8596" t="s" s="16">
        <f>HYPERLINK("http://csr.bu.edu/ftp/asl/asllvd/demos/verify_start_end_handshape_annotations//test_auto_move//signs_mov_separ_signers/Brady_15820.mov","MOV")</f>
        <v>21</v>
      </c>
      <c r="M8596" t="s" s="10">
        <v>40</v>
      </c>
      <c r="N8596" s="17">
        <v>98</v>
      </c>
      <c r="O8596" s="18">
        <v>2640</v>
      </c>
      <c r="P8596" s="18">
        <v>2684</v>
      </c>
      <c r="Q8596" s="15"/>
      <c r="R8596" t="s" s="16">
        <f>HYPERLINK("http://secrets.rutgers.edu:8080/data/asl-ftp/asllvd/demos/verify_start_end_handshape_annotations//test_auto_move//signs_mov_separ_signers/Brady_15820.mov","MOV")</f>
        <v>21</v>
      </c>
    </row>
    <row r="8597" s="2" customFormat="1" ht="13.5" customHeight="1">
      <c r="B8597" t="s" s="8">
        <v>3103</v>
      </c>
      <c r="C8597" t="s" s="9">
        <v>14</v>
      </c>
      <c r="D8597" t="s" s="8">
        <v>14</v>
      </c>
      <c r="E8597" t="s" s="9">
        <v>14</v>
      </c>
      <c r="F8597" t="s" s="10">
        <v>14</v>
      </c>
      <c r="G8597" t="s" s="11">
        <v>14</v>
      </c>
      <c r="H8597" t="s" s="10">
        <v>14</v>
      </c>
      <c r="I8597" t="s" s="11">
        <v>14</v>
      </c>
      <c r="J8597" t="s" s="11">
        <v>14</v>
      </c>
      <c r="K8597" t="s" s="12">
        <v>14</v>
      </c>
      <c r="L8597" t="s" s="12">
        <v>14</v>
      </c>
      <c r="M8597" t="s" s="10">
        <v>14</v>
      </c>
      <c r="N8597" t="s" s="11">
        <v>14</v>
      </c>
      <c r="O8597" t="s" s="8">
        <v>14</v>
      </c>
      <c r="P8597" t="s" s="8">
        <v>14</v>
      </c>
      <c r="Q8597" t="s" s="12">
        <v>14</v>
      </c>
      <c r="R8597" t="s" s="12">
        <v>14</v>
      </c>
    </row>
    <row r="8598" s="2" customFormat="1" ht="13.5" customHeight="1">
      <c r="B8598" s="13"/>
      <c r="C8598" t="s" s="9">
        <v>16</v>
      </c>
      <c r="D8598" t="s" s="8">
        <v>3103</v>
      </c>
      <c r="E8598" t="s" s="9">
        <v>3103</v>
      </c>
      <c r="F8598" t="s" s="10">
        <v>244</v>
      </c>
      <c r="G8598" t="s" s="11">
        <v>244</v>
      </c>
      <c r="H8598" t="s" s="10">
        <v>119</v>
      </c>
      <c r="I8598" t="s" s="11">
        <v>119</v>
      </c>
      <c r="J8598" t="s" s="11">
        <v>20</v>
      </c>
      <c r="K8598" t="s" s="16">
        <f>HYPERLINK("http://csr.bu.edu/ftp/asl/asllvd/demos/verify_start_end_handshape_annotations//test_auto_move//signs_mov/2320.mov","MOV")</f>
        <v>21</v>
      </c>
      <c r="L8598" t="s" s="16">
        <f>HYPERLINK("http://csr.bu.edu/ftp/asl/asllvd/demos/verify_start_end_handshape_annotations//test_auto_move//signs_mov_separ_signers/Liz_2320.mov","MOV")</f>
        <v>21</v>
      </c>
      <c r="M8598" t="s" s="10">
        <v>36</v>
      </c>
      <c r="N8598" s="17">
        <v>36</v>
      </c>
      <c r="O8598" s="18">
        <v>320</v>
      </c>
      <c r="P8598" s="18">
        <v>355</v>
      </c>
      <c r="Q8598" t="s" s="16">
        <f>HYPERLINK("http://secrets.rutgers.edu:8080/data/asl-ftp/asllvd/demos/verify_start_end_handshape_annotations//test_auto_move//signs_mov/2320.mov","MOV")</f>
        <v>21</v>
      </c>
      <c r="R8598" t="s" s="16">
        <f>HYPERLINK("http://secrets.rutgers.edu:8080/data/asl-ftp/asllvd/demos/verify_start_end_handshape_annotations//test_auto_move//signs_mov_separ_signers/Liz_2320.mov","MOV")</f>
        <v>21</v>
      </c>
    </row>
    <row r="8599" s="2" customFormat="1" ht="13.5" customHeight="1">
      <c r="B8599" t="s" s="8">
        <v>52</v>
      </c>
      <c r="C8599" t="s" s="9">
        <v>53</v>
      </c>
      <c r="D8599" t="s" s="8">
        <v>53</v>
      </c>
      <c r="E8599" t="s" s="9">
        <v>53</v>
      </c>
      <c r="F8599" t="s" s="10">
        <v>53</v>
      </c>
      <c r="G8599" t="s" s="11">
        <v>53</v>
      </c>
      <c r="H8599" t="s" s="10">
        <v>53</v>
      </c>
      <c r="I8599" t="s" s="11">
        <v>53</v>
      </c>
      <c r="J8599" t="s" s="11">
        <v>53</v>
      </c>
      <c r="K8599" t="s" s="12">
        <v>53</v>
      </c>
      <c r="L8599" t="s" s="12">
        <v>53</v>
      </c>
      <c r="M8599" t="s" s="10">
        <v>53</v>
      </c>
      <c r="N8599" t="s" s="11">
        <v>53</v>
      </c>
      <c r="O8599" t="s" s="8">
        <v>53</v>
      </c>
      <c r="P8599" t="s" s="8">
        <v>53</v>
      </c>
      <c r="Q8599" t="s" s="12">
        <v>53</v>
      </c>
      <c r="R8599" t="s" s="12">
        <v>53</v>
      </c>
    </row>
    <row r="8600" s="2" customFormat="1" ht="13.5" customHeight="1">
      <c r="B8600" s="13"/>
      <c r="C8600" t="s" s="9">
        <v>30</v>
      </c>
      <c r="D8600" t="s" s="8">
        <v>3103</v>
      </c>
      <c r="E8600" t="s" s="9">
        <v>3104</v>
      </c>
      <c r="F8600" t="s" s="10">
        <v>80</v>
      </c>
      <c r="G8600" t="s" s="11">
        <v>80</v>
      </c>
      <c r="H8600" t="s" s="10">
        <v>80</v>
      </c>
      <c r="I8600" t="s" s="11">
        <v>80</v>
      </c>
      <c r="J8600" t="s" s="11">
        <v>20</v>
      </c>
      <c r="K8600" t="s" s="16">
        <f>HYPERLINK("http://csr.bu.edu/ftp/asl/asllvd/demos/verify_start_end_handshape_annotations//test_auto_move//signs_mov/16318.mov","MOV")</f>
        <v>21</v>
      </c>
      <c r="L8600" t="s" s="16">
        <f>HYPERLINK("http://csr.bu.edu/ftp/asl/asllvd/demos/verify_start_end_handshape_annotations//test_auto_move//signs_mov_separ_signers/Brady_16318.mov","MOV")</f>
        <v>21</v>
      </c>
      <c r="M8600" t="s" s="10">
        <v>40</v>
      </c>
      <c r="N8600" s="17">
        <v>88</v>
      </c>
      <c r="O8600" s="18">
        <v>542</v>
      </c>
      <c r="P8600" s="18">
        <v>550</v>
      </c>
      <c r="Q8600" t="s" s="16">
        <f>HYPERLINK("http://secrets.rutgers.edu:8080/data/asl-ftp/asllvd/demos/verify_start_end_handshape_annotations//test_auto_move//signs_mov/16318.mov","MOV")</f>
        <v>21</v>
      </c>
      <c r="R8600" t="s" s="16">
        <f>HYPERLINK("http://secrets.rutgers.edu:8080/data/asl-ftp/asllvd/demos/verify_start_end_handshape_annotations//test_auto_move//signs_mov_separ_signers/Brady_16318.mov","MOV")</f>
        <v>21</v>
      </c>
    </row>
    <row r="8601" s="2" customFormat="1" ht="13.5" customHeight="1">
      <c r="B8601" t="s" s="8">
        <v>52</v>
      </c>
      <c r="C8601" t="s" s="9">
        <v>53</v>
      </c>
      <c r="D8601" t="s" s="8">
        <v>53</v>
      </c>
      <c r="E8601" t="s" s="9">
        <v>53</v>
      </c>
      <c r="F8601" t="s" s="10">
        <v>53</v>
      </c>
      <c r="G8601" t="s" s="11">
        <v>53</v>
      </c>
      <c r="H8601" t="s" s="10">
        <v>53</v>
      </c>
      <c r="I8601" t="s" s="11">
        <v>53</v>
      </c>
      <c r="J8601" t="s" s="11">
        <v>53</v>
      </c>
      <c r="K8601" t="s" s="12">
        <v>53</v>
      </c>
      <c r="L8601" t="s" s="12">
        <v>53</v>
      </c>
      <c r="M8601" t="s" s="10">
        <v>53</v>
      </c>
      <c r="N8601" t="s" s="11">
        <v>53</v>
      </c>
      <c r="O8601" t="s" s="8">
        <v>53</v>
      </c>
      <c r="P8601" t="s" s="8">
        <v>53</v>
      </c>
      <c r="Q8601" t="s" s="12">
        <v>53</v>
      </c>
      <c r="R8601" t="s" s="12">
        <v>53</v>
      </c>
    </row>
    <row r="8602" s="2" customFormat="1" ht="13.5" customHeight="1">
      <c r="B8602" s="13"/>
      <c r="C8602" t="s" s="9">
        <v>30</v>
      </c>
      <c r="D8602" t="s" s="8">
        <v>3103</v>
      </c>
      <c r="E8602" t="s" s="9">
        <v>3105</v>
      </c>
      <c r="F8602" s="19">
        <v>1</v>
      </c>
      <c r="G8602" s="17">
        <v>1</v>
      </c>
      <c r="H8602" s="19">
        <v>1</v>
      </c>
      <c r="I8602" s="17">
        <v>1</v>
      </c>
      <c r="J8602" t="s" s="11">
        <v>20</v>
      </c>
      <c r="K8602" t="s" s="16">
        <f>HYPERLINK("http://csr.bu.edu/ftp/asl/asllvd/demos/verify_start_end_handshape_annotations//test_auto_move//signs_mov/16330.mov","MOV")</f>
        <v>21</v>
      </c>
      <c r="L8602" t="s" s="16">
        <f>HYPERLINK("http://csr.bu.edu/ftp/asl/asllvd/demos/verify_start_end_handshape_annotations//test_auto_move//signs_mov_separ_signers/Brady_16330.mov","MOV")</f>
        <v>21</v>
      </c>
      <c r="M8602" t="s" s="10">
        <v>31</v>
      </c>
      <c r="N8602" s="17">
        <v>34</v>
      </c>
      <c r="O8602" s="18">
        <v>4336</v>
      </c>
      <c r="P8602" s="18">
        <v>4362</v>
      </c>
      <c r="Q8602" t="s" s="16">
        <f>HYPERLINK("http://secrets.rutgers.edu:8080/data/asl-ftp/asllvd/demos/verify_start_end_handshape_annotations//test_auto_move//signs_mov/16330.mov","MOV")</f>
        <v>21</v>
      </c>
      <c r="R8602" t="s" s="16">
        <f>HYPERLINK("http://secrets.rutgers.edu:8080/data/asl-ftp/asllvd/demos/verify_start_end_handshape_annotations//test_auto_move//signs_mov_separ_signers/Brady_16330.mov","MOV")</f>
        <v>21</v>
      </c>
    </row>
    <row r="8603" s="2" customFormat="1" ht="13.5" customHeight="1">
      <c r="B8603" t="s" s="8">
        <v>3106</v>
      </c>
      <c r="C8603" t="s" s="9">
        <v>14</v>
      </c>
      <c r="D8603" t="s" s="8">
        <v>14</v>
      </c>
      <c r="E8603" t="s" s="9">
        <v>14</v>
      </c>
      <c r="F8603" t="s" s="10">
        <v>14</v>
      </c>
      <c r="G8603" t="s" s="11">
        <v>14</v>
      </c>
      <c r="H8603" t="s" s="10">
        <v>14</v>
      </c>
      <c r="I8603" t="s" s="11">
        <v>14</v>
      </c>
      <c r="J8603" t="s" s="11">
        <v>14</v>
      </c>
      <c r="K8603" t="s" s="12">
        <v>14</v>
      </c>
      <c r="L8603" t="s" s="12">
        <v>14</v>
      </c>
      <c r="M8603" t="s" s="10">
        <v>14</v>
      </c>
      <c r="N8603" t="s" s="11">
        <v>14</v>
      </c>
      <c r="O8603" t="s" s="8">
        <v>14</v>
      </c>
      <c r="P8603" t="s" s="8">
        <v>14</v>
      </c>
      <c r="Q8603" t="s" s="12">
        <v>14</v>
      </c>
      <c r="R8603" t="s" s="12">
        <v>14</v>
      </c>
    </row>
    <row r="8604" s="2" customFormat="1" ht="13.5" customHeight="1">
      <c r="B8604" s="13"/>
      <c r="C8604" t="s" s="9">
        <v>16</v>
      </c>
      <c r="D8604" t="s" s="8">
        <v>3106</v>
      </c>
      <c r="E8604" t="s" s="9">
        <v>3106</v>
      </c>
      <c r="F8604" t="s" s="10">
        <v>230</v>
      </c>
      <c r="G8604" s="14"/>
      <c r="H8604" t="s" s="10">
        <v>230</v>
      </c>
      <c r="I8604" s="14"/>
      <c r="J8604" t="s" s="11">
        <v>20</v>
      </c>
      <c r="K8604" t="s" s="16">
        <f>HYPERLINK("http://csr.bu.edu/ftp/asl/asllvd/demos/verify_start_end_handshape_annotations//test_auto_move//signs_mov/2326.mov","MOV")</f>
        <v>21</v>
      </c>
      <c r="L8604" t="s" s="16">
        <f>HYPERLINK("http://csr.bu.edu/ftp/asl/asllvd/demos/verify_start_end_handshape_annotations//test_auto_move//signs_mov_separ_signers/Liz_2326.mov","MOV")</f>
        <v>21</v>
      </c>
      <c r="M8604" t="s" s="10">
        <v>36</v>
      </c>
      <c r="N8604" s="17">
        <v>36</v>
      </c>
      <c r="O8604" s="18">
        <v>2032</v>
      </c>
      <c r="P8604" s="18">
        <v>2067</v>
      </c>
      <c r="Q8604" t="s" s="16">
        <f>HYPERLINK("http://secrets.rutgers.edu:8080/data/asl-ftp/asllvd/demos/verify_start_end_handshape_annotations//test_auto_move//signs_mov/2326.mov","MOV")</f>
        <v>21</v>
      </c>
      <c r="R8604" t="s" s="16">
        <f>HYPERLINK("http://secrets.rutgers.edu:8080/data/asl-ftp/asllvd/demos/verify_start_end_handshape_annotations//test_auto_move//signs_mov_separ_signers/Liz_2326.mov","MOV")</f>
        <v>21</v>
      </c>
    </row>
    <row r="8605" s="2" customFormat="1" ht="13.5" customHeight="1">
      <c r="B8605" s="13"/>
      <c r="C8605" t="s" s="9">
        <v>30</v>
      </c>
      <c r="D8605" t="s" s="8">
        <v>3106</v>
      </c>
      <c r="E8605" t="s" s="9">
        <v>3106</v>
      </c>
      <c r="F8605" t="s" s="10">
        <v>230</v>
      </c>
      <c r="G8605" s="14"/>
      <c r="H8605" t="s" s="10">
        <v>230</v>
      </c>
      <c r="I8605" s="14"/>
      <c r="J8605" t="s" s="11">
        <v>20</v>
      </c>
      <c r="K8605" s="15"/>
      <c r="L8605" t="s" s="16">
        <f>HYPERLINK("http://csr.bu.edu/ftp/asl/asllvd/demos/verify_start_end_handshape_annotations//test_auto_move//signs_mov_separ_signers/Brady_2326.mov","MOV")</f>
        <v>21</v>
      </c>
      <c r="M8605" t="s" s="10">
        <v>40</v>
      </c>
      <c r="N8605" s="17">
        <v>88</v>
      </c>
      <c r="O8605" s="18">
        <v>2740</v>
      </c>
      <c r="P8605" s="18">
        <v>2760</v>
      </c>
      <c r="Q8605" s="15"/>
      <c r="R8605" t="s" s="16">
        <f>HYPERLINK("http://secrets.rutgers.edu:8080/data/asl-ftp/asllvd/demos/verify_start_end_handshape_annotations//test_auto_move//signs_mov_separ_signers/Brady_2326.mov","MOV")</f>
        <v>21</v>
      </c>
    </row>
    <row r="8606" s="2" customFormat="1" ht="13.5" customHeight="1">
      <c r="B8606" t="s" s="8">
        <v>3107</v>
      </c>
      <c r="C8606" t="s" s="9">
        <v>14</v>
      </c>
      <c r="D8606" t="s" s="8">
        <v>14</v>
      </c>
      <c r="E8606" t="s" s="9">
        <v>14</v>
      </c>
      <c r="F8606" t="s" s="10">
        <v>14</v>
      </c>
      <c r="G8606" t="s" s="11">
        <v>14</v>
      </c>
      <c r="H8606" t="s" s="10">
        <v>14</v>
      </c>
      <c r="I8606" t="s" s="11">
        <v>14</v>
      </c>
      <c r="J8606" t="s" s="11">
        <v>14</v>
      </c>
      <c r="K8606" t="s" s="12">
        <v>14</v>
      </c>
      <c r="L8606" t="s" s="12">
        <v>14</v>
      </c>
      <c r="M8606" t="s" s="10">
        <v>14</v>
      </c>
      <c r="N8606" t="s" s="11">
        <v>14</v>
      </c>
      <c r="O8606" t="s" s="8">
        <v>14</v>
      </c>
      <c r="P8606" t="s" s="8">
        <v>14</v>
      </c>
      <c r="Q8606" t="s" s="12">
        <v>14</v>
      </c>
      <c r="R8606" t="s" s="12">
        <v>14</v>
      </c>
    </row>
    <row r="8607" s="2" customFormat="1" ht="13.5" customHeight="1">
      <c r="B8607" s="13"/>
      <c r="C8607" t="s" s="9">
        <v>16</v>
      </c>
      <c r="D8607" t="s" s="8">
        <v>3107</v>
      </c>
      <c r="E8607" t="s" s="9">
        <v>3107</v>
      </c>
      <c r="F8607" t="s" s="10">
        <v>268</v>
      </c>
      <c r="G8607" s="14"/>
      <c r="H8607" t="s" s="10">
        <v>268</v>
      </c>
      <c r="I8607" s="14"/>
      <c r="J8607" t="s" s="11">
        <v>20</v>
      </c>
      <c r="K8607" s="15"/>
      <c r="L8607" t="s" s="16">
        <f>HYPERLINK("http://csr.bu.edu/ftp/asl/asllvd/demos/verify_start_end_handshape_annotations//test_auto_move//signs_mov_separ_signers/Liz_2327.mov","MOV")</f>
        <v>21</v>
      </c>
      <c r="M8607" t="s" s="10">
        <v>36</v>
      </c>
      <c r="N8607" s="17">
        <v>36</v>
      </c>
      <c r="O8607" s="18">
        <v>2255</v>
      </c>
      <c r="P8607" s="18">
        <v>2292</v>
      </c>
      <c r="Q8607" s="15"/>
      <c r="R8607" t="s" s="16">
        <f>HYPERLINK("http://secrets.rutgers.edu:8080/data/asl-ftp/asllvd/demos/verify_start_end_handshape_annotations//test_auto_move//signs_mov_separ_signers/Liz_2327.mov","MOV")</f>
        <v>21</v>
      </c>
    </row>
    <row r="8608" s="2" customFormat="1" ht="13.5" customHeight="1">
      <c r="B8608" s="13"/>
      <c r="C8608" t="s" s="9">
        <v>30</v>
      </c>
      <c r="D8608" t="s" s="8">
        <v>3107</v>
      </c>
      <c r="E8608" t="s" s="9">
        <v>3107</v>
      </c>
      <c r="F8608" t="s" s="10">
        <v>268</v>
      </c>
      <c r="G8608" s="14"/>
      <c r="H8608" t="s" s="10">
        <v>268</v>
      </c>
      <c r="I8608" s="14"/>
      <c r="J8608" t="s" s="11">
        <v>20</v>
      </c>
      <c r="K8608" t="s" s="16">
        <f>HYPERLINK("http://csr.bu.edu/ftp/asl/asllvd/demos/verify_start_end_handshape_annotations//test_auto_move//signs_mov/2327_3997_5353_merged.mov","MOV")</f>
        <v>21</v>
      </c>
      <c r="L8608" t="s" s="16">
        <f>HYPERLINK("http://csr.bu.edu/ftp/asl/asllvd/demos/verify_start_end_handshape_annotations//test_auto_move//signs_mov_separ_signers/Brady_2327.mov","MOV")</f>
        <v>21</v>
      </c>
      <c r="M8608" t="s" s="10">
        <v>31</v>
      </c>
      <c r="N8608" s="17">
        <v>22</v>
      </c>
      <c r="O8608" s="18">
        <v>1820</v>
      </c>
      <c r="P8608" s="18">
        <v>1847</v>
      </c>
      <c r="Q8608" t="s" s="16">
        <f>HYPERLINK("http://secrets.rutgers.edu:8080/data/asl-ftp/asllvd/demos/verify_start_end_handshape_annotations//test_auto_move//signs_mov/2327_3997_5353_merged.mov","MOV")</f>
        <v>21</v>
      </c>
      <c r="R8608" t="s" s="16">
        <f>HYPERLINK("http://secrets.rutgers.edu:8080/data/asl-ftp/asllvd/demos/verify_start_end_handshape_annotations//test_auto_move//signs_mov_separ_signers/Brady_2327.mov","MOV")</f>
        <v>21</v>
      </c>
    </row>
    <row r="8609" s="2" customFormat="1" ht="13.5" customHeight="1">
      <c r="B8609" s="13"/>
      <c r="C8609" t="s" s="9">
        <v>30</v>
      </c>
      <c r="D8609" t="s" s="8">
        <v>3107</v>
      </c>
      <c r="E8609" t="s" s="9">
        <v>3107</v>
      </c>
      <c r="F8609" t="s" s="10">
        <v>268</v>
      </c>
      <c r="G8609" s="14"/>
      <c r="H8609" t="s" s="10">
        <v>268</v>
      </c>
      <c r="I8609" s="14"/>
      <c r="J8609" t="s" s="11">
        <v>20</v>
      </c>
      <c r="K8609" s="15"/>
      <c r="L8609" t="s" s="16">
        <f>HYPERLINK("http://csr.bu.edu/ftp/asl/asllvd/demos/verify_start_end_handshape_annotations//test_auto_move//signs_mov_separ_signers/Brady_3997.mov","MOV")</f>
        <v>21</v>
      </c>
      <c r="M8609" t="s" s="10">
        <v>31</v>
      </c>
      <c r="N8609" s="17">
        <v>22</v>
      </c>
      <c r="O8609" s="18">
        <v>2123</v>
      </c>
      <c r="P8609" s="18">
        <v>2145</v>
      </c>
      <c r="Q8609" s="15"/>
      <c r="R8609" t="s" s="16">
        <f>HYPERLINK("http://secrets.rutgers.edu:8080/data/asl-ftp/asllvd/demos/verify_start_end_handshape_annotations//test_auto_move//signs_mov_separ_signers/Brady_3997.mov","MOV")</f>
        <v>21</v>
      </c>
    </row>
    <row r="8610" s="2" customFormat="1" ht="13.5" customHeight="1">
      <c r="B8610" s="13"/>
      <c r="C8610" t="s" s="9">
        <v>30</v>
      </c>
      <c r="D8610" t="s" s="8">
        <v>3107</v>
      </c>
      <c r="E8610" t="s" s="9">
        <v>3107</v>
      </c>
      <c r="F8610" t="s" s="10">
        <v>268</v>
      </c>
      <c r="G8610" s="14"/>
      <c r="H8610" t="s" s="10">
        <v>268</v>
      </c>
      <c r="I8610" s="14"/>
      <c r="J8610" t="s" s="11">
        <v>20</v>
      </c>
      <c r="K8610" s="15"/>
      <c r="L8610" t="s" s="16">
        <f>HYPERLINK("http://csr.bu.edu/ftp/asl/asllvd/demos/verify_start_end_handshape_annotations//test_auto_move//signs_mov_separ_signers/Brady_5353.mov","MOV")</f>
        <v>21</v>
      </c>
      <c r="M8610" t="s" s="10">
        <v>40</v>
      </c>
      <c r="N8610" s="17">
        <v>88</v>
      </c>
      <c r="O8610" s="18">
        <v>2432</v>
      </c>
      <c r="P8610" s="18">
        <v>2463</v>
      </c>
      <c r="Q8610" s="15"/>
      <c r="R8610" t="s" s="16">
        <f>HYPERLINK("http://secrets.rutgers.edu:8080/data/asl-ftp/asllvd/demos/verify_start_end_handshape_annotations//test_auto_move//signs_mov_separ_signers/Brady_5353.mov","MOV")</f>
        <v>21</v>
      </c>
    </row>
    <row r="8611" s="2" customFormat="1" ht="13.5" customHeight="1">
      <c r="B8611" t="s" s="8">
        <v>3108</v>
      </c>
      <c r="C8611" t="s" s="9">
        <v>14</v>
      </c>
      <c r="D8611" t="s" s="8">
        <v>14</v>
      </c>
      <c r="E8611" t="s" s="9">
        <v>14</v>
      </c>
      <c r="F8611" t="s" s="10">
        <v>14</v>
      </c>
      <c r="G8611" t="s" s="11">
        <v>14</v>
      </c>
      <c r="H8611" t="s" s="10">
        <v>14</v>
      </c>
      <c r="I8611" t="s" s="11">
        <v>14</v>
      </c>
      <c r="J8611" t="s" s="11">
        <v>14</v>
      </c>
      <c r="K8611" t="s" s="12">
        <v>14</v>
      </c>
      <c r="L8611" t="s" s="12">
        <v>14</v>
      </c>
      <c r="M8611" t="s" s="10">
        <v>14</v>
      </c>
      <c r="N8611" t="s" s="11">
        <v>14</v>
      </c>
      <c r="O8611" t="s" s="8">
        <v>14</v>
      </c>
      <c r="P8611" t="s" s="8">
        <v>14</v>
      </c>
      <c r="Q8611" t="s" s="12">
        <v>14</v>
      </c>
      <c r="R8611" t="s" s="12">
        <v>14</v>
      </c>
    </row>
    <row r="8612" s="2" customFormat="1" ht="13.5" customHeight="1">
      <c r="B8612" s="13"/>
      <c r="C8612" t="s" s="9">
        <v>16</v>
      </c>
      <c r="D8612" t="s" s="8">
        <v>3108</v>
      </c>
      <c r="E8612" t="s" s="9">
        <v>3109</v>
      </c>
      <c r="F8612" t="s" s="10">
        <v>25</v>
      </c>
      <c r="G8612" s="14"/>
      <c r="H8612" t="s" s="10">
        <v>25</v>
      </c>
      <c r="I8612" s="14"/>
      <c r="J8612" t="s" s="11">
        <v>20</v>
      </c>
      <c r="K8612" t="s" s="16">
        <f>HYPERLINK("http://csr.bu.edu/ftp/asl/asllvd/demos/verify_start_end_handshape_annotations//test_auto_move//signs_mov/2328.mov","MOV")</f>
        <v>21</v>
      </c>
      <c r="L8612" t="s" s="16">
        <f>HYPERLINK("http://csr.bu.edu/ftp/asl/asllvd/demos/verify_start_end_handshape_annotations//test_auto_move//signs_mov_separ_signers/Liz_2328.mov","MOV")</f>
        <v>21</v>
      </c>
      <c r="M8612" t="s" s="10">
        <v>36</v>
      </c>
      <c r="N8612" s="17">
        <v>36</v>
      </c>
      <c r="O8612" s="18">
        <v>2601</v>
      </c>
      <c r="P8612" s="18">
        <v>2640</v>
      </c>
      <c r="Q8612" t="s" s="16">
        <f>HYPERLINK("http://secrets.rutgers.edu:8080/data/asl-ftp/asllvd/demos/verify_start_end_handshape_annotations//test_auto_move//signs_mov/2328.mov","MOV")</f>
        <v>21</v>
      </c>
      <c r="R8612" t="s" s="16">
        <f>HYPERLINK("http://secrets.rutgers.edu:8080/data/asl-ftp/asllvd/demos/verify_start_end_handshape_annotations//test_auto_move//signs_mov_separ_signers/Liz_2328.mov","MOV")</f>
        <v>21</v>
      </c>
    </row>
    <row r="8613" s="2" customFormat="1" ht="13.5" customHeight="1">
      <c r="B8613" s="13"/>
      <c r="C8613" t="s" s="9">
        <v>30</v>
      </c>
      <c r="D8613" t="s" s="8">
        <v>3108</v>
      </c>
      <c r="E8613" t="s" s="9">
        <v>3109</v>
      </c>
      <c r="F8613" t="s" s="10">
        <v>25</v>
      </c>
      <c r="G8613" s="14"/>
      <c r="H8613" t="s" s="10">
        <v>25</v>
      </c>
      <c r="I8613" s="14"/>
      <c r="J8613" t="s" s="11">
        <v>20</v>
      </c>
      <c r="K8613" s="15"/>
      <c r="L8613" t="s" s="16">
        <f>HYPERLINK("http://csr.bu.edu/ftp/asl/asllvd/demos/verify_start_end_handshape_annotations//test_auto_move//signs_mov_separ_signers/Brady_2328.mov","MOV")</f>
        <v>21</v>
      </c>
      <c r="M8613" t="s" s="10">
        <v>40</v>
      </c>
      <c r="N8613" s="17">
        <v>89</v>
      </c>
      <c r="O8613" s="18">
        <v>409</v>
      </c>
      <c r="P8613" s="18">
        <v>438</v>
      </c>
      <c r="Q8613" s="15"/>
      <c r="R8613" t="s" s="16">
        <f>HYPERLINK("http://secrets.rutgers.edu:8080/data/asl-ftp/asllvd/demos/verify_start_end_handshape_annotations//test_auto_move//signs_mov_separ_signers/Brady_2328.mov","MOV")</f>
        <v>21</v>
      </c>
    </row>
    <row r="8614" s="2" customFormat="1" ht="13.5" customHeight="1">
      <c r="B8614" t="s" s="8">
        <v>3110</v>
      </c>
      <c r="C8614" t="s" s="9">
        <v>14</v>
      </c>
      <c r="D8614" t="s" s="8">
        <v>14</v>
      </c>
      <c r="E8614" t="s" s="9">
        <v>14</v>
      </c>
      <c r="F8614" t="s" s="10">
        <v>14</v>
      </c>
      <c r="G8614" t="s" s="11">
        <v>14</v>
      </c>
      <c r="H8614" t="s" s="10">
        <v>14</v>
      </c>
      <c r="I8614" t="s" s="11">
        <v>14</v>
      </c>
      <c r="J8614" t="s" s="11">
        <v>14</v>
      </c>
      <c r="K8614" t="s" s="12">
        <v>14</v>
      </c>
      <c r="L8614" t="s" s="12">
        <v>14</v>
      </c>
      <c r="M8614" t="s" s="10">
        <v>14</v>
      </c>
      <c r="N8614" t="s" s="11">
        <v>14</v>
      </c>
      <c r="O8614" t="s" s="8">
        <v>14</v>
      </c>
      <c r="P8614" t="s" s="8">
        <v>14</v>
      </c>
      <c r="Q8614" t="s" s="12">
        <v>14</v>
      </c>
      <c r="R8614" t="s" s="12">
        <v>14</v>
      </c>
    </row>
    <row r="8615" s="2" customFormat="1" ht="13.5" customHeight="1">
      <c r="B8615" s="13"/>
      <c r="C8615" t="s" s="9">
        <v>16</v>
      </c>
      <c r="D8615" t="s" s="8">
        <v>3110</v>
      </c>
      <c r="E8615" t="s" s="9">
        <v>3111</v>
      </c>
      <c r="F8615" t="s" s="10">
        <v>260</v>
      </c>
      <c r="G8615" t="s" s="11">
        <v>260</v>
      </c>
      <c r="H8615" t="s" s="10">
        <v>260</v>
      </c>
      <c r="I8615" t="s" s="11">
        <v>260</v>
      </c>
      <c r="J8615" t="s" s="11">
        <v>20</v>
      </c>
      <c r="K8615" t="s" s="16">
        <f>HYPERLINK("http://csr.bu.edu/ftp/asl/asllvd/demos/verify_start_end_handshape_annotations//test_auto_move//signs_mov/2330.mov","MOV")</f>
        <v>21</v>
      </c>
      <c r="L8615" t="s" s="16">
        <f>HYPERLINK("http://csr.bu.edu/ftp/asl/asllvd/demos/verify_start_end_handshape_annotations//test_auto_move//signs_mov_separ_signers/Liz_2330.mov","MOV")</f>
        <v>21</v>
      </c>
      <c r="M8615" t="s" s="10">
        <v>77</v>
      </c>
      <c r="N8615" s="17">
        <v>7</v>
      </c>
      <c r="O8615" s="18">
        <v>3575</v>
      </c>
      <c r="P8615" s="18">
        <v>3615</v>
      </c>
      <c r="Q8615" t="s" s="16">
        <f>HYPERLINK("http://secrets.rutgers.edu:8080/data/asl-ftp/asllvd/demos/verify_start_end_handshape_annotations//test_auto_move//signs_mov/2330.mov","MOV")</f>
        <v>21</v>
      </c>
      <c r="R8615" t="s" s="16">
        <f>HYPERLINK("http://secrets.rutgers.edu:8080/data/asl-ftp/asllvd/demos/verify_start_end_handshape_annotations//test_auto_move//signs_mov_separ_signers/Liz_2330.mov","MOV")</f>
        <v>21</v>
      </c>
    </row>
    <row r="8616" s="2" customFormat="1" ht="13.5" customHeight="1">
      <c r="B8616" s="13"/>
      <c r="C8616" t="s" s="9">
        <v>30</v>
      </c>
      <c r="D8616" t="s" s="8">
        <v>3110</v>
      </c>
      <c r="E8616" t="s" s="9">
        <v>3111</v>
      </c>
      <c r="F8616" t="s" s="10">
        <v>80</v>
      </c>
      <c r="G8616" t="s" s="11">
        <v>80</v>
      </c>
      <c r="H8616" t="s" s="10">
        <v>80</v>
      </c>
      <c r="I8616" t="s" s="11">
        <v>80</v>
      </c>
      <c r="J8616" t="s" s="11">
        <v>20</v>
      </c>
      <c r="K8616" s="15"/>
      <c r="L8616" t="s" s="16">
        <f>HYPERLINK("http://csr.bu.edu/ftp/asl/asllvd/demos/verify_start_end_handshape_annotations//test_auto_move//signs_mov_separ_signers/Brady_2330.mov","MOV")</f>
        <v>21</v>
      </c>
      <c r="M8616" t="s" s="10">
        <v>40</v>
      </c>
      <c r="N8616" s="17">
        <v>89</v>
      </c>
      <c r="O8616" s="18">
        <v>924</v>
      </c>
      <c r="P8616" s="18">
        <v>964</v>
      </c>
      <c r="Q8616" s="15"/>
      <c r="R8616" t="s" s="16">
        <f>HYPERLINK("http://secrets.rutgers.edu:8080/data/asl-ftp/asllvd/demos/verify_start_end_handshape_annotations//test_auto_move//signs_mov_separ_signers/Brady_2330.mov","MOV")</f>
        <v>21</v>
      </c>
    </row>
    <row r="8617" s="2" customFormat="1" ht="13.5" customHeight="1">
      <c r="B8617" t="s" s="8">
        <v>3112</v>
      </c>
      <c r="C8617" t="s" s="9">
        <v>14</v>
      </c>
      <c r="D8617" t="s" s="8">
        <v>14</v>
      </c>
      <c r="E8617" t="s" s="9">
        <v>14</v>
      </c>
      <c r="F8617" t="s" s="10">
        <v>14</v>
      </c>
      <c r="G8617" t="s" s="11">
        <v>14</v>
      </c>
      <c r="H8617" t="s" s="10">
        <v>14</v>
      </c>
      <c r="I8617" t="s" s="11">
        <v>14</v>
      </c>
      <c r="J8617" t="s" s="11">
        <v>14</v>
      </c>
      <c r="K8617" t="s" s="12">
        <v>14</v>
      </c>
      <c r="L8617" t="s" s="12">
        <v>14</v>
      </c>
      <c r="M8617" t="s" s="10">
        <v>14</v>
      </c>
      <c r="N8617" t="s" s="11">
        <v>14</v>
      </c>
      <c r="O8617" t="s" s="8">
        <v>14</v>
      </c>
      <c r="P8617" t="s" s="8">
        <v>14</v>
      </c>
      <c r="Q8617" t="s" s="12">
        <v>14</v>
      </c>
      <c r="R8617" t="s" s="12">
        <v>14</v>
      </c>
    </row>
    <row r="8618" s="2" customFormat="1" ht="13.5" customHeight="1">
      <c r="B8618" s="13"/>
      <c r="C8618" t="s" s="9">
        <v>16</v>
      </c>
      <c r="D8618" t="s" s="8">
        <v>3112</v>
      </c>
      <c r="E8618" t="s" s="9">
        <v>3113</v>
      </c>
      <c r="F8618" t="s" s="10">
        <v>73</v>
      </c>
      <c r="G8618" t="s" s="11">
        <v>150</v>
      </c>
      <c r="H8618" t="s" s="10">
        <v>80</v>
      </c>
      <c r="I8618" t="s" s="11">
        <v>150</v>
      </c>
      <c r="J8618" t="s" s="11">
        <v>20</v>
      </c>
      <c r="K8618" t="s" s="16">
        <f>HYPERLINK("http://csr.bu.edu/ftp/asl/asllvd/demos/verify_start_end_handshape_annotations//test_auto_move//signs_mov/2332.mov","MOV")</f>
        <v>21</v>
      </c>
      <c r="L8618" t="s" s="16">
        <f>HYPERLINK("http://csr.bu.edu/ftp/asl/asllvd/demos/verify_start_end_handshape_annotations//test_auto_move//signs_mov_separ_signers/Liz_2332.mov","MOV")</f>
        <v>21</v>
      </c>
      <c r="M8618" t="s" s="10">
        <v>36</v>
      </c>
      <c r="N8618" s="17">
        <v>37</v>
      </c>
      <c r="O8618" s="18">
        <v>1073</v>
      </c>
      <c r="P8618" s="18">
        <v>1120</v>
      </c>
      <c r="Q8618" t="s" s="16">
        <f>HYPERLINK("http://secrets.rutgers.edu:8080/data/asl-ftp/asllvd/demos/verify_start_end_handshape_annotations//test_auto_move//signs_mov/2332.mov","MOV")</f>
        <v>21</v>
      </c>
      <c r="R8618" t="s" s="16">
        <f>HYPERLINK("http://secrets.rutgers.edu:8080/data/asl-ftp/asllvd/demos/verify_start_end_handshape_annotations//test_auto_move//signs_mov_separ_signers/Liz_2332.mov","MOV")</f>
        <v>21</v>
      </c>
    </row>
    <row r="8619" s="2" customFormat="1" ht="13.5" customHeight="1">
      <c r="B8619" s="13"/>
      <c r="C8619" t="s" s="9">
        <v>30</v>
      </c>
      <c r="D8619" t="s" s="8">
        <v>3112</v>
      </c>
      <c r="E8619" t="s" s="9">
        <v>3113</v>
      </c>
      <c r="F8619" t="s" s="10">
        <v>73</v>
      </c>
      <c r="G8619" t="s" s="11">
        <v>73</v>
      </c>
      <c r="H8619" s="19">
        <v>10</v>
      </c>
      <c r="I8619" t="s" s="11">
        <v>73</v>
      </c>
      <c r="J8619" t="s" s="11">
        <v>20</v>
      </c>
      <c r="K8619" s="15"/>
      <c r="L8619" t="s" s="16">
        <f>HYPERLINK("http://csr.bu.edu/ftp/asl/asllvd/demos/verify_start_end_handshape_annotations//test_auto_move//signs_mov_separ_signers/Brady_2332.mov","MOV")</f>
        <v>21</v>
      </c>
      <c r="M8619" t="s" s="10">
        <v>40</v>
      </c>
      <c r="N8619" s="17">
        <v>89</v>
      </c>
      <c r="O8619" s="18">
        <v>2000</v>
      </c>
      <c r="P8619" s="18">
        <v>2039</v>
      </c>
      <c r="Q8619" s="15"/>
      <c r="R8619" t="s" s="16">
        <f>HYPERLINK("http://secrets.rutgers.edu:8080/data/asl-ftp/asllvd/demos/verify_start_end_handshape_annotations//test_auto_move//signs_mov_separ_signers/Brady_2332.mov","MOV")</f>
        <v>21</v>
      </c>
    </row>
    <row r="8620" s="2" customFormat="1" ht="13.5" customHeight="1">
      <c r="B8620" t="s" s="8">
        <v>3114</v>
      </c>
      <c r="C8620" t="s" s="9">
        <v>14</v>
      </c>
      <c r="D8620" t="s" s="8">
        <v>14</v>
      </c>
      <c r="E8620" t="s" s="9">
        <v>14</v>
      </c>
      <c r="F8620" t="s" s="10">
        <v>14</v>
      </c>
      <c r="G8620" t="s" s="11">
        <v>14</v>
      </c>
      <c r="H8620" t="s" s="10">
        <v>14</v>
      </c>
      <c r="I8620" t="s" s="11">
        <v>14</v>
      </c>
      <c r="J8620" t="s" s="11">
        <v>14</v>
      </c>
      <c r="K8620" t="s" s="12">
        <v>14</v>
      </c>
      <c r="L8620" t="s" s="12">
        <v>14</v>
      </c>
      <c r="M8620" t="s" s="10">
        <v>14</v>
      </c>
      <c r="N8620" t="s" s="11">
        <v>14</v>
      </c>
      <c r="O8620" t="s" s="8">
        <v>14</v>
      </c>
      <c r="P8620" t="s" s="8">
        <v>14</v>
      </c>
      <c r="Q8620" t="s" s="12">
        <v>14</v>
      </c>
      <c r="R8620" t="s" s="12">
        <v>14</v>
      </c>
    </row>
    <row r="8621" s="2" customFormat="1" ht="13.5" customHeight="1">
      <c r="B8621" s="13"/>
      <c r="C8621" t="s" s="9">
        <v>16</v>
      </c>
      <c r="D8621" t="s" s="8">
        <v>3114</v>
      </c>
      <c r="E8621" t="s" s="9">
        <v>3114</v>
      </c>
      <c r="F8621" t="s" s="10">
        <v>68</v>
      </c>
      <c r="G8621" t="s" s="11">
        <v>73</v>
      </c>
      <c r="H8621" t="s" s="10">
        <v>406</v>
      </c>
      <c r="I8621" t="s" s="11">
        <v>73</v>
      </c>
      <c r="J8621" t="s" s="11">
        <v>20</v>
      </c>
      <c r="K8621" t="s" s="16">
        <f>HYPERLINK("http://csr.bu.edu/ftp/asl/asllvd/demos/verify_start_end_handshape_annotations//test_auto_move//signs_mov/2335.mov","MOV")</f>
        <v>21</v>
      </c>
      <c r="L8621" t="s" s="16">
        <f>HYPERLINK("http://csr.bu.edu/ftp/asl/asllvd/demos/verify_start_end_handshape_annotations//test_auto_move//signs_mov_separ_signers/Liz_2335.mov","MOV")</f>
        <v>21</v>
      </c>
      <c r="M8621" t="s" s="10">
        <v>36</v>
      </c>
      <c r="N8621" s="17">
        <v>37</v>
      </c>
      <c r="O8621" s="18">
        <v>1742</v>
      </c>
      <c r="P8621" s="18">
        <v>1785</v>
      </c>
      <c r="Q8621" t="s" s="16">
        <f>HYPERLINK("http://secrets.rutgers.edu:8080/data/asl-ftp/asllvd/demos/verify_start_end_handshape_annotations//test_auto_move//signs_mov/2335.mov","MOV")</f>
        <v>21</v>
      </c>
      <c r="R8621" t="s" s="16">
        <f>HYPERLINK("http://secrets.rutgers.edu:8080/data/asl-ftp/asllvd/demos/verify_start_end_handshape_annotations//test_auto_move//signs_mov_separ_signers/Liz_2335.mov","MOV")</f>
        <v>21</v>
      </c>
    </row>
    <row r="8622" s="2" customFormat="1" ht="13.5" customHeight="1">
      <c r="B8622" s="13"/>
      <c r="C8622" t="s" s="9">
        <v>30</v>
      </c>
      <c r="D8622" t="s" s="8">
        <v>3114</v>
      </c>
      <c r="E8622" t="s" s="9">
        <v>3114</v>
      </c>
      <c r="F8622" t="s" s="10">
        <v>68</v>
      </c>
      <c r="G8622" t="s" s="11">
        <v>73</v>
      </c>
      <c r="H8622" t="s" s="10">
        <v>406</v>
      </c>
      <c r="I8622" t="s" s="11">
        <v>73</v>
      </c>
      <c r="J8622" t="s" s="11">
        <v>20</v>
      </c>
      <c r="K8622" s="15"/>
      <c r="L8622" t="s" s="16">
        <f>HYPERLINK("http://csr.bu.edu/ftp/asl/asllvd/demos/verify_start_end_handshape_annotations//test_auto_move//signs_mov_separ_signers/Brady_2335.mov","MOV")</f>
        <v>21</v>
      </c>
      <c r="M8622" t="s" s="10">
        <v>40</v>
      </c>
      <c r="N8622" s="17">
        <v>90</v>
      </c>
      <c r="O8622" s="18">
        <v>136</v>
      </c>
      <c r="P8622" s="18">
        <v>166</v>
      </c>
      <c r="Q8622" s="15"/>
      <c r="R8622" t="s" s="16">
        <f>HYPERLINK("http://secrets.rutgers.edu:8080/data/asl-ftp/asllvd/demos/verify_start_end_handshape_annotations//test_auto_move//signs_mov_separ_signers/Brady_2335.mov","MOV")</f>
        <v>21</v>
      </c>
    </row>
    <row r="8623" s="2" customFormat="1" ht="13.5" customHeight="1">
      <c r="B8623" t="s" s="8">
        <v>3115</v>
      </c>
      <c r="C8623" t="s" s="9">
        <v>14</v>
      </c>
      <c r="D8623" t="s" s="8">
        <v>14</v>
      </c>
      <c r="E8623" t="s" s="9">
        <v>14</v>
      </c>
      <c r="F8623" t="s" s="10">
        <v>14</v>
      </c>
      <c r="G8623" t="s" s="11">
        <v>14</v>
      </c>
      <c r="H8623" t="s" s="10">
        <v>14</v>
      </c>
      <c r="I8623" t="s" s="11">
        <v>14</v>
      </c>
      <c r="J8623" t="s" s="11">
        <v>14</v>
      </c>
      <c r="K8623" t="s" s="12">
        <v>14</v>
      </c>
      <c r="L8623" t="s" s="12">
        <v>14</v>
      </c>
      <c r="M8623" t="s" s="10">
        <v>14</v>
      </c>
      <c r="N8623" t="s" s="11">
        <v>14</v>
      </c>
      <c r="O8623" t="s" s="8">
        <v>14</v>
      </c>
      <c r="P8623" t="s" s="8">
        <v>14</v>
      </c>
      <c r="Q8623" t="s" s="12">
        <v>14</v>
      </c>
      <c r="R8623" t="s" s="12">
        <v>14</v>
      </c>
    </row>
    <row r="8624" s="2" customFormat="1" ht="13.5" customHeight="1">
      <c r="B8624" s="13"/>
      <c r="C8624" t="s" s="9">
        <v>16</v>
      </c>
      <c r="D8624" t="s" s="8">
        <v>3115</v>
      </c>
      <c r="E8624" t="s" s="9">
        <v>3116</v>
      </c>
      <c r="F8624" s="19">
        <v>1</v>
      </c>
      <c r="G8624" s="17">
        <v>1</v>
      </c>
      <c r="H8624" s="19">
        <v>1</v>
      </c>
      <c r="I8624" s="17">
        <v>1</v>
      </c>
      <c r="J8624" t="s" s="11">
        <v>20</v>
      </c>
      <c r="K8624" t="s" s="16">
        <f>HYPERLINK("http://csr.bu.edu/ftp/asl/asllvd/demos/verify_start_end_handshape_annotations//test_auto_move//signs_mov/2337.mov","MOV")</f>
        <v>21</v>
      </c>
      <c r="L8624" t="s" s="16">
        <f>HYPERLINK("http://csr.bu.edu/ftp/asl/asllvd/demos/verify_start_end_handshape_annotations//test_auto_move//signs_mov_separ_signers/Liz_2337.mov","MOV")</f>
        <v>21</v>
      </c>
      <c r="M8624" t="s" s="10">
        <v>36</v>
      </c>
      <c r="N8624" s="17">
        <v>37</v>
      </c>
      <c r="O8624" s="18">
        <v>2197</v>
      </c>
      <c r="P8624" s="18">
        <v>2236</v>
      </c>
      <c r="Q8624" t="s" s="16">
        <f>HYPERLINK("http://secrets.rutgers.edu:8080/data/asl-ftp/asllvd/demos/verify_start_end_handshape_annotations//test_auto_move//signs_mov/2337.mov","MOV")</f>
        <v>21</v>
      </c>
      <c r="R8624" t="s" s="16">
        <f>HYPERLINK("http://secrets.rutgers.edu:8080/data/asl-ftp/asllvd/demos/verify_start_end_handshape_annotations//test_auto_move//signs_mov_separ_signers/Liz_2337.mov","MOV")</f>
        <v>21</v>
      </c>
    </row>
    <row r="8625" s="2" customFormat="1" ht="13.5" customHeight="1">
      <c r="B8625" s="13"/>
      <c r="C8625" t="s" s="9">
        <v>30</v>
      </c>
      <c r="D8625" t="s" s="8">
        <v>3115</v>
      </c>
      <c r="E8625" t="s" s="9">
        <v>3115</v>
      </c>
      <c r="F8625" s="19">
        <v>1</v>
      </c>
      <c r="G8625" s="17">
        <v>1</v>
      </c>
      <c r="H8625" s="19">
        <v>1</v>
      </c>
      <c r="I8625" s="17">
        <v>1</v>
      </c>
      <c r="J8625" t="s" s="11">
        <v>20</v>
      </c>
      <c r="K8625" s="15"/>
      <c r="L8625" t="s" s="16">
        <f>HYPERLINK("http://csr.bu.edu/ftp/asl/asllvd/demos/verify_start_end_handshape_annotations//test_auto_move//signs_mov_separ_signers/Brady_2337.mov","MOV")</f>
        <v>21</v>
      </c>
      <c r="M8625" t="s" s="10">
        <v>40</v>
      </c>
      <c r="N8625" s="17">
        <v>90</v>
      </c>
      <c r="O8625" s="18">
        <v>1009</v>
      </c>
      <c r="P8625" s="18">
        <v>1043</v>
      </c>
      <c r="Q8625" s="15"/>
      <c r="R8625" t="s" s="16">
        <f>HYPERLINK("http://secrets.rutgers.edu:8080/data/asl-ftp/asllvd/demos/verify_start_end_handshape_annotations//test_auto_move//signs_mov_separ_signers/Brady_2337.mov","MOV")</f>
        <v>21</v>
      </c>
    </row>
    <row r="8626" s="2" customFormat="1" ht="13.5" customHeight="1">
      <c r="B8626" t="s" s="8">
        <v>3117</v>
      </c>
      <c r="C8626" t="s" s="9">
        <v>14</v>
      </c>
      <c r="D8626" t="s" s="8">
        <v>14</v>
      </c>
      <c r="E8626" t="s" s="9">
        <v>14</v>
      </c>
      <c r="F8626" t="s" s="10">
        <v>14</v>
      </c>
      <c r="G8626" t="s" s="11">
        <v>14</v>
      </c>
      <c r="H8626" t="s" s="10">
        <v>14</v>
      </c>
      <c r="I8626" t="s" s="11">
        <v>14</v>
      </c>
      <c r="J8626" t="s" s="11">
        <v>14</v>
      </c>
      <c r="K8626" t="s" s="12">
        <v>14</v>
      </c>
      <c r="L8626" t="s" s="12">
        <v>14</v>
      </c>
      <c r="M8626" t="s" s="10">
        <v>14</v>
      </c>
      <c r="N8626" t="s" s="11">
        <v>14</v>
      </c>
      <c r="O8626" t="s" s="8">
        <v>14</v>
      </c>
      <c r="P8626" t="s" s="8">
        <v>14</v>
      </c>
      <c r="Q8626" t="s" s="12">
        <v>14</v>
      </c>
      <c r="R8626" t="s" s="12">
        <v>14</v>
      </c>
    </row>
    <row r="8627" s="2" customFormat="1" ht="13.5" customHeight="1">
      <c r="B8627" s="13"/>
      <c r="C8627" t="s" s="9">
        <v>16</v>
      </c>
      <c r="D8627" t="s" s="8">
        <v>3117</v>
      </c>
      <c r="E8627" t="s" s="9">
        <v>3117</v>
      </c>
      <c r="F8627" s="19">
        <v>25</v>
      </c>
      <c r="G8627" t="s" s="11">
        <v>158</v>
      </c>
      <c r="H8627" s="19">
        <v>5</v>
      </c>
      <c r="I8627" t="s" s="11">
        <v>158</v>
      </c>
      <c r="J8627" t="s" s="11">
        <v>20</v>
      </c>
      <c r="K8627" t="s" s="16">
        <f>HYPERLINK("http://csr.bu.edu/ftp/asl/asllvd/demos/verify_start_end_handshape_annotations//test_auto_move//signs_mov/2338.mov","MOV")</f>
        <v>21</v>
      </c>
      <c r="L8627" t="s" s="16">
        <f>HYPERLINK("http://csr.bu.edu/ftp/asl/asllvd/demos/verify_start_end_handshape_annotations//test_auto_move//signs_mov_separ_signers/Liz_2338.mov","MOV")</f>
        <v>21</v>
      </c>
      <c r="M8627" t="s" s="10">
        <v>36</v>
      </c>
      <c r="N8627" s="17">
        <v>37</v>
      </c>
      <c r="O8627" s="18">
        <v>2425</v>
      </c>
      <c r="P8627" s="18">
        <v>2456</v>
      </c>
      <c r="Q8627" t="s" s="16">
        <f>HYPERLINK("http://secrets.rutgers.edu:8080/data/asl-ftp/asllvd/demos/verify_start_end_handshape_annotations//test_auto_move//signs_mov/2338.mov","MOV")</f>
        <v>21</v>
      </c>
      <c r="R8627" t="s" s="16">
        <f>HYPERLINK("http://secrets.rutgers.edu:8080/data/asl-ftp/asllvd/demos/verify_start_end_handshape_annotations//test_auto_move//signs_mov_separ_signers/Liz_2338.mov","MOV")</f>
        <v>21</v>
      </c>
    </row>
    <row r="8628" s="2" customFormat="1" ht="13.5" customHeight="1">
      <c r="B8628" s="13"/>
      <c r="C8628" t="s" s="9">
        <v>30</v>
      </c>
      <c r="D8628" t="s" s="8">
        <v>3117</v>
      </c>
      <c r="E8628" t="s" s="9">
        <v>3117</v>
      </c>
      <c r="F8628" s="19">
        <v>25</v>
      </c>
      <c r="G8628" t="s" s="11">
        <v>68</v>
      </c>
      <c r="H8628" s="19">
        <v>5</v>
      </c>
      <c r="I8628" t="s" s="11">
        <v>68</v>
      </c>
      <c r="J8628" t="s" s="11">
        <v>20</v>
      </c>
      <c r="K8628" s="15"/>
      <c r="L8628" t="s" s="16">
        <f>HYPERLINK("http://csr.bu.edu/ftp/asl/asllvd/demos/verify_start_end_handshape_annotations//test_auto_move//signs_mov_separ_signers/Brady_2338.mov","MOV")</f>
        <v>21</v>
      </c>
      <c r="M8628" t="s" s="10">
        <v>40</v>
      </c>
      <c r="N8628" s="17">
        <v>90</v>
      </c>
      <c r="O8628" s="18">
        <v>656</v>
      </c>
      <c r="P8628" s="18">
        <v>686</v>
      </c>
      <c r="Q8628" s="15"/>
      <c r="R8628" t="s" s="16">
        <f>HYPERLINK("http://secrets.rutgers.edu:8080/data/asl-ftp/asllvd/demos/verify_start_end_handshape_annotations//test_auto_move//signs_mov_separ_signers/Brady_2338.mov","MOV")</f>
        <v>21</v>
      </c>
    </row>
    <row r="8629" s="2" customFormat="1" ht="13.5" customHeight="1">
      <c r="B8629" t="s" s="8">
        <v>3118</v>
      </c>
      <c r="C8629" t="s" s="9">
        <v>14</v>
      </c>
      <c r="D8629" t="s" s="8">
        <v>14</v>
      </c>
      <c r="E8629" t="s" s="9">
        <v>14</v>
      </c>
      <c r="F8629" t="s" s="10">
        <v>14</v>
      </c>
      <c r="G8629" t="s" s="11">
        <v>14</v>
      </c>
      <c r="H8629" t="s" s="10">
        <v>14</v>
      </c>
      <c r="I8629" t="s" s="11">
        <v>14</v>
      </c>
      <c r="J8629" t="s" s="11">
        <v>14</v>
      </c>
      <c r="K8629" t="s" s="12">
        <v>14</v>
      </c>
      <c r="L8629" t="s" s="12">
        <v>14</v>
      </c>
      <c r="M8629" t="s" s="10">
        <v>14</v>
      </c>
      <c r="N8629" t="s" s="11">
        <v>14</v>
      </c>
      <c r="O8629" t="s" s="8">
        <v>14</v>
      </c>
      <c r="P8629" t="s" s="8">
        <v>14</v>
      </c>
      <c r="Q8629" t="s" s="12">
        <v>14</v>
      </c>
      <c r="R8629" t="s" s="12">
        <v>14</v>
      </c>
    </row>
    <row r="8630" s="2" customFormat="1" ht="13.5" customHeight="1">
      <c r="B8630" s="13"/>
      <c r="C8630" t="s" s="9">
        <v>16</v>
      </c>
      <c r="D8630" t="s" s="8">
        <v>3118</v>
      </c>
      <c r="E8630" t="s" s="9">
        <v>3119</v>
      </c>
      <c r="F8630" t="s" s="10">
        <v>148</v>
      </c>
      <c r="G8630" t="s" s="11">
        <v>148</v>
      </c>
      <c r="H8630" t="s" s="10">
        <v>119</v>
      </c>
      <c r="I8630" t="s" s="11">
        <v>119</v>
      </c>
      <c r="J8630" t="s" s="11">
        <v>20</v>
      </c>
      <c r="K8630" t="s" s="16">
        <f>HYPERLINK("http://csr.bu.edu/ftp/asl/asllvd/demos/verify_start_end_handshape_annotations//test_auto_move//signs_mov/2341.mov","MOV")</f>
        <v>21</v>
      </c>
      <c r="L8630" t="s" s="16">
        <f>HYPERLINK("http://csr.bu.edu/ftp/asl/asllvd/demos/verify_start_end_handshape_annotations//test_auto_move//signs_mov_separ_signers/Liz_2341.mov","MOV")</f>
        <v>21</v>
      </c>
      <c r="M8630" t="s" s="10">
        <v>36</v>
      </c>
      <c r="N8630" s="17">
        <v>38</v>
      </c>
      <c r="O8630" s="18">
        <v>431</v>
      </c>
      <c r="P8630" s="18">
        <v>500</v>
      </c>
      <c r="Q8630" t="s" s="16">
        <f>HYPERLINK("http://secrets.rutgers.edu:8080/data/asl-ftp/asllvd/demos/verify_start_end_handshape_annotations//test_auto_move//signs_mov/2341.mov","MOV")</f>
        <v>21</v>
      </c>
      <c r="R8630" t="s" s="16">
        <f>HYPERLINK("http://secrets.rutgers.edu:8080/data/asl-ftp/asllvd/demos/verify_start_end_handshape_annotations//test_auto_move//signs_mov_separ_signers/Liz_2341.mov","MOV")</f>
        <v>21</v>
      </c>
    </row>
    <row r="8631" s="2" customFormat="1" ht="13.5" customHeight="1">
      <c r="B8631" s="13"/>
      <c r="C8631" t="s" s="9">
        <v>30</v>
      </c>
      <c r="D8631" t="s" s="8">
        <v>3118</v>
      </c>
      <c r="E8631" t="s" s="9">
        <v>3119</v>
      </c>
      <c r="F8631" t="s" s="10">
        <v>148</v>
      </c>
      <c r="G8631" t="s" s="11">
        <v>148</v>
      </c>
      <c r="H8631" t="s" s="10">
        <v>119</v>
      </c>
      <c r="I8631" t="s" s="11">
        <v>119</v>
      </c>
      <c r="J8631" t="s" s="11">
        <v>20</v>
      </c>
      <c r="K8631" s="15"/>
      <c r="L8631" t="s" s="16">
        <f>HYPERLINK("http://csr.bu.edu/ftp/asl/asllvd/demos/verify_start_end_handshape_annotations//test_auto_move//signs_mov_separ_signers/Brady_2341.mov","MOV")</f>
        <v>21</v>
      </c>
      <c r="M8631" t="s" s="10">
        <v>40</v>
      </c>
      <c r="N8631" s="17">
        <v>90</v>
      </c>
      <c r="O8631" s="18">
        <v>1911</v>
      </c>
      <c r="P8631" s="18">
        <v>1944</v>
      </c>
      <c r="Q8631" s="15"/>
      <c r="R8631" t="s" s="16">
        <f>HYPERLINK("http://secrets.rutgers.edu:8080/data/asl-ftp/asllvd/demos/verify_start_end_handshape_annotations//test_auto_move//signs_mov_separ_signers/Brady_2341.mov","MOV")</f>
        <v>21</v>
      </c>
    </row>
    <row r="8632" s="2" customFormat="1" ht="13.5" customHeight="1">
      <c r="B8632" t="s" s="8">
        <v>3120</v>
      </c>
      <c r="C8632" t="s" s="9">
        <v>14</v>
      </c>
      <c r="D8632" t="s" s="8">
        <v>14</v>
      </c>
      <c r="E8632" t="s" s="9">
        <v>14</v>
      </c>
      <c r="F8632" t="s" s="10">
        <v>14</v>
      </c>
      <c r="G8632" t="s" s="11">
        <v>14</v>
      </c>
      <c r="H8632" t="s" s="10">
        <v>14</v>
      </c>
      <c r="I8632" t="s" s="11">
        <v>14</v>
      </c>
      <c r="J8632" t="s" s="11">
        <v>14</v>
      </c>
      <c r="K8632" t="s" s="12">
        <v>14</v>
      </c>
      <c r="L8632" t="s" s="12">
        <v>14</v>
      </c>
      <c r="M8632" t="s" s="10">
        <v>14</v>
      </c>
      <c r="N8632" t="s" s="11">
        <v>14</v>
      </c>
      <c r="O8632" t="s" s="8">
        <v>14</v>
      </c>
      <c r="P8632" t="s" s="8">
        <v>14</v>
      </c>
      <c r="Q8632" t="s" s="12">
        <v>14</v>
      </c>
      <c r="R8632" t="s" s="12">
        <v>14</v>
      </c>
    </row>
    <row r="8633" s="2" customFormat="1" ht="13.5" customHeight="1">
      <c r="B8633" s="13"/>
      <c r="C8633" t="s" s="9">
        <v>16</v>
      </c>
      <c r="D8633" t="s" s="8">
        <v>3120</v>
      </c>
      <c r="E8633" t="s" s="9">
        <v>3121</v>
      </c>
      <c r="F8633" t="s" s="10">
        <v>148</v>
      </c>
      <c r="G8633" t="s" s="11">
        <v>148</v>
      </c>
      <c r="H8633" t="s" s="10">
        <v>119</v>
      </c>
      <c r="I8633" t="s" s="11">
        <v>119</v>
      </c>
      <c r="J8633" t="s" s="11">
        <v>20</v>
      </c>
      <c r="K8633" t="s" s="16">
        <f>HYPERLINK("http://csr.bu.edu/ftp/asl/asllvd/demos/verify_start_end_handshape_annotations//test_auto_move//signs_mov/15827.mov","MOV")</f>
        <v>21</v>
      </c>
      <c r="L8633" t="s" s="16">
        <f>HYPERLINK("http://csr.bu.edu/ftp/asl/asllvd/demos/verify_start_end_handshape_annotations//test_auto_move//signs_mov_separ_signers/Liz_15827.mov","MOV")</f>
        <v>21</v>
      </c>
      <c r="M8633" t="s" s="10">
        <v>59</v>
      </c>
      <c r="N8633" s="17">
        <v>39</v>
      </c>
      <c r="O8633" s="18">
        <v>527</v>
      </c>
      <c r="P8633" s="18">
        <v>575</v>
      </c>
      <c r="Q8633" t="s" s="16">
        <f>HYPERLINK("http://secrets.rutgers.edu:8080/data/asl-ftp/asllvd/demos/verify_start_end_handshape_annotations//test_auto_move//signs_mov/15827.mov","MOV")</f>
        <v>21</v>
      </c>
      <c r="R8633" t="s" s="16">
        <f>HYPERLINK("http://secrets.rutgers.edu:8080/data/asl-ftp/asllvd/demos/verify_start_end_handshape_annotations//test_auto_move//signs_mov_separ_signers/Liz_15827.mov","MOV")</f>
        <v>21</v>
      </c>
    </row>
    <row r="8634" s="2" customFormat="1" ht="13.5" customHeight="1">
      <c r="B8634" s="13"/>
      <c r="C8634" t="s" s="9">
        <v>30</v>
      </c>
      <c r="D8634" t="s" s="8">
        <v>3120</v>
      </c>
      <c r="E8634" t="s" s="9">
        <v>3120</v>
      </c>
      <c r="F8634" t="s" s="10">
        <v>148</v>
      </c>
      <c r="G8634" t="s" s="11">
        <v>148</v>
      </c>
      <c r="H8634" t="s" s="10">
        <v>119</v>
      </c>
      <c r="I8634" t="s" s="11">
        <v>119</v>
      </c>
      <c r="J8634" t="s" s="11">
        <v>20</v>
      </c>
      <c r="K8634" s="15"/>
      <c r="L8634" t="s" s="16">
        <f>HYPERLINK("http://csr.bu.edu/ftp/asl/asllvd/demos/verify_start_end_handshape_annotations//test_auto_move//signs_mov_separ_signers/Brady_15827.mov","MOV")</f>
        <v>21</v>
      </c>
      <c r="M8634" t="s" s="10">
        <v>60</v>
      </c>
      <c r="N8634" s="17">
        <v>27</v>
      </c>
      <c r="O8634" s="18">
        <v>1320</v>
      </c>
      <c r="P8634" s="18">
        <v>1337</v>
      </c>
      <c r="Q8634" s="15"/>
      <c r="R8634" t="s" s="16">
        <f>HYPERLINK("http://secrets.rutgers.edu:8080/data/asl-ftp/asllvd/demos/verify_start_end_handshape_annotations//test_auto_move//signs_mov_separ_signers/Brady_15827.mov","MOV")</f>
        <v>21</v>
      </c>
    </row>
    <row r="8635" s="2" customFormat="1" ht="13.5" customHeight="1">
      <c r="B8635" t="s" s="8">
        <v>3122</v>
      </c>
      <c r="C8635" t="s" s="9">
        <v>14</v>
      </c>
      <c r="D8635" t="s" s="8">
        <v>14</v>
      </c>
      <c r="E8635" t="s" s="9">
        <v>14</v>
      </c>
      <c r="F8635" t="s" s="10">
        <v>14</v>
      </c>
      <c r="G8635" t="s" s="11">
        <v>14</v>
      </c>
      <c r="H8635" t="s" s="10">
        <v>14</v>
      </c>
      <c r="I8635" t="s" s="11">
        <v>14</v>
      </c>
      <c r="J8635" t="s" s="11">
        <v>14</v>
      </c>
      <c r="K8635" t="s" s="12">
        <v>14</v>
      </c>
      <c r="L8635" t="s" s="12">
        <v>14</v>
      </c>
      <c r="M8635" t="s" s="10">
        <v>14</v>
      </c>
      <c r="N8635" t="s" s="11">
        <v>14</v>
      </c>
      <c r="O8635" t="s" s="8">
        <v>14</v>
      </c>
      <c r="P8635" t="s" s="8">
        <v>14</v>
      </c>
      <c r="Q8635" t="s" s="12">
        <v>14</v>
      </c>
      <c r="R8635" t="s" s="12">
        <v>14</v>
      </c>
    </row>
    <row r="8636" s="2" customFormat="1" ht="13.5" customHeight="1">
      <c r="B8636" s="13"/>
      <c r="C8636" t="s" s="9">
        <v>16</v>
      </c>
      <c r="D8636" t="s" s="8">
        <v>3122</v>
      </c>
      <c r="E8636" t="s" s="9">
        <v>3123</v>
      </c>
      <c r="F8636" t="s" s="10">
        <v>68</v>
      </c>
      <c r="G8636" t="s" s="11">
        <v>68</v>
      </c>
      <c r="H8636" t="s" s="10">
        <v>68</v>
      </c>
      <c r="I8636" t="s" s="11">
        <v>68</v>
      </c>
      <c r="J8636" t="s" s="11">
        <v>20</v>
      </c>
      <c r="K8636" t="s" s="16">
        <f>HYPERLINK("http://csr.bu.edu/ftp/asl/asllvd/demos/verify_start_end_handshape_annotations//test_auto_move//signs_mov/2342.mov","MOV")</f>
        <v>21</v>
      </c>
      <c r="L8636" t="s" s="16">
        <f>HYPERLINK("http://csr.bu.edu/ftp/asl/asllvd/demos/verify_start_end_handshape_annotations//test_auto_move//signs_mov_separ_signers/Liz_2342.mov","MOV")</f>
        <v>21</v>
      </c>
      <c r="M8636" t="s" s="10">
        <v>36</v>
      </c>
      <c r="N8636" s="17">
        <v>38</v>
      </c>
      <c r="O8636" s="18">
        <v>755</v>
      </c>
      <c r="P8636" s="18">
        <v>812</v>
      </c>
      <c r="Q8636" t="s" s="16">
        <f>HYPERLINK("http://secrets.rutgers.edu:8080/data/asl-ftp/asllvd/demos/verify_start_end_handshape_annotations//test_auto_move//signs_mov/2342.mov","MOV")</f>
        <v>21</v>
      </c>
      <c r="R8636" t="s" s="16">
        <f>HYPERLINK("http://secrets.rutgers.edu:8080/data/asl-ftp/asllvd/demos/verify_start_end_handshape_annotations//test_auto_move//signs_mov_separ_signers/Liz_2342.mov","MOV")</f>
        <v>21</v>
      </c>
    </row>
    <row r="8637" s="2" customFormat="1" ht="13.5" customHeight="1">
      <c r="B8637" s="13"/>
      <c r="C8637" t="s" s="9">
        <v>30</v>
      </c>
      <c r="D8637" t="s" s="8">
        <v>3122</v>
      </c>
      <c r="E8637" t="s" s="9">
        <v>3123</v>
      </c>
      <c r="F8637" s="19">
        <v>10</v>
      </c>
      <c r="G8637" s="17">
        <v>10</v>
      </c>
      <c r="H8637" s="19">
        <v>10</v>
      </c>
      <c r="I8637" s="17">
        <v>10</v>
      </c>
      <c r="J8637" t="s" s="11">
        <v>20</v>
      </c>
      <c r="K8637" s="15"/>
      <c r="L8637" t="s" s="16">
        <f>HYPERLINK("http://csr.bu.edu/ftp/asl/asllvd/demos/verify_start_end_handshape_annotations//test_auto_move//signs_mov_separ_signers/Brady_2342.mov","MOV")</f>
        <v>21</v>
      </c>
      <c r="M8637" t="s" s="10">
        <v>40</v>
      </c>
      <c r="N8637" s="17">
        <v>90</v>
      </c>
      <c r="O8637" s="18">
        <v>2228</v>
      </c>
      <c r="P8637" s="18">
        <v>2262</v>
      </c>
      <c r="Q8637" s="15"/>
      <c r="R8637" t="s" s="16">
        <f>HYPERLINK("http://secrets.rutgers.edu:8080/data/asl-ftp/asllvd/demos/verify_start_end_handshape_annotations//test_auto_move//signs_mov_separ_signers/Brady_2342.mov","MOV")</f>
        <v>21</v>
      </c>
    </row>
    <row r="8638" s="2" customFormat="1" ht="13.5" customHeight="1">
      <c r="B8638" t="s" s="8">
        <v>3124</v>
      </c>
      <c r="C8638" t="s" s="9">
        <v>14</v>
      </c>
      <c r="D8638" t="s" s="8">
        <v>14</v>
      </c>
      <c r="E8638" t="s" s="9">
        <v>14</v>
      </c>
      <c r="F8638" t="s" s="10">
        <v>14</v>
      </c>
      <c r="G8638" t="s" s="11">
        <v>14</v>
      </c>
      <c r="H8638" t="s" s="10">
        <v>14</v>
      </c>
      <c r="I8638" t="s" s="11">
        <v>14</v>
      </c>
      <c r="J8638" t="s" s="11">
        <v>14</v>
      </c>
      <c r="K8638" t="s" s="12">
        <v>14</v>
      </c>
      <c r="L8638" t="s" s="12">
        <v>14</v>
      </c>
      <c r="M8638" t="s" s="10">
        <v>14</v>
      </c>
      <c r="N8638" t="s" s="11">
        <v>14</v>
      </c>
      <c r="O8638" t="s" s="8">
        <v>14</v>
      </c>
      <c r="P8638" t="s" s="8">
        <v>14</v>
      </c>
      <c r="Q8638" t="s" s="12">
        <v>14</v>
      </c>
      <c r="R8638" t="s" s="12">
        <v>14</v>
      </c>
    </row>
    <row r="8639" s="2" customFormat="1" ht="13.5" customHeight="1">
      <c r="B8639" s="13"/>
      <c r="C8639" t="s" s="9">
        <v>16</v>
      </c>
      <c r="D8639" t="s" s="8">
        <v>3124</v>
      </c>
      <c r="E8639" t="s" s="9">
        <v>3124</v>
      </c>
      <c r="F8639" t="s" s="10">
        <v>73</v>
      </c>
      <c r="G8639" t="s" s="11">
        <v>73</v>
      </c>
      <c r="H8639" t="s" s="10">
        <v>73</v>
      </c>
      <c r="I8639" t="s" s="11">
        <v>73</v>
      </c>
      <c r="J8639" t="s" s="11">
        <v>20</v>
      </c>
      <c r="K8639" t="s" s="16">
        <f>HYPERLINK("http://csr.bu.edu/ftp/asl/asllvd/demos/verify_start_end_handshape_annotations//test_auto_move//signs_mov/2343.mov","MOV")</f>
        <v>21</v>
      </c>
      <c r="L8639" t="s" s="16">
        <f>HYPERLINK("http://csr.bu.edu/ftp/asl/asllvd/demos/verify_start_end_handshape_annotations//test_auto_move//signs_mov_separ_signers/Liz_2343.mov","MOV")</f>
        <v>21</v>
      </c>
      <c r="M8639" t="s" s="10">
        <v>36</v>
      </c>
      <c r="N8639" s="17">
        <v>38</v>
      </c>
      <c r="O8639" s="18">
        <v>1002</v>
      </c>
      <c r="P8639" s="18">
        <v>1032</v>
      </c>
      <c r="Q8639" t="s" s="16">
        <f>HYPERLINK("http://secrets.rutgers.edu:8080/data/asl-ftp/asllvd/demos/verify_start_end_handshape_annotations//test_auto_move//signs_mov/2343.mov","MOV")</f>
        <v>21</v>
      </c>
      <c r="R8639" t="s" s="16">
        <f>HYPERLINK("http://secrets.rutgers.edu:8080/data/asl-ftp/asllvd/demos/verify_start_end_handshape_annotations//test_auto_move//signs_mov_separ_signers/Liz_2343.mov","MOV")</f>
        <v>21</v>
      </c>
    </row>
    <row r="8640" s="2" customFormat="1" ht="13.5" customHeight="1">
      <c r="B8640" s="13"/>
      <c r="C8640" t="s" s="9">
        <v>30</v>
      </c>
      <c r="D8640" t="s" s="8">
        <v>3124</v>
      </c>
      <c r="E8640" t="s" s="9">
        <v>3124</v>
      </c>
      <c r="F8640" t="s" s="10">
        <v>73</v>
      </c>
      <c r="G8640" t="s" s="11">
        <v>73</v>
      </c>
      <c r="H8640" t="s" s="10">
        <v>73</v>
      </c>
      <c r="I8640" t="s" s="11">
        <v>73</v>
      </c>
      <c r="J8640" t="s" s="11">
        <v>20</v>
      </c>
      <c r="K8640" s="15"/>
      <c r="L8640" t="s" s="16">
        <f>HYPERLINK("http://csr.bu.edu/ftp/asl/asllvd/demos/verify_start_end_handshape_annotations//test_auto_move//signs_mov_separ_signers/Brady_2343.mov","MOV")</f>
        <v>21</v>
      </c>
      <c r="M8640" t="s" s="10">
        <v>40</v>
      </c>
      <c r="N8640" s="17">
        <v>90</v>
      </c>
      <c r="O8640" s="18">
        <v>2465</v>
      </c>
      <c r="P8640" s="18">
        <v>2486</v>
      </c>
      <c r="Q8640" s="15"/>
      <c r="R8640" t="s" s="16">
        <f>HYPERLINK("http://secrets.rutgers.edu:8080/data/asl-ftp/asllvd/demos/verify_start_end_handshape_annotations//test_auto_move//signs_mov_separ_signers/Brady_2343.mov","MOV")</f>
        <v>21</v>
      </c>
    </row>
    <row r="8641" s="2" customFormat="1" ht="13.5" customHeight="1">
      <c r="B8641" t="s" s="8">
        <v>3125</v>
      </c>
      <c r="C8641" t="s" s="9">
        <v>14</v>
      </c>
      <c r="D8641" t="s" s="8">
        <v>14</v>
      </c>
      <c r="E8641" t="s" s="9">
        <v>14</v>
      </c>
      <c r="F8641" t="s" s="10">
        <v>14</v>
      </c>
      <c r="G8641" t="s" s="11">
        <v>14</v>
      </c>
      <c r="H8641" t="s" s="10">
        <v>14</v>
      </c>
      <c r="I8641" t="s" s="11">
        <v>14</v>
      </c>
      <c r="J8641" t="s" s="11">
        <v>14</v>
      </c>
      <c r="K8641" t="s" s="12">
        <v>14</v>
      </c>
      <c r="L8641" t="s" s="12">
        <v>14</v>
      </c>
      <c r="M8641" t="s" s="10">
        <v>14</v>
      </c>
      <c r="N8641" t="s" s="11">
        <v>14</v>
      </c>
      <c r="O8641" t="s" s="8">
        <v>14</v>
      </c>
      <c r="P8641" t="s" s="8">
        <v>14</v>
      </c>
      <c r="Q8641" t="s" s="12">
        <v>14</v>
      </c>
      <c r="R8641" t="s" s="12">
        <v>14</v>
      </c>
    </row>
    <row r="8642" s="2" customFormat="1" ht="13.5" customHeight="1">
      <c r="B8642" s="13"/>
      <c r="C8642" t="s" s="9">
        <v>16</v>
      </c>
      <c r="D8642" t="s" s="8">
        <v>3125</v>
      </c>
      <c r="E8642" t="s" s="9">
        <v>3126</v>
      </c>
      <c r="F8642" s="19">
        <v>1</v>
      </c>
      <c r="G8642" t="s" s="11">
        <v>73</v>
      </c>
      <c r="H8642" s="19">
        <v>1</v>
      </c>
      <c r="I8642" t="s" s="11">
        <v>73</v>
      </c>
      <c r="J8642" t="s" s="11">
        <v>20</v>
      </c>
      <c r="K8642" t="s" s="16">
        <f>HYPERLINK("http://csr.bu.edu/ftp/asl/asllvd/demos/verify_start_end_handshape_annotations//test_auto_move//signs_mov/2345.mov","MOV")</f>
        <v>21</v>
      </c>
      <c r="L8642" t="s" s="16">
        <f>HYPERLINK("http://csr.bu.edu/ftp/asl/asllvd/demos/verify_start_end_handshape_annotations//test_auto_move//signs_mov_separ_signers/Liz_2345.mov","MOV")</f>
        <v>21</v>
      </c>
      <c r="M8642" t="s" s="10">
        <v>36</v>
      </c>
      <c r="N8642" s="17">
        <v>38</v>
      </c>
      <c r="O8642" s="18">
        <v>1430</v>
      </c>
      <c r="P8642" s="18">
        <v>1490</v>
      </c>
      <c r="Q8642" t="s" s="16">
        <f>HYPERLINK("http://secrets.rutgers.edu:8080/data/asl-ftp/asllvd/demos/verify_start_end_handshape_annotations//test_auto_move//signs_mov/2345.mov","MOV")</f>
        <v>21</v>
      </c>
      <c r="R8642" t="s" s="16">
        <f>HYPERLINK("http://secrets.rutgers.edu:8080/data/asl-ftp/asllvd/demos/verify_start_end_handshape_annotations//test_auto_move//signs_mov_separ_signers/Liz_2345.mov","MOV")</f>
        <v>21</v>
      </c>
    </row>
    <row r="8643" s="2" customFormat="1" ht="13.5" customHeight="1">
      <c r="B8643" s="13"/>
      <c r="C8643" t="s" s="9">
        <v>30</v>
      </c>
      <c r="D8643" t="s" s="8">
        <v>3125</v>
      </c>
      <c r="E8643" t="s" s="9">
        <v>3127</v>
      </c>
      <c r="F8643" s="19">
        <v>1</v>
      </c>
      <c r="G8643" t="s" s="11">
        <v>73</v>
      </c>
      <c r="H8643" s="19">
        <v>1</v>
      </c>
      <c r="I8643" t="s" s="11">
        <v>73</v>
      </c>
      <c r="J8643" t="s" s="11">
        <v>20</v>
      </c>
      <c r="K8643" s="15"/>
      <c r="L8643" t="s" s="16">
        <f>HYPERLINK("http://csr.bu.edu/ftp/asl/asllvd/demos/verify_start_end_handshape_annotations//test_auto_move//signs_mov_separ_signers/Brady_2345.mov","MOV")</f>
        <v>21</v>
      </c>
      <c r="M8643" t="s" s="10">
        <v>40</v>
      </c>
      <c r="N8643" s="17">
        <v>90</v>
      </c>
      <c r="O8643" s="18">
        <v>2737</v>
      </c>
      <c r="P8643" s="18">
        <v>2804</v>
      </c>
      <c r="Q8643" s="15"/>
      <c r="R8643" t="s" s="16">
        <f>HYPERLINK("http://secrets.rutgers.edu:8080/data/asl-ftp/asllvd/demos/verify_start_end_handshape_annotations//test_auto_move//signs_mov_separ_signers/Brady_2345.mov","MOV")</f>
        <v>21</v>
      </c>
    </row>
    <row r="8644" s="2" customFormat="1" ht="13.5" customHeight="1">
      <c r="B8644" t="s" s="8">
        <v>3128</v>
      </c>
      <c r="C8644" t="s" s="9">
        <v>14</v>
      </c>
      <c r="D8644" t="s" s="8">
        <v>14</v>
      </c>
      <c r="E8644" t="s" s="9">
        <v>14</v>
      </c>
      <c r="F8644" t="s" s="10">
        <v>14</v>
      </c>
      <c r="G8644" t="s" s="11">
        <v>14</v>
      </c>
      <c r="H8644" t="s" s="10">
        <v>14</v>
      </c>
      <c r="I8644" t="s" s="11">
        <v>14</v>
      </c>
      <c r="J8644" t="s" s="11">
        <v>14</v>
      </c>
      <c r="K8644" t="s" s="12">
        <v>14</v>
      </c>
      <c r="L8644" t="s" s="12">
        <v>14</v>
      </c>
      <c r="M8644" t="s" s="10">
        <v>14</v>
      </c>
      <c r="N8644" t="s" s="11">
        <v>14</v>
      </c>
      <c r="O8644" t="s" s="8">
        <v>14</v>
      </c>
      <c r="P8644" t="s" s="8">
        <v>14</v>
      </c>
      <c r="Q8644" t="s" s="12">
        <v>14</v>
      </c>
      <c r="R8644" t="s" s="12">
        <v>14</v>
      </c>
    </row>
    <row r="8645" s="2" customFormat="1" ht="13.5" customHeight="1">
      <c r="B8645" s="13"/>
      <c r="C8645" t="s" s="9">
        <v>16</v>
      </c>
      <c r="D8645" t="s" s="8">
        <v>3128</v>
      </c>
      <c r="E8645" t="s" s="9">
        <v>3129</v>
      </c>
      <c r="F8645" s="19">
        <v>1</v>
      </c>
      <c r="G8645" t="s" s="11">
        <v>73</v>
      </c>
      <c r="H8645" s="19">
        <v>1</v>
      </c>
      <c r="I8645" t="s" s="11">
        <v>73</v>
      </c>
      <c r="J8645" t="s" s="11">
        <v>20</v>
      </c>
      <c r="K8645" t="s" s="16">
        <f>HYPERLINK("http://csr.bu.edu/ftp/asl/asllvd/demos/verify_start_end_handshape_annotations//test_auto_move//signs_mov/15809.mov","MOV")</f>
        <v>21</v>
      </c>
      <c r="L8645" t="s" s="16">
        <f>HYPERLINK("http://csr.bu.edu/ftp/asl/asllvd/demos/verify_start_end_handshape_annotations//test_auto_move//signs_mov_separ_signers/Liz_15809.mov","MOV")</f>
        <v>21</v>
      </c>
      <c r="M8645" t="s" s="10">
        <v>88</v>
      </c>
      <c r="N8645" s="17">
        <v>24</v>
      </c>
      <c r="O8645" s="18">
        <v>1850</v>
      </c>
      <c r="P8645" s="18">
        <v>1940</v>
      </c>
      <c r="Q8645" t="s" s="16">
        <f>HYPERLINK("http://secrets.rutgers.edu:8080/data/asl-ftp/asllvd/demos/verify_start_end_handshape_annotations//test_auto_move//signs_mov/15809.mov","MOV")</f>
        <v>21</v>
      </c>
      <c r="R8645" t="s" s="16">
        <f>HYPERLINK("http://secrets.rutgers.edu:8080/data/asl-ftp/asllvd/demos/verify_start_end_handshape_annotations//test_auto_move//signs_mov_separ_signers/Liz_15809.mov","MOV")</f>
        <v>21</v>
      </c>
    </row>
    <row r="8646" s="2" customFormat="1" ht="13.5" customHeight="1">
      <c r="B8646" t="s" s="8">
        <v>52</v>
      </c>
      <c r="C8646" t="s" s="9">
        <v>53</v>
      </c>
      <c r="D8646" t="s" s="8">
        <v>53</v>
      </c>
      <c r="E8646" t="s" s="9">
        <v>53</v>
      </c>
      <c r="F8646" t="s" s="10">
        <v>53</v>
      </c>
      <c r="G8646" t="s" s="11">
        <v>53</v>
      </c>
      <c r="H8646" t="s" s="10">
        <v>53</v>
      </c>
      <c r="I8646" t="s" s="11">
        <v>53</v>
      </c>
      <c r="J8646" t="s" s="11">
        <v>53</v>
      </c>
      <c r="K8646" t="s" s="12">
        <v>53</v>
      </c>
      <c r="L8646" t="s" s="12">
        <v>53</v>
      </c>
      <c r="M8646" t="s" s="10">
        <v>53</v>
      </c>
      <c r="N8646" t="s" s="11">
        <v>53</v>
      </c>
      <c r="O8646" t="s" s="8">
        <v>53</v>
      </c>
      <c r="P8646" t="s" s="8">
        <v>53</v>
      </c>
      <c r="Q8646" t="s" s="12">
        <v>53</v>
      </c>
      <c r="R8646" t="s" s="12">
        <v>53</v>
      </c>
    </row>
    <row r="8647" s="2" customFormat="1" ht="13.5" customHeight="1">
      <c r="B8647" s="13"/>
      <c r="C8647" t="s" s="9">
        <v>30</v>
      </c>
      <c r="D8647" t="s" s="8">
        <v>3128</v>
      </c>
      <c r="E8647" t="s" s="9">
        <v>3130</v>
      </c>
      <c r="F8647" s="19">
        <v>1</v>
      </c>
      <c r="G8647" t="s" s="11">
        <v>73</v>
      </c>
      <c r="H8647" s="19">
        <v>5</v>
      </c>
      <c r="I8647" t="s" s="11">
        <v>73</v>
      </c>
      <c r="J8647" t="s" s="11">
        <v>20</v>
      </c>
      <c r="K8647" t="s" s="16">
        <f>HYPERLINK("http://csr.bu.edu/ftp/asl/asllvd/demos/verify_start_end_handshape_annotations//test_auto_move//signs_mov/15889.mov","MOV")</f>
        <v>21</v>
      </c>
      <c r="L8647" t="s" s="16">
        <f>HYPERLINK("http://csr.bu.edu/ftp/asl/asllvd/demos/verify_start_end_handshape_annotations//test_auto_move//signs_mov_separ_signers/Brady_15889.mov","MOV")</f>
        <v>21</v>
      </c>
      <c r="M8647" t="s" s="10">
        <v>40</v>
      </c>
      <c r="N8647" s="17">
        <v>19</v>
      </c>
      <c r="O8647" s="18">
        <v>2080</v>
      </c>
      <c r="P8647" s="18">
        <v>2160</v>
      </c>
      <c r="Q8647" t="s" s="16">
        <f>HYPERLINK("http://secrets.rutgers.edu:8080/data/asl-ftp/asllvd/demos/verify_start_end_handshape_annotations//test_auto_move//signs_mov/15889.mov","MOV")</f>
        <v>21</v>
      </c>
      <c r="R8647" t="s" s="16">
        <f>HYPERLINK("http://secrets.rutgers.edu:8080/data/asl-ftp/asllvd/demos/verify_start_end_handshape_annotations//test_auto_move//signs_mov_separ_signers/Brady_15889.mov","MOV")</f>
        <v>21</v>
      </c>
    </row>
    <row r="8648" s="2" customFormat="1" ht="13.5" customHeight="1">
      <c r="B8648" t="s" s="8">
        <v>3131</v>
      </c>
      <c r="C8648" t="s" s="9">
        <v>14</v>
      </c>
      <c r="D8648" t="s" s="8">
        <v>14</v>
      </c>
      <c r="E8648" t="s" s="9">
        <v>14</v>
      </c>
      <c r="F8648" t="s" s="10">
        <v>14</v>
      </c>
      <c r="G8648" t="s" s="11">
        <v>14</v>
      </c>
      <c r="H8648" t="s" s="10">
        <v>14</v>
      </c>
      <c r="I8648" t="s" s="11">
        <v>14</v>
      </c>
      <c r="J8648" t="s" s="11">
        <v>14</v>
      </c>
      <c r="K8648" t="s" s="12">
        <v>14</v>
      </c>
      <c r="L8648" t="s" s="12">
        <v>14</v>
      </c>
      <c r="M8648" t="s" s="10">
        <v>14</v>
      </c>
      <c r="N8648" t="s" s="11">
        <v>14</v>
      </c>
      <c r="O8648" t="s" s="8">
        <v>14</v>
      </c>
      <c r="P8648" t="s" s="8">
        <v>14</v>
      </c>
      <c r="Q8648" t="s" s="12">
        <v>14</v>
      </c>
      <c r="R8648" t="s" s="12">
        <v>14</v>
      </c>
    </row>
    <row r="8649" s="2" customFormat="1" ht="13.5" customHeight="1">
      <c r="B8649" s="13"/>
      <c r="C8649" t="s" s="9">
        <v>30</v>
      </c>
      <c r="D8649" t="s" s="8">
        <v>3131</v>
      </c>
      <c r="E8649" t="s" s="9">
        <v>3131</v>
      </c>
      <c r="F8649" t="s" s="10">
        <v>152</v>
      </c>
      <c r="G8649" t="s" s="11">
        <v>105</v>
      </c>
      <c r="H8649" t="s" s="10">
        <v>152</v>
      </c>
      <c r="I8649" t="s" s="11">
        <v>105</v>
      </c>
      <c r="J8649" t="s" s="11">
        <v>136</v>
      </c>
      <c r="K8649" t="s" s="16">
        <f>HYPERLINK("http://csr.bu.edu/ftp/asl/asllvd/demos/verify_start_end_handshape_annotations//test_auto_move//signs_mov/2347.mov","MOV")</f>
        <v>21</v>
      </c>
      <c r="L8649" t="s" s="16">
        <f>HYPERLINK("http://csr.bu.edu/ftp/asl/asllvd/demos/verify_start_end_handshape_annotations//test_auto_move//signs_mov_separ_signers/Brady_2347.mov","MOV")</f>
        <v>21</v>
      </c>
      <c r="M8649" t="s" s="10">
        <v>40</v>
      </c>
      <c r="N8649" s="17">
        <v>91</v>
      </c>
      <c r="O8649" s="18">
        <v>420</v>
      </c>
      <c r="P8649" s="18">
        <v>446</v>
      </c>
      <c r="Q8649" t="s" s="16">
        <f>HYPERLINK("http://secrets.rutgers.edu:8080/data/asl-ftp/asllvd/demos/verify_start_end_handshape_annotations//test_auto_move//signs_mov/2347.mov","MOV")</f>
        <v>21</v>
      </c>
      <c r="R8649" t="s" s="16">
        <f>HYPERLINK("http://secrets.rutgers.edu:8080/data/asl-ftp/asllvd/demos/verify_start_end_handshape_annotations//test_auto_move//signs_mov_separ_signers/Brady_2347.mov","MOV")</f>
        <v>21</v>
      </c>
    </row>
    <row r="8650" s="2" customFormat="1" ht="13.5" customHeight="1">
      <c r="B8650" t="s" s="8">
        <v>3132</v>
      </c>
      <c r="C8650" t="s" s="9">
        <v>14</v>
      </c>
      <c r="D8650" t="s" s="8">
        <v>14</v>
      </c>
      <c r="E8650" t="s" s="9">
        <v>14</v>
      </c>
      <c r="F8650" t="s" s="10">
        <v>14</v>
      </c>
      <c r="G8650" t="s" s="11">
        <v>14</v>
      </c>
      <c r="H8650" t="s" s="10">
        <v>14</v>
      </c>
      <c r="I8650" t="s" s="11">
        <v>14</v>
      </c>
      <c r="J8650" t="s" s="11">
        <v>14</v>
      </c>
      <c r="K8650" t="s" s="12">
        <v>14</v>
      </c>
      <c r="L8650" t="s" s="12">
        <v>14</v>
      </c>
      <c r="M8650" t="s" s="10">
        <v>14</v>
      </c>
      <c r="N8650" t="s" s="11">
        <v>14</v>
      </c>
      <c r="O8650" t="s" s="8">
        <v>14</v>
      </c>
      <c r="P8650" t="s" s="8">
        <v>14</v>
      </c>
      <c r="Q8650" t="s" s="12">
        <v>14</v>
      </c>
      <c r="R8650" t="s" s="12">
        <v>14</v>
      </c>
    </row>
    <row r="8651" s="2" customFormat="1" ht="13.5" customHeight="1">
      <c r="B8651" s="13"/>
      <c r="C8651" t="s" s="9">
        <v>16</v>
      </c>
      <c r="D8651" t="s" s="8">
        <v>3132</v>
      </c>
      <c r="E8651" t="s" s="9">
        <v>3132</v>
      </c>
      <c r="F8651" t="s" s="10">
        <v>244</v>
      </c>
      <c r="G8651" s="14"/>
      <c r="H8651" t="s" s="10">
        <v>260</v>
      </c>
      <c r="I8651" t="s" s="11">
        <v>260</v>
      </c>
      <c r="J8651" t="s" s="11">
        <v>20</v>
      </c>
      <c r="K8651" t="s" s="16">
        <f>HYPERLINK("http://csr.bu.edu/ftp/asl/asllvd/demos/verify_start_end_handshape_annotations//test_auto_move//signs_mov/5863.mov","MOV")</f>
        <v>21</v>
      </c>
      <c r="L8651" t="s" s="16">
        <f>HYPERLINK("http://csr.bu.edu/ftp/asl/asllvd/demos/verify_start_end_handshape_annotations//test_auto_move//signs_mov_separ_signers/Liz_5863.mov","MOV")</f>
        <v>21</v>
      </c>
      <c r="M8651" t="s" s="10">
        <v>36</v>
      </c>
      <c r="N8651" s="17">
        <v>38</v>
      </c>
      <c r="O8651" s="18">
        <v>2080</v>
      </c>
      <c r="P8651" s="18">
        <v>2131</v>
      </c>
      <c r="Q8651" t="s" s="16">
        <f>HYPERLINK("http://secrets.rutgers.edu:8080/data/asl-ftp/asllvd/demos/verify_start_end_handshape_annotations//test_auto_move//signs_mov/5863.mov","MOV")</f>
        <v>21</v>
      </c>
      <c r="R8651" t="s" s="16">
        <f>HYPERLINK("http://secrets.rutgers.edu:8080/data/asl-ftp/asllvd/demos/verify_start_end_handshape_annotations//test_auto_move//signs_mov_separ_signers/Liz_5863.mov","MOV")</f>
        <v>21</v>
      </c>
    </row>
    <row r="8652" s="2" customFormat="1" ht="13.5" customHeight="1">
      <c r="B8652" t="s" s="8">
        <v>3133</v>
      </c>
      <c r="C8652" t="s" s="9">
        <v>14</v>
      </c>
      <c r="D8652" t="s" s="8">
        <v>14</v>
      </c>
      <c r="E8652" t="s" s="9">
        <v>14</v>
      </c>
      <c r="F8652" t="s" s="10">
        <v>14</v>
      </c>
      <c r="G8652" t="s" s="11">
        <v>14</v>
      </c>
      <c r="H8652" t="s" s="10">
        <v>14</v>
      </c>
      <c r="I8652" t="s" s="11">
        <v>14</v>
      </c>
      <c r="J8652" t="s" s="11">
        <v>14</v>
      </c>
      <c r="K8652" t="s" s="12">
        <v>14</v>
      </c>
      <c r="L8652" t="s" s="12">
        <v>14</v>
      </c>
      <c r="M8652" t="s" s="10">
        <v>14</v>
      </c>
      <c r="N8652" t="s" s="11">
        <v>14</v>
      </c>
      <c r="O8652" t="s" s="8">
        <v>14</v>
      </c>
      <c r="P8652" t="s" s="8">
        <v>14</v>
      </c>
      <c r="Q8652" t="s" s="12">
        <v>14</v>
      </c>
      <c r="R8652" t="s" s="12">
        <v>14</v>
      </c>
    </row>
    <row r="8653" s="2" customFormat="1" ht="13.5" customHeight="1">
      <c r="B8653" s="13"/>
      <c r="C8653" t="s" s="9">
        <v>16</v>
      </c>
      <c r="D8653" t="s" s="8">
        <v>3133</v>
      </c>
      <c r="E8653" t="s" s="9">
        <v>3134</v>
      </c>
      <c r="F8653" s="19">
        <v>1</v>
      </c>
      <c r="G8653" s="17">
        <v>25</v>
      </c>
      <c r="H8653" s="19">
        <v>1</v>
      </c>
      <c r="I8653" s="17">
        <v>25</v>
      </c>
      <c r="J8653" t="s" s="11">
        <v>20</v>
      </c>
      <c r="K8653" t="s" s="16">
        <f>HYPERLINK("http://csr.bu.edu/ftp/asl/asllvd/demos/verify_start_end_handshape_annotations//test_auto_move//signs_mov/2351.mov","MOV")</f>
        <v>21</v>
      </c>
      <c r="L8653" t="s" s="16">
        <f>HYPERLINK("http://csr.bu.edu/ftp/asl/asllvd/demos/verify_start_end_handshape_annotations//test_auto_move//signs_mov_separ_signers/Liz_2351.mov","MOV")</f>
        <v>21</v>
      </c>
      <c r="M8653" t="s" s="10">
        <v>36</v>
      </c>
      <c r="N8653" s="17">
        <v>39</v>
      </c>
      <c r="O8653" s="18">
        <v>825</v>
      </c>
      <c r="P8653" s="18">
        <v>880</v>
      </c>
      <c r="Q8653" t="s" s="16">
        <f>HYPERLINK("http://secrets.rutgers.edu:8080/data/asl-ftp/asllvd/demos/verify_start_end_handshape_annotations//test_auto_move//signs_mov/2351.mov","MOV")</f>
        <v>21</v>
      </c>
      <c r="R8653" t="s" s="16">
        <f>HYPERLINK("http://secrets.rutgers.edu:8080/data/asl-ftp/asllvd/demos/verify_start_end_handshape_annotations//test_auto_move//signs_mov_separ_signers/Liz_2351.mov","MOV")</f>
        <v>21</v>
      </c>
    </row>
    <row r="8654" s="2" customFormat="1" ht="13.5" customHeight="1">
      <c r="B8654" s="13"/>
      <c r="C8654" t="s" s="9">
        <v>30</v>
      </c>
      <c r="D8654" t="s" s="8">
        <v>3133</v>
      </c>
      <c r="E8654" t="s" s="9">
        <v>3134</v>
      </c>
      <c r="F8654" s="19">
        <v>1</v>
      </c>
      <c r="G8654" s="17">
        <v>25</v>
      </c>
      <c r="H8654" s="19">
        <v>1</v>
      </c>
      <c r="I8654" s="17">
        <v>25</v>
      </c>
      <c r="J8654" t="s" s="11">
        <v>20</v>
      </c>
      <c r="K8654" s="15"/>
      <c r="L8654" t="s" s="16">
        <f>HYPERLINK("http://csr.bu.edu/ftp/asl/asllvd/demos/verify_start_end_handshape_annotations//test_auto_move//signs_mov_separ_signers/Brady_2351.mov","MOV")</f>
        <v>21</v>
      </c>
      <c r="M8654" t="s" s="10">
        <v>40</v>
      </c>
      <c r="N8654" s="17">
        <v>91</v>
      </c>
      <c r="O8654" s="18">
        <v>1445</v>
      </c>
      <c r="P8654" s="18">
        <v>1490</v>
      </c>
      <c r="Q8654" s="15"/>
      <c r="R8654" t="s" s="16">
        <f>HYPERLINK("http://secrets.rutgers.edu:8080/data/asl-ftp/asllvd/demos/verify_start_end_handshape_annotations//test_auto_move//signs_mov_separ_signers/Brady_2351.mov","MOV")</f>
        <v>21</v>
      </c>
    </row>
    <row r="8655" s="2" customFormat="1" ht="13.5" customHeight="1">
      <c r="B8655" t="s" s="8">
        <v>3133</v>
      </c>
      <c r="C8655" t="s" s="9">
        <v>14</v>
      </c>
      <c r="D8655" t="s" s="8">
        <v>14</v>
      </c>
      <c r="E8655" t="s" s="9">
        <v>14</v>
      </c>
      <c r="F8655" t="s" s="10">
        <v>14</v>
      </c>
      <c r="G8655" t="s" s="11">
        <v>14</v>
      </c>
      <c r="H8655" t="s" s="10">
        <v>14</v>
      </c>
      <c r="I8655" t="s" s="11">
        <v>14</v>
      </c>
      <c r="J8655" t="s" s="11">
        <v>14</v>
      </c>
      <c r="K8655" t="s" s="12">
        <v>14</v>
      </c>
      <c r="L8655" t="s" s="12">
        <v>14</v>
      </c>
      <c r="M8655" t="s" s="10">
        <v>14</v>
      </c>
      <c r="N8655" t="s" s="11">
        <v>14</v>
      </c>
      <c r="O8655" t="s" s="8">
        <v>14</v>
      </c>
      <c r="P8655" t="s" s="8">
        <v>14</v>
      </c>
      <c r="Q8655" t="s" s="12">
        <v>14</v>
      </c>
      <c r="R8655" t="s" s="12">
        <v>14</v>
      </c>
    </row>
    <row r="8656" s="2" customFormat="1" ht="13.5" customHeight="1">
      <c r="B8656" s="13"/>
      <c r="C8656" t="s" s="9">
        <v>16</v>
      </c>
      <c r="D8656" t="s" s="8">
        <v>3135</v>
      </c>
      <c r="E8656" t="s" s="9">
        <v>3135</v>
      </c>
      <c r="F8656" s="19">
        <v>5</v>
      </c>
      <c r="G8656" s="17">
        <v>25</v>
      </c>
      <c r="H8656" s="19">
        <v>5</v>
      </c>
      <c r="I8656" s="17">
        <v>25</v>
      </c>
      <c r="J8656" t="s" s="11">
        <v>20</v>
      </c>
      <c r="K8656" t="s" s="16">
        <f>HYPERLINK("http://csr.bu.edu/ftp/asl/asllvd/demos/verify_start_end_handshape_annotations//test_auto_move//signs_mov/3765.mov","MOV")</f>
        <v>21</v>
      </c>
      <c r="L8656" t="s" s="16">
        <f>HYPERLINK("http://csr.bu.edu/ftp/asl/asllvd/demos/verify_start_end_handshape_annotations//test_auto_move//signs_mov_separ_signers/Liz_3765.mov","MOV")</f>
        <v>21</v>
      </c>
      <c r="M8656" t="s" s="10">
        <v>36</v>
      </c>
      <c r="N8656" s="17">
        <v>39</v>
      </c>
      <c r="O8656" s="18">
        <v>1160</v>
      </c>
      <c r="P8656" s="18">
        <v>1195</v>
      </c>
      <c r="Q8656" t="s" s="16">
        <f>HYPERLINK("http://secrets.rutgers.edu:8080/data/asl-ftp/asllvd/demos/verify_start_end_handshape_annotations//test_auto_move//signs_mov/3765.mov","MOV")</f>
        <v>21</v>
      </c>
      <c r="R8656" t="s" s="16">
        <f>HYPERLINK("http://secrets.rutgers.edu:8080/data/asl-ftp/asllvd/demos/verify_start_end_handshape_annotations//test_auto_move//signs_mov_separ_signers/Liz_3765.mov","MOV")</f>
        <v>21</v>
      </c>
    </row>
    <row r="8657" s="2" customFormat="1" ht="13.5" customHeight="1">
      <c r="B8657" t="s" s="8">
        <v>52</v>
      </c>
      <c r="C8657" t="s" s="9">
        <v>53</v>
      </c>
      <c r="D8657" t="s" s="8">
        <v>53</v>
      </c>
      <c r="E8657" t="s" s="9">
        <v>53</v>
      </c>
      <c r="F8657" t="s" s="10">
        <v>53</v>
      </c>
      <c r="G8657" t="s" s="11">
        <v>53</v>
      </c>
      <c r="H8657" t="s" s="10">
        <v>53</v>
      </c>
      <c r="I8657" t="s" s="11">
        <v>53</v>
      </c>
      <c r="J8657" t="s" s="11">
        <v>53</v>
      </c>
      <c r="K8657" t="s" s="12">
        <v>53</v>
      </c>
      <c r="L8657" t="s" s="12">
        <v>53</v>
      </c>
      <c r="M8657" t="s" s="10">
        <v>53</v>
      </c>
      <c r="N8657" t="s" s="11">
        <v>53</v>
      </c>
      <c r="O8657" t="s" s="8">
        <v>53</v>
      </c>
      <c r="P8657" t="s" s="8">
        <v>53</v>
      </c>
      <c r="Q8657" t="s" s="12">
        <v>53</v>
      </c>
      <c r="R8657" t="s" s="12">
        <v>53</v>
      </c>
    </row>
    <row r="8658" s="2" customFormat="1" ht="13.5" customHeight="1">
      <c r="B8658" s="13"/>
      <c r="C8658" t="s" s="9">
        <v>30</v>
      </c>
      <c r="D8658" t="s" s="8">
        <v>3135</v>
      </c>
      <c r="E8658" t="s" s="9">
        <v>3136</v>
      </c>
      <c r="F8658" s="19">
        <v>25</v>
      </c>
      <c r="G8658" t="s" s="11">
        <v>73</v>
      </c>
      <c r="H8658" s="19">
        <v>25</v>
      </c>
      <c r="I8658" t="s" s="11">
        <v>73</v>
      </c>
      <c r="J8658" t="s" s="11">
        <v>20</v>
      </c>
      <c r="K8658" t="s" s="16">
        <f>HYPERLINK("http://csr.bu.edu/ftp/asl/asllvd/demos/verify_start_end_handshape_annotations//test_auto_move//signs_mov/16458.mov","MOV")</f>
        <v>21</v>
      </c>
      <c r="L8658" t="s" s="16">
        <f>HYPERLINK("http://csr.bu.edu/ftp/asl/asllvd/demos/verify_start_end_handshape_annotations//test_auto_move//signs_mov_separ_signers/Brady_16458.mov","MOV")</f>
        <v>21</v>
      </c>
      <c r="M8658" t="s" s="10">
        <v>40</v>
      </c>
      <c r="N8658" s="17">
        <v>91</v>
      </c>
      <c r="O8658" s="18">
        <v>1687</v>
      </c>
      <c r="P8658" s="18">
        <v>1734</v>
      </c>
      <c r="Q8658" t="s" s="16">
        <f>HYPERLINK("http://secrets.rutgers.edu:8080/data/asl-ftp/asllvd/demos/verify_start_end_handshape_annotations//test_auto_move//signs_mov/16458.mov","MOV")</f>
        <v>21</v>
      </c>
      <c r="R8658" t="s" s="16">
        <f>HYPERLINK("http://secrets.rutgers.edu:8080/data/asl-ftp/asllvd/demos/verify_start_end_handshape_annotations//test_auto_move//signs_mov_separ_signers/Brady_16458.mov","MOV")</f>
        <v>21</v>
      </c>
    </row>
    <row r="8659" s="2" customFormat="1" ht="13.5" customHeight="1">
      <c r="B8659" t="s" s="8">
        <v>3137</v>
      </c>
      <c r="C8659" t="s" s="9">
        <v>14</v>
      </c>
      <c r="D8659" t="s" s="8">
        <v>14</v>
      </c>
      <c r="E8659" t="s" s="9">
        <v>14</v>
      </c>
      <c r="F8659" t="s" s="10">
        <v>14</v>
      </c>
      <c r="G8659" t="s" s="11">
        <v>14</v>
      </c>
      <c r="H8659" t="s" s="10">
        <v>14</v>
      </c>
      <c r="I8659" t="s" s="11">
        <v>14</v>
      </c>
      <c r="J8659" t="s" s="11">
        <v>14</v>
      </c>
      <c r="K8659" t="s" s="12">
        <v>14</v>
      </c>
      <c r="L8659" t="s" s="12">
        <v>14</v>
      </c>
      <c r="M8659" t="s" s="10">
        <v>14</v>
      </c>
      <c r="N8659" t="s" s="11">
        <v>14</v>
      </c>
      <c r="O8659" t="s" s="8">
        <v>14</v>
      </c>
      <c r="P8659" t="s" s="8">
        <v>14</v>
      </c>
      <c r="Q8659" t="s" s="12">
        <v>14</v>
      </c>
      <c r="R8659" t="s" s="12">
        <v>14</v>
      </c>
    </row>
    <row r="8660" s="2" customFormat="1" ht="13.5" customHeight="1">
      <c r="B8660" s="13"/>
      <c r="C8660" t="s" s="9">
        <v>16</v>
      </c>
      <c r="D8660" t="s" s="8">
        <v>3137</v>
      </c>
      <c r="E8660" t="s" s="9">
        <v>3138</v>
      </c>
      <c r="F8660" t="s" s="10">
        <v>68</v>
      </c>
      <c r="G8660" s="14"/>
      <c r="H8660" t="s" s="10">
        <v>68</v>
      </c>
      <c r="I8660" s="14"/>
      <c r="J8660" t="s" s="11">
        <v>20</v>
      </c>
      <c r="K8660" s="15"/>
      <c r="L8660" t="s" s="16">
        <f>HYPERLINK("http://csr.bu.edu/ftp/asl/asllvd/demos/verify_start_end_handshape_annotations//test_auto_move//signs_mov_separ_signers/Liz_2353.mov","MOV")</f>
        <v>21</v>
      </c>
      <c r="M8660" t="s" s="10">
        <v>36</v>
      </c>
      <c r="N8660" s="17">
        <v>39</v>
      </c>
      <c r="O8660" s="18">
        <v>1461</v>
      </c>
      <c r="P8660" s="18">
        <v>1545</v>
      </c>
      <c r="Q8660" s="15"/>
      <c r="R8660" t="s" s="16">
        <f>HYPERLINK("http://secrets.rutgers.edu:8080/data/asl-ftp/asllvd/demos/verify_start_end_handshape_annotations//test_auto_move//signs_mov_separ_signers/Liz_2353.mov","MOV")</f>
        <v>21</v>
      </c>
    </row>
    <row r="8661" s="2" customFormat="1" ht="13.5" customHeight="1">
      <c r="B8661" s="13"/>
      <c r="C8661" t="s" s="9">
        <v>30</v>
      </c>
      <c r="D8661" t="s" s="8">
        <v>3137</v>
      </c>
      <c r="E8661" t="s" s="9">
        <v>3138</v>
      </c>
      <c r="F8661" t="s" s="10">
        <v>63</v>
      </c>
      <c r="G8661" s="14"/>
      <c r="H8661" t="s" s="10">
        <v>63</v>
      </c>
      <c r="I8661" s="14"/>
      <c r="J8661" t="s" s="11">
        <v>20</v>
      </c>
      <c r="K8661" t="s" s="16">
        <f>HYPERLINK("http://csr.bu.edu/ftp/asl/asllvd/demos/verify_start_end_handshape_annotations//test_auto_move//signs_mov/2353.mov","MOV")</f>
        <v>21</v>
      </c>
      <c r="L8661" t="s" s="16">
        <f>HYPERLINK("http://csr.bu.edu/ftp/asl/asllvd/demos/verify_start_end_handshape_annotations//test_auto_move//signs_mov_separ_signers/Brady_2353.mov","MOV")</f>
        <v>21</v>
      </c>
      <c r="M8661" t="s" s="10">
        <v>40</v>
      </c>
      <c r="N8661" s="17">
        <v>91</v>
      </c>
      <c r="O8661" s="18">
        <v>2194</v>
      </c>
      <c r="P8661" s="18">
        <v>2257</v>
      </c>
      <c r="Q8661" t="s" s="16">
        <f>HYPERLINK("http://secrets.rutgers.edu:8080/data/asl-ftp/asllvd/demos/verify_start_end_handshape_annotations//test_auto_move//signs_mov/2353.mov","MOV")</f>
        <v>21</v>
      </c>
      <c r="R8661" t="s" s="16">
        <f>HYPERLINK("http://secrets.rutgers.edu:8080/data/asl-ftp/asllvd/demos/verify_start_end_handshape_annotations//test_auto_move//signs_mov_separ_signers/Brady_2353.mov","MOV")</f>
        <v>21</v>
      </c>
    </row>
    <row r="8662" s="2" customFormat="1" ht="13.5" customHeight="1">
      <c r="B8662" s="13"/>
      <c r="C8662" t="s" s="9">
        <v>41</v>
      </c>
      <c r="D8662" t="s" s="8">
        <v>3137</v>
      </c>
      <c r="E8662" t="s" s="9">
        <v>3138</v>
      </c>
      <c r="F8662" t="s" s="10">
        <v>63</v>
      </c>
      <c r="G8662" s="14"/>
      <c r="H8662" t="s" s="10">
        <v>63</v>
      </c>
      <c r="I8662" s="14"/>
      <c r="J8662" t="s" s="11">
        <v>20</v>
      </c>
      <c r="K8662" s="15"/>
      <c r="L8662" t="s" s="16">
        <f>HYPERLINK("http://csr.bu.edu/ftp/asl/asllvd/demos/verify_start_end_handshape_annotations//test_auto_move//signs_mov_separ_signers/Lana_2353.mov","MOV")</f>
        <v>21</v>
      </c>
      <c r="M8662" t="s" s="10">
        <v>442</v>
      </c>
      <c r="N8662" s="17">
        <v>61</v>
      </c>
      <c r="O8662" s="18">
        <v>2759</v>
      </c>
      <c r="P8662" s="18">
        <v>2807</v>
      </c>
      <c r="Q8662" s="15"/>
      <c r="R8662" t="s" s="16">
        <f>HYPERLINK("http://secrets.rutgers.edu:8080/data/asl-ftp/asllvd/demos/verify_start_end_handshape_annotations//test_auto_move//signs_mov_separ_signers/Lana_2353.mov","MOV")</f>
        <v>21</v>
      </c>
    </row>
    <row r="8663" s="2" customFormat="1" ht="13.5" customHeight="1">
      <c r="B8663" t="s" s="8">
        <v>3139</v>
      </c>
      <c r="C8663" t="s" s="9">
        <v>14</v>
      </c>
      <c r="D8663" t="s" s="8">
        <v>14</v>
      </c>
      <c r="E8663" t="s" s="9">
        <v>14</v>
      </c>
      <c r="F8663" t="s" s="10">
        <v>14</v>
      </c>
      <c r="G8663" t="s" s="11">
        <v>14</v>
      </c>
      <c r="H8663" t="s" s="10">
        <v>14</v>
      </c>
      <c r="I8663" t="s" s="11">
        <v>14</v>
      </c>
      <c r="J8663" t="s" s="11">
        <v>14</v>
      </c>
      <c r="K8663" t="s" s="12">
        <v>14</v>
      </c>
      <c r="L8663" t="s" s="12">
        <v>14</v>
      </c>
      <c r="M8663" t="s" s="10">
        <v>14</v>
      </c>
      <c r="N8663" t="s" s="11">
        <v>14</v>
      </c>
      <c r="O8663" t="s" s="8">
        <v>14</v>
      </c>
      <c r="P8663" t="s" s="8">
        <v>14</v>
      </c>
      <c r="Q8663" t="s" s="12">
        <v>14</v>
      </c>
      <c r="R8663" t="s" s="12">
        <v>14</v>
      </c>
    </row>
    <row r="8664" s="2" customFormat="1" ht="13.5" customHeight="1">
      <c r="B8664" s="13"/>
      <c r="C8664" t="s" s="9">
        <v>16</v>
      </c>
      <c r="D8664" t="s" s="8">
        <v>3139</v>
      </c>
      <c r="E8664" t="s" s="9">
        <v>3140</v>
      </c>
      <c r="F8664" t="s" s="10">
        <v>240</v>
      </c>
      <c r="G8664" t="s" s="11">
        <v>109</v>
      </c>
      <c r="H8664" t="s" s="10">
        <v>240</v>
      </c>
      <c r="I8664" t="s" s="11">
        <v>109</v>
      </c>
      <c r="J8664" t="s" s="11">
        <v>20</v>
      </c>
      <c r="K8664" s="15"/>
      <c r="L8664" t="s" s="16">
        <f>HYPERLINK("http://csr.bu.edu/ftp/asl/asllvd/demos/verify_start_end_handshape_annotations//test_auto_move//signs_mov_separ_signers/Liz_2355.mov","MOV")</f>
        <v>21</v>
      </c>
      <c r="M8664" t="s" s="10">
        <v>36</v>
      </c>
      <c r="N8664" s="17">
        <v>39</v>
      </c>
      <c r="O8664" s="18">
        <v>1925</v>
      </c>
      <c r="P8664" s="18">
        <v>1985</v>
      </c>
      <c r="Q8664" s="15"/>
      <c r="R8664" t="s" s="16">
        <f>HYPERLINK("http://secrets.rutgers.edu:8080/data/asl-ftp/asllvd/demos/verify_start_end_handshape_annotations//test_auto_move//signs_mov_separ_signers/Liz_2355.mov","MOV")</f>
        <v>21</v>
      </c>
    </row>
    <row r="8665" s="2" customFormat="1" ht="13.5" customHeight="1">
      <c r="B8665" s="13"/>
      <c r="C8665" t="s" s="9">
        <v>27</v>
      </c>
      <c r="D8665" t="s" s="8">
        <v>3139</v>
      </c>
      <c r="E8665" t="s" s="9">
        <v>3140</v>
      </c>
      <c r="F8665" t="s" s="10">
        <v>344</v>
      </c>
      <c r="G8665" t="s" s="11">
        <v>150</v>
      </c>
      <c r="H8665" t="s" s="10">
        <v>344</v>
      </c>
      <c r="I8665" t="s" s="11">
        <v>150</v>
      </c>
      <c r="J8665" t="s" s="11">
        <v>20</v>
      </c>
      <c r="K8665" t="s" s="16">
        <f>HYPERLINK("http://csr.bu.edu/ftp/asl/asllvd/demos/verify_start_end_handshape_annotations//test_auto_move//signs_mov/2355.mov","MOV")</f>
        <v>21</v>
      </c>
      <c r="L8665" t="s" s="16">
        <f>HYPERLINK("http://csr.bu.edu/ftp/asl/asllvd/demos/verify_start_end_handshape_annotations//test_auto_move//signs_mov_separ_signers/Naomi_2355.mov","MOV")</f>
        <v>21</v>
      </c>
      <c r="M8665" t="s" s="10">
        <v>29</v>
      </c>
      <c r="N8665" s="17">
        <v>43</v>
      </c>
      <c r="O8665" s="18">
        <v>2561</v>
      </c>
      <c r="P8665" s="18">
        <v>2622</v>
      </c>
      <c r="Q8665" t="s" s="16">
        <f>HYPERLINK("http://secrets.rutgers.edu:8080/data/asl-ftp/asllvd/demos/verify_start_end_handshape_annotations//test_auto_move//signs_mov/2355.mov","MOV")</f>
        <v>21</v>
      </c>
      <c r="R8665" t="s" s="16">
        <f>HYPERLINK("http://secrets.rutgers.edu:8080/data/asl-ftp/asllvd/demos/verify_start_end_handshape_annotations//test_auto_move//signs_mov_separ_signers/Naomi_2355.mov","MOV")</f>
        <v>21</v>
      </c>
    </row>
    <row r="8666" s="2" customFormat="1" ht="13.5" customHeight="1">
      <c r="B8666" s="13"/>
      <c r="C8666" t="s" s="9">
        <v>30</v>
      </c>
      <c r="D8666" t="s" s="8">
        <v>3139</v>
      </c>
      <c r="E8666" t="s" s="9">
        <v>3141</v>
      </c>
      <c r="F8666" t="s" s="10">
        <v>240</v>
      </c>
      <c r="G8666" t="s" s="11">
        <v>73</v>
      </c>
      <c r="H8666" t="s" s="10">
        <v>240</v>
      </c>
      <c r="I8666" t="s" s="11">
        <v>73</v>
      </c>
      <c r="J8666" t="s" s="11">
        <v>20</v>
      </c>
      <c r="K8666" s="15"/>
      <c r="L8666" t="s" s="16">
        <f>HYPERLINK("http://csr.bu.edu/ftp/asl/asllvd/demos/verify_start_end_handshape_annotations//test_auto_move//signs_mov_separ_signers/Brady_2355.mov","MOV")</f>
        <v>21</v>
      </c>
      <c r="M8666" t="s" s="10">
        <v>40</v>
      </c>
      <c r="N8666" s="17">
        <v>91</v>
      </c>
      <c r="O8666" s="18">
        <v>2679</v>
      </c>
      <c r="P8666" s="18">
        <v>2718</v>
      </c>
      <c r="Q8666" s="15"/>
      <c r="R8666" t="s" s="16">
        <f>HYPERLINK("http://secrets.rutgers.edu:8080/data/asl-ftp/asllvd/demos/verify_start_end_handshape_annotations//test_auto_move//signs_mov_separ_signers/Brady_2355.mov","MOV")</f>
        <v>21</v>
      </c>
    </row>
    <row r="8667" s="2" customFormat="1" ht="13.5" customHeight="1">
      <c r="B8667" t="s" s="8">
        <v>3142</v>
      </c>
      <c r="C8667" t="s" s="9">
        <v>14</v>
      </c>
      <c r="D8667" t="s" s="8">
        <v>14</v>
      </c>
      <c r="E8667" t="s" s="9">
        <v>14</v>
      </c>
      <c r="F8667" t="s" s="10">
        <v>14</v>
      </c>
      <c r="G8667" t="s" s="11">
        <v>14</v>
      </c>
      <c r="H8667" t="s" s="10">
        <v>14</v>
      </c>
      <c r="I8667" t="s" s="11">
        <v>14</v>
      </c>
      <c r="J8667" t="s" s="11">
        <v>14</v>
      </c>
      <c r="K8667" t="s" s="12">
        <v>14</v>
      </c>
      <c r="L8667" t="s" s="12">
        <v>14</v>
      </c>
      <c r="M8667" t="s" s="10">
        <v>14</v>
      </c>
      <c r="N8667" t="s" s="11">
        <v>14</v>
      </c>
      <c r="O8667" t="s" s="8">
        <v>14</v>
      </c>
      <c r="P8667" t="s" s="8">
        <v>14</v>
      </c>
      <c r="Q8667" t="s" s="12">
        <v>14</v>
      </c>
      <c r="R8667" t="s" s="12">
        <v>14</v>
      </c>
    </row>
    <row r="8668" s="2" customFormat="1" ht="13.5" customHeight="1">
      <c r="B8668" s="13"/>
      <c r="C8668" t="s" s="9">
        <v>16</v>
      </c>
      <c r="D8668" t="s" s="8">
        <v>3142</v>
      </c>
      <c r="E8668" t="s" s="9">
        <v>3143</v>
      </c>
      <c r="F8668" t="s" s="10">
        <v>150</v>
      </c>
      <c r="G8668" t="s" s="11">
        <v>73</v>
      </c>
      <c r="H8668" t="s" s="10">
        <v>150</v>
      </c>
      <c r="I8668" t="s" s="11">
        <v>73</v>
      </c>
      <c r="J8668" t="s" s="11">
        <v>20</v>
      </c>
      <c r="K8668" t="s" s="16">
        <f>HYPERLINK("http://csr.bu.edu/ftp/asl/asllvd/demos/verify_start_end_handshape_annotations//test_auto_move//signs_mov/15239.mov","MOV")</f>
        <v>21</v>
      </c>
      <c r="L8668" t="s" s="16">
        <f>HYPERLINK("http://csr.bu.edu/ftp/asl/asllvd/demos/verify_start_end_handshape_annotations//test_auto_move//signs_mov_separ_signers/Liz_15239.mov","MOV")</f>
        <v>21</v>
      </c>
      <c r="M8668" t="s" s="10">
        <v>22</v>
      </c>
      <c r="N8668" s="17">
        <v>68</v>
      </c>
      <c r="O8668" s="18">
        <v>596</v>
      </c>
      <c r="P8668" s="18">
        <v>661</v>
      </c>
      <c r="Q8668" t="s" s="16">
        <f>HYPERLINK("http://secrets.rutgers.edu:8080/data/asl-ftp/asllvd/demos/verify_start_end_handshape_annotations//test_auto_move//signs_mov/15239.mov","MOV")</f>
        <v>21</v>
      </c>
      <c r="R8668" t="s" s="16">
        <f>HYPERLINK("http://secrets.rutgers.edu:8080/data/asl-ftp/asllvd/demos/verify_start_end_handshape_annotations//test_auto_move//signs_mov_separ_signers/Liz_15239.mov","MOV")</f>
        <v>21</v>
      </c>
    </row>
    <row r="8669" s="2" customFormat="1" ht="13.5" customHeight="1">
      <c r="B8669" s="13"/>
      <c r="C8669" t="s" s="9">
        <v>23</v>
      </c>
      <c r="D8669" t="s" s="8">
        <v>3142</v>
      </c>
      <c r="E8669" t="s" s="9">
        <v>3143</v>
      </c>
      <c r="F8669" t="s" s="10">
        <v>150</v>
      </c>
      <c r="G8669" t="s" s="11">
        <v>150</v>
      </c>
      <c r="H8669" t="s" s="10">
        <v>150</v>
      </c>
      <c r="I8669" t="s" s="11">
        <v>150</v>
      </c>
      <c r="J8669" t="s" s="11">
        <v>20</v>
      </c>
      <c r="K8669" s="15"/>
      <c r="L8669" t="s" s="16">
        <f>HYPERLINK("http://csr.bu.edu/ftp/asl/asllvd/demos/verify_start_end_handshape_annotations//test_auto_move//signs_mov_separ_signers/Tyler_15239.mov","MOV")</f>
        <v>21</v>
      </c>
      <c r="M8669" t="s" s="10">
        <v>26</v>
      </c>
      <c r="N8669" s="17">
        <v>42</v>
      </c>
      <c r="O8669" s="18">
        <v>1555</v>
      </c>
      <c r="P8669" s="18">
        <v>1616</v>
      </c>
      <c r="Q8669" s="15"/>
      <c r="R8669" t="s" s="16">
        <f>HYPERLINK("http://secrets.rutgers.edu:8080/data/asl-ftp/asllvd/demos/verify_start_end_handshape_annotations//test_auto_move//signs_mov_separ_signers/Tyler_15239.mov","MOV")</f>
        <v>21</v>
      </c>
    </row>
    <row r="8670" s="2" customFormat="1" ht="13.5" customHeight="1">
      <c r="B8670" t="s" s="8">
        <v>52</v>
      </c>
      <c r="C8670" t="s" s="9">
        <v>53</v>
      </c>
      <c r="D8670" t="s" s="8">
        <v>53</v>
      </c>
      <c r="E8670" t="s" s="9">
        <v>53</v>
      </c>
      <c r="F8670" t="s" s="10">
        <v>53</v>
      </c>
      <c r="G8670" t="s" s="11">
        <v>53</v>
      </c>
      <c r="H8670" t="s" s="10">
        <v>53</v>
      </c>
      <c r="I8670" t="s" s="11">
        <v>53</v>
      </c>
      <c r="J8670" t="s" s="11">
        <v>53</v>
      </c>
      <c r="K8670" t="s" s="12">
        <v>53</v>
      </c>
      <c r="L8670" t="s" s="12">
        <v>53</v>
      </c>
      <c r="M8670" t="s" s="10">
        <v>53</v>
      </c>
      <c r="N8670" t="s" s="11">
        <v>53</v>
      </c>
      <c r="O8670" t="s" s="8">
        <v>53</v>
      </c>
      <c r="P8670" t="s" s="8">
        <v>53</v>
      </c>
      <c r="Q8670" t="s" s="12">
        <v>53</v>
      </c>
      <c r="R8670" t="s" s="12">
        <v>53</v>
      </c>
    </row>
    <row r="8671" s="2" customFormat="1" ht="13.5" customHeight="1">
      <c r="B8671" s="13"/>
      <c r="C8671" t="s" s="9">
        <v>30</v>
      </c>
      <c r="D8671" t="s" s="8">
        <v>3142</v>
      </c>
      <c r="E8671" t="s" s="9">
        <v>3144</v>
      </c>
      <c r="F8671" t="s" s="10">
        <v>72</v>
      </c>
      <c r="G8671" s="17">
        <v>5</v>
      </c>
      <c r="H8671" t="s" s="10">
        <v>72</v>
      </c>
      <c r="I8671" s="17">
        <v>5</v>
      </c>
      <c r="J8671" t="s" s="11">
        <v>20</v>
      </c>
      <c r="K8671" t="s" s="16">
        <f>HYPERLINK("http://csr.bu.edu/ftp/asl/asllvd/demos/verify_start_end_handshape_annotations//test_auto_move//signs_mov/15287.mov","MOV")</f>
        <v>21</v>
      </c>
      <c r="L8671" t="s" s="16">
        <f>HYPERLINK("http://csr.bu.edu/ftp/asl/asllvd/demos/verify_start_end_handshape_annotations//test_auto_move//signs_mov_separ_signers/Brady_15287.mov","MOV")</f>
        <v>21</v>
      </c>
      <c r="M8671" t="s" s="10">
        <v>31</v>
      </c>
      <c r="N8671" s="17">
        <v>26</v>
      </c>
      <c r="O8671" s="18">
        <v>5451</v>
      </c>
      <c r="P8671" s="18">
        <v>5510</v>
      </c>
      <c r="Q8671" t="s" s="16">
        <f>HYPERLINK("http://secrets.rutgers.edu:8080/data/asl-ftp/asllvd/demos/verify_start_end_handshape_annotations//test_auto_move//signs_mov/15287.mov","MOV")</f>
        <v>21</v>
      </c>
      <c r="R8671" t="s" s="16">
        <f>HYPERLINK("http://secrets.rutgers.edu:8080/data/asl-ftp/asllvd/demos/verify_start_end_handshape_annotations//test_auto_move//signs_mov_separ_signers/Brady_15287.mov","MOV")</f>
        <v>21</v>
      </c>
    </row>
    <row r="8672" s="2" customFormat="1" ht="13.5" customHeight="1">
      <c r="B8672" t="s" s="8">
        <v>3145</v>
      </c>
      <c r="C8672" t="s" s="9">
        <v>14</v>
      </c>
      <c r="D8672" t="s" s="8">
        <v>14</v>
      </c>
      <c r="E8672" t="s" s="9">
        <v>14</v>
      </c>
      <c r="F8672" t="s" s="10">
        <v>14</v>
      </c>
      <c r="G8672" t="s" s="11">
        <v>14</v>
      </c>
      <c r="H8672" t="s" s="10">
        <v>14</v>
      </c>
      <c r="I8672" t="s" s="11">
        <v>14</v>
      </c>
      <c r="J8672" t="s" s="11">
        <v>14</v>
      </c>
      <c r="K8672" t="s" s="12">
        <v>14</v>
      </c>
      <c r="L8672" t="s" s="12">
        <v>14</v>
      </c>
      <c r="M8672" t="s" s="10">
        <v>14</v>
      </c>
      <c r="N8672" t="s" s="11">
        <v>14</v>
      </c>
      <c r="O8672" t="s" s="8">
        <v>14</v>
      </c>
      <c r="P8672" t="s" s="8">
        <v>14</v>
      </c>
      <c r="Q8672" t="s" s="12">
        <v>14</v>
      </c>
      <c r="R8672" t="s" s="12">
        <v>14</v>
      </c>
    </row>
    <row r="8673" s="2" customFormat="1" ht="13.5" customHeight="1">
      <c r="B8673" s="13"/>
      <c r="C8673" t="s" s="9">
        <v>16</v>
      </c>
      <c r="D8673" t="s" s="8">
        <v>3145</v>
      </c>
      <c r="E8673" t="s" s="9">
        <v>3146</v>
      </c>
      <c r="F8673" t="s" s="10">
        <v>68</v>
      </c>
      <c r="G8673" s="14"/>
      <c r="H8673" t="s" s="10">
        <v>68</v>
      </c>
      <c r="I8673" s="14"/>
      <c r="J8673" t="s" s="11">
        <v>20</v>
      </c>
      <c r="K8673" s="15"/>
      <c r="L8673" t="s" s="16">
        <f>HYPERLINK("http://csr.bu.edu/ftp/asl/asllvd/demos/verify_start_end_handshape_annotations//test_auto_move//signs_mov_separ_signers/Liz_2359.mov","MOV")</f>
        <v>21</v>
      </c>
      <c r="M8673" t="s" s="10">
        <v>36</v>
      </c>
      <c r="N8673" s="17">
        <v>39</v>
      </c>
      <c r="O8673" s="18">
        <v>3915</v>
      </c>
      <c r="P8673" s="18">
        <v>3970</v>
      </c>
      <c r="Q8673" s="15"/>
      <c r="R8673" t="s" s="16">
        <f>HYPERLINK("http://secrets.rutgers.edu:8080/data/asl-ftp/asllvd/demos/verify_start_end_handshape_annotations//test_auto_move//signs_mov_separ_signers/Liz_2359.mov","MOV")</f>
        <v>21</v>
      </c>
    </row>
    <row r="8674" s="2" customFormat="1" ht="13.5" customHeight="1">
      <c r="B8674" s="13"/>
      <c r="C8674" t="s" s="9">
        <v>30</v>
      </c>
      <c r="D8674" t="s" s="8">
        <v>3145</v>
      </c>
      <c r="E8674" t="s" s="9">
        <v>3145</v>
      </c>
      <c r="F8674" t="s" s="10">
        <v>68</v>
      </c>
      <c r="G8674" s="14"/>
      <c r="H8674" t="s" s="10">
        <v>68</v>
      </c>
      <c r="I8674" s="14"/>
      <c r="J8674" t="s" s="11">
        <v>20</v>
      </c>
      <c r="K8674" t="s" s="16">
        <f>HYPERLINK("http://csr.bu.edu/ftp/asl/asllvd/demos/verify_start_end_handshape_annotations//test_auto_move//signs_mov/2359_3767_merged.mov","MOV")</f>
        <v>21</v>
      </c>
      <c r="L8674" t="s" s="16">
        <f>HYPERLINK("http://csr.bu.edu/ftp/asl/asllvd/demos/verify_start_end_handshape_annotations//test_auto_move//signs_mov_separ_signers/Brady_2359.mov","MOV")</f>
        <v>21</v>
      </c>
      <c r="M8674" t="s" s="10">
        <v>40</v>
      </c>
      <c r="N8674" s="17">
        <v>92</v>
      </c>
      <c r="O8674" s="18">
        <v>456</v>
      </c>
      <c r="P8674" s="18">
        <v>480</v>
      </c>
      <c r="Q8674" t="s" s="16">
        <f>HYPERLINK("http://secrets.rutgers.edu:8080/data/asl-ftp/asllvd/demos/verify_start_end_handshape_annotations//test_auto_move//signs_mov/2359_3767_merged.mov","MOV")</f>
        <v>21</v>
      </c>
      <c r="R8674" t="s" s="16">
        <f>HYPERLINK("http://secrets.rutgers.edu:8080/data/asl-ftp/asllvd/demos/verify_start_end_handshape_annotations//test_auto_move//signs_mov_separ_signers/Brady_2359.mov","MOV")</f>
        <v>21</v>
      </c>
    </row>
    <row r="8675" s="2" customFormat="1" ht="13.5" customHeight="1">
      <c r="B8675" s="13"/>
      <c r="C8675" t="s" s="9">
        <v>30</v>
      </c>
      <c r="D8675" t="s" s="8">
        <v>3145</v>
      </c>
      <c r="E8675" t="s" s="9">
        <v>3146</v>
      </c>
      <c r="F8675" t="s" s="10">
        <v>68</v>
      </c>
      <c r="G8675" s="14"/>
      <c r="H8675" t="s" s="10">
        <v>68</v>
      </c>
      <c r="I8675" s="14"/>
      <c r="J8675" t="s" s="11">
        <v>20</v>
      </c>
      <c r="K8675" s="15"/>
      <c r="L8675" t="s" s="16">
        <f>HYPERLINK("http://csr.bu.edu/ftp/asl/asllvd/demos/verify_start_end_handshape_annotations//test_auto_move//signs_mov_separ_signers/Brady_3767.mov","MOV")</f>
        <v>21</v>
      </c>
      <c r="M8675" t="s" s="10">
        <v>40</v>
      </c>
      <c r="N8675" s="17">
        <v>92</v>
      </c>
      <c r="O8675" s="18">
        <v>683</v>
      </c>
      <c r="P8675" s="18">
        <v>722</v>
      </c>
      <c r="Q8675" s="15"/>
      <c r="R8675" t="s" s="16">
        <f>HYPERLINK("http://secrets.rutgers.edu:8080/data/asl-ftp/asllvd/demos/verify_start_end_handshape_annotations//test_auto_move//signs_mov_separ_signers/Brady_3767.mov","MOV")</f>
        <v>21</v>
      </c>
    </row>
    <row r="8676" s="2" customFormat="1" ht="13.5" customHeight="1">
      <c r="B8676" t="s" s="8">
        <v>52</v>
      </c>
      <c r="C8676" t="s" s="9">
        <v>53</v>
      </c>
      <c r="D8676" t="s" s="8">
        <v>53</v>
      </c>
      <c r="E8676" t="s" s="9">
        <v>53</v>
      </c>
      <c r="F8676" t="s" s="10">
        <v>53</v>
      </c>
      <c r="G8676" t="s" s="11">
        <v>53</v>
      </c>
      <c r="H8676" t="s" s="10">
        <v>53</v>
      </c>
      <c r="I8676" t="s" s="11">
        <v>53</v>
      </c>
      <c r="J8676" t="s" s="11">
        <v>53</v>
      </c>
      <c r="K8676" t="s" s="12">
        <v>53</v>
      </c>
      <c r="L8676" t="s" s="12">
        <v>53</v>
      </c>
      <c r="M8676" t="s" s="10">
        <v>53</v>
      </c>
      <c r="N8676" t="s" s="11">
        <v>53</v>
      </c>
      <c r="O8676" t="s" s="8">
        <v>53</v>
      </c>
      <c r="P8676" t="s" s="8">
        <v>53</v>
      </c>
      <c r="Q8676" t="s" s="12">
        <v>53</v>
      </c>
      <c r="R8676" t="s" s="12">
        <v>53</v>
      </c>
    </row>
    <row r="8677" s="2" customFormat="1" ht="13.5" customHeight="1">
      <c r="B8677" s="13"/>
      <c r="C8677" t="s" s="9">
        <v>16</v>
      </c>
      <c r="D8677" t="s" s="8">
        <v>3145</v>
      </c>
      <c r="E8677" t="s" s="9">
        <v>3147</v>
      </c>
      <c r="F8677" t="s" s="10">
        <v>68</v>
      </c>
      <c r="G8677" s="14"/>
      <c r="H8677" t="s" s="10">
        <v>68</v>
      </c>
      <c r="I8677" s="14"/>
      <c r="J8677" t="s" s="11">
        <v>20</v>
      </c>
      <c r="K8677" t="s" s="16">
        <f>HYPERLINK("http://csr.bu.edu/ftp/asl/asllvd/demos/verify_start_end_handshape_annotations//test_auto_move//signs_mov/16459.mov","MOV")</f>
        <v>21</v>
      </c>
      <c r="L8677" t="s" s="16">
        <f>HYPERLINK("http://csr.bu.edu/ftp/asl/asllvd/demos/verify_start_end_handshape_annotations//test_auto_move//signs_mov_separ_signers/Liz_16459.mov","MOV")</f>
        <v>21</v>
      </c>
      <c r="M8677" t="s" s="10">
        <v>36</v>
      </c>
      <c r="N8677" s="17">
        <v>39</v>
      </c>
      <c r="O8677" s="18">
        <v>3440</v>
      </c>
      <c r="P8677" s="18">
        <v>3475</v>
      </c>
      <c r="Q8677" t="s" s="16">
        <f>HYPERLINK("http://secrets.rutgers.edu:8080/data/asl-ftp/asllvd/demos/verify_start_end_handshape_annotations//test_auto_move//signs_mov/16459.mov","MOV")</f>
        <v>21</v>
      </c>
      <c r="R8677" t="s" s="16">
        <f>HYPERLINK("http://secrets.rutgers.edu:8080/data/asl-ftp/asllvd/demos/verify_start_end_handshape_annotations//test_auto_move//signs_mov_separ_signers/Liz_16459.mov","MOV")</f>
        <v>21</v>
      </c>
    </row>
    <row r="8678" s="2" customFormat="1" ht="13.5" customHeight="1">
      <c r="B8678" t="s" s="8">
        <v>3148</v>
      </c>
      <c r="C8678" t="s" s="9">
        <v>14</v>
      </c>
      <c r="D8678" t="s" s="8">
        <v>14</v>
      </c>
      <c r="E8678" t="s" s="9">
        <v>14</v>
      </c>
      <c r="F8678" t="s" s="10">
        <v>14</v>
      </c>
      <c r="G8678" t="s" s="11">
        <v>14</v>
      </c>
      <c r="H8678" t="s" s="10">
        <v>14</v>
      </c>
      <c r="I8678" t="s" s="11">
        <v>14</v>
      </c>
      <c r="J8678" t="s" s="11">
        <v>14</v>
      </c>
      <c r="K8678" t="s" s="12">
        <v>14</v>
      </c>
      <c r="L8678" t="s" s="12">
        <v>14</v>
      </c>
      <c r="M8678" t="s" s="10">
        <v>14</v>
      </c>
      <c r="N8678" t="s" s="11">
        <v>14</v>
      </c>
      <c r="O8678" t="s" s="8">
        <v>14</v>
      </c>
      <c r="P8678" t="s" s="8">
        <v>14</v>
      </c>
      <c r="Q8678" t="s" s="12">
        <v>14</v>
      </c>
      <c r="R8678" t="s" s="12">
        <v>14</v>
      </c>
    </row>
    <row r="8679" s="2" customFormat="1" ht="13.5" customHeight="1">
      <c r="B8679" s="13"/>
      <c r="C8679" t="s" s="9">
        <v>16</v>
      </c>
      <c r="D8679" t="s" s="8">
        <v>3148</v>
      </c>
      <c r="E8679" t="s" s="9">
        <v>3149</v>
      </c>
      <c r="F8679" t="s" s="10">
        <v>287</v>
      </c>
      <c r="G8679" t="s" s="11">
        <v>287</v>
      </c>
      <c r="H8679" t="s" s="10">
        <v>287</v>
      </c>
      <c r="I8679" t="s" s="11">
        <v>287</v>
      </c>
      <c r="J8679" t="s" s="11">
        <v>20</v>
      </c>
      <c r="K8679" t="s" s="16">
        <f>HYPERLINK("http://csr.bu.edu/ftp/asl/asllvd/demos/verify_start_end_handshape_annotations//test_auto_move//signs_mov/2361.mov","MOV")</f>
        <v>21</v>
      </c>
      <c r="L8679" t="s" s="16">
        <f>HYPERLINK("http://csr.bu.edu/ftp/asl/asllvd/demos/verify_start_end_handshape_annotations//test_auto_move//signs_mov_separ_signers/Liz_2361.mov","MOV")</f>
        <v>21</v>
      </c>
      <c r="M8679" t="s" s="10">
        <v>36</v>
      </c>
      <c r="N8679" s="17">
        <v>40</v>
      </c>
      <c r="O8679" s="18">
        <v>285</v>
      </c>
      <c r="P8679" s="18">
        <v>345</v>
      </c>
      <c r="Q8679" t="s" s="16">
        <f>HYPERLINK("http://secrets.rutgers.edu:8080/data/asl-ftp/asllvd/demos/verify_start_end_handshape_annotations//test_auto_move//signs_mov/2361.mov","MOV")</f>
        <v>21</v>
      </c>
      <c r="R8679" t="s" s="16">
        <f>HYPERLINK("http://secrets.rutgers.edu:8080/data/asl-ftp/asllvd/demos/verify_start_end_handshape_annotations//test_auto_move//signs_mov_separ_signers/Liz_2361.mov","MOV")</f>
        <v>21</v>
      </c>
    </row>
    <row r="8680" s="2" customFormat="1" ht="13.5" customHeight="1">
      <c r="B8680" t="s" s="8">
        <v>52</v>
      </c>
      <c r="C8680" t="s" s="9">
        <v>53</v>
      </c>
      <c r="D8680" t="s" s="8">
        <v>53</v>
      </c>
      <c r="E8680" t="s" s="9">
        <v>53</v>
      </c>
      <c r="F8680" t="s" s="10">
        <v>53</v>
      </c>
      <c r="G8680" t="s" s="11">
        <v>53</v>
      </c>
      <c r="H8680" t="s" s="10">
        <v>53</v>
      </c>
      <c r="I8680" t="s" s="11">
        <v>53</v>
      </c>
      <c r="J8680" t="s" s="11">
        <v>53</v>
      </c>
      <c r="K8680" t="s" s="12">
        <v>53</v>
      </c>
      <c r="L8680" t="s" s="12">
        <v>53</v>
      </c>
      <c r="M8680" t="s" s="10">
        <v>53</v>
      </c>
      <c r="N8680" t="s" s="11">
        <v>53</v>
      </c>
      <c r="O8680" t="s" s="8">
        <v>53</v>
      </c>
      <c r="P8680" t="s" s="8">
        <v>53</v>
      </c>
      <c r="Q8680" t="s" s="12">
        <v>53</v>
      </c>
      <c r="R8680" t="s" s="12">
        <v>53</v>
      </c>
    </row>
    <row r="8681" s="2" customFormat="1" ht="13.5" customHeight="1">
      <c r="B8681" s="13"/>
      <c r="C8681" t="s" s="9">
        <v>30</v>
      </c>
      <c r="D8681" t="s" s="8">
        <v>3148</v>
      </c>
      <c r="E8681" t="s" s="9">
        <v>3150</v>
      </c>
      <c r="F8681" t="s" s="10">
        <v>287</v>
      </c>
      <c r="G8681" t="s" s="11">
        <v>287</v>
      </c>
      <c r="H8681" t="s" s="10">
        <v>287</v>
      </c>
      <c r="I8681" t="s" s="11">
        <v>287</v>
      </c>
      <c r="J8681" t="s" s="11">
        <v>20</v>
      </c>
      <c r="K8681" t="s" s="16">
        <f>HYPERLINK("http://csr.bu.edu/ftp/asl/asllvd/demos/verify_start_end_handshape_annotations//test_auto_move//signs_mov/16460.mov","MOV")</f>
        <v>21</v>
      </c>
      <c r="L8681" t="s" s="16">
        <f>HYPERLINK("http://csr.bu.edu/ftp/asl/asllvd/demos/verify_start_end_handshape_annotations//test_auto_move//signs_mov_separ_signers/Brady_16460.mov","MOV")</f>
        <v>21</v>
      </c>
      <c r="M8681" t="s" s="10">
        <v>40</v>
      </c>
      <c r="N8681" s="17">
        <v>92</v>
      </c>
      <c r="O8681" s="18">
        <v>1625</v>
      </c>
      <c r="P8681" s="18">
        <v>1682</v>
      </c>
      <c r="Q8681" t="s" s="16">
        <f>HYPERLINK("http://secrets.rutgers.edu:8080/data/asl-ftp/asllvd/demos/verify_start_end_handshape_annotations//test_auto_move//signs_mov/16460.mov","MOV")</f>
        <v>21</v>
      </c>
      <c r="R8681" t="s" s="16">
        <f>HYPERLINK("http://secrets.rutgers.edu:8080/data/asl-ftp/asllvd/demos/verify_start_end_handshape_annotations//test_auto_move//signs_mov_separ_signers/Brady_16460.mov","MOV")</f>
        <v>21</v>
      </c>
    </row>
    <row r="8682" s="2" customFormat="1" ht="13.5" customHeight="1">
      <c r="B8682" t="s" s="8">
        <v>3151</v>
      </c>
      <c r="C8682" t="s" s="9">
        <v>14</v>
      </c>
      <c r="D8682" t="s" s="8">
        <v>14</v>
      </c>
      <c r="E8682" t="s" s="9">
        <v>14</v>
      </c>
      <c r="F8682" t="s" s="10">
        <v>14</v>
      </c>
      <c r="G8682" t="s" s="11">
        <v>14</v>
      </c>
      <c r="H8682" t="s" s="10">
        <v>14</v>
      </c>
      <c r="I8682" t="s" s="11">
        <v>14</v>
      </c>
      <c r="J8682" t="s" s="11">
        <v>14</v>
      </c>
      <c r="K8682" t="s" s="12">
        <v>14</v>
      </c>
      <c r="L8682" t="s" s="12">
        <v>14</v>
      </c>
      <c r="M8682" t="s" s="10">
        <v>14</v>
      </c>
      <c r="N8682" t="s" s="11">
        <v>14</v>
      </c>
      <c r="O8682" t="s" s="8">
        <v>14</v>
      </c>
      <c r="P8682" t="s" s="8">
        <v>14</v>
      </c>
      <c r="Q8682" t="s" s="12">
        <v>14</v>
      </c>
      <c r="R8682" t="s" s="12">
        <v>14</v>
      </c>
    </row>
    <row r="8683" s="2" customFormat="1" ht="13.5" customHeight="1">
      <c r="B8683" s="13"/>
      <c r="C8683" t="s" s="9">
        <v>16</v>
      </c>
      <c r="D8683" t="s" s="8">
        <v>3151</v>
      </c>
      <c r="E8683" t="s" s="9">
        <v>3151</v>
      </c>
      <c r="F8683" t="s" s="10">
        <v>349</v>
      </c>
      <c r="G8683" s="14"/>
      <c r="H8683" t="s" s="10">
        <v>349</v>
      </c>
      <c r="I8683" s="14"/>
      <c r="J8683" t="s" s="11">
        <v>20</v>
      </c>
      <c r="K8683" t="s" s="16">
        <f>HYPERLINK("http://csr.bu.edu/ftp/asl/asllvd/demos/verify_start_end_handshape_annotations//test_auto_move//signs_mov/2362.mov","MOV")</f>
        <v>21</v>
      </c>
      <c r="L8683" t="s" s="16">
        <f>HYPERLINK("http://csr.bu.edu/ftp/asl/asllvd/demos/verify_start_end_handshape_annotations//test_auto_move//signs_mov_separ_signers/Liz_2362.mov","MOV")</f>
        <v>21</v>
      </c>
      <c r="M8683" t="s" s="10">
        <v>36</v>
      </c>
      <c r="N8683" s="17">
        <v>40</v>
      </c>
      <c r="O8683" s="18">
        <v>790</v>
      </c>
      <c r="P8683" s="18">
        <v>840</v>
      </c>
      <c r="Q8683" t="s" s="16">
        <f>HYPERLINK("http://secrets.rutgers.edu:8080/data/asl-ftp/asllvd/demos/verify_start_end_handshape_annotations//test_auto_move//signs_mov/2362.mov","MOV")</f>
        <v>21</v>
      </c>
      <c r="R8683" t="s" s="16">
        <f>HYPERLINK("http://secrets.rutgers.edu:8080/data/asl-ftp/asllvd/demos/verify_start_end_handshape_annotations//test_auto_move//signs_mov_separ_signers/Liz_2362.mov","MOV")</f>
        <v>21</v>
      </c>
    </row>
    <row r="8684" s="2" customFormat="1" ht="13.5" customHeight="1">
      <c r="B8684" s="13"/>
      <c r="C8684" t="s" s="9">
        <v>30</v>
      </c>
      <c r="D8684" t="s" s="8">
        <v>3151</v>
      </c>
      <c r="E8684" t="s" s="9">
        <v>3151</v>
      </c>
      <c r="F8684" t="s" s="10">
        <v>255</v>
      </c>
      <c r="G8684" s="14"/>
      <c r="H8684" t="s" s="10">
        <v>255</v>
      </c>
      <c r="I8684" s="14"/>
      <c r="J8684" t="s" s="11">
        <v>20</v>
      </c>
      <c r="K8684" s="15"/>
      <c r="L8684" t="s" s="16">
        <f>HYPERLINK("http://csr.bu.edu/ftp/asl/asllvd/demos/verify_start_end_handshape_annotations//test_auto_move//signs_mov_separ_signers/Brady_2362.mov","MOV")</f>
        <v>21</v>
      </c>
      <c r="M8684" t="s" s="10">
        <v>40</v>
      </c>
      <c r="N8684" s="17">
        <v>92</v>
      </c>
      <c r="O8684" s="18">
        <v>2221</v>
      </c>
      <c r="P8684" s="18">
        <v>2241</v>
      </c>
      <c r="Q8684" s="15"/>
      <c r="R8684" t="s" s="16">
        <f>HYPERLINK("http://secrets.rutgers.edu:8080/data/asl-ftp/asllvd/demos/verify_start_end_handshape_annotations//test_auto_move//signs_mov_separ_signers/Brady_2362.mov","MOV")</f>
        <v>21</v>
      </c>
    </row>
    <row r="8685" s="2" customFormat="1" ht="13.5" customHeight="1">
      <c r="B8685" t="s" s="8">
        <v>3152</v>
      </c>
      <c r="C8685" t="s" s="9">
        <v>14</v>
      </c>
      <c r="D8685" t="s" s="8">
        <v>14</v>
      </c>
      <c r="E8685" t="s" s="9">
        <v>14</v>
      </c>
      <c r="F8685" t="s" s="10">
        <v>14</v>
      </c>
      <c r="G8685" t="s" s="11">
        <v>14</v>
      </c>
      <c r="H8685" t="s" s="10">
        <v>14</v>
      </c>
      <c r="I8685" t="s" s="11">
        <v>14</v>
      </c>
      <c r="J8685" t="s" s="11">
        <v>14</v>
      </c>
      <c r="K8685" t="s" s="12">
        <v>14</v>
      </c>
      <c r="L8685" t="s" s="12">
        <v>14</v>
      </c>
      <c r="M8685" t="s" s="10">
        <v>14</v>
      </c>
      <c r="N8685" t="s" s="11">
        <v>14</v>
      </c>
      <c r="O8685" t="s" s="8">
        <v>14</v>
      </c>
      <c r="P8685" t="s" s="8">
        <v>14</v>
      </c>
      <c r="Q8685" t="s" s="12">
        <v>14</v>
      </c>
      <c r="R8685" t="s" s="12">
        <v>14</v>
      </c>
    </row>
    <row r="8686" s="2" customFormat="1" ht="13.5" customHeight="1">
      <c r="B8686" s="13"/>
      <c r="C8686" t="s" s="9">
        <v>16</v>
      </c>
      <c r="D8686" t="s" s="8">
        <v>3152</v>
      </c>
      <c r="E8686" t="s" s="9">
        <v>3152</v>
      </c>
      <c r="F8686" t="s" s="10">
        <v>73</v>
      </c>
      <c r="G8686" t="s" s="11">
        <v>73</v>
      </c>
      <c r="H8686" t="s" s="10">
        <v>73</v>
      </c>
      <c r="I8686" t="s" s="11">
        <v>73</v>
      </c>
      <c r="J8686" t="s" s="11">
        <v>20</v>
      </c>
      <c r="K8686" t="s" s="16">
        <f>HYPERLINK("http://csr.bu.edu/ftp/asl/asllvd/demos/verify_start_end_handshape_annotations//test_auto_move//signs_mov/2363.mov","MOV")</f>
        <v>21</v>
      </c>
      <c r="L8686" t="s" s="16">
        <f>HYPERLINK("http://csr.bu.edu/ftp/asl/asllvd/demos/verify_start_end_handshape_annotations//test_auto_move//signs_mov_separ_signers/Liz_2363.mov","MOV")</f>
        <v>21</v>
      </c>
      <c r="M8686" t="s" s="10">
        <v>36</v>
      </c>
      <c r="N8686" s="17">
        <v>40</v>
      </c>
      <c r="O8686" s="18">
        <v>1081</v>
      </c>
      <c r="P8686" s="18">
        <v>1145</v>
      </c>
      <c r="Q8686" t="s" s="16">
        <f>HYPERLINK("http://secrets.rutgers.edu:8080/data/asl-ftp/asllvd/demos/verify_start_end_handshape_annotations//test_auto_move//signs_mov/2363.mov","MOV")</f>
        <v>21</v>
      </c>
      <c r="R8686" t="s" s="16">
        <f>HYPERLINK("http://secrets.rutgers.edu:8080/data/asl-ftp/asllvd/demos/verify_start_end_handshape_annotations//test_auto_move//signs_mov_separ_signers/Liz_2363.mov","MOV")</f>
        <v>21</v>
      </c>
    </row>
    <row r="8687" s="2" customFormat="1" ht="13.5" customHeight="1">
      <c r="B8687" s="13"/>
      <c r="C8687" t="s" s="9">
        <v>30</v>
      </c>
      <c r="D8687" t="s" s="8">
        <v>3152</v>
      </c>
      <c r="E8687" t="s" s="9">
        <v>3152</v>
      </c>
      <c r="F8687" t="s" s="10">
        <v>73</v>
      </c>
      <c r="G8687" t="s" s="11">
        <v>73</v>
      </c>
      <c r="H8687" t="s" s="10">
        <v>73</v>
      </c>
      <c r="I8687" t="s" s="11">
        <v>73</v>
      </c>
      <c r="J8687" t="s" s="11">
        <v>20</v>
      </c>
      <c r="K8687" s="15"/>
      <c r="L8687" t="s" s="16">
        <f>HYPERLINK("http://csr.bu.edu/ftp/asl/asllvd/demos/verify_start_end_handshape_annotations//test_auto_move//signs_mov_separ_signers/Brady_2363.mov","MOV")</f>
        <v>21</v>
      </c>
      <c r="M8687" t="s" s="10">
        <v>40</v>
      </c>
      <c r="N8687" s="17">
        <v>92</v>
      </c>
      <c r="O8687" s="18">
        <v>1923</v>
      </c>
      <c r="P8687" s="18">
        <v>1943</v>
      </c>
      <c r="Q8687" s="15"/>
      <c r="R8687" t="s" s="16">
        <f>HYPERLINK("http://secrets.rutgers.edu:8080/data/asl-ftp/asllvd/demos/verify_start_end_handshape_annotations//test_auto_move//signs_mov_separ_signers/Brady_2363.mov","MOV")</f>
        <v>21</v>
      </c>
    </row>
    <row r="8688" s="2" customFormat="1" ht="13.5" customHeight="1">
      <c r="B8688" t="s" s="8">
        <v>3153</v>
      </c>
      <c r="C8688" t="s" s="9">
        <v>14</v>
      </c>
      <c r="D8688" t="s" s="8">
        <v>14</v>
      </c>
      <c r="E8688" t="s" s="9">
        <v>14</v>
      </c>
      <c r="F8688" t="s" s="10">
        <v>14</v>
      </c>
      <c r="G8688" t="s" s="11">
        <v>14</v>
      </c>
      <c r="H8688" t="s" s="10">
        <v>14</v>
      </c>
      <c r="I8688" t="s" s="11">
        <v>14</v>
      </c>
      <c r="J8688" t="s" s="11">
        <v>14</v>
      </c>
      <c r="K8688" t="s" s="12">
        <v>14</v>
      </c>
      <c r="L8688" t="s" s="12">
        <v>14</v>
      </c>
      <c r="M8688" t="s" s="10">
        <v>14</v>
      </c>
      <c r="N8688" t="s" s="11">
        <v>14</v>
      </c>
      <c r="O8688" t="s" s="8">
        <v>14</v>
      </c>
      <c r="P8688" t="s" s="8">
        <v>14</v>
      </c>
      <c r="Q8688" t="s" s="12">
        <v>14</v>
      </c>
      <c r="R8688" t="s" s="12">
        <v>14</v>
      </c>
    </row>
    <row r="8689" s="2" customFormat="1" ht="13.5" customHeight="1">
      <c r="B8689" s="13"/>
      <c r="C8689" t="s" s="9">
        <v>16</v>
      </c>
      <c r="D8689" t="s" s="8">
        <v>3153</v>
      </c>
      <c r="E8689" t="s" s="9">
        <v>3153</v>
      </c>
      <c r="F8689" t="s" s="10">
        <v>282</v>
      </c>
      <c r="G8689" s="17">
        <v>1</v>
      </c>
      <c r="H8689" t="s" s="10">
        <v>282</v>
      </c>
      <c r="I8689" s="17">
        <v>1</v>
      </c>
      <c r="J8689" t="s" s="11">
        <v>20</v>
      </c>
      <c r="K8689" t="s" s="16">
        <f>HYPERLINK("http://csr.bu.edu/ftp/asl/asllvd/demos/verify_start_end_handshape_annotations//test_auto_move//signs_mov/2364.mov","MOV")</f>
        <v>21</v>
      </c>
      <c r="L8689" t="s" s="16">
        <f>HYPERLINK("http://csr.bu.edu/ftp/asl/asllvd/demos/verify_start_end_handshape_annotations//test_auto_move//signs_mov_separ_signers/Liz_2364.mov","MOV")</f>
        <v>21</v>
      </c>
      <c r="M8689" t="s" s="10">
        <v>36</v>
      </c>
      <c r="N8689" s="17">
        <v>40</v>
      </c>
      <c r="O8689" s="18">
        <v>1342</v>
      </c>
      <c r="P8689" s="18">
        <v>1375</v>
      </c>
      <c r="Q8689" t="s" s="16">
        <f>HYPERLINK("http://secrets.rutgers.edu:8080/data/asl-ftp/asllvd/demos/verify_start_end_handshape_annotations//test_auto_move//signs_mov/2364.mov","MOV")</f>
        <v>21</v>
      </c>
      <c r="R8689" t="s" s="16">
        <f>HYPERLINK("http://secrets.rutgers.edu:8080/data/asl-ftp/asllvd/demos/verify_start_end_handshape_annotations//test_auto_move//signs_mov_separ_signers/Liz_2364.mov","MOV")</f>
        <v>21</v>
      </c>
    </row>
    <row r="8690" s="2" customFormat="1" ht="13.5" customHeight="1">
      <c r="B8690" t="s" s="8">
        <v>3154</v>
      </c>
      <c r="C8690" t="s" s="9">
        <v>14</v>
      </c>
      <c r="D8690" t="s" s="8">
        <v>14</v>
      </c>
      <c r="E8690" t="s" s="9">
        <v>14</v>
      </c>
      <c r="F8690" t="s" s="10">
        <v>14</v>
      </c>
      <c r="G8690" t="s" s="11">
        <v>14</v>
      </c>
      <c r="H8690" t="s" s="10">
        <v>14</v>
      </c>
      <c r="I8690" t="s" s="11">
        <v>14</v>
      </c>
      <c r="J8690" t="s" s="11">
        <v>14</v>
      </c>
      <c r="K8690" t="s" s="12">
        <v>14</v>
      </c>
      <c r="L8690" t="s" s="12">
        <v>14</v>
      </c>
      <c r="M8690" t="s" s="10">
        <v>14</v>
      </c>
      <c r="N8690" t="s" s="11">
        <v>14</v>
      </c>
      <c r="O8690" t="s" s="8">
        <v>14</v>
      </c>
      <c r="P8690" t="s" s="8">
        <v>14</v>
      </c>
      <c r="Q8690" t="s" s="12">
        <v>14</v>
      </c>
      <c r="R8690" t="s" s="12">
        <v>14</v>
      </c>
    </row>
    <row r="8691" s="2" customFormat="1" ht="13.5" customHeight="1">
      <c r="B8691" s="13"/>
      <c r="C8691" t="s" s="9">
        <v>16</v>
      </c>
      <c r="D8691" t="s" s="8">
        <v>3154</v>
      </c>
      <c r="E8691" t="s" s="9">
        <v>3155</v>
      </c>
      <c r="F8691" t="s" s="10">
        <v>63</v>
      </c>
      <c r="G8691" s="14"/>
      <c r="H8691" s="19">
        <v>4</v>
      </c>
      <c r="I8691" s="14"/>
      <c r="J8691" t="s" s="11">
        <v>20</v>
      </c>
      <c r="K8691" t="s" s="16">
        <f>HYPERLINK("http://csr.bu.edu/ftp/asl/asllvd/demos/verify_start_end_handshape_annotations//test_auto_move//signs_mov/2372.mov","MOV")</f>
        <v>21</v>
      </c>
      <c r="L8691" t="s" s="16">
        <f>HYPERLINK("http://csr.bu.edu/ftp/asl/asllvd/demos/verify_start_end_handshape_annotations//test_auto_move//signs_mov_separ_signers/Liz_2372.mov","MOV")</f>
        <v>21</v>
      </c>
      <c r="M8691" t="s" s="10">
        <v>36</v>
      </c>
      <c r="N8691" s="17">
        <v>41</v>
      </c>
      <c r="O8691" s="18">
        <v>950</v>
      </c>
      <c r="P8691" s="18">
        <v>995</v>
      </c>
      <c r="Q8691" t="s" s="16">
        <f>HYPERLINK("http://secrets.rutgers.edu:8080/data/asl-ftp/asllvd/demos/verify_start_end_handshape_annotations//test_auto_move//signs_mov/2372.mov","MOV")</f>
        <v>21</v>
      </c>
      <c r="R8691" t="s" s="16">
        <f>HYPERLINK("http://secrets.rutgers.edu:8080/data/asl-ftp/asllvd/demos/verify_start_end_handshape_annotations//test_auto_move//signs_mov_separ_signers/Liz_2372.mov","MOV")</f>
        <v>21</v>
      </c>
    </row>
    <row r="8692" s="2" customFormat="1" ht="13.5" customHeight="1">
      <c r="B8692" t="s" s="8">
        <v>3156</v>
      </c>
      <c r="C8692" t="s" s="9">
        <v>14</v>
      </c>
      <c r="D8692" t="s" s="8">
        <v>14</v>
      </c>
      <c r="E8692" t="s" s="9">
        <v>14</v>
      </c>
      <c r="F8692" t="s" s="10">
        <v>14</v>
      </c>
      <c r="G8692" t="s" s="11">
        <v>14</v>
      </c>
      <c r="H8692" t="s" s="10">
        <v>14</v>
      </c>
      <c r="I8692" t="s" s="11">
        <v>14</v>
      </c>
      <c r="J8692" t="s" s="11">
        <v>14</v>
      </c>
      <c r="K8692" t="s" s="12">
        <v>14</v>
      </c>
      <c r="L8692" t="s" s="12">
        <v>14</v>
      </c>
      <c r="M8692" t="s" s="10">
        <v>14</v>
      </c>
      <c r="N8692" t="s" s="11">
        <v>14</v>
      </c>
      <c r="O8692" t="s" s="8">
        <v>14</v>
      </c>
      <c r="P8692" t="s" s="8">
        <v>14</v>
      </c>
      <c r="Q8692" t="s" s="12">
        <v>14</v>
      </c>
      <c r="R8692" t="s" s="12">
        <v>14</v>
      </c>
    </row>
    <row r="8693" s="2" customFormat="1" ht="13.5" customHeight="1">
      <c r="B8693" s="13"/>
      <c r="C8693" t="s" s="9">
        <v>16</v>
      </c>
      <c r="D8693" t="s" s="8">
        <v>3156</v>
      </c>
      <c r="E8693" t="s" s="9">
        <v>3157</v>
      </c>
      <c r="F8693" s="19">
        <v>25</v>
      </c>
      <c r="G8693" s="14"/>
      <c r="H8693" s="19">
        <v>5</v>
      </c>
      <c r="I8693" s="14"/>
      <c r="J8693" t="s" s="11">
        <v>20</v>
      </c>
      <c r="K8693" t="s" s="16">
        <f>HYPERLINK("http://csr.bu.edu/ftp/asl/asllvd/demos/verify_start_end_handshape_annotations//test_auto_move//signs_mov/3768.mov","MOV")</f>
        <v>21</v>
      </c>
      <c r="L8693" t="s" s="16">
        <f>HYPERLINK("http://csr.bu.edu/ftp/asl/asllvd/demos/verify_start_end_handshape_annotations//test_auto_move//signs_mov_separ_signers/Liz_3768.mov","MOV")</f>
        <v>21</v>
      </c>
      <c r="M8693" t="s" s="10">
        <v>36</v>
      </c>
      <c r="N8693" s="17">
        <v>41</v>
      </c>
      <c r="O8693" s="18">
        <v>1221</v>
      </c>
      <c r="P8693" s="18">
        <v>1275</v>
      </c>
      <c r="Q8693" t="s" s="16">
        <f>HYPERLINK("http://secrets.rutgers.edu:8080/data/asl-ftp/asllvd/demos/verify_start_end_handshape_annotations//test_auto_move//signs_mov/3768.mov","MOV")</f>
        <v>21</v>
      </c>
      <c r="R8693" t="s" s="16">
        <f>HYPERLINK("http://secrets.rutgers.edu:8080/data/asl-ftp/asllvd/demos/verify_start_end_handshape_annotations//test_auto_move//signs_mov_separ_signers/Liz_3768.mov","MOV")</f>
        <v>21</v>
      </c>
    </row>
    <row r="8694" s="2" customFormat="1" ht="13.5" customHeight="1">
      <c r="B8694" t="s" s="8">
        <v>3158</v>
      </c>
      <c r="C8694" t="s" s="9">
        <v>14</v>
      </c>
      <c r="D8694" t="s" s="8">
        <v>14</v>
      </c>
      <c r="E8694" t="s" s="9">
        <v>14</v>
      </c>
      <c r="F8694" t="s" s="10">
        <v>14</v>
      </c>
      <c r="G8694" t="s" s="11">
        <v>14</v>
      </c>
      <c r="H8694" t="s" s="10">
        <v>14</v>
      </c>
      <c r="I8694" t="s" s="11">
        <v>14</v>
      </c>
      <c r="J8694" t="s" s="11">
        <v>14</v>
      </c>
      <c r="K8694" t="s" s="12">
        <v>14</v>
      </c>
      <c r="L8694" t="s" s="12">
        <v>14</v>
      </c>
      <c r="M8694" t="s" s="10">
        <v>14</v>
      </c>
      <c r="N8694" t="s" s="11">
        <v>14</v>
      </c>
      <c r="O8694" t="s" s="8">
        <v>14</v>
      </c>
      <c r="P8694" t="s" s="8">
        <v>14</v>
      </c>
      <c r="Q8694" t="s" s="12">
        <v>14</v>
      </c>
      <c r="R8694" t="s" s="12">
        <v>14</v>
      </c>
    </row>
    <row r="8695" s="2" customFormat="1" ht="13.5" customHeight="1">
      <c r="B8695" s="13"/>
      <c r="C8695" t="s" s="9">
        <v>16</v>
      </c>
      <c r="D8695" t="s" s="8">
        <v>3158</v>
      </c>
      <c r="E8695" t="s" s="9">
        <v>3159</v>
      </c>
      <c r="F8695" t="s" s="10">
        <v>73</v>
      </c>
      <c r="G8695" s="14"/>
      <c r="H8695" t="s" s="10">
        <v>73</v>
      </c>
      <c r="I8695" s="14"/>
      <c r="J8695" t="s" s="11">
        <v>20</v>
      </c>
      <c r="K8695" t="s" s="16">
        <f>HYPERLINK("http://csr.bu.edu/ftp/asl/asllvd/demos/verify_start_end_handshape_annotations//test_auto_move//signs_mov/15437.mov","MOV")</f>
        <v>21</v>
      </c>
      <c r="L8695" t="s" s="16">
        <f>HYPERLINK("http://csr.bu.edu/ftp/asl/asllvd/demos/verify_start_end_handshape_annotations//test_auto_move//signs_mov_separ_signers/Liz_15437.mov","MOV")</f>
        <v>21</v>
      </c>
      <c r="M8695" t="s" s="10">
        <v>36</v>
      </c>
      <c r="N8695" s="17">
        <v>41</v>
      </c>
      <c r="O8695" s="18">
        <v>696</v>
      </c>
      <c r="P8695" s="18">
        <v>740</v>
      </c>
      <c r="Q8695" t="s" s="16">
        <f>HYPERLINK("http://secrets.rutgers.edu:8080/data/asl-ftp/asllvd/demos/verify_start_end_handshape_annotations//test_auto_move//signs_mov/15437.mov","MOV")</f>
        <v>21</v>
      </c>
      <c r="R8695" t="s" s="16">
        <f>HYPERLINK("http://secrets.rutgers.edu:8080/data/asl-ftp/asllvd/demos/verify_start_end_handshape_annotations//test_auto_move//signs_mov_separ_signers/Liz_15437.mov","MOV")</f>
        <v>21</v>
      </c>
    </row>
    <row r="8696" s="2" customFormat="1" ht="13.5" customHeight="1">
      <c r="B8696" t="s" s="8">
        <v>3160</v>
      </c>
      <c r="C8696" t="s" s="9">
        <v>14</v>
      </c>
      <c r="D8696" t="s" s="8">
        <v>14</v>
      </c>
      <c r="E8696" t="s" s="9">
        <v>14</v>
      </c>
      <c r="F8696" t="s" s="10">
        <v>14</v>
      </c>
      <c r="G8696" t="s" s="11">
        <v>14</v>
      </c>
      <c r="H8696" t="s" s="10">
        <v>14</v>
      </c>
      <c r="I8696" t="s" s="11">
        <v>14</v>
      </c>
      <c r="J8696" t="s" s="11">
        <v>14</v>
      </c>
      <c r="K8696" t="s" s="12">
        <v>14</v>
      </c>
      <c r="L8696" t="s" s="12">
        <v>14</v>
      </c>
      <c r="M8696" t="s" s="10">
        <v>14</v>
      </c>
      <c r="N8696" t="s" s="11">
        <v>14</v>
      </c>
      <c r="O8696" t="s" s="8">
        <v>14</v>
      </c>
      <c r="P8696" t="s" s="8">
        <v>14</v>
      </c>
      <c r="Q8696" t="s" s="12">
        <v>14</v>
      </c>
      <c r="R8696" t="s" s="12">
        <v>14</v>
      </c>
    </row>
    <row r="8697" s="2" customFormat="1" ht="13.5" customHeight="1">
      <c r="B8697" s="13"/>
      <c r="C8697" t="s" s="9">
        <v>16</v>
      </c>
      <c r="D8697" t="s" s="8">
        <v>3160</v>
      </c>
      <c r="E8697" t="s" s="9">
        <v>3160</v>
      </c>
      <c r="F8697" t="s" s="10">
        <v>72</v>
      </c>
      <c r="G8697" t="s" s="11">
        <v>72</v>
      </c>
      <c r="H8697" t="s" s="10">
        <v>72</v>
      </c>
      <c r="I8697" t="s" s="11">
        <v>72</v>
      </c>
      <c r="J8697" t="s" s="11">
        <v>20</v>
      </c>
      <c r="K8697" t="s" s="16">
        <f>HYPERLINK("http://csr.bu.edu/ftp/asl/asllvd/demos/verify_start_end_handshape_annotations//test_auto_move//signs_mov/2374.mov","MOV")</f>
        <v>21</v>
      </c>
      <c r="L8697" t="s" s="16">
        <f>HYPERLINK("http://csr.bu.edu/ftp/asl/asllvd/demos/verify_start_end_handshape_annotations//test_auto_move//signs_mov_separ_signers/Liz_2374.mov","MOV")</f>
        <v>21</v>
      </c>
      <c r="M8697" t="s" s="10">
        <v>36</v>
      </c>
      <c r="N8697" s="17">
        <v>41</v>
      </c>
      <c r="O8697" s="18">
        <v>1505</v>
      </c>
      <c r="P8697" s="18">
        <v>1545</v>
      </c>
      <c r="Q8697" t="s" s="16">
        <f>HYPERLINK("http://secrets.rutgers.edu:8080/data/asl-ftp/asllvd/demos/verify_start_end_handshape_annotations//test_auto_move//signs_mov/2374.mov","MOV")</f>
        <v>21</v>
      </c>
      <c r="R8697" t="s" s="16">
        <f>HYPERLINK("http://secrets.rutgers.edu:8080/data/asl-ftp/asllvd/demos/verify_start_end_handshape_annotations//test_auto_move//signs_mov_separ_signers/Liz_2374.mov","MOV")</f>
        <v>21</v>
      </c>
    </row>
    <row r="8698" s="2" customFormat="1" ht="13.5" customHeight="1">
      <c r="B8698" t="s" s="8">
        <v>3161</v>
      </c>
      <c r="C8698" t="s" s="9">
        <v>14</v>
      </c>
      <c r="D8698" t="s" s="8">
        <v>14</v>
      </c>
      <c r="E8698" t="s" s="9">
        <v>14</v>
      </c>
      <c r="F8698" t="s" s="10">
        <v>14</v>
      </c>
      <c r="G8698" t="s" s="11">
        <v>14</v>
      </c>
      <c r="H8698" t="s" s="10">
        <v>14</v>
      </c>
      <c r="I8698" t="s" s="11">
        <v>14</v>
      </c>
      <c r="J8698" t="s" s="11">
        <v>14</v>
      </c>
      <c r="K8698" t="s" s="12">
        <v>14</v>
      </c>
      <c r="L8698" t="s" s="12">
        <v>14</v>
      </c>
      <c r="M8698" t="s" s="10">
        <v>14</v>
      </c>
      <c r="N8698" t="s" s="11">
        <v>14</v>
      </c>
      <c r="O8698" t="s" s="8">
        <v>14</v>
      </c>
      <c r="P8698" t="s" s="8">
        <v>14</v>
      </c>
      <c r="Q8698" t="s" s="12">
        <v>14</v>
      </c>
      <c r="R8698" t="s" s="12">
        <v>14</v>
      </c>
    </row>
    <row r="8699" s="2" customFormat="1" ht="13.5" customHeight="1">
      <c r="B8699" s="13"/>
      <c r="C8699" t="s" s="9">
        <v>16</v>
      </c>
      <c r="D8699" t="s" s="8">
        <v>3161</v>
      </c>
      <c r="E8699" t="s" s="9">
        <v>3162</v>
      </c>
      <c r="F8699" s="19">
        <v>1</v>
      </c>
      <c r="G8699" s="17">
        <v>1</v>
      </c>
      <c r="H8699" s="19">
        <v>1</v>
      </c>
      <c r="I8699" s="17">
        <v>1</v>
      </c>
      <c r="J8699" t="s" s="11">
        <v>20</v>
      </c>
      <c r="K8699" t="s" s="16">
        <f>HYPERLINK("http://csr.bu.edu/ftp/asl/asllvd/demos/verify_start_end_handshape_annotations//test_auto_move//signs_mov/2376.mov","MOV")</f>
        <v>21</v>
      </c>
      <c r="L8699" t="s" s="16">
        <f>HYPERLINK("http://csr.bu.edu/ftp/asl/asllvd/demos/verify_start_end_handshape_annotations//test_auto_move//signs_mov_separ_signers/Liz_2376.mov","MOV")</f>
        <v>21</v>
      </c>
      <c r="M8699" t="s" s="10">
        <v>36</v>
      </c>
      <c r="N8699" s="17">
        <v>41</v>
      </c>
      <c r="O8699" s="18">
        <v>2196</v>
      </c>
      <c r="P8699" s="18">
        <v>2247</v>
      </c>
      <c r="Q8699" t="s" s="16">
        <f>HYPERLINK("http://secrets.rutgers.edu:8080/data/asl-ftp/asllvd/demos/verify_start_end_handshape_annotations//test_auto_move//signs_mov/2376.mov","MOV")</f>
        <v>21</v>
      </c>
      <c r="R8699" t="s" s="16">
        <f>HYPERLINK("http://secrets.rutgers.edu:8080/data/asl-ftp/asllvd/demos/verify_start_end_handshape_annotations//test_auto_move//signs_mov_separ_signers/Liz_2376.mov","MOV")</f>
        <v>21</v>
      </c>
    </row>
    <row r="8700" s="2" customFormat="1" ht="13.5" customHeight="1">
      <c r="B8700" s="13"/>
      <c r="C8700" t="s" s="9">
        <v>27</v>
      </c>
      <c r="D8700" t="s" s="8">
        <v>3161</v>
      </c>
      <c r="E8700" t="s" s="9">
        <v>3162</v>
      </c>
      <c r="F8700" t="s" s="10">
        <v>268</v>
      </c>
      <c r="G8700" t="s" s="11">
        <v>268</v>
      </c>
      <c r="H8700" t="s" s="10">
        <v>268</v>
      </c>
      <c r="I8700" t="s" s="11">
        <v>268</v>
      </c>
      <c r="J8700" t="s" s="11">
        <v>20</v>
      </c>
      <c r="K8700" s="15"/>
      <c r="L8700" t="s" s="16">
        <f>HYPERLINK("http://csr.bu.edu/ftp/asl/asllvd/demos/verify_start_end_handshape_annotations//test_auto_move//signs_mov_separ_signers/Naomi_2376.mov","MOV")</f>
        <v>21</v>
      </c>
      <c r="M8700" t="s" s="10">
        <v>29</v>
      </c>
      <c r="N8700" s="17">
        <v>14</v>
      </c>
      <c r="O8700" s="18">
        <v>1507</v>
      </c>
      <c r="P8700" s="18">
        <v>1570</v>
      </c>
      <c r="Q8700" s="15"/>
      <c r="R8700" t="s" s="16">
        <f>HYPERLINK("http://secrets.rutgers.edu:8080/data/asl-ftp/asllvd/demos/verify_start_end_handshape_annotations//test_auto_move//signs_mov_separ_signers/Naomi_2376.mov","MOV")</f>
        <v>21</v>
      </c>
    </row>
    <row r="8701" s="2" customFormat="1" ht="13.5" customHeight="1">
      <c r="B8701" t="s" s="8">
        <v>3163</v>
      </c>
      <c r="C8701" t="s" s="9">
        <v>14</v>
      </c>
      <c r="D8701" t="s" s="8">
        <v>14</v>
      </c>
      <c r="E8701" t="s" s="9">
        <v>14</v>
      </c>
      <c r="F8701" t="s" s="10">
        <v>14</v>
      </c>
      <c r="G8701" t="s" s="11">
        <v>14</v>
      </c>
      <c r="H8701" t="s" s="10">
        <v>14</v>
      </c>
      <c r="I8701" t="s" s="11">
        <v>14</v>
      </c>
      <c r="J8701" t="s" s="11">
        <v>14</v>
      </c>
      <c r="K8701" t="s" s="12">
        <v>14</v>
      </c>
      <c r="L8701" t="s" s="12">
        <v>14</v>
      </c>
      <c r="M8701" t="s" s="10">
        <v>14</v>
      </c>
      <c r="N8701" t="s" s="11">
        <v>14</v>
      </c>
      <c r="O8701" t="s" s="8">
        <v>14</v>
      </c>
      <c r="P8701" t="s" s="8">
        <v>14</v>
      </c>
      <c r="Q8701" t="s" s="12">
        <v>14</v>
      </c>
      <c r="R8701" t="s" s="12">
        <v>14</v>
      </c>
    </row>
    <row r="8702" s="2" customFormat="1" ht="13.5" customHeight="1">
      <c r="B8702" s="13"/>
      <c r="C8702" t="s" s="9">
        <v>16</v>
      </c>
      <c r="D8702" t="s" s="8">
        <v>3163</v>
      </c>
      <c r="E8702" t="s" s="9">
        <v>3164</v>
      </c>
      <c r="F8702" t="s" s="10">
        <v>268</v>
      </c>
      <c r="G8702" t="s" s="11">
        <v>268</v>
      </c>
      <c r="H8702" t="s" s="10">
        <v>268</v>
      </c>
      <c r="I8702" t="s" s="11">
        <v>268</v>
      </c>
      <c r="J8702" t="s" s="11">
        <v>20</v>
      </c>
      <c r="K8702" t="s" s="16">
        <f>HYPERLINK("http://csr.bu.edu/ftp/asl/asllvd/demos/verify_start_end_handshape_annotations//test_auto_move//signs_mov/15715.mov","MOV")</f>
        <v>21</v>
      </c>
      <c r="L8702" t="s" s="16">
        <f>HYPERLINK("http://csr.bu.edu/ftp/asl/asllvd/demos/verify_start_end_handshape_annotations//test_auto_move//signs_mov_separ_signers/Liz_15715.mov","MOV")</f>
        <v>21</v>
      </c>
      <c r="M8702" t="s" s="10">
        <v>22</v>
      </c>
      <c r="N8702" s="17">
        <v>21</v>
      </c>
      <c r="O8702" s="18">
        <v>1240</v>
      </c>
      <c r="P8702" s="18">
        <v>1310</v>
      </c>
      <c r="Q8702" t="s" s="16">
        <f>HYPERLINK("http://secrets.rutgers.edu:8080/data/asl-ftp/asllvd/demos/verify_start_end_handshape_annotations//test_auto_move//signs_mov/15715.mov","MOV")</f>
        <v>21</v>
      </c>
      <c r="R8702" t="s" s="16">
        <f>HYPERLINK("http://secrets.rutgers.edu:8080/data/asl-ftp/asllvd/demos/verify_start_end_handshape_annotations//test_auto_move//signs_mov_separ_signers/Liz_15715.mov","MOV")</f>
        <v>21</v>
      </c>
    </row>
    <row r="8703" s="2" customFormat="1" ht="13.5" customHeight="1">
      <c r="B8703" t="s" s="8">
        <v>52</v>
      </c>
      <c r="C8703" t="s" s="9">
        <v>53</v>
      </c>
      <c r="D8703" t="s" s="8">
        <v>53</v>
      </c>
      <c r="E8703" t="s" s="9">
        <v>53</v>
      </c>
      <c r="F8703" t="s" s="10">
        <v>53</v>
      </c>
      <c r="G8703" t="s" s="11">
        <v>53</v>
      </c>
      <c r="H8703" t="s" s="10">
        <v>53</v>
      </c>
      <c r="I8703" t="s" s="11">
        <v>53</v>
      </c>
      <c r="J8703" t="s" s="11">
        <v>53</v>
      </c>
      <c r="K8703" t="s" s="12">
        <v>53</v>
      </c>
      <c r="L8703" t="s" s="12">
        <v>53</v>
      </c>
      <c r="M8703" t="s" s="10">
        <v>53</v>
      </c>
      <c r="N8703" t="s" s="11">
        <v>53</v>
      </c>
      <c r="O8703" t="s" s="8">
        <v>53</v>
      </c>
      <c r="P8703" t="s" s="8">
        <v>53</v>
      </c>
      <c r="Q8703" t="s" s="12">
        <v>53</v>
      </c>
      <c r="R8703" t="s" s="12">
        <v>53</v>
      </c>
    </row>
    <row r="8704" s="2" customFormat="1" ht="13.5" customHeight="1">
      <c r="B8704" s="13"/>
      <c r="C8704" t="s" s="9">
        <v>23</v>
      </c>
      <c r="D8704" t="s" s="8">
        <v>3163</v>
      </c>
      <c r="E8704" t="s" s="9">
        <v>3165</v>
      </c>
      <c r="F8704" s="19">
        <v>1</v>
      </c>
      <c r="G8704" s="14"/>
      <c r="H8704" s="19">
        <v>1</v>
      </c>
      <c r="I8704" s="14"/>
      <c r="J8704" t="s" s="11">
        <v>20</v>
      </c>
      <c r="K8704" t="s" s="16">
        <f>HYPERLINK("http://csr.bu.edu/ftp/asl/asllvd/demos/verify_start_end_handshape_annotations//test_auto_move//signs_mov/15795.mov","MOV")</f>
        <v>21</v>
      </c>
      <c r="L8704" t="s" s="16">
        <f>HYPERLINK("http://csr.bu.edu/ftp/asl/asllvd/demos/verify_start_end_handshape_annotations//test_auto_move//signs_mov_separ_signers/Tyler_15795.mov","MOV")</f>
        <v>21</v>
      </c>
      <c r="M8704" t="s" s="10">
        <v>26</v>
      </c>
      <c r="N8704" s="17">
        <v>14</v>
      </c>
      <c r="O8704" s="18">
        <v>1900</v>
      </c>
      <c r="P8704" s="18">
        <v>1940</v>
      </c>
      <c r="Q8704" t="s" s="16">
        <f>HYPERLINK("http://secrets.rutgers.edu:8080/data/asl-ftp/asllvd/demos/verify_start_end_handshape_annotations//test_auto_move//signs_mov/15795.mov","MOV")</f>
        <v>21</v>
      </c>
      <c r="R8704" t="s" s="16">
        <f>HYPERLINK("http://secrets.rutgers.edu:8080/data/asl-ftp/asllvd/demos/verify_start_end_handshape_annotations//test_auto_move//signs_mov_separ_signers/Tyler_15795.mov","MOV")</f>
        <v>21</v>
      </c>
    </row>
    <row r="8705" s="2" customFormat="1" ht="13.5" customHeight="1">
      <c r="B8705" t="s" s="8">
        <v>52</v>
      </c>
      <c r="C8705" t="s" s="9">
        <v>53</v>
      </c>
      <c r="D8705" t="s" s="8">
        <v>53</v>
      </c>
      <c r="E8705" t="s" s="9">
        <v>53</v>
      </c>
      <c r="F8705" t="s" s="10">
        <v>53</v>
      </c>
      <c r="G8705" t="s" s="11">
        <v>53</v>
      </c>
      <c r="H8705" t="s" s="10">
        <v>53</v>
      </c>
      <c r="I8705" t="s" s="11">
        <v>53</v>
      </c>
      <c r="J8705" t="s" s="11">
        <v>53</v>
      </c>
      <c r="K8705" t="s" s="12">
        <v>53</v>
      </c>
      <c r="L8705" t="s" s="12">
        <v>53</v>
      </c>
      <c r="M8705" t="s" s="10">
        <v>53</v>
      </c>
      <c r="N8705" t="s" s="11">
        <v>53</v>
      </c>
      <c r="O8705" t="s" s="8">
        <v>53</v>
      </c>
      <c r="P8705" t="s" s="8">
        <v>53</v>
      </c>
      <c r="Q8705" t="s" s="12">
        <v>53</v>
      </c>
      <c r="R8705" t="s" s="12">
        <v>53</v>
      </c>
    </row>
    <row r="8706" s="2" customFormat="1" ht="13.5" customHeight="1">
      <c r="B8706" s="13"/>
      <c r="C8706" t="s" s="9">
        <v>30</v>
      </c>
      <c r="D8706" t="s" s="8">
        <v>3163</v>
      </c>
      <c r="E8706" t="s" s="9">
        <v>3166</v>
      </c>
      <c r="F8706" t="s" s="10">
        <v>158</v>
      </c>
      <c r="G8706" s="17">
        <v>1</v>
      </c>
      <c r="H8706" t="s" s="10">
        <v>158</v>
      </c>
      <c r="I8706" s="17">
        <v>1</v>
      </c>
      <c r="J8706" t="s" s="11">
        <v>20</v>
      </c>
      <c r="K8706" t="s" s="16">
        <f>HYPERLINK("http://csr.bu.edu/ftp/asl/asllvd/demos/verify_start_end_handshape_annotations//test_auto_move//signs_mov/15796.mov","MOV")</f>
        <v>21</v>
      </c>
      <c r="L8706" t="s" s="16">
        <f>HYPERLINK("http://csr.bu.edu/ftp/asl/asllvd/demos/verify_start_end_handshape_annotations//test_auto_move//signs_mov_separ_signers/Brady_15796.mov","MOV")</f>
        <v>21</v>
      </c>
      <c r="M8706" t="s" s="10">
        <v>31</v>
      </c>
      <c r="N8706" s="17">
        <v>13</v>
      </c>
      <c r="O8706" s="18">
        <v>1766</v>
      </c>
      <c r="P8706" s="18">
        <v>1830</v>
      </c>
      <c r="Q8706" t="s" s="16">
        <f>HYPERLINK("http://secrets.rutgers.edu:8080/data/asl-ftp/asllvd/demos/verify_start_end_handshape_annotations//test_auto_move//signs_mov/15796.mov","MOV")</f>
        <v>21</v>
      </c>
      <c r="R8706" t="s" s="16">
        <f>HYPERLINK("http://secrets.rutgers.edu:8080/data/asl-ftp/asllvd/demos/verify_start_end_handshape_annotations//test_auto_move//signs_mov_separ_signers/Brady_15796.mov","MOV")</f>
        <v>21</v>
      </c>
    </row>
    <row r="8707" s="2" customFormat="1" ht="13.5" customHeight="1">
      <c r="B8707" t="s" s="8">
        <v>3167</v>
      </c>
      <c r="C8707" t="s" s="9">
        <v>14</v>
      </c>
      <c r="D8707" t="s" s="8">
        <v>14</v>
      </c>
      <c r="E8707" t="s" s="9">
        <v>14</v>
      </c>
      <c r="F8707" t="s" s="10">
        <v>14</v>
      </c>
      <c r="G8707" t="s" s="11">
        <v>14</v>
      </c>
      <c r="H8707" t="s" s="10">
        <v>14</v>
      </c>
      <c r="I8707" t="s" s="11">
        <v>14</v>
      </c>
      <c r="J8707" t="s" s="11">
        <v>14</v>
      </c>
      <c r="K8707" t="s" s="12">
        <v>14</v>
      </c>
      <c r="L8707" t="s" s="12">
        <v>14</v>
      </c>
      <c r="M8707" t="s" s="10">
        <v>14</v>
      </c>
      <c r="N8707" t="s" s="11">
        <v>14</v>
      </c>
      <c r="O8707" t="s" s="8">
        <v>14</v>
      </c>
      <c r="P8707" t="s" s="8">
        <v>14</v>
      </c>
      <c r="Q8707" t="s" s="12">
        <v>14</v>
      </c>
      <c r="R8707" t="s" s="12">
        <v>14</v>
      </c>
    </row>
    <row r="8708" s="2" customFormat="1" ht="13.5" customHeight="1">
      <c r="B8708" s="13"/>
      <c r="C8708" t="s" s="9">
        <v>16</v>
      </c>
      <c r="D8708" t="s" s="8">
        <v>3167</v>
      </c>
      <c r="E8708" t="s" s="9">
        <v>3167</v>
      </c>
      <c r="F8708" s="19">
        <v>1</v>
      </c>
      <c r="G8708" s="17">
        <v>1</v>
      </c>
      <c r="H8708" s="19">
        <v>1</v>
      </c>
      <c r="I8708" s="17">
        <v>1</v>
      </c>
      <c r="J8708" t="s" s="11">
        <v>20</v>
      </c>
      <c r="K8708" s="15"/>
      <c r="L8708" t="s" s="16">
        <f>HYPERLINK("http://csr.bu.edu/ftp/asl/asllvd/demos/verify_start_end_handshape_annotations//test_auto_move//signs_mov_separ_signers/Liz_15865.mov","MOV")</f>
        <v>21</v>
      </c>
      <c r="M8708" t="s" s="10">
        <v>59</v>
      </c>
      <c r="N8708" s="17">
        <v>24</v>
      </c>
      <c r="O8708" s="18">
        <v>2246</v>
      </c>
      <c r="P8708" s="18">
        <v>2314</v>
      </c>
      <c r="Q8708" s="15"/>
      <c r="R8708" t="s" s="16">
        <f>HYPERLINK("http://secrets.rutgers.edu:8080/data/asl-ftp/asllvd/demos/verify_start_end_handshape_annotations//test_auto_move//signs_mov_separ_signers/Liz_15865.mov","MOV")</f>
        <v>21</v>
      </c>
    </row>
    <row r="8709" s="2" customFormat="1" ht="13.5" customHeight="1">
      <c r="B8709" s="13"/>
      <c r="C8709" t="s" s="9">
        <v>16</v>
      </c>
      <c r="D8709" t="s" s="8">
        <v>3167</v>
      </c>
      <c r="E8709" t="s" s="9">
        <v>3167</v>
      </c>
      <c r="F8709" t="s" s="10">
        <v>268</v>
      </c>
      <c r="G8709" t="s" s="11">
        <v>268</v>
      </c>
      <c r="H8709" t="s" s="10">
        <v>268</v>
      </c>
      <c r="I8709" t="s" s="11">
        <v>268</v>
      </c>
      <c r="J8709" t="s" s="11">
        <v>20</v>
      </c>
      <c r="K8709" s="15"/>
      <c r="L8709" t="s" s="16">
        <f>HYPERLINK("http://csr.bu.edu/ftp/asl/asllvd/demos/verify_start_end_handshape_annotations//test_auto_move//signs_mov_separ_signers/Liz_15890.mov","MOV")</f>
        <v>21</v>
      </c>
      <c r="M8709" t="s" s="10">
        <v>59</v>
      </c>
      <c r="N8709" s="17">
        <v>25</v>
      </c>
      <c r="O8709" s="18">
        <v>1120</v>
      </c>
      <c r="P8709" s="18">
        <v>1170</v>
      </c>
      <c r="Q8709" s="15"/>
      <c r="R8709" t="s" s="16">
        <f>HYPERLINK("http://secrets.rutgers.edu:8080/data/asl-ftp/asllvd/demos/verify_start_end_handshape_annotations//test_auto_move//signs_mov_separ_signers/Liz_15890.mov","MOV")</f>
        <v>21</v>
      </c>
    </row>
    <row r="8710" s="2" customFormat="1" ht="13.5" customHeight="1">
      <c r="B8710" s="13"/>
      <c r="C8710" t="s" s="9">
        <v>30</v>
      </c>
      <c r="D8710" t="s" s="8">
        <v>3167</v>
      </c>
      <c r="E8710" t="s" s="9">
        <v>3167</v>
      </c>
      <c r="F8710" t="s" s="10">
        <v>268</v>
      </c>
      <c r="G8710" s="17">
        <v>1</v>
      </c>
      <c r="H8710" t="s" s="10">
        <v>268</v>
      </c>
      <c r="I8710" s="17">
        <v>1</v>
      </c>
      <c r="J8710" t="s" s="11">
        <v>20</v>
      </c>
      <c r="K8710" t="s" s="16">
        <f>HYPERLINK("http://csr.bu.edu/ftp/asl/asllvd/demos/verify_start_end_handshape_annotations//test_auto_move//signs_mov/15865_15890_15891_merged.mov","MOV")</f>
        <v>21</v>
      </c>
      <c r="L8710" t="s" s="16">
        <f>HYPERLINK("http://csr.bu.edu/ftp/asl/asllvd/demos/verify_start_end_handshape_annotations//test_auto_move//signs_mov_separ_signers/Brady_15865.mov","MOV")</f>
        <v>21</v>
      </c>
      <c r="M8710" t="s" s="10">
        <v>60</v>
      </c>
      <c r="N8710" s="17">
        <v>13</v>
      </c>
      <c r="O8710" s="18">
        <v>804</v>
      </c>
      <c r="P8710" s="18">
        <v>857</v>
      </c>
      <c r="Q8710" t="s" s="16">
        <f>HYPERLINK("http://secrets.rutgers.edu:8080/data/asl-ftp/asllvd/demos/verify_start_end_handshape_annotations//test_auto_move//signs_mov/15865_15890_15891_merged.mov","MOV")</f>
        <v>21</v>
      </c>
      <c r="R8710" t="s" s="16">
        <f>HYPERLINK("http://secrets.rutgers.edu:8080/data/asl-ftp/asllvd/demos/verify_start_end_handshape_annotations//test_auto_move//signs_mov_separ_signers/Brady_15865.mov","MOV")</f>
        <v>21</v>
      </c>
    </row>
    <row r="8711" s="2" customFormat="1" ht="13.5" customHeight="1">
      <c r="B8711" s="13"/>
      <c r="C8711" t="s" s="9">
        <v>30</v>
      </c>
      <c r="D8711" t="s" s="8">
        <v>3167</v>
      </c>
      <c r="E8711" t="s" s="9">
        <v>3167</v>
      </c>
      <c r="F8711" t="s" s="10">
        <v>268</v>
      </c>
      <c r="G8711" s="17">
        <v>1</v>
      </c>
      <c r="H8711" t="s" s="10">
        <v>268</v>
      </c>
      <c r="I8711" s="17">
        <v>1</v>
      </c>
      <c r="J8711" t="s" s="11">
        <v>20</v>
      </c>
      <c r="K8711" s="15"/>
      <c r="L8711" t="s" s="16">
        <f>HYPERLINK("http://csr.bu.edu/ftp/asl/asllvd/demos/verify_start_end_handshape_annotations//test_auto_move//signs_mov_separ_signers/Brady_15890.mov","MOV")</f>
        <v>21</v>
      </c>
      <c r="M8711" t="s" s="10">
        <v>60</v>
      </c>
      <c r="N8711" s="17">
        <v>13</v>
      </c>
      <c r="O8711" s="18">
        <v>1178</v>
      </c>
      <c r="P8711" s="18">
        <v>1230</v>
      </c>
      <c r="Q8711" s="15"/>
      <c r="R8711" t="s" s="16">
        <f>HYPERLINK("http://secrets.rutgers.edu:8080/data/asl-ftp/asllvd/demos/verify_start_end_handshape_annotations//test_auto_move//signs_mov_separ_signers/Brady_15890.mov","MOV")</f>
        <v>21</v>
      </c>
    </row>
    <row r="8712" s="2" customFormat="1" ht="13.5" customHeight="1">
      <c r="B8712" s="13"/>
      <c r="C8712" t="s" s="9">
        <v>30</v>
      </c>
      <c r="D8712" t="s" s="8">
        <v>3167</v>
      </c>
      <c r="E8712" t="s" s="9">
        <v>3167</v>
      </c>
      <c r="F8712" s="19">
        <v>1</v>
      </c>
      <c r="G8712" s="17">
        <v>1</v>
      </c>
      <c r="H8712" s="19">
        <v>1</v>
      </c>
      <c r="I8712" s="17">
        <v>1</v>
      </c>
      <c r="J8712" t="s" s="11">
        <v>20</v>
      </c>
      <c r="K8712" s="15"/>
      <c r="L8712" t="s" s="16">
        <f>HYPERLINK("http://csr.bu.edu/ftp/asl/asllvd/demos/verify_start_end_handshape_annotations//test_auto_move//signs_mov_separ_signers/Brady_15891.mov","MOV")</f>
        <v>21</v>
      </c>
      <c r="M8712" t="s" s="10">
        <v>60</v>
      </c>
      <c r="N8712" s="17">
        <v>56</v>
      </c>
      <c r="O8712" s="18">
        <v>1025</v>
      </c>
      <c r="P8712" s="18">
        <v>1079</v>
      </c>
      <c r="Q8712" s="15"/>
      <c r="R8712" t="s" s="16">
        <f>HYPERLINK("http://secrets.rutgers.edu:8080/data/asl-ftp/asllvd/demos/verify_start_end_handshape_annotations//test_auto_move//signs_mov_separ_signers/Brady_15891.mov","MOV")</f>
        <v>21</v>
      </c>
    </row>
    <row r="8713" s="2" customFormat="1" ht="13.5" customHeight="1">
      <c r="B8713" t="s" s="8">
        <v>52</v>
      </c>
      <c r="C8713" t="s" s="9">
        <v>53</v>
      </c>
      <c r="D8713" t="s" s="8">
        <v>53</v>
      </c>
      <c r="E8713" t="s" s="9">
        <v>53</v>
      </c>
      <c r="F8713" t="s" s="10">
        <v>53</v>
      </c>
      <c r="G8713" t="s" s="11">
        <v>53</v>
      </c>
      <c r="H8713" t="s" s="10">
        <v>53</v>
      </c>
      <c r="I8713" t="s" s="11">
        <v>53</v>
      </c>
      <c r="J8713" t="s" s="11">
        <v>53</v>
      </c>
      <c r="K8713" t="s" s="12">
        <v>53</v>
      </c>
      <c r="L8713" t="s" s="12">
        <v>53</v>
      </c>
      <c r="M8713" t="s" s="10">
        <v>53</v>
      </c>
      <c r="N8713" t="s" s="11">
        <v>53</v>
      </c>
      <c r="O8713" t="s" s="8">
        <v>53</v>
      </c>
      <c r="P8713" t="s" s="8">
        <v>53</v>
      </c>
      <c r="Q8713" t="s" s="12">
        <v>53</v>
      </c>
      <c r="R8713" t="s" s="12">
        <v>53</v>
      </c>
    </row>
    <row r="8714" s="2" customFormat="1" ht="27.75" customHeight="1">
      <c r="B8714" s="13"/>
      <c r="C8714" t="s" s="9">
        <v>16</v>
      </c>
      <c r="D8714" t="s" s="8">
        <v>3167</v>
      </c>
      <c r="E8714" t="s" s="9">
        <v>3168</v>
      </c>
      <c r="F8714" s="19">
        <v>1</v>
      </c>
      <c r="G8714" s="14"/>
      <c r="H8714" s="19">
        <v>1</v>
      </c>
      <c r="I8714" s="14"/>
      <c r="J8714" t="s" s="11">
        <v>20</v>
      </c>
      <c r="K8714" t="s" s="16">
        <f>HYPERLINK("http://csr.bu.edu/ftp/asl/asllvd/demos/verify_start_end_handshape_annotations//test_auto_move//signs_mov/15892.mov","MOV")</f>
        <v>21</v>
      </c>
      <c r="L8714" t="s" s="16">
        <f>HYPERLINK("http://csr.bu.edu/ftp/asl/asllvd/demos/verify_start_end_handshape_annotations//test_auto_move//signs_mov_separ_signers/Liz_15892.mov","MOV")</f>
        <v>21</v>
      </c>
      <c r="M8714" t="s" s="10">
        <v>59</v>
      </c>
      <c r="N8714" s="17">
        <v>24</v>
      </c>
      <c r="O8714" s="18">
        <v>2548</v>
      </c>
      <c r="P8714" s="18">
        <v>2584</v>
      </c>
      <c r="Q8714" t="s" s="16">
        <f>HYPERLINK("http://secrets.rutgers.edu:8080/data/asl-ftp/asllvd/demos/verify_start_end_handshape_annotations//test_auto_move//signs_mov/15892.mov","MOV")</f>
        <v>21</v>
      </c>
      <c r="R8714" t="s" s="16">
        <f>HYPERLINK("http://secrets.rutgers.edu:8080/data/asl-ftp/asllvd/demos/verify_start_end_handshape_annotations//test_auto_move//signs_mov_separ_signers/Liz_15892.mov","MOV")</f>
        <v>21</v>
      </c>
    </row>
    <row r="8715" s="2" customFormat="1" ht="13.5" customHeight="1">
      <c r="B8715" t="s" s="8">
        <v>3169</v>
      </c>
      <c r="C8715" t="s" s="9">
        <v>14</v>
      </c>
      <c r="D8715" t="s" s="8">
        <v>14</v>
      </c>
      <c r="E8715" t="s" s="9">
        <v>14</v>
      </c>
      <c r="F8715" t="s" s="10">
        <v>14</v>
      </c>
      <c r="G8715" t="s" s="11">
        <v>14</v>
      </c>
      <c r="H8715" t="s" s="10">
        <v>14</v>
      </c>
      <c r="I8715" t="s" s="11">
        <v>14</v>
      </c>
      <c r="J8715" t="s" s="11">
        <v>14</v>
      </c>
      <c r="K8715" t="s" s="12">
        <v>14</v>
      </c>
      <c r="L8715" t="s" s="12">
        <v>14</v>
      </c>
      <c r="M8715" t="s" s="10">
        <v>14</v>
      </c>
      <c r="N8715" t="s" s="11">
        <v>14</v>
      </c>
      <c r="O8715" t="s" s="8">
        <v>14</v>
      </c>
      <c r="P8715" t="s" s="8">
        <v>14</v>
      </c>
      <c r="Q8715" t="s" s="12">
        <v>14</v>
      </c>
      <c r="R8715" t="s" s="12">
        <v>14</v>
      </c>
    </row>
    <row r="8716" s="2" customFormat="1" ht="13.5" customHeight="1">
      <c r="B8716" s="13"/>
      <c r="C8716" t="s" s="9">
        <v>16</v>
      </c>
      <c r="D8716" t="s" s="8">
        <v>3169</v>
      </c>
      <c r="E8716" t="s" s="9">
        <v>3169</v>
      </c>
      <c r="F8716" t="s" s="10">
        <v>68</v>
      </c>
      <c r="G8716" s="14"/>
      <c r="H8716" t="s" s="10">
        <v>268</v>
      </c>
      <c r="I8716" s="14"/>
      <c r="J8716" t="s" s="11">
        <v>20</v>
      </c>
      <c r="K8716" t="s" s="16">
        <f>HYPERLINK("http://csr.bu.edu/ftp/asl/asllvd/demos/verify_start_end_handshape_annotations//test_auto_move//signs_mov/2377.mov","MOV")</f>
        <v>21</v>
      </c>
      <c r="L8716" t="s" s="16">
        <f>HYPERLINK("http://csr.bu.edu/ftp/asl/asllvd/demos/verify_start_end_handshape_annotations//test_auto_move//signs_mov_separ_signers/Liz_2377.mov","MOV")</f>
        <v>21</v>
      </c>
      <c r="M8716" t="s" s="10">
        <v>36</v>
      </c>
      <c r="N8716" s="17">
        <v>41</v>
      </c>
      <c r="O8716" s="18">
        <v>2400</v>
      </c>
      <c r="P8716" s="18">
        <v>2430</v>
      </c>
      <c r="Q8716" t="s" s="16">
        <f>HYPERLINK("http://secrets.rutgers.edu:8080/data/asl-ftp/asllvd/demos/verify_start_end_handshape_annotations//test_auto_move//signs_mov/2377.mov","MOV")</f>
        <v>21</v>
      </c>
      <c r="R8716" t="s" s="16">
        <f>HYPERLINK("http://secrets.rutgers.edu:8080/data/asl-ftp/asllvd/demos/verify_start_end_handshape_annotations//test_auto_move//signs_mov_separ_signers/Liz_2377.mov","MOV")</f>
        <v>21</v>
      </c>
    </row>
    <row r="8717" s="2" customFormat="1" ht="13.5" customHeight="1">
      <c r="B8717" s="13"/>
      <c r="C8717" t="s" s="9">
        <v>30</v>
      </c>
      <c r="D8717" t="s" s="8">
        <v>3169</v>
      </c>
      <c r="E8717" t="s" s="9">
        <v>3169</v>
      </c>
      <c r="F8717" t="s" s="10">
        <v>68</v>
      </c>
      <c r="G8717" s="14"/>
      <c r="H8717" t="s" s="10">
        <v>268</v>
      </c>
      <c r="I8717" s="14"/>
      <c r="J8717" t="s" s="11">
        <v>20</v>
      </c>
      <c r="K8717" s="15"/>
      <c r="L8717" t="s" s="16">
        <f>HYPERLINK("http://csr.bu.edu/ftp/asl/asllvd/demos/verify_start_end_handshape_annotations//test_auto_move//signs_mov_separ_signers/Brady_2377.mov","MOV")</f>
        <v>21</v>
      </c>
      <c r="M8717" t="s" s="10">
        <v>40</v>
      </c>
      <c r="N8717" s="17">
        <v>94</v>
      </c>
      <c r="O8717" s="18">
        <v>47</v>
      </c>
      <c r="P8717" s="18">
        <v>66</v>
      </c>
      <c r="Q8717" s="15"/>
      <c r="R8717" t="s" s="16">
        <f>HYPERLINK("http://secrets.rutgers.edu:8080/data/asl-ftp/asllvd/demos/verify_start_end_handshape_annotations//test_auto_move//signs_mov_separ_signers/Brady_2377.mov","MOV")</f>
        <v>21</v>
      </c>
    </row>
    <row r="8718" s="2" customFormat="1" ht="13.5" customHeight="1">
      <c r="B8718" t="s" s="8">
        <v>3170</v>
      </c>
      <c r="C8718" t="s" s="9">
        <v>14</v>
      </c>
      <c r="D8718" t="s" s="8">
        <v>14</v>
      </c>
      <c r="E8718" t="s" s="9">
        <v>14</v>
      </c>
      <c r="F8718" t="s" s="10">
        <v>14</v>
      </c>
      <c r="G8718" t="s" s="11">
        <v>14</v>
      </c>
      <c r="H8718" t="s" s="10">
        <v>14</v>
      </c>
      <c r="I8718" t="s" s="11">
        <v>14</v>
      </c>
      <c r="J8718" t="s" s="11">
        <v>14</v>
      </c>
      <c r="K8718" t="s" s="12">
        <v>14</v>
      </c>
      <c r="L8718" t="s" s="12">
        <v>14</v>
      </c>
      <c r="M8718" t="s" s="10">
        <v>14</v>
      </c>
      <c r="N8718" t="s" s="11">
        <v>14</v>
      </c>
      <c r="O8718" t="s" s="8">
        <v>14</v>
      </c>
      <c r="P8718" t="s" s="8">
        <v>14</v>
      </c>
      <c r="Q8718" t="s" s="12">
        <v>14</v>
      </c>
      <c r="R8718" t="s" s="12">
        <v>14</v>
      </c>
    </row>
    <row r="8719" s="2" customFormat="1" ht="13.5" customHeight="1">
      <c r="B8719" s="13"/>
      <c r="C8719" t="s" s="9">
        <v>16</v>
      </c>
      <c r="D8719" t="s" s="8">
        <v>3170</v>
      </c>
      <c r="E8719" t="s" s="9">
        <v>3171</v>
      </c>
      <c r="F8719" t="s" s="10">
        <v>70</v>
      </c>
      <c r="G8719" t="s" s="11">
        <v>70</v>
      </c>
      <c r="H8719" t="s" s="10">
        <v>268</v>
      </c>
      <c r="I8719" t="s" s="11">
        <v>268</v>
      </c>
      <c r="J8719" t="s" s="11">
        <v>20</v>
      </c>
      <c r="K8719" t="s" s="16">
        <f>HYPERLINK("http://csr.bu.edu/ftp/asl/asllvd/demos/verify_start_end_handshape_annotations//test_auto_move//signs_mov/15975.mov","MOV")</f>
        <v>21</v>
      </c>
      <c r="L8719" t="s" s="16">
        <f>HYPERLINK("http://csr.bu.edu/ftp/asl/asllvd/demos/verify_start_end_handshape_annotations//test_auto_move//signs_mov_separ_signers/Liz_15975.mov","MOV")</f>
        <v>21</v>
      </c>
      <c r="M8719" t="s" s="10">
        <v>77</v>
      </c>
      <c r="N8719" s="17">
        <v>9</v>
      </c>
      <c r="O8719" s="18">
        <v>2630</v>
      </c>
      <c r="P8719" s="18">
        <v>2680</v>
      </c>
      <c r="Q8719" t="s" s="16">
        <f>HYPERLINK("http://secrets.rutgers.edu:8080/data/asl-ftp/asllvd/demos/verify_start_end_handshape_annotations//test_auto_move//signs_mov/15975.mov","MOV")</f>
        <v>21</v>
      </c>
      <c r="R8719" t="s" s="16">
        <f>HYPERLINK("http://secrets.rutgers.edu:8080/data/asl-ftp/asllvd/demos/verify_start_end_handshape_annotations//test_auto_move//signs_mov_separ_signers/Liz_15975.mov","MOV")</f>
        <v>21</v>
      </c>
    </row>
    <row r="8720" s="2" customFormat="1" ht="13.5" customHeight="1">
      <c r="B8720" s="13"/>
      <c r="C8720" t="s" s="9">
        <v>30</v>
      </c>
      <c r="D8720" t="s" s="8">
        <v>3170</v>
      </c>
      <c r="E8720" t="s" s="9">
        <v>3171</v>
      </c>
      <c r="F8720" t="s" s="10">
        <v>68</v>
      </c>
      <c r="G8720" t="s" s="11">
        <v>68</v>
      </c>
      <c r="H8720" s="19">
        <v>1</v>
      </c>
      <c r="I8720" s="17">
        <v>1</v>
      </c>
      <c r="J8720" t="s" s="11">
        <v>20</v>
      </c>
      <c r="K8720" s="15"/>
      <c r="L8720" t="s" s="16">
        <f>HYPERLINK("http://csr.bu.edu/ftp/asl/asllvd/demos/verify_start_end_handshape_annotations//test_auto_move//signs_mov_separ_signers/Brady_15975.mov","MOV")</f>
        <v>21</v>
      </c>
      <c r="M8720" t="s" s="10">
        <v>40</v>
      </c>
      <c r="N8720" s="17">
        <v>110</v>
      </c>
      <c r="O8720" s="18">
        <v>116</v>
      </c>
      <c r="P8720" s="18">
        <v>154</v>
      </c>
      <c r="Q8720" s="15"/>
      <c r="R8720" t="s" s="16">
        <f>HYPERLINK("http://secrets.rutgers.edu:8080/data/asl-ftp/asllvd/demos/verify_start_end_handshape_annotations//test_auto_move//signs_mov_separ_signers/Brady_15975.mov","MOV")</f>
        <v>21</v>
      </c>
    </row>
    <row r="8721" s="2" customFormat="1" ht="13.5" customHeight="1">
      <c r="B8721" t="s" s="8">
        <v>52</v>
      </c>
      <c r="C8721" t="s" s="9">
        <v>53</v>
      </c>
      <c r="D8721" t="s" s="8">
        <v>53</v>
      </c>
      <c r="E8721" t="s" s="9">
        <v>53</v>
      </c>
      <c r="F8721" t="s" s="10">
        <v>53</v>
      </c>
      <c r="G8721" t="s" s="11">
        <v>53</v>
      </c>
      <c r="H8721" t="s" s="10">
        <v>53</v>
      </c>
      <c r="I8721" t="s" s="11">
        <v>53</v>
      </c>
      <c r="J8721" t="s" s="11">
        <v>53</v>
      </c>
      <c r="K8721" t="s" s="12">
        <v>53</v>
      </c>
      <c r="L8721" t="s" s="12">
        <v>53</v>
      </c>
      <c r="M8721" t="s" s="10">
        <v>53</v>
      </c>
      <c r="N8721" t="s" s="11">
        <v>53</v>
      </c>
      <c r="O8721" t="s" s="8">
        <v>53</v>
      </c>
      <c r="P8721" t="s" s="8">
        <v>53</v>
      </c>
      <c r="Q8721" t="s" s="12">
        <v>53</v>
      </c>
      <c r="R8721" t="s" s="12">
        <v>53</v>
      </c>
    </row>
    <row r="8722" s="2" customFormat="1" ht="13.5" customHeight="1">
      <c r="B8722" s="13"/>
      <c r="C8722" t="s" s="9">
        <v>16</v>
      </c>
      <c r="D8722" t="s" s="8">
        <v>3170</v>
      </c>
      <c r="E8722" t="s" s="9">
        <v>3172</v>
      </c>
      <c r="F8722" t="s" s="10">
        <v>70</v>
      </c>
      <c r="G8722" s="14"/>
      <c r="H8722" s="19">
        <v>1</v>
      </c>
      <c r="I8722" s="14"/>
      <c r="J8722" t="s" s="11">
        <v>20</v>
      </c>
      <c r="K8722" t="s" s="16">
        <f>HYPERLINK("http://csr.bu.edu/ftp/asl/asllvd/demos/verify_start_end_handshape_annotations//test_auto_move//signs_mov/15983.mov","MOV")</f>
        <v>21</v>
      </c>
      <c r="L8722" t="s" s="16">
        <f>HYPERLINK("http://csr.bu.edu/ftp/asl/asllvd/demos/verify_start_end_handshape_annotations//test_auto_move//signs_mov_separ_signers/Liz_15983.mov","MOV")</f>
        <v>21</v>
      </c>
      <c r="M8722" t="s" s="10">
        <v>59</v>
      </c>
      <c r="N8722" s="17">
        <v>5</v>
      </c>
      <c r="O8722" s="18">
        <v>2035</v>
      </c>
      <c r="P8722" s="18">
        <v>2080</v>
      </c>
      <c r="Q8722" t="s" s="16">
        <f>HYPERLINK("http://secrets.rutgers.edu:8080/data/asl-ftp/asllvd/demos/verify_start_end_handshape_annotations//test_auto_move//signs_mov/15983.mov","MOV")</f>
        <v>21</v>
      </c>
      <c r="R8722" t="s" s="16">
        <f>HYPERLINK("http://secrets.rutgers.edu:8080/data/asl-ftp/asllvd/demos/verify_start_end_handshape_annotations//test_auto_move//signs_mov_separ_signers/Liz_15983.mov","MOV")</f>
        <v>21</v>
      </c>
    </row>
    <row r="8723" s="2" customFormat="1" ht="13.5" customHeight="1">
      <c r="B8723" s="13"/>
      <c r="C8723" t="s" s="9">
        <v>30</v>
      </c>
      <c r="D8723" t="s" s="8">
        <v>3170</v>
      </c>
      <c r="E8723" t="s" s="9">
        <v>3173</v>
      </c>
      <c r="F8723" t="s" s="10">
        <v>70</v>
      </c>
      <c r="G8723" s="14"/>
      <c r="H8723" s="19">
        <v>1</v>
      </c>
      <c r="I8723" s="14"/>
      <c r="J8723" t="s" s="11">
        <v>20</v>
      </c>
      <c r="K8723" s="15"/>
      <c r="L8723" t="s" s="16">
        <f>HYPERLINK("http://csr.bu.edu/ftp/asl/asllvd/demos/verify_start_end_handshape_annotations//test_auto_move//signs_mov_separ_signers/Brady_15983.mov","MOV")</f>
        <v>21</v>
      </c>
      <c r="M8723" t="s" s="10">
        <v>40</v>
      </c>
      <c r="N8723" s="17">
        <v>109</v>
      </c>
      <c r="O8723" s="18">
        <v>3041</v>
      </c>
      <c r="P8723" s="18">
        <v>3098</v>
      </c>
      <c r="Q8723" s="15"/>
      <c r="R8723" t="s" s="16">
        <f>HYPERLINK("http://secrets.rutgers.edu:8080/data/asl-ftp/asllvd/demos/verify_start_end_handshape_annotations//test_auto_move//signs_mov_separ_signers/Brady_15983.mov","MOV")</f>
        <v>21</v>
      </c>
    </row>
    <row r="8724" s="2" customFormat="1" ht="13.5" customHeight="1">
      <c r="B8724" t="s" s="8">
        <v>3174</v>
      </c>
      <c r="C8724" t="s" s="9">
        <v>14</v>
      </c>
      <c r="D8724" t="s" s="8">
        <v>14</v>
      </c>
      <c r="E8724" t="s" s="9">
        <v>14</v>
      </c>
      <c r="F8724" t="s" s="10">
        <v>14</v>
      </c>
      <c r="G8724" t="s" s="11">
        <v>14</v>
      </c>
      <c r="H8724" t="s" s="10">
        <v>14</v>
      </c>
      <c r="I8724" t="s" s="11">
        <v>14</v>
      </c>
      <c r="J8724" t="s" s="11">
        <v>14</v>
      </c>
      <c r="K8724" t="s" s="12">
        <v>14</v>
      </c>
      <c r="L8724" t="s" s="12">
        <v>14</v>
      </c>
      <c r="M8724" t="s" s="10">
        <v>14</v>
      </c>
      <c r="N8724" t="s" s="11">
        <v>14</v>
      </c>
      <c r="O8724" t="s" s="8">
        <v>14</v>
      </c>
      <c r="P8724" t="s" s="8">
        <v>14</v>
      </c>
      <c r="Q8724" t="s" s="12">
        <v>14</v>
      </c>
      <c r="R8724" t="s" s="12">
        <v>14</v>
      </c>
    </row>
    <row r="8725" s="2" customFormat="1" ht="13.5" customHeight="1">
      <c r="B8725" s="13"/>
      <c r="C8725" t="s" s="9">
        <v>16</v>
      </c>
      <c r="D8725" t="s" s="8">
        <v>3174</v>
      </c>
      <c r="E8725" t="s" s="9">
        <v>3174</v>
      </c>
      <c r="F8725" t="s" s="10">
        <v>1352</v>
      </c>
      <c r="G8725" t="s" s="11">
        <v>105</v>
      </c>
      <c r="H8725" t="s" s="10">
        <v>1352</v>
      </c>
      <c r="I8725" t="s" s="11">
        <v>105</v>
      </c>
      <c r="J8725" t="s" s="11">
        <v>20</v>
      </c>
      <c r="K8725" t="s" s="16">
        <f>HYPERLINK("http://csr.bu.edu/ftp/asl/asllvd/demos/verify_start_end_handshape_annotations//test_auto_move//signs_mov/2380.mov","MOV")</f>
        <v>21</v>
      </c>
      <c r="L8725" t="s" s="16">
        <f>HYPERLINK("http://csr.bu.edu/ftp/asl/asllvd/demos/verify_start_end_handshape_annotations//test_auto_move//signs_mov_separ_signers/Liz_2380.mov","MOV")</f>
        <v>21</v>
      </c>
      <c r="M8725" t="s" s="10">
        <v>36</v>
      </c>
      <c r="N8725" s="17">
        <v>42</v>
      </c>
      <c r="O8725" s="18">
        <v>318</v>
      </c>
      <c r="P8725" s="18">
        <v>365</v>
      </c>
      <c r="Q8725" t="s" s="16">
        <f>HYPERLINK("http://secrets.rutgers.edu:8080/data/asl-ftp/asllvd/demos/verify_start_end_handshape_annotations//test_auto_move//signs_mov/2380.mov","MOV")</f>
        <v>21</v>
      </c>
      <c r="R8725" t="s" s="16">
        <f>HYPERLINK("http://secrets.rutgers.edu:8080/data/asl-ftp/asllvd/demos/verify_start_end_handshape_annotations//test_auto_move//signs_mov_separ_signers/Liz_2380.mov","MOV")</f>
        <v>21</v>
      </c>
    </row>
    <row r="8726" s="2" customFormat="1" ht="13.5" customHeight="1">
      <c r="B8726" t="s" s="8">
        <v>52</v>
      </c>
      <c r="C8726" t="s" s="9">
        <v>53</v>
      </c>
      <c r="D8726" t="s" s="8">
        <v>53</v>
      </c>
      <c r="E8726" t="s" s="9">
        <v>53</v>
      </c>
      <c r="F8726" t="s" s="10">
        <v>53</v>
      </c>
      <c r="G8726" t="s" s="11">
        <v>53</v>
      </c>
      <c r="H8726" t="s" s="10">
        <v>53</v>
      </c>
      <c r="I8726" t="s" s="11">
        <v>53</v>
      </c>
      <c r="J8726" t="s" s="11">
        <v>53</v>
      </c>
      <c r="K8726" t="s" s="12">
        <v>53</v>
      </c>
      <c r="L8726" t="s" s="12">
        <v>53</v>
      </c>
      <c r="M8726" t="s" s="10">
        <v>53</v>
      </c>
      <c r="N8726" t="s" s="11">
        <v>53</v>
      </c>
      <c r="O8726" t="s" s="8">
        <v>53</v>
      </c>
      <c r="P8726" t="s" s="8">
        <v>53</v>
      </c>
      <c r="Q8726" t="s" s="12">
        <v>53</v>
      </c>
      <c r="R8726" t="s" s="12">
        <v>53</v>
      </c>
    </row>
    <row r="8727" s="2" customFormat="1" ht="13.5" customHeight="1">
      <c r="B8727" s="13"/>
      <c r="C8727" t="s" s="9">
        <v>30</v>
      </c>
      <c r="D8727" t="s" s="8">
        <v>3174</v>
      </c>
      <c r="E8727" t="s" s="9">
        <v>3175</v>
      </c>
      <c r="F8727" t="s" s="10">
        <v>158</v>
      </c>
      <c r="G8727" s="14"/>
      <c r="H8727" t="s" s="10">
        <v>158</v>
      </c>
      <c r="I8727" s="14"/>
      <c r="J8727" t="s" s="11">
        <v>20</v>
      </c>
      <c r="K8727" t="s" s="16">
        <f>HYPERLINK("http://csr.bu.edu/ftp/asl/asllvd/demos/verify_start_end_handshape_annotations//test_auto_move//signs_mov/15000.mov","MOV")</f>
        <v>21</v>
      </c>
      <c r="L8727" t="s" s="16">
        <f>HYPERLINK("http://csr.bu.edu/ftp/asl/asllvd/demos/verify_start_end_handshape_annotations//test_auto_move//signs_mov_separ_signers/Brady_15000.mov","MOV")</f>
        <v>21</v>
      </c>
      <c r="M8727" t="s" s="10">
        <v>40</v>
      </c>
      <c r="N8727" s="17">
        <v>94</v>
      </c>
      <c r="O8727" s="18">
        <v>2031</v>
      </c>
      <c r="P8727" s="18">
        <v>2077</v>
      </c>
      <c r="Q8727" t="s" s="16">
        <f>HYPERLINK("http://secrets.rutgers.edu:8080/data/asl-ftp/asllvd/demos/verify_start_end_handshape_annotations//test_auto_move//signs_mov/15000.mov","MOV")</f>
        <v>21</v>
      </c>
      <c r="R8727" t="s" s="16">
        <f>HYPERLINK("http://secrets.rutgers.edu:8080/data/asl-ftp/asllvd/demos/verify_start_end_handshape_annotations//test_auto_move//signs_mov_separ_signers/Brady_15000.mov","MOV")</f>
        <v>21</v>
      </c>
    </row>
    <row r="8728" s="2" customFormat="1" ht="13.5" customHeight="1">
      <c r="B8728" t="s" s="8">
        <v>3176</v>
      </c>
      <c r="C8728" t="s" s="9">
        <v>14</v>
      </c>
      <c r="D8728" t="s" s="8">
        <v>14</v>
      </c>
      <c r="E8728" t="s" s="9">
        <v>14</v>
      </c>
      <c r="F8728" t="s" s="10">
        <v>14</v>
      </c>
      <c r="G8728" t="s" s="11">
        <v>14</v>
      </c>
      <c r="H8728" t="s" s="10">
        <v>14</v>
      </c>
      <c r="I8728" t="s" s="11">
        <v>14</v>
      </c>
      <c r="J8728" t="s" s="11">
        <v>14</v>
      </c>
      <c r="K8728" t="s" s="12">
        <v>14</v>
      </c>
      <c r="L8728" t="s" s="12">
        <v>14</v>
      </c>
      <c r="M8728" t="s" s="10">
        <v>14</v>
      </c>
      <c r="N8728" t="s" s="11">
        <v>14</v>
      </c>
      <c r="O8728" t="s" s="8">
        <v>14</v>
      </c>
      <c r="P8728" t="s" s="8">
        <v>14</v>
      </c>
      <c r="Q8728" t="s" s="12">
        <v>14</v>
      </c>
      <c r="R8728" t="s" s="12">
        <v>14</v>
      </c>
    </row>
    <row r="8729" s="2" customFormat="1" ht="13.5" customHeight="1">
      <c r="B8729" s="13"/>
      <c r="C8729" t="s" s="9">
        <v>16</v>
      </c>
      <c r="D8729" t="s" s="8">
        <v>3176</v>
      </c>
      <c r="E8729" t="s" s="9">
        <v>3177</v>
      </c>
      <c r="F8729" t="s" s="10">
        <v>230</v>
      </c>
      <c r="G8729" t="s" s="11">
        <v>230</v>
      </c>
      <c r="H8729" t="s" s="10">
        <v>230</v>
      </c>
      <c r="I8729" t="s" s="11">
        <v>230</v>
      </c>
      <c r="J8729" t="s" s="11">
        <v>20</v>
      </c>
      <c r="K8729" t="s" s="16">
        <f>HYPERLINK("http://csr.bu.edu/ftp/asl/asllvd/demos/verify_start_end_handshape_annotations//test_auto_move//signs_mov/2383.mov","MOV")</f>
        <v>21</v>
      </c>
      <c r="L8729" t="s" s="16">
        <f>HYPERLINK("http://csr.bu.edu/ftp/asl/asllvd/demos/verify_start_end_handshape_annotations//test_auto_move//signs_mov_separ_signers/Liz_2383.mov","MOV")</f>
        <v>21</v>
      </c>
      <c r="M8729" t="s" s="10">
        <v>36</v>
      </c>
      <c r="N8729" s="17">
        <v>42</v>
      </c>
      <c r="O8729" s="18">
        <v>1581</v>
      </c>
      <c r="P8729" s="18">
        <v>1610</v>
      </c>
      <c r="Q8729" t="s" s="16">
        <f>HYPERLINK("http://secrets.rutgers.edu:8080/data/asl-ftp/asllvd/demos/verify_start_end_handshape_annotations//test_auto_move//signs_mov/2383.mov","MOV")</f>
        <v>21</v>
      </c>
      <c r="R8729" t="s" s="16">
        <f>HYPERLINK("http://secrets.rutgers.edu:8080/data/asl-ftp/asllvd/demos/verify_start_end_handshape_annotations//test_auto_move//signs_mov_separ_signers/Liz_2383.mov","MOV")</f>
        <v>21</v>
      </c>
    </row>
    <row r="8730" s="2" customFormat="1" ht="13.5" customHeight="1">
      <c r="B8730" s="13"/>
      <c r="C8730" t="s" s="9">
        <v>30</v>
      </c>
      <c r="D8730" t="s" s="8">
        <v>3176</v>
      </c>
      <c r="E8730" t="s" s="9">
        <v>3177</v>
      </c>
      <c r="F8730" t="s" s="10">
        <v>230</v>
      </c>
      <c r="G8730" t="s" s="11">
        <v>230</v>
      </c>
      <c r="H8730" t="s" s="10">
        <v>230</v>
      </c>
      <c r="I8730" t="s" s="11">
        <v>230</v>
      </c>
      <c r="J8730" t="s" s="11">
        <v>20</v>
      </c>
      <c r="K8730" s="15"/>
      <c r="L8730" t="s" s="16">
        <f>HYPERLINK("http://csr.bu.edu/ftp/asl/asllvd/demos/verify_start_end_handshape_annotations//test_auto_move//signs_mov_separ_signers/Brady_2383.mov","MOV")</f>
        <v>21</v>
      </c>
      <c r="M8730" t="s" s="10">
        <v>40</v>
      </c>
      <c r="N8730" s="17">
        <v>94</v>
      </c>
      <c r="O8730" s="18">
        <v>3076</v>
      </c>
      <c r="P8730" s="18">
        <v>3114</v>
      </c>
      <c r="Q8730" s="15"/>
      <c r="R8730" t="s" s="16">
        <f>HYPERLINK("http://secrets.rutgers.edu:8080/data/asl-ftp/asllvd/demos/verify_start_end_handshape_annotations//test_auto_move//signs_mov_separ_signers/Brady_2383.mov","MOV")</f>
        <v>21</v>
      </c>
    </row>
    <row r="8731" s="2" customFormat="1" ht="13.5" customHeight="1">
      <c r="B8731" t="s" s="8">
        <v>3178</v>
      </c>
      <c r="C8731" t="s" s="9">
        <v>14</v>
      </c>
      <c r="D8731" t="s" s="8">
        <v>14</v>
      </c>
      <c r="E8731" t="s" s="9">
        <v>14</v>
      </c>
      <c r="F8731" t="s" s="10">
        <v>14</v>
      </c>
      <c r="G8731" t="s" s="11">
        <v>14</v>
      </c>
      <c r="H8731" t="s" s="10">
        <v>14</v>
      </c>
      <c r="I8731" t="s" s="11">
        <v>14</v>
      </c>
      <c r="J8731" t="s" s="11">
        <v>14</v>
      </c>
      <c r="K8731" t="s" s="12">
        <v>14</v>
      </c>
      <c r="L8731" t="s" s="12">
        <v>14</v>
      </c>
      <c r="M8731" t="s" s="10">
        <v>14</v>
      </c>
      <c r="N8731" t="s" s="11">
        <v>14</v>
      </c>
      <c r="O8731" t="s" s="8">
        <v>14</v>
      </c>
      <c r="P8731" t="s" s="8">
        <v>14</v>
      </c>
      <c r="Q8731" t="s" s="12">
        <v>14</v>
      </c>
      <c r="R8731" t="s" s="12">
        <v>14</v>
      </c>
    </row>
    <row r="8732" s="2" customFormat="1" ht="13.5" customHeight="1">
      <c r="B8732" s="13"/>
      <c r="C8732" t="s" s="9">
        <v>16</v>
      </c>
      <c r="D8732" t="s" s="8">
        <v>3178</v>
      </c>
      <c r="E8732" t="s" s="9">
        <v>3178</v>
      </c>
      <c r="F8732" s="19">
        <v>1</v>
      </c>
      <c r="G8732" t="s" s="11">
        <v>73</v>
      </c>
      <c r="H8732" s="19">
        <v>1</v>
      </c>
      <c r="I8732" t="s" s="11">
        <v>73</v>
      </c>
      <c r="J8732" t="s" s="11">
        <v>20</v>
      </c>
      <c r="K8732" t="s" s="16">
        <f>HYPERLINK("http://csr.bu.edu/ftp/asl/asllvd/demos/verify_start_end_handshape_annotations//test_auto_move//signs_mov/2384.mov","MOV")</f>
        <v>21</v>
      </c>
      <c r="L8732" t="s" s="16">
        <f>HYPERLINK("http://csr.bu.edu/ftp/asl/asllvd/demos/verify_start_end_handshape_annotations//test_auto_move//signs_mov_separ_signers/Liz_2384.mov","MOV")</f>
        <v>21</v>
      </c>
      <c r="M8732" t="s" s="10">
        <v>36</v>
      </c>
      <c r="N8732" s="17">
        <v>42</v>
      </c>
      <c r="O8732" s="18">
        <v>1812</v>
      </c>
      <c r="P8732" s="18">
        <v>1865</v>
      </c>
      <c r="Q8732" t="s" s="16">
        <f>HYPERLINK("http://secrets.rutgers.edu:8080/data/asl-ftp/asllvd/demos/verify_start_end_handshape_annotations//test_auto_move//signs_mov/2384.mov","MOV")</f>
        <v>21</v>
      </c>
      <c r="R8732" t="s" s="16">
        <f>HYPERLINK("http://secrets.rutgers.edu:8080/data/asl-ftp/asllvd/demos/verify_start_end_handshape_annotations//test_auto_move//signs_mov_separ_signers/Liz_2384.mov","MOV")</f>
        <v>21</v>
      </c>
    </row>
    <row r="8733" s="2" customFormat="1" ht="13.5" customHeight="1">
      <c r="B8733" t="s" s="8">
        <v>3179</v>
      </c>
      <c r="C8733" t="s" s="9">
        <v>14</v>
      </c>
      <c r="D8733" t="s" s="8">
        <v>14</v>
      </c>
      <c r="E8733" t="s" s="9">
        <v>14</v>
      </c>
      <c r="F8733" t="s" s="10">
        <v>14</v>
      </c>
      <c r="G8733" t="s" s="11">
        <v>14</v>
      </c>
      <c r="H8733" t="s" s="10">
        <v>14</v>
      </c>
      <c r="I8733" t="s" s="11">
        <v>14</v>
      </c>
      <c r="J8733" t="s" s="11">
        <v>14</v>
      </c>
      <c r="K8733" t="s" s="12">
        <v>14</v>
      </c>
      <c r="L8733" t="s" s="12">
        <v>14</v>
      </c>
      <c r="M8733" t="s" s="10">
        <v>14</v>
      </c>
      <c r="N8733" t="s" s="11">
        <v>14</v>
      </c>
      <c r="O8733" t="s" s="8">
        <v>14</v>
      </c>
      <c r="P8733" t="s" s="8">
        <v>14</v>
      </c>
      <c r="Q8733" t="s" s="12">
        <v>14</v>
      </c>
      <c r="R8733" t="s" s="12">
        <v>14</v>
      </c>
    </row>
    <row r="8734" s="2" customFormat="1" ht="13.5" customHeight="1">
      <c r="B8734" s="13"/>
      <c r="C8734" t="s" s="9">
        <v>16</v>
      </c>
      <c r="D8734" t="s" s="8">
        <v>3179</v>
      </c>
      <c r="E8734" t="s" s="9">
        <v>3180</v>
      </c>
      <c r="F8734" t="s" s="10">
        <v>68</v>
      </c>
      <c r="G8734" t="s" s="11">
        <v>73</v>
      </c>
      <c r="H8734" t="s" s="10">
        <v>68</v>
      </c>
      <c r="I8734" t="s" s="11">
        <v>73</v>
      </c>
      <c r="J8734" t="s" s="11">
        <v>20</v>
      </c>
      <c r="K8734" s="15"/>
      <c r="L8734" t="s" s="16">
        <f>HYPERLINK("http://csr.bu.edu/ftp/asl/asllvd/demos/verify_start_end_handshape_annotations//test_auto_move//signs_mov_separ_signers/Liz_2387.mov","MOV")</f>
        <v>21</v>
      </c>
      <c r="M8734" t="s" s="10">
        <v>36</v>
      </c>
      <c r="N8734" s="17">
        <v>42</v>
      </c>
      <c r="O8734" s="18">
        <v>4205</v>
      </c>
      <c r="P8734" s="18">
        <v>4261</v>
      </c>
      <c r="Q8734" s="15"/>
      <c r="R8734" t="s" s="16">
        <f>HYPERLINK("http://secrets.rutgers.edu:8080/data/asl-ftp/asllvd/demos/verify_start_end_handshape_annotations//test_auto_move//signs_mov_separ_signers/Liz_2387.mov","MOV")</f>
        <v>21</v>
      </c>
    </row>
    <row r="8735" s="2" customFormat="1" ht="13.5" customHeight="1">
      <c r="B8735" s="13"/>
      <c r="C8735" t="s" s="9">
        <v>16</v>
      </c>
      <c r="D8735" t="s" s="8">
        <v>3179</v>
      </c>
      <c r="E8735" t="s" s="9">
        <v>3179</v>
      </c>
      <c r="F8735" t="s" s="10">
        <v>68</v>
      </c>
      <c r="G8735" t="s" s="11">
        <v>73</v>
      </c>
      <c r="H8735" t="s" s="10">
        <v>68</v>
      </c>
      <c r="I8735" t="s" s="11">
        <v>73</v>
      </c>
      <c r="J8735" t="s" s="11">
        <v>20</v>
      </c>
      <c r="K8735" s="15"/>
      <c r="L8735" t="s" s="16">
        <f>HYPERLINK("http://csr.bu.edu/ftp/asl/asllvd/demos/verify_start_end_handshape_annotations//test_auto_move//signs_mov_separ_signers/Liz_3844.mov","MOV")</f>
        <v>21</v>
      </c>
      <c r="M8735" t="s" s="10">
        <v>36</v>
      </c>
      <c r="N8735" s="17">
        <v>42</v>
      </c>
      <c r="O8735" s="18">
        <v>4502</v>
      </c>
      <c r="P8735" s="18">
        <v>4535</v>
      </c>
      <c r="Q8735" s="15"/>
      <c r="R8735" t="s" s="16">
        <f>HYPERLINK("http://secrets.rutgers.edu:8080/data/asl-ftp/asllvd/demos/verify_start_end_handshape_annotations//test_auto_move//signs_mov_separ_signers/Liz_3844.mov","MOV")</f>
        <v>21</v>
      </c>
    </row>
    <row r="8736" s="2" customFormat="1" ht="13.5" customHeight="1">
      <c r="B8736" s="13"/>
      <c r="C8736" t="s" s="9">
        <v>30</v>
      </c>
      <c r="D8736" t="s" s="8">
        <v>3179</v>
      </c>
      <c r="E8736" t="s" s="9">
        <v>3181</v>
      </c>
      <c r="F8736" t="s" s="10">
        <v>68</v>
      </c>
      <c r="G8736" t="s" s="11">
        <v>73</v>
      </c>
      <c r="H8736" t="s" s="10">
        <v>68</v>
      </c>
      <c r="I8736" t="s" s="11">
        <v>73</v>
      </c>
      <c r="J8736" t="s" s="11">
        <v>20</v>
      </c>
      <c r="K8736" t="s" s="16">
        <f>HYPERLINK("http://csr.bu.edu/ftp/asl/asllvd/demos/verify_start_end_handshape_annotations//test_auto_move//signs_mov/2387_3844_5944_merged.mov","MOV")</f>
        <v>21</v>
      </c>
      <c r="L8736" t="s" s="16">
        <f>HYPERLINK("http://csr.bu.edu/ftp/asl/asllvd/demos/verify_start_end_handshape_annotations//test_auto_move//signs_mov_separ_signers/Brady_2387.mov","MOV")</f>
        <v>21</v>
      </c>
      <c r="M8736" t="s" s="10">
        <v>40</v>
      </c>
      <c r="N8736" s="17">
        <v>94</v>
      </c>
      <c r="O8736" s="18">
        <v>4473</v>
      </c>
      <c r="P8736" s="18">
        <v>4524</v>
      </c>
      <c r="Q8736" t="s" s="16">
        <f>HYPERLINK("http://secrets.rutgers.edu:8080/data/asl-ftp/asllvd/demos/verify_start_end_handshape_annotations//test_auto_move//signs_mov/2387_3844_5944_merged.mov","MOV")</f>
        <v>21</v>
      </c>
      <c r="R8736" t="s" s="16">
        <f>HYPERLINK("http://secrets.rutgers.edu:8080/data/asl-ftp/asllvd/demos/verify_start_end_handshape_annotations//test_auto_move//signs_mov_separ_signers/Brady_2387.mov","MOV")</f>
        <v>21</v>
      </c>
    </row>
    <row r="8737" s="2" customFormat="1" ht="13.5" customHeight="1">
      <c r="B8737" s="13"/>
      <c r="C8737" t="s" s="9">
        <v>30</v>
      </c>
      <c r="D8737" t="s" s="8">
        <v>3179</v>
      </c>
      <c r="E8737" t="s" s="9">
        <v>3179</v>
      </c>
      <c r="F8737" t="s" s="10">
        <v>68</v>
      </c>
      <c r="G8737" t="s" s="11">
        <v>73</v>
      </c>
      <c r="H8737" t="s" s="10">
        <v>68</v>
      </c>
      <c r="I8737" t="s" s="11">
        <v>73</v>
      </c>
      <c r="J8737" t="s" s="11">
        <v>20</v>
      </c>
      <c r="K8737" s="15"/>
      <c r="L8737" t="s" s="16">
        <f>HYPERLINK("http://csr.bu.edu/ftp/asl/asllvd/demos/verify_start_end_handshape_annotations//test_auto_move//signs_mov_separ_signers/Brady_3844.mov","MOV")</f>
        <v>21</v>
      </c>
      <c r="M8737" t="s" s="10">
        <v>40</v>
      </c>
      <c r="N8737" s="17">
        <v>95</v>
      </c>
      <c r="O8737" s="18">
        <v>79</v>
      </c>
      <c r="P8737" s="18">
        <v>96</v>
      </c>
      <c r="Q8737" s="15"/>
      <c r="R8737" t="s" s="16">
        <f>HYPERLINK("http://secrets.rutgers.edu:8080/data/asl-ftp/asllvd/demos/verify_start_end_handshape_annotations//test_auto_move//signs_mov_separ_signers/Brady_3844.mov","MOV")</f>
        <v>21</v>
      </c>
    </row>
    <row r="8738" s="2" customFormat="1" ht="13.5" customHeight="1">
      <c r="B8738" s="13"/>
      <c r="C8738" t="s" s="9">
        <v>30</v>
      </c>
      <c r="D8738" t="s" s="8">
        <v>3179</v>
      </c>
      <c r="E8738" t="s" s="9">
        <v>3180</v>
      </c>
      <c r="F8738" t="s" s="10">
        <v>68</v>
      </c>
      <c r="G8738" t="s" s="11">
        <v>73</v>
      </c>
      <c r="H8738" t="s" s="10">
        <v>68</v>
      </c>
      <c r="I8738" t="s" s="11">
        <v>73</v>
      </c>
      <c r="J8738" t="s" s="11">
        <v>20</v>
      </c>
      <c r="K8738" s="15"/>
      <c r="L8738" t="s" s="16">
        <f>HYPERLINK("http://csr.bu.edu/ftp/asl/asllvd/demos/verify_start_end_handshape_annotations//test_auto_move//signs_mov_separ_signers/Brady_5944.mov","MOV")</f>
        <v>21</v>
      </c>
      <c r="M8738" t="s" s="10">
        <v>60</v>
      </c>
      <c r="N8738" s="17">
        <v>54</v>
      </c>
      <c r="O8738" s="18">
        <v>115</v>
      </c>
      <c r="P8738" s="18">
        <v>160</v>
      </c>
      <c r="Q8738" s="15"/>
      <c r="R8738" t="s" s="16">
        <f>HYPERLINK("http://secrets.rutgers.edu:8080/data/asl-ftp/asllvd/demos/verify_start_end_handshape_annotations//test_auto_move//signs_mov_separ_signers/Brady_5944.mov","MOV")</f>
        <v>21</v>
      </c>
    </row>
    <row r="8739" s="2" customFormat="1" ht="13.5" customHeight="1">
      <c r="B8739" t="s" s="8">
        <v>3182</v>
      </c>
      <c r="C8739" t="s" s="9">
        <v>14</v>
      </c>
      <c r="D8739" t="s" s="8">
        <v>14</v>
      </c>
      <c r="E8739" t="s" s="9">
        <v>14</v>
      </c>
      <c r="F8739" t="s" s="10">
        <v>14</v>
      </c>
      <c r="G8739" t="s" s="11">
        <v>14</v>
      </c>
      <c r="H8739" t="s" s="10">
        <v>14</v>
      </c>
      <c r="I8739" t="s" s="11">
        <v>14</v>
      </c>
      <c r="J8739" t="s" s="11">
        <v>14</v>
      </c>
      <c r="K8739" t="s" s="12">
        <v>14</v>
      </c>
      <c r="L8739" t="s" s="12">
        <v>14</v>
      </c>
      <c r="M8739" t="s" s="10">
        <v>14</v>
      </c>
      <c r="N8739" t="s" s="11">
        <v>14</v>
      </c>
      <c r="O8739" t="s" s="8">
        <v>14</v>
      </c>
      <c r="P8739" t="s" s="8">
        <v>14</v>
      </c>
      <c r="Q8739" t="s" s="12">
        <v>14</v>
      </c>
      <c r="R8739" t="s" s="12">
        <v>14</v>
      </c>
    </row>
    <row r="8740" s="2" customFormat="1" ht="13.5" customHeight="1">
      <c r="B8740" s="13"/>
      <c r="C8740" t="s" s="9">
        <v>16</v>
      </c>
      <c r="D8740" t="s" s="8">
        <v>3182</v>
      </c>
      <c r="E8740" t="s" s="9">
        <v>3182</v>
      </c>
      <c r="F8740" t="s" s="10">
        <v>68</v>
      </c>
      <c r="G8740" t="s" s="11">
        <v>68</v>
      </c>
      <c r="H8740" t="s" s="10">
        <v>68</v>
      </c>
      <c r="I8740" t="s" s="11">
        <v>68</v>
      </c>
      <c r="J8740" t="s" s="11">
        <v>136</v>
      </c>
      <c r="K8740" t="s" s="16">
        <f>HYPERLINK("http://csr.bu.edu/ftp/asl/asllvd/demos/verify_start_end_handshape_annotations//test_auto_move//signs_mov/2390.mov","MOV")</f>
        <v>21</v>
      </c>
      <c r="L8740" t="s" s="16">
        <f>HYPERLINK("http://csr.bu.edu/ftp/asl/asllvd/demos/verify_start_end_handshape_annotations//test_auto_move//signs_mov_separ_signers/Liz_2390.mov","MOV")</f>
        <v>21</v>
      </c>
      <c r="M8740" t="s" s="10">
        <v>36</v>
      </c>
      <c r="N8740" s="17">
        <v>43</v>
      </c>
      <c r="O8740" s="18">
        <v>291</v>
      </c>
      <c r="P8740" s="18">
        <v>330</v>
      </c>
      <c r="Q8740" t="s" s="16">
        <f>HYPERLINK("http://secrets.rutgers.edu:8080/data/asl-ftp/asllvd/demos/verify_start_end_handshape_annotations//test_auto_move//signs_mov/2390.mov","MOV")</f>
        <v>21</v>
      </c>
      <c r="R8740" t="s" s="16">
        <f>HYPERLINK("http://secrets.rutgers.edu:8080/data/asl-ftp/asllvd/demos/verify_start_end_handshape_annotations//test_auto_move//signs_mov_separ_signers/Liz_2390.mov","MOV")</f>
        <v>21</v>
      </c>
    </row>
    <row r="8741" s="2" customFormat="1" ht="13.5" customHeight="1">
      <c r="B8741" s="13"/>
      <c r="C8741" t="s" s="9">
        <v>30</v>
      </c>
      <c r="D8741" t="s" s="8">
        <v>3182</v>
      </c>
      <c r="E8741" t="s" s="9">
        <v>3182</v>
      </c>
      <c r="F8741" t="s" s="10">
        <v>68</v>
      </c>
      <c r="G8741" t="s" s="11">
        <v>68</v>
      </c>
      <c r="H8741" t="s" s="10">
        <v>68</v>
      </c>
      <c r="I8741" t="s" s="11">
        <v>68</v>
      </c>
      <c r="J8741" t="s" s="11">
        <v>136</v>
      </c>
      <c r="K8741" s="15"/>
      <c r="L8741" t="s" s="16">
        <f>HYPERLINK("http://csr.bu.edu/ftp/asl/asllvd/demos/verify_start_end_handshape_annotations//test_auto_move//signs_mov_separ_signers/Brady_2390.mov","MOV")</f>
        <v>21</v>
      </c>
      <c r="M8741" t="s" s="10">
        <v>40</v>
      </c>
      <c r="N8741" s="17">
        <v>95</v>
      </c>
      <c r="O8741" s="18">
        <v>620</v>
      </c>
      <c r="P8741" s="18">
        <v>639</v>
      </c>
      <c r="Q8741" s="15"/>
      <c r="R8741" t="s" s="16">
        <f>HYPERLINK("http://secrets.rutgers.edu:8080/data/asl-ftp/asllvd/demos/verify_start_end_handshape_annotations//test_auto_move//signs_mov_separ_signers/Brady_2390.mov","MOV")</f>
        <v>21</v>
      </c>
    </row>
    <row r="8742" s="2" customFormat="1" ht="13.5" customHeight="1">
      <c r="B8742" t="s" s="8">
        <v>3183</v>
      </c>
      <c r="C8742" t="s" s="9">
        <v>14</v>
      </c>
      <c r="D8742" t="s" s="8">
        <v>14</v>
      </c>
      <c r="E8742" t="s" s="9">
        <v>14</v>
      </c>
      <c r="F8742" t="s" s="10">
        <v>14</v>
      </c>
      <c r="G8742" t="s" s="11">
        <v>14</v>
      </c>
      <c r="H8742" t="s" s="10">
        <v>14</v>
      </c>
      <c r="I8742" t="s" s="11">
        <v>14</v>
      </c>
      <c r="J8742" t="s" s="11">
        <v>14</v>
      </c>
      <c r="K8742" t="s" s="12">
        <v>14</v>
      </c>
      <c r="L8742" t="s" s="12">
        <v>14</v>
      </c>
      <c r="M8742" t="s" s="10">
        <v>14</v>
      </c>
      <c r="N8742" t="s" s="11">
        <v>14</v>
      </c>
      <c r="O8742" t="s" s="8">
        <v>14</v>
      </c>
      <c r="P8742" t="s" s="8">
        <v>14</v>
      </c>
      <c r="Q8742" t="s" s="12">
        <v>14</v>
      </c>
      <c r="R8742" t="s" s="12">
        <v>14</v>
      </c>
    </row>
    <row r="8743" s="2" customFormat="1" ht="13.5" customHeight="1">
      <c r="B8743" s="13"/>
      <c r="C8743" t="s" s="9">
        <v>16</v>
      </c>
      <c r="D8743" t="s" s="8">
        <v>3183</v>
      </c>
      <c r="E8743" t="s" s="9">
        <v>3183</v>
      </c>
      <c r="F8743" t="s" s="10">
        <v>230</v>
      </c>
      <c r="G8743" s="14"/>
      <c r="H8743" t="s" s="10">
        <v>230</v>
      </c>
      <c r="I8743" s="14"/>
      <c r="J8743" t="s" s="11">
        <v>20</v>
      </c>
      <c r="K8743" t="s" s="16">
        <f>HYPERLINK("http://csr.bu.edu/ftp/asl/asllvd/demos/verify_start_end_handshape_annotations//test_auto_move//signs_mov/2392.mov","MOV")</f>
        <v>21</v>
      </c>
      <c r="L8743" t="s" s="16">
        <f>HYPERLINK("http://csr.bu.edu/ftp/asl/asllvd/demos/verify_start_end_handshape_annotations//test_auto_move//signs_mov_separ_signers/Liz_2392.mov","MOV")</f>
        <v>21</v>
      </c>
      <c r="M8743" t="s" s="10">
        <v>36</v>
      </c>
      <c r="N8743" s="17">
        <v>43</v>
      </c>
      <c r="O8743" s="18">
        <v>731</v>
      </c>
      <c r="P8743" s="18">
        <v>791</v>
      </c>
      <c r="Q8743" t="s" s="16">
        <f>HYPERLINK("http://secrets.rutgers.edu:8080/data/asl-ftp/asllvd/demos/verify_start_end_handshape_annotations//test_auto_move//signs_mov/2392.mov","MOV")</f>
        <v>21</v>
      </c>
      <c r="R8743" t="s" s="16">
        <f>HYPERLINK("http://secrets.rutgers.edu:8080/data/asl-ftp/asllvd/demos/verify_start_end_handshape_annotations//test_auto_move//signs_mov_separ_signers/Liz_2392.mov","MOV")</f>
        <v>21</v>
      </c>
    </row>
    <row r="8744" s="2" customFormat="1" ht="13.5" customHeight="1">
      <c r="B8744" s="13"/>
      <c r="C8744" t="s" s="9">
        <v>30</v>
      </c>
      <c r="D8744" t="s" s="8">
        <v>3183</v>
      </c>
      <c r="E8744" t="s" s="9">
        <v>3183</v>
      </c>
      <c r="F8744" t="s" s="10">
        <v>230</v>
      </c>
      <c r="G8744" s="14"/>
      <c r="H8744" t="s" s="10">
        <v>230</v>
      </c>
      <c r="I8744" s="14"/>
      <c r="J8744" t="s" s="11">
        <v>20</v>
      </c>
      <c r="K8744" s="15"/>
      <c r="L8744" t="s" s="16">
        <f>HYPERLINK("http://csr.bu.edu/ftp/asl/asllvd/demos/verify_start_end_handshape_annotations//test_auto_move//signs_mov_separ_signers/Brady_2392.mov","MOV")</f>
        <v>21</v>
      </c>
      <c r="M8744" t="s" s="10">
        <v>40</v>
      </c>
      <c r="N8744" s="17">
        <v>95</v>
      </c>
      <c r="O8744" s="18">
        <v>1078</v>
      </c>
      <c r="P8744" s="18">
        <v>1121</v>
      </c>
      <c r="Q8744" s="15"/>
      <c r="R8744" t="s" s="16">
        <f>HYPERLINK("http://secrets.rutgers.edu:8080/data/asl-ftp/asllvd/demos/verify_start_end_handshape_annotations//test_auto_move//signs_mov_separ_signers/Brady_2392.mov","MOV")</f>
        <v>21</v>
      </c>
    </row>
    <row r="8745" s="2" customFormat="1" ht="13.5" customHeight="1">
      <c r="B8745" t="s" s="8">
        <v>3184</v>
      </c>
      <c r="C8745" t="s" s="9">
        <v>14</v>
      </c>
      <c r="D8745" t="s" s="8">
        <v>14</v>
      </c>
      <c r="E8745" t="s" s="9">
        <v>14</v>
      </c>
      <c r="F8745" t="s" s="10">
        <v>14</v>
      </c>
      <c r="G8745" t="s" s="11">
        <v>14</v>
      </c>
      <c r="H8745" t="s" s="10">
        <v>14</v>
      </c>
      <c r="I8745" t="s" s="11">
        <v>14</v>
      </c>
      <c r="J8745" t="s" s="11">
        <v>14</v>
      </c>
      <c r="K8745" t="s" s="12">
        <v>14</v>
      </c>
      <c r="L8745" t="s" s="12">
        <v>14</v>
      </c>
      <c r="M8745" t="s" s="10">
        <v>14</v>
      </c>
      <c r="N8745" t="s" s="11">
        <v>14</v>
      </c>
      <c r="O8745" t="s" s="8">
        <v>14</v>
      </c>
      <c r="P8745" t="s" s="8">
        <v>14</v>
      </c>
      <c r="Q8745" t="s" s="12">
        <v>14</v>
      </c>
      <c r="R8745" t="s" s="12">
        <v>14</v>
      </c>
    </row>
    <row r="8746" s="2" customFormat="1" ht="13.5" customHeight="1">
      <c r="B8746" s="13"/>
      <c r="C8746" t="s" s="9">
        <v>16</v>
      </c>
      <c r="D8746" t="s" s="8">
        <v>3184</v>
      </c>
      <c r="E8746" t="s" s="9">
        <v>3184</v>
      </c>
      <c r="F8746" t="s" s="10">
        <v>230</v>
      </c>
      <c r="G8746" s="14"/>
      <c r="H8746" t="s" s="10">
        <v>230</v>
      </c>
      <c r="I8746" s="14"/>
      <c r="J8746" t="s" s="11">
        <v>20</v>
      </c>
      <c r="K8746" s="15"/>
      <c r="L8746" t="s" s="16">
        <f>HYPERLINK("http://csr.bu.edu/ftp/asl/asllvd/demos/verify_start_end_handshape_annotations//test_auto_move//signs_mov_separ_signers/Liz_2393.mov","MOV")</f>
        <v>21</v>
      </c>
      <c r="M8746" t="s" s="10">
        <v>36</v>
      </c>
      <c r="N8746" s="17">
        <v>43</v>
      </c>
      <c r="O8746" s="18">
        <v>981</v>
      </c>
      <c r="P8746" s="18">
        <v>1030</v>
      </c>
      <c r="Q8746" s="15"/>
      <c r="R8746" t="s" s="16">
        <f>HYPERLINK("http://secrets.rutgers.edu:8080/data/asl-ftp/asllvd/demos/verify_start_end_handshape_annotations//test_auto_move//signs_mov_separ_signers/Liz_2393.mov","MOV")</f>
        <v>21</v>
      </c>
    </row>
    <row r="8747" s="2" customFormat="1" ht="13.5" customHeight="1">
      <c r="B8747" s="13"/>
      <c r="C8747" t="s" s="9">
        <v>23</v>
      </c>
      <c r="D8747" t="s" s="8">
        <v>3184</v>
      </c>
      <c r="E8747" t="s" s="9">
        <v>3184</v>
      </c>
      <c r="F8747" t="s" s="10">
        <v>230</v>
      </c>
      <c r="G8747" s="14"/>
      <c r="H8747" t="s" s="10">
        <v>230</v>
      </c>
      <c r="I8747" s="14"/>
      <c r="J8747" t="s" s="11">
        <v>20</v>
      </c>
      <c r="K8747" t="s" s="16">
        <f>HYPERLINK("http://csr.bu.edu/ftp/asl/asllvd/demos/verify_start_end_handshape_annotations//test_auto_move//signs_mov/2393.mov","MOV")</f>
        <v>21</v>
      </c>
      <c r="L8747" t="s" s="16">
        <f>HYPERLINK("http://csr.bu.edu/ftp/asl/asllvd/demos/verify_start_end_handshape_annotations//test_auto_move//signs_mov_separ_signers/Tyler_2393.mov","MOV")</f>
        <v>21</v>
      </c>
      <c r="M8747" t="s" s="10">
        <v>92</v>
      </c>
      <c r="N8747" s="17">
        <v>3</v>
      </c>
      <c r="O8747" s="18">
        <v>965</v>
      </c>
      <c r="P8747" s="18">
        <v>1005</v>
      </c>
      <c r="Q8747" t="s" s="16">
        <f>HYPERLINK("http://secrets.rutgers.edu:8080/data/asl-ftp/asllvd/demos/verify_start_end_handshape_annotations//test_auto_move//signs_mov/2393.mov","MOV")</f>
        <v>21</v>
      </c>
      <c r="R8747" t="s" s="16">
        <f>HYPERLINK("http://secrets.rutgers.edu:8080/data/asl-ftp/asllvd/demos/verify_start_end_handshape_annotations//test_auto_move//signs_mov_separ_signers/Tyler_2393.mov","MOV")</f>
        <v>21</v>
      </c>
    </row>
    <row r="8748" s="2" customFormat="1" ht="13.5" customHeight="1">
      <c r="B8748" s="13"/>
      <c r="C8748" t="s" s="9">
        <v>30</v>
      </c>
      <c r="D8748" t="s" s="8">
        <v>3184</v>
      </c>
      <c r="E8748" t="s" s="9">
        <v>3184</v>
      </c>
      <c r="F8748" t="s" s="10">
        <v>230</v>
      </c>
      <c r="G8748" s="14"/>
      <c r="H8748" t="s" s="10">
        <v>230</v>
      </c>
      <c r="I8748" s="14"/>
      <c r="J8748" t="s" s="11">
        <v>20</v>
      </c>
      <c r="K8748" s="15"/>
      <c r="L8748" t="s" s="16">
        <f>HYPERLINK("http://csr.bu.edu/ftp/asl/asllvd/demos/verify_start_end_handshape_annotations//test_auto_move//signs_mov_separ_signers/Brady_2393.mov","MOV")</f>
        <v>21</v>
      </c>
      <c r="M8748" t="s" s="10">
        <v>40</v>
      </c>
      <c r="N8748" s="17">
        <v>95</v>
      </c>
      <c r="O8748" s="18">
        <v>1310</v>
      </c>
      <c r="P8748" s="18">
        <v>1353</v>
      </c>
      <c r="Q8748" s="15"/>
      <c r="R8748" t="s" s="16">
        <f>HYPERLINK("http://secrets.rutgers.edu:8080/data/asl-ftp/asllvd/demos/verify_start_end_handshape_annotations//test_auto_move//signs_mov_separ_signers/Brady_2393.mov","MOV")</f>
        <v>21</v>
      </c>
    </row>
    <row r="8749" s="2" customFormat="1" ht="13.5" customHeight="1">
      <c r="B8749" t="s" s="8">
        <v>3185</v>
      </c>
      <c r="C8749" t="s" s="9">
        <v>14</v>
      </c>
      <c r="D8749" t="s" s="8">
        <v>14</v>
      </c>
      <c r="E8749" t="s" s="9">
        <v>14</v>
      </c>
      <c r="F8749" t="s" s="10">
        <v>14</v>
      </c>
      <c r="G8749" t="s" s="11">
        <v>14</v>
      </c>
      <c r="H8749" t="s" s="10">
        <v>14</v>
      </c>
      <c r="I8749" t="s" s="11">
        <v>14</v>
      </c>
      <c r="J8749" t="s" s="11">
        <v>14</v>
      </c>
      <c r="K8749" t="s" s="12">
        <v>14</v>
      </c>
      <c r="L8749" t="s" s="12">
        <v>14</v>
      </c>
      <c r="M8749" t="s" s="10">
        <v>14</v>
      </c>
      <c r="N8749" t="s" s="11">
        <v>14</v>
      </c>
      <c r="O8749" t="s" s="8">
        <v>14</v>
      </c>
      <c r="P8749" t="s" s="8">
        <v>14</v>
      </c>
      <c r="Q8749" t="s" s="12">
        <v>14</v>
      </c>
      <c r="R8749" t="s" s="12">
        <v>14</v>
      </c>
    </row>
    <row r="8750" s="2" customFormat="1" ht="13.5" customHeight="1">
      <c r="B8750" s="13"/>
      <c r="C8750" t="s" s="9">
        <v>16</v>
      </c>
      <c r="D8750" t="s" s="8">
        <v>3185</v>
      </c>
      <c r="E8750" t="s" s="9">
        <v>3186</v>
      </c>
      <c r="F8750" t="s" s="10">
        <v>229</v>
      </c>
      <c r="G8750" t="s" s="11">
        <v>73</v>
      </c>
      <c r="H8750" t="s" s="10">
        <v>229</v>
      </c>
      <c r="I8750" t="s" s="11">
        <v>73</v>
      </c>
      <c r="J8750" t="s" s="11">
        <v>20</v>
      </c>
      <c r="K8750" s="15"/>
      <c r="L8750" t="s" s="16">
        <f>HYPERLINK("http://csr.bu.edu/ftp/asl/asllvd/demos/verify_start_end_handshape_annotations//test_auto_move//signs_mov_separ_signers/Liz_2397.mov","MOV")</f>
        <v>21</v>
      </c>
      <c r="M8750" t="s" s="10">
        <v>36</v>
      </c>
      <c r="N8750" s="17">
        <v>43</v>
      </c>
      <c r="O8750" s="18">
        <v>3551</v>
      </c>
      <c r="P8750" s="18">
        <v>3590</v>
      </c>
      <c r="Q8750" s="15"/>
      <c r="R8750" t="s" s="16">
        <f>HYPERLINK("http://secrets.rutgers.edu:8080/data/asl-ftp/asllvd/demos/verify_start_end_handshape_annotations//test_auto_move//signs_mov_separ_signers/Liz_2397.mov","MOV")</f>
        <v>21</v>
      </c>
    </row>
    <row r="8751" s="2" customFormat="1" ht="13.5" customHeight="1">
      <c r="B8751" s="13"/>
      <c r="C8751" t="s" s="9">
        <v>16</v>
      </c>
      <c r="D8751" t="s" s="8">
        <v>3185</v>
      </c>
      <c r="E8751" t="s" s="9">
        <v>3186</v>
      </c>
      <c r="F8751" t="s" s="10">
        <v>229</v>
      </c>
      <c r="G8751" t="s" s="11">
        <v>73</v>
      </c>
      <c r="H8751" t="s" s="10">
        <v>229</v>
      </c>
      <c r="I8751" t="s" s="11">
        <v>73</v>
      </c>
      <c r="J8751" t="s" s="11">
        <v>20</v>
      </c>
      <c r="K8751" t="s" s="16">
        <f>HYPERLINK("http://csr.bu.edu/ftp/asl/asllvd/demos/verify_start_end_handshape_annotations//test_auto_move//signs_mov/2397_3481_merged.mov","MOV")</f>
        <v>21</v>
      </c>
      <c r="L8751" t="s" s="16">
        <f>HYPERLINK("http://csr.bu.edu/ftp/asl/asllvd/demos/verify_start_end_handshape_annotations//test_auto_move//signs_mov_separ_signers/Liz_3481.mov","MOV")</f>
        <v>21</v>
      </c>
      <c r="M8751" t="s" s="10">
        <v>36</v>
      </c>
      <c r="N8751" s="17">
        <v>43</v>
      </c>
      <c r="O8751" s="18">
        <v>3905</v>
      </c>
      <c r="P8751" s="18">
        <v>3950</v>
      </c>
      <c r="Q8751" t="s" s="16">
        <f>HYPERLINK("http://secrets.rutgers.edu:8080/data/asl-ftp/asllvd/demos/verify_start_end_handshape_annotations//test_auto_move//signs_mov/2397_3481_merged.mov","MOV")</f>
        <v>21</v>
      </c>
      <c r="R8751" t="s" s="16">
        <f>HYPERLINK("http://secrets.rutgers.edu:8080/data/asl-ftp/asllvd/demos/verify_start_end_handshape_annotations//test_auto_move//signs_mov_separ_signers/Liz_3481.mov","MOV")</f>
        <v>21</v>
      </c>
    </row>
    <row r="8752" s="2" customFormat="1" ht="13.5" customHeight="1">
      <c r="B8752" s="13"/>
      <c r="C8752" t="s" s="9">
        <v>30</v>
      </c>
      <c r="D8752" t="s" s="8">
        <v>3185</v>
      </c>
      <c r="E8752" t="s" s="9">
        <v>3186</v>
      </c>
      <c r="F8752" t="s" s="10">
        <v>229</v>
      </c>
      <c r="G8752" t="s" s="11">
        <v>73</v>
      </c>
      <c r="H8752" t="s" s="10">
        <v>229</v>
      </c>
      <c r="I8752" t="s" s="11">
        <v>73</v>
      </c>
      <c r="J8752" t="s" s="11">
        <v>20</v>
      </c>
      <c r="K8752" s="15"/>
      <c r="L8752" t="s" s="16">
        <f>HYPERLINK("http://csr.bu.edu/ftp/asl/asllvd/demos/verify_start_end_handshape_annotations//test_auto_move//signs_mov_separ_signers/Brady_2397.mov","MOV")</f>
        <v>21</v>
      </c>
      <c r="M8752" t="s" s="10">
        <v>40</v>
      </c>
      <c r="N8752" s="17">
        <v>96</v>
      </c>
      <c r="O8752" s="18">
        <v>418</v>
      </c>
      <c r="P8752" s="18">
        <v>440</v>
      </c>
      <c r="Q8752" s="15"/>
      <c r="R8752" t="s" s="16">
        <f>HYPERLINK("http://secrets.rutgers.edu:8080/data/asl-ftp/asllvd/demos/verify_start_end_handshape_annotations//test_auto_move//signs_mov_separ_signers/Brady_2397.mov","MOV")</f>
        <v>21</v>
      </c>
    </row>
    <row r="8753" s="2" customFormat="1" ht="13.5" customHeight="1">
      <c r="B8753" s="13"/>
      <c r="C8753" t="s" s="9">
        <v>30</v>
      </c>
      <c r="D8753" t="s" s="8">
        <v>3185</v>
      </c>
      <c r="E8753" t="s" s="9">
        <v>3186</v>
      </c>
      <c r="F8753" t="s" s="10">
        <v>229</v>
      </c>
      <c r="G8753" t="s" s="11">
        <v>73</v>
      </c>
      <c r="H8753" t="s" s="10">
        <v>229</v>
      </c>
      <c r="I8753" t="s" s="11">
        <v>73</v>
      </c>
      <c r="J8753" t="s" s="11">
        <v>20</v>
      </c>
      <c r="K8753" s="15"/>
      <c r="L8753" t="s" s="16">
        <f>HYPERLINK("http://csr.bu.edu/ftp/asl/asllvd/demos/verify_start_end_handshape_annotations//test_auto_move//signs_mov_separ_signers/Brady_3481.mov","MOV")</f>
        <v>21</v>
      </c>
      <c r="M8753" t="s" s="10">
        <v>60</v>
      </c>
      <c r="N8753" s="17">
        <v>54</v>
      </c>
      <c r="O8753" s="18">
        <v>496</v>
      </c>
      <c r="P8753" s="18">
        <v>537</v>
      </c>
      <c r="Q8753" s="15"/>
      <c r="R8753" t="s" s="16">
        <f>HYPERLINK("http://secrets.rutgers.edu:8080/data/asl-ftp/asllvd/demos/verify_start_end_handshape_annotations//test_auto_move//signs_mov_separ_signers/Brady_3481.mov","MOV")</f>
        <v>21</v>
      </c>
    </row>
    <row r="8754" s="2" customFormat="1" ht="13.5" customHeight="1">
      <c r="B8754" t="s" s="8">
        <v>3187</v>
      </c>
      <c r="C8754" t="s" s="9">
        <v>14</v>
      </c>
      <c r="D8754" t="s" s="8">
        <v>14</v>
      </c>
      <c r="E8754" t="s" s="9">
        <v>14</v>
      </c>
      <c r="F8754" t="s" s="10">
        <v>14</v>
      </c>
      <c r="G8754" t="s" s="11">
        <v>14</v>
      </c>
      <c r="H8754" t="s" s="10">
        <v>14</v>
      </c>
      <c r="I8754" t="s" s="11">
        <v>14</v>
      </c>
      <c r="J8754" t="s" s="11">
        <v>14</v>
      </c>
      <c r="K8754" t="s" s="12">
        <v>14</v>
      </c>
      <c r="L8754" t="s" s="12">
        <v>14</v>
      </c>
      <c r="M8754" t="s" s="10">
        <v>14</v>
      </c>
      <c r="N8754" t="s" s="11">
        <v>14</v>
      </c>
      <c r="O8754" t="s" s="8">
        <v>14</v>
      </c>
      <c r="P8754" t="s" s="8">
        <v>14</v>
      </c>
      <c r="Q8754" t="s" s="12">
        <v>14</v>
      </c>
      <c r="R8754" t="s" s="12">
        <v>14</v>
      </c>
    </row>
    <row r="8755" s="2" customFormat="1" ht="13.5" customHeight="1">
      <c r="B8755" s="13"/>
      <c r="C8755" t="s" s="9">
        <v>16</v>
      </c>
      <c r="D8755" t="s" s="8">
        <v>3187</v>
      </c>
      <c r="E8755" t="s" s="9">
        <v>3187</v>
      </c>
      <c r="F8755" t="s" s="10">
        <v>229</v>
      </c>
      <c r="G8755" t="s" s="11">
        <v>73</v>
      </c>
      <c r="H8755" t="s" s="10">
        <v>229</v>
      </c>
      <c r="I8755" t="s" s="11">
        <v>73</v>
      </c>
      <c r="J8755" t="s" s="11">
        <v>20</v>
      </c>
      <c r="K8755" s="15"/>
      <c r="L8755" t="s" s="16">
        <f>HYPERLINK("http://csr.bu.edu/ftp/asl/asllvd/demos/verify_start_end_handshape_annotations//test_auto_move//signs_mov_separ_signers/Liz_5943.mov","MOV")</f>
        <v>21</v>
      </c>
      <c r="M8755" t="s" s="10">
        <v>22</v>
      </c>
      <c r="N8755" s="17">
        <v>21</v>
      </c>
      <c r="O8755" s="18">
        <v>450</v>
      </c>
      <c r="P8755" s="18">
        <v>490</v>
      </c>
      <c r="Q8755" s="15"/>
      <c r="R8755" t="s" s="16">
        <f>HYPERLINK("http://secrets.rutgers.edu:8080/data/asl-ftp/asllvd/demos/verify_start_end_handshape_annotations//test_auto_move//signs_mov_separ_signers/Liz_5943.mov","MOV")</f>
        <v>21</v>
      </c>
    </row>
    <row r="8756" s="2" customFormat="1" ht="13.5" customHeight="1">
      <c r="B8756" s="13"/>
      <c r="C8756" t="s" s="9">
        <v>16</v>
      </c>
      <c r="D8756" t="s" s="8">
        <v>3187</v>
      </c>
      <c r="E8756" t="s" s="9">
        <v>3187</v>
      </c>
      <c r="F8756" t="s" s="10">
        <v>229</v>
      </c>
      <c r="G8756" t="s" s="11">
        <v>73</v>
      </c>
      <c r="H8756" t="s" s="10">
        <v>229</v>
      </c>
      <c r="I8756" t="s" s="11">
        <v>73</v>
      </c>
      <c r="J8756" t="s" s="11">
        <v>20</v>
      </c>
      <c r="K8756" s="15"/>
      <c r="L8756" t="s" s="16">
        <f>HYPERLINK("http://csr.bu.edu/ftp/asl/asllvd/demos/verify_start_end_handshape_annotations//test_auto_move//signs_mov_separ_signers/Liz_15842.mov","MOV")</f>
        <v>21</v>
      </c>
      <c r="M8756" t="s" s="10">
        <v>36</v>
      </c>
      <c r="N8756" s="17">
        <v>13</v>
      </c>
      <c r="O8756" s="18">
        <v>2000</v>
      </c>
      <c r="P8756" s="18">
        <v>2052</v>
      </c>
      <c r="Q8756" s="15"/>
      <c r="R8756" t="s" s="16">
        <f>HYPERLINK("http://secrets.rutgers.edu:8080/data/asl-ftp/asllvd/demos/verify_start_end_handshape_annotations//test_auto_move//signs_mov_separ_signers/Liz_15842.mov","MOV")</f>
        <v>21</v>
      </c>
    </row>
    <row r="8757" s="2" customFormat="1" ht="13.5" customHeight="1">
      <c r="B8757" s="13"/>
      <c r="C8757" t="s" s="9">
        <v>23</v>
      </c>
      <c r="D8757" t="s" s="8">
        <v>3187</v>
      </c>
      <c r="E8757" t="s" s="9">
        <v>3187</v>
      </c>
      <c r="F8757" t="s" s="10">
        <v>229</v>
      </c>
      <c r="G8757" t="s" s="11">
        <v>73</v>
      </c>
      <c r="H8757" t="s" s="10">
        <v>229</v>
      </c>
      <c r="I8757" t="s" s="11">
        <v>73</v>
      </c>
      <c r="J8757" t="s" s="11">
        <v>20</v>
      </c>
      <c r="K8757" s="15"/>
      <c r="L8757" t="s" s="16">
        <f>HYPERLINK("http://csr.bu.edu/ftp/asl/asllvd/demos/verify_start_end_handshape_annotations//test_auto_move//signs_mov_separ_signers/Tyler_5943.mov","MOV")</f>
        <v>21</v>
      </c>
      <c r="M8757" t="s" s="10">
        <v>26</v>
      </c>
      <c r="N8757" s="17">
        <v>14</v>
      </c>
      <c r="O8757" s="18">
        <v>771</v>
      </c>
      <c r="P8757" s="18">
        <v>802</v>
      </c>
      <c r="Q8757" s="15"/>
      <c r="R8757" t="s" s="16">
        <f>HYPERLINK("http://secrets.rutgers.edu:8080/data/asl-ftp/asllvd/demos/verify_start_end_handshape_annotations//test_auto_move//signs_mov_separ_signers/Tyler_5943.mov","MOV")</f>
        <v>21</v>
      </c>
    </row>
    <row r="8758" s="2" customFormat="1" ht="13.5" customHeight="1">
      <c r="B8758" s="13"/>
      <c r="C8758" t="s" s="9">
        <v>27</v>
      </c>
      <c r="D8758" t="s" s="8">
        <v>3187</v>
      </c>
      <c r="E8758" t="s" s="9">
        <v>3187</v>
      </c>
      <c r="F8758" t="s" s="10">
        <v>229</v>
      </c>
      <c r="G8758" t="s" s="11">
        <v>73</v>
      </c>
      <c r="H8758" t="s" s="10">
        <v>229</v>
      </c>
      <c r="I8758" t="s" s="11">
        <v>73</v>
      </c>
      <c r="J8758" t="s" s="11">
        <v>20</v>
      </c>
      <c r="K8758" s="15"/>
      <c r="L8758" t="s" s="16">
        <f>HYPERLINK("http://csr.bu.edu/ftp/asl/asllvd/demos/verify_start_end_handshape_annotations//test_auto_move//signs_mov_separ_signers/Naomi_5943.mov","MOV")</f>
        <v>21</v>
      </c>
      <c r="M8758" t="s" s="10">
        <v>29</v>
      </c>
      <c r="N8758" s="17">
        <v>14</v>
      </c>
      <c r="O8758" s="18">
        <v>827</v>
      </c>
      <c r="P8758" s="18">
        <v>860</v>
      </c>
      <c r="Q8758" s="15"/>
      <c r="R8758" t="s" s="16">
        <f>HYPERLINK("http://secrets.rutgers.edu:8080/data/asl-ftp/asllvd/demos/verify_start_end_handshape_annotations//test_auto_move//signs_mov_separ_signers/Naomi_5943.mov","MOV")</f>
        <v>21</v>
      </c>
    </row>
    <row r="8759" s="2" customFormat="1" ht="13.5" customHeight="1">
      <c r="B8759" s="13"/>
      <c r="C8759" t="s" s="9">
        <v>30</v>
      </c>
      <c r="D8759" t="s" s="8">
        <v>3187</v>
      </c>
      <c r="E8759" t="s" s="9">
        <v>3187</v>
      </c>
      <c r="F8759" t="s" s="10">
        <v>229</v>
      </c>
      <c r="G8759" t="s" s="11">
        <v>73</v>
      </c>
      <c r="H8759" t="s" s="10">
        <v>229</v>
      </c>
      <c r="I8759" t="s" s="11">
        <v>73</v>
      </c>
      <c r="J8759" t="s" s="11">
        <v>20</v>
      </c>
      <c r="K8759" t="s" s="16">
        <f>HYPERLINK("http://csr.bu.edu/ftp/asl/asllvd/demos/verify_start_end_handshape_annotations//test_auto_move//signs_mov/5943_15842_15860_15904_merged.mov","MOV")</f>
        <v>21</v>
      </c>
      <c r="L8759" t="s" s="16">
        <f>HYPERLINK("http://csr.bu.edu/ftp/asl/asllvd/demos/verify_start_end_handshape_annotations//test_auto_move//signs_mov_separ_signers/Brady_5943.mov","MOV")</f>
        <v>21</v>
      </c>
      <c r="M8759" t="s" s="10">
        <v>31</v>
      </c>
      <c r="N8759" s="17">
        <v>12</v>
      </c>
      <c r="O8759" s="18">
        <v>12000</v>
      </c>
      <c r="P8759" s="18">
        <v>12013</v>
      </c>
      <c r="Q8759" t="s" s="16">
        <f>HYPERLINK("http://secrets.rutgers.edu:8080/data/asl-ftp/asllvd/demos/verify_start_end_handshape_annotations//test_auto_move//signs_mov/5943_15842_15860_15904_merged.mov","MOV")</f>
        <v>21</v>
      </c>
      <c r="R8759" t="s" s="16">
        <f>HYPERLINK("http://secrets.rutgers.edu:8080/data/asl-ftp/asllvd/demos/verify_start_end_handshape_annotations//test_auto_move//signs_mov_separ_signers/Brady_5943.mov","MOV")</f>
        <v>21</v>
      </c>
    </row>
    <row r="8760" s="2" customFormat="1" ht="13.5" customHeight="1">
      <c r="B8760" s="13"/>
      <c r="C8760" t="s" s="9">
        <v>30</v>
      </c>
      <c r="D8760" t="s" s="8">
        <v>3187</v>
      </c>
      <c r="E8760" t="s" s="9">
        <v>3187</v>
      </c>
      <c r="F8760" t="s" s="10">
        <v>229</v>
      </c>
      <c r="G8760" t="s" s="11">
        <v>73</v>
      </c>
      <c r="H8760" t="s" s="10">
        <v>229</v>
      </c>
      <c r="I8760" t="s" s="11">
        <v>73</v>
      </c>
      <c r="J8760" t="s" s="11">
        <v>20</v>
      </c>
      <c r="K8760" s="15"/>
      <c r="L8760" t="s" s="16">
        <f>HYPERLINK("http://csr.bu.edu/ftp/asl/asllvd/demos/verify_start_end_handshape_annotations//test_auto_move//signs_mov_separ_signers/Brady_15842.mov","MOV")</f>
        <v>21</v>
      </c>
      <c r="M8760" t="s" s="10">
        <v>40</v>
      </c>
      <c r="N8760" s="17">
        <v>58</v>
      </c>
      <c r="O8760" s="18">
        <v>2168</v>
      </c>
      <c r="P8760" s="18">
        <v>2193</v>
      </c>
      <c r="Q8760" s="15"/>
      <c r="R8760" t="s" s="16">
        <f>HYPERLINK("http://secrets.rutgers.edu:8080/data/asl-ftp/asllvd/demos/verify_start_end_handshape_annotations//test_auto_move//signs_mov_separ_signers/Brady_15842.mov","MOV")</f>
        <v>21</v>
      </c>
    </row>
    <row r="8761" s="2" customFormat="1" ht="13.5" customHeight="1">
      <c r="B8761" s="13"/>
      <c r="C8761" t="s" s="9">
        <v>30</v>
      </c>
      <c r="D8761" t="s" s="8">
        <v>3187</v>
      </c>
      <c r="E8761" t="s" s="9">
        <v>3187</v>
      </c>
      <c r="F8761" t="s" s="10">
        <v>229</v>
      </c>
      <c r="G8761" t="s" s="11">
        <v>73</v>
      </c>
      <c r="H8761" t="s" s="10">
        <v>229</v>
      </c>
      <c r="I8761" t="s" s="11">
        <v>73</v>
      </c>
      <c r="J8761" t="s" s="11">
        <v>20</v>
      </c>
      <c r="K8761" s="15"/>
      <c r="L8761" t="s" s="16">
        <f>HYPERLINK("http://csr.bu.edu/ftp/asl/asllvd/demos/verify_start_end_handshape_annotations//test_auto_move//signs_mov_separ_signers/Brady_15860.mov","MOV")</f>
        <v>21</v>
      </c>
      <c r="M8761" t="s" s="10">
        <v>40</v>
      </c>
      <c r="N8761" s="17">
        <v>95</v>
      </c>
      <c r="O8761" s="18">
        <v>2320</v>
      </c>
      <c r="P8761" s="18">
        <v>2337</v>
      </c>
      <c r="Q8761" s="15"/>
      <c r="R8761" t="s" s="16">
        <f>HYPERLINK("http://secrets.rutgers.edu:8080/data/asl-ftp/asllvd/demos/verify_start_end_handshape_annotations//test_auto_move//signs_mov_separ_signers/Brady_15860.mov","MOV")</f>
        <v>21</v>
      </c>
    </row>
    <row r="8762" s="2" customFormat="1" ht="13.5" customHeight="1">
      <c r="B8762" s="13"/>
      <c r="C8762" t="s" s="9">
        <v>30</v>
      </c>
      <c r="D8762" t="s" s="8">
        <v>3187</v>
      </c>
      <c r="E8762" t="s" s="9">
        <v>3187</v>
      </c>
      <c r="F8762" t="s" s="10">
        <v>229</v>
      </c>
      <c r="G8762" t="s" s="11">
        <v>73</v>
      </c>
      <c r="H8762" t="s" s="10">
        <v>229</v>
      </c>
      <c r="I8762" t="s" s="11">
        <v>73</v>
      </c>
      <c r="J8762" t="s" s="11">
        <v>20</v>
      </c>
      <c r="K8762" s="15"/>
      <c r="L8762" t="s" s="16">
        <f>HYPERLINK("http://csr.bu.edu/ftp/asl/asllvd/demos/verify_start_end_handshape_annotations//test_auto_move//signs_mov_separ_signers/Brady_15904.mov","MOV")</f>
        <v>21</v>
      </c>
      <c r="M8762" t="s" s="10">
        <v>60</v>
      </c>
      <c r="N8762" s="17">
        <v>37</v>
      </c>
      <c r="O8762" s="18">
        <v>1978</v>
      </c>
      <c r="P8762" s="18">
        <v>2000</v>
      </c>
      <c r="Q8762" s="15"/>
      <c r="R8762" t="s" s="16">
        <f>HYPERLINK("http://secrets.rutgers.edu:8080/data/asl-ftp/asllvd/demos/verify_start_end_handshape_annotations//test_auto_move//signs_mov_separ_signers/Brady_15904.mov","MOV")</f>
        <v>21</v>
      </c>
    </row>
    <row r="8763" s="2" customFormat="1" ht="13.5" customHeight="1">
      <c r="B8763" s="13"/>
      <c r="C8763" t="s" s="9">
        <v>41</v>
      </c>
      <c r="D8763" t="s" s="8">
        <v>3187</v>
      </c>
      <c r="E8763" t="s" s="9">
        <v>3187</v>
      </c>
      <c r="F8763" t="s" s="10">
        <v>229</v>
      </c>
      <c r="G8763" t="s" s="11">
        <v>73</v>
      </c>
      <c r="H8763" t="s" s="10">
        <v>229</v>
      </c>
      <c r="I8763" t="s" s="11">
        <v>73</v>
      </c>
      <c r="J8763" t="s" s="11">
        <v>20</v>
      </c>
      <c r="K8763" s="15"/>
      <c r="L8763" t="s" s="16">
        <f>HYPERLINK("http://csr.bu.edu/ftp/asl/asllvd/demos/verify_start_end_handshape_annotations//test_auto_move//signs_mov_separ_signers/Lana_5943.mov","MOV")</f>
        <v>21</v>
      </c>
      <c r="M8763" t="s" s="10">
        <v>42</v>
      </c>
      <c r="N8763" s="17">
        <v>25</v>
      </c>
      <c r="O8763" s="18">
        <v>2637</v>
      </c>
      <c r="P8763" s="18">
        <v>2667</v>
      </c>
      <c r="Q8763" s="15"/>
      <c r="R8763" t="s" s="16">
        <f>HYPERLINK("http://secrets.rutgers.edu:8080/data/asl-ftp/asllvd/demos/verify_start_end_handshape_annotations//test_auto_move//signs_mov_separ_signers/Lana_5943.mov","MOV")</f>
        <v>21</v>
      </c>
    </row>
    <row r="8764" s="2" customFormat="1" ht="13.5" customHeight="1">
      <c r="B8764" s="13"/>
      <c r="C8764" t="s" s="9">
        <v>43</v>
      </c>
      <c r="D8764" t="s" s="8">
        <v>3187</v>
      </c>
      <c r="E8764" t="s" s="9">
        <v>3187</v>
      </c>
      <c r="F8764" t="s" s="10">
        <v>229</v>
      </c>
      <c r="G8764" t="s" s="11">
        <v>73</v>
      </c>
      <c r="H8764" t="s" s="10">
        <v>229</v>
      </c>
      <c r="I8764" t="s" s="11">
        <v>73</v>
      </c>
      <c r="J8764" t="s" s="11">
        <v>20</v>
      </c>
      <c r="K8764" s="15"/>
      <c r="L8764" t="s" s="16">
        <f>HYPERLINK("http://csr.bu.edu/ftp/asl/asllvd/demos/verify_start_end_handshape_annotations//test_auto_move//signs_mov_separ_signers/Dana_5943.mov","MOV")</f>
        <v>21</v>
      </c>
      <c r="M8764" t="s" s="10">
        <v>44</v>
      </c>
      <c r="N8764" s="17">
        <v>27</v>
      </c>
      <c r="O8764" s="18">
        <v>2576</v>
      </c>
      <c r="P8764" s="18">
        <v>2630</v>
      </c>
      <c r="Q8764" s="15"/>
      <c r="R8764" t="s" s="16">
        <f>HYPERLINK("http://secrets.rutgers.edu:8080/data/asl-ftp/asllvd/demos/verify_start_end_handshape_annotations//test_auto_move//signs_mov_separ_signers/Dana_5943.mov","MOV")</f>
        <v>21</v>
      </c>
    </row>
    <row r="8765" s="2" customFormat="1" ht="13.5" customHeight="1">
      <c r="B8765" t="s" s="8">
        <v>3188</v>
      </c>
      <c r="C8765" t="s" s="9">
        <v>14</v>
      </c>
      <c r="D8765" t="s" s="8">
        <v>14</v>
      </c>
      <c r="E8765" t="s" s="9">
        <v>14</v>
      </c>
      <c r="F8765" t="s" s="10">
        <v>14</v>
      </c>
      <c r="G8765" t="s" s="11">
        <v>14</v>
      </c>
      <c r="H8765" t="s" s="10">
        <v>14</v>
      </c>
      <c r="I8765" t="s" s="11">
        <v>14</v>
      </c>
      <c r="J8765" t="s" s="11">
        <v>14</v>
      </c>
      <c r="K8765" t="s" s="12">
        <v>14</v>
      </c>
      <c r="L8765" t="s" s="12">
        <v>14</v>
      </c>
      <c r="M8765" t="s" s="10">
        <v>14</v>
      </c>
      <c r="N8765" t="s" s="11">
        <v>14</v>
      </c>
      <c r="O8765" t="s" s="8">
        <v>14</v>
      </c>
      <c r="P8765" t="s" s="8">
        <v>14</v>
      </c>
      <c r="Q8765" t="s" s="12">
        <v>14</v>
      </c>
      <c r="R8765" t="s" s="12">
        <v>14</v>
      </c>
    </row>
    <row r="8766" s="2" customFormat="1" ht="13.5" customHeight="1">
      <c r="B8766" s="13"/>
      <c r="C8766" t="s" s="9">
        <v>16</v>
      </c>
      <c r="D8766" t="s" s="8">
        <v>3188</v>
      </c>
      <c r="E8766" t="s" s="9">
        <v>3188</v>
      </c>
      <c r="F8766" t="s" s="10">
        <v>230</v>
      </c>
      <c r="G8766" t="s" s="11">
        <v>73</v>
      </c>
      <c r="H8766" t="s" s="10">
        <v>230</v>
      </c>
      <c r="I8766" t="s" s="11">
        <v>73</v>
      </c>
      <c r="J8766" t="s" s="11">
        <v>20</v>
      </c>
      <c r="K8766" s="15"/>
      <c r="L8766" t="s" s="16">
        <f>HYPERLINK("http://csr.bu.edu/ftp/asl/asllvd/demos/verify_start_end_handshape_annotations//test_auto_move//signs_mov_separ_signers/Liz_15933.mov","MOV")</f>
        <v>21</v>
      </c>
      <c r="M8766" t="s" s="10">
        <v>34</v>
      </c>
      <c r="N8766" s="17">
        <v>4</v>
      </c>
      <c r="O8766" s="18">
        <v>1005</v>
      </c>
      <c r="P8766" s="18">
        <v>1061</v>
      </c>
      <c r="Q8766" s="15"/>
      <c r="R8766" t="s" s="16">
        <f>HYPERLINK("http://secrets.rutgers.edu:8080/data/asl-ftp/asllvd/demos/verify_start_end_handshape_annotations//test_auto_move//signs_mov_separ_signers/Liz_15933.mov","MOV")</f>
        <v>21</v>
      </c>
    </row>
    <row r="8767" s="2" customFormat="1" ht="13.5" customHeight="1">
      <c r="B8767" s="13"/>
      <c r="C8767" t="s" s="9">
        <v>23</v>
      </c>
      <c r="D8767" t="s" s="8">
        <v>3188</v>
      </c>
      <c r="E8767" t="s" s="9">
        <v>3188</v>
      </c>
      <c r="F8767" t="s" s="10">
        <v>230</v>
      </c>
      <c r="G8767" t="s" s="11">
        <v>73</v>
      </c>
      <c r="H8767" t="s" s="10">
        <v>230</v>
      </c>
      <c r="I8767" t="s" s="11">
        <v>73</v>
      </c>
      <c r="J8767" t="s" s="11">
        <v>20</v>
      </c>
      <c r="K8767" s="15"/>
      <c r="L8767" t="s" s="16">
        <f>HYPERLINK("http://csr.bu.edu/ftp/asl/asllvd/demos/verify_start_end_handshape_annotations//test_auto_move//signs_mov_separ_signers/Tyler_15933.mov","MOV")</f>
        <v>21</v>
      </c>
      <c r="M8767" t="s" s="10">
        <v>92</v>
      </c>
      <c r="N8767" s="17">
        <v>36</v>
      </c>
      <c r="O8767" s="18">
        <v>675</v>
      </c>
      <c r="P8767" s="18">
        <v>697</v>
      </c>
      <c r="Q8767" s="15"/>
      <c r="R8767" t="s" s="16">
        <f>HYPERLINK("http://secrets.rutgers.edu:8080/data/asl-ftp/asllvd/demos/verify_start_end_handshape_annotations//test_auto_move//signs_mov_separ_signers/Tyler_15933.mov","MOV")</f>
        <v>21</v>
      </c>
    </row>
    <row r="8768" s="2" customFormat="1" ht="13.5" customHeight="1">
      <c r="B8768" s="13"/>
      <c r="C8768" t="s" s="9">
        <v>27</v>
      </c>
      <c r="D8768" t="s" s="8">
        <v>3188</v>
      </c>
      <c r="E8768" t="s" s="9">
        <v>3188</v>
      </c>
      <c r="F8768" t="s" s="10">
        <v>230</v>
      </c>
      <c r="G8768" t="s" s="11">
        <v>73</v>
      </c>
      <c r="H8768" t="s" s="10">
        <v>230</v>
      </c>
      <c r="I8768" t="s" s="11">
        <v>73</v>
      </c>
      <c r="J8768" t="s" s="11">
        <v>20</v>
      </c>
      <c r="K8768" t="s" s="16">
        <f>HYPERLINK("http://csr.bu.edu/ftp/asl/asllvd/demos/verify_start_end_handshape_annotations//test_auto_move//signs_mov/15933_15958_merged.mov","MOV")</f>
        <v>21</v>
      </c>
      <c r="L8768" t="s" s="16">
        <f>HYPERLINK("http://csr.bu.edu/ftp/asl/asllvd/demos/verify_start_end_handshape_annotations//test_auto_move//signs_mov_separ_signers/Naomi_15933.mov","MOV")</f>
        <v>21</v>
      </c>
      <c r="M8768" t="s" s="10">
        <v>38</v>
      </c>
      <c r="N8768" s="17">
        <v>4</v>
      </c>
      <c r="O8768" s="18">
        <v>1312</v>
      </c>
      <c r="P8768" s="18">
        <v>1342</v>
      </c>
      <c r="Q8768" t="s" s="16">
        <f>HYPERLINK("http://secrets.rutgers.edu:8080/data/asl-ftp/asllvd/demos/verify_start_end_handshape_annotations//test_auto_move//signs_mov/15933_15958_merged.mov","MOV")</f>
        <v>21</v>
      </c>
      <c r="R8768" t="s" s="16">
        <f>HYPERLINK("http://secrets.rutgers.edu:8080/data/asl-ftp/asllvd/demos/verify_start_end_handshape_annotations//test_auto_move//signs_mov_separ_signers/Naomi_15933.mov","MOV")</f>
        <v>21</v>
      </c>
    </row>
    <row r="8769" s="2" customFormat="1" ht="13.5" customHeight="1">
      <c r="B8769" s="13"/>
      <c r="C8769" t="s" s="9">
        <v>30</v>
      </c>
      <c r="D8769" t="s" s="8">
        <v>3188</v>
      </c>
      <c r="E8769" t="s" s="9">
        <v>3188</v>
      </c>
      <c r="F8769" t="s" s="10">
        <v>230</v>
      </c>
      <c r="G8769" t="s" s="11">
        <v>73</v>
      </c>
      <c r="H8769" t="s" s="10">
        <v>230</v>
      </c>
      <c r="I8769" t="s" s="11">
        <v>73</v>
      </c>
      <c r="J8769" t="s" s="11">
        <v>20</v>
      </c>
      <c r="K8769" s="15"/>
      <c r="L8769" t="s" s="16">
        <f>HYPERLINK("http://csr.bu.edu/ftp/asl/asllvd/demos/verify_start_end_handshape_annotations//test_auto_move//signs_mov_separ_signers/Brady_15933.mov","MOV")</f>
        <v>21</v>
      </c>
      <c r="M8769" t="s" s="10">
        <v>39</v>
      </c>
      <c r="N8769" s="17">
        <v>25</v>
      </c>
      <c r="O8769" s="18">
        <v>3934</v>
      </c>
      <c r="P8769" s="18">
        <v>3958</v>
      </c>
      <c r="Q8769" s="15"/>
      <c r="R8769" t="s" s="16">
        <f>HYPERLINK("http://secrets.rutgers.edu:8080/data/asl-ftp/asllvd/demos/verify_start_end_handshape_annotations//test_auto_move//signs_mov_separ_signers/Brady_15933.mov","MOV")</f>
        <v>21</v>
      </c>
    </row>
    <row r="8770" s="2" customFormat="1" ht="13.5" customHeight="1">
      <c r="B8770" s="13"/>
      <c r="C8770" t="s" s="9">
        <v>30</v>
      </c>
      <c r="D8770" t="s" s="8">
        <v>3188</v>
      </c>
      <c r="E8770" t="s" s="9">
        <v>3188</v>
      </c>
      <c r="F8770" t="s" s="10">
        <v>230</v>
      </c>
      <c r="G8770" t="s" s="11">
        <v>73</v>
      </c>
      <c r="H8770" t="s" s="10">
        <v>230</v>
      </c>
      <c r="I8770" t="s" s="11">
        <v>73</v>
      </c>
      <c r="J8770" t="s" s="11">
        <v>20</v>
      </c>
      <c r="K8770" s="15"/>
      <c r="L8770" t="s" s="16">
        <f>HYPERLINK("http://csr.bu.edu/ftp/asl/asllvd/demos/verify_start_end_handshape_annotations//test_auto_move//signs_mov_separ_signers/Brady_15958.mov","MOV")</f>
        <v>21</v>
      </c>
      <c r="M8770" t="s" s="10">
        <v>60</v>
      </c>
      <c r="N8770" s="17">
        <v>43</v>
      </c>
      <c r="O8770" s="18">
        <v>2174</v>
      </c>
      <c r="P8770" s="18">
        <v>2199</v>
      </c>
      <c r="Q8770" s="15"/>
      <c r="R8770" t="s" s="16">
        <f>HYPERLINK("http://secrets.rutgers.edu:8080/data/asl-ftp/asllvd/demos/verify_start_end_handshape_annotations//test_auto_move//signs_mov_separ_signers/Brady_15958.mov","MOV")</f>
        <v>21</v>
      </c>
    </row>
    <row r="8771" s="2" customFormat="1" ht="13.5" customHeight="1">
      <c r="B8771" t="s" s="8">
        <v>3189</v>
      </c>
      <c r="C8771" t="s" s="9">
        <v>14</v>
      </c>
      <c r="D8771" t="s" s="8">
        <v>14</v>
      </c>
      <c r="E8771" t="s" s="9">
        <v>14</v>
      </c>
      <c r="F8771" t="s" s="10">
        <v>14</v>
      </c>
      <c r="G8771" t="s" s="11">
        <v>14</v>
      </c>
      <c r="H8771" t="s" s="10">
        <v>14</v>
      </c>
      <c r="I8771" t="s" s="11">
        <v>14</v>
      </c>
      <c r="J8771" t="s" s="11">
        <v>14</v>
      </c>
      <c r="K8771" t="s" s="12">
        <v>14</v>
      </c>
      <c r="L8771" t="s" s="12">
        <v>14</v>
      </c>
      <c r="M8771" t="s" s="10">
        <v>14</v>
      </c>
      <c r="N8771" t="s" s="11">
        <v>14</v>
      </c>
      <c r="O8771" t="s" s="8">
        <v>14</v>
      </c>
      <c r="P8771" t="s" s="8">
        <v>14</v>
      </c>
      <c r="Q8771" t="s" s="12">
        <v>14</v>
      </c>
      <c r="R8771" t="s" s="12">
        <v>14</v>
      </c>
    </row>
    <row r="8772" s="2" customFormat="1" ht="13.5" customHeight="1">
      <c r="B8772" s="13"/>
      <c r="C8772" t="s" s="9">
        <v>16</v>
      </c>
      <c r="D8772" t="s" s="8">
        <v>3189</v>
      </c>
      <c r="E8772" t="s" s="9">
        <v>3190</v>
      </c>
      <c r="F8772" s="19">
        <v>1</v>
      </c>
      <c r="G8772" s="17">
        <v>1</v>
      </c>
      <c r="H8772" s="19">
        <v>1</v>
      </c>
      <c r="I8772" s="17">
        <v>1</v>
      </c>
      <c r="J8772" t="s" s="11">
        <v>20</v>
      </c>
      <c r="K8772" t="s" s="16">
        <f>HYPERLINK("http://csr.bu.edu/ftp/asl/asllvd/demos/verify_start_end_handshape_annotations//test_auto_move//signs_mov/2400.mov","MOV")</f>
        <v>21</v>
      </c>
      <c r="L8772" t="s" s="16">
        <f>HYPERLINK("http://csr.bu.edu/ftp/asl/asllvd/demos/verify_start_end_handshape_annotations//test_auto_move//signs_mov_separ_signers/Liz_2400.mov","MOV")</f>
        <v>21</v>
      </c>
      <c r="M8772" t="s" s="10">
        <v>36</v>
      </c>
      <c r="N8772" s="17">
        <v>44</v>
      </c>
      <c r="O8772" s="18">
        <v>585</v>
      </c>
      <c r="P8772" s="18">
        <v>625</v>
      </c>
      <c r="Q8772" t="s" s="16">
        <f>HYPERLINK("http://secrets.rutgers.edu:8080/data/asl-ftp/asllvd/demos/verify_start_end_handshape_annotations//test_auto_move//signs_mov/2400.mov","MOV")</f>
        <v>21</v>
      </c>
      <c r="R8772" t="s" s="16">
        <f>HYPERLINK("http://secrets.rutgers.edu:8080/data/asl-ftp/asllvd/demos/verify_start_end_handshape_annotations//test_auto_move//signs_mov_separ_signers/Liz_2400.mov","MOV")</f>
        <v>21</v>
      </c>
    </row>
    <row r="8773" s="2" customFormat="1" ht="13.5" customHeight="1">
      <c r="B8773" s="13"/>
      <c r="C8773" t="s" s="9">
        <v>30</v>
      </c>
      <c r="D8773" t="s" s="8">
        <v>3189</v>
      </c>
      <c r="E8773" t="s" s="9">
        <v>3190</v>
      </c>
      <c r="F8773" s="19">
        <v>1</v>
      </c>
      <c r="G8773" s="17">
        <v>1</v>
      </c>
      <c r="H8773" s="19">
        <v>1</v>
      </c>
      <c r="I8773" s="17">
        <v>1</v>
      </c>
      <c r="J8773" t="s" s="11">
        <v>20</v>
      </c>
      <c r="K8773" s="15"/>
      <c r="L8773" t="s" s="16">
        <f>HYPERLINK("http://csr.bu.edu/ftp/asl/asllvd/demos/verify_start_end_handshape_annotations//test_auto_move//signs_mov_separ_signers/Brady_2400.mov","MOV")</f>
        <v>21</v>
      </c>
      <c r="M8773" t="s" s="10">
        <v>40</v>
      </c>
      <c r="N8773" s="17">
        <v>96</v>
      </c>
      <c r="O8773" s="18">
        <v>995</v>
      </c>
      <c r="P8773" s="18">
        <v>1052</v>
      </c>
      <c r="Q8773" s="15"/>
      <c r="R8773" t="s" s="16">
        <f>HYPERLINK("http://secrets.rutgers.edu:8080/data/asl-ftp/asllvd/demos/verify_start_end_handshape_annotations//test_auto_move//signs_mov_separ_signers/Brady_2400.mov","MOV")</f>
        <v>21</v>
      </c>
    </row>
    <row r="8774" s="2" customFormat="1" ht="13.5" customHeight="1">
      <c r="B8774" t="s" s="8">
        <v>3191</v>
      </c>
      <c r="C8774" t="s" s="9">
        <v>14</v>
      </c>
      <c r="D8774" t="s" s="8">
        <v>14</v>
      </c>
      <c r="E8774" t="s" s="9">
        <v>14</v>
      </c>
      <c r="F8774" t="s" s="10">
        <v>14</v>
      </c>
      <c r="G8774" t="s" s="11">
        <v>14</v>
      </c>
      <c r="H8774" t="s" s="10">
        <v>14</v>
      </c>
      <c r="I8774" t="s" s="11">
        <v>14</v>
      </c>
      <c r="J8774" t="s" s="11">
        <v>14</v>
      </c>
      <c r="K8774" t="s" s="12">
        <v>14</v>
      </c>
      <c r="L8774" t="s" s="12">
        <v>14</v>
      </c>
      <c r="M8774" t="s" s="10">
        <v>14</v>
      </c>
      <c r="N8774" t="s" s="11">
        <v>14</v>
      </c>
      <c r="O8774" t="s" s="8">
        <v>14</v>
      </c>
      <c r="P8774" t="s" s="8">
        <v>14</v>
      </c>
      <c r="Q8774" t="s" s="12">
        <v>14</v>
      </c>
      <c r="R8774" t="s" s="12">
        <v>14</v>
      </c>
    </row>
    <row r="8775" s="2" customFormat="1" ht="13.5" customHeight="1">
      <c r="B8775" s="13"/>
      <c r="C8775" t="s" s="9">
        <v>16</v>
      </c>
      <c r="D8775" t="s" s="8">
        <v>3191</v>
      </c>
      <c r="E8775" t="s" s="9">
        <v>3191</v>
      </c>
      <c r="F8775" s="19">
        <v>1</v>
      </c>
      <c r="G8775" s="17">
        <v>5</v>
      </c>
      <c r="H8775" s="19">
        <v>1</v>
      </c>
      <c r="I8775" s="17">
        <v>5</v>
      </c>
      <c r="J8775" t="s" s="11">
        <v>20</v>
      </c>
      <c r="K8775" t="s" s="16">
        <f>HYPERLINK("http://csr.bu.edu/ftp/asl/asllvd/demos/verify_start_end_handshape_annotations//test_auto_move//signs_mov/2403.mov","MOV")</f>
        <v>21</v>
      </c>
      <c r="L8775" t="s" s="16">
        <f>HYPERLINK("http://csr.bu.edu/ftp/asl/asllvd/demos/verify_start_end_handshape_annotations//test_auto_move//signs_mov_separ_signers/Liz_2403.mov","MOV")</f>
        <v>21</v>
      </c>
      <c r="M8775" t="s" s="10">
        <v>36</v>
      </c>
      <c r="N8775" s="17">
        <v>44</v>
      </c>
      <c r="O8775" s="18">
        <v>1519</v>
      </c>
      <c r="P8775" s="18">
        <v>1560</v>
      </c>
      <c r="Q8775" t="s" s="16">
        <f>HYPERLINK("http://secrets.rutgers.edu:8080/data/asl-ftp/asllvd/demos/verify_start_end_handshape_annotations//test_auto_move//signs_mov/2403.mov","MOV")</f>
        <v>21</v>
      </c>
      <c r="R8775" t="s" s="16">
        <f>HYPERLINK("http://secrets.rutgers.edu:8080/data/asl-ftp/asllvd/demos/verify_start_end_handshape_annotations//test_auto_move//signs_mov_separ_signers/Liz_2403.mov","MOV")</f>
        <v>21</v>
      </c>
    </row>
    <row r="8776" s="2" customFormat="1" ht="13.5" customHeight="1">
      <c r="B8776" s="13"/>
      <c r="C8776" t="s" s="9">
        <v>30</v>
      </c>
      <c r="D8776" t="s" s="8">
        <v>3191</v>
      </c>
      <c r="E8776" t="s" s="9">
        <v>3191</v>
      </c>
      <c r="F8776" s="19">
        <v>1</v>
      </c>
      <c r="G8776" s="17">
        <v>5</v>
      </c>
      <c r="H8776" s="19">
        <v>1</v>
      </c>
      <c r="I8776" s="17">
        <v>5</v>
      </c>
      <c r="J8776" t="s" s="11">
        <v>20</v>
      </c>
      <c r="K8776" s="15"/>
      <c r="L8776" t="s" s="16">
        <f>HYPERLINK("http://csr.bu.edu/ftp/asl/asllvd/demos/verify_start_end_handshape_annotations//test_auto_move//signs_mov_separ_signers/Brady_2403.mov","MOV")</f>
        <v>21</v>
      </c>
      <c r="M8776" t="s" s="10">
        <v>40</v>
      </c>
      <c r="N8776" s="17">
        <v>96</v>
      </c>
      <c r="O8776" s="18">
        <v>2089</v>
      </c>
      <c r="P8776" s="18">
        <v>2118</v>
      </c>
      <c r="Q8776" s="15"/>
      <c r="R8776" t="s" s="16">
        <f>HYPERLINK("http://secrets.rutgers.edu:8080/data/asl-ftp/asllvd/demos/verify_start_end_handshape_annotations//test_auto_move//signs_mov_separ_signers/Brady_2403.mov","MOV")</f>
        <v>21</v>
      </c>
    </row>
    <row r="8777" s="2" customFormat="1" ht="13.5" customHeight="1">
      <c r="B8777" t="s" s="8">
        <v>3192</v>
      </c>
      <c r="C8777" t="s" s="9">
        <v>14</v>
      </c>
      <c r="D8777" t="s" s="8">
        <v>14</v>
      </c>
      <c r="E8777" t="s" s="9">
        <v>14</v>
      </c>
      <c r="F8777" t="s" s="10">
        <v>14</v>
      </c>
      <c r="G8777" t="s" s="11">
        <v>14</v>
      </c>
      <c r="H8777" t="s" s="10">
        <v>14</v>
      </c>
      <c r="I8777" t="s" s="11">
        <v>14</v>
      </c>
      <c r="J8777" t="s" s="11">
        <v>14</v>
      </c>
      <c r="K8777" t="s" s="12">
        <v>14</v>
      </c>
      <c r="L8777" t="s" s="12">
        <v>14</v>
      </c>
      <c r="M8777" t="s" s="10">
        <v>14</v>
      </c>
      <c r="N8777" t="s" s="11">
        <v>14</v>
      </c>
      <c r="O8777" t="s" s="8">
        <v>14</v>
      </c>
      <c r="P8777" t="s" s="8">
        <v>14</v>
      </c>
      <c r="Q8777" t="s" s="12">
        <v>14</v>
      </c>
      <c r="R8777" t="s" s="12">
        <v>14</v>
      </c>
    </row>
    <row r="8778" s="2" customFormat="1" ht="13.5" customHeight="1">
      <c r="B8778" s="13"/>
      <c r="C8778" t="s" s="9">
        <v>16</v>
      </c>
      <c r="D8778" t="s" s="8">
        <v>3192</v>
      </c>
      <c r="E8778" t="s" s="9">
        <v>3192</v>
      </c>
      <c r="F8778" t="s" s="10">
        <v>68</v>
      </c>
      <c r="G8778" t="s" s="11">
        <v>73</v>
      </c>
      <c r="H8778" t="s" s="10">
        <v>68</v>
      </c>
      <c r="I8778" t="s" s="11">
        <v>73</v>
      </c>
      <c r="J8778" t="s" s="11">
        <v>20</v>
      </c>
      <c r="K8778" t="s" s="16">
        <f>HYPERLINK("http://csr.bu.edu/ftp/asl/asllvd/demos/verify_start_end_handshape_annotations//test_auto_move//signs_mov/2404.mov","MOV")</f>
        <v>21</v>
      </c>
      <c r="L8778" t="s" s="16">
        <f>HYPERLINK("http://csr.bu.edu/ftp/asl/asllvd/demos/verify_start_end_handshape_annotations//test_auto_move//signs_mov_separ_signers/Liz_2404.mov","MOV")</f>
        <v>21</v>
      </c>
      <c r="M8778" t="s" s="10">
        <v>36</v>
      </c>
      <c r="N8778" s="17">
        <v>44</v>
      </c>
      <c r="O8778" s="18">
        <v>1745</v>
      </c>
      <c r="P8778" s="18">
        <v>1795</v>
      </c>
      <c r="Q8778" t="s" s="16">
        <f>HYPERLINK("http://secrets.rutgers.edu:8080/data/asl-ftp/asllvd/demos/verify_start_end_handshape_annotations//test_auto_move//signs_mov/2404.mov","MOV")</f>
        <v>21</v>
      </c>
      <c r="R8778" t="s" s="16">
        <f>HYPERLINK("http://secrets.rutgers.edu:8080/data/asl-ftp/asllvd/demos/verify_start_end_handshape_annotations//test_auto_move//signs_mov_separ_signers/Liz_2404.mov","MOV")</f>
        <v>21</v>
      </c>
    </row>
    <row r="8779" s="2" customFormat="1" ht="13.5" customHeight="1">
      <c r="B8779" s="13"/>
      <c r="C8779" t="s" s="9">
        <v>30</v>
      </c>
      <c r="D8779" t="s" s="8">
        <v>3192</v>
      </c>
      <c r="E8779" t="s" s="9">
        <v>3192</v>
      </c>
      <c r="F8779" t="s" s="10">
        <v>68</v>
      </c>
      <c r="G8779" t="s" s="11">
        <v>73</v>
      </c>
      <c r="H8779" t="s" s="10">
        <v>68</v>
      </c>
      <c r="I8779" t="s" s="11">
        <v>73</v>
      </c>
      <c r="J8779" t="s" s="11">
        <v>20</v>
      </c>
      <c r="K8779" s="15"/>
      <c r="L8779" t="s" s="16">
        <f>HYPERLINK("http://csr.bu.edu/ftp/asl/asllvd/demos/verify_start_end_handshape_annotations//test_auto_move//signs_mov_separ_signers/Brady_2404.mov","MOV")</f>
        <v>21</v>
      </c>
      <c r="M8779" t="s" s="10">
        <v>40</v>
      </c>
      <c r="N8779" s="17">
        <v>96</v>
      </c>
      <c r="O8779" s="18">
        <v>2556</v>
      </c>
      <c r="P8779" s="18">
        <v>2574</v>
      </c>
      <c r="Q8779" s="15"/>
      <c r="R8779" t="s" s="16">
        <f>HYPERLINK("http://secrets.rutgers.edu:8080/data/asl-ftp/asllvd/demos/verify_start_end_handshape_annotations//test_auto_move//signs_mov_separ_signers/Brady_2404.mov","MOV")</f>
        <v>21</v>
      </c>
    </row>
    <row r="8780" s="2" customFormat="1" ht="13.5" customHeight="1">
      <c r="B8780" t="s" s="8">
        <v>3193</v>
      </c>
      <c r="C8780" t="s" s="9">
        <v>14</v>
      </c>
      <c r="D8780" t="s" s="8">
        <v>14</v>
      </c>
      <c r="E8780" t="s" s="9">
        <v>14</v>
      </c>
      <c r="F8780" t="s" s="10">
        <v>14</v>
      </c>
      <c r="G8780" t="s" s="11">
        <v>14</v>
      </c>
      <c r="H8780" t="s" s="10">
        <v>14</v>
      </c>
      <c r="I8780" t="s" s="11">
        <v>14</v>
      </c>
      <c r="J8780" t="s" s="11">
        <v>14</v>
      </c>
      <c r="K8780" t="s" s="12">
        <v>14</v>
      </c>
      <c r="L8780" t="s" s="12">
        <v>14</v>
      </c>
      <c r="M8780" t="s" s="10">
        <v>14</v>
      </c>
      <c r="N8780" t="s" s="11">
        <v>14</v>
      </c>
      <c r="O8780" t="s" s="8">
        <v>14</v>
      </c>
      <c r="P8780" t="s" s="8">
        <v>14</v>
      </c>
      <c r="Q8780" t="s" s="12">
        <v>14</v>
      </c>
      <c r="R8780" t="s" s="12">
        <v>14</v>
      </c>
    </row>
    <row r="8781" s="2" customFormat="1" ht="13.5" customHeight="1">
      <c r="B8781" s="13"/>
      <c r="C8781" t="s" s="9">
        <v>16</v>
      </c>
      <c r="D8781" t="s" s="8">
        <v>3193</v>
      </c>
      <c r="E8781" t="s" s="9">
        <v>3193</v>
      </c>
      <c r="F8781" t="s" s="10">
        <v>185</v>
      </c>
      <c r="G8781" t="s" s="11">
        <v>73</v>
      </c>
      <c r="H8781" t="s" s="10">
        <v>185</v>
      </c>
      <c r="I8781" t="s" s="11">
        <v>73</v>
      </c>
      <c r="J8781" t="s" s="11">
        <v>20</v>
      </c>
      <c r="K8781" s="15"/>
      <c r="L8781" t="s" s="16">
        <f>HYPERLINK("http://csr.bu.edu/ftp/asl/asllvd/demos/verify_start_end_handshape_annotations//test_auto_move//signs_mov_separ_signers/Liz_15909.mov","MOV")</f>
        <v>21</v>
      </c>
      <c r="M8781" t="s" s="10">
        <v>84</v>
      </c>
      <c r="N8781" s="17">
        <v>4</v>
      </c>
      <c r="O8781" s="18">
        <v>650</v>
      </c>
      <c r="P8781" s="18">
        <v>685</v>
      </c>
      <c r="Q8781" s="15"/>
      <c r="R8781" t="s" s="16">
        <f>HYPERLINK("http://secrets.rutgers.edu:8080/data/asl-ftp/asllvd/demos/verify_start_end_handshape_annotations//test_auto_move//signs_mov_separ_signers/Liz_15909.mov","MOV")</f>
        <v>21</v>
      </c>
    </row>
    <row r="8782" s="2" customFormat="1" ht="13.5" customHeight="1">
      <c r="B8782" s="13"/>
      <c r="C8782" t="s" s="9">
        <v>27</v>
      </c>
      <c r="D8782" t="s" s="8">
        <v>3193</v>
      </c>
      <c r="E8782" t="s" s="9">
        <v>3193</v>
      </c>
      <c r="F8782" t="s" s="10">
        <v>185</v>
      </c>
      <c r="G8782" t="s" s="11">
        <v>73</v>
      </c>
      <c r="H8782" t="s" s="10">
        <v>185</v>
      </c>
      <c r="I8782" t="s" s="11">
        <v>73</v>
      </c>
      <c r="J8782" t="s" s="11">
        <v>20</v>
      </c>
      <c r="K8782" t="s" s="16">
        <f>HYPERLINK("http://csr.bu.edu/ftp/asl/asllvd/demos/verify_start_end_handshape_annotations//test_auto_move//signs_mov/15909.mov","MOV")</f>
        <v>21</v>
      </c>
      <c r="L8782" t="s" s="16">
        <f>HYPERLINK("http://csr.bu.edu/ftp/asl/asllvd/demos/verify_start_end_handshape_annotations//test_auto_move//signs_mov_separ_signers/Naomi_15909.mov","MOV")</f>
        <v>21</v>
      </c>
      <c r="M8782" t="s" s="10">
        <v>86</v>
      </c>
      <c r="N8782" s="17">
        <v>4</v>
      </c>
      <c r="O8782" s="18">
        <v>240</v>
      </c>
      <c r="P8782" s="18">
        <v>270</v>
      </c>
      <c r="Q8782" t="s" s="16">
        <f>HYPERLINK("http://secrets.rutgers.edu:8080/data/asl-ftp/asllvd/demos/verify_start_end_handshape_annotations//test_auto_move//signs_mov/15909.mov","MOV")</f>
        <v>21</v>
      </c>
      <c r="R8782" t="s" s="16">
        <f>HYPERLINK("http://secrets.rutgers.edu:8080/data/asl-ftp/asllvd/demos/verify_start_end_handshape_annotations//test_auto_move//signs_mov_separ_signers/Naomi_15909.mov","MOV")</f>
        <v>21</v>
      </c>
    </row>
    <row r="8783" s="2" customFormat="1" ht="13.5" customHeight="1">
      <c r="B8783" s="13"/>
      <c r="C8783" t="s" s="9">
        <v>30</v>
      </c>
      <c r="D8783" t="s" s="8">
        <v>3193</v>
      </c>
      <c r="E8783" t="s" s="9">
        <v>3193</v>
      </c>
      <c r="F8783" t="s" s="10">
        <v>185</v>
      </c>
      <c r="G8783" t="s" s="11">
        <v>73</v>
      </c>
      <c r="H8783" t="s" s="10">
        <v>185</v>
      </c>
      <c r="I8783" t="s" s="11">
        <v>73</v>
      </c>
      <c r="J8783" t="s" s="11">
        <v>20</v>
      </c>
      <c r="K8783" s="15"/>
      <c r="L8783" t="s" s="16">
        <f>HYPERLINK("http://csr.bu.edu/ftp/asl/asllvd/demos/verify_start_end_handshape_annotations//test_auto_move//signs_mov_separ_signers/Brady_15909.mov","MOV")</f>
        <v>21</v>
      </c>
      <c r="M8783" t="s" s="10">
        <v>31</v>
      </c>
      <c r="N8783" s="17">
        <v>30</v>
      </c>
      <c r="O8783" s="18">
        <v>876</v>
      </c>
      <c r="P8783" s="18">
        <v>904</v>
      </c>
      <c r="Q8783" s="15"/>
      <c r="R8783" t="s" s="16">
        <f>HYPERLINK("http://secrets.rutgers.edu:8080/data/asl-ftp/asllvd/demos/verify_start_end_handshape_annotations//test_auto_move//signs_mov_separ_signers/Brady_15909.mov","MOV")</f>
        <v>21</v>
      </c>
    </row>
    <row r="8784" s="2" customFormat="1" ht="13.5" customHeight="1">
      <c r="B8784" t="s" s="8">
        <v>3194</v>
      </c>
      <c r="C8784" t="s" s="9">
        <v>14</v>
      </c>
      <c r="D8784" t="s" s="8">
        <v>14</v>
      </c>
      <c r="E8784" t="s" s="9">
        <v>14</v>
      </c>
      <c r="F8784" t="s" s="10">
        <v>14</v>
      </c>
      <c r="G8784" t="s" s="11">
        <v>14</v>
      </c>
      <c r="H8784" t="s" s="10">
        <v>14</v>
      </c>
      <c r="I8784" t="s" s="11">
        <v>14</v>
      </c>
      <c r="J8784" t="s" s="11">
        <v>14</v>
      </c>
      <c r="K8784" t="s" s="12">
        <v>14</v>
      </c>
      <c r="L8784" t="s" s="12">
        <v>14</v>
      </c>
      <c r="M8784" t="s" s="10">
        <v>14</v>
      </c>
      <c r="N8784" t="s" s="11">
        <v>14</v>
      </c>
      <c r="O8784" t="s" s="8">
        <v>14</v>
      </c>
      <c r="P8784" t="s" s="8">
        <v>14</v>
      </c>
      <c r="Q8784" t="s" s="12">
        <v>14</v>
      </c>
      <c r="R8784" t="s" s="12">
        <v>14</v>
      </c>
    </row>
    <row r="8785" s="2" customFormat="1" ht="13.5" customHeight="1">
      <c r="B8785" s="13"/>
      <c r="C8785" t="s" s="9">
        <v>16</v>
      </c>
      <c r="D8785" t="s" s="8">
        <v>3194</v>
      </c>
      <c r="E8785" t="s" s="9">
        <v>3195</v>
      </c>
      <c r="F8785" t="s" s="10">
        <v>68</v>
      </c>
      <c r="G8785" t="s" s="11">
        <v>73</v>
      </c>
      <c r="H8785" t="s" s="10">
        <v>68</v>
      </c>
      <c r="I8785" t="s" s="11">
        <v>73</v>
      </c>
      <c r="J8785" t="s" s="11">
        <v>20</v>
      </c>
      <c r="K8785" t="s" s="16">
        <f>HYPERLINK("http://csr.bu.edu/ftp/asl/asllvd/demos/verify_start_end_handshape_annotations//test_auto_move//signs_mov/15941.mov","MOV")</f>
        <v>21</v>
      </c>
      <c r="L8785" t="s" s="16">
        <f>HYPERLINK("http://csr.bu.edu/ftp/asl/asllvd/demos/verify_start_end_handshape_annotations//test_auto_move//signs_mov_separ_signers/Liz_15941.mov","MOV")</f>
        <v>21</v>
      </c>
      <c r="M8785" t="s" s="10">
        <v>59</v>
      </c>
      <c r="N8785" s="17">
        <v>3</v>
      </c>
      <c r="O8785" s="18">
        <v>665</v>
      </c>
      <c r="P8785" s="18">
        <v>707</v>
      </c>
      <c r="Q8785" t="s" s="16">
        <f>HYPERLINK("http://secrets.rutgers.edu:8080/data/asl-ftp/asllvd/demos/verify_start_end_handshape_annotations//test_auto_move//signs_mov/15941.mov","MOV")</f>
        <v>21</v>
      </c>
      <c r="R8785" t="s" s="16">
        <f>HYPERLINK("http://secrets.rutgers.edu:8080/data/asl-ftp/asllvd/demos/verify_start_end_handshape_annotations//test_auto_move//signs_mov_separ_signers/Liz_15941.mov","MOV")</f>
        <v>21</v>
      </c>
    </row>
    <row r="8786" s="2" customFormat="1" ht="13.5" customHeight="1">
      <c r="B8786" s="13"/>
      <c r="C8786" t="s" s="9">
        <v>30</v>
      </c>
      <c r="D8786" t="s" s="8">
        <v>3194</v>
      </c>
      <c r="E8786" t="s" s="9">
        <v>3195</v>
      </c>
      <c r="F8786" t="s" s="10">
        <v>68</v>
      </c>
      <c r="G8786" s="17">
        <v>5</v>
      </c>
      <c r="H8786" t="s" s="10">
        <v>68</v>
      </c>
      <c r="I8786" s="17">
        <v>5</v>
      </c>
      <c r="J8786" t="s" s="11">
        <v>20</v>
      </c>
      <c r="K8786" s="15"/>
      <c r="L8786" t="s" s="16">
        <f>HYPERLINK("http://csr.bu.edu/ftp/asl/asllvd/demos/verify_start_end_handshape_annotations//test_auto_move//signs_mov_separ_signers/Brady_15941.mov","MOV")</f>
        <v>21</v>
      </c>
      <c r="M8786" t="s" s="10">
        <v>40</v>
      </c>
      <c r="N8786" s="17">
        <v>107</v>
      </c>
      <c r="O8786" s="18">
        <v>2170</v>
      </c>
      <c r="P8786" s="18">
        <v>2197</v>
      </c>
      <c r="Q8786" s="15"/>
      <c r="R8786" t="s" s="16">
        <f>HYPERLINK("http://secrets.rutgers.edu:8080/data/asl-ftp/asllvd/demos/verify_start_end_handshape_annotations//test_auto_move//signs_mov_separ_signers/Brady_15941.mov","MOV")</f>
        <v>21</v>
      </c>
    </row>
    <row r="8787" s="2" customFormat="1" ht="13.5" customHeight="1">
      <c r="B8787" t="s" s="8">
        <v>3196</v>
      </c>
      <c r="C8787" t="s" s="9">
        <v>14</v>
      </c>
      <c r="D8787" t="s" s="8">
        <v>14</v>
      </c>
      <c r="E8787" t="s" s="9">
        <v>14</v>
      </c>
      <c r="F8787" t="s" s="10">
        <v>14</v>
      </c>
      <c r="G8787" t="s" s="11">
        <v>14</v>
      </c>
      <c r="H8787" t="s" s="10">
        <v>14</v>
      </c>
      <c r="I8787" t="s" s="11">
        <v>14</v>
      </c>
      <c r="J8787" t="s" s="11">
        <v>14</v>
      </c>
      <c r="K8787" t="s" s="12">
        <v>14</v>
      </c>
      <c r="L8787" t="s" s="12">
        <v>14</v>
      </c>
      <c r="M8787" t="s" s="10">
        <v>14</v>
      </c>
      <c r="N8787" t="s" s="11">
        <v>14</v>
      </c>
      <c r="O8787" t="s" s="8">
        <v>14</v>
      </c>
      <c r="P8787" t="s" s="8">
        <v>14</v>
      </c>
      <c r="Q8787" t="s" s="12">
        <v>14</v>
      </c>
      <c r="R8787" t="s" s="12">
        <v>14</v>
      </c>
    </row>
    <row r="8788" s="2" customFormat="1" ht="13.5" customHeight="1">
      <c r="B8788" s="13"/>
      <c r="C8788" t="s" s="9">
        <v>16</v>
      </c>
      <c r="D8788" t="s" s="8">
        <v>3196</v>
      </c>
      <c r="E8788" t="s" s="9">
        <v>3196</v>
      </c>
      <c r="F8788" t="s" s="10">
        <v>220</v>
      </c>
      <c r="G8788" t="s" s="11">
        <v>73</v>
      </c>
      <c r="H8788" t="s" s="10">
        <v>220</v>
      </c>
      <c r="I8788" t="s" s="11">
        <v>73</v>
      </c>
      <c r="J8788" t="s" s="11">
        <v>20</v>
      </c>
      <c r="K8788" t="s" s="16">
        <f>HYPERLINK("http://csr.bu.edu/ftp/asl/asllvd/demos/verify_start_end_handshape_annotations//test_auto_move//signs_mov/16069.mov","MOV")</f>
        <v>21</v>
      </c>
      <c r="L8788" t="s" s="16">
        <f>HYPERLINK("http://csr.bu.edu/ftp/asl/asllvd/demos/verify_start_end_handshape_annotations//test_auto_move//signs_mov_separ_signers/Liz_16069.mov","MOV")</f>
        <v>21</v>
      </c>
      <c r="M8788" t="s" s="10">
        <v>88</v>
      </c>
      <c r="N8788" s="17">
        <v>44</v>
      </c>
      <c r="O8788" s="18">
        <v>422</v>
      </c>
      <c r="P8788" s="18">
        <v>465</v>
      </c>
      <c r="Q8788" t="s" s="16">
        <f>HYPERLINK("http://secrets.rutgers.edu:8080/data/asl-ftp/asllvd/demos/verify_start_end_handshape_annotations//test_auto_move//signs_mov/16069.mov","MOV")</f>
        <v>21</v>
      </c>
      <c r="R8788" t="s" s="16">
        <f>HYPERLINK("http://secrets.rutgers.edu:8080/data/asl-ftp/asllvd/demos/verify_start_end_handshape_annotations//test_auto_move//signs_mov_separ_signers/Liz_16069.mov","MOV")</f>
        <v>21</v>
      </c>
    </row>
    <row r="8789" s="2" customFormat="1" ht="13.5" customHeight="1">
      <c r="B8789" s="13"/>
      <c r="C8789" t="s" s="9">
        <v>30</v>
      </c>
      <c r="D8789" t="s" s="8">
        <v>3196</v>
      </c>
      <c r="E8789" t="s" s="9">
        <v>3196</v>
      </c>
      <c r="F8789" t="s" s="10">
        <v>220</v>
      </c>
      <c r="G8789" t="s" s="11">
        <v>73</v>
      </c>
      <c r="H8789" t="s" s="10">
        <v>220</v>
      </c>
      <c r="I8789" t="s" s="11">
        <v>73</v>
      </c>
      <c r="J8789" t="s" s="11">
        <v>20</v>
      </c>
      <c r="K8789" s="15"/>
      <c r="L8789" t="s" s="16">
        <f>HYPERLINK("http://csr.bu.edu/ftp/asl/asllvd/demos/verify_start_end_handshape_annotations//test_auto_move//signs_mov_separ_signers/Brady_16069.mov","MOV")</f>
        <v>21</v>
      </c>
      <c r="M8789" t="s" s="10">
        <v>40</v>
      </c>
      <c r="N8789" s="17">
        <v>37</v>
      </c>
      <c r="O8789" s="18">
        <v>3017</v>
      </c>
      <c r="P8789" s="18">
        <v>3038</v>
      </c>
      <c r="Q8789" s="15"/>
      <c r="R8789" t="s" s="16">
        <f>HYPERLINK("http://secrets.rutgers.edu:8080/data/asl-ftp/asllvd/demos/verify_start_end_handshape_annotations//test_auto_move//signs_mov_separ_signers/Brady_16069.mov","MOV")</f>
        <v>21</v>
      </c>
    </row>
    <row r="8790" s="2" customFormat="1" ht="13.5" customHeight="1">
      <c r="B8790" t="s" s="8">
        <v>3197</v>
      </c>
      <c r="C8790" t="s" s="9">
        <v>14</v>
      </c>
      <c r="D8790" t="s" s="8">
        <v>14</v>
      </c>
      <c r="E8790" t="s" s="9">
        <v>14</v>
      </c>
      <c r="F8790" t="s" s="10">
        <v>14</v>
      </c>
      <c r="G8790" t="s" s="11">
        <v>14</v>
      </c>
      <c r="H8790" t="s" s="10">
        <v>14</v>
      </c>
      <c r="I8790" t="s" s="11">
        <v>14</v>
      </c>
      <c r="J8790" t="s" s="11">
        <v>14</v>
      </c>
      <c r="K8790" t="s" s="12">
        <v>14</v>
      </c>
      <c r="L8790" t="s" s="12">
        <v>14</v>
      </c>
      <c r="M8790" t="s" s="10">
        <v>14</v>
      </c>
      <c r="N8790" t="s" s="11">
        <v>14</v>
      </c>
      <c r="O8790" t="s" s="8">
        <v>14</v>
      </c>
      <c r="P8790" t="s" s="8">
        <v>14</v>
      </c>
      <c r="Q8790" t="s" s="12">
        <v>14</v>
      </c>
      <c r="R8790" t="s" s="12">
        <v>14</v>
      </c>
    </row>
    <row r="8791" s="2" customFormat="1" ht="13.5" customHeight="1">
      <c r="B8791" s="13"/>
      <c r="C8791" t="s" s="9">
        <v>16</v>
      </c>
      <c r="D8791" t="s" s="8">
        <v>3197</v>
      </c>
      <c r="E8791" t="s" s="9">
        <v>3197</v>
      </c>
      <c r="F8791" t="s" s="10">
        <v>229</v>
      </c>
      <c r="G8791" t="s" s="11">
        <v>68</v>
      </c>
      <c r="H8791" t="s" s="10">
        <v>230</v>
      </c>
      <c r="I8791" t="s" s="11">
        <v>68</v>
      </c>
      <c r="J8791" t="s" s="11">
        <v>136</v>
      </c>
      <c r="K8791" s="15"/>
      <c r="L8791" t="s" s="16">
        <f>HYPERLINK("http://csr.bu.edu/ftp/asl/asllvd/demos/verify_start_end_handshape_annotations//test_auto_move//signs_mov_separ_signers/Liz_2406.mov","MOV")</f>
        <v>21</v>
      </c>
      <c r="M8791" t="s" s="10">
        <v>36</v>
      </c>
      <c r="N8791" s="17">
        <v>44</v>
      </c>
      <c r="O8791" s="18">
        <v>2175</v>
      </c>
      <c r="P8791" s="18">
        <v>2205</v>
      </c>
      <c r="Q8791" s="15"/>
      <c r="R8791" t="s" s="16">
        <f>HYPERLINK("http://secrets.rutgers.edu:8080/data/asl-ftp/asllvd/demos/verify_start_end_handshape_annotations//test_auto_move//signs_mov_separ_signers/Liz_2406.mov","MOV")</f>
        <v>21</v>
      </c>
    </row>
    <row r="8792" s="2" customFormat="1" ht="13.5" customHeight="1">
      <c r="B8792" s="13"/>
      <c r="C8792" t="s" s="9">
        <v>16</v>
      </c>
      <c r="D8792" t="s" s="8">
        <v>3197</v>
      </c>
      <c r="E8792" t="s" s="9">
        <v>3197</v>
      </c>
      <c r="F8792" t="s" s="10">
        <v>229</v>
      </c>
      <c r="G8792" t="s" s="11">
        <v>68</v>
      </c>
      <c r="H8792" t="s" s="10">
        <v>230</v>
      </c>
      <c r="I8792" t="s" s="11">
        <v>68</v>
      </c>
      <c r="J8792" t="s" s="11">
        <v>136</v>
      </c>
      <c r="K8792" t="s" s="16">
        <f>HYPERLINK("http://csr.bu.edu/ftp/asl/asllvd/demos/verify_start_end_handshape_annotations//test_auto_move//signs_mov/2406_3420_merged.mov","MOV")</f>
        <v>21</v>
      </c>
      <c r="L8792" t="s" s="16">
        <f>HYPERLINK("http://csr.bu.edu/ftp/asl/asllvd/demos/verify_start_end_handshape_annotations//test_auto_move//signs_mov_separ_signers/Liz_3420.mov","MOV")</f>
        <v>21</v>
      </c>
      <c r="M8792" t="s" s="10">
        <v>59</v>
      </c>
      <c r="N8792" s="17">
        <v>10</v>
      </c>
      <c r="O8792" s="18">
        <v>3594</v>
      </c>
      <c r="P8792" s="18">
        <v>3610</v>
      </c>
      <c r="Q8792" t="s" s="16">
        <f>HYPERLINK("http://secrets.rutgers.edu:8080/data/asl-ftp/asllvd/demos/verify_start_end_handshape_annotations//test_auto_move//signs_mov/2406_3420_merged.mov","MOV")</f>
        <v>21</v>
      </c>
      <c r="R8792" t="s" s="16">
        <f>HYPERLINK("http://secrets.rutgers.edu:8080/data/asl-ftp/asllvd/demos/verify_start_end_handshape_annotations//test_auto_move//signs_mov_separ_signers/Liz_3420.mov","MOV")</f>
        <v>21</v>
      </c>
    </row>
    <row r="8793" s="2" customFormat="1" ht="13.5" customHeight="1">
      <c r="B8793" s="13"/>
      <c r="C8793" t="s" s="9">
        <v>30</v>
      </c>
      <c r="D8793" t="s" s="8">
        <v>3197</v>
      </c>
      <c r="E8793" t="s" s="9">
        <v>3197</v>
      </c>
      <c r="F8793" t="s" s="10">
        <v>229</v>
      </c>
      <c r="G8793" t="s" s="11">
        <v>68</v>
      </c>
      <c r="H8793" t="s" s="10">
        <v>230</v>
      </c>
      <c r="I8793" t="s" s="11">
        <v>68</v>
      </c>
      <c r="J8793" t="s" s="11">
        <v>136</v>
      </c>
      <c r="K8793" s="15"/>
      <c r="L8793" t="s" s="16">
        <f>HYPERLINK("http://csr.bu.edu/ftp/asl/asllvd/demos/verify_start_end_handshape_annotations//test_auto_move//signs_mov_separ_signers/Brady_2406.mov","MOV")</f>
        <v>21</v>
      </c>
      <c r="M8793" t="s" s="10">
        <v>40</v>
      </c>
      <c r="N8793" s="17">
        <v>97</v>
      </c>
      <c r="O8793" s="18">
        <v>407</v>
      </c>
      <c r="P8793" s="18">
        <v>420</v>
      </c>
      <c r="Q8793" s="15"/>
      <c r="R8793" t="s" s="16">
        <f>HYPERLINK("http://secrets.rutgers.edu:8080/data/asl-ftp/asllvd/demos/verify_start_end_handshape_annotations//test_auto_move//signs_mov_separ_signers/Brady_2406.mov","MOV")</f>
        <v>21</v>
      </c>
    </row>
    <row r="8794" s="2" customFormat="1" ht="13.5" customHeight="1">
      <c r="B8794" t="s" s="8">
        <v>3198</v>
      </c>
      <c r="C8794" t="s" s="9">
        <v>14</v>
      </c>
      <c r="D8794" t="s" s="8">
        <v>14</v>
      </c>
      <c r="E8794" t="s" s="9">
        <v>14</v>
      </c>
      <c r="F8794" t="s" s="10">
        <v>14</v>
      </c>
      <c r="G8794" t="s" s="11">
        <v>14</v>
      </c>
      <c r="H8794" t="s" s="10">
        <v>14</v>
      </c>
      <c r="I8794" t="s" s="11">
        <v>14</v>
      </c>
      <c r="J8794" t="s" s="11">
        <v>14</v>
      </c>
      <c r="K8794" t="s" s="12">
        <v>14</v>
      </c>
      <c r="L8794" t="s" s="12">
        <v>14</v>
      </c>
      <c r="M8794" t="s" s="10">
        <v>14</v>
      </c>
      <c r="N8794" t="s" s="11">
        <v>14</v>
      </c>
      <c r="O8794" t="s" s="8">
        <v>14</v>
      </c>
      <c r="P8794" t="s" s="8">
        <v>14</v>
      </c>
      <c r="Q8794" t="s" s="12">
        <v>14</v>
      </c>
      <c r="R8794" t="s" s="12">
        <v>14</v>
      </c>
    </row>
    <row r="8795" s="2" customFormat="1" ht="13.5" customHeight="1">
      <c r="B8795" s="13"/>
      <c r="C8795" t="s" s="9">
        <v>16</v>
      </c>
      <c r="D8795" t="s" s="8">
        <v>3198</v>
      </c>
      <c r="E8795" t="s" s="9">
        <v>3199</v>
      </c>
      <c r="F8795" t="s" s="10">
        <v>73</v>
      </c>
      <c r="G8795" t="s" s="11">
        <v>73</v>
      </c>
      <c r="H8795" t="s" s="10">
        <v>73</v>
      </c>
      <c r="I8795" t="s" s="11">
        <v>73</v>
      </c>
      <c r="J8795" t="s" s="11">
        <v>20</v>
      </c>
      <c r="K8795" t="s" s="16">
        <f>HYPERLINK("http://csr.bu.edu/ftp/asl/asllvd/demos/verify_start_end_handshape_annotations//test_auto_move//signs_mov/2407.mov","MOV")</f>
        <v>21</v>
      </c>
      <c r="L8795" t="s" s="16">
        <f>HYPERLINK("http://csr.bu.edu/ftp/asl/asllvd/demos/verify_start_end_handshape_annotations//test_auto_move//signs_mov_separ_signers/Liz_2407.mov","MOV")</f>
        <v>21</v>
      </c>
      <c r="M8795" t="s" s="10">
        <v>36</v>
      </c>
      <c r="N8795" s="17">
        <v>44</v>
      </c>
      <c r="O8795" s="18">
        <v>2635</v>
      </c>
      <c r="P8795" s="18">
        <v>2700</v>
      </c>
      <c r="Q8795" t="s" s="16">
        <f>HYPERLINK("http://secrets.rutgers.edu:8080/data/asl-ftp/asllvd/demos/verify_start_end_handshape_annotations//test_auto_move//signs_mov/2407.mov","MOV")</f>
        <v>21</v>
      </c>
      <c r="R8795" t="s" s="16">
        <f>HYPERLINK("http://secrets.rutgers.edu:8080/data/asl-ftp/asllvd/demos/verify_start_end_handshape_annotations//test_auto_move//signs_mov_separ_signers/Liz_2407.mov","MOV")</f>
        <v>21</v>
      </c>
    </row>
    <row r="8796" s="2" customFormat="1" ht="13.5" customHeight="1">
      <c r="B8796" s="13"/>
      <c r="C8796" t="s" s="9">
        <v>30</v>
      </c>
      <c r="D8796" t="s" s="8">
        <v>3198</v>
      </c>
      <c r="E8796" t="s" s="9">
        <v>3199</v>
      </c>
      <c r="F8796" t="s" s="10">
        <v>73</v>
      </c>
      <c r="G8796" t="s" s="11">
        <v>73</v>
      </c>
      <c r="H8796" t="s" s="10">
        <v>73</v>
      </c>
      <c r="I8796" t="s" s="11">
        <v>73</v>
      </c>
      <c r="J8796" t="s" s="11">
        <v>20</v>
      </c>
      <c r="K8796" s="15"/>
      <c r="L8796" t="s" s="16">
        <f>HYPERLINK("http://csr.bu.edu/ftp/asl/asllvd/demos/verify_start_end_handshape_annotations//test_auto_move//signs_mov_separ_signers/Brady_2407.mov","MOV")</f>
        <v>21</v>
      </c>
      <c r="M8796" t="s" s="10">
        <v>40</v>
      </c>
      <c r="N8796" s="17">
        <v>97</v>
      </c>
      <c r="O8796" s="18">
        <v>637</v>
      </c>
      <c r="P8796" s="18">
        <v>680</v>
      </c>
      <c r="Q8796" s="15"/>
      <c r="R8796" t="s" s="16">
        <f>HYPERLINK("http://secrets.rutgers.edu:8080/data/asl-ftp/asllvd/demos/verify_start_end_handshape_annotations//test_auto_move//signs_mov_separ_signers/Brady_2407.mov","MOV")</f>
        <v>21</v>
      </c>
    </row>
    <row r="8797" s="2" customFormat="1" ht="13.5" customHeight="1">
      <c r="B8797" t="s" s="8">
        <v>3200</v>
      </c>
      <c r="C8797" t="s" s="9">
        <v>14</v>
      </c>
      <c r="D8797" t="s" s="8">
        <v>14</v>
      </c>
      <c r="E8797" t="s" s="9">
        <v>14</v>
      </c>
      <c r="F8797" t="s" s="10">
        <v>14</v>
      </c>
      <c r="G8797" t="s" s="11">
        <v>14</v>
      </c>
      <c r="H8797" t="s" s="10">
        <v>14</v>
      </c>
      <c r="I8797" t="s" s="11">
        <v>14</v>
      </c>
      <c r="J8797" t="s" s="11">
        <v>14</v>
      </c>
      <c r="K8797" t="s" s="12">
        <v>14</v>
      </c>
      <c r="L8797" t="s" s="12">
        <v>14</v>
      </c>
      <c r="M8797" t="s" s="10">
        <v>14</v>
      </c>
      <c r="N8797" t="s" s="11">
        <v>14</v>
      </c>
      <c r="O8797" t="s" s="8">
        <v>14</v>
      </c>
      <c r="P8797" t="s" s="8">
        <v>14</v>
      </c>
      <c r="Q8797" t="s" s="12">
        <v>14</v>
      </c>
      <c r="R8797" t="s" s="12">
        <v>14</v>
      </c>
    </row>
    <row r="8798" s="2" customFormat="1" ht="13.5" customHeight="1">
      <c r="B8798" s="13"/>
      <c r="C8798" t="s" s="9">
        <v>16</v>
      </c>
      <c r="D8798" t="s" s="8">
        <v>3200</v>
      </c>
      <c r="E8798" t="s" s="9">
        <v>3201</v>
      </c>
      <c r="F8798" t="s" s="10">
        <v>72</v>
      </c>
      <c r="G8798" t="s" s="11">
        <v>72</v>
      </c>
      <c r="H8798" t="s" s="10">
        <v>72</v>
      </c>
      <c r="I8798" t="s" s="11">
        <v>72</v>
      </c>
      <c r="J8798" t="s" s="11">
        <v>20</v>
      </c>
      <c r="K8798" s="15"/>
      <c r="L8798" t="s" s="16">
        <f>HYPERLINK("http://csr.bu.edu/ftp/asl/asllvd/demos/verify_start_end_handshape_annotations//test_auto_move//signs_mov_separ_signers/Liz_2409.mov","MOV")</f>
        <v>21</v>
      </c>
      <c r="M8798" t="s" s="10">
        <v>36</v>
      </c>
      <c r="N8798" s="17">
        <v>36</v>
      </c>
      <c r="O8798" s="18">
        <v>561</v>
      </c>
      <c r="P8798" s="18">
        <v>630</v>
      </c>
      <c r="Q8798" s="15"/>
      <c r="R8798" t="s" s="16">
        <f>HYPERLINK("http://secrets.rutgers.edu:8080/data/asl-ftp/asllvd/demos/verify_start_end_handshape_annotations//test_auto_move//signs_mov_separ_signers/Liz_2409.mov","MOV")</f>
        <v>21</v>
      </c>
    </row>
    <row r="8799" s="2" customFormat="1" ht="13.5" customHeight="1">
      <c r="B8799" s="13"/>
      <c r="C8799" t="s" s="9">
        <v>16</v>
      </c>
      <c r="D8799" t="s" s="8">
        <v>3200</v>
      </c>
      <c r="E8799" t="s" s="9">
        <v>3201</v>
      </c>
      <c r="F8799" t="s" s="10">
        <v>72</v>
      </c>
      <c r="G8799" t="s" s="11">
        <v>72</v>
      </c>
      <c r="H8799" t="s" s="10">
        <v>72</v>
      </c>
      <c r="I8799" t="s" s="11">
        <v>72</v>
      </c>
      <c r="J8799" t="s" s="11">
        <v>20</v>
      </c>
      <c r="K8799" t="s" s="16">
        <f>HYPERLINK("http://csr.bu.edu/ftp/asl/asllvd/demos/verify_start_end_handshape_annotations//test_auto_move//signs_mov/2409_3428_merged.mov","MOV")</f>
        <v>21</v>
      </c>
      <c r="L8799" t="s" s="16">
        <f>HYPERLINK("http://csr.bu.edu/ftp/asl/asllvd/demos/verify_start_end_handshape_annotations//test_auto_move//signs_mov_separ_signers/Liz_3428.mov","MOV")</f>
        <v>21</v>
      </c>
      <c r="M8799" t="s" s="10">
        <v>36</v>
      </c>
      <c r="N8799" s="17">
        <v>44</v>
      </c>
      <c r="O8799" s="18">
        <v>3425</v>
      </c>
      <c r="P8799" s="18">
        <v>3520</v>
      </c>
      <c r="Q8799" t="s" s="16">
        <f>HYPERLINK("http://secrets.rutgers.edu:8080/data/asl-ftp/asllvd/demos/verify_start_end_handshape_annotations//test_auto_move//signs_mov/2409_3428_merged.mov","MOV")</f>
        <v>21</v>
      </c>
      <c r="R8799" t="s" s="16">
        <f>HYPERLINK("http://secrets.rutgers.edu:8080/data/asl-ftp/asllvd/demos/verify_start_end_handshape_annotations//test_auto_move//signs_mov_separ_signers/Liz_3428.mov","MOV")</f>
        <v>21</v>
      </c>
    </row>
    <row r="8800" s="2" customFormat="1" ht="13.5" customHeight="1">
      <c r="B8800" s="13"/>
      <c r="C8800" t="s" s="9">
        <v>30</v>
      </c>
      <c r="D8800" t="s" s="8">
        <v>3200</v>
      </c>
      <c r="E8800" t="s" s="9">
        <v>3201</v>
      </c>
      <c r="F8800" t="s" s="10">
        <v>72</v>
      </c>
      <c r="G8800" t="s" s="11">
        <v>72</v>
      </c>
      <c r="H8800" t="s" s="10">
        <v>72</v>
      </c>
      <c r="I8800" t="s" s="11">
        <v>72</v>
      </c>
      <c r="J8800" t="s" s="11">
        <v>20</v>
      </c>
      <c r="K8800" s="15"/>
      <c r="L8800" t="s" s="16">
        <f>HYPERLINK("http://csr.bu.edu/ftp/asl/asllvd/demos/verify_start_end_handshape_annotations//test_auto_move//signs_mov_separ_signers/Brady_2409.mov","MOV")</f>
        <v>21</v>
      </c>
      <c r="M8800" t="s" s="10">
        <v>40</v>
      </c>
      <c r="N8800" s="17">
        <v>97</v>
      </c>
      <c r="O8800" s="18">
        <v>1606</v>
      </c>
      <c r="P8800" s="18">
        <v>1674</v>
      </c>
      <c r="Q8800" s="15"/>
      <c r="R8800" t="s" s="16">
        <f>HYPERLINK("http://secrets.rutgers.edu:8080/data/asl-ftp/asllvd/demos/verify_start_end_handshape_annotations//test_auto_move//signs_mov_separ_signers/Brady_2409.mov","MOV")</f>
        <v>21</v>
      </c>
    </row>
    <row r="8801" s="2" customFormat="1" ht="13.5" customHeight="1">
      <c r="B8801" t="s" s="8">
        <v>3202</v>
      </c>
      <c r="C8801" t="s" s="9">
        <v>14</v>
      </c>
      <c r="D8801" t="s" s="8">
        <v>14</v>
      </c>
      <c r="E8801" t="s" s="9">
        <v>14</v>
      </c>
      <c r="F8801" t="s" s="10">
        <v>14</v>
      </c>
      <c r="G8801" t="s" s="11">
        <v>14</v>
      </c>
      <c r="H8801" t="s" s="10">
        <v>14</v>
      </c>
      <c r="I8801" t="s" s="11">
        <v>14</v>
      </c>
      <c r="J8801" t="s" s="11">
        <v>14</v>
      </c>
      <c r="K8801" t="s" s="12">
        <v>14</v>
      </c>
      <c r="L8801" t="s" s="12">
        <v>14</v>
      </c>
      <c r="M8801" t="s" s="10">
        <v>14</v>
      </c>
      <c r="N8801" t="s" s="11">
        <v>14</v>
      </c>
      <c r="O8801" t="s" s="8">
        <v>14</v>
      </c>
      <c r="P8801" t="s" s="8">
        <v>14</v>
      </c>
      <c r="Q8801" t="s" s="12">
        <v>14</v>
      </c>
      <c r="R8801" t="s" s="12">
        <v>14</v>
      </c>
    </row>
    <row r="8802" s="2" customFormat="1" ht="13.5" customHeight="1">
      <c r="B8802" s="13"/>
      <c r="C8802" t="s" s="9">
        <v>16</v>
      </c>
      <c r="D8802" t="s" s="8">
        <v>3202</v>
      </c>
      <c r="E8802" t="s" s="9">
        <v>3202</v>
      </c>
      <c r="F8802" t="s" s="10">
        <v>119</v>
      </c>
      <c r="G8802" t="s" s="11">
        <v>1352</v>
      </c>
      <c r="H8802" t="s" s="10">
        <v>1352</v>
      </c>
      <c r="I8802" t="s" s="11">
        <v>1352</v>
      </c>
      <c r="J8802" t="s" s="11">
        <v>20</v>
      </c>
      <c r="K8802" t="s" s="16">
        <f>HYPERLINK("http://csr.bu.edu/ftp/asl/asllvd/demos/verify_start_end_handshape_annotations//test_auto_move//signs_mov/4539.mov","MOV")</f>
        <v>21</v>
      </c>
      <c r="L8802" t="s" s="16">
        <f>HYPERLINK("http://csr.bu.edu/ftp/asl/asllvd/demos/verify_start_end_handshape_annotations//test_auto_move//signs_mov_separ_signers/Liz_4539.mov","MOV")</f>
        <v>21</v>
      </c>
      <c r="M8802" t="s" s="10">
        <v>36</v>
      </c>
      <c r="N8802" s="17">
        <v>44</v>
      </c>
      <c r="O8802" s="18">
        <v>3130</v>
      </c>
      <c r="P8802" s="18">
        <v>3205</v>
      </c>
      <c r="Q8802" t="s" s="16">
        <f>HYPERLINK("http://secrets.rutgers.edu:8080/data/asl-ftp/asllvd/demos/verify_start_end_handshape_annotations//test_auto_move//signs_mov/4539.mov","MOV")</f>
        <v>21</v>
      </c>
      <c r="R8802" t="s" s="16">
        <f>HYPERLINK("http://secrets.rutgers.edu:8080/data/asl-ftp/asllvd/demos/verify_start_end_handshape_annotations//test_auto_move//signs_mov_separ_signers/Liz_4539.mov","MOV")</f>
        <v>21</v>
      </c>
    </row>
    <row r="8803" s="2" customFormat="1" ht="13.5" customHeight="1">
      <c r="B8803" t="s" s="8">
        <v>3203</v>
      </c>
      <c r="C8803" t="s" s="9">
        <v>14</v>
      </c>
      <c r="D8803" t="s" s="8">
        <v>14</v>
      </c>
      <c r="E8803" t="s" s="9">
        <v>14</v>
      </c>
      <c r="F8803" t="s" s="10">
        <v>14</v>
      </c>
      <c r="G8803" t="s" s="11">
        <v>14</v>
      </c>
      <c r="H8803" t="s" s="10">
        <v>14</v>
      </c>
      <c r="I8803" t="s" s="11">
        <v>14</v>
      </c>
      <c r="J8803" t="s" s="11">
        <v>14</v>
      </c>
      <c r="K8803" t="s" s="12">
        <v>14</v>
      </c>
      <c r="L8803" t="s" s="12">
        <v>14</v>
      </c>
      <c r="M8803" t="s" s="10">
        <v>14</v>
      </c>
      <c r="N8803" t="s" s="11">
        <v>14</v>
      </c>
      <c r="O8803" t="s" s="8">
        <v>14</v>
      </c>
      <c r="P8803" t="s" s="8">
        <v>14</v>
      </c>
      <c r="Q8803" t="s" s="12">
        <v>14</v>
      </c>
      <c r="R8803" t="s" s="12">
        <v>14</v>
      </c>
    </row>
    <row r="8804" s="2" customFormat="1" ht="13.5" customHeight="1">
      <c r="B8804" s="13"/>
      <c r="C8804" t="s" s="9">
        <v>16</v>
      </c>
      <c r="D8804" t="s" s="8">
        <v>3203</v>
      </c>
      <c r="E8804" t="s" s="9">
        <v>3203</v>
      </c>
      <c r="F8804" t="s" s="10">
        <v>55</v>
      </c>
      <c r="G8804" t="s" s="11">
        <v>85</v>
      </c>
      <c r="H8804" t="s" s="10">
        <v>55</v>
      </c>
      <c r="I8804" t="s" s="11">
        <v>85</v>
      </c>
      <c r="J8804" t="s" s="11">
        <v>20</v>
      </c>
      <c r="K8804" t="s" s="16">
        <f>HYPERLINK("http://csr.bu.edu/ftp/asl/asllvd/demos/verify_start_end_handshape_annotations//test_auto_move//signs_mov/2410.mov","MOV")</f>
        <v>21</v>
      </c>
      <c r="L8804" t="s" s="16">
        <f>HYPERLINK("http://csr.bu.edu/ftp/asl/asllvd/demos/verify_start_end_handshape_annotations//test_auto_move//signs_mov_separ_signers/Liz_2410.mov","MOV")</f>
        <v>21</v>
      </c>
      <c r="M8804" t="s" s="10">
        <v>36</v>
      </c>
      <c r="N8804" s="17">
        <v>45</v>
      </c>
      <c r="O8804" s="18">
        <v>290</v>
      </c>
      <c r="P8804" s="18">
        <v>340</v>
      </c>
      <c r="Q8804" t="s" s="16">
        <f>HYPERLINK("http://secrets.rutgers.edu:8080/data/asl-ftp/asllvd/demos/verify_start_end_handshape_annotations//test_auto_move//signs_mov/2410.mov","MOV")</f>
        <v>21</v>
      </c>
      <c r="R8804" t="s" s="16">
        <f>HYPERLINK("http://secrets.rutgers.edu:8080/data/asl-ftp/asllvd/demos/verify_start_end_handshape_annotations//test_auto_move//signs_mov_separ_signers/Liz_2410.mov","MOV")</f>
        <v>21</v>
      </c>
    </row>
    <row r="8805" s="2" customFormat="1" ht="13.5" customHeight="1">
      <c r="B8805" s="13"/>
      <c r="C8805" t="s" s="9">
        <v>30</v>
      </c>
      <c r="D8805" t="s" s="8">
        <v>3203</v>
      </c>
      <c r="E8805" t="s" s="9">
        <v>3203</v>
      </c>
      <c r="F8805" t="s" s="10">
        <v>73</v>
      </c>
      <c r="G8805" t="s" s="11">
        <v>73</v>
      </c>
      <c r="H8805" t="s" s="10">
        <v>73</v>
      </c>
      <c r="I8805" t="s" s="11">
        <v>73</v>
      </c>
      <c r="J8805" t="s" s="11">
        <v>20</v>
      </c>
      <c r="K8805" s="15"/>
      <c r="L8805" t="s" s="16">
        <f>HYPERLINK("http://csr.bu.edu/ftp/asl/asllvd/demos/verify_start_end_handshape_annotations//test_auto_move//signs_mov_separ_signers/Brady_2410.mov","MOV")</f>
        <v>21</v>
      </c>
      <c r="M8805" t="s" s="10">
        <v>40</v>
      </c>
      <c r="N8805" s="17">
        <v>97</v>
      </c>
      <c r="O8805" s="18">
        <v>1312</v>
      </c>
      <c r="P8805" s="18">
        <v>1338</v>
      </c>
      <c r="Q8805" s="15"/>
      <c r="R8805" t="s" s="16">
        <f>HYPERLINK("http://secrets.rutgers.edu:8080/data/asl-ftp/asllvd/demos/verify_start_end_handshape_annotations//test_auto_move//signs_mov_separ_signers/Brady_2410.mov","MOV")</f>
        <v>21</v>
      </c>
    </row>
    <row r="8806" s="2" customFormat="1" ht="13.5" customHeight="1">
      <c r="B8806" t="s" s="8">
        <v>3204</v>
      </c>
      <c r="C8806" t="s" s="9">
        <v>14</v>
      </c>
      <c r="D8806" t="s" s="8">
        <v>14</v>
      </c>
      <c r="E8806" t="s" s="9">
        <v>14</v>
      </c>
      <c r="F8806" t="s" s="10">
        <v>14</v>
      </c>
      <c r="G8806" t="s" s="11">
        <v>14</v>
      </c>
      <c r="H8806" t="s" s="10">
        <v>14</v>
      </c>
      <c r="I8806" t="s" s="11">
        <v>14</v>
      </c>
      <c r="J8806" t="s" s="11">
        <v>14</v>
      </c>
      <c r="K8806" t="s" s="12">
        <v>14</v>
      </c>
      <c r="L8806" t="s" s="12">
        <v>14</v>
      </c>
      <c r="M8806" t="s" s="10">
        <v>14</v>
      </c>
      <c r="N8806" t="s" s="11">
        <v>14</v>
      </c>
      <c r="O8806" t="s" s="8">
        <v>14</v>
      </c>
      <c r="P8806" t="s" s="8">
        <v>14</v>
      </c>
      <c r="Q8806" t="s" s="12">
        <v>14</v>
      </c>
      <c r="R8806" t="s" s="12">
        <v>14</v>
      </c>
    </row>
    <row r="8807" s="2" customFormat="1" ht="13.5" customHeight="1">
      <c r="B8807" s="13"/>
      <c r="C8807" t="s" s="9">
        <v>16</v>
      </c>
      <c r="D8807" t="s" s="8">
        <v>3204</v>
      </c>
      <c r="E8807" t="s" s="9">
        <v>3205</v>
      </c>
      <c r="F8807" t="s" s="10">
        <v>109</v>
      </c>
      <c r="G8807" t="s" s="11">
        <v>109</v>
      </c>
      <c r="H8807" t="s" s="10">
        <v>109</v>
      </c>
      <c r="I8807" t="s" s="11">
        <v>109</v>
      </c>
      <c r="J8807" t="s" s="11">
        <v>20</v>
      </c>
      <c r="K8807" t="s" s="16">
        <f>HYPERLINK("http://csr.bu.edu/ftp/asl/asllvd/demos/verify_start_end_handshape_annotations//test_auto_move//signs_mov/2415.mov","MOV")</f>
        <v>21</v>
      </c>
      <c r="L8807" t="s" s="16">
        <f>HYPERLINK("http://csr.bu.edu/ftp/asl/asllvd/demos/verify_start_end_handshape_annotations//test_auto_move//signs_mov_separ_signers/Liz_2415.mov","MOV")</f>
        <v>21</v>
      </c>
      <c r="M8807" t="s" s="10">
        <v>36</v>
      </c>
      <c r="N8807" s="17">
        <v>45</v>
      </c>
      <c r="O8807" s="18">
        <v>1725</v>
      </c>
      <c r="P8807" s="18">
        <v>1785</v>
      </c>
      <c r="Q8807" t="s" s="16">
        <f>HYPERLINK("http://secrets.rutgers.edu:8080/data/asl-ftp/asllvd/demos/verify_start_end_handshape_annotations//test_auto_move//signs_mov/2415.mov","MOV")</f>
        <v>21</v>
      </c>
      <c r="R8807" t="s" s="16">
        <f>HYPERLINK("http://secrets.rutgers.edu:8080/data/asl-ftp/asllvd/demos/verify_start_end_handshape_annotations//test_auto_move//signs_mov_separ_signers/Liz_2415.mov","MOV")</f>
        <v>21</v>
      </c>
    </row>
    <row r="8808" s="2" customFormat="1" ht="13.5" customHeight="1">
      <c r="B8808" s="13"/>
      <c r="C8808" t="s" s="9">
        <v>30</v>
      </c>
      <c r="D8808" t="s" s="8">
        <v>3204</v>
      </c>
      <c r="E8808" t="s" s="9">
        <v>3205</v>
      </c>
      <c r="F8808" t="s" s="10">
        <v>73</v>
      </c>
      <c r="G8808" t="s" s="11">
        <v>73</v>
      </c>
      <c r="H8808" t="s" s="10">
        <v>73</v>
      </c>
      <c r="I8808" t="s" s="11">
        <v>73</v>
      </c>
      <c r="J8808" t="s" s="11">
        <v>20</v>
      </c>
      <c r="K8808" s="15"/>
      <c r="L8808" t="s" s="16">
        <f>HYPERLINK("http://csr.bu.edu/ftp/asl/asllvd/demos/verify_start_end_handshape_annotations//test_auto_move//signs_mov_separ_signers/Brady_2415.mov","MOV")</f>
        <v>21</v>
      </c>
      <c r="M8808" t="s" s="10">
        <v>40</v>
      </c>
      <c r="N8808" s="17">
        <v>98</v>
      </c>
      <c r="O8808" s="18">
        <v>158</v>
      </c>
      <c r="P8808" s="18">
        <v>200</v>
      </c>
      <c r="Q8808" s="15"/>
      <c r="R8808" t="s" s="16">
        <f>HYPERLINK("http://secrets.rutgers.edu:8080/data/asl-ftp/asllvd/demos/verify_start_end_handshape_annotations//test_auto_move//signs_mov_separ_signers/Brady_2415.mov","MOV")</f>
        <v>21</v>
      </c>
    </row>
    <row r="8809" s="2" customFormat="1" ht="13.5" customHeight="1">
      <c r="B8809" t="s" s="8">
        <v>3206</v>
      </c>
      <c r="C8809" t="s" s="9">
        <v>14</v>
      </c>
      <c r="D8809" t="s" s="8">
        <v>14</v>
      </c>
      <c r="E8809" t="s" s="9">
        <v>14</v>
      </c>
      <c r="F8809" t="s" s="10">
        <v>14</v>
      </c>
      <c r="G8809" t="s" s="11">
        <v>14</v>
      </c>
      <c r="H8809" t="s" s="10">
        <v>14</v>
      </c>
      <c r="I8809" t="s" s="11">
        <v>14</v>
      </c>
      <c r="J8809" t="s" s="11">
        <v>14</v>
      </c>
      <c r="K8809" t="s" s="12">
        <v>14</v>
      </c>
      <c r="L8809" t="s" s="12">
        <v>14</v>
      </c>
      <c r="M8809" t="s" s="10">
        <v>14</v>
      </c>
      <c r="N8809" t="s" s="11">
        <v>14</v>
      </c>
      <c r="O8809" t="s" s="8">
        <v>14</v>
      </c>
      <c r="P8809" t="s" s="8">
        <v>14</v>
      </c>
      <c r="Q8809" t="s" s="12">
        <v>14</v>
      </c>
      <c r="R8809" t="s" s="12">
        <v>14</v>
      </c>
    </row>
    <row r="8810" s="2" customFormat="1" ht="13.5" customHeight="1">
      <c r="B8810" s="13"/>
      <c r="C8810" t="s" s="9">
        <v>16</v>
      </c>
      <c r="D8810" t="s" s="8">
        <v>3206</v>
      </c>
      <c r="E8810" t="s" s="9">
        <v>3207</v>
      </c>
      <c r="F8810" t="s" s="10">
        <v>85</v>
      </c>
      <c r="G8810" t="s" s="11">
        <v>150</v>
      </c>
      <c r="H8810" t="s" s="10">
        <v>150</v>
      </c>
      <c r="I8810" t="s" s="11">
        <v>85</v>
      </c>
      <c r="J8810" t="s" s="11">
        <v>20</v>
      </c>
      <c r="K8810" t="s" s="16">
        <f>HYPERLINK("http://csr.bu.edu/ftp/asl/asllvd/demos/verify_start_end_handshape_annotations//test_auto_move//signs_mov/15275.mov","MOV")</f>
        <v>21</v>
      </c>
      <c r="L8810" t="s" s="16">
        <f>HYPERLINK("http://csr.bu.edu/ftp/asl/asllvd/demos/verify_start_end_handshape_annotations//test_auto_move//signs_mov_separ_signers/Liz_15275.mov","MOV")</f>
        <v>21</v>
      </c>
      <c r="M8810" t="s" s="10">
        <v>34</v>
      </c>
      <c r="N8810" s="17">
        <v>43</v>
      </c>
      <c r="O8810" s="18">
        <v>390</v>
      </c>
      <c r="P8810" s="18">
        <v>445</v>
      </c>
      <c r="Q8810" t="s" s="16">
        <f>HYPERLINK("http://secrets.rutgers.edu:8080/data/asl-ftp/asllvd/demos/verify_start_end_handshape_annotations//test_auto_move//signs_mov/15275.mov","MOV")</f>
        <v>21</v>
      </c>
      <c r="R8810" t="s" s="16">
        <f>HYPERLINK("http://secrets.rutgers.edu:8080/data/asl-ftp/asllvd/demos/verify_start_end_handshape_annotations//test_auto_move//signs_mov_separ_signers/Liz_15275.mov","MOV")</f>
        <v>21</v>
      </c>
    </row>
    <row r="8811" s="2" customFormat="1" ht="13.5" customHeight="1">
      <c r="B8811" s="13"/>
      <c r="C8811" t="s" s="9">
        <v>30</v>
      </c>
      <c r="D8811" t="s" s="8">
        <v>3206</v>
      </c>
      <c r="E8811" t="s" s="9">
        <v>3207</v>
      </c>
      <c r="F8811" t="s" s="10">
        <v>85</v>
      </c>
      <c r="G8811" t="s" s="11">
        <v>85</v>
      </c>
      <c r="H8811" t="s" s="10">
        <v>150</v>
      </c>
      <c r="I8811" t="s" s="11">
        <v>150</v>
      </c>
      <c r="J8811" t="s" s="11">
        <v>20</v>
      </c>
      <c r="K8811" s="15"/>
      <c r="L8811" t="s" s="16">
        <f>HYPERLINK("http://csr.bu.edu/ftp/asl/asllvd/demos/verify_start_end_handshape_annotations//test_auto_move//signs_mov_separ_signers/Brady_15275.mov","MOV")</f>
        <v>21</v>
      </c>
      <c r="M8811" t="s" s="10">
        <v>39</v>
      </c>
      <c r="N8811" s="17">
        <v>46</v>
      </c>
      <c r="O8811" s="18">
        <v>1240</v>
      </c>
      <c r="P8811" s="18">
        <v>1286</v>
      </c>
      <c r="Q8811" s="15"/>
      <c r="R8811" t="s" s="16">
        <f>HYPERLINK("http://secrets.rutgers.edu:8080/data/asl-ftp/asllvd/demos/verify_start_end_handshape_annotations//test_auto_move//signs_mov_separ_signers/Brady_15275.mov","MOV")</f>
        <v>21</v>
      </c>
    </row>
    <row r="8812" s="2" customFormat="1" ht="13.5" customHeight="1">
      <c r="B8812" t="s" s="8">
        <v>3208</v>
      </c>
      <c r="C8812" t="s" s="9">
        <v>14</v>
      </c>
      <c r="D8812" t="s" s="8">
        <v>14</v>
      </c>
      <c r="E8812" t="s" s="9">
        <v>14</v>
      </c>
      <c r="F8812" t="s" s="10">
        <v>14</v>
      </c>
      <c r="G8812" t="s" s="11">
        <v>14</v>
      </c>
      <c r="H8812" t="s" s="10">
        <v>14</v>
      </c>
      <c r="I8812" t="s" s="11">
        <v>14</v>
      </c>
      <c r="J8812" t="s" s="11">
        <v>14</v>
      </c>
      <c r="K8812" t="s" s="12">
        <v>14</v>
      </c>
      <c r="L8812" t="s" s="12">
        <v>14</v>
      </c>
      <c r="M8812" t="s" s="10">
        <v>14</v>
      </c>
      <c r="N8812" t="s" s="11">
        <v>14</v>
      </c>
      <c r="O8812" t="s" s="8">
        <v>14</v>
      </c>
      <c r="P8812" t="s" s="8">
        <v>14</v>
      </c>
      <c r="Q8812" t="s" s="12">
        <v>14</v>
      </c>
      <c r="R8812" t="s" s="12">
        <v>14</v>
      </c>
    </row>
    <row r="8813" s="2" customFormat="1" ht="13.5" customHeight="1">
      <c r="B8813" s="13"/>
      <c r="C8813" t="s" s="9">
        <v>16</v>
      </c>
      <c r="D8813" t="s" s="8">
        <v>3208</v>
      </c>
      <c r="E8813" t="s" s="9">
        <v>3209</v>
      </c>
      <c r="F8813" t="s" s="10">
        <v>430</v>
      </c>
      <c r="G8813" t="s" s="11">
        <v>430</v>
      </c>
      <c r="H8813" s="19">
        <v>8</v>
      </c>
      <c r="I8813" s="17">
        <v>8</v>
      </c>
      <c r="J8813" t="s" s="11">
        <v>20</v>
      </c>
      <c r="K8813" t="s" s="16">
        <f>HYPERLINK("http://csr.bu.edu/ftp/asl/asllvd/demos/verify_start_end_handshape_annotations//test_auto_move//signs_mov/2417.mov","MOV")</f>
        <v>21</v>
      </c>
      <c r="L8813" t="s" s="16">
        <f>HYPERLINK("http://csr.bu.edu/ftp/asl/asllvd/demos/verify_start_end_handshape_annotations//test_auto_move//signs_mov_separ_signers/Liz_2417.mov","MOV")</f>
        <v>21</v>
      </c>
      <c r="M8813" t="s" s="10">
        <v>36</v>
      </c>
      <c r="N8813" s="17">
        <v>45</v>
      </c>
      <c r="O8813" s="18">
        <v>3155</v>
      </c>
      <c r="P8813" s="18">
        <v>3185</v>
      </c>
      <c r="Q8813" t="s" s="16">
        <f>HYPERLINK("http://secrets.rutgers.edu:8080/data/asl-ftp/asllvd/demos/verify_start_end_handshape_annotations//test_auto_move//signs_mov/2417.mov","MOV")</f>
        <v>21</v>
      </c>
      <c r="R8813" t="s" s="16">
        <f>HYPERLINK("http://secrets.rutgers.edu:8080/data/asl-ftp/asllvd/demos/verify_start_end_handshape_annotations//test_auto_move//signs_mov_separ_signers/Liz_2417.mov","MOV")</f>
        <v>21</v>
      </c>
    </row>
    <row r="8814" s="2" customFormat="1" ht="13.5" customHeight="1">
      <c r="B8814" s="13"/>
      <c r="C8814" t="s" s="9">
        <v>30</v>
      </c>
      <c r="D8814" t="s" s="8">
        <v>3208</v>
      </c>
      <c r="E8814" t="s" s="9">
        <v>3209</v>
      </c>
      <c r="F8814" t="s" s="10">
        <v>430</v>
      </c>
      <c r="G8814" t="s" s="11">
        <v>430</v>
      </c>
      <c r="H8814" s="19">
        <v>8</v>
      </c>
      <c r="I8814" s="17">
        <v>8</v>
      </c>
      <c r="J8814" t="s" s="11">
        <v>20</v>
      </c>
      <c r="K8814" s="15"/>
      <c r="L8814" t="s" s="16">
        <f>HYPERLINK("http://csr.bu.edu/ftp/asl/asllvd/demos/verify_start_end_handshape_annotations//test_auto_move//signs_mov_separ_signers/Brady_2417.mov","MOV")</f>
        <v>21</v>
      </c>
      <c r="M8814" t="s" s="10">
        <v>40</v>
      </c>
      <c r="N8814" s="17">
        <v>98</v>
      </c>
      <c r="O8814" s="18">
        <v>644</v>
      </c>
      <c r="P8814" s="18">
        <v>681</v>
      </c>
      <c r="Q8814" s="15"/>
      <c r="R8814" t="s" s="16">
        <f>HYPERLINK("http://secrets.rutgers.edu:8080/data/asl-ftp/asllvd/demos/verify_start_end_handshape_annotations//test_auto_move//signs_mov_separ_signers/Brady_2417.mov","MOV")</f>
        <v>21</v>
      </c>
    </row>
    <row r="8815" s="2" customFormat="1" ht="13.5" customHeight="1">
      <c r="B8815" t="s" s="8">
        <v>52</v>
      </c>
      <c r="C8815" t="s" s="9">
        <v>53</v>
      </c>
      <c r="D8815" t="s" s="8">
        <v>53</v>
      </c>
      <c r="E8815" t="s" s="9">
        <v>53</v>
      </c>
      <c r="F8815" t="s" s="10">
        <v>53</v>
      </c>
      <c r="G8815" t="s" s="11">
        <v>53</v>
      </c>
      <c r="H8815" t="s" s="10">
        <v>53</v>
      </c>
      <c r="I8815" t="s" s="11">
        <v>53</v>
      </c>
      <c r="J8815" t="s" s="11">
        <v>53</v>
      </c>
      <c r="K8815" t="s" s="12">
        <v>53</v>
      </c>
      <c r="L8815" t="s" s="12">
        <v>53</v>
      </c>
      <c r="M8815" t="s" s="10">
        <v>53</v>
      </c>
      <c r="N8815" t="s" s="11">
        <v>53</v>
      </c>
      <c r="O8815" t="s" s="8">
        <v>53</v>
      </c>
      <c r="P8815" t="s" s="8">
        <v>53</v>
      </c>
      <c r="Q8815" t="s" s="12">
        <v>53</v>
      </c>
      <c r="R8815" t="s" s="12">
        <v>53</v>
      </c>
    </row>
    <row r="8816" s="2" customFormat="1" ht="13.5" customHeight="1">
      <c r="B8816" s="13"/>
      <c r="C8816" t="s" s="9">
        <v>16</v>
      </c>
      <c r="D8816" t="s" s="8">
        <v>3208</v>
      </c>
      <c r="E8816" t="s" s="9">
        <v>3210</v>
      </c>
      <c r="F8816" t="s" s="10">
        <v>430</v>
      </c>
      <c r="G8816" s="14"/>
      <c r="H8816" s="19">
        <v>8</v>
      </c>
      <c r="I8816" s="14"/>
      <c r="J8816" t="s" s="11">
        <v>20</v>
      </c>
      <c r="K8816" t="s" s="16">
        <f>HYPERLINK("http://csr.bu.edu/ftp/asl/asllvd/demos/verify_start_end_handshape_annotations//test_auto_move//signs_mov/3553.mov","MOV")</f>
        <v>21</v>
      </c>
      <c r="L8816" t="s" s="16">
        <f>HYPERLINK("http://csr.bu.edu/ftp/asl/asllvd/demos/verify_start_end_handshape_annotations//test_auto_move//signs_mov_separ_signers/Liz_3553.mov","MOV")</f>
        <v>21</v>
      </c>
      <c r="M8816" t="s" s="10">
        <v>36</v>
      </c>
      <c r="N8816" s="17">
        <v>39</v>
      </c>
      <c r="O8816" s="18">
        <v>320</v>
      </c>
      <c r="P8816" s="18">
        <v>355</v>
      </c>
      <c r="Q8816" t="s" s="16">
        <f>HYPERLINK("http://secrets.rutgers.edu:8080/data/asl-ftp/asllvd/demos/verify_start_end_handshape_annotations//test_auto_move//signs_mov/3553.mov","MOV")</f>
        <v>21</v>
      </c>
      <c r="R8816" t="s" s="16">
        <f>HYPERLINK("http://secrets.rutgers.edu:8080/data/asl-ftp/asllvd/demos/verify_start_end_handshape_annotations//test_auto_move//signs_mov_separ_signers/Liz_3553.mov","MOV")</f>
        <v>21</v>
      </c>
    </row>
    <row r="8817" s="2" customFormat="1" ht="13.5" customHeight="1">
      <c r="B8817" t="s" s="8">
        <v>3211</v>
      </c>
      <c r="C8817" t="s" s="9">
        <v>14</v>
      </c>
      <c r="D8817" t="s" s="8">
        <v>14</v>
      </c>
      <c r="E8817" t="s" s="9">
        <v>14</v>
      </c>
      <c r="F8817" t="s" s="10">
        <v>14</v>
      </c>
      <c r="G8817" t="s" s="11">
        <v>14</v>
      </c>
      <c r="H8817" t="s" s="10">
        <v>14</v>
      </c>
      <c r="I8817" t="s" s="11">
        <v>14</v>
      </c>
      <c r="J8817" t="s" s="11">
        <v>14</v>
      </c>
      <c r="K8817" t="s" s="12">
        <v>14</v>
      </c>
      <c r="L8817" t="s" s="12">
        <v>14</v>
      </c>
      <c r="M8817" t="s" s="10">
        <v>14</v>
      </c>
      <c r="N8817" t="s" s="11">
        <v>14</v>
      </c>
      <c r="O8817" t="s" s="8">
        <v>14</v>
      </c>
      <c r="P8817" t="s" s="8">
        <v>14</v>
      </c>
      <c r="Q8817" t="s" s="12">
        <v>14</v>
      </c>
      <c r="R8817" t="s" s="12">
        <v>14</v>
      </c>
    </row>
    <row r="8818" s="2" customFormat="1" ht="13.5" customHeight="1">
      <c r="B8818" s="13"/>
      <c r="C8818" t="s" s="9">
        <v>16</v>
      </c>
      <c r="D8818" t="s" s="8">
        <v>3211</v>
      </c>
      <c r="E8818" t="s" s="9">
        <v>3211</v>
      </c>
      <c r="F8818" t="s" s="10">
        <v>136</v>
      </c>
      <c r="G8818" t="s" s="11">
        <v>136</v>
      </c>
      <c r="H8818" t="s" s="10">
        <v>136</v>
      </c>
      <c r="I8818" t="s" s="11">
        <v>136</v>
      </c>
      <c r="J8818" t="s" s="11">
        <v>20</v>
      </c>
      <c r="K8818" t="s" s="16">
        <f>HYPERLINK("http://csr.bu.edu/ftp/asl/asllvd/demos/verify_start_end_handshape_annotations//test_auto_move//signs_mov/2418.mov","MOV")</f>
        <v>21</v>
      </c>
      <c r="L8818" t="s" s="16">
        <f>HYPERLINK("http://csr.bu.edu/ftp/asl/asllvd/demos/verify_start_end_handshape_annotations//test_auto_move//signs_mov_separ_signers/Liz_2418.mov","MOV")</f>
        <v>21</v>
      </c>
      <c r="M8818" t="s" s="10">
        <v>36</v>
      </c>
      <c r="N8818" s="17">
        <v>45</v>
      </c>
      <c r="O8818" s="18">
        <v>3421</v>
      </c>
      <c r="P8818" s="18">
        <v>3465</v>
      </c>
      <c r="Q8818" t="s" s="16">
        <f>HYPERLINK("http://secrets.rutgers.edu:8080/data/asl-ftp/asllvd/demos/verify_start_end_handshape_annotations//test_auto_move//signs_mov/2418.mov","MOV")</f>
        <v>21</v>
      </c>
      <c r="R8818" t="s" s="16">
        <f>HYPERLINK("http://secrets.rutgers.edu:8080/data/asl-ftp/asllvd/demos/verify_start_end_handshape_annotations//test_auto_move//signs_mov_separ_signers/Liz_2418.mov","MOV")</f>
        <v>21</v>
      </c>
    </row>
    <row r="8819" s="2" customFormat="1" ht="13.5" customHeight="1">
      <c r="B8819" s="13"/>
      <c r="C8819" t="s" s="9">
        <v>30</v>
      </c>
      <c r="D8819" t="s" s="8">
        <v>3211</v>
      </c>
      <c r="E8819" t="s" s="9">
        <v>3211</v>
      </c>
      <c r="F8819" t="s" s="10">
        <v>136</v>
      </c>
      <c r="G8819" t="s" s="11">
        <v>136</v>
      </c>
      <c r="H8819" t="s" s="10">
        <v>136</v>
      </c>
      <c r="I8819" t="s" s="11">
        <v>136</v>
      </c>
      <c r="J8819" t="s" s="11">
        <v>20</v>
      </c>
      <c r="K8819" s="15"/>
      <c r="L8819" t="s" s="16">
        <f>HYPERLINK("http://csr.bu.edu/ftp/asl/asllvd/demos/verify_start_end_handshape_annotations//test_auto_move//signs_mov_separ_signers/Brady_2418.mov","MOV")</f>
        <v>21</v>
      </c>
      <c r="M8819" t="s" s="10">
        <v>40</v>
      </c>
      <c r="N8819" s="17">
        <v>98</v>
      </c>
      <c r="O8819" s="18">
        <v>864</v>
      </c>
      <c r="P8819" s="18">
        <v>878</v>
      </c>
      <c r="Q8819" s="15"/>
      <c r="R8819" t="s" s="16">
        <f>HYPERLINK("http://secrets.rutgers.edu:8080/data/asl-ftp/asllvd/demos/verify_start_end_handshape_annotations//test_auto_move//signs_mov_separ_signers/Brady_2418.mov","MOV")</f>
        <v>21</v>
      </c>
    </row>
    <row r="8820" s="2" customFormat="1" ht="13.5" customHeight="1">
      <c r="B8820" t="s" s="8">
        <v>3212</v>
      </c>
      <c r="C8820" t="s" s="9">
        <v>14</v>
      </c>
      <c r="D8820" t="s" s="8">
        <v>14</v>
      </c>
      <c r="E8820" t="s" s="9">
        <v>14</v>
      </c>
      <c r="F8820" t="s" s="10">
        <v>14</v>
      </c>
      <c r="G8820" t="s" s="11">
        <v>14</v>
      </c>
      <c r="H8820" t="s" s="10">
        <v>14</v>
      </c>
      <c r="I8820" t="s" s="11">
        <v>14</v>
      </c>
      <c r="J8820" t="s" s="11">
        <v>14</v>
      </c>
      <c r="K8820" t="s" s="12">
        <v>14</v>
      </c>
      <c r="L8820" t="s" s="12">
        <v>14</v>
      </c>
      <c r="M8820" t="s" s="10">
        <v>14</v>
      </c>
      <c r="N8820" t="s" s="11">
        <v>14</v>
      </c>
      <c r="O8820" t="s" s="8">
        <v>14</v>
      </c>
      <c r="P8820" t="s" s="8">
        <v>14</v>
      </c>
      <c r="Q8820" t="s" s="12">
        <v>14</v>
      </c>
      <c r="R8820" t="s" s="12">
        <v>14</v>
      </c>
    </row>
    <row r="8821" s="2" customFormat="1" ht="13.5" customHeight="1">
      <c r="B8821" s="13"/>
      <c r="C8821" t="s" s="9">
        <v>16</v>
      </c>
      <c r="D8821" t="s" s="8">
        <v>3213</v>
      </c>
      <c r="E8821" t="s" s="9">
        <v>3213</v>
      </c>
      <c r="F8821" t="s" s="10">
        <v>136</v>
      </c>
      <c r="G8821" s="14"/>
      <c r="H8821" t="s" s="10">
        <v>136</v>
      </c>
      <c r="I8821" s="14"/>
      <c r="J8821" t="s" s="11">
        <v>20</v>
      </c>
      <c r="K8821" t="s" s="16">
        <f>HYPERLINK("http://csr.bu.edu/ftp/asl/asllvd/demos/verify_start_end_handshape_annotations//test_auto_move//signs_mov/15819.mov","MOV")</f>
        <v>21</v>
      </c>
      <c r="L8821" t="s" s="16">
        <f>HYPERLINK("http://csr.bu.edu/ftp/asl/asllvd/demos/verify_start_end_handshape_annotations//test_auto_move//signs_mov_separ_signers/Liz_15819.mov","MOV")</f>
        <v>21</v>
      </c>
      <c r="M8821" t="s" s="10">
        <v>36</v>
      </c>
      <c r="N8821" s="17">
        <v>44</v>
      </c>
      <c r="O8821" s="18">
        <v>1945</v>
      </c>
      <c r="P8821" s="18">
        <v>1970</v>
      </c>
      <c r="Q8821" t="s" s="16">
        <f>HYPERLINK("http://secrets.rutgers.edu:8080/data/asl-ftp/asllvd/demos/verify_start_end_handshape_annotations//test_auto_move//signs_mov/15819.mov","MOV")</f>
        <v>21</v>
      </c>
      <c r="R8821" t="s" s="16">
        <f>HYPERLINK("http://secrets.rutgers.edu:8080/data/asl-ftp/asllvd/demos/verify_start_end_handshape_annotations//test_auto_move//signs_mov_separ_signers/Liz_15819.mov","MOV")</f>
        <v>21</v>
      </c>
    </row>
    <row r="8822" s="2" customFormat="1" ht="13.5" customHeight="1">
      <c r="B8822" s="13"/>
      <c r="C8822" t="s" s="9">
        <v>30</v>
      </c>
      <c r="D8822" t="s" s="8">
        <v>3213</v>
      </c>
      <c r="E8822" t="s" s="9">
        <v>3213</v>
      </c>
      <c r="F8822" t="s" s="10">
        <v>136</v>
      </c>
      <c r="G8822" s="14"/>
      <c r="H8822" t="s" s="10">
        <v>136</v>
      </c>
      <c r="I8822" s="14"/>
      <c r="J8822" t="s" s="11">
        <v>20</v>
      </c>
      <c r="K8822" s="15"/>
      <c r="L8822" t="s" s="16">
        <f>HYPERLINK("http://csr.bu.edu/ftp/asl/asllvd/demos/verify_start_end_handshape_annotations//test_auto_move//signs_mov_separ_signers/Brady_15819.mov","MOV")</f>
        <v>21</v>
      </c>
      <c r="M8822" t="s" s="10">
        <v>40</v>
      </c>
      <c r="N8822" s="17">
        <v>97</v>
      </c>
      <c r="O8822" s="18">
        <v>143</v>
      </c>
      <c r="P8822" s="18">
        <v>172</v>
      </c>
      <c r="Q8822" s="15"/>
      <c r="R8822" t="s" s="16">
        <f>HYPERLINK("http://secrets.rutgers.edu:8080/data/asl-ftp/asllvd/demos/verify_start_end_handshape_annotations//test_auto_move//signs_mov_separ_signers/Brady_15819.mov","MOV")</f>
        <v>21</v>
      </c>
    </row>
    <row r="8823" s="2" customFormat="1" ht="13.5" customHeight="1">
      <c r="B8823" t="s" s="8">
        <v>3214</v>
      </c>
      <c r="C8823" t="s" s="9">
        <v>14</v>
      </c>
      <c r="D8823" t="s" s="8">
        <v>14</v>
      </c>
      <c r="E8823" t="s" s="9">
        <v>14</v>
      </c>
      <c r="F8823" t="s" s="10">
        <v>14</v>
      </c>
      <c r="G8823" t="s" s="11">
        <v>14</v>
      </c>
      <c r="H8823" t="s" s="10">
        <v>14</v>
      </c>
      <c r="I8823" t="s" s="11">
        <v>14</v>
      </c>
      <c r="J8823" t="s" s="11">
        <v>14</v>
      </c>
      <c r="K8823" t="s" s="12">
        <v>14</v>
      </c>
      <c r="L8823" t="s" s="12">
        <v>14</v>
      </c>
      <c r="M8823" t="s" s="10">
        <v>14</v>
      </c>
      <c r="N8823" t="s" s="11">
        <v>14</v>
      </c>
      <c r="O8823" t="s" s="8">
        <v>14</v>
      </c>
      <c r="P8823" t="s" s="8">
        <v>14</v>
      </c>
      <c r="Q8823" t="s" s="12">
        <v>14</v>
      </c>
      <c r="R8823" t="s" s="12">
        <v>14</v>
      </c>
    </row>
    <row r="8824" s="2" customFormat="1" ht="13.5" customHeight="1">
      <c r="B8824" s="13"/>
      <c r="C8824" t="s" s="9">
        <v>16</v>
      </c>
      <c r="D8824" t="s" s="8">
        <v>3214</v>
      </c>
      <c r="E8824" t="s" s="9">
        <v>3214</v>
      </c>
      <c r="F8824" t="s" s="10">
        <v>68</v>
      </c>
      <c r="G8824" s="17">
        <v>1</v>
      </c>
      <c r="H8824" s="19">
        <v>1</v>
      </c>
      <c r="I8824" s="17">
        <v>1</v>
      </c>
      <c r="J8824" t="s" s="11">
        <v>20</v>
      </c>
      <c r="K8824" s="15"/>
      <c r="L8824" t="s" s="16">
        <f>HYPERLINK("http://csr.bu.edu/ftp/asl/asllvd/demos/verify_start_end_handshape_annotations//test_auto_move//signs_mov_separ_signers/Liz_2419.mov","MOV")</f>
        <v>21</v>
      </c>
      <c r="M8824" t="s" s="10">
        <v>36</v>
      </c>
      <c r="N8824" s="17">
        <v>45</v>
      </c>
      <c r="O8824" s="18">
        <v>3945</v>
      </c>
      <c r="P8824" s="18">
        <v>3990</v>
      </c>
      <c r="Q8824" s="15"/>
      <c r="R8824" t="s" s="16">
        <f>HYPERLINK("http://secrets.rutgers.edu:8080/data/asl-ftp/asllvd/demos/verify_start_end_handshape_annotations//test_auto_move//signs_mov_separ_signers/Liz_2419.mov","MOV")</f>
        <v>21</v>
      </c>
    </row>
    <row r="8825" s="2" customFormat="1" ht="13.5" customHeight="1">
      <c r="B8825" s="13"/>
      <c r="C8825" t="s" s="9">
        <v>30</v>
      </c>
      <c r="D8825" t="s" s="8">
        <v>3214</v>
      </c>
      <c r="E8825" t="s" s="9">
        <v>3215</v>
      </c>
      <c r="F8825" t="s" s="10">
        <v>68</v>
      </c>
      <c r="G8825" s="17">
        <v>1</v>
      </c>
      <c r="H8825" s="19">
        <v>1</v>
      </c>
      <c r="I8825" s="17">
        <v>1</v>
      </c>
      <c r="J8825" t="s" s="11">
        <v>20</v>
      </c>
      <c r="K8825" t="s" s="16">
        <f>HYPERLINK("http://csr.bu.edu/ftp/asl/asllvd/demos/verify_start_end_handshape_annotations//test_auto_move//signs_mov/2419_5740_merged.mov","MOV")</f>
        <v>21</v>
      </c>
      <c r="L8825" t="s" s="16">
        <f>HYPERLINK("http://csr.bu.edu/ftp/asl/asllvd/demos/verify_start_end_handshape_annotations//test_auto_move//signs_mov_separ_signers/Brady_2419.mov","MOV")</f>
        <v>21</v>
      </c>
      <c r="M8825" t="s" s="10">
        <v>39</v>
      </c>
      <c r="N8825" s="17">
        <v>15</v>
      </c>
      <c r="O8825" s="18">
        <v>344</v>
      </c>
      <c r="P8825" s="18">
        <v>374</v>
      </c>
      <c r="Q8825" t="s" s="16">
        <f>HYPERLINK("http://secrets.rutgers.edu:8080/data/asl-ftp/asllvd/demos/verify_start_end_handshape_annotations//test_auto_move//signs_mov/2419_5740_merged.mov","MOV")</f>
        <v>21</v>
      </c>
      <c r="R8825" t="s" s="16">
        <f>HYPERLINK("http://secrets.rutgers.edu:8080/data/asl-ftp/asllvd/demos/verify_start_end_handshape_annotations//test_auto_move//signs_mov_separ_signers/Brady_2419.mov","MOV")</f>
        <v>21</v>
      </c>
    </row>
    <row r="8826" s="2" customFormat="1" ht="13.5" customHeight="1">
      <c r="B8826" s="13"/>
      <c r="C8826" t="s" s="9">
        <v>30</v>
      </c>
      <c r="D8826" t="s" s="8">
        <v>3214</v>
      </c>
      <c r="E8826" t="s" s="9">
        <v>3215</v>
      </c>
      <c r="F8826" t="s" s="10">
        <v>68</v>
      </c>
      <c r="G8826" s="17">
        <v>1</v>
      </c>
      <c r="H8826" s="19">
        <v>1</v>
      </c>
      <c r="I8826" s="17">
        <v>1</v>
      </c>
      <c r="J8826" t="s" s="11">
        <v>20</v>
      </c>
      <c r="K8826" s="15"/>
      <c r="L8826" t="s" s="16">
        <f>HYPERLINK("http://csr.bu.edu/ftp/asl/asllvd/demos/verify_start_end_handshape_annotations//test_auto_move//signs_mov_separ_signers/Brady_5740.mov","MOV")</f>
        <v>21</v>
      </c>
      <c r="M8826" t="s" s="10">
        <v>40</v>
      </c>
      <c r="N8826" s="17">
        <v>98</v>
      </c>
      <c r="O8826" s="18">
        <v>1101</v>
      </c>
      <c r="P8826" s="18">
        <v>1138</v>
      </c>
      <c r="Q8826" s="15"/>
      <c r="R8826" t="s" s="16">
        <f>HYPERLINK("http://secrets.rutgers.edu:8080/data/asl-ftp/asllvd/demos/verify_start_end_handshape_annotations//test_auto_move//signs_mov_separ_signers/Brady_5740.mov","MOV")</f>
        <v>21</v>
      </c>
    </row>
    <row r="8827" s="2" customFormat="1" ht="13.5" customHeight="1">
      <c r="B8827" t="s" s="8">
        <v>3216</v>
      </c>
      <c r="C8827" t="s" s="9">
        <v>14</v>
      </c>
      <c r="D8827" t="s" s="8">
        <v>14</v>
      </c>
      <c r="E8827" t="s" s="9">
        <v>14</v>
      </c>
      <c r="F8827" t="s" s="10">
        <v>14</v>
      </c>
      <c r="G8827" t="s" s="11">
        <v>14</v>
      </c>
      <c r="H8827" t="s" s="10">
        <v>14</v>
      </c>
      <c r="I8827" t="s" s="11">
        <v>14</v>
      </c>
      <c r="J8827" t="s" s="11">
        <v>14</v>
      </c>
      <c r="K8827" t="s" s="12">
        <v>14</v>
      </c>
      <c r="L8827" t="s" s="12">
        <v>14</v>
      </c>
      <c r="M8827" t="s" s="10">
        <v>14</v>
      </c>
      <c r="N8827" t="s" s="11">
        <v>14</v>
      </c>
      <c r="O8827" t="s" s="8">
        <v>14</v>
      </c>
      <c r="P8827" t="s" s="8">
        <v>14</v>
      </c>
      <c r="Q8827" t="s" s="12">
        <v>14</v>
      </c>
      <c r="R8827" t="s" s="12">
        <v>14</v>
      </c>
    </row>
    <row r="8828" s="2" customFormat="1" ht="13.5" customHeight="1">
      <c r="B8828" s="13"/>
      <c r="C8828" t="s" s="9">
        <v>16</v>
      </c>
      <c r="D8828" t="s" s="8">
        <v>3216</v>
      </c>
      <c r="E8828" t="s" s="9">
        <v>3216</v>
      </c>
      <c r="F8828" t="s" s="10">
        <v>68</v>
      </c>
      <c r="G8828" s="17">
        <v>1</v>
      </c>
      <c r="H8828" s="19">
        <v>5</v>
      </c>
      <c r="I8828" s="17">
        <v>1</v>
      </c>
      <c r="J8828" t="s" s="11">
        <v>20</v>
      </c>
      <c r="K8828" t="s" s="16">
        <f>HYPERLINK("http://csr.bu.edu/ftp/asl/asllvd/demos/verify_start_end_handshape_annotations//test_auto_move//signs_mov/15553.mov","MOV")</f>
        <v>21</v>
      </c>
      <c r="L8828" t="s" s="16">
        <f>HYPERLINK("http://csr.bu.edu/ftp/asl/asllvd/demos/verify_start_end_handshape_annotations//test_auto_move//signs_mov_separ_signers/Liz_15553.mov","MOV")</f>
        <v>21</v>
      </c>
      <c r="M8828" t="s" s="10">
        <v>36</v>
      </c>
      <c r="N8828" s="17">
        <v>28</v>
      </c>
      <c r="O8828" s="18">
        <v>275</v>
      </c>
      <c r="P8828" s="18">
        <v>310</v>
      </c>
      <c r="Q8828" t="s" s="16">
        <f>HYPERLINK("http://secrets.rutgers.edu:8080/data/asl-ftp/asllvd/demos/verify_start_end_handshape_annotations//test_auto_move//signs_mov/15553.mov","MOV")</f>
        <v>21</v>
      </c>
      <c r="R8828" t="s" s="16">
        <f>HYPERLINK("http://secrets.rutgers.edu:8080/data/asl-ftp/asllvd/demos/verify_start_end_handshape_annotations//test_auto_move//signs_mov_separ_signers/Liz_15553.mov","MOV")</f>
        <v>21</v>
      </c>
    </row>
    <row r="8829" s="2" customFormat="1" ht="13.5" customHeight="1">
      <c r="B8829" s="13"/>
      <c r="C8829" t="s" s="9">
        <v>30</v>
      </c>
      <c r="D8829" t="s" s="8">
        <v>3216</v>
      </c>
      <c r="E8829" t="s" s="9">
        <v>3217</v>
      </c>
      <c r="F8829" t="s" s="10">
        <v>119</v>
      </c>
      <c r="G8829" s="17">
        <v>1</v>
      </c>
      <c r="H8829" s="19">
        <v>5</v>
      </c>
      <c r="I8829" s="17">
        <v>1</v>
      </c>
      <c r="J8829" t="s" s="11">
        <v>20</v>
      </c>
      <c r="K8829" s="15"/>
      <c r="L8829" t="s" s="16">
        <f>HYPERLINK("http://csr.bu.edu/ftp/asl/asllvd/demos/verify_start_end_handshape_annotations//test_auto_move//signs_mov_separ_signers/Brady_15553.mov","MOV")</f>
        <v>21</v>
      </c>
      <c r="M8829" t="s" s="10">
        <v>40</v>
      </c>
      <c r="N8829" s="17">
        <v>79</v>
      </c>
      <c r="O8829" s="18">
        <v>442</v>
      </c>
      <c r="P8829" s="18">
        <v>475</v>
      </c>
      <c r="Q8829" s="15"/>
      <c r="R8829" t="s" s="16">
        <f>HYPERLINK("http://secrets.rutgers.edu:8080/data/asl-ftp/asllvd/demos/verify_start_end_handshape_annotations//test_auto_move//signs_mov_separ_signers/Brady_15553.mov","MOV")</f>
        <v>21</v>
      </c>
    </row>
    <row r="8830" s="2" customFormat="1" ht="13.5" customHeight="1">
      <c r="B8830" t="s" s="8">
        <v>52</v>
      </c>
      <c r="C8830" t="s" s="9">
        <v>53</v>
      </c>
      <c r="D8830" t="s" s="8">
        <v>53</v>
      </c>
      <c r="E8830" t="s" s="9">
        <v>53</v>
      </c>
      <c r="F8830" t="s" s="10">
        <v>53</v>
      </c>
      <c r="G8830" t="s" s="11">
        <v>53</v>
      </c>
      <c r="H8830" t="s" s="10">
        <v>53</v>
      </c>
      <c r="I8830" t="s" s="11">
        <v>53</v>
      </c>
      <c r="J8830" t="s" s="11">
        <v>53</v>
      </c>
      <c r="K8830" t="s" s="12">
        <v>53</v>
      </c>
      <c r="L8830" t="s" s="12">
        <v>53</v>
      </c>
      <c r="M8830" t="s" s="10">
        <v>53</v>
      </c>
      <c r="N8830" t="s" s="11">
        <v>53</v>
      </c>
      <c r="O8830" t="s" s="8">
        <v>53</v>
      </c>
      <c r="P8830" t="s" s="8">
        <v>53</v>
      </c>
      <c r="Q8830" t="s" s="12">
        <v>53</v>
      </c>
      <c r="R8830" t="s" s="12">
        <v>53</v>
      </c>
    </row>
    <row r="8831" s="2" customFormat="1" ht="13.5" customHeight="1">
      <c r="B8831" s="13"/>
      <c r="C8831" t="s" s="9">
        <v>16</v>
      </c>
      <c r="D8831" t="s" s="8">
        <v>3216</v>
      </c>
      <c r="E8831" t="s" s="9">
        <v>3218</v>
      </c>
      <c r="F8831" t="s" s="10">
        <v>68</v>
      </c>
      <c r="G8831" s="17">
        <v>1</v>
      </c>
      <c r="H8831" t="s" s="10">
        <v>148</v>
      </c>
      <c r="I8831" s="17">
        <v>1</v>
      </c>
      <c r="J8831" t="s" s="11">
        <v>20</v>
      </c>
      <c r="K8831" t="s" s="16">
        <f>HYPERLINK("http://csr.bu.edu/ftp/asl/asllvd/demos/verify_start_end_handshape_annotations//test_auto_move//signs_mov/15630.mov","MOV")</f>
        <v>21</v>
      </c>
      <c r="L8831" t="s" s="16">
        <f>HYPERLINK("http://csr.bu.edu/ftp/asl/asllvd/demos/verify_start_end_handshape_annotations//test_auto_move//signs_mov_separ_signers/Liz_15630.mov","MOV")</f>
        <v>21</v>
      </c>
      <c r="M8831" t="s" s="10">
        <v>77</v>
      </c>
      <c r="N8831" s="17">
        <v>27</v>
      </c>
      <c r="O8831" s="18">
        <v>1207</v>
      </c>
      <c r="P8831" s="18">
        <v>1256</v>
      </c>
      <c r="Q8831" t="s" s="16">
        <f>HYPERLINK("http://secrets.rutgers.edu:8080/data/asl-ftp/asllvd/demos/verify_start_end_handshape_annotations//test_auto_move//signs_mov/15630.mov","MOV")</f>
        <v>21</v>
      </c>
      <c r="R8831" t="s" s="16">
        <f>HYPERLINK("http://secrets.rutgers.edu:8080/data/asl-ftp/asllvd/demos/verify_start_end_handshape_annotations//test_auto_move//signs_mov_separ_signers/Liz_15630.mov","MOV")</f>
        <v>21</v>
      </c>
    </row>
    <row r="8832" s="2" customFormat="1" ht="13.5" customHeight="1">
      <c r="B8832" t="s" s="8">
        <v>3219</v>
      </c>
      <c r="C8832" t="s" s="9">
        <v>14</v>
      </c>
      <c r="D8832" t="s" s="8">
        <v>14</v>
      </c>
      <c r="E8832" t="s" s="9">
        <v>14</v>
      </c>
      <c r="F8832" t="s" s="10">
        <v>14</v>
      </c>
      <c r="G8832" t="s" s="11">
        <v>14</v>
      </c>
      <c r="H8832" t="s" s="10">
        <v>14</v>
      </c>
      <c r="I8832" t="s" s="11">
        <v>14</v>
      </c>
      <c r="J8832" t="s" s="11">
        <v>14</v>
      </c>
      <c r="K8832" t="s" s="12">
        <v>14</v>
      </c>
      <c r="L8832" t="s" s="12">
        <v>14</v>
      </c>
      <c r="M8832" t="s" s="10">
        <v>14</v>
      </c>
      <c r="N8832" t="s" s="11">
        <v>14</v>
      </c>
      <c r="O8832" t="s" s="8">
        <v>14</v>
      </c>
      <c r="P8832" t="s" s="8">
        <v>14</v>
      </c>
      <c r="Q8832" t="s" s="12">
        <v>14</v>
      </c>
      <c r="R8832" t="s" s="12">
        <v>14</v>
      </c>
    </row>
    <row r="8833" s="2" customFormat="1" ht="13.5" customHeight="1">
      <c r="B8833" s="13"/>
      <c r="C8833" t="s" s="9">
        <v>16</v>
      </c>
      <c r="D8833" t="s" s="8">
        <v>3219</v>
      </c>
      <c r="E8833" t="s" s="9">
        <v>3219</v>
      </c>
      <c r="F8833" t="s" s="10">
        <v>65</v>
      </c>
      <c r="G8833" t="s" s="11">
        <v>105</v>
      </c>
      <c r="H8833" t="s" s="10">
        <v>65</v>
      </c>
      <c r="I8833" t="s" s="11">
        <v>105</v>
      </c>
      <c r="J8833" t="s" s="11">
        <v>20</v>
      </c>
      <c r="K8833" t="s" s="16">
        <f>HYPERLINK("http://csr.bu.edu/ftp/asl/asllvd/demos/verify_start_end_handshape_annotations//test_auto_move//signs_mov/2421.mov","MOV")</f>
        <v>21</v>
      </c>
      <c r="L8833" t="s" s="16">
        <f>HYPERLINK("http://csr.bu.edu/ftp/asl/asllvd/demos/verify_start_end_handshape_annotations//test_auto_move//signs_mov_separ_signers/Liz_2421.mov","MOV")</f>
        <v>21</v>
      </c>
      <c r="M8833" t="s" s="10">
        <v>36</v>
      </c>
      <c r="N8833" s="17">
        <v>46</v>
      </c>
      <c r="O8833" s="18">
        <v>458</v>
      </c>
      <c r="P8833" s="18">
        <v>494</v>
      </c>
      <c r="Q8833" t="s" s="16">
        <f>HYPERLINK("http://secrets.rutgers.edu:8080/data/asl-ftp/asllvd/demos/verify_start_end_handshape_annotations//test_auto_move//signs_mov/2421.mov","MOV")</f>
        <v>21</v>
      </c>
      <c r="R8833" t="s" s="16">
        <f>HYPERLINK("http://secrets.rutgers.edu:8080/data/asl-ftp/asllvd/demos/verify_start_end_handshape_annotations//test_auto_move//signs_mov_separ_signers/Liz_2421.mov","MOV")</f>
        <v>21</v>
      </c>
    </row>
    <row r="8834" s="2" customFormat="1" ht="13.5" customHeight="1">
      <c r="B8834" s="13"/>
      <c r="C8834" t="s" s="9">
        <v>30</v>
      </c>
      <c r="D8834" t="s" s="8">
        <v>3219</v>
      </c>
      <c r="E8834" t="s" s="9">
        <v>3219</v>
      </c>
      <c r="F8834" t="s" s="10">
        <v>65</v>
      </c>
      <c r="G8834" t="s" s="11">
        <v>105</v>
      </c>
      <c r="H8834" t="s" s="10">
        <v>65</v>
      </c>
      <c r="I8834" t="s" s="11">
        <v>105</v>
      </c>
      <c r="J8834" t="s" s="11">
        <v>20</v>
      </c>
      <c r="K8834" s="15"/>
      <c r="L8834" t="s" s="16">
        <f>HYPERLINK("http://csr.bu.edu/ftp/asl/asllvd/demos/verify_start_end_handshape_annotations//test_auto_move//signs_mov_separ_signers/Brady_2421.mov","MOV")</f>
        <v>21</v>
      </c>
      <c r="M8834" t="s" s="10">
        <v>40</v>
      </c>
      <c r="N8834" s="17">
        <v>98</v>
      </c>
      <c r="O8834" s="18">
        <v>1828</v>
      </c>
      <c r="P8834" s="18">
        <v>1846</v>
      </c>
      <c r="Q8834" s="15"/>
      <c r="R8834" t="s" s="16">
        <f>HYPERLINK("http://secrets.rutgers.edu:8080/data/asl-ftp/asllvd/demos/verify_start_end_handshape_annotations//test_auto_move//signs_mov_separ_signers/Brady_2421.mov","MOV")</f>
        <v>21</v>
      </c>
    </row>
    <row r="8835" s="2" customFormat="1" ht="13.5" customHeight="1">
      <c r="B8835" t="s" s="8">
        <v>3220</v>
      </c>
      <c r="C8835" t="s" s="9">
        <v>14</v>
      </c>
      <c r="D8835" t="s" s="8">
        <v>14</v>
      </c>
      <c r="E8835" t="s" s="9">
        <v>14</v>
      </c>
      <c r="F8835" t="s" s="10">
        <v>14</v>
      </c>
      <c r="G8835" t="s" s="11">
        <v>14</v>
      </c>
      <c r="H8835" t="s" s="10">
        <v>14</v>
      </c>
      <c r="I8835" t="s" s="11">
        <v>14</v>
      </c>
      <c r="J8835" t="s" s="11">
        <v>14</v>
      </c>
      <c r="K8835" t="s" s="12">
        <v>14</v>
      </c>
      <c r="L8835" t="s" s="12">
        <v>14</v>
      </c>
      <c r="M8835" t="s" s="10">
        <v>14</v>
      </c>
      <c r="N8835" t="s" s="11">
        <v>14</v>
      </c>
      <c r="O8835" t="s" s="8">
        <v>14</v>
      </c>
      <c r="P8835" t="s" s="8">
        <v>14</v>
      </c>
      <c r="Q8835" t="s" s="12">
        <v>14</v>
      </c>
      <c r="R8835" t="s" s="12">
        <v>14</v>
      </c>
    </row>
    <row r="8836" s="2" customFormat="1" ht="13.5" customHeight="1">
      <c r="B8836" s="13"/>
      <c r="C8836" t="s" s="9">
        <v>16</v>
      </c>
      <c r="D8836" t="s" s="8">
        <v>3220</v>
      </c>
      <c r="E8836" t="s" s="9">
        <v>3220</v>
      </c>
      <c r="F8836" t="s" s="10">
        <v>65</v>
      </c>
      <c r="G8836" s="14"/>
      <c r="H8836" t="s" s="10">
        <v>65</v>
      </c>
      <c r="I8836" s="14"/>
      <c r="J8836" t="s" s="11">
        <v>20</v>
      </c>
      <c r="K8836" t="s" s="16">
        <f>HYPERLINK("http://csr.bu.edu/ftp/asl/asllvd/demos/verify_start_end_handshape_annotations//test_auto_move//signs_mov/15411.mov","MOV")</f>
        <v>21</v>
      </c>
      <c r="L8836" t="s" s="16">
        <f>HYPERLINK("http://csr.bu.edu/ftp/asl/asllvd/demos/verify_start_end_handshape_annotations//test_auto_move//signs_mov_separ_signers/Liz_15411.mov","MOV")</f>
        <v>21</v>
      </c>
      <c r="M8836" t="s" s="10">
        <v>36</v>
      </c>
      <c r="N8836" s="17">
        <v>46</v>
      </c>
      <c r="O8836" s="18">
        <v>248</v>
      </c>
      <c r="P8836" s="18">
        <v>286</v>
      </c>
      <c r="Q8836" t="s" s="16">
        <f>HYPERLINK("http://secrets.rutgers.edu:8080/data/asl-ftp/asllvd/demos/verify_start_end_handshape_annotations//test_auto_move//signs_mov/15411.mov","MOV")</f>
        <v>21</v>
      </c>
      <c r="R8836" t="s" s="16">
        <f>HYPERLINK("http://secrets.rutgers.edu:8080/data/asl-ftp/asllvd/demos/verify_start_end_handshape_annotations//test_auto_move//signs_mov_separ_signers/Liz_15411.mov","MOV")</f>
        <v>21</v>
      </c>
    </row>
    <row r="8837" s="2" customFormat="1" ht="13.5" customHeight="1">
      <c r="B8837" s="13"/>
      <c r="C8837" t="s" s="9">
        <v>30</v>
      </c>
      <c r="D8837" t="s" s="8">
        <v>3220</v>
      </c>
      <c r="E8837" t="s" s="9">
        <v>3220</v>
      </c>
      <c r="F8837" t="s" s="10">
        <v>65</v>
      </c>
      <c r="G8837" s="14"/>
      <c r="H8837" t="s" s="10">
        <v>65</v>
      </c>
      <c r="I8837" s="14"/>
      <c r="J8837" t="s" s="11">
        <v>20</v>
      </c>
      <c r="K8837" s="15"/>
      <c r="L8837" t="s" s="16">
        <f>HYPERLINK("http://csr.bu.edu/ftp/asl/asllvd/demos/verify_start_end_handshape_annotations//test_auto_move//signs_mov_separ_signers/Brady_15411.mov","MOV")</f>
        <v>21</v>
      </c>
      <c r="M8837" t="s" s="10">
        <v>40</v>
      </c>
      <c r="N8837" s="17">
        <v>98</v>
      </c>
      <c r="O8837" s="18">
        <v>1544</v>
      </c>
      <c r="P8837" s="18">
        <v>1565</v>
      </c>
      <c r="Q8837" s="15"/>
      <c r="R8837" t="s" s="16">
        <f>HYPERLINK("http://secrets.rutgers.edu:8080/data/asl-ftp/asllvd/demos/verify_start_end_handshape_annotations//test_auto_move//signs_mov_separ_signers/Brady_15411.mov","MOV")</f>
        <v>21</v>
      </c>
    </row>
    <row r="8838" s="2" customFormat="1" ht="13.5" customHeight="1">
      <c r="B8838" t="s" s="8">
        <v>3221</v>
      </c>
      <c r="C8838" t="s" s="9">
        <v>14</v>
      </c>
      <c r="D8838" t="s" s="8">
        <v>14</v>
      </c>
      <c r="E8838" t="s" s="9">
        <v>14</v>
      </c>
      <c r="F8838" t="s" s="10">
        <v>14</v>
      </c>
      <c r="G8838" t="s" s="11">
        <v>14</v>
      </c>
      <c r="H8838" t="s" s="10">
        <v>14</v>
      </c>
      <c r="I8838" t="s" s="11">
        <v>14</v>
      </c>
      <c r="J8838" t="s" s="11">
        <v>14</v>
      </c>
      <c r="K8838" t="s" s="12">
        <v>14</v>
      </c>
      <c r="L8838" t="s" s="12">
        <v>14</v>
      </c>
      <c r="M8838" t="s" s="10">
        <v>14</v>
      </c>
      <c r="N8838" t="s" s="11">
        <v>14</v>
      </c>
      <c r="O8838" t="s" s="8">
        <v>14</v>
      </c>
      <c r="P8838" t="s" s="8">
        <v>14</v>
      </c>
      <c r="Q8838" t="s" s="12">
        <v>14</v>
      </c>
      <c r="R8838" t="s" s="12">
        <v>14</v>
      </c>
    </row>
    <row r="8839" s="2" customFormat="1" ht="13.5" customHeight="1">
      <c r="B8839" s="13"/>
      <c r="C8839" t="s" s="9">
        <v>16</v>
      </c>
      <c r="D8839" t="s" s="8">
        <v>3221</v>
      </c>
      <c r="E8839" t="s" s="9">
        <v>3221</v>
      </c>
      <c r="F8839" t="s" s="10">
        <v>282</v>
      </c>
      <c r="G8839" s="14"/>
      <c r="H8839" t="s" s="10">
        <v>55</v>
      </c>
      <c r="I8839" s="14"/>
      <c r="J8839" t="s" s="11">
        <v>20</v>
      </c>
      <c r="K8839" t="s" s="16">
        <f>HYPERLINK("http://csr.bu.edu/ftp/asl/asllvd/demos/verify_start_end_handshape_annotations//test_auto_move//signs_mov/15432.mov","MOV")</f>
        <v>21</v>
      </c>
      <c r="L8839" t="s" s="16">
        <f>HYPERLINK("http://csr.bu.edu/ftp/asl/asllvd/demos/verify_start_end_handshape_annotations//test_auto_move//signs_mov_separ_signers/Liz_15432.mov","MOV")</f>
        <v>21</v>
      </c>
      <c r="M8839" t="s" s="10">
        <v>22</v>
      </c>
      <c r="N8839" s="17">
        <v>37</v>
      </c>
      <c r="O8839" s="18">
        <v>660</v>
      </c>
      <c r="P8839" s="18">
        <v>693</v>
      </c>
      <c r="Q8839" t="s" s="16">
        <f>HYPERLINK("http://secrets.rutgers.edu:8080/data/asl-ftp/asllvd/demos/verify_start_end_handshape_annotations//test_auto_move//signs_mov/15432.mov","MOV")</f>
        <v>21</v>
      </c>
      <c r="R8839" t="s" s="16">
        <f>HYPERLINK("http://secrets.rutgers.edu:8080/data/asl-ftp/asllvd/demos/verify_start_end_handshape_annotations//test_auto_move//signs_mov_separ_signers/Liz_15432.mov","MOV")</f>
        <v>21</v>
      </c>
    </row>
    <row r="8840" s="2" customFormat="1" ht="13.5" customHeight="1">
      <c r="B8840" t="s" s="8">
        <v>3222</v>
      </c>
      <c r="C8840" t="s" s="9">
        <v>14</v>
      </c>
      <c r="D8840" t="s" s="8">
        <v>14</v>
      </c>
      <c r="E8840" t="s" s="9">
        <v>14</v>
      </c>
      <c r="F8840" t="s" s="10">
        <v>14</v>
      </c>
      <c r="G8840" t="s" s="11">
        <v>14</v>
      </c>
      <c r="H8840" t="s" s="10">
        <v>14</v>
      </c>
      <c r="I8840" t="s" s="11">
        <v>14</v>
      </c>
      <c r="J8840" t="s" s="11">
        <v>14</v>
      </c>
      <c r="K8840" t="s" s="12">
        <v>14</v>
      </c>
      <c r="L8840" t="s" s="12">
        <v>14</v>
      </c>
      <c r="M8840" t="s" s="10">
        <v>14</v>
      </c>
      <c r="N8840" t="s" s="11">
        <v>14</v>
      </c>
      <c r="O8840" t="s" s="8">
        <v>14</v>
      </c>
      <c r="P8840" t="s" s="8">
        <v>14</v>
      </c>
      <c r="Q8840" t="s" s="12">
        <v>14</v>
      </c>
      <c r="R8840" t="s" s="12">
        <v>14</v>
      </c>
    </row>
    <row r="8841" s="2" customFormat="1" ht="13.5" customHeight="1">
      <c r="B8841" s="13"/>
      <c r="C8841" t="s" s="9">
        <v>16</v>
      </c>
      <c r="D8841" t="s" s="8">
        <v>3222</v>
      </c>
      <c r="E8841" t="s" s="9">
        <v>3222</v>
      </c>
      <c r="F8841" s="19">
        <v>25</v>
      </c>
      <c r="G8841" s="14"/>
      <c r="H8841" t="s" s="10">
        <v>73</v>
      </c>
      <c r="I8841" s="14"/>
      <c r="J8841" t="s" s="11">
        <v>20</v>
      </c>
      <c r="K8841" s="15"/>
      <c r="L8841" t="s" s="16">
        <f>HYPERLINK("http://csr.bu.edu/ftp/asl/asllvd/demos/verify_start_end_handshape_annotations//test_auto_move//signs_mov_separ_signers/Liz_15438.mov","MOV")</f>
        <v>21</v>
      </c>
      <c r="M8841" t="s" s="10">
        <v>88</v>
      </c>
      <c r="N8841" s="17">
        <v>10</v>
      </c>
      <c r="O8841" s="18">
        <v>2582</v>
      </c>
      <c r="P8841" s="18">
        <v>2626</v>
      </c>
      <c r="Q8841" s="15"/>
      <c r="R8841" t="s" s="16">
        <f>HYPERLINK("http://secrets.rutgers.edu:8080/data/asl-ftp/asllvd/demos/verify_start_end_handshape_annotations//test_auto_move//signs_mov_separ_signers/Liz_15438.mov","MOV")</f>
        <v>21</v>
      </c>
    </row>
    <row r="8842" s="2" customFormat="1" ht="13.5" customHeight="1">
      <c r="B8842" s="13"/>
      <c r="C8842" t="s" s="9">
        <v>23</v>
      </c>
      <c r="D8842" t="s" s="8">
        <v>3222</v>
      </c>
      <c r="E8842" t="s" s="9">
        <v>3222</v>
      </c>
      <c r="F8842" t="s" s="10">
        <v>282</v>
      </c>
      <c r="G8842" s="14"/>
      <c r="H8842" t="s" s="10">
        <v>73</v>
      </c>
      <c r="I8842" s="14"/>
      <c r="J8842" t="s" s="11">
        <v>20</v>
      </c>
      <c r="K8842" s="15"/>
      <c r="L8842" t="s" s="16">
        <f>HYPERLINK("http://csr.bu.edu/ftp/asl/asllvd/demos/verify_start_end_handshape_annotations//test_auto_move//signs_mov_separ_signers/Tyler_15438.mov","MOV")</f>
        <v>21</v>
      </c>
      <c r="M8842" t="s" s="10">
        <v>26</v>
      </c>
      <c r="N8842" s="17">
        <v>23</v>
      </c>
      <c r="O8842" s="18">
        <v>3525</v>
      </c>
      <c r="P8842" s="18">
        <v>3546</v>
      </c>
      <c r="Q8842" s="15"/>
      <c r="R8842" t="s" s="16">
        <f>HYPERLINK("http://secrets.rutgers.edu:8080/data/asl-ftp/asllvd/demos/verify_start_end_handshape_annotations//test_auto_move//signs_mov_separ_signers/Tyler_15438.mov","MOV")</f>
        <v>21</v>
      </c>
    </row>
    <row r="8843" s="2" customFormat="1" ht="13.5" customHeight="1">
      <c r="B8843" s="13"/>
      <c r="C8843" t="s" s="9">
        <v>23</v>
      </c>
      <c r="D8843" t="s" s="8">
        <v>3222</v>
      </c>
      <c r="E8843" t="s" s="9">
        <v>3222</v>
      </c>
      <c r="F8843" s="19">
        <v>8</v>
      </c>
      <c r="G8843" s="14"/>
      <c r="H8843" t="s" s="10">
        <v>73</v>
      </c>
      <c r="I8843" s="14"/>
      <c r="J8843" t="s" s="11">
        <v>20</v>
      </c>
      <c r="K8843" t="s" s="16">
        <f>HYPERLINK("http://csr.bu.edu/ftp/asl/asllvd/demos/verify_start_end_handshape_annotations//test_auto_move//signs_mov/15438_15444_merged.mov","MOV")</f>
        <v>21</v>
      </c>
      <c r="L8843" t="s" s="16">
        <f>HYPERLINK("http://csr.bu.edu/ftp/asl/asllvd/demos/verify_start_end_handshape_annotations//test_auto_move//signs_mov_separ_signers/Tyler_15444.mov","MOV")</f>
        <v>21</v>
      </c>
      <c r="M8843" t="s" s="10">
        <v>47</v>
      </c>
      <c r="N8843" s="17">
        <v>19</v>
      </c>
      <c r="O8843" s="18">
        <v>2537</v>
      </c>
      <c r="P8843" s="18">
        <v>2565</v>
      </c>
      <c r="Q8843" t="s" s="16">
        <f>HYPERLINK("http://secrets.rutgers.edu:8080/data/asl-ftp/asllvd/demos/verify_start_end_handshape_annotations//test_auto_move//signs_mov/15438_15444_merged.mov","MOV")</f>
        <v>21</v>
      </c>
      <c r="R8843" t="s" s="16">
        <f>HYPERLINK("http://secrets.rutgers.edu:8080/data/asl-ftp/asllvd/demos/verify_start_end_handshape_annotations//test_auto_move//signs_mov_separ_signers/Tyler_15444.mov","MOV")</f>
        <v>21</v>
      </c>
    </row>
    <row r="8844" s="2" customFormat="1" ht="13.5" customHeight="1">
      <c r="B8844" s="13"/>
      <c r="C8844" t="s" s="9">
        <v>27</v>
      </c>
      <c r="D8844" t="s" s="8">
        <v>3222</v>
      </c>
      <c r="E8844" t="s" s="9">
        <v>3222</v>
      </c>
      <c r="F8844" t="s" s="10">
        <v>282</v>
      </c>
      <c r="G8844" s="14"/>
      <c r="H8844" t="s" s="10">
        <v>73</v>
      </c>
      <c r="I8844" s="14"/>
      <c r="J8844" t="s" s="11">
        <v>20</v>
      </c>
      <c r="K8844" s="15"/>
      <c r="L8844" t="s" s="16">
        <f>HYPERLINK("http://csr.bu.edu/ftp/asl/asllvd/demos/verify_start_end_handshape_annotations//test_auto_move//signs_mov_separ_signers/Naomi_15438.mov","MOV")</f>
        <v>21</v>
      </c>
      <c r="M8844" t="s" s="10">
        <v>29</v>
      </c>
      <c r="N8844" s="17">
        <v>24</v>
      </c>
      <c r="O8844" s="18">
        <v>2700</v>
      </c>
      <c r="P8844" s="18">
        <v>2730</v>
      </c>
      <c r="Q8844" s="15"/>
      <c r="R8844" t="s" s="16">
        <f>HYPERLINK("http://secrets.rutgers.edu:8080/data/asl-ftp/asllvd/demos/verify_start_end_handshape_annotations//test_auto_move//signs_mov_separ_signers/Naomi_15438.mov","MOV")</f>
        <v>21</v>
      </c>
    </row>
    <row r="8845" s="2" customFormat="1" ht="13.5" customHeight="1">
      <c r="B8845" s="13"/>
      <c r="C8845" t="s" s="9">
        <v>30</v>
      </c>
      <c r="D8845" t="s" s="8">
        <v>3222</v>
      </c>
      <c r="E8845" t="s" s="9">
        <v>3222</v>
      </c>
      <c r="F8845" t="s" s="10">
        <v>282</v>
      </c>
      <c r="G8845" s="14"/>
      <c r="H8845" t="s" s="10">
        <v>73</v>
      </c>
      <c r="I8845" s="14"/>
      <c r="J8845" t="s" s="11">
        <v>20</v>
      </c>
      <c r="K8845" s="15"/>
      <c r="L8845" t="s" s="16">
        <f>HYPERLINK("http://csr.bu.edu/ftp/asl/asllvd/demos/verify_start_end_handshape_annotations//test_auto_move//signs_mov_separ_signers/Brady_15438.mov","MOV")</f>
        <v>21</v>
      </c>
      <c r="M8845" t="s" s="10">
        <v>31</v>
      </c>
      <c r="N8845" s="17">
        <v>18</v>
      </c>
      <c r="O8845" s="18">
        <v>4881</v>
      </c>
      <c r="P8845" s="18">
        <v>4902</v>
      </c>
      <c r="Q8845" s="15"/>
      <c r="R8845" t="s" s="16">
        <f>HYPERLINK("http://secrets.rutgers.edu:8080/data/asl-ftp/asllvd/demos/verify_start_end_handshape_annotations//test_auto_move//signs_mov_separ_signers/Brady_15438.mov","MOV")</f>
        <v>21</v>
      </c>
    </row>
    <row r="8846" s="2" customFormat="1" ht="13.5" customHeight="1">
      <c r="B8846" s="13"/>
      <c r="C8846" t="s" s="9">
        <v>30</v>
      </c>
      <c r="D8846" t="s" s="8">
        <v>3222</v>
      </c>
      <c r="E8846" t="s" s="9">
        <v>3222</v>
      </c>
      <c r="F8846" t="s" s="10">
        <v>282</v>
      </c>
      <c r="G8846" s="14"/>
      <c r="H8846" t="s" s="10">
        <v>73</v>
      </c>
      <c r="I8846" s="14"/>
      <c r="J8846" t="s" s="11">
        <v>20</v>
      </c>
      <c r="K8846" s="15"/>
      <c r="L8846" t="s" s="16">
        <f>HYPERLINK("http://csr.bu.edu/ftp/asl/asllvd/demos/verify_start_end_handshape_annotations//test_auto_move//signs_mov_separ_signers/Brady_15444.mov","MOV")</f>
        <v>21</v>
      </c>
      <c r="M8846" t="s" s="10">
        <v>40</v>
      </c>
      <c r="N8846" s="17">
        <v>6</v>
      </c>
      <c r="O8846" s="18">
        <v>527</v>
      </c>
      <c r="P8846" s="18">
        <v>553</v>
      </c>
      <c r="Q8846" s="15"/>
      <c r="R8846" t="s" s="16">
        <f>HYPERLINK("http://secrets.rutgers.edu:8080/data/asl-ftp/asllvd/demos/verify_start_end_handshape_annotations//test_auto_move//signs_mov_separ_signers/Brady_15444.mov","MOV")</f>
        <v>21</v>
      </c>
    </row>
    <row r="8847" s="2" customFormat="1" ht="13.5" customHeight="1">
      <c r="B8847" t="s" s="8">
        <v>3222</v>
      </c>
      <c r="C8847" t="s" s="9">
        <v>14</v>
      </c>
      <c r="D8847" t="s" s="8">
        <v>14</v>
      </c>
      <c r="E8847" t="s" s="9">
        <v>14</v>
      </c>
      <c r="F8847" t="s" s="10">
        <v>14</v>
      </c>
      <c r="G8847" t="s" s="11">
        <v>14</v>
      </c>
      <c r="H8847" t="s" s="10">
        <v>14</v>
      </c>
      <c r="I8847" t="s" s="11">
        <v>14</v>
      </c>
      <c r="J8847" t="s" s="11">
        <v>14</v>
      </c>
      <c r="K8847" t="s" s="12">
        <v>14</v>
      </c>
      <c r="L8847" t="s" s="12">
        <v>14</v>
      </c>
      <c r="M8847" t="s" s="10">
        <v>14</v>
      </c>
      <c r="N8847" t="s" s="11">
        <v>14</v>
      </c>
      <c r="O8847" t="s" s="8">
        <v>14</v>
      </c>
      <c r="P8847" t="s" s="8">
        <v>14</v>
      </c>
      <c r="Q8847" t="s" s="12">
        <v>14</v>
      </c>
      <c r="R8847" t="s" s="12">
        <v>14</v>
      </c>
    </row>
    <row r="8848" s="2" customFormat="1" ht="13.5" customHeight="1">
      <c r="B8848" s="13"/>
      <c r="C8848" t="s" s="9">
        <v>16</v>
      </c>
      <c r="D8848" t="s" s="8">
        <v>3223</v>
      </c>
      <c r="E8848" t="s" s="9">
        <v>3224</v>
      </c>
      <c r="F8848" t="s" s="10">
        <v>68</v>
      </c>
      <c r="G8848" t="s" s="11">
        <v>68</v>
      </c>
      <c r="H8848" t="s" s="10">
        <v>68</v>
      </c>
      <c r="I8848" t="s" s="11">
        <v>68</v>
      </c>
      <c r="J8848" t="s" s="11">
        <v>20</v>
      </c>
      <c r="K8848" s="15"/>
      <c r="L8848" t="s" s="16">
        <f>HYPERLINK("http://csr.bu.edu/ftp/asl/asllvd/demos/verify_start_end_handshape_annotations//test_auto_move//signs_mov_separ_signers/Liz_15486.mov","MOV")</f>
        <v>21</v>
      </c>
      <c r="M8848" t="s" s="10">
        <v>88</v>
      </c>
      <c r="N8848" s="17">
        <v>10</v>
      </c>
      <c r="O8848" s="18">
        <v>2910</v>
      </c>
      <c r="P8848" s="18">
        <v>2970</v>
      </c>
      <c r="Q8848" s="15"/>
      <c r="R8848" t="s" s="16">
        <f>HYPERLINK("http://secrets.rutgers.edu:8080/data/asl-ftp/asllvd/demos/verify_start_end_handshape_annotations//test_auto_move//signs_mov_separ_signers/Liz_15486.mov","MOV")</f>
        <v>21</v>
      </c>
    </row>
    <row r="8849" s="2" customFormat="1" ht="13.5" customHeight="1">
      <c r="B8849" s="13"/>
      <c r="C8849" t="s" s="9">
        <v>23</v>
      </c>
      <c r="D8849" t="s" s="8">
        <v>3223</v>
      </c>
      <c r="E8849" t="s" s="9">
        <v>3224</v>
      </c>
      <c r="F8849" t="s" s="10">
        <v>68</v>
      </c>
      <c r="G8849" t="s" s="11">
        <v>68</v>
      </c>
      <c r="H8849" t="s" s="10">
        <v>68</v>
      </c>
      <c r="I8849" t="s" s="11">
        <v>68</v>
      </c>
      <c r="J8849" t="s" s="11">
        <v>20</v>
      </c>
      <c r="K8849" t="s" s="16">
        <f>HYPERLINK("http://csr.bu.edu/ftp/asl/asllvd/demos/verify_start_end_handshape_annotations//test_auto_move//signs_mov/15486.mov","MOV")</f>
        <v>21</v>
      </c>
      <c r="L8849" t="s" s="16">
        <f>HYPERLINK("http://csr.bu.edu/ftp/asl/asllvd/demos/verify_start_end_handshape_annotations//test_auto_move//signs_mov_separ_signers/Tyler_15486.mov","MOV")</f>
        <v>21</v>
      </c>
      <c r="M8849" t="s" s="10">
        <v>47</v>
      </c>
      <c r="N8849" s="17">
        <v>19</v>
      </c>
      <c r="O8849" s="18">
        <v>2187</v>
      </c>
      <c r="P8849" s="18">
        <v>2237</v>
      </c>
      <c r="Q8849" t="s" s="16">
        <f>HYPERLINK("http://secrets.rutgers.edu:8080/data/asl-ftp/asllvd/demos/verify_start_end_handshape_annotations//test_auto_move//signs_mov/15486.mov","MOV")</f>
        <v>21</v>
      </c>
      <c r="R8849" t="s" s="16">
        <f>HYPERLINK("http://secrets.rutgers.edu:8080/data/asl-ftp/asllvd/demos/verify_start_end_handshape_annotations//test_auto_move//signs_mov_separ_signers/Tyler_15486.mov","MOV")</f>
        <v>21</v>
      </c>
    </row>
    <row r="8850" s="2" customFormat="1" ht="13.5" customHeight="1">
      <c r="B8850" s="13"/>
      <c r="C8850" t="s" s="9">
        <v>30</v>
      </c>
      <c r="D8850" t="s" s="8">
        <v>3223</v>
      </c>
      <c r="E8850" t="s" s="9">
        <v>3224</v>
      </c>
      <c r="F8850" t="s" s="10">
        <v>68</v>
      </c>
      <c r="G8850" t="s" s="11">
        <v>68</v>
      </c>
      <c r="H8850" t="s" s="10">
        <v>68</v>
      </c>
      <c r="I8850" t="s" s="11">
        <v>68</v>
      </c>
      <c r="J8850" t="s" s="11">
        <v>20</v>
      </c>
      <c r="K8850" s="15"/>
      <c r="L8850" t="s" s="16">
        <f>HYPERLINK("http://csr.bu.edu/ftp/asl/asllvd/demos/verify_start_end_handshape_annotations//test_auto_move//signs_mov_separ_signers/Brady_15486.mov","MOV")</f>
        <v>21</v>
      </c>
      <c r="M8850" t="s" s="10">
        <v>40</v>
      </c>
      <c r="N8850" s="17">
        <v>6</v>
      </c>
      <c r="O8850" s="18">
        <v>803</v>
      </c>
      <c r="P8850" s="18">
        <v>850</v>
      </c>
      <c r="Q8850" s="15"/>
      <c r="R8850" t="s" s="16">
        <f>HYPERLINK("http://secrets.rutgers.edu:8080/data/asl-ftp/asllvd/demos/verify_start_end_handshape_annotations//test_auto_move//signs_mov_separ_signers/Brady_15486.mov","MOV")</f>
        <v>21</v>
      </c>
    </row>
    <row r="8851" s="2" customFormat="1" ht="13.5" customHeight="1">
      <c r="B8851" t="s" s="8">
        <v>3225</v>
      </c>
      <c r="C8851" t="s" s="9">
        <v>14</v>
      </c>
      <c r="D8851" t="s" s="8">
        <v>14</v>
      </c>
      <c r="E8851" t="s" s="9">
        <v>14</v>
      </c>
      <c r="F8851" t="s" s="10">
        <v>14</v>
      </c>
      <c r="G8851" t="s" s="11">
        <v>14</v>
      </c>
      <c r="H8851" t="s" s="10">
        <v>14</v>
      </c>
      <c r="I8851" t="s" s="11">
        <v>14</v>
      </c>
      <c r="J8851" t="s" s="11">
        <v>14</v>
      </c>
      <c r="K8851" t="s" s="12">
        <v>14</v>
      </c>
      <c r="L8851" t="s" s="12">
        <v>14</v>
      </c>
      <c r="M8851" t="s" s="10">
        <v>14</v>
      </c>
      <c r="N8851" t="s" s="11">
        <v>14</v>
      </c>
      <c r="O8851" t="s" s="8">
        <v>14</v>
      </c>
      <c r="P8851" t="s" s="8">
        <v>14</v>
      </c>
      <c r="Q8851" t="s" s="12">
        <v>14</v>
      </c>
      <c r="R8851" t="s" s="12">
        <v>14</v>
      </c>
    </row>
    <row r="8852" s="2" customFormat="1" ht="13.5" customHeight="1">
      <c r="B8852" s="13"/>
      <c r="C8852" t="s" s="9">
        <v>16</v>
      </c>
      <c r="D8852" t="s" s="8">
        <v>3225</v>
      </c>
      <c r="E8852" t="s" s="9">
        <v>3225</v>
      </c>
      <c r="F8852" t="s" s="10">
        <v>437</v>
      </c>
      <c r="G8852" s="14"/>
      <c r="H8852" t="s" s="10">
        <v>437</v>
      </c>
      <c r="I8852" s="14"/>
      <c r="J8852" t="s" s="11">
        <v>20</v>
      </c>
      <c r="K8852" t="s" s="16">
        <f>HYPERLINK("http://csr.bu.edu/ftp/asl/asllvd/demos/verify_start_end_handshape_annotations//test_auto_move//signs_mov/2425.mov","MOV")</f>
        <v>21</v>
      </c>
      <c r="L8852" t="s" s="16">
        <f>HYPERLINK("http://csr.bu.edu/ftp/asl/asllvd/demos/verify_start_end_handshape_annotations//test_auto_move//signs_mov_separ_signers/Liz_2425.mov","MOV")</f>
        <v>21</v>
      </c>
      <c r="M8852" t="s" s="10">
        <v>36</v>
      </c>
      <c r="N8852" s="17">
        <v>47</v>
      </c>
      <c r="O8852" s="18">
        <v>683</v>
      </c>
      <c r="P8852" s="18">
        <v>722</v>
      </c>
      <c r="Q8852" t="s" s="16">
        <f>HYPERLINK("http://secrets.rutgers.edu:8080/data/asl-ftp/asllvd/demos/verify_start_end_handshape_annotations//test_auto_move//signs_mov/2425.mov","MOV")</f>
        <v>21</v>
      </c>
      <c r="R8852" t="s" s="16">
        <f>HYPERLINK("http://secrets.rutgers.edu:8080/data/asl-ftp/asllvd/demos/verify_start_end_handshape_annotations//test_auto_move//signs_mov_separ_signers/Liz_2425.mov","MOV")</f>
        <v>21</v>
      </c>
    </row>
    <row r="8853" s="2" customFormat="1" ht="13.5" customHeight="1">
      <c r="B8853" s="13"/>
      <c r="C8853" t="s" s="9">
        <v>30</v>
      </c>
      <c r="D8853" t="s" s="8">
        <v>3225</v>
      </c>
      <c r="E8853" t="s" s="9">
        <v>3225</v>
      </c>
      <c r="F8853" t="s" s="10">
        <v>282</v>
      </c>
      <c r="G8853" s="14"/>
      <c r="H8853" t="s" s="10">
        <v>282</v>
      </c>
      <c r="I8853" s="14"/>
      <c r="J8853" t="s" s="11">
        <v>20</v>
      </c>
      <c r="K8853" s="15"/>
      <c r="L8853" t="s" s="16">
        <f>HYPERLINK("http://csr.bu.edu/ftp/asl/asllvd/demos/verify_start_end_handshape_annotations//test_auto_move//signs_mov_separ_signers/Brady_2425.mov","MOV")</f>
        <v>21</v>
      </c>
      <c r="M8853" t="s" s="10">
        <v>40</v>
      </c>
      <c r="N8853" s="17">
        <v>98</v>
      </c>
      <c r="O8853" s="18">
        <v>2903</v>
      </c>
      <c r="P8853" s="18">
        <v>2929</v>
      </c>
      <c r="Q8853" s="15"/>
      <c r="R8853" t="s" s="16">
        <f>HYPERLINK("http://secrets.rutgers.edu:8080/data/asl-ftp/asllvd/demos/verify_start_end_handshape_annotations//test_auto_move//signs_mov_separ_signers/Brady_2425.mov","MOV")</f>
        <v>21</v>
      </c>
    </row>
    <row r="8854" s="2" customFormat="1" ht="13.5" customHeight="1">
      <c r="B8854" t="s" s="8">
        <v>3226</v>
      </c>
      <c r="C8854" t="s" s="9">
        <v>14</v>
      </c>
      <c r="D8854" t="s" s="8">
        <v>14</v>
      </c>
      <c r="E8854" t="s" s="9">
        <v>14</v>
      </c>
      <c r="F8854" t="s" s="10">
        <v>14</v>
      </c>
      <c r="G8854" t="s" s="11">
        <v>14</v>
      </c>
      <c r="H8854" t="s" s="10">
        <v>14</v>
      </c>
      <c r="I8854" t="s" s="11">
        <v>14</v>
      </c>
      <c r="J8854" t="s" s="11">
        <v>14</v>
      </c>
      <c r="K8854" t="s" s="12">
        <v>14</v>
      </c>
      <c r="L8854" t="s" s="12">
        <v>14</v>
      </c>
      <c r="M8854" t="s" s="10">
        <v>14</v>
      </c>
      <c r="N8854" t="s" s="11">
        <v>14</v>
      </c>
      <c r="O8854" t="s" s="8">
        <v>14</v>
      </c>
      <c r="P8854" t="s" s="8">
        <v>14</v>
      </c>
      <c r="Q8854" t="s" s="12">
        <v>14</v>
      </c>
      <c r="R8854" t="s" s="12">
        <v>14</v>
      </c>
    </row>
    <row r="8855" s="2" customFormat="1" ht="13.5" customHeight="1">
      <c r="B8855" s="13"/>
      <c r="C8855" t="s" s="9">
        <v>16</v>
      </c>
      <c r="D8855" t="s" s="8">
        <v>3226</v>
      </c>
      <c r="E8855" t="s" s="9">
        <v>3227</v>
      </c>
      <c r="F8855" t="s" s="10">
        <v>63</v>
      </c>
      <c r="G8855" t="s" s="11">
        <v>73</v>
      </c>
      <c r="H8855" t="s" s="10">
        <v>63</v>
      </c>
      <c r="I8855" t="s" s="11">
        <v>73</v>
      </c>
      <c r="J8855" t="s" s="11">
        <v>20</v>
      </c>
      <c r="K8855" t="s" s="16">
        <f>HYPERLINK("http://csr.bu.edu/ftp/asl/asllvd/demos/verify_start_end_handshape_annotations//test_auto_move//signs_mov/2426.mov","MOV")</f>
        <v>21</v>
      </c>
      <c r="L8855" t="s" s="16">
        <f>HYPERLINK("http://csr.bu.edu/ftp/asl/asllvd/demos/verify_start_end_handshape_annotations//test_auto_move//signs_mov_separ_signers/Liz_2426.mov","MOV")</f>
        <v>21</v>
      </c>
      <c r="M8855" t="s" s="10">
        <v>36</v>
      </c>
      <c r="N8855" s="17">
        <v>47</v>
      </c>
      <c r="O8855" s="18">
        <v>945</v>
      </c>
      <c r="P8855" s="18">
        <v>1040</v>
      </c>
      <c r="Q8855" t="s" s="16">
        <f>HYPERLINK("http://secrets.rutgers.edu:8080/data/asl-ftp/asllvd/demos/verify_start_end_handshape_annotations//test_auto_move//signs_mov/2426.mov","MOV")</f>
        <v>21</v>
      </c>
      <c r="R8855" t="s" s="16">
        <f>HYPERLINK("http://secrets.rutgers.edu:8080/data/asl-ftp/asllvd/demos/verify_start_end_handshape_annotations//test_auto_move//signs_mov_separ_signers/Liz_2426.mov","MOV")</f>
        <v>21</v>
      </c>
    </row>
    <row r="8856" s="2" customFormat="1" ht="13.5" customHeight="1">
      <c r="B8856" t="s" s="8">
        <v>52</v>
      </c>
      <c r="C8856" t="s" s="9">
        <v>53</v>
      </c>
      <c r="D8856" t="s" s="8">
        <v>53</v>
      </c>
      <c r="E8856" t="s" s="9">
        <v>53</v>
      </c>
      <c r="F8856" t="s" s="10">
        <v>53</v>
      </c>
      <c r="G8856" t="s" s="11">
        <v>53</v>
      </c>
      <c r="H8856" t="s" s="10">
        <v>53</v>
      </c>
      <c r="I8856" t="s" s="11">
        <v>53</v>
      </c>
      <c r="J8856" t="s" s="11">
        <v>53</v>
      </c>
      <c r="K8856" t="s" s="12">
        <v>53</v>
      </c>
      <c r="L8856" t="s" s="12">
        <v>53</v>
      </c>
      <c r="M8856" t="s" s="10">
        <v>53</v>
      </c>
      <c r="N8856" t="s" s="11">
        <v>53</v>
      </c>
      <c r="O8856" t="s" s="8">
        <v>53</v>
      </c>
      <c r="P8856" t="s" s="8">
        <v>53</v>
      </c>
      <c r="Q8856" t="s" s="12">
        <v>53</v>
      </c>
      <c r="R8856" t="s" s="12">
        <v>53</v>
      </c>
    </row>
    <row r="8857" s="2" customFormat="1" ht="13.5" customHeight="1">
      <c r="B8857" s="13"/>
      <c r="C8857" t="s" s="9">
        <v>30</v>
      </c>
      <c r="D8857" t="s" s="8">
        <v>3226</v>
      </c>
      <c r="E8857" t="s" s="9">
        <v>3228</v>
      </c>
      <c r="F8857" t="s" s="10">
        <v>68</v>
      </c>
      <c r="G8857" t="s" s="11">
        <v>73</v>
      </c>
      <c r="H8857" t="s" s="10">
        <v>68</v>
      </c>
      <c r="I8857" t="s" s="11">
        <v>73</v>
      </c>
      <c r="J8857" t="s" s="11">
        <v>20</v>
      </c>
      <c r="K8857" t="s" s="16">
        <f>HYPERLINK("http://csr.bu.edu/ftp/asl/asllvd/demos/verify_start_end_handshape_annotations//test_auto_move//signs_mov/16462.mov","MOV")</f>
        <v>21</v>
      </c>
      <c r="L8857" t="s" s="16">
        <f>HYPERLINK("http://csr.bu.edu/ftp/asl/asllvd/demos/verify_start_end_handshape_annotations//test_auto_move//signs_mov_separ_signers/Brady_16462.mov","MOV")</f>
        <v>21</v>
      </c>
      <c r="M8857" t="s" s="10">
        <v>40</v>
      </c>
      <c r="N8857" s="17">
        <v>99</v>
      </c>
      <c r="O8857" s="18">
        <v>135</v>
      </c>
      <c r="P8857" s="18">
        <v>210</v>
      </c>
      <c r="Q8857" t="s" s="16">
        <f>HYPERLINK("http://secrets.rutgers.edu:8080/data/asl-ftp/asllvd/demos/verify_start_end_handshape_annotations//test_auto_move//signs_mov/16462.mov","MOV")</f>
        <v>21</v>
      </c>
      <c r="R8857" t="s" s="16">
        <f>HYPERLINK("http://secrets.rutgers.edu:8080/data/asl-ftp/asllvd/demos/verify_start_end_handshape_annotations//test_auto_move//signs_mov_separ_signers/Brady_16462.mov","MOV")</f>
        <v>21</v>
      </c>
    </row>
    <row r="8858" s="2" customFormat="1" ht="13.5" customHeight="1">
      <c r="B8858" t="s" s="8">
        <v>3229</v>
      </c>
      <c r="C8858" t="s" s="9">
        <v>14</v>
      </c>
      <c r="D8858" t="s" s="8">
        <v>14</v>
      </c>
      <c r="E8858" t="s" s="9">
        <v>14</v>
      </c>
      <c r="F8858" t="s" s="10">
        <v>14</v>
      </c>
      <c r="G8858" t="s" s="11">
        <v>14</v>
      </c>
      <c r="H8858" t="s" s="10">
        <v>14</v>
      </c>
      <c r="I8858" t="s" s="11">
        <v>14</v>
      </c>
      <c r="J8858" t="s" s="11">
        <v>14</v>
      </c>
      <c r="K8858" t="s" s="12">
        <v>14</v>
      </c>
      <c r="L8858" t="s" s="12">
        <v>14</v>
      </c>
      <c r="M8858" t="s" s="10">
        <v>14</v>
      </c>
      <c r="N8858" t="s" s="11">
        <v>14</v>
      </c>
      <c r="O8858" t="s" s="8">
        <v>14</v>
      </c>
      <c r="P8858" t="s" s="8">
        <v>14</v>
      </c>
      <c r="Q8858" t="s" s="12">
        <v>14</v>
      </c>
      <c r="R8858" t="s" s="12">
        <v>14</v>
      </c>
    </row>
    <row r="8859" s="2" customFormat="1" ht="13.5" customHeight="1">
      <c r="B8859" s="13"/>
      <c r="C8859" t="s" s="9">
        <v>16</v>
      </c>
      <c r="D8859" t="s" s="8">
        <v>3229</v>
      </c>
      <c r="E8859" t="s" s="9">
        <v>3230</v>
      </c>
      <c r="F8859" t="s" s="10">
        <v>373</v>
      </c>
      <c r="G8859" t="s" s="11">
        <v>373</v>
      </c>
      <c r="H8859" t="s" s="10">
        <v>373</v>
      </c>
      <c r="I8859" t="s" s="11">
        <v>373</v>
      </c>
      <c r="J8859" t="s" s="11">
        <v>20</v>
      </c>
      <c r="K8859" t="s" s="16">
        <f>HYPERLINK("http://csr.bu.edu/ftp/asl/asllvd/demos/verify_start_end_handshape_annotations//test_auto_move//signs_mov/2428.mov","MOV")</f>
        <v>21</v>
      </c>
      <c r="L8859" t="s" s="16">
        <f>HYPERLINK("http://csr.bu.edu/ftp/asl/asllvd/demos/verify_start_end_handshape_annotations//test_auto_move//signs_mov_separ_signers/Liz_2428.mov","MOV")</f>
        <v>21</v>
      </c>
      <c r="M8859" t="s" s="10">
        <v>36</v>
      </c>
      <c r="N8859" s="17">
        <v>47</v>
      </c>
      <c r="O8859" s="18">
        <v>1857</v>
      </c>
      <c r="P8859" s="18">
        <v>1932</v>
      </c>
      <c r="Q8859" t="s" s="16">
        <f>HYPERLINK("http://secrets.rutgers.edu:8080/data/asl-ftp/asllvd/demos/verify_start_end_handshape_annotations//test_auto_move//signs_mov/2428.mov","MOV")</f>
        <v>21</v>
      </c>
      <c r="R8859" t="s" s="16">
        <f>HYPERLINK("http://secrets.rutgers.edu:8080/data/asl-ftp/asllvd/demos/verify_start_end_handshape_annotations//test_auto_move//signs_mov_separ_signers/Liz_2428.mov","MOV")</f>
        <v>21</v>
      </c>
    </row>
    <row r="8860" s="2" customFormat="1" ht="13.5" customHeight="1">
      <c r="B8860" s="13"/>
      <c r="C8860" t="s" s="9">
        <v>30</v>
      </c>
      <c r="D8860" t="s" s="8">
        <v>3229</v>
      </c>
      <c r="E8860" t="s" s="9">
        <v>3230</v>
      </c>
      <c r="F8860" s="19">
        <v>3</v>
      </c>
      <c r="G8860" s="17">
        <v>3</v>
      </c>
      <c r="H8860" s="19">
        <v>3</v>
      </c>
      <c r="I8860" s="17">
        <v>3</v>
      </c>
      <c r="J8860" t="s" s="11">
        <v>20</v>
      </c>
      <c r="K8860" s="15"/>
      <c r="L8860" t="s" s="16">
        <f>HYPERLINK("http://csr.bu.edu/ftp/asl/asllvd/demos/verify_start_end_handshape_annotations//test_auto_move//signs_mov_separ_signers/Brady_2428.mov","MOV")</f>
        <v>21</v>
      </c>
      <c r="M8860" t="s" s="10">
        <v>40</v>
      </c>
      <c r="N8860" s="17">
        <v>99</v>
      </c>
      <c r="O8860" s="18">
        <v>702</v>
      </c>
      <c r="P8860" s="18">
        <v>754</v>
      </c>
      <c r="Q8860" s="15"/>
      <c r="R8860" t="s" s="16">
        <f>HYPERLINK("http://secrets.rutgers.edu:8080/data/asl-ftp/asllvd/demos/verify_start_end_handshape_annotations//test_auto_move//signs_mov_separ_signers/Brady_2428.mov","MOV")</f>
        <v>21</v>
      </c>
    </row>
    <row r="8861" s="2" customFormat="1" ht="13.5" customHeight="1">
      <c r="B8861" t="s" s="8">
        <v>3231</v>
      </c>
      <c r="C8861" t="s" s="9">
        <v>14</v>
      </c>
      <c r="D8861" t="s" s="8">
        <v>14</v>
      </c>
      <c r="E8861" t="s" s="9">
        <v>14</v>
      </c>
      <c r="F8861" t="s" s="10">
        <v>14</v>
      </c>
      <c r="G8861" t="s" s="11">
        <v>14</v>
      </c>
      <c r="H8861" t="s" s="10">
        <v>14</v>
      </c>
      <c r="I8861" t="s" s="11">
        <v>14</v>
      </c>
      <c r="J8861" t="s" s="11">
        <v>14</v>
      </c>
      <c r="K8861" t="s" s="12">
        <v>14</v>
      </c>
      <c r="L8861" t="s" s="12">
        <v>14</v>
      </c>
      <c r="M8861" t="s" s="10">
        <v>14</v>
      </c>
      <c r="N8861" t="s" s="11">
        <v>14</v>
      </c>
      <c r="O8861" t="s" s="8">
        <v>14</v>
      </c>
      <c r="P8861" t="s" s="8">
        <v>14</v>
      </c>
      <c r="Q8861" t="s" s="12">
        <v>14</v>
      </c>
      <c r="R8861" t="s" s="12">
        <v>14</v>
      </c>
    </row>
    <row r="8862" s="2" customFormat="1" ht="13.5" customHeight="1">
      <c r="B8862" s="13"/>
      <c r="C8862" t="s" s="9">
        <v>16</v>
      </c>
      <c r="D8862" t="s" s="8">
        <v>3231</v>
      </c>
      <c r="E8862" t="s" s="9">
        <v>3232</v>
      </c>
      <c r="F8862" t="s" s="10">
        <v>230</v>
      </c>
      <c r="G8862" t="s" s="11">
        <v>230</v>
      </c>
      <c r="H8862" t="s" s="10">
        <v>230</v>
      </c>
      <c r="I8862" t="s" s="11">
        <v>230</v>
      </c>
      <c r="J8862" t="s" s="11">
        <v>20</v>
      </c>
      <c r="K8862" t="s" s="16">
        <f>HYPERLINK("http://csr.bu.edu/ftp/asl/asllvd/demos/verify_start_end_handshape_annotations//test_auto_move//signs_mov/16076.mov","MOV")</f>
        <v>21</v>
      </c>
      <c r="L8862" t="s" s="16">
        <f>HYPERLINK("http://csr.bu.edu/ftp/asl/asllvd/demos/verify_start_end_handshape_annotations//test_auto_move//signs_mov_separ_signers/Liz_16076.mov","MOV")</f>
        <v>21</v>
      </c>
      <c r="M8862" t="s" s="10">
        <v>59</v>
      </c>
      <c r="N8862" s="17">
        <v>21</v>
      </c>
      <c r="O8862" s="18">
        <v>1315</v>
      </c>
      <c r="P8862" s="18">
        <v>1369</v>
      </c>
      <c r="Q8862" t="s" s="16">
        <f>HYPERLINK("http://secrets.rutgers.edu:8080/data/asl-ftp/asllvd/demos/verify_start_end_handshape_annotations//test_auto_move//signs_mov/16076.mov","MOV")</f>
        <v>21</v>
      </c>
      <c r="R8862" t="s" s="16">
        <f>HYPERLINK("http://secrets.rutgers.edu:8080/data/asl-ftp/asllvd/demos/verify_start_end_handshape_annotations//test_auto_move//signs_mov_separ_signers/Liz_16076.mov","MOV")</f>
        <v>21</v>
      </c>
    </row>
    <row r="8863" s="2" customFormat="1" ht="13.5" customHeight="1">
      <c r="B8863" s="13"/>
      <c r="C8863" t="s" s="9">
        <v>30</v>
      </c>
      <c r="D8863" t="s" s="8">
        <v>3231</v>
      </c>
      <c r="E8863" t="s" s="9">
        <v>3232</v>
      </c>
      <c r="F8863" t="s" s="10">
        <v>230</v>
      </c>
      <c r="G8863" t="s" s="11">
        <v>230</v>
      </c>
      <c r="H8863" t="s" s="10">
        <v>230</v>
      </c>
      <c r="I8863" t="s" s="11">
        <v>230</v>
      </c>
      <c r="J8863" t="s" s="11">
        <v>20</v>
      </c>
      <c r="K8863" s="15"/>
      <c r="L8863" t="s" s="16">
        <f>HYPERLINK("http://csr.bu.edu/ftp/asl/asllvd/demos/verify_start_end_handshape_annotations//test_auto_move//signs_mov_separ_signers/Brady_16076.mov","MOV")</f>
        <v>21</v>
      </c>
      <c r="M8863" t="s" s="10">
        <v>60</v>
      </c>
      <c r="N8863" s="17">
        <v>9</v>
      </c>
      <c r="O8863" s="18">
        <v>1072</v>
      </c>
      <c r="P8863" s="18">
        <v>1122</v>
      </c>
      <c r="Q8863" s="15"/>
      <c r="R8863" t="s" s="16">
        <f>HYPERLINK("http://secrets.rutgers.edu:8080/data/asl-ftp/asllvd/demos/verify_start_end_handshape_annotations//test_auto_move//signs_mov_separ_signers/Brady_16076.mov","MOV")</f>
        <v>21</v>
      </c>
    </row>
    <row r="8864" s="2" customFormat="1" ht="13.5" customHeight="1">
      <c r="B8864" t="s" s="8">
        <v>3233</v>
      </c>
      <c r="C8864" t="s" s="9">
        <v>14</v>
      </c>
      <c r="D8864" t="s" s="8">
        <v>14</v>
      </c>
      <c r="E8864" t="s" s="9">
        <v>14</v>
      </c>
      <c r="F8864" t="s" s="10">
        <v>14</v>
      </c>
      <c r="G8864" t="s" s="11">
        <v>14</v>
      </c>
      <c r="H8864" t="s" s="10">
        <v>14</v>
      </c>
      <c r="I8864" t="s" s="11">
        <v>14</v>
      </c>
      <c r="J8864" t="s" s="11">
        <v>14</v>
      </c>
      <c r="K8864" t="s" s="12">
        <v>14</v>
      </c>
      <c r="L8864" t="s" s="12">
        <v>14</v>
      </c>
      <c r="M8864" t="s" s="10">
        <v>14</v>
      </c>
      <c r="N8864" t="s" s="11">
        <v>14</v>
      </c>
      <c r="O8864" t="s" s="8">
        <v>14</v>
      </c>
      <c r="P8864" t="s" s="8">
        <v>14</v>
      </c>
      <c r="Q8864" t="s" s="12">
        <v>14</v>
      </c>
      <c r="R8864" t="s" s="12">
        <v>14</v>
      </c>
    </row>
    <row r="8865" s="2" customFormat="1" ht="13.5" customHeight="1">
      <c r="B8865" s="13"/>
      <c r="C8865" t="s" s="9">
        <v>23</v>
      </c>
      <c r="D8865" t="s" s="8">
        <v>3233</v>
      </c>
      <c r="E8865" t="s" s="9">
        <v>3234</v>
      </c>
      <c r="F8865" t="s" s="10">
        <v>230</v>
      </c>
      <c r="G8865" t="s" s="11">
        <v>230</v>
      </c>
      <c r="H8865" t="s" s="10">
        <v>230</v>
      </c>
      <c r="I8865" t="s" s="11">
        <v>230</v>
      </c>
      <c r="J8865" t="s" s="11">
        <v>20</v>
      </c>
      <c r="K8865" t="s" s="16">
        <f>HYPERLINK("http://csr.bu.edu/ftp/asl/asllvd/demos/verify_start_end_handshape_annotations//test_auto_move//signs_mov/16133.mov","MOV")</f>
        <v>21</v>
      </c>
      <c r="L8865" t="s" s="16">
        <f>HYPERLINK("http://csr.bu.edu/ftp/asl/asllvd/demos/verify_start_end_handshape_annotations//test_auto_move//signs_mov_separ_signers/Tyler_16133.mov","MOV")</f>
        <v>21</v>
      </c>
      <c r="M8865" t="s" s="10">
        <v>26</v>
      </c>
      <c r="N8865" s="17">
        <v>47</v>
      </c>
      <c r="O8865" s="18">
        <v>935</v>
      </c>
      <c r="P8865" s="18">
        <v>1010</v>
      </c>
      <c r="Q8865" t="s" s="16">
        <f>HYPERLINK("http://secrets.rutgers.edu:8080/data/asl-ftp/asllvd/demos/verify_start_end_handshape_annotations//test_auto_move//signs_mov/16133.mov","MOV")</f>
        <v>21</v>
      </c>
      <c r="R8865" t="s" s="16">
        <f>HYPERLINK("http://secrets.rutgers.edu:8080/data/asl-ftp/asllvd/demos/verify_start_end_handshape_annotations//test_auto_move//signs_mov_separ_signers/Tyler_16133.mov","MOV")</f>
        <v>21</v>
      </c>
    </row>
    <row r="8866" s="2" customFormat="1" ht="13.5" customHeight="1">
      <c r="B8866" s="13"/>
      <c r="C8866" t="s" s="9">
        <v>30</v>
      </c>
      <c r="D8866" t="s" s="8">
        <v>3233</v>
      </c>
      <c r="E8866" t="s" s="9">
        <v>3234</v>
      </c>
      <c r="F8866" t="s" s="10">
        <v>230</v>
      </c>
      <c r="G8866" t="s" s="11">
        <v>230</v>
      </c>
      <c r="H8866" t="s" s="10">
        <v>230</v>
      </c>
      <c r="I8866" t="s" s="11">
        <v>230</v>
      </c>
      <c r="J8866" t="s" s="11">
        <v>20</v>
      </c>
      <c r="K8866" s="15"/>
      <c r="L8866" t="s" s="16">
        <f>HYPERLINK("http://csr.bu.edu/ftp/asl/asllvd/demos/verify_start_end_handshape_annotations//test_auto_move//signs_mov_separ_signers/Brady_16133.mov","MOV")</f>
        <v>21</v>
      </c>
      <c r="M8866" t="s" s="10">
        <v>31</v>
      </c>
      <c r="N8866" s="17">
        <v>27</v>
      </c>
      <c r="O8866" s="18">
        <v>14600</v>
      </c>
      <c r="P8866" s="18">
        <v>14650</v>
      </c>
      <c r="Q8866" s="15"/>
      <c r="R8866" t="s" s="16">
        <f>HYPERLINK("http://secrets.rutgers.edu:8080/data/asl-ftp/asllvd/demos/verify_start_end_handshape_annotations//test_auto_move//signs_mov_separ_signers/Brady_16133.mov","MOV")</f>
        <v>21</v>
      </c>
    </row>
    <row r="8867" s="2" customFormat="1" ht="13.5" customHeight="1">
      <c r="B8867" t="s" s="8">
        <v>3235</v>
      </c>
      <c r="C8867" t="s" s="9">
        <v>14</v>
      </c>
      <c r="D8867" t="s" s="8">
        <v>14</v>
      </c>
      <c r="E8867" t="s" s="9">
        <v>14</v>
      </c>
      <c r="F8867" t="s" s="10">
        <v>14</v>
      </c>
      <c r="G8867" t="s" s="11">
        <v>14</v>
      </c>
      <c r="H8867" t="s" s="10">
        <v>14</v>
      </c>
      <c r="I8867" t="s" s="11">
        <v>14</v>
      </c>
      <c r="J8867" t="s" s="11">
        <v>14</v>
      </c>
      <c r="K8867" t="s" s="12">
        <v>14</v>
      </c>
      <c r="L8867" t="s" s="12">
        <v>14</v>
      </c>
      <c r="M8867" t="s" s="10">
        <v>14</v>
      </c>
      <c r="N8867" t="s" s="11">
        <v>14</v>
      </c>
      <c r="O8867" t="s" s="8">
        <v>14</v>
      </c>
      <c r="P8867" t="s" s="8">
        <v>14</v>
      </c>
      <c r="Q8867" t="s" s="12">
        <v>14</v>
      </c>
      <c r="R8867" t="s" s="12">
        <v>14</v>
      </c>
    </row>
    <row r="8868" s="2" customFormat="1" ht="13.5" customHeight="1">
      <c r="B8868" s="13"/>
      <c r="C8868" t="s" s="9">
        <v>16</v>
      </c>
      <c r="D8868" t="s" s="8">
        <v>3235</v>
      </c>
      <c r="E8868" t="s" s="9">
        <v>3235</v>
      </c>
      <c r="F8868" t="s" s="10">
        <v>73</v>
      </c>
      <c r="G8868" t="s" s="11">
        <v>73</v>
      </c>
      <c r="H8868" t="s" s="10">
        <v>73</v>
      </c>
      <c r="I8868" t="s" s="11">
        <v>73</v>
      </c>
      <c r="J8868" t="s" s="11">
        <v>20</v>
      </c>
      <c r="K8868" t="s" s="16">
        <f>HYPERLINK("http://csr.bu.edu/ftp/asl/asllvd/demos/verify_start_end_handshape_annotations//test_auto_move//signs_mov/2430.mov","MOV")</f>
        <v>21</v>
      </c>
      <c r="L8868" t="s" s="16">
        <f>HYPERLINK("http://csr.bu.edu/ftp/asl/asllvd/demos/verify_start_end_handshape_annotations//test_auto_move//signs_mov_separ_signers/Liz_2430.mov","MOV")</f>
        <v>21</v>
      </c>
      <c r="M8868" t="s" s="10">
        <v>36</v>
      </c>
      <c r="N8868" s="17">
        <v>47</v>
      </c>
      <c r="O8868" s="18">
        <v>2415</v>
      </c>
      <c r="P8868" s="18">
        <v>2443</v>
      </c>
      <c r="Q8868" t="s" s="16">
        <f>HYPERLINK("http://secrets.rutgers.edu:8080/data/asl-ftp/asllvd/demos/verify_start_end_handshape_annotations//test_auto_move//signs_mov/2430.mov","MOV")</f>
        <v>21</v>
      </c>
      <c r="R8868" t="s" s="16">
        <f>HYPERLINK("http://secrets.rutgers.edu:8080/data/asl-ftp/asllvd/demos/verify_start_end_handshape_annotations//test_auto_move//signs_mov_separ_signers/Liz_2430.mov","MOV")</f>
        <v>21</v>
      </c>
    </row>
    <row r="8869" s="2" customFormat="1" ht="13.5" customHeight="1">
      <c r="B8869" s="13"/>
      <c r="C8869" t="s" s="9">
        <v>30</v>
      </c>
      <c r="D8869" t="s" s="8">
        <v>3235</v>
      </c>
      <c r="E8869" t="s" s="9">
        <v>3235</v>
      </c>
      <c r="F8869" t="s" s="10">
        <v>73</v>
      </c>
      <c r="G8869" t="s" s="11">
        <v>73</v>
      </c>
      <c r="H8869" t="s" s="10">
        <v>73</v>
      </c>
      <c r="I8869" t="s" s="11">
        <v>73</v>
      </c>
      <c r="J8869" t="s" s="11">
        <v>20</v>
      </c>
      <c r="K8869" s="15"/>
      <c r="L8869" t="s" s="16">
        <f>HYPERLINK("http://csr.bu.edu/ftp/asl/asllvd/demos/verify_start_end_handshape_annotations//test_auto_move//signs_mov_separ_signers/Brady_2430.mov","MOV")</f>
        <v>21</v>
      </c>
      <c r="M8869" t="s" s="10">
        <v>40</v>
      </c>
      <c r="N8869" s="17">
        <v>99</v>
      </c>
      <c r="O8869" s="18">
        <v>1312</v>
      </c>
      <c r="P8869" s="18">
        <v>1327</v>
      </c>
      <c r="Q8869" s="15"/>
      <c r="R8869" t="s" s="16">
        <f>HYPERLINK("http://secrets.rutgers.edu:8080/data/asl-ftp/asllvd/demos/verify_start_end_handshape_annotations//test_auto_move//signs_mov_separ_signers/Brady_2430.mov","MOV")</f>
        <v>21</v>
      </c>
    </row>
    <row r="8870" s="2" customFormat="1" ht="13.5" customHeight="1">
      <c r="B8870" t="s" s="8">
        <v>3236</v>
      </c>
      <c r="C8870" t="s" s="9">
        <v>14</v>
      </c>
      <c r="D8870" t="s" s="8">
        <v>14</v>
      </c>
      <c r="E8870" t="s" s="9">
        <v>14</v>
      </c>
      <c r="F8870" t="s" s="10">
        <v>14</v>
      </c>
      <c r="G8870" t="s" s="11">
        <v>14</v>
      </c>
      <c r="H8870" t="s" s="10">
        <v>14</v>
      </c>
      <c r="I8870" t="s" s="11">
        <v>14</v>
      </c>
      <c r="J8870" t="s" s="11">
        <v>14</v>
      </c>
      <c r="K8870" t="s" s="12">
        <v>14</v>
      </c>
      <c r="L8870" t="s" s="12">
        <v>14</v>
      </c>
      <c r="M8870" t="s" s="10">
        <v>14</v>
      </c>
      <c r="N8870" t="s" s="11">
        <v>14</v>
      </c>
      <c r="O8870" t="s" s="8">
        <v>14</v>
      </c>
      <c r="P8870" t="s" s="8">
        <v>14</v>
      </c>
      <c r="Q8870" t="s" s="12">
        <v>14</v>
      </c>
      <c r="R8870" t="s" s="12">
        <v>14</v>
      </c>
    </row>
    <row r="8871" s="2" customFormat="1" ht="13.5" customHeight="1">
      <c r="B8871" s="13"/>
      <c r="C8871" t="s" s="9">
        <v>16</v>
      </c>
      <c r="D8871" t="s" s="8">
        <v>3236</v>
      </c>
      <c r="E8871" t="s" s="9">
        <v>3236</v>
      </c>
      <c r="F8871" t="s" s="10">
        <v>119</v>
      </c>
      <c r="G8871" s="14"/>
      <c r="H8871" t="s" s="10">
        <v>148</v>
      </c>
      <c r="I8871" s="14"/>
      <c r="J8871" t="s" s="11">
        <v>20</v>
      </c>
      <c r="K8871" t="s" s="16">
        <f>HYPERLINK("http://csr.bu.edu/ftp/asl/asllvd/demos/verify_start_end_handshape_annotations//test_auto_move//signs_mov/2432.mov","MOV")</f>
        <v>21</v>
      </c>
      <c r="L8871" t="s" s="16">
        <f>HYPERLINK("http://csr.bu.edu/ftp/asl/asllvd/demos/verify_start_end_handshape_annotations//test_auto_move//signs_mov_separ_signers/Liz_2432.mov","MOV")</f>
        <v>21</v>
      </c>
      <c r="M8871" t="s" s="10">
        <v>36</v>
      </c>
      <c r="N8871" s="17">
        <v>48</v>
      </c>
      <c r="O8871" s="18">
        <v>1010</v>
      </c>
      <c r="P8871" s="18">
        <v>1070</v>
      </c>
      <c r="Q8871" t="s" s="16">
        <f>HYPERLINK("http://secrets.rutgers.edu:8080/data/asl-ftp/asllvd/demos/verify_start_end_handshape_annotations//test_auto_move//signs_mov/2432.mov","MOV")</f>
        <v>21</v>
      </c>
      <c r="R8871" t="s" s="16">
        <f>HYPERLINK("http://secrets.rutgers.edu:8080/data/asl-ftp/asllvd/demos/verify_start_end_handshape_annotations//test_auto_move//signs_mov_separ_signers/Liz_2432.mov","MOV")</f>
        <v>21</v>
      </c>
    </row>
    <row r="8872" s="2" customFormat="1" ht="13.5" customHeight="1">
      <c r="B8872" t="s" s="8">
        <v>3237</v>
      </c>
      <c r="C8872" t="s" s="9">
        <v>14</v>
      </c>
      <c r="D8872" t="s" s="8">
        <v>14</v>
      </c>
      <c r="E8872" t="s" s="9">
        <v>14</v>
      </c>
      <c r="F8872" t="s" s="10">
        <v>14</v>
      </c>
      <c r="G8872" t="s" s="11">
        <v>14</v>
      </c>
      <c r="H8872" t="s" s="10">
        <v>14</v>
      </c>
      <c r="I8872" t="s" s="11">
        <v>14</v>
      </c>
      <c r="J8872" t="s" s="11">
        <v>14</v>
      </c>
      <c r="K8872" t="s" s="12">
        <v>14</v>
      </c>
      <c r="L8872" t="s" s="12">
        <v>14</v>
      </c>
      <c r="M8872" t="s" s="10">
        <v>14</v>
      </c>
      <c r="N8872" t="s" s="11">
        <v>14</v>
      </c>
      <c r="O8872" t="s" s="8">
        <v>14</v>
      </c>
      <c r="P8872" t="s" s="8">
        <v>14</v>
      </c>
      <c r="Q8872" t="s" s="12">
        <v>14</v>
      </c>
      <c r="R8872" t="s" s="12">
        <v>14</v>
      </c>
    </row>
    <row r="8873" s="2" customFormat="1" ht="13.5" customHeight="1">
      <c r="B8873" s="13"/>
      <c r="C8873" t="s" s="9">
        <v>16</v>
      </c>
      <c r="D8873" t="s" s="8">
        <v>3237</v>
      </c>
      <c r="E8873" t="s" s="9">
        <v>3238</v>
      </c>
      <c r="F8873" t="s" s="10">
        <v>430</v>
      </c>
      <c r="G8873" t="s" s="11">
        <v>430</v>
      </c>
      <c r="H8873" s="19">
        <v>8</v>
      </c>
      <c r="I8873" s="17">
        <v>8</v>
      </c>
      <c r="J8873" t="s" s="11">
        <v>20</v>
      </c>
      <c r="K8873" s="15"/>
      <c r="L8873" t="s" s="16">
        <f>HYPERLINK("http://csr.bu.edu/ftp/asl/asllvd/demos/verify_start_end_handshape_annotations//test_auto_move//signs_mov_separ_signers/Liz_2435.mov","MOV")</f>
        <v>21</v>
      </c>
      <c r="M8873" t="s" s="10">
        <v>77</v>
      </c>
      <c r="N8873" s="17">
        <v>3</v>
      </c>
      <c r="O8873" s="18">
        <v>4163</v>
      </c>
      <c r="P8873" s="18">
        <v>4207</v>
      </c>
      <c r="Q8873" s="15"/>
      <c r="R8873" t="s" s="16">
        <f>HYPERLINK("http://secrets.rutgers.edu:8080/data/asl-ftp/asllvd/demos/verify_start_end_handshape_annotations//test_auto_move//signs_mov_separ_signers/Liz_2435.mov","MOV")</f>
        <v>21</v>
      </c>
    </row>
    <row r="8874" s="2" customFormat="1" ht="13.5" customHeight="1">
      <c r="B8874" s="13"/>
      <c r="C8874" t="s" s="9">
        <v>23</v>
      </c>
      <c r="D8874" t="s" s="8">
        <v>3237</v>
      </c>
      <c r="E8874" t="s" s="9">
        <v>3239</v>
      </c>
      <c r="F8874" t="s" s="10">
        <v>430</v>
      </c>
      <c r="G8874" t="s" s="11">
        <v>430</v>
      </c>
      <c r="H8874" s="19">
        <v>8</v>
      </c>
      <c r="I8874" s="17">
        <v>8</v>
      </c>
      <c r="J8874" t="s" s="11">
        <v>20</v>
      </c>
      <c r="K8874" t="s" s="16">
        <f>HYPERLINK("http://csr.bu.edu/ftp/asl/asllvd/demos/verify_start_end_handshape_annotations//test_auto_move//signs_mov/2435_3554_merged.mov","MOV")</f>
        <v>21</v>
      </c>
      <c r="L8874" t="s" s="16">
        <f>HYPERLINK("http://csr.bu.edu/ftp/asl/asllvd/demos/verify_start_end_handshape_annotations//test_auto_move//signs_mov_separ_signers/Tyler_2435.mov","MOV")</f>
        <v>21</v>
      </c>
      <c r="M8874" t="s" s="10">
        <v>47</v>
      </c>
      <c r="N8874" s="17">
        <v>13</v>
      </c>
      <c r="O8874" s="18">
        <v>1562</v>
      </c>
      <c r="P8874" s="18">
        <v>1612</v>
      </c>
      <c r="Q8874" t="s" s="16">
        <f>HYPERLINK("http://secrets.rutgers.edu:8080/data/asl-ftp/asllvd/demos/verify_start_end_handshape_annotations//test_auto_move//signs_mov/2435_3554_merged.mov","MOV")</f>
        <v>21</v>
      </c>
      <c r="R8874" t="s" s="16">
        <f>HYPERLINK("http://secrets.rutgers.edu:8080/data/asl-ftp/asllvd/demos/verify_start_end_handshape_annotations//test_auto_move//signs_mov_separ_signers/Tyler_2435.mov","MOV")</f>
        <v>21</v>
      </c>
    </row>
    <row r="8875" s="2" customFormat="1" ht="13.5" customHeight="1">
      <c r="B8875" s="13"/>
      <c r="C8875" t="s" s="9">
        <v>30</v>
      </c>
      <c r="D8875" t="s" s="8">
        <v>3237</v>
      </c>
      <c r="E8875" t="s" s="9">
        <v>3238</v>
      </c>
      <c r="F8875" t="s" s="10">
        <v>430</v>
      </c>
      <c r="G8875" t="s" s="11">
        <v>430</v>
      </c>
      <c r="H8875" s="19">
        <v>8</v>
      </c>
      <c r="I8875" s="17">
        <v>8</v>
      </c>
      <c r="J8875" t="s" s="11">
        <v>20</v>
      </c>
      <c r="K8875" s="15"/>
      <c r="L8875" t="s" s="16">
        <f>HYPERLINK("http://csr.bu.edu/ftp/asl/asllvd/demos/verify_start_end_handshape_annotations//test_auto_move//signs_mov_separ_signers/Brady_2435.mov","MOV")</f>
        <v>21</v>
      </c>
      <c r="M8875" t="s" s="10">
        <v>39</v>
      </c>
      <c r="N8875" s="17">
        <v>56</v>
      </c>
      <c r="O8875" s="18">
        <v>1653</v>
      </c>
      <c r="P8875" s="18">
        <v>1678</v>
      </c>
      <c r="Q8875" s="15"/>
      <c r="R8875" t="s" s="16">
        <f>HYPERLINK("http://secrets.rutgers.edu:8080/data/asl-ftp/asllvd/demos/verify_start_end_handshape_annotations//test_auto_move//signs_mov_separ_signers/Brady_2435.mov","MOV")</f>
        <v>21</v>
      </c>
    </row>
    <row r="8876" s="2" customFormat="1" ht="13.5" customHeight="1">
      <c r="B8876" s="13"/>
      <c r="C8876" t="s" s="9">
        <v>30</v>
      </c>
      <c r="D8876" t="s" s="8">
        <v>3237</v>
      </c>
      <c r="E8876" t="s" s="9">
        <v>3238</v>
      </c>
      <c r="F8876" t="s" s="10">
        <v>437</v>
      </c>
      <c r="G8876" t="s" s="11">
        <v>437</v>
      </c>
      <c r="H8876" s="19">
        <v>8</v>
      </c>
      <c r="I8876" s="17">
        <v>8</v>
      </c>
      <c r="J8876" t="s" s="11">
        <v>20</v>
      </c>
      <c r="K8876" s="15"/>
      <c r="L8876" t="s" s="16">
        <f>HYPERLINK("http://csr.bu.edu/ftp/asl/asllvd/demos/verify_start_end_handshape_annotations//test_auto_move//signs_mov_separ_signers/Brady_3554.mov","MOV")</f>
        <v>21</v>
      </c>
      <c r="M8876" t="s" s="10">
        <v>40</v>
      </c>
      <c r="N8876" s="17">
        <v>99</v>
      </c>
      <c r="O8876" s="18">
        <v>2858</v>
      </c>
      <c r="P8876" s="18">
        <v>2909</v>
      </c>
      <c r="Q8876" s="15"/>
      <c r="R8876" t="s" s="16">
        <f>HYPERLINK("http://secrets.rutgers.edu:8080/data/asl-ftp/asllvd/demos/verify_start_end_handshape_annotations//test_auto_move//signs_mov_separ_signers/Brady_3554.mov","MOV")</f>
        <v>21</v>
      </c>
    </row>
    <row r="8877" s="2" customFormat="1" ht="13.5" customHeight="1">
      <c r="B8877" t="s" s="8">
        <v>52</v>
      </c>
      <c r="C8877" t="s" s="9">
        <v>53</v>
      </c>
      <c r="D8877" t="s" s="8">
        <v>53</v>
      </c>
      <c r="E8877" t="s" s="9">
        <v>53</v>
      </c>
      <c r="F8877" t="s" s="10">
        <v>53</v>
      </c>
      <c r="G8877" t="s" s="11">
        <v>53</v>
      </c>
      <c r="H8877" t="s" s="10">
        <v>53</v>
      </c>
      <c r="I8877" t="s" s="11">
        <v>53</v>
      </c>
      <c r="J8877" t="s" s="11">
        <v>53</v>
      </c>
      <c r="K8877" t="s" s="12">
        <v>53</v>
      </c>
      <c r="L8877" t="s" s="12">
        <v>53</v>
      </c>
      <c r="M8877" t="s" s="10">
        <v>53</v>
      </c>
      <c r="N8877" t="s" s="11">
        <v>53</v>
      </c>
      <c r="O8877" t="s" s="8">
        <v>53</v>
      </c>
      <c r="P8877" t="s" s="8">
        <v>53</v>
      </c>
      <c r="Q8877" t="s" s="12">
        <v>53</v>
      </c>
      <c r="R8877" t="s" s="12">
        <v>53</v>
      </c>
    </row>
    <row r="8878" s="2" customFormat="1" ht="13.5" customHeight="1">
      <c r="B8878" s="13"/>
      <c r="C8878" t="s" s="9">
        <v>16</v>
      </c>
      <c r="D8878" t="s" s="8">
        <v>3237</v>
      </c>
      <c r="E8878" t="s" s="9">
        <v>3240</v>
      </c>
      <c r="F8878" t="s" s="10">
        <v>72</v>
      </c>
      <c r="G8878" t="s" s="11">
        <v>72</v>
      </c>
      <c r="H8878" s="19">
        <v>8</v>
      </c>
      <c r="I8878" s="17">
        <v>8</v>
      </c>
      <c r="J8878" t="s" s="11">
        <v>20</v>
      </c>
      <c r="K8878" t="s" s="16">
        <f>HYPERLINK("http://csr.bu.edu/ftp/asl/asllvd/demos/verify_start_end_handshape_annotations//test_auto_move//signs_mov/3873.mov","MOV")</f>
        <v>21</v>
      </c>
      <c r="L8878" t="s" s="16">
        <f>HYPERLINK("http://csr.bu.edu/ftp/asl/asllvd/demos/verify_start_end_handshape_annotations//test_auto_move//signs_mov_separ_signers/Liz_3873.mov","MOV")</f>
        <v>21</v>
      </c>
      <c r="M8878" t="s" s="10">
        <v>77</v>
      </c>
      <c r="N8878" s="17">
        <v>3</v>
      </c>
      <c r="O8878" s="18">
        <v>4290</v>
      </c>
      <c r="P8878" s="18">
        <v>4369</v>
      </c>
      <c r="Q8878" t="s" s="16">
        <f>HYPERLINK("http://secrets.rutgers.edu:8080/data/asl-ftp/asllvd/demos/verify_start_end_handshape_annotations//test_auto_move//signs_mov/3873.mov","MOV")</f>
        <v>21</v>
      </c>
      <c r="R8878" t="s" s="16">
        <f>HYPERLINK("http://secrets.rutgers.edu:8080/data/asl-ftp/asllvd/demos/verify_start_end_handshape_annotations//test_auto_move//signs_mov_separ_signers/Liz_3873.mov","MOV")</f>
        <v>21</v>
      </c>
    </row>
    <row r="8879" s="2" customFormat="1" ht="13.5" customHeight="1">
      <c r="B8879" t="s" s="8">
        <v>52</v>
      </c>
      <c r="C8879" t="s" s="9">
        <v>53</v>
      </c>
      <c r="D8879" t="s" s="8">
        <v>53</v>
      </c>
      <c r="E8879" t="s" s="9">
        <v>53</v>
      </c>
      <c r="F8879" t="s" s="10">
        <v>53</v>
      </c>
      <c r="G8879" t="s" s="11">
        <v>53</v>
      </c>
      <c r="H8879" t="s" s="10">
        <v>53</v>
      </c>
      <c r="I8879" t="s" s="11">
        <v>53</v>
      </c>
      <c r="J8879" t="s" s="11">
        <v>53</v>
      </c>
      <c r="K8879" t="s" s="12">
        <v>53</v>
      </c>
      <c r="L8879" t="s" s="12">
        <v>53</v>
      </c>
      <c r="M8879" t="s" s="10">
        <v>53</v>
      </c>
      <c r="N8879" t="s" s="11">
        <v>53</v>
      </c>
      <c r="O8879" t="s" s="8">
        <v>53</v>
      </c>
      <c r="P8879" t="s" s="8">
        <v>53</v>
      </c>
      <c r="Q8879" t="s" s="12">
        <v>53</v>
      </c>
      <c r="R8879" t="s" s="12">
        <v>53</v>
      </c>
    </row>
    <row r="8880" s="2" customFormat="1" ht="13.5" customHeight="1">
      <c r="B8880" s="13"/>
      <c r="C8880" t="s" s="9">
        <v>16</v>
      </c>
      <c r="D8880" t="s" s="8">
        <v>3237</v>
      </c>
      <c r="E8880" t="s" s="9">
        <v>3241</v>
      </c>
      <c r="F8880" t="s" s="10">
        <v>150</v>
      </c>
      <c r="G8880" t="s" s="11">
        <v>150</v>
      </c>
      <c r="H8880" t="s" s="10">
        <v>119</v>
      </c>
      <c r="I8880" t="s" s="11">
        <v>119</v>
      </c>
      <c r="J8880" t="s" s="11">
        <v>20</v>
      </c>
      <c r="K8880" s="15"/>
      <c r="L8880" t="s" s="16">
        <f>HYPERLINK("http://csr.bu.edu/ftp/asl/asllvd/demos/verify_start_end_handshape_annotations//test_auto_move//signs_mov_separ_signers/Liz_3912.mov","MOV")</f>
        <v>21</v>
      </c>
      <c r="M8880" t="s" s="10">
        <v>36</v>
      </c>
      <c r="N8880" s="17">
        <v>48</v>
      </c>
      <c r="O8880" s="18">
        <v>1896</v>
      </c>
      <c r="P8880" s="18">
        <v>1962</v>
      </c>
      <c r="Q8880" s="15"/>
      <c r="R8880" t="s" s="16">
        <f>HYPERLINK("http://secrets.rutgers.edu:8080/data/asl-ftp/asllvd/demos/verify_start_end_handshape_annotations//test_auto_move//signs_mov_separ_signers/Liz_3912.mov","MOV")</f>
        <v>21</v>
      </c>
    </row>
    <row r="8881" s="2" customFormat="1" ht="13.5" customHeight="1">
      <c r="B8881" s="13"/>
      <c r="C8881" t="s" s="9">
        <v>16</v>
      </c>
      <c r="D8881" t="s" s="8">
        <v>3237</v>
      </c>
      <c r="E8881" t="s" s="9">
        <v>3242</v>
      </c>
      <c r="F8881" t="s" s="10">
        <v>150</v>
      </c>
      <c r="G8881" t="s" s="11">
        <v>150</v>
      </c>
      <c r="H8881" t="s" s="10">
        <v>119</v>
      </c>
      <c r="I8881" t="s" s="11">
        <v>119</v>
      </c>
      <c r="J8881" t="s" s="11">
        <v>20</v>
      </c>
      <c r="K8881" t="s" s="16">
        <f>HYPERLINK("http://csr.bu.edu/ftp/asl/asllvd/demos/verify_start_end_handshape_annotations//test_auto_move//signs_mov/3912_5569_16296_merged.mov","MOV")</f>
        <v>21</v>
      </c>
      <c r="L8881" t="s" s="16">
        <f>HYPERLINK("http://csr.bu.edu/ftp/asl/asllvd/demos/verify_start_end_handshape_annotations//test_auto_move//signs_mov_separ_signers/Liz_5569.mov","MOV")</f>
        <v>21</v>
      </c>
      <c r="M8881" t="s" s="10">
        <v>36</v>
      </c>
      <c r="N8881" s="17">
        <v>48</v>
      </c>
      <c r="O8881" s="18">
        <v>2159</v>
      </c>
      <c r="P8881" s="18">
        <v>2240</v>
      </c>
      <c r="Q8881" t="s" s="16">
        <f>HYPERLINK("http://secrets.rutgers.edu:8080/data/asl-ftp/asllvd/demos/verify_start_end_handshape_annotations//test_auto_move//signs_mov/3912_5569_16296_merged.mov","MOV")</f>
        <v>21</v>
      </c>
      <c r="R8881" t="s" s="16">
        <f>HYPERLINK("http://secrets.rutgers.edu:8080/data/asl-ftp/asllvd/demos/verify_start_end_handshape_annotations//test_auto_move//signs_mov_separ_signers/Liz_5569.mov","MOV")</f>
        <v>21</v>
      </c>
    </row>
    <row r="8882" s="2" customFormat="1" ht="13.5" customHeight="1">
      <c r="B8882" s="13"/>
      <c r="C8882" t="s" s="9">
        <v>16</v>
      </c>
      <c r="D8882" t="s" s="8">
        <v>3237</v>
      </c>
      <c r="E8882" t="s" s="9">
        <v>3241</v>
      </c>
      <c r="F8882" t="s" s="10">
        <v>150</v>
      </c>
      <c r="G8882" t="s" s="11">
        <v>150</v>
      </c>
      <c r="H8882" t="s" s="10">
        <v>119</v>
      </c>
      <c r="I8882" t="s" s="11">
        <v>119</v>
      </c>
      <c r="J8882" t="s" s="11">
        <v>20</v>
      </c>
      <c r="K8882" s="15"/>
      <c r="L8882" t="s" s="16">
        <f>HYPERLINK("http://csr.bu.edu/ftp/asl/asllvd/demos/verify_start_end_handshape_annotations//test_auto_move//signs_mov_separ_signers/Liz_16296.mov","MOV")</f>
        <v>21</v>
      </c>
      <c r="M8882" t="s" s="10">
        <v>77</v>
      </c>
      <c r="N8882" s="17">
        <v>4</v>
      </c>
      <c r="O8882" s="18">
        <v>645</v>
      </c>
      <c r="P8882" s="18">
        <v>727</v>
      </c>
      <c r="Q8882" s="15"/>
      <c r="R8882" t="s" s="16">
        <f>HYPERLINK("http://secrets.rutgers.edu:8080/data/asl-ftp/asllvd/demos/verify_start_end_handshape_annotations//test_auto_move//signs_mov_separ_signers/Liz_16296.mov","MOV")</f>
        <v>21</v>
      </c>
    </row>
    <row r="8883" s="2" customFormat="1" ht="13.5" customHeight="1">
      <c r="B8883" s="13"/>
      <c r="C8883" t="s" s="9">
        <v>30</v>
      </c>
      <c r="D8883" t="s" s="8">
        <v>3237</v>
      </c>
      <c r="E8883" t="s" s="9">
        <v>3241</v>
      </c>
      <c r="F8883" t="s" s="10">
        <v>150</v>
      </c>
      <c r="G8883" t="s" s="11">
        <v>150</v>
      </c>
      <c r="H8883" t="s" s="10">
        <v>119</v>
      </c>
      <c r="I8883" t="s" s="11">
        <v>119</v>
      </c>
      <c r="J8883" t="s" s="11">
        <v>20</v>
      </c>
      <c r="K8883" s="15"/>
      <c r="L8883" t="s" s="16">
        <f>HYPERLINK("http://csr.bu.edu/ftp/asl/asllvd/demos/verify_start_end_handshape_annotations//test_auto_move//signs_mov_separ_signers/Brady_3912.mov","MOV")</f>
        <v>21</v>
      </c>
      <c r="M8883" t="s" s="10">
        <v>40</v>
      </c>
      <c r="N8883" s="17">
        <v>99</v>
      </c>
      <c r="O8883" s="18">
        <v>3120</v>
      </c>
      <c r="P8883" s="18">
        <v>3162</v>
      </c>
      <c r="Q8883" s="15"/>
      <c r="R8883" t="s" s="16">
        <f>HYPERLINK("http://secrets.rutgers.edu:8080/data/asl-ftp/asllvd/demos/verify_start_end_handshape_annotations//test_auto_move//signs_mov_separ_signers/Brady_3912.mov","MOV")</f>
        <v>21</v>
      </c>
    </row>
    <row r="8884" s="2" customFormat="1" ht="13.5" customHeight="1">
      <c r="B8884" t="s" s="8">
        <v>3243</v>
      </c>
      <c r="C8884" t="s" s="9">
        <v>14</v>
      </c>
      <c r="D8884" t="s" s="8">
        <v>14</v>
      </c>
      <c r="E8884" t="s" s="9">
        <v>14</v>
      </c>
      <c r="F8884" t="s" s="10">
        <v>14</v>
      </c>
      <c r="G8884" t="s" s="11">
        <v>14</v>
      </c>
      <c r="H8884" t="s" s="10">
        <v>14</v>
      </c>
      <c r="I8884" t="s" s="11">
        <v>14</v>
      </c>
      <c r="J8884" t="s" s="11">
        <v>14</v>
      </c>
      <c r="K8884" t="s" s="12">
        <v>14</v>
      </c>
      <c r="L8884" t="s" s="12">
        <v>14</v>
      </c>
      <c r="M8884" t="s" s="10">
        <v>14</v>
      </c>
      <c r="N8884" t="s" s="11">
        <v>14</v>
      </c>
      <c r="O8884" t="s" s="8">
        <v>14</v>
      </c>
      <c r="P8884" t="s" s="8">
        <v>14</v>
      </c>
      <c r="Q8884" t="s" s="12">
        <v>14</v>
      </c>
      <c r="R8884" t="s" s="12">
        <v>14</v>
      </c>
    </row>
    <row r="8885" s="2" customFormat="1" ht="13.5" customHeight="1">
      <c r="B8885" s="13"/>
      <c r="C8885" t="s" s="9">
        <v>16</v>
      </c>
      <c r="D8885" t="s" s="8">
        <v>3243</v>
      </c>
      <c r="E8885" t="s" s="9">
        <v>3243</v>
      </c>
      <c r="F8885" t="s" s="10">
        <v>55</v>
      </c>
      <c r="G8885" s="14"/>
      <c r="H8885" t="s" s="10">
        <v>55</v>
      </c>
      <c r="I8885" s="14"/>
      <c r="J8885" t="s" s="11">
        <v>20</v>
      </c>
      <c r="K8885" s="15"/>
      <c r="L8885" t="s" s="16">
        <f>HYPERLINK("http://csr.bu.edu/ftp/asl/asllvd/demos/verify_start_end_handshape_annotations//test_auto_move//signs_mov_separ_signers/Liz_2437.mov","MOV")</f>
        <v>21</v>
      </c>
      <c r="M8885" t="s" s="10">
        <v>36</v>
      </c>
      <c r="N8885" s="17">
        <v>48</v>
      </c>
      <c r="O8885" s="18">
        <v>2433</v>
      </c>
      <c r="P8885" s="18">
        <v>2470</v>
      </c>
      <c r="Q8885" s="15"/>
      <c r="R8885" t="s" s="16">
        <f>HYPERLINK("http://secrets.rutgers.edu:8080/data/asl-ftp/asllvd/demos/verify_start_end_handshape_annotations//test_auto_move//signs_mov_separ_signers/Liz_2437.mov","MOV")</f>
        <v>21</v>
      </c>
    </row>
    <row r="8886" s="2" customFormat="1" ht="13.5" customHeight="1">
      <c r="B8886" s="13"/>
      <c r="C8886" t="s" s="9">
        <v>16</v>
      </c>
      <c r="D8886" t="s" s="8">
        <v>3243</v>
      </c>
      <c r="E8886" t="s" s="9">
        <v>3243</v>
      </c>
      <c r="F8886" t="s" s="10">
        <v>55</v>
      </c>
      <c r="G8886" s="14"/>
      <c r="H8886" t="s" s="10">
        <v>55</v>
      </c>
      <c r="I8886" s="14"/>
      <c r="J8886" t="s" s="11">
        <v>20</v>
      </c>
      <c r="K8886" t="s" s="16">
        <f>HYPERLINK("http://csr.bu.edu/ftp/asl/asllvd/demos/verify_start_end_handshape_annotations//test_auto_move//signs_mov/2437_5904_merged.mov","MOV")</f>
        <v>21</v>
      </c>
      <c r="L8886" t="s" s="16">
        <f>HYPERLINK("http://csr.bu.edu/ftp/asl/asllvd/demos/verify_start_end_handshape_annotations//test_auto_move//signs_mov_separ_signers/Liz_5904.mov","MOV")</f>
        <v>21</v>
      </c>
      <c r="M8886" t="s" s="10">
        <v>77</v>
      </c>
      <c r="N8886" s="17">
        <v>25</v>
      </c>
      <c r="O8886" s="18">
        <v>550</v>
      </c>
      <c r="P8886" s="18">
        <v>595</v>
      </c>
      <c r="Q8886" t="s" s="16">
        <f>HYPERLINK("http://secrets.rutgers.edu:8080/data/asl-ftp/asllvd/demos/verify_start_end_handshape_annotations//test_auto_move//signs_mov/2437_5904_merged.mov","MOV")</f>
        <v>21</v>
      </c>
      <c r="R8886" t="s" s="16">
        <f>HYPERLINK("http://secrets.rutgers.edu:8080/data/asl-ftp/asllvd/demos/verify_start_end_handshape_annotations//test_auto_move//signs_mov_separ_signers/Liz_5904.mov","MOV")</f>
        <v>21</v>
      </c>
    </row>
    <row r="8887" s="2" customFormat="1" ht="13.5" customHeight="1">
      <c r="B8887" s="13"/>
      <c r="C8887" t="s" s="9">
        <v>30</v>
      </c>
      <c r="D8887" t="s" s="8">
        <v>3243</v>
      </c>
      <c r="E8887" t="s" s="9">
        <v>3243</v>
      </c>
      <c r="F8887" t="s" s="10">
        <v>55</v>
      </c>
      <c r="G8887" s="14"/>
      <c r="H8887" t="s" s="10">
        <v>55</v>
      </c>
      <c r="I8887" s="14"/>
      <c r="J8887" t="s" s="11">
        <v>20</v>
      </c>
      <c r="K8887" s="15"/>
      <c r="L8887" t="s" s="16">
        <f>HYPERLINK("http://csr.bu.edu/ftp/asl/asllvd/demos/verify_start_end_handshape_annotations//test_auto_move//signs_mov_separ_signers/Brady_2437.mov","MOV")</f>
        <v>21</v>
      </c>
      <c r="M8887" t="s" s="10">
        <v>31</v>
      </c>
      <c r="N8887" s="17">
        <v>22</v>
      </c>
      <c r="O8887" s="18">
        <v>4416</v>
      </c>
      <c r="P8887" s="18">
        <v>4432</v>
      </c>
      <c r="Q8887" s="15"/>
      <c r="R8887" t="s" s="16">
        <f>HYPERLINK("http://secrets.rutgers.edu:8080/data/asl-ftp/asllvd/demos/verify_start_end_handshape_annotations//test_auto_move//signs_mov_separ_signers/Brady_2437.mov","MOV")</f>
        <v>21</v>
      </c>
    </row>
    <row r="8888" s="2" customFormat="1" ht="13.5" customHeight="1">
      <c r="B8888" s="13"/>
      <c r="C8888" t="s" s="9">
        <v>30</v>
      </c>
      <c r="D8888" t="s" s="8">
        <v>3243</v>
      </c>
      <c r="E8888" t="s" s="9">
        <v>3243</v>
      </c>
      <c r="F8888" t="s" s="10">
        <v>152</v>
      </c>
      <c r="G8888" s="14"/>
      <c r="H8888" t="s" s="10">
        <v>152</v>
      </c>
      <c r="I8888" s="14"/>
      <c r="J8888" t="s" s="11">
        <v>20</v>
      </c>
      <c r="K8888" s="15"/>
      <c r="L8888" t="s" s="16">
        <f>HYPERLINK("http://csr.bu.edu/ftp/asl/asllvd/demos/verify_start_end_handshape_annotations//test_auto_move//signs_mov_separ_signers/Brady_5904.mov","MOV")</f>
        <v>21</v>
      </c>
      <c r="M8888" t="s" s="10">
        <v>40</v>
      </c>
      <c r="N8888" s="17">
        <v>100</v>
      </c>
      <c r="O8888" s="18">
        <v>900</v>
      </c>
      <c r="P8888" s="18">
        <v>920</v>
      </c>
      <c r="Q8888" s="15"/>
      <c r="R8888" t="s" s="16">
        <f>HYPERLINK("http://secrets.rutgers.edu:8080/data/asl-ftp/asllvd/demos/verify_start_end_handshape_annotations//test_auto_move//signs_mov_separ_signers/Brady_5904.mov","MOV")</f>
        <v>21</v>
      </c>
    </row>
    <row r="8889" s="2" customFormat="1" ht="13.5" customHeight="1">
      <c r="B8889" t="s" s="8">
        <v>3244</v>
      </c>
      <c r="C8889" t="s" s="9">
        <v>14</v>
      </c>
      <c r="D8889" t="s" s="8">
        <v>14</v>
      </c>
      <c r="E8889" t="s" s="9">
        <v>14</v>
      </c>
      <c r="F8889" t="s" s="10">
        <v>14</v>
      </c>
      <c r="G8889" t="s" s="11">
        <v>14</v>
      </c>
      <c r="H8889" t="s" s="10">
        <v>14</v>
      </c>
      <c r="I8889" t="s" s="11">
        <v>14</v>
      </c>
      <c r="J8889" t="s" s="11">
        <v>14</v>
      </c>
      <c r="K8889" t="s" s="12">
        <v>14</v>
      </c>
      <c r="L8889" t="s" s="12">
        <v>14</v>
      </c>
      <c r="M8889" t="s" s="10">
        <v>14</v>
      </c>
      <c r="N8889" t="s" s="11">
        <v>14</v>
      </c>
      <c r="O8889" t="s" s="8">
        <v>14</v>
      </c>
      <c r="P8889" t="s" s="8">
        <v>14</v>
      </c>
      <c r="Q8889" t="s" s="12">
        <v>14</v>
      </c>
      <c r="R8889" t="s" s="12">
        <v>14</v>
      </c>
    </row>
    <row r="8890" s="2" customFormat="1" ht="13.5" customHeight="1">
      <c r="B8890" s="13"/>
      <c r="C8890" t="s" s="9">
        <v>16</v>
      </c>
      <c r="D8890" t="s" s="8">
        <v>3244</v>
      </c>
      <c r="E8890" t="s" s="9">
        <v>3244</v>
      </c>
      <c r="F8890" s="19">
        <v>1</v>
      </c>
      <c r="G8890" s="17">
        <v>1</v>
      </c>
      <c r="H8890" s="19">
        <v>1</v>
      </c>
      <c r="I8890" s="17">
        <v>1</v>
      </c>
      <c r="J8890" t="s" s="11">
        <v>20</v>
      </c>
      <c r="K8890" t="s" s="16">
        <f>HYPERLINK("http://csr.bu.edu/ftp/asl/asllvd/demos/verify_start_end_handshape_annotations//test_auto_move//signs_mov/2445.mov","MOV")</f>
        <v>21</v>
      </c>
      <c r="L8890" t="s" s="16">
        <f>HYPERLINK("http://csr.bu.edu/ftp/asl/asllvd/demos/verify_start_end_handshape_annotations//test_auto_move//signs_mov_separ_signers/Liz_2445.mov","MOV")</f>
        <v>21</v>
      </c>
      <c r="M8890" t="s" s="10">
        <v>36</v>
      </c>
      <c r="N8890" s="17">
        <v>49</v>
      </c>
      <c r="O8890" s="18">
        <v>2127</v>
      </c>
      <c r="P8890" s="18">
        <v>2160</v>
      </c>
      <c r="Q8890" t="s" s="16">
        <f>HYPERLINK("http://secrets.rutgers.edu:8080/data/asl-ftp/asllvd/demos/verify_start_end_handshape_annotations//test_auto_move//signs_mov/2445.mov","MOV")</f>
        <v>21</v>
      </c>
      <c r="R8890" t="s" s="16">
        <f>HYPERLINK("http://secrets.rutgers.edu:8080/data/asl-ftp/asllvd/demos/verify_start_end_handshape_annotations//test_auto_move//signs_mov_separ_signers/Liz_2445.mov","MOV")</f>
        <v>21</v>
      </c>
    </row>
    <row r="8891" s="2" customFormat="1" ht="13.5" customHeight="1">
      <c r="B8891" t="s" s="8">
        <v>52</v>
      </c>
      <c r="C8891" t="s" s="9">
        <v>53</v>
      </c>
      <c r="D8891" t="s" s="8">
        <v>53</v>
      </c>
      <c r="E8891" t="s" s="9">
        <v>53</v>
      </c>
      <c r="F8891" t="s" s="10">
        <v>53</v>
      </c>
      <c r="G8891" t="s" s="11">
        <v>53</v>
      </c>
      <c r="H8891" t="s" s="10">
        <v>53</v>
      </c>
      <c r="I8891" t="s" s="11">
        <v>53</v>
      </c>
      <c r="J8891" t="s" s="11">
        <v>53</v>
      </c>
      <c r="K8891" t="s" s="12">
        <v>53</v>
      </c>
      <c r="L8891" t="s" s="12">
        <v>53</v>
      </c>
      <c r="M8891" t="s" s="10">
        <v>53</v>
      </c>
      <c r="N8891" t="s" s="11">
        <v>53</v>
      </c>
      <c r="O8891" t="s" s="8">
        <v>53</v>
      </c>
      <c r="P8891" t="s" s="8">
        <v>53</v>
      </c>
      <c r="Q8891" t="s" s="12">
        <v>53</v>
      </c>
      <c r="R8891" t="s" s="12">
        <v>53</v>
      </c>
    </row>
    <row r="8892" s="2" customFormat="1" ht="13.5" customHeight="1">
      <c r="B8892" s="13"/>
      <c r="C8892" t="s" s="9">
        <v>30</v>
      </c>
      <c r="D8892" t="s" s="8">
        <v>3244</v>
      </c>
      <c r="E8892" t="s" s="9">
        <v>3245</v>
      </c>
      <c r="F8892" t="s" s="10">
        <v>55</v>
      </c>
      <c r="G8892" t="s" s="11">
        <v>55</v>
      </c>
      <c r="H8892" t="s" s="10">
        <v>55</v>
      </c>
      <c r="I8892" t="s" s="11">
        <v>55</v>
      </c>
      <c r="J8892" t="s" s="11">
        <v>20</v>
      </c>
      <c r="K8892" t="s" s="16">
        <f>HYPERLINK("http://csr.bu.edu/ftp/asl/asllvd/demos/verify_start_end_handshape_annotations//test_auto_move//signs_mov/5669.mov","MOV")</f>
        <v>21</v>
      </c>
      <c r="L8892" t="s" s="16">
        <f>HYPERLINK("http://csr.bu.edu/ftp/asl/asllvd/demos/verify_start_end_handshape_annotations//test_auto_move//signs_mov_separ_signers/Brady_5669.mov","MOV")</f>
        <v>21</v>
      </c>
      <c r="M8892" t="s" s="10">
        <v>40</v>
      </c>
      <c r="N8892" s="17">
        <v>100</v>
      </c>
      <c r="O8892" s="18">
        <v>4019</v>
      </c>
      <c r="P8892" s="18">
        <v>4035</v>
      </c>
      <c r="Q8892" t="s" s="16">
        <f>HYPERLINK("http://secrets.rutgers.edu:8080/data/asl-ftp/asllvd/demos/verify_start_end_handshape_annotations//test_auto_move//signs_mov/5669.mov","MOV")</f>
        <v>21</v>
      </c>
      <c r="R8892" t="s" s="16">
        <f>HYPERLINK("http://secrets.rutgers.edu:8080/data/asl-ftp/asllvd/demos/verify_start_end_handshape_annotations//test_auto_move//signs_mov_separ_signers/Brady_5669.mov","MOV")</f>
        <v>21</v>
      </c>
    </row>
    <row r="8893" s="2" customFormat="1" ht="13.5" customHeight="1">
      <c r="B8893" t="s" s="8">
        <v>3246</v>
      </c>
      <c r="C8893" t="s" s="9">
        <v>14</v>
      </c>
      <c r="D8893" t="s" s="8">
        <v>14</v>
      </c>
      <c r="E8893" t="s" s="9">
        <v>14</v>
      </c>
      <c r="F8893" t="s" s="10">
        <v>14</v>
      </c>
      <c r="G8893" t="s" s="11">
        <v>14</v>
      </c>
      <c r="H8893" t="s" s="10">
        <v>14</v>
      </c>
      <c r="I8893" t="s" s="11">
        <v>14</v>
      </c>
      <c r="J8893" t="s" s="11">
        <v>14</v>
      </c>
      <c r="K8893" t="s" s="12">
        <v>14</v>
      </c>
      <c r="L8893" t="s" s="12">
        <v>14</v>
      </c>
      <c r="M8893" t="s" s="10">
        <v>14</v>
      </c>
      <c r="N8893" t="s" s="11">
        <v>14</v>
      </c>
      <c r="O8893" t="s" s="8">
        <v>14</v>
      </c>
      <c r="P8893" t="s" s="8">
        <v>14</v>
      </c>
      <c r="Q8893" t="s" s="12">
        <v>14</v>
      </c>
      <c r="R8893" t="s" s="12">
        <v>14</v>
      </c>
    </row>
    <row r="8894" s="2" customFormat="1" ht="13.5" customHeight="1">
      <c r="B8894" s="13"/>
      <c r="C8894" t="s" s="9">
        <v>16</v>
      </c>
      <c r="D8894" t="s" s="8">
        <v>3246</v>
      </c>
      <c r="E8894" t="s" s="9">
        <v>3246</v>
      </c>
      <c r="F8894" t="s" s="10">
        <v>18</v>
      </c>
      <c r="G8894" s="14"/>
      <c r="H8894" t="s" s="10">
        <v>18</v>
      </c>
      <c r="I8894" s="14"/>
      <c r="J8894" t="s" s="11">
        <v>20</v>
      </c>
      <c r="K8894" t="s" s="16">
        <f>HYPERLINK("http://csr.bu.edu/ftp/asl/asllvd/demos/verify_start_end_handshape_annotations//test_auto_move//signs_mov/2449.mov","MOV")</f>
        <v>21</v>
      </c>
      <c r="L8894" t="s" s="16">
        <f>HYPERLINK("http://csr.bu.edu/ftp/asl/asllvd/demos/verify_start_end_handshape_annotations//test_auto_move//signs_mov_separ_signers/Liz_2449.mov","MOV")</f>
        <v>21</v>
      </c>
      <c r="M8894" t="s" s="10">
        <v>36</v>
      </c>
      <c r="N8894" s="17">
        <v>49</v>
      </c>
      <c r="O8894" s="18">
        <v>3396</v>
      </c>
      <c r="P8894" s="18">
        <v>3480</v>
      </c>
      <c r="Q8894" t="s" s="16">
        <f>HYPERLINK("http://secrets.rutgers.edu:8080/data/asl-ftp/asllvd/demos/verify_start_end_handshape_annotations//test_auto_move//signs_mov/2449.mov","MOV")</f>
        <v>21</v>
      </c>
      <c r="R8894" t="s" s="16">
        <f>HYPERLINK("http://secrets.rutgers.edu:8080/data/asl-ftp/asllvd/demos/verify_start_end_handshape_annotations//test_auto_move//signs_mov_separ_signers/Liz_2449.mov","MOV")</f>
        <v>21</v>
      </c>
    </row>
    <row r="8895" s="2" customFormat="1" ht="13.5" customHeight="1">
      <c r="B8895" s="13"/>
      <c r="C8895" t="s" s="9">
        <v>30</v>
      </c>
      <c r="D8895" t="s" s="8">
        <v>3246</v>
      </c>
      <c r="E8895" t="s" s="9">
        <v>3246</v>
      </c>
      <c r="F8895" t="s" s="10">
        <v>18</v>
      </c>
      <c r="G8895" s="14"/>
      <c r="H8895" t="s" s="10">
        <v>18</v>
      </c>
      <c r="I8895" s="14"/>
      <c r="J8895" t="s" s="11">
        <v>20</v>
      </c>
      <c r="K8895" s="15"/>
      <c r="L8895" t="s" s="16">
        <f>HYPERLINK("http://csr.bu.edu/ftp/asl/asllvd/demos/verify_start_end_handshape_annotations//test_auto_move//signs_mov_separ_signers/Brady_2449.mov","MOV")</f>
        <v>21</v>
      </c>
      <c r="M8895" t="s" s="10">
        <v>40</v>
      </c>
      <c r="N8895" s="17">
        <v>101</v>
      </c>
      <c r="O8895" s="18">
        <v>771</v>
      </c>
      <c r="P8895" s="18">
        <v>866</v>
      </c>
      <c r="Q8895" s="15"/>
      <c r="R8895" t="s" s="16">
        <f>HYPERLINK("http://secrets.rutgers.edu:8080/data/asl-ftp/asllvd/demos/verify_start_end_handshape_annotations//test_auto_move//signs_mov_separ_signers/Brady_2449.mov","MOV")</f>
        <v>21</v>
      </c>
    </row>
    <row r="8896" s="2" customFormat="1" ht="13.5" customHeight="1">
      <c r="B8896" t="s" s="8">
        <v>52</v>
      </c>
      <c r="C8896" t="s" s="9">
        <v>53</v>
      </c>
      <c r="D8896" t="s" s="8">
        <v>53</v>
      </c>
      <c r="E8896" t="s" s="9">
        <v>53</v>
      </c>
      <c r="F8896" t="s" s="10">
        <v>53</v>
      </c>
      <c r="G8896" t="s" s="11">
        <v>53</v>
      </c>
      <c r="H8896" t="s" s="10">
        <v>53</v>
      </c>
      <c r="I8896" t="s" s="11">
        <v>53</v>
      </c>
      <c r="J8896" t="s" s="11">
        <v>53</v>
      </c>
      <c r="K8896" t="s" s="12">
        <v>53</v>
      </c>
      <c r="L8896" t="s" s="12">
        <v>53</v>
      </c>
      <c r="M8896" t="s" s="10">
        <v>53</v>
      </c>
      <c r="N8896" t="s" s="11">
        <v>53</v>
      </c>
      <c r="O8896" t="s" s="8">
        <v>53</v>
      </c>
      <c r="P8896" t="s" s="8">
        <v>53</v>
      </c>
      <c r="Q8896" t="s" s="12">
        <v>53</v>
      </c>
      <c r="R8896" t="s" s="12">
        <v>53</v>
      </c>
    </row>
    <row r="8897" s="2" customFormat="1" ht="13.5" customHeight="1">
      <c r="B8897" s="13"/>
      <c r="C8897" t="s" s="9">
        <v>16</v>
      </c>
      <c r="D8897" t="s" s="8">
        <v>3246</v>
      </c>
      <c r="E8897" t="s" s="9">
        <v>3247</v>
      </c>
      <c r="F8897" s="19">
        <v>4</v>
      </c>
      <c r="G8897" s="14"/>
      <c r="H8897" s="19">
        <v>4</v>
      </c>
      <c r="I8897" s="14"/>
      <c r="J8897" t="s" s="11">
        <v>20</v>
      </c>
      <c r="K8897" t="s" s="16">
        <f>HYPERLINK("http://csr.bu.edu/ftp/asl/asllvd/demos/verify_start_end_handshape_annotations//test_auto_move//signs_mov/3774.mov","MOV")</f>
        <v>21</v>
      </c>
      <c r="L8897" t="s" s="16">
        <f>HYPERLINK("http://csr.bu.edu/ftp/asl/asllvd/demos/verify_start_end_handshape_annotations//test_auto_move//signs_mov_separ_signers/Liz_3774.mov","MOV")</f>
        <v>21</v>
      </c>
      <c r="M8897" t="s" s="10">
        <v>36</v>
      </c>
      <c r="N8897" s="17">
        <v>50</v>
      </c>
      <c r="O8897" s="18">
        <v>207</v>
      </c>
      <c r="P8897" s="18">
        <v>280</v>
      </c>
      <c r="Q8897" t="s" s="16">
        <f>HYPERLINK("http://secrets.rutgers.edu:8080/data/asl-ftp/asllvd/demos/verify_start_end_handshape_annotations//test_auto_move//signs_mov/3774.mov","MOV")</f>
        <v>21</v>
      </c>
      <c r="R8897" t="s" s="16">
        <f>HYPERLINK("http://secrets.rutgers.edu:8080/data/asl-ftp/asllvd/demos/verify_start_end_handshape_annotations//test_auto_move//signs_mov_separ_signers/Liz_3774.mov","MOV")</f>
        <v>21</v>
      </c>
    </row>
    <row r="8898" s="2" customFormat="1" ht="13.5" customHeight="1">
      <c r="B8898" s="13"/>
      <c r="C8898" t="s" s="9">
        <v>30</v>
      </c>
      <c r="D8898" t="s" s="8">
        <v>3246</v>
      </c>
      <c r="E8898" t="s" s="9">
        <v>3247</v>
      </c>
      <c r="F8898" s="19">
        <v>4</v>
      </c>
      <c r="G8898" s="14"/>
      <c r="H8898" s="19">
        <v>4</v>
      </c>
      <c r="I8898" s="14"/>
      <c r="J8898" t="s" s="11">
        <v>20</v>
      </c>
      <c r="K8898" s="15"/>
      <c r="L8898" t="s" s="16">
        <f>HYPERLINK("http://csr.bu.edu/ftp/asl/asllvd/demos/verify_start_end_handshape_annotations//test_auto_move//signs_mov_separ_signers/Brady_3774.mov","MOV")</f>
        <v>21</v>
      </c>
      <c r="M8898" t="s" s="10">
        <v>40</v>
      </c>
      <c r="N8898" s="17">
        <v>101</v>
      </c>
      <c r="O8898" s="18">
        <v>1016</v>
      </c>
      <c r="P8898" s="18">
        <v>1059</v>
      </c>
      <c r="Q8898" s="15"/>
      <c r="R8898" t="s" s="16">
        <f>HYPERLINK("http://secrets.rutgers.edu:8080/data/asl-ftp/asllvd/demos/verify_start_end_handshape_annotations//test_auto_move//signs_mov_separ_signers/Brady_3774.mov","MOV")</f>
        <v>21</v>
      </c>
    </row>
    <row r="8899" s="2" customFormat="1" ht="13.5" customHeight="1">
      <c r="B8899" t="s" s="8">
        <v>3248</v>
      </c>
      <c r="C8899" t="s" s="9">
        <v>14</v>
      </c>
      <c r="D8899" t="s" s="8">
        <v>14</v>
      </c>
      <c r="E8899" t="s" s="9">
        <v>14</v>
      </c>
      <c r="F8899" t="s" s="10">
        <v>14</v>
      </c>
      <c r="G8899" t="s" s="11">
        <v>14</v>
      </c>
      <c r="H8899" t="s" s="10">
        <v>14</v>
      </c>
      <c r="I8899" t="s" s="11">
        <v>14</v>
      </c>
      <c r="J8899" t="s" s="11">
        <v>14</v>
      </c>
      <c r="K8899" t="s" s="12">
        <v>14</v>
      </c>
      <c r="L8899" t="s" s="12">
        <v>14</v>
      </c>
      <c r="M8899" t="s" s="10">
        <v>14</v>
      </c>
      <c r="N8899" t="s" s="11">
        <v>14</v>
      </c>
      <c r="O8899" t="s" s="8">
        <v>14</v>
      </c>
      <c r="P8899" t="s" s="8">
        <v>14</v>
      </c>
      <c r="Q8899" t="s" s="12">
        <v>14</v>
      </c>
      <c r="R8899" t="s" s="12">
        <v>14</v>
      </c>
    </row>
    <row r="8900" s="2" customFormat="1" ht="13.5" customHeight="1">
      <c r="B8900" s="13"/>
      <c r="C8900" t="s" s="9">
        <v>16</v>
      </c>
      <c r="D8900" t="s" s="8">
        <v>3248</v>
      </c>
      <c r="E8900" t="s" s="9">
        <v>3248</v>
      </c>
      <c r="F8900" t="s" s="10">
        <v>68</v>
      </c>
      <c r="G8900" t="s" s="11">
        <v>68</v>
      </c>
      <c r="H8900" t="s" s="10">
        <v>68</v>
      </c>
      <c r="I8900" t="s" s="11">
        <v>68</v>
      </c>
      <c r="J8900" t="s" s="11">
        <v>20</v>
      </c>
      <c r="K8900" t="s" s="16">
        <f>HYPERLINK("http://csr.bu.edu/ftp/asl/asllvd/demos/verify_start_end_handshape_annotations//test_auto_move//signs_mov/2453.mov","MOV")</f>
        <v>21</v>
      </c>
      <c r="L8900" t="s" s="16">
        <f>HYPERLINK("http://csr.bu.edu/ftp/asl/asllvd/demos/verify_start_end_handshape_annotations//test_auto_move//signs_mov_separ_signers/Liz_2453.mov","MOV")</f>
        <v>21</v>
      </c>
      <c r="M8900" t="s" s="10">
        <v>36</v>
      </c>
      <c r="N8900" s="17">
        <v>50</v>
      </c>
      <c r="O8900" s="18">
        <v>875</v>
      </c>
      <c r="P8900" s="18">
        <v>938</v>
      </c>
      <c r="Q8900" t="s" s="16">
        <f>HYPERLINK("http://secrets.rutgers.edu:8080/data/asl-ftp/asllvd/demos/verify_start_end_handshape_annotations//test_auto_move//signs_mov/2453.mov","MOV")</f>
        <v>21</v>
      </c>
      <c r="R8900" t="s" s="16">
        <f>HYPERLINK("http://secrets.rutgers.edu:8080/data/asl-ftp/asllvd/demos/verify_start_end_handshape_annotations//test_auto_move//signs_mov_separ_signers/Liz_2453.mov","MOV")</f>
        <v>21</v>
      </c>
    </row>
    <row r="8901" s="2" customFormat="1" ht="13.5" customHeight="1">
      <c r="B8901" t="s" s="8">
        <v>52</v>
      </c>
      <c r="C8901" t="s" s="9">
        <v>53</v>
      </c>
      <c r="D8901" t="s" s="8">
        <v>53</v>
      </c>
      <c r="E8901" t="s" s="9">
        <v>53</v>
      </c>
      <c r="F8901" t="s" s="10">
        <v>53</v>
      </c>
      <c r="G8901" t="s" s="11">
        <v>53</v>
      </c>
      <c r="H8901" t="s" s="10">
        <v>53</v>
      </c>
      <c r="I8901" t="s" s="11">
        <v>53</v>
      </c>
      <c r="J8901" t="s" s="11">
        <v>53</v>
      </c>
      <c r="K8901" t="s" s="12">
        <v>53</v>
      </c>
      <c r="L8901" t="s" s="12">
        <v>53</v>
      </c>
      <c r="M8901" t="s" s="10">
        <v>53</v>
      </c>
      <c r="N8901" t="s" s="11">
        <v>53</v>
      </c>
      <c r="O8901" t="s" s="8">
        <v>53</v>
      </c>
      <c r="P8901" t="s" s="8">
        <v>53</v>
      </c>
      <c r="Q8901" t="s" s="12">
        <v>53</v>
      </c>
      <c r="R8901" t="s" s="12">
        <v>53</v>
      </c>
    </row>
    <row r="8902" s="2" customFormat="1" ht="13.5" customHeight="1">
      <c r="B8902" s="13"/>
      <c r="C8902" t="s" s="9">
        <v>30</v>
      </c>
      <c r="D8902" t="s" s="8">
        <v>3248</v>
      </c>
      <c r="E8902" t="s" s="9">
        <v>3249</v>
      </c>
      <c r="F8902" t="s" s="10">
        <v>68</v>
      </c>
      <c r="G8902" t="s" s="11">
        <v>68</v>
      </c>
      <c r="H8902" t="s" s="10">
        <v>68</v>
      </c>
      <c r="I8902" t="s" s="11">
        <v>68</v>
      </c>
      <c r="J8902" t="s" s="11">
        <v>20</v>
      </c>
      <c r="K8902" t="s" s="16">
        <f>HYPERLINK("http://csr.bu.edu/ftp/asl/asllvd/demos/verify_start_end_handshape_annotations//test_auto_move//signs_mov/16463.mov","MOV")</f>
        <v>21</v>
      </c>
      <c r="L8902" t="s" s="16">
        <f>HYPERLINK("http://csr.bu.edu/ftp/asl/asllvd/demos/verify_start_end_handshape_annotations//test_auto_move//signs_mov_separ_signers/Brady_16463.mov","MOV")</f>
        <v>21</v>
      </c>
      <c r="M8902" t="s" s="10">
        <v>40</v>
      </c>
      <c r="N8902" s="17">
        <v>101</v>
      </c>
      <c r="O8902" s="18">
        <v>2032</v>
      </c>
      <c r="P8902" s="18">
        <v>2082</v>
      </c>
      <c r="Q8902" t="s" s="16">
        <f>HYPERLINK("http://secrets.rutgers.edu:8080/data/asl-ftp/asllvd/demos/verify_start_end_handshape_annotations//test_auto_move//signs_mov/16463.mov","MOV")</f>
        <v>21</v>
      </c>
      <c r="R8902" t="s" s="16">
        <f>HYPERLINK("http://secrets.rutgers.edu:8080/data/asl-ftp/asllvd/demos/verify_start_end_handshape_annotations//test_auto_move//signs_mov_separ_signers/Brady_16463.mov","MOV")</f>
        <v>21</v>
      </c>
    </row>
    <row r="8903" s="2" customFormat="1" ht="13.5" customHeight="1">
      <c r="B8903" t="s" s="8">
        <v>3250</v>
      </c>
      <c r="C8903" t="s" s="9">
        <v>14</v>
      </c>
      <c r="D8903" t="s" s="8">
        <v>14</v>
      </c>
      <c r="E8903" t="s" s="9">
        <v>14</v>
      </c>
      <c r="F8903" t="s" s="10">
        <v>14</v>
      </c>
      <c r="G8903" t="s" s="11">
        <v>14</v>
      </c>
      <c r="H8903" t="s" s="10">
        <v>14</v>
      </c>
      <c r="I8903" t="s" s="11">
        <v>14</v>
      </c>
      <c r="J8903" t="s" s="11">
        <v>14</v>
      </c>
      <c r="K8903" t="s" s="12">
        <v>14</v>
      </c>
      <c r="L8903" t="s" s="12">
        <v>14</v>
      </c>
      <c r="M8903" t="s" s="10">
        <v>14</v>
      </c>
      <c r="N8903" t="s" s="11">
        <v>14</v>
      </c>
      <c r="O8903" t="s" s="8">
        <v>14</v>
      </c>
      <c r="P8903" t="s" s="8">
        <v>14</v>
      </c>
      <c r="Q8903" t="s" s="12">
        <v>14</v>
      </c>
      <c r="R8903" t="s" s="12">
        <v>14</v>
      </c>
    </row>
    <row r="8904" s="2" customFormat="1" ht="13.5" customHeight="1">
      <c r="B8904" s="13"/>
      <c r="C8904" t="s" s="9">
        <v>16</v>
      </c>
      <c r="D8904" t="s" s="8">
        <v>3250</v>
      </c>
      <c r="E8904" t="s" s="9">
        <v>3250</v>
      </c>
      <c r="F8904" s="19">
        <v>5</v>
      </c>
      <c r="G8904" t="s" s="11">
        <v>73</v>
      </c>
      <c r="H8904" s="19">
        <v>5</v>
      </c>
      <c r="I8904" t="s" s="11">
        <v>73</v>
      </c>
      <c r="J8904" t="s" s="11">
        <v>20</v>
      </c>
      <c r="K8904" t="s" s="16">
        <f>HYPERLINK("http://csr.bu.edu/ftp/asl/asllvd/demos/verify_start_end_handshape_annotations//test_auto_move//signs_mov/2460.mov","MOV")</f>
        <v>21</v>
      </c>
      <c r="L8904" t="s" s="16">
        <f>HYPERLINK("http://csr.bu.edu/ftp/asl/asllvd/demos/verify_start_end_handshape_annotations//test_auto_move//signs_mov_separ_signers/Liz_2460.mov","MOV")</f>
        <v>21</v>
      </c>
      <c r="M8904" t="s" s="10">
        <v>36</v>
      </c>
      <c r="N8904" s="17">
        <v>51</v>
      </c>
      <c r="O8904" s="18">
        <v>455</v>
      </c>
      <c r="P8904" s="18">
        <v>500</v>
      </c>
      <c r="Q8904" t="s" s="16">
        <f>HYPERLINK("http://secrets.rutgers.edu:8080/data/asl-ftp/asllvd/demos/verify_start_end_handshape_annotations//test_auto_move//signs_mov/2460.mov","MOV")</f>
        <v>21</v>
      </c>
      <c r="R8904" t="s" s="16">
        <f>HYPERLINK("http://secrets.rutgers.edu:8080/data/asl-ftp/asllvd/demos/verify_start_end_handshape_annotations//test_auto_move//signs_mov_separ_signers/Liz_2460.mov","MOV")</f>
        <v>21</v>
      </c>
    </row>
    <row r="8905" s="2" customFormat="1" ht="13.5" customHeight="1">
      <c r="B8905" s="13"/>
      <c r="C8905" t="s" s="9">
        <v>30</v>
      </c>
      <c r="D8905" t="s" s="8">
        <v>3250</v>
      </c>
      <c r="E8905" t="s" s="9">
        <v>3250</v>
      </c>
      <c r="F8905" s="19">
        <v>5</v>
      </c>
      <c r="G8905" t="s" s="11">
        <v>73</v>
      </c>
      <c r="H8905" s="19">
        <v>5</v>
      </c>
      <c r="I8905" t="s" s="11">
        <v>73</v>
      </c>
      <c r="J8905" t="s" s="11">
        <v>20</v>
      </c>
      <c r="K8905" s="15"/>
      <c r="L8905" t="s" s="16">
        <f>HYPERLINK("http://csr.bu.edu/ftp/asl/asllvd/demos/verify_start_end_handshape_annotations//test_auto_move//signs_mov_separ_signers/Brady_2460.mov","MOV")</f>
        <v>21</v>
      </c>
      <c r="M8905" t="s" s="10">
        <v>40</v>
      </c>
      <c r="N8905" s="17">
        <v>102</v>
      </c>
      <c r="O8905" s="18">
        <v>1551</v>
      </c>
      <c r="P8905" s="18">
        <v>1586</v>
      </c>
      <c r="Q8905" s="15"/>
      <c r="R8905" t="s" s="16">
        <f>HYPERLINK("http://secrets.rutgers.edu:8080/data/asl-ftp/asllvd/demos/verify_start_end_handshape_annotations//test_auto_move//signs_mov_separ_signers/Brady_2460.mov","MOV")</f>
        <v>21</v>
      </c>
    </row>
    <row r="8906" s="2" customFormat="1" ht="13.5" customHeight="1">
      <c r="B8906" t="s" s="8">
        <v>52</v>
      </c>
      <c r="C8906" t="s" s="9">
        <v>53</v>
      </c>
      <c r="D8906" t="s" s="8">
        <v>53</v>
      </c>
      <c r="E8906" t="s" s="9">
        <v>53</v>
      </c>
      <c r="F8906" t="s" s="10">
        <v>53</v>
      </c>
      <c r="G8906" t="s" s="11">
        <v>53</v>
      </c>
      <c r="H8906" t="s" s="10">
        <v>53</v>
      </c>
      <c r="I8906" t="s" s="11">
        <v>53</v>
      </c>
      <c r="J8906" t="s" s="11">
        <v>53</v>
      </c>
      <c r="K8906" t="s" s="12">
        <v>53</v>
      </c>
      <c r="L8906" t="s" s="12">
        <v>53</v>
      </c>
      <c r="M8906" t="s" s="10">
        <v>53</v>
      </c>
      <c r="N8906" t="s" s="11">
        <v>53</v>
      </c>
      <c r="O8906" t="s" s="8">
        <v>53</v>
      </c>
      <c r="P8906" t="s" s="8">
        <v>53</v>
      </c>
      <c r="Q8906" t="s" s="12">
        <v>53</v>
      </c>
      <c r="R8906" t="s" s="12">
        <v>53</v>
      </c>
    </row>
    <row r="8907" s="2" customFormat="1" ht="13.5" customHeight="1">
      <c r="B8907" s="13"/>
      <c r="C8907" t="s" s="9">
        <v>30</v>
      </c>
      <c r="D8907" t="s" s="8">
        <v>3250</v>
      </c>
      <c r="E8907" t="s" s="9">
        <v>3251</v>
      </c>
      <c r="F8907" t="s" s="10">
        <v>72</v>
      </c>
      <c r="G8907" t="s" s="11">
        <v>73</v>
      </c>
      <c r="H8907" t="s" s="10">
        <v>72</v>
      </c>
      <c r="I8907" t="s" s="11">
        <v>73</v>
      </c>
      <c r="J8907" t="s" s="11">
        <v>20</v>
      </c>
      <c r="K8907" t="s" s="16">
        <f>HYPERLINK("http://csr.bu.edu/ftp/asl/asllvd/demos/verify_start_end_handshape_annotations//test_auto_move//signs_mov/16364.mov","MOV")</f>
        <v>21</v>
      </c>
      <c r="L8907" t="s" s="16">
        <f>HYPERLINK("http://csr.bu.edu/ftp/asl/asllvd/demos/verify_start_end_handshape_annotations//test_auto_move//signs_mov_separ_signers/Brady_16364.mov","MOV")</f>
        <v>21</v>
      </c>
      <c r="M8907" t="s" s="10">
        <v>31</v>
      </c>
      <c r="N8907" s="17">
        <v>24</v>
      </c>
      <c r="O8907" s="18">
        <v>13226</v>
      </c>
      <c r="P8907" s="18">
        <v>13280</v>
      </c>
      <c r="Q8907" t="s" s="16">
        <f>HYPERLINK("http://secrets.rutgers.edu:8080/data/asl-ftp/asllvd/demos/verify_start_end_handshape_annotations//test_auto_move//signs_mov/16364.mov","MOV")</f>
        <v>21</v>
      </c>
      <c r="R8907" t="s" s="16">
        <f>HYPERLINK("http://secrets.rutgers.edu:8080/data/asl-ftp/asllvd/demos/verify_start_end_handshape_annotations//test_auto_move//signs_mov_separ_signers/Brady_16364.mov","MOV")</f>
        <v>21</v>
      </c>
    </row>
    <row r="8908" s="2" customFormat="1" ht="13.5" customHeight="1">
      <c r="B8908" t="s" s="8">
        <v>3252</v>
      </c>
      <c r="C8908" t="s" s="9">
        <v>14</v>
      </c>
      <c r="D8908" t="s" s="8">
        <v>14</v>
      </c>
      <c r="E8908" t="s" s="9">
        <v>14</v>
      </c>
      <c r="F8908" t="s" s="10">
        <v>14</v>
      </c>
      <c r="G8908" t="s" s="11">
        <v>14</v>
      </c>
      <c r="H8908" t="s" s="10">
        <v>14</v>
      </c>
      <c r="I8908" t="s" s="11">
        <v>14</v>
      </c>
      <c r="J8908" t="s" s="11">
        <v>14</v>
      </c>
      <c r="K8908" t="s" s="12">
        <v>14</v>
      </c>
      <c r="L8908" t="s" s="12">
        <v>14</v>
      </c>
      <c r="M8908" t="s" s="10">
        <v>14</v>
      </c>
      <c r="N8908" t="s" s="11">
        <v>14</v>
      </c>
      <c r="O8908" t="s" s="8">
        <v>14</v>
      </c>
      <c r="P8908" t="s" s="8">
        <v>14</v>
      </c>
      <c r="Q8908" t="s" s="12">
        <v>14</v>
      </c>
      <c r="R8908" t="s" s="12">
        <v>14</v>
      </c>
    </row>
    <row r="8909" s="2" customFormat="1" ht="13.5" customHeight="1">
      <c r="B8909" s="13"/>
      <c r="C8909" t="s" s="9">
        <v>16</v>
      </c>
      <c r="D8909" t="s" s="8">
        <v>3252</v>
      </c>
      <c r="E8909" t="s" s="9">
        <v>3252</v>
      </c>
      <c r="F8909" t="s" s="10">
        <v>68</v>
      </c>
      <c r="G8909" s="14"/>
      <c r="H8909" t="s" s="10">
        <v>68</v>
      </c>
      <c r="I8909" s="14"/>
      <c r="J8909" t="s" s="11">
        <v>20</v>
      </c>
      <c r="K8909" s="15"/>
      <c r="L8909" t="s" s="16">
        <f>HYPERLINK("http://csr.bu.edu/ftp/asl/asllvd/demos/verify_start_end_handshape_annotations//test_auto_move//signs_mov_separ_signers/Liz_2462.mov","MOV")</f>
        <v>21</v>
      </c>
      <c r="M8909" t="s" s="10">
        <v>36</v>
      </c>
      <c r="N8909" s="17">
        <v>51</v>
      </c>
      <c r="O8909" s="18">
        <v>915</v>
      </c>
      <c r="P8909" s="18">
        <v>942</v>
      </c>
      <c r="Q8909" s="15"/>
      <c r="R8909" t="s" s="16">
        <f>HYPERLINK("http://secrets.rutgers.edu:8080/data/asl-ftp/asllvd/demos/verify_start_end_handshape_annotations//test_auto_move//signs_mov_separ_signers/Liz_2462.mov","MOV")</f>
        <v>21</v>
      </c>
    </row>
    <row r="8910" s="2" customFormat="1" ht="13.5" customHeight="1">
      <c r="B8910" s="13"/>
      <c r="C8910" t="s" s="9">
        <v>30</v>
      </c>
      <c r="D8910" t="s" s="8">
        <v>3252</v>
      </c>
      <c r="E8910" t="s" s="9">
        <v>3252</v>
      </c>
      <c r="F8910" t="s" s="10">
        <v>68</v>
      </c>
      <c r="G8910" s="14"/>
      <c r="H8910" t="s" s="10">
        <v>68</v>
      </c>
      <c r="I8910" s="14"/>
      <c r="J8910" t="s" s="11">
        <v>20</v>
      </c>
      <c r="K8910" t="s" s="16">
        <f>HYPERLINK("http://csr.bu.edu/ftp/asl/asllvd/demos/verify_start_end_handshape_annotations//test_auto_move//signs_mov/2462.mov","MOV")</f>
        <v>21</v>
      </c>
      <c r="L8910" t="s" s="16">
        <f>HYPERLINK("http://csr.bu.edu/ftp/asl/asllvd/demos/verify_start_end_handshape_annotations//test_auto_move//signs_mov_separ_signers/Brady_2462.mov","MOV")</f>
        <v>21</v>
      </c>
      <c r="M8910" t="s" s="10">
        <v>40</v>
      </c>
      <c r="N8910" s="17">
        <v>102</v>
      </c>
      <c r="O8910" s="18">
        <v>1824</v>
      </c>
      <c r="P8910" s="18">
        <v>1850</v>
      </c>
      <c r="Q8910" t="s" s="16">
        <f>HYPERLINK("http://secrets.rutgers.edu:8080/data/asl-ftp/asllvd/demos/verify_start_end_handshape_annotations//test_auto_move//signs_mov/2462.mov","MOV")</f>
        <v>21</v>
      </c>
      <c r="R8910" t="s" s="16">
        <f>HYPERLINK("http://secrets.rutgers.edu:8080/data/asl-ftp/asllvd/demos/verify_start_end_handshape_annotations//test_auto_move//signs_mov_separ_signers/Brady_2462.mov","MOV")</f>
        <v>21</v>
      </c>
    </row>
    <row r="8911" s="2" customFormat="1" ht="13.5" customHeight="1">
      <c r="B8911" s="13"/>
      <c r="C8911" t="s" s="9">
        <v>41</v>
      </c>
      <c r="D8911" t="s" s="8">
        <v>3252</v>
      </c>
      <c r="E8911" t="s" s="9">
        <v>3252</v>
      </c>
      <c r="F8911" t="s" s="10">
        <v>68</v>
      </c>
      <c r="G8911" s="14"/>
      <c r="H8911" t="s" s="10">
        <v>68</v>
      </c>
      <c r="I8911" s="14"/>
      <c r="J8911" t="s" s="11">
        <v>20</v>
      </c>
      <c r="K8911" s="15"/>
      <c r="L8911" t="s" s="16">
        <f>HYPERLINK("http://csr.bu.edu/ftp/asl/asllvd/demos/verify_start_end_handshape_annotations//test_auto_move//signs_mov_separ_signers/Lana_2462.mov","MOV")</f>
        <v>21</v>
      </c>
      <c r="M8911" t="s" s="10">
        <v>42</v>
      </c>
      <c r="N8911" s="17">
        <v>8</v>
      </c>
      <c r="O8911" s="18">
        <v>632</v>
      </c>
      <c r="P8911" s="18">
        <v>652</v>
      </c>
      <c r="Q8911" s="15"/>
      <c r="R8911" t="s" s="16">
        <f>HYPERLINK("http://secrets.rutgers.edu:8080/data/asl-ftp/asllvd/demos/verify_start_end_handshape_annotations//test_auto_move//signs_mov_separ_signers/Lana_2462.mov","MOV")</f>
        <v>21</v>
      </c>
    </row>
    <row r="8912" s="2" customFormat="1" ht="13.5" customHeight="1">
      <c r="B8912" t="s" s="8">
        <v>52</v>
      </c>
      <c r="C8912" t="s" s="9">
        <v>53</v>
      </c>
      <c r="D8912" t="s" s="8">
        <v>53</v>
      </c>
      <c r="E8912" t="s" s="9">
        <v>53</v>
      </c>
      <c r="F8912" t="s" s="10">
        <v>53</v>
      </c>
      <c r="G8912" t="s" s="11">
        <v>53</v>
      </c>
      <c r="H8912" t="s" s="10">
        <v>53</v>
      </c>
      <c r="I8912" t="s" s="11">
        <v>53</v>
      </c>
      <c r="J8912" t="s" s="11">
        <v>53</v>
      </c>
      <c r="K8912" t="s" s="12">
        <v>53</v>
      </c>
      <c r="L8912" t="s" s="12">
        <v>53</v>
      </c>
      <c r="M8912" t="s" s="10">
        <v>53</v>
      </c>
      <c r="N8912" t="s" s="11">
        <v>53</v>
      </c>
      <c r="O8912" t="s" s="8">
        <v>53</v>
      </c>
      <c r="P8912" t="s" s="8">
        <v>53</v>
      </c>
      <c r="Q8912" t="s" s="12">
        <v>53</v>
      </c>
      <c r="R8912" t="s" s="12">
        <v>53</v>
      </c>
    </row>
    <row r="8913" s="2" customFormat="1" ht="13.5" customHeight="1">
      <c r="B8913" s="13"/>
      <c r="C8913" t="s" s="9">
        <v>43</v>
      </c>
      <c r="D8913" t="s" s="8">
        <v>3252</v>
      </c>
      <c r="E8913" t="s" s="9">
        <v>3253</v>
      </c>
      <c r="F8913" t="s" s="10">
        <v>63</v>
      </c>
      <c r="G8913" s="14"/>
      <c r="H8913" t="s" s="10">
        <v>63</v>
      </c>
      <c r="I8913" s="14"/>
      <c r="J8913" t="s" s="11">
        <v>20</v>
      </c>
      <c r="K8913" t="s" s="16">
        <f>HYPERLINK("http://csr.bu.edu/ftp/asl/asllvd/demos/verify_start_end_handshape_annotations//test_auto_move//signs_mov/3777.mov","MOV")</f>
        <v>21</v>
      </c>
      <c r="L8913" t="s" s="16">
        <f>HYPERLINK("http://csr.bu.edu/ftp/asl/asllvd/demos/verify_start_end_handshape_annotations//test_auto_move//signs_mov_separ_signers/Dana_3777.mov","MOV")</f>
        <v>21</v>
      </c>
      <c r="M8913" t="s" s="10">
        <v>44</v>
      </c>
      <c r="N8913" s="17">
        <v>12</v>
      </c>
      <c r="O8913" s="18">
        <v>585</v>
      </c>
      <c r="P8913" s="18">
        <v>606</v>
      </c>
      <c r="Q8913" t="s" s="16">
        <f>HYPERLINK("http://secrets.rutgers.edu:8080/data/asl-ftp/asllvd/demos/verify_start_end_handshape_annotations//test_auto_move//signs_mov/3777.mov","MOV")</f>
        <v>21</v>
      </c>
      <c r="R8913" t="s" s="16">
        <f>HYPERLINK("http://secrets.rutgers.edu:8080/data/asl-ftp/asllvd/demos/verify_start_end_handshape_annotations//test_auto_move//signs_mov_separ_signers/Dana_3777.mov","MOV")</f>
        <v>21</v>
      </c>
    </row>
    <row r="8914" s="2" customFormat="1" ht="13.5" customHeight="1">
      <c r="B8914" t="s" s="8">
        <v>3252</v>
      </c>
      <c r="C8914" t="s" s="9">
        <v>14</v>
      </c>
      <c r="D8914" t="s" s="8">
        <v>14</v>
      </c>
      <c r="E8914" t="s" s="9">
        <v>14</v>
      </c>
      <c r="F8914" t="s" s="10">
        <v>14</v>
      </c>
      <c r="G8914" t="s" s="11">
        <v>14</v>
      </c>
      <c r="H8914" t="s" s="10">
        <v>14</v>
      </c>
      <c r="I8914" t="s" s="11">
        <v>14</v>
      </c>
      <c r="J8914" t="s" s="11">
        <v>14</v>
      </c>
      <c r="K8914" t="s" s="12">
        <v>14</v>
      </c>
      <c r="L8914" t="s" s="12">
        <v>14</v>
      </c>
      <c r="M8914" t="s" s="10">
        <v>14</v>
      </c>
      <c r="N8914" t="s" s="11">
        <v>14</v>
      </c>
      <c r="O8914" t="s" s="8">
        <v>14</v>
      </c>
      <c r="P8914" t="s" s="8">
        <v>14</v>
      </c>
      <c r="Q8914" t="s" s="12">
        <v>14</v>
      </c>
      <c r="R8914" t="s" s="12">
        <v>14</v>
      </c>
    </row>
    <row r="8915" s="2" customFormat="1" ht="13.5" customHeight="1">
      <c r="B8915" s="13"/>
      <c r="C8915" t="s" s="9">
        <v>16</v>
      </c>
      <c r="D8915" t="s" s="8">
        <v>3254</v>
      </c>
      <c r="E8915" t="s" s="9">
        <v>3254</v>
      </c>
      <c r="F8915" t="s" s="10">
        <v>229</v>
      </c>
      <c r="G8915" s="14"/>
      <c r="H8915" t="s" s="10">
        <v>229</v>
      </c>
      <c r="I8915" s="14"/>
      <c r="J8915" t="s" s="11">
        <v>20</v>
      </c>
      <c r="K8915" t="s" s="16">
        <f>HYPERLINK("http://csr.bu.edu/ftp/asl/asllvd/demos/verify_start_end_handshape_annotations//test_auto_move//signs_mov/5446.mov","MOV")</f>
        <v>21</v>
      </c>
      <c r="L8915" t="s" s="16">
        <f>HYPERLINK("http://csr.bu.edu/ftp/asl/asllvd/demos/verify_start_end_handshape_annotations//test_auto_move//signs_mov_separ_signers/Liz_5446.mov","MOV")</f>
        <v>21</v>
      </c>
      <c r="M8915" t="s" s="10">
        <v>36</v>
      </c>
      <c r="N8915" s="17">
        <v>51</v>
      </c>
      <c r="O8915" s="18">
        <v>1110</v>
      </c>
      <c r="P8915" s="18">
        <v>1130</v>
      </c>
      <c r="Q8915" t="s" s="16">
        <f>HYPERLINK("http://secrets.rutgers.edu:8080/data/asl-ftp/asllvd/demos/verify_start_end_handshape_annotations//test_auto_move//signs_mov/5446.mov","MOV")</f>
        <v>21</v>
      </c>
      <c r="R8915" t="s" s="16">
        <f>HYPERLINK("http://secrets.rutgers.edu:8080/data/asl-ftp/asllvd/demos/verify_start_end_handshape_annotations//test_auto_move//signs_mov_separ_signers/Liz_5446.mov","MOV")</f>
        <v>21</v>
      </c>
    </row>
    <row r="8916" s="2" customFormat="1" ht="13.5" customHeight="1">
      <c r="B8916" s="13"/>
      <c r="C8916" t="s" s="9">
        <v>30</v>
      </c>
      <c r="D8916" t="s" s="8">
        <v>3254</v>
      </c>
      <c r="E8916" t="s" s="9">
        <v>3254</v>
      </c>
      <c r="F8916" t="s" s="10">
        <v>229</v>
      </c>
      <c r="G8916" s="14"/>
      <c r="H8916" t="s" s="10">
        <v>229</v>
      </c>
      <c r="I8916" s="14"/>
      <c r="J8916" t="s" s="11">
        <v>20</v>
      </c>
      <c r="K8916" s="15"/>
      <c r="L8916" t="s" s="16">
        <f>HYPERLINK("http://csr.bu.edu/ftp/asl/asllvd/demos/verify_start_end_handshape_annotations//test_auto_move//signs_mov_separ_signers/Brady_5446.mov","MOV")</f>
        <v>21</v>
      </c>
      <c r="M8916" t="s" s="10">
        <v>40</v>
      </c>
      <c r="N8916" s="17">
        <v>102</v>
      </c>
      <c r="O8916" s="18">
        <v>2512</v>
      </c>
      <c r="P8916" s="18">
        <v>2532</v>
      </c>
      <c r="Q8916" s="15"/>
      <c r="R8916" t="s" s="16">
        <f>HYPERLINK("http://secrets.rutgers.edu:8080/data/asl-ftp/asllvd/demos/verify_start_end_handshape_annotations//test_auto_move//signs_mov_separ_signers/Brady_5446.mov","MOV")</f>
        <v>21</v>
      </c>
    </row>
    <row r="8917" s="2" customFormat="1" ht="13.5" customHeight="1">
      <c r="B8917" t="s" s="8">
        <v>3255</v>
      </c>
      <c r="C8917" t="s" s="9">
        <v>14</v>
      </c>
      <c r="D8917" t="s" s="8">
        <v>14</v>
      </c>
      <c r="E8917" t="s" s="9">
        <v>14</v>
      </c>
      <c r="F8917" t="s" s="10">
        <v>14</v>
      </c>
      <c r="G8917" t="s" s="11">
        <v>14</v>
      </c>
      <c r="H8917" t="s" s="10">
        <v>14</v>
      </c>
      <c r="I8917" t="s" s="11">
        <v>14</v>
      </c>
      <c r="J8917" t="s" s="11">
        <v>14</v>
      </c>
      <c r="K8917" t="s" s="12">
        <v>14</v>
      </c>
      <c r="L8917" t="s" s="12">
        <v>14</v>
      </c>
      <c r="M8917" t="s" s="10">
        <v>14</v>
      </c>
      <c r="N8917" t="s" s="11">
        <v>14</v>
      </c>
      <c r="O8917" t="s" s="8">
        <v>14</v>
      </c>
      <c r="P8917" t="s" s="8">
        <v>14</v>
      </c>
      <c r="Q8917" t="s" s="12">
        <v>14</v>
      </c>
      <c r="R8917" t="s" s="12">
        <v>14</v>
      </c>
    </row>
    <row r="8918" s="2" customFormat="1" ht="13.5" customHeight="1">
      <c r="B8918" s="13"/>
      <c r="C8918" t="s" s="9">
        <v>16</v>
      </c>
      <c r="D8918" t="s" s="8">
        <v>3255</v>
      </c>
      <c r="E8918" t="s" s="9">
        <v>3255</v>
      </c>
      <c r="F8918" t="s" s="10">
        <v>72</v>
      </c>
      <c r="G8918" t="s" s="11">
        <v>73</v>
      </c>
      <c r="H8918" t="s" s="10">
        <v>63</v>
      </c>
      <c r="I8918" t="s" s="11">
        <v>73</v>
      </c>
      <c r="J8918" t="s" s="11">
        <v>20</v>
      </c>
      <c r="K8918" t="s" s="16">
        <f>HYPERLINK("http://csr.bu.edu/ftp/asl/asllvd/demos/verify_start_end_handshape_annotations//test_auto_move//signs_mov/2466.mov","MOV")</f>
        <v>21</v>
      </c>
      <c r="L8918" t="s" s="16">
        <f>HYPERLINK("http://csr.bu.edu/ftp/asl/asllvd/demos/verify_start_end_handshape_annotations//test_auto_move//signs_mov_separ_signers/Liz_2466.mov","MOV")</f>
        <v>21</v>
      </c>
      <c r="M8918" t="s" s="10">
        <v>36</v>
      </c>
      <c r="N8918" s="17">
        <v>51</v>
      </c>
      <c r="O8918" s="18">
        <v>1815</v>
      </c>
      <c r="P8918" s="18">
        <v>1847</v>
      </c>
      <c r="Q8918" t="s" s="16">
        <f>HYPERLINK("http://secrets.rutgers.edu:8080/data/asl-ftp/asllvd/demos/verify_start_end_handshape_annotations//test_auto_move//signs_mov/2466.mov","MOV")</f>
        <v>21</v>
      </c>
      <c r="R8918" t="s" s="16">
        <f>HYPERLINK("http://secrets.rutgers.edu:8080/data/asl-ftp/asllvd/demos/verify_start_end_handshape_annotations//test_auto_move//signs_mov_separ_signers/Liz_2466.mov","MOV")</f>
        <v>21</v>
      </c>
    </row>
    <row r="8919" s="2" customFormat="1" ht="13.5" customHeight="1">
      <c r="B8919" s="13"/>
      <c r="C8919" t="s" s="9">
        <v>30</v>
      </c>
      <c r="D8919" t="s" s="8">
        <v>3255</v>
      </c>
      <c r="E8919" t="s" s="9">
        <v>3255</v>
      </c>
      <c r="F8919" t="s" s="10">
        <v>187</v>
      </c>
      <c r="G8919" t="s" s="11">
        <v>73</v>
      </c>
      <c r="H8919" t="s" s="10">
        <v>63</v>
      </c>
      <c r="I8919" t="s" s="11">
        <v>73</v>
      </c>
      <c r="J8919" t="s" s="11">
        <v>20</v>
      </c>
      <c r="K8919" s="15"/>
      <c r="L8919" t="s" s="16">
        <f>HYPERLINK("http://csr.bu.edu/ftp/asl/asllvd/demos/verify_start_end_handshape_annotations//test_auto_move//signs_mov_separ_signers/Brady_2466.mov","MOV")</f>
        <v>21</v>
      </c>
      <c r="M8919" t="s" s="10">
        <v>40</v>
      </c>
      <c r="N8919" s="17">
        <v>103</v>
      </c>
      <c r="O8919" s="18">
        <v>347</v>
      </c>
      <c r="P8919" s="18">
        <v>365</v>
      </c>
      <c r="Q8919" s="15"/>
      <c r="R8919" t="s" s="16">
        <f>HYPERLINK("http://secrets.rutgers.edu:8080/data/asl-ftp/asllvd/demos/verify_start_end_handshape_annotations//test_auto_move//signs_mov_separ_signers/Brady_2466.mov","MOV")</f>
        <v>21</v>
      </c>
    </row>
    <row r="8920" s="2" customFormat="1" ht="13.5" customHeight="1">
      <c r="B8920" t="s" s="8">
        <v>3256</v>
      </c>
      <c r="C8920" t="s" s="9">
        <v>14</v>
      </c>
      <c r="D8920" t="s" s="8">
        <v>14</v>
      </c>
      <c r="E8920" t="s" s="9">
        <v>14</v>
      </c>
      <c r="F8920" t="s" s="10">
        <v>14</v>
      </c>
      <c r="G8920" t="s" s="11">
        <v>14</v>
      </c>
      <c r="H8920" t="s" s="10">
        <v>14</v>
      </c>
      <c r="I8920" t="s" s="11">
        <v>14</v>
      </c>
      <c r="J8920" t="s" s="11">
        <v>14</v>
      </c>
      <c r="K8920" t="s" s="12">
        <v>14</v>
      </c>
      <c r="L8920" t="s" s="12">
        <v>14</v>
      </c>
      <c r="M8920" t="s" s="10">
        <v>14</v>
      </c>
      <c r="N8920" t="s" s="11">
        <v>14</v>
      </c>
      <c r="O8920" t="s" s="8">
        <v>14</v>
      </c>
      <c r="P8920" t="s" s="8">
        <v>14</v>
      </c>
      <c r="Q8920" t="s" s="12">
        <v>14</v>
      </c>
      <c r="R8920" t="s" s="12">
        <v>14</v>
      </c>
    </row>
    <row r="8921" s="2" customFormat="1" ht="13.5" customHeight="1">
      <c r="B8921" s="13"/>
      <c r="C8921" t="s" s="9">
        <v>16</v>
      </c>
      <c r="D8921" t="s" s="8">
        <v>3256</v>
      </c>
      <c r="E8921" t="s" s="9">
        <v>3257</v>
      </c>
      <c r="F8921" t="s" s="10">
        <v>136</v>
      </c>
      <c r="G8921" t="s" s="11">
        <v>73</v>
      </c>
      <c r="H8921" t="s" s="10">
        <v>136</v>
      </c>
      <c r="I8921" t="s" s="11">
        <v>73</v>
      </c>
      <c r="J8921" t="s" s="11">
        <v>20</v>
      </c>
      <c r="K8921" t="s" s="16">
        <f>HYPERLINK("http://csr.bu.edu/ftp/asl/asllvd/demos/verify_start_end_handshape_annotations//test_auto_move//signs_mov/2467.mov","MOV")</f>
        <v>21</v>
      </c>
      <c r="L8921" t="s" s="16">
        <f>HYPERLINK("http://csr.bu.edu/ftp/asl/asllvd/demos/verify_start_end_handshape_annotations//test_auto_move//signs_mov_separ_signers/Liz_2467.mov","MOV")</f>
        <v>21</v>
      </c>
      <c r="M8921" t="s" s="10">
        <v>36</v>
      </c>
      <c r="N8921" s="17">
        <v>51</v>
      </c>
      <c r="O8921" s="18">
        <v>2310</v>
      </c>
      <c r="P8921" s="18">
        <v>2365</v>
      </c>
      <c r="Q8921" t="s" s="16">
        <f>HYPERLINK("http://secrets.rutgers.edu:8080/data/asl-ftp/asllvd/demos/verify_start_end_handshape_annotations//test_auto_move//signs_mov/2467.mov","MOV")</f>
        <v>21</v>
      </c>
      <c r="R8921" t="s" s="16">
        <f>HYPERLINK("http://secrets.rutgers.edu:8080/data/asl-ftp/asllvd/demos/verify_start_end_handshape_annotations//test_auto_move//signs_mov_separ_signers/Liz_2467.mov","MOV")</f>
        <v>21</v>
      </c>
    </row>
    <row r="8922" s="2" customFormat="1" ht="13.5" customHeight="1">
      <c r="B8922" t="s" s="8">
        <v>52</v>
      </c>
      <c r="C8922" t="s" s="9">
        <v>53</v>
      </c>
      <c r="D8922" t="s" s="8">
        <v>53</v>
      </c>
      <c r="E8922" t="s" s="9">
        <v>53</v>
      </c>
      <c r="F8922" t="s" s="10">
        <v>53</v>
      </c>
      <c r="G8922" t="s" s="11">
        <v>53</v>
      </c>
      <c r="H8922" t="s" s="10">
        <v>53</v>
      </c>
      <c r="I8922" t="s" s="11">
        <v>53</v>
      </c>
      <c r="J8922" t="s" s="11">
        <v>53</v>
      </c>
      <c r="K8922" t="s" s="12">
        <v>53</v>
      </c>
      <c r="L8922" t="s" s="12">
        <v>53</v>
      </c>
      <c r="M8922" t="s" s="10">
        <v>53</v>
      </c>
      <c r="N8922" t="s" s="11">
        <v>53</v>
      </c>
      <c r="O8922" t="s" s="8">
        <v>53</v>
      </c>
      <c r="P8922" t="s" s="8">
        <v>53</v>
      </c>
      <c r="Q8922" t="s" s="12">
        <v>53</v>
      </c>
      <c r="R8922" t="s" s="12">
        <v>53</v>
      </c>
    </row>
    <row r="8923" s="2" customFormat="1" ht="13.5" customHeight="1">
      <c r="B8923" s="13"/>
      <c r="C8923" t="s" s="9">
        <v>30</v>
      </c>
      <c r="D8923" t="s" s="8">
        <v>3256</v>
      </c>
      <c r="E8923" t="s" s="9">
        <v>3258</v>
      </c>
      <c r="F8923" t="s" s="10">
        <v>136</v>
      </c>
      <c r="G8923" t="s" s="11">
        <v>80</v>
      </c>
      <c r="H8923" t="s" s="10">
        <v>136</v>
      </c>
      <c r="I8923" t="s" s="11">
        <v>80</v>
      </c>
      <c r="J8923" t="s" s="11">
        <v>20</v>
      </c>
      <c r="K8923" t="s" s="16">
        <f>HYPERLINK("http://csr.bu.edu/ftp/asl/asllvd/demos/verify_start_end_handshape_annotations//test_auto_move//signs_mov/15463.mov","MOV")</f>
        <v>21</v>
      </c>
      <c r="L8923" t="s" s="16">
        <f>HYPERLINK("http://csr.bu.edu/ftp/asl/asllvd/demos/verify_start_end_handshape_annotations//test_auto_move//signs_mov_separ_signers/Brady_15463.mov","MOV")</f>
        <v>21</v>
      </c>
      <c r="M8923" t="s" s="10">
        <v>40</v>
      </c>
      <c r="N8923" s="17">
        <v>103</v>
      </c>
      <c r="O8923" s="18">
        <v>628</v>
      </c>
      <c r="P8923" s="18">
        <v>648</v>
      </c>
      <c r="Q8923" t="s" s="16">
        <f>HYPERLINK("http://secrets.rutgers.edu:8080/data/asl-ftp/asllvd/demos/verify_start_end_handshape_annotations//test_auto_move//signs_mov/15463.mov","MOV")</f>
        <v>21</v>
      </c>
      <c r="R8923" t="s" s="16">
        <f>HYPERLINK("http://secrets.rutgers.edu:8080/data/asl-ftp/asllvd/demos/verify_start_end_handshape_annotations//test_auto_move//signs_mov_separ_signers/Brady_15463.mov","MOV")</f>
        <v>21</v>
      </c>
    </row>
    <row r="8924" s="2" customFormat="1" ht="13.5" customHeight="1">
      <c r="B8924" t="s" s="8">
        <v>3259</v>
      </c>
      <c r="C8924" t="s" s="9">
        <v>14</v>
      </c>
      <c r="D8924" t="s" s="8">
        <v>14</v>
      </c>
      <c r="E8924" t="s" s="9">
        <v>14</v>
      </c>
      <c r="F8924" t="s" s="10">
        <v>14</v>
      </c>
      <c r="G8924" t="s" s="11">
        <v>14</v>
      </c>
      <c r="H8924" t="s" s="10">
        <v>14</v>
      </c>
      <c r="I8924" t="s" s="11">
        <v>14</v>
      </c>
      <c r="J8924" t="s" s="11">
        <v>14</v>
      </c>
      <c r="K8924" t="s" s="12">
        <v>14</v>
      </c>
      <c r="L8924" t="s" s="12">
        <v>14</v>
      </c>
      <c r="M8924" t="s" s="10">
        <v>14</v>
      </c>
      <c r="N8924" t="s" s="11">
        <v>14</v>
      </c>
      <c r="O8924" t="s" s="8">
        <v>14</v>
      </c>
      <c r="P8924" t="s" s="8">
        <v>14</v>
      </c>
      <c r="Q8924" t="s" s="12">
        <v>14</v>
      </c>
      <c r="R8924" t="s" s="12">
        <v>14</v>
      </c>
    </row>
    <row r="8925" s="2" customFormat="1" ht="13.5" customHeight="1">
      <c r="B8925" s="13"/>
      <c r="C8925" t="s" s="9">
        <v>16</v>
      </c>
      <c r="D8925" t="s" s="8">
        <v>3259</v>
      </c>
      <c r="E8925" t="s" s="9">
        <v>3259</v>
      </c>
      <c r="F8925" t="s" s="10">
        <v>136</v>
      </c>
      <c r="G8925" t="s" s="11">
        <v>73</v>
      </c>
      <c r="H8925" t="s" s="10">
        <v>136</v>
      </c>
      <c r="I8925" t="s" s="11">
        <v>73</v>
      </c>
      <c r="J8925" t="s" s="11">
        <v>20</v>
      </c>
      <c r="K8925" s="15"/>
      <c r="L8925" t="s" s="16">
        <f>HYPERLINK("http://csr.bu.edu/ftp/asl/asllvd/demos/verify_start_end_handshape_annotations//test_auto_move//signs_mov_separ_signers/Liz_16464.mov","MOV")</f>
        <v>21</v>
      </c>
      <c r="M8925" t="s" s="10">
        <v>34</v>
      </c>
      <c r="N8925" s="17">
        <v>7</v>
      </c>
      <c r="O8925" s="18">
        <v>2380</v>
      </c>
      <c r="P8925" s="18">
        <v>2426</v>
      </c>
      <c r="Q8925" s="15"/>
      <c r="R8925" t="s" s="16">
        <f>HYPERLINK("http://secrets.rutgers.edu:8080/data/asl-ftp/asllvd/demos/verify_start_end_handshape_annotations//test_auto_move//signs_mov_separ_signers/Liz_16464.mov","MOV")</f>
        <v>21</v>
      </c>
    </row>
    <row r="8926" s="2" customFormat="1" ht="13.5" customHeight="1">
      <c r="B8926" s="13"/>
      <c r="C8926" t="s" s="9">
        <v>27</v>
      </c>
      <c r="D8926" t="s" s="8">
        <v>3259</v>
      </c>
      <c r="E8926" t="s" s="9">
        <v>3259</v>
      </c>
      <c r="F8926" t="s" s="10">
        <v>136</v>
      </c>
      <c r="G8926" t="s" s="11">
        <v>73</v>
      </c>
      <c r="H8926" t="s" s="10">
        <v>136</v>
      </c>
      <c r="I8926" t="s" s="11">
        <v>73</v>
      </c>
      <c r="J8926" t="s" s="11">
        <v>20</v>
      </c>
      <c r="K8926" t="s" s="16">
        <f>HYPERLINK("http://csr.bu.edu/ftp/asl/asllvd/demos/verify_start_end_handshape_annotations//test_auto_move//signs_mov/16464.mov","MOV")</f>
        <v>21</v>
      </c>
      <c r="L8926" t="s" s="16">
        <f>HYPERLINK("http://csr.bu.edu/ftp/asl/asllvd/demos/verify_start_end_handshape_annotations//test_auto_move//signs_mov_separ_signers/Naomi_16464.mov","MOV")</f>
        <v>21</v>
      </c>
      <c r="M8926" t="s" s="10">
        <v>38</v>
      </c>
      <c r="N8926" s="17">
        <v>6</v>
      </c>
      <c r="O8926" s="18">
        <v>3280</v>
      </c>
      <c r="P8926" s="18">
        <v>3320</v>
      </c>
      <c r="Q8926" t="s" s="16">
        <f>HYPERLINK("http://secrets.rutgers.edu:8080/data/asl-ftp/asllvd/demos/verify_start_end_handshape_annotations//test_auto_move//signs_mov/16464.mov","MOV")</f>
        <v>21</v>
      </c>
      <c r="R8926" t="s" s="16">
        <f>HYPERLINK("http://secrets.rutgers.edu:8080/data/asl-ftp/asllvd/demos/verify_start_end_handshape_annotations//test_auto_move//signs_mov_separ_signers/Naomi_16464.mov","MOV")</f>
        <v>21</v>
      </c>
    </row>
    <row r="8927" s="2" customFormat="1" ht="13.5" customHeight="1">
      <c r="B8927" s="13"/>
      <c r="C8927" t="s" s="9">
        <v>30</v>
      </c>
      <c r="D8927" t="s" s="8">
        <v>3259</v>
      </c>
      <c r="E8927" t="s" s="9">
        <v>3259</v>
      </c>
      <c r="F8927" t="s" s="10">
        <v>136</v>
      </c>
      <c r="G8927" t="s" s="11">
        <v>73</v>
      </c>
      <c r="H8927" t="s" s="10">
        <v>136</v>
      </c>
      <c r="I8927" t="s" s="11">
        <v>73</v>
      </c>
      <c r="J8927" t="s" s="11">
        <v>20</v>
      </c>
      <c r="K8927" s="15"/>
      <c r="L8927" t="s" s="16">
        <f>HYPERLINK("http://csr.bu.edu/ftp/asl/asllvd/demos/verify_start_end_handshape_annotations//test_auto_move//signs_mov_separ_signers/Brady_16464.mov","MOV")</f>
        <v>21</v>
      </c>
      <c r="M8927" t="s" s="10">
        <v>39</v>
      </c>
      <c r="N8927" s="17">
        <v>27</v>
      </c>
      <c r="O8927" s="18">
        <v>729</v>
      </c>
      <c r="P8927" s="18">
        <v>749</v>
      </c>
      <c r="Q8927" s="15"/>
      <c r="R8927" t="s" s="16">
        <f>HYPERLINK("http://secrets.rutgers.edu:8080/data/asl-ftp/asllvd/demos/verify_start_end_handshape_annotations//test_auto_move//signs_mov_separ_signers/Brady_16464.mov","MOV")</f>
        <v>21</v>
      </c>
    </row>
    <row r="8928" s="2" customFormat="1" ht="13.5" customHeight="1">
      <c r="B8928" t="s" s="8">
        <v>52</v>
      </c>
      <c r="C8928" t="s" s="9">
        <v>53</v>
      </c>
      <c r="D8928" t="s" s="8">
        <v>53</v>
      </c>
      <c r="E8928" t="s" s="9">
        <v>53</v>
      </c>
      <c r="F8928" t="s" s="10">
        <v>53</v>
      </c>
      <c r="G8928" t="s" s="11">
        <v>53</v>
      </c>
      <c r="H8928" t="s" s="10">
        <v>53</v>
      </c>
      <c r="I8928" t="s" s="11">
        <v>53</v>
      </c>
      <c r="J8928" t="s" s="11">
        <v>53</v>
      </c>
      <c r="K8928" t="s" s="12">
        <v>53</v>
      </c>
      <c r="L8928" t="s" s="12">
        <v>53</v>
      </c>
      <c r="M8928" t="s" s="10">
        <v>53</v>
      </c>
      <c r="N8928" t="s" s="11">
        <v>53</v>
      </c>
      <c r="O8928" t="s" s="8">
        <v>53</v>
      </c>
      <c r="P8928" t="s" s="8">
        <v>53</v>
      </c>
      <c r="Q8928" t="s" s="12">
        <v>53</v>
      </c>
      <c r="R8928" t="s" s="12">
        <v>53</v>
      </c>
    </row>
    <row r="8929" s="2" customFormat="1" ht="13.5" customHeight="1">
      <c r="B8929" s="13"/>
      <c r="C8929" t="s" s="9">
        <v>23</v>
      </c>
      <c r="D8929" t="s" s="8">
        <v>3259</v>
      </c>
      <c r="E8929" t="s" s="9">
        <v>3260</v>
      </c>
      <c r="F8929" t="s" s="10">
        <v>136</v>
      </c>
      <c r="G8929" t="s" s="11">
        <v>73</v>
      </c>
      <c r="H8929" t="s" s="10">
        <v>136</v>
      </c>
      <c r="I8929" t="s" s="11">
        <v>73</v>
      </c>
      <c r="J8929" t="s" s="11">
        <v>20</v>
      </c>
      <c r="K8929" t="s" s="16">
        <f>HYPERLINK("http://csr.bu.edu/ftp/asl/asllvd/demos/verify_start_end_handshape_annotations//test_auto_move//signs_mov/16465.mov","MOV")</f>
        <v>21</v>
      </c>
      <c r="L8929" t="s" s="16">
        <f>HYPERLINK("http://csr.bu.edu/ftp/asl/asllvd/demos/verify_start_end_handshape_annotations//test_auto_move//signs_mov_separ_signers/Tyler_16465.mov","MOV")</f>
        <v>21</v>
      </c>
      <c r="M8929" t="s" s="10">
        <v>92</v>
      </c>
      <c r="N8929" s="17">
        <v>38</v>
      </c>
      <c r="O8929" s="18">
        <v>2012</v>
      </c>
      <c r="P8929" s="18">
        <v>2077</v>
      </c>
      <c r="Q8929" t="s" s="16">
        <f>HYPERLINK("http://secrets.rutgers.edu:8080/data/asl-ftp/asllvd/demos/verify_start_end_handshape_annotations//test_auto_move//signs_mov/16465.mov","MOV")</f>
        <v>21</v>
      </c>
      <c r="R8929" t="s" s="16">
        <f>HYPERLINK("http://secrets.rutgers.edu:8080/data/asl-ftp/asllvd/demos/verify_start_end_handshape_annotations//test_auto_move//signs_mov_separ_signers/Tyler_16465.mov","MOV")</f>
        <v>21</v>
      </c>
    </row>
    <row r="8930" s="2" customFormat="1" ht="13.5" customHeight="1">
      <c r="B8930" t="s" s="8">
        <v>3261</v>
      </c>
      <c r="C8930" t="s" s="9">
        <v>14</v>
      </c>
      <c r="D8930" t="s" s="8">
        <v>14</v>
      </c>
      <c r="E8930" t="s" s="9">
        <v>14</v>
      </c>
      <c r="F8930" t="s" s="10">
        <v>14</v>
      </c>
      <c r="G8930" t="s" s="11">
        <v>14</v>
      </c>
      <c r="H8930" t="s" s="10">
        <v>14</v>
      </c>
      <c r="I8930" t="s" s="11">
        <v>14</v>
      </c>
      <c r="J8930" t="s" s="11">
        <v>14</v>
      </c>
      <c r="K8930" t="s" s="12">
        <v>14</v>
      </c>
      <c r="L8930" t="s" s="12">
        <v>14</v>
      </c>
      <c r="M8930" t="s" s="10">
        <v>14</v>
      </c>
      <c r="N8930" t="s" s="11">
        <v>14</v>
      </c>
      <c r="O8930" t="s" s="8">
        <v>14</v>
      </c>
      <c r="P8930" t="s" s="8">
        <v>14</v>
      </c>
      <c r="Q8930" t="s" s="12">
        <v>14</v>
      </c>
      <c r="R8930" t="s" s="12">
        <v>14</v>
      </c>
    </row>
    <row r="8931" s="2" customFormat="1" ht="13.5" customHeight="1">
      <c r="B8931" s="13"/>
      <c r="C8931" t="s" s="9">
        <v>16</v>
      </c>
      <c r="D8931" t="s" s="8">
        <v>3261</v>
      </c>
      <c r="E8931" t="s" s="9">
        <v>3261</v>
      </c>
      <c r="F8931" t="s" s="10">
        <v>148</v>
      </c>
      <c r="G8931" t="s" s="11">
        <v>73</v>
      </c>
      <c r="H8931" t="s" s="10">
        <v>119</v>
      </c>
      <c r="I8931" t="s" s="11">
        <v>73</v>
      </c>
      <c r="J8931" t="s" s="11">
        <v>20</v>
      </c>
      <c r="K8931" t="s" s="16">
        <f>HYPERLINK("http://csr.bu.edu/ftp/asl/asllvd/demos/verify_start_end_handshape_annotations//test_auto_move//signs_mov/2470.mov","MOV")</f>
        <v>21</v>
      </c>
      <c r="L8931" t="s" s="16">
        <f>HYPERLINK("http://csr.bu.edu/ftp/asl/asllvd/demos/verify_start_end_handshape_annotations//test_auto_move//signs_mov_separ_signers/Liz_2470.mov","MOV")</f>
        <v>21</v>
      </c>
      <c r="M8931" t="s" s="10">
        <v>36</v>
      </c>
      <c r="N8931" s="17">
        <v>52</v>
      </c>
      <c r="O8931" s="18">
        <v>475</v>
      </c>
      <c r="P8931" s="18">
        <v>532</v>
      </c>
      <c r="Q8931" t="s" s="16">
        <f>HYPERLINK("http://secrets.rutgers.edu:8080/data/asl-ftp/asllvd/demos/verify_start_end_handshape_annotations//test_auto_move//signs_mov/2470.mov","MOV")</f>
        <v>21</v>
      </c>
      <c r="R8931" t="s" s="16">
        <f>HYPERLINK("http://secrets.rutgers.edu:8080/data/asl-ftp/asllvd/demos/verify_start_end_handshape_annotations//test_auto_move//signs_mov_separ_signers/Liz_2470.mov","MOV")</f>
        <v>21</v>
      </c>
    </row>
    <row r="8932" s="2" customFormat="1" ht="13.5" customHeight="1">
      <c r="B8932" t="s" s="8">
        <v>3262</v>
      </c>
      <c r="C8932" t="s" s="9">
        <v>14</v>
      </c>
      <c r="D8932" t="s" s="8">
        <v>14</v>
      </c>
      <c r="E8932" t="s" s="9">
        <v>14</v>
      </c>
      <c r="F8932" t="s" s="10">
        <v>14</v>
      </c>
      <c r="G8932" t="s" s="11">
        <v>14</v>
      </c>
      <c r="H8932" t="s" s="10">
        <v>14</v>
      </c>
      <c r="I8932" t="s" s="11">
        <v>14</v>
      </c>
      <c r="J8932" t="s" s="11">
        <v>14</v>
      </c>
      <c r="K8932" t="s" s="12">
        <v>14</v>
      </c>
      <c r="L8932" t="s" s="12">
        <v>14</v>
      </c>
      <c r="M8932" t="s" s="10">
        <v>14</v>
      </c>
      <c r="N8932" t="s" s="11">
        <v>14</v>
      </c>
      <c r="O8932" t="s" s="8">
        <v>14</v>
      </c>
      <c r="P8932" t="s" s="8">
        <v>14</v>
      </c>
      <c r="Q8932" t="s" s="12">
        <v>14</v>
      </c>
      <c r="R8932" t="s" s="12">
        <v>14</v>
      </c>
    </row>
    <row r="8933" s="2" customFormat="1" ht="13.5" customHeight="1">
      <c r="B8933" s="13"/>
      <c r="C8933" t="s" s="9">
        <v>16</v>
      </c>
      <c r="D8933" t="s" s="8">
        <v>3262</v>
      </c>
      <c r="E8933" t="s" s="9">
        <v>3262</v>
      </c>
      <c r="F8933" s="19">
        <v>5</v>
      </c>
      <c r="G8933" s="17">
        <v>5</v>
      </c>
      <c r="H8933" t="s" s="10">
        <v>68</v>
      </c>
      <c r="I8933" t="s" s="11">
        <v>68</v>
      </c>
      <c r="J8933" t="s" s="11">
        <v>20</v>
      </c>
      <c r="K8933" s="15"/>
      <c r="L8933" t="s" s="16">
        <f>HYPERLINK("http://csr.bu.edu/ftp/asl/asllvd/demos/verify_start_end_handshape_annotations//test_auto_move//signs_mov_separ_signers/Liz_2475.mov","MOV")</f>
        <v>21</v>
      </c>
      <c r="M8933" t="s" s="10">
        <v>36</v>
      </c>
      <c r="N8933" s="17">
        <v>52</v>
      </c>
      <c r="O8933" s="18">
        <v>1820</v>
      </c>
      <c r="P8933" s="18">
        <v>1860</v>
      </c>
      <c r="Q8933" s="15"/>
      <c r="R8933" t="s" s="16">
        <f>HYPERLINK("http://secrets.rutgers.edu:8080/data/asl-ftp/asllvd/demos/verify_start_end_handshape_annotations//test_auto_move//signs_mov_separ_signers/Liz_2475.mov","MOV")</f>
        <v>21</v>
      </c>
    </row>
    <row r="8934" s="2" customFormat="1" ht="13.5" customHeight="1">
      <c r="B8934" s="13"/>
      <c r="C8934" t="s" s="9">
        <v>30</v>
      </c>
      <c r="D8934" t="s" s="8">
        <v>3262</v>
      </c>
      <c r="E8934" t="s" s="9">
        <v>3262</v>
      </c>
      <c r="F8934" s="19">
        <v>5</v>
      </c>
      <c r="G8934" s="17">
        <v>5</v>
      </c>
      <c r="H8934" t="s" s="10">
        <v>68</v>
      </c>
      <c r="I8934" t="s" s="11">
        <v>68</v>
      </c>
      <c r="J8934" t="s" s="11">
        <v>20</v>
      </c>
      <c r="K8934" t="s" s="16">
        <f>HYPERLINK("http://csr.bu.edu/ftp/asl/asllvd/demos/verify_start_end_handshape_annotations//test_auto_move//signs_mov/2475_5654_merged.mov","MOV")</f>
        <v>21</v>
      </c>
      <c r="L8934" t="s" s="16">
        <f>HYPERLINK("http://csr.bu.edu/ftp/asl/asllvd/demos/verify_start_end_handshape_annotations//test_auto_move//signs_mov_separ_signers/Brady_2475.mov","MOV")</f>
        <v>21</v>
      </c>
      <c r="M8934" t="s" s="10">
        <v>31</v>
      </c>
      <c r="N8934" s="17">
        <v>29</v>
      </c>
      <c r="O8934" s="18">
        <v>12769</v>
      </c>
      <c r="P8934" s="18">
        <v>12792</v>
      </c>
      <c r="Q8934" t="s" s="16">
        <f>HYPERLINK("http://secrets.rutgers.edu:8080/data/asl-ftp/asllvd/demos/verify_start_end_handshape_annotations//test_auto_move//signs_mov/2475_5654_merged.mov","MOV")</f>
        <v>21</v>
      </c>
      <c r="R8934" t="s" s="16">
        <f>HYPERLINK("http://secrets.rutgers.edu:8080/data/asl-ftp/asllvd/demos/verify_start_end_handshape_annotations//test_auto_move//signs_mov_separ_signers/Brady_2475.mov","MOV")</f>
        <v>21</v>
      </c>
    </row>
    <row r="8935" s="2" customFormat="1" ht="13.5" customHeight="1">
      <c r="B8935" s="13"/>
      <c r="C8935" t="s" s="9">
        <v>30</v>
      </c>
      <c r="D8935" t="s" s="8">
        <v>3262</v>
      </c>
      <c r="E8935" t="s" s="9">
        <v>3262</v>
      </c>
      <c r="F8935" s="19">
        <v>5</v>
      </c>
      <c r="G8935" s="17">
        <v>5</v>
      </c>
      <c r="H8935" t="s" s="10">
        <v>68</v>
      </c>
      <c r="I8935" t="s" s="11">
        <v>68</v>
      </c>
      <c r="J8935" t="s" s="11">
        <v>20</v>
      </c>
      <c r="K8935" s="15"/>
      <c r="L8935" t="s" s="16">
        <f>HYPERLINK("http://csr.bu.edu/ftp/asl/asllvd/demos/verify_start_end_handshape_annotations//test_auto_move//signs_mov_separ_signers/Brady_5654.mov","MOV")</f>
        <v>21</v>
      </c>
      <c r="M8935" t="s" s="10">
        <v>40</v>
      </c>
      <c r="N8935" s="17">
        <v>104</v>
      </c>
      <c r="O8935" s="18">
        <v>139</v>
      </c>
      <c r="P8935" s="18">
        <v>168</v>
      </c>
      <c r="Q8935" s="15"/>
      <c r="R8935" t="s" s="16">
        <f>HYPERLINK("http://secrets.rutgers.edu:8080/data/asl-ftp/asllvd/demos/verify_start_end_handshape_annotations//test_auto_move//signs_mov_separ_signers/Brady_5654.mov","MOV")</f>
        <v>21</v>
      </c>
    </row>
    <row r="8936" s="2" customFormat="1" ht="13.5" customHeight="1">
      <c r="B8936" t="s" s="8">
        <v>3263</v>
      </c>
      <c r="C8936" t="s" s="9">
        <v>14</v>
      </c>
      <c r="D8936" t="s" s="8">
        <v>14</v>
      </c>
      <c r="E8936" t="s" s="9">
        <v>14</v>
      </c>
      <c r="F8936" t="s" s="10">
        <v>14</v>
      </c>
      <c r="G8936" t="s" s="11">
        <v>14</v>
      </c>
      <c r="H8936" t="s" s="10">
        <v>14</v>
      </c>
      <c r="I8936" t="s" s="11">
        <v>14</v>
      </c>
      <c r="J8936" t="s" s="11">
        <v>14</v>
      </c>
      <c r="K8936" t="s" s="12">
        <v>14</v>
      </c>
      <c r="L8936" t="s" s="12">
        <v>14</v>
      </c>
      <c r="M8936" t="s" s="10">
        <v>14</v>
      </c>
      <c r="N8936" t="s" s="11">
        <v>14</v>
      </c>
      <c r="O8936" t="s" s="8">
        <v>14</v>
      </c>
      <c r="P8936" t="s" s="8">
        <v>14</v>
      </c>
      <c r="Q8936" t="s" s="12">
        <v>14</v>
      </c>
      <c r="R8936" t="s" s="12">
        <v>14</v>
      </c>
    </row>
    <row r="8937" s="2" customFormat="1" ht="13.5" customHeight="1">
      <c r="B8937" s="13"/>
      <c r="C8937" t="s" s="9">
        <v>16</v>
      </c>
      <c r="D8937" t="s" s="8">
        <v>3263</v>
      </c>
      <c r="E8937" t="s" s="9">
        <v>3263</v>
      </c>
      <c r="F8937" t="s" s="10">
        <v>72</v>
      </c>
      <c r="G8937" t="s" s="11">
        <v>72</v>
      </c>
      <c r="H8937" t="s" s="10">
        <v>68</v>
      </c>
      <c r="I8937" t="s" s="11">
        <v>68</v>
      </c>
      <c r="J8937" t="s" s="11">
        <v>20</v>
      </c>
      <c r="K8937" t="s" s="16">
        <f>HYPERLINK("http://csr.bu.edu/ftp/asl/asllvd/demos/verify_start_end_handshape_annotations//test_auto_move//signs_mov/15673.mov","MOV")</f>
        <v>21</v>
      </c>
      <c r="L8937" t="s" s="16">
        <f>HYPERLINK("http://csr.bu.edu/ftp/asl/asllvd/demos/verify_start_end_handshape_annotations//test_auto_move//signs_mov_separ_signers/Liz_15673.mov","MOV")</f>
        <v>21</v>
      </c>
      <c r="M8937" t="s" s="10">
        <v>77</v>
      </c>
      <c r="N8937" s="17">
        <v>28</v>
      </c>
      <c r="O8937" s="18">
        <v>1137</v>
      </c>
      <c r="P8937" s="18">
        <v>1196</v>
      </c>
      <c r="Q8937" t="s" s="16">
        <f>HYPERLINK("http://secrets.rutgers.edu:8080/data/asl-ftp/asllvd/demos/verify_start_end_handshape_annotations//test_auto_move//signs_mov/15673.mov","MOV")</f>
        <v>21</v>
      </c>
      <c r="R8937" t="s" s="16">
        <f>HYPERLINK("http://secrets.rutgers.edu:8080/data/asl-ftp/asllvd/demos/verify_start_end_handshape_annotations//test_auto_move//signs_mov_separ_signers/Liz_15673.mov","MOV")</f>
        <v>21</v>
      </c>
    </row>
    <row r="8938" s="2" customFormat="1" ht="13.5" customHeight="1">
      <c r="B8938" t="s" s="8">
        <v>3264</v>
      </c>
      <c r="C8938" t="s" s="9">
        <v>14</v>
      </c>
      <c r="D8938" t="s" s="8">
        <v>14</v>
      </c>
      <c r="E8938" t="s" s="9">
        <v>14</v>
      </c>
      <c r="F8938" t="s" s="10">
        <v>14</v>
      </c>
      <c r="G8938" t="s" s="11">
        <v>14</v>
      </c>
      <c r="H8938" t="s" s="10">
        <v>14</v>
      </c>
      <c r="I8938" t="s" s="11">
        <v>14</v>
      </c>
      <c r="J8938" t="s" s="11">
        <v>14</v>
      </c>
      <c r="K8938" t="s" s="12">
        <v>14</v>
      </c>
      <c r="L8938" t="s" s="12">
        <v>14</v>
      </c>
      <c r="M8938" t="s" s="10">
        <v>14</v>
      </c>
      <c r="N8938" t="s" s="11">
        <v>14</v>
      </c>
      <c r="O8938" t="s" s="8">
        <v>14</v>
      </c>
      <c r="P8938" t="s" s="8">
        <v>14</v>
      </c>
      <c r="Q8938" t="s" s="12">
        <v>14</v>
      </c>
      <c r="R8938" t="s" s="12">
        <v>14</v>
      </c>
    </row>
    <row r="8939" s="2" customFormat="1" ht="13.5" customHeight="1">
      <c r="B8939" s="13"/>
      <c r="C8939" t="s" s="9">
        <v>30</v>
      </c>
      <c r="D8939" t="s" s="8">
        <v>3264</v>
      </c>
      <c r="E8939" t="s" s="9">
        <v>3264</v>
      </c>
      <c r="F8939" t="s" s="10">
        <v>72</v>
      </c>
      <c r="G8939" t="s" s="11">
        <v>72</v>
      </c>
      <c r="H8939" t="s" s="10">
        <v>68</v>
      </c>
      <c r="I8939" t="s" s="11">
        <v>68</v>
      </c>
      <c r="J8939" t="s" s="11">
        <v>20</v>
      </c>
      <c r="K8939" t="s" s="16">
        <f>HYPERLINK("http://csr.bu.edu/ftp/asl/asllvd/demos/verify_start_end_handshape_annotations//test_auto_move//signs_mov/16277.mov","MOV")</f>
        <v>21</v>
      </c>
      <c r="L8939" t="s" s="16">
        <f>HYPERLINK("http://csr.bu.edu/ftp/asl/asllvd/demos/verify_start_end_handshape_annotations//test_auto_move//signs_mov_separ_signers/Brady_16277.mov","MOV")</f>
        <v>21</v>
      </c>
      <c r="M8939" t="s" s="10">
        <v>39</v>
      </c>
      <c r="N8939" s="17">
        <v>16</v>
      </c>
      <c r="O8939" s="18">
        <v>4375</v>
      </c>
      <c r="P8939" s="18">
        <v>4418</v>
      </c>
      <c r="Q8939" t="s" s="16">
        <f>HYPERLINK("http://secrets.rutgers.edu:8080/data/asl-ftp/asllvd/demos/verify_start_end_handshape_annotations//test_auto_move//signs_mov/16277.mov","MOV")</f>
        <v>21</v>
      </c>
      <c r="R8939" t="s" s="16">
        <f>HYPERLINK("http://secrets.rutgers.edu:8080/data/asl-ftp/asllvd/demos/verify_start_end_handshape_annotations//test_auto_move//signs_mov_separ_signers/Brady_16277.mov","MOV")</f>
        <v>21</v>
      </c>
    </row>
    <row r="8940" s="2" customFormat="1" ht="13.5" customHeight="1">
      <c r="B8940" t="s" s="8">
        <v>3265</v>
      </c>
      <c r="C8940" t="s" s="9">
        <v>14</v>
      </c>
      <c r="D8940" t="s" s="8">
        <v>14</v>
      </c>
      <c r="E8940" t="s" s="9">
        <v>14</v>
      </c>
      <c r="F8940" t="s" s="10">
        <v>14</v>
      </c>
      <c r="G8940" t="s" s="11">
        <v>14</v>
      </c>
      <c r="H8940" t="s" s="10">
        <v>14</v>
      </c>
      <c r="I8940" t="s" s="11">
        <v>14</v>
      </c>
      <c r="J8940" t="s" s="11">
        <v>14</v>
      </c>
      <c r="K8940" t="s" s="12">
        <v>14</v>
      </c>
      <c r="L8940" t="s" s="12">
        <v>14</v>
      </c>
      <c r="M8940" t="s" s="10">
        <v>14</v>
      </c>
      <c r="N8940" t="s" s="11">
        <v>14</v>
      </c>
      <c r="O8940" t="s" s="8">
        <v>14</v>
      </c>
      <c r="P8940" t="s" s="8">
        <v>14</v>
      </c>
      <c r="Q8940" t="s" s="12">
        <v>14</v>
      </c>
      <c r="R8940" t="s" s="12">
        <v>14</v>
      </c>
    </row>
    <row r="8941" s="2" customFormat="1" ht="13.5" customHeight="1">
      <c r="B8941" s="13"/>
      <c r="C8941" t="s" s="9">
        <v>16</v>
      </c>
      <c r="D8941" t="s" s="8">
        <v>3265</v>
      </c>
      <c r="E8941" t="s" s="9">
        <v>3266</v>
      </c>
      <c r="F8941" t="s" s="10">
        <v>268</v>
      </c>
      <c r="G8941" s="14"/>
      <c r="H8941" t="s" s="10">
        <v>70</v>
      </c>
      <c r="I8941" s="14"/>
      <c r="J8941" t="s" s="11">
        <v>20</v>
      </c>
      <c r="K8941" t="s" s="16">
        <f>HYPERLINK("http://csr.bu.edu/ftp/asl/asllvd/demos/verify_start_end_handshape_annotations//test_auto_move//signs_mov/2476.mov","MOV")</f>
        <v>21</v>
      </c>
      <c r="L8941" t="s" s="16">
        <f>HYPERLINK("http://csr.bu.edu/ftp/asl/asllvd/demos/verify_start_end_handshape_annotations//test_auto_move//signs_mov_separ_signers/Liz_2476.mov","MOV")</f>
        <v>21</v>
      </c>
      <c r="M8941" t="s" s="10">
        <v>36</v>
      </c>
      <c r="N8941" s="17">
        <v>52</v>
      </c>
      <c r="O8941" s="18">
        <v>2045</v>
      </c>
      <c r="P8941" s="18">
        <v>2072</v>
      </c>
      <c r="Q8941" t="s" s="16">
        <f>HYPERLINK("http://secrets.rutgers.edu:8080/data/asl-ftp/asllvd/demos/verify_start_end_handshape_annotations//test_auto_move//signs_mov/2476.mov","MOV")</f>
        <v>21</v>
      </c>
      <c r="R8941" t="s" s="16">
        <f>HYPERLINK("http://secrets.rutgers.edu:8080/data/asl-ftp/asllvd/demos/verify_start_end_handshape_annotations//test_auto_move//signs_mov_separ_signers/Liz_2476.mov","MOV")</f>
        <v>21</v>
      </c>
    </row>
    <row r="8942" s="2" customFormat="1" ht="13.5" customHeight="1">
      <c r="B8942" s="13"/>
      <c r="C8942" t="s" s="9">
        <v>30</v>
      </c>
      <c r="D8942" t="s" s="8">
        <v>3265</v>
      </c>
      <c r="E8942" t="s" s="9">
        <v>3266</v>
      </c>
      <c r="F8942" s="19">
        <v>1</v>
      </c>
      <c r="G8942" s="14"/>
      <c r="H8942" t="s" s="10">
        <v>70</v>
      </c>
      <c r="I8942" s="14"/>
      <c r="J8942" t="s" s="11">
        <v>20</v>
      </c>
      <c r="K8942" s="15"/>
      <c r="L8942" t="s" s="16">
        <f>HYPERLINK("http://csr.bu.edu/ftp/asl/asllvd/demos/verify_start_end_handshape_annotations//test_auto_move//signs_mov_separ_signers/Brady_2476.mov","MOV")</f>
        <v>21</v>
      </c>
      <c r="M8942" t="s" s="10">
        <v>40</v>
      </c>
      <c r="N8942" s="17">
        <v>104</v>
      </c>
      <c r="O8942" s="18">
        <v>516</v>
      </c>
      <c r="P8942" s="18">
        <v>541</v>
      </c>
      <c r="Q8942" s="15"/>
      <c r="R8942" t="s" s="16">
        <f>HYPERLINK("http://secrets.rutgers.edu:8080/data/asl-ftp/asllvd/demos/verify_start_end_handshape_annotations//test_auto_move//signs_mov_separ_signers/Brady_2476.mov","MOV")</f>
        <v>21</v>
      </c>
    </row>
    <row r="8943" s="2" customFormat="1" ht="13.5" customHeight="1">
      <c r="B8943" t="s" s="8">
        <v>3267</v>
      </c>
      <c r="C8943" t="s" s="9">
        <v>14</v>
      </c>
      <c r="D8943" t="s" s="8">
        <v>14</v>
      </c>
      <c r="E8943" t="s" s="9">
        <v>14</v>
      </c>
      <c r="F8943" t="s" s="10">
        <v>14</v>
      </c>
      <c r="G8943" t="s" s="11">
        <v>14</v>
      </c>
      <c r="H8943" t="s" s="10">
        <v>14</v>
      </c>
      <c r="I8943" t="s" s="11">
        <v>14</v>
      </c>
      <c r="J8943" t="s" s="11">
        <v>14</v>
      </c>
      <c r="K8943" t="s" s="12">
        <v>14</v>
      </c>
      <c r="L8943" t="s" s="12">
        <v>14</v>
      </c>
      <c r="M8943" t="s" s="10">
        <v>14</v>
      </c>
      <c r="N8943" t="s" s="11">
        <v>14</v>
      </c>
      <c r="O8943" t="s" s="8">
        <v>14</v>
      </c>
      <c r="P8943" t="s" s="8">
        <v>14</v>
      </c>
      <c r="Q8943" t="s" s="12">
        <v>14</v>
      </c>
      <c r="R8943" t="s" s="12">
        <v>14</v>
      </c>
    </row>
    <row r="8944" s="2" customFormat="1" ht="13.5" customHeight="1">
      <c r="B8944" s="13"/>
      <c r="C8944" t="s" s="9">
        <v>16</v>
      </c>
      <c r="D8944" t="s" s="8">
        <v>3267</v>
      </c>
      <c r="E8944" t="s" s="9">
        <v>3267</v>
      </c>
      <c r="F8944" t="s" s="10">
        <v>73</v>
      </c>
      <c r="G8944" t="s" s="11">
        <v>68</v>
      </c>
      <c r="H8944" s="19">
        <v>10</v>
      </c>
      <c r="I8944" t="s" s="11">
        <v>68</v>
      </c>
      <c r="J8944" t="s" s="11">
        <v>20</v>
      </c>
      <c r="K8944" t="s" s="16">
        <f>HYPERLINK("http://csr.bu.edu/ftp/asl/asllvd/demos/verify_start_end_handshape_annotations//test_auto_move//signs_mov/2477.mov","MOV")</f>
        <v>21</v>
      </c>
      <c r="L8944" t="s" s="16">
        <f>HYPERLINK("http://csr.bu.edu/ftp/asl/asllvd/demos/verify_start_end_handshape_annotations//test_auto_move//signs_mov_separ_signers/Liz_2477.mov","MOV")</f>
        <v>21</v>
      </c>
      <c r="M8944" t="s" s="10">
        <v>36</v>
      </c>
      <c r="N8944" s="17">
        <v>52</v>
      </c>
      <c r="O8944" s="18">
        <v>2355</v>
      </c>
      <c r="P8944" s="18">
        <v>2390</v>
      </c>
      <c r="Q8944" t="s" s="16">
        <f>HYPERLINK("http://secrets.rutgers.edu:8080/data/asl-ftp/asllvd/demos/verify_start_end_handshape_annotations//test_auto_move//signs_mov/2477.mov","MOV")</f>
        <v>21</v>
      </c>
      <c r="R8944" t="s" s="16">
        <f>HYPERLINK("http://secrets.rutgers.edu:8080/data/asl-ftp/asllvd/demos/verify_start_end_handshape_annotations//test_auto_move//signs_mov_separ_signers/Liz_2477.mov","MOV")</f>
        <v>21</v>
      </c>
    </row>
    <row r="8945" s="2" customFormat="1" ht="13.5" customHeight="1">
      <c r="B8945" s="13"/>
      <c r="C8945" t="s" s="9">
        <v>30</v>
      </c>
      <c r="D8945" t="s" s="8">
        <v>3267</v>
      </c>
      <c r="E8945" t="s" s="9">
        <v>3267</v>
      </c>
      <c r="F8945" t="s" s="10">
        <v>73</v>
      </c>
      <c r="G8945" t="s" s="11">
        <v>68</v>
      </c>
      <c r="H8945" t="s" s="10">
        <v>63</v>
      </c>
      <c r="I8945" t="s" s="11">
        <v>68</v>
      </c>
      <c r="J8945" t="s" s="11">
        <v>20</v>
      </c>
      <c r="K8945" s="15"/>
      <c r="L8945" t="s" s="16">
        <f>HYPERLINK("http://csr.bu.edu/ftp/asl/asllvd/demos/verify_start_end_handshape_annotations//test_auto_move//signs_mov_separ_signers/Brady_2477.mov","MOV")</f>
        <v>21</v>
      </c>
      <c r="M8945" t="s" s="10">
        <v>40</v>
      </c>
      <c r="N8945" s="17">
        <v>104</v>
      </c>
      <c r="O8945" s="18">
        <v>742</v>
      </c>
      <c r="P8945" s="18">
        <v>756</v>
      </c>
      <c r="Q8945" s="15"/>
      <c r="R8945" t="s" s="16">
        <f>HYPERLINK("http://secrets.rutgers.edu:8080/data/asl-ftp/asllvd/demos/verify_start_end_handshape_annotations//test_auto_move//signs_mov_separ_signers/Brady_2477.mov","MOV")</f>
        <v>21</v>
      </c>
    </row>
    <row r="8946" s="2" customFormat="1" ht="13.5" customHeight="1">
      <c r="B8946" t="s" s="8">
        <v>3268</v>
      </c>
      <c r="C8946" t="s" s="9">
        <v>14</v>
      </c>
      <c r="D8946" t="s" s="8">
        <v>14</v>
      </c>
      <c r="E8946" t="s" s="9">
        <v>14</v>
      </c>
      <c r="F8946" t="s" s="10">
        <v>14</v>
      </c>
      <c r="G8946" t="s" s="11">
        <v>14</v>
      </c>
      <c r="H8946" t="s" s="10">
        <v>14</v>
      </c>
      <c r="I8946" t="s" s="11">
        <v>14</v>
      </c>
      <c r="J8946" t="s" s="11">
        <v>14</v>
      </c>
      <c r="K8946" t="s" s="12">
        <v>14</v>
      </c>
      <c r="L8946" t="s" s="12">
        <v>14</v>
      </c>
      <c r="M8946" t="s" s="10">
        <v>14</v>
      </c>
      <c r="N8946" t="s" s="11">
        <v>14</v>
      </c>
      <c r="O8946" t="s" s="8">
        <v>14</v>
      </c>
      <c r="P8946" t="s" s="8">
        <v>14</v>
      </c>
      <c r="Q8946" t="s" s="12">
        <v>14</v>
      </c>
      <c r="R8946" t="s" s="12">
        <v>14</v>
      </c>
    </row>
    <row r="8947" s="2" customFormat="1" ht="13.5" customHeight="1">
      <c r="B8947" s="13"/>
      <c r="C8947" t="s" s="9">
        <v>16</v>
      </c>
      <c r="D8947" t="s" s="8">
        <v>3268</v>
      </c>
      <c r="E8947" t="s" s="9">
        <v>3269</v>
      </c>
      <c r="F8947" t="s" s="10">
        <v>73</v>
      </c>
      <c r="G8947" t="s" s="11">
        <v>105</v>
      </c>
      <c r="H8947" t="s" s="10">
        <v>73</v>
      </c>
      <c r="I8947" t="s" s="11">
        <v>105</v>
      </c>
      <c r="J8947" t="s" s="11">
        <v>20</v>
      </c>
      <c r="K8947" s="15"/>
      <c r="L8947" t="s" s="16">
        <f>HYPERLINK("http://csr.bu.edu/ftp/asl/asllvd/demos/verify_start_end_handshape_annotations//test_auto_move//signs_mov_separ_signers/Liz_15566.mov","MOV")</f>
        <v>21</v>
      </c>
      <c r="M8947" t="s" s="10">
        <v>59</v>
      </c>
      <c r="N8947" s="17">
        <v>35</v>
      </c>
      <c r="O8947" s="18">
        <v>1780</v>
      </c>
      <c r="P8947" s="18">
        <v>1821</v>
      </c>
      <c r="Q8947" s="15"/>
      <c r="R8947" t="s" s="16">
        <f>HYPERLINK("http://secrets.rutgers.edu:8080/data/asl-ftp/asllvd/demos/verify_start_end_handshape_annotations//test_auto_move//signs_mov_separ_signers/Liz_15566.mov","MOV")</f>
        <v>21</v>
      </c>
    </row>
    <row r="8948" s="2" customFormat="1" ht="13.5" customHeight="1">
      <c r="B8948" s="13"/>
      <c r="C8948" t="s" s="9">
        <v>16</v>
      </c>
      <c r="D8948" t="s" s="8">
        <v>3268</v>
      </c>
      <c r="E8948" t="s" s="9">
        <v>3269</v>
      </c>
      <c r="F8948" t="s" s="10">
        <v>73</v>
      </c>
      <c r="G8948" t="s" s="11">
        <v>63</v>
      </c>
      <c r="H8948" t="s" s="10">
        <v>73</v>
      </c>
      <c r="I8948" t="s" s="11">
        <v>63</v>
      </c>
      <c r="J8948" t="s" s="11">
        <v>20</v>
      </c>
      <c r="K8948" t="s" s="16">
        <f>HYPERLINK("http://csr.bu.edu/ftp/asl/asllvd/demos/verify_start_end_handshape_annotations//test_auto_move//signs_mov/15566_15570_merged.mov","MOV")</f>
        <v>21</v>
      </c>
      <c r="L8948" t="s" s="16">
        <f>HYPERLINK("http://csr.bu.edu/ftp/asl/asllvd/demos/verify_start_end_handshape_annotations//test_auto_move//signs_mov_separ_signers/Liz_15570.mov","MOV")</f>
        <v>21</v>
      </c>
      <c r="M8948" t="s" s="10">
        <v>77</v>
      </c>
      <c r="N8948" s="17">
        <v>25</v>
      </c>
      <c r="O8948" s="18">
        <v>2280</v>
      </c>
      <c r="P8948" s="18">
        <v>2335</v>
      </c>
      <c r="Q8948" t="s" s="16">
        <f>HYPERLINK("http://secrets.rutgers.edu:8080/data/asl-ftp/asllvd/demos/verify_start_end_handshape_annotations//test_auto_move//signs_mov/15566_15570_merged.mov","MOV")</f>
        <v>21</v>
      </c>
      <c r="R8948" t="s" s="16">
        <f>HYPERLINK("http://secrets.rutgers.edu:8080/data/asl-ftp/asllvd/demos/verify_start_end_handshape_annotations//test_auto_move//signs_mov_separ_signers/Liz_15570.mov","MOV")</f>
        <v>21</v>
      </c>
    </row>
    <row r="8949" s="2" customFormat="1" ht="13.5" customHeight="1">
      <c r="B8949" s="13"/>
      <c r="C8949" t="s" s="9">
        <v>30</v>
      </c>
      <c r="D8949" t="s" s="8">
        <v>3268</v>
      </c>
      <c r="E8949" t="s" s="9">
        <v>3269</v>
      </c>
      <c r="F8949" t="s" s="10">
        <v>73</v>
      </c>
      <c r="G8949" t="s" s="11">
        <v>63</v>
      </c>
      <c r="H8949" t="s" s="10">
        <v>73</v>
      </c>
      <c r="I8949" t="s" s="11">
        <v>63</v>
      </c>
      <c r="J8949" t="s" s="11">
        <v>20</v>
      </c>
      <c r="K8949" s="15"/>
      <c r="L8949" t="s" s="16">
        <f>HYPERLINK("http://csr.bu.edu/ftp/asl/asllvd/demos/verify_start_end_handshape_annotations//test_auto_move//signs_mov_separ_signers/Brady_15566.mov","MOV")</f>
        <v>21</v>
      </c>
      <c r="M8949" t="s" s="10">
        <v>31</v>
      </c>
      <c r="N8949" s="17">
        <v>26</v>
      </c>
      <c r="O8949" s="18">
        <v>2570</v>
      </c>
      <c r="P8949" s="18">
        <v>2600</v>
      </c>
      <c r="Q8949" s="15"/>
      <c r="R8949" t="s" s="16">
        <f>HYPERLINK("http://secrets.rutgers.edu:8080/data/asl-ftp/asllvd/demos/verify_start_end_handshape_annotations//test_auto_move//signs_mov_separ_signers/Brady_15566.mov","MOV")</f>
        <v>21</v>
      </c>
    </row>
    <row r="8950" s="2" customFormat="1" ht="13.5" customHeight="1">
      <c r="B8950" s="13"/>
      <c r="C8950" t="s" s="9">
        <v>30</v>
      </c>
      <c r="D8950" t="s" s="8">
        <v>3268</v>
      </c>
      <c r="E8950" t="s" s="9">
        <v>3269</v>
      </c>
      <c r="F8950" t="s" s="10">
        <v>73</v>
      </c>
      <c r="G8950" t="s" s="11">
        <v>105</v>
      </c>
      <c r="H8950" t="s" s="10">
        <v>73</v>
      </c>
      <c r="I8950" t="s" s="11">
        <v>105</v>
      </c>
      <c r="J8950" t="s" s="11">
        <v>20</v>
      </c>
      <c r="K8950" s="15"/>
      <c r="L8950" t="s" s="16">
        <f>HYPERLINK("http://csr.bu.edu/ftp/asl/asllvd/demos/verify_start_end_handshape_annotations//test_auto_move//signs_mov_separ_signers/Brady_15570.mov","MOV")</f>
        <v>21</v>
      </c>
      <c r="M8950" t="s" s="10">
        <v>60</v>
      </c>
      <c r="N8950" s="17">
        <v>23</v>
      </c>
      <c r="O8950" s="18">
        <v>1700</v>
      </c>
      <c r="P8950" s="18">
        <v>1742</v>
      </c>
      <c r="Q8950" s="15"/>
      <c r="R8950" t="s" s="16">
        <f>HYPERLINK("http://secrets.rutgers.edu:8080/data/asl-ftp/asllvd/demos/verify_start_end_handshape_annotations//test_auto_move//signs_mov_separ_signers/Brady_15570.mov","MOV")</f>
        <v>21</v>
      </c>
    </row>
    <row r="8951" s="2" customFormat="1" ht="13.5" customHeight="1">
      <c r="B8951" t="s" s="8">
        <v>3270</v>
      </c>
      <c r="C8951" t="s" s="9">
        <v>14</v>
      </c>
      <c r="D8951" t="s" s="8">
        <v>14</v>
      </c>
      <c r="E8951" t="s" s="9">
        <v>14</v>
      </c>
      <c r="F8951" t="s" s="10">
        <v>14</v>
      </c>
      <c r="G8951" t="s" s="11">
        <v>14</v>
      </c>
      <c r="H8951" t="s" s="10">
        <v>14</v>
      </c>
      <c r="I8951" t="s" s="11">
        <v>14</v>
      </c>
      <c r="J8951" t="s" s="11">
        <v>14</v>
      </c>
      <c r="K8951" t="s" s="12">
        <v>14</v>
      </c>
      <c r="L8951" t="s" s="12">
        <v>14</v>
      </c>
      <c r="M8951" t="s" s="10">
        <v>14</v>
      </c>
      <c r="N8951" t="s" s="11">
        <v>14</v>
      </c>
      <c r="O8951" t="s" s="8">
        <v>14</v>
      </c>
      <c r="P8951" t="s" s="8">
        <v>14</v>
      </c>
      <c r="Q8951" t="s" s="12">
        <v>14</v>
      </c>
      <c r="R8951" t="s" s="12">
        <v>14</v>
      </c>
    </row>
    <row r="8952" s="2" customFormat="1" ht="13.5" customHeight="1">
      <c r="B8952" s="13"/>
      <c r="C8952" t="s" s="9">
        <v>16</v>
      </c>
      <c r="D8952" t="s" s="8">
        <v>3270</v>
      </c>
      <c r="E8952" t="s" s="9">
        <v>3271</v>
      </c>
      <c r="F8952" t="s" s="10">
        <v>73</v>
      </c>
      <c r="G8952" t="s" s="11">
        <v>105</v>
      </c>
      <c r="H8952" t="s" s="10">
        <v>73</v>
      </c>
      <c r="I8952" t="s" s="11">
        <v>105</v>
      </c>
      <c r="J8952" t="s" s="11">
        <v>20</v>
      </c>
      <c r="K8952" t="s" s="16">
        <f>HYPERLINK("http://csr.bu.edu/ftp/asl/asllvd/demos/verify_start_end_handshape_annotations//test_auto_move//signs_mov/16065.mov","MOV")</f>
        <v>21</v>
      </c>
      <c r="L8952" t="s" s="16">
        <f>HYPERLINK("http://csr.bu.edu/ftp/asl/asllvd/demos/verify_start_end_handshape_annotations//test_auto_move//signs_mov_separ_signers/Liz_16065.mov","MOV")</f>
        <v>21</v>
      </c>
      <c r="M8952" t="s" s="10">
        <v>88</v>
      </c>
      <c r="N8952" s="17">
        <v>15</v>
      </c>
      <c r="O8952" s="18">
        <v>1785</v>
      </c>
      <c r="P8952" s="18">
        <v>1855</v>
      </c>
      <c r="Q8952" t="s" s="16">
        <f>HYPERLINK("http://secrets.rutgers.edu:8080/data/asl-ftp/asllvd/demos/verify_start_end_handshape_annotations//test_auto_move//signs_mov/16065.mov","MOV")</f>
        <v>21</v>
      </c>
      <c r="R8952" t="s" s="16">
        <f>HYPERLINK("http://secrets.rutgers.edu:8080/data/asl-ftp/asllvd/demos/verify_start_end_handshape_annotations//test_auto_move//signs_mov_separ_signers/Liz_16065.mov","MOV")</f>
        <v>21</v>
      </c>
    </row>
    <row r="8953" s="2" customFormat="1" ht="13.5" customHeight="1">
      <c r="B8953" t="s" s="8">
        <v>3272</v>
      </c>
      <c r="C8953" t="s" s="9">
        <v>14</v>
      </c>
      <c r="D8953" t="s" s="8">
        <v>14</v>
      </c>
      <c r="E8953" t="s" s="9">
        <v>14</v>
      </c>
      <c r="F8953" t="s" s="10">
        <v>14</v>
      </c>
      <c r="G8953" t="s" s="11">
        <v>14</v>
      </c>
      <c r="H8953" t="s" s="10">
        <v>14</v>
      </c>
      <c r="I8953" t="s" s="11">
        <v>14</v>
      </c>
      <c r="J8953" t="s" s="11">
        <v>14</v>
      </c>
      <c r="K8953" t="s" s="12">
        <v>14</v>
      </c>
      <c r="L8953" t="s" s="12">
        <v>14</v>
      </c>
      <c r="M8953" t="s" s="10">
        <v>14</v>
      </c>
      <c r="N8953" t="s" s="11">
        <v>14</v>
      </c>
      <c r="O8953" t="s" s="8">
        <v>14</v>
      </c>
      <c r="P8953" t="s" s="8">
        <v>14</v>
      </c>
      <c r="Q8953" t="s" s="12">
        <v>14</v>
      </c>
      <c r="R8953" t="s" s="12">
        <v>14</v>
      </c>
    </row>
    <row r="8954" s="2" customFormat="1" ht="13.5" customHeight="1">
      <c r="B8954" s="13"/>
      <c r="C8954" t="s" s="9">
        <v>16</v>
      </c>
      <c r="D8954" t="s" s="8">
        <v>3272</v>
      </c>
      <c r="E8954" t="s" s="9">
        <v>3273</v>
      </c>
      <c r="F8954" t="s" s="10">
        <v>73</v>
      </c>
      <c r="G8954" t="s" s="11">
        <v>55</v>
      </c>
      <c r="H8954" t="s" s="10">
        <v>73</v>
      </c>
      <c r="I8954" t="s" s="11">
        <v>55</v>
      </c>
      <c r="J8954" t="s" s="11">
        <v>20</v>
      </c>
      <c r="K8954" s="15"/>
      <c r="L8954" t="s" s="16">
        <f>HYPERLINK("http://csr.bu.edu/ftp/asl/asllvd/demos/verify_start_end_handshape_annotations//test_auto_move//signs_mov_separ_signers/Liz_16314.mov","MOV")</f>
        <v>21</v>
      </c>
      <c r="M8954" t="s" s="10">
        <v>36</v>
      </c>
      <c r="N8954" s="17">
        <v>54</v>
      </c>
      <c r="O8954" s="18">
        <v>385</v>
      </c>
      <c r="P8954" s="18">
        <v>450</v>
      </c>
      <c r="Q8954" s="15"/>
      <c r="R8954" t="s" s="16">
        <f>HYPERLINK("http://secrets.rutgers.edu:8080/data/asl-ftp/asllvd/demos/verify_start_end_handshape_annotations//test_auto_move//signs_mov_separ_signers/Liz_16314.mov","MOV")</f>
        <v>21</v>
      </c>
    </row>
    <row r="8955" s="2" customFormat="1" ht="13.5" customHeight="1">
      <c r="B8955" s="13"/>
      <c r="C8955" t="s" s="9">
        <v>23</v>
      </c>
      <c r="D8955" t="s" s="8">
        <v>3272</v>
      </c>
      <c r="E8955" t="s" s="9">
        <v>3273</v>
      </c>
      <c r="F8955" t="s" s="10">
        <v>109</v>
      </c>
      <c r="G8955" t="s" s="11">
        <v>55</v>
      </c>
      <c r="H8955" t="s" s="10">
        <v>109</v>
      </c>
      <c r="I8955" t="s" s="11">
        <v>55</v>
      </c>
      <c r="J8955" t="s" s="11">
        <v>20</v>
      </c>
      <c r="K8955" t="s" s="16">
        <f>HYPERLINK("http://csr.bu.edu/ftp/asl/asllvd/demos/verify_start_end_handshape_annotations//test_auto_move//signs_mov/16314.mov","MOV")</f>
        <v>21</v>
      </c>
      <c r="L8955" t="s" s="16">
        <f>HYPERLINK("http://csr.bu.edu/ftp/asl/asllvd/demos/verify_start_end_handshape_annotations//test_auto_move//signs_mov_separ_signers/Tyler_16314.mov","MOV")</f>
        <v>21</v>
      </c>
      <c r="M8955" t="s" s="10">
        <v>26</v>
      </c>
      <c r="N8955" s="17">
        <v>21</v>
      </c>
      <c r="O8955" s="18">
        <v>965</v>
      </c>
      <c r="P8955" s="18">
        <v>1037</v>
      </c>
      <c r="Q8955" t="s" s="16">
        <f>HYPERLINK("http://secrets.rutgers.edu:8080/data/asl-ftp/asllvd/demos/verify_start_end_handshape_annotations//test_auto_move//signs_mov/16314.mov","MOV")</f>
        <v>21</v>
      </c>
      <c r="R8955" t="s" s="16">
        <f>HYPERLINK("http://secrets.rutgers.edu:8080/data/asl-ftp/asllvd/demos/verify_start_end_handshape_annotations//test_auto_move//signs_mov_separ_signers/Tyler_16314.mov","MOV")</f>
        <v>21</v>
      </c>
    </row>
    <row r="8956" s="2" customFormat="1" ht="13.5" customHeight="1">
      <c r="B8956" s="13"/>
      <c r="C8956" t="s" s="9">
        <v>30</v>
      </c>
      <c r="D8956" t="s" s="8">
        <v>3272</v>
      </c>
      <c r="E8956" t="s" s="9">
        <v>3273</v>
      </c>
      <c r="F8956" t="s" s="10">
        <v>73</v>
      </c>
      <c r="G8956" t="s" s="11">
        <v>73</v>
      </c>
      <c r="H8956" t="s" s="10">
        <v>73</v>
      </c>
      <c r="I8956" t="s" s="11">
        <v>73</v>
      </c>
      <c r="J8956" t="s" s="11">
        <v>20</v>
      </c>
      <c r="K8956" s="15"/>
      <c r="L8956" t="s" s="16">
        <f>HYPERLINK("http://csr.bu.edu/ftp/asl/asllvd/demos/verify_start_end_handshape_annotations//test_auto_move//signs_mov_separ_signers/Brady_16314.mov","MOV")</f>
        <v>21</v>
      </c>
      <c r="M8956" t="s" s="10">
        <v>40</v>
      </c>
      <c r="N8956" s="17">
        <v>105</v>
      </c>
      <c r="O8956" s="18">
        <v>3009</v>
      </c>
      <c r="P8956" s="18">
        <v>3053</v>
      </c>
      <c r="Q8956" s="15"/>
      <c r="R8956" t="s" s="16">
        <f>HYPERLINK("http://secrets.rutgers.edu:8080/data/asl-ftp/asllvd/demos/verify_start_end_handshape_annotations//test_auto_move//signs_mov_separ_signers/Brady_16314.mov","MOV")</f>
        <v>21</v>
      </c>
    </row>
    <row r="8957" s="2" customFormat="1" ht="13.5" customHeight="1">
      <c r="B8957" t="s" s="8">
        <v>3274</v>
      </c>
      <c r="C8957" t="s" s="9">
        <v>14</v>
      </c>
      <c r="D8957" t="s" s="8">
        <v>14</v>
      </c>
      <c r="E8957" t="s" s="9">
        <v>14</v>
      </c>
      <c r="F8957" t="s" s="10">
        <v>14</v>
      </c>
      <c r="G8957" t="s" s="11">
        <v>14</v>
      </c>
      <c r="H8957" t="s" s="10">
        <v>14</v>
      </c>
      <c r="I8957" t="s" s="11">
        <v>14</v>
      </c>
      <c r="J8957" t="s" s="11">
        <v>14</v>
      </c>
      <c r="K8957" t="s" s="12">
        <v>14</v>
      </c>
      <c r="L8957" t="s" s="12">
        <v>14</v>
      </c>
      <c r="M8957" t="s" s="10">
        <v>14</v>
      </c>
      <c r="N8957" t="s" s="11">
        <v>14</v>
      </c>
      <c r="O8957" t="s" s="8">
        <v>14</v>
      </c>
      <c r="P8957" t="s" s="8">
        <v>14</v>
      </c>
      <c r="Q8957" t="s" s="12">
        <v>14</v>
      </c>
      <c r="R8957" t="s" s="12">
        <v>14</v>
      </c>
    </row>
    <row r="8958" s="2" customFormat="1" ht="13.5" customHeight="1">
      <c r="B8958" s="13"/>
      <c r="C8958" t="s" s="9">
        <v>16</v>
      </c>
      <c r="D8958" t="s" s="8">
        <v>3274</v>
      </c>
      <c r="E8958" t="s" s="9">
        <v>3274</v>
      </c>
      <c r="F8958" t="s" s="10">
        <v>150</v>
      </c>
      <c r="G8958" t="s" s="11">
        <v>109</v>
      </c>
      <c r="H8958" t="s" s="10">
        <v>150</v>
      </c>
      <c r="I8958" t="s" s="11">
        <v>260</v>
      </c>
      <c r="J8958" t="s" s="11">
        <v>20</v>
      </c>
      <c r="K8958" t="s" s="16">
        <f>HYPERLINK("http://csr.bu.edu/ftp/asl/asllvd/demos/verify_start_end_handshape_annotations//test_auto_move//signs_mov/16315.mov","MOV")</f>
        <v>21</v>
      </c>
      <c r="L8958" t="s" s="16">
        <f>HYPERLINK("http://csr.bu.edu/ftp/asl/asllvd/demos/verify_start_end_handshape_annotations//test_auto_move//signs_mov_separ_signers/Liz_16315.mov","MOV")</f>
        <v>21</v>
      </c>
      <c r="M8958" t="s" s="10">
        <v>36</v>
      </c>
      <c r="N8958" s="17">
        <v>36</v>
      </c>
      <c r="O8958" s="18">
        <v>1535</v>
      </c>
      <c r="P8958" s="18">
        <v>1560</v>
      </c>
      <c r="Q8958" t="s" s="16">
        <f>HYPERLINK("http://secrets.rutgers.edu:8080/data/asl-ftp/asllvd/demos/verify_start_end_handshape_annotations//test_auto_move//signs_mov/16315.mov","MOV")</f>
        <v>21</v>
      </c>
      <c r="R8958" t="s" s="16">
        <f>HYPERLINK("http://secrets.rutgers.edu:8080/data/asl-ftp/asllvd/demos/verify_start_end_handshape_annotations//test_auto_move//signs_mov_separ_signers/Liz_16315.mov","MOV")</f>
        <v>21</v>
      </c>
    </row>
    <row r="8959" s="2" customFormat="1" ht="13.5" customHeight="1">
      <c r="B8959" s="13"/>
      <c r="C8959" t="s" s="9">
        <v>30</v>
      </c>
      <c r="D8959" t="s" s="8">
        <v>3274</v>
      </c>
      <c r="E8959" t="s" s="9">
        <v>3274</v>
      </c>
      <c r="F8959" t="s" s="10">
        <v>85</v>
      </c>
      <c r="G8959" t="s" s="11">
        <v>85</v>
      </c>
      <c r="H8959" t="s" s="10">
        <v>85</v>
      </c>
      <c r="I8959" t="s" s="11">
        <v>85</v>
      </c>
      <c r="J8959" t="s" s="11">
        <v>20</v>
      </c>
      <c r="K8959" s="15"/>
      <c r="L8959" t="s" s="16">
        <f>HYPERLINK("http://csr.bu.edu/ftp/asl/asllvd/demos/verify_start_end_handshape_annotations//test_auto_move//signs_mov_separ_signers/Brady_16315.mov","MOV")</f>
        <v>21</v>
      </c>
      <c r="M8959" t="s" s="10">
        <v>40</v>
      </c>
      <c r="N8959" s="17">
        <v>88</v>
      </c>
      <c r="O8959" s="18">
        <v>1964</v>
      </c>
      <c r="P8959" s="18">
        <v>1975</v>
      </c>
      <c r="Q8959" s="15"/>
      <c r="R8959" t="s" s="16">
        <f>HYPERLINK("http://secrets.rutgers.edu:8080/data/asl-ftp/asllvd/demos/verify_start_end_handshape_annotations//test_auto_move//signs_mov_separ_signers/Brady_16315.mov","MOV")</f>
        <v>21</v>
      </c>
    </row>
    <row r="8960" s="2" customFormat="1" ht="13.5" customHeight="1">
      <c r="B8960" t="s" s="8">
        <v>3275</v>
      </c>
      <c r="C8960" t="s" s="9">
        <v>14</v>
      </c>
      <c r="D8960" t="s" s="8">
        <v>14</v>
      </c>
      <c r="E8960" t="s" s="9">
        <v>14</v>
      </c>
      <c r="F8960" t="s" s="10">
        <v>14</v>
      </c>
      <c r="G8960" t="s" s="11">
        <v>14</v>
      </c>
      <c r="H8960" t="s" s="10">
        <v>14</v>
      </c>
      <c r="I8960" t="s" s="11">
        <v>14</v>
      </c>
      <c r="J8960" t="s" s="11">
        <v>14</v>
      </c>
      <c r="K8960" t="s" s="12">
        <v>14</v>
      </c>
      <c r="L8960" t="s" s="12">
        <v>14</v>
      </c>
      <c r="M8960" t="s" s="10">
        <v>14</v>
      </c>
      <c r="N8960" t="s" s="11">
        <v>14</v>
      </c>
      <c r="O8960" t="s" s="8">
        <v>14</v>
      </c>
      <c r="P8960" t="s" s="8">
        <v>14</v>
      </c>
      <c r="Q8960" t="s" s="12">
        <v>14</v>
      </c>
      <c r="R8960" t="s" s="12">
        <v>14</v>
      </c>
    </row>
    <row r="8961" s="2" customFormat="1" ht="13.5" customHeight="1">
      <c r="B8961" s="13"/>
      <c r="C8961" t="s" s="9">
        <v>30</v>
      </c>
      <c r="D8961" t="s" s="8">
        <v>3275</v>
      </c>
      <c r="E8961" t="s" s="9">
        <v>3275</v>
      </c>
      <c r="F8961" t="s" s="10">
        <v>119</v>
      </c>
      <c r="G8961" s="14"/>
      <c r="H8961" s="19">
        <v>5</v>
      </c>
      <c r="I8961" s="14"/>
      <c r="J8961" t="s" s="11">
        <v>20</v>
      </c>
      <c r="K8961" t="s" s="16">
        <f>HYPERLINK("http://csr.bu.edu/ftp/asl/asllvd/demos/verify_start_end_handshape_annotations//test_auto_move//signs_mov/2479.mov","MOV")</f>
        <v>21</v>
      </c>
      <c r="L8961" t="s" s="16">
        <f>HYPERLINK("http://csr.bu.edu/ftp/asl/asllvd/demos/verify_start_end_handshape_annotations//test_auto_move//signs_mov_separ_signers/Brady_2479.mov","MOV")</f>
        <v>21</v>
      </c>
      <c r="M8961" t="s" s="10">
        <v>40</v>
      </c>
      <c r="N8961" s="17">
        <v>104</v>
      </c>
      <c r="O8961" s="18">
        <v>1195</v>
      </c>
      <c r="P8961" s="18">
        <v>1223</v>
      </c>
      <c r="Q8961" t="s" s="16">
        <f>HYPERLINK("http://secrets.rutgers.edu:8080/data/asl-ftp/asllvd/demos/verify_start_end_handshape_annotations//test_auto_move//signs_mov/2479.mov","MOV")</f>
        <v>21</v>
      </c>
      <c r="R8961" t="s" s="16">
        <f>HYPERLINK("http://secrets.rutgers.edu:8080/data/asl-ftp/asllvd/demos/verify_start_end_handshape_annotations//test_auto_move//signs_mov_separ_signers/Brady_2479.mov","MOV")</f>
        <v>21</v>
      </c>
    </row>
    <row r="8962" s="2" customFormat="1" ht="13.5" customHeight="1">
      <c r="B8962" t="s" s="8">
        <v>52</v>
      </c>
      <c r="C8962" t="s" s="9">
        <v>53</v>
      </c>
      <c r="D8962" t="s" s="8">
        <v>53</v>
      </c>
      <c r="E8962" t="s" s="9">
        <v>53</v>
      </c>
      <c r="F8962" t="s" s="10">
        <v>53</v>
      </c>
      <c r="G8962" t="s" s="11">
        <v>53</v>
      </c>
      <c r="H8962" t="s" s="10">
        <v>53</v>
      </c>
      <c r="I8962" t="s" s="11">
        <v>53</v>
      </c>
      <c r="J8962" t="s" s="11">
        <v>53</v>
      </c>
      <c r="K8962" t="s" s="12">
        <v>53</v>
      </c>
      <c r="L8962" t="s" s="12">
        <v>53</v>
      </c>
      <c r="M8962" t="s" s="10">
        <v>53</v>
      </c>
      <c r="N8962" t="s" s="11">
        <v>53</v>
      </c>
      <c r="O8962" t="s" s="8">
        <v>53</v>
      </c>
      <c r="P8962" t="s" s="8">
        <v>53</v>
      </c>
      <c r="Q8962" t="s" s="12">
        <v>53</v>
      </c>
      <c r="R8962" t="s" s="12">
        <v>53</v>
      </c>
    </row>
    <row r="8963" s="2" customFormat="1" ht="13.5" customHeight="1">
      <c r="B8963" s="13"/>
      <c r="C8963" t="s" s="9">
        <v>16</v>
      </c>
      <c r="D8963" t="s" s="8">
        <v>3275</v>
      </c>
      <c r="E8963" t="s" s="9">
        <v>3276</v>
      </c>
      <c r="F8963" t="s" s="10">
        <v>119</v>
      </c>
      <c r="G8963" s="14"/>
      <c r="H8963" s="19">
        <v>5</v>
      </c>
      <c r="I8963" s="14"/>
      <c r="J8963" t="s" s="11">
        <v>20</v>
      </c>
      <c r="K8963" t="s" s="16">
        <f>HYPERLINK("http://csr.bu.edu/ftp/asl/asllvd/demos/verify_start_end_handshape_annotations//test_auto_move//signs_mov/3875_16074_merged.mov","MOV")</f>
        <v>21</v>
      </c>
      <c r="L8963" t="s" s="16">
        <f>HYPERLINK("http://csr.bu.edu/ftp/asl/asllvd/demos/verify_start_end_handshape_annotations//test_auto_move//signs_mov_separ_signers/Liz_3875.mov","MOV")</f>
        <v>21</v>
      </c>
      <c r="M8963" t="s" s="10">
        <v>36</v>
      </c>
      <c r="N8963" s="17">
        <v>52</v>
      </c>
      <c r="O8963" s="18">
        <v>3185</v>
      </c>
      <c r="P8963" s="18">
        <v>3226</v>
      </c>
      <c r="Q8963" t="s" s="16">
        <f>HYPERLINK("http://secrets.rutgers.edu:8080/data/asl-ftp/asllvd/demos/verify_start_end_handshape_annotations//test_auto_move//signs_mov/3875_16074_merged.mov","MOV")</f>
        <v>21</v>
      </c>
      <c r="R8963" t="s" s="16">
        <f>HYPERLINK("http://secrets.rutgers.edu:8080/data/asl-ftp/asllvd/demos/verify_start_end_handshape_annotations//test_auto_move//signs_mov_separ_signers/Liz_3875.mov","MOV")</f>
        <v>21</v>
      </c>
    </row>
    <row r="8964" s="2" customFormat="1" ht="13.5" customHeight="1">
      <c r="B8964" s="13"/>
      <c r="C8964" t="s" s="9">
        <v>16</v>
      </c>
      <c r="D8964" t="s" s="8">
        <v>3275</v>
      </c>
      <c r="E8964" t="s" s="9">
        <v>3276</v>
      </c>
      <c r="F8964" t="s" s="10">
        <v>119</v>
      </c>
      <c r="G8964" s="14"/>
      <c r="H8964" t="s" s="10">
        <v>148</v>
      </c>
      <c r="I8964" s="14"/>
      <c r="J8964" t="s" s="11">
        <v>20</v>
      </c>
      <c r="K8964" s="15"/>
      <c r="L8964" t="s" s="16">
        <f>HYPERLINK("http://csr.bu.edu/ftp/asl/asllvd/demos/verify_start_end_handshape_annotations//test_auto_move//signs_mov_separ_signers/Liz_16074.mov","MOV")</f>
        <v>21</v>
      </c>
      <c r="M8964" t="s" s="10">
        <v>77</v>
      </c>
      <c r="N8964" s="17">
        <v>9</v>
      </c>
      <c r="O8964" s="18">
        <v>1436</v>
      </c>
      <c r="P8964" s="18">
        <v>1506</v>
      </c>
      <c r="Q8964" s="15"/>
      <c r="R8964" t="s" s="16">
        <f>HYPERLINK("http://secrets.rutgers.edu:8080/data/asl-ftp/asllvd/demos/verify_start_end_handshape_annotations//test_auto_move//signs_mov_separ_signers/Liz_16074.mov","MOV")</f>
        <v>21</v>
      </c>
    </row>
    <row r="8965" s="2" customFormat="1" ht="13.5" customHeight="1">
      <c r="B8965" t="s" s="8">
        <v>3277</v>
      </c>
      <c r="C8965" t="s" s="9">
        <v>14</v>
      </c>
      <c r="D8965" t="s" s="8">
        <v>14</v>
      </c>
      <c r="E8965" t="s" s="9">
        <v>14</v>
      </c>
      <c r="F8965" t="s" s="10">
        <v>14</v>
      </c>
      <c r="G8965" t="s" s="11">
        <v>14</v>
      </c>
      <c r="H8965" t="s" s="10">
        <v>14</v>
      </c>
      <c r="I8965" t="s" s="11">
        <v>14</v>
      </c>
      <c r="J8965" t="s" s="11">
        <v>14</v>
      </c>
      <c r="K8965" t="s" s="12">
        <v>14</v>
      </c>
      <c r="L8965" t="s" s="12">
        <v>14</v>
      </c>
      <c r="M8965" t="s" s="10">
        <v>14</v>
      </c>
      <c r="N8965" t="s" s="11">
        <v>14</v>
      </c>
      <c r="O8965" t="s" s="8">
        <v>14</v>
      </c>
      <c r="P8965" t="s" s="8">
        <v>14</v>
      </c>
      <c r="Q8965" t="s" s="12">
        <v>14</v>
      </c>
      <c r="R8965" t="s" s="12">
        <v>14</v>
      </c>
    </row>
    <row r="8966" s="2" customFormat="1" ht="13.5" customHeight="1">
      <c r="B8966" s="13"/>
      <c r="C8966" t="s" s="9">
        <v>30</v>
      </c>
      <c r="D8966" t="s" s="8">
        <v>3277</v>
      </c>
      <c r="E8966" t="s" s="9">
        <v>3277</v>
      </c>
      <c r="F8966" t="s" s="10">
        <v>119</v>
      </c>
      <c r="G8966" s="14"/>
      <c r="H8966" s="19">
        <v>5</v>
      </c>
      <c r="I8966" s="14"/>
      <c r="J8966" t="s" s="11">
        <v>20</v>
      </c>
      <c r="K8966" t="s" s="16">
        <f>HYPERLINK("http://csr.bu.edu/ftp/asl/asllvd/demos/verify_start_end_handshape_annotations//test_auto_move//signs_mov/16118.mov","MOV")</f>
        <v>21</v>
      </c>
      <c r="L8966" t="s" s="16">
        <f>HYPERLINK("http://csr.bu.edu/ftp/asl/asllvd/demos/verify_start_end_handshape_annotations//test_auto_move//signs_mov_separ_signers/Brady_16118.mov","MOV")</f>
        <v>21</v>
      </c>
      <c r="M8966" t="s" s="10">
        <v>40</v>
      </c>
      <c r="N8966" s="17">
        <v>105</v>
      </c>
      <c r="O8966" s="18">
        <v>1378</v>
      </c>
      <c r="P8966" s="18">
        <v>1397</v>
      </c>
      <c r="Q8966" t="s" s="16">
        <f>HYPERLINK("http://secrets.rutgers.edu:8080/data/asl-ftp/asllvd/demos/verify_start_end_handshape_annotations//test_auto_move//signs_mov/16118.mov","MOV")</f>
        <v>21</v>
      </c>
      <c r="R8966" t="s" s="16">
        <f>HYPERLINK("http://secrets.rutgers.edu:8080/data/asl-ftp/asllvd/demos/verify_start_end_handshape_annotations//test_auto_move//signs_mov_separ_signers/Brady_16118.mov","MOV")</f>
        <v>21</v>
      </c>
    </row>
    <row r="8967" s="2" customFormat="1" ht="13.5" customHeight="1">
      <c r="B8967" t="s" s="8">
        <v>3278</v>
      </c>
      <c r="C8967" t="s" s="9">
        <v>14</v>
      </c>
      <c r="D8967" t="s" s="8">
        <v>14</v>
      </c>
      <c r="E8967" t="s" s="9">
        <v>14</v>
      </c>
      <c r="F8967" t="s" s="10">
        <v>14</v>
      </c>
      <c r="G8967" t="s" s="11">
        <v>14</v>
      </c>
      <c r="H8967" t="s" s="10">
        <v>14</v>
      </c>
      <c r="I8967" t="s" s="11">
        <v>14</v>
      </c>
      <c r="J8967" t="s" s="11">
        <v>14</v>
      </c>
      <c r="K8967" t="s" s="12">
        <v>14</v>
      </c>
      <c r="L8967" t="s" s="12">
        <v>14</v>
      </c>
      <c r="M8967" t="s" s="10">
        <v>14</v>
      </c>
      <c r="N8967" t="s" s="11">
        <v>14</v>
      </c>
      <c r="O8967" t="s" s="8">
        <v>14</v>
      </c>
      <c r="P8967" t="s" s="8">
        <v>14</v>
      </c>
      <c r="Q8967" t="s" s="12">
        <v>14</v>
      </c>
      <c r="R8967" t="s" s="12">
        <v>14</v>
      </c>
    </row>
    <row r="8968" s="2" customFormat="1" ht="13.5" customHeight="1">
      <c r="B8968" s="13"/>
      <c r="C8968" t="s" s="9">
        <v>16</v>
      </c>
      <c r="D8968" t="s" s="8">
        <v>3278</v>
      </c>
      <c r="E8968" t="s" s="9">
        <v>3278</v>
      </c>
      <c r="F8968" t="s" s="10">
        <v>185</v>
      </c>
      <c r="G8968" t="s" s="11">
        <v>105</v>
      </c>
      <c r="H8968" t="s" s="10">
        <v>185</v>
      </c>
      <c r="I8968" t="s" s="11">
        <v>105</v>
      </c>
      <c r="J8968" t="s" s="11">
        <v>136</v>
      </c>
      <c r="K8968" t="s" s="16">
        <f>HYPERLINK("http://csr.bu.edu/ftp/asl/asllvd/demos/verify_start_end_handshape_annotations//test_auto_move//signs_mov/2482.mov","MOV")</f>
        <v>21</v>
      </c>
      <c r="L8968" t="s" s="16">
        <f>HYPERLINK("http://csr.bu.edu/ftp/asl/asllvd/demos/verify_start_end_handshape_annotations//test_auto_move//signs_mov_separ_signers/Liz_2482.mov","MOV")</f>
        <v>21</v>
      </c>
      <c r="M8968" t="s" s="10">
        <v>36</v>
      </c>
      <c r="N8968" s="17">
        <v>53</v>
      </c>
      <c r="O8968" s="18">
        <v>825</v>
      </c>
      <c r="P8968" s="18">
        <v>881</v>
      </c>
      <c r="Q8968" t="s" s="16">
        <f>HYPERLINK("http://secrets.rutgers.edu:8080/data/asl-ftp/asllvd/demos/verify_start_end_handshape_annotations//test_auto_move//signs_mov/2482.mov","MOV")</f>
        <v>21</v>
      </c>
      <c r="R8968" t="s" s="16">
        <f>HYPERLINK("http://secrets.rutgers.edu:8080/data/asl-ftp/asllvd/demos/verify_start_end_handshape_annotations//test_auto_move//signs_mov_separ_signers/Liz_2482.mov","MOV")</f>
        <v>21</v>
      </c>
    </row>
    <row r="8969" s="2" customFormat="1" ht="13.5" customHeight="1">
      <c r="B8969" t="s" s="8">
        <v>52</v>
      </c>
      <c r="C8969" t="s" s="9">
        <v>53</v>
      </c>
      <c r="D8969" t="s" s="8">
        <v>53</v>
      </c>
      <c r="E8969" t="s" s="9">
        <v>53</v>
      </c>
      <c r="F8969" t="s" s="10">
        <v>53</v>
      </c>
      <c r="G8969" t="s" s="11">
        <v>53</v>
      </c>
      <c r="H8969" t="s" s="10">
        <v>53</v>
      </c>
      <c r="I8969" t="s" s="11">
        <v>53</v>
      </c>
      <c r="J8969" t="s" s="11">
        <v>53</v>
      </c>
      <c r="K8969" t="s" s="12">
        <v>53</v>
      </c>
      <c r="L8969" t="s" s="12">
        <v>53</v>
      </c>
      <c r="M8969" t="s" s="10">
        <v>53</v>
      </c>
      <c r="N8969" t="s" s="11">
        <v>53</v>
      </c>
      <c r="O8969" t="s" s="8">
        <v>53</v>
      </c>
      <c r="P8969" t="s" s="8">
        <v>53</v>
      </c>
      <c r="Q8969" t="s" s="12">
        <v>53</v>
      </c>
      <c r="R8969" t="s" s="12">
        <v>53</v>
      </c>
    </row>
    <row r="8970" s="2" customFormat="1" ht="13.5" customHeight="1">
      <c r="B8970" s="13"/>
      <c r="C8970" t="s" s="9">
        <v>16</v>
      </c>
      <c r="D8970" t="s" s="8">
        <v>3278</v>
      </c>
      <c r="E8970" t="s" s="9">
        <v>3279</v>
      </c>
      <c r="F8970" t="s" s="10">
        <v>282</v>
      </c>
      <c r="G8970" t="s" s="11">
        <v>105</v>
      </c>
      <c r="H8970" t="s" s="10">
        <v>282</v>
      </c>
      <c r="I8970" t="s" s="11">
        <v>105</v>
      </c>
      <c r="J8970" t="s" s="11">
        <v>136</v>
      </c>
      <c r="K8970" t="s" s="16">
        <f>HYPERLINK("http://csr.bu.edu/ftp/asl/asllvd/demos/verify_start_end_handshape_annotations//test_auto_move//signs_mov/3876.mov","MOV")</f>
        <v>21</v>
      </c>
      <c r="L8970" t="s" s="16">
        <f>HYPERLINK("http://csr.bu.edu/ftp/asl/asllvd/demos/verify_start_end_handshape_annotations//test_auto_move//signs_mov_separ_signers/Liz_3876.mov","MOV")</f>
        <v>21</v>
      </c>
      <c r="M8970" t="s" s="10">
        <v>77</v>
      </c>
      <c r="N8970" s="17">
        <v>9</v>
      </c>
      <c r="O8970" s="18">
        <v>1630</v>
      </c>
      <c r="P8970" s="18">
        <v>1675</v>
      </c>
      <c r="Q8970" t="s" s="16">
        <f>HYPERLINK("http://secrets.rutgers.edu:8080/data/asl-ftp/asllvd/demos/verify_start_end_handshape_annotations//test_auto_move//signs_mov/3876.mov","MOV")</f>
        <v>21</v>
      </c>
      <c r="R8970" t="s" s="16">
        <f>HYPERLINK("http://secrets.rutgers.edu:8080/data/asl-ftp/asllvd/demos/verify_start_end_handshape_annotations//test_auto_move//signs_mov_separ_signers/Liz_3876.mov","MOV")</f>
        <v>21</v>
      </c>
    </row>
    <row r="8971" s="2" customFormat="1" ht="13.5" customHeight="1">
      <c r="B8971" s="13"/>
      <c r="C8971" t="s" s="9">
        <v>30</v>
      </c>
      <c r="D8971" t="s" s="8">
        <v>3278</v>
      </c>
      <c r="E8971" t="s" s="9">
        <v>3279</v>
      </c>
      <c r="F8971" t="s" s="10">
        <v>282</v>
      </c>
      <c r="G8971" t="s" s="11">
        <v>105</v>
      </c>
      <c r="H8971" t="s" s="10">
        <v>282</v>
      </c>
      <c r="I8971" t="s" s="11">
        <v>105</v>
      </c>
      <c r="J8971" t="s" s="11">
        <v>136</v>
      </c>
      <c r="K8971" s="15"/>
      <c r="L8971" t="s" s="16">
        <f>HYPERLINK("http://csr.bu.edu/ftp/asl/asllvd/demos/verify_start_end_handshape_annotations//test_auto_move//signs_mov_separ_signers/Brady_3876.mov","MOV")</f>
        <v>21</v>
      </c>
      <c r="M8971" t="s" s="10">
        <v>40</v>
      </c>
      <c r="N8971" s="17">
        <v>104</v>
      </c>
      <c r="O8971" s="18">
        <v>2185</v>
      </c>
      <c r="P8971" s="18">
        <v>2219</v>
      </c>
      <c r="Q8971" s="15"/>
      <c r="R8971" t="s" s="16">
        <f>HYPERLINK("http://secrets.rutgers.edu:8080/data/asl-ftp/asllvd/demos/verify_start_end_handshape_annotations//test_auto_move//signs_mov_separ_signers/Brady_3876.mov","MOV")</f>
        <v>21</v>
      </c>
    </row>
    <row r="8972" s="2" customFormat="1" ht="13.5" customHeight="1">
      <c r="B8972" t="s" s="8">
        <v>3280</v>
      </c>
      <c r="C8972" t="s" s="9">
        <v>14</v>
      </c>
      <c r="D8972" t="s" s="8">
        <v>14</v>
      </c>
      <c r="E8972" t="s" s="9">
        <v>14</v>
      </c>
      <c r="F8972" t="s" s="10">
        <v>14</v>
      </c>
      <c r="G8972" t="s" s="11">
        <v>14</v>
      </c>
      <c r="H8972" t="s" s="10">
        <v>14</v>
      </c>
      <c r="I8972" t="s" s="11">
        <v>14</v>
      </c>
      <c r="J8972" t="s" s="11">
        <v>14</v>
      </c>
      <c r="K8972" t="s" s="12">
        <v>14</v>
      </c>
      <c r="L8972" t="s" s="12">
        <v>14</v>
      </c>
      <c r="M8972" t="s" s="10">
        <v>14</v>
      </c>
      <c r="N8972" t="s" s="11">
        <v>14</v>
      </c>
      <c r="O8972" t="s" s="8">
        <v>14</v>
      </c>
      <c r="P8972" t="s" s="8">
        <v>14</v>
      </c>
      <c r="Q8972" t="s" s="12">
        <v>14</v>
      </c>
      <c r="R8972" t="s" s="12">
        <v>14</v>
      </c>
    </row>
    <row r="8973" s="2" customFormat="1" ht="13.5" customHeight="1">
      <c r="B8973" s="13"/>
      <c r="C8973" t="s" s="9">
        <v>16</v>
      </c>
      <c r="D8973" t="s" s="8">
        <v>3280</v>
      </c>
      <c r="E8973" t="s" s="9">
        <v>3280</v>
      </c>
      <c r="F8973" t="s" s="10">
        <v>185</v>
      </c>
      <c r="G8973" t="s" s="11">
        <v>105</v>
      </c>
      <c r="H8973" t="s" s="10">
        <v>185</v>
      </c>
      <c r="I8973" t="s" s="11">
        <v>105</v>
      </c>
      <c r="J8973" t="s" s="11">
        <v>136</v>
      </c>
      <c r="K8973" t="s" s="16">
        <f>HYPERLINK("http://csr.bu.edu/ftp/asl/asllvd/demos/verify_start_end_handshape_annotations//test_auto_move//signs_mov/2483.mov","MOV")</f>
        <v>21</v>
      </c>
      <c r="L8973" t="s" s="16">
        <f>HYPERLINK("http://csr.bu.edu/ftp/asl/asllvd/demos/verify_start_end_handshape_annotations//test_auto_move//signs_mov_separ_signers/Liz_2483.mov","MOV")</f>
        <v>21</v>
      </c>
      <c r="M8973" t="s" s="10">
        <v>36</v>
      </c>
      <c r="N8973" s="17">
        <v>53</v>
      </c>
      <c r="O8973" s="18">
        <v>1125</v>
      </c>
      <c r="P8973" s="18">
        <v>1177</v>
      </c>
      <c r="Q8973" t="s" s="16">
        <f>HYPERLINK("http://secrets.rutgers.edu:8080/data/asl-ftp/asllvd/demos/verify_start_end_handshape_annotations//test_auto_move//signs_mov/2483.mov","MOV")</f>
        <v>21</v>
      </c>
      <c r="R8973" t="s" s="16">
        <f>HYPERLINK("http://secrets.rutgers.edu:8080/data/asl-ftp/asllvd/demos/verify_start_end_handshape_annotations//test_auto_move//signs_mov_separ_signers/Liz_2483.mov","MOV")</f>
        <v>21</v>
      </c>
    </row>
    <row r="8974" s="2" customFormat="1" ht="13.5" customHeight="1">
      <c r="B8974" t="s" s="8">
        <v>52</v>
      </c>
      <c r="C8974" t="s" s="9">
        <v>53</v>
      </c>
      <c r="D8974" t="s" s="8">
        <v>53</v>
      </c>
      <c r="E8974" t="s" s="9">
        <v>53</v>
      </c>
      <c r="F8974" t="s" s="10">
        <v>53</v>
      </c>
      <c r="G8974" t="s" s="11">
        <v>53</v>
      </c>
      <c r="H8974" t="s" s="10">
        <v>53</v>
      </c>
      <c r="I8974" t="s" s="11">
        <v>53</v>
      </c>
      <c r="J8974" t="s" s="11">
        <v>53</v>
      </c>
      <c r="K8974" t="s" s="12">
        <v>53</v>
      </c>
      <c r="L8974" t="s" s="12">
        <v>53</v>
      </c>
      <c r="M8974" t="s" s="10">
        <v>53</v>
      </c>
      <c r="N8974" t="s" s="11">
        <v>53</v>
      </c>
      <c r="O8974" t="s" s="8">
        <v>53</v>
      </c>
      <c r="P8974" t="s" s="8">
        <v>53</v>
      </c>
      <c r="Q8974" t="s" s="12">
        <v>53</v>
      </c>
      <c r="R8974" t="s" s="12">
        <v>53</v>
      </c>
    </row>
    <row r="8975" s="2" customFormat="1" ht="13.5" customHeight="1">
      <c r="B8975" s="13"/>
      <c r="C8975" t="s" s="9">
        <v>16</v>
      </c>
      <c r="D8975" t="s" s="8">
        <v>3280</v>
      </c>
      <c r="E8975" t="s" s="9">
        <v>3281</v>
      </c>
      <c r="F8975" t="s" s="10">
        <v>282</v>
      </c>
      <c r="G8975" t="s" s="11">
        <v>105</v>
      </c>
      <c r="H8975" t="s" s="10">
        <v>282</v>
      </c>
      <c r="I8975" t="s" s="11">
        <v>105</v>
      </c>
      <c r="J8975" t="s" s="11">
        <v>136</v>
      </c>
      <c r="K8975" t="s" s="16">
        <f>HYPERLINK("http://csr.bu.edu/ftp/asl/asllvd/demos/verify_start_end_handshape_annotations//test_auto_move//signs_mov/3881.mov","MOV")</f>
        <v>21</v>
      </c>
      <c r="L8975" t="s" s="16">
        <f>HYPERLINK("http://csr.bu.edu/ftp/asl/asllvd/demos/verify_start_end_handshape_annotations//test_auto_move//signs_mov_separ_signers/Liz_3881.mov","MOV")</f>
        <v>21</v>
      </c>
      <c r="M8975" t="s" s="10">
        <v>77</v>
      </c>
      <c r="N8975" s="17">
        <v>9</v>
      </c>
      <c r="O8975" s="18">
        <v>1825</v>
      </c>
      <c r="P8975" s="18">
        <v>1890</v>
      </c>
      <c r="Q8975" t="s" s="16">
        <f>HYPERLINK("http://secrets.rutgers.edu:8080/data/asl-ftp/asllvd/demos/verify_start_end_handshape_annotations//test_auto_move//signs_mov/3881.mov","MOV")</f>
        <v>21</v>
      </c>
      <c r="R8975" t="s" s="16">
        <f>HYPERLINK("http://secrets.rutgers.edu:8080/data/asl-ftp/asllvd/demos/verify_start_end_handshape_annotations//test_auto_move//signs_mov_separ_signers/Liz_3881.mov","MOV")</f>
        <v>21</v>
      </c>
    </row>
    <row r="8976" s="2" customFormat="1" ht="13.5" customHeight="1">
      <c r="B8976" s="13"/>
      <c r="C8976" t="s" s="9">
        <v>30</v>
      </c>
      <c r="D8976" t="s" s="8">
        <v>3280</v>
      </c>
      <c r="E8976" t="s" s="9">
        <v>3281</v>
      </c>
      <c r="F8976" t="s" s="10">
        <v>282</v>
      </c>
      <c r="G8976" t="s" s="11">
        <v>105</v>
      </c>
      <c r="H8976" t="s" s="10">
        <v>282</v>
      </c>
      <c r="I8976" t="s" s="11">
        <v>105</v>
      </c>
      <c r="J8976" t="s" s="11">
        <v>136</v>
      </c>
      <c r="K8976" s="15"/>
      <c r="L8976" t="s" s="16">
        <f>HYPERLINK("http://csr.bu.edu/ftp/asl/asllvd/demos/verify_start_end_handshape_annotations//test_auto_move//signs_mov_separ_signers/Brady_3881.mov","MOV")</f>
        <v>21</v>
      </c>
      <c r="M8976" t="s" s="10">
        <v>40</v>
      </c>
      <c r="N8976" s="17">
        <v>105</v>
      </c>
      <c r="O8976" s="18">
        <v>149</v>
      </c>
      <c r="P8976" s="18">
        <v>186</v>
      </c>
      <c r="Q8976" s="15"/>
      <c r="R8976" t="s" s="16">
        <f>HYPERLINK("http://secrets.rutgers.edu:8080/data/asl-ftp/asllvd/demos/verify_start_end_handshape_annotations//test_auto_move//signs_mov_separ_signers/Brady_3881.mov","MOV")</f>
        <v>21</v>
      </c>
    </row>
    <row r="8977" s="2" customFormat="1" ht="13.5" customHeight="1">
      <c r="B8977" t="s" s="8">
        <v>3282</v>
      </c>
      <c r="C8977" t="s" s="9">
        <v>14</v>
      </c>
      <c r="D8977" t="s" s="8">
        <v>14</v>
      </c>
      <c r="E8977" t="s" s="9">
        <v>14</v>
      </c>
      <c r="F8977" t="s" s="10">
        <v>14</v>
      </c>
      <c r="G8977" t="s" s="11">
        <v>14</v>
      </c>
      <c r="H8977" t="s" s="10">
        <v>14</v>
      </c>
      <c r="I8977" t="s" s="11">
        <v>14</v>
      </c>
      <c r="J8977" t="s" s="11">
        <v>14</v>
      </c>
      <c r="K8977" t="s" s="12">
        <v>14</v>
      </c>
      <c r="L8977" t="s" s="12">
        <v>14</v>
      </c>
      <c r="M8977" t="s" s="10">
        <v>14</v>
      </c>
      <c r="N8977" t="s" s="11">
        <v>14</v>
      </c>
      <c r="O8977" t="s" s="8">
        <v>14</v>
      </c>
      <c r="P8977" t="s" s="8">
        <v>14</v>
      </c>
      <c r="Q8977" t="s" s="12">
        <v>14</v>
      </c>
      <c r="R8977" t="s" s="12">
        <v>14</v>
      </c>
    </row>
    <row r="8978" s="2" customFormat="1" ht="13.5" customHeight="1">
      <c r="B8978" s="13"/>
      <c r="C8978" t="s" s="9">
        <v>16</v>
      </c>
      <c r="D8978" t="s" s="8">
        <v>3282</v>
      </c>
      <c r="E8978" t="s" s="9">
        <v>3283</v>
      </c>
      <c r="F8978" t="s" s="10">
        <v>287</v>
      </c>
      <c r="G8978" s="14"/>
      <c r="H8978" t="s" s="10">
        <v>287</v>
      </c>
      <c r="I8978" s="14"/>
      <c r="J8978" t="s" s="11">
        <v>20</v>
      </c>
      <c r="K8978" t="s" s="16">
        <f>HYPERLINK("http://csr.bu.edu/ftp/asl/asllvd/demos/verify_start_end_handshape_annotations//test_auto_move//signs_mov/2488.mov","MOV")</f>
        <v>21</v>
      </c>
      <c r="L8978" t="s" s="16">
        <f>HYPERLINK("http://csr.bu.edu/ftp/asl/asllvd/demos/verify_start_end_handshape_annotations//test_auto_move//signs_mov_separ_signers/Liz_2488.mov","MOV")</f>
        <v>21</v>
      </c>
      <c r="M8978" t="s" s="10">
        <v>36</v>
      </c>
      <c r="N8978" s="17">
        <v>53</v>
      </c>
      <c r="O8978" s="18">
        <v>2980</v>
      </c>
      <c r="P8978" s="18">
        <v>3015</v>
      </c>
      <c r="Q8978" t="s" s="16">
        <f>HYPERLINK("http://secrets.rutgers.edu:8080/data/asl-ftp/asllvd/demos/verify_start_end_handshape_annotations//test_auto_move//signs_mov/2488.mov","MOV")</f>
        <v>21</v>
      </c>
      <c r="R8978" t="s" s="16">
        <f>HYPERLINK("http://secrets.rutgers.edu:8080/data/asl-ftp/asllvd/demos/verify_start_end_handshape_annotations//test_auto_move//signs_mov_separ_signers/Liz_2488.mov","MOV")</f>
        <v>21</v>
      </c>
    </row>
    <row r="8979" s="2" customFormat="1" ht="13.5" customHeight="1">
      <c r="B8979" s="13"/>
      <c r="C8979" t="s" s="9">
        <v>30</v>
      </c>
      <c r="D8979" t="s" s="8">
        <v>3282</v>
      </c>
      <c r="E8979" t="s" s="9">
        <v>3283</v>
      </c>
      <c r="F8979" t="s" s="10">
        <v>287</v>
      </c>
      <c r="G8979" s="14"/>
      <c r="H8979" t="s" s="10">
        <v>287</v>
      </c>
      <c r="I8979" s="14"/>
      <c r="J8979" t="s" s="11">
        <v>20</v>
      </c>
      <c r="K8979" s="15"/>
      <c r="L8979" t="s" s="16">
        <f>HYPERLINK("http://csr.bu.edu/ftp/asl/asllvd/demos/verify_start_end_handshape_annotations//test_auto_move//signs_mov_separ_signers/Brady_2488.mov","MOV")</f>
        <v>21</v>
      </c>
      <c r="M8979" t="s" s="10">
        <v>40</v>
      </c>
      <c r="N8979" s="17">
        <v>105</v>
      </c>
      <c r="O8979" s="18">
        <v>2503</v>
      </c>
      <c r="P8979" s="18">
        <v>2549</v>
      </c>
      <c r="Q8979" s="15"/>
      <c r="R8979" t="s" s="16">
        <f>HYPERLINK("http://secrets.rutgers.edu:8080/data/asl-ftp/asllvd/demos/verify_start_end_handshape_annotations//test_auto_move//signs_mov_separ_signers/Brady_2488.mov","MOV")</f>
        <v>21</v>
      </c>
    </row>
    <row r="8980" s="2" customFormat="1" ht="13.5" customHeight="1">
      <c r="B8980" t="s" s="8">
        <v>3284</v>
      </c>
      <c r="C8980" t="s" s="9">
        <v>14</v>
      </c>
      <c r="D8980" t="s" s="8">
        <v>14</v>
      </c>
      <c r="E8980" t="s" s="9">
        <v>14</v>
      </c>
      <c r="F8980" t="s" s="10">
        <v>14</v>
      </c>
      <c r="G8980" t="s" s="11">
        <v>14</v>
      </c>
      <c r="H8980" t="s" s="10">
        <v>14</v>
      </c>
      <c r="I8980" t="s" s="11">
        <v>14</v>
      </c>
      <c r="J8980" t="s" s="11">
        <v>14</v>
      </c>
      <c r="K8980" t="s" s="12">
        <v>14</v>
      </c>
      <c r="L8980" t="s" s="12">
        <v>14</v>
      </c>
      <c r="M8980" t="s" s="10">
        <v>14</v>
      </c>
      <c r="N8980" t="s" s="11">
        <v>14</v>
      </c>
      <c r="O8980" t="s" s="8">
        <v>14</v>
      </c>
      <c r="P8980" t="s" s="8">
        <v>14</v>
      </c>
      <c r="Q8980" t="s" s="12">
        <v>14</v>
      </c>
      <c r="R8980" t="s" s="12">
        <v>14</v>
      </c>
    </row>
    <row r="8981" s="2" customFormat="1" ht="13.5" customHeight="1">
      <c r="B8981" s="13"/>
      <c r="C8981" t="s" s="9">
        <v>16</v>
      </c>
      <c r="D8981" t="s" s="8">
        <v>3284</v>
      </c>
      <c r="E8981" t="s" s="9">
        <v>3285</v>
      </c>
      <c r="F8981" t="s" s="10">
        <v>287</v>
      </c>
      <c r="G8981" s="14"/>
      <c r="H8981" t="s" s="10">
        <v>282</v>
      </c>
      <c r="I8981" s="14"/>
      <c r="J8981" t="s" s="11">
        <v>20</v>
      </c>
      <c r="K8981" s="15"/>
      <c r="L8981" t="s" s="16">
        <f>HYPERLINK("http://csr.bu.edu/ftp/asl/asllvd/demos/verify_start_end_handshape_annotations//test_auto_move//signs_mov_separ_signers/Liz_15308.mov","MOV")</f>
        <v>21</v>
      </c>
      <c r="M8981" t="s" s="10">
        <v>34</v>
      </c>
      <c r="N8981" s="17">
        <v>29</v>
      </c>
      <c r="O8981" s="18">
        <v>1745</v>
      </c>
      <c r="P8981" s="18">
        <v>1790</v>
      </c>
      <c r="Q8981" s="15"/>
      <c r="R8981" t="s" s="16">
        <f>HYPERLINK("http://secrets.rutgers.edu:8080/data/asl-ftp/asllvd/demos/verify_start_end_handshape_annotations//test_auto_move//signs_mov_separ_signers/Liz_15308.mov","MOV")</f>
        <v>21</v>
      </c>
    </row>
    <row r="8982" s="2" customFormat="1" ht="13.5" customHeight="1">
      <c r="B8982" s="13"/>
      <c r="C8982" t="s" s="9">
        <v>23</v>
      </c>
      <c r="D8982" t="s" s="8">
        <v>3284</v>
      </c>
      <c r="E8982" t="s" s="9">
        <v>3285</v>
      </c>
      <c r="F8982" t="s" s="10">
        <v>287</v>
      </c>
      <c r="G8982" s="14"/>
      <c r="H8982" t="s" s="10">
        <v>282</v>
      </c>
      <c r="I8982" s="14"/>
      <c r="J8982" t="s" s="11">
        <v>20</v>
      </c>
      <c r="K8982" t="s" s="16">
        <f>HYPERLINK("http://csr.bu.edu/ftp/asl/asllvd/demos/verify_start_end_handshape_annotations//test_auto_move//signs_mov/15308.mov","MOV")</f>
        <v>21</v>
      </c>
      <c r="L8982" t="s" s="16">
        <f>HYPERLINK("http://csr.bu.edu/ftp/asl/asllvd/demos/verify_start_end_handshape_annotations//test_auto_move//signs_mov_separ_signers/Tyler_15308.mov","MOV")</f>
        <v>21</v>
      </c>
      <c r="M8982" t="s" s="10">
        <v>37</v>
      </c>
      <c r="N8982" s="17">
        <v>4</v>
      </c>
      <c r="O8982" s="18">
        <v>1730</v>
      </c>
      <c r="P8982" s="18">
        <v>1747</v>
      </c>
      <c r="Q8982" t="s" s="16">
        <f>HYPERLINK("http://secrets.rutgers.edu:8080/data/asl-ftp/asllvd/demos/verify_start_end_handshape_annotations//test_auto_move//signs_mov/15308.mov","MOV")</f>
        <v>21</v>
      </c>
      <c r="R8982" t="s" s="16">
        <f>HYPERLINK("http://secrets.rutgers.edu:8080/data/asl-ftp/asllvd/demos/verify_start_end_handshape_annotations//test_auto_move//signs_mov_separ_signers/Tyler_15308.mov","MOV")</f>
        <v>21</v>
      </c>
    </row>
    <row r="8983" s="2" customFormat="1" ht="13.5" customHeight="1">
      <c r="B8983" s="13"/>
      <c r="C8983" t="s" s="9">
        <v>27</v>
      </c>
      <c r="D8983" t="s" s="8">
        <v>3284</v>
      </c>
      <c r="E8983" t="s" s="9">
        <v>3286</v>
      </c>
      <c r="F8983" t="s" s="10">
        <v>287</v>
      </c>
      <c r="G8983" s="14"/>
      <c r="H8983" t="s" s="10">
        <v>282</v>
      </c>
      <c r="I8983" s="14"/>
      <c r="J8983" t="s" s="11">
        <v>20</v>
      </c>
      <c r="K8983" s="15"/>
      <c r="L8983" t="s" s="16">
        <f>HYPERLINK("http://csr.bu.edu/ftp/asl/asllvd/demos/verify_start_end_handshape_annotations//test_auto_move//signs_mov_separ_signers/Naomi_15308.mov","MOV")</f>
        <v>21</v>
      </c>
      <c r="M8983" t="s" s="10">
        <v>38</v>
      </c>
      <c r="N8983" s="17">
        <v>24</v>
      </c>
      <c r="O8983" s="18">
        <v>4820</v>
      </c>
      <c r="P8983" s="18">
        <v>4852</v>
      </c>
      <c r="Q8983" s="15"/>
      <c r="R8983" t="s" s="16">
        <f>HYPERLINK("http://secrets.rutgers.edu:8080/data/asl-ftp/asllvd/demos/verify_start_end_handshape_annotations//test_auto_move//signs_mov_separ_signers/Naomi_15308.mov","MOV")</f>
        <v>21</v>
      </c>
    </row>
    <row r="8984" s="2" customFormat="1" ht="13.5" customHeight="1">
      <c r="B8984" s="13"/>
      <c r="C8984" t="s" s="9">
        <v>30</v>
      </c>
      <c r="D8984" t="s" s="8">
        <v>3284</v>
      </c>
      <c r="E8984" t="s" s="9">
        <v>3285</v>
      </c>
      <c r="F8984" t="s" s="10">
        <v>287</v>
      </c>
      <c r="G8984" s="14"/>
      <c r="H8984" t="s" s="10">
        <v>282</v>
      </c>
      <c r="I8984" s="14"/>
      <c r="J8984" t="s" s="11">
        <v>20</v>
      </c>
      <c r="K8984" s="15"/>
      <c r="L8984" t="s" s="16">
        <f>HYPERLINK("http://csr.bu.edu/ftp/asl/asllvd/demos/verify_start_end_handshape_annotations//test_auto_move//signs_mov_separ_signers/Brady_15308.mov","MOV")</f>
        <v>21</v>
      </c>
      <c r="M8984" t="s" s="10">
        <v>39</v>
      </c>
      <c r="N8984" s="17">
        <v>39</v>
      </c>
      <c r="O8984" s="18">
        <v>152</v>
      </c>
      <c r="P8984" s="18">
        <v>174</v>
      </c>
      <c r="Q8984" s="15"/>
      <c r="R8984" t="s" s="16">
        <f>HYPERLINK("http://secrets.rutgers.edu:8080/data/asl-ftp/asllvd/demos/verify_start_end_handshape_annotations//test_auto_move//signs_mov_separ_signers/Brady_15308.mov","MOV")</f>
        <v>21</v>
      </c>
    </row>
    <row r="8985" s="2" customFormat="1" ht="13.5" customHeight="1">
      <c r="B8985" t="s" s="8">
        <v>3287</v>
      </c>
      <c r="C8985" t="s" s="9">
        <v>14</v>
      </c>
      <c r="D8985" t="s" s="8">
        <v>14</v>
      </c>
      <c r="E8985" t="s" s="9">
        <v>14</v>
      </c>
      <c r="F8985" t="s" s="10">
        <v>14</v>
      </c>
      <c r="G8985" t="s" s="11">
        <v>14</v>
      </c>
      <c r="H8985" t="s" s="10">
        <v>14</v>
      </c>
      <c r="I8985" t="s" s="11">
        <v>14</v>
      </c>
      <c r="J8985" t="s" s="11">
        <v>14</v>
      </c>
      <c r="K8985" t="s" s="12">
        <v>14</v>
      </c>
      <c r="L8985" t="s" s="12">
        <v>14</v>
      </c>
      <c r="M8985" t="s" s="10">
        <v>14</v>
      </c>
      <c r="N8985" t="s" s="11">
        <v>14</v>
      </c>
      <c r="O8985" t="s" s="8">
        <v>14</v>
      </c>
      <c r="P8985" t="s" s="8">
        <v>14</v>
      </c>
      <c r="Q8985" t="s" s="12">
        <v>14</v>
      </c>
      <c r="R8985" t="s" s="12">
        <v>14</v>
      </c>
    </row>
    <row r="8986" s="2" customFormat="1" ht="13.5" customHeight="1">
      <c r="B8986" s="13"/>
      <c r="C8986" t="s" s="9">
        <v>16</v>
      </c>
      <c r="D8986" t="s" s="8">
        <v>3287</v>
      </c>
      <c r="E8986" t="s" s="9">
        <v>3288</v>
      </c>
      <c r="F8986" s="19">
        <v>1</v>
      </c>
      <c r="G8986" s="14"/>
      <c r="H8986" t="s" s="10">
        <v>255</v>
      </c>
      <c r="I8986" s="14"/>
      <c r="J8986" t="s" s="11">
        <v>20</v>
      </c>
      <c r="K8986" s="15"/>
      <c r="L8986" t="s" s="16">
        <f>HYPERLINK("http://csr.bu.edu/ftp/asl/asllvd/demos/verify_start_end_handshape_annotations//test_auto_move//signs_mov_separ_signers/Liz_2494.mov","MOV")</f>
        <v>21</v>
      </c>
      <c r="M8986" t="s" s="10">
        <v>36</v>
      </c>
      <c r="N8986" s="17">
        <v>54</v>
      </c>
      <c r="O8986" s="18">
        <v>1385</v>
      </c>
      <c r="P8986" s="18">
        <v>1422</v>
      </c>
      <c r="Q8986" s="15"/>
      <c r="R8986" t="s" s="16">
        <f>HYPERLINK("http://secrets.rutgers.edu:8080/data/asl-ftp/asllvd/demos/verify_start_end_handshape_annotations//test_auto_move//signs_mov_separ_signers/Liz_2494.mov","MOV")</f>
        <v>21</v>
      </c>
    </row>
    <row r="8987" s="2" customFormat="1" ht="13.5" customHeight="1">
      <c r="B8987" s="13"/>
      <c r="C8987" t="s" s="9">
        <v>16</v>
      </c>
      <c r="D8987" t="s" s="8">
        <v>3287</v>
      </c>
      <c r="E8987" t="s" s="9">
        <v>3289</v>
      </c>
      <c r="F8987" s="19">
        <v>1</v>
      </c>
      <c r="G8987" s="14"/>
      <c r="H8987" t="s" s="10">
        <v>255</v>
      </c>
      <c r="I8987" s="14"/>
      <c r="J8987" t="s" s="11">
        <v>20</v>
      </c>
      <c r="K8987" t="s" s="16">
        <f>HYPERLINK("http://csr.bu.edu/ftp/asl/asllvd/demos/verify_start_end_handshape_annotations//test_auto_move//signs_mov/2494_3781_merged.mov","MOV")</f>
        <v>21</v>
      </c>
      <c r="L8987" t="s" s="16">
        <f>HYPERLINK("http://csr.bu.edu/ftp/asl/asllvd/demos/verify_start_end_handshape_annotations//test_auto_move//signs_mov_separ_signers/Liz_3781.mov","MOV")</f>
        <v>21</v>
      </c>
      <c r="M8987" t="s" s="10">
        <v>36</v>
      </c>
      <c r="N8987" s="17">
        <v>54</v>
      </c>
      <c r="O8987" s="18">
        <v>1630</v>
      </c>
      <c r="P8987" s="18">
        <v>1675</v>
      </c>
      <c r="Q8987" t="s" s="16">
        <f>HYPERLINK("http://secrets.rutgers.edu:8080/data/asl-ftp/asllvd/demos/verify_start_end_handshape_annotations//test_auto_move//signs_mov/2494_3781_merged.mov","MOV")</f>
        <v>21</v>
      </c>
      <c r="R8987" t="s" s="16">
        <f>HYPERLINK("http://secrets.rutgers.edu:8080/data/asl-ftp/asllvd/demos/verify_start_end_handshape_annotations//test_auto_move//signs_mov_separ_signers/Liz_3781.mov","MOV")</f>
        <v>21</v>
      </c>
    </row>
    <row r="8988" s="2" customFormat="1" ht="13.5" customHeight="1">
      <c r="B8988" s="13"/>
      <c r="C8988" t="s" s="9">
        <v>30</v>
      </c>
      <c r="D8988" t="s" s="8">
        <v>3287</v>
      </c>
      <c r="E8988" t="s" s="9">
        <v>3289</v>
      </c>
      <c r="F8988" s="19">
        <v>1</v>
      </c>
      <c r="G8988" s="14"/>
      <c r="H8988" t="s" s="10">
        <v>255</v>
      </c>
      <c r="I8988" s="14"/>
      <c r="J8988" t="s" s="11">
        <v>20</v>
      </c>
      <c r="K8988" s="15"/>
      <c r="L8988" t="s" s="16">
        <f>HYPERLINK("http://csr.bu.edu/ftp/asl/asllvd/demos/verify_start_end_handshape_annotations//test_auto_move//signs_mov_separ_signers/Brady_2494.mov","MOV")</f>
        <v>21</v>
      </c>
      <c r="M8988" t="s" s="10">
        <v>40</v>
      </c>
      <c r="N8988" s="17">
        <v>106</v>
      </c>
      <c r="O8988" s="18">
        <v>697</v>
      </c>
      <c r="P8988" s="18">
        <v>739</v>
      </c>
      <c r="Q8988" s="15"/>
      <c r="R8988" t="s" s="16">
        <f>HYPERLINK("http://secrets.rutgers.edu:8080/data/asl-ftp/asllvd/demos/verify_start_end_handshape_annotations//test_auto_move//signs_mov_separ_signers/Brady_2494.mov","MOV")</f>
        <v>21</v>
      </c>
    </row>
    <row r="8989" s="2" customFormat="1" ht="13.5" customHeight="1">
      <c r="B8989" t="s" s="8">
        <v>3290</v>
      </c>
      <c r="C8989" t="s" s="9">
        <v>14</v>
      </c>
      <c r="D8989" t="s" s="8">
        <v>14</v>
      </c>
      <c r="E8989" t="s" s="9">
        <v>14</v>
      </c>
      <c r="F8989" t="s" s="10">
        <v>14</v>
      </c>
      <c r="G8989" t="s" s="11">
        <v>14</v>
      </c>
      <c r="H8989" t="s" s="10">
        <v>14</v>
      </c>
      <c r="I8989" t="s" s="11">
        <v>14</v>
      </c>
      <c r="J8989" t="s" s="11">
        <v>14</v>
      </c>
      <c r="K8989" t="s" s="12">
        <v>14</v>
      </c>
      <c r="L8989" t="s" s="12">
        <v>14</v>
      </c>
      <c r="M8989" t="s" s="10">
        <v>14</v>
      </c>
      <c r="N8989" t="s" s="11">
        <v>14</v>
      </c>
      <c r="O8989" t="s" s="8">
        <v>14</v>
      </c>
      <c r="P8989" t="s" s="8">
        <v>14</v>
      </c>
      <c r="Q8989" t="s" s="12">
        <v>14</v>
      </c>
      <c r="R8989" t="s" s="12">
        <v>14</v>
      </c>
    </row>
    <row r="8990" s="2" customFormat="1" ht="13.5" customHeight="1">
      <c r="B8990" s="13"/>
      <c r="C8990" t="s" s="9">
        <v>16</v>
      </c>
      <c r="D8990" t="s" s="8">
        <v>3290</v>
      </c>
      <c r="E8990" t="s" s="9">
        <v>3290</v>
      </c>
      <c r="F8990" s="19">
        <v>1</v>
      </c>
      <c r="G8990" s="14"/>
      <c r="H8990" s="19">
        <v>1</v>
      </c>
      <c r="I8990" s="14"/>
      <c r="J8990" t="s" s="11">
        <v>20</v>
      </c>
      <c r="K8990" s="15"/>
      <c r="L8990" t="s" s="16">
        <f>HYPERLINK("http://csr.bu.edu/ftp/asl/asllvd/demos/verify_start_end_handshape_annotations//test_auto_move//signs_mov_separ_signers/Liz_2496.mov","MOV")</f>
        <v>21</v>
      </c>
      <c r="M8990" t="s" s="10">
        <v>36</v>
      </c>
      <c r="N8990" s="17">
        <v>54</v>
      </c>
      <c r="O8990" s="18">
        <v>1976</v>
      </c>
      <c r="P8990" s="18">
        <v>2050</v>
      </c>
      <c r="Q8990" s="15"/>
      <c r="R8990" t="s" s="16">
        <f>HYPERLINK("http://secrets.rutgers.edu:8080/data/asl-ftp/asllvd/demos/verify_start_end_handshape_annotations//test_auto_move//signs_mov_separ_signers/Liz_2496.mov","MOV")</f>
        <v>21</v>
      </c>
    </row>
    <row r="8991" s="2" customFormat="1" ht="13.5" customHeight="1">
      <c r="B8991" s="13"/>
      <c r="C8991" t="s" s="9">
        <v>16</v>
      </c>
      <c r="D8991" t="s" s="8">
        <v>3290</v>
      </c>
      <c r="E8991" t="s" s="9">
        <v>3290</v>
      </c>
      <c r="F8991" s="19">
        <v>1</v>
      </c>
      <c r="G8991" s="14"/>
      <c r="H8991" s="19">
        <v>1</v>
      </c>
      <c r="I8991" s="14"/>
      <c r="J8991" t="s" s="11">
        <v>20</v>
      </c>
      <c r="K8991" t="s" s="16">
        <f>HYPERLINK("http://csr.bu.edu/ftp/asl/asllvd/demos/verify_start_end_handshape_annotations//test_auto_move//signs_mov/2496_3409_merged.mov","MOV")</f>
        <v>21</v>
      </c>
      <c r="L8991" t="s" s="16">
        <f>HYPERLINK("http://csr.bu.edu/ftp/asl/asllvd/demos/verify_start_end_handshape_annotations//test_auto_move//signs_mov_separ_signers/Liz_3409.mov","MOV")</f>
        <v>21</v>
      </c>
      <c r="M8991" t="s" s="10">
        <v>77</v>
      </c>
      <c r="N8991" s="17">
        <v>29</v>
      </c>
      <c r="O8991" s="18">
        <v>1240</v>
      </c>
      <c r="P8991" s="18">
        <v>1280</v>
      </c>
      <c r="Q8991" t="s" s="16">
        <f>HYPERLINK("http://secrets.rutgers.edu:8080/data/asl-ftp/asllvd/demos/verify_start_end_handshape_annotations//test_auto_move//signs_mov/2496_3409_merged.mov","MOV")</f>
        <v>21</v>
      </c>
      <c r="R8991" t="s" s="16">
        <f>HYPERLINK("http://secrets.rutgers.edu:8080/data/asl-ftp/asllvd/demos/verify_start_end_handshape_annotations//test_auto_move//signs_mov_separ_signers/Liz_3409.mov","MOV")</f>
        <v>21</v>
      </c>
    </row>
    <row r="8992" s="2" customFormat="1" ht="13.5" customHeight="1">
      <c r="B8992" s="13"/>
      <c r="C8992" t="s" s="9">
        <v>30</v>
      </c>
      <c r="D8992" t="s" s="8">
        <v>3290</v>
      </c>
      <c r="E8992" t="s" s="9">
        <v>3290</v>
      </c>
      <c r="F8992" s="19">
        <v>1</v>
      </c>
      <c r="G8992" s="14"/>
      <c r="H8992" s="19">
        <v>1</v>
      </c>
      <c r="I8992" s="14"/>
      <c r="J8992" t="s" s="11">
        <v>20</v>
      </c>
      <c r="K8992" s="15"/>
      <c r="L8992" t="s" s="16">
        <f>HYPERLINK("http://csr.bu.edu/ftp/asl/asllvd/demos/verify_start_end_handshape_annotations//test_auto_move//signs_mov_separ_signers/Brady_2496.mov","MOV")</f>
        <v>21</v>
      </c>
      <c r="M8992" t="s" s="10">
        <v>40</v>
      </c>
      <c r="N8992" s="17">
        <v>106</v>
      </c>
      <c r="O8992" s="18">
        <v>937</v>
      </c>
      <c r="P8992" s="18">
        <v>958</v>
      </c>
      <c r="Q8992" s="15"/>
      <c r="R8992" t="s" s="16">
        <f>HYPERLINK("http://secrets.rutgers.edu:8080/data/asl-ftp/asllvd/demos/verify_start_end_handshape_annotations//test_auto_move//signs_mov_separ_signers/Brady_2496.mov","MOV")</f>
        <v>21</v>
      </c>
    </row>
    <row r="8993" s="2" customFormat="1" ht="13.5" customHeight="1">
      <c r="B8993" t="s" s="8">
        <v>3291</v>
      </c>
      <c r="C8993" t="s" s="9">
        <v>14</v>
      </c>
      <c r="D8993" t="s" s="8">
        <v>14</v>
      </c>
      <c r="E8993" t="s" s="9">
        <v>14</v>
      </c>
      <c r="F8993" t="s" s="10">
        <v>14</v>
      </c>
      <c r="G8993" t="s" s="11">
        <v>14</v>
      </c>
      <c r="H8993" t="s" s="10">
        <v>14</v>
      </c>
      <c r="I8993" t="s" s="11">
        <v>14</v>
      </c>
      <c r="J8993" t="s" s="11">
        <v>14</v>
      </c>
      <c r="K8993" t="s" s="12">
        <v>14</v>
      </c>
      <c r="L8993" t="s" s="12">
        <v>14</v>
      </c>
      <c r="M8993" t="s" s="10">
        <v>14</v>
      </c>
      <c r="N8993" t="s" s="11">
        <v>14</v>
      </c>
      <c r="O8993" t="s" s="8">
        <v>14</v>
      </c>
      <c r="P8993" t="s" s="8">
        <v>14</v>
      </c>
      <c r="Q8993" t="s" s="12">
        <v>14</v>
      </c>
      <c r="R8993" t="s" s="12">
        <v>14</v>
      </c>
    </row>
    <row r="8994" s="2" customFormat="1" ht="13.5" customHeight="1">
      <c r="B8994" s="13"/>
      <c r="C8994" t="s" s="9">
        <v>16</v>
      </c>
      <c r="D8994" t="s" s="8">
        <v>3291</v>
      </c>
      <c r="E8994" t="s" s="9">
        <v>3291</v>
      </c>
      <c r="F8994" s="19">
        <v>1</v>
      </c>
      <c r="G8994" s="14"/>
      <c r="H8994" t="s" s="10">
        <v>268</v>
      </c>
      <c r="I8994" s="14"/>
      <c r="J8994" t="s" s="11">
        <v>20</v>
      </c>
      <c r="K8994" s="15"/>
      <c r="L8994" t="s" s="16">
        <f>HYPERLINK("http://csr.bu.edu/ftp/asl/asllvd/demos/verify_start_end_handshape_annotations//test_auto_move//signs_mov_separ_signers/Liz_15496.mov","MOV")</f>
        <v>21</v>
      </c>
      <c r="M8994" t="s" s="10">
        <v>59</v>
      </c>
      <c r="N8994" s="17">
        <v>11</v>
      </c>
      <c r="O8994" s="18">
        <v>1000</v>
      </c>
      <c r="P8994" s="18">
        <v>1035</v>
      </c>
      <c r="Q8994" s="15"/>
      <c r="R8994" t="s" s="16">
        <f>HYPERLINK("http://secrets.rutgers.edu:8080/data/asl-ftp/asllvd/demos/verify_start_end_handshape_annotations//test_auto_move//signs_mov_separ_signers/Liz_15496.mov","MOV")</f>
        <v>21</v>
      </c>
    </row>
    <row r="8995" s="2" customFormat="1" ht="13.5" customHeight="1">
      <c r="B8995" s="13"/>
      <c r="C8995" t="s" s="9">
        <v>30</v>
      </c>
      <c r="D8995" t="s" s="8">
        <v>3291</v>
      </c>
      <c r="E8995" t="s" s="9">
        <v>3291</v>
      </c>
      <c r="F8995" s="19">
        <v>1</v>
      </c>
      <c r="G8995" s="14"/>
      <c r="H8995" s="19">
        <v>1</v>
      </c>
      <c r="I8995" s="14"/>
      <c r="J8995" t="s" s="11">
        <v>20</v>
      </c>
      <c r="K8995" t="s" s="16">
        <f>HYPERLINK("http://csr.bu.edu/ftp/asl/asllvd/demos/verify_start_end_handshape_annotations//test_auto_move//signs_mov/15496_16466_merged.mov","MOV")</f>
        <v>21</v>
      </c>
      <c r="L8995" t="s" s="16">
        <f>HYPERLINK("http://csr.bu.edu/ftp/asl/asllvd/demos/verify_start_end_handshape_annotations//test_auto_move//signs_mov_separ_signers/Brady_15496.mov","MOV")</f>
        <v>21</v>
      </c>
      <c r="M8995" t="s" s="10">
        <v>39</v>
      </c>
      <c r="N8995" s="17">
        <v>30</v>
      </c>
      <c r="O8995" s="18">
        <v>810</v>
      </c>
      <c r="P8995" s="18">
        <v>830</v>
      </c>
      <c r="Q8995" t="s" s="16">
        <f>HYPERLINK("http://secrets.rutgers.edu:8080/data/asl-ftp/asllvd/demos/verify_start_end_handshape_annotations//test_auto_move//signs_mov/15496_16466_merged.mov","MOV")</f>
        <v>21</v>
      </c>
      <c r="R8995" t="s" s="16">
        <f>HYPERLINK("http://secrets.rutgers.edu:8080/data/asl-ftp/asllvd/demos/verify_start_end_handshape_annotations//test_auto_move//signs_mov_separ_signers/Brady_15496.mov","MOV")</f>
        <v>21</v>
      </c>
    </row>
    <row r="8996" s="2" customFormat="1" ht="13.5" customHeight="1">
      <c r="B8996" s="13"/>
      <c r="C8996" t="s" s="9">
        <v>30</v>
      </c>
      <c r="D8996" t="s" s="8">
        <v>3291</v>
      </c>
      <c r="E8996" t="s" s="9">
        <v>3291</v>
      </c>
      <c r="F8996" s="19">
        <v>1</v>
      </c>
      <c r="G8996" s="14"/>
      <c r="H8996" s="19">
        <v>1</v>
      </c>
      <c r="I8996" s="14"/>
      <c r="J8996" t="s" s="11">
        <v>20</v>
      </c>
      <c r="K8996" s="15"/>
      <c r="L8996" t="s" s="16">
        <f>HYPERLINK("http://csr.bu.edu/ftp/asl/asllvd/demos/verify_start_end_handshape_annotations//test_auto_move//signs_mov_separ_signers/Brady_16466.mov","MOV")</f>
        <v>21</v>
      </c>
      <c r="M8996" t="s" s="10">
        <v>40</v>
      </c>
      <c r="N8996" s="17">
        <v>115</v>
      </c>
      <c r="O8996" s="18">
        <v>1345</v>
      </c>
      <c r="P8996" s="18">
        <v>1369</v>
      </c>
      <c r="Q8996" s="15"/>
      <c r="R8996" t="s" s="16">
        <f>HYPERLINK("http://secrets.rutgers.edu:8080/data/asl-ftp/asllvd/demos/verify_start_end_handshape_annotations//test_auto_move//signs_mov_separ_signers/Brady_16466.mov","MOV")</f>
        <v>21</v>
      </c>
    </row>
    <row r="8997" s="2" customFormat="1" ht="13.5" customHeight="1">
      <c r="B8997" t="s" s="8">
        <v>3292</v>
      </c>
      <c r="C8997" t="s" s="9">
        <v>14</v>
      </c>
      <c r="D8997" t="s" s="8">
        <v>14</v>
      </c>
      <c r="E8997" t="s" s="9">
        <v>14</v>
      </c>
      <c r="F8997" t="s" s="10">
        <v>14</v>
      </c>
      <c r="G8997" t="s" s="11">
        <v>14</v>
      </c>
      <c r="H8997" t="s" s="10">
        <v>14</v>
      </c>
      <c r="I8997" t="s" s="11">
        <v>14</v>
      </c>
      <c r="J8997" t="s" s="11">
        <v>14</v>
      </c>
      <c r="K8997" t="s" s="12">
        <v>14</v>
      </c>
      <c r="L8997" t="s" s="12">
        <v>14</v>
      </c>
      <c r="M8997" t="s" s="10">
        <v>14</v>
      </c>
      <c r="N8997" t="s" s="11">
        <v>14</v>
      </c>
      <c r="O8997" t="s" s="8">
        <v>14</v>
      </c>
      <c r="P8997" t="s" s="8">
        <v>14</v>
      </c>
      <c r="Q8997" t="s" s="12">
        <v>14</v>
      </c>
      <c r="R8997" t="s" s="12">
        <v>14</v>
      </c>
    </row>
    <row r="8998" s="2" customFormat="1" ht="13.5" customHeight="1">
      <c r="B8998" s="13"/>
      <c r="C8998" t="s" s="9">
        <v>16</v>
      </c>
      <c r="D8998" t="s" s="8">
        <v>3292</v>
      </c>
      <c r="E8998" t="s" s="9">
        <v>3292</v>
      </c>
      <c r="F8998" t="s" s="10">
        <v>68</v>
      </c>
      <c r="G8998" t="s" s="11">
        <v>68</v>
      </c>
      <c r="H8998" s="19">
        <v>5</v>
      </c>
      <c r="I8998" s="17">
        <v>5</v>
      </c>
      <c r="J8998" t="s" s="11">
        <v>20</v>
      </c>
      <c r="K8998" t="s" s="16">
        <f>HYPERLINK("http://csr.bu.edu/ftp/asl/asllvd/demos/verify_start_end_handshape_annotations//test_auto_move//signs_mov/2497.mov","MOV")</f>
        <v>21</v>
      </c>
      <c r="L8998" t="s" s="16">
        <f>HYPERLINK("http://csr.bu.edu/ftp/asl/asllvd/demos/verify_start_end_handshape_annotations//test_auto_move//signs_mov_separ_signers/Liz_2497.mov","MOV")</f>
        <v>21</v>
      </c>
      <c r="M8998" t="s" s="10">
        <v>36</v>
      </c>
      <c r="N8998" s="17">
        <v>54</v>
      </c>
      <c r="O8998" s="18">
        <v>2255</v>
      </c>
      <c r="P8998" s="18">
        <v>2295</v>
      </c>
      <c r="Q8998" t="s" s="16">
        <f>HYPERLINK("http://secrets.rutgers.edu:8080/data/asl-ftp/asllvd/demos/verify_start_end_handshape_annotations//test_auto_move//signs_mov/2497.mov","MOV")</f>
        <v>21</v>
      </c>
      <c r="R8998" t="s" s="16">
        <f>HYPERLINK("http://secrets.rutgers.edu:8080/data/asl-ftp/asllvd/demos/verify_start_end_handshape_annotations//test_auto_move//signs_mov_separ_signers/Liz_2497.mov","MOV")</f>
        <v>21</v>
      </c>
    </row>
    <row r="8999" s="2" customFormat="1" ht="13.5" customHeight="1">
      <c r="B8999" s="13"/>
      <c r="C8999" t="s" s="9">
        <v>30</v>
      </c>
      <c r="D8999" t="s" s="8">
        <v>3292</v>
      </c>
      <c r="E8999" t="s" s="9">
        <v>3292</v>
      </c>
      <c r="F8999" t="s" s="10">
        <v>68</v>
      </c>
      <c r="G8999" t="s" s="11">
        <v>68</v>
      </c>
      <c r="H8999" t="s" s="10">
        <v>80</v>
      </c>
      <c r="I8999" t="s" s="11">
        <v>80</v>
      </c>
      <c r="J8999" t="s" s="11">
        <v>20</v>
      </c>
      <c r="K8999" s="15"/>
      <c r="L8999" t="s" s="16">
        <f>HYPERLINK("http://csr.bu.edu/ftp/asl/asllvd/demos/verify_start_end_handshape_annotations//test_auto_move//signs_mov_separ_signers/Brady_2497.mov","MOV")</f>
        <v>21</v>
      </c>
      <c r="M8999" t="s" s="10">
        <v>40</v>
      </c>
      <c r="N8999" s="17">
        <v>106</v>
      </c>
      <c r="O8999" s="18">
        <v>1672</v>
      </c>
      <c r="P8999" s="18">
        <v>1725</v>
      </c>
      <c r="Q8999" s="15"/>
      <c r="R8999" t="s" s="16">
        <f>HYPERLINK("http://secrets.rutgers.edu:8080/data/asl-ftp/asllvd/demos/verify_start_end_handshape_annotations//test_auto_move//signs_mov_separ_signers/Brady_2497.mov","MOV")</f>
        <v>21</v>
      </c>
    </row>
    <row r="9000" s="2" customFormat="1" ht="13.5" customHeight="1">
      <c r="B9000" t="s" s="8">
        <v>3293</v>
      </c>
      <c r="C9000" t="s" s="9">
        <v>14</v>
      </c>
      <c r="D9000" t="s" s="8">
        <v>14</v>
      </c>
      <c r="E9000" t="s" s="9">
        <v>14</v>
      </c>
      <c r="F9000" t="s" s="10">
        <v>14</v>
      </c>
      <c r="G9000" t="s" s="11">
        <v>14</v>
      </c>
      <c r="H9000" t="s" s="10">
        <v>14</v>
      </c>
      <c r="I9000" t="s" s="11">
        <v>14</v>
      </c>
      <c r="J9000" t="s" s="11">
        <v>14</v>
      </c>
      <c r="K9000" t="s" s="12">
        <v>14</v>
      </c>
      <c r="L9000" t="s" s="12">
        <v>14</v>
      </c>
      <c r="M9000" t="s" s="10">
        <v>14</v>
      </c>
      <c r="N9000" t="s" s="11">
        <v>14</v>
      </c>
      <c r="O9000" t="s" s="8">
        <v>14</v>
      </c>
      <c r="P9000" t="s" s="8">
        <v>14</v>
      </c>
      <c r="Q9000" t="s" s="12">
        <v>14</v>
      </c>
      <c r="R9000" t="s" s="12">
        <v>14</v>
      </c>
    </row>
    <row r="9001" s="2" customFormat="1" ht="13.5" customHeight="1">
      <c r="B9001" s="13"/>
      <c r="C9001" t="s" s="9">
        <v>16</v>
      </c>
      <c r="D9001" t="s" s="8">
        <v>3293</v>
      </c>
      <c r="E9001" t="s" s="9">
        <v>3293</v>
      </c>
      <c r="F9001" t="s" s="10">
        <v>68</v>
      </c>
      <c r="G9001" t="s" s="11">
        <v>68</v>
      </c>
      <c r="H9001" s="19">
        <v>5</v>
      </c>
      <c r="I9001" s="17">
        <v>5</v>
      </c>
      <c r="J9001" t="s" s="11">
        <v>20</v>
      </c>
      <c r="K9001" t="s" s="16">
        <f>HYPERLINK("http://csr.bu.edu/ftp/asl/asllvd/demos/verify_start_end_handshape_annotations//test_auto_move//signs_mov/2499.mov","MOV")</f>
        <v>21</v>
      </c>
      <c r="L9001" t="s" s="16">
        <f>HYPERLINK("http://csr.bu.edu/ftp/asl/asllvd/demos/verify_start_end_handshape_annotations//test_auto_move//signs_mov_separ_signers/Liz_2499.mov","MOV")</f>
        <v>21</v>
      </c>
      <c r="M9001" t="s" s="10">
        <v>36</v>
      </c>
      <c r="N9001" s="17">
        <v>54</v>
      </c>
      <c r="O9001" s="18">
        <v>3150</v>
      </c>
      <c r="P9001" s="18">
        <v>3190</v>
      </c>
      <c r="Q9001" t="s" s="16">
        <f>HYPERLINK("http://secrets.rutgers.edu:8080/data/asl-ftp/asllvd/demos/verify_start_end_handshape_annotations//test_auto_move//signs_mov/2499.mov","MOV")</f>
        <v>21</v>
      </c>
      <c r="R9001" t="s" s="16">
        <f>HYPERLINK("http://secrets.rutgers.edu:8080/data/asl-ftp/asllvd/demos/verify_start_end_handshape_annotations//test_auto_move//signs_mov_separ_signers/Liz_2499.mov","MOV")</f>
        <v>21</v>
      </c>
    </row>
    <row r="9002" s="2" customFormat="1" ht="13.5" customHeight="1">
      <c r="B9002" s="13"/>
      <c r="C9002" t="s" s="9">
        <v>30</v>
      </c>
      <c r="D9002" t="s" s="8">
        <v>3293</v>
      </c>
      <c r="E9002" t="s" s="9">
        <v>3293</v>
      </c>
      <c r="F9002" t="s" s="10">
        <v>68</v>
      </c>
      <c r="G9002" t="s" s="11">
        <v>68</v>
      </c>
      <c r="H9002" s="19">
        <v>5</v>
      </c>
      <c r="I9002" s="17">
        <v>5</v>
      </c>
      <c r="J9002" t="s" s="11">
        <v>20</v>
      </c>
      <c r="K9002" s="15"/>
      <c r="L9002" t="s" s="16">
        <f>HYPERLINK("http://csr.bu.edu/ftp/asl/asllvd/demos/verify_start_end_handshape_annotations//test_auto_move//signs_mov_separ_signers/Brady_2499.mov","MOV")</f>
        <v>21</v>
      </c>
      <c r="M9002" t="s" s="10">
        <v>40</v>
      </c>
      <c r="N9002" s="17">
        <v>106</v>
      </c>
      <c r="O9002" s="18">
        <v>2767</v>
      </c>
      <c r="P9002" s="18">
        <v>2798</v>
      </c>
      <c r="Q9002" s="15"/>
      <c r="R9002" t="s" s="16">
        <f>HYPERLINK("http://secrets.rutgers.edu:8080/data/asl-ftp/asllvd/demos/verify_start_end_handshape_annotations//test_auto_move//signs_mov_separ_signers/Brady_2499.mov","MOV")</f>
        <v>21</v>
      </c>
    </row>
    <row r="9003" s="2" customFormat="1" ht="13.5" customHeight="1">
      <c r="B9003" t="s" s="8">
        <v>3294</v>
      </c>
      <c r="C9003" t="s" s="9">
        <v>14</v>
      </c>
      <c r="D9003" t="s" s="8">
        <v>14</v>
      </c>
      <c r="E9003" t="s" s="9">
        <v>14</v>
      </c>
      <c r="F9003" t="s" s="10">
        <v>14</v>
      </c>
      <c r="G9003" t="s" s="11">
        <v>14</v>
      </c>
      <c r="H9003" t="s" s="10">
        <v>14</v>
      </c>
      <c r="I9003" t="s" s="11">
        <v>14</v>
      </c>
      <c r="J9003" t="s" s="11">
        <v>14</v>
      </c>
      <c r="K9003" t="s" s="12">
        <v>14</v>
      </c>
      <c r="L9003" t="s" s="12">
        <v>14</v>
      </c>
      <c r="M9003" t="s" s="10">
        <v>14</v>
      </c>
      <c r="N9003" t="s" s="11">
        <v>14</v>
      </c>
      <c r="O9003" t="s" s="8">
        <v>14</v>
      </c>
      <c r="P9003" t="s" s="8">
        <v>14</v>
      </c>
      <c r="Q9003" t="s" s="12">
        <v>14</v>
      </c>
      <c r="R9003" t="s" s="12">
        <v>14</v>
      </c>
    </row>
    <row r="9004" s="2" customFormat="1" ht="13.5" customHeight="1">
      <c r="B9004" s="13"/>
      <c r="C9004" t="s" s="9">
        <v>16</v>
      </c>
      <c r="D9004" t="s" s="8">
        <v>3294</v>
      </c>
      <c r="E9004" t="s" s="9">
        <v>3294</v>
      </c>
      <c r="F9004" t="s" s="10">
        <v>150</v>
      </c>
      <c r="G9004" t="s" s="11">
        <v>150</v>
      </c>
      <c r="H9004" t="s" s="10">
        <v>80</v>
      </c>
      <c r="I9004" t="s" s="11">
        <v>80</v>
      </c>
      <c r="J9004" t="s" s="11">
        <v>20</v>
      </c>
      <c r="K9004" t="s" s="16">
        <f>HYPERLINK("http://csr.bu.edu/ftp/asl/asllvd/demos/verify_start_end_handshape_annotations//test_auto_move//signs_mov/15185.mov","MOV")</f>
        <v>21</v>
      </c>
      <c r="L9004" t="s" s="16">
        <f>HYPERLINK("http://csr.bu.edu/ftp/asl/asllvd/demos/verify_start_end_handshape_annotations//test_auto_move//signs_mov_separ_signers/Liz_15185.mov","MOV")</f>
        <v>21</v>
      </c>
      <c r="M9004" t="s" s="10">
        <v>36</v>
      </c>
      <c r="N9004" s="17">
        <v>54</v>
      </c>
      <c r="O9004" s="18">
        <v>2685</v>
      </c>
      <c r="P9004" s="18">
        <v>2725</v>
      </c>
      <c r="Q9004" t="s" s="16">
        <f>HYPERLINK("http://secrets.rutgers.edu:8080/data/asl-ftp/asllvd/demos/verify_start_end_handshape_annotations//test_auto_move//signs_mov/15185.mov","MOV")</f>
        <v>21</v>
      </c>
      <c r="R9004" t="s" s="16">
        <f>HYPERLINK("http://secrets.rutgers.edu:8080/data/asl-ftp/asllvd/demos/verify_start_end_handshape_annotations//test_auto_move//signs_mov_separ_signers/Liz_15185.mov","MOV")</f>
        <v>21</v>
      </c>
    </row>
    <row r="9005" s="2" customFormat="1" ht="13.5" customHeight="1">
      <c r="B9005" t="s" s="8">
        <v>52</v>
      </c>
      <c r="C9005" t="s" s="9">
        <v>53</v>
      </c>
      <c r="D9005" t="s" s="8">
        <v>53</v>
      </c>
      <c r="E9005" t="s" s="9">
        <v>53</v>
      </c>
      <c r="F9005" t="s" s="10">
        <v>53</v>
      </c>
      <c r="G9005" t="s" s="11">
        <v>53</v>
      </c>
      <c r="H9005" t="s" s="10">
        <v>53</v>
      </c>
      <c r="I9005" t="s" s="11">
        <v>53</v>
      </c>
      <c r="J9005" t="s" s="11">
        <v>53</v>
      </c>
      <c r="K9005" t="s" s="12">
        <v>53</v>
      </c>
      <c r="L9005" t="s" s="12">
        <v>53</v>
      </c>
      <c r="M9005" t="s" s="10">
        <v>53</v>
      </c>
      <c r="N9005" t="s" s="11">
        <v>53</v>
      </c>
      <c r="O9005" t="s" s="8">
        <v>53</v>
      </c>
      <c r="P9005" t="s" s="8">
        <v>53</v>
      </c>
      <c r="Q9005" t="s" s="12">
        <v>53</v>
      </c>
      <c r="R9005" t="s" s="12">
        <v>53</v>
      </c>
    </row>
    <row r="9006" s="2" customFormat="1" ht="13.5" customHeight="1">
      <c r="B9006" s="13"/>
      <c r="C9006" t="s" s="9">
        <v>30</v>
      </c>
      <c r="D9006" t="s" s="8">
        <v>3294</v>
      </c>
      <c r="E9006" t="s" s="9">
        <v>3295</v>
      </c>
      <c r="F9006" s="19">
        <v>5</v>
      </c>
      <c r="G9006" s="17">
        <v>5</v>
      </c>
      <c r="H9006" s="19">
        <v>5</v>
      </c>
      <c r="I9006" s="17">
        <v>5</v>
      </c>
      <c r="J9006" t="s" s="11">
        <v>20</v>
      </c>
      <c r="K9006" t="s" s="16">
        <f>HYPERLINK("http://csr.bu.edu/ftp/asl/asllvd/demos/verify_start_end_handshape_annotations//test_auto_move//signs_mov/16467.mov","MOV")</f>
        <v>21</v>
      </c>
      <c r="L9006" t="s" s="16">
        <f>HYPERLINK("http://csr.bu.edu/ftp/asl/asllvd/demos/verify_start_end_handshape_annotations//test_auto_move//signs_mov_separ_signers/Brady_16467.mov","MOV")</f>
        <v>21</v>
      </c>
      <c r="M9006" t="s" s="10">
        <v>40</v>
      </c>
      <c r="N9006" s="17">
        <v>106</v>
      </c>
      <c r="O9006" s="18">
        <v>3172</v>
      </c>
      <c r="P9006" s="18">
        <v>3198</v>
      </c>
      <c r="Q9006" t="s" s="16">
        <f>HYPERLINK("http://secrets.rutgers.edu:8080/data/asl-ftp/asllvd/demos/verify_start_end_handshape_annotations//test_auto_move//signs_mov/16467.mov","MOV")</f>
        <v>21</v>
      </c>
      <c r="R9006" t="s" s="16">
        <f>HYPERLINK("http://secrets.rutgers.edu:8080/data/asl-ftp/asllvd/demos/verify_start_end_handshape_annotations//test_auto_move//signs_mov_separ_signers/Brady_16467.mov","MOV")</f>
        <v>21</v>
      </c>
    </row>
    <row r="9007" s="2" customFormat="1" ht="13.5" customHeight="1">
      <c r="B9007" t="s" s="8">
        <v>3296</v>
      </c>
      <c r="C9007" t="s" s="9">
        <v>14</v>
      </c>
      <c r="D9007" t="s" s="8">
        <v>14</v>
      </c>
      <c r="E9007" t="s" s="9">
        <v>14</v>
      </c>
      <c r="F9007" t="s" s="10">
        <v>14</v>
      </c>
      <c r="G9007" t="s" s="11">
        <v>14</v>
      </c>
      <c r="H9007" t="s" s="10">
        <v>14</v>
      </c>
      <c r="I9007" t="s" s="11">
        <v>14</v>
      </c>
      <c r="J9007" t="s" s="11">
        <v>14</v>
      </c>
      <c r="K9007" t="s" s="12">
        <v>14</v>
      </c>
      <c r="L9007" t="s" s="12">
        <v>14</v>
      </c>
      <c r="M9007" t="s" s="10">
        <v>14</v>
      </c>
      <c r="N9007" t="s" s="11">
        <v>14</v>
      </c>
      <c r="O9007" t="s" s="8">
        <v>14</v>
      </c>
      <c r="P9007" t="s" s="8">
        <v>14</v>
      </c>
      <c r="Q9007" t="s" s="12">
        <v>14</v>
      </c>
      <c r="R9007" t="s" s="12">
        <v>14</v>
      </c>
    </row>
    <row r="9008" s="2" customFormat="1" ht="13.5" customHeight="1">
      <c r="B9008" s="13"/>
      <c r="C9008" t="s" s="9">
        <v>16</v>
      </c>
      <c r="D9008" t="s" s="8">
        <v>3296</v>
      </c>
      <c r="E9008" t="s" s="9">
        <v>3296</v>
      </c>
      <c r="F9008" t="s" s="10">
        <v>148</v>
      </c>
      <c r="G9008" t="s" s="11">
        <v>73</v>
      </c>
      <c r="H9008" t="s" s="10">
        <v>119</v>
      </c>
      <c r="I9008" t="s" s="11">
        <v>73</v>
      </c>
      <c r="J9008" t="s" s="11">
        <v>20</v>
      </c>
      <c r="K9008" t="s" s="16">
        <f>HYPERLINK("http://csr.bu.edu/ftp/asl/asllvd/demos/verify_start_end_handshape_annotations//test_auto_move//signs_mov/2500.mov","MOV")</f>
        <v>21</v>
      </c>
      <c r="L9008" t="s" s="16">
        <f>HYPERLINK("http://csr.bu.edu/ftp/asl/asllvd/demos/verify_start_end_handshape_annotations//test_auto_move//signs_mov_separ_signers/Liz_2500.mov","MOV")</f>
        <v>21</v>
      </c>
      <c r="M9008" t="s" s="10">
        <v>59</v>
      </c>
      <c r="N9008" s="17">
        <v>2</v>
      </c>
      <c r="O9008" s="18">
        <v>315</v>
      </c>
      <c r="P9008" s="18">
        <v>361</v>
      </c>
      <c r="Q9008" t="s" s="16">
        <f>HYPERLINK("http://secrets.rutgers.edu:8080/data/asl-ftp/asllvd/demos/verify_start_end_handshape_annotations//test_auto_move//signs_mov/2500.mov","MOV")</f>
        <v>21</v>
      </c>
      <c r="R9008" t="s" s="16">
        <f>HYPERLINK("http://secrets.rutgers.edu:8080/data/asl-ftp/asllvd/demos/verify_start_end_handshape_annotations//test_auto_move//signs_mov_separ_signers/Liz_2500.mov","MOV")</f>
        <v>21</v>
      </c>
    </row>
    <row r="9009" s="2" customFormat="1" ht="13.5" customHeight="1">
      <c r="B9009" s="13"/>
      <c r="C9009" t="s" s="9">
        <v>30</v>
      </c>
      <c r="D9009" t="s" s="8">
        <v>3296</v>
      </c>
      <c r="E9009" t="s" s="9">
        <v>3296</v>
      </c>
      <c r="F9009" s="19">
        <v>5</v>
      </c>
      <c r="G9009" t="s" s="11">
        <v>73</v>
      </c>
      <c r="H9009" t="s" s="10">
        <v>119</v>
      </c>
      <c r="I9009" t="s" s="11">
        <v>73</v>
      </c>
      <c r="J9009" t="s" s="11">
        <v>20</v>
      </c>
      <c r="K9009" s="15"/>
      <c r="L9009" t="s" s="16">
        <f>HYPERLINK("http://csr.bu.edu/ftp/asl/asllvd/demos/verify_start_end_handshape_annotations//test_auto_move//signs_mov_separ_signers/Brady_2500.mov","MOV")</f>
        <v>21</v>
      </c>
      <c r="M9009" t="s" s="10">
        <v>40</v>
      </c>
      <c r="N9009" s="17">
        <v>106</v>
      </c>
      <c r="O9009" s="18">
        <v>3970</v>
      </c>
      <c r="P9009" s="18">
        <v>4013</v>
      </c>
      <c r="Q9009" s="15"/>
      <c r="R9009" t="s" s="16">
        <f>HYPERLINK("http://secrets.rutgers.edu:8080/data/asl-ftp/asllvd/demos/verify_start_end_handshape_annotations//test_auto_move//signs_mov_separ_signers/Brady_2500.mov","MOV")</f>
        <v>21</v>
      </c>
    </row>
    <row r="9010" s="2" customFormat="1" ht="13.5" customHeight="1">
      <c r="B9010" t="s" s="8">
        <v>3297</v>
      </c>
      <c r="C9010" t="s" s="9">
        <v>14</v>
      </c>
      <c r="D9010" t="s" s="8">
        <v>14</v>
      </c>
      <c r="E9010" t="s" s="9">
        <v>14</v>
      </c>
      <c r="F9010" t="s" s="10">
        <v>14</v>
      </c>
      <c r="G9010" t="s" s="11">
        <v>14</v>
      </c>
      <c r="H9010" t="s" s="10">
        <v>14</v>
      </c>
      <c r="I9010" t="s" s="11">
        <v>14</v>
      </c>
      <c r="J9010" t="s" s="11">
        <v>14</v>
      </c>
      <c r="K9010" t="s" s="12">
        <v>14</v>
      </c>
      <c r="L9010" t="s" s="12">
        <v>14</v>
      </c>
      <c r="M9010" t="s" s="10">
        <v>14</v>
      </c>
      <c r="N9010" t="s" s="11">
        <v>14</v>
      </c>
      <c r="O9010" t="s" s="8">
        <v>14</v>
      </c>
      <c r="P9010" t="s" s="8">
        <v>14</v>
      </c>
      <c r="Q9010" t="s" s="12">
        <v>14</v>
      </c>
      <c r="R9010" t="s" s="12">
        <v>14</v>
      </c>
    </row>
    <row r="9011" s="2" customFormat="1" ht="13.5" customHeight="1">
      <c r="B9011" s="13"/>
      <c r="C9011" t="s" s="9">
        <v>16</v>
      </c>
      <c r="D9011" t="s" s="8">
        <v>3297</v>
      </c>
      <c r="E9011" t="s" s="9">
        <v>3297</v>
      </c>
      <c r="F9011" t="s" s="10">
        <v>72</v>
      </c>
      <c r="G9011" t="s" s="11">
        <v>72</v>
      </c>
      <c r="H9011" t="s" s="10">
        <v>72</v>
      </c>
      <c r="I9011" t="s" s="11">
        <v>72</v>
      </c>
      <c r="J9011" t="s" s="11">
        <v>20</v>
      </c>
      <c r="K9011" t="s" s="16">
        <f>HYPERLINK("http://csr.bu.edu/ftp/asl/asllvd/demos/verify_start_end_handshape_annotations//test_auto_move//signs_mov/2503.mov","MOV")</f>
        <v>21</v>
      </c>
      <c r="L9011" t="s" s="16">
        <f>HYPERLINK("http://csr.bu.edu/ftp/asl/asllvd/demos/verify_start_end_handshape_annotations//test_auto_move//signs_mov_separ_signers/Liz_2503.mov","MOV")</f>
        <v>21</v>
      </c>
      <c r="M9011" t="s" s="10">
        <v>59</v>
      </c>
      <c r="N9011" s="17">
        <v>2</v>
      </c>
      <c r="O9011" s="18">
        <v>1055</v>
      </c>
      <c r="P9011" s="18">
        <v>1130</v>
      </c>
      <c r="Q9011" t="s" s="16">
        <f>HYPERLINK("http://secrets.rutgers.edu:8080/data/asl-ftp/asllvd/demos/verify_start_end_handshape_annotations//test_auto_move//signs_mov/2503.mov","MOV")</f>
        <v>21</v>
      </c>
      <c r="R9011" t="s" s="16">
        <f>HYPERLINK("http://secrets.rutgers.edu:8080/data/asl-ftp/asllvd/demos/verify_start_end_handshape_annotations//test_auto_move//signs_mov_separ_signers/Liz_2503.mov","MOV")</f>
        <v>21</v>
      </c>
    </row>
    <row r="9012" s="2" customFormat="1" ht="13.5" customHeight="1">
      <c r="B9012" s="13"/>
      <c r="C9012" t="s" s="9">
        <v>30</v>
      </c>
      <c r="D9012" t="s" s="8">
        <v>3297</v>
      </c>
      <c r="E9012" t="s" s="9">
        <v>3297</v>
      </c>
      <c r="F9012" t="s" s="10">
        <v>72</v>
      </c>
      <c r="G9012" t="s" s="11">
        <v>72</v>
      </c>
      <c r="H9012" t="s" s="10">
        <v>72</v>
      </c>
      <c r="I9012" t="s" s="11">
        <v>72</v>
      </c>
      <c r="J9012" t="s" s="11">
        <v>20</v>
      </c>
      <c r="K9012" s="15"/>
      <c r="L9012" t="s" s="16">
        <f>HYPERLINK("http://csr.bu.edu/ftp/asl/asllvd/demos/verify_start_end_handshape_annotations//test_auto_move//signs_mov_separ_signers/Brady_2503.mov","MOV")</f>
        <v>21</v>
      </c>
      <c r="M9012" t="s" s="10">
        <v>40</v>
      </c>
      <c r="N9012" s="17">
        <v>107</v>
      </c>
      <c r="O9012" s="18">
        <v>609</v>
      </c>
      <c r="P9012" s="18">
        <v>633</v>
      </c>
      <c r="Q9012" s="15"/>
      <c r="R9012" t="s" s="16">
        <f>HYPERLINK("http://secrets.rutgers.edu:8080/data/asl-ftp/asllvd/demos/verify_start_end_handshape_annotations//test_auto_move//signs_mov_separ_signers/Brady_2503.mov","MOV")</f>
        <v>21</v>
      </c>
    </row>
    <row r="9013" s="2" customFormat="1" ht="13.5" customHeight="1">
      <c r="B9013" t="s" s="8">
        <v>3298</v>
      </c>
      <c r="C9013" t="s" s="9">
        <v>14</v>
      </c>
      <c r="D9013" t="s" s="8">
        <v>14</v>
      </c>
      <c r="E9013" t="s" s="9">
        <v>14</v>
      </c>
      <c r="F9013" t="s" s="10">
        <v>14</v>
      </c>
      <c r="G9013" t="s" s="11">
        <v>14</v>
      </c>
      <c r="H9013" t="s" s="10">
        <v>14</v>
      </c>
      <c r="I9013" t="s" s="11">
        <v>14</v>
      </c>
      <c r="J9013" t="s" s="11">
        <v>14</v>
      </c>
      <c r="K9013" t="s" s="12">
        <v>14</v>
      </c>
      <c r="L9013" t="s" s="12">
        <v>14</v>
      </c>
      <c r="M9013" t="s" s="10">
        <v>14</v>
      </c>
      <c r="N9013" t="s" s="11">
        <v>14</v>
      </c>
      <c r="O9013" t="s" s="8">
        <v>14</v>
      </c>
      <c r="P9013" t="s" s="8">
        <v>14</v>
      </c>
      <c r="Q9013" t="s" s="12">
        <v>14</v>
      </c>
      <c r="R9013" t="s" s="12">
        <v>14</v>
      </c>
    </row>
    <row r="9014" s="2" customFormat="1" ht="13.5" customHeight="1">
      <c r="B9014" s="13"/>
      <c r="C9014" t="s" s="9">
        <v>16</v>
      </c>
      <c r="D9014" t="s" s="8">
        <v>3298</v>
      </c>
      <c r="E9014" t="s" s="9">
        <v>3299</v>
      </c>
      <c r="F9014" t="s" s="10">
        <v>55</v>
      </c>
      <c r="G9014" t="s" s="11">
        <v>55</v>
      </c>
      <c r="H9014" t="s" s="10">
        <v>55</v>
      </c>
      <c r="I9014" t="s" s="11">
        <v>55</v>
      </c>
      <c r="J9014" t="s" s="11">
        <v>20</v>
      </c>
      <c r="K9014" t="s" s="16">
        <f>HYPERLINK("http://csr.bu.edu/ftp/asl/asllvd/demos/verify_start_end_handshape_annotations//test_auto_move//signs_mov/2504.mov","MOV")</f>
        <v>21</v>
      </c>
      <c r="L9014" t="s" s="16">
        <f>HYPERLINK("http://csr.bu.edu/ftp/asl/asllvd/demos/verify_start_end_handshape_annotations//test_auto_move//signs_mov_separ_signers/Liz_2504.mov","MOV")</f>
        <v>21</v>
      </c>
      <c r="M9014" t="s" s="10">
        <v>59</v>
      </c>
      <c r="N9014" s="17">
        <v>2</v>
      </c>
      <c r="O9014" s="18">
        <v>1320</v>
      </c>
      <c r="P9014" s="18">
        <v>1380</v>
      </c>
      <c r="Q9014" t="s" s="16">
        <f>HYPERLINK("http://secrets.rutgers.edu:8080/data/asl-ftp/asllvd/demos/verify_start_end_handshape_annotations//test_auto_move//signs_mov/2504.mov","MOV")</f>
        <v>21</v>
      </c>
      <c r="R9014" t="s" s="16">
        <f>HYPERLINK("http://secrets.rutgers.edu:8080/data/asl-ftp/asllvd/demos/verify_start_end_handshape_annotations//test_auto_move//signs_mov_separ_signers/Liz_2504.mov","MOV")</f>
        <v>21</v>
      </c>
    </row>
    <row r="9015" s="2" customFormat="1" ht="13.5" customHeight="1">
      <c r="B9015" s="13"/>
      <c r="C9015" t="s" s="9">
        <v>30</v>
      </c>
      <c r="D9015" t="s" s="8">
        <v>3298</v>
      </c>
      <c r="E9015" t="s" s="9">
        <v>3300</v>
      </c>
      <c r="F9015" t="s" s="10">
        <v>73</v>
      </c>
      <c r="G9015" t="s" s="11">
        <v>73</v>
      </c>
      <c r="H9015" t="s" s="10">
        <v>73</v>
      </c>
      <c r="I9015" t="s" s="11">
        <v>73</v>
      </c>
      <c r="J9015" t="s" s="11">
        <v>20</v>
      </c>
      <c r="K9015" s="15"/>
      <c r="L9015" t="s" s="16">
        <f>HYPERLINK("http://csr.bu.edu/ftp/asl/asllvd/demos/verify_start_end_handshape_annotations//test_auto_move//signs_mov_separ_signers/Brady_2504.mov","MOV")</f>
        <v>21</v>
      </c>
      <c r="M9015" t="s" s="10">
        <v>40</v>
      </c>
      <c r="N9015" s="17">
        <v>107</v>
      </c>
      <c r="O9015" s="18">
        <v>907</v>
      </c>
      <c r="P9015" s="18">
        <v>943</v>
      </c>
      <c r="Q9015" s="15"/>
      <c r="R9015" t="s" s="16">
        <f>HYPERLINK("http://secrets.rutgers.edu:8080/data/asl-ftp/asllvd/demos/verify_start_end_handshape_annotations//test_auto_move//signs_mov_separ_signers/Brady_2504.mov","MOV")</f>
        <v>21</v>
      </c>
    </row>
    <row r="9016" s="2" customFormat="1" ht="13.5" customHeight="1">
      <c r="B9016" t="s" s="8">
        <v>3301</v>
      </c>
      <c r="C9016" t="s" s="9">
        <v>14</v>
      </c>
      <c r="D9016" t="s" s="8">
        <v>14</v>
      </c>
      <c r="E9016" t="s" s="9">
        <v>14</v>
      </c>
      <c r="F9016" t="s" s="10">
        <v>14</v>
      </c>
      <c r="G9016" t="s" s="11">
        <v>14</v>
      </c>
      <c r="H9016" t="s" s="10">
        <v>14</v>
      </c>
      <c r="I9016" t="s" s="11">
        <v>14</v>
      </c>
      <c r="J9016" t="s" s="11">
        <v>14</v>
      </c>
      <c r="K9016" t="s" s="12">
        <v>14</v>
      </c>
      <c r="L9016" t="s" s="12">
        <v>14</v>
      </c>
      <c r="M9016" t="s" s="10">
        <v>14</v>
      </c>
      <c r="N9016" t="s" s="11">
        <v>14</v>
      </c>
      <c r="O9016" t="s" s="8">
        <v>14</v>
      </c>
      <c r="P9016" t="s" s="8">
        <v>14</v>
      </c>
      <c r="Q9016" t="s" s="12">
        <v>14</v>
      </c>
      <c r="R9016" t="s" s="12">
        <v>14</v>
      </c>
    </row>
    <row r="9017" s="2" customFormat="1" ht="13.5" customHeight="1">
      <c r="B9017" s="13"/>
      <c r="C9017" t="s" s="9">
        <v>16</v>
      </c>
      <c r="D9017" t="s" s="8">
        <v>3301</v>
      </c>
      <c r="E9017" t="s" s="9">
        <v>3301</v>
      </c>
      <c r="F9017" t="s" s="10">
        <v>185</v>
      </c>
      <c r="G9017" s="14"/>
      <c r="H9017" t="s" s="10">
        <v>185</v>
      </c>
      <c r="I9017" s="14"/>
      <c r="J9017" t="s" s="11">
        <v>20</v>
      </c>
      <c r="K9017" t="s" s="16">
        <f>HYPERLINK("http://csr.bu.edu/ftp/asl/asllvd/demos/verify_start_end_handshape_annotations//test_auto_move//signs_mov/2509.mov","MOV")</f>
        <v>21</v>
      </c>
      <c r="L9017" t="s" s="16">
        <f>HYPERLINK("http://csr.bu.edu/ftp/asl/asllvd/demos/verify_start_end_handshape_annotations//test_auto_move//signs_mov_separ_signers/Liz_2509.mov","MOV")</f>
        <v>21</v>
      </c>
      <c r="M9017" t="s" s="10">
        <v>59</v>
      </c>
      <c r="N9017" s="17">
        <v>2</v>
      </c>
      <c r="O9017" s="18">
        <v>6955</v>
      </c>
      <c r="P9017" s="18">
        <v>7015</v>
      </c>
      <c r="Q9017" t="s" s="16">
        <f>HYPERLINK("http://secrets.rutgers.edu:8080/data/asl-ftp/asllvd/demos/verify_start_end_handshape_annotations//test_auto_move//signs_mov/2509.mov","MOV")</f>
        <v>21</v>
      </c>
      <c r="R9017" t="s" s="16">
        <f>HYPERLINK("http://secrets.rutgers.edu:8080/data/asl-ftp/asllvd/demos/verify_start_end_handshape_annotations//test_auto_move//signs_mov_separ_signers/Liz_2509.mov","MOV")</f>
        <v>21</v>
      </c>
    </row>
    <row r="9018" s="2" customFormat="1" ht="13.5" customHeight="1">
      <c r="B9018" s="13"/>
      <c r="C9018" t="s" s="9">
        <v>30</v>
      </c>
      <c r="D9018" t="s" s="8">
        <v>3301</v>
      </c>
      <c r="E9018" t="s" s="9">
        <v>3301</v>
      </c>
      <c r="F9018" t="s" s="10">
        <v>185</v>
      </c>
      <c r="G9018" s="14"/>
      <c r="H9018" t="s" s="10">
        <v>185</v>
      </c>
      <c r="I9018" s="14"/>
      <c r="J9018" t="s" s="11">
        <v>20</v>
      </c>
      <c r="K9018" s="15"/>
      <c r="L9018" t="s" s="16">
        <f>HYPERLINK("http://csr.bu.edu/ftp/asl/asllvd/demos/verify_start_end_handshape_annotations//test_auto_move//signs_mov_separ_signers/Brady_2509.mov","MOV")</f>
        <v>21</v>
      </c>
      <c r="M9018" t="s" s="10">
        <v>40</v>
      </c>
      <c r="N9018" s="17">
        <v>107</v>
      </c>
      <c r="O9018" s="18">
        <v>1891</v>
      </c>
      <c r="P9018" s="18">
        <v>1933</v>
      </c>
      <c r="Q9018" s="15"/>
      <c r="R9018" t="s" s="16">
        <f>HYPERLINK("http://secrets.rutgers.edu:8080/data/asl-ftp/asllvd/demos/verify_start_end_handshape_annotations//test_auto_move//signs_mov_separ_signers/Brady_2509.mov","MOV")</f>
        <v>21</v>
      </c>
    </row>
    <row r="9019" s="2" customFormat="1" ht="13.5" customHeight="1">
      <c r="B9019" t="s" s="8">
        <v>3302</v>
      </c>
      <c r="C9019" t="s" s="9">
        <v>14</v>
      </c>
      <c r="D9019" t="s" s="8">
        <v>14</v>
      </c>
      <c r="E9019" t="s" s="9">
        <v>14</v>
      </c>
      <c r="F9019" t="s" s="10">
        <v>14</v>
      </c>
      <c r="G9019" t="s" s="11">
        <v>14</v>
      </c>
      <c r="H9019" t="s" s="10">
        <v>14</v>
      </c>
      <c r="I9019" t="s" s="11">
        <v>14</v>
      </c>
      <c r="J9019" t="s" s="11">
        <v>14</v>
      </c>
      <c r="K9019" t="s" s="12">
        <v>14</v>
      </c>
      <c r="L9019" t="s" s="12">
        <v>14</v>
      </c>
      <c r="M9019" t="s" s="10">
        <v>14</v>
      </c>
      <c r="N9019" t="s" s="11">
        <v>14</v>
      </c>
      <c r="O9019" t="s" s="8">
        <v>14</v>
      </c>
      <c r="P9019" t="s" s="8">
        <v>14</v>
      </c>
      <c r="Q9019" t="s" s="12">
        <v>14</v>
      </c>
      <c r="R9019" t="s" s="12">
        <v>14</v>
      </c>
    </row>
    <row r="9020" s="2" customFormat="1" ht="13.5" customHeight="1">
      <c r="B9020" s="13"/>
      <c r="C9020" t="s" s="9">
        <v>16</v>
      </c>
      <c r="D9020" t="s" s="8">
        <v>3302</v>
      </c>
      <c r="E9020" t="s" s="9">
        <v>3302</v>
      </c>
      <c r="F9020" t="s" s="10">
        <v>68</v>
      </c>
      <c r="G9020" t="s" s="11">
        <v>68</v>
      </c>
      <c r="H9020" t="s" s="10">
        <v>68</v>
      </c>
      <c r="I9020" t="s" s="11">
        <v>68</v>
      </c>
      <c r="J9020" t="s" s="11">
        <v>20</v>
      </c>
      <c r="K9020" t="s" s="16">
        <f>HYPERLINK("http://csr.bu.edu/ftp/asl/asllvd/demos/verify_start_end_handshape_annotations//test_auto_move//signs_mov/2512.mov","MOV")</f>
        <v>21</v>
      </c>
      <c r="L9020" t="s" s="16">
        <f>HYPERLINK("http://csr.bu.edu/ftp/asl/asllvd/demos/verify_start_end_handshape_annotations//test_auto_move//signs_mov_separ_signers/Liz_2512.mov","MOV")</f>
        <v>21</v>
      </c>
      <c r="M9020" t="s" s="10">
        <v>59</v>
      </c>
      <c r="N9020" s="17">
        <v>3</v>
      </c>
      <c r="O9020" s="18">
        <v>1092</v>
      </c>
      <c r="P9020" s="18">
        <v>1125</v>
      </c>
      <c r="Q9020" t="s" s="16">
        <f>HYPERLINK("http://secrets.rutgers.edu:8080/data/asl-ftp/asllvd/demos/verify_start_end_handshape_annotations//test_auto_move//signs_mov/2512.mov","MOV")</f>
        <v>21</v>
      </c>
      <c r="R9020" t="s" s="16">
        <f>HYPERLINK("http://secrets.rutgers.edu:8080/data/asl-ftp/asllvd/demos/verify_start_end_handshape_annotations//test_auto_move//signs_mov_separ_signers/Liz_2512.mov","MOV")</f>
        <v>21</v>
      </c>
    </row>
    <row r="9021" s="2" customFormat="1" ht="13.5" customHeight="1">
      <c r="B9021" s="13"/>
      <c r="C9021" t="s" s="9">
        <v>30</v>
      </c>
      <c r="D9021" t="s" s="8">
        <v>3302</v>
      </c>
      <c r="E9021" t="s" s="9">
        <v>3302</v>
      </c>
      <c r="F9021" t="s" s="10">
        <v>68</v>
      </c>
      <c r="G9021" t="s" s="11">
        <v>68</v>
      </c>
      <c r="H9021" t="s" s="10">
        <v>68</v>
      </c>
      <c r="I9021" t="s" s="11">
        <v>68</v>
      </c>
      <c r="J9021" t="s" s="11">
        <v>20</v>
      </c>
      <c r="K9021" s="15"/>
      <c r="L9021" t="s" s="16">
        <f>HYPERLINK("http://csr.bu.edu/ftp/asl/asllvd/demos/verify_start_end_handshape_annotations//test_auto_move//signs_mov_separ_signers/Brady_2512.mov","MOV")</f>
        <v>21</v>
      </c>
      <c r="M9021" t="s" s="10">
        <v>40</v>
      </c>
      <c r="N9021" s="17">
        <v>107</v>
      </c>
      <c r="O9021" s="18">
        <v>2429</v>
      </c>
      <c r="P9021" s="18">
        <v>2456</v>
      </c>
      <c r="Q9021" s="15"/>
      <c r="R9021" t="s" s="16">
        <f>HYPERLINK("http://secrets.rutgers.edu:8080/data/asl-ftp/asllvd/demos/verify_start_end_handshape_annotations//test_auto_move//signs_mov_separ_signers/Brady_2512.mov","MOV")</f>
        <v>21</v>
      </c>
    </row>
    <row r="9022" s="2" customFormat="1" ht="13.5" customHeight="1">
      <c r="B9022" t="s" s="8">
        <v>3303</v>
      </c>
      <c r="C9022" t="s" s="9">
        <v>14</v>
      </c>
      <c r="D9022" t="s" s="8">
        <v>14</v>
      </c>
      <c r="E9022" t="s" s="9">
        <v>14</v>
      </c>
      <c r="F9022" t="s" s="10">
        <v>14</v>
      </c>
      <c r="G9022" t="s" s="11">
        <v>14</v>
      </c>
      <c r="H9022" t="s" s="10">
        <v>14</v>
      </c>
      <c r="I9022" t="s" s="11">
        <v>14</v>
      </c>
      <c r="J9022" t="s" s="11">
        <v>14</v>
      </c>
      <c r="K9022" t="s" s="12">
        <v>14</v>
      </c>
      <c r="L9022" t="s" s="12">
        <v>14</v>
      </c>
      <c r="M9022" t="s" s="10">
        <v>14</v>
      </c>
      <c r="N9022" t="s" s="11">
        <v>14</v>
      </c>
      <c r="O9022" t="s" s="8">
        <v>14</v>
      </c>
      <c r="P9022" t="s" s="8">
        <v>14</v>
      </c>
      <c r="Q9022" t="s" s="12">
        <v>14</v>
      </c>
      <c r="R9022" t="s" s="12">
        <v>14</v>
      </c>
    </row>
    <row r="9023" s="2" customFormat="1" ht="13.5" customHeight="1">
      <c r="B9023" s="13"/>
      <c r="C9023" t="s" s="9">
        <v>16</v>
      </c>
      <c r="D9023" t="s" s="8">
        <v>3303</v>
      </c>
      <c r="E9023" t="s" s="9">
        <v>3303</v>
      </c>
      <c r="F9023" t="s" s="10">
        <v>68</v>
      </c>
      <c r="G9023" s="14"/>
      <c r="H9023" t="s" s="10">
        <v>68</v>
      </c>
      <c r="I9023" s="14"/>
      <c r="J9023" t="s" s="11">
        <v>20</v>
      </c>
      <c r="K9023" t="s" s="16">
        <f>HYPERLINK("http://csr.bu.edu/ftp/asl/asllvd/demos/verify_start_end_handshape_annotations//test_auto_move//signs_mov/15970.mov","MOV")</f>
        <v>21</v>
      </c>
      <c r="L9023" t="s" s="16">
        <f>HYPERLINK("http://csr.bu.edu/ftp/asl/asllvd/demos/verify_start_end_handshape_annotations//test_auto_move//signs_mov_separ_signers/Liz_15970.mov","MOV")</f>
        <v>21</v>
      </c>
      <c r="M9023" t="s" s="10">
        <v>77</v>
      </c>
      <c r="N9023" s="17">
        <v>13</v>
      </c>
      <c r="O9023" s="18">
        <v>1250</v>
      </c>
      <c r="P9023" s="18">
        <v>1306</v>
      </c>
      <c r="Q9023" t="s" s="16">
        <f>HYPERLINK("http://secrets.rutgers.edu:8080/data/asl-ftp/asllvd/demos/verify_start_end_handshape_annotations//test_auto_move//signs_mov/15970.mov","MOV")</f>
        <v>21</v>
      </c>
      <c r="R9023" t="s" s="16">
        <f>HYPERLINK("http://secrets.rutgers.edu:8080/data/asl-ftp/asllvd/demos/verify_start_end_handshape_annotations//test_auto_move//signs_mov_separ_signers/Liz_15970.mov","MOV")</f>
        <v>21</v>
      </c>
    </row>
    <row r="9024" s="2" customFormat="1" ht="13.5" customHeight="1">
      <c r="B9024" s="13"/>
      <c r="C9024" t="s" s="9">
        <v>30</v>
      </c>
      <c r="D9024" t="s" s="8">
        <v>3303</v>
      </c>
      <c r="E9024" t="s" s="9">
        <v>3303</v>
      </c>
      <c r="F9024" t="s" s="10">
        <v>68</v>
      </c>
      <c r="G9024" s="14"/>
      <c r="H9024" t="s" s="10">
        <v>68</v>
      </c>
      <c r="I9024" s="14"/>
      <c r="J9024" t="s" s="11">
        <v>20</v>
      </c>
      <c r="K9024" s="15"/>
      <c r="L9024" t="s" s="16">
        <f>HYPERLINK("http://csr.bu.edu/ftp/asl/asllvd/demos/verify_start_end_handshape_annotations//test_auto_move//signs_mov_separ_signers/Brady_15970.mov","MOV")</f>
        <v>21</v>
      </c>
      <c r="M9024" t="s" s="10">
        <v>40</v>
      </c>
      <c r="N9024" s="17">
        <v>76</v>
      </c>
      <c r="O9024" s="18">
        <v>892</v>
      </c>
      <c r="P9024" s="18">
        <v>914</v>
      </c>
      <c r="Q9024" s="15"/>
      <c r="R9024" t="s" s="16">
        <f>HYPERLINK("http://secrets.rutgers.edu:8080/data/asl-ftp/asllvd/demos/verify_start_end_handshape_annotations//test_auto_move//signs_mov_separ_signers/Brady_15970.mov","MOV")</f>
        <v>21</v>
      </c>
    </row>
    <row r="9025" s="2" customFormat="1" ht="13.5" customHeight="1">
      <c r="B9025" t="s" s="8">
        <v>386</v>
      </c>
      <c r="C9025" t="s" s="9">
        <v>14</v>
      </c>
      <c r="D9025" t="s" s="8">
        <v>14</v>
      </c>
      <c r="E9025" t="s" s="9">
        <v>14</v>
      </c>
      <c r="F9025" t="s" s="10">
        <v>14</v>
      </c>
      <c r="G9025" t="s" s="11">
        <v>14</v>
      </c>
      <c r="H9025" t="s" s="10">
        <v>14</v>
      </c>
      <c r="I9025" t="s" s="11">
        <v>14</v>
      </c>
      <c r="J9025" t="s" s="11">
        <v>14</v>
      </c>
      <c r="K9025" t="s" s="12">
        <v>14</v>
      </c>
      <c r="L9025" t="s" s="12">
        <v>14</v>
      </c>
      <c r="M9025" t="s" s="10">
        <v>14</v>
      </c>
      <c r="N9025" t="s" s="11">
        <v>14</v>
      </c>
      <c r="O9025" t="s" s="8">
        <v>14</v>
      </c>
      <c r="P9025" t="s" s="8">
        <v>14</v>
      </c>
      <c r="Q9025" t="s" s="12">
        <v>14</v>
      </c>
      <c r="R9025" t="s" s="12">
        <v>14</v>
      </c>
    </row>
    <row r="9026" s="2" customFormat="1" ht="13.5" customHeight="1">
      <c r="B9026" s="13"/>
      <c r="C9026" t="s" s="9">
        <v>16</v>
      </c>
      <c r="D9026" t="s" s="8">
        <v>386</v>
      </c>
      <c r="E9026" t="s" s="9">
        <v>386</v>
      </c>
      <c r="F9026" t="s" s="10">
        <v>386</v>
      </c>
      <c r="G9026" s="14"/>
      <c r="H9026" t="s" s="10">
        <v>386</v>
      </c>
      <c r="I9026" s="14"/>
      <c r="J9026" t="s" s="11">
        <v>20</v>
      </c>
      <c r="K9026" t="s" s="16">
        <f>HYPERLINK("http://csr.bu.edu/ftp/asl/asllvd/demos/verify_start_end_handshape_annotations//test_auto_move//signs_mov/2513.mov","MOV")</f>
        <v>21</v>
      </c>
      <c r="L9026" t="s" s="16">
        <f>HYPERLINK("http://csr.bu.edu/ftp/asl/asllvd/demos/verify_start_end_handshape_annotations//test_auto_move//signs_mov_separ_signers/Liz_2513.mov","MOV")</f>
        <v>21</v>
      </c>
      <c r="M9026" t="s" s="10">
        <v>59</v>
      </c>
      <c r="N9026" s="17">
        <v>3</v>
      </c>
      <c r="O9026" s="18">
        <v>1370</v>
      </c>
      <c r="P9026" s="18">
        <v>1421</v>
      </c>
      <c r="Q9026" t="s" s="16">
        <f>HYPERLINK("http://secrets.rutgers.edu:8080/data/asl-ftp/asllvd/demos/verify_start_end_handshape_annotations//test_auto_move//signs_mov/2513.mov","MOV")</f>
        <v>21</v>
      </c>
      <c r="R9026" t="s" s="16">
        <f>HYPERLINK("http://secrets.rutgers.edu:8080/data/asl-ftp/asllvd/demos/verify_start_end_handshape_annotations//test_auto_move//signs_mov_separ_signers/Liz_2513.mov","MOV")</f>
        <v>21</v>
      </c>
    </row>
    <row r="9027" s="2" customFormat="1" ht="13.5" customHeight="1">
      <c r="B9027" s="13"/>
      <c r="C9027" t="s" s="9">
        <v>30</v>
      </c>
      <c r="D9027" t="s" s="8">
        <v>386</v>
      </c>
      <c r="E9027" t="s" s="9">
        <v>386</v>
      </c>
      <c r="F9027" t="s" s="10">
        <v>386</v>
      </c>
      <c r="G9027" s="14"/>
      <c r="H9027" t="s" s="10">
        <v>386</v>
      </c>
      <c r="I9027" s="14"/>
      <c r="J9027" t="s" s="11">
        <v>20</v>
      </c>
      <c r="K9027" s="15"/>
      <c r="L9027" t="s" s="16">
        <f>HYPERLINK("http://csr.bu.edu/ftp/asl/asllvd/demos/verify_start_end_handshape_annotations//test_auto_move//signs_mov_separ_signers/Brady_2513.mov","MOV")</f>
        <v>21</v>
      </c>
      <c r="M9027" t="s" s="10">
        <v>40</v>
      </c>
      <c r="N9027" s="17">
        <v>107</v>
      </c>
      <c r="O9027" s="18">
        <v>2662</v>
      </c>
      <c r="P9027" s="18">
        <v>2693</v>
      </c>
      <c r="Q9027" s="15"/>
      <c r="R9027" t="s" s="16">
        <f>HYPERLINK("http://secrets.rutgers.edu:8080/data/asl-ftp/asllvd/demos/verify_start_end_handshape_annotations//test_auto_move//signs_mov_separ_signers/Brady_2513.mov","MOV")</f>
        <v>21</v>
      </c>
    </row>
    <row r="9028" s="2" customFormat="1" ht="13.5" customHeight="1">
      <c r="B9028" t="s" s="8">
        <v>3304</v>
      </c>
      <c r="C9028" t="s" s="9">
        <v>14</v>
      </c>
      <c r="D9028" t="s" s="8">
        <v>14</v>
      </c>
      <c r="E9028" t="s" s="9">
        <v>14</v>
      </c>
      <c r="F9028" t="s" s="10">
        <v>14</v>
      </c>
      <c r="G9028" t="s" s="11">
        <v>14</v>
      </c>
      <c r="H9028" t="s" s="10">
        <v>14</v>
      </c>
      <c r="I9028" t="s" s="11">
        <v>14</v>
      </c>
      <c r="J9028" t="s" s="11">
        <v>14</v>
      </c>
      <c r="K9028" t="s" s="12">
        <v>14</v>
      </c>
      <c r="L9028" t="s" s="12">
        <v>14</v>
      </c>
      <c r="M9028" t="s" s="10">
        <v>14</v>
      </c>
      <c r="N9028" t="s" s="11">
        <v>14</v>
      </c>
      <c r="O9028" t="s" s="8">
        <v>14</v>
      </c>
      <c r="P9028" t="s" s="8">
        <v>14</v>
      </c>
      <c r="Q9028" t="s" s="12">
        <v>14</v>
      </c>
      <c r="R9028" t="s" s="12">
        <v>14</v>
      </c>
    </row>
    <row r="9029" s="2" customFormat="1" ht="13.5" customHeight="1">
      <c r="B9029" s="13"/>
      <c r="C9029" t="s" s="9">
        <v>16</v>
      </c>
      <c r="D9029" t="s" s="8">
        <v>3304</v>
      </c>
      <c r="E9029" t="s" s="9">
        <v>3305</v>
      </c>
      <c r="F9029" t="s" s="10">
        <v>55</v>
      </c>
      <c r="G9029" t="s" s="11">
        <v>55</v>
      </c>
      <c r="H9029" t="s" s="10">
        <v>55</v>
      </c>
      <c r="I9029" t="s" s="11">
        <v>55</v>
      </c>
      <c r="J9029" t="s" s="11">
        <v>20</v>
      </c>
      <c r="K9029" t="s" s="16">
        <f>HYPERLINK("http://csr.bu.edu/ftp/asl/asllvd/demos/verify_start_end_handshape_annotations//test_auto_move//signs_mov/2515.mov","MOV")</f>
        <v>21</v>
      </c>
      <c r="L9029" t="s" s="16">
        <f>HYPERLINK("http://csr.bu.edu/ftp/asl/asllvd/demos/verify_start_end_handshape_annotations//test_auto_move//signs_mov_separ_signers/Liz_2515.mov","MOV")</f>
        <v>21</v>
      </c>
      <c r="M9029" t="s" s="10">
        <v>59</v>
      </c>
      <c r="N9029" s="17">
        <v>3</v>
      </c>
      <c r="O9029" s="18">
        <v>2001</v>
      </c>
      <c r="P9029" s="18">
        <v>2037</v>
      </c>
      <c r="Q9029" t="s" s="16">
        <f>HYPERLINK("http://secrets.rutgers.edu:8080/data/asl-ftp/asllvd/demos/verify_start_end_handshape_annotations//test_auto_move//signs_mov/2515.mov","MOV")</f>
        <v>21</v>
      </c>
      <c r="R9029" t="s" s="16">
        <f>HYPERLINK("http://secrets.rutgers.edu:8080/data/asl-ftp/asllvd/demos/verify_start_end_handshape_annotations//test_auto_move//signs_mov_separ_signers/Liz_2515.mov","MOV")</f>
        <v>21</v>
      </c>
    </row>
    <row r="9030" s="2" customFormat="1" ht="13.5" customHeight="1">
      <c r="B9030" t="s" s="8">
        <v>3306</v>
      </c>
      <c r="C9030" t="s" s="9">
        <v>14</v>
      </c>
      <c r="D9030" t="s" s="8">
        <v>14</v>
      </c>
      <c r="E9030" t="s" s="9">
        <v>14</v>
      </c>
      <c r="F9030" t="s" s="10">
        <v>14</v>
      </c>
      <c r="G9030" t="s" s="11">
        <v>14</v>
      </c>
      <c r="H9030" t="s" s="10">
        <v>14</v>
      </c>
      <c r="I9030" t="s" s="11">
        <v>14</v>
      </c>
      <c r="J9030" t="s" s="11">
        <v>14</v>
      </c>
      <c r="K9030" t="s" s="12">
        <v>14</v>
      </c>
      <c r="L9030" t="s" s="12">
        <v>14</v>
      </c>
      <c r="M9030" t="s" s="10">
        <v>14</v>
      </c>
      <c r="N9030" t="s" s="11">
        <v>14</v>
      </c>
      <c r="O9030" t="s" s="8">
        <v>14</v>
      </c>
      <c r="P9030" t="s" s="8">
        <v>14</v>
      </c>
      <c r="Q9030" t="s" s="12">
        <v>14</v>
      </c>
      <c r="R9030" t="s" s="12">
        <v>14</v>
      </c>
    </row>
    <row r="9031" s="2" customFormat="1" ht="13.5" customHeight="1">
      <c r="B9031" s="13"/>
      <c r="C9031" t="s" s="9">
        <v>16</v>
      </c>
      <c r="D9031" t="s" s="8">
        <v>3306</v>
      </c>
      <c r="E9031" t="s" s="9">
        <v>3307</v>
      </c>
      <c r="F9031" s="19">
        <v>1</v>
      </c>
      <c r="G9031" t="s" s="11">
        <v>260</v>
      </c>
      <c r="H9031" s="19">
        <v>1</v>
      </c>
      <c r="I9031" t="s" s="11">
        <v>260</v>
      </c>
      <c r="J9031" t="s" s="11">
        <v>20</v>
      </c>
      <c r="K9031" t="s" s="16">
        <f>HYPERLINK("http://csr.bu.edu/ftp/asl/asllvd/demos/verify_start_end_handshape_annotations//test_auto_move//signs_mov/2516.mov","MOV")</f>
        <v>21</v>
      </c>
      <c r="L9031" t="s" s="16">
        <f>HYPERLINK("http://csr.bu.edu/ftp/asl/asllvd/demos/verify_start_end_handshape_annotations//test_auto_move//signs_mov_separ_signers/Liz_2516.mov","MOV")</f>
        <v>21</v>
      </c>
      <c r="M9031" t="s" s="10">
        <v>59</v>
      </c>
      <c r="N9031" s="17">
        <v>3</v>
      </c>
      <c r="O9031" s="18">
        <v>2290</v>
      </c>
      <c r="P9031" s="18">
        <v>2335</v>
      </c>
      <c r="Q9031" t="s" s="16">
        <f>HYPERLINK("http://secrets.rutgers.edu:8080/data/asl-ftp/asllvd/demos/verify_start_end_handshape_annotations//test_auto_move//signs_mov/2516.mov","MOV")</f>
        <v>21</v>
      </c>
      <c r="R9031" t="s" s="16">
        <f>HYPERLINK("http://secrets.rutgers.edu:8080/data/asl-ftp/asllvd/demos/verify_start_end_handshape_annotations//test_auto_move//signs_mov_separ_signers/Liz_2516.mov","MOV")</f>
        <v>21</v>
      </c>
    </row>
    <row r="9032" s="2" customFormat="1" ht="13.5" customHeight="1">
      <c r="B9032" t="s" s="8">
        <v>3308</v>
      </c>
      <c r="C9032" t="s" s="9">
        <v>14</v>
      </c>
      <c r="D9032" t="s" s="8">
        <v>14</v>
      </c>
      <c r="E9032" t="s" s="9">
        <v>14</v>
      </c>
      <c r="F9032" t="s" s="10">
        <v>14</v>
      </c>
      <c r="G9032" t="s" s="11">
        <v>14</v>
      </c>
      <c r="H9032" t="s" s="10">
        <v>14</v>
      </c>
      <c r="I9032" t="s" s="11">
        <v>14</v>
      </c>
      <c r="J9032" t="s" s="11">
        <v>14</v>
      </c>
      <c r="K9032" t="s" s="12">
        <v>14</v>
      </c>
      <c r="L9032" t="s" s="12">
        <v>14</v>
      </c>
      <c r="M9032" t="s" s="10">
        <v>14</v>
      </c>
      <c r="N9032" t="s" s="11">
        <v>14</v>
      </c>
      <c r="O9032" t="s" s="8">
        <v>14</v>
      </c>
      <c r="P9032" t="s" s="8">
        <v>14</v>
      </c>
      <c r="Q9032" t="s" s="12">
        <v>14</v>
      </c>
      <c r="R9032" t="s" s="12">
        <v>14</v>
      </c>
    </row>
    <row r="9033" s="2" customFormat="1" ht="13.5" customHeight="1">
      <c r="B9033" s="13"/>
      <c r="C9033" t="s" s="9">
        <v>16</v>
      </c>
      <c r="D9033" t="s" s="8">
        <v>3308</v>
      </c>
      <c r="E9033" t="s" s="9">
        <v>3309</v>
      </c>
      <c r="F9033" s="19">
        <v>1</v>
      </c>
      <c r="G9033" t="s" s="11">
        <v>105</v>
      </c>
      <c r="H9033" s="19">
        <v>1</v>
      </c>
      <c r="I9033" t="s" s="11">
        <v>105</v>
      </c>
      <c r="J9033" t="s" s="11">
        <v>20</v>
      </c>
      <c r="K9033" t="s" s="16">
        <f>HYPERLINK("http://csr.bu.edu/ftp/asl/asllvd/demos/verify_start_end_handshape_annotations//test_auto_move//signs_mov/15370.mov","MOV")</f>
        <v>21</v>
      </c>
      <c r="L9033" t="s" s="16">
        <f>HYPERLINK("http://csr.bu.edu/ftp/asl/asllvd/demos/verify_start_end_handshape_annotations//test_auto_move//signs_mov_separ_signers/Liz_15370.mov","MOV")</f>
        <v>21</v>
      </c>
      <c r="M9033" t="s" s="10">
        <v>59</v>
      </c>
      <c r="N9033" s="17">
        <v>33</v>
      </c>
      <c r="O9033" s="18">
        <v>2300</v>
      </c>
      <c r="P9033" s="18">
        <v>2355</v>
      </c>
      <c r="Q9033" t="s" s="16">
        <f>HYPERLINK("http://secrets.rutgers.edu:8080/data/asl-ftp/asllvd/demos/verify_start_end_handshape_annotations//test_auto_move//signs_mov/15370.mov","MOV")</f>
        <v>21</v>
      </c>
      <c r="R9033" t="s" s="16">
        <f>HYPERLINK("http://secrets.rutgers.edu:8080/data/asl-ftp/asllvd/demos/verify_start_end_handshape_annotations//test_auto_move//signs_mov_separ_signers/Liz_15370.mov","MOV")</f>
        <v>21</v>
      </c>
    </row>
    <row r="9034" s="2" customFormat="1" ht="13.5" customHeight="1">
      <c r="B9034" t="s" s="8">
        <v>52</v>
      </c>
      <c r="C9034" t="s" s="9">
        <v>53</v>
      </c>
      <c r="D9034" t="s" s="8">
        <v>53</v>
      </c>
      <c r="E9034" t="s" s="9">
        <v>53</v>
      </c>
      <c r="F9034" t="s" s="10">
        <v>53</v>
      </c>
      <c r="G9034" t="s" s="11">
        <v>53</v>
      </c>
      <c r="H9034" t="s" s="10">
        <v>53</v>
      </c>
      <c r="I9034" t="s" s="11">
        <v>53</v>
      </c>
      <c r="J9034" t="s" s="11">
        <v>53</v>
      </c>
      <c r="K9034" t="s" s="12">
        <v>53</v>
      </c>
      <c r="L9034" t="s" s="12">
        <v>53</v>
      </c>
      <c r="M9034" t="s" s="10">
        <v>53</v>
      </c>
      <c r="N9034" t="s" s="11">
        <v>53</v>
      </c>
      <c r="O9034" t="s" s="8">
        <v>53</v>
      </c>
      <c r="P9034" t="s" s="8">
        <v>53</v>
      </c>
      <c r="Q9034" t="s" s="12">
        <v>53</v>
      </c>
      <c r="R9034" t="s" s="12">
        <v>53</v>
      </c>
    </row>
    <row r="9035" s="2" customFormat="1" ht="13.5" customHeight="1">
      <c r="B9035" s="13"/>
      <c r="C9035" t="s" s="9">
        <v>30</v>
      </c>
      <c r="D9035" t="s" s="8">
        <v>3308</v>
      </c>
      <c r="E9035" t="s" s="9">
        <v>3310</v>
      </c>
      <c r="F9035" s="19">
        <v>1</v>
      </c>
      <c r="G9035" t="s" s="11">
        <v>105</v>
      </c>
      <c r="H9035" s="19">
        <v>1</v>
      </c>
      <c r="I9035" t="s" s="11">
        <v>105</v>
      </c>
      <c r="J9035" t="s" s="11">
        <v>20</v>
      </c>
      <c r="K9035" t="s" s="16">
        <f>HYPERLINK("http://csr.bu.edu/ftp/asl/asllvd/demos/verify_start_end_handshape_annotations//test_auto_move//signs_mov/16468.mov","MOV")</f>
        <v>21</v>
      </c>
      <c r="L9035" t="s" s="16">
        <f>HYPERLINK("http://csr.bu.edu/ftp/asl/asllvd/demos/verify_start_end_handshape_annotations//test_auto_move//signs_mov_separ_signers/Brady_16468.mov","MOV")</f>
        <v>21</v>
      </c>
      <c r="M9035" t="s" s="10">
        <v>60</v>
      </c>
      <c r="N9035" s="17">
        <v>22</v>
      </c>
      <c r="O9035" s="18">
        <v>532</v>
      </c>
      <c r="P9035" s="18">
        <v>584</v>
      </c>
      <c r="Q9035" t="s" s="16">
        <f>HYPERLINK("http://secrets.rutgers.edu:8080/data/asl-ftp/asllvd/demos/verify_start_end_handshape_annotations//test_auto_move//signs_mov/16468.mov","MOV")</f>
        <v>21</v>
      </c>
      <c r="R9035" t="s" s="16">
        <f>HYPERLINK("http://secrets.rutgers.edu:8080/data/asl-ftp/asllvd/demos/verify_start_end_handshape_annotations//test_auto_move//signs_mov_separ_signers/Brady_16468.mov","MOV")</f>
        <v>21</v>
      </c>
    </row>
    <row r="9036" s="2" customFormat="1" ht="13.5" customHeight="1">
      <c r="B9036" t="s" s="8">
        <v>3311</v>
      </c>
      <c r="C9036" t="s" s="9">
        <v>14</v>
      </c>
      <c r="D9036" t="s" s="8">
        <v>14</v>
      </c>
      <c r="E9036" t="s" s="9">
        <v>14</v>
      </c>
      <c r="F9036" t="s" s="10">
        <v>14</v>
      </c>
      <c r="G9036" t="s" s="11">
        <v>14</v>
      </c>
      <c r="H9036" t="s" s="10">
        <v>14</v>
      </c>
      <c r="I9036" t="s" s="11">
        <v>14</v>
      </c>
      <c r="J9036" t="s" s="11">
        <v>14</v>
      </c>
      <c r="K9036" t="s" s="12">
        <v>14</v>
      </c>
      <c r="L9036" t="s" s="12">
        <v>14</v>
      </c>
      <c r="M9036" t="s" s="10">
        <v>14</v>
      </c>
      <c r="N9036" t="s" s="11">
        <v>14</v>
      </c>
      <c r="O9036" t="s" s="8">
        <v>14</v>
      </c>
      <c r="P9036" t="s" s="8">
        <v>14</v>
      </c>
      <c r="Q9036" t="s" s="12">
        <v>14</v>
      </c>
      <c r="R9036" t="s" s="12">
        <v>14</v>
      </c>
    </row>
    <row r="9037" s="2" customFormat="1" ht="13.5" customHeight="1">
      <c r="B9037" s="13"/>
      <c r="C9037" t="s" s="9">
        <v>16</v>
      </c>
      <c r="D9037" t="s" s="8">
        <v>3311</v>
      </c>
      <c r="E9037" t="s" s="9">
        <v>3311</v>
      </c>
      <c r="F9037" s="19">
        <v>5</v>
      </c>
      <c r="G9037" s="14"/>
      <c r="H9037" t="s" s="10">
        <v>68</v>
      </c>
      <c r="I9037" s="14"/>
      <c r="J9037" t="s" s="11">
        <v>20</v>
      </c>
      <c r="K9037" t="s" s="16">
        <f>HYPERLINK("http://csr.bu.edu/ftp/asl/asllvd/demos/verify_start_end_handshape_annotations//test_auto_move//signs_mov/2518.mov","MOV")</f>
        <v>21</v>
      </c>
      <c r="L9037" t="s" s="16">
        <f>HYPERLINK("http://csr.bu.edu/ftp/asl/asllvd/demos/verify_start_end_handshape_annotations//test_auto_move//signs_mov_separ_signers/Liz_2518.mov","MOV")</f>
        <v>21</v>
      </c>
      <c r="M9037" t="s" s="10">
        <v>59</v>
      </c>
      <c r="N9037" s="17">
        <v>3</v>
      </c>
      <c r="O9037" s="18">
        <v>3215</v>
      </c>
      <c r="P9037" s="18">
        <v>3255</v>
      </c>
      <c r="Q9037" t="s" s="16">
        <f>HYPERLINK("http://secrets.rutgers.edu:8080/data/asl-ftp/asllvd/demos/verify_start_end_handshape_annotations//test_auto_move//signs_mov/2518.mov","MOV")</f>
        <v>21</v>
      </c>
      <c r="R9037" t="s" s="16">
        <f>HYPERLINK("http://secrets.rutgers.edu:8080/data/asl-ftp/asllvd/demos/verify_start_end_handshape_annotations//test_auto_move//signs_mov_separ_signers/Liz_2518.mov","MOV")</f>
        <v>21</v>
      </c>
    </row>
    <row r="9038" s="2" customFormat="1" ht="13.5" customHeight="1">
      <c r="B9038" t="s" s="8">
        <v>3312</v>
      </c>
      <c r="C9038" t="s" s="9">
        <v>14</v>
      </c>
      <c r="D9038" t="s" s="8">
        <v>14</v>
      </c>
      <c r="E9038" t="s" s="9">
        <v>14</v>
      </c>
      <c r="F9038" t="s" s="10">
        <v>14</v>
      </c>
      <c r="G9038" t="s" s="11">
        <v>14</v>
      </c>
      <c r="H9038" t="s" s="10">
        <v>14</v>
      </c>
      <c r="I9038" t="s" s="11">
        <v>14</v>
      </c>
      <c r="J9038" t="s" s="11">
        <v>14</v>
      </c>
      <c r="K9038" t="s" s="12">
        <v>14</v>
      </c>
      <c r="L9038" t="s" s="12">
        <v>14</v>
      </c>
      <c r="M9038" t="s" s="10">
        <v>14</v>
      </c>
      <c r="N9038" t="s" s="11">
        <v>14</v>
      </c>
      <c r="O9038" t="s" s="8">
        <v>14</v>
      </c>
      <c r="P9038" t="s" s="8">
        <v>14</v>
      </c>
      <c r="Q9038" t="s" s="12">
        <v>14</v>
      </c>
      <c r="R9038" t="s" s="12">
        <v>14</v>
      </c>
    </row>
    <row r="9039" s="2" customFormat="1" ht="13.5" customHeight="1">
      <c r="B9039" s="13"/>
      <c r="C9039" t="s" s="9">
        <v>16</v>
      </c>
      <c r="D9039" t="s" s="8">
        <v>3312</v>
      </c>
      <c r="E9039" t="s" s="9">
        <v>3312</v>
      </c>
      <c r="F9039" s="19">
        <v>5</v>
      </c>
      <c r="G9039" s="17">
        <v>5</v>
      </c>
      <c r="H9039" t="s" s="10">
        <v>68</v>
      </c>
      <c r="I9039" t="s" s="11">
        <v>68</v>
      </c>
      <c r="J9039" t="s" s="11">
        <v>20</v>
      </c>
      <c r="K9039" s="15"/>
      <c r="L9039" t="s" s="16">
        <f>HYPERLINK("http://csr.bu.edu/ftp/asl/asllvd/demos/verify_start_end_handshape_annotations//test_auto_move//signs_mov_separ_signers/Liz_15866.mov","MOV")</f>
        <v>21</v>
      </c>
      <c r="M9039" t="s" s="10">
        <v>22</v>
      </c>
      <c r="N9039" s="17">
        <v>7</v>
      </c>
      <c r="O9039" s="18">
        <v>785</v>
      </c>
      <c r="P9039" s="18">
        <v>825</v>
      </c>
      <c r="Q9039" s="15"/>
      <c r="R9039" t="s" s="16">
        <f>HYPERLINK("http://secrets.rutgers.edu:8080/data/asl-ftp/asllvd/demos/verify_start_end_handshape_annotations//test_auto_move//signs_mov_separ_signers/Liz_15866.mov","MOV")</f>
        <v>21</v>
      </c>
    </row>
    <row r="9040" s="2" customFormat="1" ht="13.5" customHeight="1">
      <c r="B9040" s="13"/>
      <c r="C9040" t="s" s="9">
        <v>23</v>
      </c>
      <c r="D9040" t="s" s="8">
        <v>3312</v>
      </c>
      <c r="E9040" t="s" s="9">
        <v>3312</v>
      </c>
      <c r="F9040" s="19">
        <v>5</v>
      </c>
      <c r="G9040" s="17">
        <v>5</v>
      </c>
      <c r="H9040" t="s" s="10">
        <v>68</v>
      </c>
      <c r="I9040" t="s" s="11">
        <v>68</v>
      </c>
      <c r="J9040" t="s" s="11">
        <v>20</v>
      </c>
      <c r="K9040" s="15"/>
      <c r="L9040" t="s" s="16">
        <f>HYPERLINK("http://csr.bu.edu/ftp/asl/asllvd/demos/verify_start_end_handshape_annotations//test_auto_move//signs_mov_separ_signers/Tyler_15866.mov","MOV")</f>
        <v>21</v>
      </c>
      <c r="M9040" t="s" s="10">
        <v>26</v>
      </c>
      <c r="N9040" s="17">
        <v>6</v>
      </c>
      <c r="O9040" s="18">
        <v>8005</v>
      </c>
      <c r="P9040" s="18">
        <v>8040</v>
      </c>
      <c r="Q9040" s="15"/>
      <c r="R9040" t="s" s="16">
        <f>HYPERLINK("http://secrets.rutgers.edu:8080/data/asl-ftp/asllvd/demos/verify_start_end_handshape_annotations//test_auto_move//signs_mov_separ_signers/Tyler_15866.mov","MOV")</f>
        <v>21</v>
      </c>
    </row>
    <row r="9041" s="2" customFormat="1" ht="13.5" customHeight="1">
      <c r="B9041" s="13"/>
      <c r="C9041" t="s" s="9">
        <v>27</v>
      </c>
      <c r="D9041" t="s" s="8">
        <v>3312</v>
      </c>
      <c r="E9041" t="s" s="9">
        <v>3312</v>
      </c>
      <c r="F9041" t="s" s="10">
        <v>72</v>
      </c>
      <c r="G9041" t="s" s="11">
        <v>72</v>
      </c>
      <c r="H9041" t="s" s="10">
        <v>68</v>
      </c>
      <c r="I9041" t="s" s="11">
        <v>68</v>
      </c>
      <c r="J9041" t="s" s="11">
        <v>20</v>
      </c>
      <c r="K9041" t="s" s="16">
        <f>HYPERLINK("http://csr.bu.edu/ftp/asl/asllvd/demos/verify_start_end_handshape_annotations//test_auto_move//signs_mov/15866.mov","MOV")</f>
        <v>21</v>
      </c>
      <c r="L9041" t="s" s="16">
        <f>HYPERLINK("http://csr.bu.edu/ftp/asl/asllvd/demos/verify_start_end_handshape_annotations//test_auto_move//signs_mov_separ_signers/Naomi_15866.mov","MOV")</f>
        <v>21</v>
      </c>
      <c r="M9041" t="s" s="10">
        <v>29</v>
      </c>
      <c r="N9041" s="17">
        <v>5</v>
      </c>
      <c r="O9041" s="18">
        <v>3856</v>
      </c>
      <c r="P9041" s="18">
        <v>3883</v>
      </c>
      <c r="Q9041" t="s" s="16">
        <f>HYPERLINK("http://secrets.rutgers.edu:8080/data/asl-ftp/asllvd/demos/verify_start_end_handshape_annotations//test_auto_move//signs_mov/15866.mov","MOV")</f>
        <v>21</v>
      </c>
      <c r="R9041" t="s" s="16">
        <f>HYPERLINK("http://secrets.rutgers.edu:8080/data/asl-ftp/asllvd/demos/verify_start_end_handshape_annotations//test_auto_move//signs_mov_separ_signers/Naomi_15866.mov","MOV")</f>
        <v>21</v>
      </c>
    </row>
    <row r="9042" s="2" customFormat="1" ht="13.5" customHeight="1">
      <c r="B9042" s="13"/>
      <c r="C9042" t="s" s="9">
        <v>30</v>
      </c>
      <c r="D9042" t="s" s="8">
        <v>3312</v>
      </c>
      <c r="E9042" t="s" s="9">
        <v>3312</v>
      </c>
      <c r="F9042" s="19">
        <v>5</v>
      </c>
      <c r="G9042" s="17">
        <v>5</v>
      </c>
      <c r="H9042" t="s" s="10">
        <v>68</v>
      </c>
      <c r="I9042" t="s" s="11">
        <v>68</v>
      </c>
      <c r="J9042" t="s" s="11">
        <v>20</v>
      </c>
      <c r="K9042" s="15"/>
      <c r="L9042" t="s" s="16">
        <f>HYPERLINK("http://csr.bu.edu/ftp/asl/asllvd/demos/verify_start_end_handshape_annotations//test_auto_move//signs_mov_separ_signers/Brady_15866.mov","MOV")</f>
        <v>21</v>
      </c>
      <c r="M9042" t="s" s="10">
        <v>60</v>
      </c>
      <c r="N9042" s="17">
        <v>38</v>
      </c>
      <c r="O9042" s="18">
        <v>4172</v>
      </c>
      <c r="P9042" s="18">
        <v>4202</v>
      </c>
      <c r="Q9042" s="15"/>
      <c r="R9042" t="s" s="16">
        <f>HYPERLINK("http://secrets.rutgers.edu:8080/data/asl-ftp/asllvd/demos/verify_start_end_handshape_annotations//test_auto_move//signs_mov_separ_signers/Brady_15866.mov","MOV")</f>
        <v>21</v>
      </c>
    </row>
    <row r="9043" s="2" customFormat="1" ht="13.5" customHeight="1">
      <c r="B9043" s="13"/>
      <c r="C9043" t="s" s="9">
        <v>41</v>
      </c>
      <c r="D9043" t="s" s="8">
        <v>3312</v>
      </c>
      <c r="E9043" t="s" s="9">
        <v>3312</v>
      </c>
      <c r="F9043" s="19">
        <v>5</v>
      </c>
      <c r="G9043" s="17">
        <v>5</v>
      </c>
      <c r="H9043" t="s" s="10">
        <v>68</v>
      </c>
      <c r="I9043" t="s" s="11">
        <v>68</v>
      </c>
      <c r="J9043" t="s" s="11">
        <v>20</v>
      </c>
      <c r="K9043" s="15"/>
      <c r="L9043" t="s" s="16">
        <f>HYPERLINK("http://csr.bu.edu/ftp/asl/asllvd/demos/verify_start_end_handshape_annotations//test_auto_move//signs_mov_separ_signers/Lana_15866.mov","MOV")</f>
        <v>21</v>
      </c>
      <c r="M9043" t="s" s="10">
        <v>42</v>
      </c>
      <c r="N9043" s="17">
        <v>2</v>
      </c>
      <c r="O9043" s="18">
        <v>792</v>
      </c>
      <c r="P9043" s="18">
        <v>812</v>
      </c>
      <c r="Q9043" s="15"/>
      <c r="R9043" t="s" s="16">
        <f>HYPERLINK("http://secrets.rutgers.edu:8080/data/asl-ftp/asllvd/demos/verify_start_end_handshape_annotations//test_auto_move//signs_mov_separ_signers/Lana_15866.mov","MOV")</f>
        <v>21</v>
      </c>
    </row>
    <row r="9044" s="2" customFormat="1" ht="13.5" customHeight="1">
      <c r="B9044" s="13"/>
      <c r="C9044" t="s" s="9">
        <v>43</v>
      </c>
      <c r="D9044" t="s" s="8">
        <v>3312</v>
      </c>
      <c r="E9044" t="s" s="9">
        <v>3312</v>
      </c>
      <c r="F9044" s="19">
        <v>5</v>
      </c>
      <c r="G9044" s="17">
        <v>5</v>
      </c>
      <c r="H9044" t="s" s="10">
        <v>68</v>
      </c>
      <c r="I9044" t="s" s="11">
        <v>68</v>
      </c>
      <c r="J9044" t="s" s="11">
        <v>20</v>
      </c>
      <c r="K9044" s="15"/>
      <c r="L9044" t="s" s="16">
        <f>HYPERLINK("http://csr.bu.edu/ftp/asl/asllvd/demos/verify_start_end_handshape_annotations//test_auto_move//signs_mov_separ_signers/Dana_15866.mov","MOV")</f>
        <v>21</v>
      </c>
      <c r="M9044" t="s" s="10">
        <v>44</v>
      </c>
      <c r="N9044" s="17">
        <v>5</v>
      </c>
      <c r="O9044" s="18">
        <v>972</v>
      </c>
      <c r="P9044" s="18">
        <v>1000</v>
      </c>
      <c r="Q9044" s="15"/>
      <c r="R9044" t="s" s="16">
        <f>HYPERLINK("http://secrets.rutgers.edu:8080/data/asl-ftp/asllvd/demos/verify_start_end_handshape_annotations//test_auto_move//signs_mov_separ_signers/Dana_15866.mov","MOV")</f>
        <v>21</v>
      </c>
    </row>
    <row r="9045" s="2" customFormat="1" ht="13.5" customHeight="1">
      <c r="B9045" t="s" s="8">
        <v>3313</v>
      </c>
      <c r="C9045" t="s" s="9">
        <v>14</v>
      </c>
      <c r="D9045" t="s" s="8">
        <v>14</v>
      </c>
      <c r="E9045" t="s" s="9">
        <v>14</v>
      </c>
      <c r="F9045" t="s" s="10">
        <v>14</v>
      </c>
      <c r="G9045" t="s" s="11">
        <v>14</v>
      </c>
      <c r="H9045" t="s" s="10">
        <v>14</v>
      </c>
      <c r="I9045" t="s" s="11">
        <v>14</v>
      </c>
      <c r="J9045" t="s" s="11">
        <v>14</v>
      </c>
      <c r="K9045" t="s" s="12">
        <v>14</v>
      </c>
      <c r="L9045" t="s" s="12">
        <v>14</v>
      </c>
      <c r="M9045" t="s" s="10">
        <v>14</v>
      </c>
      <c r="N9045" t="s" s="11">
        <v>14</v>
      </c>
      <c r="O9045" t="s" s="8">
        <v>14</v>
      </c>
      <c r="P9045" t="s" s="8">
        <v>14</v>
      </c>
      <c r="Q9045" t="s" s="12">
        <v>14</v>
      </c>
      <c r="R9045" t="s" s="12">
        <v>14</v>
      </c>
    </row>
    <row r="9046" s="2" customFormat="1" ht="13.5" customHeight="1">
      <c r="B9046" s="13"/>
      <c r="C9046" t="s" s="9">
        <v>16</v>
      </c>
      <c r="D9046" t="s" s="8">
        <v>3313</v>
      </c>
      <c r="E9046" t="s" s="9">
        <v>3313</v>
      </c>
      <c r="F9046" s="19">
        <v>5</v>
      </c>
      <c r="G9046" s="17">
        <v>5</v>
      </c>
      <c r="H9046" t="s" s="10">
        <v>68</v>
      </c>
      <c r="I9046" t="s" s="11">
        <v>68</v>
      </c>
      <c r="J9046" t="s" s="11">
        <v>20</v>
      </c>
      <c r="K9046" s="15"/>
      <c r="L9046" t="s" s="16">
        <f>HYPERLINK("http://csr.bu.edu/ftp/asl/asllvd/demos/verify_start_end_handshape_annotations//test_auto_move//signs_mov_separ_signers/Liz_15871.mov","MOV")</f>
        <v>21</v>
      </c>
      <c r="M9046" t="s" s="10">
        <v>34</v>
      </c>
      <c r="N9046" s="17">
        <v>10</v>
      </c>
      <c r="O9046" s="18">
        <v>826</v>
      </c>
      <c r="P9046" s="18">
        <v>870</v>
      </c>
      <c r="Q9046" s="15"/>
      <c r="R9046" t="s" s="16">
        <f>HYPERLINK("http://secrets.rutgers.edu:8080/data/asl-ftp/asllvd/demos/verify_start_end_handshape_annotations//test_auto_move//signs_mov_separ_signers/Liz_15871.mov","MOV")</f>
        <v>21</v>
      </c>
    </row>
    <row r="9047" s="2" customFormat="1" ht="13.5" customHeight="1">
      <c r="B9047" s="13"/>
      <c r="C9047" t="s" s="9">
        <v>23</v>
      </c>
      <c r="D9047" t="s" s="8">
        <v>3313</v>
      </c>
      <c r="E9047" t="s" s="9">
        <v>3313</v>
      </c>
      <c r="F9047" s="19">
        <v>5</v>
      </c>
      <c r="G9047" s="17">
        <v>5</v>
      </c>
      <c r="H9047" t="s" s="10">
        <v>68</v>
      </c>
      <c r="I9047" t="s" s="11">
        <v>68</v>
      </c>
      <c r="J9047" t="s" s="11">
        <v>20</v>
      </c>
      <c r="K9047" s="15"/>
      <c r="L9047" t="s" s="16">
        <f>HYPERLINK("http://csr.bu.edu/ftp/asl/asllvd/demos/verify_start_end_handshape_annotations//test_auto_move//signs_mov_separ_signers/Tyler_15871.mov","MOV")</f>
        <v>21</v>
      </c>
      <c r="M9047" t="s" s="10">
        <v>26</v>
      </c>
      <c r="N9047" s="17">
        <v>25</v>
      </c>
      <c r="O9047" s="18">
        <v>1681</v>
      </c>
      <c r="P9047" s="18">
        <v>1715</v>
      </c>
      <c r="Q9047" s="15"/>
      <c r="R9047" t="s" s="16">
        <f>HYPERLINK("http://secrets.rutgers.edu:8080/data/asl-ftp/asllvd/demos/verify_start_end_handshape_annotations//test_auto_move//signs_mov_separ_signers/Tyler_15871.mov","MOV")</f>
        <v>21</v>
      </c>
    </row>
    <row r="9048" s="2" customFormat="1" ht="13.5" customHeight="1">
      <c r="B9048" s="13"/>
      <c r="C9048" t="s" s="9">
        <v>23</v>
      </c>
      <c r="D9048" t="s" s="8">
        <v>3313</v>
      </c>
      <c r="E9048" t="s" s="9">
        <v>3313</v>
      </c>
      <c r="F9048" s="19">
        <v>5</v>
      </c>
      <c r="G9048" s="17">
        <v>5</v>
      </c>
      <c r="H9048" t="s" s="10">
        <v>68</v>
      </c>
      <c r="I9048" t="s" s="11">
        <v>68</v>
      </c>
      <c r="J9048" t="s" s="11">
        <v>20</v>
      </c>
      <c r="K9048" t="s" s="16">
        <f>HYPERLINK("http://csr.bu.edu/ftp/asl/asllvd/demos/verify_start_end_handshape_annotations//test_auto_move//signs_mov/15871_15872_merged.mov","MOV")</f>
        <v>21</v>
      </c>
      <c r="L9048" t="s" s="16">
        <f>HYPERLINK("http://csr.bu.edu/ftp/asl/asllvd/demos/verify_start_end_handshape_annotations//test_auto_move//signs_mov_separ_signers/Tyler_15872.mov","MOV")</f>
        <v>21</v>
      </c>
      <c r="M9048" t="s" s="10">
        <v>26</v>
      </c>
      <c r="N9048" s="17">
        <v>25</v>
      </c>
      <c r="O9048" s="18">
        <v>2062</v>
      </c>
      <c r="P9048" s="18">
        <v>2090</v>
      </c>
      <c r="Q9048" t="s" s="16">
        <f>HYPERLINK("http://secrets.rutgers.edu:8080/data/asl-ftp/asllvd/demos/verify_start_end_handshape_annotations//test_auto_move//signs_mov/15871_15872_merged.mov","MOV")</f>
        <v>21</v>
      </c>
      <c r="R9048" t="s" s="16">
        <f>HYPERLINK("http://secrets.rutgers.edu:8080/data/asl-ftp/asllvd/demos/verify_start_end_handshape_annotations//test_auto_move//signs_mov_separ_signers/Tyler_15872.mov","MOV")</f>
        <v>21</v>
      </c>
    </row>
    <row r="9049" s="2" customFormat="1" ht="13.5" customHeight="1">
      <c r="B9049" s="13"/>
      <c r="C9049" t="s" s="9">
        <v>27</v>
      </c>
      <c r="D9049" t="s" s="8">
        <v>3313</v>
      </c>
      <c r="E9049" t="s" s="9">
        <v>3313</v>
      </c>
      <c r="F9049" t="s" s="10">
        <v>72</v>
      </c>
      <c r="G9049" t="s" s="11">
        <v>72</v>
      </c>
      <c r="H9049" t="s" s="10">
        <v>68</v>
      </c>
      <c r="I9049" t="s" s="11">
        <v>68</v>
      </c>
      <c r="J9049" t="s" s="11">
        <v>20</v>
      </c>
      <c r="K9049" s="15"/>
      <c r="L9049" t="s" s="16">
        <f>HYPERLINK("http://csr.bu.edu/ftp/asl/asllvd/demos/verify_start_end_handshape_annotations//test_auto_move//signs_mov_separ_signers/Naomi_15871.mov","MOV")</f>
        <v>21</v>
      </c>
      <c r="M9049" t="s" s="10">
        <v>38</v>
      </c>
      <c r="N9049" s="17">
        <v>8</v>
      </c>
      <c r="O9049" s="18">
        <v>3018</v>
      </c>
      <c r="P9049" s="18">
        <v>3040</v>
      </c>
      <c r="Q9049" s="15"/>
      <c r="R9049" t="s" s="16">
        <f>HYPERLINK("http://secrets.rutgers.edu:8080/data/asl-ftp/asllvd/demos/verify_start_end_handshape_annotations//test_auto_move//signs_mov_separ_signers/Naomi_15871.mov","MOV")</f>
        <v>21</v>
      </c>
    </row>
    <row r="9050" s="2" customFormat="1" ht="13.5" customHeight="1">
      <c r="B9050" s="13"/>
      <c r="C9050" t="s" s="9">
        <v>30</v>
      </c>
      <c r="D9050" t="s" s="8">
        <v>3313</v>
      </c>
      <c r="E9050" t="s" s="9">
        <v>3313</v>
      </c>
      <c r="F9050" s="19">
        <v>5</v>
      </c>
      <c r="G9050" s="17">
        <v>5</v>
      </c>
      <c r="H9050" t="s" s="10">
        <v>68</v>
      </c>
      <c r="I9050" t="s" s="11">
        <v>68</v>
      </c>
      <c r="J9050" t="s" s="11">
        <v>20</v>
      </c>
      <c r="K9050" s="15"/>
      <c r="L9050" t="s" s="16">
        <f>HYPERLINK("http://csr.bu.edu/ftp/asl/asllvd/demos/verify_start_end_handshape_annotations//test_auto_move//signs_mov_separ_signers/Brady_15871.mov","MOV")</f>
        <v>21</v>
      </c>
      <c r="M9050" t="s" s="10">
        <v>60</v>
      </c>
      <c r="N9050" s="17">
        <v>55</v>
      </c>
      <c r="O9050" s="18">
        <v>1107</v>
      </c>
      <c r="P9050" s="18">
        <v>1131</v>
      </c>
      <c r="Q9050" s="15"/>
      <c r="R9050" t="s" s="16">
        <f>HYPERLINK("http://secrets.rutgers.edu:8080/data/asl-ftp/asllvd/demos/verify_start_end_handshape_annotations//test_auto_move//signs_mov_separ_signers/Brady_15871.mov","MOV")</f>
        <v>21</v>
      </c>
    </row>
    <row r="9051" s="2" customFormat="1" ht="13.5" customHeight="1">
      <c r="B9051" t="s" s="8">
        <v>52</v>
      </c>
      <c r="C9051" t="s" s="9">
        <v>53</v>
      </c>
      <c r="D9051" t="s" s="8">
        <v>53</v>
      </c>
      <c r="E9051" t="s" s="9">
        <v>53</v>
      </c>
      <c r="F9051" t="s" s="10">
        <v>53</v>
      </c>
      <c r="G9051" t="s" s="11">
        <v>53</v>
      </c>
      <c r="H9051" t="s" s="10">
        <v>53</v>
      </c>
      <c r="I9051" t="s" s="11">
        <v>53</v>
      </c>
      <c r="J9051" t="s" s="11">
        <v>53</v>
      </c>
      <c r="K9051" t="s" s="12">
        <v>53</v>
      </c>
      <c r="L9051" t="s" s="12">
        <v>53</v>
      </c>
      <c r="M9051" t="s" s="10">
        <v>53</v>
      </c>
      <c r="N9051" t="s" s="11">
        <v>53</v>
      </c>
      <c r="O9051" t="s" s="8">
        <v>53</v>
      </c>
      <c r="P9051" t="s" s="8">
        <v>53</v>
      </c>
      <c r="Q9051" t="s" s="12">
        <v>53</v>
      </c>
      <c r="R9051" t="s" s="12">
        <v>53</v>
      </c>
    </row>
    <row r="9052" s="2" customFormat="1" ht="13.5" customHeight="1">
      <c r="B9052" s="13"/>
      <c r="C9052" t="s" s="9">
        <v>23</v>
      </c>
      <c r="D9052" t="s" s="8">
        <v>3313</v>
      </c>
      <c r="E9052" t="s" s="9">
        <v>3314</v>
      </c>
      <c r="F9052" t="s" s="10">
        <v>72</v>
      </c>
      <c r="G9052" t="s" s="11">
        <v>72</v>
      </c>
      <c r="H9052" t="s" s="10">
        <v>68</v>
      </c>
      <c r="I9052" t="s" s="11">
        <v>68</v>
      </c>
      <c r="J9052" t="s" s="11">
        <v>20</v>
      </c>
      <c r="K9052" t="s" s="16">
        <f>HYPERLINK("http://csr.bu.edu/ftp/asl/asllvd/demos/verify_start_end_handshape_annotations//test_auto_move//signs_mov/15894.mov","MOV")</f>
        <v>21</v>
      </c>
      <c r="L9052" t="s" s="16">
        <f>HYPERLINK("http://csr.bu.edu/ftp/asl/asllvd/demos/verify_start_end_handshape_annotations//test_auto_move//signs_mov_separ_signers/Tyler_15894.mov","MOV")</f>
        <v>21</v>
      </c>
      <c r="M9052" t="s" s="10">
        <v>92</v>
      </c>
      <c r="N9052" s="17">
        <v>40</v>
      </c>
      <c r="O9052" s="18">
        <v>2138</v>
      </c>
      <c r="P9052" s="18">
        <v>2172</v>
      </c>
      <c r="Q9052" t="s" s="16">
        <f>HYPERLINK("http://secrets.rutgers.edu:8080/data/asl-ftp/asllvd/demos/verify_start_end_handshape_annotations//test_auto_move//signs_mov/15894.mov","MOV")</f>
        <v>21</v>
      </c>
      <c r="R9052" t="s" s="16">
        <f>HYPERLINK("http://secrets.rutgers.edu:8080/data/asl-ftp/asllvd/demos/verify_start_end_handshape_annotations//test_auto_move//signs_mov_separ_signers/Tyler_15894.mov","MOV")</f>
        <v>21</v>
      </c>
    </row>
    <row r="9053" s="2" customFormat="1" ht="13.5" customHeight="1">
      <c r="B9053" t="s" s="8">
        <v>3315</v>
      </c>
      <c r="C9053" t="s" s="9">
        <v>14</v>
      </c>
      <c r="D9053" t="s" s="8">
        <v>14</v>
      </c>
      <c r="E9053" t="s" s="9">
        <v>14</v>
      </c>
      <c r="F9053" t="s" s="10">
        <v>14</v>
      </c>
      <c r="G9053" t="s" s="11">
        <v>14</v>
      </c>
      <c r="H9053" t="s" s="10">
        <v>14</v>
      </c>
      <c r="I9053" t="s" s="11">
        <v>14</v>
      </c>
      <c r="J9053" t="s" s="11">
        <v>14</v>
      </c>
      <c r="K9053" t="s" s="12">
        <v>14</v>
      </c>
      <c r="L9053" t="s" s="12">
        <v>14</v>
      </c>
      <c r="M9053" t="s" s="10">
        <v>14</v>
      </c>
      <c r="N9053" t="s" s="11">
        <v>14</v>
      </c>
      <c r="O9053" t="s" s="8">
        <v>14</v>
      </c>
      <c r="P9053" t="s" s="8">
        <v>14</v>
      </c>
      <c r="Q9053" t="s" s="12">
        <v>14</v>
      </c>
      <c r="R9053" t="s" s="12">
        <v>14</v>
      </c>
    </row>
    <row r="9054" s="2" customFormat="1" ht="13.5" customHeight="1">
      <c r="B9054" s="13"/>
      <c r="C9054" t="s" s="9">
        <v>16</v>
      </c>
      <c r="D9054" t="s" s="8">
        <v>3315</v>
      </c>
      <c r="E9054" t="s" s="9">
        <v>3316</v>
      </c>
      <c r="F9054" t="s" s="10">
        <v>70</v>
      </c>
      <c r="G9054" s="14"/>
      <c r="H9054" s="19">
        <v>1</v>
      </c>
      <c r="I9054" s="14"/>
      <c r="J9054" t="s" s="11">
        <v>20</v>
      </c>
      <c r="K9054" s="15"/>
      <c r="L9054" t="s" s="16">
        <f>HYPERLINK("http://csr.bu.edu/ftp/asl/asllvd/demos/verify_start_end_handshape_annotations//test_auto_move//signs_mov_separ_signers/Liz_2521.mov","MOV")</f>
        <v>21</v>
      </c>
      <c r="M9054" t="s" s="10">
        <v>88</v>
      </c>
      <c r="N9054" s="17">
        <v>39</v>
      </c>
      <c r="O9054" s="18">
        <v>310</v>
      </c>
      <c r="P9054" s="18">
        <v>342</v>
      </c>
      <c r="Q9054" s="15"/>
      <c r="R9054" t="s" s="16">
        <f>HYPERLINK("http://secrets.rutgers.edu:8080/data/asl-ftp/asllvd/demos/verify_start_end_handshape_annotations//test_auto_move//signs_mov_separ_signers/Liz_2521.mov","MOV")</f>
        <v>21</v>
      </c>
    </row>
    <row r="9055" s="2" customFormat="1" ht="13.5" customHeight="1">
      <c r="B9055" s="13"/>
      <c r="C9055" t="s" s="9">
        <v>16</v>
      </c>
      <c r="D9055" t="s" s="8">
        <v>3315</v>
      </c>
      <c r="E9055" t="s" s="9">
        <v>3316</v>
      </c>
      <c r="F9055" t="s" s="10">
        <v>70</v>
      </c>
      <c r="G9055" s="14"/>
      <c r="H9055" s="19">
        <v>1</v>
      </c>
      <c r="I9055" s="14"/>
      <c r="J9055" t="s" s="11">
        <v>20</v>
      </c>
      <c r="K9055" t="s" s="16">
        <f>HYPERLINK("http://csr.bu.edu/ftp/asl/asllvd/demos/verify_start_end_handshape_annotations//test_auto_move//signs_mov/2521_3423_merged.mov","MOV")</f>
        <v>21</v>
      </c>
      <c r="L9055" t="s" s="16">
        <f>HYPERLINK("http://csr.bu.edu/ftp/asl/asllvd/demos/verify_start_end_handshape_annotations//test_auto_move//signs_mov_separ_signers/Liz_3423.mov","MOV")</f>
        <v>21</v>
      </c>
      <c r="M9055" t="s" s="10">
        <v>59</v>
      </c>
      <c r="N9055" s="17">
        <v>4</v>
      </c>
      <c r="O9055" s="18">
        <v>1425</v>
      </c>
      <c r="P9055" s="18">
        <v>1465</v>
      </c>
      <c r="Q9055" t="s" s="16">
        <f>HYPERLINK("http://secrets.rutgers.edu:8080/data/asl-ftp/asllvd/demos/verify_start_end_handshape_annotations//test_auto_move//signs_mov/2521_3423_merged.mov","MOV")</f>
        <v>21</v>
      </c>
      <c r="R9055" t="s" s="16">
        <f>HYPERLINK("http://secrets.rutgers.edu:8080/data/asl-ftp/asllvd/demos/verify_start_end_handshape_annotations//test_auto_move//signs_mov_separ_signers/Liz_3423.mov","MOV")</f>
        <v>21</v>
      </c>
    </row>
    <row r="9056" s="2" customFormat="1" ht="13.5" customHeight="1">
      <c r="B9056" s="13"/>
      <c r="C9056" t="s" s="9">
        <v>30</v>
      </c>
      <c r="D9056" t="s" s="8">
        <v>3315</v>
      </c>
      <c r="E9056" t="s" s="9">
        <v>3316</v>
      </c>
      <c r="F9056" t="s" s="10">
        <v>70</v>
      </c>
      <c r="G9056" s="14"/>
      <c r="H9056" s="19">
        <v>1</v>
      </c>
      <c r="I9056" s="14"/>
      <c r="J9056" t="s" s="11">
        <v>20</v>
      </c>
      <c r="K9056" s="15"/>
      <c r="L9056" t="s" s="16">
        <f>HYPERLINK("http://csr.bu.edu/ftp/asl/asllvd/demos/verify_start_end_handshape_annotations//test_auto_move//signs_mov_separ_signers/Brady_2521.mov","MOV")</f>
        <v>21</v>
      </c>
      <c r="M9056" t="s" s="10">
        <v>39</v>
      </c>
      <c r="N9056" s="17">
        <v>55</v>
      </c>
      <c r="O9056" s="18">
        <v>6193</v>
      </c>
      <c r="P9056" s="18">
        <v>6215</v>
      </c>
      <c r="Q9056" s="15"/>
      <c r="R9056" t="s" s="16">
        <f>HYPERLINK("http://secrets.rutgers.edu:8080/data/asl-ftp/asllvd/demos/verify_start_end_handshape_annotations//test_auto_move//signs_mov_separ_signers/Brady_2521.mov","MOV")</f>
        <v>21</v>
      </c>
    </row>
    <row r="9057" s="2" customFormat="1" ht="13.5" customHeight="1">
      <c r="B9057" s="13"/>
      <c r="C9057" t="s" s="9">
        <v>41</v>
      </c>
      <c r="D9057" t="s" s="8">
        <v>3315</v>
      </c>
      <c r="E9057" t="s" s="9">
        <v>3316</v>
      </c>
      <c r="F9057" t="s" s="10">
        <v>70</v>
      </c>
      <c r="G9057" s="14"/>
      <c r="H9057" s="19">
        <v>1</v>
      </c>
      <c r="I9057" s="14"/>
      <c r="J9057" t="s" s="11">
        <v>20</v>
      </c>
      <c r="K9057" s="15"/>
      <c r="L9057" t="s" s="16">
        <f>HYPERLINK("http://csr.bu.edu/ftp/asl/asllvd/demos/verify_start_end_handshape_annotations//test_auto_move//signs_mov_separ_signers/Lana_2521.mov","MOV")</f>
        <v>21</v>
      </c>
      <c r="M9057" t="s" s="10">
        <v>42</v>
      </c>
      <c r="N9057" s="17">
        <v>21</v>
      </c>
      <c r="O9057" s="18">
        <v>1267</v>
      </c>
      <c r="P9057" s="18">
        <v>1287</v>
      </c>
      <c r="Q9057" s="15"/>
      <c r="R9057" t="s" s="16">
        <f>HYPERLINK("http://secrets.rutgers.edu:8080/data/asl-ftp/asllvd/demos/verify_start_end_handshape_annotations//test_auto_move//signs_mov_separ_signers/Lana_2521.mov","MOV")</f>
        <v>21</v>
      </c>
    </row>
    <row r="9058" s="2" customFormat="1" ht="13.5" customHeight="1">
      <c r="B9058" t="s" s="8">
        <v>3317</v>
      </c>
      <c r="C9058" t="s" s="9">
        <v>14</v>
      </c>
      <c r="D9058" t="s" s="8">
        <v>14</v>
      </c>
      <c r="E9058" t="s" s="9">
        <v>14</v>
      </c>
      <c r="F9058" t="s" s="10">
        <v>14</v>
      </c>
      <c r="G9058" t="s" s="11">
        <v>14</v>
      </c>
      <c r="H9058" t="s" s="10">
        <v>14</v>
      </c>
      <c r="I9058" t="s" s="11">
        <v>14</v>
      </c>
      <c r="J9058" t="s" s="11">
        <v>14</v>
      </c>
      <c r="K9058" t="s" s="12">
        <v>14</v>
      </c>
      <c r="L9058" t="s" s="12">
        <v>14</v>
      </c>
      <c r="M9058" t="s" s="10">
        <v>14</v>
      </c>
      <c r="N9058" t="s" s="11">
        <v>14</v>
      </c>
      <c r="O9058" t="s" s="8">
        <v>14</v>
      </c>
      <c r="P9058" t="s" s="8">
        <v>14</v>
      </c>
      <c r="Q9058" t="s" s="12">
        <v>14</v>
      </c>
      <c r="R9058" t="s" s="12">
        <v>14</v>
      </c>
    </row>
    <row r="9059" s="2" customFormat="1" ht="13.5" customHeight="1">
      <c r="B9059" s="13"/>
      <c r="C9059" t="s" s="9">
        <v>16</v>
      </c>
      <c r="D9059" t="s" s="8">
        <v>3317</v>
      </c>
      <c r="E9059" t="s" s="9">
        <v>3317</v>
      </c>
      <c r="F9059" t="s" s="10">
        <v>73</v>
      </c>
      <c r="G9059" t="s" s="11">
        <v>73</v>
      </c>
      <c r="H9059" t="s" s="10">
        <v>73</v>
      </c>
      <c r="I9059" t="s" s="11">
        <v>73</v>
      </c>
      <c r="J9059" t="s" s="11">
        <v>20</v>
      </c>
      <c r="K9059" t="s" s="16">
        <f>HYPERLINK("http://csr.bu.edu/ftp/asl/asllvd/demos/verify_start_end_handshape_annotations//test_auto_move//signs_mov/2523.mov","MOV")</f>
        <v>21</v>
      </c>
      <c r="L9059" t="s" s="16">
        <f>HYPERLINK("http://csr.bu.edu/ftp/asl/asllvd/demos/verify_start_end_handshape_annotations//test_auto_move//signs_mov_separ_signers/Liz_2523.mov","MOV")</f>
        <v>21</v>
      </c>
      <c r="M9059" t="s" s="10">
        <v>59</v>
      </c>
      <c r="N9059" s="17">
        <v>4</v>
      </c>
      <c r="O9059" s="18">
        <v>1965</v>
      </c>
      <c r="P9059" s="18">
        <v>1985</v>
      </c>
      <c r="Q9059" t="s" s="16">
        <f>HYPERLINK("http://secrets.rutgers.edu:8080/data/asl-ftp/asllvd/demos/verify_start_end_handshape_annotations//test_auto_move//signs_mov/2523.mov","MOV")</f>
        <v>21</v>
      </c>
      <c r="R9059" t="s" s="16">
        <f>HYPERLINK("http://secrets.rutgers.edu:8080/data/asl-ftp/asllvd/demos/verify_start_end_handshape_annotations//test_auto_move//signs_mov_separ_signers/Liz_2523.mov","MOV")</f>
        <v>21</v>
      </c>
    </row>
    <row r="9060" s="2" customFormat="1" ht="13.5" customHeight="1">
      <c r="B9060" s="13"/>
      <c r="C9060" t="s" s="9">
        <v>41</v>
      </c>
      <c r="D9060" t="s" s="8">
        <v>3317</v>
      </c>
      <c r="E9060" t="s" s="9">
        <v>3317</v>
      </c>
      <c r="F9060" t="s" s="10">
        <v>73</v>
      </c>
      <c r="G9060" t="s" s="11">
        <v>73</v>
      </c>
      <c r="H9060" t="s" s="10">
        <v>73</v>
      </c>
      <c r="I9060" t="s" s="11">
        <v>73</v>
      </c>
      <c r="J9060" t="s" s="11">
        <v>20</v>
      </c>
      <c r="K9060" s="15"/>
      <c r="L9060" t="s" s="16">
        <f>HYPERLINK("http://csr.bu.edu/ftp/asl/asllvd/demos/verify_start_end_handshape_annotations//test_auto_move//signs_mov_separ_signers/Lana_2523.mov","MOV")</f>
        <v>21</v>
      </c>
      <c r="M9060" t="s" s="10">
        <v>245</v>
      </c>
      <c r="N9060" s="17">
        <v>22</v>
      </c>
      <c r="O9060" s="18">
        <v>2870</v>
      </c>
      <c r="P9060" s="18">
        <v>2912</v>
      </c>
      <c r="Q9060" s="15"/>
      <c r="R9060" t="s" s="16">
        <f>HYPERLINK("http://secrets.rutgers.edu:8080/data/asl-ftp/asllvd/demos/verify_start_end_handshape_annotations//test_auto_move//signs_mov_separ_signers/Lana_2523.mov","MOV")</f>
        <v>21</v>
      </c>
    </row>
    <row r="9061" s="2" customFormat="1" ht="13.5" customHeight="1">
      <c r="B9061" t="s" s="8">
        <v>3318</v>
      </c>
      <c r="C9061" t="s" s="9">
        <v>14</v>
      </c>
      <c r="D9061" t="s" s="8">
        <v>14</v>
      </c>
      <c r="E9061" t="s" s="9">
        <v>14</v>
      </c>
      <c r="F9061" t="s" s="10">
        <v>14</v>
      </c>
      <c r="G9061" t="s" s="11">
        <v>14</v>
      </c>
      <c r="H9061" t="s" s="10">
        <v>14</v>
      </c>
      <c r="I9061" t="s" s="11">
        <v>14</v>
      </c>
      <c r="J9061" t="s" s="11">
        <v>14</v>
      </c>
      <c r="K9061" t="s" s="12">
        <v>14</v>
      </c>
      <c r="L9061" t="s" s="12">
        <v>14</v>
      </c>
      <c r="M9061" t="s" s="10">
        <v>14</v>
      </c>
      <c r="N9061" t="s" s="11">
        <v>14</v>
      </c>
      <c r="O9061" t="s" s="8">
        <v>14</v>
      </c>
      <c r="P9061" t="s" s="8">
        <v>14</v>
      </c>
      <c r="Q9061" t="s" s="12">
        <v>14</v>
      </c>
      <c r="R9061" t="s" s="12">
        <v>14</v>
      </c>
    </row>
    <row r="9062" s="2" customFormat="1" ht="13.5" customHeight="1">
      <c r="B9062" s="13"/>
      <c r="C9062" t="s" s="9">
        <v>16</v>
      </c>
      <c r="D9062" t="s" s="8">
        <v>3318</v>
      </c>
      <c r="E9062" t="s" s="9">
        <v>3318</v>
      </c>
      <c r="F9062" s="19">
        <v>1</v>
      </c>
      <c r="G9062" t="s" s="11">
        <v>73</v>
      </c>
      <c r="H9062" s="19">
        <v>1</v>
      </c>
      <c r="I9062" t="s" s="11">
        <v>73</v>
      </c>
      <c r="J9062" t="s" s="11">
        <v>20</v>
      </c>
      <c r="K9062" s="15"/>
      <c r="L9062" t="s" s="16">
        <f>HYPERLINK("http://csr.bu.edu/ftp/asl/asllvd/demos/verify_start_end_handshape_annotations//test_auto_move//signs_mov_separ_signers/Liz_2527.mov","MOV")</f>
        <v>21</v>
      </c>
      <c r="M9062" t="s" s="10">
        <v>59</v>
      </c>
      <c r="N9062" s="17">
        <v>4</v>
      </c>
      <c r="O9062" s="18">
        <v>3016</v>
      </c>
      <c r="P9062" s="18">
        <v>3060</v>
      </c>
      <c r="Q9062" s="15"/>
      <c r="R9062" t="s" s="16">
        <f>HYPERLINK("http://secrets.rutgers.edu:8080/data/asl-ftp/asllvd/demos/verify_start_end_handshape_annotations//test_auto_move//signs_mov_separ_signers/Liz_2527.mov","MOV")</f>
        <v>21</v>
      </c>
    </row>
    <row r="9063" s="2" customFormat="1" ht="13.5" customHeight="1">
      <c r="B9063" s="13"/>
      <c r="C9063" t="s" s="9">
        <v>30</v>
      </c>
      <c r="D9063" t="s" s="8">
        <v>3318</v>
      </c>
      <c r="E9063" t="s" s="9">
        <v>3318</v>
      </c>
      <c r="F9063" s="19">
        <v>1</v>
      </c>
      <c r="G9063" t="s" s="11">
        <v>73</v>
      </c>
      <c r="H9063" s="19">
        <v>1</v>
      </c>
      <c r="I9063" t="s" s="11">
        <v>73</v>
      </c>
      <c r="J9063" t="s" s="11">
        <v>20</v>
      </c>
      <c r="K9063" t="s" s="16">
        <f>HYPERLINK("http://csr.bu.edu/ftp/asl/asllvd/demos/verify_start_end_handshape_annotations//test_auto_move//signs_mov/2527_5525_merged.mov","MOV")</f>
        <v>21</v>
      </c>
      <c r="L9063" t="s" s="16">
        <f>HYPERLINK("http://csr.bu.edu/ftp/asl/asllvd/demos/verify_start_end_handshape_annotations//test_auto_move//signs_mov_separ_signers/Brady_2527.mov","MOV")</f>
        <v>21</v>
      </c>
      <c r="M9063" t="s" s="10">
        <v>39</v>
      </c>
      <c r="N9063" s="17">
        <v>33</v>
      </c>
      <c r="O9063" s="18">
        <v>2572</v>
      </c>
      <c r="P9063" s="18">
        <v>2590</v>
      </c>
      <c r="Q9063" t="s" s="16">
        <f>HYPERLINK("http://secrets.rutgers.edu:8080/data/asl-ftp/asllvd/demos/verify_start_end_handshape_annotations//test_auto_move//signs_mov/2527_5525_merged.mov","MOV")</f>
        <v>21</v>
      </c>
      <c r="R9063" t="s" s="16">
        <f>HYPERLINK("http://secrets.rutgers.edu:8080/data/asl-ftp/asllvd/demos/verify_start_end_handshape_annotations//test_auto_move//signs_mov_separ_signers/Brady_2527.mov","MOV")</f>
        <v>21</v>
      </c>
    </row>
    <row r="9064" s="2" customFormat="1" ht="13.5" customHeight="1">
      <c r="B9064" s="13"/>
      <c r="C9064" t="s" s="9">
        <v>30</v>
      </c>
      <c r="D9064" t="s" s="8">
        <v>3318</v>
      </c>
      <c r="E9064" t="s" s="9">
        <v>3318</v>
      </c>
      <c r="F9064" s="19">
        <v>1</v>
      </c>
      <c r="G9064" t="s" s="11">
        <v>73</v>
      </c>
      <c r="H9064" s="19">
        <v>1</v>
      </c>
      <c r="I9064" t="s" s="11">
        <v>73</v>
      </c>
      <c r="J9064" t="s" s="11">
        <v>20</v>
      </c>
      <c r="K9064" s="15"/>
      <c r="L9064" t="s" s="16">
        <f>HYPERLINK("http://csr.bu.edu/ftp/asl/asllvd/demos/verify_start_end_handshape_annotations//test_auto_move//signs_mov_separ_signers/Brady_5525.mov","MOV")</f>
        <v>21</v>
      </c>
      <c r="M9064" t="s" s="10">
        <v>40</v>
      </c>
      <c r="N9064" s="17">
        <v>109</v>
      </c>
      <c r="O9064" s="18">
        <v>752</v>
      </c>
      <c r="P9064" s="18">
        <v>767</v>
      </c>
      <c r="Q9064" s="15"/>
      <c r="R9064" t="s" s="16">
        <f>HYPERLINK("http://secrets.rutgers.edu:8080/data/asl-ftp/asllvd/demos/verify_start_end_handshape_annotations//test_auto_move//signs_mov_separ_signers/Brady_5525.mov","MOV")</f>
        <v>21</v>
      </c>
    </row>
    <row r="9065" s="2" customFormat="1" ht="13.5" customHeight="1">
      <c r="B9065" t="s" s="8">
        <v>3319</v>
      </c>
      <c r="C9065" t="s" s="9">
        <v>14</v>
      </c>
      <c r="D9065" t="s" s="8">
        <v>14</v>
      </c>
      <c r="E9065" t="s" s="9">
        <v>14</v>
      </c>
      <c r="F9065" t="s" s="10">
        <v>14</v>
      </c>
      <c r="G9065" t="s" s="11">
        <v>14</v>
      </c>
      <c r="H9065" t="s" s="10">
        <v>14</v>
      </c>
      <c r="I9065" t="s" s="11">
        <v>14</v>
      </c>
      <c r="J9065" t="s" s="11">
        <v>14</v>
      </c>
      <c r="K9065" t="s" s="12">
        <v>14</v>
      </c>
      <c r="L9065" t="s" s="12">
        <v>14</v>
      </c>
      <c r="M9065" t="s" s="10">
        <v>14</v>
      </c>
      <c r="N9065" t="s" s="11">
        <v>14</v>
      </c>
      <c r="O9065" t="s" s="8">
        <v>14</v>
      </c>
      <c r="P9065" t="s" s="8">
        <v>14</v>
      </c>
      <c r="Q9065" t="s" s="12">
        <v>14</v>
      </c>
      <c r="R9065" t="s" s="12">
        <v>14</v>
      </c>
    </row>
    <row r="9066" s="2" customFormat="1" ht="13.5" customHeight="1">
      <c r="B9066" s="13"/>
      <c r="C9066" t="s" s="9">
        <v>16</v>
      </c>
      <c r="D9066" t="s" s="8">
        <v>3319</v>
      </c>
      <c r="E9066" t="s" s="9">
        <v>3319</v>
      </c>
      <c r="F9066" t="s" s="10">
        <v>251</v>
      </c>
      <c r="G9066" t="s" s="11">
        <v>73</v>
      </c>
      <c r="H9066" t="s" s="10">
        <v>251</v>
      </c>
      <c r="I9066" t="s" s="11">
        <v>73</v>
      </c>
      <c r="J9066" t="s" s="11">
        <v>20</v>
      </c>
      <c r="K9066" t="s" s="16">
        <f>HYPERLINK("http://csr.bu.edu/ftp/asl/asllvd/demos/verify_start_end_handshape_annotations//test_auto_move//signs_mov/15934.mov","MOV")</f>
        <v>21</v>
      </c>
      <c r="L9066" t="s" s="16">
        <f>HYPERLINK("http://csr.bu.edu/ftp/asl/asllvd/demos/verify_start_end_handshape_annotations//test_auto_move//signs_mov_separ_signers/Liz_15934.mov","MOV")</f>
        <v>21</v>
      </c>
      <c r="M9066" t="s" s="10">
        <v>36</v>
      </c>
      <c r="N9066" s="17">
        <v>17</v>
      </c>
      <c r="O9066" s="18">
        <v>1680</v>
      </c>
      <c r="P9066" s="18">
        <v>1730</v>
      </c>
      <c r="Q9066" t="s" s="16">
        <f>HYPERLINK("http://secrets.rutgers.edu:8080/data/asl-ftp/asllvd/demos/verify_start_end_handshape_annotations//test_auto_move//signs_mov/15934.mov","MOV")</f>
        <v>21</v>
      </c>
      <c r="R9066" t="s" s="16">
        <f>HYPERLINK("http://secrets.rutgers.edu:8080/data/asl-ftp/asllvd/demos/verify_start_end_handshape_annotations//test_auto_move//signs_mov_separ_signers/Liz_15934.mov","MOV")</f>
        <v>21</v>
      </c>
    </row>
    <row r="9067" s="2" customFormat="1" ht="13.5" customHeight="1">
      <c r="B9067" s="13"/>
      <c r="C9067" t="s" s="9">
        <v>30</v>
      </c>
      <c r="D9067" t="s" s="8">
        <v>3319</v>
      </c>
      <c r="E9067" t="s" s="9">
        <v>3319</v>
      </c>
      <c r="F9067" t="s" s="10">
        <v>251</v>
      </c>
      <c r="G9067" t="s" s="11">
        <v>73</v>
      </c>
      <c r="H9067" t="s" s="10">
        <v>251</v>
      </c>
      <c r="I9067" t="s" s="11">
        <v>73</v>
      </c>
      <c r="J9067" t="s" s="11">
        <v>20</v>
      </c>
      <c r="K9067" s="15"/>
      <c r="L9067" t="s" s="16">
        <f>HYPERLINK("http://csr.bu.edu/ftp/asl/asllvd/demos/verify_start_end_handshape_annotations//test_auto_move//signs_mov_separ_signers/Brady_15934.mov","MOV")</f>
        <v>21</v>
      </c>
      <c r="M9067" t="s" s="10">
        <v>40</v>
      </c>
      <c r="N9067" s="17">
        <v>61</v>
      </c>
      <c r="O9067" s="18">
        <v>2440</v>
      </c>
      <c r="P9067" s="18">
        <v>2461</v>
      </c>
      <c r="Q9067" s="15"/>
      <c r="R9067" t="s" s="16">
        <f>HYPERLINK("http://secrets.rutgers.edu:8080/data/asl-ftp/asllvd/demos/verify_start_end_handshape_annotations//test_auto_move//signs_mov_separ_signers/Brady_15934.mov","MOV")</f>
        <v>21</v>
      </c>
    </row>
    <row r="9068" s="2" customFormat="1" ht="13.5" customHeight="1">
      <c r="B9068" t="s" s="8">
        <v>3320</v>
      </c>
      <c r="C9068" t="s" s="9">
        <v>14</v>
      </c>
      <c r="D9068" t="s" s="8">
        <v>14</v>
      </c>
      <c r="E9068" t="s" s="9">
        <v>14</v>
      </c>
      <c r="F9068" t="s" s="10">
        <v>14</v>
      </c>
      <c r="G9068" t="s" s="11">
        <v>14</v>
      </c>
      <c r="H9068" t="s" s="10">
        <v>14</v>
      </c>
      <c r="I9068" t="s" s="11">
        <v>14</v>
      </c>
      <c r="J9068" t="s" s="11">
        <v>14</v>
      </c>
      <c r="K9068" t="s" s="12">
        <v>14</v>
      </c>
      <c r="L9068" t="s" s="12">
        <v>14</v>
      </c>
      <c r="M9068" t="s" s="10">
        <v>14</v>
      </c>
      <c r="N9068" t="s" s="11">
        <v>14</v>
      </c>
      <c r="O9068" t="s" s="8">
        <v>14</v>
      </c>
      <c r="P9068" t="s" s="8">
        <v>14</v>
      </c>
      <c r="Q9068" t="s" s="12">
        <v>14</v>
      </c>
      <c r="R9068" t="s" s="12">
        <v>14</v>
      </c>
    </row>
    <row r="9069" s="2" customFormat="1" ht="13.5" customHeight="1">
      <c r="B9069" s="13"/>
      <c r="C9069" t="s" s="9">
        <v>16</v>
      </c>
      <c r="D9069" t="s" s="8">
        <v>3320</v>
      </c>
      <c r="E9069" t="s" s="9">
        <v>3321</v>
      </c>
      <c r="F9069" t="s" s="10">
        <v>18</v>
      </c>
      <c r="G9069" t="s" s="11">
        <v>18</v>
      </c>
      <c r="H9069" t="s" s="10">
        <v>18</v>
      </c>
      <c r="I9069" t="s" s="11">
        <v>18</v>
      </c>
      <c r="J9069" t="s" s="11">
        <v>20</v>
      </c>
      <c r="K9069" t="s" s="16">
        <f>HYPERLINK("http://csr.bu.edu/ftp/asl/asllvd/demos/verify_start_end_handshape_annotations//test_auto_move//signs_mov/2529.mov","MOV")</f>
        <v>21</v>
      </c>
      <c r="L9069" t="s" s="16">
        <f>HYPERLINK("http://csr.bu.edu/ftp/asl/asllvd/demos/verify_start_end_handshape_annotations//test_auto_move//signs_mov_separ_signers/Liz_2529.mov","MOV")</f>
        <v>21</v>
      </c>
      <c r="M9069" t="s" s="10">
        <v>59</v>
      </c>
      <c r="N9069" s="17">
        <v>4</v>
      </c>
      <c r="O9069" s="18">
        <v>3645</v>
      </c>
      <c r="P9069" s="18">
        <v>3685</v>
      </c>
      <c r="Q9069" t="s" s="16">
        <f>HYPERLINK("http://secrets.rutgers.edu:8080/data/asl-ftp/asllvd/demos/verify_start_end_handshape_annotations//test_auto_move//signs_mov/2529.mov","MOV")</f>
        <v>21</v>
      </c>
      <c r="R9069" t="s" s="16">
        <f>HYPERLINK("http://secrets.rutgers.edu:8080/data/asl-ftp/asllvd/demos/verify_start_end_handshape_annotations//test_auto_move//signs_mov_separ_signers/Liz_2529.mov","MOV")</f>
        <v>21</v>
      </c>
    </row>
    <row r="9070" s="2" customFormat="1" ht="13.5" customHeight="1">
      <c r="B9070" s="13"/>
      <c r="C9070" t="s" s="9">
        <v>30</v>
      </c>
      <c r="D9070" t="s" s="8">
        <v>3320</v>
      </c>
      <c r="E9070" t="s" s="9">
        <v>3321</v>
      </c>
      <c r="F9070" t="s" s="10">
        <v>337</v>
      </c>
      <c r="G9070" t="s" s="11">
        <v>337</v>
      </c>
      <c r="H9070" t="s" s="10">
        <v>337</v>
      </c>
      <c r="I9070" t="s" s="11">
        <v>337</v>
      </c>
      <c r="J9070" t="s" s="11">
        <v>20</v>
      </c>
      <c r="K9070" s="15"/>
      <c r="L9070" t="s" s="16">
        <f>HYPERLINK("http://csr.bu.edu/ftp/asl/asllvd/demos/verify_start_end_handshape_annotations//test_auto_move//signs_mov_separ_signers/Brady_2529.mov","MOV")</f>
        <v>21</v>
      </c>
      <c r="M9070" t="s" s="10">
        <v>40</v>
      </c>
      <c r="N9070" s="17">
        <v>109</v>
      </c>
      <c r="O9070" s="18">
        <v>990</v>
      </c>
      <c r="P9070" s="18">
        <v>1024</v>
      </c>
      <c r="Q9070" s="15"/>
      <c r="R9070" t="s" s="16">
        <f>HYPERLINK("http://secrets.rutgers.edu:8080/data/asl-ftp/asllvd/demos/verify_start_end_handshape_annotations//test_auto_move//signs_mov_separ_signers/Brady_2529.mov","MOV")</f>
        <v>21</v>
      </c>
    </row>
    <row r="9071" s="2" customFormat="1" ht="13.5" customHeight="1">
      <c r="B9071" t="s" s="8">
        <v>3322</v>
      </c>
      <c r="C9071" t="s" s="9">
        <v>14</v>
      </c>
      <c r="D9071" t="s" s="8">
        <v>14</v>
      </c>
      <c r="E9071" t="s" s="9">
        <v>14</v>
      </c>
      <c r="F9071" t="s" s="10">
        <v>14</v>
      </c>
      <c r="G9071" t="s" s="11">
        <v>14</v>
      </c>
      <c r="H9071" t="s" s="10">
        <v>14</v>
      </c>
      <c r="I9071" t="s" s="11">
        <v>14</v>
      </c>
      <c r="J9071" t="s" s="11">
        <v>14</v>
      </c>
      <c r="K9071" t="s" s="12">
        <v>14</v>
      </c>
      <c r="L9071" t="s" s="12">
        <v>14</v>
      </c>
      <c r="M9071" t="s" s="10">
        <v>14</v>
      </c>
      <c r="N9071" t="s" s="11">
        <v>14</v>
      </c>
      <c r="O9071" t="s" s="8">
        <v>14</v>
      </c>
      <c r="P9071" t="s" s="8">
        <v>14</v>
      </c>
      <c r="Q9071" t="s" s="12">
        <v>14</v>
      </c>
      <c r="R9071" t="s" s="12">
        <v>14</v>
      </c>
    </row>
    <row r="9072" s="2" customFormat="1" ht="13.5" customHeight="1">
      <c r="B9072" s="13"/>
      <c r="C9072" t="s" s="9">
        <v>16</v>
      </c>
      <c r="D9072" t="s" s="8">
        <v>3322</v>
      </c>
      <c r="E9072" t="s" s="9">
        <v>3323</v>
      </c>
      <c r="F9072" s="19">
        <v>25</v>
      </c>
      <c r="G9072" s="17">
        <v>25</v>
      </c>
      <c r="H9072" s="19">
        <v>25</v>
      </c>
      <c r="I9072" s="17">
        <v>25</v>
      </c>
      <c r="J9072" t="s" s="11">
        <v>20</v>
      </c>
      <c r="K9072" t="s" s="16">
        <f>HYPERLINK("http://csr.bu.edu/ftp/asl/asllvd/demos/verify_start_end_handshape_annotations//test_auto_move//signs_mov/2532.mov","MOV")</f>
        <v>21</v>
      </c>
      <c r="L9072" t="s" s="16">
        <f>HYPERLINK("http://csr.bu.edu/ftp/asl/asllvd/demos/verify_start_end_handshape_annotations//test_auto_move//signs_mov_separ_signers/Liz_2532.mov","MOV")</f>
        <v>21</v>
      </c>
      <c r="M9072" t="s" s="10">
        <v>59</v>
      </c>
      <c r="N9072" s="17">
        <v>5</v>
      </c>
      <c r="O9072" s="18">
        <v>715</v>
      </c>
      <c r="P9072" s="18">
        <v>787</v>
      </c>
      <c r="Q9072" t="s" s="16">
        <f>HYPERLINK("http://secrets.rutgers.edu:8080/data/asl-ftp/asllvd/demos/verify_start_end_handshape_annotations//test_auto_move//signs_mov/2532.mov","MOV")</f>
        <v>21</v>
      </c>
      <c r="R9072" t="s" s="16">
        <f>HYPERLINK("http://secrets.rutgers.edu:8080/data/asl-ftp/asllvd/demos/verify_start_end_handshape_annotations//test_auto_move//signs_mov_separ_signers/Liz_2532.mov","MOV")</f>
        <v>21</v>
      </c>
    </row>
    <row r="9073" s="2" customFormat="1" ht="13.5" customHeight="1">
      <c r="B9073" s="13"/>
      <c r="C9073" t="s" s="9">
        <v>30</v>
      </c>
      <c r="D9073" t="s" s="8">
        <v>3322</v>
      </c>
      <c r="E9073" t="s" s="9">
        <v>3323</v>
      </c>
      <c r="F9073" s="19">
        <v>25</v>
      </c>
      <c r="G9073" s="17">
        <v>25</v>
      </c>
      <c r="H9073" s="19">
        <v>25</v>
      </c>
      <c r="I9073" s="17">
        <v>25</v>
      </c>
      <c r="J9073" t="s" s="11">
        <v>20</v>
      </c>
      <c r="K9073" s="15"/>
      <c r="L9073" t="s" s="16">
        <f>HYPERLINK("http://csr.bu.edu/ftp/asl/asllvd/demos/verify_start_end_handshape_annotations//test_auto_move//signs_mov_separ_signers/Brady_2532.mov","MOV")</f>
        <v>21</v>
      </c>
      <c r="M9073" t="s" s="10">
        <v>40</v>
      </c>
      <c r="N9073" s="17">
        <v>109</v>
      </c>
      <c r="O9073" s="18">
        <v>2327</v>
      </c>
      <c r="P9073" s="18">
        <v>2368</v>
      </c>
      <c r="Q9073" s="15"/>
      <c r="R9073" t="s" s="16">
        <f>HYPERLINK("http://secrets.rutgers.edu:8080/data/asl-ftp/asllvd/demos/verify_start_end_handshape_annotations//test_auto_move//signs_mov_separ_signers/Brady_2532.mov","MOV")</f>
        <v>21</v>
      </c>
    </row>
    <row r="9074" s="2" customFormat="1" ht="13.5" customHeight="1">
      <c r="B9074" t="s" s="8">
        <v>3324</v>
      </c>
      <c r="C9074" t="s" s="9">
        <v>14</v>
      </c>
      <c r="D9074" t="s" s="8">
        <v>14</v>
      </c>
      <c r="E9074" t="s" s="9">
        <v>14</v>
      </c>
      <c r="F9074" t="s" s="10">
        <v>14</v>
      </c>
      <c r="G9074" t="s" s="11">
        <v>14</v>
      </c>
      <c r="H9074" t="s" s="10">
        <v>14</v>
      </c>
      <c r="I9074" t="s" s="11">
        <v>14</v>
      </c>
      <c r="J9074" t="s" s="11">
        <v>14</v>
      </c>
      <c r="K9074" t="s" s="12">
        <v>14</v>
      </c>
      <c r="L9074" t="s" s="12">
        <v>14</v>
      </c>
      <c r="M9074" t="s" s="10">
        <v>14</v>
      </c>
      <c r="N9074" t="s" s="11">
        <v>14</v>
      </c>
      <c r="O9074" t="s" s="8">
        <v>14</v>
      </c>
      <c r="P9074" t="s" s="8">
        <v>14</v>
      </c>
      <c r="Q9074" t="s" s="12">
        <v>14</v>
      </c>
      <c r="R9074" t="s" s="12">
        <v>14</v>
      </c>
    </row>
    <row r="9075" s="2" customFormat="1" ht="13.5" customHeight="1">
      <c r="B9075" s="13"/>
      <c r="C9075" t="s" s="9">
        <v>16</v>
      </c>
      <c r="D9075" t="s" s="8">
        <v>3324</v>
      </c>
      <c r="E9075" t="s" s="9">
        <v>3324</v>
      </c>
      <c r="F9075" s="19">
        <v>10</v>
      </c>
      <c r="G9075" t="s" s="11">
        <v>63</v>
      </c>
      <c r="H9075" s="19">
        <v>10</v>
      </c>
      <c r="I9075" t="s" s="11">
        <v>63</v>
      </c>
      <c r="J9075" t="s" s="11">
        <v>20</v>
      </c>
      <c r="K9075" t="s" s="16">
        <f>HYPERLINK("http://csr.bu.edu/ftp/asl/asllvd/demos/verify_start_end_handshape_annotations//test_auto_move//signs_mov/2533.mov","MOV")</f>
        <v>21</v>
      </c>
      <c r="L9075" t="s" s="16">
        <f>HYPERLINK("http://csr.bu.edu/ftp/asl/asllvd/demos/verify_start_end_handshape_annotations//test_auto_move//signs_mov_separ_signers/Liz_2533.mov","MOV")</f>
        <v>21</v>
      </c>
      <c r="M9075" t="s" s="10">
        <v>59</v>
      </c>
      <c r="N9075" s="17">
        <v>5</v>
      </c>
      <c r="O9075" s="18">
        <v>1015</v>
      </c>
      <c r="P9075" s="18">
        <v>1041</v>
      </c>
      <c r="Q9075" t="s" s="16">
        <f>HYPERLINK("http://secrets.rutgers.edu:8080/data/asl-ftp/asllvd/demos/verify_start_end_handshape_annotations//test_auto_move//signs_mov/2533.mov","MOV")</f>
        <v>21</v>
      </c>
      <c r="R9075" t="s" s="16">
        <f>HYPERLINK("http://secrets.rutgers.edu:8080/data/asl-ftp/asllvd/demos/verify_start_end_handshape_annotations//test_auto_move//signs_mov_separ_signers/Liz_2533.mov","MOV")</f>
        <v>21</v>
      </c>
    </row>
    <row r="9076" s="2" customFormat="1" ht="13.5" customHeight="1">
      <c r="B9076" s="13"/>
      <c r="C9076" t="s" s="9">
        <v>30</v>
      </c>
      <c r="D9076" t="s" s="8">
        <v>3324</v>
      </c>
      <c r="E9076" t="s" s="9">
        <v>3324</v>
      </c>
      <c r="F9076" s="19">
        <v>10</v>
      </c>
      <c r="G9076" s="17">
        <v>10</v>
      </c>
      <c r="H9076" s="19">
        <v>10</v>
      </c>
      <c r="I9076" s="17">
        <v>10</v>
      </c>
      <c r="J9076" t="s" s="11">
        <v>20</v>
      </c>
      <c r="K9076" s="15"/>
      <c r="L9076" t="s" s="16">
        <f>HYPERLINK("http://csr.bu.edu/ftp/asl/asllvd/demos/verify_start_end_handshape_annotations//test_auto_move//signs_mov_separ_signers/Brady_2533.mov","MOV")</f>
        <v>21</v>
      </c>
      <c r="M9076" t="s" s="10">
        <v>40</v>
      </c>
      <c r="N9076" s="17">
        <v>109</v>
      </c>
      <c r="O9076" s="18">
        <v>2578</v>
      </c>
      <c r="P9076" s="18">
        <v>2594</v>
      </c>
      <c r="Q9076" s="15"/>
      <c r="R9076" t="s" s="16">
        <f>HYPERLINK("http://secrets.rutgers.edu:8080/data/asl-ftp/asllvd/demos/verify_start_end_handshape_annotations//test_auto_move//signs_mov_separ_signers/Brady_2533.mov","MOV")</f>
        <v>21</v>
      </c>
    </row>
    <row r="9077" s="2" customFormat="1" ht="13.5" customHeight="1">
      <c r="B9077" t="s" s="8">
        <v>3325</v>
      </c>
      <c r="C9077" t="s" s="9">
        <v>14</v>
      </c>
      <c r="D9077" t="s" s="8">
        <v>14</v>
      </c>
      <c r="E9077" t="s" s="9">
        <v>14</v>
      </c>
      <c r="F9077" t="s" s="10">
        <v>14</v>
      </c>
      <c r="G9077" t="s" s="11">
        <v>14</v>
      </c>
      <c r="H9077" t="s" s="10">
        <v>14</v>
      </c>
      <c r="I9077" t="s" s="11">
        <v>14</v>
      </c>
      <c r="J9077" t="s" s="11">
        <v>14</v>
      </c>
      <c r="K9077" t="s" s="12">
        <v>14</v>
      </c>
      <c r="L9077" t="s" s="12">
        <v>14</v>
      </c>
      <c r="M9077" t="s" s="10">
        <v>14</v>
      </c>
      <c r="N9077" t="s" s="11">
        <v>14</v>
      </c>
      <c r="O9077" t="s" s="8">
        <v>14</v>
      </c>
      <c r="P9077" t="s" s="8">
        <v>14</v>
      </c>
      <c r="Q9077" t="s" s="12">
        <v>14</v>
      </c>
      <c r="R9077" t="s" s="12">
        <v>14</v>
      </c>
    </row>
    <row r="9078" s="2" customFormat="1" ht="13.5" customHeight="1">
      <c r="B9078" s="13"/>
      <c r="C9078" t="s" s="9">
        <v>16</v>
      </c>
      <c r="D9078" t="s" s="8">
        <v>3325</v>
      </c>
      <c r="E9078" t="s" s="9">
        <v>3326</v>
      </c>
      <c r="F9078" t="s" s="10">
        <v>65</v>
      </c>
      <c r="G9078" s="14"/>
      <c r="H9078" t="s" s="10">
        <v>65</v>
      </c>
      <c r="I9078" s="14"/>
      <c r="J9078" t="s" s="11">
        <v>20</v>
      </c>
      <c r="K9078" t="s" s="16">
        <f>HYPERLINK("http://csr.bu.edu/ftp/asl/asllvd/demos/verify_start_end_handshape_annotations//test_auto_move//signs_mov/2537.mov","MOV")</f>
        <v>21</v>
      </c>
      <c r="L9078" t="s" s="16">
        <f>HYPERLINK("http://csr.bu.edu/ftp/asl/asllvd/demos/verify_start_end_handshape_annotations//test_auto_move//signs_mov_separ_signers/Liz_2537.mov","MOV")</f>
        <v>21</v>
      </c>
      <c r="M9078" t="s" s="10">
        <v>59</v>
      </c>
      <c r="N9078" s="17">
        <v>5</v>
      </c>
      <c r="O9078" s="18">
        <v>4021</v>
      </c>
      <c r="P9078" s="18">
        <v>4102</v>
      </c>
      <c r="Q9078" t="s" s="16">
        <f>HYPERLINK("http://secrets.rutgers.edu:8080/data/asl-ftp/asllvd/demos/verify_start_end_handshape_annotations//test_auto_move//signs_mov/2537.mov","MOV")</f>
        <v>21</v>
      </c>
      <c r="R9078" t="s" s="16">
        <f>HYPERLINK("http://secrets.rutgers.edu:8080/data/asl-ftp/asllvd/demos/verify_start_end_handshape_annotations//test_auto_move//signs_mov_separ_signers/Liz_2537.mov","MOV")</f>
        <v>21</v>
      </c>
    </row>
    <row r="9079" s="2" customFormat="1" ht="13.5" customHeight="1">
      <c r="B9079" s="13"/>
      <c r="C9079" t="s" s="9">
        <v>30</v>
      </c>
      <c r="D9079" t="s" s="8">
        <v>3325</v>
      </c>
      <c r="E9079" t="s" s="9">
        <v>3326</v>
      </c>
      <c r="F9079" t="s" s="10">
        <v>65</v>
      </c>
      <c r="G9079" s="14"/>
      <c r="H9079" t="s" s="10">
        <v>65</v>
      </c>
      <c r="I9079" s="14"/>
      <c r="J9079" t="s" s="11">
        <v>20</v>
      </c>
      <c r="K9079" s="15"/>
      <c r="L9079" t="s" s="16">
        <f>HYPERLINK("http://csr.bu.edu/ftp/asl/asllvd/demos/verify_start_end_handshape_annotations//test_auto_move//signs_mov_separ_signers/Brady_2537.mov","MOV")</f>
        <v>21</v>
      </c>
      <c r="M9079" t="s" s="10">
        <v>40</v>
      </c>
      <c r="N9079" s="17">
        <v>110</v>
      </c>
      <c r="O9079" s="18">
        <v>742</v>
      </c>
      <c r="P9079" s="18">
        <v>826</v>
      </c>
      <c r="Q9079" s="15"/>
      <c r="R9079" t="s" s="16">
        <f>HYPERLINK("http://secrets.rutgers.edu:8080/data/asl-ftp/asllvd/demos/verify_start_end_handshape_annotations//test_auto_move//signs_mov_separ_signers/Brady_2537.mov","MOV")</f>
        <v>21</v>
      </c>
    </row>
    <row r="9080" s="2" customFormat="1" ht="13.5" customHeight="1">
      <c r="B9080" t="s" s="8">
        <v>52</v>
      </c>
      <c r="C9080" t="s" s="9">
        <v>53</v>
      </c>
      <c r="D9080" t="s" s="8">
        <v>53</v>
      </c>
      <c r="E9080" t="s" s="9">
        <v>53</v>
      </c>
      <c r="F9080" t="s" s="10">
        <v>53</v>
      </c>
      <c r="G9080" t="s" s="11">
        <v>53</v>
      </c>
      <c r="H9080" t="s" s="10">
        <v>53</v>
      </c>
      <c r="I9080" t="s" s="11">
        <v>53</v>
      </c>
      <c r="J9080" t="s" s="11">
        <v>53</v>
      </c>
      <c r="K9080" t="s" s="12">
        <v>53</v>
      </c>
      <c r="L9080" t="s" s="12">
        <v>53</v>
      </c>
      <c r="M9080" t="s" s="10">
        <v>53</v>
      </c>
      <c r="N9080" t="s" s="11">
        <v>53</v>
      </c>
      <c r="O9080" t="s" s="8">
        <v>53</v>
      </c>
      <c r="P9080" t="s" s="8">
        <v>53</v>
      </c>
      <c r="Q9080" t="s" s="12">
        <v>53</v>
      </c>
      <c r="R9080" t="s" s="12">
        <v>53</v>
      </c>
    </row>
    <row r="9081" s="2" customFormat="1" ht="13.5" customHeight="1">
      <c r="B9081" s="13"/>
      <c r="C9081" t="s" s="9">
        <v>16</v>
      </c>
      <c r="D9081" t="s" s="8">
        <v>3325</v>
      </c>
      <c r="E9081" t="s" s="9">
        <v>3327</v>
      </c>
      <c r="F9081" t="s" s="10">
        <v>626</v>
      </c>
      <c r="G9081" s="14"/>
      <c r="H9081" t="s" s="10">
        <v>626</v>
      </c>
      <c r="I9081" s="14"/>
      <c r="J9081" t="s" s="11">
        <v>20</v>
      </c>
      <c r="K9081" t="s" s="16">
        <f>HYPERLINK("http://csr.bu.edu/ftp/asl/asllvd/demos/verify_start_end_handshape_annotations//test_auto_move//signs_mov/15065.mov","MOV")</f>
        <v>21</v>
      </c>
      <c r="L9081" t="s" s="16">
        <f>HYPERLINK("http://csr.bu.edu/ftp/asl/asllvd/demos/verify_start_end_handshape_annotations//test_auto_move//signs_mov_separ_signers/Liz_15065.mov","MOV")</f>
        <v>21</v>
      </c>
      <c r="M9081" t="s" s="10">
        <v>59</v>
      </c>
      <c r="N9081" s="17">
        <v>5</v>
      </c>
      <c r="O9081" s="18">
        <v>3516</v>
      </c>
      <c r="P9081" s="18">
        <v>3570</v>
      </c>
      <c r="Q9081" t="s" s="16">
        <f>HYPERLINK("http://secrets.rutgers.edu:8080/data/asl-ftp/asllvd/demos/verify_start_end_handshape_annotations//test_auto_move//signs_mov/15065.mov","MOV")</f>
        <v>21</v>
      </c>
      <c r="R9081" t="s" s="16">
        <f>HYPERLINK("http://secrets.rutgers.edu:8080/data/asl-ftp/asllvd/demos/verify_start_end_handshape_annotations//test_auto_move//signs_mov_separ_signers/Liz_15065.mov","MOV")</f>
        <v>21</v>
      </c>
    </row>
    <row r="9082" s="2" customFormat="1" ht="13.5" customHeight="1">
      <c r="B9082" t="s" s="8">
        <v>3328</v>
      </c>
      <c r="C9082" t="s" s="9">
        <v>14</v>
      </c>
      <c r="D9082" t="s" s="8">
        <v>14</v>
      </c>
      <c r="E9082" t="s" s="9">
        <v>14</v>
      </c>
      <c r="F9082" t="s" s="10">
        <v>14</v>
      </c>
      <c r="G9082" t="s" s="11">
        <v>14</v>
      </c>
      <c r="H9082" t="s" s="10">
        <v>14</v>
      </c>
      <c r="I9082" t="s" s="11">
        <v>14</v>
      </c>
      <c r="J9082" t="s" s="11">
        <v>14</v>
      </c>
      <c r="K9082" t="s" s="12">
        <v>14</v>
      </c>
      <c r="L9082" t="s" s="12">
        <v>14</v>
      </c>
      <c r="M9082" t="s" s="10">
        <v>14</v>
      </c>
      <c r="N9082" t="s" s="11">
        <v>14</v>
      </c>
      <c r="O9082" t="s" s="8">
        <v>14</v>
      </c>
      <c r="P9082" t="s" s="8">
        <v>14</v>
      </c>
      <c r="Q9082" t="s" s="12">
        <v>14</v>
      </c>
      <c r="R9082" t="s" s="12">
        <v>14</v>
      </c>
    </row>
    <row r="9083" s="2" customFormat="1" ht="13.5" customHeight="1">
      <c r="B9083" s="13"/>
      <c r="C9083" t="s" s="9">
        <v>30</v>
      </c>
      <c r="D9083" t="s" s="8">
        <v>3328</v>
      </c>
      <c r="E9083" t="s" s="9">
        <v>3328</v>
      </c>
      <c r="F9083" t="s" s="10">
        <v>386</v>
      </c>
      <c r="G9083" s="14"/>
      <c r="H9083" t="s" s="10">
        <v>158</v>
      </c>
      <c r="I9083" s="14"/>
      <c r="J9083" t="s" s="11">
        <v>20</v>
      </c>
      <c r="K9083" t="s" s="16">
        <f>HYPERLINK("http://csr.bu.edu/ftp/asl/asllvd/demos/verify_start_end_handshape_annotations//test_auto_move//signs_mov/15232.mov","MOV")</f>
        <v>21</v>
      </c>
      <c r="L9083" t="s" s="16">
        <f>HYPERLINK("http://csr.bu.edu/ftp/asl/asllvd/demos/verify_start_end_handshape_annotations//test_auto_move//signs_mov_separ_signers/Brady_15232.mov","MOV")</f>
        <v>21</v>
      </c>
      <c r="M9083" t="s" s="10">
        <v>40</v>
      </c>
      <c r="N9083" s="17">
        <v>110</v>
      </c>
      <c r="O9083" s="18">
        <v>463</v>
      </c>
      <c r="P9083" s="18">
        <v>500</v>
      </c>
      <c r="Q9083" t="s" s="16">
        <f>HYPERLINK("http://secrets.rutgers.edu:8080/data/asl-ftp/asllvd/demos/verify_start_end_handshape_annotations//test_auto_move//signs_mov/15232.mov","MOV")</f>
        <v>21</v>
      </c>
      <c r="R9083" t="s" s="16">
        <f>HYPERLINK("http://secrets.rutgers.edu:8080/data/asl-ftp/asllvd/demos/verify_start_end_handshape_annotations//test_auto_move//signs_mov_separ_signers/Brady_15232.mov","MOV")</f>
        <v>21</v>
      </c>
    </row>
    <row r="9084" s="2" customFormat="1" ht="13.5" customHeight="1">
      <c r="B9084" t="s" s="8">
        <v>3329</v>
      </c>
      <c r="C9084" t="s" s="9">
        <v>14</v>
      </c>
      <c r="D9084" t="s" s="8">
        <v>14</v>
      </c>
      <c r="E9084" t="s" s="9">
        <v>14</v>
      </c>
      <c r="F9084" t="s" s="10">
        <v>14</v>
      </c>
      <c r="G9084" t="s" s="11">
        <v>14</v>
      </c>
      <c r="H9084" t="s" s="10">
        <v>14</v>
      </c>
      <c r="I9084" t="s" s="11">
        <v>14</v>
      </c>
      <c r="J9084" t="s" s="11">
        <v>14</v>
      </c>
      <c r="K9084" t="s" s="12">
        <v>14</v>
      </c>
      <c r="L9084" t="s" s="12">
        <v>14</v>
      </c>
      <c r="M9084" t="s" s="10">
        <v>14</v>
      </c>
      <c r="N9084" t="s" s="11">
        <v>14</v>
      </c>
      <c r="O9084" t="s" s="8">
        <v>14</v>
      </c>
      <c r="P9084" t="s" s="8">
        <v>14</v>
      </c>
      <c r="Q9084" t="s" s="12">
        <v>14</v>
      </c>
      <c r="R9084" t="s" s="12">
        <v>14</v>
      </c>
    </row>
    <row r="9085" s="2" customFormat="1" ht="13.5" customHeight="1">
      <c r="B9085" s="13"/>
      <c r="C9085" t="s" s="9">
        <v>16</v>
      </c>
      <c r="D9085" t="s" s="8">
        <v>3329</v>
      </c>
      <c r="E9085" t="s" s="9">
        <v>3330</v>
      </c>
      <c r="F9085" t="s" s="10">
        <v>119</v>
      </c>
      <c r="G9085" t="s" s="11">
        <v>119</v>
      </c>
      <c r="H9085" t="s" s="10">
        <v>119</v>
      </c>
      <c r="I9085" t="s" s="11">
        <v>119</v>
      </c>
      <c r="J9085" t="s" s="11">
        <v>20</v>
      </c>
      <c r="K9085" t="s" s="16">
        <f>HYPERLINK("http://csr.bu.edu/ftp/asl/asllvd/demos/verify_start_end_handshape_annotations//test_auto_move//signs_mov/2540.mov","MOV")</f>
        <v>21</v>
      </c>
      <c r="L9085" t="s" s="16">
        <f>HYPERLINK("http://csr.bu.edu/ftp/asl/asllvd/demos/verify_start_end_handshape_annotations//test_auto_move//signs_mov_separ_signers/Liz_2540.mov","MOV")</f>
        <v>21</v>
      </c>
      <c r="M9085" t="s" s="10">
        <v>59</v>
      </c>
      <c r="N9085" s="17">
        <v>6</v>
      </c>
      <c r="O9085" s="18">
        <v>495</v>
      </c>
      <c r="P9085" s="18">
        <v>532</v>
      </c>
      <c r="Q9085" t="s" s="16">
        <f>HYPERLINK("http://secrets.rutgers.edu:8080/data/asl-ftp/asllvd/demos/verify_start_end_handshape_annotations//test_auto_move//signs_mov/2540.mov","MOV")</f>
        <v>21</v>
      </c>
      <c r="R9085" t="s" s="16">
        <f>HYPERLINK("http://secrets.rutgers.edu:8080/data/asl-ftp/asllvd/demos/verify_start_end_handshape_annotations//test_auto_move//signs_mov_separ_signers/Liz_2540.mov","MOV")</f>
        <v>21</v>
      </c>
    </row>
    <row r="9086" s="2" customFormat="1" ht="13.5" customHeight="1">
      <c r="B9086" s="13"/>
      <c r="C9086" t="s" s="9">
        <v>30</v>
      </c>
      <c r="D9086" t="s" s="8">
        <v>3329</v>
      </c>
      <c r="E9086" t="s" s="9">
        <v>3330</v>
      </c>
      <c r="F9086" t="s" s="10">
        <v>119</v>
      </c>
      <c r="G9086" t="s" s="11">
        <v>119</v>
      </c>
      <c r="H9086" t="s" s="10">
        <v>119</v>
      </c>
      <c r="I9086" t="s" s="11">
        <v>119</v>
      </c>
      <c r="J9086" t="s" s="11">
        <v>20</v>
      </c>
      <c r="K9086" s="15"/>
      <c r="L9086" t="s" s="16">
        <f>HYPERLINK("http://csr.bu.edu/ftp/asl/asllvd/demos/verify_start_end_handshape_annotations//test_auto_move//signs_mov_separ_signers/Brady_2540.mov","MOV")</f>
        <v>21</v>
      </c>
      <c r="M9086" t="s" s="10">
        <v>40</v>
      </c>
      <c r="N9086" s="17">
        <v>110</v>
      </c>
      <c r="O9086" s="18">
        <v>1773</v>
      </c>
      <c r="P9086" s="18">
        <v>1802</v>
      </c>
      <c r="Q9086" s="15"/>
      <c r="R9086" t="s" s="16">
        <f>HYPERLINK("http://secrets.rutgers.edu:8080/data/asl-ftp/asllvd/demos/verify_start_end_handshape_annotations//test_auto_move//signs_mov_separ_signers/Brady_2540.mov","MOV")</f>
        <v>21</v>
      </c>
    </row>
    <row r="9087" s="2" customFormat="1" ht="13.5" customHeight="1">
      <c r="B9087" t="s" s="8">
        <v>3331</v>
      </c>
      <c r="C9087" t="s" s="9">
        <v>14</v>
      </c>
      <c r="D9087" t="s" s="8">
        <v>14</v>
      </c>
      <c r="E9087" t="s" s="9">
        <v>14</v>
      </c>
      <c r="F9087" t="s" s="10">
        <v>14</v>
      </c>
      <c r="G9087" t="s" s="11">
        <v>14</v>
      </c>
      <c r="H9087" t="s" s="10">
        <v>14</v>
      </c>
      <c r="I9087" t="s" s="11">
        <v>14</v>
      </c>
      <c r="J9087" t="s" s="11">
        <v>14</v>
      </c>
      <c r="K9087" t="s" s="12">
        <v>14</v>
      </c>
      <c r="L9087" t="s" s="12">
        <v>14</v>
      </c>
      <c r="M9087" t="s" s="10">
        <v>14</v>
      </c>
      <c r="N9087" t="s" s="11">
        <v>14</v>
      </c>
      <c r="O9087" t="s" s="8">
        <v>14</v>
      </c>
      <c r="P9087" t="s" s="8">
        <v>14</v>
      </c>
      <c r="Q9087" t="s" s="12">
        <v>14</v>
      </c>
      <c r="R9087" t="s" s="12">
        <v>14</v>
      </c>
    </row>
    <row r="9088" s="2" customFormat="1" ht="13.5" customHeight="1">
      <c r="B9088" s="13"/>
      <c r="C9088" t="s" s="9">
        <v>16</v>
      </c>
      <c r="D9088" t="s" s="8">
        <v>3331</v>
      </c>
      <c r="E9088" t="s" s="9">
        <v>3331</v>
      </c>
      <c r="F9088" t="s" s="10">
        <v>255</v>
      </c>
      <c r="G9088" s="17">
        <v>1</v>
      </c>
      <c r="H9088" t="s" s="10">
        <v>255</v>
      </c>
      <c r="I9088" s="17">
        <v>1</v>
      </c>
      <c r="J9088" t="s" s="11">
        <v>20</v>
      </c>
      <c r="K9088" s="15"/>
      <c r="L9088" t="s" s="16">
        <f>HYPERLINK("http://csr.bu.edu/ftp/asl/asllvd/demos/verify_start_end_handshape_annotations//test_auto_move//signs_mov_separ_signers/Liz_2547.mov","MOV")</f>
        <v>21</v>
      </c>
      <c r="M9088" t="s" s="10">
        <v>22</v>
      </c>
      <c r="N9088" s="17">
        <v>62</v>
      </c>
      <c r="O9088" s="18">
        <v>645</v>
      </c>
      <c r="P9088" s="18">
        <v>665</v>
      </c>
      <c r="Q9088" s="15"/>
      <c r="R9088" t="s" s="16">
        <f>HYPERLINK("http://secrets.rutgers.edu:8080/data/asl-ftp/asllvd/demos/verify_start_end_handshape_annotations//test_auto_move//signs_mov_separ_signers/Liz_2547.mov","MOV")</f>
        <v>21</v>
      </c>
    </row>
    <row r="9089" s="2" customFormat="1" ht="13.5" customHeight="1">
      <c r="B9089" s="13"/>
      <c r="C9089" t="s" s="9">
        <v>16</v>
      </c>
      <c r="D9089" t="s" s="8">
        <v>3331</v>
      </c>
      <c r="E9089" t="s" s="9">
        <v>3331</v>
      </c>
      <c r="F9089" t="s" s="10">
        <v>255</v>
      </c>
      <c r="G9089" s="17">
        <v>1</v>
      </c>
      <c r="H9089" t="s" s="10">
        <v>255</v>
      </c>
      <c r="I9089" s="17">
        <v>1</v>
      </c>
      <c r="J9089" t="s" s="11">
        <v>20</v>
      </c>
      <c r="K9089" s="15"/>
      <c r="L9089" t="s" s="16">
        <f>HYPERLINK("http://csr.bu.edu/ftp/asl/asllvd/demos/verify_start_end_handshape_annotations//test_auto_move//signs_mov_separ_signers/Liz_15495.mov","MOV")</f>
        <v>21</v>
      </c>
      <c r="M9089" t="s" s="10">
        <v>36</v>
      </c>
      <c r="N9089" s="17">
        <v>26</v>
      </c>
      <c r="O9089" s="18">
        <v>642</v>
      </c>
      <c r="P9089" s="18">
        <v>660</v>
      </c>
      <c r="Q9089" s="15"/>
      <c r="R9089" t="s" s="16">
        <f>HYPERLINK("http://secrets.rutgers.edu:8080/data/asl-ftp/asllvd/demos/verify_start_end_handshape_annotations//test_auto_move//signs_mov_separ_signers/Liz_15495.mov","MOV")</f>
        <v>21</v>
      </c>
    </row>
    <row r="9090" s="2" customFormat="1" ht="13.5" customHeight="1">
      <c r="B9090" s="13"/>
      <c r="C9090" t="s" s="9">
        <v>16</v>
      </c>
      <c r="D9090" t="s" s="8">
        <v>3331</v>
      </c>
      <c r="E9090" t="s" s="9">
        <v>3332</v>
      </c>
      <c r="F9090" t="s" s="10">
        <v>255</v>
      </c>
      <c r="G9090" s="17">
        <v>1</v>
      </c>
      <c r="H9090" t="s" s="10">
        <v>255</v>
      </c>
      <c r="I9090" s="17">
        <v>1</v>
      </c>
      <c r="J9090" t="s" s="11">
        <v>20</v>
      </c>
      <c r="K9090" s="15"/>
      <c r="L9090" t="s" s="16">
        <f>HYPERLINK("http://csr.bu.edu/ftp/asl/asllvd/demos/verify_start_end_handshape_annotations//test_auto_move//signs_mov_separ_signers/Liz_15498.mov","MOV")</f>
        <v>21</v>
      </c>
      <c r="M9090" t="s" s="10">
        <v>59</v>
      </c>
      <c r="N9090" s="17">
        <v>6</v>
      </c>
      <c r="O9090" s="18">
        <v>3430</v>
      </c>
      <c r="P9090" s="18">
        <v>3470</v>
      </c>
      <c r="Q9090" s="15"/>
      <c r="R9090" t="s" s="16">
        <f>HYPERLINK("http://secrets.rutgers.edu:8080/data/asl-ftp/asllvd/demos/verify_start_end_handshape_annotations//test_auto_move//signs_mov_separ_signers/Liz_15498.mov","MOV")</f>
        <v>21</v>
      </c>
    </row>
    <row r="9091" s="2" customFormat="1" ht="13.5" customHeight="1">
      <c r="B9091" s="13"/>
      <c r="C9091" t="s" s="9">
        <v>27</v>
      </c>
      <c r="D9091" t="s" s="8">
        <v>3331</v>
      </c>
      <c r="E9091" t="s" s="9">
        <v>3331</v>
      </c>
      <c r="F9091" t="s" s="10">
        <v>255</v>
      </c>
      <c r="G9091" s="17">
        <v>1</v>
      </c>
      <c r="H9091" t="s" s="10">
        <v>255</v>
      </c>
      <c r="I9091" s="17">
        <v>1</v>
      </c>
      <c r="J9091" t="s" s="11">
        <v>20</v>
      </c>
      <c r="K9091" t="s" s="16">
        <f>HYPERLINK("http://csr.bu.edu/ftp/asl/asllvd/demos/verify_start_end_handshape_annotations//test_auto_move//signs_mov/2547_15495_15498_15504_merged.mov","MOV")</f>
        <v>21</v>
      </c>
      <c r="L9091" t="s" s="16">
        <f>HYPERLINK("http://csr.bu.edu/ftp/asl/asllvd/demos/verify_start_end_handshape_annotations//test_auto_move//signs_mov_separ_signers/Naomi_2547.mov","MOV")</f>
        <v>21</v>
      </c>
      <c r="M9091" t="s" s="10">
        <v>29</v>
      </c>
      <c r="N9091" s="17">
        <v>39</v>
      </c>
      <c r="O9091" s="18">
        <v>3440</v>
      </c>
      <c r="P9091" s="18">
        <v>3461</v>
      </c>
      <c r="Q9091" t="s" s="16">
        <f>HYPERLINK("http://secrets.rutgers.edu:8080/data/asl-ftp/asllvd/demos/verify_start_end_handshape_annotations//test_auto_move//signs_mov/2547_15495_15498_15504_merged.mov","MOV")</f>
        <v>21</v>
      </c>
      <c r="R9091" t="s" s="16">
        <f>HYPERLINK("http://secrets.rutgers.edu:8080/data/asl-ftp/asllvd/demos/verify_start_end_handshape_annotations//test_auto_move//signs_mov_separ_signers/Naomi_2547.mov","MOV")</f>
        <v>21</v>
      </c>
    </row>
    <row r="9092" s="2" customFormat="1" ht="13.5" customHeight="1">
      <c r="B9092" s="13"/>
      <c r="C9092" t="s" s="9">
        <v>30</v>
      </c>
      <c r="D9092" t="s" s="8">
        <v>3331</v>
      </c>
      <c r="E9092" t="s" s="9">
        <v>3331</v>
      </c>
      <c r="F9092" t="s" s="10">
        <v>255</v>
      </c>
      <c r="G9092" s="17">
        <v>1</v>
      </c>
      <c r="H9092" t="s" s="10">
        <v>255</v>
      </c>
      <c r="I9092" s="17">
        <v>1</v>
      </c>
      <c r="J9092" t="s" s="11">
        <v>20</v>
      </c>
      <c r="K9092" s="15"/>
      <c r="L9092" t="s" s="16">
        <f>HYPERLINK("http://csr.bu.edu/ftp/asl/asllvd/demos/verify_start_end_handshape_annotations//test_auto_move//signs_mov_separ_signers/Brady_2547.mov","MOV")</f>
        <v>21</v>
      </c>
      <c r="M9092" t="s" s="10">
        <v>31</v>
      </c>
      <c r="N9092" s="17">
        <v>25</v>
      </c>
      <c r="O9092" s="18">
        <v>416</v>
      </c>
      <c r="P9092" s="18">
        <v>426</v>
      </c>
      <c r="Q9092" s="15"/>
      <c r="R9092" t="s" s="16">
        <f>HYPERLINK("http://secrets.rutgers.edu:8080/data/asl-ftp/asllvd/demos/verify_start_end_handshape_annotations//test_auto_move//signs_mov_separ_signers/Brady_2547.mov","MOV")</f>
        <v>21</v>
      </c>
    </row>
    <row r="9093" s="2" customFormat="1" ht="13.5" customHeight="1">
      <c r="B9093" s="13"/>
      <c r="C9093" t="s" s="9">
        <v>30</v>
      </c>
      <c r="D9093" t="s" s="8">
        <v>3331</v>
      </c>
      <c r="E9093" t="s" s="9">
        <v>3331</v>
      </c>
      <c r="F9093" t="s" s="10">
        <v>255</v>
      </c>
      <c r="G9093" s="17">
        <v>1</v>
      </c>
      <c r="H9093" t="s" s="10">
        <v>255</v>
      </c>
      <c r="I9093" s="17">
        <v>1</v>
      </c>
      <c r="J9093" t="s" s="11">
        <v>20</v>
      </c>
      <c r="K9093" s="15"/>
      <c r="L9093" t="s" s="16">
        <f>HYPERLINK("http://csr.bu.edu/ftp/asl/asllvd/demos/verify_start_end_handshape_annotations//test_auto_move//signs_mov_separ_signers/Brady_15495.mov","MOV")</f>
        <v>21</v>
      </c>
      <c r="M9093" t="s" s="10">
        <v>31</v>
      </c>
      <c r="N9093" s="17">
        <v>25</v>
      </c>
      <c r="O9093" s="18">
        <v>1060</v>
      </c>
      <c r="P9093" s="18">
        <v>1067</v>
      </c>
      <c r="Q9093" s="15"/>
      <c r="R9093" t="s" s="16">
        <f>HYPERLINK("http://secrets.rutgers.edu:8080/data/asl-ftp/asllvd/demos/verify_start_end_handshape_annotations//test_auto_move//signs_mov_separ_signers/Brady_15495.mov","MOV")</f>
        <v>21</v>
      </c>
    </row>
    <row r="9094" s="2" customFormat="1" ht="13.5" customHeight="1">
      <c r="B9094" s="13"/>
      <c r="C9094" t="s" s="9">
        <v>30</v>
      </c>
      <c r="D9094" t="s" s="8">
        <v>3331</v>
      </c>
      <c r="E9094" t="s" s="9">
        <v>3331</v>
      </c>
      <c r="F9094" t="s" s="10">
        <v>255</v>
      </c>
      <c r="G9094" s="17">
        <v>1</v>
      </c>
      <c r="H9094" t="s" s="10">
        <v>255</v>
      </c>
      <c r="I9094" s="17">
        <v>1</v>
      </c>
      <c r="J9094" t="s" s="11">
        <v>20</v>
      </c>
      <c r="K9094" s="15"/>
      <c r="L9094" t="s" s="16">
        <f>HYPERLINK("http://csr.bu.edu/ftp/asl/asllvd/demos/verify_start_end_handshape_annotations//test_auto_move//signs_mov_separ_signers/Brady_15498.mov","MOV")</f>
        <v>21</v>
      </c>
      <c r="M9094" t="s" s="10">
        <v>40</v>
      </c>
      <c r="N9094" s="17">
        <v>76</v>
      </c>
      <c r="O9094" s="18">
        <v>2012</v>
      </c>
      <c r="P9094" s="18">
        <v>2027</v>
      </c>
      <c r="Q9094" s="15"/>
      <c r="R9094" t="s" s="16">
        <f>HYPERLINK("http://secrets.rutgers.edu:8080/data/asl-ftp/asllvd/demos/verify_start_end_handshape_annotations//test_auto_move//signs_mov_separ_signers/Brady_15498.mov","MOV")</f>
        <v>21</v>
      </c>
    </row>
    <row r="9095" s="2" customFormat="1" ht="13.5" customHeight="1">
      <c r="B9095" s="13"/>
      <c r="C9095" t="s" s="9">
        <v>30</v>
      </c>
      <c r="D9095" t="s" s="8">
        <v>3331</v>
      </c>
      <c r="E9095" t="s" s="9">
        <v>3332</v>
      </c>
      <c r="F9095" t="s" s="10">
        <v>255</v>
      </c>
      <c r="G9095" s="17">
        <v>1</v>
      </c>
      <c r="H9095" t="s" s="10">
        <v>255</v>
      </c>
      <c r="I9095" s="17">
        <v>1</v>
      </c>
      <c r="J9095" t="s" s="11">
        <v>20</v>
      </c>
      <c r="K9095" s="15"/>
      <c r="L9095" t="s" s="16">
        <f>HYPERLINK("http://csr.bu.edu/ftp/asl/asllvd/demos/verify_start_end_handshape_annotations//test_auto_move//signs_mov_separ_signers/Brady_15504.mov","MOV")</f>
        <v>21</v>
      </c>
      <c r="M9095" t="s" s="10">
        <v>40</v>
      </c>
      <c r="N9095" s="17">
        <v>111</v>
      </c>
      <c r="O9095" s="18">
        <v>452</v>
      </c>
      <c r="P9095" s="18">
        <v>494</v>
      </c>
      <c r="Q9095" s="15"/>
      <c r="R9095" t="s" s="16">
        <f>HYPERLINK("http://secrets.rutgers.edu:8080/data/asl-ftp/asllvd/demos/verify_start_end_handshape_annotations//test_auto_move//signs_mov_separ_signers/Brady_15504.mov","MOV")</f>
        <v>21</v>
      </c>
    </row>
    <row r="9096" s="2" customFormat="1" ht="13.5" customHeight="1">
      <c r="B9096" t="s" s="8">
        <v>3333</v>
      </c>
      <c r="C9096" t="s" s="9">
        <v>14</v>
      </c>
      <c r="D9096" t="s" s="8">
        <v>14</v>
      </c>
      <c r="E9096" t="s" s="9">
        <v>14</v>
      </c>
      <c r="F9096" t="s" s="10">
        <v>14</v>
      </c>
      <c r="G9096" t="s" s="11">
        <v>14</v>
      </c>
      <c r="H9096" t="s" s="10">
        <v>14</v>
      </c>
      <c r="I9096" t="s" s="11">
        <v>14</v>
      </c>
      <c r="J9096" t="s" s="11">
        <v>14</v>
      </c>
      <c r="K9096" t="s" s="12">
        <v>14</v>
      </c>
      <c r="L9096" t="s" s="12">
        <v>14</v>
      </c>
      <c r="M9096" t="s" s="10">
        <v>14</v>
      </c>
      <c r="N9096" t="s" s="11">
        <v>14</v>
      </c>
      <c r="O9096" t="s" s="8">
        <v>14</v>
      </c>
      <c r="P9096" t="s" s="8">
        <v>14</v>
      </c>
      <c r="Q9096" t="s" s="12">
        <v>14</v>
      </c>
      <c r="R9096" t="s" s="12">
        <v>14</v>
      </c>
    </row>
    <row r="9097" s="2" customFormat="1" ht="13.5" customHeight="1">
      <c r="B9097" s="13"/>
      <c r="C9097" t="s" s="9">
        <v>16</v>
      </c>
      <c r="D9097" t="s" s="8">
        <v>3333</v>
      </c>
      <c r="E9097" t="s" s="9">
        <v>3334</v>
      </c>
      <c r="F9097" t="s" s="10">
        <v>136</v>
      </c>
      <c r="G9097" s="14"/>
      <c r="H9097" t="s" s="10">
        <v>136</v>
      </c>
      <c r="I9097" s="14"/>
      <c r="J9097" t="s" s="11">
        <v>20</v>
      </c>
      <c r="K9097" s="15"/>
      <c r="L9097" t="s" s="16">
        <f>HYPERLINK("http://csr.bu.edu/ftp/asl/asllvd/demos/verify_start_end_handshape_annotations//test_auto_move//signs_mov_separ_signers/Liz_2549.mov","MOV")</f>
        <v>21</v>
      </c>
      <c r="M9097" t="s" s="10">
        <v>59</v>
      </c>
      <c r="N9097" s="17">
        <v>6</v>
      </c>
      <c r="O9097" s="18">
        <v>4450</v>
      </c>
      <c r="P9097" s="18">
        <v>4475</v>
      </c>
      <c r="Q9097" s="15"/>
      <c r="R9097" t="s" s="16">
        <f>HYPERLINK("http://secrets.rutgers.edu:8080/data/asl-ftp/asllvd/demos/verify_start_end_handshape_annotations//test_auto_move//signs_mov_separ_signers/Liz_2549.mov","MOV")</f>
        <v>21</v>
      </c>
    </row>
    <row r="9098" s="2" customFormat="1" ht="13.5" customHeight="1">
      <c r="B9098" s="13"/>
      <c r="C9098" t="s" s="9">
        <v>23</v>
      </c>
      <c r="D9098" t="s" s="8">
        <v>3333</v>
      </c>
      <c r="E9098" t="s" s="9">
        <v>3335</v>
      </c>
      <c r="F9098" t="s" s="10">
        <v>136</v>
      </c>
      <c r="G9098" s="14"/>
      <c r="H9098" t="s" s="10">
        <v>136</v>
      </c>
      <c r="I9098" s="14"/>
      <c r="J9098" t="s" s="11">
        <v>20</v>
      </c>
      <c r="K9098" t="s" s="16">
        <f>HYPERLINK("http://csr.bu.edu/ftp/asl/asllvd/demos/verify_start_end_handshape_annotations//test_auto_move//signs_mov/2549.mov","MOV")</f>
        <v>21</v>
      </c>
      <c r="L9098" t="s" s="16">
        <f>HYPERLINK("http://csr.bu.edu/ftp/asl/asllvd/demos/verify_start_end_handshape_annotations//test_auto_move//signs_mov_separ_signers/Tyler_2549.mov","MOV")</f>
        <v>21</v>
      </c>
      <c r="M9098" t="s" s="10">
        <v>26</v>
      </c>
      <c r="N9098" s="17">
        <v>38</v>
      </c>
      <c r="O9098" s="18">
        <v>2100</v>
      </c>
      <c r="P9098" s="18">
        <v>2155</v>
      </c>
      <c r="Q9098" t="s" s="16">
        <f>HYPERLINK("http://secrets.rutgers.edu:8080/data/asl-ftp/asllvd/demos/verify_start_end_handshape_annotations//test_auto_move//signs_mov/2549.mov","MOV")</f>
        <v>21</v>
      </c>
      <c r="R9098" t="s" s="16">
        <f>HYPERLINK("http://secrets.rutgers.edu:8080/data/asl-ftp/asllvd/demos/verify_start_end_handshape_annotations//test_auto_move//signs_mov_separ_signers/Tyler_2549.mov","MOV")</f>
        <v>21</v>
      </c>
    </row>
    <row r="9099" s="2" customFormat="1" ht="13.5" customHeight="1">
      <c r="B9099" s="13"/>
      <c r="C9099" t="s" s="9">
        <v>30</v>
      </c>
      <c r="D9099" t="s" s="8">
        <v>3333</v>
      </c>
      <c r="E9099" t="s" s="9">
        <v>3335</v>
      </c>
      <c r="F9099" t="s" s="10">
        <v>136</v>
      </c>
      <c r="G9099" s="14"/>
      <c r="H9099" t="s" s="10">
        <v>136</v>
      </c>
      <c r="I9099" s="14"/>
      <c r="J9099" t="s" s="11">
        <v>20</v>
      </c>
      <c r="K9099" s="15"/>
      <c r="L9099" t="s" s="16">
        <f>HYPERLINK("http://csr.bu.edu/ftp/asl/asllvd/demos/verify_start_end_handshape_annotations//test_auto_move//signs_mov_separ_signers/Brady_2549.mov","MOV")</f>
        <v>21</v>
      </c>
      <c r="M9099" t="s" s="10">
        <v>40</v>
      </c>
      <c r="N9099" s="17">
        <v>111</v>
      </c>
      <c r="O9099" s="18">
        <v>698</v>
      </c>
      <c r="P9099" s="18">
        <v>730</v>
      </c>
      <c r="Q9099" s="15"/>
      <c r="R9099" t="s" s="16">
        <f>HYPERLINK("http://secrets.rutgers.edu:8080/data/asl-ftp/asllvd/demos/verify_start_end_handshape_annotations//test_auto_move//signs_mov_separ_signers/Brady_2549.mov","MOV")</f>
        <v>21</v>
      </c>
    </row>
    <row r="9100" s="2" customFormat="1" ht="13.5" customHeight="1">
      <c r="B9100" t="s" s="8">
        <v>3336</v>
      </c>
      <c r="C9100" t="s" s="9">
        <v>14</v>
      </c>
      <c r="D9100" t="s" s="8">
        <v>14</v>
      </c>
      <c r="E9100" t="s" s="9">
        <v>14</v>
      </c>
      <c r="F9100" t="s" s="10">
        <v>14</v>
      </c>
      <c r="G9100" t="s" s="11">
        <v>14</v>
      </c>
      <c r="H9100" t="s" s="10">
        <v>14</v>
      </c>
      <c r="I9100" t="s" s="11">
        <v>14</v>
      </c>
      <c r="J9100" t="s" s="11">
        <v>14</v>
      </c>
      <c r="K9100" t="s" s="12">
        <v>14</v>
      </c>
      <c r="L9100" t="s" s="12">
        <v>14</v>
      </c>
      <c r="M9100" t="s" s="10">
        <v>14</v>
      </c>
      <c r="N9100" t="s" s="11">
        <v>14</v>
      </c>
      <c r="O9100" t="s" s="8">
        <v>14</v>
      </c>
      <c r="P9100" t="s" s="8">
        <v>14</v>
      </c>
      <c r="Q9100" t="s" s="12">
        <v>14</v>
      </c>
      <c r="R9100" t="s" s="12">
        <v>14</v>
      </c>
    </row>
    <row r="9101" s="2" customFormat="1" ht="13.5" customHeight="1">
      <c r="B9101" s="13"/>
      <c r="C9101" t="s" s="9">
        <v>16</v>
      </c>
      <c r="D9101" t="s" s="8">
        <v>3336</v>
      </c>
      <c r="E9101" t="s" s="9">
        <v>3336</v>
      </c>
      <c r="F9101" t="s" s="10">
        <v>136</v>
      </c>
      <c r="G9101" s="14"/>
      <c r="H9101" t="s" s="10">
        <v>136</v>
      </c>
      <c r="I9101" s="14"/>
      <c r="J9101" t="s" s="11">
        <v>20</v>
      </c>
      <c r="K9101" s="15"/>
      <c r="L9101" t="s" s="16">
        <f>HYPERLINK("http://csr.bu.edu/ftp/asl/asllvd/demos/verify_start_end_handshape_annotations//test_auto_move//signs_mov_separ_signers/Liz_15116.mov","MOV")</f>
        <v>21</v>
      </c>
      <c r="M9101" t="s" s="10">
        <v>22</v>
      </c>
      <c r="N9101" s="17">
        <v>62</v>
      </c>
      <c r="O9101" s="18">
        <v>435</v>
      </c>
      <c r="P9101" s="18">
        <v>475</v>
      </c>
      <c r="Q9101" s="15"/>
      <c r="R9101" t="s" s="16">
        <f>HYPERLINK("http://secrets.rutgers.edu:8080/data/asl-ftp/asllvd/demos/verify_start_end_handshape_annotations//test_auto_move//signs_mov_separ_signers/Liz_15116.mov","MOV")</f>
        <v>21</v>
      </c>
    </row>
    <row r="9102" s="2" customFormat="1" ht="13.5" customHeight="1">
      <c r="B9102" s="13"/>
      <c r="C9102" t="s" s="9">
        <v>27</v>
      </c>
      <c r="D9102" t="s" s="8">
        <v>3336</v>
      </c>
      <c r="E9102" t="s" s="9">
        <v>3336</v>
      </c>
      <c r="F9102" t="s" s="10">
        <v>136</v>
      </c>
      <c r="G9102" s="14"/>
      <c r="H9102" t="s" s="10">
        <v>136</v>
      </c>
      <c r="I9102" s="14"/>
      <c r="J9102" t="s" s="11">
        <v>20</v>
      </c>
      <c r="K9102" s="15"/>
      <c r="L9102" t="s" s="16">
        <f>HYPERLINK("http://csr.bu.edu/ftp/asl/asllvd/demos/verify_start_end_handshape_annotations//test_auto_move//signs_mov_separ_signers/Naomi_15116.mov","MOV")</f>
        <v>21</v>
      </c>
      <c r="M9102" t="s" s="10">
        <v>29</v>
      </c>
      <c r="N9102" s="17">
        <v>39</v>
      </c>
      <c r="O9102" s="18">
        <v>3195</v>
      </c>
      <c r="P9102" s="18">
        <v>3215</v>
      </c>
      <c r="Q9102" s="15"/>
      <c r="R9102" t="s" s="16">
        <f>HYPERLINK("http://secrets.rutgers.edu:8080/data/asl-ftp/asllvd/demos/verify_start_end_handshape_annotations//test_auto_move//signs_mov_separ_signers/Naomi_15116.mov","MOV")</f>
        <v>21</v>
      </c>
    </row>
    <row r="9103" s="2" customFormat="1" ht="13.5" customHeight="1">
      <c r="B9103" s="13"/>
      <c r="C9103" t="s" s="9">
        <v>30</v>
      </c>
      <c r="D9103" t="s" s="8">
        <v>3336</v>
      </c>
      <c r="E9103" t="s" s="9">
        <v>3336</v>
      </c>
      <c r="F9103" t="s" s="10">
        <v>136</v>
      </c>
      <c r="G9103" s="14"/>
      <c r="H9103" t="s" s="10">
        <v>136</v>
      </c>
      <c r="I9103" s="14"/>
      <c r="J9103" t="s" s="11">
        <v>20</v>
      </c>
      <c r="K9103" t="s" s="16">
        <f>HYPERLINK("http://csr.bu.edu/ftp/asl/asllvd/demos/verify_start_end_handshape_annotations//test_auto_move//signs_mov/15116.mov","MOV")</f>
        <v>21</v>
      </c>
      <c r="L9103" t="s" s="16">
        <f>HYPERLINK("http://csr.bu.edu/ftp/asl/asllvd/demos/verify_start_end_handshape_annotations//test_auto_move//signs_mov_separ_signers/Brady_15116.mov","MOV")</f>
        <v>21</v>
      </c>
      <c r="M9103" t="s" s="10">
        <v>31</v>
      </c>
      <c r="N9103" s="17">
        <v>25</v>
      </c>
      <c r="O9103" s="18">
        <v>710</v>
      </c>
      <c r="P9103" s="18">
        <v>726</v>
      </c>
      <c r="Q9103" t="s" s="16">
        <f>HYPERLINK("http://secrets.rutgers.edu:8080/data/asl-ftp/asllvd/demos/verify_start_end_handshape_annotations//test_auto_move//signs_mov/15116.mov","MOV")</f>
        <v>21</v>
      </c>
      <c r="R9103" t="s" s="16">
        <f>HYPERLINK("http://secrets.rutgers.edu:8080/data/asl-ftp/asllvd/demos/verify_start_end_handshape_annotations//test_auto_move//signs_mov_separ_signers/Brady_15116.mov","MOV")</f>
        <v>21</v>
      </c>
    </row>
    <row r="9104" s="2" customFormat="1" ht="13.5" customHeight="1">
      <c r="B9104" s="13"/>
      <c r="C9104" t="s" s="9">
        <v>41</v>
      </c>
      <c r="D9104" t="s" s="8">
        <v>3336</v>
      </c>
      <c r="E9104" t="s" s="9">
        <v>3336</v>
      </c>
      <c r="F9104" t="s" s="10">
        <v>136</v>
      </c>
      <c r="G9104" s="14"/>
      <c r="H9104" t="s" s="10">
        <v>136</v>
      </c>
      <c r="I9104" s="14"/>
      <c r="J9104" t="s" s="11">
        <v>20</v>
      </c>
      <c r="K9104" s="15"/>
      <c r="L9104" t="s" s="16">
        <f>HYPERLINK("http://csr.bu.edu/ftp/asl/asllvd/demos/verify_start_end_handshape_annotations//test_auto_move//signs_mov_separ_signers/Lana_15116.mov","MOV")</f>
        <v>21</v>
      </c>
      <c r="M9104" t="s" s="10">
        <v>42</v>
      </c>
      <c r="N9104" s="17">
        <v>5</v>
      </c>
      <c r="O9104" s="18">
        <v>630</v>
      </c>
      <c r="P9104" s="18">
        <v>647</v>
      </c>
      <c r="Q9104" s="15"/>
      <c r="R9104" t="s" s="16">
        <f>HYPERLINK("http://secrets.rutgers.edu:8080/data/asl-ftp/asllvd/demos/verify_start_end_handshape_annotations//test_auto_move//signs_mov_separ_signers/Lana_15116.mov","MOV")</f>
        <v>21</v>
      </c>
    </row>
    <row r="9105" s="2" customFormat="1" ht="13.5" customHeight="1">
      <c r="B9105" s="13"/>
      <c r="C9105" t="s" s="9">
        <v>43</v>
      </c>
      <c r="D9105" t="s" s="8">
        <v>3336</v>
      </c>
      <c r="E9105" t="s" s="9">
        <v>3336</v>
      </c>
      <c r="F9105" t="s" s="10">
        <v>136</v>
      </c>
      <c r="G9105" s="14"/>
      <c r="H9105" t="s" s="10">
        <v>136</v>
      </c>
      <c r="I9105" s="14"/>
      <c r="J9105" t="s" s="11">
        <v>20</v>
      </c>
      <c r="K9105" s="15"/>
      <c r="L9105" t="s" s="16">
        <f>HYPERLINK("http://csr.bu.edu/ftp/asl/asllvd/demos/verify_start_end_handshape_annotations//test_auto_move//signs_mov_separ_signers/Dana_15116.mov","MOV")</f>
        <v>21</v>
      </c>
      <c r="M9105" t="s" s="10">
        <v>44</v>
      </c>
      <c r="N9105" s="17">
        <v>9</v>
      </c>
      <c r="O9105" s="18">
        <v>710</v>
      </c>
      <c r="P9105" s="18">
        <v>749</v>
      </c>
      <c r="Q9105" s="15"/>
      <c r="R9105" t="s" s="16">
        <f>HYPERLINK("http://secrets.rutgers.edu:8080/data/asl-ftp/asllvd/demos/verify_start_end_handshape_annotations//test_auto_move//signs_mov_separ_signers/Dana_15116.mov","MOV")</f>
        <v>21</v>
      </c>
    </row>
    <row r="9106" s="2" customFormat="1" ht="13.5" customHeight="1">
      <c r="B9106" t="s" s="8">
        <v>3337</v>
      </c>
      <c r="C9106" t="s" s="9">
        <v>14</v>
      </c>
      <c r="D9106" t="s" s="8">
        <v>14</v>
      </c>
      <c r="E9106" t="s" s="9">
        <v>14</v>
      </c>
      <c r="F9106" t="s" s="10">
        <v>14</v>
      </c>
      <c r="G9106" t="s" s="11">
        <v>14</v>
      </c>
      <c r="H9106" t="s" s="10">
        <v>14</v>
      </c>
      <c r="I9106" t="s" s="11">
        <v>14</v>
      </c>
      <c r="J9106" t="s" s="11">
        <v>14</v>
      </c>
      <c r="K9106" t="s" s="12">
        <v>14</v>
      </c>
      <c r="L9106" t="s" s="12">
        <v>14</v>
      </c>
      <c r="M9106" t="s" s="10">
        <v>14</v>
      </c>
      <c r="N9106" t="s" s="11">
        <v>14</v>
      </c>
      <c r="O9106" t="s" s="8">
        <v>14</v>
      </c>
      <c r="P9106" t="s" s="8">
        <v>14</v>
      </c>
      <c r="Q9106" t="s" s="12">
        <v>14</v>
      </c>
      <c r="R9106" t="s" s="12">
        <v>14</v>
      </c>
    </row>
    <row r="9107" s="2" customFormat="1" ht="13.5" customHeight="1">
      <c r="B9107" s="13"/>
      <c r="C9107" t="s" s="9">
        <v>16</v>
      </c>
      <c r="D9107" t="s" s="8">
        <v>3337</v>
      </c>
      <c r="E9107" t="s" s="9">
        <v>3337</v>
      </c>
      <c r="F9107" t="s" s="10">
        <v>136</v>
      </c>
      <c r="G9107" s="14"/>
      <c r="H9107" t="s" s="10">
        <v>136</v>
      </c>
      <c r="I9107" s="14"/>
      <c r="J9107" t="s" s="11">
        <v>20</v>
      </c>
      <c r="K9107" s="15"/>
      <c r="L9107" t="s" s="16">
        <f>HYPERLINK("http://csr.bu.edu/ftp/asl/asllvd/demos/verify_start_end_handshape_annotations//test_auto_move//signs_mov_separ_signers/Liz_15121.mov","MOV")</f>
        <v>21</v>
      </c>
      <c r="M9107" t="s" s="10">
        <v>34</v>
      </c>
      <c r="N9107" s="17">
        <v>16</v>
      </c>
      <c r="O9107" s="18">
        <v>2870</v>
      </c>
      <c r="P9107" s="18">
        <v>2910</v>
      </c>
      <c r="Q9107" s="15"/>
      <c r="R9107" t="s" s="16">
        <f>HYPERLINK("http://secrets.rutgers.edu:8080/data/asl-ftp/asllvd/demos/verify_start_end_handshape_annotations//test_auto_move//signs_mov_separ_signers/Liz_15121.mov","MOV")</f>
        <v>21</v>
      </c>
    </row>
    <row r="9108" s="2" customFormat="1" ht="13.5" customHeight="1">
      <c r="B9108" s="13"/>
      <c r="C9108" t="s" s="9">
        <v>27</v>
      </c>
      <c r="D9108" t="s" s="8">
        <v>3337</v>
      </c>
      <c r="E9108" t="s" s="9">
        <v>3337</v>
      </c>
      <c r="F9108" t="s" s="10">
        <v>136</v>
      </c>
      <c r="G9108" s="14"/>
      <c r="H9108" t="s" s="10">
        <v>136</v>
      </c>
      <c r="I9108" s="14"/>
      <c r="J9108" t="s" s="11">
        <v>20</v>
      </c>
      <c r="K9108" t="s" s="16">
        <f>HYPERLINK("http://csr.bu.edu/ftp/asl/asllvd/demos/verify_start_end_handshape_annotations//test_auto_move//signs_mov/15121.mov","MOV")</f>
        <v>21</v>
      </c>
      <c r="L9108" t="s" s="16">
        <f>HYPERLINK("http://csr.bu.edu/ftp/asl/asllvd/demos/verify_start_end_handshape_annotations//test_auto_move//signs_mov_separ_signers/Naomi_15121.mov","MOV")</f>
        <v>21</v>
      </c>
      <c r="M9108" t="s" s="10">
        <v>38</v>
      </c>
      <c r="N9108" s="17">
        <v>13</v>
      </c>
      <c r="O9108" s="18">
        <v>7695</v>
      </c>
      <c r="P9108" s="18">
        <v>7722</v>
      </c>
      <c r="Q9108" t="s" s="16">
        <f>HYPERLINK("http://secrets.rutgers.edu:8080/data/asl-ftp/asllvd/demos/verify_start_end_handshape_annotations//test_auto_move//signs_mov/15121.mov","MOV")</f>
        <v>21</v>
      </c>
      <c r="R9108" t="s" s="16">
        <f>HYPERLINK("http://secrets.rutgers.edu:8080/data/asl-ftp/asllvd/demos/verify_start_end_handshape_annotations//test_auto_move//signs_mov_separ_signers/Naomi_15121.mov","MOV")</f>
        <v>21</v>
      </c>
    </row>
    <row r="9109" s="2" customFormat="1" ht="13.5" customHeight="1">
      <c r="B9109" s="13"/>
      <c r="C9109" t="s" s="9">
        <v>30</v>
      </c>
      <c r="D9109" t="s" s="8">
        <v>3337</v>
      </c>
      <c r="E9109" t="s" s="9">
        <v>3337</v>
      </c>
      <c r="F9109" t="s" s="10">
        <v>136</v>
      </c>
      <c r="G9109" s="14"/>
      <c r="H9109" t="s" s="10">
        <v>136</v>
      </c>
      <c r="I9109" s="14"/>
      <c r="J9109" t="s" s="11">
        <v>20</v>
      </c>
      <c r="K9109" s="15"/>
      <c r="L9109" t="s" s="16">
        <f>HYPERLINK("http://csr.bu.edu/ftp/asl/asllvd/demos/verify_start_end_handshape_annotations//test_auto_move//signs_mov_separ_signers/Brady_15121.mov","MOV")</f>
        <v>21</v>
      </c>
      <c r="M9109" t="s" s="10">
        <v>39</v>
      </c>
      <c r="N9109" s="17">
        <v>31</v>
      </c>
      <c r="O9109" s="18">
        <v>5569</v>
      </c>
      <c r="P9109" s="18">
        <v>5602</v>
      </c>
      <c r="Q9109" s="15"/>
      <c r="R9109" t="s" s="16">
        <f>HYPERLINK("http://secrets.rutgers.edu:8080/data/asl-ftp/asllvd/demos/verify_start_end_handshape_annotations//test_auto_move//signs_mov_separ_signers/Brady_15121.mov","MOV")</f>
        <v>21</v>
      </c>
    </row>
    <row r="9110" s="2" customFormat="1" ht="13.5" customHeight="1">
      <c r="B9110" t="s" s="8">
        <v>52</v>
      </c>
      <c r="C9110" t="s" s="9">
        <v>53</v>
      </c>
      <c r="D9110" t="s" s="8">
        <v>53</v>
      </c>
      <c r="E9110" t="s" s="9">
        <v>53</v>
      </c>
      <c r="F9110" t="s" s="10">
        <v>53</v>
      </c>
      <c r="G9110" t="s" s="11">
        <v>53</v>
      </c>
      <c r="H9110" t="s" s="10">
        <v>53</v>
      </c>
      <c r="I9110" t="s" s="11">
        <v>53</v>
      </c>
      <c r="J9110" t="s" s="11">
        <v>53</v>
      </c>
      <c r="K9110" t="s" s="12">
        <v>53</v>
      </c>
      <c r="L9110" t="s" s="12">
        <v>53</v>
      </c>
      <c r="M9110" t="s" s="10">
        <v>53</v>
      </c>
      <c r="N9110" t="s" s="11">
        <v>53</v>
      </c>
      <c r="O9110" t="s" s="8">
        <v>53</v>
      </c>
      <c r="P9110" t="s" s="8">
        <v>53</v>
      </c>
      <c r="Q9110" t="s" s="12">
        <v>53</v>
      </c>
      <c r="R9110" t="s" s="12">
        <v>53</v>
      </c>
    </row>
    <row r="9111" s="2" customFormat="1" ht="13.5" customHeight="1">
      <c r="B9111" s="13"/>
      <c r="C9111" t="s" s="9">
        <v>23</v>
      </c>
      <c r="D9111" t="s" s="8">
        <v>3337</v>
      </c>
      <c r="E9111" t="s" s="9">
        <v>3338</v>
      </c>
      <c r="F9111" t="s" s="10">
        <v>136</v>
      </c>
      <c r="G9111" t="s" s="11">
        <v>73</v>
      </c>
      <c r="H9111" t="s" s="10">
        <v>136</v>
      </c>
      <c r="I9111" t="s" s="11">
        <v>73</v>
      </c>
      <c r="J9111" t="s" s="11">
        <v>20</v>
      </c>
      <c r="K9111" t="s" s="16">
        <f>HYPERLINK("http://csr.bu.edu/ftp/asl/asllvd/demos/verify_start_end_handshape_annotations//test_auto_move//signs_mov/15141.mov","MOV")</f>
        <v>21</v>
      </c>
      <c r="L9111" t="s" s="16">
        <f>HYPERLINK("http://csr.bu.edu/ftp/asl/asllvd/demos/verify_start_end_handshape_annotations//test_auto_move//signs_mov_separ_signers/Tyler_15141.mov","MOV")</f>
        <v>21</v>
      </c>
      <c r="M9111" t="s" s="10">
        <v>92</v>
      </c>
      <c r="N9111" s="17">
        <v>45</v>
      </c>
      <c r="O9111" s="18">
        <v>4772</v>
      </c>
      <c r="P9111" s="18">
        <v>4810</v>
      </c>
      <c r="Q9111" t="s" s="16">
        <f>HYPERLINK("http://secrets.rutgers.edu:8080/data/asl-ftp/asllvd/demos/verify_start_end_handshape_annotations//test_auto_move//signs_mov/15141.mov","MOV")</f>
        <v>21</v>
      </c>
      <c r="R9111" t="s" s="16">
        <f>HYPERLINK("http://secrets.rutgers.edu:8080/data/asl-ftp/asllvd/demos/verify_start_end_handshape_annotations//test_auto_move//signs_mov_separ_signers/Tyler_15141.mov","MOV")</f>
        <v>21</v>
      </c>
    </row>
    <row r="9112" s="2" customFormat="1" ht="13.5" customHeight="1">
      <c r="B9112" t="s" s="8">
        <v>3339</v>
      </c>
      <c r="C9112" t="s" s="9">
        <v>14</v>
      </c>
      <c r="D9112" t="s" s="8">
        <v>14</v>
      </c>
      <c r="E9112" t="s" s="9">
        <v>14</v>
      </c>
      <c r="F9112" t="s" s="10">
        <v>14</v>
      </c>
      <c r="G9112" t="s" s="11">
        <v>14</v>
      </c>
      <c r="H9112" t="s" s="10">
        <v>14</v>
      </c>
      <c r="I9112" t="s" s="11">
        <v>14</v>
      </c>
      <c r="J9112" t="s" s="11">
        <v>14</v>
      </c>
      <c r="K9112" t="s" s="12">
        <v>14</v>
      </c>
      <c r="L9112" t="s" s="12">
        <v>14</v>
      </c>
      <c r="M9112" t="s" s="10">
        <v>14</v>
      </c>
      <c r="N9112" t="s" s="11">
        <v>14</v>
      </c>
      <c r="O9112" t="s" s="8">
        <v>14</v>
      </c>
      <c r="P9112" t="s" s="8">
        <v>14</v>
      </c>
      <c r="Q9112" t="s" s="12">
        <v>14</v>
      </c>
      <c r="R9112" t="s" s="12">
        <v>14</v>
      </c>
    </row>
    <row r="9113" s="2" customFormat="1" ht="13.5" customHeight="1">
      <c r="B9113" s="13"/>
      <c r="C9113" t="s" s="9">
        <v>16</v>
      </c>
      <c r="D9113" t="s" s="8">
        <v>3339</v>
      </c>
      <c r="E9113" t="s" s="9">
        <v>3339</v>
      </c>
      <c r="F9113" t="s" s="10">
        <v>185</v>
      </c>
      <c r="G9113" t="s" s="11">
        <v>185</v>
      </c>
      <c r="H9113" t="s" s="10">
        <v>185</v>
      </c>
      <c r="I9113" t="s" s="11">
        <v>185</v>
      </c>
      <c r="J9113" t="s" s="11">
        <v>20</v>
      </c>
      <c r="K9113" t="s" s="16">
        <f>HYPERLINK("http://csr.bu.edu/ftp/asl/asllvd/demos/verify_start_end_handshape_annotations//test_auto_move//signs_mov/2550.mov","MOV")</f>
        <v>21</v>
      </c>
      <c r="L9113" t="s" s="16">
        <f>HYPERLINK("http://csr.bu.edu/ftp/asl/asllvd/demos/verify_start_end_handshape_annotations//test_auto_move//signs_mov_separ_signers/Liz_2550.mov","MOV")</f>
        <v>21</v>
      </c>
      <c r="M9113" t="s" s="10">
        <v>59</v>
      </c>
      <c r="N9113" s="17">
        <v>7</v>
      </c>
      <c r="O9113" s="18">
        <v>250</v>
      </c>
      <c r="P9113" s="18">
        <v>315</v>
      </c>
      <c r="Q9113" t="s" s="16">
        <f>HYPERLINK("http://secrets.rutgers.edu:8080/data/asl-ftp/asllvd/demos/verify_start_end_handshape_annotations//test_auto_move//signs_mov/2550.mov","MOV")</f>
        <v>21</v>
      </c>
      <c r="R9113" t="s" s="16">
        <f>HYPERLINK("http://secrets.rutgers.edu:8080/data/asl-ftp/asllvd/demos/verify_start_end_handshape_annotations//test_auto_move//signs_mov_separ_signers/Liz_2550.mov","MOV")</f>
        <v>21</v>
      </c>
    </row>
    <row r="9114" s="2" customFormat="1" ht="13.5" customHeight="1">
      <c r="B9114" t="s" s="8">
        <v>3340</v>
      </c>
      <c r="C9114" t="s" s="9">
        <v>14</v>
      </c>
      <c r="D9114" t="s" s="8">
        <v>14</v>
      </c>
      <c r="E9114" t="s" s="9">
        <v>14</v>
      </c>
      <c r="F9114" t="s" s="10">
        <v>14</v>
      </c>
      <c r="G9114" t="s" s="11">
        <v>14</v>
      </c>
      <c r="H9114" t="s" s="10">
        <v>14</v>
      </c>
      <c r="I9114" t="s" s="11">
        <v>14</v>
      </c>
      <c r="J9114" t="s" s="11">
        <v>14</v>
      </c>
      <c r="K9114" t="s" s="12">
        <v>14</v>
      </c>
      <c r="L9114" t="s" s="12">
        <v>14</v>
      </c>
      <c r="M9114" t="s" s="10">
        <v>14</v>
      </c>
      <c r="N9114" t="s" s="11">
        <v>14</v>
      </c>
      <c r="O9114" t="s" s="8">
        <v>14</v>
      </c>
      <c r="P9114" t="s" s="8">
        <v>14</v>
      </c>
      <c r="Q9114" t="s" s="12">
        <v>14</v>
      </c>
      <c r="R9114" t="s" s="12">
        <v>14</v>
      </c>
    </row>
    <row r="9115" s="2" customFormat="1" ht="13.5" customHeight="1">
      <c r="B9115" s="13"/>
      <c r="C9115" t="s" s="9">
        <v>16</v>
      </c>
      <c r="D9115" t="s" s="8">
        <v>3340</v>
      </c>
      <c r="E9115" t="s" s="9">
        <v>3341</v>
      </c>
      <c r="F9115" t="s" s="10">
        <v>255</v>
      </c>
      <c r="G9115" t="s" s="11">
        <v>68</v>
      </c>
      <c r="H9115" t="s" s="10">
        <v>255</v>
      </c>
      <c r="I9115" t="s" s="11">
        <v>68</v>
      </c>
      <c r="J9115" t="s" s="11">
        <v>136</v>
      </c>
      <c r="K9115" t="s" s="16">
        <f>HYPERLINK("http://csr.bu.edu/ftp/asl/asllvd/demos/verify_start_end_handshape_annotations//test_auto_move//signs_mov/2557.mov","MOV")</f>
        <v>21</v>
      </c>
      <c r="L9115" t="s" s="16">
        <f>HYPERLINK("http://csr.bu.edu/ftp/asl/asllvd/demos/verify_start_end_handshape_annotations//test_auto_move//signs_mov_separ_signers/Liz_2557.mov","MOV")</f>
        <v>21</v>
      </c>
      <c r="M9115" t="s" s="10">
        <v>59</v>
      </c>
      <c r="N9115" s="17">
        <v>7</v>
      </c>
      <c r="O9115" s="18">
        <v>2150</v>
      </c>
      <c r="P9115" s="18">
        <v>2180</v>
      </c>
      <c r="Q9115" t="s" s="16">
        <f>HYPERLINK("http://secrets.rutgers.edu:8080/data/asl-ftp/asllvd/demos/verify_start_end_handshape_annotations//test_auto_move//signs_mov/2557.mov","MOV")</f>
        <v>21</v>
      </c>
      <c r="R9115" t="s" s="16">
        <f>HYPERLINK("http://secrets.rutgers.edu:8080/data/asl-ftp/asllvd/demos/verify_start_end_handshape_annotations//test_auto_move//signs_mov_separ_signers/Liz_2557.mov","MOV")</f>
        <v>21</v>
      </c>
    </row>
    <row r="9116" s="2" customFormat="1" ht="13.5" customHeight="1">
      <c r="B9116" s="13"/>
      <c r="C9116" t="s" s="9">
        <v>30</v>
      </c>
      <c r="D9116" t="s" s="8">
        <v>3340</v>
      </c>
      <c r="E9116" t="s" s="9">
        <v>3341</v>
      </c>
      <c r="F9116" t="s" s="10">
        <v>255</v>
      </c>
      <c r="G9116" t="s" s="11">
        <v>68</v>
      </c>
      <c r="H9116" t="s" s="10">
        <v>255</v>
      </c>
      <c r="I9116" t="s" s="11">
        <v>68</v>
      </c>
      <c r="J9116" t="s" s="11">
        <v>20</v>
      </c>
      <c r="K9116" s="15"/>
      <c r="L9116" t="s" s="16">
        <f>HYPERLINK("http://csr.bu.edu/ftp/asl/asllvd/demos/verify_start_end_handshape_annotations//test_auto_move//signs_mov_separ_signers/Brady_2557.mov","MOV")</f>
        <v>21</v>
      </c>
      <c r="M9116" t="s" s="10">
        <v>40</v>
      </c>
      <c r="N9116" s="17">
        <v>112</v>
      </c>
      <c r="O9116" s="18">
        <v>158</v>
      </c>
      <c r="P9116" s="18">
        <v>187</v>
      </c>
      <c r="Q9116" s="15"/>
      <c r="R9116" t="s" s="16">
        <f>HYPERLINK("http://secrets.rutgers.edu:8080/data/asl-ftp/asllvd/demos/verify_start_end_handshape_annotations//test_auto_move//signs_mov_separ_signers/Brady_2557.mov","MOV")</f>
        <v>21</v>
      </c>
    </row>
    <row r="9117" s="2" customFormat="1" ht="13.5" customHeight="1">
      <c r="B9117" t="s" s="8">
        <v>3342</v>
      </c>
      <c r="C9117" t="s" s="9">
        <v>14</v>
      </c>
      <c r="D9117" t="s" s="8">
        <v>14</v>
      </c>
      <c r="E9117" t="s" s="9">
        <v>14</v>
      </c>
      <c r="F9117" t="s" s="10">
        <v>14</v>
      </c>
      <c r="G9117" t="s" s="11">
        <v>14</v>
      </c>
      <c r="H9117" t="s" s="10">
        <v>14</v>
      </c>
      <c r="I9117" t="s" s="11">
        <v>14</v>
      </c>
      <c r="J9117" t="s" s="11">
        <v>14</v>
      </c>
      <c r="K9117" t="s" s="12">
        <v>14</v>
      </c>
      <c r="L9117" t="s" s="12">
        <v>14</v>
      </c>
      <c r="M9117" t="s" s="10">
        <v>14</v>
      </c>
      <c r="N9117" t="s" s="11">
        <v>14</v>
      </c>
      <c r="O9117" t="s" s="8">
        <v>14</v>
      </c>
      <c r="P9117" t="s" s="8">
        <v>14</v>
      </c>
      <c r="Q9117" t="s" s="12">
        <v>14</v>
      </c>
      <c r="R9117" t="s" s="12">
        <v>14</v>
      </c>
    </row>
    <row r="9118" s="2" customFormat="1" ht="13.5" customHeight="1">
      <c r="B9118" s="13"/>
      <c r="C9118" t="s" s="9">
        <v>16</v>
      </c>
      <c r="D9118" t="s" s="8">
        <v>3342</v>
      </c>
      <c r="E9118" t="s" s="9">
        <v>3343</v>
      </c>
      <c r="F9118" s="19">
        <v>1</v>
      </c>
      <c r="G9118" s="17">
        <v>1</v>
      </c>
      <c r="H9118" t="s" s="10">
        <v>255</v>
      </c>
      <c r="I9118" t="s" s="11">
        <v>255</v>
      </c>
      <c r="J9118" t="s" s="11">
        <v>20</v>
      </c>
      <c r="K9118" s="15"/>
      <c r="L9118" t="s" s="16">
        <f>HYPERLINK("http://csr.bu.edu/ftp/asl/asllvd/demos/verify_start_end_handshape_annotations//test_auto_move//signs_mov_separ_signers/Liz_2563.mov","MOV")</f>
        <v>21</v>
      </c>
      <c r="M9118" t="s" s="10">
        <v>59</v>
      </c>
      <c r="N9118" s="17">
        <v>8</v>
      </c>
      <c r="O9118" s="18">
        <v>1000</v>
      </c>
      <c r="P9118" s="18">
        <v>1040</v>
      </c>
      <c r="Q9118" s="15"/>
      <c r="R9118" t="s" s="16">
        <f>HYPERLINK("http://secrets.rutgers.edu:8080/data/asl-ftp/asllvd/demos/verify_start_end_handshape_annotations//test_auto_move//signs_mov_separ_signers/Liz_2563.mov","MOV")</f>
        <v>21</v>
      </c>
    </row>
    <row r="9119" s="2" customFormat="1" ht="13.5" customHeight="1">
      <c r="B9119" s="13"/>
      <c r="C9119" t="s" s="9">
        <v>23</v>
      </c>
      <c r="D9119" t="s" s="8">
        <v>3342</v>
      </c>
      <c r="E9119" t="s" s="9">
        <v>3344</v>
      </c>
      <c r="F9119" t="s" s="10">
        <v>255</v>
      </c>
      <c r="G9119" t="s" s="11">
        <v>255</v>
      </c>
      <c r="H9119" t="s" s="10">
        <v>255</v>
      </c>
      <c r="I9119" t="s" s="11">
        <v>255</v>
      </c>
      <c r="J9119" t="s" s="11">
        <v>20</v>
      </c>
      <c r="K9119" t="s" s="16">
        <f>HYPERLINK("http://csr.bu.edu/ftp/asl/asllvd/demos/verify_start_end_handshape_annotations//test_auto_move//signs_mov/2563.mov","MOV")</f>
        <v>21</v>
      </c>
      <c r="L9119" t="s" s="16">
        <f>HYPERLINK("http://csr.bu.edu/ftp/asl/asllvd/demos/verify_start_end_handshape_annotations//test_auto_move//signs_mov_separ_signers/Tyler_2563.mov","MOV")</f>
        <v>21</v>
      </c>
      <c r="M9119" t="s" s="10">
        <v>92</v>
      </c>
      <c r="N9119" s="17">
        <v>15</v>
      </c>
      <c r="O9119" s="18">
        <v>1225</v>
      </c>
      <c r="P9119" s="18">
        <v>1274</v>
      </c>
      <c r="Q9119" t="s" s="16">
        <f>HYPERLINK("http://secrets.rutgers.edu:8080/data/asl-ftp/asllvd/demos/verify_start_end_handshape_annotations//test_auto_move//signs_mov/2563.mov","MOV")</f>
        <v>21</v>
      </c>
      <c r="R9119" t="s" s="16">
        <f>HYPERLINK("http://secrets.rutgers.edu:8080/data/asl-ftp/asllvd/demos/verify_start_end_handshape_annotations//test_auto_move//signs_mov_separ_signers/Tyler_2563.mov","MOV")</f>
        <v>21</v>
      </c>
    </row>
    <row r="9120" s="2" customFormat="1" ht="13.5" customHeight="1">
      <c r="B9120" s="13"/>
      <c r="C9120" t="s" s="9">
        <v>30</v>
      </c>
      <c r="D9120" t="s" s="8">
        <v>3342</v>
      </c>
      <c r="E9120" t="s" s="9">
        <v>3343</v>
      </c>
      <c r="F9120" s="19">
        <v>1</v>
      </c>
      <c r="G9120" s="17">
        <v>1</v>
      </c>
      <c r="H9120" t="s" s="10">
        <v>255</v>
      </c>
      <c r="I9120" t="s" s="11">
        <v>255</v>
      </c>
      <c r="J9120" t="s" s="11">
        <v>20</v>
      </c>
      <c r="K9120" s="15"/>
      <c r="L9120" t="s" s="16">
        <f>HYPERLINK("http://csr.bu.edu/ftp/asl/asllvd/demos/verify_start_end_handshape_annotations//test_auto_move//signs_mov_separ_signers/Brady_2563.mov","MOV")</f>
        <v>21</v>
      </c>
      <c r="M9120" t="s" s="10">
        <v>40</v>
      </c>
      <c r="N9120" s="17">
        <v>112</v>
      </c>
      <c r="O9120" s="18">
        <v>1647</v>
      </c>
      <c r="P9120" s="18">
        <v>1677</v>
      </c>
      <c r="Q9120" s="15"/>
      <c r="R9120" t="s" s="16">
        <f>HYPERLINK("http://secrets.rutgers.edu:8080/data/asl-ftp/asllvd/demos/verify_start_end_handshape_annotations//test_auto_move//signs_mov_separ_signers/Brady_2563.mov","MOV")</f>
        <v>21</v>
      </c>
    </row>
    <row r="9121" s="2" customFormat="1" ht="13.5" customHeight="1">
      <c r="B9121" t="s" s="8">
        <v>3342</v>
      </c>
      <c r="C9121" t="s" s="9">
        <v>14</v>
      </c>
      <c r="D9121" t="s" s="8">
        <v>14</v>
      </c>
      <c r="E9121" t="s" s="9">
        <v>14</v>
      </c>
      <c r="F9121" t="s" s="10">
        <v>14</v>
      </c>
      <c r="G9121" t="s" s="11">
        <v>14</v>
      </c>
      <c r="H9121" t="s" s="10">
        <v>14</v>
      </c>
      <c r="I9121" t="s" s="11">
        <v>14</v>
      </c>
      <c r="J9121" t="s" s="11">
        <v>14</v>
      </c>
      <c r="K9121" t="s" s="12">
        <v>14</v>
      </c>
      <c r="L9121" t="s" s="12">
        <v>14</v>
      </c>
      <c r="M9121" t="s" s="10">
        <v>14</v>
      </c>
      <c r="N9121" t="s" s="11">
        <v>14</v>
      </c>
      <c r="O9121" t="s" s="8">
        <v>14</v>
      </c>
      <c r="P9121" t="s" s="8">
        <v>14</v>
      </c>
      <c r="Q9121" t="s" s="12">
        <v>14</v>
      </c>
      <c r="R9121" t="s" s="12">
        <v>14</v>
      </c>
    </row>
    <row r="9122" s="2" customFormat="1" ht="13.5" customHeight="1">
      <c r="B9122" s="13"/>
      <c r="C9122" t="s" s="9">
        <v>16</v>
      </c>
      <c r="D9122" t="s" s="8">
        <v>3345</v>
      </c>
      <c r="E9122" t="s" s="9">
        <v>3345</v>
      </c>
      <c r="F9122" s="19">
        <v>1</v>
      </c>
      <c r="G9122" s="17">
        <v>1</v>
      </c>
      <c r="H9122" s="19">
        <v>5</v>
      </c>
      <c r="I9122" s="17">
        <v>5</v>
      </c>
      <c r="J9122" t="s" s="11">
        <v>20</v>
      </c>
      <c r="K9122" s="15"/>
      <c r="L9122" t="s" s="16">
        <f>HYPERLINK("http://csr.bu.edu/ftp/asl/asllvd/demos/verify_start_end_handshape_annotations//test_auto_move//signs_mov_separ_signers/Liz_15452.mov","MOV")</f>
        <v>21</v>
      </c>
      <c r="M9122" t="s" s="10">
        <v>84</v>
      </c>
      <c r="N9122" s="17">
        <v>35</v>
      </c>
      <c r="O9122" s="18">
        <v>1345</v>
      </c>
      <c r="P9122" s="18">
        <v>1376</v>
      </c>
      <c r="Q9122" s="15"/>
      <c r="R9122" t="s" s="16">
        <f>HYPERLINK("http://secrets.rutgers.edu:8080/data/asl-ftp/asllvd/demos/verify_start_end_handshape_annotations//test_auto_move//signs_mov_separ_signers/Liz_15452.mov","MOV")</f>
        <v>21</v>
      </c>
    </row>
    <row r="9123" s="2" customFormat="1" ht="13.5" customHeight="1">
      <c r="B9123" s="13"/>
      <c r="C9123" t="s" s="9">
        <v>27</v>
      </c>
      <c r="D9123" t="s" s="8">
        <v>3345</v>
      </c>
      <c r="E9123" t="s" s="9">
        <v>3345</v>
      </c>
      <c r="F9123" s="19">
        <v>1</v>
      </c>
      <c r="G9123" s="17">
        <v>1</v>
      </c>
      <c r="H9123" s="19">
        <v>5</v>
      </c>
      <c r="I9123" s="17">
        <v>5</v>
      </c>
      <c r="J9123" t="s" s="11">
        <v>20</v>
      </c>
      <c r="K9123" t="s" s="16">
        <f>HYPERLINK("http://csr.bu.edu/ftp/asl/asllvd/demos/verify_start_end_handshape_annotations//test_auto_move//signs_mov/15452.mov","MOV")</f>
        <v>21</v>
      </c>
      <c r="L9123" t="s" s="16">
        <f>HYPERLINK("http://csr.bu.edu/ftp/asl/asllvd/demos/verify_start_end_handshape_annotations//test_auto_move//signs_mov_separ_signers/Naomi_15452.mov","MOV")</f>
        <v>21</v>
      </c>
      <c r="M9123" t="s" s="10">
        <v>86</v>
      </c>
      <c r="N9123" s="17">
        <v>35</v>
      </c>
      <c r="O9123" s="18">
        <v>1166</v>
      </c>
      <c r="P9123" s="18">
        <v>1190</v>
      </c>
      <c r="Q9123" t="s" s="16">
        <f>HYPERLINK("http://secrets.rutgers.edu:8080/data/asl-ftp/asllvd/demos/verify_start_end_handshape_annotations//test_auto_move//signs_mov/15452.mov","MOV")</f>
        <v>21</v>
      </c>
      <c r="R9123" t="s" s="16">
        <f>HYPERLINK("http://secrets.rutgers.edu:8080/data/asl-ftp/asllvd/demos/verify_start_end_handshape_annotations//test_auto_move//signs_mov_separ_signers/Naomi_15452.mov","MOV")</f>
        <v>21</v>
      </c>
    </row>
    <row r="9124" s="2" customFormat="1" ht="13.5" customHeight="1">
      <c r="B9124" s="13"/>
      <c r="C9124" t="s" s="9">
        <v>30</v>
      </c>
      <c r="D9124" t="s" s="8">
        <v>3345</v>
      </c>
      <c r="E9124" t="s" s="9">
        <v>3345</v>
      </c>
      <c r="F9124" s="19">
        <v>1</v>
      </c>
      <c r="G9124" s="17">
        <v>1</v>
      </c>
      <c r="H9124" s="19">
        <v>5</v>
      </c>
      <c r="I9124" s="17">
        <v>5</v>
      </c>
      <c r="J9124" t="s" s="11">
        <v>20</v>
      </c>
      <c r="K9124" s="15"/>
      <c r="L9124" t="s" s="16">
        <f>HYPERLINK("http://csr.bu.edu/ftp/asl/asllvd/demos/verify_start_end_handshape_annotations//test_auto_move//signs_mov_separ_signers/Brady_15452.mov","MOV")</f>
        <v>21</v>
      </c>
      <c r="M9124" t="s" s="10">
        <v>39</v>
      </c>
      <c r="N9124" s="17">
        <v>14</v>
      </c>
      <c r="O9124" s="18">
        <v>2179</v>
      </c>
      <c r="P9124" s="18">
        <v>2209</v>
      </c>
      <c r="Q9124" s="15"/>
      <c r="R9124" t="s" s="16">
        <f>HYPERLINK("http://secrets.rutgers.edu:8080/data/asl-ftp/asllvd/demos/verify_start_end_handshape_annotations//test_auto_move//signs_mov_separ_signers/Brady_15452.mov","MOV")</f>
        <v>21</v>
      </c>
    </row>
    <row r="9125" s="2" customFormat="1" ht="13.5" customHeight="1">
      <c r="B9125" t="s" s="8">
        <v>3346</v>
      </c>
      <c r="C9125" t="s" s="9">
        <v>14</v>
      </c>
      <c r="D9125" t="s" s="8">
        <v>14</v>
      </c>
      <c r="E9125" t="s" s="9">
        <v>14</v>
      </c>
      <c r="F9125" t="s" s="10">
        <v>14</v>
      </c>
      <c r="G9125" t="s" s="11">
        <v>14</v>
      </c>
      <c r="H9125" t="s" s="10">
        <v>14</v>
      </c>
      <c r="I9125" t="s" s="11">
        <v>14</v>
      </c>
      <c r="J9125" t="s" s="11">
        <v>14</v>
      </c>
      <c r="K9125" t="s" s="12">
        <v>14</v>
      </c>
      <c r="L9125" t="s" s="12">
        <v>14</v>
      </c>
      <c r="M9125" t="s" s="10">
        <v>14</v>
      </c>
      <c r="N9125" t="s" s="11">
        <v>14</v>
      </c>
      <c r="O9125" t="s" s="8">
        <v>14</v>
      </c>
      <c r="P9125" t="s" s="8">
        <v>14</v>
      </c>
      <c r="Q9125" t="s" s="12">
        <v>14</v>
      </c>
      <c r="R9125" t="s" s="12">
        <v>14</v>
      </c>
    </row>
    <row r="9126" s="2" customFormat="1" ht="13.5" customHeight="1">
      <c r="B9126" s="13"/>
      <c r="C9126" t="s" s="9">
        <v>16</v>
      </c>
      <c r="D9126" t="s" s="8">
        <v>3346</v>
      </c>
      <c r="E9126" t="s" s="9">
        <v>3346</v>
      </c>
      <c r="F9126" t="s" s="10">
        <v>255</v>
      </c>
      <c r="G9126" s="14"/>
      <c r="H9126" t="s" s="10">
        <v>255</v>
      </c>
      <c r="I9126" s="14"/>
      <c r="J9126" t="s" s="11">
        <v>20</v>
      </c>
      <c r="K9126" t="s" s="16">
        <f>HYPERLINK("http://csr.bu.edu/ftp/asl/asllvd/demos/verify_start_end_handshape_annotations//test_auto_move//signs_mov/2564.mov","MOV")</f>
        <v>21</v>
      </c>
      <c r="L9126" t="s" s="16">
        <f>HYPERLINK("http://csr.bu.edu/ftp/asl/asllvd/demos/verify_start_end_handshape_annotations//test_auto_move//signs_mov_separ_signers/Liz_2564.mov","MOV")</f>
        <v>21</v>
      </c>
      <c r="M9126" t="s" s="10">
        <v>59</v>
      </c>
      <c r="N9126" s="17">
        <v>8</v>
      </c>
      <c r="O9126" s="18">
        <v>1206</v>
      </c>
      <c r="P9126" s="18">
        <v>1240</v>
      </c>
      <c r="Q9126" t="s" s="16">
        <f>HYPERLINK("http://secrets.rutgers.edu:8080/data/asl-ftp/asllvd/demos/verify_start_end_handshape_annotations//test_auto_move//signs_mov/2564.mov","MOV")</f>
        <v>21</v>
      </c>
      <c r="R9126" t="s" s="16">
        <f>HYPERLINK("http://secrets.rutgers.edu:8080/data/asl-ftp/asllvd/demos/verify_start_end_handshape_annotations//test_auto_move//signs_mov_separ_signers/Liz_2564.mov","MOV")</f>
        <v>21</v>
      </c>
    </row>
    <row r="9127" s="2" customFormat="1" ht="13.5" customHeight="1">
      <c r="B9127" s="13"/>
      <c r="C9127" t="s" s="9">
        <v>30</v>
      </c>
      <c r="D9127" t="s" s="8">
        <v>3346</v>
      </c>
      <c r="E9127" t="s" s="9">
        <v>3346</v>
      </c>
      <c r="F9127" t="s" s="10">
        <v>255</v>
      </c>
      <c r="G9127" s="14"/>
      <c r="H9127" t="s" s="10">
        <v>255</v>
      </c>
      <c r="I9127" s="14"/>
      <c r="J9127" t="s" s="11">
        <v>20</v>
      </c>
      <c r="K9127" s="15"/>
      <c r="L9127" t="s" s="16">
        <f>HYPERLINK("http://csr.bu.edu/ftp/asl/asllvd/demos/verify_start_end_handshape_annotations//test_auto_move//signs_mov_separ_signers/Brady_2564.mov","MOV")</f>
        <v>21</v>
      </c>
      <c r="M9127" t="s" s="10">
        <v>40</v>
      </c>
      <c r="N9127" s="17">
        <v>112</v>
      </c>
      <c r="O9127" s="18">
        <v>1857</v>
      </c>
      <c r="P9127" s="18">
        <v>1881</v>
      </c>
      <c r="Q9127" s="15"/>
      <c r="R9127" t="s" s="16">
        <f>HYPERLINK("http://secrets.rutgers.edu:8080/data/asl-ftp/asllvd/demos/verify_start_end_handshape_annotations//test_auto_move//signs_mov_separ_signers/Brady_2564.mov","MOV")</f>
        <v>21</v>
      </c>
    </row>
    <row r="9128" s="2" customFormat="1" ht="13.5" customHeight="1">
      <c r="B9128" t="s" s="8">
        <v>3347</v>
      </c>
      <c r="C9128" t="s" s="9">
        <v>14</v>
      </c>
      <c r="D9128" t="s" s="8">
        <v>14</v>
      </c>
      <c r="E9128" t="s" s="9">
        <v>14</v>
      </c>
      <c r="F9128" t="s" s="10">
        <v>14</v>
      </c>
      <c r="G9128" t="s" s="11">
        <v>14</v>
      </c>
      <c r="H9128" t="s" s="10">
        <v>14</v>
      </c>
      <c r="I9128" t="s" s="11">
        <v>14</v>
      </c>
      <c r="J9128" t="s" s="11">
        <v>14</v>
      </c>
      <c r="K9128" t="s" s="12">
        <v>14</v>
      </c>
      <c r="L9128" t="s" s="12">
        <v>14</v>
      </c>
      <c r="M9128" t="s" s="10">
        <v>14</v>
      </c>
      <c r="N9128" t="s" s="11">
        <v>14</v>
      </c>
      <c r="O9128" t="s" s="8">
        <v>14</v>
      </c>
      <c r="P9128" t="s" s="8">
        <v>14</v>
      </c>
      <c r="Q9128" t="s" s="12">
        <v>14</v>
      </c>
      <c r="R9128" t="s" s="12">
        <v>14</v>
      </c>
    </row>
    <row r="9129" s="2" customFormat="1" ht="13.5" customHeight="1">
      <c r="B9129" s="13"/>
      <c r="C9129" t="s" s="9">
        <v>16</v>
      </c>
      <c r="D9129" t="s" s="8">
        <v>3347</v>
      </c>
      <c r="E9129" t="s" s="9">
        <v>3347</v>
      </c>
      <c r="F9129" s="19">
        <v>1</v>
      </c>
      <c r="G9129" s="14"/>
      <c r="H9129" s="19">
        <v>1</v>
      </c>
      <c r="I9129" s="14"/>
      <c r="J9129" t="s" s="11">
        <v>20</v>
      </c>
      <c r="K9129" t="s" s="16">
        <f>HYPERLINK("http://csr.bu.edu/ftp/asl/asllvd/demos/verify_start_end_handshape_annotations//test_auto_move//signs_mov/2565.mov","MOV")</f>
        <v>21</v>
      </c>
      <c r="L9129" t="s" s="16">
        <f>HYPERLINK("http://csr.bu.edu/ftp/asl/asllvd/demos/verify_start_end_handshape_annotations//test_auto_move//signs_mov_separ_signers/Liz_2565.mov","MOV")</f>
        <v>21</v>
      </c>
      <c r="M9129" t="s" s="10">
        <v>59</v>
      </c>
      <c r="N9129" s="17">
        <v>8</v>
      </c>
      <c r="O9129" s="18">
        <v>1495</v>
      </c>
      <c r="P9129" s="18">
        <v>1525</v>
      </c>
      <c r="Q9129" t="s" s="16">
        <f>HYPERLINK("http://secrets.rutgers.edu:8080/data/asl-ftp/asllvd/demos/verify_start_end_handshape_annotations//test_auto_move//signs_mov/2565.mov","MOV")</f>
        <v>21</v>
      </c>
      <c r="R9129" t="s" s="16">
        <f>HYPERLINK("http://secrets.rutgers.edu:8080/data/asl-ftp/asllvd/demos/verify_start_end_handshape_annotations//test_auto_move//signs_mov_separ_signers/Liz_2565.mov","MOV")</f>
        <v>21</v>
      </c>
    </row>
    <row r="9130" s="2" customFormat="1" ht="13.5" customHeight="1">
      <c r="B9130" s="13"/>
      <c r="C9130" t="s" s="9">
        <v>30</v>
      </c>
      <c r="D9130" t="s" s="8">
        <v>3347</v>
      </c>
      <c r="E9130" t="s" s="9">
        <v>3347</v>
      </c>
      <c r="F9130" s="19">
        <v>1</v>
      </c>
      <c r="G9130" s="14"/>
      <c r="H9130" s="19">
        <v>1</v>
      </c>
      <c r="I9130" s="14"/>
      <c r="J9130" t="s" s="11">
        <v>20</v>
      </c>
      <c r="K9130" s="15"/>
      <c r="L9130" t="s" s="16">
        <f>HYPERLINK("http://csr.bu.edu/ftp/asl/asllvd/demos/verify_start_end_handshape_annotations//test_auto_move//signs_mov_separ_signers/Brady_2565.mov","MOV")</f>
        <v>21</v>
      </c>
      <c r="M9130" t="s" s="10">
        <v>40</v>
      </c>
      <c r="N9130" s="17">
        <v>112</v>
      </c>
      <c r="O9130" s="18">
        <v>2104</v>
      </c>
      <c r="P9130" s="18">
        <v>2122</v>
      </c>
      <c r="Q9130" s="15"/>
      <c r="R9130" t="s" s="16">
        <f>HYPERLINK("http://secrets.rutgers.edu:8080/data/asl-ftp/asllvd/demos/verify_start_end_handshape_annotations//test_auto_move//signs_mov_separ_signers/Brady_2565.mov","MOV")</f>
        <v>21</v>
      </c>
    </row>
    <row r="9131" s="2" customFormat="1" ht="13.5" customHeight="1">
      <c r="B9131" t="s" s="8">
        <v>3348</v>
      </c>
      <c r="C9131" t="s" s="9">
        <v>14</v>
      </c>
      <c r="D9131" t="s" s="8">
        <v>14</v>
      </c>
      <c r="E9131" t="s" s="9">
        <v>14</v>
      </c>
      <c r="F9131" t="s" s="10">
        <v>14</v>
      </c>
      <c r="G9131" t="s" s="11">
        <v>14</v>
      </c>
      <c r="H9131" t="s" s="10">
        <v>14</v>
      </c>
      <c r="I9131" t="s" s="11">
        <v>14</v>
      </c>
      <c r="J9131" t="s" s="11">
        <v>14</v>
      </c>
      <c r="K9131" t="s" s="12">
        <v>14</v>
      </c>
      <c r="L9131" t="s" s="12">
        <v>14</v>
      </c>
      <c r="M9131" t="s" s="10">
        <v>14</v>
      </c>
      <c r="N9131" t="s" s="11">
        <v>14</v>
      </c>
      <c r="O9131" t="s" s="8">
        <v>14</v>
      </c>
      <c r="P9131" t="s" s="8">
        <v>14</v>
      </c>
      <c r="Q9131" t="s" s="12">
        <v>14</v>
      </c>
      <c r="R9131" t="s" s="12">
        <v>14</v>
      </c>
    </row>
    <row r="9132" s="2" customFormat="1" ht="13.5" customHeight="1">
      <c r="B9132" s="13"/>
      <c r="C9132" t="s" s="9">
        <v>16</v>
      </c>
      <c r="D9132" t="s" s="8">
        <v>3348</v>
      </c>
      <c r="E9132" t="s" s="9">
        <v>3348</v>
      </c>
      <c r="F9132" t="s" s="10">
        <v>136</v>
      </c>
      <c r="G9132" s="14"/>
      <c r="H9132" t="s" s="10">
        <v>136</v>
      </c>
      <c r="I9132" s="14"/>
      <c r="J9132" t="s" s="11">
        <v>20</v>
      </c>
      <c r="K9132" t="s" s="16">
        <f>HYPERLINK("http://csr.bu.edu/ftp/asl/asllvd/demos/verify_start_end_handshape_annotations//test_auto_move//signs_mov/2571.mov","MOV")</f>
        <v>21</v>
      </c>
      <c r="L9132" t="s" s="16">
        <f>HYPERLINK("http://csr.bu.edu/ftp/asl/asllvd/demos/verify_start_end_handshape_annotations//test_auto_move//signs_mov_separ_signers/Liz_2571.mov","MOV")</f>
        <v>21</v>
      </c>
      <c r="M9132" t="s" s="10">
        <v>59</v>
      </c>
      <c r="N9132" s="17">
        <v>9</v>
      </c>
      <c r="O9132" s="18">
        <v>645</v>
      </c>
      <c r="P9132" s="18">
        <v>670</v>
      </c>
      <c r="Q9132" t="s" s="16">
        <f>HYPERLINK("http://secrets.rutgers.edu:8080/data/asl-ftp/asllvd/demos/verify_start_end_handshape_annotations//test_auto_move//signs_mov/2571.mov","MOV")</f>
        <v>21</v>
      </c>
      <c r="R9132" t="s" s="16">
        <f>HYPERLINK("http://secrets.rutgers.edu:8080/data/asl-ftp/asllvd/demos/verify_start_end_handshape_annotations//test_auto_move//signs_mov_separ_signers/Liz_2571.mov","MOV")</f>
        <v>21</v>
      </c>
    </row>
    <row r="9133" s="2" customFormat="1" ht="13.5" customHeight="1">
      <c r="B9133" s="13"/>
      <c r="C9133" t="s" s="9">
        <v>30</v>
      </c>
      <c r="D9133" t="s" s="8">
        <v>3348</v>
      </c>
      <c r="E9133" t="s" s="9">
        <v>3348</v>
      </c>
      <c r="F9133" t="s" s="10">
        <v>136</v>
      </c>
      <c r="G9133" s="14"/>
      <c r="H9133" t="s" s="10">
        <v>136</v>
      </c>
      <c r="I9133" s="14"/>
      <c r="J9133" t="s" s="11">
        <v>20</v>
      </c>
      <c r="K9133" s="15"/>
      <c r="L9133" t="s" s="16">
        <f>HYPERLINK("http://csr.bu.edu/ftp/asl/asllvd/demos/verify_start_end_handshape_annotations//test_auto_move//signs_mov_separ_signers/Brady_2571.mov","MOV")</f>
        <v>21</v>
      </c>
      <c r="M9133" t="s" s="10">
        <v>40</v>
      </c>
      <c r="N9133" s="17">
        <v>113</v>
      </c>
      <c r="O9133" s="18">
        <v>4073</v>
      </c>
      <c r="P9133" s="18">
        <v>4089</v>
      </c>
      <c r="Q9133" s="15"/>
      <c r="R9133" t="s" s="16">
        <f>HYPERLINK("http://secrets.rutgers.edu:8080/data/asl-ftp/asllvd/demos/verify_start_end_handshape_annotations//test_auto_move//signs_mov_separ_signers/Brady_2571.mov","MOV")</f>
        <v>21</v>
      </c>
    </row>
    <row r="9134" s="2" customFormat="1" ht="13.5" customHeight="1">
      <c r="B9134" t="s" s="8">
        <v>3349</v>
      </c>
      <c r="C9134" t="s" s="9">
        <v>14</v>
      </c>
      <c r="D9134" t="s" s="8">
        <v>14</v>
      </c>
      <c r="E9134" t="s" s="9">
        <v>14</v>
      </c>
      <c r="F9134" t="s" s="10">
        <v>14</v>
      </c>
      <c r="G9134" t="s" s="11">
        <v>14</v>
      </c>
      <c r="H9134" t="s" s="10">
        <v>14</v>
      </c>
      <c r="I9134" t="s" s="11">
        <v>14</v>
      </c>
      <c r="J9134" t="s" s="11">
        <v>14</v>
      </c>
      <c r="K9134" t="s" s="12">
        <v>14</v>
      </c>
      <c r="L9134" t="s" s="12">
        <v>14</v>
      </c>
      <c r="M9134" t="s" s="10">
        <v>14</v>
      </c>
      <c r="N9134" t="s" s="11">
        <v>14</v>
      </c>
      <c r="O9134" t="s" s="8">
        <v>14</v>
      </c>
      <c r="P9134" t="s" s="8">
        <v>14</v>
      </c>
      <c r="Q9134" t="s" s="12">
        <v>14</v>
      </c>
      <c r="R9134" t="s" s="12">
        <v>14</v>
      </c>
    </row>
    <row r="9135" s="2" customFormat="1" ht="13.5" customHeight="1">
      <c r="B9135" s="13"/>
      <c r="C9135" t="s" s="9">
        <v>16</v>
      </c>
      <c r="D9135" t="s" s="8">
        <v>3349</v>
      </c>
      <c r="E9135" t="s" s="9">
        <v>3350</v>
      </c>
      <c r="F9135" t="s" s="10">
        <v>386</v>
      </c>
      <c r="G9135" s="14"/>
      <c r="H9135" t="s" s="10">
        <v>386</v>
      </c>
      <c r="I9135" s="14"/>
      <c r="J9135" t="s" s="11">
        <v>20</v>
      </c>
      <c r="K9135" t="s" s="16">
        <f>HYPERLINK("http://csr.bu.edu/ftp/asl/asllvd/demos/verify_start_end_handshape_annotations//test_auto_move//signs_mov/2576.mov","MOV")</f>
        <v>21</v>
      </c>
      <c r="L9135" t="s" s="16">
        <f>HYPERLINK("http://csr.bu.edu/ftp/asl/asllvd/demos/verify_start_end_handshape_annotations//test_auto_move//signs_mov_separ_signers/Liz_2576.mov","MOV")</f>
        <v>21</v>
      </c>
      <c r="M9135" t="s" s="10">
        <v>59</v>
      </c>
      <c r="N9135" s="17">
        <v>9</v>
      </c>
      <c r="O9135" s="18">
        <v>1860</v>
      </c>
      <c r="P9135" s="18">
        <v>1912</v>
      </c>
      <c r="Q9135" t="s" s="16">
        <f>HYPERLINK("http://secrets.rutgers.edu:8080/data/asl-ftp/asllvd/demos/verify_start_end_handshape_annotations//test_auto_move//signs_mov/2576.mov","MOV")</f>
        <v>21</v>
      </c>
      <c r="R9135" t="s" s="16">
        <f>HYPERLINK("http://secrets.rutgers.edu:8080/data/asl-ftp/asllvd/demos/verify_start_end_handshape_annotations//test_auto_move//signs_mov_separ_signers/Liz_2576.mov","MOV")</f>
        <v>21</v>
      </c>
    </row>
    <row r="9136" s="2" customFormat="1" ht="13.5" customHeight="1">
      <c r="B9136" t="s" s="8">
        <v>52</v>
      </c>
      <c r="C9136" t="s" s="9">
        <v>53</v>
      </c>
      <c r="D9136" t="s" s="8">
        <v>53</v>
      </c>
      <c r="E9136" t="s" s="9">
        <v>53</v>
      </c>
      <c r="F9136" t="s" s="10">
        <v>53</v>
      </c>
      <c r="G9136" t="s" s="11">
        <v>53</v>
      </c>
      <c r="H9136" t="s" s="10">
        <v>53</v>
      </c>
      <c r="I9136" t="s" s="11">
        <v>53</v>
      </c>
      <c r="J9136" t="s" s="11">
        <v>53</v>
      </c>
      <c r="K9136" t="s" s="12">
        <v>53</v>
      </c>
      <c r="L9136" t="s" s="12">
        <v>53</v>
      </c>
      <c r="M9136" t="s" s="10">
        <v>53</v>
      </c>
      <c r="N9136" t="s" s="11">
        <v>53</v>
      </c>
      <c r="O9136" t="s" s="8">
        <v>53</v>
      </c>
      <c r="P9136" t="s" s="8">
        <v>53</v>
      </c>
      <c r="Q9136" t="s" s="12">
        <v>53</v>
      </c>
      <c r="R9136" t="s" s="12">
        <v>53</v>
      </c>
    </row>
    <row r="9137" s="2" customFormat="1" ht="13.5" customHeight="1">
      <c r="B9137" s="13"/>
      <c r="C9137" t="s" s="9">
        <v>30</v>
      </c>
      <c r="D9137" t="s" s="8">
        <v>3349</v>
      </c>
      <c r="E9137" t="s" s="9">
        <v>3351</v>
      </c>
      <c r="F9137" t="s" s="10">
        <v>386</v>
      </c>
      <c r="G9137" s="14"/>
      <c r="H9137" t="s" s="10">
        <v>386</v>
      </c>
      <c r="I9137" s="14"/>
      <c r="J9137" t="s" s="11">
        <v>20</v>
      </c>
      <c r="K9137" t="s" s="16">
        <f>HYPERLINK("http://csr.bu.edu/ftp/asl/asllvd/demos/verify_start_end_handshape_annotations//test_auto_move//signs_mov/16470.mov","MOV")</f>
        <v>21</v>
      </c>
      <c r="L9137" t="s" s="16">
        <f>HYPERLINK("http://csr.bu.edu/ftp/asl/asllvd/demos/verify_start_end_handshape_annotations//test_auto_move//signs_mov_separ_signers/Brady_16470.mov","MOV")</f>
        <v>21</v>
      </c>
      <c r="M9137" t="s" s="10">
        <v>40</v>
      </c>
      <c r="N9137" s="17">
        <v>113</v>
      </c>
      <c r="O9137" s="18">
        <v>4959</v>
      </c>
      <c r="P9137" s="18">
        <v>4982</v>
      </c>
      <c r="Q9137" t="s" s="16">
        <f>HYPERLINK("http://secrets.rutgers.edu:8080/data/asl-ftp/asllvd/demos/verify_start_end_handshape_annotations//test_auto_move//signs_mov/16470.mov","MOV")</f>
        <v>21</v>
      </c>
      <c r="R9137" t="s" s="16">
        <f>HYPERLINK("http://secrets.rutgers.edu:8080/data/asl-ftp/asllvd/demos/verify_start_end_handshape_annotations//test_auto_move//signs_mov_separ_signers/Brady_16470.mov","MOV")</f>
        <v>21</v>
      </c>
    </row>
    <row r="9138" s="2" customFormat="1" ht="13.5" customHeight="1">
      <c r="B9138" t="s" s="8">
        <v>3352</v>
      </c>
      <c r="C9138" t="s" s="9">
        <v>14</v>
      </c>
      <c r="D9138" t="s" s="8">
        <v>14</v>
      </c>
      <c r="E9138" t="s" s="9">
        <v>14</v>
      </c>
      <c r="F9138" t="s" s="10">
        <v>14</v>
      </c>
      <c r="G9138" t="s" s="11">
        <v>14</v>
      </c>
      <c r="H9138" t="s" s="10">
        <v>14</v>
      </c>
      <c r="I9138" t="s" s="11">
        <v>14</v>
      </c>
      <c r="J9138" t="s" s="11">
        <v>14</v>
      </c>
      <c r="K9138" t="s" s="12">
        <v>14</v>
      </c>
      <c r="L9138" t="s" s="12">
        <v>14</v>
      </c>
      <c r="M9138" t="s" s="10">
        <v>14</v>
      </c>
      <c r="N9138" t="s" s="11">
        <v>14</v>
      </c>
      <c r="O9138" t="s" s="8">
        <v>14</v>
      </c>
      <c r="P9138" t="s" s="8">
        <v>14</v>
      </c>
      <c r="Q9138" t="s" s="12">
        <v>14</v>
      </c>
      <c r="R9138" t="s" s="12">
        <v>14</v>
      </c>
    </row>
    <row r="9139" s="2" customFormat="1" ht="13.5" customHeight="1">
      <c r="B9139" s="13"/>
      <c r="C9139" t="s" s="9">
        <v>16</v>
      </c>
      <c r="D9139" t="s" s="8">
        <v>3352</v>
      </c>
      <c r="E9139" t="s" s="9">
        <v>3352</v>
      </c>
      <c r="F9139" t="s" s="10">
        <v>65</v>
      </c>
      <c r="G9139" s="14"/>
      <c r="H9139" t="s" s="10">
        <v>65</v>
      </c>
      <c r="I9139" s="14"/>
      <c r="J9139" t="s" s="11">
        <v>20</v>
      </c>
      <c r="K9139" t="s" s="16">
        <f>HYPERLINK("http://csr.bu.edu/ftp/asl/asllvd/demos/verify_start_end_handshape_annotations//test_auto_move//signs_mov/2579.mov","MOV")</f>
        <v>21</v>
      </c>
      <c r="L9139" t="s" s="16">
        <f>HYPERLINK("http://csr.bu.edu/ftp/asl/asllvd/demos/verify_start_end_handshape_annotations//test_auto_move//signs_mov_separ_signers/Liz_2579.mov","MOV")</f>
        <v>21</v>
      </c>
      <c r="M9139" t="s" s="10">
        <v>59</v>
      </c>
      <c r="N9139" s="17">
        <v>9</v>
      </c>
      <c r="O9139" s="18">
        <v>2625</v>
      </c>
      <c r="P9139" s="18">
        <v>2660</v>
      </c>
      <c r="Q9139" t="s" s="16">
        <f>HYPERLINK("http://secrets.rutgers.edu:8080/data/asl-ftp/asllvd/demos/verify_start_end_handshape_annotations//test_auto_move//signs_mov/2579.mov","MOV")</f>
        <v>21</v>
      </c>
      <c r="R9139" t="s" s="16">
        <f>HYPERLINK("http://secrets.rutgers.edu:8080/data/asl-ftp/asllvd/demos/verify_start_end_handshape_annotations//test_auto_move//signs_mov_separ_signers/Liz_2579.mov","MOV")</f>
        <v>21</v>
      </c>
    </row>
    <row r="9140" s="2" customFormat="1" ht="13.5" customHeight="1">
      <c r="B9140" s="13"/>
      <c r="C9140" t="s" s="9">
        <v>30</v>
      </c>
      <c r="D9140" t="s" s="8">
        <v>3352</v>
      </c>
      <c r="E9140" t="s" s="9">
        <v>3352</v>
      </c>
      <c r="F9140" t="s" s="10">
        <v>65</v>
      </c>
      <c r="G9140" s="14"/>
      <c r="H9140" t="s" s="10">
        <v>65</v>
      </c>
      <c r="I9140" s="14"/>
      <c r="J9140" t="s" s="11">
        <v>20</v>
      </c>
      <c r="K9140" s="15"/>
      <c r="L9140" t="s" s="16">
        <f>HYPERLINK("http://csr.bu.edu/ftp/asl/asllvd/demos/verify_start_end_handshape_annotations//test_auto_move//signs_mov_separ_signers/Brady_2579.mov","MOV")</f>
        <v>21</v>
      </c>
      <c r="M9140" t="s" s="10">
        <v>40</v>
      </c>
      <c r="N9140" s="17">
        <v>114</v>
      </c>
      <c r="O9140" s="18">
        <v>607</v>
      </c>
      <c r="P9140" s="18">
        <v>638</v>
      </c>
      <c r="Q9140" s="15"/>
      <c r="R9140" t="s" s="16">
        <f>HYPERLINK("http://secrets.rutgers.edu:8080/data/asl-ftp/asllvd/demos/verify_start_end_handshape_annotations//test_auto_move//signs_mov_separ_signers/Brady_2579.mov","MOV")</f>
        <v>21</v>
      </c>
    </row>
    <row r="9141" s="2" customFormat="1" ht="13.5" customHeight="1">
      <c r="B9141" t="s" s="8">
        <v>3353</v>
      </c>
      <c r="C9141" t="s" s="9">
        <v>14</v>
      </c>
      <c r="D9141" t="s" s="8">
        <v>14</v>
      </c>
      <c r="E9141" t="s" s="9">
        <v>14</v>
      </c>
      <c r="F9141" t="s" s="10">
        <v>14</v>
      </c>
      <c r="G9141" t="s" s="11">
        <v>14</v>
      </c>
      <c r="H9141" t="s" s="10">
        <v>14</v>
      </c>
      <c r="I9141" t="s" s="11">
        <v>14</v>
      </c>
      <c r="J9141" t="s" s="11">
        <v>14</v>
      </c>
      <c r="K9141" t="s" s="12">
        <v>14</v>
      </c>
      <c r="L9141" t="s" s="12">
        <v>14</v>
      </c>
      <c r="M9141" t="s" s="10">
        <v>14</v>
      </c>
      <c r="N9141" t="s" s="11">
        <v>14</v>
      </c>
      <c r="O9141" t="s" s="8">
        <v>14</v>
      </c>
      <c r="P9141" t="s" s="8">
        <v>14</v>
      </c>
      <c r="Q9141" t="s" s="12">
        <v>14</v>
      </c>
      <c r="R9141" t="s" s="12">
        <v>14</v>
      </c>
    </row>
    <row r="9142" s="2" customFormat="1" ht="13.5" customHeight="1">
      <c r="B9142" s="13"/>
      <c r="C9142" t="s" s="9">
        <v>16</v>
      </c>
      <c r="D9142" t="s" s="8">
        <v>3353</v>
      </c>
      <c r="E9142" t="s" s="9">
        <v>3353</v>
      </c>
      <c r="F9142" s="19">
        <v>1</v>
      </c>
      <c r="G9142" s="14"/>
      <c r="H9142" s="19">
        <v>1</v>
      </c>
      <c r="I9142" s="14"/>
      <c r="J9142" t="s" s="11">
        <v>20</v>
      </c>
      <c r="K9142" t="s" s="16">
        <f>HYPERLINK("http://csr.bu.edu/ftp/asl/asllvd/demos/verify_start_end_handshape_annotations//test_auto_move//signs_mov/2580.mov","MOV")</f>
        <v>21</v>
      </c>
      <c r="L9142" t="s" s="16">
        <f>HYPERLINK("http://csr.bu.edu/ftp/asl/asllvd/demos/verify_start_end_handshape_annotations//test_auto_move//signs_mov_separ_signers/Liz_2580.mov","MOV")</f>
        <v>21</v>
      </c>
      <c r="M9142" t="s" s="10">
        <v>59</v>
      </c>
      <c r="N9142" s="17">
        <v>10</v>
      </c>
      <c r="O9142" s="18">
        <v>235</v>
      </c>
      <c r="P9142" s="18">
        <v>280</v>
      </c>
      <c r="Q9142" t="s" s="16">
        <f>HYPERLINK("http://secrets.rutgers.edu:8080/data/asl-ftp/asllvd/demos/verify_start_end_handshape_annotations//test_auto_move//signs_mov/2580.mov","MOV")</f>
        <v>21</v>
      </c>
      <c r="R9142" t="s" s="16">
        <f>HYPERLINK("http://secrets.rutgers.edu:8080/data/asl-ftp/asllvd/demos/verify_start_end_handshape_annotations//test_auto_move//signs_mov_separ_signers/Liz_2580.mov","MOV")</f>
        <v>21</v>
      </c>
    </row>
    <row r="9143" s="2" customFormat="1" ht="13.5" customHeight="1">
      <c r="B9143" s="13"/>
      <c r="C9143" t="s" s="9">
        <v>30</v>
      </c>
      <c r="D9143" t="s" s="8">
        <v>3353</v>
      </c>
      <c r="E9143" t="s" s="9">
        <v>3353</v>
      </c>
      <c r="F9143" s="19">
        <v>1</v>
      </c>
      <c r="G9143" s="14"/>
      <c r="H9143" s="19">
        <v>1</v>
      </c>
      <c r="I9143" s="14"/>
      <c r="J9143" t="s" s="11">
        <v>20</v>
      </c>
      <c r="K9143" s="15"/>
      <c r="L9143" t="s" s="16">
        <f>HYPERLINK("http://csr.bu.edu/ftp/asl/asllvd/demos/verify_start_end_handshape_annotations//test_auto_move//signs_mov_separ_signers/Brady_2580.mov","MOV")</f>
        <v>21</v>
      </c>
      <c r="M9143" t="s" s="10">
        <v>40</v>
      </c>
      <c r="N9143" s="17">
        <v>114</v>
      </c>
      <c r="O9143" s="18">
        <v>905</v>
      </c>
      <c r="P9143" s="18">
        <v>944</v>
      </c>
      <c r="Q9143" s="15"/>
      <c r="R9143" t="s" s="16">
        <f>HYPERLINK("http://secrets.rutgers.edu:8080/data/asl-ftp/asllvd/demos/verify_start_end_handshape_annotations//test_auto_move//signs_mov_separ_signers/Brady_2580.mov","MOV")</f>
        <v>21</v>
      </c>
    </row>
    <row r="9144" s="2" customFormat="1" ht="13.5" customHeight="1">
      <c r="B9144" t="s" s="8">
        <v>3354</v>
      </c>
      <c r="C9144" t="s" s="9">
        <v>14</v>
      </c>
      <c r="D9144" t="s" s="8">
        <v>14</v>
      </c>
      <c r="E9144" t="s" s="9">
        <v>14</v>
      </c>
      <c r="F9144" t="s" s="10">
        <v>14</v>
      </c>
      <c r="G9144" t="s" s="11">
        <v>14</v>
      </c>
      <c r="H9144" t="s" s="10">
        <v>14</v>
      </c>
      <c r="I9144" t="s" s="11">
        <v>14</v>
      </c>
      <c r="J9144" t="s" s="11">
        <v>14</v>
      </c>
      <c r="K9144" t="s" s="12">
        <v>14</v>
      </c>
      <c r="L9144" t="s" s="12">
        <v>14</v>
      </c>
      <c r="M9144" t="s" s="10">
        <v>14</v>
      </c>
      <c r="N9144" t="s" s="11">
        <v>14</v>
      </c>
      <c r="O9144" t="s" s="8">
        <v>14</v>
      </c>
      <c r="P9144" t="s" s="8">
        <v>14</v>
      </c>
      <c r="Q9144" t="s" s="12">
        <v>14</v>
      </c>
      <c r="R9144" t="s" s="12">
        <v>14</v>
      </c>
    </row>
    <row r="9145" s="2" customFormat="1" ht="13.5" customHeight="1">
      <c r="B9145" s="13"/>
      <c r="C9145" t="s" s="9">
        <v>16</v>
      </c>
      <c r="D9145" t="s" s="8">
        <v>3355</v>
      </c>
      <c r="E9145" t="s" s="9">
        <v>3356</v>
      </c>
      <c r="F9145" t="s" s="10">
        <v>292</v>
      </c>
      <c r="G9145" s="14"/>
      <c r="H9145" t="s" s="10">
        <v>292</v>
      </c>
      <c r="I9145" s="14"/>
      <c r="J9145" t="s" s="11">
        <v>20</v>
      </c>
      <c r="K9145" t="s" s="16">
        <f>HYPERLINK("http://csr.bu.edu/ftp/asl/asllvd/demos/verify_start_end_handshape_annotations//test_auto_move//signs_mov/2584.mov","MOV")</f>
        <v>21</v>
      </c>
      <c r="L9145" t="s" s="16">
        <f>HYPERLINK("http://csr.bu.edu/ftp/asl/asllvd/demos/verify_start_end_handshape_annotations//test_auto_move//signs_mov_separ_signers/Liz_2584.mov","MOV")</f>
        <v>21</v>
      </c>
      <c r="M9145" t="s" s="10">
        <v>59</v>
      </c>
      <c r="N9145" s="17">
        <v>10</v>
      </c>
      <c r="O9145" s="18">
        <v>2415</v>
      </c>
      <c r="P9145" s="18">
        <v>2457</v>
      </c>
      <c r="Q9145" t="s" s="16">
        <f>HYPERLINK("http://secrets.rutgers.edu:8080/data/asl-ftp/asllvd/demos/verify_start_end_handshape_annotations//test_auto_move//signs_mov/2584.mov","MOV")</f>
        <v>21</v>
      </c>
      <c r="R9145" t="s" s="16">
        <f>HYPERLINK("http://secrets.rutgers.edu:8080/data/asl-ftp/asllvd/demos/verify_start_end_handshape_annotations//test_auto_move//signs_mov_separ_signers/Liz_2584.mov","MOV")</f>
        <v>21</v>
      </c>
    </row>
    <row r="9146" s="2" customFormat="1" ht="13.5" customHeight="1">
      <c r="B9146" s="13"/>
      <c r="C9146" t="s" s="9">
        <v>30</v>
      </c>
      <c r="D9146" t="s" s="8">
        <v>3355</v>
      </c>
      <c r="E9146" t="s" s="9">
        <v>3355</v>
      </c>
      <c r="F9146" t="s" s="10">
        <v>292</v>
      </c>
      <c r="G9146" s="14"/>
      <c r="H9146" t="s" s="10">
        <v>292</v>
      </c>
      <c r="I9146" s="14"/>
      <c r="J9146" t="s" s="11">
        <v>20</v>
      </c>
      <c r="K9146" s="15"/>
      <c r="L9146" t="s" s="16">
        <f>HYPERLINK("http://csr.bu.edu/ftp/asl/asllvd/demos/verify_start_end_handshape_annotations//test_auto_move//signs_mov_separ_signers/Brady_2584.mov","MOV")</f>
        <v>21</v>
      </c>
      <c r="M9146" t="s" s="10">
        <v>40</v>
      </c>
      <c r="N9146" s="17">
        <v>114</v>
      </c>
      <c r="O9146" s="18">
        <v>1847</v>
      </c>
      <c r="P9146" s="18">
        <v>1864</v>
      </c>
      <c r="Q9146" s="15"/>
      <c r="R9146" t="s" s="16">
        <f>HYPERLINK("http://secrets.rutgers.edu:8080/data/asl-ftp/asllvd/demos/verify_start_end_handshape_annotations//test_auto_move//signs_mov_separ_signers/Brady_2584.mov","MOV")</f>
        <v>21</v>
      </c>
    </row>
    <row r="9147" s="2" customFormat="1" ht="13.5" customHeight="1">
      <c r="B9147" t="s" s="8">
        <v>3357</v>
      </c>
      <c r="C9147" t="s" s="9">
        <v>14</v>
      </c>
      <c r="D9147" t="s" s="8">
        <v>14</v>
      </c>
      <c r="E9147" t="s" s="9">
        <v>14</v>
      </c>
      <c r="F9147" t="s" s="10">
        <v>14</v>
      </c>
      <c r="G9147" t="s" s="11">
        <v>14</v>
      </c>
      <c r="H9147" t="s" s="10">
        <v>14</v>
      </c>
      <c r="I9147" t="s" s="11">
        <v>14</v>
      </c>
      <c r="J9147" t="s" s="11">
        <v>14</v>
      </c>
      <c r="K9147" t="s" s="12">
        <v>14</v>
      </c>
      <c r="L9147" t="s" s="12">
        <v>14</v>
      </c>
      <c r="M9147" t="s" s="10">
        <v>14</v>
      </c>
      <c r="N9147" t="s" s="11">
        <v>14</v>
      </c>
      <c r="O9147" t="s" s="8">
        <v>14</v>
      </c>
      <c r="P9147" t="s" s="8">
        <v>14</v>
      </c>
      <c r="Q9147" t="s" s="12">
        <v>14</v>
      </c>
      <c r="R9147" t="s" s="12">
        <v>14</v>
      </c>
    </row>
    <row r="9148" s="2" customFormat="1" ht="13.5" customHeight="1">
      <c r="B9148" s="13"/>
      <c r="C9148" t="s" s="9">
        <v>30</v>
      </c>
      <c r="D9148" t="s" s="8">
        <v>3357</v>
      </c>
      <c r="E9148" t="s" s="9">
        <v>3357</v>
      </c>
      <c r="F9148" t="s" s="10">
        <v>337</v>
      </c>
      <c r="G9148" s="14"/>
      <c r="H9148" t="s" s="10">
        <v>337</v>
      </c>
      <c r="I9148" s="14"/>
      <c r="J9148" t="s" s="11">
        <v>20</v>
      </c>
      <c r="K9148" t="s" s="16">
        <f>HYPERLINK("http://csr.bu.edu/ftp/asl/asllvd/demos/verify_start_end_handshape_annotations//test_auto_move//signs_mov/2587.mov","MOV")</f>
        <v>21</v>
      </c>
      <c r="L9148" t="s" s="16">
        <f>HYPERLINK("http://csr.bu.edu/ftp/asl/asllvd/demos/verify_start_end_handshape_annotations//test_auto_move//signs_mov_separ_signers/Brady_2587.mov","MOV")</f>
        <v>21</v>
      </c>
      <c r="M9148" t="s" s="10">
        <v>40</v>
      </c>
      <c r="N9148" s="17">
        <v>114</v>
      </c>
      <c r="O9148" s="18">
        <v>2089</v>
      </c>
      <c r="P9148" s="18">
        <v>2107</v>
      </c>
      <c r="Q9148" t="s" s="16">
        <f>HYPERLINK("http://secrets.rutgers.edu:8080/data/asl-ftp/asllvd/demos/verify_start_end_handshape_annotations//test_auto_move//signs_mov/2587.mov","MOV")</f>
        <v>21</v>
      </c>
      <c r="R9148" t="s" s="16">
        <f>HYPERLINK("http://secrets.rutgers.edu:8080/data/asl-ftp/asllvd/demos/verify_start_end_handshape_annotations//test_auto_move//signs_mov_separ_signers/Brady_2587.mov","MOV")</f>
        <v>21</v>
      </c>
    </row>
    <row r="9149" s="2" customFormat="1" ht="13.5" customHeight="1">
      <c r="B9149" t="s" s="8">
        <v>52</v>
      </c>
      <c r="C9149" t="s" s="9">
        <v>53</v>
      </c>
      <c r="D9149" t="s" s="8">
        <v>53</v>
      </c>
      <c r="E9149" t="s" s="9">
        <v>53</v>
      </c>
      <c r="F9149" t="s" s="10">
        <v>53</v>
      </c>
      <c r="G9149" t="s" s="11">
        <v>53</v>
      </c>
      <c r="H9149" t="s" s="10">
        <v>53</v>
      </c>
      <c r="I9149" t="s" s="11">
        <v>53</v>
      </c>
      <c r="J9149" t="s" s="11">
        <v>53</v>
      </c>
      <c r="K9149" t="s" s="12">
        <v>53</v>
      </c>
      <c r="L9149" t="s" s="12">
        <v>53</v>
      </c>
      <c r="M9149" t="s" s="10">
        <v>53</v>
      </c>
      <c r="N9149" t="s" s="11">
        <v>53</v>
      </c>
      <c r="O9149" t="s" s="8">
        <v>53</v>
      </c>
      <c r="P9149" t="s" s="8">
        <v>53</v>
      </c>
      <c r="Q9149" t="s" s="12">
        <v>53</v>
      </c>
      <c r="R9149" t="s" s="12">
        <v>53</v>
      </c>
    </row>
    <row r="9150" s="2" customFormat="1" ht="13.5" customHeight="1">
      <c r="B9150" s="13"/>
      <c r="C9150" t="s" s="9">
        <v>16</v>
      </c>
      <c r="D9150" t="s" s="8">
        <v>3357</v>
      </c>
      <c r="E9150" t="s" s="9">
        <v>3358</v>
      </c>
      <c r="F9150" t="s" s="10">
        <v>18</v>
      </c>
      <c r="G9150" s="14"/>
      <c r="H9150" t="s" s="10">
        <v>18</v>
      </c>
      <c r="I9150" s="14"/>
      <c r="J9150" t="s" s="11">
        <v>20</v>
      </c>
      <c r="K9150" t="s" s="16">
        <f>HYPERLINK("http://csr.bu.edu/ftp/asl/asllvd/demos/verify_start_end_handshape_annotations//test_auto_move//signs_mov/16471.mov","MOV")</f>
        <v>21</v>
      </c>
      <c r="L9150" t="s" s="16">
        <f>HYPERLINK("http://csr.bu.edu/ftp/asl/asllvd/demos/verify_start_end_handshape_annotations//test_auto_move//signs_mov_separ_signers/Liz_16471.mov","MOV")</f>
        <v>21</v>
      </c>
      <c r="M9150" t="s" s="10">
        <v>59</v>
      </c>
      <c r="N9150" s="17">
        <v>10</v>
      </c>
      <c r="O9150" s="18">
        <v>5690</v>
      </c>
      <c r="P9150" s="18">
        <v>5735</v>
      </c>
      <c r="Q9150" t="s" s="16">
        <f>HYPERLINK("http://secrets.rutgers.edu:8080/data/asl-ftp/asllvd/demos/verify_start_end_handshape_annotations//test_auto_move//signs_mov/16471.mov","MOV")</f>
        <v>21</v>
      </c>
      <c r="R9150" t="s" s="16">
        <f>HYPERLINK("http://secrets.rutgers.edu:8080/data/asl-ftp/asllvd/demos/verify_start_end_handshape_annotations//test_auto_move//signs_mov_separ_signers/Liz_16471.mov","MOV")</f>
        <v>21</v>
      </c>
    </row>
    <row r="9151" s="2" customFormat="1" ht="13.5" customHeight="1">
      <c r="B9151" t="s" s="8">
        <v>3359</v>
      </c>
      <c r="C9151" t="s" s="9">
        <v>14</v>
      </c>
      <c r="D9151" t="s" s="8">
        <v>14</v>
      </c>
      <c r="E9151" t="s" s="9">
        <v>14</v>
      </c>
      <c r="F9151" t="s" s="10">
        <v>14</v>
      </c>
      <c r="G9151" t="s" s="11">
        <v>14</v>
      </c>
      <c r="H9151" t="s" s="10">
        <v>14</v>
      </c>
      <c r="I9151" t="s" s="11">
        <v>14</v>
      </c>
      <c r="J9151" t="s" s="11">
        <v>14</v>
      </c>
      <c r="K9151" t="s" s="12">
        <v>14</v>
      </c>
      <c r="L9151" t="s" s="12">
        <v>14</v>
      </c>
      <c r="M9151" t="s" s="10">
        <v>14</v>
      </c>
      <c r="N9151" t="s" s="11">
        <v>14</v>
      </c>
      <c r="O9151" t="s" s="8">
        <v>14</v>
      </c>
      <c r="P9151" t="s" s="8">
        <v>14</v>
      </c>
      <c r="Q9151" t="s" s="12">
        <v>14</v>
      </c>
      <c r="R9151" t="s" s="12">
        <v>14</v>
      </c>
    </row>
    <row r="9152" s="2" customFormat="1" ht="13.5" customHeight="1">
      <c r="B9152" s="13"/>
      <c r="C9152" t="s" s="9">
        <v>16</v>
      </c>
      <c r="D9152" t="s" s="8">
        <v>3359</v>
      </c>
      <c r="E9152" t="s" s="9">
        <v>3360</v>
      </c>
      <c r="F9152" t="s" s="10">
        <v>337</v>
      </c>
      <c r="G9152" s="14"/>
      <c r="H9152" t="s" s="10">
        <v>337</v>
      </c>
      <c r="I9152" s="14"/>
      <c r="J9152" t="s" s="11">
        <v>20</v>
      </c>
      <c r="K9152" t="s" s="16">
        <f>HYPERLINK("http://csr.bu.edu/ftp/asl/asllvd/demos/verify_start_end_handshape_annotations//test_auto_move//signs_mov/2609.mov","MOV")</f>
        <v>21</v>
      </c>
      <c r="L9152" t="s" s="16">
        <f>HYPERLINK("http://csr.bu.edu/ftp/asl/asllvd/demos/verify_start_end_handshape_annotations//test_auto_move//signs_mov_separ_signers/Liz_2609.mov","MOV")</f>
        <v>21</v>
      </c>
      <c r="M9152" t="s" s="10">
        <v>59</v>
      </c>
      <c r="N9152" s="17">
        <v>15</v>
      </c>
      <c r="O9152" s="18">
        <v>2440</v>
      </c>
      <c r="P9152" s="18">
        <v>2486</v>
      </c>
      <c r="Q9152" t="s" s="16">
        <f>HYPERLINK("http://secrets.rutgers.edu:8080/data/asl-ftp/asllvd/demos/verify_start_end_handshape_annotations//test_auto_move//signs_mov/2609.mov","MOV")</f>
        <v>21</v>
      </c>
      <c r="R9152" t="s" s="16">
        <f>HYPERLINK("http://secrets.rutgers.edu:8080/data/asl-ftp/asllvd/demos/verify_start_end_handshape_annotations//test_auto_move//signs_mov_separ_signers/Liz_2609.mov","MOV")</f>
        <v>21</v>
      </c>
    </row>
    <row r="9153" s="2" customFormat="1" ht="13.5" customHeight="1">
      <c r="B9153" s="13"/>
      <c r="C9153" t="s" s="9">
        <v>30</v>
      </c>
      <c r="D9153" t="s" s="8">
        <v>3359</v>
      </c>
      <c r="E9153" t="s" s="9">
        <v>3360</v>
      </c>
      <c r="F9153" t="s" s="10">
        <v>337</v>
      </c>
      <c r="G9153" s="14"/>
      <c r="H9153" t="s" s="10">
        <v>337</v>
      </c>
      <c r="I9153" s="14"/>
      <c r="J9153" t="s" s="11">
        <v>20</v>
      </c>
      <c r="K9153" s="15"/>
      <c r="L9153" t="s" s="16">
        <f>HYPERLINK("http://csr.bu.edu/ftp/asl/asllvd/demos/verify_start_end_handshape_annotations//test_auto_move//signs_mov_separ_signers/Brady_2609.mov","MOV")</f>
        <v>21</v>
      </c>
      <c r="M9153" t="s" s="10">
        <v>40</v>
      </c>
      <c r="N9153" s="17">
        <v>117</v>
      </c>
      <c r="O9153" s="18">
        <v>672</v>
      </c>
      <c r="P9153" s="18">
        <v>725</v>
      </c>
      <c r="Q9153" s="15"/>
      <c r="R9153" t="s" s="16">
        <f>HYPERLINK("http://secrets.rutgers.edu:8080/data/asl-ftp/asllvd/demos/verify_start_end_handshape_annotations//test_auto_move//signs_mov_separ_signers/Brady_2609.mov","MOV")</f>
        <v>21</v>
      </c>
    </row>
    <row r="9154" s="2" customFormat="1" ht="13.5" customHeight="1">
      <c r="B9154" t="s" s="8">
        <v>3361</v>
      </c>
      <c r="C9154" t="s" s="9">
        <v>14</v>
      </c>
      <c r="D9154" t="s" s="8">
        <v>14</v>
      </c>
      <c r="E9154" t="s" s="9">
        <v>14</v>
      </c>
      <c r="F9154" t="s" s="10">
        <v>14</v>
      </c>
      <c r="G9154" t="s" s="11">
        <v>14</v>
      </c>
      <c r="H9154" t="s" s="10">
        <v>14</v>
      </c>
      <c r="I9154" t="s" s="11">
        <v>14</v>
      </c>
      <c r="J9154" t="s" s="11">
        <v>14</v>
      </c>
      <c r="K9154" t="s" s="12">
        <v>14</v>
      </c>
      <c r="L9154" t="s" s="12">
        <v>14</v>
      </c>
      <c r="M9154" t="s" s="10">
        <v>14</v>
      </c>
      <c r="N9154" t="s" s="11">
        <v>14</v>
      </c>
      <c r="O9154" t="s" s="8">
        <v>14</v>
      </c>
      <c r="P9154" t="s" s="8">
        <v>14</v>
      </c>
      <c r="Q9154" t="s" s="12">
        <v>14</v>
      </c>
      <c r="R9154" t="s" s="12">
        <v>14</v>
      </c>
    </row>
    <row r="9155" s="2" customFormat="1" ht="13.5" customHeight="1">
      <c r="B9155" s="13"/>
      <c r="C9155" t="s" s="9">
        <v>16</v>
      </c>
      <c r="D9155" t="s" s="8">
        <v>3361</v>
      </c>
      <c r="E9155" t="s" s="9">
        <v>3361</v>
      </c>
      <c r="F9155" t="s" s="10">
        <v>73</v>
      </c>
      <c r="G9155" s="17">
        <v>5</v>
      </c>
      <c r="H9155" t="s" s="10">
        <v>73</v>
      </c>
      <c r="I9155" s="17">
        <v>5</v>
      </c>
      <c r="J9155" t="s" s="11">
        <v>20</v>
      </c>
      <c r="K9155" t="s" s="16">
        <f>HYPERLINK("http://csr.bu.edu/ftp/asl/asllvd/demos/verify_start_end_handshape_annotations//test_auto_move//signs_mov/2611.mov","MOV")</f>
        <v>21</v>
      </c>
      <c r="L9155" t="s" s="16">
        <f>HYPERLINK("http://csr.bu.edu/ftp/asl/asllvd/demos/verify_start_end_handshape_annotations//test_auto_move//signs_mov_separ_signers/Liz_2611.mov","MOV")</f>
        <v>21</v>
      </c>
      <c r="M9155" t="s" s="10">
        <v>59</v>
      </c>
      <c r="N9155" s="17">
        <v>16</v>
      </c>
      <c r="O9155" s="18">
        <v>855</v>
      </c>
      <c r="P9155" s="18">
        <v>885</v>
      </c>
      <c r="Q9155" t="s" s="16">
        <f>HYPERLINK("http://secrets.rutgers.edu:8080/data/asl-ftp/asllvd/demos/verify_start_end_handshape_annotations//test_auto_move//signs_mov/2611.mov","MOV")</f>
        <v>21</v>
      </c>
      <c r="R9155" t="s" s="16">
        <f>HYPERLINK("http://secrets.rutgers.edu:8080/data/asl-ftp/asllvd/demos/verify_start_end_handshape_annotations//test_auto_move//signs_mov_separ_signers/Liz_2611.mov","MOV")</f>
        <v>21</v>
      </c>
    </row>
    <row r="9156" s="2" customFormat="1" ht="13.5" customHeight="1">
      <c r="B9156" s="13"/>
      <c r="C9156" t="s" s="9">
        <v>30</v>
      </c>
      <c r="D9156" t="s" s="8">
        <v>3361</v>
      </c>
      <c r="E9156" t="s" s="9">
        <v>3361</v>
      </c>
      <c r="F9156" t="s" s="10">
        <v>73</v>
      </c>
      <c r="G9156" t="s" s="11">
        <v>1405</v>
      </c>
      <c r="H9156" t="s" s="10">
        <v>73</v>
      </c>
      <c r="I9156" t="s" s="11">
        <v>1405</v>
      </c>
      <c r="J9156" t="s" s="11">
        <v>20</v>
      </c>
      <c r="K9156" s="15"/>
      <c r="L9156" t="s" s="16">
        <f>HYPERLINK("http://csr.bu.edu/ftp/asl/asllvd/demos/verify_start_end_handshape_annotations//test_auto_move//signs_mov_separ_signers/Brady_2611.mov","MOV")</f>
        <v>21</v>
      </c>
      <c r="M9156" t="s" s="10">
        <v>40</v>
      </c>
      <c r="N9156" s="17">
        <v>117</v>
      </c>
      <c r="O9156" s="18">
        <v>1114</v>
      </c>
      <c r="P9156" s="18">
        <v>1148</v>
      </c>
      <c r="Q9156" s="15"/>
      <c r="R9156" t="s" s="16">
        <f>HYPERLINK("http://secrets.rutgers.edu:8080/data/asl-ftp/asllvd/demos/verify_start_end_handshape_annotations//test_auto_move//signs_mov_separ_signers/Brady_2611.mov","MOV")</f>
        <v>21</v>
      </c>
    </row>
    <row r="9157" s="2" customFormat="1" ht="13.5" customHeight="1">
      <c r="B9157" t="s" s="8">
        <v>3362</v>
      </c>
      <c r="C9157" t="s" s="9">
        <v>14</v>
      </c>
      <c r="D9157" t="s" s="8">
        <v>14</v>
      </c>
      <c r="E9157" t="s" s="9">
        <v>14</v>
      </c>
      <c r="F9157" t="s" s="10">
        <v>14</v>
      </c>
      <c r="G9157" t="s" s="11">
        <v>14</v>
      </c>
      <c r="H9157" t="s" s="10">
        <v>14</v>
      </c>
      <c r="I9157" t="s" s="11">
        <v>14</v>
      </c>
      <c r="J9157" t="s" s="11">
        <v>14</v>
      </c>
      <c r="K9157" t="s" s="12">
        <v>14</v>
      </c>
      <c r="L9157" t="s" s="12">
        <v>14</v>
      </c>
      <c r="M9157" t="s" s="10">
        <v>14</v>
      </c>
      <c r="N9157" t="s" s="11">
        <v>14</v>
      </c>
      <c r="O9157" t="s" s="8">
        <v>14</v>
      </c>
      <c r="P9157" t="s" s="8">
        <v>14</v>
      </c>
      <c r="Q9157" t="s" s="12">
        <v>14</v>
      </c>
      <c r="R9157" t="s" s="12">
        <v>14</v>
      </c>
    </row>
    <row r="9158" s="2" customFormat="1" ht="13.5" customHeight="1">
      <c r="B9158" s="13"/>
      <c r="C9158" t="s" s="9">
        <v>16</v>
      </c>
      <c r="D9158" t="s" s="8">
        <v>3362</v>
      </c>
      <c r="E9158" t="s" s="9">
        <v>3362</v>
      </c>
      <c r="F9158" s="19">
        <v>5</v>
      </c>
      <c r="G9158" s="17">
        <v>5</v>
      </c>
      <c r="H9158" t="s" s="10">
        <v>68</v>
      </c>
      <c r="I9158" t="s" s="11">
        <v>68</v>
      </c>
      <c r="J9158" t="s" s="11">
        <v>20</v>
      </c>
      <c r="K9158" t="s" s="16">
        <f>HYPERLINK("http://csr.bu.edu/ftp/asl/asllvd/demos/verify_start_end_handshape_annotations//test_auto_move//signs_mov/2612.mov","MOV")</f>
        <v>21</v>
      </c>
      <c r="L9158" t="s" s="16">
        <f>HYPERLINK("http://csr.bu.edu/ftp/asl/asllvd/demos/verify_start_end_handshape_annotations//test_auto_move//signs_mov_separ_signers/Liz_2612.mov","MOV")</f>
        <v>21</v>
      </c>
      <c r="M9158" t="s" s="10">
        <v>59</v>
      </c>
      <c r="N9158" s="17">
        <v>16</v>
      </c>
      <c r="O9158" s="18">
        <v>1097</v>
      </c>
      <c r="P9158" s="18">
        <v>1126</v>
      </c>
      <c r="Q9158" t="s" s="16">
        <f>HYPERLINK("http://secrets.rutgers.edu:8080/data/asl-ftp/asllvd/demos/verify_start_end_handshape_annotations//test_auto_move//signs_mov/2612.mov","MOV")</f>
        <v>21</v>
      </c>
      <c r="R9158" t="s" s="16">
        <f>HYPERLINK("http://secrets.rutgers.edu:8080/data/asl-ftp/asllvd/demos/verify_start_end_handshape_annotations//test_auto_move//signs_mov_separ_signers/Liz_2612.mov","MOV")</f>
        <v>21</v>
      </c>
    </row>
    <row r="9159" s="2" customFormat="1" ht="13.5" customHeight="1">
      <c r="B9159" s="13"/>
      <c r="C9159" t="s" s="9">
        <v>30</v>
      </c>
      <c r="D9159" t="s" s="8">
        <v>3362</v>
      </c>
      <c r="E9159" t="s" s="9">
        <v>3362</v>
      </c>
      <c r="F9159" s="19">
        <v>5</v>
      </c>
      <c r="G9159" s="17">
        <v>5</v>
      </c>
      <c r="H9159" t="s" s="10">
        <v>68</v>
      </c>
      <c r="I9159" t="s" s="11">
        <v>68</v>
      </c>
      <c r="J9159" t="s" s="11">
        <v>20</v>
      </c>
      <c r="K9159" s="15"/>
      <c r="L9159" t="s" s="16">
        <f>HYPERLINK("http://csr.bu.edu/ftp/asl/asllvd/demos/verify_start_end_handshape_annotations//test_auto_move//signs_mov_separ_signers/Brady_2612.mov","MOV")</f>
        <v>21</v>
      </c>
      <c r="M9159" t="s" s="10">
        <v>40</v>
      </c>
      <c r="N9159" s="17">
        <v>117</v>
      </c>
      <c r="O9159" s="18">
        <v>3150</v>
      </c>
      <c r="P9159" s="18">
        <v>3173</v>
      </c>
      <c r="Q9159" s="15"/>
      <c r="R9159" t="s" s="16">
        <f>HYPERLINK("http://secrets.rutgers.edu:8080/data/asl-ftp/asllvd/demos/verify_start_end_handshape_annotations//test_auto_move//signs_mov_separ_signers/Brady_2612.mov","MOV")</f>
        <v>21</v>
      </c>
    </row>
    <row r="9160" s="2" customFormat="1" ht="13.5" customHeight="1">
      <c r="B9160" t="s" s="8">
        <v>3363</v>
      </c>
      <c r="C9160" t="s" s="9">
        <v>14</v>
      </c>
      <c r="D9160" t="s" s="8">
        <v>14</v>
      </c>
      <c r="E9160" t="s" s="9">
        <v>14</v>
      </c>
      <c r="F9160" t="s" s="10">
        <v>14</v>
      </c>
      <c r="G9160" t="s" s="11">
        <v>14</v>
      </c>
      <c r="H9160" t="s" s="10">
        <v>14</v>
      </c>
      <c r="I9160" t="s" s="11">
        <v>14</v>
      </c>
      <c r="J9160" t="s" s="11">
        <v>14</v>
      </c>
      <c r="K9160" t="s" s="12">
        <v>14</v>
      </c>
      <c r="L9160" t="s" s="12">
        <v>14</v>
      </c>
      <c r="M9160" t="s" s="10">
        <v>14</v>
      </c>
      <c r="N9160" t="s" s="11">
        <v>14</v>
      </c>
      <c r="O9160" t="s" s="8">
        <v>14</v>
      </c>
      <c r="P9160" t="s" s="8">
        <v>14</v>
      </c>
      <c r="Q9160" t="s" s="12">
        <v>14</v>
      </c>
      <c r="R9160" t="s" s="12">
        <v>14</v>
      </c>
    </row>
    <row r="9161" s="2" customFormat="1" ht="13.5" customHeight="1">
      <c r="B9161" s="13"/>
      <c r="C9161" t="s" s="9">
        <v>16</v>
      </c>
      <c r="D9161" t="s" s="8">
        <v>3363</v>
      </c>
      <c r="E9161" t="s" s="9">
        <v>3363</v>
      </c>
      <c r="F9161" t="s" s="10">
        <v>68</v>
      </c>
      <c r="G9161" s="14"/>
      <c r="H9161" t="s" s="10">
        <v>240</v>
      </c>
      <c r="I9161" s="14"/>
      <c r="J9161" t="s" s="11">
        <v>20</v>
      </c>
      <c r="K9161" t="s" s="16">
        <f>HYPERLINK("http://csr.bu.edu/ftp/asl/asllvd/demos/verify_start_end_handshape_annotations//test_auto_move//signs_mov/2613.mov","MOV")</f>
        <v>21</v>
      </c>
      <c r="L9161" t="s" s="16">
        <f>HYPERLINK("http://csr.bu.edu/ftp/asl/asllvd/demos/verify_start_end_handshape_annotations//test_auto_move//signs_mov_separ_signers/Liz_2613.mov","MOV")</f>
        <v>21</v>
      </c>
      <c r="M9161" t="s" s="10">
        <v>59</v>
      </c>
      <c r="N9161" s="17">
        <v>16</v>
      </c>
      <c r="O9161" s="18">
        <v>1450</v>
      </c>
      <c r="P9161" s="18">
        <v>1481</v>
      </c>
      <c r="Q9161" t="s" s="16">
        <f>HYPERLINK("http://secrets.rutgers.edu:8080/data/asl-ftp/asllvd/demos/verify_start_end_handshape_annotations//test_auto_move//signs_mov/2613.mov","MOV")</f>
        <v>21</v>
      </c>
      <c r="R9161" t="s" s="16">
        <f>HYPERLINK("http://secrets.rutgers.edu:8080/data/asl-ftp/asllvd/demos/verify_start_end_handshape_annotations//test_auto_move//signs_mov_separ_signers/Liz_2613.mov","MOV")</f>
        <v>21</v>
      </c>
    </row>
    <row r="9162" s="2" customFormat="1" ht="13.5" customHeight="1">
      <c r="B9162" s="13"/>
      <c r="C9162" t="s" s="9">
        <v>30</v>
      </c>
      <c r="D9162" t="s" s="8">
        <v>3363</v>
      </c>
      <c r="E9162" t="s" s="9">
        <v>3363</v>
      </c>
      <c r="F9162" t="s" s="10">
        <v>158</v>
      </c>
      <c r="G9162" s="14"/>
      <c r="H9162" t="s" s="10">
        <v>240</v>
      </c>
      <c r="I9162" s="14"/>
      <c r="J9162" t="s" s="11">
        <v>20</v>
      </c>
      <c r="K9162" s="15"/>
      <c r="L9162" t="s" s="16">
        <f>HYPERLINK("http://csr.bu.edu/ftp/asl/asllvd/demos/verify_start_end_handshape_annotations//test_auto_move//signs_mov_separ_signers/Brady_2613.mov","MOV")</f>
        <v>21</v>
      </c>
      <c r="M9162" t="s" s="10">
        <v>40</v>
      </c>
      <c r="N9162" s="17">
        <v>117</v>
      </c>
      <c r="O9162" s="18">
        <v>2480</v>
      </c>
      <c r="P9162" s="18">
        <v>2497</v>
      </c>
      <c r="Q9162" s="15"/>
      <c r="R9162" t="s" s="16">
        <f>HYPERLINK("http://secrets.rutgers.edu:8080/data/asl-ftp/asllvd/demos/verify_start_end_handshape_annotations//test_auto_move//signs_mov_separ_signers/Brady_2613.mov","MOV")</f>
        <v>21</v>
      </c>
    </row>
    <row r="9163" s="2" customFormat="1" ht="13.5" customHeight="1">
      <c r="B9163" t="s" s="8">
        <v>52</v>
      </c>
      <c r="C9163" t="s" s="9">
        <v>53</v>
      </c>
      <c r="D9163" t="s" s="8">
        <v>53</v>
      </c>
      <c r="E9163" t="s" s="9">
        <v>53</v>
      </c>
      <c r="F9163" t="s" s="10">
        <v>53</v>
      </c>
      <c r="G9163" t="s" s="11">
        <v>53</v>
      </c>
      <c r="H9163" t="s" s="10">
        <v>53</v>
      </c>
      <c r="I9163" t="s" s="11">
        <v>53</v>
      </c>
      <c r="J9163" t="s" s="11">
        <v>53</v>
      </c>
      <c r="K9163" t="s" s="12">
        <v>53</v>
      </c>
      <c r="L9163" t="s" s="12">
        <v>53</v>
      </c>
      <c r="M9163" t="s" s="10">
        <v>53</v>
      </c>
      <c r="N9163" t="s" s="11">
        <v>53</v>
      </c>
      <c r="O9163" t="s" s="8">
        <v>53</v>
      </c>
      <c r="P9163" t="s" s="8">
        <v>53</v>
      </c>
      <c r="Q9163" t="s" s="12">
        <v>53</v>
      </c>
      <c r="R9163" t="s" s="12">
        <v>53</v>
      </c>
    </row>
    <row r="9164" s="2" customFormat="1" ht="13.5" customHeight="1">
      <c r="B9164" s="13"/>
      <c r="C9164" t="s" s="9">
        <v>16</v>
      </c>
      <c r="D9164" t="s" s="8">
        <v>3363</v>
      </c>
      <c r="E9164" t="s" s="9">
        <v>3364</v>
      </c>
      <c r="F9164" t="s" s="10">
        <v>68</v>
      </c>
      <c r="G9164" s="14"/>
      <c r="H9164" s="19">
        <v>1</v>
      </c>
      <c r="I9164" s="14"/>
      <c r="J9164" t="s" s="11">
        <v>20</v>
      </c>
      <c r="K9164" s="15"/>
      <c r="L9164" t="s" s="16">
        <f>HYPERLINK("http://csr.bu.edu/ftp/asl/asllvd/demos/verify_start_end_handshape_annotations//test_auto_move//signs_mov_separ_signers/Liz_3482.mov","MOV")</f>
        <v>21</v>
      </c>
      <c r="M9164" t="s" s="10">
        <v>59</v>
      </c>
      <c r="N9164" s="17">
        <v>16</v>
      </c>
      <c r="O9164" s="18">
        <v>2201</v>
      </c>
      <c r="P9164" s="18">
        <v>2230</v>
      </c>
      <c r="Q9164" s="15"/>
      <c r="R9164" t="s" s="16">
        <f>HYPERLINK("http://secrets.rutgers.edu:8080/data/asl-ftp/asllvd/demos/verify_start_end_handshape_annotations//test_auto_move//signs_mov_separ_signers/Liz_3482.mov","MOV")</f>
        <v>21</v>
      </c>
    </row>
    <row r="9165" s="2" customFormat="1" ht="13.5" customHeight="1">
      <c r="B9165" s="13"/>
      <c r="C9165" t="s" s="9">
        <v>30</v>
      </c>
      <c r="D9165" t="s" s="8">
        <v>3363</v>
      </c>
      <c r="E9165" t="s" s="9">
        <v>3364</v>
      </c>
      <c r="F9165" t="s" s="10">
        <v>68</v>
      </c>
      <c r="G9165" s="14"/>
      <c r="H9165" s="19">
        <v>1</v>
      </c>
      <c r="I9165" s="14"/>
      <c r="J9165" t="s" s="11">
        <v>20</v>
      </c>
      <c r="K9165" t="s" s="16">
        <f>HYPERLINK("http://csr.bu.edu/ftp/asl/asllvd/demos/verify_start_end_handshape_annotations//test_auto_move//signs_mov/3482_3483_merged.mov","MOV")</f>
        <v>21</v>
      </c>
      <c r="L9165" t="s" s="16">
        <f>HYPERLINK("http://csr.bu.edu/ftp/asl/asllvd/demos/verify_start_end_handshape_annotations//test_auto_move//signs_mov_separ_signers/Brady_3482.mov","MOV")</f>
        <v>21</v>
      </c>
      <c r="M9165" t="s" s="10">
        <v>60</v>
      </c>
      <c r="N9165" s="17">
        <v>5</v>
      </c>
      <c r="O9165" s="18">
        <v>477</v>
      </c>
      <c r="P9165" s="18">
        <v>504</v>
      </c>
      <c r="Q9165" t="s" s="16">
        <f>HYPERLINK("http://secrets.rutgers.edu:8080/data/asl-ftp/asllvd/demos/verify_start_end_handshape_annotations//test_auto_move//signs_mov/3482_3483_merged.mov","MOV")</f>
        <v>21</v>
      </c>
      <c r="R9165" t="s" s="16">
        <f>HYPERLINK("http://secrets.rutgers.edu:8080/data/asl-ftp/asllvd/demos/verify_start_end_handshape_annotations//test_auto_move//signs_mov_separ_signers/Brady_3482.mov","MOV")</f>
        <v>21</v>
      </c>
    </row>
    <row r="9166" s="2" customFormat="1" ht="13.5" customHeight="1">
      <c r="B9166" s="13"/>
      <c r="C9166" t="s" s="9">
        <v>30</v>
      </c>
      <c r="D9166" t="s" s="8">
        <v>3363</v>
      </c>
      <c r="E9166" t="s" s="9">
        <v>3364</v>
      </c>
      <c r="F9166" t="s" s="10">
        <v>70</v>
      </c>
      <c r="G9166" s="14"/>
      <c r="H9166" s="19">
        <v>1</v>
      </c>
      <c r="I9166" s="14"/>
      <c r="J9166" t="s" s="11">
        <v>20</v>
      </c>
      <c r="K9166" s="15"/>
      <c r="L9166" t="s" s="16">
        <f>HYPERLINK("http://csr.bu.edu/ftp/asl/asllvd/demos/verify_start_end_handshape_annotations//test_auto_move//signs_mov_separ_signers/Brady_3483.mov","MOV")</f>
        <v>21</v>
      </c>
      <c r="M9166" t="s" s="10">
        <v>60</v>
      </c>
      <c r="N9166" s="17">
        <v>55</v>
      </c>
      <c r="O9166" s="18">
        <v>3333</v>
      </c>
      <c r="P9166" s="18">
        <v>3354</v>
      </c>
      <c r="Q9166" s="15"/>
      <c r="R9166" t="s" s="16">
        <f>HYPERLINK("http://secrets.rutgers.edu:8080/data/asl-ftp/asllvd/demos/verify_start_end_handshape_annotations//test_auto_move//signs_mov_separ_signers/Brady_3483.mov","MOV")</f>
        <v>21</v>
      </c>
    </row>
    <row r="9167" s="2" customFormat="1" ht="13.5" customHeight="1">
      <c r="B9167" t="s" s="8">
        <v>52</v>
      </c>
      <c r="C9167" t="s" s="9">
        <v>53</v>
      </c>
      <c r="D9167" t="s" s="8">
        <v>53</v>
      </c>
      <c r="E9167" t="s" s="9">
        <v>53</v>
      </c>
      <c r="F9167" t="s" s="10">
        <v>53</v>
      </c>
      <c r="G9167" t="s" s="11">
        <v>53</v>
      </c>
      <c r="H9167" t="s" s="10">
        <v>53</v>
      </c>
      <c r="I9167" t="s" s="11">
        <v>53</v>
      </c>
      <c r="J9167" t="s" s="11">
        <v>53</v>
      </c>
      <c r="K9167" t="s" s="12">
        <v>53</v>
      </c>
      <c r="L9167" t="s" s="12">
        <v>53</v>
      </c>
      <c r="M9167" t="s" s="10">
        <v>53</v>
      </c>
      <c r="N9167" t="s" s="11">
        <v>53</v>
      </c>
      <c r="O9167" t="s" s="8">
        <v>53</v>
      </c>
      <c r="P9167" t="s" s="8">
        <v>53</v>
      </c>
      <c r="Q9167" t="s" s="12">
        <v>53</v>
      </c>
      <c r="R9167" t="s" s="12">
        <v>53</v>
      </c>
    </row>
    <row r="9168" s="2" customFormat="1" ht="13.5" customHeight="1">
      <c r="B9168" s="13"/>
      <c r="C9168" t="s" s="9">
        <v>16</v>
      </c>
      <c r="D9168" t="s" s="8">
        <v>3363</v>
      </c>
      <c r="E9168" t="s" s="9">
        <v>3365</v>
      </c>
      <c r="F9168" t="s" s="10">
        <v>68</v>
      </c>
      <c r="G9168" s="14"/>
      <c r="H9168" s="19">
        <v>5</v>
      </c>
      <c r="I9168" s="14"/>
      <c r="J9168" t="s" s="11">
        <v>20</v>
      </c>
      <c r="K9168" t="s" s="16">
        <f>HYPERLINK("http://csr.bu.edu/ftp/asl/asllvd/demos/verify_start_end_handshape_annotations//test_auto_move//signs_mov/5865.mov","MOV")</f>
        <v>21</v>
      </c>
      <c r="L9168" t="s" s="16">
        <f>HYPERLINK("http://csr.bu.edu/ftp/asl/asllvd/demos/verify_start_end_handshape_annotations//test_auto_move//signs_mov_separ_signers/Liz_5865.mov","MOV")</f>
        <v>21</v>
      </c>
      <c r="M9168" t="s" s="10">
        <v>59</v>
      </c>
      <c r="N9168" s="17">
        <v>16</v>
      </c>
      <c r="O9168" s="18">
        <v>2450</v>
      </c>
      <c r="P9168" s="18">
        <v>2480</v>
      </c>
      <c r="Q9168" t="s" s="16">
        <f>HYPERLINK("http://secrets.rutgers.edu:8080/data/asl-ftp/asllvd/demos/verify_start_end_handshape_annotations//test_auto_move//signs_mov/5865.mov","MOV")</f>
        <v>21</v>
      </c>
      <c r="R9168" t="s" s="16">
        <f>HYPERLINK("http://secrets.rutgers.edu:8080/data/asl-ftp/asllvd/demos/verify_start_end_handshape_annotations//test_auto_move//signs_mov_separ_signers/Liz_5865.mov","MOV")</f>
        <v>21</v>
      </c>
    </row>
    <row r="9169" s="2" customFormat="1" ht="13.5" customHeight="1">
      <c r="B9169" s="13"/>
      <c r="C9169" t="s" s="9">
        <v>30</v>
      </c>
      <c r="D9169" t="s" s="8">
        <v>3363</v>
      </c>
      <c r="E9169" t="s" s="9">
        <v>3365</v>
      </c>
      <c r="F9169" t="s" s="10">
        <v>68</v>
      </c>
      <c r="G9169" s="14"/>
      <c r="H9169" s="19">
        <v>5</v>
      </c>
      <c r="I9169" s="14"/>
      <c r="J9169" t="s" s="11">
        <v>20</v>
      </c>
      <c r="K9169" s="15"/>
      <c r="L9169" t="s" s="16">
        <f>HYPERLINK("http://csr.bu.edu/ftp/asl/asllvd/demos/verify_start_end_handshape_annotations//test_auto_move//signs_mov_separ_signers/Brady_5865.mov","MOV")</f>
        <v>21</v>
      </c>
      <c r="M9169" t="s" s="10">
        <v>60</v>
      </c>
      <c r="N9169" s="17">
        <v>55</v>
      </c>
      <c r="O9169" s="18">
        <v>3557</v>
      </c>
      <c r="P9169" s="18">
        <v>3576</v>
      </c>
      <c r="Q9169" s="15"/>
      <c r="R9169" t="s" s="16">
        <f>HYPERLINK("http://secrets.rutgers.edu:8080/data/asl-ftp/asllvd/demos/verify_start_end_handshape_annotations//test_auto_move//signs_mov_separ_signers/Brady_5865.mov","MOV")</f>
        <v>21</v>
      </c>
    </row>
    <row r="9170" s="2" customFormat="1" ht="13.5" customHeight="1">
      <c r="B9170" t="s" s="8">
        <v>3366</v>
      </c>
      <c r="C9170" t="s" s="9">
        <v>14</v>
      </c>
      <c r="D9170" t="s" s="8">
        <v>14</v>
      </c>
      <c r="E9170" t="s" s="9">
        <v>14</v>
      </c>
      <c r="F9170" t="s" s="10">
        <v>14</v>
      </c>
      <c r="G9170" t="s" s="11">
        <v>14</v>
      </c>
      <c r="H9170" t="s" s="10">
        <v>14</v>
      </c>
      <c r="I9170" t="s" s="11">
        <v>14</v>
      </c>
      <c r="J9170" t="s" s="11">
        <v>14</v>
      </c>
      <c r="K9170" t="s" s="12">
        <v>14</v>
      </c>
      <c r="L9170" t="s" s="12">
        <v>14</v>
      </c>
      <c r="M9170" t="s" s="10">
        <v>14</v>
      </c>
      <c r="N9170" t="s" s="11">
        <v>14</v>
      </c>
      <c r="O9170" t="s" s="8">
        <v>14</v>
      </c>
      <c r="P9170" t="s" s="8">
        <v>14</v>
      </c>
      <c r="Q9170" t="s" s="12">
        <v>14</v>
      </c>
      <c r="R9170" t="s" s="12">
        <v>14</v>
      </c>
    </row>
    <row r="9171" s="2" customFormat="1" ht="13.5" customHeight="1">
      <c r="B9171" s="13"/>
      <c r="C9171" t="s" s="9">
        <v>16</v>
      </c>
      <c r="D9171" t="s" s="8">
        <v>3366</v>
      </c>
      <c r="E9171" t="s" s="9">
        <v>3366</v>
      </c>
      <c r="F9171" t="s" s="10">
        <v>72</v>
      </c>
      <c r="G9171" t="s" s="11">
        <v>73</v>
      </c>
      <c r="H9171" t="s" s="10">
        <v>148</v>
      </c>
      <c r="I9171" t="s" s="11">
        <v>148</v>
      </c>
      <c r="J9171" t="s" s="11">
        <v>20</v>
      </c>
      <c r="K9171" t="s" s="16">
        <f>HYPERLINK("http://csr.bu.edu/ftp/asl/asllvd/demos/verify_start_end_handshape_annotations//test_auto_move//signs_mov/2615.mov","MOV")</f>
        <v>21</v>
      </c>
      <c r="L9171" t="s" s="16">
        <f>HYPERLINK("http://csr.bu.edu/ftp/asl/asllvd/demos/verify_start_end_handshape_annotations//test_auto_move//signs_mov_separ_signers/Liz_2615.mov","MOV")</f>
        <v>21</v>
      </c>
      <c r="M9171" t="s" s="10">
        <v>59</v>
      </c>
      <c r="N9171" s="17">
        <v>16</v>
      </c>
      <c r="O9171" s="18">
        <v>1955</v>
      </c>
      <c r="P9171" s="18">
        <v>2005</v>
      </c>
      <c r="Q9171" t="s" s="16">
        <f>HYPERLINK("http://secrets.rutgers.edu:8080/data/asl-ftp/asllvd/demos/verify_start_end_handshape_annotations//test_auto_move//signs_mov/2615.mov","MOV")</f>
        <v>21</v>
      </c>
      <c r="R9171" t="s" s="16">
        <f>HYPERLINK("http://secrets.rutgers.edu:8080/data/asl-ftp/asllvd/demos/verify_start_end_handshape_annotations//test_auto_move//signs_mov_separ_signers/Liz_2615.mov","MOV")</f>
        <v>21</v>
      </c>
    </row>
    <row r="9172" s="2" customFormat="1" ht="13.5" customHeight="1">
      <c r="B9172" t="s" s="8">
        <v>3367</v>
      </c>
      <c r="C9172" t="s" s="9">
        <v>14</v>
      </c>
      <c r="D9172" t="s" s="8">
        <v>14</v>
      </c>
      <c r="E9172" t="s" s="9">
        <v>14</v>
      </c>
      <c r="F9172" t="s" s="10">
        <v>14</v>
      </c>
      <c r="G9172" t="s" s="11">
        <v>14</v>
      </c>
      <c r="H9172" t="s" s="10">
        <v>14</v>
      </c>
      <c r="I9172" t="s" s="11">
        <v>14</v>
      </c>
      <c r="J9172" t="s" s="11">
        <v>14</v>
      </c>
      <c r="K9172" t="s" s="12">
        <v>14</v>
      </c>
      <c r="L9172" t="s" s="12">
        <v>14</v>
      </c>
      <c r="M9172" t="s" s="10">
        <v>14</v>
      </c>
      <c r="N9172" t="s" s="11">
        <v>14</v>
      </c>
      <c r="O9172" t="s" s="8">
        <v>14</v>
      </c>
      <c r="P9172" t="s" s="8">
        <v>14</v>
      </c>
      <c r="Q9172" t="s" s="12">
        <v>14</v>
      </c>
      <c r="R9172" t="s" s="12">
        <v>14</v>
      </c>
    </row>
    <row r="9173" s="2" customFormat="1" ht="13.5" customHeight="1">
      <c r="B9173" s="13"/>
      <c r="C9173" t="s" s="9">
        <v>16</v>
      </c>
      <c r="D9173" t="s" s="8">
        <v>3367</v>
      </c>
      <c r="E9173" t="s" s="9">
        <v>3367</v>
      </c>
      <c r="F9173" t="s" s="10">
        <v>373</v>
      </c>
      <c r="G9173" s="14"/>
      <c r="H9173" t="s" s="10">
        <v>373</v>
      </c>
      <c r="I9173" s="14"/>
      <c r="J9173" t="s" s="11">
        <v>20</v>
      </c>
      <c r="K9173" t="s" s="16">
        <f>HYPERLINK("http://csr.bu.edu/ftp/asl/asllvd/demos/verify_start_end_handshape_annotations//test_auto_move//signs_mov/2618.mov","MOV")</f>
        <v>21</v>
      </c>
      <c r="L9173" t="s" s="16">
        <f>HYPERLINK("http://csr.bu.edu/ftp/asl/asllvd/demos/verify_start_end_handshape_annotations//test_auto_move//signs_mov_separ_signers/Liz_2618.mov","MOV")</f>
        <v>21</v>
      </c>
      <c r="M9173" t="s" s="10">
        <v>59</v>
      </c>
      <c r="N9173" s="17">
        <v>16</v>
      </c>
      <c r="O9173" s="18">
        <v>2690</v>
      </c>
      <c r="P9173" s="18">
        <v>2740</v>
      </c>
      <c r="Q9173" t="s" s="16">
        <f>HYPERLINK("http://secrets.rutgers.edu:8080/data/asl-ftp/asllvd/demos/verify_start_end_handshape_annotations//test_auto_move//signs_mov/2618.mov","MOV")</f>
        <v>21</v>
      </c>
      <c r="R9173" t="s" s="16">
        <f>HYPERLINK("http://secrets.rutgers.edu:8080/data/asl-ftp/asllvd/demos/verify_start_end_handshape_annotations//test_auto_move//signs_mov_separ_signers/Liz_2618.mov","MOV")</f>
        <v>21</v>
      </c>
    </row>
    <row r="9174" s="2" customFormat="1" ht="13.5" customHeight="1">
      <c r="B9174" t="s" s="8">
        <v>3368</v>
      </c>
      <c r="C9174" t="s" s="9">
        <v>14</v>
      </c>
      <c r="D9174" t="s" s="8">
        <v>14</v>
      </c>
      <c r="E9174" t="s" s="9">
        <v>14</v>
      </c>
      <c r="F9174" t="s" s="10">
        <v>14</v>
      </c>
      <c r="G9174" t="s" s="11">
        <v>14</v>
      </c>
      <c r="H9174" t="s" s="10">
        <v>14</v>
      </c>
      <c r="I9174" t="s" s="11">
        <v>14</v>
      </c>
      <c r="J9174" t="s" s="11">
        <v>14</v>
      </c>
      <c r="K9174" t="s" s="12">
        <v>14</v>
      </c>
      <c r="L9174" t="s" s="12">
        <v>14</v>
      </c>
      <c r="M9174" t="s" s="10">
        <v>14</v>
      </c>
      <c r="N9174" t="s" s="11">
        <v>14</v>
      </c>
      <c r="O9174" t="s" s="8">
        <v>14</v>
      </c>
      <c r="P9174" t="s" s="8">
        <v>14</v>
      </c>
      <c r="Q9174" t="s" s="12">
        <v>14</v>
      </c>
      <c r="R9174" t="s" s="12">
        <v>14</v>
      </c>
    </row>
    <row r="9175" s="2" customFormat="1" ht="13.5" customHeight="1">
      <c r="B9175" s="13"/>
      <c r="C9175" t="s" s="9">
        <v>16</v>
      </c>
      <c r="D9175" t="s" s="8">
        <v>3368</v>
      </c>
      <c r="E9175" t="s" s="9">
        <v>3368</v>
      </c>
      <c r="F9175" s="19">
        <v>1</v>
      </c>
      <c r="G9175" s="17">
        <v>10</v>
      </c>
      <c r="H9175" s="19">
        <v>1</v>
      </c>
      <c r="I9175" s="17">
        <v>10</v>
      </c>
      <c r="J9175" t="s" s="11">
        <v>20</v>
      </c>
      <c r="K9175" t="s" s="16">
        <f>HYPERLINK("http://csr.bu.edu/ftp/asl/asllvd/demos/verify_start_end_handshape_annotations//test_auto_move//signs_mov/2620.mov","MOV")</f>
        <v>21</v>
      </c>
      <c r="L9175" t="s" s="16">
        <f>HYPERLINK("http://csr.bu.edu/ftp/asl/asllvd/demos/verify_start_end_handshape_annotations//test_auto_move//signs_mov_separ_signers/Liz_2620.mov","MOV")</f>
        <v>21</v>
      </c>
      <c r="M9175" t="s" s="10">
        <v>59</v>
      </c>
      <c r="N9175" s="17">
        <v>17</v>
      </c>
      <c r="O9175" s="18">
        <v>336</v>
      </c>
      <c r="P9175" s="18">
        <v>375</v>
      </c>
      <c r="Q9175" t="s" s="16">
        <f>HYPERLINK("http://secrets.rutgers.edu:8080/data/asl-ftp/asllvd/demos/verify_start_end_handshape_annotations//test_auto_move//signs_mov/2620.mov","MOV")</f>
        <v>21</v>
      </c>
      <c r="R9175" t="s" s="16">
        <f>HYPERLINK("http://secrets.rutgers.edu:8080/data/asl-ftp/asllvd/demos/verify_start_end_handshape_annotations//test_auto_move//signs_mov_separ_signers/Liz_2620.mov","MOV")</f>
        <v>21</v>
      </c>
    </row>
    <row r="9176" s="2" customFormat="1" ht="13.5" customHeight="1">
      <c r="B9176" t="s" s="8">
        <v>3369</v>
      </c>
      <c r="C9176" t="s" s="9">
        <v>14</v>
      </c>
      <c r="D9176" t="s" s="8">
        <v>14</v>
      </c>
      <c r="E9176" t="s" s="9">
        <v>14</v>
      </c>
      <c r="F9176" t="s" s="10">
        <v>14</v>
      </c>
      <c r="G9176" t="s" s="11">
        <v>14</v>
      </c>
      <c r="H9176" t="s" s="10">
        <v>14</v>
      </c>
      <c r="I9176" t="s" s="11">
        <v>14</v>
      </c>
      <c r="J9176" t="s" s="11">
        <v>14</v>
      </c>
      <c r="K9176" t="s" s="12">
        <v>14</v>
      </c>
      <c r="L9176" t="s" s="12">
        <v>14</v>
      </c>
      <c r="M9176" t="s" s="10">
        <v>14</v>
      </c>
      <c r="N9176" t="s" s="11">
        <v>14</v>
      </c>
      <c r="O9176" t="s" s="8">
        <v>14</v>
      </c>
      <c r="P9176" t="s" s="8">
        <v>14</v>
      </c>
      <c r="Q9176" t="s" s="12">
        <v>14</v>
      </c>
      <c r="R9176" t="s" s="12">
        <v>14</v>
      </c>
    </row>
    <row r="9177" s="2" customFormat="1" ht="13.5" customHeight="1">
      <c r="B9177" s="13"/>
      <c r="C9177" t="s" s="9">
        <v>16</v>
      </c>
      <c r="D9177" t="s" s="8">
        <v>3369</v>
      </c>
      <c r="E9177" t="s" s="9">
        <v>3370</v>
      </c>
      <c r="F9177" s="19">
        <v>10</v>
      </c>
      <c r="G9177" s="14"/>
      <c r="H9177" s="19">
        <v>10</v>
      </c>
      <c r="I9177" s="14"/>
      <c r="J9177" t="s" s="11">
        <v>20</v>
      </c>
      <c r="K9177" t="s" s="16">
        <f>HYPERLINK("http://csr.bu.edu/ftp/asl/asllvd/demos/verify_start_end_handshape_annotations//test_auto_move//signs_mov/2622.mov","MOV")</f>
        <v>21</v>
      </c>
      <c r="L9177" t="s" s="16">
        <f>HYPERLINK("http://csr.bu.edu/ftp/asl/asllvd/demos/verify_start_end_handshape_annotations//test_auto_move//signs_mov_separ_signers/Liz_2622.mov","MOV")</f>
        <v>21</v>
      </c>
      <c r="M9177" t="s" s="10">
        <v>59</v>
      </c>
      <c r="N9177" s="17">
        <v>17</v>
      </c>
      <c r="O9177" s="18">
        <v>1996</v>
      </c>
      <c r="P9177" s="18">
        <v>2035</v>
      </c>
      <c r="Q9177" t="s" s="16">
        <f>HYPERLINK("http://secrets.rutgers.edu:8080/data/asl-ftp/asllvd/demos/verify_start_end_handshape_annotations//test_auto_move//signs_mov/2622.mov","MOV")</f>
        <v>21</v>
      </c>
      <c r="R9177" t="s" s="16">
        <f>HYPERLINK("http://secrets.rutgers.edu:8080/data/asl-ftp/asllvd/demos/verify_start_end_handshape_annotations//test_auto_move//signs_mov_separ_signers/Liz_2622.mov","MOV")</f>
        <v>21</v>
      </c>
    </row>
    <row r="9178" s="2" customFormat="1" ht="13.5" customHeight="1">
      <c r="B9178" t="s" s="8">
        <v>3371</v>
      </c>
      <c r="C9178" t="s" s="9">
        <v>14</v>
      </c>
      <c r="D9178" t="s" s="8">
        <v>14</v>
      </c>
      <c r="E9178" t="s" s="9">
        <v>14</v>
      </c>
      <c r="F9178" t="s" s="10">
        <v>14</v>
      </c>
      <c r="G9178" t="s" s="11">
        <v>14</v>
      </c>
      <c r="H9178" t="s" s="10">
        <v>14</v>
      </c>
      <c r="I9178" t="s" s="11">
        <v>14</v>
      </c>
      <c r="J9178" t="s" s="11">
        <v>14</v>
      </c>
      <c r="K9178" t="s" s="12">
        <v>14</v>
      </c>
      <c r="L9178" t="s" s="12">
        <v>14</v>
      </c>
      <c r="M9178" t="s" s="10">
        <v>14</v>
      </c>
      <c r="N9178" t="s" s="11">
        <v>14</v>
      </c>
      <c r="O9178" t="s" s="8">
        <v>14</v>
      </c>
      <c r="P9178" t="s" s="8">
        <v>14</v>
      </c>
      <c r="Q9178" t="s" s="12">
        <v>14</v>
      </c>
      <c r="R9178" t="s" s="12">
        <v>14</v>
      </c>
    </row>
    <row r="9179" s="2" customFormat="1" ht="13.5" customHeight="1">
      <c r="B9179" s="13"/>
      <c r="C9179" t="s" s="9">
        <v>16</v>
      </c>
      <c r="D9179" t="s" s="8">
        <v>3371</v>
      </c>
      <c r="E9179" t="s" s="9">
        <v>3371</v>
      </c>
      <c r="F9179" t="s" s="10">
        <v>386</v>
      </c>
      <c r="G9179" s="14"/>
      <c r="H9179" t="s" s="10">
        <v>240</v>
      </c>
      <c r="I9179" s="14"/>
      <c r="J9179" t="s" s="11">
        <v>20</v>
      </c>
      <c r="K9179" s="15"/>
      <c r="L9179" t="s" s="16">
        <f>HYPERLINK("http://csr.bu.edu/ftp/asl/asllvd/demos/verify_start_end_handshape_annotations//test_auto_move//signs_mov_separ_signers/Liz_2625.mov","MOV")</f>
        <v>21</v>
      </c>
      <c r="M9179" t="s" s="10">
        <v>59</v>
      </c>
      <c r="N9179" s="17">
        <v>17</v>
      </c>
      <c r="O9179" s="18">
        <v>2741</v>
      </c>
      <c r="P9179" s="18">
        <v>2776</v>
      </c>
      <c r="Q9179" s="15"/>
      <c r="R9179" t="s" s="16">
        <f>HYPERLINK("http://secrets.rutgers.edu:8080/data/asl-ftp/asllvd/demos/verify_start_end_handshape_annotations//test_auto_move//signs_mov_separ_signers/Liz_2625.mov","MOV")</f>
        <v>21</v>
      </c>
    </row>
    <row r="9180" s="2" customFormat="1" ht="13.5" customHeight="1">
      <c r="B9180" s="13"/>
      <c r="C9180" t="s" s="9">
        <v>16</v>
      </c>
      <c r="D9180" t="s" s="8">
        <v>3371</v>
      </c>
      <c r="E9180" t="s" s="9">
        <v>3371</v>
      </c>
      <c r="F9180" t="s" s="10">
        <v>386</v>
      </c>
      <c r="G9180" s="14"/>
      <c r="H9180" t="s" s="10">
        <v>240</v>
      </c>
      <c r="I9180" s="14"/>
      <c r="J9180" t="s" s="11">
        <v>20</v>
      </c>
      <c r="K9180" t="s" s="16">
        <f>HYPERLINK("http://csr.bu.edu/ftp/asl/asllvd/demos/verify_start_end_handshape_annotations//test_auto_move//signs_mov/2625_3374_merged.mov","MOV")</f>
        <v>21</v>
      </c>
      <c r="L9180" t="s" s="16">
        <f>HYPERLINK("http://csr.bu.edu/ftp/asl/asllvd/demos/verify_start_end_handshape_annotations//test_auto_move//signs_mov_separ_signers/Liz_3374.mov","MOV")</f>
        <v>21</v>
      </c>
      <c r="M9180" t="s" s="10">
        <v>59</v>
      </c>
      <c r="N9180" s="17">
        <v>17</v>
      </c>
      <c r="O9180" s="18">
        <v>3400</v>
      </c>
      <c r="P9180" s="18">
        <v>3436</v>
      </c>
      <c r="Q9180" t="s" s="16">
        <f>HYPERLINK("http://secrets.rutgers.edu:8080/data/asl-ftp/asllvd/demos/verify_start_end_handshape_annotations//test_auto_move//signs_mov/2625_3374_merged.mov","MOV")</f>
        <v>21</v>
      </c>
      <c r="R9180" t="s" s="16">
        <f>HYPERLINK("http://secrets.rutgers.edu:8080/data/asl-ftp/asllvd/demos/verify_start_end_handshape_annotations//test_auto_move//signs_mov_separ_signers/Liz_3374.mov","MOV")</f>
        <v>21</v>
      </c>
    </row>
    <row r="9181" s="2" customFormat="1" ht="13.5" customHeight="1">
      <c r="B9181" s="13"/>
      <c r="C9181" t="s" s="9">
        <v>30</v>
      </c>
      <c r="D9181" t="s" s="8">
        <v>3371</v>
      </c>
      <c r="E9181" t="s" s="9">
        <v>3371</v>
      </c>
      <c r="F9181" t="s" s="10">
        <v>386</v>
      </c>
      <c r="G9181" s="14"/>
      <c r="H9181" t="s" s="10">
        <v>240</v>
      </c>
      <c r="I9181" s="14"/>
      <c r="J9181" t="s" s="11">
        <v>20</v>
      </c>
      <c r="K9181" s="15"/>
      <c r="L9181" t="s" s="16">
        <f>HYPERLINK("http://csr.bu.edu/ftp/asl/asllvd/demos/verify_start_end_handshape_annotations//test_auto_move//signs_mov_separ_signers/Brady_2625.mov","MOV")</f>
        <v>21</v>
      </c>
      <c r="M9181" t="s" s="10">
        <v>60</v>
      </c>
      <c r="N9181" s="17">
        <v>5</v>
      </c>
      <c r="O9181" s="18">
        <v>2205</v>
      </c>
      <c r="P9181" s="18">
        <v>2222</v>
      </c>
      <c r="Q9181" s="15"/>
      <c r="R9181" t="s" s="16">
        <f>HYPERLINK("http://secrets.rutgers.edu:8080/data/asl-ftp/asllvd/demos/verify_start_end_handshape_annotations//test_auto_move//signs_mov_separ_signers/Brady_2625.mov","MOV")</f>
        <v>21</v>
      </c>
    </row>
    <row r="9182" s="2" customFormat="1" ht="13.5" customHeight="1">
      <c r="B9182" s="13"/>
      <c r="C9182" t="s" s="9">
        <v>30</v>
      </c>
      <c r="D9182" t="s" s="8">
        <v>3371</v>
      </c>
      <c r="E9182" t="s" s="9">
        <v>3371</v>
      </c>
      <c r="F9182" t="s" s="10">
        <v>386</v>
      </c>
      <c r="G9182" s="14"/>
      <c r="H9182" t="s" s="10">
        <v>240</v>
      </c>
      <c r="I9182" s="14"/>
      <c r="J9182" t="s" s="11">
        <v>20</v>
      </c>
      <c r="K9182" s="15"/>
      <c r="L9182" t="s" s="16">
        <f>HYPERLINK("http://csr.bu.edu/ftp/asl/asllvd/demos/verify_start_end_handshape_annotations//test_auto_move//signs_mov_separ_signers/Brady_3374.mov","MOV")</f>
        <v>21</v>
      </c>
      <c r="M9182" t="s" s="10">
        <v>60</v>
      </c>
      <c r="N9182" s="17">
        <v>5</v>
      </c>
      <c r="O9182" s="18">
        <v>2708</v>
      </c>
      <c r="P9182" s="18">
        <v>2728</v>
      </c>
      <c r="Q9182" s="15"/>
      <c r="R9182" t="s" s="16">
        <f>HYPERLINK("http://secrets.rutgers.edu:8080/data/asl-ftp/asllvd/demos/verify_start_end_handshape_annotations//test_auto_move//signs_mov_separ_signers/Brady_3374.mov","MOV")</f>
        <v>21</v>
      </c>
    </row>
    <row r="9183" s="2" customFormat="1" ht="13.5" customHeight="1">
      <c r="B9183" t="s" s="8">
        <v>3372</v>
      </c>
      <c r="C9183" t="s" s="9">
        <v>14</v>
      </c>
      <c r="D9183" t="s" s="8">
        <v>14</v>
      </c>
      <c r="E9183" t="s" s="9">
        <v>14</v>
      </c>
      <c r="F9183" t="s" s="10">
        <v>14</v>
      </c>
      <c r="G9183" t="s" s="11">
        <v>14</v>
      </c>
      <c r="H9183" t="s" s="10">
        <v>14</v>
      </c>
      <c r="I9183" t="s" s="11">
        <v>14</v>
      </c>
      <c r="J9183" t="s" s="11">
        <v>14</v>
      </c>
      <c r="K9183" t="s" s="12">
        <v>14</v>
      </c>
      <c r="L9183" t="s" s="12">
        <v>14</v>
      </c>
      <c r="M9183" t="s" s="10">
        <v>14</v>
      </c>
      <c r="N9183" t="s" s="11">
        <v>14</v>
      </c>
      <c r="O9183" t="s" s="8">
        <v>14</v>
      </c>
      <c r="P9183" t="s" s="8">
        <v>14</v>
      </c>
      <c r="Q9183" t="s" s="12">
        <v>14</v>
      </c>
      <c r="R9183" t="s" s="12">
        <v>14</v>
      </c>
    </row>
    <row r="9184" s="2" customFormat="1" ht="13.5" customHeight="1">
      <c r="B9184" s="13"/>
      <c r="C9184" t="s" s="9">
        <v>16</v>
      </c>
      <c r="D9184" t="s" s="8">
        <v>3372</v>
      </c>
      <c r="E9184" t="s" s="9">
        <v>3372</v>
      </c>
      <c r="F9184" t="s" s="10">
        <v>386</v>
      </c>
      <c r="G9184" s="14"/>
      <c r="H9184" t="s" s="10">
        <v>240</v>
      </c>
      <c r="I9184" s="14"/>
      <c r="J9184" t="s" s="11">
        <v>20</v>
      </c>
      <c r="K9184" s="15"/>
      <c r="L9184" t="s" s="16">
        <f>HYPERLINK("http://csr.bu.edu/ftp/asl/asllvd/demos/verify_start_end_handshape_annotations//test_auto_move//signs_mov_separ_signers/Liz_5448.mov","MOV")</f>
        <v>21</v>
      </c>
      <c r="M9184" t="s" s="10">
        <v>84</v>
      </c>
      <c r="N9184" s="17">
        <v>34</v>
      </c>
      <c r="O9184" s="18">
        <v>980</v>
      </c>
      <c r="P9184" s="18">
        <v>1010</v>
      </c>
      <c r="Q9184" s="15"/>
      <c r="R9184" t="s" s="16">
        <f>HYPERLINK("http://secrets.rutgers.edu:8080/data/asl-ftp/asllvd/demos/verify_start_end_handshape_annotations//test_auto_move//signs_mov_separ_signers/Liz_5448.mov","MOV")</f>
        <v>21</v>
      </c>
    </row>
    <row r="9185" s="2" customFormat="1" ht="13.5" customHeight="1">
      <c r="B9185" s="13"/>
      <c r="C9185" t="s" s="9">
        <v>27</v>
      </c>
      <c r="D9185" t="s" s="8">
        <v>3372</v>
      </c>
      <c r="E9185" t="s" s="9">
        <v>3372</v>
      </c>
      <c r="F9185" t="s" s="10">
        <v>386</v>
      </c>
      <c r="G9185" s="14"/>
      <c r="H9185" t="s" s="10">
        <v>240</v>
      </c>
      <c r="I9185" s="14"/>
      <c r="J9185" t="s" s="11">
        <v>20</v>
      </c>
      <c r="K9185" t="s" s="16">
        <f>HYPERLINK("http://csr.bu.edu/ftp/asl/asllvd/demos/verify_start_end_handshape_annotations//test_auto_move//signs_mov/5448.mov","MOV")</f>
        <v>21</v>
      </c>
      <c r="L9185" t="s" s="16">
        <f>HYPERLINK("http://csr.bu.edu/ftp/asl/asllvd/demos/verify_start_end_handshape_annotations//test_auto_move//signs_mov_separ_signers/Naomi_5448.mov","MOV")</f>
        <v>21</v>
      </c>
      <c r="M9185" t="s" s="10">
        <v>86</v>
      </c>
      <c r="N9185" s="17">
        <v>34</v>
      </c>
      <c r="O9185" s="18">
        <v>640</v>
      </c>
      <c r="P9185" s="18">
        <v>670</v>
      </c>
      <c r="Q9185" t="s" s="16">
        <f>HYPERLINK("http://secrets.rutgers.edu:8080/data/asl-ftp/asllvd/demos/verify_start_end_handshape_annotations//test_auto_move//signs_mov/5448.mov","MOV")</f>
        <v>21</v>
      </c>
      <c r="R9185" t="s" s="16">
        <f>HYPERLINK("http://secrets.rutgers.edu:8080/data/asl-ftp/asllvd/demos/verify_start_end_handshape_annotations//test_auto_move//signs_mov_separ_signers/Naomi_5448.mov","MOV")</f>
        <v>21</v>
      </c>
    </row>
    <row r="9186" s="2" customFormat="1" ht="13.5" customHeight="1">
      <c r="B9186" s="13"/>
      <c r="C9186" t="s" s="9">
        <v>30</v>
      </c>
      <c r="D9186" t="s" s="8">
        <v>3372</v>
      </c>
      <c r="E9186" t="s" s="9">
        <v>3372</v>
      </c>
      <c r="F9186" t="s" s="10">
        <v>386</v>
      </c>
      <c r="G9186" s="14"/>
      <c r="H9186" t="s" s="10">
        <v>240</v>
      </c>
      <c r="I9186" s="14"/>
      <c r="J9186" t="s" s="11">
        <v>20</v>
      </c>
      <c r="K9186" s="15"/>
      <c r="L9186" t="s" s="16">
        <f>HYPERLINK("http://csr.bu.edu/ftp/asl/asllvd/demos/verify_start_end_handshape_annotations//test_auto_move//signs_mov_separ_signers/Brady_5448.mov","MOV")</f>
        <v>21</v>
      </c>
      <c r="M9186" t="s" s="10">
        <v>39</v>
      </c>
      <c r="N9186" s="17">
        <v>13</v>
      </c>
      <c r="O9186" s="18">
        <v>4029</v>
      </c>
      <c r="P9186" s="18">
        <v>4050</v>
      </c>
      <c r="Q9186" s="15"/>
      <c r="R9186" t="s" s="16">
        <f>HYPERLINK("http://secrets.rutgers.edu:8080/data/asl-ftp/asllvd/demos/verify_start_end_handshape_annotations//test_auto_move//signs_mov_separ_signers/Brady_5448.mov","MOV")</f>
        <v>21</v>
      </c>
    </row>
    <row r="9187" s="2" customFormat="1" ht="13.5" customHeight="1">
      <c r="B9187" t="s" s="8">
        <v>52</v>
      </c>
      <c r="C9187" t="s" s="9">
        <v>53</v>
      </c>
      <c r="D9187" t="s" s="8">
        <v>53</v>
      </c>
      <c r="E9187" t="s" s="9">
        <v>53</v>
      </c>
      <c r="F9187" t="s" s="10">
        <v>53</v>
      </c>
      <c r="G9187" t="s" s="11">
        <v>53</v>
      </c>
      <c r="H9187" t="s" s="10">
        <v>53</v>
      </c>
      <c r="I9187" t="s" s="11">
        <v>53</v>
      </c>
      <c r="J9187" t="s" s="11">
        <v>53</v>
      </c>
      <c r="K9187" t="s" s="12">
        <v>53</v>
      </c>
      <c r="L9187" t="s" s="12">
        <v>53</v>
      </c>
      <c r="M9187" t="s" s="10">
        <v>53</v>
      </c>
      <c r="N9187" t="s" s="11">
        <v>53</v>
      </c>
      <c r="O9187" t="s" s="8">
        <v>53</v>
      </c>
      <c r="P9187" t="s" s="8">
        <v>53</v>
      </c>
      <c r="Q9187" t="s" s="12">
        <v>53</v>
      </c>
      <c r="R9187" t="s" s="12">
        <v>53</v>
      </c>
    </row>
    <row r="9188" s="2" customFormat="1" ht="13.5" customHeight="1">
      <c r="B9188" s="13"/>
      <c r="C9188" t="s" s="9">
        <v>23</v>
      </c>
      <c r="D9188" t="s" s="8">
        <v>3372</v>
      </c>
      <c r="E9188" t="s" s="9">
        <v>3373</v>
      </c>
      <c r="F9188" t="s" s="10">
        <v>386</v>
      </c>
      <c r="G9188" s="14"/>
      <c r="H9188" t="s" s="10">
        <v>240</v>
      </c>
      <c r="I9188" s="14"/>
      <c r="J9188" t="s" s="11">
        <v>20</v>
      </c>
      <c r="K9188" t="s" s="16">
        <f>HYPERLINK("http://csr.bu.edu/ftp/asl/asllvd/demos/verify_start_end_handshape_annotations//test_auto_move//signs_mov/15191.mov","MOV")</f>
        <v>21</v>
      </c>
      <c r="L9188" t="s" s="16">
        <f>HYPERLINK("http://csr.bu.edu/ftp/asl/asllvd/demos/verify_start_end_handshape_annotations//test_auto_move//signs_mov_separ_signers/Tyler_15191.mov","MOV")</f>
        <v>21</v>
      </c>
      <c r="M9188" t="s" s="10">
        <v>92</v>
      </c>
      <c r="N9188" s="17">
        <v>14</v>
      </c>
      <c r="O9188" s="18">
        <v>685</v>
      </c>
      <c r="P9188" s="18">
        <v>742</v>
      </c>
      <c r="Q9188" t="s" s="16">
        <f>HYPERLINK("http://secrets.rutgers.edu:8080/data/asl-ftp/asllvd/demos/verify_start_end_handshape_annotations//test_auto_move//signs_mov/15191.mov","MOV")</f>
        <v>21</v>
      </c>
      <c r="R9188" t="s" s="16">
        <f>HYPERLINK("http://secrets.rutgers.edu:8080/data/asl-ftp/asllvd/demos/verify_start_end_handshape_annotations//test_auto_move//signs_mov_separ_signers/Tyler_15191.mov","MOV")</f>
        <v>21</v>
      </c>
    </row>
    <row r="9189" s="2" customFormat="1" ht="13.5" customHeight="1">
      <c r="B9189" t="s" s="8">
        <v>52</v>
      </c>
      <c r="C9189" t="s" s="9">
        <v>53</v>
      </c>
      <c r="D9189" t="s" s="8">
        <v>53</v>
      </c>
      <c r="E9189" t="s" s="9">
        <v>53</v>
      </c>
      <c r="F9189" t="s" s="10">
        <v>53</v>
      </c>
      <c r="G9189" t="s" s="11">
        <v>53</v>
      </c>
      <c r="H9189" t="s" s="10">
        <v>53</v>
      </c>
      <c r="I9189" t="s" s="11">
        <v>53</v>
      </c>
      <c r="J9189" t="s" s="11">
        <v>53</v>
      </c>
      <c r="K9189" t="s" s="12">
        <v>53</v>
      </c>
      <c r="L9189" t="s" s="12">
        <v>53</v>
      </c>
      <c r="M9189" t="s" s="10">
        <v>53</v>
      </c>
      <c r="N9189" t="s" s="11">
        <v>53</v>
      </c>
      <c r="O9189" t="s" s="8">
        <v>53</v>
      </c>
      <c r="P9189" t="s" s="8">
        <v>53</v>
      </c>
      <c r="Q9189" t="s" s="12">
        <v>53</v>
      </c>
      <c r="R9189" t="s" s="12">
        <v>53</v>
      </c>
    </row>
    <row r="9190" s="2" customFormat="1" ht="13.5" customHeight="1">
      <c r="B9190" s="13"/>
      <c r="C9190" t="s" s="9">
        <v>16</v>
      </c>
      <c r="D9190" t="s" s="8">
        <v>3372</v>
      </c>
      <c r="E9190" t="s" s="9">
        <v>3374</v>
      </c>
      <c r="F9190" t="s" s="10">
        <v>240</v>
      </c>
      <c r="G9190" s="14"/>
      <c r="H9190" t="s" s="10">
        <v>240</v>
      </c>
      <c r="I9190" s="14"/>
      <c r="J9190" t="s" s="11">
        <v>20</v>
      </c>
      <c r="K9190" s="15"/>
      <c r="L9190" t="s" s="16">
        <f>HYPERLINK("http://csr.bu.edu/ftp/asl/asllvd/demos/verify_start_end_handshape_annotations//test_auto_move//signs_mov_separ_signers/Liz_16297.mov","MOV")</f>
        <v>21</v>
      </c>
      <c r="M9190" t="s" s="10">
        <v>84</v>
      </c>
      <c r="N9190" s="17">
        <v>34</v>
      </c>
      <c r="O9190" s="18">
        <v>1190</v>
      </c>
      <c r="P9190" s="18">
        <v>1215</v>
      </c>
      <c r="Q9190" s="15"/>
      <c r="R9190" t="s" s="16">
        <f>HYPERLINK("http://secrets.rutgers.edu:8080/data/asl-ftp/asllvd/demos/verify_start_end_handshape_annotations//test_auto_move//signs_mov_separ_signers/Liz_16297.mov","MOV")</f>
        <v>21</v>
      </c>
    </row>
    <row r="9191" s="2" customFormat="1" ht="13.5" customHeight="1">
      <c r="B9191" s="13"/>
      <c r="C9191" t="s" s="9">
        <v>27</v>
      </c>
      <c r="D9191" t="s" s="8">
        <v>3372</v>
      </c>
      <c r="E9191" t="s" s="9">
        <v>3374</v>
      </c>
      <c r="F9191" t="s" s="10">
        <v>240</v>
      </c>
      <c r="G9191" s="14"/>
      <c r="H9191" t="s" s="10">
        <v>240</v>
      </c>
      <c r="I9191" s="14"/>
      <c r="J9191" t="s" s="11">
        <v>20</v>
      </c>
      <c r="K9191" t="s" s="16">
        <f>HYPERLINK("http://csr.bu.edu/ftp/asl/asllvd/demos/verify_start_end_handshape_annotations//test_auto_move//signs_mov/16297.mov","MOV")</f>
        <v>21</v>
      </c>
      <c r="L9191" t="s" s="16">
        <f>HYPERLINK("http://csr.bu.edu/ftp/asl/asllvd/demos/verify_start_end_handshape_annotations//test_auto_move//signs_mov_separ_signers/Naomi_16297.mov","MOV")</f>
        <v>21</v>
      </c>
      <c r="M9191" t="s" s="10">
        <v>86</v>
      </c>
      <c r="N9191" s="17">
        <v>34</v>
      </c>
      <c r="O9191" s="18">
        <v>917</v>
      </c>
      <c r="P9191" s="18">
        <v>937</v>
      </c>
      <c r="Q9191" t="s" s="16">
        <f>HYPERLINK("http://secrets.rutgers.edu:8080/data/asl-ftp/asllvd/demos/verify_start_end_handshape_annotations//test_auto_move//signs_mov/16297.mov","MOV")</f>
        <v>21</v>
      </c>
      <c r="R9191" t="s" s="16">
        <f>HYPERLINK("http://secrets.rutgers.edu:8080/data/asl-ftp/asllvd/demos/verify_start_end_handshape_annotations//test_auto_move//signs_mov_separ_signers/Naomi_16297.mov","MOV")</f>
        <v>21</v>
      </c>
    </row>
    <row r="9192" s="2" customFormat="1" ht="13.5" customHeight="1">
      <c r="B9192" s="13"/>
      <c r="C9192" t="s" s="9">
        <v>30</v>
      </c>
      <c r="D9192" t="s" s="8">
        <v>3372</v>
      </c>
      <c r="E9192" t="s" s="9">
        <v>3374</v>
      </c>
      <c r="F9192" t="s" s="10">
        <v>240</v>
      </c>
      <c r="G9192" s="14"/>
      <c r="H9192" t="s" s="10">
        <v>240</v>
      </c>
      <c r="I9192" s="14"/>
      <c r="J9192" t="s" s="11">
        <v>20</v>
      </c>
      <c r="K9192" s="15"/>
      <c r="L9192" t="s" s="16">
        <f>HYPERLINK("http://csr.bu.edu/ftp/asl/asllvd/demos/verify_start_end_handshape_annotations//test_auto_move//signs_mov_separ_signers/Brady_16297.mov","MOV")</f>
        <v>21</v>
      </c>
      <c r="M9192" t="s" s="10">
        <v>39</v>
      </c>
      <c r="N9192" s="17">
        <v>13</v>
      </c>
      <c r="O9192" s="18">
        <v>4260</v>
      </c>
      <c r="P9192" s="18">
        <v>4279</v>
      </c>
      <c r="Q9192" s="15"/>
      <c r="R9192" t="s" s="16">
        <f>HYPERLINK("http://secrets.rutgers.edu:8080/data/asl-ftp/asllvd/demos/verify_start_end_handshape_annotations//test_auto_move//signs_mov_separ_signers/Brady_16297.mov","MOV")</f>
        <v>21</v>
      </c>
    </row>
    <row r="9193" s="2" customFormat="1" ht="13.5" customHeight="1">
      <c r="B9193" t="s" s="8">
        <v>3375</v>
      </c>
      <c r="C9193" t="s" s="9">
        <v>14</v>
      </c>
      <c r="D9193" t="s" s="8">
        <v>14</v>
      </c>
      <c r="E9193" t="s" s="9">
        <v>14</v>
      </c>
      <c r="F9193" t="s" s="10">
        <v>14</v>
      </c>
      <c r="G9193" t="s" s="11">
        <v>14</v>
      </c>
      <c r="H9193" t="s" s="10">
        <v>14</v>
      </c>
      <c r="I9193" t="s" s="11">
        <v>14</v>
      </c>
      <c r="J9193" t="s" s="11">
        <v>14</v>
      </c>
      <c r="K9193" t="s" s="12">
        <v>14</v>
      </c>
      <c r="L9193" t="s" s="12">
        <v>14</v>
      </c>
      <c r="M9193" t="s" s="10">
        <v>14</v>
      </c>
      <c r="N9193" t="s" s="11">
        <v>14</v>
      </c>
      <c r="O9193" t="s" s="8">
        <v>14</v>
      </c>
      <c r="P9193" t="s" s="8">
        <v>14</v>
      </c>
      <c r="Q9193" t="s" s="12">
        <v>14</v>
      </c>
      <c r="R9193" t="s" s="12">
        <v>14</v>
      </c>
    </row>
    <row r="9194" s="2" customFormat="1" ht="13.5" customHeight="1">
      <c r="B9194" s="13"/>
      <c r="C9194" t="s" s="9">
        <v>16</v>
      </c>
      <c r="D9194" t="s" s="8">
        <v>3375</v>
      </c>
      <c r="E9194" t="s" s="9">
        <v>3375</v>
      </c>
      <c r="F9194" t="s" s="10">
        <v>72</v>
      </c>
      <c r="G9194" t="s" s="11">
        <v>72</v>
      </c>
      <c r="H9194" t="s" s="10">
        <v>187</v>
      </c>
      <c r="I9194" t="s" s="11">
        <v>187</v>
      </c>
      <c r="J9194" t="s" s="11">
        <v>20</v>
      </c>
      <c r="K9194" t="s" s="16">
        <f>HYPERLINK("http://csr.bu.edu/ftp/asl/asllvd/demos/verify_start_end_handshape_annotations//test_auto_move//signs_mov/2628.mov","MOV")</f>
        <v>21</v>
      </c>
      <c r="L9194" t="s" s="16">
        <f>HYPERLINK("http://csr.bu.edu/ftp/asl/asllvd/demos/verify_start_end_handshape_annotations//test_auto_move//signs_mov_separ_signers/Liz_2628.mov","MOV")</f>
        <v>21</v>
      </c>
      <c r="M9194" t="s" s="10">
        <v>59</v>
      </c>
      <c r="N9194" s="17">
        <v>17</v>
      </c>
      <c r="O9194" s="18">
        <v>4276</v>
      </c>
      <c r="P9194" s="18">
        <v>4318</v>
      </c>
      <c r="Q9194" t="s" s="16">
        <f>HYPERLINK("http://secrets.rutgers.edu:8080/data/asl-ftp/asllvd/demos/verify_start_end_handshape_annotations//test_auto_move//signs_mov/2628.mov","MOV")</f>
        <v>21</v>
      </c>
      <c r="R9194" t="s" s="16">
        <f>HYPERLINK("http://secrets.rutgers.edu:8080/data/asl-ftp/asllvd/demos/verify_start_end_handshape_annotations//test_auto_move//signs_mov_separ_signers/Liz_2628.mov","MOV")</f>
        <v>21</v>
      </c>
    </row>
    <row r="9195" s="2" customFormat="1" ht="13.5" customHeight="1">
      <c r="B9195" s="13"/>
      <c r="C9195" t="s" s="9">
        <v>30</v>
      </c>
      <c r="D9195" t="s" s="8">
        <v>3375</v>
      </c>
      <c r="E9195" t="s" s="9">
        <v>3375</v>
      </c>
      <c r="F9195" t="s" s="10">
        <v>75</v>
      </c>
      <c r="G9195" t="s" s="11">
        <v>75</v>
      </c>
      <c r="H9195" t="s" s="10">
        <v>75</v>
      </c>
      <c r="I9195" t="s" s="11">
        <v>75</v>
      </c>
      <c r="J9195" t="s" s="11">
        <v>20</v>
      </c>
      <c r="K9195" s="15"/>
      <c r="L9195" t="s" s="16">
        <f>HYPERLINK("http://csr.bu.edu/ftp/asl/asllvd/demos/verify_start_end_handshape_annotations//test_auto_move//signs_mov_separ_signers/Brady_2628.mov","MOV")</f>
        <v>21</v>
      </c>
      <c r="M9195" t="s" s="10">
        <v>60</v>
      </c>
      <c r="N9195" s="17">
        <v>5</v>
      </c>
      <c r="O9195" s="18">
        <v>3626</v>
      </c>
      <c r="P9195" s="18">
        <v>3662</v>
      </c>
      <c r="Q9195" s="15"/>
      <c r="R9195" t="s" s="16">
        <f>HYPERLINK("http://secrets.rutgers.edu:8080/data/asl-ftp/asllvd/demos/verify_start_end_handshape_annotations//test_auto_move//signs_mov_separ_signers/Brady_2628.mov","MOV")</f>
        <v>21</v>
      </c>
    </row>
    <row r="9196" s="2" customFormat="1" ht="13.5" customHeight="1">
      <c r="B9196" t="s" s="8">
        <v>3376</v>
      </c>
      <c r="C9196" t="s" s="9">
        <v>14</v>
      </c>
      <c r="D9196" t="s" s="8">
        <v>14</v>
      </c>
      <c r="E9196" t="s" s="9">
        <v>14</v>
      </c>
      <c r="F9196" t="s" s="10">
        <v>14</v>
      </c>
      <c r="G9196" t="s" s="11">
        <v>14</v>
      </c>
      <c r="H9196" t="s" s="10">
        <v>14</v>
      </c>
      <c r="I9196" t="s" s="11">
        <v>14</v>
      </c>
      <c r="J9196" t="s" s="11">
        <v>14</v>
      </c>
      <c r="K9196" t="s" s="12">
        <v>14</v>
      </c>
      <c r="L9196" t="s" s="12">
        <v>14</v>
      </c>
      <c r="M9196" t="s" s="10">
        <v>14</v>
      </c>
      <c r="N9196" t="s" s="11">
        <v>14</v>
      </c>
      <c r="O9196" t="s" s="8">
        <v>14</v>
      </c>
      <c r="P9196" t="s" s="8">
        <v>14</v>
      </c>
      <c r="Q9196" t="s" s="12">
        <v>14</v>
      </c>
      <c r="R9196" t="s" s="12">
        <v>14</v>
      </c>
    </row>
    <row r="9197" s="2" customFormat="1" ht="13.5" customHeight="1">
      <c r="B9197" s="13"/>
      <c r="C9197" t="s" s="9">
        <v>16</v>
      </c>
      <c r="D9197" t="s" s="8">
        <v>3376</v>
      </c>
      <c r="E9197" t="s" s="9">
        <v>3376</v>
      </c>
      <c r="F9197" t="s" s="10">
        <v>65</v>
      </c>
      <c r="G9197" t="s" s="11">
        <v>65</v>
      </c>
      <c r="H9197" t="s" s="10">
        <v>65</v>
      </c>
      <c r="I9197" t="s" s="11">
        <v>65</v>
      </c>
      <c r="J9197" t="s" s="11">
        <v>20</v>
      </c>
      <c r="K9197" s="15"/>
      <c r="L9197" t="s" s="16">
        <f>HYPERLINK("http://csr.bu.edu/ftp/asl/asllvd/demos/verify_start_end_handshape_annotations//test_auto_move//signs_mov_separ_signers/Liz_2629.mov","MOV")</f>
        <v>21</v>
      </c>
      <c r="M9197" t="s" s="10">
        <v>59</v>
      </c>
      <c r="N9197" s="17">
        <v>17</v>
      </c>
      <c r="O9197" s="18">
        <v>4503</v>
      </c>
      <c r="P9197" s="18">
        <v>4540</v>
      </c>
      <c r="Q9197" s="15"/>
      <c r="R9197" t="s" s="16">
        <f>HYPERLINK("http://secrets.rutgers.edu:8080/data/asl-ftp/asllvd/demos/verify_start_end_handshape_annotations//test_auto_move//signs_mov_separ_signers/Liz_2629.mov","MOV")</f>
        <v>21</v>
      </c>
    </row>
    <row r="9198" s="2" customFormat="1" ht="13.5" customHeight="1">
      <c r="B9198" s="13"/>
      <c r="C9198" t="s" s="9">
        <v>16</v>
      </c>
      <c r="D9198" t="s" s="8">
        <v>3376</v>
      </c>
      <c r="E9198" t="s" s="9">
        <v>3376</v>
      </c>
      <c r="F9198" t="s" s="10">
        <v>65</v>
      </c>
      <c r="G9198" t="s" s="11">
        <v>65</v>
      </c>
      <c r="H9198" t="s" s="10">
        <v>65</v>
      </c>
      <c r="I9198" t="s" s="11">
        <v>65</v>
      </c>
      <c r="J9198" t="s" s="11">
        <v>20</v>
      </c>
      <c r="K9198" s="15"/>
      <c r="L9198" t="s" s="16">
        <f>HYPERLINK("http://csr.bu.edu/ftp/asl/asllvd/demos/verify_start_end_handshape_annotations//test_auto_move//signs_mov_separ_signers/Liz_3484.mov","MOV")</f>
        <v>21</v>
      </c>
      <c r="M9198" t="s" s="10">
        <v>59</v>
      </c>
      <c r="N9198" s="17">
        <v>18</v>
      </c>
      <c r="O9198" s="18">
        <v>445</v>
      </c>
      <c r="P9198" s="18">
        <v>500</v>
      </c>
      <c r="Q9198" s="15"/>
      <c r="R9198" t="s" s="16">
        <f>HYPERLINK("http://secrets.rutgers.edu:8080/data/asl-ftp/asllvd/demos/verify_start_end_handshape_annotations//test_auto_move//signs_mov_separ_signers/Liz_3484.mov","MOV")</f>
        <v>21</v>
      </c>
    </row>
    <row r="9199" s="2" customFormat="1" ht="13.5" customHeight="1">
      <c r="B9199" s="13"/>
      <c r="C9199" t="s" s="9">
        <v>30</v>
      </c>
      <c r="D9199" t="s" s="8">
        <v>3376</v>
      </c>
      <c r="E9199" t="s" s="9">
        <v>3376</v>
      </c>
      <c r="F9199" t="s" s="10">
        <v>65</v>
      </c>
      <c r="G9199" t="s" s="11">
        <v>65</v>
      </c>
      <c r="H9199" t="s" s="10">
        <v>65</v>
      </c>
      <c r="I9199" t="s" s="11">
        <v>65</v>
      </c>
      <c r="J9199" t="s" s="11">
        <v>20</v>
      </c>
      <c r="K9199" t="s" s="16">
        <f>HYPERLINK("http://csr.bu.edu/ftp/asl/asllvd/demos/verify_start_end_handshape_annotations//test_auto_move//signs_mov/2629_3484_5921_merged.mov","MOV")</f>
        <v>21</v>
      </c>
      <c r="L9199" t="s" s="16">
        <f>HYPERLINK("http://csr.bu.edu/ftp/asl/asllvd/demos/verify_start_end_handshape_annotations//test_auto_move//signs_mov_separ_signers/Brady_2629.mov","MOV")</f>
        <v>21</v>
      </c>
      <c r="M9199" t="s" s="10">
        <v>60</v>
      </c>
      <c r="N9199" s="17">
        <v>5</v>
      </c>
      <c r="O9199" s="18">
        <v>3308</v>
      </c>
      <c r="P9199" s="18">
        <v>3352</v>
      </c>
      <c r="Q9199" t="s" s="16">
        <f>HYPERLINK("http://secrets.rutgers.edu:8080/data/asl-ftp/asllvd/demos/verify_start_end_handshape_annotations//test_auto_move//signs_mov/2629_3484_5921_merged.mov","MOV")</f>
        <v>21</v>
      </c>
      <c r="R9199" t="s" s="16">
        <f>HYPERLINK("http://secrets.rutgers.edu:8080/data/asl-ftp/asllvd/demos/verify_start_end_handshape_annotations//test_auto_move//signs_mov_separ_signers/Brady_2629.mov","MOV")</f>
        <v>21</v>
      </c>
    </row>
    <row r="9200" s="2" customFormat="1" ht="13.5" customHeight="1">
      <c r="B9200" s="13"/>
      <c r="C9200" t="s" s="9">
        <v>30</v>
      </c>
      <c r="D9200" t="s" s="8">
        <v>3376</v>
      </c>
      <c r="E9200" t="s" s="9">
        <v>3376</v>
      </c>
      <c r="F9200" t="s" s="10">
        <v>65</v>
      </c>
      <c r="G9200" t="s" s="11">
        <v>65</v>
      </c>
      <c r="H9200" t="s" s="10">
        <v>65</v>
      </c>
      <c r="I9200" t="s" s="11">
        <v>65</v>
      </c>
      <c r="J9200" t="s" s="11">
        <v>20</v>
      </c>
      <c r="K9200" s="15"/>
      <c r="L9200" t="s" s="16">
        <f>HYPERLINK("http://csr.bu.edu/ftp/asl/asllvd/demos/verify_start_end_handshape_annotations//test_auto_move//signs_mov_separ_signers/Brady_3484.mov","MOV")</f>
        <v>21</v>
      </c>
      <c r="M9200" t="s" s="10">
        <v>60</v>
      </c>
      <c r="N9200" s="17">
        <v>56</v>
      </c>
      <c r="O9200" s="18">
        <v>40</v>
      </c>
      <c r="P9200" s="18">
        <v>75</v>
      </c>
      <c r="Q9200" s="15"/>
      <c r="R9200" t="s" s="16">
        <f>HYPERLINK("http://secrets.rutgers.edu:8080/data/asl-ftp/asllvd/demos/verify_start_end_handshape_annotations//test_auto_move//signs_mov_separ_signers/Brady_3484.mov","MOV")</f>
        <v>21</v>
      </c>
    </row>
    <row r="9201" s="2" customFormat="1" ht="13.5" customHeight="1">
      <c r="B9201" s="13"/>
      <c r="C9201" t="s" s="9">
        <v>30</v>
      </c>
      <c r="D9201" t="s" s="8">
        <v>3376</v>
      </c>
      <c r="E9201" t="s" s="9">
        <v>3376</v>
      </c>
      <c r="F9201" t="s" s="10">
        <v>65</v>
      </c>
      <c r="G9201" t="s" s="11">
        <v>65</v>
      </c>
      <c r="H9201" t="s" s="10">
        <v>65</v>
      </c>
      <c r="I9201" t="s" s="11">
        <v>65</v>
      </c>
      <c r="J9201" t="s" s="11">
        <v>20</v>
      </c>
      <c r="K9201" s="15"/>
      <c r="L9201" t="s" s="16">
        <f>HYPERLINK("http://csr.bu.edu/ftp/asl/asllvd/demos/verify_start_end_handshape_annotations//test_auto_move//signs_mov_separ_signers/Brady_5921.mov","MOV")</f>
        <v>21</v>
      </c>
      <c r="M9201" t="s" s="10">
        <v>60</v>
      </c>
      <c r="N9201" s="17">
        <v>56</v>
      </c>
      <c r="O9201" s="18">
        <v>250</v>
      </c>
      <c r="P9201" s="18">
        <v>285</v>
      </c>
      <c r="Q9201" s="15"/>
      <c r="R9201" t="s" s="16">
        <f>HYPERLINK("http://secrets.rutgers.edu:8080/data/asl-ftp/asllvd/demos/verify_start_end_handshape_annotations//test_auto_move//signs_mov_separ_signers/Brady_5921.mov","MOV")</f>
        <v>21</v>
      </c>
    </row>
    <row r="9202" s="2" customFormat="1" ht="13.5" customHeight="1">
      <c r="B9202" t="s" s="8">
        <v>3377</v>
      </c>
      <c r="C9202" t="s" s="9">
        <v>14</v>
      </c>
      <c r="D9202" t="s" s="8">
        <v>14</v>
      </c>
      <c r="E9202" t="s" s="9">
        <v>14</v>
      </c>
      <c r="F9202" t="s" s="10">
        <v>14</v>
      </c>
      <c r="G9202" t="s" s="11">
        <v>14</v>
      </c>
      <c r="H9202" t="s" s="10">
        <v>14</v>
      </c>
      <c r="I9202" t="s" s="11">
        <v>14</v>
      </c>
      <c r="J9202" t="s" s="11">
        <v>14</v>
      </c>
      <c r="K9202" t="s" s="12">
        <v>14</v>
      </c>
      <c r="L9202" t="s" s="12">
        <v>14</v>
      </c>
      <c r="M9202" t="s" s="10">
        <v>14</v>
      </c>
      <c r="N9202" t="s" s="11">
        <v>14</v>
      </c>
      <c r="O9202" t="s" s="8">
        <v>14</v>
      </c>
      <c r="P9202" t="s" s="8">
        <v>14</v>
      </c>
      <c r="Q9202" t="s" s="12">
        <v>14</v>
      </c>
      <c r="R9202" t="s" s="12">
        <v>14</v>
      </c>
    </row>
    <row r="9203" s="2" customFormat="1" ht="13.5" customHeight="1">
      <c r="B9203" s="13"/>
      <c r="C9203" t="s" s="9">
        <v>16</v>
      </c>
      <c r="D9203" t="s" s="8">
        <v>3377</v>
      </c>
      <c r="E9203" t="s" s="9">
        <v>3377</v>
      </c>
      <c r="F9203" t="s" s="10">
        <v>386</v>
      </c>
      <c r="G9203" t="s" s="11">
        <v>73</v>
      </c>
      <c r="H9203" t="s" s="10">
        <v>386</v>
      </c>
      <c r="I9203" t="s" s="11">
        <v>73</v>
      </c>
      <c r="J9203" t="s" s="11">
        <v>20</v>
      </c>
      <c r="K9203" t="s" s="16">
        <f>HYPERLINK("http://csr.bu.edu/ftp/asl/asllvd/demos/verify_start_end_handshape_annotations//test_auto_move//signs_mov/2634.mov","MOV")</f>
        <v>21</v>
      </c>
      <c r="L9203" t="s" s="16">
        <f>HYPERLINK("http://csr.bu.edu/ftp/asl/asllvd/demos/verify_start_end_handshape_annotations//test_auto_move//signs_mov_separ_signers/Liz_2634.mov","MOV")</f>
        <v>21</v>
      </c>
      <c r="M9203" t="s" s="10">
        <v>59</v>
      </c>
      <c r="N9203" s="17">
        <v>18</v>
      </c>
      <c r="O9203" s="18">
        <v>1725</v>
      </c>
      <c r="P9203" s="18">
        <v>1760</v>
      </c>
      <c r="Q9203" t="s" s="16">
        <f>HYPERLINK("http://secrets.rutgers.edu:8080/data/asl-ftp/asllvd/demos/verify_start_end_handshape_annotations//test_auto_move//signs_mov/2634.mov","MOV")</f>
        <v>21</v>
      </c>
      <c r="R9203" t="s" s="16">
        <f>HYPERLINK("http://secrets.rutgers.edu:8080/data/asl-ftp/asllvd/demos/verify_start_end_handshape_annotations//test_auto_move//signs_mov_separ_signers/Liz_2634.mov","MOV")</f>
        <v>21</v>
      </c>
    </row>
    <row r="9204" s="2" customFormat="1" ht="13.5" customHeight="1">
      <c r="B9204" t="s" s="8">
        <v>3378</v>
      </c>
      <c r="C9204" t="s" s="9">
        <v>14</v>
      </c>
      <c r="D9204" t="s" s="8">
        <v>14</v>
      </c>
      <c r="E9204" t="s" s="9">
        <v>14</v>
      </c>
      <c r="F9204" t="s" s="10">
        <v>14</v>
      </c>
      <c r="G9204" t="s" s="11">
        <v>14</v>
      </c>
      <c r="H9204" t="s" s="10">
        <v>14</v>
      </c>
      <c r="I9204" t="s" s="11">
        <v>14</v>
      </c>
      <c r="J9204" t="s" s="11">
        <v>14</v>
      </c>
      <c r="K9204" t="s" s="12">
        <v>14</v>
      </c>
      <c r="L9204" t="s" s="12">
        <v>14</v>
      </c>
      <c r="M9204" t="s" s="10">
        <v>14</v>
      </c>
      <c r="N9204" t="s" s="11">
        <v>14</v>
      </c>
      <c r="O9204" t="s" s="8">
        <v>14</v>
      </c>
      <c r="P9204" t="s" s="8">
        <v>14</v>
      </c>
      <c r="Q9204" t="s" s="12">
        <v>14</v>
      </c>
      <c r="R9204" t="s" s="12">
        <v>14</v>
      </c>
    </row>
    <row r="9205" s="2" customFormat="1" ht="13.5" customHeight="1">
      <c r="B9205" s="13"/>
      <c r="C9205" t="s" s="9">
        <v>16</v>
      </c>
      <c r="D9205" t="s" s="8">
        <v>3378</v>
      </c>
      <c r="E9205" t="s" s="9">
        <v>3379</v>
      </c>
      <c r="F9205" t="s" s="10">
        <v>85</v>
      </c>
      <c r="G9205" t="s" s="11">
        <v>85</v>
      </c>
      <c r="H9205" t="s" s="10">
        <v>85</v>
      </c>
      <c r="I9205" t="s" s="11">
        <v>85</v>
      </c>
      <c r="J9205" t="s" s="11">
        <v>20</v>
      </c>
      <c r="K9205" t="s" s="16">
        <f>HYPERLINK("http://csr.bu.edu/ftp/asl/asllvd/demos/verify_start_end_handshape_annotations//test_auto_move//signs_mov/2635.mov","MOV")</f>
        <v>21</v>
      </c>
      <c r="L9205" t="s" s="16">
        <f>HYPERLINK("http://csr.bu.edu/ftp/asl/asllvd/demos/verify_start_end_handshape_annotations//test_auto_move//signs_mov_separ_signers/Liz_2635.mov","MOV")</f>
        <v>21</v>
      </c>
      <c r="M9205" t="s" s="10">
        <v>59</v>
      </c>
      <c r="N9205" s="17">
        <v>18</v>
      </c>
      <c r="O9205" s="18">
        <v>2205</v>
      </c>
      <c r="P9205" s="18">
        <v>2285</v>
      </c>
      <c r="Q9205" t="s" s="16">
        <f>HYPERLINK("http://secrets.rutgers.edu:8080/data/asl-ftp/asllvd/demos/verify_start_end_handshape_annotations//test_auto_move//signs_mov/2635.mov","MOV")</f>
        <v>21</v>
      </c>
      <c r="R9205" t="s" s="16">
        <f>HYPERLINK("http://secrets.rutgers.edu:8080/data/asl-ftp/asllvd/demos/verify_start_end_handshape_annotations//test_auto_move//signs_mov_separ_signers/Liz_2635.mov","MOV")</f>
        <v>21</v>
      </c>
    </row>
    <row r="9206" s="2" customFormat="1" ht="13.5" customHeight="1">
      <c r="B9206" t="s" s="8">
        <v>52</v>
      </c>
      <c r="C9206" t="s" s="9">
        <v>53</v>
      </c>
      <c r="D9206" t="s" s="8">
        <v>53</v>
      </c>
      <c r="E9206" t="s" s="9">
        <v>53</v>
      </c>
      <c r="F9206" t="s" s="10">
        <v>53</v>
      </c>
      <c r="G9206" t="s" s="11">
        <v>53</v>
      </c>
      <c r="H9206" t="s" s="10">
        <v>53</v>
      </c>
      <c r="I9206" t="s" s="11">
        <v>53</v>
      </c>
      <c r="J9206" t="s" s="11">
        <v>53</v>
      </c>
      <c r="K9206" t="s" s="12">
        <v>53</v>
      </c>
      <c r="L9206" t="s" s="12">
        <v>53</v>
      </c>
      <c r="M9206" t="s" s="10">
        <v>53</v>
      </c>
      <c r="N9206" t="s" s="11">
        <v>53</v>
      </c>
      <c r="O9206" t="s" s="8">
        <v>53</v>
      </c>
      <c r="P9206" t="s" s="8">
        <v>53</v>
      </c>
      <c r="Q9206" t="s" s="12">
        <v>53</v>
      </c>
      <c r="R9206" t="s" s="12">
        <v>53</v>
      </c>
    </row>
    <row r="9207" s="2" customFormat="1" ht="13.5" customHeight="1">
      <c r="B9207" s="13"/>
      <c r="C9207" t="s" s="9">
        <v>16</v>
      </c>
      <c r="D9207" t="s" s="8">
        <v>3378</v>
      </c>
      <c r="E9207" t="s" s="9">
        <v>3380</v>
      </c>
      <c r="F9207" t="s" s="10">
        <v>268</v>
      </c>
      <c r="G9207" t="s" s="11">
        <v>268</v>
      </c>
      <c r="H9207" t="s" s="10">
        <v>268</v>
      </c>
      <c r="I9207" t="s" s="11">
        <v>268</v>
      </c>
      <c r="J9207" t="s" s="11">
        <v>20</v>
      </c>
      <c r="K9207" t="s" s="16">
        <f>HYPERLINK("http://csr.bu.edu/ftp/asl/asllvd/demos/verify_start_end_handshape_annotations//test_auto_move//signs_mov/3796.mov","MOV")</f>
        <v>21</v>
      </c>
      <c r="L9207" t="s" s="16">
        <f>HYPERLINK("http://csr.bu.edu/ftp/asl/asllvd/demos/verify_start_end_handshape_annotations//test_auto_move//signs_mov_separ_signers/Liz_3796.mov","MOV")</f>
        <v>21</v>
      </c>
      <c r="M9207" t="s" s="10">
        <v>59</v>
      </c>
      <c r="N9207" s="17">
        <v>18</v>
      </c>
      <c r="O9207" s="18">
        <v>1965</v>
      </c>
      <c r="P9207" s="18">
        <v>2035</v>
      </c>
      <c r="Q9207" t="s" s="16">
        <f>HYPERLINK("http://secrets.rutgers.edu:8080/data/asl-ftp/asllvd/demos/verify_start_end_handshape_annotations//test_auto_move//signs_mov/3796.mov","MOV")</f>
        <v>21</v>
      </c>
      <c r="R9207" t="s" s="16">
        <f>HYPERLINK("http://secrets.rutgers.edu:8080/data/asl-ftp/asllvd/demos/verify_start_end_handshape_annotations//test_auto_move//signs_mov_separ_signers/Liz_3796.mov","MOV")</f>
        <v>21</v>
      </c>
    </row>
    <row r="9208" s="2" customFormat="1" ht="13.5" customHeight="1">
      <c r="B9208" t="s" s="8">
        <v>3381</v>
      </c>
      <c r="C9208" t="s" s="9">
        <v>14</v>
      </c>
      <c r="D9208" t="s" s="8">
        <v>14</v>
      </c>
      <c r="E9208" t="s" s="9">
        <v>14</v>
      </c>
      <c r="F9208" t="s" s="10">
        <v>14</v>
      </c>
      <c r="G9208" t="s" s="11">
        <v>14</v>
      </c>
      <c r="H9208" t="s" s="10">
        <v>14</v>
      </c>
      <c r="I9208" t="s" s="11">
        <v>14</v>
      </c>
      <c r="J9208" t="s" s="11">
        <v>14</v>
      </c>
      <c r="K9208" t="s" s="12">
        <v>14</v>
      </c>
      <c r="L9208" t="s" s="12">
        <v>14</v>
      </c>
      <c r="M9208" t="s" s="10">
        <v>14</v>
      </c>
      <c r="N9208" t="s" s="11">
        <v>14</v>
      </c>
      <c r="O9208" t="s" s="8">
        <v>14</v>
      </c>
      <c r="P9208" t="s" s="8">
        <v>14</v>
      </c>
      <c r="Q9208" t="s" s="12">
        <v>14</v>
      </c>
      <c r="R9208" t="s" s="12">
        <v>14</v>
      </c>
    </row>
    <row r="9209" s="2" customFormat="1" ht="13.5" customHeight="1">
      <c r="B9209" s="13"/>
      <c r="C9209" t="s" s="9">
        <v>16</v>
      </c>
      <c r="D9209" t="s" s="8">
        <v>3381</v>
      </c>
      <c r="E9209" t="s" s="9">
        <v>3381</v>
      </c>
      <c r="F9209" t="s" s="10">
        <v>230</v>
      </c>
      <c r="G9209" t="s" s="11">
        <v>73</v>
      </c>
      <c r="H9209" t="s" s="10">
        <v>230</v>
      </c>
      <c r="I9209" t="s" s="11">
        <v>73</v>
      </c>
      <c r="J9209" t="s" s="11">
        <v>20</v>
      </c>
      <c r="K9209" t="s" s="16">
        <f>HYPERLINK("http://csr.bu.edu/ftp/asl/asllvd/demos/verify_start_end_handshape_annotations//test_auto_move//signs_mov/2641.mov","MOV")</f>
        <v>21</v>
      </c>
      <c r="L9209" t="s" s="16">
        <f>HYPERLINK("http://csr.bu.edu/ftp/asl/asllvd/demos/verify_start_end_handshape_annotations//test_auto_move//signs_mov_separ_signers/Liz_2641.mov","MOV")</f>
        <v>21</v>
      </c>
      <c r="M9209" t="s" s="10">
        <v>59</v>
      </c>
      <c r="N9209" s="17">
        <v>19</v>
      </c>
      <c r="O9209" s="18">
        <v>490</v>
      </c>
      <c r="P9209" s="18">
        <v>530</v>
      </c>
      <c r="Q9209" t="s" s="16">
        <f>HYPERLINK("http://secrets.rutgers.edu:8080/data/asl-ftp/asllvd/demos/verify_start_end_handshape_annotations//test_auto_move//signs_mov/2641.mov","MOV")</f>
        <v>21</v>
      </c>
      <c r="R9209" t="s" s="16">
        <f>HYPERLINK("http://secrets.rutgers.edu:8080/data/asl-ftp/asllvd/demos/verify_start_end_handshape_annotations//test_auto_move//signs_mov_separ_signers/Liz_2641.mov","MOV")</f>
        <v>21</v>
      </c>
    </row>
    <row r="9210" s="2" customFormat="1" ht="13.5" customHeight="1">
      <c r="B9210" t="s" s="8">
        <v>52</v>
      </c>
      <c r="C9210" t="s" s="9">
        <v>53</v>
      </c>
      <c r="D9210" t="s" s="8">
        <v>53</v>
      </c>
      <c r="E9210" t="s" s="9">
        <v>53</v>
      </c>
      <c r="F9210" t="s" s="10">
        <v>53</v>
      </c>
      <c r="G9210" t="s" s="11">
        <v>53</v>
      </c>
      <c r="H9210" t="s" s="10">
        <v>53</v>
      </c>
      <c r="I9210" t="s" s="11">
        <v>53</v>
      </c>
      <c r="J9210" t="s" s="11">
        <v>53</v>
      </c>
      <c r="K9210" t="s" s="12">
        <v>53</v>
      </c>
      <c r="L9210" t="s" s="12">
        <v>53</v>
      </c>
      <c r="M9210" t="s" s="10">
        <v>53</v>
      </c>
      <c r="N9210" t="s" s="11">
        <v>53</v>
      </c>
      <c r="O9210" t="s" s="8">
        <v>53</v>
      </c>
      <c r="P9210" t="s" s="8">
        <v>53</v>
      </c>
      <c r="Q9210" t="s" s="12">
        <v>53</v>
      </c>
      <c r="R9210" t="s" s="12">
        <v>53</v>
      </c>
    </row>
    <row r="9211" s="2" customFormat="1" ht="13.5" customHeight="1">
      <c r="B9211" s="13"/>
      <c r="C9211" t="s" s="9">
        <v>30</v>
      </c>
      <c r="D9211" t="s" s="8">
        <v>3381</v>
      </c>
      <c r="E9211" t="s" s="9">
        <v>3382</v>
      </c>
      <c r="F9211" t="s" s="10">
        <v>230</v>
      </c>
      <c r="G9211" t="s" s="11">
        <v>73</v>
      </c>
      <c r="H9211" t="s" s="10">
        <v>230</v>
      </c>
      <c r="I9211" t="s" s="11">
        <v>73</v>
      </c>
      <c r="J9211" t="s" s="11">
        <v>20</v>
      </c>
      <c r="K9211" t="s" s="16">
        <f>HYPERLINK("http://csr.bu.edu/ftp/asl/asllvd/demos/verify_start_end_handshape_annotations//test_auto_move//signs_mov/16473.mov","MOV")</f>
        <v>21</v>
      </c>
      <c r="L9211" t="s" s="16">
        <f>HYPERLINK("http://csr.bu.edu/ftp/asl/asllvd/demos/verify_start_end_handshape_annotations//test_auto_move//signs_mov_separ_signers/Brady_16473.mov","MOV")</f>
        <v>21</v>
      </c>
      <c r="M9211" t="s" s="10">
        <v>60</v>
      </c>
      <c r="N9211" s="17">
        <v>7</v>
      </c>
      <c r="O9211" s="18">
        <v>821</v>
      </c>
      <c r="P9211" s="18">
        <v>846</v>
      </c>
      <c r="Q9211" t="s" s="16">
        <f>HYPERLINK("http://secrets.rutgers.edu:8080/data/asl-ftp/asllvd/demos/verify_start_end_handshape_annotations//test_auto_move//signs_mov/16473.mov","MOV")</f>
        <v>21</v>
      </c>
      <c r="R9211" t="s" s="16">
        <f>HYPERLINK("http://secrets.rutgers.edu:8080/data/asl-ftp/asllvd/demos/verify_start_end_handshape_annotations//test_auto_move//signs_mov_separ_signers/Brady_16473.mov","MOV")</f>
        <v>21</v>
      </c>
    </row>
    <row r="9212" s="2" customFormat="1" ht="13.5" customHeight="1">
      <c r="B9212" t="s" s="8">
        <v>3383</v>
      </c>
      <c r="C9212" t="s" s="9">
        <v>14</v>
      </c>
      <c r="D9212" t="s" s="8">
        <v>14</v>
      </c>
      <c r="E9212" t="s" s="9">
        <v>14</v>
      </c>
      <c r="F9212" t="s" s="10">
        <v>14</v>
      </c>
      <c r="G9212" t="s" s="11">
        <v>14</v>
      </c>
      <c r="H9212" t="s" s="10">
        <v>14</v>
      </c>
      <c r="I9212" t="s" s="11">
        <v>14</v>
      </c>
      <c r="J9212" t="s" s="11">
        <v>14</v>
      </c>
      <c r="K9212" t="s" s="12">
        <v>14</v>
      </c>
      <c r="L9212" t="s" s="12">
        <v>14</v>
      </c>
      <c r="M9212" t="s" s="10">
        <v>14</v>
      </c>
      <c r="N9212" t="s" s="11">
        <v>14</v>
      </c>
      <c r="O9212" t="s" s="8">
        <v>14</v>
      </c>
      <c r="P9212" t="s" s="8">
        <v>14</v>
      </c>
      <c r="Q9212" t="s" s="12">
        <v>14</v>
      </c>
      <c r="R9212" t="s" s="12">
        <v>14</v>
      </c>
    </row>
    <row r="9213" s="2" customFormat="1" ht="13.5" customHeight="1">
      <c r="B9213" s="13"/>
      <c r="C9213" t="s" s="9">
        <v>16</v>
      </c>
      <c r="D9213" t="s" s="8">
        <v>3383</v>
      </c>
      <c r="E9213" t="s" s="9">
        <v>3384</v>
      </c>
      <c r="F9213" t="s" s="10">
        <v>150</v>
      </c>
      <c r="G9213" s="14"/>
      <c r="H9213" t="s" s="10">
        <v>150</v>
      </c>
      <c r="I9213" s="14"/>
      <c r="J9213" t="s" s="11">
        <v>20</v>
      </c>
      <c r="K9213" t="s" s="16">
        <f>HYPERLINK("http://csr.bu.edu/ftp/asl/asllvd/demos/verify_start_end_handshape_annotations//test_auto_move//signs_mov/2642.mov","MOV")</f>
        <v>21</v>
      </c>
      <c r="L9213" t="s" s="16">
        <f>HYPERLINK("http://csr.bu.edu/ftp/asl/asllvd/demos/verify_start_end_handshape_annotations//test_auto_move//signs_mov_separ_signers/Liz_2642.mov","MOV")</f>
        <v>21</v>
      </c>
      <c r="M9213" t="s" s="10">
        <v>59</v>
      </c>
      <c r="N9213" s="17">
        <v>19</v>
      </c>
      <c r="O9213" s="18">
        <v>740</v>
      </c>
      <c r="P9213" s="18">
        <v>795</v>
      </c>
      <c r="Q9213" t="s" s="16">
        <f>HYPERLINK("http://secrets.rutgers.edu:8080/data/asl-ftp/asllvd/demos/verify_start_end_handshape_annotations//test_auto_move//signs_mov/2642.mov","MOV")</f>
        <v>21</v>
      </c>
      <c r="R9213" t="s" s="16">
        <f>HYPERLINK("http://secrets.rutgers.edu:8080/data/asl-ftp/asllvd/demos/verify_start_end_handshape_annotations//test_auto_move//signs_mov_separ_signers/Liz_2642.mov","MOV")</f>
        <v>21</v>
      </c>
    </row>
    <row r="9214" s="2" customFormat="1" ht="13.5" customHeight="1">
      <c r="B9214" t="s" s="8">
        <v>52</v>
      </c>
      <c r="C9214" t="s" s="9">
        <v>53</v>
      </c>
      <c r="D9214" t="s" s="8">
        <v>53</v>
      </c>
      <c r="E9214" t="s" s="9">
        <v>53</v>
      </c>
      <c r="F9214" t="s" s="10">
        <v>53</v>
      </c>
      <c r="G9214" t="s" s="11">
        <v>53</v>
      </c>
      <c r="H9214" t="s" s="10">
        <v>53</v>
      </c>
      <c r="I9214" t="s" s="11">
        <v>53</v>
      </c>
      <c r="J9214" t="s" s="11">
        <v>53</v>
      </c>
      <c r="K9214" t="s" s="12">
        <v>53</v>
      </c>
      <c r="L9214" t="s" s="12">
        <v>53</v>
      </c>
      <c r="M9214" t="s" s="10">
        <v>53</v>
      </c>
      <c r="N9214" t="s" s="11">
        <v>53</v>
      </c>
      <c r="O9214" t="s" s="8">
        <v>53</v>
      </c>
      <c r="P9214" t="s" s="8">
        <v>53</v>
      </c>
      <c r="Q9214" t="s" s="12">
        <v>53</v>
      </c>
      <c r="R9214" t="s" s="12">
        <v>53</v>
      </c>
    </row>
    <row r="9215" s="2" customFormat="1" ht="13.5" customHeight="1">
      <c r="B9215" s="13"/>
      <c r="C9215" t="s" s="9">
        <v>30</v>
      </c>
      <c r="D9215" t="s" s="8">
        <v>3383</v>
      </c>
      <c r="E9215" t="s" s="9">
        <v>3385</v>
      </c>
      <c r="F9215" t="s" s="10">
        <v>80</v>
      </c>
      <c r="G9215" s="14"/>
      <c r="H9215" t="s" s="10">
        <v>80</v>
      </c>
      <c r="I9215" s="14"/>
      <c r="J9215" t="s" s="11">
        <v>20</v>
      </c>
      <c r="K9215" t="s" s="16">
        <f>HYPERLINK("http://csr.bu.edu/ftp/asl/asllvd/demos/verify_start_end_handshape_annotations//test_auto_move//signs_mov/16474.mov","MOV")</f>
        <v>21</v>
      </c>
      <c r="L9215" t="s" s="16">
        <f>HYPERLINK("http://csr.bu.edu/ftp/asl/asllvd/demos/verify_start_end_handshape_annotations//test_auto_move//signs_mov_separ_signers/Brady_16474.mov","MOV")</f>
        <v>21</v>
      </c>
      <c r="M9215" t="s" s="10">
        <v>60</v>
      </c>
      <c r="N9215" s="17">
        <v>7</v>
      </c>
      <c r="O9215" s="18">
        <v>1103</v>
      </c>
      <c r="P9215" s="18">
        <v>1155</v>
      </c>
      <c r="Q9215" t="s" s="16">
        <f>HYPERLINK("http://secrets.rutgers.edu:8080/data/asl-ftp/asllvd/demos/verify_start_end_handshape_annotations//test_auto_move//signs_mov/16474.mov","MOV")</f>
        <v>21</v>
      </c>
      <c r="R9215" t="s" s="16">
        <f>HYPERLINK("http://secrets.rutgers.edu:8080/data/asl-ftp/asllvd/demos/verify_start_end_handshape_annotations//test_auto_move//signs_mov_separ_signers/Brady_16474.mov","MOV")</f>
        <v>21</v>
      </c>
    </row>
    <row r="9216" s="2" customFormat="1" ht="13.5" customHeight="1">
      <c r="B9216" t="s" s="8">
        <v>3386</v>
      </c>
      <c r="C9216" t="s" s="9">
        <v>14</v>
      </c>
      <c r="D9216" t="s" s="8">
        <v>14</v>
      </c>
      <c r="E9216" t="s" s="9">
        <v>14</v>
      </c>
      <c r="F9216" t="s" s="10">
        <v>14</v>
      </c>
      <c r="G9216" t="s" s="11">
        <v>14</v>
      </c>
      <c r="H9216" t="s" s="10">
        <v>14</v>
      </c>
      <c r="I9216" t="s" s="11">
        <v>14</v>
      </c>
      <c r="J9216" t="s" s="11">
        <v>14</v>
      </c>
      <c r="K9216" t="s" s="12">
        <v>14</v>
      </c>
      <c r="L9216" t="s" s="12">
        <v>14</v>
      </c>
      <c r="M9216" t="s" s="10">
        <v>14</v>
      </c>
      <c r="N9216" t="s" s="11">
        <v>14</v>
      </c>
      <c r="O9216" t="s" s="8">
        <v>14</v>
      </c>
      <c r="P9216" t="s" s="8">
        <v>14</v>
      </c>
      <c r="Q9216" t="s" s="12">
        <v>14</v>
      </c>
      <c r="R9216" t="s" s="12">
        <v>14</v>
      </c>
    </row>
    <row r="9217" s="2" customFormat="1" ht="13.5" customHeight="1">
      <c r="B9217" s="13"/>
      <c r="C9217" t="s" s="9">
        <v>16</v>
      </c>
      <c r="D9217" t="s" s="8">
        <v>3386</v>
      </c>
      <c r="E9217" t="s" s="9">
        <v>3386</v>
      </c>
      <c r="F9217" s="19">
        <v>1</v>
      </c>
      <c r="G9217" s="14"/>
      <c r="H9217" s="19">
        <v>1</v>
      </c>
      <c r="I9217" s="14"/>
      <c r="J9217" t="s" s="11">
        <v>20</v>
      </c>
      <c r="K9217" t="s" s="16">
        <f>HYPERLINK("http://csr.bu.edu/ftp/asl/asllvd/demos/verify_start_end_handshape_annotations//test_auto_move//signs_mov/2650.mov","MOV")</f>
        <v>21</v>
      </c>
      <c r="L9217" t="s" s="16">
        <f>HYPERLINK("http://csr.bu.edu/ftp/asl/asllvd/demos/verify_start_end_handshape_annotations//test_auto_move//signs_mov_separ_signers/Liz_2650.mov","MOV")</f>
        <v>21</v>
      </c>
      <c r="M9217" t="s" s="10">
        <v>59</v>
      </c>
      <c r="N9217" s="17">
        <v>20</v>
      </c>
      <c r="O9217" s="18">
        <v>296</v>
      </c>
      <c r="P9217" s="18">
        <v>336</v>
      </c>
      <c r="Q9217" t="s" s="16">
        <f>HYPERLINK("http://secrets.rutgers.edu:8080/data/asl-ftp/asllvd/demos/verify_start_end_handshape_annotations//test_auto_move//signs_mov/2650.mov","MOV")</f>
        <v>21</v>
      </c>
      <c r="R9217" t="s" s="16">
        <f>HYPERLINK("http://secrets.rutgers.edu:8080/data/asl-ftp/asllvd/demos/verify_start_end_handshape_annotations//test_auto_move//signs_mov_separ_signers/Liz_2650.mov","MOV")</f>
        <v>21</v>
      </c>
    </row>
    <row r="9218" s="2" customFormat="1" ht="13.5" customHeight="1">
      <c r="B9218" s="13"/>
      <c r="C9218" t="s" s="9">
        <v>30</v>
      </c>
      <c r="D9218" t="s" s="8">
        <v>3386</v>
      </c>
      <c r="E9218" t="s" s="9">
        <v>3386</v>
      </c>
      <c r="F9218" s="19">
        <v>1</v>
      </c>
      <c r="G9218" s="14"/>
      <c r="H9218" s="19">
        <v>1</v>
      </c>
      <c r="I9218" s="14"/>
      <c r="J9218" t="s" s="11">
        <v>20</v>
      </c>
      <c r="K9218" s="15"/>
      <c r="L9218" t="s" s="16">
        <f>HYPERLINK("http://csr.bu.edu/ftp/asl/asllvd/demos/verify_start_end_handshape_annotations//test_auto_move//signs_mov_separ_signers/Brady_2650.mov","MOV")</f>
        <v>21</v>
      </c>
      <c r="M9218" t="s" s="10">
        <v>60</v>
      </c>
      <c r="N9218" s="17">
        <v>8</v>
      </c>
      <c r="O9218" s="18">
        <v>796</v>
      </c>
      <c r="P9218" s="18">
        <v>819</v>
      </c>
      <c r="Q9218" s="15"/>
      <c r="R9218" t="s" s="16">
        <f>HYPERLINK("http://secrets.rutgers.edu:8080/data/asl-ftp/asllvd/demos/verify_start_end_handshape_annotations//test_auto_move//signs_mov_separ_signers/Brady_2650.mov","MOV")</f>
        <v>21</v>
      </c>
    </row>
    <row r="9219" s="2" customFormat="1" ht="13.5" customHeight="1">
      <c r="B9219" t="s" s="8">
        <v>3387</v>
      </c>
      <c r="C9219" t="s" s="9">
        <v>14</v>
      </c>
      <c r="D9219" t="s" s="8">
        <v>14</v>
      </c>
      <c r="E9219" t="s" s="9">
        <v>14</v>
      </c>
      <c r="F9219" t="s" s="10">
        <v>14</v>
      </c>
      <c r="G9219" t="s" s="11">
        <v>14</v>
      </c>
      <c r="H9219" t="s" s="10">
        <v>14</v>
      </c>
      <c r="I9219" t="s" s="11">
        <v>14</v>
      </c>
      <c r="J9219" t="s" s="11">
        <v>14</v>
      </c>
      <c r="K9219" t="s" s="12">
        <v>14</v>
      </c>
      <c r="L9219" t="s" s="12">
        <v>14</v>
      </c>
      <c r="M9219" t="s" s="10">
        <v>14</v>
      </c>
      <c r="N9219" t="s" s="11">
        <v>14</v>
      </c>
      <c r="O9219" t="s" s="8">
        <v>14</v>
      </c>
      <c r="P9219" t="s" s="8">
        <v>14</v>
      </c>
      <c r="Q9219" t="s" s="12">
        <v>14</v>
      </c>
      <c r="R9219" t="s" s="12">
        <v>14</v>
      </c>
    </row>
    <row r="9220" s="2" customFormat="1" ht="13.5" customHeight="1">
      <c r="B9220" s="13"/>
      <c r="C9220" t="s" s="9">
        <v>16</v>
      </c>
      <c r="D9220" t="s" s="8">
        <v>3387</v>
      </c>
      <c r="E9220" t="s" s="9">
        <v>3387</v>
      </c>
      <c r="F9220" t="s" s="10">
        <v>136</v>
      </c>
      <c r="G9220" s="14"/>
      <c r="H9220" t="s" s="10">
        <v>136</v>
      </c>
      <c r="I9220" s="14"/>
      <c r="J9220" t="s" s="11">
        <v>20</v>
      </c>
      <c r="K9220" s="15"/>
      <c r="L9220" t="s" s="16">
        <f>HYPERLINK("http://csr.bu.edu/ftp/asl/asllvd/demos/verify_start_end_handshape_annotations//test_auto_move//signs_mov_separ_signers/Liz_2651.mov","MOV")</f>
        <v>21</v>
      </c>
      <c r="M9220" t="s" s="10">
        <v>59</v>
      </c>
      <c r="N9220" s="17">
        <v>20</v>
      </c>
      <c r="O9220" s="18">
        <v>537</v>
      </c>
      <c r="P9220" s="18">
        <v>580</v>
      </c>
      <c r="Q9220" s="15"/>
      <c r="R9220" t="s" s="16">
        <f>HYPERLINK("http://secrets.rutgers.edu:8080/data/asl-ftp/asllvd/demos/verify_start_end_handshape_annotations//test_auto_move//signs_mov_separ_signers/Liz_2651.mov","MOV")</f>
        <v>21</v>
      </c>
    </row>
    <row r="9221" s="2" customFormat="1" ht="13.5" customHeight="1">
      <c r="B9221" s="13"/>
      <c r="C9221" t="s" s="9">
        <v>16</v>
      </c>
      <c r="D9221" t="s" s="8">
        <v>3387</v>
      </c>
      <c r="E9221" t="s" s="9">
        <v>3387</v>
      </c>
      <c r="F9221" t="s" s="10">
        <v>196</v>
      </c>
      <c r="G9221" s="14"/>
      <c r="H9221" t="s" s="10">
        <v>136</v>
      </c>
      <c r="I9221" s="14"/>
      <c r="J9221" t="s" s="11">
        <v>20</v>
      </c>
      <c r="K9221" t="s" s="16">
        <f>HYPERLINK("http://csr.bu.edu/ftp/asl/asllvd/demos/verify_start_end_handshape_annotations//test_auto_move//signs_mov/2651_16363_merged.mov","MOV")</f>
        <v>21</v>
      </c>
      <c r="L9221" t="s" s="16">
        <f>HYPERLINK("http://csr.bu.edu/ftp/asl/asllvd/demos/verify_start_end_handshape_annotations//test_auto_move//signs_mov_separ_signers/Liz_16363.mov","MOV")</f>
        <v>21</v>
      </c>
      <c r="M9221" t="s" s="10">
        <v>77</v>
      </c>
      <c r="N9221" s="17">
        <v>13</v>
      </c>
      <c r="O9221" s="18">
        <v>888</v>
      </c>
      <c r="P9221" s="18">
        <v>932</v>
      </c>
      <c r="Q9221" t="s" s="16">
        <f>HYPERLINK("http://secrets.rutgers.edu:8080/data/asl-ftp/asllvd/demos/verify_start_end_handshape_annotations//test_auto_move//signs_mov/2651_16363_merged.mov","MOV")</f>
        <v>21</v>
      </c>
      <c r="R9221" t="s" s="16">
        <f>HYPERLINK("http://secrets.rutgers.edu:8080/data/asl-ftp/asllvd/demos/verify_start_end_handshape_annotations//test_auto_move//signs_mov_separ_signers/Liz_16363.mov","MOV")</f>
        <v>21</v>
      </c>
    </row>
    <row r="9222" s="2" customFormat="1" ht="13.5" customHeight="1">
      <c r="B9222" s="13"/>
      <c r="C9222" t="s" s="9">
        <v>30</v>
      </c>
      <c r="D9222" t="s" s="8">
        <v>3387</v>
      </c>
      <c r="E9222" t="s" s="9">
        <v>3387</v>
      </c>
      <c r="F9222" t="s" s="10">
        <v>136</v>
      </c>
      <c r="G9222" s="14"/>
      <c r="H9222" t="s" s="10">
        <v>136</v>
      </c>
      <c r="I9222" s="14"/>
      <c r="J9222" t="s" s="11">
        <v>20</v>
      </c>
      <c r="K9222" s="15"/>
      <c r="L9222" t="s" s="16">
        <f>HYPERLINK("http://csr.bu.edu/ftp/asl/asllvd/demos/verify_start_end_handshape_annotations//test_auto_move//signs_mov_separ_signers/Brady_2651.mov","MOV")</f>
        <v>21</v>
      </c>
      <c r="M9222" t="s" s="10">
        <v>60</v>
      </c>
      <c r="N9222" s="17">
        <v>8</v>
      </c>
      <c r="O9222" s="18">
        <v>1047</v>
      </c>
      <c r="P9222" s="18">
        <v>1059</v>
      </c>
      <c r="Q9222" s="15"/>
      <c r="R9222" t="s" s="16">
        <f>HYPERLINK("http://secrets.rutgers.edu:8080/data/asl-ftp/asllvd/demos/verify_start_end_handshape_annotations//test_auto_move//signs_mov_separ_signers/Brady_2651.mov","MOV")</f>
        <v>21</v>
      </c>
    </row>
    <row r="9223" s="2" customFormat="1" ht="13.5" customHeight="1">
      <c r="B9223" t="s" s="8">
        <v>52</v>
      </c>
      <c r="C9223" t="s" s="9">
        <v>53</v>
      </c>
      <c r="D9223" t="s" s="8">
        <v>53</v>
      </c>
      <c r="E9223" t="s" s="9">
        <v>53</v>
      </c>
      <c r="F9223" t="s" s="10">
        <v>53</v>
      </c>
      <c r="G9223" t="s" s="11">
        <v>53</v>
      </c>
      <c r="H9223" t="s" s="10">
        <v>53</v>
      </c>
      <c r="I9223" t="s" s="11">
        <v>53</v>
      </c>
      <c r="J9223" t="s" s="11">
        <v>53</v>
      </c>
      <c r="K9223" t="s" s="12">
        <v>53</v>
      </c>
      <c r="L9223" t="s" s="12">
        <v>53</v>
      </c>
      <c r="M9223" t="s" s="10">
        <v>53</v>
      </c>
      <c r="N9223" t="s" s="11">
        <v>53</v>
      </c>
      <c r="O9223" t="s" s="8">
        <v>53</v>
      </c>
      <c r="P9223" t="s" s="8">
        <v>53</v>
      </c>
      <c r="Q9223" t="s" s="12">
        <v>53</v>
      </c>
      <c r="R9223" t="s" s="12">
        <v>53</v>
      </c>
    </row>
    <row r="9224" s="2" customFormat="1" ht="13.5" customHeight="1">
      <c r="B9224" s="13"/>
      <c r="C9224" t="s" s="9">
        <v>23</v>
      </c>
      <c r="D9224" t="s" s="8">
        <v>3387</v>
      </c>
      <c r="E9224" t="s" s="9">
        <v>3388</v>
      </c>
      <c r="F9224" t="s" s="10">
        <v>136</v>
      </c>
      <c r="G9224" s="14"/>
      <c r="H9224" t="s" s="10">
        <v>136</v>
      </c>
      <c r="I9224" s="14"/>
      <c r="J9224" t="s" s="11">
        <v>20</v>
      </c>
      <c r="K9224" t="s" s="16">
        <f>HYPERLINK("http://csr.bu.edu/ftp/asl/asllvd/demos/verify_start_end_handshape_annotations//test_auto_move//signs_mov/16369.mov","MOV")</f>
        <v>21</v>
      </c>
      <c r="L9224" t="s" s="16">
        <f>HYPERLINK("http://csr.bu.edu/ftp/asl/asllvd/demos/verify_start_end_handshape_annotations//test_auto_move//signs_mov_separ_signers/Tyler_16369.mov","MOV")</f>
        <v>21</v>
      </c>
      <c r="M9224" t="s" s="10">
        <v>92</v>
      </c>
      <c r="N9224" s="17">
        <v>27</v>
      </c>
      <c r="O9224" s="18">
        <v>2111</v>
      </c>
      <c r="P9224" s="18">
        <v>2151</v>
      </c>
      <c r="Q9224" t="s" s="16">
        <f>HYPERLINK("http://secrets.rutgers.edu:8080/data/asl-ftp/asllvd/demos/verify_start_end_handshape_annotations//test_auto_move//signs_mov/16369.mov","MOV")</f>
        <v>21</v>
      </c>
      <c r="R9224" t="s" s="16">
        <f>HYPERLINK("http://secrets.rutgers.edu:8080/data/asl-ftp/asllvd/demos/verify_start_end_handshape_annotations//test_auto_move//signs_mov_separ_signers/Tyler_16369.mov","MOV")</f>
        <v>21</v>
      </c>
    </row>
    <row r="9225" s="2" customFormat="1" ht="13.5" customHeight="1">
      <c r="B9225" t="s" s="8">
        <v>52</v>
      </c>
      <c r="C9225" t="s" s="9">
        <v>53</v>
      </c>
      <c r="D9225" t="s" s="8">
        <v>53</v>
      </c>
      <c r="E9225" t="s" s="9">
        <v>53</v>
      </c>
      <c r="F9225" t="s" s="10">
        <v>53</v>
      </c>
      <c r="G9225" t="s" s="11">
        <v>53</v>
      </c>
      <c r="H9225" t="s" s="10">
        <v>53</v>
      </c>
      <c r="I9225" t="s" s="11">
        <v>53</v>
      </c>
      <c r="J9225" t="s" s="11">
        <v>53</v>
      </c>
      <c r="K9225" t="s" s="12">
        <v>53</v>
      </c>
      <c r="L9225" t="s" s="12">
        <v>53</v>
      </c>
      <c r="M9225" t="s" s="10">
        <v>53</v>
      </c>
      <c r="N9225" t="s" s="11">
        <v>53</v>
      </c>
      <c r="O9225" t="s" s="8">
        <v>53</v>
      </c>
      <c r="P9225" t="s" s="8">
        <v>53</v>
      </c>
      <c r="Q9225" t="s" s="12">
        <v>53</v>
      </c>
      <c r="R9225" t="s" s="12">
        <v>53</v>
      </c>
    </row>
    <row r="9226" s="2" customFormat="1" ht="13.5" customHeight="1">
      <c r="B9226" s="13"/>
      <c r="C9226" t="s" s="9">
        <v>30</v>
      </c>
      <c r="D9226" t="s" s="8">
        <v>3387</v>
      </c>
      <c r="E9226" t="s" s="9">
        <v>3389</v>
      </c>
      <c r="F9226" t="s" s="10">
        <v>196</v>
      </c>
      <c r="G9226" s="14"/>
      <c r="H9226" t="s" s="10">
        <v>136</v>
      </c>
      <c r="I9226" s="14"/>
      <c r="J9226" t="s" s="11">
        <v>20</v>
      </c>
      <c r="K9226" t="s" s="16">
        <f>HYPERLINK("http://csr.bu.edu/ftp/asl/asllvd/demos/verify_start_end_handshape_annotations//test_auto_move//signs_mov/16475.mov","MOV")</f>
        <v>21</v>
      </c>
      <c r="L9226" t="s" s="16">
        <f>HYPERLINK("http://csr.bu.edu/ftp/asl/asllvd/demos/verify_start_end_handshape_annotations//test_auto_move//signs_mov_separ_signers/Brady_16475.mov","MOV")</f>
        <v>21</v>
      </c>
      <c r="M9226" t="s" s="10">
        <v>39</v>
      </c>
      <c r="N9226" s="17">
        <v>40</v>
      </c>
      <c r="O9226" s="18">
        <v>2171</v>
      </c>
      <c r="P9226" s="18">
        <v>2205</v>
      </c>
      <c r="Q9226" t="s" s="16">
        <f>HYPERLINK("http://secrets.rutgers.edu:8080/data/asl-ftp/asllvd/demos/verify_start_end_handshape_annotations//test_auto_move//signs_mov/16475.mov","MOV")</f>
        <v>21</v>
      </c>
      <c r="R9226" t="s" s="16">
        <f>HYPERLINK("http://secrets.rutgers.edu:8080/data/asl-ftp/asllvd/demos/verify_start_end_handshape_annotations//test_auto_move//signs_mov_separ_signers/Brady_16475.mov","MOV")</f>
        <v>21</v>
      </c>
    </row>
    <row r="9227" s="2" customFormat="1" ht="13.5" customHeight="1">
      <c r="B9227" t="s" s="8">
        <v>3390</v>
      </c>
      <c r="C9227" t="s" s="9">
        <v>14</v>
      </c>
      <c r="D9227" t="s" s="8">
        <v>14</v>
      </c>
      <c r="E9227" t="s" s="9">
        <v>14</v>
      </c>
      <c r="F9227" t="s" s="10">
        <v>14</v>
      </c>
      <c r="G9227" t="s" s="11">
        <v>14</v>
      </c>
      <c r="H9227" t="s" s="10">
        <v>14</v>
      </c>
      <c r="I9227" t="s" s="11">
        <v>14</v>
      </c>
      <c r="J9227" t="s" s="11">
        <v>14</v>
      </c>
      <c r="K9227" t="s" s="12">
        <v>14</v>
      </c>
      <c r="L9227" t="s" s="12">
        <v>14</v>
      </c>
      <c r="M9227" t="s" s="10">
        <v>14</v>
      </c>
      <c r="N9227" t="s" s="11">
        <v>14</v>
      </c>
      <c r="O9227" t="s" s="8">
        <v>14</v>
      </c>
      <c r="P9227" t="s" s="8">
        <v>14</v>
      </c>
      <c r="Q9227" t="s" s="12">
        <v>14</v>
      </c>
      <c r="R9227" t="s" s="12">
        <v>14</v>
      </c>
    </row>
    <row r="9228" s="2" customFormat="1" ht="13.5" customHeight="1">
      <c r="B9228" s="13"/>
      <c r="C9228" t="s" s="9">
        <v>16</v>
      </c>
      <c r="D9228" t="s" s="8">
        <v>3390</v>
      </c>
      <c r="E9228" t="s" s="9">
        <v>3391</v>
      </c>
      <c r="F9228" s="19">
        <v>1</v>
      </c>
      <c r="G9228" s="14"/>
      <c r="H9228" s="19">
        <v>1</v>
      </c>
      <c r="I9228" s="14"/>
      <c r="J9228" t="s" s="11">
        <v>20</v>
      </c>
      <c r="K9228" t="s" s="16">
        <f>HYPERLINK("http://csr.bu.edu/ftp/asl/asllvd/demos/verify_start_end_handshape_annotations//test_auto_move//signs_mov/2653.mov","MOV")</f>
        <v>21</v>
      </c>
      <c r="L9228" t="s" s="16">
        <f>HYPERLINK("http://csr.bu.edu/ftp/asl/asllvd/demos/verify_start_end_handshape_annotations//test_auto_move//signs_mov_separ_signers/Liz_2653.mov","MOV")</f>
        <v>21</v>
      </c>
      <c r="M9228" t="s" s="10">
        <v>59</v>
      </c>
      <c r="N9228" s="17">
        <v>20</v>
      </c>
      <c r="O9228" s="18">
        <v>988</v>
      </c>
      <c r="P9228" s="18">
        <v>1055</v>
      </c>
      <c r="Q9228" t="s" s="16">
        <f>HYPERLINK("http://secrets.rutgers.edu:8080/data/asl-ftp/asllvd/demos/verify_start_end_handshape_annotations//test_auto_move//signs_mov/2653.mov","MOV")</f>
        <v>21</v>
      </c>
      <c r="R9228" t="s" s="16">
        <f>HYPERLINK("http://secrets.rutgers.edu:8080/data/asl-ftp/asllvd/demos/verify_start_end_handshape_annotations//test_auto_move//signs_mov_separ_signers/Liz_2653.mov","MOV")</f>
        <v>21</v>
      </c>
    </row>
    <row r="9229" s="2" customFormat="1" ht="13.5" customHeight="1">
      <c r="B9229" s="13"/>
      <c r="C9229" t="s" s="9">
        <v>30</v>
      </c>
      <c r="D9229" t="s" s="8">
        <v>3390</v>
      </c>
      <c r="E9229" t="s" s="9">
        <v>3391</v>
      </c>
      <c r="F9229" s="19">
        <v>1</v>
      </c>
      <c r="G9229" s="14"/>
      <c r="H9229" s="19">
        <v>1</v>
      </c>
      <c r="I9229" s="14"/>
      <c r="J9229" t="s" s="11">
        <v>20</v>
      </c>
      <c r="K9229" s="15"/>
      <c r="L9229" t="s" s="16">
        <f>HYPERLINK("http://csr.bu.edu/ftp/asl/asllvd/demos/verify_start_end_handshape_annotations//test_auto_move//signs_mov_separ_signers/Brady_2653.mov","MOV")</f>
        <v>21</v>
      </c>
      <c r="M9229" t="s" s="10">
        <v>60</v>
      </c>
      <c r="N9229" s="17">
        <v>8</v>
      </c>
      <c r="O9229" s="18">
        <v>1896</v>
      </c>
      <c r="P9229" s="18">
        <v>1943</v>
      </c>
      <c r="Q9229" s="15"/>
      <c r="R9229" t="s" s="16">
        <f>HYPERLINK("http://secrets.rutgers.edu:8080/data/asl-ftp/asllvd/demos/verify_start_end_handshape_annotations//test_auto_move//signs_mov_separ_signers/Brady_2653.mov","MOV")</f>
        <v>21</v>
      </c>
    </row>
    <row r="9230" s="2" customFormat="1" ht="13.5" customHeight="1">
      <c r="B9230" t="s" s="8">
        <v>3392</v>
      </c>
      <c r="C9230" t="s" s="9">
        <v>14</v>
      </c>
      <c r="D9230" t="s" s="8">
        <v>14</v>
      </c>
      <c r="E9230" t="s" s="9">
        <v>14</v>
      </c>
      <c r="F9230" t="s" s="10">
        <v>14</v>
      </c>
      <c r="G9230" t="s" s="11">
        <v>14</v>
      </c>
      <c r="H9230" t="s" s="10">
        <v>14</v>
      </c>
      <c r="I9230" t="s" s="11">
        <v>14</v>
      </c>
      <c r="J9230" t="s" s="11">
        <v>14</v>
      </c>
      <c r="K9230" t="s" s="12">
        <v>14</v>
      </c>
      <c r="L9230" t="s" s="12">
        <v>14</v>
      </c>
      <c r="M9230" t="s" s="10">
        <v>14</v>
      </c>
      <c r="N9230" t="s" s="11">
        <v>14</v>
      </c>
      <c r="O9230" t="s" s="8">
        <v>14</v>
      </c>
      <c r="P9230" t="s" s="8">
        <v>14</v>
      </c>
      <c r="Q9230" t="s" s="12">
        <v>14</v>
      </c>
      <c r="R9230" t="s" s="12">
        <v>14</v>
      </c>
    </row>
    <row r="9231" s="2" customFormat="1" ht="13.5" customHeight="1">
      <c r="B9231" s="13"/>
      <c r="C9231" t="s" s="9">
        <v>16</v>
      </c>
      <c r="D9231" t="s" s="8">
        <v>3392</v>
      </c>
      <c r="E9231" t="s" s="9">
        <v>3393</v>
      </c>
      <c r="F9231" t="s" s="10">
        <v>268</v>
      </c>
      <c r="G9231" s="14"/>
      <c r="H9231" t="s" s="10">
        <v>268</v>
      </c>
      <c r="I9231" s="14"/>
      <c r="J9231" t="s" s="11">
        <v>20</v>
      </c>
      <c r="K9231" s="15"/>
      <c r="L9231" t="s" s="16">
        <f>HYPERLINK("http://csr.bu.edu/ftp/asl/asllvd/demos/verify_start_end_handshape_annotations//test_auto_move//signs_mov_separ_signers/Liz_15806.mov","MOV")</f>
        <v>21</v>
      </c>
      <c r="M9231" t="s" s="10">
        <v>22</v>
      </c>
      <c r="N9231" s="17">
        <v>57</v>
      </c>
      <c r="O9231" s="18">
        <v>1740</v>
      </c>
      <c r="P9231" s="18">
        <v>1810</v>
      </c>
      <c r="Q9231" s="15"/>
      <c r="R9231" t="s" s="16">
        <f>HYPERLINK("http://secrets.rutgers.edu:8080/data/asl-ftp/asllvd/demos/verify_start_end_handshape_annotations//test_auto_move//signs_mov_separ_signers/Liz_15806.mov","MOV")</f>
        <v>21</v>
      </c>
    </row>
    <row r="9232" s="2" customFormat="1" ht="13.5" customHeight="1">
      <c r="B9232" s="13"/>
      <c r="C9232" t="s" s="9">
        <v>23</v>
      </c>
      <c r="D9232" t="s" s="8">
        <v>3392</v>
      </c>
      <c r="E9232" t="s" s="9">
        <v>3394</v>
      </c>
      <c r="F9232" t="s" s="10">
        <v>268</v>
      </c>
      <c r="G9232" s="14"/>
      <c r="H9232" t="s" s="10">
        <v>268</v>
      </c>
      <c r="I9232" s="14"/>
      <c r="J9232" t="s" s="11">
        <v>20</v>
      </c>
      <c r="K9232" t="s" s="16">
        <f>HYPERLINK("http://csr.bu.edu/ftp/asl/asllvd/demos/verify_start_end_handshape_annotations//test_auto_move//signs_mov/15806.mov","MOV")</f>
        <v>21</v>
      </c>
      <c r="L9232" t="s" s="16">
        <f>HYPERLINK("http://csr.bu.edu/ftp/asl/asllvd/demos/verify_start_end_handshape_annotations//test_auto_move//signs_mov_separ_signers/Tyler_15806.mov","MOV")</f>
        <v>21</v>
      </c>
      <c r="M9232" t="s" s="10">
        <v>26</v>
      </c>
      <c r="N9232" s="17">
        <v>35</v>
      </c>
      <c r="O9232" s="18">
        <v>2311</v>
      </c>
      <c r="P9232" s="18">
        <v>2360</v>
      </c>
      <c r="Q9232" t="s" s="16">
        <f>HYPERLINK("http://secrets.rutgers.edu:8080/data/asl-ftp/asllvd/demos/verify_start_end_handshape_annotations//test_auto_move//signs_mov/15806.mov","MOV")</f>
        <v>21</v>
      </c>
      <c r="R9232" t="s" s="16">
        <f>HYPERLINK("http://secrets.rutgers.edu:8080/data/asl-ftp/asllvd/demos/verify_start_end_handshape_annotations//test_auto_move//signs_mov_separ_signers/Tyler_15806.mov","MOV")</f>
        <v>21</v>
      </c>
    </row>
    <row r="9233" s="2" customFormat="1" ht="13.5" customHeight="1">
      <c r="B9233" s="13"/>
      <c r="C9233" t="s" s="9">
        <v>27</v>
      </c>
      <c r="D9233" t="s" s="8">
        <v>3392</v>
      </c>
      <c r="E9233" t="s" s="9">
        <v>3393</v>
      </c>
      <c r="F9233" t="s" s="10">
        <v>268</v>
      </c>
      <c r="G9233" s="14"/>
      <c r="H9233" t="s" s="10">
        <v>268</v>
      </c>
      <c r="I9233" s="14"/>
      <c r="J9233" t="s" s="11">
        <v>20</v>
      </c>
      <c r="K9233" s="15"/>
      <c r="L9233" t="s" s="16">
        <f>HYPERLINK("http://csr.bu.edu/ftp/asl/asllvd/demos/verify_start_end_handshape_annotations//test_auto_move//signs_mov_separ_signers/Naomi_15806.mov","MOV")</f>
        <v>21</v>
      </c>
      <c r="M9233" t="s" s="10">
        <v>29</v>
      </c>
      <c r="N9233" s="17">
        <v>36</v>
      </c>
      <c r="O9233" s="18">
        <v>2885</v>
      </c>
      <c r="P9233" s="18">
        <v>2931</v>
      </c>
      <c r="Q9233" s="15"/>
      <c r="R9233" t="s" s="16">
        <f>HYPERLINK("http://secrets.rutgers.edu:8080/data/asl-ftp/asllvd/demos/verify_start_end_handshape_annotations//test_auto_move//signs_mov_separ_signers/Naomi_15806.mov","MOV")</f>
        <v>21</v>
      </c>
    </row>
    <row r="9234" s="2" customFormat="1" ht="13.5" customHeight="1">
      <c r="B9234" s="13"/>
      <c r="C9234" t="s" s="9">
        <v>30</v>
      </c>
      <c r="D9234" t="s" s="8">
        <v>3392</v>
      </c>
      <c r="E9234" t="s" s="9">
        <v>3393</v>
      </c>
      <c r="F9234" t="s" s="10">
        <v>268</v>
      </c>
      <c r="G9234" s="14"/>
      <c r="H9234" t="s" s="10">
        <v>268</v>
      </c>
      <c r="I9234" s="14"/>
      <c r="J9234" t="s" s="11">
        <v>20</v>
      </c>
      <c r="K9234" s="15"/>
      <c r="L9234" t="s" s="16">
        <f>HYPERLINK("http://csr.bu.edu/ftp/asl/asllvd/demos/verify_start_end_handshape_annotations//test_auto_move//signs_mov_separ_signers/Brady_15806.mov","MOV")</f>
        <v>21</v>
      </c>
      <c r="M9234" t="s" s="10">
        <v>31</v>
      </c>
      <c r="N9234" s="17">
        <v>24</v>
      </c>
      <c r="O9234" s="18">
        <v>523</v>
      </c>
      <c r="P9234" s="18">
        <v>554</v>
      </c>
      <c r="Q9234" s="15"/>
      <c r="R9234" t="s" s="16">
        <f>HYPERLINK("http://secrets.rutgers.edu:8080/data/asl-ftp/asllvd/demos/verify_start_end_handshape_annotations//test_auto_move//signs_mov_separ_signers/Brady_15806.mov","MOV")</f>
        <v>21</v>
      </c>
    </row>
    <row r="9235" s="2" customFormat="1" ht="13.5" customHeight="1">
      <c r="B9235" t="s" s="8">
        <v>3395</v>
      </c>
      <c r="C9235" t="s" s="9">
        <v>14</v>
      </c>
      <c r="D9235" t="s" s="8">
        <v>14</v>
      </c>
      <c r="E9235" t="s" s="9">
        <v>14</v>
      </c>
      <c r="F9235" t="s" s="10">
        <v>14</v>
      </c>
      <c r="G9235" t="s" s="11">
        <v>14</v>
      </c>
      <c r="H9235" t="s" s="10">
        <v>14</v>
      </c>
      <c r="I9235" t="s" s="11">
        <v>14</v>
      </c>
      <c r="J9235" t="s" s="11">
        <v>14</v>
      </c>
      <c r="K9235" t="s" s="12">
        <v>14</v>
      </c>
      <c r="L9235" t="s" s="12">
        <v>14</v>
      </c>
      <c r="M9235" t="s" s="10">
        <v>14</v>
      </c>
      <c r="N9235" t="s" s="11">
        <v>14</v>
      </c>
      <c r="O9235" t="s" s="8">
        <v>14</v>
      </c>
      <c r="P9235" t="s" s="8">
        <v>14</v>
      </c>
      <c r="Q9235" t="s" s="12">
        <v>14</v>
      </c>
      <c r="R9235" t="s" s="12">
        <v>14</v>
      </c>
    </row>
    <row r="9236" s="2" customFormat="1" ht="13.5" customHeight="1">
      <c r="B9236" s="13"/>
      <c r="C9236" t="s" s="9">
        <v>16</v>
      </c>
      <c r="D9236" t="s" s="8">
        <v>3395</v>
      </c>
      <c r="E9236" t="s" s="9">
        <v>3395</v>
      </c>
      <c r="F9236" t="s" s="10">
        <v>255</v>
      </c>
      <c r="G9236" s="17">
        <v>1</v>
      </c>
      <c r="H9236" t="s" s="10">
        <v>255</v>
      </c>
      <c r="I9236" s="17">
        <v>1</v>
      </c>
      <c r="J9236" t="s" s="11">
        <v>20</v>
      </c>
      <c r="K9236" t="s" s="16">
        <f>HYPERLINK("http://csr.bu.edu/ftp/asl/asllvd/demos/verify_start_end_handshape_annotations//test_auto_move//signs_mov/15824.mov","MOV")</f>
        <v>21</v>
      </c>
      <c r="L9236" t="s" s="16">
        <f>HYPERLINK("http://csr.bu.edu/ftp/asl/asllvd/demos/verify_start_end_handshape_annotations//test_auto_move//signs_mov_separ_signers/Liz_15824.mov","MOV")</f>
        <v>21</v>
      </c>
      <c r="M9236" t="s" s="10">
        <v>59</v>
      </c>
      <c r="N9236" s="17">
        <v>20</v>
      </c>
      <c r="O9236" s="18">
        <v>1307</v>
      </c>
      <c r="P9236" s="18">
        <v>1350</v>
      </c>
      <c r="Q9236" t="s" s="16">
        <f>HYPERLINK("http://secrets.rutgers.edu:8080/data/asl-ftp/asllvd/demos/verify_start_end_handshape_annotations//test_auto_move//signs_mov/15824.mov","MOV")</f>
        <v>21</v>
      </c>
      <c r="R9236" t="s" s="16">
        <f>HYPERLINK("http://secrets.rutgers.edu:8080/data/asl-ftp/asllvd/demos/verify_start_end_handshape_annotations//test_auto_move//signs_mov_separ_signers/Liz_15824.mov","MOV")</f>
        <v>21</v>
      </c>
    </row>
    <row r="9237" s="2" customFormat="1" ht="13.5" customHeight="1">
      <c r="B9237" t="s" s="8">
        <v>52</v>
      </c>
      <c r="C9237" t="s" s="9">
        <v>53</v>
      </c>
      <c r="D9237" t="s" s="8">
        <v>53</v>
      </c>
      <c r="E9237" t="s" s="9">
        <v>53</v>
      </c>
      <c r="F9237" t="s" s="10">
        <v>53</v>
      </c>
      <c r="G9237" t="s" s="11">
        <v>53</v>
      </c>
      <c r="H9237" t="s" s="10">
        <v>53</v>
      </c>
      <c r="I9237" t="s" s="11">
        <v>53</v>
      </c>
      <c r="J9237" t="s" s="11">
        <v>53</v>
      </c>
      <c r="K9237" t="s" s="12">
        <v>53</v>
      </c>
      <c r="L9237" t="s" s="12">
        <v>53</v>
      </c>
      <c r="M9237" t="s" s="10">
        <v>53</v>
      </c>
      <c r="N9237" t="s" s="11">
        <v>53</v>
      </c>
      <c r="O9237" t="s" s="8">
        <v>53</v>
      </c>
      <c r="P9237" t="s" s="8">
        <v>53</v>
      </c>
      <c r="Q9237" t="s" s="12">
        <v>53</v>
      </c>
      <c r="R9237" t="s" s="12">
        <v>53</v>
      </c>
    </row>
    <row r="9238" s="2" customFormat="1" ht="13.5" customHeight="1">
      <c r="B9238" s="13"/>
      <c r="C9238" t="s" s="9">
        <v>30</v>
      </c>
      <c r="D9238" t="s" s="8">
        <v>3395</v>
      </c>
      <c r="E9238" t="s" s="9">
        <v>3396</v>
      </c>
      <c r="F9238" t="s" s="10">
        <v>255</v>
      </c>
      <c r="G9238" s="17">
        <v>1</v>
      </c>
      <c r="H9238" t="s" s="10">
        <v>255</v>
      </c>
      <c r="I9238" s="17">
        <v>1</v>
      </c>
      <c r="J9238" t="s" s="11">
        <v>20</v>
      </c>
      <c r="K9238" t="s" s="16">
        <f>HYPERLINK("http://csr.bu.edu/ftp/asl/asllvd/demos/verify_start_end_handshape_annotations//test_auto_move//signs_mov/15841.mov","MOV")</f>
        <v>21</v>
      </c>
      <c r="L9238" t="s" s="16">
        <f>HYPERLINK("http://csr.bu.edu/ftp/asl/asllvd/demos/verify_start_end_handshape_annotations//test_auto_move//signs_mov_separ_signers/Brady_15841.mov","MOV")</f>
        <v>21</v>
      </c>
      <c r="M9238" t="s" s="10">
        <v>60</v>
      </c>
      <c r="N9238" s="17">
        <v>8</v>
      </c>
      <c r="O9238" s="18">
        <v>2138</v>
      </c>
      <c r="P9238" s="18">
        <v>2186</v>
      </c>
      <c r="Q9238" t="s" s="16">
        <f>HYPERLINK("http://secrets.rutgers.edu:8080/data/asl-ftp/asllvd/demos/verify_start_end_handshape_annotations//test_auto_move//signs_mov/15841.mov","MOV")</f>
        <v>21</v>
      </c>
      <c r="R9238" t="s" s="16">
        <f>HYPERLINK("http://secrets.rutgers.edu:8080/data/asl-ftp/asllvd/demos/verify_start_end_handshape_annotations//test_auto_move//signs_mov_separ_signers/Brady_15841.mov","MOV")</f>
        <v>21</v>
      </c>
    </row>
    <row r="9239" s="2" customFormat="1" ht="13.5" customHeight="1">
      <c r="B9239" t="s" s="8">
        <v>52</v>
      </c>
      <c r="C9239" t="s" s="9">
        <v>53</v>
      </c>
      <c r="D9239" t="s" s="8">
        <v>53</v>
      </c>
      <c r="E9239" t="s" s="9">
        <v>53</v>
      </c>
      <c r="F9239" t="s" s="10">
        <v>53</v>
      </c>
      <c r="G9239" t="s" s="11">
        <v>53</v>
      </c>
      <c r="H9239" t="s" s="10">
        <v>53</v>
      </c>
      <c r="I9239" t="s" s="11">
        <v>53</v>
      </c>
      <c r="J9239" t="s" s="11">
        <v>53</v>
      </c>
      <c r="K9239" t="s" s="12">
        <v>53</v>
      </c>
      <c r="L9239" t="s" s="12">
        <v>53</v>
      </c>
      <c r="M9239" t="s" s="10">
        <v>53</v>
      </c>
      <c r="N9239" t="s" s="11">
        <v>53</v>
      </c>
      <c r="O9239" t="s" s="8">
        <v>53</v>
      </c>
      <c r="P9239" t="s" s="8">
        <v>53</v>
      </c>
      <c r="Q9239" t="s" s="12">
        <v>53</v>
      </c>
      <c r="R9239" t="s" s="12">
        <v>53</v>
      </c>
    </row>
    <row r="9240" s="2" customFormat="1" ht="13.5" customHeight="1">
      <c r="B9240" s="13"/>
      <c r="C9240" t="s" s="9">
        <v>16</v>
      </c>
      <c r="D9240" t="s" s="8">
        <v>3395</v>
      </c>
      <c r="E9240" t="s" s="9">
        <v>3397</v>
      </c>
      <c r="F9240" t="s" s="10">
        <v>63</v>
      </c>
      <c r="G9240" s="17">
        <v>1</v>
      </c>
      <c r="H9240" t="s" s="10">
        <v>63</v>
      </c>
      <c r="I9240" s="17">
        <v>1</v>
      </c>
      <c r="J9240" t="s" s="11">
        <v>20</v>
      </c>
      <c r="K9240" t="s" s="16">
        <f>HYPERLINK("http://csr.bu.edu/ftp/asl/asllvd/demos/verify_start_end_handshape_annotations//test_auto_move//signs_mov/16476.mov","MOV")</f>
        <v>21</v>
      </c>
      <c r="L9240" t="s" s="16">
        <f>HYPERLINK("http://csr.bu.edu/ftp/asl/asllvd/demos/verify_start_end_handshape_annotations//test_auto_move//signs_mov_separ_signers/Liz_16476.mov","MOV")</f>
        <v>21</v>
      </c>
      <c r="M9240" t="s" s="10">
        <v>59</v>
      </c>
      <c r="N9240" s="17">
        <v>20</v>
      </c>
      <c r="O9240" s="18">
        <v>1610</v>
      </c>
      <c r="P9240" s="18">
        <v>1670</v>
      </c>
      <c r="Q9240" t="s" s="16">
        <f>HYPERLINK("http://secrets.rutgers.edu:8080/data/asl-ftp/asllvd/demos/verify_start_end_handshape_annotations//test_auto_move//signs_mov/16476.mov","MOV")</f>
        <v>21</v>
      </c>
      <c r="R9240" t="s" s="16">
        <f>HYPERLINK("http://secrets.rutgers.edu:8080/data/asl-ftp/asllvd/demos/verify_start_end_handshape_annotations//test_auto_move//signs_mov_separ_signers/Liz_16476.mov","MOV")</f>
        <v>21</v>
      </c>
    </row>
    <row r="9241" s="2" customFormat="1" ht="13.5" customHeight="1">
      <c r="B9241" s="13"/>
      <c r="C9241" t="s" s="9">
        <v>30</v>
      </c>
      <c r="D9241" t="s" s="8">
        <v>3395</v>
      </c>
      <c r="E9241" t="s" s="9">
        <v>3397</v>
      </c>
      <c r="F9241" t="s" s="10">
        <v>63</v>
      </c>
      <c r="G9241" s="17">
        <v>1</v>
      </c>
      <c r="H9241" t="s" s="10">
        <v>63</v>
      </c>
      <c r="I9241" s="17">
        <v>1</v>
      </c>
      <c r="J9241" t="s" s="11">
        <v>20</v>
      </c>
      <c r="K9241" s="15"/>
      <c r="L9241" t="s" s="16">
        <f>HYPERLINK("http://csr.bu.edu/ftp/asl/asllvd/demos/verify_start_end_handshape_annotations//test_auto_move//signs_mov_separ_signers/Brady_16476.mov","MOV")</f>
        <v>21</v>
      </c>
      <c r="M9241" t="s" s="10">
        <v>60</v>
      </c>
      <c r="N9241" s="17">
        <v>8</v>
      </c>
      <c r="O9241" s="18">
        <v>2375</v>
      </c>
      <c r="P9241" s="18">
        <v>2414</v>
      </c>
      <c r="Q9241" s="15"/>
      <c r="R9241" t="s" s="16">
        <f>HYPERLINK("http://secrets.rutgers.edu:8080/data/asl-ftp/asllvd/demos/verify_start_end_handshape_annotations//test_auto_move//signs_mov_separ_signers/Brady_16476.mov","MOV")</f>
        <v>21</v>
      </c>
    </row>
    <row r="9242" s="2" customFormat="1" ht="13.5" customHeight="1">
      <c r="B9242" t="s" s="8">
        <v>3398</v>
      </c>
      <c r="C9242" t="s" s="9">
        <v>14</v>
      </c>
      <c r="D9242" t="s" s="8">
        <v>14</v>
      </c>
      <c r="E9242" t="s" s="9">
        <v>14</v>
      </c>
      <c r="F9242" t="s" s="10">
        <v>14</v>
      </c>
      <c r="G9242" t="s" s="11">
        <v>14</v>
      </c>
      <c r="H9242" t="s" s="10">
        <v>14</v>
      </c>
      <c r="I9242" t="s" s="11">
        <v>14</v>
      </c>
      <c r="J9242" t="s" s="11">
        <v>14</v>
      </c>
      <c r="K9242" t="s" s="12">
        <v>14</v>
      </c>
      <c r="L9242" t="s" s="12">
        <v>14</v>
      </c>
      <c r="M9242" t="s" s="10">
        <v>14</v>
      </c>
      <c r="N9242" t="s" s="11">
        <v>14</v>
      </c>
      <c r="O9242" t="s" s="8">
        <v>14</v>
      </c>
      <c r="P9242" t="s" s="8">
        <v>14</v>
      </c>
      <c r="Q9242" t="s" s="12">
        <v>14</v>
      </c>
      <c r="R9242" t="s" s="12">
        <v>14</v>
      </c>
    </row>
    <row r="9243" s="2" customFormat="1" ht="13.5" customHeight="1">
      <c r="B9243" s="13"/>
      <c r="C9243" t="s" s="9">
        <v>16</v>
      </c>
      <c r="D9243" t="s" s="8">
        <v>3398</v>
      </c>
      <c r="E9243" t="s" s="9">
        <v>3398</v>
      </c>
      <c r="F9243" t="s" s="10">
        <v>73</v>
      </c>
      <c r="G9243" t="s" s="11">
        <v>109</v>
      </c>
      <c r="H9243" t="s" s="10">
        <v>73</v>
      </c>
      <c r="I9243" t="s" s="11">
        <v>109</v>
      </c>
      <c r="J9243" t="s" s="11">
        <v>20</v>
      </c>
      <c r="K9243" t="s" s="16">
        <f>HYPERLINK("http://csr.bu.edu/ftp/asl/asllvd/demos/verify_start_end_handshape_annotations//test_auto_move//signs_mov/2656.mov","MOV")</f>
        <v>21</v>
      </c>
      <c r="L9243" t="s" s="16">
        <f>HYPERLINK("http://csr.bu.edu/ftp/asl/asllvd/demos/verify_start_end_handshape_annotations//test_auto_move//signs_mov_separ_signers/Liz_2656.mov","MOV")</f>
        <v>21</v>
      </c>
      <c r="M9243" t="s" s="10">
        <v>59</v>
      </c>
      <c r="N9243" s="17">
        <v>20</v>
      </c>
      <c r="O9243" s="18">
        <v>2036</v>
      </c>
      <c r="P9243" s="18">
        <v>2070</v>
      </c>
      <c r="Q9243" t="s" s="16">
        <f>HYPERLINK("http://secrets.rutgers.edu:8080/data/asl-ftp/asllvd/demos/verify_start_end_handshape_annotations//test_auto_move//signs_mov/2656.mov","MOV")</f>
        <v>21</v>
      </c>
      <c r="R9243" t="s" s="16">
        <f>HYPERLINK("http://secrets.rutgers.edu:8080/data/asl-ftp/asllvd/demos/verify_start_end_handshape_annotations//test_auto_move//signs_mov_separ_signers/Liz_2656.mov","MOV")</f>
        <v>21</v>
      </c>
    </row>
    <row r="9244" s="2" customFormat="1" ht="13.5" customHeight="1">
      <c r="B9244" s="13"/>
      <c r="C9244" t="s" s="9">
        <v>30</v>
      </c>
      <c r="D9244" t="s" s="8">
        <v>3398</v>
      </c>
      <c r="E9244" t="s" s="9">
        <v>3398</v>
      </c>
      <c r="F9244" t="s" s="10">
        <v>73</v>
      </c>
      <c r="G9244" t="s" s="11">
        <v>73</v>
      </c>
      <c r="H9244" t="s" s="10">
        <v>73</v>
      </c>
      <c r="I9244" t="s" s="11">
        <v>73</v>
      </c>
      <c r="J9244" t="s" s="11">
        <v>20</v>
      </c>
      <c r="K9244" s="15"/>
      <c r="L9244" t="s" s="16">
        <f>HYPERLINK("http://csr.bu.edu/ftp/asl/asllvd/demos/verify_start_end_handshape_annotations//test_auto_move//signs_mov_separ_signers/Brady_2656.mov","MOV")</f>
        <v>21</v>
      </c>
      <c r="M9244" t="s" s="10">
        <v>60</v>
      </c>
      <c r="N9244" s="17">
        <v>8</v>
      </c>
      <c r="O9244" s="18">
        <v>2620</v>
      </c>
      <c r="P9244" s="18">
        <v>2645</v>
      </c>
      <c r="Q9244" s="15"/>
      <c r="R9244" t="s" s="16">
        <f>HYPERLINK("http://secrets.rutgers.edu:8080/data/asl-ftp/asllvd/demos/verify_start_end_handshape_annotations//test_auto_move//signs_mov_separ_signers/Brady_2656.mov","MOV")</f>
        <v>21</v>
      </c>
    </row>
    <row r="9245" s="2" customFormat="1" ht="13.5" customHeight="1">
      <c r="B9245" t="s" s="8">
        <v>3399</v>
      </c>
      <c r="C9245" t="s" s="9">
        <v>14</v>
      </c>
      <c r="D9245" t="s" s="8">
        <v>14</v>
      </c>
      <c r="E9245" t="s" s="9">
        <v>14</v>
      </c>
      <c r="F9245" t="s" s="10">
        <v>14</v>
      </c>
      <c r="G9245" t="s" s="11">
        <v>14</v>
      </c>
      <c r="H9245" t="s" s="10">
        <v>14</v>
      </c>
      <c r="I9245" t="s" s="11">
        <v>14</v>
      </c>
      <c r="J9245" t="s" s="11">
        <v>14</v>
      </c>
      <c r="K9245" t="s" s="12">
        <v>14</v>
      </c>
      <c r="L9245" t="s" s="12">
        <v>14</v>
      </c>
      <c r="M9245" t="s" s="10">
        <v>14</v>
      </c>
      <c r="N9245" t="s" s="11">
        <v>14</v>
      </c>
      <c r="O9245" t="s" s="8">
        <v>14</v>
      </c>
      <c r="P9245" t="s" s="8">
        <v>14</v>
      </c>
      <c r="Q9245" t="s" s="12">
        <v>14</v>
      </c>
      <c r="R9245" t="s" s="12">
        <v>14</v>
      </c>
    </row>
    <row r="9246" s="2" customFormat="1" ht="13.5" customHeight="1">
      <c r="B9246" s="13"/>
      <c r="C9246" t="s" s="9">
        <v>30</v>
      </c>
      <c r="D9246" t="s" s="8">
        <v>3399</v>
      </c>
      <c r="E9246" t="s" s="9">
        <v>3399</v>
      </c>
      <c r="F9246" s="19">
        <v>25</v>
      </c>
      <c r="G9246" s="14"/>
      <c r="H9246" s="19">
        <v>25</v>
      </c>
      <c r="I9246" s="14"/>
      <c r="J9246" t="s" s="11">
        <v>20</v>
      </c>
      <c r="K9246" t="s" s="16">
        <f>HYPERLINK("http://csr.bu.edu/ftp/asl/asllvd/demos/verify_start_end_handshape_annotations//test_auto_move//signs_mov/2661.mov","MOV")</f>
        <v>21</v>
      </c>
      <c r="L9246" t="s" s="16">
        <f>HYPERLINK("http://csr.bu.edu/ftp/asl/asllvd/demos/verify_start_end_handshape_annotations//test_auto_move//signs_mov_separ_signers/Brady_2661.mov","MOV")</f>
        <v>21</v>
      </c>
      <c r="M9246" t="s" s="10">
        <v>60</v>
      </c>
      <c r="N9246" s="17">
        <v>9</v>
      </c>
      <c r="O9246" s="18">
        <v>540</v>
      </c>
      <c r="P9246" s="18">
        <v>562</v>
      </c>
      <c r="Q9246" t="s" s="16">
        <f>HYPERLINK("http://secrets.rutgers.edu:8080/data/asl-ftp/asllvd/demos/verify_start_end_handshape_annotations//test_auto_move//signs_mov/2661.mov","MOV")</f>
        <v>21</v>
      </c>
      <c r="R9246" t="s" s="16">
        <f>HYPERLINK("http://secrets.rutgers.edu:8080/data/asl-ftp/asllvd/demos/verify_start_end_handshape_annotations//test_auto_move//signs_mov_separ_signers/Brady_2661.mov","MOV")</f>
        <v>21</v>
      </c>
    </row>
    <row r="9247" s="2" customFormat="1" ht="13.5" customHeight="1">
      <c r="B9247" t="s" s="8">
        <v>52</v>
      </c>
      <c r="C9247" t="s" s="9">
        <v>53</v>
      </c>
      <c r="D9247" t="s" s="8">
        <v>53</v>
      </c>
      <c r="E9247" t="s" s="9">
        <v>53</v>
      </c>
      <c r="F9247" t="s" s="10">
        <v>53</v>
      </c>
      <c r="G9247" t="s" s="11">
        <v>53</v>
      </c>
      <c r="H9247" t="s" s="10">
        <v>53</v>
      </c>
      <c r="I9247" t="s" s="11">
        <v>53</v>
      </c>
      <c r="J9247" t="s" s="11">
        <v>53</v>
      </c>
      <c r="K9247" t="s" s="12">
        <v>53</v>
      </c>
      <c r="L9247" t="s" s="12">
        <v>53</v>
      </c>
      <c r="M9247" t="s" s="10">
        <v>53</v>
      </c>
      <c r="N9247" t="s" s="11">
        <v>53</v>
      </c>
      <c r="O9247" t="s" s="8">
        <v>53</v>
      </c>
      <c r="P9247" t="s" s="8">
        <v>53</v>
      </c>
      <c r="Q9247" t="s" s="12">
        <v>53</v>
      </c>
      <c r="R9247" t="s" s="12">
        <v>53</v>
      </c>
    </row>
    <row r="9248" s="2" customFormat="1" ht="13.5" customHeight="1">
      <c r="B9248" s="13"/>
      <c r="C9248" t="s" s="9">
        <v>16</v>
      </c>
      <c r="D9248" t="s" s="8">
        <v>3399</v>
      </c>
      <c r="E9248" t="s" s="9">
        <v>3400</v>
      </c>
      <c r="F9248" s="19">
        <v>25</v>
      </c>
      <c r="G9248" t="s" s="11">
        <v>105</v>
      </c>
      <c r="H9248" s="19">
        <v>25</v>
      </c>
      <c r="I9248" t="s" s="11">
        <v>105</v>
      </c>
      <c r="J9248" t="s" s="11">
        <v>136</v>
      </c>
      <c r="K9248" t="s" s="16">
        <f>HYPERLINK("http://csr.bu.edu/ftp/asl/asllvd/demos/verify_start_end_handshape_annotations//test_auto_move//signs_mov/16477.mov","MOV")</f>
        <v>21</v>
      </c>
      <c r="L9248" t="s" s="16">
        <f>HYPERLINK("http://csr.bu.edu/ftp/asl/asllvd/demos/verify_start_end_handshape_annotations//test_auto_move//signs_mov_separ_signers/Liz_16477.mov","MOV")</f>
        <v>21</v>
      </c>
      <c r="M9248" t="s" s="10">
        <v>59</v>
      </c>
      <c r="N9248" s="17">
        <v>21</v>
      </c>
      <c r="O9248" s="18">
        <v>867</v>
      </c>
      <c r="P9248" s="18">
        <v>890</v>
      </c>
      <c r="Q9248" t="s" s="16">
        <f>HYPERLINK("http://secrets.rutgers.edu:8080/data/asl-ftp/asllvd/demos/verify_start_end_handshape_annotations//test_auto_move//signs_mov/16477.mov","MOV")</f>
        <v>21</v>
      </c>
      <c r="R9248" t="s" s="16">
        <f>HYPERLINK("http://secrets.rutgers.edu:8080/data/asl-ftp/asllvd/demos/verify_start_end_handshape_annotations//test_auto_move//signs_mov_separ_signers/Liz_16477.mov","MOV")</f>
        <v>21</v>
      </c>
    </row>
    <row r="9249" s="2" customFormat="1" ht="13.5" customHeight="1">
      <c r="B9249" t="s" s="8">
        <v>3401</v>
      </c>
      <c r="C9249" t="s" s="9">
        <v>14</v>
      </c>
      <c r="D9249" t="s" s="8">
        <v>14</v>
      </c>
      <c r="E9249" t="s" s="9">
        <v>14</v>
      </c>
      <c r="F9249" t="s" s="10">
        <v>14</v>
      </c>
      <c r="G9249" t="s" s="11">
        <v>14</v>
      </c>
      <c r="H9249" t="s" s="10">
        <v>14</v>
      </c>
      <c r="I9249" t="s" s="11">
        <v>14</v>
      </c>
      <c r="J9249" t="s" s="11">
        <v>14</v>
      </c>
      <c r="K9249" t="s" s="12">
        <v>14</v>
      </c>
      <c r="L9249" t="s" s="12">
        <v>14</v>
      </c>
      <c r="M9249" t="s" s="10">
        <v>14</v>
      </c>
      <c r="N9249" t="s" s="11">
        <v>14</v>
      </c>
      <c r="O9249" t="s" s="8">
        <v>14</v>
      </c>
      <c r="P9249" t="s" s="8">
        <v>14</v>
      </c>
      <c r="Q9249" t="s" s="12">
        <v>14</v>
      </c>
      <c r="R9249" t="s" s="12">
        <v>14</v>
      </c>
    </row>
    <row r="9250" s="2" customFormat="1" ht="13.5" customHeight="1">
      <c r="B9250" s="13"/>
      <c r="C9250" t="s" s="9">
        <v>16</v>
      </c>
      <c r="D9250" t="s" s="8">
        <v>3401</v>
      </c>
      <c r="E9250" t="s" s="9">
        <v>3402</v>
      </c>
      <c r="F9250" t="s" s="10">
        <v>68</v>
      </c>
      <c r="G9250" t="s" s="11">
        <v>68</v>
      </c>
      <c r="H9250" t="s" s="10">
        <v>68</v>
      </c>
      <c r="I9250" t="s" s="11">
        <v>68</v>
      </c>
      <c r="J9250" t="s" s="11">
        <v>20</v>
      </c>
      <c r="K9250" t="s" s="16">
        <f>HYPERLINK("http://csr.bu.edu/ftp/asl/asllvd/demos/verify_start_end_handshape_annotations//test_auto_move//signs_mov/2665.mov","MOV")</f>
        <v>21</v>
      </c>
      <c r="L9250" t="s" s="16">
        <f>HYPERLINK("http://csr.bu.edu/ftp/asl/asllvd/demos/verify_start_end_handshape_annotations//test_auto_move//signs_mov_separ_signers/Liz_2665.mov","MOV")</f>
        <v>21</v>
      </c>
      <c r="M9250" t="s" s="10">
        <v>59</v>
      </c>
      <c r="N9250" s="17">
        <v>21</v>
      </c>
      <c r="O9250" s="18">
        <v>1760</v>
      </c>
      <c r="P9250" s="18">
        <v>1820</v>
      </c>
      <c r="Q9250" t="s" s="16">
        <f>HYPERLINK("http://secrets.rutgers.edu:8080/data/asl-ftp/asllvd/demos/verify_start_end_handshape_annotations//test_auto_move//signs_mov/2665.mov","MOV")</f>
        <v>21</v>
      </c>
      <c r="R9250" t="s" s="16">
        <f>HYPERLINK("http://secrets.rutgers.edu:8080/data/asl-ftp/asllvd/demos/verify_start_end_handshape_annotations//test_auto_move//signs_mov_separ_signers/Liz_2665.mov","MOV")</f>
        <v>21</v>
      </c>
    </row>
    <row r="9251" s="2" customFormat="1" ht="13.5" customHeight="1">
      <c r="B9251" s="13"/>
      <c r="C9251" t="s" s="9">
        <v>30</v>
      </c>
      <c r="D9251" t="s" s="8">
        <v>3401</v>
      </c>
      <c r="E9251" t="s" s="9">
        <v>3402</v>
      </c>
      <c r="F9251" t="s" s="10">
        <v>68</v>
      </c>
      <c r="G9251" t="s" s="11">
        <v>68</v>
      </c>
      <c r="H9251" t="s" s="10">
        <v>68</v>
      </c>
      <c r="I9251" t="s" s="11">
        <v>68</v>
      </c>
      <c r="J9251" t="s" s="11">
        <v>20</v>
      </c>
      <c r="K9251" s="15"/>
      <c r="L9251" t="s" s="16">
        <f>HYPERLINK("http://csr.bu.edu/ftp/asl/asllvd/demos/verify_start_end_handshape_annotations//test_auto_move//signs_mov_separ_signers/Brady_2665.mov","MOV")</f>
        <v>21</v>
      </c>
      <c r="M9251" t="s" s="10">
        <v>60</v>
      </c>
      <c r="N9251" s="17">
        <v>9</v>
      </c>
      <c r="O9251" s="18">
        <v>1560</v>
      </c>
      <c r="P9251" s="18">
        <v>1610</v>
      </c>
      <c r="Q9251" s="15"/>
      <c r="R9251" t="s" s="16">
        <f>HYPERLINK("http://secrets.rutgers.edu:8080/data/asl-ftp/asllvd/demos/verify_start_end_handshape_annotations//test_auto_move//signs_mov_separ_signers/Brady_2665.mov","MOV")</f>
        <v>21</v>
      </c>
    </row>
    <row r="9252" s="2" customFormat="1" ht="13.5" customHeight="1">
      <c r="B9252" t="s" s="8">
        <v>3403</v>
      </c>
      <c r="C9252" t="s" s="9">
        <v>14</v>
      </c>
      <c r="D9252" t="s" s="8">
        <v>14</v>
      </c>
      <c r="E9252" t="s" s="9">
        <v>14</v>
      </c>
      <c r="F9252" t="s" s="10">
        <v>14</v>
      </c>
      <c r="G9252" t="s" s="11">
        <v>14</v>
      </c>
      <c r="H9252" t="s" s="10">
        <v>14</v>
      </c>
      <c r="I9252" t="s" s="11">
        <v>14</v>
      </c>
      <c r="J9252" t="s" s="11">
        <v>14</v>
      </c>
      <c r="K9252" t="s" s="12">
        <v>14</v>
      </c>
      <c r="L9252" t="s" s="12">
        <v>14</v>
      </c>
      <c r="M9252" t="s" s="10">
        <v>14</v>
      </c>
      <c r="N9252" t="s" s="11">
        <v>14</v>
      </c>
      <c r="O9252" t="s" s="8">
        <v>14</v>
      </c>
      <c r="P9252" t="s" s="8">
        <v>14</v>
      </c>
      <c r="Q9252" t="s" s="12">
        <v>14</v>
      </c>
      <c r="R9252" t="s" s="12">
        <v>14</v>
      </c>
    </row>
    <row r="9253" s="2" customFormat="1" ht="13.5" customHeight="1">
      <c r="B9253" s="13"/>
      <c r="C9253" t="s" s="9">
        <v>16</v>
      </c>
      <c r="D9253" t="s" s="8">
        <v>3403</v>
      </c>
      <c r="E9253" t="s" s="9">
        <v>3403</v>
      </c>
      <c r="F9253" t="s" s="10">
        <v>229</v>
      </c>
      <c r="G9253" s="14"/>
      <c r="H9253" t="s" s="10">
        <v>229</v>
      </c>
      <c r="I9253" s="14"/>
      <c r="J9253" t="s" s="11">
        <v>20</v>
      </c>
      <c r="K9253" t="s" s="16">
        <f>HYPERLINK("http://csr.bu.edu/ftp/asl/asllvd/demos/verify_start_end_handshape_annotations//test_auto_move//signs_mov/2668.mov","MOV")</f>
        <v>21</v>
      </c>
      <c r="L9253" t="s" s="16">
        <f>HYPERLINK("http://csr.bu.edu/ftp/asl/asllvd/demos/verify_start_end_handshape_annotations//test_auto_move//signs_mov_separ_signers/Liz_2668.mov","MOV")</f>
        <v>21</v>
      </c>
      <c r="M9253" t="s" s="10">
        <v>59</v>
      </c>
      <c r="N9253" s="17">
        <v>21</v>
      </c>
      <c r="O9253" s="18">
        <v>2727</v>
      </c>
      <c r="P9253" s="18">
        <v>2770</v>
      </c>
      <c r="Q9253" t="s" s="16">
        <f>HYPERLINK("http://secrets.rutgers.edu:8080/data/asl-ftp/asllvd/demos/verify_start_end_handshape_annotations//test_auto_move//signs_mov/2668.mov","MOV")</f>
        <v>21</v>
      </c>
      <c r="R9253" t="s" s="16">
        <f>HYPERLINK("http://secrets.rutgers.edu:8080/data/asl-ftp/asllvd/demos/verify_start_end_handshape_annotations//test_auto_move//signs_mov_separ_signers/Liz_2668.mov","MOV")</f>
        <v>21</v>
      </c>
    </row>
    <row r="9254" s="2" customFormat="1" ht="13.5" customHeight="1">
      <c r="B9254" s="13"/>
      <c r="C9254" t="s" s="9">
        <v>30</v>
      </c>
      <c r="D9254" t="s" s="8">
        <v>3403</v>
      </c>
      <c r="E9254" t="s" s="9">
        <v>3403</v>
      </c>
      <c r="F9254" t="s" s="10">
        <v>229</v>
      </c>
      <c r="G9254" s="14"/>
      <c r="H9254" t="s" s="10">
        <v>229</v>
      </c>
      <c r="I9254" s="14"/>
      <c r="J9254" t="s" s="11">
        <v>20</v>
      </c>
      <c r="K9254" s="15"/>
      <c r="L9254" t="s" s="16">
        <f>HYPERLINK("http://csr.bu.edu/ftp/asl/asllvd/demos/verify_start_end_handshape_annotations//test_auto_move//signs_mov_separ_signers/Brady_2668.mov","MOV")</f>
        <v>21</v>
      </c>
      <c r="M9254" t="s" s="10">
        <v>60</v>
      </c>
      <c r="N9254" s="17">
        <v>9</v>
      </c>
      <c r="O9254" s="18">
        <v>2558</v>
      </c>
      <c r="P9254" s="18">
        <v>2590</v>
      </c>
      <c r="Q9254" s="15"/>
      <c r="R9254" t="s" s="16">
        <f>HYPERLINK("http://secrets.rutgers.edu:8080/data/asl-ftp/asllvd/demos/verify_start_end_handshape_annotations//test_auto_move//signs_mov_separ_signers/Brady_2668.mov","MOV")</f>
        <v>21</v>
      </c>
    </row>
    <row r="9255" s="2" customFormat="1" ht="13.5" customHeight="1">
      <c r="B9255" t="s" s="8">
        <v>3404</v>
      </c>
      <c r="C9255" t="s" s="9">
        <v>14</v>
      </c>
      <c r="D9255" t="s" s="8">
        <v>14</v>
      </c>
      <c r="E9255" t="s" s="9">
        <v>14</v>
      </c>
      <c r="F9255" t="s" s="10">
        <v>14</v>
      </c>
      <c r="G9255" t="s" s="11">
        <v>14</v>
      </c>
      <c r="H9255" t="s" s="10">
        <v>14</v>
      </c>
      <c r="I9255" t="s" s="11">
        <v>14</v>
      </c>
      <c r="J9255" t="s" s="11">
        <v>14</v>
      </c>
      <c r="K9255" t="s" s="12">
        <v>14</v>
      </c>
      <c r="L9255" t="s" s="12">
        <v>14</v>
      </c>
      <c r="M9255" t="s" s="10">
        <v>14</v>
      </c>
      <c r="N9255" t="s" s="11">
        <v>14</v>
      </c>
      <c r="O9255" t="s" s="8">
        <v>14</v>
      </c>
      <c r="P9255" t="s" s="8">
        <v>14</v>
      </c>
      <c r="Q9255" t="s" s="12">
        <v>14</v>
      </c>
      <c r="R9255" t="s" s="12">
        <v>14</v>
      </c>
    </row>
    <row r="9256" s="2" customFormat="1" ht="13.5" customHeight="1">
      <c r="B9256" s="13"/>
      <c r="C9256" t="s" s="9">
        <v>16</v>
      </c>
      <c r="D9256" t="s" s="8">
        <v>3404</v>
      </c>
      <c r="E9256" t="s" s="9">
        <v>3405</v>
      </c>
      <c r="F9256" t="s" s="10">
        <v>119</v>
      </c>
      <c r="G9256" t="s" s="11">
        <v>119</v>
      </c>
      <c r="H9256" t="s" s="10">
        <v>119</v>
      </c>
      <c r="I9256" t="s" s="11">
        <v>119</v>
      </c>
      <c r="J9256" t="s" s="11">
        <v>20</v>
      </c>
      <c r="K9256" t="s" s="16">
        <f>HYPERLINK("http://csr.bu.edu/ftp/asl/asllvd/demos/verify_start_end_handshape_annotations//test_auto_move//signs_mov/2669.mov","MOV")</f>
        <v>21</v>
      </c>
      <c r="L9256" t="s" s="16">
        <f>HYPERLINK("http://csr.bu.edu/ftp/asl/asllvd/demos/verify_start_end_handshape_annotations//test_auto_move//signs_mov_separ_signers/Liz_2669.mov","MOV")</f>
        <v>21</v>
      </c>
      <c r="M9256" t="s" s="10">
        <v>59</v>
      </c>
      <c r="N9256" s="17">
        <v>21</v>
      </c>
      <c r="O9256" s="18">
        <v>2983</v>
      </c>
      <c r="P9256" s="18">
        <v>3020</v>
      </c>
      <c r="Q9256" t="s" s="16">
        <f>HYPERLINK("http://secrets.rutgers.edu:8080/data/asl-ftp/asllvd/demos/verify_start_end_handshape_annotations//test_auto_move//signs_mov/2669.mov","MOV")</f>
        <v>21</v>
      </c>
      <c r="R9256" t="s" s="16">
        <f>HYPERLINK("http://secrets.rutgers.edu:8080/data/asl-ftp/asllvd/demos/verify_start_end_handshape_annotations//test_auto_move//signs_mov_separ_signers/Liz_2669.mov","MOV")</f>
        <v>21</v>
      </c>
    </row>
    <row r="9257" s="2" customFormat="1" ht="13.5" customHeight="1">
      <c r="B9257" s="13"/>
      <c r="C9257" t="s" s="9">
        <v>30</v>
      </c>
      <c r="D9257" t="s" s="8">
        <v>3404</v>
      </c>
      <c r="E9257" t="s" s="9">
        <v>3405</v>
      </c>
      <c r="F9257" t="s" s="10">
        <v>119</v>
      </c>
      <c r="G9257" t="s" s="11">
        <v>119</v>
      </c>
      <c r="H9257" t="s" s="10">
        <v>119</v>
      </c>
      <c r="I9257" t="s" s="11">
        <v>119</v>
      </c>
      <c r="J9257" t="s" s="11">
        <v>20</v>
      </c>
      <c r="K9257" s="15"/>
      <c r="L9257" t="s" s="16">
        <f>HYPERLINK("http://csr.bu.edu/ftp/asl/asllvd/demos/verify_start_end_handshape_annotations//test_auto_move//signs_mov_separ_signers/Brady_2669.mov","MOV")</f>
        <v>21</v>
      </c>
      <c r="M9257" t="s" s="10">
        <v>60</v>
      </c>
      <c r="N9257" s="17">
        <v>9</v>
      </c>
      <c r="O9257" s="18">
        <v>2316</v>
      </c>
      <c r="P9257" s="18">
        <v>2346</v>
      </c>
      <c r="Q9257" s="15"/>
      <c r="R9257" t="s" s="16">
        <f>HYPERLINK("http://secrets.rutgers.edu:8080/data/asl-ftp/asllvd/demos/verify_start_end_handshape_annotations//test_auto_move//signs_mov_separ_signers/Brady_2669.mov","MOV")</f>
        <v>21</v>
      </c>
    </row>
    <row r="9258" s="2" customFormat="1" ht="13.5" customHeight="1">
      <c r="B9258" t="s" s="8">
        <v>52</v>
      </c>
      <c r="C9258" t="s" s="9">
        <v>53</v>
      </c>
      <c r="D9258" t="s" s="8">
        <v>53</v>
      </c>
      <c r="E9258" t="s" s="9">
        <v>53</v>
      </c>
      <c r="F9258" t="s" s="10">
        <v>53</v>
      </c>
      <c r="G9258" t="s" s="11">
        <v>53</v>
      </c>
      <c r="H9258" t="s" s="10">
        <v>53</v>
      </c>
      <c r="I9258" t="s" s="11">
        <v>53</v>
      </c>
      <c r="J9258" t="s" s="11">
        <v>53</v>
      </c>
      <c r="K9258" t="s" s="12">
        <v>53</v>
      </c>
      <c r="L9258" t="s" s="12">
        <v>53</v>
      </c>
      <c r="M9258" t="s" s="10">
        <v>53</v>
      </c>
      <c r="N9258" t="s" s="11">
        <v>53</v>
      </c>
      <c r="O9258" t="s" s="8">
        <v>53</v>
      </c>
      <c r="P9258" t="s" s="8">
        <v>53</v>
      </c>
      <c r="Q9258" t="s" s="12">
        <v>53</v>
      </c>
      <c r="R9258" t="s" s="12">
        <v>53</v>
      </c>
    </row>
    <row r="9259" s="2" customFormat="1" ht="13.5" customHeight="1">
      <c r="B9259" s="13"/>
      <c r="C9259" t="s" s="9">
        <v>16</v>
      </c>
      <c r="D9259" t="s" s="8">
        <v>3404</v>
      </c>
      <c r="E9259" t="s" s="9">
        <v>3404</v>
      </c>
      <c r="F9259" t="s" s="10">
        <v>437</v>
      </c>
      <c r="G9259" t="s" s="11">
        <v>437</v>
      </c>
      <c r="H9259" t="s" s="10">
        <v>282</v>
      </c>
      <c r="I9259" t="s" s="11">
        <v>282</v>
      </c>
      <c r="J9259" t="s" s="11">
        <v>20</v>
      </c>
      <c r="K9259" s="15"/>
      <c r="L9259" t="s" s="16">
        <f>HYPERLINK("http://csr.bu.edu/ftp/asl/asllvd/demos/verify_start_end_handshape_annotations//test_auto_move//signs_mov_separ_signers/Liz_5530.mov","MOV")</f>
        <v>21</v>
      </c>
      <c r="M9259" t="s" s="10">
        <v>59</v>
      </c>
      <c r="N9259" s="17">
        <v>21</v>
      </c>
      <c r="O9259" s="18">
        <v>2207</v>
      </c>
      <c r="P9259" s="18">
        <v>2250</v>
      </c>
      <c r="Q9259" s="15"/>
      <c r="R9259" t="s" s="16">
        <f>HYPERLINK("http://secrets.rutgers.edu:8080/data/asl-ftp/asllvd/demos/verify_start_end_handshape_annotations//test_auto_move//signs_mov_separ_signers/Liz_5530.mov","MOV")</f>
        <v>21</v>
      </c>
    </row>
    <row r="9260" s="2" customFormat="1" ht="13.5" customHeight="1">
      <c r="B9260" s="13"/>
      <c r="C9260" t="s" s="9">
        <v>30</v>
      </c>
      <c r="D9260" t="s" s="8">
        <v>3404</v>
      </c>
      <c r="E9260" t="s" s="9">
        <v>3404</v>
      </c>
      <c r="F9260" t="s" s="10">
        <v>282</v>
      </c>
      <c r="G9260" t="s" s="11">
        <v>282</v>
      </c>
      <c r="H9260" t="s" s="10">
        <v>282</v>
      </c>
      <c r="I9260" t="s" s="11">
        <v>282</v>
      </c>
      <c r="J9260" t="s" s="11">
        <v>20</v>
      </c>
      <c r="K9260" t="s" s="16">
        <f>HYPERLINK("http://csr.bu.edu/ftp/asl/asllvd/demos/verify_start_end_handshape_annotations//test_auto_move//signs_mov/5530_5922_15075_merged.mov","MOV")</f>
        <v>21</v>
      </c>
      <c r="L9260" t="s" s="16">
        <f>HYPERLINK("http://csr.bu.edu/ftp/asl/asllvd/demos/verify_start_end_handshape_annotations//test_auto_move//signs_mov_separ_signers/Brady_5530.mov","MOV")</f>
        <v>21</v>
      </c>
      <c r="M9260" t="s" s="10">
        <v>39</v>
      </c>
      <c r="N9260" s="17">
        <v>40</v>
      </c>
      <c r="O9260" s="18">
        <v>4929</v>
      </c>
      <c r="P9260" s="18">
        <v>4945</v>
      </c>
      <c r="Q9260" t="s" s="16">
        <f>HYPERLINK("http://secrets.rutgers.edu:8080/data/asl-ftp/asllvd/demos/verify_start_end_handshape_annotations//test_auto_move//signs_mov/5530_5922_15075_merged.mov","MOV")</f>
        <v>21</v>
      </c>
      <c r="R9260" t="s" s="16">
        <f>HYPERLINK("http://secrets.rutgers.edu:8080/data/asl-ftp/asllvd/demos/verify_start_end_handshape_annotations//test_auto_move//signs_mov_separ_signers/Brady_5530.mov","MOV")</f>
        <v>21</v>
      </c>
    </row>
    <row r="9261" s="2" customFormat="1" ht="13.5" customHeight="1">
      <c r="B9261" s="13"/>
      <c r="C9261" t="s" s="9">
        <v>30</v>
      </c>
      <c r="D9261" t="s" s="8">
        <v>3404</v>
      </c>
      <c r="E9261" t="s" s="9">
        <v>3404</v>
      </c>
      <c r="F9261" t="s" s="10">
        <v>282</v>
      </c>
      <c r="G9261" t="s" s="11">
        <v>282</v>
      </c>
      <c r="H9261" t="s" s="10">
        <v>282</v>
      </c>
      <c r="I9261" t="s" s="11">
        <v>282</v>
      </c>
      <c r="J9261" t="s" s="11">
        <v>20</v>
      </c>
      <c r="K9261" s="15"/>
      <c r="L9261" t="s" s="16">
        <f>HYPERLINK("http://csr.bu.edu/ftp/asl/asllvd/demos/verify_start_end_handshape_annotations//test_auto_move//signs_mov_separ_signers/Brady_5922.mov","MOV")</f>
        <v>21</v>
      </c>
      <c r="M9261" t="s" s="10">
        <v>60</v>
      </c>
      <c r="N9261" s="17">
        <v>9</v>
      </c>
      <c r="O9261" s="18">
        <v>2052</v>
      </c>
      <c r="P9261" s="18">
        <v>2080</v>
      </c>
      <c r="Q9261" s="15"/>
      <c r="R9261" t="s" s="16">
        <f>HYPERLINK("http://secrets.rutgers.edu:8080/data/asl-ftp/asllvd/demos/verify_start_end_handshape_annotations//test_auto_move//signs_mov_separ_signers/Brady_5922.mov","MOV")</f>
        <v>21</v>
      </c>
    </row>
    <row r="9262" s="2" customFormat="1" ht="13.5" customHeight="1">
      <c r="B9262" s="13"/>
      <c r="C9262" t="s" s="9">
        <v>30</v>
      </c>
      <c r="D9262" t="s" s="8">
        <v>3404</v>
      </c>
      <c r="E9262" t="s" s="9">
        <v>3404</v>
      </c>
      <c r="F9262" t="s" s="10">
        <v>282</v>
      </c>
      <c r="G9262" t="s" s="11">
        <v>282</v>
      </c>
      <c r="H9262" t="s" s="10">
        <v>282</v>
      </c>
      <c r="I9262" t="s" s="11">
        <v>282</v>
      </c>
      <c r="J9262" t="s" s="11">
        <v>20</v>
      </c>
      <c r="K9262" s="15"/>
      <c r="L9262" t="s" s="16">
        <f>HYPERLINK("http://csr.bu.edu/ftp/asl/asllvd/demos/verify_start_end_handshape_annotations//test_auto_move//signs_mov_separ_signers/Brady_15075.mov","MOV")</f>
        <v>21</v>
      </c>
      <c r="M9262" t="s" s="10">
        <v>60</v>
      </c>
      <c r="N9262" s="17">
        <v>56</v>
      </c>
      <c r="O9262" s="18">
        <v>620</v>
      </c>
      <c r="P9262" s="18">
        <v>643</v>
      </c>
      <c r="Q9262" s="15"/>
      <c r="R9262" t="s" s="16">
        <f>HYPERLINK("http://secrets.rutgers.edu:8080/data/asl-ftp/asllvd/demos/verify_start_end_handshape_annotations//test_auto_move//signs_mov_separ_signers/Brady_15075.mov","MOV")</f>
        <v>21</v>
      </c>
    </row>
    <row r="9263" s="2" customFormat="1" ht="13.5" customHeight="1">
      <c r="B9263" t="s" s="8">
        <v>52</v>
      </c>
      <c r="C9263" t="s" s="9">
        <v>53</v>
      </c>
      <c r="D9263" t="s" s="8">
        <v>53</v>
      </c>
      <c r="E9263" t="s" s="9">
        <v>53</v>
      </c>
      <c r="F9263" t="s" s="10">
        <v>53</v>
      </c>
      <c r="G9263" t="s" s="11">
        <v>53</v>
      </c>
      <c r="H9263" t="s" s="10">
        <v>53</v>
      </c>
      <c r="I9263" t="s" s="11">
        <v>53</v>
      </c>
      <c r="J9263" t="s" s="11">
        <v>53</v>
      </c>
      <c r="K9263" t="s" s="12">
        <v>53</v>
      </c>
      <c r="L9263" t="s" s="12">
        <v>53</v>
      </c>
      <c r="M9263" t="s" s="10">
        <v>53</v>
      </c>
      <c r="N9263" t="s" s="11">
        <v>53</v>
      </c>
      <c r="O9263" t="s" s="8">
        <v>53</v>
      </c>
      <c r="P9263" t="s" s="8">
        <v>53</v>
      </c>
      <c r="Q9263" t="s" s="12">
        <v>53</v>
      </c>
      <c r="R9263" t="s" s="12">
        <v>53</v>
      </c>
    </row>
    <row r="9264" s="2" customFormat="1" ht="13.5" customHeight="1">
      <c r="B9264" s="13"/>
      <c r="C9264" t="s" s="9">
        <v>16</v>
      </c>
      <c r="D9264" t="s" s="8">
        <v>3404</v>
      </c>
      <c r="E9264" t="s" s="9">
        <v>3406</v>
      </c>
      <c r="F9264" t="s" s="10">
        <v>65</v>
      </c>
      <c r="G9264" t="s" s="11">
        <v>65</v>
      </c>
      <c r="H9264" t="s" s="10">
        <v>65</v>
      </c>
      <c r="I9264" t="s" s="11">
        <v>65</v>
      </c>
      <c r="J9264" t="s" s="11">
        <v>20</v>
      </c>
      <c r="K9264" s="15"/>
      <c r="L9264" t="s" s="16">
        <f>HYPERLINK("http://csr.bu.edu/ftp/asl/asllvd/demos/verify_start_end_handshape_annotations//test_auto_move//signs_mov_separ_signers/Liz_15674.mov","MOV")</f>
        <v>21</v>
      </c>
      <c r="M9264" t="s" s="10">
        <v>84</v>
      </c>
      <c r="N9264" s="17">
        <v>35</v>
      </c>
      <c r="O9264" s="18">
        <v>1815</v>
      </c>
      <c r="P9264" s="18">
        <v>1855</v>
      </c>
      <c r="Q9264" s="15"/>
      <c r="R9264" t="s" s="16">
        <f>HYPERLINK("http://secrets.rutgers.edu:8080/data/asl-ftp/asllvd/demos/verify_start_end_handshape_annotations//test_auto_move//signs_mov_separ_signers/Liz_15674.mov","MOV")</f>
        <v>21</v>
      </c>
    </row>
    <row r="9265" s="2" customFormat="1" ht="13.5" customHeight="1">
      <c r="B9265" s="13"/>
      <c r="C9265" t="s" s="9">
        <v>23</v>
      </c>
      <c r="D9265" t="s" s="8">
        <v>3404</v>
      </c>
      <c r="E9265" t="s" s="9">
        <v>3406</v>
      </c>
      <c r="F9265" t="s" s="10">
        <v>65</v>
      </c>
      <c r="G9265" t="s" s="11">
        <v>65</v>
      </c>
      <c r="H9265" t="s" s="10">
        <v>65</v>
      </c>
      <c r="I9265" t="s" s="11">
        <v>65</v>
      </c>
      <c r="J9265" t="s" s="11">
        <v>20</v>
      </c>
      <c r="K9265" t="s" s="16">
        <f>HYPERLINK("http://csr.bu.edu/ftp/asl/asllvd/demos/verify_start_end_handshape_annotations//test_auto_move//signs_mov/15674.mov","MOV")</f>
        <v>21</v>
      </c>
      <c r="L9265" t="s" s="16">
        <f>HYPERLINK("http://csr.bu.edu/ftp/asl/asllvd/demos/verify_start_end_handshape_annotations//test_auto_move//signs_mov_separ_signers/Tyler_15674.mov","MOV")</f>
        <v>21</v>
      </c>
      <c r="M9265" t="s" s="10">
        <v>92</v>
      </c>
      <c r="N9265" s="17">
        <v>15</v>
      </c>
      <c r="O9265" s="18">
        <v>2510</v>
      </c>
      <c r="P9265" s="18">
        <v>2550</v>
      </c>
      <c r="Q9265" t="s" s="16">
        <f>HYPERLINK("http://secrets.rutgers.edu:8080/data/asl-ftp/asllvd/demos/verify_start_end_handshape_annotations//test_auto_move//signs_mov/15674.mov","MOV")</f>
        <v>21</v>
      </c>
      <c r="R9265" t="s" s="16">
        <f>HYPERLINK("http://secrets.rutgers.edu:8080/data/asl-ftp/asllvd/demos/verify_start_end_handshape_annotations//test_auto_move//signs_mov_separ_signers/Tyler_15674.mov","MOV")</f>
        <v>21</v>
      </c>
    </row>
    <row r="9266" s="2" customFormat="1" ht="13.5" customHeight="1">
      <c r="B9266" s="13"/>
      <c r="C9266" t="s" s="9">
        <v>27</v>
      </c>
      <c r="D9266" t="s" s="8">
        <v>3404</v>
      </c>
      <c r="E9266" t="s" s="9">
        <v>3406</v>
      </c>
      <c r="F9266" t="s" s="10">
        <v>65</v>
      </c>
      <c r="G9266" t="s" s="11">
        <v>65</v>
      </c>
      <c r="H9266" t="s" s="10">
        <v>65</v>
      </c>
      <c r="I9266" t="s" s="11">
        <v>65</v>
      </c>
      <c r="J9266" t="s" s="11">
        <v>20</v>
      </c>
      <c r="K9266" s="15"/>
      <c r="L9266" t="s" s="16">
        <f>HYPERLINK("http://csr.bu.edu/ftp/asl/asllvd/demos/verify_start_end_handshape_annotations//test_auto_move//signs_mov_separ_signers/Naomi_15674.mov","MOV")</f>
        <v>21</v>
      </c>
      <c r="M9266" t="s" s="10">
        <v>86</v>
      </c>
      <c r="N9266" s="17">
        <v>35</v>
      </c>
      <c r="O9266" s="18">
        <v>1645</v>
      </c>
      <c r="P9266" s="18">
        <v>1680</v>
      </c>
      <c r="Q9266" s="15"/>
      <c r="R9266" t="s" s="16">
        <f>HYPERLINK("http://secrets.rutgers.edu:8080/data/asl-ftp/asllvd/demos/verify_start_end_handshape_annotations//test_auto_move//signs_mov_separ_signers/Naomi_15674.mov","MOV")</f>
        <v>21</v>
      </c>
    </row>
    <row r="9267" s="2" customFormat="1" ht="13.5" customHeight="1">
      <c r="B9267" s="13"/>
      <c r="C9267" t="s" s="9">
        <v>30</v>
      </c>
      <c r="D9267" t="s" s="8">
        <v>3404</v>
      </c>
      <c r="E9267" t="s" s="9">
        <v>3406</v>
      </c>
      <c r="F9267" t="s" s="10">
        <v>65</v>
      </c>
      <c r="G9267" t="s" s="11">
        <v>65</v>
      </c>
      <c r="H9267" t="s" s="10">
        <v>65</v>
      </c>
      <c r="I9267" t="s" s="11">
        <v>65</v>
      </c>
      <c r="J9267" t="s" s="11">
        <v>20</v>
      </c>
      <c r="K9267" s="15"/>
      <c r="L9267" t="s" s="16">
        <f>HYPERLINK("http://csr.bu.edu/ftp/asl/asllvd/demos/verify_start_end_handshape_annotations//test_auto_move//signs_mov_separ_signers/Brady_15674.mov","MOV")</f>
        <v>21</v>
      </c>
      <c r="M9267" t="s" s="10">
        <v>39</v>
      </c>
      <c r="N9267" s="17">
        <v>14</v>
      </c>
      <c r="O9267" s="18">
        <v>3610</v>
      </c>
      <c r="P9267" s="18">
        <v>3635</v>
      </c>
      <c r="Q9267" s="15"/>
      <c r="R9267" t="s" s="16">
        <f>HYPERLINK("http://secrets.rutgers.edu:8080/data/asl-ftp/asllvd/demos/verify_start_end_handshape_annotations//test_auto_move//signs_mov_separ_signers/Brady_15674.mov","MOV")</f>
        <v>21</v>
      </c>
    </row>
    <row r="9268" s="2" customFormat="1" ht="13.5" customHeight="1">
      <c r="B9268" t="s" s="8">
        <v>3407</v>
      </c>
      <c r="C9268" t="s" s="9">
        <v>14</v>
      </c>
      <c r="D9268" t="s" s="8">
        <v>14</v>
      </c>
      <c r="E9268" t="s" s="9">
        <v>14</v>
      </c>
      <c r="F9268" t="s" s="10">
        <v>14</v>
      </c>
      <c r="G9268" t="s" s="11">
        <v>14</v>
      </c>
      <c r="H9268" t="s" s="10">
        <v>14</v>
      </c>
      <c r="I9268" t="s" s="11">
        <v>14</v>
      </c>
      <c r="J9268" t="s" s="11">
        <v>14</v>
      </c>
      <c r="K9268" t="s" s="12">
        <v>14</v>
      </c>
      <c r="L9268" t="s" s="12">
        <v>14</v>
      </c>
      <c r="M9268" t="s" s="10">
        <v>14</v>
      </c>
      <c r="N9268" t="s" s="11">
        <v>14</v>
      </c>
      <c r="O9268" t="s" s="8">
        <v>14</v>
      </c>
      <c r="P9268" t="s" s="8">
        <v>14</v>
      </c>
      <c r="Q9268" t="s" s="12">
        <v>14</v>
      </c>
      <c r="R9268" t="s" s="12">
        <v>14</v>
      </c>
    </row>
    <row r="9269" s="2" customFormat="1" ht="13.5" customHeight="1">
      <c r="B9269" s="13"/>
      <c r="C9269" t="s" s="9">
        <v>16</v>
      </c>
      <c r="D9269" t="s" s="8">
        <v>3407</v>
      </c>
      <c r="E9269" t="s" s="9">
        <v>3407</v>
      </c>
      <c r="F9269" t="s" s="10">
        <v>282</v>
      </c>
      <c r="G9269" t="s" s="11">
        <v>282</v>
      </c>
      <c r="H9269" t="s" s="10">
        <v>282</v>
      </c>
      <c r="I9269" t="s" s="11">
        <v>282</v>
      </c>
      <c r="J9269" t="s" s="11">
        <v>20</v>
      </c>
      <c r="K9269" s="15"/>
      <c r="L9269" t="s" s="16">
        <f>HYPERLINK("http://csr.bu.edu/ftp/asl/asllvd/demos/verify_start_end_handshape_annotations//test_auto_move//signs_mov_separ_signers/Liz_15708.mov","MOV")</f>
        <v>21</v>
      </c>
      <c r="M9269" t="s" s="10">
        <v>77</v>
      </c>
      <c r="N9269" s="17">
        <v>30</v>
      </c>
      <c r="O9269" s="18">
        <v>2689</v>
      </c>
      <c r="P9269" s="18">
        <v>2775</v>
      </c>
      <c r="Q9269" s="15"/>
      <c r="R9269" t="s" s="16">
        <f>HYPERLINK("http://secrets.rutgers.edu:8080/data/asl-ftp/asllvd/demos/verify_start_end_handshape_annotations//test_auto_move//signs_mov_separ_signers/Liz_15708.mov","MOV")</f>
        <v>21</v>
      </c>
    </row>
    <row r="9270" s="2" customFormat="1" ht="13.5" customHeight="1">
      <c r="B9270" s="13"/>
      <c r="C9270" t="s" s="9">
        <v>41</v>
      </c>
      <c r="D9270" t="s" s="8">
        <v>3407</v>
      </c>
      <c r="E9270" t="s" s="9">
        <v>3407</v>
      </c>
      <c r="F9270" t="s" s="10">
        <v>282</v>
      </c>
      <c r="G9270" t="s" s="11">
        <v>282</v>
      </c>
      <c r="H9270" t="s" s="10">
        <v>282</v>
      </c>
      <c r="I9270" t="s" s="11">
        <v>282</v>
      </c>
      <c r="J9270" t="s" s="11">
        <v>20</v>
      </c>
      <c r="K9270" t="s" s="16">
        <f>HYPERLINK("http://csr.bu.edu/ftp/asl/asllvd/demos/verify_start_end_handshape_annotations//test_auto_move//signs_mov/15708.mov","MOV")</f>
        <v>21</v>
      </c>
      <c r="L9270" t="s" s="16">
        <f>HYPERLINK("http://csr.bu.edu/ftp/asl/asllvd/demos/verify_start_end_handshape_annotations//test_auto_move//signs_mov_separ_signers/Lana_15708.mov","MOV")</f>
        <v>21</v>
      </c>
      <c r="M9270" t="s" s="10">
        <v>42</v>
      </c>
      <c r="N9270" s="17">
        <v>22</v>
      </c>
      <c r="O9270" s="18">
        <v>2077</v>
      </c>
      <c r="P9270" s="18">
        <v>2110</v>
      </c>
      <c r="Q9270" t="s" s="16">
        <f>HYPERLINK("http://secrets.rutgers.edu:8080/data/asl-ftp/asllvd/demos/verify_start_end_handshape_annotations//test_auto_move//signs_mov/15708.mov","MOV")</f>
        <v>21</v>
      </c>
      <c r="R9270" t="s" s="16">
        <f>HYPERLINK("http://secrets.rutgers.edu:8080/data/asl-ftp/asllvd/demos/verify_start_end_handshape_annotations//test_auto_move//signs_mov_separ_signers/Lana_15708.mov","MOV")</f>
        <v>21</v>
      </c>
    </row>
    <row r="9271" s="2" customFormat="1" ht="13.5" customHeight="1">
      <c r="B9271" s="13"/>
      <c r="C9271" t="s" s="9">
        <v>43</v>
      </c>
      <c r="D9271" t="s" s="8">
        <v>3407</v>
      </c>
      <c r="E9271" t="s" s="9">
        <v>3407</v>
      </c>
      <c r="F9271" t="s" s="10">
        <v>282</v>
      </c>
      <c r="G9271" t="s" s="11">
        <v>282</v>
      </c>
      <c r="H9271" t="s" s="10">
        <v>282</v>
      </c>
      <c r="I9271" t="s" s="11">
        <v>282</v>
      </c>
      <c r="J9271" t="s" s="11">
        <v>20</v>
      </c>
      <c r="K9271" s="15"/>
      <c r="L9271" t="s" s="16">
        <f>HYPERLINK("http://csr.bu.edu/ftp/asl/asllvd/demos/verify_start_end_handshape_annotations//test_auto_move//signs_mov_separ_signers/Dana_15708.mov","MOV")</f>
        <v>21</v>
      </c>
      <c r="M9271" t="s" s="10">
        <v>44</v>
      </c>
      <c r="N9271" s="17">
        <v>25</v>
      </c>
      <c r="O9271" s="18">
        <v>1987</v>
      </c>
      <c r="P9271" s="18">
        <v>2023</v>
      </c>
      <c r="Q9271" s="15"/>
      <c r="R9271" t="s" s="16">
        <f>HYPERLINK("http://secrets.rutgers.edu:8080/data/asl-ftp/asllvd/demos/verify_start_end_handshape_annotations//test_auto_move//signs_mov_separ_signers/Dana_15708.mov","MOV")</f>
        <v>21</v>
      </c>
    </row>
    <row r="9272" s="2" customFormat="1" ht="13.5" customHeight="1">
      <c r="B9272" t="s" s="8">
        <v>3408</v>
      </c>
      <c r="C9272" t="s" s="9">
        <v>14</v>
      </c>
      <c r="D9272" t="s" s="8">
        <v>14</v>
      </c>
      <c r="E9272" t="s" s="9">
        <v>14</v>
      </c>
      <c r="F9272" t="s" s="10">
        <v>14</v>
      </c>
      <c r="G9272" t="s" s="11">
        <v>14</v>
      </c>
      <c r="H9272" t="s" s="10">
        <v>14</v>
      </c>
      <c r="I9272" t="s" s="11">
        <v>14</v>
      </c>
      <c r="J9272" t="s" s="11">
        <v>14</v>
      </c>
      <c r="K9272" t="s" s="12">
        <v>14</v>
      </c>
      <c r="L9272" t="s" s="12">
        <v>14</v>
      </c>
      <c r="M9272" t="s" s="10">
        <v>14</v>
      </c>
      <c r="N9272" t="s" s="11">
        <v>14</v>
      </c>
      <c r="O9272" t="s" s="8">
        <v>14</v>
      </c>
      <c r="P9272" t="s" s="8">
        <v>14</v>
      </c>
      <c r="Q9272" t="s" s="12">
        <v>14</v>
      </c>
      <c r="R9272" t="s" s="12">
        <v>14</v>
      </c>
    </row>
    <row r="9273" s="2" customFormat="1" ht="13.5" customHeight="1">
      <c r="B9273" s="13"/>
      <c r="C9273" t="s" s="9">
        <v>16</v>
      </c>
      <c r="D9273" t="s" s="8">
        <v>3408</v>
      </c>
      <c r="E9273" t="s" s="9">
        <v>3408</v>
      </c>
      <c r="F9273" t="s" s="10">
        <v>386</v>
      </c>
      <c r="G9273" t="s" s="11">
        <v>386</v>
      </c>
      <c r="H9273" t="s" s="10">
        <v>386</v>
      </c>
      <c r="I9273" t="s" s="11">
        <v>386</v>
      </c>
      <c r="J9273" t="s" s="11">
        <v>20</v>
      </c>
      <c r="K9273" t="s" s="16">
        <f>HYPERLINK("http://csr.bu.edu/ftp/asl/asllvd/demos/verify_start_end_handshape_annotations//test_auto_move//signs_mov/2670.mov","MOV")</f>
        <v>21</v>
      </c>
      <c r="L9273" t="s" s="16">
        <f>HYPERLINK("http://csr.bu.edu/ftp/asl/asllvd/demos/verify_start_end_handshape_annotations//test_auto_move//signs_mov_separ_signers/Liz_2670.mov","MOV")</f>
        <v>21</v>
      </c>
      <c r="M9273" t="s" s="10">
        <v>59</v>
      </c>
      <c r="N9273" s="17">
        <v>22</v>
      </c>
      <c r="O9273" s="18">
        <v>350</v>
      </c>
      <c r="P9273" s="18">
        <v>385</v>
      </c>
      <c r="Q9273" t="s" s="16">
        <f>HYPERLINK("http://secrets.rutgers.edu:8080/data/asl-ftp/asllvd/demos/verify_start_end_handshape_annotations//test_auto_move//signs_mov/2670.mov","MOV")</f>
        <v>21</v>
      </c>
      <c r="R9273" t="s" s="16">
        <f>HYPERLINK("http://secrets.rutgers.edu:8080/data/asl-ftp/asllvd/demos/verify_start_end_handshape_annotations//test_auto_move//signs_mov_separ_signers/Liz_2670.mov","MOV")</f>
        <v>21</v>
      </c>
    </row>
    <row r="9274" s="2" customFormat="1" ht="13.5" customHeight="1">
      <c r="B9274" s="13"/>
      <c r="C9274" t="s" s="9">
        <v>30</v>
      </c>
      <c r="D9274" t="s" s="8">
        <v>3408</v>
      </c>
      <c r="E9274" t="s" s="9">
        <v>3408</v>
      </c>
      <c r="F9274" t="s" s="10">
        <v>386</v>
      </c>
      <c r="G9274" t="s" s="11">
        <v>386</v>
      </c>
      <c r="H9274" t="s" s="10">
        <v>386</v>
      </c>
      <c r="I9274" t="s" s="11">
        <v>386</v>
      </c>
      <c r="J9274" t="s" s="11">
        <v>20</v>
      </c>
      <c r="K9274" s="15"/>
      <c r="L9274" t="s" s="16">
        <f>HYPERLINK("http://csr.bu.edu/ftp/asl/asllvd/demos/verify_start_end_handshape_annotations//test_auto_move//signs_mov_separ_signers/Brady_2670.mov","MOV")</f>
        <v>21</v>
      </c>
      <c r="M9274" t="s" s="10">
        <v>60</v>
      </c>
      <c r="N9274" s="17">
        <v>9</v>
      </c>
      <c r="O9274" s="18">
        <v>2834</v>
      </c>
      <c r="P9274" s="18">
        <v>2854</v>
      </c>
      <c r="Q9274" s="15"/>
      <c r="R9274" t="s" s="16">
        <f>HYPERLINK("http://secrets.rutgers.edu:8080/data/asl-ftp/asllvd/demos/verify_start_end_handshape_annotations//test_auto_move//signs_mov_separ_signers/Brady_2670.mov","MOV")</f>
        <v>21</v>
      </c>
    </row>
    <row r="9275" s="2" customFormat="1" ht="13.5" customHeight="1">
      <c r="B9275" t="s" s="8">
        <v>3409</v>
      </c>
      <c r="C9275" t="s" s="9">
        <v>14</v>
      </c>
      <c r="D9275" t="s" s="8">
        <v>14</v>
      </c>
      <c r="E9275" t="s" s="9">
        <v>14</v>
      </c>
      <c r="F9275" t="s" s="10">
        <v>14</v>
      </c>
      <c r="G9275" t="s" s="11">
        <v>14</v>
      </c>
      <c r="H9275" t="s" s="10">
        <v>14</v>
      </c>
      <c r="I9275" t="s" s="11">
        <v>14</v>
      </c>
      <c r="J9275" t="s" s="11">
        <v>14</v>
      </c>
      <c r="K9275" t="s" s="12">
        <v>14</v>
      </c>
      <c r="L9275" t="s" s="12">
        <v>14</v>
      </c>
      <c r="M9275" t="s" s="10">
        <v>14</v>
      </c>
      <c r="N9275" t="s" s="11">
        <v>14</v>
      </c>
      <c r="O9275" t="s" s="8">
        <v>14</v>
      </c>
      <c r="P9275" t="s" s="8">
        <v>14</v>
      </c>
      <c r="Q9275" t="s" s="12">
        <v>14</v>
      </c>
      <c r="R9275" t="s" s="12">
        <v>14</v>
      </c>
    </row>
    <row r="9276" s="2" customFormat="1" ht="13.5" customHeight="1">
      <c r="B9276" s="13"/>
      <c r="C9276" t="s" s="9">
        <v>16</v>
      </c>
      <c r="D9276" t="s" s="8">
        <v>3409</v>
      </c>
      <c r="E9276" t="s" s="9">
        <v>3410</v>
      </c>
      <c r="F9276" t="s" s="10">
        <v>240</v>
      </c>
      <c r="G9276" t="s" s="11">
        <v>240</v>
      </c>
      <c r="H9276" t="s" s="10">
        <v>240</v>
      </c>
      <c r="I9276" t="s" s="11">
        <v>240</v>
      </c>
      <c r="J9276" t="s" s="11">
        <v>20</v>
      </c>
      <c r="K9276" s="15"/>
      <c r="L9276" t="s" s="16">
        <f>HYPERLINK("http://csr.bu.edu/ftp/asl/asllvd/demos/verify_start_end_handshape_annotations//test_auto_move//signs_mov_separ_signers/Liz_2672.mov","MOV")</f>
        <v>21</v>
      </c>
      <c r="M9276" t="s" s="10">
        <v>59</v>
      </c>
      <c r="N9276" s="17">
        <v>22</v>
      </c>
      <c r="O9276" s="18">
        <v>878</v>
      </c>
      <c r="P9276" s="18">
        <v>935</v>
      </c>
      <c r="Q9276" s="15"/>
      <c r="R9276" t="s" s="16">
        <f>HYPERLINK("http://secrets.rutgers.edu:8080/data/asl-ftp/asllvd/demos/verify_start_end_handshape_annotations//test_auto_move//signs_mov_separ_signers/Liz_2672.mov","MOV")</f>
        <v>21</v>
      </c>
    </row>
    <row r="9277" s="2" customFormat="1" ht="13.5" customHeight="1">
      <c r="B9277" s="13"/>
      <c r="C9277" t="s" s="9">
        <v>30</v>
      </c>
      <c r="D9277" t="s" s="8">
        <v>3409</v>
      </c>
      <c r="E9277" t="s" s="9">
        <v>3410</v>
      </c>
      <c r="F9277" t="s" s="10">
        <v>240</v>
      </c>
      <c r="G9277" t="s" s="11">
        <v>240</v>
      </c>
      <c r="H9277" t="s" s="10">
        <v>240</v>
      </c>
      <c r="I9277" t="s" s="11">
        <v>240</v>
      </c>
      <c r="J9277" t="s" s="11">
        <v>20</v>
      </c>
      <c r="K9277" t="s" s="16">
        <f>HYPERLINK("http://csr.bu.edu/ftp/asl/asllvd/demos/verify_start_end_handshape_annotations//test_auto_move//signs_mov/2672_5527_15241_merged.mov","MOV")</f>
        <v>21</v>
      </c>
      <c r="L9277" t="s" s="16">
        <f>HYPERLINK("http://csr.bu.edu/ftp/asl/asllvd/demos/verify_start_end_handshape_annotations//test_auto_move//signs_mov_separ_signers/Brady_2672.mov","MOV")</f>
        <v>21</v>
      </c>
      <c r="M9277" t="s" s="10">
        <v>31</v>
      </c>
      <c r="N9277" s="17">
        <v>28</v>
      </c>
      <c r="O9277" s="18">
        <v>2933</v>
      </c>
      <c r="P9277" s="18">
        <v>2980</v>
      </c>
      <c r="Q9277" t="s" s="16">
        <f>HYPERLINK("http://secrets.rutgers.edu:8080/data/asl-ftp/asllvd/demos/verify_start_end_handshape_annotations//test_auto_move//signs_mov/2672_5527_15241_merged.mov","MOV")</f>
        <v>21</v>
      </c>
      <c r="R9277" t="s" s="16">
        <f>HYPERLINK("http://secrets.rutgers.edu:8080/data/asl-ftp/asllvd/demos/verify_start_end_handshape_annotations//test_auto_move//signs_mov_separ_signers/Brady_2672.mov","MOV")</f>
        <v>21</v>
      </c>
    </row>
    <row r="9278" s="2" customFormat="1" ht="13.5" customHeight="1">
      <c r="B9278" s="13"/>
      <c r="C9278" t="s" s="9">
        <v>30</v>
      </c>
      <c r="D9278" t="s" s="8">
        <v>3409</v>
      </c>
      <c r="E9278" t="s" s="9">
        <v>3410</v>
      </c>
      <c r="F9278" t="s" s="10">
        <v>240</v>
      </c>
      <c r="G9278" t="s" s="11">
        <v>240</v>
      </c>
      <c r="H9278" t="s" s="10">
        <v>240</v>
      </c>
      <c r="I9278" t="s" s="11">
        <v>240</v>
      </c>
      <c r="J9278" t="s" s="11">
        <v>20</v>
      </c>
      <c r="K9278" s="15"/>
      <c r="L9278" t="s" s="16">
        <f>HYPERLINK("http://csr.bu.edu/ftp/asl/asllvd/demos/verify_start_end_handshape_annotations//test_auto_move//signs_mov_separ_signers/Brady_5527.mov","MOV")</f>
        <v>21</v>
      </c>
      <c r="M9278" t="s" s="10">
        <v>40</v>
      </c>
      <c r="N9278" s="17">
        <v>103</v>
      </c>
      <c r="O9278" s="18">
        <v>1258</v>
      </c>
      <c r="P9278" s="18">
        <v>1296</v>
      </c>
      <c r="Q9278" s="15"/>
      <c r="R9278" t="s" s="16">
        <f>HYPERLINK("http://secrets.rutgers.edu:8080/data/asl-ftp/asllvd/demos/verify_start_end_handshape_annotations//test_auto_move//signs_mov_separ_signers/Brady_5527.mov","MOV")</f>
        <v>21</v>
      </c>
    </row>
    <row r="9279" s="2" customFormat="1" ht="13.5" customHeight="1">
      <c r="B9279" s="13"/>
      <c r="C9279" t="s" s="9">
        <v>30</v>
      </c>
      <c r="D9279" t="s" s="8">
        <v>3409</v>
      </c>
      <c r="E9279" t="s" s="9">
        <v>3410</v>
      </c>
      <c r="F9279" t="s" s="10">
        <v>240</v>
      </c>
      <c r="G9279" t="s" s="11">
        <v>240</v>
      </c>
      <c r="H9279" t="s" s="10">
        <v>240</v>
      </c>
      <c r="I9279" t="s" s="11">
        <v>240</v>
      </c>
      <c r="J9279" t="s" s="11">
        <v>20</v>
      </c>
      <c r="K9279" s="15"/>
      <c r="L9279" t="s" s="16">
        <f>HYPERLINK("http://csr.bu.edu/ftp/asl/asllvd/demos/verify_start_end_handshape_annotations//test_auto_move//signs_mov_separ_signers/Brady_15241.mov","MOV")</f>
        <v>21</v>
      </c>
      <c r="M9279" t="s" s="10">
        <v>60</v>
      </c>
      <c r="N9279" s="17">
        <v>10</v>
      </c>
      <c r="O9279" s="18">
        <v>389</v>
      </c>
      <c r="P9279" s="18">
        <v>430</v>
      </c>
      <c r="Q9279" s="15"/>
      <c r="R9279" t="s" s="16">
        <f>HYPERLINK("http://secrets.rutgers.edu:8080/data/asl-ftp/asllvd/demos/verify_start_end_handshape_annotations//test_auto_move//signs_mov_separ_signers/Brady_15241.mov","MOV")</f>
        <v>21</v>
      </c>
    </row>
    <row r="9280" s="2" customFormat="1" ht="13.5" customHeight="1">
      <c r="B9280" t="s" s="8">
        <v>3411</v>
      </c>
      <c r="C9280" t="s" s="9">
        <v>14</v>
      </c>
      <c r="D9280" t="s" s="8">
        <v>14</v>
      </c>
      <c r="E9280" t="s" s="9">
        <v>14</v>
      </c>
      <c r="F9280" t="s" s="10">
        <v>14</v>
      </c>
      <c r="G9280" t="s" s="11">
        <v>14</v>
      </c>
      <c r="H9280" t="s" s="10">
        <v>14</v>
      </c>
      <c r="I9280" t="s" s="11">
        <v>14</v>
      </c>
      <c r="J9280" t="s" s="11">
        <v>14</v>
      </c>
      <c r="K9280" t="s" s="12">
        <v>14</v>
      </c>
      <c r="L9280" t="s" s="12">
        <v>14</v>
      </c>
      <c r="M9280" t="s" s="10">
        <v>14</v>
      </c>
      <c r="N9280" t="s" s="11">
        <v>14</v>
      </c>
      <c r="O9280" t="s" s="8">
        <v>14</v>
      </c>
      <c r="P9280" t="s" s="8">
        <v>14</v>
      </c>
      <c r="Q9280" t="s" s="12">
        <v>14</v>
      </c>
      <c r="R9280" t="s" s="12">
        <v>14</v>
      </c>
    </row>
    <row r="9281" s="2" customFormat="1" ht="13.5" customHeight="1">
      <c r="B9281" s="13"/>
      <c r="C9281" t="s" s="9">
        <v>16</v>
      </c>
      <c r="D9281" t="s" s="8">
        <v>3411</v>
      </c>
      <c r="E9281" t="s" s="9">
        <v>3411</v>
      </c>
      <c r="F9281" t="s" s="10">
        <v>240</v>
      </c>
      <c r="G9281" t="s" s="11">
        <v>240</v>
      </c>
      <c r="H9281" t="s" s="10">
        <v>240</v>
      </c>
      <c r="I9281" t="s" s="11">
        <v>240</v>
      </c>
      <c r="J9281" t="s" s="11">
        <v>20</v>
      </c>
      <c r="K9281" s="15"/>
      <c r="L9281" t="s" s="16">
        <f>HYPERLINK("http://csr.bu.edu/ftp/asl/asllvd/demos/verify_start_end_handshape_annotations//test_auto_move//signs_mov_separ_signers/Liz_15242.mov","MOV")</f>
        <v>21</v>
      </c>
      <c r="M9281" t="s" s="10">
        <v>34</v>
      </c>
      <c r="N9281" s="17">
        <v>7</v>
      </c>
      <c r="O9281" s="18">
        <v>2802</v>
      </c>
      <c r="P9281" s="18">
        <v>2852</v>
      </c>
      <c r="Q9281" s="15"/>
      <c r="R9281" t="s" s="16">
        <f>HYPERLINK("http://secrets.rutgers.edu:8080/data/asl-ftp/asllvd/demos/verify_start_end_handshape_annotations//test_auto_move//signs_mov_separ_signers/Liz_15242.mov","MOV")</f>
        <v>21</v>
      </c>
    </row>
    <row r="9282" s="2" customFormat="1" ht="13.5" customHeight="1">
      <c r="B9282" s="13"/>
      <c r="C9282" t="s" s="9">
        <v>23</v>
      </c>
      <c r="D9282" t="s" s="8">
        <v>3411</v>
      </c>
      <c r="E9282" t="s" s="9">
        <v>3411</v>
      </c>
      <c r="F9282" t="s" s="10">
        <v>240</v>
      </c>
      <c r="G9282" t="s" s="11">
        <v>240</v>
      </c>
      <c r="H9282" t="s" s="10">
        <v>240</v>
      </c>
      <c r="I9282" t="s" s="11">
        <v>240</v>
      </c>
      <c r="J9282" t="s" s="11">
        <v>20</v>
      </c>
      <c r="K9282" t="s" s="16">
        <f>HYPERLINK("http://csr.bu.edu/ftp/asl/asllvd/demos/verify_start_end_handshape_annotations//test_auto_move//signs_mov/15242.mov","MOV")</f>
        <v>21</v>
      </c>
      <c r="L9282" t="s" s="16">
        <f>HYPERLINK("http://csr.bu.edu/ftp/asl/asllvd/demos/verify_start_end_handshape_annotations//test_auto_move//signs_mov_separ_signers/Tyler_15242.mov","MOV")</f>
        <v>21</v>
      </c>
      <c r="M9282" t="s" s="10">
        <v>92</v>
      </c>
      <c r="N9282" s="17">
        <v>38</v>
      </c>
      <c r="O9282" s="18">
        <v>2300</v>
      </c>
      <c r="P9282" s="18">
        <v>2345</v>
      </c>
      <c r="Q9282" t="s" s="16">
        <f>HYPERLINK("http://secrets.rutgers.edu:8080/data/asl-ftp/asllvd/demos/verify_start_end_handshape_annotations//test_auto_move//signs_mov/15242.mov","MOV")</f>
        <v>21</v>
      </c>
      <c r="R9282" t="s" s="16">
        <f>HYPERLINK("http://secrets.rutgers.edu:8080/data/asl-ftp/asllvd/demos/verify_start_end_handshape_annotations//test_auto_move//signs_mov_separ_signers/Tyler_15242.mov","MOV")</f>
        <v>21</v>
      </c>
    </row>
    <row r="9283" s="2" customFormat="1" ht="13.5" customHeight="1">
      <c r="B9283" s="13"/>
      <c r="C9283" t="s" s="9">
        <v>27</v>
      </c>
      <c r="D9283" t="s" s="8">
        <v>3411</v>
      </c>
      <c r="E9283" t="s" s="9">
        <v>3411</v>
      </c>
      <c r="F9283" t="s" s="10">
        <v>240</v>
      </c>
      <c r="G9283" t="s" s="11">
        <v>240</v>
      </c>
      <c r="H9283" t="s" s="10">
        <v>240</v>
      </c>
      <c r="I9283" t="s" s="11">
        <v>240</v>
      </c>
      <c r="J9283" t="s" s="11">
        <v>20</v>
      </c>
      <c r="K9283" s="15"/>
      <c r="L9283" t="s" s="16">
        <f>HYPERLINK("http://csr.bu.edu/ftp/asl/asllvd/demos/verify_start_end_handshape_annotations//test_auto_move//signs_mov_separ_signers/Naomi_15242.mov","MOV")</f>
        <v>21</v>
      </c>
      <c r="M9283" t="s" s="10">
        <v>38</v>
      </c>
      <c r="N9283" s="17">
        <v>6</v>
      </c>
      <c r="O9283" s="18">
        <v>3590</v>
      </c>
      <c r="P9283" s="18">
        <v>3610</v>
      </c>
      <c r="Q9283" s="15"/>
      <c r="R9283" t="s" s="16">
        <f>HYPERLINK("http://secrets.rutgers.edu:8080/data/asl-ftp/asllvd/demos/verify_start_end_handshape_annotations//test_auto_move//signs_mov_separ_signers/Naomi_15242.mov","MOV")</f>
        <v>21</v>
      </c>
    </row>
    <row r="9284" s="2" customFormat="1" ht="13.5" customHeight="1">
      <c r="B9284" s="13"/>
      <c r="C9284" t="s" s="9">
        <v>30</v>
      </c>
      <c r="D9284" t="s" s="8">
        <v>3411</v>
      </c>
      <c r="E9284" t="s" s="9">
        <v>3411</v>
      </c>
      <c r="F9284" t="s" s="10">
        <v>240</v>
      </c>
      <c r="G9284" t="s" s="11">
        <v>240</v>
      </c>
      <c r="H9284" t="s" s="10">
        <v>240</v>
      </c>
      <c r="I9284" t="s" s="11">
        <v>240</v>
      </c>
      <c r="J9284" t="s" s="11">
        <v>20</v>
      </c>
      <c r="K9284" s="15"/>
      <c r="L9284" t="s" s="16">
        <f>HYPERLINK("http://csr.bu.edu/ftp/asl/asllvd/demos/verify_start_end_handshape_annotations//test_auto_move//signs_mov_separ_signers/Brady_15242.mov","MOV")</f>
        <v>21</v>
      </c>
      <c r="M9284" t="s" s="10">
        <v>39</v>
      </c>
      <c r="N9284" s="17">
        <v>27</v>
      </c>
      <c r="O9284" s="18">
        <v>984</v>
      </c>
      <c r="P9284" s="18">
        <v>1002</v>
      </c>
      <c r="Q9284" s="15"/>
      <c r="R9284" t="s" s="16">
        <f>HYPERLINK("http://secrets.rutgers.edu:8080/data/asl-ftp/asllvd/demos/verify_start_end_handshape_annotations//test_auto_move//signs_mov_separ_signers/Brady_15242.mov","MOV")</f>
        <v>21</v>
      </c>
    </row>
    <row r="9285" s="2" customFormat="1" ht="13.5" customHeight="1">
      <c r="B9285" t="s" s="8">
        <v>3412</v>
      </c>
      <c r="C9285" t="s" s="9">
        <v>14</v>
      </c>
      <c r="D9285" t="s" s="8">
        <v>14</v>
      </c>
      <c r="E9285" t="s" s="9">
        <v>14</v>
      </c>
      <c r="F9285" t="s" s="10">
        <v>14</v>
      </c>
      <c r="G9285" t="s" s="11">
        <v>14</v>
      </c>
      <c r="H9285" t="s" s="10">
        <v>14</v>
      </c>
      <c r="I9285" t="s" s="11">
        <v>14</v>
      </c>
      <c r="J9285" t="s" s="11">
        <v>14</v>
      </c>
      <c r="K9285" t="s" s="12">
        <v>14</v>
      </c>
      <c r="L9285" t="s" s="12">
        <v>14</v>
      </c>
      <c r="M9285" t="s" s="10">
        <v>14</v>
      </c>
      <c r="N9285" t="s" s="11">
        <v>14</v>
      </c>
      <c r="O9285" t="s" s="8">
        <v>14</v>
      </c>
      <c r="P9285" t="s" s="8">
        <v>14</v>
      </c>
      <c r="Q9285" t="s" s="12">
        <v>14</v>
      </c>
      <c r="R9285" t="s" s="12">
        <v>14</v>
      </c>
    </row>
    <row r="9286" s="2" customFormat="1" ht="13.5" customHeight="1">
      <c r="B9286" s="13"/>
      <c r="C9286" t="s" s="9">
        <v>16</v>
      </c>
      <c r="D9286" t="s" s="8">
        <v>3412</v>
      </c>
      <c r="E9286" t="s" s="9">
        <v>3412</v>
      </c>
      <c r="F9286" t="s" s="10">
        <v>72</v>
      </c>
      <c r="G9286" t="s" s="11">
        <v>72</v>
      </c>
      <c r="H9286" t="s" s="10">
        <v>72</v>
      </c>
      <c r="I9286" t="s" s="11">
        <v>72</v>
      </c>
      <c r="J9286" t="s" s="11">
        <v>20</v>
      </c>
      <c r="K9286" t="s" s="16">
        <f>HYPERLINK("http://csr.bu.edu/ftp/asl/asllvd/demos/verify_start_end_handshape_annotations//test_auto_move//signs_mov/2675.mov","MOV")</f>
        <v>21</v>
      </c>
      <c r="L9286" t="s" s="16">
        <f>HYPERLINK("http://csr.bu.edu/ftp/asl/asllvd/demos/verify_start_end_handshape_annotations//test_auto_move//signs_mov_separ_signers/Liz_2675.mov","MOV")</f>
        <v>21</v>
      </c>
      <c r="M9286" t="s" s="10">
        <v>59</v>
      </c>
      <c r="N9286" s="17">
        <v>22</v>
      </c>
      <c r="O9286" s="18">
        <v>1746</v>
      </c>
      <c r="P9286" s="18">
        <v>1797</v>
      </c>
      <c r="Q9286" t="s" s="16">
        <f>HYPERLINK("http://secrets.rutgers.edu:8080/data/asl-ftp/asllvd/demos/verify_start_end_handshape_annotations//test_auto_move//signs_mov/2675.mov","MOV")</f>
        <v>21</v>
      </c>
      <c r="R9286" t="s" s="16">
        <f>HYPERLINK("http://secrets.rutgers.edu:8080/data/asl-ftp/asllvd/demos/verify_start_end_handshape_annotations//test_auto_move//signs_mov_separ_signers/Liz_2675.mov","MOV")</f>
        <v>21</v>
      </c>
    </row>
    <row r="9287" s="2" customFormat="1" ht="13.5" customHeight="1">
      <c r="B9287" t="s" s="8">
        <v>52</v>
      </c>
      <c r="C9287" t="s" s="9">
        <v>53</v>
      </c>
      <c r="D9287" t="s" s="8">
        <v>53</v>
      </c>
      <c r="E9287" t="s" s="9">
        <v>53</v>
      </c>
      <c r="F9287" t="s" s="10">
        <v>53</v>
      </c>
      <c r="G9287" t="s" s="11">
        <v>53</v>
      </c>
      <c r="H9287" t="s" s="10">
        <v>53</v>
      </c>
      <c r="I9287" t="s" s="11">
        <v>53</v>
      </c>
      <c r="J9287" t="s" s="11">
        <v>53</v>
      </c>
      <c r="K9287" t="s" s="12">
        <v>53</v>
      </c>
      <c r="L9287" t="s" s="12">
        <v>53</v>
      </c>
      <c r="M9287" t="s" s="10">
        <v>53</v>
      </c>
      <c r="N9287" t="s" s="11">
        <v>53</v>
      </c>
      <c r="O9287" t="s" s="8">
        <v>53</v>
      </c>
      <c r="P9287" t="s" s="8">
        <v>53</v>
      </c>
      <c r="Q9287" t="s" s="12">
        <v>53</v>
      </c>
      <c r="R9287" t="s" s="12">
        <v>53</v>
      </c>
    </row>
    <row r="9288" s="2" customFormat="1" ht="13.5" customHeight="1">
      <c r="B9288" s="13"/>
      <c r="C9288" t="s" s="9">
        <v>30</v>
      </c>
      <c r="D9288" t="s" s="8">
        <v>3412</v>
      </c>
      <c r="E9288" t="s" s="9">
        <v>3413</v>
      </c>
      <c r="F9288" t="s" s="10">
        <v>72</v>
      </c>
      <c r="G9288" t="s" s="11">
        <v>72</v>
      </c>
      <c r="H9288" t="s" s="10">
        <v>63</v>
      </c>
      <c r="I9288" t="s" s="11">
        <v>63</v>
      </c>
      <c r="J9288" t="s" s="11">
        <v>20</v>
      </c>
      <c r="K9288" t="s" s="16">
        <f>HYPERLINK("http://csr.bu.edu/ftp/asl/asllvd/demos/verify_start_end_handshape_annotations//test_auto_move//signs_mov/16478.mov","MOV")</f>
        <v>21</v>
      </c>
      <c r="L9288" t="s" s="16">
        <f>HYPERLINK("http://csr.bu.edu/ftp/asl/asllvd/demos/verify_start_end_handshape_annotations//test_auto_move//signs_mov_separ_signers/Brady_16478.mov","MOV")</f>
        <v>21</v>
      </c>
      <c r="M9288" t="s" s="10">
        <v>60</v>
      </c>
      <c r="N9288" s="17">
        <v>10</v>
      </c>
      <c r="O9288" s="18">
        <v>1104</v>
      </c>
      <c r="P9288" s="18">
        <v>1131</v>
      </c>
      <c r="Q9288" t="s" s="16">
        <f>HYPERLINK("http://secrets.rutgers.edu:8080/data/asl-ftp/asllvd/demos/verify_start_end_handshape_annotations//test_auto_move//signs_mov/16478.mov","MOV")</f>
        <v>21</v>
      </c>
      <c r="R9288" t="s" s="16">
        <f>HYPERLINK("http://secrets.rutgers.edu:8080/data/asl-ftp/asllvd/demos/verify_start_end_handshape_annotations//test_auto_move//signs_mov_separ_signers/Brady_16478.mov","MOV")</f>
        <v>21</v>
      </c>
    </row>
    <row r="9289" s="2" customFormat="1" ht="13.5" customHeight="1">
      <c r="B9289" t="s" s="8">
        <v>3414</v>
      </c>
      <c r="C9289" t="s" s="9">
        <v>14</v>
      </c>
      <c r="D9289" t="s" s="8">
        <v>14</v>
      </c>
      <c r="E9289" t="s" s="9">
        <v>14</v>
      </c>
      <c r="F9289" t="s" s="10">
        <v>14</v>
      </c>
      <c r="G9289" t="s" s="11">
        <v>14</v>
      </c>
      <c r="H9289" t="s" s="10">
        <v>14</v>
      </c>
      <c r="I9289" t="s" s="11">
        <v>14</v>
      </c>
      <c r="J9289" t="s" s="11">
        <v>14</v>
      </c>
      <c r="K9289" t="s" s="12">
        <v>14</v>
      </c>
      <c r="L9289" t="s" s="12">
        <v>14</v>
      </c>
      <c r="M9289" t="s" s="10">
        <v>14</v>
      </c>
      <c r="N9289" t="s" s="11">
        <v>14</v>
      </c>
      <c r="O9289" t="s" s="8">
        <v>14</v>
      </c>
      <c r="P9289" t="s" s="8">
        <v>14</v>
      </c>
      <c r="Q9289" t="s" s="12">
        <v>14</v>
      </c>
      <c r="R9289" t="s" s="12">
        <v>14</v>
      </c>
    </row>
    <row r="9290" s="2" customFormat="1" ht="13.5" customHeight="1">
      <c r="B9290" s="13"/>
      <c r="C9290" t="s" s="9">
        <v>16</v>
      </c>
      <c r="D9290" t="s" s="8">
        <v>3414</v>
      </c>
      <c r="E9290" t="s" s="9">
        <v>3415</v>
      </c>
      <c r="F9290" t="s" s="10">
        <v>65</v>
      </c>
      <c r="G9290" t="s" s="11">
        <v>65</v>
      </c>
      <c r="H9290" t="s" s="10">
        <v>65</v>
      </c>
      <c r="I9290" t="s" s="11">
        <v>65</v>
      </c>
      <c r="J9290" t="s" s="11">
        <v>20</v>
      </c>
      <c r="K9290" t="s" s="16">
        <f>HYPERLINK("http://csr.bu.edu/ftp/asl/asllvd/demos/verify_start_end_handshape_annotations//test_auto_move//signs_mov/2686.mov","MOV")</f>
        <v>21</v>
      </c>
      <c r="L9290" t="s" s="16">
        <f>HYPERLINK("http://csr.bu.edu/ftp/asl/asllvd/demos/verify_start_end_handshape_annotations//test_auto_move//signs_mov_separ_signers/Liz_2686.mov","MOV")</f>
        <v>21</v>
      </c>
      <c r="M9290" t="s" s="10">
        <v>59</v>
      </c>
      <c r="N9290" s="17">
        <v>23</v>
      </c>
      <c r="O9290" s="18">
        <v>3430</v>
      </c>
      <c r="P9290" s="18">
        <v>3511</v>
      </c>
      <c r="Q9290" t="s" s="16">
        <f>HYPERLINK("http://secrets.rutgers.edu:8080/data/asl-ftp/asllvd/demos/verify_start_end_handshape_annotations//test_auto_move//signs_mov/2686.mov","MOV")</f>
        <v>21</v>
      </c>
      <c r="R9290" t="s" s="16">
        <f>HYPERLINK("http://secrets.rutgers.edu:8080/data/asl-ftp/asllvd/demos/verify_start_end_handshape_annotations//test_auto_move//signs_mov_separ_signers/Liz_2686.mov","MOV")</f>
        <v>21</v>
      </c>
    </row>
    <row r="9291" s="2" customFormat="1" ht="13.5" customHeight="1">
      <c r="B9291" t="s" s="8">
        <v>3416</v>
      </c>
      <c r="C9291" t="s" s="9">
        <v>14</v>
      </c>
      <c r="D9291" t="s" s="8">
        <v>14</v>
      </c>
      <c r="E9291" t="s" s="9">
        <v>14</v>
      </c>
      <c r="F9291" t="s" s="10">
        <v>14</v>
      </c>
      <c r="G9291" t="s" s="11">
        <v>14</v>
      </c>
      <c r="H9291" t="s" s="10">
        <v>14</v>
      </c>
      <c r="I9291" t="s" s="11">
        <v>14</v>
      </c>
      <c r="J9291" t="s" s="11">
        <v>14</v>
      </c>
      <c r="K9291" t="s" s="12">
        <v>14</v>
      </c>
      <c r="L9291" t="s" s="12">
        <v>14</v>
      </c>
      <c r="M9291" t="s" s="10">
        <v>14</v>
      </c>
      <c r="N9291" t="s" s="11">
        <v>14</v>
      </c>
      <c r="O9291" t="s" s="8">
        <v>14</v>
      </c>
      <c r="P9291" t="s" s="8">
        <v>14</v>
      </c>
      <c r="Q9291" t="s" s="12">
        <v>14</v>
      </c>
      <c r="R9291" t="s" s="12">
        <v>14</v>
      </c>
    </row>
    <row r="9292" s="2" customFormat="1" ht="13.5" customHeight="1">
      <c r="B9292" s="13"/>
      <c r="C9292" t="s" s="9">
        <v>16</v>
      </c>
      <c r="D9292" t="s" s="8">
        <v>3416</v>
      </c>
      <c r="E9292" t="s" s="9">
        <v>3417</v>
      </c>
      <c r="F9292" t="s" s="10">
        <v>136</v>
      </c>
      <c r="G9292" t="s" s="11">
        <v>136</v>
      </c>
      <c r="H9292" t="s" s="10">
        <v>136</v>
      </c>
      <c r="I9292" t="s" s="11">
        <v>136</v>
      </c>
      <c r="J9292" t="s" s="11">
        <v>20</v>
      </c>
      <c r="K9292" t="s" s="16">
        <f>HYPERLINK("http://csr.bu.edu/ftp/asl/asllvd/demos/verify_start_end_handshape_annotations//test_auto_move//signs_mov/2687.mov","MOV")</f>
        <v>21</v>
      </c>
      <c r="L9292" t="s" s="16">
        <f>HYPERLINK("http://csr.bu.edu/ftp/asl/asllvd/demos/verify_start_end_handshape_annotations//test_auto_move//signs_mov_separ_signers/Liz_2687.mov","MOV")</f>
        <v>21</v>
      </c>
      <c r="M9292" t="s" s="10">
        <v>59</v>
      </c>
      <c r="N9292" s="17">
        <v>23</v>
      </c>
      <c r="O9292" s="18">
        <v>3736</v>
      </c>
      <c r="P9292" s="18">
        <v>3781</v>
      </c>
      <c r="Q9292" t="s" s="16">
        <f>HYPERLINK("http://secrets.rutgers.edu:8080/data/asl-ftp/asllvd/demos/verify_start_end_handshape_annotations//test_auto_move//signs_mov/2687.mov","MOV")</f>
        <v>21</v>
      </c>
      <c r="R9292" t="s" s="16">
        <f>HYPERLINK("http://secrets.rutgers.edu:8080/data/asl-ftp/asllvd/demos/verify_start_end_handshape_annotations//test_auto_move//signs_mov_separ_signers/Liz_2687.mov","MOV")</f>
        <v>21</v>
      </c>
    </row>
    <row r="9293" s="2" customFormat="1" ht="13.5" customHeight="1">
      <c r="B9293" s="13"/>
      <c r="C9293" t="s" s="9">
        <v>30</v>
      </c>
      <c r="D9293" t="s" s="8">
        <v>3416</v>
      </c>
      <c r="E9293" t="s" s="9">
        <v>3418</v>
      </c>
      <c r="F9293" t="s" s="10">
        <v>136</v>
      </c>
      <c r="G9293" t="s" s="11">
        <v>136</v>
      </c>
      <c r="H9293" t="s" s="10">
        <v>136</v>
      </c>
      <c r="I9293" t="s" s="11">
        <v>136</v>
      </c>
      <c r="J9293" t="s" s="11">
        <v>20</v>
      </c>
      <c r="K9293" s="15"/>
      <c r="L9293" t="s" s="16">
        <f>HYPERLINK("http://csr.bu.edu/ftp/asl/asllvd/demos/verify_start_end_handshape_annotations//test_auto_move//signs_mov_separ_signers/Brady_2687.mov","MOV")</f>
        <v>21</v>
      </c>
      <c r="M9293" t="s" s="10">
        <v>60</v>
      </c>
      <c r="N9293" s="17">
        <v>12</v>
      </c>
      <c r="O9293" s="18">
        <v>151</v>
      </c>
      <c r="P9293" s="18">
        <v>190</v>
      </c>
      <c r="Q9293" s="15"/>
      <c r="R9293" t="s" s="16">
        <f>HYPERLINK("http://secrets.rutgers.edu:8080/data/asl-ftp/asllvd/demos/verify_start_end_handshape_annotations//test_auto_move//signs_mov_separ_signers/Brady_2687.mov","MOV")</f>
        <v>21</v>
      </c>
    </row>
    <row r="9294" s="2" customFormat="1" ht="13.5" customHeight="1">
      <c r="B9294" t="s" s="8">
        <v>3419</v>
      </c>
      <c r="C9294" t="s" s="9">
        <v>14</v>
      </c>
      <c r="D9294" t="s" s="8">
        <v>14</v>
      </c>
      <c r="E9294" t="s" s="9">
        <v>14</v>
      </c>
      <c r="F9294" t="s" s="10">
        <v>14</v>
      </c>
      <c r="G9294" t="s" s="11">
        <v>14</v>
      </c>
      <c r="H9294" t="s" s="10">
        <v>14</v>
      </c>
      <c r="I9294" t="s" s="11">
        <v>14</v>
      </c>
      <c r="J9294" t="s" s="11">
        <v>14</v>
      </c>
      <c r="K9294" t="s" s="12">
        <v>14</v>
      </c>
      <c r="L9294" t="s" s="12">
        <v>14</v>
      </c>
      <c r="M9294" t="s" s="10">
        <v>14</v>
      </c>
      <c r="N9294" t="s" s="11">
        <v>14</v>
      </c>
      <c r="O9294" t="s" s="8">
        <v>14</v>
      </c>
      <c r="P9294" t="s" s="8">
        <v>14</v>
      </c>
      <c r="Q9294" t="s" s="12">
        <v>14</v>
      </c>
      <c r="R9294" t="s" s="12">
        <v>14</v>
      </c>
    </row>
    <row r="9295" s="2" customFormat="1" ht="13.5" customHeight="1">
      <c r="B9295" s="13"/>
      <c r="C9295" t="s" s="9">
        <v>16</v>
      </c>
      <c r="D9295" t="s" s="8">
        <v>3419</v>
      </c>
      <c r="E9295" t="s" s="9">
        <v>3419</v>
      </c>
      <c r="F9295" t="s" s="10">
        <v>240</v>
      </c>
      <c r="G9295" t="s" s="11">
        <v>73</v>
      </c>
      <c r="H9295" t="s" s="10">
        <v>240</v>
      </c>
      <c r="I9295" t="s" s="11">
        <v>73</v>
      </c>
      <c r="J9295" t="s" s="11">
        <v>20</v>
      </c>
      <c r="K9295" t="s" s="16">
        <f>HYPERLINK("http://csr.bu.edu/ftp/asl/asllvd/demos/verify_start_end_handshape_annotations//test_auto_move//signs_mov/2691.mov","MOV")</f>
        <v>21</v>
      </c>
      <c r="L9295" t="s" s="16">
        <f>HYPERLINK("http://csr.bu.edu/ftp/asl/asllvd/demos/verify_start_end_handshape_annotations//test_auto_move//signs_mov_separ_signers/Liz_2691.mov","MOV")</f>
        <v>21</v>
      </c>
      <c r="M9295" t="s" s="10">
        <v>59</v>
      </c>
      <c r="N9295" s="17">
        <v>24</v>
      </c>
      <c r="O9295" s="18">
        <v>527</v>
      </c>
      <c r="P9295" s="18">
        <v>569</v>
      </c>
      <c r="Q9295" t="s" s="16">
        <f>HYPERLINK("http://secrets.rutgers.edu:8080/data/asl-ftp/asllvd/demos/verify_start_end_handshape_annotations//test_auto_move//signs_mov/2691.mov","MOV")</f>
        <v>21</v>
      </c>
      <c r="R9295" t="s" s="16">
        <f>HYPERLINK("http://secrets.rutgers.edu:8080/data/asl-ftp/asllvd/demos/verify_start_end_handshape_annotations//test_auto_move//signs_mov_separ_signers/Liz_2691.mov","MOV")</f>
        <v>21</v>
      </c>
    </row>
    <row r="9296" s="2" customFormat="1" ht="13.5" customHeight="1">
      <c r="B9296" s="13"/>
      <c r="C9296" t="s" s="9">
        <v>30</v>
      </c>
      <c r="D9296" t="s" s="8">
        <v>3419</v>
      </c>
      <c r="E9296" t="s" s="9">
        <v>3419</v>
      </c>
      <c r="F9296" t="s" s="10">
        <v>240</v>
      </c>
      <c r="G9296" t="s" s="11">
        <v>73</v>
      </c>
      <c r="H9296" t="s" s="10">
        <v>240</v>
      </c>
      <c r="I9296" t="s" s="11">
        <v>73</v>
      </c>
      <c r="J9296" t="s" s="11">
        <v>20</v>
      </c>
      <c r="K9296" s="15"/>
      <c r="L9296" t="s" s="16">
        <f>HYPERLINK("http://csr.bu.edu/ftp/asl/asllvd/demos/verify_start_end_handshape_annotations//test_auto_move//signs_mov_separ_signers/Brady_2691.mov","MOV")</f>
        <v>21</v>
      </c>
      <c r="M9296" t="s" s="10">
        <v>60</v>
      </c>
      <c r="N9296" s="17">
        <v>12</v>
      </c>
      <c r="O9296" s="18">
        <v>1696</v>
      </c>
      <c r="P9296" s="18">
        <v>1726</v>
      </c>
      <c r="Q9296" s="15"/>
      <c r="R9296" t="s" s="16">
        <f>HYPERLINK("http://secrets.rutgers.edu:8080/data/asl-ftp/asllvd/demos/verify_start_end_handshape_annotations//test_auto_move//signs_mov_separ_signers/Brady_2691.mov","MOV")</f>
        <v>21</v>
      </c>
    </row>
    <row r="9297" s="2" customFormat="1" ht="13.5" customHeight="1">
      <c r="B9297" t="s" s="8">
        <v>3420</v>
      </c>
      <c r="C9297" t="s" s="9">
        <v>14</v>
      </c>
      <c r="D9297" t="s" s="8">
        <v>14</v>
      </c>
      <c r="E9297" t="s" s="9">
        <v>14</v>
      </c>
      <c r="F9297" t="s" s="10">
        <v>14</v>
      </c>
      <c r="G9297" t="s" s="11">
        <v>14</v>
      </c>
      <c r="H9297" t="s" s="10">
        <v>14</v>
      </c>
      <c r="I9297" t="s" s="11">
        <v>14</v>
      </c>
      <c r="J9297" t="s" s="11">
        <v>14</v>
      </c>
      <c r="K9297" t="s" s="12">
        <v>14</v>
      </c>
      <c r="L9297" t="s" s="12">
        <v>14</v>
      </c>
      <c r="M9297" t="s" s="10">
        <v>14</v>
      </c>
      <c r="N9297" t="s" s="11">
        <v>14</v>
      </c>
      <c r="O9297" t="s" s="8">
        <v>14</v>
      </c>
      <c r="P9297" t="s" s="8">
        <v>14</v>
      </c>
      <c r="Q9297" t="s" s="12">
        <v>14</v>
      </c>
      <c r="R9297" t="s" s="12">
        <v>14</v>
      </c>
    </row>
    <row r="9298" s="2" customFormat="1" ht="13.5" customHeight="1">
      <c r="B9298" s="13"/>
      <c r="C9298" t="s" s="9">
        <v>16</v>
      </c>
      <c r="D9298" t="s" s="8">
        <v>3420</v>
      </c>
      <c r="E9298" t="s" s="9">
        <v>3420</v>
      </c>
      <c r="F9298" t="s" s="10">
        <v>386</v>
      </c>
      <c r="G9298" t="s" s="11">
        <v>386</v>
      </c>
      <c r="H9298" t="s" s="10">
        <v>386</v>
      </c>
      <c r="I9298" t="s" s="11">
        <v>386</v>
      </c>
      <c r="J9298" t="s" s="11">
        <v>20</v>
      </c>
      <c r="K9298" t="s" s="16">
        <f>HYPERLINK("http://csr.bu.edu/ftp/asl/asllvd/demos/verify_start_end_handshape_annotations//test_auto_move//signs_mov/2692.mov","MOV")</f>
        <v>21</v>
      </c>
      <c r="L9298" t="s" s="16">
        <f>HYPERLINK("http://csr.bu.edu/ftp/asl/asllvd/demos/verify_start_end_handshape_annotations//test_auto_move//signs_mov_separ_signers/Liz_2692.mov","MOV")</f>
        <v>21</v>
      </c>
      <c r="M9298" t="s" s="10">
        <v>59</v>
      </c>
      <c r="N9298" s="17">
        <v>24</v>
      </c>
      <c r="O9298" s="18">
        <v>730</v>
      </c>
      <c r="P9298" s="18">
        <v>775</v>
      </c>
      <c r="Q9298" t="s" s="16">
        <f>HYPERLINK("http://secrets.rutgers.edu:8080/data/asl-ftp/asllvd/demos/verify_start_end_handshape_annotations//test_auto_move//signs_mov/2692.mov","MOV")</f>
        <v>21</v>
      </c>
      <c r="R9298" t="s" s="16">
        <f>HYPERLINK("http://secrets.rutgers.edu:8080/data/asl-ftp/asllvd/demos/verify_start_end_handshape_annotations//test_auto_move//signs_mov_separ_signers/Liz_2692.mov","MOV")</f>
        <v>21</v>
      </c>
    </row>
    <row r="9299" s="2" customFormat="1" ht="13.5" customHeight="1">
      <c r="B9299" s="13"/>
      <c r="C9299" t="s" s="9">
        <v>30</v>
      </c>
      <c r="D9299" t="s" s="8">
        <v>3420</v>
      </c>
      <c r="E9299" t="s" s="9">
        <v>3420</v>
      </c>
      <c r="F9299" t="s" s="10">
        <v>386</v>
      </c>
      <c r="G9299" t="s" s="11">
        <v>386</v>
      </c>
      <c r="H9299" t="s" s="10">
        <v>386</v>
      </c>
      <c r="I9299" t="s" s="11">
        <v>386</v>
      </c>
      <c r="J9299" t="s" s="11">
        <v>20</v>
      </c>
      <c r="K9299" s="15"/>
      <c r="L9299" t="s" s="16">
        <f>HYPERLINK("http://csr.bu.edu/ftp/asl/asllvd/demos/verify_start_end_handshape_annotations//test_auto_move//signs_mov_separ_signers/Brady_2692.mov","MOV")</f>
        <v>21</v>
      </c>
      <c r="M9299" t="s" s="10">
        <v>31</v>
      </c>
      <c r="N9299" s="17">
        <v>13</v>
      </c>
      <c r="O9299" s="18">
        <v>18638</v>
      </c>
      <c r="P9299" s="18">
        <v>18650</v>
      </c>
      <c r="Q9299" s="15"/>
      <c r="R9299" t="s" s="16">
        <f>HYPERLINK("http://secrets.rutgers.edu:8080/data/asl-ftp/asllvd/demos/verify_start_end_handshape_annotations//test_auto_move//signs_mov_separ_signers/Brady_2692.mov","MOV")</f>
        <v>21</v>
      </c>
    </row>
    <row r="9300" s="2" customFormat="1" ht="13.5" customHeight="1">
      <c r="B9300" t="s" s="8">
        <v>3421</v>
      </c>
      <c r="C9300" t="s" s="9">
        <v>14</v>
      </c>
      <c r="D9300" t="s" s="8">
        <v>14</v>
      </c>
      <c r="E9300" t="s" s="9">
        <v>14</v>
      </c>
      <c r="F9300" t="s" s="10">
        <v>14</v>
      </c>
      <c r="G9300" t="s" s="11">
        <v>14</v>
      </c>
      <c r="H9300" t="s" s="10">
        <v>14</v>
      </c>
      <c r="I9300" t="s" s="11">
        <v>14</v>
      </c>
      <c r="J9300" t="s" s="11">
        <v>14</v>
      </c>
      <c r="K9300" t="s" s="12">
        <v>14</v>
      </c>
      <c r="L9300" t="s" s="12">
        <v>14</v>
      </c>
      <c r="M9300" t="s" s="10">
        <v>14</v>
      </c>
      <c r="N9300" t="s" s="11">
        <v>14</v>
      </c>
      <c r="O9300" t="s" s="8">
        <v>14</v>
      </c>
      <c r="P9300" t="s" s="8">
        <v>14</v>
      </c>
      <c r="Q9300" t="s" s="12">
        <v>14</v>
      </c>
      <c r="R9300" t="s" s="12">
        <v>14</v>
      </c>
    </row>
    <row r="9301" s="2" customFormat="1" ht="13.5" customHeight="1">
      <c r="B9301" s="13"/>
      <c r="C9301" t="s" s="9">
        <v>16</v>
      </c>
      <c r="D9301" t="s" s="8">
        <v>3421</v>
      </c>
      <c r="E9301" t="s" s="9">
        <v>3421</v>
      </c>
      <c r="F9301" t="s" s="10">
        <v>63</v>
      </c>
      <c r="G9301" t="s" s="11">
        <v>63</v>
      </c>
      <c r="H9301" t="s" s="10">
        <v>63</v>
      </c>
      <c r="I9301" t="s" s="11">
        <v>63</v>
      </c>
      <c r="J9301" t="s" s="11">
        <v>20</v>
      </c>
      <c r="K9301" s="15"/>
      <c r="L9301" t="s" s="16">
        <f>HYPERLINK("http://csr.bu.edu/ftp/asl/asllvd/demos/verify_start_end_handshape_annotations//test_auto_move//signs_mov_separ_signers/Liz_5528.mov","MOV")</f>
        <v>21</v>
      </c>
      <c r="M9301" t="s" s="10">
        <v>22</v>
      </c>
      <c r="N9301" s="17">
        <v>24</v>
      </c>
      <c r="O9301" s="18">
        <v>780</v>
      </c>
      <c r="P9301" s="18">
        <v>805</v>
      </c>
      <c r="Q9301" s="15"/>
      <c r="R9301" t="s" s="16">
        <f>HYPERLINK("http://secrets.rutgers.edu:8080/data/asl-ftp/asllvd/demos/verify_start_end_handshape_annotations//test_auto_move//signs_mov_separ_signers/Liz_5528.mov","MOV")</f>
        <v>21</v>
      </c>
    </row>
    <row r="9302" s="2" customFormat="1" ht="13.5" customHeight="1">
      <c r="B9302" s="13"/>
      <c r="C9302" t="s" s="9">
        <v>27</v>
      </c>
      <c r="D9302" t="s" s="8">
        <v>3421</v>
      </c>
      <c r="E9302" t="s" s="9">
        <v>3421</v>
      </c>
      <c r="F9302" t="s" s="10">
        <v>63</v>
      </c>
      <c r="G9302" t="s" s="11">
        <v>63</v>
      </c>
      <c r="H9302" t="s" s="10">
        <v>63</v>
      </c>
      <c r="I9302" t="s" s="11">
        <v>63</v>
      </c>
      <c r="J9302" t="s" s="11">
        <v>20</v>
      </c>
      <c r="K9302" t="s" s="16">
        <f>HYPERLINK("http://csr.bu.edu/ftp/asl/asllvd/demos/verify_start_end_handshape_annotations//test_auto_move//signs_mov/5528.mov","MOV")</f>
        <v>21</v>
      </c>
      <c r="L9302" t="s" s="16">
        <f>HYPERLINK("http://csr.bu.edu/ftp/asl/asllvd/demos/verify_start_end_handshape_annotations//test_auto_move//signs_mov_separ_signers/Naomi_5528.mov","MOV")</f>
        <v>21</v>
      </c>
      <c r="M9302" t="s" s="10">
        <v>29</v>
      </c>
      <c r="N9302" s="17">
        <v>16</v>
      </c>
      <c r="O9302" s="18">
        <v>985</v>
      </c>
      <c r="P9302" s="18">
        <v>1018</v>
      </c>
      <c r="Q9302" t="s" s="16">
        <f>HYPERLINK("http://secrets.rutgers.edu:8080/data/asl-ftp/asllvd/demos/verify_start_end_handshape_annotations//test_auto_move//signs_mov/5528.mov","MOV")</f>
        <v>21</v>
      </c>
      <c r="R9302" t="s" s="16">
        <f>HYPERLINK("http://secrets.rutgers.edu:8080/data/asl-ftp/asllvd/demos/verify_start_end_handshape_annotations//test_auto_move//signs_mov_separ_signers/Naomi_5528.mov","MOV")</f>
        <v>21</v>
      </c>
    </row>
    <row r="9303" s="2" customFormat="1" ht="13.5" customHeight="1">
      <c r="B9303" s="13"/>
      <c r="C9303" t="s" s="9">
        <v>30</v>
      </c>
      <c r="D9303" t="s" s="8">
        <v>3421</v>
      </c>
      <c r="E9303" t="s" s="9">
        <v>3421</v>
      </c>
      <c r="F9303" t="s" s="10">
        <v>63</v>
      </c>
      <c r="G9303" t="s" s="11">
        <v>63</v>
      </c>
      <c r="H9303" t="s" s="10">
        <v>63</v>
      </c>
      <c r="I9303" t="s" s="11">
        <v>63</v>
      </c>
      <c r="J9303" t="s" s="11">
        <v>20</v>
      </c>
      <c r="K9303" s="15"/>
      <c r="L9303" t="s" s="16">
        <f>HYPERLINK("http://csr.bu.edu/ftp/asl/asllvd/demos/verify_start_end_handshape_annotations//test_auto_move//signs_mov_separ_signers/Brady_5528.mov","MOV")</f>
        <v>21</v>
      </c>
      <c r="M9303" t="s" s="10">
        <v>60</v>
      </c>
      <c r="N9303" s="17">
        <v>12</v>
      </c>
      <c r="O9303" s="18">
        <v>1983</v>
      </c>
      <c r="P9303" s="18">
        <v>2011</v>
      </c>
      <c r="Q9303" s="15"/>
      <c r="R9303" t="s" s="16">
        <f>HYPERLINK("http://secrets.rutgers.edu:8080/data/asl-ftp/asllvd/demos/verify_start_end_handshape_annotations//test_auto_move//signs_mov_separ_signers/Brady_5528.mov","MOV")</f>
        <v>21</v>
      </c>
    </row>
    <row r="9304" s="2" customFormat="1" ht="13.5" customHeight="1">
      <c r="B9304" t="s" s="8">
        <v>3422</v>
      </c>
      <c r="C9304" t="s" s="9">
        <v>14</v>
      </c>
      <c r="D9304" t="s" s="8">
        <v>14</v>
      </c>
      <c r="E9304" t="s" s="9">
        <v>14</v>
      </c>
      <c r="F9304" t="s" s="10">
        <v>14</v>
      </c>
      <c r="G9304" t="s" s="11">
        <v>14</v>
      </c>
      <c r="H9304" t="s" s="10">
        <v>14</v>
      </c>
      <c r="I9304" t="s" s="11">
        <v>14</v>
      </c>
      <c r="J9304" t="s" s="11">
        <v>14</v>
      </c>
      <c r="K9304" t="s" s="12">
        <v>14</v>
      </c>
      <c r="L9304" t="s" s="12">
        <v>14</v>
      </c>
      <c r="M9304" t="s" s="10">
        <v>14</v>
      </c>
      <c r="N9304" t="s" s="11">
        <v>14</v>
      </c>
      <c r="O9304" t="s" s="8">
        <v>14</v>
      </c>
      <c r="P9304" t="s" s="8">
        <v>14</v>
      </c>
      <c r="Q9304" t="s" s="12">
        <v>14</v>
      </c>
      <c r="R9304" t="s" s="12">
        <v>14</v>
      </c>
    </row>
    <row r="9305" s="2" customFormat="1" ht="13.5" customHeight="1">
      <c r="B9305" s="13"/>
      <c r="C9305" t="s" s="9">
        <v>16</v>
      </c>
      <c r="D9305" t="s" s="8">
        <v>3422</v>
      </c>
      <c r="E9305" t="s" s="9">
        <v>3422</v>
      </c>
      <c r="F9305" t="s" s="10">
        <v>115</v>
      </c>
      <c r="G9305" t="s" s="11">
        <v>115</v>
      </c>
      <c r="H9305" t="s" s="10">
        <v>115</v>
      </c>
      <c r="I9305" t="s" s="11">
        <v>115</v>
      </c>
      <c r="J9305" t="s" s="11">
        <v>20</v>
      </c>
      <c r="K9305" s="15"/>
      <c r="L9305" t="s" s="16">
        <f>HYPERLINK("http://csr.bu.edu/ftp/asl/asllvd/demos/verify_start_end_handshape_annotations//test_auto_move//signs_mov_separ_signers/Liz_15014.mov","MOV")</f>
        <v>21</v>
      </c>
      <c r="M9305" t="s" s="10">
        <v>84</v>
      </c>
      <c r="N9305" s="17">
        <v>28</v>
      </c>
      <c r="O9305" s="18">
        <v>2766</v>
      </c>
      <c r="P9305" s="18">
        <v>2800</v>
      </c>
      <c r="Q9305" s="15"/>
      <c r="R9305" t="s" s="16">
        <f>HYPERLINK("http://secrets.rutgers.edu:8080/data/asl-ftp/asllvd/demos/verify_start_end_handshape_annotations//test_auto_move//signs_mov_separ_signers/Liz_15014.mov","MOV")</f>
        <v>21</v>
      </c>
    </row>
    <row r="9306" s="2" customFormat="1" ht="13.5" customHeight="1">
      <c r="B9306" s="13"/>
      <c r="C9306" t="s" s="9">
        <v>23</v>
      </c>
      <c r="D9306" t="s" s="8">
        <v>3422</v>
      </c>
      <c r="E9306" t="s" s="9">
        <v>3422</v>
      </c>
      <c r="F9306" t="s" s="10">
        <v>117</v>
      </c>
      <c r="G9306" t="s" s="11">
        <v>117</v>
      </c>
      <c r="H9306" t="s" s="10">
        <v>117</v>
      </c>
      <c r="I9306" t="s" s="11">
        <v>117</v>
      </c>
      <c r="J9306" t="s" s="11">
        <v>20</v>
      </c>
      <c r="K9306" t="s" s="16">
        <f>HYPERLINK("http://csr.bu.edu/ftp/asl/asllvd/demos/verify_start_end_handshape_annotations//test_auto_move//signs_mov/15014.mov","MOV")</f>
        <v>21</v>
      </c>
      <c r="L9306" t="s" s="16">
        <f>HYPERLINK("http://csr.bu.edu/ftp/asl/asllvd/demos/verify_start_end_handshape_annotations//test_auto_move//signs_mov_separ_signers/Tyler_15014.mov","MOV")</f>
        <v>21</v>
      </c>
      <c r="M9306" t="s" s="10">
        <v>92</v>
      </c>
      <c r="N9306" s="17">
        <v>8</v>
      </c>
      <c r="O9306" s="18">
        <v>3450</v>
      </c>
      <c r="P9306" s="18">
        <v>3477</v>
      </c>
      <c r="Q9306" t="s" s="16">
        <f>HYPERLINK("http://secrets.rutgers.edu:8080/data/asl-ftp/asllvd/demos/verify_start_end_handshape_annotations//test_auto_move//signs_mov/15014.mov","MOV")</f>
        <v>21</v>
      </c>
      <c r="R9306" t="s" s="16">
        <f>HYPERLINK("http://secrets.rutgers.edu:8080/data/asl-ftp/asllvd/demos/verify_start_end_handshape_annotations//test_auto_move//signs_mov_separ_signers/Tyler_15014.mov","MOV")</f>
        <v>21</v>
      </c>
    </row>
    <row r="9307" s="2" customFormat="1" ht="13.5" customHeight="1">
      <c r="B9307" s="13"/>
      <c r="C9307" t="s" s="9">
        <v>27</v>
      </c>
      <c r="D9307" t="s" s="8">
        <v>3422</v>
      </c>
      <c r="E9307" t="s" s="9">
        <v>3422</v>
      </c>
      <c r="F9307" t="s" s="10">
        <v>115</v>
      </c>
      <c r="G9307" t="s" s="11">
        <v>115</v>
      </c>
      <c r="H9307" t="s" s="10">
        <v>115</v>
      </c>
      <c r="I9307" t="s" s="11">
        <v>115</v>
      </c>
      <c r="J9307" t="s" s="11">
        <v>20</v>
      </c>
      <c r="K9307" s="15"/>
      <c r="L9307" t="s" s="16">
        <f>HYPERLINK("http://csr.bu.edu/ftp/asl/asllvd/demos/verify_start_end_handshape_annotations//test_auto_move//signs_mov_separ_signers/Naomi_15014.mov","MOV")</f>
        <v>21</v>
      </c>
      <c r="M9307" t="s" s="10">
        <v>86</v>
      </c>
      <c r="N9307" s="17">
        <v>28</v>
      </c>
      <c r="O9307" s="18">
        <v>3320</v>
      </c>
      <c r="P9307" s="18">
        <v>3335</v>
      </c>
      <c r="Q9307" s="15"/>
      <c r="R9307" t="s" s="16">
        <f>HYPERLINK("http://secrets.rutgers.edu:8080/data/asl-ftp/asllvd/demos/verify_start_end_handshape_annotations//test_auto_move//signs_mov_separ_signers/Naomi_15014.mov","MOV")</f>
        <v>21</v>
      </c>
    </row>
    <row r="9308" s="2" customFormat="1" ht="13.5" customHeight="1">
      <c r="B9308" s="13"/>
      <c r="C9308" t="s" s="9">
        <v>30</v>
      </c>
      <c r="D9308" t="s" s="8">
        <v>3422</v>
      </c>
      <c r="E9308" t="s" s="9">
        <v>3422</v>
      </c>
      <c r="F9308" t="s" s="10">
        <v>115</v>
      </c>
      <c r="G9308" t="s" s="11">
        <v>115</v>
      </c>
      <c r="H9308" t="s" s="10">
        <v>115</v>
      </c>
      <c r="I9308" t="s" s="11">
        <v>115</v>
      </c>
      <c r="J9308" t="s" s="11">
        <v>20</v>
      </c>
      <c r="K9308" s="15"/>
      <c r="L9308" t="s" s="16">
        <f>HYPERLINK("http://csr.bu.edu/ftp/asl/asllvd/demos/verify_start_end_handshape_annotations//test_auto_move//signs_mov_separ_signers/Brady_15014.mov","MOV")</f>
        <v>21</v>
      </c>
      <c r="M9308" t="s" s="10">
        <v>39</v>
      </c>
      <c r="N9308" s="17">
        <v>10</v>
      </c>
      <c r="O9308" s="18">
        <v>4587</v>
      </c>
      <c r="P9308" s="18">
        <v>4602</v>
      </c>
      <c r="Q9308" s="15"/>
      <c r="R9308" t="s" s="16">
        <f>HYPERLINK("http://secrets.rutgers.edu:8080/data/asl-ftp/asllvd/demos/verify_start_end_handshape_annotations//test_auto_move//signs_mov_separ_signers/Brady_15014.mov","MOV")</f>
        <v>21</v>
      </c>
    </row>
    <row r="9309" s="2" customFormat="1" ht="13.5" customHeight="1">
      <c r="B9309" t="s" s="8">
        <v>3423</v>
      </c>
      <c r="C9309" t="s" s="9">
        <v>14</v>
      </c>
      <c r="D9309" t="s" s="8">
        <v>14</v>
      </c>
      <c r="E9309" t="s" s="9">
        <v>14</v>
      </c>
      <c r="F9309" t="s" s="10">
        <v>14</v>
      </c>
      <c r="G9309" t="s" s="11">
        <v>14</v>
      </c>
      <c r="H9309" t="s" s="10">
        <v>14</v>
      </c>
      <c r="I9309" t="s" s="11">
        <v>14</v>
      </c>
      <c r="J9309" t="s" s="11">
        <v>14</v>
      </c>
      <c r="K9309" t="s" s="12">
        <v>14</v>
      </c>
      <c r="L9309" t="s" s="12">
        <v>14</v>
      </c>
      <c r="M9309" t="s" s="10">
        <v>14</v>
      </c>
      <c r="N9309" t="s" s="11">
        <v>14</v>
      </c>
      <c r="O9309" t="s" s="8">
        <v>14</v>
      </c>
      <c r="P9309" t="s" s="8">
        <v>14</v>
      </c>
      <c r="Q9309" t="s" s="12">
        <v>14</v>
      </c>
      <c r="R9309" t="s" s="12">
        <v>14</v>
      </c>
    </row>
    <row r="9310" s="2" customFormat="1" ht="13.5" customHeight="1">
      <c r="B9310" s="13"/>
      <c r="C9310" t="s" s="9">
        <v>16</v>
      </c>
      <c r="D9310" t="s" s="8">
        <v>3423</v>
      </c>
      <c r="E9310" t="s" s="9">
        <v>3424</v>
      </c>
      <c r="F9310" t="s" s="10">
        <v>386</v>
      </c>
      <c r="G9310" s="14"/>
      <c r="H9310" t="s" s="10">
        <v>386</v>
      </c>
      <c r="I9310" s="14"/>
      <c r="J9310" t="s" s="11">
        <v>20</v>
      </c>
      <c r="K9310" t="s" s="16">
        <f>HYPERLINK("http://csr.bu.edu/ftp/asl/asllvd/demos/verify_start_end_handshape_annotations//test_auto_move//signs_mov/2695.mov","MOV")</f>
        <v>21</v>
      </c>
      <c r="L9310" t="s" s="16">
        <f>HYPERLINK("http://csr.bu.edu/ftp/asl/asllvd/demos/verify_start_end_handshape_annotations//test_auto_move//signs_mov_separ_signers/Liz_2695.mov","MOV")</f>
        <v>21</v>
      </c>
      <c r="M9310" t="s" s="10">
        <v>59</v>
      </c>
      <c r="N9310" s="17">
        <v>24</v>
      </c>
      <c r="O9310" s="18">
        <v>1438</v>
      </c>
      <c r="P9310" s="18">
        <v>1489</v>
      </c>
      <c r="Q9310" t="s" s="16">
        <f>HYPERLINK("http://secrets.rutgers.edu:8080/data/asl-ftp/asllvd/demos/verify_start_end_handshape_annotations//test_auto_move//signs_mov/2695.mov","MOV")</f>
        <v>21</v>
      </c>
      <c r="R9310" t="s" s="16">
        <f>HYPERLINK("http://secrets.rutgers.edu:8080/data/asl-ftp/asllvd/demos/verify_start_end_handshape_annotations//test_auto_move//signs_mov_separ_signers/Liz_2695.mov","MOV")</f>
        <v>21</v>
      </c>
    </row>
    <row r="9311" s="2" customFormat="1" ht="13.5" customHeight="1">
      <c r="B9311" s="13"/>
      <c r="C9311" t="s" s="9">
        <v>30</v>
      </c>
      <c r="D9311" t="s" s="8">
        <v>3423</v>
      </c>
      <c r="E9311" t="s" s="9">
        <v>3424</v>
      </c>
      <c r="F9311" t="s" s="10">
        <v>386</v>
      </c>
      <c r="G9311" s="14"/>
      <c r="H9311" t="s" s="10">
        <v>386</v>
      </c>
      <c r="I9311" s="14"/>
      <c r="J9311" t="s" s="11">
        <v>20</v>
      </c>
      <c r="K9311" s="15"/>
      <c r="L9311" t="s" s="16">
        <f>HYPERLINK("http://csr.bu.edu/ftp/asl/asllvd/demos/verify_start_end_handshape_annotations//test_auto_move//signs_mov_separ_signers/Brady_2695.mov","MOV")</f>
        <v>21</v>
      </c>
      <c r="M9311" t="s" s="10">
        <v>60</v>
      </c>
      <c r="N9311" s="17">
        <v>12</v>
      </c>
      <c r="O9311" s="18">
        <v>3442</v>
      </c>
      <c r="P9311" s="18">
        <v>3488</v>
      </c>
      <c r="Q9311" s="15"/>
      <c r="R9311" t="s" s="16">
        <f>HYPERLINK("http://secrets.rutgers.edu:8080/data/asl-ftp/asllvd/demos/verify_start_end_handshape_annotations//test_auto_move//signs_mov_separ_signers/Brady_2695.mov","MOV")</f>
        <v>21</v>
      </c>
    </row>
    <row r="9312" s="2" customFormat="1" ht="13.5" customHeight="1">
      <c r="B9312" t="s" s="8">
        <v>3425</v>
      </c>
      <c r="C9312" t="s" s="9">
        <v>14</v>
      </c>
      <c r="D9312" t="s" s="8">
        <v>14</v>
      </c>
      <c r="E9312" t="s" s="9">
        <v>14</v>
      </c>
      <c r="F9312" t="s" s="10">
        <v>14</v>
      </c>
      <c r="G9312" t="s" s="11">
        <v>14</v>
      </c>
      <c r="H9312" t="s" s="10">
        <v>14</v>
      </c>
      <c r="I9312" t="s" s="11">
        <v>14</v>
      </c>
      <c r="J9312" t="s" s="11">
        <v>14</v>
      </c>
      <c r="K9312" t="s" s="12">
        <v>14</v>
      </c>
      <c r="L9312" t="s" s="12">
        <v>14</v>
      </c>
      <c r="M9312" t="s" s="10">
        <v>14</v>
      </c>
      <c r="N9312" t="s" s="11">
        <v>14</v>
      </c>
      <c r="O9312" t="s" s="8">
        <v>14</v>
      </c>
      <c r="P9312" t="s" s="8">
        <v>14</v>
      </c>
      <c r="Q9312" t="s" s="12">
        <v>14</v>
      </c>
      <c r="R9312" t="s" s="12">
        <v>14</v>
      </c>
    </row>
    <row r="9313" s="2" customFormat="1" ht="13.5" customHeight="1">
      <c r="B9313" s="13"/>
      <c r="C9313" t="s" s="9">
        <v>16</v>
      </c>
      <c r="D9313" t="s" s="8">
        <v>3425</v>
      </c>
      <c r="E9313" t="s" s="9">
        <v>3425</v>
      </c>
      <c r="F9313" t="s" s="10">
        <v>386</v>
      </c>
      <c r="G9313" s="14"/>
      <c r="H9313" t="s" s="10">
        <v>386</v>
      </c>
      <c r="I9313" s="14"/>
      <c r="J9313" t="s" s="11">
        <v>20</v>
      </c>
      <c r="K9313" s="15"/>
      <c r="L9313" t="s" s="16">
        <f>HYPERLINK("http://csr.bu.edu/ftp/asl/asllvd/demos/verify_start_end_handshape_annotations//test_auto_move//signs_mov_separ_signers/Liz_15164.mov","MOV")</f>
        <v>21</v>
      </c>
      <c r="M9313" t="s" s="10">
        <v>84</v>
      </c>
      <c r="N9313" s="17">
        <v>34</v>
      </c>
      <c r="O9313" s="18">
        <v>1330</v>
      </c>
      <c r="P9313" s="18">
        <v>1355</v>
      </c>
      <c r="Q9313" s="15"/>
      <c r="R9313" t="s" s="16">
        <f>HYPERLINK("http://secrets.rutgers.edu:8080/data/asl-ftp/asllvd/demos/verify_start_end_handshape_annotations//test_auto_move//signs_mov_separ_signers/Liz_15164.mov","MOV")</f>
        <v>21</v>
      </c>
    </row>
    <row r="9314" s="2" customFormat="1" ht="13.5" customHeight="1">
      <c r="B9314" s="13"/>
      <c r="C9314" t="s" s="9">
        <v>23</v>
      </c>
      <c r="D9314" t="s" s="8">
        <v>3425</v>
      </c>
      <c r="E9314" t="s" s="9">
        <v>3425</v>
      </c>
      <c r="F9314" t="s" s="10">
        <v>386</v>
      </c>
      <c r="G9314" s="14"/>
      <c r="H9314" t="s" s="10">
        <v>386</v>
      </c>
      <c r="I9314" s="14"/>
      <c r="J9314" t="s" s="11">
        <v>20</v>
      </c>
      <c r="K9314" t="s" s="16">
        <f>HYPERLINK("http://csr.bu.edu/ftp/asl/asllvd/demos/verify_start_end_handshape_annotations//test_auto_move//signs_mov/15164.mov","MOV")</f>
        <v>21</v>
      </c>
      <c r="L9314" t="s" s="16">
        <f>HYPERLINK("http://csr.bu.edu/ftp/asl/asllvd/demos/verify_start_end_handshape_annotations//test_auto_move//signs_mov_separ_signers/Tyler_15164.mov","MOV")</f>
        <v>21</v>
      </c>
      <c r="M9314" t="s" s="10">
        <v>92</v>
      </c>
      <c r="N9314" s="17">
        <v>14</v>
      </c>
      <c r="O9314" s="18">
        <v>1436</v>
      </c>
      <c r="P9314" s="18">
        <v>1470</v>
      </c>
      <c r="Q9314" t="s" s="16">
        <f>HYPERLINK("http://secrets.rutgers.edu:8080/data/asl-ftp/asllvd/demos/verify_start_end_handshape_annotations//test_auto_move//signs_mov/15164.mov","MOV")</f>
        <v>21</v>
      </c>
      <c r="R9314" t="s" s="16">
        <f>HYPERLINK("http://secrets.rutgers.edu:8080/data/asl-ftp/asllvd/demos/verify_start_end_handshape_annotations//test_auto_move//signs_mov_separ_signers/Tyler_15164.mov","MOV")</f>
        <v>21</v>
      </c>
    </row>
    <row r="9315" s="2" customFormat="1" ht="13.5" customHeight="1">
      <c r="B9315" s="13"/>
      <c r="C9315" t="s" s="9">
        <v>27</v>
      </c>
      <c r="D9315" t="s" s="8">
        <v>3425</v>
      </c>
      <c r="E9315" t="s" s="9">
        <v>3425</v>
      </c>
      <c r="F9315" t="s" s="10">
        <v>386</v>
      </c>
      <c r="G9315" s="14"/>
      <c r="H9315" t="s" s="10">
        <v>386</v>
      </c>
      <c r="I9315" s="14"/>
      <c r="J9315" t="s" s="11">
        <v>20</v>
      </c>
      <c r="K9315" s="15"/>
      <c r="L9315" t="s" s="16">
        <f>HYPERLINK("http://csr.bu.edu/ftp/asl/asllvd/demos/verify_start_end_handshape_annotations//test_auto_move//signs_mov_separ_signers/Naomi_15164.mov","MOV")</f>
        <v>21</v>
      </c>
      <c r="M9315" t="s" s="10">
        <v>86</v>
      </c>
      <c r="N9315" s="17">
        <v>34</v>
      </c>
      <c r="O9315" s="18">
        <v>1131</v>
      </c>
      <c r="P9315" s="18">
        <v>1155</v>
      </c>
      <c r="Q9315" s="15"/>
      <c r="R9315" t="s" s="16">
        <f>HYPERLINK("http://secrets.rutgers.edu:8080/data/asl-ftp/asllvd/demos/verify_start_end_handshape_annotations//test_auto_move//signs_mov_separ_signers/Naomi_15164.mov","MOV")</f>
        <v>21</v>
      </c>
    </row>
    <row r="9316" s="2" customFormat="1" ht="13.5" customHeight="1">
      <c r="B9316" s="13"/>
      <c r="C9316" t="s" s="9">
        <v>30</v>
      </c>
      <c r="D9316" t="s" s="8">
        <v>3425</v>
      </c>
      <c r="E9316" t="s" s="9">
        <v>3425</v>
      </c>
      <c r="F9316" t="s" s="10">
        <v>386</v>
      </c>
      <c r="G9316" s="14"/>
      <c r="H9316" t="s" s="10">
        <v>386</v>
      </c>
      <c r="I9316" s="14"/>
      <c r="J9316" t="s" s="11">
        <v>20</v>
      </c>
      <c r="K9316" s="15"/>
      <c r="L9316" t="s" s="16">
        <f>HYPERLINK("http://csr.bu.edu/ftp/asl/asllvd/demos/verify_start_end_handshape_annotations//test_auto_move//signs_mov_separ_signers/Brady_15164.mov","MOV")</f>
        <v>21</v>
      </c>
      <c r="M9316" t="s" s="10">
        <v>39</v>
      </c>
      <c r="N9316" s="17">
        <v>13</v>
      </c>
      <c r="O9316" s="18">
        <v>4492</v>
      </c>
      <c r="P9316" s="18">
        <v>4512</v>
      </c>
      <c r="Q9316" s="15"/>
      <c r="R9316" t="s" s="16">
        <f>HYPERLINK("http://secrets.rutgers.edu:8080/data/asl-ftp/asllvd/demos/verify_start_end_handshape_annotations//test_auto_move//signs_mov_separ_signers/Brady_15164.mov","MOV")</f>
        <v>21</v>
      </c>
    </row>
    <row r="9317" s="2" customFormat="1" ht="13.5" customHeight="1">
      <c r="B9317" t="s" s="8">
        <v>3426</v>
      </c>
      <c r="C9317" t="s" s="9">
        <v>14</v>
      </c>
      <c r="D9317" t="s" s="8">
        <v>14</v>
      </c>
      <c r="E9317" t="s" s="9">
        <v>14</v>
      </c>
      <c r="F9317" t="s" s="10">
        <v>14</v>
      </c>
      <c r="G9317" t="s" s="11">
        <v>14</v>
      </c>
      <c r="H9317" t="s" s="10">
        <v>14</v>
      </c>
      <c r="I9317" t="s" s="11">
        <v>14</v>
      </c>
      <c r="J9317" t="s" s="11">
        <v>14</v>
      </c>
      <c r="K9317" t="s" s="12">
        <v>14</v>
      </c>
      <c r="L9317" t="s" s="12">
        <v>14</v>
      </c>
      <c r="M9317" t="s" s="10">
        <v>14</v>
      </c>
      <c r="N9317" t="s" s="11">
        <v>14</v>
      </c>
      <c r="O9317" t="s" s="8">
        <v>14</v>
      </c>
      <c r="P9317" t="s" s="8">
        <v>14</v>
      </c>
      <c r="Q9317" t="s" s="12">
        <v>14</v>
      </c>
      <c r="R9317" t="s" s="12">
        <v>14</v>
      </c>
    </row>
    <row r="9318" s="2" customFormat="1" ht="13.5" customHeight="1">
      <c r="B9318" s="13"/>
      <c r="C9318" t="s" s="9">
        <v>16</v>
      </c>
      <c r="D9318" t="s" s="8">
        <v>3426</v>
      </c>
      <c r="E9318" t="s" s="9">
        <v>3426</v>
      </c>
      <c r="F9318" s="19">
        <v>10</v>
      </c>
      <c r="G9318" s="14"/>
      <c r="H9318" s="19">
        <v>10</v>
      </c>
      <c r="I9318" s="14"/>
      <c r="J9318" t="s" s="11">
        <v>20</v>
      </c>
      <c r="K9318" t="s" s="16">
        <f>HYPERLINK("http://csr.bu.edu/ftp/asl/asllvd/demos/verify_start_end_handshape_annotations//test_auto_move//signs_mov/2699.mov","MOV")</f>
        <v>21</v>
      </c>
      <c r="L9318" t="s" s="16">
        <f>HYPERLINK("http://csr.bu.edu/ftp/asl/asllvd/demos/verify_start_end_handshape_annotations//test_auto_move//signs_mov_separ_signers/Liz_2699.mov","MOV")</f>
        <v>21</v>
      </c>
      <c r="M9318" t="s" s="10">
        <v>59</v>
      </c>
      <c r="N9318" s="17">
        <v>24</v>
      </c>
      <c r="O9318" s="18">
        <v>2830</v>
      </c>
      <c r="P9318" s="18">
        <v>2857</v>
      </c>
      <c r="Q9318" t="s" s="16">
        <f>HYPERLINK("http://secrets.rutgers.edu:8080/data/asl-ftp/asllvd/demos/verify_start_end_handshape_annotations//test_auto_move//signs_mov/2699.mov","MOV")</f>
        <v>21</v>
      </c>
      <c r="R9318" t="s" s="16">
        <f>HYPERLINK("http://secrets.rutgers.edu:8080/data/asl-ftp/asllvd/demos/verify_start_end_handshape_annotations//test_auto_move//signs_mov_separ_signers/Liz_2699.mov","MOV")</f>
        <v>21</v>
      </c>
    </row>
    <row r="9319" s="2" customFormat="1" ht="13.5" customHeight="1">
      <c r="B9319" s="13"/>
      <c r="C9319" t="s" s="9">
        <v>30</v>
      </c>
      <c r="D9319" t="s" s="8">
        <v>3426</v>
      </c>
      <c r="E9319" t="s" s="9">
        <v>3426</v>
      </c>
      <c r="F9319" s="19">
        <v>10</v>
      </c>
      <c r="G9319" s="14"/>
      <c r="H9319" s="19">
        <v>10</v>
      </c>
      <c r="I9319" s="14"/>
      <c r="J9319" t="s" s="11">
        <v>20</v>
      </c>
      <c r="K9319" s="15"/>
      <c r="L9319" t="s" s="16">
        <f>HYPERLINK("http://csr.bu.edu/ftp/asl/asllvd/demos/verify_start_end_handshape_annotations//test_auto_move//signs_mov_separ_signers/Brady_2699.mov","MOV")</f>
        <v>21</v>
      </c>
      <c r="M9319" t="s" s="10">
        <v>60</v>
      </c>
      <c r="N9319" s="17">
        <v>13</v>
      </c>
      <c r="O9319" s="18">
        <v>1506</v>
      </c>
      <c r="P9319" s="18">
        <v>1530</v>
      </c>
      <c r="Q9319" s="15"/>
      <c r="R9319" t="s" s="16">
        <f>HYPERLINK("http://secrets.rutgers.edu:8080/data/asl-ftp/asllvd/demos/verify_start_end_handshape_annotations//test_auto_move//signs_mov_separ_signers/Brady_2699.mov","MOV")</f>
        <v>21</v>
      </c>
    </row>
    <row r="9320" s="2" customFormat="1" ht="13.5" customHeight="1">
      <c r="B9320" t="s" s="8">
        <v>3427</v>
      </c>
      <c r="C9320" t="s" s="9">
        <v>14</v>
      </c>
      <c r="D9320" t="s" s="8">
        <v>14</v>
      </c>
      <c r="E9320" t="s" s="9">
        <v>14</v>
      </c>
      <c r="F9320" t="s" s="10">
        <v>14</v>
      </c>
      <c r="G9320" t="s" s="11">
        <v>14</v>
      </c>
      <c r="H9320" t="s" s="10">
        <v>14</v>
      </c>
      <c r="I9320" t="s" s="11">
        <v>14</v>
      </c>
      <c r="J9320" t="s" s="11">
        <v>14</v>
      </c>
      <c r="K9320" t="s" s="12">
        <v>14</v>
      </c>
      <c r="L9320" t="s" s="12">
        <v>14</v>
      </c>
      <c r="M9320" t="s" s="10">
        <v>14</v>
      </c>
      <c r="N9320" t="s" s="11">
        <v>14</v>
      </c>
      <c r="O9320" t="s" s="8">
        <v>14</v>
      </c>
      <c r="P9320" t="s" s="8">
        <v>14</v>
      </c>
      <c r="Q9320" t="s" s="12">
        <v>14</v>
      </c>
      <c r="R9320" t="s" s="12">
        <v>14</v>
      </c>
    </row>
    <row r="9321" s="2" customFormat="1" ht="13.5" customHeight="1">
      <c r="B9321" s="13"/>
      <c r="C9321" t="s" s="9">
        <v>16</v>
      </c>
      <c r="D9321" t="s" s="8">
        <v>3427</v>
      </c>
      <c r="E9321" t="s" s="9">
        <v>3427</v>
      </c>
      <c r="F9321" t="s" s="10">
        <v>65</v>
      </c>
      <c r="G9321" s="14"/>
      <c r="H9321" t="s" s="10">
        <v>65</v>
      </c>
      <c r="I9321" s="14"/>
      <c r="J9321" t="s" s="11">
        <v>20</v>
      </c>
      <c r="K9321" s="15"/>
      <c r="L9321" t="s" s="16">
        <f>HYPERLINK("http://csr.bu.edu/ftp/asl/asllvd/demos/verify_start_end_handshape_annotations//test_auto_move//signs_mov_separ_signers/Liz_2701.mov","MOV")</f>
        <v>21</v>
      </c>
      <c r="M9321" t="s" s="10">
        <v>59</v>
      </c>
      <c r="N9321" s="17">
        <v>25</v>
      </c>
      <c r="O9321" s="18">
        <v>650</v>
      </c>
      <c r="P9321" s="18">
        <v>690</v>
      </c>
      <c r="Q9321" s="15"/>
      <c r="R9321" t="s" s="16">
        <f>HYPERLINK("http://secrets.rutgers.edu:8080/data/asl-ftp/asllvd/demos/verify_start_end_handshape_annotations//test_auto_move//signs_mov_separ_signers/Liz_2701.mov","MOV")</f>
        <v>21</v>
      </c>
    </row>
    <row r="9322" s="2" customFormat="1" ht="13.5" customHeight="1">
      <c r="B9322" s="13"/>
      <c r="C9322" t="s" s="9">
        <v>30</v>
      </c>
      <c r="D9322" t="s" s="8">
        <v>3427</v>
      </c>
      <c r="E9322" t="s" s="9">
        <v>3427</v>
      </c>
      <c r="F9322" t="s" s="10">
        <v>65</v>
      </c>
      <c r="G9322" s="14"/>
      <c r="H9322" t="s" s="10">
        <v>65</v>
      </c>
      <c r="I9322" s="14"/>
      <c r="J9322" t="s" s="11">
        <v>20</v>
      </c>
      <c r="K9322" t="s" s="16">
        <f>HYPERLINK("http://csr.bu.edu/ftp/asl/asllvd/demos/verify_start_end_handshape_annotations//test_auto_move//signs_mov/2701_16310_merged.mov","MOV")</f>
        <v>21</v>
      </c>
      <c r="L9322" t="s" s="16">
        <f>HYPERLINK("http://csr.bu.edu/ftp/asl/asllvd/demos/verify_start_end_handshape_annotations//test_auto_move//signs_mov_separ_signers/Brady_2701.mov","MOV")</f>
        <v>21</v>
      </c>
      <c r="M9322" t="s" s="10">
        <v>60</v>
      </c>
      <c r="N9322" s="17">
        <v>13</v>
      </c>
      <c r="O9322" s="18">
        <v>1945</v>
      </c>
      <c r="P9322" s="18">
        <v>1969</v>
      </c>
      <c r="Q9322" t="s" s="16">
        <f>HYPERLINK("http://secrets.rutgers.edu:8080/data/asl-ftp/asllvd/demos/verify_start_end_handshape_annotations//test_auto_move//signs_mov/2701_16310_merged.mov","MOV")</f>
        <v>21</v>
      </c>
      <c r="R9322" t="s" s="16">
        <f>HYPERLINK("http://secrets.rutgers.edu:8080/data/asl-ftp/asllvd/demos/verify_start_end_handshape_annotations//test_auto_move//signs_mov_separ_signers/Brady_2701.mov","MOV")</f>
        <v>21</v>
      </c>
    </row>
    <row r="9323" s="2" customFormat="1" ht="13.5" customHeight="1">
      <c r="B9323" s="13"/>
      <c r="C9323" t="s" s="9">
        <v>30</v>
      </c>
      <c r="D9323" t="s" s="8">
        <v>3427</v>
      </c>
      <c r="E9323" t="s" s="9">
        <v>3427</v>
      </c>
      <c r="F9323" t="s" s="10">
        <v>65</v>
      </c>
      <c r="G9323" s="14"/>
      <c r="H9323" t="s" s="10">
        <v>65</v>
      </c>
      <c r="I9323" s="14"/>
      <c r="J9323" t="s" s="11">
        <v>20</v>
      </c>
      <c r="K9323" s="15"/>
      <c r="L9323" t="s" s="16">
        <f>HYPERLINK("http://csr.bu.edu/ftp/asl/asllvd/demos/verify_start_end_handshape_annotations//test_auto_move//signs_mov_separ_signers/Brady_16310.mov","MOV")</f>
        <v>21</v>
      </c>
      <c r="M9323" t="s" s="10">
        <v>60</v>
      </c>
      <c r="N9323" s="17">
        <v>13</v>
      </c>
      <c r="O9323" s="18">
        <v>2235</v>
      </c>
      <c r="P9323" s="18">
        <v>2262</v>
      </c>
      <c r="Q9323" s="15"/>
      <c r="R9323" t="s" s="16">
        <f>HYPERLINK("http://secrets.rutgers.edu:8080/data/asl-ftp/asllvd/demos/verify_start_end_handshape_annotations//test_auto_move//signs_mov_separ_signers/Brady_16310.mov","MOV")</f>
        <v>21</v>
      </c>
    </row>
    <row r="9324" s="2" customFormat="1" ht="13.5" customHeight="1">
      <c r="B9324" t="s" s="8">
        <v>3428</v>
      </c>
      <c r="C9324" t="s" s="9">
        <v>14</v>
      </c>
      <c r="D9324" t="s" s="8">
        <v>14</v>
      </c>
      <c r="E9324" t="s" s="9">
        <v>14</v>
      </c>
      <c r="F9324" t="s" s="10">
        <v>14</v>
      </c>
      <c r="G9324" t="s" s="11">
        <v>14</v>
      </c>
      <c r="H9324" t="s" s="10">
        <v>14</v>
      </c>
      <c r="I9324" t="s" s="11">
        <v>14</v>
      </c>
      <c r="J9324" t="s" s="11">
        <v>14</v>
      </c>
      <c r="K9324" t="s" s="12">
        <v>14</v>
      </c>
      <c r="L9324" t="s" s="12">
        <v>14</v>
      </c>
      <c r="M9324" t="s" s="10">
        <v>14</v>
      </c>
      <c r="N9324" t="s" s="11">
        <v>14</v>
      </c>
      <c r="O9324" t="s" s="8">
        <v>14</v>
      </c>
      <c r="P9324" t="s" s="8">
        <v>14</v>
      </c>
      <c r="Q9324" t="s" s="12">
        <v>14</v>
      </c>
      <c r="R9324" t="s" s="12">
        <v>14</v>
      </c>
    </row>
    <row r="9325" s="2" customFormat="1" ht="13.5" customHeight="1">
      <c r="B9325" s="13"/>
      <c r="C9325" t="s" s="9">
        <v>16</v>
      </c>
      <c r="D9325" t="s" s="8">
        <v>3428</v>
      </c>
      <c r="E9325" t="s" s="9">
        <v>3428</v>
      </c>
      <c r="F9325" t="s" s="10">
        <v>65</v>
      </c>
      <c r="G9325" s="14"/>
      <c r="H9325" t="s" s="10">
        <v>65</v>
      </c>
      <c r="I9325" s="14"/>
      <c r="J9325" t="s" s="11">
        <v>20</v>
      </c>
      <c r="K9325" t="s" s="16">
        <f>HYPERLINK("http://csr.bu.edu/ftp/asl/asllvd/demos/verify_start_end_handshape_annotations//test_auto_move//signs_mov/16312.mov","MOV")</f>
        <v>21</v>
      </c>
      <c r="L9325" t="s" s="16">
        <f>HYPERLINK("http://csr.bu.edu/ftp/asl/asllvd/demos/verify_start_end_handshape_annotations//test_auto_move//signs_mov_separ_signers/Liz_16312.mov","MOV")</f>
        <v>21</v>
      </c>
      <c r="M9325" t="s" s="10">
        <v>59</v>
      </c>
      <c r="N9325" s="17">
        <v>25</v>
      </c>
      <c r="O9325" s="18">
        <v>431</v>
      </c>
      <c r="P9325" s="18">
        <v>460</v>
      </c>
      <c r="Q9325" t="s" s="16">
        <f>HYPERLINK("http://secrets.rutgers.edu:8080/data/asl-ftp/asllvd/demos/verify_start_end_handshape_annotations//test_auto_move//signs_mov/16312.mov","MOV")</f>
        <v>21</v>
      </c>
      <c r="R9325" t="s" s="16">
        <f>HYPERLINK("http://secrets.rutgers.edu:8080/data/asl-ftp/asllvd/demos/verify_start_end_handshape_annotations//test_auto_move//signs_mov_separ_signers/Liz_16312.mov","MOV")</f>
        <v>21</v>
      </c>
    </row>
    <row r="9326" s="2" customFormat="1" ht="13.5" customHeight="1">
      <c r="B9326" t="s" s="8">
        <v>3429</v>
      </c>
      <c r="C9326" t="s" s="9">
        <v>14</v>
      </c>
      <c r="D9326" t="s" s="8">
        <v>14</v>
      </c>
      <c r="E9326" t="s" s="9">
        <v>14</v>
      </c>
      <c r="F9326" t="s" s="10">
        <v>14</v>
      </c>
      <c r="G9326" t="s" s="11">
        <v>14</v>
      </c>
      <c r="H9326" t="s" s="10">
        <v>14</v>
      </c>
      <c r="I9326" t="s" s="11">
        <v>14</v>
      </c>
      <c r="J9326" t="s" s="11">
        <v>14</v>
      </c>
      <c r="K9326" t="s" s="12">
        <v>14</v>
      </c>
      <c r="L9326" t="s" s="12">
        <v>14</v>
      </c>
      <c r="M9326" t="s" s="10">
        <v>14</v>
      </c>
      <c r="N9326" t="s" s="11">
        <v>14</v>
      </c>
      <c r="O9326" t="s" s="8">
        <v>14</v>
      </c>
      <c r="P9326" t="s" s="8">
        <v>14</v>
      </c>
      <c r="Q9326" t="s" s="12">
        <v>14</v>
      </c>
      <c r="R9326" t="s" s="12">
        <v>14</v>
      </c>
    </row>
    <row r="9327" s="2" customFormat="1" ht="13.5" customHeight="1">
      <c r="B9327" s="13"/>
      <c r="C9327" t="s" s="9">
        <v>16</v>
      </c>
      <c r="D9327" t="s" s="8">
        <v>3429</v>
      </c>
      <c r="E9327" t="s" s="9">
        <v>3430</v>
      </c>
      <c r="F9327" t="s" s="10">
        <v>386</v>
      </c>
      <c r="G9327" t="s" s="11">
        <v>386</v>
      </c>
      <c r="H9327" t="s" s="10">
        <v>386</v>
      </c>
      <c r="I9327" t="s" s="11">
        <v>386</v>
      </c>
      <c r="J9327" t="s" s="11">
        <v>20</v>
      </c>
      <c r="K9327" t="s" s="16">
        <f>HYPERLINK("http://csr.bu.edu/ftp/asl/asllvd/demos/verify_start_end_handshape_annotations//test_auto_move//signs_mov/2704.mov","MOV")</f>
        <v>21</v>
      </c>
      <c r="L9327" t="s" s="16">
        <f>HYPERLINK("http://csr.bu.edu/ftp/asl/asllvd/demos/verify_start_end_handshape_annotations//test_auto_move//signs_mov_separ_signers/Liz_2704.mov","MOV")</f>
        <v>21</v>
      </c>
      <c r="M9327" t="s" s="10">
        <v>59</v>
      </c>
      <c r="N9327" s="17">
        <v>25</v>
      </c>
      <c r="O9327" s="18">
        <v>1645</v>
      </c>
      <c r="P9327" s="18">
        <v>1690</v>
      </c>
      <c r="Q9327" t="s" s="16">
        <f>HYPERLINK("http://secrets.rutgers.edu:8080/data/asl-ftp/asllvd/demos/verify_start_end_handshape_annotations//test_auto_move//signs_mov/2704.mov","MOV")</f>
        <v>21</v>
      </c>
      <c r="R9327" t="s" s="16">
        <f>HYPERLINK("http://secrets.rutgers.edu:8080/data/asl-ftp/asllvd/demos/verify_start_end_handshape_annotations//test_auto_move//signs_mov_separ_signers/Liz_2704.mov","MOV")</f>
        <v>21</v>
      </c>
    </row>
    <row r="9328" s="2" customFormat="1" ht="13.5" customHeight="1">
      <c r="B9328" s="13"/>
      <c r="C9328" t="s" s="9">
        <v>30</v>
      </c>
      <c r="D9328" t="s" s="8">
        <v>3429</v>
      </c>
      <c r="E9328" t="s" s="9">
        <v>3430</v>
      </c>
      <c r="F9328" t="s" s="10">
        <v>386</v>
      </c>
      <c r="G9328" t="s" s="11">
        <v>386</v>
      </c>
      <c r="H9328" t="s" s="10">
        <v>386</v>
      </c>
      <c r="I9328" t="s" s="11">
        <v>386</v>
      </c>
      <c r="J9328" t="s" s="11">
        <v>20</v>
      </c>
      <c r="K9328" s="15"/>
      <c r="L9328" t="s" s="16">
        <f>HYPERLINK("http://csr.bu.edu/ftp/asl/asllvd/demos/verify_start_end_handshape_annotations//test_auto_move//signs_mov_separ_signers/Brady_2704.mov","MOV")</f>
        <v>21</v>
      </c>
      <c r="M9328" t="s" s="10">
        <v>60</v>
      </c>
      <c r="N9328" s="17">
        <v>13</v>
      </c>
      <c r="O9328" s="18">
        <v>2719</v>
      </c>
      <c r="P9328" s="18">
        <v>2763</v>
      </c>
      <c r="Q9328" s="15"/>
      <c r="R9328" t="s" s="16">
        <f>HYPERLINK("http://secrets.rutgers.edu:8080/data/asl-ftp/asllvd/demos/verify_start_end_handshape_annotations//test_auto_move//signs_mov_separ_signers/Brady_2704.mov","MOV")</f>
        <v>21</v>
      </c>
    </row>
    <row r="9329" s="2" customFormat="1" ht="13.5" customHeight="1">
      <c r="B9329" t="s" s="8">
        <v>3431</v>
      </c>
      <c r="C9329" t="s" s="9">
        <v>14</v>
      </c>
      <c r="D9329" t="s" s="8">
        <v>14</v>
      </c>
      <c r="E9329" t="s" s="9">
        <v>14</v>
      </c>
      <c r="F9329" t="s" s="10">
        <v>14</v>
      </c>
      <c r="G9329" t="s" s="11">
        <v>14</v>
      </c>
      <c r="H9329" t="s" s="10">
        <v>14</v>
      </c>
      <c r="I9329" t="s" s="11">
        <v>14</v>
      </c>
      <c r="J9329" t="s" s="11">
        <v>14</v>
      </c>
      <c r="K9329" t="s" s="12">
        <v>14</v>
      </c>
      <c r="L9329" t="s" s="12">
        <v>14</v>
      </c>
      <c r="M9329" t="s" s="10">
        <v>14</v>
      </c>
      <c r="N9329" t="s" s="11">
        <v>14</v>
      </c>
      <c r="O9329" t="s" s="8">
        <v>14</v>
      </c>
      <c r="P9329" t="s" s="8">
        <v>14</v>
      </c>
      <c r="Q9329" t="s" s="12">
        <v>14</v>
      </c>
      <c r="R9329" t="s" s="12">
        <v>14</v>
      </c>
    </row>
    <row r="9330" s="2" customFormat="1" ht="13.5" customHeight="1">
      <c r="B9330" s="13"/>
      <c r="C9330" t="s" s="9">
        <v>16</v>
      </c>
      <c r="D9330" t="s" s="8">
        <v>3431</v>
      </c>
      <c r="E9330" t="s" s="9">
        <v>3432</v>
      </c>
      <c r="F9330" t="s" s="10">
        <v>25</v>
      </c>
      <c r="G9330" s="14"/>
      <c r="H9330" t="s" s="10">
        <v>25</v>
      </c>
      <c r="I9330" s="14"/>
      <c r="J9330" t="s" s="11">
        <v>20</v>
      </c>
      <c r="K9330" t="s" s="16">
        <f>HYPERLINK("http://csr.bu.edu/ftp/asl/asllvd/demos/verify_start_end_handshape_annotations//test_auto_move//signs_mov/2707.mov","MOV")</f>
        <v>21</v>
      </c>
      <c r="L9330" t="s" s="16">
        <f>HYPERLINK("http://csr.bu.edu/ftp/asl/asllvd/demos/verify_start_end_handshape_annotations//test_auto_move//signs_mov_separ_signers/Liz_2707.mov","MOV")</f>
        <v>21</v>
      </c>
      <c r="M9330" t="s" s="10">
        <v>59</v>
      </c>
      <c r="N9330" s="17">
        <v>25</v>
      </c>
      <c r="O9330" s="18">
        <v>2992</v>
      </c>
      <c r="P9330" s="18">
        <v>3012</v>
      </c>
      <c r="Q9330" t="s" s="16">
        <f>HYPERLINK("http://secrets.rutgers.edu:8080/data/asl-ftp/asllvd/demos/verify_start_end_handshape_annotations//test_auto_move//signs_mov/2707.mov","MOV")</f>
        <v>21</v>
      </c>
      <c r="R9330" t="s" s="16">
        <f>HYPERLINK("http://secrets.rutgers.edu:8080/data/asl-ftp/asllvd/demos/verify_start_end_handshape_annotations//test_auto_move//signs_mov_separ_signers/Liz_2707.mov","MOV")</f>
        <v>21</v>
      </c>
    </row>
    <row r="9331" s="2" customFormat="1" ht="13.5" customHeight="1">
      <c r="B9331" s="13"/>
      <c r="C9331" t="s" s="9">
        <v>30</v>
      </c>
      <c r="D9331" t="s" s="8">
        <v>3431</v>
      </c>
      <c r="E9331" t="s" s="9">
        <v>3432</v>
      </c>
      <c r="F9331" t="s" s="10">
        <v>25</v>
      </c>
      <c r="G9331" s="14"/>
      <c r="H9331" t="s" s="10">
        <v>25</v>
      </c>
      <c r="I9331" s="14"/>
      <c r="J9331" t="s" s="11">
        <v>20</v>
      </c>
      <c r="K9331" s="15"/>
      <c r="L9331" t="s" s="16">
        <f>HYPERLINK("http://csr.bu.edu/ftp/asl/asllvd/demos/verify_start_end_handshape_annotations//test_auto_move//signs_mov_separ_signers/Brady_2707.mov","MOV")</f>
        <v>21</v>
      </c>
      <c r="M9331" t="s" s="10">
        <v>60</v>
      </c>
      <c r="N9331" s="17">
        <v>14</v>
      </c>
      <c r="O9331" s="18">
        <v>322</v>
      </c>
      <c r="P9331" s="18">
        <v>367</v>
      </c>
      <c r="Q9331" s="15"/>
      <c r="R9331" t="s" s="16">
        <f>HYPERLINK("http://secrets.rutgers.edu:8080/data/asl-ftp/asllvd/demos/verify_start_end_handshape_annotations//test_auto_move//signs_mov_separ_signers/Brady_2707.mov","MOV")</f>
        <v>21</v>
      </c>
    </row>
    <row r="9332" s="2" customFormat="1" ht="13.5" customHeight="1">
      <c r="B9332" t="s" s="8">
        <v>52</v>
      </c>
      <c r="C9332" t="s" s="9">
        <v>53</v>
      </c>
      <c r="D9332" t="s" s="8">
        <v>53</v>
      </c>
      <c r="E9332" t="s" s="9">
        <v>53</v>
      </c>
      <c r="F9332" t="s" s="10">
        <v>53</v>
      </c>
      <c r="G9332" t="s" s="11">
        <v>53</v>
      </c>
      <c r="H9332" t="s" s="10">
        <v>53</v>
      </c>
      <c r="I9332" t="s" s="11">
        <v>53</v>
      </c>
      <c r="J9332" t="s" s="11">
        <v>53</v>
      </c>
      <c r="K9332" t="s" s="12">
        <v>53</v>
      </c>
      <c r="L9332" t="s" s="12">
        <v>53</v>
      </c>
      <c r="M9332" t="s" s="10">
        <v>53</v>
      </c>
      <c r="N9332" t="s" s="11">
        <v>53</v>
      </c>
      <c r="O9332" t="s" s="8">
        <v>53</v>
      </c>
      <c r="P9332" t="s" s="8">
        <v>53</v>
      </c>
      <c r="Q9332" t="s" s="12">
        <v>53</v>
      </c>
      <c r="R9332" t="s" s="12">
        <v>53</v>
      </c>
    </row>
    <row r="9333" s="2" customFormat="1" ht="13.5" customHeight="1">
      <c r="B9333" s="13"/>
      <c r="C9333" t="s" s="9">
        <v>30</v>
      </c>
      <c r="D9333" t="s" s="8">
        <v>3431</v>
      </c>
      <c r="E9333" t="s" s="9">
        <v>3433</v>
      </c>
      <c r="F9333" t="s" s="10">
        <v>25</v>
      </c>
      <c r="G9333" s="14"/>
      <c r="H9333" t="s" s="10">
        <v>25</v>
      </c>
      <c r="I9333" s="14"/>
      <c r="J9333" t="s" s="11">
        <v>20</v>
      </c>
      <c r="K9333" t="s" s="16">
        <f>HYPERLINK("http://csr.bu.edu/ftp/asl/asllvd/demos/verify_start_end_handshape_annotations//test_auto_move//signs_mov/5526.mov","MOV")</f>
        <v>21</v>
      </c>
      <c r="L9333" t="s" s="16">
        <f>HYPERLINK("http://csr.bu.edu/ftp/asl/asllvd/demos/verify_start_end_handshape_annotations//test_auto_move//signs_mov_separ_signers/Brady_5526.mov","MOV")</f>
        <v>21</v>
      </c>
      <c r="M9333" t="s" s="10">
        <v>60</v>
      </c>
      <c r="N9333" s="17">
        <v>14</v>
      </c>
      <c r="O9333" s="18">
        <v>377</v>
      </c>
      <c r="P9333" s="18">
        <v>455</v>
      </c>
      <c r="Q9333" t="s" s="16">
        <f>HYPERLINK("http://secrets.rutgers.edu:8080/data/asl-ftp/asllvd/demos/verify_start_end_handshape_annotations//test_auto_move//signs_mov/5526.mov","MOV")</f>
        <v>21</v>
      </c>
      <c r="R9333" t="s" s="16">
        <f>HYPERLINK("http://secrets.rutgers.edu:8080/data/asl-ftp/asllvd/demos/verify_start_end_handshape_annotations//test_auto_move//signs_mov_separ_signers/Brady_5526.mov","MOV")</f>
        <v>21</v>
      </c>
    </row>
    <row r="9334" s="2" customFormat="1" ht="13.5" customHeight="1">
      <c r="B9334" t="s" s="8">
        <v>3434</v>
      </c>
      <c r="C9334" t="s" s="9">
        <v>14</v>
      </c>
      <c r="D9334" t="s" s="8">
        <v>14</v>
      </c>
      <c r="E9334" t="s" s="9">
        <v>14</v>
      </c>
      <c r="F9334" t="s" s="10">
        <v>14</v>
      </c>
      <c r="G9334" t="s" s="11">
        <v>14</v>
      </c>
      <c r="H9334" t="s" s="10">
        <v>14</v>
      </c>
      <c r="I9334" t="s" s="11">
        <v>14</v>
      </c>
      <c r="J9334" t="s" s="11">
        <v>14</v>
      </c>
      <c r="K9334" t="s" s="12">
        <v>14</v>
      </c>
      <c r="L9334" t="s" s="12">
        <v>14</v>
      </c>
      <c r="M9334" t="s" s="10">
        <v>14</v>
      </c>
      <c r="N9334" t="s" s="11">
        <v>14</v>
      </c>
      <c r="O9334" t="s" s="8">
        <v>14</v>
      </c>
      <c r="P9334" t="s" s="8">
        <v>14</v>
      </c>
      <c r="Q9334" t="s" s="12">
        <v>14</v>
      </c>
      <c r="R9334" t="s" s="12">
        <v>14</v>
      </c>
    </row>
    <row r="9335" s="2" customFormat="1" ht="13.5" customHeight="1">
      <c r="B9335" s="13"/>
      <c r="C9335" t="s" s="9">
        <v>16</v>
      </c>
      <c r="D9335" t="s" s="8">
        <v>3434</v>
      </c>
      <c r="E9335" t="s" s="9">
        <v>3434</v>
      </c>
      <c r="F9335" t="s" s="10">
        <v>229</v>
      </c>
      <c r="G9335" s="14"/>
      <c r="H9335" t="s" s="10">
        <v>229</v>
      </c>
      <c r="I9335" s="14"/>
      <c r="J9335" t="s" s="11">
        <v>20</v>
      </c>
      <c r="K9335" t="s" s="16">
        <f>HYPERLINK("http://csr.bu.edu/ftp/asl/asllvd/demos/verify_start_end_handshape_annotations//test_auto_move//signs_mov/2708.mov","MOV")</f>
        <v>21</v>
      </c>
      <c r="L9335" t="s" s="16">
        <f>HYPERLINK("http://csr.bu.edu/ftp/asl/asllvd/demos/verify_start_end_handshape_annotations//test_auto_move//signs_mov_separ_signers/Liz_2708.mov","MOV")</f>
        <v>21</v>
      </c>
      <c r="M9335" t="s" s="10">
        <v>59</v>
      </c>
      <c r="N9335" s="17">
        <v>25</v>
      </c>
      <c r="O9335" s="18">
        <v>3245</v>
      </c>
      <c r="P9335" s="18">
        <v>3277</v>
      </c>
      <c r="Q9335" t="s" s="16">
        <f>HYPERLINK("http://secrets.rutgers.edu:8080/data/asl-ftp/asllvd/demos/verify_start_end_handshape_annotations//test_auto_move//signs_mov/2708.mov","MOV")</f>
        <v>21</v>
      </c>
      <c r="R9335" t="s" s="16">
        <f>HYPERLINK("http://secrets.rutgers.edu:8080/data/asl-ftp/asllvd/demos/verify_start_end_handshape_annotations//test_auto_move//signs_mov_separ_signers/Liz_2708.mov","MOV")</f>
        <v>21</v>
      </c>
    </row>
    <row r="9336" s="2" customFormat="1" ht="13.5" customHeight="1">
      <c r="B9336" s="13"/>
      <c r="C9336" t="s" s="9">
        <v>30</v>
      </c>
      <c r="D9336" t="s" s="8">
        <v>3434</v>
      </c>
      <c r="E9336" t="s" s="9">
        <v>3434</v>
      </c>
      <c r="F9336" t="s" s="10">
        <v>229</v>
      </c>
      <c r="G9336" s="14"/>
      <c r="H9336" t="s" s="10">
        <v>229</v>
      </c>
      <c r="I9336" s="14"/>
      <c r="J9336" t="s" s="11">
        <v>20</v>
      </c>
      <c r="K9336" s="15"/>
      <c r="L9336" t="s" s="16">
        <f>HYPERLINK("http://csr.bu.edu/ftp/asl/asllvd/demos/verify_start_end_handshape_annotations//test_auto_move//signs_mov_separ_signers/Brady_2708.mov","MOV")</f>
        <v>21</v>
      </c>
      <c r="M9336" t="s" s="10">
        <v>60</v>
      </c>
      <c r="N9336" s="17">
        <v>14</v>
      </c>
      <c r="O9336" s="18">
        <v>555</v>
      </c>
      <c r="P9336" s="18">
        <v>590</v>
      </c>
      <c r="Q9336" s="15"/>
      <c r="R9336" t="s" s="16">
        <f>HYPERLINK("http://secrets.rutgers.edu:8080/data/asl-ftp/asllvd/demos/verify_start_end_handshape_annotations//test_auto_move//signs_mov_separ_signers/Brady_2708.mov","MOV")</f>
        <v>21</v>
      </c>
    </row>
    <row r="9337" s="2" customFormat="1" ht="13.5" customHeight="1">
      <c r="B9337" t="s" s="8">
        <v>3435</v>
      </c>
      <c r="C9337" t="s" s="9">
        <v>14</v>
      </c>
      <c r="D9337" t="s" s="8">
        <v>14</v>
      </c>
      <c r="E9337" t="s" s="9">
        <v>14</v>
      </c>
      <c r="F9337" t="s" s="10">
        <v>14</v>
      </c>
      <c r="G9337" t="s" s="11">
        <v>14</v>
      </c>
      <c r="H9337" t="s" s="10">
        <v>14</v>
      </c>
      <c r="I9337" t="s" s="11">
        <v>14</v>
      </c>
      <c r="J9337" t="s" s="11">
        <v>14</v>
      </c>
      <c r="K9337" t="s" s="12">
        <v>14</v>
      </c>
      <c r="L9337" t="s" s="12">
        <v>14</v>
      </c>
      <c r="M9337" t="s" s="10">
        <v>14</v>
      </c>
      <c r="N9337" t="s" s="11">
        <v>14</v>
      </c>
      <c r="O9337" t="s" s="8">
        <v>14</v>
      </c>
      <c r="P9337" t="s" s="8">
        <v>14</v>
      </c>
      <c r="Q9337" t="s" s="12">
        <v>14</v>
      </c>
      <c r="R9337" t="s" s="12">
        <v>14</v>
      </c>
    </row>
    <row r="9338" s="2" customFormat="1" ht="13.5" customHeight="1">
      <c r="B9338" s="13"/>
      <c r="C9338" t="s" s="9">
        <v>16</v>
      </c>
      <c r="D9338" t="s" s="8">
        <v>3435</v>
      </c>
      <c r="E9338" t="s" s="9">
        <v>3435</v>
      </c>
      <c r="F9338" s="19">
        <v>1</v>
      </c>
      <c r="G9338" s="17">
        <v>1</v>
      </c>
      <c r="H9338" t="s" s="10">
        <v>70</v>
      </c>
      <c r="I9338" t="s" s="11">
        <v>63</v>
      </c>
      <c r="J9338" t="s" s="11">
        <v>20</v>
      </c>
      <c r="K9338" t="s" s="16">
        <f>HYPERLINK("http://csr.bu.edu/ftp/asl/asllvd/demos/verify_start_end_handshape_annotations//test_auto_move//signs_mov/2719.mov","MOV")</f>
        <v>21</v>
      </c>
      <c r="L9338" t="s" s="16">
        <f>HYPERLINK("http://csr.bu.edu/ftp/asl/asllvd/demos/verify_start_end_handshape_annotations//test_auto_move//signs_mov_separ_signers/Liz_2719.mov","MOV")</f>
        <v>21</v>
      </c>
      <c r="M9338" t="s" s="10">
        <v>59</v>
      </c>
      <c r="N9338" s="17">
        <v>26</v>
      </c>
      <c r="O9338" s="18">
        <v>4051</v>
      </c>
      <c r="P9338" s="18">
        <v>4075</v>
      </c>
      <c r="Q9338" t="s" s="16">
        <f>HYPERLINK("http://secrets.rutgers.edu:8080/data/asl-ftp/asllvd/demos/verify_start_end_handshape_annotations//test_auto_move//signs_mov/2719.mov","MOV")</f>
        <v>21</v>
      </c>
      <c r="R9338" t="s" s="16">
        <f>HYPERLINK("http://secrets.rutgers.edu:8080/data/asl-ftp/asllvd/demos/verify_start_end_handshape_annotations//test_auto_move//signs_mov_separ_signers/Liz_2719.mov","MOV")</f>
        <v>21</v>
      </c>
    </row>
    <row r="9339" s="2" customFormat="1" ht="13.5" customHeight="1">
      <c r="B9339" s="13"/>
      <c r="C9339" t="s" s="9">
        <v>30</v>
      </c>
      <c r="D9339" t="s" s="8">
        <v>3435</v>
      </c>
      <c r="E9339" t="s" s="9">
        <v>3435</v>
      </c>
      <c r="F9339" s="19">
        <v>1</v>
      </c>
      <c r="G9339" s="17">
        <v>1</v>
      </c>
      <c r="H9339" t="s" s="10">
        <v>70</v>
      </c>
      <c r="I9339" t="s" s="11">
        <v>70</v>
      </c>
      <c r="J9339" t="s" s="11">
        <v>20</v>
      </c>
      <c r="K9339" s="15"/>
      <c r="L9339" t="s" s="16">
        <f>HYPERLINK("http://csr.bu.edu/ftp/asl/asllvd/demos/verify_start_end_handshape_annotations//test_auto_move//signs_mov_separ_signers/Brady_2719.mov","MOV")</f>
        <v>21</v>
      </c>
      <c r="M9339" t="s" s="10">
        <v>60</v>
      </c>
      <c r="N9339" s="17">
        <v>15</v>
      </c>
      <c r="O9339" s="18">
        <v>1433</v>
      </c>
      <c r="P9339" s="18">
        <v>1460</v>
      </c>
      <c r="Q9339" s="15"/>
      <c r="R9339" t="s" s="16">
        <f>HYPERLINK("http://secrets.rutgers.edu:8080/data/asl-ftp/asllvd/demos/verify_start_end_handshape_annotations//test_auto_move//signs_mov_separ_signers/Brady_2719.mov","MOV")</f>
        <v>21</v>
      </c>
    </row>
    <row r="9340" s="2" customFormat="1" ht="13.5" customHeight="1">
      <c r="B9340" t="s" s="8">
        <v>3436</v>
      </c>
      <c r="C9340" t="s" s="9">
        <v>14</v>
      </c>
      <c r="D9340" t="s" s="8">
        <v>14</v>
      </c>
      <c r="E9340" t="s" s="9">
        <v>14</v>
      </c>
      <c r="F9340" t="s" s="10">
        <v>14</v>
      </c>
      <c r="G9340" t="s" s="11">
        <v>14</v>
      </c>
      <c r="H9340" t="s" s="10">
        <v>14</v>
      </c>
      <c r="I9340" t="s" s="11">
        <v>14</v>
      </c>
      <c r="J9340" t="s" s="11">
        <v>14</v>
      </c>
      <c r="K9340" t="s" s="12">
        <v>14</v>
      </c>
      <c r="L9340" t="s" s="12">
        <v>14</v>
      </c>
      <c r="M9340" t="s" s="10">
        <v>14</v>
      </c>
      <c r="N9340" t="s" s="11">
        <v>14</v>
      </c>
      <c r="O9340" t="s" s="8">
        <v>14</v>
      </c>
      <c r="P9340" t="s" s="8">
        <v>14</v>
      </c>
      <c r="Q9340" t="s" s="12">
        <v>14</v>
      </c>
      <c r="R9340" t="s" s="12">
        <v>14</v>
      </c>
    </row>
    <row r="9341" s="2" customFormat="1" ht="13.5" customHeight="1">
      <c r="B9341" s="13"/>
      <c r="C9341" t="s" s="9">
        <v>16</v>
      </c>
      <c r="D9341" t="s" s="8">
        <v>3436</v>
      </c>
      <c r="E9341" t="s" s="9">
        <v>3436</v>
      </c>
      <c r="F9341" t="s" s="10">
        <v>68</v>
      </c>
      <c r="G9341" t="s" s="11">
        <v>68</v>
      </c>
      <c r="H9341" t="s" s="10">
        <v>68</v>
      </c>
      <c r="I9341" t="s" s="11">
        <v>68</v>
      </c>
      <c r="J9341" t="s" s="11">
        <v>20</v>
      </c>
      <c r="K9341" t="s" s="16">
        <f>HYPERLINK("http://csr.bu.edu/ftp/asl/asllvd/demos/verify_start_end_handshape_annotations//test_auto_move//signs_mov/2720.mov","MOV")</f>
        <v>21</v>
      </c>
      <c r="L9341" t="s" s="16">
        <f>HYPERLINK("http://csr.bu.edu/ftp/asl/asllvd/demos/verify_start_end_handshape_annotations//test_auto_move//signs_mov_separ_signers/Liz_2720.mov","MOV")</f>
        <v>21</v>
      </c>
      <c r="M9341" t="s" s="10">
        <v>59</v>
      </c>
      <c r="N9341" s="17">
        <v>27</v>
      </c>
      <c r="O9341" s="18">
        <v>417</v>
      </c>
      <c r="P9341" s="18">
        <v>465</v>
      </c>
      <c r="Q9341" t="s" s="16">
        <f>HYPERLINK("http://secrets.rutgers.edu:8080/data/asl-ftp/asllvd/demos/verify_start_end_handshape_annotations//test_auto_move//signs_mov/2720.mov","MOV")</f>
        <v>21</v>
      </c>
      <c r="R9341" t="s" s="16">
        <f>HYPERLINK("http://secrets.rutgers.edu:8080/data/asl-ftp/asllvd/demos/verify_start_end_handshape_annotations//test_auto_move//signs_mov_separ_signers/Liz_2720.mov","MOV")</f>
        <v>21</v>
      </c>
    </row>
    <row r="9342" s="2" customFormat="1" ht="13.5" customHeight="1">
      <c r="B9342" s="13"/>
      <c r="C9342" t="s" s="9">
        <v>30</v>
      </c>
      <c r="D9342" t="s" s="8">
        <v>3436</v>
      </c>
      <c r="E9342" t="s" s="9">
        <v>3437</v>
      </c>
      <c r="F9342" t="s" s="10">
        <v>68</v>
      </c>
      <c r="G9342" t="s" s="11">
        <v>68</v>
      </c>
      <c r="H9342" t="s" s="10">
        <v>68</v>
      </c>
      <c r="I9342" t="s" s="11">
        <v>68</v>
      </c>
      <c r="J9342" t="s" s="11">
        <v>20</v>
      </c>
      <c r="K9342" s="15"/>
      <c r="L9342" t="s" s="16">
        <f>HYPERLINK("http://csr.bu.edu/ftp/asl/asllvd/demos/verify_start_end_handshape_annotations//test_auto_move//signs_mov_separ_signers/Brady_2720.mov","MOV")</f>
        <v>21</v>
      </c>
      <c r="M9342" t="s" s="10">
        <v>60</v>
      </c>
      <c r="N9342" s="17">
        <v>15</v>
      </c>
      <c r="O9342" s="18">
        <v>1683</v>
      </c>
      <c r="P9342" s="18">
        <v>1729</v>
      </c>
      <c r="Q9342" s="15"/>
      <c r="R9342" t="s" s="16">
        <f>HYPERLINK("http://secrets.rutgers.edu:8080/data/asl-ftp/asllvd/demos/verify_start_end_handshape_annotations//test_auto_move//signs_mov_separ_signers/Brady_2720.mov","MOV")</f>
        <v>21</v>
      </c>
    </row>
    <row r="9343" s="2" customFormat="1" ht="13.5" customHeight="1">
      <c r="B9343" t="s" s="8">
        <v>3438</v>
      </c>
      <c r="C9343" t="s" s="9">
        <v>14</v>
      </c>
      <c r="D9343" t="s" s="8">
        <v>14</v>
      </c>
      <c r="E9343" t="s" s="9">
        <v>14</v>
      </c>
      <c r="F9343" t="s" s="10">
        <v>14</v>
      </c>
      <c r="G9343" t="s" s="11">
        <v>14</v>
      </c>
      <c r="H9343" t="s" s="10">
        <v>14</v>
      </c>
      <c r="I9343" t="s" s="11">
        <v>14</v>
      </c>
      <c r="J9343" t="s" s="11">
        <v>14</v>
      </c>
      <c r="K9343" t="s" s="12">
        <v>14</v>
      </c>
      <c r="L9343" t="s" s="12">
        <v>14</v>
      </c>
      <c r="M9343" t="s" s="10">
        <v>14</v>
      </c>
      <c r="N9343" t="s" s="11">
        <v>14</v>
      </c>
      <c r="O9343" t="s" s="8">
        <v>14</v>
      </c>
      <c r="P9343" t="s" s="8">
        <v>14</v>
      </c>
      <c r="Q9343" t="s" s="12">
        <v>14</v>
      </c>
      <c r="R9343" t="s" s="12">
        <v>14</v>
      </c>
    </row>
    <row r="9344" s="2" customFormat="1" ht="13.5" customHeight="1">
      <c r="B9344" s="13"/>
      <c r="C9344" t="s" s="9">
        <v>16</v>
      </c>
      <c r="D9344" t="s" s="8">
        <v>3438</v>
      </c>
      <c r="E9344" t="s" s="9">
        <v>3439</v>
      </c>
      <c r="F9344" t="s" s="10">
        <v>344</v>
      </c>
      <c r="G9344" s="14"/>
      <c r="H9344" t="s" s="10">
        <v>344</v>
      </c>
      <c r="I9344" s="14"/>
      <c r="J9344" t="s" s="11">
        <v>20</v>
      </c>
      <c r="K9344" s="15"/>
      <c r="L9344" t="s" s="16">
        <f>HYPERLINK("http://csr.bu.edu/ftp/asl/asllvd/demos/verify_start_end_handshape_annotations//test_auto_move//signs_mov_separ_signers/Liz_2721.mov","MOV")</f>
        <v>21</v>
      </c>
      <c r="M9344" t="s" s="10">
        <v>59</v>
      </c>
      <c r="N9344" s="17">
        <v>27</v>
      </c>
      <c r="O9344" s="18">
        <v>855</v>
      </c>
      <c r="P9344" s="18">
        <v>885</v>
      </c>
      <c r="Q9344" s="15"/>
      <c r="R9344" t="s" s="16">
        <f>HYPERLINK("http://secrets.rutgers.edu:8080/data/asl-ftp/asllvd/demos/verify_start_end_handshape_annotations//test_auto_move//signs_mov_separ_signers/Liz_2721.mov","MOV")</f>
        <v>21</v>
      </c>
    </row>
    <row r="9345" s="2" customFormat="1" ht="13.5" customHeight="1">
      <c r="B9345" s="13"/>
      <c r="C9345" t="s" s="9">
        <v>16</v>
      </c>
      <c r="D9345" t="s" s="8">
        <v>3438</v>
      </c>
      <c r="E9345" t="s" s="9">
        <v>3439</v>
      </c>
      <c r="F9345" t="s" s="10">
        <v>344</v>
      </c>
      <c r="G9345" s="14"/>
      <c r="H9345" t="s" s="10">
        <v>344</v>
      </c>
      <c r="I9345" s="14"/>
      <c r="J9345" t="s" s="11">
        <v>20</v>
      </c>
      <c r="K9345" s="15"/>
      <c r="L9345" t="s" s="16">
        <f>HYPERLINK("http://csr.bu.edu/ftp/asl/asllvd/demos/verify_start_end_handshape_annotations//test_auto_move//signs_mov_separ_signers/Liz_3818.mov","MOV")</f>
        <v>21</v>
      </c>
      <c r="M9345" t="s" s="10">
        <v>59</v>
      </c>
      <c r="N9345" s="17">
        <v>41</v>
      </c>
      <c r="O9345" s="18">
        <v>891</v>
      </c>
      <c r="P9345" s="18">
        <v>925</v>
      </c>
      <c r="Q9345" s="15"/>
      <c r="R9345" t="s" s="16">
        <f>HYPERLINK("http://secrets.rutgers.edu:8080/data/asl-ftp/asllvd/demos/verify_start_end_handshape_annotations//test_auto_move//signs_mov_separ_signers/Liz_3818.mov","MOV")</f>
        <v>21</v>
      </c>
    </row>
    <row r="9346" s="2" customFormat="1" ht="13.5" customHeight="1">
      <c r="B9346" s="13"/>
      <c r="C9346" t="s" s="9">
        <v>16</v>
      </c>
      <c r="D9346" t="s" s="8">
        <v>3438</v>
      </c>
      <c r="E9346" t="s" s="9">
        <v>3438</v>
      </c>
      <c r="F9346" t="s" s="10">
        <v>344</v>
      </c>
      <c r="G9346" s="14"/>
      <c r="H9346" t="s" s="10">
        <v>344</v>
      </c>
      <c r="I9346" s="14"/>
      <c r="J9346" t="s" s="11">
        <v>20</v>
      </c>
      <c r="K9346" t="s" s="16">
        <f>HYPERLINK("http://csr.bu.edu/ftp/asl/asllvd/demos/verify_start_end_handshape_annotations//test_auto_move//signs_mov/2721_3818_3819_merged.mov","MOV")</f>
        <v>21</v>
      </c>
      <c r="L9346" t="s" s="16">
        <f>HYPERLINK("http://csr.bu.edu/ftp/asl/asllvd/demos/verify_start_end_handshape_annotations//test_auto_move//signs_mov_separ_signers/Liz_3819.mov","MOV")</f>
        <v>21</v>
      </c>
      <c r="M9346" t="s" s="10">
        <v>59</v>
      </c>
      <c r="N9346" s="17">
        <v>41</v>
      </c>
      <c r="O9346" s="18">
        <v>1119</v>
      </c>
      <c r="P9346" s="18">
        <v>1176</v>
      </c>
      <c r="Q9346" t="s" s="16">
        <f>HYPERLINK("http://secrets.rutgers.edu:8080/data/asl-ftp/asllvd/demos/verify_start_end_handshape_annotations//test_auto_move//signs_mov/2721_3818_3819_merged.mov","MOV")</f>
        <v>21</v>
      </c>
      <c r="R9346" t="s" s="16">
        <f>HYPERLINK("http://secrets.rutgers.edu:8080/data/asl-ftp/asllvd/demos/verify_start_end_handshape_annotations//test_auto_move//signs_mov_separ_signers/Liz_3819.mov","MOV")</f>
        <v>21</v>
      </c>
    </row>
    <row r="9347" s="2" customFormat="1" ht="13.5" customHeight="1">
      <c r="B9347" s="13"/>
      <c r="C9347" t="s" s="9">
        <v>30</v>
      </c>
      <c r="D9347" t="s" s="8">
        <v>3438</v>
      </c>
      <c r="E9347" t="s" s="9">
        <v>3439</v>
      </c>
      <c r="F9347" t="s" s="10">
        <v>344</v>
      </c>
      <c r="G9347" s="14"/>
      <c r="H9347" t="s" s="10">
        <v>344</v>
      </c>
      <c r="I9347" s="14"/>
      <c r="J9347" t="s" s="11">
        <v>20</v>
      </c>
      <c r="K9347" s="15"/>
      <c r="L9347" t="s" s="16">
        <f>HYPERLINK("http://csr.bu.edu/ftp/asl/asllvd/demos/verify_start_end_handshape_annotations//test_auto_move//signs_mov_separ_signers/Brady_2721.mov","MOV")</f>
        <v>21</v>
      </c>
      <c r="M9347" t="s" s="10">
        <v>60</v>
      </c>
      <c r="N9347" s="17">
        <v>15</v>
      </c>
      <c r="O9347" s="18">
        <v>1934</v>
      </c>
      <c r="P9347" s="18">
        <v>1969</v>
      </c>
      <c r="Q9347" s="15"/>
      <c r="R9347" t="s" s="16">
        <f>HYPERLINK("http://secrets.rutgers.edu:8080/data/asl-ftp/asllvd/demos/verify_start_end_handshape_annotations//test_auto_move//signs_mov_separ_signers/Brady_2721.mov","MOV")</f>
        <v>21</v>
      </c>
    </row>
    <row r="9348" s="2" customFormat="1" ht="13.5" customHeight="1">
      <c r="B9348" s="13"/>
      <c r="C9348" t="s" s="9">
        <v>30</v>
      </c>
      <c r="D9348" t="s" s="8">
        <v>3438</v>
      </c>
      <c r="E9348" t="s" s="9">
        <v>3440</v>
      </c>
      <c r="F9348" t="s" s="10">
        <v>344</v>
      </c>
      <c r="G9348" s="14"/>
      <c r="H9348" t="s" s="10">
        <v>344</v>
      </c>
      <c r="I9348" s="14"/>
      <c r="J9348" t="s" s="11">
        <v>20</v>
      </c>
      <c r="K9348" s="15"/>
      <c r="L9348" t="s" s="16">
        <f>HYPERLINK("http://csr.bu.edu/ftp/asl/asllvd/demos/verify_start_end_handshape_annotations//test_auto_move//signs_mov_separ_signers/Brady_3818.mov","MOV")</f>
        <v>21</v>
      </c>
      <c r="M9348" t="s" s="10">
        <v>60</v>
      </c>
      <c r="N9348" s="17">
        <v>29</v>
      </c>
      <c r="O9348" s="18">
        <v>1308</v>
      </c>
      <c r="P9348" s="18">
        <v>1350</v>
      </c>
      <c r="Q9348" s="15"/>
      <c r="R9348" t="s" s="16">
        <f>HYPERLINK("http://secrets.rutgers.edu:8080/data/asl-ftp/asllvd/demos/verify_start_end_handshape_annotations//test_auto_move//signs_mov_separ_signers/Brady_3818.mov","MOV")</f>
        <v>21</v>
      </c>
    </row>
    <row r="9349" s="2" customFormat="1" ht="13.5" customHeight="1">
      <c r="B9349" s="13"/>
      <c r="C9349" t="s" s="9">
        <v>30</v>
      </c>
      <c r="D9349" t="s" s="8">
        <v>3438</v>
      </c>
      <c r="E9349" t="s" s="9">
        <v>3438</v>
      </c>
      <c r="F9349" t="s" s="10">
        <v>344</v>
      </c>
      <c r="G9349" s="14"/>
      <c r="H9349" t="s" s="10">
        <v>344</v>
      </c>
      <c r="I9349" s="14"/>
      <c r="J9349" t="s" s="11">
        <v>20</v>
      </c>
      <c r="K9349" s="15"/>
      <c r="L9349" t="s" s="16">
        <f>HYPERLINK("http://csr.bu.edu/ftp/asl/asllvd/demos/verify_start_end_handshape_annotations//test_auto_move//signs_mov_separ_signers/Brady_3819.mov","MOV")</f>
        <v>21</v>
      </c>
      <c r="M9349" t="s" s="10">
        <v>60</v>
      </c>
      <c r="N9349" s="17">
        <v>29</v>
      </c>
      <c r="O9349" s="18">
        <v>1563</v>
      </c>
      <c r="P9349" s="18">
        <v>1611</v>
      </c>
      <c r="Q9349" s="15"/>
      <c r="R9349" t="s" s="16">
        <f>HYPERLINK("http://secrets.rutgers.edu:8080/data/asl-ftp/asllvd/demos/verify_start_end_handshape_annotations//test_auto_move//signs_mov_separ_signers/Brady_3819.mov","MOV")</f>
        <v>21</v>
      </c>
    </row>
    <row r="9350" s="2" customFormat="1" ht="13.5" customHeight="1">
      <c r="B9350" t="s" s="8">
        <v>52</v>
      </c>
      <c r="C9350" t="s" s="9">
        <v>53</v>
      </c>
      <c r="D9350" t="s" s="8">
        <v>53</v>
      </c>
      <c r="E9350" t="s" s="9">
        <v>53</v>
      </c>
      <c r="F9350" t="s" s="10">
        <v>53</v>
      </c>
      <c r="G9350" t="s" s="11">
        <v>53</v>
      </c>
      <c r="H9350" t="s" s="10">
        <v>53</v>
      </c>
      <c r="I9350" t="s" s="11">
        <v>53</v>
      </c>
      <c r="J9350" t="s" s="11">
        <v>53</v>
      </c>
      <c r="K9350" t="s" s="12">
        <v>53</v>
      </c>
      <c r="L9350" t="s" s="12">
        <v>53</v>
      </c>
      <c r="M9350" t="s" s="10">
        <v>53</v>
      </c>
      <c r="N9350" t="s" s="11">
        <v>53</v>
      </c>
      <c r="O9350" t="s" s="8">
        <v>53</v>
      </c>
      <c r="P9350" t="s" s="8">
        <v>53</v>
      </c>
      <c r="Q9350" t="s" s="12">
        <v>53</v>
      </c>
      <c r="R9350" t="s" s="12">
        <v>53</v>
      </c>
    </row>
    <row r="9351" s="2" customFormat="1" ht="13.5" customHeight="1">
      <c r="B9351" s="13"/>
      <c r="C9351" t="s" s="9">
        <v>16</v>
      </c>
      <c r="D9351" t="s" s="8">
        <v>3438</v>
      </c>
      <c r="E9351" t="s" s="9">
        <v>3441</v>
      </c>
      <c r="F9351" t="s" s="10">
        <v>437</v>
      </c>
      <c r="G9351" s="14"/>
      <c r="H9351" t="s" s="10">
        <v>282</v>
      </c>
      <c r="I9351" s="14"/>
      <c r="J9351" t="s" s="11">
        <v>20</v>
      </c>
      <c r="K9351" t="s" s="16">
        <f>HYPERLINK("http://csr.bu.edu/ftp/asl/asllvd/demos/verify_start_end_handshape_annotations//test_auto_move//signs_mov/3820.mov","MOV")</f>
        <v>21</v>
      </c>
      <c r="L9351" t="s" s="16">
        <f>HYPERLINK("http://csr.bu.edu/ftp/asl/asllvd/demos/verify_start_end_handshape_annotations//test_auto_move//signs_mov_separ_signers/Liz_3820.mov","MOV")</f>
        <v>21</v>
      </c>
      <c r="M9351" t="s" s="10">
        <v>59</v>
      </c>
      <c r="N9351" s="17">
        <v>41</v>
      </c>
      <c r="O9351" s="18">
        <v>1396</v>
      </c>
      <c r="P9351" s="18">
        <v>1447</v>
      </c>
      <c r="Q9351" t="s" s="16">
        <f>HYPERLINK("http://secrets.rutgers.edu:8080/data/asl-ftp/asllvd/demos/verify_start_end_handshape_annotations//test_auto_move//signs_mov/3820.mov","MOV")</f>
        <v>21</v>
      </c>
      <c r="R9351" t="s" s="16">
        <f>HYPERLINK("http://secrets.rutgers.edu:8080/data/asl-ftp/asllvd/demos/verify_start_end_handshape_annotations//test_auto_move//signs_mov_separ_signers/Liz_3820.mov","MOV")</f>
        <v>21</v>
      </c>
    </row>
    <row r="9352" s="2" customFormat="1" ht="13.5" customHeight="1">
      <c r="B9352" t="s" s="8">
        <v>3442</v>
      </c>
      <c r="C9352" t="s" s="9">
        <v>14</v>
      </c>
      <c r="D9352" t="s" s="8">
        <v>14</v>
      </c>
      <c r="E9352" t="s" s="9">
        <v>14</v>
      </c>
      <c r="F9352" t="s" s="10">
        <v>14</v>
      </c>
      <c r="G9352" t="s" s="11">
        <v>14</v>
      </c>
      <c r="H9352" t="s" s="10">
        <v>14</v>
      </c>
      <c r="I9352" t="s" s="11">
        <v>14</v>
      </c>
      <c r="J9352" t="s" s="11">
        <v>14</v>
      </c>
      <c r="K9352" t="s" s="12">
        <v>14</v>
      </c>
      <c r="L9352" t="s" s="12">
        <v>14</v>
      </c>
      <c r="M9352" t="s" s="10">
        <v>14</v>
      </c>
      <c r="N9352" t="s" s="11">
        <v>14</v>
      </c>
      <c r="O9352" t="s" s="8">
        <v>14</v>
      </c>
      <c r="P9352" t="s" s="8">
        <v>14</v>
      </c>
      <c r="Q9352" t="s" s="12">
        <v>14</v>
      </c>
      <c r="R9352" t="s" s="12">
        <v>14</v>
      </c>
    </row>
    <row r="9353" s="2" customFormat="1" ht="13.5" customHeight="1">
      <c r="B9353" s="13"/>
      <c r="C9353" t="s" s="9">
        <v>16</v>
      </c>
      <c r="D9353" t="s" s="8">
        <v>3442</v>
      </c>
      <c r="E9353" t="s" s="9">
        <v>3442</v>
      </c>
      <c r="F9353" t="s" s="10">
        <v>68</v>
      </c>
      <c r="G9353" s="14"/>
      <c r="H9353" s="19">
        <v>1</v>
      </c>
      <c r="I9353" s="14"/>
      <c r="J9353" t="s" s="11">
        <v>20</v>
      </c>
      <c r="K9353" t="s" s="16">
        <f>HYPERLINK("http://csr.bu.edu/ftp/asl/asllvd/demos/verify_start_end_handshape_annotations//test_auto_move//signs_mov/2725.mov","MOV")</f>
        <v>21</v>
      </c>
      <c r="L9353" t="s" s="16">
        <f>HYPERLINK("http://csr.bu.edu/ftp/asl/asllvd/demos/verify_start_end_handshape_annotations//test_auto_move//signs_mov_separ_signers/Liz_2725.mov","MOV")</f>
        <v>21</v>
      </c>
      <c r="M9353" t="s" s="10">
        <v>59</v>
      </c>
      <c r="N9353" s="17">
        <v>27</v>
      </c>
      <c r="O9353" s="18">
        <v>2000</v>
      </c>
      <c r="P9353" s="18">
        <v>2045</v>
      </c>
      <c r="Q9353" t="s" s="16">
        <f>HYPERLINK("http://secrets.rutgers.edu:8080/data/asl-ftp/asllvd/demos/verify_start_end_handshape_annotations//test_auto_move//signs_mov/2725.mov","MOV")</f>
        <v>21</v>
      </c>
      <c r="R9353" t="s" s="16">
        <f>HYPERLINK("http://secrets.rutgers.edu:8080/data/asl-ftp/asllvd/demos/verify_start_end_handshape_annotations//test_auto_move//signs_mov_separ_signers/Liz_2725.mov","MOV")</f>
        <v>21</v>
      </c>
    </row>
    <row r="9354" s="2" customFormat="1" ht="13.5" customHeight="1">
      <c r="B9354" t="s" s="8">
        <v>52</v>
      </c>
      <c r="C9354" t="s" s="9">
        <v>53</v>
      </c>
      <c r="D9354" t="s" s="8">
        <v>53</v>
      </c>
      <c r="E9354" t="s" s="9">
        <v>53</v>
      </c>
      <c r="F9354" t="s" s="10">
        <v>53</v>
      </c>
      <c r="G9354" t="s" s="11">
        <v>53</v>
      </c>
      <c r="H9354" t="s" s="10">
        <v>53</v>
      </c>
      <c r="I9354" t="s" s="11">
        <v>53</v>
      </c>
      <c r="J9354" t="s" s="11">
        <v>53</v>
      </c>
      <c r="K9354" t="s" s="12">
        <v>53</v>
      </c>
      <c r="L9354" t="s" s="12">
        <v>53</v>
      </c>
      <c r="M9354" t="s" s="10">
        <v>53</v>
      </c>
      <c r="N9354" t="s" s="11">
        <v>53</v>
      </c>
      <c r="O9354" t="s" s="8">
        <v>53</v>
      </c>
      <c r="P9354" t="s" s="8">
        <v>53</v>
      </c>
      <c r="Q9354" t="s" s="12">
        <v>53</v>
      </c>
      <c r="R9354" t="s" s="12">
        <v>53</v>
      </c>
    </row>
    <row r="9355" s="2" customFormat="1" ht="13.5" customHeight="1">
      <c r="B9355" s="13"/>
      <c r="C9355" t="s" s="9">
        <v>30</v>
      </c>
      <c r="D9355" t="s" s="8">
        <v>3442</v>
      </c>
      <c r="E9355" t="s" s="9">
        <v>3443</v>
      </c>
      <c r="F9355" t="s" s="10">
        <v>70</v>
      </c>
      <c r="G9355" s="14"/>
      <c r="H9355" s="19">
        <v>1</v>
      </c>
      <c r="I9355" s="14"/>
      <c r="J9355" t="s" s="11">
        <v>20</v>
      </c>
      <c r="K9355" t="s" s="16">
        <f>HYPERLINK("http://csr.bu.edu/ftp/asl/asllvd/demos/verify_start_end_handshape_annotations//test_auto_move//signs_mov/16479.mov","MOV")</f>
        <v>21</v>
      </c>
      <c r="L9355" t="s" s="16">
        <f>HYPERLINK("http://csr.bu.edu/ftp/asl/asllvd/demos/verify_start_end_handshape_annotations//test_auto_move//signs_mov_separ_signers/Brady_16479.mov","MOV")</f>
        <v>21</v>
      </c>
      <c r="M9355" t="s" s="10">
        <v>60</v>
      </c>
      <c r="N9355" s="17">
        <v>16</v>
      </c>
      <c r="O9355" s="18">
        <v>1226</v>
      </c>
      <c r="P9355" s="18">
        <v>1264</v>
      </c>
      <c r="Q9355" t="s" s="16">
        <f>HYPERLINK("http://secrets.rutgers.edu:8080/data/asl-ftp/asllvd/demos/verify_start_end_handshape_annotations//test_auto_move//signs_mov/16479.mov","MOV")</f>
        <v>21</v>
      </c>
      <c r="R9355" t="s" s="16">
        <f>HYPERLINK("http://secrets.rutgers.edu:8080/data/asl-ftp/asllvd/demos/verify_start_end_handshape_annotations//test_auto_move//signs_mov_separ_signers/Brady_16479.mov","MOV")</f>
        <v>21</v>
      </c>
    </row>
    <row r="9356" s="2" customFormat="1" ht="13.5" customHeight="1">
      <c r="B9356" t="s" s="8">
        <v>3444</v>
      </c>
      <c r="C9356" t="s" s="9">
        <v>14</v>
      </c>
      <c r="D9356" t="s" s="8">
        <v>14</v>
      </c>
      <c r="E9356" t="s" s="9">
        <v>14</v>
      </c>
      <c r="F9356" t="s" s="10">
        <v>14</v>
      </c>
      <c r="G9356" t="s" s="11">
        <v>14</v>
      </c>
      <c r="H9356" t="s" s="10">
        <v>14</v>
      </c>
      <c r="I9356" t="s" s="11">
        <v>14</v>
      </c>
      <c r="J9356" t="s" s="11">
        <v>14</v>
      </c>
      <c r="K9356" t="s" s="12">
        <v>14</v>
      </c>
      <c r="L9356" t="s" s="12">
        <v>14</v>
      </c>
      <c r="M9356" t="s" s="10">
        <v>14</v>
      </c>
      <c r="N9356" t="s" s="11">
        <v>14</v>
      </c>
      <c r="O9356" t="s" s="8">
        <v>14</v>
      </c>
      <c r="P9356" t="s" s="8">
        <v>14</v>
      </c>
      <c r="Q9356" t="s" s="12">
        <v>14</v>
      </c>
      <c r="R9356" t="s" s="12">
        <v>14</v>
      </c>
    </row>
    <row r="9357" s="2" customFormat="1" ht="13.5" customHeight="1">
      <c r="B9357" s="13"/>
      <c r="C9357" t="s" s="9">
        <v>16</v>
      </c>
      <c r="D9357" t="s" s="8">
        <v>3444</v>
      </c>
      <c r="E9357" t="s" s="9">
        <v>3444</v>
      </c>
      <c r="F9357" t="s" s="10">
        <v>18</v>
      </c>
      <c r="G9357" t="s" s="11">
        <v>25</v>
      </c>
      <c r="H9357" t="s" s="10">
        <v>292</v>
      </c>
      <c r="I9357" t="s" s="11">
        <v>292</v>
      </c>
      <c r="J9357" t="s" s="11">
        <v>20</v>
      </c>
      <c r="K9357" t="s" s="16">
        <f>HYPERLINK("http://csr.bu.edu/ftp/asl/asllvd/demos/verify_start_end_handshape_annotations//test_auto_move//signs_mov/2726.mov","MOV")</f>
        <v>21</v>
      </c>
      <c r="L9357" t="s" s="16">
        <f>HYPERLINK("http://csr.bu.edu/ftp/asl/asllvd/demos/verify_start_end_handshape_annotations//test_auto_move//signs_mov_separ_signers/Liz_2726.mov","MOV")</f>
        <v>21</v>
      </c>
      <c r="M9357" t="s" s="10">
        <v>59</v>
      </c>
      <c r="N9357" s="17">
        <v>27</v>
      </c>
      <c r="O9357" s="18">
        <v>2310</v>
      </c>
      <c r="P9357" s="18">
        <v>2360</v>
      </c>
      <c r="Q9357" t="s" s="16">
        <f>HYPERLINK("http://secrets.rutgers.edu:8080/data/asl-ftp/asllvd/demos/verify_start_end_handshape_annotations//test_auto_move//signs_mov/2726.mov","MOV")</f>
        <v>21</v>
      </c>
      <c r="R9357" t="s" s="16">
        <f>HYPERLINK("http://secrets.rutgers.edu:8080/data/asl-ftp/asllvd/demos/verify_start_end_handshape_annotations//test_auto_move//signs_mov_separ_signers/Liz_2726.mov","MOV")</f>
        <v>21</v>
      </c>
    </row>
    <row r="9358" s="2" customFormat="1" ht="13.5" customHeight="1">
      <c r="B9358" s="13"/>
      <c r="C9358" t="s" s="9">
        <v>30</v>
      </c>
      <c r="D9358" t="s" s="8">
        <v>3444</v>
      </c>
      <c r="E9358" t="s" s="9">
        <v>3445</v>
      </c>
      <c r="F9358" t="s" s="10">
        <v>18</v>
      </c>
      <c r="G9358" t="s" s="11">
        <v>18</v>
      </c>
      <c r="H9358" t="s" s="10">
        <v>19</v>
      </c>
      <c r="I9358" t="s" s="11">
        <v>19</v>
      </c>
      <c r="J9358" t="s" s="11">
        <v>20</v>
      </c>
      <c r="K9358" s="15"/>
      <c r="L9358" t="s" s="16">
        <f>HYPERLINK("http://csr.bu.edu/ftp/asl/asllvd/demos/verify_start_end_handshape_annotations//test_auto_move//signs_mov_separ_signers/Brady_2726.mov","MOV")</f>
        <v>21</v>
      </c>
      <c r="M9358" t="s" s="10">
        <v>60</v>
      </c>
      <c r="N9358" s="17">
        <v>16</v>
      </c>
      <c r="O9358" s="18">
        <v>1496</v>
      </c>
      <c r="P9358" s="18">
        <v>1537</v>
      </c>
      <c r="Q9358" s="15"/>
      <c r="R9358" t="s" s="16">
        <f>HYPERLINK("http://secrets.rutgers.edu:8080/data/asl-ftp/asllvd/demos/verify_start_end_handshape_annotations//test_auto_move//signs_mov_separ_signers/Brady_2726.mov","MOV")</f>
        <v>21</v>
      </c>
    </row>
    <row r="9359" s="2" customFormat="1" ht="13.5" customHeight="1">
      <c r="B9359" t="s" s="8">
        <v>3446</v>
      </c>
      <c r="C9359" t="s" s="9">
        <v>14</v>
      </c>
      <c r="D9359" t="s" s="8">
        <v>14</v>
      </c>
      <c r="E9359" t="s" s="9">
        <v>14</v>
      </c>
      <c r="F9359" t="s" s="10">
        <v>14</v>
      </c>
      <c r="G9359" t="s" s="11">
        <v>14</v>
      </c>
      <c r="H9359" t="s" s="10">
        <v>14</v>
      </c>
      <c r="I9359" t="s" s="11">
        <v>14</v>
      </c>
      <c r="J9359" t="s" s="11">
        <v>14</v>
      </c>
      <c r="K9359" t="s" s="12">
        <v>14</v>
      </c>
      <c r="L9359" t="s" s="12">
        <v>14</v>
      </c>
      <c r="M9359" t="s" s="10">
        <v>14</v>
      </c>
      <c r="N9359" t="s" s="11">
        <v>14</v>
      </c>
      <c r="O9359" t="s" s="8">
        <v>14</v>
      </c>
      <c r="P9359" t="s" s="8">
        <v>14</v>
      </c>
      <c r="Q9359" t="s" s="12">
        <v>14</v>
      </c>
      <c r="R9359" t="s" s="12">
        <v>14</v>
      </c>
    </row>
    <row r="9360" s="2" customFormat="1" ht="13.5" customHeight="1">
      <c r="B9360" s="13"/>
      <c r="C9360" t="s" s="9">
        <v>16</v>
      </c>
      <c r="D9360" t="s" s="8">
        <v>3446</v>
      </c>
      <c r="E9360" t="s" s="9">
        <v>3447</v>
      </c>
      <c r="F9360" t="s" s="10">
        <v>63</v>
      </c>
      <c r="G9360" t="s" s="11">
        <v>63</v>
      </c>
      <c r="H9360" s="19">
        <v>10</v>
      </c>
      <c r="I9360" s="17">
        <v>10</v>
      </c>
      <c r="J9360" t="s" s="11">
        <v>20</v>
      </c>
      <c r="K9360" t="s" s="16">
        <f>HYPERLINK("http://csr.bu.edu/ftp/asl/asllvd/demos/verify_start_end_handshape_annotations//test_auto_move//signs_mov/2727.mov","MOV")</f>
        <v>21</v>
      </c>
      <c r="L9360" t="s" s="16">
        <f>HYPERLINK("http://csr.bu.edu/ftp/asl/asllvd/demos/verify_start_end_handshape_annotations//test_auto_move//signs_mov_separ_signers/Liz_2727.mov","MOV")</f>
        <v>21</v>
      </c>
      <c r="M9360" t="s" s="10">
        <v>59</v>
      </c>
      <c r="N9360" s="17">
        <v>27</v>
      </c>
      <c r="O9360" s="18">
        <v>2870</v>
      </c>
      <c r="P9360" s="18">
        <v>2930</v>
      </c>
      <c r="Q9360" t="s" s="16">
        <f>HYPERLINK("http://secrets.rutgers.edu:8080/data/asl-ftp/asllvd/demos/verify_start_end_handshape_annotations//test_auto_move//signs_mov/2727.mov","MOV")</f>
        <v>21</v>
      </c>
      <c r="R9360" t="s" s="16">
        <f>HYPERLINK("http://secrets.rutgers.edu:8080/data/asl-ftp/asllvd/demos/verify_start_end_handshape_annotations//test_auto_move//signs_mov_separ_signers/Liz_2727.mov","MOV")</f>
        <v>21</v>
      </c>
    </row>
    <row r="9361" s="2" customFormat="1" ht="13.5" customHeight="1">
      <c r="B9361" s="13"/>
      <c r="C9361" t="s" s="9">
        <v>30</v>
      </c>
      <c r="D9361" t="s" s="8">
        <v>3446</v>
      </c>
      <c r="E9361" t="s" s="9">
        <v>3447</v>
      </c>
      <c r="F9361" t="s" s="10">
        <v>63</v>
      </c>
      <c r="G9361" t="s" s="11">
        <v>63</v>
      </c>
      <c r="H9361" s="19">
        <v>10</v>
      </c>
      <c r="I9361" s="17">
        <v>10</v>
      </c>
      <c r="J9361" t="s" s="11">
        <v>20</v>
      </c>
      <c r="K9361" s="15"/>
      <c r="L9361" t="s" s="16">
        <f>HYPERLINK("http://csr.bu.edu/ftp/asl/asllvd/demos/verify_start_end_handshape_annotations//test_auto_move//signs_mov_separ_signers/Brady_2727.mov","MOV")</f>
        <v>21</v>
      </c>
      <c r="M9361" t="s" s="10">
        <v>60</v>
      </c>
      <c r="N9361" s="17">
        <v>16</v>
      </c>
      <c r="O9361" s="18">
        <v>1708</v>
      </c>
      <c r="P9361" s="18">
        <v>1761</v>
      </c>
      <c r="Q9361" s="15"/>
      <c r="R9361" t="s" s="16">
        <f>HYPERLINK("http://secrets.rutgers.edu:8080/data/asl-ftp/asllvd/demos/verify_start_end_handshape_annotations//test_auto_move//signs_mov_separ_signers/Brady_2727.mov","MOV")</f>
        <v>21</v>
      </c>
    </row>
    <row r="9362" s="2" customFormat="1" ht="13.5" customHeight="1">
      <c r="B9362" t="s" s="8">
        <v>3448</v>
      </c>
      <c r="C9362" t="s" s="9">
        <v>14</v>
      </c>
      <c r="D9362" t="s" s="8">
        <v>14</v>
      </c>
      <c r="E9362" t="s" s="9">
        <v>14</v>
      </c>
      <c r="F9362" t="s" s="10">
        <v>14</v>
      </c>
      <c r="G9362" t="s" s="11">
        <v>14</v>
      </c>
      <c r="H9362" t="s" s="10">
        <v>14</v>
      </c>
      <c r="I9362" t="s" s="11">
        <v>14</v>
      </c>
      <c r="J9362" t="s" s="11">
        <v>14</v>
      </c>
      <c r="K9362" t="s" s="12">
        <v>14</v>
      </c>
      <c r="L9362" t="s" s="12">
        <v>14</v>
      </c>
      <c r="M9362" t="s" s="10">
        <v>14</v>
      </c>
      <c r="N9362" t="s" s="11">
        <v>14</v>
      </c>
      <c r="O9362" t="s" s="8">
        <v>14</v>
      </c>
      <c r="P9362" t="s" s="8">
        <v>14</v>
      </c>
      <c r="Q9362" t="s" s="12">
        <v>14</v>
      </c>
      <c r="R9362" t="s" s="12">
        <v>14</v>
      </c>
    </row>
    <row r="9363" s="2" customFormat="1" ht="13.5" customHeight="1">
      <c r="B9363" s="13"/>
      <c r="C9363" t="s" s="9">
        <v>16</v>
      </c>
      <c r="D9363" t="s" s="8">
        <v>3448</v>
      </c>
      <c r="E9363" t="s" s="9">
        <v>3448</v>
      </c>
      <c r="F9363" s="19">
        <v>1</v>
      </c>
      <c r="G9363" s="14"/>
      <c r="H9363" s="19">
        <v>1</v>
      </c>
      <c r="I9363" s="14"/>
      <c r="J9363" t="s" s="11">
        <v>20</v>
      </c>
      <c r="K9363" s="15"/>
      <c r="L9363" t="s" s="16">
        <f>HYPERLINK("http://csr.bu.edu/ftp/asl/asllvd/demos/verify_start_end_handshape_annotations//test_auto_move//signs_mov_separ_signers/Liz_2736.mov","MOV")</f>
        <v>21</v>
      </c>
      <c r="M9363" t="s" s="10">
        <v>59</v>
      </c>
      <c r="N9363" s="17">
        <v>28</v>
      </c>
      <c r="O9363" s="18">
        <v>2035</v>
      </c>
      <c r="P9363" s="18">
        <v>2065</v>
      </c>
      <c r="Q9363" s="15"/>
      <c r="R9363" t="s" s="16">
        <f>HYPERLINK("http://secrets.rutgers.edu:8080/data/asl-ftp/asllvd/demos/verify_start_end_handshape_annotations//test_auto_move//signs_mov_separ_signers/Liz_2736.mov","MOV")</f>
        <v>21</v>
      </c>
    </row>
    <row r="9364" s="2" customFormat="1" ht="13.5" customHeight="1">
      <c r="B9364" s="13"/>
      <c r="C9364" t="s" s="9">
        <v>16</v>
      </c>
      <c r="D9364" t="s" s="8">
        <v>3448</v>
      </c>
      <c r="E9364" t="s" s="9">
        <v>3449</v>
      </c>
      <c r="F9364" s="19">
        <v>1</v>
      </c>
      <c r="G9364" s="14"/>
      <c r="H9364" s="19">
        <v>1</v>
      </c>
      <c r="I9364" s="14"/>
      <c r="J9364" t="s" s="11">
        <v>20</v>
      </c>
      <c r="K9364" t="s" s="16">
        <f>HYPERLINK("http://csr.bu.edu/ftp/asl/asllvd/demos/verify_start_end_handshape_annotations//test_auto_move//signs_mov/2736_3805_merged.mov","MOV")</f>
        <v>21</v>
      </c>
      <c r="L9364" t="s" s="16">
        <f>HYPERLINK("http://csr.bu.edu/ftp/asl/asllvd/demos/verify_start_end_handshape_annotations//test_auto_move//signs_mov_separ_signers/Liz_3805.mov","MOV")</f>
        <v>21</v>
      </c>
      <c r="M9364" t="s" s="10">
        <v>59</v>
      </c>
      <c r="N9364" s="17">
        <v>29</v>
      </c>
      <c r="O9364" s="18">
        <v>307</v>
      </c>
      <c r="P9364" s="18">
        <v>351</v>
      </c>
      <c r="Q9364" t="s" s="16">
        <f>HYPERLINK("http://secrets.rutgers.edu:8080/data/asl-ftp/asllvd/demos/verify_start_end_handshape_annotations//test_auto_move//signs_mov/2736_3805_merged.mov","MOV")</f>
        <v>21</v>
      </c>
      <c r="R9364" t="s" s="16">
        <f>HYPERLINK("http://secrets.rutgers.edu:8080/data/asl-ftp/asllvd/demos/verify_start_end_handshape_annotations//test_auto_move//signs_mov_separ_signers/Liz_3805.mov","MOV")</f>
        <v>21</v>
      </c>
    </row>
    <row r="9365" s="2" customFormat="1" ht="13.5" customHeight="1">
      <c r="B9365" s="13"/>
      <c r="C9365" t="s" s="9">
        <v>30</v>
      </c>
      <c r="D9365" t="s" s="8">
        <v>3448</v>
      </c>
      <c r="E9365" t="s" s="9">
        <v>3448</v>
      </c>
      <c r="F9365" s="19">
        <v>1</v>
      </c>
      <c r="G9365" s="14"/>
      <c r="H9365" s="19">
        <v>1</v>
      </c>
      <c r="I9365" s="14"/>
      <c r="J9365" t="s" s="11">
        <v>20</v>
      </c>
      <c r="K9365" s="15"/>
      <c r="L9365" t="s" s="16">
        <f>HYPERLINK("http://csr.bu.edu/ftp/asl/asllvd/demos/verify_start_end_handshape_annotations//test_auto_move//signs_mov_separ_signers/Brady_2736.mov","MOV")</f>
        <v>21</v>
      </c>
      <c r="M9365" t="s" s="10">
        <v>60</v>
      </c>
      <c r="N9365" s="17">
        <v>17</v>
      </c>
      <c r="O9365" s="18">
        <v>401</v>
      </c>
      <c r="P9365" s="18">
        <v>423</v>
      </c>
      <c r="Q9365" s="15"/>
      <c r="R9365" t="s" s="16">
        <f>HYPERLINK("http://secrets.rutgers.edu:8080/data/asl-ftp/asllvd/demos/verify_start_end_handshape_annotations//test_auto_move//signs_mov_separ_signers/Brady_2736.mov","MOV")</f>
        <v>21</v>
      </c>
    </row>
    <row r="9366" s="2" customFormat="1" ht="13.5" customHeight="1">
      <c r="B9366" s="13"/>
      <c r="C9366" t="s" s="9">
        <v>30</v>
      </c>
      <c r="D9366" t="s" s="8">
        <v>3448</v>
      </c>
      <c r="E9366" t="s" s="9">
        <v>3450</v>
      </c>
      <c r="F9366" s="19">
        <v>1</v>
      </c>
      <c r="G9366" s="14"/>
      <c r="H9366" s="19">
        <v>1</v>
      </c>
      <c r="I9366" s="14"/>
      <c r="J9366" t="s" s="11">
        <v>20</v>
      </c>
      <c r="K9366" s="15"/>
      <c r="L9366" t="s" s="16">
        <f>HYPERLINK("http://csr.bu.edu/ftp/asl/asllvd/demos/verify_start_end_handshape_annotations//test_auto_move//signs_mov_separ_signers/Brady_3805.mov","MOV")</f>
        <v>21</v>
      </c>
      <c r="M9366" t="s" s="10">
        <v>60</v>
      </c>
      <c r="N9366" s="17">
        <v>17</v>
      </c>
      <c r="O9366" s="18">
        <v>1771</v>
      </c>
      <c r="P9366" s="18">
        <v>1827</v>
      </c>
      <c r="Q9366" s="15"/>
      <c r="R9366" t="s" s="16">
        <f>HYPERLINK("http://secrets.rutgers.edu:8080/data/asl-ftp/asllvd/demos/verify_start_end_handshape_annotations//test_auto_move//signs_mov_separ_signers/Brady_3805.mov","MOV")</f>
        <v>21</v>
      </c>
    </row>
    <row r="9367" s="2" customFormat="1" ht="13.5" customHeight="1">
      <c r="B9367" t="s" s="8">
        <v>3451</v>
      </c>
      <c r="C9367" t="s" s="9">
        <v>14</v>
      </c>
      <c r="D9367" t="s" s="8">
        <v>14</v>
      </c>
      <c r="E9367" t="s" s="9">
        <v>14</v>
      </c>
      <c r="F9367" t="s" s="10">
        <v>14</v>
      </c>
      <c r="G9367" t="s" s="11">
        <v>14</v>
      </c>
      <c r="H9367" t="s" s="10">
        <v>14</v>
      </c>
      <c r="I9367" t="s" s="11">
        <v>14</v>
      </c>
      <c r="J9367" t="s" s="11">
        <v>14</v>
      </c>
      <c r="K9367" t="s" s="12">
        <v>14</v>
      </c>
      <c r="L9367" t="s" s="12">
        <v>14</v>
      </c>
      <c r="M9367" t="s" s="10">
        <v>14</v>
      </c>
      <c r="N9367" t="s" s="11">
        <v>14</v>
      </c>
      <c r="O9367" t="s" s="8">
        <v>14</v>
      </c>
      <c r="P9367" t="s" s="8">
        <v>14</v>
      </c>
      <c r="Q9367" t="s" s="12">
        <v>14</v>
      </c>
      <c r="R9367" t="s" s="12">
        <v>14</v>
      </c>
    </row>
    <row r="9368" s="2" customFormat="1" ht="13.5" customHeight="1">
      <c r="B9368" s="13"/>
      <c r="C9368" t="s" s="9">
        <v>16</v>
      </c>
      <c r="D9368" t="s" s="8">
        <v>3451</v>
      </c>
      <c r="E9368" t="s" s="9">
        <v>3451</v>
      </c>
      <c r="F9368" t="s" s="10">
        <v>73</v>
      </c>
      <c r="G9368" s="14"/>
      <c r="H9368" t="s" s="10">
        <v>73</v>
      </c>
      <c r="I9368" s="14"/>
      <c r="J9368" t="s" s="11">
        <v>20</v>
      </c>
      <c r="K9368" s="15"/>
      <c r="L9368" t="s" s="16">
        <f>HYPERLINK("http://csr.bu.edu/ftp/asl/asllvd/demos/verify_start_end_handshape_annotations//test_auto_move//signs_mov_separ_signers/Liz_2738.mov","MOV")</f>
        <v>21</v>
      </c>
      <c r="M9368" t="s" s="10">
        <v>59</v>
      </c>
      <c r="N9368" s="17">
        <v>28</v>
      </c>
      <c r="O9368" s="18">
        <v>2805</v>
      </c>
      <c r="P9368" s="18">
        <v>2860</v>
      </c>
      <c r="Q9368" s="15"/>
      <c r="R9368" t="s" s="16">
        <f>HYPERLINK("http://secrets.rutgers.edu:8080/data/asl-ftp/asllvd/demos/verify_start_end_handshape_annotations//test_auto_move//signs_mov_separ_signers/Liz_2738.mov","MOV")</f>
        <v>21</v>
      </c>
    </row>
    <row r="9369" s="2" customFormat="1" ht="13.5" customHeight="1">
      <c r="B9369" s="13"/>
      <c r="C9369" t="s" s="9">
        <v>30</v>
      </c>
      <c r="D9369" t="s" s="8">
        <v>3451</v>
      </c>
      <c r="E9369" t="s" s="9">
        <v>3451</v>
      </c>
      <c r="F9369" t="s" s="10">
        <v>73</v>
      </c>
      <c r="G9369" s="14"/>
      <c r="H9369" t="s" s="10">
        <v>150</v>
      </c>
      <c r="I9369" s="14"/>
      <c r="J9369" t="s" s="11">
        <v>20</v>
      </c>
      <c r="K9369" t="s" s="16">
        <f>HYPERLINK("http://csr.bu.edu/ftp/asl/asllvd/demos/verify_start_end_handshape_annotations//test_auto_move//signs_mov/2738.mov","MOV")</f>
        <v>21</v>
      </c>
      <c r="L9369" t="s" s="16">
        <f>HYPERLINK("http://csr.bu.edu/ftp/asl/asllvd/demos/verify_start_end_handshape_annotations//test_auto_move//signs_mov_separ_signers/Brady_2738.mov","MOV")</f>
        <v>21</v>
      </c>
      <c r="M9369" t="s" s="10">
        <v>60</v>
      </c>
      <c r="N9369" s="17">
        <v>17</v>
      </c>
      <c r="O9369" s="18">
        <v>1250</v>
      </c>
      <c r="P9369" s="18">
        <v>1291</v>
      </c>
      <c r="Q9369" t="s" s="16">
        <f>HYPERLINK("http://secrets.rutgers.edu:8080/data/asl-ftp/asllvd/demos/verify_start_end_handshape_annotations//test_auto_move//signs_mov/2738.mov","MOV")</f>
        <v>21</v>
      </c>
      <c r="R9369" t="s" s="16">
        <f>HYPERLINK("http://secrets.rutgers.edu:8080/data/asl-ftp/asllvd/demos/verify_start_end_handshape_annotations//test_auto_move//signs_mov_separ_signers/Brady_2738.mov","MOV")</f>
        <v>21</v>
      </c>
    </row>
    <row r="9370" s="2" customFormat="1" ht="13.5" customHeight="1">
      <c r="B9370" s="13"/>
      <c r="C9370" t="s" s="9">
        <v>41</v>
      </c>
      <c r="D9370" t="s" s="8">
        <v>3451</v>
      </c>
      <c r="E9370" t="s" s="9">
        <v>3451</v>
      </c>
      <c r="F9370" t="s" s="10">
        <v>73</v>
      </c>
      <c r="G9370" s="14"/>
      <c r="H9370" t="s" s="10">
        <v>73</v>
      </c>
      <c r="I9370" s="14"/>
      <c r="J9370" t="s" s="11">
        <v>20</v>
      </c>
      <c r="K9370" s="15"/>
      <c r="L9370" t="s" s="16">
        <f>HYPERLINK("http://csr.bu.edu/ftp/asl/asllvd/demos/verify_start_end_handshape_annotations//test_auto_move//signs_mov_separ_signers/Lana_2738.mov","MOV")</f>
        <v>21</v>
      </c>
      <c r="M9370" t="s" s="10">
        <v>42</v>
      </c>
      <c r="N9370" s="17">
        <v>25</v>
      </c>
      <c r="O9370" s="18">
        <v>1001</v>
      </c>
      <c r="P9370" s="18">
        <v>1042</v>
      </c>
      <c r="Q9370" s="15"/>
      <c r="R9370" t="s" s="16">
        <f>HYPERLINK("http://secrets.rutgers.edu:8080/data/asl-ftp/asllvd/demos/verify_start_end_handshape_annotations//test_auto_move//signs_mov_separ_signers/Lana_2738.mov","MOV")</f>
        <v>21</v>
      </c>
    </row>
    <row r="9371" s="2" customFormat="1" ht="13.5" customHeight="1">
      <c r="B9371" s="13"/>
      <c r="C9371" t="s" s="9">
        <v>43</v>
      </c>
      <c r="D9371" t="s" s="8">
        <v>3451</v>
      </c>
      <c r="E9371" t="s" s="9">
        <v>3451</v>
      </c>
      <c r="F9371" t="s" s="10">
        <v>73</v>
      </c>
      <c r="G9371" s="14"/>
      <c r="H9371" t="s" s="10">
        <v>73</v>
      </c>
      <c r="I9371" s="14"/>
      <c r="J9371" t="s" s="11">
        <v>20</v>
      </c>
      <c r="K9371" s="15"/>
      <c r="L9371" t="s" s="16">
        <f>HYPERLINK("http://csr.bu.edu/ftp/asl/asllvd/demos/verify_start_end_handshape_annotations//test_auto_move//signs_mov_separ_signers/Dana_2738.mov","MOV")</f>
        <v>21</v>
      </c>
      <c r="M9371" t="s" s="10">
        <v>44</v>
      </c>
      <c r="N9371" s="17">
        <v>27</v>
      </c>
      <c r="O9371" s="18">
        <v>935</v>
      </c>
      <c r="P9371" s="18">
        <v>979</v>
      </c>
      <c r="Q9371" s="15"/>
      <c r="R9371" t="s" s="16">
        <f>HYPERLINK("http://secrets.rutgers.edu:8080/data/asl-ftp/asllvd/demos/verify_start_end_handshape_annotations//test_auto_move//signs_mov_separ_signers/Dana_2738.mov","MOV")</f>
        <v>21</v>
      </c>
    </row>
    <row r="9372" s="2" customFormat="1" ht="13.5" customHeight="1">
      <c r="B9372" t="s" s="8">
        <v>3452</v>
      </c>
      <c r="C9372" t="s" s="9">
        <v>14</v>
      </c>
      <c r="D9372" t="s" s="8">
        <v>14</v>
      </c>
      <c r="E9372" t="s" s="9">
        <v>14</v>
      </c>
      <c r="F9372" t="s" s="10">
        <v>14</v>
      </c>
      <c r="G9372" t="s" s="11">
        <v>14</v>
      </c>
      <c r="H9372" t="s" s="10">
        <v>14</v>
      </c>
      <c r="I9372" t="s" s="11">
        <v>14</v>
      </c>
      <c r="J9372" t="s" s="11">
        <v>14</v>
      </c>
      <c r="K9372" t="s" s="12">
        <v>14</v>
      </c>
      <c r="L9372" t="s" s="12">
        <v>14</v>
      </c>
      <c r="M9372" t="s" s="10">
        <v>14</v>
      </c>
      <c r="N9372" t="s" s="11">
        <v>14</v>
      </c>
      <c r="O9372" t="s" s="8">
        <v>14</v>
      </c>
      <c r="P9372" t="s" s="8">
        <v>14</v>
      </c>
      <c r="Q9372" t="s" s="12">
        <v>14</v>
      </c>
      <c r="R9372" t="s" s="12">
        <v>14</v>
      </c>
    </row>
    <row r="9373" s="2" customFormat="1" ht="13.5" customHeight="1">
      <c r="B9373" s="13"/>
      <c r="C9373" t="s" s="9">
        <v>16</v>
      </c>
      <c r="D9373" t="s" s="8">
        <v>3452</v>
      </c>
      <c r="E9373" t="s" s="9">
        <v>3452</v>
      </c>
      <c r="F9373" t="s" s="10">
        <v>72</v>
      </c>
      <c r="G9373" t="s" s="11">
        <v>72</v>
      </c>
      <c r="H9373" t="s" s="10">
        <v>72</v>
      </c>
      <c r="I9373" t="s" s="11">
        <v>72</v>
      </c>
      <c r="J9373" t="s" s="11">
        <v>20</v>
      </c>
      <c r="K9373" t="s" s="16">
        <f>HYPERLINK("http://csr.bu.edu/ftp/asl/asllvd/demos/verify_start_end_handshape_annotations//test_auto_move//signs_mov/2739.mov","MOV")</f>
        <v>21</v>
      </c>
      <c r="L9373" t="s" s="16">
        <f>HYPERLINK("http://csr.bu.edu/ftp/asl/asllvd/demos/verify_start_end_handshape_annotations//test_auto_move//signs_mov_separ_signers/Liz_2739.mov","MOV")</f>
        <v>21</v>
      </c>
      <c r="M9373" t="s" s="10">
        <v>59</v>
      </c>
      <c r="N9373" s="17">
        <v>28</v>
      </c>
      <c r="O9373" s="18">
        <v>3230</v>
      </c>
      <c r="P9373" s="18">
        <v>3287</v>
      </c>
      <c r="Q9373" t="s" s="16">
        <f>HYPERLINK("http://secrets.rutgers.edu:8080/data/asl-ftp/asllvd/demos/verify_start_end_handshape_annotations//test_auto_move//signs_mov/2739.mov","MOV")</f>
        <v>21</v>
      </c>
      <c r="R9373" t="s" s="16">
        <f>HYPERLINK("http://secrets.rutgers.edu:8080/data/asl-ftp/asllvd/demos/verify_start_end_handshape_annotations//test_auto_move//signs_mov_separ_signers/Liz_2739.mov","MOV")</f>
        <v>21</v>
      </c>
    </row>
    <row r="9374" s="2" customFormat="1" ht="13.5" customHeight="1">
      <c r="B9374" s="13"/>
      <c r="C9374" t="s" s="9">
        <v>30</v>
      </c>
      <c r="D9374" t="s" s="8">
        <v>3452</v>
      </c>
      <c r="E9374" t="s" s="9">
        <v>3452</v>
      </c>
      <c r="F9374" t="s" s="10">
        <v>72</v>
      </c>
      <c r="G9374" t="s" s="11">
        <v>72</v>
      </c>
      <c r="H9374" t="s" s="10">
        <v>72</v>
      </c>
      <c r="I9374" t="s" s="11">
        <v>72</v>
      </c>
      <c r="J9374" t="s" s="11">
        <v>20</v>
      </c>
      <c r="K9374" s="15"/>
      <c r="L9374" t="s" s="16">
        <f>HYPERLINK("http://csr.bu.edu/ftp/asl/asllvd/demos/verify_start_end_handshape_annotations//test_auto_move//signs_mov_separ_signers/Brady_2739.mov","MOV")</f>
        <v>21</v>
      </c>
      <c r="M9374" t="s" s="10">
        <v>60</v>
      </c>
      <c r="N9374" s="17">
        <v>17</v>
      </c>
      <c r="O9374" s="18">
        <v>1500</v>
      </c>
      <c r="P9374" s="18">
        <v>1556</v>
      </c>
      <c r="Q9374" s="15"/>
      <c r="R9374" t="s" s="16">
        <f>HYPERLINK("http://secrets.rutgers.edu:8080/data/asl-ftp/asllvd/demos/verify_start_end_handshape_annotations//test_auto_move//signs_mov_separ_signers/Brady_2739.mov","MOV")</f>
        <v>21</v>
      </c>
    </row>
    <row r="9375" s="2" customFormat="1" ht="13.5" customHeight="1">
      <c r="B9375" t="s" s="8">
        <v>3453</v>
      </c>
      <c r="C9375" t="s" s="9">
        <v>14</v>
      </c>
      <c r="D9375" t="s" s="8">
        <v>14</v>
      </c>
      <c r="E9375" t="s" s="9">
        <v>14</v>
      </c>
      <c r="F9375" t="s" s="10">
        <v>14</v>
      </c>
      <c r="G9375" t="s" s="11">
        <v>14</v>
      </c>
      <c r="H9375" t="s" s="10">
        <v>14</v>
      </c>
      <c r="I9375" t="s" s="11">
        <v>14</v>
      </c>
      <c r="J9375" t="s" s="11">
        <v>14</v>
      </c>
      <c r="K9375" t="s" s="12">
        <v>14</v>
      </c>
      <c r="L9375" t="s" s="12">
        <v>14</v>
      </c>
      <c r="M9375" t="s" s="10">
        <v>14</v>
      </c>
      <c r="N9375" t="s" s="11">
        <v>14</v>
      </c>
      <c r="O9375" t="s" s="8">
        <v>14</v>
      </c>
      <c r="P9375" t="s" s="8">
        <v>14</v>
      </c>
      <c r="Q9375" t="s" s="12">
        <v>14</v>
      </c>
      <c r="R9375" t="s" s="12">
        <v>14</v>
      </c>
    </row>
    <row r="9376" s="2" customFormat="1" ht="13.5" customHeight="1">
      <c r="B9376" s="13"/>
      <c r="C9376" t="s" s="9">
        <v>16</v>
      </c>
      <c r="D9376" t="s" s="8">
        <v>3453</v>
      </c>
      <c r="E9376" t="s" s="9">
        <v>3454</v>
      </c>
      <c r="F9376" t="s" s="10">
        <v>72</v>
      </c>
      <c r="G9376" s="14"/>
      <c r="H9376" t="s" s="10">
        <v>72</v>
      </c>
      <c r="I9376" s="14"/>
      <c r="J9376" t="s" s="11">
        <v>20</v>
      </c>
      <c r="K9376" t="s" s="16">
        <f>HYPERLINK("http://csr.bu.edu/ftp/asl/asllvd/demos/verify_start_end_handshape_annotations//test_auto_move//signs_mov/2745.mov","MOV")</f>
        <v>21</v>
      </c>
      <c r="L9376" t="s" s="16">
        <f>HYPERLINK("http://csr.bu.edu/ftp/asl/asllvd/demos/verify_start_end_handshape_annotations//test_auto_move//signs_mov_separ_signers/Liz_2745.mov","MOV")</f>
        <v>21</v>
      </c>
      <c r="M9376" t="s" s="10">
        <v>59</v>
      </c>
      <c r="N9376" s="17">
        <v>29</v>
      </c>
      <c r="O9376" s="18">
        <v>2260</v>
      </c>
      <c r="P9376" s="18">
        <v>2301</v>
      </c>
      <c r="Q9376" t="s" s="16">
        <f>HYPERLINK("http://secrets.rutgers.edu:8080/data/asl-ftp/asllvd/demos/verify_start_end_handshape_annotations//test_auto_move//signs_mov/2745.mov","MOV")</f>
        <v>21</v>
      </c>
      <c r="R9376" t="s" s="16">
        <f>HYPERLINK("http://secrets.rutgers.edu:8080/data/asl-ftp/asllvd/demos/verify_start_end_handshape_annotations//test_auto_move//signs_mov_separ_signers/Liz_2745.mov","MOV")</f>
        <v>21</v>
      </c>
    </row>
    <row r="9377" s="2" customFormat="1" ht="13.5" customHeight="1">
      <c r="B9377" s="13"/>
      <c r="C9377" t="s" s="9">
        <v>30</v>
      </c>
      <c r="D9377" t="s" s="8">
        <v>3453</v>
      </c>
      <c r="E9377" t="s" s="9">
        <v>3454</v>
      </c>
      <c r="F9377" t="s" s="10">
        <v>72</v>
      </c>
      <c r="G9377" s="14"/>
      <c r="H9377" t="s" s="10">
        <v>72</v>
      </c>
      <c r="I9377" s="14"/>
      <c r="J9377" t="s" s="11">
        <v>20</v>
      </c>
      <c r="K9377" s="15"/>
      <c r="L9377" t="s" s="16">
        <f>HYPERLINK("http://csr.bu.edu/ftp/asl/asllvd/demos/verify_start_end_handshape_annotations//test_auto_move//signs_mov_separ_signers/Brady_2745.mov","MOV")</f>
        <v>21</v>
      </c>
      <c r="M9377" t="s" s="10">
        <v>60</v>
      </c>
      <c r="N9377" s="17">
        <v>18</v>
      </c>
      <c r="O9377" s="18">
        <v>135</v>
      </c>
      <c r="P9377" s="18">
        <v>194</v>
      </c>
      <c r="Q9377" s="15"/>
      <c r="R9377" t="s" s="16">
        <f>HYPERLINK("http://secrets.rutgers.edu:8080/data/asl-ftp/asllvd/demos/verify_start_end_handshape_annotations//test_auto_move//signs_mov_separ_signers/Brady_2745.mov","MOV")</f>
        <v>21</v>
      </c>
    </row>
    <row r="9378" s="2" customFormat="1" ht="13.5" customHeight="1">
      <c r="B9378" t="s" s="8">
        <v>3455</v>
      </c>
      <c r="C9378" t="s" s="9">
        <v>14</v>
      </c>
      <c r="D9378" t="s" s="8">
        <v>14</v>
      </c>
      <c r="E9378" t="s" s="9">
        <v>14</v>
      </c>
      <c r="F9378" t="s" s="10">
        <v>14</v>
      </c>
      <c r="G9378" t="s" s="11">
        <v>14</v>
      </c>
      <c r="H9378" t="s" s="10">
        <v>14</v>
      </c>
      <c r="I9378" t="s" s="11">
        <v>14</v>
      </c>
      <c r="J9378" t="s" s="11">
        <v>14</v>
      </c>
      <c r="K9378" t="s" s="12">
        <v>14</v>
      </c>
      <c r="L9378" t="s" s="12">
        <v>14</v>
      </c>
      <c r="M9378" t="s" s="10">
        <v>14</v>
      </c>
      <c r="N9378" t="s" s="11">
        <v>14</v>
      </c>
      <c r="O9378" t="s" s="8">
        <v>14</v>
      </c>
      <c r="P9378" t="s" s="8">
        <v>14</v>
      </c>
      <c r="Q9378" t="s" s="12">
        <v>14</v>
      </c>
      <c r="R9378" t="s" s="12">
        <v>14</v>
      </c>
    </row>
    <row r="9379" s="2" customFormat="1" ht="13.5" customHeight="1">
      <c r="B9379" s="13"/>
      <c r="C9379" t="s" s="9">
        <v>16</v>
      </c>
      <c r="D9379" t="s" s="8">
        <v>3455</v>
      </c>
      <c r="E9379" t="s" s="9">
        <v>3455</v>
      </c>
      <c r="F9379" t="s" s="10">
        <v>229</v>
      </c>
      <c r="G9379" s="14"/>
      <c r="H9379" t="s" s="10">
        <v>229</v>
      </c>
      <c r="I9379" s="14"/>
      <c r="J9379" t="s" s="11">
        <v>20</v>
      </c>
      <c r="K9379" t="s" s="16">
        <f>HYPERLINK("http://csr.bu.edu/ftp/asl/asllvd/demos/verify_start_end_handshape_annotations//test_auto_move//signs_mov/2748.mov","MOV")</f>
        <v>21</v>
      </c>
      <c r="L9379" t="s" s="16">
        <f>HYPERLINK("http://csr.bu.edu/ftp/asl/asllvd/demos/verify_start_end_handshape_annotations//test_auto_move//signs_mov_separ_signers/Liz_2748.mov","MOV")</f>
        <v>21</v>
      </c>
      <c r="M9379" t="s" s="10">
        <v>59</v>
      </c>
      <c r="N9379" s="17">
        <v>29</v>
      </c>
      <c r="O9379" s="18">
        <v>3065</v>
      </c>
      <c r="P9379" s="18">
        <v>3118</v>
      </c>
      <c r="Q9379" t="s" s="16">
        <f>HYPERLINK("http://secrets.rutgers.edu:8080/data/asl-ftp/asllvd/demos/verify_start_end_handshape_annotations//test_auto_move//signs_mov/2748.mov","MOV")</f>
        <v>21</v>
      </c>
      <c r="R9379" t="s" s="16">
        <f>HYPERLINK("http://secrets.rutgers.edu:8080/data/asl-ftp/asllvd/demos/verify_start_end_handshape_annotations//test_auto_move//signs_mov_separ_signers/Liz_2748.mov","MOV")</f>
        <v>21</v>
      </c>
    </row>
    <row r="9380" s="2" customFormat="1" ht="13.5" customHeight="1">
      <c r="B9380" s="13"/>
      <c r="C9380" t="s" s="9">
        <v>30</v>
      </c>
      <c r="D9380" t="s" s="8">
        <v>3455</v>
      </c>
      <c r="E9380" t="s" s="9">
        <v>3455</v>
      </c>
      <c r="F9380" t="s" s="10">
        <v>229</v>
      </c>
      <c r="G9380" s="14"/>
      <c r="H9380" t="s" s="10">
        <v>229</v>
      </c>
      <c r="I9380" s="14"/>
      <c r="J9380" t="s" s="11">
        <v>20</v>
      </c>
      <c r="K9380" s="15"/>
      <c r="L9380" t="s" s="16">
        <f>HYPERLINK("http://csr.bu.edu/ftp/asl/asllvd/demos/verify_start_end_handshape_annotations//test_auto_move//signs_mov_separ_signers/Brady_2748.mov","MOV")</f>
        <v>21</v>
      </c>
      <c r="M9380" t="s" s="10">
        <v>60</v>
      </c>
      <c r="N9380" s="17">
        <v>18</v>
      </c>
      <c r="O9380" s="18">
        <v>2556</v>
      </c>
      <c r="P9380" s="18">
        <v>2593</v>
      </c>
      <c r="Q9380" s="15"/>
      <c r="R9380" t="s" s="16">
        <f>HYPERLINK("http://secrets.rutgers.edu:8080/data/asl-ftp/asllvd/demos/verify_start_end_handshape_annotations//test_auto_move//signs_mov_separ_signers/Brady_2748.mov","MOV")</f>
        <v>21</v>
      </c>
    </row>
    <row r="9381" s="2" customFormat="1" ht="13.5" customHeight="1">
      <c r="B9381" t="s" s="8">
        <v>3456</v>
      </c>
      <c r="C9381" t="s" s="9">
        <v>14</v>
      </c>
      <c r="D9381" t="s" s="8">
        <v>14</v>
      </c>
      <c r="E9381" t="s" s="9">
        <v>14</v>
      </c>
      <c r="F9381" t="s" s="10">
        <v>14</v>
      </c>
      <c r="G9381" t="s" s="11">
        <v>14</v>
      </c>
      <c r="H9381" t="s" s="10">
        <v>14</v>
      </c>
      <c r="I9381" t="s" s="11">
        <v>14</v>
      </c>
      <c r="J9381" t="s" s="11">
        <v>14</v>
      </c>
      <c r="K9381" t="s" s="12">
        <v>14</v>
      </c>
      <c r="L9381" t="s" s="12">
        <v>14</v>
      </c>
      <c r="M9381" t="s" s="10">
        <v>14</v>
      </c>
      <c r="N9381" t="s" s="11">
        <v>14</v>
      </c>
      <c r="O9381" t="s" s="8">
        <v>14</v>
      </c>
      <c r="P9381" t="s" s="8">
        <v>14</v>
      </c>
      <c r="Q9381" t="s" s="12">
        <v>14</v>
      </c>
      <c r="R9381" t="s" s="12">
        <v>14</v>
      </c>
    </row>
    <row r="9382" s="2" customFormat="1" ht="13.5" customHeight="1">
      <c r="B9382" s="13"/>
      <c r="C9382" t="s" s="9">
        <v>16</v>
      </c>
      <c r="D9382" t="s" s="8">
        <v>3456</v>
      </c>
      <c r="E9382" t="s" s="9">
        <v>3457</v>
      </c>
      <c r="F9382" t="s" s="10">
        <v>63</v>
      </c>
      <c r="G9382" s="14"/>
      <c r="H9382" t="s" s="10">
        <v>63</v>
      </c>
      <c r="I9382" s="14"/>
      <c r="J9382" t="s" s="11">
        <v>20</v>
      </c>
      <c r="K9382" s="15"/>
      <c r="L9382" t="s" s="16">
        <f>HYPERLINK("http://csr.bu.edu/ftp/asl/asllvd/demos/verify_start_end_handshape_annotations//test_auto_move//signs_mov_separ_signers/Liz_2750.mov","MOV")</f>
        <v>21</v>
      </c>
      <c r="M9382" t="s" s="10">
        <v>59</v>
      </c>
      <c r="N9382" s="17">
        <v>30</v>
      </c>
      <c r="O9382" s="18">
        <v>350</v>
      </c>
      <c r="P9382" s="18">
        <v>440</v>
      </c>
      <c r="Q9382" s="15"/>
      <c r="R9382" t="s" s="16">
        <f>HYPERLINK("http://secrets.rutgers.edu:8080/data/asl-ftp/asllvd/demos/verify_start_end_handshape_annotations//test_auto_move//signs_mov_separ_signers/Liz_2750.mov","MOV")</f>
        <v>21</v>
      </c>
    </row>
    <row r="9383" s="2" customFormat="1" ht="13.5" customHeight="1">
      <c r="B9383" s="13"/>
      <c r="C9383" t="s" s="9">
        <v>30</v>
      </c>
      <c r="D9383" t="s" s="8">
        <v>3456</v>
      </c>
      <c r="E9383" t="s" s="9">
        <v>3458</v>
      </c>
      <c r="F9383" t="s" s="10">
        <v>65</v>
      </c>
      <c r="G9383" s="14"/>
      <c r="H9383" t="s" s="10">
        <v>65</v>
      </c>
      <c r="I9383" s="14"/>
      <c r="J9383" t="s" s="11">
        <v>20</v>
      </c>
      <c r="K9383" t="s" s="16">
        <f>HYPERLINK("http://csr.bu.edu/ftp/asl/asllvd/demos/verify_start_end_handshape_annotations//test_auto_move//signs_mov/2750_5817_merged.mov","MOV")</f>
        <v>21</v>
      </c>
      <c r="L9383" t="s" s="16">
        <f>HYPERLINK("http://csr.bu.edu/ftp/asl/asllvd/demos/verify_start_end_handshape_annotations//test_auto_move//signs_mov_separ_signers/Brady_2750.mov","MOV")</f>
        <v>21</v>
      </c>
      <c r="M9383" t="s" s="10">
        <v>40</v>
      </c>
      <c r="N9383" s="17">
        <v>103</v>
      </c>
      <c r="O9383" s="18">
        <v>2305</v>
      </c>
      <c r="P9383" s="18">
        <v>2361</v>
      </c>
      <c r="Q9383" t="s" s="16">
        <f>HYPERLINK("http://secrets.rutgers.edu:8080/data/asl-ftp/asllvd/demos/verify_start_end_handshape_annotations//test_auto_move//signs_mov/2750_5817_merged.mov","MOV")</f>
        <v>21</v>
      </c>
      <c r="R9383" t="s" s="16">
        <f>HYPERLINK("http://secrets.rutgers.edu:8080/data/asl-ftp/asllvd/demos/verify_start_end_handshape_annotations//test_auto_move//signs_mov_separ_signers/Brady_2750.mov","MOV")</f>
        <v>21</v>
      </c>
    </row>
    <row r="9384" s="2" customFormat="1" ht="13.5" customHeight="1">
      <c r="B9384" s="13"/>
      <c r="C9384" t="s" s="9">
        <v>30</v>
      </c>
      <c r="D9384" t="s" s="8">
        <v>3456</v>
      </c>
      <c r="E9384" t="s" s="9">
        <v>3458</v>
      </c>
      <c r="F9384" t="s" s="10">
        <v>63</v>
      </c>
      <c r="G9384" s="14"/>
      <c r="H9384" t="s" s="10">
        <v>63</v>
      </c>
      <c r="I9384" s="14"/>
      <c r="J9384" t="s" s="11">
        <v>20</v>
      </c>
      <c r="K9384" s="15"/>
      <c r="L9384" t="s" s="16">
        <f>HYPERLINK("http://csr.bu.edu/ftp/asl/asllvd/demos/verify_start_end_handshape_annotations//test_auto_move//signs_mov_separ_signers/Brady_5817.mov","MOV")</f>
        <v>21</v>
      </c>
      <c r="M9384" t="s" s="10">
        <v>60</v>
      </c>
      <c r="N9384" s="17">
        <v>18</v>
      </c>
      <c r="O9384" s="18">
        <v>4339</v>
      </c>
      <c r="P9384" s="18">
        <v>4402</v>
      </c>
      <c r="Q9384" s="15"/>
      <c r="R9384" t="s" s="16">
        <f>HYPERLINK("http://secrets.rutgers.edu:8080/data/asl-ftp/asllvd/demos/verify_start_end_handshape_annotations//test_auto_move//signs_mov_separ_signers/Brady_5817.mov","MOV")</f>
        <v>21</v>
      </c>
    </row>
    <row r="9385" s="2" customFormat="1" ht="13.5" customHeight="1">
      <c r="B9385" t="s" s="8">
        <v>3459</v>
      </c>
      <c r="C9385" t="s" s="9">
        <v>14</v>
      </c>
      <c r="D9385" t="s" s="8">
        <v>14</v>
      </c>
      <c r="E9385" t="s" s="9">
        <v>14</v>
      </c>
      <c r="F9385" t="s" s="10">
        <v>14</v>
      </c>
      <c r="G9385" t="s" s="11">
        <v>14</v>
      </c>
      <c r="H9385" t="s" s="10">
        <v>14</v>
      </c>
      <c r="I9385" t="s" s="11">
        <v>14</v>
      </c>
      <c r="J9385" t="s" s="11">
        <v>14</v>
      </c>
      <c r="K9385" t="s" s="12">
        <v>14</v>
      </c>
      <c r="L9385" t="s" s="12">
        <v>14</v>
      </c>
      <c r="M9385" t="s" s="10">
        <v>14</v>
      </c>
      <c r="N9385" t="s" s="11">
        <v>14</v>
      </c>
      <c r="O9385" t="s" s="8">
        <v>14</v>
      </c>
      <c r="P9385" t="s" s="8">
        <v>14</v>
      </c>
      <c r="Q9385" t="s" s="12">
        <v>14</v>
      </c>
      <c r="R9385" t="s" s="12">
        <v>14</v>
      </c>
    </row>
    <row r="9386" s="2" customFormat="1" ht="13.5" customHeight="1">
      <c r="B9386" s="13"/>
      <c r="C9386" t="s" s="9">
        <v>16</v>
      </c>
      <c r="D9386" t="s" s="8">
        <v>3459</v>
      </c>
      <c r="E9386" t="s" s="9">
        <v>3460</v>
      </c>
      <c r="F9386" t="s" s="10">
        <v>25</v>
      </c>
      <c r="G9386" t="s" s="11">
        <v>25</v>
      </c>
      <c r="H9386" t="s" s="10">
        <v>25</v>
      </c>
      <c r="I9386" t="s" s="11">
        <v>25</v>
      </c>
      <c r="J9386" t="s" s="11">
        <v>20</v>
      </c>
      <c r="K9386" t="s" s="16">
        <f>HYPERLINK("http://csr.bu.edu/ftp/asl/asllvd/demos/verify_start_end_handshape_annotations//test_auto_move//signs_mov/2752.mov","MOV")</f>
        <v>21</v>
      </c>
      <c r="L9386" t="s" s="16">
        <f>HYPERLINK("http://csr.bu.edu/ftp/asl/asllvd/demos/verify_start_end_handshape_annotations//test_auto_move//signs_mov_separ_signers/Liz_2752.mov","MOV")</f>
        <v>21</v>
      </c>
      <c r="M9386" t="s" s="10">
        <v>59</v>
      </c>
      <c r="N9386" s="17">
        <v>30</v>
      </c>
      <c r="O9386" s="18">
        <v>1095</v>
      </c>
      <c r="P9386" s="18">
        <v>1131</v>
      </c>
      <c r="Q9386" t="s" s="16">
        <f>HYPERLINK("http://secrets.rutgers.edu:8080/data/asl-ftp/asllvd/demos/verify_start_end_handshape_annotations//test_auto_move//signs_mov/2752.mov","MOV")</f>
        <v>21</v>
      </c>
      <c r="R9386" t="s" s="16">
        <f>HYPERLINK("http://secrets.rutgers.edu:8080/data/asl-ftp/asllvd/demos/verify_start_end_handshape_annotations//test_auto_move//signs_mov_separ_signers/Liz_2752.mov","MOV")</f>
        <v>21</v>
      </c>
    </row>
    <row r="9387" s="2" customFormat="1" ht="13.5" customHeight="1">
      <c r="B9387" s="13"/>
      <c r="C9387" t="s" s="9">
        <v>30</v>
      </c>
      <c r="D9387" t="s" s="8">
        <v>3459</v>
      </c>
      <c r="E9387" t="s" s="9">
        <v>3461</v>
      </c>
      <c r="F9387" t="s" s="10">
        <v>25</v>
      </c>
      <c r="G9387" t="s" s="11">
        <v>25</v>
      </c>
      <c r="H9387" t="s" s="10">
        <v>25</v>
      </c>
      <c r="I9387" t="s" s="11">
        <v>25</v>
      </c>
      <c r="J9387" t="s" s="11">
        <v>20</v>
      </c>
      <c r="K9387" s="15"/>
      <c r="L9387" t="s" s="16">
        <f>HYPERLINK("http://csr.bu.edu/ftp/asl/asllvd/demos/verify_start_end_handshape_annotations//test_auto_move//signs_mov_separ_signers/Brady_2752.mov","MOV")</f>
        <v>21</v>
      </c>
      <c r="M9387" t="s" s="10">
        <v>60</v>
      </c>
      <c r="N9387" s="17">
        <v>18</v>
      </c>
      <c r="O9387" s="18">
        <v>4606</v>
      </c>
      <c r="P9387" s="18">
        <v>4647</v>
      </c>
      <c r="Q9387" s="15"/>
      <c r="R9387" t="s" s="16">
        <f>HYPERLINK("http://secrets.rutgers.edu:8080/data/asl-ftp/asllvd/demos/verify_start_end_handshape_annotations//test_auto_move//signs_mov_separ_signers/Brady_2752.mov","MOV")</f>
        <v>21</v>
      </c>
    </row>
    <row r="9388" s="2" customFormat="1" ht="13.5" customHeight="1">
      <c r="B9388" t="s" s="8">
        <v>3462</v>
      </c>
      <c r="C9388" t="s" s="9">
        <v>14</v>
      </c>
      <c r="D9388" t="s" s="8">
        <v>14</v>
      </c>
      <c r="E9388" t="s" s="9">
        <v>14</v>
      </c>
      <c r="F9388" t="s" s="10">
        <v>14</v>
      </c>
      <c r="G9388" t="s" s="11">
        <v>14</v>
      </c>
      <c r="H9388" t="s" s="10">
        <v>14</v>
      </c>
      <c r="I9388" t="s" s="11">
        <v>14</v>
      </c>
      <c r="J9388" t="s" s="11">
        <v>14</v>
      </c>
      <c r="K9388" t="s" s="12">
        <v>14</v>
      </c>
      <c r="L9388" t="s" s="12">
        <v>14</v>
      </c>
      <c r="M9388" t="s" s="10">
        <v>14</v>
      </c>
      <c r="N9388" t="s" s="11">
        <v>14</v>
      </c>
      <c r="O9388" t="s" s="8">
        <v>14</v>
      </c>
      <c r="P9388" t="s" s="8">
        <v>14</v>
      </c>
      <c r="Q9388" t="s" s="12">
        <v>14</v>
      </c>
      <c r="R9388" t="s" s="12">
        <v>14</v>
      </c>
    </row>
    <row r="9389" s="2" customFormat="1" ht="13.5" customHeight="1">
      <c r="B9389" s="13"/>
      <c r="C9389" t="s" s="9">
        <v>16</v>
      </c>
      <c r="D9389" t="s" s="8">
        <v>3462</v>
      </c>
      <c r="E9389" t="s" s="9">
        <v>3462</v>
      </c>
      <c r="F9389" t="s" s="10">
        <v>152</v>
      </c>
      <c r="G9389" t="s" s="11">
        <v>152</v>
      </c>
      <c r="H9389" t="s" s="10">
        <v>152</v>
      </c>
      <c r="I9389" t="s" s="11">
        <v>152</v>
      </c>
      <c r="J9389" t="s" s="11">
        <v>20</v>
      </c>
      <c r="K9389" t="s" s="16">
        <f>HYPERLINK("http://csr.bu.edu/ftp/asl/asllvd/demos/verify_start_end_handshape_annotations//test_auto_move//signs_mov/2755.mov","MOV")</f>
        <v>21</v>
      </c>
      <c r="L9389" t="s" s="16">
        <f>HYPERLINK("http://csr.bu.edu/ftp/asl/asllvd/demos/verify_start_end_handshape_annotations//test_auto_move//signs_mov_separ_signers/Liz_2755.mov","MOV")</f>
        <v>21</v>
      </c>
      <c r="M9389" t="s" s="10">
        <v>59</v>
      </c>
      <c r="N9389" s="17">
        <v>30</v>
      </c>
      <c r="O9389" s="18">
        <v>2182</v>
      </c>
      <c r="P9389" s="18">
        <v>2235</v>
      </c>
      <c r="Q9389" t="s" s="16">
        <f>HYPERLINK("http://secrets.rutgers.edu:8080/data/asl-ftp/asllvd/demos/verify_start_end_handshape_annotations//test_auto_move//signs_mov/2755.mov","MOV")</f>
        <v>21</v>
      </c>
      <c r="R9389" t="s" s="16">
        <f>HYPERLINK("http://secrets.rutgers.edu:8080/data/asl-ftp/asllvd/demos/verify_start_end_handshape_annotations//test_auto_move//signs_mov_separ_signers/Liz_2755.mov","MOV")</f>
        <v>21</v>
      </c>
    </row>
    <row r="9390" s="2" customFormat="1" ht="13.5" customHeight="1">
      <c r="B9390" s="13"/>
      <c r="C9390" t="s" s="9">
        <v>30</v>
      </c>
      <c r="D9390" t="s" s="8">
        <v>3462</v>
      </c>
      <c r="E9390" t="s" s="9">
        <v>3462</v>
      </c>
      <c r="F9390" t="s" s="10">
        <v>152</v>
      </c>
      <c r="G9390" t="s" s="11">
        <v>152</v>
      </c>
      <c r="H9390" t="s" s="10">
        <v>152</v>
      </c>
      <c r="I9390" t="s" s="11">
        <v>152</v>
      </c>
      <c r="J9390" t="s" s="11">
        <v>20</v>
      </c>
      <c r="K9390" s="15"/>
      <c r="L9390" t="s" s="16">
        <f>HYPERLINK("http://csr.bu.edu/ftp/asl/asllvd/demos/verify_start_end_handshape_annotations//test_auto_move//signs_mov_separ_signers/Brady_2755.mov","MOV")</f>
        <v>21</v>
      </c>
      <c r="M9390" t="s" s="10">
        <v>60</v>
      </c>
      <c r="N9390" s="17">
        <v>19</v>
      </c>
      <c r="O9390" s="18">
        <v>651</v>
      </c>
      <c r="P9390" s="18">
        <v>687</v>
      </c>
      <c r="Q9390" s="15"/>
      <c r="R9390" t="s" s="16">
        <f>HYPERLINK("http://secrets.rutgers.edu:8080/data/asl-ftp/asllvd/demos/verify_start_end_handshape_annotations//test_auto_move//signs_mov_separ_signers/Brady_2755.mov","MOV")</f>
        <v>21</v>
      </c>
    </row>
    <row r="9391" s="2" customFormat="1" ht="13.5" customHeight="1">
      <c r="B9391" t="s" s="8">
        <v>3463</v>
      </c>
      <c r="C9391" t="s" s="9">
        <v>14</v>
      </c>
      <c r="D9391" t="s" s="8">
        <v>14</v>
      </c>
      <c r="E9391" t="s" s="9">
        <v>14</v>
      </c>
      <c r="F9391" t="s" s="10">
        <v>14</v>
      </c>
      <c r="G9391" t="s" s="11">
        <v>14</v>
      </c>
      <c r="H9391" t="s" s="10">
        <v>14</v>
      </c>
      <c r="I9391" t="s" s="11">
        <v>14</v>
      </c>
      <c r="J9391" t="s" s="11">
        <v>14</v>
      </c>
      <c r="K9391" t="s" s="12">
        <v>14</v>
      </c>
      <c r="L9391" t="s" s="12">
        <v>14</v>
      </c>
      <c r="M9391" t="s" s="10">
        <v>14</v>
      </c>
      <c r="N9391" t="s" s="11">
        <v>14</v>
      </c>
      <c r="O9391" t="s" s="8">
        <v>14</v>
      </c>
      <c r="P9391" t="s" s="8">
        <v>14</v>
      </c>
      <c r="Q9391" t="s" s="12">
        <v>14</v>
      </c>
      <c r="R9391" t="s" s="12">
        <v>14</v>
      </c>
    </row>
    <row r="9392" s="2" customFormat="1" ht="13.5" customHeight="1">
      <c r="B9392" s="13"/>
      <c r="C9392" t="s" s="9">
        <v>16</v>
      </c>
      <c r="D9392" t="s" s="8">
        <v>3463</v>
      </c>
      <c r="E9392" t="s" s="9">
        <v>3464</v>
      </c>
      <c r="F9392" t="s" s="10">
        <v>229</v>
      </c>
      <c r="G9392" t="s" s="11">
        <v>105</v>
      </c>
      <c r="H9392" t="s" s="10">
        <v>229</v>
      </c>
      <c r="I9392" t="s" s="11">
        <v>105</v>
      </c>
      <c r="J9392" t="s" s="11">
        <v>20</v>
      </c>
      <c r="K9392" t="s" s="16">
        <f>HYPERLINK("http://csr.bu.edu/ftp/asl/asllvd/demos/verify_start_end_handshape_annotations//test_auto_move//signs_mov/2756.mov","MOV")</f>
        <v>21</v>
      </c>
      <c r="L9392" t="s" s="16">
        <f>HYPERLINK("http://csr.bu.edu/ftp/asl/asllvd/demos/verify_start_end_handshape_annotations//test_auto_move//signs_mov_separ_signers/Liz_2756.mov","MOV")</f>
        <v>21</v>
      </c>
      <c r="M9392" t="s" s="10">
        <v>59</v>
      </c>
      <c r="N9392" s="17">
        <v>30</v>
      </c>
      <c r="O9392" s="18">
        <v>2595</v>
      </c>
      <c r="P9392" s="18">
        <v>2670</v>
      </c>
      <c r="Q9392" t="s" s="16">
        <f>HYPERLINK("http://secrets.rutgers.edu:8080/data/asl-ftp/asllvd/demos/verify_start_end_handshape_annotations//test_auto_move//signs_mov/2756.mov","MOV")</f>
        <v>21</v>
      </c>
      <c r="R9392" t="s" s="16">
        <f>HYPERLINK("http://secrets.rutgers.edu:8080/data/asl-ftp/asllvd/demos/verify_start_end_handshape_annotations//test_auto_move//signs_mov_separ_signers/Liz_2756.mov","MOV")</f>
        <v>21</v>
      </c>
    </row>
    <row r="9393" s="2" customFormat="1" ht="13.5" customHeight="1">
      <c r="B9393" s="13"/>
      <c r="C9393" t="s" s="9">
        <v>30</v>
      </c>
      <c r="D9393" t="s" s="8">
        <v>3463</v>
      </c>
      <c r="E9393" t="s" s="9">
        <v>3464</v>
      </c>
      <c r="F9393" t="s" s="10">
        <v>229</v>
      </c>
      <c r="G9393" t="s" s="11">
        <v>105</v>
      </c>
      <c r="H9393" t="s" s="10">
        <v>229</v>
      </c>
      <c r="I9393" t="s" s="11">
        <v>105</v>
      </c>
      <c r="J9393" t="s" s="11">
        <v>20</v>
      </c>
      <c r="K9393" s="15"/>
      <c r="L9393" t="s" s="16">
        <f>HYPERLINK("http://csr.bu.edu/ftp/asl/asllvd/demos/verify_start_end_handshape_annotations//test_auto_move//signs_mov_separ_signers/Brady_2756.mov","MOV")</f>
        <v>21</v>
      </c>
      <c r="M9393" t="s" s="10">
        <v>60</v>
      </c>
      <c r="N9393" s="17">
        <v>19</v>
      </c>
      <c r="O9393" s="18">
        <v>887</v>
      </c>
      <c r="P9393" s="18">
        <v>931</v>
      </c>
      <c r="Q9393" s="15"/>
      <c r="R9393" t="s" s="16">
        <f>HYPERLINK("http://secrets.rutgers.edu:8080/data/asl-ftp/asllvd/demos/verify_start_end_handshape_annotations//test_auto_move//signs_mov_separ_signers/Brady_2756.mov","MOV")</f>
        <v>21</v>
      </c>
    </row>
    <row r="9394" s="2" customFormat="1" ht="13.5" customHeight="1">
      <c r="B9394" t="s" s="8">
        <v>52</v>
      </c>
      <c r="C9394" t="s" s="9">
        <v>53</v>
      </c>
      <c r="D9394" t="s" s="8">
        <v>53</v>
      </c>
      <c r="E9394" t="s" s="9">
        <v>53</v>
      </c>
      <c r="F9394" t="s" s="10">
        <v>53</v>
      </c>
      <c r="G9394" t="s" s="11">
        <v>53</v>
      </c>
      <c r="H9394" t="s" s="10">
        <v>53</v>
      </c>
      <c r="I9394" t="s" s="11">
        <v>53</v>
      </c>
      <c r="J9394" t="s" s="11">
        <v>53</v>
      </c>
      <c r="K9394" t="s" s="12">
        <v>53</v>
      </c>
      <c r="L9394" t="s" s="12">
        <v>53</v>
      </c>
      <c r="M9394" t="s" s="10">
        <v>53</v>
      </c>
      <c r="N9394" t="s" s="11">
        <v>53</v>
      </c>
      <c r="O9394" t="s" s="8">
        <v>53</v>
      </c>
      <c r="P9394" t="s" s="8">
        <v>53</v>
      </c>
      <c r="Q9394" t="s" s="12">
        <v>53</v>
      </c>
      <c r="R9394" t="s" s="12">
        <v>53</v>
      </c>
    </row>
    <row r="9395" s="2" customFormat="1" ht="13.5" customHeight="1">
      <c r="B9395" s="13"/>
      <c r="C9395" t="s" s="9">
        <v>16</v>
      </c>
      <c r="D9395" t="s" s="8">
        <v>3463</v>
      </c>
      <c r="E9395" t="s" s="9">
        <v>3465</v>
      </c>
      <c r="F9395" t="s" s="10">
        <v>229</v>
      </c>
      <c r="G9395" s="14"/>
      <c r="H9395" t="s" s="10">
        <v>229</v>
      </c>
      <c r="I9395" s="14"/>
      <c r="J9395" t="s" s="11">
        <v>20</v>
      </c>
      <c r="K9395" t="s" s="16">
        <f>HYPERLINK("http://csr.bu.edu/ftp/asl/asllvd/demos/verify_start_end_handshape_annotations//test_auto_move//signs_mov/3807.mov","MOV")</f>
        <v>21</v>
      </c>
      <c r="L9395" t="s" s="16">
        <f>HYPERLINK("http://csr.bu.edu/ftp/asl/asllvd/demos/verify_start_end_handshape_annotations//test_auto_move//signs_mov_separ_signers/Liz_3807.mov","MOV")</f>
        <v>21</v>
      </c>
      <c r="M9395" t="s" s="10">
        <v>59</v>
      </c>
      <c r="N9395" s="17">
        <v>30</v>
      </c>
      <c r="O9395" s="18">
        <v>2890</v>
      </c>
      <c r="P9395" s="18">
        <v>2927</v>
      </c>
      <c r="Q9395" t="s" s="16">
        <f>HYPERLINK("http://secrets.rutgers.edu:8080/data/asl-ftp/asllvd/demos/verify_start_end_handshape_annotations//test_auto_move//signs_mov/3807.mov","MOV")</f>
        <v>21</v>
      </c>
      <c r="R9395" t="s" s="16">
        <f>HYPERLINK("http://secrets.rutgers.edu:8080/data/asl-ftp/asllvd/demos/verify_start_end_handshape_annotations//test_auto_move//signs_mov_separ_signers/Liz_3807.mov","MOV")</f>
        <v>21</v>
      </c>
    </row>
    <row r="9396" s="2" customFormat="1" ht="13.5" customHeight="1">
      <c r="B9396" s="13"/>
      <c r="C9396" t="s" s="9">
        <v>30</v>
      </c>
      <c r="D9396" t="s" s="8">
        <v>3463</v>
      </c>
      <c r="E9396" t="s" s="9">
        <v>3465</v>
      </c>
      <c r="F9396" t="s" s="10">
        <v>229</v>
      </c>
      <c r="G9396" s="14"/>
      <c r="H9396" t="s" s="10">
        <v>229</v>
      </c>
      <c r="I9396" s="14"/>
      <c r="J9396" t="s" s="11">
        <v>20</v>
      </c>
      <c r="K9396" s="15"/>
      <c r="L9396" t="s" s="16">
        <f>HYPERLINK("http://csr.bu.edu/ftp/asl/asllvd/demos/verify_start_end_handshape_annotations//test_auto_move//signs_mov_separ_signers/Brady_3807.mov","MOV")</f>
        <v>21</v>
      </c>
      <c r="M9396" t="s" s="10">
        <v>60</v>
      </c>
      <c r="N9396" s="17">
        <v>19</v>
      </c>
      <c r="O9396" s="18">
        <v>1130</v>
      </c>
      <c r="P9396" s="18">
        <v>1180</v>
      </c>
      <c r="Q9396" s="15"/>
      <c r="R9396" t="s" s="16">
        <f>HYPERLINK("http://secrets.rutgers.edu:8080/data/asl-ftp/asllvd/demos/verify_start_end_handshape_annotations//test_auto_move//signs_mov_separ_signers/Brady_3807.mov","MOV")</f>
        <v>21</v>
      </c>
    </row>
    <row r="9397" s="2" customFormat="1" ht="13.5" customHeight="1">
      <c r="B9397" t="s" s="8">
        <v>3466</v>
      </c>
      <c r="C9397" t="s" s="9">
        <v>14</v>
      </c>
      <c r="D9397" t="s" s="8">
        <v>14</v>
      </c>
      <c r="E9397" t="s" s="9">
        <v>14</v>
      </c>
      <c r="F9397" t="s" s="10">
        <v>14</v>
      </c>
      <c r="G9397" t="s" s="11">
        <v>14</v>
      </c>
      <c r="H9397" t="s" s="10">
        <v>14</v>
      </c>
      <c r="I9397" t="s" s="11">
        <v>14</v>
      </c>
      <c r="J9397" t="s" s="11">
        <v>14</v>
      </c>
      <c r="K9397" t="s" s="12">
        <v>14</v>
      </c>
      <c r="L9397" t="s" s="12">
        <v>14</v>
      </c>
      <c r="M9397" t="s" s="10">
        <v>14</v>
      </c>
      <c r="N9397" t="s" s="11">
        <v>14</v>
      </c>
      <c r="O9397" t="s" s="8">
        <v>14</v>
      </c>
      <c r="P9397" t="s" s="8">
        <v>14</v>
      </c>
      <c r="Q9397" t="s" s="12">
        <v>14</v>
      </c>
      <c r="R9397" t="s" s="12">
        <v>14</v>
      </c>
    </row>
    <row r="9398" s="2" customFormat="1" ht="13.5" customHeight="1">
      <c r="B9398" s="13"/>
      <c r="C9398" t="s" s="9">
        <v>30</v>
      </c>
      <c r="D9398" t="s" s="8">
        <v>3466</v>
      </c>
      <c r="E9398" t="s" s="9">
        <v>3466</v>
      </c>
      <c r="F9398" s="19">
        <v>1</v>
      </c>
      <c r="G9398" s="17">
        <v>1</v>
      </c>
      <c r="H9398" s="19">
        <v>1</v>
      </c>
      <c r="I9398" s="17">
        <v>1</v>
      </c>
      <c r="J9398" t="s" s="11">
        <v>20</v>
      </c>
      <c r="K9398" t="s" s="16">
        <f>HYPERLINK("http://csr.bu.edu/ftp/asl/asllvd/demos/verify_start_end_handshape_annotations//test_auto_move//signs_mov/2759.mov","MOV")</f>
        <v>21</v>
      </c>
      <c r="L9398" t="s" s="16">
        <f>HYPERLINK("http://csr.bu.edu/ftp/asl/asllvd/demos/verify_start_end_handshape_annotations//test_auto_move//signs_mov_separ_signers/Brady_2759.mov","MOV")</f>
        <v>21</v>
      </c>
      <c r="M9398" t="s" s="10">
        <v>60</v>
      </c>
      <c r="N9398" s="17">
        <v>19</v>
      </c>
      <c r="O9398" s="18">
        <v>1974</v>
      </c>
      <c r="P9398" s="18">
        <v>2022</v>
      </c>
      <c r="Q9398" t="s" s="16">
        <f>HYPERLINK("http://secrets.rutgers.edu:8080/data/asl-ftp/asllvd/demos/verify_start_end_handshape_annotations//test_auto_move//signs_mov/2759.mov","MOV")</f>
        <v>21</v>
      </c>
      <c r="R9398" t="s" s="16">
        <f>HYPERLINK("http://secrets.rutgers.edu:8080/data/asl-ftp/asllvd/demos/verify_start_end_handshape_annotations//test_auto_move//signs_mov_separ_signers/Brady_2759.mov","MOV")</f>
        <v>21</v>
      </c>
    </row>
    <row r="9399" s="2" customFormat="1" ht="13.5" customHeight="1">
      <c r="B9399" t="s" s="8">
        <v>52</v>
      </c>
      <c r="C9399" t="s" s="9">
        <v>53</v>
      </c>
      <c r="D9399" t="s" s="8">
        <v>53</v>
      </c>
      <c r="E9399" t="s" s="9">
        <v>53</v>
      </c>
      <c r="F9399" t="s" s="10">
        <v>53</v>
      </c>
      <c r="G9399" t="s" s="11">
        <v>53</v>
      </c>
      <c r="H9399" t="s" s="10">
        <v>53</v>
      </c>
      <c r="I9399" t="s" s="11">
        <v>53</v>
      </c>
      <c r="J9399" t="s" s="11">
        <v>53</v>
      </c>
      <c r="K9399" t="s" s="12">
        <v>53</v>
      </c>
      <c r="L9399" t="s" s="12">
        <v>53</v>
      </c>
      <c r="M9399" t="s" s="10">
        <v>53</v>
      </c>
      <c r="N9399" t="s" s="11">
        <v>53</v>
      </c>
      <c r="O9399" t="s" s="8">
        <v>53</v>
      </c>
      <c r="P9399" t="s" s="8">
        <v>53</v>
      </c>
      <c r="Q9399" t="s" s="12">
        <v>53</v>
      </c>
      <c r="R9399" t="s" s="12">
        <v>53</v>
      </c>
    </row>
    <row r="9400" s="2" customFormat="1" ht="13.5" customHeight="1">
      <c r="B9400" s="13"/>
      <c r="C9400" t="s" s="9">
        <v>16</v>
      </c>
      <c r="D9400" t="s" s="8">
        <v>3466</v>
      </c>
      <c r="E9400" t="s" s="9">
        <v>3467</v>
      </c>
      <c r="F9400" s="19">
        <v>1</v>
      </c>
      <c r="G9400" s="17">
        <v>1</v>
      </c>
      <c r="H9400" t="s" s="10">
        <v>268</v>
      </c>
      <c r="I9400" t="s" s="11">
        <v>268</v>
      </c>
      <c r="J9400" t="s" s="11">
        <v>20</v>
      </c>
      <c r="K9400" t="s" s="16">
        <f>HYPERLINK("http://csr.bu.edu/ftp/asl/asllvd/demos/verify_start_end_handshape_annotations//test_auto_move//signs_mov/16503.mov","MOV")</f>
        <v>21</v>
      </c>
      <c r="L9400" t="s" s="16">
        <f>HYPERLINK("http://csr.bu.edu/ftp/asl/asllvd/demos/verify_start_end_handshape_annotations//test_auto_move//signs_mov_separ_signers/Liz_16503.mov","MOV")</f>
        <v>21</v>
      </c>
      <c r="M9400" t="s" s="10">
        <v>59</v>
      </c>
      <c r="N9400" s="17">
        <v>30</v>
      </c>
      <c r="O9400" s="18">
        <v>3595</v>
      </c>
      <c r="P9400" s="18">
        <v>3635</v>
      </c>
      <c r="Q9400" t="s" s="16">
        <f>HYPERLINK("http://secrets.rutgers.edu:8080/data/asl-ftp/asllvd/demos/verify_start_end_handshape_annotations//test_auto_move//signs_mov/16503.mov","MOV")</f>
        <v>21</v>
      </c>
      <c r="R9400" t="s" s="16">
        <f>HYPERLINK("http://secrets.rutgers.edu:8080/data/asl-ftp/asllvd/demos/verify_start_end_handshape_annotations//test_auto_move//signs_mov_separ_signers/Liz_16503.mov","MOV")</f>
        <v>21</v>
      </c>
    </row>
    <row r="9401" s="2" customFormat="1" ht="13.5" customHeight="1">
      <c r="B9401" t="s" s="8">
        <v>3468</v>
      </c>
      <c r="C9401" t="s" s="9">
        <v>14</v>
      </c>
      <c r="D9401" t="s" s="8">
        <v>14</v>
      </c>
      <c r="E9401" t="s" s="9">
        <v>14</v>
      </c>
      <c r="F9401" t="s" s="10">
        <v>14</v>
      </c>
      <c r="G9401" t="s" s="11">
        <v>14</v>
      </c>
      <c r="H9401" t="s" s="10">
        <v>14</v>
      </c>
      <c r="I9401" t="s" s="11">
        <v>14</v>
      </c>
      <c r="J9401" t="s" s="11">
        <v>14</v>
      </c>
      <c r="K9401" t="s" s="12">
        <v>14</v>
      </c>
      <c r="L9401" t="s" s="12">
        <v>14</v>
      </c>
      <c r="M9401" t="s" s="10">
        <v>14</v>
      </c>
      <c r="N9401" t="s" s="11">
        <v>14</v>
      </c>
      <c r="O9401" t="s" s="8">
        <v>14</v>
      </c>
      <c r="P9401" t="s" s="8">
        <v>14</v>
      </c>
      <c r="Q9401" t="s" s="12">
        <v>14</v>
      </c>
      <c r="R9401" t="s" s="12">
        <v>14</v>
      </c>
    </row>
    <row r="9402" s="2" customFormat="1" ht="13.5" customHeight="1">
      <c r="B9402" s="13"/>
      <c r="C9402" t="s" s="9">
        <v>16</v>
      </c>
      <c r="D9402" t="s" s="8">
        <v>3468</v>
      </c>
      <c r="E9402" t="s" s="9">
        <v>3468</v>
      </c>
      <c r="F9402" t="s" s="10">
        <v>229</v>
      </c>
      <c r="G9402" s="14"/>
      <c r="H9402" t="s" s="10">
        <v>229</v>
      </c>
      <c r="I9402" s="14"/>
      <c r="J9402" t="s" s="11">
        <v>20</v>
      </c>
      <c r="K9402" t="s" s="16">
        <f>HYPERLINK("http://csr.bu.edu/ftp/asl/asllvd/demos/verify_start_end_handshape_annotations//test_auto_move//signs_mov/2760.mov","MOV")</f>
        <v>21</v>
      </c>
      <c r="L9402" t="s" s="16">
        <f>HYPERLINK("http://csr.bu.edu/ftp/asl/asllvd/demos/verify_start_end_handshape_annotations//test_auto_move//signs_mov_separ_signers/Liz_2760.mov","MOV")</f>
        <v>21</v>
      </c>
      <c r="M9402" t="s" s="10">
        <v>59</v>
      </c>
      <c r="N9402" s="17">
        <v>31</v>
      </c>
      <c r="O9402" s="18">
        <v>335</v>
      </c>
      <c r="P9402" s="18">
        <v>365</v>
      </c>
      <c r="Q9402" t="s" s="16">
        <f>HYPERLINK("http://secrets.rutgers.edu:8080/data/asl-ftp/asllvd/demos/verify_start_end_handshape_annotations//test_auto_move//signs_mov/2760.mov","MOV")</f>
        <v>21</v>
      </c>
      <c r="R9402" t="s" s="16">
        <f>HYPERLINK("http://secrets.rutgers.edu:8080/data/asl-ftp/asllvd/demos/verify_start_end_handshape_annotations//test_auto_move//signs_mov_separ_signers/Liz_2760.mov","MOV")</f>
        <v>21</v>
      </c>
    </row>
    <row r="9403" s="2" customFormat="1" ht="13.5" customHeight="1">
      <c r="B9403" s="13"/>
      <c r="C9403" t="s" s="9">
        <v>30</v>
      </c>
      <c r="D9403" t="s" s="8">
        <v>3468</v>
      </c>
      <c r="E9403" t="s" s="9">
        <v>3468</v>
      </c>
      <c r="F9403" t="s" s="10">
        <v>229</v>
      </c>
      <c r="G9403" s="14"/>
      <c r="H9403" t="s" s="10">
        <v>229</v>
      </c>
      <c r="I9403" s="14"/>
      <c r="J9403" t="s" s="11">
        <v>20</v>
      </c>
      <c r="K9403" s="15"/>
      <c r="L9403" t="s" s="16">
        <f>HYPERLINK("http://csr.bu.edu/ftp/asl/asllvd/demos/verify_start_end_handshape_annotations//test_auto_move//signs_mov_separ_signers/Brady_2760.mov","MOV")</f>
        <v>21</v>
      </c>
      <c r="M9403" t="s" s="10">
        <v>60</v>
      </c>
      <c r="N9403" s="17">
        <v>19</v>
      </c>
      <c r="O9403" s="18">
        <v>2461</v>
      </c>
      <c r="P9403" s="18">
        <v>2495</v>
      </c>
      <c r="Q9403" s="15"/>
      <c r="R9403" t="s" s="16">
        <f>HYPERLINK("http://secrets.rutgers.edu:8080/data/asl-ftp/asllvd/demos/verify_start_end_handshape_annotations//test_auto_move//signs_mov_separ_signers/Brady_2760.mov","MOV")</f>
        <v>21</v>
      </c>
    </row>
    <row r="9404" s="2" customFormat="1" ht="13.5" customHeight="1">
      <c r="B9404" t="s" s="8">
        <v>3469</v>
      </c>
      <c r="C9404" t="s" s="9">
        <v>14</v>
      </c>
      <c r="D9404" t="s" s="8">
        <v>14</v>
      </c>
      <c r="E9404" t="s" s="9">
        <v>14</v>
      </c>
      <c r="F9404" t="s" s="10">
        <v>14</v>
      </c>
      <c r="G9404" t="s" s="11">
        <v>14</v>
      </c>
      <c r="H9404" t="s" s="10">
        <v>14</v>
      </c>
      <c r="I9404" t="s" s="11">
        <v>14</v>
      </c>
      <c r="J9404" t="s" s="11">
        <v>14</v>
      </c>
      <c r="K9404" t="s" s="12">
        <v>14</v>
      </c>
      <c r="L9404" t="s" s="12">
        <v>14</v>
      </c>
      <c r="M9404" t="s" s="10">
        <v>14</v>
      </c>
      <c r="N9404" t="s" s="11">
        <v>14</v>
      </c>
      <c r="O9404" t="s" s="8">
        <v>14</v>
      </c>
      <c r="P9404" t="s" s="8">
        <v>14</v>
      </c>
      <c r="Q9404" t="s" s="12">
        <v>14</v>
      </c>
      <c r="R9404" t="s" s="12">
        <v>14</v>
      </c>
    </row>
    <row r="9405" s="2" customFormat="1" ht="13.5" customHeight="1">
      <c r="B9405" s="13"/>
      <c r="C9405" t="s" s="9">
        <v>16</v>
      </c>
      <c r="D9405" t="s" s="8">
        <v>3469</v>
      </c>
      <c r="E9405" t="s" s="9">
        <v>3470</v>
      </c>
      <c r="F9405" t="s" s="10">
        <v>229</v>
      </c>
      <c r="G9405" s="14"/>
      <c r="H9405" t="s" s="10">
        <v>229</v>
      </c>
      <c r="I9405" s="14"/>
      <c r="J9405" t="s" s="11">
        <v>20</v>
      </c>
      <c r="K9405" t="s" s="16">
        <f>HYPERLINK("http://csr.bu.edu/ftp/asl/asllvd/demos/verify_start_end_handshape_annotations//test_auto_move//signs_mov/15945.mov","MOV")</f>
        <v>21</v>
      </c>
      <c r="L9405" t="s" s="16">
        <f>HYPERLINK("http://csr.bu.edu/ftp/asl/asllvd/demos/verify_start_end_handshape_annotations//test_auto_move//signs_mov_separ_signers/Liz_15945.mov","MOV")</f>
        <v>21</v>
      </c>
      <c r="M9405" t="s" s="10">
        <v>59</v>
      </c>
      <c r="N9405" s="17">
        <v>32</v>
      </c>
      <c r="O9405" s="18">
        <v>1410</v>
      </c>
      <c r="P9405" s="18">
        <v>1455</v>
      </c>
      <c r="Q9405" t="s" s="16">
        <f>HYPERLINK("http://secrets.rutgers.edu:8080/data/asl-ftp/asllvd/demos/verify_start_end_handshape_annotations//test_auto_move//signs_mov/15945.mov","MOV")</f>
        <v>21</v>
      </c>
      <c r="R9405" t="s" s="16">
        <f>HYPERLINK("http://secrets.rutgers.edu:8080/data/asl-ftp/asllvd/demos/verify_start_end_handshape_annotations//test_auto_move//signs_mov_separ_signers/Liz_15945.mov","MOV")</f>
        <v>21</v>
      </c>
    </row>
    <row r="9406" s="2" customFormat="1" ht="13.5" customHeight="1">
      <c r="B9406" t="s" s="8">
        <v>52</v>
      </c>
      <c r="C9406" t="s" s="9">
        <v>53</v>
      </c>
      <c r="D9406" t="s" s="8">
        <v>53</v>
      </c>
      <c r="E9406" t="s" s="9">
        <v>53</v>
      </c>
      <c r="F9406" t="s" s="10">
        <v>53</v>
      </c>
      <c r="G9406" t="s" s="11">
        <v>53</v>
      </c>
      <c r="H9406" t="s" s="10">
        <v>53</v>
      </c>
      <c r="I9406" t="s" s="11">
        <v>53</v>
      </c>
      <c r="J9406" t="s" s="11">
        <v>53</v>
      </c>
      <c r="K9406" t="s" s="12">
        <v>53</v>
      </c>
      <c r="L9406" t="s" s="12">
        <v>53</v>
      </c>
      <c r="M9406" t="s" s="10">
        <v>53</v>
      </c>
      <c r="N9406" t="s" s="11">
        <v>53</v>
      </c>
      <c r="O9406" t="s" s="8">
        <v>53</v>
      </c>
      <c r="P9406" t="s" s="8">
        <v>53</v>
      </c>
      <c r="Q9406" t="s" s="12">
        <v>53</v>
      </c>
      <c r="R9406" t="s" s="12">
        <v>53</v>
      </c>
    </row>
    <row r="9407" s="2" customFormat="1" ht="13.5" customHeight="1">
      <c r="B9407" s="13"/>
      <c r="C9407" t="s" s="9">
        <v>30</v>
      </c>
      <c r="D9407" t="s" s="8">
        <v>3469</v>
      </c>
      <c r="E9407" t="s" s="9">
        <v>3471</v>
      </c>
      <c r="F9407" t="s" s="10">
        <v>229</v>
      </c>
      <c r="G9407" s="14"/>
      <c r="H9407" t="s" s="10">
        <v>229</v>
      </c>
      <c r="I9407" s="14"/>
      <c r="J9407" t="s" s="11">
        <v>20</v>
      </c>
      <c r="K9407" t="s" s="16">
        <f>HYPERLINK("http://csr.bu.edu/ftp/asl/asllvd/demos/verify_start_end_handshape_annotations//test_auto_move//signs_mov/16119.mov","MOV")</f>
        <v>21</v>
      </c>
      <c r="L9407" t="s" s="16">
        <f>HYPERLINK("http://csr.bu.edu/ftp/asl/asllvd/demos/verify_start_end_handshape_annotations//test_auto_move//signs_mov_separ_signers/Brady_16119.mov","MOV")</f>
        <v>21</v>
      </c>
      <c r="M9407" t="s" s="10">
        <v>60</v>
      </c>
      <c r="N9407" s="17">
        <v>20</v>
      </c>
      <c r="O9407" s="18">
        <v>3279</v>
      </c>
      <c r="P9407" s="18">
        <v>3312</v>
      </c>
      <c r="Q9407" t="s" s="16">
        <f>HYPERLINK("http://secrets.rutgers.edu:8080/data/asl-ftp/asllvd/demos/verify_start_end_handshape_annotations//test_auto_move//signs_mov/16119.mov","MOV")</f>
        <v>21</v>
      </c>
      <c r="R9407" t="s" s="16">
        <f>HYPERLINK("http://secrets.rutgers.edu:8080/data/asl-ftp/asllvd/demos/verify_start_end_handshape_annotations//test_auto_move//signs_mov_separ_signers/Brady_16119.mov","MOV")</f>
        <v>21</v>
      </c>
    </row>
    <row r="9408" s="2" customFormat="1" ht="13.5" customHeight="1">
      <c r="B9408" t="s" s="8">
        <v>3472</v>
      </c>
      <c r="C9408" t="s" s="9">
        <v>14</v>
      </c>
      <c r="D9408" t="s" s="8">
        <v>14</v>
      </c>
      <c r="E9408" t="s" s="9">
        <v>14</v>
      </c>
      <c r="F9408" t="s" s="10">
        <v>14</v>
      </c>
      <c r="G9408" t="s" s="11">
        <v>14</v>
      </c>
      <c r="H9408" t="s" s="10">
        <v>14</v>
      </c>
      <c r="I9408" t="s" s="11">
        <v>14</v>
      </c>
      <c r="J9408" t="s" s="11">
        <v>14</v>
      </c>
      <c r="K9408" t="s" s="12">
        <v>14</v>
      </c>
      <c r="L9408" t="s" s="12">
        <v>14</v>
      </c>
      <c r="M9408" t="s" s="10">
        <v>14</v>
      </c>
      <c r="N9408" t="s" s="11">
        <v>14</v>
      </c>
      <c r="O9408" t="s" s="8">
        <v>14</v>
      </c>
      <c r="P9408" t="s" s="8">
        <v>14</v>
      </c>
      <c r="Q9408" t="s" s="12">
        <v>14</v>
      </c>
      <c r="R9408" t="s" s="12">
        <v>14</v>
      </c>
    </row>
    <row r="9409" s="2" customFormat="1" ht="13.5" customHeight="1">
      <c r="B9409" s="13"/>
      <c r="C9409" t="s" s="9">
        <v>16</v>
      </c>
      <c r="D9409" t="s" s="8">
        <v>3472</v>
      </c>
      <c r="E9409" t="s" s="9">
        <v>3472</v>
      </c>
      <c r="F9409" t="s" s="10">
        <v>229</v>
      </c>
      <c r="G9409" t="s" s="11">
        <v>229</v>
      </c>
      <c r="H9409" t="s" s="10">
        <v>229</v>
      </c>
      <c r="I9409" t="s" s="11">
        <v>229</v>
      </c>
      <c r="J9409" t="s" s="11">
        <v>20</v>
      </c>
      <c r="K9409" t="s" s="16">
        <f>HYPERLINK("http://csr.bu.edu/ftp/asl/asllvd/demos/verify_start_end_handshape_annotations//test_auto_move//signs_mov/2764.mov","MOV")</f>
        <v>21</v>
      </c>
      <c r="L9409" t="s" s="16">
        <f>HYPERLINK("http://csr.bu.edu/ftp/asl/asllvd/demos/verify_start_end_handshape_annotations//test_auto_move//signs_mov_separ_signers/Liz_2764.mov","MOV")</f>
        <v>21</v>
      </c>
      <c r="M9409" t="s" s="10">
        <v>59</v>
      </c>
      <c r="N9409" s="17">
        <v>31</v>
      </c>
      <c r="O9409" s="18">
        <v>1790</v>
      </c>
      <c r="P9409" s="18">
        <v>1835</v>
      </c>
      <c r="Q9409" t="s" s="16">
        <f>HYPERLINK("http://secrets.rutgers.edu:8080/data/asl-ftp/asllvd/demos/verify_start_end_handshape_annotations//test_auto_move//signs_mov/2764.mov","MOV")</f>
        <v>21</v>
      </c>
      <c r="R9409" t="s" s="16">
        <f>HYPERLINK("http://secrets.rutgers.edu:8080/data/asl-ftp/asllvd/demos/verify_start_end_handshape_annotations//test_auto_move//signs_mov_separ_signers/Liz_2764.mov","MOV")</f>
        <v>21</v>
      </c>
    </row>
    <row r="9410" s="2" customFormat="1" ht="13.5" customHeight="1">
      <c r="B9410" s="13"/>
      <c r="C9410" t="s" s="9">
        <v>30</v>
      </c>
      <c r="D9410" t="s" s="8">
        <v>3472</v>
      </c>
      <c r="E9410" t="s" s="9">
        <v>3472</v>
      </c>
      <c r="F9410" t="s" s="10">
        <v>229</v>
      </c>
      <c r="G9410" t="s" s="11">
        <v>229</v>
      </c>
      <c r="H9410" t="s" s="10">
        <v>229</v>
      </c>
      <c r="I9410" t="s" s="11">
        <v>229</v>
      </c>
      <c r="J9410" t="s" s="11">
        <v>20</v>
      </c>
      <c r="K9410" s="15"/>
      <c r="L9410" t="s" s="16">
        <f>HYPERLINK("http://csr.bu.edu/ftp/asl/asllvd/demos/verify_start_end_handshape_annotations//test_auto_move//signs_mov_separ_signers/Brady_2764.mov","MOV")</f>
        <v>21</v>
      </c>
      <c r="M9410" t="s" s="10">
        <v>60</v>
      </c>
      <c r="N9410" s="17">
        <v>19</v>
      </c>
      <c r="O9410" s="18">
        <v>2819</v>
      </c>
      <c r="P9410" s="18">
        <v>2833</v>
      </c>
      <c r="Q9410" s="15"/>
      <c r="R9410" t="s" s="16">
        <f>HYPERLINK("http://secrets.rutgers.edu:8080/data/asl-ftp/asllvd/demos/verify_start_end_handshape_annotations//test_auto_move//signs_mov_separ_signers/Brady_2764.mov","MOV")</f>
        <v>21</v>
      </c>
    </row>
    <row r="9411" s="2" customFormat="1" ht="13.5" customHeight="1">
      <c r="B9411" t="s" s="8">
        <v>3473</v>
      </c>
      <c r="C9411" t="s" s="9">
        <v>14</v>
      </c>
      <c r="D9411" t="s" s="8">
        <v>14</v>
      </c>
      <c r="E9411" t="s" s="9">
        <v>14</v>
      </c>
      <c r="F9411" t="s" s="10">
        <v>14</v>
      </c>
      <c r="G9411" t="s" s="11">
        <v>14</v>
      </c>
      <c r="H9411" t="s" s="10">
        <v>14</v>
      </c>
      <c r="I9411" t="s" s="11">
        <v>14</v>
      </c>
      <c r="J9411" t="s" s="11">
        <v>14</v>
      </c>
      <c r="K9411" t="s" s="12">
        <v>14</v>
      </c>
      <c r="L9411" t="s" s="12">
        <v>14</v>
      </c>
      <c r="M9411" t="s" s="10">
        <v>14</v>
      </c>
      <c r="N9411" t="s" s="11">
        <v>14</v>
      </c>
      <c r="O9411" t="s" s="8">
        <v>14</v>
      </c>
      <c r="P9411" t="s" s="8">
        <v>14</v>
      </c>
      <c r="Q9411" t="s" s="12">
        <v>14</v>
      </c>
      <c r="R9411" t="s" s="12">
        <v>14</v>
      </c>
    </row>
    <row r="9412" s="2" customFormat="1" ht="13.5" customHeight="1">
      <c r="B9412" s="13"/>
      <c r="C9412" t="s" s="9">
        <v>16</v>
      </c>
      <c r="D9412" t="s" s="8">
        <v>3473</v>
      </c>
      <c r="E9412" t="s" s="9">
        <v>3473</v>
      </c>
      <c r="F9412" t="s" s="10">
        <v>229</v>
      </c>
      <c r="G9412" s="14"/>
      <c r="H9412" t="s" s="10">
        <v>220</v>
      </c>
      <c r="I9412" s="14"/>
      <c r="J9412" t="s" s="11">
        <v>20</v>
      </c>
      <c r="K9412" t="s" s="16">
        <f>HYPERLINK("http://csr.bu.edu/ftp/asl/asllvd/demos/verify_start_end_handshape_annotations//test_auto_move//signs_mov/2767.mov","MOV")</f>
        <v>21</v>
      </c>
      <c r="L9412" t="s" s="16">
        <f>HYPERLINK("http://csr.bu.edu/ftp/asl/asllvd/demos/verify_start_end_handshape_annotations//test_auto_move//signs_mov_separ_signers/Liz_2767.mov","MOV")</f>
        <v>21</v>
      </c>
      <c r="M9412" t="s" s="10">
        <v>59</v>
      </c>
      <c r="N9412" s="17">
        <v>31</v>
      </c>
      <c r="O9412" s="18">
        <v>2830</v>
      </c>
      <c r="P9412" s="18">
        <v>2878</v>
      </c>
      <c r="Q9412" t="s" s="16">
        <f>HYPERLINK("http://secrets.rutgers.edu:8080/data/asl-ftp/asllvd/demos/verify_start_end_handshape_annotations//test_auto_move//signs_mov/2767.mov","MOV")</f>
        <v>21</v>
      </c>
      <c r="R9412" t="s" s="16">
        <f>HYPERLINK("http://secrets.rutgers.edu:8080/data/asl-ftp/asllvd/demos/verify_start_end_handshape_annotations//test_auto_move//signs_mov_separ_signers/Liz_2767.mov","MOV")</f>
        <v>21</v>
      </c>
    </row>
    <row r="9413" s="2" customFormat="1" ht="13.5" customHeight="1">
      <c r="B9413" s="13"/>
      <c r="C9413" t="s" s="9">
        <v>30</v>
      </c>
      <c r="D9413" t="s" s="8">
        <v>3473</v>
      </c>
      <c r="E9413" t="s" s="9">
        <v>3473</v>
      </c>
      <c r="F9413" t="s" s="10">
        <v>229</v>
      </c>
      <c r="G9413" s="14"/>
      <c r="H9413" t="s" s="10">
        <v>220</v>
      </c>
      <c r="I9413" s="14"/>
      <c r="J9413" t="s" s="11">
        <v>20</v>
      </c>
      <c r="K9413" s="15"/>
      <c r="L9413" t="s" s="16">
        <f>HYPERLINK("http://csr.bu.edu/ftp/asl/asllvd/demos/verify_start_end_handshape_annotations//test_auto_move//signs_mov_separ_signers/Brady_2767.mov","MOV")</f>
        <v>21</v>
      </c>
      <c r="M9413" t="s" s="10">
        <v>60</v>
      </c>
      <c r="N9413" s="17">
        <v>20</v>
      </c>
      <c r="O9413" s="18">
        <v>1828</v>
      </c>
      <c r="P9413" s="18">
        <v>1848</v>
      </c>
      <c r="Q9413" s="15"/>
      <c r="R9413" t="s" s="16">
        <f>HYPERLINK("http://secrets.rutgers.edu:8080/data/asl-ftp/asllvd/demos/verify_start_end_handshape_annotations//test_auto_move//signs_mov_separ_signers/Brady_2767.mov","MOV")</f>
        <v>21</v>
      </c>
    </row>
    <row r="9414" s="2" customFormat="1" ht="13.5" customHeight="1">
      <c r="B9414" t="s" s="8">
        <v>3474</v>
      </c>
      <c r="C9414" t="s" s="9">
        <v>14</v>
      </c>
      <c r="D9414" t="s" s="8">
        <v>14</v>
      </c>
      <c r="E9414" t="s" s="9">
        <v>14</v>
      </c>
      <c r="F9414" t="s" s="10">
        <v>14</v>
      </c>
      <c r="G9414" t="s" s="11">
        <v>14</v>
      </c>
      <c r="H9414" t="s" s="10">
        <v>14</v>
      </c>
      <c r="I9414" t="s" s="11">
        <v>14</v>
      </c>
      <c r="J9414" t="s" s="11">
        <v>14</v>
      </c>
      <c r="K9414" t="s" s="12">
        <v>14</v>
      </c>
      <c r="L9414" t="s" s="12">
        <v>14</v>
      </c>
      <c r="M9414" t="s" s="10">
        <v>14</v>
      </c>
      <c r="N9414" t="s" s="11">
        <v>14</v>
      </c>
      <c r="O9414" t="s" s="8">
        <v>14</v>
      </c>
      <c r="P9414" t="s" s="8">
        <v>14</v>
      </c>
      <c r="Q9414" t="s" s="12">
        <v>14</v>
      </c>
      <c r="R9414" t="s" s="12">
        <v>14</v>
      </c>
    </row>
    <row r="9415" s="2" customFormat="1" ht="13.5" customHeight="1">
      <c r="B9415" s="13"/>
      <c r="C9415" t="s" s="9">
        <v>16</v>
      </c>
      <c r="D9415" t="s" s="8">
        <v>3475</v>
      </c>
      <c r="E9415" t="s" s="9">
        <v>3475</v>
      </c>
      <c r="F9415" s="19">
        <v>3</v>
      </c>
      <c r="G9415" t="s" s="11">
        <v>73</v>
      </c>
      <c r="H9415" t="s" s="10">
        <v>386</v>
      </c>
      <c r="I9415" t="s" s="11">
        <v>73</v>
      </c>
      <c r="J9415" t="s" s="11">
        <v>20</v>
      </c>
      <c r="K9415" t="s" s="16">
        <f>HYPERLINK("http://csr.bu.edu/ftp/asl/asllvd/demos/verify_start_end_handshape_annotations//test_auto_move//signs_mov/2768.mov","MOV")</f>
        <v>21</v>
      </c>
      <c r="L9415" t="s" s="16">
        <f>HYPERLINK("http://csr.bu.edu/ftp/asl/asllvd/demos/verify_start_end_handshape_annotations//test_auto_move//signs_mov_separ_signers/Liz_2768.mov","MOV")</f>
        <v>21</v>
      </c>
      <c r="M9415" t="s" s="10">
        <v>59</v>
      </c>
      <c r="N9415" s="17">
        <v>31</v>
      </c>
      <c r="O9415" s="18">
        <v>3087</v>
      </c>
      <c r="P9415" s="18">
        <v>3121</v>
      </c>
      <c r="Q9415" t="s" s="16">
        <f>HYPERLINK("http://secrets.rutgers.edu:8080/data/asl-ftp/asllvd/demos/verify_start_end_handshape_annotations//test_auto_move//signs_mov/2768.mov","MOV")</f>
        <v>21</v>
      </c>
      <c r="R9415" t="s" s="16">
        <f>HYPERLINK("http://secrets.rutgers.edu:8080/data/asl-ftp/asllvd/demos/verify_start_end_handshape_annotations//test_auto_move//signs_mov_separ_signers/Liz_2768.mov","MOV")</f>
        <v>21</v>
      </c>
    </row>
    <row r="9416" s="2" customFormat="1" ht="13.5" customHeight="1">
      <c r="B9416" s="13"/>
      <c r="C9416" t="s" s="9">
        <v>30</v>
      </c>
      <c r="D9416" t="s" s="8">
        <v>3475</v>
      </c>
      <c r="E9416" t="s" s="9">
        <v>3475</v>
      </c>
      <c r="F9416" t="s" s="10">
        <v>229</v>
      </c>
      <c r="G9416" t="s" s="11">
        <v>73</v>
      </c>
      <c r="H9416" t="s" s="10">
        <v>386</v>
      </c>
      <c r="I9416" t="s" s="11">
        <v>73</v>
      </c>
      <c r="J9416" t="s" s="11">
        <v>20</v>
      </c>
      <c r="K9416" s="15"/>
      <c r="L9416" t="s" s="16">
        <f>HYPERLINK("http://csr.bu.edu/ftp/asl/asllvd/demos/verify_start_end_handshape_annotations//test_auto_move//signs_mov_separ_signers/Brady_2768.mov","MOV")</f>
        <v>21</v>
      </c>
      <c r="M9416" t="s" s="10">
        <v>60</v>
      </c>
      <c r="N9416" s="17">
        <v>20</v>
      </c>
      <c r="O9416" s="18">
        <v>2104</v>
      </c>
      <c r="P9416" s="18">
        <v>2132</v>
      </c>
      <c r="Q9416" s="15"/>
      <c r="R9416" t="s" s="16">
        <f>HYPERLINK("http://secrets.rutgers.edu:8080/data/asl-ftp/asllvd/demos/verify_start_end_handshape_annotations//test_auto_move//signs_mov_separ_signers/Brady_2768.mov","MOV")</f>
        <v>21</v>
      </c>
    </row>
    <row r="9417" s="2" customFormat="1" ht="13.5" customHeight="1">
      <c r="B9417" t="s" s="8">
        <v>3476</v>
      </c>
      <c r="C9417" t="s" s="9">
        <v>14</v>
      </c>
      <c r="D9417" t="s" s="8">
        <v>14</v>
      </c>
      <c r="E9417" t="s" s="9">
        <v>14</v>
      </c>
      <c r="F9417" t="s" s="10">
        <v>14</v>
      </c>
      <c r="G9417" t="s" s="11">
        <v>14</v>
      </c>
      <c r="H9417" t="s" s="10">
        <v>14</v>
      </c>
      <c r="I9417" t="s" s="11">
        <v>14</v>
      </c>
      <c r="J9417" t="s" s="11">
        <v>14</v>
      </c>
      <c r="K9417" t="s" s="12">
        <v>14</v>
      </c>
      <c r="L9417" t="s" s="12">
        <v>14</v>
      </c>
      <c r="M9417" t="s" s="10">
        <v>14</v>
      </c>
      <c r="N9417" t="s" s="11">
        <v>14</v>
      </c>
      <c r="O9417" t="s" s="8">
        <v>14</v>
      </c>
      <c r="P9417" t="s" s="8">
        <v>14</v>
      </c>
      <c r="Q9417" t="s" s="12">
        <v>14</v>
      </c>
      <c r="R9417" t="s" s="12">
        <v>14</v>
      </c>
    </row>
    <row r="9418" s="2" customFormat="1" ht="13.5" customHeight="1">
      <c r="B9418" s="13"/>
      <c r="C9418" t="s" s="9">
        <v>16</v>
      </c>
      <c r="D9418" t="s" s="8">
        <v>3476</v>
      </c>
      <c r="E9418" t="s" s="9">
        <v>3476</v>
      </c>
      <c r="F9418" t="s" s="10">
        <v>229</v>
      </c>
      <c r="G9418" s="14"/>
      <c r="H9418" t="s" s="10">
        <v>386</v>
      </c>
      <c r="I9418" s="14"/>
      <c r="J9418" t="s" s="11">
        <v>20</v>
      </c>
      <c r="K9418" t="s" s="16">
        <f>HYPERLINK("http://csr.bu.edu/ftp/asl/asllvd/demos/verify_start_end_handshape_annotations//test_auto_move//signs_mov/2769.mov","MOV")</f>
        <v>21</v>
      </c>
      <c r="L9418" t="s" s="16">
        <f>HYPERLINK("http://csr.bu.edu/ftp/asl/asllvd/demos/verify_start_end_handshape_annotations//test_auto_move//signs_mov_separ_signers/Liz_2769.mov","MOV")</f>
        <v>21</v>
      </c>
      <c r="M9418" t="s" s="10">
        <v>59</v>
      </c>
      <c r="N9418" s="17">
        <v>32</v>
      </c>
      <c r="O9418" s="18">
        <v>142</v>
      </c>
      <c r="P9418" s="18">
        <v>180</v>
      </c>
      <c r="Q9418" t="s" s="16">
        <f>HYPERLINK("http://secrets.rutgers.edu:8080/data/asl-ftp/asllvd/demos/verify_start_end_handshape_annotations//test_auto_move//signs_mov/2769.mov","MOV")</f>
        <v>21</v>
      </c>
      <c r="R9418" t="s" s="16">
        <f>HYPERLINK("http://secrets.rutgers.edu:8080/data/asl-ftp/asllvd/demos/verify_start_end_handshape_annotations//test_auto_move//signs_mov_separ_signers/Liz_2769.mov","MOV")</f>
        <v>21</v>
      </c>
    </row>
    <row r="9419" s="2" customFormat="1" ht="13.5" customHeight="1">
      <c r="B9419" s="13"/>
      <c r="C9419" t="s" s="9">
        <v>30</v>
      </c>
      <c r="D9419" t="s" s="8">
        <v>3476</v>
      </c>
      <c r="E9419" t="s" s="9">
        <v>3476</v>
      </c>
      <c r="F9419" t="s" s="10">
        <v>229</v>
      </c>
      <c r="G9419" s="14"/>
      <c r="H9419" t="s" s="10">
        <v>20</v>
      </c>
      <c r="I9419" s="14"/>
      <c r="J9419" t="s" s="11">
        <v>20</v>
      </c>
      <c r="K9419" s="15"/>
      <c r="L9419" t="s" s="16">
        <f>HYPERLINK("http://csr.bu.edu/ftp/asl/asllvd/demos/verify_start_end_handshape_annotations//test_auto_move//signs_mov_separ_signers/Brady_2769.mov","MOV")</f>
        <v>21</v>
      </c>
      <c r="M9419" t="s" s="10">
        <v>60</v>
      </c>
      <c r="N9419" s="17">
        <v>20</v>
      </c>
      <c r="O9419" s="18">
        <v>2566</v>
      </c>
      <c r="P9419" s="18">
        <v>2588</v>
      </c>
      <c r="Q9419" s="15"/>
      <c r="R9419" t="s" s="16">
        <f>HYPERLINK("http://secrets.rutgers.edu:8080/data/asl-ftp/asllvd/demos/verify_start_end_handshape_annotations//test_auto_move//signs_mov_separ_signers/Brady_2769.mov","MOV")</f>
        <v>21</v>
      </c>
    </row>
    <row r="9420" s="2" customFormat="1" ht="13.5" customHeight="1">
      <c r="B9420" t="s" s="8">
        <v>3477</v>
      </c>
      <c r="C9420" t="s" s="9">
        <v>14</v>
      </c>
      <c r="D9420" t="s" s="8">
        <v>14</v>
      </c>
      <c r="E9420" t="s" s="9">
        <v>14</v>
      </c>
      <c r="F9420" t="s" s="10">
        <v>14</v>
      </c>
      <c r="G9420" t="s" s="11">
        <v>14</v>
      </c>
      <c r="H9420" t="s" s="10">
        <v>14</v>
      </c>
      <c r="I9420" t="s" s="11">
        <v>14</v>
      </c>
      <c r="J9420" t="s" s="11">
        <v>14</v>
      </c>
      <c r="K9420" t="s" s="12">
        <v>14</v>
      </c>
      <c r="L9420" t="s" s="12">
        <v>14</v>
      </c>
      <c r="M9420" t="s" s="10">
        <v>14</v>
      </c>
      <c r="N9420" t="s" s="11">
        <v>14</v>
      </c>
      <c r="O9420" t="s" s="8">
        <v>14</v>
      </c>
      <c r="P9420" t="s" s="8">
        <v>14</v>
      </c>
      <c r="Q9420" t="s" s="12">
        <v>14</v>
      </c>
      <c r="R9420" t="s" s="12">
        <v>14</v>
      </c>
    </row>
    <row r="9421" s="2" customFormat="1" ht="13.5" customHeight="1">
      <c r="B9421" s="13"/>
      <c r="C9421" t="s" s="9">
        <v>16</v>
      </c>
      <c r="D9421" t="s" s="8">
        <v>3477</v>
      </c>
      <c r="E9421" t="s" s="9">
        <v>3477</v>
      </c>
      <c r="F9421" t="s" s="10">
        <v>282</v>
      </c>
      <c r="G9421" t="s" s="11">
        <v>63</v>
      </c>
      <c r="H9421" t="s" s="10">
        <v>282</v>
      </c>
      <c r="I9421" t="s" s="11">
        <v>63</v>
      </c>
      <c r="J9421" t="s" s="11">
        <v>20</v>
      </c>
      <c r="K9421" t="s" s="16">
        <f>HYPERLINK("http://csr.bu.edu/ftp/asl/asllvd/demos/verify_start_end_handshape_annotations//test_auto_move//signs_mov/2772.mov","MOV")</f>
        <v>21</v>
      </c>
      <c r="L9421" t="s" s="16">
        <f>HYPERLINK("http://csr.bu.edu/ftp/asl/asllvd/demos/verify_start_end_handshape_annotations//test_auto_move//signs_mov_separ_signers/Liz_2772.mov","MOV")</f>
        <v>21</v>
      </c>
      <c r="M9421" t="s" s="10">
        <v>59</v>
      </c>
      <c r="N9421" s="17">
        <v>32</v>
      </c>
      <c r="O9421" s="18">
        <v>1671</v>
      </c>
      <c r="P9421" s="18">
        <v>1740</v>
      </c>
      <c r="Q9421" t="s" s="16">
        <f>HYPERLINK("http://secrets.rutgers.edu:8080/data/asl-ftp/asllvd/demos/verify_start_end_handshape_annotations//test_auto_move//signs_mov/2772.mov","MOV")</f>
        <v>21</v>
      </c>
      <c r="R9421" t="s" s="16">
        <f>HYPERLINK("http://secrets.rutgers.edu:8080/data/asl-ftp/asllvd/demos/verify_start_end_handshape_annotations//test_auto_move//signs_mov_separ_signers/Liz_2772.mov","MOV")</f>
        <v>21</v>
      </c>
    </row>
    <row r="9422" s="2" customFormat="1" ht="13.5" customHeight="1">
      <c r="B9422" s="13"/>
      <c r="C9422" t="s" s="9">
        <v>30</v>
      </c>
      <c r="D9422" t="s" s="8">
        <v>3477</v>
      </c>
      <c r="E9422" t="s" s="9">
        <v>3477</v>
      </c>
      <c r="F9422" t="s" s="10">
        <v>282</v>
      </c>
      <c r="G9422" t="s" s="11">
        <v>63</v>
      </c>
      <c r="H9422" t="s" s="10">
        <v>282</v>
      </c>
      <c r="I9422" t="s" s="11">
        <v>63</v>
      </c>
      <c r="J9422" t="s" s="11">
        <v>20</v>
      </c>
      <c r="K9422" s="15"/>
      <c r="L9422" t="s" s="16">
        <f>HYPERLINK("http://csr.bu.edu/ftp/asl/asllvd/demos/verify_start_end_handshape_annotations//test_auto_move//signs_mov_separ_signers/Brady_2772.mov","MOV")</f>
        <v>21</v>
      </c>
      <c r="M9422" t="s" s="10">
        <v>60</v>
      </c>
      <c r="N9422" s="17">
        <v>20</v>
      </c>
      <c r="O9422" s="18">
        <v>3653</v>
      </c>
      <c r="P9422" s="18">
        <v>3715</v>
      </c>
      <c r="Q9422" s="15"/>
      <c r="R9422" t="s" s="16">
        <f>HYPERLINK("http://secrets.rutgers.edu:8080/data/asl-ftp/asllvd/demos/verify_start_end_handshape_annotations//test_auto_move//signs_mov_separ_signers/Brady_2772.mov","MOV")</f>
        <v>21</v>
      </c>
    </row>
    <row r="9423" s="2" customFormat="1" ht="13.5" customHeight="1">
      <c r="B9423" t="s" s="8">
        <v>3478</v>
      </c>
      <c r="C9423" t="s" s="9">
        <v>14</v>
      </c>
      <c r="D9423" t="s" s="8">
        <v>14</v>
      </c>
      <c r="E9423" t="s" s="9">
        <v>14</v>
      </c>
      <c r="F9423" t="s" s="10">
        <v>14</v>
      </c>
      <c r="G9423" t="s" s="11">
        <v>14</v>
      </c>
      <c r="H9423" t="s" s="10">
        <v>14</v>
      </c>
      <c r="I9423" t="s" s="11">
        <v>14</v>
      </c>
      <c r="J9423" t="s" s="11">
        <v>14</v>
      </c>
      <c r="K9423" t="s" s="12">
        <v>14</v>
      </c>
      <c r="L9423" t="s" s="12">
        <v>14</v>
      </c>
      <c r="M9423" t="s" s="10">
        <v>14</v>
      </c>
      <c r="N9423" t="s" s="11">
        <v>14</v>
      </c>
      <c r="O9423" t="s" s="8">
        <v>14</v>
      </c>
      <c r="P9423" t="s" s="8">
        <v>14</v>
      </c>
      <c r="Q9423" t="s" s="12">
        <v>14</v>
      </c>
      <c r="R9423" t="s" s="12">
        <v>14</v>
      </c>
    </row>
    <row r="9424" s="2" customFormat="1" ht="13.5" customHeight="1">
      <c r="B9424" s="13"/>
      <c r="C9424" t="s" s="9">
        <v>16</v>
      </c>
      <c r="D9424" t="s" s="8">
        <v>3478</v>
      </c>
      <c r="E9424" t="s" s="9">
        <v>3478</v>
      </c>
      <c r="F9424" t="s" s="10">
        <v>229</v>
      </c>
      <c r="G9424" s="14"/>
      <c r="H9424" t="s" s="10">
        <v>229</v>
      </c>
      <c r="I9424" s="14"/>
      <c r="J9424" t="s" s="11">
        <v>20</v>
      </c>
      <c r="K9424" t="s" s="16">
        <f>HYPERLINK("http://csr.bu.edu/ftp/asl/asllvd/demos/verify_start_end_handshape_annotations//test_auto_move//signs_mov/2773.mov","MOV")</f>
        <v>21</v>
      </c>
      <c r="L9424" t="s" s="16">
        <f>HYPERLINK("http://csr.bu.edu/ftp/asl/asllvd/demos/verify_start_end_handshape_annotations//test_auto_move//signs_mov_separ_signers/Liz_2773.mov","MOV")</f>
        <v>21</v>
      </c>
      <c r="M9424" t="s" s="10">
        <v>59</v>
      </c>
      <c r="N9424" s="17">
        <v>32</v>
      </c>
      <c r="O9424" s="18">
        <v>1955</v>
      </c>
      <c r="P9424" s="18">
        <v>1995</v>
      </c>
      <c r="Q9424" t="s" s="16">
        <f>HYPERLINK("http://secrets.rutgers.edu:8080/data/asl-ftp/asllvd/demos/verify_start_end_handshape_annotations//test_auto_move//signs_mov/2773.mov","MOV")</f>
        <v>21</v>
      </c>
      <c r="R9424" t="s" s="16">
        <f>HYPERLINK("http://secrets.rutgers.edu:8080/data/asl-ftp/asllvd/demos/verify_start_end_handshape_annotations//test_auto_move//signs_mov_separ_signers/Liz_2773.mov","MOV")</f>
        <v>21</v>
      </c>
    </row>
    <row r="9425" s="2" customFormat="1" ht="13.5" customHeight="1">
      <c r="B9425" s="13"/>
      <c r="C9425" t="s" s="9">
        <v>30</v>
      </c>
      <c r="D9425" t="s" s="8">
        <v>3478</v>
      </c>
      <c r="E9425" t="s" s="9">
        <v>3478</v>
      </c>
      <c r="F9425" t="s" s="10">
        <v>229</v>
      </c>
      <c r="G9425" s="14"/>
      <c r="H9425" t="s" s="10">
        <v>229</v>
      </c>
      <c r="I9425" s="14"/>
      <c r="J9425" t="s" s="11">
        <v>20</v>
      </c>
      <c r="K9425" s="15"/>
      <c r="L9425" t="s" s="16">
        <f>HYPERLINK("http://csr.bu.edu/ftp/asl/asllvd/demos/verify_start_end_handshape_annotations//test_auto_move//signs_mov_separ_signers/Brady_2773.mov","MOV")</f>
        <v>21</v>
      </c>
      <c r="M9425" t="s" s="10">
        <v>60</v>
      </c>
      <c r="N9425" s="17">
        <v>20</v>
      </c>
      <c r="O9425" s="18">
        <v>3875</v>
      </c>
      <c r="P9425" s="18">
        <v>3897</v>
      </c>
      <c r="Q9425" s="15"/>
      <c r="R9425" t="s" s="16">
        <f>HYPERLINK("http://secrets.rutgers.edu:8080/data/asl-ftp/asllvd/demos/verify_start_end_handshape_annotations//test_auto_move//signs_mov_separ_signers/Brady_2773.mov","MOV")</f>
        <v>21</v>
      </c>
    </row>
    <row r="9426" s="2" customFormat="1" ht="13.5" customHeight="1">
      <c r="B9426" t="s" s="8">
        <v>3479</v>
      </c>
      <c r="C9426" t="s" s="9">
        <v>14</v>
      </c>
      <c r="D9426" t="s" s="8">
        <v>14</v>
      </c>
      <c r="E9426" t="s" s="9">
        <v>14</v>
      </c>
      <c r="F9426" t="s" s="10">
        <v>14</v>
      </c>
      <c r="G9426" t="s" s="11">
        <v>14</v>
      </c>
      <c r="H9426" t="s" s="10">
        <v>14</v>
      </c>
      <c r="I9426" t="s" s="11">
        <v>14</v>
      </c>
      <c r="J9426" t="s" s="11">
        <v>14</v>
      </c>
      <c r="K9426" t="s" s="12">
        <v>14</v>
      </c>
      <c r="L9426" t="s" s="12">
        <v>14</v>
      </c>
      <c r="M9426" t="s" s="10">
        <v>14</v>
      </c>
      <c r="N9426" t="s" s="11">
        <v>14</v>
      </c>
      <c r="O9426" t="s" s="8">
        <v>14</v>
      </c>
      <c r="P9426" t="s" s="8">
        <v>14</v>
      </c>
      <c r="Q9426" t="s" s="12">
        <v>14</v>
      </c>
      <c r="R9426" t="s" s="12">
        <v>14</v>
      </c>
    </row>
    <row r="9427" s="2" customFormat="1" ht="13.5" customHeight="1">
      <c r="B9427" s="13"/>
      <c r="C9427" t="s" s="9">
        <v>16</v>
      </c>
      <c r="D9427" t="s" s="8">
        <v>3479</v>
      </c>
      <c r="E9427" t="s" s="9">
        <v>3479</v>
      </c>
      <c r="F9427" t="s" s="10">
        <v>68</v>
      </c>
      <c r="G9427" t="s" s="11">
        <v>68</v>
      </c>
      <c r="H9427" t="s" s="10">
        <v>72</v>
      </c>
      <c r="I9427" t="s" s="11">
        <v>72</v>
      </c>
      <c r="J9427" t="s" s="11">
        <v>20</v>
      </c>
      <c r="K9427" t="s" s="16">
        <f>HYPERLINK("http://csr.bu.edu/ftp/asl/asllvd/demos/verify_start_end_handshape_annotations//test_auto_move//signs_mov/2774.mov","MOV")</f>
        <v>21</v>
      </c>
      <c r="L9427" t="s" s="16">
        <f>HYPERLINK("http://csr.bu.edu/ftp/asl/asllvd/demos/verify_start_end_handshape_annotations//test_auto_move//signs_mov_separ_signers/Liz_2774.mov","MOV")</f>
        <v>21</v>
      </c>
      <c r="M9427" t="s" s="10">
        <v>59</v>
      </c>
      <c r="N9427" s="17">
        <v>32</v>
      </c>
      <c r="O9427" s="18">
        <v>2210</v>
      </c>
      <c r="P9427" s="18">
        <v>2270</v>
      </c>
      <c r="Q9427" t="s" s="16">
        <f>HYPERLINK("http://secrets.rutgers.edu:8080/data/asl-ftp/asllvd/demos/verify_start_end_handshape_annotations//test_auto_move//signs_mov/2774.mov","MOV")</f>
        <v>21</v>
      </c>
      <c r="R9427" t="s" s="16">
        <f>HYPERLINK("http://secrets.rutgers.edu:8080/data/asl-ftp/asllvd/demos/verify_start_end_handshape_annotations//test_auto_move//signs_mov_separ_signers/Liz_2774.mov","MOV")</f>
        <v>21</v>
      </c>
    </row>
    <row r="9428" s="2" customFormat="1" ht="13.5" customHeight="1">
      <c r="B9428" s="13"/>
      <c r="C9428" t="s" s="9">
        <v>30</v>
      </c>
      <c r="D9428" t="s" s="8">
        <v>3479</v>
      </c>
      <c r="E9428" t="s" s="9">
        <v>3479</v>
      </c>
      <c r="F9428" t="s" s="10">
        <v>68</v>
      </c>
      <c r="G9428" t="s" s="11">
        <v>68</v>
      </c>
      <c r="H9428" s="19">
        <v>5</v>
      </c>
      <c r="I9428" s="17">
        <v>5</v>
      </c>
      <c r="J9428" t="s" s="11">
        <v>20</v>
      </c>
      <c r="K9428" s="15"/>
      <c r="L9428" t="s" s="16">
        <f>HYPERLINK("http://csr.bu.edu/ftp/asl/asllvd/demos/verify_start_end_handshape_annotations//test_auto_move//signs_mov_separ_signers/Brady_2774.mov","MOV")</f>
        <v>21</v>
      </c>
      <c r="M9428" t="s" s="10">
        <v>60</v>
      </c>
      <c r="N9428" s="17">
        <v>20</v>
      </c>
      <c r="O9428" s="18">
        <v>4094</v>
      </c>
      <c r="P9428" s="18">
        <v>4136</v>
      </c>
      <c r="Q9428" s="15"/>
      <c r="R9428" t="s" s="16">
        <f>HYPERLINK("http://secrets.rutgers.edu:8080/data/asl-ftp/asllvd/demos/verify_start_end_handshape_annotations//test_auto_move//signs_mov_separ_signers/Brady_2774.mov","MOV")</f>
        <v>21</v>
      </c>
    </row>
    <row r="9429" s="2" customFormat="1" ht="13.5" customHeight="1">
      <c r="B9429" t="s" s="8">
        <v>3480</v>
      </c>
      <c r="C9429" t="s" s="9">
        <v>14</v>
      </c>
      <c r="D9429" t="s" s="8">
        <v>14</v>
      </c>
      <c r="E9429" t="s" s="9">
        <v>14</v>
      </c>
      <c r="F9429" t="s" s="10">
        <v>14</v>
      </c>
      <c r="G9429" t="s" s="11">
        <v>14</v>
      </c>
      <c r="H9429" t="s" s="10">
        <v>14</v>
      </c>
      <c r="I9429" t="s" s="11">
        <v>14</v>
      </c>
      <c r="J9429" t="s" s="11">
        <v>14</v>
      </c>
      <c r="K9429" t="s" s="12">
        <v>14</v>
      </c>
      <c r="L9429" t="s" s="12">
        <v>14</v>
      </c>
      <c r="M9429" t="s" s="10">
        <v>14</v>
      </c>
      <c r="N9429" t="s" s="11">
        <v>14</v>
      </c>
      <c r="O9429" t="s" s="8">
        <v>14</v>
      </c>
      <c r="P9429" t="s" s="8">
        <v>14</v>
      </c>
      <c r="Q9429" t="s" s="12">
        <v>14</v>
      </c>
      <c r="R9429" t="s" s="12">
        <v>14</v>
      </c>
    </row>
    <row r="9430" s="2" customFormat="1" ht="13.5" customHeight="1">
      <c r="B9430" s="13"/>
      <c r="C9430" t="s" s="9">
        <v>16</v>
      </c>
      <c r="D9430" t="s" s="8">
        <v>3481</v>
      </c>
      <c r="E9430" t="s" s="9">
        <v>3481</v>
      </c>
      <c r="F9430" t="s" s="10">
        <v>229</v>
      </c>
      <c r="G9430" t="s" s="11">
        <v>229</v>
      </c>
      <c r="H9430" t="s" s="10">
        <v>229</v>
      </c>
      <c r="I9430" t="s" s="11">
        <v>229</v>
      </c>
      <c r="J9430" t="s" s="11">
        <v>20</v>
      </c>
      <c r="K9430" t="s" s="16">
        <f>HYPERLINK("http://csr.bu.edu/ftp/asl/asllvd/demos/verify_start_end_handshape_annotations//test_auto_move//signs_mov/2775.mov","MOV")</f>
        <v>21</v>
      </c>
      <c r="L9430" t="s" s="16">
        <f>HYPERLINK("http://csr.bu.edu/ftp/asl/asllvd/demos/verify_start_end_handshape_annotations//test_auto_move//signs_mov_separ_signers/Liz_2775.mov","MOV")</f>
        <v>21</v>
      </c>
      <c r="M9430" t="s" s="10">
        <v>59</v>
      </c>
      <c r="N9430" s="17">
        <v>32</v>
      </c>
      <c r="O9430" s="18">
        <v>2456</v>
      </c>
      <c r="P9430" s="18">
        <v>2505</v>
      </c>
      <c r="Q9430" t="s" s="16">
        <f>HYPERLINK("http://secrets.rutgers.edu:8080/data/asl-ftp/asllvd/demos/verify_start_end_handshape_annotations//test_auto_move//signs_mov/2775.mov","MOV")</f>
        <v>21</v>
      </c>
      <c r="R9430" t="s" s="16">
        <f>HYPERLINK("http://secrets.rutgers.edu:8080/data/asl-ftp/asllvd/demos/verify_start_end_handshape_annotations//test_auto_move//signs_mov_separ_signers/Liz_2775.mov","MOV")</f>
        <v>21</v>
      </c>
    </row>
    <row r="9431" s="2" customFormat="1" ht="13.5" customHeight="1">
      <c r="B9431" s="13"/>
      <c r="C9431" t="s" s="9">
        <v>30</v>
      </c>
      <c r="D9431" t="s" s="8">
        <v>3481</v>
      </c>
      <c r="E9431" t="s" s="9">
        <v>3481</v>
      </c>
      <c r="F9431" t="s" s="10">
        <v>229</v>
      </c>
      <c r="G9431" t="s" s="11">
        <v>229</v>
      </c>
      <c r="H9431" t="s" s="10">
        <v>229</v>
      </c>
      <c r="I9431" t="s" s="11">
        <v>229</v>
      </c>
      <c r="J9431" t="s" s="11">
        <v>20</v>
      </c>
      <c r="K9431" s="15"/>
      <c r="L9431" t="s" s="16">
        <f>HYPERLINK("http://csr.bu.edu/ftp/asl/asllvd/demos/verify_start_end_handshape_annotations//test_auto_move//signs_mov_separ_signers/Brady_2775.mov","MOV")</f>
        <v>21</v>
      </c>
      <c r="M9431" t="s" s="10">
        <v>60</v>
      </c>
      <c r="N9431" s="17">
        <v>20</v>
      </c>
      <c r="O9431" s="18">
        <v>4332</v>
      </c>
      <c r="P9431" s="18">
        <v>4361</v>
      </c>
      <c r="Q9431" s="15"/>
      <c r="R9431" t="s" s="16">
        <f>HYPERLINK("http://secrets.rutgers.edu:8080/data/asl-ftp/asllvd/demos/verify_start_end_handshape_annotations//test_auto_move//signs_mov_separ_signers/Brady_2775.mov","MOV")</f>
        <v>21</v>
      </c>
    </row>
    <row r="9432" s="2" customFormat="1" ht="13.5" customHeight="1">
      <c r="B9432" t="s" s="8">
        <v>3482</v>
      </c>
      <c r="C9432" t="s" s="9">
        <v>14</v>
      </c>
      <c r="D9432" t="s" s="8">
        <v>14</v>
      </c>
      <c r="E9432" t="s" s="9">
        <v>14</v>
      </c>
      <c r="F9432" t="s" s="10">
        <v>14</v>
      </c>
      <c r="G9432" t="s" s="11">
        <v>14</v>
      </c>
      <c r="H9432" t="s" s="10">
        <v>14</v>
      </c>
      <c r="I9432" t="s" s="11">
        <v>14</v>
      </c>
      <c r="J9432" t="s" s="11">
        <v>14</v>
      </c>
      <c r="K9432" t="s" s="12">
        <v>14</v>
      </c>
      <c r="L9432" t="s" s="12">
        <v>14</v>
      </c>
      <c r="M9432" t="s" s="10">
        <v>14</v>
      </c>
      <c r="N9432" t="s" s="11">
        <v>14</v>
      </c>
      <c r="O9432" t="s" s="8">
        <v>14</v>
      </c>
      <c r="P9432" t="s" s="8">
        <v>14</v>
      </c>
      <c r="Q9432" t="s" s="12">
        <v>14</v>
      </c>
      <c r="R9432" t="s" s="12">
        <v>14</v>
      </c>
    </row>
    <row r="9433" s="2" customFormat="1" ht="13.5" customHeight="1">
      <c r="B9433" s="13"/>
      <c r="C9433" t="s" s="9">
        <v>16</v>
      </c>
      <c r="D9433" t="s" s="8">
        <v>3482</v>
      </c>
      <c r="E9433" t="s" s="9">
        <v>3483</v>
      </c>
      <c r="F9433" t="s" s="10">
        <v>229</v>
      </c>
      <c r="G9433" s="17">
        <v>1</v>
      </c>
      <c r="H9433" t="s" s="10">
        <v>229</v>
      </c>
      <c r="I9433" s="17">
        <v>1</v>
      </c>
      <c r="J9433" t="s" s="11">
        <v>20</v>
      </c>
      <c r="K9433" t="s" s="16">
        <f>HYPERLINK("http://csr.bu.edu/ftp/asl/asllvd/demos/verify_start_end_handshape_annotations//test_auto_move//signs_mov/2777.mov","MOV")</f>
        <v>21</v>
      </c>
      <c r="L9433" t="s" s="16">
        <f>HYPERLINK("http://csr.bu.edu/ftp/asl/asllvd/demos/verify_start_end_handshape_annotations//test_auto_move//signs_mov_separ_signers/Liz_2777.mov","MOV")</f>
        <v>21</v>
      </c>
      <c r="M9433" t="s" s="10">
        <v>59</v>
      </c>
      <c r="N9433" s="17">
        <v>32</v>
      </c>
      <c r="O9433" s="18">
        <v>3080</v>
      </c>
      <c r="P9433" s="18">
        <v>3125</v>
      </c>
      <c r="Q9433" t="s" s="16">
        <f>HYPERLINK("http://secrets.rutgers.edu:8080/data/asl-ftp/asllvd/demos/verify_start_end_handshape_annotations//test_auto_move//signs_mov/2777.mov","MOV")</f>
        <v>21</v>
      </c>
      <c r="R9433" t="s" s="16">
        <f>HYPERLINK("http://secrets.rutgers.edu:8080/data/asl-ftp/asllvd/demos/verify_start_end_handshape_annotations//test_auto_move//signs_mov_separ_signers/Liz_2777.mov","MOV")</f>
        <v>21</v>
      </c>
    </row>
    <row r="9434" s="2" customFormat="1" ht="13.5" customHeight="1">
      <c r="B9434" t="s" s="8">
        <v>52</v>
      </c>
      <c r="C9434" t="s" s="9">
        <v>53</v>
      </c>
      <c r="D9434" t="s" s="8">
        <v>53</v>
      </c>
      <c r="E9434" t="s" s="9">
        <v>53</v>
      </c>
      <c r="F9434" t="s" s="10">
        <v>53</v>
      </c>
      <c r="G9434" t="s" s="11">
        <v>53</v>
      </c>
      <c r="H9434" t="s" s="10">
        <v>53</v>
      </c>
      <c r="I9434" t="s" s="11">
        <v>53</v>
      </c>
      <c r="J9434" t="s" s="11">
        <v>53</v>
      </c>
      <c r="K9434" t="s" s="12">
        <v>53</v>
      </c>
      <c r="L9434" t="s" s="12">
        <v>53</v>
      </c>
      <c r="M9434" t="s" s="10">
        <v>53</v>
      </c>
      <c r="N9434" t="s" s="11">
        <v>53</v>
      </c>
      <c r="O9434" t="s" s="8">
        <v>53</v>
      </c>
      <c r="P9434" t="s" s="8">
        <v>53</v>
      </c>
      <c r="Q9434" t="s" s="12">
        <v>53</v>
      </c>
      <c r="R9434" t="s" s="12">
        <v>53</v>
      </c>
    </row>
    <row r="9435" s="2" customFormat="1" ht="13.5" customHeight="1">
      <c r="B9435" s="13"/>
      <c r="C9435" t="s" s="9">
        <v>30</v>
      </c>
      <c r="D9435" t="s" s="8">
        <v>3482</v>
      </c>
      <c r="E9435" t="s" s="9">
        <v>3484</v>
      </c>
      <c r="F9435" t="s" s="10">
        <v>229</v>
      </c>
      <c r="G9435" t="s" s="11">
        <v>229</v>
      </c>
      <c r="H9435" t="s" s="10">
        <v>229</v>
      </c>
      <c r="I9435" t="s" s="11">
        <v>229</v>
      </c>
      <c r="J9435" t="s" s="11">
        <v>20</v>
      </c>
      <c r="K9435" t="s" s="16">
        <f>HYPERLINK("http://csr.bu.edu/ftp/asl/asllvd/demos/verify_start_end_handshape_annotations//test_auto_move//signs_mov/16504.mov","MOV")</f>
        <v>21</v>
      </c>
      <c r="L9435" t="s" s="16">
        <f>HYPERLINK("http://csr.bu.edu/ftp/asl/asllvd/demos/verify_start_end_handshape_annotations//test_auto_move//signs_mov_separ_signers/Brady_16504.mov","MOV")</f>
        <v>21</v>
      </c>
      <c r="M9435" t="s" s="10">
        <v>60</v>
      </c>
      <c r="N9435" s="17">
        <v>21</v>
      </c>
      <c r="O9435" s="18">
        <v>851</v>
      </c>
      <c r="P9435" s="18">
        <v>884</v>
      </c>
      <c r="Q9435" t="s" s="16">
        <f>HYPERLINK("http://secrets.rutgers.edu:8080/data/asl-ftp/asllvd/demos/verify_start_end_handshape_annotations//test_auto_move//signs_mov/16504.mov","MOV")</f>
        <v>21</v>
      </c>
      <c r="R9435" t="s" s="16">
        <f>HYPERLINK("http://secrets.rutgers.edu:8080/data/asl-ftp/asllvd/demos/verify_start_end_handshape_annotations//test_auto_move//signs_mov_separ_signers/Brady_16504.mov","MOV")</f>
        <v>21</v>
      </c>
    </row>
    <row r="9436" s="2" customFormat="1" ht="13.5" customHeight="1">
      <c r="B9436" t="s" s="8">
        <v>3485</v>
      </c>
      <c r="C9436" t="s" s="9">
        <v>14</v>
      </c>
      <c r="D9436" t="s" s="8">
        <v>14</v>
      </c>
      <c r="E9436" t="s" s="9">
        <v>14</v>
      </c>
      <c r="F9436" t="s" s="10">
        <v>14</v>
      </c>
      <c r="G9436" t="s" s="11">
        <v>14</v>
      </c>
      <c r="H9436" t="s" s="10">
        <v>14</v>
      </c>
      <c r="I9436" t="s" s="11">
        <v>14</v>
      </c>
      <c r="J9436" t="s" s="11">
        <v>14</v>
      </c>
      <c r="K9436" t="s" s="12">
        <v>14</v>
      </c>
      <c r="L9436" t="s" s="12">
        <v>14</v>
      </c>
      <c r="M9436" t="s" s="10">
        <v>14</v>
      </c>
      <c r="N9436" t="s" s="11">
        <v>14</v>
      </c>
      <c r="O9436" t="s" s="8">
        <v>14</v>
      </c>
      <c r="P9436" t="s" s="8">
        <v>14</v>
      </c>
      <c r="Q9436" t="s" s="12">
        <v>14</v>
      </c>
      <c r="R9436" t="s" s="12">
        <v>14</v>
      </c>
    </row>
    <row r="9437" s="2" customFormat="1" ht="13.5" customHeight="1">
      <c r="B9437" s="13"/>
      <c r="C9437" t="s" s="9">
        <v>30</v>
      </c>
      <c r="D9437" t="s" s="8">
        <v>3485</v>
      </c>
      <c r="E9437" t="s" s="9">
        <v>3486</v>
      </c>
      <c r="F9437" t="s" s="10">
        <v>277</v>
      </c>
      <c r="G9437" s="14"/>
      <c r="H9437" t="s" s="10">
        <v>430</v>
      </c>
      <c r="I9437" s="14"/>
      <c r="J9437" t="s" s="11">
        <v>20</v>
      </c>
      <c r="K9437" t="s" s="16">
        <f>HYPERLINK("http://csr.bu.edu/ftp/asl/asllvd/demos/verify_start_end_handshape_annotations//test_auto_move//signs_mov/2779.mov","MOV")</f>
        <v>21</v>
      </c>
      <c r="L9437" t="s" s="16">
        <f>HYPERLINK("http://csr.bu.edu/ftp/asl/asllvd/demos/verify_start_end_handshape_annotations//test_auto_move//signs_mov_separ_signers/Brady_2779.mov","MOV")</f>
        <v>21</v>
      </c>
      <c r="M9437" t="s" s="10">
        <v>60</v>
      </c>
      <c r="N9437" s="17">
        <v>21</v>
      </c>
      <c r="O9437" s="18">
        <v>1271</v>
      </c>
      <c r="P9437" s="18">
        <v>1325</v>
      </c>
      <c r="Q9437" t="s" s="16">
        <f>HYPERLINK("http://secrets.rutgers.edu:8080/data/asl-ftp/asllvd/demos/verify_start_end_handshape_annotations//test_auto_move//signs_mov/2779.mov","MOV")</f>
        <v>21</v>
      </c>
      <c r="R9437" t="s" s="16">
        <f>HYPERLINK("http://secrets.rutgers.edu:8080/data/asl-ftp/asllvd/demos/verify_start_end_handshape_annotations//test_auto_move//signs_mov_separ_signers/Brady_2779.mov","MOV")</f>
        <v>21</v>
      </c>
    </row>
    <row r="9438" s="2" customFormat="1" ht="13.5" customHeight="1">
      <c r="B9438" t="s" s="8">
        <v>52</v>
      </c>
      <c r="C9438" t="s" s="9">
        <v>53</v>
      </c>
      <c r="D9438" t="s" s="8">
        <v>53</v>
      </c>
      <c r="E9438" t="s" s="9">
        <v>53</v>
      </c>
      <c r="F9438" t="s" s="10">
        <v>53</v>
      </c>
      <c r="G9438" t="s" s="11">
        <v>53</v>
      </c>
      <c r="H9438" t="s" s="10">
        <v>53</v>
      </c>
      <c r="I9438" t="s" s="11">
        <v>53</v>
      </c>
      <c r="J9438" t="s" s="11">
        <v>53</v>
      </c>
      <c r="K9438" t="s" s="12">
        <v>53</v>
      </c>
      <c r="L9438" t="s" s="12">
        <v>53</v>
      </c>
      <c r="M9438" t="s" s="10">
        <v>53</v>
      </c>
      <c r="N9438" t="s" s="11">
        <v>53</v>
      </c>
      <c r="O9438" t="s" s="8">
        <v>53</v>
      </c>
      <c r="P9438" t="s" s="8">
        <v>53</v>
      </c>
      <c r="Q9438" t="s" s="12">
        <v>53</v>
      </c>
      <c r="R9438" t="s" s="12">
        <v>53</v>
      </c>
    </row>
    <row r="9439" s="2" customFormat="1" ht="13.5" customHeight="1">
      <c r="B9439" s="13"/>
      <c r="C9439" t="s" s="9">
        <v>16</v>
      </c>
      <c r="D9439" t="s" s="8">
        <v>3485</v>
      </c>
      <c r="E9439" t="s" s="9">
        <v>3487</v>
      </c>
      <c r="F9439" t="s" s="10">
        <v>593</v>
      </c>
      <c r="G9439" s="14"/>
      <c r="H9439" t="s" s="10">
        <v>437</v>
      </c>
      <c r="I9439" s="14"/>
      <c r="J9439" t="s" s="11">
        <v>20</v>
      </c>
      <c r="K9439" t="s" s="16">
        <f>HYPERLINK("http://csr.bu.edu/ftp/asl/asllvd/demos/verify_start_end_handshape_annotations//test_auto_move//signs_mov/3809.mov","MOV")</f>
        <v>21</v>
      </c>
      <c r="L9439" t="s" s="16">
        <f>HYPERLINK("http://csr.bu.edu/ftp/asl/asllvd/demos/verify_start_end_handshape_annotations//test_auto_move//signs_mov_separ_signers/Liz_3809.mov","MOV")</f>
        <v>21</v>
      </c>
      <c r="M9439" t="s" s="10">
        <v>59</v>
      </c>
      <c r="N9439" s="17">
        <v>33</v>
      </c>
      <c r="O9439" s="18">
        <v>425</v>
      </c>
      <c r="P9439" s="18">
        <v>461</v>
      </c>
      <c r="Q9439" t="s" s="16">
        <f>HYPERLINK("http://secrets.rutgers.edu:8080/data/asl-ftp/asllvd/demos/verify_start_end_handshape_annotations//test_auto_move//signs_mov/3809.mov","MOV")</f>
        <v>21</v>
      </c>
      <c r="R9439" t="s" s="16">
        <f>HYPERLINK("http://secrets.rutgers.edu:8080/data/asl-ftp/asllvd/demos/verify_start_end_handshape_annotations//test_auto_move//signs_mov_separ_signers/Liz_3809.mov","MOV")</f>
        <v>21</v>
      </c>
    </row>
    <row r="9440" s="2" customFormat="1" ht="13.5" customHeight="1">
      <c r="B9440" t="s" s="8">
        <v>52</v>
      </c>
      <c r="C9440" t="s" s="9">
        <v>53</v>
      </c>
      <c r="D9440" t="s" s="8">
        <v>53</v>
      </c>
      <c r="E9440" t="s" s="9">
        <v>53</v>
      </c>
      <c r="F9440" t="s" s="10">
        <v>53</v>
      </c>
      <c r="G9440" t="s" s="11">
        <v>53</v>
      </c>
      <c r="H9440" t="s" s="10">
        <v>53</v>
      </c>
      <c r="I9440" t="s" s="11">
        <v>53</v>
      </c>
      <c r="J9440" t="s" s="11">
        <v>53</v>
      </c>
      <c r="K9440" t="s" s="12">
        <v>53</v>
      </c>
      <c r="L9440" t="s" s="12">
        <v>53</v>
      </c>
      <c r="M9440" t="s" s="10">
        <v>53</v>
      </c>
      <c r="N9440" t="s" s="11">
        <v>53</v>
      </c>
      <c r="O9440" t="s" s="8">
        <v>53</v>
      </c>
      <c r="P9440" t="s" s="8">
        <v>53</v>
      </c>
      <c r="Q9440" t="s" s="12">
        <v>53</v>
      </c>
      <c r="R9440" t="s" s="12">
        <v>53</v>
      </c>
    </row>
    <row r="9441" s="2" customFormat="1" ht="13.5" customHeight="1">
      <c r="B9441" s="13"/>
      <c r="C9441" t="s" s="9">
        <v>16</v>
      </c>
      <c r="D9441" t="s" s="8">
        <v>3485</v>
      </c>
      <c r="E9441" t="s" s="9">
        <v>3488</v>
      </c>
      <c r="F9441" t="s" s="10">
        <v>229</v>
      </c>
      <c r="G9441" s="14"/>
      <c r="H9441" t="s" s="10">
        <v>229</v>
      </c>
      <c r="I9441" s="14"/>
      <c r="J9441" t="s" s="11">
        <v>20</v>
      </c>
      <c r="K9441" t="s" s="16">
        <f>HYPERLINK("http://csr.bu.edu/ftp/asl/asllvd/demos/verify_start_end_handshape_annotations//test_auto_move//signs_mov/16505.mov","MOV")</f>
        <v>21</v>
      </c>
      <c r="L9441" t="s" s="16">
        <f>HYPERLINK("http://csr.bu.edu/ftp/asl/asllvd/demos/verify_start_end_handshape_annotations//test_auto_move//signs_mov_separ_signers/Liz_16505.mov","MOV")</f>
        <v>21</v>
      </c>
      <c r="M9441" t="s" s="10">
        <v>59</v>
      </c>
      <c r="N9441" s="17">
        <v>32</v>
      </c>
      <c r="O9441" s="18">
        <v>4416</v>
      </c>
      <c r="P9441" s="18">
        <v>4465</v>
      </c>
      <c r="Q9441" t="s" s="16">
        <f>HYPERLINK("http://secrets.rutgers.edu:8080/data/asl-ftp/asllvd/demos/verify_start_end_handshape_annotations//test_auto_move//signs_mov/16505.mov","MOV")</f>
        <v>21</v>
      </c>
      <c r="R9441" t="s" s="16">
        <f>HYPERLINK("http://secrets.rutgers.edu:8080/data/asl-ftp/asllvd/demos/verify_start_end_handshape_annotations//test_auto_move//signs_mov_separ_signers/Liz_16505.mov","MOV")</f>
        <v>21</v>
      </c>
    </row>
    <row r="9442" s="2" customFormat="1" ht="13.5" customHeight="1">
      <c r="B9442" t="s" s="8">
        <v>3489</v>
      </c>
      <c r="C9442" t="s" s="9">
        <v>14</v>
      </c>
      <c r="D9442" t="s" s="8">
        <v>14</v>
      </c>
      <c r="E9442" t="s" s="9">
        <v>14</v>
      </c>
      <c r="F9442" t="s" s="10">
        <v>14</v>
      </c>
      <c r="G9442" t="s" s="11">
        <v>14</v>
      </c>
      <c r="H9442" t="s" s="10">
        <v>14</v>
      </c>
      <c r="I9442" t="s" s="11">
        <v>14</v>
      </c>
      <c r="J9442" t="s" s="11">
        <v>14</v>
      </c>
      <c r="K9442" t="s" s="12">
        <v>14</v>
      </c>
      <c r="L9442" t="s" s="12">
        <v>14</v>
      </c>
      <c r="M9442" t="s" s="10">
        <v>14</v>
      </c>
      <c r="N9442" t="s" s="11">
        <v>14</v>
      </c>
      <c r="O9442" t="s" s="8">
        <v>14</v>
      </c>
      <c r="P9442" t="s" s="8">
        <v>14</v>
      </c>
      <c r="Q9442" t="s" s="12">
        <v>14</v>
      </c>
      <c r="R9442" t="s" s="12">
        <v>14</v>
      </c>
    </row>
    <row r="9443" s="2" customFormat="1" ht="13.5" customHeight="1">
      <c r="B9443" s="13"/>
      <c r="C9443" t="s" s="9">
        <v>16</v>
      </c>
      <c r="D9443" t="s" s="8">
        <v>3489</v>
      </c>
      <c r="E9443" t="s" s="9">
        <v>3490</v>
      </c>
      <c r="F9443" t="s" s="10">
        <v>229</v>
      </c>
      <c r="G9443" s="14"/>
      <c r="H9443" t="s" s="10">
        <v>229</v>
      </c>
      <c r="I9443" s="14"/>
      <c r="J9443" t="s" s="11">
        <v>20</v>
      </c>
      <c r="K9443" s="15"/>
      <c r="L9443" t="s" s="16">
        <f>HYPERLINK("http://csr.bu.edu/ftp/asl/asllvd/demos/verify_start_end_handshape_annotations//test_auto_move//signs_mov_separ_signers/Liz_2782.mov","MOV")</f>
        <v>21</v>
      </c>
      <c r="M9443" t="s" s="10">
        <v>59</v>
      </c>
      <c r="N9443" s="17">
        <v>33</v>
      </c>
      <c r="O9443" s="18">
        <v>640</v>
      </c>
      <c r="P9443" s="18">
        <v>680</v>
      </c>
      <c r="Q9443" s="15"/>
      <c r="R9443" t="s" s="16">
        <f>HYPERLINK("http://secrets.rutgers.edu:8080/data/asl-ftp/asllvd/demos/verify_start_end_handshape_annotations//test_auto_move//signs_mov_separ_signers/Liz_2782.mov","MOV")</f>
        <v>21</v>
      </c>
    </row>
    <row r="9444" s="2" customFormat="1" ht="13.5" customHeight="1">
      <c r="B9444" s="13"/>
      <c r="C9444" t="s" s="9">
        <v>16</v>
      </c>
      <c r="D9444" t="s" s="8">
        <v>3489</v>
      </c>
      <c r="E9444" t="s" s="9">
        <v>3489</v>
      </c>
      <c r="F9444" t="s" s="10">
        <v>229</v>
      </c>
      <c r="G9444" s="14"/>
      <c r="H9444" t="s" s="10">
        <v>229</v>
      </c>
      <c r="I9444" s="14"/>
      <c r="J9444" t="s" s="11">
        <v>20</v>
      </c>
      <c r="K9444" t="s" s="16">
        <f>HYPERLINK("http://csr.bu.edu/ftp/asl/asllvd/demos/verify_start_end_handshape_annotations//test_auto_move//signs_mov/2782_3563_merged.mov","MOV")</f>
        <v>21</v>
      </c>
      <c r="L9444" t="s" s="16">
        <f>HYPERLINK("http://csr.bu.edu/ftp/asl/asllvd/demos/verify_start_end_handshape_annotations//test_auto_move//signs_mov_separ_signers/Liz_3563.mov","MOV")</f>
        <v>21</v>
      </c>
      <c r="M9444" t="s" s="10">
        <v>59</v>
      </c>
      <c r="N9444" s="17">
        <v>33</v>
      </c>
      <c r="O9444" s="18">
        <v>861</v>
      </c>
      <c r="P9444" s="18">
        <v>895</v>
      </c>
      <c r="Q9444" t="s" s="16">
        <f>HYPERLINK("http://secrets.rutgers.edu:8080/data/asl-ftp/asllvd/demos/verify_start_end_handshape_annotations//test_auto_move//signs_mov/2782_3563_merged.mov","MOV")</f>
        <v>21</v>
      </c>
      <c r="R9444" t="s" s="16">
        <f>HYPERLINK("http://secrets.rutgers.edu:8080/data/asl-ftp/asllvd/demos/verify_start_end_handshape_annotations//test_auto_move//signs_mov_separ_signers/Liz_3563.mov","MOV")</f>
        <v>21</v>
      </c>
    </row>
    <row r="9445" s="2" customFormat="1" ht="13.5" customHeight="1">
      <c r="B9445" s="13"/>
      <c r="C9445" t="s" s="9">
        <v>30</v>
      </c>
      <c r="D9445" t="s" s="8">
        <v>3489</v>
      </c>
      <c r="E9445" t="s" s="9">
        <v>3491</v>
      </c>
      <c r="F9445" t="s" s="10">
        <v>229</v>
      </c>
      <c r="G9445" s="14"/>
      <c r="H9445" t="s" s="10">
        <v>229</v>
      </c>
      <c r="I9445" s="14"/>
      <c r="J9445" t="s" s="11">
        <v>20</v>
      </c>
      <c r="K9445" s="15"/>
      <c r="L9445" t="s" s="16">
        <f>HYPERLINK("http://csr.bu.edu/ftp/asl/asllvd/demos/verify_start_end_handshape_annotations//test_auto_move//signs_mov_separ_signers/Brady_2782.mov","MOV")</f>
        <v>21</v>
      </c>
      <c r="M9445" t="s" s="10">
        <v>60</v>
      </c>
      <c r="N9445" s="17">
        <v>21</v>
      </c>
      <c r="O9445" s="18">
        <v>1805</v>
      </c>
      <c r="P9445" s="18">
        <v>1851</v>
      </c>
      <c r="Q9445" s="15"/>
      <c r="R9445" t="s" s="16">
        <f>HYPERLINK("http://secrets.rutgers.edu:8080/data/asl-ftp/asllvd/demos/verify_start_end_handshape_annotations//test_auto_move//signs_mov_separ_signers/Brady_2782.mov","MOV")</f>
        <v>21</v>
      </c>
    </row>
    <row r="9446" s="2" customFormat="1" ht="13.5" customHeight="1">
      <c r="B9446" s="13"/>
      <c r="C9446" t="s" s="9">
        <v>30</v>
      </c>
      <c r="D9446" t="s" s="8">
        <v>3489</v>
      </c>
      <c r="E9446" t="s" s="9">
        <v>3489</v>
      </c>
      <c r="F9446" t="s" s="10">
        <v>229</v>
      </c>
      <c r="G9446" s="14"/>
      <c r="H9446" t="s" s="10">
        <v>229</v>
      </c>
      <c r="I9446" s="14"/>
      <c r="J9446" t="s" s="11">
        <v>20</v>
      </c>
      <c r="K9446" s="15"/>
      <c r="L9446" t="s" s="16">
        <f>HYPERLINK("http://csr.bu.edu/ftp/asl/asllvd/demos/verify_start_end_handshape_annotations//test_auto_move//signs_mov_separ_signers/Brady_3563.mov","MOV")</f>
        <v>21</v>
      </c>
      <c r="M9446" t="s" s="10">
        <v>60</v>
      </c>
      <c r="N9446" s="17">
        <v>21</v>
      </c>
      <c r="O9446" s="18">
        <v>2027</v>
      </c>
      <c r="P9446" s="18">
        <v>2041</v>
      </c>
      <c r="Q9446" s="15"/>
      <c r="R9446" t="s" s="16">
        <f>HYPERLINK("http://secrets.rutgers.edu:8080/data/asl-ftp/asllvd/demos/verify_start_end_handshape_annotations//test_auto_move//signs_mov_separ_signers/Brady_3563.mov","MOV")</f>
        <v>21</v>
      </c>
    </row>
    <row r="9447" s="2" customFormat="1" ht="13.5" customHeight="1">
      <c r="B9447" t="s" s="8">
        <v>3492</v>
      </c>
      <c r="C9447" t="s" s="9">
        <v>14</v>
      </c>
      <c r="D9447" t="s" s="8">
        <v>14</v>
      </c>
      <c r="E9447" t="s" s="9">
        <v>14</v>
      </c>
      <c r="F9447" t="s" s="10">
        <v>14</v>
      </c>
      <c r="G9447" t="s" s="11">
        <v>14</v>
      </c>
      <c r="H9447" t="s" s="10">
        <v>14</v>
      </c>
      <c r="I9447" t="s" s="11">
        <v>14</v>
      </c>
      <c r="J9447" t="s" s="11">
        <v>14</v>
      </c>
      <c r="K9447" t="s" s="12">
        <v>14</v>
      </c>
      <c r="L9447" t="s" s="12">
        <v>14</v>
      </c>
      <c r="M9447" t="s" s="10">
        <v>14</v>
      </c>
      <c r="N9447" t="s" s="11">
        <v>14</v>
      </c>
      <c r="O9447" t="s" s="8">
        <v>14</v>
      </c>
      <c r="P9447" t="s" s="8">
        <v>14</v>
      </c>
      <c r="Q9447" t="s" s="12">
        <v>14</v>
      </c>
      <c r="R9447" t="s" s="12">
        <v>14</v>
      </c>
    </row>
    <row r="9448" s="2" customFormat="1" ht="13.5" customHeight="1">
      <c r="B9448" s="13"/>
      <c r="C9448" t="s" s="9">
        <v>16</v>
      </c>
      <c r="D9448" t="s" s="8">
        <v>3492</v>
      </c>
      <c r="E9448" t="s" s="9">
        <v>3493</v>
      </c>
      <c r="F9448" t="s" s="10">
        <v>3494</v>
      </c>
      <c r="G9448" t="s" s="11">
        <v>3494</v>
      </c>
      <c r="H9448" s="19">
        <v>5</v>
      </c>
      <c r="I9448" s="17">
        <v>5</v>
      </c>
      <c r="J9448" t="s" s="11">
        <v>20</v>
      </c>
      <c r="K9448" t="s" s="16">
        <f>HYPERLINK("http://csr.bu.edu/ftp/asl/asllvd/demos/verify_start_end_handshape_annotations//test_auto_move//signs_mov/2783.mov","MOV")</f>
        <v>21</v>
      </c>
      <c r="L9448" t="s" s="16">
        <f>HYPERLINK("http://csr.bu.edu/ftp/asl/asllvd/demos/verify_start_end_handshape_annotations//test_auto_move//signs_mov_separ_signers/Liz_2783.mov","MOV")</f>
        <v>21</v>
      </c>
      <c r="M9448" t="s" s="10">
        <v>59</v>
      </c>
      <c r="N9448" s="17">
        <v>33</v>
      </c>
      <c r="O9448" s="18">
        <v>1115</v>
      </c>
      <c r="P9448" s="18">
        <v>1150</v>
      </c>
      <c r="Q9448" t="s" s="16">
        <f>HYPERLINK("http://secrets.rutgers.edu:8080/data/asl-ftp/asllvd/demos/verify_start_end_handshape_annotations//test_auto_move//signs_mov/2783.mov","MOV")</f>
        <v>21</v>
      </c>
      <c r="R9448" t="s" s="16">
        <f>HYPERLINK("http://secrets.rutgers.edu:8080/data/asl-ftp/asllvd/demos/verify_start_end_handshape_annotations//test_auto_move//signs_mov_separ_signers/Liz_2783.mov","MOV")</f>
        <v>21</v>
      </c>
    </row>
    <row r="9449" s="2" customFormat="1" ht="13.5" customHeight="1">
      <c r="B9449" s="13"/>
      <c r="C9449" t="s" s="9">
        <v>30</v>
      </c>
      <c r="D9449" t="s" s="8">
        <v>3492</v>
      </c>
      <c r="E9449" t="s" s="9">
        <v>3493</v>
      </c>
      <c r="F9449" t="s" s="10">
        <v>3494</v>
      </c>
      <c r="G9449" t="s" s="11">
        <v>3494</v>
      </c>
      <c r="H9449" t="s" s="10">
        <v>3494</v>
      </c>
      <c r="I9449" t="s" s="11">
        <v>3494</v>
      </c>
      <c r="J9449" t="s" s="11">
        <v>20</v>
      </c>
      <c r="K9449" s="15"/>
      <c r="L9449" t="s" s="16">
        <f>HYPERLINK("http://csr.bu.edu/ftp/asl/asllvd/demos/verify_start_end_handshape_annotations//test_auto_move//signs_mov_separ_signers/Brady_2783.mov","MOV")</f>
        <v>21</v>
      </c>
      <c r="M9449" t="s" s="10">
        <v>60</v>
      </c>
      <c r="N9449" s="17">
        <v>21</v>
      </c>
      <c r="O9449" s="18">
        <v>2291</v>
      </c>
      <c r="P9449" s="18">
        <v>2327</v>
      </c>
      <c r="Q9449" s="15"/>
      <c r="R9449" t="s" s="16">
        <f>HYPERLINK("http://secrets.rutgers.edu:8080/data/asl-ftp/asllvd/demos/verify_start_end_handshape_annotations//test_auto_move//signs_mov_separ_signers/Brady_2783.mov","MOV")</f>
        <v>21</v>
      </c>
    </row>
    <row r="9450" s="2" customFormat="1" ht="13.5" customHeight="1">
      <c r="B9450" t="s" s="8">
        <v>3495</v>
      </c>
      <c r="C9450" t="s" s="9">
        <v>14</v>
      </c>
      <c r="D9450" t="s" s="8">
        <v>14</v>
      </c>
      <c r="E9450" t="s" s="9">
        <v>14</v>
      </c>
      <c r="F9450" t="s" s="10">
        <v>14</v>
      </c>
      <c r="G9450" t="s" s="11">
        <v>14</v>
      </c>
      <c r="H9450" t="s" s="10">
        <v>14</v>
      </c>
      <c r="I9450" t="s" s="11">
        <v>14</v>
      </c>
      <c r="J9450" t="s" s="11">
        <v>14</v>
      </c>
      <c r="K9450" t="s" s="12">
        <v>14</v>
      </c>
      <c r="L9450" t="s" s="12">
        <v>14</v>
      </c>
      <c r="M9450" t="s" s="10">
        <v>14</v>
      </c>
      <c r="N9450" t="s" s="11">
        <v>14</v>
      </c>
      <c r="O9450" t="s" s="8">
        <v>14</v>
      </c>
      <c r="P9450" t="s" s="8">
        <v>14</v>
      </c>
      <c r="Q9450" t="s" s="12">
        <v>14</v>
      </c>
      <c r="R9450" t="s" s="12">
        <v>14</v>
      </c>
    </row>
    <row r="9451" s="2" customFormat="1" ht="13.5" customHeight="1">
      <c r="B9451" s="13"/>
      <c r="C9451" t="s" s="9">
        <v>16</v>
      </c>
      <c r="D9451" t="s" s="8">
        <v>3495</v>
      </c>
      <c r="E9451" t="s" s="9">
        <v>3495</v>
      </c>
      <c r="F9451" s="19">
        <v>4</v>
      </c>
      <c r="G9451" s="17">
        <v>4</v>
      </c>
      <c r="H9451" s="19">
        <v>4</v>
      </c>
      <c r="I9451" s="17">
        <v>4</v>
      </c>
      <c r="J9451" t="s" s="11">
        <v>20</v>
      </c>
      <c r="K9451" t="s" s="16">
        <f>HYPERLINK("http://csr.bu.edu/ftp/asl/asllvd/demos/verify_start_end_handshape_annotations//test_auto_move//signs_mov/2784.mov","MOV")</f>
        <v>21</v>
      </c>
      <c r="L9451" t="s" s="16">
        <f>HYPERLINK("http://csr.bu.edu/ftp/asl/asllvd/demos/verify_start_end_handshape_annotations//test_auto_move//signs_mov_separ_signers/Liz_2784.mov","MOV")</f>
        <v>21</v>
      </c>
      <c r="M9451" t="s" s="10">
        <v>59</v>
      </c>
      <c r="N9451" s="17">
        <v>33</v>
      </c>
      <c r="O9451" s="18">
        <v>1340</v>
      </c>
      <c r="P9451" s="18">
        <v>1385</v>
      </c>
      <c r="Q9451" t="s" s="16">
        <f>HYPERLINK("http://secrets.rutgers.edu:8080/data/asl-ftp/asllvd/demos/verify_start_end_handshape_annotations//test_auto_move//signs_mov/2784.mov","MOV")</f>
        <v>21</v>
      </c>
      <c r="R9451" t="s" s="16">
        <f>HYPERLINK("http://secrets.rutgers.edu:8080/data/asl-ftp/asllvd/demos/verify_start_end_handshape_annotations//test_auto_move//signs_mov_separ_signers/Liz_2784.mov","MOV")</f>
        <v>21</v>
      </c>
    </row>
    <row r="9452" s="2" customFormat="1" ht="13.5" customHeight="1">
      <c r="B9452" t="s" s="8">
        <v>3495</v>
      </c>
      <c r="C9452" t="s" s="9">
        <v>14</v>
      </c>
      <c r="D9452" t="s" s="8">
        <v>14</v>
      </c>
      <c r="E9452" t="s" s="9">
        <v>14</v>
      </c>
      <c r="F9452" t="s" s="10">
        <v>14</v>
      </c>
      <c r="G9452" t="s" s="11">
        <v>14</v>
      </c>
      <c r="H9452" t="s" s="10">
        <v>14</v>
      </c>
      <c r="I9452" t="s" s="11">
        <v>14</v>
      </c>
      <c r="J9452" t="s" s="11">
        <v>14</v>
      </c>
      <c r="K9452" t="s" s="12">
        <v>14</v>
      </c>
      <c r="L9452" t="s" s="12">
        <v>14</v>
      </c>
      <c r="M9452" t="s" s="10">
        <v>14</v>
      </c>
      <c r="N9452" t="s" s="11">
        <v>14</v>
      </c>
      <c r="O9452" t="s" s="8">
        <v>14</v>
      </c>
      <c r="P9452" t="s" s="8">
        <v>14</v>
      </c>
      <c r="Q9452" t="s" s="12">
        <v>14</v>
      </c>
      <c r="R9452" t="s" s="12">
        <v>14</v>
      </c>
    </row>
    <row r="9453" s="2" customFormat="1" ht="13.5" customHeight="1">
      <c r="B9453" s="13"/>
      <c r="C9453" t="s" s="9">
        <v>30</v>
      </c>
      <c r="D9453" t="s" s="8">
        <v>3496</v>
      </c>
      <c r="E9453" t="s" s="9">
        <v>3496</v>
      </c>
      <c r="F9453" t="s" s="10">
        <v>185</v>
      </c>
      <c r="G9453" s="14"/>
      <c r="H9453" t="s" s="10">
        <v>185</v>
      </c>
      <c r="I9453" s="14"/>
      <c r="J9453" t="s" s="11">
        <v>20</v>
      </c>
      <c r="K9453" t="s" s="16">
        <f>HYPERLINK("http://csr.bu.edu/ftp/asl/asllvd/demos/verify_start_end_handshape_annotations//test_auto_move//signs_mov/5866.mov","MOV")</f>
        <v>21</v>
      </c>
      <c r="L9453" t="s" s="16">
        <f>HYPERLINK("http://csr.bu.edu/ftp/asl/asllvd/demos/verify_start_end_handshape_annotations//test_auto_move//signs_mov_separ_signers/Brady_5866.mov","MOV")</f>
        <v>21</v>
      </c>
      <c r="M9453" t="s" s="10">
        <v>60</v>
      </c>
      <c r="N9453" s="17">
        <v>21</v>
      </c>
      <c r="O9453" s="18">
        <v>2587</v>
      </c>
      <c r="P9453" s="18">
        <v>2607</v>
      </c>
      <c r="Q9453" t="s" s="16">
        <f>HYPERLINK("http://secrets.rutgers.edu:8080/data/asl-ftp/asllvd/demos/verify_start_end_handshape_annotations//test_auto_move//signs_mov/5866.mov","MOV")</f>
        <v>21</v>
      </c>
      <c r="R9453" t="s" s="16">
        <f>HYPERLINK("http://secrets.rutgers.edu:8080/data/asl-ftp/asllvd/demos/verify_start_end_handshape_annotations//test_auto_move//signs_mov_separ_signers/Brady_5866.mov","MOV")</f>
        <v>21</v>
      </c>
    </row>
    <row r="9454" s="2" customFormat="1" ht="13.5" customHeight="1">
      <c r="B9454" t="s" s="8">
        <v>3497</v>
      </c>
      <c r="C9454" t="s" s="9">
        <v>14</v>
      </c>
      <c r="D9454" t="s" s="8">
        <v>14</v>
      </c>
      <c r="E9454" t="s" s="9">
        <v>14</v>
      </c>
      <c r="F9454" t="s" s="10">
        <v>14</v>
      </c>
      <c r="G9454" t="s" s="11">
        <v>14</v>
      </c>
      <c r="H9454" t="s" s="10">
        <v>14</v>
      </c>
      <c r="I9454" t="s" s="11">
        <v>14</v>
      </c>
      <c r="J9454" t="s" s="11">
        <v>14</v>
      </c>
      <c r="K9454" t="s" s="12">
        <v>14</v>
      </c>
      <c r="L9454" t="s" s="12">
        <v>14</v>
      </c>
      <c r="M9454" t="s" s="10">
        <v>14</v>
      </c>
      <c r="N9454" t="s" s="11">
        <v>14</v>
      </c>
      <c r="O9454" t="s" s="8">
        <v>14</v>
      </c>
      <c r="P9454" t="s" s="8">
        <v>14</v>
      </c>
      <c r="Q9454" t="s" s="12">
        <v>14</v>
      </c>
      <c r="R9454" t="s" s="12">
        <v>14</v>
      </c>
    </row>
    <row r="9455" s="2" customFormat="1" ht="13.5" customHeight="1">
      <c r="B9455" s="13"/>
      <c r="C9455" t="s" s="9">
        <v>16</v>
      </c>
      <c r="D9455" t="s" s="8">
        <v>3497</v>
      </c>
      <c r="E9455" t="s" s="9">
        <v>3498</v>
      </c>
      <c r="F9455" t="s" s="10">
        <v>282</v>
      </c>
      <c r="G9455" t="s" s="11">
        <v>68</v>
      </c>
      <c r="H9455" t="s" s="10">
        <v>282</v>
      </c>
      <c r="I9455" t="s" s="11">
        <v>68</v>
      </c>
      <c r="J9455" t="s" s="11">
        <v>20</v>
      </c>
      <c r="K9455" s="15"/>
      <c r="L9455" t="s" s="16">
        <f>HYPERLINK("http://csr.bu.edu/ftp/asl/asllvd/demos/verify_start_end_handshape_annotations//test_auto_move//signs_mov_separ_signers/Liz_2785.mov","MOV")</f>
        <v>21</v>
      </c>
      <c r="M9455" t="s" s="10">
        <v>84</v>
      </c>
      <c r="N9455" s="17">
        <v>29</v>
      </c>
      <c r="O9455" s="18">
        <v>3365</v>
      </c>
      <c r="P9455" s="18">
        <v>3400</v>
      </c>
      <c r="Q9455" s="15"/>
      <c r="R9455" t="s" s="16">
        <f>HYPERLINK("http://secrets.rutgers.edu:8080/data/asl-ftp/asllvd/demos/verify_start_end_handshape_annotations//test_auto_move//signs_mov_separ_signers/Liz_2785.mov","MOV")</f>
        <v>21</v>
      </c>
    </row>
    <row r="9456" s="2" customFormat="1" ht="13.5" customHeight="1">
      <c r="B9456" s="13"/>
      <c r="C9456" t="s" s="9">
        <v>16</v>
      </c>
      <c r="D9456" t="s" s="8">
        <v>3497</v>
      </c>
      <c r="E9456" t="s" s="9">
        <v>3497</v>
      </c>
      <c r="F9456" t="s" s="10">
        <v>282</v>
      </c>
      <c r="G9456" t="s" s="11">
        <v>158</v>
      </c>
      <c r="H9456" t="s" s="10">
        <v>282</v>
      </c>
      <c r="I9456" t="s" s="11">
        <v>158</v>
      </c>
      <c r="J9456" t="s" s="11">
        <v>20</v>
      </c>
      <c r="K9456" s="15"/>
      <c r="L9456" t="s" s="16">
        <f>HYPERLINK("http://csr.bu.edu/ftp/asl/asllvd/demos/verify_start_end_handshape_annotations//test_auto_move//signs_mov_separ_signers/Liz_5712.mov","MOV")</f>
        <v>21</v>
      </c>
      <c r="M9456" t="s" s="10">
        <v>59</v>
      </c>
      <c r="N9456" s="17">
        <v>33</v>
      </c>
      <c r="O9456" s="18">
        <v>1750</v>
      </c>
      <c r="P9456" s="18">
        <v>1786</v>
      </c>
      <c r="Q9456" s="15"/>
      <c r="R9456" t="s" s="16">
        <f>HYPERLINK("http://secrets.rutgers.edu:8080/data/asl-ftp/asllvd/demos/verify_start_end_handshape_annotations//test_auto_move//signs_mov_separ_signers/Liz_5712.mov","MOV")</f>
        <v>21</v>
      </c>
    </row>
    <row r="9457" s="2" customFormat="1" ht="13.5" customHeight="1">
      <c r="B9457" s="13"/>
      <c r="C9457" t="s" s="9">
        <v>23</v>
      </c>
      <c r="D9457" t="s" s="8">
        <v>3497</v>
      </c>
      <c r="E9457" t="s" s="9">
        <v>3498</v>
      </c>
      <c r="F9457" t="s" s="10">
        <v>282</v>
      </c>
      <c r="G9457" t="s" s="11">
        <v>68</v>
      </c>
      <c r="H9457" t="s" s="10">
        <v>282</v>
      </c>
      <c r="I9457" t="s" s="11">
        <v>68</v>
      </c>
      <c r="J9457" t="s" s="11">
        <v>20</v>
      </c>
      <c r="K9457" s="15"/>
      <c r="L9457" t="s" s="16">
        <f>HYPERLINK("http://csr.bu.edu/ftp/asl/asllvd/demos/verify_start_end_handshape_annotations//test_auto_move//signs_mov_separ_signers/Tyler_2785.mov","MOV")</f>
        <v>21</v>
      </c>
      <c r="M9457" t="s" s="10">
        <v>92</v>
      </c>
      <c r="N9457" s="17">
        <v>9</v>
      </c>
      <c r="O9457" s="18">
        <v>2610</v>
      </c>
      <c r="P9457" s="18">
        <v>2640</v>
      </c>
      <c r="Q9457" s="15"/>
      <c r="R9457" t="s" s="16">
        <f>HYPERLINK("http://secrets.rutgers.edu:8080/data/asl-ftp/asllvd/demos/verify_start_end_handshape_annotations//test_auto_move//signs_mov_separ_signers/Tyler_2785.mov","MOV")</f>
        <v>21</v>
      </c>
    </row>
    <row r="9458" s="2" customFormat="1" ht="13.5" customHeight="1">
      <c r="B9458" s="13"/>
      <c r="C9458" t="s" s="9">
        <v>23</v>
      </c>
      <c r="D9458" t="s" s="8">
        <v>3497</v>
      </c>
      <c r="E9458" t="s" s="9">
        <v>3497</v>
      </c>
      <c r="F9458" t="s" s="10">
        <v>282</v>
      </c>
      <c r="G9458" t="s" s="11">
        <v>68</v>
      </c>
      <c r="H9458" t="s" s="10">
        <v>282</v>
      </c>
      <c r="I9458" t="s" s="11">
        <v>68</v>
      </c>
      <c r="J9458" t="s" s="11">
        <v>20</v>
      </c>
      <c r="K9458" t="s" s="16">
        <f>HYPERLINK("http://csr.bu.edu/ftp/asl/asllvd/demos/verify_start_end_handshape_annotations//test_auto_move//signs_mov/2785_5712_merged.mov","MOV")</f>
        <v>21</v>
      </c>
      <c r="L9458" t="s" s="16">
        <f>HYPERLINK("http://csr.bu.edu/ftp/asl/asllvd/demos/verify_start_end_handshape_annotations//test_auto_move//signs_mov_separ_signers/Tyler_5712.mov","MOV")</f>
        <v>21</v>
      </c>
      <c r="M9458" t="s" s="10">
        <v>92</v>
      </c>
      <c r="N9458" s="17">
        <v>23</v>
      </c>
      <c r="O9458" s="18">
        <v>805</v>
      </c>
      <c r="P9458" s="18">
        <v>831</v>
      </c>
      <c r="Q9458" t="s" s="16">
        <f>HYPERLINK("http://secrets.rutgers.edu:8080/data/asl-ftp/asllvd/demos/verify_start_end_handshape_annotations//test_auto_move//signs_mov/2785_5712_merged.mov","MOV")</f>
        <v>21</v>
      </c>
      <c r="R9458" t="s" s="16">
        <f>HYPERLINK("http://secrets.rutgers.edu:8080/data/asl-ftp/asllvd/demos/verify_start_end_handshape_annotations//test_auto_move//signs_mov_separ_signers/Tyler_5712.mov","MOV")</f>
        <v>21</v>
      </c>
    </row>
    <row r="9459" s="2" customFormat="1" ht="13.5" customHeight="1">
      <c r="B9459" s="13"/>
      <c r="C9459" t="s" s="9">
        <v>27</v>
      </c>
      <c r="D9459" t="s" s="8">
        <v>3497</v>
      </c>
      <c r="E9459" t="s" s="9">
        <v>3498</v>
      </c>
      <c r="F9459" t="s" s="10">
        <v>282</v>
      </c>
      <c r="G9459" t="s" s="11">
        <v>185</v>
      </c>
      <c r="H9459" t="s" s="10">
        <v>282</v>
      </c>
      <c r="I9459" t="s" s="11">
        <v>185</v>
      </c>
      <c r="J9459" t="s" s="11">
        <v>20</v>
      </c>
      <c r="K9459" s="15"/>
      <c r="L9459" t="s" s="16">
        <f>HYPERLINK("http://csr.bu.edu/ftp/asl/asllvd/demos/verify_start_end_handshape_annotations//test_auto_move//signs_mov_separ_signers/Naomi_2785.mov","MOV")</f>
        <v>21</v>
      </c>
      <c r="M9459" t="s" s="10">
        <v>86</v>
      </c>
      <c r="N9459" s="17">
        <v>29</v>
      </c>
      <c r="O9459" s="18">
        <v>2897</v>
      </c>
      <c r="P9459" s="18">
        <v>2927</v>
      </c>
      <c r="Q9459" s="15"/>
      <c r="R9459" t="s" s="16">
        <f>HYPERLINK("http://secrets.rutgers.edu:8080/data/asl-ftp/asllvd/demos/verify_start_end_handshape_annotations//test_auto_move//signs_mov_separ_signers/Naomi_2785.mov","MOV")</f>
        <v>21</v>
      </c>
    </row>
    <row r="9460" s="2" customFormat="1" ht="13.5" customHeight="1">
      <c r="B9460" s="13"/>
      <c r="C9460" t="s" s="9">
        <v>30</v>
      </c>
      <c r="D9460" t="s" s="8">
        <v>3497</v>
      </c>
      <c r="E9460" t="s" s="9">
        <v>3497</v>
      </c>
      <c r="F9460" t="s" s="10">
        <v>282</v>
      </c>
      <c r="G9460" t="s" s="11">
        <v>158</v>
      </c>
      <c r="H9460" t="s" s="10">
        <v>282</v>
      </c>
      <c r="I9460" t="s" s="11">
        <v>158</v>
      </c>
      <c r="J9460" t="s" s="11">
        <v>20</v>
      </c>
      <c r="K9460" s="15"/>
      <c r="L9460" t="s" s="16">
        <f>HYPERLINK("http://csr.bu.edu/ftp/asl/asllvd/demos/verify_start_end_handshape_annotations//test_auto_move//signs_mov_separ_signers/Brady_2785.mov","MOV")</f>
        <v>21</v>
      </c>
      <c r="M9460" t="s" s="10">
        <v>39</v>
      </c>
      <c r="N9460" s="17">
        <v>11</v>
      </c>
      <c r="O9460" s="18">
        <v>1318</v>
      </c>
      <c r="P9460" s="18">
        <v>1337</v>
      </c>
      <c r="Q9460" s="15"/>
      <c r="R9460" t="s" s="16">
        <f>HYPERLINK("http://secrets.rutgers.edu:8080/data/asl-ftp/asllvd/demos/verify_start_end_handshape_annotations//test_auto_move//signs_mov_separ_signers/Brady_2785.mov","MOV")</f>
        <v>21</v>
      </c>
    </row>
    <row r="9461" s="2" customFormat="1" ht="13.5" customHeight="1">
      <c r="B9461" s="13"/>
      <c r="C9461" t="s" s="9">
        <v>30</v>
      </c>
      <c r="D9461" t="s" s="8">
        <v>3497</v>
      </c>
      <c r="E9461" t="s" s="9">
        <v>3497</v>
      </c>
      <c r="F9461" t="s" s="10">
        <v>282</v>
      </c>
      <c r="G9461" t="s" s="11">
        <v>158</v>
      </c>
      <c r="H9461" t="s" s="10">
        <v>282</v>
      </c>
      <c r="I9461" t="s" s="11">
        <v>158</v>
      </c>
      <c r="J9461" t="s" s="11">
        <v>20</v>
      </c>
      <c r="K9461" s="15"/>
      <c r="L9461" t="s" s="16">
        <f>HYPERLINK("http://csr.bu.edu/ftp/asl/asllvd/demos/verify_start_end_handshape_annotations//test_auto_move//signs_mov_separ_signers/Brady_5712.mov","MOV")</f>
        <v>21</v>
      </c>
      <c r="M9461" t="s" s="10">
        <v>60</v>
      </c>
      <c r="N9461" s="17">
        <v>21</v>
      </c>
      <c r="O9461" s="18">
        <v>2835</v>
      </c>
      <c r="P9461" s="18">
        <v>2851</v>
      </c>
      <c r="Q9461" s="15"/>
      <c r="R9461" t="s" s="16">
        <f>HYPERLINK("http://secrets.rutgers.edu:8080/data/asl-ftp/asllvd/demos/verify_start_end_handshape_annotations//test_auto_move//signs_mov_separ_signers/Brady_5712.mov","MOV")</f>
        <v>21</v>
      </c>
    </row>
    <row r="9462" s="2" customFormat="1" ht="13.5" customHeight="1">
      <c r="B9462" t="s" s="8">
        <v>3499</v>
      </c>
      <c r="C9462" t="s" s="9">
        <v>14</v>
      </c>
      <c r="D9462" t="s" s="8">
        <v>14</v>
      </c>
      <c r="E9462" t="s" s="9">
        <v>14</v>
      </c>
      <c r="F9462" t="s" s="10">
        <v>14</v>
      </c>
      <c r="G9462" t="s" s="11">
        <v>14</v>
      </c>
      <c r="H9462" t="s" s="10">
        <v>14</v>
      </c>
      <c r="I9462" t="s" s="11">
        <v>14</v>
      </c>
      <c r="J9462" t="s" s="11">
        <v>14</v>
      </c>
      <c r="K9462" t="s" s="12">
        <v>14</v>
      </c>
      <c r="L9462" t="s" s="12">
        <v>14</v>
      </c>
      <c r="M9462" t="s" s="10">
        <v>14</v>
      </c>
      <c r="N9462" t="s" s="11">
        <v>14</v>
      </c>
      <c r="O9462" t="s" s="8">
        <v>14</v>
      </c>
      <c r="P9462" t="s" s="8">
        <v>14</v>
      </c>
      <c r="Q9462" t="s" s="12">
        <v>14</v>
      </c>
      <c r="R9462" t="s" s="12">
        <v>14</v>
      </c>
    </row>
    <row r="9463" s="2" customFormat="1" ht="13.5" customHeight="1">
      <c r="B9463" s="13"/>
      <c r="C9463" t="s" s="9">
        <v>16</v>
      </c>
      <c r="D9463" t="s" s="8">
        <v>3499</v>
      </c>
      <c r="E9463" t="s" s="9">
        <v>3500</v>
      </c>
      <c r="F9463" t="s" s="10">
        <v>282</v>
      </c>
      <c r="G9463" t="s" s="11">
        <v>158</v>
      </c>
      <c r="H9463" t="s" s="10">
        <v>282</v>
      </c>
      <c r="I9463" t="s" s="11">
        <v>158</v>
      </c>
      <c r="J9463" t="s" s="11">
        <v>20</v>
      </c>
      <c r="K9463" t="s" s="16">
        <f>HYPERLINK("http://csr.bu.edu/ftp/asl/asllvd/demos/verify_start_end_handshape_annotations//test_auto_move//signs_mov/15560.mov","MOV")</f>
        <v>21</v>
      </c>
      <c r="L9463" t="s" s="16">
        <f>HYPERLINK("http://csr.bu.edu/ftp/asl/asllvd/demos/verify_start_end_handshape_annotations//test_auto_move//signs_mov_separ_signers/Liz_15560.mov","MOV")</f>
        <v>21</v>
      </c>
      <c r="M9463" t="s" s="10">
        <v>59</v>
      </c>
      <c r="N9463" s="17">
        <v>5</v>
      </c>
      <c r="O9463" s="18">
        <v>4975</v>
      </c>
      <c r="P9463" s="18">
        <v>5035</v>
      </c>
      <c r="Q9463" t="s" s="16">
        <f>HYPERLINK("http://secrets.rutgers.edu:8080/data/asl-ftp/asllvd/demos/verify_start_end_handshape_annotations//test_auto_move//signs_mov/15560.mov","MOV")</f>
        <v>21</v>
      </c>
      <c r="R9463" t="s" s="16">
        <f>HYPERLINK("http://secrets.rutgers.edu:8080/data/asl-ftp/asllvd/demos/verify_start_end_handshape_annotations//test_auto_move//signs_mov_separ_signers/Liz_15560.mov","MOV")</f>
        <v>21</v>
      </c>
    </row>
    <row r="9464" s="2" customFormat="1" ht="13.5" customHeight="1">
      <c r="B9464" s="13"/>
      <c r="C9464" t="s" s="9">
        <v>30</v>
      </c>
      <c r="D9464" t="s" s="8">
        <v>3499</v>
      </c>
      <c r="E9464" t="s" s="9">
        <v>3500</v>
      </c>
      <c r="F9464" t="s" s="10">
        <v>282</v>
      </c>
      <c r="G9464" t="s" s="11">
        <v>158</v>
      </c>
      <c r="H9464" t="s" s="10">
        <v>282</v>
      </c>
      <c r="I9464" t="s" s="11">
        <v>158</v>
      </c>
      <c r="J9464" t="s" s="11">
        <v>20</v>
      </c>
      <c r="K9464" s="15"/>
      <c r="L9464" t="s" s="16">
        <f>HYPERLINK("http://csr.bu.edu/ftp/asl/asllvd/demos/verify_start_end_handshape_annotations//test_auto_move//signs_mov_separ_signers/Brady_15560.mov","MOV")</f>
        <v>21</v>
      </c>
      <c r="M9464" t="s" s="10">
        <v>40</v>
      </c>
      <c r="N9464" s="17">
        <v>110</v>
      </c>
      <c r="O9464" s="18">
        <v>1003</v>
      </c>
      <c r="P9464" s="18">
        <v>1045</v>
      </c>
      <c r="Q9464" s="15"/>
      <c r="R9464" t="s" s="16">
        <f>HYPERLINK("http://secrets.rutgers.edu:8080/data/asl-ftp/asllvd/demos/verify_start_end_handshape_annotations//test_auto_move//signs_mov_separ_signers/Brady_15560.mov","MOV")</f>
        <v>21</v>
      </c>
    </row>
    <row r="9465" s="2" customFormat="1" ht="13.5" customHeight="1">
      <c r="B9465" t="s" s="8">
        <v>406</v>
      </c>
      <c r="C9465" t="s" s="9">
        <v>14</v>
      </c>
      <c r="D9465" t="s" s="8">
        <v>14</v>
      </c>
      <c r="E9465" t="s" s="9">
        <v>14</v>
      </c>
      <c r="F9465" t="s" s="10">
        <v>14</v>
      </c>
      <c r="G9465" t="s" s="11">
        <v>14</v>
      </c>
      <c r="H9465" t="s" s="10">
        <v>14</v>
      </c>
      <c r="I9465" t="s" s="11">
        <v>14</v>
      </c>
      <c r="J9465" t="s" s="11">
        <v>14</v>
      </c>
      <c r="K9465" t="s" s="12">
        <v>14</v>
      </c>
      <c r="L9465" t="s" s="12">
        <v>14</v>
      </c>
      <c r="M9465" t="s" s="10">
        <v>14</v>
      </c>
      <c r="N9465" t="s" s="11">
        <v>14</v>
      </c>
      <c r="O9465" t="s" s="8">
        <v>14</v>
      </c>
      <c r="P9465" t="s" s="8">
        <v>14</v>
      </c>
      <c r="Q9465" t="s" s="12">
        <v>14</v>
      </c>
      <c r="R9465" t="s" s="12">
        <v>14</v>
      </c>
    </row>
    <row r="9466" s="2" customFormat="1" ht="13.5" customHeight="1">
      <c r="B9466" s="13"/>
      <c r="C9466" t="s" s="9">
        <v>16</v>
      </c>
      <c r="D9466" t="s" s="8">
        <v>406</v>
      </c>
      <c r="E9466" t="s" s="9">
        <v>406</v>
      </c>
      <c r="F9466" t="s" s="10">
        <v>406</v>
      </c>
      <c r="G9466" s="14"/>
      <c r="H9466" t="s" s="10">
        <v>406</v>
      </c>
      <c r="I9466" s="14"/>
      <c r="J9466" t="s" s="11">
        <v>20</v>
      </c>
      <c r="K9466" t="s" s="16">
        <f>HYPERLINK("http://csr.bu.edu/ftp/asl/asllvd/demos/verify_start_end_handshape_annotations//test_auto_move//signs_mov/2786.mov","MOV")</f>
        <v>21</v>
      </c>
      <c r="L9466" t="s" s="16">
        <f>HYPERLINK("http://csr.bu.edu/ftp/asl/asllvd/demos/verify_start_end_handshape_annotations//test_auto_move//signs_mov_separ_signers/Liz_2786.mov","MOV")</f>
        <v>21</v>
      </c>
      <c r="M9466" t="s" s="10">
        <v>59</v>
      </c>
      <c r="N9466" s="17">
        <v>33</v>
      </c>
      <c r="O9466" s="18">
        <v>2010</v>
      </c>
      <c r="P9466" s="18">
        <v>2052</v>
      </c>
      <c r="Q9466" t="s" s="16">
        <f>HYPERLINK("http://secrets.rutgers.edu:8080/data/asl-ftp/asllvd/demos/verify_start_end_handshape_annotations//test_auto_move//signs_mov/2786.mov","MOV")</f>
        <v>21</v>
      </c>
      <c r="R9466" t="s" s="16">
        <f>HYPERLINK("http://secrets.rutgers.edu:8080/data/asl-ftp/asllvd/demos/verify_start_end_handshape_annotations//test_auto_move//signs_mov_separ_signers/Liz_2786.mov","MOV")</f>
        <v>21</v>
      </c>
    </row>
    <row r="9467" s="2" customFormat="1" ht="13.5" customHeight="1">
      <c r="B9467" s="13"/>
      <c r="C9467" t="s" s="9">
        <v>30</v>
      </c>
      <c r="D9467" t="s" s="8">
        <v>406</v>
      </c>
      <c r="E9467" t="s" s="9">
        <v>406</v>
      </c>
      <c r="F9467" t="s" s="10">
        <v>406</v>
      </c>
      <c r="G9467" s="14"/>
      <c r="H9467" t="s" s="10">
        <v>406</v>
      </c>
      <c r="I9467" s="14"/>
      <c r="J9467" t="s" s="11">
        <v>20</v>
      </c>
      <c r="K9467" s="15"/>
      <c r="L9467" t="s" s="16">
        <f>HYPERLINK("http://csr.bu.edu/ftp/asl/asllvd/demos/verify_start_end_handshape_annotations//test_auto_move//signs_mov_separ_signers/Brady_2786.mov","MOV")</f>
        <v>21</v>
      </c>
      <c r="M9467" t="s" s="10">
        <v>60</v>
      </c>
      <c r="N9467" s="17">
        <v>21</v>
      </c>
      <c r="O9467" s="18">
        <v>3042</v>
      </c>
      <c r="P9467" s="18">
        <v>3092</v>
      </c>
      <c r="Q9467" s="15"/>
      <c r="R9467" t="s" s="16">
        <f>HYPERLINK("http://secrets.rutgers.edu:8080/data/asl-ftp/asllvd/demos/verify_start_end_handshape_annotations//test_auto_move//signs_mov_separ_signers/Brady_2786.mov","MOV")</f>
        <v>21</v>
      </c>
    </row>
    <row r="9468" s="2" customFormat="1" ht="13.5" customHeight="1">
      <c r="B9468" t="s" s="8">
        <v>3501</v>
      </c>
      <c r="C9468" t="s" s="9">
        <v>14</v>
      </c>
      <c r="D9468" t="s" s="8">
        <v>14</v>
      </c>
      <c r="E9468" t="s" s="9">
        <v>14</v>
      </c>
      <c r="F9468" t="s" s="10">
        <v>14</v>
      </c>
      <c r="G9468" t="s" s="11">
        <v>14</v>
      </c>
      <c r="H9468" t="s" s="10">
        <v>14</v>
      </c>
      <c r="I9468" t="s" s="11">
        <v>14</v>
      </c>
      <c r="J9468" t="s" s="11">
        <v>14</v>
      </c>
      <c r="K9468" t="s" s="12">
        <v>14</v>
      </c>
      <c r="L9468" t="s" s="12">
        <v>14</v>
      </c>
      <c r="M9468" t="s" s="10">
        <v>14</v>
      </c>
      <c r="N9468" t="s" s="11">
        <v>14</v>
      </c>
      <c r="O9468" t="s" s="8">
        <v>14</v>
      </c>
      <c r="P9468" t="s" s="8">
        <v>14</v>
      </c>
      <c r="Q9468" t="s" s="12">
        <v>14</v>
      </c>
      <c r="R9468" t="s" s="12">
        <v>14</v>
      </c>
    </row>
    <row r="9469" s="2" customFormat="1" ht="13.5" customHeight="1">
      <c r="B9469" s="13"/>
      <c r="C9469" t="s" s="9">
        <v>16</v>
      </c>
      <c r="D9469" t="s" s="8">
        <v>3501</v>
      </c>
      <c r="E9469" t="s" s="9">
        <v>3502</v>
      </c>
      <c r="F9469" s="19">
        <v>5</v>
      </c>
      <c r="G9469" s="17">
        <v>5</v>
      </c>
      <c r="H9469" s="19">
        <v>5</v>
      </c>
      <c r="I9469" s="17">
        <v>5</v>
      </c>
      <c r="J9469" t="s" s="11">
        <v>20</v>
      </c>
      <c r="K9469" t="s" s="16">
        <f>HYPERLINK("http://csr.bu.edu/ftp/asl/asllvd/demos/verify_start_end_handshape_annotations//test_auto_move//signs_mov/2788.mov","MOV")</f>
        <v>21</v>
      </c>
      <c r="L9469" t="s" s="16">
        <f>HYPERLINK("http://csr.bu.edu/ftp/asl/asllvd/demos/verify_start_end_handshape_annotations//test_auto_move//signs_mov_separ_signers/Liz_2788.mov","MOV")</f>
        <v>21</v>
      </c>
      <c r="M9469" t="s" s="10">
        <v>59</v>
      </c>
      <c r="N9469" s="17">
        <v>33</v>
      </c>
      <c r="O9469" s="18">
        <v>2977</v>
      </c>
      <c r="P9469" s="18">
        <v>3025</v>
      </c>
      <c r="Q9469" t="s" s="16">
        <f>HYPERLINK("http://secrets.rutgers.edu:8080/data/asl-ftp/asllvd/demos/verify_start_end_handshape_annotations//test_auto_move//signs_mov/2788.mov","MOV")</f>
        <v>21</v>
      </c>
      <c r="R9469" t="s" s="16">
        <f>HYPERLINK("http://secrets.rutgers.edu:8080/data/asl-ftp/asllvd/demos/verify_start_end_handshape_annotations//test_auto_move//signs_mov_separ_signers/Liz_2788.mov","MOV")</f>
        <v>21</v>
      </c>
    </row>
    <row r="9470" s="2" customFormat="1" ht="13.5" customHeight="1">
      <c r="B9470" s="13"/>
      <c r="C9470" t="s" s="9">
        <v>30</v>
      </c>
      <c r="D9470" t="s" s="8">
        <v>3501</v>
      </c>
      <c r="E9470" t="s" s="9">
        <v>3503</v>
      </c>
      <c r="F9470" s="19">
        <v>5</v>
      </c>
      <c r="G9470" s="17">
        <v>5</v>
      </c>
      <c r="H9470" s="19">
        <v>5</v>
      </c>
      <c r="I9470" s="17">
        <v>5</v>
      </c>
      <c r="J9470" t="s" s="11">
        <v>20</v>
      </c>
      <c r="K9470" s="15"/>
      <c r="L9470" t="s" s="16">
        <f>HYPERLINK("http://csr.bu.edu/ftp/asl/asllvd/demos/verify_start_end_handshape_annotations//test_auto_move//signs_mov_separ_signers/Brady_2788.mov","MOV")</f>
        <v>21</v>
      </c>
      <c r="M9470" t="s" s="10">
        <v>60</v>
      </c>
      <c r="N9470" s="17">
        <v>22</v>
      </c>
      <c r="O9470" s="18">
        <v>1171</v>
      </c>
      <c r="P9470" s="18">
        <v>1217</v>
      </c>
      <c r="Q9470" s="15"/>
      <c r="R9470" t="s" s="16">
        <f>HYPERLINK("http://secrets.rutgers.edu:8080/data/asl-ftp/asllvd/demos/verify_start_end_handshape_annotations//test_auto_move//signs_mov_separ_signers/Brady_2788.mov","MOV")</f>
        <v>21</v>
      </c>
    </row>
    <row r="9471" s="2" customFormat="1" ht="13.5" customHeight="1">
      <c r="B9471" t="s" s="8">
        <v>52</v>
      </c>
      <c r="C9471" t="s" s="9">
        <v>53</v>
      </c>
      <c r="D9471" t="s" s="8">
        <v>53</v>
      </c>
      <c r="E9471" t="s" s="9">
        <v>53</v>
      </c>
      <c r="F9471" t="s" s="10">
        <v>53</v>
      </c>
      <c r="G9471" t="s" s="11">
        <v>53</v>
      </c>
      <c r="H9471" t="s" s="10">
        <v>53</v>
      </c>
      <c r="I9471" t="s" s="11">
        <v>53</v>
      </c>
      <c r="J9471" t="s" s="11">
        <v>53</v>
      </c>
      <c r="K9471" t="s" s="12">
        <v>53</v>
      </c>
      <c r="L9471" t="s" s="12">
        <v>53</v>
      </c>
      <c r="M9471" t="s" s="10">
        <v>53</v>
      </c>
      <c r="N9471" t="s" s="11">
        <v>53</v>
      </c>
      <c r="O9471" t="s" s="8">
        <v>53</v>
      </c>
      <c r="P9471" t="s" s="8">
        <v>53</v>
      </c>
      <c r="Q9471" t="s" s="12">
        <v>53</v>
      </c>
      <c r="R9471" t="s" s="12">
        <v>53</v>
      </c>
    </row>
    <row r="9472" s="2" customFormat="1" ht="13.5" customHeight="1">
      <c r="B9472" s="13"/>
      <c r="C9472" t="s" s="9">
        <v>16</v>
      </c>
      <c r="D9472" t="s" s="8">
        <v>3501</v>
      </c>
      <c r="E9472" t="s" s="9">
        <v>3504</v>
      </c>
      <c r="F9472" t="s" s="10">
        <v>80</v>
      </c>
      <c r="G9472" t="s" s="11">
        <v>80</v>
      </c>
      <c r="H9472" t="s" s="10">
        <v>80</v>
      </c>
      <c r="I9472" t="s" s="11">
        <v>80</v>
      </c>
      <c r="J9472" t="s" s="11">
        <v>20</v>
      </c>
      <c r="K9472" t="s" s="16">
        <f>HYPERLINK("http://csr.bu.edu/ftp/asl/asllvd/demos/verify_start_end_handshape_annotations//test_auto_move//signs_mov/3810.mov","MOV")</f>
        <v>21</v>
      </c>
      <c r="L9472" t="s" s="16">
        <f>HYPERLINK("http://csr.bu.edu/ftp/asl/asllvd/demos/verify_start_end_handshape_annotations//test_auto_move//signs_mov_separ_signers/Liz_3810.mov","MOV")</f>
        <v>21</v>
      </c>
      <c r="M9472" t="s" s="10">
        <v>59</v>
      </c>
      <c r="N9472" s="17">
        <v>33</v>
      </c>
      <c r="O9472" s="18">
        <v>2682</v>
      </c>
      <c r="P9472" s="18">
        <v>2732</v>
      </c>
      <c r="Q9472" t="s" s="16">
        <f>HYPERLINK("http://secrets.rutgers.edu:8080/data/asl-ftp/asllvd/demos/verify_start_end_handshape_annotations//test_auto_move//signs_mov/3810.mov","MOV")</f>
        <v>21</v>
      </c>
      <c r="R9472" t="s" s="16">
        <f>HYPERLINK("http://secrets.rutgers.edu:8080/data/asl-ftp/asllvd/demos/verify_start_end_handshape_annotations//test_auto_move//signs_mov_separ_signers/Liz_3810.mov","MOV")</f>
        <v>21</v>
      </c>
    </row>
    <row r="9473" s="2" customFormat="1" ht="13.5" customHeight="1">
      <c r="B9473" s="13"/>
      <c r="C9473" t="s" s="9">
        <v>30</v>
      </c>
      <c r="D9473" t="s" s="8">
        <v>3501</v>
      </c>
      <c r="E9473" t="s" s="9">
        <v>3505</v>
      </c>
      <c r="F9473" s="19">
        <v>3</v>
      </c>
      <c r="G9473" s="17">
        <v>3</v>
      </c>
      <c r="H9473" t="s" s="10">
        <v>80</v>
      </c>
      <c r="I9473" t="s" s="11">
        <v>80</v>
      </c>
      <c r="J9473" t="s" s="11">
        <v>20</v>
      </c>
      <c r="K9473" s="15"/>
      <c r="L9473" t="s" s="16">
        <f>HYPERLINK("http://csr.bu.edu/ftp/asl/asllvd/demos/verify_start_end_handshape_annotations//test_auto_move//signs_mov_separ_signers/Brady_3810.mov","MOV")</f>
        <v>21</v>
      </c>
      <c r="M9473" t="s" s="10">
        <v>60</v>
      </c>
      <c r="N9473" s="17">
        <v>22</v>
      </c>
      <c r="O9473" s="18">
        <v>929</v>
      </c>
      <c r="P9473" s="18">
        <v>967</v>
      </c>
      <c r="Q9473" s="15"/>
      <c r="R9473" t="s" s="16">
        <f>HYPERLINK("http://secrets.rutgers.edu:8080/data/asl-ftp/asllvd/demos/verify_start_end_handshape_annotations//test_auto_move//signs_mov_separ_signers/Brady_3810.mov","MOV")</f>
        <v>21</v>
      </c>
    </row>
    <row r="9474" s="2" customFormat="1" ht="13.5" customHeight="1">
      <c r="B9474" t="s" s="8">
        <v>3506</v>
      </c>
      <c r="C9474" t="s" s="9">
        <v>14</v>
      </c>
      <c r="D9474" t="s" s="8">
        <v>14</v>
      </c>
      <c r="E9474" t="s" s="9">
        <v>14</v>
      </c>
      <c r="F9474" t="s" s="10">
        <v>14</v>
      </c>
      <c r="G9474" t="s" s="11">
        <v>14</v>
      </c>
      <c r="H9474" t="s" s="10">
        <v>14</v>
      </c>
      <c r="I9474" t="s" s="11">
        <v>14</v>
      </c>
      <c r="J9474" t="s" s="11">
        <v>14</v>
      </c>
      <c r="K9474" t="s" s="12">
        <v>14</v>
      </c>
      <c r="L9474" t="s" s="12">
        <v>14</v>
      </c>
      <c r="M9474" t="s" s="10">
        <v>14</v>
      </c>
      <c r="N9474" t="s" s="11">
        <v>14</v>
      </c>
      <c r="O9474" t="s" s="8">
        <v>14</v>
      </c>
      <c r="P9474" t="s" s="8">
        <v>14</v>
      </c>
      <c r="Q9474" t="s" s="12">
        <v>14</v>
      </c>
      <c r="R9474" t="s" s="12">
        <v>14</v>
      </c>
    </row>
    <row r="9475" s="2" customFormat="1" ht="13.5" customHeight="1">
      <c r="B9475" s="13"/>
      <c r="C9475" t="s" s="9">
        <v>16</v>
      </c>
      <c r="D9475" t="s" s="8">
        <v>3506</v>
      </c>
      <c r="E9475" t="s" s="9">
        <v>3507</v>
      </c>
      <c r="F9475" t="s" s="10">
        <v>72</v>
      </c>
      <c r="G9475" t="s" s="11">
        <v>72</v>
      </c>
      <c r="H9475" t="s" s="10">
        <v>72</v>
      </c>
      <c r="I9475" t="s" s="11">
        <v>72</v>
      </c>
      <c r="J9475" t="s" s="11">
        <v>20</v>
      </c>
      <c r="K9475" t="s" s="16">
        <f>HYPERLINK("http://csr.bu.edu/ftp/asl/asllvd/demos/verify_start_end_handshape_annotations//test_auto_move//signs_mov/2791.mov","MOV")</f>
        <v>21</v>
      </c>
      <c r="L9475" t="s" s="16">
        <f>HYPERLINK("http://csr.bu.edu/ftp/asl/asllvd/demos/verify_start_end_handshape_annotations//test_auto_move//signs_mov_separ_signers/Liz_2791.mov","MOV")</f>
        <v>21</v>
      </c>
      <c r="M9475" t="s" s="10">
        <v>59</v>
      </c>
      <c r="N9475" s="17">
        <v>34</v>
      </c>
      <c r="O9475" s="18">
        <v>635</v>
      </c>
      <c r="P9475" s="18">
        <v>700</v>
      </c>
      <c r="Q9475" t="s" s="16">
        <f>HYPERLINK("http://secrets.rutgers.edu:8080/data/asl-ftp/asllvd/demos/verify_start_end_handshape_annotations//test_auto_move//signs_mov/2791.mov","MOV")</f>
        <v>21</v>
      </c>
      <c r="R9475" t="s" s="16">
        <f>HYPERLINK("http://secrets.rutgers.edu:8080/data/asl-ftp/asllvd/demos/verify_start_end_handshape_annotations//test_auto_move//signs_mov_separ_signers/Liz_2791.mov","MOV")</f>
        <v>21</v>
      </c>
    </row>
    <row r="9476" s="2" customFormat="1" ht="13.5" customHeight="1">
      <c r="B9476" s="13"/>
      <c r="C9476" t="s" s="9">
        <v>30</v>
      </c>
      <c r="D9476" t="s" s="8">
        <v>3506</v>
      </c>
      <c r="E9476" t="s" s="9">
        <v>3506</v>
      </c>
      <c r="F9476" s="19">
        <v>5</v>
      </c>
      <c r="G9476" s="17">
        <v>5</v>
      </c>
      <c r="H9476" s="19">
        <v>5</v>
      </c>
      <c r="I9476" s="17">
        <v>5</v>
      </c>
      <c r="J9476" t="s" s="11">
        <v>20</v>
      </c>
      <c r="K9476" s="15"/>
      <c r="L9476" t="s" s="16">
        <f>HYPERLINK("http://csr.bu.edu/ftp/asl/asllvd/demos/verify_start_end_handshape_annotations//test_auto_move//signs_mov_separ_signers/Brady_2791.mov","MOV")</f>
        <v>21</v>
      </c>
      <c r="M9476" t="s" s="10">
        <v>60</v>
      </c>
      <c r="N9476" s="17">
        <v>22</v>
      </c>
      <c r="O9476" s="18">
        <v>1374</v>
      </c>
      <c r="P9476" s="18">
        <v>1423</v>
      </c>
      <c r="Q9476" s="15"/>
      <c r="R9476" t="s" s="16">
        <f>HYPERLINK("http://secrets.rutgers.edu:8080/data/asl-ftp/asllvd/demos/verify_start_end_handshape_annotations//test_auto_move//signs_mov_separ_signers/Brady_2791.mov","MOV")</f>
        <v>21</v>
      </c>
    </row>
    <row r="9477" s="2" customFormat="1" ht="13.5" customHeight="1">
      <c r="B9477" t="s" s="8">
        <v>3508</v>
      </c>
      <c r="C9477" t="s" s="9">
        <v>14</v>
      </c>
      <c r="D9477" t="s" s="8">
        <v>14</v>
      </c>
      <c r="E9477" t="s" s="9">
        <v>14</v>
      </c>
      <c r="F9477" t="s" s="10">
        <v>14</v>
      </c>
      <c r="G9477" t="s" s="11">
        <v>14</v>
      </c>
      <c r="H9477" t="s" s="10">
        <v>14</v>
      </c>
      <c r="I9477" t="s" s="11">
        <v>14</v>
      </c>
      <c r="J9477" t="s" s="11">
        <v>14</v>
      </c>
      <c r="K9477" t="s" s="12">
        <v>14</v>
      </c>
      <c r="L9477" t="s" s="12">
        <v>14</v>
      </c>
      <c r="M9477" t="s" s="10">
        <v>14</v>
      </c>
      <c r="N9477" t="s" s="11">
        <v>14</v>
      </c>
      <c r="O9477" t="s" s="8">
        <v>14</v>
      </c>
      <c r="P9477" t="s" s="8">
        <v>14</v>
      </c>
      <c r="Q9477" t="s" s="12">
        <v>14</v>
      </c>
      <c r="R9477" t="s" s="12">
        <v>14</v>
      </c>
    </row>
    <row r="9478" s="2" customFormat="1" ht="13.5" customHeight="1">
      <c r="B9478" s="13"/>
      <c r="C9478" t="s" s="9">
        <v>16</v>
      </c>
      <c r="D9478" t="s" s="8">
        <v>3508</v>
      </c>
      <c r="E9478" t="s" s="9">
        <v>3509</v>
      </c>
      <c r="F9478" t="s" s="10">
        <v>73</v>
      </c>
      <c r="G9478" t="s" s="11">
        <v>73</v>
      </c>
      <c r="H9478" t="s" s="10">
        <v>73</v>
      </c>
      <c r="I9478" t="s" s="11">
        <v>73</v>
      </c>
      <c r="J9478" t="s" s="11">
        <v>20</v>
      </c>
      <c r="K9478" t="s" s="16">
        <f>HYPERLINK("http://csr.bu.edu/ftp/asl/asllvd/demos/verify_start_end_handshape_annotations//test_auto_move//signs_mov/2799.mov","MOV")</f>
        <v>21</v>
      </c>
      <c r="L9478" t="s" s="16">
        <f>HYPERLINK("http://csr.bu.edu/ftp/asl/asllvd/demos/verify_start_end_handshape_annotations//test_auto_move//signs_mov_separ_signers/Liz_2799.mov","MOV")</f>
        <v>21</v>
      </c>
      <c r="M9478" t="s" s="10">
        <v>59</v>
      </c>
      <c r="N9478" s="17">
        <v>34</v>
      </c>
      <c r="O9478" s="18">
        <v>3285</v>
      </c>
      <c r="P9478" s="18">
        <v>3355</v>
      </c>
      <c r="Q9478" t="s" s="16">
        <f>HYPERLINK("http://secrets.rutgers.edu:8080/data/asl-ftp/asllvd/demos/verify_start_end_handshape_annotations//test_auto_move//signs_mov/2799.mov","MOV")</f>
        <v>21</v>
      </c>
      <c r="R9478" t="s" s="16">
        <f>HYPERLINK("http://secrets.rutgers.edu:8080/data/asl-ftp/asllvd/demos/verify_start_end_handshape_annotations//test_auto_move//signs_mov_separ_signers/Liz_2799.mov","MOV")</f>
        <v>21</v>
      </c>
    </row>
    <row r="9479" s="2" customFormat="1" ht="13.5" customHeight="1">
      <c r="B9479" s="13"/>
      <c r="C9479" t="s" s="9">
        <v>30</v>
      </c>
      <c r="D9479" t="s" s="8">
        <v>3508</v>
      </c>
      <c r="E9479" t="s" s="9">
        <v>3509</v>
      </c>
      <c r="F9479" t="s" s="10">
        <v>73</v>
      </c>
      <c r="G9479" t="s" s="11">
        <v>73</v>
      </c>
      <c r="H9479" t="s" s="10">
        <v>73</v>
      </c>
      <c r="I9479" t="s" s="11">
        <v>73</v>
      </c>
      <c r="J9479" t="s" s="11">
        <v>20</v>
      </c>
      <c r="K9479" s="15"/>
      <c r="L9479" t="s" s="16">
        <f>HYPERLINK("http://csr.bu.edu/ftp/asl/asllvd/demos/verify_start_end_handshape_annotations//test_auto_move//signs_mov_separ_signers/Brady_2799.mov","MOV")</f>
        <v>21</v>
      </c>
      <c r="M9479" t="s" s="10">
        <v>60</v>
      </c>
      <c r="N9479" s="17">
        <v>23</v>
      </c>
      <c r="O9479" s="18">
        <v>744</v>
      </c>
      <c r="P9479" s="18">
        <v>795</v>
      </c>
      <c r="Q9479" s="15"/>
      <c r="R9479" t="s" s="16">
        <f>HYPERLINK("http://secrets.rutgers.edu:8080/data/asl-ftp/asllvd/demos/verify_start_end_handshape_annotations//test_auto_move//signs_mov_separ_signers/Brady_2799.mov","MOV")</f>
        <v>21</v>
      </c>
    </row>
    <row r="9480" s="2" customFormat="1" ht="13.5" customHeight="1">
      <c r="B9480" t="s" s="8">
        <v>3510</v>
      </c>
      <c r="C9480" t="s" s="9">
        <v>14</v>
      </c>
      <c r="D9480" t="s" s="8">
        <v>14</v>
      </c>
      <c r="E9480" t="s" s="9">
        <v>14</v>
      </c>
      <c r="F9480" t="s" s="10">
        <v>14</v>
      </c>
      <c r="G9480" t="s" s="11">
        <v>14</v>
      </c>
      <c r="H9480" t="s" s="10">
        <v>14</v>
      </c>
      <c r="I9480" t="s" s="11">
        <v>14</v>
      </c>
      <c r="J9480" t="s" s="11">
        <v>14</v>
      </c>
      <c r="K9480" t="s" s="12">
        <v>14</v>
      </c>
      <c r="L9480" t="s" s="12">
        <v>14</v>
      </c>
      <c r="M9480" t="s" s="10">
        <v>14</v>
      </c>
      <c r="N9480" t="s" s="11">
        <v>14</v>
      </c>
      <c r="O9480" t="s" s="8">
        <v>14</v>
      </c>
      <c r="P9480" t="s" s="8">
        <v>14</v>
      </c>
      <c r="Q9480" t="s" s="12">
        <v>14</v>
      </c>
      <c r="R9480" t="s" s="12">
        <v>14</v>
      </c>
    </row>
    <row r="9481" s="2" customFormat="1" ht="13.5" customHeight="1">
      <c r="B9481" s="13"/>
      <c r="C9481" t="s" s="9">
        <v>16</v>
      </c>
      <c r="D9481" t="s" s="8">
        <v>3510</v>
      </c>
      <c r="E9481" t="s" s="9">
        <v>3510</v>
      </c>
      <c r="F9481" t="s" s="10">
        <v>72</v>
      </c>
      <c r="G9481" t="s" s="11">
        <v>72</v>
      </c>
      <c r="H9481" t="s" s="10">
        <v>187</v>
      </c>
      <c r="I9481" t="s" s="11">
        <v>187</v>
      </c>
      <c r="J9481" t="s" s="11">
        <v>20</v>
      </c>
      <c r="K9481" t="s" s="16">
        <f>HYPERLINK("http://csr.bu.edu/ftp/asl/asllvd/demos/verify_start_end_handshape_annotations//test_auto_move//signs_mov/2800.mov","MOV")</f>
        <v>21</v>
      </c>
      <c r="L9481" t="s" s="16">
        <f>HYPERLINK("http://csr.bu.edu/ftp/asl/asllvd/demos/verify_start_end_handshape_annotations//test_auto_move//signs_mov_separ_signers/Liz_2800.mov","MOV")</f>
        <v>21</v>
      </c>
      <c r="M9481" t="s" s="10">
        <v>59</v>
      </c>
      <c r="N9481" s="17">
        <v>35</v>
      </c>
      <c r="O9481" s="18">
        <v>350</v>
      </c>
      <c r="P9481" s="18">
        <v>390</v>
      </c>
      <c r="Q9481" t="s" s="16">
        <f>HYPERLINK("http://secrets.rutgers.edu:8080/data/asl-ftp/asllvd/demos/verify_start_end_handshape_annotations//test_auto_move//signs_mov/2800.mov","MOV")</f>
        <v>21</v>
      </c>
      <c r="R9481" t="s" s="16">
        <f>HYPERLINK("http://secrets.rutgers.edu:8080/data/asl-ftp/asllvd/demos/verify_start_end_handshape_annotations//test_auto_move//signs_mov_separ_signers/Liz_2800.mov","MOV")</f>
        <v>21</v>
      </c>
    </row>
    <row r="9482" s="2" customFormat="1" ht="13.5" customHeight="1">
      <c r="B9482" s="13"/>
      <c r="C9482" t="s" s="9">
        <v>30</v>
      </c>
      <c r="D9482" t="s" s="8">
        <v>3510</v>
      </c>
      <c r="E9482" t="s" s="9">
        <v>3510</v>
      </c>
      <c r="F9482" s="19">
        <v>5</v>
      </c>
      <c r="G9482" s="17">
        <v>5</v>
      </c>
      <c r="H9482" t="s" s="10">
        <v>187</v>
      </c>
      <c r="I9482" t="s" s="11">
        <v>187</v>
      </c>
      <c r="J9482" t="s" s="11">
        <v>20</v>
      </c>
      <c r="K9482" s="15"/>
      <c r="L9482" t="s" s="16">
        <f>HYPERLINK("http://csr.bu.edu/ftp/asl/asllvd/demos/verify_start_end_handshape_annotations//test_auto_move//signs_mov_separ_signers/Brady_2800.mov","MOV")</f>
        <v>21</v>
      </c>
      <c r="M9482" t="s" s="10">
        <v>60</v>
      </c>
      <c r="N9482" s="17">
        <v>23</v>
      </c>
      <c r="O9482" s="18">
        <v>974</v>
      </c>
      <c r="P9482" s="18">
        <v>998</v>
      </c>
      <c r="Q9482" s="15"/>
      <c r="R9482" t="s" s="16">
        <f>HYPERLINK("http://secrets.rutgers.edu:8080/data/asl-ftp/asllvd/demos/verify_start_end_handshape_annotations//test_auto_move//signs_mov_separ_signers/Brady_2800.mov","MOV")</f>
        <v>21</v>
      </c>
    </row>
    <row r="9483" s="2" customFormat="1" ht="13.5" customHeight="1">
      <c r="B9483" t="s" s="8">
        <v>52</v>
      </c>
      <c r="C9483" t="s" s="9">
        <v>53</v>
      </c>
      <c r="D9483" t="s" s="8">
        <v>53</v>
      </c>
      <c r="E9483" t="s" s="9">
        <v>53</v>
      </c>
      <c r="F9483" t="s" s="10">
        <v>53</v>
      </c>
      <c r="G9483" t="s" s="11">
        <v>53</v>
      </c>
      <c r="H9483" t="s" s="10">
        <v>53</v>
      </c>
      <c r="I9483" t="s" s="11">
        <v>53</v>
      </c>
      <c r="J9483" t="s" s="11">
        <v>53</v>
      </c>
      <c r="K9483" t="s" s="12">
        <v>53</v>
      </c>
      <c r="L9483" t="s" s="12">
        <v>53</v>
      </c>
      <c r="M9483" t="s" s="10">
        <v>53</v>
      </c>
      <c r="N9483" t="s" s="11">
        <v>53</v>
      </c>
      <c r="O9483" t="s" s="8">
        <v>53</v>
      </c>
      <c r="P9483" t="s" s="8">
        <v>53</v>
      </c>
      <c r="Q9483" t="s" s="12">
        <v>53</v>
      </c>
      <c r="R9483" t="s" s="12">
        <v>53</v>
      </c>
    </row>
    <row r="9484" s="2" customFormat="1" ht="13.5" customHeight="1">
      <c r="B9484" s="13"/>
      <c r="C9484" t="s" s="9">
        <v>41</v>
      </c>
      <c r="D9484" t="s" s="8">
        <v>3510</v>
      </c>
      <c r="E9484" t="s" s="9">
        <v>3511</v>
      </c>
      <c r="F9484" s="19">
        <v>5</v>
      </c>
      <c r="G9484" s="17">
        <v>5</v>
      </c>
      <c r="H9484" t="s" s="10">
        <v>72</v>
      </c>
      <c r="I9484" t="s" s="11">
        <v>72</v>
      </c>
      <c r="J9484" t="s" s="11">
        <v>20</v>
      </c>
      <c r="K9484" t="s" s="16">
        <f>HYPERLINK("http://csr.bu.edu/ftp/asl/asllvd/demos/verify_start_end_handshape_annotations//test_auto_move//signs_mov/15157.mov","MOV")</f>
        <v>21</v>
      </c>
      <c r="L9484" t="s" s="16">
        <f>HYPERLINK("http://csr.bu.edu/ftp/asl/asllvd/demos/verify_start_end_handshape_annotations//test_auto_move//signs_mov_separ_signers/Lana_15157.mov","MOV")</f>
        <v>21</v>
      </c>
      <c r="M9484" t="s" s="10">
        <v>442</v>
      </c>
      <c r="N9484" s="17">
        <v>61</v>
      </c>
      <c r="O9484" s="18">
        <v>3004</v>
      </c>
      <c r="P9484" s="18">
        <v>3032</v>
      </c>
      <c r="Q9484" t="s" s="16">
        <f>HYPERLINK("http://secrets.rutgers.edu:8080/data/asl-ftp/asllvd/demos/verify_start_end_handshape_annotations//test_auto_move//signs_mov/15157.mov","MOV")</f>
        <v>21</v>
      </c>
      <c r="R9484" t="s" s="16">
        <f>HYPERLINK("http://secrets.rutgers.edu:8080/data/asl-ftp/asllvd/demos/verify_start_end_handshape_annotations//test_auto_move//signs_mov_separ_signers/Lana_15157.mov","MOV")</f>
        <v>21</v>
      </c>
    </row>
    <row r="9485" s="2" customFormat="1" ht="13.5" customHeight="1">
      <c r="B9485" t="s" s="8">
        <v>3512</v>
      </c>
      <c r="C9485" t="s" s="9">
        <v>14</v>
      </c>
      <c r="D9485" t="s" s="8">
        <v>14</v>
      </c>
      <c r="E9485" t="s" s="9">
        <v>14</v>
      </c>
      <c r="F9485" t="s" s="10">
        <v>14</v>
      </c>
      <c r="G9485" t="s" s="11">
        <v>14</v>
      </c>
      <c r="H9485" t="s" s="10">
        <v>14</v>
      </c>
      <c r="I9485" t="s" s="11">
        <v>14</v>
      </c>
      <c r="J9485" t="s" s="11">
        <v>14</v>
      </c>
      <c r="K9485" t="s" s="12">
        <v>14</v>
      </c>
      <c r="L9485" t="s" s="12">
        <v>14</v>
      </c>
      <c r="M9485" t="s" s="10">
        <v>14</v>
      </c>
      <c r="N9485" t="s" s="11">
        <v>14</v>
      </c>
      <c r="O9485" t="s" s="8">
        <v>14</v>
      </c>
      <c r="P9485" t="s" s="8">
        <v>14</v>
      </c>
      <c r="Q9485" t="s" s="12">
        <v>14</v>
      </c>
      <c r="R9485" t="s" s="12">
        <v>14</v>
      </c>
    </row>
    <row r="9486" s="2" customFormat="1" ht="13.5" customHeight="1">
      <c r="B9486" s="13"/>
      <c r="C9486" t="s" s="9">
        <v>16</v>
      </c>
      <c r="D9486" t="s" s="8">
        <v>3513</v>
      </c>
      <c r="E9486" t="s" s="9">
        <v>3514</v>
      </c>
      <c r="F9486" t="s" s="10">
        <v>2795</v>
      </c>
      <c r="G9486" t="s" s="11">
        <v>2795</v>
      </c>
      <c r="H9486" t="s" s="10">
        <v>2795</v>
      </c>
      <c r="I9486" t="s" s="11">
        <v>2795</v>
      </c>
      <c r="J9486" t="s" s="11">
        <v>20</v>
      </c>
      <c r="K9486" t="s" s="16">
        <f>HYPERLINK("http://csr.bu.edu/ftp/asl/asllvd/demos/verify_start_end_handshape_annotations//test_auto_move//signs_mov/2801.mov","MOV")</f>
        <v>21</v>
      </c>
      <c r="L9486" t="s" s="16">
        <f>HYPERLINK("http://csr.bu.edu/ftp/asl/asllvd/demos/verify_start_end_handshape_annotations//test_auto_move//signs_mov_separ_signers/Liz_2801.mov","MOV")</f>
        <v>21</v>
      </c>
      <c r="M9486" t="s" s="10">
        <v>59</v>
      </c>
      <c r="N9486" s="17">
        <v>35</v>
      </c>
      <c r="O9486" s="18">
        <v>640</v>
      </c>
      <c r="P9486" s="18">
        <v>701</v>
      </c>
      <c r="Q9486" t="s" s="16">
        <f>HYPERLINK("http://secrets.rutgers.edu:8080/data/asl-ftp/asllvd/demos/verify_start_end_handshape_annotations//test_auto_move//signs_mov/2801.mov","MOV")</f>
        <v>21</v>
      </c>
      <c r="R9486" t="s" s="16">
        <f>HYPERLINK("http://secrets.rutgers.edu:8080/data/asl-ftp/asllvd/demos/verify_start_end_handshape_annotations//test_auto_move//signs_mov_separ_signers/Liz_2801.mov","MOV")</f>
        <v>21</v>
      </c>
    </row>
    <row r="9487" s="2" customFormat="1" ht="13.5" customHeight="1">
      <c r="B9487" s="13"/>
      <c r="C9487" t="s" s="9">
        <v>30</v>
      </c>
      <c r="D9487" t="s" s="8">
        <v>3513</v>
      </c>
      <c r="E9487" t="s" s="9">
        <v>3514</v>
      </c>
      <c r="F9487" t="s" s="10">
        <v>406</v>
      </c>
      <c r="G9487" t="s" s="11">
        <v>406</v>
      </c>
      <c r="H9487" t="s" s="10">
        <v>406</v>
      </c>
      <c r="I9487" t="s" s="11">
        <v>406</v>
      </c>
      <c r="J9487" t="s" s="11">
        <v>20</v>
      </c>
      <c r="K9487" s="15"/>
      <c r="L9487" t="s" s="16">
        <f>HYPERLINK("http://csr.bu.edu/ftp/asl/asllvd/demos/verify_start_end_handshape_annotations//test_auto_move//signs_mov_separ_signers/Brady_2801.mov","MOV")</f>
        <v>21</v>
      </c>
      <c r="M9487" t="s" s="10">
        <v>60</v>
      </c>
      <c r="N9487" s="17">
        <v>23</v>
      </c>
      <c r="O9487" s="18">
        <v>1216</v>
      </c>
      <c r="P9487" s="18">
        <v>1268</v>
      </c>
      <c r="Q9487" s="15"/>
      <c r="R9487" t="s" s="16">
        <f>HYPERLINK("http://secrets.rutgers.edu:8080/data/asl-ftp/asllvd/demos/verify_start_end_handshape_annotations//test_auto_move//signs_mov_separ_signers/Brady_2801.mov","MOV")</f>
        <v>21</v>
      </c>
    </row>
    <row r="9488" s="2" customFormat="1" ht="13.5" customHeight="1">
      <c r="B9488" t="s" s="8">
        <v>3515</v>
      </c>
      <c r="C9488" t="s" s="9">
        <v>14</v>
      </c>
      <c r="D9488" t="s" s="8">
        <v>14</v>
      </c>
      <c r="E9488" t="s" s="9">
        <v>14</v>
      </c>
      <c r="F9488" t="s" s="10">
        <v>14</v>
      </c>
      <c r="G9488" t="s" s="11">
        <v>14</v>
      </c>
      <c r="H9488" t="s" s="10">
        <v>14</v>
      </c>
      <c r="I9488" t="s" s="11">
        <v>14</v>
      </c>
      <c r="J9488" t="s" s="11">
        <v>14</v>
      </c>
      <c r="K9488" t="s" s="12">
        <v>14</v>
      </c>
      <c r="L9488" t="s" s="12">
        <v>14</v>
      </c>
      <c r="M9488" t="s" s="10">
        <v>14</v>
      </c>
      <c r="N9488" t="s" s="11">
        <v>14</v>
      </c>
      <c r="O9488" t="s" s="8">
        <v>14</v>
      </c>
      <c r="P9488" t="s" s="8">
        <v>14</v>
      </c>
      <c r="Q9488" t="s" s="12">
        <v>14</v>
      </c>
      <c r="R9488" t="s" s="12">
        <v>14</v>
      </c>
    </row>
    <row r="9489" s="2" customFormat="1" ht="13.5" customHeight="1">
      <c r="B9489" s="13"/>
      <c r="C9489" t="s" s="9">
        <v>16</v>
      </c>
      <c r="D9489" t="s" s="8">
        <v>3515</v>
      </c>
      <c r="E9489" t="s" s="9">
        <v>3515</v>
      </c>
      <c r="F9489" t="s" s="10">
        <v>68</v>
      </c>
      <c r="G9489" s="14"/>
      <c r="H9489" t="s" s="10">
        <v>2795</v>
      </c>
      <c r="I9489" s="14"/>
      <c r="J9489" t="s" s="11">
        <v>20</v>
      </c>
      <c r="K9489" t="s" s="16">
        <f>HYPERLINK("http://csr.bu.edu/ftp/asl/asllvd/demos/verify_start_end_handshape_annotations//test_auto_move//signs_mov/2802.mov","MOV")</f>
        <v>21</v>
      </c>
      <c r="L9489" t="s" s="16">
        <f>HYPERLINK("http://csr.bu.edu/ftp/asl/asllvd/demos/verify_start_end_handshape_annotations//test_auto_move//signs_mov_separ_signers/Liz_2802.mov","MOV")</f>
        <v>21</v>
      </c>
      <c r="M9489" t="s" s="10">
        <v>59</v>
      </c>
      <c r="N9489" s="17">
        <v>35</v>
      </c>
      <c r="O9489" s="18">
        <v>1512</v>
      </c>
      <c r="P9489" s="18">
        <v>1548</v>
      </c>
      <c r="Q9489" t="s" s="16">
        <f>HYPERLINK("http://secrets.rutgers.edu:8080/data/asl-ftp/asllvd/demos/verify_start_end_handshape_annotations//test_auto_move//signs_mov/2802.mov","MOV")</f>
        <v>21</v>
      </c>
      <c r="R9489" t="s" s="16">
        <f>HYPERLINK("http://secrets.rutgers.edu:8080/data/asl-ftp/asllvd/demos/verify_start_end_handshape_annotations//test_auto_move//signs_mov_separ_signers/Liz_2802.mov","MOV")</f>
        <v>21</v>
      </c>
    </row>
    <row r="9490" s="2" customFormat="1" ht="13.5" customHeight="1">
      <c r="B9490" s="13"/>
      <c r="C9490" t="s" s="9">
        <v>30</v>
      </c>
      <c r="D9490" t="s" s="8">
        <v>3515</v>
      </c>
      <c r="E9490" t="s" s="9">
        <v>3515</v>
      </c>
      <c r="F9490" s="19">
        <v>10</v>
      </c>
      <c r="G9490" s="14"/>
      <c r="H9490" s="19">
        <v>5</v>
      </c>
      <c r="I9490" s="14"/>
      <c r="J9490" t="s" s="11">
        <v>20</v>
      </c>
      <c r="K9490" s="15"/>
      <c r="L9490" t="s" s="16">
        <f>HYPERLINK("http://csr.bu.edu/ftp/asl/asllvd/demos/verify_start_end_handshape_annotations//test_auto_move//signs_mov_separ_signers/Brady_2802.mov","MOV")</f>
        <v>21</v>
      </c>
      <c r="M9490" t="s" s="10">
        <v>60</v>
      </c>
      <c r="N9490" s="17">
        <v>23</v>
      </c>
      <c r="O9490" s="18">
        <v>1450</v>
      </c>
      <c r="P9490" s="18">
        <v>1472</v>
      </c>
      <c r="Q9490" s="15"/>
      <c r="R9490" t="s" s="16">
        <f>HYPERLINK("http://secrets.rutgers.edu:8080/data/asl-ftp/asllvd/demos/verify_start_end_handshape_annotations//test_auto_move//signs_mov_separ_signers/Brady_2802.mov","MOV")</f>
        <v>21</v>
      </c>
    </row>
    <row r="9491" s="2" customFormat="1" ht="13.5" customHeight="1">
      <c r="B9491" t="s" s="8">
        <v>3516</v>
      </c>
      <c r="C9491" t="s" s="9">
        <v>14</v>
      </c>
      <c r="D9491" t="s" s="8">
        <v>14</v>
      </c>
      <c r="E9491" t="s" s="9">
        <v>14</v>
      </c>
      <c r="F9491" t="s" s="10">
        <v>14</v>
      </c>
      <c r="G9491" t="s" s="11">
        <v>14</v>
      </c>
      <c r="H9491" t="s" s="10">
        <v>14</v>
      </c>
      <c r="I9491" t="s" s="11">
        <v>14</v>
      </c>
      <c r="J9491" t="s" s="11">
        <v>14</v>
      </c>
      <c r="K9491" t="s" s="12">
        <v>14</v>
      </c>
      <c r="L9491" t="s" s="12">
        <v>14</v>
      </c>
      <c r="M9491" t="s" s="10">
        <v>14</v>
      </c>
      <c r="N9491" t="s" s="11">
        <v>14</v>
      </c>
      <c r="O9491" t="s" s="8">
        <v>14</v>
      </c>
      <c r="P9491" t="s" s="8">
        <v>14</v>
      </c>
      <c r="Q9491" t="s" s="12">
        <v>14</v>
      </c>
      <c r="R9491" t="s" s="12">
        <v>14</v>
      </c>
    </row>
    <row r="9492" s="2" customFormat="1" ht="13.5" customHeight="1">
      <c r="B9492" s="13"/>
      <c r="C9492" t="s" s="9">
        <v>16</v>
      </c>
      <c r="D9492" t="s" s="8">
        <v>3516</v>
      </c>
      <c r="E9492" t="s" s="9">
        <v>3517</v>
      </c>
      <c r="F9492" t="s" s="10">
        <v>73</v>
      </c>
      <c r="G9492" t="s" s="11">
        <v>73</v>
      </c>
      <c r="H9492" t="s" s="10">
        <v>73</v>
      </c>
      <c r="I9492" t="s" s="11">
        <v>73</v>
      </c>
      <c r="J9492" t="s" s="11">
        <v>20</v>
      </c>
      <c r="K9492" t="s" s="16">
        <f>HYPERLINK("http://csr.bu.edu/ftp/asl/asllvd/demos/verify_start_end_handshape_annotations//test_auto_move//signs_mov/2805.mov","MOV")</f>
        <v>21</v>
      </c>
      <c r="L9492" t="s" s="16">
        <f>HYPERLINK("http://csr.bu.edu/ftp/asl/asllvd/demos/verify_start_end_handshape_annotations//test_auto_move//signs_mov_separ_signers/Liz_2805.mov","MOV")</f>
        <v>21</v>
      </c>
      <c r="M9492" t="s" s="10">
        <v>59</v>
      </c>
      <c r="N9492" s="17">
        <v>35</v>
      </c>
      <c r="O9492" s="18">
        <v>2280</v>
      </c>
      <c r="P9492" s="18">
        <v>2346</v>
      </c>
      <c r="Q9492" t="s" s="16">
        <f>HYPERLINK("http://secrets.rutgers.edu:8080/data/asl-ftp/asllvd/demos/verify_start_end_handshape_annotations//test_auto_move//signs_mov/2805.mov","MOV")</f>
        <v>21</v>
      </c>
      <c r="R9492" t="s" s="16">
        <f>HYPERLINK("http://secrets.rutgers.edu:8080/data/asl-ftp/asllvd/demos/verify_start_end_handshape_annotations//test_auto_move//signs_mov_separ_signers/Liz_2805.mov","MOV")</f>
        <v>21</v>
      </c>
    </row>
    <row r="9493" s="2" customFormat="1" ht="13.5" customHeight="1">
      <c r="B9493" t="s" s="8">
        <v>3518</v>
      </c>
      <c r="C9493" t="s" s="9">
        <v>14</v>
      </c>
      <c r="D9493" t="s" s="8">
        <v>14</v>
      </c>
      <c r="E9493" t="s" s="9">
        <v>14</v>
      </c>
      <c r="F9493" t="s" s="10">
        <v>14</v>
      </c>
      <c r="G9493" t="s" s="11">
        <v>14</v>
      </c>
      <c r="H9493" t="s" s="10">
        <v>14</v>
      </c>
      <c r="I9493" t="s" s="11">
        <v>14</v>
      </c>
      <c r="J9493" t="s" s="11">
        <v>14</v>
      </c>
      <c r="K9493" t="s" s="12">
        <v>14</v>
      </c>
      <c r="L9493" t="s" s="12">
        <v>14</v>
      </c>
      <c r="M9493" t="s" s="10">
        <v>14</v>
      </c>
      <c r="N9493" t="s" s="11">
        <v>14</v>
      </c>
      <c r="O9493" t="s" s="8">
        <v>14</v>
      </c>
      <c r="P9493" t="s" s="8">
        <v>14</v>
      </c>
      <c r="Q9493" t="s" s="12">
        <v>14</v>
      </c>
      <c r="R9493" t="s" s="12">
        <v>14</v>
      </c>
    </row>
    <row r="9494" s="2" customFormat="1" ht="13.5" customHeight="1">
      <c r="B9494" s="13"/>
      <c r="C9494" t="s" s="9">
        <v>30</v>
      </c>
      <c r="D9494" t="s" s="8">
        <v>3519</v>
      </c>
      <c r="E9494" t="s" s="9">
        <v>3519</v>
      </c>
      <c r="F9494" t="s" s="10">
        <v>63</v>
      </c>
      <c r="G9494" t="s" s="11">
        <v>63</v>
      </c>
      <c r="H9494" t="s" s="10">
        <v>18</v>
      </c>
      <c r="I9494" t="s" s="11">
        <v>18</v>
      </c>
      <c r="J9494" t="s" s="11">
        <v>20</v>
      </c>
      <c r="K9494" t="s" s="16">
        <f>HYPERLINK("http://csr.bu.edu/ftp/asl/asllvd/demos/verify_start_end_handshape_annotations//test_auto_move//signs_mov/16120.mov","MOV")</f>
        <v>21</v>
      </c>
      <c r="L9494" t="s" s="16">
        <f>HYPERLINK("http://csr.bu.edu/ftp/asl/asllvd/demos/verify_start_end_handshape_annotations//test_auto_move//signs_mov_separ_signers/Brady_16120.mov","MOV")</f>
        <v>21</v>
      </c>
      <c r="M9494" t="s" s="10">
        <v>60</v>
      </c>
      <c r="N9494" s="17">
        <v>23</v>
      </c>
      <c r="O9494" s="18">
        <v>3424</v>
      </c>
      <c r="P9494" s="18">
        <v>3466</v>
      </c>
      <c r="Q9494" t="s" s="16">
        <f>HYPERLINK("http://secrets.rutgers.edu:8080/data/asl-ftp/asllvd/demos/verify_start_end_handshape_annotations//test_auto_move//signs_mov/16120.mov","MOV")</f>
        <v>21</v>
      </c>
      <c r="R9494" t="s" s="16">
        <f>HYPERLINK("http://secrets.rutgers.edu:8080/data/asl-ftp/asllvd/demos/verify_start_end_handshape_annotations//test_auto_move//signs_mov_separ_signers/Brady_16120.mov","MOV")</f>
        <v>21</v>
      </c>
    </row>
    <row r="9495" s="2" customFormat="1" ht="13.5" customHeight="1">
      <c r="B9495" t="s" s="8">
        <v>3520</v>
      </c>
      <c r="C9495" t="s" s="9">
        <v>14</v>
      </c>
      <c r="D9495" t="s" s="8">
        <v>14</v>
      </c>
      <c r="E9495" t="s" s="9">
        <v>14</v>
      </c>
      <c r="F9495" t="s" s="10">
        <v>14</v>
      </c>
      <c r="G9495" t="s" s="11">
        <v>14</v>
      </c>
      <c r="H9495" t="s" s="10">
        <v>14</v>
      </c>
      <c r="I9495" t="s" s="11">
        <v>14</v>
      </c>
      <c r="J9495" t="s" s="11">
        <v>14</v>
      </c>
      <c r="K9495" t="s" s="12">
        <v>14</v>
      </c>
      <c r="L9495" t="s" s="12">
        <v>14</v>
      </c>
      <c r="M9495" t="s" s="10">
        <v>14</v>
      </c>
      <c r="N9495" t="s" s="11">
        <v>14</v>
      </c>
      <c r="O9495" t="s" s="8">
        <v>14</v>
      </c>
      <c r="P9495" t="s" s="8">
        <v>14</v>
      </c>
      <c r="Q9495" t="s" s="12">
        <v>14</v>
      </c>
      <c r="R9495" t="s" s="12">
        <v>14</v>
      </c>
    </row>
    <row r="9496" s="2" customFormat="1" ht="13.5" customHeight="1">
      <c r="B9496" s="13"/>
      <c r="C9496" t="s" s="9">
        <v>16</v>
      </c>
      <c r="D9496" t="s" s="8">
        <v>3520</v>
      </c>
      <c r="E9496" t="s" s="9">
        <v>3520</v>
      </c>
      <c r="F9496" t="s" s="10">
        <v>2795</v>
      </c>
      <c r="G9496" s="14"/>
      <c r="H9496" t="s" s="10">
        <v>2795</v>
      </c>
      <c r="I9496" s="14"/>
      <c r="J9496" t="s" s="11">
        <v>20</v>
      </c>
      <c r="K9496" s="15"/>
      <c r="L9496" t="s" s="16">
        <f>HYPERLINK("http://csr.bu.edu/ftp/asl/asllvd/demos/verify_start_end_handshape_annotations//test_auto_move//signs_mov_separ_signers/Liz_2812.mov","MOV")</f>
        <v>21</v>
      </c>
      <c r="M9496" t="s" s="10">
        <v>59</v>
      </c>
      <c r="N9496" s="17">
        <v>36</v>
      </c>
      <c r="O9496" s="18">
        <v>810</v>
      </c>
      <c r="P9496" s="18">
        <v>850</v>
      </c>
      <c r="Q9496" s="15"/>
      <c r="R9496" t="s" s="16">
        <f>HYPERLINK("http://secrets.rutgers.edu:8080/data/asl-ftp/asllvd/demos/verify_start_end_handshape_annotations//test_auto_move//signs_mov_separ_signers/Liz_2812.mov","MOV")</f>
        <v>21</v>
      </c>
    </row>
    <row r="9497" s="2" customFormat="1" ht="13.5" customHeight="1">
      <c r="B9497" s="13"/>
      <c r="C9497" t="s" s="9">
        <v>30</v>
      </c>
      <c r="D9497" t="s" s="8">
        <v>3520</v>
      </c>
      <c r="E9497" t="s" s="9">
        <v>3520</v>
      </c>
      <c r="F9497" t="s" s="10">
        <v>406</v>
      </c>
      <c r="G9497" s="14"/>
      <c r="H9497" t="s" s="10">
        <v>406</v>
      </c>
      <c r="I9497" s="14"/>
      <c r="J9497" t="s" s="11">
        <v>20</v>
      </c>
      <c r="K9497" t="s" s="16">
        <f>HYPERLINK("http://csr.bu.edu/ftp/asl/asllvd/demos/verify_start_end_handshape_annotations//test_auto_move//signs_mov/2812_5836_merged.mov","MOV")</f>
        <v>21</v>
      </c>
      <c r="L9497" t="s" s="16">
        <f>HYPERLINK("http://csr.bu.edu/ftp/asl/asllvd/demos/verify_start_end_handshape_annotations//test_auto_move//signs_mov_separ_signers/Brady_2812.mov","MOV")</f>
        <v>21</v>
      </c>
      <c r="M9497" t="s" s="10">
        <v>60</v>
      </c>
      <c r="N9497" s="17">
        <v>24</v>
      </c>
      <c r="O9497" s="18">
        <v>902</v>
      </c>
      <c r="P9497" s="18">
        <v>918</v>
      </c>
      <c r="Q9497" t="s" s="16">
        <f>HYPERLINK("http://secrets.rutgers.edu:8080/data/asl-ftp/asllvd/demos/verify_start_end_handshape_annotations//test_auto_move//signs_mov/2812_5836_merged.mov","MOV")</f>
        <v>21</v>
      </c>
      <c r="R9497" t="s" s="16">
        <f>HYPERLINK("http://secrets.rutgers.edu:8080/data/asl-ftp/asllvd/demos/verify_start_end_handshape_annotations//test_auto_move//signs_mov_separ_signers/Brady_2812.mov","MOV")</f>
        <v>21</v>
      </c>
    </row>
    <row r="9498" s="2" customFormat="1" ht="13.5" customHeight="1">
      <c r="B9498" s="13"/>
      <c r="C9498" t="s" s="9">
        <v>30</v>
      </c>
      <c r="D9498" t="s" s="8">
        <v>3520</v>
      </c>
      <c r="E9498" t="s" s="9">
        <v>3520</v>
      </c>
      <c r="F9498" t="s" s="10">
        <v>406</v>
      </c>
      <c r="G9498" s="14"/>
      <c r="H9498" t="s" s="10">
        <v>406</v>
      </c>
      <c r="I9498" s="14"/>
      <c r="J9498" t="s" s="11">
        <v>20</v>
      </c>
      <c r="K9498" s="15"/>
      <c r="L9498" t="s" s="16">
        <f>HYPERLINK("http://csr.bu.edu/ftp/asl/asllvd/demos/verify_start_end_handshape_annotations//test_auto_move//signs_mov_separ_signers/Brady_5836.mov","MOV")</f>
        <v>21</v>
      </c>
      <c r="M9498" t="s" s="10">
        <v>60</v>
      </c>
      <c r="N9498" s="17">
        <v>24</v>
      </c>
      <c r="O9498" s="18">
        <v>1157</v>
      </c>
      <c r="P9498" s="18">
        <v>1182</v>
      </c>
      <c r="Q9498" s="15"/>
      <c r="R9498" t="s" s="16">
        <f>HYPERLINK("http://secrets.rutgers.edu:8080/data/asl-ftp/asllvd/demos/verify_start_end_handshape_annotations//test_auto_move//signs_mov_separ_signers/Brady_5836.mov","MOV")</f>
        <v>21</v>
      </c>
    </row>
    <row r="9499" s="2" customFormat="1" ht="13.5" customHeight="1">
      <c r="B9499" t="s" s="8">
        <v>3521</v>
      </c>
      <c r="C9499" t="s" s="9">
        <v>14</v>
      </c>
      <c r="D9499" t="s" s="8">
        <v>14</v>
      </c>
      <c r="E9499" t="s" s="9">
        <v>14</v>
      </c>
      <c r="F9499" t="s" s="10">
        <v>14</v>
      </c>
      <c r="G9499" t="s" s="11">
        <v>14</v>
      </c>
      <c r="H9499" t="s" s="10">
        <v>14</v>
      </c>
      <c r="I9499" t="s" s="11">
        <v>14</v>
      </c>
      <c r="J9499" t="s" s="11">
        <v>14</v>
      </c>
      <c r="K9499" t="s" s="12">
        <v>14</v>
      </c>
      <c r="L9499" t="s" s="12">
        <v>14</v>
      </c>
      <c r="M9499" t="s" s="10">
        <v>14</v>
      </c>
      <c r="N9499" t="s" s="11">
        <v>14</v>
      </c>
      <c r="O9499" t="s" s="8">
        <v>14</v>
      </c>
      <c r="P9499" t="s" s="8">
        <v>14</v>
      </c>
      <c r="Q9499" t="s" s="12">
        <v>14</v>
      </c>
      <c r="R9499" t="s" s="12">
        <v>14</v>
      </c>
    </row>
    <row r="9500" s="2" customFormat="1" ht="13.5" customHeight="1">
      <c r="B9500" s="13"/>
      <c r="C9500" t="s" s="9">
        <v>16</v>
      </c>
      <c r="D9500" t="s" s="8">
        <v>3521</v>
      </c>
      <c r="E9500" t="s" s="9">
        <v>3521</v>
      </c>
      <c r="F9500" t="s" s="10">
        <v>68</v>
      </c>
      <c r="G9500" t="s" s="11">
        <v>150</v>
      </c>
      <c r="H9500" s="19">
        <v>5</v>
      </c>
      <c r="I9500" t="s" s="11">
        <v>150</v>
      </c>
      <c r="J9500" t="s" s="11">
        <v>20</v>
      </c>
      <c r="K9500" t="s" s="16">
        <f>HYPERLINK("http://csr.bu.edu/ftp/asl/asllvd/demos/verify_start_end_handshape_annotations//test_auto_move//signs_mov/2813.mov","MOV")</f>
        <v>21</v>
      </c>
      <c r="L9500" t="s" s="16">
        <f>HYPERLINK("http://csr.bu.edu/ftp/asl/asllvd/demos/verify_start_end_handshape_annotations//test_auto_move//signs_mov_separ_signers/Liz_2813.mov","MOV")</f>
        <v>21</v>
      </c>
      <c r="M9500" t="s" s="10">
        <v>59</v>
      </c>
      <c r="N9500" s="17">
        <v>36</v>
      </c>
      <c r="O9500" s="18">
        <v>1040</v>
      </c>
      <c r="P9500" s="18">
        <v>1070</v>
      </c>
      <c r="Q9500" t="s" s="16">
        <f>HYPERLINK("http://secrets.rutgers.edu:8080/data/asl-ftp/asllvd/demos/verify_start_end_handshape_annotations//test_auto_move//signs_mov/2813.mov","MOV")</f>
        <v>21</v>
      </c>
      <c r="R9500" t="s" s="16">
        <f>HYPERLINK("http://secrets.rutgers.edu:8080/data/asl-ftp/asllvd/demos/verify_start_end_handshape_annotations//test_auto_move//signs_mov_separ_signers/Liz_2813.mov","MOV")</f>
        <v>21</v>
      </c>
    </row>
    <row r="9501" s="2" customFormat="1" ht="13.5" customHeight="1">
      <c r="B9501" s="13"/>
      <c r="C9501" t="s" s="9">
        <v>30</v>
      </c>
      <c r="D9501" t="s" s="8">
        <v>3521</v>
      </c>
      <c r="E9501" t="s" s="9">
        <v>3521</v>
      </c>
      <c r="F9501" t="s" s="10">
        <v>68</v>
      </c>
      <c r="G9501" s="17">
        <v>5</v>
      </c>
      <c r="H9501" s="19">
        <v>5</v>
      </c>
      <c r="I9501" s="17">
        <v>5</v>
      </c>
      <c r="J9501" t="s" s="11">
        <v>20</v>
      </c>
      <c r="K9501" s="15"/>
      <c r="L9501" t="s" s="16">
        <f>HYPERLINK("http://csr.bu.edu/ftp/asl/asllvd/demos/verify_start_end_handshape_annotations//test_auto_move//signs_mov_separ_signers/Brady_2813.mov","MOV")</f>
        <v>21</v>
      </c>
      <c r="M9501" t="s" s="10">
        <v>60</v>
      </c>
      <c r="N9501" s="17">
        <v>24</v>
      </c>
      <c r="O9501" s="18">
        <v>1941</v>
      </c>
      <c r="P9501" s="18">
        <v>1962</v>
      </c>
      <c r="Q9501" s="15"/>
      <c r="R9501" t="s" s="16">
        <f>HYPERLINK("http://secrets.rutgers.edu:8080/data/asl-ftp/asllvd/demos/verify_start_end_handshape_annotations//test_auto_move//signs_mov_separ_signers/Brady_2813.mov","MOV")</f>
        <v>21</v>
      </c>
    </row>
    <row r="9502" s="2" customFormat="1" ht="13.5" customHeight="1">
      <c r="B9502" t="s" s="8">
        <v>52</v>
      </c>
      <c r="C9502" t="s" s="9">
        <v>53</v>
      </c>
      <c r="D9502" t="s" s="8">
        <v>53</v>
      </c>
      <c r="E9502" t="s" s="9">
        <v>53</v>
      </c>
      <c r="F9502" t="s" s="10">
        <v>53</v>
      </c>
      <c r="G9502" t="s" s="11">
        <v>53</v>
      </c>
      <c r="H9502" t="s" s="10">
        <v>53</v>
      </c>
      <c r="I9502" t="s" s="11">
        <v>53</v>
      </c>
      <c r="J9502" t="s" s="11">
        <v>53</v>
      </c>
      <c r="K9502" t="s" s="12">
        <v>53</v>
      </c>
      <c r="L9502" t="s" s="12">
        <v>53</v>
      </c>
      <c r="M9502" t="s" s="10">
        <v>53</v>
      </c>
      <c r="N9502" t="s" s="11">
        <v>53</v>
      </c>
      <c r="O9502" t="s" s="8">
        <v>53</v>
      </c>
      <c r="P9502" t="s" s="8">
        <v>53</v>
      </c>
      <c r="Q9502" t="s" s="12">
        <v>53</v>
      </c>
      <c r="R9502" t="s" s="12">
        <v>53</v>
      </c>
    </row>
    <row r="9503" s="2" customFormat="1" ht="13.5" customHeight="1">
      <c r="B9503" s="13"/>
      <c r="C9503" t="s" s="9">
        <v>16</v>
      </c>
      <c r="D9503" t="s" s="8">
        <v>3521</v>
      </c>
      <c r="E9503" t="s" s="9">
        <v>3522</v>
      </c>
      <c r="F9503" t="s" s="10">
        <v>150</v>
      </c>
      <c r="G9503" t="s" s="11">
        <v>150</v>
      </c>
      <c r="H9503" t="s" s="10">
        <v>150</v>
      </c>
      <c r="I9503" t="s" s="11">
        <v>150</v>
      </c>
      <c r="J9503" t="s" s="11">
        <v>20</v>
      </c>
      <c r="K9503" t="s" s="16">
        <f>HYPERLINK("http://csr.bu.edu/ftp/asl/asllvd/demos/verify_start_end_handshape_annotations//test_auto_move//signs_mov/3814.mov","MOV")</f>
        <v>21</v>
      </c>
      <c r="L9503" t="s" s="16">
        <f>HYPERLINK("http://csr.bu.edu/ftp/asl/asllvd/demos/verify_start_end_handshape_annotations//test_auto_move//signs_mov_separ_signers/Liz_3814.mov","MOV")</f>
        <v>21</v>
      </c>
      <c r="M9503" t="s" s="10">
        <v>59</v>
      </c>
      <c r="N9503" s="17">
        <v>36</v>
      </c>
      <c r="O9503" s="18">
        <v>1245</v>
      </c>
      <c r="P9503" s="18">
        <v>1285</v>
      </c>
      <c r="Q9503" t="s" s="16">
        <f>HYPERLINK("http://secrets.rutgers.edu:8080/data/asl-ftp/asllvd/demos/verify_start_end_handshape_annotations//test_auto_move//signs_mov/3814.mov","MOV")</f>
        <v>21</v>
      </c>
      <c r="R9503" t="s" s="16">
        <f>HYPERLINK("http://secrets.rutgers.edu:8080/data/asl-ftp/asllvd/demos/verify_start_end_handshape_annotations//test_auto_move//signs_mov_separ_signers/Liz_3814.mov","MOV")</f>
        <v>21</v>
      </c>
    </row>
    <row r="9504" s="2" customFormat="1" ht="13.5" customHeight="1">
      <c r="B9504" s="13"/>
      <c r="C9504" t="s" s="9">
        <v>30</v>
      </c>
      <c r="D9504" t="s" s="8">
        <v>3521</v>
      </c>
      <c r="E9504" t="s" s="9">
        <v>3522</v>
      </c>
      <c r="F9504" s="19">
        <v>5</v>
      </c>
      <c r="G9504" s="17">
        <v>5</v>
      </c>
      <c r="H9504" s="19">
        <v>5</v>
      </c>
      <c r="I9504" s="17">
        <v>5</v>
      </c>
      <c r="J9504" t="s" s="11">
        <v>20</v>
      </c>
      <c r="K9504" s="15"/>
      <c r="L9504" t="s" s="16">
        <f>HYPERLINK("http://csr.bu.edu/ftp/asl/asllvd/demos/verify_start_end_handshape_annotations//test_auto_move//signs_mov_separ_signers/Brady_3814.mov","MOV")</f>
        <v>21</v>
      </c>
      <c r="M9504" t="s" s="10">
        <v>60</v>
      </c>
      <c r="N9504" s="17">
        <v>24</v>
      </c>
      <c r="O9504" s="18">
        <v>2008</v>
      </c>
      <c r="P9504" s="18">
        <v>2058</v>
      </c>
      <c r="Q9504" s="15"/>
      <c r="R9504" t="s" s="16">
        <f>HYPERLINK("http://secrets.rutgers.edu:8080/data/asl-ftp/asllvd/demos/verify_start_end_handshape_annotations//test_auto_move//signs_mov_separ_signers/Brady_3814.mov","MOV")</f>
        <v>21</v>
      </c>
    </row>
    <row r="9505" s="2" customFormat="1" ht="13.5" customHeight="1">
      <c r="B9505" t="s" s="8">
        <v>3523</v>
      </c>
      <c r="C9505" t="s" s="9">
        <v>14</v>
      </c>
      <c r="D9505" t="s" s="8">
        <v>14</v>
      </c>
      <c r="E9505" t="s" s="9">
        <v>14</v>
      </c>
      <c r="F9505" t="s" s="10">
        <v>14</v>
      </c>
      <c r="G9505" t="s" s="11">
        <v>14</v>
      </c>
      <c r="H9505" t="s" s="10">
        <v>14</v>
      </c>
      <c r="I9505" t="s" s="11">
        <v>14</v>
      </c>
      <c r="J9505" t="s" s="11">
        <v>14</v>
      </c>
      <c r="K9505" t="s" s="12">
        <v>14</v>
      </c>
      <c r="L9505" t="s" s="12">
        <v>14</v>
      </c>
      <c r="M9505" t="s" s="10">
        <v>14</v>
      </c>
      <c r="N9505" t="s" s="11">
        <v>14</v>
      </c>
      <c r="O9505" t="s" s="8">
        <v>14</v>
      </c>
      <c r="P9505" t="s" s="8">
        <v>14</v>
      </c>
      <c r="Q9505" t="s" s="12">
        <v>14</v>
      </c>
      <c r="R9505" t="s" s="12">
        <v>14</v>
      </c>
    </row>
    <row r="9506" s="2" customFormat="1" ht="13.5" customHeight="1">
      <c r="B9506" s="13"/>
      <c r="C9506" t="s" s="9">
        <v>16</v>
      </c>
      <c r="D9506" t="s" s="8">
        <v>3523</v>
      </c>
      <c r="E9506" t="s" s="9">
        <v>3524</v>
      </c>
      <c r="F9506" t="s" s="10">
        <v>406</v>
      </c>
      <c r="G9506" s="14"/>
      <c r="H9506" t="s" s="10">
        <v>406</v>
      </c>
      <c r="I9506" s="14"/>
      <c r="J9506" t="s" s="11">
        <v>20</v>
      </c>
      <c r="K9506" s="15"/>
      <c r="L9506" t="s" s="16">
        <f>HYPERLINK("http://csr.bu.edu/ftp/asl/asllvd/demos/verify_start_end_handshape_annotations//test_auto_move//signs_mov_separ_signers/Liz_2819.mov","MOV")</f>
        <v>21</v>
      </c>
      <c r="M9506" t="s" s="10">
        <v>59</v>
      </c>
      <c r="N9506" s="17">
        <v>36</v>
      </c>
      <c r="O9506" s="18">
        <v>3590</v>
      </c>
      <c r="P9506" s="18">
        <v>3624</v>
      </c>
      <c r="Q9506" s="15"/>
      <c r="R9506" t="s" s="16">
        <f>HYPERLINK("http://secrets.rutgers.edu:8080/data/asl-ftp/asllvd/demos/verify_start_end_handshape_annotations//test_auto_move//signs_mov_separ_signers/Liz_2819.mov","MOV")</f>
        <v>21</v>
      </c>
    </row>
    <row r="9507" s="2" customFormat="1" ht="13.5" customHeight="1">
      <c r="B9507" s="13"/>
      <c r="C9507" t="s" s="9">
        <v>30</v>
      </c>
      <c r="D9507" t="s" s="8">
        <v>3523</v>
      </c>
      <c r="E9507" t="s" s="9">
        <v>3525</v>
      </c>
      <c r="F9507" t="s" s="10">
        <v>406</v>
      </c>
      <c r="G9507" s="14"/>
      <c r="H9507" t="s" s="10">
        <v>406</v>
      </c>
      <c r="I9507" s="14"/>
      <c r="J9507" t="s" s="11">
        <v>20</v>
      </c>
      <c r="K9507" t="s" s="16">
        <f>HYPERLINK("http://csr.bu.edu/ftp/asl/asllvd/demos/verify_start_end_handshape_annotations//test_auto_move//signs_mov/2819.mov","MOV")</f>
        <v>21</v>
      </c>
      <c r="L9507" t="s" s="16">
        <f>HYPERLINK("http://csr.bu.edu/ftp/asl/asllvd/demos/verify_start_end_handshape_annotations//test_auto_move//signs_mov_separ_signers/Brady_2819.mov","MOV")</f>
        <v>21</v>
      </c>
      <c r="M9507" t="s" s="10">
        <v>60</v>
      </c>
      <c r="N9507" s="17">
        <v>25</v>
      </c>
      <c r="O9507" s="18">
        <v>407</v>
      </c>
      <c r="P9507" s="18">
        <v>445</v>
      </c>
      <c r="Q9507" t="s" s="16">
        <f>HYPERLINK("http://secrets.rutgers.edu:8080/data/asl-ftp/asllvd/demos/verify_start_end_handshape_annotations//test_auto_move//signs_mov/2819.mov","MOV")</f>
        <v>21</v>
      </c>
      <c r="R9507" t="s" s="16">
        <f>HYPERLINK("http://secrets.rutgers.edu:8080/data/asl-ftp/asllvd/demos/verify_start_end_handshape_annotations//test_auto_move//signs_mov_separ_signers/Brady_2819.mov","MOV")</f>
        <v>21</v>
      </c>
    </row>
    <row r="9508" s="2" customFormat="1" ht="13.5" customHeight="1">
      <c r="B9508" s="13"/>
      <c r="C9508" t="s" s="9">
        <v>41</v>
      </c>
      <c r="D9508" t="s" s="8">
        <v>3523</v>
      </c>
      <c r="E9508" t="s" s="9">
        <v>3524</v>
      </c>
      <c r="F9508" t="s" s="10">
        <v>406</v>
      </c>
      <c r="G9508" s="14"/>
      <c r="H9508" t="s" s="10">
        <v>406</v>
      </c>
      <c r="I9508" s="14"/>
      <c r="J9508" t="s" s="11">
        <v>20</v>
      </c>
      <c r="K9508" s="15"/>
      <c r="L9508" t="s" s="16">
        <f>HYPERLINK("http://csr.bu.edu/ftp/asl/asllvd/demos/verify_start_end_handshape_annotations//test_auto_move//signs_mov_separ_signers/Lana_2819.mov","MOV")</f>
        <v>21</v>
      </c>
      <c r="M9508" t="s" s="10">
        <v>42</v>
      </c>
      <c r="N9508" s="17">
        <v>25</v>
      </c>
      <c r="O9508" s="18">
        <v>1284</v>
      </c>
      <c r="P9508" s="18">
        <v>1322</v>
      </c>
      <c r="Q9508" s="15"/>
      <c r="R9508" t="s" s="16">
        <f>HYPERLINK("http://secrets.rutgers.edu:8080/data/asl-ftp/asllvd/demos/verify_start_end_handshape_annotations//test_auto_move//signs_mov_separ_signers/Lana_2819.mov","MOV")</f>
        <v>21</v>
      </c>
    </row>
    <row r="9509" s="2" customFormat="1" ht="13.5" customHeight="1">
      <c r="B9509" s="13"/>
      <c r="C9509" t="s" s="9">
        <v>43</v>
      </c>
      <c r="D9509" t="s" s="8">
        <v>3523</v>
      </c>
      <c r="E9509" t="s" s="9">
        <v>3525</v>
      </c>
      <c r="F9509" t="s" s="10">
        <v>406</v>
      </c>
      <c r="G9509" s="14"/>
      <c r="H9509" t="s" s="10">
        <v>406</v>
      </c>
      <c r="I9509" s="14"/>
      <c r="J9509" t="s" s="11">
        <v>20</v>
      </c>
      <c r="K9509" s="15"/>
      <c r="L9509" t="s" s="16">
        <f>HYPERLINK("http://csr.bu.edu/ftp/asl/asllvd/demos/verify_start_end_handshape_annotations//test_auto_move//signs_mov_separ_signers/Dana_2819.mov","MOV")</f>
        <v>21</v>
      </c>
      <c r="M9509" t="s" s="10">
        <v>44</v>
      </c>
      <c r="N9509" s="17">
        <v>27</v>
      </c>
      <c r="O9509" s="18">
        <v>1199</v>
      </c>
      <c r="P9509" s="18">
        <v>1256</v>
      </c>
      <c r="Q9509" s="15"/>
      <c r="R9509" t="s" s="16">
        <f>HYPERLINK("http://secrets.rutgers.edu:8080/data/asl-ftp/asllvd/demos/verify_start_end_handshape_annotations//test_auto_move//signs_mov_separ_signers/Dana_2819.mov","MOV")</f>
        <v>21</v>
      </c>
    </row>
    <row r="9510" s="2" customFormat="1" ht="13.5" customHeight="1">
      <c r="B9510" t="s" s="8">
        <v>3526</v>
      </c>
      <c r="C9510" t="s" s="9">
        <v>14</v>
      </c>
      <c r="D9510" t="s" s="8">
        <v>14</v>
      </c>
      <c r="E9510" t="s" s="9">
        <v>14</v>
      </c>
      <c r="F9510" t="s" s="10">
        <v>14</v>
      </c>
      <c r="G9510" t="s" s="11">
        <v>14</v>
      </c>
      <c r="H9510" t="s" s="10">
        <v>14</v>
      </c>
      <c r="I9510" t="s" s="11">
        <v>14</v>
      </c>
      <c r="J9510" t="s" s="11">
        <v>14</v>
      </c>
      <c r="K9510" t="s" s="12">
        <v>14</v>
      </c>
      <c r="L9510" t="s" s="12">
        <v>14</v>
      </c>
      <c r="M9510" t="s" s="10">
        <v>14</v>
      </c>
      <c r="N9510" t="s" s="11">
        <v>14</v>
      </c>
      <c r="O9510" t="s" s="8">
        <v>14</v>
      </c>
      <c r="P9510" t="s" s="8">
        <v>14</v>
      </c>
      <c r="Q9510" t="s" s="12">
        <v>14</v>
      </c>
      <c r="R9510" t="s" s="12">
        <v>14</v>
      </c>
    </row>
    <row r="9511" s="2" customFormat="1" ht="13.5" customHeight="1">
      <c r="B9511" s="13"/>
      <c r="C9511" t="s" s="9">
        <v>16</v>
      </c>
      <c r="D9511" t="s" s="8">
        <v>3526</v>
      </c>
      <c r="E9511" t="s" s="9">
        <v>3526</v>
      </c>
      <c r="F9511" t="s" s="10">
        <v>72</v>
      </c>
      <c r="G9511" t="s" s="11">
        <v>72</v>
      </c>
      <c r="H9511" t="s" s="10">
        <v>72</v>
      </c>
      <c r="I9511" t="s" s="11">
        <v>72</v>
      </c>
      <c r="J9511" t="s" s="11">
        <v>20</v>
      </c>
      <c r="K9511" t="s" s="16">
        <f>HYPERLINK("http://csr.bu.edu/ftp/asl/asllvd/demos/verify_start_end_handshape_annotations//test_auto_move//signs_mov/2822.mov","MOV")</f>
        <v>21</v>
      </c>
      <c r="L9511" t="s" s="16">
        <f>HYPERLINK("http://csr.bu.edu/ftp/asl/asllvd/demos/verify_start_end_handshape_annotations//test_auto_move//signs_mov_separ_signers/Liz_2822.mov","MOV")</f>
        <v>21</v>
      </c>
      <c r="M9511" t="s" s="10">
        <v>59</v>
      </c>
      <c r="N9511" s="17">
        <v>37</v>
      </c>
      <c r="O9511" s="18">
        <v>961</v>
      </c>
      <c r="P9511" s="18">
        <v>1035</v>
      </c>
      <c r="Q9511" t="s" s="16">
        <f>HYPERLINK("http://secrets.rutgers.edu:8080/data/asl-ftp/asllvd/demos/verify_start_end_handshape_annotations//test_auto_move//signs_mov/2822.mov","MOV")</f>
        <v>21</v>
      </c>
      <c r="R9511" t="s" s="16">
        <f>HYPERLINK("http://secrets.rutgers.edu:8080/data/asl-ftp/asllvd/demos/verify_start_end_handshape_annotations//test_auto_move//signs_mov_separ_signers/Liz_2822.mov","MOV")</f>
        <v>21</v>
      </c>
    </row>
    <row r="9512" s="2" customFormat="1" ht="13.5" customHeight="1">
      <c r="B9512" s="13"/>
      <c r="C9512" t="s" s="9">
        <v>30</v>
      </c>
      <c r="D9512" t="s" s="8">
        <v>3526</v>
      </c>
      <c r="E9512" t="s" s="9">
        <v>3527</v>
      </c>
      <c r="F9512" t="s" s="10">
        <v>185</v>
      </c>
      <c r="G9512" t="s" s="11">
        <v>185</v>
      </c>
      <c r="H9512" t="s" s="10">
        <v>185</v>
      </c>
      <c r="I9512" t="s" s="11">
        <v>185</v>
      </c>
      <c r="J9512" t="s" s="11">
        <v>20</v>
      </c>
      <c r="K9512" s="15"/>
      <c r="L9512" t="s" s="16">
        <f>HYPERLINK("http://csr.bu.edu/ftp/asl/asllvd/demos/verify_start_end_handshape_annotations//test_auto_move//signs_mov_separ_signers/Brady_2822.mov","MOV")</f>
        <v>21</v>
      </c>
      <c r="M9512" t="s" s="10">
        <v>60</v>
      </c>
      <c r="N9512" s="17">
        <v>25</v>
      </c>
      <c r="O9512" s="18">
        <v>1262</v>
      </c>
      <c r="P9512" s="18">
        <v>1314</v>
      </c>
      <c r="Q9512" s="15"/>
      <c r="R9512" t="s" s="16">
        <f>HYPERLINK("http://secrets.rutgers.edu:8080/data/asl-ftp/asllvd/demos/verify_start_end_handshape_annotations//test_auto_move//signs_mov_separ_signers/Brady_2822.mov","MOV")</f>
        <v>21</v>
      </c>
    </row>
    <row r="9513" s="2" customFormat="1" ht="27.75" customHeight="1">
      <c r="B9513" t="s" s="8">
        <v>3528</v>
      </c>
      <c r="C9513" t="s" s="9">
        <v>14</v>
      </c>
      <c r="D9513" t="s" s="8">
        <v>14</v>
      </c>
      <c r="E9513" t="s" s="9">
        <v>14</v>
      </c>
      <c r="F9513" t="s" s="10">
        <v>14</v>
      </c>
      <c r="G9513" t="s" s="11">
        <v>14</v>
      </c>
      <c r="H9513" t="s" s="10">
        <v>14</v>
      </c>
      <c r="I9513" t="s" s="11">
        <v>14</v>
      </c>
      <c r="J9513" t="s" s="11">
        <v>14</v>
      </c>
      <c r="K9513" t="s" s="12">
        <v>14</v>
      </c>
      <c r="L9513" t="s" s="12">
        <v>14</v>
      </c>
      <c r="M9513" t="s" s="10">
        <v>14</v>
      </c>
      <c r="N9513" t="s" s="11">
        <v>14</v>
      </c>
      <c r="O9513" t="s" s="8">
        <v>14</v>
      </c>
      <c r="P9513" t="s" s="8">
        <v>14</v>
      </c>
      <c r="Q9513" t="s" s="12">
        <v>14</v>
      </c>
      <c r="R9513" t="s" s="12">
        <v>14</v>
      </c>
    </row>
    <row r="9514" s="2" customFormat="1" ht="27.75" customHeight="1">
      <c r="B9514" s="13"/>
      <c r="C9514" t="s" s="9">
        <v>16</v>
      </c>
      <c r="D9514" t="s" s="8">
        <v>3529</v>
      </c>
      <c r="E9514" t="s" s="9">
        <v>3530</v>
      </c>
      <c r="F9514" t="s" s="10">
        <v>406</v>
      </c>
      <c r="G9514" t="s" s="11">
        <v>68</v>
      </c>
      <c r="H9514" t="s" s="10">
        <v>430</v>
      </c>
      <c r="I9514" t="s" s="11">
        <v>68</v>
      </c>
      <c r="J9514" t="s" s="11">
        <v>20</v>
      </c>
      <c r="K9514" t="s" s="16">
        <f>HYPERLINK("http://csr.bu.edu/ftp/asl/asllvd/demos/verify_start_end_handshape_annotations//test_auto_move//signs_mov/15262.mov","MOV")</f>
        <v>21</v>
      </c>
      <c r="L9514" t="s" s="16">
        <f>HYPERLINK("http://csr.bu.edu/ftp/asl/asllvd/demos/verify_start_end_handshape_annotations//test_auto_move//signs_mov_separ_signers/Liz_15262.mov","MOV")</f>
        <v>21</v>
      </c>
      <c r="M9514" t="s" s="10">
        <v>59</v>
      </c>
      <c r="N9514" s="17">
        <v>37</v>
      </c>
      <c r="O9514" s="18">
        <v>1175</v>
      </c>
      <c r="P9514" s="18">
        <v>1235</v>
      </c>
      <c r="Q9514" t="s" s="16">
        <f>HYPERLINK("http://secrets.rutgers.edu:8080/data/asl-ftp/asllvd/demos/verify_start_end_handshape_annotations//test_auto_move//signs_mov/15262.mov","MOV")</f>
        <v>21</v>
      </c>
      <c r="R9514" t="s" s="16">
        <f>HYPERLINK("http://secrets.rutgers.edu:8080/data/asl-ftp/asllvd/demos/verify_start_end_handshape_annotations//test_auto_move//signs_mov_separ_signers/Liz_15262.mov","MOV")</f>
        <v>21</v>
      </c>
    </row>
    <row r="9515" s="2" customFormat="1" ht="27.75" customHeight="1">
      <c r="B9515" s="13"/>
      <c r="C9515" t="s" s="9">
        <v>30</v>
      </c>
      <c r="D9515" t="s" s="8">
        <v>3529</v>
      </c>
      <c r="E9515" t="s" s="9">
        <v>3531</v>
      </c>
      <c r="F9515" t="s" s="10">
        <v>406</v>
      </c>
      <c r="G9515" t="s" s="11">
        <v>68</v>
      </c>
      <c r="H9515" s="19">
        <v>8</v>
      </c>
      <c r="I9515" t="s" s="11">
        <v>68</v>
      </c>
      <c r="J9515" t="s" s="11">
        <v>20</v>
      </c>
      <c r="K9515" s="15"/>
      <c r="L9515" t="s" s="16">
        <f>HYPERLINK("http://csr.bu.edu/ftp/asl/asllvd/demos/verify_start_end_handshape_annotations//test_auto_move//signs_mov_separ_signers/Brady_15262.mov","MOV")</f>
        <v>21</v>
      </c>
      <c r="M9515" t="s" s="10">
        <v>60</v>
      </c>
      <c r="N9515" s="17">
        <v>25</v>
      </c>
      <c r="O9515" s="18">
        <v>1938</v>
      </c>
      <c r="P9515" s="18">
        <v>1976</v>
      </c>
      <c r="Q9515" s="15"/>
      <c r="R9515" t="s" s="16">
        <f>HYPERLINK("http://secrets.rutgers.edu:8080/data/asl-ftp/asllvd/demos/verify_start_end_handshape_annotations//test_auto_move//signs_mov_separ_signers/Brady_15262.mov","MOV")</f>
        <v>21</v>
      </c>
    </row>
    <row r="9516" s="2" customFormat="1" ht="13.5" customHeight="1">
      <c r="B9516" t="s" s="8">
        <v>3532</v>
      </c>
      <c r="C9516" t="s" s="9">
        <v>14</v>
      </c>
      <c r="D9516" t="s" s="8">
        <v>14</v>
      </c>
      <c r="E9516" t="s" s="9">
        <v>14</v>
      </c>
      <c r="F9516" t="s" s="10">
        <v>14</v>
      </c>
      <c r="G9516" t="s" s="11">
        <v>14</v>
      </c>
      <c r="H9516" t="s" s="10">
        <v>14</v>
      </c>
      <c r="I9516" t="s" s="11">
        <v>14</v>
      </c>
      <c r="J9516" t="s" s="11">
        <v>14</v>
      </c>
      <c r="K9516" t="s" s="12">
        <v>14</v>
      </c>
      <c r="L9516" t="s" s="12">
        <v>14</v>
      </c>
      <c r="M9516" t="s" s="10">
        <v>14</v>
      </c>
      <c r="N9516" t="s" s="11">
        <v>14</v>
      </c>
      <c r="O9516" t="s" s="8">
        <v>14</v>
      </c>
      <c r="P9516" t="s" s="8">
        <v>14</v>
      </c>
      <c r="Q9516" t="s" s="12">
        <v>14</v>
      </c>
      <c r="R9516" t="s" s="12">
        <v>14</v>
      </c>
    </row>
    <row r="9517" s="2" customFormat="1" ht="13.5" customHeight="1">
      <c r="B9517" s="13"/>
      <c r="C9517" t="s" s="9">
        <v>16</v>
      </c>
      <c r="D9517" t="s" s="8">
        <v>3532</v>
      </c>
      <c r="E9517" t="s" s="9">
        <v>3532</v>
      </c>
      <c r="F9517" t="s" s="10">
        <v>73</v>
      </c>
      <c r="G9517" s="14"/>
      <c r="H9517" t="s" s="10">
        <v>73</v>
      </c>
      <c r="I9517" s="14"/>
      <c r="J9517" t="s" s="11">
        <v>20</v>
      </c>
      <c r="K9517" t="s" s="16">
        <f>HYPERLINK("http://csr.bu.edu/ftp/asl/asllvd/demos/verify_start_end_handshape_annotations//test_auto_move//signs_mov/2825.mov","MOV")</f>
        <v>21</v>
      </c>
      <c r="L9517" t="s" s="16">
        <f>HYPERLINK("http://csr.bu.edu/ftp/asl/asllvd/demos/verify_start_end_handshape_annotations//test_auto_move//signs_mov_separ_signers/Liz_2825.mov","MOV")</f>
        <v>21</v>
      </c>
      <c r="M9517" t="s" s="10">
        <v>59</v>
      </c>
      <c r="N9517" s="17">
        <v>37</v>
      </c>
      <c r="O9517" s="18">
        <v>1665</v>
      </c>
      <c r="P9517" s="18">
        <v>1705</v>
      </c>
      <c r="Q9517" t="s" s="16">
        <f>HYPERLINK("http://secrets.rutgers.edu:8080/data/asl-ftp/asllvd/demos/verify_start_end_handshape_annotations//test_auto_move//signs_mov/2825.mov","MOV")</f>
        <v>21</v>
      </c>
      <c r="R9517" t="s" s="16">
        <f>HYPERLINK("http://secrets.rutgers.edu:8080/data/asl-ftp/asllvd/demos/verify_start_end_handshape_annotations//test_auto_move//signs_mov_separ_signers/Liz_2825.mov","MOV")</f>
        <v>21</v>
      </c>
    </row>
    <row r="9518" s="2" customFormat="1" ht="13.5" customHeight="1">
      <c r="B9518" s="13"/>
      <c r="C9518" t="s" s="9">
        <v>30</v>
      </c>
      <c r="D9518" t="s" s="8">
        <v>3532</v>
      </c>
      <c r="E9518" t="s" s="9">
        <v>3532</v>
      </c>
      <c r="F9518" s="19">
        <v>5</v>
      </c>
      <c r="G9518" s="14"/>
      <c r="H9518" s="19">
        <v>5</v>
      </c>
      <c r="I9518" s="14"/>
      <c r="J9518" t="s" s="11">
        <v>20</v>
      </c>
      <c r="K9518" s="15"/>
      <c r="L9518" t="s" s="16">
        <f>HYPERLINK("http://csr.bu.edu/ftp/asl/asllvd/demos/verify_start_end_handshape_annotations//test_auto_move//signs_mov_separ_signers/Brady_2825.mov","MOV")</f>
        <v>21</v>
      </c>
      <c r="M9518" t="s" s="10">
        <v>60</v>
      </c>
      <c r="N9518" s="17">
        <v>25</v>
      </c>
      <c r="O9518" s="18">
        <v>2416</v>
      </c>
      <c r="P9518" s="18">
        <v>2452</v>
      </c>
      <c r="Q9518" s="15"/>
      <c r="R9518" t="s" s="16">
        <f>HYPERLINK("http://secrets.rutgers.edu:8080/data/asl-ftp/asllvd/demos/verify_start_end_handshape_annotations//test_auto_move//signs_mov_separ_signers/Brady_2825.mov","MOV")</f>
        <v>21</v>
      </c>
    </row>
    <row r="9519" s="2" customFormat="1" ht="13.5" customHeight="1">
      <c r="B9519" t="s" s="8">
        <v>3533</v>
      </c>
      <c r="C9519" t="s" s="9">
        <v>14</v>
      </c>
      <c r="D9519" t="s" s="8">
        <v>14</v>
      </c>
      <c r="E9519" t="s" s="9">
        <v>14</v>
      </c>
      <c r="F9519" t="s" s="10">
        <v>14</v>
      </c>
      <c r="G9519" t="s" s="11">
        <v>14</v>
      </c>
      <c r="H9519" t="s" s="10">
        <v>14</v>
      </c>
      <c r="I9519" t="s" s="11">
        <v>14</v>
      </c>
      <c r="J9519" t="s" s="11">
        <v>14</v>
      </c>
      <c r="K9519" t="s" s="12">
        <v>14</v>
      </c>
      <c r="L9519" t="s" s="12">
        <v>14</v>
      </c>
      <c r="M9519" t="s" s="10">
        <v>14</v>
      </c>
      <c r="N9519" t="s" s="11">
        <v>14</v>
      </c>
      <c r="O9519" t="s" s="8">
        <v>14</v>
      </c>
      <c r="P9519" t="s" s="8">
        <v>14</v>
      </c>
      <c r="Q9519" t="s" s="12">
        <v>14</v>
      </c>
      <c r="R9519" t="s" s="12">
        <v>14</v>
      </c>
    </row>
    <row r="9520" s="2" customFormat="1" ht="13.5" customHeight="1">
      <c r="B9520" s="13"/>
      <c r="C9520" t="s" s="9">
        <v>16</v>
      </c>
      <c r="D9520" t="s" s="8">
        <v>3533</v>
      </c>
      <c r="E9520" t="s" s="9">
        <v>3533</v>
      </c>
      <c r="F9520" t="s" s="10">
        <v>73</v>
      </c>
      <c r="G9520" s="14"/>
      <c r="H9520" t="s" s="10">
        <v>80</v>
      </c>
      <c r="I9520" s="14"/>
      <c r="J9520" t="s" s="11">
        <v>20</v>
      </c>
      <c r="K9520" s="15"/>
      <c r="L9520" t="s" s="16">
        <f>HYPERLINK("http://csr.bu.edu/ftp/asl/asllvd/demos/verify_start_end_handshape_annotations//test_auto_move//signs_mov_separ_signers/Liz_15835.mov","MOV")</f>
        <v>21</v>
      </c>
      <c r="M9520" t="s" s="10">
        <v>59</v>
      </c>
      <c r="N9520" s="17">
        <v>37</v>
      </c>
      <c r="O9520" s="18">
        <v>1435</v>
      </c>
      <c r="P9520" s="18">
        <v>1485</v>
      </c>
      <c r="Q9520" s="15"/>
      <c r="R9520" t="s" s="16">
        <f>HYPERLINK("http://secrets.rutgers.edu:8080/data/asl-ftp/asllvd/demos/verify_start_end_handshape_annotations//test_auto_move//signs_mov_separ_signers/Liz_15835.mov","MOV")</f>
        <v>21</v>
      </c>
    </row>
    <row r="9521" s="2" customFormat="1" ht="13.5" customHeight="1">
      <c r="B9521" s="13"/>
      <c r="C9521" t="s" s="9">
        <v>30</v>
      </c>
      <c r="D9521" t="s" s="8">
        <v>3533</v>
      </c>
      <c r="E9521" t="s" s="9">
        <v>3533</v>
      </c>
      <c r="F9521" t="s" s="10">
        <v>109</v>
      </c>
      <c r="G9521" s="14"/>
      <c r="H9521" t="s" s="10">
        <v>63</v>
      </c>
      <c r="I9521" s="14"/>
      <c r="J9521" t="s" s="11">
        <v>20</v>
      </c>
      <c r="K9521" t="s" s="16">
        <f>HYPERLINK("http://csr.bu.edu/ftp/asl/asllvd/demos/verify_start_end_handshape_annotations//test_auto_move//signs_mov/15835_15867_merged.mov","MOV")</f>
        <v>21</v>
      </c>
      <c r="L9521" t="s" s="16">
        <f>HYPERLINK("http://csr.bu.edu/ftp/asl/asllvd/demos/verify_start_end_handshape_annotations//test_auto_move//signs_mov_separ_signers/Brady_15835.mov","MOV")</f>
        <v>21</v>
      </c>
      <c r="M9521" t="s" s="10">
        <v>60</v>
      </c>
      <c r="N9521" s="17">
        <v>25</v>
      </c>
      <c r="O9521" s="18">
        <v>2180</v>
      </c>
      <c r="P9521" s="18">
        <v>2221</v>
      </c>
      <c r="Q9521" t="s" s="16">
        <f>HYPERLINK("http://secrets.rutgers.edu:8080/data/asl-ftp/asllvd/demos/verify_start_end_handshape_annotations//test_auto_move//signs_mov/15835_15867_merged.mov","MOV")</f>
        <v>21</v>
      </c>
      <c r="R9521" t="s" s="16">
        <f>HYPERLINK("http://secrets.rutgers.edu:8080/data/asl-ftp/asllvd/demos/verify_start_end_handshape_annotations//test_auto_move//signs_mov_separ_signers/Brady_15835.mov","MOV")</f>
        <v>21</v>
      </c>
    </row>
    <row r="9522" s="2" customFormat="1" ht="13.5" customHeight="1">
      <c r="B9522" s="13"/>
      <c r="C9522" t="s" s="9">
        <v>30</v>
      </c>
      <c r="D9522" t="s" s="8">
        <v>3533</v>
      </c>
      <c r="E9522" t="s" s="9">
        <v>3533</v>
      </c>
      <c r="F9522" t="s" s="10">
        <v>73</v>
      </c>
      <c r="G9522" s="14"/>
      <c r="H9522" t="s" s="10">
        <v>80</v>
      </c>
      <c r="I9522" s="14"/>
      <c r="J9522" t="s" s="11">
        <v>20</v>
      </c>
      <c r="K9522" s="15"/>
      <c r="L9522" t="s" s="16">
        <f>HYPERLINK("http://csr.bu.edu/ftp/asl/asllvd/demos/verify_start_end_handshape_annotations//test_auto_move//signs_mov_separ_signers/Brady_15867.mov","MOV")</f>
        <v>21</v>
      </c>
      <c r="M9522" t="s" s="10">
        <v>60</v>
      </c>
      <c r="N9522" s="17">
        <v>57</v>
      </c>
      <c r="O9522" s="18">
        <v>2394</v>
      </c>
      <c r="P9522" s="18">
        <v>2426</v>
      </c>
      <c r="Q9522" s="15"/>
      <c r="R9522" t="s" s="16">
        <f>HYPERLINK("http://secrets.rutgers.edu:8080/data/asl-ftp/asllvd/demos/verify_start_end_handshape_annotations//test_auto_move//signs_mov_separ_signers/Brady_15867.mov","MOV")</f>
        <v>21</v>
      </c>
    </row>
    <row r="9523" s="2" customFormat="1" ht="13.5" customHeight="1">
      <c r="B9523" t="s" s="8">
        <v>3534</v>
      </c>
      <c r="C9523" t="s" s="9">
        <v>14</v>
      </c>
      <c r="D9523" t="s" s="8">
        <v>14</v>
      </c>
      <c r="E9523" t="s" s="9">
        <v>14</v>
      </c>
      <c r="F9523" t="s" s="10">
        <v>14</v>
      </c>
      <c r="G9523" t="s" s="11">
        <v>14</v>
      </c>
      <c r="H9523" t="s" s="10">
        <v>14</v>
      </c>
      <c r="I9523" t="s" s="11">
        <v>14</v>
      </c>
      <c r="J9523" t="s" s="11">
        <v>14</v>
      </c>
      <c r="K9523" t="s" s="12">
        <v>14</v>
      </c>
      <c r="L9523" t="s" s="12">
        <v>14</v>
      </c>
      <c r="M9523" t="s" s="10">
        <v>14</v>
      </c>
      <c r="N9523" t="s" s="11">
        <v>14</v>
      </c>
      <c r="O9523" t="s" s="8">
        <v>14</v>
      </c>
      <c r="P9523" t="s" s="8">
        <v>14</v>
      </c>
      <c r="Q9523" t="s" s="12">
        <v>14</v>
      </c>
      <c r="R9523" t="s" s="12">
        <v>14</v>
      </c>
    </row>
    <row r="9524" s="2" customFormat="1" ht="13.5" customHeight="1">
      <c r="B9524" s="13"/>
      <c r="C9524" t="s" s="9">
        <v>16</v>
      </c>
      <c r="D9524" t="s" s="8">
        <v>3534</v>
      </c>
      <c r="E9524" t="s" s="9">
        <v>3535</v>
      </c>
      <c r="F9524" s="19">
        <v>5</v>
      </c>
      <c r="G9524" s="17">
        <v>5</v>
      </c>
      <c r="H9524" s="19">
        <v>5</v>
      </c>
      <c r="I9524" s="17">
        <v>5</v>
      </c>
      <c r="J9524" t="s" s="11">
        <v>20</v>
      </c>
      <c r="K9524" t="s" s="16">
        <f>HYPERLINK("http://csr.bu.edu/ftp/asl/asllvd/demos/verify_start_end_handshape_annotations//test_auto_move//signs_mov/2827.mov","MOV")</f>
        <v>21</v>
      </c>
      <c r="L9524" t="s" s="16">
        <f>HYPERLINK("http://csr.bu.edu/ftp/asl/asllvd/demos/verify_start_end_handshape_annotations//test_auto_move//signs_mov_separ_signers/Liz_2827.mov","MOV")</f>
        <v>21</v>
      </c>
      <c r="M9524" t="s" s="10">
        <v>59</v>
      </c>
      <c r="N9524" s="17">
        <v>37</v>
      </c>
      <c r="O9524" s="18">
        <v>2155</v>
      </c>
      <c r="P9524" s="18">
        <v>2220</v>
      </c>
      <c r="Q9524" t="s" s="16">
        <f>HYPERLINK("http://secrets.rutgers.edu:8080/data/asl-ftp/asllvd/demos/verify_start_end_handshape_annotations//test_auto_move//signs_mov/2827.mov","MOV")</f>
        <v>21</v>
      </c>
      <c r="R9524" t="s" s="16">
        <f>HYPERLINK("http://secrets.rutgers.edu:8080/data/asl-ftp/asllvd/demos/verify_start_end_handshape_annotations//test_auto_move//signs_mov_separ_signers/Liz_2827.mov","MOV")</f>
        <v>21</v>
      </c>
    </row>
    <row r="9525" s="2" customFormat="1" ht="13.5" customHeight="1">
      <c r="B9525" s="13"/>
      <c r="C9525" t="s" s="9">
        <v>30</v>
      </c>
      <c r="D9525" t="s" s="8">
        <v>3534</v>
      </c>
      <c r="E9525" t="s" s="9">
        <v>3535</v>
      </c>
      <c r="F9525" s="19">
        <v>5</v>
      </c>
      <c r="G9525" s="17">
        <v>5</v>
      </c>
      <c r="H9525" t="s" s="10">
        <v>75</v>
      </c>
      <c r="I9525" s="17">
        <v>5</v>
      </c>
      <c r="J9525" t="s" s="11">
        <v>20</v>
      </c>
      <c r="K9525" s="15"/>
      <c r="L9525" t="s" s="16">
        <f>HYPERLINK("http://csr.bu.edu/ftp/asl/asllvd/demos/verify_start_end_handshape_annotations//test_auto_move//signs_mov_separ_signers/Brady_2827.mov","MOV")</f>
        <v>21</v>
      </c>
      <c r="M9525" t="s" s="10">
        <v>60</v>
      </c>
      <c r="N9525" s="17">
        <v>25</v>
      </c>
      <c r="O9525" s="18">
        <v>2872</v>
      </c>
      <c r="P9525" s="18">
        <v>2909</v>
      </c>
      <c r="Q9525" s="15"/>
      <c r="R9525" t="s" s="16">
        <f>HYPERLINK("http://secrets.rutgers.edu:8080/data/asl-ftp/asllvd/demos/verify_start_end_handshape_annotations//test_auto_move//signs_mov_separ_signers/Brady_2827.mov","MOV")</f>
        <v>21</v>
      </c>
    </row>
    <row r="9526" s="2" customFormat="1" ht="13.5" customHeight="1">
      <c r="B9526" t="s" s="8">
        <v>3536</v>
      </c>
      <c r="C9526" t="s" s="9">
        <v>14</v>
      </c>
      <c r="D9526" t="s" s="8">
        <v>14</v>
      </c>
      <c r="E9526" t="s" s="9">
        <v>14</v>
      </c>
      <c r="F9526" t="s" s="10">
        <v>14</v>
      </c>
      <c r="G9526" t="s" s="11">
        <v>14</v>
      </c>
      <c r="H9526" t="s" s="10">
        <v>14</v>
      </c>
      <c r="I9526" t="s" s="11">
        <v>14</v>
      </c>
      <c r="J9526" t="s" s="11">
        <v>14</v>
      </c>
      <c r="K9526" t="s" s="12">
        <v>14</v>
      </c>
      <c r="L9526" t="s" s="12">
        <v>14</v>
      </c>
      <c r="M9526" t="s" s="10">
        <v>14</v>
      </c>
      <c r="N9526" t="s" s="11">
        <v>14</v>
      </c>
      <c r="O9526" t="s" s="8">
        <v>14</v>
      </c>
      <c r="P9526" t="s" s="8">
        <v>14</v>
      </c>
      <c r="Q9526" t="s" s="12">
        <v>14</v>
      </c>
      <c r="R9526" t="s" s="12">
        <v>14</v>
      </c>
    </row>
    <row r="9527" s="2" customFormat="1" ht="13.5" customHeight="1">
      <c r="B9527" s="13"/>
      <c r="C9527" t="s" s="9">
        <v>16</v>
      </c>
      <c r="D9527" t="s" s="8">
        <v>3536</v>
      </c>
      <c r="E9527" t="s" s="9">
        <v>3536</v>
      </c>
      <c r="F9527" t="s" s="10">
        <v>148</v>
      </c>
      <c r="G9527" t="s" s="11">
        <v>148</v>
      </c>
      <c r="H9527" t="s" s="10">
        <v>119</v>
      </c>
      <c r="I9527" t="s" s="11">
        <v>119</v>
      </c>
      <c r="J9527" t="s" s="11">
        <v>20</v>
      </c>
      <c r="K9527" t="s" s="16">
        <f>HYPERLINK("http://csr.bu.edu/ftp/asl/asllvd/demos/verify_start_end_handshape_annotations//test_auto_move//signs_mov/2831.mov","MOV")</f>
        <v>21</v>
      </c>
      <c r="L9527" t="s" s="16">
        <f>HYPERLINK("http://csr.bu.edu/ftp/asl/asllvd/demos/verify_start_end_handshape_annotations//test_auto_move//signs_mov_separ_signers/Liz_2831.mov","MOV")</f>
        <v>21</v>
      </c>
      <c r="M9527" t="s" s="10">
        <v>59</v>
      </c>
      <c r="N9527" s="17">
        <v>38</v>
      </c>
      <c r="O9527" s="18">
        <v>585</v>
      </c>
      <c r="P9527" s="18">
        <v>617</v>
      </c>
      <c r="Q9527" t="s" s="16">
        <f>HYPERLINK("http://secrets.rutgers.edu:8080/data/asl-ftp/asllvd/demos/verify_start_end_handshape_annotations//test_auto_move//signs_mov/2831.mov","MOV")</f>
        <v>21</v>
      </c>
      <c r="R9527" t="s" s="16">
        <f>HYPERLINK("http://secrets.rutgers.edu:8080/data/asl-ftp/asllvd/demos/verify_start_end_handshape_annotations//test_auto_move//signs_mov_separ_signers/Liz_2831.mov","MOV")</f>
        <v>21</v>
      </c>
    </row>
    <row r="9528" s="2" customFormat="1" ht="13.5" customHeight="1">
      <c r="B9528" s="13"/>
      <c r="C9528" t="s" s="9">
        <v>30</v>
      </c>
      <c r="D9528" t="s" s="8">
        <v>3536</v>
      </c>
      <c r="E9528" t="s" s="9">
        <v>3536</v>
      </c>
      <c r="F9528" t="s" s="10">
        <v>148</v>
      </c>
      <c r="G9528" t="s" s="11">
        <v>148</v>
      </c>
      <c r="H9528" t="s" s="10">
        <v>119</v>
      </c>
      <c r="I9528" t="s" s="11">
        <v>119</v>
      </c>
      <c r="J9528" t="s" s="11">
        <v>20</v>
      </c>
      <c r="K9528" s="15"/>
      <c r="L9528" t="s" s="16">
        <f>HYPERLINK("http://csr.bu.edu/ftp/asl/asllvd/demos/verify_start_end_handshape_annotations//test_auto_move//signs_mov_separ_signers/Brady_2831.mov","MOV")</f>
        <v>21</v>
      </c>
      <c r="M9528" t="s" s="10">
        <v>60</v>
      </c>
      <c r="N9528" s="17">
        <v>26</v>
      </c>
      <c r="O9528" s="18">
        <v>1840</v>
      </c>
      <c r="P9528" s="18">
        <v>1869</v>
      </c>
      <c r="Q9528" s="15"/>
      <c r="R9528" t="s" s="16">
        <f>HYPERLINK("http://secrets.rutgers.edu:8080/data/asl-ftp/asllvd/demos/verify_start_end_handshape_annotations//test_auto_move//signs_mov_separ_signers/Brady_2831.mov","MOV")</f>
        <v>21</v>
      </c>
    </row>
    <row r="9529" s="2" customFormat="1" ht="13.5" customHeight="1">
      <c r="B9529" t="s" s="8">
        <v>3537</v>
      </c>
      <c r="C9529" t="s" s="9">
        <v>14</v>
      </c>
      <c r="D9529" t="s" s="8">
        <v>14</v>
      </c>
      <c r="E9529" t="s" s="9">
        <v>14</v>
      </c>
      <c r="F9529" t="s" s="10">
        <v>14</v>
      </c>
      <c r="G9529" t="s" s="11">
        <v>14</v>
      </c>
      <c r="H9529" t="s" s="10">
        <v>14</v>
      </c>
      <c r="I9529" t="s" s="11">
        <v>14</v>
      </c>
      <c r="J9529" t="s" s="11">
        <v>14</v>
      </c>
      <c r="K9529" t="s" s="12">
        <v>14</v>
      </c>
      <c r="L9529" t="s" s="12">
        <v>14</v>
      </c>
      <c r="M9529" t="s" s="10">
        <v>14</v>
      </c>
      <c r="N9529" t="s" s="11">
        <v>14</v>
      </c>
      <c r="O9529" t="s" s="8">
        <v>14</v>
      </c>
      <c r="P9529" t="s" s="8">
        <v>14</v>
      </c>
      <c r="Q9529" t="s" s="12">
        <v>14</v>
      </c>
      <c r="R9529" t="s" s="12">
        <v>14</v>
      </c>
    </row>
    <row r="9530" s="2" customFormat="1" ht="13.5" customHeight="1">
      <c r="B9530" s="13"/>
      <c r="C9530" t="s" s="9">
        <v>16</v>
      </c>
      <c r="D9530" t="s" s="8">
        <v>3537</v>
      </c>
      <c r="E9530" t="s" s="9">
        <v>3538</v>
      </c>
      <c r="F9530" t="s" s="10">
        <v>406</v>
      </c>
      <c r="G9530" s="14"/>
      <c r="H9530" t="s" s="10">
        <v>406</v>
      </c>
      <c r="I9530" s="14"/>
      <c r="J9530" t="s" s="11">
        <v>20</v>
      </c>
      <c r="K9530" t="s" s="16">
        <f>HYPERLINK("http://csr.bu.edu/ftp/asl/asllvd/demos/verify_start_end_handshape_annotations//test_auto_move//signs_mov/2832.mov","MOV")</f>
        <v>21</v>
      </c>
      <c r="L9530" t="s" s="16">
        <f>HYPERLINK("http://csr.bu.edu/ftp/asl/asllvd/demos/verify_start_end_handshape_annotations//test_auto_move//signs_mov_separ_signers/Liz_2832.mov","MOV")</f>
        <v>21</v>
      </c>
      <c r="M9530" t="s" s="10">
        <v>59</v>
      </c>
      <c r="N9530" s="17">
        <v>38</v>
      </c>
      <c r="O9530" s="18">
        <v>802</v>
      </c>
      <c r="P9530" s="18">
        <v>855</v>
      </c>
      <c r="Q9530" t="s" s="16">
        <f>HYPERLINK("http://secrets.rutgers.edu:8080/data/asl-ftp/asllvd/demos/verify_start_end_handshape_annotations//test_auto_move//signs_mov/2832.mov","MOV")</f>
        <v>21</v>
      </c>
      <c r="R9530" t="s" s="16">
        <f>HYPERLINK("http://secrets.rutgers.edu:8080/data/asl-ftp/asllvd/demos/verify_start_end_handshape_annotations//test_auto_move//signs_mov_separ_signers/Liz_2832.mov","MOV")</f>
        <v>21</v>
      </c>
    </row>
    <row r="9531" s="2" customFormat="1" ht="13.5" customHeight="1">
      <c r="B9531" s="13"/>
      <c r="C9531" t="s" s="9">
        <v>30</v>
      </c>
      <c r="D9531" t="s" s="8">
        <v>3537</v>
      </c>
      <c r="E9531" t="s" s="9">
        <v>3538</v>
      </c>
      <c r="F9531" t="s" s="10">
        <v>406</v>
      </c>
      <c r="G9531" s="14"/>
      <c r="H9531" t="s" s="10">
        <v>406</v>
      </c>
      <c r="I9531" s="14"/>
      <c r="J9531" t="s" s="11">
        <v>20</v>
      </c>
      <c r="K9531" s="15"/>
      <c r="L9531" t="s" s="16">
        <f>HYPERLINK("http://csr.bu.edu/ftp/asl/asllvd/demos/verify_start_end_handshape_annotations//test_auto_move//signs_mov_separ_signers/Brady_2832.mov","MOV")</f>
        <v>21</v>
      </c>
      <c r="M9531" t="s" s="10">
        <v>60</v>
      </c>
      <c r="N9531" s="17">
        <v>26</v>
      </c>
      <c r="O9531" s="18">
        <v>2058</v>
      </c>
      <c r="P9531" s="18">
        <v>2110</v>
      </c>
      <c r="Q9531" s="15"/>
      <c r="R9531" t="s" s="16">
        <f>HYPERLINK("http://secrets.rutgers.edu:8080/data/asl-ftp/asllvd/demos/verify_start_end_handshape_annotations//test_auto_move//signs_mov_separ_signers/Brady_2832.mov","MOV")</f>
        <v>21</v>
      </c>
    </row>
    <row r="9532" s="2" customFormat="1" ht="13.5" customHeight="1">
      <c r="B9532" t="s" s="8">
        <v>3539</v>
      </c>
      <c r="C9532" t="s" s="9">
        <v>14</v>
      </c>
      <c r="D9532" t="s" s="8">
        <v>14</v>
      </c>
      <c r="E9532" t="s" s="9">
        <v>14</v>
      </c>
      <c r="F9532" t="s" s="10">
        <v>14</v>
      </c>
      <c r="G9532" t="s" s="11">
        <v>14</v>
      </c>
      <c r="H9532" t="s" s="10">
        <v>14</v>
      </c>
      <c r="I9532" t="s" s="11">
        <v>14</v>
      </c>
      <c r="J9532" t="s" s="11">
        <v>14</v>
      </c>
      <c r="K9532" t="s" s="12">
        <v>14</v>
      </c>
      <c r="L9532" t="s" s="12">
        <v>14</v>
      </c>
      <c r="M9532" t="s" s="10">
        <v>14</v>
      </c>
      <c r="N9532" t="s" s="11">
        <v>14</v>
      </c>
      <c r="O9532" t="s" s="8">
        <v>14</v>
      </c>
      <c r="P9532" t="s" s="8">
        <v>14</v>
      </c>
      <c r="Q9532" t="s" s="12">
        <v>14</v>
      </c>
      <c r="R9532" t="s" s="12">
        <v>14</v>
      </c>
    </row>
    <row r="9533" s="2" customFormat="1" ht="13.5" customHeight="1">
      <c r="B9533" s="13"/>
      <c r="C9533" t="s" s="9">
        <v>16</v>
      </c>
      <c r="D9533" t="s" s="8">
        <v>3539</v>
      </c>
      <c r="E9533" t="s" s="9">
        <v>3539</v>
      </c>
      <c r="F9533" s="19">
        <v>6</v>
      </c>
      <c r="G9533" s="14"/>
      <c r="H9533" s="19">
        <v>6</v>
      </c>
      <c r="I9533" s="14"/>
      <c r="J9533" t="s" s="11">
        <v>20</v>
      </c>
      <c r="K9533" s="15"/>
      <c r="L9533" t="s" s="16">
        <f>HYPERLINK("http://csr.bu.edu/ftp/asl/asllvd/demos/verify_start_end_handshape_annotations//test_auto_move//signs_mov_separ_signers/Liz_15165.mov","MOV")</f>
        <v>21</v>
      </c>
      <c r="M9533" t="s" s="10">
        <v>84</v>
      </c>
      <c r="N9533" s="17">
        <v>34</v>
      </c>
      <c r="O9533" s="18">
        <v>1921</v>
      </c>
      <c r="P9533" s="18">
        <v>1950</v>
      </c>
      <c r="Q9533" s="15"/>
      <c r="R9533" t="s" s="16">
        <f>HYPERLINK("http://secrets.rutgers.edu:8080/data/asl-ftp/asllvd/demos/verify_start_end_handshape_annotations//test_auto_move//signs_mov_separ_signers/Liz_15165.mov","MOV")</f>
        <v>21</v>
      </c>
    </row>
    <row r="9534" s="2" customFormat="1" ht="13.5" customHeight="1">
      <c r="B9534" s="13"/>
      <c r="C9534" t="s" s="9">
        <v>23</v>
      </c>
      <c r="D9534" t="s" s="8">
        <v>3539</v>
      </c>
      <c r="E9534" t="s" s="9">
        <v>3539</v>
      </c>
      <c r="F9534" t="s" s="10">
        <v>406</v>
      </c>
      <c r="G9534" s="14"/>
      <c r="H9534" t="s" s="10">
        <v>406</v>
      </c>
      <c r="I9534" s="14"/>
      <c r="J9534" t="s" s="11">
        <v>20</v>
      </c>
      <c r="K9534" t="s" s="16">
        <f>HYPERLINK("http://csr.bu.edu/ftp/asl/asllvd/demos/verify_start_end_handshape_annotations//test_auto_move//signs_mov/15165.mov","MOV")</f>
        <v>21</v>
      </c>
      <c r="L9534" t="s" s="16">
        <f>HYPERLINK("http://csr.bu.edu/ftp/asl/asllvd/demos/verify_start_end_handshape_annotations//test_auto_move//signs_mov_separ_signers/Tyler_15165.mov","MOV")</f>
        <v>21</v>
      </c>
      <c r="M9534" t="s" s="10">
        <v>92</v>
      </c>
      <c r="N9534" s="17">
        <v>14</v>
      </c>
      <c r="O9534" s="18">
        <v>1617</v>
      </c>
      <c r="P9534" s="18">
        <v>1650</v>
      </c>
      <c r="Q9534" t="s" s="16">
        <f>HYPERLINK("http://secrets.rutgers.edu:8080/data/asl-ftp/asllvd/demos/verify_start_end_handshape_annotations//test_auto_move//signs_mov/15165.mov","MOV")</f>
        <v>21</v>
      </c>
      <c r="R9534" t="s" s="16">
        <f>HYPERLINK("http://secrets.rutgers.edu:8080/data/asl-ftp/asllvd/demos/verify_start_end_handshape_annotations//test_auto_move//signs_mov_separ_signers/Tyler_15165.mov","MOV")</f>
        <v>21</v>
      </c>
    </row>
    <row r="9535" s="2" customFormat="1" ht="13.5" customHeight="1">
      <c r="B9535" s="13"/>
      <c r="C9535" t="s" s="9">
        <v>27</v>
      </c>
      <c r="D9535" t="s" s="8">
        <v>3539</v>
      </c>
      <c r="E9535" t="s" s="9">
        <v>3539</v>
      </c>
      <c r="F9535" t="s" s="10">
        <v>406</v>
      </c>
      <c r="G9535" s="14"/>
      <c r="H9535" t="s" s="10">
        <v>406</v>
      </c>
      <c r="I9535" s="14"/>
      <c r="J9535" t="s" s="11">
        <v>20</v>
      </c>
      <c r="K9535" s="15"/>
      <c r="L9535" t="s" s="16">
        <f>HYPERLINK("http://csr.bu.edu/ftp/asl/asllvd/demos/verify_start_end_handshape_annotations//test_auto_move//signs_mov_separ_signers/Naomi_15165.mov","MOV")</f>
        <v>21</v>
      </c>
      <c r="M9535" t="s" s="10">
        <v>86</v>
      </c>
      <c r="N9535" s="17">
        <v>34</v>
      </c>
      <c r="O9535" s="18">
        <v>1337</v>
      </c>
      <c r="P9535" s="18">
        <v>1361</v>
      </c>
      <c r="Q9535" s="15"/>
      <c r="R9535" t="s" s="16">
        <f>HYPERLINK("http://secrets.rutgers.edu:8080/data/asl-ftp/asllvd/demos/verify_start_end_handshape_annotations//test_auto_move//signs_mov_separ_signers/Naomi_15165.mov","MOV")</f>
        <v>21</v>
      </c>
    </row>
    <row r="9536" s="2" customFormat="1" ht="13.5" customHeight="1">
      <c r="B9536" s="13"/>
      <c r="C9536" t="s" s="9">
        <v>30</v>
      </c>
      <c r="D9536" t="s" s="8">
        <v>3539</v>
      </c>
      <c r="E9536" t="s" s="9">
        <v>3539</v>
      </c>
      <c r="F9536" s="19">
        <v>6</v>
      </c>
      <c r="G9536" s="14"/>
      <c r="H9536" s="19">
        <v>6</v>
      </c>
      <c r="I9536" s="14"/>
      <c r="J9536" t="s" s="11">
        <v>20</v>
      </c>
      <c r="K9536" s="15"/>
      <c r="L9536" t="s" s="16">
        <f>HYPERLINK("http://csr.bu.edu/ftp/asl/asllvd/demos/verify_start_end_handshape_annotations//test_auto_move//signs_mov_separ_signers/Brady_15165.mov","MOV")</f>
        <v>21</v>
      </c>
      <c r="M9536" t="s" s="10">
        <v>39</v>
      </c>
      <c r="N9536" s="17">
        <v>13</v>
      </c>
      <c r="O9536" s="18">
        <v>4724</v>
      </c>
      <c r="P9536" s="18">
        <v>4744</v>
      </c>
      <c r="Q9536" s="15"/>
      <c r="R9536" t="s" s="16">
        <f>HYPERLINK("http://secrets.rutgers.edu:8080/data/asl-ftp/asllvd/demos/verify_start_end_handshape_annotations//test_auto_move//signs_mov_separ_signers/Brady_15165.mov","MOV")</f>
        <v>21</v>
      </c>
    </row>
    <row r="9537" s="2" customFormat="1" ht="13.5" customHeight="1">
      <c r="B9537" t="s" s="8">
        <v>3540</v>
      </c>
      <c r="C9537" t="s" s="9">
        <v>14</v>
      </c>
      <c r="D9537" t="s" s="8">
        <v>14</v>
      </c>
      <c r="E9537" t="s" s="9">
        <v>14</v>
      </c>
      <c r="F9537" t="s" s="10">
        <v>14</v>
      </c>
      <c r="G9537" t="s" s="11">
        <v>14</v>
      </c>
      <c r="H9537" t="s" s="10">
        <v>14</v>
      </c>
      <c r="I9537" t="s" s="11">
        <v>14</v>
      </c>
      <c r="J9537" t="s" s="11">
        <v>14</v>
      </c>
      <c r="K9537" t="s" s="12">
        <v>14</v>
      </c>
      <c r="L9537" t="s" s="12">
        <v>14</v>
      </c>
      <c r="M9537" t="s" s="10">
        <v>14</v>
      </c>
      <c r="N9537" t="s" s="11">
        <v>14</v>
      </c>
      <c r="O9537" t="s" s="8">
        <v>14</v>
      </c>
      <c r="P9537" t="s" s="8">
        <v>14</v>
      </c>
      <c r="Q9537" t="s" s="12">
        <v>14</v>
      </c>
      <c r="R9537" t="s" s="12">
        <v>14</v>
      </c>
    </row>
    <row r="9538" s="2" customFormat="1" ht="13.5" customHeight="1">
      <c r="B9538" s="13"/>
      <c r="C9538" t="s" s="9">
        <v>16</v>
      </c>
      <c r="D9538" t="s" s="8">
        <v>3540</v>
      </c>
      <c r="E9538" t="s" s="9">
        <v>3540</v>
      </c>
      <c r="F9538" s="19">
        <v>1</v>
      </c>
      <c r="G9538" t="s" s="11">
        <v>73</v>
      </c>
      <c r="H9538" s="19">
        <v>1</v>
      </c>
      <c r="I9538" t="s" s="11">
        <v>73</v>
      </c>
      <c r="J9538" t="s" s="11">
        <v>20</v>
      </c>
      <c r="K9538" t="s" s="16">
        <f>HYPERLINK("http://csr.bu.edu/ftp/asl/asllvd/demos/verify_start_end_handshape_annotations//test_auto_move//signs_mov/2833.mov","MOV")</f>
        <v>21</v>
      </c>
      <c r="L9538" t="s" s="16">
        <f>HYPERLINK("http://csr.bu.edu/ftp/asl/asllvd/demos/verify_start_end_handshape_annotations//test_auto_move//signs_mov_separ_signers/Liz_2833.mov","MOV")</f>
        <v>21</v>
      </c>
      <c r="M9538" t="s" s="10">
        <v>59</v>
      </c>
      <c r="N9538" s="17">
        <v>38</v>
      </c>
      <c r="O9538" s="18">
        <v>1037</v>
      </c>
      <c r="P9538" s="18">
        <v>1071</v>
      </c>
      <c r="Q9538" t="s" s="16">
        <f>HYPERLINK("http://secrets.rutgers.edu:8080/data/asl-ftp/asllvd/demos/verify_start_end_handshape_annotations//test_auto_move//signs_mov/2833.mov","MOV")</f>
        <v>21</v>
      </c>
      <c r="R9538" t="s" s="16">
        <f>HYPERLINK("http://secrets.rutgers.edu:8080/data/asl-ftp/asllvd/demos/verify_start_end_handshape_annotations//test_auto_move//signs_mov_separ_signers/Liz_2833.mov","MOV")</f>
        <v>21</v>
      </c>
    </row>
    <row r="9539" s="2" customFormat="1" ht="13.5" customHeight="1">
      <c r="B9539" s="13"/>
      <c r="C9539" t="s" s="9">
        <v>30</v>
      </c>
      <c r="D9539" t="s" s="8">
        <v>3540</v>
      </c>
      <c r="E9539" t="s" s="9">
        <v>3540</v>
      </c>
      <c r="F9539" s="19">
        <v>1</v>
      </c>
      <c r="G9539" t="s" s="11">
        <v>73</v>
      </c>
      <c r="H9539" s="19">
        <v>1</v>
      </c>
      <c r="I9539" t="s" s="11">
        <v>73</v>
      </c>
      <c r="J9539" t="s" s="11">
        <v>20</v>
      </c>
      <c r="K9539" s="15"/>
      <c r="L9539" t="s" s="16">
        <f>HYPERLINK("http://csr.bu.edu/ftp/asl/asllvd/demos/verify_start_end_handshape_annotations//test_auto_move//signs_mov_separ_signers/Brady_2833.mov","MOV")</f>
        <v>21</v>
      </c>
      <c r="M9539" t="s" s="10">
        <v>60</v>
      </c>
      <c r="N9539" s="17">
        <v>26</v>
      </c>
      <c r="O9539" s="18">
        <v>2261</v>
      </c>
      <c r="P9539" s="18">
        <v>2291</v>
      </c>
      <c r="Q9539" s="15"/>
      <c r="R9539" t="s" s="16">
        <f>HYPERLINK("http://secrets.rutgers.edu:8080/data/asl-ftp/asllvd/demos/verify_start_end_handshape_annotations//test_auto_move//signs_mov_separ_signers/Brady_2833.mov","MOV")</f>
        <v>21</v>
      </c>
    </row>
    <row r="9540" s="2" customFormat="1" ht="13.5" customHeight="1">
      <c r="B9540" t="s" s="8">
        <v>3541</v>
      </c>
      <c r="C9540" t="s" s="9">
        <v>14</v>
      </c>
      <c r="D9540" t="s" s="8">
        <v>14</v>
      </c>
      <c r="E9540" t="s" s="9">
        <v>14</v>
      </c>
      <c r="F9540" t="s" s="10">
        <v>14</v>
      </c>
      <c r="G9540" t="s" s="11">
        <v>14</v>
      </c>
      <c r="H9540" t="s" s="10">
        <v>14</v>
      </c>
      <c r="I9540" t="s" s="11">
        <v>14</v>
      </c>
      <c r="J9540" t="s" s="11">
        <v>14</v>
      </c>
      <c r="K9540" t="s" s="12">
        <v>14</v>
      </c>
      <c r="L9540" t="s" s="12">
        <v>14</v>
      </c>
      <c r="M9540" t="s" s="10">
        <v>14</v>
      </c>
      <c r="N9540" t="s" s="11">
        <v>14</v>
      </c>
      <c r="O9540" t="s" s="8">
        <v>14</v>
      </c>
      <c r="P9540" t="s" s="8">
        <v>14</v>
      </c>
      <c r="Q9540" t="s" s="12">
        <v>14</v>
      </c>
      <c r="R9540" t="s" s="12">
        <v>14</v>
      </c>
    </row>
    <row r="9541" s="2" customFormat="1" ht="13.5" customHeight="1">
      <c r="B9541" s="13"/>
      <c r="C9541" t="s" s="9">
        <v>16</v>
      </c>
      <c r="D9541" t="s" s="8">
        <v>3541</v>
      </c>
      <c r="E9541" t="s" s="9">
        <v>3542</v>
      </c>
      <c r="F9541" s="19">
        <v>1</v>
      </c>
      <c r="G9541" t="s" s="11">
        <v>73</v>
      </c>
      <c r="H9541" s="19">
        <v>1</v>
      </c>
      <c r="I9541" t="s" s="11">
        <v>73</v>
      </c>
      <c r="J9541" t="s" s="11">
        <v>20</v>
      </c>
      <c r="K9541" t="s" s="16">
        <f>HYPERLINK("http://csr.bu.edu/ftp/asl/asllvd/demos/verify_start_end_handshape_annotations//test_auto_move//signs_mov/15172.mov","MOV")</f>
        <v>21</v>
      </c>
      <c r="L9541" t="s" s="16">
        <f>HYPERLINK("http://csr.bu.edu/ftp/asl/asllvd/demos/verify_start_end_handshape_annotations//test_auto_move//signs_mov_separ_signers/Liz_15172.mov","MOV")</f>
        <v>21</v>
      </c>
      <c r="M9541" t="s" s="10">
        <v>59</v>
      </c>
      <c r="N9541" s="17">
        <v>38</v>
      </c>
      <c r="O9541" s="18">
        <v>1535</v>
      </c>
      <c r="P9541" s="18">
        <v>1610</v>
      </c>
      <c r="Q9541" t="s" s="16">
        <f>HYPERLINK("http://secrets.rutgers.edu:8080/data/asl-ftp/asllvd/demos/verify_start_end_handshape_annotations//test_auto_move//signs_mov/15172.mov","MOV")</f>
        <v>21</v>
      </c>
      <c r="R9541" t="s" s="16">
        <f>HYPERLINK("http://secrets.rutgers.edu:8080/data/asl-ftp/asllvd/demos/verify_start_end_handshape_annotations//test_auto_move//signs_mov_separ_signers/Liz_15172.mov","MOV")</f>
        <v>21</v>
      </c>
    </row>
    <row r="9542" s="2" customFormat="1" ht="13.5" customHeight="1">
      <c r="B9542" s="13"/>
      <c r="C9542" t="s" s="9">
        <v>30</v>
      </c>
      <c r="D9542" t="s" s="8">
        <v>3541</v>
      </c>
      <c r="E9542" t="s" s="9">
        <v>3542</v>
      </c>
      <c r="F9542" s="19">
        <v>1</v>
      </c>
      <c r="G9542" t="s" s="11">
        <v>73</v>
      </c>
      <c r="H9542" s="19">
        <v>1</v>
      </c>
      <c r="I9542" t="s" s="11">
        <v>73</v>
      </c>
      <c r="J9542" t="s" s="11">
        <v>20</v>
      </c>
      <c r="K9542" s="15"/>
      <c r="L9542" t="s" s="16">
        <f>HYPERLINK("http://csr.bu.edu/ftp/asl/asllvd/demos/verify_start_end_handshape_annotations//test_auto_move//signs_mov_separ_signers/Brady_15172.mov","MOV")</f>
        <v>21</v>
      </c>
      <c r="M9542" t="s" s="10">
        <v>60</v>
      </c>
      <c r="N9542" s="17">
        <v>26</v>
      </c>
      <c r="O9542" s="18">
        <v>2752</v>
      </c>
      <c r="P9542" s="18">
        <v>2834</v>
      </c>
      <c r="Q9542" s="15"/>
      <c r="R9542" t="s" s="16">
        <f>HYPERLINK("http://secrets.rutgers.edu:8080/data/asl-ftp/asllvd/demos/verify_start_end_handshape_annotations//test_auto_move//signs_mov_separ_signers/Brady_15172.mov","MOV")</f>
        <v>21</v>
      </c>
    </row>
    <row r="9543" s="2" customFormat="1" ht="13.5" customHeight="1">
      <c r="B9543" t="s" s="8">
        <v>3543</v>
      </c>
      <c r="C9543" t="s" s="9">
        <v>14</v>
      </c>
      <c r="D9543" t="s" s="8">
        <v>14</v>
      </c>
      <c r="E9543" t="s" s="9">
        <v>14</v>
      </c>
      <c r="F9543" t="s" s="10">
        <v>14</v>
      </c>
      <c r="G9543" t="s" s="11">
        <v>14</v>
      </c>
      <c r="H9543" t="s" s="10">
        <v>14</v>
      </c>
      <c r="I9543" t="s" s="11">
        <v>14</v>
      </c>
      <c r="J9543" t="s" s="11">
        <v>14</v>
      </c>
      <c r="K9543" t="s" s="12">
        <v>14</v>
      </c>
      <c r="L9543" t="s" s="12">
        <v>14</v>
      </c>
      <c r="M9543" t="s" s="10">
        <v>14</v>
      </c>
      <c r="N9543" t="s" s="11">
        <v>14</v>
      </c>
      <c r="O9543" t="s" s="8">
        <v>14</v>
      </c>
      <c r="P9543" t="s" s="8">
        <v>14</v>
      </c>
      <c r="Q9543" t="s" s="12">
        <v>14</v>
      </c>
      <c r="R9543" t="s" s="12">
        <v>14</v>
      </c>
    </row>
    <row r="9544" s="2" customFormat="1" ht="13.5" customHeight="1">
      <c r="B9544" s="13"/>
      <c r="C9544" t="s" s="9">
        <v>16</v>
      </c>
      <c r="D9544" t="s" s="8">
        <v>3544</v>
      </c>
      <c r="E9544" t="s" s="9">
        <v>3544</v>
      </c>
      <c r="F9544" s="19">
        <v>1</v>
      </c>
      <c r="G9544" t="s" s="11">
        <v>73</v>
      </c>
      <c r="H9544" s="19">
        <v>1</v>
      </c>
      <c r="I9544" t="s" s="11">
        <v>73</v>
      </c>
      <c r="J9544" t="s" s="11">
        <v>20</v>
      </c>
      <c r="K9544" t="s" s="16">
        <f>HYPERLINK("http://csr.bu.edu/ftp/asl/asllvd/demos/verify_start_end_handshape_annotations//test_auto_move//signs_mov/15181.mov","MOV")</f>
        <v>21</v>
      </c>
      <c r="L9544" t="s" s="16">
        <f>HYPERLINK("http://csr.bu.edu/ftp/asl/asllvd/demos/verify_start_end_handshape_annotations//test_auto_move//signs_mov_separ_signers/Liz_15181.mov","MOV")</f>
        <v>21</v>
      </c>
      <c r="M9544" t="s" s="10">
        <v>88</v>
      </c>
      <c r="N9544" s="17">
        <v>18</v>
      </c>
      <c r="O9544" s="18">
        <v>2750</v>
      </c>
      <c r="P9544" s="18">
        <v>2800</v>
      </c>
      <c r="Q9544" t="s" s="16">
        <f>HYPERLINK("http://secrets.rutgers.edu:8080/data/asl-ftp/asllvd/demos/verify_start_end_handshape_annotations//test_auto_move//signs_mov/15181.mov","MOV")</f>
        <v>21</v>
      </c>
      <c r="R9544" t="s" s="16">
        <f>HYPERLINK("http://secrets.rutgers.edu:8080/data/asl-ftp/asllvd/demos/verify_start_end_handshape_annotations//test_auto_move//signs_mov_separ_signers/Liz_15181.mov","MOV")</f>
        <v>21</v>
      </c>
    </row>
    <row r="9545" s="2" customFormat="1" ht="13.5" customHeight="1">
      <c r="B9545" t="s" s="8">
        <v>3545</v>
      </c>
      <c r="C9545" t="s" s="9">
        <v>14</v>
      </c>
      <c r="D9545" t="s" s="8">
        <v>14</v>
      </c>
      <c r="E9545" t="s" s="9">
        <v>14</v>
      </c>
      <c r="F9545" t="s" s="10">
        <v>14</v>
      </c>
      <c r="G9545" t="s" s="11">
        <v>14</v>
      </c>
      <c r="H9545" t="s" s="10">
        <v>14</v>
      </c>
      <c r="I9545" t="s" s="11">
        <v>14</v>
      </c>
      <c r="J9545" t="s" s="11">
        <v>14</v>
      </c>
      <c r="K9545" t="s" s="12">
        <v>14</v>
      </c>
      <c r="L9545" t="s" s="12">
        <v>14</v>
      </c>
      <c r="M9545" t="s" s="10">
        <v>14</v>
      </c>
      <c r="N9545" t="s" s="11">
        <v>14</v>
      </c>
      <c r="O9545" t="s" s="8">
        <v>14</v>
      </c>
      <c r="P9545" t="s" s="8">
        <v>14</v>
      </c>
      <c r="Q9545" t="s" s="12">
        <v>14</v>
      </c>
      <c r="R9545" t="s" s="12">
        <v>14</v>
      </c>
    </row>
    <row r="9546" s="2" customFormat="1" ht="13.5" customHeight="1">
      <c r="B9546" s="13"/>
      <c r="C9546" t="s" s="9">
        <v>16</v>
      </c>
      <c r="D9546" t="s" s="8">
        <v>3545</v>
      </c>
      <c r="E9546" t="s" s="9">
        <v>3545</v>
      </c>
      <c r="F9546" s="19">
        <v>1</v>
      </c>
      <c r="G9546" t="s" s="11">
        <v>73</v>
      </c>
      <c r="H9546" s="19">
        <v>1</v>
      </c>
      <c r="I9546" t="s" s="11">
        <v>73</v>
      </c>
      <c r="J9546" t="s" s="11">
        <v>20</v>
      </c>
      <c r="K9546" s="15"/>
      <c r="L9546" t="s" s="16">
        <f>HYPERLINK("http://csr.bu.edu/ftp/asl/asllvd/demos/verify_start_end_handshape_annotations//test_auto_move//signs_mov_separ_signers/Liz_15186.mov","MOV")</f>
        <v>21</v>
      </c>
      <c r="M9546" t="s" s="10">
        <v>34</v>
      </c>
      <c r="N9546" s="17">
        <v>44</v>
      </c>
      <c r="O9546" s="18">
        <v>450</v>
      </c>
      <c r="P9546" s="18">
        <v>486</v>
      </c>
      <c r="Q9546" s="15"/>
      <c r="R9546" t="s" s="16">
        <f>HYPERLINK("http://secrets.rutgers.edu:8080/data/asl-ftp/asllvd/demos/verify_start_end_handshape_annotations//test_auto_move//signs_mov_separ_signers/Liz_15186.mov","MOV")</f>
        <v>21</v>
      </c>
    </row>
    <row r="9547" s="2" customFormat="1" ht="13.5" customHeight="1">
      <c r="B9547" s="13"/>
      <c r="C9547" t="s" s="9">
        <v>23</v>
      </c>
      <c r="D9547" t="s" s="8">
        <v>3545</v>
      </c>
      <c r="E9547" t="s" s="9">
        <v>3545</v>
      </c>
      <c r="F9547" s="19">
        <v>1</v>
      </c>
      <c r="G9547" t="s" s="11">
        <v>73</v>
      </c>
      <c r="H9547" s="19">
        <v>1</v>
      </c>
      <c r="I9547" t="s" s="11">
        <v>73</v>
      </c>
      <c r="J9547" t="s" s="11">
        <v>20</v>
      </c>
      <c r="K9547" t="s" s="16">
        <f>HYPERLINK("http://csr.bu.edu/ftp/asl/asllvd/demos/verify_start_end_handshape_annotations//test_auto_move//signs_mov/15186.mov","MOV")</f>
        <v>21</v>
      </c>
      <c r="L9547" t="s" s="16">
        <f>HYPERLINK("http://csr.bu.edu/ftp/asl/asllvd/demos/verify_start_end_handshape_annotations//test_auto_move//signs_mov_separ_signers/Tyler_15186.mov","MOV")</f>
        <v>21</v>
      </c>
      <c r="M9547" t="s" s="10">
        <v>37</v>
      </c>
      <c r="N9547" s="17">
        <v>17</v>
      </c>
      <c r="O9547" s="18">
        <v>230</v>
      </c>
      <c r="P9547" s="18">
        <v>256</v>
      </c>
      <c r="Q9547" t="s" s="16">
        <f>HYPERLINK("http://secrets.rutgers.edu:8080/data/asl-ftp/asllvd/demos/verify_start_end_handshape_annotations//test_auto_move//signs_mov/15186.mov","MOV")</f>
        <v>21</v>
      </c>
      <c r="R9547" t="s" s="16">
        <f>HYPERLINK("http://secrets.rutgers.edu:8080/data/asl-ftp/asllvd/demos/verify_start_end_handshape_annotations//test_auto_move//signs_mov_separ_signers/Tyler_15186.mov","MOV")</f>
        <v>21</v>
      </c>
    </row>
    <row r="9548" s="2" customFormat="1" ht="13.5" customHeight="1">
      <c r="B9548" s="13"/>
      <c r="C9548" t="s" s="9">
        <v>27</v>
      </c>
      <c r="D9548" t="s" s="8">
        <v>3545</v>
      </c>
      <c r="E9548" t="s" s="9">
        <v>3545</v>
      </c>
      <c r="F9548" s="19">
        <v>1</v>
      </c>
      <c r="G9548" t="s" s="11">
        <v>73</v>
      </c>
      <c r="H9548" s="19">
        <v>1</v>
      </c>
      <c r="I9548" t="s" s="11">
        <v>73</v>
      </c>
      <c r="J9548" t="s" s="11">
        <v>20</v>
      </c>
      <c r="K9548" s="15"/>
      <c r="L9548" t="s" s="16">
        <f>HYPERLINK("http://csr.bu.edu/ftp/asl/asllvd/demos/verify_start_end_handshape_annotations//test_auto_move//signs_mov_separ_signers/Naomi_15186.mov","MOV")</f>
        <v>21</v>
      </c>
      <c r="M9548" t="s" s="10">
        <v>38</v>
      </c>
      <c r="N9548" s="17">
        <v>37</v>
      </c>
      <c r="O9548" s="18">
        <v>1092</v>
      </c>
      <c r="P9548" s="18">
        <v>1117</v>
      </c>
      <c r="Q9548" s="15"/>
      <c r="R9548" t="s" s="16">
        <f>HYPERLINK("http://secrets.rutgers.edu:8080/data/asl-ftp/asllvd/demos/verify_start_end_handshape_annotations//test_auto_move//signs_mov_separ_signers/Naomi_15186.mov","MOV")</f>
        <v>21</v>
      </c>
    </row>
    <row r="9549" s="2" customFormat="1" ht="13.5" customHeight="1">
      <c r="B9549" s="13"/>
      <c r="C9549" t="s" s="9">
        <v>30</v>
      </c>
      <c r="D9549" t="s" s="8">
        <v>3545</v>
      </c>
      <c r="E9549" t="s" s="9">
        <v>3545</v>
      </c>
      <c r="F9549" s="19">
        <v>1</v>
      </c>
      <c r="G9549" t="s" s="11">
        <v>73</v>
      </c>
      <c r="H9549" s="19">
        <v>1</v>
      </c>
      <c r="I9549" t="s" s="11">
        <v>73</v>
      </c>
      <c r="J9549" t="s" s="11">
        <v>20</v>
      </c>
      <c r="K9549" s="15"/>
      <c r="L9549" t="s" s="16">
        <f>HYPERLINK("http://csr.bu.edu/ftp/asl/asllvd/demos/verify_start_end_handshape_annotations//test_auto_move//signs_mov_separ_signers/Brady_15186.mov","MOV")</f>
        <v>21</v>
      </c>
      <c r="M9549" t="s" s="10">
        <v>39</v>
      </c>
      <c r="N9549" s="17">
        <v>46</v>
      </c>
      <c r="O9549" s="18">
        <v>5186</v>
      </c>
      <c r="P9549" s="18">
        <v>5208</v>
      </c>
      <c r="Q9549" s="15"/>
      <c r="R9549" t="s" s="16">
        <f>HYPERLINK("http://secrets.rutgers.edu:8080/data/asl-ftp/asllvd/demos/verify_start_end_handshape_annotations//test_auto_move//signs_mov_separ_signers/Brady_15186.mov","MOV")</f>
        <v>21</v>
      </c>
    </row>
    <row r="9550" s="2" customFormat="1" ht="13.5" customHeight="1">
      <c r="B9550" t="s" s="8">
        <v>3546</v>
      </c>
      <c r="C9550" t="s" s="9">
        <v>14</v>
      </c>
      <c r="D9550" t="s" s="8">
        <v>14</v>
      </c>
      <c r="E9550" t="s" s="9">
        <v>14</v>
      </c>
      <c r="F9550" t="s" s="10">
        <v>14</v>
      </c>
      <c r="G9550" t="s" s="11">
        <v>14</v>
      </c>
      <c r="H9550" t="s" s="10">
        <v>14</v>
      </c>
      <c r="I9550" t="s" s="11">
        <v>14</v>
      </c>
      <c r="J9550" t="s" s="11">
        <v>14</v>
      </c>
      <c r="K9550" t="s" s="12">
        <v>14</v>
      </c>
      <c r="L9550" t="s" s="12">
        <v>14</v>
      </c>
      <c r="M9550" t="s" s="10">
        <v>14</v>
      </c>
      <c r="N9550" t="s" s="11">
        <v>14</v>
      </c>
      <c r="O9550" t="s" s="8">
        <v>14</v>
      </c>
      <c r="P9550" t="s" s="8">
        <v>14</v>
      </c>
      <c r="Q9550" t="s" s="12">
        <v>14</v>
      </c>
      <c r="R9550" t="s" s="12">
        <v>14</v>
      </c>
    </row>
    <row r="9551" s="2" customFormat="1" ht="13.5" customHeight="1">
      <c r="B9551" s="13"/>
      <c r="C9551" t="s" s="9">
        <v>16</v>
      </c>
      <c r="D9551" t="s" s="8">
        <v>3547</v>
      </c>
      <c r="E9551" t="s" s="9">
        <v>3547</v>
      </c>
      <c r="F9551" t="s" s="10">
        <v>73</v>
      </c>
      <c r="G9551" s="14"/>
      <c r="H9551" t="s" s="10">
        <v>73</v>
      </c>
      <c r="I9551" s="14"/>
      <c r="J9551" t="s" s="11">
        <v>20</v>
      </c>
      <c r="K9551" s="15"/>
      <c r="L9551" t="s" s="16">
        <f>HYPERLINK("http://csr.bu.edu/ftp/asl/asllvd/demos/verify_start_end_handshape_annotations//test_auto_move//signs_mov_separ_signers/Liz_2837.mov","MOV")</f>
        <v>21</v>
      </c>
      <c r="M9551" t="s" s="10">
        <v>59</v>
      </c>
      <c r="N9551" s="17">
        <v>8</v>
      </c>
      <c r="O9551" s="18">
        <v>2510</v>
      </c>
      <c r="P9551" s="18">
        <v>2535</v>
      </c>
      <c r="Q9551" s="15"/>
      <c r="R9551" t="s" s="16">
        <f>HYPERLINK("http://secrets.rutgers.edu:8080/data/asl-ftp/asllvd/demos/verify_start_end_handshape_annotations//test_auto_move//signs_mov_separ_signers/Liz_2837.mov","MOV")</f>
        <v>21</v>
      </c>
    </row>
    <row r="9552" s="2" customFormat="1" ht="13.5" customHeight="1">
      <c r="B9552" s="13"/>
      <c r="C9552" t="s" s="9">
        <v>16</v>
      </c>
      <c r="D9552" t="s" s="8">
        <v>3547</v>
      </c>
      <c r="E9552" t="s" s="9">
        <v>3547</v>
      </c>
      <c r="F9552" t="s" s="10">
        <v>73</v>
      </c>
      <c r="G9552" s="14"/>
      <c r="H9552" t="s" s="10">
        <v>73</v>
      </c>
      <c r="I9552" s="14"/>
      <c r="J9552" t="s" s="11">
        <v>20</v>
      </c>
      <c r="K9552" s="15"/>
      <c r="L9552" t="s" s="16">
        <f>HYPERLINK("http://csr.bu.edu/ftp/asl/asllvd/demos/verify_start_end_handshape_annotations//test_auto_move//signs_mov_separ_signers/Liz_15356.mov","MOV")</f>
        <v>21</v>
      </c>
      <c r="M9552" t="s" s="10">
        <v>59</v>
      </c>
      <c r="N9552" s="17">
        <v>38</v>
      </c>
      <c r="O9552" s="18">
        <v>2055</v>
      </c>
      <c r="P9552" s="18">
        <v>2090</v>
      </c>
      <c r="Q9552" s="15"/>
      <c r="R9552" t="s" s="16">
        <f>HYPERLINK("http://secrets.rutgers.edu:8080/data/asl-ftp/asllvd/demos/verify_start_end_handshape_annotations//test_auto_move//signs_mov_separ_signers/Liz_15356.mov","MOV")</f>
        <v>21</v>
      </c>
    </row>
    <row r="9553" s="2" customFormat="1" ht="13.5" customHeight="1">
      <c r="B9553" s="13"/>
      <c r="C9553" t="s" s="9">
        <v>30</v>
      </c>
      <c r="D9553" t="s" s="8">
        <v>3547</v>
      </c>
      <c r="E9553" t="s" s="9">
        <v>3547</v>
      </c>
      <c r="F9553" t="s" s="10">
        <v>73</v>
      </c>
      <c r="G9553" s="14"/>
      <c r="H9553" t="s" s="10">
        <v>73</v>
      </c>
      <c r="I9553" s="14"/>
      <c r="J9553" t="s" s="11">
        <v>20</v>
      </c>
      <c r="K9553" t="s" s="16">
        <f>HYPERLINK("http://csr.bu.edu/ftp/asl/asllvd/demos/verify_start_end_handshape_annotations//test_auto_move//signs_mov/2837_15356_merged.mov","MOV")</f>
        <v>21</v>
      </c>
      <c r="L9553" t="s" s="16">
        <f>HYPERLINK("http://csr.bu.edu/ftp/asl/asllvd/demos/verify_start_end_handshape_annotations//test_auto_move//signs_mov_separ_signers/Brady_2837.mov","MOV")</f>
        <v>21</v>
      </c>
      <c r="M9553" t="s" s="10">
        <v>40</v>
      </c>
      <c r="N9553" s="17">
        <v>113</v>
      </c>
      <c r="O9553" s="18">
        <v>156</v>
      </c>
      <c r="P9553" s="18">
        <v>179</v>
      </c>
      <c r="Q9553" t="s" s="16">
        <f>HYPERLINK("http://secrets.rutgers.edu:8080/data/asl-ftp/asllvd/demos/verify_start_end_handshape_annotations//test_auto_move//signs_mov/2837_15356_merged.mov","MOV")</f>
        <v>21</v>
      </c>
      <c r="R9553" t="s" s="16">
        <f>HYPERLINK("http://secrets.rutgers.edu:8080/data/asl-ftp/asllvd/demos/verify_start_end_handshape_annotations//test_auto_move//signs_mov_separ_signers/Brady_2837.mov","MOV")</f>
        <v>21</v>
      </c>
    </row>
    <row r="9554" s="2" customFormat="1" ht="13.5" customHeight="1">
      <c r="B9554" s="13"/>
      <c r="C9554" t="s" s="9">
        <v>30</v>
      </c>
      <c r="D9554" t="s" s="8">
        <v>3547</v>
      </c>
      <c r="E9554" t="s" s="9">
        <v>3547</v>
      </c>
      <c r="F9554" t="s" s="10">
        <v>73</v>
      </c>
      <c r="G9554" s="14"/>
      <c r="H9554" t="s" s="10">
        <v>73</v>
      </c>
      <c r="I9554" s="14"/>
      <c r="J9554" t="s" s="11">
        <v>20</v>
      </c>
      <c r="K9554" s="15"/>
      <c r="L9554" t="s" s="16">
        <f>HYPERLINK("http://csr.bu.edu/ftp/asl/asllvd/demos/verify_start_end_handshape_annotations//test_auto_move//signs_mov_separ_signers/Brady_15356.mov","MOV")</f>
        <v>21</v>
      </c>
      <c r="M9554" t="s" s="10">
        <v>60</v>
      </c>
      <c r="N9554" s="17">
        <v>27</v>
      </c>
      <c r="O9554" s="18">
        <v>174</v>
      </c>
      <c r="P9554" s="18">
        <v>192</v>
      </c>
      <c r="Q9554" s="15"/>
      <c r="R9554" t="s" s="16">
        <f>HYPERLINK("http://secrets.rutgers.edu:8080/data/asl-ftp/asllvd/demos/verify_start_end_handshape_annotations//test_auto_move//signs_mov_separ_signers/Brady_15356.mov","MOV")</f>
        <v>21</v>
      </c>
    </row>
    <row r="9555" s="2" customFormat="1" ht="13.5" customHeight="1">
      <c r="B9555" s="13"/>
      <c r="C9555" t="s" s="9">
        <v>41</v>
      </c>
      <c r="D9555" t="s" s="8">
        <v>3547</v>
      </c>
      <c r="E9555" t="s" s="9">
        <v>3547</v>
      </c>
      <c r="F9555" t="s" s="10">
        <v>73</v>
      </c>
      <c r="G9555" s="14"/>
      <c r="H9555" t="s" s="10">
        <v>73</v>
      </c>
      <c r="I9555" s="14"/>
      <c r="J9555" t="s" s="11">
        <v>20</v>
      </c>
      <c r="K9555" s="15"/>
      <c r="L9555" t="s" s="16">
        <f>HYPERLINK("http://csr.bu.edu/ftp/asl/asllvd/demos/verify_start_end_handshape_annotations//test_auto_move//signs_mov_separ_signers/Lana_2837.mov","MOV")</f>
        <v>21</v>
      </c>
      <c r="M9555" t="s" s="10">
        <v>442</v>
      </c>
      <c r="N9555" s="17">
        <v>61</v>
      </c>
      <c r="O9555" s="18">
        <v>1426</v>
      </c>
      <c r="P9555" s="18">
        <v>1455</v>
      </c>
      <c r="Q9555" s="15"/>
      <c r="R9555" t="s" s="16">
        <f>HYPERLINK("http://secrets.rutgers.edu:8080/data/asl-ftp/asllvd/demos/verify_start_end_handshape_annotations//test_auto_move//signs_mov_separ_signers/Lana_2837.mov","MOV")</f>
        <v>21</v>
      </c>
    </row>
    <row r="9556" s="2" customFormat="1" ht="13.5" customHeight="1">
      <c r="B9556" t="s" s="8">
        <v>3548</v>
      </c>
      <c r="C9556" t="s" s="9">
        <v>14</v>
      </c>
      <c r="D9556" t="s" s="8">
        <v>14</v>
      </c>
      <c r="E9556" t="s" s="9">
        <v>14</v>
      </c>
      <c r="F9556" t="s" s="10">
        <v>14</v>
      </c>
      <c r="G9556" t="s" s="11">
        <v>14</v>
      </c>
      <c r="H9556" t="s" s="10">
        <v>14</v>
      </c>
      <c r="I9556" t="s" s="11">
        <v>14</v>
      </c>
      <c r="J9556" t="s" s="11">
        <v>14</v>
      </c>
      <c r="K9556" t="s" s="12">
        <v>14</v>
      </c>
      <c r="L9556" t="s" s="12">
        <v>14</v>
      </c>
      <c r="M9556" t="s" s="10">
        <v>14</v>
      </c>
      <c r="N9556" t="s" s="11">
        <v>14</v>
      </c>
      <c r="O9556" t="s" s="8">
        <v>14</v>
      </c>
      <c r="P9556" t="s" s="8">
        <v>14</v>
      </c>
      <c r="Q9556" t="s" s="12">
        <v>14</v>
      </c>
      <c r="R9556" t="s" s="12">
        <v>14</v>
      </c>
    </row>
    <row r="9557" s="2" customFormat="1" ht="13.5" customHeight="1">
      <c r="B9557" s="13"/>
      <c r="C9557" t="s" s="9">
        <v>16</v>
      </c>
      <c r="D9557" t="s" s="8">
        <v>3548</v>
      </c>
      <c r="E9557" t="s" s="9">
        <v>3548</v>
      </c>
      <c r="F9557" t="s" s="10">
        <v>73</v>
      </c>
      <c r="G9557" s="14"/>
      <c r="H9557" t="s" s="10">
        <v>73</v>
      </c>
      <c r="I9557" s="14"/>
      <c r="J9557" t="s" s="11">
        <v>20</v>
      </c>
      <c r="K9557" s="15"/>
      <c r="L9557" t="s" s="16">
        <f>HYPERLINK("http://csr.bu.edu/ftp/asl/asllvd/demos/verify_start_end_handshape_annotations//test_auto_move//signs_mov_separ_signers/Liz_4707.mov","MOV")</f>
        <v>21</v>
      </c>
      <c r="M9557" t="s" s="10">
        <v>22</v>
      </c>
      <c r="N9557" s="17">
        <v>29</v>
      </c>
      <c r="O9557" s="18">
        <v>1327</v>
      </c>
      <c r="P9557" s="18">
        <v>1358</v>
      </c>
      <c r="Q9557" s="15"/>
      <c r="R9557" t="s" s="16">
        <f>HYPERLINK("http://secrets.rutgers.edu:8080/data/asl-ftp/asllvd/demos/verify_start_end_handshape_annotations//test_auto_move//signs_mov_separ_signers/Liz_4707.mov","MOV")</f>
        <v>21</v>
      </c>
    </row>
    <row r="9558" s="2" customFormat="1" ht="13.5" customHeight="1">
      <c r="B9558" s="13"/>
      <c r="C9558" t="s" s="9">
        <v>23</v>
      </c>
      <c r="D9558" t="s" s="8">
        <v>3548</v>
      </c>
      <c r="E9558" t="s" s="9">
        <v>3548</v>
      </c>
      <c r="F9558" t="s" s="10">
        <v>73</v>
      </c>
      <c r="G9558" s="14"/>
      <c r="H9558" t="s" s="10">
        <v>73</v>
      </c>
      <c r="I9558" s="14"/>
      <c r="J9558" t="s" s="11">
        <v>20</v>
      </c>
      <c r="K9558" s="15"/>
      <c r="L9558" t="s" s="16">
        <f>HYPERLINK("http://csr.bu.edu/ftp/asl/asllvd/demos/verify_start_end_handshape_annotations//test_auto_move//signs_mov_separ_signers/Tyler_4707.mov","MOV")</f>
        <v>21</v>
      </c>
      <c r="M9558" t="s" s="10">
        <v>26</v>
      </c>
      <c r="N9558" s="17">
        <v>19</v>
      </c>
      <c r="O9558" s="18">
        <v>932</v>
      </c>
      <c r="P9558" s="18">
        <v>951</v>
      </c>
      <c r="Q9558" s="15"/>
      <c r="R9558" t="s" s="16">
        <f>HYPERLINK("http://secrets.rutgers.edu:8080/data/asl-ftp/asllvd/demos/verify_start_end_handshape_annotations//test_auto_move//signs_mov_separ_signers/Tyler_4707.mov","MOV")</f>
        <v>21</v>
      </c>
    </row>
    <row r="9559" s="2" customFormat="1" ht="13.5" customHeight="1">
      <c r="B9559" s="13"/>
      <c r="C9559" t="s" s="9">
        <v>27</v>
      </c>
      <c r="D9559" t="s" s="8">
        <v>3548</v>
      </c>
      <c r="E9559" t="s" s="9">
        <v>3548</v>
      </c>
      <c r="F9559" t="s" s="10">
        <v>73</v>
      </c>
      <c r="G9559" s="14"/>
      <c r="H9559" t="s" s="10">
        <v>73</v>
      </c>
      <c r="I9559" s="14"/>
      <c r="J9559" t="s" s="11">
        <v>20</v>
      </c>
      <c r="K9559" t="s" s="16">
        <f>HYPERLINK("http://csr.bu.edu/ftp/asl/asllvd/demos/verify_start_end_handshape_annotations//test_auto_move//signs_mov/4707.mov","MOV")</f>
        <v>21</v>
      </c>
      <c r="L9559" t="s" s="16">
        <f>HYPERLINK("http://csr.bu.edu/ftp/asl/asllvd/demos/verify_start_end_handshape_annotations//test_auto_move//signs_mov_separ_signers/Naomi_4707.mov","MOV")</f>
        <v>21</v>
      </c>
      <c r="M9559" t="s" s="10">
        <v>29</v>
      </c>
      <c r="N9559" s="17">
        <v>19</v>
      </c>
      <c r="O9559" s="18">
        <v>779</v>
      </c>
      <c r="P9559" s="18">
        <v>803</v>
      </c>
      <c r="Q9559" t="s" s="16">
        <f>HYPERLINK("http://secrets.rutgers.edu:8080/data/asl-ftp/asllvd/demos/verify_start_end_handshape_annotations//test_auto_move//signs_mov/4707.mov","MOV")</f>
        <v>21</v>
      </c>
      <c r="R9559" t="s" s="16">
        <f>HYPERLINK("http://secrets.rutgers.edu:8080/data/asl-ftp/asllvd/demos/verify_start_end_handshape_annotations//test_auto_move//signs_mov_separ_signers/Naomi_4707.mov","MOV")</f>
        <v>21</v>
      </c>
    </row>
    <row r="9560" s="2" customFormat="1" ht="13.5" customHeight="1">
      <c r="B9560" s="13"/>
      <c r="C9560" t="s" s="9">
        <v>30</v>
      </c>
      <c r="D9560" t="s" s="8">
        <v>3548</v>
      </c>
      <c r="E9560" t="s" s="9">
        <v>3548</v>
      </c>
      <c r="F9560" t="s" s="10">
        <v>73</v>
      </c>
      <c r="G9560" s="14"/>
      <c r="H9560" t="s" s="10">
        <v>80</v>
      </c>
      <c r="I9560" s="14"/>
      <c r="J9560" t="s" s="11">
        <v>20</v>
      </c>
      <c r="K9560" s="15"/>
      <c r="L9560" t="s" s="16">
        <f>HYPERLINK("http://csr.bu.edu/ftp/asl/asllvd/demos/verify_start_end_handshape_annotations//test_auto_move//signs_mov_separ_signers/Brady_4707.mov","MOV")</f>
        <v>21</v>
      </c>
      <c r="M9560" t="s" s="10">
        <v>31</v>
      </c>
      <c r="N9560" s="17">
        <v>15</v>
      </c>
      <c r="O9560" s="18">
        <v>3745</v>
      </c>
      <c r="P9560" s="18">
        <v>3762</v>
      </c>
      <c r="Q9560" s="15"/>
      <c r="R9560" t="s" s="16">
        <f>HYPERLINK("http://secrets.rutgers.edu:8080/data/asl-ftp/asllvd/demos/verify_start_end_handshape_annotations//test_auto_move//signs_mov_separ_signers/Brady_4707.mov","MOV")</f>
        <v>21</v>
      </c>
    </row>
    <row r="9561" s="2" customFormat="1" ht="13.5" customHeight="1">
      <c r="B9561" s="13"/>
      <c r="C9561" t="s" s="9">
        <v>41</v>
      </c>
      <c r="D9561" t="s" s="8">
        <v>3548</v>
      </c>
      <c r="E9561" t="s" s="9">
        <v>3548</v>
      </c>
      <c r="F9561" t="s" s="10">
        <v>73</v>
      </c>
      <c r="G9561" s="14"/>
      <c r="H9561" t="s" s="10">
        <v>73</v>
      </c>
      <c r="I9561" s="14"/>
      <c r="J9561" t="s" s="11">
        <v>20</v>
      </c>
      <c r="K9561" s="15"/>
      <c r="L9561" t="s" s="16">
        <f>HYPERLINK("http://csr.bu.edu/ftp/asl/asllvd/demos/verify_start_end_handshape_annotations//test_auto_move//signs_mov_separ_signers/Lana_4707.mov","MOV")</f>
        <v>21</v>
      </c>
      <c r="M9561" t="s" s="10">
        <v>42</v>
      </c>
      <c r="N9561" s="17">
        <v>3</v>
      </c>
      <c r="O9561" s="18">
        <v>2096</v>
      </c>
      <c r="P9561" s="18">
        <v>2115</v>
      </c>
      <c r="Q9561" s="15"/>
      <c r="R9561" t="s" s="16">
        <f>HYPERLINK("http://secrets.rutgers.edu:8080/data/asl-ftp/asllvd/demos/verify_start_end_handshape_annotations//test_auto_move//signs_mov_separ_signers/Lana_4707.mov","MOV")</f>
        <v>21</v>
      </c>
    </row>
    <row r="9562" s="2" customFormat="1" ht="13.5" customHeight="1">
      <c r="B9562" s="13"/>
      <c r="C9562" t="s" s="9">
        <v>43</v>
      </c>
      <c r="D9562" t="s" s="8">
        <v>3548</v>
      </c>
      <c r="E9562" t="s" s="9">
        <v>3548</v>
      </c>
      <c r="F9562" t="s" s="10">
        <v>73</v>
      </c>
      <c r="G9562" s="14"/>
      <c r="H9562" t="s" s="10">
        <v>73</v>
      </c>
      <c r="I9562" s="14"/>
      <c r="J9562" t="s" s="11">
        <v>20</v>
      </c>
      <c r="K9562" s="15"/>
      <c r="L9562" t="s" s="16">
        <f>HYPERLINK("http://csr.bu.edu/ftp/asl/asllvd/demos/verify_start_end_handshape_annotations//test_auto_move//signs_mov_separ_signers/Dana_4707.mov","MOV")</f>
        <v>21</v>
      </c>
      <c r="M9562" t="s" s="10">
        <v>44</v>
      </c>
      <c r="N9562" s="17">
        <v>7</v>
      </c>
      <c r="O9562" s="18">
        <v>2143</v>
      </c>
      <c r="P9562" s="18">
        <v>2176</v>
      </c>
      <c r="Q9562" s="15"/>
      <c r="R9562" t="s" s="16">
        <f>HYPERLINK("http://secrets.rutgers.edu:8080/data/asl-ftp/asllvd/demos/verify_start_end_handshape_annotations//test_auto_move//signs_mov_separ_signers/Dana_4707.mov","MOV")</f>
        <v>21</v>
      </c>
    </row>
    <row r="9563" s="2" customFormat="1" ht="13.5" customHeight="1">
      <c r="B9563" t="s" s="8">
        <v>3549</v>
      </c>
      <c r="C9563" t="s" s="9">
        <v>14</v>
      </c>
      <c r="D9563" t="s" s="8">
        <v>14</v>
      </c>
      <c r="E9563" t="s" s="9">
        <v>14</v>
      </c>
      <c r="F9563" t="s" s="10">
        <v>14</v>
      </c>
      <c r="G9563" t="s" s="11">
        <v>14</v>
      </c>
      <c r="H9563" t="s" s="10">
        <v>14</v>
      </c>
      <c r="I9563" t="s" s="11">
        <v>14</v>
      </c>
      <c r="J9563" t="s" s="11">
        <v>14</v>
      </c>
      <c r="K9563" t="s" s="12">
        <v>14</v>
      </c>
      <c r="L9563" t="s" s="12">
        <v>14</v>
      </c>
      <c r="M9563" t="s" s="10">
        <v>14</v>
      </c>
      <c r="N9563" t="s" s="11">
        <v>14</v>
      </c>
      <c r="O9563" t="s" s="8">
        <v>14</v>
      </c>
      <c r="P9563" t="s" s="8">
        <v>14</v>
      </c>
      <c r="Q9563" t="s" s="12">
        <v>14</v>
      </c>
      <c r="R9563" t="s" s="12">
        <v>14</v>
      </c>
    </row>
    <row r="9564" s="2" customFormat="1" ht="13.5" customHeight="1">
      <c r="B9564" s="13"/>
      <c r="C9564" t="s" s="9">
        <v>16</v>
      </c>
      <c r="D9564" t="s" s="8">
        <v>3549</v>
      </c>
      <c r="E9564" t="s" s="9">
        <v>3549</v>
      </c>
      <c r="F9564" t="s" s="10">
        <v>406</v>
      </c>
      <c r="G9564" s="14"/>
      <c r="H9564" t="s" s="10">
        <v>406</v>
      </c>
      <c r="I9564" s="14"/>
      <c r="J9564" t="s" s="11">
        <v>20</v>
      </c>
      <c r="K9564" t="s" s="16">
        <f>HYPERLINK("http://csr.bu.edu/ftp/asl/asllvd/demos/verify_start_end_handshape_annotations//test_auto_move//signs_mov/2840.mov","MOV")</f>
        <v>21</v>
      </c>
      <c r="L9564" t="s" s="16">
        <f>HYPERLINK("http://csr.bu.edu/ftp/asl/asllvd/demos/verify_start_end_handshape_annotations//test_auto_move//signs_mov_separ_signers/Liz_2840.mov","MOV")</f>
        <v>21</v>
      </c>
      <c r="M9564" t="s" s="10">
        <v>59</v>
      </c>
      <c r="N9564" s="17">
        <v>39</v>
      </c>
      <c r="O9564" s="18">
        <v>295</v>
      </c>
      <c r="P9564" s="18">
        <v>326</v>
      </c>
      <c r="Q9564" t="s" s="16">
        <f>HYPERLINK("http://secrets.rutgers.edu:8080/data/asl-ftp/asllvd/demos/verify_start_end_handshape_annotations//test_auto_move//signs_mov/2840.mov","MOV")</f>
        <v>21</v>
      </c>
      <c r="R9564" t="s" s="16">
        <f>HYPERLINK("http://secrets.rutgers.edu:8080/data/asl-ftp/asllvd/demos/verify_start_end_handshape_annotations//test_auto_move//signs_mov_separ_signers/Liz_2840.mov","MOV")</f>
        <v>21</v>
      </c>
    </row>
    <row r="9565" s="2" customFormat="1" ht="13.5" customHeight="1">
      <c r="B9565" s="13"/>
      <c r="C9565" t="s" s="9">
        <v>30</v>
      </c>
      <c r="D9565" t="s" s="8">
        <v>3549</v>
      </c>
      <c r="E9565" t="s" s="9">
        <v>3549</v>
      </c>
      <c r="F9565" s="19">
        <v>6</v>
      </c>
      <c r="G9565" s="14"/>
      <c r="H9565" s="19">
        <v>6</v>
      </c>
      <c r="I9565" s="14"/>
      <c r="J9565" t="s" s="11">
        <v>20</v>
      </c>
      <c r="K9565" s="15"/>
      <c r="L9565" t="s" s="16">
        <f>HYPERLINK("http://csr.bu.edu/ftp/asl/asllvd/demos/verify_start_end_handshape_annotations//test_auto_move//signs_mov_separ_signers/Brady_2840.mov","MOV")</f>
        <v>21</v>
      </c>
      <c r="M9565" t="s" s="10">
        <v>60</v>
      </c>
      <c r="N9565" s="17">
        <v>27</v>
      </c>
      <c r="O9565" s="18">
        <v>1121</v>
      </c>
      <c r="P9565" s="18">
        <v>1140</v>
      </c>
      <c r="Q9565" s="15"/>
      <c r="R9565" t="s" s="16">
        <f>HYPERLINK("http://secrets.rutgers.edu:8080/data/asl-ftp/asllvd/demos/verify_start_end_handshape_annotations//test_auto_move//signs_mov_separ_signers/Brady_2840.mov","MOV")</f>
        <v>21</v>
      </c>
    </row>
    <row r="9566" s="2" customFormat="1" ht="13.5" customHeight="1">
      <c r="B9566" t="s" s="8">
        <v>3550</v>
      </c>
      <c r="C9566" t="s" s="9">
        <v>14</v>
      </c>
      <c r="D9566" t="s" s="8">
        <v>14</v>
      </c>
      <c r="E9566" t="s" s="9">
        <v>14</v>
      </c>
      <c r="F9566" t="s" s="10">
        <v>14</v>
      </c>
      <c r="G9566" t="s" s="11">
        <v>14</v>
      </c>
      <c r="H9566" t="s" s="10">
        <v>14</v>
      </c>
      <c r="I9566" t="s" s="11">
        <v>14</v>
      </c>
      <c r="J9566" t="s" s="11">
        <v>14</v>
      </c>
      <c r="K9566" t="s" s="12">
        <v>14</v>
      </c>
      <c r="L9566" t="s" s="12">
        <v>14</v>
      </c>
      <c r="M9566" t="s" s="10">
        <v>14</v>
      </c>
      <c r="N9566" t="s" s="11">
        <v>14</v>
      </c>
      <c r="O9566" t="s" s="8">
        <v>14</v>
      </c>
      <c r="P9566" t="s" s="8">
        <v>14</v>
      </c>
      <c r="Q9566" t="s" s="12">
        <v>14</v>
      </c>
      <c r="R9566" t="s" s="12">
        <v>14</v>
      </c>
    </row>
    <row r="9567" s="2" customFormat="1" ht="13.5" customHeight="1">
      <c r="B9567" s="13"/>
      <c r="C9567" t="s" s="9">
        <v>16</v>
      </c>
      <c r="D9567" t="s" s="8">
        <v>3550</v>
      </c>
      <c r="E9567" t="s" s="9">
        <v>3550</v>
      </c>
      <c r="F9567" t="s" s="10">
        <v>136</v>
      </c>
      <c r="G9567" t="s" s="11">
        <v>68</v>
      </c>
      <c r="H9567" t="s" s="10">
        <v>136</v>
      </c>
      <c r="I9567" t="s" s="11">
        <v>68</v>
      </c>
      <c r="J9567" t="s" s="11">
        <v>136</v>
      </c>
      <c r="K9567" t="s" s="16">
        <f>HYPERLINK("http://csr.bu.edu/ftp/asl/asllvd/demos/verify_start_end_handshape_annotations//test_auto_move//signs_mov/2842.mov","MOV")</f>
        <v>21</v>
      </c>
      <c r="L9567" t="s" s="16">
        <f>HYPERLINK("http://csr.bu.edu/ftp/asl/asllvd/demos/verify_start_end_handshape_annotations//test_auto_move//signs_mov_separ_signers/Liz_2842.mov","MOV")</f>
        <v>21</v>
      </c>
      <c r="M9567" t="s" s="10">
        <v>59</v>
      </c>
      <c r="N9567" s="17">
        <v>39</v>
      </c>
      <c r="O9567" s="18">
        <v>785</v>
      </c>
      <c r="P9567" s="18">
        <v>832</v>
      </c>
      <c r="Q9567" t="s" s="16">
        <f>HYPERLINK("http://secrets.rutgers.edu:8080/data/asl-ftp/asllvd/demos/verify_start_end_handshape_annotations//test_auto_move//signs_mov/2842.mov","MOV")</f>
        <v>21</v>
      </c>
      <c r="R9567" t="s" s="16">
        <f>HYPERLINK("http://secrets.rutgers.edu:8080/data/asl-ftp/asllvd/demos/verify_start_end_handshape_annotations//test_auto_move//signs_mov_separ_signers/Liz_2842.mov","MOV")</f>
        <v>21</v>
      </c>
    </row>
    <row r="9568" s="2" customFormat="1" ht="13.5" customHeight="1">
      <c r="B9568" t="s" s="8">
        <v>52</v>
      </c>
      <c r="C9568" t="s" s="9">
        <v>53</v>
      </c>
      <c r="D9568" t="s" s="8">
        <v>53</v>
      </c>
      <c r="E9568" t="s" s="9">
        <v>53</v>
      </c>
      <c r="F9568" t="s" s="10">
        <v>53</v>
      </c>
      <c r="G9568" t="s" s="11">
        <v>53</v>
      </c>
      <c r="H9568" t="s" s="10">
        <v>53</v>
      </c>
      <c r="I9568" t="s" s="11">
        <v>53</v>
      </c>
      <c r="J9568" t="s" s="11">
        <v>53</v>
      </c>
      <c r="K9568" t="s" s="12">
        <v>53</v>
      </c>
      <c r="L9568" t="s" s="12">
        <v>53</v>
      </c>
      <c r="M9568" t="s" s="10">
        <v>53</v>
      </c>
      <c r="N9568" t="s" s="11">
        <v>53</v>
      </c>
      <c r="O9568" t="s" s="8">
        <v>53</v>
      </c>
      <c r="P9568" t="s" s="8">
        <v>53</v>
      </c>
      <c r="Q9568" t="s" s="12">
        <v>53</v>
      </c>
      <c r="R9568" t="s" s="12">
        <v>53</v>
      </c>
    </row>
    <row r="9569" s="2" customFormat="1" ht="13.5" customHeight="1">
      <c r="B9569" s="13"/>
      <c r="C9569" t="s" s="9">
        <v>16</v>
      </c>
      <c r="D9569" t="s" s="8">
        <v>3550</v>
      </c>
      <c r="E9569" t="s" s="9">
        <v>3551</v>
      </c>
      <c r="F9569" t="s" s="10">
        <v>136</v>
      </c>
      <c r="G9569" s="14"/>
      <c r="H9569" t="s" s="10">
        <v>136</v>
      </c>
      <c r="I9569" s="14"/>
      <c r="J9569" t="s" s="11">
        <v>20</v>
      </c>
      <c r="K9569" t="s" s="16">
        <f>HYPERLINK("http://csr.bu.edu/ftp/asl/asllvd/demos/verify_start_end_handshape_annotations//test_auto_move//signs_mov/3884.mov","MOV")</f>
        <v>21</v>
      </c>
      <c r="L9569" t="s" s="16">
        <f>HYPERLINK("http://csr.bu.edu/ftp/asl/asllvd/demos/verify_start_end_handshape_annotations//test_auto_move//signs_mov_separ_signers/Liz_3884.mov","MOV")</f>
        <v>21</v>
      </c>
      <c r="M9569" t="s" s="10">
        <v>77</v>
      </c>
      <c r="N9569" s="17">
        <v>11</v>
      </c>
      <c r="O9569" s="18">
        <v>326</v>
      </c>
      <c r="P9569" s="18">
        <v>375</v>
      </c>
      <c r="Q9569" t="s" s="16">
        <f>HYPERLINK("http://secrets.rutgers.edu:8080/data/asl-ftp/asllvd/demos/verify_start_end_handshape_annotations//test_auto_move//signs_mov/3884.mov","MOV")</f>
        <v>21</v>
      </c>
      <c r="R9569" t="s" s="16">
        <f>HYPERLINK("http://secrets.rutgers.edu:8080/data/asl-ftp/asllvd/demos/verify_start_end_handshape_annotations//test_auto_move//signs_mov_separ_signers/Liz_3884.mov","MOV")</f>
        <v>21</v>
      </c>
    </row>
    <row r="9570" s="2" customFormat="1" ht="13.5" customHeight="1">
      <c r="B9570" s="13"/>
      <c r="C9570" t="s" s="9">
        <v>30</v>
      </c>
      <c r="D9570" t="s" s="8">
        <v>3550</v>
      </c>
      <c r="E9570" t="s" s="9">
        <v>3552</v>
      </c>
      <c r="F9570" t="s" s="10">
        <v>136</v>
      </c>
      <c r="G9570" s="14"/>
      <c r="H9570" t="s" s="10">
        <v>136</v>
      </c>
      <c r="I9570" s="14"/>
      <c r="J9570" t="s" s="11">
        <v>20</v>
      </c>
      <c r="K9570" s="15"/>
      <c r="L9570" t="s" s="16">
        <f>HYPERLINK("http://csr.bu.edu/ftp/asl/asllvd/demos/verify_start_end_handshape_annotations//test_auto_move//signs_mov_separ_signers/Brady_3884.mov","MOV")</f>
        <v>21</v>
      </c>
      <c r="M9570" t="s" s="10">
        <v>60</v>
      </c>
      <c r="N9570" s="17">
        <v>27</v>
      </c>
      <c r="O9570" s="18">
        <v>1560</v>
      </c>
      <c r="P9570" s="18">
        <v>1619</v>
      </c>
      <c r="Q9570" s="15"/>
      <c r="R9570" t="s" s="16">
        <f>HYPERLINK("http://secrets.rutgers.edu:8080/data/asl-ftp/asllvd/demos/verify_start_end_handshape_annotations//test_auto_move//signs_mov_separ_signers/Brady_3884.mov","MOV")</f>
        <v>21</v>
      </c>
    </row>
    <row r="9571" s="2" customFormat="1" ht="13.5" customHeight="1">
      <c r="B9571" t="s" s="8">
        <v>3550</v>
      </c>
      <c r="C9571" t="s" s="9">
        <v>14</v>
      </c>
      <c r="D9571" t="s" s="8">
        <v>14</v>
      </c>
      <c r="E9571" t="s" s="9">
        <v>14</v>
      </c>
      <c r="F9571" t="s" s="10">
        <v>14</v>
      </c>
      <c r="G9571" t="s" s="11">
        <v>14</v>
      </c>
      <c r="H9571" t="s" s="10">
        <v>14</v>
      </c>
      <c r="I9571" t="s" s="11">
        <v>14</v>
      </c>
      <c r="J9571" t="s" s="11">
        <v>14</v>
      </c>
      <c r="K9571" t="s" s="12">
        <v>14</v>
      </c>
      <c r="L9571" t="s" s="12">
        <v>14</v>
      </c>
      <c r="M9571" t="s" s="10">
        <v>14</v>
      </c>
      <c r="N9571" t="s" s="11">
        <v>14</v>
      </c>
      <c r="O9571" t="s" s="8">
        <v>14</v>
      </c>
      <c r="P9571" t="s" s="8">
        <v>14</v>
      </c>
      <c r="Q9571" t="s" s="12">
        <v>14</v>
      </c>
      <c r="R9571" t="s" s="12">
        <v>14</v>
      </c>
    </row>
    <row r="9572" s="2" customFormat="1" ht="13.5" customHeight="1">
      <c r="B9572" s="13"/>
      <c r="C9572" t="s" s="9">
        <v>30</v>
      </c>
      <c r="D9572" t="s" s="8">
        <v>3553</v>
      </c>
      <c r="E9572" t="s" s="9">
        <v>3554</v>
      </c>
      <c r="F9572" t="s" s="10">
        <v>68</v>
      </c>
      <c r="G9572" s="14"/>
      <c r="H9572" t="s" s="10">
        <v>148</v>
      </c>
      <c r="I9572" s="14"/>
      <c r="J9572" t="s" s="11">
        <v>20</v>
      </c>
      <c r="K9572" t="s" s="16">
        <f>HYPERLINK("http://csr.bu.edu/ftp/asl/asllvd/demos/verify_start_end_handshape_annotations//test_auto_move//signs_mov/5962.mov","MOV")</f>
        <v>21</v>
      </c>
      <c r="L9572" t="s" s="16">
        <f>HYPERLINK("http://csr.bu.edu/ftp/asl/asllvd/demos/verify_start_end_handshape_annotations//test_auto_move//signs_mov_separ_signers/Brady_5962.mov","MOV")</f>
        <v>21</v>
      </c>
      <c r="M9572" t="s" s="10">
        <v>60</v>
      </c>
      <c r="N9572" s="17">
        <v>27</v>
      </c>
      <c r="O9572" s="18">
        <v>2450</v>
      </c>
      <c r="P9572" s="18">
        <v>2500</v>
      </c>
      <c r="Q9572" t="s" s="16">
        <f>HYPERLINK("http://secrets.rutgers.edu:8080/data/asl-ftp/asllvd/demos/verify_start_end_handshape_annotations//test_auto_move//signs_mov/5962.mov","MOV")</f>
        <v>21</v>
      </c>
      <c r="R9572" t="s" s="16">
        <f>HYPERLINK("http://secrets.rutgers.edu:8080/data/asl-ftp/asllvd/demos/verify_start_end_handshape_annotations//test_auto_move//signs_mov_separ_signers/Brady_5962.mov","MOV")</f>
        <v>21</v>
      </c>
    </row>
    <row r="9573" s="2" customFormat="1" ht="13.5" customHeight="1">
      <c r="B9573" t="s" s="8">
        <v>3555</v>
      </c>
      <c r="C9573" t="s" s="9">
        <v>14</v>
      </c>
      <c r="D9573" t="s" s="8">
        <v>14</v>
      </c>
      <c r="E9573" t="s" s="9">
        <v>14</v>
      </c>
      <c r="F9573" t="s" s="10">
        <v>14</v>
      </c>
      <c r="G9573" t="s" s="11">
        <v>14</v>
      </c>
      <c r="H9573" t="s" s="10">
        <v>14</v>
      </c>
      <c r="I9573" t="s" s="11">
        <v>14</v>
      </c>
      <c r="J9573" t="s" s="11">
        <v>14</v>
      </c>
      <c r="K9573" t="s" s="12">
        <v>14</v>
      </c>
      <c r="L9573" t="s" s="12">
        <v>14</v>
      </c>
      <c r="M9573" t="s" s="10">
        <v>14</v>
      </c>
      <c r="N9573" t="s" s="11">
        <v>14</v>
      </c>
      <c r="O9573" t="s" s="8">
        <v>14</v>
      </c>
      <c r="P9573" t="s" s="8">
        <v>14</v>
      </c>
      <c r="Q9573" t="s" s="12">
        <v>14</v>
      </c>
      <c r="R9573" t="s" s="12">
        <v>14</v>
      </c>
    </row>
    <row r="9574" s="2" customFormat="1" ht="13.5" customHeight="1">
      <c r="B9574" s="13"/>
      <c r="C9574" t="s" s="9">
        <v>16</v>
      </c>
      <c r="D9574" t="s" s="8">
        <v>3555</v>
      </c>
      <c r="E9574" t="s" s="9">
        <v>3556</v>
      </c>
      <c r="F9574" s="19">
        <v>1</v>
      </c>
      <c r="G9574" s="17">
        <v>1</v>
      </c>
      <c r="H9574" s="19">
        <v>1</v>
      </c>
      <c r="I9574" s="17">
        <v>1</v>
      </c>
      <c r="J9574" t="s" s="11">
        <v>20</v>
      </c>
      <c r="K9574" t="s" s="16">
        <f>HYPERLINK("http://csr.bu.edu/ftp/asl/asllvd/demos/verify_start_end_handshape_annotations//test_auto_move//signs_mov/2850.mov","MOV")</f>
        <v>21</v>
      </c>
      <c r="L9574" t="s" s="16">
        <f>HYPERLINK("http://csr.bu.edu/ftp/asl/asllvd/demos/verify_start_end_handshape_annotations//test_auto_move//signs_mov_separ_signers/Liz_2850.mov","MOV")</f>
        <v>21</v>
      </c>
      <c r="M9574" t="s" s="10">
        <v>59</v>
      </c>
      <c r="N9574" s="17">
        <v>40</v>
      </c>
      <c r="O9574" s="18">
        <v>432</v>
      </c>
      <c r="P9574" s="18">
        <v>492</v>
      </c>
      <c r="Q9574" t="s" s="16">
        <f>HYPERLINK("http://secrets.rutgers.edu:8080/data/asl-ftp/asllvd/demos/verify_start_end_handshape_annotations//test_auto_move//signs_mov/2850.mov","MOV")</f>
        <v>21</v>
      </c>
      <c r="R9574" t="s" s="16">
        <f>HYPERLINK("http://secrets.rutgers.edu:8080/data/asl-ftp/asllvd/demos/verify_start_end_handshape_annotations//test_auto_move//signs_mov_separ_signers/Liz_2850.mov","MOV")</f>
        <v>21</v>
      </c>
    </row>
    <row r="9575" s="2" customFormat="1" ht="13.5" customHeight="1">
      <c r="B9575" s="13"/>
      <c r="C9575" t="s" s="9">
        <v>30</v>
      </c>
      <c r="D9575" t="s" s="8">
        <v>3555</v>
      </c>
      <c r="E9575" t="s" s="9">
        <v>3556</v>
      </c>
      <c r="F9575" t="s" s="10">
        <v>268</v>
      </c>
      <c r="G9575" t="s" s="11">
        <v>268</v>
      </c>
      <c r="H9575" t="s" s="10">
        <v>268</v>
      </c>
      <c r="I9575" t="s" s="11">
        <v>268</v>
      </c>
      <c r="J9575" t="s" s="11">
        <v>20</v>
      </c>
      <c r="K9575" s="15"/>
      <c r="L9575" t="s" s="16">
        <f>HYPERLINK("http://csr.bu.edu/ftp/asl/asllvd/demos/verify_start_end_handshape_annotations//test_auto_move//signs_mov_separ_signers/Brady_2850.mov","MOV")</f>
        <v>21</v>
      </c>
      <c r="M9575" t="s" s="10">
        <v>60</v>
      </c>
      <c r="N9575" s="17">
        <v>28</v>
      </c>
      <c r="O9575" s="18">
        <v>989</v>
      </c>
      <c r="P9575" s="18">
        <v>1045</v>
      </c>
      <c r="Q9575" s="15"/>
      <c r="R9575" t="s" s="16">
        <f>HYPERLINK("http://secrets.rutgers.edu:8080/data/asl-ftp/asllvd/demos/verify_start_end_handshape_annotations//test_auto_move//signs_mov_separ_signers/Brady_2850.mov","MOV")</f>
        <v>21</v>
      </c>
    </row>
    <row r="9576" s="2" customFormat="1" ht="13.5" customHeight="1">
      <c r="B9576" t="s" s="8">
        <v>3557</v>
      </c>
      <c r="C9576" t="s" s="9">
        <v>14</v>
      </c>
      <c r="D9576" t="s" s="8">
        <v>14</v>
      </c>
      <c r="E9576" t="s" s="9">
        <v>14</v>
      </c>
      <c r="F9576" t="s" s="10">
        <v>14</v>
      </c>
      <c r="G9576" t="s" s="11">
        <v>14</v>
      </c>
      <c r="H9576" t="s" s="10">
        <v>14</v>
      </c>
      <c r="I9576" t="s" s="11">
        <v>14</v>
      </c>
      <c r="J9576" t="s" s="11">
        <v>14</v>
      </c>
      <c r="K9576" t="s" s="12">
        <v>14</v>
      </c>
      <c r="L9576" t="s" s="12">
        <v>14</v>
      </c>
      <c r="M9576" t="s" s="10">
        <v>14</v>
      </c>
      <c r="N9576" t="s" s="11">
        <v>14</v>
      </c>
      <c r="O9576" t="s" s="8">
        <v>14</v>
      </c>
      <c r="P9576" t="s" s="8">
        <v>14</v>
      </c>
      <c r="Q9576" t="s" s="12">
        <v>14</v>
      </c>
      <c r="R9576" t="s" s="12">
        <v>14</v>
      </c>
    </row>
    <row r="9577" s="2" customFormat="1" ht="13.5" customHeight="1">
      <c r="B9577" s="13"/>
      <c r="C9577" t="s" s="9">
        <v>16</v>
      </c>
      <c r="D9577" t="s" s="8">
        <v>3557</v>
      </c>
      <c r="E9577" t="s" s="9">
        <v>3558</v>
      </c>
      <c r="F9577" s="19">
        <v>1</v>
      </c>
      <c r="G9577" s="17">
        <v>1</v>
      </c>
      <c r="H9577" s="19">
        <v>1</v>
      </c>
      <c r="I9577" s="17">
        <v>1</v>
      </c>
      <c r="J9577" t="s" s="11">
        <v>20</v>
      </c>
      <c r="K9577" t="s" s="16">
        <f>HYPERLINK("http://csr.bu.edu/ftp/asl/asllvd/demos/verify_start_end_handshape_annotations//test_auto_move//signs_mov/15949.mov","MOV")</f>
        <v>21</v>
      </c>
      <c r="L9577" t="s" s="16">
        <f>HYPERLINK("http://csr.bu.edu/ftp/asl/asllvd/demos/verify_start_end_handshape_annotations//test_auto_move//signs_mov_separ_signers/Liz_15949.mov","MOV")</f>
        <v>21</v>
      </c>
      <c r="M9577" t="s" s="10">
        <v>59</v>
      </c>
      <c r="N9577" s="17">
        <v>40</v>
      </c>
      <c r="O9577" s="18">
        <v>1219</v>
      </c>
      <c r="P9577" s="18">
        <v>1311</v>
      </c>
      <c r="Q9577" t="s" s="16">
        <f>HYPERLINK("http://secrets.rutgers.edu:8080/data/asl-ftp/asllvd/demos/verify_start_end_handshape_annotations//test_auto_move//signs_mov/15949.mov","MOV")</f>
        <v>21</v>
      </c>
      <c r="R9577" t="s" s="16">
        <f>HYPERLINK("http://secrets.rutgers.edu:8080/data/asl-ftp/asllvd/demos/verify_start_end_handshape_annotations//test_auto_move//signs_mov_separ_signers/Liz_15949.mov","MOV")</f>
        <v>21</v>
      </c>
    </row>
    <row r="9578" s="2" customFormat="1" ht="13.5" customHeight="1">
      <c r="B9578" t="s" s="8">
        <v>52</v>
      </c>
      <c r="C9578" t="s" s="9">
        <v>53</v>
      </c>
      <c r="D9578" t="s" s="8">
        <v>53</v>
      </c>
      <c r="E9578" t="s" s="9">
        <v>53</v>
      </c>
      <c r="F9578" t="s" s="10">
        <v>53</v>
      </c>
      <c r="G9578" t="s" s="11">
        <v>53</v>
      </c>
      <c r="H9578" t="s" s="10">
        <v>53</v>
      </c>
      <c r="I9578" t="s" s="11">
        <v>53</v>
      </c>
      <c r="J9578" t="s" s="11">
        <v>53</v>
      </c>
      <c r="K9578" t="s" s="12">
        <v>53</v>
      </c>
      <c r="L9578" t="s" s="12">
        <v>53</v>
      </c>
      <c r="M9578" t="s" s="10">
        <v>53</v>
      </c>
      <c r="N9578" t="s" s="11">
        <v>53</v>
      </c>
      <c r="O9578" t="s" s="8">
        <v>53</v>
      </c>
      <c r="P9578" t="s" s="8">
        <v>53</v>
      </c>
      <c r="Q9578" t="s" s="12">
        <v>53</v>
      </c>
      <c r="R9578" t="s" s="12">
        <v>53</v>
      </c>
    </row>
    <row r="9579" s="2" customFormat="1" ht="13.5" customHeight="1">
      <c r="B9579" s="13"/>
      <c r="C9579" t="s" s="9">
        <v>30</v>
      </c>
      <c r="D9579" t="s" s="8">
        <v>3557</v>
      </c>
      <c r="E9579" t="s" s="9">
        <v>3559</v>
      </c>
      <c r="F9579" t="s" s="10">
        <v>268</v>
      </c>
      <c r="G9579" s="14"/>
      <c r="H9579" t="s" s="10">
        <v>268</v>
      </c>
      <c r="I9579" s="14"/>
      <c r="J9579" t="s" s="11">
        <v>20</v>
      </c>
      <c r="K9579" t="s" s="16">
        <f>HYPERLINK("http://csr.bu.edu/ftp/asl/asllvd/demos/verify_start_end_handshape_annotations//test_auto_move//signs_mov/15955.mov","MOV")</f>
        <v>21</v>
      </c>
      <c r="L9579" t="s" s="16">
        <f>HYPERLINK("http://csr.bu.edu/ftp/asl/asllvd/demos/verify_start_end_handshape_annotations//test_auto_move//signs_mov_separ_signers/Brady_15955.mov","MOV")</f>
        <v>21</v>
      </c>
      <c r="M9579" t="s" s="10">
        <v>60</v>
      </c>
      <c r="N9579" s="17">
        <v>28</v>
      </c>
      <c r="O9579" s="18">
        <v>1850</v>
      </c>
      <c r="P9579" s="18">
        <v>1933</v>
      </c>
      <c r="Q9579" t="s" s="16">
        <f>HYPERLINK("http://secrets.rutgers.edu:8080/data/asl-ftp/asllvd/demos/verify_start_end_handshape_annotations//test_auto_move//signs_mov/15955.mov","MOV")</f>
        <v>21</v>
      </c>
      <c r="R9579" t="s" s="16">
        <f>HYPERLINK("http://secrets.rutgers.edu:8080/data/asl-ftp/asllvd/demos/verify_start_end_handshape_annotations//test_auto_move//signs_mov_separ_signers/Brady_15955.mov","MOV")</f>
        <v>21</v>
      </c>
    </row>
    <row r="9580" s="2" customFormat="1" ht="13.5" customHeight="1">
      <c r="B9580" t="s" s="8">
        <v>3557</v>
      </c>
      <c r="C9580" t="s" s="9">
        <v>14</v>
      </c>
      <c r="D9580" t="s" s="8">
        <v>14</v>
      </c>
      <c r="E9580" t="s" s="9">
        <v>14</v>
      </c>
      <c r="F9580" t="s" s="10">
        <v>14</v>
      </c>
      <c r="G9580" t="s" s="11">
        <v>14</v>
      </c>
      <c r="H9580" t="s" s="10">
        <v>14</v>
      </c>
      <c r="I9580" t="s" s="11">
        <v>14</v>
      </c>
      <c r="J9580" t="s" s="11">
        <v>14</v>
      </c>
      <c r="K9580" t="s" s="12">
        <v>14</v>
      </c>
      <c r="L9580" t="s" s="12">
        <v>14</v>
      </c>
      <c r="M9580" t="s" s="10">
        <v>14</v>
      </c>
      <c r="N9580" t="s" s="11">
        <v>14</v>
      </c>
      <c r="O9580" t="s" s="8">
        <v>14</v>
      </c>
      <c r="P9580" t="s" s="8">
        <v>14</v>
      </c>
      <c r="Q9580" t="s" s="12">
        <v>14</v>
      </c>
      <c r="R9580" t="s" s="12">
        <v>14</v>
      </c>
    </row>
    <row r="9581" s="2" customFormat="1" ht="13.5" customHeight="1">
      <c r="B9581" s="13"/>
      <c r="C9581" t="s" s="9">
        <v>16</v>
      </c>
      <c r="D9581" t="s" s="8">
        <v>3560</v>
      </c>
      <c r="E9581" t="s" s="9">
        <v>3561</v>
      </c>
      <c r="F9581" t="s" s="10">
        <v>63</v>
      </c>
      <c r="G9581" t="s" s="11">
        <v>63</v>
      </c>
      <c r="H9581" t="s" s="10">
        <v>72</v>
      </c>
      <c r="I9581" t="s" s="11">
        <v>72</v>
      </c>
      <c r="J9581" t="s" s="11">
        <v>20</v>
      </c>
      <c r="K9581" t="s" s="16">
        <f>HYPERLINK("http://csr.bu.edu/ftp/asl/asllvd/demos/verify_start_end_handshape_annotations//test_auto_move//signs_mov/15967.mov","MOV")</f>
        <v>21</v>
      </c>
      <c r="L9581" t="s" s="16">
        <f>HYPERLINK("http://csr.bu.edu/ftp/asl/asllvd/demos/verify_start_end_handshape_annotations//test_auto_move//signs_mov_separ_signers/Liz_15967.mov","MOV")</f>
        <v>21</v>
      </c>
      <c r="M9581" t="s" s="10">
        <v>59</v>
      </c>
      <c r="N9581" s="17">
        <v>40</v>
      </c>
      <c r="O9581" s="18">
        <v>1842</v>
      </c>
      <c r="P9581" s="18">
        <v>1907</v>
      </c>
      <c r="Q9581" t="s" s="16">
        <f>HYPERLINK("http://secrets.rutgers.edu:8080/data/asl-ftp/asllvd/demos/verify_start_end_handshape_annotations//test_auto_move//signs_mov/15967.mov","MOV")</f>
        <v>21</v>
      </c>
      <c r="R9581" t="s" s="16">
        <f>HYPERLINK("http://secrets.rutgers.edu:8080/data/asl-ftp/asllvd/demos/verify_start_end_handshape_annotations//test_auto_move//signs_mov_separ_signers/Liz_15967.mov","MOV")</f>
        <v>21</v>
      </c>
    </row>
    <row r="9582" s="2" customFormat="1" ht="13.5" customHeight="1">
      <c r="B9582" s="13"/>
      <c r="C9582" t="s" s="9">
        <v>30</v>
      </c>
      <c r="D9582" t="s" s="8">
        <v>3560</v>
      </c>
      <c r="E9582" t="s" s="9">
        <v>3562</v>
      </c>
      <c r="F9582" t="s" s="10">
        <v>68</v>
      </c>
      <c r="G9582" t="s" s="11">
        <v>68</v>
      </c>
      <c r="H9582" t="s" s="10">
        <v>72</v>
      </c>
      <c r="I9582" t="s" s="11">
        <v>72</v>
      </c>
      <c r="J9582" t="s" s="11">
        <v>20</v>
      </c>
      <c r="K9582" s="15"/>
      <c r="L9582" t="s" s="16">
        <f>HYPERLINK("http://csr.bu.edu/ftp/asl/asllvd/demos/verify_start_end_handshape_annotations//test_auto_move//signs_mov_separ_signers/Brady_15967.mov","MOV")</f>
        <v>21</v>
      </c>
      <c r="M9582" t="s" s="10">
        <v>60</v>
      </c>
      <c r="N9582" s="17">
        <v>28</v>
      </c>
      <c r="O9582" s="18">
        <v>2653</v>
      </c>
      <c r="P9582" s="18">
        <v>2742</v>
      </c>
      <c r="Q9582" s="15"/>
      <c r="R9582" t="s" s="16">
        <f>HYPERLINK("http://secrets.rutgers.edu:8080/data/asl-ftp/asllvd/demos/verify_start_end_handshape_annotations//test_auto_move//signs_mov_separ_signers/Brady_15967.mov","MOV")</f>
        <v>21</v>
      </c>
    </row>
    <row r="9583" s="2" customFormat="1" ht="13.5" customHeight="1">
      <c r="B9583" t="s" s="8">
        <v>3563</v>
      </c>
      <c r="C9583" t="s" s="9">
        <v>14</v>
      </c>
      <c r="D9583" t="s" s="8">
        <v>14</v>
      </c>
      <c r="E9583" t="s" s="9">
        <v>14</v>
      </c>
      <c r="F9583" t="s" s="10">
        <v>14</v>
      </c>
      <c r="G9583" t="s" s="11">
        <v>14</v>
      </c>
      <c r="H9583" t="s" s="10">
        <v>14</v>
      </c>
      <c r="I9583" t="s" s="11">
        <v>14</v>
      </c>
      <c r="J9583" t="s" s="11">
        <v>14</v>
      </c>
      <c r="K9583" t="s" s="12">
        <v>14</v>
      </c>
      <c r="L9583" t="s" s="12">
        <v>14</v>
      </c>
      <c r="M9583" t="s" s="10">
        <v>14</v>
      </c>
      <c r="N9583" t="s" s="11">
        <v>14</v>
      </c>
      <c r="O9583" t="s" s="8">
        <v>14</v>
      </c>
      <c r="P9583" t="s" s="8">
        <v>14</v>
      </c>
      <c r="Q9583" t="s" s="12">
        <v>14</v>
      </c>
      <c r="R9583" t="s" s="12">
        <v>14</v>
      </c>
    </row>
    <row r="9584" s="2" customFormat="1" ht="13.5" customHeight="1">
      <c r="B9584" s="13"/>
      <c r="C9584" t="s" s="9">
        <v>16</v>
      </c>
      <c r="D9584" t="s" s="8">
        <v>3563</v>
      </c>
      <c r="E9584" t="s" s="9">
        <v>3564</v>
      </c>
      <c r="F9584" t="s" s="10">
        <v>268</v>
      </c>
      <c r="G9584" t="s" s="11">
        <v>268</v>
      </c>
      <c r="H9584" t="s" s="10">
        <v>268</v>
      </c>
      <c r="I9584" t="s" s="11">
        <v>268</v>
      </c>
      <c r="J9584" t="s" s="11">
        <v>20</v>
      </c>
      <c r="K9584" t="s" s="16">
        <f>HYPERLINK("http://csr.bu.edu/ftp/asl/asllvd/demos/verify_start_end_handshape_annotations//test_auto_move//signs_mov/15992.mov","MOV")</f>
        <v>21</v>
      </c>
      <c r="L9584" t="s" s="16">
        <f>HYPERLINK("http://csr.bu.edu/ftp/asl/asllvd/demos/verify_start_end_handshape_annotations//test_auto_move//signs_mov_separ_signers/Liz_15992.mov","MOV")</f>
        <v>21</v>
      </c>
      <c r="M9584" t="s" s="10">
        <v>36</v>
      </c>
      <c r="N9584" s="17">
        <v>18</v>
      </c>
      <c r="O9584" s="18">
        <v>180</v>
      </c>
      <c r="P9584" s="18">
        <v>240</v>
      </c>
      <c r="Q9584" t="s" s="16">
        <f>HYPERLINK("http://secrets.rutgers.edu:8080/data/asl-ftp/asllvd/demos/verify_start_end_handshape_annotations//test_auto_move//signs_mov/15992.mov","MOV")</f>
        <v>21</v>
      </c>
      <c r="R9584" t="s" s="16">
        <f>HYPERLINK("http://secrets.rutgers.edu:8080/data/asl-ftp/asllvd/demos/verify_start_end_handshape_annotations//test_auto_move//signs_mov_separ_signers/Liz_15992.mov","MOV")</f>
        <v>21</v>
      </c>
    </row>
    <row r="9585" s="2" customFormat="1" ht="13.5" customHeight="1">
      <c r="B9585" s="13"/>
      <c r="C9585" t="s" s="9">
        <v>30</v>
      </c>
      <c r="D9585" t="s" s="8">
        <v>3563</v>
      </c>
      <c r="E9585" t="s" s="9">
        <v>3564</v>
      </c>
      <c r="F9585" t="s" s="10">
        <v>268</v>
      </c>
      <c r="G9585" t="s" s="11">
        <v>268</v>
      </c>
      <c r="H9585" t="s" s="10">
        <v>268</v>
      </c>
      <c r="I9585" t="s" s="11">
        <v>268</v>
      </c>
      <c r="J9585" t="s" s="11">
        <v>20</v>
      </c>
      <c r="K9585" s="15"/>
      <c r="L9585" t="s" s="16">
        <f>HYPERLINK("http://csr.bu.edu/ftp/asl/asllvd/demos/verify_start_end_handshape_annotations//test_auto_move//signs_mov_separ_signers/Brady_15992.mov","MOV")</f>
        <v>21</v>
      </c>
      <c r="M9585" t="s" s="10">
        <v>60</v>
      </c>
      <c r="N9585" s="17">
        <v>51</v>
      </c>
      <c r="O9585" s="18">
        <v>1387</v>
      </c>
      <c r="P9585" s="18">
        <v>1435</v>
      </c>
      <c r="Q9585" s="15"/>
      <c r="R9585" t="s" s="16">
        <f>HYPERLINK("http://secrets.rutgers.edu:8080/data/asl-ftp/asllvd/demos/verify_start_end_handshape_annotations//test_auto_move//signs_mov_separ_signers/Brady_15992.mov","MOV")</f>
        <v>21</v>
      </c>
    </row>
    <row r="9586" s="2" customFormat="1" ht="13.5" customHeight="1">
      <c r="B9586" t="s" s="8">
        <v>3565</v>
      </c>
      <c r="C9586" t="s" s="9">
        <v>14</v>
      </c>
      <c r="D9586" t="s" s="8">
        <v>14</v>
      </c>
      <c r="E9586" t="s" s="9">
        <v>14</v>
      </c>
      <c r="F9586" t="s" s="10">
        <v>14</v>
      </c>
      <c r="G9586" t="s" s="11">
        <v>14</v>
      </c>
      <c r="H9586" t="s" s="10">
        <v>14</v>
      </c>
      <c r="I9586" t="s" s="11">
        <v>14</v>
      </c>
      <c r="J9586" t="s" s="11">
        <v>14</v>
      </c>
      <c r="K9586" t="s" s="12">
        <v>14</v>
      </c>
      <c r="L9586" t="s" s="12">
        <v>14</v>
      </c>
      <c r="M9586" t="s" s="10">
        <v>14</v>
      </c>
      <c r="N9586" t="s" s="11">
        <v>14</v>
      </c>
      <c r="O9586" t="s" s="8">
        <v>14</v>
      </c>
      <c r="P9586" t="s" s="8">
        <v>14</v>
      </c>
      <c r="Q9586" t="s" s="12">
        <v>14</v>
      </c>
      <c r="R9586" t="s" s="12">
        <v>14</v>
      </c>
    </row>
    <row r="9587" s="2" customFormat="1" ht="13.5" customHeight="1">
      <c r="B9587" s="13"/>
      <c r="C9587" t="s" s="9">
        <v>16</v>
      </c>
      <c r="D9587" t="s" s="8">
        <v>3565</v>
      </c>
      <c r="E9587" t="s" s="9">
        <v>3565</v>
      </c>
      <c r="F9587" t="s" s="10">
        <v>251</v>
      </c>
      <c r="G9587" t="s" s="11">
        <v>251</v>
      </c>
      <c r="H9587" t="s" s="10">
        <v>251</v>
      </c>
      <c r="I9587" t="s" s="11">
        <v>251</v>
      </c>
      <c r="J9587" t="s" s="11">
        <v>20</v>
      </c>
      <c r="K9587" t="s" s="16">
        <f>HYPERLINK("http://csr.bu.edu/ftp/asl/asllvd/demos/verify_start_end_handshape_annotations//test_auto_move//signs_mov/16016.mov","MOV")</f>
        <v>21</v>
      </c>
      <c r="L9587" t="s" s="16">
        <f>HYPERLINK("http://csr.bu.edu/ftp/asl/asllvd/demos/verify_start_end_handshape_annotations//test_auto_move//signs_mov_separ_signers/Liz_16016.mov","MOV")</f>
        <v>21</v>
      </c>
      <c r="M9587" t="s" s="10">
        <v>36</v>
      </c>
      <c r="N9587" s="17">
        <v>14</v>
      </c>
      <c r="O9587" s="18">
        <v>1155</v>
      </c>
      <c r="P9587" s="18">
        <v>1195</v>
      </c>
      <c r="Q9587" t="s" s="16">
        <f>HYPERLINK("http://secrets.rutgers.edu:8080/data/asl-ftp/asllvd/demos/verify_start_end_handshape_annotations//test_auto_move//signs_mov/16016.mov","MOV")</f>
        <v>21</v>
      </c>
      <c r="R9587" t="s" s="16">
        <f>HYPERLINK("http://secrets.rutgers.edu:8080/data/asl-ftp/asllvd/demos/verify_start_end_handshape_annotations//test_auto_move//signs_mov_separ_signers/Liz_16016.mov","MOV")</f>
        <v>21</v>
      </c>
    </row>
    <row r="9588" s="2" customFormat="1" ht="13.5" customHeight="1">
      <c r="B9588" t="s" s="8">
        <v>3566</v>
      </c>
      <c r="C9588" t="s" s="9">
        <v>14</v>
      </c>
      <c r="D9588" t="s" s="8">
        <v>14</v>
      </c>
      <c r="E9588" t="s" s="9">
        <v>14</v>
      </c>
      <c r="F9588" t="s" s="10">
        <v>14</v>
      </c>
      <c r="G9588" t="s" s="11">
        <v>14</v>
      </c>
      <c r="H9588" t="s" s="10">
        <v>14</v>
      </c>
      <c r="I9588" t="s" s="11">
        <v>14</v>
      </c>
      <c r="J9588" t="s" s="11">
        <v>14</v>
      </c>
      <c r="K9588" t="s" s="12">
        <v>14</v>
      </c>
      <c r="L9588" t="s" s="12">
        <v>14</v>
      </c>
      <c r="M9588" t="s" s="10">
        <v>14</v>
      </c>
      <c r="N9588" t="s" s="11">
        <v>14</v>
      </c>
      <c r="O9588" t="s" s="8">
        <v>14</v>
      </c>
      <c r="P9588" t="s" s="8">
        <v>14</v>
      </c>
      <c r="Q9588" t="s" s="12">
        <v>14</v>
      </c>
      <c r="R9588" t="s" s="12">
        <v>14</v>
      </c>
    </row>
    <row r="9589" s="2" customFormat="1" ht="13.5" customHeight="1">
      <c r="B9589" s="13"/>
      <c r="C9589" t="s" s="9">
        <v>16</v>
      </c>
      <c r="D9589" t="s" s="8">
        <v>3566</v>
      </c>
      <c r="E9589" t="s" s="9">
        <v>3566</v>
      </c>
      <c r="F9589" t="s" s="10">
        <v>68</v>
      </c>
      <c r="G9589" t="s" s="11">
        <v>68</v>
      </c>
      <c r="H9589" t="s" s="10">
        <v>68</v>
      </c>
      <c r="I9589" t="s" s="11">
        <v>68</v>
      </c>
      <c r="J9589" t="s" s="11">
        <v>20</v>
      </c>
      <c r="K9589" t="s" s="16">
        <f>HYPERLINK("http://csr.bu.edu/ftp/asl/asllvd/demos/verify_start_end_handshape_annotations//test_auto_move//signs_mov/2851.mov","MOV")</f>
        <v>21</v>
      </c>
      <c r="L9589" t="s" s="16">
        <f>HYPERLINK("http://csr.bu.edu/ftp/asl/asllvd/demos/verify_start_end_handshape_annotations//test_auto_move//signs_mov_separ_signers/Liz_2851.mov","MOV")</f>
        <v>21</v>
      </c>
      <c r="M9589" t="s" s="10">
        <v>59</v>
      </c>
      <c r="N9589" s="17">
        <v>40</v>
      </c>
      <c r="O9589" s="18">
        <v>711</v>
      </c>
      <c r="P9589" s="18">
        <v>763</v>
      </c>
      <c r="Q9589" t="s" s="16">
        <f>HYPERLINK("http://secrets.rutgers.edu:8080/data/asl-ftp/asllvd/demos/verify_start_end_handshape_annotations//test_auto_move//signs_mov/2851.mov","MOV")</f>
        <v>21</v>
      </c>
      <c r="R9589" t="s" s="16">
        <f>HYPERLINK("http://secrets.rutgers.edu:8080/data/asl-ftp/asllvd/demos/verify_start_end_handshape_annotations//test_auto_move//signs_mov_separ_signers/Liz_2851.mov","MOV")</f>
        <v>21</v>
      </c>
    </row>
    <row r="9590" s="2" customFormat="1" ht="13.5" customHeight="1">
      <c r="B9590" t="s" s="8">
        <v>3567</v>
      </c>
      <c r="C9590" t="s" s="9">
        <v>14</v>
      </c>
      <c r="D9590" t="s" s="8">
        <v>14</v>
      </c>
      <c r="E9590" t="s" s="9">
        <v>14</v>
      </c>
      <c r="F9590" t="s" s="10">
        <v>14</v>
      </c>
      <c r="G9590" t="s" s="11">
        <v>14</v>
      </c>
      <c r="H9590" t="s" s="10">
        <v>14</v>
      </c>
      <c r="I9590" t="s" s="11">
        <v>14</v>
      </c>
      <c r="J9590" t="s" s="11">
        <v>14</v>
      </c>
      <c r="K9590" t="s" s="12">
        <v>14</v>
      </c>
      <c r="L9590" t="s" s="12">
        <v>14</v>
      </c>
      <c r="M9590" t="s" s="10">
        <v>14</v>
      </c>
      <c r="N9590" t="s" s="11">
        <v>14</v>
      </c>
      <c r="O9590" t="s" s="8">
        <v>14</v>
      </c>
      <c r="P9590" t="s" s="8">
        <v>14</v>
      </c>
      <c r="Q9590" t="s" s="12">
        <v>14</v>
      </c>
      <c r="R9590" t="s" s="12">
        <v>14</v>
      </c>
    </row>
    <row r="9591" s="2" customFormat="1" ht="13.5" customHeight="1">
      <c r="B9591" s="13"/>
      <c r="C9591" t="s" s="9">
        <v>16</v>
      </c>
      <c r="D9591" t="s" s="8">
        <v>3567</v>
      </c>
      <c r="E9591" t="s" s="9">
        <v>3567</v>
      </c>
      <c r="F9591" s="19">
        <v>1</v>
      </c>
      <c r="G9591" s="17">
        <v>1</v>
      </c>
      <c r="H9591" s="19">
        <v>1</v>
      </c>
      <c r="I9591" s="17">
        <v>1</v>
      </c>
      <c r="J9591" t="s" s="11">
        <v>20</v>
      </c>
      <c r="K9591" t="s" s="16">
        <f>HYPERLINK("http://csr.bu.edu/ftp/asl/asllvd/demos/verify_start_end_handshape_annotations//test_auto_move//signs_mov/2854.mov","MOV")</f>
        <v>21</v>
      </c>
      <c r="L9591" t="s" s="16">
        <f>HYPERLINK("http://csr.bu.edu/ftp/asl/asllvd/demos/verify_start_end_handshape_annotations//test_auto_move//signs_mov_separ_signers/Liz_2854.mov","MOV")</f>
        <v>21</v>
      </c>
      <c r="M9591" t="s" s="10">
        <v>59</v>
      </c>
      <c r="N9591" s="17">
        <v>40</v>
      </c>
      <c r="O9591" s="18">
        <v>2080</v>
      </c>
      <c r="P9591" s="18">
        <v>2129</v>
      </c>
      <c r="Q9591" t="s" s="16">
        <f>HYPERLINK("http://secrets.rutgers.edu:8080/data/asl-ftp/asllvd/demos/verify_start_end_handshape_annotations//test_auto_move//signs_mov/2854.mov","MOV")</f>
        <v>21</v>
      </c>
      <c r="R9591" t="s" s="16">
        <f>HYPERLINK("http://secrets.rutgers.edu:8080/data/asl-ftp/asllvd/demos/verify_start_end_handshape_annotations//test_auto_move//signs_mov_separ_signers/Liz_2854.mov","MOV")</f>
        <v>21</v>
      </c>
    </row>
    <row r="9592" s="2" customFormat="1" ht="13.5" customHeight="1">
      <c r="B9592" s="13"/>
      <c r="C9592" t="s" s="9">
        <v>30</v>
      </c>
      <c r="D9592" t="s" s="8">
        <v>3567</v>
      </c>
      <c r="E9592" t="s" s="9">
        <v>3567</v>
      </c>
      <c r="F9592" s="19">
        <v>1</v>
      </c>
      <c r="G9592" s="17">
        <v>1</v>
      </c>
      <c r="H9592" s="19">
        <v>1</v>
      </c>
      <c r="I9592" s="17">
        <v>1</v>
      </c>
      <c r="J9592" t="s" s="11">
        <v>20</v>
      </c>
      <c r="K9592" s="15"/>
      <c r="L9592" t="s" s="16">
        <f>HYPERLINK("http://csr.bu.edu/ftp/asl/asllvd/demos/verify_start_end_handshape_annotations//test_auto_move//signs_mov_separ_signers/Brady_2854.mov","MOV")</f>
        <v>21</v>
      </c>
      <c r="M9592" t="s" s="10">
        <v>60</v>
      </c>
      <c r="N9592" s="17">
        <v>28</v>
      </c>
      <c r="O9592" s="18">
        <v>2194</v>
      </c>
      <c r="P9592" s="18">
        <v>2233</v>
      </c>
      <c r="Q9592" s="15"/>
      <c r="R9592" t="s" s="16">
        <f>HYPERLINK("http://secrets.rutgers.edu:8080/data/asl-ftp/asllvd/demos/verify_start_end_handshape_annotations//test_auto_move//signs_mov_separ_signers/Brady_2854.mov","MOV")</f>
        <v>21</v>
      </c>
    </row>
    <row r="9593" s="2" customFormat="1" ht="13.5" customHeight="1">
      <c r="B9593" t="s" s="8">
        <v>3568</v>
      </c>
      <c r="C9593" t="s" s="9">
        <v>14</v>
      </c>
      <c r="D9593" t="s" s="8">
        <v>14</v>
      </c>
      <c r="E9593" t="s" s="9">
        <v>14</v>
      </c>
      <c r="F9593" t="s" s="10">
        <v>14</v>
      </c>
      <c r="G9593" t="s" s="11">
        <v>14</v>
      </c>
      <c r="H9593" t="s" s="10">
        <v>14</v>
      </c>
      <c r="I9593" t="s" s="11">
        <v>14</v>
      </c>
      <c r="J9593" t="s" s="11">
        <v>14</v>
      </c>
      <c r="K9593" t="s" s="12">
        <v>14</v>
      </c>
      <c r="L9593" t="s" s="12">
        <v>14</v>
      </c>
      <c r="M9593" t="s" s="10">
        <v>14</v>
      </c>
      <c r="N9593" t="s" s="11">
        <v>14</v>
      </c>
      <c r="O9593" t="s" s="8">
        <v>14</v>
      </c>
      <c r="P9593" t="s" s="8">
        <v>14</v>
      </c>
      <c r="Q9593" t="s" s="12">
        <v>14</v>
      </c>
      <c r="R9593" t="s" s="12">
        <v>14</v>
      </c>
    </row>
    <row r="9594" s="2" customFormat="1" ht="13.5" customHeight="1">
      <c r="B9594" s="13"/>
      <c r="C9594" t="s" s="9">
        <v>23</v>
      </c>
      <c r="D9594" t="s" s="8">
        <v>3568</v>
      </c>
      <c r="E9594" t="s" s="9">
        <v>3568</v>
      </c>
      <c r="F9594" s="19">
        <v>1</v>
      </c>
      <c r="G9594" s="17">
        <v>1</v>
      </c>
      <c r="H9594" s="19">
        <v>1</v>
      </c>
      <c r="I9594" s="17">
        <v>1</v>
      </c>
      <c r="J9594" t="s" s="11">
        <v>20</v>
      </c>
      <c r="K9594" t="s" s="16">
        <f>HYPERLINK("http://csr.bu.edu/ftp/asl/asllvd/demos/verify_start_end_handshape_annotations//test_auto_move//signs_mov/15752.mov","MOV")</f>
        <v>21</v>
      </c>
      <c r="L9594" t="s" s="16">
        <f>HYPERLINK("http://csr.bu.edu/ftp/asl/asllvd/demos/verify_start_end_handshape_annotations//test_auto_move//signs_mov_separ_signers/Tyler_15752.mov","MOV")</f>
        <v>21</v>
      </c>
      <c r="M9594" t="s" s="10">
        <v>26</v>
      </c>
      <c r="N9594" s="17">
        <v>4</v>
      </c>
      <c r="O9594" s="18">
        <v>555</v>
      </c>
      <c r="P9594" s="18">
        <v>618</v>
      </c>
      <c r="Q9594" t="s" s="16">
        <f>HYPERLINK("http://secrets.rutgers.edu:8080/data/asl-ftp/asllvd/demos/verify_start_end_handshape_annotations//test_auto_move//signs_mov/15752.mov","MOV")</f>
        <v>21</v>
      </c>
      <c r="R9594" t="s" s="16">
        <f>HYPERLINK("http://secrets.rutgers.edu:8080/data/asl-ftp/asllvd/demos/verify_start_end_handshape_annotations//test_auto_move//signs_mov_separ_signers/Tyler_15752.mov","MOV")</f>
        <v>21</v>
      </c>
    </row>
    <row r="9595" s="2" customFormat="1" ht="13.5" customHeight="1">
      <c r="B9595" t="s" s="8">
        <v>52</v>
      </c>
      <c r="C9595" t="s" s="9">
        <v>53</v>
      </c>
      <c r="D9595" t="s" s="8">
        <v>53</v>
      </c>
      <c r="E9595" t="s" s="9">
        <v>53</v>
      </c>
      <c r="F9595" t="s" s="10">
        <v>53</v>
      </c>
      <c r="G9595" t="s" s="11">
        <v>53</v>
      </c>
      <c r="H9595" t="s" s="10">
        <v>53</v>
      </c>
      <c r="I9595" t="s" s="11">
        <v>53</v>
      </c>
      <c r="J9595" t="s" s="11">
        <v>53</v>
      </c>
      <c r="K9595" t="s" s="12">
        <v>53</v>
      </c>
      <c r="L9595" t="s" s="12">
        <v>53</v>
      </c>
      <c r="M9595" t="s" s="10">
        <v>53</v>
      </c>
      <c r="N9595" t="s" s="11">
        <v>53</v>
      </c>
      <c r="O9595" t="s" s="8">
        <v>53</v>
      </c>
      <c r="P9595" t="s" s="8">
        <v>53</v>
      </c>
      <c r="Q9595" t="s" s="12">
        <v>53</v>
      </c>
      <c r="R9595" t="s" s="12">
        <v>53</v>
      </c>
    </row>
    <row r="9596" s="2" customFormat="1" ht="13.5" customHeight="1">
      <c r="B9596" s="13"/>
      <c r="C9596" t="s" s="9">
        <v>16</v>
      </c>
      <c r="D9596" t="s" s="8">
        <v>3568</v>
      </c>
      <c r="E9596" t="s" s="9">
        <v>3569</v>
      </c>
      <c r="F9596" s="19">
        <v>1</v>
      </c>
      <c r="G9596" t="s" s="11">
        <v>119</v>
      </c>
      <c r="H9596" s="19">
        <v>1</v>
      </c>
      <c r="I9596" t="s" s="11">
        <v>119</v>
      </c>
      <c r="J9596" t="s" s="11">
        <v>20</v>
      </c>
      <c r="K9596" t="s" s="16">
        <f>HYPERLINK("http://csr.bu.edu/ftp/asl/asllvd/demos/verify_start_end_handshape_annotations//test_auto_move//signs_mov/15797.mov","MOV")</f>
        <v>21</v>
      </c>
      <c r="L9596" t="s" s="16">
        <f>HYPERLINK("http://csr.bu.edu/ftp/asl/asllvd/demos/verify_start_end_handshape_annotations//test_auto_move//signs_mov_separ_signers/Liz_15797.mov","MOV")</f>
        <v>21</v>
      </c>
      <c r="M9596" t="s" s="10">
        <v>22</v>
      </c>
      <c r="N9596" s="17">
        <v>5</v>
      </c>
      <c r="O9596" s="18">
        <v>721</v>
      </c>
      <c r="P9596" s="18">
        <v>773</v>
      </c>
      <c r="Q9596" t="s" s="16">
        <f>HYPERLINK("http://secrets.rutgers.edu:8080/data/asl-ftp/asllvd/demos/verify_start_end_handshape_annotations//test_auto_move//signs_mov/15797.mov","MOV")</f>
        <v>21</v>
      </c>
      <c r="R9596" t="s" s="16">
        <f>HYPERLINK("http://secrets.rutgers.edu:8080/data/asl-ftp/asllvd/demos/verify_start_end_handshape_annotations//test_auto_move//signs_mov_separ_signers/Liz_15797.mov","MOV")</f>
        <v>21</v>
      </c>
    </row>
    <row r="9597" s="2" customFormat="1" ht="13.5" customHeight="1">
      <c r="B9597" s="13"/>
      <c r="C9597" t="s" s="9">
        <v>27</v>
      </c>
      <c r="D9597" t="s" s="8">
        <v>3568</v>
      </c>
      <c r="E9597" t="s" s="9">
        <v>3569</v>
      </c>
      <c r="F9597" s="19">
        <v>1</v>
      </c>
      <c r="G9597" t="s" s="11">
        <v>119</v>
      </c>
      <c r="H9597" s="19">
        <v>1</v>
      </c>
      <c r="I9597" t="s" s="11">
        <v>119</v>
      </c>
      <c r="J9597" t="s" s="11">
        <v>20</v>
      </c>
      <c r="K9597" s="15"/>
      <c r="L9597" t="s" s="16">
        <f>HYPERLINK("http://csr.bu.edu/ftp/asl/asllvd/demos/verify_start_end_handshape_annotations//test_auto_move//signs_mov_separ_signers/Naomi_15797.mov","MOV")</f>
        <v>21</v>
      </c>
      <c r="M9597" t="s" s="10">
        <v>29</v>
      </c>
      <c r="N9597" s="17">
        <v>4</v>
      </c>
      <c r="O9597" s="18">
        <v>1917</v>
      </c>
      <c r="P9597" s="18">
        <v>1936</v>
      </c>
      <c r="Q9597" s="15"/>
      <c r="R9597" t="s" s="16">
        <f>HYPERLINK("http://secrets.rutgers.edu:8080/data/asl-ftp/asllvd/demos/verify_start_end_handshape_annotations//test_auto_move//signs_mov_separ_signers/Naomi_15797.mov","MOV")</f>
        <v>21</v>
      </c>
    </row>
    <row r="9598" s="2" customFormat="1" ht="13.5" customHeight="1">
      <c r="B9598" t="s" s="8">
        <v>3570</v>
      </c>
      <c r="C9598" t="s" s="9">
        <v>14</v>
      </c>
      <c r="D9598" t="s" s="8">
        <v>14</v>
      </c>
      <c r="E9598" t="s" s="9">
        <v>14</v>
      </c>
      <c r="F9598" t="s" s="10">
        <v>14</v>
      </c>
      <c r="G9598" t="s" s="11">
        <v>14</v>
      </c>
      <c r="H9598" t="s" s="10">
        <v>14</v>
      </c>
      <c r="I9598" t="s" s="11">
        <v>14</v>
      </c>
      <c r="J9598" t="s" s="11">
        <v>14</v>
      </c>
      <c r="K9598" t="s" s="12">
        <v>14</v>
      </c>
      <c r="L9598" t="s" s="12">
        <v>14</v>
      </c>
      <c r="M9598" t="s" s="10">
        <v>14</v>
      </c>
      <c r="N9598" t="s" s="11">
        <v>14</v>
      </c>
      <c r="O9598" t="s" s="8">
        <v>14</v>
      </c>
      <c r="P9598" t="s" s="8">
        <v>14</v>
      </c>
      <c r="Q9598" t="s" s="12">
        <v>14</v>
      </c>
      <c r="R9598" t="s" s="12">
        <v>14</v>
      </c>
    </row>
    <row r="9599" s="2" customFormat="1" ht="13.5" customHeight="1">
      <c r="B9599" s="13"/>
      <c r="C9599" t="s" s="9">
        <v>16</v>
      </c>
      <c r="D9599" t="s" s="8">
        <v>3570</v>
      </c>
      <c r="E9599" t="s" s="9">
        <v>3570</v>
      </c>
      <c r="F9599" s="19">
        <v>1</v>
      </c>
      <c r="G9599" s="14"/>
      <c r="H9599" s="19">
        <v>1</v>
      </c>
      <c r="I9599" s="14"/>
      <c r="J9599" t="s" s="11">
        <v>20</v>
      </c>
      <c r="K9599" s="15"/>
      <c r="L9599" t="s" s="16">
        <f>HYPERLINK("http://csr.bu.edu/ftp/asl/asllvd/demos/verify_start_end_handshape_annotations//test_auto_move//signs_mov_separ_signers/Liz_2855.mov","MOV")</f>
        <v>21</v>
      </c>
      <c r="M9599" t="s" s="10">
        <v>36</v>
      </c>
      <c r="N9599" s="17">
        <v>38</v>
      </c>
      <c r="O9599" s="18">
        <v>1795</v>
      </c>
      <c r="P9599" s="18">
        <v>1830</v>
      </c>
      <c r="Q9599" s="15"/>
      <c r="R9599" t="s" s="16">
        <f>HYPERLINK("http://secrets.rutgers.edu:8080/data/asl-ftp/asllvd/demos/verify_start_end_handshape_annotations//test_auto_move//signs_mov_separ_signers/Liz_2855.mov","MOV")</f>
        <v>21</v>
      </c>
    </row>
    <row r="9600" s="2" customFormat="1" ht="13.5" customHeight="1">
      <c r="B9600" s="13"/>
      <c r="C9600" t="s" s="9">
        <v>16</v>
      </c>
      <c r="D9600" t="s" s="8">
        <v>3570</v>
      </c>
      <c r="E9600" t="s" s="9">
        <v>3570</v>
      </c>
      <c r="F9600" s="19">
        <v>1</v>
      </c>
      <c r="G9600" s="14"/>
      <c r="H9600" s="19">
        <v>1</v>
      </c>
      <c r="I9600" s="14"/>
      <c r="J9600" t="s" s="11">
        <v>20</v>
      </c>
      <c r="K9600" s="15"/>
      <c r="L9600" t="s" s="16">
        <f>HYPERLINK("http://csr.bu.edu/ftp/asl/asllvd/demos/verify_start_end_handshape_annotations//test_auto_move//signs_mov_separ_signers/Liz_3354.mov","MOV")</f>
        <v>21</v>
      </c>
      <c r="M9600" t="s" s="10">
        <v>59</v>
      </c>
      <c r="N9600" s="17">
        <v>40</v>
      </c>
      <c r="O9600" s="18">
        <v>2269</v>
      </c>
      <c r="P9600" s="18">
        <v>2312</v>
      </c>
      <c r="Q9600" s="15"/>
      <c r="R9600" t="s" s="16">
        <f>HYPERLINK("http://secrets.rutgers.edu:8080/data/asl-ftp/asllvd/demos/verify_start_end_handshape_annotations//test_auto_move//signs_mov_separ_signers/Liz_3354.mov","MOV")</f>
        <v>21</v>
      </c>
    </row>
    <row r="9601" s="2" customFormat="1" ht="13.5" customHeight="1">
      <c r="B9601" s="13"/>
      <c r="C9601" t="s" s="9">
        <v>30</v>
      </c>
      <c r="D9601" t="s" s="8">
        <v>3570</v>
      </c>
      <c r="E9601" t="s" s="9">
        <v>3570</v>
      </c>
      <c r="F9601" s="19">
        <v>1</v>
      </c>
      <c r="G9601" s="14"/>
      <c r="H9601" s="19">
        <v>1</v>
      </c>
      <c r="I9601" s="14"/>
      <c r="J9601" t="s" s="11">
        <v>20</v>
      </c>
      <c r="K9601" t="s" s="16">
        <f>HYPERLINK("http://csr.bu.edu/ftp/asl/asllvd/demos/verify_start_end_handshape_annotations//test_auto_move//signs_mov/2855_3354_5936_merged.mov","MOV")</f>
        <v>21</v>
      </c>
      <c r="L9601" t="s" s="16">
        <f>HYPERLINK("http://csr.bu.edu/ftp/asl/asllvd/demos/verify_start_end_handshape_annotations//test_auto_move//signs_mov_separ_signers/Brady_2855.mov","MOV")</f>
        <v>21</v>
      </c>
      <c r="M9601" t="s" s="10">
        <v>40</v>
      </c>
      <c r="N9601" s="17">
        <v>91</v>
      </c>
      <c r="O9601" s="18">
        <v>163</v>
      </c>
      <c r="P9601" s="18">
        <v>192</v>
      </c>
      <c r="Q9601" t="s" s="16">
        <f>HYPERLINK("http://secrets.rutgers.edu:8080/data/asl-ftp/asllvd/demos/verify_start_end_handshape_annotations//test_auto_move//signs_mov/2855_3354_5936_merged.mov","MOV")</f>
        <v>21</v>
      </c>
      <c r="R9601" t="s" s="16">
        <f>HYPERLINK("http://secrets.rutgers.edu:8080/data/asl-ftp/asllvd/demos/verify_start_end_handshape_annotations//test_auto_move//signs_mov_separ_signers/Brady_2855.mov","MOV")</f>
        <v>21</v>
      </c>
    </row>
    <row r="9602" s="2" customFormat="1" ht="13.5" customHeight="1">
      <c r="B9602" s="13"/>
      <c r="C9602" t="s" s="9">
        <v>30</v>
      </c>
      <c r="D9602" t="s" s="8">
        <v>3570</v>
      </c>
      <c r="E9602" t="s" s="9">
        <v>3570</v>
      </c>
      <c r="F9602" s="19">
        <v>1</v>
      </c>
      <c r="G9602" s="14"/>
      <c r="H9602" s="19">
        <v>1</v>
      </c>
      <c r="I9602" s="14"/>
      <c r="J9602" t="s" s="11">
        <v>20</v>
      </c>
      <c r="K9602" s="15"/>
      <c r="L9602" t="s" s="16">
        <f>HYPERLINK("http://csr.bu.edu/ftp/asl/asllvd/demos/verify_start_end_handshape_annotations//test_auto_move//signs_mov_separ_signers/Brady_3354.mov","MOV")</f>
        <v>21</v>
      </c>
      <c r="M9602" t="s" s="10">
        <v>60</v>
      </c>
      <c r="N9602" s="17">
        <v>28</v>
      </c>
      <c r="O9602" s="18">
        <v>3007</v>
      </c>
      <c r="P9602" s="18">
        <v>3060</v>
      </c>
      <c r="Q9602" s="15"/>
      <c r="R9602" t="s" s="16">
        <f>HYPERLINK("http://secrets.rutgers.edu:8080/data/asl-ftp/asllvd/demos/verify_start_end_handshape_annotations//test_auto_move//signs_mov_separ_signers/Brady_3354.mov","MOV")</f>
        <v>21</v>
      </c>
    </row>
    <row r="9603" s="2" customFormat="1" ht="13.5" customHeight="1">
      <c r="B9603" s="13"/>
      <c r="C9603" t="s" s="9">
        <v>30</v>
      </c>
      <c r="D9603" t="s" s="8">
        <v>3570</v>
      </c>
      <c r="E9603" t="s" s="9">
        <v>3570</v>
      </c>
      <c r="F9603" s="19">
        <v>1</v>
      </c>
      <c r="G9603" s="14"/>
      <c r="H9603" s="19">
        <v>1</v>
      </c>
      <c r="I9603" s="14"/>
      <c r="J9603" t="s" s="11">
        <v>20</v>
      </c>
      <c r="K9603" s="15"/>
      <c r="L9603" t="s" s="16">
        <f>HYPERLINK("http://csr.bu.edu/ftp/asl/asllvd/demos/verify_start_end_handshape_annotations//test_auto_move//signs_mov_separ_signers/Brady_5936.mov","MOV")</f>
        <v>21</v>
      </c>
      <c r="M9603" t="s" s="10">
        <v>60</v>
      </c>
      <c r="N9603" s="17">
        <v>53</v>
      </c>
      <c r="O9603" s="18">
        <v>2172</v>
      </c>
      <c r="P9603" s="18">
        <v>2220</v>
      </c>
      <c r="Q9603" s="15"/>
      <c r="R9603" t="s" s="16">
        <f>HYPERLINK("http://secrets.rutgers.edu:8080/data/asl-ftp/asllvd/demos/verify_start_end_handshape_annotations//test_auto_move//signs_mov_separ_signers/Brady_5936.mov","MOV")</f>
        <v>21</v>
      </c>
    </row>
    <row r="9604" s="2" customFormat="1" ht="13.5" customHeight="1">
      <c r="B9604" t="s" s="8">
        <v>3571</v>
      </c>
      <c r="C9604" t="s" s="9">
        <v>14</v>
      </c>
      <c r="D9604" t="s" s="8">
        <v>14</v>
      </c>
      <c r="E9604" t="s" s="9">
        <v>14</v>
      </c>
      <c r="F9604" t="s" s="10">
        <v>14</v>
      </c>
      <c r="G9604" t="s" s="11">
        <v>14</v>
      </c>
      <c r="H9604" t="s" s="10">
        <v>14</v>
      </c>
      <c r="I9604" t="s" s="11">
        <v>14</v>
      </c>
      <c r="J9604" t="s" s="11">
        <v>14</v>
      </c>
      <c r="K9604" t="s" s="12">
        <v>14</v>
      </c>
      <c r="L9604" t="s" s="12">
        <v>14</v>
      </c>
      <c r="M9604" t="s" s="10">
        <v>14</v>
      </c>
      <c r="N9604" t="s" s="11">
        <v>14</v>
      </c>
      <c r="O9604" t="s" s="8">
        <v>14</v>
      </c>
      <c r="P9604" t="s" s="8">
        <v>14</v>
      </c>
      <c r="Q9604" t="s" s="12">
        <v>14</v>
      </c>
      <c r="R9604" t="s" s="12">
        <v>14</v>
      </c>
    </row>
    <row r="9605" s="2" customFormat="1" ht="13.5" customHeight="1">
      <c r="B9605" s="13"/>
      <c r="C9605" t="s" s="9">
        <v>16</v>
      </c>
      <c r="D9605" t="s" s="8">
        <v>3571</v>
      </c>
      <c r="E9605" t="s" s="9">
        <v>3572</v>
      </c>
      <c r="F9605" s="19">
        <v>10</v>
      </c>
      <c r="G9605" s="17">
        <v>10</v>
      </c>
      <c r="H9605" s="19">
        <v>10</v>
      </c>
      <c r="I9605" s="17">
        <v>10</v>
      </c>
      <c r="J9605" t="s" s="11">
        <v>20</v>
      </c>
      <c r="K9605" t="s" s="16">
        <f>HYPERLINK("http://csr.bu.edu/ftp/asl/asllvd/demos/verify_start_end_handshape_annotations//test_auto_move//signs_mov/2856.mov","MOV")</f>
        <v>21</v>
      </c>
      <c r="L9605" t="s" s="16">
        <f>HYPERLINK("http://csr.bu.edu/ftp/asl/asllvd/demos/verify_start_end_handshape_annotations//test_auto_move//signs_mov_separ_signers/Liz_2856.mov","MOV")</f>
        <v>21</v>
      </c>
      <c r="M9605" t="s" s="10">
        <v>59</v>
      </c>
      <c r="N9605" s="17">
        <v>40</v>
      </c>
      <c r="O9605" s="18">
        <v>2497</v>
      </c>
      <c r="P9605" s="18">
        <v>2551</v>
      </c>
      <c r="Q9605" t="s" s="16">
        <f>HYPERLINK("http://secrets.rutgers.edu:8080/data/asl-ftp/asllvd/demos/verify_start_end_handshape_annotations//test_auto_move//signs_mov/2856.mov","MOV")</f>
        <v>21</v>
      </c>
      <c r="R9605" t="s" s="16">
        <f>HYPERLINK("http://secrets.rutgers.edu:8080/data/asl-ftp/asllvd/demos/verify_start_end_handshape_annotations//test_auto_move//signs_mov_separ_signers/Liz_2856.mov","MOV")</f>
        <v>21</v>
      </c>
    </row>
    <row r="9606" s="2" customFormat="1" ht="13.5" customHeight="1">
      <c r="B9606" s="13"/>
      <c r="C9606" t="s" s="9">
        <v>30</v>
      </c>
      <c r="D9606" t="s" s="8">
        <v>3571</v>
      </c>
      <c r="E9606" t="s" s="9">
        <v>3573</v>
      </c>
      <c r="F9606" s="19">
        <v>10</v>
      </c>
      <c r="G9606" s="17">
        <v>10</v>
      </c>
      <c r="H9606" s="19">
        <v>10</v>
      </c>
      <c r="I9606" s="17">
        <v>10</v>
      </c>
      <c r="J9606" t="s" s="11">
        <v>20</v>
      </c>
      <c r="K9606" s="15"/>
      <c r="L9606" t="s" s="16">
        <f>HYPERLINK("http://csr.bu.edu/ftp/asl/asllvd/demos/verify_start_end_handshape_annotations//test_auto_move//signs_mov_separ_signers/Brady_2856.mov","MOV")</f>
        <v>21</v>
      </c>
      <c r="M9606" t="s" s="10">
        <v>60</v>
      </c>
      <c r="N9606" s="17">
        <v>28</v>
      </c>
      <c r="O9606" s="18">
        <v>3183</v>
      </c>
      <c r="P9606" s="18">
        <v>3241</v>
      </c>
      <c r="Q9606" s="15"/>
      <c r="R9606" t="s" s="16">
        <f>HYPERLINK("http://secrets.rutgers.edu:8080/data/asl-ftp/asllvd/demos/verify_start_end_handshape_annotations//test_auto_move//signs_mov_separ_signers/Brady_2856.mov","MOV")</f>
        <v>21</v>
      </c>
    </row>
    <row r="9607" s="2" customFormat="1" ht="13.5" customHeight="1">
      <c r="B9607" t="s" s="8">
        <v>3574</v>
      </c>
      <c r="C9607" t="s" s="9">
        <v>14</v>
      </c>
      <c r="D9607" t="s" s="8">
        <v>14</v>
      </c>
      <c r="E9607" t="s" s="9">
        <v>14</v>
      </c>
      <c r="F9607" t="s" s="10">
        <v>14</v>
      </c>
      <c r="G9607" t="s" s="11">
        <v>14</v>
      </c>
      <c r="H9607" t="s" s="10">
        <v>14</v>
      </c>
      <c r="I9607" t="s" s="11">
        <v>14</v>
      </c>
      <c r="J9607" t="s" s="11">
        <v>14</v>
      </c>
      <c r="K9607" t="s" s="12">
        <v>14</v>
      </c>
      <c r="L9607" t="s" s="12">
        <v>14</v>
      </c>
      <c r="M9607" t="s" s="10">
        <v>14</v>
      </c>
      <c r="N9607" t="s" s="11">
        <v>14</v>
      </c>
      <c r="O9607" t="s" s="8">
        <v>14</v>
      </c>
      <c r="P9607" t="s" s="8">
        <v>14</v>
      </c>
      <c r="Q9607" t="s" s="12">
        <v>14</v>
      </c>
      <c r="R9607" t="s" s="12">
        <v>14</v>
      </c>
    </row>
    <row r="9608" s="2" customFormat="1" ht="13.5" customHeight="1">
      <c r="B9608" s="13"/>
      <c r="C9608" t="s" s="9">
        <v>30</v>
      </c>
      <c r="D9608" t="s" s="8">
        <v>3574</v>
      </c>
      <c r="E9608" t="s" s="9">
        <v>3574</v>
      </c>
      <c r="F9608" t="s" s="10">
        <v>65</v>
      </c>
      <c r="G9608" s="14"/>
      <c r="H9608" t="s" s="10">
        <v>65</v>
      </c>
      <c r="I9608" s="14"/>
      <c r="J9608" t="s" s="11">
        <v>20</v>
      </c>
      <c r="K9608" t="s" s="16">
        <f>HYPERLINK("http://csr.bu.edu/ftp/asl/asllvd/demos/verify_start_end_handshape_annotations//test_auto_move//signs_mov/2857.mov","MOV")</f>
        <v>21</v>
      </c>
      <c r="L9608" t="s" s="16">
        <f>HYPERLINK("http://csr.bu.edu/ftp/asl/asllvd/demos/verify_start_end_handshape_annotations//test_auto_move//signs_mov_separ_signers/Brady_2857.mov","MOV")</f>
        <v>21</v>
      </c>
      <c r="M9608" t="s" s="10">
        <v>60</v>
      </c>
      <c r="N9608" s="17">
        <v>29</v>
      </c>
      <c r="O9608" s="18">
        <v>115</v>
      </c>
      <c r="P9608" s="18">
        <v>145</v>
      </c>
      <c r="Q9608" t="s" s="16">
        <f>HYPERLINK("http://secrets.rutgers.edu:8080/data/asl-ftp/asllvd/demos/verify_start_end_handshape_annotations//test_auto_move//signs_mov/2857.mov","MOV")</f>
        <v>21</v>
      </c>
      <c r="R9608" t="s" s="16">
        <f>HYPERLINK("http://secrets.rutgers.edu:8080/data/asl-ftp/asllvd/demos/verify_start_end_handshape_annotations//test_auto_move//signs_mov_separ_signers/Brady_2857.mov","MOV")</f>
        <v>21</v>
      </c>
    </row>
    <row r="9609" s="2" customFormat="1" ht="13.5" customHeight="1">
      <c r="B9609" t="s" s="8">
        <v>52</v>
      </c>
      <c r="C9609" t="s" s="9">
        <v>53</v>
      </c>
      <c r="D9609" t="s" s="8">
        <v>53</v>
      </c>
      <c r="E9609" t="s" s="9">
        <v>53</v>
      </c>
      <c r="F9609" t="s" s="10">
        <v>53</v>
      </c>
      <c r="G9609" t="s" s="11">
        <v>53</v>
      </c>
      <c r="H9609" t="s" s="10">
        <v>53</v>
      </c>
      <c r="I9609" t="s" s="11">
        <v>53</v>
      </c>
      <c r="J9609" t="s" s="11">
        <v>53</v>
      </c>
      <c r="K9609" t="s" s="12">
        <v>53</v>
      </c>
      <c r="L9609" t="s" s="12">
        <v>53</v>
      </c>
      <c r="M9609" t="s" s="10">
        <v>53</v>
      </c>
      <c r="N9609" t="s" s="11">
        <v>53</v>
      </c>
      <c r="O9609" t="s" s="8">
        <v>53</v>
      </c>
      <c r="P9609" t="s" s="8">
        <v>53</v>
      </c>
      <c r="Q9609" t="s" s="12">
        <v>53</v>
      </c>
      <c r="R9609" t="s" s="12">
        <v>53</v>
      </c>
    </row>
    <row r="9610" s="2" customFormat="1" ht="13.5" customHeight="1">
      <c r="B9610" s="13"/>
      <c r="C9610" t="s" s="9">
        <v>16</v>
      </c>
      <c r="D9610" t="s" s="8">
        <v>3574</v>
      </c>
      <c r="E9610" t="s" s="9">
        <v>3575</v>
      </c>
      <c r="F9610" t="s" s="10">
        <v>65</v>
      </c>
      <c r="G9610" s="14"/>
      <c r="H9610" t="s" s="10">
        <v>65</v>
      </c>
      <c r="I9610" s="14"/>
      <c r="J9610" t="s" s="11">
        <v>20</v>
      </c>
      <c r="K9610" t="s" s="16">
        <f>HYPERLINK("http://csr.bu.edu/ftp/asl/asllvd/demos/verify_start_end_handshape_annotations//test_auto_move//signs_mov/16509.mov","MOV")</f>
        <v>21</v>
      </c>
      <c r="L9610" t="s" s="16">
        <f>HYPERLINK("http://csr.bu.edu/ftp/asl/asllvd/demos/verify_start_end_handshape_annotations//test_auto_move//signs_mov_separ_signers/Liz_16509.mov","MOV")</f>
        <v>21</v>
      </c>
      <c r="M9610" t="s" s="10">
        <v>59</v>
      </c>
      <c r="N9610" s="17">
        <v>40</v>
      </c>
      <c r="O9610" s="18">
        <v>2888</v>
      </c>
      <c r="P9610" s="18">
        <v>2946</v>
      </c>
      <c r="Q9610" t="s" s="16">
        <f>HYPERLINK("http://secrets.rutgers.edu:8080/data/asl-ftp/asllvd/demos/verify_start_end_handshape_annotations//test_auto_move//signs_mov/16509.mov","MOV")</f>
        <v>21</v>
      </c>
      <c r="R9610" t="s" s="16">
        <f>HYPERLINK("http://secrets.rutgers.edu:8080/data/asl-ftp/asllvd/demos/verify_start_end_handshape_annotations//test_auto_move//signs_mov_separ_signers/Liz_16509.mov","MOV")</f>
        <v>21</v>
      </c>
    </row>
    <row r="9611" s="2" customFormat="1" ht="13.5" customHeight="1">
      <c r="B9611" t="s" s="8">
        <v>3576</v>
      </c>
      <c r="C9611" t="s" s="9">
        <v>14</v>
      </c>
      <c r="D9611" t="s" s="8">
        <v>14</v>
      </c>
      <c r="E9611" t="s" s="9">
        <v>14</v>
      </c>
      <c r="F9611" t="s" s="10">
        <v>14</v>
      </c>
      <c r="G9611" t="s" s="11">
        <v>14</v>
      </c>
      <c r="H9611" t="s" s="10">
        <v>14</v>
      </c>
      <c r="I9611" t="s" s="11">
        <v>14</v>
      </c>
      <c r="J9611" t="s" s="11">
        <v>14</v>
      </c>
      <c r="K9611" t="s" s="12">
        <v>14</v>
      </c>
      <c r="L9611" t="s" s="12">
        <v>14</v>
      </c>
      <c r="M9611" t="s" s="10">
        <v>14</v>
      </c>
      <c r="N9611" t="s" s="11">
        <v>14</v>
      </c>
      <c r="O9611" t="s" s="8">
        <v>14</v>
      </c>
      <c r="P9611" t="s" s="8">
        <v>14</v>
      </c>
      <c r="Q9611" t="s" s="12">
        <v>14</v>
      </c>
      <c r="R9611" t="s" s="12">
        <v>14</v>
      </c>
    </row>
    <row r="9612" s="2" customFormat="1" ht="13.5" customHeight="1">
      <c r="B9612" s="13"/>
      <c r="C9612" t="s" s="9">
        <v>16</v>
      </c>
      <c r="D9612" t="s" s="8">
        <v>3576</v>
      </c>
      <c r="E9612" t="s" s="9">
        <v>3576</v>
      </c>
      <c r="F9612" t="s" s="10">
        <v>55</v>
      </c>
      <c r="G9612" s="14"/>
      <c r="H9612" t="s" s="10">
        <v>55</v>
      </c>
      <c r="I9612" s="14"/>
      <c r="J9612" t="s" s="11">
        <v>20</v>
      </c>
      <c r="K9612" t="s" s="16">
        <f>HYPERLINK("http://csr.bu.edu/ftp/asl/asllvd/demos/verify_start_end_handshape_annotations//test_auto_move//signs_mov/2860.mov","MOV")</f>
        <v>21</v>
      </c>
      <c r="L9612" t="s" s="16">
        <f>HYPERLINK("http://csr.bu.edu/ftp/asl/asllvd/demos/verify_start_end_handshape_annotations//test_auto_move//signs_mov_separ_signers/Liz_2860.mov","MOV")</f>
        <v>21</v>
      </c>
      <c r="M9612" t="s" s="10">
        <v>59</v>
      </c>
      <c r="N9612" s="17">
        <v>41</v>
      </c>
      <c r="O9612" s="18">
        <v>375</v>
      </c>
      <c r="P9612" s="18">
        <v>435</v>
      </c>
      <c r="Q9612" t="s" s="16">
        <f>HYPERLINK("http://secrets.rutgers.edu:8080/data/asl-ftp/asllvd/demos/verify_start_end_handshape_annotations//test_auto_move//signs_mov/2860.mov","MOV")</f>
        <v>21</v>
      </c>
      <c r="R9612" t="s" s="16">
        <f>HYPERLINK("http://secrets.rutgers.edu:8080/data/asl-ftp/asllvd/demos/verify_start_end_handshape_annotations//test_auto_move//signs_mov_separ_signers/Liz_2860.mov","MOV")</f>
        <v>21</v>
      </c>
    </row>
    <row r="9613" s="2" customFormat="1" ht="13.5" customHeight="1">
      <c r="B9613" s="13"/>
      <c r="C9613" t="s" s="9">
        <v>30</v>
      </c>
      <c r="D9613" t="s" s="8">
        <v>3576</v>
      </c>
      <c r="E9613" t="s" s="9">
        <v>3576</v>
      </c>
      <c r="F9613" t="s" s="10">
        <v>55</v>
      </c>
      <c r="G9613" s="14"/>
      <c r="H9613" t="s" s="10">
        <v>55</v>
      </c>
      <c r="I9613" s="14"/>
      <c r="J9613" t="s" s="11">
        <v>20</v>
      </c>
      <c r="K9613" s="15"/>
      <c r="L9613" t="s" s="16">
        <f>HYPERLINK("http://csr.bu.edu/ftp/asl/asllvd/demos/verify_start_end_handshape_annotations//test_auto_move//signs_mov_separ_signers/Brady_2860.mov","MOV")</f>
        <v>21</v>
      </c>
      <c r="M9613" t="s" s="10">
        <v>60</v>
      </c>
      <c r="N9613" s="17">
        <v>29</v>
      </c>
      <c r="O9613" s="18">
        <v>753</v>
      </c>
      <c r="P9613" s="18">
        <v>796</v>
      </c>
      <c r="Q9613" s="15"/>
      <c r="R9613" t="s" s="16">
        <f>HYPERLINK("http://secrets.rutgers.edu:8080/data/asl-ftp/asllvd/demos/verify_start_end_handshape_annotations//test_auto_move//signs_mov_separ_signers/Brady_2860.mov","MOV")</f>
        <v>21</v>
      </c>
    </row>
    <row r="9614" s="2" customFormat="1" ht="13.5" customHeight="1">
      <c r="B9614" t="s" s="8">
        <v>3576</v>
      </c>
      <c r="C9614" t="s" s="9">
        <v>14</v>
      </c>
      <c r="D9614" t="s" s="8">
        <v>14</v>
      </c>
      <c r="E9614" t="s" s="9">
        <v>14</v>
      </c>
      <c r="F9614" t="s" s="10">
        <v>14</v>
      </c>
      <c r="G9614" t="s" s="11">
        <v>14</v>
      </c>
      <c r="H9614" t="s" s="10">
        <v>14</v>
      </c>
      <c r="I9614" t="s" s="11">
        <v>14</v>
      </c>
      <c r="J9614" t="s" s="11">
        <v>14</v>
      </c>
      <c r="K9614" t="s" s="12">
        <v>14</v>
      </c>
      <c r="L9614" t="s" s="12">
        <v>14</v>
      </c>
      <c r="M9614" t="s" s="10">
        <v>14</v>
      </c>
      <c r="N9614" t="s" s="11">
        <v>14</v>
      </c>
      <c r="O9614" t="s" s="8">
        <v>14</v>
      </c>
      <c r="P9614" t="s" s="8">
        <v>14</v>
      </c>
      <c r="Q9614" t="s" s="12">
        <v>14</v>
      </c>
      <c r="R9614" t="s" s="12">
        <v>14</v>
      </c>
    </row>
    <row r="9615" s="2" customFormat="1" ht="13.5" customHeight="1">
      <c r="B9615" s="13"/>
      <c r="C9615" t="s" s="9">
        <v>16</v>
      </c>
      <c r="D9615" t="s" s="8">
        <v>3577</v>
      </c>
      <c r="E9615" t="s" s="9">
        <v>3578</v>
      </c>
      <c r="F9615" t="s" s="10">
        <v>187</v>
      </c>
      <c r="G9615" t="s" s="11">
        <v>73</v>
      </c>
      <c r="H9615" t="s" s="10">
        <v>158</v>
      </c>
      <c r="I9615" t="s" s="11">
        <v>73</v>
      </c>
      <c r="J9615" t="s" s="11">
        <v>20</v>
      </c>
      <c r="K9615" t="s" s="16">
        <f>HYPERLINK("http://csr.bu.edu/ftp/asl/asllvd/demos/verify_start_end_handshape_annotations//test_auto_move//signs_mov/5810.mov","MOV")</f>
        <v>21</v>
      </c>
      <c r="L9615" t="s" s="16">
        <f>HYPERLINK("http://csr.bu.edu/ftp/asl/asllvd/demos/verify_start_end_handshape_annotations//test_auto_move//signs_mov_separ_signers/Liz_5810.mov","MOV")</f>
        <v>21</v>
      </c>
      <c r="M9615" t="s" s="10">
        <v>59</v>
      </c>
      <c r="N9615" s="17">
        <v>41</v>
      </c>
      <c r="O9615" s="18">
        <v>650</v>
      </c>
      <c r="P9615" s="18">
        <v>694</v>
      </c>
      <c r="Q9615" t="s" s="16">
        <f>HYPERLINK("http://secrets.rutgers.edu:8080/data/asl-ftp/asllvd/demos/verify_start_end_handshape_annotations//test_auto_move//signs_mov/5810.mov","MOV")</f>
        <v>21</v>
      </c>
      <c r="R9615" t="s" s="16">
        <f>HYPERLINK("http://secrets.rutgers.edu:8080/data/asl-ftp/asllvd/demos/verify_start_end_handshape_annotations//test_auto_move//signs_mov_separ_signers/Liz_5810.mov","MOV")</f>
        <v>21</v>
      </c>
    </row>
    <row r="9616" s="2" customFormat="1" ht="13.5" customHeight="1">
      <c r="B9616" t="s" s="8">
        <v>52</v>
      </c>
      <c r="C9616" t="s" s="9">
        <v>53</v>
      </c>
      <c r="D9616" t="s" s="8">
        <v>53</v>
      </c>
      <c r="E9616" t="s" s="9">
        <v>53</v>
      </c>
      <c r="F9616" t="s" s="10">
        <v>53</v>
      </c>
      <c r="G9616" t="s" s="11">
        <v>53</v>
      </c>
      <c r="H9616" t="s" s="10">
        <v>53</v>
      </c>
      <c r="I9616" t="s" s="11">
        <v>53</v>
      </c>
      <c r="J9616" t="s" s="11">
        <v>53</v>
      </c>
      <c r="K9616" t="s" s="12">
        <v>53</v>
      </c>
      <c r="L9616" t="s" s="12">
        <v>53</v>
      </c>
      <c r="M9616" t="s" s="10">
        <v>53</v>
      </c>
      <c r="N9616" t="s" s="11">
        <v>53</v>
      </c>
      <c r="O9616" t="s" s="8">
        <v>53</v>
      </c>
      <c r="P9616" t="s" s="8">
        <v>53</v>
      </c>
      <c r="Q9616" t="s" s="12">
        <v>53</v>
      </c>
      <c r="R9616" t="s" s="12">
        <v>53</v>
      </c>
    </row>
    <row r="9617" s="2" customFormat="1" ht="13.5" customHeight="1">
      <c r="B9617" s="13"/>
      <c r="C9617" t="s" s="9">
        <v>30</v>
      </c>
      <c r="D9617" t="s" s="8">
        <v>3577</v>
      </c>
      <c r="E9617" t="s" s="9">
        <v>3577</v>
      </c>
      <c r="F9617" t="s" s="10">
        <v>187</v>
      </c>
      <c r="G9617" t="s" s="11">
        <v>73</v>
      </c>
      <c r="H9617" t="s" s="10">
        <v>187</v>
      </c>
      <c r="I9617" t="s" s="11">
        <v>73</v>
      </c>
      <c r="J9617" t="s" s="11">
        <v>20</v>
      </c>
      <c r="K9617" t="s" s="16">
        <f>HYPERLINK("http://csr.bu.edu/ftp/asl/asllvd/demos/verify_start_end_handshape_annotations//test_auto_move//signs_mov/15738_16017_merged.mov","MOV")</f>
        <v>21</v>
      </c>
      <c r="L9617" t="s" s="16">
        <f>HYPERLINK("http://csr.bu.edu/ftp/asl/asllvd/demos/verify_start_end_handshape_annotations//test_auto_move//signs_mov_separ_signers/Brady_15738.mov","MOV")</f>
        <v>21</v>
      </c>
      <c r="M9617" t="s" s="10">
        <v>60</v>
      </c>
      <c r="N9617" s="17">
        <v>29</v>
      </c>
      <c r="O9617" s="18">
        <v>1065</v>
      </c>
      <c r="P9617" s="18">
        <v>1157</v>
      </c>
      <c r="Q9617" t="s" s="16">
        <f>HYPERLINK("http://secrets.rutgers.edu:8080/data/asl-ftp/asllvd/demos/verify_start_end_handshape_annotations//test_auto_move//signs_mov/15738_16017_merged.mov","MOV")</f>
        <v>21</v>
      </c>
      <c r="R9617" t="s" s="16">
        <f>HYPERLINK("http://secrets.rutgers.edu:8080/data/asl-ftp/asllvd/demos/verify_start_end_handshape_annotations//test_auto_move//signs_mov_separ_signers/Brady_15738.mov","MOV")</f>
        <v>21</v>
      </c>
    </row>
    <row r="9618" s="2" customFormat="1" ht="13.5" customHeight="1">
      <c r="B9618" s="13"/>
      <c r="C9618" t="s" s="9">
        <v>30</v>
      </c>
      <c r="D9618" t="s" s="8">
        <v>3577</v>
      </c>
      <c r="E9618" t="s" s="9">
        <v>3577</v>
      </c>
      <c r="F9618" t="s" s="10">
        <v>158</v>
      </c>
      <c r="G9618" t="s" s="11">
        <v>73</v>
      </c>
      <c r="H9618" t="s" s="10">
        <v>158</v>
      </c>
      <c r="I9618" t="s" s="11">
        <v>73</v>
      </c>
      <c r="J9618" t="s" s="11">
        <v>20</v>
      </c>
      <c r="K9618" s="15"/>
      <c r="L9618" t="s" s="16">
        <f>HYPERLINK("http://csr.bu.edu/ftp/asl/asllvd/demos/verify_start_end_handshape_annotations//test_auto_move//signs_mov_separ_signers/Brady_16017.mov","MOV")</f>
        <v>21</v>
      </c>
      <c r="M9618" t="s" s="10">
        <v>60</v>
      </c>
      <c r="N9618" s="17">
        <v>57</v>
      </c>
      <c r="O9618" s="18">
        <v>4080</v>
      </c>
      <c r="P9618" s="18">
        <v>4135</v>
      </c>
      <c r="Q9618" s="15"/>
      <c r="R9618" t="s" s="16">
        <f>HYPERLINK("http://secrets.rutgers.edu:8080/data/asl-ftp/asllvd/demos/verify_start_end_handshape_annotations//test_auto_move//signs_mov_separ_signers/Brady_16017.mov","MOV")</f>
        <v>21</v>
      </c>
    </row>
    <row r="9619" s="2" customFormat="1" ht="13.5" customHeight="1">
      <c r="B9619" t="s" s="8">
        <v>3579</v>
      </c>
      <c r="C9619" t="s" s="9">
        <v>14</v>
      </c>
      <c r="D9619" t="s" s="8">
        <v>14</v>
      </c>
      <c r="E9619" t="s" s="9">
        <v>14</v>
      </c>
      <c r="F9619" t="s" s="10">
        <v>14</v>
      </c>
      <c r="G9619" t="s" s="11">
        <v>14</v>
      </c>
      <c r="H9619" t="s" s="10">
        <v>14</v>
      </c>
      <c r="I9619" t="s" s="11">
        <v>14</v>
      </c>
      <c r="J9619" t="s" s="11">
        <v>14</v>
      </c>
      <c r="K9619" t="s" s="12">
        <v>14</v>
      </c>
      <c r="L9619" t="s" s="12">
        <v>14</v>
      </c>
      <c r="M9619" t="s" s="10">
        <v>14</v>
      </c>
      <c r="N9619" t="s" s="11">
        <v>14</v>
      </c>
      <c r="O9619" t="s" s="8">
        <v>14</v>
      </c>
      <c r="P9619" t="s" s="8">
        <v>14</v>
      </c>
      <c r="Q9619" t="s" s="12">
        <v>14</v>
      </c>
      <c r="R9619" t="s" s="12">
        <v>14</v>
      </c>
    </row>
    <row r="9620" s="2" customFormat="1" ht="13.5" customHeight="1">
      <c r="B9620" s="13"/>
      <c r="C9620" t="s" s="9">
        <v>16</v>
      </c>
      <c r="D9620" t="s" s="8">
        <v>3579</v>
      </c>
      <c r="E9620" t="s" s="9">
        <v>3580</v>
      </c>
      <c r="F9620" t="s" s="10">
        <v>148</v>
      </c>
      <c r="G9620" s="14"/>
      <c r="H9620" t="s" s="10">
        <v>119</v>
      </c>
      <c r="I9620" s="14"/>
      <c r="J9620" t="s" s="11">
        <v>20</v>
      </c>
      <c r="K9620" t="s" s="16">
        <f>HYPERLINK("http://csr.bu.edu/ftp/asl/asllvd/demos/verify_start_end_handshape_annotations//test_auto_move//signs_mov/2865.mov","MOV")</f>
        <v>21</v>
      </c>
      <c r="L9620" t="s" s="16">
        <f>HYPERLINK("http://csr.bu.edu/ftp/asl/asllvd/demos/verify_start_end_handshape_annotations//test_auto_move//signs_mov_separ_signers/Liz_2865.mov","MOV")</f>
        <v>21</v>
      </c>
      <c r="M9620" t="s" s="10">
        <v>59</v>
      </c>
      <c r="N9620" s="17">
        <v>41</v>
      </c>
      <c r="O9620" s="18">
        <v>1642</v>
      </c>
      <c r="P9620" s="18">
        <v>1685</v>
      </c>
      <c r="Q9620" t="s" s="16">
        <f>HYPERLINK("http://secrets.rutgers.edu:8080/data/asl-ftp/asllvd/demos/verify_start_end_handshape_annotations//test_auto_move//signs_mov/2865.mov","MOV")</f>
        <v>21</v>
      </c>
      <c r="R9620" t="s" s="16">
        <f>HYPERLINK("http://secrets.rutgers.edu:8080/data/asl-ftp/asllvd/demos/verify_start_end_handshape_annotations//test_auto_move//signs_mov_separ_signers/Liz_2865.mov","MOV")</f>
        <v>21</v>
      </c>
    </row>
    <row r="9621" s="2" customFormat="1" ht="13.5" customHeight="1">
      <c r="B9621" s="13"/>
      <c r="C9621" t="s" s="9">
        <v>30</v>
      </c>
      <c r="D9621" t="s" s="8">
        <v>3579</v>
      </c>
      <c r="E9621" t="s" s="9">
        <v>3580</v>
      </c>
      <c r="F9621" t="s" s="10">
        <v>73</v>
      </c>
      <c r="G9621" s="14"/>
      <c r="H9621" t="s" s="10">
        <v>119</v>
      </c>
      <c r="I9621" s="14"/>
      <c r="J9621" t="s" s="11">
        <v>20</v>
      </c>
      <c r="K9621" s="15"/>
      <c r="L9621" t="s" s="16">
        <f>HYPERLINK("http://csr.bu.edu/ftp/asl/asllvd/demos/verify_start_end_handshape_annotations//test_auto_move//signs_mov_separ_signers/Brady_2865.mov","MOV")</f>
        <v>21</v>
      </c>
      <c r="M9621" t="s" s="10">
        <v>60</v>
      </c>
      <c r="N9621" s="17">
        <v>29</v>
      </c>
      <c r="O9621" s="18">
        <v>2020</v>
      </c>
      <c r="P9621" s="18">
        <v>2048</v>
      </c>
      <c r="Q9621" s="15"/>
      <c r="R9621" t="s" s="16">
        <f>HYPERLINK("http://secrets.rutgers.edu:8080/data/asl-ftp/asllvd/demos/verify_start_end_handshape_annotations//test_auto_move//signs_mov_separ_signers/Brady_2865.mov","MOV")</f>
        <v>21</v>
      </c>
    </row>
    <row r="9622" s="2" customFormat="1" ht="13.5" customHeight="1">
      <c r="B9622" t="s" s="8">
        <v>3581</v>
      </c>
      <c r="C9622" t="s" s="9">
        <v>14</v>
      </c>
      <c r="D9622" t="s" s="8">
        <v>14</v>
      </c>
      <c r="E9622" t="s" s="9">
        <v>14</v>
      </c>
      <c r="F9622" t="s" s="10">
        <v>14</v>
      </c>
      <c r="G9622" t="s" s="11">
        <v>14</v>
      </c>
      <c r="H9622" t="s" s="10">
        <v>14</v>
      </c>
      <c r="I9622" t="s" s="11">
        <v>14</v>
      </c>
      <c r="J9622" t="s" s="11">
        <v>14</v>
      </c>
      <c r="K9622" t="s" s="12">
        <v>14</v>
      </c>
      <c r="L9622" t="s" s="12">
        <v>14</v>
      </c>
      <c r="M9622" t="s" s="10">
        <v>14</v>
      </c>
      <c r="N9622" t="s" s="11">
        <v>14</v>
      </c>
      <c r="O9622" t="s" s="8">
        <v>14</v>
      </c>
      <c r="P9622" t="s" s="8">
        <v>14</v>
      </c>
      <c r="Q9622" t="s" s="12">
        <v>14</v>
      </c>
      <c r="R9622" t="s" s="12">
        <v>14</v>
      </c>
    </row>
    <row r="9623" s="2" customFormat="1" ht="13.5" customHeight="1">
      <c r="B9623" s="13"/>
      <c r="C9623" t="s" s="9">
        <v>16</v>
      </c>
      <c r="D9623" t="s" s="8">
        <v>3581</v>
      </c>
      <c r="E9623" t="s" s="9">
        <v>3581</v>
      </c>
      <c r="F9623" t="s" s="10">
        <v>25</v>
      </c>
      <c r="G9623" s="14"/>
      <c r="H9623" t="s" s="10">
        <v>626</v>
      </c>
      <c r="I9623" s="14"/>
      <c r="J9623" t="s" s="11">
        <v>20</v>
      </c>
      <c r="K9623" t="s" s="16">
        <f>HYPERLINK("http://csr.bu.edu/ftp/asl/asllvd/demos/verify_start_end_handshape_annotations//test_auto_move//signs_mov/2867.mov","MOV")</f>
        <v>21</v>
      </c>
      <c r="L9623" t="s" s="16">
        <f>HYPERLINK("http://csr.bu.edu/ftp/asl/asllvd/demos/verify_start_end_handshape_annotations//test_auto_move//signs_mov_separ_signers/Liz_2867.mov","MOV")</f>
        <v>21</v>
      </c>
      <c r="M9623" t="s" s="10">
        <v>59</v>
      </c>
      <c r="N9623" s="17">
        <v>41</v>
      </c>
      <c r="O9623" s="18">
        <v>2340</v>
      </c>
      <c r="P9623" s="18">
        <v>2380</v>
      </c>
      <c r="Q9623" t="s" s="16">
        <f>HYPERLINK("http://secrets.rutgers.edu:8080/data/asl-ftp/asllvd/demos/verify_start_end_handshape_annotations//test_auto_move//signs_mov/2867.mov","MOV")</f>
        <v>21</v>
      </c>
      <c r="R9623" t="s" s="16">
        <f>HYPERLINK("http://secrets.rutgers.edu:8080/data/asl-ftp/asllvd/demos/verify_start_end_handshape_annotations//test_auto_move//signs_mov_separ_signers/Liz_2867.mov","MOV")</f>
        <v>21</v>
      </c>
    </row>
    <row r="9624" s="2" customFormat="1" ht="13.5" customHeight="1">
      <c r="B9624" s="13"/>
      <c r="C9624" t="s" s="9">
        <v>30</v>
      </c>
      <c r="D9624" t="s" s="8">
        <v>3581</v>
      </c>
      <c r="E9624" t="s" s="9">
        <v>3581</v>
      </c>
      <c r="F9624" t="s" s="10">
        <v>25</v>
      </c>
      <c r="G9624" s="14"/>
      <c r="H9624" t="s" s="10">
        <v>626</v>
      </c>
      <c r="I9624" s="14"/>
      <c r="J9624" t="s" s="11">
        <v>20</v>
      </c>
      <c r="K9624" s="15"/>
      <c r="L9624" t="s" s="16">
        <f>HYPERLINK("http://csr.bu.edu/ftp/asl/asllvd/demos/verify_start_end_handshape_annotations//test_auto_move//signs_mov_separ_signers/Brady_2867.mov","MOV")</f>
        <v>21</v>
      </c>
      <c r="M9624" t="s" s="10">
        <v>60</v>
      </c>
      <c r="N9624" s="17">
        <v>29</v>
      </c>
      <c r="O9624" s="18">
        <v>2634</v>
      </c>
      <c r="P9624" s="18">
        <v>2675</v>
      </c>
      <c r="Q9624" s="15"/>
      <c r="R9624" t="s" s="16">
        <f>HYPERLINK("http://secrets.rutgers.edu:8080/data/asl-ftp/asllvd/demos/verify_start_end_handshape_annotations//test_auto_move//signs_mov_separ_signers/Brady_2867.mov","MOV")</f>
        <v>21</v>
      </c>
    </row>
    <row r="9625" s="2" customFormat="1" ht="13.5" customHeight="1">
      <c r="B9625" t="s" s="8">
        <v>3581</v>
      </c>
      <c r="C9625" t="s" s="9">
        <v>14</v>
      </c>
      <c r="D9625" t="s" s="8">
        <v>14</v>
      </c>
      <c r="E9625" t="s" s="9">
        <v>14</v>
      </c>
      <c r="F9625" t="s" s="10">
        <v>14</v>
      </c>
      <c r="G9625" t="s" s="11">
        <v>14</v>
      </c>
      <c r="H9625" t="s" s="10">
        <v>14</v>
      </c>
      <c r="I9625" t="s" s="11">
        <v>14</v>
      </c>
      <c r="J9625" t="s" s="11">
        <v>14</v>
      </c>
      <c r="K9625" t="s" s="12">
        <v>14</v>
      </c>
      <c r="L9625" t="s" s="12">
        <v>14</v>
      </c>
      <c r="M9625" t="s" s="10">
        <v>14</v>
      </c>
      <c r="N9625" t="s" s="11">
        <v>14</v>
      </c>
      <c r="O9625" t="s" s="8">
        <v>14</v>
      </c>
      <c r="P9625" t="s" s="8">
        <v>14</v>
      </c>
      <c r="Q9625" t="s" s="12">
        <v>14</v>
      </c>
      <c r="R9625" t="s" s="12">
        <v>14</v>
      </c>
    </row>
    <row r="9626" s="2" customFormat="1" ht="13.5" customHeight="1">
      <c r="B9626" s="13"/>
      <c r="C9626" t="s" s="9">
        <v>16</v>
      </c>
      <c r="D9626" t="s" s="8">
        <v>3582</v>
      </c>
      <c r="E9626" t="s" s="9">
        <v>3583</v>
      </c>
      <c r="F9626" s="19">
        <v>1</v>
      </c>
      <c r="G9626" s="14"/>
      <c r="H9626" s="19">
        <v>1</v>
      </c>
      <c r="I9626" s="14"/>
      <c r="J9626" t="s" s="11">
        <v>20</v>
      </c>
      <c r="K9626" t="s" s="16">
        <f>HYPERLINK("http://csr.bu.edu/ftp/asl/asllvd/demos/verify_start_end_handshape_annotations//test_auto_move//signs_mov/3821.mov","MOV")</f>
        <v>21</v>
      </c>
      <c r="L9626" t="s" s="16">
        <f>HYPERLINK("http://csr.bu.edu/ftp/asl/asllvd/demos/verify_start_end_handshape_annotations//test_auto_move//signs_mov_separ_signers/Liz_3821.mov","MOV")</f>
        <v>21</v>
      </c>
      <c r="M9626" t="s" s="10">
        <v>59</v>
      </c>
      <c r="N9626" s="17">
        <v>41</v>
      </c>
      <c r="O9626" s="18">
        <v>2111</v>
      </c>
      <c r="P9626" s="18">
        <v>2140</v>
      </c>
      <c r="Q9626" t="s" s="16">
        <f>HYPERLINK("http://secrets.rutgers.edu:8080/data/asl-ftp/asllvd/demos/verify_start_end_handshape_annotations//test_auto_move//signs_mov/3821.mov","MOV")</f>
        <v>21</v>
      </c>
      <c r="R9626" t="s" s="16">
        <f>HYPERLINK("http://secrets.rutgers.edu:8080/data/asl-ftp/asllvd/demos/verify_start_end_handshape_annotations//test_auto_move//signs_mov_separ_signers/Liz_3821.mov","MOV")</f>
        <v>21</v>
      </c>
    </row>
    <row r="9627" s="2" customFormat="1" ht="13.5" customHeight="1">
      <c r="B9627" s="13"/>
      <c r="C9627" t="s" s="9">
        <v>30</v>
      </c>
      <c r="D9627" t="s" s="8">
        <v>3582</v>
      </c>
      <c r="E9627" t="s" s="9">
        <v>3584</v>
      </c>
      <c r="F9627" s="19">
        <v>1</v>
      </c>
      <c r="G9627" s="14"/>
      <c r="H9627" s="19">
        <v>1</v>
      </c>
      <c r="I9627" s="14"/>
      <c r="J9627" t="s" s="11">
        <v>20</v>
      </c>
      <c r="K9627" s="15"/>
      <c r="L9627" t="s" s="16">
        <f>HYPERLINK("http://csr.bu.edu/ftp/asl/asllvd/demos/verify_start_end_handshape_annotations//test_auto_move//signs_mov_separ_signers/Brady_3821.mov","MOV")</f>
        <v>21</v>
      </c>
      <c r="M9627" t="s" s="10">
        <v>60</v>
      </c>
      <c r="N9627" s="17">
        <v>30</v>
      </c>
      <c r="O9627" s="18">
        <v>114</v>
      </c>
      <c r="P9627" s="18">
        <v>158</v>
      </c>
      <c r="Q9627" s="15"/>
      <c r="R9627" t="s" s="16">
        <f>HYPERLINK("http://secrets.rutgers.edu:8080/data/asl-ftp/asllvd/demos/verify_start_end_handshape_annotations//test_auto_move//signs_mov_separ_signers/Brady_3821.mov","MOV")</f>
        <v>21</v>
      </c>
    </row>
    <row r="9628" s="2" customFormat="1" ht="13.5" customHeight="1">
      <c r="B9628" t="s" s="8">
        <v>3585</v>
      </c>
      <c r="C9628" t="s" s="9">
        <v>14</v>
      </c>
      <c r="D9628" t="s" s="8">
        <v>14</v>
      </c>
      <c r="E9628" t="s" s="9">
        <v>14</v>
      </c>
      <c r="F9628" t="s" s="10">
        <v>14</v>
      </c>
      <c r="G9628" t="s" s="11">
        <v>14</v>
      </c>
      <c r="H9628" t="s" s="10">
        <v>14</v>
      </c>
      <c r="I9628" t="s" s="11">
        <v>14</v>
      </c>
      <c r="J9628" t="s" s="11">
        <v>14</v>
      </c>
      <c r="K9628" t="s" s="12">
        <v>14</v>
      </c>
      <c r="L9628" t="s" s="12">
        <v>14</v>
      </c>
      <c r="M9628" t="s" s="10">
        <v>14</v>
      </c>
      <c r="N9628" t="s" s="11">
        <v>14</v>
      </c>
      <c r="O9628" t="s" s="8">
        <v>14</v>
      </c>
      <c r="P9628" t="s" s="8">
        <v>14</v>
      </c>
      <c r="Q9628" t="s" s="12">
        <v>14</v>
      </c>
      <c r="R9628" t="s" s="12">
        <v>14</v>
      </c>
    </row>
    <row r="9629" s="2" customFormat="1" ht="13.5" customHeight="1">
      <c r="B9629" s="13"/>
      <c r="C9629" t="s" s="9">
        <v>16</v>
      </c>
      <c r="D9629" t="s" s="8">
        <v>3585</v>
      </c>
      <c r="E9629" t="s" s="9">
        <v>3585</v>
      </c>
      <c r="F9629" t="s" s="10">
        <v>73</v>
      </c>
      <c r="G9629" s="14"/>
      <c r="H9629" t="s" s="10">
        <v>136</v>
      </c>
      <c r="I9629" s="14"/>
      <c r="J9629" t="s" s="11">
        <v>20</v>
      </c>
      <c r="K9629" t="s" s="16">
        <f>HYPERLINK("http://csr.bu.edu/ftp/asl/asllvd/demos/verify_start_end_handshape_annotations//test_auto_move//signs_mov/2869.mov","MOV")</f>
        <v>21</v>
      </c>
      <c r="L9629" t="s" s="16">
        <f>HYPERLINK("http://csr.bu.edu/ftp/asl/asllvd/demos/verify_start_end_handshape_annotations//test_auto_move//signs_mov_separ_signers/Liz_2869.mov","MOV")</f>
        <v>21</v>
      </c>
      <c r="M9629" t="s" s="10">
        <v>59</v>
      </c>
      <c r="N9629" s="17">
        <v>41</v>
      </c>
      <c r="O9629" s="18">
        <v>2807</v>
      </c>
      <c r="P9629" s="18">
        <v>2856</v>
      </c>
      <c r="Q9629" t="s" s="16">
        <f>HYPERLINK("http://secrets.rutgers.edu:8080/data/asl-ftp/asllvd/demos/verify_start_end_handshape_annotations//test_auto_move//signs_mov/2869.mov","MOV")</f>
        <v>21</v>
      </c>
      <c r="R9629" t="s" s="16">
        <f>HYPERLINK("http://secrets.rutgers.edu:8080/data/asl-ftp/asllvd/demos/verify_start_end_handshape_annotations//test_auto_move//signs_mov_separ_signers/Liz_2869.mov","MOV")</f>
        <v>21</v>
      </c>
    </row>
    <row r="9630" s="2" customFormat="1" ht="13.5" customHeight="1">
      <c r="B9630" s="13"/>
      <c r="C9630" t="s" s="9">
        <v>30</v>
      </c>
      <c r="D9630" t="s" s="8">
        <v>3585</v>
      </c>
      <c r="E9630" t="s" s="9">
        <v>3585</v>
      </c>
      <c r="F9630" t="s" s="10">
        <v>73</v>
      </c>
      <c r="G9630" s="14"/>
      <c r="H9630" t="s" s="10">
        <v>136</v>
      </c>
      <c r="I9630" s="14"/>
      <c r="J9630" t="s" s="11">
        <v>20</v>
      </c>
      <c r="K9630" s="15"/>
      <c r="L9630" t="s" s="16">
        <f>HYPERLINK("http://csr.bu.edu/ftp/asl/asllvd/demos/verify_start_end_handshape_annotations//test_auto_move//signs_mov_separ_signers/Brady_2869.mov","MOV")</f>
        <v>21</v>
      </c>
      <c r="M9630" t="s" s="10">
        <v>60</v>
      </c>
      <c r="N9630" s="17">
        <v>30</v>
      </c>
      <c r="O9630" s="18">
        <v>569</v>
      </c>
      <c r="P9630" s="18">
        <v>601</v>
      </c>
      <c r="Q9630" s="15"/>
      <c r="R9630" t="s" s="16">
        <f>HYPERLINK("http://secrets.rutgers.edu:8080/data/asl-ftp/asllvd/demos/verify_start_end_handshape_annotations//test_auto_move//signs_mov_separ_signers/Brady_2869.mov","MOV")</f>
        <v>21</v>
      </c>
    </row>
    <row r="9631" s="2" customFormat="1" ht="13.5" customHeight="1">
      <c r="B9631" t="s" s="8">
        <v>52</v>
      </c>
      <c r="C9631" t="s" s="9">
        <v>53</v>
      </c>
      <c r="D9631" t="s" s="8">
        <v>53</v>
      </c>
      <c r="E9631" t="s" s="9">
        <v>53</v>
      </c>
      <c r="F9631" t="s" s="10">
        <v>53</v>
      </c>
      <c r="G9631" t="s" s="11">
        <v>53</v>
      </c>
      <c r="H9631" t="s" s="10">
        <v>53</v>
      </c>
      <c r="I9631" t="s" s="11">
        <v>53</v>
      </c>
      <c r="J9631" t="s" s="11">
        <v>53</v>
      </c>
      <c r="K9631" t="s" s="12">
        <v>53</v>
      </c>
      <c r="L9631" t="s" s="12">
        <v>53</v>
      </c>
      <c r="M9631" t="s" s="10">
        <v>53</v>
      </c>
      <c r="N9631" t="s" s="11">
        <v>53</v>
      </c>
      <c r="O9631" t="s" s="8">
        <v>53</v>
      </c>
      <c r="P9631" t="s" s="8">
        <v>53</v>
      </c>
      <c r="Q9631" t="s" s="12">
        <v>53</v>
      </c>
      <c r="R9631" t="s" s="12">
        <v>53</v>
      </c>
    </row>
    <row r="9632" s="2" customFormat="1" ht="13.5" customHeight="1">
      <c r="B9632" s="13"/>
      <c r="C9632" t="s" s="9">
        <v>16</v>
      </c>
      <c r="D9632" t="s" s="8">
        <v>3585</v>
      </c>
      <c r="E9632" t="s" s="9">
        <v>3586</v>
      </c>
      <c r="F9632" s="19">
        <v>25</v>
      </c>
      <c r="G9632" s="14"/>
      <c r="H9632" s="19">
        <v>25</v>
      </c>
      <c r="I9632" s="14"/>
      <c r="J9632" t="s" s="11">
        <v>20</v>
      </c>
      <c r="K9632" t="s" s="16">
        <f>HYPERLINK("http://csr.bu.edu/ftp/asl/asllvd/demos/verify_start_end_handshape_annotations//test_auto_move//signs_mov/3822.mov","MOV")</f>
        <v>21</v>
      </c>
      <c r="L9632" t="s" s="16">
        <f>HYPERLINK("http://csr.bu.edu/ftp/asl/asllvd/demos/verify_start_end_handshape_annotations//test_auto_move//signs_mov_separ_signers/Liz_3822.mov","MOV")</f>
        <v>21</v>
      </c>
      <c r="M9632" t="s" s="10">
        <v>59</v>
      </c>
      <c r="N9632" s="17">
        <v>41</v>
      </c>
      <c r="O9632" s="18">
        <v>2576</v>
      </c>
      <c r="P9632" s="18">
        <v>2595</v>
      </c>
      <c r="Q9632" t="s" s="16">
        <f>HYPERLINK("http://secrets.rutgers.edu:8080/data/asl-ftp/asllvd/demos/verify_start_end_handshape_annotations//test_auto_move//signs_mov/3822.mov","MOV")</f>
        <v>21</v>
      </c>
      <c r="R9632" t="s" s="16">
        <f>HYPERLINK("http://secrets.rutgers.edu:8080/data/asl-ftp/asllvd/demos/verify_start_end_handshape_annotations//test_auto_move//signs_mov_separ_signers/Liz_3822.mov","MOV")</f>
        <v>21</v>
      </c>
    </row>
    <row r="9633" s="2" customFormat="1" ht="13.5" customHeight="1">
      <c r="B9633" s="13"/>
      <c r="C9633" t="s" s="9">
        <v>30</v>
      </c>
      <c r="D9633" t="s" s="8">
        <v>3585</v>
      </c>
      <c r="E9633" t="s" s="9">
        <v>3586</v>
      </c>
      <c r="F9633" s="19">
        <v>25</v>
      </c>
      <c r="G9633" s="14"/>
      <c r="H9633" s="19">
        <v>25</v>
      </c>
      <c r="I9633" s="14"/>
      <c r="J9633" t="s" s="11">
        <v>20</v>
      </c>
      <c r="K9633" s="15"/>
      <c r="L9633" t="s" s="16">
        <f>HYPERLINK("http://csr.bu.edu/ftp/asl/asllvd/demos/verify_start_end_handshape_annotations//test_auto_move//signs_mov_separ_signers/Brady_3822.mov","MOV")</f>
        <v>21</v>
      </c>
      <c r="M9633" t="s" s="10">
        <v>60</v>
      </c>
      <c r="N9633" s="17">
        <v>30</v>
      </c>
      <c r="O9633" s="18">
        <v>327</v>
      </c>
      <c r="P9633" s="18">
        <v>363</v>
      </c>
      <c r="Q9633" s="15"/>
      <c r="R9633" t="s" s="16">
        <f>HYPERLINK("http://secrets.rutgers.edu:8080/data/asl-ftp/asllvd/demos/verify_start_end_handshape_annotations//test_auto_move//signs_mov_separ_signers/Brady_3822.mov","MOV")</f>
        <v>21</v>
      </c>
    </row>
    <row r="9634" s="2" customFormat="1" ht="13.5" customHeight="1">
      <c r="B9634" t="s" s="8">
        <v>3587</v>
      </c>
      <c r="C9634" t="s" s="9">
        <v>14</v>
      </c>
      <c r="D9634" t="s" s="8">
        <v>14</v>
      </c>
      <c r="E9634" t="s" s="9">
        <v>14</v>
      </c>
      <c r="F9634" t="s" s="10">
        <v>14</v>
      </c>
      <c r="G9634" t="s" s="11">
        <v>14</v>
      </c>
      <c r="H9634" t="s" s="10">
        <v>14</v>
      </c>
      <c r="I9634" t="s" s="11">
        <v>14</v>
      </c>
      <c r="J9634" t="s" s="11">
        <v>14</v>
      </c>
      <c r="K9634" t="s" s="12">
        <v>14</v>
      </c>
      <c r="L9634" t="s" s="12">
        <v>14</v>
      </c>
      <c r="M9634" t="s" s="10">
        <v>14</v>
      </c>
      <c r="N9634" t="s" s="11">
        <v>14</v>
      </c>
      <c r="O9634" t="s" s="8">
        <v>14</v>
      </c>
      <c r="P9634" t="s" s="8">
        <v>14</v>
      </c>
      <c r="Q9634" t="s" s="12">
        <v>14</v>
      </c>
      <c r="R9634" t="s" s="12">
        <v>14</v>
      </c>
    </row>
    <row r="9635" s="2" customFormat="1" ht="13.5" customHeight="1">
      <c r="B9635" s="13"/>
      <c r="C9635" t="s" s="9">
        <v>16</v>
      </c>
      <c r="D9635" t="s" s="8">
        <v>3587</v>
      </c>
      <c r="E9635" t="s" s="9">
        <v>3588</v>
      </c>
      <c r="F9635" s="19">
        <v>5</v>
      </c>
      <c r="G9635" s="17">
        <v>5</v>
      </c>
      <c r="H9635" s="19">
        <v>5</v>
      </c>
      <c r="I9635" s="17">
        <v>5</v>
      </c>
      <c r="J9635" t="s" s="11">
        <v>20</v>
      </c>
      <c r="K9635" t="s" s="16">
        <f>HYPERLINK("http://csr.bu.edu/ftp/asl/asllvd/demos/verify_start_end_handshape_annotations//test_auto_move//signs_mov/2877.mov","MOV")</f>
        <v>21</v>
      </c>
      <c r="L9635" t="s" s="16">
        <f>HYPERLINK("http://csr.bu.edu/ftp/asl/asllvd/demos/verify_start_end_handshape_annotations//test_auto_move//signs_mov_separ_signers/Liz_2877.mov","MOV")</f>
        <v>21</v>
      </c>
      <c r="M9635" t="s" s="10">
        <v>59</v>
      </c>
      <c r="N9635" s="17">
        <v>42</v>
      </c>
      <c r="O9635" s="18">
        <v>2103</v>
      </c>
      <c r="P9635" s="18">
        <v>2164</v>
      </c>
      <c r="Q9635" t="s" s="16">
        <f>HYPERLINK("http://secrets.rutgers.edu:8080/data/asl-ftp/asllvd/demos/verify_start_end_handshape_annotations//test_auto_move//signs_mov/2877.mov","MOV")</f>
        <v>21</v>
      </c>
      <c r="R9635" t="s" s="16">
        <f>HYPERLINK("http://secrets.rutgers.edu:8080/data/asl-ftp/asllvd/demos/verify_start_end_handshape_annotations//test_auto_move//signs_mov_separ_signers/Liz_2877.mov","MOV")</f>
        <v>21</v>
      </c>
    </row>
    <row r="9636" s="2" customFormat="1" ht="13.5" customHeight="1">
      <c r="B9636" s="13"/>
      <c r="C9636" t="s" s="9">
        <v>30</v>
      </c>
      <c r="D9636" t="s" s="8">
        <v>3587</v>
      </c>
      <c r="E9636" t="s" s="9">
        <v>3588</v>
      </c>
      <c r="F9636" s="19">
        <v>5</v>
      </c>
      <c r="G9636" s="17">
        <v>5</v>
      </c>
      <c r="H9636" s="19">
        <v>5</v>
      </c>
      <c r="I9636" s="17">
        <v>5</v>
      </c>
      <c r="J9636" t="s" s="11">
        <v>20</v>
      </c>
      <c r="K9636" s="15"/>
      <c r="L9636" t="s" s="16">
        <f>HYPERLINK("http://csr.bu.edu/ftp/asl/asllvd/demos/verify_start_end_handshape_annotations//test_auto_move//signs_mov_separ_signers/Brady_2877.mov","MOV")</f>
        <v>21</v>
      </c>
      <c r="M9636" t="s" s="10">
        <v>60</v>
      </c>
      <c r="N9636" s="17">
        <v>30</v>
      </c>
      <c r="O9636" s="18">
        <v>2038</v>
      </c>
      <c r="P9636" s="18">
        <v>2084</v>
      </c>
      <c r="Q9636" s="15"/>
      <c r="R9636" t="s" s="16">
        <f>HYPERLINK("http://secrets.rutgers.edu:8080/data/asl-ftp/asllvd/demos/verify_start_end_handshape_annotations//test_auto_move//signs_mov_separ_signers/Brady_2877.mov","MOV")</f>
        <v>21</v>
      </c>
    </row>
    <row r="9637" s="2" customFormat="1" ht="13.5" customHeight="1">
      <c r="B9637" t="s" s="8">
        <v>52</v>
      </c>
      <c r="C9637" t="s" s="9">
        <v>53</v>
      </c>
      <c r="D9637" t="s" s="8">
        <v>53</v>
      </c>
      <c r="E9637" t="s" s="9">
        <v>53</v>
      </c>
      <c r="F9637" t="s" s="10">
        <v>53</v>
      </c>
      <c r="G9637" t="s" s="11">
        <v>53</v>
      </c>
      <c r="H9637" t="s" s="10">
        <v>53</v>
      </c>
      <c r="I9637" t="s" s="11">
        <v>53</v>
      </c>
      <c r="J9637" t="s" s="11">
        <v>53</v>
      </c>
      <c r="K9637" t="s" s="12">
        <v>53</v>
      </c>
      <c r="L9637" t="s" s="12">
        <v>53</v>
      </c>
      <c r="M9637" t="s" s="10">
        <v>53</v>
      </c>
      <c r="N9637" t="s" s="11">
        <v>53</v>
      </c>
      <c r="O9637" t="s" s="8">
        <v>53</v>
      </c>
      <c r="P9637" t="s" s="8">
        <v>53</v>
      </c>
      <c r="Q9637" t="s" s="12">
        <v>53</v>
      </c>
      <c r="R9637" t="s" s="12">
        <v>53</v>
      </c>
    </row>
    <row r="9638" s="2" customFormat="1" ht="13.5" customHeight="1">
      <c r="B9638" s="13"/>
      <c r="C9638" t="s" s="9">
        <v>16</v>
      </c>
      <c r="D9638" t="s" s="8">
        <v>3587</v>
      </c>
      <c r="E9638" t="s" s="9">
        <v>3589</v>
      </c>
      <c r="F9638" s="19">
        <v>5</v>
      </c>
      <c r="G9638" s="17">
        <v>5</v>
      </c>
      <c r="H9638" s="19">
        <v>5</v>
      </c>
      <c r="I9638" s="17">
        <v>5</v>
      </c>
      <c r="J9638" t="s" s="11">
        <v>20</v>
      </c>
      <c r="K9638" t="s" s="16">
        <f>HYPERLINK("http://csr.bu.edu/ftp/asl/asllvd/demos/verify_start_end_handshape_annotations//test_auto_move//signs_mov/3985.mov","MOV")</f>
        <v>21</v>
      </c>
      <c r="L9638" t="s" s="16">
        <f>HYPERLINK("http://csr.bu.edu/ftp/asl/asllvd/demos/verify_start_end_handshape_annotations//test_auto_move//signs_mov_separ_signers/Liz_3985.mov","MOV")</f>
        <v>21</v>
      </c>
      <c r="M9638" t="s" s="10">
        <v>36</v>
      </c>
      <c r="N9638" s="17">
        <v>48</v>
      </c>
      <c r="O9638" s="18">
        <v>1645</v>
      </c>
      <c r="P9638" s="18">
        <v>1740</v>
      </c>
      <c r="Q9638" t="s" s="16">
        <f>HYPERLINK("http://secrets.rutgers.edu:8080/data/asl-ftp/asllvd/demos/verify_start_end_handshape_annotations//test_auto_move//signs_mov/3985.mov","MOV")</f>
        <v>21</v>
      </c>
      <c r="R9638" t="s" s="16">
        <f>HYPERLINK("http://secrets.rutgers.edu:8080/data/asl-ftp/asllvd/demos/verify_start_end_handshape_annotations//test_auto_move//signs_mov_separ_signers/Liz_3985.mov","MOV")</f>
        <v>21</v>
      </c>
    </row>
    <row r="9639" s="2" customFormat="1" ht="13.5" customHeight="1">
      <c r="B9639" s="13"/>
      <c r="C9639" t="s" s="9">
        <v>30</v>
      </c>
      <c r="D9639" t="s" s="8">
        <v>3587</v>
      </c>
      <c r="E9639" t="s" s="9">
        <v>3589</v>
      </c>
      <c r="F9639" s="19">
        <v>5</v>
      </c>
      <c r="G9639" s="17">
        <v>5</v>
      </c>
      <c r="H9639" s="19">
        <v>5</v>
      </c>
      <c r="I9639" s="17">
        <v>5</v>
      </c>
      <c r="J9639" t="s" s="11">
        <v>20</v>
      </c>
      <c r="K9639" s="15"/>
      <c r="L9639" t="s" s="16">
        <f>HYPERLINK("http://csr.bu.edu/ftp/asl/asllvd/demos/verify_start_end_handshape_annotations//test_auto_move//signs_mov_separ_signers/Brady_3985.mov","MOV")</f>
        <v>21</v>
      </c>
      <c r="M9639" t="s" s="10">
        <v>40</v>
      </c>
      <c r="N9639" s="17">
        <v>99</v>
      </c>
      <c r="O9639" s="18">
        <v>2588</v>
      </c>
      <c r="P9639" s="18">
        <v>2668</v>
      </c>
      <c r="Q9639" s="15"/>
      <c r="R9639" t="s" s="16">
        <f>HYPERLINK("http://secrets.rutgers.edu:8080/data/asl-ftp/asllvd/demos/verify_start_end_handshape_annotations//test_auto_move//signs_mov_separ_signers/Brady_3985.mov","MOV")</f>
        <v>21</v>
      </c>
    </row>
    <row r="9640" s="2" customFormat="1" ht="13.5" customHeight="1">
      <c r="B9640" t="s" s="8">
        <v>52</v>
      </c>
      <c r="C9640" t="s" s="9">
        <v>53</v>
      </c>
      <c r="D9640" t="s" s="8">
        <v>53</v>
      </c>
      <c r="E9640" t="s" s="9">
        <v>53</v>
      </c>
      <c r="F9640" t="s" s="10">
        <v>53</v>
      </c>
      <c r="G9640" t="s" s="11">
        <v>53</v>
      </c>
      <c r="H9640" t="s" s="10">
        <v>53</v>
      </c>
      <c r="I9640" t="s" s="11">
        <v>53</v>
      </c>
      <c r="J9640" t="s" s="11">
        <v>53</v>
      </c>
      <c r="K9640" t="s" s="12">
        <v>53</v>
      </c>
      <c r="L9640" t="s" s="12">
        <v>53</v>
      </c>
      <c r="M9640" t="s" s="10">
        <v>53</v>
      </c>
      <c r="N9640" t="s" s="11">
        <v>53</v>
      </c>
      <c r="O9640" t="s" s="8">
        <v>53</v>
      </c>
      <c r="P9640" t="s" s="8">
        <v>53</v>
      </c>
      <c r="Q9640" t="s" s="12">
        <v>53</v>
      </c>
      <c r="R9640" t="s" s="12">
        <v>53</v>
      </c>
    </row>
    <row r="9641" s="2" customFormat="1" ht="13.5" customHeight="1">
      <c r="B9641" s="13"/>
      <c r="C9641" t="s" s="9">
        <v>16</v>
      </c>
      <c r="D9641" t="s" s="8">
        <v>3587</v>
      </c>
      <c r="E9641" t="s" s="9">
        <v>3590</v>
      </c>
      <c r="F9641" s="19">
        <v>5</v>
      </c>
      <c r="G9641" s="17">
        <v>5</v>
      </c>
      <c r="H9641" s="19">
        <v>5</v>
      </c>
      <c r="I9641" s="17">
        <v>5</v>
      </c>
      <c r="J9641" t="s" s="11">
        <v>20</v>
      </c>
      <c r="K9641" t="s" s="16">
        <f>HYPERLINK("http://csr.bu.edu/ftp/asl/asllvd/demos/verify_start_end_handshape_annotations//test_auto_move//signs_mov/15366.mov","MOV")</f>
        <v>21</v>
      </c>
      <c r="L9641" t="s" s="16">
        <f>HYPERLINK("http://csr.bu.edu/ftp/asl/asllvd/demos/verify_start_end_handshape_annotations//test_auto_move//signs_mov_separ_signers/Liz_15366.mov","MOV")</f>
        <v>21</v>
      </c>
      <c r="M9641" t="s" s="10">
        <v>22</v>
      </c>
      <c r="N9641" s="17">
        <v>10</v>
      </c>
      <c r="O9641" s="18">
        <v>1145</v>
      </c>
      <c r="P9641" s="18">
        <v>1210</v>
      </c>
      <c r="Q9641" t="s" s="16">
        <f>HYPERLINK("http://secrets.rutgers.edu:8080/data/asl-ftp/asllvd/demos/verify_start_end_handshape_annotations//test_auto_move//signs_mov/15366.mov","MOV")</f>
        <v>21</v>
      </c>
      <c r="R9641" t="s" s="16">
        <f>HYPERLINK("http://secrets.rutgers.edu:8080/data/asl-ftp/asllvd/demos/verify_start_end_handshape_annotations//test_auto_move//signs_mov_separ_signers/Liz_15366.mov","MOV")</f>
        <v>21</v>
      </c>
    </row>
    <row r="9642" s="2" customFormat="1" ht="13.5" customHeight="1">
      <c r="B9642" s="13"/>
      <c r="C9642" t="s" s="9">
        <v>30</v>
      </c>
      <c r="D9642" t="s" s="8">
        <v>3587</v>
      </c>
      <c r="E9642" t="s" s="9">
        <v>3591</v>
      </c>
      <c r="F9642" s="19">
        <v>5</v>
      </c>
      <c r="G9642" s="17">
        <v>5</v>
      </c>
      <c r="H9642" s="19">
        <v>5</v>
      </c>
      <c r="I9642" s="17">
        <v>5</v>
      </c>
      <c r="J9642" t="s" s="11">
        <v>20</v>
      </c>
      <c r="K9642" s="15"/>
      <c r="L9642" t="s" s="16">
        <f>HYPERLINK("http://csr.bu.edu/ftp/asl/asllvd/demos/verify_start_end_handshape_annotations//test_auto_move//signs_mov_separ_signers/Brady_15366.mov","MOV")</f>
        <v>21</v>
      </c>
      <c r="M9642" t="s" s="10">
        <v>31</v>
      </c>
      <c r="N9642" s="17">
        <v>10</v>
      </c>
      <c r="O9642" s="18">
        <v>953</v>
      </c>
      <c r="P9642" s="18">
        <v>989</v>
      </c>
      <c r="Q9642" s="15"/>
      <c r="R9642" t="s" s="16">
        <f>HYPERLINK("http://secrets.rutgers.edu:8080/data/asl-ftp/asllvd/demos/verify_start_end_handshape_annotations//test_auto_move//signs_mov_separ_signers/Brady_15366.mov","MOV")</f>
        <v>21</v>
      </c>
    </row>
    <row r="9643" s="2" customFormat="1" ht="13.5" customHeight="1">
      <c r="B9643" t="s" s="8">
        <v>3592</v>
      </c>
      <c r="C9643" t="s" s="9">
        <v>14</v>
      </c>
      <c r="D9643" t="s" s="8">
        <v>14</v>
      </c>
      <c r="E9643" t="s" s="9">
        <v>14</v>
      </c>
      <c r="F9643" t="s" s="10">
        <v>14</v>
      </c>
      <c r="G9643" t="s" s="11">
        <v>14</v>
      </c>
      <c r="H9643" t="s" s="10">
        <v>14</v>
      </c>
      <c r="I9643" t="s" s="11">
        <v>14</v>
      </c>
      <c r="J9643" t="s" s="11">
        <v>14</v>
      </c>
      <c r="K9643" t="s" s="12">
        <v>14</v>
      </c>
      <c r="L9643" t="s" s="12">
        <v>14</v>
      </c>
      <c r="M9643" t="s" s="10">
        <v>14</v>
      </c>
      <c r="N9643" t="s" s="11">
        <v>14</v>
      </c>
      <c r="O9643" t="s" s="8">
        <v>14</v>
      </c>
      <c r="P9643" t="s" s="8">
        <v>14</v>
      </c>
      <c r="Q9643" t="s" s="12">
        <v>14</v>
      </c>
      <c r="R9643" t="s" s="12">
        <v>14</v>
      </c>
    </row>
    <row r="9644" s="2" customFormat="1" ht="13.5" customHeight="1">
      <c r="B9644" s="13"/>
      <c r="C9644" t="s" s="9">
        <v>16</v>
      </c>
      <c r="D9644" t="s" s="8">
        <v>3592</v>
      </c>
      <c r="E9644" t="s" s="9">
        <v>3593</v>
      </c>
      <c r="F9644" t="s" s="10">
        <v>80</v>
      </c>
      <c r="G9644" t="s" s="11">
        <v>73</v>
      </c>
      <c r="H9644" t="s" s="10">
        <v>80</v>
      </c>
      <c r="I9644" t="s" s="11">
        <v>73</v>
      </c>
      <c r="J9644" t="s" s="11">
        <v>20</v>
      </c>
      <c r="K9644" t="s" s="16">
        <f>HYPERLINK("http://csr.bu.edu/ftp/asl/asllvd/demos/verify_start_end_handshape_annotations//test_auto_move//signs_mov/2880.mov","MOV")</f>
        <v>21</v>
      </c>
      <c r="L9644" t="s" s="16">
        <f>HYPERLINK("http://csr.bu.edu/ftp/asl/asllvd/demos/verify_start_end_handshape_annotations//test_auto_move//signs_mov_separ_signers/Liz_2880.mov","MOV")</f>
        <v>21</v>
      </c>
      <c r="M9644" t="s" s="10">
        <v>59</v>
      </c>
      <c r="N9644" s="17">
        <v>42</v>
      </c>
      <c r="O9644" s="18">
        <v>4707</v>
      </c>
      <c r="P9644" s="18">
        <v>4757</v>
      </c>
      <c r="Q9644" t="s" s="16">
        <f>HYPERLINK("http://secrets.rutgers.edu:8080/data/asl-ftp/asllvd/demos/verify_start_end_handshape_annotations//test_auto_move//signs_mov/2880.mov","MOV")</f>
        <v>21</v>
      </c>
      <c r="R9644" t="s" s="16">
        <f>HYPERLINK("http://secrets.rutgers.edu:8080/data/asl-ftp/asllvd/demos/verify_start_end_handshape_annotations//test_auto_move//signs_mov_separ_signers/Liz_2880.mov","MOV")</f>
        <v>21</v>
      </c>
    </row>
    <row r="9645" s="2" customFormat="1" ht="13.5" customHeight="1">
      <c r="B9645" s="13"/>
      <c r="C9645" t="s" s="9">
        <v>30</v>
      </c>
      <c r="D9645" t="s" s="8">
        <v>3592</v>
      </c>
      <c r="E9645" t="s" s="9">
        <v>3594</v>
      </c>
      <c r="F9645" t="s" s="10">
        <v>80</v>
      </c>
      <c r="G9645" t="s" s="11">
        <v>80</v>
      </c>
      <c r="H9645" t="s" s="10">
        <v>80</v>
      </c>
      <c r="I9645" t="s" s="11">
        <v>80</v>
      </c>
      <c r="J9645" t="s" s="11">
        <v>20</v>
      </c>
      <c r="K9645" s="15"/>
      <c r="L9645" t="s" s="16">
        <f>HYPERLINK("http://csr.bu.edu/ftp/asl/asllvd/demos/verify_start_end_handshape_annotations//test_auto_move//signs_mov_separ_signers/Brady_2880.mov","MOV")</f>
        <v>21</v>
      </c>
      <c r="M9645" t="s" s="10">
        <v>60</v>
      </c>
      <c r="N9645" s="17">
        <v>31</v>
      </c>
      <c r="O9645" s="18">
        <v>266</v>
      </c>
      <c r="P9645" s="18">
        <v>314</v>
      </c>
      <c r="Q9645" s="15"/>
      <c r="R9645" t="s" s="16">
        <f>HYPERLINK("http://secrets.rutgers.edu:8080/data/asl-ftp/asllvd/demos/verify_start_end_handshape_annotations//test_auto_move//signs_mov_separ_signers/Brady_2880.mov","MOV")</f>
        <v>21</v>
      </c>
    </row>
    <row r="9646" s="2" customFormat="1" ht="13.5" customHeight="1">
      <c r="B9646" t="s" s="8">
        <v>3595</v>
      </c>
      <c r="C9646" t="s" s="9">
        <v>14</v>
      </c>
      <c r="D9646" t="s" s="8">
        <v>14</v>
      </c>
      <c r="E9646" t="s" s="9">
        <v>14</v>
      </c>
      <c r="F9646" t="s" s="10">
        <v>14</v>
      </c>
      <c r="G9646" t="s" s="11">
        <v>14</v>
      </c>
      <c r="H9646" t="s" s="10">
        <v>14</v>
      </c>
      <c r="I9646" t="s" s="11">
        <v>14</v>
      </c>
      <c r="J9646" t="s" s="11">
        <v>14</v>
      </c>
      <c r="K9646" t="s" s="12">
        <v>14</v>
      </c>
      <c r="L9646" t="s" s="12">
        <v>14</v>
      </c>
      <c r="M9646" t="s" s="10">
        <v>14</v>
      </c>
      <c r="N9646" t="s" s="11">
        <v>14</v>
      </c>
      <c r="O9646" t="s" s="8">
        <v>14</v>
      </c>
      <c r="P9646" t="s" s="8">
        <v>14</v>
      </c>
      <c r="Q9646" t="s" s="12">
        <v>14</v>
      </c>
      <c r="R9646" t="s" s="12">
        <v>14</v>
      </c>
    </row>
    <row r="9647" s="2" customFormat="1" ht="13.5" customHeight="1">
      <c r="B9647" s="13"/>
      <c r="C9647" t="s" s="9">
        <v>16</v>
      </c>
      <c r="D9647" t="s" s="8">
        <v>3595</v>
      </c>
      <c r="E9647" t="s" s="9">
        <v>3596</v>
      </c>
      <c r="F9647" s="19">
        <v>6</v>
      </c>
      <c r="G9647" s="14"/>
      <c r="H9647" s="19">
        <v>6</v>
      </c>
      <c r="I9647" s="14"/>
      <c r="J9647" t="s" s="11">
        <v>20</v>
      </c>
      <c r="K9647" t="s" s="16">
        <f>HYPERLINK("http://csr.bu.edu/ftp/asl/asllvd/demos/verify_start_end_handshape_annotations//test_auto_move//signs_mov/2881.mov","MOV")</f>
        <v>21</v>
      </c>
      <c r="L9647" t="s" s="16">
        <f>HYPERLINK("http://csr.bu.edu/ftp/asl/asllvd/demos/verify_start_end_handshape_annotations//test_auto_move//signs_mov_separ_signers/Liz_2881.mov","MOV")</f>
        <v>21</v>
      </c>
      <c r="M9647" t="s" s="10">
        <v>59</v>
      </c>
      <c r="N9647" s="17">
        <v>42</v>
      </c>
      <c r="O9647" s="18">
        <v>5147</v>
      </c>
      <c r="P9647" s="18">
        <v>5208</v>
      </c>
      <c r="Q9647" t="s" s="16">
        <f>HYPERLINK("http://secrets.rutgers.edu:8080/data/asl-ftp/asllvd/demos/verify_start_end_handshape_annotations//test_auto_move//signs_mov/2881.mov","MOV")</f>
        <v>21</v>
      </c>
      <c r="R9647" t="s" s="16">
        <f>HYPERLINK("http://secrets.rutgers.edu:8080/data/asl-ftp/asllvd/demos/verify_start_end_handshape_annotations//test_auto_move//signs_mov_separ_signers/Liz_2881.mov","MOV")</f>
        <v>21</v>
      </c>
    </row>
    <row r="9648" s="2" customFormat="1" ht="13.5" customHeight="1">
      <c r="B9648" s="13"/>
      <c r="C9648" t="s" s="9">
        <v>30</v>
      </c>
      <c r="D9648" t="s" s="8">
        <v>3595</v>
      </c>
      <c r="E9648" t="s" s="9">
        <v>3596</v>
      </c>
      <c r="F9648" t="s" s="10">
        <v>406</v>
      </c>
      <c r="G9648" s="14"/>
      <c r="H9648" t="s" s="10">
        <v>406</v>
      </c>
      <c r="I9648" s="14"/>
      <c r="J9648" t="s" s="11">
        <v>20</v>
      </c>
      <c r="K9648" s="15"/>
      <c r="L9648" t="s" s="16">
        <f>HYPERLINK("http://csr.bu.edu/ftp/asl/asllvd/demos/verify_start_end_handshape_annotations//test_auto_move//signs_mov_separ_signers/Brady_2881.mov","MOV")</f>
        <v>21</v>
      </c>
      <c r="M9648" t="s" s="10">
        <v>60</v>
      </c>
      <c r="N9648" s="17">
        <v>31</v>
      </c>
      <c r="O9648" s="18">
        <v>545</v>
      </c>
      <c r="P9648" s="18">
        <v>591</v>
      </c>
      <c r="Q9648" s="15"/>
      <c r="R9648" t="s" s="16">
        <f>HYPERLINK("http://secrets.rutgers.edu:8080/data/asl-ftp/asllvd/demos/verify_start_end_handshape_annotations//test_auto_move//signs_mov_separ_signers/Brady_2881.mov","MOV")</f>
        <v>21</v>
      </c>
    </row>
    <row r="9649" s="2" customFormat="1" ht="13.5" customHeight="1">
      <c r="B9649" t="s" s="8">
        <v>3597</v>
      </c>
      <c r="C9649" t="s" s="9">
        <v>14</v>
      </c>
      <c r="D9649" t="s" s="8">
        <v>14</v>
      </c>
      <c r="E9649" t="s" s="9">
        <v>14</v>
      </c>
      <c r="F9649" t="s" s="10">
        <v>14</v>
      </c>
      <c r="G9649" t="s" s="11">
        <v>14</v>
      </c>
      <c r="H9649" t="s" s="10">
        <v>14</v>
      </c>
      <c r="I9649" t="s" s="11">
        <v>14</v>
      </c>
      <c r="J9649" t="s" s="11">
        <v>14</v>
      </c>
      <c r="K9649" t="s" s="12">
        <v>14</v>
      </c>
      <c r="L9649" t="s" s="12">
        <v>14</v>
      </c>
      <c r="M9649" t="s" s="10">
        <v>14</v>
      </c>
      <c r="N9649" t="s" s="11">
        <v>14</v>
      </c>
      <c r="O9649" t="s" s="8">
        <v>14</v>
      </c>
      <c r="P9649" t="s" s="8">
        <v>14</v>
      </c>
      <c r="Q9649" t="s" s="12">
        <v>14</v>
      </c>
      <c r="R9649" t="s" s="12">
        <v>14</v>
      </c>
    </row>
    <row r="9650" s="2" customFormat="1" ht="13.5" customHeight="1">
      <c r="B9650" s="13"/>
      <c r="C9650" t="s" s="9">
        <v>16</v>
      </c>
      <c r="D9650" t="s" s="8">
        <v>3597</v>
      </c>
      <c r="E9650" t="s" s="9">
        <v>3598</v>
      </c>
      <c r="F9650" t="s" s="10">
        <v>255</v>
      </c>
      <c r="G9650" t="s" s="11">
        <v>255</v>
      </c>
      <c r="H9650" t="s" s="10">
        <v>255</v>
      </c>
      <c r="I9650" t="s" s="11">
        <v>255</v>
      </c>
      <c r="J9650" t="s" s="11">
        <v>20</v>
      </c>
      <c r="K9650" t="s" s="16">
        <f>HYPERLINK("http://csr.bu.edu/ftp/asl/asllvd/demos/verify_start_end_handshape_annotations//test_auto_move//signs_mov/2886.mov","MOV")</f>
        <v>21</v>
      </c>
      <c r="L9650" t="s" s="16">
        <f>HYPERLINK("http://csr.bu.edu/ftp/asl/asllvd/demos/verify_start_end_handshape_annotations//test_auto_move//signs_mov_separ_signers/Liz_2886.mov","MOV")</f>
        <v>21</v>
      </c>
      <c r="M9650" t="s" s="10">
        <v>59</v>
      </c>
      <c r="N9650" s="17">
        <v>43</v>
      </c>
      <c r="O9650" s="18">
        <v>944</v>
      </c>
      <c r="P9650" s="18">
        <v>979</v>
      </c>
      <c r="Q9650" t="s" s="16">
        <f>HYPERLINK("http://secrets.rutgers.edu:8080/data/asl-ftp/asllvd/demos/verify_start_end_handshape_annotations//test_auto_move//signs_mov/2886.mov","MOV")</f>
        <v>21</v>
      </c>
      <c r="R9650" t="s" s="16">
        <f>HYPERLINK("http://secrets.rutgers.edu:8080/data/asl-ftp/asllvd/demos/verify_start_end_handshape_annotations//test_auto_move//signs_mov_separ_signers/Liz_2886.mov","MOV")</f>
        <v>21</v>
      </c>
    </row>
    <row r="9651" s="2" customFormat="1" ht="13.5" customHeight="1">
      <c r="B9651" s="13"/>
      <c r="C9651" t="s" s="9">
        <v>30</v>
      </c>
      <c r="D9651" t="s" s="8">
        <v>3597</v>
      </c>
      <c r="E9651" t="s" s="9">
        <v>3598</v>
      </c>
      <c r="F9651" t="s" s="10">
        <v>255</v>
      </c>
      <c r="G9651" t="s" s="11">
        <v>255</v>
      </c>
      <c r="H9651" t="s" s="10">
        <v>255</v>
      </c>
      <c r="I9651" t="s" s="11">
        <v>255</v>
      </c>
      <c r="J9651" t="s" s="11">
        <v>20</v>
      </c>
      <c r="K9651" s="15"/>
      <c r="L9651" t="s" s="16">
        <f>HYPERLINK("http://csr.bu.edu/ftp/asl/asllvd/demos/verify_start_end_handshape_annotations//test_auto_move//signs_mov_separ_signers/Brady_2886.mov","MOV")</f>
        <v>21</v>
      </c>
      <c r="M9651" t="s" s="10">
        <v>60</v>
      </c>
      <c r="N9651" s="17">
        <v>31</v>
      </c>
      <c r="O9651" s="18">
        <v>1702</v>
      </c>
      <c r="P9651" s="18">
        <v>1735</v>
      </c>
      <c r="Q9651" s="15"/>
      <c r="R9651" t="s" s="16">
        <f>HYPERLINK("http://secrets.rutgers.edu:8080/data/asl-ftp/asllvd/demos/verify_start_end_handshape_annotations//test_auto_move//signs_mov_separ_signers/Brady_2886.mov","MOV")</f>
        <v>21</v>
      </c>
    </row>
    <row r="9652" s="2" customFormat="1" ht="13.5" customHeight="1">
      <c r="B9652" t="s" s="8">
        <v>52</v>
      </c>
      <c r="C9652" t="s" s="9">
        <v>53</v>
      </c>
      <c r="D9652" t="s" s="8">
        <v>53</v>
      </c>
      <c r="E9652" t="s" s="9">
        <v>53</v>
      </c>
      <c r="F9652" t="s" s="10">
        <v>53</v>
      </c>
      <c r="G9652" t="s" s="11">
        <v>53</v>
      </c>
      <c r="H9652" t="s" s="10">
        <v>53</v>
      </c>
      <c r="I9652" t="s" s="11">
        <v>53</v>
      </c>
      <c r="J9652" t="s" s="11">
        <v>53</v>
      </c>
      <c r="K9652" t="s" s="12">
        <v>53</v>
      </c>
      <c r="L9652" t="s" s="12">
        <v>53</v>
      </c>
      <c r="M9652" t="s" s="10">
        <v>53</v>
      </c>
      <c r="N9652" t="s" s="11">
        <v>53</v>
      </c>
      <c r="O9652" t="s" s="8">
        <v>53</v>
      </c>
      <c r="P9652" t="s" s="8">
        <v>53</v>
      </c>
      <c r="Q9652" t="s" s="12">
        <v>53</v>
      </c>
      <c r="R9652" t="s" s="12">
        <v>53</v>
      </c>
    </row>
    <row r="9653" s="2" customFormat="1" ht="13.5" customHeight="1">
      <c r="B9653" s="13"/>
      <c r="C9653" t="s" s="9">
        <v>16</v>
      </c>
      <c r="D9653" t="s" s="8">
        <v>3597</v>
      </c>
      <c r="E9653" t="s" s="9">
        <v>3599</v>
      </c>
      <c r="F9653" t="s" s="10">
        <v>255</v>
      </c>
      <c r="G9653" s="14"/>
      <c r="H9653" t="s" s="10">
        <v>255</v>
      </c>
      <c r="I9653" s="14"/>
      <c r="J9653" t="s" s="11">
        <v>20</v>
      </c>
      <c r="K9653" t="s" s="16">
        <f>HYPERLINK("http://csr.bu.edu/ftp/asl/asllvd/demos/verify_start_end_handshape_annotations//test_auto_move//signs_mov/3826.mov","MOV")</f>
        <v>21</v>
      </c>
      <c r="L9653" t="s" s="16">
        <f>HYPERLINK("http://csr.bu.edu/ftp/asl/asllvd/demos/verify_start_end_handshape_annotations//test_auto_move//signs_mov_separ_signers/Liz_3826.mov","MOV")</f>
        <v>21</v>
      </c>
      <c r="M9653" t="s" s="10">
        <v>59</v>
      </c>
      <c r="N9653" s="17">
        <v>43</v>
      </c>
      <c r="O9653" s="18">
        <v>1187</v>
      </c>
      <c r="P9653" s="18">
        <v>1205</v>
      </c>
      <c r="Q9653" t="s" s="16">
        <f>HYPERLINK("http://secrets.rutgers.edu:8080/data/asl-ftp/asllvd/demos/verify_start_end_handshape_annotations//test_auto_move//signs_mov/3826.mov","MOV")</f>
        <v>21</v>
      </c>
      <c r="R9653" t="s" s="16">
        <f>HYPERLINK("http://secrets.rutgers.edu:8080/data/asl-ftp/asllvd/demos/verify_start_end_handshape_annotations//test_auto_move//signs_mov_separ_signers/Liz_3826.mov","MOV")</f>
        <v>21</v>
      </c>
    </row>
    <row r="9654" s="2" customFormat="1" ht="13.5" customHeight="1">
      <c r="B9654" s="13"/>
      <c r="C9654" t="s" s="9">
        <v>30</v>
      </c>
      <c r="D9654" t="s" s="8">
        <v>3597</v>
      </c>
      <c r="E9654" t="s" s="9">
        <v>3599</v>
      </c>
      <c r="F9654" t="s" s="10">
        <v>255</v>
      </c>
      <c r="G9654" s="14"/>
      <c r="H9654" t="s" s="10">
        <v>255</v>
      </c>
      <c r="I9654" s="14"/>
      <c r="J9654" t="s" s="11">
        <v>20</v>
      </c>
      <c r="K9654" s="15"/>
      <c r="L9654" t="s" s="16">
        <f>HYPERLINK("http://csr.bu.edu/ftp/asl/asllvd/demos/verify_start_end_handshape_annotations//test_auto_move//signs_mov_separ_signers/Brady_3826.mov","MOV")</f>
        <v>21</v>
      </c>
      <c r="M9654" t="s" s="10">
        <v>60</v>
      </c>
      <c r="N9654" s="17">
        <v>31</v>
      </c>
      <c r="O9654" s="18">
        <v>1965</v>
      </c>
      <c r="P9654" s="18">
        <v>1984</v>
      </c>
      <c r="Q9654" s="15"/>
      <c r="R9654" t="s" s="16">
        <f>HYPERLINK("http://secrets.rutgers.edu:8080/data/asl-ftp/asllvd/demos/verify_start_end_handshape_annotations//test_auto_move//signs_mov_separ_signers/Brady_3826.mov","MOV")</f>
        <v>21</v>
      </c>
    </row>
    <row r="9655" s="2" customFormat="1" ht="13.5" customHeight="1">
      <c r="B9655" t="s" s="8">
        <v>3600</v>
      </c>
      <c r="C9655" t="s" s="9">
        <v>14</v>
      </c>
      <c r="D9655" t="s" s="8">
        <v>14</v>
      </c>
      <c r="E9655" t="s" s="9">
        <v>14</v>
      </c>
      <c r="F9655" t="s" s="10">
        <v>14</v>
      </c>
      <c r="G9655" t="s" s="11">
        <v>14</v>
      </c>
      <c r="H9655" t="s" s="10">
        <v>14</v>
      </c>
      <c r="I9655" t="s" s="11">
        <v>14</v>
      </c>
      <c r="J9655" t="s" s="11">
        <v>14</v>
      </c>
      <c r="K9655" t="s" s="12">
        <v>14</v>
      </c>
      <c r="L9655" t="s" s="12">
        <v>14</v>
      </c>
      <c r="M9655" t="s" s="10">
        <v>14</v>
      </c>
      <c r="N9655" t="s" s="11">
        <v>14</v>
      </c>
      <c r="O9655" t="s" s="8">
        <v>14</v>
      </c>
      <c r="P9655" t="s" s="8">
        <v>14</v>
      </c>
      <c r="Q9655" t="s" s="12">
        <v>14</v>
      </c>
      <c r="R9655" t="s" s="12">
        <v>14</v>
      </c>
    </row>
    <row r="9656" s="2" customFormat="1" ht="13.5" customHeight="1">
      <c r="B9656" s="13"/>
      <c r="C9656" t="s" s="9">
        <v>16</v>
      </c>
      <c r="D9656" t="s" s="8">
        <v>3600</v>
      </c>
      <c r="E9656" t="s" s="9">
        <v>3600</v>
      </c>
      <c r="F9656" s="19">
        <v>10</v>
      </c>
      <c r="G9656" s="17">
        <v>10</v>
      </c>
      <c r="H9656" s="19">
        <v>10</v>
      </c>
      <c r="I9656" s="17">
        <v>10</v>
      </c>
      <c r="J9656" t="s" s="11">
        <v>20</v>
      </c>
      <c r="K9656" s="15"/>
      <c r="L9656" t="s" s="16">
        <f>HYPERLINK("http://csr.bu.edu/ftp/asl/asllvd/demos/verify_start_end_handshape_annotations//test_auto_move//signs_mov_separ_signers/Liz_2888.mov","MOV")</f>
        <v>21</v>
      </c>
      <c r="M9656" t="s" s="10">
        <v>59</v>
      </c>
      <c r="N9656" s="17">
        <v>43</v>
      </c>
      <c r="O9656" s="18">
        <v>1400</v>
      </c>
      <c r="P9656" s="18">
        <v>1440</v>
      </c>
      <c r="Q9656" s="15"/>
      <c r="R9656" t="s" s="16">
        <f>HYPERLINK("http://secrets.rutgers.edu:8080/data/asl-ftp/asllvd/demos/verify_start_end_handshape_annotations//test_auto_move//signs_mov_separ_signers/Liz_2888.mov","MOV")</f>
        <v>21</v>
      </c>
    </row>
    <row r="9657" s="2" customFormat="1" ht="13.5" customHeight="1">
      <c r="B9657" s="13"/>
      <c r="C9657" t="s" s="9">
        <v>30</v>
      </c>
      <c r="D9657" t="s" s="8">
        <v>3600</v>
      </c>
      <c r="E9657" t="s" s="9">
        <v>3600</v>
      </c>
      <c r="F9657" t="s" s="10">
        <v>63</v>
      </c>
      <c r="G9657" t="s" s="11">
        <v>63</v>
      </c>
      <c r="H9657" t="s" s="10">
        <v>63</v>
      </c>
      <c r="I9657" t="s" s="11">
        <v>63</v>
      </c>
      <c r="J9657" t="s" s="11">
        <v>20</v>
      </c>
      <c r="K9657" t="s" s="16">
        <f>HYPERLINK("http://csr.bu.edu/ftp/asl/asllvd/demos/verify_start_end_handshape_annotations//test_auto_move//signs_mov/2888.mov","MOV")</f>
        <v>21</v>
      </c>
      <c r="L9657" t="s" s="16">
        <f>HYPERLINK("http://csr.bu.edu/ftp/asl/asllvd/demos/verify_start_end_handshape_annotations//test_auto_move//signs_mov_separ_signers/Brady_2888.mov","MOV")</f>
        <v>21</v>
      </c>
      <c r="M9657" t="s" s="10">
        <v>60</v>
      </c>
      <c r="N9657" s="17">
        <v>31</v>
      </c>
      <c r="O9657" s="18">
        <v>2233</v>
      </c>
      <c r="P9657" s="18">
        <v>2256</v>
      </c>
      <c r="Q9657" t="s" s="16">
        <f>HYPERLINK("http://secrets.rutgers.edu:8080/data/asl-ftp/asllvd/demos/verify_start_end_handshape_annotations//test_auto_move//signs_mov/2888.mov","MOV")</f>
        <v>21</v>
      </c>
      <c r="R9657" t="s" s="16">
        <f>HYPERLINK("http://secrets.rutgers.edu:8080/data/asl-ftp/asllvd/demos/verify_start_end_handshape_annotations//test_auto_move//signs_mov_separ_signers/Brady_2888.mov","MOV")</f>
        <v>21</v>
      </c>
    </row>
    <row r="9658" s="2" customFormat="1" ht="13.5" customHeight="1">
      <c r="B9658" s="13"/>
      <c r="C9658" t="s" s="9">
        <v>41</v>
      </c>
      <c r="D9658" t="s" s="8">
        <v>3600</v>
      </c>
      <c r="E9658" t="s" s="9">
        <v>3600</v>
      </c>
      <c r="F9658" t="s" s="10">
        <v>63</v>
      </c>
      <c r="G9658" t="s" s="11">
        <v>63</v>
      </c>
      <c r="H9658" t="s" s="10">
        <v>63</v>
      </c>
      <c r="I9658" t="s" s="11">
        <v>63</v>
      </c>
      <c r="J9658" t="s" s="11">
        <v>20</v>
      </c>
      <c r="K9658" s="15"/>
      <c r="L9658" t="s" s="16">
        <f>HYPERLINK("http://csr.bu.edu/ftp/asl/asllvd/demos/verify_start_end_handshape_annotations//test_auto_move//signs_mov_separ_signers/Lana_2888.mov","MOV")</f>
        <v>21</v>
      </c>
      <c r="M9658" t="s" s="10">
        <v>245</v>
      </c>
      <c r="N9658" s="17">
        <v>22</v>
      </c>
      <c r="O9658" s="18">
        <v>3141</v>
      </c>
      <c r="P9658" s="18">
        <v>3185</v>
      </c>
      <c r="Q9658" s="15"/>
      <c r="R9658" t="s" s="16">
        <f>HYPERLINK("http://secrets.rutgers.edu:8080/data/asl-ftp/asllvd/demos/verify_start_end_handshape_annotations//test_auto_move//signs_mov_separ_signers/Lana_2888.mov","MOV")</f>
        <v>21</v>
      </c>
    </row>
    <row r="9659" s="2" customFormat="1" ht="13.5" customHeight="1">
      <c r="B9659" t="s" s="8">
        <v>3601</v>
      </c>
      <c r="C9659" t="s" s="9">
        <v>14</v>
      </c>
      <c r="D9659" t="s" s="8">
        <v>14</v>
      </c>
      <c r="E9659" t="s" s="9">
        <v>14</v>
      </c>
      <c r="F9659" t="s" s="10">
        <v>14</v>
      </c>
      <c r="G9659" t="s" s="11">
        <v>14</v>
      </c>
      <c r="H9659" t="s" s="10">
        <v>14</v>
      </c>
      <c r="I9659" t="s" s="11">
        <v>14</v>
      </c>
      <c r="J9659" t="s" s="11">
        <v>14</v>
      </c>
      <c r="K9659" t="s" s="12">
        <v>14</v>
      </c>
      <c r="L9659" t="s" s="12">
        <v>14</v>
      </c>
      <c r="M9659" t="s" s="10">
        <v>14</v>
      </c>
      <c r="N9659" t="s" s="11">
        <v>14</v>
      </c>
      <c r="O9659" t="s" s="8">
        <v>14</v>
      </c>
      <c r="P9659" t="s" s="8">
        <v>14</v>
      </c>
      <c r="Q9659" t="s" s="12">
        <v>14</v>
      </c>
      <c r="R9659" t="s" s="12">
        <v>14</v>
      </c>
    </row>
    <row r="9660" s="2" customFormat="1" ht="13.5" customHeight="1">
      <c r="B9660" s="13"/>
      <c r="C9660" t="s" s="9">
        <v>16</v>
      </c>
      <c r="D9660" t="s" s="8">
        <v>3601</v>
      </c>
      <c r="E9660" t="s" s="9">
        <v>3601</v>
      </c>
      <c r="F9660" t="s" s="10">
        <v>63</v>
      </c>
      <c r="G9660" t="s" s="11">
        <v>63</v>
      </c>
      <c r="H9660" t="s" s="10">
        <v>63</v>
      </c>
      <c r="I9660" t="s" s="11">
        <v>63</v>
      </c>
      <c r="J9660" t="s" s="11">
        <v>20</v>
      </c>
      <c r="K9660" s="15"/>
      <c r="L9660" t="s" s="16">
        <f>HYPERLINK("http://csr.bu.edu/ftp/asl/asllvd/demos/verify_start_end_handshape_annotations//test_auto_move//signs_mov_separ_signers/Liz_15352.mov","MOV")</f>
        <v>21</v>
      </c>
      <c r="M9660" t="s" s="10">
        <v>22</v>
      </c>
      <c r="N9660" s="17">
        <v>10</v>
      </c>
      <c r="O9660" s="18">
        <v>895</v>
      </c>
      <c r="P9660" s="18">
        <v>935</v>
      </c>
      <c r="Q9660" s="15"/>
      <c r="R9660" t="s" s="16">
        <f>HYPERLINK("http://secrets.rutgers.edu:8080/data/asl-ftp/asllvd/demos/verify_start_end_handshape_annotations//test_auto_move//signs_mov_separ_signers/Liz_15352.mov","MOV")</f>
        <v>21</v>
      </c>
    </row>
    <row r="9661" s="2" customFormat="1" ht="13.5" customHeight="1">
      <c r="B9661" s="13"/>
      <c r="C9661" t="s" s="9">
        <v>16</v>
      </c>
      <c r="D9661" t="s" s="8">
        <v>3601</v>
      </c>
      <c r="E9661" t="s" s="9">
        <v>3601</v>
      </c>
      <c r="F9661" s="19">
        <v>10</v>
      </c>
      <c r="G9661" s="17">
        <v>10</v>
      </c>
      <c r="H9661" s="19">
        <v>10</v>
      </c>
      <c r="I9661" s="17">
        <v>10</v>
      </c>
      <c r="J9661" t="s" s="11">
        <v>20</v>
      </c>
      <c r="K9661" s="15"/>
      <c r="L9661" t="s" s="16">
        <f>HYPERLINK("http://csr.bu.edu/ftp/asl/asllvd/demos/verify_start_end_handshape_annotations//test_auto_move//signs_mov_separ_signers/Liz_15354.mov","MOV")</f>
        <v>21</v>
      </c>
      <c r="M9661" t="s" s="10">
        <v>22</v>
      </c>
      <c r="N9661" s="17">
        <v>41</v>
      </c>
      <c r="O9661" s="18">
        <v>1081</v>
      </c>
      <c r="P9661" s="18">
        <v>1110</v>
      </c>
      <c r="Q9661" s="15"/>
      <c r="R9661" t="s" s="16">
        <f>HYPERLINK("http://secrets.rutgers.edu:8080/data/asl-ftp/asllvd/demos/verify_start_end_handshape_annotations//test_auto_move//signs_mov_separ_signers/Liz_15354.mov","MOV")</f>
        <v>21</v>
      </c>
    </row>
    <row r="9662" s="2" customFormat="1" ht="13.5" customHeight="1">
      <c r="B9662" s="13"/>
      <c r="C9662" t="s" s="9">
        <v>30</v>
      </c>
      <c r="D9662" t="s" s="8">
        <v>3601</v>
      </c>
      <c r="E9662" t="s" s="9">
        <v>3601</v>
      </c>
      <c r="F9662" s="19">
        <v>10</v>
      </c>
      <c r="G9662" s="17">
        <v>10</v>
      </c>
      <c r="H9662" s="19">
        <v>10</v>
      </c>
      <c r="I9662" s="17">
        <v>10</v>
      </c>
      <c r="J9662" t="s" s="11">
        <v>20</v>
      </c>
      <c r="K9662" t="s" s="16">
        <f>HYPERLINK("http://csr.bu.edu/ftp/asl/asllvd/demos/verify_start_end_handshape_annotations//test_auto_move//signs_mov/15352_15354_merged.mov","MOV")</f>
        <v>21</v>
      </c>
      <c r="L9662" t="s" s="16">
        <f>HYPERLINK("http://csr.bu.edu/ftp/asl/asllvd/demos/verify_start_end_handshape_annotations//test_auto_move//signs_mov_separ_signers/Brady_15352.mov","MOV")</f>
        <v>21</v>
      </c>
      <c r="M9662" t="s" s="10">
        <v>31</v>
      </c>
      <c r="N9662" s="17">
        <v>19</v>
      </c>
      <c r="O9662" s="18">
        <v>9501</v>
      </c>
      <c r="P9662" s="18">
        <v>9535</v>
      </c>
      <c r="Q9662" t="s" s="16">
        <f>HYPERLINK("http://secrets.rutgers.edu:8080/data/asl-ftp/asllvd/demos/verify_start_end_handshape_annotations//test_auto_move//signs_mov/15352_15354_merged.mov","MOV")</f>
        <v>21</v>
      </c>
      <c r="R9662" t="s" s="16">
        <f>HYPERLINK("http://secrets.rutgers.edu:8080/data/asl-ftp/asllvd/demos/verify_start_end_handshape_annotations//test_auto_move//signs_mov_separ_signers/Brady_15352.mov","MOV")</f>
        <v>21</v>
      </c>
    </row>
    <row r="9663" s="2" customFormat="1" ht="13.5" customHeight="1">
      <c r="B9663" s="13"/>
      <c r="C9663" t="s" s="9">
        <v>30</v>
      </c>
      <c r="D9663" t="s" s="8">
        <v>3601</v>
      </c>
      <c r="E9663" t="s" s="9">
        <v>3601</v>
      </c>
      <c r="F9663" s="19">
        <v>10</v>
      </c>
      <c r="G9663" s="17">
        <v>10</v>
      </c>
      <c r="H9663" s="19">
        <v>10</v>
      </c>
      <c r="I9663" s="17">
        <v>10</v>
      </c>
      <c r="J9663" t="s" s="11">
        <v>20</v>
      </c>
      <c r="K9663" s="15"/>
      <c r="L9663" t="s" s="16">
        <f>HYPERLINK("http://csr.bu.edu/ftp/asl/asllvd/demos/verify_start_end_handshape_annotations//test_auto_move//signs_mov_separ_signers/Brady_15354.mov","MOV")</f>
        <v>21</v>
      </c>
      <c r="M9663" t="s" s="10">
        <v>31</v>
      </c>
      <c r="N9663" s="17">
        <v>21</v>
      </c>
      <c r="O9663" s="18">
        <v>169</v>
      </c>
      <c r="P9663" s="18">
        <v>200</v>
      </c>
      <c r="Q9663" s="15"/>
      <c r="R9663" t="s" s="16">
        <f>HYPERLINK("http://secrets.rutgers.edu:8080/data/asl-ftp/asllvd/demos/verify_start_end_handshape_annotations//test_auto_move//signs_mov_separ_signers/Brady_15354.mov","MOV")</f>
        <v>21</v>
      </c>
    </row>
    <row r="9664" s="2" customFormat="1" ht="13.5" customHeight="1">
      <c r="B9664" s="13"/>
      <c r="C9664" t="s" s="9">
        <v>43</v>
      </c>
      <c r="D9664" t="s" s="8">
        <v>3601</v>
      </c>
      <c r="E9664" t="s" s="9">
        <v>3601</v>
      </c>
      <c r="F9664" s="19">
        <v>10</v>
      </c>
      <c r="G9664" s="17">
        <v>10</v>
      </c>
      <c r="H9664" s="19">
        <v>10</v>
      </c>
      <c r="I9664" s="17">
        <v>10</v>
      </c>
      <c r="J9664" t="s" s="11">
        <v>20</v>
      </c>
      <c r="K9664" s="15"/>
      <c r="L9664" t="s" s="16">
        <f>HYPERLINK("http://csr.bu.edu/ftp/asl/asllvd/demos/verify_start_end_handshape_annotations//test_auto_move//signs_mov_separ_signers/Dana_15352.mov","MOV")</f>
        <v>21</v>
      </c>
      <c r="M9664" t="s" s="10">
        <v>44</v>
      </c>
      <c r="N9664" s="17">
        <v>22</v>
      </c>
      <c r="O9664" s="18">
        <v>1550</v>
      </c>
      <c r="P9664" s="18">
        <v>1577</v>
      </c>
      <c r="Q9664" s="15"/>
      <c r="R9664" t="s" s="16">
        <f>HYPERLINK("http://secrets.rutgers.edu:8080/data/asl-ftp/asllvd/demos/verify_start_end_handshape_annotations//test_auto_move//signs_mov_separ_signers/Dana_15352.mov","MOV")</f>
        <v>21</v>
      </c>
    </row>
    <row r="9665" s="2" customFormat="1" ht="13.5" customHeight="1">
      <c r="B9665" t="s" s="8">
        <v>3602</v>
      </c>
      <c r="C9665" t="s" s="9">
        <v>14</v>
      </c>
      <c r="D9665" t="s" s="8">
        <v>14</v>
      </c>
      <c r="E9665" t="s" s="9">
        <v>14</v>
      </c>
      <c r="F9665" t="s" s="10">
        <v>14</v>
      </c>
      <c r="G9665" t="s" s="11">
        <v>14</v>
      </c>
      <c r="H9665" t="s" s="10">
        <v>14</v>
      </c>
      <c r="I9665" t="s" s="11">
        <v>14</v>
      </c>
      <c r="J9665" t="s" s="11">
        <v>14</v>
      </c>
      <c r="K9665" t="s" s="12">
        <v>14</v>
      </c>
      <c r="L9665" t="s" s="12">
        <v>14</v>
      </c>
      <c r="M9665" t="s" s="10">
        <v>14</v>
      </c>
      <c r="N9665" t="s" s="11">
        <v>14</v>
      </c>
      <c r="O9665" t="s" s="8">
        <v>14</v>
      </c>
      <c r="P9665" t="s" s="8">
        <v>14</v>
      </c>
      <c r="Q9665" t="s" s="12">
        <v>14</v>
      </c>
      <c r="R9665" t="s" s="12">
        <v>14</v>
      </c>
    </row>
    <row r="9666" s="2" customFormat="1" ht="13.5" customHeight="1">
      <c r="B9666" s="13"/>
      <c r="C9666" t="s" s="9">
        <v>16</v>
      </c>
      <c r="D9666" t="s" s="8">
        <v>3602</v>
      </c>
      <c r="E9666" t="s" s="9">
        <v>3602</v>
      </c>
      <c r="F9666" s="19">
        <v>10</v>
      </c>
      <c r="G9666" t="s" s="11">
        <v>63</v>
      </c>
      <c r="H9666" s="19">
        <v>10</v>
      </c>
      <c r="I9666" t="s" s="11">
        <v>63</v>
      </c>
      <c r="J9666" t="s" s="11">
        <v>20</v>
      </c>
      <c r="K9666" s="15"/>
      <c r="L9666" t="s" s="16">
        <f>HYPERLINK("http://csr.bu.edu/ftp/asl/asllvd/demos/verify_start_end_handshape_annotations//test_auto_move//signs_mov_separ_signers/Liz_15355.mov","MOV")</f>
        <v>21</v>
      </c>
      <c r="M9666" t="s" s="10">
        <v>22</v>
      </c>
      <c r="N9666" s="17">
        <v>28</v>
      </c>
      <c r="O9666" s="18">
        <v>921</v>
      </c>
      <c r="P9666" s="18">
        <v>966</v>
      </c>
      <c r="Q9666" s="15"/>
      <c r="R9666" t="s" s="16">
        <f>HYPERLINK("http://secrets.rutgers.edu:8080/data/asl-ftp/asllvd/demos/verify_start_end_handshape_annotations//test_auto_move//signs_mov_separ_signers/Liz_15355.mov","MOV")</f>
        <v>21</v>
      </c>
    </row>
    <row r="9667" s="2" customFormat="1" ht="13.5" customHeight="1">
      <c r="B9667" s="13"/>
      <c r="C9667" t="s" s="9">
        <v>27</v>
      </c>
      <c r="D9667" t="s" s="8">
        <v>3602</v>
      </c>
      <c r="E9667" t="s" s="9">
        <v>3602</v>
      </c>
      <c r="F9667" s="19">
        <v>10</v>
      </c>
      <c r="G9667" s="17">
        <v>10</v>
      </c>
      <c r="H9667" s="19">
        <v>10</v>
      </c>
      <c r="I9667" s="17">
        <v>10</v>
      </c>
      <c r="J9667" t="s" s="11">
        <v>20</v>
      </c>
      <c r="K9667" t="s" s="16">
        <f>HYPERLINK("http://csr.bu.edu/ftp/asl/asllvd/demos/verify_start_end_handshape_annotations//test_auto_move//signs_mov/15355.mov","MOV")</f>
        <v>21</v>
      </c>
      <c r="L9667" t="s" s="16">
        <f>HYPERLINK("http://csr.bu.edu/ftp/asl/asllvd/demos/verify_start_end_handshape_annotations//test_auto_move//signs_mov_separ_signers/Naomi_15355.mov","MOV")</f>
        <v>21</v>
      </c>
      <c r="M9667" t="s" s="10">
        <v>29</v>
      </c>
      <c r="N9667" s="17">
        <v>18</v>
      </c>
      <c r="O9667" s="18">
        <v>2273</v>
      </c>
      <c r="P9667" s="18">
        <v>2303</v>
      </c>
      <c r="Q9667" t="s" s="16">
        <f>HYPERLINK("http://secrets.rutgers.edu:8080/data/asl-ftp/asllvd/demos/verify_start_end_handshape_annotations//test_auto_move//signs_mov/15355.mov","MOV")</f>
        <v>21</v>
      </c>
      <c r="R9667" t="s" s="16">
        <f>HYPERLINK("http://secrets.rutgers.edu:8080/data/asl-ftp/asllvd/demos/verify_start_end_handshape_annotations//test_auto_move//signs_mov_separ_signers/Naomi_15355.mov","MOV")</f>
        <v>21</v>
      </c>
    </row>
    <row r="9668" s="2" customFormat="1" ht="13.5" customHeight="1">
      <c r="B9668" s="13"/>
      <c r="C9668" t="s" s="9">
        <v>30</v>
      </c>
      <c r="D9668" t="s" s="8">
        <v>3602</v>
      </c>
      <c r="E9668" t="s" s="9">
        <v>3602</v>
      </c>
      <c r="F9668" s="19">
        <v>10</v>
      </c>
      <c r="G9668" s="17">
        <v>10</v>
      </c>
      <c r="H9668" s="19">
        <v>10</v>
      </c>
      <c r="I9668" s="17">
        <v>10</v>
      </c>
      <c r="J9668" t="s" s="11">
        <v>20</v>
      </c>
      <c r="K9668" s="15"/>
      <c r="L9668" t="s" s="16">
        <f>HYPERLINK("http://csr.bu.edu/ftp/asl/asllvd/demos/verify_start_end_handshape_annotations//test_auto_move//signs_mov_separ_signers/Brady_15355.mov","MOV")</f>
        <v>21</v>
      </c>
      <c r="M9668" t="s" s="10">
        <v>31</v>
      </c>
      <c r="N9668" s="17">
        <v>15</v>
      </c>
      <c r="O9668" s="18">
        <v>2549</v>
      </c>
      <c r="P9668" s="18">
        <v>2572</v>
      </c>
      <c r="Q9668" s="15"/>
      <c r="R9668" t="s" s="16">
        <f>HYPERLINK("http://secrets.rutgers.edu:8080/data/asl-ftp/asllvd/demos/verify_start_end_handshape_annotations//test_auto_move//signs_mov_separ_signers/Brady_15355.mov","MOV")</f>
        <v>21</v>
      </c>
    </row>
    <row r="9669" s="2" customFormat="1" ht="13.5" customHeight="1">
      <c r="B9669" t="s" s="8">
        <v>3603</v>
      </c>
      <c r="C9669" t="s" s="9">
        <v>14</v>
      </c>
      <c r="D9669" t="s" s="8">
        <v>14</v>
      </c>
      <c r="E9669" t="s" s="9">
        <v>14</v>
      </c>
      <c r="F9669" t="s" s="10">
        <v>14</v>
      </c>
      <c r="G9669" t="s" s="11">
        <v>14</v>
      </c>
      <c r="H9669" t="s" s="10">
        <v>14</v>
      </c>
      <c r="I9669" t="s" s="11">
        <v>14</v>
      </c>
      <c r="J9669" t="s" s="11">
        <v>14</v>
      </c>
      <c r="K9669" t="s" s="12">
        <v>14</v>
      </c>
      <c r="L9669" t="s" s="12">
        <v>14</v>
      </c>
      <c r="M9669" t="s" s="10">
        <v>14</v>
      </c>
      <c r="N9669" t="s" s="11">
        <v>14</v>
      </c>
      <c r="O9669" t="s" s="8">
        <v>14</v>
      </c>
      <c r="P9669" t="s" s="8">
        <v>14</v>
      </c>
      <c r="Q9669" t="s" s="12">
        <v>14</v>
      </c>
      <c r="R9669" t="s" s="12">
        <v>14</v>
      </c>
    </row>
    <row r="9670" s="2" customFormat="1" ht="13.5" customHeight="1">
      <c r="B9670" s="13"/>
      <c r="C9670" t="s" s="9">
        <v>16</v>
      </c>
      <c r="D9670" t="s" s="8">
        <v>3603</v>
      </c>
      <c r="E9670" t="s" s="9">
        <v>3603</v>
      </c>
      <c r="F9670" s="19">
        <v>10</v>
      </c>
      <c r="G9670" t="s" s="11">
        <v>63</v>
      </c>
      <c r="H9670" s="19">
        <v>10</v>
      </c>
      <c r="I9670" t="s" s="11">
        <v>63</v>
      </c>
      <c r="J9670" t="s" s="11">
        <v>20</v>
      </c>
      <c r="K9670" s="15"/>
      <c r="L9670" t="s" s="16">
        <f>HYPERLINK("http://csr.bu.edu/ftp/asl/asllvd/demos/verify_start_end_handshape_annotations//test_auto_move//signs_mov_separ_signers/Liz_15359.mov","MOV")</f>
        <v>21</v>
      </c>
      <c r="M9670" t="s" s="10">
        <v>22</v>
      </c>
      <c r="N9670" s="17">
        <v>26</v>
      </c>
      <c r="O9670" s="18">
        <v>1905</v>
      </c>
      <c r="P9670" s="18">
        <v>1965</v>
      </c>
      <c r="Q9670" s="15"/>
      <c r="R9670" t="s" s="16">
        <f>HYPERLINK("http://secrets.rutgers.edu:8080/data/asl-ftp/asllvd/demos/verify_start_end_handshape_annotations//test_auto_move//signs_mov_separ_signers/Liz_15359.mov","MOV")</f>
        <v>21</v>
      </c>
    </row>
    <row r="9671" s="2" customFormat="1" ht="13.5" customHeight="1">
      <c r="B9671" s="13"/>
      <c r="C9671" t="s" s="9">
        <v>16</v>
      </c>
      <c r="D9671" t="s" s="8">
        <v>3603</v>
      </c>
      <c r="E9671" t="s" s="9">
        <v>3603</v>
      </c>
      <c r="F9671" s="19">
        <v>10</v>
      </c>
      <c r="G9671" s="17">
        <v>10</v>
      </c>
      <c r="H9671" s="19">
        <v>10</v>
      </c>
      <c r="I9671" s="17">
        <v>10</v>
      </c>
      <c r="J9671" t="s" s="11">
        <v>20</v>
      </c>
      <c r="K9671" s="15"/>
      <c r="L9671" t="s" s="16">
        <f>HYPERLINK("http://csr.bu.edu/ftp/asl/asllvd/demos/verify_start_end_handshape_annotations//test_auto_move//signs_mov_separ_signers/Liz_15360.mov","MOV")</f>
        <v>21</v>
      </c>
      <c r="M9671" t="s" s="10">
        <v>22</v>
      </c>
      <c r="N9671" s="17">
        <v>38</v>
      </c>
      <c r="O9671" s="18">
        <v>1161</v>
      </c>
      <c r="P9671" s="18">
        <v>1185</v>
      </c>
      <c r="Q9671" s="15"/>
      <c r="R9671" t="s" s="16">
        <f>HYPERLINK("http://secrets.rutgers.edu:8080/data/asl-ftp/asllvd/demos/verify_start_end_handshape_annotations//test_auto_move//signs_mov_separ_signers/Liz_15360.mov","MOV")</f>
        <v>21</v>
      </c>
    </row>
    <row r="9672" s="2" customFormat="1" ht="13.5" customHeight="1">
      <c r="B9672" s="13"/>
      <c r="C9672" t="s" s="9">
        <v>23</v>
      </c>
      <c r="D9672" t="s" s="8">
        <v>3603</v>
      </c>
      <c r="E9672" t="s" s="9">
        <v>3603</v>
      </c>
      <c r="F9672" s="19">
        <v>10</v>
      </c>
      <c r="G9672" s="17">
        <v>10</v>
      </c>
      <c r="H9672" s="19">
        <v>10</v>
      </c>
      <c r="I9672" s="17">
        <v>10</v>
      </c>
      <c r="J9672" t="s" s="11">
        <v>20</v>
      </c>
      <c r="K9672" s="15"/>
      <c r="L9672" t="s" s="16">
        <f>HYPERLINK("http://csr.bu.edu/ftp/asl/asllvd/demos/verify_start_end_handshape_annotations//test_auto_move//signs_mov_separ_signers/Tyler_15359.mov","MOV")</f>
        <v>21</v>
      </c>
      <c r="M9672" t="s" s="10">
        <v>26</v>
      </c>
      <c r="N9672" s="17">
        <v>17</v>
      </c>
      <c r="O9672" s="18">
        <v>3185</v>
      </c>
      <c r="P9672" s="18">
        <v>3211</v>
      </c>
      <c r="Q9672" s="15"/>
      <c r="R9672" t="s" s="16">
        <f>HYPERLINK("http://secrets.rutgers.edu:8080/data/asl-ftp/asllvd/demos/verify_start_end_handshape_annotations//test_auto_move//signs_mov_separ_signers/Tyler_15359.mov","MOV")</f>
        <v>21</v>
      </c>
    </row>
    <row r="9673" s="2" customFormat="1" ht="13.5" customHeight="1">
      <c r="B9673" s="13"/>
      <c r="C9673" t="s" s="9">
        <v>23</v>
      </c>
      <c r="D9673" t="s" s="8">
        <v>3603</v>
      </c>
      <c r="E9673" t="s" s="9">
        <v>3603</v>
      </c>
      <c r="F9673" s="19">
        <v>10</v>
      </c>
      <c r="G9673" s="17">
        <v>10</v>
      </c>
      <c r="H9673" s="19">
        <v>10</v>
      </c>
      <c r="I9673" s="17">
        <v>10</v>
      </c>
      <c r="J9673" t="s" s="11">
        <v>20</v>
      </c>
      <c r="K9673" t="s" s="16">
        <f>HYPERLINK("http://csr.bu.edu/ftp/asl/asllvd/demos/verify_start_end_handshape_annotations//test_auto_move//signs_mov/15359_15360_merged.mov","MOV")</f>
        <v>21</v>
      </c>
      <c r="L9673" t="s" s="16">
        <f>HYPERLINK("http://csr.bu.edu/ftp/asl/asllvd/demos/verify_start_end_handshape_annotations//test_auto_move//signs_mov_separ_signers/Tyler_15360.mov","MOV")</f>
        <v>21</v>
      </c>
      <c r="M9673" t="s" s="10">
        <v>26</v>
      </c>
      <c r="N9673" s="17">
        <v>24</v>
      </c>
      <c r="O9673" s="18">
        <v>2370</v>
      </c>
      <c r="P9673" s="18">
        <v>2425</v>
      </c>
      <c r="Q9673" t="s" s="16">
        <f>HYPERLINK("http://secrets.rutgers.edu:8080/data/asl-ftp/asllvd/demos/verify_start_end_handshape_annotations//test_auto_move//signs_mov/15359_15360_merged.mov","MOV")</f>
        <v>21</v>
      </c>
      <c r="R9673" t="s" s="16">
        <f>HYPERLINK("http://secrets.rutgers.edu:8080/data/asl-ftp/asllvd/demos/verify_start_end_handshape_annotations//test_auto_move//signs_mov_separ_signers/Tyler_15360.mov","MOV")</f>
        <v>21</v>
      </c>
    </row>
    <row r="9674" s="2" customFormat="1" ht="13.5" customHeight="1">
      <c r="B9674" s="13"/>
      <c r="C9674" t="s" s="9">
        <v>27</v>
      </c>
      <c r="D9674" t="s" s="8">
        <v>3603</v>
      </c>
      <c r="E9674" t="s" s="9">
        <v>3603</v>
      </c>
      <c r="F9674" s="19">
        <v>10</v>
      </c>
      <c r="G9674" s="17">
        <v>10</v>
      </c>
      <c r="H9674" s="19">
        <v>10</v>
      </c>
      <c r="I9674" s="17">
        <v>10</v>
      </c>
      <c r="J9674" t="s" s="11">
        <v>20</v>
      </c>
      <c r="K9674" s="15"/>
      <c r="L9674" t="s" s="16">
        <f>HYPERLINK("http://csr.bu.edu/ftp/asl/asllvd/demos/verify_start_end_handshape_annotations//test_auto_move//signs_mov_separ_signers/Naomi_15359.mov","MOV")</f>
        <v>21</v>
      </c>
      <c r="M9674" t="s" s="10">
        <v>29</v>
      </c>
      <c r="N9674" s="17">
        <v>17</v>
      </c>
      <c r="O9674" s="18">
        <v>2700</v>
      </c>
      <c r="P9674" s="18">
        <v>2730</v>
      </c>
      <c r="Q9674" s="15"/>
      <c r="R9674" t="s" s="16">
        <f>HYPERLINK("http://secrets.rutgers.edu:8080/data/asl-ftp/asllvd/demos/verify_start_end_handshape_annotations//test_auto_move//signs_mov_separ_signers/Naomi_15359.mov","MOV")</f>
        <v>21</v>
      </c>
    </row>
    <row r="9675" s="2" customFormat="1" ht="13.5" customHeight="1">
      <c r="B9675" s="13"/>
      <c r="C9675" t="s" s="9">
        <v>27</v>
      </c>
      <c r="D9675" t="s" s="8">
        <v>3603</v>
      </c>
      <c r="E9675" t="s" s="9">
        <v>3603</v>
      </c>
      <c r="F9675" s="19">
        <v>10</v>
      </c>
      <c r="G9675" s="17">
        <v>10</v>
      </c>
      <c r="H9675" s="19">
        <v>10</v>
      </c>
      <c r="I9675" s="17">
        <v>10</v>
      </c>
      <c r="J9675" t="s" s="11">
        <v>20</v>
      </c>
      <c r="K9675" s="15"/>
      <c r="L9675" t="s" s="16">
        <f>HYPERLINK("http://csr.bu.edu/ftp/asl/asllvd/demos/verify_start_end_handshape_annotations//test_auto_move//signs_mov_separ_signers/Naomi_15360.mov","MOV")</f>
        <v>21</v>
      </c>
      <c r="M9675" t="s" s="10">
        <v>29</v>
      </c>
      <c r="N9675" s="17">
        <v>25</v>
      </c>
      <c r="O9675" s="18">
        <v>2097</v>
      </c>
      <c r="P9675" s="18">
        <v>2132</v>
      </c>
      <c r="Q9675" s="15"/>
      <c r="R9675" t="s" s="16">
        <f>HYPERLINK("http://secrets.rutgers.edu:8080/data/asl-ftp/asllvd/demos/verify_start_end_handshape_annotations//test_auto_move//signs_mov_separ_signers/Naomi_15360.mov","MOV")</f>
        <v>21</v>
      </c>
    </row>
    <row r="9676" s="2" customFormat="1" ht="13.5" customHeight="1">
      <c r="B9676" s="13"/>
      <c r="C9676" t="s" s="9">
        <v>30</v>
      </c>
      <c r="D9676" t="s" s="8">
        <v>3603</v>
      </c>
      <c r="E9676" t="s" s="9">
        <v>3603</v>
      </c>
      <c r="F9676" s="19">
        <v>10</v>
      </c>
      <c r="G9676" s="17">
        <v>10</v>
      </c>
      <c r="H9676" s="19">
        <v>10</v>
      </c>
      <c r="I9676" s="17">
        <v>10</v>
      </c>
      <c r="J9676" t="s" s="11">
        <v>20</v>
      </c>
      <c r="K9676" s="15"/>
      <c r="L9676" t="s" s="16">
        <f>HYPERLINK("http://csr.bu.edu/ftp/asl/asllvd/demos/verify_start_end_handshape_annotations//test_auto_move//signs_mov_separ_signers/Brady_15359.mov","MOV")</f>
        <v>21</v>
      </c>
      <c r="M9676" t="s" s="10">
        <v>31</v>
      </c>
      <c r="N9676" s="17">
        <v>14</v>
      </c>
      <c r="O9676" s="18">
        <v>3408</v>
      </c>
      <c r="P9676" s="18">
        <v>3437</v>
      </c>
      <c r="Q9676" s="15"/>
      <c r="R9676" t="s" s="16">
        <f>HYPERLINK("http://secrets.rutgers.edu:8080/data/asl-ftp/asllvd/demos/verify_start_end_handshape_annotations//test_auto_move//signs_mov_separ_signers/Brady_15359.mov","MOV")</f>
        <v>21</v>
      </c>
    </row>
    <row r="9677" s="2" customFormat="1" ht="13.5" customHeight="1">
      <c r="B9677" s="13"/>
      <c r="C9677" t="s" s="9">
        <v>30</v>
      </c>
      <c r="D9677" t="s" s="8">
        <v>3603</v>
      </c>
      <c r="E9677" t="s" s="9">
        <v>3603</v>
      </c>
      <c r="F9677" s="19">
        <v>10</v>
      </c>
      <c r="G9677" s="17">
        <v>10</v>
      </c>
      <c r="H9677" s="19">
        <v>10</v>
      </c>
      <c r="I9677" s="17">
        <v>10</v>
      </c>
      <c r="J9677" t="s" s="11">
        <v>20</v>
      </c>
      <c r="K9677" s="15"/>
      <c r="L9677" t="s" s="16">
        <f>HYPERLINK("http://csr.bu.edu/ftp/asl/asllvd/demos/verify_start_end_handshape_annotations//test_auto_move//signs_mov_separ_signers/Brady_15360.mov","MOV")</f>
        <v>21</v>
      </c>
      <c r="M9677" t="s" s="10">
        <v>31</v>
      </c>
      <c r="N9677" s="17">
        <v>18</v>
      </c>
      <c r="O9677" s="18">
        <v>7554</v>
      </c>
      <c r="P9677" s="18">
        <v>7568</v>
      </c>
      <c r="Q9677" s="15"/>
      <c r="R9677" t="s" s="16">
        <f>HYPERLINK("http://secrets.rutgers.edu:8080/data/asl-ftp/asllvd/demos/verify_start_end_handshape_annotations//test_auto_move//signs_mov_separ_signers/Brady_15360.mov","MOV")</f>
        <v>21</v>
      </c>
    </row>
    <row r="9678" s="2" customFormat="1" ht="13.5" customHeight="1">
      <c r="B9678" t="s" s="8">
        <v>3604</v>
      </c>
      <c r="C9678" t="s" s="9">
        <v>14</v>
      </c>
      <c r="D9678" t="s" s="8">
        <v>14</v>
      </c>
      <c r="E9678" t="s" s="9">
        <v>14</v>
      </c>
      <c r="F9678" t="s" s="10">
        <v>14</v>
      </c>
      <c r="G9678" t="s" s="11">
        <v>14</v>
      </c>
      <c r="H9678" t="s" s="10">
        <v>14</v>
      </c>
      <c r="I9678" t="s" s="11">
        <v>14</v>
      </c>
      <c r="J9678" t="s" s="11">
        <v>14</v>
      </c>
      <c r="K9678" t="s" s="12">
        <v>14</v>
      </c>
      <c r="L9678" t="s" s="12">
        <v>14</v>
      </c>
      <c r="M9678" t="s" s="10">
        <v>14</v>
      </c>
      <c r="N9678" t="s" s="11">
        <v>14</v>
      </c>
      <c r="O9678" t="s" s="8">
        <v>14</v>
      </c>
      <c r="P9678" t="s" s="8">
        <v>14</v>
      </c>
      <c r="Q9678" t="s" s="12">
        <v>14</v>
      </c>
      <c r="R9678" t="s" s="12">
        <v>14</v>
      </c>
    </row>
    <row r="9679" s="2" customFormat="1" ht="13.5" customHeight="1">
      <c r="B9679" s="13"/>
      <c r="C9679" t="s" s="9">
        <v>16</v>
      </c>
      <c r="D9679" t="s" s="8">
        <v>3604</v>
      </c>
      <c r="E9679" t="s" s="9">
        <v>3604</v>
      </c>
      <c r="F9679" s="19">
        <v>10</v>
      </c>
      <c r="G9679" s="17">
        <v>10</v>
      </c>
      <c r="H9679" s="19">
        <v>10</v>
      </c>
      <c r="I9679" s="17">
        <v>10</v>
      </c>
      <c r="J9679" t="s" s="11">
        <v>20</v>
      </c>
      <c r="K9679" s="15"/>
      <c r="L9679" t="s" s="16">
        <f>HYPERLINK("http://csr.bu.edu/ftp/asl/asllvd/demos/verify_start_end_handshape_annotations//test_auto_move//signs_mov_separ_signers/Liz_15363.mov","MOV")</f>
        <v>21</v>
      </c>
      <c r="M9679" t="s" s="10">
        <v>84</v>
      </c>
      <c r="N9679" s="17">
        <v>46</v>
      </c>
      <c r="O9679" s="18">
        <v>935</v>
      </c>
      <c r="P9679" s="18">
        <v>972</v>
      </c>
      <c r="Q9679" s="15"/>
      <c r="R9679" t="s" s="16">
        <f>HYPERLINK("http://secrets.rutgers.edu:8080/data/asl-ftp/asllvd/demos/verify_start_end_handshape_annotations//test_auto_move//signs_mov_separ_signers/Liz_15363.mov","MOV")</f>
        <v>21</v>
      </c>
    </row>
    <row r="9680" s="2" customFormat="1" ht="13.5" customHeight="1">
      <c r="B9680" s="13"/>
      <c r="C9680" t="s" s="9">
        <v>23</v>
      </c>
      <c r="D9680" t="s" s="8">
        <v>3604</v>
      </c>
      <c r="E9680" t="s" s="9">
        <v>3604</v>
      </c>
      <c r="F9680" s="19">
        <v>10</v>
      </c>
      <c r="G9680" s="17">
        <v>10</v>
      </c>
      <c r="H9680" s="19">
        <v>10</v>
      </c>
      <c r="I9680" s="17">
        <v>10</v>
      </c>
      <c r="J9680" t="s" s="11">
        <v>20</v>
      </c>
      <c r="K9680" s="15"/>
      <c r="L9680" t="s" s="16">
        <f>HYPERLINK("http://csr.bu.edu/ftp/asl/asllvd/demos/verify_start_end_handshape_annotations//test_auto_move//signs_mov_separ_signers/Tyler_15363.mov","MOV")</f>
        <v>21</v>
      </c>
      <c r="M9680" t="s" s="10">
        <v>26</v>
      </c>
      <c r="N9680" s="17">
        <v>6</v>
      </c>
      <c r="O9680" s="18">
        <v>1075</v>
      </c>
      <c r="P9680" s="18">
        <v>1111</v>
      </c>
      <c r="Q9680" s="15"/>
      <c r="R9680" t="s" s="16">
        <f>HYPERLINK("http://secrets.rutgers.edu:8080/data/asl-ftp/asllvd/demos/verify_start_end_handshape_annotations//test_auto_move//signs_mov_separ_signers/Tyler_15363.mov","MOV")</f>
        <v>21</v>
      </c>
    </row>
    <row r="9681" s="2" customFormat="1" ht="13.5" customHeight="1">
      <c r="B9681" s="13"/>
      <c r="C9681" t="s" s="9">
        <v>23</v>
      </c>
      <c r="D9681" t="s" s="8">
        <v>3604</v>
      </c>
      <c r="E9681" t="s" s="9">
        <v>3604</v>
      </c>
      <c r="F9681" s="19">
        <v>10</v>
      </c>
      <c r="G9681" s="17">
        <v>10</v>
      </c>
      <c r="H9681" s="19">
        <v>10</v>
      </c>
      <c r="I9681" s="17">
        <v>10</v>
      </c>
      <c r="J9681" t="s" s="11">
        <v>20</v>
      </c>
      <c r="K9681" t="s" s="16">
        <f>HYPERLINK("http://csr.bu.edu/ftp/asl/asllvd/demos/verify_start_end_handshape_annotations//test_auto_move//signs_mov/15363_15365_merged.mov","MOV")</f>
        <v>21</v>
      </c>
      <c r="L9681" t="s" s="16">
        <f>HYPERLINK("http://csr.bu.edu/ftp/asl/asllvd/demos/verify_start_end_handshape_annotations//test_auto_move//signs_mov_separ_signers/Tyler_15365.mov","MOV")</f>
        <v>21</v>
      </c>
      <c r="M9681" t="s" s="10">
        <v>92</v>
      </c>
      <c r="N9681" s="17">
        <v>25</v>
      </c>
      <c r="O9681" s="18">
        <v>4455</v>
      </c>
      <c r="P9681" s="18">
        <v>4480</v>
      </c>
      <c r="Q9681" t="s" s="16">
        <f>HYPERLINK("http://secrets.rutgers.edu:8080/data/asl-ftp/asllvd/demos/verify_start_end_handshape_annotations//test_auto_move//signs_mov/15363_15365_merged.mov","MOV")</f>
        <v>21</v>
      </c>
      <c r="R9681" t="s" s="16">
        <f>HYPERLINK("http://secrets.rutgers.edu:8080/data/asl-ftp/asllvd/demos/verify_start_end_handshape_annotations//test_auto_move//signs_mov_separ_signers/Tyler_15365.mov","MOV")</f>
        <v>21</v>
      </c>
    </row>
    <row r="9682" s="2" customFormat="1" ht="13.5" customHeight="1">
      <c r="B9682" s="13"/>
      <c r="C9682" t="s" s="9">
        <v>30</v>
      </c>
      <c r="D9682" t="s" s="8">
        <v>3604</v>
      </c>
      <c r="E9682" t="s" s="9">
        <v>3604</v>
      </c>
      <c r="F9682" s="19">
        <v>10</v>
      </c>
      <c r="G9682" s="17">
        <v>10</v>
      </c>
      <c r="H9682" s="19">
        <v>10</v>
      </c>
      <c r="I9682" s="17">
        <v>10</v>
      </c>
      <c r="J9682" t="s" s="11">
        <v>20</v>
      </c>
      <c r="K9682" s="15"/>
      <c r="L9682" t="s" s="16">
        <f>HYPERLINK("http://csr.bu.edu/ftp/asl/asllvd/demos/verify_start_end_handshape_annotations//test_auto_move//signs_mov_separ_signers/Brady_15363.mov","MOV")</f>
        <v>21</v>
      </c>
      <c r="M9682" t="s" s="10">
        <v>39</v>
      </c>
      <c r="N9682" s="17">
        <v>21</v>
      </c>
      <c r="O9682" s="18">
        <v>317</v>
      </c>
      <c r="P9682" s="18">
        <v>334</v>
      </c>
      <c r="Q9682" s="15"/>
      <c r="R9682" t="s" s="16">
        <f>HYPERLINK("http://secrets.rutgers.edu:8080/data/asl-ftp/asllvd/demos/verify_start_end_handshape_annotations//test_auto_move//signs_mov_separ_signers/Brady_15363.mov","MOV")</f>
        <v>21</v>
      </c>
    </row>
    <row r="9683" s="2" customFormat="1" ht="13.5" customHeight="1">
      <c r="B9683" s="13"/>
      <c r="C9683" t="s" s="9">
        <v>41</v>
      </c>
      <c r="D9683" t="s" s="8">
        <v>3604</v>
      </c>
      <c r="E9683" t="s" s="9">
        <v>3604</v>
      </c>
      <c r="F9683" s="19">
        <v>10</v>
      </c>
      <c r="G9683" s="17">
        <v>10</v>
      </c>
      <c r="H9683" s="19">
        <v>10</v>
      </c>
      <c r="I9683" s="17">
        <v>10</v>
      </c>
      <c r="J9683" t="s" s="11">
        <v>20</v>
      </c>
      <c r="K9683" s="15"/>
      <c r="L9683" t="s" s="16">
        <f>HYPERLINK("http://csr.bu.edu/ftp/asl/asllvd/demos/verify_start_end_handshape_annotations//test_auto_move//signs_mov_separ_signers/Lana_15363.mov","MOV")</f>
        <v>21</v>
      </c>
      <c r="M9683" t="s" s="10">
        <v>42</v>
      </c>
      <c r="N9683" s="17">
        <v>11</v>
      </c>
      <c r="O9683" s="18">
        <v>645</v>
      </c>
      <c r="P9683" s="18">
        <v>676</v>
      </c>
      <c r="Q9683" s="15"/>
      <c r="R9683" t="s" s="16">
        <f>HYPERLINK("http://secrets.rutgers.edu:8080/data/asl-ftp/asllvd/demos/verify_start_end_handshape_annotations//test_auto_move//signs_mov_separ_signers/Lana_15363.mov","MOV")</f>
        <v>21</v>
      </c>
    </row>
    <row r="9684" s="2" customFormat="1" ht="13.5" customHeight="1">
      <c r="B9684" t="s" s="8">
        <v>52</v>
      </c>
      <c r="C9684" t="s" s="9">
        <v>53</v>
      </c>
      <c r="D9684" t="s" s="8">
        <v>53</v>
      </c>
      <c r="E9684" t="s" s="9">
        <v>53</v>
      </c>
      <c r="F9684" t="s" s="10">
        <v>53</v>
      </c>
      <c r="G9684" t="s" s="11">
        <v>53</v>
      </c>
      <c r="H9684" t="s" s="10">
        <v>53</v>
      </c>
      <c r="I9684" t="s" s="11">
        <v>53</v>
      </c>
      <c r="J9684" t="s" s="11">
        <v>53</v>
      </c>
      <c r="K9684" t="s" s="12">
        <v>53</v>
      </c>
      <c r="L9684" t="s" s="12">
        <v>53</v>
      </c>
      <c r="M9684" t="s" s="10">
        <v>53</v>
      </c>
      <c r="N9684" t="s" s="11">
        <v>53</v>
      </c>
      <c r="O9684" t="s" s="8">
        <v>53</v>
      </c>
      <c r="P9684" t="s" s="8">
        <v>53</v>
      </c>
      <c r="Q9684" t="s" s="12">
        <v>53</v>
      </c>
      <c r="R9684" t="s" s="12">
        <v>53</v>
      </c>
    </row>
    <row r="9685" s="2" customFormat="1" ht="13.5" customHeight="1">
      <c r="B9685" s="13"/>
      <c r="C9685" t="s" s="9">
        <v>27</v>
      </c>
      <c r="D9685" t="s" s="8">
        <v>3604</v>
      </c>
      <c r="E9685" t="s" s="9">
        <v>3605</v>
      </c>
      <c r="F9685" s="19">
        <v>10</v>
      </c>
      <c r="G9685" s="17">
        <v>10</v>
      </c>
      <c r="H9685" s="19">
        <v>10</v>
      </c>
      <c r="I9685" s="17">
        <v>10</v>
      </c>
      <c r="J9685" t="s" s="11">
        <v>20</v>
      </c>
      <c r="K9685" t="s" s="16">
        <f>HYPERLINK("http://csr.bu.edu/ftp/asl/asllvd/demos/verify_start_end_handshape_annotations//test_auto_move//signs_mov/15387.mov","MOV")</f>
        <v>21</v>
      </c>
      <c r="L9685" t="s" s="16">
        <f>HYPERLINK("http://csr.bu.edu/ftp/asl/asllvd/demos/verify_start_end_handshape_annotations//test_auto_move//signs_mov_separ_signers/Naomi_15387.mov","MOV")</f>
        <v>21</v>
      </c>
      <c r="M9685" t="s" s="10">
        <v>86</v>
      </c>
      <c r="N9685" s="17">
        <v>46</v>
      </c>
      <c r="O9685" s="18">
        <v>525</v>
      </c>
      <c r="P9685" s="18">
        <v>550</v>
      </c>
      <c r="Q9685" t="s" s="16">
        <f>HYPERLINK("http://secrets.rutgers.edu:8080/data/asl-ftp/asllvd/demos/verify_start_end_handshape_annotations//test_auto_move//signs_mov/15387.mov","MOV")</f>
        <v>21</v>
      </c>
      <c r="R9685" t="s" s="16">
        <f>HYPERLINK("http://secrets.rutgers.edu:8080/data/asl-ftp/asllvd/demos/verify_start_end_handshape_annotations//test_auto_move//signs_mov_separ_signers/Naomi_15387.mov","MOV")</f>
        <v>21</v>
      </c>
    </row>
    <row r="9686" s="2" customFormat="1" ht="13.5" customHeight="1">
      <c r="B9686" t="s" s="8">
        <v>3606</v>
      </c>
      <c r="C9686" t="s" s="9">
        <v>14</v>
      </c>
      <c r="D9686" t="s" s="8">
        <v>14</v>
      </c>
      <c r="E9686" t="s" s="9">
        <v>14</v>
      </c>
      <c r="F9686" t="s" s="10">
        <v>14</v>
      </c>
      <c r="G9686" t="s" s="11">
        <v>14</v>
      </c>
      <c r="H9686" t="s" s="10">
        <v>14</v>
      </c>
      <c r="I9686" t="s" s="11">
        <v>14</v>
      </c>
      <c r="J9686" t="s" s="11">
        <v>14</v>
      </c>
      <c r="K9686" t="s" s="12">
        <v>14</v>
      </c>
      <c r="L9686" t="s" s="12">
        <v>14</v>
      </c>
      <c r="M9686" t="s" s="10">
        <v>14</v>
      </c>
      <c r="N9686" t="s" s="11">
        <v>14</v>
      </c>
      <c r="O9686" t="s" s="8">
        <v>14</v>
      </c>
      <c r="P9686" t="s" s="8">
        <v>14</v>
      </c>
      <c r="Q9686" t="s" s="12">
        <v>14</v>
      </c>
      <c r="R9686" t="s" s="12">
        <v>14</v>
      </c>
    </row>
    <row r="9687" s="2" customFormat="1" ht="13.5" customHeight="1">
      <c r="B9687" s="13"/>
      <c r="C9687" t="s" s="9">
        <v>16</v>
      </c>
      <c r="D9687" t="s" s="8">
        <v>3606</v>
      </c>
      <c r="E9687" t="s" s="9">
        <v>3606</v>
      </c>
      <c r="F9687" t="s" s="10">
        <v>63</v>
      </c>
      <c r="G9687" t="s" s="11">
        <v>63</v>
      </c>
      <c r="H9687" t="s" s="10">
        <v>63</v>
      </c>
      <c r="I9687" t="s" s="11">
        <v>63</v>
      </c>
      <c r="J9687" t="s" s="11">
        <v>20</v>
      </c>
      <c r="K9687" s="15"/>
      <c r="L9687" t="s" s="16">
        <f>HYPERLINK("http://csr.bu.edu/ftp/asl/asllvd/demos/verify_start_end_handshape_annotations//test_auto_move//signs_mov_separ_signers/Liz_15404.mov","MOV")</f>
        <v>21</v>
      </c>
      <c r="M9687" t="s" s="10">
        <v>88</v>
      </c>
      <c r="N9687" s="17">
        <v>32</v>
      </c>
      <c r="O9687" s="18">
        <v>991</v>
      </c>
      <c r="P9687" s="18">
        <v>1020</v>
      </c>
      <c r="Q9687" s="15"/>
      <c r="R9687" t="s" s="16">
        <f>HYPERLINK("http://secrets.rutgers.edu:8080/data/asl-ftp/asllvd/demos/verify_start_end_handshape_annotations//test_auto_move//signs_mov_separ_signers/Liz_15404.mov","MOV")</f>
        <v>21</v>
      </c>
    </row>
    <row r="9688" s="2" customFormat="1" ht="13.5" customHeight="1">
      <c r="B9688" s="13"/>
      <c r="C9688" t="s" s="9">
        <v>27</v>
      </c>
      <c r="D9688" t="s" s="8">
        <v>3606</v>
      </c>
      <c r="E9688" t="s" s="9">
        <v>3606</v>
      </c>
      <c r="F9688" t="s" s="10">
        <v>63</v>
      </c>
      <c r="G9688" t="s" s="11">
        <v>63</v>
      </c>
      <c r="H9688" t="s" s="10">
        <v>63</v>
      </c>
      <c r="I9688" t="s" s="11">
        <v>63</v>
      </c>
      <c r="J9688" t="s" s="11">
        <v>20</v>
      </c>
      <c r="K9688" s="15"/>
      <c r="L9688" t="s" s="16">
        <f>HYPERLINK("http://csr.bu.edu/ftp/asl/asllvd/demos/verify_start_end_handshape_annotations//test_auto_move//signs_mov_separ_signers/Naomi_15404.mov","MOV")</f>
        <v>21</v>
      </c>
      <c r="M9688" t="s" s="10">
        <v>29</v>
      </c>
      <c r="N9688" s="17">
        <v>7</v>
      </c>
      <c r="O9688" s="18">
        <v>3898</v>
      </c>
      <c r="P9688" s="18">
        <v>3922</v>
      </c>
      <c r="Q9688" s="15"/>
      <c r="R9688" t="s" s="16">
        <f>HYPERLINK("http://secrets.rutgers.edu:8080/data/asl-ftp/asllvd/demos/verify_start_end_handshape_annotations//test_auto_move//signs_mov_separ_signers/Naomi_15404.mov","MOV")</f>
        <v>21</v>
      </c>
    </row>
    <row r="9689" s="2" customFormat="1" ht="13.5" customHeight="1">
      <c r="B9689" s="13"/>
      <c r="C9689" t="s" s="9">
        <v>27</v>
      </c>
      <c r="D9689" t="s" s="8">
        <v>3606</v>
      </c>
      <c r="E9689" t="s" s="9">
        <v>3606</v>
      </c>
      <c r="F9689" s="19">
        <v>10</v>
      </c>
      <c r="G9689" s="17">
        <v>10</v>
      </c>
      <c r="H9689" s="19">
        <v>10</v>
      </c>
      <c r="I9689" s="17">
        <v>10</v>
      </c>
      <c r="J9689" t="s" s="11">
        <v>20</v>
      </c>
      <c r="K9689" t="s" s="16">
        <f>HYPERLINK("http://csr.bu.edu/ftp/asl/asllvd/demos/verify_start_end_handshape_annotations//test_auto_move//signs_mov/15404_15405_merged.mov","MOV")</f>
        <v>21</v>
      </c>
      <c r="L9689" t="s" s="16">
        <f>HYPERLINK("http://csr.bu.edu/ftp/asl/asllvd/demos/verify_start_end_handshape_annotations//test_auto_move//signs_mov_separ_signers/Naomi_15405.mov","MOV")</f>
        <v>21</v>
      </c>
      <c r="M9689" t="s" s="10">
        <v>29</v>
      </c>
      <c r="N9689" s="17">
        <v>27</v>
      </c>
      <c r="O9689" s="18">
        <v>2070</v>
      </c>
      <c r="P9689" s="18">
        <v>2092</v>
      </c>
      <c r="Q9689" t="s" s="16">
        <f>HYPERLINK("http://secrets.rutgers.edu:8080/data/asl-ftp/asllvd/demos/verify_start_end_handshape_annotations//test_auto_move//signs_mov/15404_15405_merged.mov","MOV")</f>
        <v>21</v>
      </c>
      <c r="R9689" t="s" s="16">
        <f>HYPERLINK("http://secrets.rutgers.edu:8080/data/asl-ftp/asllvd/demos/verify_start_end_handshape_annotations//test_auto_move//signs_mov_separ_signers/Naomi_15405.mov","MOV")</f>
        <v>21</v>
      </c>
    </row>
    <row r="9690" s="2" customFormat="1" ht="13.5" customHeight="1">
      <c r="B9690" s="13"/>
      <c r="C9690" t="s" s="9">
        <v>30</v>
      </c>
      <c r="D9690" t="s" s="8">
        <v>3606</v>
      </c>
      <c r="E9690" t="s" s="9">
        <v>3606</v>
      </c>
      <c r="F9690" s="19">
        <v>10</v>
      </c>
      <c r="G9690" s="17">
        <v>10</v>
      </c>
      <c r="H9690" s="19">
        <v>10</v>
      </c>
      <c r="I9690" s="17">
        <v>10</v>
      </c>
      <c r="J9690" t="s" s="11">
        <v>20</v>
      </c>
      <c r="K9690" s="15"/>
      <c r="L9690" t="s" s="16">
        <f>HYPERLINK("http://csr.bu.edu/ftp/asl/asllvd/demos/verify_start_end_handshape_annotations//test_auto_move//signs_mov_separ_signers/Brady_15404.mov","MOV")</f>
        <v>21</v>
      </c>
      <c r="M9690" t="s" s="10">
        <v>40</v>
      </c>
      <c r="N9690" s="17">
        <v>27</v>
      </c>
      <c r="O9690" s="18">
        <v>436</v>
      </c>
      <c r="P9690" s="18">
        <v>456</v>
      </c>
      <c r="Q9690" s="15"/>
      <c r="R9690" t="s" s="16">
        <f>HYPERLINK("http://secrets.rutgers.edu:8080/data/asl-ftp/asllvd/demos/verify_start_end_handshape_annotations//test_auto_move//signs_mov_separ_signers/Brady_15404.mov","MOV")</f>
        <v>21</v>
      </c>
    </row>
    <row r="9691" s="2" customFormat="1" ht="13.5" customHeight="1">
      <c r="B9691" s="13"/>
      <c r="C9691" t="s" s="9">
        <v>41</v>
      </c>
      <c r="D9691" t="s" s="8">
        <v>3606</v>
      </c>
      <c r="E9691" t="s" s="9">
        <v>3606</v>
      </c>
      <c r="F9691" s="19">
        <v>10</v>
      </c>
      <c r="G9691" s="17">
        <v>10</v>
      </c>
      <c r="H9691" s="19">
        <v>10</v>
      </c>
      <c r="I9691" s="17">
        <v>10</v>
      </c>
      <c r="J9691" t="s" s="11">
        <v>20</v>
      </c>
      <c r="K9691" s="15"/>
      <c r="L9691" t="s" s="16">
        <f>HYPERLINK("http://csr.bu.edu/ftp/asl/asllvd/demos/verify_start_end_handshape_annotations//test_auto_move//signs_mov_separ_signers/Lana_15404.mov","MOV")</f>
        <v>21</v>
      </c>
      <c r="M9691" t="s" s="10">
        <v>42</v>
      </c>
      <c r="N9691" s="17">
        <v>20</v>
      </c>
      <c r="O9691" s="18">
        <v>1591</v>
      </c>
      <c r="P9691" s="18">
        <v>1606</v>
      </c>
      <c r="Q9691" s="15"/>
      <c r="R9691" t="s" s="16">
        <f>HYPERLINK("http://secrets.rutgers.edu:8080/data/asl-ftp/asllvd/demos/verify_start_end_handshape_annotations//test_auto_move//signs_mov_separ_signers/Lana_15404.mov","MOV")</f>
        <v>21</v>
      </c>
    </row>
    <row r="9692" s="2" customFormat="1" ht="13.5" customHeight="1">
      <c r="B9692" t="s" s="8">
        <v>3607</v>
      </c>
      <c r="C9692" t="s" s="9">
        <v>14</v>
      </c>
      <c r="D9692" t="s" s="8">
        <v>14</v>
      </c>
      <c r="E9692" t="s" s="9">
        <v>14</v>
      </c>
      <c r="F9692" t="s" s="10">
        <v>14</v>
      </c>
      <c r="G9692" t="s" s="11">
        <v>14</v>
      </c>
      <c r="H9692" t="s" s="10">
        <v>14</v>
      </c>
      <c r="I9692" t="s" s="11">
        <v>14</v>
      </c>
      <c r="J9692" t="s" s="11">
        <v>14</v>
      </c>
      <c r="K9692" t="s" s="12">
        <v>14</v>
      </c>
      <c r="L9692" t="s" s="12">
        <v>14</v>
      </c>
      <c r="M9692" t="s" s="10">
        <v>14</v>
      </c>
      <c r="N9692" t="s" s="11">
        <v>14</v>
      </c>
      <c r="O9692" t="s" s="8">
        <v>14</v>
      </c>
      <c r="P9692" t="s" s="8">
        <v>14</v>
      </c>
      <c r="Q9692" t="s" s="12">
        <v>14</v>
      </c>
      <c r="R9692" t="s" s="12">
        <v>14</v>
      </c>
    </row>
    <row r="9693" s="2" customFormat="1" ht="13.5" customHeight="1">
      <c r="B9693" s="13"/>
      <c r="C9693" t="s" s="9">
        <v>16</v>
      </c>
      <c r="D9693" t="s" s="8">
        <v>3607</v>
      </c>
      <c r="E9693" t="s" s="9">
        <v>3607</v>
      </c>
      <c r="F9693" s="19">
        <v>10</v>
      </c>
      <c r="G9693" s="17">
        <v>10</v>
      </c>
      <c r="H9693" s="19">
        <v>10</v>
      </c>
      <c r="I9693" s="17">
        <v>10</v>
      </c>
      <c r="J9693" t="s" s="11">
        <v>20</v>
      </c>
      <c r="K9693" s="15"/>
      <c r="L9693" t="s" s="16">
        <f>HYPERLINK("http://csr.bu.edu/ftp/asl/asllvd/demos/verify_start_end_handshape_annotations//test_auto_move//signs_mov_separ_signers/Liz_15543.mov","MOV")</f>
        <v>21</v>
      </c>
      <c r="M9693" t="s" s="10">
        <v>22</v>
      </c>
      <c r="N9693" s="17">
        <v>71</v>
      </c>
      <c r="O9693" s="18">
        <v>486</v>
      </c>
      <c r="P9693" s="18">
        <v>555</v>
      </c>
      <c r="Q9693" s="15"/>
      <c r="R9693" t="s" s="16">
        <f>HYPERLINK("http://secrets.rutgers.edu:8080/data/asl-ftp/asllvd/demos/verify_start_end_handshape_annotations//test_auto_move//signs_mov_separ_signers/Liz_15543.mov","MOV")</f>
        <v>21</v>
      </c>
    </row>
    <row r="9694" s="2" customFormat="1" ht="13.5" customHeight="1">
      <c r="B9694" s="13"/>
      <c r="C9694" t="s" s="9">
        <v>16</v>
      </c>
      <c r="D9694" t="s" s="8">
        <v>3607</v>
      </c>
      <c r="E9694" t="s" s="9">
        <v>3607</v>
      </c>
      <c r="F9694" s="19">
        <v>10</v>
      </c>
      <c r="G9694" s="17">
        <v>10</v>
      </c>
      <c r="H9694" s="19">
        <v>10</v>
      </c>
      <c r="I9694" s="17">
        <v>10</v>
      </c>
      <c r="J9694" t="s" s="11">
        <v>20</v>
      </c>
      <c r="K9694" s="15"/>
      <c r="L9694" t="s" s="16">
        <f>HYPERLINK("http://csr.bu.edu/ftp/asl/asllvd/demos/verify_start_end_handshape_annotations//test_auto_move//signs_mov_separ_signers/Liz_15631.mov","MOV")</f>
        <v>21</v>
      </c>
      <c r="M9694" t="s" s="10">
        <v>36</v>
      </c>
      <c r="N9694" s="17">
        <v>43</v>
      </c>
      <c r="O9694" s="18">
        <v>1221</v>
      </c>
      <c r="P9694" s="18">
        <v>1292</v>
      </c>
      <c r="Q9694" s="15"/>
      <c r="R9694" t="s" s="16">
        <f>HYPERLINK("http://secrets.rutgers.edu:8080/data/asl-ftp/asllvd/demos/verify_start_end_handshape_annotations//test_auto_move//signs_mov_separ_signers/Liz_15631.mov","MOV")</f>
        <v>21</v>
      </c>
    </row>
    <row r="9695" s="2" customFormat="1" ht="13.5" customHeight="1">
      <c r="B9695" s="13"/>
      <c r="C9695" t="s" s="9">
        <v>23</v>
      </c>
      <c r="D9695" t="s" s="8">
        <v>3607</v>
      </c>
      <c r="E9695" t="s" s="9">
        <v>3607</v>
      </c>
      <c r="F9695" s="19">
        <v>10</v>
      </c>
      <c r="G9695" s="17">
        <v>10</v>
      </c>
      <c r="H9695" s="19">
        <v>10</v>
      </c>
      <c r="I9695" s="17">
        <v>10</v>
      </c>
      <c r="J9695" t="s" s="11">
        <v>20</v>
      </c>
      <c r="K9695" t="s" s="16">
        <f>HYPERLINK("http://csr.bu.edu/ftp/asl/asllvd/demos/verify_start_end_handshape_annotations//test_auto_move//signs_mov/15543_15631_merged.mov","MOV")</f>
        <v>21</v>
      </c>
      <c r="L9695" t="s" s="16">
        <f>HYPERLINK("http://csr.bu.edu/ftp/asl/asllvd/demos/verify_start_end_handshape_annotations//test_auto_move//signs_mov_separ_signers/Tyler_15543.mov","MOV")</f>
        <v>21</v>
      </c>
      <c r="M9695" t="s" s="10">
        <v>26</v>
      </c>
      <c r="N9695" s="17">
        <v>44</v>
      </c>
      <c r="O9695" s="18">
        <v>666</v>
      </c>
      <c r="P9695" s="18">
        <v>726</v>
      </c>
      <c r="Q9695" t="s" s="16">
        <f>HYPERLINK("http://secrets.rutgers.edu:8080/data/asl-ftp/asllvd/demos/verify_start_end_handshape_annotations//test_auto_move//signs_mov/15543_15631_merged.mov","MOV")</f>
        <v>21</v>
      </c>
      <c r="R9695" t="s" s="16">
        <f>HYPERLINK("http://secrets.rutgers.edu:8080/data/asl-ftp/asllvd/demos/verify_start_end_handshape_annotations//test_auto_move//signs_mov_separ_signers/Tyler_15543.mov","MOV")</f>
        <v>21</v>
      </c>
    </row>
    <row r="9696" s="2" customFormat="1" ht="13.5" customHeight="1">
      <c r="B9696" s="13"/>
      <c r="C9696" t="s" s="9">
        <v>27</v>
      </c>
      <c r="D9696" t="s" s="8">
        <v>3607</v>
      </c>
      <c r="E9696" t="s" s="9">
        <v>3607</v>
      </c>
      <c r="F9696" s="19">
        <v>10</v>
      </c>
      <c r="G9696" s="17">
        <v>10</v>
      </c>
      <c r="H9696" s="19">
        <v>10</v>
      </c>
      <c r="I9696" s="17">
        <v>10</v>
      </c>
      <c r="J9696" t="s" s="11">
        <v>20</v>
      </c>
      <c r="K9696" s="15"/>
      <c r="L9696" t="s" s="16">
        <f>HYPERLINK("http://csr.bu.edu/ftp/asl/asllvd/demos/verify_start_end_handshape_annotations//test_auto_move//signs_mov_separ_signers/Naomi_15543.mov","MOV")</f>
        <v>21</v>
      </c>
      <c r="M9696" t="s" s="10">
        <v>29</v>
      </c>
      <c r="N9696" s="17">
        <v>45</v>
      </c>
      <c r="O9696" s="18">
        <v>1305</v>
      </c>
      <c r="P9696" s="18">
        <v>1380</v>
      </c>
      <c r="Q9696" s="15"/>
      <c r="R9696" t="s" s="16">
        <f>HYPERLINK("http://secrets.rutgers.edu:8080/data/asl-ftp/asllvd/demos/verify_start_end_handshape_annotations//test_auto_move//signs_mov_separ_signers/Naomi_15543.mov","MOV")</f>
        <v>21</v>
      </c>
    </row>
    <row r="9697" s="2" customFormat="1" ht="13.5" customHeight="1">
      <c r="B9697" s="13"/>
      <c r="C9697" t="s" s="9">
        <v>30</v>
      </c>
      <c r="D9697" t="s" s="8">
        <v>3607</v>
      </c>
      <c r="E9697" t="s" s="9">
        <v>3607</v>
      </c>
      <c r="F9697" s="19">
        <v>10</v>
      </c>
      <c r="G9697" s="17">
        <v>10</v>
      </c>
      <c r="H9697" s="19">
        <v>10</v>
      </c>
      <c r="I9697" s="17">
        <v>10</v>
      </c>
      <c r="J9697" t="s" s="11">
        <v>20</v>
      </c>
      <c r="K9697" s="15"/>
      <c r="L9697" t="s" s="16">
        <f>HYPERLINK("http://csr.bu.edu/ftp/asl/asllvd/demos/verify_start_end_handshape_annotations//test_auto_move//signs_mov_separ_signers/Brady_15543.mov","MOV")</f>
        <v>21</v>
      </c>
      <c r="M9697" t="s" s="10">
        <v>40</v>
      </c>
      <c r="N9697" s="17">
        <v>95</v>
      </c>
      <c r="O9697" s="18">
        <v>1512</v>
      </c>
      <c r="P9697" s="18">
        <v>1573</v>
      </c>
      <c r="Q9697" s="15"/>
      <c r="R9697" t="s" s="16">
        <f>HYPERLINK("http://secrets.rutgers.edu:8080/data/asl-ftp/asllvd/demos/verify_start_end_handshape_annotations//test_auto_move//signs_mov_separ_signers/Brady_15543.mov","MOV")</f>
        <v>21</v>
      </c>
    </row>
    <row r="9698" s="2" customFormat="1" ht="13.5" customHeight="1">
      <c r="B9698" s="13"/>
      <c r="C9698" t="s" s="9">
        <v>43</v>
      </c>
      <c r="D9698" t="s" s="8">
        <v>3607</v>
      </c>
      <c r="E9698" t="s" s="9">
        <v>3607</v>
      </c>
      <c r="F9698" s="19">
        <v>10</v>
      </c>
      <c r="G9698" s="17">
        <v>10</v>
      </c>
      <c r="H9698" s="19">
        <v>10</v>
      </c>
      <c r="I9698" s="17">
        <v>10</v>
      </c>
      <c r="J9698" t="s" s="11">
        <v>20</v>
      </c>
      <c r="K9698" s="15"/>
      <c r="L9698" t="s" s="16">
        <f>HYPERLINK("http://csr.bu.edu/ftp/asl/asllvd/demos/verify_start_end_handshape_annotations//test_auto_move//signs_mov_separ_signers/Dana_15543.mov","MOV")</f>
        <v>21</v>
      </c>
      <c r="M9698" t="s" s="10">
        <v>44</v>
      </c>
      <c r="N9698" s="17">
        <v>14</v>
      </c>
      <c r="O9698" s="18">
        <v>594</v>
      </c>
      <c r="P9698" s="18">
        <v>661</v>
      </c>
      <c r="Q9698" s="15"/>
      <c r="R9698" t="s" s="16">
        <f>HYPERLINK("http://secrets.rutgers.edu:8080/data/asl-ftp/asllvd/demos/verify_start_end_handshape_annotations//test_auto_move//signs_mov_separ_signers/Dana_15543.mov","MOV")</f>
        <v>21</v>
      </c>
    </row>
    <row r="9699" s="2" customFormat="1" ht="13.5" customHeight="1">
      <c r="B9699" t="s" s="8">
        <v>3608</v>
      </c>
      <c r="C9699" t="s" s="9">
        <v>14</v>
      </c>
      <c r="D9699" t="s" s="8">
        <v>14</v>
      </c>
      <c r="E9699" t="s" s="9">
        <v>14</v>
      </c>
      <c r="F9699" t="s" s="10">
        <v>14</v>
      </c>
      <c r="G9699" t="s" s="11">
        <v>14</v>
      </c>
      <c r="H9699" t="s" s="10">
        <v>14</v>
      </c>
      <c r="I9699" t="s" s="11">
        <v>14</v>
      </c>
      <c r="J9699" t="s" s="11">
        <v>14</v>
      </c>
      <c r="K9699" t="s" s="12">
        <v>14</v>
      </c>
      <c r="L9699" t="s" s="12">
        <v>14</v>
      </c>
      <c r="M9699" t="s" s="10">
        <v>14</v>
      </c>
      <c r="N9699" t="s" s="11">
        <v>14</v>
      </c>
      <c r="O9699" t="s" s="8">
        <v>14</v>
      </c>
      <c r="P9699" t="s" s="8">
        <v>14</v>
      </c>
      <c r="Q9699" t="s" s="12">
        <v>14</v>
      </c>
      <c r="R9699" t="s" s="12">
        <v>14</v>
      </c>
    </row>
    <row r="9700" s="2" customFormat="1" ht="13.5" customHeight="1">
      <c r="B9700" s="13"/>
      <c r="C9700" t="s" s="9">
        <v>27</v>
      </c>
      <c r="D9700" t="s" s="8">
        <v>3608</v>
      </c>
      <c r="E9700" t="s" s="9">
        <v>3608</v>
      </c>
      <c r="F9700" s="19">
        <v>10</v>
      </c>
      <c r="G9700" s="17">
        <v>10</v>
      </c>
      <c r="H9700" s="19">
        <v>10</v>
      </c>
      <c r="I9700" s="17">
        <v>10</v>
      </c>
      <c r="J9700" t="s" s="11">
        <v>20</v>
      </c>
      <c r="K9700" t="s" s="16">
        <f>HYPERLINK("http://csr.bu.edu/ftp/asl/asllvd/demos/verify_start_end_handshape_annotations//test_auto_move//signs_mov/15632.mov","MOV")</f>
        <v>21</v>
      </c>
      <c r="L9700" t="s" s="16">
        <f>HYPERLINK("http://csr.bu.edu/ftp/asl/asllvd/demos/verify_start_end_handshape_annotations//test_auto_move//signs_mov_separ_signers/Naomi_15632.mov","MOV")</f>
        <v>21</v>
      </c>
      <c r="M9700" t="s" s="10">
        <v>29</v>
      </c>
      <c r="N9700" s="17">
        <v>32</v>
      </c>
      <c r="O9700" s="18">
        <v>4191</v>
      </c>
      <c r="P9700" s="18">
        <v>4218</v>
      </c>
      <c r="Q9700" t="s" s="16">
        <f>HYPERLINK("http://secrets.rutgers.edu:8080/data/asl-ftp/asllvd/demos/verify_start_end_handshape_annotations//test_auto_move//signs_mov/15632.mov","MOV")</f>
        <v>21</v>
      </c>
      <c r="R9700" t="s" s="16">
        <f>HYPERLINK("http://secrets.rutgers.edu:8080/data/asl-ftp/asllvd/demos/verify_start_end_handshape_annotations//test_auto_move//signs_mov_separ_signers/Naomi_15632.mov","MOV")</f>
        <v>21</v>
      </c>
    </row>
    <row r="9701" s="2" customFormat="1" ht="13.5" customHeight="1">
      <c r="B9701" s="13"/>
      <c r="C9701" t="s" s="9">
        <v>30</v>
      </c>
      <c r="D9701" t="s" s="8">
        <v>3608</v>
      </c>
      <c r="E9701" t="s" s="9">
        <v>3608</v>
      </c>
      <c r="F9701" s="19">
        <v>10</v>
      </c>
      <c r="G9701" s="17">
        <v>10</v>
      </c>
      <c r="H9701" s="19">
        <v>10</v>
      </c>
      <c r="I9701" s="17">
        <v>10</v>
      </c>
      <c r="J9701" t="s" s="11">
        <v>20</v>
      </c>
      <c r="K9701" s="15"/>
      <c r="L9701" t="s" s="16">
        <f>HYPERLINK("http://csr.bu.edu/ftp/asl/asllvd/demos/verify_start_end_handshape_annotations//test_auto_move//signs_mov_separ_signers/Brady_15632.mov","MOV")</f>
        <v>21</v>
      </c>
      <c r="M9701" t="s" s="10">
        <v>31</v>
      </c>
      <c r="N9701" s="17">
        <v>22</v>
      </c>
      <c r="O9701" s="18">
        <v>20737</v>
      </c>
      <c r="P9701" s="18">
        <v>20765</v>
      </c>
      <c r="Q9701" s="15"/>
      <c r="R9701" t="s" s="16">
        <f>HYPERLINK("http://secrets.rutgers.edu:8080/data/asl-ftp/asllvd/demos/verify_start_end_handshape_annotations//test_auto_move//signs_mov_separ_signers/Brady_15632.mov","MOV")</f>
        <v>21</v>
      </c>
    </row>
    <row r="9702" s="2" customFormat="1" ht="13.5" customHeight="1">
      <c r="B9702" t="s" s="8">
        <v>52</v>
      </c>
      <c r="C9702" t="s" s="9">
        <v>53</v>
      </c>
      <c r="D9702" t="s" s="8">
        <v>53</v>
      </c>
      <c r="E9702" t="s" s="9">
        <v>53</v>
      </c>
      <c r="F9702" t="s" s="10">
        <v>53</v>
      </c>
      <c r="G9702" t="s" s="11">
        <v>53</v>
      </c>
      <c r="H9702" t="s" s="10">
        <v>53</v>
      </c>
      <c r="I9702" t="s" s="11">
        <v>53</v>
      </c>
      <c r="J9702" t="s" s="11">
        <v>53</v>
      </c>
      <c r="K9702" t="s" s="12">
        <v>53</v>
      </c>
      <c r="L9702" t="s" s="12">
        <v>53</v>
      </c>
      <c r="M9702" t="s" s="10">
        <v>53</v>
      </c>
      <c r="N9702" t="s" s="11">
        <v>53</v>
      </c>
      <c r="O9702" t="s" s="8">
        <v>53</v>
      </c>
      <c r="P9702" t="s" s="8">
        <v>53</v>
      </c>
      <c r="Q9702" t="s" s="12">
        <v>53</v>
      </c>
      <c r="R9702" t="s" s="12">
        <v>53</v>
      </c>
    </row>
    <row r="9703" s="2" customFormat="1" ht="13.5" customHeight="1">
      <c r="B9703" s="13"/>
      <c r="C9703" t="s" s="9">
        <v>16</v>
      </c>
      <c r="D9703" t="s" s="8">
        <v>3608</v>
      </c>
      <c r="E9703" t="s" s="9">
        <v>3609</v>
      </c>
      <c r="F9703" s="19">
        <v>10</v>
      </c>
      <c r="G9703" s="14"/>
      <c r="H9703" s="19">
        <v>10</v>
      </c>
      <c r="I9703" s="14"/>
      <c r="J9703" t="s" s="11">
        <v>20</v>
      </c>
      <c r="K9703" t="s" s="16">
        <f>HYPERLINK("http://csr.bu.edu/ftp/asl/asllvd/demos/verify_start_end_handshape_annotations//test_auto_move//signs_mov/15633.mov","MOV")</f>
        <v>21</v>
      </c>
      <c r="L9703" t="s" s="16">
        <f>HYPERLINK("http://csr.bu.edu/ftp/asl/asllvd/demos/verify_start_end_handshape_annotations//test_auto_move//signs_mov_separ_signers/Liz_15633.mov","MOV")</f>
        <v>21</v>
      </c>
      <c r="M9703" t="s" s="10">
        <v>22</v>
      </c>
      <c r="N9703" s="17">
        <v>51</v>
      </c>
      <c r="O9703" s="18">
        <v>460</v>
      </c>
      <c r="P9703" s="18">
        <v>480</v>
      </c>
      <c r="Q9703" t="s" s="16">
        <f>HYPERLINK("http://secrets.rutgers.edu:8080/data/asl-ftp/asllvd/demos/verify_start_end_handshape_annotations//test_auto_move//signs_mov/15633.mov","MOV")</f>
        <v>21</v>
      </c>
      <c r="R9703" t="s" s="16">
        <f>HYPERLINK("http://secrets.rutgers.edu:8080/data/asl-ftp/asllvd/demos/verify_start_end_handshape_annotations//test_auto_move//signs_mov_separ_signers/Liz_15633.mov","MOV")</f>
        <v>21</v>
      </c>
    </row>
    <row r="9704" s="2" customFormat="1" ht="13.5" customHeight="1">
      <c r="B9704" t="s" s="8">
        <v>1799</v>
      </c>
      <c r="C9704" t="s" s="9">
        <v>14</v>
      </c>
      <c r="D9704" t="s" s="8">
        <v>14</v>
      </c>
      <c r="E9704" t="s" s="9">
        <v>14</v>
      </c>
      <c r="F9704" t="s" s="10">
        <v>14</v>
      </c>
      <c r="G9704" t="s" s="11">
        <v>14</v>
      </c>
      <c r="H9704" t="s" s="10">
        <v>14</v>
      </c>
      <c r="I9704" t="s" s="11">
        <v>14</v>
      </c>
      <c r="J9704" t="s" s="11">
        <v>14</v>
      </c>
      <c r="K9704" t="s" s="12">
        <v>14</v>
      </c>
      <c r="L9704" t="s" s="12">
        <v>14</v>
      </c>
      <c r="M9704" t="s" s="10">
        <v>14</v>
      </c>
      <c r="N9704" t="s" s="11">
        <v>14</v>
      </c>
      <c r="O9704" t="s" s="8">
        <v>14</v>
      </c>
      <c r="P9704" t="s" s="8">
        <v>14</v>
      </c>
      <c r="Q9704" t="s" s="12">
        <v>14</v>
      </c>
      <c r="R9704" t="s" s="12">
        <v>14</v>
      </c>
    </row>
    <row r="9705" s="2" customFormat="1" ht="13.5" customHeight="1">
      <c r="B9705" s="13"/>
      <c r="C9705" t="s" s="9">
        <v>16</v>
      </c>
      <c r="D9705" t="s" s="8">
        <v>1799</v>
      </c>
      <c r="E9705" t="s" s="9">
        <v>1799</v>
      </c>
      <c r="F9705" t="s" s="10">
        <v>63</v>
      </c>
      <c r="G9705" t="s" s="11">
        <v>63</v>
      </c>
      <c r="H9705" s="19">
        <v>10</v>
      </c>
      <c r="I9705" t="s" s="11">
        <v>63</v>
      </c>
      <c r="J9705" t="s" s="11">
        <v>20</v>
      </c>
      <c r="K9705" s="15"/>
      <c r="L9705" t="s" s="16">
        <f>HYPERLINK("http://csr.bu.edu/ftp/asl/asllvd/demos/verify_start_end_handshape_annotations//test_auto_move//signs_mov_separ_signers/Liz_16018.mov","MOV")</f>
        <v>21</v>
      </c>
      <c r="M9705" t="s" s="10">
        <v>84</v>
      </c>
      <c r="N9705" s="17">
        <v>38</v>
      </c>
      <c r="O9705" s="18">
        <v>1775</v>
      </c>
      <c r="P9705" s="18">
        <v>1830</v>
      </c>
      <c r="Q9705" s="15"/>
      <c r="R9705" t="s" s="16">
        <f>HYPERLINK("http://secrets.rutgers.edu:8080/data/asl-ftp/asllvd/demos/verify_start_end_handshape_annotations//test_auto_move//signs_mov_separ_signers/Liz_16018.mov","MOV")</f>
        <v>21</v>
      </c>
    </row>
    <row r="9706" s="2" customFormat="1" ht="13.5" customHeight="1">
      <c r="B9706" s="13"/>
      <c r="C9706" t="s" s="9">
        <v>23</v>
      </c>
      <c r="D9706" t="s" s="8">
        <v>1799</v>
      </c>
      <c r="E9706" t="s" s="9">
        <v>1799</v>
      </c>
      <c r="F9706" s="19">
        <v>10</v>
      </c>
      <c r="G9706" s="17">
        <v>10</v>
      </c>
      <c r="H9706" s="19">
        <v>10</v>
      </c>
      <c r="I9706" s="17">
        <v>10</v>
      </c>
      <c r="J9706" t="s" s="11">
        <v>20</v>
      </c>
      <c r="K9706" s="15"/>
      <c r="L9706" t="s" s="16">
        <f>HYPERLINK("http://csr.bu.edu/ftp/asl/asllvd/demos/verify_start_end_handshape_annotations//test_auto_move//signs_mov_separ_signers/Tyler_16018.mov","MOV")</f>
        <v>21</v>
      </c>
      <c r="M9706" t="s" s="10">
        <v>92</v>
      </c>
      <c r="N9706" s="17">
        <v>18</v>
      </c>
      <c r="O9706" s="18">
        <v>2777</v>
      </c>
      <c r="P9706" s="18">
        <v>2815</v>
      </c>
      <c r="Q9706" s="15"/>
      <c r="R9706" t="s" s="16">
        <f>HYPERLINK("http://secrets.rutgers.edu:8080/data/asl-ftp/asllvd/demos/verify_start_end_handshape_annotations//test_auto_move//signs_mov_separ_signers/Tyler_16018.mov","MOV")</f>
        <v>21</v>
      </c>
    </row>
    <row r="9707" s="2" customFormat="1" ht="13.5" customHeight="1">
      <c r="B9707" s="13"/>
      <c r="C9707" t="s" s="9">
        <v>27</v>
      </c>
      <c r="D9707" t="s" s="8">
        <v>1799</v>
      </c>
      <c r="E9707" t="s" s="9">
        <v>1799</v>
      </c>
      <c r="F9707" s="19">
        <v>10</v>
      </c>
      <c r="G9707" s="17">
        <v>10</v>
      </c>
      <c r="H9707" s="19">
        <v>10</v>
      </c>
      <c r="I9707" s="17">
        <v>10</v>
      </c>
      <c r="J9707" t="s" s="11">
        <v>20</v>
      </c>
      <c r="K9707" t="s" s="16">
        <f>HYPERLINK("http://csr.bu.edu/ftp/asl/asllvd/demos/verify_start_end_handshape_annotations//test_auto_move//signs_mov/16018_16510_merged.mov","MOV")</f>
        <v>21</v>
      </c>
      <c r="L9707" t="s" s="16">
        <f>HYPERLINK("http://csr.bu.edu/ftp/asl/asllvd/demos/verify_start_end_handshape_annotations//test_auto_move//signs_mov_separ_signers/Naomi_16018.mov","MOV")</f>
        <v>21</v>
      </c>
      <c r="M9707" t="s" s="10">
        <v>86</v>
      </c>
      <c r="N9707" s="17">
        <v>38</v>
      </c>
      <c r="O9707" s="18">
        <v>2097</v>
      </c>
      <c r="P9707" s="18">
        <v>2125</v>
      </c>
      <c r="Q9707" t="s" s="16">
        <f>HYPERLINK("http://secrets.rutgers.edu:8080/data/asl-ftp/asllvd/demos/verify_start_end_handshape_annotations//test_auto_move//signs_mov/16018_16510_merged.mov","MOV")</f>
        <v>21</v>
      </c>
      <c r="R9707" t="s" s="16">
        <f>HYPERLINK("http://secrets.rutgers.edu:8080/data/asl-ftp/asllvd/demos/verify_start_end_handshape_annotations//test_auto_move//signs_mov_separ_signers/Naomi_16018.mov","MOV")</f>
        <v>21</v>
      </c>
    </row>
    <row r="9708" s="2" customFormat="1" ht="13.5" customHeight="1">
      <c r="B9708" s="13"/>
      <c r="C9708" t="s" s="9">
        <v>30</v>
      </c>
      <c r="D9708" t="s" s="8">
        <v>1799</v>
      </c>
      <c r="E9708" t="s" s="9">
        <v>1799</v>
      </c>
      <c r="F9708" s="19">
        <v>10</v>
      </c>
      <c r="G9708" s="17">
        <v>10</v>
      </c>
      <c r="H9708" s="19">
        <v>10</v>
      </c>
      <c r="I9708" s="17">
        <v>10</v>
      </c>
      <c r="J9708" t="s" s="11">
        <v>20</v>
      </c>
      <c r="K9708" s="15"/>
      <c r="L9708" t="s" s="16">
        <f>HYPERLINK("http://csr.bu.edu/ftp/asl/asllvd/demos/verify_start_end_handshape_annotations//test_auto_move//signs_mov_separ_signers/Brady_16018.mov","MOV")</f>
        <v>21</v>
      </c>
      <c r="M9708" t="s" s="10">
        <v>31</v>
      </c>
      <c r="N9708" s="17">
        <v>10</v>
      </c>
      <c r="O9708" s="18">
        <v>644</v>
      </c>
      <c r="P9708" s="18">
        <v>669</v>
      </c>
      <c r="Q9708" s="15"/>
      <c r="R9708" t="s" s="16">
        <f>HYPERLINK("http://secrets.rutgers.edu:8080/data/asl-ftp/asllvd/demos/verify_start_end_handshape_annotations//test_auto_move//signs_mov_separ_signers/Brady_16018.mov","MOV")</f>
        <v>21</v>
      </c>
    </row>
    <row r="9709" s="2" customFormat="1" ht="13.5" customHeight="1">
      <c r="B9709" s="13"/>
      <c r="C9709" t="s" s="9">
        <v>30</v>
      </c>
      <c r="D9709" t="s" s="8">
        <v>1799</v>
      </c>
      <c r="E9709" t="s" s="9">
        <v>1799</v>
      </c>
      <c r="F9709" s="19">
        <v>10</v>
      </c>
      <c r="G9709" s="17">
        <v>10</v>
      </c>
      <c r="H9709" s="19">
        <v>10</v>
      </c>
      <c r="I9709" s="17">
        <v>10</v>
      </c>
      <c r="J9709" t="s" s="11">
        <v>20</v>
      </c>
      <c r="K9709" s="15"/>
      <c r="L9709" t="s" s="16">
        <f>HYPERLINK("http://csr.bu.edu/ftp/asl/asllvd/demos/verify_start_end_handshape_annotations//test_auto_move//signs_mov_separ_signers/Brady_16510.mov","MOV")</f>
        <v>21</v>
      </c>
      <c r="M9709" t="s" s="10">
        <v>39</v>
      </c>
      <c r="N9709" s="17">
        <v>16</v>
      </c>
      <c r="O9709" s="18">
        <v>3556</v>
      </c>
      <c r="P9709" s="18">
        <v>3583</v>
      </c>
      <c r="Q9709" s="15"/>
      <c r="R9709" t="s" s="16">
        <f>HYPERLINK("http://secrets.rutgers.edu:8080/data/asl-ftp/asllvd/demos/verify_start_end_handshape_annotations//test_auto_move//signs_mov_separ_signers/Brady_16510.mov","MOV")</f>
        <v>21</v>
      </c>
    </row>
    <row r="9710" s="2" customFormat="1" ht="13.5" customHeight="1">
      <c r="B9710" s="13"/>
      <c r="C9710" t="s" s="9">
        <v>41</v>
      </c>
      <c r="D9710" t="s" s="8">
        <v>1799</v>
      </c>
      <c r="E9710" t="s" s="9">
        <v>1799</v>
      </c>
      <c r="F9710" s="19">
        <v>10</v>
      </c>
      <c r="G9710" s="17">
        <v>10</v>
      </c>
      <c r="H9710" s="19">
        <v>10</v>
      </c>
      <c r="I9710" s="17">
        <v>10</v>
      </c>
      <c r="J9710" t="s" s="11">
        <v>20</v>
      </c>
      <c r="K9710" s="15"/>
      <c r="L9710" t="s" s="16">
        <f>HYPERLINK("http://csr.bu.edu/ftp/asl/asllvd/demos/verify_start_end_handshape_annotations//test_auto_move//signs_mov_separ_signers/Lana_16018.mov","MOV")</f>
        <v>21</v>
      </c>
      <c r="M9710" t="s" s="10">
        <v>42</v>
      </c>
      <c r="N9710" s="17">
        <v>9</v>
      </c>
      <c r="O9710" s="18">
        <v>1895</v>
      </c>
      <c r="P9710" s="18">
        <v>1923</v>
      </c>
      <c r="Q9710" s="15"/>
      <c r="R9710" t="s" s="16">
        <f>HYPERLINK("http://secrets.rutgers.edu:8080/data/asl-ftp/asllvd/demos/verify_start_end_handshape_annotations//test_auto_move//signs_mov_separ_signers/Lana_16018.mov","MOV")</f>
        <v>21</v>
      </c>
    </row>
    <row r="9711" s="2" customFormat="1" ht="13.5" customHeight="1">
      <c r="B9711" t="s" s="8">
        <v>52</v>
      </c>
      <c r="C9711" t="s" s="9">
        <v>53</v>
      </c>
      <c r="D9711" t="s" s="8">
        <v>53</v>
      </c>
      <c r="E9711" t="s" s="9">
        <v>53</v>
      </c>
      <c r="F9711" t="s" s="10">
        <v>53</v>
      </c>
      <c r="G9711" t="s" s="11">
        <v>53</v>
      </c>
      <c r="H9711" t="s" s="10">
        <v>53</v>
      </c>
      <c r="I9711" t="s" s="11">
        <v>53</v>
      </c>
      <c r="J9711" t="s" s="11">
        <v>53</v>
      </c>
      <c r="K9711" t="s" s="12">
        <v>53</v>
      </c>
      <c r="L9711" t="s" s="12">
        <v>53</v>
      </c>
      <c r="M9711" t="s" s="10">
        <v>53</v>
      </c>
      <c r="N9711" t="s" s="11">
        <v>53</v>
      </c>
      <c r="O9711" t="s" s="8">
        <v>53</v>
      </c>
      <c r="P9711" t="s" s="8">
        <v>53</v>
      </c>
      <c r="Q9711" t="s" s="12">
        <v>53</v>
      </c>
      <c r="R9711" t="s" s="12">
        <v>53</v>
      </c>
    </row>
    <row r="9712" s="2" customFormat="1" ht="13.5" customHeight="1">
      <c r="B9712" s="13"/>
      <c r="C9712" t="s" s="9">
        <v>43</v>
      </c>
      <c r="D9712" t="s" s="8">
        <v>1799</v>
      </c>
      <c r="E9712" t="s" s="9">
        <v>3610</v>
      </c>
      <c r="F9712" s="19">
        <v>10</v>
      </c>
      <c r="G9712" s="17">
        <v>10</v>
      </c>
      <c r="H9712" s="19">
        <v>10</v>
      </c>
      <c r="I9712" s="17">
        <v>10</v>
      </c>
      <c r="J9712" t="s" s="11">
        <v>20</v>
      </c>
      <c r="K9712" t="s" s="16">
        <f>HYPERLINK("http://csr.bu.edu/ftp/asl/asllvd/demos/verify_start_end_handshape_annotations//test_auto_move//signs_mov/16511.mov","MOV")</f>
        <v>21</v>
      </c>
      <c r="L9712" t="s" s="16">
        <f>HYPERLINK("http://csr.bu.edu/ftp/asl/asllvd/demos/verify_start_end_handshape_annotations//test_auto_move//signs_mov_separ_signers/Dana_16511.mov","MOV")</f>
        <v>21</v>
      </c>
      <c r="M9712" t="s" s="10">
        <v>44</v>
      </c>
      <c r="N9712" s="17">
        <v>13</v>
      </c>
      <c r="O9712" s="18">
        <v>2176</v>
      </c>
      <c r="P9712" s="18">
        <v>2251</v>
      </c>
      <c r="Q9712" t="s" s="16">
        <f>HYPERLINK("http://secrets.rutgers.edu:8080/data/asl-ftp/asllvd/demos/verify_start_end_handshape_annotations//test_auto_move//signs_mov/16511.mov","MOV")</f>
        <v>21</v>
      </c>
      <c r="R9712" t="s" s="16">
        <f>HYPERLINK("http://secrets.rutgers.edu:8080/data/asl-ftp/asllvd/demos/verify_start_end_handshape_annotations//test_auto_move//signs_mov_separ_signers/Dana_16511.mov","MOV")</f>
        <v>21</v>
      </c>
    </row>
    <row r="9713" s="2" customFormat="1" ht="13.5" customHeight="1">
      <c r="B9713" t="s" s="8">
        <v>3611</v>
      </c>
      <c r="C9713" t="s" s="9">
        <v>14</v>
      </c>
      <c r="D9713" t="s" s="8">
        <v>14</v>
      </c>
      <c r="E9713" t="s" s="9">
        <v>14</v>
      </c>
      <c r="F9713" t="s" s="10">
        <v>14</v>
      </c>
      <c r="G9713" t="s" s="11">
        <v>14</v>
      </c>
      <c r="H9713" t="s" s="10">
        <v>14</v>
      </c>
      <c r="I9713" t="s" s="11">
        <v>14</v>
      </c>
      <c r="J9713" t="s" s="11">
        <v>14</v>
      </c>
      <c r="K9713" t="s" s="12">
        <v>14</v>
      </c>
      <c r="L9713" t="s" s="12">
        <v>14</v>
      </c>
      <c r="M9713" t="s" s="10">
        <v>14</v>
      </c>
      <c r="N9713" t="s" s="11">
        <v>14</v>
      </c>
      <c r="O9713" t="s" s="8">
        <v>14</v>
      </c>
      <c r="P9713" t="s" s="8">
        <v>14</v>
      </c>
      <c r="Q9713" t="s" s="12">
        <v>14</v>
      </c>
      <c r="R9713" t="s" s="12">
        <v>14</v>
      </c>
    </row>
    <row r="9714" s="2" customFormat="1" ht="13.5" customHeight="1">
      <c r="B9714" s="13"/>
      <c r="C9714" t="s" s="9">
        <v>16</v>
      </c>
      <c r="D9714" t="s" s="8">
        <v>3611</v>
      </c>
      <c r="E9714" t="s" s="9">
        <v>3611</v>
      </c>
      <c r="F9714" s="19">
        <v>10</v>
      </c>
      <c r="G9714" s="17">
        <v>10</v>
      </c>
      <c r="H9714" s="19">
        <v>10</v>
      </c>
      <c r="I9714" s="17">
        <v>10</v>
      </c>
      <c r="J9714" t="s" s="11">
        <v>20</v>
      </c>
      <c r="K9714" s="15"/>
      <c r="L9714" t="s" s="16">
        <f>HYPERLINK("http://csr.bu.edu/ftp/asl/asllvd/demos/verify_start_end_handshape_annotations//test_auto_move//signs_mov_separ_signers/Liz_16512.mov","MOV")</f>
        <v>21</v>
      </c>
      <c r="M9714" t="s" s="10">
        <v>84</v>
      </c>
      <c r="N9714" s="17">
        <v>16</v>
      </c>
      <c r="O9714" s="18">
        <v>717</v>
      </c>
      <c r="P9714" s="18">
        <v>770</v>
      </c>
      <c r="Q9714" s="15"/>
      <c r="R9714" t="s" s="16">
        <f>HYPERLINK("http://secrets.rutgers.edu:8080/data/asl-ftp/asllvd/demos/verify_start_end_handshape_annotations//test_auto_move//signs_mov_separ_signers/Liz_16512.mov","MOV")</f>
        <v>21</v>
      </c>
    </row>
    <row r="9715" s="2" customFormat="1" ht="13.5" customHeight="1">
      <c r="B9715" s="13"/>
      <c r="C9715" t="s" s="9">
        <v>23</v>
      </c>
      <c r="D9715" t="s" s="8">
        <v>3611</v>
      </c>
      <c r="E9715" t="s" s="9">
        <v>3611</v>
      </c>
      <c r="F9715" s="19">
        <v>10</v>
      </c>
      <c r="G9715" s="17">
        <v>10</v>
      </c>
      <c r="H9715" s="19">
        <v>10</v>
      </c>
      <c r="I9715" s="17">
        <v>10</v>
      </c>
      <c r="J9715" t="s" s="11">
        <v>20</v>
      </c>
      <c r="K9715" t="s" s="16">
        <f>HYPERLINK("http://csr.bu.edu/ftp/asl/asllvd/demos/verify_start_end_handshape_annotations//test_auto_move//signs_mov/16512.mov","MOV")</f>
        <v>21</v>
      </c>
      <c r="L9715" t="s" s="16">
        <f>HYPERLINK("http://csr.bu.edu/ftp/asl/asllvd/demos/verify_start_end_handshape_annotations//test_auto_move//signs_mov_separ_signers/Tyler_16512.mov","MOV")</f>
        <v>21</v>
      </c>
      <c r="M9715" t="s" s="10">
        <v>125</v>
      </c>
      <c r="N9715" s="17">
        <v>15</v>
      </c>
      <c r="O9715" s="18">
        <v>3696</v>
      </c>
      <c r="P9715" s="18">
        <v>3735</v>
      </c>
      <c r="Q9715" t="s" s="16">
        <f>HYPERLINK("http://secrets.rutgers.edu:8080/data/asl-ftp/asllvd/demos/verify_start_end_handshape_annotations//test_auto_move//signs_mov/16512.mov","MOV")</f>
        <v>21</v>
      </c>
      <c r="R9715" t="s" s="16">
        <f>HYPERLINK("http://secrets.rutgers.edu:8080/data/asl-ftp/asllvd/demos/verify_start_end_handshape_annotations//test_auto_move//signs_mov_separ_signers/Tyler_16512.mov","MOV")</f>
        <v>21</v>
      </c>
    </row>
    <row r="9716" s="2" customFormat="1" ht="13.5" customHeight="1">
      <c r="B9716" s="13"/>
      <c r="C9716" t="s" s="9">
        <v>27</v>
      </c>
      <c r="D9716" t="s" s="8">
        <v>3611</v>
      </c>
      <c r="E9716" t="s" s="9">
        <v>3611</v>
      </c>
      <c r="F9716" s="19">
        <v>10</v>
      </c>
      <c r="G9716" s="17">
        <v>10</v>
      </c>
      <c r="H9716" s="19">
        <v>10</v>
      </c>
      <c r="I9716" s="17">
        <v>10</v>
      </c>
      <c r="J9716" t="s" s="11">
        <v>20</v>
      </c>
      <c r="K9716" s="15"/>
      <c r="L9716" t="s" s="16">
        <f>HYPERLINK("http://csr.bu.edu/ftp/asl/asllvd/demos/verify_start_end_handshape_annotations//test_auto_move//signs_mov_separ_signers/Naomi_16512.mov","MOV")</f>
        <v>21</v>
      </c>
      <c r="M9716" t="s" s="10">
        <v>86</v>
      </c>
      <c r="N9716" s="17">
        <v>16</v>
      </c>
      <c r="O9716" s="18">
        <v>957</v>
      </c>
      <c r="P9716" s="18">
        <v>982</v>
      </c>
      <c r="Q9716" s="15"/>
      <c r="R9716" t="s" s="16">
        <f>HYPERLINK("http://secrets.rutgers.edu:8080/data/asl-ftp/asllvd/demos/verify_start_end_handshape_annotations//test_auto_move//signs_mov_separ_signers/Naomi_16512.mov","MOV")</f>
        <v>21</v>
      </c>
    </row>
    <row r="9717" s="2" customFormat="1" ht="13.5" customHeight="1">
      <c r="B9717" s="13"/>
      <c r="C9717" t="s" s="9">
        <v>30</v>
      </c>
      <c r="D9717" t="s" s="8">
        <v>3611</v>
      </c>
      <c r="E9717" t="s" s="9">
        <v>3611</v>
      </c>
      <c r="F9717" s="19">
        <v>10</v>
      </c>
      <c r="G9717" s="17">
        <v>10</v>
      </c>
      <c r="H9717" s="19">
        <v>10</v>
      </c>
      <c r="I9717" s="17">
        <v>10</v>
      </c>
      <c r="J9717" t="s" s="11">
        <v>20</v>
      </c>
      <c r="K9717" s="15"/>
      <c r="L9717" t="s" s="16">
        <f>HYPERLINK("http://csr.bu.edu/ftp/asl/asllvd/demos/verify_start_end_handshape_annotations//test_auto_move//signs_mov_separ_signers/Brady_16512.mov","MOV")</f>
        <v>21</v>
      </c>
      <c r="M9717" t="s" s="10">
        <v>31</v>
      </c>
      <c r="N9717" s="17">
        <v>33</v>
      </c>
      <c r="O9717" s="18">
        <v>9625</v>
      </c>
      <c r="P9717" s="18">
        <v>9675</v>
      </c>
      <c r="Q9717" s="15"/>
      <c r="R9717" t="s" s="16">
        <f>HYPERLINK("http://secrets.rutgers.edu:8080/data/asl-ftp/asllvd/demos/verify_start_end_handshape_annotations//test_auto_move//signs_mov_separ_signers/Brady_16512.mov","MOV")</f>
        <v>21</v>
      </c>
    </row>
    <row r="9718" s="2" customFormat="1" ht="13.5" customHeight="1">
      <c r="B9718" t="s" s="8">
        <v>3612</v>
      </c>
      <c r="C9718" t="s" s="9">
        <v>14</v>
      </c>
      <c r="D9718" t="s" s="8">
        <v>14</v>
      </c>
      <c r="E9718" t="s" s="9">
        <v>14</v>
      </c>
      <c r="F9718" t="s" s="10">
        <v>14</v>
      </c>
      <c r="G9718" t="s" s="11">
        <v>14</v>
      </c>
      <c r="H9718" t="s" s="10">
        <v>14</v>
      </c>
      <c r="I9718" t="s" s="11">
        <v>14</v>
      </c>
      <c r="J9718" t="s" s="11">
        <v>14</v>
      </c>
      <c r="K9718" t="s" s="12">
        <v>14</v>
      </c>
      <c r="L9718" t="s" s="12">
        <v>14</v>
      </c>
      <c r="M9718" t="s" s="10">
        <v>14</v>
      </c>
      <c r="N9718" t="s" s="11">
        <v>14</v>
      </c>
      <c r="O9718" t="s" s="8">
        <v>14</v>
      </c>
      <c r="P9718" t="s" s="8">
        <v>14</v>
      </c>
      <c r="Q9718" t="s" s="12">
        <v>14</v>
      </c>
      <c r="R9718" t="s" s="12">
        <v>14</v>
      </c>
    </row>
    <row r="9719" s="2" customFormat="1" ht="13.5" customHeight="1">
      <c r="B9719" s="13"/>
      <c r="C9719" t="s" s="9">
        <v>16</v>
      </c>
      <c r="D9719" t="s" s="8">
        <v>3612</v>
      </c>
      <c r="E9719" t="s" s="9">
        <v>3613</v>
      </c>
      <c r="F9719" t="s" s="10">
        <v>73</v>
      </c>
      <c r="G9719" t="s" s="11">
        <v>73</v>
      </c>
      <c r="H9719" t="s" s="10">
        <v>73</v>
      </c>
      <c r="I9719" t="s" s="11">
        <v>73</v>
      </c>
      <c r="J9719" t="s" s="11">
        <v>20</v>
      </c>
      <c r="K9719" s="15"/>
      <c r="L9719" t="s" s="16">
        <f>HYPERLINK("http://csr.bu.edu/ftp/asl/asllvd/demos/verify_start_end_handshape_annotations//test_auto_move//signs_mov_separ_signers/Liz_2892.mov","MOV")</f>
        <v>21</v>
      </c>
      <c r="M9719" t="s" s="10">
        <v>59</v>
      </c>
      <c r="N9719" s="17">
        <v>44</v>
      </c>
      <c r="O9719" s="18">
        <v>815</v>
      </c>
      <c r="P9719" s="18">
        <v>880</v>
      </c>
      <c r="Q9719" s="15"/>
      <c r="R9719" t="s" s="16">
        <f>HYPERLINK("http://secrets.rutgers.edu:8080/data/asl-ftp/asllvd/demos/verify_start_end_handshape_annotations//test_auto_move//signs_mov_separ_signers/Liz_2892.mov","MOV")</f>
        <v>21</v>
      </c>
    </row>
    <row r="9720" s="2" customFormat="1" ht="13.5" customHeight="1">
      <c r="B9720" s="13"/>
      <c r="C9720" t="s" s="9">
        <v>30</v>
      </c>
      <c r="D9720" t="s" s="8">
        <v>3612</v>
      </c>
      <c r="E9720" t="s" s="9">
        <v>3613</v>
      </c>
      <c r="F9720" t="s" s="10">
        <v>73</v>
      </c>
      <c r="G9720" t="s" s="11">
        <v>73</v>
      </c>
      <c r="H9720" t="s" s="10">
        <v>73</v>
      </c>
      <c r="I9720" t="s" s="11">
        <v>73</v>
      </c>
      <c r="J9720" t="s" s="11">
        <v>20</v>
      </c>
      <c r="K9720" t="s" s="16">
        <f>HYPERLINK("http://csr.bu.edu/ftp/asl/asllvd/demos/verify_start_end_handshape_annotations//test_auto_move//signs_mov/2892_3461_3466_merged.mov","MOV")</f>
        <v>21</v>
      </c>
      <c r="L9720" t="s" s="16">
        <f>HYPERLINK("http://csr.bu.edu/ftp/asl/asllvd/demos/verify_start_end_handshape_annotations//test_auto_move//signs_mov_separ_signers/Brady_2892.mov","MOV")</f>
        <v>21</v>
      </c>
      <c r="M9720" t="s" s="10">
        <v>40</v>
      </c>
      <c r="N9720" s="17">
        <v>73</v>
      </c>
      <c r="O9720" s="18">
        <v>225</v>
      </c>
      <c r="P9720" s="18">
        <v>266</v>
      </c>
      <c r="Q9720" t="s" s="16">
        <f>HYPERLINK("http://secrets.rutgers.edu:8080/data/asl-ftp/asllvd/demos/verify_start_end_handshape_annotations//test_auto_move//signs_mov/2892_3461_3466_merged.mov","MOV")</f>
        <v>21</v>
      </c>
      <c r="R9720" t="s" s="16">
        <f>HYPERLINK("http://secrets.rutgers.edu:8080/data/asl-ftp/asllvd/demos/verify_start_end_handshape_annotations//test_auto_move//signs_mov_separ_signers/Brady_2892.mov","MOV")</f>
        <v>21</v>
      </c>
    </row>
    <row r="9721" s="2" customFormat="1" ht="13.5" customHeight="1">
      <c r="B9721" s="13"/>
      <c r="C9721" t="s" s="9">
        <v>30</v>
      </c>
      <c r="D9721" t="s" s="8">
        <v>3612</v>
      </c>
      <c r="E9721" t="s" s="9">
        <v>3613</v>
      </c>
      <c r="F9721" t="s" s="10">
        <v>73</v>
      </c>
      <c r="G9721" t="s" s="11">
        <v>73</v>
      </c>
      <c r="H9721" t="s" s="10">
        <v>73</v>
      </c>
      <c r="I9721" t="s" s="11">
        <v>73</v>
      </c>
      <c r="J9721" t="s" s="11">
        <v>20</v>
      </c>
      <c r="K9721" s="15"/>
      <c r="L9721" t="s" s="16">
        <f>HYPERLINK("http://csr.bu.edu/ftp/asl/asllvd/demos/verify_start_end_handshape_annotations//test_auto_move//signs_mov_separ_signers/Brady_3461.mov","MOV")</f>
        <v>21</v>
      </c>
      <c r="M9721" t="s" s="10">
        <v>60</v>
      </c>
      <c r="N9721" s="17">
        <v>32</v>
      </c>
      <c r="O9721" s="18">
        <v>1319</v>
      </c>
      <c r="P9721" s="18">
        <v>1358</v>
      </c>
      <c r="Q9721" s="15"/>
      <c r="R9721" t="s" s="16">
        <f>HYPERLINK("http://secrets.rutgers.edu:8080/data/asl-ftp/asllvd/demos/verify_start_end_handshape_annotations//test_auto_move//signs_mov_separ_signers/Brady_3461.mov","MOV")</f>
        <v>21</v>
      </c>
    </row>
    <row r="9722" s="2" customFormat="1" ht="13.5" customHeight="1">
      <c r="B9722" s="13"/>
      <c r="C9722" t="s" s="9">
        <v>30</v>
      </c>
      <c r="D9722" t="s" s="8">
        <v>3612</v>
      </c>
      <c r="E9722" t="s" s="9">
        <v>3614</v>
      </c>
      <c r="F9722" t="s" s="10">
        <v>73</v>
      </c>
      <c r="G9722" t="s" s="11">
        <v>73</v>
      </c>
      <c r="H9722" t="s" s="10">
        <v>73</v>
      </c>
      <c r="I9722" t="s" s="11">
        <v>73</v>
      </c>
      <c r="J9722" t="s" s="11">
        <v>20</v>
      </c>
      <c r="K9722" s="15"/>
      <c r="L9722" t="s" s="16">
        <f>HYPERLINK("http://csr.bu.edu/ftp/asl/asllvd/demos/verify_start_end_handshape_annotations//test_auto_move//signs_mov_separ_signers/Brady_3466.mov","MOV")</f>
        <v>21</v>
      </c>
      <c r="M9722" t="s" s="10">
        <v>60</v>
      </c>
      <c r="N9722" s="17">
        <v>51</v>
      </c>
      <c r="O9722" s="18">
        <v>2436</v>
      </c>
      <c r="P9722" s="18">
        <v>2492</v>
      </c>
      <c r="Q9722" s="15"/>
      <c r="R9722" t="s" s="16">
        <f>HYPERLINK("http://secrets.rutgers.edu:8080/data/asl-ftp/asllvd/demos/verify_start_end_handshape_annotations//test_auto_move//signs_mov_separ_signers/Brady_3466.mov","MOV")</f>
        <v>21</v>
      </c>
    </row>
    <row r="9723" s="2" customFormat="1" ht="13.5" customHeight="1">
      <c r="B9723" t="s" s="8">
        <v>3615</v>
      </c>
      <c r="C9723" t="s" s="9">
        <v>14</v>
      </c>
      <c r="D9723" t="s" s="8">
        <v>14</v>
      </c>
      <c r="E9723" t="s" s="9">
        <v>14</v>
      </c>
      <c r="F9723" t="s" s="10">
        <v>14</v>
      </c>
      <c r="G9723" t="s" s="11">
        <v>14</v>
      </c>
      <c r="H9723" t="s" s="10">
        <v>14</v>
      </c>
      <c r="I9723" t="s" s="11">
        <v>14</v>
      </c>
      <c r="J9723" t="s" s="11">
        <v>14</v>
      </c>
      <c r="K9723" t="s" s="12">
        <v>14</v>
      </c>
      <c r="L9723" t="s" s="12">
        <v>14</v>
      </c>
      <c r="M9723" t="s" s="10">
        <v>14</v>
      </c>
      <c r="N9723" t="s" s="11">
        <v>14</v>
      </c>
      <c r="O9723" t="s" s="8">
        <v>14</v>
      </c>
      <c r="P9723" t="s" s="8">
        <v>14</v>
      </c>
      <c r="Q9723" t="s" s="12">
        <v>14</v>
      </c>
      <c r="R9723" t="s" s="12">
        <v>14</v>
      </c>
    </row>
    <row r="9724" s="2" customFormat="1" ht="13.5" customHeight="1">
      <c r="B9724" s="13"/>
      <c r="C9724" t="s" s="9">
        <v>16</v>
      </c>
      <c r="D9724" t="s" s="8">
        <v>3615</v>
      </c>
      <c r="E9724" t="s" s="9">
        <v>3616</v>
      </c>
      <c r="F9724" t="s" s="10">
        <v>109</v>
      </c>
      <c r="G9724" t="s" s="11">
        <v>55</v>
      </c>
      <c r="H9724" t="s" s="10">
        <v>109</v>
      </c>
      <c r="I9724" t="s" s="11">
        <v>55</v>
      </c>
      <c r="J9724" t="s" s="11">
        <v>20</v>
      </c>
      <c r="K9724" s="15"/>
      <c r="L9724" t="s" s="16">
        <f>HYPERLINK("http://csr.bu.edu/ftp/asl/asllvd/demos/verify_start_end_handshape_annotations//test_auto_move//signs_mov_separ_signers/Liz_3246.mov","MOV")</f>
        <v>21</v>
      </c>
      <c r="M9724" t="s" s="10">
        <v>36</v>
      </c>
      <c r="N9724" s="17">
        <v>22</v>
      </c>
      <c r="O9724" s="18">
        <v>2950</v>
      </c>
      <c r="P9724" s="18">
        <v>3020</v>
      </c>
      <c r="Q9724" s="15"/>
      <c r="R9724" t="s" s="16">
        <f>HYPERLINK("http://secrets.rutgers.edu:8080/data/asl-ftp/asllvd/demos/verify_start_end_handshape_annotations//test_auto_move//signs_mov_separ_signers/Liz_3246.mov","MOV")</f>
        <v>21</v>
      </c>
    </row>
    <row r="9725" s="2" customFormat="1" ht="13.5" customHeight="1">
      <c r="B9725" s="13"/>
      <c r="C9725" t="s" s="9">
        <v>16</v>
      </c>
      <c r="D9725" t="s" s="8">
        <v>3615</v>
      </c>
      <c r="E9725" t="s" s="9">
        <v>3616</v>
      </c>
      <c r="F9725" t="s" s="10">
        <v>73</v>
      </c>
      <c r="G9725" t="s" s="11">
        <v>55</v>
      </c>
      <c r="H9725" t="s" s="10">
        <v>73</v>
      </c>
      <c r="I9725" t="s" s="11">
        <v>55</v>
      </c>
      <c r="J9725" t="s" s="11">
        <v>20</v>
      </c>
      <c r="K9725" t="s" s="16">
        <f>HYPERLINK("http://csr.bu.edu/ftp/asl/asllvd/demos/verify_start_end_handshape_annotations//test_auto_move//signs_mov/3246_3508_merged.mov","MOV")</f>
        <v>21</v>
      </c>
      <c r="L9725" t="s" s="16">
        <f>HYPERLINK("http://csr.bu.edu/ftp/asl/asllvd/demos/verify_start_end_handshape_annotations//test_auto_move//signs_mov_separ_signers/Liz_3508.mov","MOV")</f>
        <v>21</v>
      </c>
      <c r="M9725" t="s" s="10">
        <v>59</v>
      </c>
      <c r="N9725" s="17">
        <v>44</v>
      </c>
      <c r="O9725" s="18">
        <v>1660</v>
      </c>
      <c r="P9725" s="18">
        <v>1725</v>
      </c>
      <c r="Q9725" t="s" s="16">
        <f>HYPERLINK("http://secrets.rutgers.edu:8080/data/asl-ftp/asllvd/demos/verify_start_end_handshape_annotations//test_auto_move//signs_mov/3246_3508_merged.mov","MOV")</f>
        <v>21</v>
      </c>
      <c r="R9725" t="s" s="16">
        <f>HYPERLINK("http://secrets.rutgers.edu:8080/data/asl-ftp/asllvd/demos/verify_start_end_handshape_annotations//test_auto_move//signs_mov_separ_signers/Liz_3508.mov","MOV")</f>
        <v>21</v>
      </c>
    </row>
    <row r="9726" s="2" customFormat="1" ht="13.5" customHeight="1">
      <c r="B9726" s="13"/>
      <c r="C9726" t="s" s="9">
        <v>30</v>
      </c>
      <c r="D9726" t="s" s="8">
        <v>3615</v>
      </c>
      <c r="E9726" t="s" s="9">
        <v>3616</v>
      </c>
      <c r="F9726" t="s" s="10">
        <v>73</v>
      </c>
      <c r="G9726" t="s" s="11">
        <v>73</v>
      </c>
      <c r="H9726" t="s" s="10">
        <v>73</v>
      </c>
      <c r="I9726" t="s" s="11">
        <v>73</v>
      </c>
      <c r="J9726" t="s" s="11">
        <v>20</v>
      </c>
      <c r="K9726" s="15"/>
      <c r="L9726" t="s" s="16">
        <f>HYPERLINK("http://csr.bu.edu/ftp/asl/asllvd/demos/verify_start_end_handshape_annotations//test_auto_move//signs_mov_separ_signers/Brady_3246.mov","MOV")</f>
        <v>21</v>
      </c>
      <c r="M9726" t="s" s="10">
        <v>60</v>
      </c>
      <c r="N9726" s="17">
        <v>32</v>
      </c>
      <c r="O9726" s="18">
        <v>1861</v>
      </c>
      <c r="P9726" s="18">
        <v>1906</v>
      </c>
      <c r="Q9726" s="15"/>
      <c r="R9726" t="s" s="16">
        <f>HYPERLINK("http://secrets.rutgers.edu:8080/data/asl-ftp/asllvd/demos/verify_start_end_handshape_annotations//test_auto_move//signs_mov_separ_signers/Brady_3246.mov","MOV")</f>
        <v>21</v>
      </c>
    </row>
    <row r="9727" s="2" customFormat="1" ht="13.5" customHeight="1">
      <c r="B9727" t="s" s="8">
        <v>3617</v>
      </c>
      <c r="C9727" t="s" s="9">
        <v>14</v>
      </c>
      <c r="D9727" t="s" s="8">
        <v>14</v>
      </c>
      <c r="E9727" t="s" s="9">
        <v>14</v>
      </c>
      <c r="F9727" t="s" s="10">
        <v>14</v>
      </c>
      <c r="G9727" t="s" s="11">
        <v>14</v>
      </c>
      <c r="H9727" t="s" s="10">
        <v>14</v>
      </c>
      <c r="I9727" t="s" s="11">
        <v>14</v>
      </c>
      <c r="J9727" t="s" s="11">
        <v>14</v>
      </c>
      <c r="K9727" t="s" s="12">
        <v>14</v>
      </c>
      <c r="L9727" t="s" s="12">
        <v>14</v>
      </c>
      <c r="M9727" t="s" s="10">
        <v>14</v>
      </c>
      <c r="N9727" t="s" s="11">
        <v>14</v>
      </c>
      <c r="O9727" t="s" s="8">
        <v>14</v>
      </c>
      <c r="P9727" t="s" s="8">
        <v>14</v>
      </c>
      <c r="Q9727" t="s" s="12">
        <v>14</v>
      </c>
      <c r="R9727" t="s" s="12">
        <v>14</v>
      </c>
    </row>
    <row r="9728" s="2" customFormat="1" ht="13.5" customHeight="1">
      <c r="B9728" s="13"/>
      <c r="C9728" t="s" s="9">
        <v>16</v>
      </c>
      <c r="D9728" t="s" s="8">
        <v>3617</v>
      </c>
      <c r="E9728" t="s" s="9">
        <v>3617</v>
      </c>
      <c r="F9728" t="s" s="10">
        <v>2795</v>
      </c>
      <c r="G9728" t="s" s="11">
        <v>2795</v>
      </c>
      <c r="H9728" t="s" s="10">
        <v>68</v>
      </c>
      <c r="I9728" t="s" s="11">
        <v>68</v>
      </c>
      <c r="J9728" t="s" s="11">
        <v>20</v>
      </c>
      <c r="K9728" t="s" s="16">
        <f>HYPERLINK("http://csr.bu.edu/ftp/asl/asllvd/demos/verify_start_end_handshape_annotations//test_auto_move//signs_mov/2897.mov","MOV")</f>
        <v>21</v>
      </c>
      <c r="L9728" t="s" s="16">
        <f>HYPERLINK("http://csr.bu.edu/ftp/asl/asllvd/demos/verify_start_end_handshape_annotations//test_auto_move//signs_mov_separ_signers/Liz_2897.mov","MOV")</f>
        <v>21</v>
      </c>
      <c r="M9728" t="s" s="10">
        <v>59</v>
      </c>
      <c r="N9728" s="17">
        <v>44</v>
      </c>
      <c r="O9728" s="18">
        <v>2415</v>
      </c>
      <c r="P9728" s="18">
        <v>2451</v>
      </c>
      <c r="Q9728" t="s" s="16">
        <f>HYPERLINK("http://secrets.rutgers.edu:8080/data/asl-ftp/asllvd/demos/verify_start_end_handshape_annotations//test_auto_move//signs_mov/2897.mov","MOV")</f>
        <v>21</v>
      </c>
      <c r="R9728" t="s" s="16">
        <f>HYPERLINK("http://secrets.rutgers.edu:8080/data/asl-ftp/asllvd/demos/verify_start_end_handshape_annotations//test_auto_move//signs_mov_separ_signers/Liz_2897.mov","MOV")</f>
        <v>21</v>
      </c>
    </row>
    <row r="9729" s="2" customFormat="1" ht="13.5" customHeight="1">
      <c r="B9729" s="13"/>
      <c r="C9729" t="s" s="9">
        <v>30</v>
      </c>
      <c r="D9729" t="s" s="8">
        <v>3617</v>
      </c>
      <c r="E9729" t="s" s="9">
        <v>3617</v>
      </c>
      <c r="F9729" t="s" s="10">
        <v>406</v>
      </c>
      <c r="G9729" t="s" s="11">
        <v>406</v>
      </c>
      <c r="H9729" t="s" s="10">
        <v>68</v>
      </c>
      <c r="I9729" t="s" s="11">
        <v>68</v>
      </c>
      <c r="J9729" t="s" s="11">
        <v>20</v>
      </c>
      <c r="K9729" s="15"/>
      <c r="L9729" t="s" s="16">
        <f>HYPERLINK("http://csr.bu.edu/ftp/asl/asllvd/demos/verify_start_end_handshape_annotations//test_auto_move//signs_mov_separ_signers/Brady_2897.mov","MOV")</f>
        <v>21</v>
      </c>
      <c r="M9729" t="s" s="10">
        <v>60</v>
      </c>
      <c r="N9729" s="17">
        <v>33</v>
      </c>
      <c r="O9729" s="18">
        <v>350</v>
      </c>
      <c r="P9729" s="18">
        <v>372</v>
      </c>
      <c r="Q9729" s="15"/>
      <c r="R9729" t="s" s="16">
        <f>HYPERLINK("http://secrets.rutgers.edu:8080/data/asl-ftp/asllvd/demos/verify_start_end_handshape_annotations//test_auto_move//signs_mov_separ_signers/Brady_2897.mov","MOV")</f>
        <v>21</v>
      </c>
    </row>
    <row r="9730" s="2" customFormat="1" ht="13.5" customHeight="1">
      <c r="B9730" t="s" s="8">
        <v>3618</v>
      </c>
      <c r="C9730" t="s" s="9">
        <v>14</v>
      </c>
      <c r="D9730" t="s" s="8">
        <v>14</v>
      </c>
      <c r="E9730" t="s" s="9">
        <v>14</v>
      </c>
      <c r="F9730" t="s" s="10">
        <v>14</v>
      </c>
      <c r="G9730" t="s" s="11">
        <v>14</v>
      </c>
      <c r="H9730" t="s" s="10">
        <v>14</v>
      </c>
      <c r="I9730" t="s" s="11">
        <v>14</v>
      </c>
      <c r="J9730" t="s" s="11">
        <v>14</v>
      </c>
      <c r="K9730" t="s" s="12">
        <v>14</v>
      </c>
      <c r="L9730" t="s" s="12">
        <v>14</v>
      </c>
      <c r="M9730" t="s" s="10">
        <v>14</v>
      </c>
      <c r="N9730" t="s" s="11">
        <v>14</v>
      </c>
      <c r="O9730" t="s" s="8">
        <v>14</v>
      </c>
      <c r="P9730" t="s" s="8">
        <v>14</v>
      </c>
      <c r="Q9730" t="s" s="12">
        <v>14</v>
      </c>
      <c r="R9730" t="s" s="12">
        <v>14</v>
      </c>
    </row>
    <row r="9731" s="2" customFormat="1" ht="13.5" customHeight="1">
      <c r="B9731" s="13"/>
      <c r="C9731" t="s" s="9">
        <v>16</v>
      </c>
      <c r="D9731" t="s" s="8">
        <v>3618</v>
      </c>
      <c r="E9731" t="s" s="9">
        <v>3618</v>
      </c>
      <c r="F9731" t="s" s="10">
        <v>406</v>
      </c>
      <c r="G9731" t="s" s="11">
        <v>406</v>
      </c>
      <c r="H9731" t="s" s="10">
        <v>406</v>
      </c>
      <c r="I9731" t="s" s="11">
        <v>406</v>
      </c>
      <c r="J9731" t="s" s="11">
        <v>20</v>
      </c>
      <c r="K9731" t="s" s="16">
        <f>HYPERLINK("http://csr.bu.edu/ftp/asl/asllvd/demos/verify_start_end_handshape_annotations//test_auto_move//signs_mov/2898.mov","MOV")</f>
        <v>21</v>
      </c>
      <c r="L9731" t="s" s="16">
        <f>HYPERLINK("http://csr.bu.edu/ftp/asl/asllvd/demos/verify_start_end_handshape_annotations//test_auto_move//signs_mov_separ_signers/Liz_2898.mov","MOV")</f>
        <v>21</v>
      </c>
      <c r="M9731" t="s" s="10">
        <v>59</v>
      </c>
      <c r="N9731" s="17">
        <v>44</v>
      </c>
      <c r="O9731" s="18">
        <v>2671</v>
      </c>
      <c r="P9731" s="18">
        <v>2727</v>
      </c>
      <c r="Q9731" t="s" s="16">
        <f>HYPERLINK("http://secrets.rutgers.edu:8080/data/asl-ftp/asllvd/demos/verify_start_end_handshape_annotations//test_auto_move//signs_mov/2898.mov","MOV")</f>
        <v>21</v>
      </c>
      <c r="R9731" t="s" s="16">
        <f>HYPERLINK("http://secrets.rutgers.edu:8080/data/asl-ftp/asllvd/demos/verify_start_end_handshape_annotations//test_auto_move//signs_mov_separ_signers/Liz_2898.mov","MOV")</f>
        <v>21</v>
      </c>
    </row>
    <row r="9732" s="2" customFormat="1" ht="13.5" customHeight="1">
      <c r="B9732" s="13"/>
      <c r="C9732" t="s" s="9">
        <v>30</v>
      </c>
      <c r="D9732" t="s" s="8">
        <v>3618</v>
      </c>
      <c r="E9732" t="s" s="9">
        <v>3618</v>
      </c>
      <c r="F9732" t="s" s="10">
        <v>406</v>
      </c>
      <c r="G9732" t="s" s="11">
        <v>406</v>
      </c>
      <c r="H9732" t="s" s="10">
        <v>406</v>
      </c>
      <c r="I9732" t="s" s="11">
        <v>406</v>
      </c>
      <c r="J9732" t="s" s="11">
        <v>20</v>
      </c>
      <c r="K9732" s="15"/>
      <c r="L9732" t="s" s="16">
        <f>HYPERLINK("http://csr.bu.edu/ftp/asl/asllvd/demos/verify_start_end_handshape_annotations//test_auto_move//signs_mov_separ_signers/Brady_2898.mov","MOV")</f>
        <v>21</v>
      </c>
      <c r="M9732" t="s" s="10">
        <v>60</v>
      </c>
      <c r="N9732" s="17">
        <v>33</v>
      </c>
      <c r="O9732" s="18">
        <v>597</v>
      </c>
      <c r="P9732" s="18">
        <v>631</v>
      </c>
      <c r="Q9732" s="15"/>
      <c r="R9732" t="s" s="16">
        <f>HYPERLINK("http://secrets.rutgers.edu:8080/data/asl-ftp/asllvd/demos/verify_start_end_handshape_annotations//test_auto_move//signs_mov_separ_signers/Brady_2898.mov","MOV")</f>
        <v>21</v>
      </c>
    </row>
    <row r="9733" s="2" customFormat="1" ht="13.5" customHeight="1">
      <c r="B9733" t="s" s="8">
        <v>3619</v>
      </c>
      <c r="C9733" t="s" s="9">
        <v>14</v>
      </c>
      <c r="D9733" t="s" s="8">
        <v>14</v>
      </c>
      <c r="E9733" t="s" s="9">
        <v>14</v>
      </c>
      <c r="F9733" t="s" s="10">
        <v>14</v>
      </c>
      <c r="G9733" t="s" s="11">
        <v>14</v>
      </c>
      <c r="H9733" t="s" s="10">
        <v>14</v>
      </c>
      <c r="I9733" t="s" s="11">
        <v>14</v>
      </c>
      <c r="J9733" t="s" s="11">
        <v>14</v>
      </c>
      <c r="K9733" t="s" s="12">
        <v>14</v>
      </c>
      <c r="L9733" t="s" s="12">
        <v>14</v>
      </c>
      <c r="M9733" t="s" s="10">
        <v>14</v>
      </c>
      <c r="N9733" t="s" s="11">
        <v>14</v>
      </c>
      <c r="O9733" t="s" s="8">
        <v>14</v>
      </c>
      <c r="P9733" t="s" s="8">
        <v>14</v>
      </c>
      <c r="Q9733" t="s" s="12">
        <v>14</v>
      </c>
      <c r="R9733" t="s" s="12">
        <v>14</v>
      </c>
    </row>
    <row r="9734" s="2" customFormat="1" ht="13.5" customHeight="1">
      <c r="B9734" s="13"/>
      <c r="C9734" t="s" s="9">
        <v>16</v>
      </c>
      <c r="D9734" t="s" s="8">
        <v>3619</v>
      </c>
      <c r="E9734" t="s" s="9">
        <v>3619</v>
      </c>
      <c r="F9734" t="s" s="10">
        <v>287</v>
      </c>
      <c r="G9734" t="s" s="11">
        <v>287</v>
      </c>
      <c r="H9734" t="s" s="10">
        <v>287</v>
      </c>
      <c r="I9734" t="s" s="11">
        <v>287</v>
      </c>
      <c r="J9734" t="s" s="11">
        <v>20</v>
      </c>
      <c r="K9734" s="15"/>
      <c r="L9734" t="s" s="16">
        <f>HYPERLINK("http://csr.bu.edu/ftp/asl/asllvd/demos/verify_start_end_handshape_annotations//test_auto_move//signs_mov_separ_signers/Liz_15309.mov","MOV")</f>
        <v>21</v>
      </c>
      <c r="M9734" t="s" s="10">
        <v>34</v>
      </c>
      <c r="N9734" s="17">
        <v>34</v>
      </c>
      <c r="O9734" s="18">
        <v>920</v>
      </c>
      <c r="P9734" s="18">
        <v>975</v>
      </c>
      <c r="Q9734" s="15"/>
      <c r="R9734" t="s" s="16">
        <f>HYPERLINK("http://secrets.rutgers.edu:8080/data/asl-ftp/asllvd/demos/verify_start_end_handshape_annotations//test_auto_move//signs_mov_separ_signers/Liz_15309.mov","MOV")</f>
        <v>21</v>
      </c>
    </row>
    <row r="9735" s="2" customFormat="1" ht="13.5" customHeight="1">
      <c r="B9735" s="13"/>
      <c r="C9735" t="s" s="9">
        <v>23</v>
      </c>
      <c r="D9735" t="s" s="8">
        <v>3619</v>
      </c>
      <c r="E9735" t="s" s="9">
        <v>3619</v>
      </c>
      <c r="F9735" t="s" s="10">
        <v>287</v>
      </c>
      <c r="G9735" t="s" s="11">
        <v>287</v>
      </c>
      <c r="H9735" t="s" s="10">
        <v>287</v>
      </c>
      <c r="I9735" t="s" s="11">
        <v>287</v>
      </c>
      <c r="J9735" t="s" s="11">
        <v>20</v>
      </c>
      <c r="K9735" t="s" s="16">
        <f>HYPERLINK("http://csr.bu.edu/ftp/asl/asllvd/demos/verify_start_end_handshape_annotations//test_auto_move//signs_mov/15309.mov","MOV")</f>
        <v>21</v>
      </c>
      <c r="L9735" t="s" s="16">
        <f>HYPERLINK("http://csr.bu.edu/ftp/asl/asllvd/demos/verify_start_end_handshape_annotations//test_auto_move//signs_mov_separ_signers/Tyler_15309.mov","MOV")</f>
        <v>21</v>
      </c>
      <c r="M9735" t="s" s="10">
        <v>37</v>
      </c>
      <c r="N9735" s="17">
        <v>8</v>
      </c>
      <c r="O9735" s="18">
        <v>505</v>
      </c>
      <c r="P9735" s="18">
        <v>550</v>
      </c>
      <c r="Q9735" t="s" s="16">
        <f>HYPERLINK("http://secrets.rutgers.edu:8080/data/asl-ftp/asllvd/demos/verify_start_end_handshape_annotations//test_auto_move//signs_mov/15309.mov","MOV")</f>
        <v>21</v>
      </c>
      <c r="R9735" t="s" s="16">
        <f>HYPERLINK("http://secrets.rutgers.edu:8080/data/asl-ftp/asllvd/demos/verify_start_end_handshape_annotations//test_auto_move//signs_mov_separ_signers/Tyler_15309.mov","MOV")</f>
        <v>21</v>
      </c>
    </row>
    <row r="9736" s="2" customFormat="1" ht="13.5" customHeight="1">
      <c r="B9736" s="13"/>
      <c r="C9736" t="s" s="9">
        <v>27</v>
      </c>
      <c r="D9736" t="s" s="8">
        <v>3619</v>
      </c>
      <c r="E9736" t="s" s="9">
        <v>3619</v>
      </c>
      <c r="F9736" t="s" s="10">
        <v>287</v>
      </c>
      <c r="G9736" t="s" s="11">
        <v>287</v>
      </c>
      <c r="H9736" t="s" s="10">
        <v>287</v>
      </c>
      <c r="I9736" t="s" s="11">
        <v>287</v>
      </c>
      <c r="J9736" t="s" s="11">
        <v>20</v>
      </c>
      <c r="K9736" s="15"/>
      <c r="L9736" t="s" s="16">
        <f>HYPERLINK("http://csr.bu.edu/ftp/asl/asllvd/demos/verify_start_end_handshape_annotations//test_auto_move//signs_mov_separ_signers/Naomi_15309.mov","MOV")</f>
        <v>21</v>
      </c>
      <c r="M9736" t="s" s="10">
        <v>38</v>
      </c>
      <c r="N9736" s="17">
        <v>28</v>
      </c>
      <c r="O9736" s="18">
        <v>527</v>
      </c>
      <c r="P9736" s="18">
        <v>557</v>
      </c>
      <c r="Q9736" s="15"/>
      <c r="R9736" t="s" s="16">
        <f>HYPERLINK("http://secrets.rutgers.edu:8080/data/asl-ftp/asllvd/demos/verify_start_end_handshape_annotations//test_auto_move//signs_mov_separ_signers/Naomi_15309.mov","MOV")</f>
        <v>21</v>
      </c>
    </row>
    <row r="9737" s="2" customFormat="1" ht="13.5" customHeight="1">
      <c r="B9737" s="13"/>
      <c r="C9737" t="s" s="9">
        <v>30</v>
      </c>
      <c r="D9737" t="s" s="8">
        <v>3619</v>
      </c>
      <c r="E9737" t="s" s="9">
        <v>3619</v>
      </c>
      <c r="F9737" t="s" s="10">
        <v>287</v>
      </c>
      <c r="G9737" t="s" s="11">
        <v>287</v>
      </c>
      <c r="H9737" t="s" s="10">
        <v>287</v>
      </c>
      <c r="I9737" t="s" s="11">
        <v>287</v>
      </c>
      <c r="J9737" t="s" s="11">
        <v>20</v>
      </c>
      <c r="K9737" s="15"/>
      <c r="L9737" t="s" s="16">
        <f>HYPERLINK("http://csr.bu.edu/ftp/asl/asllvd/demos/verify_start_end_handshape_annotations//test_auto_move//signs_mov_separ_signers/Brady_15309.mov","MOV")</f>
        <v>21</v>
      </c>
      <c r="M9737" t="s" s="10">
        <v>39</v>
      </c>
      <c r="N9737" s="17">
        <v>41</v>
      </c>
      <c r="O9737" s="18">
        <v>1445</v>
      </c>
      <c r="P9737" s="18">
        <v>1479</v>
      </c>
      <c r="Q9737" s="15"/>
      <c r="R9737" t="s" s="16">
        <f>HYPERLINK("http://secrets.rutgers.edu:8080/data/asl-ftp/asllvd/demos/verify_start_end_handshape_annotations//test_auto_move//signs_mov_separ_signers/Brady_15309.mov","MOV")</f>
        <v>21</v>
      </c>
    </row>
    <row r="9738" s="2" customFormat="1" ht="13.5" customHeight="1">
      <c r="B9738" t="s" s="8">
        <v>3620</v>
      </c>
      <c r="C9738" t="s" s="9">
        <v>14</v>
      </c>
      <c r="D9738" t="s" s="8">
        <v>14</v>
      </c>
      <c r="E9738" t="s" s="9">
        <v>14</v>
      </c>
      <c r="F9738" t="s" s="10">
        <v>14</v>
      </c>
      <c r="G9738" t="s" s="11">
        <v>14</v>
      </c>
      <c r="H9738" t="s" s="10">
        <v>14</v>
      </c>
      <c r="I9738" t="s" s="11">
        <v>14</v>
      </c>
      <c r="J9738" t="s" s="11">
        <v>14</v>
      </c>
      <c r="K9738" t="s" s="12">
        <v>14</v>
      </c>
      <c r="L9738" t="s" s="12">
        <v>14</v>
      </c>
      <c r="M9738" t="s" s="10">
        <v>14</v>
      </c>
      <c r="N9738" t="s" s="11">
        <v>14</v>
      </c>
      <c r="O9738" t="s" s="8">
        <v>14</v>
      </c>
      <c r="P9738" t="s" s="8">
        <v>14</v>
      </c>
      <c r="Q9738" t="s" s="12">
        <v>14</v>
      </c>
      <c r="R9738" t="s" s="12">
        <v>14</v>
      </c>
    </row>
    <row r="9739" s="2" customFormat="1" ht="13.5" customHeight="1">
      <c r="B9739" s="13"/>
      <c r="C9739" t="s" s="9">
        <v>16</v>
      </c>
      <c r="D9739" t="s" s="8">
        <v>3620</v>
      </c>
      <c r="E9739" t="s" s="9">
        <v>3620</v>
      </c>
      <c r="F9739" t="s" s="10">
        <v>240</v>
      </c>
      <c r="G9739" t="s" s="11">
        <v>240</v>
      </c>
      <c r="H9739" t="s" s="10">
        <v>240</v>
      </c>
      <c r="I9739" t="s" s="11">
        <v>240</v>
      </c>
      <c r="J9739" t="s" s="11">
        <v>20</v>
      </c>
      <c r="K9739" t="s" s="16">
        <f>HYPERLINK("http://csr.bu.edu/ftp/asl/asllvd/demos/verify_start_end_handshape_annotations//test_auto_move//signs_mov/15564.mov","MOV")</f>
        <v>21</v>
      </c>
      <c r="L9739" t="s" s="16">
        <f>HYPERLINK("http://csr.bu.edu/ftp/asl/asllvd/demos/verify_start_end_handshape_annotations//test_auto_move//signs_mov_separ_signers/Liz_15564.mov","MOV")</f>
        <v>21</v>
      </c>
      <c r="M9739" t="s" s="10">
        <v>59</v>
      </c>
      <c r="N9739" s="17">
        <v>28</v>
      </c>
      <c r="O9739" s="18">
        <v>1260</v>
      </c>
      <c r="P9739" s="18">
        <v>1315</v>
      </c>
      <c r="Q9739" t="s" s="16">
        <f>HYPERLINK("http://secrets.rutgers.edu:8080/data/asl-ftp/asllvd/demos/verify_start_end_handshape_annotations//test_auto_move//signs_mov/15564.mov","MOV")</f>
        <v>21</v>
      </c>
      <c r="R9739" t="s" s="16">
        <f>HYPERLINK("http://secrets.rutgers.edu:8080/data/asl-ftp/asllvd/demos/verify_start_end_handshape_annotations//test_auto_move//signs_mov_separ_signers/Liz_15564.mov","MOV")</f>
        <v>21</v>
      </c>
    </row>
    <row r="9740" s="2" customFormat="1" ht="13.5" customHeight="1">
      <c r="B9740" s="13"/>
      <c r="C9740" t="s" s="9">
        <v>30</v>
      </c>
      <c r="D9740" t="s" s="8">
        <v>3620</v>
      </c>
      <c r="E9740" t="s" s="9">
        <v>3620</v>
      </c>
      <c r="F9740" t="s" s="10">
        <v>240</v>
      </c>
      <c r="G9740" t="s" s="11">
        <v>240</v>
      </c>
      <c r="H9740" t="s" s="10">
        <v>240</v>
      </c>
      <c r="I9740" t="s" s="11">
        <v>240</v>
      </c>
      <c r="J9740" t="s" s="11">
        <v>20</v>
      </c>
      <c r="K9740" s="15"/>
      <c r="L9740" t="s" s="16">
        <f>HYPERLINK("http://csr.bu.edu/ftp/asl/asllvd/demos/verify_start_end_handshape_annotations//test_auto_move//signs_mov_separ_signers/Brady_15564.mov","MOV")</f>
        <v>21</v>
      </c>
      <c r="M9740" t="s" s="10">
        <v>60</v>
      </c>
      <c r="N9740" s="17">
        <v>16</v>
      </c>
      <c r="O9740" s="18">
        <v>3695</v>
      </c>
      <c r="P9740" s="18">
        <v>3738</v>
      </c>
      <c r="Q9740" s="15"/>
      <c r="R9740" t="s" s="16">
        <f>HYPERLINK("http://secrets.rutgers.edu:8080/data/asl-ftp/asllvd/demos/verify_start_end_handshape_annotations//test_auto_move//signs_mov_separ_signers/Brady_15564.mov","MOV")</f>
        <v>21</v>
      </c>
    </row>
    <row r="9741" s="2" customFormat="1" ht="13.5" customHeight="1">
      <c r="B9741" t="s" s="8">
        <v>3621</v>
      </c>
      <c r="C9741" t="s" s="9">
        <v>14</v>
      </c>
      <c r="D9741" t="s" s="8">
        <v>14</v>
      </c>
      <c r="E9741" t="s" s="9">
        <v>14</v>
      </c>
      <c r="F9741" t="s" s="10">
        <v>14</v>
      </c>
      <c r="G9741" t="s" s="11">
        <v>14</v>
      </c>
      <c r="H9741" t="s" s="10">
        <v>14</v>
      </c>
      <c r="I9741" t="s" s="11">
        <v>14</v>
      </c>
      <c r="J9741" t="s" s="11">
        <v>14</v>
      </c>
      <c r="K9741" t="s" s="12">
        <v>14</v>
      </c>
      <c r="L9741" t="s" s="12">
        <v>14</v>
      </c>
      <c r="M9741" t="s" s="10">
        <v>14</v>
      </c>
      <c r="N9741" t="s" s="11">
        <v>14</v>
      </c>
      <c r="O9741" t="s" s="8">
        <v>14</v>
      </c>
      <c r="P9741" t="s" s="8">
        <v>14</v>
      </c>
      <c r="Q9741" t="s" s="12">
        <v>14</v>
      </c>
      <c r="R9741" t="s" s="12">
        <v>14</v>
      </c>
    </row>
    <row r="9742" s="2" customFormat="1" ht="13.5" customHeight="1">
      <c r="B9742" s="13"/>
      <c r="C9742" t="s" s="9">
        <v>16</v>
      </c>
      <c r="D9742" t="s" s="8">
        <v>3621</v>
      </c>
      <c r="E9742" t="s" s="9">
        <v>3622</v>
      </c>
      <c r="F9742" s="19">
        <v>1</v>
      </c>
      <c r="G9742" t="s" s="11">
        <v>73</v>
      </c>
      <c r="H9742" t="s" s="10">
        <v>255</v>
      </c>
      <c r="I9742" t="s" s="11">
        <v>73</v>
      </c>
      <c r="J9742" t="s" s="11">
        <v>20</v>
      </c>
      <c r="K9742" t="s" s="16">
        <f>HYPERLINK("http://csr.bu.edu/ftp/asl/asllvd/demos/verify_start_end_handshape_annotations//test_auto_move//signs_mov/2899.mov","MOV")</f>
        <v>21</v>
      </c>
      <c r="L9742" t="s" s="16">
        <f>HYPERLINK("http://csr.bu.edu/ftp/asl/asllvd/demos/verify_start_end_handshape_annotations//test_auto_move//signs_mov_separ_signers/Liz_2899.mov","MOV")</f>
        <v>21</v>
      </c>
      <c r="M9742" t="s" s="10">
        <v>59</v>
      </c>
      <c r="N9742" s="17">
        <v>44</v>
      </c>
      <c r="O9742" s="18">
        <v>2920</v>
      </c>
      <c r="P9742" s="18">
        <v>2982</v>
      </c>
      <c r="Q9742" t="s" s="16">
        <f>HYPERLINK("http://secrets.rutgers.edu:8080/data/asl-ftp/asllvd/demos/verify_start_end_handshape_annotations//test_auto_move//signs_mov/2899.mov","MOV")</f>
        <v>21</v>
      </c>
      <c r="R9742" t="s" s="16">
        <f>HYPERLINK("http://secrets.rutgers.edu:8080/data/asl-ftp/asllvd/demos/verify_start_end_handshape_annotations//test_auto_move//signs_mov_separ_signers/Liz_2899.mov","MOV")</f>
        <v>21</v>
      </c>
    </row>
    <row r="9743" s="2" customFormat="1" ht="13.5" customHeight="1">
      <c r="B9743" s="13"/>
      <c r="C9743" t="s" s="9">
        <v>30</v>
      </c>
      <c r="D9743" t="s" s="8">
        <v>3621</v>
      </c>
      <c r="E9743" t="s" s="9">
        <v>3623</v>
      </c>
      <c r="F9743" s="19">
        <v>1</v>
      </c>
      <c r="G9743" t="s" s="11">
        <v>73</v>
      </c>
      <c r="H9743" t="s" s="10">
        <v>255</v>
      </c>
      <c r="I9743" t="s" s="11">
        <v>73</v>
      </c>
      <c r="J9743" t="s" s="11">
        <v>20</v>
      </c>
      <c r="K9743" s="15"/>
      <c r="L9743" t="s" s="16">
        <f>HYPERLINK("http://csr.bu.edu/ftp/asl/asllvd/demos/verify_start_end_handshape_annotations//test_auto_move//signs_mov_separ_signers/Brady_2899.mov","MOV")</f>
        <v>21</v>
      </c>
      <c r="M9743" t="s" s="10">
        <v>60</v>
      </c>
      <c r="N9743" s="17">
        <v>33</v>
      </c>
      <c r="O9743" s="18">
        <v>825</v>
      </c>
      <c r="P9743" s="18">
        <v>859</v>
      </c>
      <c r="Q9743" s="15"/>
      <c r="R9743" t="s" s="16">
        <f>HYPERLINK("http://secrets.rutgers.edu:8080/data/asl-ftp/asllvd/demos/verify_start_end_handshape_annotations//test_auto_move//signs_mov_separ_signers/Brady_2899.mov","MOV")</f>
        <v>21</v>
      </c>
    </row>
    <row r="9744" s="2" customFormat="1" ht="13.5" customHeight="1">
      <c r="B9744" t="s" s="8">
        <v>3624</v>
      </c>
      <c r="C9744" t="s" s="9">
        <v>14</v>
      </c>
      <c r="D9744" t="s" s="8">
        <v>14</v>
      </c>
      <c r="E9744" t="s" s="9">
        <v>14</v>
      </c>
      <c r="F9744" t="s" s="10">
        <v>14</v>
      </c>
      <c r="G9744" t="s" s="11">
        <v>14</v>
      </c>
      <c r="H9744" t="s" s="10">
        <v>14</v>
      </c>
      <c r="I9744" t="s" s="11">
        <v>14</v>
      </c>
      <c r="J9744" t="s" s="11">
        <v>14</v>
      </c>
      <c r="K9744" t="s" s="12">
        <v>14</v>
      </c>
      <c r="L9744" t="s" s="12">
        <v>14</v>
      </c>
      <c r="M9744" t="s" s="10">
        <v>14</v>
      </c>
      <c r="N9744" t="s" s="11">
        <v>14</v>
      </c>
      <c r="O9744" t="s" s="8">
        <v>14</v>
      </c>
      <c r="P9744" t="s" s="8">
        <v>14</v>
      </c>
      <c r="Q9744" t="s" s="12">
        <v>14</v>
      </c>
      <c r="R9744" t="s" s="12">
        <v>14</v>
      </c>
    </row>
    <row r="9745" s="2" customFormat="1" ht="13.5" customHeight="1">
      <c r="B9745" s="13"/>
      <c r="C9745" t="s" s="9">
        <v>16</v>
      </c>
      <c r="D9745" t="s" s="8">
        <v>3624</v>
      </c>
      <c r="E9745" t="s" s="9">
        <v>3625</v>
      </c>
      <c r="F9745" t="s" s="10">
        <v>109</v>
      </c>
      <c r="G9745" t="s" s="11">
        <v>73</v>
      </c>
      <c r="H9745" t="s" s="10">
        <v>109</v>
      </c>
      <c r="I9745" t="s" s="11">
        <v>73</v>
      </c>
      <c r="J9745" t="s" s="11">
        <v>20</v>
      </c>
      <c r="K9745" t="s" s="16">
        <f>HYPERLINK("http://csr.bu.edu/ftp/asl/asllvd/demos/verify_start_end_handshape_annotations//test_auto_move//signs_mov/2900.mov","MOV")</f>
        <v>21</v>
      </c>
      <c r="L9745" t="s" s="16">
        <f>HYPERLINK("http://csr.bu.edu/ftp/asl/asllvd/demos/verify_start_end_handshape_annotations//test_auto_move//signs_mov_separ_signers/Liz_2900.mov","MOV")</f>
        <v>21</v>
      </c>
      <c r="M9745" t="s" s="10">
        <v>59</v>
      </c>
      <c r="N9745" s="17">
        <v>45</v>
      </c>
      <c r="O9745" s="18">
        <v>320</v>
      </c>
      <c r="P9745" s="18">
        <v>390</v>
      </c>
      <c r="Q9745" t="s" s="16">
        <f>HYPERLINK("http://secrets.rutgers.edu:8080/data/asl-ftp/asllvd/demos/verify_start_end_handshape_annotations//test_auto_move//signs_mov/2900.mov","MOV")</f>
        <v>21</v>
      </c>
      <c r="R9745" t="s" s="16">
        <f>HYPERLINK("http://secrets.rutgers.edu:8080/data/asl-ftp/asllvd/demos/verify_start_end_handshape_annotations//test_auto_move//signs_mov_separ_signers/Liz_2900.mov","MOV")</f>
        <v>21</v>
      </c>
    </row>
    <row r="9746" s="2" customFormat="1" ht="13.5" customHeight="1">
      <c r="B9746" s="13"/>
      <c r="C9746" t="s" s="9">
        <v>30</v>
      </c>
      <c r="D9746" t="s" s="8">
        <v>3624</v>
      </c>
      <c r="E9746" t="s" s="9">
        <v>3625</v>
      </c>
      <c r="F9746" t="s" s="10">
        <v>55</v>
      </c>
      <c r="G9746" t="s" s="11">
        <v>55</v>
      </c>
      <c r="H9746" t="s" s="10">
        <v>55</v>
      </c>
      <c r="I9746" t="s" s="11">
        <v>55</v>
      </c>
      <c r="J9746" t="s" s="11">
        <v>20</v>
      </c>
      <c r="K9746" s="15"/>
      <c r="L9746" t="s" s="16">
        <f>HYPERLINK("http://csr.bu.edu/ftp/asl/asllvd/demos/verify_start_end_handshape_annotations//test_auto_move//signs_mov_separ_signers/Brady_2900.mov","MOV")</f>
        <v>21</v>
      </c>
      <c r="M9746" t="s" s="10">
        <v>60</v>
      </c>
      <c r="N9746" s="17">
        <v>33</v>
      </c>
      <c r="O9746" s="18">
        <v>1090</v>
      </c>
      <c r="P9746" s="18">
        <v>1149</v>
      </c>
      <c r="Q9746" s="15"/>
      <c r="R9746" t="s" s="16">
        <f>HYPERLINK("http://secrets.rutgers.edu:8080/data/asl-ftp/asllvd/demos/verify_start_end_handshape_annotations//test_auto_move//signs_mov_separ_signers/Brady_2900.mov","MOV")</f>
        <v>21</v>
      </c>
    </row>
    <row r="9747" s="2" customFormat="1" ht="13.5" customHeight="1">
      <c r="B9747" t="s" s="8">
        <v>3626</v>
      </c>
      <c r="C9747" t="s" s="9">
        <v>14</v>
      </c>
      <c r="D9747" t="s" s="8">
        <v>14</v>
      </c>
      <c r="E9747" t="s" s="9">
        <v>14</v>
      </c>
      <c r="F9747" t="s" s="10">
        <v>14</v>
      </c>
      <c r="G9747" t="s" s="11">
        <v>14</v>
      </c>
      <c r="H9747" t="s" s="10">
        <v>14</v>
      </c>
      <c r="I9747" t="s" s="11">
        <v>14</v>
      </c>
      <c r="J9747" t="s" s="11">
        <v>14</v>
      </c>
      <c r="K9747" t="s" s="12">
        <v>14</v>
      </c>
      <c r="L9747" t="s" s="12">
        <v>14</v>
      </c>
      <c r="M9747" t="s" s="10">
        <v>14</v>
      </c>
      <c r="N9747" t="s" s="11">
        <v>14</v>
      </c>
      <c r="O9747" t="s" s="8">
        <v>14</v>
      </c>
      <c r="P9747" t="s" s="8">
        <v>14</v>
      </c>
      <c r="Q9747" t="s" s="12">
        <v>14</v>
      </c>
      <c r="R9747" t="s" s="12">
        <v>14</v>
      </c>
    </row>
    <row r="9748" s="2" customFormat="1" ht="13.5" customHeight="1">
      <c r="B9748" s="13"/>
      <c r="C9748" t="s" s="9">
        <v>16</v>
      </c>
      <c r="D9748" t="s" s="8">
        <v>3626</v>
      </c>
      <c r="E9748" t="s" s="9">
        <v>3627</v>
      </c>
      <c r="F9748" t="s" s="10">
        <v>55</v>
      </c>
      <c r="G9748" t="s" s="11">
        <v>55</v>
      </c>
      <c r="H9748" t="s" s="10">
        <v>55</v>
      </c>
      <c r="I9748" t="s" s="11">
        <v>55</v>
      </c>
      <c r="J9748" t="s" s="11">
        <v>20</v>
      </c>
      <c r="K9748" t="s" s="16">
        <f>HYPERLINK("http://csr.bu.edu/ftp/asl/asllvd/demos/verify_start_end_handshape_annotations//test_auto_move//signs_mov/16134.mov","MOV")</f>
        <v>21</v>
      </c>
      <c r="L9748" t="s" s="16">
        <f>HYPERLINK("http://csr.bu.edu/ftp/asl/asllvd/demos/verify_start_end_handshape_annotations//test_auto_move//signs_mov_separ_signers/Liz_16134.mov","MOV")</f>
        <v>21</v>
      </c>
      <c r="M9748" t="s" s="10">
        <v>59</v>
      </c>
      <c r="N9748" s="17">
        <v>23</v>
      </c>
      <c r="O9748" s="18">
        <v>3967</v>
      </c>
      <c r="P9748" s="18">
        <v>4009</v>
      </c>
      <c r="Q9748" t="s" s="16">
        <f>HYPERLINK("http://secrets.rutgers.edu:8080/data/asl-ftp/asllvd/demos/verify_start_end_handshape_annotations//test_auto_move//signs_mov/16134.mov","MOV")</f>
        <v>21</v>
      </c>
      <c r="R9748" t="s" s="16">
        <f>HYPERLINK("http://secrets.rutgers.edu:8080/data/asl-ftp/asllvd/demos/verify_start_end_handshape_annotations//test_auto_move//signs_mov_separ_signers/Liz_16134.mov","MOV")</f>
        <v>21</v>
      </c>
    </row>
    <row r="9749" s="2" customFormat="1" ht="13.5" customHeight="1">
      <c r="B9749" s="13"/>
      <c r="C9749" t="s" s="9">
        <v>30</v>
      </c>
      <c r="D9749" t="s" s="8">
        <v>3626</v>
      </c>
      <c r="E9749" t="s" s="9">
        <v>3628</v>
      </c>
      <c r="F9749" t="s" s="10">
        <v>55</v>
      </c>
      <c r="G9749" t="s" s="11">
        <v>55</v>
      </c>
      <c r="H9749" t="s" s="10">
        <v>55</v>
      </c>
      <c r="I9749" t="s" s="11">
        <v>55</v>
      </c>
      <c r="J9749" t="s" s="11">
        <v>20</v>
      </c>
      <c r="K9749" s="15"/>
      <c r="L9749" t="s" s="16">
        <f>HYPERLINK("http://csr.bu.edu/ftp/asl/asllvd/demos/verify_start_end_handshape_annotations//test_auto_move//signs_mov_separ_signers/Brady_16134.mov","MOV")</f>
        <v>21</v>
      </c>
      <c r="M9749" t="s" s="10">
        <v>60</v>
      </c>
      <c r="N9749" s="17">
        <v>12</v>
      </c>
      <c r="O9749" s="18">
        <v>396</v>
      </c>
      <c r="P9749" s="18">
        <v>430</v>
      </c>
      <c r="Q9749" s="15"/>
      <c r="R9749" t="s" s="16">
        <f>HYPERLINK("http://secrets.rutgers.edu:8080/data/asl-ftp/asllvd/demos/verify_start_end_handshape_annotations//test_auto_move//signs_mov_separ_signers/Brady_16134.mov","MOV")</f>
        <v>21</v>
      </c>
    </row>
    <row r="9750" s="2" customFormat="1" ht="13.5" customHeight="1">
      <c r="B9750" t="s" s="8">
        <v>3629</v>
      </c>
      <c r="C9750" t="s" s="9">
        <v>14</v>
      </c>
      <c r="D9750" t="s" s="8">
        <v>14</v>
      </c>
      <c r="E9750" t="s" s="9">
        <v>14</v>
      </c>
      <c r="F9750" t="s" s="10">
        <v>14</v>
      </c>
      <c r="G9750" t="s" s="11">
        <v>14</v>
      </c>
      <c r="H9750" t="s" s="10">
        <v>14</v>
      </c>
      <c r="I9750" t="s" s="11">
        <v>14</v>
      </c>
      <c r="J9750" t="s" s="11">
        <v>14</v>
      </c>
      <c r="K9750" t="s" s="12">
        <v>14</v>
      </c>
      <c r="L9750" t="s" s="12">
        <v>14</v>
      </c>
      <c r="M9750" t="s" s="10">
        <v>14</v>
      </c>
      <c r="N9750" t="s" s="11">
        <v>14</v>
      </c>
      <c r="O9750" t="s" s="8">
        <v>14</v>
      </c>
      <c r="P9750" t="s" s="8">
        <v>14</v>
      </c>
      <c r="Q9750" t="s" s="12">
        <v>14</v>
      </c>
      <c r="R9750" t="s" s="12">
        <v>14</v>
      </c>
    </row>
    <row r="9751" s="2" customFormat="1" ht="13.5" customHeight="1">
      <c r="B9751" s="13"/>
      <c r="C9751" t="s" s="9">
        <v>16</v>
      </c>
      <c r="D9751" t="s" s="8">
        <v>3629</v>
      </c>
      <c r="E9751" t="s" s="9">
        <v>3630</v>
      </c>
      <c r="F9751" s="19">
        <v>5</v>
      </c>
      <c r="G9751" s="14"/>
      <c r="H9751" s="19">
        <v>5</v>
      </c>
      <c r="I9751" s="14"/>
      <c r="J9751" t="s" s="11">
        <v>20</v>
      </c>
      <c r="K9751" t="s" s="16">
        <f>HYPERLINK("http://csr.bu.edu/ftp/asl/asllvd/demos/verify_start_end_handshape_annotations//test_auto_move//signs_mov/2906.mov","MOV")</f>
        <v>21</v>
      </c>
      <c r="L9751" t="s" s="16">
        <f>HYPERLINK("http://csr.bu.edu/ftp/asl/asllvd/demos/verify_start_end_handshape_annotations//test_auto_move//signs_mov_separ_signers/Liz_2906.mov","MOV")</f>
        <v>21</v>
      </c>
      <c r="M9751" t="s" s="10">
        <v>59</v>
      </c>
      <c r="N9751" s="17">
        <v>45</v>
      </c>
      <c r="O9751" s="18">
        <v>1945</v>
      </c>
      <c r="P9751" s="18">
        <v>2005</v>
      </c>
      <c r="Q9751" t="s" s="16">
        <f>HYPERLINK("http://secrets.rutgers.edu:8080/data/asl-ftp/asllvd/demos/verify_start_end_handshape_annotations//test_auto_move//signs_mov/2906.mov","MOV")</f>
        <v>21</v>
      </c>
      <c r="R9751" t="s" s="16">
        <f>HYPERLINK("http://secrets.rutgers.edu:8080/data/asl-ftp/asllvd/demos/verify_start_end_handshape_annotations//test_auto_move//signs_mov_separ_signers/Liz_2906.mov","MOV")</f>
        <v>21</v>
      </c>
    </row>
    <row r="9752" s="2" customFormat="1" ht="13.5" customHeight="1">
      <c r="B9752" s="13"/>
      <c r="C9752" t="s" s="9">
        <v>30</v>
      </c>
      <c r="D9752" t="s" s="8">
        <v>3629</v>
      </c>
      <c r="E9752" t="s" s="9">
        <v>3630</v>
      </c>
      <c r="F9752" s="19">
        <v>5</v>
      </c>
      <c r="G9752" s="14"/>
      <c r="H9752" s="19">
        <v>5</v>
      </c>
      <c r="I9752" s="14"/>
      <c r="J9752" t="s" s="11">
        <v>20</v>
      </c>
      <c r="K9752" s="15"/>
      <c r="L9752" t="s" s="16">
        <f>HYPERLINK("http://csr.bu.edu/ftp/asl/asllvd/demos/verify_start_end_handshape_annotations//test_auto_move//signs_mov_separ_signers/Brady_2906.mov","MOV")</f>
        <v>21</v>
      </c>
      <c r="M9752" t="s" s="10">
        <v>60</v>
      </c>
      <c r="N9752" s="17">
        <v>34</v>
      </c>
      <c r="O9752" s="18">
        <v>174</v>
      </c>
      <c r="P9752" s="18">
        <v>205</v>
      </c>
      <c r="Q9752" s="15"/>
      <c r="R9752" t="s" s="16">
        <f>HYPERLINK("http://secrets.rutgers.edu:8080/data/asl-ftp/asllvd/demos/verify_start_end_handshape_annotations//test_auto_move//signs_mov_separ_signers/Brady_2906.mov","MOV")</f>
        <v>21</v>
      </c>
    </row>
    <row r="9753" s="2" customFormat="1" ht="13.5" customHeight="1">
      <c r="B9753" t="s" s="8">
        <v>3631</v>
      </c>
      <c r="C9753" t="s" s="9">
        <v>14</v>
      </c>
      <c r="D9753" t="s" s="8">
        <v>14</v>
      </c>
      <c r="E9753" t="s" s="9">
        <v>14</v>
      </c>
      <c r="F9753" t="s" s="10">
        <v>14</v>
      </c>
      <c r="G9753" t="s" s="11">
        <v>14</v>
      </c>
      <c r="H9753" t="s" s="10">
        <v>14</v>
      </c>
      <c r="I9753" t="s" s="11">
        <v>14</v>
      </c>
      <c r="J9753" t="s" s="11">
        <v>14</v>
      </c>
      <c r="K9753" t="s" s="12">
        <v>14</v>
      </c>
      <c r="L9753" t="s" s="12">
        <v>14</v>
      </c>
      <c r="M9753" t="s" s="10">
        <v>14</v>
      </c>
      <c r="N9753" t="s" s="11">
        <v>14</v>
      </c>
      <c r="O9753" t="s" s="8">
        <v>14</v>
      </c>
      <c r="P9753" t="s" s="8">
        <v>14</v>
      </c>
      <c r="Q9753" t="s" s="12">
        <v>14</v>
      </c>
      <c r="R9753" t="s" s="12">
        <v>14</v>
      </c>
    </row>
    <row r="9754" s="2" customFormat="1" ht="13.5" customHeight="1">
      <c r="B9754" s="13"/>
      <c r="C9754" t="s" s="9">
        <v>16</v>
      </c>
      <c r="D9754" t="s" s="8">
        <v>3631</v>
      </c>
      <c r="E9754" t="s" s="9">
        <v>3631</v>
      </c>
      <c r="F9754" t="s" s="10">
        <v>73</v>
      </c>
      <c r="G9754" t="s" s="11">
        <v>73</v>
      </c>
      <c r="H9754" t="s" s="10">
        <v>73</v>
      </c>
      <c r="I9754" t="s" s="11">
        <v>73</v>
      </c>
      <c r="J9754" t="s" s="11">
        <v>20</v>
      </c>
      <c r="K9754" t="s" s="16">
        <f>HYPERLINK("http://csr.bu.edu/ftp/asl/asllvd/demos/verify_start_end_handshape_annotations//test_auto_move//signs_mov/2907.mov","MOV")</f>
        <v>21</v>
      </c>
      <c r="L9754" t="s" s="16">
        <f>HYPERLINK("http://csr.bu.edu/ftp/asl/asllvd/demos/verify_start_end_handshape_annotations//test_auto_move//signs_mov_separ_signers/Liz_2907.mov","MOV")</f>
        <v>21</v>
      </c>
      <c r="M9754" t="s" s="10">
        <v>59</v>
      </c>
      <c r="N9754" s="17">
        <v>45</v>
      </c>
      <c r="O9754" s="18">
        <v>2295</v>
      </c>
      <c r="P9754" s="18">
        <v>2352</v>
      </c>
      <c r="Q9754" t="s" s="16">
        <f>HYPERLINK("http://secrets.rutgers.edu:8080/data/asl-ftp/asllvd/demos/verify_start_end_handshape_annotations//test_auto_move//signs_mov/2907.mov","MOV")</f>
        <v>21</v>
      </c>
      <c r="R9754" t="s" s="16">
        <f>HYPERLINK("http://secrets.rutgers.edu:8080/data/asl-ftp/asllvd/demos/verify_start_end_handshape_annotations//test_auto_move//signs_mov_separ_signers/Liz_2907.mov","MOV")</f>
        <v>21</v>
      </c>
    </row>
    <row r="9755" s="2" customFormat="1" ht="13.5" customHeight="1">
      <c r="B9755" s="13"/>
      <c r="C9755" t="s" s="9">
        <v>30</v>
      </c>
      <c r="D9755" t="s" s="8">
        <v>3631</v>
      </c>
      <c r="E9755" t="s" s="9">
        <v>3632</v>
      </c>
      <c r="F9755" t="s" s="10">
        <v>73</v>
      </c>
      <c r="G9755" t="s" s="11">
        <v>73</v>
      </c>
      <c r="H9755" t="s" s="10">
        <v>73</v>
      </c>
      <c r="I9755" t="s" s="11">
        <v>73</v>
      </c>
      <c r="J9755" t="s" s="11">
        <v>20</v>
      </c>
      <c r="K9755" s="15"/>
      <c r="L9755" t="s" s="16">
        <f>HYPERLINK("http://csr.bu.edu/ftp/asl/asllvd/demos/verify_start_end_handshape_annotations//test_auto_move//signs_mov_separ_signers/Brady_2907.mov","MOV")</f>
        <v>21</v>
      </c>
      <c r="M9755" t="s" s="10">
        <v>60</v>
      </c>
      <c r="N9755" s="17">
        <v>34</v>
      </c>
      <c r="O9755" s="18">
        <v>491</v>
      </c>
      <c r="P9755" s="18">
        <v>542</v>
      </c>
      <c r="Q9755" s="15"/>
      <c r="R9755" t="s" s="16">
        <f>HYPERLINK("http://secrets.rutgers.edu:8080/data/asl-ftp/asllvd/demos/verify_start_end_handshape_annotations//test_auto_move//signs_mov_separ_signers/Brady_2907.mov","MOV")</f>
        <v>21</v>
      </c>
    </row>
    <row r="9756" s="2" customFormat="1" ht="13.5" customHeight="1">
      <c r="B9756" t="s" s="8">
        <v>3633</v>
      </c>
      <c r="C9756" t="s" s="9">
        <v>14</v>
      </c>
      <c r="D9756" t="s" s="8">
        <v>14</v>
      </c>
      <c r="E9756" t="s" s="9">
        <v>14</v>
      </c>
      <c r="F9756" t="s" s="10">
        <v>14</v>
      </c>
      <c r="G9756" t="s" s="11">
        <v>14</v>
      </c>
      <c r="H9756" t="s" s="10">
        <v>14</v>
      </c>
      <c r="I9756" t="s" s="11">
        <v>14</v>
      </c>
      <c r="J9756" t="s" s="11">
        <v>14</v>
      </c>
      <c r="K9756" t="s" s="12">
        <v>14</v>
      </c>
      <c r="L9756" t="s" s="12">
        <v>14</v>
      </c>
      <c r="M9756" t="s" s="10">
        <v>14</v>
      </c>
      <c r="N9756" t="s" s="11">
        <v>14</v>
      </c>
      <c r="O9756" t="s" s="8">
        <v>14</v>
      </c>
      <c r="P9756" t="s" s="8">
        <v>14</v>
      </c>
      <c r="Q9756" t="s" s="12">
        <v>14</v>
      </c>
      <c r="R9756" t="s" s="12">
        <v>14</v>
      </c>
    </row>
    <row r="9757" s="2" customFormat="1" ht="13.5" customHeight="1">
      <c r="B9757" s="13"/>
      <c r="C9757" t="s" s="9">
        <v>23</v>
      </c>
      <c r="D9757" t="s" s="8">
        <v>3633</v>
      </c>
      <c r="E9757" t="s" s="9">
        <v>3634</v>
      </c>
      <c r="F9757" t="s" s="10">
        <v>73</v>
      </c>
      <c r="G9757" t="s" s="11">
        <v>73</v>
      </c>
      <c r="H9757" t="s" s="10">
        <v>73</v>
      </c>
      <c r="I9757" t="s" s="11">
        <v>73</v>
      </c>
      <c r="J9757" t="s" s="11">
        <v>20</v>
      </c>
      <c r="K9757" s="15"/>
      <c r="L9757" t="s" s="16">
        <f>HYPERLINK("http://csr.bu.edu/ftp/asl/asllvd/demos/verify_start_end_handshape_annotations//test_auto_move//signs_mov_separ_signers/Tyler_5766.mov","MOV")</f>
        <v>21</v>
      </c>
      <c r="M9757" t="s" s="10">
        <v>92</v>
      </c>
      <c r="N9757" s="17">
        <v>25</v>
      </c>
      <c r="O9757" s="18">
        <v>4035</v>
      </c>
      <c r="P9757" s="18">
        <v>4086</v>
      </c>
      <c r="Q9757" s="15"/>
      <c r="R9757" t="s" s="16">
        <f>HYPERLINK("http://secrets.rutgers.edu:8080/data/asl-ftp/asllvd/demos/verify_start_end_handshape_annotations//test_auto_move//signs_mov_separ_signers/Tyler_5766.mov","MOV")</f>
        <v>21</v>
      </c>
    </row>
    <row r="9758" s="2" customFormat="1" ht="13.5" customHeight="1">
      <c r="B9758" s="13"/>
      <c r="C9758" t="s" s="9">
        <v>27</v>
      </c>
      <c r="D9758" t="s" s="8">
        <v>3633</v>
      </c>
      <c r="E9758" t="s" s="9">
        <v>3633</v>
      </c>
      <c r="F9758" t="s" s="10">
        <v>260</v>
      </c>
      <c r="G9758" t="s" s="11">
        <v>260</v>
      </c>
      <c r="H9758" t="s" s="10">
        <v>260</v>
      </c>
      <c r="I9758" t="s" s="11">
        <v>260</v>
      </c>
      <c r="J9758" t="s" s="11">
        <v>20</v>
      </c>
      <c r="K9758" s="15"/>
      <c r="L9758" t="s" s="16">
        <f>HYPERLINK("http://csr.bu.edu/ftp/asl/asllvd/demos/verify_start_end_handshape_annotations//test_auto_move//signs_mov_separ_signers/Naomi_5766.mov","MOV")</f>
        <v>21</v>
      </c>
      <c r="M9758" t="s" s="10">
        <v>86</v>
      </c>
      <c r="N9758" s="17">
        <v>46</v>
      </c>
      <c r="O9758" s="18">
        <v>202</v>
      </c>
      <c r="P9758" s="18">
        <v>237</v>
      </c>
      <c r="Q9758" s="15"/>
      <c r="R9758" t="s" s="16">
        <f>HYPERLINK("http://secrets.rutgers.edu:8080/data/asl-ftp/asllvd/demos/verify_start_end_handshape_annotations//test_auto_move//signs_mov_separ_signers/Naomi_5766.mov","MOV")</f>
        <v>21</v>
      </c>
    </row>
    <row r="9759" s="2" customFormat="1" ht="13.5" customHeight="1">
      <c r="B9759" s="13"/>
      <c r="C9759" t="s" s="9">
        <v>30</v>
      </c>
      <c r="D9759" t="s" s="8">
        <v>3633</v>
      </c>
      <c r="E9759" t="s" s="9">
        <v>3634</v>
      </c>
      <c r="F9759" t="s" s="10">
        <v>109</v>
      </c>
      <c r="G9759" t="s" s="11">
        <v>109</v>
      </c>
      <c r="H9759" t="s" s="10">
        <v>109</v>
      </c>
      <c r="I9759" t="s" s="11">
        <v>109</v>
      </c>
      <c r="J9759" t="s" s="11">
        <v>20</v>
      </c>
      <c r="K9759" t="s" s="16">
        <f>HYPERLINK("http://csr.bu.edu/ftp/asl/asllvd/demos/verify_start_end_handshape_annotations//test_auto_move//signs_mov/5766_16506_16507_merged.mov","MOV")</f>
        <v>21</v>
      </c>
      <c r="L9759" t="s" s="16">
        <f>HYPERLINK("http://csr.bu.edu/ftp/asl/asllvd/demos/verify_start_end_handshape_annotations//test_auto_move//signs_mov_separ_signers/Brady_5766.mov","MOV")</f>
        <v>21</v>
      </c>
      <c r="M9759" t="s" s="10">
        <v>39</v>
      </c>
      <c r="N9759" s="17">
        <v>20</v>
      </c>
      <c r="O9759" s="18">
        <v>6851</v>
      </c>
      <c r="P9759" s="18">
        <v>6884</v>
      </c>
      <c r="Q9759" t="s" s="16">
        <f>HYPERLINK("http://secrets.rutgers.edu:8080/data/asl-ftp/asllvd/demos/verify_start_end_handshape_annotations//test_auto_move//signs_mov/5766_16506_16507_merged.mov","MOV")</f>
        <v>21</v>
      </c>
      <c r="R9759" t="s" s="16">
        <f>HYPERLINK("http://secrets.rutgers.edu:8080/data/asl-ftp/asllvd/demos/verify_start_end_handshape_annotations//test_auto_move//signs_mov_separ_signers/Brady_5766.mov","MOV")</f>
        <v>21</v>
      </c>
    </row>
    <row r="9760" s="2" customFormat="1" ht="13.5" customHeight="1">
      <c r="B9760" s="13"/>
      <c r="C9760" t="s" s="9">
        <v>30</v>
      </c>
      <c r="D9760" t="s" s="8">
        <v>3633</v>
      </c>
      <c r="E9760" t="s" s="9">
        <v>3634</v>
      </c>
      <c r="F9760" t="s" s="10">
        <v>73</v>
      </c>
      <c r="G9760" t="s" s="11">
        <v>73</v>
      </c>
      <c r="H9760" t="s" s="10">
        <v>73</v>
      </c>
      <c r="I9760" t="s" s="11">
        <v>73</v>
      </c>
      <c r="J9760" t="s" s="11">
        <v>20</v>
      </c>
      <c r="K9760" s="15"/>
      <c r="L9760" t="s" s="16">
        <f>HYPERLINK("http://csr.bu.edu/ftp/asl/asllvd/demos/verify_start_end_handshape_annotations//test_auto_move//signs_mov_separ_signers/Brady_16506.mov","MOV")</f>
        <v>21</v>
      </c>
      <c r="M9760" t="s" s="10">
        <v>60</v>
      </c>
      <c r="N9760" s="17">
        <v>34</v>
      </c>
      <c r="O9760" s="18">
        <v>762</v>
      </c>
      <c r="P9760" s="18">
        <v>814</v>
      </c>
      <c r="Q9760" s="15"/>
      <c r="R9760" t="s" s="16">
        <f>HYPERLINK("http://secrets.rutgers.edu:8080/data/asl-ftp/asllvd/demos/verify_start_end_handshape_annotations//test_auto_move//signs_mov_separ_signers/Brady_16506.mov","MOV")</f>
        <v>21</v>
      </c>
    </row>
    <row r="9761" s="2" customFormat="1" ht="13.5" customHeight="1">
      <c r="B9761" s="13"/>
      <c r="C9761" t="s" s="9">
        <v>30</v>
      </c>
      <c r="D9761" t="s" s="8">
        <v>3633</v>
      </c>
      <c r="E9761" t="s" s="9">
        <v>3634</v>
      </c>
      <c r="F9761" t="s" s="10">
        <v>55</v>
      </c>
      <c r="G9761" t="s" s="11">
        <v>55</v>
      </c>
      <c r="H9761" t="s" s="10">
        <v>55</v>
      </c>
      <c r="I9761" t="s" s="11">
        <v>55</v>
      </c>
      <c r="J9761" t="s" s="11">
        <v>20</v>
      </c>
      <c r="K9761" s="15"/>
      <c r="L9761" t="s" s="16">
        <f>HYPERLINK("http://csr.bu.edu/ftp/asl/asllvd/demos/verify_start_end_handshape_annotations//test_auto_move//signs_mov_separ_signers/Brady_16507.mov","MOV")</f>
        <v>21</v>
      </c>
      <c r="M9761" t="s" s="10">
        <v>60</v>
      </c>
      <c r="N9761" s="17">
        <v>57</v>
      </c>
      <c r="O9761" s="18">
        <v>5200</v>
      </c>
      <c r="P9761" s="18">
        <v>5249</v>
      </c>
      <c r="Q9761" s="15"/>
      <c r="R9761" t="s" s="16">
        <f>HYPERLINK("http://secrets.rutgers.edu:8080/data/asl-ftp/asllvd/demos/verify_start_end_handshape_annotations//test_auto_move//signs_mov_separ_signers/Brady_16507.mov","MOV")</f>
        <v>21</v>
      </c>
    </row>
    <row r="9762" s="2" customFormat="1" ht="13.5" customHeight="1">
      <c r="B9762" t="s" s="8">
        <v>3635</v>
      </c>
      <c r="C9762" t="s" s="9">
        <v>14</v>
      </c>
      <c r="D9762" t="s" s="8">
        <v>14</v>
      </c>
      <c r="E9762" t="s" s="9">
        <v>14</v>
      </c>
      <c r="F9762" t="s" s="10">
        <v>14</v>
      </c>
      <c r="G9762" t="s" s="11">
        <v>14</v>
      </c>
      <c r="H9762" t="s" s="10">
        <v>14</v>
      </c>
      <c r="I9762" t="s" s="11">
        <v>14</v>
      </c>
      <c r="J9762" t="s" s="11">
        <v>14</v>
      </c>
      <c r="K9762" t="s" s="12">
        <v>14</v>
      </c>
      <c r="L9762" t="s" s="12">
        <v>14</v>
      </c>
      <c r="M9762" t="s" s="10">
        <v>14</v>
      </c>
      <c r="N9762" t="s" s="11">
        <v>14</v>
      </c>
      <c r="O9762" t="s" s="8">
        <v>14</v>
      </c>
      <c r="P9762" t="s" s="8">
        <v>14</v>
      </c>
      <c r="Q9762" t="s" s="12">
        <v>14</v>
      </c>
      <c r="R9762" t="s" s="12">
        <v>14</v>
      </c>
    </row>
    <row r="9763" s="2" customFormat="1" ht="13.5" customHeight="1">
      <c r="B9763" s="13"/>
      <c r="C9763" t="s" s="9">
        <v>16</v>
      </c>
      <c r="D9763" t="s" s="8">
        <v>3635</v>
      </c>
      <c r="E9763" t="s" s="9">
        <v>3636</v>
      </c>
      <c r="F9763" s="19">
        <v>1</v>
      </c>
      <c r="G9763" t="s" s="11">
        <v>105</v>
      </c>
      <c r="H9763" s="19">
        <v>1</v>
      </c>
      <c r="I9763" t="s" s="11">
        <v>105</v>
      </c>
      <c r="J9763" t="s" s="11">
        <v>20</v>
      </c>
      <c r="K9763" t="s" s="16">
        <f>HYPERLINK("http://csr.bu.edu/ftp/asl/asllvd/demos/verify_start_end_handshape_annotations//test_auto_move//signs_mov/2913.mov","MOV")</f>
        <v>21</v>
      </c>
      <c r="L9763" t="s" s="16">
        <f>HYPERLINK("http://csr.bu.edu/ftp/asl/asllvd/demos/verify_start_end_handshape_annotations//test_auto_move//signs_mov_separ_signers/Liz_2913.mov","MOV")</f>
        <v>21</v>
      </c>
      <c r="M9763" t="s" s="10">
        <v>59</v>
      </c>
      <c r="N9763" s="17">
        <v>46</v>
      </c>
      <c r="O9763" s="18">
        <v>1125</v>
      </c>
      <c r="P9763" s="18">
        <v>1181</v>
      </c>
      <c r="Q9763" t="s" s="16">
        <f>HYPERLINK("http://secrets.rutgers.edu:8080/data/asl-ftp/asllvd/demos/verify_start_end_handshape_annotations//test_auto_move//signs_mov/2913.mov","MOV")</f>
        <v>21</v>
      </c>
      <c r="R9763" t="s" s="16">
        <f>HYPERLINK("http://secrets.rutgers.edu:8080/data/asl-ftp/asllvd/demos/verify_start_end_handshape_annotations//test_auto_move//signs_mov_separ_signers/Liz_2913.mov","MOV")</f>
        <v>21</v>
      </c>
    </row>
    <row r="9764" s="2" customFormat="1" ht="13.5" customHeight="1">
      <c r="B9764" s="13"/>
      <c r="C9764" t="s" s="9">
        <v>30</v>
      </c>
      <c r="D9764" t="s" s="8">
        <v>3635</v>
      </c>
      <c r="E9764" t="s" s="9">
        <v>3637</v>
      </c>
      <c r="F9764" s="19">
        <v>1</v>
      </c>
      <c r="G9764" t="s" s="11">
        <v>105</v>
      </c>
      <c r="H9764" s="19">
        <v>1</v>
      </c>
      <c r="I9764" t="s" s="11">
        <v>105</v>
      </c>
      <c r="J9764" t="s" s="11">
        <v>20</v>
      </c>
      <c r="K9764" s="15"/>
      <c r="L9764" t="s" s="16">
        <f>HYPERLINK("http://csr.bu.edu/ftp/asl/asllvd/demos/verify_start_end_handshape_annotations//test_auto_move//signs_mov_separ_signers/Brady_2913.mov","MOV")</f>
        <v>21</v>
      </c>
      <c r="M9764" t="s" s="10">
        <v>60</v>
      </c>
      <c r="N9764" s="17">
        <v>34</v>
      </c>
      <c r="O9764" s="18">
        <v>1799</v>
      </c>
      <c r="P9764" s="18">
        <v>1837</v>
      </c>
      <c r="Q9764" s="15"/>
      <c r="R9764" t="s" s="16">
        <f>HYPERLINK("http://secrets.rutgers.edu:8080/data/asl-ftp/asllvd/demos/verify_start_end_handshape_annotations//test_auto_move//signs_mov_separ_signers/Brady_2913.mov","MOV")</f>
        <v>21</v>
      </c>
    </row>
    <row r="9765" s="2" customFormat="1" ht="13.5" customHeight="1">
      <c r="B9765" t="s" s="8">
        <v>3638</v>
      </c>
      <c r="C9765" t="s" s="9">
        <v>14</v>
      </c>
      <c r="D9765" t="s" s="8">
        <v>14</v>
      </c>
      <c r="E9765" t="s" s="9">
        <v>14</v>
      </c>
      <c r="F9765" t="s" s="10">
        <v>14</v>
      </c>
      <c r="G9765" t="s" s="11">
        <v>14</v>
      </c>
      <c r="H9765" t="s" s="10">
        <v>14</v>
      </c>
      <c r="I9765" t="s" s="11">
        <v>14</v>
      </c>
      <c r="J9765" t="s" s="11">
        <v>14</v>
      </c>
      <c r="K9765" t="s" s="12">
        <v>14</v>
      </c>
      <c r="L9765" t="s" s="12">
        <v>14</v>
      </c>
      <c r="M9765" t="s" s="10">
        <v>14</v>
      </c>
      <c r="N9765" t="s" s="11">
        <v>14</v>
      </c>
      <c r="O9765" t="s" s="8">
        <v>14</v>
      </c>
      <c r="P9765" t="s" s="8">
        <v>14</v>
      </c>
      <c r="Q9765" t="s" s="12">
        <v>14</v>
      </c>
      <c r="R9765" t="s" s="12">
        <v>14</v>
      </c>
    </row>
    <row r="9766" s="2" customFormat="1" ht="13.5" customHeight="1">
      <c r="B9766" s="13"/>
      <c r="C9766" t="s" s="9">
        <v>16</v>
      </c>
      <c r="D9766" t="s" s="8">
        <v>3638</v>
      </c>
      <c r="E9766" t="s" s="9">
        <v>3639</v>
      </c>
      <c r="F9766" s="19">
        <v>1</v>
      </c>
      <c r="G9766" t="s" s="11">
        <v>68</v>
      </c>
      <c r="H9766" s="19">
        <v>1</v>
      </c>
      <c r="I9766" t="s" s="11">
        <v>68</v>
      </c>
      <c r="J9766" t="s" s="11">
        <v>20</v>
      </c>
      <c r="K9766" t="s" s="16">
        <f>HYPERLINK("http://csr.bu.edu/ftp/asl/asllvd/demos/verify_start_end_handshape_annotations//test_auto_move//signs_mov/15823.mov","MOV")</f>
        <v>21</v>
      </c>
      <c r="L9766" t="s" s="16">
        <f>HYPERLINK("http://csr.bu.edu/ftp/asl/asllvd/demos/verify_start_end_handshape_annotations//test_auto_move//signs_mov_separ_signers/Liz_15823.mov","MOV")</f>
        <v>21</v>
      </c>
      <c r="M9766" t="s" s="10">
        <v>59</v>
      </c>
      <c r="N9766" s="17">
        <v>18</v>
      </c>
      <c r="O9766" s="18">
        <v>1440</v>
      </c>
      <c r="P9766" s="18">
        <v>1470</v>
      </c>
      <c r="Q9766" t="s" s="16">
        <f>HYPERLINK("http://secrets.rutgers.edu:8080/data/asl-ftp/asllvd/demos/verify_start_end_handshape_annotations//test_auto_move//signs_mov/15823.mov","MOV")</f>
        <v>21</v>
      </c>
      <c r="R9766" t="s" s="16">
        <f>HYPERLINK("http://secrets.rutgers.edu:8080/data/asl-ftp/asllvd/demos/verify_start_end_handshape_annotations//test_auto_move//signs_mov_separ_signers/Liz_15823.mov","MOV")</f>
        <v>21</v>
      </c>
    </row>
    <row r="9767" s="2" customFormat="1" ht="13.5" customHeight="1">
      <c r="B9767" t="s" s="8">
        <v>3640</v>
      </c>
      <c r="C9767" t="s" s="9">
        <v>14</v>
      </c>
      <c r="D9767" t="s" s="8">
        <v>14</v>
      </c>
      <c r="E9767" t="s" s="9">
        <v>14</v>
      </c>
      <c r="F9767" t="s" s="10">
        <v>14</v>
      </c>
      <c r="G9767" t="s" s="11">
        <v>14</v>
      </c>
      <c r="H9767" t="s" s="10">
        <v>14</v>
      </c>
      <c r="I9767" t="s" s="11">
        <v>14</v>
      </c>
      <c r="J9767" t="s" s="11">
        <v>14</v>
      </c>
      <c r="K9767" t="s" s="12">
        <v>14</v>
      </c>
      <c r="L9767" t="s" s="12">
        <v>14</v>
      </c>
      <c r="M9767" t="s" s="10">
        <v>14</v>
      </c>
      <c r="N9767" t="s" s="11">
        <v>14</v>
      </c>
      <c r="O9767" t="s" s="8">
        <v>14</v>
      </c>
      <c r="P9767" t="s" s="8">
        <v>14</v>
      </c>
      <c r="Q9767" t="s" s="12">
        <v>14</v>
      </c>
      <c r="R9767" t="s" s="12">
        <v>14</v>
      </c>
    </row>
    <row r="9768" s="2" customFormat="1" ht="13.5" customHeight="1">
      <c r="B9768" s="13"/>
      <c r="C9768" t="s" s="9">
        <v>16</v>
      </c>
      <c r="D9768" t="s" s="8">
        <v>3640</v>
      </c>
      <c r="E9768" t="s" s="9">
        <v>3641</v>
      </c>
      <c r="F9768" t="s" s="10">
        <v>28</v>
      </c>
      <c r="G9768" t="s" s="11">
        <v>73</v>
      </c>
      <c r="H9768" t="s" s="10">
        <v>28</v>
      </c>
      <c r="I9768" t="s" s="11">
        <v>73</v>
      </c>
      <c r="J9768" t="s" s="11">
        <v>20</v>
      </c>
      <c r="K9768" s="15"/>
      <c r="L9768" t="s" s="16">
        <f>HYPERLINK("http://csr.bu.edu/ftp/asl/asllvd/demos/verify_start_end_handshape_annotations//test_auto_move//signs_mov_separ_signers/Liz_2914.mov","MOV")</f>
        <v>21</v>
      </c>
      <c r="M9768" t="s" s="10">
        <v>88</v>
      </c>
      <c r="N9768" s="17">
        <v>34</v>
      </c>
      <c r="O9768" s="18">
        <v>1450</v>
      </c>
      <c r="P9768" s="18">
        <v>1470</v>
      </c>
      <c r="Q9768" s="15"/>
      <c r="R9768" t="s" s="16">
        <f>HYPERLINK("http://secrets.rutgers.edu:8080/data/asl-ftp/asllvd/demos/verify_start_end_handshape_annotations//test_auto_move//signs_mov_separ_signers/Liz_2914.mov","MOV")</f>
        <v>21</v>
      </c>
    </row>
    <row r="9769" s="2" customFormat="1" ht="13.5" customHeight="1">
      <c r="B9769" s="13"/>
      <c r="C9769" t="s" s="9">
        <v>16</v>
      </c>
      <c r="D9769" t="s" s="8">
        <v>3640</v>
      </c>
      <c r="E9769" t="s" s="9">
        <v>3641</v>
      </c>
      <c r="F9769" t="s" s="10">
        <v>65</v>
      </c>
      <c r="G9769" t="s" s="11">
        <v>73</v>
      </c>
      <c r="H9769" t="s" s="10">
        <v>65</v>
      </c>
      <c r="I9769" t="s" s="11">
        <v>73</v>
      </c>
      <c r="J9769" t="s" s="11">
        <v>20</v>
      </c>
      <c r="K9769" t="s" s="16">
        <f>HYPERLINK("http://csr.bu.edu/ftp/asl/asllvd/demos/verify_start_end_handshape_annotations//test_auto_move//signs_mov/2914_5759_merged.mov","MOV")</f>
        <v>21</v>
      </c>
      <c r="L9769" t="s" s="16">
        <f>HYPERLINK("http://csr.bu.edu/ftp/asl/asllvd/demos/verify_start_end_handshape_annotations//test_auto_move//signs_mov_separ_signers/Liz_5759.mov","MOV")</f>
        <v>21</v>
      </c>
      <c r="M9769" t="s" s="10">
        <v>59</v>
      </c>
      <c r="N9769" s="17">
        <v>46</v>
      </c>
      <c r="O9769" s="18">
        <v>1392</v>
      </c>
      <c r="P9769" s="18">
        <v>1436</v>
      </c>
      <c r="Q9769" t="s" s="16">
        <f>HYPERLINK("http://secrets.rutgers.edu:8080/data/asl-ftp/asllvd/demos/verify_start_end_handshape_annotations//test_auto_move//signs_mov/2914_5759_merged.mov","MOV")</f>
        <v>21</v>
      </c>
      <c r="R9769" t="s" s="16">
        <f>HYPERLINK("http://secrets.rutgers.edu:8080/data/asl-ftp/asllvd/demos/verify_start_end_handshape_annotations//test_auto_move//signs_mov_separ_signers/Liz_5759.mov","MOV")</f>
        <v>21</v>
      </c>
    </row>
    <row r="9770" s="2" customFormat="1" ht="13.5" customHeight="1">
      <c r="B9770" s="13"/>
      <c r="C9770" t="s" s="9">
        <v>30</v>
      </c>
      <c r="D9770" t="s" s="8">
        <v>3640</v>
      </c>
      <c r="E9770" t="s" s="9">
        <v>3642</v>
      </c>
      <c r="F9770" t="s" s="10">
        <v>28</v>
      </c>
      <c r="G9770" t="s" s="11">
        <v>73</v>
      </c>
      <c r="H9770" t="s" s="10">
        <v>28</v>
      </c>
      <c r="I9770" t="s" s="11">
        <v>73</v>
      </c>
      <c r="J9770" t="s" s="11">
        <v>20</v>
      </c>
      <c r="K9770" s="15"/>
      <c r="L9770" t="s" s="16">
        <f>HYPERLINK("http://csr.bu.edu/ftp/asl/asllvd/demos/verify_start_end_handshape_annotations//test_auto_move//signs_mov_separ_signers/Brady_2914.mov","MOV")</f>
        <v>21</v>
      </c>
      <c r="M9770" t="s" s="10">
        <v>60</v>
      </c>
      <c r="N9770" s="17">
        <v>34</v>
      </c>
      <c r="O9770" s="18">
        <v>2066</v>
      </c>
      <c r="P9770" s="18">
        <v>2101</v>
      </c>
      <c r="Q9770" s="15"/>
      <c r="R9770" t="s" s="16">
        <f>HYPERLINK("http://secrets.rutgers.edu:8080/data/asl-ftp/asllvd/demos/verify_start_end_handshape_annotations//test_auto_move//signs_mov_separ_signers/Brady_2914.mov","MOV")</f>
        <v>21</v>
      </c>
    </row>
    <row r="9771" s="2" customFormat="1" ht="13.5" customHeight="1">
      <c r="B9771" s="13"/>
      <c r="C9771" t="s" s="9">
        <v>43</v>
      </c>
      <c r="D9771" t="s" s="8">
        <v>3640</v>
      </c>
      <c r="E9771" t="s" s="9">
        <v>3641</v>
      </c>
      <c r="F9771" t="s" s="10">
        <v>28</v>
      </c>
      <c r="G9771" t="s" s="11">
        <v>73</v>
      </c>
      <c r="H9771" t="s" s="10">
        <v>28</v>
      </c>
      <c r="I9771" t="s" s="11">
        <v>73</v>
      </c>
      <c r="J9771" t="s" s="11">
        <v>20</v>
      </c>
      <c r="K9771" s="15"/>
      <c r="L9771" t="s" s="16">
        <f>HYPERLINK("http://csr.bu.edu/ftp/asl/asllvd/demos/verify_start_end_handshape_annotations//test_auto_move//signs_mov_separ_signers/Dana_2914.mov","MOV")</f>
        <v>21</v>
      </c>
      <c r="M9771" t="s" s="10">
        <v>44</v>
      </c>
      <c r="N9771" s="17">
        <v>22</v>
      </c>
      <c r="O9771" s="18">
        <v>2072</v>
      </c>
      <c r="P9771" s="18">
        <v>2114</v>
      </c>
      <c r="Q9771" s="15"/>
      <c r="R9771" t="s" s="16">
        <f>HYPERLINK("http://secrets.rutgers.edu:8080/data/asl-ftp/asllvd/demos/verify_start_end_handshape_annotations//test_auto_move//signs_mov_separ_signers/Dana_2914.mov","MOV")</f>
        <v>21</v>
      </c>
    </row>
    <row r="9772" s="2" customFormat="1" ht="13.5" customHeight="1">
      <c r="B9772" t="s" s="8">
        <v>3643</v>
      </c>
      <c r="C9772" t="s" s="9">
        <v>14</v>
      </c>
      <c r="D9772" t="s" s="8">
        <v>14</v>
      </c>
      <c r="E9772" t="s" s="9">
        <v>14</v>
      </c>
      <c r="F9772" t="s" s="10">
        <v>14</v>
      </c>
      <c r="G9772" t="s" s="11">
        <v>14</v>
      </c>
      <c r="H9772" t="s" s="10">
        <v>14</v>
      </c>
      <c r="I9772" t="s" s="11">
        <v>14</v>
      </c>
      <c r="J9772" t="s" s="11">
        <v>14</v>
      </c>
      <c r="K9772" t="s" s="12">
        <v>14</v>
      </c>
      <c r="L9772" t="s" s="12">
        <v>14</v>
      </c>
      <c r="M9772" t="s" s="10">
        <v>14</v>
      </c>
      <c r="N9772" t="s" s="11">
        <v>14</v>
      </c>
      <c r="O9772" t="s" s="8">
        <v>14</v>
      </c>
      <c r="P9772" t="s" s="8">
        <v>14</v>
      </c>
      <c r="Q9772" t="s" s="12">
        <v>14</v>
      </c>
      <c r="R9772" t="s" s="12">
        <v>14</v>
      </c>
    </row>
    <row r="9773" s="2" customFormat="1" ht="13.5" customHeight="1">
      <c r="B9773" s="13"/>
      <c r="C9773" t="s" s="9">
        <v>16</v>
      </c>
      <c r="D9773" t="s" s="8">
        <v>3643</v>
      </c>
      <c r="E9773" t="s" s="9">
        <v>3644</v>
      </c>
      <c r="F9773" t="s" s="10">
        <v>28</v>
      </c>
      <c r="G9773" t="s" s="11">
        <v>73</v>
      </c>
      <c r="H9773" t="s" s="10">
        <v>28</v>
      </c>
      <c r="I9773" t="s" s="11">
        <v>73</v>
      </c>
      <c r="J9773" t="s" s="11">
        <v>20</v>
      </c>
      <c r="K9773" t="s" s="16">
        <f>HYPERLINK("http://csr.bu.edu/ftp/asl/asllvd/demos/verify_start_end_handshape_annotations//test_auto_move//signs_mov/15247.mov","MOV")</f>
        <v>21</v>
      </c>
      <c r="L9773" t="s" s="16">
        <f>HYPERLINK("http://csr.bu.edu/ftp/asl/asllvd/demos/verify_start_end_handshape_annotations//test_auto_move//signs_mov_separ_signers/Liz_15247.mov","MOV")</f>
        <v>21</v>
      </c>
      <c r="M9773" t="s" s="10">
        <v>88</v>
      </c>
      <c r="N9773" s="17">
        <v>34</v>
      </c>
      <c r="O9773" s="18">
        <v>1727</v>
      </c>
      <c r="P9773" s="18">
        <v>1765</v>
      </c>
      <c r="Q9773" t="s" s="16">
        <f>HYPERLINK("http://secrets.rutgers.edu:8080/data/asl-ftp/asllvd/demos/verify_start_end_handshape_annotations//test_auto_move//signs_mov/15247.mov","MOV")</f>
        <v>21</v>
      </c>
      <c r="R9773" t="s" s="16">
        <f>HYPERLINK("http://secrets.rutgers.edu:8080/data/asl-ftp/asllvd/demos/verify_start_end_handshape_annotations//test_auto_move//signs_mov_separ_signers/Liz_15247.mov","MOV")</f>
        <v>21</v>
      </c>
    </row>
    <row r="9774" s="2" customFormat="1" ht="13.5" customHeight="1">
      <c r="B9774" s="13"/>
      <c r="C9774" t="s" s="9">
        <v>41</v>
      </c>
      <c r="D9774" t="s" s="8">
        <v>3643</v>
      </c>
      <c r="E9774" t="s" s="9">
        <v>3643</v>
      </c>
      <c r="F9774" t="s" s="10">
        <v>28</v>
      </c>
      <c r="G9774" t="s" s="11">
        <v>73</v>
      </c>
      <c r="H9774" t="s" s="10">
        <v>28</v>
      </c>
      <c r="I9774" t="s" s="11">
        <v>73</v>
      </c>
      <c r="J9774" t="s" s="11">
        <v>20</v>
      </c>
      <c r="K9774" s="15"/>
      <c r="L9774" t="s" s="16">
        <f>HYPERLINK("http://csr.bu.edu/ftp/asl/asllvd/demos/verify_start_end_handshape_annotations//test_auto_move//signs_mov_separ_signers/Lana_15247.mov","MOV")</f>
        <v>21</v>
      </c>
      <c r="M9774" t="s" s="10">
        <v>42</v>
      </c>
      <c r="N9774" s="17">
        <v>20</v>
      </c>
      <c r="O9774" s="18">
        <v>2103</v>
      </c>
      <c r="P9774" s="18">
        <v>2135</v>
      </c>
      <c r="Q9774" s="15"/>
      <c r="R9774" t="s" s="16">
        <f>HYPERLINK("http://secrets.rutgers.edu:8080/data/asl-ftp/asllvd/demos/verify_start_end_handshape_annotations//test_auto_move//signs_mov_separ_signers/Lana_15247.mov","MOV")</f>
        <v>21</v>
      </c>
    </row>
    <row r="9775" s="2" customFormat="1" ht="13.5" customHeight="1">
      <c r="B9775" t="s" s="8">
        <v>255</v>
      </c>
      <c r="C9775" t="s" s="9">
        <v>14</v>
      </c>
      <c r="D9775" t="s" s="8">
        <v>14</v>
      </c>
      <c r="E9775" t="s" s="9">
        <v>14</v>
      </c>
      <c r="F9775" t="s" s="10">
        <v>14</v>
      </c>
      <c r="G9775" t="s" s="11">
        <v>14</v>
      </c>
      <c r="H9775" t="s" s="10">
        <v>14</v>
      </c>
      <c r="I9775" t="s" s="11">
        <v>14</v>
      </c>
      <c r="J9775" t="s" s="11">
        <v>14</v>
      </c>
      <c r="K9775" t="s" s="12">
        <v>14</v>
      </c>
      <c r="L9775" t="s" s="12">
        <v>14</v>
      </c>
      <c r="M9775" t="s" s="10">
        <v>14</v>
      </c>
      <c r="N9775" t="s" s="11">
        <v>14</v>
      </c>
      <c r="O9775" t="s" s="8">
        <v>14</v>
      </c>
      <c r="P9775" t="s" s="8">
        <v>14</v>
      </c>
      <c r="Q9775" t="s" s="12">
        <v>14</v>
      </c>
      <c r="R9775" t="s" s="12">
        <v>14</v>
      </c>
    </row>
    <row r="9776" s="2" customFormat="1" ht="13.5" customHeight="1">
      <c r="B9776" s="13"/>
      <c r="C9776" t="s" s="9">
        <v>16</v>
      </c>
      <c r="D9776" t="s" s="8">
        <v>255</v>
      </c>
      <c r="E9776" t="s" s="9">
        <v>255</v>
      </c>
      <c r="F9776" t="s" s="10">
        <v>255</v>
      </c>
      <c r="G9776" s="14"/>
      <c r="H9776" t="s" s="10">
        <v>255</v>
      </c>
      <c r="I9776" s="14"/>
      <c r="J9776" t="s" s="11">
        <v>20</v>
      </c>
      <c r="K9776" t="s" s="16">
        <f>HYPERLINK("http://csr.bu.edu/ftp/asl/asllvd/demos/verify_start_end_handshape_annotations//test_auto_move//signs_mov/2917.mov","MOV")</f>
        <v>21</v>
      </c>
      <c r="L9776" t="s" s="16">
        <f>HYPERLINK("http://csr.bu.edu/ftp/asl/asllvd/demos/verify_start_end_handshape_annotations//test_auto_move//signs_mov_separ_signers/Liz_2917.mov","MOV")</f>
        <v>21</v>
      </c>
      <c r="M9776" t="s" s="10">
        <v>59</v>
      </c>
      <c r="N9776" s="17">
        <v>46</v>
      </c>
      <c r="O9776" s="18">
        <v>2215</v>
      </c>
      <c r="P9776" s="18">
        <v>2280</v>
      </c>
      <c r="Q9776" t="s" s="16">
        <f>HYPERLINK("http://secrets.rutgers.edu:8080/data/asl-ftp/asllvd/demos/verify_start_end_handshape_annotations//test_auto_move//signs_mov/2917.mov","MOV")</f>
        <v>21</v>
      </c>
      <c r="R9776" t="s" s="16">
        <f>HYPERLINK("http://secrets.rutgers.edu:8080/data/asl-ftp/asllvd/demos/verify_start_end_handshape_annotations//test_auto_move//signs_mov_separ_signers/Liz_2917.mov","MOV")</f>
        <v>21</v>
      </c>
    </row>
    <row r="9777" s="2" customFormat="1" ht="13.5" customHeight="1">
      <c r="B9777" s="13"/>
      <c r="C9777" t="s" s="9">
        <v>30</v>
      </c>
      <c r="D9777" t="s" s="8">
        <v>255</v>
      </c>
      <c r="E9777" t="s" s="9">
        <v>255</v>
      </c>
      <c r="F9777" t="s" s="10">
        <v>255</v>
      </c>
      <c r="G9777" s="14"/>
      <c r="H9777" t="s" s="10">
        <v>255</v>
      </c>
      <c r="I9777" s="14"/>
      <c r="J9777" t="s" s="11">
        <v>20</v>
      </c>
      <c r="K9777" s="15"/>
      <c r="L9777" t="s" s="16">
        <f>HYPERLINK("http://csr.bu.edu/ftp/asl/asllvd/demos/verify_start_end_handshape_annotations//test_auto_move//signs_mov_separ_signers/Brady_2917.mov","MOV")</f>
        <v>21</v>
      </c>
      <c r="M9777" t="s" s="10">
        <v>60</v>
      </c>
      <c r="N9777" s="17">
        <v>34</v>
      </c>
      <c r="O9777" s="18">
        <v>3054</v>
      </c>
      <c r="P9777" s="18">
        <v>3076</v>
      </c>
      <c r="Q9777" s="15"/>
      <c r="R9777" t="s" s="16">
        <f>HYPERLINK("http://secrets.rutgers.edu:8080/data/asl-ftp/asllvd/demos/verify_start_end_handshape_annotations//test_auto_move//signs_mov_separ_signers/Brady_2917.mov","MOV")</f>
        <v>21</v>
      </c>
    </row>
    <row r="9778" s="2" customFormat="1" ht="13.5" customHeight="1">
      <c r="B9778" t="s" s="8">
        <v>3645</v>
      </c>
      <c r="C9778" t="s" s="9">
        <v>14</v>
      </c>
      <c r="D9778" t="s" s="8">
        <v>14</v>
      </c>
      <c r="E9778" t="s" s="9">
        <v>14</v>
      </c>
      <c r="F9778" t="s" s="10">
        <v>14</v>
      </c>
      <c r="G9778" t="s" s="11">
        <v>14</v>
      </c>
      <c r="H9778" t="s" s="10">
        <v>14</v>
      </c>
      <c r="I9778" t="s" s="11">
        <v>14</v>
      </c>
      <c r="J9778" t="s" s="11">
        <v>14</v>
      </c>
      <c r="K9778" t="s" s="12">
        <v>14</v>
      </c>
      <c r="L9778" t="s" s="12">
        <v>14</v>
      </c>
      <c r="M9778" t="s" s="10">
        <v>14</v>
      </c>
      <c r="N9778" t="s" s="11">
        <v>14</v>
      </c>
      <c r="O9778" t="s" s="8">
        <v>14</v>
      </c>
      <c r="P9778" t="s" s="8">
        <v>14</v>
      </c>
      <c r="Q9778" t="s" s="12">
        <v>14</v>
      </c>
      <c r="R9778" t="s" s="12">
        <v>14</v>
      </c>
    </row>
    <row r="9779" s="2" customFormat="1" ht="13.5" customHeight="1">
      <c r="B9779" s="13"/>
      <c r="C9779" t="s" s="9">
        <v>30</v>
      </c>
      <c r="D9779" t="s" s="8">
        <v>3645</v>
      </c>
      <c r="E9779" t="s" s="9">
        <v>3645</v>
      </c>
      <c r="F9779" t="s" s="10">
        <v>63</v>
      </c>
      <c r="G9779" t="s" s="11">
        <v>63</v>
      </c>
      <c r="H9779" t="s" s="10">
        <v>63</v>
      </c>
      <c r="I9779" t="s" s="11">
        <v>63</v>
      </c>
      <c r="J9779" t="s" s="11">
        <v>20</v>
      </c>
      <c r="K9779" t="s" s="16">
        <f>HYPERLINK("http://csr.bu.edu/ftp/asl/asllvd/demos/verify_start_end_handshape_annotations//test_auto_move//signs_mov/2920.mov","MOV")</f>
        <v>21</v>
      </c>
      <c r="L9779" t="s" s="16">
        <f>HYPERLINK("http://csr.bu.edu/ftp/asl/asllvd/demos/verify_start_end_handshape_annotations//test_auto_move//signs_mov_separ_signers/Brady_2920.mov","MOV")</f>
        <v>21</v>
      </c>
      <c r="M9779" t="s" s="10">
        <v>60</v>
      </c>
      <c r="N9779" s="17">
        <v>35</v>
      </c>
      <c r="O9779" s="18">
        <v>794</v>
      </c>
      <c r="P9779" s="18">
        <v>846</v>
      </c>
      <c r="Q9779" t="s" s="16">
        <f>HYPERLINK("http://secrets.rutgers.edu:8080/data/asl-ftp/asllvd/demos/verify_start_end_handshape_annotations//test_auto_move//signs_mov/2920.mov","MOV")</f>
        <v>21</v>
      </c>
      <c r="R9779" t="s" s="16">
        <f>HYPERLINK("http://secrets.rutgers.edu:8080/data/asl-ftp/asllvd/demos/verify_start_end_handshape_annotations//test_auto_move//signs_mov_separ_signers/Brady_2920.mov","MOV")</f>
        <v>21</v>
      </c>
    </row>
    <row r="9780" s="2" customFormat="1" ht="13.5" customHeight="1">
      <c r="B9780" t="s" s="8">
        <v>52</v>
      </c>
      <c r="C9780" t="s" s="9">
        <v>53</v>
      </c>
      <c r="D9780" t="s" s="8">
        <v>53</v>
      </c>
      <c r="E9780" t="s" s="9">
        <v>53</v>
      </c>
      <c r="F9780" t="s" s="10">
        <v>53</v>
      </c>
      <c r="G9780" t="s" s="11">
        <v>53</v>
      </c>
      <c r="H9780" t="s" s="10">
        <v>53</v>
      </c>
      <c r="I9780" t="s" s="11">
        <v>53</v>
      </c>
      <c r="J9780" t="s" s="11">
        <v>53</v>
      </c>
      <c r="K9780" t="s" s="12">
        <v>53</v>
      </c>
      <c r="L9780" t="s" s="12">
        <v>53</v>
      </c>
      <c r="M9780" t="s" s="10">
        <v>53</v>
      </c>
      <c r="N9780" t="s" s="11">
        <v>53</v>
      </c>
      <c r="O9780" t="s" s="8">
        <v>53</v>
      </c>
      <c r="P9780" t="s" s="8">
        <v>53</v>
      </c>
      <c r="Q9780" t="s" s="12">
        <v>53</v>
      </c>
      <c r="R9780" t="s" s="12">
        <v>53</v>
      </c>
    </row>
    <row r="9781" s="2" customFormat="1" ht="13.5" customHeight="1">
      <c r="B9781" s="13"/>
      <c r="C9781" t="s" s="9">
        <v>16</v>
      </c>
      <c r="D9781" t="s" s="8">
        <v>3645</v>
      </c>
      <c r="E9781" t="s" s="9">
        <v>3646</v>
      </c>
      <c r="F9781" t="s" s="10">
        <v>136</v>
      </c>
      <c r="G9781" t="s" s="11">
        <v>136</v>
      </c>
      <c r="H9781" t="s" s="10">
        <v>136</v>
      </c>
      <c r="I9781" t="s" s="11">
        <v>136</v>
      </c>
      <c r="J9781" t="s" s="11">
        <v>20</v>
      </c>
      <c r="K9781" t="s" s="16">
        <f>HYPERLINK("http://csr.bu.edu/ftp/asl/asllvd/demos/verify_start_end_handshape_annotations//test_auto_move//signs_mov/5762.mov","MOV")</f>
        <v>21</v>
      </c>
      <c r="L9781" t="s" s="16">
        <f>HYPERLINK("http://csr.bu.edu/ftp/asl/asllvd/demos/verify_start_end_handshape_annotations//test_auto_move//signs_mov_separ_signers/Liz_5762.mov","MOV")</f>
        <v>21</v>
      </c>
      <c r="M9781" t="s" s="10">
        <v>59</v>
      </c>
      <c r="N9781" s="17">
        <v>47</v>
      </c>
      <c r="O9781" s="18">
        <v>1077</v>
      </c>
      <c r="P9781" s="18">
        <v>1140</v>
      </c>
      <c r="Q9781" t="s" s="16">
        <f>HYPERLINK("http://secrets.rutgers.edu:8080/data/asl-ftp/asllvd/demos/verify_start_end_handshape_annotations//test_auto_move//signs_mov/5762.mov","MOV")</f>
        <v>21</v>
      </c>
      <c r="R9781" t="s" s="16">
        <f>HYPERLINK("http://secrets.rutgers.edu:8080/data/asl-ftp/asllvd/demos/verify_start_end_handshape_annotations//test_auto_move//signs_mov_separ_signers/Liz_5762.mov","MOV")</f>
        <v>21</v>
      </c>
    </row>
    <row r="9782" s="2" customFormat="1" ht="13.5" customHeight="1">
      <c r="B9782" t="s" s="8">
        <v>3645</v>
      </c>
      <c r="C9782" t="s" s="9">
        <v>14</v>
      </c>
      <c r="D9782" t="s" s="8">
        <v>14</v>
      </c>
      <c r="E9782" t="s" s="9">
        <v>14</v>
      </c>
      <c r="F9782" t="s" s="10">
        <v>14</v>
      </c>
      <c r="G9782" t="s" s="11">
        <v>14</v>
      </c>
      <c r="H9782" t="s" s="10">
        <v>14</v>
      </c>
      <c r="I9782" t="s" s="11">
        <v>14</v>
      </c>
      <c r="J9782" t="s" s="11">
        <v>14</v>
      </c>
      <c r="K9782" t="s" s="12">
        <v>14</v>
      </c>
      <c r="L9782" t="s" s="12">
        <v>14</v>
      </c>
      <c r="M9782" t="s" s="10">
        <v>14</v>
      </c>
      <c r="N9782" t="s" s="11">
        <v>14</v>
      </c>
      <c r="O9782" t="s" s="8">
        <v>14</v>
      </c>
      <c r="P9782" t="s" s="8">
        <v>14</v>
      </c>
      <c r="Q9782" t="s" s="12">
        <v>14</v>
      </c>
      <c r="R9782" t="s" s="12">
        <v>14</v>
      </c>
    </row>
    <row r="9783" s="2" customFormat="1" ht="13.5" customHeight="1">
      <c r="B9783" s="13"/>
      <c r="C9783" t="s" s="9">
        <v>30</v>
      </c>
      <c r="D9783" t="s" s="8">
        <v>3647</v>
      </c>
      <c r="E9783" t="s" s="9">
        <v>3647</v>
      </c>
      <c r="F9783" t="s" s="10">
        <v>453</v>
      </c>
      <c r="G9783" s="14"/>
      <c r="H9783" t="s" s="10">
        <v>453</v>
      </c>
      <c r="I9783" s="14"/>
      <c r="J9783" t="s" s="11">
        <v>20</v>
      </c>
      <c r="K9783" t="s" s="16">
        <f>HYPERLINK("http://csr.bu.edu/ftp/asl/asllvd/demos/verify_start_end_handshape_annotations//test_auto_move//signs_mov/16171.mov","MOV")</f>
        <v>21</v>
      </c>
      <c r="L9783" t="s" s="16">
        <f>HYPERLINK("http://csr.bu.edu/ftp/asl/asllvd/demos/verify_start_end_handshape_annotations//test_auto_move//signs_mov_separ_signers/Brady_16171.mov","MOV")</f>
        <v>21</v>
      </c>
      <c r="M9783" t="s" s="10">
        <v>60</v>
      </c>
      <c r="N9783" s="17">
        <v>35</v>
      </c>
      <c r="O9783" s="18">
        <v>1143</v>
      </c>
      <c r="P9783" s="18">
        <v>1179</v>
      </c>
      <c r="Q9783" t="s" s="16">
        <f>HYPERLINK("http://secrets.rutgers.edu:8080/data/asl-ftp/asllvd/demos/verify_start_end_handshape_annotations//test_auto_move//signs_mov/16171.mov","MOV")</f>
        <v>21</v>
      </c>
      <c r="R9783" t="s" s="16">
        <f>HYPERLINK("http://secrets.rutgers.edu:8080/data/asl-ftp/asllvd/demos/verify_start_end_handshape_annotations//test_auto_move//signs_mov_separ_signers/Brady_16171.mov","MOV")</f>
        <v>21</v>
      </c>
    </row>
    <row r="9784" s="2" customFormat="1" ht="13.5" customHeight="1">
      <c r="B9784" t="s" s="8">
        <v>3648</v>
      </c>
      <c r="C9784" t="s" s="9">
        <v>14</v>
      </c>
      <c r="D9784" t="s" s="8">
        <v>14</v>
      </c>
      <c r="E9784" t="s" s="9">
        <v>14</v>
      </c>
      <c r="F9784" t="s" s="10">
        <v>14</v>
      </c>
      <c r="G9784" t="s" s="11">
        <v>14</v>
      </c>
      <c r="H9784" t="s" s="10">
        <v>14</v>
      </c>
      <c r="I9784" t="s" s="11">
        <v>14</v>
      </c>
      <c r="J9784" t="s" s="11">
        <v>14</v>
      </c>
      <c r="K9784" t="s" s="12">
        <v>14</v>
      </c>
      <c r="L9784" t="s" s="12">
        <v>14</v>
      </c>
      <c r="M9784" t="s" s="10">
        <v>14</v>
      </c>
      <c r="N9784" t="s" s="11">
        <v>14</v>
      </c>
      <c r="O9784" t="s" s="8">
        <v>14</v>
      </c>
      <c r="P9784" t="s" s="8">
        <v>14</v>
      </c>
      <c r="Q9784" t="s" s="12">
        <v>14</v>
      </c>
      <c r="R9784" t="s" s="12">
        <v>14</v>
      </c>
    </row>
    <row r="9785" s="2" customFormat="1" ht="13.5" customHeight="1">
      <c r="B9785" s="13"/>
      <c r="C9785" t="s" s="9">
        <v>16</v>
      </c>
      <c r="D9785" t="s" s="8">
        <v>3648</v>
      </c>
      <c r="E9785" t="s" s="9">
        <v>3648</v>
      </c>
      <c r="F9785" t="s" s="10">
        <v>68</v>
      </c>
      <c r="G9785" t="s" s="11">
        <v>68</v>
      </c>
      <c r="H9785" t="s" s="10">
        <v>68</v>
      </c>
      <c r="I9785" t="s" s="11">
        <v>68</v>
      </c>
      <c r="J9785" t="s" s="11">
        <v>20</v>
      </c>
      <c r="K9785" t="s" s="16">
        <f>HYPERLINK("http://csr.bu.edu/ftp/asl/asllvd/demos/verify_start_end_handshape_annotations//test_auto_move//signs_mov/2921.mov","MOV")</f>
        <v>21</v>
      </c>
      <c r="L9785" t="s" s="16">
        <f>HYPERLINK("http://csr.bu.edu/ftp/asl/asllvd/demos/verify_start_end_handshape_annotations//test_auto_move//signs_mov_separ_signers/Liz_2921.mov","MOV")</f>
        <v>21</v>
      </c>
      <c r="M9785" t="s" s="10">
        <v>59</v>
      </c>
      <c r="N9785" s="17">
        <v>47</v>
      </c>
      <c r="O9785" s="18">
        <v>1381</v>
      </c>
      <c r="P9785" s="18">
        <v>1430</v>
      </c>
      <c r="Q9785" t="s" s="16">
        <f>HYPERLINK("http://secrets.rutgers.edu:8080/data/asl-ftp/asllvd/demos/verify_start_end_handshape_annotations//test_auto_move//signs_mov/2921.mov","MOV")</f>
        <v>21</v>
      </c>
      <c r="R9785" t="s" s="16">
        <f>HYPERLINK("http://secrets.rutgers.edu:8080/data/asl-ftp/asllvd/demos/verify_start_end_handshape_annotations//test_auto_move//signs_mov_separ_signers/Liz_2921.mov","MOV")</f>
        <v>21</v>
      </c>
    </row>
    <row r="9786" s="2" customFormat="1" ht="13.5" customHeight="1">
      <c r="B9786" s="13"/>
      <c r="C9786" t="s" s="9">
        <v>30</v>
      </c>
      <c r="D9786" t="s" s="8">
        <v>3648</v>
      </c>
      <c r="E9786" t="s" s="9">
        <v>3648</v>
      </c>
      <c r="F9786" t="s" s="10">
        <v>68</v>
      </c>
      <c r="G9786" t="s" s="11">
        <v>68</v>
      </c>
      <c r="H9786" t="s" s="10">
        <v>68</v>
      </c>
      <c r="I9786" t="s" s="11">
        <v>68</v>
      </c>
      <c r="J9786" t="s" s="11">
        <v>20</v>
      </c>
      <c r="K9786" s="15"/>
      <c r="L9786" t="s" s="16">
        <f>HYPERLINK("http://csr.bu.edu/ftp/asl/asllvd/demos/verify_start_end_handshape_annotations//test_auto_move//signs_mov_separ_signers/Brady_2921.mov","MOV")</f>
        <v>21</v>
      </c>
      <c r="M9786" t="s" s="10">
        <v>60</v>
      </c>
      <c r="N9786" s="17">
        <v>35</v>
      </c>
      <c r="O9786" s="18">
        <v>1259</v>
      </c>
      <c r="P9786" s="18">
        <v>1301</v>
      </c>
      <c r="Q9786" s="15"/>
      <c r="R9786" t="s" s="16">
        <f>HYPERLINK("http://secrets.rutgers.edu:8080/data/asl-ftp/asllvd/demos/verify_start_end_handshape_annotations//test_auto_move//signs_mov_separ_signers/Brady_2921.mov","MOV")</f>
        <v>21</v>
      </c>
    </row>
    <row r="9787" s="2" customFormat="1" ht="13.5" customHeight="1">
      <c r="B9787" t="s" s="8">
        <v>3649</v>
      </c>
      <c r="C9787" t="s" s="9">
        <v>14</v>
      </c>
      <c r="D9787" t="s" s="8">
        <v>14</v>
      </c>
      <c r="E9787" t="s" s="9">
        <v>14</v>
      </c>
      <c r="F9787" t="s" s="10">
        <v>14</v>
      </c>
      <c r="G9787" t="s" s="11">
        <v>14</v>
      </c>
      <c r="H9787" t="s" s="10">
        <v>14</v>
      </c>
      <c r="I9787" t="s" s="11">
        <v>14</v>
      </c>
      <c r="J9787" t="s" s="11">
        <v>14</v>
      </c>
      <c r="K9787" t="s" s="12">
        <v>14</v>
      </c>
      <c r="L9787" t="s" s="12">
        <v>14</v>
      </c>
      <c r="M9787" t="s" s="10">
        <v>14</v>
      </c>
      <c r="N9787" t="s" s="11">
        <v>14</v>
      </c>
      <c r="O9787" t="s" s="8">
        <v>14</v>
      </c>
      <c r="P9787" t="s" s="8">
        <v>14</v>
      </c>
      <c r="Q9787" t="s" s="12">
        <v>14</v>
      </c>
      <c r="R9787" t="s" s="12">
        <v>14</v>
      </c>
    </row>
    <row r="9788" s="2" customFormat="1" ht="13.5" customHeight="1">
      <c r="B9788" s="13"/>
      <c r="C9788" t="s" s="9">
        <v>16</v>
      </c>
      <c r="D9788" t="s" s="8">
        <v>3649</v>
      </c>
      <c r="E9788" t="s" s="9">
        <v>3650</v>
      </c>
      <c r="F9788" t="s" s="10">
        <v>136</v>
      </c>
      <c r="G9788" s="14"/>
      <c r="H9788" t="s" s="10">
        <v>136</v>
      </c>
      <c r="I9788" s="14"/>
      <c r="J9788" t="s" s="11">
        <v>20</v>
      </c>
      <c r="K9788" s="15"/>
      <c r="L9788" t="s" s="16">
        <f>HYPERLINK("http://csr.bu.edu/ftp/asl/asllvd/demos/verify_start_end_handshape_annotations//test_auto_move//signs_mov_separ_signers/Liz_2923.mov","MOV")</f>
        <v>21</v>
      </c>
      <c r="M9788" t="s" s="10">
        <v>59</v>
      </c>
      <c r="N9788" s="17">
        <v>47</v>
      </c>
      <c r="O9788" s="18">
        <v>1840</v>
      </c>
      <c r="P9788" s="18">
        <v>1871</v>
      </c>
      <c r="Q9788" s="15"/>
      <c r="R9788" t="s" s="16">
        <f>HYPERLINK("http://secrets.rutgers.edu:8080/data/asl-ftp/asllvd/demos/verify_start_end_handshape_annotations//test_auto_move//signs_mov_separ_signers/Liz_2923.mov","MOV")</f>
        <v>21</v>
      </c>
    </row>
    <row r="9789" s="2" customFormat="1" ht="13.5" customHeight="1">
      <c r="B9789" s="13"/>
      <c r="C9789" t="s" s="9">
        <v>30</v>
      </c>
      <c r="D9789" t="s" s="8">
        <v>3649</v>
      </c>
      <c r="E9789" t="s" s="9">
        <v>3651</v>
      </c>
      <c r="F9789" t="s" s="10">
        <v>136</v>
      </c>
      <c r="G9789" s="14"/>
      <c r="H9789" t="s" s="10">
        <v>136</v>
      </c>
      <c r="I9789" s="14"/>
      <c r="J9789" t="s" s="11">
        <v>20</v>
      </c>
      <c r="K9789" t="s" s="16">
        <f>HYPERLINK("http://csr.bu.edu/ftp/asl/asllvd/demos/verify_start_end_handshape_annotations//test_auto_move//signs_mov/2923.mov","MOV")</f>
        <v>21</v>
      </c>
      <c r="L9789" t="s" s="16">
        <f>HYPERLINK("http://csr.bu.edu/ftp/asl/asllvd/demos/verify_start_end_handshape_annotations//test_auto_move//signs_mov_separ_signers/Brady_2923.mov","MOV")</f>
        <v>21</v>
      </c>
      <c r="M9789" t="s" s="10">
        <v>60</v>
      </c>
      <c r="N9789" s="17">
        <v>35</v>
      </c>
      <c r="O9789" s="18">
        <v>2084</v>
      </c>
      <c r="P9789" s="18">
        <v>2122</v>
      </c>
      <c r="Q9789" t="s" s="16">
        <f>HYPERLINK("http://secrets.rutgers.edu:8080/data/asl-ftp/asllvd/demos/verify_start_end_handshape_annotations//test_auto_move//signs_mov/2923.mov","MOV")</f>
        <v>21</v>
      </c>
      <c r="R9789" t="s" s="16">
        <f>HYPERLINK("http://secrets.rutgers.edu:8080/data/asl-ftp/asllvd/demos/verify_start_end_handshape_annotations//test_auto_move//signs_mov_separ_signers/Brady_2923.mov","MOV")</f>
        <v>21</v>
      </c>
    </row>
    <row r="9790" s="2" customFormat="1" ht="13.5" customHeight="1">
      <c r="B9790" s="13"/>
      <c r="C9790" t="s" s="9">
        <v>41</v>
      </c>
      <c r="D9790" t="s" s="8">
        <v>3649</v>
      </c>
      <c r="E9790" t="s" s="9">
        <v>3651</v>
      </c>
      <c r="F9790" t="s" s="10">
        <v>136</v>
      </c>
      <c r="G9790" s="14"/>
      <c r="H9790" t="s" s="10">
        <v>136</v>
      </c>
      <c r="I9790" s="14"/>
      <c r="J9790" t="s" s="11">
        <v>20</v>
      </c>
      <c r="K9790" s="15"/>
      <c r="L9790" t="s" s="16">
        <f>HYPERLINK("http://csr.bu.edu/ftp/asl/asllvd/demos/verify_start_end_handshape_annotations//test_auto_move//signs_mov_separ_signers/Lana_2923.mov","MOV")</f>
        <v>21</v>
      </c>
      <c r="M9790" t="s" s="10">
        <v>42</v>
      </c>
      <c r="N9790" s="17">
        <v>25</v>
      </c>
      <c r="O9790" s="18">
        <v>2523</v>
      </c>
      <c r="P9790" s="18">
        <v>2553</v>
      </c>
      <c r="Q9790" s="15"/>
      <c r="R9790" t="s" s="16">
        <f>HYPERLINK("http://secrets.rutgers.edu:8080/data/asl-ftp/asllvd/demos/verify_start_end_handshape_annotations//test_auto_move//signs_mov_separ_signers/Lana_2923.mov","MOV")</f>
        <v>21</v>
      </c>
    </row>
    <row r="9791" s="2" customFormat="1" ht="13.5" customHeight="1">
      <c r="B9791" s="13"/>
      <c r="C9791" t="s" s="9">
        <v>43</v>
      </c>
      <c r="D9791" t="s" s="8">
        <v>3649</v>
      </c>
      <c r="E9791" t="s" s="9">
        <v>3650</v>
      </c>
      <c r="F9791" t="s" s="10">
        <v>136</v>
      </c>
      <c r="G9791" s="14"/>
      <c r="H9791" t="s" s="10">
        <v>136</v>
      </c>
      <c r="I9791" s="14"/>
      <c r="J9791" t="s" s="11">
        <v>20</v>
      </c>
      <c r="K9791" s="15"/>
      <c r="L9791" t="s" s="16">
        <f>HYPERLINK("http://csr.bu.edu/ftp/asl/asllvd/demos/verify_start_end_handshape_annotations//test_auto_move//signs_mov_separ_signers/Dana_2923.mov","MOV")</f>
        <v>21</v>
      </c>
      <c r="M9791" t="s" s="10">
        <v>44</v>
      </c>
      <c r="N9791" s="17">
        <v>27</v>
      </c>
      <c r="O9791" s="18">
        <v>2466</v>
      </c>
      <c r="P9791" s="18">
        <v>2509</v>
      </c>
      <c r="Q9791" s="15"/>
      <c r="R9791" t="s" s="16">
        <f>HYPERLINK("http://secrets.rutgers.edu:8080/data/asl-ftp/asllvd/demos/verify_start_end_handshape_annotations//test_auto_move//signs_mov_separ_signers/Dana_2923.mov","MOV")</f>
        <v>21</v>
      </c>
    </row>
    <row r="9792" s="2" customFormat="1" ht="13.5" customHeight="1">
      <c r="B9792" t="s" s="8">
        <v>3652</v>
      </c>
      <c r="C9792" t="s" s="9">
        <v>14</v>
      </c>
      <c r="D9792" t="s" s="8">
        <v>14</v>
      </c>
      <c r="E9792" t="s" s="9">
        <v>14</v>
      </c>
      <c r="F9792" t="s" s="10">
        <v>14</v>
      </c>
      <c r="G9792" t="s" s="11">
        <v>14</v>
      </c>
      <c r="H9792" t="s" s="10">
        <v>14</v>
      </c>
      <c r="I9792" t="s" s="11">
        <v>14</v>
      </c>
      <c r="J9792" t="s" s="11">
        <v>14</v>
      </c>
      <c r="K9792" t="s" s="12">
        <v>14</v>
      </c>
      <c r="L9792" t="s" s="12">
        <v>14</v>
      </c>
      <c r="M9792" t="s" s="10">
        <v>14</v>
      </c>
      <c r="N9792" t="s" s="11">
        <v>14</v>
      </c>
      <c r="O9792" t="s" s="8">
        <v>14</v>
      </c>
      <c r="P9792" t="s" s="8">
        <v>14</v>
      </c>
      <c r="Q9792" t="s" s="12">
        <v>14</v>
      </c>
      <c r="R9792" t="s" s="12">
        <v>14</v>
      </c>
    </row>
    <row r="9793" s="2" customFormat="1" ht="13.5" customHeight="1">
      <c r="B9793" s="13"/>
      <c r="C9793" t="s" s="9">
        <v>16</v>
      </c>
      <c r="D9793" t="s" s="8">
        <v>3652</v>
      </c>
      <c r="E9793" t="s" s="9">
        <v>3653</v>
      </c>
      <c r="F9793" t="s" s="10">
        <v>68</v>
      </c>
      <c r="G9793" s="14"/>
      <c r="H9793" t="s" s="10">
        <v>68</v>
      </c>
      <c r="I9793" s="14"/>
      <c r="J9793" t="s" s="11">
        <v>20</v>
      </c>
      <c r="K9793" t="s" s="16">
        <f>HYPERLINK("http://csr.bu.edu/ftp/asl/asllvd/demos/verify_start_end_handshape_annotations//test_auto_move//signs_mov/2925.mov","MOV")</f>
        <v>21</v>
      </c>
      <c r="L9793" t="s" s="16">
        <f>HYPERLINK("http://csr.bu.edu/ftp/asl/asllvd/demos/verify_start_end_handshape_annotations//test_auto_move//signs_mov_separ_signers/Liz_2925.mov","MOV")</f>
        <v>21</v>
      </c>
      <c r="M9793" t="s" s="10">
        <v>59</v>
      </c>
      <c r="N9793" s="17">
        <v>47</v>
      </c>
      <c r="O9793" s="18">
        <v>2300</v>
      </c>
      <c r="P9793" s="18">
        <v>2330</v>
      </c>
      <c r="Q9793" t="s" s="16">
        <f>HYPERLINK("http://secrets.rutgers.edu:8080/data/asl-ftp/asllvd/demos/verify_start_end_handshape_annotations//test_auto_move//signs_mov/2925.mov","MOV")</f>
        <v>21</v>
      </c>
      <c r="R9793" t="s" s="16">
        <f>HYPERLINK("http://secrets.rutgers.edu:8080/data/asl-ftp/asllvd/demos/verify_start_end_handshape_annotations//test_auto_move//signs_mov_separ_signers/Liz_2925.mov","MOV")</f>
        <v>21</v>
      </c>
    </row>
    <row r="9794" s="2" customFormat="1" ht="13.5" customHeight="1">
      <c r="B9794" s="13"/>
      <c r="C9794" t="s" s="9">
        <v>30</v>
      </c>
      <c r="D9794" t="s" s="8">
        <v>3652</v>
      </c>
      <c r="E9794" t="s" s="9">
        <v>3654</v>
      </c>
      <c r="F9794" t="s" s="10">
        <v>68</v>
      </c>
      <c r="G9794" s="14"/>
      <c r="H9794" t="s" s="10">
        <v>68</v>
      </c>
      <c r="I9794" s="14"/>
      <c r="J9794" t="s" s="11">
        <v>20</v>
      </c>
      <c r="K9794" s="15"/>
      <c r="L9794" t="s" s="16">
        <f>HYPERLINK("http://csr.bu.edu/ftp/asl/asllvd/demos/verify_start_end_handshape_annotations//test_auto_move//signs_mov_separ_signers/Brady_2925.mov","MOV")</f>
        <v>21</v>
      </c>
      <c r="M9794" t="s" s="10">
        <v>60</v>
      </c>
      <c r="N9794" s="17">
        <v>35</v>
      </c>
      <c r="O9794" s="18">
        <v>2520</v>
      </c>
      <c r="P9794" s="18">
        <v>2555</v>
      </c>
      <c r="Q9794" s="15"/>
      <c r="R9794" t="s" s="16">
        <f>HYPERLINK("http://secrets.rutgers.edu:8080/data/asl-ftp/asllvd/demos/verify_start_end_handshape_annotations//test_auto_move//signs_mov_separ_signers/Brady_2925.mov","MOV")</f>
        <v>21</v>
      </c>
    </row>
    <row r="9795" s="2" customFormat="1" ht="13.5" customHeight="1">
      <c r="B9795" t="s" s="8">
        <v>3655</v>
      </c>
      <c r="C9795" t="s" s="9">
        <v>14</v>
      </c>
      <c r="D9795" t="s" s="8">
        <v>14</v>
      </c>
      <c r="E9795" t="s" s="9">
        <v>14</v>
      </c>
      <c r="F9795" t="s" s="10">
        <v>14</v>
      </c>
      <c r="G9795" t="s" s="11">
        <v>14</v>
      </c>
      <c r="H9795" t="s" s="10">
        <v>14</v>
      </c>
      <c r="I9795" t="s" s="11">
        <v>14</v>
      </c>
      <c r="J9795" t="s" s="11">
        <v>14</v>
      </c>
      <c r="K9795" t="s" s="12">
        <v>14</v>
      </c>
      <c r="L9795" t="s" s="12">
        <v>14</v>
      </c>
      <c r="M9795" t="s" s="10">
        <v>14</v>
      </c>
      <c r="N9795" t="s" s="11">
        <v>14</v>
      </c>
      <c r="O9795" t="s" s="8">
        <v>14</v>
      </c>
      <c r="P9795" t="s" s="8">
        <v>14</v>
      </c>
      <c r="Q9795" t="s" s="12">
        <v>14</v>
      </c>
      <c r="R9795" t="s" s="12">
        <v>14</v>
      </c>
    </row>
    <row r="9796" s="2" customFormat="1" ht="13.5" customHeight="1">
      <c r="B9796" s="13"/>
      <c r="C9796" t="s" s="9">
        <v>16</v>
      </c>
      <c r="D9796" t="s" s="8">
        <v>3655</v>
      </c>
      <c r="E9796" t="s" s="9">
        <v>3655</v>
      </c>
      <c r="F9796" t="s" s="10">
        <v>136</v>
      </c>
      <c r="G9796" s="14"/>
      <c r="H9796" t="s" s="10">
        <v>68</v>
      </c>
      <c r="I9796" s="14"/>
      <c r="J9796" t="s" s="11">
        <v>20</v>
      </c>
      <c r="K9796" s="15"/>
      <c r="L9796" t="s" s="16">
        <f>HYPERLINK("http://csr.bu.edu/ftp/asl/asllvd/demos/verify_start_end_handshape_annotations//test_auto_move//signs_mov_separ_signers/Liz_15019.mov","MOV")</f>
        <v>21</v>
      </c>
      <c r="M9796" t="s" s="10">
        <v>59</v>
      </c>
      <c r="N9796" s="17">
        <v>47</v>
      </c>
      <c r="O9796" s="18">
        <v>2081</v>
      </c>
      <c r="P9796" s="18">
        <v>2111</v>
      </c>
      <c r="Q9796" s="15"/>
      <c r="R9796" t="s" s="16">
        <f>HYPERLINK("http://secrets.rutgers.edu:8080/data/asl-ftp/asllvd/demos/verify_start_end_handshape_annotations//test_auto_move//signs_mov_separ_signers/Liz_15019.mov","MOV")</f>
        <v>21</v>
      </c>
    </row>
    <row r="9797" s="2" customFormat="1" ht="13.5" customHeight="1">
      <c r="B9797" s="13"/>
      <c r="C9797" t="s" s="9">
        <v>16</v>
      </c>
      <c r="D9797" t="s" s="8">
        <v>3655</v>
      </c>
      <c r="E9797" t="s" s="9">
        <v>3655</v>
      </c>
      <c r="F9797" t="s" s="10">
        <v>136</v>
      </c>
      <c r="G9797" s="14"/>
      <c r="H9797" t="s" s="10">
        <v>68</v>
      </c>
      <c r="I9797" s="14"/>
      <c r="J9797" t="s" s="11">
        <v>20</v>
      </c>
      <c r="K9797" t="s" s="16">
        <f>HYPERLINK("http://csr.bu.edu/ftp/asl/asllvd/demos/verify_start_end_handshape_annotations//test_auto_move//signs_mov/15019_15024_merged.mov","MOV")</f>
        <v>21</v>
      </c>
      <c r="L9797" t="s" s="16">
        <f>HYPERLINK("http://csr.bu.edu/ftp/asl/asllvd/demos/verify_start_end_handshape_annotations//test_auto_move//signs_mov_separ_signers/Liz_15024.mov","MOV")</f>
        <v>21</v>
      </c>
      <c r="M9797" t="s" s="10">
        <v>59</v>
      </c>
      <c r="N9797" s="17">
        <v>47</v>
      </c>
      <c r="O9797" s="18">
        <v>2571</v>
      </c>
      <c r="P9797" s="18">
        <v>2595</v>
      </c>
      <c r="Q9797" t="s" s="16">
        <f>HYPERLINK("http://secrets.rutgers.edu:8080/data/asl-ftp/asllvd/demos/verify_start_end_handshape_annotations//test_auto_move//signs_mov/15019_15024_merged.mov","MOV")</f>
        <v>21</v>
      </c>
      <c r="R9797" t="s" s="16">
        <f>HYPERLINK("http://secrets.rutgers.edu:8080/data/asl-ftp/asllvd/demos/verify_start_end_handshape_annotations//test_auto_move//signs_mov_separ_signers/Liz_15024.mov","MOV")</f>
        <v>21</v>
      </c>
    </row>
    <row r="9798" s="2" customFormat="1" ht="13.5" customHeight="1">
      <c r="B9798" s="13"/>
      <c r="C9798" t="s" s="9">
        <v>30</v>
      </c>
      <c r="D9798" t="s" s="8">
        <v>3655</v>
      </c>
      <c r="E9798" t="s" s="9">
        <v>3655</v>
      </c>
      <c r="F9798" t="s" s="10">
        <v>136</v>
      </c>
      <c r="G9798" s="14"/>
      <c r="H9798" t="s" s="10">
        <v>68</v>
      </c>
      <c r="I9798" s="14"/>
      <c r="J9798" t="s" s="11">
        <v>20</v>
      </c>
      <c r="K9798" s="15"/>
      <c r="L9798" t="s" s="16">
        <f>HYPERLINK("http://csr.bu.edu/ftp/asl/asllvd/demos/verify_start_end_handshape_annotations//test_auto_move//signs_mov_separ_signers/Brady_15019.mov","MOV")</f>
        <v>21</v>
      </c>
      <c r="M9798" t="s" s="10">
        <v>60</v>
      </c>
      <c r="N9798" s="17">
        <v>35</v>
      </c>
      <c r="O9798" s="18">
        <v>2313</v>
      </c>
      <c r="P9798" s="18">
        <v>2330</v>
      </c>
      <c r="Q9798" s="15"/>
      <c r="R9798" t="s" s="16">
        <f>HYPERLINK("http://secrets.rutgers.edu:8080/data/asl-ftp/asllvd/demos/verify_start_end_handshape_annotations//test_auto_move//signs_mov_separ_signers/Brady_15019.mov","MOV")</f>
        <v>21</v>
      </c>
    </row>
    <row r="9799" s="2" customFormat="1" ht="13.5" customHeight="1">
      <c r="B9799" t="s" s="8">
        <v>3656</v>
      </c>
      <c r="C9799" t="s" s="9">
        <v>14</v>
      </c>
      <c r="D9799" t="s" s="8">
        <v>14</v>
      </c>
      <c r="E9799" t="s" s="9">
        <v>14</v>
      </c>
      <c r="F9799" t="s" s="10">
        <v>14</v>
      </c>
      <c r="G9799" t="s" s="11">
        <v>14</v>
      </c>
      <c r="H9799" t="s" s="10">
        <v>14</v>
      </c>
      <c r="I9799" t="s" s="11">
        <v>14</v>
      </c>
      <c r="J9799" t="s" s="11">
        <v>14</v>
      </c>
      <c r="K9799" t="s" s="12">
        <v>14</v>
      </c>
      <c r="L9799" t="s" s="12">
        <v>14</v>
      </c>
      <c r="M9799" t="s" s="10">
        <v>14</v>
      </c>
      <c r="N9799" t="s" s="11">
        <v>14</v>
      </c>
      <c r="O9799" t="s" s="8">
        <v>14</v>
      </c>
      <c r="P9799" t="s" s="8">
        <v>14</v>
      </c>
      <c r="Q9799" t="s" s="12">
        <v>14</v>
      </c>
      <c r="R9799" t="s" s="12">
        <v>14</v>
      </c>
    </row>
    <row r="9800" s="2" customFormat="1" ht="13.5" customHeight="1">
      <c r="B9800" s="13"/>
      <c r="C9800" t="s" s="9">
        <v>16</v>
      </c>
      <c r="D9800" t="s" s="8">
        <v>3656</v>
      </c>
      <c r="E9800" t="s" s="9">
        <v>3656</v>
      </c>
      <c r="F9800" s="19">
        <v>1</v>
      </c>
      <c r="G9800" s="14"/>
      <c r="H9800" s="19">
        <v>1</v>
      </c>
      <c r="I9800" s="14"/>
      <c r="J9800" t="s" s="11">
        <v>20</v>
      </c>
      <c r="K9800" t="s" s="16">
        <f>HYPERLINK("http://csr.bu.edu/ftp/asl/asllvd/demos/verify_start_end_handshape_annotations//test_auto_move//signs_mov/2938.mov","MOV")</f>
        <v>21</v>
      </c>
      <c r="L9800" t="s" s="16">
        <f>HYPERLINK("http://csr.bu.edu/ftp/asl/asllvd/demos/verify_start_end_handshape_annotations//test_auto_move//signs_mov_separ_signers/Liz_2938.mov","MOV")</f>
        <v>21</v>
      </c>
      <c r="M9800" t="s" s="10">
        <v>59</v>
      </c>
      <c r="N9800" s="17">
        <v>48</v>
      </c>
      <c r="O9800" s="18">
        <v>2460</v>
      </c>
      <c r="P9800" s="18">
        <v>2495</v>
      </c>
      <c r="Q9800" t="s" s="16">
        <f>HYPERLINK("http://secrets.rutgers.edu:8080/data/asl-ftp/asllvd/demos/verify_start_end_handshape_annotations//test_auto_move//signs_mov/2938.mov","MOV")</f>
        <v>21</v>
      </c>
      <c r="R9800" t="s" s="16">
        <f>HYPERLINK("http://secrets.rutgers.edu:8080/data/asl-ftp/asllvd/demos/verify_start_end_handshape_annotations//test_auto_move//signs_mov_separ_signers/Liz_2938.mov","MOV")</f>
        <v>21</v>
      </c>
    </row>
    <row r="9801" s="2" customFormat="1" ht="13.5" customHeight="1">
      <c r="B9801" s="13"/>
      <c r="C9801" t="s" s="9">
        <v>30</v>
      </c>
      <c r="D9801" t="s" s="8">
        <v>3656</v>
      </c>
      <c r="E9801" t="s" s="9">
        <v>3656</v>
      </c>
      <c r="F9801" s="19">
        <v>1</v>
      </c>
      <c r="G9801" s="14"/>
      <c r="H9801" s="19">
        <v>1</v>
      </c>
      <c r="I9801" s="14"/>
      <c r="J9801" t="s" s="11">
        <v>20</v>
      </c>
      <c r="K9801" s="15"/>
      <c r="L9801" t="s" s="16">
        <f>HYPERLINK("http://csr.bu.edu/ftp/asl/asllvd/demos/verify_start_end_handshape_annotations//test_auto_move//signs_mov_separ_signers/Brady_2938.mov","MOV")</f>
        <v>21</v>
      </c>
      <c r="M9801" t="s" s="10">
        <v>60</v>
      </c>
      <c r="N9801" s="17">
        <v>36</v>
      </c>
      <c r="O9801" s="18">
        <v>3488</v>
      </c>
      <c r="P9801" s="18">
        <v>3515</v>
      </c>
      <c r="Q9801" s="15"/>
      <c r="R9801" t="s" s="16">
        <f>HYPERLINK("http://secrets.rutgers.edu:8080/data/asl-ftp/asllvd/demos/verify_start_end_handshape_annotations//test_auto_move//signs_mov_separ_signers/Brady_2938.mov","MOV")</f>
        <v>21</v>
      </c>
    </row>
    <row r="9802" s="2" customFormat="1" ht="13.5" customHeight="1">
      <c r="B9802" t="s" s="8">
        <v>3657</v>
      </c>
      <c r="C9802" t="s" s="9">
        <v>14</v>
      </c>
      <c r="D9802" t="s" s="8">
        <v>14</v>
      </c>
      <c r="E9802" t="s" s="9">
        <v>14</v>
      </c>
      <c r="F9802" t="s" s="10">
        <v>14</v>
      </c>
      <c r="G9802" t="s" s="11">
        <v>14</v>
      </c>
      <c r="H9802" t="s" s="10">
        <v>14</v>
      </c>
      <c r="I9802" t="s" s="11">
        <v>14</v>
      </c>
      <c r="J9802" t="s" s="11">
        <v>14</v>
      </c>
      <c r="K9802" t="s" s="12">
        <v>14</v>
      </c>
      <c r="L9802" t="s" s="12">
        <v>14</v>
      </c>
      <c r="M9802" t="s" s="10">
        <v>14</v>
      </c>
      <c r="N9802" t="s" s="11">
        <v>14</v>
      </c>
      <c r="O9802" t="s" s="8">
        <v>14</v>
      </c>
      <c r="P9802" t="s" s="8">
        <v>14</v>
      </c>
      <c r="Q9802" t="s" s="12">
        <v>14</v>
      </c>
      <c r="R9802" t="s" s="12">
        <v>14</v>
      </c>
    </row>
    <row r="9803" s="2" customFormat="1" ht="13.5" customHeight="1">
      <c r="B9803" s="13"/>
      <c r="C9803" t="s" s="9">
        <v>16</v>
      </c>
      <c r="D9803" t="s" s="8">
        <v>3657</v>
      </c>
      <c r="E9803" t="s" s="9">
        <v>3658</v>
      </c>
      <c r="F9803" t="s" s="10">
        <v>65</v>
      </c>
      <c r="G9803" t="s" s="11">
        <v>65</v>
      </c>
      <c r="H9803" t="s" s="10">
        <v>65</v>
      </c>
      <c r="I9803" t="s" s="11">
        <v>65</v>
      </c>
      <c r="J9803" t="s" s="11">
        <v>20</v>
      </c>
      <c r="K9803" t="s" s="16">
        <f>HYPERLINK("http://csr.bu.edu/ftp/asl/asllvd/demos/verify_start_end_handshape_annotations//test_auto_move//signs_mov/2939.mov","MOV")</f>
        <v>21</v>
      </c>
      <c r="L9803" t="s" s="16">
        <f>HYPERLINK("http://csr.bu.edu/ftp/asl/asllvd/demos/verify_start_end_handshape_annotations//test_auto_move//signs_mov_separ_signers/Liz_2939.mov","MOV")</f>
        <v>21</v>
      </c>
      <c r="M9803" t="s" s="10">
        <v>59</v>
      </c>
      <c r="N9803" s="17">
        <v>48</v>
      </c>
      <c r="O9803" s="18">
        <v>2690</v>
      </c>
      <c r="P9803" s="18">
        <v>2740</v>
      </c>
      <c r="Q9803" t="s" s="16">
        <f>HYPERLINK("http://secrets.rutgers.edu:8080/data/asl-ftp/asllvd/demos/verify_start_end_handshape_annotations//test_auto_move//signs_mov/2939.mov","MOV")</f>
        <v>21</v>
      </c>
      <c r="R9803" t="s" s="16">
        <f>HYPERLINK("http://secrets.rutgers.edu:8080/data/asl-ftp/asllvd/demos/verify_start_end_handshape_annotations//test_auto_move//signs_mov_separ_signers/Liz_2939.mov","MOV")</f>
        <v>21</v>
      </c>
    </row>
    <row r="9804" s="2" customFormat="1" ht="13.5" customHeight="1">
      <c r="B9804" s="13"/>
      <c r="C9804" t="s" s="9">
        <v>30</v>
      </c>
      <c r="D9804" t="s" s="8">
        <v>3657</v>
      </c>
      <c r="E9804" t="s" s="9">
        <v>3658</v>
      </c>
      <c r="F9804" t="s" s="10">
        <v>65</v>
      </c>
      <c r="G9804" t="s" s="11">
        <v>65</v>
      </c>
      <c r="H9804" t="s" s="10">
        <v>65</v>
      </c>
      <c r="I9804" t="s" s="11">
        <v>65</v>
      </c>
      <c r="J9804" t="s" s="11">
        <v>20</v>
      </c>
      <c r="K9804" s="15"/>
      <c r="L9804" t="s" s="16">
        <f>HYPERLINK("http://csr.bu.edu/ftp/asl/asllvd/demos/verify_start_end_handshape_annotations//test_auto_move//signs_mov_separ_signers/Brady_2939.mov","MOV")</f>
        <v>21</v>
      </c>
      <c r="M9804" t="s" s="10">
        <v>60</v>
      </c>
      <c r="N9804" s="17">
        <v>36</v>
      </c>
      <c r="O9804" s="18">
        <v>3732</v>
      </c>
      <c r="P9804" s="18">
        <v>3777</v>
      </c>
      <c r="Q9804" s="15"/>
      <c r="R9804" t="s" s="16">
        <f>HYPERLINK("http://secrets.rutgers.edu:8080/data/asl-ftp/asllvd/demos/verify_start_end_handshape_annotations//test_auto_move//signs_mov_separ_signers/Brady_2939.mov","MOV")</f>
        <v>21</v>
      </c>
    </row>
    <row r="9805" s="2" customFormat="1" ht="13.5" customHeight="1">
      <c r="B9805" t="s" s="8">
        <v>3659</v>
      </c>
      <c r="C9805" t="s" s="9">
        <v>14</v>
      </c>
      <c r="D9805" t="s" s="8">
        <v>14</v>
      </c>
      <c r="E9805" t="s" s="9">
        <v>14</v>
      </c>
      <c r="F9805" t="s" s="10">
        <v>14</v>
      </c>
      <c r="G9805" t="s" s="11">
        <v>14</v>
      </c>
      <c r="H9805" t="s" s="10">
        <v>14</v>
      </c>
      <c r="I9805" t="s" s="11">
        <v>14</v>
      </c>
      <c r="J9805" t="s" s="11">
        <v>14</v>
      </c>
      <c r="K9805" t="s" s="12">
        <v>14</v>
      </c>
      <c r="L9805" t="s" s="12">
        <v>14</v>
      </c>
      <c r="M9805" t="s" s="10">
        <v>14</v>
      </c>
      <c r="N9805" t="s" s="11">
        <v>14</v>
      </c>
      <c r="O9805" t="s" s="8">
        <v>14</v>
      </c>
      <c r="P9805" t="s" s="8">
        <v>14</v>
      </c>
      <c r="Q9805" t="s" s="12">
        <v>14</v>
      </c>
      <c r="R9805" t="s" s="12">
        <v>14</v>
      </c>
    </row>
    <row r="9806" s="2" customFormat="1" ht="13.5" customHeight="1">
      <c r="B9806" s="13"/>
      <c r="C9806" t="s" s="9">
        <v>16</v>
      </c>
      <c r="D9806" t="s" s="8">
        <v>3659</v>
      </c>
      <c r="E9806" t="s" s="9">
        <v>3659</v>
      </c>
      <c r="F9806" t="s" s="10">
        <v>73</v>
      </c>
      <c r="G9806" t="s" s="11">
        <v>73</v>
      </c>
      <c r="H9806" t="s" s="10">
        <v>73</v>
      </c>
      <c r="I9806" t="s" s="11">
        <v>73</v>
      </c>
      <c r="J9806" t="s" s="11">
        <v>20</v>
      </c>
      <c r="K9806" s="15"/>
      <c r="L9806" t="s" s="16">
        <f>HYPERLINK("http://csr.bu.edu/ftp/asl/asllvd/demos/verify_start_end_handshape_annotations//test_auto_move//signs_mov_separ_signers/Liz_3006.mov","MOV")</f>
        <v>21</v>
      </c>
      <c r="M9806" t="s" s="10">
        <v>77</v>
      </c>
      <c r="N9806" s="17">
        <v>3</v>
      </c>
      <c r="O9806" s="18">
        <v>2000</v>
      </c>
      <c r="P9806" s="18">
        <v>2050</v>
      </c>
      <c r="Q9806" s="15"/>
      <c r="R9806" t="s" s="16">
        <f>HYPERLINK("http://secrets.rutgers.edu:8080/data/asl-ftp/asllvd/demos/verify_start_end_handshape_annotations//test_auto_move//signs_mov_separ_signers/Liz_3006.mov","MOV")</f>
        <v>21</v>
      </c>
    </row>
    <row r="9807" s="2" customFormat="1" ht="13.5" customHeight="1">
      <c r="B9807" s="13"/>
      <c r="C9807" t="s" s="9">
        <v>27</v>
      </c>
      <c r="D9807" t="s" s="8">
        <v>3659</v>
      </c>
      <c r="E9807" t="s" s="9">
        <v>3659</v>
      </c>
      <c r="F9807" t="s" s="10">
        <v>73</v>
      </c>
      <c r="G9807" t="s" s="11">
        <v>73</v>
      </c>
      <c r="H9807" t="s" s="10">
        <v>80</v>
      </c>
      <c r="I9807" t="s" s="11">
        <v>73</v>
      </c>
      <c r="J9807" t="s" s="11">
        <v>20</v>
      </c>
      <c r="K9807" t="s" s="16">
        <f>HYPERLINK("http://csr.bu.edu/ftp/asl/asllvd/demos/verify_start_end_handshape_annotations//test_auto_move//signs_mov/3006.mov","MOV")</f>
        <v>21</v>
      </c>
      <c r="L9807" t="s" s="16">
        <f>HYPERLINK("http://csr.bu.edu/ftp/asl/asllvd/demos/verify_start_end_handshape_annotations//test_auto_move//signs_mov_separ_signers/Naomi_3006.mov","MOV")</f>
        <v>21</v>
      </c>
      <c r="M9807" t="s" s="10">
        <v>29</v>
      </c>
      <c r="N9807" s="17">
        <v>30</v>
      </c>
      <c r="O9807" s="18">
        <v>1076</v>
      </c>
      <c r="P9807" s="18">
        <v>1097</v>
      </c>
      <c r="Q9807" t="s" s="16">
        <f>HYPERLINK("http://secrets.rutgers.edu:8080/data/asl-ftp/asllvd/demos/verify_start_end_handshape_annotations//test_auto_move//signs_mov/3006.mov","MOV")</f>
        <v>21</v>
      </c>
      <c r="R9807" t="s" s="16">
        <f>HYPERLINK("http://secrets.rutgers.edu:8080/data/asl-ftp/asllvd/demos/verify_start_end_handshape_annotations//test_auto_move//signs_mov_separ_signers/Naomi_3006.mov","MOV")</f>
        <v>21</v>
      </c>
    </row>
    <row r="9808" s="2" customFormat="1" ht="13.5" customHeight="1">
      <c r="B9808" s="13"/>
      <c r="C9808" t="s" s="9">
        <v>30</v>
      </c>
      <c r="D9808" t="s" s="8">
        <v>3659</v>
      </c>
      <c r="E9808" t="s" s="9">
        <v>3659</v>
      </c>
      <c r="F9808" t="s" s="10">
        <v>73</v>
      </c>
      <c r="G9808" t="s" s="11">
        <v>73</v>
      </c>
      <c r="H9808" t="s" s="10">
        <v>73</v>
      </c>
      <c r="I9808" t="s" s="11">
        <v>73</v>
      </c>
      <c r="J9808" t="s" s="11">
        <v>20</v>
      </c>
      <c r="K9808" s="15"/>
      <c r="L9808" t="s" s="16">
        <f>HYPERLINK("http://csr.bu.edu/ftp/asl/asllvd/demos/verify_start_end_handshape_annotations//test_auto_move//signs_mov_separ_signers/Brady_3006.mov","MOV")</f>
        <v>21</v>
      </c>
      <c r="M9808" t="s" s="10">
        <v>31</v>
      </c>
      <c r="N9808" s="17">
        <v>21</v>
      </c>
      <c r="O9808" s="18">
        <v>17025</v>
      </c>
      <c r="P9808" s="18">
        <v>17043</v>
      </c>
      <c r="Q9808" s="15"/>
      <c r="R9808" t="s" s="16">
        <f>HYPERLINK("http://secrets.rutgers.edu:8080/data/asl-ftp/asllvd/demos/verify_start_end_handshape_annotations//test_auto_move//signs_mov_separ_signers/Brady_3006.mov","MOV")</f>
        <v>21</v>
      </c>
    </row>
    <row r="9809" s="2" customFormat="1" ht="13.5" customHeight="1">
      <c r="B9809" t="s" s="8">
        <v>52</v>
      </c>
      <c r="C9809" t="s" s="9">
        <v>53</v>
      </c>
      <c r="D9809" t="s" s="8">
        <v>53</v>
      </c>
      <c r="E9809" t="s" s="9">
        <v>53</v>
      </c>
      <c r="F9809" t="s" s="10">
        <v>53</v>
      </c>
      <c r="G9809" t="s" s="11">
        <v>53</v>
      </c>
      <c r="H9809" t="s" s="10">
        <v>53</v>
      </c>
      <c r="I9809" t="s" s="11">
        <v>53</v>
      </c>
      <c r="J9809" t="s" s="11">
        <v>53</v>
      </c>
      <c r="K9809" t="s" s="12">
        <v>53</v>
      </c>
      <c r="L9809" t="s" s="12">
        <v>53</v>
      </c>
      <c r="M9809" t="s" s="10">
        <v>53</v>
      </c>
      <c r="N9809" t="s" s="11">
        <v>53</v>
      </c>
      <c r="O9809" t="s" s="8">
        <v>53</v>
      </c>
      <c r="P9809" t="s" s="8">
        <v>53</v>
      </c>
      <c r="Q9809" t="s" s="12">
        <v>53</v>
      </c>
      <c r="R9809" t="s" s="12">
        <v>53</v>
      </c>
    </row>
    <row r="9810" s="2" customFormat="1" ht="13.5" customHeight="1">
      <c r="B9810" s="13"/>
      <c r="C9810" t="s" s="9">
        <v>16</v>
      </c>
      <c r="D9810" t="s" s="8">
        <v>3659</v>
      </c>
      <c r="E9810" t="s" s="9">
        <v>3660</v>
      </c>
      <c r="F9810" t="s" s="10">
        <v>73</v>
      </c>
      <c r="G9810" t="s" s="11">
        <v>73</v>
      </c>
      <c r="H9810" t="s" s="10">
        <v>73</v>
      </c>
      <c r="I9810" t="s" s="11">
        <v>73</v>
      </c>
      <c r="J9810" t="s" s="11">
        <v>20</v>
      </c>
      <c r="K9810" t="s" s="16">
        <f>HYPERLINK("http://csr.bu.edu/ftp/asl/asllvd/demos/verify_start_end_handshape_annotations//test_auto_move//signs_mov/5568.mov","MOV")</f>
        <v>21</v>
      </c>
      <c r="L9810" t="s" s="16">
        <f>HYPERLINK("http://csr.bu.edu/ftp/asl/asllvd/demos/verify_start_end_handshape_annotations//test_auto_move//signs_mov_separ_signers/Liz_5568.mov","MOV")</f>
        <v>21</v>
      </c>
      <c r="M9810" t="s" s="10">
        <v>77</v>
      </c>
      <c r="N9810" s="17">
        <v>3</v>
      </c>
      <c r="O9810" s="18">
        <v>2140</v>
      </c>
      <c r="P9810" s="18">
        <v>2200</v>
      </c>
      <c r="Q9810" t="s" s="16">
        <f>HYPERLINK("http://secrets.rutgers.edu:8080/data/asl-ftp/asllvd/demos/verify_start_end_handshape_annotations//test_auto_move//signs_mov/5568.mov","MOV")</f>
        <v>21</v>
      </c>
      <c r="R9810" t="s" s="16">
        <f>HYPERLINK("http://secrets.rutgers.edu:8080/data/asl-ftp/asllvd/demos/verify_start_end_handshape_annotations//test_auto_move//signs_mov_separ_signers/Liz_5568.mov","MOV")</f>
        <v>21</v>
      </c>
    </row>
    <row r="9811" s="2" customFormat="1" ht="13.5" customHeight="1">
      <c r="B9811" t="s" s="8">
        <v>3661</v>
      </c>
      <c r="C9811" t="s" s="9">
        <v>14</v>
      </c>
      <c r="D9811" t="s" s="8">
        <v>14</v>
      </c>
      <c r="E9811" t="s" s="9">
        <v>14</v>
      </c>
      <c r="F9811" t="s" s="10">
        <v>14</v>
      </c>
      <c r="G9811" t="s" s="11">
        <v>14</v>
      </c>
      <c r="H9811" t="s" s="10">
        <v>14</v>
      </c>
      <c r="I9811" t="s" s="11">
        <v>14</v>
      </c>
      <c r="J9811" t="s" s="11">
        <v>14</v>
      </c>
      <c r="K9811" t="s" s="12">
        <v>14</v>
      </c>
      <c r="L9811" t="s" s="12">
        <v>14</v>
      </c>
      <c r="M9811" t="s" s="10">
        <v>14</v>
      </c>
      <c r="N9811" t="s" s="11">
        <v>14</v>
      </c>
      <c r="O9811" t="s" s="8">
        <v>14</v>
      </c>
      <c r="P9811" t="s" s="8">
        <v>14</v>
      </c>
      <c r="Q9811" t="s" s="12">
        <v>14</v>
      </c>
      <c r="R9811" t="s" s="12">
        <v>14</v>
      </c>
    </row>
    <row r="9812" s="2" customFormat="1" ht="13.5" customHeight="1">
      <c r="B9812" s="13"/>
      <c r="C9812" t="s" s="9">
        <v>16</v>
      </c>
      <c r="D9812" t="s" s="8">
        <v>3662</v>
      </c>
      <c r="E9812" t="s" s="9">
        <v>3662</v>
      </c>
      <c r="F9812" t="s" s="10">
        <v>73</v>
      </c>
      <c r="G9812" t="s" s="11">
        <v>73</v>
      </c>
      <c r="H9812" t="s" s="10">
        <v>73</v>
      </c>
      <c r="I9812" t="s" s="11">
        <v>73</v>
      </c>
      <c r="J9812" t="s" s="11">
        <v>20</v>
      </c>
      <c r="K9812" t="s" s="16">
        <f>HYPERLINK("http://csr.bu.edu/ftp/asl/asllvd/demos/verify_start_end_handshape_annotations//test_auto_move//signs_mov/5595.mov","MOV")</f>
        <v>21</v>
      </c>
      <c r="L9812" t="s" s="16">
        <f>HYPERLINK("http://csr.bu.edu/ftp/asl/asllvd/demos/verify_start_end_handshape_annotations//test_auto_move//signs_mov_separ_signers/Liz_5595.mov","MOV")</f>
        <v>21</v>
      </c>
      <c r="M9812" t="s" s="10">
        <v>22</v>
      </c>
      <c r="N9812" s="17">
        <v>46</v>
      </c>
      <c r="O9812" s="18">
        <v>1335</v>
      </c>
      <c r="P9812" s="18">
        <v>1365</v>
      </c>
      <c r="Q9812" t="s" s="16">
        <f>HYPERLINK("http://secrets.rutgers.edu:8080/data/asl-ftp/asllvd/demos/verify_start_end_handshape_annotations//test_auto_move//signs_mov/5595.mov","MOV")</f>
        <v>21</v>
      </c>
      <c r="R9812" t="s" s="16">
        <f>HYPERLINK("http://secrets.rutgers.edu:8080/data/asl-ftp/asllvd/demos/verify_start_end_handshape_annotations//test_auto_move//signs_mov_separ_signers/Liz_5595.mov","MOV")</f>
        <v>21</v>
      </c>
    </row>
    <row r="9813" s="2" customFormat="1" ht="13.5" customHeight="1">
      <c r="B9813" s="13"/>
      <c r="C9813" t="s" s="9">
        <v>23</v>
      </c>
      <c r="D9813" t="s" s="8">
        <v>3662</v>
      </c>
      <c r="E9813" t="s" s="9">
        <v>3662</v>
      </c>
      <c r="F9813" t="s" s="10">
        <v>109</v>
      </c>
      <c r="G9813" t="s" s="11">
        <v>73</v>
      </c>
      <c r="H9813" t="s" s="10">
        <v>85</v>
      </c>
      <c r="I9813" t="s" s="11">
        <v>80</v>
      </c>
      <c r="J9813" t="s" s="11">
        <v>20</v>
      </c>
      <c r="K9813" s="15"/>
      <c r="L9813" t="s" s="16">
        <f>HYPERLINK("http://csr.bu.edu/ftp/asl/asllvd/demos/verify_start_end_handshape_annotations//test_auto_move//signs_mov_separ_signers/Tyler_5595.mov","MOV")</f>
        <v>21</v>
      </c>
      <c r="M9813" t="s" s="10">
        <v>26</v>
      </c>
      <c r="N9813" s="17">
        <v>29</v>
      </c>
      <c r="O9813" s="18">
        <v>832</v>
      </c>
      <c r="P9813" s="18">
        <v>855</v>
      </c>
      <c r="Q9813" s="15"/>
      <c r="R9813" t="s" s="16">
        <f>HYPERLINK("http://secrets.rutgers.edu:8080/data/asl-ftp/asllvd/demos/verify_start_end_handshape_annotations//test_auto_move//signs_mov_separ_signers/Tyler_5595.mov","MOV")</f>
        <v>21</v>
      </c>
    </row>
    <row r="9814" s="2" customFormat="1" ht="13.5" customHeight="1">
      <c r="B9814" t="s" s="8">
        <v>3663</v>
      </c>
      <c r="C9814" t="s" s="9">
        <v>14</v>
      </c>
      <c r="D9814" t="s" s="8">
        <v>14</v>
      </c>
      <c r="E9814" t="s" s="9">
        <v>14</v>
      </c>
      <c r="F9814" t="s" s="10">
        <v>14</v>
      </c>
      <c r="G9814" t="s" s="11">
        <v>14</v>
      </c>
      <c r="H9814" t="s" s="10">
        <v>14</v>
      </c>
      <c r="I9814" t="s" s="11">
        <v>14</v>
      </c>
      <c r="J9814" t="s" s="11">
        <v>14</v>
      </c>
      <c r="K9814" t="s" s="12">
        <v>14</v>
      </c>
      <c r="L9814" t="s" s="12">
        <v>14</v>
      </c>
      <c r="M9814" t="s" s="10">
        <v>14</v>
      </c>
      <c r="N9814" t="s" s="11">
        <v>14</v>
      </c>
      <c r="O9814" t="s" s="8">
        <v>14</v>
      </c>
      <c r="P9814" t="s" s="8">
        <v>14</v>
      </c>
      <c r="Q9814" t="s" s="12">
        <v>14</v>
      </c>
      <c r="R9814" t="s" s="12">
        <v>14</v>
      </c>
    </row>
    <row r="9815" s="2" customFormat="1" ht="13.5" customHeight="1">
      <c r="B9815" s="13"/>
      <c r="C9815" t="s" s="9">
        <v>16</v>
      </c>
      <c r="D9815" t="s" s="8">
        <v>3663</v>
      </c>
      <c r="E9815" t="s" s="9">
        <v>3663</v>
      </c>
      <c r="F9815" t="s" s="10">
        <v>158</v>
      </c>
      <c r="G9815" t="s" s="11">
        <v>158</v>
      </c>
      <c r="H9815" t="s" s="10">
        <v>158</v>
      </c>
      <c r="I9815" t="s" s="11">
        <v>158</v>
      </c>
      <c r="J9815" t="s" s="11">
        <v>20</v>
      </c>
      <c r="K9815" t="s" s="16">
        <f>HYPERLINK("http://csr.bu.edu/ftp/asl/asllvd/demos/verify_start_end_handshape_annotations//test_auto_move//signs_mov/16033.mov","MOV")</f>
        <v>21</v>
      </c>
      <c r="L9815" t="s" s="16">
        <f>HYPERLINK("http://csr.bu.edu/ftp/asl/asllvd/demos/verify_start_end_handshape_annotations//test_auto_move//signs_mov_separ_signers/Liz_16033.mov","MOV")</f>
        <v>21</v>
      </c>
      <c r="M9815" t="s" s="10">
        <v>88</v>
      </c>
      <c r="N9815" s="17">
        <v>23</v>
      </c>
      <c r="O9815" s="18">
        <v>1152</v>
      </c>
      <c r="P9815" s="18">
        <v>1185</v>
      </c>
      <c r="Q9815" t="s" s="16">
        <f>HYPERLINK("http://secrets.rutgers.edu:8080/data/asl-ftp/asllvd/demos/verify_start_end_handshape_annotations//test_auto_move//signs_mov/16033.mov","MOV")</f>
        <v>21</v>
      </c>
      <c r="R9815" t="s" s="16">
        <f>HYPERLINK("http://secrets.rutgers.edu:8080/data/asl-ftp/asllvd/demos/verify_start_end_handshape_annotations//test_auto_move//signs_mov_separ_signers/Liz_16033.mov","MOV")</f>
        <v>21</v>
      </c>
    </row>
    <row r="9816" s="2" customFormat="1" ht="13.5" customHeight="1">
      <c r="B9816" s="13"/>
      <c r="C9816" t="s" s="9">
        <v>30</v>
      </c>
      <c r="D9816" t="s" s="8">
        <v>3663</v>
      </c>
      <c r="E9816" t="s" s="9">
        <v>3663</v>
      </c>
      <c r="F9816" t="s" s="10">
        <v>158</v>
      </c>
      <c r="G9816" t="s" s="11">
        <v>158</v>
      </c>
      <c r="H9816" t="s" s="10">
        <v>158</v>
      </c>
      <c r="I9816" t="s" s="11">
        <v>158</v>
      </c>
      <c r="J9816" t="s" s="11">
        <v>20</v>
      </c>
      <c r="K9816" s="15"/>
      <c r="L9816" t="s" s="16">
        <f>HYPERLINK("http://csr.bu.edu/ftp/asl/asllvd/demos/verify_start_end_handshape_annotations//test_auto_move//signs_mov_separ_signers/Brady_16033.mov","MOV")</f>
        <v>21</v>
      </c>
      <c r="M9816" t="s" s="10">
        <v>40</v>
      </c>
      <c r="N9816" s="17">
        <v>18</v>
      </c>
      <c r="O9816" s="18">
        <v>2156</v>
      </c>
      <c r="P9816" s="18">
        <v>2168</v>
      </c>
      <c r="Q9816" s="15"/>
      <c r="R9816" t="s" s="16">
        <f>HYPERLINK("http://secrets.rutgers.edu:8080/data/asl-ftp/asllvd/demos/verify_start_end_handshape_annotations//test_auto_move//signs_mov_separ_signers/Brady_16033.mov","MOV")</f>
        <v>21</v>
      </c>
    </row>
    <row r="9817" s="2" customFormat="1" ht="13.5" customHeight="1">
      <c r="B9817" t="s" s="8">
        <v>3664</v>
      </c>
      <c r="C9817" t="s" s="9">
        <v>14</v>
      </c>
      <c r="D9817" t="s" s="8">
        <v>14</v>
      </c>
      <c r="E9817" t="s" s="9">
        <v>14</v>
      </c>
      <c r="F9817" t="s" s="10">
        <v>14</v>
      </c>
      <c r="G9817" t="s" s="11">
        <v>14</v>
      </c>
      <c r="H9817" t="s" s="10">
        <v>14</v>
      </c>
      <c r="I9817" t="s" s="11">
        <v>14</v>
      </c>
      <c r="J9817" t="s" s="11">
        <v>14</v>
      </c>
      <c r="K9817" t="s" s="12">
        <v>14</v>
      </c>
      <c r="L9817" t="s" s="12">
        <v>14</v>
      </c>
      <c r="M9817" t="s" s="10">
        <v>14</v>
      </c>
      <c r="N9817" t="s" s="11">
        <v>14</v>
      </c>
      <c r="O9817" t="s" s="8">
        <v>14</v>
      </c>
      <c r="P9817" t="s" s="8">
        <v>14</v>
      </c>
      <c r="Q9817" t="s" s="12">
        <v>14</v>
      </c>
      <c r="R9817" t="s" s="12">
        <v>14</v>
      </c>
    </row>
    <row r="9818" s="2" customFormat="1" ht="13.5" customHeight="1">
      <c r="B9818" s="13"/>
      <c r="C9818" t="s" s="9">
        <v>16</v>
      </c>
      <c r="D9818" t="s" s="8">
        <v>3664</v>
      </c>
      <c r="E9818" t="s" s="9">
        <v>3664</v>
      </c>
      <c r="F9818" s="19">
        <v>5</v>
      </c>
      <c r="G9818" s="14"/>
      <c r="H9818" t="s" s="10">
        <v>63</v>
      </c>
      <c r="I9818" s="14"/>
      <c r="J9818" t="s" s="11">
        <v>20</v>
      </c>
      <c r="K9818" t="s" s="16">
        <f>HYPERLINK("http://csr.bu.edu/ftp/asl/asllvd/demos/verify_start_end_handshape_annotations//test_auto_move//signs_mov/3020.mov","MOV")</f>
        <v>21</v>
      </c>
      <c r="L9818" t="s" s="16">
        <f>HYPERLINK("http://csr.bu.edu/ftp/asl/asllvd/demos/verify_start_end_handshape_annotations//test_auto_move//signs_mov_separ_signers/Liz_3020.mov","MOV")</f>
        <v>21</v>
      </c>
      <c r="M9818" t="s" s="10">
        <v>84</v>
      </c>
      <c r="N9818" s="17">
        <v>10</v>
      </c>
      <c r="O9818" s="18">
        <v>2770</v>
      </c>
      <c r="P9818" s="18">
        <v>2790</v>
      </c>
      <c r="Q9818" t="s" s="16">
        <f>HYPERLINK("http://secrets.rutgers.edu:8080/data/asl-ftp/asllvd/demos/verify_start_end_handshape_annotations//test_auto_move//signs_mov/3020.mov","MOV")</f>
        <v>21</v>
      </c>
      <c r="R9818" t="s" s="16">
        <f>HYPERLINK("http://secrets.rutgers.edu:8080/data/asl-ftp/asllvd/demos/verify_start_end_handshape_annotations//test_auto_move//signs_mov_separ_signers/Liz_3020.mov","MOV")</f>
        <v>21</v>
      </c>
    </row>
    <row r="9819" s="2" customFormat="1" ht="13.5" customHeight="1">
      <c r="B9819" t="s" s="8">
        <v>3665</v>
      </c>
      <c r="C9819" t="s" s="9">
        <v>14</v>
      </c>
      <c r="D9819" t="s" s="8">
        <v>14</v>
      </c>
      <c r="E9819" t="s" s="9">
        <v>14</v>
      </c>
      <c r="F9819" t="s" s="10">
        <v>14</v>
      </c>
      <c r="G9819" t="s" s="11">
        <v>14</v>
      </c>
      <c r="H9819" t="s" s="10">
        <v>14</v>
      </c>
      <c r="I9819" t="s" s="11">
        <v>14</v>
      </c>
      <c r="J9819" t="s" s="11">
        <v>14</v>
      </c>
      <c r="K9819" t="s" s="12">
        <v>14</v>
      </c>
      <c r="L9819" t="s" s="12">
        <v>14</v>
      </c>
      <c r="M9819" t="s" s="10">
        <v>14</v>
      </c>
      <c r="N9819" t="s" s="11">
        <v>14</v>
      </c>
      <c r="O9819" t="s" s="8">
        <v>14</v>
      </c>
      <c r="P9819" t="s" s="8">
        <v>14</v>
      </c>
      <c r="Q9819" t="s" s="12">
        <v>14</v>
      </c>
      <c r="R9819" t="s" s="12">
        <v>14</v>
      </c>
    </row>
    <row r="9820" s="2" customFormat="1" ht="13.5" customHeight="1">
      <c r="B9820" s="13"/>
      <c r="C9820" t="s" s="9">
        <v>16</v>
      </c>
      <c r="D9820" t="s" s="8">
        <v>3665</v>
      </c>
      <c r="E9820" t="s" s="9">
        <v>3666</v>
      </c>
      <c r="F9820" t="s" s="10">
        <v>63</v>
      </c>
      <c r="G9820" t="s" s="11">
        <v>63</v>
      </c>
      <c r="H9820" t="s" s="10">
        <v>63</v>
      </c>
      <c r="I9820" t="s" s="11">
        <v>63</v>
      </c>
      <c r="J9820" t="s" s="11">
        <v>20</v>
      </c>
      <c r="K9820" s="15"/>
      <c r="L9820" t="s" s="16">
        <f>HYPERLINK("http://csr.bu.edu/ftp/asl/asllvd/demos/verify_start_end_handshape_annotations//test_auto_move//signs_mov_separ_signers/Liz_3071.mov","MOV")</f>
        <v>21</v>
      </c>
      <c r="M9820" t="s" s="10">
        <v>22</v>
      </c>
      <c r="N9820" s="17">
        <v>74</v>
      </c>
      <c r="O9820" s="18">
        <v>340</v>
      </c>
      <c r="P9820" s="18">
        <v>421</v>
      </c>
      <c r="Q9820" s="15"/>
      <c r="R9820" t="s" s="16">
        <f>HYPERLINK("http://secrets.rutgers.edu:8080/data/asl-ftp/asllvd/demos/verify_start_end_handshape_annotations//test_auto_move//signs_mov_separ_signers/Liz_3071.mov","MOV")</f>
        <v>21</v>
      </c>
    </row>
    <row r="9821" s="2" customFormat="1" ht="13.5" customHeight="1">
      <c r="B9821" s="13"/>
      <c r="C9821" t="s" s="9">
        <v>27</v>
      </c>
      <c r="D9821" t="s" s="8">
        <v>3665</v>
      </c>
      <c r="E9821" t="s" s="9">
        <v>3667</v>
      </c>
      <c r="F9821" t="s" s="10">
        <v>63</v>
      </c>
      <c r="G9821" t="s" s="11">
        <v>63</v>
      </c>
      <c r="H9821" t="s" s="10">
        <v>63</v>
      </c>
      <c r="I9821" t="s" s="11">
        <v>63</v>
      </c>
      <c r="J9821" t="s" s="11">
        <v>20</v>
      </c>
      <c r="K9821" t="s" s="16">
        <f>HYPERLINK("http://csr.bu.edu/ftp/asl/asllvd/demos/verify_start_end_handshape_annotations//test_auto_move//signs_mov/3071_5685_merged.mov","MOV")</f>
        <v>21</v>
      </c>
      <c r="L9821" t="s" s="16">
        <f>HYPERLINK("http://csr.bu.edu/ftp/asl/asllvd/demos/verify_start_end_handshape_annotations//test_auto_move//signs_mov_separ_signers/Naomi_3071.mov","MOV")</f>
        <v>21</v>
      </c>
      <c r="M9821" t="s" s="10">
        <v>29</v>
      </c>
      <c r="N9821" s="17">
        <v>46</v>
      </c>
      <c r="O9821" s="18">
        <v>3995</v>
      </c>
      <c r="P9821" s="18">
        <v>4035</v>
      </c>
      <c r="Q9821" t="s" s="16">
        <f>HYPERLINK("http://secrets.rutgers.edu:8080/data/asl-ftp/asllvd/demos/verify_start_end_handshape_annotations//test_auto_move//signs_mov/3071_5685_merged.mov","MOV")</f>
        <v>21</v>
      </c>
      <c r="R9821" t="s" s="16">
        <f>HYPERLINK("http://secrets.rutgers.edu:8080/data/asl-ftp/asllvd/demos/verify_start_end_handshape_annotations//test_auto_move//signs_mov_separ_signers/Naomi_3071.mov","MOV")</f>
        <v>21</v>
      </c>
    </row>
    <row r="9822" s="2" customFormat="1" ht="13.5" customHeight="1">
      <c r="B9822" s="13"/>
      <c r="C9822" t="s" s="9">
        <v>30</v>
      </c>
      <c r="D9822" t="s" s="8">
        <v>3665</v>
      </c>
      <c r="E9822" t="s" s="9">
        <v>3666</v>
      </c>
      <c r="F9822" t="s" s="10">
        <v>63</v>
      </c>
      <c r="G9822" t="s" s="11">
        <v>63</v>
      </c>
      <c r="H9822" t="s" s="10">
        <v>63</v>
      </c>
      <c r="I9822" t="s" s="11">
        <v>63</v>
      </c>
      <c r="J9822" t="s" s="11">
        <v>20</v>
      </c>
      <c r="K9822" s="15"/>
      <c r="L9822" t="s" s="16">
        <f>HYPERLINK("http://csr.bu.edu/ftp/asl/asllvd/demos/verify_start_end_handshape_annotations//test_auto_move//signs_mov_separ_signers/Brady_3071.mov","MOV")</f>
        <v>21</v>
      </c>
      <c r="M9822" t="s" s="10">
        <v>31</v>
      </c>
      <c r="N9822" s="17">
        <v>27</v>
      </c>
      <c r="O9822" s="18">
        <v>5197</v>
      </c>
      <c r="P9822" s="18">
        <v>5244</v>
      </c>
      <c r="Q9822" s="15"/>
      <c r="R9822" t="s" s="16">
        <f>HYPERLINK("http://secrets.rutgers.edu:8080/data/asl-ftp/asllvd/demos/verify_start_end_handshape_annotations//test_auto_move//signs_mov_separ_signers/Brady_3071.mov","MOV")</f>
        <v>21</v>
      </c>
    </row>
    <row r="9823" s="2" customFormat="1" ht="13.5" customHeight="1">
      <c r="B9823" s="13"/>
      <c r="C9823" t="s" s="9">
        <v>30</v>
      </c>
      <c r="D9823" t="s" s="8">
        <v>3665</v>
      </c>
      <c r="E9823" t="s" s="9">
        <v>3667</v>
      </c>
      <c r="F9823" t="s" s="10">
        <v>63</v>
      </c>
      <c r="G9823" s="14"/>
      <c r="H9823" t="s" s="10">
        <v>63</v>
      </c>
      <c r="I9823" s="14"/>
      <c r="J9823" t="s" s="11">
        <v>20</v>
      </c>
      <c r="K9823" s="15"/>
      <c r="L9823" t="s" s="16">
        <f>HYPERLINK("http://csr.bu.edu/ftp/asl/asllvd/demos/verify_start_end_handshape_annotations//test_auto_move//signs_mov_separ_signers/Brady_5685.mov","MOV")</f>
        <v>21</v>
      </c>
      <c r="M9823" t="s" s="10">
        <v>60</v>
      </c>
      <c r="N9823" s="17">
        <v>40</v>
      </c>
      <c r="O9823" s="18">
        <v>400</v>
      </c>
      <c r="P9823" s="18">
        <v>450</v>
      </c>
      <c r="Q9823" s="15"/>
      <c r="R9823" t="s" s="16">
        <f>HYPERLINK("http://secrets.rutgers.edu:8080/data/asl-ftp/asllvd/demos/verify_start_end_handshape_annotations//test_auto_move//signs_mov_separ_signers/Brady_5685.mov","MOV")</f>
        <v>21</v>
      </c>
    </row>
    <row r="9824" s="2" customFormat="1" ht="13.5" customHeight="1">
      <c r="B9824" t="s" s="8">
        <v>3668</v>
      </c>
      <c r="C9824" t="s" s="9">
        <v>14</v>
      </c>
      <c r="D9824" t="s" s="8">
        <v>14</v>
      </c>
      <c r="E9824" t="s" s="9">
        <v>14</v>
      </c>
      <c r="F9824" t="s" s="10">
        <v>14</v>
      </c>
      <c r="G9824" t="s" s="11">
        <v>14</v>
      </c>
      <c r="H9824" t="s" s="10">
        <v>14</v>
      </c>
      <c r="I9824" t="s" s="11">
        <v>14</v>
      </c>
      <c r="J9824" t="s" s="11">
        <v>14</v>
      </c>
      <c r="K9824" t="s" s="12">
        <v>14</v>
      </c>
      <c r="L9824" t="s" s="12">
        <v>14</v>
      </c>
      <c r="M9824" t="s" s="10">
        <v>14</v>
      </c>
      <c r="N9824" t="s" s="11">
        <v>14</v>
      </c>
      <c r="O9824" t="s" s="8">
        <v>14</v>
      </c>
      <c r="P9824" t="s" s="8">
        <v>14</v>
      </c>
      <c r="Q9824" t="s" s="12">
        <v>14</v>
      </c>
      <c r="R9824" t="s" s="12">
        <v>14</v>
      </c>
    </row>
    <row r="9825" s="2" customFormat="1" ht="13.5" customHeight="1">
      <c r="B9825" s="13"/>
      <c r="C9825" t="s" s="9">
        <v>16</v>
      </c>
      <c r="D9825" t="s" s="8">
        <v>3668</v>
      </c>
      <c r="E9825" t="s" s="9">
        <v>3669</v>
      </c>
      <c r="F9825" s="19">
        <v>10</v>
      </c>
      <c r="G9825" t="s" s="11">
        <v>63</v>
      </c>
      <c r="H9825" s="19">
        <v>10</v>
      </c>
      <c r="I9825" t="s" s="11">
        <v>63</v>
      </c>
      <c r="J9825" t="s" s="11">
        <v>20</v>
      </c>
      <c r="K9825" s="15"/>
      <c r="L9825" t="s" s="16">
        <f>HYPERLINK("http://csr.bu.edu/ftp/asl/asllvd/demos/verify_start_end_handshape_annotations//test_auto_move//signs_mov_separ_signers/Liz_5986.mov","MOV")</f>
        <v>21</v>
      </c>
      <c r="M9825" t="s" s="10">
        <v>59</v>
      </c>
      <c r="N9825" s="17">
        <v>35</v>
      </c>
      <c r="O9825" s="18">
        <v>3275</v>
      </c>
      <c r="P9825" s="18">
        <v>3335</v>
      </c>
      <c r="Q9825" s="15"/>
      <c r="R9825" t="s" s="16">
        <f>HYPERLINK("http://secrets.rutgers.edu:8080/data/asl-ftp/asllvd/demos/verify_start_end_handshape_annotations//test_auto_move//signs_mov_separ_signers/Liz_5986.mov","MOV")</f>
        <v>21</v>
      </c>
    </row>
    <row r="9826" s="2" customFormat="1" ht="13.5" customHeight="1">
      <c r="B9826" s="13"/>
      <c r="C9826" t="s" s="9">
        <v>23</v>
      </c>
      <c r="D9826" t="s" s="8">
        <v>3668</v>
      </c>
      <c r="E9826" t="s" s="9">
        <v>3669</v>
      </c>
      <c r="F9826" t="s" s="10">
        <v>63</v>
      </c>
      <c r="G9826" t="s" s="11">
        <v>63</v>
      </c>
      <c r="H9826" t="s" s="10">
        <v>63</v>
      </c>
      <c r="I9826" t="s" s="11">
        <v>63</v>
      </c>
      <c r="J9826" t="s" s="11">
        <v>20</v>
      </c>
      <c r="K9826" t="s" s="16">
        <f>HYPERLINK("http://csr.bu.edu/ftp/asl/asllvd/demos/verify_start_end_handshape_annotations//test_auto_move//signs_mov/5986.mov","MOV")</f>
        <v>21</v>
      </c>
      <c r="L9826" t="s" s="16">
        <f>HYPERLINK("http://csr.bu.edu/ftp/asl/asllvd/demos/verify_start_end_handshape_annotations//test_auto_move//signs_mov_separ_signers/Tyler_5986.mov","MOV")</f>
        <v>21</v>
      </c>
      <c r="M9826" t="s" s="10">
        <v>26</v>
      </c>
      <c r="N9826" s="17">
        <v>44</v>
      </c>
      <c r="O9826" s="18">
        <v>5790</v>
      </c>
      <c r="P9826" s="18">
        <v>5832</v>
      </c>
      <c r="Q9826" t="s" s="16">
        <f>HYPERLINK("http://secrets.rutgers.edu:8080/data/asl-ftp/asllvd/demos/verify_start_end_handshape_annotations//test_auto_move//signs_mov/5986.mov","MOV")</f>
        <v>21</v>
      </c>
      <c r="R9826" t="s" s="16">
        <f>HYPERLINK("http://secrets.rutgers.edu:8080/data/asl-ftp/asllvd/demos/verify_start_end_handshape_annotations//test_auto_move//signs_mov_separ_signers/Tyler_5986.mov","MOV")</f>
        <v>21</v>
      </c>
    </row>
    <row r="9827" s="2" customFormat="1" ht="13.5" customHeight="1">
      <c r="B9827" s="13"/>
      <c r="C9827" t="s" s="9">
        <v>30</v>
      </c>
      <c r="D9827" t="s" s="8">
        <v>3668</v>
      </c>
      <c r="E9827" t="s" s="9">
        <v>3669</v>
      </c>
      <c r="F9827" t="s" s="10">
        <v>63</v>
      </c>
      <c r="G9827" t="s" s="11">
        <v>63</v>
      </c>
      <c r="H9827" t="s" s="10">
        <v>63</v>
      </c>
      <c r="I9827" t="s" s="11">
        <v>63</v>
      </c>
      <c r="J9827" t="s" s="11">
        <v>20</v>
      </c>
      <c r="K9827" s="15"/>
      <c r="L9827" t="s" s="16">
        <f>HYPERLINK("http://csr.bu.edu/ftp/asl/asllvd/demos/verify_start_end_handshape_annotations//test_auto_move//signs_mov_separ_signers/Brady_5986.mov","MOV")</f>
        <v>21</v>
      </c>
      <c r="M9827" t="s" s="10">
        <v>60</v>
      </c>
      <c r="N9827" s="17">
        <v>23</v>
      </c>
      <c r="O9827" s="18">
        <v>2515</v>
      </c>
      <c r="P9827" s="18">
        <v>2587</v>
      </c>
      <c r="Q9827" s="15"/>
      <c r="R9827" t="s" s="16">
        <f>HYPERLINK("http://secrets.rutgers.edu:8080/data/asl-ftp/asllvd/demos/verify_start_end_handshape_annotations//test_auto_move//signs_mov_separ_signers/Brady_5986.mov","MOV")</f>
        <v>21</v>
      </c>
    </row>
    <row r="9828" s="2" customFormat="1" ht="13.5" customHeight="1">
      <c r="B9828" t="s" s="8">
        <v>3670</v>
      </c>
      <c r="C9828" t="s" s="9">
        <v>14</v>
      </c>
      <c r="D9828" t="s" s="8">
        <v>14</v>
      </c>
      <c r="E9828" t="s" s="9">
        <v>14</v>
      </c>
      <c r="F9828" t="s" s="10">
        <v>14</v>
      </c>
      <c r="G9828" t="s" s="11">
        <v>14</v>
      </c>
      <c r="H9828" t="s" s="10">
        <v>14</v>
      </c>
      <c r="I9828" t="s" s="11">
        <v>14</v>
      </c>
      <c r="J9828" t="s" s="11">
        <v>14</v>
      </c>
      <c r="K9828" t="s" s="12">
        <v>14</v>
      </c>
      <c r="L9828" t="s" s="12">
        <v>14</v>
      </c>
      <c r="M9828" t="s" s="10">
        <v>14</v>
      </c>
      <c r="N9828" t="s" s="11">
        <v>14</v>
      </c>
      <c r="O9828" t="s" s="8">
        <v>14</v>
      </c>
      <c r="P9828" t="s" s="8">
        <v>14</v>
      </c>
      <c r="Q9828" t="s" s="12">
        <v>14</v>
      </c>
      <c r="R9828" t="s" s="12">
        <v>14</v>
      </c>
    </row>
    <row r="9829" s="2" customFormat="1" ht="13.5" customHeight="1">
      <c r="B9829" s="13"/>
      <c r="C9829" t="s" s="9">
        <v>16</v>
      </c>
      <c r="D9829" t="s" s="8">
        <v>3670</v>
      </c>
      <c r="E9829" t="s" s="9">
        <v>3671</v>
      </c>
      <c r="F9829" t="s" s="10">
        <v>63</v>
      </c>
      <c r="G9829" t="s" s="11">
        <v>73</v>
      </c>
      <c r="H9829" t="s" s="10">
        <v>63</v>
      </c>
      <c r="I9829" t="s" s="11">
        <v>73</v>
      </c>
      <c r="J9829" t="s" s="11">
        <v>20</v>
      </c>
      <c r="K9829" t="s" s="16">
        <f>HYPERLINK("http://csr.bu.edu/ftp/asl/asllvd/demos/verify_start_end_handshape_annotations//test_auto_move//signs_mov/15321.mov","MOV")</f>
        <v>21</v>
      </c>
      <c r="L9829" t="s" s="16">
        <f>HYPERLINK("http://csr.bu.edu/ftp/asl/asllvd/demos/verify_start_end_handshape_annotations//test_auto_move//signs_mov_separ_signers/Liz_15321.mov","MOV")</f>
        <v>21</v>
      </c>
      <c r="M9829" t="s" s="10">
        <v>36</v>
      </c>
      <c r="N9829" s="17">
        <v>19</v>
      </c>
      <c r="O9829" s="18">
        <v>2030</v>
      </c>
      <c r="P9829" s="18">
        <v>2090</v>
      </c>
      <c r="Q9829" t="s" s="16">
        <f>HYPERLINK("http://secrets.rutgers.edu:8080/data/asl-ftp/asllvd/demos/verify_start_end_handshape_annotations//test_auto_move//signs_mov/15321.mov","MOV")</f>
        <v>21</v>
      </c>
      <c r="R9829" t="s" s="16">
        <f>HYPERLINK("http://secrets.rutgers.edu:8080/data/asl-ftp/asllvd/demos/verify_start_end_handshape_annotations//test_auto_move//signs_mov_separ_signers/Liz_15321.mov","MOV")</f>
        <v>21</v>
      </c>
    </row>
    <row r="9830" s="2" customFormat="1" ht="13.5" customHeight="1">
      <c r="B9830" s="13"/>
      <c r="C9830" t="s" s="9">
        <v>30</v>
      </c>
      <c r="D9830" t="s" s="8">
        <v>3670</v>
      </c>
      <c r="E9830" t="s" s="9">
        <v>3671</v>
      </c>
      <c r="F9830" t="s" s="10">
        <v>63</v>
      </c>
      <c r="G9830" t="s" s="11">
        <v>73</v>
      </c>
      <c r="H9830" t="s" s="10">
        <v>63</v>
      </c>
      <c r="I9830" t="s" s="11">
        <v>73</v>
      </c>
      <c r="J9830" t="s" s="11">
        <v>20</v>
      </c>
      <c r="K9830" s="15"/>
      <c r="L9830" t="s" s="16">
        <f>HYPERLINK("http://csr.bu.edu/ftp/asl/asllvd/demos/verify_start_end_handshape_annotations//test_auto_move//signs_mov_separ_signers/Brady_15321.mov","MOV")</f>
        <v>21</v>
      </c>
      <c r="M9830" t="s" s="10">
        <v>40</v>
      </c>
      <c r="N9830" s="17">
        <v>69</v>
      </c>
      <c r="O9830" s="18">
        <v>1692</v>
      </c>
      <c r="P9830" s="18">
        <v>1732</v>
      </c>
      <c r="Q9830" s="15"/>
      <c r="R9830" t="s" s="16">
        <f>HYPERLINK("http://secrets.rutgers.edu:8080/data/asl-ftp/asllvd/demos/verify_start_end_handshape_annotations//test_auto_move//signs_mov_separ_signers/Brady_15321.mov","MOV")</f>
        <v>21</v>
      </c>
    </row>
    <row r="9831" s="2" customFormat="1" ht="13.5" customHeight="1">
      <c r="B9831" t="s" s="8">
        <v>3672</v>
      </c>
      <c r="C9831" t="s" s="9">
        <v>14</v>
      </c>
      <c r="D9831" t="s" s="8">
        <v>14</v>
      </c>
      <c r="E9831" t="s" s="9">
        <v>14</v>
      </c>
      <c r="F9831" t="s" s="10">
        <v>14</v>
      </c>
      <c r="G9831" t="s" s="11">
        <v>14</v>
      </c>
      <c r="H9831" t="s" s="10">
        <v>14</v>
      </c>
      <c r="I9831" t="s" s="11">
        <v>14</v>
      </c>
      <c r="J9831" t="s" s="11">
        <v>14</v>
      </c>
      <c r="K9831" t="s" s="12">
        <v>14</v>
      </c>
      <c r="L9831" t="s" s="12">
        <v>14</v>
      </c>
      <c r="M9831" t="s" s="10">
        <v>14</v>
      </c>
      <c r="N9831" t="s" s="11">
        <v>14</v>
      </c>
      <c r="O9831" t="s" s="8">
        <v>14</v>
      </c>
      <c r="P9831" t="s" s="8">
        <v>14</v>
      </c>
      <c r="Q9831" t="s" s="12">
        <v>14</v>
      </c>
      <c r="R9831" t="s" s="12">
        <v>14</v>
      </c>
    </row>
    <row r="9832" s="2" customFormat="1" ht="13.5" customHeight="1">
      <c r="B9832" s="13"/>
      <c r="C9832" t="s" s="9">
        <v>16</v>
      </c>
      <c r="D9832" t="s" s="8">
        <v>3672</v>
      </c>
      <c r="E9832" t="s" s="9">
        <v>3673</v>
      </c>
      <c r="F9832" t="s" s="10">
        <v>63</v>
      </c>
      <c r="G9832" s="14"/>
      <c r="H9832" t="s" s="10">
        <v>63</v>
      </c>
      <c r="I9832" s="14"/>
      <c r="J9832" t="s" s="11">
        <v>20</v>
      </c>
      <c r="K9832" s="15"/>
      <c r="L9832" t="s" s="16">
        <f>HYPERLINK("http://csr.bu.edu/ftp/asl/asllvd/demos/verify_start_end_handshape_annotations//test_auto_move//signs_mov_separ_signers/Liz_15421.mov","MOV")</f>
        <v>21</v>
      </c>
      <c r="M9832" t="s" s="10">
        <v>84</v>
      </c>
      <c r="N9832" s="17">
        <v>26</v>
      </c>
      <c r="O9832" s="18">
        <v>1347</v>
      </c>
      <c r="P9832" s="18">
        <v>1415</v>
      </c>
      <c r="Q9832" s="15"/>
      <c r="R9832" t="s" s="16">
        <f>HYPERLINK("http://secrets.rutgers.edu:8080/data/asl-ftp/asllvd/demos/verify_start_end_handshape_annotations//test_auto_move//signs_mov_separ_signers/Liz_15421.mov","MOV")</f>
        <v>21</v>
      </c>
    </row>
    <row r="9833" s="2" customFormat="1" ht="13.5" customHeight="1">
      <c r="B9833" s="13"/>
      <c r="C9833" t="s" s="9">
        <v>27</v>
      </c>
      <c r="D9833" t="s" s="8">
        <v>3672</v>
      </c>
      <c r="E9833" t="s" s="9">
        <v>3673</v>
      </c>
      <c r="F9833" t="s" s="10">
        <v>63</v>
      </c>
      <c r="G9833" s="14"/>
      <c r="H9833" t="s" s="10">
        <v>63</v>
      </c>
      <c r="I9833" s="14"/>
      <c r="J9833" t="s" s="11">
        <v>20</v>
      </c>
      <c r="K9833" t="s" s="16">
        <f>HYPERLINK("http://csr.bu.edu/ftp/asl/asllvd/demos/verify_start_end_handshape_annotations//test_auto_move//signs_mov/15421.mov","MOV")</f>
        <v>21</v>
      </c>
      <c r="L9833" t="s" s="16">
        <f>HYPERLINK("http://csr.bu.edu/ftp/asl/asllvd/demos/verify_start_end_handshape_annotations//test_auto_move//signs_mov_separ_signers/Naomi_15421.mov","MOV")</f>
        <v>21</v>
      </c>
      <c r="M9833" t="s" s="10">
        <v>86</v>
      </c>
      <c r="N9833" s="17">
        <v>26</v>
      </c>
      <c r="O9833" s="18">
        <v>2140</v>
      </c>
      <c r="P9833" s="18">
        <v>2205</v>
      </c>
      <c r="Q9833" t="s" s="16">
        <f>HYPERLINK("http://secrets.rutgers.edu:8080/data/asl-ftp/asllvd/demos/verify_start_end_handshape_annotations//test_auto_move//signs_mov/15421.mov","MOV")</f>
        <v>21</v>
      </c>
      <c r="R9833" t="s" s="16">
        <f>HYPERLINK("http://secrets.rutgers.edu:8080/data/asl-ftp/asllvd/demos/verify_start_end_handshape_annotations//test_auto_move//signs_mov_separ_signers/Naomi_15421.mov","MOV")</f>
        <v>21</v>
      </c>
    </row>
    <row r="9834" s="2" customFormat="1" ht="13.5" customHeight="1">
      <c r="B9834" s="13"/>
      <c r="C9834" t="s" s="9">
        <v>30</v>
      </c>
      <c r="D9834" t="s" s="8">
        <v>3672</v>
      </c>
      <c r="E9834" t="s" s="9">
        <v>3673</v>
      </c>
      <c r="F9834" t="s" s="10">
        <v>63</v>
      </c>
      <c r="G9834" s="14"/>
      <c r="H9834" t="s" s="10">
        <v>63</v>
      </c>
      <c r="I9834" s="14"/>
      <c r="J9834" t="s" s="11">
        <v>20</v>
      </c>
      <c r="K9834" s="15"/>
      <c r="L9834" t="s" s="16">
        <f>HYPERLINK("http://csr.bu.edu/ftp/asl/asllvd/demos/verify_start_end_handshape_annotations//test_auto_move//signs_mov_separ_signers/Brady_15421.mov","MOV")</f>
        <v>21</v>
      </c>
      <c r="M9834" t="s" s="10">
        <v>39</v>
      </c>
      <c r="N9834" s="17">
        <v>9</v>
      </c>
      <c r="O9834" s="18">
        <v>1312</v>
      </c>
      <c r="P9834" s="18">
        <v>1359</v>
      </c>
      <c r="Q9834" s="15"/>
      <c r="R9834" t="s" s="16">
        <f>HYPERLINK("http://secrets.rutgers.edu:8080/data/asl-ftp/asllvd/demos/verify_start_end_handshape_annotations//test_auto_move//signs_mov_separ_signers/Brady_15421.mov","MOV")</f>
        <v>21</v>
      </c>
    </row>
    <row r="9835" s="2" customFormat="1" ht="13.5" customHeight="1">
      <c r="B9835" t="s" s="8">
        <v>3674</v>
      </c>
      <c r="C9835" t="s" s="9">
        <v>14</v>
      </c>
      <c r="D9835" t="s" s="8">
        <v>14</v>
      </c>
      <c r="E9835" t="s" s="9">
        <v>14</v>
      </c>
      <c r="F9835" t="s" s="10">
        <v>14</v>
      </c>
      <c r="G9835" t="s" s="11">
        <v>14</v>
      </c>
      <c r="H9835" t="s" s="10">
        <v>14</v>
      </c>
      <c r="I9835" t="s" s="11">
        <v>14</v>
      </c>
      <c r="J9835" t="s" s="11">
        <v>14</v>
      </c>
      <c r="K9835" t="s" s="12">
        <v>14</v>
      </c>
      <c r="L9835" t="s" s="12">
        <v>14</v>
      </c>
      <c r="M9835" t="s" s="10">
        <v>14</v>
      </c>
      <c r="N9835" t="s" s="11">
        <v>14</v>
      </c>
      <c r="O9835" t="s" s="8">
        <v>14</v>
      </c>
      <c r="P9835" t="s" s="8">
        <v>14</v>
      </c>
      <c r="Q9835" t="s" s="12">
        <v>14</v>
      </c>
      <c r="R9835" t="s" s="12">
        <v>14</v>
      </c>
    </row>
    <row r="9836" s="2" customFormat="1" ht="13.5" customHeight="1">
      <c r="B9836" s="13"/>
      <c r="C9836" t="s" s="9">
        <v>16</v>
      </c>
      <c r="D9836" t="s" s="8">
        <v>3674</v>
      </c>
      <c r="E9836" t="s" s="9">
        <v>3675</v>
      </c>
      <c r="F9836" t="s" s="10">
        <v>63</v>
      </c>
      <c r="G9836" s="14"/>
      <c r="H9836" t="s" s="10">
        <v>63</v>
      </c>
      <c r="I9836" s="14"/>
      <c r="J9836" t="s" s="11">
        <v>20</v>
      </c>
      <c r="K9836" t="s" s="16">
        <f>HYPERLINK("http://csr.bu.edu/ftp/asl/asllvd/demos/verify_start_end_handshape_annotations//test_auto_move//signs_mov/15422.mov","MOV")</f>
        <v>21</v>
      </c>
      <c r="L9836" t="s" s="16">
        <f>HYPERLINK("http://csr.bu.edu/ftp/asl/asllvd/demos/verify_start_end_handshape_annotations//test_auto_move//signs_mov_separ_signers/Liz_15422.mov","MOV")</f>
        <v>21</v>
      </c>
      <c r="M9836" t="s" s="10">
        <v>84</v>
      </c>
      <c r="N9836" s="17">
        <v>33</v>
      </c>
      <c r="O9836" s="18">
        <v>490</v>
      </c>
      <c r="P9836" s="18">
        <v>585</v>
      </c>
      <c r="Q9836" t="s" s="16">
        <f>HYPERLINK("http://secrets.rutgers.edu:8080/data/asl-ftp/asllvd/demos/verify_start_end_handshape_annotations//test_auto_move//signs_mov/15422.mov","MOV")</f>
        <v>21</v>
      </c>
      <c r="R9836" t="s" s="16">
        <f>HYPERLINK("http://secrets.rutgers.edu:8080/data/asl-ftp/asllvd/demos/verify_start_end_handshape_annotations//test_auto_move//signs_mov_separ_signers/Liz_15422.mov","MOV")</f>
        <v>21</v>
      </c>
    </row>
    <row r="9837" s="2" customFormat="1" ht="13.5" customHeight="1">
      <c r="B9837" s="13"/>
      <c r="C9837" t="s" s="9">
        <v>27</v>
      </c>
      <c r="D9837" t="s" s="8">
        <v>3674</v>
      </c>
      <c r="E9837" t="s" s="9">
        <v>3675</v>
      </c>
      <c r="F9837" t="s" s="10">
        <v>63</v>
      </c>
      <c r="G9837" s="14"/>
      <c r="H9837" t="s" s="10">
        <v>63</v>
      </c>
      <c r="I9837" s="14"/>
      <c r="J9837" t="s" s="11">
        <v>20</v>
      </c>
      <c r="K9837" s="15"/>
      <c r="L9837" t="s" s="16">
        <f>HYPERLINK("http://csr.bu.edu/ftp/asl/asllvd/demos/verify_start_end_handshape_annotations//test_auto_move//signs_mov_separ_signers/Naomi_15422.mov","MOV")</f>
        <v>21</v>
      </c>
      <c r="M9837" t="s" s="10">
        <v>86</v>
      </c>
      <c r="N9837" s="17">
        <v>33</v>
      </c>
      <c r="O9837" s="18">
        <v>240</v>
      </c>
      <c r="P9837" s="18">
        <v>300</v>
      </c>
      <c r="Q9837" s="15"/>
      <c r="R9837" t="s" s="16">
        <f>HYPERLINK("http://secrets.rutgers.edu:8080/data/asl-ftp/asllvd/demos/verify_start_end_handshape_annotations//test_auto_move//signs_mov_separ_signers/Naomi_15422.mov","MOV")</f>
        <v>21</v>
      </c>
    </row>
    <row r="9838" s="2" customFormat="1" ht="13.5" customHeight="1">
      <c r="B9838" t="s" s="8">
        <v>3676</v>
      </c>
      <c r="C9838" t="s" s="9">
        <v>14</v>
      </c>
      <c r="D9838" t="s" s="8">
        <v>14</v>
      </c>
      <c r="E9838" t="s" s="9">
        <v>14</v>
      </c>
      <c r="F9838" t="s" s="10">
        <v>14</v>
      </c>
      <c r="G9838" t="s" s="11">
        <v>14</v>
      </c>
      <c r="H9838" t="s" s="10">
        <v>14</v>
      </c>
      <c r="I9838" t="s" s="11">
        <v>14</v>
      </c>
      <c r="J9838" t="s" s="11">
        <v>14</v>
      </c>
      <c r="K9838" t="s" s="12">
        <v>14</v>
      </c>
      <c r="L9838" t="s" s="12">
        <v>14</v>
      </c>
      <c r="M9838" t="s" s="10">
        <v>14</v>
      </c>
      <c r="N9838" t="s" s="11">
        <v>14</v>
      </c>
      <c r="O9838" t="s" s="8">
        <v>14</v>
      </c>
      <c r="P9838" t="s" s="8">
        <v>14</v>
      </c>
      <c r="Q9838" t="s" s="12">
        <v>14</v>
      </c>
      <c r="R9838" t="s" s="12">
        <v>14</v>
      </c>
    </row>
    <row r="9839" s="2" customFormat="1" ht="13.5" customHeight="1">
      <c r="B9839" s="13"/>
      <c r="C9839" t="s" s="9">
        <v>16</v>
      </c>
      <c r="D9839" t="s" s="8">
        <v>3676</v>
      </c>
      <c r="E9839" t="s" s="9">
        <v>3676</v>
      </c>
      <c r="F9839" t="s" s="10">
        <v>68</v>
      </c>
      <c r="G9839" t="s" s="11">
        <v>73</v>
      </c>
      <c r="H9839" t="s" s="10">
        <v>68</v>
      </c>
      <c r="I9839" t="s" s="11">
        <v>73</v>
      </c>
      <c r="J9839" t="s" s="11">
        <v>20</v>
      </c>
      <c r="K9839" s="15"/>
      <c r="L9839" t="s" s="16">
        <f>HYPERLINK("http://csr.bu.edu/ftp/asl/asllvd/demos/verify_start_end_handshape_annotations//test_auto_move//signs_mov_separ_signers/Liz_15946.mov","MOV")</f>
        <v>21</v>
      </c>
      <c r="M9839" t="s" s="10">
        <v>84</v>
      </c>
      <c r="N9839" s="17">
        <v>33</v>
      </c>
      <c r="O9839" s="18">
        <v>236</v>
      </c>
      <c r="P9839" s="18">
        <v>285</v>
      </c>
      <c r="Q9839" s="15"/>
      <c r="R9839" t="s" s="16">
        <f>HYPERLINK("http://secrets.rutgers.edu:8080/data/asl-ftp/asllvd/demos/verify_start_end_handshape_annotations//test_auto_move//signs_mov_separ_signers/Liz_15946.mov","MOV")</f>
        <v>21</v>
      </c>
    </row>
    <row r="9840" s="2" customFormat="1" ht="13.5" customHeight="1">
      <c r="B9840" s="13"/>
      <c r="C9840" t="s" s="9">
        <v>23</v>
      </c>
      <c r="D9840" t="s" s="8">
        <v>3676</v>
      </c>
      <c r="E9840" t="s" s="9">
        <v>3676</v>
      </c>
      <c r="F9840" t="s" s="10">
        <v>68</v>
      </c>
      <c r="G9840" t="s" s="11">
        <v>73</v>
      </c>
      <c r="H9840" t="s" s="10">
        <v>68</v>
      </c>
      <c r="I9840" t="s" s="11">
        <v>73</v>
      </c>
      <c r="J9840" t="s" s="11">
        <v>20</v>
      </c>
      <c r="K9840" t="s" s="16">
        <f>HYPERLINK("http://csr.bu.edu/ftp/asl/asllvd/demos/verify_start_end_handshape_annotations//test_auto_move//signs_mov/15946.mov","MOV")</f>
        <v>21</v>
      </c>
      <c r="L9840" t="s" s="16">
        <f>HYPERLINK("http://csr.bu.edu/ftp/asl/asllvd/demos/verify_start_end_handshape_annotations//test_auto_move//signs_mov_separ_signers/Tyler_15946.mov","MOV")</f>
        <v>21</v>
      </c>
      <c r="M9840" t="s" s="10">
        <v>92</v>
      </c>
      <c r="N9840" s="17">
        <v>12</v>
      </c>
      <c r="O9840" s="18">
        <v>3407</v>
      </c>
      <c r="P9840" s="18">
        <v>3455</v>
      </c>
      <c r="Q9840" t="s" s="16">
        <f>HYPERLINK("http://secrets.rutgers.edu:8080/data/asl-ftp/asllvd/demos/verify_start_end_handshape_annotations//test_auto_move//signs_mov/15946.mov","MOV")</f>
        <v>21</v>
      </c>
      <c r="R9840" t="s" s="16">
        <f>HYPERLINK("http://secrets.rutgers.edu:8080/data/asl-ftp/asllvd/demos/verify_start_end_handshape_annotations//test_auto_move//signs_mov_separ_signers/Tyler_15946.mov","MOV")</f>
        <v>21</v>
      </c>
    </row>
    <row r="9841" s="2" customFormat="1" ht="13.5" customHeight="1">
      <c r="B9841" s="13"/>
      <c r="C9841" t="s" s="9">
        <v>27</v>
      </c>
      <c r="D9841" t="s" s="8">
        <v>3676</v>
      </c>
      <c r="E9841" t="s" s="9">
        <v>3676</v>
      </c>
      <c r="F9841" s="19">
        <v>10</v>
      </c>
      <c r="G9841" t="s" s="11">
        <v>73</v>
      </c>
      <c r="H9841" s="19">
        <v>10</v>
      </c>
      <c r="I9841" t="s" s="11">
        <v>73</v>
      </c>
      <c r="J9841" t="s" s="11">
        <v>20</v>
      </c>
      <c r="K9841" s="15"/>
      <c r="L9841" t="s" s="16">
        <f>HYPERLINK("http://csr.bu.edu/ftp/asl/asllvd/demos/verify_start_end_handshape_annotations//test_auto_move//signs_mov_separ_signers/Naomi_15946.mov","MOV")</f>
        <v>21</v>
      </c>
      <c r="M9841" t="s" s="10">
        <v>86</v>
      </c>
      <c r="N9841" s="17">
        <v>32</v>
      </c>
      <c r="O9841" s="18">
        <v>3230</v>
      </c>
      <c r="P9841" s="18">
        <v>3275</v>
      </c>
      <c r="Q9841" s="15"/>
      <c r="R9841" t="s" s="16">
        <f>HYPERLINK("http://secrets.rutgers.edu:8080/data/asl-ftp/asllvd/demos/verify_start_end_handshape_annotations//test_auto_move//signs_mov_separ_signers/Naomi_15946.mov","MOV")</f>
        <v>21</v>
      </c>
    </row>
    <row r="9842" s="2" customFormat="1" ht="13.5" customHeight="1">
      <c r="B9842" s="13"/>
      <c r="C9842" t="s" s="9">
        <v>30</v>
      </c>
      <c r="D9842" t="s" s="8">
        <v>3676</v>
      </c>
      <c r="E9842" t="s" s="9">
        <v>3676</v>
      </c>
      <c r="F9842" t="s" s="10">
        <v>68</v>
      </c>
      <c r="G9842" t="s" s="11">
        <v>73</v>
      </c>
      <c r="H9842" t="s" s="10">
        <v>68</v>
      </c>
      <c r="I9842" t="s" s="11">
        <v>73</v>
      </c>
      <c r="J9842" t="s" s="11">
        <v>20</v>
      </c>
      <c r="K9842" s="15"/>
      <c r="L9842" t="s" s="16">
        <f>HYPERLINK("http://csr.bu.edu/ftp/asl/asllvd/demos/verify_start_end_handshape_annotations//test_auto_move//signs_mov_separ_signers/Brady_15946.mov","MOV")</f>
        <v>21</v>
      </c>
      <c r="M9842" t="s" s="10">
        <v>39</v>
      </c>
      <c r="N9842" s="17">
        <v>12</v>
      </c>
      <c r="O9842" s="18">
        <v>7200</v>
      </c>
      <c r="P9842" s="18">
        <v>7226</v>
      </c>
      <c r="Q9842" s="15"/>
      <c r="R9842" t="s" s="16">
        <f>HYPERLINK("http://secrets.rutgers.edu:8080/data/asl-ftp/asllvd/demos/verify_start_end_handshape_annotations//test_auto_move//signs_mov_separ_signers/Brady_15946.mov","MOV")</f>
        <v>21</v>
      </c>
    </row>
    <row r="9843" s="2" customFormat="1" ht="13.5" customHeight="1">
      <c r="B9843" t="s" s="8">
        <v>3677</v>
      </c>
      <c r="C9843" t="s" s="9">
        <v>14</v>
      </c>
      <c r="D9843" t="s" s="8">
        <v>14</v>
      </c>
      <c r="E9843" t="s" s="9">
        <v>14</v>
      </c>
      <c r="F9843" t="s" s="10">
        <v>14</v>
      </c>
      <c r="G9843" t="s" s="11">
        <v>14</v>
      </c>
      <c r="H9843" t="s" s="10">
        <v>14</v>
      </c>
      <c r="I9843" t="s" s="11">
        <v>14</v>
      </c>
      <c r="J9843" t="s" s="11">
        <v>14</v>
      </c>
      <c r="K9843" t="s" s="12">
        <v>14</v>
      </c>
      <c r="L9843" t="s" s="12">
        <v>14</v>
      </c>
      <c r="M9843" t="s" s="10">
        <v>14</v>
      </c>
      <c r="N9843" t="s" s="11">
        <v>14</v>
      </c>
      <c r="O9843" t="s" s="8">
        <v>14</v>
      </c>
      <c r="P9843" t="s" s="8">
        <v>14</v>
      </c>
      <c r="Q9843" t="s" s="12">
        <v>14</v>
      </c>
      <c r="R9843" t="s" s="12">
        <v>14</v>
      </c>
    </row>
    <row r="9844" s="2" customFormat="1" ht="13.5" customHeight="1">
      <c r="B9844" s="13"/>
      <c r="C9844" t="s" s="9">
        <v>16</v>
      </c>
      <c r="D9844" t="s" s="8">
        <v>3677</v>
      </c>
      <c r="E9844" t="s" s="9">
        <v>3678</v>
      </c>
      <c r="F9844" t="s" s="10">
        <v>63</v>
      </c>
      <c r="G9844" t="s" s="11">
        <v>63</v>
      </c>
      <c r="H9844" t="s" s="10">
        <v>63</v>
      </c>
      <c r="I9844" t="s" s="11">
        <v>63</v>
      </c>
      <c r="J9844" t="s" s="11">
        <v>20</v>
      </c>
      <c r="K9844" t="s" s="16">
        <f>HYPERLINK("http://csr.bu.edu/ftp/asl/asllvd/demos/verify_start_end_handshape_annotations//test_auto_move//signs_mov/15954.mov","MOV")</f>
        <v>21</v>
      </c>
      <c r="L9844" t="s" s="16">
        <f>HYPERLINK("http://csr.bu.edu/ftp/asl/asllvd/demos/verify_start_end_handshape_annotations//test_auto_move//signs_mov_separ_signers/Liz_15954.mov","MOV")</f>
        <v>21</v>
      </c>
      <c r="M9844" t="s" s="10">
        <v>59</v>
      </c>
      <c r="N9844" s="17">
        <v>35</v>
      </c>
      <c r="O9844" s="18">
        <v>2830</v>
      </c>
      <c r="P9844" s="18">
        <v>2886</v>
      </c>
      <c r="Q9844" t="s" s="16">
        <f>HYPERLINK("http://secrets.rutgers.edu:8080/data/asl-ftp/asllvd/demos/verify_start_end_handshape_annotations//test_auto_move//signs_mov/15954.mov","MOV")</f>
        <v>21</v>
      </c>
      <c r="R9844" t="s" s="16">
        <f>HYPERLINK("http://secrets.rutgers.edu:8080/data/asl-ftp/asllvd/demos/verify_start_end_handshape_annotations//test_auto_move//signs_mov_separ_signers/Liz_15954.mov","MOV")</f>
        <v>21</v>
      </c>
    </row>
    <row r="9845" s="2" customFormat="1" ht="13.5" customHeight="1">
      <c r="B9845" s="13"/>
      <c r="C9845" t="s" s="9">
        <v>30</v>
      </c>
      <c r="D9845" t="s" s="8">
        <v>3677</v>
      </c>
      <c r="E9845" t="s" s="9">
        <v>3678</v>
      </c>
      <c r="F9845" t="s" s="10">
        <v>63</v>
      </c>
      <c r="G9845" t="s" s="11">
        <v>63</v>
      </c>
      <c r="H9845" t="s" s="10">
        <v>63</v>
      </c>
      <c r="I9845" t="s" s="11">
        <v>63</v>
      </c>
      <c r="J9845" t="s" s="11">
        <v>20</v>
      </c>
      <c r="K9845" s="15"/>
      <c r="L9845" t="s" s="16">
        <f>HYPERLINK("http://csr.bu.edu/ftp/asl/asllvd/demos/verify_start_end_handshape_annotations//test_auto_move//signs_mov_separ_signers/Brady_15954.mov","MOV")</f>
        <v>21</v>
      </c>
      <c r="M9845" t="s" s="10">
        <v>60</v>
      </c>
      <c r="N9845" s="17">
        <v>24</v>
      </c>
      <c r="O9845" s="18">
        <v>414</v>
      </c>
      <c r="P9845" s="18">
        <v>453</v>
      </c>
      <c r="Q9845" s="15"/>
      <c r="R9845" t="s" s="16">
        <f>HYPERLINK("http://secrets.rutgers.edu:8080/data/asl-ftp/asllvd/demos/verify_start_end_handshape_annotations//test_auto_move//signs_mov_separ_signers/Brady_15954.mov","MOV")</f>
        <v>21</v>
      </c>
    </row>
    <row r="9846" s="2" customFormat="1" ht="13.5" customHeight="1">
      <c r="B9846" t="s" s="8">
        <v>52</v>
      </c>
      <c r="C9846" t="s" s="9">
        <v>53</v>
      </c>
      <c r="D9846" t="s" s="8">
        <v>53</v>
      </c>
      <c r="E9846" t="s" s="9">
        <v>53</v>
      </c>
      <c r="F9846" t="s" s="10">
        <v>53</v>
      </c>
      <c r="G9846" t="s" s="11">
        <v>53</v>
      </c>
      <c r="H9846" t="s" s="10">
        <v>53</v>
      </c>
      <c r="I9846" t="s" s="11">
        <v>53</v>
      </c>
      <c r="J9846" t="s" s="11">
        <v>53</v>
      </c>
      <c r="K9846" t="s" s="12">
        <v>53</v>
      </c>
      <c r="L9846" t="s" s="12">
        <v>53</v>
      </c>
      <c r="M9846" t="s" s="10">
        <v>53</v>
      </c>
      <c r="N9846" t="s" s="11">
        <v>53</v>
      </c>
      <c r="O9846" t="s" s="8">
        <v>53</v>
      </c>
      <c r="P9846" t="s" s="8">
        <v>53</v>
      </c>
      <c r="Q9846" t="s" s="12">
        <v>53</v>
      </c>
      <c r="R9846" t="s" s="12">
        <v>53</v>
      </c>
    </row>
    <row r="9847" s="2" customFormat="1" ht="13.5" customHeight="1">
      <c r="B9847" s="13"/>
      <c r="C9847" t="s" s="9">
        <v>16</v>
      </c>
      <c r="D9847" t="s" s="8">
        <v>3677</v>
      </c>
      <c r="E9847" t="s" s="9">
        <v>3679</v>
      </c>
      <c r="F9847" t="s" s="10">
        <v>73</v>
      </c>
      <c r="G9847" t="s" s="11">
        <v>73</v>
      </c>
      <c r="H9847" t="s" s="10">
        <v>73</v>
      </c>
      <c r="I9847" t="s" s="11">
        <v>73</v>
      </c>
      <c r="J9847" t="s" s="11">
        <v>20</v>
      </c>
      <c r="K9847" t="s" s="16">
        <f>HYPERLINK("http://csr.bu.edu/ftp/asl/asllvd/demos/verify_start_end_handshape_annotations//test_auto_move//signs_mov/15965.mov","MOV")</f>
        <v>21</v>
      </c>
      <c r="L9847" t="s" s="16">
        <f>HYPERLINK("http://csr.bu.edu/ftp/asl/asllvd/demos/verify_start_end_handshape_annotations//test_auto_move//signs_mov_separ_signers/Liz_15965.mov","MOV")</f>
        <v>21</v>
      </c>
      <c r="M9847" t="s" s="10">
        <v>59</v>
      </c>
      <c r="N9847" s="17">
        <v>35</v>
      </c>
      <c r="O9847" s="18">
        <v>2571</v>
      </c>
      <c r="P9847" s="18">
        <v>2622</v>
      </c>
      <c r="Q9847" t="s" s="16">
        <f>HYPERLINK("http://secrets.rutgers.edu:8080/data/asl-ftp/asllvd/demos/verify_start_end_handshape_annotations//test_auto_move//signs_mov/15965.mov","MOV")</f>
        <v>21</v>
      </c>
      <c r="R9847" t="s" s="16">
        <f>HYPERLINK("http://secrets.rutgers.edu:8080/data/asl-ftp/asllvd/demos/verify_start_end_handshape_annotations//test_auto_move//signs_mov_separ_signers/Liz_15965.mov","MOV")</f>
        <v>21</v>
      </c>
    </row>
    <row r="9848" s="2" customFormat="1" ht="13.5" customHeight="1">
      <c r="B9848" s="13"/>
      <c r="C9848" t="s" s="9">
        <v>30</v>
      </c>
      <c r="D9848" t="s" s="8">
        <v>3677</v>
      </c>
      <c r="E9848" t="s" s="9">
        <v>3679</v>
      </c>
      <c r="F9848" t="s" s="10">
        <v>73</v>
      </c>
      <c r="G9848" t="s" s="11">
        <v>73</v>
      </c>
      <c r="H9848" t="s" s="10">
        <v>73</v>
      </c>
      <c r="I9848" t="s" s="11">
        <v>73</v>
      </c>
      <c r="J9848" t="s" s="11">
        <v>20</v>
      </c>
      <c r="K9848" s="15"/>
      <c r="L9848" t="s" s="16">
        <f>HYPERLINK("http://csr.bu.edu/ftp/asl/asllvd/demos/verify_start_end_handshape_annotations//test_auto_move//signs_mov_separ_signers/Brady_15965.mov","MOV")</f>
        <v>21</v>
      </c>
      <c r="M9848" t="s" s="10">
        <v>60</v>
      </c>
      <c r="N9848" s="17">
        <v>24</v>
      </c>
      <c r="O9848" s="18">
        <v>138</v>
      </c>
      <c r="P9848" s="18">
        <v>183</v>
      </c>
      <c r="Q9848" s="15"/>
      <c r="R9848" t="s" s="16">
        <f>HYPERLINK("http://secrets.rutgers.edu:8080/data/asl-ftp/asllvd/demos/verify_start_end_handshape_annotations//test_auto_move//signs_mov_separ_signers/Brady_15965.mov","MOV")</f>
        <v>21</v>
      </c>
    </row>
    <row r="9849" s="2" customFormat="1" ht="13.5" customHeight="1">
      <c r="B9849" t="s" s="8">
        <v>3680</v>
      </c>
      <c r="C9849" t="s" s="9">
        <v>14</v>
      </c>
      <c r="D9849" t="s" s="8">
        <v>14</v>
      </c>
      <c r="E9849" t="s" s="9">
        <v>14</v>
      </c>
      <c r="F9849" t="s" s="10">
        <v>14</v>
      </c>
      <c r="G9849" t="s" s="11">
        <v>14</v>
      </c>
      <c r="H9849" t="s" s="10">
        <v>14</v>
      </c>
      <c r="I9849" t="s" s="11">
        <v>14</v>
      </c>
      <c r="J9849" t="s" s="11">
        <v>14</v>
      </c>
      <c r="K9849" t="s" s="12">
        <v>14</v>
      </c>
      <c r="L9849" t="s" s="12">
        <v>14</v>
      </c>
      <c r="M9849" t="s" s="10">
        <v>14</v>
      </c>
      <c r="N9849" t="s" s="11">
        <v>14</v>
      </c>
      <c r="O9849" t="s" s="8">
        <v>14</v>
      </c>
      <c r="P9849" t="s" s="8">
        <v>14</v>
      </c>
      <c r="Q9849" t="s" s="12">
        <v>14</v>
      </c>
      <c r="R9849" t="s" s="12">
        <v>14</v>
      </c>
    </row>
    <row r="9850" s="2" customFormat="1" ht="13.5" customHeight="1">
      <c r="B9850" s="13"/>
      <c r="C9850" t="s" s="9">
        <v>30</v>
      </c>
      <c r="D9850" t="s" s="8">
        <v>3680</v>
      </c>
      <c r="E9850" t="s" s="9">
        <v>3681</v>
      </c>
      <c r="F9850" t="s" s="10">
        <v>85</v>
      </c>
      <c r="G9850" t="s" s="11">
        <v>85</v>
      </c>
      <c r="H9850" t="s" s="10">
        <v>85</v>
      </c>
      <c r="I9850" t="s" s="11">
        <v>85</v>
      </c>
      <c r="J9850" t="s" s="11">
        <v>20</v>
      </c>
      <c r="K9850" t="s" s="16">
        <f>HYPERLINK("http://csr.bu.edu/ftp/asl/asllvd/demos/verify_start_end_handshape_annotations//test_auto_move//signs_mov/16019.mov","MOV")</f>
        <v>21</v>
      </c>
      <c r="L9850" t="s" s="16">
        <f>HYPERLINK("http://csr.bu.edu/ftp/asl/asllvd/demos/verify_start_end_handshape_annotations//test_auto_move//signs_mov_separ_signers/Brady_16019.mov","MOV")</f>
        <v>21</v>
      </c>
      <c r="M9850" t="s" s="10">
        <v>60</v>
      </c>
      <c r="N9850" s="17">
        <v>22</v>
      </c>
      <c r="O9850" s="18">
        <v>195</v>
      </c>
      <c r="P9850" s="18">
        <v>262</v>
      </c>
      <c r="Q9850" t="s" s="16">
        <f>HYPERLINK("http://secrets.rutgers.edu:8080/data/asl-ftp/asllvd/demos/verify_start_end_handshape_annotations//test_auto_move//signs_mov/16019.mov","MOV")</f>
        <v>21</v>
      </c>
      <c r="R9850" t="s" s="16">
        <f>HYPERLINK("http://secrets.rutgers.edu:8080/data/asl-ftp/asllvd/demos/verify_start_end_handshape_annotations//test_auto_move//signs_mov_separ_signers/Brady_16019.mov","MOV")</f>
        <v>21</v>
      </c>
    </row>
    <row r="9851" s="2" customFormat="1" ht="13.5" customHeight="1">
      <c r="B9851" t="s" s="8">
        <v>52</v>
      </c>
      <c r="C9851" t="s" s="9">
        <v>53</v>
      </c>
      <c r="D9851" t="s" s="8">
        <v>53</v>
      </c>
      <c r="E9851" t="s" s="9">
        <v>53</v>
      </c>
      <c r="F9851" t="s" s="10">
        <v>53</v>
      </c>
      <c r="G9851" t="s" s="11">
        <v>53</v>
      </c>
      <c r="H9851" t="s" s="10">
        <v>53</v>
      </c>
      <c r="I9851" t="s" s="11">
        <v>53</v>
      </c>
      <c r="J9851" t="s" s="11">
        <v>53</v>
      </c>
      <c r="K9851" t="s" s="12">
        <v>53</v>
      </c>
      <c r="L9851" t="s" s="12">
        <v>53</v>
      </c>
      <c r="M9851" t="s" s="10">
        <v>53</v>
      </c>
      <c r="N9851" t="s" s="11">
        <v>53</v>
      </c>
      <c r="O9851" t="s" s="8">
        <v>53</v>
      </c>
      <c r="P9851" t="s" s="8">
        <v>53</v>
      </c>
      <c r="Q9851" t="s" s="12">
        <v>53</v>
      </c>
      <c r="R9851" t="s" s="12">
        <v>53</v>
      </c>
    </row>
    <row r="9852" s="2" customFormat="1" ht="13.5" customHeight="1">
      <c r="B9852" s="13"/>
      <c r="C9852" t="s" s="9">
        <v>16</v>
      </c>
      <c r="D9852" t="s" s="8">
        <v>3680</v>
      </c>
      <c r="E9852" t="s" s="9">
        <v>3682</v>
      </c>
      <c r="F9852" t="s" s="10">
        <v>73</v>
      </c>
      <c r="G9852" t="s" s="11">
        <v>73</v>
      </c>
      <c r="H9852" t="s" s="10">
        <v>73</v>
      </c>
      <c r="I9852" t="s" s="11">
        <v>73</v>
      </c>
      <c r="J9852" t="s" s="11">
        <v>20</v>
      </c>
      <c r="K9852" t="s" s="16">
        <f>HYPERLINK("http://csr.bu.edu/ftp/asl/asllvd/demos/verify_start_end_handshape_annotations//test_auto_move//signs_mov/16121.mov","MOV")</f>
        <v>21</v>
      </c>
      <c r="L9852" t="s" s="16">
        <f>HYPERLINK("http://csr.bu.edu/ftp/asl/asllvd/demos/verify_start_end_handshape_annotations//test_auto_move//signs_mov_separ_signers/Liz_16121.mov","MOV")</f>
        <v>21</v>
      </c>
      <c r="M9852" t="s" s="10">
        <v>59</v>
      </c>
      <c r="N9852" s="17">
        <v>35</v>
      </c>
      <c r="O9852" s="18">
        <v>3052</v>
      </c>
      <c r="P9852" s="18">
        <v>3092</v>
      </c>
      <c r="Q9852" t="s" s="16">
        <f>HYPERLINK("http://secrets.rutgers.edu:8080/data/asl-ftp/asllvd/demos/verify_start_end_handshape_annotations//test_auto_move//signs_mov/16121.mov","MOV")</f>
        <v>21</v>
      </c>
      <c r="R9852" t="s" s="16">
        <f>HYPERLINK("http://secrets.rutgers.edu:8080/data/asl-ftp/asllvd/demos/verify_start_end_handshape_annotations//test_auto_move//signs_mov_separ_signers/Liz_16121.mov","MOV")</f>
        <v>21</v>
      </c>
    </row>
    <row r="9853" s="2" customFormat="1" ht="13.5" customHeight="1">
      <c r="B9853" t="s" s="8">
        <v>3683</v>
      </c>
      <c r="C9853" t="s" s="9">
        <v>14</v>
      </c>
      <c r="D9853" t="s" s="8">
        <v>14</v>
      </c>
      <c r="E9853" t="s" s="9">
        <v>14</v>
      </c>
      <c r="F9853" t="s" s="10">
        <v>14</v>
      </c>
      <c r="G9853" t="s" s="11">
        <v>14</v>
      </c>
      <c r="H9853" t="s" s="10">
        <v>14</v>
      </c>
      <c r="I9853" t="s" s="11">
        <v>14</v>
      </c>
      <c r="J9853" t="s" s="11">
        <v>14</v>
      </c>
      <c r="K9853" t="s" s="12">
        <v>14</v>
      </c>
      <c r="L9853" t="s" s="12">
        <v>14</v>
      </c>
      <c r="M9853" t="s" s="10">
        <v>14</v>
      </c>
      <c r="N9853" t="s" s="11">
        <v>14</v>
      </c>
      <c r="O9853" t="s" s="8">
        <v>14</v>
      </c>
      <c r="P9853" t="s" s="8">
        <v>14</v>
      </c>
      <c r="Q9853" t="s" s="12">
        <v>14</v>
      </c>
      <c r="R9853" t="s" s="12">
        <v>14</v>
      </c>
    </row>
    <row r="9854" s="2" customFormat="1" ht="13.5" customHeight="1">
      <c r="B9854" s="13"/>
      <c r="C9854" t="s" s="9">
        <v>16</v>
      </c>
      <c r="D9854" t="s" s="8">
        <v>3683</v>
      </c>
      <c r="E9854" t="s" s="9">
        <v>3683</v>
      </c>
      <c r="F9854" t="s" s="10">
        <v>55</v>
      </c>
      <c r="G9854" t="s" s="11">
        <v>55</v>
      </c>
      <c r="H9854" t="s" s="10">
        <v>55</v>
      </c>
      <c r="I9854" t="s" s="11">
        <v>55</v>
      </c>
      <c r="J9854" t="s" s="11">
        <v>20</v>
      </c>
      <c r="K9854" s="15"/>
      <c r="L9854" t="s" s="16">
        <f>HYPERLINK("http://csr.bu.edu/ftp/asl/asllvd/demos/verify_start_end_handshape_annotations//test_auto_move//signs_mov_separ_signers/Liz_3072.mov","MOV")</f>
        <v>21</v>
      </c>
      <c r="M9854" t="s" s="10">
        <v>22</v>
      </c>
      <c r="N9854" s="17">
        <v>79</v>
      </c>
      <c r="O9854" s="18">
        <v>2145</v>
      </c>
      <c r="P9854" s="18">
        <v>2180</v>
      </c>
      <c r="Q9854" s="15"/>
      <c r="R9854" t="s" s="16">
        <f>HYPERLINK("http://secrets.rutgers.edu:8080/data/asl-ftp/asllvd/demos/verify_start_end_handshape_annotations//test_auto_move//signs_mov_separ_signers/Liz_3072.mov","MOV")</f>
        <v>21</v>
      </c>
    </row>
    <row r="9855" s="2" customFormat="1" ht="13.5" customHeight="1">
      <c r="B9855" s="13"/>
      <c r="C9855" t="s" s="9">
        <v>23</v>
      </c>
      <c r="D9855" t="s" s="8">
        <v>3683</v>
      </c>
      <c r="E9855" t="s" s="9">
        <v>3683</v>
      </c>
      <c r="F9855" t="s" s="10">
        <v>55</v>
      </c>
      <c r="G9855" t="s" s="11">
        <v>55</v>
      </c>
      <c r="H9855" t="s" s="10">
        <v>55</v>
      </c>
      <c r="I9855" t="s" s="11">
        <v>55</v>
      </c>
      <c r="J9855" t="s" s="11">
        <v>20</v>
      </c>
      <c r="K9855" t="s" s="16">
        <f>HYPERLINK("http://csr.bu.edu/ftp/asl/asllvd/demos/verify_start_end_handshape_annotations//test_auto_move//signs_mov/3072.mov","MOV")</f>
        <v>21</v>
      </c>
      <c r="L9855" t="s" s="16">
        <f>HYPERLINK("http://csr.bu.edu/ftp/asl/asllvd/demos/verify_start_end_handshape_annotations//test_auto_move//signs_mov_separ_signers/Tyler_3072.mov","MOV")</f>
        <v>21</v>
      </c>
      <c r="M9855" t="s" s="10">
        <v>26</v>
      </c>
      <c r="N9855" s="17">
        <v>48</v>
      </c>
      <c r="O9855" s="18">
        <v>700</v>
      </c>
      <c r="P9855" s="18">
        <v>740</v>
      </c>
      <c r="Q9855" t="s" s="16">
        <f>HYPERLINK("http://secrets.rutgers.edu:8080/data/asl-ftp/asllvd/demos/verify_start_end_handshape_annotations//test_auto_move//signs_mov/3072.mov","MOV")</f>
        <v>21</v>
      </c>
      <c r="R9855" t="s" s="16">
        <f>HYPERLINK("http://secrets.rutgers.edu:8080/data/asl-ftp/asllvd/demos/verify_start_end_handshape_annotations//test_auto_move//signs_mov_separ_signers/Tyler_3072.mov","MOV")</f>
        <v>21</v>
      </c>
    </row>
    <row r="9856" s="2" customFormat="1" ht="13.5" customHeight="1">
      <c r="B9856" s="13"/>
      <c r="C9856" t="s" s="9">
        <v>27</v>
      </c>
      <c r="D9856" t="s" s="8">
        <v>3683</v>
      </c>
      <c r="E9856" t="s" s="9">
        <v>3683</v>
      </c>
      <c r="F9856" t="s" s="10">
        <v>55</v>
      </c>
      <c r="G9856" t="s" s="11">
        <v>55</v>
      </c>
      <c r="H9856" t="s" s="10">
        <v>55</v>
      </c>
      <c r="I9856" t="s" s="11">
        <v>55</v>
      </c>
      <c r="J9856" t="s" s="11">
        <v>20</v>
      </c>
      <c r="K9856" s="15"/>
      <c r="L9856" t="s" s="16">
        <f>HYPERLINK("http://csr.bu.edu/ftp/asl/asllvd/demos/verify_start_end_handshape_annotations//test_auto_move//signs_mov_separ_signers/Naomi_3072.mov","MOV")</f>
        <v>21</v>
      </c>
      <c r="M9856" t="s" s="10">
        <v>29</v>
      </c>
      <c r="N9856" s="17">
        <v>50</v>
      </c>
      <c r="O9856" s="18">
        <v>732</v>
      </c>
      <c r="P9856" s="18">
        <v>760</v>
      </c>
      <c r="Q9856" s="15"/>
      <c r="R9856" t="s" s="16">
        <f>HYPERLINK("http://secrets.rutgers.edu:8080/data/asl-ftp/asllvd/demos/verify_start_end_handshape_annotations//test_auto_move//signs_mov_separ_signers/Naomi_3072.mov","MOV")</f>
        <v>21</v>
      </c>
    </row>
    <row r="9857" s="2" customFormat="1" ht="13.5" customHeight="1">
      <c r="B9857" s="13"/>
      <c r="C9857" t="s" s="9">
        <v>30</v>
      </c>
      <c r="D9857" t="s" s="8">
        <v>3683</v>
      </c>
      <c r="E9857" t="s" s="9">
        <v>3683</v>
      </c>
      <c r="F9857" t="s" s="10">
        <v>152</v>
      </c>
      <c r="G9857" t="s" s="11">
        <v>152</v>
      </c>
      <c r="H9857" t="s" s="10">
        <v>152</v>
      </c>
      <c r="I9857" t="s" s="11">
        <v>152</v>
      </c>
      <c r="J9857" t="s" s="11">
        <v>20</v>
      </c>
      <c r="K9857" s="15"/>
      <c r="L9857" t="s" s="16">
        <f>HYPERLINK("http://csr.bu.edu/ftp/asl/asllvd/demos/verify_start_end_handshape_annotations//test_auto_move//signs_mov_separ_signers/Brady_3072.mov","MOV")</f>
        <v>21</v>
      </c>
      <c r="M9857" t="s" s="10">
        <v>31</v>
      </c>
      <c r="N9857" s="17">
        <v>28</v>
      </c>
      <c r="O9857" s="18">
        <v>6930</v>
      </c>
      <c r="P9857" s="18">
        <v>6960</v>
      </c>
      <c r="Q9857" s="15"/>
      <c r="R9857" t="s" s="16">
        <f>HYPERLINK("http://secrets.rutgers.edu:8080/data/asl-ftp/asllvd/demos/verify_start_end_handshape_annotations//test_auto_move//signs_mov_separ_signers/Brady_3072.mov","MOV")</f>
        <v>21</v>
      </c>
    </row>
    <row r="9858" s="2" customFormat="1" ht="13.5" customHeight="1">
      <c r="B9858" t="s" s="8">
        <v>52</v>
      </c>
      <c r="C9858" t="s" s="9">
        <v>53</v>
      </c>
      <c r="D9858" t="s" s="8">
        <v>53</v>
      </c>
      <c r="E9858" t="s" s="9">
        <v>53</v>
      </c>
      <c r="F9858" t="s" s="10">
        <v>53</v>
      </c>
      <c r="G9858" t="s" s="11">
        <v>53</v>
      </c>
      <c r="H9858" t="s" s="10">
        <v>53</v>
      </c>
      <c r="I9858" t="s" s="11">
        <v>53</v>
      </c>
      <c r="J9858" t="s" s="11">
        <v>53</v>
      </c>
      <c r="K9858" t="s" s="12">
        <v>53</v>
      </c>
      <c r="L9858" t="s" s="12">
        <v>53</v>
      </c>
      <c r="M9858" t="s" s="10">
        <v>53</v>
      </c>
      <c r="N9858" t="s" s="11">
        <v>53</v>
      </c>
      <c r="O9858" t="s" s="8">
        <v>53</v>
      </c>
      <c r="P9858" t="s" s="8">
        <v>53</v>
      </c>
      <c r="Q9858" t="s" s="12">
        <v>53</v>
      </c>
      <c r="R9858" t="s" s="12">
        <v>53</v>
      </c>
    </row>
    <row r="9859" s="2" customFormat="1" ht="13.5" customHeight="1">
      <c r="B9859" s="13"/>
      <c r="C9859" t="s" s="9">
        <v>30</v>
      </c>
      <c r="D9859" t="s" s="8">
        <v>3683</v>
      </c>
      <c r="E9859" t="s" s="9">
        <v>3684</v>
      </c>
      <c r="F9859" t="s" s="10">
        <v>55</v>
      </c>
      <c r="G9859" t="s" s="11">
        <v>55</v>
      </c>
      <c r="H9859" t="s" s="10">
        <v>55</v>
      </c>
      <c r="I9859" t="s" s="11">
        <v>55</v>
      </c>
      <c r="J9859" t="s" s="11">
        <v>20</v>
      </c>
      <c r="K9859" t="s" s="16">
        <f>HYPERLINK("http://csr.bu.edu/ftp/asl/asllvd/demos/verify_start_end_handshape_annotations//test_auto_move//signs_mov/5833.mov","MOV")</f>
        <v>21</v>
      </c>
      <c r="L9859" t="s" s="16">
        <f>HYPERLINK("http://csr.bu.edu/ftp/asl/asllvd/demos/verify_start_end_handshape_annotations//test_auto_move//signs_mov_separ_signers/Brady_5833.mov","MOV")</f>
        <v>21</v>
      </c>
      <c r="M9859" t="s" s="10">
        <v>60</v>
      </c>
      <c r="N9859" s="17">
        <v>40</v>
      </c>
      <c r="O9859" s="18">
        <v>1761</v>
      </c>
      <c r="P9859" s="18">
        <v>1772</v>
      </c>
      <c r="Q9859" t="s" s="16">
        <f>HYPERLINK("http://secrets.rutgers.edu:8080/data/asl-ftp/asllvd/demos/verify_start_end_handshape_annotations//test_auto_move//signs_mov/5833.mov","MOV")</f>
        <v>21</v>
      </c>
      <c r="R9859" t="s" s="16">
        <f>HYPERLINK("http://secrets.rutgers.edu:8080/data/asl-ftp/asllvd/demos/verify_start_end_handshape_annotations//test_auto_move//signs_mov_separ_signers/Brady_5833.mov","MOV")</f>
        <v>21</v>
      </c>
    </row>
    <row r="9860" s="2" customFormat="1" ht="13.5" customHeight="1">
      <c r="B9860" t="s" s="8">
        <v>3685</v>
      </c>
      <c r="C9860" t="s" s="9">
        <v>14</v>
      </c>
      <c r="D9860" t="s" s="8">
        <v>14</v>
      </c>
      <c r="E9860" t="s" s="9">
        <v>14</v>
      </c>
      <c r="F9860" t="s" s="10">
        <v>14</v>
      </c>
      <c r="G9860" t="s" s="11">
        <v>14</v>
      </c>
      <c r="H9860" t="s" s="10">
        <v>14</v>
      </c>
      <c r="I9860" t="s" s="11">
        <v>14</v>
      </c>
      <c r="J9860" t="s" s="11">
        <v>14</v>
      </c>
      <c r="K9860" t="s" s="12">
        <v>14</v>
      </c>
      <c r="L9860" t="s" s="12">
        <v>14</v>
      </c>
      <c r="M9860" t="s" s="10">
        <v>14</v>
      </c>
      <c r="N9860" t="s" s="11">
        <v>14</v>
      </c>
      <c r="O9860" t="s" s="8">
        <v>14</v>
      </c>
      <c r="P9860" t="s" s="8">
        <v>14</v>
      </c>
      <c r="Q9860" t="s" s="12">
        <v>14</v>
      </c>
      <c r="R9860" t="s" s="12">
        <v>14</v>
      </c>
    </row>
    <row r="9861" s="2" customFormat="1" ht="13.5" customHeight="1">
      <c r="B9861" s="13"/>
      <c r="C9861" t="s" s="9">
        <v>16</v>
      </c>
      <c r="D9861" t="s" s="8">
        <v>3685</v>
      </c>
      <c r="E9861" t="s" s="9">
        <v>3686</v>
      </c>
      <c r="F9861" t="s" s="10">
        <v>136</v>
      </c>
      <c r="G9861" t="s" s="11">
        <v>73</v>
      </c>
      <c r="H9861" t="s" s="10">
        <v>136</v>
      </c>
      <c r="I9861" t="s" s="11">
        <v>73</v>
      </c>
      <c r="J9861" t="s" s="11">
        <v>20</v>
      </c>
      <c r="K9861" s="15"/>
      <c r="L9861" t="s" s="16">
        <f>HYPERLINK("http://csr.bu.edu/ftp/asl/asllvd/demos/verify_start_end_handshape_annotations//test_auto_move//signs_mov_separ_signers/Liz_3074.mov","MOV")</f>
        <v>21</v>
      </c>
      <c r="M9861" t="s" s="10">
        <v>84</v>
      </c>
      <c r="N9861" s="17">
        <v>39</v>
      </c>
      <c r="O9861" s="18">
        <v>635</v>
      </c>
      <c r="P9861" s="18">
        <v>692</v>
      </c>
      <c r="Q9861" s="15"/>
      <c r="R9861" t="s" s="16">
        <f>HYPERLINK("http://secrets.rutgers.edu:8080/data/asl-ftp/asllvd/demos/verify_start_end_handshape_annotations//test_auto_move//signs_mov_separ_signers/Liz_3074.mov","MOV")</f>
        <v>21</v>
      </c>
    </row>
    <row r="9862" s="2" customFormat="1" ht="13.5" customHeight="1">
      <c r="B9862" s="13"/>
      <c r="C9862" t="s" s="9">
        <v>27</v>
      </c>
      <c r="D9862" t="s" s="8">
        <v>3685</v>
      </c>
      <c r="E9862" t="s" s="9">
        <v>3687</v>
      </c>
      <c r="F9862" t="s" s="10">
        <v>136</v>
      </c>
      <c r="G9862" t="s" s="11">
        <v>73</v>
      </c>
      <c r="H9862" t="s" s="10">
        <v>136</v>
      </c>
      <c r="I9862" t="s" s="11">
        <v>73</v>
      </c>
      <c r="J9862" t="s" s="11">
        <v>20</v>
      </c>
      <c r="K9862" t="s" s="16">
        <f>HYPERLINK("http://csr.bu.edu/ftp/asl/asllvd/demos/verify_start_end_handshape_annotations//test_auto_move//signs_mov/3074_5790_merged.mov","MOV")</f>
        <v>21</v>
      </c>
      <c r="L9862" t="s" s="16">
        <f>HYPERLINK("http://csr.bu.edu/ftp/asl/asllvd/demos/verify_start_end_handshape_annotations//test_auto_move//signs_mov_separ_signers/Naomi_3074.mov","MOV")</f>
        <v>21</v>
      </c>
      <c r="M9862" t="s" s="10">
        <v>86</v>
      </c>
      <c r="N9862" s="17">
        <v>39</v>
      </c>
      <c r="O9862" s="18">
        <v>406</v>
      </c>
      <c r="P9862" s="18">
        <v>440</v>
      </c>
      <c r="Q9862" t="s" s="16">
        <f>HYPERLINK("http://secrets.rutgers.edu:8080/data/asl-ftp/asllvd/demos/verify_start_end_handshape_annotations//test_auto_move//signs_mov/3074_5790_merged.mov","MOV")</f>
        <v>21</v>
      </c>
      <c r="R9862" t="s" s="16">
        <f>HYPERLINK("http://secrets.rutgers.edu:8080/data/asl-ftp/asllvd/demos/verify_start_end_handshape_annotations//test_auto_move//signs_mov_separ_signers/Naomi_3074.mov","MOV")</f>
        <v>21</v>
      </c>
    </row>
    <row r="9863" s="2" customFormat="1" ht="13.5" customHeight="1">
      <c r="B9863" s="13"/>
      <c r="C9863" t="s" s="9">
        <v>30</v>
      </c>
      <c r="D9863" t="s" s="8">
        <v>3685</v>
      </c>
      <c r="E9863" t="s" s="9">
        <v>3687</v>
      </c>
      <c r="F9863" t="s" s="10">
        <v>136</v>
      </c>
      <c r="G9863" t="s" s="11">
        <v>73</v>
      </c>
      <c r="H9863" t="s" s="10">
        <v>136</v>
      </c>
      <c r="I9863" t="s" s="11">
        <v>73</v>
      </c>
      <c r="J9863" t="s" s="11">
        <v>20</v>
      </c>
      <c r="K9863" s="15"/>
      <c r="L9863" t="s" s="16">
        <f>HYPERLINK("http://csr.bu.edu/ftp/asl/asllvd/demos/verify_start_end_handshape_annotations//test_auto_move//signs_mov_separ_signers/Brady_3074.mov","MOV")</f>
        <v>21</v>
      </c>
      <c r="M9863" t="s" s="10">
        <v>39</v>
      </c>
      <c r="N9863" s="17">
        <v>16</v>
      </c>
      <c r="O9863" s="18">
        <v>5139</v>
      </c>
      <c r="P9863" s="18">
        <v>5185</v>
      </c>
      <c r="Q9863" s="15"/>
      <c r="R9863" t="s" s="16">
        <f>HYPERLINK("http://secrets.rutgers.edu:8080/data/asl-ftp/asllvd/demos/verify_start_end_handshape_annotations//test_auto_move//signs_mov_separ_signers/Brady_3074.mov","MOV")</f>
        <v>21</v>
      </c>
    </row>
    <row r="9864" s="2" customFormat="1" ht="13.5" customHeight="1">
      <c r="B9864" s="13"/>
      <c r="C9864" t="s" s="9">
        <v>30</v>
      </c>
      <c r="D9864" t="s" s="8">
        <v>3685</v>
      </c>
      <c r="E9864" t="s" s="9">
        <v>3686</v>
      </c>
      <c r="F9864" t="s" s="10">
        <v>136</v>
      </c>
      <c r="G9864" t="s" s="11">
        <v>73</v>
      </c>
      <c r="H9864" t="s" s="10">
        <v>136</v>
      </c>
      <c r="I9864" t="s" s="11">
        <v>73</v>
      </c>
      <c r="J9864" t="s" s="11">
        <v>20</v>
      </c>
      <c r="K9864" s="15"/>
      <c r="L9864" t="s" s="16">
        <f>HYPERLINK("http://csr.bu.edu/ftp/asl/asllvd/demos/verify_start_end_handshape_annotations//test_auto_move//signs_mov_separ_signers/Brady_5790.mov","MOV")</f>
        <v>21</v>
      </c>
      <c r="M9864" t="s" s="10">
        <v>60</v>
      </c>
      <c r="N9864" s="17">
        <v>42</v>
      </c>
      <c r="O9864" s="18">
        <v>1674</v>
      </c>
      <c r="P9864" s="18">
        <v>1728</v>
      </c>
      <c r="Q9864" s="15"/>
      <c r="R9864" t="s" s="16">
        <f>HYPERLINK("http://secrets.rutgers.edu:8080/data/asl-ftp/asllvd/demos/verify_start_end_handshape_annotations//test_auto_move//signs_mov_separ_signers/Brady_5790.mov","MOV")</f>
        <v>21</v>
      </c>
    </row>
    <row r="9865" s="2" customFormat="1" ht="13.5" customHeight="1">
      <c r="B9865" t="s" s="8">
        <v>3688</v>
      </c>
      <c r="C9865" t="s" s="9">
        <v>14</v>
      </c>
      <c r="D9865" t="s" s="8">
        <v>14</v>
      </c>
      <c r="E9865" t="s" s="9">
        <v>14</v>
      </c>
      <c r="F9865" t="s" s="10">
        <v>14</v>
      </c>
      <c r="G9865" t="s" s="11">
        <v>14</v>
      </c>
      <c r="H9865" t="s" s="10">
        <v>14</v>
      </c>
      <c r="I9865" t="s" s="11">
        <v>14</v>
      </c>
      <c r="J9865" t="s" s="11">
        <v>14</v>
      </c>
      <c r="K9865" t="s" s="12">
        <v>14</v>
      </c>
      <c r="L9865" t="s" s="12">
        <v>14</v>
      </c>
      <c r="M9865" t="s" s="10">
        <v>14</v>
      </c>
      <c r="N9865" t="s" s="11">
        <v>14</v>
      </c>
      <c r="O9865" t="s" s="8">
        <v>14</v>
      </c>
      <c r="P9865" t="s" s="8">
        <v>14</v>
      </c>
      <c r="Q9865" t="s" s="12">
        <v>14</v>
      </c>
      <c r="R9865" t="s" s="12">
        <v>14</v>
      </c>
    </row>
    <row r="9866" s="2" customFormat="1" ht="13.5" customHeight="1">
      <c r="B9866" s="13"/>
      <c r="C9866" t="s" s="9">
        <v>23</v>
      </c>
      <c r="D9866" t="s" s="8">
        <v>3688</v>
      </c>
      <c r="E9866" t="s" s="9">
        <v>3688</v>
      </c>
      <c r="F9866" t="s" s="10">
        <v>150</v>
      </c>
      <c r="G9866" s="14"/>
      <c r="H9866" t="s" s="10">
        <v>150</v>
      </c>
      <c r="I9866" s="14"/>
      <c r="J9866" t="s" s="11">
        <v>20</v>
      </c>
      <c r="K9866" t="s" s="16">
        <f>HYPERLINK("http://csr.bu.edu/ftp/asl/asllvd/demos/verify_start_end_handshape_annotations//test_auto_move//signs_mov/3080.mov","MOV")</f>
        <v>21</v>
      </c>
      <c r="L9866" t="s" s="16">
        <f>HYPERLINK("http://csr.bu.edu/ftp/asl/asllvd/demos/verify_start_end_handshape_annotations//test_auto_move//signs_mov_separ_signers/Tyler_3080.mov","MOV")</f>
        <v>21</v>
      </c>
      <c r="M9866" t="s" s="10">
        <v>47</v>
      </c>
      <c r="N9866" s="17">
        <v>10</v>
      </c>
      <c r="O9866" s="18">
        <v>2118</v>
      </c>
      <c r="P9866" s="18">
        <v>2151</v>
      </c>
      <c r="Q9866" t="s" s="16">
        <f>HYPERLINK("http://secrets.rutgers.edu:8080/data/asl-ftp/asllvd/demos/verify_start_end_handshape_annotations//test_auto_move//signs_mov/3080.mov","MOV")</f>
        <v>21</v>
      </c>
      <c r="R9866" t="s" s="16">
        <f>HYPERLINK("http://secrets.rutgers.edu:8080/data/asl-ftp/asllvd/demos/verify_start_end_handshape_annotations//test_auto_move//signs_mov_separ_signers/Tyler_3080.mov","MOV")</f>
        <v>21</v>
      </c>
    </row>
    <row r="9867" s="2" customFormat="1" ht="13.5" customHeight="1">
      <c r="B9867" t="s" s="8">
        <v>3689</v>
      </c>
      <c r="C9867" t="s" s="9">
        <v>14</v>
      </c>
      <c r="D9867" t="s" s="8">
        <v>14</v>
      </c>
      <c r="E9867" t="s" s="9">
        <v>14</v>
      </c>
      <c r="F9867" t="s" s="10">
        <v>14</v>
      </c>
      <c r="G9867" t="s" s="11">
        <v>14</v>
      </c>
      <c r="H9867" t="s" s="10">
        <v>14</v>
      </c>
      <c r="I9867" t="s" s="11">
        <v>14</v>
      </c>
      <c r="J9867" t="s" s="11">
        <v>14</v>
      </c>
      <c r="K9867" t="s" s="12">
        <v>14</v>
      </c>
      <c r="L9867" t="s" s="12">
        <v>14</v>
      </c>
      <c r="M9867" t="s" s="10">
        <v>14</v>
      </c>
      <c r="N9867" t="s" s="11">
        <v>14</v>
      </c>
      <c r="O9867" t="s" s="8">
        <v>14</v>
      </c>
      <c r="P9867" t="s" s="8">
        <v>14</v>
      </c>
      <c r="Q9867" t="s" s="12">
        <v>14</v>
      </c>
      <c r="R9867" t="s" s="12">
        <v>14</v>
      </c>
    </row>
    <row r="9868" s="2" customFormat="1" ht="13.5" customHeight="1">
      <c r="B9868" s="13"/>
      <c r="C9868" t="s" s="9">
        <v>16</v>
      </c>
      <c r="D9868" t="s" s="8">
        <v>3689</v>
      </c>
      <c r="E9868" t="s" s="9">
        <v>3689</v>
      </c>
      <c r="F9868" t="s" s="10">
        <v>55</v>
      </c>
      <c r="G9868" t="s" s="11">
        <v>63</v>
      </c>
      <c r="H9868" t="s" s="10">
        <v>55</v>
      </c>
      <c r="I9868" t="s" s="11">
        <v>63</v>
      </c>
      <c r="J9868" t="s" s="11">
        <v>136</v>
      </c>
      <c r="K9868" s="15"/>
      <c r="L9868" t="s" s="16">
        <f>HYPERLINK("http://csr.bu.edu/ftp/asl/asllvd/demos/verify_start_end_handshape_annotations//test_auto_move//signs_mov_separ_signers/Liz_3084.mov","MOV")</f>
        <v>21</v>
      </c>
      <c r="M9868" t="s" s="10">
        <v>22</v>
      </c>
      <c r="N9868" s="17">
        <v>26</v>
      </c>
      <c r="O9868" s="18">
        <v>1370</v>
      </c>
      <c r="P9868" s="18">
        <v>1405</v>
      </c>
      <c r="Q9868" s="15"/>
      <c r="R9868" t="s" s="16">
        <f>HYPERLINK("http://secrets.rutgers.edu:8080/data/asl-ftp/asllvd/demos/verify_start_end_handshape_annotations//test_auto_move//signs_mov_separ_signers/Liz_3084.mov","MOV")</f>
        <v>21</v>
      </c>
    </row>
    <row r="9869" s="2" customFormat="1" ht="13.5" customHeight="1">
      <c r="B9869" s="13"/>
      <c r="C9869" t="s" s="9">
        <v>23</v>
      </c>
      <c r="D9869" t="s" s="8">
        <v>3689</v>
      </c>
      <c r="E9869" t="s" s="9">
        <v>3689</v>
      </c>
      <c r="F9869" t="s" s="10">
        <v>55</v>
      </c>
      <c r="G9869" t="s" s="11">
        <v>55</v>
      </c>
      <c r="H9869" t="s" s="10">
        <v>55</v>
      </c>
      <c r="I9869" t="s" s="11">
        <v>55</v>
      </c>
      <c r="J9869" t="s" s="11">
        <v>136</v>
      </c>
      <c r="K9869" s="15"/>
      <c r="L9869" t="s" s="16">
        <f>HYPERLINK("http://csr.bu.edu/ftp/asl/asllvd/demos/verify_start_end_handshape_annotations//test_auto_move//signs_mov_separ_signers/Tyler_3084.mov","MOV")</f>
        <v>21</v>
      </c>
      <c r="M9869" t="s" s="10">
        <v>26</v>
      </c>
      <c r="N9869" s="17">
        <v>17</v>
      </c>
      <c r="O9869" s="18">
        <v>2485</v>
      </c>
      <c r="P9869" s="18">
        <v>2540</v>
      </c>
      <c r="Q9869" s="15"/>
      <c r="R9869" t="s" s="16">
        <f>HYPERLINK("http://secrets.rutgers.edu:8080/data/asl-ftp/asllvd/demos/verify_start_end_handshape_annotations//test_auto_move//signs_mov_separ_signers/Tyler_3084.mov","MOV")</f>
        <v>21</v>
      </c>
    </row>
    <row r="9870" s="2" customFormat="1" ht="13.5" customHeight="1">
      <c r="B9870" s="13"/>
      <c r="C9870" t="s" s="9">
        <v>27</v>
      </c>
      <c r="D9870" t="s" s="8">
        <v>3689</v>
      </c>
      <c r="E9870" t="s" s="9">
        <v>3689</v>
      </c>
      <c r="F9870" t="s" s="10">
        <v>55</v>
      </c>
      <c r="G9870" t="s" s="11">
        <v>105</v>
      </c>
      <c r="H9870" t="s" s="10">
        <v>55</v>
      </c>
      <c r="I9870" t="s" s="11">
        <v>105</v>
      </c>
      <c r="J9870" t="s" s="11">
        <v>136</v>
      </c>
      <c r="K9870" t="s" s="16">
        <f>HYPERLINK("http://csr.bu.edu/ftp/asl/asllvd/demos/verify_start_end_handshape_annotations//test_auto_move//signs_mov/3084_5823_merged.mov","MOV")</f>
        <v>21</v>
      </c>
      <c r="L9870" t="s" s="16">
        <f>HYPERLINK("http://csr.bu.edu/ftp/asl/asllvd/demos/verify_start_end_handshape_annotations//test_auto_move//signs_mov_separ_signers/Naomi_3084.mov","MOV")</f>
        <v>21</v>
      </c>
      <c r="M9870" t="s" s="10">
        <v>29</v>
      </c>
      <c r="N9870" s="17">
        <v>17</v>
      </c>
      <c r="O9870" s="18">
        <v>1993</v>
      </c>
      <c r="P9870" s="18">
        <v>2033</v>
      </c>
      <c r="Q9870" t="s" s="16">
        <f>HYPERLINK("http://secrets.rutgers.edu:8080/data/asl-ftp/asllvd/demos/verify_start_end_handshape_annotations//test_auto_move//signs_mov/3084_5823_merged.mov","MOV")</f>
        <v>21</v>
      </c>
      <c r="R9870" t="s" s="16">
        <f>HYPERLINK("http://secrets.rutgers.edu:8080/data/asl-ftp/asllvd/demos/verify_start_end_handshape_annotations//test_auto_move//signs_mov_separ_signers/Naomi_3084.mov","MOV")</f>
        <v>21</v>
      </c>
    </row>
    <row r="9871" s="2" customFormat="1" ht="13.5" customHeight="1">
      <c r="B9871" s="13"/>
      <c r="C9871" t="s" s="9">
        <v>30</v>
      </c>
      <c r="D9871" t="s" s="8">
        <v>3689</v>
      </c>
      <c r="E9871" t="s" s="9">
        <v>3689</v>
      </c>
      <c r="F9871" t="s" s="10">
        <v>152</v>
      </c>
      <c r="G9871" t="s" s="11">
        <v>68</v>
      </c>
      <c r="H9871" t="s" s="10">
        <v>152</v>
      </c>
      <c r="I9871" t="s" s="11">
        <v>68</v>
      </c>
      <c r="J9871" t="s" s="11">
        <v>136</v>
      </c>
      <c r="K9871" s="15"/>
      <c r="L9871" t="s" s="16">
        <f>HYPERLINK("http://csr.bu.edu/ftp/asl/asllvd/demos/verify_start_end_handshape_annotations//test_auto_move//signs_mov_separ_signers/Brady_3084.mov","MOV")</f>
        <v>21</v>
      </c>
      <c r="M9871" t="s" s="10">
        <v>31</v>
      </c>
      <c r="N9871" s="17">
        <v>14</v>
      </c>
      <c r="O9871" s="18">
        <v>2700</v>
      </c>
      <c r="P9871" s="18">
        <v>2725</v>
      </c>
      <c r="Q9871" s="15"/>
      <c r="R9871" t="s" s="16">
        <f>HYPERLINK("http://secrets.rutgers.edu:8080/data/asl-ftp/asllvd/demos/verify_start_end_handshape_annotations//test_auto_move//signs_mov_separ_signers/Brady_3084.mov","MOV")</f>
        <v>21</v>
      </c>
    </row>
    <row r="9872" s="2" customFormat="1" ht="13.5" customHeight="1">
      <c r="B9872" s="13"/>
      <c r="C9872" t="s" s="9">
        <v>30</v>
      </c>
      <c r="D9872" t="s" s="8">
        <v>3689</v>
      </c>
      <c r="E9872" t="s" s="9">
        <v>3689</v>
      </c>
      <c r="F9872" t="s" s="10">
        <v>55</v>
      </c>
      <c r="G9872" t="s" s="11">
        <v>68</v>
      </c>
      <c r="H9872" t="s" s="10">
        <v>55</v>
      </c>
      <c r="I9872" t="s" s="11">
        <v>68</v>
      </c>
      <c r="J9872" t="s" s="11">
        <v>136</v>
      </c>
      <c r="K9872" s="15"/>
      <c r="L9872" t="s" s="16">
        <f>HYPERLINK("http://csr.bu.edu/ftp/asl/asllvd/demos/verify_start_end_handshape_annotations//test_auto_move//signs_mov_separ_signers/Brady_5823.mov","MOV")</f>
        <v>21</v>
      </c>
      <c r="M9872" t="s" s="10">
        <v>60</v>
      </c>
      <c r="N9872" s="17">
        <v>38</v>
      </c>
      <c r="O9872" s="18">
        <v>165</v>
      </c>
      <c r="P9872" s="18">
        <v>205</v>
      </c>
      <c r="Q9872" s="15"/>
      <c r="R9872" t="s" s="16">
        <f>HYPERLINK("http://secrets.rutgers.edu:8080/data/asl-ftp/asllvd/demos/verify_start_end_handshape_annotations//test_auto_move//signs_mov_separ_signers/Brady_5823.mov","MOV")</f>
        <v>21</v>
      </c>
    </row>
    <row r="9873" s="2" customFormat="1" ht="13.5" customHeight="1">
      <c r="B9873" t="s" s="8">
        <v>3690</v>
      </c>
      <c r="C9873" t="s" s="9">
        <v>14</v>
      </c>
      <c r="D9873" t="s" s="8">
        <v>14</v>
      </c>
      <c r="E9873" t="s" s="9">
        <v>14</v>
      </c>
      <c r="F9873" t="s" s="10">
        <v>14</v>
      </c>
      <c r="G9873" t="s" s="11">
        <v>14</v>
      </c>
      <c r="H9873" t="s" s="10">
        <v>14</v>
      </c>
      <c r="I9873" t="s" s="11">
        <v>14</v>
      </c>
      <c r="J9873" t="s" s="11">
        <v>14</v>
      </c>
      <c r="K9873" t="s" s="12">
        <v>14</v>
      </c>
      <c r="L9873" t="s" s="12">
        <v>14</v>
      </c>
      <c r="M9873" t="s" s="10">
        <v>14</v>
      </c>
      <c r="N9873" t="s" s="11">
        <v>14</v>
      </c>
      <c r="O9873" t="s" s="8">
        <v>14</v>
      </c>
      <c r="P9873" t="s" s="8">
        <v>14</v>
      </c>
      <c r="Q9873" t="s" s="12">
        <v>14</v>
      </c>
      <c r="R9873" t="s" s="12">
        <v>14</v>
      </c>
    </row>
    <row r="9874" s="2" customFormat="1" ht="13.5" customHeight="1">
      <c r="B9874" s="13"/>
      <c r="C9874" t="s" s="9">
        <v>16</v>
      </c>
      <c r="D9874" t="s" s="8">
        <v>3690</v>
      </c>
      <c r="E9874" t="s" s="9">
        <v>3690</v>
      </c>
      <c r="F9874" s="19">
        <v>5</v>
      </c>
      <c r="G9874" s="17">
        <v>5</v>
      </c>
      <c r="H9874" s="19">
        <v>5</v>
      </c>
      <c r="I9874" s="17">
        <v>5</v>
      </c>
      <c r="J9874" t="s" s="11">
        <v>20</v>
      </c>
      <c r="K9874" t="s" s="16">
        <f>HYPERLINK("http://csr.bu.edu/ftp/asl/asllvd/demos/verify_start_end_handshape_annotations//test_auto_move//signs_mov/3090.mov","MOV")</f>
        <v>21</v>
      </c>
      <c r="L9874" t="s" s="16">
        <f>HYPERLINK("http://csr.bu.edu/ftp/asl/asllvd/demos/verify_start_end_handshape_annotations//test_auto_move//signs_mov_separ_signers/Liz_3090.mov","MOV")</f>
        <v>21</v>
      </c>
      <c r="M9874" t="s" s="10">
        <v>59</v>
      </c>
      <c r="N9874" s="17">
        <v>44</v>
      </c>
      <c r="O9874" s="18">
        <v>2166</v>
      </c>
      <c r="P9874" s="18">
        <v>2220</v>
      </c>
      <c r="Q9874" t="s" s="16">
        <f>HYPERLINK("http://secrets.rutgers.edu:8080/data/asl-ftp/asllvd/demos/verify_start_end_handshape_annotations//test_auto_move//signs_mov/3090.mov","MOV")</f>
        <v>21</v>
      </c>
      <c r="R9874" t="s" s="16">
        <f>HYPERLINK("http://secrets.rutgers.edu:8080/data/asl-ftp/asllvd/demos/verify_start_end_handshape_annotations//test_auto_move//signs_mov_separ_signers/Liz_3090.mov","MOV")</f>
        <v>21</v>
      </c>
    </row>
    <row r="9875" s="2" customFormat="1" ht="13.5" customHeight="1">
      <c r="B9875" s="13"/>
      <c r="C9875" t="s" s="9">
        <v>30</v>
      </c>
      <c r="D9875" t="s" s="8">
        <v>3690</v>
      </c>
      <c r="E9875" t="s" s="9">
        <v>3690</v>
      </c>
      <c r="F9875" s="19">
        <v>5</v>
      </c>
      <c r="G9875" s="17">
        <v>5</v>
      </c>
      <c r="H9875" s="19">
        <v>5</v>
      </c>
      <c r="I9875" s="17">
        <v>5</v>
      </c>
      <c r="J9875" t="s" s="11">
        <v>20</v>
      </c>
      <c r="K9875" s="15"/>
      <c r="L9875" t="s" s="16">
        <f>HYPERLINK("http://csr.bu.edu/ftp/asl/asllvd/demos/verify_start_end_handshape_annotations//test_auto_move//signs_mov_separ_signers/Brady_3090.mov","MOV")</f>
        <v>21</v>
      </c>
      <c r="M9875" t="s" s="10">
        <v>60</v>
      </c>
      <c r="N9875" s="17">
        <v>33</v>
      </c>
      <c r="O9875" s="18">
        <v>125</v>
      </c>
      <c r="P9875" s="18">
        <v>162</v>
      </c>
      <c r="Q9875" s="15"/>
      <c r="R9875" t="s" s="16">
        <f>HYPERLINK("http://secrets.rutgers.edu:8080/data/asl-ftp/asllvd/demos/verify_start_end_handshape_annotations//test_auto_move//signs_mov_separ_signers/Brady_3090.mov","MOV")</f>
        <v>21</v>
      </c>
    </row>
    <row r="9876" s="2" customFormat="1" ht="13.5" customHeight="1">
      <c r="B9876" t="s" s="8">
        <v>3691</v>
      </c>
      <c r="C9876" t="s" s="9">
        <v>14</v>
      </c>
      <c r="D9876" t="s" s="8">
        <v>14</v>
      </c>
      <c r="E9876" t="s" s="9">
        <v>14</v>
      </c>
      <c r="F9876" t="s" s="10">
        <v>14</v>
      </c>
      <c r="G9876" t="s" s="11">
        <v>14</v>
      </c>
      <c r="H9876" t="s" s="10">
        <v>14</v>
      </c>
      <c r="I9876" t="s" s="11">
        <v>14</v>
      </c>
      <c r="J9876" t="s" s="11">
        <v>14</v>
      </c>
      <c r="K9876" t="s" s="12">
        <v>14</v>
      </c>
      <c r="L9876" t="s" s="12">
        <v>14</v>
      </c>
      <c r="M9876" t="s" s="10">
        <v>14</v>
      </c>
      <c r="N9876" t="s" s="11">
        <v>14</v>
      </c>
      <c r="O9876" t="s" s="8">
        <v>14</v>
      </c>
      <c r="P9876" t="s" s="8">
        <v>14</v>
      </c>
      <c r="Q9876" t="s" s="12">
        <v>14</v>
      </c>
      <c r="R9876" t="s" s="12">
        <v>14</v>
      </c>
    </row>
    <row r="9877" s="2" customFormat="1" ht="13.5" customHeight="1">
      <c r="B9877" s="13"/>
      <c r="C9877" t="s" s="9">
        <v>16</v>
      </c>
      <c r="D9877" t="s" s="8">
        <v>3691</v>
      </c>
      <c r="E9877" t="s" s="9">
        <v>3691</v>
      </c>
      <c r="F9877" t="s" s="10">
        <v>229</v>
      </c>
      <c r="G9877" t="s" s="11">
        <v>73</v>
      </c>
      <c r="H9877" t="s" s="10">
        <v>240</v>
      </c>
      <c r="I9877" t="s" s="11">
        <v>73</v>
      </c>
      <c r="J9877" t="s" s="11">
        <v>20</v>
      </c>
      <c r="K9877" t="s" s="16">
        <f>HYPERLINK("http://csr.bu.edu/ftp/asl/asllvd/demos/verify_start_end_handshape_annotations//test_auto_move//signs_mov/3100.mov","MOV")</f>
        <v>21</v>
      </c>
      <c r="L9877" t="s" s="16">
        <f>HYPERLINK("http://csr.bu.edu/ftp/asl/asllvd/demos/verify_start_end_handshape_annotations//test_auto_move//signs_mov_separ_signers/Liz_3100.mov","MOV")</f>
        <v>21</v>
      </c>
      <c r="M9877" t="s" s="10">
        <v>88</v>
      </c>
      <c r="N9877" s="17">
        <v>30</v>
      </c>
      <c r="O9877" s="18">
        <v>3725</v>
      </c>
      <c r="P9877" s="18">
        <v>3822</v>
      </c>
      <c r="Q9877" t="s" s="16">
        <f>HYPERLINK("http://secrets.rutgers.edu:8080/data/asl-ftp/asllvd/demos/verify_start_end_handshape_annotations//test_auto_move//signs_mov/3100.mov","MOV")</f>
        <v>21</v>
      </c>
      <c r="R9877" t="s" s="16">
        <f>HYPERLINK("http://secrets.rutgers.edu:8080/data/asl-ftp/asllvd/demos/verify_start_end_handshape_annotations//test_auto_move//signs_mov_separ_signers/Liz_3100.mov","MOV")</f>
        <v>21</v>
      </c>
    </row>
    <row r="9878" s="2" customFormat="1" ht="13.5" customHeight="1">
      <c r="B9878" t="s" s="8">
        <v>3692</v>
      </c>
      <c r="C9878" t="s" s="9">
        <v>14</v>
      </c>
      <c r="D9878" t="s" s="8">
        <v>14</v>
      </c>
      <c r="E9878" t="s" s="9">
        <v>14</v>
      </c>
      <c r="F9878" t="s" s="10">
        <v>14</v>
      </c>
      <c r="G9878" t="s" s="11">
        <v>14</v>
      </c>
      <c r="H9878" t="s" s="10">
        <v>14</v>
      </c>
      <c r="I9878" t="s" s="11">
        <v>14</v>
      </c>
      <c r="J9878" t="s" s="11">
        <v>14</v>
      </c>
      <c r="K9878" t="s" s="12">
        <v>14</v>
      </c>
      <c r="L9878" t="s" s="12">
        <v>14</v>
      </c>
      <c r="M9878" t="s" s="10">
        <v>14</v>
      </c>
      <c r="N9878" t="s" s="11">
        <v>14</v>
      </c>
      <c r="O9878" t="s" s="8">
        <v>14</v>
      </c>
      <c r="P9878" t="s" s="8">
        <v>14</v>
      </c>
      <c r="Q9878" t="s" s="12">
        <v>14</v>
      </c>
      <c r="R9878" t="s" s="12">
        <v>14</v>
      </c>
    </row>
    <row r="9879" s="2" customFormat="1" ht="13.5" customHeight="1">
      <c r="B9879" s="13"/>
      <c r="C9879" t="s" s="9">
        <v>16</v>
      </c>
      <c r="D9879" t="s" s="8">
        <v>3692</v>
      </c>
      <c r="E9879" t="s" s="9">
        <v>3693</v>
      </c>
      <c r="F9879" t="s" s="10">
        <v>148</v>
      </c>
      <c r="G9879" t="s" s="11">
        <v>73</v>
      </c>
      <c r="H9879" t="s" s="10">
        <v>148</v>
      </c>
      <c r="I9879" t="s" s="11">
        <v>73</v>
      </c>
      <c r="J9879" t="s" s="11">
        <v>20</v>
      </c>
      <c r="K9879" t="s" s="16">
        <f>HYPERLINK("http://csr.bu.edu/ftp/asl/asllvd/demos/verify_start_end_handshape_annotations//test_auto_move//signs_mov/3101.mov","MOV")</f>
        <v>21</v>
      </c>
      <c r="L9879" t="s" s="16">
        <f>HYPERLINK("http://csr.bu.edu/ftp/asl/asllvd/demos/verify_start_end_handshape_annotations//test_auto_move//signs_mov_separ_signers/Liz_3101.mov","MOV")</f>
        <v>21</v>
      </c>
      <c r="M9879" t="s" s="10">
        <v>88</v>
      </c>
      <c r="N9879" s="17">
        <v>30</v>
      </c>
      <c r="O9879" s="18">
        <v>4433</v>
      </c>
      <c r="P9879" s="18">
        <v>4475</v>
      </c>
      <c r="Q9879" t="s" s="16">
        <f>HYPERLINK("http://secrets.rutgers.edu:8080/data/asl-ftp/asllvd/demos/verify_start_end_handshape_annotations//test_auto_move//signs_mov/3101.mov","MOV")</f>
        <v>21</v>
      </c>
      <c r="R9879" t="s" s="16">
        <f>HYPERLINK("http://secrets.rutgers.edu:8080/data/asl-ftp/asllvd/demos/verify_start_end_handshape_annotations//test_auto_move//signs_mov_separ_signers/Liz_3101.mov","MOV")</f>
        <v>21</v>
      </c>
    </row>
    <row r="9880" s="2" customFormat="1" ht="13.5" customHeight="1">
      <c r="B9880" t="s" s="8">
        <v>52</v>
      </c>
      <c r="C9880" t="s" s="9">
        <v>53</v>
      </c>
      <c r="D9880" t="s" s="8">
        <v>53</v>
      </c>
      <c r="E9880" t="s" s="9">
        <v>53</v>
      </c>
      <c r="F9880" t="s" s="10">
        <v>53</v>
      </c>
      <c r="G9880" t="s" s="11">
        <v>53</v>
      </c>
      <c r="H9880" t="s" s="10">
        <v>53</v>
      </c>
      <c r="I9880" t="s" s="11">
        <v>53</v>
      </c>
      <c r="J9880" t="s" s="11">
        <v>53</v>
      </c>
      <c r="K9880" t="s" s="12">
        <v>53</v>
      </c>
      <c r="L9880" t="s" s="12">
        <v>53</v>
      </c>
      <c r="M9880" t="s" s="10">
        <v>53</v>
      </c>
      <c r="N9880" t="s" s="11">
        <v>53</v>
      </c>
      <c r="O9880" t="s" s="8">
        <v>53</v>
      </c>
      <c r="P9880" t="s" s="8">
        <v>53</v>
      </c>
      <c r="Q9880" t="s" s="12">
        <v>53</v>
      </c>
      <c r="R9880" t="s" s="12">
        <v>53</v>
      </c>
    </row>
    <row r="9881" s="2" customFormat="1" ht="13.5" customHeight="1">
      <c r="B9881" s="13"/>
      <c r="C9881" t="s" s="9">
        <v>23</v>
      </c>
      <c r="D9881" t="s" s="8">
        <v>3692</v>
      </c>
      <c r="E9881" t="s" s="9">
        <v>3694</v>
      </c>
      <c r="F9881" t="s" s="10">
        <v>148</v>
      </c>
      <c r="G9881" t="s" s="11">
        <v>73</v>
      </c>
      <c r="H9881" t="s" s="10">
        <v>148</v>
      </c>
      <c r="I9881" t="s" s="11">
        <v>73</v>
      </c>
      <c r="J9881" t="s" s="11">
        <v>20</v>
      </c>
      <c r="K9881" t="s" s="16">
        <f>HYPERLINK("http://csr.bu.edu/ftp/asl/asllvd/demos/verify_start_end_handshape_annotations//test_auto_move//signs_mov/5670.mov","MOV")</f>
        <v>21</v>
      </c>
      <c r="L9881" t="s" s="16">
        <f>HYPERLINK("http://csr.bu.edu/ftp/asl/asllvd/demos/verify_start_end_handshape_annotations//test_auto_move//signs_mov_separ_signers/Tyler_5670.mov","MOV")</f>
        <v>21</v>
      </c>
      <c r="M9881" t="s" s="10">
        <v>26</v>
      </c>
      <c r="N9881" s="17">
        <v>43</v>
      </c>
      <c r="O9881" s="18">
        <v>2215</v>
      </c>
      <c r="P9881" s="18">
        <v>2247</v>
      </c>
      <c r="Q9881" t="s" s="16">
        <f>HYPERLINK("http://secrets.rutgers.edu:8080/data/asl-ftp/asllvd/demos/verify_start_end_handshape_annotations//test_auto_move//signs_mov/5670.mov","MOV")</f>
        <v>21</v>
      </c>
      <c r="R9881" t="s" s="16">
        <f>HYPERLINK("http://secrets.rutgers.edu:8080/data/asl-ftp/asllvd/demos/verify_start_end_handshape_annotations//test_auto_move//signs_mov_separ_signers/Tyler_5670.mov","MOV")</f>
        <v>21</v>
      </c>
    </row>
    <row r="9882" s="2" customFormat="1" ht="13.5" customHeight="1">
      <c r="B9882" t="s" s="8">
        <v>3695</v>
      </c>
      <c r="C9882" t="s" s="9">
        <v>14</v>
      </c>
      <c r="D9882" t="s" s="8">
        <v>14</v>
      </c>
      <c r="E9882" t="s" s="9">
        <v>14</v>
      </c>
      <c r="F9882" t="s" s="10">
        <v>14</v>
      </c>
      <c r="G9882" t="s" s="11">
        <v>14</v>
      </c>
      <c r="H9882" t="s" s="10">
        <v>14</v>
      </c>
      <c r="I9882" t="s" s="11">
        <v>14</v>
      </c>
      <c r="J9882" t="s" s="11">
        <v>14</v>
      </c>
      <c r="K9882" t="s" s="12">
        <v>14</v>
      </c>
      <c r="L9882" t="s" s="12">
        <v>14</v>
      </c>
      <c r="M9882" t="s" s="10">
        <v>14</v>
      </c>
      <c r="N9882" t="s" s="11">
        <v>14</v>
      </c>
      <c r="O9882" t="s" s="8">
        <v>14</v>
      </c>
      <c r="P9882" t="s" s="8">
        <v>14</v>
      </c>
      <c r="Q9882" t="s" s="12">
        <v>14</v>
      </c>
      <c r="R9882" t="s" s="12">
        <v>14</v>
      </c>
    </row>
    <row r="9883" s="2" customFormat="1" ht="13.5" customHeight="1">
      <c r="B9883" s="13"/>
      <c r="C9883" t="s" s="9">
        <v>16</v>
      </c>
      <c r="D9883" t="s" s="8">
        <v>3695</v>
      </c>
      <c r="E9883" t="s" s="9">
        <v>3695</v>
      </c>
      <c r="F9883" t="s" s="10">
        <v>386</v>
      </c>
      <c r="G9883" s="14"/>
      <c r="H9883" t="s" s="10">
        <v>386</v>
      </c>
      <c r="I9883" s="14"/>
      <c r="J9883" t="s" s="11">
        <v>20</v>
      </c>
      <c r="K9883" t="s" s="16">
        <f>HYPERLINK("http://csr.bu.edu/ftp/asl/asllvd/demos/verify_start_end_handshape_annotations//test_auto_move//signs_mov/3102.mov","MOV")</f>
        <v>21</v>
      </c>
      <c r="L9883" t="s" s="16">
        <f>HYPERLINK("http://csr.bu.edu/ftp/asl/asllvd/demos/verify_start_end_handshape_annotations//test_auto_move//signs_mov_separ_signers/Liz_3102.mov","MOV")</f>
        <v>21</v>
      </c>
      <c r="M9883" t="s" s="10">
        <v>59</v>
      </c>
      <c r="N9883" s="17">
        <v>4</v>
      </c>
      <c r="O9883" s="18">
        <v>3281</v>
      </c>
      <c r="P9883" s="18">
        <v>3315</v>
      </c>
      <c r="Q9883" t="s" s="16">
        <f>HYPERLINK("http://secrets.rutgers.edu:8080/data/asl-ftp/asllvd/demos/verify_start_end_handshape_annotations//test_auto_move//signs_mov/3102.mov","MOV")</f>
        <v>21</v>
      </c>
      <c r="R9883" t="s" s="16">
        <f>HYPERLINK("http://secrets.rutgers.edu:8080/data/asl-ftp/asllvd/demos/verify_start_end_handshape_annotations//test_auto_move//signs_mov_separ_signers/Liz_3102.mov","MOV")</f>
        <v>21</v>
      </c>
    </row>
    <row r="9884" s="2" customFormat="1" ht="13.5" customHeight="1">
      <c r="B9884" t="s" s="8">
        <v>3696</v>
      </c>
      <c r="C9884" t="s" s="9">
        <v>14</v>
      </c>
      <c r="D9884" t="s" s="8">
        <v>14</v>
      </c>
      <c r="E9884" t="s" s="9">
        <v>14</v>
      </c>
      <c r="F9884" t="s" s="10">
        <v>14</v>
      </c>
      <c r="G9884" t="s" s="11">
        <v>14</v>
      </c>
      <c r="H9884" t="s" s="10">
        <v>14</v>
      </c>
      <c r="I9884" t="s" s="11">
        <v>14</v>
      </c>
      <c r="J9884" t="s" s="11">
        <v>14</v>
      </c>
      <c r="K9884" t="s" s="12">
        <v>14</v>
      </c>
      <c r="L9884" t="s" s="12">
        <v>14</v>
      </c>
      <c r="M9884" t="s" s="10">
        <v>14</v>
      </c>
      <c r="N9884" t="s" s="11">
        <v>14</v>
      </c>
      <c r="O9884" t="s" s="8">
        <v>14</v>
      </c>
      <c r="P9884" t="s" s="8">
        <v>14</v>
      </c>
      <c r="Q9884" t="s" s="12">
        <v>14</v>
      </c>
      <c r="R9884" t="s" s="12">
        <v>14</v>
      </c>
    </row>
    <row r="9885" s="2" customFormat="1" ht="13.5" customHeight="1">
      <c r="B9885" s="13"/>
      <c r="C9885" t="s" s="9">
        <v>16</v>
      </c>
      <c r="D9885" t="s" s="8">
        <v>3696</v>
      </c>
      <c r="E9885" t="s" s="9">
        <v>3696</v>
      </c>
      <c r="F9885" t="s" s="10">
        <v>757</v>
      </c>
      <c r="G9885" s="14"/>
      <c r="H9885" t="s" s="10">
        <v>251</v>
      </c>
      <c r="I9885" s="14"/>
      <c r="J9885" t="s" s="11">
        <v>20</v>
      </c>
      <c r="K9885" s="15"/>
      <c r="L9885" t="s" s="16">
        <f>HYPERLINK("http://csr.bu.edu/ftp/asl/asllvd/demos/verify_start_end_handshape_annotations//test_auto_move//signs_mov_separ_signers/Liz_3112.mov","MOV")</f>
        <v>21</v>
      </c>
      <c r="M9885" t="s" s="10">
        <v>34</v>
      </c>
      <c r="N9885" s="17">
        <v>56</v>
      </c>
      <c r="O9885" s="18">
        <v>315</v>
      </c>
      <c r="P9885" s="18">
        <v>361</v>
      </c>
      <c r="Q9885" s="15"/>
      <c r="R9885" t="s" s="16">
        <f>HYPERLINK("http://secrets.rutgers.edu:8080/data/asl-ftp/asllvd/demos/verify_start_end_handshape_annotations//test_auto_move//signs_mov_separ_signers/Liz_3112.mov","MOV")</f>
        <v>21</v>
      </c>
    </row>
    <row r="9886" s="2" customFormat="1" ht="13.5" customHeight="1">
      <c r="B9886" s="13"/>
      <c r="C9886" t="s" s="9">
        <v>23</v>
      </c>
      <c r="D9886" t="s" s="8">
        <v>3696</v>
      </c>
      <c r="E9886" t="s" s="9">
        <v>3696</v>
      </c>
      <c r="F9886" t="s" s="10">
        <v>757</v>
      </c>
      <c r="G9886" s="14"/>
      <c r="H9886" t="s" s="10">
        <v>251</v>
      </c>
      <c r="I9886" s="14"/>
      <c r="J9886" t="s" s="11">
        <v>20</v>
      </c>
      <c r="K9886" t="s" s="16">
        <f>HYPERLINK("http://csr.bu.edu/ftp/asl/asllvd/demos/verify_start_end_handshape_annotations//test_auto_move//signs_mov/3112.mov","MOV")</f>
        <v>21</v>
      </c>
      <c r="L9886" t="s" s="16">
        <f>HYPERLINK("http://csr.bu.edu/ftp/asl/asllvd/demos/verify_start_end_handshape_annotations//test_auto_move//signs_mov_separ_signers/Tyler_3112.mov","MOV")</f>
        <v>21</v>
      </c>
      <c r="M9886" t="s" s="10">
        <v>47</v>
      </c>
      <c r="N9886" s="17">
        <v>7</v>
      </c>
      <c r="O9886" s="18">
        <v>4338</v>
      </c>
      <c r="P9886" s="18">
        <v>4371</v>
      </c>
      <c r="Q9886" t="s" s="16">
        <f>HYPERLINK("http://secrets.rutgers.edu:8080/data/asl-ftp/asllvd/demos/verify_start_end_handshape_annotations//test_auto_move//signs_mov/3112.mov","MOV")</f>
        <v>21</v>
      </c>
      <c r="R9886" t="s" s="16">
        <f>HYPERLINK("http://secrets.rutgers.edu:8080/data/asl-ftp/asllvd/demos/verify_start_end_handshape_annotations//test_auto_move//signs_mov_separ_signers/Tyler_3112.mov","MOV")</f>
        <v>21</v>
      </c>
    </row>
    <row r="9887" s="2" customFormat="1" ht="13.5" customHeight="1">
      <c r="B9887" s="13"/>
      <c r="C9887" t="s" s="9">
        <v>30</v>
      </c>
      <c r="D9887" t="s" s="8">
        <v>3696</v>
      </c>
      <c r="E9887" t="s" s="9">
        <v>3696</v>
      </c>
      <c r="F9887" t="s" s="10">
        <v>55</v>
      </c>
      <c r="G9887" s="14"/>
      <c r="H9887" t="s" s="10">
        <v>251</v>
      </c>
      <c r="I9887" s="14"/>
      <c r="J9887" t="s" s="11">
        <v>20</v>
      </c>
      <c r="K9887" s="15"/>
      <c r="L9887" t="s" s="16">
        <f>HYPERLINK("http://csr.bu.edu/ftp/asl/asllvd/demos/verify_start_end_handshape_annotations//test_auto_move//signs_mov_separ_signers/Brady_3112.mov","MOV")</f>
        <v>21</v>
      </c>
      <c r="M9887" t="s" s="10">
        <v>60</v>
      </c>
      <c r="N9887" s="17">
        <v>47</v>
      </c>
      <c r="O9887" s="18">
        <v>716</v>
      </c>
      <c r="P9887" s="18">
        <v>743</v>
      </c>
      <c r="Q9887" s="15"/>
      <c r="R9887" t="s" s="16">
        <f>HYPERLINK("http://secrets.rutgers.edu:8080/data/asl-ftp/asllvd/demos/verify_start_end_handshape_annotations//test_auto_move//signs_mov_separ_signers/Brady_3112.mov","MOV")</f>
        <v>21</v>
      </c>
    </row>
    <row r="9888" s="2" customFormat="1" ht="13.5" customHeight="1">
      <c r="B9888" t="s" s="8">
        <v>3697</v>
      </c>
      <c r="C9888" t="s" s="9">
        <v>14</v>
      </c>
      <c r="D9888" t="s" s="8">
        <v>14</v>
      </c>
      <c r="E9888" t="s" s="9">
        <v>14</v>
      </c>
      <c r="F9888" t="s" s="10">
        <v>14</v>
      </c>
      <c r="G9888" t="s" s="11">
        <v>14</v>
      </c>
      <c r="H9888" t="s" s="10">
        <v>14</v>
      </c>
      <c r="I9888" t="s" s="11">
        <v>14</v>
      </c>
      <c r="J9888" t="s" s="11">
        <v>14</v>
      </c>
      <c r="K9888" t="s" s="12">
        <v>14</v>
      </c>
      <c r="L9888" t="s" s="12">
        <v>14</v>
      </c>
      <c r="M9888" t="s" s="10">
        <v>14</v>
      </c>
      <c r="N9888" t="s" s="11">
        <v>14</v>
      </c>
      <c r="O9888" t="s" s="8">
        <v>14</v>
      </c>
      <c r="P9888" t="s" s="8">
        <v>14</v>
      </c>
      <c r="Q9888" t="s" s="12">
        <v>14</v>
      </c>
      <c r="R9888" t="s" s="12">
        <v>14</v>
      </c>
    </row>
    <row r="9889" s="2" customFormat="1" ht="13.5" customHeight="1">
      <c r="B9889" s="13"/>
      <c r="C9889" t="s" s="9">
        <v>16</v>
      </c>
      <c r="D9889" t="s" s="8">
        <v>3697</v>
      </c>
      <c r="E9889" t="s" s="9">
        <v>3698</v>
      </c>
      <c r="F9889" t="s" s="10">
        <v>85</v>
      </c>
      <c r="G9889" s="17">
        <v>1</v>
      </c>
      <c r="H9889" t="s" s="10">
        <v>85</v>
      </c>
      <c r="I9889" s="17">
        <v>1</v>
      </c>
      <c r="J9889" t="s" s="11">
        <v>20</v>
      </c>
      <c r="K9889" t="s" s="16">
        <f>HYPERLINK("http://csr.bu.edu/ftp/asl/asllvd/demos/verify_start_end_handshape_annotations//test_auto_move//signs_mov/3120.mov","MOV")</f>
        <v>21</v>
      </c>
      <c r="L9889" t="s" s="16">
        <f>HYPERLINK("http://csr.bu.edu/ftp/asl/asllvd/demos/verify_start_end_handshape_annotations//test_auto_move//signs_mov_separ_signers/Liz_3120.mov","MOV")</f>
        <v>21</v>
      </c>
      <c r="M9889" t="s" s="10">
        <v>59</v>
      </c>
      <c r="N9889" s="17">
        <v>7</v>
      </c>
      <c r="O9889" s="18">
        <v>1552</v>
      </c>
      <c r="P9889" s="18">
        <v>1590</v>
      </c>
      <c r="Q9889" t="s" s="16">
        <f>HYPERLINK("http://secrets.rutgers.edu:8080/data/asl-ftp/asllvd/demos/verify_start_end_handshape_annotations//test_auto_move//signs_mov/3120.mov","MOV")</f>
        <v>21</v>
      </c>
      <c r="R9889" t="s" s="16">
        <f>HYPERLINK("http://secrets.rutgers.edu:8080/data/asl-ftp/asllvd/demos/verify_start_end_handshape_annotations//test_auto_move//signs_mov_separ_signers/Liz_3120.mov","MOV")</f>
        <v>21</v>
      </c>
    </row>
    <row r="9890" s="2" customFormat="1" ht="13.5" customHeight="1">
      <c r="B9890" s="13"/>
      <c r="C9890" t="s" s="9">
        <v>30</v>
      </c>
      <c r="D9890" t="s" s="8">
        <v>3697</v>
      </c>
      <c r="E9890" t="s" s="9">
        <v>3698</v>
      </c>
      <c r="F9890" t="s" s="10">
        <v>80</v>
      </c>
      <c r="G9890" s="17">
        <v>1</v>
      </c>
      <c r="H9890" t="s" s="10">
        <v>80</v>
      </c>
      <c r="I9890" s="17">
        <v>1</v>
      </c>
      <c r="J9890" t="s" s="11">
        <v>20</v>
      </c>
      <c r="K9890" s="15"/>
      <c r="L9890" t="s" s="16">
        <f>HYPERLINK("http://csr.bu.edu/ftp/asl/asllvd/demos/verify_start_end_handshape_annotations//test_auto_move//signs_mov_separ_signers/Brady_3120.mov","MOV")</f>
        <v>21</v>
      </c>
      <c r="M9890" t="s" s="10">
        <v>40</v>
      </c>
      <c r="N9890" s="17">
        <v>111</v>
      </c>
      <c r="O9890" s="18">
        <v>2001</v>
      </c>
      <c r="P9890" s="18">
        <v>2047</v>
      </c>
      <c r="Q9890" s="15"/>
      <c r="R9890" t="s" s="16">
        <f>HYPERLINK("http://secrets.rutgers.edu:8080/data/asl-ftp/asllvd/demos/verify_start_end_handshape_annotations//test_auto_move//signs_mov_separ_signers/Brady_3120.mov","MOV")</f>
        <v>21</v>
      </c>
    </row>
    <row r="9891" s="2" customFormat="1" ht="13.5" customHeight="1">
      <c r="B9891" t="s" s="8">
        <v>52</v>
      </c>
      <c r="C9891" t="s" s="9">
        <v>53</v>
      </c>
      <c r="D9891" t="s" s="8">
        <v>53</v>
      </c>
      <c r="E9891" t="s" s="9">
        <v>53</v>
      </c>
      <c r="F9891" t="s" s="10">
        <v>53</v>
      </c>
      <c r="G9891" t="s" s="11">
        <v>53</v>
      </c>
      <c r="H9891" t="s" s="10">
        <v>53</v>
      </c>
      <c r="I9891" t="s" s="11">
        <v>53</v>
      </c>
      <c r="J9891" t="s" s="11">
        <v>53</v>
      </c>
      <c r="K9891" t="s" s="12">
        <v>53</v>
      </c>
      <c r="L9891" t="s" s="12">
        <v>53</v>
      </c>
      <c r="M9891" t="s" s="10">
        <v>53</v>
      </c>
      <c r="N9891" t="s" s="11">
        <v>53</v>
      </c>
      <c r="O9891" t="s" s="8">
        <v>53</v>
      </c>
      <c r="P9891" t="s" s="8">
        <v>53</v>
      </c>
      <c r="Q9891" t="s" s="12">
        <v>53</v>
      </c>
      <c r="R9891" t="s" s="12">
        <v>53</v>
      </c>
    </row>
    <row r="9892" s="2" customFormat="1" ht="13.5" customHeight="1">
      <c r="B9892" s="13"/>
      <c r="C9892" t="s" s="9">
        <v>16</v>
      </c>
      <c r="D9892" t="s" s="8">
        <v>3697</v>
      </c>
      <c r="E9892" t="s" s="9">
        <v>3699</v>
      </c>
      <c r="F9892" s="19">
        <v>1</v>
      </c>
      <c r="G9892" s="17">
        <v>1</v>
      </c>
      <c r="H9892" s="19">
        <v>1</v>
      </c>
      <c r="I9892" s="17">
        <v>1</v>
      </c>
      <c r="J9892" t="s" s="11">
        <v>20</v>
      </c>
      <c r="K9892" s="15"/>
      <c r="L9892" t="s" s="16">
        <f>HYPERLINK("http://csr.bu.edu/ftp/asl/asllvd/demos/verify_start_end_handshape_annotations//test_auto_move//signs_mov_separ_signers/Liz_5777.mov","MOV")</f>
        <v>21</v>
      </c>
      <c r="M9892" t="s" s="10">
        <v>59</v>
      </c>
      <c r="N9892" s="17">
        <v>7</v>
      </c>
      <c r="O9892" s="18">
        <v>1312</v>
      </c>
      <c r="P9892" s="18">
        <v>1361</v>
      </c>
      <c r="Q9892" s="15"/>
      <c r="R9892" t="s" s="16">
        <f>HYPERLINK("http://secrets.rutgers.edu:8080/data/asl-ftp/asllvd/demos/verify_start_end_handshape_annotations//test_auto_move//signs_mov_separ_signers/Liz_5777.mov","MOV")</f>
        <v>21</v>
      </c>
    </row>
    <row r="9893" s="2" customFormat="1" ht="13.5" customHeight="1">
      <c r="B9893" s="13"/>
      <c r="C9893" t="s" s="9">
        <v>30</v>
      </c>
      <c r="D9893" t="s" s="8">
        <v>3697</v>
      </c>
      <c r="E9893" t="s" s="9">
        <v>3699</v>
      </c>
      <c r="F9893" s="19">
        <v>1</v>
      </c>
      <c r="G9893" s="17">
        <v>1</v>
      </c>
      <c r="H9893" s="19">
        <v>1</v>
      </c>
      <c r="I9893" s="17">
        <v>1</v>
      </c>
      <c r="J9893" t="s" s="11">
        <v>20</v>
      </c>
      <c r="K9893" t="s" s="16">
        <f>HYPERLINK("http://csr.bu.edu/ftp/asl/asllvd/demos/verify_start_end_handshape_annotations//test_auto_move//signs_mov/5777_5787_merged.mov","MOV")</f>
        <v>21</v>
      </c>
      <c r="L9893" t="s" s="16">
        <f>HYPERLINK("http://csr.bu.edu/ftp/asl/asllvd/demos/verify_start_end_handshape_annotations//test_auto_move//signs_mov_separ_signers/Brady_5777.mov","MOV")</f>
        <v>21</v>
      </c>
      <c r="M9893" t="s" s="10">
        <v>40</v>
      </c>
      <c r="N9893" s="17">
        <v>111</v>
      </c>
      <c r="O9893" s="18">
        <v>1772</v>
      </c>
      <c r="P9893" s="18">
        <v>1824</v>
      </c>
      <c r="Q9893" t="s" s="16">
        <f>HYPERLINK("http://secrets.rutgers.edu:8080/data/asl-ftp/asllvd/demos/verify_start_end_handshape_annotations//test_auto_move//signs_mov/5777_5787_merged.mov","MOV")</f>
        <v>21</v>
      </c>
      <c r="R9893" t="s" s="16">
        <f>HYPERLINK("http://secrets.rutgers.edu:8080/data/asl-ftp/asllvd/demos/verify_start_end_handshape_annotations//test_auto_move//signs_mov_separ_signers/Brady_5777.mov","MOV")</f>
        <v>21</v>
      </c>
    </row>
    <row r="9894" s="2" customFormat="1" ht="13.5" customHeight="1">
      <c r="B9894" s="13"/>
      <c r="C9894" t="s" s="9">
        <v>30</v>
      </c>
      <c r="D9894" t="s" s="8">
        <v>3697</v>
      </c>
      <c r="E9894" t="s" s="9">
        <v>3700</v>
      </c>
      <c r="F9894" s="19">
        <v>1</v>
      </c>
      <c r="G9894" s="17">
        <v>1</v>
      </c>
      <c r="H9894" s="19">
        <v>1</v>
      </c>
      <c r="I9894" s="17">
        <v>1</v>
      </c>
      <c r="J9894" t="s" s="11">
        <v>20</v>
      </c>
      <c r="K9894" s="15"/>
      <c r="L9894" t="s" s="16">
        <f>HYPERLINK("http://csr.bu.edu/ftp/asl/asllvd/demos/verify_start_end_handshape_annotations//test_auto_move//signs_mov_separ_signers/Brady_5787.mov","MOV")</f>
        <v>21</v>
      </c>
      <c r="M9894" t="s" s="10">
        <v>60</v>
      </c>
      <c r="N9894" s="17">
        <v>55</v>
      </c>
      <c r="O9894" s="18">
        <v>675</v>
      </c>
      <c r="P9894" s="18">
        <v>739</v>
      </c>
      <c r="Q9894" s="15"/>
      <c r="R9894" t="s" s="16">
        <f>HYPERLINK("http://secrets.rutgers.edu:8080/data/asl-ftp/asllvd/demos/verify_start_end_handshape_annotations//test_auto_move//signs_mov_separ_signers/Brady_5787.mov","MOV")</f>
        <v>21</v>
      </c>
    </row>
    <row r="9895" s="2" customFormat="1" ht="13.5" customHeight="1">
      <c r="B9895" t="s" s="8">
        <v>3701</v>
      </c>
      <c r="C9895" t="s" s="9">
        <v>14</v>
      </c>
      <c r="D9895" t="s" s="8">
        <v>14</v>
      </c>
      <c r="E9895" t="s" s="9">
        <v>14</v>
      </c>
      <c r="F9895" t="s" s="10">
        <v>14</v>
      </c>
      <c r="G9895" t="s" s="11">
        <v>14</v>
      </c>
      <c r="H9895" t="s" s="10">
        <v>14</v>
      </c>
      <c r="I9895" t="s" s="11">
        <v>14</v>
      </c>
      <c r="J9895" t="s" s="11">
        <v>14</v>
      </c>
      <c r="K9895" t="s" s="12">
        <v>14</v>
      </c>
      <c r="L9895" t="s" s="12">
        <v>14</v>
      </c>
      <c r="M9895" t="s" s="10">
        <v>14</v>
      </c>
      <c r="N9895" t="s" s="11">
        <v>14</v>
      </c>
      <c r="O9895" t="s" s="8">
        <v>14</v>
      </c>
      <c r="P9895" t="s" s="8">
        <v>14</v>
      </c>
      <c r="Q9895" t="s" s="12">
        <v>14</v>
      </c>
      <c r="R9895" t="s" s="12">
        <v>14</v>
      </c>
    </row>
    <row r="9896" s="2" customFormat="1" ht="13.5" customHeight="1">
      <c r="B9896" s="13"/>
      <c r="C9896" t="s" s="9">
        <v>16</v>
      </c>
      <c r="D9896" t="s" s="8">
        <v>3701</v>
      </c>
      <c r="E9896" t="s" s="9">
        <v>3701</v>
      </c>
      <c r="F9896" t="s" s="10">
        <v>430</v>
      </c>
      <c r="G9896" t="s" s="11">
        <v>430</v>
      </c>
      <c r="H9896" s="19">
        <v>8</v>
      </c>
      <c r="I9896" s="17">
        <v>8</v>
      </c>
      <c r="J9896" t="s" s="11">
        <v>20</v>
      </c>
      <c r="K9896" t="s" s="16">
        <f>HYPERLINK("http://csr.bu.edu/ftp/asl/asllvd/demos/verify_start_end_handshape_annotations//test_auto_move//signs_mov/3158.mov","MOV")</f>
        <v>21</v>
      </c>
      <c r="L9896" t="s" s="16">
        <f>HYPERLINK("http://csr.bu.edu/ftp/asl/asllvd/demos/verify_start_end_handshape_annotations//test_auto_move//signs_mov_separ_signers/Liz_3158.mov","MOV")</f>
        <v>21</v>
      </c>
      <c r="M9896" t="s" s="10">
        <v>77</v>
      </c>
      <c r="N9896" s="17">
        <v>5</v>
      </c>
      <c r="O9896" s="18">
        <v>1575</v>
      </c>
      <c r="P9896" s="18">
        <v>1631</v>
      </c>
      <c r="Q9896" t="s" s="16">
        <f>HYPERLINK("http://secrets.rutgers.edu:8080/data/asl-ftp/asllvd/demos/verify_start_end_handshape_annotations//test_auto_move//signs_mov/3158.mov","MOV")</f>
        <v>21</v>
      </c>
      <c r="R9896" t="s" s="16">
        <f>HYPERLINK("http://secrets.rutgers.edu:8080/data/asl-ftp/asllvd/demos/verify_start_end_handshape_annotations//test_auto_move//signs_mov_separ_signers/Liz_3158.mov","MOV")</f>
        <v>21</v>
      </c>
    </row>
    <row r="9897" s="2" customFormat="1" ht="13.5" customHeight="1">
      <c r="B9897" t="s" s="8">
        <v>3702</v>
      </c>
      <c r="C9897" t="s" s="9">
        <v>14</v>
      </c>
      <c r="D9897" t="s" s="8">
        <v>14</v>
      </c>
      <c r="E9897" t="s" s="9">
        <v>14</v>
      </c>
      <c r="F9897" t="s" s="10">
        <v>14</v>
      </c>
      <c r="G9897" t="s" s="11">
        <v>14</v>
      </c>
      <c r="H9897" t="s" s="10">
        <v>14</v>
      </c>
      <c r="I9897" t="s" s="11">
        <v>14</v>
      </c>
      <c r="J9897" t="s" s="11">
        <v>14</v>
      </c>
      <c r="K9897" t="s" s="12">
        <v>14</v>
      </c>
      <c r="L9897" t="s" s="12">
        <v>14</v>
      </c>
      <c r="M9897" t="s" s="10">
        <v>14</v>
      </c>
      <c r="N9897" t="s" s="11">
        <v>14</v>
      </c>
      <c r="O9897" t="s" s="8">
        <v>14</v>
      </c>
      <c r="P9897" t="s" s="8">
        <v>14</v>
      </c>
      <c r="Q9897" t="s" s="12">
        <v>14</v>
      </c>
      <c r="R9897" t="s" s="12">
        <v>14</v>
      </c>
    </row>
    <row r="9898" s="2" customFormat="1" ht="13.5" customHeight="1">
      <c r="B9898" s="13"/>
      <c r="C9898" t="s" s="9">
        <v>16</v>
      </c>
      <c r="D9898" t="s" s="8">
        <v>3702</v>
      </c>
      <c r="E9898" t="s" s="9">
        <v>3702</v>
      </c>
      <c r="F9898" s="19">
        <v>10</v>
      </c>
      <c r="G9898" t="s" s="11">
        <v>63</v>
      </c>
      <c r="H9898" s="19">
        <v>10</v>
      </c>
      <c r="I9898" t="s" s="11">
        <v>63</v>
      </c>
      <c r="J9898" t="s" s="11">
        <v>20</v>
      </c>
      <c r="K9898" t="s" s="16">
        <f>HYPERLINK("http://csr.bu.edu/ftp/asl/asllvd/demos/verify_start_end_handshape_annotations//test_auto_move//signs_mov/3159.mov","MOV")</f>
        <v>21</v>
      </c>
      <c r="L9898" t="s" s="16">
        <f>HYPERLINK("http://csr.bu.edu/ftp/asl/asllvd/demos/verify_start_end_handshape_annotations//test_auto_move//signs_mov_separ_signers/Liz_3159.mov","MOV")</f>
        <v>21</v>
      </c>
      <c r="M9898" t="s" s="10">
        <v>77</v>
      </c>
      <c r="N9898" s="17">
        <v>7</v>
      </c>
      <c r="O9898" s="18">
        <v>1290</v>
      </c>
      <c r="P9898" s="18">
        <v>1337</v>
      </c>
      <c r="Q9898" t="s" s="16">
        <f>HYPERLINK("http://secrets.rutgers.edu:8080/data/asl-ftp/asllvd/demos/verify_start_end_handshape_annotations//test_auto_move//signs_mov/3159.mov","MOV")</f>
        <v>21</v>
      </c>
      <c r="R9898" t="s" s="16">
        <f>HYPERLINK("http://secrets.rutgers.edu:8080/data/asl-ftp/asllvd/demos/verify_start_end_handshape_annotations//test_auto_move//signs_mov_separ_signers/Liz_3159.mov","MOV")</f>
        <v>21</v>
      </c>
    </row>
    <row r="9899" s="2" customFormat="1" ht="13.5" customHeight="1">
      <c r="B9899" t="s" s="8">
        <v>3703</v>
      </c>
      <c r="C9899" t="s" s="9">
        <v>14</v>
      </c>
      <c r="D9899" t="s" s="8">
        <v>14</v>
      </c>
      <c r="E9899" t="s" s="9">
        <v>14</v>
      </c>
      <c r="F9899" t="s" s="10">
        <v>14</v>
      </c>
      <c r="G9899" t="s" s="11">
        <v>14</v>
      </c>
      <c r="H9899" t="s" s="10">
        <v>14</v>
      </c>
      <c r="I9899" t="s" s="11">
        <v>14</v>
      </c>
      <c r="J9899" t="s" s="11">
        <v>14</v>
      </c>
      <c r="K9899" t="s" s="12">
        <v>14</v>
      </c>
      <c r="L9899" t="s" s="12">
        <v>14</v>
      </c>
      <c r="M9899" t="s" s="10">
        <v>14</v>
      </c>
      <c r="N9899" t="s" s="11">
        <v>14</v>
      </c>
      <c r="O9899" t="s" s="8">
        <v>14</v>
      </c>
      <c r="P9899" t="s" s="8">
        <v>14</v>
      </c>
      <c r="Q9899" t="s" s="12">
        <v>14</v>
      </c>
      <c r="R9899" t="s" s="12">
        <v>14</v>
      </c>
    </row>
    <row r="9900" s="2" customFormat="1" ht="13.5" customHeight="1">
      <c r="B9900" s="13"/>
      <c r="C9900" t="s" s="9">
        <v>16</v>
      </c>
      <c r="D9900" t="s" s="8">
        <v>3703</v>
      </c>
      <c r="E9900" t="s" s="9">
        <v>3703</v>
      </c>
      <c r="F9900" t="s" s="10">
        <v>119</v>
      </c>
      <c r="G9900" t="s" s="11">
        <v>55</v>
      </c>
      <c r="H9900" t="s" s="10">
        <v>119</v>
      </c>
      <c r="I9900" t="s" s="11">
        <v>55</v>
      </c>
      <c r="J9900" t="s" s="11">
        <v>20</v>
      </c>
      <c r="K9900" t="s" s="16">
        <f>HYPERLINK("http://csr.bu.edu/ftp/asl/asllvd/demos/verify_start_end_handshape_annotations//test_auto_move//signs_mov/3160.mov","MOV")</f>
        <v>21</v>
      </c>
      <c r="L9900" t="s" s="16">
        <f>HYPERLINK("http://csr.bu.edu/ftp/asl/asllvd/demos/verify_start_end_handshape_annotations//test_auto_move//signs_mov_separ_signers/Liz_3160.mov","MOV")</f>
        <v>21</v>
      </c>
      <c r="M9900" t="s" s="10">
        <v>59</v>
      </c>
      <c r="N9900" s="17">
        <v>4</v>
      </c>
      <c r="O9900" s="18">
        <v>852</v>
      </c>
      <c r="P9900" s="18">
        <v>890</v>
      </c>
      <c r="Q9900" t="s" s="16">
        <f>HYPERLINK("http://secrets.rutgers.edu:8080/data/asl-ftp/asllvd/demos/verify_start_end_handshape_annotations//test_auto_move//signs_mov/3160.mov","MOV")</f>
        <v>21</v>
      </c>
      <c r="R9900" t="s" s="16">
        <f>HYPERLINK("http://secrets.rutgers.edu:8080/data/asl-ftp/asllvd/demos/verify_start_end_handshape_annotations//test_auto_move//signs_mov_separ_signers/Liz_3160.mov","MOV")</f>
        <v>21</v>
      </c>
    </row>
    <row r="9901" s="2" customFormat="1" ht="13.5" customHeight="1">
      <c r="B9901" t="s" s="8">
        <v>3704</v>
      </c>
      <c r="C9901" t="s" s="9">
        <v>14</v>
      </c>
      <c r="D9901" t="s" s="8">
        <v>14</v>
      </c>
      <c r="E9901" t="s" s="9">
        <v>14</v>
      </c>
      <c r="F9901" t="s" s="10">
        <v>14</v>
      </c>
      <c r="G9901" t="s" s="11">
        <v>14</v>
      </c>
      <c r="H9901" t="s" s="10">
        <v>14</v>
      </c>
      <c r="I9901" t="s" s="11">
        <v>14</v>
      </c>
      <c r="J9901" t="s" s="11">
        <v>14</v>
      </c>
      <c r="K9901" t="s" s="12">
        <v>14</v>
      </c>
      <c r="L9901" t="s" s="12">
        <v>14</v>
      </c>
      <c r="M9901" t="s" s="10">
        <v>14</v>
      </c>
      <c r="N9901" t="s" s="11">
        <v>14</v>
      </c>
      <c r="O9901" t="s" s="8">
        <v>14</v>
      </c>
      <c r="P9901" t="s" s="8">
        <v>14</v>
      </c>
      <c r="Q9901" t="s" s="12">
        <v>14</v>
      </c>
      <c r="R9901" t="s" s="12">
        <v>14</v>
      </c>
    </row>
    <row r="9902" s="2" customFormat="1" ht="13.5" customHeight="1">
      <c r="B9902" s="13"/>
      <c r="C9902" t="s" s="9">
        <v>16</v>
      </c>
      <c r="D9902" t="s" s="8">
        <v>3704</v>
      </c>
      <c r="E9902" t="s" s="9">
        <v>3704</v>
      </c>
      <c r="F9902" s="19">
        <v>5</v>
      </c>
      <c r="G9902" s="17">
        <v>5</v>
      </c>
      <c r="H9902" t="s" s="10">
        <v>68</v>
      </c>
      <c r="I9902" t="s" s="11">
        <v>68</v>
      </c>
      <c r="J9902" t="s" s="11">
        <v>20</v>
      </c>
      <c r="K9902" s="15"/>
      <c r="L9902" t="s" s="16">
        <f>HYPERLINK("http://csr.bu.edu/ftp/asl/asllvd/demos/verify_start_end_handshape_annotations//test_auto_move//signs_mov_separ_signers/Liz_3163.mov","MOV")</f>
        <v>21</v>
      </c>
      <c r="M9902" t="s" s="10">
        <v>22</v>
      </c>
      <c r="N9902" s="17">
        <v>54</v>
      </c>
      <c r="O9902" s="18">
        <v>680</v>
      </c>
      <c r="P9902" s="18">
        <v>705</v>
      </c>
      <c r="Q9902" s="15"/>
      <c r="R9902" t="s" s="16">
        <f>HYPERLINK("http://secrets.rutgers.edu:8080/data/asl-ftp/asllvd/demos/verify_start_end_handshape_annotations//test_auto_move//signs_mov_separ_signers/Liz_3163.mov","MOV")</f>
        <v>21</v>
      </c>
    </row>
    <row r="9903" s="2" customFormat="1" ht="13.5" customHeight="1">
      <c r="B9903" s="13"/>
      <c r="C9903" t="s" s="9">
        <v>16</v>
      </c>
      <c r="D9903" t="s" s="8">
        <v>3704</v>
      </c>
      <c r="E9903" t="s" s="9">
        <v>3704</v>
      </c>
      <c r="F9903" s="19">
        <v>5</v>
      </c>
      <c r="G9903" s="17">
        <v>5</v>
      </c>
      <c r="H9903" t="s" s="10">
        <v>68</v>
      </c>
      <c r="I9903" t="s" s="11">
        <v>68</v>
      </c>
      <c r="J9903" t="s" s="11">
        <v>20</v>
      </c>
      <c r="K9903" s="15"/>
      <c r="L9903" t="s" s="16">
        <f>HYPERLINK("http://csr.bu.edu/ftp/asl/asllvd/demos/verify_start_end_handshape_annotations//test_auto_move//signs_mov_separ_signers/Liz_3460.mov","MOV")</f>
        <v>21</v>
      </c>
      <c r="M9903" t="s" s="10">
        <v>36</v>
      </c>
      <c r="N9903" s="17">
        <v>7</v>
      </c>
      <c r="O9903" s="18">
        <v>1835</v>
      </c>
      <c r="P9903" s="18">
        <v>1901</v>
      </c>
      <c r="Q9903" s="15"/>
      <c r="R9903" t="s" s="16">
        <f>HYPERLINK("http://secrets.rutgers.edu:8080/data/asl-ftp/asllvd/demos/verify_start_end_handshape_annotations//test_auto_move//signs_mov_separ_signers/Liz_3460.mov","MOV")</f>
        <v>21</v>
      </c>
    </row>
    <row r="9904" s="2" customFormat="1" ht="13.5" customHeight="1">
      <c r="B9904" s="13"/>
      <c r="C9904" t="s" s="9">
        <v>16</v>
      </c>
      <c r="D9904" t="s" s="8">
        <v>3704</v>
      </c>
      <c r="E9904" t="s" s="9">
        <v>3704</v>
      </c>
      <c r="F9904" s="19">
        <v>5</v>
      </c>
      <c r="G9904" s="17">
        <v>5</v>
      </c>
      <c r="H9904" t="s" s="10">
        <v>68</v>
      </c>
      <c r="I9904" t="s" s="11">
        <v>68</v>
      </c>
      <c r="J9904" t="s" s="11">
        <v>20</v>
      </c>
      <c r="K9904" s="15"/>
      <c r="L9904" t="s" s="16">
        <f>HYPERLINK("http://csr.bu.edu/ftp/asl/asllvd/demos/verify_start_end_handshape_annotations//test_auto_move//signs_mov_separ_signers/Liz_3465.mov","MOV")</f>
        <v>21</v>
      </c>
      <c r="M9904" t="s" s="10">
        <v>59</v>
      </c>
      <c r="N9904" s="17">
        <v>38</v>
      </c>
      <c r="O9904" s="18">
        <v>2275</v>
      </c>
      <c r="P9904" s="18">
        <v>2325</v>
      </c>
      <c r="Q9904" s="15"/>
      <c r="R9904" t="s" s="16">
        <f>HYPERLINK("http://secrets.rutgers.edu:8080/data/asl-ftp/asllvd/demos/verify_start_end_handshape_annotations//test_auto_move//signs_mov_separ_signers/Liz_3465.mov","MOV")</f>
        <v>21</v>
      </c>
    </row>
    <row r="9905" s="2" customFormat="1" ht="13.5" customHeight="1">
      <c r="B9905" s="13"/>
      <c r="C9905" t="s" s="9">
        <v>23</v>
      </c>
      <c r="D9905" t="s" s="8">
        <v>3704</v>
      </c>
      <c r="E9905" t="s" s="9">
        <v>3704</v>
      </c>
      <c r="F9905" t="s" s="10">
        <v>72</v>
      </c>
      <c r="G9905" t="s" s="11">
        <v>72</v>
      </c>
      <c r="H9905" t="s" s="10">
        <v>68</v>
      </c>
      <c r="I9905" t="s" s="11">
        <v>68</v>
      </c>
      <c r="J9905" t="s" s="11">
        <v>20</v>
      </c>
      <c r="K9905" t="s" s="16">
        <f>HYPERLINK("http://csr.bu.edu/ftp/asl/asllvd/demos/verify_start_end_handshape_annotations//test_auto_move//signs_mov/3163_3460_3465_merged.mov","MOV")</f>
        <v>21</v>
      </c>
      <c r="L9905" t="s" s="16">
        <f>HYPERLINK("http://csr.bu.edu/ftp/asl/asllvd/demos/verify_start_end_handshape_annotations//test_auto_move//signs_mov_separ_signers/Tyler_3163.mov","MOV")</f>
        <v>21</v>
      </c>
      <c r="M9905" t="s" s="10">
        <v>26</v>
      </c>
      <c r="N9905" s="17">
        <v>33</v>
      </c>
      <c r="O9905" s="18">
        <v>2636</v>
      </c>
      <c r="P9905" s="18">
        <v>2665</v>
      </c>
      <c r="Q9905" t="s" s="16">
        <f>HYPERLINK("http://secrets.rutgers.edu:8080/data/asl-ftp/asllvd/demos/verify_start_end_handshape_annotations//test_auto_move//signs_mov/3163_3460_3465_merged.mov","MOV")</f>
        <v>21</v>
      </c>
      <c r="R9905" t="s" s="16">
        <f>HYPERLINK("http://secrets.rutgers.edu:8080/data/asl-ftp/asllvd/demos/verify_start_end_handshape_annotations//test_auto_move//signs_mov_separ_signers/Tyler_3163.mov","MOV")</f>
        <v>21</v>
      </c>
    </row>
    <row r="9906" s="2" customFormat="1" ht="13.5" customHeight="1">
      <c r="B9906" s="13"/>
      <c r="C9906" t="s" s="9">
        <v>23</v>
      </c>
      <c r="D9906" t="s" s="8">
        <v>3704</v>
      </c>
      <c r="E9906" t="s" s="9">
        <v>3704</v>
      </c>
      <c r="F9906" t="s" s="10">
        <v>72</v>
      </c>
      <c r="G9906" t="s" s="11">
        <v>72</v>
      </c>
      <c r="H9906" t="s" s="10">
        <v>68</v>
      </c>
      <c r="I9906" t="s" s="11">
        <v>68</v>
      </c>
      <c r="J9906" t="s" s="11">
        <v>20</v>
      </c>
      <c r="K9906" s="15"/>
      <c r="L9906" t="s" s="16">
        <f>HYPERLINK("http://csr.bu.edu/ftp/asl/asllvd/demos/verify_start_end_handshape_annotations//test_auto_move//signs_mov_separ_signers/Tyler_3460.mov","MOV")</f>
        <v>21</v>
      </c>
      <c r="M9906" t="s" s="10">
        <v>125</v>
      </c>
      <c r="N9906" s="17">
        <v>10</v>
      </c>
      <c r="O9906" s="18">
        <v>895</v>
      </c>
      <c r="P9906" s="18">
        <v>922</v>
      </c>
      <c r="Q9906" s="15"/>
      <c r="R9906" t="s" s="16">
        <f>HYPERLINK("http://secrets.rutgers.edu:8080/data/asl-ftp/asllvd/demos/verify_start_end_handshape_annotations//test_auto_move//signs_mov_separ_signers/Tyler_3460.mov","MOV")</f>
        <v>21</v>
      </c>
    </row>
    <row r="9907" s="2" customFormat="1" ht="13.5" customHeight="1">
      <c r="B9907" s="13"/>
      <c r="C9907" t="s" s="9">
        <v>27</v>
      </c>
      <c r="D9907" t="s" s="8">
        <v>3704</v>
      </c>
      <c r="E9907" t="s" s="9">
        <v>3704</v>
      </c>
      <c r="F9907" t="s" s="10">
        <v>72</v>
      </c>
      <c r="G9907" t="s" s="11">
        <v>72</v>
      </c>
      <c r="H9907" t="s" s="10">
        <v>68</v>
      </c>
      <c r="I9907" t="s" s="11">
        <v>68</v>
      </c>
      <c r="J9907" t="s" s="11">
        <v>20</v>
      </c>
      <c r="K9907" s="15"/>
      <c r="L9907" t="s" s="16">
        <f>HYPERLINK("http://csr.bu.edu/ftp/asl/asllvd/demos/verify_start_end_handshape_annotations//test_auto_move//signs_mov_separ_signers/Naomi_3163.mov","MOV")</f>
        <v>21</v>
      </c>
      <c r="M9907" t="s" s="10">
        <v>29</v>
      </c>
      <c r="N9907" s="17">
        <v>34</v>
      </c>
      <c r="O9907" s="18">
        <v>2968</v>
      </c>
      <c r="P9907" s="18">
        <v>3000</v>
      </c>
      <c r="Q9907" s="15"/>
      <c r="R9907" t="s" s="16">
        <f>HYPERLINK("http://secrets.rutgers.edu:8080/data/asl-ftp/asllvd/demos/verify_start_end_handshape_annotations//test_auto_move//signs_mov_separ_signers/Naomi_3163.mov","MOV")</f>
        <v>21</v>
      </c>
    </row>
    <row r="9908" s="2" customFormat="1" ht="13.5" customHeight="1">
      <c r="B9908" s="13"/>
      <c r="C9908" t="s" s="9">
        <v>30</v>
      </c>
      <c r="D9908" t="s" s="8">
        <v>3704</v>
      </c>
      <c r="E9908" t="s" s="9">
        <v>3704</v>
      </c>
      <c r="F9908" s="19">
        <v>5</v>
      </c>
      <c r="G9908" s="17">
        <v>5</v>
      </c>
      <c r="H9908" t="s" s="10">
        <v>68</v>
      </c>
      <c r="I9908" t="s" s="11">
        <v>68</v>
      </c>
      <c r="J9908" t="s" s="11">
        <v>20</v>
      </c>
      <c r="K9908" s="15"/>
      <c r="L9908" t="s" s="16">
        <f>HYPERLINK("http://csr.bu.edu/ftp/asl/asllvd/demos/verify_start_end_handshape_annotations//test_auto_move//signs_mov_separ_signers/Brady_3163.mov","MOV")</f>
        <v>21</v>
      </c>
      <c r="M9908" t="s" s="10">
        <v>31</v>
      </c>
      <c r="N9908" s="17">
        <v>23</v>
      </c>
      <c r="O9908" s="18">
        <v>5099</v>
      </c>
      <c r="P9908" s="18">
        <v>5123</v>
      </c>
      <c r="Q9908" s="15"/>
      <c r="R9908" t="s" s="16">
        <f>HYPERLINK("http://secrets.rutgers.edu:8080/data/asl-ftp/asllvd/demos/verify_start_end_handshape_annotations//test_auto_move//signs_mov_separ_signers/Brady_3163.mov","MOV")</f>
        <v>21</v>
      </c>
    </row>
    <row r="9909" s="2" customFormat="1" ht="13.5" customHeight="1">
      <c r="B9909" s="13"/>
      <c r="C9909" t="s" s="9">
        <v>30</v>
      </c>
      <c r="D9909" t="s" s="8">
        <v>3704</v>
      </c>
      <c r="E9909" t="s" s="9">
        <v>3704</v>
      </c>
      <c r="F9909" t="s" s="10">
        <v>72</v>
      </c>
      <c r="G9909" t="s" s="11">
        <v>72</v>
      </c>
      <c r="H9909" t="s" s="10">
        <v>68</v>
      </c>
      <c r="I9909" t="s" s="11">
        <v>68</v>
      </c>
      <c r="J9909" t="s" s="11">
        <v>20</v>
      </c>
      <c r="K9909" s="15"/>
      <c r="L9909" t="s" s="16">
        <f>HYPERLINK("http://csr.bu.edu/ftp/asl/asllvd/demos/verify_start_end_handshape_annotations//test_auto_move//signs_mov_separ_signers/Brady_3460.mov","MOV")</f>
        <v>21</v>
      </c>
      <c r="M9909" t="s" s="10">
        <v>60</v>
      </c>
      <c r="N9909" s="17">
        <v>57</v>
      </c>
      <c r="O9909" s="18">
        <v>2584</v>
      </c>
      <c r="P9909" s="18">
        <v>2604</v>
      </c>
      <c r="Q9909" s="15"/>
      <c r="R9909" t="s" s="16">
        <f>HYPERLINK("http://secrets.rutgers.edu:8080/data/asl-ftp/asllvd/demos/verify_start_end_handshape_annotations//test_auto_move//signs_mov_separ_signers/Brady_3460.mov","MOV")</f>
        <v>21</v>
      </c>
    </row>
    <row r="9910" s="2" customFormat="1" ht="13.5" customHeight="1">
      <c r="B9910" t="s" s="8">
        <v>3705</v>
      </c>
      <c r="C9910" t="s" s="9">
        <v>14</v>
      </c>
      <c r="D9910" t="s" s="8">
        <v>14</v>
      </c>
      <c r="E9910" t="s" s="9">
        <v>14</v>
      </c>
      <c r="F9910" t="s" s="10">
        <v>14</v>
      </c>
      <c r="G9910" t="s" s="11">
        <v>14</v>
      </c>
      <c r="H9910" t="s" s="10">
        <v>14</v>
      </c>
      <c r="I9910" t="s" s="11">
        <v>14</v>
      </c>
      <c r="J9910" t="s" s="11">
        <v>14</v>
      </c>
      <c r="K9910" t="s" s="12">
        <v>14</v>
      </c>
      <c r="L9910" t="s" s="12">
        <v>14</v>
      </c>
      <c r="M9910" t="s" s="10">
        <v>14</v>
      </c>
      <c r="N9910" t="s" s="11">
        <v>14</v>
      </c>
      <c r="O9910" t="s" s="8">
        <v>14</v>
      </c>
      <c r="P9910" t="s" s="8">
        <v>14</v>
      </c>
      <c r="Q9910" t="s" s="12">
        <v>14</v>
      </c>
      <c r="R9910" t="s" s="12">
        <v>14</v>
      </c>
    </row>
    <row r="9911" s="2" customFormat="1" ht="13.5" customHeight="1">
      <c r="B9911" s="13"/>
      <c r="C9911" t="s" s="9">
        <v>16</v>
      </c>
      <c r="D9911" t="s" s="8">
        <v>3705</v>
      </c>
      <c r="E9911" t="s" s="9">
        <v>3705</v>
      </c>
      <c r="F9911" t="s" s="10">
        <v>68</v>
      </c>
      <c r="G9911" t="s" s="11">
        <v>68</v>
      </c>
      <c r="H9911" t="s" s="10">
        <v>68</v>
      </c>
      <c r="I9911" t="s" s="11">
        <v>68</v>
      </c>
      <c r="J9911" t="s" s="11">
        <v>20</v>
      </c>
      <c r="K9911" s="15"/>
      <c r="L9911" t="s" s="16">
        <f>HYPERLINK("http://csr.bu.edu/ftp/asl/asllvd/demos/verify_start_end_handshape_annotations//test_auto_move//signs_mov_separ_signers/Liz_15367.mov","MOV")</f>
        <v>21</v>
      </c>
      <c r="M9911" t="s" s="10">
        <v>36</v>
      </c>
      <c r="N9911" s="17">
        <v>50</v>
      </c>
      <c r="O9911" s="18">
        <v>455</v>
      </c>
      <c r="P9911" s="18">
        <v>490</v>
      </c>
      <c r="Q9911" s="15"/>
      <c r="R9911" t="s" s="16">
        <f>HYPERLINK("http://secrets.rutgers.edu:8080/data/asl-ftp/asllvd/demos/verify_start_end_handshape_annotations//test_auto_move//signs_mov_separ_signers/Liz_15367.mov","MOV")</f>
        <v>21</v>
      </c>
    </row>
    <row r="9912" s="2" customFormat="1" ht="13.5" customHeight="1">
      <c r="B9912" s="13"/>
      <c r="C9912" t="s" s="9">
        <v>16</v>
      </c>
      <c r="D9912" t="s" s="8">
        <v>3705</v>
      </c>
      <c r="E9912" t="s" s="9">
        <v>3705</v>
      </c>
      <c r="F9912" t="s" s="10">
        <v>68</v>
      </c>
      <c r="G9912" t="s" s="11">
        <v>68</v>
      </c>
      <c r="H9912" t="s" s="10">
        <v>68</v>
      </c>
      <c r="I9912" t="s" s="11">
        <v>68</v>
      </c>
      <c r="J9912" t="s" s="11">
        <v>20</v>
      </c>
      <c r="K9912" s="15"/>
      <c r="L9912" t="s" s="16">
        <f>HYPERLINK("http://csr.bu.edu/ftp/asl/asllvd/demos/verify_start_end_handshape_annotations//test_auto_move//signs_mov_separ_signers/Liz_15376.mov","MOV")</f>
        <v>21</v>
      </c>
      <c r="M9912" t="s" s="10">
        <v>36</v>
      </c>
      <c r="N9912" s="17">
        <v>50</v>
      </c>
      <c r="O9912" s="18">
        <v>661</v>
      </c>
      <c r="P9912" s="18">
        <v>697</v>
      </c>
      <c r="Q9912" s="15"/>
      <c r="R9912" t="s" s="16">
        <f>HYPERLINK("http://secrets.rutgers.edu:8080/data/asl-ftp/asllvd/demos/verify_start_end_handshape_annotations//test_auto_move//signs_mov_separ_signers/Liz_15376.mov","MOV")</f>
        <v>21</v>
      </c>
    </row>
    <row r="9913" s="2" customFormat="1" ht="13.5" customHeight="1">
      <c r="B9913" s="13"/>
      <c r="C9913" t="s" s="9">
        <v>30</v>
      </c>
      <c r="D9913" t="s" s="8">
        <v>3705</v>
      </c>
      <c r="E9913" t="s" s="9">
        <v>3705</v>
      </c>
      <c r="F9913" t="s" s="10">
        <v>68</v>
      </c>
      <c r="G9913" t="s" s="11">
        <v>68</v>
      </c>
      <c r="H9913" t="s" s="10">
        <v>68</v>
      </c>
      <c r="I9913" t="s" s="11">
        <v>68</v>
      </c>
      <c r="J9913" t="s" s="11">
        <v>20</v>
      </c>
      <c r="K9913" t="s" s="16">
        <f>HYPERLINK("http://csr.bu.edu/ftp/asl/asllvd/demos/verify_start_end_handshape_annotations//test_auto_move//signs_mov/15367_15376_15406_merged.mov","MOV")</f>
        <v>21</v>
      </c>
      <c r="L9913" t="s" s="16">
        <f>HYPERLINK("http://csr.bu.edu/ftp/asl/asllvd/demos/verify_start_end_handshape_annotations//test_auto_move//signs_mov_separ_signers/Brady_15367.mov","MOV")</f>
        <v>21</v>
      </c>
      <c r="M9913" t="s" s="10">
        <v>40</v>
      </c>
      <c r="N9913" s="17">
        <v>101</v>
      </c>
      <c r="O9913" s="18">
        <v>1541</v>
      </c>
      <c r="P9913" s="18">
        <v>1556</v>
      </c>
      <c r="Q9913" t="s" s="16">
        <f>HYPERLINK("http://secrets.rutgers.edu:8080/data/asl-ftp/asllvd/demos/verify_start_end_handshape_annotations//test_auto_move//signs_mov/15367_15376_15406_merged.mov","MOV")</f>
        <v>21</v>
      </c>
      <c r="R9913" t="s" s="16">
        <f>HYPERLINK("http://secrets.rutgers.edu:8080/data/asl-ftp/asllvd/demos/verify_start_end_handshape_annotations//test_auto_move//signs_mov_separ_signers/Brady_15367.mov","MOV")</f>
        <v>21</v>
      </c>
    </row>
    <row r="9914" s="2" customFormat="1" ht="13.5" customHeight="1">
      <c r="B9914" s="13"/>
      <c r="C9914" t="s" s="9">
        <v>30</v>
      </c>
      <c r="D9914" t="s" s="8">
        <v>3705</v>
      </c>
      <c r="E9914" t="s" s="9">
        <v>3705</v>
      </c>
      <c r="F9914" t="s" s="10">
        <v>68</v>
      </c>
      <c r="G9914" t="s" s="11">
        <v>68</v>
      </c>
      <c r="H9914" t="s" s="10">
        <v>68</v>
      </c>
      <c r="I9914" t="s" s="11">
        <v>68</v>
      </c>
      <c r="J9914" t="s" s="11">
        <v>20</v>
      </c>
      <c r="K9914" s="15"/>
      <c r="L9914" t="s" s="16">
        <f>HYPERLINK("http://csr.bu.edu/ftp/asl/asllvd/demos/verify_start_end_handshape_annotations//test_auto_move//signs_mov_separ_signers/Brady_15376.mov","MOV")</f>
        <v>21</v>
      </c>
      <c r="M9914" t="s" s="10">
        <v>40</v>
      </c>
      <c r="N9914" s="17">
        <v>101</v>
      </c>
      <c r="O9914" s="18">
        <v>1771</v>
      </c>
      <c r="P9914" s="18">
        <v>1790</v>
      </c>
      <c r="Q9914" s="15"/>
      <c r="R9914" t="s" s="16">
        <f>HYPERLINK("http://secrets.rutgers.edu:8080/data/asl-ftp/asllvd/demos/verify_start_end_handshape_annotations//test_auto_move//signs_mov_separ_signers/Brady_15376.mov","MOV")</f>
        <v>21</v>
      </c>
    </row>
    <row r="9915" s="2" customFormat="1" ht="13.5" customHeight="1">
      <c r="B9915" s="13"/>
      <c r="C9915" t="s" s="9">
        <v>30</v>
      </c>
      <c r="D9915" t="s" s="8">
        <v>3705</v>
      </c>
      <c r="E9915" t="s" s="9">
        <v>3705</v>
      </c>
      <c r="F9915" t="s" s="10">
        <v>68</v>
      </c>
      <c r="G9915" t="s" s="11">
        <v>68</v>
      </c>
      <c r="H9915" t="s" s="10">
        <v>68</v>
      </c>
      <c r="I9915" t="s" s="11">
        <v>68</v>
      </c>
      <c r="J9915" t="s" s="11">
        <v>20</v>
      </c>
      <c r="K9915" s="15"/>
      <c r="L9915" t="s" s="16">
        <f>HYPERLINK("http://csr.bu.edu/ftp/asl/asllvd/demos/verify_start_end_handshape_annotations//test_auto_move//signs_mov_separ_signers/Brady_15406.mov","MOV")</f>
        <v>21</v>
      </c>
      <c r="M9915" t="s" s="10">
        <v>60</v>
      </c>
      <c r="N9915" s="17">
        <v>54</v>
      </c>
      <c r="O9915" s="18">
        <v>1895</v>
      </c>
      <c r="P9915" s="18">
        <v>1920</v>
      </c>
      <c r="Q9915" s="15"/>
      <c r="R9915" t="s" s="16">
        <f>HYPERLINK("http://secrets.rutgers.edu:8080/data/asl-ftp/asllvd/demos/verify_start_end_handshape_annotations//test_auto_move//signs_mov_separ_signers/Brady_15406.mov","MOV")</f>
        <v>21</v>
      </c>
    </row>
    <row r="9916" s="2" customFormat="1" ht="13.5" customHeight="1">
      <c r="B9916" t="s" s="8">
        <v>3706</v>
      </c>
      <c r="C9916" t="s" s="9">
        <v>14</v>
      </c>
      <c r="D9916" t="s" s="8">
        <v>14</v>
      </c>
      <c r="E9916" t="s" s="9">
        <v>14</v>
      </c>
      <c r="F9916" t="s" s="10">
        <v>14</v>
      </c>
      <c r="G9916" t="s" s="11">
        <v>14</v>
      </c>
      <c r="H9916" t="s" s="10">
        <v>14</v>
      </c>
      <c r="I9916" t="s" s="11">
        <v>14</v>
      </c>
      <c r="J9916" t="s" s="11">
        <v>14</v>
      </c>
      <c r="K9916" t="s" s="12">
        <v>14</v>
      </c>
      <c r="L9916" t="s" s="12">
        <v>14</v>
      </c>
      <c r="M9916" t="s" s="10">
        <v>14</v>
      </c>
      <c r="N9916" t="s" s="11">
        <v>14</v>
      </c>
      <c r="O9916" t="s" s="8">
        <v>14</v>
      </c>
      <c r="P9916" t="s" s="8">
        <v>14</v>
      </c>
      <c r="Q9916" t="s" s="12">
        <v>14</v>
      </c>
      <c r="R9916" t="s" s="12">
        <v>14</v>
      </c>
    </row>
    <row r="9917" s="2" customFormat="1" ht="13.5" customHeight="1">
      <c r="B9917" s="13"/>
      <c r="C9917" t="s" s="9">
        <v>16</v>
      </c>
      <c r="D9917" t="s" s="8">
        <v>3706</v>
      </c>
      <c r="E9917" t="s" s="9">
        <v>3706</v>
      </c>
      <c r="F9917" t="s" s="10">
        <v>55</v>
      </c>
      <c r="G9917" t="s" s="11">
        <v>55</v>
      </c>
      <c r="H9917" t="s" s="10">
        <v>55</v>
      </c>
      <c r="I9917" t="s" s="11">
        <v>55</v>
      </c>
      <c r="J9917" t="s" s="11">
        <v>20</v>
      </c>
      <c r="K9917" s="15"/>
      <c r="L9917" t="s" s="16">
        <f>HYPERLINK("http://csr.bu.edu/ftp/asl/asllvd/demos/verify_start_end_handshape_annotations//test_auto_move//signs_mov_separ_signers/Liz_3168.mov","MOV")</f>
        <v>21</v>
      </c>
      <c r="M9917" t="s" s="10">
        <v>59</v>
      </c>
      <c r="N9917" s="17">
        <v>34</v>
      </c>
      <c r="O9917" s="18">
        <v>2640</v>
      </c>
      <c r="P9917" s="18">
        <v>2675</v>
      </c>
      <c r="Q9917" s="15"/>
      <c r="R9917" t="s" s="16">
        <f>HYPERLINK("http://secrets.rutgers.edu:8080/data/asl-ftp/asllvd/demos/verify_start_end_handshape_annotations//test_auto_move//signs_mov_separ_signers/Liz_3168.mov","MOV")</f>
        <v>21</v>
      </c>
    </row>
    <row r="9918" s="2" customFormat="1" ht="13.5" customHeight="1">
      <c r="B9918" s="13"/>
      <c r="C9918" t="s" s="9">
        <v>30</v>
      </c>
      <c r="D9918" t="s" s="8">
        <v>3706</v>
      </c>
      <c r="E9918" t="s" s="9">
        <v>3706</v>
      </c>
      <c r="F9918" t="s" s="10">
        <v>55</v>
      </c>
      <c r="G9918" t="s" s="11">
        <v>55</v>
      </c>
      <c r="H9918" t="s" s="10">
        <v>55</v>
      </c>
      <c r="I9918" t="s" s="11">
        <v>55</v>
      </c>
      <c r="J9918" t="s" s="11">
        <v>20</v>
      </c>
      <c r="K9918" t="s" s="16">
        <f>HYPERLINK("http://csr.bu.edu/ftp/asl/asllvd/demos/verify_start_end_handshape_annotations//test_auto_move//signs_mov/3168_5765_merged.mov","MOV")</f>
        <v>21</v>
      </c>
      <c r="L9918" t="s" s="16">
        <f>HYPERLINK("http://csr.bu.edu/ftp/asl/asllvd/demos/verify_start_end_handshape_annotations//test_auto_move//signs_mov_separ_signers/Brady_3168.mov","MOV")</f>
        <v>21</v>
      </c>
      <c r="M9918" t="s" s="10">
        <v>60</v>
      </c>
      <c r="N9918" s="17">
        <v>23</v>
      </c>
      <c r="O9918" s="18">
        <v>219</v>
      </c>
      <c r="P9918" s="18">
        <v>245</v>
      </c>
      <c r="Q9918" t="s" s="16">
        <f>HYPERLINK("http://secrets.rutgers.edu:8080/data/asl-ftp/asllvd/demos/verify_start_end_handshape_annotations//test_auto_move//signs_mov/3168_5765_merged.mov","MOV")</f>
        <v>21</v>
      </c>
      <c r="R9918" t="s" s="16">
        <f>HYPERLINK("http://secrets.rutgers.edu:8080/data/asl-ftp/asllvd/demos/verify_start_end_handshape_annotations//test_auto_move//signs_mov_separ_signers/Brady_3168.mov","MOV")</f>
        <v>21</v>
      </c>
    </row>
    <row r="9919" s="2" customFormat="1" ht="13.5" customHeight="1">
      <c r="B9919" s="13"/>
      <c r="C9919" t="s" s="9">
        <v>30</v>
      </c>
      <c r="D9919" t="s" s="8">
        <v>3706</v>
      </c>
      <c r="E9919" t="s" s="9">
        <v>3706</v>
      </c>
      <c r="F9919" t="s" s="10">
        <v>55</v>
      </c>
      <c r="G9919" t="s" s="11">
        <v>55</v>
      </c>
      <c r="H9919" t="s" s="10">
        <v>55</v>
      </c>
      <c r="I9919" t="s" s="11">
        <v>55</v>
      </c>
      <c r="J9919" t="s" s="11">
        <v>20</v>
      </c>
      <c r="K9919" s="15"/>
      <c r="L9919" t="s" s="16">
        <f>HYPERLINK("http://csr.bu.edu/ftp/asl/asllvd/demos/verify_start_end_handshape_annotations//test_auto_move//signs_mov_separ_signers/Brady_5765.mov","MOV")</f>
        <v>21</v>
      </c>
      <c r="M9919" t="s" s="10">
        <v>60</v>
      </c>
      <c r="N9919" s="17">
        <v>57</v>
      </c>
      <c r="O9919" s="18">
        <v>1557</v>
      </c>
      <c r="P9919" s="18">
        <v>1586</v>
      </c>
      <c r="Q9919" s="15"/>
      <c r="R9919" t="s" s="16">
        <f>HYPERLINK("http://secrets.rutgers.edu:8080/data/asl-ftp/asllvd/demos/verify_start_end_handshape_annotations//test_auto_move//signs_mov_separ_signers/Brady_5765.mov","MOV")</f>
        <v>21</v>
      </c>
    </row>
    <row r="9920" s="2" customFormat="1" ht="13.5" customHeight="1">
      <c r="B9920" t="s" s="8">
        <v>3707</v>
      </c>
      <c r="C9920" t="s" s="9">
        <v>14</v>
      </c>
      <c r="D9920" t="s" s="8">
        <v>14</v>
      </c>
      <c r="E9920" t="s" s="9">
        <v>14</v>
      </c>
      <c r="F9920" t="s" s="10">
        <v>14</v>
      </c>
      <c r="G9920" t="s" s="11">
        <v>14</v>
      </c>
      <c r="H9920" t="s" s="10">
        <v>14</v>
      </c>
      <c r="I9920" t="s" s="11">
        <v>14</v>
      </c>
      <c r="J9920" t="s" s="11">
        <v>14</v>
      </c>
      <c r="K9920" t="s" s="12">
        <v>14</v>
      </c>
      <c r="L9920" t="s" s="12">
        <v>14</v>
      </c>
      <c r="M9920" t="s" s="10">
        <v>14</v>
      </c>
      <c r="N9920" t="s" s="11">
        <v>14</v>
      </c>
      <c r="O9920" t="s" s="8">
        <v>14</v>
      </c>
      <c r="P9920" t="s" s="8">
        <v>14</v>
      </c>
      <c r="Q9920" t="s" s="12">
        <v>14</v>
      </c>
      <c r="R9920" t="s" s="12">
        <v>14</v>
      </c>
    </row>
    <row r="9921" s="2" customFormat="1" ht="13.5" customHeight="1">
      <c r="B9921" s="13"/>
      <c r="C9921" t="s" s="9">
        <v>16</v>
      </c>
      <c r="D9921" t="s" s="8">
        <v>3707</v>
      </c>
      <c r="E9921" t="s" s="9">
        <v>3708</v>
      </c>
      <c r="F9921" t="s" s="10">
        <v>72</v>
      </c>
      <c r="G9921" t="s" s="11">
        <v>72</v>
      </c>
      <c r="H9921" t="s" s="10">
        <v>72</v>
      </c>
      <c r="I9921" t="s" s="11">
        <v>72</v>
      </c>
      <c r="J9921" t="s" s="11">
        <v>20</v>
      </c>
      <c r="K9921" s="15"/>
      <c r="L9921" t="s" s="16">
        <f>HYPERLINK("http://csr.bu.edu/ftp/asl/asllvd/demos/verify_start_end_handshape_annotations//test_auto_move//signs_mov_separ_signers/Liz_3169.mov","MOV")</f>
        <v>21</v>
      </c>
      <c r="M9921" t="s" s="10">
        <v>59</v>
      </c>
      <c r="N9921" s="17">
        <v>36</v>
      </c>
      <c r="O9921" s="18">
        <v>295</v>
      </c>
      <c r="P9921" s="18">
        <v>355</v>
      </c>
      <c r="Q9921" s="15"/>
      <c r="R9921" t="s" s="16">
        <f>HYPERLINK("http://secrets.rutgers.edu:8080/data/asl-ftp/asllvd/demos/verify_start_end_handshape_annotations//test_auto_move//signs_mov_separ_signers/Liz_3169.mov","MOV")</f>
        <v>21</v>
      </c>
    </row>
    <row r="9922" s="2" customFormat="1" ht="13.5" customHeight="1">
      <c r="B9922" s="13"/>
      <c r="C9922" t="s" s="9">
        <v>30</v>
      </c>
      <c r="D9922" t="s" s="8">
        <v>3707</v>
      </c>
      <c r="E9922" t="s" s="9">
        <v>3708</v>
      </c>
      <c r="F9922" t="s" s="10">
        <v>72</v>
      </c>
      <c r="G9922" t="s" s="11">
        <v>72</v>
      </c>
      <c r="H9922" t="s" s="10">
        <v>72</v>
      </c>
      <c r="I9922" t="s" s="11">
        <v>72</v>
      </c>
      <c r="J9922" t="s" s="11">
        <v>20</v>
      </c>
      <c r="K9922" t="s" s="16">
        <f>HYPERLINK("http://csr.bu.edu/ftp/asl/asllvd/demos/verify_start_end_handshape_annotations//test_auto_move//signs_mov/3169_5835_merged.mov","MOV")</f>
        <v>21</v>
      </c>
      <c r="L9922" t="s" s="16">
        <f>HYPERLINK("http://csr.bu.edu/ftp/asl/asllvd/demos/verify_start_end_handshape_annotations//test_auto_move//signs_mov_separ_signers/Brady_3169.mov","MOV")</f>
        <v>21</v>
      </c>
      <c r="M9922" t="s" s="10">
        <v>60</v>
      </c>
      <c r="N9922" s="17">
        <v>24</v>
      </c>
      <c r="O9922" s="18">
        <v>619</v>
      </c>
      <c r="P9922" s="18">
        <v>663</v>
      </c>
      <c r="Q9922" t="s" s="16">
        <f>HYPERLINK("http://secrets.rutgers.edu:8080/data/asl-ftp/asllvd/demos/verify_start_end_handshape_annotations//test_auto_move//signs_mov/3169_5835_merged.mov","MOV")</f>
        <v>21</v>
      </c>
      <c r="R9922" t="s" s="16">
        <f>HYPERLINK("http://secrets.rutgers.edu:8080/data/asl-ftp/asllvd/demos/verify_start_end_handshape_annotations//test_auto_move//signs_mov_separ_signers/Brady_3169.mov","MOV")</f>
        <v>21</v>
      </c>
    </row>
    <row r="9923" s="2" customFormat="1" ht="13.5" customHeight="1">
      <c r="B9923" s="13"/>
      <c r="C9923" t="s" s="9">
        <v>30</v>
      </c>
      <c r="D9923" t="s" s="8">
        <v>3707</v>
      </c>
      <c r="E9923" t="s" s="9">
        <v>3709</v>
      </c>
      <c r="F9923" t="s" s="10">
        <v>72</v>
      </c>
      <c r="G9923" t="s" s="11">
        <v>72</v>
      </c>
      <c r="H9923" t="s" s="10">
        <v>72</v>
      </c>
      <c r="I9923" t="s" s="11">
        <v>72</v>
      </c>
      <c r="J9923" t="s" s="11">
        <v>20</v>
      </c>
      <c r="K9923" s="15"/>
      <c r="L9923" t="s" s="16">
        <f>HYPERLINK("http://csr.bu.edu/ftp/asl/asllvd/demos/verify_start_end_handshape_annotations//test_auto_move//signs_mov_separ_signers/Brady_5835.mov","MOV")</f>
        <v>21</v>
      </c>
      <c r="M9923" t="s" s="10">
        <v>60</v>
      </c>
      <c r="N9923" s="17">
        <v>57</v>
      </c>
      <c r="O9923" s="18">
        <v>1775</v>
      </c>
      <c r="P9923" s="18">
        <v>1825</v>
      </c>
      <c r="Q9923" s="15"/>
      <c r="R9923" t="s" s="16">
        <f>HYPERLINK("http://secrets.rutgers.edu:8080/data/asl-ftp/asllvd/demos/verify_start_end_handshape_annotations//test_auto_move//signs_mov_separ_signers/Brady_5835.mov","MOV")</f>
        <v>21</v>
      </c>
    </row>
    <row r="9924" s="2" customFormat="1" ht="13.5" customHeight="1">
      <c r="B9924" t="s" s="8">
        <v>3710</v>
      </c>
      <c r="C9924" t="s" s="9">
        <v>14</v>
      </c>
      <c r="D9924" t="s" s="8">
        <v>14</v>
      </c>
      <c r="E9924" t="s" s="9">
        <v>14</v>
      </c>
      <c r="F9924" t="s" s="10">
        <v>14</v>
      </c>
      <c r="G9924" t="s" s="11">
        <v>14</v>
      </c>
      <c r="H9924" t="s" s="10">
        <v>14</v>
      </c>
      <c r="I9924" t="s" s="11">
        <v>14</v>
      </c>
      <c r="J9924" t="s" s="11">
        <v>14</v>
      </c>
      <c r="K9924" t="s" s="12">
        <v>14</v>
      </c>
      <c r="L9924" t="s" s="12">
        <v>14</v>
      </c>
      <c r="M9924" t="s" s="10">
        <v>14</v>
      </c>
      <c r="N9924" t="s" s="11">
        <v>14</v>
      </c>
      <c r="O9924" t="s" s="8">
        <v>14</v>
      </c>
      <c r="P9924" t="s" s="8">
        <v>14</v>
      </c>
      <c r="Q9924" t="s" s="12">
        <v>14</v>
      </c>
      <c r="R9924" t="s" s="12">
        <v>14</v>
      </c>
    </row>
    <row r="9925" s="2" customFormat="1" ht="13.5" customHeight="1">
      <c r="B9925" s="13"/>
      <c r="C9925" t="s" s="9">
        <v>16</v>
      </c>
      <c r="D9925" t="s" s="8">
        <v>3710</v>
      </c>
      <c r="E9925" t="s" s="9">
        <v>3710</v>
      </c>
      <c r="F9925" t="s" s="10">
        <v>240</v>
      </c>
      <c r="G9925" s="14"/>
      <c r="H9925" t="s" s="10">
        <v>240</v>
      </c>
      <c r="I9925" s="14"/>
      <c r="J9925" t="s" s="11">
        <v>20</v>
      </c>
      <c r="K9925" t="s" s="16">
        <f>HYPERLINK("http://csr.bu.edu/ftp/asl/asllvd/demos/verify_start_end_handshape_annotations//test_auto_move//signs_mov/3173.mov","MOV")</f>
        <v>21</v>
      </c>
      <c r="L9925" t="s" s="16">
        <f>HYPERLINK("http://csr.bu.edu/ftp/asl/asllvd/demos/verify_start_end_handshape_annotations//test_auto_move//signs_mov_separ_signers/Liz_3173.mov","MOV")</f>
        <v>21</v>
      </c>
      <c r="M9925" t="s" s="10">
        <v>59</v>
      </c>
      <c r="N9925" s="17">
        <v>26</v>
      </c>
      <c r="O9925" s="18">
        <v>3810</v>
      </c>
      <c r="P9925" s="18">
        <v>3850</v>
      </c>
      <c r="Q9925" t="s" s="16">
        <f>HYPERLINK("http://secrets.rutgers.edu:8080/data/asl-ftp/asllvd/demos/verify_start_end_handshape_annotations//test_auto_move//signs_mov/3173.mov","MOV")</f>
        <v>21</v>
      </c>
      <c r="R9925" t="s" s="16">
        <f>HYPERLINK("http://secrets.rutgers.edu:8080/data/asl-ftp/asllvd/demos/verify_start_end_handshape_annotations//test_auto_move//signs_mov_separ_signers/Liz_3173.mov","MOV")</f>
        <v>21</v>
      </c>
    </row>
    <row r="9926" s="2" customFormat="1" ht="13.5" customHeight="1">
      <c r="B9926" s="13"/>
      <c r="C9926" t="s" s="9">
        <v>30</v>
      </c>
      <c r="D9926" t="s" s="8">
        <v>3710</v>
      </c>
      <c r="E9926" t="s" s="9">
        <v>3710</v>
      </c>
      <c r="F9926" t="s" s="10">
        <v>240</v>
      </c>
      <c r="G9926" s="14"/>
      <c r="H9926" t="s" s="10">
        <v>240</v>
      </c>
      <c r="I9926" s="14"/>
      <c r="J9926" t="s" s="11">
        <v>20</v>
      </c>
      <c r="K9926" s="15"/>
      <c r="L9926" t="s" s="16">
        <f>HYPERLINK("http://csr.bu.edu/ftp/asl/asllvd/demos/verify_start_end_handshape_annotations//test_auto_move//signs_mov_separ_signers/Brady_3173.mov","MOV")</f>
        <v>21</v>
      </c>
      <c r="M9926" t="s" s="10">
        <v>60</v>
      </c>
      <c r="N9926" s="17">
        <v>15</v>
      </c>
      <c r="O9926" s="18">
        <v>1164</v>
      </c>
      <c r="P9926" s="18">
        <v>1219</v>
      </c>
      <c r="Q9926" s="15"/>
      <c r="R9926" t="s" s="16">
        <f>HYPERLINK("http://secrets.rutgers.edu:8080/data/asl-ftp/asllvd/demos/verify_start_end_handshape_annotations//test_auto_move//signs_mov_separ_signers/Brady_3173.mov","MOV")</f>
        <v>21</v>
      </c>
    </row>
    <row r="9927" s="2" customFormat="1" ht="13.5" customHeight="1">
      <c r="B9927" t="s" s="8">
        <v>136</v>
      </c>
      <c r="C9927" t="s" s="9">
        <v>14</v>
      </c>
      <c r="D9927" t="s" s="8">
        <v>14</v>
      </c>
      <c r="E9927" t="s" s="9">
        <v>14</v>
      </c>
      <c r="F9927" t="s" s="10">
        <v>14</v>
      </c>
      <c r="G9927" t="s" s="11">
        <v>14</v>
      </c>
      <c r="H9927" t="s" s="10">
        <v>14</v>
      </c>
      <c r="I9927" t="s" s="11">
        <v>14</v>
      </c>
      <c r="J9927" t="s" s="11">
        <v>14</v>
      </c>
      <c r="K9927" t="s" s="12">
        <v>14</v>
      </c>
      <c r="L9927" t="s" s="12">
        <v>14</v>
      </c>
      <c r="M9927" t="s" s="10">
        <v>14</v>
      </c>
      <c r="N9927" t="s" s="11">
        <v>14</v>
      </c>
      <c r="O9927" t="s" s="8">
        <v>14</v>
      </c>
      <c r="P9927" t="s" s="8">
        <v>14</v>
      </c>
      <c r="Q9927" t="s" s="12">
        <v>14</v>
      </c>
      <c r="R9927" t="s" s="12">
        <v>14</v>
      </c>
    </row>
    <row r="9928" s="2" customFormat="1" ht="13.5" customHeight="1">
      <c r="B9928" s="13"/>
      <c r="C9928" t="s" s="9">
        <v>16</v>
      </c>
      <c r="D9928" t="s" s="8">
        <v>136</v>
      </c>
      <c r="E9928" t="s" s="9">
        <v>136</v>
      </c>
      <c r="F9928" t="s" s="10">
        <v>136</v>
      </c>
      <c r="G9928" s="14"/>
      <c r="H9928" t="s" s="10">
        <v>136</v>
      </c>
      <c r="I9928" s="14"/>
      <c r="J9928" t="s" s="11">
        <v>20</v>
      </c>
      <c r="K9928" t="s" s="16">
        <f>HYPERLINK("http://csr.bu.edu/ftp/asl/asllvd/demos/verify_start_end_handshape_annotations//test_auto_move//signs_mov/3175.mov","MOV")</f>
        <v>21</v>
      </c>
      <c r="L9928" t="s" s="16">
        <f>HYPERLINK("http://csr.bu.edu/ftp/asl/asllvd/demos/verify_start_end_handshape_annotations//test_auto_move//signs_mov_separ_signers/Liz_3175.mov","MOV")</f>
        <v>21</v>
      </c>
      <c r="M9928" t="s" s="10">
        <v>59</v>
      </c>
      <c r="N9928" s="17">
        <v>46</v>
      </c>
      <c r="O9928" s="18">
        <v>2720</v>
      </c>
      <c r="P9928" s="18">
        <v>2795</v>
      </c>
      <c r="Q9928" t="s" s="16">
        <f>HYPERLINK("http://secrets.rutgers.edu:8080/data/asl-ftp/asllvd/demos/verify_start_end_handshape_annotations//test_auto_move//signs_mov/3175.mov","MOV")</f>
        <v>21</v>
      </c>
      <c r="R9928" t="s" s="16">
        <f>HYPERLINK("http://secrets.rutgers.edu:8080/data/asl-ftp/asllvd/demos/verify_start_end_handshape_annotations//test_auto_move//signs_mov_separ_signers/Liz_3175.mov","MOV")</f>
        <v>21</v>
      </c>
    </row>
    <row r="9929" s="2" customFormat="1" ht="13.5" customHeight="1">
      <c r="B9929" s="13"/>
      <c r="C9929" t="s" s="9">
        <v>30</v>
      </c>
      <c r="D9929" t="s" s="8">
        <v>136</v>
      </c>
      <c r="E9929" t="s" s="9">
        <v>136</v>
      </c>
      <c r="F9929" t="s" s="10">
        <v>136</v>
      </c>
      <c r="G9929" s="14"/>
      <c r="H9929" t="s" s="10">
        <v>136</v>
      </c>
      <c r="I9929" s="14"/>
      <c r="J9929" t="s" s="11">
        <v>20</v>
      </c>
      <c r="K9929" s="15"/>
      <c r="L9929" t="s" s="16">
        <f>HYPERLINK("http://csr.bu.edu/ftp/asl/asllvd/demos/verify_start_end_handshape_annotations//test_auto_move//signs_mov_separ_signers/Brady_3175.mov","MOV")</f>
        <v>21</v>
      </c>
      <c r="M9929" t="s" s="10">
        <v>60</v>
      </c>
      <c r="N9929" s="17">
        <v>35</v>
      </c>
      <c r="O9929" s="18">
        <v>436</v>
      </c>
      <c r="P9929" s="18">
        <v>464</v>
      </c>
      <c r="Q9929" s="15"/>
      <c r="R9929" t="s" s="16">
        <f>HYPERLINK("http://secrets.rutgers.edu:8080/data/asl-ftp/asllvd/demos/verify_start_end_handshape_annotations//test_auto_move//signs_mov_separ_signers/Brady_3175.mov","MOV")</f>
        <v>21</v>
      </c>
    </row>
    <row r="9930" s="2" customFormat="1" ht="13.5" customHeight="1">
      <c r="B9930" t="s" s="8">
        <v>3711</v>
      </c>
      <c r="C9930" t="s" s="9">
        <v>14</v>
      </c>
      <c r="D9930" t="s" s="8">
        <v>14</v>
      </c>
      <c r="E9930" t="s" s="9">
        <v>14</v>
      </c>
      <c r="F9930" t="s" s="10">
        <v>14</v>
      </c>
      <c r="G9930" t="s" s="11">
        <v>14</v>
      </c>
      <c r="H9930" t="s" s="10">
        <v>14</v>
      </c>
      <c r="I9930" t="s" s="11">
        <v>14</v>
      </c>
      <c r="J9930" t="s" s="11">
        <v>14</v>
      </c>
      <c r="K9930" t="s" s="12">
        <v>14</v>
      </c>
      <c r="L9930" t="s" s="12">
        <v>14</v>
      </c>
      <c r="M9930" t="s" s="10">
        <v>14</v>
      </c>
      <c r="N9930" t="s" s="11">
        <v>14</v>
      </c>
      <c r="O9930" t="s" s="8">
        <v>14</v>
      </c>
      <c r="P9930" t="s" s="8">
        <v>14</v>
      </c>
      <c r="Q9930" t="s" s="12">
        <v>14</v>
      </c>
      <c r="R9930" t="s" s="12">
        <v>14</v>
      </c>
    </row>
    <row r="9931" s="2" customFormat="1" ht="13.5" customHeight="1">
      <c r="B9931" s="13"/>
      <c r="C9931" t="s" s="9">
        <v>16</v>
      </c>
      <c r="D9931" t="s" s="8">
        <v>3711</v>
      </c>
      <c r="E9931" t="s" s="9">
        <v>3712</v>
      </c>
      <c r="F9931" t="s" s="10">
        <v>68</v>
      </c>
      <c r="G9931" t="s" s="11">
        <v>68</v>
      </c>
      <c r="H9931" t="s" s="10">
        <v>68</v>
      </c>
      <c r="I9931" t="s" s="11">
        <v>68</v>
      </c>
      <c r="J9931" t="s" s="11">
        <v>20</v>
      </c>
      <c r="K9931" s="15"/>
      <c r="L9931" t="s" s="16">
        <f>HYPERLINK("http://csr.bu.edu/ftp/asl/asllvd/demos/verify_start_end_handshape_annotations//test_auto_move//signs_mov_separ_signers/Liz_3187.mov","MOV")</f>
        <v>21</v>
      </c>
      <c r="M9931" t="s" s="10">
        <v>22</v>
      </c>
      <c r="N9931" s="17">
        <v>7</v>
      </c>
      <c r="O9931" s="18">
        <v>1506</v>
      </c>
      <c r="P9931" s="18">
        <v>1570</v>
      </c>
      <c r="Q9931" s="15"/>
      <c r="R9931" t="s" s="16">
        <f>HYPERLINK("http://secrets.rutgers.edu:8080/data/asl-ftp/asllvd/demos/verify_start_end_handshape_annotations//test_auto_move//signs_mov_separ_signers/Liz_3187.mov","MOV")</f>
        <v>21</v>
      </c>
    </row>
    <row r="9932" s="2" customFormat="1" ht="13.5" customHeight="1">
      <c r="B9932" s="13"/>
      <c r="C9932" t="s" s="9">
        <v>23</v>
      </c>
      <c r="D9932" t="s" s="8">
        <v>3711</v>
      </c>
      <c r="E9932" t="s" s="9">
        <v>3712</v>
      </c>
      <c r="F9932" t="s" s="10">
        <v>68</v>
      </c>
      <c r="G9932" t="s" s="11">
        <v>68</v>
      </c>
      <c r="H9932" t="s" s="10">
        <v>68</v>
      </c>
      <c r="I9932" t="s" s="11">
        <v>68</v>
      </c>
      <c r="J9932" t="s" s="11">
        <v>20</v>
      </c>
      <c r="K9932" t="s" s="16">
        <f>HYPERLINK("http://csr.bu.edu/ftp/asl/asllvd/demos/verify_start_end_handshape_annotations//test_auto_move//signs_mov/3187_3493_merged.mov","MOV")</f>
        <v>21</v>
      </c>
      <c r="L9932" t="s" s="16">
        <f>HYPERLINK("http://csr.bu.edu/ftp/asl/asllvd/demos/verify_start_end_handshape_annotations//test_auto_move//signs_mov_separ_signers/Tyler_3187.mov","MOV")</f>
        <v>21</v>
      </c>
      <c r="M9932" t="s" s="10">
        <v>26</v>
      </c>
      <c r="N9932" s="17">
        <v>7</v>
      </c>
      <c r="O9932" s="18">
        <v>260</v>
      </c>
      <c r="P9932" s="18">
        <v>305</v>
      </c>
      <c r="Q9932" t="s" s="16">
        <f>HYPERLINK("http://secrets.rutgers.edu:8080/data/asl-ftp/asllvd/demos/verify_start_end_handshape_annotations//test_auto_move//signs_mov/3187_3493_merged.mov","MOV")</f>
        <v>21</v>
      </c>
      <c r="R9932" t="s" s="16">
        <f>HYPERLINK("http://secrets.rutgers.edu:8080/data/asl-ftp/asllvd/demos/verify_start_end_handshape_annotations//test_auto_move//signs_mov_separ_signers/Tyler_3187.mov","MOV")</f>
        <v>21</v>
      </c>
    </row>
    <row r="9933" s="2" customFormat="1" ht="13.5" customHeight="1">
      <c r="B9933" s="13"/>
      <c r="C9933" t="s" s="9">
        <v>23</v>
      </c>
      <c r="D9933" t="s" s="8">
        <v>3711</v>
      </c>
      <c r="E9933" t="s" s="9">
        <v>3712</v>
      </c>
      <c r="F9933" t="s" s="10">
        <v>68</v>
      </c>
      <c r="G9933" t="s" s="11">
        <v>68</v>
      </c>
      <c r="H9933" t="s" s="10">
        <v>68</v>
      </c>
      <c r="I9933" t="s" s="11">
        <v>68</v>
      </c>
      <c r="J9933" t="s" s="11">
        <v>20</v>
      </c>
      <c r="K9933" s="15"/>
      <c r="L9933" t="s" s="16">
        <f>HYPERLINK("http://csr.bu.edu/ftp/asl/asllvd/demos/verify_start_end_handshape_annotations//test_auto_move//signs_mov_separ_signers/Tyler_3493.mov","MOV")</f>
        <v>21</v>
      </c>
      <c r="M9933" t="s" s="10">
        <v>26</v>
      </c>
      <c r="N9933" s="17">
        <v>7</v>
      </c>
      <c r="O9933" s="18">
        <v>550</v>
      </c>
      <c r="P9933" s="18">
        <v>600</v>
      </c>
      <c r="Q9933" s="15"/>
      <c r="R9933" t="s" s="16">
        <f>HYPERLINK("http://secrets.rutgers.edu:8080/data/asl-ftp/asllvd/demos/verify_start_end_handshape_annotations//test_auto_move//signs_mov_separ_signers/Tyler_3493.mov","MOV")</f>
        <v>21</v>
      </c>
    </row>
    <row r="9934" s="2" customFormat="1" ht="13.5" customHeight="1">
      <c r="B9934" s="13"/>
      <c r="C9934" t="s" s="9">
        <v>30</v>
      </c>
      <c r="D9934" t="s" s="8">
        <v>3711</v>
      </c>
      <c r="E9934" t="s" s="9">
        <v>3713</v>
      </c>
      <c r="F9934" t="s" s="10">
        <v>68</v>
      </c>
      <c r="G9934" t="s" s="11">
        <v>68</v>
      </c>
      <c r="H9934" t="s" s="10">
        <v>68</v>
      </c>
      <c r="I9934" t="s" s="11">
        <v>68</v>
      </c>
      <c r="J9934" t="s" s="11">
        <v>20</v>
      </c>
      <c r="K9934" s="15"/>
      <c r="L9934" t="s" s="16">
        <f>HYPERLINK("http://csr.bu.edu/ftp/asl/asllvd/demos/verify_start_end_handshape_annotations//test_auto_move//signs_mov_separ_signers/Brady_3187.mov","MOV")</f>
        <v>21</v>
      </c>
      <c r="M9934" t="s" s="10">
        <v>60</v>
      </c>
      <c r="N9934" s="17">
        <v>37</v>
      </c>
      <c r="O9934" s="18">
        <v>795</v>
      </c>
      <c r="P9934" s="18">
        <v>828</v>
      </c>
      <c r="Q9934" s="15"/>
      <c r="R9934" t="s" s="16">
        <f>HYPERLINK("http://secrets.rutgers.edu:8080/data/asl-ftp/asllvd/demos/verify_start_end_handshape_annotations//test_auto_move//signs_mov_separ_signers/Brady_3187.mov","MOV")</f>
        <v>21</v>
      </c>
    </row>
    <row r="9935" s="2" customFormat="1" ht="13.5" customHeight="1">
      <c r="B9935" t="s" s="8">
        <v>52</v>
      </c>
      <c r="C9935" t="s" s="9">
        <v>53</v>
      </c>
      <c r="D9935" t="s" s="8">
        <v>53</v>
      </c>
      <c r="E9935" t="s" s="9">
        <v>53</v>
      </c>
      <c r="F9935" t="s" s="10">
        <v>53</v>
      </c>
      <c r="G9935" t="s" s="11">
        <v>53</v>
      </c>
      <c r="H9935" t="s" s="10">
        <v>53</v>
      </c>
      <c r="I9935" t="s" s="11">
        <v>53</v>
      </c>
      <c r="J9935" t="s" s="11">
        <v>53</v>
      </c>
      <c r="K9935" t="s" s="12">
        <v>53</v>
      </c>
      <c r="L9935" t="s" s="12">
        <v>53</v>
      </c>
      <c r="M9935" t="s" s="10">
        <v>53</v>
      </c>
      <c r="N9935" t="s" s="11">
        <v>53</v>
      </c>
      <c r="O9935" t="s" s="8">
        <v>53</v>
      </c>
      <c r="P9935" t="s" s="8">
        <v>53</v>
      </c>
      <c r="Q9935" t="s" s="12">
        <v>53</v>
      </c>
      <c r="R9935" t="s" s="12">
        <v>53</v>
      </c>
    </row>
    <row r="9936" s="2" customFormat="1" ht="13.5" customHeight="1">
      <c r="B9936" s="13"/>
      <c r="C9936" t="s" s="9">
        <v>27</v>
      </c>
      <c r="D9936" t="s" s="8">
        <v>3711</v>
      </c>
      <c r="E9936" t="s" s="9">
        <v>3714</v>
      </c>
      <c r="F9936" t="s" s="10">
        <v>68</v>
      </c>
      <c r="G9936" t="s" s="11">
        <v>68</v>
      </c>
      <c r="H9936" t="s" s="10">
        <v>72</v>
      </c>
      <c r="I9936" t="s" s="11">
        <v>68</v>
      </c>
      <c r="J9936" t="s" s="11">
        <v>20</v>
      </c>
      <c r="K9936" t="s" s="16">
        <f>HYPERLINK("http://csr.bu.edu/ftp/asl/asllvd/demos/verify_start_end_handshape_annotations//test_auto_move//signs_mov/5671.mov","MOV")</f>
        <v>21</v>
      </c>
      <c r="L9936" t="s" s="16">
        <f>HYPERLINK("http://csr.bu.edu/ftp/asl/asllvd/demos/verify_start_end_handshape_annotations//test_auto_move//signs_mov_separ_signers/Naomi_5671.mov","MOV")</f>
        <v>21</v>
      </c>
      <c r="M9936" t="s" s="10">
        <v>29</v>
      </c>
      <c r="N9936" s="17">
        <v>6</v>
      </c>
      <c r="O9936" s="18">
        <v>657</v>
      </c>
      <c r="P9936" s="18">
        <v>690</v>
      </c>
      <c r="Q9936" t="s" s="16">
        <f>HYPERLINK("http://secrets.rutgers.edu:8080/data/asl-ftp/asllvd/demos/verify_start_end_handshape_annotations//test_auto_move//signs_mov/5671.mov","MOV")</f>
        <v>21</v>
      </c>
      <c r="R9936" t="s" s="16">
        <f>HYPERLINK("http://secrets.rutgers.edu:8080/data/asl-ftp/asllvd/demos/verify_start_end_handshape_annotations//test_auto_move//signs_mov_separ_signers/Naomi_5671.mov","MOV")</f>
        <v>21</v>
      </c>
    </row>
    <row r="9937" s="2" customFormat="1" ht="13.5" customHeight="1">
      <c r="B9937" t="s" s="8">
        <v>3715</v>
      </c>
      <c r="C9937" t="s" s="9">
        <v>14</v>
      </c>
      <c r="D9937" t="s" s="8">
        <v>14</v>
      </c>
      <c r="E9937" t="s" s="9">
        <v>14</v>
      </c>
      <c r="F9937" t="s" s="10">
        <v>14</v>
      </c>
      <c r="G9937" t="s" s="11">
        <v>14</v>
      </c>
      <c r="H9937" t="s" s="10">
        <v>14</v>
      </c>
      <c r="I9937" t="s" s="11">
        <v>14</v>
      </c>
      <c r="J9937" t="s" s="11">
        <v>14</v>
      </c>
      <c r="K9937" t="s" s="12">
        <v>14</v>
      </c>
      <c r="L9937" t="s" s="12">
        <v>14</v>
      </c>
      <c r="M9937" t="s" s="10">
        <v>14</v>
      </c>
      <c r="N9937" t="s" s="11">
        <v>14</v>
      </c>
      <c r="O9937" t="s" s="8">
        <v>14</v>
      </c>
      <c r="P9937" t="s" s="8">
        <v>14</v>
      </c>
      <c r="Q9937" t="s" s="12">
        <v>14</v>
      </c>
      <c r="R9937" t="s" s="12">
        <v>14</v>
      </c>
    </row>
    <row r="9938" s="2" customFormat="1" ht="13.5" customHeight="1">
      <c r="B9938" s="13"/>
      <c r="C9938" t="s" s="9">
        <v>16</v>
      </c>
      <c r="D9938" t="s" s="8">
        <v>3715</v>
      </c>
      <c r="E9938" t="s" s="9">
        <v>3716</v>
      </c>
      <c r="F9938" t="s" s="10">
        <v>68</v>
      </c>
      <c r="G9938" t="s" s="11">
        <v>68</v>
      </c>
      <c r="H9938" t="s" s="10">
        <v>68</v>
      </c>
      <c r="I9938" t="s" s="11">
        <v>68</v>
      </c>
      <c r="J9938" t="s" s="11">
        <v>20</v>
      </c>
      <c r="K9938" s="15"/>
      <c r="L9938" t="s" s="16">
        <f>HYPERLINK("http://csr.bu.edu/ftp/asl/asllvd/demos/verify_start_end_handshape_annotations//test_auto_move//signs_mov_separ_signers/Liz_15799.mov","MOV")</f>
        <v>21</v>
      </c>
      <c r="M9938" t="s" s="10">
        <v>84</v>
      </c>
      <c r="N9938" s="17">
        <v>35</v>
      </c>
      <c r="O9938" s="18">
        <v>1110</v>
      </c>
      <c r="P9938" s="18">
        <v>1175</v>
      </c>
      <c r="Q9938" s="15"/>
      <c r="R9938" t="s" s="16">
        <f>HYPERLINK("http://secrets.rutgers.edu:8080/data/asl-ftp/asllvd/demos/verify_start_end_handshape_annotations//test_auto_move//signs_mov_separ_signers/Liz_15799.mov","MOV")</f>
        <v>21</v>
      </c>
    </row>
    <row r="9939" s="2" customFormat="1" ht="13.5" customHeight="1">
      <c r="B9939" s="13"/>
      <c r="C9939" t="s" s="9">
        <v>23</v>
      </c>
      <c r="D9939" t="s" s="8">
        <v>3715</v>
      </c>
      <c r="E9939" t="s" s="9">
        <v>3716</v>
      </c>
      <c r="F9939" t="s" s="10">
        <v>68</v>
      </c>
      <c r="G9939" t="s" s="11">
        <v>68</v>
      </c>
      <c r="H9939" t="s" s="10">
        <v>68</v>
      </c>
      <c r="I9939" t="s" s="11">
        <v>68</v>
      </c>
      <c r="J9939" t="s" s="11">
        <v>20</v>
      </c>
      <c r="K9939" s="15"/>
      <c r="L9939" t="s" s="16">
        <f>HYPERLINK("http://csr.bu.edu/ftp/asl/asllvd/demos/verify_start_end_handshape_annotations//test_auto_move//signs_mov_separ_signers/Tyler_15799.mov","MOV")</f>
        <v>21</v>
      </c>
      <c r="M9939" t="s" s="10">
        <v>92</v>
      </c>
      <c r="N9939" s="17">
        <v>15</v>
      </c>
      <c r="O9939" s="18">
        <v>920</v>
      </c>
      <c r="P9939" s="18">
        <v>965</v>
      </c>
      <c r="Q9939" s="15"/>
      <c r="R9939" t="s" s="16">
        <f>HYPERLINK("http://secrets.rutgers.edu:8080/data/asl-ftp/asllvd/demos/verify_start_end_handshape_annotations//test_auto_move//signs_mov_separ_signers/Tyler_15799.mov","MOV")</f>
        <v>21</v>
      </c>
    </row>
    <row r="9940" s="2" customFormat="1" ht="13.5" customHeight="1">
      <c r="B9940" s="13"/>
      <c r="C9940" t="s" s="9">
        <v>27</v>
      </c>
      <c r="D9940" t="s" s="8">
        <v>3715</v>
      </c>
      <c r="E9940" t="s" s="9">
        <v>3717</v>
      </c>
      <c r="F9940" t="s" s="10">
        <v>68</v>
      </c>
      <c r="G9940" t="s" s="11">
        <v>68</v>
      </c>
      <c r="H9940" t="s" s="10">
        <v>68</v>
      </c>
      <c r="I9940" t="s" s="11">
        <v>68</v>
      </c>
      <c r="J9940" t="s" s="11">
        <v>20</v>
      </c>
      <c r="K9940" t="s" s="16">
        <f>HYPERLINK("http://csr.bu.edu/ftp/asl/asllvd/demos/verify_start_end_handshape_annotations//test_auto_move//signs_mov/15799.mov","MOV")</f>
        <v>21</v>
      </c>
      <c r="L9940" t="s" s="16">
        <f>HYPERLINK("http://csr.bu.edu/ftp/asl/asllvd/demos/verify_start_end_handshape_annotations//test_auto_move//signs_mov_separ_signers/Naomi_15799.mov","MOV")</f>
        <v>21</v>
      </c>
      <c r="M9940" t="s" s="10">
        <v>86</v>
      </c>
      <c r="N9940" s="17">
        <v>35</v>
      </c>
      <c r="O9940" s="18">
        <v>936</v>
      </c>
      <c r="P9940" s="18">
        <v>1011</v>
      </c>
      <c r="Q9940" t="s" s="16">
        <f>HYPERLINK("http://secrets.rutgers.edu:8080/data/asl-ftp/asllvd/demos/verify_start_end_handshape_annotations//test_auto_move//signs_mov/15799.mov","MOV")</f>
        <v>21</v>
      </c>
      <c r="R9940" t="s" s="16">
        <f>HYPERLINK("http://secrets.rutgers.edu:8080/data/asl-ftp/asllvd/demos/verify_start_end_handshape_annotations//test_auto_move//signs_mov_separ_signers/Naomi_15799.mov","MOV")</f>
        <v>21</v>
      </c>
    </row>
    <row r="9941" s="2" customFormat="1" ht="13.5" customHeight="1">
      <c r="B9941" s="13"/>
      <c r="C9941" t="s" s="9">
        <v>30</v>
      </c>
      <c r="D9941" t="s" s="8">
        <v>3715</v>
      </c>
      <c r="E9941" t="s" s="9">
        <v>3717</v>
      </c>
      <c r="F9941" t="s" s="10">
        <v>68</v>
      </c>
      <c r="G9941" t="s" s="11">
        <v>68</v>
      </c>
      <c r="H9941" t="s" s="10">
        <v>68</v>
      </c>
      <c r="I9941" t="s" s="11">
        <v>68</v>
      </c>
      <c r="J9941" t="s" s="11">
        <v>20</v>
      </c>
      <c r="K9941" s="15"/>
      <c r="L9941" t="s" s="16">
        <f>HYPERLINK("http://csr.bu.edu/ftp/asl/asllvd/demos/verify_start_end_handshape_annotations//test_auto_move//signs_mov_separ_signers/Brady_15799.mov","MOV")</f>
        <v>21</v>
      </c>
      <c r="M9941" t="s" s="10">
        <v>39</v>
      </c>
      <c r="N9941" s="17">
        <v>14</v>
      </c>
      <c r="O9941" s="18">
        <v>2364</v>
      </c>
      <c r="P9941" s="18">
        <v>2418</v>
      </c>
      <c r="Q9941" s="15"/>
      <c r="R9941" t="s" s="16">
        <f>HYPERLINK("http://secrets.rutgers.edu:8080/data/asl-ftp/asllvd/demos/verify_start_end_handshape_annotations//test_auto_move//signs_mov_separ_signers/Brady_15799.mov","MOV")</f>
        <v>21</v>
      </c>
    </row>
    <row r="9942" s="2" customFormat="1" ht="13.5" customHeight="1">
      <c r="B9942" s="13"/>
      <c r="C9942" t="s" s="9">
        <v>41</v>
      </c>
      <c r="D9942" t="s" s="8">
        <v>3715</v>
      </c>
      <c r="E9942" t="s" s="9">
        <v>3716</v>
      </c>
      <c r="F9942" t="s" s="10">
        <v>68</v>
      </c>
      <c r="G9942" t="s" s="11">
        <v>68</v>
      </c>
      <c r="H9942" t="s" s="10">
        <v>68</v>
      </c>
      <c r="I9942" t="s" s="11">
        <v>68</v>
      </c>
      <c r="J9942" t="s" s="11">
        <v>20</v>
      </c>
      <c r="K9942" s="15"/>
      <c r="L9942" t="s" s="16">
        <f>HYPERLINK("http://csr.bu.edu/ftp/asl/asllvd/demos/verify_start_end_handshape_annotations//test_auto_move//signs_mov_separ_signers/Lana_15799.mov","MOV")</f>
        <v>21</v>
      </c>
      <c r="M9942" t="s" s="10">
        <v>42</v>
      </c>
      <c r="N9942" s="17">
        <v>8</v>
      </c>
      <c r="O9942" s="18">
        <v>2846</v>
      </c>
      <c r="P9942" s="18">
        <v>2904</v>
      </c>
      <c r="Q9942" s="15"/>
      <c r="R9942" t="s" s="16">
        <f>HYPERLINK("http://secrets.rutgers.edu:8080/data/asl-ftp/asllvd/demos/verify_start_end_handshape_annotations//test_auto_move//signs_mov_separ_signers/Lana_15799.mov","MOV")</f>
        <v>21</v>
      </c>
    </row>
    <row r="9943" s="2" customFormat="1" ht="13.5" customHeight="1">
      <c r="B9943" s="13"/>
      <c r="C9943" t="s" s="9">
        <v>43</v>
      </c>
      <c r="D9943" t="s" s="8">
        <v>3715</v>
      </c>
      <c r="E9943" t="s" s="9">
        <v>3716</v>
      </c>
      <c r="F9943" t="s" s="10">
        <v>68</v>
      </c>
      <c r="G9943" t="s" s="11">
        <v>68</v>
      </c>
      <c r="H9943" t="s" s="10">
        <v>68</v>
      </c>
      <c r="I9943" t="s" s="11">
        <v>68</v>
      </c>
      <c r="J9943" t="s" s="11">
        <v>20</v>
      </c>
      <c r="K9943" s="15"/>
      <c r="L9943" t="s" s="16">
        <f>HYPERLINK("http://csr.bu.edu/ftp/asl/asllvd/demos/verify_start_end_handshape_annotations//test_auto_move//signs_mov_separ_signers/Dana_15799.mov","MOV")</f>
        <v>21</v>
      </c>
      <c r="M9943" t="s" s="10">
        <v>44</v>
      </c>
      <c r="N9943" s="17">
        <v>12</v>
      </c>
      <c r="O9943" s="18">
        <v>2799</v>
      </c>
      <c r="P9943" s="18">
        <v>2859</v>
      </c>
      <c r="Q9943" s="15"/>
      <c r="R9943" t="s" s="16">
        <f>HYPERLINK("http://secrets.rutgers.edu:8080/data/asl-ftp/asllvd/demos/verify_start_end_handshape_annotations//test_auto_move//signs_mov_separ_signers/Dana_15799.mov","MOV")</f>
        <v>21</v>
      </c>
    </row>
    <row r="9944" s="2" customFormat="1" ht="13.5" customHeight="1">
      <c r="B9944" t="s" s="8">
        <v>3718</v>
      </c>
      <c r="C9944" t="s" s="9">
        <v>14</v>
      </c>
      <c r="D9944" t="s" s="8">
        <v>14</v>
      </c>
      <c r="E9944" t="s" s="9">
        <v>14</v>
      </c>
      <c r="F9944" t="s" s="10">
        <v>14</v>
      </c>
      <c r="G9944" t="s" s="11">
        <v>14</v>
      </c>
      <c r="H9944" t="s" s="10">
        <v>14</v>
      </c>
      <c r="I9944" t="s" s="11">
        <v>14</v>
      </c>
      <c r="J9944" t="s" s="11">
        <v>14</v>
      </c>
      <c r="K9944" t="s" s="12">
        <v>14</v>
      </c>
      <c r="L9944" t="s" s="12">
        <v>14</v>
      </c>
      <c r="M9944" t="s" s="10">
        <v>14</v>
      </c>
      <c r="N9944" t="s" s="11">
        <v>14</v>
      </c>
      <c r="O9944" t="s" s="8">
        <v>14</v>
      </c>
      <c r="P9944" t="s" s="8">
        <v>14</v>
      </c>
      <c r="Q9944" t="s" s="12">
        <v>14</v>
      </c>
      <c r="R9944" t="s" s="12">
        <v>14</v>
      </c>
    </row>
    <row r="9945" s="2" customFormat="1" ht="13.5" customHeight="1">
      <c r="B9945" s="13"/>
      <c r="C9945" t="s" s="9">
        <v>16</v>
      </c>
      <c r="D9945" t="s" s="8">
        <v>3718</v>
      </c>
      <c r="E9945" t="s" s="9">
        <v>3718</v>
      </c>
      <c r="F9945" t="s" s="10">
        <v>152</v>
      </c>
      <c r="G9945" t="s" s="11">
        <v>152</v>
      </c>
      <c r="H9945" t="s" s="10">
        <v>152</v>
      </c>
      <c r="I9945" t="s" s="11">
        <v>152</v>
      </c>
      <c r="J9945" t="s" s="11">
        <v>20</v>
      </c>
      <c r="K9945" t="s" s="16">
        <f>HYPERLINK("http://csr.bu.edu/ftp/asl/asllvd/demos/verify_start_end_handshape_annotations//test_auto_move//signs_mov/3206.mov","MOV")</f>
        <v>21</v>
      </c>
      <c r="L9945" t="s" s="16">
        <f>HYPERLINK("http://csr.bu.edu/ftp/asl/asllvd/demos/verify_start_end_handshape_annotations//test_auto_move//signs_mov_separ_signers/Liz_3206.mov","MOV")</f>
        <v>21</v>
      </c>
      <c r="M9945" t="s" s="10">
        <v>88</v>
      </c>
      <c r="N9945" s="17">
        <v>33</v>
      </c>
      <c r="O9945" s="18">
        <v>3615</v>
      </c>
      <c r="P9945" s="18">
        <v>3712</v>
      </c>
      <c r="Q9945" t="s" s="16">
        <f>HYPERLINK("http://secrets.rutgers.edu:8080/data/asl-ftp/asllvd/demos/verify_start_end_handshape_annotations//test_auto_move//signs_mov/3206.mov","MOV")</f>
        <v>21</v>
      </c>
      <c r="R9945" t="s" s="16">
        <f>HYPERLINK("http://secrets.rutgers.edu:8080/data/asl-ftp/asllvd/demos/verify_start_end_handshape_annotations//test_auto_move//signs_mov_separ_signers/Liz_3206.mov","MOV")</f>
        <v>21</v>
      </c>
    </row>
    <row r="9946" s="2" customFormat="1" ht="13.5" customHeight="1">
      <c r="B9946" s="13"/>
      <c r="C9946" t="s" s="9">
        <v>30</v>
      </c>
      <c r="D9946" t="s" s="8">
        <v>3718</v>
      </c>
      <c r="E9946" t="s" s="9">
        <v>3718</v>
      </c>
      <c r="F9946" t="s" s="10">
        <v>55</v>
      </c>
      <c r="G9946" t="s" s="11">
        <v>55</v>
      </c>
      <c r="H9946" t="s" s="10">
        <v>55</v>
      </c>
      <c r="I9946" t="s" s="11">
        <v>55</v>
      </c>
      <c r="J9946" t="s" s="11">
        <v>20</v>
      </c>
      <c r="K9946" s="15"/>
      <c r="L9946" t="s" s="16">
        <f>HYPERLINK("http://csr.bu.edu/ftp/asl/asllvd/demos/verify_start_end_handshape_annotations//test_auto_move//signs_mov_separ_signers/Brady_3206.mov","MOV")</f>
        <v>21</v>
      </c>
      <c r="M9946" t="s" s="10">
        <v>40</v>
      </c>
      <c r="N9946" s="17">
        <v>28</v>
      </c>
      <c r="O9946" s="18">
        <v>765</v>
      </c>
      <c r="P9946" s="18">
        <v>794</v>
      </c>
      <c r="Q9946" s="15"/>
      <c r="R9946" t="s" s="16">
        <f>HYPERLINK("http://secrets.rutgers.edu:8080/data/asl-ftp/asllvd/demos/verify_start_end_handshape_annotations//test_auto_move//signs_mov_separ_signers/Brady_3206.mov","MOV")</f>
        <v>21</v>
      </c>
    </row>
    <row r="9947" s="2" customFormat="1" ht="13.5" customHeight="1">
      <c r="B9947" t="s" s="8">
        <v>3719</v>
      </c>
      <c r="C9947" t="s" s="9">
        <v>14</v>
      </c>
      <c r="D9947" t="s" s="8">
        <v>14</v>
      </c>
      <c r="E9947" t="s" s="9">
        <v>14</v>
      </c>
      <c r="F9947" t="s" s="10">
        <v>14</v>
      </c>
      <c r="G9947" t="s" s="11">
        <v>14</v>
      </c>
      <c r="H9947" t="s" s="10">
        <v>14</v>
      </c>
      <c r="I9947" t="s" s="11">
        <v>14</v>
      </c>
      <c r="J9947" t="s" s="11">
        <v>14</v>
      </c>
      <c r="K9947" t="s" s="12">
        <v>14</v>
      </c>
      <c r="L9947" t="s" s="12">
        <v>14</v>
      </c>
      <c r="M9947" t="s" s="10">
        <v>14</v>
      </c>
      <c r="N9947" t="s" s="11">
        <v>14</v>
      </c>
      <c r="O9947" t="s" s="8">
        <v>14</v>
      </c>
      <c r="P9947" t="s" s="8">
        <v>14</v>
      </c>
      <c r="Q9947" t="s" s="12">
        <v>14</v>
      </c>
      <c r="R9947" t="s" s="12">
        <v>14</v>
      </c>
    </row>
    <row r="9948" s="2" customFormat="1" ht="13.5" customHeight="1">
      <c r="B9948" s="13"/>
      <c r="C9948" t="s" s="9">
        <v>16</v>
      </c>
      <c r="D9948" t="s" s="8">
        <v>3719</v>
      </c>
      <c r="E9948" t="s" s="9">
        <v>3720</v>
      </c>
      <c r="F9948" t="s" s="10">
        <v>73</v>
      </c>
      <c r="G9948" t="s" s="11">
        <v>105</v>
      </c>
      <c r="H9948" s="19">
        <v>10</v>
      </c>
      <c r="I9948" t="s" s="11">
        <v>105</v>
      </c>
      <c r="J9948" t="s" s="11">
        <v>20</v>
      </c>
      <c r="K9948" t="s" s="16">
        <f>HYPERLINK("http://csr.bu.edu/ftp/asl/asllvd/demos/verify_start_end_handshape_annotations//test_auto_move//signs_mov/3207.mov","MOV")</f>
        <v>21</v>
      </c>
      <c r="L9948" t="s" s="16">
        <f>HYPERLINK("http://csr.bu.edu/ftp/asl/asllvd/demos/verify_start_end_handshape_annotations//test_auto_move//signs_mov_separ_signers/Liz_3207.mov","MOV")</f>
        <v>21</v>
      </c>
      <c r="M9948" t="s" s="10">
        <v>88</v>
      </c>
      <c r="N9948" s="17">
        <v>36</v>
      </c>
      <c r="O9948" s="18">
        <v>3602</v>
      </c>
      <c r="P9948" s="18">
        <v>3660</v>
      </c>
      <c r="Q9948" t="s" s="16">
        <f>HYPERLINK("http://secrets.rutgers.edu:8080/data/asl-ftp/asllvd/demos/verify_start_end_handshape_annotations//test_auto_move//signs_mov/3207.mov","MOV")</f>
        <v>21</v>
      </c>
      <c r="R9948" t="s" s="16">
        <f>HYPERLINK("http://secrets.rutgers.edu:8080/data/asl-ftp/asllvd/demos/verify_start_end_handshape_annotations//test_auto_move//signs_mov_separ_signers/Liz_3207.mov","MOV")</f>
        <v>21</v>
      </c>
    </row>
    <row r="9949" s="2" customFormat="1" ht="13.5" customHeight="1">
      <c r="B9949" s="13"/>
      <c r="C9949" t="s" s="9">
        <v>30</v>
      </c>
      <c r="D9949" t="s" s="8">
        <v>3719</v>
      </c>
      <c r="E9949" t="s" s="9">
        <v>3720</v>
      </c>
      <c r="F9949" t="s" s="10">
        <v>73</v>
      </c>
      <c r="G9949" t="s" s="11">
        <v>150</v>
      </c>
      <c r="H9949" t="s" s="10">
        <v>80</v>
      </c>
      <c r="I9949" t="s" s="11">
        <v>150</v>
      </c>
      <c r="J9949" t="s" s="11">
        <v>20</v>
      </c>
      <c r="K9949" s="15"/>
      <c r="L9949" t="s" s="16">
        <f>HYPERLINK("http://csr.bu.edu/ftp/asl/asllvd/demos/verify_start_end_handshape_annotations//test_auto_move//signs_mov_separ_signers/Brady_3207.mov","MOV")</f>
        <v>21</v>
      </c>
      <c r="M9949" t="s" s="10">
        <v>40</v>
      </c>
      <c r="N9949" s="17">
        <v>31</v>
      </c>
      <c r="O9949" s="18">
        <v>1533</v>
      </c>
      <c r="P9949" s="18">
        <v>1558</v>
      </c>
      <c r="Q9949" s="15"/>
      <c r="R9949" t="s" s="16">
        <f>HYPERLINK("http://secrets.rutgers.edu:8080/data/asl-ftp/asllvd/demos/verify_start_end_handshape_annotations//test_auto_move//signs_mov_separ_signers/Brady_3207.mov","MOV")</f>
        <v>21</v>
      </c>
    </row>
    <row r="9950" s="2" customFormat="1" ht="13.5" customHeight="1">
      <c r="B9950" t="s" s="8">
        <v>3721</v>
      </c>
      <c r="C9950" t="s" s="9">
        <v>14</v>
      </c>
      <c r="D9950" t="s" s="8">
        <v>14</v>
      </c>
      <c r="E9950" t="s" s="9">
        <v>14</v>
      </c>
      <c r="F9950" t="s" s="10">
        <v>14</v>
      </c>
      <c r="G9950" t="s" s="11">
        <v>14</v>
      </c>
      <c r="H9950" t="s" s="10">
        <v>14</v>
      </c>
      <c r="I9950" t="s" s="11">
        <v>14</v>
      </c>
      <c r="J9950" t="s" s="11">
        <v>14</v>
      </c>
      <c r="K9950" t="s" s="12">
        <v>14</v>
      </c>
      <c r="L9950" t="s" s="12">
        <v>14</v>
      </c>
      <c r="M9950" t="s" s="10">
        <v>14</v>
      </c>
      <c r="N9950" t="s" s="11">
        <v>14</v>
      </c>
      <c r="O9950" t="s" s="8">
        <v>14</v>
      </c>
      <c r="P9950" t="s" s="8">
        <v>14</v>
      </c>
      <c r="Q9950" t="s" s="12">
        <v>14</v>
      </c>
      <c r="R9950" t="s" s="12">
        <v>14</v>
      </c>
    </row>
    <row r="9951" s="2" customFormat="1" ht="13.5" customHeight="1">
      <c r="B9951" s="13"/>
      <c r="C9951" t="s" s="9">
        <v>16</v>
      </c>
      <c r="D9951" t="s" s="8">
        <v>3721</v>
      </c>
      <c r="E9951" t="s" s="9">
        <v>3721</v>
      </c>
      <c r="F9951" t="s" s="10">
        <v>119</v>
      </c>
      <c r="G9951" t="s" s="11">
        <v>119</v>
      </c>
      <c r="H9951" s="19">
        <v>5</v>
      </c>
      <c r="I9951" s="17">
        <v>5</v>
      </c>
      <c r="J9951" t="s" s="11">
        <v>20</v>
      </c>
      <c r="K9951" t="s" s="16">
        <f>HYPERLINK("http://csr.bu.edu/ftp/asl/asllvd/demos/verify_start_end_handshape_annotations//test_auto_move//signs_mov/3210.mov","MOV")</f>
        <v>21</v>
      </c>
      <c r="L9951" t="s" s="16">
        <f>HYPERLINK("http://csr.bu.edu/ftp/asl/asllvd/demos/verify_start_end_handshape_annotations//test_auto_move//signs_mov_separ_signers/Liz_3210.mov","MOV")</f>
        <v>21</v>
      </c>
      <c r="M9951" t="s" s="10">
        <v>36</v>
      </c>
      <c r="N9951" s="17">
        <v>18</v>
      </c>
      <c r="O9951" s="18">
        <v>4271</v>
      </c>
      <c r="P9951" s="18">
        <v>4325</v>
      </c>
      <c r="Q9951" t="s" s="16">
        <f>HYPERLINK("http://secrets.rutgers.edu:8080/data/asl-ftp/asllvd/demos/verify_start_end_handshape_annotations//test_auto_move//signs_mov/3210.mov","MOV")</f>
        <v>21</v>
      </c>
      <c r="R9951" t="s" s="16">
        <f>HYPERLINK("http://secrets.rutgers.edu:8080/data/asl-ftp/asllvd/demos/verify_start_end_handshape_annotations//test_auto_move//signs_mov_separ_signers/Liz_3210.mov","MOV")</f>
        <v>21</v>
      </c>
    </row>
    <row r="9952" s="2" customFormat="1" ht="13.5" customHeight="1">
      <c r="B9952" s="13"/>
      <c r="C9952" t="s" s="9">
        <v>30</v>
      </c>
      <c r="D9952" t="s" s="8">
        <v>3721</v>
      </c>
      <c r="E9952" t="s" s="9">
        <v>3721</v>
      </c>
      <c r="F9952" t="s" s="10">
        <v>119</v>
      </c>
      <c r="G9952" t="s" s="11">
        <v>119</v>
      </c>
      <c r="H9952" s="19">
        <v>5</v>
      </c>
      <c r="I9952" s="17">
        <v>5</v>
      </c>
      <c r="J9952" t="s" s="11">
        <v>20</v>
      </c>
      <c r="K9952" s="15"/>
      <c r="L9952" t="s" s="16">
        <f>HYPERLINK("http://csr.bu.edu/ftp/asl/asllvd/demos/verify_start_end_handshape_annotations//test_auto_move//signs_mov_separ_signers/Brady_3210.mov","MOV")</f>
        <v>21</v>
      </c>
      <c r="M9952" t="s" s="10">
        <v>60</v>
      </c>
      <c r="N9952" s="17">
        <v>51</v>
      </c>
      <c r="O9952" s="18">
        <v>1640</v>
      </c>
      <c r="P9952" s="18">
        <v>1670</v>
      </c>
      <c r="Q9952" s="15"/>
      <c r="R9952" t="s" s="16">
        <f>HYPERLINK("http://secrets.rutgers.edu:8080/data/asl-ftp/asllvd/demos/verify_start_end_handshape_annotations//test_auto_move//signs_mov_separ_signers/Brady_3210.mov","MOV")</f>
        <v>21</v>
      </c>
    </row>
    <row r="9953" s="2" customFormat="1" ht="13.5" customHeight="1">
      <c r="B9953" t="s" s="8">
        <v>3722</v>
      </c>
      <c r="C9953" t="s" s="9">
        <v>14</v>
      </c>
      <c r="D9953" t="s" s="8">
        <v>14</v>
      </c>
      <c r="E9953" t="s" s="9">
        <v>14</v>
      </c>
      <c r="F9953" t="s" s="10">
        <v>14</v>
      </c>
      <c r="G9953" t="s" s="11">
        <v>14</v>
      </c>
      <c r="H9953" t="s" s="10">
        <v>14</v>
      </c>
      <c r="I9953" t="s" s="11">
        <v>14</v>
      </c>
      <c r="J9953" t="s" s="11">
        <v>14</v>
      </c>
      <c r="K9953" t="s" s="12">
        <v>14</v>
      </c>
      <c r="L9953" t="s" s="12">
        <v>14</v>
      </c>
      <c r="M9953" t="s" s="10">
        <v>14</v>
      </c>
      <c r="N9953" t="s" s="11">
        <v>14</v>
      </c>
      <c r="O9953" t="s" s="8">
        <v>14</v>
      </c>
      <c r="P9953" t="s" s="8">
        <v>14</v>
      </c>
      <c r="Q9953" t="s" s="12">
        <v>14</v>
      </c>
      <c r="R9953" t="s" s="12">
        <v>14</v>
      </c>
    </row>
    <row r="9954" s="2" customFormat="1" ht="13.5" customHeight="1">
      <c r="B9954" s="13"/>
      <c r="C9954" t="s" s="9">
        <v>16</v>
      </c>
      <c r="D9954" t="s" s="8">
        <v>3722</v>
      </c>
      <c r="E9954" t="s" s="9">
        <v>3723</v>
      </c>
      <c r="F9954" s="19">
        <v>4</v>
      </c>
      <c r="G9954" t="s" s="11">
        <v>105</v>
      </c>
      <c r="H9954" s="19">
        <v>4</v>
      </c>
      <c r="I9954" t="s" s="11">
        <v>105</v>
      </c>
      <c r="J9954" t="s" s="11">
        <v>20</v>
      </c>
      <c r="K9954" t="s" s="16">
        <f>HYPERLINK("http://csr.bu.edu/ftp/asl/asllvd/demos/verify_start_end_handshape_annotations//test_auto_move//signs_mov/3214.mov","MOV")</f>
        <v>21</v>
      </c>
      <c r="L9954" t="s" s="16">
        <f>HYPERLINK("http://csr.bu.edu/ftp/asl/asllvd/demos/verify_start_end_handshape_annotations//test_auto_move//signs_mov_separ_signers/Liz_3214.mov","MOV")</f>
        <v>21</v>
      </c>
      <c r="M9954" t="s" s="10">
        <v>36</v>
      </c>
      <c r="N9954" s="17">
        <v>41</v>
      </c>
      <c r="O9954" s="18">
        <v>3045</v>
      </c>
      <c r="P9954" s="18">
        <v>3140</v>
      </c>
      <c r="Q9954" t="s" s="16">
        <f>HYPERLINK("http://secrets.rutgers.edu:8080/data/asl-ftp/asllvd/demos/verify_start_end_handshape_annotations//test_auto_move//signs_mov/3214.mov","MOV")</f>
        <v>21</v>
      </c>
      <c r="R9954" t="s" s="16">
        <f>HYPERLINK("http://secrets.rutgers.edu:8080/data/asl-ftp/asllvd/demos/verify_start_end_handshape_annotations//test_auto_move//signs_mov_separ_signers/Liz_3214.mov","MOV")</f>
        <v>21</v>
      </c>
    </row>
    <row r="9955" s="2" customFormat="1" ht="13.5" customHeight="1">
      <c r="B9955" t="s" s="8">
        <v>3724</v>
      </c>
      <c r="C9955" t="s" s="9">
        <v>14</v>
      </c>
      <c r="D9955" t="s" s="8">
        <v>14</v>
      </c>
      <c r="E9955" t="s" s="9">
        <v>14</v>
      </c>
      <c r="F9955" t="s" s="10">
        <v>14</v>
      </c>
      <c r="G9955" t="s" s="11">
        <v>14</v>
      </c>
      <c r="H9955" t="s" s="10">
        <v>14</v>
      </c>
      <c r="I9955" t="s" s="11">
        <v>14</v>
      </c>
      <c r="J9955" t="s" s="11">
        <v>14</v>
      </c>
      <c r="K9955" t="s" s="12">
        <v>14</v>
      </c>
      <c r="L9955" t="s" s="12">
        <v>14</v>
      </c>
      <c r="M9955" t="s" s="10">
        <v>14</v>
      </c>
      <c r="N9955" t="s" s="11">
        <v>14</v>
      </c>
      <c r="O9955" t="s" s="8">
        <v>14</v>
      </c>
      <c r="P9955" t="s" s="8">
        <v>14</v>
      </c>
      <c r="Q9955" t="s" s="12">
        <v>14</v>
      </c>
      <c r="R9955" t="s" s="12">
        <v>14</v>
      </c>
    </row>
    <row r="9956" s="2" customFormat="1" ht="13.5" customHeight="1">
      <c r="B9956" s="13"/>
      <c r="C9956" t="s" s="9">
        <v>16</v>
      </c>
      <c r="D9956" t="s" s="8">
        <v>3724</v>
      </c>
      <c r="E9956" t="s" s="9">
        <v>3724</v>
      </c>
      <c r="F9956" t="s" s="10">
        <v>277</v>
      </c>
      <c r="G9956" t="s" s="11">
        <v>277</v>
      </c>
      <c r="H9956" t="s" s="10">
        <v>148</v>
      </c>
      <c r="I9956" t="s" s="11">
        <v>148</v>
      </c>
      <c r="J9956" t="s" s="11">
        <v>20</v>
      </c>
      <c r="K9956" t="s" s="16">
        <f>HYPERLINK("http://csr.bu.edu/ftp/asl/asllvd/demos/verify_start_end_handshape_annotations//test_auto_move//signs_mov/3229.mov","MOV")</f>
        <v>21</v>
      </c>
      <c r="L9956" t="s" s="16">
        <f>HYPERLINK("http://csr.bu.edu/ftp/asl/asllvd/demos/verify_start_end_handshape_annotations//test_auto_move//signs_mov_separ_signers/Liz_3229.mov","MOV")</f>
        <v>21</v>
      </c>
      <c r="M9956" t="s" s="10">
        <v>77</v>
      </c>
      <c r="N9956" s="17">
        <v>21</v>
      </c>
      <c r="O9956" s="18">
        <v>832</v>
      </c>
      <c r="P9956" s="18">
        <v>892</v>
      </c>
      <c r="Q9956" t="s" s="16">
        <f>HYPERLINK("http://secrets.rutgers.edu:8080/data/asl-ftp/asllvd/demos/verify_start_end_handshape_annotations//test_auto_move//signs_mov/3229.mov","MOV")</f>
        <v>21</v>
      </c>
      <c r="R9956" t="s" s="16">
        <f>HYPERLINK("http://secrets.rutgers.edu:8080/data/asl-ftp/asllvd/demos/verify_start_end_handshape_annotations//test_auto_move//signs_mov_separ_signers/Liz_3229.mov","MOV")</f>
        <v>21</v>
      </c>
    </row>
    <row r="9957" s="2" customFormat="1" ht="13.5" customHeight="1">
      <c r="B9957" t="s" s="8">
        <v>3725</v>
      </c>
      <c r="C9957" t="s" s="9">
        <v>14</v>
      </c>
      <c r="D9957" t="s" s="8">
        <v>14</v>
      </c>
      <c r="E9957" t="s" s="9">
        <v>14</v>
      </c>
      <c r="F9957" t="s" s="10">
        <v>14</v>
      </c>
      <c r="G9957" t="s" s="11">
        <v>14</v>
      </c>
      <c r="H9957" t="s" s="10">
        <v>14</v>
      </c>
      <c r="I9957" t="s" s="11">
        <v>14</v>
      </c>
      <c r="J9957" t="s" s="11">
        <v>14</v>
      </c>
      <c r="K9957" t="s" s="12">
        <v>14</v>
      </c>
      <c r="L9957" t="s" s="12">
        <v>14</v>
      </c>
      <c r="M9957" t="s" s="10">
        <v>14</v>
      </c>
      <c r="N9957" t="s" s="11">
        <v>14</v>
      </c>
      <c r="O9957" t="s" s="8">
        <v>14</v>
      </c>
      <c r="P9957" t="s" s="8">
        <v>14</v>
      </c>
      <c r="Q9957" t="s" s="12">
        <v>14</v>
      </c>
      <c r="R9957" t="s" s="12">
        <v>14</v>
      </c>
    </row>
    <row r="9958" s="2" customFormat="1" ht="13.5" customHeight="1">
      <c r="B9958" s="13"/>
      <c r="C9958" t="s" s="9">
        <v>16</v>
      </c>
      <c r="D9958" t="s" s="8">
        <v>3725</v>
      </c>
      <c r="E9958" t="s" s="9">
        <v>3725</v>
      </c>
      <c r="F9958" s="19">
        <v>5</v>
      </c>
      <c r="G9958" s="17">
        <v>5</v>
      </c>
      <c r="H9958" s="19">
        <v>5</v>
      </c>
      <c r="I9958" s="17">
        <v>5</v>
      </c>
      <c r="J9958" t="s" s="11">
        <v>20</v>
      </c>
      <c r="K9958" s="15"/>
      <c r="L9958" t="s" s="16">
        <f>HYPERLINK("http://csr.bu.edu/ftp/asl/asllvd/demos/verify_start_end_handshape_annotations//test_auto_move//signs_mov_separ_signers/Liz_3232.mov","MOV")</f>
        <v>21</v>
      </c>
      <c r="M9958" t="s" s="10">
        <v>59</v>
      </c>
      <c r="N9958" s="17">
        <v>38</v>
      </c>
      <c r="O9958" s="18">
        <v>2485</v>
      </c>
      <c r="P9958" s="18">
        <v>2520</v>
      </c>
      <c r="Q9958" s="15"/>
      <c r="R9958" t="s" s="16">
        <f>HYPERLINK("http://secrets.rutgers.edu:8080/data/asl-ftp/asllvd/demos/verify_start_end_handshape_annotations//test_auto_move//signs_mov_separ_signers/Liz_3232.mov","MOV")</f>
        <v>21</v>
      </c>
    </row>
    <row r="9959" s="2" customFormat="1" ht="13.5" customHeight="1">
      <c r="B9959" s="13"/>
      <c r="C9959" t="s" s="9">
        <v>16</v>
      </c>
      <c r="D9959" t="s" s="8">
        <v>3725</v>
      </c>
      <c r="E9959" t="s" s="9">
        <v>3726</v>
      </c>
      <c r="F9959" s="19">
        <v>5</v>
      </c>
      <c r="G9959" s="17">
        <v>5</v>
      </c>
      <c r="H9959" s="19">
        <v>5</v>
      </c>
      <c r="I9959" s="17">
        <v>5</v>
      </c>
      <c r="J9959" t="s" s="11">
        <v>20</v>
      </c>
      <c r="K9959" t="s" s="16">
        <f>HYPERLINK("http://csr.bu.edu/ftp/asl/asllvd/demos/verify_start_end_handshape_annotations//test_auto_move//signs_mov/3232_5686_merged.mov","MOV")</f>
        <v>21</v>
      </c>
      <c r="L9959" t="s" s="16">
        <f>HYPERLINK("http://csr.bu.edu/ftp/asl/asllvd/demos/verify_start_end_handshape_annotations//test_auto_move//signs_mov_separ_signers/Liz_5686.mov","MOV")</f>
        <v>21</v>
      </c>
      <c r="M9959" t="s" s="10">
        <v>59</v>
      </c>
      <c r="N9959" s="17">
        <v>39</v>
      </c>
      <c r="O9959" s="18">
        <v>1684</v>
      </c>
      <c r="P9959" s="18">
        <v>1732</v>
      </c>
      <c r="Q9959" t="s" s="16">
        <f>HYPERLINK("http://secrets.rutgers.edu:8080/data/asl-ftp/asllvd/demos/verify_start_end_handshape_annotations//test_auto_move//signs_mov/3232_5686_merged.mov","MOV")</f>
        <v>21</v>
      </c>
      <c r="R9959" t="s" s="16">
        <f>HYPERLINK("http://secrets.rutgers.edu:8080/data/asl-ftp/asllvd/demos/verify_start_end_handshape_annotations//test_auto_move//signs_mov_separ_signers/Liz_5686.mov","MOV")</f>
        <v>21</v>
      </c>
    </row>
    <row r="9960" s="2" customFormat="1" ht="13.5" customHeight="1">
      <c r="B9960" s="13"/>
      <c r="C9960" t="s" s="9">
        <v>41</v>
      </c>
      <c r="D9960" t="s" s="8">
        <v>3725</v>
      </c>
      <c r="E9960" t="s" s="9">
        <v>3726</v>
      </c>
      <c r="F9960" s="19">
        <v>5</v>
      </c>
      <c r="G9960" s="17">
        <v>5</v>
      </c>
      <c r="H9960" s="19">
        <v>5</v>
      </c>
      <c r="I9960" s="17">
        <v>5</v>
      </c>
      <c r="J9960" t="s" s="11">
        <v>20</v>
      </c>
      <c r="K9960" s="15"/>
      <c r="L9960" t="s" s="16">
        <f>HYPERLINK("http://csr.bu.edu/ftp/asl/asllvd/demos/verify_start_end_handshape_annotations//test_auto_move//signs_mov_separ_signers/Lana_3232.mov","MOV")</f>
        <v>21</v>
      </c>
      <c r="M9960" t="s" s="10">
        <v>245</v>
      </c>
      <c r="N9960" s="17">
        <v>22</v>
      </c>
      <c r="O9960" s="18">
        <v>3284</v>
      </c>
      <c r="P9960" s="18">
        <v>3318</v>
      </c>
      <c r="Q9960" s="15"/>
      <c r="R9960" t="s" s="16">
        <f>HYPERLINK("http://secrets.rutgers.edu:8080/data/asl-ftp/asllvd/demos/verify_start_end_handshape_annotations//test_auto_move//signs_mov_separ_signers/Lana_3232.mov","MOV")</f>
        <v>21</v>
      </c>
    </row>
    <row r="9961" s="2" customFormat="1" ht="13.5" customHeight="1">
      <c r="B9961" t="s" s="8">
        <v>3725</v>
      </c>
      <c r="C9961" t="s" s="9">
        <v>14</v>
      </c>
      <c r="D9961" t="s" s="8">
        <v>14</v>
      </c>
      <c r="E9961" t="s" s="9">
        <v>14</v>
      </c>
      <c r="F9961" t="s" s="10">
        <v>14</v>
      </c>
      <c r="G9961" t="s" s="11">
        <v>14</v>
      </c>
      <c r="H9961" t="s" s="10">
        <v>14</v>
      </c>
      <c r="I9961" t="s" s="11">
        <v>14</v>
      </c>
      <c r="J9961" t="s" s="11">
        <v>14</v>
      </c>
      <c r="K9961" t="s" s="12">
        <v>14</v>
      </c>
      <c r="L9961" t="s" s="12">
        <v>14</v>
      </c>
      <c r="M9961" t="s" s="10">
        <v>14</v>
      </c>
      <c r="N9961" t="s" s="11">
        <v>14</v>
      </c>
      <c r="O9961" t="s" s="8">
        <v>14</v>
      </c>
      <c r="P9961" t="s" s="8">
        <v>14</v>
      </c>
      <c r="Q9961" t="s" s="12">
        <v>14</v>
      </c>
      <c r="R9961" t="s" s="12">
        <v>14</v>
      </c>
    </row>
    <row r="9962" s="2" customFormat="1" ht="13.5" customHeight="1">
      <c r="B9962" s="13"/>
      <c r="C9962" t="s" s="9">
        <v>16</v>
      </c>
      <c r="D9962" t="s" s="8">
        <v>3725</v>
      </c>
      <c r="E9962" t="s" s="9">
        <v>3727</v>
      </c>
      <c r="F9962" s="19">
        <v>1</v>
      </c>
      <c r="G9962" t="s" s="11">
        <v>73</v>
      </c>
      <c r="H9962" s="19">
        <v>1</v>
      </c>
      <c r="I9962" t="s" s="11">
        <v>73</v>
      </c>
      <c r="J9962" t="s" s="11">
        <v>20</v>
      </c>
      <c r="K9962" s="15"/>
      <c r="L9962" t="s" s="16">
        <f>HYPERLINK("http://csr.bu.edu/ftp/asl/asllvd/demos/verify_start_end_handshape_annotations//test_auto_move//signs_mov_separ_signers/Liz_5687.mov","MOV")</f>
        <v>21</v>
      </c>
      <c r="M9962" t="s" s="10">
        <v>22</v>
      </c>
      <c r="N9962" s="17">
        <v>22</v>
      </c>
      <c r="O9962" s="18">
        <v>585</v>
      </c>
      <c r="P9962" s="18">
        <v>620</v>
      </c>
      <c r="Q9962" s="15"/>
      <c r="R9962" t="s" s="16">
        <f>HYPERLINK("http://secrets.rutgers.edu:8080/data/asl-ftp/asllvd/demos/verify_start_end_handshape_annotations//test_auto_move//signs_mov_separ_signers/Liz_5687.mov","MOV")</f>
        <v>21</v>
      </c>
    </row>
    <row r="9963" s="2" customFormat="1" ht="13.5" customHeight="1">
      <c r="B9963" s="13"/>
      <c r="C9963" t="s" s="9">
        <v>16</v>
      </c>
      <c r="D9963" t="s" s="8">
        <v>3725</v>
      </c>
      <c r="E9963" t="s" s="9">
        <v>3725</v>
      </c>
      <c r="F9963" s="19">
        <v>1</v>
      </c>
      <c r="G9963" t="s" s="11">
        <v>73</v>
      </c>
      <c r="H9963" s="19">
        <v>1</v>
      </c>
      <c r="I9963" t="s" s="11">
        <v>73</v>
      </c>
      <c r="J9963" t="s" s="11">
        <v>20</v>
      </c>
      <c r="K9963" t="s" s="16">
        <f>HYPERLINK("http://csr.bu.edu/ftp/asl/asllvd/demos/verify_start_end_handshape_annotations//test_auto_move//signs_mov/5687_15371_merged.mov","MOV")</f>
        <v>21</v>
      </c>
      <c r="L9963" t="s" s="16">
        <f>HYPERLINK("http://csr.bu.edu/ftp/asl/asllvd/demos/verify_start_end_handshape_annotations//test_auto_move//signs_mov_separ_signers/Liz_15371.mov","MOV")</f>
        <v>21</v>
      </c>
      <c r="M9963" t="s" s="10">
        <v>59</v>
      </c>
      <c r="N9963" s="17">
        <v>39</v>
      </c>
      <c r="O9963" s="18">
        <v>1890</v>
      </c>
      <c r="P9963" s="18">
        <v>1928</v>
      </c>
      <c r="Q9963" t="s" s="16">
        <f>HYPERLINK("http://secrets.rutgers.edu:8080/data/asl-ftp/asllvd/demos/verify_start_end_handshape_annotations//test_auto_move//signs_mov/5687_15371_merged.mov","MOV")</f>
        <v>21</v>
      </c>
      <c r="R9963" t="s" s="16">
        <f>HYPERLINK("http://secrets.rutgers.edu:8080/data/asl-ftp/asllvd/demos/verify_start_end_handshape_annotations//test_auto_move//signs_mov_separ_signers/Liz_15371.mov","MOV")</f>
        <v>21</v>
      </c>
    </row>
    <row r="9964" s="2" customFormat="1" ht="13.5" customHeight="1">
      <c r="B9964" s="13"/>
      <c r="C9964" t="s" s="9">
        <v>30</v>
      </c>
      <c r="D9964" t="s" s="8">
        <v>3725</v>
      </c>
      <c r="E9964" t="s" s="9">
        <v>3726</v>
      </c>
      <c r="F9964" s="19">
        <v>5</v>
      </c>
      <c r="G9964" s="17">
        <v>5</v>
      </c>
      <c r="H9964" s="19">
        <v>5</v>
      </c>
      <c r="I9964" s="17">
        <v>5</v>
      </c>
      <c r="J9964" t="s" s="11">
        <v>20</v>
      </c>
      <c r="K9964" s="15"/>
      <c r="L9964" t="s" s="16">
        <f>HYPERLINK("http://csr.bu.edu/ftp/asl/asllvd/demos/verify_start_end_handshape_annotations//test_auto_move//signs_mov_separ_signers/Brady_5687.mov","MOV")</f>
        <v>21</v>
      </c>
      <c r="M9964" t="s" s="10">
        <v>60</v>
      </c>
      <c r="N9964" s="17">
        <v>27</v>
      </c>
      <c r="O9964" s="18">
        <v>900</v>
      </c>
      <c r="P9964" s="18">
        <v>931</v>
      </c>
      <c r="Q9964" s="15"/>
      <c r="R9964" t="s" s="16">
        <f>HYPERLINK("http://secrets.rutgers.edu:8080/data/asl-ftp/asllvd/demos/verify_start_end_handshape_annotations//test_auto_move//signs_mov_separ_signers/Brady_5687.mov","MOV")</f>
        <v>21</v>
      </c>
    </row>
    <row r="9965" s="2" customFormat="1" ht="13.5" customHeight="1">
      <c r="B9965" s="13"/>
      <c r="C9965" t="s" s="9">
        <v>30</v>
      </c>
      <c r="D9965" t="s" s="8">
        <v>3725</v>
      </c>
      <c r="E9965" t="s" s="9">
        <v>3725</v>
      </c>
      <c r="F9965" s="19">
        <v>1</v>
      </c>
      <c r="G9965" t="s" s="11">
        <v>73</v>
      </c>
      <c r="H9965" s="19">
        <v>1</v>
      </c>
      <c r="I9965" t="s" s="11">
        <v>73</v>
      </c>
      <c r="J9965" t="s" s="11">
        <v>20</v>
      </c>
      <c r="K9965" s="15"/>
      <c r="L9965" t="s" s="16">
        <f>HYPERLINK("http://csr.bu.edu/ftp/asl/asllvd/demos/verify_start_end_handshape_annotations//test_auto_move//signs_mov_separ_signers/Brady_15371.mov","MOV")</f>
        <v>21</v>
      </c>
      <c r="M9965" t="s" s="10">
        <v>60</v>
      </c>
      <c r="N9965" s="17">
        <v>27</v>
      </c>
      <c r="O9965" s="18">
        <v>3121</v>
      </c>
      <c r="P9965" s="18">
        <v>3145</v>
      </c>
      <c r="Q9965" s="15"/>
      <c r="R9965" t="s" s="16">
        <f>HYPERLINK("http://secrets.rutgers.edu:8080/data/asl-ftp/asllvd/demos/verify_start_end_handshape_annotations//test_auto_move//signs_mov_separ_signers/Brady_15371.mov","MOV")</f>
        <v>21</v>
      </c>
    </row>
    <row r="9966" s="2" customFormat="1" ht="13.5" customHeight="1">
      <c r="B9966" t="s" s="8">
        <v>3728</v>
      </c>
      <c r="C9966" t="s" s="9">
        <v>14</v>
      </c>
      <c r="D9966" t="s" s="8">
        <v>14</v>
      </c>
      <c r="E9966" t="s" s="9">
        <v>14</v>
      </c>
      <c r="F9966" t="s" s="10">
        <v>14</v>
      </c>
      <c r="G9966" t="s" s="11">
        <v>14</v>
      </c>
      <c r="H9966" t="s" s="10">
        <v>14</v>
      </c>
      <c r="I9966" t="s" s="11">
        <v>14</v>
      </c>
      <c r="J9966" t="s" s="11">
        <v>14</v>
      </c>
      <c r="K9966" t="s" s="12">
        <v>14</v>
      </c>
      <c r="L9966" t="s" s="12">
        <v>14</v>
      </c>
      <c r="M9966" t="s" s="10">
        <v>14</v>
      </c>
      <c r="N9966" t="s" s="11">
        <v>14</v>
      </c>
      <c r="O9966" t="s" s="8">
        <v>14</v>
      </c>
      <c r="P9966" t="s" s="8">
        <v>14</v>
      </c>
      <c r="Q9966" t="s" s="12">
        <v>14</v>
      </c>
      <c r="R9966" t="s" s="12">
        <v>14</v>
      </c>
    </row>
    <row r="9967" s="2" customFormat="1" ht="13.5" customHeight="1">
      <c r="B9967" s="13"/>
      <c r="C9967" t="s" s="9">
        <v>16</v>
      </c>
      <c r="D9967" t="s" s="8">
        <v>3728</v>
      </c>
      <c r="E9967" t="s" s="9">
        <v>3729</v>
      </c>
      <c r="F9967" t="s" s="10">
        <v>73</v>
      </c>
      <c r="G9967" t="s" s="11">
        <v>73</v>
      </c>
      <c r="H9967" t="s" s="10">
        <v>73</v>
      </c>
      <c r="I9967" t="s" s="11">
        <v>73</v>
      </c>
      <c r="J9967" t="s" s="11">
        <v>20</v>
      </c>
      <c r="K9967" s="15"/>
      <c r="L9967" t="s" s="16">
        <f>HYPERLINK("http://csr.bu.edu/ftp/asl/asllvd/demos/verify_start_end_handshape_annotations//test_auto_move//signs_mov_separ_signers/Liz_15920.mov","MOV")</f>
        <v>21</v>
      </c>
      <c r="M9967" t="s" s="10">
        <v>34</v>
      </c>
      <c r="N9967" s="17">
        <v>21</v>
      </c>
      <c r="O9967" s="18">
        <v>2447</v>
      </c>
      <c r="P9967" s="18">
        <v>2485</v>
      </c>
      <c r="Q9967" s="15"/>
      <c r="R9967" t="s" s="16">
        <f>HYPERLINK("http://secrets.rutgers.edu:8080/data/asl-ftp/asllvd/demos/verify_start_end_handshape_annotations//test_auto_move//signs_mov_separ_signers/Liz_15920.mov","MOV")</f>
        <v>21</v>
      </c>
    </row>
    <row r="9968" s="2" customFormat="1" ht="13.5" customHeight="1">
      <c r="B9968" s="13"/>
      <c r="C9968" t="s" s="9">
        <v>23</v>
      </c>
      <c r="D9968" t="s" s="8">
        <v>3728</v>
      </c>
      <c r="E9968" t="s" s="9">
        <v>3730</v>
      </c>
      <c r="F9968" t="s" s="10">
        <v>73</v>
      </c>
      <c r="G9968" t="s" s="11">
        <v>73</v>
      </c>
      <c r="H9968" t="s" s="10">
        <v>73</v>
      </c>
      <c r="I9968" t="s" s="11">
        <v>73</v>
      </c>
      <c r="J9968" t="s" s="11">
        <v>20</v>
      </c>
      <c r="K9968" s="15"/>
      <c r="L9968" t="s" s="16">
        <f>HYPERLINK("http://csr.bu.edu/ftp/asl/asllvd/demos/verify_start_end_handshape_annotations//test_auto_move//signs_mov_separ_signers/Tyler_15920.mov","MOV")</f>
        <v>21</v>
      </c>
      <c r="M9968" t="s" s="10">
        <v>92</v>
      </c>
      <c r="N9968" s="17">
        <v>49</v>
      </c>
      <c r="O9968" s="18">
        <v>1692</v>
      </c>
      <c r="P9968" s="18">
        <v>1725</v>
      </c>
      <c r="Q9968" s="15"/>
      <c r="R9968" t="s" s="16">
        <f>HYPERLINK("http://secrets.rutgers.edu:8080/data/asl-ftp/asllvd/demos/verify_start_end_handshape_annotations//test_auto_move//signs_mov_separ_signers/Tyler_15920.mov","MOV")</f>
        <v>21</v>
      </c>
    </row>
    <row r="9969" s="2" customFormat="1" ht="13.5" customHeight="1">
      <c r="B9969" s="13"/>
      <c r="C9969" t="s" s="9">
        <v>27</v>
      </c>
      <c r="D9969" t="s" s="8">
        <v>3728</v>
      </c>
      <c r="E9969" t="s" s="9">
        <v>3729</v>
      </c>
      <c r="F9969" t="s" s="10">
        <v>73</v>
      </c>
      <c r="G9969" t="s" s="11">
        <v>73</v>
      </c>
      <c r="H9969" t="s" s="10">
        <v>73</v>
      </c>
      <c r="I9969" t="s" s="11">
        <v>73</v>
      </c>
      <c r="J9969" t="s" s="11">
        <v>20</v>
      </c>
      <c r="K9969" t="s" s="16">
        <f>HYPERLINK("http://csr.bu.edu/ftp/asl/asllvd/demos/verify_start_end_handshape_annotations//test_auto_move//signs_mov/15920.mov","MOV")</f>
        <v>21</v>
      </c>
      <c r="L9969" t="s" s="16">
        <f>HYPERLINK("http://csr.bu.edu/ftp/asl/asllvd/demos/verify_start_end_handshape_annotations//test_auto_move//signs_mov_separ_signers/Naomi_15920.mov","MOV")</f>
        <v>21</v>
      </c>
      <c r="M9969" t="s" s="10">
        <v>38</v>
      </c>
      <c r="N9969" s="17">
        <v>17</v>
      </c>
      <c r="O9969" s="18">
        <v>2493</v>
      </c>
      <c r="P9969" s="18">
        <v>2525</v>
      </c>
      <c r="Q9969" t="s" s="16">
        <f>HYPERLINK("http://secrets.rutgers.edu:8080/data/asl-ftp/asllvd/demos/verify_start_end_handshape_annotations//test_auto_move//signs_mov/15920.mov","MOV")</f>
        <v>21</v>
      </c>
      <c r="R9969" t="s" s="16">
        <f>HYPERLINK("http://secrets.rutgers.edu:8080/data/asl-ftp/asllvd/demos/verify_start_end_handshape_annotations//test_auto_move//signs_mov_separ_signers/Naomi_15920.mov","MOV")</f>
        <v>21</v>
      </c>
    </row>
    <row r="9970" s="2" customFormat="1" ht="13.5" customHeight="1">
      <c r="B9970" s="13"/>
      <c r="C9970" t="s" s="9">
        <v>30</v>
      </c>
      <c r="D9970" t="s" s="8">
        <v>3728</v>
      </c>
      <c r="E9970" t="s" s="9">
        <v>3730</v>
      </c>
      <c r="F9970" t="s" s="10">
        <v>73</v>
      </c>
      <c r="G9970" t="s" s="11">
        <v>73</v>
      </c>
      <c r="H9970" t="s" s="10">
        <v>73</v>
      </c>
      <c r="I9970" t="s" s="11">
        <v>73</v>
      </c>
      <c r="J9970" t="s" s="11">
        <v>20</v>
      </c>
      <c r="K9970" s="15"/>
      <c r="L9970" t="s" s="16">
        <f>HYPERLINK("http://csr.bu.edu/ftp/asl/asllvd/demos/verify_start_end_handshape_annotations//test_auto_move//signs_mov_separ_signers/Brady_15920.mov","MOV")</f>
        <v>21</v>
      </c>
      <c r="M9970" t="s" s="10">
        <v>39</v>
      </c>
      <c r="N9970" s="17">
        <v>33</v>
      </c>
      <c r="O9970" s="18">
        <v>5842</v>
      </c>
      <c r="P9970" s="18">
        <v>5869</v>
      </c>
      <c r="Q9970" s="15"/>
      <c r="R9970" t="s" s="16">
        <f>HYPERLINK("http://secrets.rutgers.edu:8080/data/asl-ftp/asllvd/demos/verify_start_end_handshape_annotations//test_auto_move//signs_mov_separ_signers/Brady_15920.mov","MOV")</f>
        <v>21</v>
      </c>
    </row>
    <row r="9971" s="2" customFormat="1" ht="13.5" customHeight="1">
      <c r="B9971" s="13"/>
      <c r="C9971" t="s" s="9">
        <v>41</v>
      </c>
      <c r="D9971" t="s" s="8">
        <v>3728</v>
      </c>
      <c r="E9971" t="s" s="9">
        <v>3730</v>
      </c>
      <c r="F9971" t="s" s="10">
        <v>73</v>
      </c>
      <c r="G9971" t="s" s="11">
        <v>73</v>
      </c>
      <c r="H9971" t="s" s="10">
        <v>73</v>
      </c>
      <c r="I9971" t="s" s="11">
        <v>73</v>
      </c>
      <c r="J9971" t="s" s="11">
        <v>20</v>
      </c>
      <c r="K9971" s="15"/>
      <c r="L9971" t="s" s="16">
        <f>HYPERLINK("http://csr.bu.edu/ftp/asl/asllvd/demos/verify_start_end_handshape_annotations//test_auto_move//signs_mov_separ_signers/Lana_15920.mov","MOV")</f>
        <v>21</v>
      </c>
      <c r="M9971" t="s" s="10">
        <v>245</v>
      </c>
      <c r="N9971" s="17">
        <v>22</v>
      </c>
      <c r="O9971" s="18">
        <v>1454</v>
      </c>
      <c r="P9971" s="18">
        <v>1522</v>
      </c>
      <c r="Q9971" s="15"/>
      <c r="R9971" t="s" s="16">
        <f>HYPERLINK("http://secrets.rutgers.edu:8080/data/asl-ftp/asllvd/demos/verify_start_end_handshape_annotations//test_auto_move//signs_mov_separ_signers/Lana_15920.mov","MOV")</f>
        <v>21</v>
      </c>
    </row>
    <row r="9972" s="2" customFormat="1" ht="13.5" customHeight="1">
      <c r="B9972" t="s" s="8">
        <v>3731</v>
      </c>
      <c r="C9972" t="s" s="9">
        <v>14</v>
      </c>
      <c r="D9972" t="s" s="8">
        <v>14</v>
      </c>
      <c r="E9972" t="s" s="9">
        <v>14</v>
      </c>
      <c r="F9972" t="s" s="10">
        <v>14</v>
      </c>
      <c r="G9972" t="s" s="11">
        <v>14</v>
      </c>
      <c r="H9972" t="s" s="10">
        <v>14</v>
      </c>
      <c r="I9972" t="s" s="11">
        <v>14</v>
      </c>
      <c r="J9972" t="s" s="11">
        <v>14</v>
      </c>
      <c r="K9972" t="s" s="12">
        <v>14</v>
      </c>
      <c r="L9972" t="s" s="12">
        <v>14</v>
      </c>
      <c r="M9972" t="s" s="10">
        <v>14</v>
      </c>
      <c r="N9972" t="s" s="11">
        <v>14</v>
      </c>
      <c r="O9972" t="s" s="8">
        <v>14</v>
      </c>
      <c r="P9972" t="s" s="8">
        <v>14</v>
      </c>
      <c r="Q9972" t="s" s="12">
        <v>14</v>
      </c>
      <c r="R9972" t="s" s="12">
        <v>14</v>
      </c>
    </row>
    <row r="9973" s="2" customFormat="1" ht="13.5" customHeight="1">
      <c r="B9973" s="13"/>
      <c r="C9973" t="s" s="9">
        <v>16</v>
      </c>
      <c r="D9973" t="s" s="8">
        <v>3731</v>
      </c>
      <c r="E9973" t="s" s="9">
        <v>3731</v>
      </c>
      <c r="F9973" t="s" s="10">
        <v>406</v>
      </c>
      <c r="G9973" s="14"/>
      <c r="H9973" t="s" s="10">
        <v>386</v>
      </c>
      <c r="I9973" s="14"/>
      <c r="J9973" t="s" s="11">
        <v>20</v>
      </c>
      <c r="K9973" t="s" s="16">
        <f>HYPERLINK("http://csr.bu.edu/ftp/asl/asllvd/demos/verify_start_end_handshape_annotations//test_auto_move//signs_mov/16216.mov","MOV")</f>
        <v>21</v>
      </c>
      <c r="L9973" t="s" s="16">
        <f>HYPERLINK("http://csr.bu.edu/ftp/asl/asllvd/demos/verify_start_end_handshape_annotations//test_auto_move//signs_mov_separ_signers/Liz_16216.mov","MOV")</f>
        <v>21</v>
      </c>
      <c r="M9973" t="s" s="10">
        <v>59</v>
      </c>
      <c r="N9973" s="17">
        <v>39</v>
      </c>
      <c r="O9973" s="18">
        <v>2112</v>
      </c>
      <c r="P9973" s="18">
        <v>2175</v>
      </c>
      <c r="Q9973" t="s" s="16">
        <f>HYPERLINK("http://secrets.rutgers.edu:8080/data/asl-ftp/asllvd/demos/verify_start_end_handshape_annotations//test_auto_move//signs_mov/16216.mov","MOV")</f>
        <v>21</v>
      </c>
      <c r="R9973" t="s" s="16">
        <f>HYPERLINK("http://secrets.rutgers.edu:8080/data/asl-ftp/asllvd/demos/verify_start_end_handshape_annotations//test_auto_move//signs_mov_separ_signers/Liz_16216.mov","MOV")</f>
        <v>21</v>
      </c>
    </row>
    <row r="9974" s="2" customFormat="1" ht="13.5" customHeight="1">
      <c r="B9974" s="13"/>
      <c r="C9974" t="s" s="9">
        <v>30</v>
      </c>
      <c r="D9974" t="s" s="8">
        <v>3731</v>
      </c>
      <c r="E9974" t="s" s="9">
        <v>3731</v>
      </c>
      <c r="F9974" s="19">
        <v>5</v>
      </c>
      <c r="G9974" s="14"/>
      <c r="H9974" t="s" s="10">
        <v>386</v>
      </c>
      <c r="I9974" s="14"/>
      <c r="J9974" t="s" s="11">
        <v>20</v>
      </c>
      <c r="K9974" s="15"/>
      <c r="L9974" t="s" s="16">
        <f>HYPERLINK("http://csr.bu.edu/ftp/asl/asllvd/demos/verify_start_end_handshape_annotations//test_auto_move//signs_mov_separ_signers/Brady_16216.mov","MOV")</f>
        <v>21</v>
      </c>
      <c r="M9974" t="s" s="10">
        <v>60</v>
      </c>
      <c r="N9974" s="17">
        <v>27</v>
      </c>
      <c r="O9974" s="18">
        <v>3338</v>
      </c>
      <c r="P9974" s="18">
        <v>3370</v>
      </c>
      <c r="Q9974" s="15"/>
      <c r="R9974" t="s" s="16">
        <f>HYPERLINK("http://secrets.rutgers.edu:8080/data/asl-ftp/asllvd/demos/verify_start_end_handshape_annotations//test_auto_move//signs_mov_separ_signers/Brady_16216.mov","MOV")</f>
        <v>21</v>
      </c>
    </row>
    <row r="9975" s="2" customFormat="1" ht="13.5" customHeight="1">
      <c r="B9975" t="s" s="8">
        <v>3732</v>
      </c>
      <c r="C9975" t="s" s="9">
        <v>14</v>
      </c>
      <c r="D9975" t="s" s="8">
        <v>14</v>
      </c>
      <c r="E9975" t="s" s="9">
        <v>14</v>
      </c>
      <c r="F9975" t="s" s="10">
        <v>14</v>
      </c>
      <c r="G9975" t="s" s="11">
        <v>14</v>
      </c>
      <c r="H9975" t="s" s="10">
        <v>14</v>
      </c>
      <c r="I9975" t="s" s="11">
        <v>14</v>
      </c>
      <c r="J9975" t="s" s="11">
        <v>14</v>
      </c>
      <c r="K9975" t="s" s="12">
        <v>14</v>
      </c>
      <c r="L9975" t="s" s="12">
        <v>14</v>
      </c>
      <c r="M9975" t="s" s="10">
        <v>14</v>
      </c>
      <c r="N9975" t="s" s="11">
        <v>14</v>
      </c>
      <c r="O9975" t="s" s="8">
        <v>14</v>
      </c>
      <c r="P9975" t="s" s="8">
        <v>14</v>
      </c>
      <c r="Q9975" t="s" s="12">
        <v>14</v>
      </c>
      <c r="R9975" t="s" s="12">
        <v>14</v>
      </c>
    </row>
    <row r="9976" s="2" customFormat="1" ht="13.5" customHeight="1">
      <c r="B9976" s="13"/>
      <c r="C9976" t="s" s="9">
        <v>16</v>
      </c>
      <c r="D9976" t="s" s="8">
        <v>3732</v>
      </c>
      <c r="E9976" t="s" s="9">
        <v>3732</v>
      </c>
      <c r="F9976" t="s" s="10">
        <v>68</v>
      </c>
      <c r="G9976" t="s" s="11">
        <v>68</v>
      </c>
      <c r="H9976" s="19">
        <v>1</v>
      </c>
      <c r="I9976" s="17">
        <v>1</v>
      </c>
      <c r="J9976" t="s" s="11">
        <v>20</v>
      </c>
      <c r="K9976" s="15"/>
      <c r="L9976" t="s" s="16">
        <f>HYPERLINK("http://csr.bu.edu/ftp/asl/asllvd/demos/verify_start_end_handshape_annotations//test_auto_move//signs_mov_separ_signers/Liz_3241.mov","MOV")</f>
        <v>21</v>
      </c>
      <c r="M9976" t="s" s="10">
        <v>36</v>
      </c>
      <c r="N9976" s="17">
        <v>41</v>
      </c>
      <c r="O9976" s="18">
        <v>266</v>
      </c>
      <c r="P9976" s="18">
        <v>290</v>
      </c>
      <c r="Q9976" s="15"/>
      <c r="R9976" t="s" s="16">
        <f>HYPERLINK("http://secrets.rutgers.edu:8080/data/asl-ftp/asllvd/demos/verify_start_end_handshape_annotations//test_auto_move//signs_mov_separ_signers/Liz_3241.mov","MOV")</f>
        <v>21</v>
      </c>
    </row>
    <row r="9977" s="2" customFormat="1" ht="13.5" customHeight="1">
      <c r="B9977" s="13"/>
      <c r="C9977" t="s" s="9">
        <v>16</v>
      </c>
      <c r="D9977" t="s" s="8">
        <v>3732</v>
      </c>
      <c r="E9977" t="s" s="9">
        <v>3732</v>
      </c>
      <c r="F9977" t="s" s="10">
        <v>68</v>
      </c>
      <c r="G9977" t="s" s="11">
        <v>68</v>
      </c>
      <c r="H9977" s="19">
        <v>1</v>
      </c>
      <c r="I9977" s="17">
        <v>1</v>
      </c>
      <c r="J9977" t="s" s="11">
        <v>20</v>
      </c>
      <c r="K9977" t="s" s="16">
        <f>HYPERLINK("http://csr.bu.edu/ftp/asl/asllvd/demos/verify_start_end_handshape_annotations//test_auto_move//signs_mov/3241_5982_merged.mov","MOV")</f>
        <v>21</v>
      </c>
      <c r="L9977" t="s" s="16">
        <f>HYPERLINK("http://csr.bu.edu/ftp/asl/asllvd/demos/verify_start_end_handshape_annotations//test_auto_move//signs_mov_separ_signers/Liz_5982.mov","MOV")</f>
        <v>21</v>
      </c>
      <c r="M9977" t="s" s="10">
        <v>77</v>
      </c>
      <c r="N9977" s="17">
        <v>15</v>
      </c>
      <c r="O9977" s="18">
        <v>4292</v>
      </c>
      <c r="P9977" s="18">
        <v>4356</v>
      </c>
      <c r="Q9977" t="s" s="16">
        <f>HYPERLINK("http://secrets.rutgers.edu:8080/data/asl-ftp/asllvd/demos/verify_start_end_handshape_annotations//test_auto_move//signs_mov/3241_5982_merged.mov","MOV")</f>
        <v>21</v>
      </c>
      <c r="R9977" t="s" s="16">
        <f>HYPERLINK("http://secrets.rutgers.edu:8080/data/asl-ftp/asllvd/demos/verify_start_end_handshape_annotations//test_auto_move//signs_mov_separ_signers/Liz_5982.mov","MOV")</f>
        <v>21</v>
      </c>
    </row>
    <row r="9978" s="2" customFormat="1" ht="13.5" customHeight="1">
      <c r="B9978" s="13"/>
      <c r="C9978" t="s" s="9">
        <v>30</v>
      </c>
      <c r="D9978" t="s" s="8">
        <v>3732</v>
      </c>
      <c r="E9978" t="s" s="9">
        <v>3732</v>
      </c>
      <c r="F9978" t="s" s="10">
        <v>68</v>
      </c>
      <c r="G9978" t="s" s="11">
        <v>68</v>
      </c>
      <c r="H9978" s="19">
        <v>1</v>
      </c>
      <c r="I9978" s="17">
        <v>1</v>
      </c>
      <c r="J9978" t="s" s="11">
        <v>20</v>
      </c>
      <c r="K9978" s="15"/>
      <c r="L9978" t="s" s="16">
        <f>HYPERLINK("http://csr.bu.edu/ftp/asl/asllvd/demos/verify_start_end_handshape_annotations//test_auto_move//signs_mov_separ_signers/Brady_3241.mov","MOV")</f>
        <v>21</v>
      </c>
      <c r="M9978" t="s" s="10">
        <v>60</v>
      </c>
      <c r="N9978" s="17">
        <v>53</v>
      </c>
      <c r="O9978" s="18">
        <v>3116</v>
      </c>
      <c r="P9978" s="18">
        <v>3144</v>
      </c>
      <c r="Q9978" s="15"/>
      <c r="R9978" t="s" s="16">
        <f>HYPERLINK("http://secrets.rutgers.edu:8080/data/asl-ftp/asllvd/demos/verify_start_end_handshape_annotations//test_auto_move//signs_mov_separ_signers/Brady_3241.mov","MOV")</f>
        <v>21</v>
      </c>
    </row>
    <row r="9979" s="2" customFormat="1" ht="13.5" customHeight="1">
      <c r="B9979" t="s" s="8">
        <v>52</v>
      </c>
      <c r="C9979" t="s" s="9">
        <v>53</v>
      </c>
      <c r="D9979" t="s" s="8">
        <v>53</v>
      </c>
      <c r="E9979" t="s" s="9">
        <v>53</v>
      </c>
      <c r="F9979" t="s" s="10">
        <v>53</v>
      </c>
      <c r="G9979" t="s" s="11">
        <v>53</v>
      </c>
      <c r="H9979" t="s" s="10">
        <v>53</v>
      </c>
      <c r="I9979" t="s" s="11">
        <v>53</v>
      </c>
      <c r="J9979" t="s" s="11">
        <v>53</v>
      </c>
      <c r="K9979" t="s" s="12">
        <v>53</v>
      </c>
      <c r="L9979" t="s" s="12">
        <v>53</v>
      </c>
      <c r="M9979" t="s" s="10">
        <v>53</v>
      </c>
      <c r="N9979" t="s" s="11">
        <v>53</v>
      </c>
      <c r="O9979" t="s" s="8">
        <v>53</v>
      </c>
      <c r="P9979" t="s" s="8">
        <v>53</v>
      </c>
      <c r="Q9979" t="s" s="12">
        <v>53</v>
      </c>
      <c r="R9979" t="s" s="12">
        <v>53</v>
      </c>
    </row>
    <row r="9980" s="2" customFormat="1" ht="13.5" customHeight="1">
      <c r="B9980" s="13"/>
      <c r="C9980" t="s" s="9">
        <v>16</v>
      </c>
      <c r="D9980" t="s" s="8">
        <v>3732</v>
      </c>
      <c r="E9980" t="s" s="9">
        <v>3733</v>
      </c>
      <c r="F9980" t="s" s="10">
        <v>68</v>
      </c>
      <c r="G9980" t="s" s="11">
        <v>68</v>
      </c>
      <c r="H9980" s="19">
        <v>5</v>
      </c>
      <c r="I9980" s="17">
        <v>5</v>
      </c>
      <c r="J9980" t="s" s="11">
        <v>20</v>
      </c>
      <c r="K9980" s="15"/>
      <c r="L9980" t="s" s="16">
        <f>HYPERLINK("http://csr.bu.edu/ftp/asl/asllvd/demos/verify_start_end_handshape_annotations//test_auto_move//signs_mov_separ_signers/Liz_15447.mov","MOV")</f>
        <v>21</v>
      </c>
      <c r="M9980" t="s" s="10">
        <v>36</v>
      </c>
      <c r="N9980" s="17">
        <v>40</v>
      </c>
      <c r="O9980" s="18">
        <v>2651</v>
      </c>
      <c r="P9980" s="18">
        <v>2675</v>
      </c>
      <c r="Q9980" s="15"/>
      <c r="R9980" t="s" s="16">
        <f>HYPERLINK("http://secrets.rutgers.edu:8080/data/asl-ftp/asllvd/demos/verify_start_end_handshape_annotations//test_auto_move//signs_mov_separ_signers/Liz_15447.mov","MOV")</f>
        <v>21</v>
      </c>
    </row>
    <row r="9981" s="2" customFormat="1" ht="13.5" customHeight="1">
      <c r="B9981" s="13"/>
      <c r="C9981" t="s" s="9">
        <v>30</v>
      </c>
      <c r="D9981" t="s" s="8">
        <v>3732</v>
      </c>
      <c r="E9981" t="s" s="9">
        <v>3733</v>
      </c>
      <c r="F9981" t="s" s="10">
        <v>68</v>
      </c>
      <c r="G9981" t="s" s="11">
        <v>68</v>
      </c>
      <c r="H9981" s="19">
        <v>5</v>
      </c>
      <c r="I9981" s="17">
        <v>5</v>
      </c>
      <c r="J9981" t="s" s="11">
        <v>20</v>
      </c>
      <c r="K9981" t="s" s="16">
        <f>HYPERLINK("http://csr.bu.edu/ftp/asl/asllvd/demos/verify_start_end_handshape_annotations//test_auto_move//signs_mov/15447_15487_merged.mov","MOV")</f>
        <v>21</v>
      </c>
      <c r="L9981" t="s" s="16">
        <f>HYPERLINK("http://csr.bu.edu/ftp/asl/asllvd/demos/verify_start_end_handshape_annotations//test_auto_move//signs_mov_separ_signers/Brady_15447.mov","MOV")</f>
        <v>21</v>
      </c>
      <c r="M9981" t="s" s="10">
        <v>31</v>
      </c>
      <c r="N9981" s="17">
        <v>36</v>
      </c>
      <c r="O9981" s="18">
        <v>4748</v>
      </c>
      <c r="P9981" s="18">
        <v>4766</v>
      </c>
      <c r="Q9981" t="s" s="16">
        <f>HYPERLINK("http://secrets.rutgers.edu:8080/data/asl-ftp/asllvd/demos/verify_start_end_handshape_annotations//test_auto_move//signs_mov/15447_15487_merged.mov","MOV")</f>
        <v>21</v>
      </c>
      <c r="R9981" t="s" s="16">
        <f>HYPERLINK("http://secrets.rutgers.edu:8080/data/asl-ftp/asllvd/demos/verify_start_end_handshape_annotations//test_auto_move//signs_mov_separ_signers/Brady_15447.mov","MOV")</f>
        <v>21</v>
      </c>
    </row>
    <row r="9982" s="2" customFormat="1" ht="13.5" customHeight="1">
      <c r="B9982" s="13"/>
      <c r="C9982" t="s" s="9">
        <v>30</v>
      </c>
      <c r="D9982" t="s" s="8">
        <v>3732</v>
      </c>
      <c r="E9982" t="s" s="9">
        <v>3733</v>
      </c>
      <c r="F9982" t="s" s="10">
        <v>68</v>
      </c>
      <c r="G9982" t="s" s="11">
        <v>68</v>
      </c>
      <c r="H9982" s="19">
        <v>5</v>
      </c>
      <c r="I9982" s="17">
        <v>5</v>
      </c>
      <c r="J9982" t="s" s="11">
        <v>20</v>
      </c>
      <c r="K9982" s="15"/>
      <c r="L9982" t="s" s="16">
        <f>HYPERLINK("http://csr.bu.edu/ftp/asl/asllvd/demos/verify_start_end_handshape_annotations//test_auto_move//signs_mov_separ_signers/Brady_15487.mov","MOV")</f>
        <v>21</v>
      </c>
      <c r="M9982" t="s" s="10">
        <v>60</v>
      </c>
      <c r="N9982" s="17">
        <v>53</v>
      </c>
      <c r="O9982" s="18">
        <v>2790</v>
      </c>
      <c r="P9982" s="18">
        <v>2808</v>
      </c>
      <c r="Q9982" s="15"/>
      <c r="R9982" t="s" s="16">
        <f>HYPERLINK("http://secrets.rutgers.edu:8080/data/asl-ftp/asllvd/demos/verify_start_end_handshape_annotations//test_auto_move//signs_mov_separ_signers/Brady_15487.mov","MOV")</f>
        <v>21</v>
      </c>
    </row>
    <row r="9983" s="2" customFormat="1" ht="13.5" customHeight="1">
      <c r="B9983" t="s" s="8">
        <v>3734</v>
      </c>
      <c r="C9983" t="s" s="9">
        <v>14</v>
      </c>
      <c r="D9983" t="s" s="8">
        <v>14</v>
      </c>
      <c r="E9983" t="s" s="9">
        <v>14</v>
      </c>
      <c r="F9983" t="s" s="10">
        <v>14</v>
      </c>
      <c r="G9983" t="s" s="11">
        <v>14</v>
      </c>
      <c r="H9983" t="s" s="10">
        <v>14</v>
      </c>
      <c r="I9983" t="s" s="11">
        <v>14</v>
      </c>
      <c r="J9983" t="s" s="11">
        <v>14</v>
      </c>
      <c r="K9983" t="s" s="12">
        <v>14</v>
      </c>
      <c r="L9983" t="s" s="12">
        <v>14</v>
      </c>
      <c r="M9983" t="s" s="10">
        <v>14</v>
      </c>
      <c r="N9983" t="s" s="11">
        <v>14</v>
      </c>
      <c r="O9983" t="s" s="8">
        <v>14</v>
      </c>
      <c r="P9983" t="s" s="8">
        <v>14</v>
      </c>
      <c r="Q9983" t="s" s="12">
        <v>14</v>
      </c>
      <c r="R9983" t="s" s="12">
        <v>14</v>
      </c>
    </row>
    <row r="9984" s="2" customFormat="1" ht="13.5" customHeight="1">
      <c r="B9984" s="13"/>
      <c r="C9984" t="s" s="9">
        <v>41</v>
      </c>
      <c r="D9984" t="s" s="8">
        <v>3735</v>
      </c>
      <c r="E9984" t="s" s="9">
        <v>3735</v>
      </c>
      <c r="F9984" s="19">
        <v>5</v>
      </c>
      <c r="G9984" s="14"/>
      <c r="H9984" s="19">
        <v>5</v>
      </c>
      <c r="I9984" s="14"/>
      <c r="J9984" t="s" s="11">
        <v>20</v>
      </c>
      <c r="K9984" t="s" s="16">
        <f>HYPERLINK("http://csr.bu.edu/ftp/asl/asllvd/demos/verify_start_end_handshape_annotations//test_auto_move//signs_mov/3280.mov","MOV")</f>
        <v>21</v>
      </c>
      <c r="L9984" t="s" s="16">
        <f>HYPERLINK("http://csr.bu.edu/ftp/asl/asllvd/demos/verify_start_end_handshape_annotations//test_auto_move//signs_mov_separ_signers/Lana_3280.mov","MOV")</f>
        <v>21</v>
      </c>
      <c r="M9984" t="s" s="10">
        <v>42</v>
      </c>
      <c r="N9984" s="17">
        <v>17</v>
      </c>
      <c r="O9984" s="18">
        <v>2569</v>
      </c>
      <c r="P9984" s="18">
        <v>2620</v>
      </c>
      <c r="Q9984" t="s" s="16">
        <f>HYPERLINK("http://secrets.rutgers.edu:8080/data/asl-ftp/asllvd/demos/verify_start_end_handshape_annotations//test_auto_move//signs_mov/3280.mov","MOV")</f>
        <v>21</v>
      </c>
      <c r="R9984" t="s" s="16">
        <f>HYPERLINK("http://secrets.rutgers.edu:8080/data/asl-ftp/asllvd/demos/verify_start_end_handshape_annotations//test_auto_move//signs_mov_separ_signers/Lana_3280.mov","MOV")</f>
        <v>21</v>
      </c>
    </row>
    <row r="9985" s="2" customFormat="1" ht="13.5" customHeight="1">
      <c r="B9985" t="s" s="8">
        <v>3736</v>
      </c>
      <c r="C9985" t="s" s="9">
        <v>14</v>
      </c>
      <c r="D9985" t="s" s="8">
        <v>14</v>
      </c>
      <c r="E9985" t="s" s="9">
        <v>14</v>
      </c>
      <c r="F9985" t="s" s="10">
        <v>14</v>
      </c>
      <c r="G9985" t="s" s="11">
        <v>14</v>
      </c>
      <c r="H9985" t="s" s="10">
        <v>14</v>
      </c>
      <c r="I9985" t="s" s="11">
        <v>14</v>
      </c>
      <c r="J9985" t="s" s="11">
        <v>14</v>
      </c>
      <c r="K9985" t="s" s="12">
        <v>14</v>
      </c>
      <c r="L9985" t="s" s="12">
        <v>14</v>
      </c>
      <c r="M9985" t="s" s="10">
        <v>14</v>
      </c>
      <c r="N9985" t="s" s="11">
        <v>14</v>
      </c>
      <c r="O9985" t="s" s="8">
        <v>14</v>
      </c>
      <c r="P9985" t="s" s="8">
        <v>14</v>
      </c>
      <c r="Q9985" t="s" s="12">
        <v>14</v>
      </c>
      <c r="R9985" t="s" s="12">
        <v>14</v>
      </c>
    </row>
    <row r="9986" s="2" customFormat="1" ht="13.5" customHeight="1">
      <c r="B9986" s="13"/>
      <c r="C9986" t="s" s="9">
        <v>16</v>
      </c>
      <c r="D9986" t="s" s="8">
        <v>3736</v>
      </c>
      <c r="E9986" t="s" s="9">
        <v>3736</v>
      </c>
      <c r="F9986" s="19">
        <v>5</v>
      </c>
      <c r="G9986" t="s" s="11">
        <v>51</v>
      </c>
      <c r="H9986" s="19">
        <v>5</v>
      </c>
      <c r="I9986" t="s" s="11">
        <v>51</v>
      </c>
      <c r="J9986" t="s" s="11">
        <v>20</v>
      </c>
      <c r="K9986" t="s" s="16">
        <f>HYPERLINK("http://csr.bu.edu/ftp/asl/asllvd/demos/verify_start_end_handshape_annotations//test_auto_move//signs_mov/15583.mov","MOV")</f>
        <v>21</v>
      </c>
      <c r="L9986" t="s" s="16">
        <f>HYPERLINK("http://csr.bu.edu/ftp/asl/asllvd/demos/verify_start_end_handshape_annotations//test_auto_move//signs_mov_separ_signers/Liz_15583.mov","MOV")</f>
        <v>21</v>
      </c>
      <c r="M9986" t="s" s="10">
        <v>36</v>
      </c>
      <c r="N9986" s="17">
        <v>54</v>
      </c>
      <c r="O9986" s="18">
        <v>1080</v>
      </c>
      <c r="P9986" s="18">
        <v>1152</v>
      </c>
      <c r="Q9986" t="s" s="16">
        <f>HYPERLINK("http://secrets.rutgers.edu:8080/data/asl-ftp/asllvd/demos/verify_start_end_handshape_annotations//test_auto_move//signs_mov/15583.mov","MOV")</f>
        <v>21</v>
      </c>
      <c r="R9986" t="s" s="16">
        <f>HYPERLINK("http://secrets.rutgers.edu:8080/data/asl-ftp/asllvd/demos/verify_start_end_handshape_annotations//test_auto_move//signs_mov_separ_signers/Liz_15583.mov","MOV")</f>
        <v>21</v>
      </c>
    </row>
    <row r="9987" s="2" customFormat="1" ht="13.5" customHeight="1">
      <c r="B9987" s="13"/>
      <c r="C9987" t="s" s="9">
        <v>30</v>
      </c>
      <c r="D9987" t="s" s="8">
        <v>3736</v>
      </c>
      <c r="E9987" t="s" s="9">
        <v>3736</v>
      </c>
      <c r="F9987" s="19">
        <v>5</v>
      </c>
      <c r="G9987" t="s" s="11">
        <v>51</v>
      </c>
      <c r="H9987" s="19">
        <v>5</v>
      </c>
      <c r="I9987" t="s" s="11">
        <v>51</v>
      </c>
      <c r="J9987" t="s" s="11">
        <v>20</v>
      </c>
      <c r="K9987" s="15"/>
      <c r="L9987" t="s" s="16">
        <f>HYPERLINK("http://csr.bu.edu/ftp/asl/asllvd/demos/verify_start_end_handshape_annotations//test_auto_move//signs_mov_separ_signers/Brady_15583.mov","MOV")</f>
        <v>21</v>
      </c>
      <c r="M9987" t="s" s="10">
        <v>40</v>
      </c>
      <c r="N9987" s="17">
        <v>106</v>
      </c>
      <c r="O9987" s="18">
        <v>455</v>
      </c>
      <c r="P9987" s="18">
        <v>510</v>
      </c>
      <c r="Q9987" s="15"/>
      <c r="R9987" t="s" s="16">
        <f>HYPERLINK("http://secrets.rutgers.edu:8080/data/asl-ftp/asllvd/demos/verify_start_end_handshape_annotations//test_auto_move//signs_mov_separ_signers/Brady_15583.mov","MOV")</f>
        <v>21</v>
      </c>
    </row>
    <row r="9988" s="2" customFormat="1" ht="13.5" customHeight="1">
      <c r="B9988" t="s" s="8">
        <v>3737</v>
      </c>
      <c r="C9988" t="s" s="9">
        <v>14</v>
      </c>
      <c r="D9988" t="s" s="8">
        <v>14</v>
      </c>
      <c r="E9988" t="s" s="9">
        <v>14</v>
      </c>
      <c r="F9988" t="s" s="10">
        <v>14</v>
      </c>
      <c r="G9988" t="s" s="11">
        <v>14</v>
      </c>
      <c r="H9988" t="s" s="10">
        <v>14</v>
      </c>
      <c r="I9988" t="s" s="11">
        <v>14</v>
      </c>
      <c r="J9988" t="s" s="11">
        <v>14</v>
      </c>
      <c r="K9988" t="s" s="12">
        <v>14</v>
      </c>
      <c r="L9988" t="s" s="12">
        <v>14</v>
      </c>
      <c r="M9988" t="s" s="10">
        <v>14</v>
      </c>
      <c r="N9988" t="s" s="11">
        <v>14</v>
      </c>
      <c r="O9988" t="s" s="8">
        <v>14</v>
      </c>
      <c r="P9988" t="s" s="8">
        <v>14</v>
      </c>
      <c r="Q9988" t="s" s="12">
        <v>14</v>
      </c>
      <c r="R9988" t="s" s="12">
        <v>14</v>
      </c>
    </row>
    <row r="9989" s="2" customFormat="1" ht="13.5" customHeight="1">
      <c r="B9989" s="13"/>
      <c r="C9989" t="s" s="9">
        <v>16</v>
      </c>
      <c r="D9989" t="s" s="8">
        <v>3737</v>
      </c>
      <c r="E9989" t="s" s="9">
        <v>3737</v>
      </c>
      <c r="F9989" s="19">
        <v>5</v>
      </c>
      <c r="G9989" s="14"/>
      <c r="H9989" s="19">
        <v>5</v>
      </c>
      <c r="I9989" s="14"/>
      <c r="J9989" t="s" s="11">
        <v>20</v>
      </c>
      <c r="K9989" s="15"/>
      <c r="L9989" t="s" s="16">
        <f>HYPERLINK("http://csr.bu.edu/ftp/asl/asllvd/demos/verify_start_end_handshape_annotations//test_auto_move//signs_mov_separ_signers/Liz_16050.mov","MOV")</f>
        <v>21</v>
      </c>
      <c r="M9989" t="s" s="10">
        <v>22</v>
      </c>
      <c r="N9989" s="17">
        <v>20</v>
      </c>
      <c r="O9989" s="18">
        <v>800</v>
      </c>
      <c r="P9989" s="18">
        <v>855</v>
      </c>
      <c r="Q9989" s="15"/>
      <c r="R9989" t="s" s="16">
        <f>HYPERLINK("http://secrets.rutgers.edu:8080/data/asl-ftp/asllvd/demos/verify_start_end_handshape_annotations//test_auto_move//signs_mov_separ_signers/Liz_16050.mov","MOV")</f>
        <v>21</v>
      </c>
    </row>
    <row r="9990" s="2" customFormat="1" ht="13.5" customHeight="1">
      <c r="B9990" s="13"/>
      <c r="C9990" t="s" s="9">
        <v>23</v>
      </c>
      <c r="D9990" t="s" s="8">
        <v>3737</v>
      </c>
      <c r="E9990" t="s" s="9">
        <v>3738</v>
      </c>
      <c r="F9990" s="19">
        <v>5</v>
      </c>
      <c r="G9990" s="14"/>
      <c r="H9990" s="19">
        <v>5</v>
      </c>
      <c r="I9990" s="14"/>
      <c r="J9990" t="s" s="11">
        <v>20</v>
      </c>
      <c r="K9990" s="15"/>
      <c r="L9990" t="s" s="16">
        <f>HYPERLINK("http://csr.bu.edu/ftp/asl/asllvd/demos/verify_start_end_handshape_annotations//test_auto_move//signs_mov_separ_signers/Tyler_16050.mov","MOV")</f>
        <v>21</v>
      </c>
      <c r="M9990" t="s" s="10">
        <v>26</v>
      </c>
      <c r="N9990" s="17">
        <v>13</v>
      </c>
      <c r="O9990" s="18">
        <v>2361</v>
      </c>
      <c r="P9990" s="18">
        <v>2420</v>
      </c>
      <c r="Q9990" s="15"/>
      <c r="R9990" t="s" s="16">
        <f>HYPERLINK("http://secrets.rutgers.edu:8080/data/asl-ftp/asllvd/demos/verify_start_end_handshape_annotations//test_auto_move//signs_mov_separ_signers/Tyler_16050.mov","MOV")</f>
        <v>21</v>
      </c>
    </row>
    <row r="9991" s="2" customFormat="1" ht="13.5" customHeight="1">
      <c r="B9991" s="13"/>
      <c r="C9991" t="s" s="9">
        <v>27</v>
      </c>
      <c r="D9991" t="s" s="8">
        <v>3737</v>
      </c>
      <c r="E9991" t="s" s="9">
        <v>3737</v>
      </c>
      <c r="F9991" s="19">
        <v>5</v>
      </c>
      <c r="G9991" s="14"/>
      <c r="H9991" s="19">
        <v>5</v>
      </c>
      <c r="I9991" s="14"/>
      <c r="J9991" t="s" s="11">
        <v>20</v>
      </c>
      <c r="K9991" t="s" s="16">
        <f>HYPERLINK("http://csr.bu.edu/ftp/asl/asllvd/demos/verify_start_end_handshape_annotations//test_auto_move//signs_mov/16050.mov","MOV")</f>
        <v>21</v>
      </c>
      <c r="L9991" t="s" s="16">
        <f>HYPERLINK("http://csr.bu.edu/ftp/asl/asllvd/demos/verify_start_end_handshape_annotations//test_auto_move//signs_mov_separ_signers/Naomi_16050.mov","MOV")</f>
        <v>21</v>
      </c>
      <c r="M9991" t="s" s="10">
        <v>29</v>
      </c>
      <c r="N9991" s="17">
        <v>13</v>
      </c>
      <c r="O9991" s="18">
        <v>2968</v>
      </c>
      <c r="P9991" s="18">
        <v>3005</v>
      </c>
      <c r="Q9991" t="s" s="16">
        <f>HYPERLINK("http://secrets.rutgers.edu:8080/data/asl-ftp/asllvd/demos/verify_start_end_handshape_annotations//test_auto_move//signs_mov/16050.mov","MOV")</f>
        <v>21</v>
      </c>
      <c r="R9991" t="s" s="16">
        <f>HYPERLINK("http://secrets.rutgers.edu:8080/data/asl-ftp/asllvd/demos/verify_start_end_handshape_annotations//test_auto_move//signs_mov_separ_signers/Naomi_16050.mov","MOV")</f>
        <v>21</v>
      </c>
    </row>
    <row r="9992" s="2" customFormat="1" ht="13.5" customHeight="1">
      <c r="B9992" s="13"/>
      <c r="C9992" t="s" s="9">
        <v>30</v>
      </c>
      <c r="D9992" t="s" s="8">
        <v>3737</v>
      </c>
      <c r="E9992" t="s" s="9">
        <v>3737</v>
      </c>
      <c r="F9992" s="19">
        <v>5</v>
      </c>
      <c r="G9992" s="14"/>
      <c r="H9992" s="19">
        <v>5</v>
      </c>
      <c r="I9992" s="14"/>
      <c r="J9992" t="s" s="11">
        <v>20</v>
      </c>
      <c r="K9992" s="15"/>
      <c r="L9992" t="s" s="16">
        <f>HYPERLINK("http://csr.bu.edu/ftp/asl/asllvd/demos/verify_start_end_handshape_annotations//test_auto_move//signs_mov_separ_signers/Brady_16050.mov","MOV")</f>
        <v>21</v>
      </c>
      <c r="M9992" t="s" s="10">
        <v>31</v>
      </c>
      <c r="N9992" s="17">
        <v>12</v>
      </c>
      <c r="O9992" s="18">
        <v>10497</v>
      </c>
      <c r="P9992" s="18">
        <v>10555</v>
      </c>
      <c r="Q9992" s="15"/>
      <c r="R9992" t="s" s="16">
        <f>HYPERLINK("http://secrets.rutgers.edu:8080/data/asl-ftp/asllvd/demos/verify_start_end_handshape_annotations//test_auto_move//signs_mov_separ_signers/Brady_16050.mov","MOV")</f>
        <v>21</v>
      </c>
    </row>
    <row r="9993" s="2" customFormat="1" ht="13.5" customHeight="1">
      <c r="B9993" s="13"/>
      <c r="C9993" t="s" s="9">
        <v>41</v>
      </c>
      <c r="D9993" t="s" s="8">
        <v>3737</v>
      </c>
      <c r="E9993" t="s" s="9">
        <v>3738</v>
      </c>
      <c r="F9993" s="19">
        <v>5</v>
      </c>
      <c r="G9993" s="14"/>
      <c r="H9993" s="19">
        <v>5</v>
      </c>
      <c r="I9993" s="14"/>
      <c r="J9993" t="s" s="11">
        <v>20</v>
      </c>
      <c r="K9993" s="15"/>
      <c r="L9993" t="s" s="16">
        <f>HYPERLINK("http://csr.bu.edu/ftp/asl/asllvd/demos/verify_start_end_handshape_annotations//test_auto_move//signs_mov_separ_signers/Lana_16050.mov","MOV")</f>
        <v>21</v>
      </c>
      <c r="M9993" t="s" s="10">
        <v>42</v>
      </c>
      <c r="N9993" s="17">
        <v>3</v>
      </c>
      <c r="O9993" s="18">
        <v>495</v>
      </c>
      <c r="P9993" s="18">
        <v>557</v>
      </c>
      <c r="Q9993" s="15"/>
      <c r="R9993" t="s" s="16">
        <f>HYPERLINK("http://secrets.rutgers.edu:8080/data/asl-ftp/asllvd/demos/verify_start_end_handshape_annotations//test_auto_move//signs_mov_separ_signers/Lana_16050.mov","MOV")</f>
        <v>21</v>
      </c>
    </row>
    <row r="9994" s="2" customFormat="1" ht="13.5" customHeight="1">
      <c r="B9994" s="13"/>
      <c r="C9994" t="s" s="9">
        <v>43</v>
      </c>
      <c r="D9994" t="s" s="8">
        <v>3737</v>
      </c>
      <c r="E9994" t="s" s="9">
        <v>3738</v>
      </c>
      <c r="F9994" s="19">
        <v>5</v>
      </c>
      <c r="G9994" s="14"/>
      <c r="H9994" s="19">
        <v>5</v>
      </c>
      <c r="I9994" s="14"/>
      <c r="J9994" t="s" s="11">
        <v>20</v>
      </c>
      <c r="K9994" s="15"/>
      <c r="L9994" t="s" s="16">
        <f>HYPERLINK("http://csr.bu.edu/ftp/asl/asllvd/demos/verify_start_end_handshape_annotations//test_auto_move//signs_mov_separ_signers/Dana_16050.mov","MOV")</f>
        <v>21</v>
      </c>
      <c r="M9994" t="s" s="10">
        <v>44</v>
      </c>
      <c r="N9994" s="17">
        <v>7</v>
      </c>
      <c r="O9994" s="18">
        <v>439</v>
      </c>
      <c r="P9994" s="18">
        <v>504</v>
      </c>
      <c r="Q9994" s="15"/>
      <c r="R9994" t="s" s="16">
        <f>HYPERLINK("http://secrets.rutgers.edu:8080/data/asl-ftp/asllvd/demos/verify_start_end_handshape_annotations//test_auto_move//signs_mov_separ_signers/Dana_16050.mov","MOV")</f>
        <v>21</v>
      </c>
    </row>
    <row r="9995" s="2" customFormat="1" ht="13.5" customHeight="1">
      <c r="B9995" t="s" s="8">
        <v>3739</v>
      </c>
      <c r="C9995" t="s" s="9">
        <v>14</v>
      </c>
      <c r="D9995" t="s" s="8">
        <v>14</v>
      </c>
      <c r="E9995" t="s" s="9">
        <v>14</v>
      </c>
      <c r="F9995" t="s" s="10">
        <v>14</v>
      </c>
      <c r="G9995" t="s" s="11">
        <v>14</v>
      </c>
      <c r="H9995" t="s" s="10">
        <v>14</v>
      </c>
      <c r="I9995" t="s" s="11">
        <v>14</v>
      </c>
      <c r="J9995" t="s" s="11">
        <v>14</v>
      </c>
      <c r="K9995" t="s" s="12">
        <v>14</v>
      </c>
      <c r="L9995" t="s" s="12">
        <v>14</v>
      </c>
      <c r="M9995" t="s" s="10">
        <v>14</v>
      </c>
      <c r="N9995" t="s" s="11">
        <v>14</v>
      </c>
      <c r="O9995" t="s" s="8">
        <v>14</v>
      </c>
      <c r="P9995" t="s" s="8">
        <v>14</v>
      </c>
      <c r="Q9995" t="s" s="12">
        <v>14</v>
      </c>
      <c r="R9995" t="s" s="12">
        <v>14</v>
      </c>
    </row>
    <row r="9996" s="2" customFormat="1" ht="13.5" customHeight="1">
      <c r="B9996" s="13"/>
      <c r="C9996" t="s" s="9">
        <v>16</v>
      </c>
      <c r="D9996" t="s" s="8">
        <v>3739</v>
      </c>
      <c r="E9996" t="s" s="9">
        <v>3739</v>
      </c>
      <c r="F9996" s="19">
        <v>5</v>
      </c>
      <c r="G9996" t="s" s="11">
        <v>158</v>
      </c>
      <c r="H9996" s="19">
        <v>5</v>
      </c>
      <c r="I9996" t="s" s="11">
        <v>158</v>
      </c>
      <c r="J9996" t="s" s="11">
        <v>20</v>
      </c>
      <c r="K9996" s="15"/>
      <c r="L9996" t="s" s="16">
        <f>HYPERLINK("http://csr.bu.edu/ftp/asl/asllvd/demos/verify_start_end_handshape_annotations//test_auto_move//signs_mov_separ_signers/Liz_16172.mov","MOV")</f>
        <v>21</v>
      </c>
      <c r="M9996" t="s" s="10">
        <v>77</v>
      </c>
      <c r="N9996" s="17">
        <v>8</v>
      </c>
      <c r="O9996" s="18">
        <v>2515</v>
      </c>
      <c r="P9996" s="18">
        <v>2571</v>
      </c>
      <c r="Q9996" s="15"/>
      <c r="R9996" t="s" s="16">
        <f>HYPERLINK("http://secrets.rutgers.edu:8080/data/asl-ftp/asllvd/demos/verify_start_end_handshape_annotations//test_auto_move//signs_mov_separ_signers/Liz_16172.mov","MOV")</f>
        <v>21</v>
      </c>
    </row>
    <row r="9997" s="2" customFormat="1" ht="13.5" customHeight="1">
      <c r="B9997" s="13"/>
      <c r="C9997" t="s" s="9">
        <v>30</v>
      </c>
      <c r="D9997" t="s" s="8">
        <v>3739</v>
      </c>
      <c r="E9997" t="s" s="9">
        <v>3739</v>
      </c>
      <c r="F9997" s="19">
        <v>5</v>
      </c>
      <c r="G9997" t="s" s="11">
        <v>68</v>
      </c>
      <c r="H9997" s="19">
        <v>5</v>
      </c>
      <c r="I9997" t="s" s="11">
        <v>68</v>
      </c>
      <c r="J9997" t="s" s="11">
        <v>20</v>
      </c>
      <c r="K9997" t="s" s="16">
        <f>HYPERLINK("http://csr.bu.edu/ftp/asl/asllvd/demos/verify_start_end_handshape_annotations//test_auto_move//signs_mov/16172.mov","MOV")</f>
        <v>21</v>
      </c>
      <c r="L9997" t="s" s="16">
        <f>HYPERLINK("http://csr.bu.edu/ftp/asl/asllvd/demos/verify_start_end_handshape_annotations//test_auto_move//signs_mov_separ_signers/Brady_16172.mov","MOV")</f>
        <v>21</v>
      </c>
      <c r="M9997" t="s" s="10">
        <v>39</v>
      </c>
      <c r="N9997" s="17">
        <v>50</v>
      </c>
      <c r="O9997" s="18">
        <v>4971</v>
      </c>
      <c r="P9997" s="18">
        <v>5018</v>
      </c>
      <c r="Q9997" t="s" s="16">
        <f>HYPERLINK("http://secrets.rutgers.edu:8080/data/asl-ftp/asllvd/demos/verify_start_end_handshape_annotations//test_auto_move//signs_mov/16172.mov","MOV")</f>
        <v>21</v>
      </c>
      <c r="R9997" t="s" s="16">
        <f>HYPERLINK("http://secrets.rutgers.edu:8080/data/asl-ftp/asllvd/demos/verify_start_end_handshape_annotations//test_auto_move//signs_mov_separ_signers/Brady_16172.mov","MOV")</f>
        <v>21</v>
      </c>
    </row>
    <row r="9998" s="2" customFormat="1" ht="13.5" customHeight="1">
      <c r="B9998" s="13"/>
      <c r="C9998" t="s" s="9">
        <v>43</v>
      </c>
      <c r="D9998" t="s" s="8">
        <v>3739</v>
      </c>
      <c r="E9998" t="s" s="9">
        <v>3739</v>
      </c>
      <c r="F9998" s="19">
        <v>5</v>
      </c>
      <c r="G9998" t="s" s="11">
        <v>68</v>
      </c>
      <c r="H9998" s="19">
        <v>5</v>
      </c>
      <c r="I9998" t="s" s="11">
        <v>68</v>
      </c>
      <c r="J9998" t="s" s="11">
        <v>20</v>
      </c>
      <c r="K9998" s="15"/>
      <c r="L9998" t="s" s="16">
        <f>HYPERLINK("http://csr.bu.edu/ftp/asl/asllvd/demos/verify_start_end_handshape_annotations//test_auto_move//signs_mov_separ_signers/Dana_16172.mov","MOV")</f>
        <v>21</v>
      </c>
      <c r="M9998" t="s" s="10">
        <v>44</v>
      </c>
      <c r="N9998" s="17">
        <v>19</v>
      </c>
      <c r="O9998" s="18">
        <v>2708</v>
      </c>
      <c r="P9998" s="18">
        <v>2771</v>
      </c>
      <c r="Q9998" s="15"/>
      <c r="R9998" t="s" s="16">
        <f>HYPERLINK("http://secrets.rutgers.edu:8080/data/asl-ftp/asllvd/demos/verify_start_end_handshape_annotations//test_auto_move//signs_mov_separ_signers/Dana_16172.mov","MOV")</f>
        <v>21</v>
      </c>
    </row>
    <row r="9999" s="2" customFormat="1" ht="13.5" customHeight="1">
      <c r="B9999" t="s" s="8">
        <v>3740</v>
      </c>
      <c r="C9999" t="s" s="9">
        <v>14</v>
      </c>
      <c r="D9999" t="s" s="8">
        <v>14</v>
      </c>
      <c r="E9999" t="s" s="9">
        <v>14</v>
      </c>
      <c r="F9999" t="s" s="10">
        <v>14</v>
      </c>
      <c r="G9999" t="s" s="11">
        <v>14</v>
      </c>
      <c r="H9999" t="s" s="10">
        <v>14</v>
      </c>
      <c r="I9999" t="s" s="11">
        <v>14</v>
      </c>
      <c r="J9999" t="s" s="11">
        <v>14</v>
      </c>
      <c r="K9999" t="s" s="12">
        <v>14</v>
      </c>
      <c r="L9999" t="s" s="12">
        <v>14</v>
      </c>
      <c r="M9999" t="s" s="10">
        <v>14</v>
      </c>
      <c r="N9999" t="s" s="11">
        <v>14</v>
      </c>
      <c r="O9999" t="s" s="8">
        <v>14</v>
      </c>
      <c r="P9999" t="s" s="8">
        <v>14</v>
      </c>
      <c r="Q9999" t="s" s="12">
        <v>14</v>
      </c>
      <c r="R9999" t="s" s="12">
        <v>14</v>
      </c>
    </row>
    <row r="10000" s="2" customFormat="1" ht="13.5" customHeight="1">
      <c r="B10000" s="13"/>
      <c r="C10000" t="s" s="9">
        <v>16</v>
      </c>
      <c r="D10000" t="s" s="8">
        <v>3740</v>
      </c>
      <c r="E10000" t="s" s="9">
        <v>3740</v>
      </c>
      <c r="F10000" t="s" s="10">
        <v>220</v>
      </c>
      <c r="G10000" t="s" s="11">
        <v>220</v>
      </c>
      <c r="H10000" t="s" s="10">
        <v>220</v>
      </c>
      <c r="I10000" t="s" s="11">
        <v>220</v>
      </c>
      <c r="J10000" t="s" s="11">
        <v>20</v>
      </c>
      <c r="K10000" s="15"/>
      <c r="L10000" t="s" s="16">
        <f>HYPERLINK("http://csr.bu.edu/ftp/asl/asllvd/demos/verify_start_end_handshape_annotations//test_auto_move//signs_mov_separ_signers/Liz_16184.mov","MOV")</f>
        <v>21</v>
      </c>
      <c r="M10000" t="s" s="10">
        <v>88</v>
      </c>
      <c r="N10000" s="17">
        <v>41</v>
      </c>
      <c r="O10000" s="18">
        <v>1271</v>
      </c>
      <c r="P10000" s="18">
        <v>1342</v>
      </c>
      <c r="Q10000" s="15"/>
      <c r="R10000" t="s" s="16">
        <f>HYPERLINK("http://secrets.rutgers.edu:8080/data/asl-ftp/asllvd/demos/verify_start_end_handshape_annotations//test_auto_move//signs_mov_separ_signers/Liz_16184.mov","MOV")</f>
        <v>21</v>
      </c>
    </row>
    <row r="10001" s="2" customFormat="1" ht="13.5" customHeight="1">
      <c r="B10001" s="13"/>
      <c r="C10001" t="s" s="9">
        <v>30</v>
      </c>
      <c r="D10001" t="s" s="8">
        <v>3740</v>
      </c>
      <c r="E10001" t="s" s="9">
        <v>3740</v>
      </c>
      <c r="F10001" t="s" s="10">
        <v>220</v>
      </c>
      <c r="G10001" t="s" s="11">
        <v>220</v>
      </c>
      <c r="H10001" t="s" s="10">
        <v>220</v>
      </c>
      <c r="I10001" t="s" s="11">
        <v>220</v>
      </c>
      <c r="J10001" t="s" s="11">
        <v>20</v>
      </c>
      <c r="K10001" s="15"/>
      <c r="L10001" t="s" s="16">
        <f>HYPERLINK("http://csr.bu.edu/ftp/asl/asllvd/demos/verify_start_end_handshape_annotations//test_auto_move//signs_mov_separ_signers/Brady_16184.mov","MOV")</f>
        <v>21</v>
      </c>
      <c r="M10001" t="s" s="10">
        <v>31</v>
      </c>
      <c r="N10001" s="17">
        <v>12</v>
      </c>
      <c r="O10001" s="18">
        <v>11474</v>
      </c>
      <c r="P10001" s="18">
        <v>11499</v>
      </c>
      <c r="Q10001" s="15"/>
      <c r="R10001" t="s" s="16">
        <f>HYPERLINK("http://secrets.rutgers.edu:8080/data/asl-ftp/asllvd/demos/verify_start_end_handshape_annotations//test_auto_move//signs_mov_separ_signers/Brady_16184.mov","MOV")</f>
        <v>21</v>
      </c>
    </row>
    <row r="10002" s="2" customFormat="1" ht="13.5" customHeight="1">
      <c r="B10002" s="13"/>
      <c r="C10002" t="s" s="9">
        <v>30</v>
      </c>
      <c r="D10002" t="s" s="8">
        <v>3740</v>
      </c>
      <c r="E10002" t="s" s="9">
        <v>3740</v>
      </c>
      <c r="F10002" t="s" s="10">
        <v>220</v>
      </c>
      <c r="G10002" t="s" s="11">
        <v>220</v>
      </c>
      <c r="H10002" t="s" s="10">
        <v>220</v>
      </c>
      <c r="I10002" t="s" s="11">
        <v>220</v>
      </c>
      <c r="J10002" t="s" s="11">
        <v>20</v>
      </c>
      <c r="K10002" t="s" s="16">
        <f>HYPERLINK("http://csr.bu.edu/ftp/asl/asllvd/demos/verify_start_end_handshape_annotations//test_auto_move//signs_mov/16184_16208_merged.mov","MOV")</f>
        <v>21</v>
      </c>
      <c r="L10002" t="s" s="16">
        <f>HYPERLINK("http://csr.bu.edu/ftp/asl/asllvd/demos/verify_start_end_handshape_annotations//test_auto_move//signs_mov_separ_signers/Brady_16208.mov","MOV")</f>
        <v>21</v>
      </c>
      <c r="M10002" t="s" s="10">
        <v>40</v>
      </c>
      <c r="N10002" s="17">
        <v>35</v>
      </c>
      <c r="O10002" s="18">
        <v>2112</v>
      </c>
      <c r="P10002" s="18">
        <v>2139</v>
      </c>
      <c r="Q10002" t="s" s="16">
        <f>HYPERLINK("http://secrets.rutgers.edu:8080/data/asl-ftp/asllvd/demos/verify_start_end_handshape_annotations//test_auto_move//signs_mov/16184_16208_merged.mov","MOV")</f>
        <v>21</v>
      </c>
      <c r="R10002" t="s" s="16">
        <f>HYPERLINK("http://secrets.rutgers.edu:8080/data/asl-ftp/asllvd/demos/verify_start_end_handshape_annotations//test_auto_move//signs_mov_separ_signers/Brady_16208.mov","MOV")</f>
        <v>21</v>
      </c>
    </row>
    <row r="10003" s="2" customFormat="1" ht="13.5" customHeight="1">
      <c r="B10003" s="13"/>
      <c r="C10003" t="s" s="9">
        <v>41</v>
      </c>
      <c r="D10003" t="s" s="8">
        <v>3740</v>
      </c>
      <c r="E10003" t="s" s="9">
        <v>3740</v>
      </c>
      <c r="F10003" t="s" s="10">
        <v>220</v>
      </c>
      <c r="G10003" t="s" s="11">
        <v>220</v>
      </c>
      <c r="H10003" t="s" s="10">
        <v>220</v>
      </c>
      <c r="I10003" t="s" s="11">
        <v>220</v>
      </c>
      <c r="J10003" t="s" s="11">
        <v>20</v>
      </c>
      <c r="K10003" s="15"/>
      <c r="L10003" t="s" s="16">
        <f>HYPERLINK("http://csr.bu.edu/ftp/asl/asllvd/demos/verify_start_end_handshape_annotations//test_auto_move//signs_mov_separ_signers/Lana_16184.mov","MOV")</f>
        <v>21</v>
      </c>
      <c r="M10003" t="s" s="10">
        <v>42</v>
      </c>
      <c r="N10003" s="17">
        <v>21</v>
      </c>
      <c r="O10003" s="18">
        <v>239</v>
      </c>
      <c r="P10003" s="18">
        <v>265</v>
      </c>
      <c r="Q10003" s="15"/>
      <c r="R10003" t="s" s="16">
        <f>HYPERLINK("http://secrets.rutgers.edu:8080/data/asl-ftp/asllvd/demos/verify_start_end_handshape_annotations//test_auto_move//signs_mov_separ_signers/Lana_16184.mov","MOV")</f>
        <v>21</v>
      </c>
    </row>
    <row r="10004" s="2" customFormat="1" ht="13.5" customHeight="1">
      <c r="B10004" s="13"/>
      <c r="C10004" t="s" s="9">
        <v>43</v>
      </c>
      <c r="D10004" t="s" s="8">
        <v>3740</v>
      </c>
      <c r="E10004" t="s" s="9">
        <v>3740</v>
      </c>
      <c r="F10004" t="s" s="10">
        <v>220</v>
      </c>
      <c r="G10004" t="s" s="11">
        <v>220</v>
      </c>
      <c r="H10004" t="s" s="10">
        <v>220</v>
      </c>
      <c r="I10004" t="s" s="11">
        <v>220</v>
      </c>
      <c r="J10004" t="s" s="11">
        <v>20</v>
      </c>
      <c r="K10004" s="15"/>
      <c r="L10004" t="s" s="16">
        <f>HYPERLINK("http://csr.bu.edu/ftp/asl/asllvd/demos/verify_start_end_handshape_annotations//test_auto_move//signs_mov_separ_signers/Dana_16184.mov","MOV")</f>
        <v>21</v>
      </c>
      <c r="M10004" t="s" s="10">
        <v>44</v>
      </c>
      <c r="N10004" s="17">
        <v>23</v>
      </c>
      <c r="O10004" s="18">
        <v>160</v>
      </c>
      <c r="P10004" s="18">
        <v>211</v>
      </c>
      <c r="Q10004" s="15"/>
      <c r="R10004" t="s" s="16">
        <f>HYPERLINK("http://secrets.rutgers.edu:8080/data/asl-ftp/asllvd/demos/verify_start_end_handshape_annotations//test_auto_move//signs_mov_separ_signers/Dana_16184.mov","MOV")</f>
        <v>21</v>
      </c>
    </row>
    <row r="10005" s="2" customFormat="1" ht="13.5" customHeight="1">
      <c r="B10005" t="s" s="8">
        <v>52</v>
      </c>
      <c r="C10005" t="s" s="9">
        <v>53</v>
      </c>
      <c r="D10005" t="s" s="8">
        <v>53</v>
      </c>
      <c r="E10005" t="s" s="9">
        <v>53</v>
      </c>
      <c r="F10005" t="s" s="10">
        <v>53</v>
      </c>
      <c r="G10005" t="s" s="11">
        <v>53</v>
      </c>
      <c r="H10005" t="s" s="10">
        <v>53</v>
      </c>
      <c r="I10005" t="s" s="11">
        <v>53</v>
      </c>
      <c r="J10005" t="s" s="11">
        <v>53</v>
      </c>
      <c r="K10005" t="s" s="12">
        <v>53</v>
      </c>
      <c r="L10005" t="s" s="12">
        <v>53</v>
      </c>
      <c r="M10005" t="s" s="10">
        <v>53</v>
      </c>
      <c r="N10005" t="s" s="11">
        <v>53</v>
      </c>
      <c r="O10005" t="s" s="8">
        <v>53</v>
      </c>
      <c r="P10005" t="s" s="8">
        <v>53</v>
      </c>
      <c r="Q10005" t="s" s="12">
        <v>53</v>
      </c>
      <c r="R10005" t="s" s="12">
        <v>53</v>
      </c>
    </row>
    <row r="10006" s="2" customFormat="1" ht="13.5" customHeight="1">
      <c r="B10006" s="13"/>
      <c r="C10006" t="s" s="9">
        <v>16</v>
      </c>
      <c r="D10006" t="s" s="8">
        <v>3740</v>
      </c>
      <c r="E10006" t="s" s="9">
        <v>3741</v>
      </c>
      <c r="F10006" t="s" s="10">
        <v>63</v>
      </c>
      <c r="G10006" t="s" s="11">
        <v>63</v>
      </c>
      <c r="H10006" t="s" s="10">
        <v>63</v>
      </c>
      <c r="I10006" t="s" s="11">
        <v>63</v>
      </c>
      <c r="J10006" t="s" s="11">
        <v>20</v>
      </c>
      <c r="K10006" s="15"/>
      <c r="L10006" t="s" s="16">
        <f>HYPERLINK("http://csr.bu.edu/ftp/asl/asllvd/demos/verify_start_end_handshape_annotations//test_auto_move//signs_mov_separ_signers/Liz_16209.mov","MOV")</f>
        <v>21</v>
      </c>
      <c r="M10006" t="s" s="10">
        <v>22</v>
      </c>
      <c r="N10006" s="17">
        <v>20</v>
      </c>
      <c r="O10006" s="18">
        <v>1915</v>
      </c>
      <c r="P10006" s="18">
        <v>1970</v>
      </c>
      <c r="Q10006" s="15"/>
      <c r="R10006" t="s" s="16">
        <f>HYPERLINK("http://secrets.rutgers.edu:8080/data/asl-ftp/asllvd/demos/verify_start_end_handshape_annotations//test_auto_move//signs_mov_separ_signers/Liz_16209.mov","MOV")</f>
        <v>21</v>
      </c>
    </row>
    <row r="10007" s="2" customFormat="1" ht="13.5" customHeight="1">
      <c r="B10007" s="13"/>
      <c r="C10007" t="s" s="9">
        <v>23</v>
      </c>
      <c r="D10007" t="s" s="8">
        <v>3740</v>
      </c>
      <c r="E10007" t="s" s="9">
        <v>3741</v>
      </c>
      <c r="F10007" t="s" s="10">
        <v>63</v>
      </c>
      <c r="G10007" t="s" s="11">
        <v>63</v>
      </c>
      <c r="H10007" t="s" s="10">
        <v>63</v>
      </c>
      <c r="I10007" t="s" s="11">
        <v>63</v>
      </c>
      <c r="J10007" t="s" s="11">
        <v>20</v>
      </c>
      <c r="K10007" t="s" s="16">
        <f>HYPERLINK("http://csr.bu.edu/ftp/asl/asllvd/demos/verify_start_end_handshape_annotations//test_auto_move//signs_mov/16209.mov","MOV")</f>
        <v>21</v>
      </c>
      <c r="L10007" t="s" s="16">
        <f>HYPERLINK("http://csr.bu.edu/ftp/asl/asllvd/demos/verify_start_end_handshape_annotations//test_auto_move//signs_mov_separ_signers/Tyler_16209.mov","MOV")</f>
        <v>21</v>
      </c>
      <c r="M10007" t="s" s="10">
        <v>26</v>
      </c>
      <c r="N10007" s="17">
        <v>14</v>
      </c>
      <c r="O10007" s="18">
        <v>297</v>
      </c>
      <c r="P10007" s="18">
        <v>332</v>
      </c>
      <c r="Q10007" t="s" s="16">
        <f>HYPERLINK("http://secrets.rutgers.edu:8080/data/asl-ftp/asllvd/demos/verify_start_end_handshape_annotations//test_auto_move//signs_mov/16209.mov","MOV")</f>
        <v>21</v>
      </c>
      <c r="R10007" t="s" s="16">
        <f>HYPERLINK("http://secrets.rutgers.edu:8080/data/asl-ftp/asllvd/demos/verify_start_end_handshape_annotations//test_auto_move//signs_mov_separ_signers/Tyler_16209.mov","MOV")</f>
        <v>21</v>
      </c>
    </row>
    <row r="10008" s="2" customFormat="1" ht="13.5" customHeight="1">
      <c r="B10008" s="13"/>
      <c r="C10008" t="s" s="9">
        <v>27</v>
      </c>
      <c r="D10008" t="s" s="8">
        <v>3740</v>
      </c>
      <c r="E10008" t="s" s="9">
        <v>3741</v>
      </c>
      <c r="F10008" t="s" s="10">
        <v>63</v>
      </c>
      <c r="G10008" t="s" s="11">
        <v>63</v>
      </c>
      <c r="H10008" t="s" s="10">
        <v>63</v>
      </c>
      <c r="I10008" t="s" s="11">
        <v>63</v>
      </c>
      <c r="J10008" t="s" s="11">
        <v>20</v>
      </c>
      <c r="K10008" s="15"/>
      <c r="L10008" t="s" s="16">
        <f>HYPERLINK("http://csr.bu.edu/ftp/asl/asllvd/demos/verify_start_end_handshape_annotations//test_auto_move//signs_mov_separ_signers/Naomi_16209.mov","MOV")</f>
        <v>21</v>
      </c>
      <c r="M10008" t="s" s="10">
        <v>29</v>
      </c>
      <c r="N10008" s="17">
        <v>14</v>
      </c>
      <c r="O10008" s="18">
        <v>385</v>
      </c>
      <c r="P10008" s="18">
        <v>417</v>
      </c>
      <c r="Q10008" s="15"/>
      <c r="R10008" t="s" s="16">
        <f>HYPERLINK("http://secrets.rutgers.edu:8080/data/asl-ftp/asllvd/demos/verify_start_end_handshape_annotations//test_auto_move//signs_mov_separ_signers/Naomi_16209.mov","MOV")</f>
        <v>21</v>
      </c>
    </row>
    <row r="10009" s="2" customFormat="1" ht="13.5" customHeight="1">
      <c r="B10009" t="s" s="8">
        <v>3742</v>
      </c>
      <c r="C10009" t="s" s="9">
        <v>14</v>
      </c>
      <c r="D10009" t="s" s="8">
        <v>14</v>
      </c>
      <c r="E10009" t="s" s="9">
        <v>14</v>
      </c>
      <c r="F10009" t="s" s="10">
        <v>14</v>
      </c>
      <c r="G10009" t="s" s="11">
        <v>14</v>
      </c>
      <c r="H10009" t="s" s="10">
        <v>14</v>
      </c>
      <c r="I10009" t="s" s="11">
        <v>14</v>
      </c>
      <c r="J10009" t="s" s="11">
        <v>14</v>
      </c>
      <c r="K10009" t="s" s="12">
        <v>14</v>
      </c>
      <c r="L10009" t="s" s="12">
        <v>14</v>
      </c>
      <c r="M10009" t="s" s="10">
        <v>14</v>
      </c>
      <c r="N10009" t="s" s="11">
        <v>14</v>
      </c>
      <c r="O10009" t="s" s="8">
        <v>14</v>
      </c>
      <c r="P10009" t="s" s="8">
        <v>14</v>
      </c>
      <c r="Q10009" t="s" s="12">
        <v>14</v>
      </c>
      <c r="R10009" t="s" s="12">
        <v>14</v>
      </c>
    </row>
    <row r="10010" s="2" customFormat="1" ht="13.5" customHeight="1">
      <c r="B10010" s="13"/>
      <c r="C10010" t="s" s="9">
        <v>16</v>
      </c>
      <c r="D10010" t="s" s="8">
        <v>3742</v>
      </c>
      <c r="E10010" t="s" s="9">
        <v>3743</v>
      </c>
      <c r="F10010" s="19">
        <v>10</v>
      </c>
      <c r="G10010" s="17">
        <v>10</v>
      </c>
      <c r="H10010" s="19">
        <v>10</v>
      </c>
      <c r="I10010" s="17">
        <v>10</v>
      </c>
      <c r="J10010" t="s" s="11">
        <v>20</v>
      </c>
      <c r="K10010" s="15"/>
      <c r="L10010" t="s" s="16">
        <f>HYPERLINK("http://csr.bu.edu/ftp/asl/asllvd/demos/verify_start_end_handshape_annotations//test_auto_move//signs_mov_separ_signers/Liz_3292.mov","MOV")</f>
        <v>21</v>
      </c>
      <c r="M10010" t="s" s="10">
        <v>22</v>
      </c>
      <c r="N10010" s="17">
        <v>23</v>
      </c>
      <c r="O10010" s="18">
        <v>865</v>
      </c>
      <c r="P10010" s="18">
        <v>905</v>
      </c>
      <c r="Q10010" s="15"/>
      <c r="R10010" t="s" s="16">
        <f>HYPERLINK("http://secrets.rutgers.edu:8080/data/asl-ftp/asllvd/demos/verify_start_end_handshape_annotations//test_auto_move//signs_mov_separ_signers/Liz_3292.mov","MOV")</f>
        <v>21</v>
      </c>
    </row>
    <row r="10011" s="2" customFormat="1" ht="13.5" customHeight="1">
      <c r="B10011" s="13"/>
      <c r="C10011" t="s" s="9">
        <v>23</v>
      </c>
      <c r="D10011" t="s" s="8">
        <v>3742</v>
      </c>
      <c r="E10011" t="s" s="9">
        <v>3744</v>
      </c>
      <c r="F10011" s="19">
        <v>10</v>
      </c>
      <c r="G10011" s="17">
        <v>10</v>
      </c>
      <c r="H10011" s="19">
        <v>10</v>
      </c>
      <c r="I10011" s="17">
        <v>10</v>
      </c>
      <c r="J10011" t="s" s="11">
        <v>20</v>
      </c>
      <c r="K10011" s="15"/>
      <c r="L10011" t="s" s="16">
        <f>HYPERLINK("http://csr.bu.edu/ftp/asl/asllvd/demos/verify_start_end_handshape_annotations//test_auto_move//signs_mov_separ_signers/Tyler_3292.mov","MOV")</f>
        <v>21</v>
      </c>
      <c r="M10011" t="s" s="10">
        <v>26</v>
      </c>
      <c r="N10011" s="17">
        <v>15</v>
      </c>
      <c r="O10011" s="18">
        <v>2870</v>
      </c>
      <c r="P10011" s="18">
        <v>2907</v>
      </c>
      <c r="Q10011" s="15"/>
      <c r="R10011" t="s" s="16">
        <f>HYPERLINK("http://secrets.rutgers.edu:8080/data/asl-ftp/asllvd/demos/verify_start_end_handshape_annotations//test_auto_move//signs_mov_separ_signers/Tyler_3292.mov","MOV")</f>
        <v>21</v>
      </c>
    </row>
    <row r="10012" s="2" customFormat="1" ht="13.5" customHeight="1">
      <c r="B10012" s="13"/>
      <c r="C10012" t="s" s="9">
        <v>27</v>
      </c>
      <c r="D10012" t="s" s="8">
        <v>3742</v>
      </c>
      <c r="E10012" t="s" s="9">
        <v>3743</v>
      </c>
      <c r="F10012" s="19">
        <v>10</v>
      </c>
      <c r="G10012" s="17">
        <v>10</v>
      </c>
      <c r="H10012" s="19">
        <v>10</v>
      </c>
      <c r="I10012" s="17">
        <v>10</v>
      </c>
      <c r="J10012" t="s" s="11">
        <v>20</v>
      </c>
      <c r="K10012" t="s" s="16">
        <f>HYPERLINK("http://csr.bu.edu/ftp/asl/asllvd/demos/verify_start_end_handshape_annotations//test_auto_move//signs_mov/3292_5054_merged.mov","MOV")</f>
        <v>21</v>
      </c>
      <c r="L10012" t="s" s="16">
        <f>HYPERLINK("http://csr.bu.edu/ftp/asl/asllvd/demos/verify_start_end_handshape_annotations//test_auto_move//signs_mov_separ_signers/Naomi_3292.mov","MOV")</f>
        <v>21</v>
      </c>
      <c r="M10012" t="s" s="10">
        <v>29</v>
      </c>
      <c r="N10012" s="17">
        <v>15</v>
      </c>
      <c r="O10012" s="18">
        <v>2638</v>
      </c>
      <c r="P10012" s="18">
        <v>2667</v>
      </c>
      <c r="Q10012" t="s" s="16">
        <f>HYPERLINK("http://secrets.rutgers.edu:8080/data/asl-ftp/asllvd/demos/verify_start_end_handshape_annotations//test_auto_move//signs_mov/3292_5054_merged.mov","MOV")</f>
        <v>21</v>
      </c>
      <c r="R10012" t="s" s="16">
        <f>HYPERLINK("http://secrets.rutgers.edu:8080/data/asl-ftp/asllvd/demos/verify_start_end_handshape_annotations//test_auto_move//signs_mov_separ_signers/Naomi_3292.mov","MOV")</f>
        <v>21</v>
      </c>
    </row>
    <row r="10013" s="2" customFormat="1" ht="13.5" customHeight="1">
      <c r="B10013" s="13"/>
      <c r="C10013" t="s" s="9">
        <v>30</v>
      </c>
      <c r="D10013" t="s" s="8">
        <v>3742</v>
      </c>
      <c r="E10013" t="s" s="9">
        <v>3742</v>
      </c>
      <c r="F10013" s="19">
        <v>10</v>
      </c>
      <c r="G10013" s="17">
        <v>10</v>
      </c>
      <c r="H10013" s="19">
        <v>10</v>
      </c>
      <c r="I10013" s="17">
        <v>10</v>
      </c>
      <c r="J10013" t="s" s="11">
        <v>20</v>
      </c>
      <c r="K10013" s="15"/>
      <c r="L10013" t="s" s="16">
        <f>HYPERLINK("http://csr.bu.edu/ftp/asl/asllvd/demos/verify_start_end_handshape_annotations//test_auto_move//signs_mov_separ_signers/Brady_3292.mov","MOV")</f>
        <v>21</v>
      </c>
      <c r="M10013" t="s" s="10">
        <v>31</v>
      </c>
      <c r="N10013" s="17">
        <v>12</v>
      </c>
      <c r="O10013" s="18">
        <v>7630</v>
      </c>
      <c r="P10013" s="18">
        <v>7645</v>
      </c>
      <c r="Q10013" s="15"/>
      <c r="R10013" t="s" s="16">
        <f>HYPERLINK("http://secrets.rutgers.edu:8080/data/asl-ftp/asllvd/demos/verify_start_end_handshape_annotations//test_auto_move//signs_mov_separ_signers/Brady_3292.mov","MOV")</f>
        <v>21</v>
      </c>
    </row>
    <row r="10014" s="2" customFormat="1" ht="13.5" customHeight="1">
      <c r="B10014" s="13"/>
      <c r="C10014" t="s" s="9">
        <v>30</v>
      </c>
      <c r="D10014" t="s" s="8">
        <v>3742</v>
      </c>
      <c r="E10014" t="s" s="9">
        <v>3743</v>
      </c>
      <c r="F10014" s="19">
        <v>10</v>
      </c>
      <c r="G10014" s="17">
        <v>10</v>
      </c>
      <c r="H10014" s="19">
        <v>10</v>
      </c>
      <c r="I10014" s="17">
        <v>10</v>
      </c>
      <c r="J10014" t="s" s="11">
        <v>20</v>
      </c>
      <c r="K10014" s="15"/>
      <c r="L10014" t="s" s="16">
        <f>HYPERLINK("http://csr.bu.edu/ftp/asl/asllvd/demos/verify_start_end_handshape_annotations//test_auto_move//signs_mov_separ_signers/Brady_5054.mov","MOV")</f>
        <v>21</v>
      </c>
      <c r="M10014" t="s" s="10">
        <v>31</v>
      </c>
      <c r="N10014" s="17">
        <v>13</v>
      </c>
      <c r="O10014" s="18">
        <v>8849</v>
      </c>
      <c r="P10014" s="18">
        <v>8872</v>
      </c>
      <c r="Q10014" s="15"/>
      <c r="R10014" t="s" s="16">
        <f>HYPERLINK("http://secrets.rutgers.edu:8080/data/asl-ftp/asllvd/demos/verify_start_end_handshape_annotations//test_auto_move//signs_mov_separ_signers/Brady_5054.mov","MOV")</f>
        <v>21</v>
      </c>
    </row>
    <row r="10015" s="2" customFormat="1" ht="13.5" customHeight="1">
      <c r="B10015" t="s" s="8">
        <v>3745</v>
      </c>
      <c r="C10015" t="s" s="9">
        <v>14</v>
      </c>
      <c r="D10015" t="s" s="8">
        <v>14</v>
      </c>
      <c r="E10015" t="s" s="9">
        <v>14</v>
      </c>
      <c r="F10015" t="s" s="10">
        <v>14</v>
      </c>
      <c r="G10015" t="s" s="11">
        <v>14</v>
      </c>
      <c r="H10015" t="s" s="10">
        <v>14</v>
      </c>
      <c r="I10015" t="s" s="11">
        <v>14</v>
      </c>
      <c r="J10015" t="s" s="11">
        <v>14</v>
      </c>
      <c r="K10015" t="s" s="12">
        <v>14</v>
      </c>
      <c r="L10015" t="s" s="12">
        <v>14</v>
      </c>
      <c r="M10015" t="s" s="10">
        <v>14</v>
      </c>
      <c r="N10015" t="s" s="11">
        <v>14</v>
      </c>
      <c r="O10015" t="s" s="8">
        <v>14</v>
      </c>
      <c r="P10015" t="s" s="8">
        <v>14</v>
      </c>
      <c r="Q10015" t="s" s="12">
        <v>14</v>
      </c>
      <c r="R10015" t="s" s="12">
        <v>14</v>
      </c>
    </row>
    <row r="10016" s="2" customFormat="1" ht="13.5" customHeight="1">
      <c r="B10016" s="13"/>
      <c r="C10016" t="s" s="9">
        <v>16</v>
      </c>
      <c r="D10016" t="s" s="8">
        <v>3745</v>
      </c>
      <c r="E10016" t="s" s="9">
        <v>3745</v>
      </c>
      <c r="F10016" t="s" s="10">
        <v>230</v>
      </c>
      <c r="G10016" s="14"/>
      <c r="H10016" t="s" s="10">
        <v>230</v>
      </c>
      <c r="I10016" s="14"/>
      <c r="J10016" t="s" s="11">
        <v>20</v>
      </c>
      <c r="K10016" t="s" s="16">
        <f>HYPERLINK("http://csr.bu.edu/ftp/asl/asllvd/demos/verify_start_end_handshape_annotations//test_auto_move//signs_mov/4007.mov","MOV")</f>
        <v>21</v>
      </c>
      <c r="L10016" t="s" s="16">
        <f>HYPERLINK("http://csr.bu.edu/ftp/asl/asllvd/demos/verify_start_end_handshape_annotations//test_auto_move//signs_mov_separ_signers/Liz_4007.mov","MOV")</f>
        <v>21</v>
      </c>
      <c r="M10016" t="s" s="10">
        <v>36</v>
      </c>
      <c r="N10016" s="17">
        <v>49</v>
      </c>
      <c r="O10016" s="18">
        <v>1629</v>
      </c>
      <c r="P10016" s="18">
        <v>1650</v>
      </c>
      <c r="Q10016" t="s" s="16">
        <f>HYPERLINK("http://secrets.rutgers.edu:8080/data/asl-ftp/asllvd/demos/verify_start_end_handshape_annotations//test_auto_move//signs_mov/4007.mov","MOV")</f>
        <v>21</v>
      </c>
      <c r="R10016" t="s" s="16">
        <f>HYPERLINK("http://secrets.rutgers.edu:8080/data/asl-ftp/asllvd/demos/verify_start_end_handshape_annotations//test_auto_move//signs_mov_separ_signers/Liz_4007.mov","MOV")</f>
        <v>21</v>
      </c>
    </row>
    <row r="10017" s="2" customFormat="1" ht="13.5" customHeight="1">
      <c r="B10017" s="13"/>
      <c r="C10017" t="s" s="9">
        <v>30</v>
      </c>
      <c r="D10017" t="s" s="8">
        <v>3745</v>
      </c>
      <c r="E10017" t="s" s="9">
        <v>3745</v>
      </c>
      <c r="F10017" t="s" s="10">
        <v>230</v>
      </c>
      <c r="G10017" s="14"/>
      <c r="H10017" t="s" s="10">
        <v>230</v>
      </c>
      <c r="I10017" s="14"/>
      <c r="J10017" t="s" s="11">
        <v>20</v>
      </c>
      <c r="K10017" s="15"/>
      <c r="L10017" t="s" s="16">
        <f>HYPERLINK("http://csr.bu.edu/ftp/asl/asllvd/demos/verify_start_end_handshape_annotations//test_auto_move//signs_mov_separ_signers/Brady_4007.mov","MOV")</f>
        <v>21</v>
      </c>
      <c r="M10017" t="s" s="10">
        <v>40</v>
      </c>
      <c r="N10017" s="17">
        <v>100</v>
      </c>
      <c r="O10017" s="18">
        <v>2890</v>
      </c>
      <c r="P10017" s="18">
        <v>2910</v>
      </c>
      <c r="Q10017" s="15"/>
      <c r="R10017" t="s" s="16">
        <f>HYPERLINK("http://secrets.rutgers.edu:8080/data/asl-ftp/asllvd/demos/verify_start_end_handshape_annotations//test_auto_move//signs_mov_separ_signers/Brady_4007.mov","MOV")</f>
        <v>21</v>
      </c>
    </row>
    <row r="10018" s="2" customFormat="1" ht="27.75" customHeight="1">
      <c r="B10018" t="s" s="8">
        <v>3746</v>
      </c>
      <c r="C10018" t="s" s="9">
        <v>14</v>
      </c>
      <c r="D10018" t="s" s="8">
        <v>14</v>
      </c>
      <c r="E10018" t="s" s="9">
        <v>14</v>
      </c>
      <c r="F10018" t="s" s="10">
        <v>14</v>
      </c>
      <c r="G10018" t="s" s="11">
        <v>14</v>
      </c>
      <c r="H10018" t="s" s="10">
        <v>14</v>
      </c>
      <c r="I10018" t="s" s="11">
        <v>14</v>
      </c>
      <c r="J10018" t="s" s="11">
        <v>14</v>
      </c>
      <c r="K10018" t="s" s="12">
        <v>14</v>
      </c>
      <c r="L10018" t="s" s="12">
        <v>14</v>
      </c>
      <c r="M10018" t="s" s="10">
        <v>14</v>
      </c>
      <c r="N10018" t="s" s="11">
        <v>14</v>
      </c>
      <c r="O10018" t="s" s="8">
        <v>14</v>
      </c>
      <c r="P10018" t="s" s="8">
        <v>14</v>
      </c>
      <c r="Q10018" t="s" s="12">
        <v>14</v>
      </c>
      <c r="R10018" t="s" s="12">
        <v>14</v>
      </c>
    </row>
    <row r="10019" s="2" customFormat="1" ht="27.75" customHeight="1">
      <c r="B10019" s="13"/>
      <c r="C10019" t="s" s="9">
        <v>16</v>
      </c>
      <c r="D10019" t="s" s="8">
        <v>3746</v>
      </c>
      <c r="E10019" t="s" s="9">
        <v>3746</v>
      </c>
      <c r="F10019" t="s" s="10">
        <v>65</v>
      </c>
      <c r="G10019" t="s" s="11">
        <v>65</v>
      </c>
      <c r="H10019" t="s" s="10">
        <v>65</v>
      </c>
      <c r="I10019" t="s" s="11">
        <v>65</v>
      </c>
      <c r="J10019" t="s" s="11">
        <v>20</v>
      </c>
      <c r="K10019" t="s" s="16">
        <f>HYPERLINK("http://csr.bu.edu/ftp/asl/asllvd/demos/verify_start_end_handshape_annotations//test_auto_move//signs_mov/4010.mov","MOV")</f>
        <v>21</v>
      </c>
      <c r="L10019" t="s" s="16">
        <f>HYPERLINK("http://csr.bu.edu/ftp/asl/asllvd/demos/verify_start_end_handshape_annotations//test_auto_move//signs_mov_separ_signers/Liz_4010.mov","MOV")</f>
        <v>21</v>
      </c>
      <c r="M10019" t="s" s="10">
        <v>59</v>
      </c>
      <c r="N10019" s="17">
        <v>23</v>
      </c>
      <c r="O10019" s="18">
        <v>505</v>
      </c>
      <c r="P10019" s="18">
        <v>567</v>
      </c>
      <c r="Q10019" t="s" s="16">
        <f>HYPERLINK("http://secrets.rutgers.edu:8080/data/asl-ftp/asllvd/demos/verify_start_end_handshape_annotations//test_auto_move//signs_mov/4010.mov","MOV")</f>
        <v>21</v>
      </c>
      <c r="R10019" t="s" s="16">
        <f>HYPERLINK("http://secrets.rutgers.edu:8080/data/asl-ftp/asllvd/demos/verify_start_end_handshape_annotations//test_auto_move//signs_mov_separ_signers/Liz_4010.mov","MOV")</f>
        <v>21</v>
      </c>
    </row>
    <row r="10020" s="2" customFormat="1" ht="27.75" customHeight="1">
      <c r="B10020" s="13"/>
      <c r="C10020" t="s" s="9">
        <v>30</v>
      </c>
      <c r="D10020" t="s" s="8">
        <v>3746</v>
      </c>
      <c r="E10020" t="s" s="9">
        <v>3746</v>
      </c>
      <c r="F10020" t="s" s="10">
        <v>65</v>
      </c>
      <c r="G10020" t="s" s="11">
        <v>65</v>
      </c>
      <c r="H10020" t="s" s="10">
        <v>65</v>
      </c>
      <c r="I10020" t="s" s="11">
        <v>65</v>
      </c>
      <c r="J10020" t="s" s="11">
        <v>20</v>
      </c>
      <c r="K10020" s="15"/>
      <c r="L10020" t="s" s="16">
        <f>HYPERLINK("http://csr.bu.edu/ftp/asl/asllvd/demos/verify_start_end_handshape_annotations//test_auto_move//signs_mov_separ_signers/Brady_4010.mov","MOV")</f>
        <v>21</v>
      </c>
      <c r="M10020" t="s" s="10">
        <v>60</v>
      </c>
      <c r="N10020" s="17">
        <v>11</v>
      </c>
      <c r="O10020" s="18">
        <v>1586</v>
      </c>
      <c r="P10020" s="18">
        <v>1636</v>
      </c>
      <c r="Q10020" s="15"/>
      <c r="R10020" t="s" s="16">
        <f>HYPERLINK("http://secrets.rutgers.edu:8080/data/asl-ftp/asllvd/demos/verify_start_end_handshape_annotations//test_auto_move//signs_mov_separ_signers/Brady_4010.mov","MOV")</f>
        <v>21</v>
      </c>
    </row>
    <row r="10021" s="2" customFormat="1" ht="13.5" customHeight="1">
      <c r="B10021" t="s" s="8">
        <v>3747</v>
      </c>
      <c r="C10021" t="s" s="9">
        <v>14</v>
      </c>
      <c r="D10021" t="s" s="8">
        <v>14</v>
      </c>
      <c r="E10021" t="s" s="9">
        <v>14</v>
      </c>
      <c r="F10021" t="s" s="10">
        <v>14</v>
      </c>
      <c r="G10021" t="s" s="11">
        <v>14</v>
      </c>
      <c r="H10021" t="s" s="10">
        <v>14</v>
      </c>
      <c r="I10021" t="s" s="11">
        <v>14</v>
      </c>
      <c r="J10021" t="s" s="11">
        <v>14</v>
      </c>
      <c r="K10021" t="s" s="12">
        <v>14</v>
      </c>
      <c r="L10021" t="s" s="12">
        <v>14</v>
      </c>
      <c r="M10021" t="s" s="10">
        <v>14</v>
      </c>
      <c r="N10021" t="s" s="11">
        <v>14</v>
      </c>
      <c r="O10021" t="s" s="8">
        <v>14</v>
      </c>
      <c r="P10021" t="s" s="8">
        <v>14</v>
      </c>
      <c r="Q10021" t="s" s="12">
        <v>14</v>
      </c>
      <c r="R10021" t="s" s="12">
        <v>14</v>
      </c>
    </row>
    <row r="10022" s="2" customFormat="1" ht="13.5" customHeight="1">
      <c r="B10022" s="13"/>
      <c r="C10022" t="s" s="9">
        <v>30</v>
      </c>
      <c r="D10022" t="s" s="8">
        <v>3747</v>
      </c>
      <c r="E10022" t="s" s="9">
        <v>3747</v>
      </c>
      <c r="F10022" t="s" s="10">
        <v>229</v>
      </c>
      <c r="G10022" t="s" s="11">
        <v>229</v>
      </c>
      <c r="H10022" t="s" s="10">
        <v>229</v>
      </c>
      <c r="I10022" t="s" s="11">
        <v>229</v>
      </c>
      <c r="J10022" t="s" s="11">
        <v>20</v>
      </c>
      <c r="K10022" t="s" s="16">
        <f>HYPERLINK("http://csr.bu.edu/ftp/asl/asllvd/demos/verify_start_end_handshape_annotations//test_auto_move//signs_mov/4012.mov","MOV")</f>
        <v>21</v>
      </c>
      <c r="L10022" t="s" s="16">
        <f>HYPERLINK("http://csr.bu.edu/ftp/asl/asllvd/demos/verify_start_end_handshape_annotations//test_auto_move//signs_mov_separ_signers/Brady_4012.mov","MOV")</f>
        <v>21</v>
      </c>
      <c r="M10022" t="s" s="10">
        <v>60</v>
      </c>
      <c r="N10022" s="17">
        <v>20</v>
      </c>
      <c r="O10022" s="18">
        <v>401</v>
      </c>
      <c r="P10022" s="18">
        <v>429</v>
      </c>
      <c r="Q10022" t="s" s="16">
        <f>HYPERLINK("http://secrets.rutgers.edu:8080/data/asl-ftp/asllvd/demos/verify_start_end_handshape_annotations//test_auto_move//signs_mov/4012.mov","MOV")</f>
        <v>21</v>
      </c>
      <c r="R10022" t="s" s="16">
        <f>HYPERLINK("http://secrets.rutgers.edu:8080/data/asl-ftp/asllvd/demos/verify_start_end_handshape_annotations//test_auto_move//signs_mov_separ_signers/Brady_4012.mov","MOV")</f>
        <v>21</v>
      </c>
    </row>
    <row r="10023" s="2" customFormat="1" ht="13.5" customHeight="1">
      <c r="B10023" t="s" s="8">
        <v>3748</v>
      </c>
      <c r="C10023" t="s" s="9">
        <v>14</v>
      </c>
      <c r="D10023" t="s" s="8">
        <v>14</v>
      </c>
      <c r="E10023" t="s" s="9">
        <v>14</v>
      </c>
      <c r="F10023" t="s" s="10">
        <v>14</v>
      </c>
      <c r="G10023" t="s" s="11">
        <v>14</v>
      </c>
      <c r="H10023" t="s" s="10">
        <v>14</v>
      </c>
      <c r="I10023" t="s" s="11">
        <v>14</v>
      </c>
      <c r="J10023" t="s" s="11">
        <v>14</v>
      </c>
      <c r="K10023" t="s" s="12">
        <v>14</v>
      </c>
      <c r="L10023" t="s" s="12">
        <v>14</v>
      </c>
      <c r="M10023" t="s" s="10">
        <v>14</v>
      </c>
      <c r="N10023" t="s" s="11">
        <v>14</v>
      </c>
      <c r="O10023" t="s" s="8">
        <v>14</v>
      </c>
      <c r="P10023" t="s" s="8">
        <v>14</v>
      </c>
      <c r="Q10023" t="s" s="12">
        <v>14</v>
      </c>
      <c r="R10023" t="s" s="12">
        <v>14</v>
      </c>
    </row>
    <row r="10024" s="2" customFormat="1" ht="13.5" customHeight="1">
      <c r="B10024" s="13"/>
      <c r="C10024" t="s" s="9">
        <v>16</v>
      </c>
      <c r="D10024" t="s" s="8">
        <v>3748</v>
      </c>
      <c r="E10024" t="s" s="9">
        <v>3748</v>
      </c>
      <c r="F10024" t="s" s="10">
        <v>150</v>
      </c>
      <c r="G10024" t="s" s="11">
        <v>150</v>
      </c>
      <c r="H10024" t="s" s="10">
        <v>80</v>
      </c>
      <c r="I10024" t="s" s="11">
        <v>80</v>
      </c>
      <c r="J10024" t="s" s="11">
        <v>20</v>
      </c>
      <c r="K10024" s="15"/>
      <c r="L10024" t="s" s="16">
        <f>HYPERLINK("http://csr.bu.edu/ftp/asl/asllvd/demos/verify_start_end_handshape_annotations//test_auto_move//signs_mov_separ_signers/Liz_4753.mov","MOV")</f>
        <v>21</v>
      </c>
      <c r="M10024" t="s" s="10">
        <v>59</v>
      </c>
      <c r="N10024" s="17">
        <v>30</v>
      </c>
      <c r="O10024" s="18">
        <v>1871</v>
      </c>
      <c r="P10024" s="18">
        <v>1910</v>
      </c>
      <c r="Q10024" s="15"/>
      <c r="R10024" t="s" s="16">
        <f>HYPERLINK("http://secrets.rutgers.edu:8080/data/asl-ftp/asllvd/demos/verify_start_end_handshape_annotations//test_auto_move//signs_mov_separ_signers/Liz_4753.mov","MOV")</f>
        <v>21</v>
      </c>
    </row>
    <row r="10025" s="2" customFormat="1" ht="13.5" customHeight="1">
      <c r="B10025" s="13"/>
      <c r="C10025" t="s" s="9">
        <v>30</v>
      </c>
      <c r="D10025" t="s" s="8">
        <v>3748</v>
      </c>
      <c r="E10025" t="s" s="9">
        <v>3748</v>
      </c>
      <c r="F10025" t="s" s="10">
        <v>150</v>
      </c>
      <c r="G10025" t="s" s="11">
        <v>150</v>
      </c>
      <c r="H10025" t="s" s="10">
        <v>80</v>
      </c>
      <c r="I10025" t="s" s="11">
        <v>80</v>
      </c>
      <c r="J10025" t="s" s="11">
        <v>20</v>
      </c>
      <c r="K10025" t="s" s="16">
        <f>HYPERLINK("http://csr.bu.edu/ftp/asl/asllvd/demos/verify_start_end_handshape_annotations//test_auto_move//signs_mov/4753_16311_merged.mov","MOV")</f>
        <v>21</v>
      </c>
      <c r="L10025" t="s" s="16">
        <f>HYPERLINK("http://csr.bu.edu/ftp/asl/asllvd/demos/verify_start_end_handshape_annotations//test_auto_move//signs_mov_separ_signers/Brady_4753.mov","MOV")</f>
        <v>21</v>
      </c>
      <c r="M10025" t="s" s="10">
        <v>60</v>
      </c>
      <c r="N10025" s="17">
        <v>18</v>
      </c>
      <c r="O10025" s="18">
        <v>5102</v>
      </c>
      <c r="P10025" s="18">
        <v>5135</v>
      </c>
      <c r="Q10025" t="s" s="16">
        <f>HYPERLINK("http://secrets.rutgers.edu:8080/data/asl-ftp/asllvd/demos/verify_start_end_handshape_annotations//test_auto_move//signs_mov/4753_16311_merged.mov","MOV")</f>
        <v>21</v>
      </c>
      <c r="R10025" t="s" s="16">
        <f>HYPERLINK("http://secrets.rutgers.edu:8080/data/asl-ftp/asllvd/demos/verify_start_end_handshape_annotations//test_auto_move//signs_mov_separ_signers/Brady_4753.mov","MOV")</f>
        <v>21</v>
      </c>
    </row>
    <row r="10026" s="2" customFormat="1" ht="13.5" customHeight="1">
      <c r="B10026" s="13"/>
      <c r="C10026" t="s" s="9">
        <v>30</v>
      </c>
      <c r="D10026" t="s" s="8">
        <v>3748</v>
      </c>
      <c r="E10026" t="s" s="9">
        <v>3748</v>
      </c>
      <c r="F10026" t="s" s="10">
        <v>80</v>
      </c>
      <c r="G10026" t="s" s="11">
        <v>80</v>
      </c>
      <c r="H10026" t="s" s="10">
        <v>80</v>
      </c>
      <c r="I10026" t="s" s="11">
        <v>80</v>
      </c>
      <c r="J10026" t="s" s="11">
        <v>20</v>
      </c>
      <c r="K10026" s="15"/>
      <c r="L10026" t="s" s="16">
        <f>HYPERLINK("http://csr.bu.edu/ftp/asl/asllvd/demos/verify_start_end_handshape_annotations//test_auto_move//signs_mov_separ_signers/Brady_16311.mov","MOV")</f>
        <v>21</v>
      </c>
      <c r="M10026" t="s" s="10">
        <v>60</v>
      </c>
      <c r="N10026" s="17">
        <v>19</v>
      </c>
      <c r="O10026" s="18">
        <v>171</v>
      </c>
      <c r="P10026" s="18">
        <v>203</v>
      </c>
      <c r="Q10026" s="15"/>
      <c r="R10026" t="s" s="16">
        <f>HYPERLINK("http://secrets.rutgers.edu:8080/data/asl-ftp/asllvd/demos/verify_start_end_handshape_annotations//test_auto_move//signs_mov_separ_signers/Brady_16311.mov","MOV")</f>
        <v>21</v>
      </c>
    </row>
    <row r="10027" s="2" customFormat="1" ht="13.5" customHeight="1">
      <c r="B10027" t="s" s="8">
        <v>68</v>
      </c>
      <c r="C10027" t="s" s="9">
        <v>14</v>
      </c>
      <c r="D10027" t="s" s="8">
        <v>14</v>
      </c>
      <c r="E10027" t="s" s="9">
        <v>14</v>
      </c>
      <c r="F10027" t="s" s="10">
        <v>14</v>
      </c>
      <c r="G10027" t="s" s="11">
        <v>14</v>
      </c>
      <c r="H10027" t="s" s="10">
        <v>14</v>
      </c>
      <c r="I10027" t="s" s="11">
        <v>14</v>
      </c>
      <c r="J10027" t="s" s="11">
        <v>14</v>
      </c>
      <c r="K10027" t="s" s="12">
        <v>14</v>
      </c>
      <c r="L10027" t="s" s="12">
        <v>14</v>
      </c>
      <c r="M10027" t="s" s="10">
        <v>14</v>
      </c>
      <c r="N10027" t="s" s="11">
        <v>14</v>
      </c>
      <c r="O10027" t="s" s="8">
        <v>14</v>
      </c>
      <c r="P10027" t="s" s="8">
        <v>14</v>
      </c>
      <c r="Q10027" t="s" s="12">
        <v>14</v>
      </c>
      <c r="R10027" t="s" s="12">
        <v>14</v>
      </c>
    </row>
    <row r="10028" s="2" customFormat="1" ht="13.5" customHeight="1">
      <c r="B10028" s="13"/>
      <c r="C10028" t="s" s="9">
        <v>16</v>
      </c>
      <c r="D10028" t="s" s="8">
        <v>68</v>
      </c>
      <c r="E10028" t="s" s="9">
        <v>68</v>
      </c>
      <c r="F10028" t="s" s="10">
        <v>68</v>
      </c>
      <c r="G10028" s="14"/>
      <c r="H10028" t="s" s="10">
        <v>68</v>
      </c>
      <c r="I10028" s="14"/>
      <c r="J10028" t="s" s="11">
        <v>20</v>
      </c>
      <c r="K10028" t="s" s="16">
        <f>HYPERLINK("http://csr.bu.edu/ftp/asl/asllvd/demos/verify_start_end_handshape_annotations//test_auto_move//signs_mov/4017.mov","MOV")</f>
        <v>21</v>
      </c>
      <c r="L10028" t="s" s="16">
        <f>HYPERLINK("http://csr.bu.edu/ftp/asl/asllvd/demos/verify_start_end_handshape_annotations//test_auto_move//signs_mov_separ_signers/Liz_4017.mov","MOV")</f>
        <v>21</v>
      </c>
      <c r="M10028" t="s" s="10">
        <v>36</v>
      </c>
      <c r="N10028" s="17">
        <v>20</v>
      </c>
      <c r="O10028" s="18">
        <v>2020</v>
      </c>
      <c r="P10028" s="18">
        <v>2082</v>
      </c>
      <c r="Q10028" t="s" s="16">
        <f>HYPERLINK("http://secrets.rutgers.edu:8080/data/asl-ftp/asllvd/demos/verify_start_end_handshape_annotations//test_auto_move//signs_mov/4017.mov","MOV")</f>
        <v>21</v>
      </c>
      <c r="R10028" t="s" s="16">
        <f>HYPERLINK("http://secrets.rutgers.edu:8080/data/asl-ftp/asllvd/demos/verify_start_end_handshape_annotations//test_auto_move//signs_mov_separ_signers/Liz_4017.mov","MOV")</f>
        <v>21</v>
      </c>
    </row>
    <row r="10029" s="2" customFormat="1" ht="13.5" customHeight="1">
      <c r="B10029" s="13"/>
      <c r="C10029" t="s" s="9">
        <v>30</v>
      </c>
      <c r="D10029" t="s" s="8">
        <v>68</v>
      </c>
      <c r="E10029" t="s" s="9">
        <v>68</v>
      </c>
      <c r="F10029" t="s" s="10">
        <v>68</v>
      </c>
      <c r="G10029" s="14"/>
      <c r="H10029" t="s" s="10">
        <v>68</v>
      </c>
      <c r="I10029" s="14"/>
      <c r="J10029" t="s" s="11">
        <v>20</v>
      </c>
      <c r="K10029" s="15"/>
      <c r="L10029" t="s" s="16">
        <f>HYPERLINK("http://csr.bu.edu/ftp/asl/asllvd/demos/verify_start_end_handshape_annotations//test_auto_move//signs_mov_separ_signers/Brady_4017.mov","MOV")</f>
        <v>21</v>
      </c>
      <c r="M10029" t="s" s="10">
        <v>40</v>
      </c>
      <c r="N10029" s="17">
        <v>71</v>
      </c>
      <c r="O10029" s="18">
        <v>516</v>
      </c>
      <c r="P10029" s="18">
        <v>542</v>
      </c>
      <c r="Q10029" s="15"/>
      <c r="R10029" t="s" s="16">
        <f>HYPERLINK("http://secrets.rutgers.edu:8080/data/asl-ftp/asllvd/demos/verify_start_end_handshape_annotations//test_auto_move//signs_mov_separ_signers/Brady_4017.mov","MOV")</f>
        <v>21</v>
      </c>
    </row>
    <row r="10030" s="2" customFormat="1" ht="13.5" customHeight="1">
      <c r="B10030" t="s" s="8">
        <v>3749</v>
      </c>
      <c r="C10030" t="s" s="9">
        <v>14</v>
      </c>
      <c r="D10030" t="s" s="8">
        <v>14</v>
      </c>
      <c r="E10030" t="s" s="9">
        <v>14</v>
      </c>
      <c r="F10030" t="s" s="10">
        <v>14</v>
      </c>
      <c r="G10030" t="s" s="11">
        <v>14</v>
      </c>
      <c r="H10030" t="s" s="10">
        <v>14</v>
      </c>
      <c r="I10030" t="s" s="11">
        <v>14</v>
      </c>
      <c r="J10030" t="s" s="11">
        <v>14</v>
      </c>
      <c r="K10030" t="s" s="12">
        <v>14</v>
      </c>
      <c r="L10030" t="s" s="12">
        <v>14</v>
      </c>
      <c r="M10030" t="s" s="10">
        <v>14</v>
      </c>
      <c r="N10030" t="s" s="11">
        <v>14</v>
      </c>
      <c r="O10030" t="s" s="8">
        <v>14</v>
      </c>
      <c r="P10030" t="s" s="8">
        <v>14</v>
      </c>
      <c r="Q10030" t="s" s="12">
        <v>14</v>
      </c>
      <c r="R10030" t="s" s="12">
        <v>14</v>
      </c>
    </row>
    <row r="10031" s="2" customFormat="1" ht="13.5" customHeight="1">
      <c r="B10031" s="13"/>
      <c r="C10031" t="s" s="9">
        <v>16</v>
      </c>
      <c r="D10031" t="s" s="8">
        <v>3749</v>
      </c>
      <c r="E10031" t="s" s="9">
        <v>3749</v>
      </c>
      <c r="F10031" s="19">
        <v>4</v>
      </c>
      <c r="G10031" s="14"/>
      <c r="H10031" s="19">
        <v>4</v>
      </c>
      <c r="I10031" s="14"/>
      <c r="J10031" t="s" s="11">
        <v>20</v>
      </c>
      <c r="K10031" t="s" s="16">
        <f>HYPERLINK("http://csr.bu.edu/ftp/asl/asllvd/demos/verify_start_end_handshape_annotations//test_auto_move//signs_mov/4018.mov","MOV")</f>
        <v>21</v>
      </c>
      <c r="L10031" t="s" s="16">
        <f>HYPERLINK("http://csr.bu.edu/ftp/asl/asllvd/demos/verify_start_end_handshape_annotations//test_auto_move//signs_mov_separ_signers/Liz_4018.mov","MOV")</f>
        <v>21</v>
      </c>
      <c r="M10031" t="s" s="10">
        <v>36</v>
      </c>
      <c r="N10031" s="17">
        <v>24</v>
      </c>
      <c r="O10031" s="18">
        <v>1265</v>
      </c>
      <c r="P10031" s="18">
        <v>1325</v>
      </c>
      <c r="Q10031" t="s" s="16">
        <f>HYPERLINK("http://secrets.rutgers.edu:8080/data/asl-ftp/asllvd/demos/verify_start_end_handshape_annotations//test_auto_move//signs_mov/4018.mov","MOV")</f>
        <v>21</v>
      </c>
      <c r="R10031" t="s" s="16">
        <f>HYPERLINK("http://secrets.rutgers.edu:8080/data/asl-ftp/asllvd/demos/verify_start_end_handshape_annotations//test_auto_move//signs_mov_separ_signers/Liz_4018.mov","MOV")</f>
        <v>21</v>
      </c>
    </row>
    <row r="10032" s="2" customFormat="1" ht="13.5" customHeight="1">
      <c r="B10032" s="13"/>
      <c r="C10032" t="s" s="9">
        <v>30</v>
      </c>
      <c r="D10032" t="s" s="8">
        <v>3749</v>
      </c>
      <c r="E10032" t="s" s="9">
        <v>3749</v>
      </c>
      <c r="F10032" s="19">
        <v>4</v>
      </c>
      <c r="G10032" s="14"/>
      <c r="H10032" s="19">
        <v>4</v>
      </c>
      <c r="I10032" s="14"/>
      <c r="J10032" t="s" s="11">
        <v>20</v>
      </c>
      <c r="K10032" s="15"/>
      <c r="L10032" t="s" s="16">
        <f>HYPERLINK("http://csr.bu.edu/ftp/asl/asllvd/demos/verify_start_end_handshape_annotations//test_auto_move//signs_mov_separ_signers/Brady_4018.mov","MOV")</f>
        <v>21</v>
      </c>
      <c r="M10032" t="s" s="10">
        <v>40</v>
      </c>
      <c r="N10032" s="17">
        <v>74</v>
      </c>
      <c r="O10032" s="18">
        <v>1442</v>
      </c>
      <c r="P10032" s="18">
        <v>1486</v>
      </c>
      <c r="Q10032" s="15"/>
      <c r="R10032" t="s" s="16">
        <f>HYPERLINK("http://secrets.rutgers.edu:8080/data/asl-ftp/asllvd/demos/verify_start_end_handshape_annotations//test_auto_move//signs_mov_separ_signers/Brady_4018.mov","MOV")</f>
        <v>21</v>
      </c>
    </row>
    <row r="10033" s="2" customFormat="1" ht="13.5" customHeight="1">
      <c r="B10033" t="s" s="8">
        <v>3750</v>
      </c>
      <c r="C10033" t="s" s="9">
        <v>14</v>
      </c>
      <c r="D10033" t="s" s="8">
        <v>14</v>
      </c>
      <c r="E10033" t="s" s="9">
        <v>14</v>
      </c>
      <c r="F10033" t="s" s="10">
        <v>14</v>
      </c>
      <c r="G10033" t="s" s="11">
        <v>14</v>
      </c>
      <c r="H10033" t="s" s="10">
        <v>14</v>
      </c>
      <c r="I10033" t="s" s="11">
        <v>14</v>
      </c>
      <c r="J10033" t="s" s="11">
        <v>14</v>
      </c>
      <c r="K10033" t="s" s="12">
        <v>14</v>
      </c>
      <c r="L10033" t="s" s="12">
        <v>14</v>
      </c>
      <c r="M10033" t="s" s="10">
        <v>14</v>
      </c>
      <c r="N10033" t="s" s="11">
        <v>14</v>
      </c>
      <c r="O10033" t="s" s="8">
        <v>14</v>
      </c>
      <c r="P10033" t="s" s="8">
        <v>14</v>
      </c>
      <c r="Q10033" t="s" s="12">
        <v>14</v>
      </c>
      <c r="R10033" t="s" s="12">
        <v>14</v>
      </c>
    </row>
    <row r="10034" s="2" customFormat="1" ht="13.5" customHeight="1">
      <c r="B10034" s="13"/>
      <c r="C10034" t="s" s="9">
        <v>16</v>
      </c>
      <c r="D10034" t="s" s="8">
        <v>3750</v>
      </c>
      <c r="E10034" t="s" s="9">
        <v>3750</v>
      </c>
      <c r="F10034" t="s" s="10">
        <v>150</v>
      </c>
      <c r="G10034" t="s" s="11">
        <v>150</v>
      </c>
      <c r="H10034" s="19">
        <v>10</v>
      </c>
      <c r="I10034" s="17">
        <v>10</v>
      </c>
      <c r="J10034" t="s" s="11">
        <v>20</v>
      </c>
      <c r="K10034" t="s" s="16">
        <f>HYPERLINK("http://csr.bu.edu/ftp/asl/asllvd/demos/verify_start_end_handshape_annotations//test_auto_move//signs_mov/4020.mov","MOV")</f>
        <v>21</v>
      </c>
      <c r="L10034" t="s" s="16">
        <f>HYPERLINK("http://csr.bu.edu/ftp/asl/asllvd/demos/verify_start_end_handshape_annotations//test_auto_move//signs_mov_separ_signers/Liz_4020.mov","MOV")</f>
        <v>21</v>
      </c>
      <c r="M10034" t="s" s="10">
        <v>36</v>
      </c>
      <c r="N10034" s="17">
        <v>26</v>
      </c>
      <c r="O10034" s="18">
        <v>2261</v>
      </c>
      <c r="P10034" s="18">
        <v>2295</v>
      </c>
      <c r="Q10034" t="s" s="16">
        <f>HYPERLINK("http://secrets.rutgers.edu:8080/data/asl-ftp/asllvd/demos/verify_start_end_handshape_annotations//test_auto_move//signs_mov/4020.mov","MOV")</f>
        <v>21</v>
      </c>
      <c r="R10034" t="s" s="16">
        <f>HYPERLINK("http://secrets.rutgers.edu:8080/data/asl-ftp/asllvd/demos/verify_start_end_handshape_annotations//test_auto_move//signs_mov_separ_signers/Liz_4020.mov","MOV")</f>
        <v>21</v>
      </c>
    </row>
    <row r="10035" s="2" customFormat="1" ht="13.5" customHeight="1">
      <c r="B10035" t="s" s="8">
        <v>52</v>
      </c>
      <c r="C10035" t="s" s="9">
        <v>53</v>
      </c>
      <c r="D10035" t="s" s="8">
        <v>53</v>
      </c>
      <c r="E10035" t="s" s="9">
        <v>53</v>
      </c>
      <c r="F10035" t="s" s="10">
        <v>53</v>
      </c>
      <c r="G10035" t="s" s="11">
        <v>53</v>
      </c>
      <c r="H10035" t="s" s="10">
        <v>53</v>
      </c>
      <c r="I10035" t="s" s="11">
        <v>53</v>
      </c>
      <c r="J10035" t="s" s="11">
        <v>53</v>
      </c>
      <c r="K10035" t="s" s="12">
        <v>53</v>
      </c>
      <c r="L10035" t="s" s="12">
        <v>53</v>
      </c>
      <c r="M10035" t="s" s="10">
        <v>53</v>
      </c>
      <c r="N10035" t="s" s="11">
        <v>53</v>
      </c>
      <c r="O10035" t="s" s="8">
        <v>53</v>
      </c>
      <c r="P10035" t="s" s="8">
        <v>53</v>
      </c>
      <c r="Q10035" t="s" s="12">
        <v>53</v>
      </c>
      <c r="R10035" t="s" s="12">
        <v>53</v>
      </c>
    </row>
    <row r="10036" s="2" customFormat="1" ht="13.5" customHeight="1">
      <c r="B10036" s="13"/>
      <c r="C10036" t="s" s="9">
        <v>30</v>
      </c>
      <c r="D10036" t="s" s="8">
        <v>3750</v>
      </c>
      <c r="E10036" t="s" s="9">
        <v>3751</v>
      </c>
      <c r="F10036" t="s" s="10">
        <v>73</v>
      </c>
      <c r="G10036" t="s" s="11">
        <v>73</v>
      </c>
      <c r="H10036" s="19">
        <v>10</v>
      </c>
      <c r="I10036" s="17">
        <v>10</v>
      </c>
      <c r="J10036" t="s" s="11">
        <v>20</v>
      </c>
      <c r="K10036" t="s" s="16">
        <f>HYPERLINK("http://csr.bu.edu/ftp/asl/asllvd/demos/verify_start_end_handshape_annotations//test_auto_move//signs_mov/5672.mov","MOV")</f>
        <v>21</v>
      </c>
      <c r="L10036" t="s" s="16">
        <f>HYPERLINK("http://csr.bu.edu/ftp/asl/asllvd/demos/verify_start_end_handshape_annotations//test_auto_move//signs_mov_separ_signers/Brady_5672.mov","MOV")</f>
        <v>21</v>
      </c>
      <c r="M10036" t="s" s="10">
        <v>40</v>
      </c>
      <c r="N10036" s="17">
        <v>77</v>
      </c>
      <c r="O10036" s="18">
        <v>952</v>
      </c>
      <c r="P10036" s="18">
        <v>964</v>
      </c>
      <c r="Q10036" t="s" s="16">
        <f>HYPERLINK("http://secrets.rutgers.edu:8080/data/asl-ftp/asllvd/demos/verify_start_end_handshape_annotations//test_auto_move//signs_mov/5672.mov","MOV")</f>
        <v>21</v>
      </c>
      <c r="R10036" t="s" s="16">
        <f>HYPERLINK("http://secrets.rutgers.edu:8080/data/asl-ftp/asllvd/demos/verify_start_end_handshape_annotations//test_auto_move//signs_mov_separ_signers/Brady_5672.mov","MOV")</f>
        <v>21</v>
      </c>
    </row>
    <row r="10037" s="2" customFormat="1" ht="13.5" customHeight="1">
      <c r="B10037" s="13"/>
      <c r="C10037" t="s" s="9">
        <v>41</v>
      </c>
      <c r="D10037" t="s" s="8">
        <v>3750</v>
      </c>
      <c r="E10037" t="s" s="9">
        <v>3751</v>
      </c>
      <c r="F10037" t="s" s="10">
        <v>80</v>
      </c>
      <c r="G10037" t="s" s="11">
        <v>80</v>
      </c>
      <c r="H10037" s="19">
        <v>10</v>
      </c>
      <c r="I10037" s="17">
        <v>10</v>
      </c>
      <c r="J10037" t="s" s="11">
        <v>20</v>
      </c>
      <c r="K10037" s="15"/>
      <c r="L10037" t="s" s="16">
        <f>HYPERLINK("http://csr.bu.edu/ftp/asl/asllvd/demos/verify_start_end_handshape_annotations//test_auto_move//signs_mov_separ_signers/Lana_5672.mov","MOV")</f>
        <v>21</v>
      </c>
      <c r="M10037" t="s" s="10">
        <v>42</v>
      </c>
      <c r="N10037" s="17">
        <v>25</v>
      </c>
      <c r="O10037" s="18">
        <v>762</v>
      </c>
      <c r="P10037" s="18">
        <v>776</v>
      </c>
      <c r="Q10037" s="15"/>
      <c r="R10037" t="s" s="16">
        <f>HYPERLINK("http://secrets.rutgers.edu:8080/data/asl-ftp/asllvd/demos/verify_start_end_handshape_annotations//test_auto_move//signs_mov_separ_signers/Lana_5672.mov","MOV")</f>
        <v>21</v>
      </c>
    </row>
    <row r="10038" s="2" customFormat="1" ht="13.5" customHeight="1">
      <c r="B10038" t="s" s="8">
        <v>3752</v>
      </c>
      <c r="C10038" t="s" s="9">
        <v>14</v>
      </c>
      <c r="D10038" t="s" s="8">
        <v>14</v>
      </c>
      <c r="E10038" t="s" s="9">
        <v>14</v>
      </c>
      <c r="F10038" t="s" s="10">
        <v>14</v>
      </c>
      <c r="G10038" t="s" s="11">
        <v>14</v>
      </c>
      <c r="H10038" t="s" s="10">
        <v>14</v>
      </c>
      <c r="I10038" t="s" s="11">
        <v>14</v>
      </c>
      <c r="J10038" t="s" s="11">
        <v>14</v>
      </c>
      <c r="K10038" t="s" s="12">
        <v>14</v>
      </c>
      <c r="L10038" t="s" s="12">
        <v>14</v>
      </c>
      <c r="M10038" t="s" s="10">
        <v>14</v>
      </c>
      <c r="N10038" t="s" s="11">
        <v>14</v>
      </c>
      <c r="O10038" t="s" s="8">
        <v>14</v>
      </c>
      <c r="P10038" t="s" s="8">
        <v>14</v>
      </c>
      <c r="Q10038" t="s" s="12">
        <v>14</v>
      </c>
      <c r="R10038" t="s" s="12">
        <v>14</v>
      </c>
    </row>
    <row r="10039" s="2" customFormat="1" ht="13.5" customHeight="1">
      <c r="B10039" s="13"/>
      <c r="C10039" t="s" s="9">
        <v>16</v>
      </c>
      <c r="D10039" t="s" s="8">
        <v>3752</v>
      </c>
      <c r="E10039" t="s" s="9">
        <v>3752</v>
      </c>
      <c r="F10039" t="s" s="10">
        <v>150</v>
      </c>
      <c r="G10039" t="s" s="11">
        <v>150</v>
      </c>
      <c r="H10039" t="s" s="10">
        <v>150</v>
      </c>
      <c r="I10039" t="s" s="11">
        <v>150</v>
      </c>
      <c r="J10039" t="s" s="11">
        <v>20</v>
      </c>
      <c r="K10039" s="15"/>
      <c r="L10039" t="s" s="16">
        <f>HYPERLINK("http://csr.bu.edu/ftp/asl/asllvd/demos/verify_start_end_handshape_annotations//test_auto_move//signs_mov_separ_signers/Liz_4023.mov","MOV")</f>
        <v>21</v>
      </c>
      <c r="M10039" t="s" s="10">
        <v>77</v>
      </c>
      <c r="N10039" s="17">
        <v>1</v>
      </c>
      <c r="O10039" s="18">
        <v>1210</v>
      </c>
      <c r="P10039" s="18">
        <v>1245</v>
      </c>
      <c r="Q10039" s="15"/>
      <c r="R10039" t="s" s="16">
        <f>HYPERLINK("http://secrets.rutgers.edu:8080/data/asl-ftp/asllvd/demos/verify_start_end_handshape_annotations//test_auto_move//signs_mov_separ_signers/Liz_4023.mov","MOV")</f>
        <v>21</v>
      </c>
    </row>
    <row r="10040" s="2" customFormat="1" ht="13.5" customHeight="1">
      <c r="B10040" s="13"/>
      <c r="C10040" t="s" s="9">
        <v>30</v>
      </c>
      <c r="D10040" t="s" s="8">
        <v>3752</v>
      </c>
      <c r="E10040" t="s" s="9">
        <v>3752</v>
      </c>
      <c r="F10040" t="s" s="10">
        <v>150</v>
      </c>
      <c r="G10040" t="s" s="11">
        <v>150</v>
      </c>
      <c r="H10040" t="s" s="10">
        <v>150</v>
      </c>
      <c r="I10040" t="s" s="11">
        <v>150</v>
      </c>
      <c r="J10040" t="s" s="11">
        <v>20</v>
      </c>
      <c r="K10040" t="s" s="16">
        <f>HYPERLINK("http://csr.bu.edu/ftp/asl/asllvd/demos/verify_start_end_handshape_annotations//test_auto_move//signs_mov/4023_5561_merged.mov","MOV")</f>
        <v>21</v>
      </c>
      <c r="L10040" t="s" s="16">
        <f>HYPERLINK("http://csr.bu.edu/ftp/asl/asllvd/demos/verify_start_end_handshape_annotations//test_auto_move//signs_mov_separ_signers/Brady_4023.mov","MOV")</f>
        <v>21</v>
      </c>
      <c r="M10040" t="s" s="10">
        <v>31</v>
      </c>
      <c r="N10040" s="17">
        <v>16</v>
      </c>
      <c r="O10040" s="18">
        <v>8732</v>
      </c>
      <c r="P10040" s="18">
        <v>8745</v>
      </c>
      <c r="Q10040" t="s" s="16">
        <f>HYPERLINK("http://secrets.rutgers.edu:8080/data/asl-ftp/asllvd/demos/verify_start_end_handshape_annotations//test_auto_move//signs_mov/4023_5561_merged.mov","MOV")</f>
        <v>21</v>
      </c>
      <c r="R10040" t="s" s="16">
        <f>HYPERLINK("http://secrets.rutgers.edu:8080/data/asl-ftp/asllvd/demos/verify_start_end_handshape_annotations//test_auto_move//signs_mov_separ_signers/Brady_4023.mov","MOV")</f>
        <v>21</v>
      </c>
    </row>
    <row r="10041" s="2" customFormat="1" ht="13.5" customHeight="1">
      <c r="B10041" s="13"/>
      <c r="C10041" t="s" s="9">
        <v>30</v>
      </c>
      <c r="D10041" t="s" s="8">
        <v>3752</v>
      </c>
      <c r="E10041" t="s" s="9">
        <v>3752</v>
      </c>
      <c r="F10041" t="s" s="10">
        <v>150</v>
      </c>
      <c r="G10041" t="s" s="11">
        <v>150</v>
      </c>
      <c r="H10041" t="s" s="10">
        <v>150</v>
      </c>
      <c r="I10041" t="s" s="11">
        <v>150</v>
      </c>
      <c r="J10041" t="s" s="11">
        <v>20</v>
      </c>
      <c r="K10041" s="15"/>
      <c r="L10041" t="s" s="16">
        <f>HYPERLINK("http://csr.bu.edu/ftp/asl/asllvd/demos/verify_start_end_handshape_annotations//test_auto_move//signs_mov_separ_signers/Brady_5561.mov","MOV")</f>
        <v>21</v>
      </c>
      <c r="M10041" t="s" s="10">
        <v>31</v>
      </c>
      <c r="N10041" s="17">
        <v>22</v>
      </c>
      <c r="O10041" s="18">
        <v>24901</v>
      </c>
      <c r="P10041" s="18">
        <v>24917</v>
      </c>
      <c r="Q10041" s="15"/>
      <c r="R10041" t="s" s="16">
        <f>HYPERLINK("http://secrets.rutgers.edu:8080/data/asl-ftp/asllvd/demos/verify_start_end_handshape_annotations//test_auto_move//signs_mov_separ_signers/Brady_5561.mov","MOV")</f>
        <v>21</v>
      </c>
    </row>
    <row r="10042" s="2" customFormat="1" ht="13.5" customHeight="1">
      <c r="B10042" t="s" s="8">
        <v>52</v>
      </c>
      <c r="C10042" t="s" s="9">
        <v>53</v>
      </c>
      <c r="D10042" t="s" s="8">
        <v>53</v>
      </c>
      <c r="E10042" t="s" s="9">
        <v>53</v>
      </c>
      <c r="F10042" t="s" s="10">
        <v>53</v>
      </c>
      <c r="G10042" t="s" s="11">
        <v>53</v>
      </c>
      <c r="H10042" t="s" s="10">
        <v>53</v>
      </c>
      <c r="I10042" t="s" s="11">
        <v>53</v>
      </c>
      <c r="J10042" t="s" s="11">
        <v>53</v>
      </c>
      <c r="K10042" t="s" s="12">
        <v>53</v>
      </c>
      <c r="L10042" t="s" s="12">
        <v>53</v>
      </c>
      <c r="M10042" t="s" s="10">
        <v>53</v>
      </c>
      <c r="N10042" t="s" s="11">
        <v>53</v>
      </c>
      <c r="O10042" t="s" s="8">
        <v>53</v>
      </c>
      <c r="P10042" t="s" s="8">
        <v>53</v>
      </c>
      <c r="Q10042" t="s" s="12">
        <v>53</v>
      </c>
      <c r="R10042" t="s" s="12">
        <v>53</v>
      </c>
    </row>
    <row r="10043" s="2" customFormat="1" ht="13.5" customHeight="1">
      <c r="B10043" s="13"/>
      <c r="C10043" t="s" s="9">
        <v>16</v>
      </c>
      <c r="D10043" t="s" s="8">
        <v>3752</v>
      </c>
      <c r="E10043" t="s" s="9">
        <v>3753</v>
      </c>
      <c r="F10043" t="s" s="10">
        <v>150</v>
      </c>
      <c r="G10043" t="s" s="11">
        <v>150</v>
      </c>
      <c r="H10043" t="s" s="10">
        <v>150</v>
      </c>
      <c r="I10043" t="s" s="11">
        <v>150</v>
      </c>
      <c r="J10043" t="s" s="11">
        <v>20</v>
      </c>
      <c r="K10043" t="s" s="16">
        <f>HYPERLINK("http://csr.bu.edu/ftp/asl/asllvd/demos/verify_start_end_handshape_annotations//test_auto_move//signs_mov/16227.mov","MOV")</f>
        <v>21</v>
      </c>
      <c r="L10043" t="s" s="16">
        <f>HYPERLINK("http://csr.bu.edu/ftp/asl/asllvd/demos/verify_start_end_handshape_annotations//test_auto_move//signs_mov_separ_signers/Liz_16227.mov","MOV")</f>
        <v>21</v>
      </c>
      <c r="M10043" t="s" s="10">
        <v>77</v>
      </c>
      <c r="N10043" s="17">
        <v>1</v>
      </c>
      <c r="O10043" s="18">
        <v>1400</v>
      </c>
      <c r="P10043" s="18">
        <v>1450</v>
      </c>
      <c r="Q10043" t="s" s="16">
        <f>HYPERLINK("http://secrets.rutgers.edu:8080/data/asl-ftp/asllvd/demos/verify_start_end_handshape_annotations//test_auto_move//signs_mov/16227.mov","MOV")</f>
        <v>21</v>
      </c>
      <c r="R10043" t="s" s="16">
        <f>HYPERLINK("http://secrets.rutgers.edu:8080/data/asl-ftp/asllvd/demos/verify_start_end_handshape_annotations//test_auto_move//signs_mov_separ_signers/Liz_16227.mov","MOV")</f>
        <v>21</v>
      </c>
    </row>
    <row r="10044" s="2" customFormat="1" ht="13.5" customHeight="1">
      <c r="B10044" t="s" s="8">
        <v>3754</v>
      </c>
      <c r="C10044" t="s" s="9">
        <v>14</v>
      </c>
      <c r="D10044" t="s" s="8">
        <v>14</v>
      </c>
      <c r="E10044" t="s" s="9">
        <v>14</v>
      </c>
      <c r="F10044" t="s" s="10">
        <v>14</v>
      </c>
      <c r="G10044" t="s" s="11">
        <v>14</v>
      </c>
      <c r="H10044" t="s" s="10">
        <v>14</v>
      </c>
      <c r="I10044" t="s" s="11">
        <v>14</v>
      </c>
      <c r="J10044" t="s" s="11">
        <v>14</v>
      </c>
      <c r="K10044" t="s" s="12">
        <v>14</v>
      </c>
      <c r="L10044" t="s" s="12">
        <v>14</v>
      </c>
      <c r="M10044" t="s" s="10">
        <v>14</v>
      </c>
      <c r="N10044" t="s" s="11">
        <v>14</v>
      </c>
      <c r="O10044" t="s" s="8">
        <v>14</v>
      </c>
      <c r="P10044" t="s" s="8">
        <v>14</v>
      </c>
      <c r="Q10044" t="s" s="12">
        <v>14</v>
      </c>
      <c r="R10044" t="s" s="12">
        <v>14</v>
      </c>
    </row>
    <row r="10045" s="2" customFormat="1" ht="13.5" customHeight="1">
      <c r="B10045" s="13"/>
      <c r="C10045" t="s" s="9">
        <v>16</v>
      </c>
      <c r="D10045" t="s" s="8">
        <v>3754</v>
      </c>
      <c r="E10045" t="s" s="9">
        <v>3754</v>
      </c>
      <c r="F10045" t="s" s="10">
        <v>73</v>
      </c>
      <c r="G10045" t="s" s="11">
        <v>73</v>
      </c>
      <c r="H10045" t="s" s="10">
        <v>150</v>
      </c>
      <c r="I10045" t="s" s="11">
        <v>150</v>
      </c>
      <c r="J10045" t="s" s="11">
        <v>20</v>
      </c>
      <c r="K10045" s="15"/>
      <c r="L10045" t="s" s="16">
        <f>HYPERLINK("http://csr.bu.edu/ftp/asl/asllvd/demos/verify_start_end_handshape_annotations//test_auto_move//signs_mov_separ_signers/Liz_4025.mov","MOV")</f>
        <v>21</v>
      </c>
      <c r="M10045" t="s" s="10">
        <v>88</v>
      </c>
      <c r="N10045" s="17">
        <v>25</v>
      </c>
      <c r="O10045" s="18">
        <v>2961</v>
      </c>
      <c r="P10045" s="18">
        <v>3005</v>
      </c>
      <c r="Q10045" s="15"/>
      <c r="R10045" t="s" s="16">
        <f>HYPERLINK("http://secrets.rutgers.edu:8080/data/asl-ftp/asllvd/demos/verify_start_end_handshape_annotations//test_auto_move//signs_mov_separ_signers/Liz_4025.mov","MOV")</f>
        <v>21</v>
      </c>
    </row>
    <row r="10046" s="2" customFormat="1" ht="13.5" customHeight="1">
      <c r="B10046" s="13"/>
      <c r="C10046" t="s" s="9">
        <v>16</v>
      </c>
      <c r="D10046" t="s" s="8">
        <v>3754</v>
      </c>
      <c r="E10046" t="s" s="9">
        <v>3754</v>
      </c>
      <c r="F10046" t="s" s="10">
        <v>73</v>
      </c>
      <c r="G10046" t="s" s="11">
        <v>73</v>
      </c>
      <c r="H10046" t="s" s="10">
        <v>150</v>
      </c>
      <c r="I10046" t="s" s="11">
        <v>150</v>
      </c>
      <c r="J10046" t="s" s="11">
        <v>20</v>
      </c>
      <c r="K10046" t="s" s="16">
        <f>HYPERLINK("http://csr.bu.edu/ftp/asl/asllvd/demos/verify_start_end_handshape_annotations//test_auto_move//signs_mov/4025_5562_merged.mov","MOV")</f>
        <v>21</v>
      </c>
      <c r="L10046" t="s" s="16">
        <f>HYPERLINK("http://csr.bu.edu/ftp/asl/asllvd/demos/verify_start_end_handshape_annotations//test_auto_move//signs_mov_separ_signers/Liz_5562.mov","MOV")</f>
        <v>21</v>
      </c>
      <c r="M10046" t="s" s="10">
        <v>77</v>
      </c>
      <c r="N10046" s="17">
        <v>1</v>
      </c>
      <c r="O10046" s="18">
        <v>2850</v>
      </c>
      <c r="P10046" s="18">
        <v>2905</v>
      </c>
      <c r="Q10046" t="s" s="16">
        <f>HYPERLINK("http://secrets.rutgers.edu:8080/data/asl-ftp/asllvd/demos/verify_start_end_handshape_annotations//test_auto_move//signs_mov/4025_5562_merged.mov","MOV")</f>
        <v>21</v>
      </c>
      <c r="R10046" t="s" s="16">
        <f>HYPERLINK("http://secrets.rutgers.edu:8080/data/asl-ftp/asllvd/demos/verify_start_end_handshape_annotations//test_auto_move//signs_mov_separ_signers/Liz_5562.mov","MOV")</f>
        <v>21</v>
      </c>
    </row>
    <row r="10047" s="2" customFormat="1" ht="13.5" customHeight="1">
      <c r="B10047" s="13"/>
      <c r="C10047" t="s" s="9">
        <v>30</v>
      </c>
      <c r="D10047" t="s" s="8">
        <v>3754</v>
      </c>
      <c r="E10047" t="s" s="9">
        <v>3755</v>
      </c>
      <c r="F10047" t="s" s="10">
        <v>73</v>
      </c>
      <c r="G10047" t="s" s="11">
        <v>73</v>
      </c>
      <c r="H10047" t="s" s="10">
        <v>73</v>
      </c>
      <c r="I10047" t="s" s="11">
        <v>73</v>
      </c>
      <c r="J10047" t="s" s="11">
        <v>20</v>
      </c>
      <c r="K10047" s="15"/>
      <c r="L10047" t="s" s="16">
        <f>HYPERLINK("http://csr.bu.edu/ftp/asl/asllvd/demos/verify_start_end_handshape_annotations//test_auto_move//signs_mov_separ_signers/Brady_4025.mov","MOV")</f>
        <v>21</v>
      </c>
      <c r="M10047" t="s" s="10">
        <v>31</v>
      </c>
      <c r="N10047" s="17">
        <v>22</v>
      </c>
      <c r="O10047" s="18">
        <v>16761</v>
      </c>
      <c r="P10047" s="18">
        <v>16792</v>
      </c>
      <c r="Q10047" s="15"/>
      <c r="R10047" t="s" s="16">
        <f>HYPERLINK("http://secrets.rutgers.edu:8080/data/asl-ftp/asllvd/demos/verify_start_end_handshape_annotations//test_auto_move//signs_mov_separ_signers/Brady_4025.mov","MOV")</f>
        <v>21</v>
      </c>
    </row>
    <row r="10048" s="2" customFormat="1" ht="13.5" customHeight="1">
      <c r="B10048" s="13"/>
      <c r="C10048" t="s" s="9">
        <v>30</v>
      </c>
      <c r="D10048" t="s" s="8">
        <v>3754</v>
      </c>
      <c r="E10048" t="s" s="9">
        <v>3754</v>
      </c>
      <c r="F10048" t="s" s="10">
        <v>73</v>
      </c>
      <c r="G10048" t="s" s="11">
        <v>73</v>
      </c>
      <c r="H10048" t="s" s="10">
        <v>73</v>
      </c>
      <c r="I10048" t="s" s="11">
        <v>73</v>
      </c>
      <c r="J10048" t="s" s="11">
        <v>20</v>
      </c>
      <c r="K10048" s="15"/>
      <c r="L10048" t="s" s="16">
        <f>HYPERLINK("http://csr.bu.edu/ftp/asl/asllvd/demos/verify_start_end_handshape_annotations//test_auto_move//signs_mov_separ_signers/Brady_5562.mov","MOV")</f>
        <v>21</v>
      </c>
      <c r="M10048" t="s" s="10">
        <v>40</v>
      </c>
      <c r="N10048" s="17">
        <v>21</v>
      </c>
      <c r="O10048" s="18">
        <v>174</v>
      </c>
      <c r="P10048" s="18">
        <v>213</v>
      </c>
      <c r="Q10048" s="15"/>
      <c r="R10048" t="s" s="16">
        <f>HYPERLINK("http://secrets.rutgers.edu:8080/data/asl-ftp/asllvd/demos/verify_start_end_handshape_annotations//test_auto_move//signs_mov_separ_signers/Brady_5562.mov","MOV")</f>
        <v>21</v>
      </c>
    </row>
    <row r="10049" s="2" customFormat="1" ht="13.5" customHeight="1">
      <c r="B10049" t="s" s="8">
        <v>52</v>
      </c>
      <c r="C10049" t="s" s="9">
        <v>53</v>
      </c>
      <c r="D10049" t="s" s="8">
        <v>53</v>
      </c>
      <c r="E10049" t="s" s="9">
        <v>53</v>
      </c>
      <c r="F10049" t="s" s="10">
        <v>53</v>
      </c>
      <c r="G10049" t="s" s="11">
        <v>53</v>
      </c>
      <c r="H10049" t="s" s="10">
        <v>53</v>
      </c>
      <c r="I10049" t="s" s="11">
        <v>53</v>
      </c>
      <c r="J10049" t="s" s="11">
        <v>53</v>
      </c>
      <c r="K10049" t="s" s="12">
        <v>53</v>
      </c>
      <c r="L10049" t="s" s="12">
        <v>53</v>
      </c>
      <c r="M10049" t="s" s="10">
        <v>53</v>
      </c>
      <c r="N10049" t="s" s="11">
        <v>53</v>
      </c>
      <c r="O10049" t="s" s="8">
        <v>53</v>
      </c>
      <c r="P10049" t="s" s="8">
        <v>53</v>
      </c>
      <c r="Q10049" t="s" s="12">
        <v>53</v>
      </c>
      <c r="R10049" t="s" s="12">
        <v>53</v>
      </c>
    </row>
    <row r="10050" s="2" customFormat="1" ht="13.5" customHeight="1">
      <c r="B10050" s="13"/>
      <c r="C10050" t="s" s="9">
        <v>16</v>
      </c>
      <c r="D10050" t="s" s="8">
        <v>3754</v>
      </c>
      <c r="E10050" t="s" s="9">
        <v>3756</v>
      </c>
      <c r="F10050" t="s" s="10">
        <v>73</v>
      </c>
      <c r="G10050" t="s" s="11">
        <v>73</v>
      </c>
      <c r="H10050" t="s" s="10">
        <v>150</v>
      </c>
      <c r="I10050" t="s" s="11">
        <v>150</v>
      </c>
      <c r="J10050" t="s" s="11">
        <v>20</v>
      </c>
      <c r="K10050" t="s" s="16">
        <f>HYPERLINK("http://csr.bu.edu/ftp/asl/asllvd/demos/verify_start_end_handshape_annotations//test_auto_move//signs_mov/16536.mov","MOV")</f>
        <v>21</v>
      </c>
      <c r="L10050" t="s" s="16">
        <f>HYPERLINK("http://csr.bu.edu/ftp/asl/asllvd/demos/verify_start_end_handshape_annotations//test_auto_move//signs_mov_separ_signers/Liz_16536.mov","MOV")</f>
        <v>21</v>
      </c>
      <c r="M10050" t="s" s="10">
        <v>77</v>
      </c>
      <c r="N10050" s="17">
        <v>1</v>
      </c>
      <c r="O10050" s="18">
        <v>3055</v>
      </c>
      <c r="P10050" s="18">
        <v>3095</v>
      </c>
      <c r="Q10050" t="s" s="16">
        <f>HYPERLINK("http://secrets.rutgers.edu:8080/data/asl-ftp/asllvd/demos/verify_start_end_handshape_annotations//test_auto_move//signs_mov/16536.mov","MOV")</f>
        <v>21</v>
      </c>
      <c r="R10050" t="s" s="16">
        <f>HYPERLINK("http://secrets.rutgers.edu:8080/data/asl-ftp/asllvd/demos/verify_start_end_handshape_annotations//test_auto_move//signs_mov_separ_signers/Liz_16536.mov","MOV")</f>
        <v>21</v>
      </c>
    </row>
    <row r="10051" s="2" customFormat="1" ht="13.5" customHeight="1">
      <c r="B10051" t="s" s="8">
        <v>3757</v>
      </c>
      <c r="C10051" t="s" s="9">
        <v>14</v>
      </c>
      <c r="D10051" t="s" s="8">
        <v>14</v>
      </c>
      <c r="E10051" t="s" s="9">
        <v>14</v>
      </c>
      <c r="F10051" t="s" s="10">
        <v>14</v>
      </c>
      <c r="G10051" t="s" s="11">
        <v>14</v>
      </c>
      <c r="H10051" t="s" s="10">
        <v>14</v>
      </c>
      <c r="I10051" t="s" s="11">
        <v>14</v>
      </c>
      <c r="J10051" t="s" s="11">
        <v>14</v>
      </c>
      <c r="K10051" t="s" s="12">
        <v>14</v>
      </c>
      <c r="L10051" t="s" s="12">
        <v>14</v>
      </c>
      <c r="M10051" t="s" s="10">
        <v>14</v>
      </c>
      <c r="N10051" t="s" s="11">
        <v>14</v>
      </c>
      <c r="O10051" t="s" s="8">
        <v>14</v>
      </c>
      <c r="P10051" t="s" s="8">
        <v>14</v>
      </c>
      <c r="Q10051" t="s" s="12">
        <v>14</v>
      </c>
      <c r="R10051" t="s" s="12">
        <v>14</v>
      </c>
    </row>
    <row r="10052" s="2" customFormat="1" ht="13.5" customHeight="1">
      <c r="B10052" s="13"/>
      <c r="C10052" t="s" s="9">
        <v>16</v>
      </c>
      <c r="D10052" t="s" s="8">
        <v>3757</v>
      </c>
      <c r="E10052" t="s" s="9">
        <v>3758</v>
      </c>
      <c r="F10052" t="s" s="10">
        <v>72</v>
      </c>
      <c r="G10052" t="s" s="11">
        <v>72</v>
      </c>
      <c r="H10052" t="s" s="10">
        <v>72</v>
      </c>
      <c r="I10052" t="s" s="11">
        <v>72</v>
      </c>
      <c r="J10052" t="s" s="11">
        <v>20</v>
      </c>
      <c r="K10052" t="s" s="16">
        <f>HYPERLINK("http://csr.bu.edu/ftp/asl/asllvd/demos/verify_start_end_handshape_annotations//test_auto_move//signs_mov/4041_5566_merged.mov","MOV")</f>
        <v>21</v>
      </c>
      <c r="L10052" t="s" s="16">
        <f>HYPERLINK("http://csr.bu.edu/ftp/asl/asllvd/demos/verify_start_end_handshape_annotations//test_auto_move//signs_mov_separ_signers/Liz_4041.mov","MOV")</f>
        <v>21</v>
      </c>
      <c r="M10052" t="s" s="10">
        <v>77</v>
      </c>
      <c r="N10052" s="17">
        <v>1</v>
      </c>
      <c r="O10052" s="18">
        <v>6600</v>
      </c>
      <c r="P10052" s="18">
        <v>6635</v>
      </c>
      <c r="Q10052" t="s" s="16">
        <f>HYPERLINK("http://secrets.rutgers.edu:8080/data/asl-ftp/asllvd/demos/verify_start_end_handshape_annotations//test_auto_move//signs_mov/4041_5566_merged.mov","MOV")</f>
        <v>21</v>
      </c>
      <c r="R10052" t="s" s="16">
        <f>HYPERLINK("http://secrets.rutgers.edu:8080/data/asl-ftp/asllvd/demos/verify_start_end_handshape_annotations//test_auto_move//signs_mov_separ_signers/Liz_4041.mov","MOV")</f>
        <v>21</v>
      </c>
    </row>
    <row r="10053" s="2" customFormat="1" ht="13.5" customHeight="1">
      <c r="B10053" s="13"/>
      <c r="C10053" t="s" s="9">
        <v>16</v>
      </c>
      <c r="D10053" t="s" s="8">
        <v>3757</v>
      </c>
      <c r="E10053" t="s" s="9">
        <v>3758</v>
      </c>
      <c r="F10053" t="s" s="10">
        <v>72</v>
      </c>
      <c r="G10053" t="s" s="11">
        <v>72</v>
      </c>
      <c r="H10053" t="s" s="10">
        <v>72</v>
      </c>
      <c r="I10053" t="s" s="11">
        <v>72</v>
      </c>
      <c r="J10053" t="s" s="11">
        <v>20</v>
      </c>
      <c r="K10053" s="15"/>
      <c r="L10053" t="s" s="16">
        <f>HYPERLINK("http://csr.bu.edu/ftp/asl/asllvd/demos/verify_start_end_handshape_annotations//test_auto_move//signs_mov_separ_signers/Liz_5566.mov","MOV")</f>
        <v>21</v>
      </c>
      <c r="M10053" t="s" s="10">
        <v>77</v>
      </c>
      <c r="N10053" s="17">
        <v>1</v>
      </c>
      <c r="O10053" s="18">
        <v>6735</v>
      </c>
      <c r="P10053" s="18">
        <v>6795</v>
      </c>
      <c r="Q10053" s="15"/>
      <c r="R10053" t="s" s="16">
        <f>HYPERLINK("http://secrets.rutgers.edu:8080/data/asl-ftp/asllvd/demos/verify_start_end_handshape_annotations//test_auto_move//signs_mov_separ_signers/Liz_5566.mov","MOV")</f>
        <v>21</v>
      </c>
    </row>
    <row r="10054" s="2" customFormat="1" ht="13.5" customHeight="1">
      <c r="B10054" t="s" s="8">
        <v>52</v>
      </c>
      <c r="C10054" t="s" s="9">
        <v>53</v>
      </c>
      <c r="D10054" t="s" s="8">
        <v>53</v>
      </c>
      <c r="E10054" t="s" s="9">
        <v>53</v>
      </c>
      <c r="F10054" t="s" s="10">
        <v>53</v>
      </c>
      <c r="G10054" t="s" s="11">
        <v>53</v>
      </c>
      <c r="H10054" t="s" s="10">
        <v>53</v>
      </c>
      <c r="I10054" t="s" s="11">
        <v>53</v>
      </c>
      <c r="J10054" t="s" s="11">
        <v>53</v>
      </c>
      <c r="K10054" t="s" s="12">
        <v>53</v>
      </c>
      <c r="L10054" t="s" s="12">
        <v>53</v>
      </c>
      <c r="M10054" t="s" s="10">
        <v>53</v>
      </c>
      <c r="N10054" t="s" s="11">
        <v>53</v>
      </c>
      <c r="O10054" t="s" s="8">
        <v>53</v>
      </c>
      <c r="P10054" t="s" s="8">
        <v>53</v>
      </c>
      <c r="Q10054" t="s" s="12">
        <v>53</v>
      </c>
      <c r="R10054" t="s" s="12">
        <v>53</v>
      </c>
    </row>
    <row r="10055" s="2" customFormat="1" ht="13.5" customHeight="1">
      <c r="B10055" s="13"/>
      <c r="C10055" t="s" s="9">
        <v>30</v>
      </c>
      <c r="D10055" t="s" s="8">
        <v>3757</v>
      </c>
      <c r="E10055" t="s" s="9">
        <v>3759</v>
      </c>
      <c r="F10055" t="s" s="10">
        <v>72</v>
      </c>
      <c r="G10055" t="s" s="11">
        <v>72</v>
      </c>
      <c r="H10055" t="s" s="10">
        <v>72</v>
      </c>
      <c r="I10055" t="s" s="11">
        <v>72</v>
      </c>
      <c r="J10055" t="s" s="11">
        <v>20</v>
      </c>
      <c r="K10055" t="s" s="16">
        <f>HYPERLINK("http://csr.bu.edu/ftp/asl/asllvd/demos/verify_start_end_handshape_annotations//test_auto_move//signs_mov/15441_16155_merged.mov","MOV")</f>
        <v>21</v>
      </c>
      <c r="L10055" t="s" s="16">
        <f>HYPERLINK("http://csr.bu.edu/ftp/asl/asllvd/demos/verify_start_end_handshape_annotations//test_auto_move//signs_mov_separ_signers/Brady_15441.mov","MOV")</f>
        <v>21</v>
      </c>
      <c r="M10055" t="s" s="10">
        <v>31</v>
      </c>
      <c r="N10055" s="17">
        <v>28</v>
      </c>
      <c r="O10055" s="18">
        <v>7991</v>
      </c>
      <c r="P10055" s="18">
        <v>8029</v>
      </c>
      <c r="Q10055" t="s" s="16">
        <f>HYPERLINK("http://secrets.rutgers.edu:8080/data/asl-ftp/asllvd/demos/verify_start_end_handshape_annotations//test_auto_move//signs_mov/15441_16155_merged.mov","MOV")</f>
        <v>21</v>
      </c>
      <c r="R10055" t="s" s="16">
        <f>HYPERLINK("http://secrets.rutgers.edu:8080/data/asl-ftp/asllvd/demos/verify_start_end_handshape_annotations//test_auto_move//signs_mov_separ_signers/Brady_15441.mov","MOV")</f>
        <v>21</v>
      </c>
    </row>
    <row r="10056" s="2" customFormat="1" ht="13.5" customHeight="1">
      <c r="B10056" s="13"/>
      <c r="C10056" t="s" s="9">
        <v>30</v>
      </c>
      <c r="D10056" t="s" s="8">
        <v>3757</v>
      </c>
      <c r="E10056" t="s" s="9">
        <v>3759</v>
      </c>
      <c r="F10056" t="s" s="10">
        <v>72</v>
      </c>
      <c r="G10056" t="s" s="11">
        <v>72</v>
      </c>
      <c r="H10056" t="s" s="10">
        <v>72</v>
      </c>
      <c r="I10056" t="s" s="11">
        <v>72</v>
      </c>
      <c r="J10056" t="s" s="11">
        <v>20</v>
      </c>
      <c r="K10056" s="15"/>
      <c r="L10056" t="s" s="16">
        <f>HYPERLINK("http://csr.bu.edu/ftp/asl/asllvd/demos/verify_start_end_handshape_annotations//test_auto_move//signs_mov_separ_signers/Brady_16155.mov","MOV")</f>
        <v>21</v>
      </c>
      <c r="M10056" t="s" s="10">
        <v>31</v>
      </c>
      <c r="N10056" s="17">
        <v>28</v>
      </c>
      <c r="O10056" s="18">
        <v>9201</v>
      </c>
      <c r="P10056" s="18">
        <v>9254</v>
      </c>
      <c r="Q10056" s="15"/>
      <c r="R10056" t="s" s="16">
        <f>HYPERLINK("http://secrets.rutgers.edu:8080/data/asl-ftp/asllvd/demos/verify_start_end_handshape_annotations//test_auto_move//signs_mov_separ_signers/Brady_16155.mov","MOV")</f>
        <v>21</v>
      </c>
    </row>
    <row r="10057" s="2" customFormat="1" ht="13.5" customHeight="1">
      <c r="B10057" t="s" s="8">
        <v>52</v>
      </c>
      <c r="C10057" t="s" s="9">
        <v>53</v>
      </c>
      <c r="D10057" t="s" s="8">
        <v>53</v>
      </c>
      <c r="E10057" t="s" s="9">
        <v>53</v>
      </c>
      <c r="F10057" t="s" s="10">
        <v>53</v>
      </c>
      <c r="G10057" t="s" s="11">
        <v>53</v>
      </c>
      <c r="H10057" t="s" s="10">
        <v>53</v>
      </c>
      <c r="I10057" t="s" s="11">
        <v>53</v>
      </c>
      <c r="J10057" t="s" s="11">
        <v>53</v>
      </c>
      <c r="K10057" t="s" s="12">
        <v>53</v>
      </c>
      <c r="L10057" t="s" s="12">
        <v>53</v>
      </c>
      <c r="M10057" t="s" s="10">
        <v>53</v>
      </c>
      <c r="N10057" t="s" s="11">
        <v>53</v>
      </c>
      <c r="O10057" t="s" s="8">
        <v>53</v>
      </c>
      <c r="P10057" t="s" s="8">
        <v>53</v>
      </c>
      <c r="Q10057" t="s" s="12">
        <v>53</v>
      </c>
      <c r="R10057" t="s" s="12">
        <v>53</v>
      </c>
    </row>
    <row r="10058" s="2" customFormat="1" ht="13.5" customHeight="1">
      <c r="B10058" s="13"/>
      <c r="C10058" t="s" s="9">
        <v>16</v>
      </c>
      <c r="D10058" t="s" s="8">
        <v>3757</v>
      </c>
      <c r="E10058" t="s" s="9">
        <v>3757</v>
      </c>
      <c r="F10058" t="s" s="10">
        <v>72</v>
      </c>
      <c r="G10058" t="s" s="11">
        <v>72</v>
      </c>
      <c r="H10058" t="s" s="10">
        <v>72</v>
      </c>
      <c r="I10058" t="s" s="11">
        <v>72</v>
      </c>
      <c r="J10058" t="s" s="11">
        <v>20</v>
      </c>
      <c r="K10058" s="15"/>
      <c r="L10058" t="s" s="16">
        <f>HYPERLINK("http://csr.bu.edu/ftp/asl/asllvd/demos/verify_start_end_handshape_annotations//test_auto_move//signs_mov_separ_signers/Liz_16158.mov","MOV")</f>
        <v>21</v>
      </c>
      <c r="M10058" t="s" s="10">
        <v>34</v>
      </c>
      <c r="N10058" s="17">
        <v>27</v>
      </c>
      <c r="O10058" s="18">
        <v>220</v>
      </c>
      <c r="P10058" s="18">
        <v>301</v>
      </c>
      <c r="Q10058" s="15"/>
      <c r="R10058" t="s" s="16">
        <f>HYPERLINK("http://secrets.rutgers.edu:8080/data/asl-ftp/asllvd/demos/verify_start_end_handshape_annotations//test_auto_move//signs_mov_separ_signers/Liz_16158.mov","MOV")</f>
        <v>21</v>
      </c>
    </row>
    <row r="10059" s="2" customFormat="1" ht="13.5" customHeight="1">
      <c r="B10059" s="13"/>
      <c r="C10059" t="s" s="9">
        <v>27</v>
      </c>
      <c r="D10059" t="s" s="8">
        <v>3757</v>
      </c>
      <c r="E10059" t="s" s="9">
        <v>3757</v>
      </c>
      <c r="F10059" t="s" s="10">
        <v>72</v>
      </c>
      <c r="G10059" t="s" s="11">
        <v>72</v>
      </c>
      <c r="H10059" t="s" s="10">
        <v>72</v>
      </c>
      <c r="I10059" t="s" s="11">
        <v>72</v>
      </c>
      <c r="J10059" t="s" s="11">
        <v>20</v>
      </c>
      <c r="K10059" t="s" s="16">
        <f>HYPERLINK("http://csr.bu.edu/ftp/asl/asllvd/demos/verify_start_end_handshape_annotations//test_auto_move//signs_mov/16158.mov","MOV")</f>
        <v>21</v>
      </c>
      <c r="L10059" t="s" s="16">
        <f>HYPERLINK("http://csr.bu.edu/ftp/asl/asllvd/demos/verify_start_end_handshape_annotations//test_auto_move//signs_mov_separ_signers/Naomi_16158.mov","MOV")</f>
        <v>21</v>
      </c>
      <c r="M10059" t="s" s="10">
        <v>38</v>
      </c>
      <c r="N10059" s="17">
        <v>22</v>
      </c>
      <c r="O10059" s="18">
        <v>5087</v>
      </c>
      <c r="P10059" s="18">
        <v>5146</v>
      </c>
      <c r="Q10059" t="s" s="16">
        <f>HYPERLINK("http://secrets.rutgers.edu:8080/data/asl-ftp/asllvd/demos/verify_start_end_handshape_annotations//test_auto_move//signs_mov/16158.mov","MOV")</f>
        <v>21</v>
      </c>
      <c r="R10059" t="s" s="16">
        <f>HYPERLINK("http://secrets.rutgers.edu:8080/data/asl-ftp/asllvd/demos/verify_start_end_handshape_annotations//test_auto_move//signs_mov_separ_signers/Naomi_16158.mov","MOV")</f>
        <v>21</v>
      </c>
    </row>
    <row r="10060" s="2" customFormat="1" ht="13.5" customHeight="1">
      <c r="B10060" s="13"/>
      <c r="C10060" t="s" s="9">
        <v>30</v>
      </c>
      <c r="D10060" t="s" s="8">
        <v>3757</v>
      </c>
      <c r="E10060" t="s" s="9">
        <v>3757</v>
      </c>
      <c r="F10060" t="s" s="10">
        <v>72</v>
      </c>
      <c r="G10060" t="s" s="11">
        <v>72</v>
      </c>
      <c r="H10060" t="s" s="10">
        <v>72</v>
      </c>
      <c r="I10060" t="s" s="11">
        <v>72</v>
      </c>
      <c r="J10060" t="s" s="11">
        <v>20</v>
      </c>
      <c r="K10060" s="15"/>
      <c r="L10060" t="s" s="16">
        <f>HYPERLINK("http://csr.bu.edu/ftp/asl/asllvd/demos/verify_start_end_handshape_annotations//test_auto_move//signs_mov_separ_signers/Brady_16158.mov","MOV")</f>
        <v>21</v>
      </c>
      <c r="M10060" t="s" s="10">
        <v>60</v>
      </c>
      <c r="N10060" s="17">
        <v>45</v>
      </c>
      <c r="O10060" s="18">
        <v>1119</v>
      </c>
      <c r="P10060" s="18">
        <v>1171</v>
      </c>
      <c r="Q10060" s="15"/>
      <c r="R10060" t="s" s="16">
        <f>HYPERLINK("http://secrets.rutgers.edu:8080/data/asl-ftp/asllvd/demos/verify_start_end_handshape_annotations//test_auto_move//signs_mov_separ_signers/Brady_16158.mov","MOV")</f>
        <v>21</v>
      </c>
    </row>
    <row r="10061" s="2" customFormat="1" ht="13.5" customHeight="1">
      <c r="B10061" t="s" s="8">
        <v>3760</v>
      </c>
      <c r="C10061" t="s" s="9">
        <v>14</v>
      </c>
      <c r="D10061" t="s" s="8">
        <v>14</v>
      </c>
      <c r="E10061" t="s" s="9">
        <v>14</v>
      </c>
      <c r="F10061" t="s" s="10">
        <v>14</v>
      </c>
      <c r="G10061" t="s" s="11">
        <v>14</v>
      </c>
      <c r="H10061" t="s" s="10">
        <v>14</v>
      </c>
      <c r="I10061" t="s" s="11">
        <v>14</v>
      </c>
      <c r="J10061" t="s" s="11">
        <v>14</v>
      </c>
      <c r="K10061" t="s" s="12">
        <v>14</v>
      </c>
      <c r="L10061" t="s" s="12">
        <v>14</v>
      </c>
      <c r="M10061" t="s" s="10">
        <v>14</v>
      </c>
      <c r="N10061" t="s" s="11">
        <v>14</v>
      </c>
      <c r="O10061" t="s" s="8">
        <v>14</v>
      </c>
      <c r="P10061" t="s" s="8">
        <v>14</v>
      </c>
      <c r="Q10061" t="s" s="12">
        <v>14</v>
      </c>
      <c r="R10061" t="s" s="12">
        <v>14</v>
      </c>
    </row>
    <row r="10062" s="2" customFormat="1" ht="13.5" customHeight="1">
      <c r="B10062" s="13"/>
      <c r="C10062" t="s" s="9">
        <v>16</v>
      </c>
      <c r="D10062" t="s" s="8">
        <v>3760</v>
      </c>
      <c r="E10062" t="s" s="9">
        <v>3760</v>
      </c>
      <c r="F10062" t="s" s="10">
        <v>72</v>
      </c>
      <c r="G10062" t="s" s="11">
        <v>72</v>
      </c>
      <c r="H10062" t="s" s="10">
        <v>72</v>
      </c>
      <c r="I10062" t="s" s="11">
        <v>72</v>
      </c>
      <c r="J10062" t="s" s="11">
        <v>20</v>
      </c>
      <c r="K10062" s="15"/>
      <c r="L10062" t="s" s="16">
        <f>HYPERLINK("http://csr.bu.edu/ftp/asl/asllvd/demos/verify_start_end_handshape_annotations//test_auto_move//signs_mov_separ_signers/Liz_16210.mov","MOV")</f>
        <v>21</v>
      </c>
      <c r="M10062" t="s" s="10">
        <v>84</v>
      </c>
      <c r="N10062" s="17">
        <v>48</v>
      </c>
      <c r="O10062" s="18">
        <v>2157</v>
      </c>
      <c r="P10062" s="18">
        <v>2195</v>
      </c>
      <c r="Q10062" s="15"/>
      <c r="R10062" t="s" s="16">
        <f>HYPERLINK("http://secrets.rutgers.edu:8080/data/asl-ftp/asllvd/demos/verify_start_end_handshape_annotations//test_auto_move//signs_mov_separ_signers/Liz_16210.mov","MOV")</f>
        <v>21</v>
      </c>
    </row>
    <row r="10063" s="2" customFormat="1" ht="13.5" customHeight="1">
      <c r="B10063" s="13"/>
      <c r="C10063" t="s" s="9">
        <v>16</v>
      </c>
      <c r="D10063" t="s" s="8">
        <v>3760</v>
      </c>
      <c r="E10063" t="s" s="9">
        <v>3760</v>
      </c>
      <c r="F10063" t="s" s="10">
        <v>72</v>
      </c>
      <c r="G10063" t="s" s="11">
        <v>72</v>
      </c>
      <c r="H10063" t="s" s="10">
        <v>72</v>
      </c>
      <c r="I10063" t="s" s="11">
        <v>72</v>
      </c>
      <c r="J10063" t="s" s="11">
        <v>20</v>
      </c>
      <c r="K10063" s="15"/>
      <c r="L10063" t="s" s="16">
        <f>HYPERLINK("http://csr.bu.edu/ftp/asl/asllvd/demos/verify_start_end_handshape_annotations//test_auto_move//signs_mov_separ_signers/Liz_16279.mov","MOV")</f>
        <v>21</v>
      </c>
      <c r="M10063" t="s" s="10">
        <v>88</v>
      </c>
      <c r="N10063" s="17">
        <v>3</v>
      </c>
      <c r="O10063" s="18">
        <v>1640</v>
      </c>
      <c r="P10063" s="18">
        <v>1672</v>
      </c>
      <c r="Q10063" s="15"/>
      <c r="R10063" t="s" s="16">
        <f>HYPERLINK("http://secrets.rutgers.edu:8080/data/asl-ftp/asllvd/demos/verify_start_end_handshape_annotations//test_auto_move//signs_mov_separ_signers/Liz_16279.mov","MOV")</f>
        <v>21</v>
      </c>
    </row>
    <row r="10064" s="2" customFormat="1" ht="13.5" customHeight="1">
      <c r="B10064" s="13"/>
      <c r="C10064" t="s" s="9">
        <v>23</v>
      </c>
      <c r="D10064" t="s" s="8">
        <v>3760</v>
      </c>
      <c r="E10064" t="s" s="9">
        <v>3760</v>
      </c>
      <c r="F10064" t="s" s="10">
        <v>72</v>
      </c>
      <c r="G10064" t="s" s="11">
        <v>72</v>
      </c>
      <c r="H10064" t="s" s="10">
        <v>72</v>
      </c>
      <c r="I10064" t="s" s="11">
        <v>72</v>
      </c>
      <c r="J10064" t="s" s="11">
        <v>20</v>
      </c>
      <c r="K10064" s="15"/>
      <c r="L10064" t="s" s="16">
        <f>HYPERLINK("http://csr.bu.edu/ftp/asl/asllvd/demos/verify_start_end_handshape_annotations//test_auto_move//signs_mov_separ_signers/Tyler_16210.mov","MOV")</f>
        <v>21</v>
      </c>
      <c r="M10064" t="s" s="10">
        <v>92</v>
      </c>
      <c r="N10064" s="17">
        <v>28</v>
      </c>
      <c r="O10064" s="18">
        <v>2410</v>
      </c>
      <c r="P10064" s="18">
        <v>2435</v>
      </c>
      <c r="Q10064" s="15"/>
      <c r="R10064" t="s" s="16">
        <f>HYPERLINK("http://secrets.rutgers.edu:8080/data/asl-ftp/asllvd/demos/verify_start_end_handshape_annotations//test_auto_move//signs_mov_separ_signers/Tyler_16210.mov","MOV")</f>
        <v>21</v>
      </c>
    </row>
    <row r="10065" s="2" customFormat="1" ht="13.5" customHeight="1">
      <c r="B10065" s="13"/>
      <c r="C10065" t="s" s="9">
        <v>23</v>
      </c>
      <c r="D10065" t="s" s="8">
        <v>3760</v>
      </c>
      <c r="E10065" t="s" s="9">
        <v>3760</v>
      </c>
      <c r="F10065" t="s" s="10">
        <v>72</v>
      </c>
      <c r="G10065" t="s" s="11">
        <v>72</v>
      </c>
      <c r="H10065" t="s" s="10">
        <v>72</v>
      </c>
      <c r="I10065" t="s" s="11">
        <v>72</v>
      </c>
      <c r="J10065" t="s" s="11">
        <v>20</v>
      </c>
      <c r="K10065" t="s" s="16">
        <f>HYPERLINK("http://csr.bu.edu/ftp/asl/asllvd/demos/verify_start_end_handshape_annotations//test_auto_move//signs_mov/16210_16279_merged.mov","MOV")</f>
        <v>21</v>
      </c>
      <c r="L10065" t="s" s="16">
        <f>HYPERLINK("http://csr.bu.edu/ftp/asl/asllvd/demos/verify_start_end_handshape_annotations//test_auto_move//signs_mov_separ_signers/Tyler_16279.mov","MOV")</f>
        <v>21</v>
      </c>
      <c r="M10065" t="s" s="10">
        <v>47</v>
      </c>
      <c r="N10065" s="17">
        <v>13</v>
      </c>
      <c r="O10065" s="18">
        <v>2081</v>
      </c>
      <c r="P10065" s="18">
        <v>2105</v>
      </c>
      <c r="Q10065" t="s" s="16">
        <f>HYPERLINK("http://secrets.rutgers.edu:8080/data/asl-ftp/asllvd/demos/verify_start_end_handshape_annotations//test_auto_move//signs_mov/16210_16279_merged.mov","MOV")</f>
        <v>21</v>
      </c>
      <c r="R10065" t="s" s="16">
        <f>HYPERLINK("http://secrets.rutgers.edu:8080/data/asl-ftp/asllvd/demos/verify_start_end_handshape_annotations//test_auto_move//signs_mov_separ_signers/Tyler_16279.mov","MOV")</f>
        <v>21</v>
      </c>
    </row>
    <row r="10066" s="2" customFormat="1" ht="13.5" customHeight="1">
      <c r="B10066" s="13"/>
      <c r="C10066" t="s" s="9">
        <v>27</v>
      </c>
      <c r="D10066" t="s" s="8">
        <v>3760</v>
      </c>
      <c r="E10066" t="s" s="9">
        <v>3760</v>
      </c>
      <c r="F10066" t="s" s="10">
        <v>72</v>
      </c>
      <c r="G10066" t="s" s="11">
        <v>72</v>
      </c>
      <c r="H10066" t="s" s="10">
        <v>72</v>
      </c>
      <c r="I10066" t="s" s="11">
        <v>72</v>
      </c>
      <c r="J10066" t="s" s="11">
        <v>20</v>
      </c>
      <c r="K10066" s="15"/>
      <c r="L10066" t="s" s="16">
        <f>HYPERLINK("http://csr.bu.edu/ftp/asl/asllvd/demos/verify_start_end_handshape_annotations//test_auto_move//signs_mov_separ_signers/Naomi_16210.mov","MOV")</f>
        <v>21</v>
      </c>
      <c r="M10066" t="s" s="10">
        <v>86</v>
      </c>
      <c r="N10066" s="17">
        <v>48</v>
      </c>
      <c r="O10066" s="18">
        <v>3350</v>
      </c>
      <c r="P10066" s="18">
        <v>3380</v>
      </c>
      <c r="Q10066" s="15"/>
      <c r="R10066" t="s" s="16">
        <f>HYPERLINK("http://secrets.rutgers.edu:8080/data/asl-ftp/asllvd/demos/verify_start_end_handshape_annotations//test_auto_move//signs_mov_separ_signers/Naomi_16210.mov","MOV")</f>
        <v>21</v>
      </c>
    </row>
    <row r="10067" s="2" customFormat="1" ht="13.5" customHeight="1">
      <c r="B10067" s="13"/>
      <c r="C10067" t="s" s="9">
        <v>30</v>
      </c>
      <c r="D10067" t="s" s="8">
        <v>3760</v>
      </c>
      <c r="E10067" t="s" s="9">
        <v>3760</v>
      </c>
      <c r="F10067" t="s" s="10">
        <v>72</v>
      </c>
      <c r="G10067" t="s" s="11">
        <v>72</v>
      </c>
      <c r="H10067" t="s" s="10">
        <v>72</v>
      </c>
      <c r="I10067" t="s" s="11">
        <v>72</v>
      </c>
      <c r="J10067" t="s" s="11">
        <v>20</v>
      </c>
      <c r="K10067" s="15"/>
      <c r="L10067" t="s" s="16">
        <f>HYPERLINK("http://csr.bu.edu/ftp/asl/asllvd/demos/verify_start_end_handshape_annotations//test_auto_move//signs_mov_separ_signers/Brady_16210.mov","MOV")</f>
        <v>21</v>
      </c>
      <c r="M10067" t="s" s="10">
        <v>39</v>
      </c>
      <c r="N10067" s="17">
        <v>22</v>
      </c>
      <c r="O10067" s="18">
        <v>3130</v>
      </c>
      <c r="P10067" s="18">
        <v>3144</v>
      </c>
      <c r="Q10067" s="15"/>
      <c r="R10067" t="s" s="16">
        <f>HYPERLINK("http://secrets.rutgers.edu:8080/data/asl-ftp/asllvd/demos/verify_start_end_handshape_annotations//test_auto_move//signs_mov_separ_signers/Brady_16210.mov","MOV")</f>
        <v>21</v>
      </c>
    </row>
    <row r="10068" s="2" customFormat="1" ht="13.5" customHeight="1">
      <c r="B10068" s="13"/>
      <c r="C10068" t="s" s="9">
        <v>30</v>
      </c>
      <c r="D10068" t="s" s="8">
        <v>3760</v>
      </c>
      <c r="E10068" t="s" s="9">
        <v>3760</v>
      </c>
      <c r="F10068" t="s" s="10">
        <v>72</v>
      </c>
      <c r="G10068" t="s" s="11">
        <v>72</v>
      </c>
      <c r="H10068" t="s" s="10">
        <v>72</v>
      </c>
      <c r="I10068" t="s" s="11">
        <v>72</v>
      </c>
      <c r="J10068" t="s" s="11">
        <v>20</v>
      </c>
      <c r="K10068" s="15"/>
      <c r="L10068" t="s" s="16">
        <f>HYPERLINK("http://csr.bu.edu/ftp/asl/asllvd/demos/verify_start_end_handshape_annotations//test_auto_move//signs_mov_separ_signers/Brady_16279.mov","MOV")</f>
        <v>21</v>
      </c>
      <c r="M10068" t="s" s="10">
        <v>39</v>
      </c>
      <c r="N10068" s="17">
        <v>56</v>
      </c>
      <c r="O10068" s="18">
        <v>2163</v>
      </c>
      <c r="P10068" s="18">
        <v>2184</v>
      </c>
      <c r="Q10068" s="15"/>
      <c r="R10068" t="s" s="16">
        <f>HYPERLINK("http://secrets.rutgers.edu:8080/data/asl-ftp/asllvd/demos/verify_start_end_handshape_annotations//test_auto_move//signs_mov_separ_signers/Brady_16279.mov","MOV")</f>
        <v>21</v>
      </c>
    </row>
    <row r="10069" s="2" customFormat="1" ht="13.5" customHeight="1">
      <c r="B10069" t="s" s="8">
        <v>3761</v>
      </c>
      <c r="C10069" t="s" s="9">
        <v>14</v>
      </c>
      <c r="D10069" t="s" s="8">
        <v>14</v>
      </c>
      <c r="E10069" t="s" s="9">
        <v>14</v>
      </c>
      <c r="F10069" t="s" s="10">
        <v>14</v>
      </c>
      <c r="G10069" t="s" s="11">
        <v>14</v>
      </c>
      <c r="H10069" t="s" s="10">
        <v>14</v>
      </c>
      <c r="I10069" t="s" s="11">
        <v>14</v>
      </c>
      <c r="J10069" t="s" s="11">
        <v>14</v>
      </c>
      <c r="K10069" t="s" s="12">
        <v>14</v>
      </c>
      <c r="L10069" t="s" s="12">
        <v>14</v>
      </c>
      <c r="M10069" t="s" s="10">
        <v>14</v>
      </c>
      <c r="N10069" t="s" s="11">
        <v>14</v>
      </c>
      <c r="O10069" t="s" s="8">
        <v>14</v>
      </c>
      <c r="P10069" t="s" s="8">
        <v>14</v>
      </c>
      <c r="Q10069" t="s" s="12">
        <v>14</v>
      </c>
      <c r="R10069" t="s" s="12">
        <v>14</v>
      </c>
    </row>
    <row r="10070" s="2" customFormat="1" ht="13.5" customHeight="1">
      <c r="B10070" s="13"/>
      <c r="C10070" t="s" s="9">
        <v>16</v>
      </c>
      <c r="D10070" t="s" s="8">
        <v>3761</v>
      </c>
      <c r="E10070" t="s" s="9">
        <v>3761</v>
      </c>
      <c r="F10070" t="s" s="10">
        <v>73</v>
      </c>
      <c r="G10070" t="s" s="11">
        <v>73</v>
      </c>
      <c r="H10070" t="s" s="10">
        <v>73</v>
      </c>
      <c r="I10070" t="s" s="11">
        <v>73</v>
      </c>
      <c r="J10070" t="s" s="11">
        <v>20</v>
      </c>
      <c r="K10070" s="15"/>
      <c r="L10070" t="s" s="16">
        <f>HYPERLINK("http://csr.bu.edu/ftp/asl/asllvd/demos/verify_start_end_handshape_annotations//test_auto_move//signs_mov_separ_signers/Liz_4043.mov","MOV")</f>
        <v>21</v>
      </c>
      <c r="M10070" t="s" s="10">
        <v>77</v>
      </c>
      <c r="N10070" s="17">
        <v>1</v>
      </c>
      <c r="O10070" s="18">
        <v>6942</v>
      </c>
      <c r="P10070" s="18">
        <v>7000</v>
      </c>
      <c r="Q10070" s="15"/>
      <c r="R10070" t="s" s="16">
        <f>HYPERLINK("http://secrets.rutgers.edu:8080/data/asl-ftp/asllvd/demos/verify_start_end_handshape_annotations//test_auto_move//signs_mov_separ_signers/Liz_4043.mov","MOV")</f>
        <v>21</v>
      </c>
    </row>
    <row r="10071" s="2" customFormat="1" ht="13.5" customHeight="1">
      <c r="B10071" s="13"/>
      <c r="C10071" t="s" s="9">
        <v>30</v>
      </c>
      <c r="D10071" t="s" s="8">
        <v>3761</v>
      </c>
      <c r="E10071" t="s" s="9">
        <v>3761</v>
      </c>
      <c r="F10071" t="s" s="10">
        <v>73</v>
      </c>
      <c r="G10071" t="s" s="11">
        <v>73</v>
      </c>
      <c r="H10071" t="s" s="10">
        <v>73</v>
      </c>
      <c r="I10071" t="s" s="11">
        <v>73</v>
      </c>
      <c r="J10071" t="s" s="11">
        <v>20</v>
      </c>
      <c r="K10071" t="s" s="16">
        <f>HYPERLINK("http://csr.bu.edu/ftp/asl/asllvd/demos/verify_start_end_handshape_annotations//test_auto_move//signs_mov/4043.mov","MOV")</f>
        <v>21</v>
      </c>
      <c r="L10071" t="s" s="16">
        <f>HYPERLINK("http://csr.bu.edu/ftp/asl/asllvd/demos/verify_start_end_handshape_annotations//test_auto_move//signs_mov_separ_signers/Brady_4043.mov","MOV")</f>
        <v>21</v>
      </c>
      <c r="M10071" t="s" s="10">
        <v>31</v>
      </c>
      <c r="N10071" s="17">
        <v>28</v>
      </c>
      <c r="O10071" s="18">
        <v>15110</v>
      </c>
      <c r="P10071" s="18">
        <v>15139</v>
      </c>
      <c r="Q10071" t="s" s="16">
        <f>HYPERLINK("http://secrets.rutgers.edu:8080/data/asl-ftp/asllvd/demos/verify_start_end_handshape_annotations//test_auto_move//signs_mov/4043.mov","MOV")</f>
        <v>21</v>
      </c>
      <c r="R10071" t="s" s="16">
        <f>HYPERLINK("http://secrets.rutgers.edu:8080/data/asl-ftp/asllvd/demos/verify_start_end_handshape_annotations//test_auto_move//signs_mov_separ_signers/Brady_4043.mov","MOV")</f>
        <v>21</v>
      </c>
    </row>
    <row r="10072" s="2" customFormat="1" ht="13.5" customHeight="1">
      <c r="B10072" s="13"/>
      <c r="C10072" t="s" s="9">
        <v>41</v>
      </c>
      <c r="D10072" t="s" s="8">
        <v>3761</v>
      </c>
      <c r="E10072" t="s" s="9">
        <v>3761</v>
      </c>
      <c r="F10072" t="s" s="10">
        <v>73</v>
      </c>
      <c r="G10072" t="s" s="11">
        <v>73</v>
      </c>
      <c r="H10072" t="s" s="10">
        <v>73</v>
      </c>
      <c r="I10072" t="s" s="11">
        <v>73</v>
      </c>
      <c r="J10072" t="s" s="11">
        <v>20</v>
      </c>
      <c r="K10072" s="15"/>
      <c r="L10072" t="s" s="16">
        <f>HYPERLINK("http://csr.bu.edu/ftp/asl/asllvd/demos/verify_start_end_handshape_annotations//test_auto_move//signs_mov_separ_signers/Lana_4043.mov","MOV")</f>
        <v>21</v>
      </c>
      <c r="M10072" t="s" s="10">
        <v>42</v>
      </c>
      <c r="N10072" s="17">
        <v>5</v>
      </c>
      <c r="O10072" s="18">
        <v>2770</v>
      </c>
      <c r="P10072" s="18">
        <v>2800</v>
      </c>
      <c r="Q10072" s="15"/>
      <c r="R10072" t="s" s="16">
        <f>HYPERLINK("http://secrets.rutgers.edu:8080/data/asl-ftp/asllvd/demos/verify_start_end_handshape_annotations//test_auto_move//signs_mov_separ_signers/Lana_4043.mov","MOV")</f>
        <v>21</v>
      </c>
    </row>
    <row r="10073" s="2" customFormat="1" ht="13.5" customHeight="1">
      <c r="B10073" t="s" s="8">
        <v>52</v>
      </c>
      <c r="C10073" t="s" s="9">
        <v>53</v>
      </c>
      <c r="D10073" t="s" s="8">
        <v>53</v>
      </c>
      <c r="E10073" t="s" s="9">
        <v>53</v>
      </c>
      <c r="F10073" t="s" s="10">
        <v>53</v>
      </c>
      <c r="G10073" t="s" s="11">
        <v>53</v>
      </c>
      <c r="H10073" t="s" s="10">
        <v>53</v>
      </c>
      <c r="I10073" t="s" s="11">
        <v>53</v>
      </c>
      <c r="J10073" t="s" s="11">
        <v>53</v>
      </c>
      <c r="K10073" t="s" s="12">
        <v>53</v>
      </c>
      <c r="L10073" t="s" s="12">
        <v>53</v>
      </c>
      <c r="M10073" t="s" s="10">
        <v>53</v>
      </c>
      <c r="N10073" t="s" s="11">
        <v>53</v>
      </c>
      <c r="O10073" t="s" s="8">
        <v>53</v>
      </c>
      <c r="P10073" t="s" s="8">
        <v>53</v>
      </c>
      <c r="Q10073" t="s" s="12">
        <v>53</v>
      </c>
      <c r="R10073" t="s" s="12">
        <v>53</v>
      </c>
    </row>
    <row r="10074" s="2" customFormat="1" ht="13.5" customHeight="1">
      <c r="B10074" s="13"/>
      <c r="C10074" t="s" s="9">
        <v>16</v>
      </c>
      <c r="D10074" t="s" s="8">
        <v>3761</v>
      </c>
      <c r="E10074" t="s" s="9">
        <v>3762</v>
      </c>
      <c r="F10074" t="s" s="10">
        <v>73</v>
      </c>
      <c r="G10074" t="s" s="11">
        <v>73</v>
      </c>
      <c r="H10074" t="s" s="10">
        <v>73</v>
      </c>
      <c r="I10074" t="s" s="11">
        <v>73</v>
      </c>
      <c r="J10074" t="s" s="11">
        <v>20</v>
      </c>
      <c r="K10074" t="s" s="16">
        <f>HYPERLINK("http://csr.bu.edu/ftp/asl/asllvd/demos/verify_start_end_handshape_annotations//test_auto_move//signs_mov/5567.mov","MOV")</f>
        <v>21</v>
      </c>
      <c r="L10074" t="s" s="16">
        <f>HYPERLINK("http://csr.bu.edu/ftp/asl/asllvd/demos/verify_start_end_handshape_annotations//test_auto_move//signs_mov_separ_signers/Liz_5567.mov","MOV")</f>
        <v>21</v>
      </c>
      <c r="M10074" t="s" s="10">
        <v>77</v>
      </c>
      <c r="N10074" s="17">
        <v>1</v>
      </c>
      <c r="O10074" s="18">
        <v>7115</v>
      </c>
      <c r="P10074" s="18">
        <v>7185</v>
      </c>
      <c r="Q10074" t="s" s="16">
        <f>HYPERLINK("http://secrets.rutgers.edu:8080/data/asl-ftp/asllvd/demos/verify_start_end_handshape_annotations//test_auto_move//signs_mov/5567.mov","MOV")</f>
        <v>21</v>
      </c>
      <c r="R10074" t="s" s="16">
        <f>HYPERLINK("http://secrets.rutgers.edu:8080/data/asl-ftp/asllvd/demos/verify_start_end_handshape_annotations//test_auto_move//signs_mov_separ_signers/Liz_5567.mov","MOV")</f>
        <v>21</v>
      </c>
    </row>
    <row r="10075" s="2" customFormat="1" ht="13.5" customHeight="1">
      <c r="B10075" s="13"/>
      <c r="C10075" t="s" s="9">
        <v>30</v>
      </c>
      <c r="D10075" t="s" s="8">
        <v>3761</v>
      </c>
      <c r="E10075" t="s" s="9">
        <v>3762</v>
      </c>
      <c r="F10075" t="s" s="10">
        <v>73</v>
      </c>
      <c r="G10075" t="s" s="11">
        <v>73</v>
      </c>
      <c r="H10075" t="s" s="10">
        <v>73</v>
      </c>
      <c r="I10075" t="s" s="11">
        <v>73</v>
      </c>
      <c r="J10075" t="s" s="11">
        <v>20</v>
      </c>
      <c r="K10075" s="15"/>
      <c r="L10075" t="s" s="16">
        <f>HYPERLINK("http://csr.bu.edu/ftp/asl/asllvd/demos/verify_start_end_handshape_annotations//test_auto_move//signs_mov_separ_signers/Brady_5567.mov","MOV")</f>
        <v>21</v>
      </c>
      <c r="M10075" t="s" s="10">
        <v>31</v>
      </c>
      <c r="N10075" s="17">
        <v>28</v>
      </c>
      <c r="O10075" s="18">
        <v>15403</v>
      </c>
      <c r="P10075" s="18">
        <v>15464</v>
      </c>
      <c r="Q10075" s="15"/>
      <c r="R10075" t="s" s="16">
        <f>HYPERLINK("http://secrets.rutgers.edu:8080/data/asl-ftp/asllvd/demos/verify_start_end_handshape_annotations//test_auto_move//signs_mov_separ_signers/Brady_5567.mov","MOV")</f>
        <v>21</v>
      </c>
    </row>
    <row r="10076" s="2" customFormat="1" ht="13.5" customHeight="1">
      <c r="B10076" t="s" s="8">
        <v>3763</v>
      </c>
      <c r="C10076" t="s" s="9">
        <v>14</v>
      </c>
      <c r="D10076" t="s" s="8">
        <v>14</v>
      </c>
      <c r="E10076" t="s" s="9">
        <v>14</v>
      </c>
      <c r="F10076" t="s" s="10">
        <v>14</v>
      </c>
      <c r="G10076" t="s" s="11">
        <v>14</v>
      </c>
      <c r="H10076" t="s" s="10">
        <v>14</v>
      </c>
      <c r="I10076" t="s" s="11">
        <v>14</v>
      </c>
      <c r="J10076" t="s" s="11">
        <v>14</v>
      </c>
      <c r="K10076" t="s" s="12">
        <v>14</v>
      </c>
      <c r="L10076" t="s" s="12">
        <v>14</v>
      </c>
      <c r="M10076" t="s" s="10">
        <v>14</v>
      </c>
      <c r="N10076" t="s" s="11">
        <v>14</v>
      </c>
      <c r="O10076" t="s" s="8">
        <v>14</v>
      </c>
      <c r="P10076" t="s" s="8">
        <v>14</v>
      </c>
      <c r="Q10076" t="s" s="12">
        <v>14</v>
      </c>
      <c r="R10076" t="s" s="12">
        <v>14</v>
      </c>
    </row>
    <row r="10077" s="2" customFormat="1" ht="13.5" customHeight="1">
      <c r="B10077" s="13"/>
      <c r="C10077" t="s" s="9">
        <v>16</v>
      </c>
      <c r="D10077" t="s" s="8">
        <v>3763</v>
      </c>
      <c r="E10077" t="s" s="9">
        <v>3763</v>
      </c>
      <c r="F10077" t="s" s="10">
        <v>240</v>
      </c>
      <c r="G10077" t="s" s="11">
        <v>73</v>
      </c>
      <c r="H10077" t="s" s="10">
        <v>240</v>
      </c>
      <c r="I10077" t="s" s="11">
        <v>73</v>
      </c>
      <c r="J10077" t="s" s="11">
        <v>20</v>
      </c>
      <c r="K10077" t="s" s="16">
        <f>HYPERLINK("http://csr.bu.edu/ftp/asl/asllvd/demos/verify_start_end_handshape_annotations//test_auto_move//signs_mov/5901.mov","MOV")</f>
        <v>21</v>
      </c>
      <c r="L10077" t="s" s="16">
        <f>HYPERLINK("http://csr.bu.edu/ftp/asl/asllvd/demos/verify_start_end_handshape_annotations//test_auto_move//signs_mov_separ_signers/Liz_5901.mov","MOV")</f>
        <v>21</v>
      </c>
      <c r="M10077" t="s" s="10">
        <v>59</v>
      </c>
      <c r="N10077" s="17">
        <v>28</v>
      </c>
      <c r="O10077" s="18">
        <v>1510</v>
      </c>
      <c r="P10077" s="18">
        <v>1547</v>
      </c>
      <c r="Q10077" t="s" s="16">
        <f>HYPERLINK("http://secrets.rutgers.edu:8080/data/asl-ftp/asllvd/demos/verify_start_end_handshape_annotations//test_auto_move//signs_mov/5901.mov","MOV")</f>
        <v>21</v>
      </c>
      <c r="R10077" t="s" s="16">
        <f>HYPERLINK("http://secrets.rutgers.edu:8080/data/asl-ftp/asllvd/demos/verify_start_end_handshape_annotations//test_auto_move//signs_mov_separ_signers/Liz_5901.mov","MOV")</f>
        <v>21</v>
      </c>
    </row>
    <row r="10078" s="2" customFormat="1" ht="13.5" customHeight="1">
      <c r="B10078" s="13"/>
      <c r="C10078" t="s" s="9">
        <v>30</v>
      </c>
      <c r="D10078" t="s" s="8">
        <v>3763</v>
      </c>
      <c r="E10078" t="s" s="9">
        <v>3763</v>
      </c>
      <c r="F10078" t="s" s="10">
        <v>240</v>
      </c>
      <c r="G10078" t="s" s="11">
        <v>73</v>
      </c>
      <c r="H10078" t="s" s="10">
        <v>240</v>
      </c>
      <c r="I10078" t="s" s="11">
        <v>73</v>
      </c>
      <c r="J10078" t="s" s="11">
        <v>20</v>
      </c>
      <c r="K10078" s="15"/>
      <c r="L10078" t="s" s="16">
        <f>HYPERLINK("http://csr.bu.edu/ftp/asl/asllvd/demos/verify_start_end_handshape_annotations//test_auto_move//signs_mov_separ_signers/Brady_5901.mov","MOV")</f>
        <v>21</v>
      </c>
      <c r="M10078" t="s" s="10">
        <v>60</v>
      </c>
      <c r="N10078" s="17">
        <v>16</v>
      </c>
      <c r="O10078" s="18">
        <v>3907</v>
      </c>
      <c r="P10078" s="18">
        <v>3949</v>
      </c>
      <c r="Q10078" s="15"/>
      <c r="R10078" t="s" s="16">
        <f>HYPERLINK("http://secrets.rutgers.edu:8080/data/asl-ftp/asllvd/demos/verify_start_end_handshape_annotations//test_auto_move//signs_mov_separ_signers/Brady_5901.mov","MOV")</f>
        <v>21</v>
      </c>
    </row>
    <row r="10079" s="2" customFormat="1" ht="13.5" customHeight="1">
      <c r="B10079" t="s" s="8">
        <v>3764</v>
      </c>
      <c r="C10079" t="s" s="9">
        <v>14</v>
      </c>
      <c r="D10079" t="s" s="8">
        <v>14</v>
      </c>
      <c r="E10079" t="s" s="9">
        <v>14</v>
      </c>
      <c r="F10079" t="s" s="10">
        <v>14</v>
      </c>
      <c r="G10079" t="s" s="11">
        <v>14</v>
      </c>
      <c r="H10079" t="s" s="10">
        <v>14</v>
      </c>
      <c r="I10079" t="s" s="11">
        <v>14</v>
      </c>
      <c r="J10079" t="s" s="11">
        <v>14</v>
      </c>
      <c r="K10079" t="s" s="12">
        <v>14</v>
      </c>
      <c r="L10079" t="s" s="12">
        <v>14</v>
      </c>
      <c r="M10079" t="s" s="10">
        <v>14</v>
      </c>
      <c r="N10079" t="s" s="11">
        <v>14</v>
      </c>
      <c r="O10079" t="s" s="8">
        <v>14</v>
      </c>
      <c r="P10079" t="s" s="8">
        <v>14</v>
      </c>
      <c r="Q10079" t="s" s="12">
        <v>14</v>
      </c>
      <c r="R10079" t="s" s="12">
        <v>14</v>
      </c>
    </row>
    <row r="10080" s="2" customFormat="1" ht="13.5" customHeight="1">
      <c r="B10080" s="13"/>
      <c r="C10080" t="s" s="9">
        <v>16</v>
      </c>
      <c r="D10080" t="s" s="8">
        <v>3764</v>
      </c>
      <c r="E10080" t="s" s="9">
        <v>3765</v>
      </c>
      <c r="F10080" t="s" s="10">
        <v>437</v>
      </c>
      <c r="G10080" t="s" s="11">
        <v>437</v>
      </c>
      <c r="H10080" t="s" s="10">
        <v>282</v>
      </c>
      <c r="I10080" t="s" s="11">
        <v>282</v>
      </c>
      <c r="J10080" t="s" s="11">
        <v>20</v>
      </c>
      <c r="K10080" s="15"/>
      <c r="L10080" t="s" s="16">
        <f>HYPERLINK("http://csr.bu.edu/ftp/asl/asllvd/demos/verify_start_end_handshape_annotations//test_auto_move//signs_mov_separ_signers/Liz_4053.mov","MOV")</f>
        <v>21</v>
      </c>
      <c r="M10080" t="s" s="10">
        <v>88</v>
      </c>
      <c r="N10080" s="17">
        <v>3</v>
      </c>
      <c r="O10080" s="18">
        <v>901</v>
      </c>
      <c r="P10080" s="18">
        <v>975</v>
      </c>
      <c r="Q10080" s="15"/>
      <c r="R10080" t="s" s="16">
        <f>HYPERLINK("http://secrets.rutgers.edu:8080/data/asl-ftp/asllvd/demos/verify_start_end_handshape_annotations//test_auto_move//signs_mov_separ_signers/Liz_4053.mov","MOV")</f>
        <v>21</v>
      </c>
    </row>
    <row r="10081" s="2" customFormat="1" ht="13.5" customHeight="1">
      <c r="B10081" s="13"/>
      <c r="C10081" t="s" s="9">
        <v>16</v>
      </c>
      <c r="D10081" t="s" s="8">
        <v>3764</v>
      </c>
      <c r="E10081" t="s" s="9">
        <v>3764</v>
      </c>
      <c r="F10081" t="s" s="10">
        <v>437</v>
      </c>
      <c r="G10081" t="s" s="11">
        <v>437</v>
      </c>
      <c r="H10081" t="s" s="10">
        <v>282</v>
      </c>
      <c r="I10081" t="s" s="11">
        <v>282</v>
      </c>
      <c r="J10081" t="s" s="11">
        <v>20</v>
      </c>
      <c r="K10081" s="15"/>
      <c r="L10081" t="s" s="16">
        <f>HYPERLINK("http://csr.bu.edu/ftp/asl/asllvd/demos/verify_start_end_handshape_annotations//test_auto_move//signs_mov_separ_signers/Liz_5583.mov","MOV")</f>
        <v>21</v>
      </c>
      <c r="M10081" t="s" s="10">
        <v>77</v>
      </c>
      <c r="N10081" s="17">
        <v>1</v>
      </c>
      <c r="O10081" s="18">
        <v>5435</v>
      </c>
      <c r="P10081" s="18">
        <v>5505</v>
      </c>
      <c r="Q10081" s="15"/>
      <c r="R10081" t="s" s="16">
        <f>HYPERLINK("http://secrets.rutgers.edu:8080/data/asl-ftp/asllvd/demos/verify_start_end_handshape_annotations//test_auto_move//signs_mov_separ_signers/Liz_5583.mov","MOV")</f>
        <v>21</v>
      </c>
    </row>
    <row r="10082" s="2" customFormat="1" ht="13.5" customHeight="1">
      <c r="B10082" s="13"/>
      <c r="C10082" t="s" s="9">
        <v>16</v>
      </c>
      <c r="D10082" t="s" s="8">
        <v>3764</v>
      </c>
      <c r="E10082" t="s" s="9">
        <v>3765</v>
      </c>
      <c r="F10082" t="s" s="10">
        <v>437</v>
      </c>
      <c r="G10082" t="s" s="11">
        <v>437</v>
      </c>
      <c r="H10082" t="s" s="10">
        <v>282</v>
      </c>
      <c r="I10082" t="s" s="11">
        <v>282</v>
      </c>
      <c r="J10082" t="s" s="11">
        <v>20</v>
      </c>
      <c r="K10082" t="s" s="16">
        <f>HYPERLINK("http://csr.bu.edu/ftp/asl/asllvd/demos/verify_start_end_handshape_annotations//test_auto_move//signs_mov/4053_5583_5649_5656_merged.mov","MOV")</f>
        <v>21</v>
      </c>
      <c r="L10082" t="s" s="16">
        <f>HYPERLINK("http://csr.bu.edu/ftp/asl/asllvd/demos/verify_start_end_handshape_annotations//test_auto_move//signs_mov_separ_signers/Liz_5649.mov","MOV")</f>
        <v>21</v>
      </c>
      <c r="M10082" t="s" s="10">
        <v>77</v>
      </c>
      <c r="N10082" s="17">
        <v>1</v>
      </c>
      <c r="O10082" s="18">
        <v>5609</v>
      </c>
      <c r="P10082" s="18">
        <v>5670</v>
      </c>
      <c r="Q10082" t="s" s="16">
        <f>HYPERLINK("http://secrets.rutgers.edu:8080/data/asl-ftp/asllvd/demos/verify_start_end_handshape_annotations//test_auto_move//signs_mov/4053_5583_5649_5656_merged.mov","MOV")</f>
        <v>21</v>
      </c>
      <c r="R10082" t="s" s="16">
        <f>HYPERLINK("http://secrets.rutgers.edu:8080/data/asl-ftp/asllvd/demos/verify_start_end_handshape_annotations//test_auto_move//signs_mov_separ_signers/Liz_5649.mov","MOV")</f>
        <v>21</v>
      </c>
    </row>
    <row r="10083" s="2" customFormat="1" ht="13.5" customHeight="1">
      <c r="B10083" s="13"/>
      <c r="C10083" t="s" s="9">
        <v>16</v>
      </c>
      <c r="D10083" t="s" s="8">
        <v>3764</v>
      </c>
      <c r="E10083" t="s" s="9">
        <v>3764</v>
      </c>
      <c r="F10083" t="s" s="10">
        <v>282</v>
      </c>
      <c r="G10083" t="s" s="11">
        <v>282</v>
      </c>
      <c r="H10083" t="s" s="10">
        <v>282</v>
      </c>
      <c r="I10083" t="s" s="11">
        <v>282</v>
      </c>
      <c r="J10083" t="s" s="11">
        <v>20</v>
      </c>
      <c r="K10083" s="15"/>
      <c r="L10083" t="s" s="16">
        <f>HYPERLINK("http://csr.bu.edu/ftp/asl/asllvd/demos/verify_start_end_handshape_annotations//test_auto_move//signs_mov_separ_signers/Liz_5656.mov","MOV")</f>
        <v>21</v>
      </c>
      <c r="M10083" t="s" s="10">
        <v>77</v>
      </c>
      <c r="N10083" s="17">
        <v>3</v>
      </c>
      <c r="O10083" s="18">
        <v>2670</v>
      </c>
      <c r="P10083" s="18">
        <v>2725</v>
      </c>
      <c r="Q10083" s="15"/>
      <c r="R10083" t="s" s="16">
        <f>HYPERLINK("http://secrets.rutgers.edu:8080/data/asl-ftp/asllvd/demos/verify_start_end_handshape_annotations//test_auto_move//signs_mov_separ_signers/Liz_5656.mov","MOV")</f>
        <v>21</v>
      </c>
    </row>
    <row r="10084" s="2" customFormat="1" ht="13.5" customHeight="1">
      <c r="B10084" s="13"/>
      <c r="C10084" t="s" s="9">
        <v>41</v>
      </c>
      <c r="D10084" t="s" s="8">
        <v>3764</v>
      </c>
      <c r="E10084" t="s" s="9">
        <v>3765</v>
      </c>
      <c r="F10084" t="s" s="10">
        <v>282</v>
      </c>
      <c r="G10084" t="s" s="11">
        <v>282</v>
      </c>
      <c r="H10084" t="s" s="10">
        <v>282</v>
      </c>
      <c r="I10084" t="s" s="11">
        <v>282</v>
      </c>
      <c r="J10084" t="s" s="11">
        <v>20</v>
      </c>
      <c r="K10084" s="15"/>
      <c r="L10084" t="s" s="16">
        <f>HYPERLINK("http://csr.bu.edu/ftp/asl/asllvd/demos/verify_start_end_handshape_annotations//test_auto_move//signs_mov_separ_signers/Lana_4053.mov","MOV")</f>
        <v>21</v>
      </c>
      <c r="M10084" t="s" s="10">
        <v>42</v>
      </c>
      <c r="N10084" s="17">
        <v>4</v>
      </c>
      <c r="O10084" s="18">
        <v>2159</v>
      </c>
      <c r="P10084" s="18">
        <v>2190</v>
      </c>
      <c r="Q10084" s="15"/>
      <c r="R10084" t="s" s="16">
        <f>HYPERLINK("http://secrets.rutgers.edu:8080/data/asl-ftp/asllvd/demos/verify_start_end_handshape_annotations//test_auto_move//signs_mov_separ_signers/Lana_4053.mov","MOV")</f>
        <v>21</v>
      </c>
    </row>
    <row r="10085" s="2" customFormat="1" ht="13.5" customHeight="1">
      <c r="B10085" t="s" s="8">
        <v>52</v>
      </c>
      <c r="C10085" t="s" s="9">
        <v>53</v>
      </c>
      <c r="D10085" t="s" s="8">
        <v>53</v>
      </c>
      <c r="E10085" t="s" s="9">
        <v>53</v>
      </c>
      <c r="F10085" t="s" s="10">
        <v>53</v>
      </c>
      <c r="G10085" t="s" s="11">
        <v>53</v>
      </c>
      <c r="H10085" t="s" s="10">
        <v>53</v>
      </c>
      <c r="I10085" t="s" s="11">
        <v>53</v>
      </c>
      <c r="J10085" t="s" s="11">
        <v>53</v>
      </c>
      <c r="K10085" t="s" s="12">
        <v>53</v>
      </c>
      <c r="L10085" t="s" s="12">
        <v>53</v>
      </c>
      <c r="M10085" t="s" s="10">
        <v>53</v>
      </c>
      <c r="N10085" t="s" s="11">
        <v>53</v>
      </c>
      <c r="O10085" t="s" s="8">
        <v>53</v>
      </c>
      <c r="P10085" t="s" s="8">
        <v>53</v>
      </c>
      <c r="Q10085" t="s" s="12">
        <v>53</v>
      </c>
      <c r="R10085" t="s" s="12">
        <v>53</v>
      </c>
    </row>
    <row r="10086" s="2" customFormat="1" ht="13.5" customHeight="1">
      <c r="B10086" s="13"/>
      <c r="C10086" t="s" s="9">
        <v>16</v>
      </c>
      <c r="D10086" t="s" s="8">
        <v>3764</v>
      </c>
      <c r="E10086" t="s" s="9">
        <v>3766</v>
      </c>
      <c r="F10086" t="s" s="10">
        <v>282</v>
      </c>
      <c r="G10086" t="s" s="11">
        <v>282</v>
      </c>
      <c r="H10086" t="s" s="10">
        <v>282</v>
      </c>
      <c r="I10086" t="s" s="11">
        <v>282</v>
      </c>
      <c r="J10086" t="s" s="11">
        <v>20</v>
      </c>
      <c r="K10086" t="s" s="16">
        <f>HYPERLINK("http://csr.bu.edu/ftp/asl/asllvd/demos/verify_start_end_handshape_annotations//test_auto_move//signs_mov/5673.mov","MOV")</f>
        <v>21</v>
      </c>
      <c r="L10086" t="s" s="16">
        <f>HYPERLINK("http://csr.bu.edu/ftp/asl/asllvd/demos/verify_start_end_handshape_annotations//test_auto_move//signs_mov_separ_signers/Liz_5673.mov","MOV")</f>
        <v>21</v>
      </c>
      <c r="M10086" t="s" s="10">
        <v>77</v>
      </c>
      <c r="N10086" s="17">
        <v>3</v>
      </c>
      <c r="O10086" s="18">
        <v>2825</v>
      </c>
      <c r="P10086" s="18">
        <v>2886</v>
      </c>
      <c r="Q10086" t="s" s="16">
        <f>HYPERLINK("http://secrets.rutgers.edu:8080/data/asl-ftp/asllvd/demos/verify_start_end_handshape_annotations//test_auto_move//signs_mov/5673.mov","MOV")</f>
        <v>21</v>
      </c>
      <c r="R10086" t="s" s="16">
        <f>HYPERLINK("http://secrets.rutgers.edu:8080/data/asl-ftp/asllvd/demos/verify_start_end_handshape_annotations//test_auto_move//signs_mov_separ_signers/Liz_5673.mov","MOV")</f>
        <v>21</v>
      </c>
    </row>
    <row r="10087" s="2" customFormat="1" ht="13.5" customHeight="1">
      <c r="B10087" t="s" s="8">
        <v>3767</v>
      </c>
      <c r="C10087" t="s" s="9">
        <v>14</v>
      </c>
      <c r="D10087" t="s" s="8">
        <v>14</v>
      </c>
      <c r="E10087" t="s" s="9">
        <v>14</v>
      </c>
      <c r="F10087" t="s" s="10">
        <v>14</v>
      </c>
      <c r="G10087" t="s" s="11">
        <v>14</v>
      </c>
      <c r="H10087" t="s" s="10">
        <v>14</v>
      </c>
      <c r="I10087" t="s" s="11">
        <v>14</v>
      </c>
      <c r="J10087" t="s" s="11">
        <v>14</v>
      </c>
      <c r="K10087" t="s" s="12">
        <v>14</v>
      </c>
      <c r="L10087" t="s" s="12">
        <v>14</v>
      </c>
      <c r="M10087" t="s" s="10">
        <v>14</v>
      </c>
      <c r="N10087" t="s" s="11">
        <v>14</v>
      </c>
      <c r="O10087" t="s" s="8">
        <v>14</v>
      </c>
      <c r="P10087" t="s" s="8">
        <v>14</v>
      </c>
      <c r="Q10087" t="s" s="12">
        <v>14</v>
      </c>
      <c r="R10087" t="s" s="12">
        <v>14</v>
      </c>
    </row>
    <row r="10088" s="2" customFormat="1" ht="13.5" customHeight="1">
      <c r="B10088" s="13"/>
      <c r="C10088" t="s" s="9">
        <v>30</v>
      </c>
      <c r="D10088" t="s" s="8">
        <v>3767</v>
      </c>
      <c r="E10088" t="s" s="9">
        <v>3768</v>
      </c>
      <c r="F10088" t="s" s="10">
        <v>282</v>
      </c>
      <c r="G10088" t="s" s="11">
        <v>282</v>
      </c>
      <c r="H10088" t="s" s="10">
        <v>282</v>
      </c>
      <c r="I10088" t="s" s="11">
        <v>282</v>
      </c>
      <c r="J10088" t="s" s="11">
        <v>20</v>
      </c>
      <c r="K10088" s="15"/>
      <c r="L10088" t="s" s="16">
        <f>HYPERLINK("http://csr.bu.edu/ftp/asl/asllvd/demos/verify_start_end_handshape_annotations//test_auto_move//signs_mov_separ_signers/Brady_16122.mov","MOV")</f>
        <v>21</v>
      </c>
      <c r="M10088" t="s" s="10">
        <v>31</v>
      </c>
      <c r="N10088" s="17">
        <v>25</v>
      </c>
      <c r="O10088" s="18">
        <v>12674</v>
      </c>
      <c r="P10088" s="18">
        <v>12698</v>
      </c>
      <c r="Q10088" s="15"/>
      <c r="R10088" t="s" s="16">
        <f>HYPERLINK("http://secrets.rutgers.edu:8080/data/asl-ftp/asllvd/demos/verify_start_end_handshape_annotations//test_auto_move//signs_mov_separ_signers/Brady_16122.mov","MOV")</f>
        <v>21</v>
      </c>
    </row>
    <row r="10089" s="2" customFormat="1" ht="13.5" customHeight="1">
      <c r="B10089" s="13"/>
      <c r="C10089" t="s" s="9">
        <v>30</v>
      </c>
      <c r="D10089" t="s" s="8">
        <v>3767</v>
      </c>
      <c r="E10089" t="s" s="9">
        <v>3768</v>
      </c>
      <c r="F10089" t="s" s="10">
        <v>282</v>
      </c>
      <c r="G10089" t="s" s="11">
        <v>282</v>
      </c>
      <c r="H10089" t="s" s="10">
        <v>282</v>
      </c>
      <c r="I10089" t="s" s="11">
        <v>282</v>
      </c>
      <c r="J10089" t="s" s="11">
        <v>20</v>
      </c>
      <c r="K10089" s="15"/>
      <c r="L10089" t="s" s="16">
        <f>HYPERLINK("http://csr.bu.edu/ftp/asl/asllvd/demos/verify_start_end_handshape_annotations//test_auto_move//signs_mov_separ_signers/Brady_16123.mov","MOV")</f>
        <v>21</v>
      </c>
      <c r="M10089" t="s" s="10">
        <v>31</v>
      </c>
      <c r="N10089" s="17">
        <v>25</v>
      </c>
      <c r="O10089" s="18">
        <v>12900</v>
      </c>
      <c r="P10089" s="18">
        <v>12925</v>
      </c>
      <c r="Q10089" s="15"/>
      <c r="R10089" t="s" s="16">
        <f>HYPERLINK("http://secrets.rutgers.edu:8080/data/asl-ftp/asllvd/demos/verify_start_end_handshape_annotations//test_auto_move//signs_mov_separ_signers/Brady_16123.mov","MOV")</f>
        <v>21</v>
      </c>
    </row>
    <row r="10090" s="2" customFormat="1" ht="13.5" customHeight="1">
      <c r="B10090" s="13"/>
      <c r="C10090" t="s" s="9">
        <v>30</v>
      </c>
      <c r="D10090" t="s" s="8">
        <v>3767</v>
      </c>
      <c r="E10090" t="s" s="9">
        <v>3768</v>
      </c>
      <c r="F10090" t="s" s="10">
        <v>282</v>
      </c>
      <c r="G10090" t="s" s="11">
        <v>282</v>
      </c>
      <c r="H10090" t="s" s="10">
        <v>282</v>
      </c>
      <c r="I10090" t="s" s="11">
        <v>282</v>
      </c>
      <c r="J10090" t="s" s="11">
        <v>20</v>
      </c>
      <c r="K10090" t="s" s="16">
        <f>HYPERLINK("http://csr.bu.edu/ftp/asl/asllvd/demos/verify_start_end_handshape_annotations//test_auto_move//signs_mov/16122_16123_16481_16482_merged.mov","MOV")</f>
        <v>21</v>
      </c>
      <c r="L10090" t="s" s="16">
        <f>HYPERLINK("http://csr.bu.edu/ftp/asl/asllvd/demos/verify_start_end_handshape_annotations//test_auto_move//signs_mov_separ_signers/Brady_16481.mov","MOV")</f>
        <v>21</v>
      </c>
      <c r="M10090" t="s" s="10">
        <v>40</v>
      </c>
      <c r="N10090" s="17">
        <v>77</v>
      </c>
      <c r="O10090" s="18">
        <v>434</v>
      </c>
      <c r="P10090" s="18">
        <v>457</v>
      </c>
      <c r="Q10090" t="s" s="16">
        <f>HYPERLINK("http://secrets.rutgers.edu:8080/data/asl-ftp/asllvd/demos/verify_start_end_handshape_annotations//test_auto_move//signs_mov/16122_16123_16481_16482_merged.mov","MOV")</f>
        <v>21</v>
      </c>
      <c r="R10090" t="s" s="16">
        <f>HYPERLINK("http://secrets.rutgers.edu:8080/data/asl-ftp/asllvd/demos/verify_start_end_handshape_annotations//test_auto_move//signs_mov_separ_signers/Brady_16481.mov","MOV")</f>
        <v>21</v>
      </c>
    </row>
    <row r="10091" s="2" customFormat="1" ht="13.5" customHeight="1">
      <c r="B10091" s="13"/>
      <c r="C10091" t="s" s="9">
        <v>30</v>
      </c>
      <c r="D10091" t="s" s="8">
        <v>3767</v>
      </c>
      <c r="E10091" t="s" s="9">
        <v>3768</v>
      </c>
      <c r="F10091" t="s" s="10">
        <v>282</v>
      </c>
      <c r="G10091" t="s" s="11">
        <v>282</v>
      </c>
      <c r="H10091" t="s" s="10">
        <v>282</v>
      </c>
      <c r="I10091" t="s" s="11">
        <v>282</v>
      </c>
      <c r="J10091" t="s" s="11">
        <v>20</v>
      </c>
      <c r="K10091" s="15"/>
      <c r="L10091" t="s" s="16">
        <f>HYPERLINK("http://csr.bu.edu/ftp/asl/asllvd/demos/verify_start_end_handshape_annotations//test_auto_move//signs_mov_separ_signers/Brady_16482.mov","MOV")</f>
        <v>21</v>
      </c>
      <c r="M10091" t="s" s="10">
        <v>40</v>
      </c>
      <c r="N10091" s="17">
        <v>77</v>
      </c>
      <c r="O10091" s="18">
        <v>725</v>
      </c>
      <c r="P10091" s="18">
        <v>750</v>
      </c>
      <c r="Q10091" s="15"/>
      <c r="R10091" t="s" s="16">
        <f>HYPERLINK("http://secrets.rutgers.edu:8080/data/asl-ftp/asllvd/demos/verify_start_end_handshape_annotations//test_auto_move//signs_mov_separ_signers/Brady_16482.mov","MOV")</f>
        <v>21</v>
      </c>
    </row>
    <row r="10092" s="2" customFormat="1" ht="13.5" customHeight="1">
      <c r="B10092" s="13"/>
      <c r="C10092" t="s" s="9">
        <v>43</v>
      </c>
      <c r="D10092" t="s" s="8">
        <v>3767</v>
      </c>
      <c r="E10092" t="s" s="9">
        <v>3769</v>
      </c>
      <c r="F10092" t="s" s="10">
        <v>282</v>
      </c>
      <c r="G10092" t="s" s="11">
        <v>282</v>
      </c>
      <c r="H10092" t="s" s="10">
        <v>282</v>
      </c>
      <c r="I10092" t="s" s="11">
        <v>282</v>
      </c>
      <c r="J10092" t="s" s="11">
        <v>20</v>
      </c>
      <c r="K10092" s="15"/>
      <c r="L10092" t="s" s="16">
        <f>HYPERLINK("http://csr.bu.edu/ftp/asl/asllvd/demos/verify_start_end_handshape_annotations//test_auto_move//signs_mov_separ_signers/Dana_16122.mov","MOV")</f>
        <v>21</v>
      </c>
      <c r="M10092" t="s" s="10">
        <v>44</v>
      </c>
      <c r="N10092" s="17">
        <v>8</v>
      </c>
      <c r="O10092" s="18">
        <v>2153</v>
      </c>
      <c r="P10092" s="18">
        <v>2224</v>
      </c>
      <c r="Q10092" s="15"/>
      <c r="R10092" t="s" s="16">
        <f>HYPERLINK("http://secrets.rutgers.edu:8080/data/asl-ftp/asllvd/demos/verify_start_end_handshape_annotations//test_auto_move//signs_mov_separ_signers/Dana_16122.mov","MOV")</f>
        <v>21</v>
      </c>
    </row>
    <row r="10093" s="2" customFormat="1" ht="13.5" customHeight="1">
      <c r="B10093" t="s" s="8">
        <v>3770</v>
      </c>
      <c r="C10093" t="s" s="9">
        <v>14</v>
      </c>
      <c r="D10093" t="s" s="8">
        <v>14</v>
      </c>
      <c r="E10093" t="s" s="9">
        <v>14</v>
      </c>
      <c r="F10093" t="s" s="10">
        <v>14</v>
      </c>
      <c r="G10093" t="s" s="11">
        <v>14</v>
      </c>
      <c r="H10093" t="s" s="10">
        <v>14</v>
      </c>
      <c r="I10093" t="s" s="11">
        <v>14</v>
      </c>
      <c r="J10093" t="s" s="11">
        <v>14</v>
      </c>
      <c r="K10093" t="s" s="12">
        <v>14</v>
      </c>
      <c r="L10093" t="s" s="12">
        <v>14</v>
      </c>
      <c r="M10093" t="s" s="10">
        <v>14</v>
      </c>
      <c r="N10093" t="s" s="11">
        <v>14</v>
      </c>
      <c r="O10093" t="s" s="8">
        <v>14</v>
      </c>
      <c r="P10093" t="s" s="8">
        <v>14</v>
      </c>
      <c r="Q10093" t="s" s="12">
        <v>14</v>
      </c>
      <c r="R10093" t="s" s="12">
        <v>14</v>
      </c>
    </row>
    <row r="10094" s="2" customFormat="1" ht="13.5" customHeight="1">
      <c r="B10094" s="13"/>
      <c r="C10094" t="s" s="9">
        <v>43</v>
      </c>
      <c r="D10094" t="s" s="8">
        <v>3770</v>
      </c>
      <c r="E10094" t="s" s="9">
        <v>3770</v>
      </c>
      <c r="F10094" t="s" s="10">
        <v>25</v>
      </c>
      <c r="G10094" t="s" s="11">
        <v>25</v>
      </c>
      <c r="H10094" t="s" s="10">
        <v>25</v>
      </c>
      <c r="I10094" t="s" s="11">
        <v>25</v>
      </c>
      <c r="J10094" t="s" s="11">
        <v>20</v>
      </c>
      <c r="K10094" t="s" s="16">
        <f>HYPERLINK("http://csr.bu.edu/ftp/asl/asllvd/demos/verify_start_end_handshape_annotations//test_auto_move//signs_mov/4059.mov","MOV")</f>
        <v>21</v>
      </c>
      <c r="L10094" t="s" s="16">
        <f>HYPERLINK("http://csr.bu.edu/ftp/asl/asllvd/demos/verify_start_end_handshape_annotations//test_auto_move//signs_mov_separ_signers/Dana_4059.mov","MOV")</f>
        <v>21</v>
      </c>
      <c r="M10094" t="s" s="10">
        <v>44</v>
      </c>
      <c r="N10094" s="17">
        <v>27</v>
      </c>
      <c r="O10094" s="18">
        <v>1447</v>
      </c>
      <c r="P10094" s="18">
        <v>1478</v>
      </c>
      <c r="Q10094" t="s" s="16">
        <f>HYPERLINK("http://secrets.rutgers.edu:8080/data/asl-ftp/asllvd/demos/verify_start_end_handshape_annotations//test_auto_move//signs_mov/4059.mov","MOV")</f>
        <v>21</v>
      </c>
      <c r="R10094" t="s" s="16">
        <f>HYPERLINK("http://secrets.rutgers.edu:8080/data/asl-ftp/asllvd/demos/verify_start_end_handshape_annotations//test_auto_move//signs_mov_separ_signers/Dana_4059.mov","MOV")</f>
        <v>21</v>
      </c>
    </row>
    <row r="10095" s="2" customFormat="1" ht="13.5" customHeight="1">
      <c r="B10095" t="s" s="8">
        <v>3771</v>
      </c>
      <c r="C10095" t="s" s="9">
        <v>14</v>
      </c>
      <c r="D10095" t="s" s="8">
        <v>14</v>
      </c>
      <c r="E10095" t="s" s="9">
        <v>14</v>
      </c>
      <c r="F10095" t="s" s="10">
        <v>14</v>
      </c>
      <c r="G10095" t="s" s="11">
        <v>14</v>
      </c>
      <c r="H10095" t="s" s="10">
        <v>14</v>
      </c>
      <c r="I10095" t="s" s="11">
        <v>14</v>
      </c>
      <c r="J10095" t="s" s="11">
        <v>14</v>
      </c>
      <c r="K10095" t="s" s="12">
        <v>14</v>
      </c>
      <c r="L10095" t="s" s="12">
        <v>14</v>
      </c>
      <c r="M10095" t="s" s="10">
        <v>14</v>
      </c>
      <c r="N10095" t="s" s="11">
        <v>14</v>
      </c>
      <c r="O10095" t="s" s="8">
        <v>14</v>
      </c>
      <c r="P10095" t="s" s="8">
        <v>14</v>
      </c>
      <c r="Q10095" t="s" s="12">
        <v>14</v>
      </c>
      <c r="R10095" t="s" s="12">
        <v>14</v>
      </c>
    </row>
    <row r="10096" s="2" customFormat="1" ht="13.5" customHeight="1">
      <c r="B10096" s="13"/>
      <c r="C10096" t="s" s="9">
        <v>16</v>
      </c>
      <c r="D10096" t="s" s="8">
        <v>3771</v>
      </c>
      <c r="E10096" t="s" s="9">
        <v>3772</v>
      </c>
      <c r="F10096" s="19">
        <v>10</v>
      </c>
      <c r="G10096" s="17">
        <v>1</v>
      </c>
      <c r="H10096" s="19">
        <v>1</v>
      </c>
      <c r="I10096" s="17">
        <v>1</v>
      </c>
      <c r="J10096" t="s" s="11">
        <v>20</v>
      </c>
      <c r="K10096" t="s" s="16">
        <f>HYPERLINK("http://csr.bu.edu/ftp/asl/asllvd/demos/verify_start_end_handshape_annotations//test_auto_move//signs_mov/3872_5449_merged.mov","MOV")</f>
        <v>21</v>
      </c>
      <c r="L10096" t="s" s="16">
        <f>HYPERLINK("http://csr.bu.edu/ftp/asl/asllvd/demos/verify_start_end_handshape_annotations//test_auto_move//signs_mov_separ_signers/Liz_3872.mov","MOV")</f>
        <v>21</v>
      </c>
      <c r="M10096" t="s" s="10">
        <v>77</v>
      </c>
      <c r="N10096" s="17">
        <v>3</v>
      </c>
      <c r="O10096" s="18">
        <v>3115</v>
      </c>
      <c r="P10096" s="18">
        <v>3170</v>
      </c>
      <c r="Q10096" t="s" s="16">
        <f>HYPERLINK("http://secrets.rutgers.edu:8080/data/asl-ftp/asllvd/demos/verify_start_end_handshape_annotations//test_auto_move//signs_mov/3872_5449_merged.mov","MOV")</f>
        <v>21</v>
      </c>
      <c r="R10096" t="s" s="16">
        <f>HYPERLINK("http://secrets.rutgers.edu:8080/data/asl-ftp/asllvd/demos/verify_start_end_handshape_annotations//test_auto_move//signs_mov_separ_signers/Liz_3872.mov","MOV")</f>
        <v>21</v>
      </c>
    </row>
    <row r="10097" s="2" customFormat="1" ht="13.5" customHeight="1">
      <c r="B10097" s="13"/>
      <c r="C10097" t="s" s="9">
        <v>16</v>
      </c>
      <c r="D10097" t="s" s="8">
        <v>3771</v>
      </c>
      <c r="E10097" t="s" s="9">
        <v>3773</v>
      </c>
      <c r="F10097" s="19">
        <v>10</v>
      </c>
      <c r="G10097" s="17">
        <v>1</v>
      </c>
      <c r="H10097" s="19">
        <v>1</v>
      </c>
      <c r="I10097" s="17">
        <v>1</v>
      </c>
      <c r="J10097" t="s" s="11">
        <v>20</v>
      </c>
      <c r="K10097" s="15"/>
      <c r="L10097" t="s" s="16">
        <f>HYPERLINK("http://csr.bu.edu/ftp/asl/asllvd/demos/verify_start_end_handshape_annotations//test_auto_move//signs_mov_separ_signers/Liz_5449.mov","MOV")</f>
        <v>21</v>
      </c>
      <c r="M10097" t="s" s="10">
        <v>77</v>
      </c>
      <c r="N10097" s="17">
        <v>3</v>
      </c>
      <c r="O10097" s="18">
        <v>3288</v>
      </c>
      <c r="P10097" s="18">
        <v>3342</v>
      </c>
      <c r="Q10097" s="15"/>
      <c r="R10097" t="s" s="16">
        <f>HYPERLINK("http://secrets.rutgers.edu:8080/data/asl-ftp/asllvd/demos/verify_start_end_handshape_annotations//test_auto_move//signs_mov_separ_signers/Liz_5449.mov","MOV")</f>
        <v>21</v>
      </c>
    </row>
    <row r="10098" s="2" customFormat="1" ht="13.5" customHeight="1">
      <c r="B10098" t="s" s="8">
        <v>52</v>
      </c>
      <c r="C10098" t="s" s="9">
        <v>53</v>
      </c>
      <c r="D10098" t="s" s="8">
        <v>53</v>
      </c>
      <c r="E10098" t="s" s="9">
        <v>53</v>
      </c>
      <c r="F10098" t="s" s="10">
        <v>53</v>
      </c>
      <c r="G10098" t="s" s="11">
        <v>53</v>
      </c>
      <c r="H10098" t="s" s="10">
        <v>53</v>
      </c>
      <c r="I10098" t="s" s="11">
        <v>53</v>
      </c>
      <c r="J10098" t="s" s="11">
        <v>53</v>
      </c>
      <c r="K10098" t="s" s="12">
        <v>53</v>
      </c>
      <c r="L10098" t="s" s="12">
        <v>53</v>
      </c>
      <c r="M10098" t="s" s="10">
        <v>53</v>
      </c>
      <c r="N10098" t="s" s="11">
        <v>53</v>
      </c>
      <c r="O10098" t="s" s="8">
        <v>53</v>
      </c>
      <c r="P10098" t="s" s="8">
        <v>53</v>
      </c>
      <c r="Q10098" t="s" s="12">
        <v>53</v>
      </c>
      <c r="R10098" t="s" s="12">
        <v>53</v>
      </c>
    </row>
    <row r="10099" s="2" customFormat="1" ht="13.5" customHeight="1">
      <c r="B10099" s="13"/>
      <c r="C10099" t="s" s="9">
        <v>16</v>
      </c>
      <c r="D10099" t="s" s="8">
        <v>3771</v>
      </c>
      <c r="E10099" t="s" s="9">
        <v>3771</v>
      </c>
      <c r="F10099" s="19">
        <v>10</v>
      </c>
      <c r="G10099" s="17">
        <v>1</v>
      </c>
      <c r="H10099" t="s" s="10">
        <v>25</v>
      </c>
      <c r="I10099" s="17">
        <v>1</v>
      </c>
      <c r="J10099" t="s" s="11">
        <v>20</v>
      </c>
      <c r="K10099" s="15"/>
      <c r="L10099" t="s" s="16">
        <f>HYPERLINK("http://csr.bu.edu/ftp/asl/asllvd/demos/verify_start_end_handshape_annotations//test_auto_move//signs_mov_separ_signers/Liz_5974.mov","MOV")</f>
        <v>21</v>
      </c>
      <c r="M10099" t="s" s="10">
        <v>77</v>
      </c>
      <c r="N10099" s="17">
        <v>3</v>
      </c>
      <c r="O10099" s="18">
        <v>3489</v>
      </c>
      <c r="P10099" s="18">
        <v>3534</v>
      </c>
      <c r="Q10099" s="15"/>
      <c r="R10099" t="s" s="16">
        <f>HYPERLINK("http://secrets.rutgers.edu:8080/data/asl-ftp/asllvd/demos/verify_start_end_handshape_annotations//test_auto_move//signs_mov_separ_signers/Liz_5974.mov","MOV")</f>
        <v>21</v>
      </c>
    </row>
    <row r="10100" s="2" customFormat="1" ht="13.5" customHeight="1">
      <c r="B10100" s="13"/>
      <c r="C10100" t="s" s="9">
        <v>16</v>
      </c>
      <c r="D10100" t="s" s="8">
        <v>3771</v>
      </c>
      <c r="E10100" t="s" s="9">
        <v>3774</v>
      </c>
      <c r="F10100" s="19">
        <v>10</v>
      </c>
      <c r="G10100" s="17">
        <v>1</v>
      </c>
      <c r="H10100" t="s" s="10">
        <v>25</v>
      </c>
      <c r="I10100" s="17">
        <v>1</v>
      </c>
      <c r="J10100" t="s" s="11">
        <v>20</v>
      </c>
      <c r="K10100" t="s" s="16">
        <f>HYPERLINK("http://csr.bu.edu/ftp/asl/asllvd/demos/verify_start_end_handshape_annotations//test_auto_move//signs_mov/5974_5976_merged.mov","MOV")</f>
        <v>21</v>
      </c>
      <c r="L10100" t="s" s="16">
        <f>HYPERLINK("http://csr.bu.edu/ftp/asl/asllvd/demos/verify_start_end_handshape_annotations//test_auto_move//signs_mov_separ_signers/Liz_5976.mov","MOV")</f>
        <v>21</v>
      </c>
      <c r="M10100" t="s" s="10">
        <v>77</v>
      </c>
      <c r="N10100" s="17">
        <v>3</v>
      </c>
      <c r="O10100" s="18">
        <v>3610</v>
      </c>
      <c r="P10100" s="18">
        <v>3656</v>
      </c>
      <c r="Q10100" t="s" s="16">
        <f>HYPERLINK("http://secrets.rutgers.edu:8080/data/asl-ftp/asllvd/demos/verify_start_end_handshape_annotations//test_auto_move//signs_mov/5974_5976_merged.mov","MOV")</f>
        <v>21</v>
      </c>
      <c r="R10100" t="s" s="16">
        <f>HYPERLINK("http://secrets.rutgers.edu:8080/data/asl-ftp/asllvd/demos/verify_start_end_handshape_annotations//test_auto_move//signs_mov_separ_signers/Liz_5976.mov","MOV")</f>
        <v>21</v>
      </c>
    </row>
    <row r="10101" s="2" customFormat="1" ht="13.5" customHeight="1">
      <c r="B10101" s="13"/>
      <c r="C10101" t="s" s="9">
        <v>41</v>
      </c>
      <c r="D10101" t="s" s="8">
        <v>3771</v>
      </c>
      <c r="E10101" t="s" s="9">
        <v>3771</v>
      </c>
      <c r="F10101" s="19">
        <v>10</v>
      </c>
      <c r="G10101" t="s" s="11">
        <v>25</v>
      </c>
      <c r="H10101" t="s" s="10">
        <v>25</v>
      </c>
      <c r="I10101" t="s" s="11">
        <v>25</v>
      </c>
      <c r="J10101" t="s" s="11">
        <v>20</v>
      </c>
      <c r="K10101" s="15"/>
      <c r="L10101" t="s" s="16">
        <f>HYPERLINK("http://csr.bu.edu/ftp/asl/asllvd/demos/verify_start_end_handshape_annotations//test_auto_move//signs_mov_separ_signers/Lana_5974.mov","MOV")</f>
        <v>21</v>
      </c>
      <c r="M10101" t="s" s="10">
        <v>42</v>
      </c>
      <c r="N10101" s="17">
        <v>25</v>
      </c>
      <c r="O10101" s="18">
        <v>1527</v>
      </c>
      <c r="P10101" s="18">
        <v>1567</v>
      </c>
      <c r="Q10101" s="15"/>
      <c r="R10101" t="s" s="16">
        <f>HYPERLINK("http://secrets.rutgers.edu:8080/data/asl-ftp/asllvd/demos/verify_start_end_handshape_annotations//test_auto_move//signs_mov_separ_signers/Lana_5974.mov","MOV")</f>
        <v>21</v>
      </c>
    </row>
    <row r="10102" s="2" customFormat="1" ht="13.5" customHeight="1">
      <c r="B10102" t="s" s="8">
        <v>3775</v>
      </c>
      <c r="C10102" t="s" s="9">
        <v>14</v>
      </c>
      <c r="D10102" t="s" s="8">
        <v>14</v>
      </c>
      <c r="E10102" t="s" s="9">
        <v>14</v>
      </c>
      <c r="F10102" t="s" s="10">
        <v>14</v>
      </c>
      <c r="G10102" t="s" s="11">
        <v>14</v>
      </c>
      <c r="H10102" t="s" s="10">
        <v>14</v>
      </c>
      <c r="I10102" t="s" s="11">
        <v>14</v>
      </c>
      <c r="J10102" t="s" s="11">
        <v>14</v>
      </c>
      <c r="K10102" t="s" s="12">
        <v>14</v>
      </c>
      <c r="L10102" t="s" s="12">
        <v>14</v>
      </c>
      <c r="M10102" t="s" s="10">
        <v>14</v>
      </c>
      <c r="N10102" t="s" s="11">
        <v>14</v>
      </c>
      <c r="O10102" t="s" s="8">
        <v>14</v>
      </c>
      <c r="P10102" t="s" s="8">
        <v>14</v>
      </c>
      <c r="Q10102" t="s" s="12">
        <v>14</v>
      </c>
      <c r="R10102" t="s" s="12">
        <v>14</v>
      </c>
    </row>
    <row r="10103" s="2" customFormat="1" ht="13.5" customHeight="1">
      <c r="B10103" s="13"/>
      <c r="C10103" t="s" s="9">
        <v>16</v>
      </c>
      <c r="D10103" t="s" s="8">
        <v>3776</v>
      </c>
      <c r="E10103" t="s" s="9">
        <v>3775</v>
      </c>
      <c r="F10103" s="19">
        <v>5</v>
      </c>
      <c r="G10103" t="s" s="11">
        <v>105</v>
      </c>
      <c r="H10103" s="19">
        <v>5</v>
      </c>
      <c r="I10103" t="s" s="11">
        <v>105</v>
      </c>
      <c r="J10103" t="s" s="11">
        <v>136</v>
      </c>
      <c r="K10103" t="s" s="16">
        <f>HYPERLINK("http://csr.bu.edu/ftp/asl/asllvd/demos/verify_start_end_handshape_annotations//test_auto_move//signs_mov/4063.mov","MOV")</f>
        <v>21</v>
      </c>
      <c r="L10103" t="s" s="16">
        <f>HYPERLINK("http://csr.bu.edu/ftp/asl/asllvd/demos/verify_start_end_handshape_annotations//test_auto_move//signs_mov_separ_signers/Liz_4063.mov","MOV")</f>
        <v>21</v>
      </c>
      <c r="M10103" t="s" s="10">
        <v>77</v>
      </c>
      <c r="N10103" s="17">
        <v>3</v>
      </c>
      <c r="O10103" s="18">
        <v>4935</v>
      </c>
      <c r="P10103" s="18">
        <v>4965</v>
      </c>
      <c r="Q10103" t="s" s="16">
        <f>HYPERLINK("http://secrets.rutgers.edu:8080/data/asl-ftp/asllvd/demos/verify_start_end_handshape_annotations//test_auto_move//signs_mov/4063.mov","MOV")</f>
        <v>21</v>
      </c>
      <c r="R10103" t="s" s="16">
        <f>HYPERLINK("http://secrets.rutgers.edu:8080/data/asl-ftp/asllvd/demos/verify_start_end_handshape_annotations//test_auto_move//signs_mov_separ_signers/Liz_4063.mov","MOV")</f>
        <v>21</v>
      </c>
    </row>
    <row r="10104" s="2" customFormat="1" ht="13.5" customHeight="1">
      <c r="B10104" s="13"/>
      <c r="C10104" t="s" s="9">
        <v>30</v>
      </c>
      <c r="D10104" t="s" s="8">
        <v>3776</v>
      </c>
      <c r="E10104" t="s" s="9">
        <v>3775</v>
      </c>
      <c r="F10104" s="19">
        <v>5</v>
      </c>
      <c r="G10104" t="s" s="11">
        <v>105</v>
      </c>
      <c r="H10104" s="19">
        <v>5</v>
      </c>
      <c r="I10104" t="s" s="11">
        <v>105</v>
      </c>
      <c r="J10104" t="s" s="11">
        <v>136</v>
      </c>
      <c r="K10104" s="15"/>
      <c r="L10104" t="s" s="16">
        <f>HYPERLINK("http://csr.bu.edu/ftp/asl/asllvd/demos/verify_start_end_handshape_annotations//test_auto_move//signs_mov_separ_signers/Brady_4063.mov","MOV")</f>
        <v>21</v>
      </c>
      <c r="M10104" t="s" s="10">
        <v>60</v>
      </c>
      <c r="N10104" s="17">
        <v>11</v>
      </c>
      <c r="O10104" s="18">
        <v>546</v>
      </c>
      <c r="P10104" s="18">
        <v>587</v>
      </c>
      <c r="Q10104" s="15"/>
      <c r="R10104" t="s" s="16">
        <f>HYPERLINK("http://secrets.rutgers.edu:8080/data/asl-ftp/asllvd/demos/verify_start_end_handshape_annotations//test_auto_move//signs_mov_separ_signers/Brady_4063.mov","MOV")</f>
        <v>21</v>
      </c>
    </row>
    <row r="10105" s="2" customFormat="1" ht="13.5" customHeight="1">
      <c r="B10105" t="s" s="8">
        <v>52</v>
      </c>
      <c r="C10105" t="s" s="9">
        <v>53</v>
      </c>
      <c r="D10105" t="s" s="8">
        <v>53</v>
      </c>
      <c r="E10105" t="s" s="9">
        <v>53</v>
      </c>
      <c r="F10105" t="s" s="10">
        <v>53</v>
      </c>
      <c r="G10105" t="s" s="11">
        <v>53</v>
      </c>
      <c r="H10105" t="s" s="10">
        <v>53</v>
      </c>
      <c r="I10105" t="s" s="11">
        <v>53</v>
      </c>
      <c r="J10105" t="s" s="11">
        <v>53</v>
      </c>
      <c r="K10105" t="s" s="12">
        <v>53</v>
      </c>
      <c r="L10105" t="s" s="12">
        <v>53</v>
      </c>
      <c r="M10105" t="s" s="10">
        <v>53</v>
      </c>
      <c r="N10105" t="s" s="11">
        <v>53</v>
      </c>
      <c r="O10105" t="s" s="8">
        <v>53</v>
      </c>
      <c r="P10105" t="s" s="8">
        <v>53</v>
      </c>
      <c r="Q10105" t="s" s="12">
        <v>53</v>
      </c>
      <c r="R10105" t="s" s="12">
        <v>53</v>
      </c>
    </row>
    <row r="10106" s="2" customFormat="1" ht="13.5" customHeight="1">
      <c r="B10106" s="13"/>
      <c r="C10106" t="s" s="9">
        <v>16</v>
      </c>
      <c r="D10106" t="s" s="8">
        <v>3776</v>
      </c>
      <c r="E10106" t="s" s="9">
        <v>3776</v>
      </c>
      <c r="F10106" s="19">
        <v>5</v>
      </c>
      <c r="G10106" t="s" s="11">
        <v>105</v>
      </c>
      <c r="H10106" s="19">
        <v>5</v>
      </c>
      <c r="I10106" t="s" s="11">
        <v>105</v>
      </c>
      <c r="J10106" t="s" s="11">
        <v>136</v>
      </c>
      <c r="K10106" s="15"/>
      <c r="L10106" t="s" s="16">
        <f>HYPERLINK("http://csr.bu.edu/ftp/asl/asllvd/demos/verify_start_end_handshape_annotations//test_auto_move//signs_mov_separ_signers/Liz_5585.mov","MOV")</f>
        <v>21</v>
      </c>
      <c r="M10106" t="s" s="10">
        <v>59</v>
      </c>
      <c r="N10106" s="17">
        <v>44</v>
      </c>
      <c r="O10106" s="18">
        <v>1045</v>
      </c>
      <c r="P10106" s="18">
        <v>1100</v>
      </c>
      <c r="Q10106" s="15"/>
      <c r="R10106" t="s" s="16">
        <f>HYPERLINK("http://secrets.rutgers.edu:8080/data/asl-ftp/asllvd/demos/verify_start_end_handshape_annotations//test_auto_move//signs_mov_separ_signers/Liz_5585.mov","MOV")</f>
        <v>21</v>
      </c>
    </row>
    <row r="10107" s="2" customFormat="1" ht="13.5" customHeight="1">
      <c r="B10107" s="13"/>
      <c r="C10107" t="s" s="9">
        <v>16</v>
      </c>
      <c r="D10107" t="s" s="8">
        <v>3776</v>
      </c>
      <c r="E10107" t="s" s="9">
        <v>3776</v>
      </c>
      <c r="F10107" s="19">
        <v>5</v>
      </c>
      <c r="G10107" t="s" s="11">
        <v>105</v>
      </c>
      <c r="H10107" s="19">
        <v>5</v>
      </c>
      <c r="I10107" t="s" s="11">
        <v>105</v>
      </c>
      <c r="J10107" t="s" s="11">
        <v>136</v>
      </c>
      <c r="K10107" t="s" s="16">
        <f>HYPERLINK("http://csr.bu.edu/ftp/asl/asllvd/demos/verify_start_end_handshape_annotations//test_auto_move//signs_mov/5585_15440_merged.mov","MOV")</f>
        <v>21</v>
      </c>
      <c r="L10107" t="s" s="16">
        <f>HYPERLINK("http://csr.bu.edu/ftp/asl/asllvd/demos/verify_start_end_handshape_annotations//test_auto_move//signs_mov_separ_signers/Liz_15440.mov","MOV")</f>
        <v>21</v>
      </c>
      <c r="M10107" t="s" s="10">
        <v>77</v>
      </c>
      <c r="N10107" s="17">
        <v>3</v>
      </c>
      <c r="O10107" s="18">
        <v>5040</v>
      </c>
      <c r="P10107" s="18">
        <v>5106</v>
      </c>
      <c r="Q10107" t="s" s="16">
        <f>HYPERLINK("http://secrets.rutgers.edu:8080/data/asl-ftp/asllvd/demos/verify_start_end_handshape_annotations//test_auto_move//signs_mov/5585_15440_merged.mov","MOV")</f>
        <v>21</v>
      </c>
      <c r="R10107" t="s" s="16">
        <f>HYPERLINK("http://secrets.rutgers.edu:8080/data/asl-ftp/asllvd/demos/verify_start_end_handshape_annotations//test_auto_move//signs_mov_separ_signers/Liz_15440.mov","MOV")</f>
        <v>21</v>
      </c>
    </row>
    <row r="10108" s="2" customFormat="1" ht="13.5" customHeight="1">
      <c r="B10108" s="13"/>
      <c r="C10108" t="s" s="9">
        <v>30</v>
      </c>
      <c r="D10108" t="s" s="8">
        <v>3776</v>
      </c>
      <c r="E10108" t="s" s="9">
        <v>3776</v>
      </c>
      <c r="F10108" s="19">
        <v>5</v>
      </c>
      <c r="G10108" t="s" s="11">
        <v>105</v>
      </c>
      <c r="H10108" s="19">
        <v>5</v>
      </c>
      <c r="I10108" t="s" s="11">
        <v>105</v>
      </c>
      <c r="J10108" t="s" s="11">
        <v>136</v>
      </c>
      <c r="K10108" s="15"/>
      <c r="L10108" t="s" s="16">
        <f>HYPERLINK("http://csr.bu.edu/ftp/asl/asllvd/demos/verify_start_end_handshape_annotations//test_auto_move//signs_mov_separ_signers/Brady_5585.mov","MOV")</f>
        <v>21</v>
      </c>
      <c r="M10108" t="s" s="10">
        <v>60</v>
      </c>
      <c r="N10108" s="17">
        <v>11</v>
      </c>
      <c r="O10108" s="18">
        <v>826</v>
      </c>
      <c r="P10108" s="18">
        <v>879</v>
      </c>
      <c r="Q10108" s="15"/>
      <c r="R10108" t="s" s="16">
        <f>HYPERLINK("http://secrets.rutgers.edu:8080/data/asl-ftp/asllvd/demos/verify_start_end_handshape_annotations//test_auto_move//signs_mov_separ_signers/Brady_5585.mov","MOV")</f>
        <v>21</v>
      </c>
    </row>
    <row r="10109" s="2" customFormat="1" ht="13.5" customHeight="1">
      <c r="B10109" s="13"/>
      <c r="C10109" t="s" s="9">
        <v>30</v>
      </c>
      <c r="D10109" t="s" s="8">
        <v>3776</v>
      </c>
      <c r="E10109" t="s" s="9">
        <v>3776</v>
      </c>
      <c r="F10109" s="19">
        <v>5</v>
      </c>
      <c r="G10109" t="s" s="11">
        <v>105</v>
      </c>
      <c r="H10109" s="19">
        <v>5</v>
      </c>
      <c r="I10109" t="s" s="11">
        <v>105</v>
      </c>
      <c r="J10109" t="s" s="11">
        <v>20</v>
      </c>
      <c r="K10109" s="15"/>
      <c r="L10109" t="s" s="16">
        <f>HYPERLINK("http://csr.bu.edu/ftp/asl/asllvd/demos/verify_start_end_handshape_annotations//test_auto_move//signs_mov_separ_signers/Brady_15440.mov","MOV")</f>
        <v>21</v>
      </c>
      <c r="M10109" t="s" s="10">
        <v>60</v>
      </c>
      <c r="N10109" s="17">
        <v>32</v>
      </c>
      <c r="O10109" s="18">
        <v>1582</v>
      </c>
      <c r="P10109" s="18">
        <v>1622</v>
      </c>
      <c r="Q10109" s="15"/>
      <c r="R10109" t="s" s="16">
        <f>HYPERLINK("http://secrets.rutgers.edu:8080/data/asl-ftp/asllvd/demos/verify_start_end_handshape_annotations//test_auto_move//signs_mov_separ_signers/Brady_15440.mov","MOV")</f>
        <v>21</v>
      </c>
    </row>
    <row r="10110" s="2" customFormat="1" ht="13.5" customHeight="1">
      <c r="B10110" t="s" s="8">
        <v>3777</v>
      </c>
      <c r="C10110" t="s" s="9">
        <v>14</v>
      </c>
      <c r="D10110" t="s" s="8">
        <v>14</v>
      </c>
      <c r="E10110" t="s" s="9">
        <v>14</v>
      </c>
      <c r="F10110" t="s" s="10">
        <v>14</v>
      </c>
      <c r="G10110" t="s" s="11">
        <v>14</v>
      </c>
      <c r="H10110" t="s" s="10">
        <v>14</v>
      </c>
      <c r="I10110" t="s" s="11">
        <v>14</v>
      </c>
      <c r="J10110" t="s" s="11">
        <v>14</v>
      </c>
      <c r="K10110" t="s" s="12">
        <v>14</v>
      </c>
      <c r="L10110" t="s" s="12">
        <v>14</v>
      </c>
      <c r="M10110" t="s" s="10">
        <v>14</v>
      </c>
      <c r="N10110" t="s" s="11">
        <v>14</v>
      </c>
      <c r="O10110" t="s" s="8">
        <v>14</v>
      </c>
      <c r="P10110" t="s" s="8">
        <v>14</v>
      </c>
      <c r="Q10110" t="s" s="12">
        <v>14</v>
      </c>
      <c r="R10110" t="s" s="12">
        <v>14</v>
      </c>
    </row>
    <row r="10111" s="2" customFormat="1" ht="13.5" customHeight="1">
      <c r="B10111" s="13"/>
      <c r="C10111" t="s" s="9">
        <v>16</v>
      </c>
      <c r="D10111" t="s" s="8">
        <v>3777</v>
      </c>
      <c r="E10111" t="s" s="9">
        <v>3777</v>
      </c>
      <c r="F10111" t="s" s="10">
        <v>158</v>
      </c>
      <c r="G10111" t="s" s="11">
        <v>287</v>
      </c>
      <c r="H10111" t="s" s="10">
        <v>158</v>
      </c>
      <c r="I10111" t="s" s="11">
        <v>287</v>
      </c>
      <c r="J10111" t="s" s="11">
        <v>20</v>
      </c>
      <c r="K10111" s="15"/>
      <c r="L10111" t="s" s="16">
        <f>HYPERLINK("http://csr.bu.edu/ftp/asl/asllvd/demos/verify_start_end_handshape_annotations//test_auto_move//signs_mov_separ_signers/Liz_4065.mov","MOV")</f>
        <v>21</v>
      </c>
      <c r="M10111" t="s" s="10">
        <v>22</v>
      </c>
      <c r="N10111" s="17">
        <v>73</v>
      </c>
      <c r="O10111" s="18">
        <v>1095</v>
      </c>
      <c r="P10111" s="18">
        <v>1135</v>
      </c>
      <c r="Q10111" s="15"/>
      <c r="R10111" t="s" s="16">
        <f>HYPERLINK("http://secrets.rutgers.edu:8080/data/asl-ftp/asllvd/demos/verify_start_end_handshape_annotations//test_auto_move//signs_mov_separ_signers/Liz_4065.mov","MOV")</f>
        <v>21</v>
      </c>
    </row>
    <row r="10112" s="2" customFormat="1" ht="13.5" customHeight="1">
      <c r="B10112" s="13"/>
      <c r="C10112" t="s" s="9">
        <v>16</v>
      </c>
      <c r="D10112" t="s" s="8">
        <v>3777</v>
      </c>
      <c r="E10112" t="s" s="9">
        <v>3777</v>
      </c>
      <c r="F10112" t="s" s="10">
        <v>158</v>
      </c>
      <c r="G10112" t="s" s="11">
        <v>287</v>
      </c>
      <c r="H10112" t="s" s="10">
        <v>158</v>
      </c>
      <c r="I10112" t="s" s="11">
        <v>287</v>
      </c>
      <c r="J10112" t="s" s="11">
        <v>20</v>
      </c>
      <c r="K10112" s="15"/>
      <c r="L10112" t="s" s="16">
        <f>HYPERLINK("http://csr.bu.edu/ftp/asl/asllvd/demos/verify_start_end_handshape_annotations//test_auto_move//signs_mov_separ_signers/Liz_3432.mov","MOV")</f>
        <v>21</v>
      </c>
      <c r="M10112" t="s" s="10">
        <v>77</v>
      </c>
      <c r="N10112" s="17">
        <v>9</v>
      </c>
      <c r="O10112" s="18">
        <v>685</v>
      </c>
      <c r="P10112" s="18">
        <v>710</v>
      </c>
      <c r="Q10112" s="15"/>
      <c r="R10112" t="s" s="16">
        <f>HYPERLINK("http://secrets.rutgers.edu:8080/data/asl-ftp/asllvd/demos/verify_start_end_handshape_annotations//test_auto_move//signs_mov_separ_signers/Liz_3432.mov","MOV")</f>
        <v>21</v>
      </c>
    </row>
    <row r="10113" s="2" customFormat="1" ht="13.5" customHeight="1">
      <c r="B10113" s="13"/>
      <c r="C10113" t="s" s="9">
        <v>23</v>
      </c>
      <c r="D10113" t="s" s="8">
        <v>3777</v>
      </c>
      <c r="E10113" t="s" s="9">
        <v>3777</v>
      </c>
      <c r="F10113" t="s" s="10">
        <v>158</v>
      </c>
      <c r="G10113" t="s" s="11">
        <v>287</v>
      </c>
      <c r="H10113" t="s" s="10">
        <v>158</v>
      </c>
      <c r="I10113" t="s" s="11">
        <v>287</v>
      </c>
      <c r="J10113" t="s" s="11">
        <v>20</v>
      </c>
      <c r="K10113" s="15"/>
      <c r="L10113" t="s" s="16">
        <f>HYPERLINK("http://csr.bu.edu/ftp/asl/asllvd/demos/verify_start_end_handshape_annotations//test_auto_move//signs_mov_separ_signers/Tyler_4065.mov","MOV")</f>
        <v>21</v>
      </c>
      <c r="M10113" t="s" s="10">
        <v>26</v>
      </c>
      <c r="N10113" s="17">
        <v>44</v>
      </c>
      <c r="O10113" s="18">
        <v>5340</v>
      </c>
      <c r="P10113" s="18">
        <v>5392</v>
      </c>
      <c r="Q10113" s="15"/>
      <c r="R10113" t="s" s="16">
        <f>HYPERLINK("http://secrets.rutgers.edu:8080/data/asl-ftp/asllvd/demos/verify_start_end_handshape_annotations//test_auto_move//signs_mov_separ_signers/Tyler_4065.mov","MOV")</f>
        <v>21</v>
      </c>
    </row>
    <row r="10114" s="2" customFormat="1" ht="13.5" customHeight="1">
      <c r="B10114" s="13"/>
      <c r="C10114" t="s" s="9">
        <v>27</v>
      </c>
      <c r="D10114" t="s" s="8">
        <v>3777</v>
      </c>
      <c r="E10114" t="s" s="9">
        <v>3777</v>
      </c>
      <c r="F10114" t="s" s="10">
        <v>119</v>
      </c>
      <c r="G10114" t="s" s="11">
        <v>287</v>
      </c>
      <c r="H10114" t="s" s="10">
        <v>119</v>
      </c>
      <c r="I10114" t="s" s="11">
        <v>287</v>
      </c>
      <c r="J10114" t="s" s="11">
        <v>20</v>
      </c>
      <c r="K10114" t="s" s="16">
        <f>HYPERLINK("http://csr.bu.edu/ftp/asl/asllvd/demos/verify_start_end_handshape_annotations//test_auto_move//signs_mov/3432_3441_4065_5966_merged.mov","MOV")</f>
        <v>21</v>
      </c>
      <c r="L10114" t="s" s="16">
        <f>HYPERLINK("http://csr.bu.edu/ftp/asl/asllvd/demos/verify_start_end_handshape_annotations//test_auto_move//signs_mov_separ_signers/Naomi_4065.mov","MOV")</f>
        <v>21</v>
      </c>
      <c r="M10114" t="s" s="10">
        <v>29</v>
      </c>
      <c r="N10114" s="17">
        <v>46</v>
      </c>
      <c r="O10114" s="18">
        <v>3495</v>
      </c>
      <c r="P10114" s="18">
        <v>3516</v>
      </c>
      <c r="Q10114" t="s" s="16">
        <f>HYPERLINK("http://secrets.rutgers.edu:8080/data/asl-ftp/asllvd/demos/verify_start_end_handshape_annotations//test_auto_move//signs_mov/3432_3441_4065_5966_merged.mov","MOV")</f>
        <v>21</v>
      </c>
      <c r="R10114" t="s" s="16">
        <f>HYPERLINK("http://secrets.rutgers.edu:8080/data/asl-ftp/asllvd/demos/verify_start_end_handshape_annotations//test_auto_move//signs_mov_separ_signers/Naomi_4065.mov","MOV")</f>
        <v>21</v>
      </c>
    </row>
    <row r="10115" s="2" customFormat="1" ht="13.5" customHeight="1">
      <c r="B10115" s="13"/>
      <c r="C10115" t="s" s="9">
        <v>30</v>
      </c>
      <c r="D10115" t="s" s="8">
        <v>3777</v>
      </c>
      <c r="E10115" t="s" s="9">
        <v>3777</v>
      </c>
      <c r="F10115" t="s" s="10">
        <v>1352</v>
      </c>
      <c r="G10115" t="s" s="11">
        <v>287</v>
      </c>
      <c r="H10115" t="s" s="10">
        <v>1352</v>
      </c>
      <c r="I10115" t="s" s="11">
        <v>287</v>
      </c>
      <c r="J10115" t="s" s="11">
        <v>20</v>
      </c>
      <c r="K10115" s="15"/>
      <c r="L10115" t="s" s="16">
        <f>HYPERLINK("http://csr.bu.edu/ftp/asl/asllvd/demos/verify_start_end_handshape_annotations//test_auto_move//signs_mov_separ_signers/Brady_4065.mov","MOV")</f>
        <v>21</v>
      </c>
      <c r="M10115" t="s" s="10">
        <v>31</v>
      </c>
      <c r="N10115" s="17">
        <v>19</v>
      </c>
      <c r="O10115" s="18">
        <v>7669</v>
      </c>
      <c r="P10115" s="18">
        <v>7706</v>
      </c>
      <c r="Q10115" s="15"/>
      <c r="R10115" t="s" s="16">
        <f>HYPERLINK("http://secrets.rutgers.edu:8080/data/asl-ftp/asllvd/demos/verify_start_end_handshape_annotations//test_auto_move//signs_mov_separ_signers/Brady_4065.mov","MOV")</f>
        <v>21</v>
      </c>
    </row>
    <row r="10116" s="2" customFormat="1" ht="13.5" customHeight="1">
      <c r="B10116" s="13"/>
      <c r="C10116" t="s" s="9">
        <v>30</v>
      </c>
      <c r="D10116" t="s" s="8">
        <v>3777</v>
      </c>
      <c r="E10116" t="s" s="9">
        <v>3777</v>
      </c>
      <c r="F10116" t="s" s="10">
        <v>158</v>
      </c>
      <c r="G10116" t="s" s="11">
        <v>287</v>
      </c>
      <c r="H10116" t="s" s="10">
        <v>158</v>
      </c>
      <c r="I10116" t="s" s="11">
        <v>287</v>
      </c>
      <c r="J10116" t="s" s="11">
        <v>20</v>
      </c>
      <c r="K10116" s="15"/>
      <c r="L10116" t="s" s="16">
        <f>HYPERLINK("http://csr.bu.edu/ftp/asl/asllvd/demos/verify_start_end_handshape_annotations//test_auto_move//signs_mov_separ_signers/Brady_3432.mov","MOV")</f>
        <v>21</v>
      </c>
      <c r="M10116" t="s" s="10">
        <v>31</v>
      </c>
      <c r="N10116" s="17">
        <v>27</v>
      </c>
      <c r="O10116" s="18">
        <v>4654</v>
      </c>
      <c r="P10116" s="18">
        <v>4690</v>
      </c>
      <c r="Q10116" s="15"/>
      <c r="R10116" t="s" s="16">
        <f>HYPERLINK("http://secrets.rutgers.edu:8080/data/asl-ftp/asllvd/demos/verify_start_end_handshape_annotations//test_auto_move//signs_mov_separ_signers/Brady_3432.mov","MOV")</f>
        <v>21</v>
      </c>
    </row>
    <row r="10117" s="2" customFormat="1" ht="13.5" customHeight="1">
      <c r="B10117" s="13"/>
      <c r="C10117" t="s" s="9">
        <v>30</v>
      </c>
      <c r="D10117" t="s" s="8">
        <v>3777</v>
      </c>
      <c r="E10117" t="s" s="9">
        <v>3777</v>
      </c>
      <c r="F10117" t="s" s="10">
        <v>158</v>
      </c>
      <c r="G10117" t="s" s="11">
        <v>287</v>
      </c>
      <c r="H10117" t="s" s="10">
        <v>158</v>
      </c>
      <c r="I10117" t="s" s="11">
        <v>287</v>
      </c>
      <c r="J10117" t="s" s="11">
        <v>20</v>
      </c>
      <c r="K10117" s="15"/>
      <c r="L10117" t="s" s="16">
        <f>HYPERLINK("http://csr.bu.edu/ftp/asl/asllvd/demos/verify_start_end_handshape_annotations//test_auto_move//signs_mov_separ_signers/Brady_3441.mov","MOV")</f>
        <v>21</v>
      </c>
      <c r="M10117" t="s" s="10">
        <v>40</v>
      </c>
      <c r="N10117" s="17">
        <v>100</v>
      </c>
      <c r="O10117" s="18">
        <v>2076</v>
      </c>
      <c r="P10117" s="18">
        <v>2125</v>
      </c>
      <c r="Q10117" s="15"/>
      <c r="R10117" t="s" s="16">
        <f>HYPERLINK("http://secrets.rutgers.edu:8080/data/asl-ftp/asllvd/demos/verify_start_end_handshape_annotations//test_auto_move//signs_mov_separ_signers/Brady_3441.mov","MOV")</f>
        <v>21</v>
      </c>
    </row>
    <row r="10118" s="2" customFormat="1" ht="13.5" customHeight="1">
      <c r="B10118" s="13"/>
      <c r="C10118" t="s" s="9">
        <v>30</v>
      </c>
      <c r="D10118" t="s" s="8">
        <v>3777</v>
      </c>
      <c r="E10118" t="s" s="9">
        <v>3777</v>
      </c>
      <c r="F10118" t="s" s="10">
        <v>158</v>
      </c>
      <c r="G10118" t="s" s="11">
        <v>287</v>
      </c>
      <c r="H10118" t="s" s="10">
        <v>158</v>
      </c>
      <c r="I10118" t="s" s="11">
        <v>287</v>
      </c>
      <c r="J10118" t="s" s="11">
        <v>20</v>
      </c>
      <c r="K10118" s="15"/>
      <c r="L10118" t="s" s="16">
        <f>HYPERLINK("http://csr.bu.edu/ftp/asl/asllvd/demos/verify_start_end_handshape_annotations//test_auto_move//signs_mov_separ_signers/Brady_5966.mov","MOV")</f>
        <v>21</v>
      </c>
      <c r="M10118" t="s" s="10">
        <v>60</v>
      </c>
      <c r="N10118" s="17">
        <v>40</v>
      </c>
      <c r="O10118" s="18">
        <v>146</v>
      </c>
      <c r="P10118" s="18">
        <v>205</v>
      </c>
      <c r="Q10118" s="15"/>
      <c r="R10118" t="s" s="16">
        <f>HYPERLINK("http://secrets.rutgers.edu:8080/data/asl-ftp/asllvd/demos/verify_start_end_handshape_annotations//test_auto_move//signs_mov_separ_signers/Brady_5966.mov","MOV")</f>
        <v>21</v>
      </c>
    </row>
    <row r="10119" s="2" customFormat="1" ht="13.5" customHeight="1">
      <c r="B10119" t="s" s="8">
        <v>3778</v>
      </c>
      <c r="C10119" t="s" s="9">
        <v>14</v>
      </c>
      <c r="D10119" t="s" s="8">
        <v>14</v>
      </c>
      <c r="E10119" t="s" s="9">
        <v>14</v>
      </c>
      <c r="F10119" t="s" s="10">
        <v>14</v>
      </c>
      <c r="G10119" t="s" s="11">
        <v>14</v>
      </c>
      <c r="H10119" t="s" s="10">
        <v>14</v>
      </c>
      <c r="I10119" t="s" s="11">
        <v>14</v>
      </c>
      <c r="J10119" t="s" s="11">
        <v>14</v>
      </c>
      <c r="K10119" t="s" s="12">
        <v>14</v>
      </c>
      <c r="L10119" t="s" s="12">
        <v>14</v>
      </c>
      <c r="M10119" t="s" s="10">
        <v>14</v>
      </c>
      <c r="N10119" t="s" s="11">
        <v>14</v>
      </c>
      <c r="O10119" t="s" s="8">
        <v>14</v>
      </c>
      <c r="P10119" t="s" s="8">
        <v>14</v>
      </c>
      <c r="Q10119" t="s" s="12">
        <v>14</v>
      </c>
      <c r="R10119" t="s" s="12">
        <v>14</v>
      </c>
    </row>
    <row r="10120" s="2" customFormat="1" ht="13.5" customHeight="1">
      <c r="B10120" s="13"/>
      <c r="C10120" t="s" s="9">
        <v>16</v>
      </c>
      <c r="D10120" t="s" s="8">
        <v>3778</v>
      </c>
      <c r="E10120" t="s" s="9">
        <v>3778</v>
      </c>
      <c r="F10120" t="s" s="10">
        <v>158</v>
      </c>
      <c r="G10120" s="17">
        <v>1</v>
      </c>
      <c r="H10120" t="s" s="10">
        <v>158</v>
      </c>
      <c r="I10120" s="17">
        <v>1</v>
      </c>
      <c r="J10120" t="s" s="11">
        <v>20</v>
      </c>
      <c r="K10120" t="s" s="16">
        <f>HYPERLINK("http://csr.bu.edu/ftp/asl/asllvd/demos/verify_start_end_handshape_annotations//test_auto_move//signs_mov/15407.mov","MOV")</f>
        <v>21</v>
      </c>
      <c r="L10120" t="s" s="16">
        <f>HYPERLINK("http://csr.bu.edu/ftp/asl/asllvd/demos/verify_start_end_handshape_annotations//test_auto_move//signs_mov_separ_signers/Liz_15407.mov","MOV")</f>
        <v>21</v>
      </c>
      <c r="M10120" t="s" s="10">
        <v>36</v>
      </c>
      <c r="N10120" s="17">
        <v>49</v>
      </c>
      <c r="O10120" s="18">
        <v>232</v>
      </c>
      <c r="P10120" s="18">
        <v>280</v>
      </c>
      <c r="Q10120" t="s" s="16">
        <f>HYPERLINK("http://secrets.rutgers.edu:8080/data/asl-ftp/asllvd/demos/verify_start_end_handshape_annotations//test_auto_move//signs_mov/15407.mov","MOV")</f>
        <v>21</v>
      </c>
      <c r="R10120" t="s" s="16">
        <f>HYPERLINK("http://secrets.rutgers.edu:8080/data/asl-ftp/asllvd/demos/verify_start_end_handshape_annotations//test_auto_move//signs_mov_separ_signers/Liz_15407.mov","MOV")</f>
        <v>21</v>
      </c>
    </row>
    <row r="10121" s="2" customFormat="1" ht="13.5" customHeight="1">
      <c r="B10121" t="s" s="8">
        <v>3779</v>
      </c>
      <c r="C10121" t="s" s="9">
        <v>14</v>
      </c>
      <c r="D10121" t="s" s="8">
        <v>14</v>
      </c>
      <c r="E10121" t="s" s="9">
        <v>14</v>
      </c>
      <c r="F10121" t="s" s="10">
        <v>14</v>
      </c>
      <c r="G10121" t="s" s="11">
        <v>14</v>
      </c>
      <c r="H10121" t="s" s="10">
        <v>14</v>
      </c>
      <c r="I10121" t="s" s="11">
        <v>14</v>
      </c>
      <c r="J10121" t="s" s="11">
        <v>14</v>
      </c>
      <c r="K10121" t="s" s="12">
        <v>14</v>
      </c>
      <c r="L10121" t="s" s="12">
        <v>14</v>
      </c>
      <c r="M10121" t="s" s="10">
        <v>14</v>
      </c>
      <c r="N10121" t="s" s="11">
        <v>14</v>
      </c>
      <c r="O10121" t="s" s="8">
        <v>14</v>
      </c>
      <c r="P10121" t="s" s="8">
        <v>14</v>
      </c>
      <c r="Q10121" t="s" s="12">
        <v>14</v>
      </c>
      <c r="R10121" t="s" s="12">
        <v>14</v>
      </c>
    </row>
    <row r="10122" s="2" customFormat="1" ht="13.5" customHeight="1">
      <c r="B10122" s="13"/>
      <c r="C10122" t="s" s="9">
        <v>16</v>
      </c>
      <c r="D10122" t="s" s="8">
        <v>3779</v>
      </c>
      <c r="E10122" t="s" s="9">
        <v>3779</v>
      </c>
      <c r="F10122" t="s" s="10">
        <v>282</v>
      </c>
      <c r="G10122" s="14"/>
      <c r="H10122" s="19">
        <v>5</v>
      </c>
      <c r="I10122" s="14"/>
      <c r="J10122" t="s" s="11">
        <v>20</v>
      </c>
      <c r="K10122" t="s" s="16">
        <f>HYPERLINK("http://csr.bu.edu/ftp/asl/asllvd/demos/verify_start_end_handshape_annotations//test_auto_move//signs_mov/15489.mov","MOV")</f>
        <v>21</v>
      </c>
      <c r="L10122" t="s" s="16">
        <f>HYPERLINK("http://csr.bu.edu/ftp/asl/asllvd/demos/verify_start_end_handshape_annotations//test_auto_move//signs_mov_separ_signers/Liz_15489.mov","MOV")</f>
        <v>21</v>
      </c>
      <c r="M10122" t="s" s="10">
        <v>36</v>
      </c>
      <c r="N10122" s="17">
        <v>48</v>
      </c>
      <c r="O10122" s="18">
        <v>3085</v>
      </c>
      <c r="P10122" s="18">
        <v>3117</v>
      </c>
      <c r="Q10122" t="s" s="16">
        <f>HYPERLINK("http://secrets.rutgers.edu:8080/data/asl-ftp/asllvd/demos/verify_start_end_handshape_annotations//test_auto_move//signs_mov/15489.mov","MOV")</f>
        <v>21</v>
      </c>
      <c r="R10122" t="s" s="16">
        <f>HYPERLINK("http://secrets.rutgers.edu:8080/data/asl-ftp/asllvd/demos/verify_start_end_handshape_annotations//test_auto_move//signs_mov_separ_signers/Liz_15489.mov","MOV")</f>
        <v>21</v>
      </c>
    </row>
    <row r="10123" s="2" customFormat="1" ht="13.5" customHeight="1">
      <c r="B10123" t="s" s="8">
        <v>3780</v>
      </c>
      <c r="C10123" t="s" s="9">
        <v>14</v>
      </c>
      <c r="D10123" t="s" s="8">
        <v>14</v>
      </c>
      <c r="E10123" t="s" s="9">
        <v>14</v>
      </c>
      <c r="F10123" t="s" s="10">
        <v>14</v>
      </c>
      <c r="G10123" t="s" s="11">
        <v>14</v>
      </c>
      <c r="H10123" t="s" s="10">
        <v>14</v>
      </c>
      <c r="I10123" t="s" s="11">
        <v>14</v>
      </c>
      <c r="J10123" t="s" s="11">
        <v>14</v>
      </c>
      <c r="K10123" t="s" s="12">
        <v>14</v>
      </c>
      <c r="L10123" t="s" s="12">
        <v>14</v>
      </c>
      <c r="M10123" t="s" s="10">
        <v>14</v>
      </c>
      <c r="N10123" t="s" s="11">
        <v>14</v>
      </c>
      <c r="O10123" t="s" s="8">
        <v>14</v>
      </c>
      <c r="P10123" t="s" s="8">
        <v>14</v>
      </c>
      <c r="Q10123" t="s" s="12">
        <v>14</v>
      </c>
      <c r="R10123" t="s" s="12">
        <v>14</v>
      </c>
    </row>
    <row r="10124" s="2" customFormat="1" ht="13.5" customHeight="1">
      <c r="B10124" s="13"/>
      <c r="C10124" t="s" s="9">
        <v>16</v>
      </c>
      <c r="D10124" t="s" s="8">
        <v>3780</v>
      </c>
      <c r="E10124" t="s" s="9">
        <v>3780</v>
      </c>
      <c r="F10124" t="s" s="10">
        <v>73</v>
      </c>
      <c r="G10124" t="s" s="11">
        <v>73</v>
      </c>
      <c r="H10124" t="s" s="10">
        <v>73</v>
      </c>
      <c r="I10124" t="s" s="11">
        <v>73</v>
      </c>
      <c r="J10124" t="s" s="11">
        <v>20</v>
      </c>
      <c r="K10124" t="s" s="16">
        <f>HYPERLINK("http://csr.bu.edu/ftp/asl/asllvd/demos/verify_start_end_handshape_annotations//test_auto_move//signs_mov/4066.mov","MOV")</f>
        <v>21</v>
      </c>
      <c r="L10124" t="s" s="16">
        <f>HYPERLINK("http://csr.bu.edu/ftp/asl/asllvd/demos/verify_start_end_handshape_annotations//test_auto_move//signs_mov_separ_signers/Liz_4066.mov","MOV")</f>
        <v>21</v>
      </c>
      <c r="M10124" t="s" s="10">
        <v>77</v>
      </c>
      <c r="N10124" s="17">
        <v>9</v>
      </c>
      <c r="O10124" s="18">
        <v>497</v>
      </c>
      <c r="P10124" s="18">
        <v>565</v>
      </c>
      <c r="Q10124" t="s" s="16">
        <f>HYPERLINK("http://secrets.rutgers.edu:8080/data/asl-ftp/asllvd/demos/verify_start_end_handshape_annotations//test_auto_move//signs_mov/4066.mov","MOV")</f>
        <v>21</v>
      </c>
      <c r="R10124" t="s" s="16">
        <f>HYPERLINK("http://secrets.rutgers.edu:8080/data/asl-ftp/asllvd/demos/verify_start_end_handshape_annotations//test_auto_move//signs_mov_separ_signers/Liz_4066.mov","MOV")</f>
        <v>21</v>
      </c>
    </row>
    <row r="10125" s="2" customFormat="1" ht="13.5" customHeight="1">
      <c r="B10125" s="13"/>
      <c r="C10125" t="s" s="9">
        <v>30</v>
      </c>
      <c r="D10125" t="s" s="8">
        <v>3780</v>
      </c>
      <c r="E10125" t="s" s="9">
        <v>3780</v>
      </c>
      <c r="F10125" t="s" s="10">
        <v>73</v>
      </c>
      <c r="G10125" t="s" s="11">
        <v>73</v>
      </c>
      <c r="H10125" t="s" s="10">
        <v>73</v>
      </c>
      <c r="I10125" t="s" s="11">
        <v>73</v>
      </c>
      <c r="J10125" t="s" s="11">
        <v>20</v>
      </c>
      <c r="K10125" s="15"/>
      <c r="L10125" t="s" s="16">
        <f>HYPERLINK("http://csr.bu.edu/ftp/asl/asllvd/demos/verify_start_end_handshape_annotations//test_auto_move//signs_mov_separ_signers/Brady_4066.mov","MOV")</f>
        <v>21</v>
      </c>
      <c r="M10125" t="s" s="10">
        <v>31</v>
      </c>
      <c r="N10125" s="17">
        <v>21</v>
      </c>
      <c r="O10125" s="18">
        <v>16759</v>
      </c>
      <c r="P10125" s="18">
        <v>16791</v>
      </c>
      <c r="Q10125" s="15"/>
      <c r="R10125" t="s" s="16">
        <f>HYPERLINK("http://secrets.rutgers.edu:8080/data/asl-ftp/asllvd/demos/verify_start_end_handshape_annotations//test_auto_move//signs_mov_separ_signers/Brady_4066.mov","MOV")</f>
        <v>21</v>
      </c>
    </row>
    <row r="10126" s="2" customFormat="1" ht="13.5" customHeight="1">
      <c r="B10126" t="s" s="8">
        <v>3781</v>
      </c>
      <c r="C10126" t="s" s="9">
        <v>14</v>
      </c>
      <c r="D10126" t="s" s="8">
        <v>14</v>
      </c>
      <c r="E10126" t="s" s="9">
        <v>14</v>
      </c>
      <c r="F10126" t="s" s="10">
        <v>14</v>
      </c>
      <c r="G10126" t="s" s="11">
        <v>14</v>
      </c>
      <c r="H10126" t="s" s="10">
        <v>14</v>
      </c>
      <c r="I10126" t="s" s="11">
        <v>14</v>
      </c>
      <c r="J10126" t="s" s="11">
        <v>14</v>
      </c>
      <c r="K10126" t="s" s="12">
        <v>14</v>
      </c>
      <c r="L10126" t="s" s="12">
        <v>14</v>
      </c>
      <c r="M10126" t="s" s="10">
        <v>14</v>
      </c>
      <c r="N10126" t="s" s="11">
        <v>14</v>
      </c>
      <c r="O10126" t="s" s="8">
        <v>14</v>
      </c>
      <c r="P10126" t="s" s="8">
        <v>14</v>
      </c>
      <c r="Q10126" t="s" s="12">
        <v>14</v>
      </c>
      <c r="R10126" t="s" s="12">
        <v>14</v>
      </c>
    </row>
    <row r="10127" s="2" customFormat="1" ht="13.5" customHeight="1">
      <c r="B10127" s="13"/>
      <c r="C10127" t="s" s="9">
        <v>16</v>
      </c>
      <c r="D10127" t="s" s="8">
        <v>3781</v>
      </c>
      <c r="E10127" t="s" s="9">
        <v>3782</v>
      </c>
      <c r="F10127" t="s" s="10">
        <v>68</v>
      </c>
      <c r="G10127" t="s" s="11">
        <v>68</v>
      </c>
      <c r="H10127" t="s" s="10">
        <v>68</v>
      </c>
      <c r="I10127" t="s" s="11">
        <v>68</v>
      </c>
      <c r="J10127" t="s" s="11">
        <v>20</v>
      </c>
      <c r="K10127" t="s" s="16">
        <f>HYPERLINK("http://csr.bu.edu/ftp/asl/asllvd/demos/verify_start_end_handshape_annotations//test_auto_move//signs_mov/4069.mov","MOV")</f>
        <v>21</v>
      </c>
      <c r="L10127" t="s" s="16">
        <f>HYPERLINK("http://csr.bu.edu/ftp/asl/asllvd/demos/verify_start_end_handshape_annotations//test_auto_move//signs_mov_separ_signers/Liz_4069.mov","MOV")</f>
        <v>21</v>
      </c>
      <c r="M10127" t="s" s="10">
        <v>77</v>
      </c>
      <c r="N10127" s="17">
        <v>9</v>
      </c>
      <c r="O10127" s="18">
        <v>832</v>
      </c>
      <c r="P10127" s="18">
        <v>915</v>
      </c>
      <c r="Q10127" t="s" s="16">
        <f>HYPERLINK("http://secrets.rutgers.edu:8080/data/asl-ftp/asllvd/demos/verify_start_end_handshape_annotations//test_auto_move//signs_mov/4069.mov","MOV")</f>
        <v>21</v>
      </c>
      <c r="R10127" t="s" s="16">
        <f>HYPERLINK("http://secrets.rutgers.edu:8080/data/asl-ftp/asllvd/demos/verify_start_end_handshape_annotations//test_auto_move//signs_mov_separ_signers/Liz_4069.mov","MOV")</f>
        <v>21</v>
      </c>
    </row>
    <row r="10128" s="2" customFormat="1" ht="13.5" customHeight="1">
      <c r="B10128" s="13"/>
      <c r="C10128" t="s" s="9">
        <v>30</v>
      </c>
      <c r="D10128" t="s" s="8">
        <v>3781</v>
      </c>
      <c r="E10128" t="s" s="9">
        <v>3782</v>
      </c>
      <c r="F10128" t="s" s="10">
        <v>68</v>
      </c>
      <c r="G10128" t="s" s="11">
        <v>68</v>
      </c>
      <c r="H10128" t="s" s="10">
        <v>68</v>
      </c>
      <c r="I10128" t="s" s="11">
        <v>68</v>
      </c>
      <c r="J10128" t="s" s="11">
        <v>20</v>
      </c>
      <c r="K10128" s="15"/>
      <c r="L10128" t="s" s="16">
        <f>HYPERLINK("http://csr.bu.edu/ftp/asl/asllvd/demos/verify_start_end_handshape_annotations//test_auto_move//signs_mov_separ_signers/Brady_4069.mov","MOV")</f>
        <v>21</v>
      </c>
      <c r="M10128" t="s" s="10">
        <v>40</v>
      </c>
      <c r="N10128" s="17">
        <v>69</v>
      </c>
      <c r="O10128" s="18">
        <v>1189</v>
      </c>
      <c r="P10128" s="18">
        <v>1227</v>
      </c>
      <c r="Q10128" s="15"/>
      <c r="R10128" t="s" s="16">
        <f>HYPERLINK("http://secrets.rutgers.edu:8080/data/asl-ftp/asllvd/demos/verify_start_end_handshape_annotations//test_auto_move//signs_mov_separ_signers/Brady_4069.mov","MOV")</f>
        <v>21</v>
      </c>
    </row>
    <row r="10129" s="2" customFormat="1" ht="13.5" customHeight="1">
      <c r="B10129" t="s" s="8">
        <v>3783</v>
      </c>
      <c r="C10129" t="s" s="9">
        <v>14</v>
      </c>
      <c r="D10129" t="s" s="8">
        <v>14</v>
      </c>
      <c r="E10129" t="s" s="9">
        <v>14</v>
      </c>
      <c r="F10129" t="s" s="10">
        <v>14</v>
      </c>
      <c r="G10129" t="s" s="11">
        <v>14</v>
      </c>
      <c r="H10129" t="s" s="10">
        <v>14</v>
      </c>
      <c r="I10129" t="s" s="11">
        <v>14</v>
      </c>
      <c r="J10129" t="s" s="11">
        <v>14</v>
      </c>
      <c r="K10129" t="s" s="12">
        <v>14</v>
      </c>
      <c r="L10129" t="s" s="12">
        <v>14</v>
      </c>
      <c r="M10129" t="s" s="10">
        <v>14</v>
      </c>
      <c r="N10129" t="s" s="11">
        <v>14</v>
      </c>
      <c r="O10129" t="s" s="8">
        <v>14</v>
      </c>
      <c r="P10129" t="s" s="8">
        <v>14</v>
      </c>
      <c r="Q10129" t="s" s="12">
        <v>14</v>
      </c>
      <c r="R10129" t="s" s="12">
        <v>14</v>
      </c>
    </row>
    <row r="10130" s="2" customFormat="1" ht="13.5" customHeight="1">
      <c r="B10130" s="13"/>
      <c r="C10130" t="s" s="9">
        <v>16</v>
      </c>
      <c r="D10130" t="s" s="8">
        <v>3783</v>
      </c>
      <c r="E10130" t="s" s="9">
        <v>3783</v>
      </c>
      <c r="F10130" t="s" s="10">
        <v>220</v>
      </c>
      <c r="G10130" s="14"/>
      <c r="H10130" t="s" s="10">
        <v>220</v>
      </c>
      <c r="I10130" s="14"/>
      <c r="J10130" t="s" s="11">
        <v>20</v>
      </c>
      <c r="K10130" s="15"/>
      <c r="L10130" t="s" s="16">
        <f>HYPERLINK("http://csr.bu.edu/ftp/asl/asllvd/demos/verify_start_end_handshape_annotations//test_auto_move//signs_mov_separ_signers/Liz_4082.mov","MOV")</f>
        <v>21</v>
      </c>
      <c r="M10130" t="s" s="10">
        <v>34</v>
      </c>
      <c r="N10130" s="17">
        <v>41</v>
      </c>
      <c r="O10130" s="18">
        <v>1605</v>
      </c>
      <c r="P10130" s="18">
        <v>1675</v>
      </c>
      <c r="Q10130" s="15"/>
      <c r="R10130" t="s" s="16">
        <f>HYPERLINK("http://secrets.rutgers.edu:8080/data/asl-ftp/asllvd/demos/verify_start_end_handshape_annotations//test_auto_move//signs_mov_separ_signers/Liz_4082.mov","MOV")</f>
        <v>21</v>
      </c>
    </row>
    <row r="10131" s="2" customFormat="1" ht="13.5" customHeight="1">
      <c r="B10131" s="13"/>
      <c r="C10131" t="s" s="9">
        <v>27</v>
      </c>
      <c r="D10131" t="s" s="8">
        <v>3783</v>
      </c>
      <c r="E10131" t="s" s="9">
        <v>3783</v>
      </c>
      <c r="F10131" t="s" s="10">
        <v>220</v>
      </c>
      <c r="G10131" s="14"/>
      <c r="H10131" t="s" s="10">
        <v>220</v>
      </c>
      <c r="I10131" s="14"/>
      <c r="J10131" t="s" s="11">
        <v>20</v>
      </c>
      <c r="K10131" t="s" s="16">
        <f>HYPERLINK("http://csr.bu.edu/ftp/asl/asllvd/demos/verify_start_end_handshape_annotations//test_auto_move//signs_mov/4082.mov","MOV")</f>
        <v>21</v>
      </c>
      <c r="L10131" t="s" s="16">
        <f>HYPERLINK("http://csr.bu.edu/ftp/asl/asllvd/demos/verify_start_end_handshape_annotations//test_auto_move//signs_mov_separ_signers/Naomi_4082.mov","MOV")</f>
        <v>21</v>
      </c>
      <c r="M10131" t="s" s="10">
        <v>38</v>
      </c>
      <c r="N10131" s="17">
        <v>34</v>
      </c>
      <c r="O10131" s="18">
        <v>2272</v>
      </c>
      <c r="P10131" s="18">
        <v>2300</v>
      </c>
      <c r="Q10131" t="s" s="16">
        <f>HYPERLINK("http://secrets.rutgers.edu:8080/data/asl-ftp/asllvd/demos/verify_start_end_handshape_annotations//test_auto_move//signs_mov/4082.mov","MOV")</f>
        <v>21</v>
      </c>
      <c r="R10131" t="s" s="16">
        <f>HYPERLINK("http://secrets.rutgers.edu:8080/data/asl-ftp/asllvd/demos/verify_start_end_handshape_annotations//test_auto_move//signs_mov_separ_signers/Naomi_4082.mov","MOV")</f>
        <v>21</v>
      </c>
    </row>
    <row r="10132" s="2" customFormat="1" ht="13.5" customHeight="1">
      <c r="B10132" s="13"/>
      <c r="C10132" t="s" s="9">
        <v>30</v>
      </c>
      <c r="D10132" t="s" s="8">
        <v>3783</v>
      </c>
      <c r="E10132" t="s" s="9">
        <v>3783</v>
      </c>
      <c r="F10132" t="s" s="10">
        <v>220</v>
      </c>
      <c r="G10132" s="14"/>
      <c r="H10132" t="s" s="10">
        <v>220</v>
      </c>
      <c r="I10132" s="14"/>
      <c r="J10132" t="s" s="11">
        <v>20</v>
      </c>
      <c r="K10132" s="15"/>
      <c r="L10132" t="s" s="16">
        <f>HYPERLINK("http://csr.bu.edu/ftp/asl/asllvd/demos/verify_start_end_handshape_annotations//test_auto_move//signs_mov_separ_signers/Brady_4082.mov","MOV")</f>
        <v>21</v>
      </c>
      <c r="M10132" t="s" s="10">
        <v>39</v>
      </c>
      <c r="N10132" s="17">
        <v>45</v>
      </c>
      <c r="O10132" s="18">
        <v>789</v>
      </c>
      <c r="P10132" s="18">
        <v>833</v>
      </c>
      <c r="Q10132" s="15"/>
      <c r="R10132" t="s" s="16">
        <f>HYPERLINK("http://secrets.rutgers.edu:8080/data/asl-ftp/asllvd/demos/verify_start_end_handshape_annotations//test_auto_move//signs_mov_separ_signers/Brady_4082.mov","MOV")</f>
        <v>21</v>
      </c>
    </row>
    <row r="10133" s="2" customFormat="1" ht="13.5" customHeight="1">
      <c r="B10133" t="s" s="8">
        <v>52</v>
      </c>
      <c r="C10133" t="s" s="9">
        <v>53</v>
      </c>
      <c r="D10133" t="s" s="8">
        <v>53</v>
      </c>
      <c r="E10133" t="s" s="9">
        <v>53</v>
      </c>
      <c r="F10133" t="s" s="10">
        <v>53</v>
      </c>
      <c r="G10133" t="s" s="11">
        <v>53</v>
      </c>
      <c r="H10133" t="s" s="10">
        <v>53</v>
      </c>
      <c r="I10133" t="s" s="11">
        <v>53</v>
      </c>
      <c r="J10133" t="s" s="11">
        <v>53</v>
      </c>
      <c r="K10133" t="s" s="12">
        <v>53</v>
      </c>
      <c r="L10133" t="s" s="12">
        <v>53</v>
      </c>
      <c r="M10133" t="s" s="10">
        <v>53</v>
      </c>
      <c r="N10133" t="s" s="11">
        <v>53</v>
      </c>
      <c r="O10133" t="s" s="8">
        <v>53</v>
      </c>
      <c r="P10133" t="s" s="8">
        <v>53</v>
      </c>
      <c r="Q10133" t="s" s="12">
        <v>53</v>
      </c>
      <c r="R10133" t="s" s="12">
        <v>53</v>
      </c>
    </row>
    <row r="10134" s="2" customFormat="1" ht="13.5" customHeight="1">
      <c r="B10134" s="13"/>
      <c r="C10134" t="s" s="9">
        <v>16</v>
      </c>
      <c r="D10134" t="s" s="8">
        <v>3783</v>
      </c>
      <c r="E10134" t="s" s="9">
        <v>3784</v>
      </c>
      <c r="F10134" t="s" s="10">
        <v>220</v>
      </c>
      <c r="G10134" t="s" s="11">
        <v>109</v>
      </c>
      <c r="H10134" t="s" s="10">
        <v>220</v>
      </c>
      <c r="I10134" t="s" s="11">
        <v>109</v>
      </c>
      <c r="J10134" t="s" s="11">
        <v>20</v>
      </c>
      <c r="K10134" s="15"/>
      <c r="L10134" t="s" s="16">
        <f>HYPERLINK("http://csr.bu.edu/ftp/asl/asllvd/demos/verify_start_end_handshape_annotations//test_auto_move//signs_mov_separ_signers/Liz_3846.mov","MOV")</f>
        <v>21</v>
      </c>
      <c r="M10134" t="s" s="10">
        <v>77</v>
      </c>
      <c r="N10134" s="17">
        <v>11</v>
      </c>
      <c r="O10134" s="18">
        <v>5216</v>
      </c>
      <c r="P10134" s="18">
        <v>5275</v>
      </c>
      <c r="Q10134" s="15"/>
      <c r="R10134" t="s" s="16">
        <f>HYPERLINK("http://secrets.rutgers.edu:8080/data/asl-ftp/asllvd/demos/verify_start_end_handshape_annotations//test_auto_move//signs_mov_separ_signers/Liz_3846.mov","MOV")</f>
        <v>21</v>
      </c>
    </row>
    <row r="10135" s="2" customFormat="1" ht="13.5" customHeight="1">
      <c r="B10135" s="13"/>
      <c r="C10135" t="s" s="9">
        <v>23</v>
      </c>
      <c r="D10135" t="s" s="8">
        <v>3783</v>
      </c>
      <c r="E10135" t="s" s="9">
        <v>3784</v>
      </c>
      <c r="F10135" t="s" s="10">
        <v>220</v>
      </c>
      <c r="G10135" t="s" s="11">
        <v>73</v>
      </c>
      <c r="H10135" t="s" s="10">
        <v>220</v>
      </c>
      <c r="I10135" t="s" s="11">
        <v>73</v>
      </c>
      <c r="J10135" t="s" s="11">
        <v>20</v>
      </c>
      <c r="K10135" t="s" s="16">
        <f>HYPERLINK("http://csr.bu.edu/ftp/asl/asllvd/demos/verify_start_end_handshape_annotations//test_auto_move//signs_mov/3846.mov","MOV")</f>
        <v>21</v>
      </c>
      <c r="L10135" t="s" s="16">
        <f>HYPERLINK("http://csr.bu.edu/ftp/asl/asllvd/demos/verify_start_end_handshape_annotations//test_auto_move//signs_mov_separ_signers/Tyler_3846.mov","MOV")</f>
        <v>21</v>
      </c>
      <c r="M10135" t="s" s="10">
        <v>37</v>
      </c>
      <c r="N10135" s="17">
        <v>14</v>
      </c>
      <c r="O10135" s="18">
        <v>1395</v>
      </c>
      <c r="P10135" s="18">
        <v>1440</v>
      </c>
      <c r="Q10135" t="s" s="16">
        <f>HYPERLINK("http://secrets.rutgers.edu:8080/data/asl-ftp/asllvd/demos/verify_start_end_handshape_annotations//test_auto_move//signs_mov/3846.mov","MOV")</f>
        <v>21</v>
      </c>
      <c r="R10135" t="s" s="16">
        <f>HYPERLINK("http://secrets.rutgers.edu:8080/data/asl-ftp/asllvd/demos/verify_start_end_handshape_annotations//test_auto_move//signs_mov_separ_signers/Tyler_3846.mov","MOV")</f>
        <v>21</v>
      </c>
    </row>
    <row r="10136" s="2" customFormat="1" ht="13.5" customHeight="1">
      <c r="B10136" s="13"/>
      <c r="C10136" t="s" s="9">
        <v>30</v>
      </c>
      <c r="D10136" t="s" s="8">
        <v>3783</v>
      </c>
      <c r="E10136" t="s" s="9">
        <v>3784</v>
      </c>
      <c r="F10136" t="s" s="10">
        <v>220</v>
      </c>
      <c r="G10136" t="s" s="11">
        <v>73</v>
      </c>
      <c r="H10136" t="s" s="10">
        <v>220</v>
      </c>
      <c r="I10136" t="s" s="11">
        <v>73</v>
      </c>
      <c r="J10136" t="s" s="11">
        <v>20</v>
      </c>
      <c r="K10136" s="15"/>
      <c r="L10136" t="s" s="16">
        <f>HYPERLINK("http://csr.bu.edu/ftp/asl/asllvd/demos/verify_start_end_handshape_annotations//test_auto_move//signs_mov_separ_signers/Brady_3846.mov","MOV")</f>
        <v>21</v>
      </c>
      <c r="M10136" t="s" s="10">
        <v>39</v>
      </c>
      <c r="N10136" s="17">
        <v>45</v>
      </c>
      <c r="O10136" s="18">
        <v>565</v>
      </c>
      <c r="P10136" s="18">
        <v>593</v>
      </c>
      <c r="Q10136" s="15"/>
      <c r="R10136" t="s" s="16">
        <f>HYPERLINK("http://secrets.rutgers.edu:8080/data/asl-ftp/asllvd/demos/verify_start_end_handshape_annotations//test_auto_move//signs_mov_separ_signers/Brady_3846.mov","MOV")</f>
        <v>21</v>
      </c>
    </row>
    <row r="10137" s="2" customFormat="1" ht="13.5" customHeight="1">
      <c r="B10137" t="s" s="8">
        <v>3785</v>
      </c>
      <c r="C10137" t="s" s="9">
        <v>14</v>
      </c>
      <c r="D10137" t="s" s="8">
        <v>14</v>
      </c>
      <c r="E10137" t="s" s="9">
        <v>14</v>
      </c>
      <c r="F10137" t="s" s="10">
        <v>14</v>
      </c>
      <c r="G10137" t="s" s="11">
        <v>14</v>
      </c>
      <c r="H10137" t="s" s="10">
        <v>14</v>
      </c>
      <c r="I10137" t="s" s="11">
        <v>14</v>
      </c>
      <c r="J10137" t="s" s="11">
        <v>14</v>
      </c>
      <c r="K10137" t="s" s="12">
        <v>14</v>
      </c>
      <c r="L10137" t="s" s="12">
        <v>14</v>
      </c>
      <c r="M10137" t="s" s="10">
        <v>14</v>
      </c>
      <c r="N10137" t="s" s="11">
        <v>14</v>
      </c>
      <c r="O10137" t="s" s="8">
        <v>14</v>
      </c>
      <c r="P10137" t="s" s="8">
        <v>14</v>
      </c>
      <c r="Q10137" t="s" s="12">
        <v>14</v>
      </c>
      <c r="R10137" t="s" s="12">
        <v>14</v>
      </c>
    </row>
    <row r="10138" s="2" customFormat="1" ht="13.5" customHeight="1">
      <c r="B10138" s="13"/>
      <c r="C10138" t="s" s="9">
        <v>16</v>
      </c>
      <c r="D10138" t="s" s="8">
        <v>3785</v>
      </c>
      <c r="E10138" t="s" s="9">
        <v>3785</v>
      </c>
      <c r="F10138" s="19">
        <v>25</v>
      </c>
      <c r="G10138" t="s" s="11">
        <v>73</v>
      </c>
      <c r="H10138" s="19">
        <v>25</v>
      </c>
      <c r="I10138" t="s" s="11">
        <v>73</v>
      </c>
      <c r="J10138" t="s" s="11">
        <v>20</v>
      </c>
      <c r="K10138" s="15"/>
      <c r="L10138" t="s" s="16">
        <f>HYPERLINK("http://csr.bu.edu/ftp/asl/asllvd/demos/verify_start_end_handshape_annotations//test_auto_move//signs_mov_separ_signers/Liz_4083.mov","MOV")</f>
        <v>21</v>
      </c>
      <c r="M10138" t="s" s="10">
        <v>36</v>
      </c>
      <c r="N10138" s="17">
        <v>26</v>
      </c>
      <c r="O10138" s="18">
        <v>852</v>
      </c>
      <c r="P10138" s="18">
        <v>876</v>
      </c>
      <c r="Q10138" s="15"/>
      <c r="R10138" t="s" s="16">
        <f>HYPERLINK("http://secrets.rutgers.edu:8080/data/asl-ftp/asllvd/demos/verify_start_end_handshape_annotations//test_auto_move//signs_mov_separ_signers/Liz_4083.mov","MOV")</f>
        <v>21</v>
      </c>
    </row>
    <row r="10139" s="2" customFormat="1" ht="13.5" customHeight="1">
      <c r="B10139" s="13"/>
      <c r="C10139" t="s" s="9">
        <v>16</v>
      </c>
      <c r="D10139" t="s" s="8">
        <v>3785</v>
      </c>
      <c r="E10139" t="s" s="9">
        <v>3785</v>
      </c>
      <c r="F10139" s="19">
        <v>25</v>
      </c>
      <c r="G10139" t="s" s="11">
        <v>73</v>
      </c>
      <c r="H10139" s="19">
        <v>25</v>
      </c>
      <c r="I10139" t="s" s="11">
        <v>73</v>
      </c>
      <c r="J10139" t="s" s="11">
        <v>20</v>
      </c>
      <c r="K10139" t="s" s="16">
        <f>HYPERLINK("http://csr.bu.edu/ftp/asl/asllvd/demos/verify_start_end_handshape_annotations//test_auto_move//signs_mov/3397_4083_merged.mov","MOV")</f>
        <v>21</v>
      </c>
      <c r="L10139" t="s" s="16">
        <f>HYPERLINK("http://csr.bu.edu/ftp/asl/asllvd/demos/verify_start_end_handshape_annotations//test_auto_move//signs_mov_separ_signers/Liz_3397.mov","MOV")</f>
        <v>21</v>
      </c>
      <c r="M10139" t="s" s="10">
        <v>77</v>
      </c>
      <c r="N10139" s="17">
        <v>9</v>
      </c>
      <c r="O10139" s="18">
        <v>2830</v>
      </c>
      <c r="P10139" s="18">
        <v>2880</v>
      </c>
      <c r="Q10139" t="s" s="16">
        <f>HYPERLINK("http://secrets.rutgers.edu:8080/data/asl-ftp/asllvd/demos/verify_start_end_handshape_annotations//test_auto_move//signs_mov/3397_4083_merged.mov","MOV")</f>
        <v>21</v>
      </c>
      <c r="R10139" t="s" s="16">
        <f>HYPERLINK("http://secrets.rutgers.edu:8080/data/asl-ftp/asllvd/demos/verify_start_end_handshape_annotations//test_auto_move//signs_mov_separ_signers/Liz_3397.mov","MOV")</f>
        <v>21</v>
      </c>
    </row>
    <row r="10140" s="2" customFormat="1" ht="13.5" customHeight="1">
      <c r="B10140" s="13"/>
      <c r="C10140" t="s" s="9">
        <v>30</v>
      </c>
      <c r="D10140" t="s" s="8">
        <v>3785</v>
      </c>
      <c r="E10140" t="s" s="9">
        <v>3785</v>
      </c>
      <c r="F10140" s="19">
        <v>25</v>
      </c>
      <c r="G10140" t="s" s="11">
        <v>73</v>
      </c>
      <c r="H10140" s="19">
        <v>25</v>
      </c>
      <c r="I10140" t="s" s="11">
        <v>73</v>
      </c>
      <c r="J10140" t="s" s="11">
        <v>20</v>
      </c>
      <c r="K10140" s="15"/>
      <c r="L10140" t="s" s="16">
        <f>HYPERLINK("http://csr.bu.edu/ftp/asl/asllvd/demos/verify_start_end_handshape_annotations//test_auto_move//signs_mov_separ_signers/Brady_4083.mov","MOV")</f>
        <v>21</v>
      </c>
      <c r="M10140" t="s" s="10">
        <v>40</v>
      </c>
      <c r="N10140" s="17">
        <v>69</v>
      </c>
      <c r="O10140" s="18">
        <v>2187</v>
      </c>
      <c r="P10140" s="18">
        <v>2203</v>
      </c>
      <c r="Q10140" s="15"/>
      <c r="R10140" t="s" s="16">
        <f>HYPERLINK("http://secrets.rutgers.edu:8080/data/asl-ftp/asllvd/demos/verify_start_end_handshape_annotations//test_auto_move//signs_mov_separ_signers/Brady_4083.mov","MOV")</f>
        <v>21</v>
      </c>
    </row>
    <row r="10141" s="2" customFormat="1" ht="13.5" customHeight="1">
      <c r="B10141" s="13"/>
      <c r="C10141" t="s" s="9">
        <v>30</v>
      </c>
      <c r="D10141" t="s" s="8">
        <v>3785</v>
      </c>
      <c r="E10141" t="s" s="9">
        <v>3785</v>
      </c>
      <c r="F10141" s="19">
        <v>25</v>
      </c>
      <c r="G10141" t="s" s="11">
        <v>73</v>
      </c>
      <c r="H10141" s="19">
        <v>25</v>
      </c>
      <c r="I10141" t="s" s="11">
        <v>73</v>
      </c>
      <c r="J10141" t="s" s="11">
        <v>20</v>
      </c>
      <c r="K10141" s="15"/>
      <c r="L10141" t="s" s="16">
        <f>HYPERLINK("http://csr.bu.edu/ftp/asl/asllvd/demos/verify_start_end_handshape_annotations//test_auto_move//signs_mov_separ_signers/Brady_3397.mov","MOV")</f>
        <v>21</v>
      </c>
      <c r="M10141" t="s" s="10">
        <v>40</v>
      </c>
      <c r="N10141" s="17">
        <v>76</v>
      </c>
      <c r="O10141" s="18">
        <v>2263</v>
      </c>
      <c r="P10141" s="18">
        <v>2278</v>
      </c>
      <c r="Q10141" s="15"/>
      <c r="R10141" t="s" s="16">
        <f>HYPERLINK("http://secrets.rutgers.edu:8080/data/asl-ftp/asllvd/demos/verify_start_end_handshape_annotations//test_auto_move//signs_mov_separ_signers/Brady_3397.mov","MOV")</f>
        <v>21</v>
      </c>
    </row>
    <row r="10142" s="2" customFormat="1" ht="13.5" customHeight="1">
      <c r="B10142" t="s" s="8">
        <v>3786</v>
      </c>
      <c r="C10142" t="s" s="9">
        <v>14</v>
      </c>
      <c r="D10142" t="s" s="8">
        <v>14</v>
      </c>
      <c r="E10142" t="s" s="9">
        <v>14</v>
      </c>
      <c r="F10142" t="s" s="10">
        <v>14</v>
      </c>
      <c r="G10142" t="s" s="11">
        <v>14</v>
      </c>
      <c r="H10142" t="s" s="10">
        <v>14</v>
      </c>
      <c r="I10142" t="s" s="11">
        <v>14</v>
      </c>
      <c r="J10142" t="s" s="11">
        <v>14</v>
      </c>
      <c r="K10142" t="s" s="12">
        <v>14</v>
      </c>
      <c r="L10142" t="s" s="12">
        <v>14</v>
      </c>
      <c r="M10142" t="s" s="10">
        <v>14</v>
      </c>
      <c r="N10142" t="s" s="11">
        <v>14</v>
      </c>
      <c r="O10142" t="s" s="8">
        <v>14</v>
      </c>
      <c r="P10142" t="s" s="8">
        <v>14</v>
      </c>
      <c r="Q10142" t="s" s="12">
        <v>14</v>
      </c>
      <c r="R10142" t="s" s="12">
        <v>14</v>
      </c>
    </row>
    <row r="10143" s="2" customFormat="1" ht="13.5" customHeight="1">
      <c r="B10143" s="13"/>
      <c r="C10143" t="s" s="9">
        <v>16</v>
      </c>
      <c r="D10143" t="s" s="8">
        <v>3786</v>
      </c>
      <c r="E10143" t="s" s="9">
        <v>3786</v>
      </c>
      <c r="F10143" t="s" s="10">
        <v>185</v>
      </c>
      <c r="G10143" s="14"/>
      <c r="H10143" t="s" s="10">
        <v>68</v>
      </c>
      <c r="I10143" s="14"/>
      <c r="J10143" t="s" s="11">
        <v>20</v>
      </c>
      <c r="K10143" t="s" s="16">
        <f>HYPERLINK("http://csr.bu.edu/ftp/asl/asllvd/demos/verify_start_end_handshape_annotations//test_auto_move//signs_mov/4089.mov","MOV")</f>
        <v>21</v>
      </c>
      <c r="L10143" t="s" s="16">
        <f>HYPERLINK("http://csr.bu.edu/ftp/asl/asllvd/demos/verify_start_end_handshape_annotations//test_auto_move//signs_mov_separ_signers/Liz_4089.mov","MOV")</f>
        <v>21</v>
      </c>
      <c r="M10143" t="s" s="10">
        <v>77</v>
      </c>
      <c r="N10143" s="17">
        <v>12</v>
      </c>
      <c r="O10143" s="18">
        <v>2350</v>
      </c>
      <c r="P10143" s="18">
        <v>2395</v>
      </c>
      <c r="Q10143" t="s" s="16">
        <f>HYPERLINK("http://secrets.rutgers.edu:8080/data/asl-ftp/asllvd/demos/verify_start_end_handshape_annotations//test_auto_move//signs_mov/4089.mov","MOV")</f>
        <v>21</v>
      </c>
      <c r="R10143" t="s" s="16">
        <f>HYPERLINK("http://secrets.rutgers.edu:8080/data/asl-ftp/asllvd/demos/verify_start_end_handshape_annotations//test_auto_move//signs_mov_separ_signers/Liz_4089.mov","MOV")</f>
        <v>21</v>
      </c>
    </row>
    <row r="10144" s="2" customFormat="1" ht="13.5" customHeight="1">
      <c r="B10144" s="13"/>
      <c r="C10144" t="s" s="9">
        <v>30</v>
      </c>
      <c r="D10144" t="s" s="8">
        <v>3786</v>
      </c>
      <c r="E10144" t="s" s="9">
        <v>3786</v>
      </c>
      <c r="F10144" t="s" s="10">
        <v>185</v>
      </c>
      <c r="G10144" s="14"/>
      <c r="H10144" t="s" s="10">
        <v>68</v>
      </c>
      <c r="I10144" s="14"/>
      <c r="J10144" t="s" s="11">
        <v>20</v>
      </c>
      <c r="K10144" s="15"/>
      <c r="L10144" t="s" s="16">
        <f>HYPERLINK("http://csr.bu.edu/ftp/asl/asllvd/demos/verify_start_end_handshape_annotations//test_auto_move//signs_mov_separ_signers/Brady_4089.mov","MOV")</f>
        <v>21</v>
      </c>
      <c r="M10144" t="s" s="10">
        <v>31</v>
      </c>
      <c r="N10144" s="17">
        <v>29</v>
      </c>
      <c r="O10144" s="18">
        <v>2794</v>
      </c>
      <c r="P10144" s="18">
        <v>2816</v>
      </c>
      <c r="Q10144" s="15"/>
      <c r="R10144" t="s" s="16">
        <f>HYPERLINK("http://secrets.rutgers.edu:8080/data/asl-ftp/asllvd/demos/verify_start_end_handshape_annotations//test_auto_move//signs_mov_separ_signers/Brady_4089.mov","MOV")</f>
        <v>21</v>
      </c>
    </row>
    <row r="10145" s="2" customFormat="1" ht="13.5" customHeight="1">
      <c r="B10145" t="s" s="8">
        <v>3787</v>
      </c>
      <c r="C10145" t="s" s="9">
        <v>14</v>
      </c>
      <c r="D10145" t="s" s="8">
        <v>14</v>
      </c>
      <c r="E10145" t="s" s="9">
        <v>14</v>
      </c>
      <c r="F10145" t="s" s="10">
        <v>14</v>
      </c>
      <c r="G10145" t="s" s="11">
        <v>14</v>
      </c>
      <c r="H10145" t="s" s="10">
        <v>14</v>
      </c>
      <c r="I10145" t="s" s="11">
        <v>14</v>
      </c>
      <c r="J10145" t="s" s="11">
        <v>14</v>
      </c>
      <c r="K10145" t="s" s="12">
        <v>14</v>
      </c>
      <c r="L10145" t="s" s="12">
        <v>14</v>
      </c>
      <c r="M10145" t="s" s="10">
        <v>14</v>
      </c>
      <c r="N10145" t="s" s="11">
        <v>14</v>
      </c>
      <c r="O10145" t="s" s="8">
        <v>14</v>
      </c>
      <c r="P10145" t="s" s="8">
        <v>14</v>
      </c>
      <c r="Q10145" t="s" s="12">
        <v>14</v>
      </c>
      <c r="R10145" t="s" s="12">
        <v>14</v>
      </c>
    </row>
    <row r="10146" s="2" customFormat="1" ht="13.5" customHeight="1">
      <c r="B10146" s="13"/>
      <c r="C10146" t="s" s="9">
        <v>16</v>
      </c>
      <c r="D10146" t="s" s="8">
        <v>3787</v>
      </c>
      <c r="E10146" t="s" s="9">
        <v>3787</v>
      </c>
      <c r="F10146" s="19">
        <v>4</v>
      </c>
      <c r="G10146" s="14"/>
      <c r="H10146" s="19">
        <v>4</v>
      </c>
      <c r="I10146" s="14"/>
      <c r="J10146" t="s" s="11">
        <v>20</v>
      </c>
      <c r="K10146" t="s" s="16">
        <f>HYPERLINK("http://csr.bu.edu/ftp/asl/asllvd/demos/verify_start_end_handshape_annotations//test_auto_move//signs_mov/4094.mov","MOV")</f>
        <v>21</v>
      </c>
      <c r="L10146" t="s" s="16">
        <f>HYPERLINK("http://csr.bu.edu/ftp/asl/asllvd/demos/verify_start_end_handshape_annotations//test_auto_move//signs_mov_separ_signers/Liz_4094.mov","MOV")</f>
        <v>21</v>
      </c>
      <c r="M10146" t="s" s="10">
        <v>77</v>
      </c>
      <c r="N10146" s="17">
        <v>12</v>
      </c>
      <c r="O10146" s="18">
        <v>2550</v>
      </c>
      <c r="P10146" s="18">
        <v>2616</v>
      </c>
      <c r="Q10146" t="s" s="16">
        <f>HYPERLINK("http://secrets.rutgers.edu:8080/data/asl-ftp/asllvd/demos/verify_start_end_handshape_annotations//test_auto_move//signs_mov/4094.mov","MOV")</f>
        <v>21</v>
      </c>
      <c r="R10146" t="s" s="16">
        <f>HYPERLINK("http://secrets.rutgers.edu:8080/data/asl-ftp/asllvd/demos/verify_start_end_handshape_annotations//test_auto_move//signs_mov_separ_signers/Liz_4094.mov","MOV")</f>
        <v>21</v>
      </c>
    </row>
    <row r="10147" s="2" customFormat="1" ht="13.5" customHeight="1">
      <c r="B10147" t="s" s="8">
        <v>52</v>
      </c>
      <c r="C10147" t="s" s="9">
        <v>53</v>
      </c>
      <c r="D10147" t="s" s="8">
        <v>53</v>
      </c>
      <c r="E10147" t="s" s="9">
        <v>53</v>
      </c>
      <c r="F10147" t="s" s="10">
        <v>53</v>
      </c>
      <c r="G10147" t="s" s="11">
        <v>53</v>
      </c>
      <c r="H10147" t="s" s="10">
        <v>53</v>
      </c>
      <c r="I10147" t="s" s="11">
        <v>53</v>
      </c>
      <c r="J10147" t="s" s="11">
        <v>53</v>
      </c>
      <c r="K10147" t="s" s="12">
        <v>53</v>
      </c>
      <c r="L10147" t="s" s="12">
        <v>53</v>
      </c>
      <c r="M10147" t="s" s="10">
        <v>53</v>
      </c>
      <c r="N10147" t="s" s="11">
        <v>53</v>
      </c>
      <c r="O10147" t="s" s="8">
        <v>53</v>
      </c>
      <c r="P10147" t="s" s="8">
        <v>53</v>
      </c>
      <c r="Q10147" t="s" s="12">
        <v>53</v>
      </c>
      <c r="R10147" t="s" s="12">
        <v>53</v>
      </c>
    </row>
    <row r="10148" s="2" customFormat="1" ht="13.5" customHeight="1">
      <c r="B10148" s="13"/>
      <c r="C10148" t="s" s="9">
        <v>30</v>
      </c>
      <c r="D10148" t="s" s="8">
        <v>3787</v>
      </c>
      <c r="E10148" t="s" s="9">
        <v>3788</v>
      </c>
      <c r="F10148" s="19">
        <v>4</v>
      </c>
      <c r="G10148" s="14"/>
      <c r="H10148" s="19">
        <v>4</v>
      </c>
      <c r="I10148" s="14"/>
      <c r="J10148" t="s" s="11">
        <v>20</v>
      </c>
      <c r="K10148" t="s" s="16">
        <f>HYPERLINK("http://csr.bu.edu/ftp/asl/asllvd/demos/verify_start_end_handshape_annotations//test_auto_move//signs_mov/15314.mov","MOV")</f>
        <v>21</v>
      </c>
      <c r="L10148" t="s" s="16">
        <f>HYPERLINK("http://csr.bu.edu/ftp/asl/asllvd/demos/verify_start_end_handshape_annotations//test_auto_move//signs_mov_separ_signers/Brady_15314.mov","MOV")</f>
        <v>21</v>
      </c>
      <c r="M10148" t="s" s="10">
        <v>39</v>
      </c>
      <c r="N10148" s="17">
        <v>7</v>
      </c>
      <c r="O10148" s="18">
        <v>4743</v>
      </c>
      <c r="P10148" s="18">
        <v>4771</v>
      </c>
      <c r="Q10148" t="s" s="16">
        <f>HYPERLINK("http://secrets.rutgers.edu:8080/data/asl-ftp/asllvd/demos/verify_start_end_handshape_annotations//test_auto_move//signs_mov/15314.mov","MOV")</f>
        <v>21</v>
      </c>
      <c r="R10148" t="s" s="16">
        <f>HYPERLINK("http://secrets.rutgers.edu:8080/data/asl-ftp/asllvd/demos/verify_start_end_handshape_annotations//test_auto_move//signs_mov_separ_signers/Brady_15314.mov","MOV")</f>
        <v>21</v>
      </c>
    </row>
    <row r="10149" s="2" customFormat="1" ht="13.5" customHeight="1">
      <c r="B10149" t="s" s="8">
        <v>3789</v>
      </c>
      <c r="C10149" t="s" s="9">
        <v>14</v>
      </c>
      <c r="D10149" t="s" s="8">
        <v>14</v>
      </c>
      <c r="E10149" t="s" s="9">
        <v>14</v>
      </c>
      <c r="F10149" t="s" s="10">
        <v>14</v>
      </c>
      <c r="G10149" t="s" s="11">
        <v>14</v>
      </c>
      <c r="H10149" t="s" s="10">
        <v>14</v>
      </c>
      <c r="I10149" t="s" s="11">
        <v>14</v>
      </c>
      <c r="J10149" t="s" s="11">
        <v>14</v>
      </c>
      <c r="K10149" t="s" s="12">
        <v>14</v>
      </c>
      <c r="L10149" t="s" s="12">
        <v>14</v>
      </c>
      <c r="M10149" t="s" s="10">
        <v>14</v>
      </c>
      <c r="N10149" t="s" s="11">
        <v>14</v>
      </c>
      <c r="O10149" t="s" s="8">
        <v>14</v>
      </c>
      <c r="P10149" t="s" s="8">
        <v>14</v>
      </c>
      <c r="Q10149" t="s" s="12">
        <v>14</v>
      </c>
      <c r="R10149" t="s" s="12">
        <v>14</v>
      </c>
    </row>
    <row r="10150" s="2" customFormat="1" ht="13.5" customHeight="1">
      <c r="B10150" s="13"/>
      <c r="C10150" t="s" s="9">
        <v>16</v>
      </c>
      <c r="D10150" t="s" s="8">
        <v>3789</v>
      </c>
      <c r="E10150" t="s" s="9">
        <v>3790</v>
      </c>
      <c r="F10150" s="19">
        <v>4</v>
      </c>
      <c r="G10150" s="14"/>
      <c r="H10150" s="19">
        <v>4</v>
      </c>
      <c r="I10150" s="14"/>
      <c r="J10150" t="s" s="11">
        <v>20</v>
      </c>
      <c r="K10150" t="s" s="16">
        <f>HYPERLINK("http://csr.bu.edu/ftp/asl/asllvd/demos/verify_start_end_handshape_annotations//test_auto_move//signs_mov/16351.mov","MOV")</f>
        <v>21</v>
      </c>
      <c r="L10150" t="s" s="16">
        <f>HYPERLINK("http://csr.bu.edu/ftp/asl/asllvd/demos/verify_start_end_handshape_annotations//test_auto_move//signs_mov_separ_signers/Liz_16351.mov","MOV")</f>
        <v>21</v>
      </c>
      <c r="M10150" t="s" s="10">
        <v>36</v>
      </c>
      <c r="N10150" s="17">
        <v>20</v>
      </c>
      <c r="O10150" s="18">
        <v>1317</v>
      </c>
      <c r="P10150" s="18">
        <v>1371</v>
      </c>
      <c r="Q10150" t="s" s="16">
        <f>HYPERLINK("http://secrets.rutgers.edu:8080/data/asl-ftp/asllvd/demos/verify_start_end_handshape_annotations//test_auto_move//signs_mov/16351.mov","MOV")</f>
        <v>21</v>
      </c>
      <c r="R10150" t="s" s="16">
        <f>HYPERLINK("http://secrets.rutgers.edu:8080/data/asl-ftp/asllvd/demos/verify_start_end_handshape_annotations//test_auto_move//signs_mov_separ_signers/Liz_16351.mov","MOV")</f>
        <v>21</v>
      </c>
    </row>
    <row r="10151" s="2" customFormat="1" ht="13.5" customHeight="1">
      <c r="B10151" s="13"/>
      <c r="C10151" t="s" s="9">
        <v>30</v>
      </c>
      <c r="D10151" t="s" s="8">
        <v>3789</v>
      </c>
      <c r="E10151" t="s" s="9">
        <v>3790</v>
      </c>
      <c r="F10151" s="19">
        <v>4</v>
      </c>
      <c r="G10151" s="14"/>
      <c r="H10151" s="19">
        <v>4</v>
      </c>
      <c r="I10151" s="14"/>
      <c r="J10151" t="s" s="11">
        <v>20</v>
      </c>
      <c r="K10151" s="15"/>
      <c r="L10151" t="s" s="16">
        <f>HYPERLINK("http://csr.bu.edu/ftp/asl/asllvd/demos/verify_start_end_handshape_annotations//test_auto_move//signs_mov_separ_signers/Brady_16351.mov","MOV")</f>
        <v>21</v>
      </c>
      <c r="M10151" t="s" s="10">
        <v>40</v>
      </c>
      <c r="N10151" s="17">
        <v>70</v>
      </c>
      <c r="O10151" s="18">
        <v>2580</v>
      </c>
      <c r="P10151" s="18">
        <v>2638</v>
      </c>
      <c r="Q10151" s="15"/>
      <c r="R10151" t="s" s="16">
        <f>HYPERLINK("http://secrets.rutgers.edu:8080/data/asl-ftp/asllvd/demos/verify_start_end_handshape_annotations//test_auto_move//signs_mov_separ_signers/Brady_16351.mov","MOV")</f>
        <v>21</v>
      </c>
    </row>
    <row r="10152" s="2" customFormat="1" ht="13.5" customHeight="1">
      <c r="B10152" t="s" s="8">
        <v>3791</v>
      </c>
      <c r="C10152" t="s" s="9">
        <v>14</v>
      </c>
      <c r="D10152" t="s" s="8">
        <v>14</v>
      </c>
      <c r="E10152" t="s" s="9">
        <v>14</v>
      </c>
      <c r="F10152" t="s" s="10">
        <v>14</v>
      </c>
      <c r="G10152" t="s" s="11">
        <v>14</v>
      </c>
      <c r="H10152" t="s" s="10">
        <v>14</v>
      </c>
      <c r="I10152" t="s" s="11">
        <v>14</v>
      </c>
      <c r="J10152" t="s" s="11">
        <v>14</v>
      </c>
      <c r="K10152" t="s" s="12">
        <v>14</v>
      </c>
      <c r="L10152" t="s" s="12">
        <v>14</v>
      </c>
      <c r="M10152" t="s" s="10">
        <v>14</v>
      </c>
      <c r="N10152" t="s" s="11">
        <v>14</v>
      </c>
      <c r="O10152" t="s" s="8">
        <v>14</v>
      </c>
      <c r="P10152" t="s" s="8">
        <v>14</v>
      </c>
      <c r="Q10152" t="s" s="12">
        <v>14</v>
      </c>
      <c r="R10152" t="s" s="12">
        <v>14</v>
      </c>
    </row>
    <row r="10153" s="2" customFormat="1" ht="13.5" customHeight="1">
      <c r="B10153" s="13"/>
      <c r="C10153" t="s" s="9">
        <v>23</v>
      </c>
      <c r="D10153" t="s" s="8">
        <v>3791</v>
      </c>
      <c r="E10153" t="s" s="9">
        <v>3791</v>
      </c>
      <c r="F10153" t="s" s="10">
        <v>277</v>
      </c>
      <c r="G10153" t="s" s="11">
        <v>277</v>
      </c>
      <c r="H10153" s="19">
        <v>25</v>
      </c>
      <c r="I10153" s="17">
        <v>25</v>
      </c>
      <c r="J10153" t="s" s="11">
        <v>20</v>
      </c>
      <c r="K10153" t="s" s="16">
        <f>HYPERLINK("http://csr.bu.edu/ftp/asl/asllvd/demos/verify_start_end_handshape_annotations//test_auto_move//signs_mov/4095.mov","MOV")</f>
        <v>21</v>
      </c>
      <c r="L10153" t="s" s="16">
        <f>HYPERLINK("http://csr.bu.edu/ftp/asl/asllvd/demos/verify_start_end_handshape_annotations//test_auto_move//signs_mov_separ_signers/Tyler_4095.mov","MOV")</f>
        <v>21</v>
      </c>
      <c r="M10153" t="s" s="10">
        <v>125</v>
      </c>
      <c r="N10153" s="17">
        <v>5</v>
      </c>
      <c r="O10153" s="18">
        <v>2991</v>
      </c>
      <c r="P10153" s="18">
        <v>3039</v>
      </c>
      <c r="Q10153" t="s" s="16">
        <f>HYPERLINK("http://secrets.rutgers.edu:8080/data/asl-ftp/asllvd/demos/verify_start_end_handshape_annotations//test_auto_move//signs_mov/4095.mov","MOV")</f>
        <v>21</v>
      </c>
      <c r="R10153" t="s" s="16">
        <f>HYPERLINK("http://secrets.rutgers.edu:8080/data/asl-ftp/asllvd/demos/verify_start_end_handshape_annotations//test_auto_move//signs_mov_separ_signers/Tyler_4095.mov","MOV")</f>
        <v>21</v>
      </c>
    </row>
    <row r="10154" s="2" customFormat="1" ht="13.5" customHeight="1">
      <c r="B10154" t="s" s="8">
        <v>52</v>
      </c>
      <c r="C10154" t="s" s="9">
        <v>53</v>
      </c>
      <c r="D10154" t="s" s="8">
        <v>53</v>
      </c>
      <c r="E10154" t="s" s="9">
        <v>53</v>
      </c>
      <c r="F10154" t="s" s="10">
        <v>53</v>
      </c>
      <c r="G10154" t="s" s="11">
        <v>53</v>
      </c>
      <c r="H10154" t="s" s="10">
        <v>53</v>
      </c>
      <c r="I10154" t="s" s="11">
        <v>53</v>
      </c>
      <c r="J10154" t="s" s="11">
        <v>53</v>
      </c>
      <c r="K10154" t="s" s="12">
        <v>53</v>
      </c>
      <c r="L10154" t="s" s="12">
        <v>53</v>
      </c>
      <c r="M10154" t="s" s="10">
        <v>53</v>
      </c>
      <c r="N10154" t="s" s="11">
        <v>53</v>
      </c>
      <c r="O10154" t="s" s="8">
        <v>53</v>
      </c>
      <c r="P10154" t="s" s="8">
        <v>53</v>
      </c>
      <c r="Q10154" t="s" s="12">
        <v>53</v>
      </c>
      <c r="R10154" t="s" s="12">
        <v>53</v>
      </c>
    </row>
    <row r="10155" s="2" customFormat="1" ht="13.5" customHeight="1">
      <c r="B10155" s="13"/>
      <c r="C10155" t="s" s="9">
        <v>16</v>
      </c>
      <c r="D10155" t="s" s="8">
        <v>3791</v>
      </c>
      <c r="E10155" t="s" s="9">
        <v>3792</v>
      </c>
      <c r="F10155" t="s" s="10">
        <v>593</v>
      </c>
      <c r="G10155" t="s" s="11">
        <v>593</v>
      </c>
      <c r="H10155" t="s" s="10">
        <v>437</v>
      </c>
      <c r="I10155" t="s" s="11">
        <v>437</v>
      </c>
      <c r="J10155" t="s" s="11">
        <v>20</v>
      </c>
      <c r="K10155" t="s" s="16">
        <f>HYPERLINK("http://csr.bu.edu/ftp/asl/asllvd/demos/verify_start_end_handshape_annotations//test_auto_move//signs_mov/16020.mov","MOV")</f>
        <v>21</v>
      </c>
      <c r="L10155" t="s" s="16">
        <f>HYPERLINK("http://csr.bu.edu/ftp/asl/asllvd/demos/verify_start_end_handshape_annotations//test_auto_move//signs_mov_separ_signers/Liz_16020.mov","MOV")</f>
        <v>21</v>
      </c>
      <c r="M10155" t="s" s="10">
        <v>77</v>
      </c>
      <c r="N10155" s="17">
        <v>12</v>
      </c>
      <c r="O10155" s="18">
        <v>2890</v>
      </c>
      <c r="P10155" s="18">
        <v>2913</v>
      </c>
      <c r="Q10155" t="s" s="16">
        <f>HYPERLINK("http://secrets.rutgers.edu:8080/data/asl-ftp/asllvd/demos/verify_start_end_handshape_annotations//test_auto_move//signs_mov/16020.mov","MOV")</f>
        <v>21</v>
      </c>
      <c r="R10155" t="s" s="16">
        <f>HYPERLINK("http://secrets.rutgers.edu:8080/data/asl-ftp/asllvd/demos/verify_start_end_handshape_annotations//test_auto_move//signs_mov_separ_signers/Liz_16020.mov","MOV")</f>
        <v>21</v>
      </c>
    </row>
    <row r="10156" s="2" customFormat="1" ht="13.5" customHeight="1">
      <c r="B10156" s="13"/>
      <c r="C10156" t="s" s="9">
        <v>30</v>
      </c>
      <c r="D10156" t="s" s="8">
        <v>3791</v>
      </c>
      <c r="E10156" t="s" s="9">
        <v>3793</v>
      </c>
      <c r="F10156" t="s" s="10">
        <v>593</v>
      </c>
      <c r="G10156" t="s" s="11">
        <v>593</v>
      </c>
      <c r="H10156" s="19">
        <v>5</v>
      </c>
      <c r="I10156" s="17">
        <v>5</v>
      </c>
      <c r="J10156" t="s" s="11">
        <v>20</v>
      </c>
      <c r="K10156" s="15"/>
      <c r="L10156" t="s" s="16">
        <f>HYPERLINK("http://csr.bu.edu/ftp/asl/asllvd/demos/verify_start_end_handshape_annotations//test_auto_move//signs_mov_separ_signers/Brady_16020.mov","MOV")</f>
        <v>21</v>
      </c>
      <c r="M10156" t="s" s="10">
        <v>39</v>
      </c>
      <c r="N10156" s="17">
        <v>17</v>
      </c>
      <c r="O10156" s="18">
        <v>2592</v>
      </c>
      <c r="P10156" s="18">
        <v>2613</v>
      </c>
      <c r="Q10156" s="15"/>
      <c r="R10156" t="s" s="16">
        <f>HYPERLINK("http://secrets.rutgers.edu:8080/data/asl-ftp/asllvd/demos/verify_start_end_handshape_annotations//test_auto_move//signs_mov_separ_signers/Brady_16020.mov","MOV")</f>
        <v>21</v>
      </c>
    </row>
    <row r="10157" s="2" customFormat="1" ht="13.5" customHeight="1">
      <c r="B10157" t="s" s="8">
        <v>3794</v>
      </c>
      <c r="C10157" t="s" s="9">
        <v>14</v>
      </c>
      <c r="D10157" t="s" s="8">
        <v>14</v>
      </c>
      <c r="E10157" t="s" s="9">
        <v>14</v>
      </c>
      <c r="F10157" t="s" s="10">
        <v>14</v>
      </c>
      <c r="G10157" t="s" s="11">
        <v>14</v>
      </c>
      <c r="H10157" t="s" s="10">
        <v>14</v>
      </c>
      <c r="I10157" t="s" s="11">
        <v>14</v>
      </c>
      <c r="J10157" t="s" s="11">
        <v>14</v>
      </c>
      <c r="K10157" t="s" s="12">
        <v>14</v>
      </c>
      <c r="L10157" t="s" s="12">
        <v>14</v>
      </c>
      <c r="M10157" t="s" s="10">
        <v>14</v>
      </c>
      <c r="N10157" t="s" s="11">
        <v>14</v>
      </c>
      <c r="O10157" t="s" s="8">
        <v>14</v>
      </c>
      <c r="P10157" t="s" s="8">
        <v>14</v>
      </c>
      <c r="Q10157" t="s" s="12">
        <v>14</v>
      </c>
      <c r="R10157" t="s" s="12">
        <v>14</v>
      </c>
    </row>
    <row r="10158" s="2" customFormat="1" ht="13.5" customHeight="1">
      <c r="B10158" s="13"/>
      <c r="C10158" t="s" s="9">
        <v>16</v>
      </c>
      <c r="D10158" t="s" s="8">
        <v>3794</v>
      </c>
      <c r="E10158" t="s" s="9">
        <v>3795</v>
      </c>
      <c r="F10158" t="s" s="10">
        <v>63</v>
      </c>
      <c r="G10158" t="s" s="11">
        <v>63</v>
      </c>
      <c r="H10158" t="s" s="10">
        <v>63</v>
      </c>
      <c r="I10158" t="s" s="11">
        <v>63</v>
      </c>
      <c r="J10158" t="s" s="11">
        <v>20</v>
      </c>
      <c r="K10158" t="s" s="16">
        <f>HYPERLINK("http://csr.bu.edu/ftp/asl/asllvd/demos/verify_start_end_handshape_annotations//test_auto_move//signs_mov/4096.mov","MOV")</f>
        <v>21</v>
      </c>
      <c r="L10158" t="s" s="16">
        <f>HYPERLINK("http://csr.bu.edu/ftp/asl/asllvd/demos/verify_start_end_handshape_annotations//test_auto_move//signs_mov_separ_signers/Liz_4096.mov","MOV")</f>
        <v>21</v>
      </c>
      <c r="M10158" t="s" s="10">
        <v>77</v>
      </c>
      <c r="N10158" s="17">
        <v>12</v>
      </c>
      <c r="O10158" s="18">
        <v>155</v>
      </c>
      <c r="P10158" s="18">
        <v>207</v>
      </c>
      <c r="Q10158" t="s" s="16">
        <f>HYPERLINK("http://secrets.rutgers.edu:8080/data/asl-ftp/asllvd/demos/verify_start_end_handshape_annotations//test_auto_move//signs_mov/4096.mov","MOV")</f>
        <v>21</v>
      </c>
      <c r="R10158" t="s" s="16">
        <f>HYPERLINK("http://secrets.rutgers.edu:8080/data/asl-ftp/asllvd/demos/verify_start_end_handshape_annotations//test_auto_move//signs_mov_separ_signers/Liz_4096.mov","MOV")</f>
        <v>21</v>
      </c>
    </row>
    <row r="10159" s="2" customFormat="1" ht="13.5" customHeight="1">
      <c r="B10159" s="13"/>
      <c r="C10159" t="s" s="9">
        <v>30</v>
      </c>
      <c r="D10159" t="s" s="8">
        <v>3794</v>
      </c>
      <c r="E10159" t="s" s="9">
        <v>3795</v>
      </c>
      <c r="F10159" t="s" s="10">
        <v>63</v>
      </c>
      <c r="G10159" t="s" s="11">
        <v>63</v>
      </c>
      <c r="H10159" t="s" s="10">
        <v>63</v>
      </c>
      <c r="I10159" t="s" s="11">
        <v>63</v>
      </c>
      <c r="J10159" t="s" s="11">
        <v>20</v>
      </c>
      <c r="K10159" s="15"/>
      <c r="L10159" t="s" s="16">
        <f>HYPERLINK("http://csr.bu.edu/ftp/asl/asllvd/demos/verify_start_end_handshape_annotations//test_auto_move//signs_mov_separ_signers/Brady_4096.mov","MOV")</f>
        <v>21</v>
      </c>
      <c r="M10159" t="s" s="10">
        <v>39</v>
      </c>
      <c r="N10159" s="17">
        <v>28</v>
      </c>
      <c r="O10159" s="18">
        <v>567</v>
      </c>
      <c r="P10159" s="18">
        <v>594</v>
      </c>
      <c r="Q10159" s="15"/>
      <c r="R10159" t="s" s="16">
        <f>HYPERLINK("http://secrets.rutgers.edu:8080/data/asl-ftp/asllvd/demos/verify_start_end_handshape_annotations//test_auto_move//signs_mov_separ_signers/Brady_4096.mov","MOV")</f>
        <v>21</v>
      </c>
    </row>
    <row r="10160" s="2" customFormat="1" ht="13.5" customHeight="1">
      <c r="B10160" t="s" s="8">
        <v>3796</v>
      </c>
      <c r="C10160" t="s" s="9">
        <v>14</v>
      </c>
      <c r="D10160" t="s" s="8">
        <v>14</v>
      </c>
      <c r="E10160" t="s" s="9">
        <v>14</v>
      </c>
      <c r="F10160" t="s" s="10">
        <v>14</v>
      </c>
      <c r="G10160" t="s" s="11">
        <v>14</v>
      </c>
      <c r="H10160" t="s" s="10">
        <v>14</v>
      </c>
      <c r="I10160" t="s" s="11">
        <v>14</v>
      </c>
      <c r="J10160" t="s" s="11">
        <v>14</v>
      </c>
      <c r="K10160" t="s" s="12">
        <v>14</v>
      </c>
      <c r="L10160" t="s" s="12">
        <v>14</v>
      </c>
      <c r="M10160" t="s" s="10">
        <v>14</v>
      </c>
      <c r="N10160" t="s" s="11">
        <v>14</v>
      </c>
      <c r="O10160" t="s" s="8">
        <v>14</v>
      </c>
      <c r="P10160" t="s" s="8">
        <v>14</v>
      </c>
      <c r="Q10160" t="s" s="12">
        <v>14</v>
      </c>
      <c r="R10160" t="s" s="12">
        <v>14</v>
      </c>
    </row>
    <row r="10161" s="2" customFormat="1" ht="13.5" customHeight="1">
      <c r="B10161" s="13"/>
      <c r="C10161" t="s" s="9">
        <v>16</v>
      </c>
      <c r="D10161" t="s" s="8">
        <v>3796</v>
      </c>
      <c r="E10161" t="s" s="9">
        <v>3796</v>
      </c>
      <c r="F10161" t="s" s="10">
        <v>185</v>
      </c>
      <c r="G10161" t="s" s="11">
        <v>73</v>
      </c>
      <c r="H10161" t="s" s="10">
        <v>185</v>
      </c>
      <c r="I10161" t="s" s="11">
        <v>73</v>
      </c>
      <c r="J10161" t="s" s="11">
        <v>20</v>
      </c>
      <c r="K10161" t="s" s="16">
        <f>HYPERLINK("http://csr.bu.edu/ftp/asl/asllvd/demos/verify_start_end_handshape_annotations//test_auto_move//signs_mov/4124.mov","MOV")</f>
        <v>21</v>
      </c>
      <c r="L10161" t="s" s="16">
        <f>HYPERLINK("http://csr.bu.edu/ftp/asl/asllvd/demos/verify_start_end_handshape_annotations//test_auto_move//signs_mov_separ_signers/Liz_4124.mov","MOV")</f>
        <v>21</v>
      </c>
      <c r="M10161" t="s" s="10">
        <v>77</v>
      </c>
      <c r="N10161" s="17">
        <v>15</v>
      </c>
      <c r="O10161" s="18">
        <v>2055</v>
      </c>
      <c r="P10161" s="18">
        <v>2095</v>
      </c>
      <c r="Q10161" t="s" s="16">
        <f>HYPERLINK("http://secrets.rutgers.edu:8080/data/asl-ftp/asllvd/demos/verify_start_end_handshape_annotations//test_auto_move//signs_mov/4124.mov","MOV")</f>
        <v>21</v>
      </c>
      <c r="R10161" t="s" s="16">
        <f>HYPERLINK("http://secrets.rutgers.edu:8080/data/asl-ftp/asllvd/demos/verify_start_end_handshape_annotations//test_auto_move//signs_mov_separ_signers/Liz_4124.mov","MOV")</f>
        <v>21</v>
      </c>
    </row>
    <row r="10162" s="2" customFormat="1" ht="13.5" customHeight="1">
      <c r="B10162" s="13"/>
      <c r="C10162" t="s" s="9">
        <v>30</v>
      </c>
      <c r="D10162" t="s" s="8">
        <v>3796</v>
      </c>
      <c r="E10162" t="s" s="9">
        <v>3796</v>
      </c>
      <c r="F10162" t="s" s="10">
        <v>185</v>
      </c>
      <c r="G10162" t="s" s="11">
        <v>73</v>
      </c>
      <c r="H10162" t="s" s="10">
        <v>185</v>
      </c>
      <c r="I10162" t="s" s="11">
        <v>73</v>
      </c>
      <c r="J10162" t="s" s="11">
        <v>20</v>
      </c>
      <c r="K10162" s="15"/>
      <c r="L10162" t="s" s="16">
        <f>HYPERLINK("http://csr.bu.edu/ftp/asl/asllvd/demos/verify_start_end_handshape_annotations//test_auto_move//signs_mov_separ_signers/Brady_4124.mov","MOV")</f>
        <v>21</v>
      </c>
      <c r="M10162" t="s" s="10">
        <v>40</v>
      </c>
      <c r="N10162" s="17">
        <v>27</v>
      </c>
      <c r="O10162" s="18">
        <v>2720</v>
      </c>
      <c r="P10162" s="18">
        <v>2742</v>
      </c>
      <c r="Q10162" s="15"/>
      <c r="R10162" t="s" s="16">
        <f>HYPERLINK("http://secrets.rutgers.edu:8080/data/asl-ftp/asllvd/demos/verify_start_end_handshape_annotations//test_auto_move//signs_mov_separ_signers/Brady_4124.mov","MOV")</f>
        <v>21</v>
      </c>
    </row>
    <row r="10163" s="2" customFormat="1" ht="13.5" customHeight="1">
      <c r="B10163" t="s" s="8">
        <v>3797</v>
      </c>
      <c r="C10163" t="s" s="9">
        <v>14</v>
      </c>
      <c r="D10163" t="s" s="8">
        <v>14</v>
      </c>
      <c r="E10163" t="s" s="9">
        <v>14</v>
      </c>
      <c r="F10163" t="s" s="10">
        <v>14</v>
      </c>
      <c r="G10163" t="s" s="11">
        <v>14</v>
      </c>
      <c r="H10163" t="s" s="10">
        <v>14</v>
      </c>
      <c r="I10163" t="s" s="11">
        <v>14</v>
      </c>
      <c r="J10163" t="s" s="11">
        <v>14</v>
      </c>
      <c r="K10163" t="s" s="12">
        <v>14</v>
      </c>
      <c r="L10163" t="s" s="12">
        <v>14</v>
      </c>
      <c r="M10163" t="s" s="10">
        <v>14</v>
      </c>
      <c r="N10163" t="s" s="11">
        <v>14</v>
      </c>
      <c r="O10163" t="s" s="8">
        <v>14</v>
      </c>
      <c r="P10163" t="s" s="8">
        <v>14</v>
      </c>
      <c r="Q10163" t="s" s="12">
        <v>14</v>
      </c>
      <c r="R10163" t="s" s="12">
        <v>14</v>
      </c>
    </row>
    <row r="10164" s="2" customFormat="1" ht="13.5" customHeight="1">
      <c r="B10164" s="13"/>
      <c r="C10164" t="s" s="9">
        <v>16</v>
      </c>
      <c r="D10164" t="s" s="8">
        <v>3797</v>
      </c>
      <c r="E10164" t="s" s="9">
        <v>3797</v>
      </c>
      <c r="F10164" t="s" s="10">
        <v>148</v>
      </c>
      <c r="G10164" t="s" s="11">
        <v>185</v>
      </c>
      <c r="H10164" t="s" s="10">
        <v>119</v>
      </c>
      <c r="I10164" t="s" s="11">
        <v>185</v>
      </c>
      <c r="J10164" t="s" s="11">
        <v>20</v>
      </c>
      <c r="K10164" t="s" s="16">
        <f>HYPERLINK("http://csr.bu.edu/ftp/asl/asllvd/demos/verify_start_end_handshape_annotations//test_auto_move//signs_mov/4126.mov","MOV")</f>
        <v>21</v>
      </c>
      <c r="L10164" t="s" s="16">
        <f>HYPERLINK("http://csr.bu.edu/ftp/asl/asllvd/demos/verify_start_end_handshape_annotations//test_auto_move//signs_mov_separ_signers/Liz_4126.mov","MOV")</f>
        <v>21</v>
      </c>
      <c r="M10164" t="s" s="10">
        <v>77</v>
      </c>
      <c r="N10164" s="17">
        <v>15</v>
      </c>
      <c r="O10164" s="18">
        <v>4942</v>
      </c>
      <c r="P10164" s="18">
        <v>5021</v>
      </c>
      <c r="Q10164" t="s" s="16">
        <f>HYPERLINK("http://secrets.rutgers.edu:8080/data/asl-ftp/asllvd/demos/verify_start_end_handshape_annotations//test_auto_move//signs_mov/4126.mov","MOV")</f>
        <v>21</v>
      </c>
      <c r="R10164" t="s" s="16">
        <f>HYPERLINK("http://secrets.rutgers.edu:8080/data/asl-ftp/asllvd/demos/verify_start_end_handshape_annotations//test_auto_move//signs_mov_separ_signers/Liz_4126.mov","MOV")</f>
        <v>21</v>
      </c>
    </row>
    <row r="10165" s="2" customFormat="1" ht="13.5" customHeight="1">
      <c r="B10165" s="13"/>
      <c r="C10165" t="s" s="9">
        <v>30</v>
      </c>
      <c r="D10165" t="s" s="8">
        <v>3797</v>
      </c>
      <c r="E10165" t="s" s="9">
        <v>3797</v>
      </c>
      <c r="F10165" t="s" s="10">
        <v>119</v>
      </c>
      <c r="G10165" t="s" s="11">
        <v>185</v>
      </c>
      <c r="H10165" t="s" s="10">
        <v>119</v>
      </c>
      <c r="I10165" t="s" s="11">
        <v>185</v>
      </c>
      <c r="J10165" t="s" s="11">
        <v>20</v>
      </c>
      <c r="K10165" s="15"/>
      <c r="L10165" t="s" s="16">
        <f>HYPERLINK("http://csr.bu.edu/ftp/asl/asllvd/demos/verify_start_end_handshape_annotations//test_auto_move//signs_mov_separ_signers/Brady_4126.mov","MOV")</f>
        <v>21</v>
      </c>
      <c r="M10165" t="s" s="10">
        <v>40</v>
      </c>
      <c r="N10165" s="17">
        <v>43</v>
      </c>
      <c r="O10165" s="18">
        <v>1745</v>
      </c>
      <c r="P10165" s="18">
        <v>1771</v>
      </c>
      <c r="Q10165" s="15"/>
      <c r="R10165" t="s" s="16">
        <f>HYPERLINK("http://secrets.rutgers.edu:8080/data/asl-ftp/asllvd/demos/verify_start_end_handshape_annotations//test_auto_move//signs_mov_separ_signers/Brady_4126.mov","MOV")</f>
        <v>21</v>
      </c>
    </row>
    <row r="10166" s="2" customFormat="1" ht="13.5" customHeight="1">
      <c r="B10166" t="s" s="8">
        <v>3798</v>
      </c>
      <c r="C10166" t="s" s="9">
        <v>14</v>
      </c>
      <c r="D10166" t="s" s="8">
        <v>14</v>
      </c>
      <c r="E10166" t="s" s="9">
        <v>14</v>
      </c>
      <c r="F10166" t="s" s="10">
        <v>14</v>
      </c>
      <c r="G10166" t="s" s="11">
        <v>14</v>
      </c>
      <c r="H10166" t="s" s="10">
        <v>14</v>
      </c>
      <c r="I10166" t="s" s="11">
        <v>14</v>
      </c>
      <c r="J10166" t="s" s="11">
        <v>14</v>
      </c>
      <c r="K10166" t="s" s="12">
        <v>14</v>
      </c>
      <c r="L10166" t="s" s="12">
        <v>14</v>
      </c>
      <c r="M10166" t="s" s="10">
        <v>14</v>
      </c>
      <c r="N10166" t="s" s="11">
        <v>14</v>
      </c>
      <c r="O10166" t="s" s="8">
        <v>14</v>
      </c>
      <c r="P10166" t="s" s="8">
        <v>14</v>
      </c>
      <c r="Q10166" t="s" s="12">
        <v>14</v>
      </c>
      <c r="R10166" t="s" s="12">
        <v>14</v>
      </c>
    </row>
    <row r="10167" s="2" customFormat="1" ht="13.5" customHeight="1">
      <c r="B10167" s="13"/>
      <c r="C10167" t="s" s="9">
        <v>16</v>
      </c>
      <c r="D10167" t="s" s="8">
        <v>3798</v>
      </c>
      <c r="E10167" t="s" s="9">
        <v>3798</v>
      </c>
      <c r="F10167" t="s" s="10">
        <v>119</v>
      </c>
      <c r="G10167" t="s" s="11">
        <v>119</v>
      </c>
      <c r="H10167" t="s" s="10">
        <v>63</v>
      </c>
      <c r="I10167" t="s" s="11">
        <v>63</v>
      </c>
      <c r="J10167" t="s" s="11">
        <v>20</v>
      </c>
      <c r="K10167" t="s" s="16">
        <f>HYPERLINK("http://csr.bu.edu/ftp/asl/asllvd/demos/verify_start_end_handshape_annotations//test_auto_move//signs_mov/4129.mov","MOV")</f>
        <v>21</v>
      </c>
      <c r="L10167" t="s" s="16">
        <f>HYPERLINK("http://csr.bu.edu/ftp/asl/asllvd/demos/verify_start_end_handshape_annotations//test_auto_move//signs_mov_separ_signers/Liz_4129.mov","MOV")</f>
        <v>21</v>
      </c>
      <c r="M10167" t="s" s="10">
        <v>77</v>
      </c>
      <c r="N10167" s="17">
        <v>15</v>
      </c>
      <c r="O10167" s="18">
        <v>4028</v>
      </c>
      <c r="P10167" s="18">
        <v>4085</v>
      </c>
      <c r="Q10167" t="s" s="16">
        <f>HYPERLINK("http://secrets.rutgers.edu:8080/data/asl-ftp/asllvd/demos/verify_start_end_handshape_annotations//test_auto_move//signs_mov/4129.mov","MOV")</f>
        <v>21</v>
      </c>
      <c r="R10167" t="s" s="16">
        <f>HYPERLINK("http://secrets.rutgers.edu:8080/data/asl-ftp/asllvd/demos/verify_start_end_handshape_annotations//test_auto_move//signs_mov_separ_signers/Liz_4129.mov","MOV")</f>
        <v>21</v>
      </c>
    </row>
    <row r="10168" s="2" customFormat="1" ht="13.5" customHeight="1">
      <c r="B10168" t="s" s="8">
        <v>52</v>
      </c>
      <c r="C10168" t="s" s="9">
        <v>53</v>
      </c>
      <c r="D10168" t="s" s="8">
        <v>53</v>
      </c>
      <c r="E10168" t="s" s="9">
        <v>53</v>
      </c>
      <c r="F10168" t="s" s="10">
        <v>53</v>
      </c>
      <c r="G10168" t="s" s="11">
        <v>53</v>
      </c>
      <c r="H10168" t="s" s="10">
        <v>53</v>
      </c>
      <c r="I10168" t="s" s="11">
        <v>53</v>
      </c>
      <c r="J10168" t="s" s="11">
        <v>53</v>
      </c>
      <c r="K10168" t="s" s="12">
        <v>53</v>
      </c>
      <c r="L10168" t="s" s="12">
        <v>53</v>
      </c>
      <c r="M10168" t="s" s="10">
        <v>53</v>
      </c>
      <c r="N10168" t="s" s="11">
        <v>53</v>
      </c>
      <c r="O10168" t="s" s="8">
        <v>53</v>
      </c>
      <c r="P10168" t="s" s="8">
        <v>53</v>
      </c>
      <c r="Q10168" t="s" s="12">
        <v>53</v>
      </c>
      <c r="R10168" t="s" s="12">
        <v>53</v>
      </c>
    </row>
    <row r="10169" s="2" customFormat="1" ht="13.5" customHeight="1">
      <c r="B10169" s="13"/>
      <c r="C10169" t="s" s="9">
        <v>30</v>
      </c>
      <c r="D10169" t="s" s="8">
        <v>3798</v>
      </c>
      <c r="E10169" t="s" s="9">
        <v>3799</v>
      </c>
      <c r="F10169" t="s" s="10">
        <v>119</v>
      </c>
      <c r="G10169" t="s" s="11">
        <v>119</v>
      </c>
      <c r="H10169" t="s" s="10">
        <v>63</v>
      </c>
      <c r="I10169" t="s" s="11">
        <v>63</v>
      </c>
      <c r="J10169" t="s" s="11">
        <v>20</v>
      </c>
      <c r="K10169" t="s" s="16">
        <f>HYPERLINK("http://csr.bu.edu/ftp/asl/asllvd/demos/verify_start_end_handshape_annotations//test_auto_move//signs_mov/16483.mov","MOV")</f>
        <v>21</v>
      </c>
      <c r="L10169" t="s" s="16">
        <f>HYPERLINK("http://csr.bu.edu/ftp/asl/asllvd/demos/verify_start_end_handshape_annotations//test_auto_move//signs_mov_separ_signers/Brady_16483.mov","MOV")</f>
        <v>21</v>
      </c>
      <c r="M10169" t="s" s="10">
        <v>60</v>
      </c>
      <c r="N10169" s="17">
        <v>10</v>
      </c>
      <c r="O10169" s="18">
        <v>2952</v>
      </c>
      <c r="P10169" s="18">
        <v>3003</v>
      </c>
      <c r="Q10169" t="s" s="16">
        <f>HYPERLINK("http://secrets.rutgers.edu:8080/data/asl-ftp/asllvd/demos/verify_start_end_handshape_annotations//test_auto_move//signs_mov/16483.mov","MOV")</f>
        <v>21</v>
      </c>
      <c r="R10169" t="s" s="16">
        <f>HYPERLINK("http://secrets.rutgers.edu:8080/data/asl-ftp/asllvd/demos/verify_start_end_handshape_annotations//test_auto_move//signs_mov_separ_signers/Brady_16483.mov","MOV")</f>
        <v>21</v>
      </c>
    </row>
    <row r="10170" s="2" customFormat="1" ht="13.5" customHeight="1">
      <c r="B10170" t="s" s="8">
        <v>3800</v>
      </c>
      <c r="C10170" t="s" s="9">
        <v>14</v>
      </c>
      <c r="D10170" t="s" s="8">
        <v>14</v>
      </c>
      <c r="E10170" t="s" s="9">
        <v>14</v>
      </c>
      <c r="F10170" t="s" s="10">
        <v>14</v>
      </c>
      <c r="G10170" t="s" s="11">
        <v>14</v>
      </c>
      <c r="H10170" t="s" s="10">
        <v>14</v>
      </c>
      <c r="I10170" t="s" s="11">
        <v>14</v>
      </c>
      <c r="J10170" t="s" s="11">
        <v>14</v>
      </c>
      <c r="K10170" t="s" s="12">
        <v>14</v>
      </c>
      <c r="L10170" t="s" s="12">
        <v>14</v>
      </c>
      <c r="M10170" t="s" s="10">
        <v>14</v>
      </c>
      <c r="N10170" t="s" s="11">
        <v>14</v>
      </c>
      <c r="O10170" t="s" s="8">
        <v>14</v>
      </c>
      <c r="P10170" t="s" s="8">
        <v>14</v>
      </c>
      <c r="Q10170" t="s" s="12">
        <v>14</v>
      </c>
      <c r="R10170" t="s" s="12">
        <v>14</v>
      </c>
    </row>
    <row r="10171" s="2" customFormat="1" ht="13.5" customHeight="1">
      <c r="B10171" s="13"/>
      <c r="C10171" t="s" s="9">
        <v>16</v>
      </c>
      <c r="D10171" t="s" s="8">
        <v>3800</v>
      </c>
      <c r="E10171" t="s" s="9">
        <v>3800</v>
      </c>
      <c r="F10171" s="19">
        <v>8</v>
      </c>
      <c r="G10171" s="17">
        <v>1</v>
      </c>
      <c r="H10171" s="19">
        <v>8</v>
      </c>
      <c r="I10171" s="17">
        <v>1</v>
      </c>
      <c r="J10171" t="s" s="11">
        <v>20</v>
      </c>
      <c r="K10171" t="s" s="16">
        <f>HYPERLINK("http://csr.bu.edu/ftp/asl/asllvd/demos/verify_start_end_handshape_annotations//test_auto_move//signs_mov/4140.mov","MOV")</f>
        <v>21</v>
      </c>
      <c r="L10171" t="s" s="16">
        <f>HYPERLINK("http://csr.bu.edu/ftp/asl/asllvd/demos/verify_start_end_handshape_annotations//test_auto_move//signs_mov_separ_signers/Liz_4140.mov","MOV")</f>
        <v>21</v>
      </c>
      <c r="M10171" t="s" s="10">
        <v>77</v>
      </c>
      <c r="N10171" s="17">
        <v>16</v>
      </c>
      <c r="O10171" s="18">
        <v>8006</v>
      </c>
      <c r="P10171" s="18">
        <v>8065</v>
      </c>
      <c r="Q10171" t="s" s="16">
        <f>HYPERLINK("http://secrets.rutgers.edu:8080/data/asl-ftp/asllvd/demos/verify_start_end_handshape_annotations//test_auto_move//signs_mov/4140.mov","MOV")</f>
        <v>21</v>
      </c>
      <c r="R10171" t="s" s="16">
        <f>HYPERLINK("http://secrets.rutgers.edu:8080/data/asl-ftp/asllvd/demos/verify_start_end_handshape_annotations//test_auto_move//signs_mov_separ_signers/Liz_4140.mov","MOV")</f>
        <v>21</v>
      </c>
    </row>
    <row r="10172" s="2" customFormat="1" ht="13.5" customHeight="1">
      <c r="B10172" s="13"/>
      <c r="C10172" t="s" s="9">
        <v>30</v>
      </c>
      <c r="D10172" t="s" s="8">
        <v>3800</v>
      </c>
      <c r="E10172" t="s" s="9">
        <v>3800</v>
      </c>
      <c r="F10172" s="19">
        <v>8</v>
      </c>
      <c r="G10172" s="17">
        <v>1</v>
      </c>
      <c r="H10172" s="19">
        <v>8</v>
      </c>
      <c r="I10172" s="17">
        <v>1</v>
      </c>
      <c r="J10172" t="s" s="11">
        <v>20</v>
      </c>
      <c r="K10172" s="15"/>
      <c r="L10172" t="s" s="16">
        <f>HYPERLINK("http://csr.bu.edu/ftp/asl/asllvd/demos/verify_start_end_handshape_annotations//test_auto_move//signs_mov_separ_signers/Brady_4140.mov","MOV")</f>
        <v>21</v>
      </c>
      <c r="M10172" t="s" s="10">
        <v>39</v>
      </c>
      <c r="N10172" s="17">
        <v>10</v>
      </c>
      <c r="O10172" s="18">
        <v>7237</v>
      </c>
      <c r="P10172" s="18">
        <v>7262</v>
      </c>
      <c r="Q10172" s="15"/>
      <c r="R10172" t="s" s="16">
        <f>HYPERLINK("http://secrets.rutgers.edu:8080/data/asl-ftp/asllvd/demos/verify_start_end_handshape_annotations//test_auto_move//signs_mov_separ_signers/Brady_4140.mov","MOV")</f>
        <v>21</v>
      </c>
    </row>
    <row r="10173" s="2" customFormat="1" ht="13.5" customHeight="1">
      <c r="B10173" t="s" s="8">
        <v>3801</v>
      </c>
      <c r="C10173" t="s" s="9">
        <v>14</v>
      </c>
      <c r="D10173" t="s" s="8">
        <v>14</v>
      </c>
      <c r="E10173" t="s" s="9">
        <v>14</v>
      </c>
      <c r="F10173" t="s" s="10">
        <v>14</v>
      </c>
      <c r="G10173" t="s" s="11">
        <v>14</v>
      </c>
      <c r="H10173" t="s" s="10">
        <v>14</v>
      </c>
      <c r="I10173" t="s" s="11">
        <v>14</v>
      </c>
      <c r="J10173" t="s" s="11">
        <v>14</v>
      </c>
      <c r="K10173" t="s" s="12">
        <v>14</v>
      </c>
      <c r="L10173" t="s" s="12">
        <v>14</v>
      </c>
      <c r="M10173" t="s" s="10">
        <v>14</v>
      </c>
      <c r="N10173" t="s" s="11">
        <v>14</v>
      </c>
      <c r="O10173" t="s" s="8">
        <v>14</v>
      </c>
      <c r="P10173" t="s" s="8">
        <v>14</v>
      </c>
      <c r="Q10173" t="s" s="12">
        <v>14</v>
      </c>
      <c r="R10173" t="s" s="12">
        <v>14</v>
      </c>
    </row>
    <row r="10174" s="2" customFormat="1" ht="13.5" customHeight="1">
      <c r="B10174" s="13"/>
      <c r="C10174" t="s" s="9">
        <v>16</v>
      </c>
      <c r="D10174" t="s" s="8">
        <v>3801</v>
      </c>
      <c r="E10174" t="s" s="9">
        <v>3801</v>
      </c>
      <c r="F10174" s="19">
        <v>8</v>
      </c>
      <c r="G10174" t="s" s="11">
        <v>73</v>
      </c>
      <c r="H10174" s="19">
        <v>8</v>
      </c>
      <c r="I10174" t="s" s="11">
        <v>73</v>
      </c>
      <c r="J10174" t="s" s="11">
        <v>20</v>
      </c>
      <c r="K10174" t="s" s="16">
        <f>HYPERLINK("http://csr.bu.edu/ftp/asl/asllvd/demos/verify_start_end_handshape_annotations//test_auto_move//signs_mov/4141.mov","MOV")</f>
        <v>21</v>
      </c>
      <c r="L10174" t="s" s="16">
        <f>HYPERLINK("http://csr.bu.edu/ftp/asl/asllvd/demos/verify_start_end_handshape_annotations//test_auto_move//signs_mov_separ_signers/Liz_4141.mov","MOV")</f>
        <v>21</v>
      </c>
      <c r="M10174" t="s" s="10">
        <v>77</v>
      </c>
      <c r="N10174" s="17">
        <v>16</v>
      </c>
      <c r="O10174" s="18">
        <v>6620</v>
      </c>
      <c r="P10174" s="18">
        <v>6670</v>
      </c>
      <c r="Q10174" t="s" s="16">
        <f>HYPERLINK("http://secrets.rutgers.edu:8080/data/asl-ftp/asllvd/demos/verify_start_end_handshape_annotations//test_auto_move//signs_mov/4141.mov","MOV")</f>
        <v>21</v>
      </c>
      <c r="R10174" t="s" s="16">
        <f>HYPERLINK("http://secrets.rutgers.edu:8080/data/asl-ftp/asllvd/demos/verify_start_end_handshape_annotations//test_auto_move//signs_mov_separ_signers/Liz_4141.mov","MOV")</f>
        <v>21</v>
      </c>
    </row>
    <row r="10175" s="2" customFormat="1" ht="13.5" customHeight="1">
      <c r="B10175" s="13"/>
      <c r="C10175" t="s" s="9">
        <v>30</v>
      </c>
      <c r="D10175" t="s" s="8">
        <v>3801</v>
      </c>
      <c r="E10175" t="s" s="9">
        <v>3801</v>
      </c>
      <c r="F10175" s="19">
        <v>8</v>
      </c>
      <c r="G10175" t="s" s="11">
        <v>73</v>
      </c>
      <c r="H10175" s="19">
        <v>8</v>
      </c>
      <c r="I10175" t="s" s="11">
        <v>73</v>
      </c>
      <c r="J10175" t="s" s="11">
        <v>20</v>
      </c>
      <c r="K10175" s="15"/>
      <c r="L10175" t="s" s="16">
        <f>HYPERLINK("http://csr.bu.edu/ftp/asl/asllvd/demos/verify_start_end_handshape_annotations//test_auto_move//signs_mov_separ_signers/Brady_4141.mov","MOV")</f>
        <v>21</v>
      </c>
      <c r="M10175" t="s" s="10">
        <v>39</v>
      </c>
      <c r="N10175" s="17">
        <v>10</v>
      </c>
      <c r="O10175" s="18">
        <v>7472</v>
      </c>
      <c r="P10175" s="18">
        <v>7494</v>
      </c>
      <c r="Q10175" s="15"/>
      <c r="R10175" t="s" s="16">
        <f>HYPERLINK("http://secrets.rutgers.edu:8080/data/asl-ftp/asllvd/demos/verify_start_end_handshape_annotations//test_auto_move//signs_mov_separ_signers/Brady_4141.mov","MOV")</f>
        <v>21</v>
      </c>
    </row>
    <row r="10176" s="2" customFormat="1" ht="13.5" customHeight="1">
      <c r="B10176" t="s" s="8">
        <v>3802</v>
      </c>
      <c r="C10176" t="s" s="9">
        <v>14</v>
      </c>
      <c r="D10176" t="s" s="8">
        <v>14</v>
      </c>
      <c r="E10176" t="s" s="9">
        <v>14</v>
      </c>
      <c r="F10176" t="s" s="10">
        <v>14</v>
      </c>
      <c r="G10176" t="s" s="11">
        <v>14</v>
      </c>
      <c r="H10176" t="s" s="10">
        <v>14</v>
      </c>
      <c r="I10176" t="s" s="11">
        <v>14</v>
      </c>
      <c r="J10176" t="s" s="11">
        <v>14</v>
      </c>
      <c r="K10176" t="s" s="12">
        <v>14</v>
      </c>
      <c r="L10176" t="s" s="12">
        <v>14</v>
      </c>
      <c r="M10176" t="s" s="10">
        <v>14</v>
      </c>
      <c r="N10176" t="s" s="11">
        <v>14</v>
      </c>
      <c r="O10176" t="s" s="8">
        <v>14</v>
      </c>
      <c r="P10176" t="s" s="8">
        <v>14</v>
      </c>
      <c r="Q10176" t="s" s="12">
        <v>14</v>
      </c>
      <c r="R10176" t="s" s="12">
        <v>14</v>
      </c>
    </row>
    <row r="10177" s="2" customFormat="1" ht="13.5" customHeight="1">
      <c r="B10177" s="13"/>
      <c r="C10177" t="s" s="9">
        <v>16</v>
      </c>
      <c r="D10177" t="s" s="8">
        <v>3802</v>
      </c>
      <c r="E10177" t="s" s="9">
        <v>3802</v>
      </c>
      <c r="F10177" s="19">
        <v>5</v>
      </c>
      <c r="G10177" s="17">
        <v>1</v>
      </c>
      <c r="H10177" s="19">
        <v>5</v>
      </c>
      <c r="I10177" s="17">
        <v>1</v>
      </c>
      <c r="J10177" t="s" s="11">
        <v>20</v>
      </c>
      <c r="K10177" t="s" s="16">
        <f>HYPERLINK("http://csr.bu.edu/ftp/asl/asllvd/demos/verify_start_end_handshape_annotations//test_auto_move//signs_mov/4143.mov","MOV")</f>
        <v>21</v>
      </c>
      <c r="L10177" t="s" s="16">
        <f>HYPERLINK("http://csr.bu.edu/ftp/asl/asllvd/demos/verify_start_end_handshape_annotations//test_auto_move//signs_mov_separ_signers/Liz_4143.mov","MOV")</f>
        <v>21</v>
      </c>
      <c r="M10177" t="s" s="10">
        <v>77</v>
      </c>
      <c r="N10177" s="17">
        <v>16</v>
      </c>
      <c r="O10177" s="18">
        <v>7485</v>
      </c>
      <c r="P10177" s="18">
        <v>7545</v>
      </c>
      <c r="Q10177" t="s" s="16">
        <f>HYPERLINK("http://secrets.rutgers.edu:8080/data/asl-ftp/asllvd/demos/verify_start_end_handshape_annotations//test_auto_move//signs_mov/4143.mov","MOV")</f>
        <v>21</v>
      </c>
      <c r="R10177" t="s" s="16">
        <f>HYPERLINK("http://secrets.rutgers.edu:8080/data/asl-ftp/asllvd/demos/verify_start_end_handshape_annotations//test_auto_move//signs_mov_separ_signers/Liz_4143.mov","MOV")</f>
        <v>21</v>
      </c>
    </row>
    <row r="10178" s="2" customFormat="1" ht="13.5" customHeight="1">
      <c r="B10178" s="13"/>
      <c r="C10178" t="s" s="9">
        <v>30</v>
      </c>
      <c r="D10178" t="s" s="8">
        <v>3802</v>
      </c>
      <c r="E10178" t="s" s="9">
        <v>3802</v>
      </c>
      <c r="F10178" s="19">
        <v>5</v>
      </c>
      <c r="G10178" s="17">
        <v>1</v>
      </c>
      <c r="H10178" s="19">
        <v>5</v>
      </c>
      <c r="I10178" s="17">
        <v>1</v>
      </c>
      <c r="J10178" t="s" s="11">
        <v>20</v>
      </c>
      <c r="K10178" s="15"/>
      <c r="L10178" t="s" s="16">
        <f>HYPERLINK("http://csr.bu.edu/ftp/asl/asllvd/demos/verify_start_end_handshape_annotations//test_auto_move//signs_mov_separ_signers/Brady_4143.mov","MOV")</f>
        <v>21</v>
      </c>
      <c r="M10178" t="s" s="10">
        <v>39</v>
      </c>
      <c r="N10178" s="17">
        <v>19</v>
      </c>
      <c r="O10178" s="18">
        <v>1900</v>
      </c>
      <c r="P10178" s="18">
        <v>1917</v>
      </c>
      <c r="Q10178" s="15"/>
      <c r="R10178" t="s" s="16">
        <f>HYPERLINK("http://secrets.rutgers.edu:8080/data/asl-ftp/asllvd/demos/verify_start_end_handshape_annotations//test_auto_move//signs_mov_separ_signers/Brady_4143.mov","MOV")</f>
        <v>21</v>
      </c>
    </row>
    <row r="10179" s="2" customFormat="1" ht="13.5" customHeight="1">
      <c r="B10179" t="s" s="8">
        <v>3803</v>
      </c>
      <c r="C10179" t="s" s="9">
        <v>14</v>
      </c>
      <c r="D10179" t="s" s="8">
        <v>14</v>
      </c>
      <c r="E10179" t="s" s="9">
        <v>14</v>
      </c>
      <c r="F10179" t="s" s="10">
        <v>14</v>
      </c>
      <c r="G10179" t="s" s="11">
        <v>14</v>
      </c>
      <c r="H10179" t="s" s="10">
        <v>14</v>
      </c>
      <c r="I10179" t="s" s="11">
        <v>14</v>
      </c>
      <c r="J10179" t="s" s="11">
        <v>14</v>
      </c>
      <c r="K10179" t="s" s="12">
        <v>14</v>
      </c>
      <c r="L10179" t="s" s="12">
        <v>14</v>
      </c>
      <c r="M10179" t="s" s="10">
        <v>14</v>
      </c>
      <c r="N10179" t="s" s="11">
        <v>14</v>
      </c>
      <c r="O10179" t="s" s="8">
        <v>14</v>
      </c>
      <c r="P10179" t="s" s="8">
        <v>14</v>
      </c>
      <c r="Q10179" t="s" s="12">
        <v>14</v>
      </c>
      <c r="R10179" t="s" s="12">
        <v>14</v>
      </c>
    </row>
    <row r="10180" s="2" customFormat="1" ht="13.5" customHeight="1">
      <c r="B10180" s="13"/>
      <c r="C10180" t="s" s="9">
        <v>16</v>
      </c>
      <c r="D10180" t="s" s="8">
        <v>3803</v>
      </c>
      <c r="E10180" t="s" s="9">
        <v>3803</v>
      </c>
      <c r="F10180" s="19">
        <v>5</v>
      </c>
      <c r="G10180" t="s" s="11">
        <v>73</v>
      </c>
      <c r="H10180" s="19">
        <v>5</v>
      </c>
      <c r="I10180" t="s" s="11">
        <v>73</v>
      </c>
      <c r="J10180" t="s" s="11">
        <v>20</v>
      </c>
      <c r="K10180" t="s" s="16">
        <f>HYPERLINK("http://csr.bu.edu/ftp/asl/asllvd/demos/verify_start_end_handshape_annotations//test_auto_move//signs_mov/4144.mov","MOV")</f>
        <v>21</v>
      </c>
      <c r="L10180" t="s" s="16">
        <f>HYPERLINK("http://csr.bu.edu/ftp/asl/asllvd/demos/verify_start_end_handshape_annotations//test_auto_move//signs_mov_separ_signers/Liz_4144.mov","MOV")</f>
        <v>21</v>
      </c>
      <c r="M10180" t="s" s="10">
        <v>77</v>
      </c>
      <c r="N10180" s="17">
        <v>16</v>
      </c>
      <c r="O10180" s="18">
        <v>6126</v>
      </c>
      <c r="P10180" s="18">
        <v>6180</v>
      </c>
      <c r="Q10180" t="s" s="16">
        <f>HYPERLINK("http://secrets.rutgers.edu:8080/data/asl-ftp/asllvd/demos/verify_start_end_handshape_annotations//test_auto_move//signs_mov/4144.mov","MOV")</f>
        <v>21</v>
      </c>
      <c r="R10180" t="s" s="16">
        <f>HYPERLINK("http://secrets.rutgers.edu:8080/data/asl-ftp/asllvd/demos/verify_start_end_handshape_annotations//test_auto_move//signs_mov_separ_signers/Liz_4144.mov","MOV")</f>
        <v>21</v>
      </c>
    </row>
    <row r="10181" s="2" customFormat="1" ht="13.5" customHeight="1">
      <c r="B10181" s="13"/>
      <c r="C10181" t="s" s="9">
        <v>30</v>
      </c>
      <c r="D10181" t="s" s="8">
        <v>3803</v>
      </c>
      <c r="E10181" t="s" s="9">
        <v>3803</v>
      </c>
      <c r="F10181" s="19">
        <v>5</v>
      </c>
      <c r="G10181" t="s" s="11">
        <v>73</v>
      </c>
      <c r="H10181" s="19">
        <v>5</v>
      </c>
      <c r="I10181" t="s" s="11">
        <v>73</v>
      </c>
      <c r="J10181" t="s" s="11">
        <v>20</v>
      </c>
      <c r="K10181" s="15"/>
      <c r="L10181" t="s" s="16">
        <f>HYPERLINK("http://csr.bu.edu/ftp/asl/asllvd/demos/verify_start_end_handshape_annotations//test_auto_move//signs_mov_separ_signers/Brady_4144.mov","MOV")</f>
        <v>21</v>
      </c>
      <c r="M10181" t="s" s="10">
        <v>39</v>
      </c>
      <c r="N10181" s="17">
        <v>19</v>
      </c>
      <c r="O10181" s="18">
        <v>2155</v>
      </c>
      <c r="P10181" s="18">
        <v>2179</v>
      </c>
      <c r="Q10181" s="15"/>
      <c r="R10181" t="s" s="16">
        <f>HYPERLINK("http://secrets.rutgers.edu:8080/data/asl-ftp/asllvd/demos/verify_start_end_handshape_annotations//test_auto_move//signs_mov_separ_signers/Brady_4144.mov","MOV")</f>
        <v>21</v>
      </c>
    </row>
    <row r="10182" s="2" customFormat="1" ht="13.5" customHeight="1">
      <c r="B10182" t="s" s="8">
        <v>3804</v>
      </c>
      <c r="C10182" t="s" s="9">
        <v>14</v>
      </c>
      <c r="D10182" t="s" s="8">
        <v>14</v>
      </c>
      <c r="E10182" t="s" s="9">
        <v>14</v>
      </c>
      <c r="F10182" t="s" s="10">
        <v>14</v>
      </c>
      <c r="G10182" t="s" s="11">
        <v>14</v>
      </c>
      <c r="H10182" t="s" s="10">
        <v>14</v>
      </c>
      <c r="I10182" t="s" s="11">
        <v>14</v>
      </c>
      <c r="J10182" t="s" s="11">
        <v>14</v>
      </c>
      <c r="K10182" t="s" s="12">
        <v>14</v>
      </c>
      <c r="L10182" t="s" s="12">
        <v>14</v>
      </c>
      <c r="M10182" t="s" s="10">
        <v>14</v>
      </c>
      <c r="N10182" t="s" s="11">
        <v>14</v>
      </c>
      <c r="O10182" t="s" s="8">
        <v>14</v>
      </c>
      <c r="P10182" t="s" s="8">
        <v>14</v>
      </c>
      <c r="Q10182" t="s" s="12">
        <v>14</v>
      </c>
      <c r="R10182" t="s" s="12">
        <v>14</v>
      </c>
    </row>
    <row r="10183" s="2" customFormat="1" ht="13.5" customHeight="1">
      <c r="B10183" s="13"/>
      <c r="C10183" t="s" s="9">
        <v>16</v>
      </c>
      <c r="D10183" t="s" s="8">
        <v>3804</v>
      </c>
      <c r="E10183" t="s" s="9">
        <v>3804</v>
      </c>
      <c r="F10183" s="19">
        <v>4</v>
      </c>
      <c r="G10183" s="17">
        <v>1</v>
      </c>
      <c r="H10183" s="19">
        <v>4</v>
      </c>
      <c r="I10183" s="17">
        <v>1</v>
      </c>
      <c r="J10183" t="s" s="11">
        <v>20</v>
      </c>
      <c r="K10183" t="s" s="16">
        <f>HYPERLINK("http://csr.bu.edu/ftp/asl/asllvd/demos/verify_start_end_handshape_annotations//test_auto_move//signs_mov/4146.mov","MOV")</f>
        <v>21</v>
      </c>
      <c r="L10183" t="s" s="16">
        <f>HYPERLINK("http://csr.bu.edu/ftp/asl/asllvd/demos/verify_start_end_handshape_annotations//test_auto_move//signs_mov_separ_signers/Liz_4146.mov","MOV")</f>
        <v>21</v>
      </c>
      <c r="M10183" t="s" s="10">
        <v>77</v>
      </c>
      <c r="N10183" s="17">
        <v>16</v>
      </c>
      <c r="O10183" s="18">
        <v>7305</v>
      </c>
      <c r="P10183" s="18">
        <v>7370</v>
      </c>
      <c r="Q10183" t="s" s="16">
        <f>HYPERLINK("http://secrets.rutgers.edu:8080/data/asl-ftp/asllvd/demos/verify_start_end_handshape_annotations//test_auto_move//signs_mov/4146.mov","MOV")</f>
        <v>21</v>
      </c>
      <c r="R10183" t="s" s="16">
        <f>HYPERLINK("http://secrets.rutgers.edu:8080/data/asl-ftp/asllvd/demos/verify_start_end_handshape_annotations//test_auto_move//signs_mov_separ_signers/Liz_4146.mov","MOV")</f>
        <v>21</v>
      </c>
    </row>
    <row r="10184" s="2" customFormat="1" ht="13.5" customHeight="1">
      <c r="B10184" s="13"/>
      <c r="C10184" t="s" s="9">
        <v>30</v>
      </c>
      <c r="D10184" t="s" s="8">
        <v>3804</v>
      </c>
      <c r="E10184" t="s" s="9">
        <v>3804</v>
      </c>
      <c r="F10184" s="19">
        <v>4</v>
      </c>
      <c r="G10184" s="17">
        <v>1</v>
      </c>
      <c r="H10184" s="19">
        <v>4</v>
      </c>
      <c r="I10184" s="17">
        <v>1</v>
      </c>
      <c r="J10184" t="s" s="11">
        <v>20</v>
      </c>
      <c r="K10184" s="15"/>
      <c r="L10184" t="s" s="16">
        <f>HYPERLINK("http://csr.bu.edu/ftp/asl/asllvd/demos/verify_start_end_handshape_annotations//test_auto_move//signs_mov_separ_signers/Brady_4146.mov","MOV")</f>
        <v>21</v>
      </c>
      <c r="M10184" t="s" s="10">
        <v>39</v>
      </c>
      <c r="N10184" s="17">
        <v>22</v>
      </c>
      <c r="O10184" s="18">
        <v>4312</v>
      </c>
      <c r="P10184" s="18">
        <v>4329</v>
      </c>
      <c r="Q10184" s="15"/>
      <c r="R10184" t="s" s="16">
        <f>HYPERLINK("http://secrets.rutgers.edu:8080/data/asl-ftp/asllvd/demos/verify_start_end_handshape_annotations//test_auto_move//signs_mov_separ_signers/Brady_4146.mov","MOV")</f>
        <v>21</v>
      </c>
    </row>
    <row r="10185" s="2" customFormat="1" ht="13.5" customHeight="1">
      <c r="B10185" t="s" s="8">
        <v>3805</v>
      </c>
      <c r="C10185" t="s" s="9">
        <v>14</v>
      </c>
      <c r="D10185" t="s" s="8">
        <v>14</v>
      </c>
      <c r="E10185" t="s" s="9">
        <v>14</v>
      </c>
      <c r="F10185" t="s" s="10">
        <v>14</v>
      </c>
      <c r="G10185" t="s" s="11">
        <v>14</v>
      </c>
      <c r="H10185" t="s" s="10">
        <v>14</v>
      </c>
      <c r="I10185" t="s" s="11">
        <v>14</v>
      </c>
      <c r="J10185" t="s" s="11">
        <v>14</v>
      </c>
      <c r="K10185" t="s" s="12">
        <v>14</v>
      </c>
      <c r="L10185" t="s" s="12">
        <v>14</v>
      </c>
      <c r="M10185" t="s" s="10">
        <v>14</v>
      </c>
      <c r="N10185" t="s" s="11">
        <v>14</v>
      </c>
      <c r="O10185" t="s" s="8">
        <v>14</v>
      </c>
      <c r="P10185" t="s" s="8">
        <v>14</v>
      </c>
      <c r="Q10185" t="s" s="12">
        <v>14</v>
      </c>
      <c r="R10185" t="s" s="12">
        <v>14</v>
      </c>
    </row>
    <row r="10186" s="2" customFormat="1" ht="13.5" customHeight="1">
      <c r="B10186" s="13"/>
      <c r="C10186" t="s" s="9">
        <v>16</v>
      </c>
      <c r="D10186" t="s" s="8">
        <v>3805</v>
      </c>
      <c r="E10186" t="s" s="9">
        <v>3805</v>
      </c>
      <c r="F10186" s="19">
        <v>4</v>
      </c>
      <c r="G10186" t="s" s="11">
        <v>73</v>
      </c>
      <c r="H10186" s="19">
        <v>4</v>
      </c>
      <c r="I10186" t="s" s="11">
        <v>73</v>
      </c>
      <c r="J10186" t="s" s="11">
        <v>20</v>
      </c>
      <c r="K10186" t="s" s="16">
        <f>HYPERLINK("http://csr.bu.edu/ftp/asl/asllvd/demos/verify_start_end_handshape_annotations//test_auto_move//signs_mov/4147.mov","MOV")</f>
        <v>21</v>
      </c>
      <c r="L10186" t="s" s="16">
        <f>HYPERLINK("http://csr.bu.edu/ftp/asl/asllvd/demos/verify_start_end_handshape_annotations//test_auto_move//signs_mov_separ_signers/Liz_4147.mov","MOV")</f>
        <v>21</v>
      </c>
      <c r="M10186" t="s" s="10">
        <v>77</v>
      </c>
      <c r="N10186" s="17">
        <v>16</v>
      </c>
      <c r="O10186" s="18">
        <v>5955</v>
      </c>
      <c r="P10186" s="18">
        <v>6015</v>
      </c>
      <c r="Q10186" t="s" s="16">
        <f>HYPERLINK("http://secrets.rutgers.edu:8080/data/asl-ftp/asllvd/demos/verify_start_end_handshape_annotations//test_auto_move//signs_mov/4147.mov","MOV")</f>
        <v>21</v>
      </c>
      <c r="R10186" t="s" s="16">
        <f>HYPERLINK("http://secrets.rutgers.edu:8080/data/asl-ftp/asllvd/demos/verify_start_end_handshape_annotations//test_auto_move//signs_mov_separ_signers/Liz_4147.mov","MOV")</f>
        <v>21</v>
      </c>
    </row>
    <row r="10187" s="2" customFormat="1" ht="13.5" customHeight="1">
      <c r="B10187" s="13"/>
      <c r="C10187" t="s" s="9">
        <v>30</v>
      </c>
      <c r="D10187" t="s" s="8">
        <v>3805</v>
      </c>
      <c r="E10187" t="s" s="9">
        <v>3805</v>
      </c>
      <c r="F10187" s="19">
        <v>4</v>
      </c>
      <c r="G10187" t="s" s="11">
        <v>73</v>
      </c>
      <c r="H10187" s="19">
        <v>4</v>
      </c>
      <c r="I10187" t="s" s="11">
        <v>73</v>
      </c>
      <c r="J10187" t="s" s="11">
        <v>20</v>
      </c>
      <c r="K10187" s="15"/>
      <c r="L10187" t="s" s="16">
        <f>HYPERLINK("http://csr.bu.edu/ftp/asl/asllvd/demos/verify_start_end_handshape_annotations//test_auto_move//signs_mov_separ_signers/Brady_4147.mov","MOV")</f>
        <v>21</v>
      </c>
      <c r="M10187" t="s" s="10">
        <v>39</v>
      </c>
      <c r="N10187" s="17">
        <v>22</v>
      </c>
      <c r="O10187" s="18">
        <v>4539</v>
      </c>
      <c r="P10187" s="18">
        <v>4561</v>
      </c>
      <c r="Q10187" s="15"/>
      <c r="R10187" t="s" s="16">
        <f>HYPERLINK("http://secrets.rutgers.edu:8080/data/asl-ftp/asllvd/demos/verify_start_end_handshape_annotations//test_auto_move//signs_mov_separ_signers/Brady_4147.mov","MOV")</f>
        <v>21</v>
      </c>
    </row>
    <row r="10188" s="2" customFormat="1" ht="13.5" customHeight="1">
      <c r="B10188" t="s" s="8">
        <v>3806</v>
      </c>
      <c r="C10188" t="s" s="9">
        <v>14</v>
      </c>
      <c r="D10188" t="s" s="8">
        <v>14</v>
      </c>
      <c r="E10188" t="s" s="9">
        <v>14</v>
      </c>
      <c r="F10188" t="s" s="10">
        <v>14</v>
      </c>
      <c r="G10188" t="s" s="11">
        <v>14</v>
      </c>
      <c r="H10188" t="s" s="10">
        <v>14</v>
      </c>
      <c r="I10188" t="s" s="11">
        <v>14</v>
      </c>
      <c r="J10188" t="s" s="11">
        <v>14</v>
      </c>
      <c r="K10188" t="s" s="12">
        <v>14</v>
      </c>
      <c r="L10188" t="s" s="12">
        <v>14</v>
      </c>
      <c r="M10188" t="s" s="10">
        <v>14</v>
      </c>
      <c r="N10188" t="s" s="11">
        <v>14</v>
      </c>
      <c r="O10188" t="s" s="8">
        <v>14</v>
      </c>
      <c r="P10188" t="s" s="8">
        <v>14</v>
      </c>
      <c r="Q10188" t="s" s="12">
        <v>14</v>
      </c>
      <c r="R10188" t="s" s="12">
        <v>14</v>
      </c>
    </row>
    <row r="10189" s="2" customFormat="1" ht="13.5" customHeight="1">
      <c r="B10189" s="13"/>
      <c r="C10189" t="s" s="9">
        <v>16</v>
      </c>
      <c r="D10189" t="s" s="8">
        <v>3806</v>
      </c>
      <c r="E10189" t="s" s="9">
        <v>3806</v>
      </c>
      <c r="F10189" t="s" s="10">
        <v>282</v>
      </c>
      <c r="G10189" s="17">
        <v>1</v>
      </c>
      <c r="H10189" t="s" s="10">
        <v>282</v>
      </c>
      <c r="I10189" s="17">
        <v>1</v>
      </c>
      <c r="J10189" t="s" s="11">
        <v>20</v>
      </c>
      <c r="K10189" t="s" s="16">
        <f>HYPERLINK("http://csr.bu.edu/ftp/asl/asllvd/demos/verify_start_end_handshape_annotations//test_auto_move//signs_mov/4149.mov","MOV")</f>
        <v>21</v>
      </c>
      <c r="L10189" t="s" s="16">
        <f>HYPERLINK("http://csr.bu.edu/ftp/asl/asllvd/demos/verify_start_end_handshape_annotations//test_auto_move//signs_mov_separ_signers/Liz_4149.mov","MOV")</f>
        <v>21</v>
      </c>
      <c r="M10189" t="s" s="10">
        <v>77</v>
      </c>
      <c r="N10189" s="17">
        <v>16</v>
      </c>
      <c r="O10189" s="18">
        <v>8165</v>
      </c>
      <c r="P10189" s="18">
        <v>8210</v>
      </c>
      <c r="Q10189" t="s" s="16">
        <f>HYPERLINK("http://secrets.rutgers.edu:8080/data/asl-ftp/asllvd/demos/verify_start_end_handshape_annotations//test_auto_move//signs_mov/4149.mov","MOV")</f>
        <v>21</v>
      </c>
      <c r="R10189" t="s" s="16">
        <f>HYPERLINK("http://secrets.rutgers.edu:8080/data/asl-ftp/asllvd/demos/verify_start_end_handshape_annotations//test_auto_move//signs_mov_separ_signers/Liz_4149.mov","MOV")</f>
        <v>21</v>
      </c>
    </row>
    <row r="10190" s="2" customFormat="1" ht="13.5" customHeight="1">
      <c r="B10190" t="s" s="8">
        <v>3807</v>
      </c>
      <c r="C10190" t="s" s="9">
        <v>14</v>
      </c>
      <c r="D10190" t="s" s="8">
        <v>14</v>
      </c>
      <c r="E10190" t="s" s="9">
        <v>14</v>
      </c>
      <c r="F10190" t="s" s="10">
        <v>14</v>
      </c>
      <c r="G10190" t="s" s="11">
        <v>14</v>
      </c>
      <c r="H10190" t="s" s="10">
        <v>14</v>
      </c>
      <c r="I10190" t="s" s="11">
        <v>14</v>
      </c>
      <c r="J10190" t="s" s="11">
        <v>14</v>
      </c>
      <c r="K10190" t="s" s="12">
        <v>14</v>
      </c>
      <c r="L10190" t="s" s="12">
        <v>14</v>
      </c>
      <c r="M10190" t="s" s="10">
        <v>14</v>
      </c>
      <c r="N10190" t="s" s="11">
        <v>14</v>
      </c>
      <c r="O10190" t="s" s="8">
        <v>14</v>
      </c>
      <c r="P10190" t="s" s="8">
        <v>14</v>
      </c>
      <c r="Q10190" t="s" s="12">
        <v>14</v>
      </c>
      <c r="R10190" t="s" s="12">
        <v>14</v>
      </c>
    </row>
    <row r="10191" s="2" customFormat="1" ht="13.5" customHeight="1">
      <c r="B10191" s="13"/>
      <c r="C10191" t="s" s="9">
        <v>16</v>
      </c>
      <c r="D10191" t="s" s="8">
        <v>3807</v>
      </c>
      <c r="E10191" t="s" s="9">
        <v>3807</v>
      </c>
      <c r="F10191" t="s" s="10">
        <v>282</v>
      </c>
      <c r="G10191" t="s" s="11">
        <v>73</v>
      </c>
      <c r="H10191" t="s" s="10">
        <v>282</v>
      </c>
      <c r="I10191" t="s" s="11">
        <v>73</v>
      </c>
      <c r="J10191" t="s" s="11">
        <v>20</v>
      </c>
      <c r="K10191" t="s" s="16">
        <f>HYPERLINK("http://csr.bu.edu/ftp/asl/asllvd/demos/verify_start_end_handshape_annotations//test_auto_move//signs_mov/4150.mov","MOV")</f>
        <v>21</v>
      </c>
      <c r="L10191" t="s" s="16">
        <f>HYPERLINK("http://csr.bu.edu/ftp/asl/asllvd/demos/verify_start_end_handshape_annotations//test_auto_move//signs_mov_separ_signers/Liz_4150.mov","MOV")</f>
        <v>21</v>
      </c>
      <c r="M10191" t="s" s="10">
        <v>77</v>
      </c>
      <c r="N10191" s="17">
        <v>16</v>
      </c>
      <c r="O10191" s="18">
        <v>6780</v>
      </c>
      <c r="P10191" s="18">
        <v>6830</v>
      </c>
      <c r="Q10191" t="s" s="16">
        <f>HYPERLINK("http://secrets.rutgers.edu:8080/data/asl-ftp/asllvd/demos/verify_start_end_handshape_annotations//test_auto_move//signs_mov/4150.mov","MOV")</f>
        <v>21</v>
      </c>
      <c r="R10191" t="s" s="16">
        <f>HYPERLINK("http://secrets.rutgers.edu:8080/data/asl-ftp/asllvd/demos/verify_start_end_handshape_annotations//test_auto_move//signs_mov_separ_signers/Liz_4150.mov","MOV")</f>
        <v>21</v>
      </c>
    </row>
    <row r="10192" s="2" customFormat="1" ht="13.5" customHeight="1">
      <c r="B10192" t="s" s="8">
        <v>3808</v>
      </c>
      <c r="C10192" t="s" s="9">
        <v>14</v>
      </c>
      <c r="D10192" t="s" s="8">
        <v>14</v>
      </c>
      <c r="E10192" t="s" s="9">
        <v>14</v>
      </c>
      <c r="F10192" t="s" s="10">
        <v>14</v>
      </c>
      <c r="G10192" t="s" s="11">
        <v>14</v>
      </c>
      <c r="H10192" t="s" s="10">
        <v>14</v>
      </c>
      <c r="I10192" t="s" s="11">
        <v>14</v>
      </c>
      <c r="J10192" t="s" s="11">
        <v>14</v>
      </c>
      <c r="K10192" t="s" s="12">
        <v>14</v>
      </c>
      <c r="L10192" t="s" s="12">
        <v>14</v>
      </c>
      <c r="M10192" t="s" s="10">
        <v>14</v>
      </c>
      <c r="N10192" t="s" s="11">
        <v>14</v>
      </c>
      <c r="O10192" t="s" s="8">
        <v>14</v>
      </c>
      <c r="P10192" t="s" s="8">
        <v>14</v>
      </c>
      <c r="Q10192" t="s" s="12">
        <v>14</v>
      </c>
      <c r="R10192" t="s" s="12">
        <v>14</v>
      </c>
    </row>
    <row r="10193" s="2" customFormat="1" ht="13.5" customHeight="1">
      <c r="B10193" s="13"/>
      <c r="C10193" t="s" s="9">
        <v>16</v>
      </c>
      <c r="D10193" t="s" s="8">
        <v>3808</v>
      </c>
      <c r="E10193" t="s" s="9">
        <v>3808</v>
      </c>
      <c r="F10193" s="19">
        <v>7</v>
      </c>
      <c r="G10193" s="17">
        <v>1</v>
      </c>
      <c r="H10193" s="19">
        <v>7</v>
      </c>
      <c r="I10193" s="17">
        <v>1</v>
      </c>
      <c r="J10193" t="s" s="11">
        <v>20</v>
      </c>
      <c r="K10193" t="s" s="16">
        <f>HYPERLINK("http://csr.bu.edu/ftp/asl/asllvd/demos/verify_start_end_handshape_annotations//test_auto_move//signs_mov/4152.mov","MOV")</f>
        <v>21</v>
      </c>
      <c r="L10193" t="s" s="16">
        <f>HYPERLINK("http://csr.bu.edu/ftp/asl/asllvd/demos/verify_start_end_handshape_annotations//test_auto_move//signs_mov_separ_signers/Liz_4152.mov","MOV")</f>
        <v>21</v>
      </c>
      <c r="M10193" t="s" s="10">
        <v>77</v>
      </c>
      <c r="N10193" s="17">
        <v>16</v>
      </c>
      <c r="O10193" s="18">
        <v>7840</v>
      </c>
      <c r="P10193" s="18">
        <v>7900</v>
      </c>
      <c r="Q10193" t="s" s="16">
        <f>HYPERLINK("http://secrets.rutgers.edu:8080/data/asl-ftp/asllvd/demos/verify_start_end_handshape_annotations//test_auto_move//signs_mov/4152.mov","MOV")</f>
        <v>21</v>
      </c>
      <c r="R10193" t="s" s="16">
        <f>HYPERLINK("http://secrets.rutgers.edu:8080/data/asl-ftp/asllvd/demos/verify_start_end_handshape_annotations//test_auto_move//signs_mov_separ_signers/Liz_4152.mov","MOV")</f>
        <v>21</v>
      </c>
    </row>
    <row r="10194" s="2" customFormat="1" ht="13.5" customHeight="1">
      <c r="B10194" s="13"/>
      <c r="C10194" t="s" s="9">
        <v>30</v>
      </c>
      <c r="D10194" t="s" s="8">
        <v>3808</v>
      </c>
      <c r="E10194" t="s" s="9">
        <v>3808</v>
      </c>
      <c r="F10194" s="19">
        <v>7</v>
      </c>
      <c r="G10194" s="17">
        <v>1</v>
      </c>
      <c r="H10194" s="19">
        <v>7</v>
      </c>
      <c r="I10194" s="17">
        <v>1</v>
      </c>
      <c r="J10194" t="s" s="11">
        <v>20</v>
      </c>
      <c r="K10194" s="15"/>
      <c r="L10194" t="s" s="16">
        <f>HYPERLINK("http://csr.bu.edu/ftp/asl/asllvd/demos/verify_start_end_handshape_annotations//test_auto_move//signs_mov_separ_signers/Brady_4152.mov","MOV")</f>
        <v>21</v>
      </c>
      <c r="M10194" t="s" s="10">
        <v>40</v>
      </c>
      <c r="N10194" s="17">
        <v>77</v>
      </c>
      <c r="O10194" s="18">
        <v>3284</v>
      </c>
      <c r="P10194" s="18">
        <v>3307</v>
      </c>
      <c r="Q10194" s="15"/>
      <c r="R10194" t="s" s="16">
        <f>HYPERLINK("http://secrets.rutgers.edu:8080/data/asl-ftp/asllvd/demos/verify_start_end_handshape_annotations//test_auto_move//signs_mov_separ_signers/Brady_4152.mov","MOV")</f>
        <v>21</v>
      </c>
    </row>
    <row r="10195" s="2" customFormat="1" ht="13.5" customHeight="1">
      <c r="B10195" t="s" s="8">
        <v>3809</v>
      </c>
      <c r="C10195" t="s" s="9">
        <v>14</v>
      </c>
      <c r="D10195" t="s" s="8">
        <v>14</v>
      </c>
      <c r="E10195" t="s" s="9">
        <v>14</v>
      </c>
      <c r="F10195" t="s" s="10">
        <v>14</v>
      </c>
      <c r="G10195" t="s" s="11">
        <v>14</v>
      </c>
      <c r="H10195" t="s" s="10">
        <v>14</v>
      </c>
      <c r="I10195" t="s" s="11">
        <v>14</v>
      </c>
      <c r="J10195" t="s" s="11">
        <v>14</v>
      </c>
      <c r="K10195" t="s" s="12">
        <v>14</v>
      </c>
      <c r="L10195" t="s" s="12">
        <v>14</v>
      </c>
      <c r="M10195" t="s" s="10">
        <v>14</v>
      </c>
      <c r="N10195" t="s" s="11">
        <v>14</v>
      </c>
      <c r="O10195" t="s" s="8">
        <v>14</v>
      </c>
      <c r="P10195" t="s" s="8">
        <v>14</v>
      </c>
      <c r="Q10195" t="s" s="12">
        <v>14</v>
      </c>
      <c r="R10195" t="s" s="12">
        <v>14</v>
      </c>
    </row>
    <row r="10196" s="2" customFormat="1" ht="13.5" customHeight="1">
      <c r="B10196" s="13"/>
      <c r="C10196" t="s" s="9">
        <v>16</v>
      </c>
      <c r="D10196" t="s" s="8">
        <v>3809</v>
      </c>
      <c r="E10196" t="s" s="9">
        <v>3809</v>
      </c>
      <c r="F10196" s="19">
        <v>7</v>
      </c>
      <c r="G10196" t="s" s="11">
        <v>73</v>
      </c>
      <c r="H10196" s="19">
        <v>7</v>
      </c>
      <c r="I10196" t="s" s="11">
        <v>73</v>
      </c>
      <c r="J10196" t="s" s="11">
        <v>20</v>
      </c>
      <c r="K10196" t="s" s="16">
        <f>HYPERLINK("http://csr.bu.edu/ftp/asl/asllvd/demos/verify_start_end_handshape_annotations//test_auto_move//signs_mov/4153.mov","MOV")</f>
        <v>21</v>
      </c>
      <c r="L10196" t="s" s="16">
        <f>HYPERLINK("http://csr.bu.edu/ftp/asl/asllvd/demos/verify_start_end_handshape_annotations//test_auto_move//signs_mov_separ_signers/Liz_4153.mov","MOV")</f>
        <v>21</v>
      </c>
      <c r="M10196" t="s" s="10">
        <v>77</v>
      </c>
      <c r="N10196" s="17">
        <v>16</v>
      </c>
      <c r="O10196" s="18">
        <v>6450</v>
      </c>
      <c r="P10196" s="18">
        <v>6500</v>
      </c>
      <c r="Q10196" t="s" s="16">
        <f>HYPERLINK("http://secrets.rutgers.edu:8080/data/asl-ftp/asllvd/demos/verify_start_end_handshape_annotations//test_auto_move//signs_mov/4153.mov","MOV")</f>
        <v>21</v>
      </c>
      <c r="R10196" t="s" s="16">
        <f>HYPERLINK("http://secrets.rutgers.edu:8080/data/asl-ftp/asllvd/demos/verify_start_end_handshape_annotations//test_auto_move//signs_mov_separ_signers/Liz_4153.mov","MOV")</f>
        <v>21</v>
      </c>
    </row>
    <row r="10197" s="2" customFormat="1" ht="13.5" customHeight="1">
      <c r="B10197" s="13"/>
      <c r="C10197" t="s" s="9">
        <v>30</v>
      </c>
      <c r="D10197" t="s" s="8">
        <v>3809</v>
      </c>
      <c r="E10197" t="s" s="9">
        <v>3809</v>
      </c>
      <c r="F10197" s="19">
        <v>7</v>
      </c>
      <c r="G10197" t="s" s="11">
        <v>73</v>
      </c>
      <c r="H10197" s="19">
        <v>7</v>
      </c>
      <c r="I10197" t="s" s="11">
        <v>73</v>
      </c>
      <c r="J10197" t="s" s="11">
        <v>20</v>
      </c>
      <c r="K10197" s="15"/>
      <c r="L10197" t="s" s="16">
        <f>HYPERLINK("http://csr.bu.edu/ftp/asl/asllvd/demos/verify_start_end_handshape_annotations//test_auto_move//signs_mov_separ_signers/Brady_4153.mov","MOV")</f>
        <v>21</v>
      </c>
      <c r="M10197" t="s" s="10">
        <v>40</v>
      </c>
      <c r="N10197" s="17">
        <v>77</v>
      </c>
      <c r="O10197" s="18">
        <v>3504</v>
      </c>
      <c r="P10197" s="18">
        <v>3523</v>
      </c>
      <c r="Q10197" s="15"/>
      <c r="R10197" t="s" s="16">
        <f>HYPERLINK("http://secrets.rutgers.edu:8080/data/asl-ftp/asllvd/demos/verify_start_end_handshape_annotations//test_auto_move//signs_mov_separ_signers/Brady_4153.mov","MOV")</f>
        <v>21</v>
      </c>
    </row>
    <row r="10198" s="2" customFormat="1" ht="13.5" customHeight="1">
      <c r="B10198" t="s" s="8">
        <v>3810</v>
      </c>
      <c r="C10198" t="s" s="9">
        <v>14</v>
      </c>
      <c r="D10198" t="s" s="8">
        <v>14</v>
      </c>
      <c r="E10198" t="s" s="9">
        <v>14</v>
      </c>
      <c r="F10198" t="s" s="10">
        <v>14</v>
      </c>
      <c r="G10198" t="s" s="11">
        <v>14</v>
      </c>
      <c r="H10198" t="s" s="10">
        <v>14</v>
      </c>
      <c r="I10198" t="s" s="11">
        <v>14</v>
      </c>
      <c r="J10198" t="s" s="11">
        <v>14</v>
      </c>
      <c r="K10198" t="s" s="12">
        <v>14</v>
      </c>
      <c r="L10198" t="s" s="12">
        <v>14</v>
      </c>
      <c r="M10198" t="s" s="10">
        <v>14</v>
      </c>
      <c r="N10198" t="s" s="11">
        <v>14</v>
      </c>
      <c r="O10198" t="s" s="8">
        <v>14</v>
      </c>
      <c r="P10198" t="s" s="8">
        <v>14</v>
      </c>
      <c r="Q10198" t="s" s="12">
        <v>14</v>
      </c>
      <c r="R10198" t="s" s="12">
        <v>14</v>
      </c>
    </row>
    <row r="10199" s="2" customFormat="1" ht="13.5" customHeight="1">
      <c r="B10199" s="13"/>
      <c r="C10199" t="s" s="9">
        <v>16</v>
      </c>
      <c r="D10199" t="s" s="8">
        <v>3810</v>
      </c>
      <c r="E10199" t="s" s="9">
        <v>3810</v>
      </c>
      <c r="F10199" s="19">
        <v>6</v>
      </c>
      <c r="G10199" s="17">
        <v>1</v>
      </c>
      <c r="H10199" s="19">
        <v>6</v>
      </c>
      <c r="I10199" s="17">
        <v>1</v>
      </c>
      <c r="J10199" t="s" s="11">
        <v>20</v>
      </c>
      <c r="K10199" t="s" s="16">
        <f>HYPERLINK("http://csr.bu.edu/ftp/asl/asllvd/demos/verify_start_end_handshape_annotations//test_auto_move//signs_mov/4155.mov","MOV")</f>
        <v>21</v>
      </c>
      <c r="L10199" t="s" s="16">
        <f>HYPERLINK("http://csr.bu.edu/ftp/asl/asllvd/demos/verify_start_end_handshape_annotations//test_auto_move//signs_mov_separ_signers/Liz_4155.mov","MOV")</f>
        <v>21</v>
      </c>
      <c r="M10199" t="s" s="10">
        <v>77</v>
      </c>
      <c r="N10199" s="17">
        <v>16</v>
      </c>
      <c r="O10199" s="18">
        <v>7646</v>
      </c>
      <c r="P10199" s="18">
        <v>7706</v>
      </c>
      <c r="Q10199" t="s" s="16">
        <f>HYPERLINK("http://secrets.rutgers.edu:8080/data/asl-ftp/asllvd/demos/verify_start_end_handshape_annotations//test_auto_move//signs_mov/4155.mov","MOV")</f>
        <v>21</v>
      </c>
      <c r="R10199" t="s" s="16">
        <f>HYPERLINK("http://secrets.rutgers.edu:8080/data/asl-ftp/asllvd/demos/verify_start_end_handshape_annotations//test_auto_move//signs_mov_separ_signers/Liz_4155.mov","MOV")</f>
        <v>21</v>
      </c>
    </row>
    <row r="10200" s="2" customFormat="1" ht="13.5" customHeight="1">
      <c r="B10200" t="s" s="8">
        <v>3811</v>
      </c>
      <c r="C10200" t="s" s="9">
        <v>14</v>
      </c>
      <c r="D10200" t="s" s="8">
        <v>14</v>
      </c>
      <c r="E10200" t="s" s="9">
        <v>14</v>
      </c>
      <c r="F10200" t="s" s="10">
        <v>14</v>
      </c>
      <c r="G10200" t="s" s="11">
        <v>14</v>
      </c>
      <c r="H10200" t="s" s="10">
        <v>14</v>
      </c>
      <c r="I10200" t="s" s="11">
        <v>14</v>
      </c>
      <c r="J10200" t="s" s="11">
        <v>14</v>
      </c>
      <c r="K10200" t="s" s="12">
        <v>14</v>
      </c>
      <c r="L10200" t="s" s="12">
        <v>14</v>
      </c>
      <c r="M10200" t="s" s="10">
        <v>14</v>
      </c>
      <c r="N10200" t="s" s="11">
        <v>14</v>
      </c>
      <c r="O10200" t="s" s="8">
        <v>14</v>
      </c>
      <c r="P10200" t="s" s="8">
        <v>14</v>
      </c>
      <c r="Q10200" t="s" s="12">
        <v>14</v>
      </c>
      <c r="R10200" t="s" s="12">
        <v>14</v>
      </c>
    </row>
    <row r="10201" s="2" customFormat="1" ht="13.5" customHeight="1">
      <c r="B10201" s="13"/>
      <c r="C10201" t="s" s="9">
        <v>16</v>
      </c>
      <c r="D10201" t="s" s="8">
        <v>3811</v>
      </c>
      <c r="E10201" t="s" s="9">
        <v>3811</v>
      </c>
      <c r="F10201" s="19">
        <v>6</v>
      </c>
      <c r="G10201" t="s" s="11">
        <v>73</v>
      </c>
      <c r="H10201" s="19">
        <v>6</v>
      </c>
      <c r="I10201" t="s" s="11">
        <v>73</v>
      </c>
      <c r="J10201" t="s" s="11">
        <v>20</v>
      </c>
      <c r="K10201" t="s" s="16">
        <f>HYPERLINK("http://csr.bu.edu/ftp/asl/asllvd/demos/verify_start_end_handshape_annotations//test_auto_move//signs_mov/4156.mov","MOV")</f>
        <v>21</v>
      </c>
      <c r="L10201" t="s" s="16">
        <f>HYPERLINK("http://csr.bu.edu/ftp/asl/asllvd/demos/verify_start_end_handshape_annotations//test_auto_move//signs_mov_separ_signers/Liz_4156.mov","MOV")</f>
        <v>21</v>
      </c>
      <c r="M10201" t="s" s="10">
        <v>77</v>
      </c>
      <c r="N10201" s="17">
        <v>16</v>
      </c>
      <c r="O10201" s="18">
        <v>6285</v>
      </c>
      <c r="P10201" s="18">
        <v>6340</v>
      </c>
      <c r="Q10201" t="s" s="16">
        <f>HYPERLINK("http://secrets.rutgers.edu:8080/data/asl-ftp/asllvd/demos/verify_start_end_handshape_annotations//test_auto_move//signs_mov/4156.mov","MOV")</f>
        <v>21</v>
      </c>
      <c r="R10201" t="s" s="16">
        <f>HYPERLINK("http://secrets.rutgers.edu:8080/data/asl-ftp/asllvd/demos/verify_start_end_handshape_annotations//test_auto_move//signs_mov_separ_signers/Liz_4156.mov","MOV")</f>
        <v>21</v>
      </c>
    </row>
    <row r="10202" s="2" customFormat="1" ht="13.5" customHeight="1">
      <c r="B10202" s="13"/>
      <c r="C10202" t="s" s="9">
        <v>30</v>
      </c>
      <c r="D10202" t="s" s="8">
        <v>3811</v>
      </c>
      <c r="E10202" t="s" s="9">
        <v>3811</v>
      </c>
      <c r="F10202" s="19">
        <v>6</v>
      </c>
      <c r="G10202" t="s" s="11">
        <v>73</v>
      </c>
      <c r="H10202" s="19">
        <v>6</v>
      </c>
      <c r="I10202" t="s" s="11">
        <v>73</v>
      </c>
      <c r="J10202" t="s" s="11">
        <v>20</v>
      </c>
      <c r="K10202" s="15"/>
      <c r="L10202" t="s" s="16">
        <f>HYPERLINK("http://csr.bu.edu/ftp/asl/asllvd/demos/verify_start_end_handshape_annotations//test_auto_move//signs_mov_separ_signers/Brady_4156.mov","MOV")</f>
        <v>21</v>
      </c>
      <c r="M10202" t="s" s="10">
        <v>40</v>
      </c>
      <c r="N10202" s="17">
        <v>85</v>
      </c>
      <c r="O10202" s="18">
        <v>140</v>
      </c>
      <c r="P10202" s="18">
        <v>157</v>
      </c>
      <c r="Q10202" s="15"/>
      <c r="R10202" t="s" s="16">
        <f>HYPERLINK("http://secrets.rutgers.edu:8080/data/asl-ftp/asllvd/demos/verify_start_end_handshape_annotations//test_auto_move//signs_mov_separ_signers/Brady_4156.mov","MOV")</f>
        <v>21</v>
      </c>
    </row>
    <row r="10203" s="2" customFormat="1" ht="13.5" customHeight="1">
      <c r="B10203" t="s" s="8">
        <v>3812</v>
      </c>
      <c r="C10203" t="s" s="9">
        <v>14</v>
      </c>
      <c r="D10203" t="s" s="8">
        <v>14</v>
      </c>
      <c r="E10203" t="s" s="9">
        <v>14</v>
      </c>
      <c r="F10203" t="s" s="10">
        <v>14</v>
      </c>
      <c r="G10203" t="s" s="11">
        <v>14</v>
      </c>
      <c r="H10203" t="s" s="10">
        <v>14</v>
      </c>
      <c r="I10203" t="s" s="11">
        <v>14</v>
      </c>
      <c r="J10203" t="s" s="11">
        <v>14</v>
      </c>
      <c r="K10203" t="s" s="12">
        <v>14</v>
      </c>
      <c r="L10203" t="s" s="12">
        <v>14</v>
      </c>
      <c r="M10203" t="s" s="10">
        <v>14</v>
      </c>
      <c r="N10203" t="s" s="11">
        <v>14</v>
      </c>
      <c r="O10203" t="s" s="8">
        <v>14</v>
      </c>
      <c r="P10203" t="s" s="8">
        <v>14</v>
      </c>
      <c r="Q10203" t="s" s="12">
        <v>14</v>
      </c>
      <c r="R10203" t="s" s="12">
        <v>14</v>
      </c>
    </row>
    <row r="10204" s="2" customFormat="1" ht="13.5" customHeight="1">
      <c r="B10204" s="13"/>
      <c r="C10204" t="s" s="9">
        <v>30</v>
      </c>
      <c r="D10204" t="s" s="8">
        <v>3812</v>
      </c>
      <c r="E10204" t="s" s="9">
        <v>3812</v>
      </c>
      <c r="F10204" s="19">
        <v>3</v>
      </c>
      <c r="G10204" t="s" s="11">
        <v>73</v>
      </c>
      <c r="H10204" s="19">
        <v>3</v>
      </c>
      <c r="I10204" t="s" s="11">
        <v>73</v>
      </c>
      <c r="J10204" t="s" s="11">
        <v>20</v>
      </c>
      <c r="K10204" t="s" s="16">
        <f>HYPERLINK("http://csr.bu.edu/ftp/asl/asllvd/demos/verify_start_end_handshape_annotations//test_auto_move//signs_mov/4157.mov","MOV")</f>
        <v>21</v>
      </c>
      <c r="L10204" t="s" s="16">
        <f>HYPERLINK("http://csr.bu.edu/ftp/asl/asllvd/demos/verify_start_end_handshape_annotations//test_auto_move//signs_mov_separ_signers/Brady_4157.mov","MOV")</f>
        <v>21</v>
      </c>
      <c r="M10204" t="s" s="10">
        <v>40</v>
      </c>
      <c r="N10204" s="17">
        <v>117</v>
      </c>
      <c r="O10204" s="18">
        <v>428</v>
      </c>
      <c r="P10204" s="18">
        <v>460</v>
      </c>
      <c r="Q10204" t="s" s="16">
        <f>HYPERLINK("http://secrets.rutgers.edu:8080/data/asl-ftp/asllvd/demos/verify_start_end_handshape_annotations//test_auto_move//signs_mov/4157.mov","MOV")</f>
        <v>21</v>
      </c>
      <c r="R10204" t="s" s="16">
        <f>HYPERLINK("http://secrets.rutgers.edu:8080/data/asl-ftp/asllvd/demos/verify_start_end_handshape_annotations//test_auto_move//signs_mov_separ_signers/Brady_4157.mov","MOV")</f>
        <v>21</v>
      </c>
    </row>
    <row r="10205" s="2" customFormat="1" ht="13.5" customHeight="1">
      <c r="B10205" t="s" s="8">
        <v>3813</v>
      </c>
      <c r="C10205" t="s" s="9">
        <v>14</v>
      </c>
      <c r="D10205" t="s" s="8">
        <v>14</v>
      </c>
      <c r="E10205" t="s" s="9">
        <v>14</v>
      </c>
      <c r="F10205" t="s" s="10">
        <v>14</v>
      </c>
      <c r="G10205" t="s" s="11">
        <v>14</v>
      </c>
      <c r="H10205" t="s" s="10">
        <v>14</v>
      </c>
      <c r="I10205" t="s" s="11">
        <v>14</v>
      </c>
      <c r="J10205" t="s" s="11">
        <v>14</v>
      </c>
      <c r="K10205" t="s" s="12">
        <v>14</v>
      </c>
      <c r="L10205" t="s" s="12">
        <v>14</v>
      </c>
      <c r="M10205" t="s" s="10">
        <v>14</v>
      </c>
      <c r="N10205" t="s" s="11">
        <v>14</v>
      </c>
      <c r="O10205" t="s" s="8">
        <v>14</v>
      </c>
      <c r="P10205" t="s" s="8">
        <v>14</v>
      </c>
      <c r="Q10205" t="s" s="12">
        <v>14</v>
      </c>
      <c r="R10205" t="s" s="12">
        <v>14</v>
      </c>
    </row>
    <row r="10206" s="2" customFormat="1" ht="13.5" customHeight="1">
      <c r="B10206" s="13"/>
      <c r="C10206" t="s" s="9">
        <v>16</v>
      </c>
      <c r="D10206" t="s" s="8">
        <v>3813</v>
      </c>
      <c r="E10206" t="s" s="9">
        <v>3813</v>
      </c>
      <c r="F10206" s="19">
        <v>3</v>
      </c>
      <c r="G10206" t="s" s="11">
        <v>73</v>
      </c>
      <c r="H10206" s="19">
        <v>1</v>
      </c>
      <c r="I10206" t="s" s="11">
        <v>73</v>
      </c>
      <c r="J10206" t="s" s="11">
        <v>20</v>
      </c>
      <c r="K10206" t="s" s="16">
        <f>HYPERLINK("http://csr.bu.edu/ftp/asl/asllvd/demos/verify_start_end_handshape_annotations//test_auto_move//signs_mov/5869.mov","MOV")</f>
        <v>21</v>
      </c>
      <c r="L10206" t="s" s="16">
        <f>HYPERLINK("http://csr.bu.edu/ftp/asl/asllvd/demos/verify_start_end_handshape_annotations//test_auto_move//signs_mov_separ_signers/Liz_5869.mov","MOV")</f>
        <v>21</v>
      </c>
      <c r="M10206" t="s" s="10">
        <v>77</v>
      </c>
      <c r="N10206" s="17">
        <v>16</v>
      </c>
      <c r="O10206" s="18">
        <v>4252</v>
      </c>
      <c r="P10206" s="18">
        <v>4321</v>
      </c>
      <c r="Q10206" t="s" s="16">
        <f>HYPERLINK("http://secrets.rutgers.edu:8080/data/asl-ftp/asllvd/demos/verify_start_end_handshape_annotations//test_auto_move//signs_mov/5869.mov","MOV")</f>
        <v>21</v>
      </c>
      <c r="R10206" t="s" s="16">
        <f>HYPERLINK("http://secrets.rutgers.edu:8080/data/asl-ftp/asllvd/demos/verify_start_end_handshape_annotations//test_auto_move//signs_mov_separ_signers/Liz_5869.mov","MOV")</f>
        <v>21</v>
      </c>
    </row>
    <row r="10207" s="2" customFormat="1" ht="13.5" customHeight="1">
      <c r="B10207" t="s" s="8">
        <v>3814</v>
      </c>
      <c r="C10207" t="s" s="9">
        <v>14</v>
      </c>
      <c r="D10207" t="s" s="8">
        <v>14</v>
      </c>
      <c r="E10207" t="s" s="9">
        <v>14</v>
      </c>
      <c r="F10207" t="s" s="10">
        <v>14</v>
      </c>
      <c r="G10207" t="s" s="11">
        <v>14</v>
      </c>
      <c r="H10207" t="s" s="10">
        <v>14</v>
      </c>
      <c r="I10207" t="s" s="11">
        <v>14</v>
      </c>
      <c r="J10207" t="s" s="11">
        <v>14</v>
      </c>
      <c r="K10207" t="s" s="12">
        <v>14</v>
      </c>
      <c r="L10207" t="s" s="12">
        <v>14</v>
      </c>
      <c r="M10207" t="s" s="10">
        <v>14</v>
      </c>
      <c r="N10207" t="s" s="11">
        <v>14</v>
      </c>
      <c r="O10207" t="s" s="8">
        <v>14</v>
      </c>
      <c r="P10207" t="s" s="8">
        <v>14</v>
      </c>
      <c r="Q10207" t="s" s="12">
        <v>14</v>
      </c>
      <c r="R10207" t="s" s="12">
        <v>14</v>
      </c>
    </row>
    <row r="10208" s="2" customFormat="1" ht="13.5" customHeight="1">
      <c r="B10208" s="13"/>
      <c r="C10208" t="s" s="9">
        <v>16</v>
      </c>
      <c r="D10208" t="s" s="8">
        <v>3814</v>
      </c>
      <c r="E10208" t="s" s="9">
        <v>3814</v>
      </c>
      <c r="F10208" s="19">
        <v>3</v>
      </c>
      <c r="G10208" s="17">
        <v>1</v>
      </c>
      <c r="H10208" s="19">
        <v>3</v>
      </c>
      <c r="I10208" s="17">
        <v>1</v>
      </c>
      <c r="J10208" t="s" s="11">
        <v>20</v>
      </c>
      <c r="K10208" t="s" s="16">
        <f>HYPERLINK("http://csr.bu.edu/ftp/asl/asllvd/demos/verify_start_end_handshape_annotations//test_auto_move//signs_mov/4158.mov","MOV")</f>
        <v>21</v>
      </c>
      <c r="L10208" t="s" s="16">
        <f>HYPERLINK("http://csr.bu.edu/ftp/asl/asllvd/demos/verify_start_end_handshape_annotations//test_auto_move//signs_mov_separ_signers/Liz_4158.mov","MOV")</f>
        <v>21</v>
      </c>
      <c r="M10208" t="s" s="10">
        <v>77</v>
      </c>
      <c r="N10208" s="17">
        <v>16</v>
      </c>
      <c r="O10208" s="18">
        <v>7145</v>
      </c>
      <c r="P10208" s="18">
        <v>7200</v>
      </c>
      <c r="Q10208" t="s" s="16">
        <f>HYPERLINK("http://secrets.rutgers.edu:8080/data/asl-ftp/asllvd/demos/verify_start_end_handshape_annotations//test_auto_move//signs_mov/4158.mov","MOV")</f>
        <v>21</v>
      </c>
      <c r="R10208" t="s" s="16">
        <f>HYPERLINK("http://secrets.rutgers.edu:8080/data/asl-ftp/asllvd/demos/verify_start_end_handshape_annotations//test_auto_move//signs_mov_separ_signers/Liz_4158.mov","MOV")</f>
        <v>21</v>
      </c>
    </row>
    <row r="10209" s="2" customFormat="1" ht="13.5" customHeight="1">
      <c r="B10209" s="13"/>
      <c r="C10209" t="s" s="9">
        <v>30</v>
      </c>
      <c r="D10209" t="s" s="8">
        <v>3814</v>
      </c>
      <c r="E10209" t="s" s="9">
        <v>3814</v>
      </c>
      <c r="F10209" s="19">
        <v>3</v>
      </c>
      <c r="G10209" s="17">
        <v>1</v>
      </c>
      <c r="H10209" s="19">
        <v>3</v>
      </c>
      <c r="I10209" s="17">
        <v>1</v>
      </c>
      <c r="J10209" t="s" s="11">
        <v>20</v>
      </c>
      <c r="K10209" s="15"/>
      <c r="L10209" t="s" s="16">
        <f>HYPERLINK("http://csr.bu.edu/ftp/asl/asllvd/demos/verify_start_end_handshape_annotations//test_auto_move//signs_mov_separ_signers/Brady_4158.mov","MOV")</f>
        <v>21</v>
      </c>
      <c r="M10209" t="s" s="10">
        <v>40</v>
      </c>
      <c r="N10209" s="17">
        <v>116</v>
      </c>
      <c r="O10209" s="18">
        <v>2205</v>
      </c>
      <c r="P10209" s="18">
        <v>2226</v>
      </c>
      <c r="Q10209" s="15"/>
      <c r="R10209" t="s" s="16">
        <f>HYPERLINK("http://secrets.rutgers.edu:8080/data/asl-ftp/asllvd/demos/verify_start_end_handshape_annotations//test_auto_move//signs_mov_separ_signers/Brady_4158.mov","MOV")</f>
        <v>21</v>
      </c>
    </row>
    <row r="10210" s="2" customFormat="1" ht="13.5" customHeight="1">
      <c r="B10210" t="s" s="8">
        <v>3815</v>
      </c>
      <c r="C10210" t="s" s="9">
        <v>14</v>
      </c>
      <c r="D10210" t="s" s="8">
        <v>14</v>
      </c>
      <c r="E10210" t="s" s="9">
        <v>14</v>
      </c>
      <c r="F10210" t="s" s="10">
        <v>14</v>
      </c>
      <c r="G10210" t="s" s="11">
        <v>14</v>
      </c>
      <c r="H10210" t="s" s="10">
        <v>14</v>
      </c>
      <c r="I10210" t="s" s="11">
        <v>14</v>
      </c>
      <c r="J10210" t="s" s="11">
        <v>14</v>
      </c>
      <c r="K10210" t="s" s="12">
        <v>14</v>
      </c>
      <c r="L10210" t="s" s="12">
        <v>14</v>
      </c>
      <c r="M10210" t="s" s="10">
        <v>14</v>
      </c>
      <c r="N10210" t="s" s="11">
        <v>14</v>
      </c>
      <c r="O10210" t="s" s="8">
        <v>14</v>
      </c>
      <c r="P10210" t="s" s="8">
        <v>14</v>
      </c>
      <c r="Q10210" t="s" s="12">
        <v>14</v>
      </c>
      <c r="R10210" t="s" s="12">
        <v>14</v>
      </c>
    </row>
    <row r="10211" s="2" customFormat="1" ht="13.5" customHeight="1">
      <c r="B10211" s="13"/>
      <c r="C10211" t="s" s="9">
        <v>16</v>
      </c>
      <c r="D10211" t="s" s="8">
        <v>3815</v>
      </c>
      <c r="E10211" t="s" s="9">
        <v>3815</v>
      </c>
      <c r="F10211" s="19">
        <v>3</v>
      </c>
      <c r="G10211" t="s" s="11">
        <v>73</v>
      </c>
      <c r="H10211" s="19">
        <v>3</v>
      </c>
      <c r="I10211" t="s" s="11">
        <v>73</v>
      </c>
      <c r="J10211" t="s" s="11">
        <v>20</v>
      </c>
      <c r="K10211" t="s" s="16">
        <f>HYPERLINK("http://csr.bu.edu/ftp/asl/asllvd/demos/verify_start_end_handshape_annotations//test_auto_move//signs_mov/4159.mov","MOV")</f>
        <v>21</v>
      </c>
      <c r="L10211" t="s" s="16">
        <f>HYPERLINK("http://csr.bu.edu/ftp/asl/asllvd/demos/verify_start_end_handshape_annotations//test_auto_move//signs_mov_separ_signers/Liz_4159.mov","MOV")</f>
        <v>21</v>
      </c>
      <c r="M10211" t="s" s="10">
        <v>77</v>
      </c>
      <c r="N10211" s="17">
        <v>16</v>
      </c>
      <c r="O10211" s="18">
        <v>5800</v>
      </c>
      <c r="P10211" s="18">
        <v>5845</v>
      </c>
      <c r="Q10211" t="s" s="16">
        <f>HYPERLINK("http://secrets.rutgers.edu:8080/data/asl-ftp/asllvd/demos/verify_start_end_handshape_annotations//test_auto_move//signs_mov/4159.mov","MOV")</f>
        <v>21</v>
      </c>
      <c r="R10211" t="s" s="16">
        <f>HYPERLINK("http://secrets.rutgers.edu:8080/data/asl-ftp/asllvd/demos/verify_start_end_handshape_annotations//test_auto_move//signs_mov_separ_signers/Liz_4159.mov","MOV")</f>
        <v>21</v>
      </c>
    </row>
    <row r="10212" s="2" customFormat="1" ht="13.5" customHeight="1">
      <c r="B10212" s="13"/>
      <c r="C10212" t="s" s="9">
        <v>30</v>
      </c>
      <c r="D10212" t="s" s="8">
        <v>3815</v>
      </c>
      <c r="E10212" t="s" s="9">
        <v>3815</v>
      </c>
      <c r="F10212" s="19">
        <v>3</v>
      </c>
      <c r="G10212" t="s" s="11">
        <v>73</v>
      </c>
      <c r="H10212" s="19">
        <v>3</v>
      </c>
      <c r="I10212" t="s" s="11">
        <v>73</v>
      </c>
      <c r="J10212" t="s" s="11">
        <v>20</v>
      </c>
      <c r="K10212" s="15"/>
      <c r="L10212" t="s" s="16">
        <f>HYPERLINK("http://csr.bu.edu/ftp/asl/asllvd/demos/verify_start_end_handshape_annotations//test_auto_move//signs_mov_separ_signers/Brady_4159.mov","MOV")</f>
        <v>21</v>
      </c>
      <c r="M10212" t="s" s="10">
        <v>40</v>
      </c>
      <c r="N10212" s="17">
        <v>116</v>
      </c>
      <c r="O10212" s="18">
        <v>2650</v>
      </c>
      <c r="P10212" s="18">
        <v>2669</v>
      </c>
      <c r="Q10212" s="15"/>
      <c r="R10212" t="s" s="16">
        <f>HYPERLINK("http://secrets.rutgers.edu:8080/data/asl-ftp/asllvd/demos/verify_start_end_handshape_annotations//test_auto_move//signs_mov_separ_signers/Brady_4159.mov","MOV")</f>
        <v>21</v>
      </c>
    </row>
    <row r="10213" s="2" customFormat="1" ht="13.5" customHeight="1">
      <c r="B10213" t="s" s="8">
        <v>3816</v>
      </c>
      <c r="C10213" t="s" s="9">
        <v>14</v>
      </c>
      <c r="D10213" t="s" s="8">
        <v>14</v>
      </c>
      <c r="E10213" t="s" s="9">
        <v>14</v>
      </c>
      <c r="F10213" t="s" s="10">
        <v>14</v>
      </c>
      <c r="G10213" t="s" s="11">
        <v>14</v>
      </c>
      <c r="H10213" t="s" s="10">
        <v>14</v>
      </c>
      <c r="I10213" t="s" s="11">
        <v>14</v>
      </c>
      <c r="J10213" t="s" s="11">
        <v>14</v>
      </c>
      <c r="K10213" t="s" s="12">
        <v>14</v>
      </c>
      <c r="L10213" t="s" s="12">
        <v>14</v>
      </c>
      <c r="M10213" t="s" s="10">
        <v>14</v>
      </c>
      <c r="N10213" t="s" s="11">
        <v>14</v>
      </c>
      <c r="O10213" t="s" s="8">
        <v>14</v>
      </c>
      <c r="P10213" t="s" s="8">
        <v>14</v>
      </c>
      <c r="Q10213" t="s" s="12">
        <v>14</v>
      </c>
      <c r="R10213" t="s" s="12">
        <v>14</v>
      </c>
    </row>
    <row r="10214" s="2" customFormat="1" ht="13.5" customHeight="1">
      <c r="B10214" s="13"/>
      <c r="C10214" t="s" s="9">
        <v>16</v>
      </c>
      <c r="D10214" t="s" s="8">
        <v>3816</v>
      </c>
      <c r="E10214" t="s" s="9">
        <v>3816</v>
      </c>
      <c r="F10214" t="s" s="10">
        <v>229</v>
      </c>
      <c r="G10214" t="s" s="11">
        <v>73</v>
      </c>
      <c r="H10214" t="s" s="10">
        <v>229</v>
      </c>
      <c r="I10214" t="s" s="11">
        <v>73</v>
      </c>
      <c r="J10214" t="s" s="11">
        <v>20</v>
      </c>
      <c r="K10214" t="s" s="16">
        <f>HYPERLINK("http://csr.bu.edu/ftp/asl/asllvd/demos/verify_start_end_handshape_annotations//test_auto_move//signs_mov/4161.mov","MOV")</f>
        <v>21</v>
      </c>
      <c r="L10214" t="s" s="16">
        <f>HYPERLINK("http://csr.bu.edu/ftp/asl/asllvd/demos/verify_start_end_handshape_annotations//test_auto_move//signs_mov_separ_signers/Liz_4161.mov","MOV")</f>
        <v>21</v>
      </c>
      <c r="M10214" t="s" s="10">
        <v>77</v>
      </c>
      <c r="N10214" s="17">
        <v>16</v>
      </c>
      <c r="O10214" s="18">
        <v>5656</v>
      </c>
      <c r="P10214" s="18">
        <v>5700</v>
      </c>
      <c r="Q10214" t="s" s="16">
        <f>HYPERLINK("http://secrets.rutgers.edu:8080/data/asl-ftp/asllvd/demos/verify_start_end_handshape_annotations//test_auto_move//signs_mov/4161.mov","MOV")</f>
        <v>21</v>
      </c>
      <c r="R10214" t="s" s="16">
        <f>HYPERLINK("http://secrets.rutgers.edu:8080/data/asl-ftp/asllvd/demos/verify_start_end_handshape_annotations//test_auto_move//signs_mov_separ_signers/Liz_4161.mov","MOV")</f>
        <v>21</v>
      </c>
    </row>
    <row r="10215" s="2" customFormat="1" ht="13.5" customHeight="1">
      <c r="B10215" s="13"/>
      <c r="C10215" t="s" s="9">
        <v>30</v>
      </c>
      <c r="D10215" t="s" s="8">
        <v>3816</v>
      </c>
      <c r="E10215" t="s" s="9">
        <v>3816</v>
      </c>
      <c r="F10215" t="s" s="10">
        <v>229</v>
      </c>
      <c r="G10215" t="s" s="11">
        <v>73</v>
      </c>
      <c r="H10215" t="s" s="10">
        <v>229</v>
      </c>
      <c r="I10215" t="s" s="11">
        <v>73</v>
      </c>
      <c r="J10215" t="s" s="11">
        <v>20</v>
      </c>
      <c r="K10215" s="15"/>
      <c r="L10215" t="s" s="16">
        <f>HYPERLINK("http://csr.bu.edu/ftp/asl/asllvd/demos/verify_start_end_handshape_annotations//test_auto_move//signs_mov_separ_signers/Brady_4161.mov","MOV")</f>
        <v>21</v>
      </c>
      <c r="M10215" t="s" s="10">
        <v>60</v>
      </c>
      <c r="N10215" s="17">
        <v>15</v>
      </c>
      <c r="O10215" s="18">
        <v>709</v>
      </c>
      <c r="P10215" s="18">
        <v>740</v>
      </c>
      <c r="Q10215" s="15"/>
      <c r="R10215" t="s" s="16">
        <f>HYPERLINK("http://secrets.rutgers.edu:8080/data/asl-ftp/asllvd/demos/verify_start_end_handshape_annotations//test_auto_move//signs_mov_separ_signers/Brady_4161.mov","MOV")</f>
        <v>21</v>
      </c>
    </row>
    <row r="10216" s="2" customFormat="1" ht="13.5" customHeight="1">
      <c r="B10216" t="s" s="8">
        <v>3817</v>
      </c>
      <c r="C10216" t="s" s="9">
        <v>14</v>
      </c>
      <c r="D10216" t="s" s="8">
        <v>14</v>
      </c>
      <c r="E10216" t="s" s="9">
        <v>14</v>
      </c>
      <c r="F10216" t="s" s="10">
        <v>14</v>
      </c>
      <c r="G10216" t="s" s="11">
        <v>14</v>
      </c>
      <c r="H10216" t="s" s="10">
        <v>14</v>
      </c>
      <c r="I10216" t="s" s="11">
        <v>14</v>
      </c>
      <c r="J10216" t="s" s="11">
        <v>14</v>
      </c>
      <c r="K10216" t="s" s="12">
        <v>14</v>
      </c>
      <c r="L10216" t="s" s="12">
        <v>14</v>
      </c>
      <c r="M10216" t="s" s="10">
        <v>14</v>
      </c>
      <c r="N10216" t="s" s="11">
        <v>14</v>
      </c>
      <c r="O10216" t="s" s="8">
        <v>14</v>
      </c>
      <c r="P10216" t="s" s="8">
        <v>14</v>
      </c>
      <c r="Q10216" t="s" s="12">
        <v>14</v>
      </c>
      <c r="R10216" t="s" s="12">
        <v>14</v>
      </c>
    </row>
    <row r="10217" s="2" customFormat="1" ht="13.5" customHeight="1">
      <c r="B10217" s="13"/>
      <c r="C10217" t="s" s="9">
        <v>16</v>
      </c>
      <c r="D10217" t="s" s="8">
        <v>3817</v>
      </c>
      <c r="E10217" t="s" s="9">
        <v>3817</v>
      </c>
      <c r="F10217" t="s" s="10">
        <v>229</v>
      </c>
      <c r="G10217" s="17">
        <v>1</v>
      </c>
      <c r="H10217" t="s" s="10">
        <v>229</v>
      </c>
      <c r="I10217" s="17">
        <v>1</v>
      </c>
      <c r="J10217" t="s" s="11">
        <v>20</v>
      </c>
      <c r="K10217" t="s" s="16">
        <f>HYPERLINK("http://csr.bu.edu/ftp/asl/asllvd/demos/verify_start_end_handshape_annotations//test_auto_move//signs_mov/4162.mov","MOV")</f>
        <v>21</v>
      </c>
      <c r="L10217" t="s" s="16">
        <f>HYPERLINK("http://csr.bu.edu/ftp/asl/asllvd/demos/verify_start_end_handshape_annotations//test_auto_move//signs_mov_separ_signers/Liz_4162.mov","MOV")</f>
        <v>21</v>
      </c>
      <c r="M10217" t="s" s="10">
        <v>77</v>
      </c>
      <c r="N10217" s="17">
        <v>16</v>
      </c>
      <c r="O10217" s="18">
        <v>6985</v>
      </c>
      <c r="P10217" s="18">
        <v>7040</v>
      </c>
      <c r="Q10217" t="s" s="16">
        <f>HYPERLINK("http://secrets.rutgers.edu:8080/data/asl-ftp/asllvd/demos/verify_start_end_handshape_annotations//test_auto_move//signs_mov/4162.mov","MOV")</f>
        <v>21</v>
      </c>
      <c r="R10217" t="s" s="16">
        <f>HYPERLINK("http://secrets.rutgers.edu:8080/data/asl-ftp/asllvd/demos/verify_start_end_handshape_annotations//test_auto_move//signs_mov_separ_signers/Liz_4162.mov","MOV")</f>
        <v>21</v>
      </c>
    </row>
    <row r="10218" s="2" customFormat="1" ht="13.5" customHeight="1">
      <c r="B10218" s="13"/>
      <c r="C10218" t="s" s="9">
        <v>30</v>
      </c>
      <c r="D10218" t="s" s="8">
        <v>3817</v>
      </c>
      <c r="E10218" t="s" s="9">
        <v>3817</v>
      </c>
      <c r="F10218" t="s" s="10">
        <v>229</v>
      </c>
      <c r="G10218" s="17">
        <v>1</v>
      </c>
      <c r="H10218" t="s" s="10">
        <v>229</v>
      </c>
      <c r="I10218" s="17">
        <v>1</v>
      </c>
      <c r="J10218" t="s" s="11">
        <v>20</v>
      </c>
      <c r="K10218" s="15"/>
      <c r="L10218" t="s" s="16">
        <f>HYPERLINK("http://csr.bu.edu/ftp/asl/asllvd/demos/verify_start_end_handshape_annotations//test_auto_move//signs_mov_separ_signers/Brady_4162.mov","MOV")</f>
        <v>21</v>
      </c>
      <c r="M10218" t="s" s="10">
        <v>60</v>
      </c>
      <c r="N10218" s="17">
        <v>14</v>
      </c>
      <c r="O10218" s="18">
        <v>1858</v>
      </c>
      <c r="P10218" s="18">
        <v>1886</v>
      </c>
      <c r="Q10218" s="15"/>
      <c r="R10218" t="s" s="16">
        <f>HYPERLINK("http://secrets.rutgers.edu:8080/data/asl-ftp/asllvd/demos/verify_start_end_handshape_annotations//test_auto_move//signs_mov_separ_signers/Brady_4162.mov","MOV")</f>
        <v>21</v>
      </c>
    </row>
    <row r="10219" s="2" customFormat="1" ht="13.5" customHeight="1">
      <c r="B10219" t="s" s="8">
        <v>3818</v>
      </c>
      <c r="C10219" t="s" s="9">
        <v>14</v>
      </c>
      <c r="D10219" t="s" s="8">
        <v>14</v>
      </c>
      <c r="E10219" t="s" s="9">
        <v>14</v>
      </c>
      <c r="F10219" t="s" s="10">
        <v>14</v>
      </c>
      <c r="G10219" t="s" s="11">
        <v>14</v>
      </c>
      <c r="H10219" t="s" s="10">
        <v>14</v>
      </c>
      <c r="I10219" t="s" s="11">
        <v>14</v>
      </c>
      <c r="J10219" t="s" s="11">
        <v>14</v>
      </c>
      <c r="K10219" t="s" s="12">
        <v>14</v>
      </c>
      <c r="L10219" t="s" s="12">
        <v>14</v>
      </c>
      <c r="M10219" t="s" s="10">
        <v>14</v>
      </c>
      <c r="N10219" t="s" s="11">
        <v>14</v>
      </c>
      <c r="O10219" t="s" s="8">
        <v>14</v>
      </c>
      <c r="P10219" t="s" s="8">
        <v>14</v>
      </c>
      <c r="Q10219" t="s" s="12">
        <v>14</v>
      </c>
      <c r="R10219" t="s" s="12">
        <v>14</v>
      </c>
    </row>
    <row r="10220" s="2" customFormat="1" ht="13.5" customHeight="1">
      <c r="B10220" s="13"/>
      <c r="C10220" t="s" s="9">
        <v>16</v>
      </c>
      <c r="D10220" t="s" s="8">
        <v>3818</v>
      </c>
      <c r="E10220" t="s" s="9">
        <v>3818</v>
      </c>
      <c r="F10220" s="19">
        <v>1</v>
      </c>
      <c r="G10220" t="s" s="11">
        <v>25</v>
      </c>
      <c r="H10220" s="19">
        <v>1</v>
      </c>
      <c r="I10220" t="s" s="11">
        <v>25</v>
      </c>
      <c r="J10220" t="s" s="11">
        <v>20</v>
      </c>
      <c r="K10220" t="s" s="16">
        <f>HYPERLINK("http://csr.bu.edu/ftp/asl/asllvd/demos/verify_start_end_handshape_annotations//test_auto_move//signs_mov/4163.mov","MOV")</f>
        <v>21</v>
      </c>
      <c r="L10220" t="s" s="16">
        <f>HYPERLINK("http://csr.bu.edu/ftp/asl/asllvd/demos/verify_start_end_handshape_annotations//test_auto_move//signs_mov_separ_signers/Liz_4163.mov","MOV")</f>
        <v>21</v>
      </c>
      <c r="M10220" t="s" s="10">
        <v>77</v>
      </c>
      <c r="N10220" s="17">
        <v>18</v>
      </c>
      <c r="O10220" s="18">
        <v>3065</v>
      </c>
      <c r="P10220" s="18">
        <v>3135</v>
      </c>
      <c r="Q10220" t="s" s="16">
        <f>HYPERLINK("http://secrets.rutgers.edu:8080/data/asl-ftp/asllvd/demos/verify_start_end_handshape_annotations//test_auto_move//signs_mov/4163.mov","MOV")</f>
        <v>21</v>
      </c>
      <c r="R10220" t="s" s="16">
        <f>HYPERLINK("http://secrets.rutgers.edu:8080/data/asl-ftp/asllvd/demos/verify_start_end_handshape_annotations//test_auto_move//signs_mov_separ_signers/Liz_4163.mov","MOV")</f>
        <v>21</v>
      </c>
    </row>
    <row r="10221" s="2" customFormat="1" ht="13.5" customHeight="1">
      <c r="B10221" s="13"/>
      <c r="C10221" t="s" s="9">
        <v>30</v>
      </c>
      <c r="D10221" t="s" s="8">
        <v>3818</v>
      </c>
      <c r="E10221" t="s" s="9">
        <v>3818</v>
      </c>
      <c r="F10221" s="19">
        <v>1</v>
      </c>
      <c r="G10221" t="s" s="11">
        <v>25</v>
      </c>
      <c r="H10221" s="19">
        <v>1</v>
      </c>
      <c r="I10221" t="s" s="11">
        <v>25</v>
      </c>
      <c r="J10221" t="s" s="11">
        <v>20</v>
      </c>
      <c r="K10221" s="15"/>
      <c r="L10221" t="s" s="16">
        <f>HYPERLINK("http://csr.bu.edu/ftp/asl/asllvd/demos/verify_start_end_handshape_annotations//test_auto_move//signs_mov_separ_signers/Brady_4163.mov","MOV")</f>
        <v>21</v>
      </c>
      <c r="M10221" t="s" s="10">
        <v>31</v>
      </c>
      <c r="N10221" s="17">
        <v>11</v>
      </c>
      <c r="O10221" s="18">
        <v>11314</v>
      </c>
      <c r="P10221" s="18">
        <v>11353</v>
      </c>
      <c r="Q10221" s="15"/>
      <c r="R10221" t="s" s="16">
        <f>HYPERLINK("http://secrets.rutgers.edu:8080/data/asl-ftp/asllvd/demos/verify_start_end_handshape_annotations//test_auto_move//signs_mov_separ_signers/Brady_4163.mov","MOV")</f>
        <v>21</v>
      </c>
    </row>
    <row r="10222" s="2" customFormat="1" ht="13.5" customHeight="1">
      <c r="B10222" t="s" s="8">
        <v>3819</v>
      </c>
      <c r="C10222" t="s" s="9">
        <v>14</v>
      </c>
      <c r="D10222" t="s" s="8">
        <v>14</v>
      </c>
      <c r="E10222" t="s" s="9">
        <v>14</v>
      </c>
      <c r="F10222" t="s" s="10">
        <v>14</v>
      </c>
      <c r="G10222" t="s" s="11">
        <v>14</v>
      </c>
      <c r="H10222" t="s" s="10">
        <v>14</v>
      </c>
      <c r="I10222" t="s" s="11">
        <v>14</v>
      </c>
      <c r="J10222" t="s" s="11">
        <v>14</v>
      </c>
      <c r="K10222" t="s" s="12">
        <v>14</v>
      </c>
      <c r="L10222" t="s" s="12">
        <v>14</v>
      </c>
      <c r="M10222" t="s" s="10">
        <v>14</v>
      </c>
      <c r="N10222" t="s" s="11">
        <v>14</v>
      </c>
      <c r="O10222" t="s" s="8">
        <v>14</v>
      </c>
      <c r="P10222" t="s" s="8">
        <v>14</v>
      </c>
      <c r="Q10222" t="s" s="12">
        <v>14</v>
      </c>
      <c r="R10222" t="s" s="12">
        <v>14</v>
      </c>
    </row>
    <row r="10223" s="2" customFormat="1" ht="13.5" customHeight="1">
      <c r="B10223" s="13"/>
      <c r="C10223" t="s" s="9">
        <v>16</v>
      </c>
      <c r="D10223" t="s" s="8">
        <v>3819</v>
      </c>
      <c r="E10223" t="s" s="9">
        <v>3820</v>
      </c>
      <c r="F10223" s="19">
        <v>1</v>
      </c>
      <c r="G10223" s="17">
        <v>5</v>
      </c>
      <c r="H10223" s="19">
        <v>1</v>
      </c>
      <c r="I10223" s="17">
        <v>5</v>
      </c>
      <c r="J10223" t="s" s="11">
        <v>20</v>
      </c>
      <c r="K10223" t="s" s="16">
        <f>HYPERLINK("http://csr.bu.edu/ftp/asl/asllvd/demos/verify_start_end_handshape_annotations//test_auto_move//signs_mov/4164.mov","MOV")</f>
        <v>21</v>
      </c>
      <c r="L10223" t="s" s="16">
        <f>HYPERLINK("http://csr.bu.edu/ftp/asl/asllvd/demos/verify_start_end_handshape_annotations//test_auto_move//signs_mov_separ_signers/Liz_4164.mov","MOV")</f>
        <v>21</v>
      </c>
      <c r="M10223" t="s" s="10">
        <v>77</v>
      </c>
      <c r="N10223" s="17">
        <v>18</v>
      </c>
      <c r="O10223" s="18">
        <v>1777</v>
      </c>
      <c r="P10223" s="18">
        <v>1855</v>
      </c>
      <c r="Q10223" t="s" s="16">
        <f>HYPERLINK("http://secrets.rutgers.edu:8080/data/asl-ftp/asllvd/demos/verify_start_end_handshape_annotations//test_auto_move//signs_mov/4164.mov","MOV")</f>
        <v>21</v>
      </c>
      <c r="R10223" t="s" s="16">
        <f>HYPERLINK("http://secrets.rutgers.edu:8080/data/asl-ftp/asllvd/demos/verify_start_end_handshape_annotations//test_auto_move//signs_mov_separ_signers/Liz_4164.mov","MOV")</f>
        <v>21</v>
      </c>
    </row>
    <row r="10224" s="2" customFormat="1" ht="13.5" customHeight="1">
      <c r="B10224" s="13"/>
      <c r="C10224" t="s" s="9">
        <v>30</v>
      </c>
      <c r="D10224" t="s" s="8">
        <v>3819</v>
      </c>
      <c r="E10224" t="s" s="9">
        <v>3821</v>
      </c>
      <c r="F10224" s="19">
        <v>1</v>
      </c>
      <c r="G10224" s="17">
        <v>5</v>
      </c>
      <c r="H10224" s="19">
        <v>1</v>
      </c>
      <c r="I10224" s="17">
        <v>5</v>
      </c>
      <c r="J10224" t="s" s="11">
        <v>20</v>
      </c>
      <c r="K10224" s="15"/>
      <c r="L10224" t="s" s="16">
        <f>HYPERLINK("http://csr.bu.edu/ftp/asl/asllvd/demos/verify_start_end_handshape_annotations//test_auto_move//signs_mov_separ_signers/Brady_4164.mov","MOV")</f>
        <v>21</v>
      </c>
      <c r="M10224" t="s" s="10">
        <v>31</v>
      </c>
      <c r="N10224" s="17">
        <v>24</v>
      </c>
      <c r="O10224" s="18">
        <v>5758</v>
      </c>
      <c r="P10224" s="18">
        <v>5791</v>
      </c>
      <c r="Q10224" s="15"/>
      <c r="R10224" t="s" s="16">
        <f>HYPERLINK("http://secrets.rutgers.edu:8080/data/asl-ftp/asllvd/demos/verify_start_end_handshape_annotations//test_auto_move//signs_mov_separ_signers/Brady_4164.mov","MOV")</f>
        <v>21</v>
      </c>
    </row>
    <row r="10225" s="2" customFormat="1" ht="13.5" customHeight="1">
      <c r="B10225" t="s" s="8">
        <v>3822</v>
      </c>
      <c r="C10225" t="s" s="9">
        <v>14</v>
      </c>
      <c r="D10225" t="s" s="8">
        <v>14</v>
      </c>
      <c r="E10225" t="s" s="9">
        <v>14</v>
      </c>
      <c r="F10225" t="s" s="10">
        <v>14</v>
      </c>
      <c r="G10225" t="s" s="11">
        <v>14</v>
      </c>
      <c r="H10225" t="s" s="10">
        <v>14</v>
      </c>
      <c r="I10225" t="s" s="11">
        <v>14</v>
      </c>
      <c r="J10225" t="s" s="11">
        <v>14</v>
      </c>
      <c r="K10225" t="s" s="12">
        <v>14</v>
      </c>
      <c r="L10225" t="s" s="12">
        <v>14</v>
      </c>
      <c r="M10225" t="s" s="10">
        <v>14</v>
      </c>
      <c r="N10225" t="s" s="11">
        <v>14</v>
      </c>
      <c r="O10225" t="s" s="8">
        <v>14</v>
      </c>
      <c r="P10225" t="s" s="8">
        <v>14</v>
      </c>
      <c r="Q10225" t="s" s="12">
        <v>14</v>
      </c>
      <c r="R10225" t="s" s="12">
        <v>14</v>
      </c>
    </row>
    <row r="10226" s="2" customFormat="1" ht="13.5" customHeight="1">
      <c r="B10226" s="13"/>
      <c r="C10226" t="s" s="9">
        <v>16</v>
      </c>
      <c r="D10226" t="s" s="8">
        <v>3822</v>
      </c>
      <c r="E10226" t="s" s="9">
        <v>3823</v>
      </c>
      <c r="F10226" s="19">
        <v>1</v>
      </c>
      <c r="G10226" s="17">
        <v>5</v>
      </c>
      <c r="H10226" s="19">
        <v>1</v>
      </c>
      <c r="I10226" s="17">
        <v>5</v>
      </c>
      <c r="J10226" t="s" s="11">
        <v>20</v>
      </c>
      <c r="K10226" t="s" s="16">
        <f>HYPERLINK("http://csr.bu.edu/ftp/asl/asllvd/demos/verify_start_end_handshape_annotations//test_auto_move//signs_mov/15448.mov","MOV")</f>
        <v>21</v>
      </c>
      <c r="L10226" t="s" s="16">
        <f>HYPERLINK("http://csr.bu.edu/ftp/asl/asllvd/demos/verify_start_end_handshape_annotations//test_auto_move//signs_mov_separ_signers/Liz_15448.mov","MOV")</f>
        <v>21</v>
      </c>
      <c r="M10226" t="s" s="10">
        <v>77</v>
      </c>
      <c r="N10226" s="17">
        <v>18</v>
      </c>
      <c r="O10226" s="18">
        <v>1987</v>
      </c>
      <c r="P10226" s="18">
        <v>2066</v>
      </c>
      <c r="Q10226" t="s" s="16">
        <f>HYPERLINK("http://secrets.rutgers.edu:8080/data/asl-ftp/asllvd/demos/verify_start_end_handshape_annotations//test_auto_move//signs_mov/15448.mov","MOV")</f>
        <v>21</v>
      </c>
      <c r="R10226" t="s" s="16">
        <f>HYPERLINK("http://secrets.rutgers.edu:8080/data/asl-ftp/asllvd/demos/verify_start_end_handshape_annotations//test_auto_move//signs_mov_separ_signers/Liz_15448.mov","MOV")</f>
        <v>21</v>
      </c>
    </row>
    <row r="10227" s="2" customFormat="1" ht="13.5" customHeight="1">
      <c r="B10227" s="13"/>
      <c r="C10227" t="s" s="9">
        <v>30</v>
      </c>
      <c r="D10227" t="s" s="8">
        <v>3822</v>
      </c>
      <c r="E10227" t="s" s="9">
        <v>3823</v>
      </c>
      <c r="F10227" s="19">
        <v>1</v>
      </c>
      <c r="G10227" s="17">
        <v>5</v>
      </c>
      <c r="H10227" s="19">
        <v>1</v>
      </c>
      <c r="I10227" s="17">
        <v>5</v>
      </c>
      <c r="J10227" t="s" s="11">
        <v>20</v>
      </c>
      <c r="K10227" s="15"/>
      <c r="L10227" t="s" s="16">
        <f>HYPERLINK("http://csr.bu.edu/ftp/asl/asllvd/demos/verify_start_end_handshape_annotations//test_auto_move//signs_mov_separ_signers/Brady_15448.mov","MOV")</f>
        <v>21</v>
      </c>
      <c r="M10227" t="s" s="10">
        <v>31</v>
      </c>
      <c r="N10227" s="17">
        <v>24</v>
      </c>
      <c r="O10227" s="18">
        <v>5992</v>
      </c>
      <c r="P10227" s="18">
        <v>6025</v>
      </c>
      <c r="Q10227" s="15"/>
      <c r="R10227" t="s" s="16">
        <f>HYPERLINK("http://secrets.rutgers.edu:8080/data/asl-ftp/asllvd/demos/verify_start_end_handshape_annotations//test_auto_move//signs_mov_separ_signers/Brady_15448.mov","MOV")</f>
        <v>21</v>
      </c>
    </row>
    <row r="10228" s="2" customFormat="1" ht="13.5" customHeight="1">
      <c r="B10228" t="s" s="8">
        <v>3824</v>
      </c>
      <c r="C10228" t="s" s="9">
        <v>14</v>
      </c>
      <c r="D10228" t="s" s="8">
        <v>14</v>
      </c>
      <c r="E10228" t="s" s="9">
        <v>14</v>
      </c>
      <c r="F10228" t="s" s="10">
        <v>14</v>
      </c>
      <c r="G10228" t="s" s="11">
        <v>14</v>
      </c>
      <c r="H10228" t="s" s="10">
        <v>14</v>
      </c>
      <c r="I10228" t="s" s="11">
        <v>14</v>
      </c>
      <c r="J10228" t="s" s="11">
        <v>14</v>
      </c>
      <c r="K10228" t="s" s="12">
        <v>14</v>
      </c>
      <c r="L10228" t="s" s="12">
        <v>14</v>
      </c>
      <c r="M10228" t="s" s="10">
        <v>14</v>
      </c>
      <c r="N10228" t="s" s="11">
        <v>14</v>
      </c>
      <c r="O10228" t="s" s="8">
        <v>14</v>
      </c>
      <c r="P10228" t="s" s="8">
        <v>14</v>
      </c>
      <c r="Q10228" t="s" s="12">
        <v>14</v>
      </c>
      <c r="R10228" t="s" s="12">
        <v>14</v>
      </c>
    </row>
    <row r="10229" s="2" customFormat="1" ht="13.5" customHeight="1">
      <c r="B10229" s="13"/>
      <c r="C10229" t="s" s="9">
        <v>16</v>
      </c>
      <c r="D10229" t="s" s="8">
        <v>3824</v>
      </c>
      <c r="E10229" t="s" s="9">
        <v>3824</v>
      </c>
      <c r="F10229" s="19">
        <v>1</v>
      </c>
      <c r="G10229" s="17">
        <v>5</v>
      </c>
      <c r="H10229" s="19">
        <v>1</v>
      </c>
      <c r="I10229" s="17">
        <v>5</v>
      </c>
      <c r="J10229" t="s" s="11">
        <v>20</v>
      </c>
      <c r="K10229" t="s" s="16">
        <f>HYPERLINK("http://csr.bu.edu/ftp/asl/asllvd/demos/verify_start_end_handshape_annotations//test_auto_move//signs_mov/15449.mov","MOV")</f>
        <v>21</v>
      </c>
      <c r="L10229" t="s" s="16">
        <f>HYPERLINK("http://csr.bu.edu/ftp/asl/asllvd/demos/verify_start_end_handshape_annotations//test_auto_move//signs_mov_separ_signers/Liz_15449.mov","MOV")</f>
        <v>21</v>
      </c>
      <c r="M10229" t="s" s="10">
        <v>77</v>
      </c>
      <c r="N10229" s="17">
        <v>18</v>
      </c>
      <c r="O10229" s="18">
        <v>2190</v>
      </c>
      <c r="P10229" s="18">
        <v>2262</v>
      </c>
      <c r="Q10229" t="s" s="16">
        <f>HYPERLINK("http://secrets.rutgers.edu:8080/data/asl-ftp/asllvd/demos/verify_start_end_handshape_annotations//test_auto_move//signs_mov/15449.mov","MOV")</f>
        <v>21</v>
      </c>
      <c r="R10229" t="s" s="16">
        <f>HYPERLINK("http://secrets.rutgers.edu:8080/data/asl-ftp/asllvd/demos/verify_start_end_handshape_annotations//test_auto_move//signs_mov_separ_signers/Liz_15449.mov","MOV")</f>
        <v>21</v>
      </c>
    </row>
    <row r="10230" s="2" customFormat="1" ht="13.5" customHeight="1">
      <c r="B10230" s="13"/>
      <c r="C10230" t="s" s="9">
        <v>30</v>
      </c>
      <c r="D10230" t="s" s="8">
        <v>3824</v>
      </c>
      <c r="E10230" t="s" s="9">
        <v>3825</v>
      </c>
      <c r="F10230" s="19">
        <v>1</v>
      </c>
      <c r="G10230" s="17">
        <v>5</v>
      </c>
      <c r="H10230" s="19">
        <v>1</v>
      </c>
      <c r="I10230" s="17">
        <v>5</v>
      </c>
      <c r="J10230" t="s" s="11">
        <v>20</v>
      </c>
      <c r="K10230" s="15"/>
      <c r="L10230" t="s" s="16">
        <f>HYPERLINK("http://csr.bu.edu/ftp/asl/asllvd/demos/verify_start_end_handshape_annotations//test_auto_move//signs_mov_separ_signers/Brady_15449.mov","MOV")</f>
        <v>21</v>
      </c>
      <c r="M10230" t="s" s="10">
        <v>31</v>
      </c>
      <c r="N10230" s="17">
        <v>24</v>
      </c>
      <c r="O10230" s="18">
        <v>6202</v>
      </c>
      <c r="P10230" s="18">
        <v>6224</v>
      </c>
      <c r="Q10230" s="15"/>
      <c r="R10230" t="s" s="16">
        <f>HYPERLINK("http://secrets.rutgers.edu:8080/data/asl-ftp/asllvd/demos/verify_start_end_handshape_annotations//test_auto_move//signs_mov_separ_signers/Brady_15449.mov","MOV")</f>
        <v>21</v>
      </c>
    </row>
    <row r="10231" s="2" customFormat="1" ht="13.5" customHeight="1">
      <c r="B10231" t="s" s="8">
        <v>3826</v>
      </c>
      <c r="C10231" t="s" s="9">
        <v>14</v>
      </c>
      <c r="D10231" t="s" s="8">
        <v>14</v>
      </c>
      <c r="E10231" t="s" s="9">
        <v>14</v>
      </c>
      <c r="F10231" t="s" s="10">
        <v>14</v>
      </c>
      <c r="G10231" t="s" s="11">
        <v>14</v>
      </c>
      <c r="H10231" t="s" s="10">
        <v>14</v>
      </c>
      <c r="I10231" t="s" s="11">
        <v>14</v>
      </c>
      <c r="J10231" t="s" s="11">
        <v>14</v>
      </c>
      <c r="K10231" t="s" s="12">
        <v>14</v>
      </c>
      <c r="L10231" t="s" s="12">
        <v>14</v>
      </c>
      <c r="M10231" t="s" s="10">
        <v>14</v>
      </c>
      <c r="N10231" t="s" s="11">
        <v>14</v>
      </c>
      <c r="O10231" t="s" s="8">
        <v>14</v>
      </c>
      <c r="P10231" t="s" s="8">
        <v>14</v>
      </c>
      <c r="Q10231" t="s" s="12">
        <v>14</v>
      </c>
      <c r="R10231" t="s" s="12">
        <v>14</v>
      </c>
    </row>
    <row r="10232" s="2" customFormat="1" ht="13.5" customHeight="1">
      <c r="B10232" s="13"/>
      <c r="C10232" t="s" s="9">
        <v>16</v>
      </c>
      <c r="D10232" t="s" s="8">
        <v>3826</v>
      </c>
      <c r="E10232" t="s" s="9">
        <v>3827</v>
      </c>
      <c r="F10232" s="19">
        <v>1</v>
      </c>
      <c r="G10232" s="17">
        <v>5</v>
      </c>
      <c r="H10232" s="19">
        <v>1</v>
      </c>
      <c r="I10232" s="17">
        <v>5</v>
      </c>
      <c r="J10232" t="s" s="11">
        <v>20</v>
      </c>
      <c r="K10232" t="s" s="16">
        <f>HYPERLINK("http://csr.bu.edu/ftp/asl/asllvd/demos/verify_start_end_handshape_annotations//test_auto_move//signs_mov/15450.mov","MOV")</f>
        <v>21</v>
      </c>
      <c r="L10232" t="s" s="16">
        <f>HYPERLINK("http://csr.bu.edu/ftp/asl/asllvd/demos/verify_start_end_handshape_annotations//test_auto_move//signs_mov_separ_signers/Liz_15450.mov","MOV")</f>
        <v>21</v>
      </c>
      <c r="M10232" t="s" s="10">
        <v>77</v>
      </c>
      <c r="N10232" s="17">
        <v>18</v>
      </c>
      <c r="O10232" s="18">
        <v>2383</v>
      </c>
      <c r="P10232" s="18">
        <v>2442</v>
      </c>
      <c r="Q10232" t="s" s="16">
        <f>HYPERLINK("http://secrets.rutgers.edu:8080/data/asl-ftp/asllvd/demos/verify_start_end_handshape_annotations//test_auto_move//signs_mov/15450.mov","MOV")</f>
        <v>21</v>
      </c>
      <c r="R10232" t="s" s="16">
        <f>HYPERLINK("http://secrets.rutgers.edu:8080/data/asl-ftp/asllvd/demos/verify_start_end_handshape_annotations//test_auto_move//signs_mov_separ_signers/Liz_15450.mov","MOV")</f>
        <v>21</v>
      </c>
    </row>
    <row r="10233" s="2" customFormat="1" ht="13.5" customHeight="1">
      <c r="B10233" s="13"/>
      <c r="C10233" t="s" s="9">
        <v>30</v>
      </c>
      <c r="D10233" t="s" s="8">
        <v>3826</v>
      </c>
      <c r="E10233" t="s" s="9">
        <v>3827</v>
      </c>
      <c r="F10233" s="19">
        <v>1</v>
      </c>
      <c r="G10233" s="17">
        <v>5</v>
      </c>
      <c r="H10233" s="19">
        <v>1</v>
      </c>
      <c r="I10233" s="17">
        <v>5</v>
      </c>
      <c r="J10233" t="s" s="11">
        <v>20</v>
      </c>
      <c r="K10233" s="15"/>
      <c r="L10233" t="s" s="16">
        <f>HYPERLINK("http://csr.bu.edu/ftp/asl/asllvd/demos/verify_start_end_handshape_annotations//test_auto_move//signs_mov_separ_signers/Brady_15450.mov","MOV")</f>
        <v>21</v>
      </c>
      <c r="M10233" t="s" s="10">
        <v>31</v>
      </c>
      <c r="N10233" s="17">
        <v>24</v>
      </c>
      <c r="O10233" s="18">
        <v>6405</v>
      </c>
      <c r="P10233" s="18">
        <v>6434</v>
      </c>
      <c r="Q10233" s="15"/>
      <c r="R10233" t="s" s="16">
        <f>HYPERLINK("http://secrets.rutgers.edu:8080/data/asl-ftp/asllvd/demos/verify_start_end_handshape_annotations//test_auto_move//signs_mov_separ_signers/Brady_15450.mov","MOV")</f>
        <v>21</v>
      </c>
    </row>
    <row r="10234" s="2" customFormat="1" ht="13.5" customHeight="1">
      <c r="B10234" t="s" s="8">
        <v>3828</v>
      </c>
      <c r="C10234" t="s" s="9">
        <v>14</v>
      </c>
      <c r="D10234" t="s" s="8">
        <v>14</v>
      </c>
      <c r="E10234" t="s" s="9">
        <v>14</v>
      </c>
      <c r="F10234" t="s" s="10">
        <v>14</v>
      </c>
      <c r="G10234" t="s" s="11">
        <v>14</v>
      </c>
      <c r="H10234" t="s" s="10">
        <v>14</v>
      </c>
      <c r="I10234" t="s" s="11">
        <v>14</v>
      </c>
      <c r="J10234" t="s" s="11">
        <v>14</v>
      </c>
      <c r="K10234" t="s" s="12">
        <v>14</v>
      </c>
      <c r="L10234" t="s" s="12">
        <v>14</v>
      </c>
      <c r="M10234" t="s" s="10">
        <v>14</v>
      </c>
      <c r="N10234" t="s" s="11">
        <v>14</v>
      </c>
      <c r="O10234" t="s" s="8">
        <v>14</v>
      </c>
      <c r="P10234" t="s" s="8">
        <v>14</v>
      </c>
      <c r="Q10234" t="s" s="12">
        <v>14</v>
      </c>
      <c r="R10234" t="s" s="12">
        <v>14</v>
      </c>
    </row>
    <row r="10235" s="2" customFormat="1" ht="13.5" customHeight="1">
      <c r="B10235" s="13"/>
      <c r="C10235" t="s" s="9">
        <v>16</v>
      </c>
      <c r="D10235" t="s" s="8">
        <v>3828</v>
      </c>
      <c r="E10235" t="s" s="9">
        <v>3829</v>
      </c>
      <c r="F10235" s="19">
        <v>1</v>
      </c>
      <c r="G10235" s="17">
        <v>5</v>
      </c>
      <c r="H10235" s="19">
        <v>1</v>
      </c>
      <c r="I10235" s="17">
        <v>5</v>
      </c>
      <c r="J10235" t="s" s="11">
        <v>20</v>
      </c>
      <c r="K10235" t="s" s="16">
        <f>HYPERLINK("http://csr.bu.edu/ftp/asl/asllvd/demos/verify_start_end_handshape_annotations//test_auto_move//signs_mov/15451.mov","MOV")</f>
        <v>21</v>
      </c>
      <c r="L10235" t="s" s="16">
        <f>HYPERLINK("http://csr.bu.edu/ftp/asl/asllvd/demos/verify_start_end_handshape_annotations//test_auto_move//signs_mov_separ_signers/Liz_15451.mov","MOV")</f>
        <v>21</v>
      </c>
      <c r="M10235" t="s" s="10">
        <v>77</v>
      </c>
      <c r="N10235" s="17">
        <v>18</v>
      </c>
      <c r="O10235" s="18">
        <v>2561</v>
      </c>
      <c r="P10235" s="18">
        <v>2612</v>
      </c>
      <c r="Q10235" t="s" s="16">
        <f>HYPERLINK("http://secrets.rutgers.edu:8080/data/asl-ftp/asllvd/demos/verify_start_end_handshape_annotations//test_auto_move//signs_mov/15451.mov","MOV")</f>
        <v>21</v>
      </c>
      <c r="R10235" t="s" s="16">
        <f>HYPERLINK("http://secrets.rutgers.edu:8080/data/asl-ftp/asllvd/demos/verify_start_end_handshape_annotations//test_auto_move//signs_mov_separ_signers/Liz_15451.mov","MOV")</f>
        <v>21</v>
      </c>
    </row>
    <row r="10236" s="2" customFormat="1" ht="13.5" customHeight="1">
      <c r="B10236" s="13"/>
      <c r="C10236" t="s" s="9">
        <v>30</v>
      </c>
      <c r="D10236" t="s" s="8">
        <v>3828</v>
      </c>
      <c r="E10236" t="s" s="9">
        <v>3829</v>
      </c>
      <c r="F10236" s="19">
        <v>1</v>
      </c>
      <c r="G10236" s="17">
        <v>5</v>
      </c>
      <c r="H10236" s="19">
        <v>1</v>
      </c>
      <c r="I10236" s="17">
        <v>5</v>
      </c>
      <c r="J10236" t="s" s="11">
        <v>20</v>
      </c>
      <c r="K10236" s="15"/>
      <c r="L10236" t="s" s="16">
        <f>HYPERLINK("http://csr.bu.edu/ftp/asl/asllvd/demos/verify_start_end_handshape_annotations//test_auto_move//signs_mov_separ_signers/Brady_15451.mov","MOV")</f>
        <v>21</v>
      </c>
      <c r="M10236" t="s" s="10">
        <v>31</v>
      </c>
      <c r="N10236" s="17">
        <v>24</v>
      </c>
      <c r="O10236" s="18">
        <v>6617</v>
      </c>
      <c r="P10236" s="18">
        <v>6639</v>
      </c>
      <c r="Q10236" s="15"/>
      <c r="R10236" t="s" s="16">
        <f>HYPERLINK("http://secrets.rutgers.edu:8080/data/asl-ftp/asllvd/demos/verify_start_end_handshape_annotations//test_auto_move//signs_mov_separ_signers/Brady_15451.mov","MOV")</f>
        <v>21</v>
      </c>
    </row>
    <row r="10237" s="2" customFormat="1" ht="13.5" customHeight="1">
      <c r="B10237" t="s" s="8">
        <v>871</v>
      </c>
      <c r="C10237" t="s" s="9">
        <v>14</v>
      </c>
      <c r="D10237" t="s" s="8">
        <v>14</v>
      </c>
      <c r="E10237" t="s" s="9">
        <v>14</v>
      </c>
      <c r="F10237" t="s" s="10">
        <v>14</v>
      </c>
      <c r="G10237" t="s" s="11">
        <v>14</v>
      </c>
      <c r="H10237" t="s" s="10">
        <v>14</v>
      </c>
      <c r="I10237" t="s" s="11">
        <v>14</v>
      </c>
      <c r="J10237" t="s" s="11">
        <v>14</v>
      </c>
      <c r="K10237" t="s" s="12">
        <v>14</v>
      </c>
      <c r="L10237" t="s" s="12">
        <v>14</v>
      </c>
      <c r="M10237" t="s" s="10">
        <v>14</v>
      </c>
      <c r="N10237" t="s" s="11">
        <v>14</v>
      </c>
      <c r="O10237" t="s" s="8">
        <v>14</v>
      </c>
      <c r="P10237" t="s" s="8">
        <v>14</v>
      </c>
      <c r="Q10237" t="s" s="12">
        <v>14</v>
      </c>
      <c r="R10237" t="s" s="12">
        <v>14</v>
      </c>
    </row>
    <row r="10238" s="2" customFormat="1" ht="13.5" customHeight="1">
      <c r="B10238" s="13"/>
      <c r="C10238" t="s" s="9">
        <v>16</v>
      </c>
      <c r="D10238" t="s" s="8">
        <v>3830</v>
      </c>
      <c r="E10238" t="s" s="9">
        <v>3830</v>
      </c>
      <c r="F10238" t="s" s="10">
        <v>68</v>
      </c>
      <c r="G10238" s="14"/>
      <c r="H10238" t="s" s="10">
        <v>240</v>
      </c>
      <c r="I10238" s="14"/>
      <c r="J10238" t="s" s="11">
        <v>20</v>
      </c>
      <c r="K10238" t="s" s="16">
        <f>HYPERLINK("http://csr.bu.edu/ftp/asl/asllvd/demos/verify_start_end_handshape_annotations//test_auto_move//signs_mov/4207.mov","MOV")</f>
        <v>21</v>
      </c>
      <c r="L10238" t="s" s="16">
        <f>HYPERLINK("http://csr.bu.edu/ftp/asl/asllvd/demos/verify_start_end_handshape_annotations//test_auto_move//signs_mov_separ_signers/Liz_4207.mov","MOV")</f>
        <v>21</v>
      </c>
      <c r="M10238" t="s" s="10">
        <v>77</v>
      </c>
      <c r="N10238" s="17">
        <v>17</v>
      </c>
      <c r="O10238" s="18">
        <v>6130</v>
      </c>
      <c r="P10238" s="18">
        <v>6196</v>
      </c>
      <c r="Q10238" t="s" s="16">
        <f>HYPERLINK("http://secrets.rutgers.edu:8080/data/asl-ftp/asllvd/demos/verify_start_end_handshape_annotations//test_auto_move//signs_mov/4207.mov","MOV")</f>
        <v>21</v>
      </c>
      <c r="R10238" t="s" s="16">
        <f>HYPERLINK("http://secrets.rutgers.edu:8080/data/asl-ftp/asllvd/demos/verify_start_end_handshape_annotations//test_auto_move//signs_mov_separ_signers/Liz_4207.mov","MOV")</f>
        <v>21</v>
      </c>
    </row>
    <row r="10239" s="2" customFormat="1" ht="13.5" customHeight="1">
      <c r="B10239" s="13"/>
      <c r="C10239" t="s" s="9">
        <v>30</v>
      </c>
      <c r="D10239" t="s" s="8">
        <v>3830</v>
      </c>
      <c r="E10239" t="s" s="9">
        <v>3830</v>
      </c>
      <c r="F10239" t="s" s="10">
        <v>68</v>
      </c>
      <c r="G10239" s="14"/>
      <c r="H10239" t="s" s="10">
        <v>240</v>
      </c>
      <c r="I10239" s="14"/>
      <c r="J10239" t="s" s="11">
        <v>20</v>
      </c>
      <c r="K10239" s="15"/>
      <c r="L10239" t="s" s="16">
        <f>HYPERLINK("http://csr.bu.edu/ftp/asl/asllvd/demos/verify_start_end_handshape_annotations//test_auto_move//signs_mov_separ_signers/Brady_4207.mov","MOV")</f>
        <v>21</v>
      </c>
      <c r="M10239" t="s" s="10">
        <v>39</v>
      </c>
      <c r="N10239" s="17">
        <v>28</v>
      </c>
      <c r="O10239" s="18">
        <v>8292</v>
      </c>
      <c r="P10239" s="18">
        <v>8316</v>
      </c>
      <c r="Q10239" s="15"/>
      <c r="R10239" t="s" s="16">
        <f>HYPERLINK("http://secrets.rutgers.edu:8080/data/asl-ftp/asllvd/demos/verify_start_end_handshape_annotations//test_auto_move//signs_mov_separ_signers/Brady_4207.mov","MOV")</f>
        <v>21</v>
      </c>
    </row>
    <row r="10240" s="2" customFormat="1" ht="13.5" customHeight="1">
      <c r="B10240" t="s" s="8">
        <v>3831</v>
      </c>
      <c r="C10240" t="s" s="9">
        <v>14</v>
      </c>
      <c r="D10240" t="s" s="8">
        <v>14</v>
      </c>
      <c r="E10240" t="s" s="9">
        <v>14</v>
      </c>
      <c r="F10240" t="s" s="10">
        <v>14</v>
      </c>
      <c r="G10240" t="s" s="11">
        <v>14</v>
      </c>
      <c r="H10240" t="s" s="10">
        <v>14</v>
      </c>
      <c r="I10240" t="s" s="11">
        <v>14</v>
      </c>
      <c r="J10240" t="s" s="11">
        <v>14</v>
      </c>
      <c r="K10240" t="s" s="12">
        <v>14</v>
      </c>
      <c r="L10240" t="s" s="12">
        <v>14</v>
      </c>
      <c r="M10240" t="s" s="10">
        <v>14</v>
      </c>
      <c r="N10240" t="s" s="11">
        <v>14</v>
      </c>
      <c r="O10240" t="s" s="8">
        <v>14</v>
      </c>
      <c r="P10240" t="s" s="8">
        <v>14</v>
      </c>
      <c r="Q10240" t="s" s="12">
        <v>14</v>
      </c>
      <c r="R10240" t="s" s="12">
        <v>14</v>
      </c>
    </row>
    <row r="10241" s="2" customFormat="1" ht="13.5" customHeight="1">
      <c r="B10241" s="13"/>
      <c r="C10241" t="s" s="9">
        <v>16</v>
      </c>
      <c r="D10241" t="s" s="8">
        <v>3831</v>
      </c>
      <c r="E10241" t="s" s="9">
        <v>3831</v>
      </c>
      <c r="F10241" t="s" s="10">
        <v>277</v>
      </c>
      <c r="G10241" t="s" s="11">
        <v>73</v>
      </c>
      <c r="H10241" t="s" s="10">
        <v>430</v>
      </c>
      <c r="I10241" t="s" s="11">
        <v>73</v>
      </c>
      <c r="J10241" t="s" s="11">
        <v>20</v>
      </c>
      <c r="K10241" t="s" s="16">
        <f>HYPERLINK("http://csr.bu.edu/ftp/asl/asllvd/demos/verify_start_end_handshape_annotations//test_auto_move//signs_mov/4208.mov","MOV")</f>
        <v>21</v>
      </c>
      <c r="L10241" t="s" s="16">
        <f>HYPERLINK("http://csr.bu.edu/ftp/asl/asllvd/demos/verify_start_end_handshape_annotations//test_auto_move//signs_mov_separ_signers/Liz_4208.mov","MOV")</f>
        <v>21</v>
      </c>
      <c r="M10241" t="s" s="10">
        <v>77</v>
      </c>
      <c r="N10241" s="17">
        <v>17</v>
      </c>
      <c r="O10241" s="18">
        <v>5826</v>
      </c>
      <c r="P10241" s="18">
        <v>5871</v>
      </c>
      <c r="Q10241" t="s" s="16">
        <f>HYPERLINK("http://secrets.rutgers.edu:8080/data/asl-ftp/asllvd/demos/verify_start_end_handshape_annotations//test_auto_move//signs_mov/4208.mov","MOV")</f>
        <v>21</v>
      </c>
      <c r="R10241" t="s" s="16">
        <f>HYPERLINK("http://secrets.rutgers.edu:8080/data/asl-ftp/asllvd/demos/verify_start_end_handshape_annotations//test_auto_move//signs_mov_separ_signers/Liz_4208.mov","MOV")</f>
        <v>21</v>
      </c>
    </row>
    <row r="10242" s="2" customFormat="1" ht="13.5" customHeight="1">
      <c r="B10242" s="13"/>
      <c r="C10242" t="s" s="9">
        <v>30</v>
      </c>
      <c r="D10242" t="s" s="8">
        <v>3831</v>
      </c>
      <c r="E10242" t="s" s="9">
        <v>3831</v>
      </c>
      <c r="F10242" s="19">
        <v>8</v>
      </c>
      <c r="G10242" t="s" s="11">
        <v>73</v>
      </c>
      <c r="H10242" s="19">
        <v>5</v>
      </c>
      <c r="I10242" t="s" s="11">
        <v>73</v>
      </c>
      <c r="J10242" t="s" s="11">
        <v>20</v>
      </c>
      <c r="K10242" s="15"/>
      <c r="L10242" t="s" s="16">
        <f>HYPERLINK("http://csr.bu.edu/ftp/asl/asllvd/demos/verify_start_end_handshape_annotations//test_auto_move//signs_mov_separ_signers/Brady_4208.mov","MOV")</f>
        <v>21</v>
      </c>
      <c r="M10242" t="s" s="10">
        <v>39</v>
      </c>
      <c r="N10242" s="17">
        <v>44</v>
      </c>
      <c r="O10242" s="18">
        <v>5455</v>
      </c>
      <c r="P10242" s="18">
        <v>5473</v>
      </c>
      <c r="Q10242" s="15"/>
      <c r="R10242" t="s" s="16">
        <f>HYPERLINK("http://secrets.rutgers.edu:8080/data/asl-ftp/asllvd/demos/verify_start_end_handshape_annotations//test_auto_move//signs_mov_separ_signers/Brady_4208.mov","MOV")</f>
        <v>21</v>
      </c>
    </row>
    <row r="10243" s="2" customFormat="1" ht="13.5" customHeight="1">
      <c r="B10243" t="s" s="8">
        <v>3832</v>
      </c>
      <c r="C10243" t="s" s="9">
        <v>14</v>
      </c>
      <c r="D10243" t="s" s="8">
        <v>14</v>
      </c>
      <c r="E10243" t="s" s="9">
        <v>14</v>
      </c>
      <c r="F10243" t="s" s="10">
        <v>14</v>
      </c>
      <c r="G10243" t="s" s="11">
        <v>14</v>
      </c>
      <c r="H10243" t="s" s="10">
        <v>14</v>
      </c>
      <c r="I10243" t="s" s="11">
        <v>14</v>
      </c>
      <c r="J10243" t="s" s="11">
        <v>14</v>
      </c>
      <c r="K10243" t="s" s="12">
        <v>14</v>
      </c>
      <c r="L10243" t="s" s="12">
        <v>14</v>
      </c>
      <c r="M10243" t="s" s="10">
        <v>14</v>
      </c>
      <c r="N10243" t="s" s="11">
        <v>14</v>
      </c>
      <c r="O10243" t="s" s="8">
        <v>14</v>
      </c>
      <c r="P10243" t="s" s="8">
        <v>14</v>
      </c>
      <c r="Q10243" t="s" s="12">
        <v>14</v>
      </c>
      <c r="R10243" t="s" s="12">
        <v>14</v>
      </c>
    </row>
    <row r="10244" s="2" customFormat="1" ht="13.5" customHeight="1">
      <c r="B10244" s="13"/>
      <c r="C10244" t="s" s="9">
        <v>16</v>
      </c>
      <c r="D10244" t="s" s="8">
        <v>3832</v>
      </c>
      <c r="E10244" t="s" s="9">
        <v>3833</v>
      </c>
      <c r="F10244" t="s" s="10">
        <v>117</v>
      </c>
      <c r="G10244" t="s" s="11">
        <v>117</v>
      </c>
      <c r="H10244" t="s" s="10">
        <v>117</v>
      </c>
      <c r="I10244" t="s" s="11">
        <v>117</v>
      </c>
      <c r="J10244" t="s" s="11">
        <v>20</v>
      </c>
      <c r="K10244" t="s" s="16">
        <f>HYPERLINK("http://csr.bu.edu/ftp/asl/asllvd/demos/verify_start_end_handshape_annotations//test_auto_move//signs_mov/4210.mov","MOV")</f>
        <v>21</v>
      </c>
      <c r="L10244" t="s" s="16">
        <f>HYPERLINK("http://csr.bu.edu/ftp/asl/asllvd/demos/verify_start_end_handshape_annotations//test_auto_move//signs_mov_separ_signers/Liz_4210.mov","MOV")</f>
        <v>21</v>
      </c>
      <c r="M10244" t="s" s="10">
        <v>77</v>
      </c>
      <c r="N10244" s="17">
        <v>20</v>
      </c>
      <c r="O10244" s="18">
        <v>596</v>
      </c>
      <c r="P10244" s="18">
        <v>650</v>
      </c>
      <c r="Q10244" t="s" s="16">
        <f>HYPERLINK("http://secrets.rutgers.edu:8080/data/asl-ftp/asllvd/demos/verify_start_end_handshape_annotations//test_auto_move//signs_mov/4210.mov","MOV")</f>
        <v>21</v>
      </c>
      <c r="R10244" t="s" s="16">
        <f>HYPERLINK("http://secrets.rutgers.edu:8080/data/asl-ftp/asllvd/demos/verify_start_end_handshape_annotations//test_auto_move//signs_mov_separ_signers/Liz_4210.mov","MOV")</f>
        <v>21</v>
      </c>
    </row>
    <row r="10245" s="2" customFormat="1" ht="13.5" customHeight="1">
      <c r="B10245" t="s" s="8">
        <v>3834</v>
      </c>
      <c r="C10245" t="s" s="9">
        <v>14</v>
      </c>
      <c r="D10245" t="s" s="8">
        <v>14</v>
      </c>
      <c r="E10245" t="s" s="9">
        <v>14</v>
      </c>
      <c r="F10245" t="s" s="10">
        <v>14</v>
      </c>
      <c r="G10245" t="s" s="11">
        <v>14</v>
      </c>
      <c r="H10245" t="s" s="10">
        <v>14</v>
      </c>
      <c r="I10245" t="s" s="11">
        <v>14</v>
      </c>
      <c r="J10245" t="s" s="11">
        <v>14</v>
      </c>
      <c r="K10245" t="s" s="12">
        <v>14</v>
      </c>
      <c r="L10245" t="s" s="12">
        <v>14</v>
      </c>
      <c r="M10245" t="s" s="10">
        <v>14</v>
      </c>
      <c r="N10245" t="s" s="11">
        <v>14</v>
      </c>
      <c r="O10245" t="s" s="8">
        <v>14</v>
      </c>
      <c r="P10245" t="s" s="8">
        <v>14</v>
      </c>
      <c r="Q10245" t="s" s="12">
        <v>14</v>
      </c>
      <c r="R10245" t="s" s="12">
        <v>14</v>
      </c>
    </row>
    <row r="10246" s="2" customFormat="1" ht="13.5" customHeight="1">
      <c r="B10246" s="13"/>
      <c r="C10246" t="s" s="9">
        <v>30</v>
      </c>
      <c r="D10246" t="s" s="8">
        <v>3834</v>
      </c>
      <c r="E10246" t="s" s="9">
        <v>3834</v>
      </c>
      <c r="F10246" t="s" s="10">
        <v>75</v>
      </c>
      <c r="G10246" t="s" s="11">
        <v>75</v>
      </c>
      <c r="H10246" t="s" s="10">
        <v>75</v>
      </c>
      <c r="I10246" t="s" s="11">
        <v>75</v>
      </c>
      <c r="J10246" t="s" s="11">
        <v>20</v>
      </c>
      <c r="K10246" t="s" s="16">
        <f>HYPERLINK("http://csr.bu.edu/ftp/asl/asllvd/demos/verify_start_end_handshape_annotations//test_auto_move//signs_mov/4768.mov","MOV")</f>
        <v>21</v>
      </c>
      <c r="L10246" t="s" s="16">
        <f>HYPERLINK("http://csr.bu.edu/ftp/asl/asllvd/demos/verify_start_end_handshape_annotations//test_auto_move//signs_mov_separ_signers/Brady_4768.mov","MOV")</f>
        <v>21</v>
      </c>
      <c r="M10246" t="s" s="10">
        <v>39</v>
      </c>
      <c r="N10246" s="17">
        <v>32</v>
      </c>
      <c r="O10246" s="18">
        <v>337</v>
      </c>
      <c r="P10246" s="18">
        <v>386</v>
      </c>
      <c r="Q10246" t="s" s="16">
        <f>HYPERLINK("http://secrets.rutgers.edu:8080/data/asl-ftp/asllvd/demos/verify_start_end_handshape_annotations//test_auto_move//signs_mov/4768.mov","MOV")</f>
        <v>21</v>
      </c>
      <c r="R10246" t="s" s="16">
        <f>HYPERLINK("http://secrets.rutgers.edu:8080/data/asl-ftp/asllvd/demos/verify_start_end_handshape_annotations//test_auto_move//signs_mov_separ_signers/Brady_4768.mov","MOV")</f>
        <v>21</v>
      </c>
    </row>
    <row r="10247" s="2" customFormat="1" ht="13.5" customHeight="1">
      <c r="B10247" t="s" s="8">
        <v>3835</v>
      </c>
      <c r="C10247" t="s" s="9">
        <v>14</v>
      </c>
      <c r="D10247" t="s" s="8">
        <v>14</v>
      </c>
      <c r="E10247" t="s" s="9">
        <v>14</v>
      </c>
      <c r="F10247" t="s" s="10">
        <v>14</v>
      </c>
      <c r="G10247" t="s" s="11">
        <v>14</v>
      </c>
      <c r="H10247" t="s" s="10">
        <v>14</v>
      </c>
      <c r="I10247" t="s" s="11">
        <v>14</v>
      </c>
      <c r="J10247" t="s" s="11">
        <v>14</v>
      </c>
      <c r="K10247" t="s" s="12">
        <v>14</v>
      </c>
      <c r="L10247" t="s" s="12">
        <v>14</v>
      </c>
      <c r="M10247" t="s" s="10">
        <v>14</v>
      </c>
      <c r="N10247" t="s" s="11">
        <v>14</v>
      </c>
      <c r="O10247" t="s" s="8">
        <v>14</v>
      </c>
      <c r="P10247" t="s" s="8">
        <v>14</v>
      </c>
      <c r="Q10247" t="s" s="12">
        <v>14</v>
      </c>
      <c r="R10247" t="s" s="12">
        <v>14</v>
      </c>
    </row>
    <row r="10248" s="2" customFormat="1" ht="13.5" customHeight="1">
      <c r="B10248" s="13"/>
      <c r="C10248" t="s" s="9">
        <v>16</v>
      </c>
      <c r="D10248" t="s" s="8">
        <v>3835</v>
      </c>
      <c r="E10248" t="s" s="9">
        <v>3836</v>
      </c>
      <c r="F10248" s="19">
        <v>10</v>
      </c>
      <c r="G10248" s="14"/>
      <c r="H10248" s="19">
        <v>10</v>
      </c>
      <c r="I10248" s="14"/>
      <c r="J10248" t="s" s="11">
        <v>20</v>
      </c>
      <c r="K10248" t="s" s="16">
        <f>HYPERLINK("http://csr.bu.edu/ftp/asl/asllvd/demos/verify_start_end_handshape_annotations//test_auto_move//signs_mov/4211.mov","MOV")</f>
        <v>21</v>
      </c>
      <c r="L10248" t="s" s="16">
        <f>HYPERLINK("http://csr.bu.edu/ftp/asl/asllvd/demos/verify_start_end_handshape_annotations//test_auto_move//signs_mov_separ_signers/Liz_4211.mov","MOV")</f>
        <v>21</v>
      </c>
      <c r="M10248" t="s" s="10">
        <v>77</v>
      </c>
      <c r="N10248" s="17">
        <v>20</v>
      </c>
      <c r="O10248" s="18">
        <v>1035</v>
      </c>
      <c r="P10248" s="18">
        <v>1080</v>
      </c>
      <c r="Q10248" t="s" s="16">
        <f>HYPERLINK("http://secrets.rutgers.edu:8080/data/asl-ftp/asllvd/demos/verify_start_end_handshape_annotations//test_auto_move//signs_mov/4211.mov","MOV")</f>
        <v>21</v>
      </c>
      <c r="R10248" t="s" s="16">
        <f>HYPERLINK("http://secrets.rutgers.edu:8080/data/asl-ftp/asllvd/demos/verify_start_end_handshape_annotations//test_auto_move//signs_mov_separ_signers/Liz_4211.mov","MOV")</f>
        <v>21</v>
      </c>
    </row>
    <row r="10249" s="2" customFormat="1" ht="13.5" customHeight="1">
      <c r="B10249" s="13"/>
      <c r="C10249" t="s" s="9">
        <v>30</v>
      </c>
      <c r="D10249" t="s" s="8">
        <v>3835</v>
      </c>
      <c r="E10249" t="s" s="9">
        <v>3836</v>
      </c>
      <c r="F10249" s="19">
        <v>10</v>
      </c>
      <c r="G10249" s="14"/>
      <c r="H10249" s="19">
        <v>10</v>
      </c>
      <c r="I10249" s="14"/>
      <c r="J10249" t="s" s="11">
        <v>20</v>
      </c>
      <c r="K10249" s="15"/>
      <c r="L10249" t="s" s="16">
        <f>HYPERLINK("http://csr.bu.edu/ftp/asl/asllvd/demos/verify_start_end_handshape_annotations//test_auto_move//signs_mov_separ_signers/Brady_4211.mov","MOV")</f>
        <v>21</v>
      </c>
      <c r="M10249" t="s" s="10">
        <v>39</v>
      </c>
      <c r="N10249" s="17">
        <v>34</v>
      </c>
      <c r="O10249" s="18">
        <v>4289</v>
      </c>
      <c r="P10249" s="18">
        <v>4309</v>
      </c>
      <c r="Q10249" s="15"/>
      <c r="R10249" t="s" s="16">
        <f>HYPERLINK("http://secrets.rutgers.edu:8080/data/asl-ftp/asllvd/demos/verify_start_end_handshape_annotations//test_auto_move//signs_mov_separ_signers/Brady_4211.mov","MOV")</f>
        <v>21</v>
      </c>
    </row>
    <row r="10250" s="2" customFormat="1" ht="13.5" customHeight="1">
      <c r="B10250" t="s" s="8">
        <v>3837</v>
      </c>
      <c r="C10250" t="s" s="9">
        <v>14</v>
      </c>
      <c r="D10250" t="s" s="8">
        <v>14</v>
      </c>
      <c r="E10250" t="s" s="9">
        <v>14</v>
      </c>
      <c r="F10250" t="s" s="10">
        <v>14</v>
      </c>
      <c r="G10250" t="s" s="11">
        <v>14</v>
      </c>
      <c r="H10250" t="s" s="10">
        <v>14</v>
      </c>
      <c r="I10250" t="s" s="11">
        <v>14</v>
      </c>
      <c r="J10250" t="s" s="11">
        <v>14</v>
      </c>
      <c r="K10250" t="s" s="12">
        <v>14</v>
      </c>
      <c r="L10250" t="s" s="12">
        <v>14</v>
      </c>
      <c r="M10250" t="s" s="10">
        <v>14</v>
      </c>
      <c r="N10250" t="s" s="11">
        <v>14</v>
      </c>
      <c r="O10250" t="s" s="8">
        <v>14</v>
      </c>
      <c r="P10250" t="s" s="8">
        <v>14</v>
      </c>
      <c r="Q10250" t="s" s="12">
        <v>14</v>
      </c>
      <c r="R10250" t="s" s="12">
        <v>14</v>
      </c>
    </row>
    <row r="10251" s="2" customFormat="1" ht="13.5" customHeight="1">
      <c r="B10251" s="13"/>
      <c r="C10251" t="s" s="9">
        <v>16</v>
      </c>
      <c r="D10251" t="s" s="8">
        <v>3837</v>
      </c>
      <c r="E10251" t="s" s="9">
        <v>3837</v>
      </c>
      <c r="F10251" s="19">
        <v>10</v>
      </c>
      <c r="G10251" s="14"/>
      <c r="H10251" s="19">
        <v>10</v>
      </c>
      <c r="I10251" s="14"/>
      <c r="J10251" t="s" s="11">
        <v>20</v>
      </c>
      <c r="K10251" s="15"/>
      <c r="L10251" t="s" s="16">
        <f>HYPERLINK("http://csr.bu.edu/ftp/asl/asllvd/demos/verify_start_end_handshape_annotations//test_auto_move//signs_mov_separ_signers/Liz_15722.mov","MOV")</f>
        <v>21</v>
      </c>
      <c r="M10251" t="s" s="10">
        <v>34</v>
      </c>
      <c r="N10251" s="17">
        <v>4</v>
      </c>
      <c r="O10251" s="18">
        <v>505</v>
      </c>
      <c r="P10251" s="18">
        <v>532</v>
      </c>
      <c r="Q10251" s="15"/>
      <c r="R10251" t="s" s="16">
        <f>HYPERLINK("http://secrets.rutgers.edu:8080/data/asl-ftp/asllvd/demos/verify_start_end_handshape_annotations//test_auto_move//signs_mov_separ_signers/Liz_15722.mov","MOV")</f>
        <v>21</v>
      </c>
    </row>
    <row r="10252" s="2" customFormat="1" ht="13.5" customHeight="1">
      <c r="B10252" s="13"/>
      <c r="C10252" t="s" s="9">
        <v>23</v>
      </c>
      <c r="D10252" t="s" s="8">
        <v>3837</v>
      </c>
      <c r="E10252" t="s" s="9">
        <v>3837</v>
      </c>
      <c r="F10252" s="19">
        <v>10</v>
      </c>
      <c r="G10252" s="14"/>
      <c r="H10252" s="19">
        <v>10</v>
      </c>
      <c r="I10252" s="14"/>
      <c r="J10252" t="s" s="11">
        <v>20</v>
      </c>
      <c r="K10252" t="s" s="16">
        <f>HYPERLINK("http://csr.bu.edu/ftp/asl/asllvd/demos/verify_start_end_handshape_annotations//test_auto_move//signs_mov/15722.mov","MOV")</f>
        <v>21</v>
      </c>
      <c r="L10252" t="s" s="16">
        <f>HYPERLINK("http://csr.bu.edu/ftp/asl/asllvd/demos/verify_start_end_handshape_annotations//test_auto_move//signs_mov_separ_signers/Tyler_15722.mov","MOV")</f>
        <v>21</v>
      </c>
      <c r="M10252" t="s" s="10">
        <v>92</v>
      </c>
      <c r="N10252" s="17">
        <v>36</v>
      </c>
      <c r="O10252" s="18">
        <v>240</v>
      </c>
      <c r="P10252" s="18">
        <v>261</v>
      </c>
      <c r="Q10252" t="s" s="16">
        <f>HYPERLINK("http://secrets.rutgers.edu:8080/data/asl-ftp/asllvd/demos/verify_start_end_handshape_annotations//test_auto_move//signs_mov/15722.mov","MOV")</f>
        <v>21</v>
      </c>
      <c r="R10252" t="s" s="16">
        <f>HYPERLINK("http://secrets.rutgers.edu:8080/data/asl-ftp/asllvd/demos/verify_start_end_handshape_annotations//test_auto_move//signs_mov_separ_signers/Tyler_15722.mov","MOV")</f>
        <v>21</v>
      </c>
    </row>
    <row r="10253" s="2" customFormat="1" ht="13.5" customHeight="1">
      <c r="B10253" s="13"/>
      <c r="C10253" t="s" s="9">
        <v>27</v>
      </c>
      <c r="D10253" t="s" s="8">
        <v>3837</v>
      </c>
      <c r="E10253" t="s" s="9">
        <v>3837</v>
      </c>
      <c r="F10253" s="19">
        <v>10</v>
      </c>
      <c r="G10253" s="14"/>
      <c r="H10253" s="19">
        <v>10</v>
      </c>
      <c r="I10253" s="14"/>
      <c r="J10253" t="s" s="11">
        <v>20</v>
      </c>
      <c r="K10253" s="15"/>
      <c r="L10253" t="s" s="16">
        <f>HYPERLINK("http://csr.bu.edu/ftp/asl/asllvd/demos/verify_start_end_handshape_annotations//test_auto_move//signs_mov_separ_signers/Naomi_15722.mov","MOV")</f>
        <v>21</v>
      </c>
      <c r="M10253" t="s" s="10">
        <v>38</v>
      </c>
      <c r="N10253" s="17">
        <v>4</v>
      </c>
      <c r="O10253" s="18">
        <v>255</v>
      </c>
      <c r="P10253" s="18">
        <v>285</v>
      </c>
      <c r="Q10253" s="15"/>
      <c r="R10253" t="s" s="16">
        <f>HYPERLINK("http://secrets.rutgers.edu:8080/data/asl-ftp/asllvd/demos/verify_start_end_handshape_annotations//test_auto_move//signs_mov_separ_signers/Naomi_15722.mov","MOV")</f>
        <v>21</v>
      </c>
    </row>
    <row r="10254" s="2" customFormat="1" ht="13.5" customHeight="1">
      <c r="B10254" s="13"/>
      <c r="C10254" t="s" s="9">
        <v>30</v>
      </c>
      <c r="D10254" t="s" s="8">
        <v>3837</v>
      </c>
      <c r="E10254" t="s" s="9">
        <v>3837</v>
      </c>
      <c r="F10254" s="19">
        <v>10</v>
      </c>
      <c r="G10254" s="14"/>
      <c r="H10254" s="19">
        <v>10</v>
      </c>
      <c r="I10254" s="14"/>
      <c r="J10254" t="s" s="11">
        <v>20</v>
      </c>
      <c r="K10254" s="15"/>
      <c r="L10254" t="s" s="16">
        <f>HYPERLINK("http://csr.bu.edu/ftp/asl/asllvd/demos/verify_start_end_handshape_annotations//test_auto_move//signs_mov_separ_signers/Brady_15722.mov","MOV")</f>
        <v>21</v>
      </c>
      <c r="M10254" t="s" s="10">
        <v>39</v>
      </c>
      <c r="N10254" s="17">
        <v>25</v>
      </c>
      <c r="O10254" s="18">
        <v>2995</v>
      </c>
      <c r="P10254" s="18">
        <v>3017</v>
      </c>
      <c r="Q10254" s="15"/>
      <c r="R10254" t="s" s="16">
        <f>HYPERLINK("http://secrets.rutgers.edu:8080/data/asl-ftp/asllvd/demos/verify_start_end_handshape_annotations//test_auto_move//signs_mov_separ_signers/Brady_15722.mov","MOV")</f>
        <v>21</v>
      </c>
    </row>
    <row r="10255" s="2" customFormat="1" ht="13.5" customHeight="1">
      <c r="B10255" t="s" s="8">
        <v>3838</v>
      </c>
      <c r="C10255" t="s" s="9">
        <v>14</v>
      </c>
      <c r="D10255" t="s" s="8">
        <v>14</v>
      </c>
      <c r="E10255" t="s" s="9">
        <v>14</v>
      </c>
      <c r="F10255" t="s" s="10">
        <v>14</v>
      </c>
      <c r="G10255" t="s" s="11">
        <v>14</v>
      </c>
      <c r="H10255" t="s" s="10">
        <v>14</v>
      </c>
      <c r="I10255" t="s" s="11">
        <v>14</v>
      </c>
      <c r="J10255" t="s" s="11">
        <v>14</v>
      </c>
      <c r="K10255" t="s" s="12">
        <v>14</v>
      </c>
      <c r="L10255" t="s" s="12">
        <v>14</v>
      </c>
      <c r="M10255" t="s" s="10">
        <v>14</v>
      </c>
      <c r="N10255" t="s" s="11">
        <v>14</v>
      </c>
      <c r="O10255" t="s" s="8">
        <v>14</v>
      </c>
      <c r="P10255" t="s" s="8">
        <v>14</v>
      </c>
      <c r="Q10255" t="s" s="12">
        <v>14</v>
      </c>
      <c r="R10255" t="s" s="12">
        <v>14</v>
      </c>
    </row>
    <row r="10256" s="2" customFormat="1" ht="13.5" customHeight="1">
      <c r="B10256" s="13"/>
      <c r="C10256" t="s" s="9">
        <v>16</v>
      </c>
      <c r="D10256" t="s" s="8">
        <v>3838</v>
      </c>
      <c r="E10256" t="s" s="9">
        <v>3838</v>
      </c>
      <c r="F10256" s="19">
        <v>25</v>
      </c>
      <c r="G10256" s="14"/>
      <c r="H10256" s="19">
        <v>25</v>
      </c>
      <c r="I10256" s="14"/>
      <c r="J10256" t="s" s="11">
        <v>20</v>
      </c>
      <c r="K10256" t="s" s="16">
        <f>HYPERLINK("http://csr.bu.edu/ftp/asl/asllvd/demos/verify_start_end_handshape_annotations//test_auto_move//signs_mov/4212.mov","MOV")</f>
        <v>21</v>
      </c>
      <c r="L10256" t="s" s="16">
        <f>HYPERLINK("http://csr.bu.edu/ftp/asl/asllvd/demos/verify_start_end_handshape_annotations//test_auto_move//signs_mov_separ_signers/Liz_4212.mov","MOV")</f>
        <v>21</v>
      </c>
      <c r="M10256" t="s" s="10">
        <v>77</v>
      </c>
      <c r="N10256" s="17">
        <v>20</v>
      </c>
      <c r="O10256" s="18">
        <v>1190</v>
      </c>
      <c r="P10256" s="18">
        <v>1255</v>
      </c>
      <c r="Q10256" t="s" s="16">
        <f>HYPERLINK("http://secrets.rutgers.edu:8080/data/asl-ftp/asllvd/demos/verify_start_end_handshape_annotations//test_auto_move//signs_mov/4212.mov","MOV")</f>
        <v>21</v>
      </c>
      <c r="R10256" t="s" s="16">
        <f>HYPERLINK("http://secrets.rutgers.edu:8080/data/asl-ftp/asllvd/demos/verify_start_end_handshape_annotations//test_auto_move//signs_mov_separ_signers/Liz_4212.mov","MOV")</f>
        <v>21</v>
      </c>
    </row>
    <row r="10257" s="2" customFormat="1" ht="13.5" customHeight="1">
      <c r="B10257" s="13"/>
      <c r="C10257" t="s" s="9">
        <v>30</v>
      </c>
      <c r="D10257" t="s" s="8">
        <v>3838</v>
      </c>
      <c r="E10257" t="s" s="9">
        <v>3838</v>
      </c>
      <c r="F10257" s="19">
        <v>25</v>
      </c>
      <c r="G10257" s="14"/>
      <c r="H10257" s="19">
        <v>25</v>
      </c>
      <c r="I10257" s="14"/>
      <c r="J10257" t="s" s="11">
        <v>20</v>
      </c>
      <c r="K10257" s="15"/>
      <c r="L10257" t="s" s="16">
        <f>HYPERLINK("http://csr.bu.edu/ftp/asl/asllvd/demos/verify_start_end_handshape_annotations//test_auto_move//signs_mov_separ_signers/Brady_4212.mov","MOV")</f>
        <v>21</v>
      </c>
      <c r="M10257" t="s" s="10">
        <v>39</v>
      </c>
      <c r="N10257" s="17">
        <v>35</v>
      </c>
      <c r="O10257" s="18">
        <v>3494</v>
      </c>
      <c r="P10257" s="18">
        <v>3521</v>
      </c>
      <c r="Q10257" s="15"/>
      <c r="R10257" t="s" s="16">
        <f>HYPERLINK("http://secrets.rutgers.edu:8080/data/asl-ftp/asllvd/demos/verify_start_end_handshape_annotations//test_auto_move//signs_mov_separ_signers/Brady_4212.mov","MOV")</f>
        <v>21</v>
      </c>
    </row>
    <row r="10258" s="2" customFormat="1" ht="13.5" customHeight="1">
      <c r="B10258" t="s" s="8">
        <v>3839</v>
      </c>
      <c r="C10258" t="s" s="9">
        <v>14</v>
      </c>
      <c r="D10258" t="s" s="8">
        <v>14</v>
      </c>
      <c r="E10258" t="s" s="9">
        <v>14</v>
      </c>
      <c r="F10258" t="s" s="10">
        <v>14</v>
      </c>
      <c r="G10258" t="s" s="11">
        <v>14</v>
      </c>
      <c r="H10258" t="s" s="10">
        <v>14</v>
      </c>
      <c r="I10258" t="s" s="11">
        <v>14</v>
      </c>
      <c r="J10258" t="s" s="11">
        <v>14</v>
      </c>
      <c r="K10258" t="s" s="12">
        <v>14</v>
      </c>
      <c r="L10258" t="s" s="12">
        <v>14</v>
      </c>
      <c r="M10258" t="s" s="10">
        <v>14</v>
      </c>
      <c r="N10258" t="s" s="11">
        <v>14</v>
      </c>
      <c r="O10258" t="s" s="8">
        <v>14</v>
      </c>
      <c r="P10258" t="s" s="8">
        <v>14</v>
      </c>
      <c r="Q10258" t="s" s="12">
        <v>14</v>
      </c>
      <c r="R10258" t="s" s="12">
        <v>14</v>
      </c>
    </row>
    <row r="10259" s="2" customFormat="1" ht="13.5" customHeight="1">
      <c r="B10259" s="13"/>
      <c r="C10259" t="s" s="9">
        <v>16</v>
      </c>
      <c r="D10259" t="s" s="8">
        <v>3839</v>
      </c>
      <c r="E10259" t="s" s="9">
        <v>3840</v>
      </c>
      <c r="F10259" s="19">
        <v>1</v>
      </c>
      <c r="G10259" s="14"/>
      <c r="H10259" s="19">
        <v>1</v>
      </c>
      <c r="I10259" s="14"/>
      <c r="J10259" t="s" s="11">
        <v>20</v>
      </c>
      <c r="K10259" t="s" s="16">
        <f>HYPERLINK("http://csr.bu.edu/ftp/asl/asllvd/demos/verify_start_end_handshape_annotations//test_auto_move//signs_mov/4216.mov","MOV")</f>
        <v>21</v>
      </c>
      <c r="L10259" t="s" s="16">
        <f>HYPERLINK("http://csr.bu.edu/ftp/asl/asllvd/demos/verify_start_end_handshape_annotations//test_auto_move//signs_mov_separ_signers/Liz_4216.mov","MOV")</f>
        <v>21</v>
      </c>
      <c r="M10259" t="s" s="10">
        <v>77</v>
      </c>
      <c r="N10259" s="17">
        <v>20</v>
      </c>
      <c r="O10259" s="18">
        <v>2195</v>
      </c>
      <c r="P10259" s="18">
        <v>2260</v>
      </c>
      <c r="Q10259" t="s" s="16">
        <f>HYPERLINK("http://secrets.rutgers.edu:8080/data/asl-ftp/asllvd/demos/verify_start_end_handshape_annotations//test_auto_move//signs_mov/4216.mov","MOV")</f>
        <v>21</v>
      </c>
      <c r="R10259" t="s" s="16">
        <f>HYPERLINK("http://secrets.rutgers.edu:8080/data/asl-ftp/asllvd/demos/verify_start_end_handshape_annotations//test_auto_move//signs_mov_separ_signers/Liz_4216.mov","MOV")</f>
        <v>21</v>
      </c>
    </row>
    <row r="10260" s="2" customFormat="1" ht="13.5" customHeight="1">
      <c r="B10260" s="13"/>
      <c r="C10260" t="s" s="9">
        <v>30</v>
      </c>
      <c r="D10260" t="s" s="8">
        <v>3839</v>
      </c>
      <c r="E10260" t="s" s="9">
        <v>3839</v>
      </c>
      <c r="F10260" t="s" s="10">
        <v>268</v>
      </c>
      <c r="G10260" s="14"/>
      <c r="H10260" t="s" s="10">
        <v>268</v>
      </c>
      <c r="I10260" s="14"/>
      <c r="J10260" t="s" s="11">
        <v>20</v>
      </c>
      <c r="K10260" s="15"/>
      <c r="L10260" t="s" s="16">
        <f>HYPERLINK("http://csr.bu.edu/ftp/asl/asllvd/demos/verify_start_end_handshape_annotations//test_auto_move//signs_mov_separ_signers/Brady_4216.mov","MOV")</f>
        <v>21</v>
      </c>
      <c r="M10260" t="s" s="10">
        <v>39</v>
      </c>
      <c r="N10260" s="17">
        <v>44</v>
      </c>
      <c r="O10260" s="18">
        <v>6176</v>
      </c>
      <c r="P10260" s="18">
        <v>6224</v>
      </c>
      <c r="Q10260" s="15"/>
      <c r="R10260" t="s" s="16">
        <f>HYPERLINK("http://secrets.rutgers.edu:8080/data/asl-ftp/asllvd/demos/verify_start_end_handshape_annotations//test_auto_move//signs_mov_separ_signers/Brady_4216.mov","MOV")</f>
        <v>21</v>
      </c>
    </row>
    <row r="10261" s="2" customFormat="1" ht="13.5" customHeight="1">
      <c r="B10261" t="s" s="8">
        <v>3841</v>
      </c>
      <c r="C10261" t="s" s="9">
        <v>14</v>
      </c>
      <c r="D10261" t="s" s="8">
        <v>14</v>
      </c>
      <c r="E10261" t="s" s="9">
        <v>14</v>
      </c>
      <c r="F10261" t="s" s="10">
        <v>14</v>
      </c>
      <c r="G10261" t="s" s="11">
        <v>14</v>
      </c>
      <c r="H10261" t="s" s="10">
        <v>14</v>
      </c>
      <c r="I10261" t="s" s="11">
        <v>14</v>
      </c>
      <c r="J10261" t="s" s="11">
        <v>14</v>
      </c>
      <c r="K10261" t="s" s="12">
        <v>14</v>
      </c>
      <c r="L10261" t="s" s="12">
        <v>14</v>
      </c>
      <c r="M10261" t="s" s="10">
        <v>14</v>
      </c>
      <c r="N10261" t="s" s="11">
        <v>14</v>
      </c>
      <c r="O10261" t="s" s="8">
        <v>14</v>
      </c>
      <c r="P10261" t="s" s="8">
        <v>14</v>
      </c>
      <c r="Q10261" t="s" s="12">
        <v>14</v>
      </c>
      <c r="R10261" t="s" s="12">
        <v>14</v>
      </c>
    </row>
    <row r="10262" s="2" customFormat="1" ht="13.5" customHeight="1">
      <c r="B10262" s="13"/>
      <c r="C10262" t="s" s="9">
        <v>16</v>
      </c>
      <c r="D10262" t="s" s="8">
        <v>3841</v>
      </c>
      <c r="E10262" t="s" s="9">
        <v>3841</v>
      </c>
      <c r="F10262" t="s" s="10">
        <v>25</v>
      </c>
      <c r="G10262" t="s" s="11">
        <v>25</v>
      </c>
      <c r="H10262" t="s" s="10">
        <v>68</v>
      </c>
      <c r="I10262" t="s" s="11">
        <v>68</v>
      </c>
      <c r="J10262" t="s" s="11">
        <v>20</v>
      </c>
      <c r="K10262" t="s" s="16">
        <f>HYPERLINK("http://csr.bu.edu/ftp/asl/asllvd/demos/verify_start_end_handshape_annotations//test_auto_move//signs_mov/4217.mov","MOV")</f>
        <v>21</v>
      </c>
      <c r="L10262" t="s" s="16">
        <f>HYPERLINK("http://csr.bu.edu/ftp/asl/asllvd/demos/verify_start_end_handshape_annotations//test_auto_move//signs_mov_separ_signers/Liz_4217.mov","MOV")</f>
        <v>21</v>
      </c>
      <c r="M10262" t="s" s="10">
        <v>77</v>
      </c>
      <c r="N10262" s="17">
        <v>20</v>
      </c>
      <c r="O10262" s="18">
        <v>2870</v>
      </c>
      <c r="P10262" s="18">
        <v>2915</v>
      </c>
      <c r="Q10262" t="s" s="16">
        <f>HYPERLINK("http://secrets.rutgers.edu:8080/data/asl-ftp/asllvd/demos/verify_start_end_handshape_annotations//test_auto_move//signs_mov/4217.mov","MOV")</f>
        <v>21</v>
      </c>
      <c r="R10262" t="s" s="16">
        <f>HYPERLINK("http://secrets.rutgers.edu:8080/data/asl-ftp/asllvd/demos/verify_start_end_handshape_annotations//test_auto_move//signs_mov_separ_signers/Liz_4217.mov","MOV")</f>
        <v>21</v>
      </c>
    </row>
    <row r="10263" s="2" customFormat="1" ht="13.5" customHeight="1">
      <c r="B10263" s="13"/>
      <c r="C10263" t="s" s="9">
        <v>30</v>
      </c>
      <c r="D10263" t="s" s="8">
        <v>3841</v>
      </c>
      <c r="E10263" t="s" s="9">
        <v>3841</v>
      </c>
      <c r="F10263" t="s" s="10">
        <v>25</v>
      </c>
      <c r="G10263" t="s" s="11">
        <v>25</v>
      </c>
      <c r="H10263" t="s" s="10">
        <v>28</v>
      </c>
      <c r="I10263" t="s" s="11">
        <v>28</v>
      </c>
      <c r="J10263" t="s" s="11">
        <v>20</v>
      </c>
      <c r="K10263" s="15"/>
      <c r="L10263" t="s" s="16">
        <f>HYPERLINK("http://csr.bu.edu/ftp/asl/asllvd/demos/verify_start_end_handshape_annotations//test_auto_move//signs_mov_separ_signers/Brady_4217.mov","MOV")</f>
        <v>21</v>
      </c>
      <c r="M10263" t="s" s="10">
        <v>39</v>
      </c>
      <c r="N10263" s="17">
        <v>50</v>
      </c>
      <c r="O10263" s="18">
        <v>827</v>
      </c>
      <c r="P10263" s="18">
        <v>850</v>
      </c>
      <c r="Q10263" s="15"/>
      <c r="R10263" t="s" s="16">
        <f>HYPERLINK("http://secrets.rutgers.edu:8080/data/asl-ftp/asllvd/demos/verify_start_end_handshape_annotations//test_auto_move//signs_mov_separ_signers/Brady_4217.mov","MOV")</f>
        <v>21</v>
      </c>
    </row>
    <row r="10264" s="2" customFormat="1" ht="13.5" customHeight="1">
      <c r="B10264" t="s" s="8">
        <v>3842</v>
      </c>
      <c r="C10264" t="s" s="9">
        <v>14</v>
      </c>
      <c r="D10264" t="s" s="8">
        <v>14</v>
      </c>
      <c r="E10264" t="s" s="9">
        <v>14</v>
      </c>
      <c r="F10264" t="s" s="10">
        <v>14</v>
      </c>
      <c r="G10264" t="s" s="11">
        <v>14</v>
      </c>
      <c r="H10264" t="s" s="10">
        <v>14</v>
      </c>
      <c r="I10264" t="s" s="11">
        <v>14</v>
      </c>
      <c r="J10264" t="s" s="11">
        <v>14</v>
      </c>
      <c r="K10264" t="s" s="12">
        <v>14</v>
      </c>
      <c r="L10264" t="s" s="12">
        <v>14</v>
      </c>
      <c r="M10264" t="s" s="10">
        <v>14</v>
      </c>
      <c r="N10264" t="s" s="11">
        <v>14</v>
      </c>
      <c r="O10264" t="s" s="8">
        <v>14</v>
      </c>
      <c r="P10264" t="s" s="8">
        <v>14</v>
      </c>
      <c r="Q10264" t="s" s="12">
        <v>14</v>
      </c>
      <c r="R10264" t="s" s="12">
        <v>14</v>
      </c>
    </row>
    <row r="10265" s="2" customFormat="1" ht="13.5" customHeight="1">
      <c r="B10265" s="13"/>
      <c r="C10265" t="s" s="9">
        <v>16</v>
      </c>
      <c r="D10265" t="s" s="8">
        <v>3842</v>
      </c>
      <c r="E10265" t="s" s="9">
        <v>3842</v>
      </c>
      <c r="F10265" s="19">
        <v>1</v>
      </c>
      <c r="G10265" s="14"/>
      <c r="H10265" t="s" s="10">
        <v>255</v>
      </c>
      <c r="I10265" s="14"/>
      <c r="J10265" t="s" s="11">
        <v>20</v>
      </c>
      <c r="K10265" s="15"/>
      <c r="L10265" t="s" s="16">
        <f>HYPERLINK("http://csr.bu.edu/ftp/asl/asllvd/demos/verify_start_end_handshape_annotations//test_auto_move//signs_mov_separ_signers/Liz_4219.mov","MOV")</f>
        <v>21</v>
      </c>
      <c r="M10265" t="s" s="10">
        <v>36</v>
      </c>
      <c r="N10265" s="17">
        <v>3</v>
      </c>
      <c r="O10265" s="18">
        <v>3093</v>
      </c>
      <c r="P10265" s="18">
        <v>3110</v>
      </c>
      <c r="Q10265" s="15"/>
      <c r="R10265" t="s" s="16">
        <f>HYPERLINK("http://secrets.rutgers.edu:8080/data/asl-ftp/asllvd/demos/verify_start_end_handshape_annotations//test_auto_move//signs_mov_separ_signers/Liz_4219.mov","MOV")</f>
        <v>21</v>
      </c>
    </row>
    <row r="10266" s="2" customFormat="1" ht="13.5" customHeight="1">
      <c r="B10266" s="13"/>
      <c r="C10266" t="s" s="9">
        <v>16</v>
      </c>
      <c r="D10266" t="s" s="8">
        <v>3842</v>
      </c>
      <c r="E10266" t="s" s="9">
        <v>3842</v>
      </c>
      <c r="F10266" s="19">
        <v>1</v>
      </c>
      <c r="G10266" s="14"/>
      <c r="H10266" t="s" s="10">
        <v>255</v>
      </c>
      <c r="I10266" s="14"/>
      <c r="J10266" t="s" s="11">
        <v>20</v>
      </c>
      <c r="K10266" t="s" s="16">
        <f>HYPERLINK("http://csr.bu.edu/ftp/asl/asllvd/demos/verify_start_end_handshape_annotations//test_auto_move//signs_mov/4219_16230_merged.mov","MOV")</f>
        <v>21</v>
      </c>
      <c r="L10266" t="s" s="16">
        <f>HYPERLINK("http://csr.bu.edu/ftp/asl/asllvd/demos/verify_start_end_handshape_annotations//test_auto_move//signs_mov_separ_signers/Liz_16230.mov","MOV")</f>
        <v>21</v>
      </c>
      <c r="M10266" t="s" s="10">
        <v>77</v>
      </c>
      <c r="N10266" s="17">
        <v>20</v>
      </c>
      <c r="O10266" s="18">
        <v>90</v>
      </c>
      <c r="P10266" s="18">
        <v>135</v>
      </c>
      <c r="Q10266" t="s" s="16">
        <f>HYPERLINK("http://secrets.rutgers.edu:8080/data/asl-ftp/asllvd/demos/verify_start_end_handshape_annotations//test_auto_move//signs_mov/4219_16230_merged.mov","MOV")</f>
        <v>21</v>
      </c>
      <c r="R10266" t="s" s="16">
        <f>HYPERLINK("http://secrets.rutgers.edu:8080/data/asl-ftp/asllvd/demos/verify_start_end_handshape_annotations//test_auto_move//signs_mov_separ_signers/Liz_16230.mov","MOV")</f>
        <v>21</v>
      </c>
    </row>
    <row r="10267" s="2" customFormat="1" ht="13.5" customHeight="1">
      <c r="B10267" s="13"/>
      <c r="C10267" t="s" s="9">
        <v>30</v>
      </c>
      <c r="D10267" t="s" s="8">
        <v>3842</v>
      </c>
      <c r="E10267" t="s" s="9">
        <v>3842</v>
      </c>
      <c r="F10267" s="19">
        <v>1</v>
      </c>
      <c r="G10267" s="14"/>
      <c r="H10267" t="s" s="10">
        <v>255</v>
      </c>
      <c r="I10267" s="14"/>
      <c r="J10267" t="s" s="11">
        <v>20</v>
      </c>
      <c r="K10267" s="15"/>
      <c r="L10267" t="s" s="16">
        <f>HYPERLINK("http://csr.bu.edu/ftp/asl/asllvd/demos/verify_start_end_handshape_annotations//test_auto_move//signs_mov_separ_signers/Brady_4219.mov","MOV")</f>
        <v>21</v>
      </c>
      <c r="M10267" t="s" s="10">
        <v>40</v>
      </c>
      <c r="N10267" s="17">
        <v>48</v>
      </c>
      <c r="O10267" s="18">
        <v>1194</v>
      </c>
      <c r="P10267" s="18">
        <v>1208</v>
      </c>
      <c r="Q10267" s="15"/>
      <c r="R10267" t="s" s="16">
        <f>HYPERLINK("http://secrets.rutgers.edu:8080/data/asl-ftp/asllvd/demos/verify_start_end_handshape_annotations//test_auto_move//signs_mov_separ_signers/Brady_4219.mov","MOV")</f>
        <v>21</v>
      </c>
    </row>
    <row r="10268" s="2" customFormat="1" ht="13.5" customHeight="1">
      <c r="B10268" t="s" s="8">
        <v>3843</v>
      </c>
      <c r="C10268" t="s" s="9">
        <v>14</v>
      </c>
      <c r="D10268" t="s" s="8">
        <v>14</v>
      </c>
      <c r="E10268" t="s" s="9">
        <v>14</v>
      </c>
      <c r="F10268" t="s" s="10">
        <v>14</v>
      </c>
      <c r="G10268" t="s" s="11">
        <v>14</v>
      </c>
      <c r="H10268" t="s" s="10">
        <v>14</v>
      </c>
      <c r="I10268" t="s" s="11">
        <v>14</v>
      </c>
      <c r="J10268" t="s" s="11">
        <v>14</v>
      </c>
      <c r="K10268" t="s" s="12">
        <v>14</v>
      </c>
      <c r="L10268" t="s" s="12">
        <v>14</v>
      </c>
      <c r="M10268" t="s" s="10">
        <v>14</v>
      </c>
      <c r="N10268" t="s" s="11">
        <v>14</v>
      </c>
      <c r="O10268" t="s" s="8">
        <v>14</v>
      </c>
      <c r="P10268" t="s" s="8">
        <v>14</v>
      </c>
      <c r="Q10268" t="s" s="12">
        <v>14</v>
      </c>
      <c r="R10268" t="s" s="12">
        <v>14</v>
      </c>
    </row>
    <row r="10269" s="2" customFormat="1" ht="13.5" customHeight="1">
      <c r="B10269" s="13"/>
      <c r="C10269" t="s" s="9">
        <v>16</v>
      </c>
      <c r="D10269" t="s" s="8">
        <v>3843</v>
      </c>
      <c r="E10269" t="s" s="9">
        <v>3843</v>
      </c>
      <c r="F10269" s="19">
        <v>1</v>
      </c>
      <c r="G10269" t="s" s="11">
        <v>109</v>
      </c>
      <c r="H10269" s="19">
        <v>1</v>
      </c>
      <c r="I10269" t="s" s="11">
        <v>109</v>
      </c>
      <c r="J10269" t="s" s="11">
        <v>20</v>
      </c>
      <c r="K10269" s="15"/>
      <c r="L10269" t="s" s="16">
        <f>HYPERLINK("http://csr.bu.edu/ftp/asl/asllvd/demos/verify_start_end_handshape_annotations//test_auto_move//signs_mov_separ_signers/Liz_4225.mov","MOV")</f>
        <v>21</v>
      </c>
      <c r="M10269" t="s" s="10">
        <v>36</v>
      </c>
      <c r="N10269" s="17">
        <v>35</v>
      </c>
      <c r="O10269" s="18">
        <v>3246</v>
      </c>
      <c r="P10269" s="18">
        <v>3305</v>
      </c>
      <c r="Q10269" s="15"/>
      <c r="R10269" t="s" s="16">
        <f>HYPERLINK("http://secrets.rutgers.edu:8080/data/asl-ftp/asllvd/demos/verify_start_end_handshape_annotations//test_auto_move//signs_mov_separ_signers/Liz_4225.mov","MOV")</f>
        <v>21</v>
      </c>
    </row>
    <row r="10270" s="2" customFormat="1" ht="13.5" customHeight="1">
      <c r="B10270" s="13"/>
      <c r="C10270" t="s" s="9">
        <v>16</v>
      </c>
      <c r="D10270" t="s" s="8">
        <v>3843</v>
      </c>
      <c r="E10270" t="s" s="9">
        <v>3843</v>
      </c>
      <c r="F10270" s="19">
        <v>1</v>
      </c>
      <c r="G10270" t="s" s="11">
        <v>109</v>
      </c>
      <c r="H10270" s="19">
        <v>1</v>
      </c>
      <c r="I10270" t="s" s="11">
        <v>109</v>
      </c>
      <c r="J10270" t="s" s="11">
        <v>20</v>
      </c>
      <c r="K10270" t="s" s="16">
        <f>HYPERLINK("http://csr.bu.edu/ftp/asl/asllvd/demos/verify_start_end_handshape_annotations//test_auto_move//signs_mov/4225_15600_merged.mov","MOV")</f>
        <v>21</v>
      </c>
      <c r="L10270" t="s" s="16">
        <f>HYPERLINK("http://csr.bu.edu/ftp/asl/asllvd/demos/verify_start_end_handshape_annotations//test_auto_move//signs_mov_separ_signers/Liz_15600.mov","MOV")</f>
        <v>21</v>
      </c>
      <c r="M10270" t="s" s="10">
        <v>77</v>
      </c>
      <c r="N10270" s="17">
        <v>23</v>
      </c>
      <c r="O10270" s="18">
        <v>831</v>
      </c>
      <c r="P10270" s="18">
        <v>883</v>
      </c>
      <c r="Q10270" t="s" s="16">
        <f>HYPERLINK("http://secrets.rutgers.edu:8080/data/asl-ftp/asllvd/demos/verify_start_end_handshape_annotations//test_auto_move//signs_mov/4225_15600_merged.mov","MOV")</f>
        <v>21</v>
      </c>
      <c r="R10270" t="s" s="16">
        <f>HYPERLINK("http://secrets.rutgers.edu:8080/data/asl-ftp/asllvd/demos/verify_start_end_handshape_annotations//test_auto_move//signs_mov_separ_signers/Liz_15600.mov","MOV")</f>
        <v>21</v>
      </c>
    </row>
    <row r="10271" s="2" customFormat="1" ht="13.5" customHeight="1">
      <c r="B10271" s="13"/>
      <c r="C10271" t="s" s="9">
        <v>30</v>
      </c>
      <c r="D10271" t="s" s="8">
        <v>3843</v>
      </c>
      <c r="E10271" t="s" s="9">
        <v>3843</v>
      </c>
      <c r="F10271" s="19">
        <v>1</v>
      </c>
      <c r="G10271" t="s" s="11">
        <v>73</v>
      </c>
      <c r="H10271" s="19">
        <v>1</v>
      </c>
      <c r="I10271" t="s" s="11">
        <v>73</v>
      </c>
      <c r="J10271" t="s" s="11">
        <v>20</v>
      </c>
      <c r="K10271" s="15"/>
      <c r="L10271" t="s" s="16">
        <f>HYPERLINK("http://csr.bu.edu/ftp/asl/asllvd/demos/verify_start_end_handshape_annotations//test_auto_move//signs_mov_separ_signers/Brady_4225.mov","MOV")</f>
        <v>21</v>
      </c>
      <c r="M10271" t="s" s="10">
        <v>40</v>
      </c>
      <c r="N10271" s="17">
        <v>88</v>
      </c>
      <c r="O10271" s="18">
        <v>174</v>
      </c>
      <c r="P10271" s="18">
        <v>225</v>
      </c>
      <c r="Q10271" s="15"/>
      <c r="R10271" t="s" s="16">
        <f>HYPERLINK("http://secrets.rutgers.edu:8080/data/asl-ftp/asllvd/demos/verify_start_end_handshape_annotations//test_auto_move//signs_mov_separ_signers/Brady_4225.mov","MOV")</f>
        <v>21</v>
      </c>
    </row>
    <row r="10272" s="2" customFormat="1" ht="13.5" customHeight="1">
      <c r="B10272" s="13"/>
      <c r="C10272" t="s" s="9">
        <v>30</v>
      </c>
      <c r="D10272" t="s" s="8">
        <v>3843</v>
      </c>
      <c r="E10272" t="s" s="9">
        <v>3843</v>
      </c>
      <c r="F10272" s="19">
        <v>1</v>
      </c>
      <c r="G10272" t="s" s="11">
        <v>73</v>
      </c>
      <c r="H10272" s="19">
        <v>1</v>
      </c>
      <c r="I10272" t="s" s="11">
        <v>73</v>
      </c>
      <c r="J10272" t="s" s="11">
        <v>20</v>
      </c>
      <c r="K10272" s="15"/>
      <c r="L10272" t="s" s="16">
        <f>HYPERLINK("http://csr.bu.edu/ftp/asl/asllvd/demos/verify_start_end_handshape_annotations//test_auto_move//signs_mov_separ_signers/Brady_15600.mov","MOV")</f>
        <v>21</v>
      </c>
      <c r="M10272" t="s" s="10">
        <v>60</v>
      </c>
      <c r="N10272" s="17">
        <v>53</v>
      </c>
      <c r="O10272" s="18">
        <v>974</v>
      </c>
      <c r="P10272" s="18">
        <v>1017</v>
      </c>
      <c r="Q10272" s="15"/>
      <c r="R10272" t="s" s="16">
        <f>HYPERLINK("http://secrets.rutgers.edu:8080/data/asl-ftp/asllvd/demos/verify_start_end_handshape_annotations//test_auto_move//signs_mov_separ_signers/Brady_15600.mov","MOV")</f>
        <v>21</v>
      </c>
    </row>
    <row r="10273" s="2" customFormat="1" ht="13.5" customHeight="1">
      <c r="B10273" t="s" s="8">
        <v>3844</v>
      </c>
      <c r="C10273" t="s" s="9">
        <v>14</v>
      </c>
      <c r="D10273" t="s" s="8">
        <v>14</v>
      </c>
      <c r="E10273" t="s" s="9">
        <v>14</v>
      </c>
      <c r="F10273" t="s" s="10">
        <v>14</v>
      </c>
      <c r="G10273" t="s" s="11">
        <v>14</v>
      </c>
      <c r="H10273" t="s" s="10">
        <v>14</v>
      </c>
      <c r="I10273" t="s" s="11">
        <v>14</v>
      </c>
      <c r="J10273" t="s" s="11">
        <v>14</v>
      </c>
      <c r="K10273" t="s" s="12">
        <v>14</v>
      </c>
      <c r="L10273" t="s" s="12">
        <v>14</v>
      </c>
      <c r="M10273" t="s" s="10">
        <v>14</v>
      </c>
      <c r="N10273" t="s" s="11">
        <v>14</v>
      </c>
      <c r="O10273" t="s" s="8">
        <v>14</v>
      </c>
      <c r="P10273" t="s" s="8">
        <v>14</v>
      </c>
      <c r="Q10273" t="s" s="12">
        <v>14</v>
      </c>
      <c r="R10273" t="s" s="12">
        <v>14</v>
      </c>
    </row>
    <row r="10274" s="2" customFormat="1" ht="13.5" customHeight="1">
      <c r="B10274" s="13"/>
      <c r="C10274" t="s" s="9">
        <v>16</v>
      </c>
      <c r="D10274" t="s" s="8">
        <v>3844</v>
      </c>
      <c r="E10274" t="s" s="9">
        <v>3844</v>
      </c>
      <c r="F10274" s="19">
        <v>1</v>
      </c>
      <c r="G10274" s="17">
        <v>1</v>
      </c>
      <c r="H10274" s="19">
        <v>1</v>
      </c>
      <c r="I10274" s="17">
        <v>1</v>
      </c>
      <c r="J10274" t="s" s="11">
        <v>20</v>
      </c>
      <c r="K10274" t="s" s="16">
        <f>HYPERLINK("http://csr.bu.edu/ftp/asl/asllvd/demos/verify_start_end_handshape_annotations//test_auto_move//signs_mov/4231.mov","MOV")</f>
        <v>21</v>
      </c>
      <c r="L10274" t="s" s="16">
        <f>HYPERLINK("http://csr.bu.edu/ftp/asl/asllvd/demos/verify_start_end_handshape_annotations//test_auto_move//signs_mov_separ_signers/Liz_4231.mov","MOV")</f>
        <v>21</v>
      </c>
      <c r="M10274" t="s" s="10">
        <v>77</v>
      </c>
      <c r="N10274" s="17">
        <v>23</v>
      </c>
      <c r="O10274" s="18">
        <v>1922</v>
      </c>
      <c r="P10274" s="18">
        <v>2009</v>
      </c>
      <c r="Q10274" t="s" s="16">
        <f>HYPERLINK("http://secrets.rutgers.edu:8080/data/asl-ftp/asllvd/demos/verify_start_end_handshape_annotations//test_auto_move//signs_mov/4231.mov","MOV")</f>
        <v>21</v>
      </c>
      <c r="R10274" t="s" s="16">
        <f>HYPERLINK("http://secrets.rutgers.edu:8080/data/asl-ftp/asllvd/demos/verify_start_end_handshape_annotations//test_auto_move//signs_mov_separ_signers/Liz_4231.mov","MOV")</f>
        <v>21</v>
      </c>
    </row>
    <row r="10275" s="2" customFormat="1" ht="13.5" customHeight="1">
      <c r="B10275" s="13"/>
      <c r="C10275" t="s" s="9">
        <v>30</v>
      </c>
      <c r="D10275" t="s" s="8">
        <v>3844</v>
      </c>
      <c r="E10275" t="s" s="9">
        <v>3844</v>
      </c>
      <c r="F10275" s="19">
        <v>1</v>
      </c>
      <c r="G10275" s="17">
        <v>1</v>
      </c>
      <c r="H10275" s="19">
        <v>1</v>
      </c>
      <c r="I10275" s="17">
        <v>1</v>
      </c>
      <c r="J10275" t="s" s="11">
        <v>20</v>
      </c>
      <c r="K10275" s="15"/>
      <c r="L10275" t="s" s="16">
        <f>HYPERLINK("http://csr.bu.edu/ftp/asl/asllvd/demos/verify_start_end_handshape_annotations//test_auto_move//signs_mov_separ_signers/Brady_4231.mov","MOV")</f>
        <v>21</v>
      </c>
      <c r="M10275" t="s" s="10">
        <v>31</v>
      </c>
      <c r="N10275" s="17">
        <v>13</v>
      </c>
      <c r="O10275" s="18">
        <v>11076</v>
      </c>
      <c r="P10275" s="18">
        <v>11126</v>
      </c>
      <c r="Q10275" s="15"/>
      <c r="R10275" t="s" s="16">
        <f>HYPERLINK("http://secrets.rutgers.edu:8080/data/asl-ftp/asllvd/demos/verify_start_end_handshape_annotations//test_auto_move//signs_mov_separ_signers/Brady_4231.mov","MOV")</f>
        <v>21</v>
      </c>
    </row>
    <row r="10276" s="2" customFormat="1" ht="13.5" customHeight="1">
      <c r="B10276" t="s" s="8">
        <v>3845</v>
      </c>
      <c r="C10276" t="s" s="9">
        <v>14</v>
      </c>
      <c r="D10276" t="s" s="8">
        <v>14</v>
      </c>
      <c r="E10276" t="s" s="9">
        <v>14</v>
      </c>
      <c r="F10276" t="s" s="10">
        <v>14</v>
      </c>
      <c r="G10276" t="s" s="11">
        <v>14</v>
      </c>
      <c r="H10276" t="s" s="10">
        <v>14</v>
      </c>
      <c r="I10276" t="s" s="11">
        <v>14</v>
      </c>
      <c r="J10276" t="s" s="11">
        <v>14</v>
      </c>
      <c r="K10276" t="s" s="12">
        <v>14</v>
      </c>
      <c r="L10276" t="s" s="12">
        <v>14</v>
      </c>
      <c r="M10276" t="s" s="10">
        <v>14</v>
      </c>
      <c r="N10276" t="s" s="11">
        <v>14</v>
      </c>
      <c r="O10276" t="s" s="8">
        <v>14</v>
      </c>
      <c r="P10276" t="s" s="8">
        <v>14</v>
      </c>
      <c r="Q10276" t="s" s="12">
        <v>14</v>
      </c>
      <c r="R10276" t="s" s="12">
        <v>14</v>
      </c>
    </row>
    <row r="10277" s="2" customFormat="1" ht="13.5" customHeight="1">
      <c r="B10277" s="13"/>
      <c r="C10277" t="s" s="9">
        <v>16</v>
      </c>
      <c r="D10277" t="s" s="8">
        <v>3845</v>
      </c>
      <c r="E10277" t="s" s="9">
        <v>3845</v>
      </c>
      <c r="F10277" s="19">
        <v>1</v>
      </c>
      <c r="G10277" s="17">
        <v>1</v>
      </c>
      <c r="H10277" s="19">
        <v>1</v>
      </c>
      <c r="I10277" s="17">
        <v>1</v>
      </c>
      <c r="J10277" t="s" s="11">
        <v>20</v>
      </c>
      <c r="K10277" t="s" s="16">
        <f>HYPERLINK("http://csr.bu.edu/ftp/asl/asllvd/demos/verify_start_end_handshape_annotations//test_auto_move//signs_mov/5729.mov","MOV")</f>
        <v>21</v>
      </c>
      <c r="L10277" t="s" s="16">
        <f>HYPERLINK("http://csr.bu.edu/ftp/asl/asllvd/demos/verify_start_end_handshape_annotations//test_auto_move//signs_mov_separ_signers/Liz_5729.mov","MOV")</f>
        <v>21</v>
      </c>
      <c r="M10277" t="s" s="10">
        <v>36</v>
      </c>
      <c r="N10277" s="17">
        <v>49</v>
      </c>
      <c r="O10277" s="18">
        <v>528</v>
      </c>
      <c r="P10277" s="18">
        <v>575</v>
      </c>
      <c r="Q10277" t="s" s="16">
        <f>HYPERLINK("http://secrets.rutgers.edu:8080/data/asl-ftp/asllvd/demos/verify_start_end_handshape_annotations//test_auto_move//signs_mov/5729.mov","MOV")</f>
        <v>21</v>
      </c>
      <c r="R10277" t="s" s="16">
        <f>HYPERLINK("http://secrets.rutgers.edu:8080/data/asl-ftp/asllvd/demos/verify_start_end_handshape_annotations//test_auto_move//signs_mov_separ_signers/Liz_5729.mov","MOV")</f>
        <v>21</v>
      </c>
    </row>
    <row r="10278" s="2" customFormat="1" ht="13.5" customHeight="1">
      <c r="B10278" t="s" s="8">
        <v>3846</v>
      </c>
      <c r="C10278" t="s" s="9">
        <v>14</v>
      </c>
      <c r="D10278" t="s" s="8">
        <v>14</v>
      </c>
      <c r="E10278" t="s" s="9">
        <v>14</v>
      </c>
      <c r="F10278" t="s" s="10">
        <v>14</v>
      </c>
      <c r="G10278" t="s" s="11">
        <v>14</v>
      </c>
      <c r="H10278" t="s" s="10">
        <v>14</v>
      </c>
      <c r="I10278" t="s" s="11">
        <v>14</v>
      </c>
      <c r="J10278" t="s" s="11">
        <v>14</v>
      </c>
      <c r="K10278" t="s" s="12">
        <v>14</v>
      </c>
      <c r="L10278" t="s" s="12">
        <v>14</v>
      </c>
      <c r="M10278" t="s" s="10">
        <v>14</v>
      </c>
      <c r="N10278" t="s" s="11">
        <v>14</v>
      </c>
      <c r="O10278" t="s" s="8">
        <v>14</v>
      </c>
      <c r="P10278" t="s" s="8">
        <v>14</v>
      </c>
      <c r="Q10278" t="s" s="12">
        <v>14</v>
      </c>
      <c r="R10278" t="s" s="12">
        <v>14</v>
      </c>
    </row>
    <row r="10279" s="2" customFormat="1" ht="13.5" customHeight="1">
      <c r="B10279" s="13"/>
      <c r="C10279" t="s" s="9">
        <v>16</v>
      </c>
      <c r="D10279" t="s" s="8">
        <v>3846</v>
      </c>
      <c r="E10279" t="s" s="9">
        <v>3846</v>
      </c>
      <c r="F10279" t="s" s="10">
        <v>70</v>
      </c>
      <c r="G10279" t="s" s="11">
        <v>70</v>
      </c>
      <c r="H10279" s="19">
        <v>1</v>
      </c>
      <c r="I10279" s="17">
        <v>1</v>
      </c>
      <c r="J10279" t="s" s="11">
        <v>20</v>
      </c>
      <c r="K10279" t="s" s="16">
        <f>HYPERLINK("http://csr.bu.edu/ftp/asl/asllvd/demos/verify_start_end_handshape_annotations//test_auto_move//signs_mov/15717.mov","MOV")</f>
        <v>21</v>
      </c>
      <c r="L10279" t="s" s="16">
        <f>HYPERLINK("http://csr.bu.edu/ftp/asl/asllvd/demos/verify_start_end_handshape_annotations//test_auto_move//signs_mov_separ_signers/Liz_15717.mov","MOV")</f>
        <v>21</v>
      </c>
      <c r="M10279" t="s" s="10">
        <v>22</v>
      </c>
      <c r="N10279" s="17">
        <v>54</v>
      </c>
      <c r="O10279" s="18">
        <v>510</v>
      </c>
      <c r="P10279" s="18">
        <v>540</v>
      </c>
      <c r="Q10279" t="s" s="16">
        <f>HYPERLINK("http://secrets.rutgers.edu:8080/data/asl-ftp/asllvd/demos/verify_start_end_handshape_annotations//test_auto_move//signs_mov/15717.mov","MOV")</f>
        <v>21</v>
      </c>
      <c r="R10279" t="s" s="16">
        <f>HYPERLINK("http://secrets.rutgers.edu:8080/data/asl-ftp/asllvd/demos/verify_start_end_handshape_annotations//test_auto_move//signs_mov_separ_signers/Liz_15717.mov","MOV")</f>
        <v>21</v>
      </c>
    </row>
    <row r="10280" s="2" customFormat="1" ht="13.5" customHeight="1">
      <c r="B10280" t="s" s="8">
        <v>52</v>
      </c>
      <c r="C10280" t="s" s="9">
        <v>53</v>
      </c>
      <c r="D10280" t="s" s="8">
        <v>53</v>
      </c>
      <c r="E10280" t="s" s="9">
        <v>53</v>
      </c>
      <c r="F10280" t="s" s="10">
        <v>53</v>
      </c>
      <c r="G10280" t="s" s="11">
        <v>53</v>
      </c>
      <c r="H10280" t="s" s="10">
        <v>53</v>
      </c>
      <c r="I10280" t="s" s="11">
        <v>53</v>
      </c>
      <c r="J10280" t="s" s="11">
        <v>53</v>
      </c>
      <c r="K10280" t="s" s="12">
        <v>53</v>
      </c>
      <c r="L10280" t="s" s="12">
        <v>53</v>
      </c>
      <c r="M10280" t="s" s="10">
        <v>53</v>
      </c>
      <c r="N10280" t="s" s="11">
        <v>53</v>
      </c>
      <c r="O10280" t="s" s="8">
        <v>53</v>
      </c>
      <c r="P10280" t="s" s="8">
        <v>53</v>
      </c>
      <c r="Q10280" t="s" s="12">
        <v>53</v>
      </c>
      <c r="R10280" t="s" s="12">
        <v>53</v>
      </c>
    </row>
    <row r="10281" s="2" customFormat="1" ht="13.5" customHeight="1">
      <c r="B10281" s="13"/>
      <c r="C10281" t="s" s="9">
        <v>27</v>
      </c>
      <c r="D10281" t="s" s="8">
        <v>3846</v>
      </c>
      <c r="E10281" t="s" s="9">
        <v>3847</v>
      </c>
      <c r="F10281" s="19">
        <v>1</v>
      </c>
      <c r="G10281" s="17">
        <v>1</v>
      </c>
      <c r="H10281" s="19">
        <v>1</v>
      </c>
      <c r="I10281" s="17">
        <v>1</v>
      </c>
      <c r="J10281" t="s" s="11">
        <v>20</v>
      </c>
      <c r="K10281" t="s" s="16">
        <f>HYPERLINK("http://csr.bu.edu/ftp/asl/asllvd/demos/verify_start_end_handshape_annotations//test_auto_move//signs_mov/16211.mov","MOV")</f>
        <v>21</v>
      </c>
      <c r="L10281" t="s" s="16">
        <f>HYPERLINK("http://csr.bu.edu/ftp/asl/asllvd/demos/verify_start_end_handshape_annotations//test_auto_move//signs_mov_separ_signers/Naomi_16211.mov","MOV")</f>
        <v>21</v>
      </c>
      <c r="M10281" t="s" s="10">
        <v>29</v>
      </c>
      <c r="N10281" s="17">
        <v>34</v>
      </c>
      <c r="O10281" s="18">
        <v>2752</v>
      </c>
      <c r="P10281" s="18">
        <v>2775</v>
      </c>
      <c r="Q10281" t="s" s="16">
        <f>HYPERLINK("http://secrets.rutgers.edu:8080/data/asl-ftp/asllvd/demos/verify_start_end_handshape_annotations//test_auto_move//signs_mov/16211.mov","MOV")</f>
        <v>21</v>
      </c>
      <c r="R10281" t="s" s="16">
        <f>HYPERLINK("http://secrets.rutgers.edu:8080/data/asl-ftp/asllvd/demos/verify_start_end_handshape_annotations//test_auto_move//signs_mov_separ_signers/Naomi_16211.mov","MOV")</f>
        <v>21</v>
      </c>
    </row>
    <row r="10282" s="2" customFormat="1" ht="13.5" customHeight="1">
      <c r="B10282" t="s" s="8">
        <v>3848</v>
      </c>
      <c r="C10282" t="s" s="9">
        <v>14</v>
      </c>
      <c r="D10282" t="s" s="8">
        <v>14</v>
      </c>
      <c r="E10282" t="s" s="9">
        <v>14</v>
      </c>
      <c r="F10282" t="s" s="10">
        <v>14</v>
      </c>
      <c r="G10282" t="s" s="11">
        <v>14</v>
      </c>
      <c r="H10282" t="s" s="10">
        <v>14</v>
      </c>
      <c r="I10282" t="s" s="11">
        <v>14</v>
      </c>
      <c r="J10282" t="s" s="11">
        <v>14</v>
      </c>
      <c r="K10282" t="s" s="12">
        <v>14</v>
      </c>
      <c r="L10282" t="s" s="12">
        <v>14</v>
      </c>
      <c r="M10282" t="s" s="10">
        <v>14</v>
      </c>
      <c r="N10282" t="s" s="11">
        <v>14</v>
      </c>
      <c r="O10282" t="s" s="8">
        <v>14</v>
      </c>
      <c r="P10282" t="s" s="8">
        <v>14</v>
      </c>
      <c r="Q10282" t="s" s="12">
        <v>14</v>
      </c>
      <c r="R10282" t="s" s="12">
        <v>14</v>
      </c>
    </row>
    <row r="10283" s="2" customFormat="1" ht="13.5" customHeight="1">
      <c r="B10283" s="13"/>
      <c r="C10283" t="s" s="9">
        <v>16</v>
      </c>
      <c r="D10283" t="s" s="8">
        <v>3848</v>
      </c>
      <c r="E10283" t="s" s="9">
        <v>3848</v>
      </c>
      <c r="F10283" t="s" s="10">
        <v>230</v>
      </c>
      <c r="G10283" s="17">
        <v>5</v>
      </c>
      <c r="H10283" t="s" s="10">
        <v>230</v>
      </c>
      <c r="I10283" s="17">
        <v>5</v>
      </c>
      <c r="J10283" t="s" s="11">
        <v>20</v>
      </c>
      <c r="K10283" t="s" s="16">
        <f>HYPERLINK("http://csr.bu.edu/ftp/asl/asllvd/demos/verify_start_end_handshape_annotations//test_auto_move//signs_mov/3978_4239_merged.mov","MOV")</f>
        <v>21</v>
      </c>
      <c r="L10283" t="s" s="16">
        <f>HYPERLINK("http://csr.bu.edu/ftp/asl/asllvd/demos/verify_start_end_handshape_annotations//test_auto_move//signs_mov_separ_signers/Liz_4239.mov","MOV")</f>
        <v>21</v>
      </c>
      <c r="M10283" t="s" s="10">
        <v>77</v>
      </c>
      <c r="N10283" s="17">
        <v>6</v>
      </c>
      <c r="O10283" s="18">
        <v>2578</v>
      </c>
      <c r="P10283" s="18">
        <v>2636</v>
      </c>
      <c r="Q10283" t="s" s="16">
        <f>HYPERLINK("http://secrets.rutgers.edu:8080/data/asl-ftp/asllvd/demos/verify_start_end_handshape_annotations//test_auto_move//signs_mov/3978_4239_merged.mov","MOV")</f>
        <v>21</v>
      </c>
      <c r="R10283" t="s" s="16">
        <f>HYPERLINK("http://secrets.rutgers.edu:8080/data/asl-ftp/asllvd/demos/verify_start_end_handshape_annotations//test_auto_move//signs_mov_separ_signers/Liz_4239.mov","MOV")</f>
        <v>21</v>
      </c>
    </row>
    <row r="10284" s="2" customFormat="1" ht="13.5" customHeight="1">
      <c r="B10284" s="13"/>
      <c r="C10284" t="s" s="9">
        <v>16</v>
      </c>
      <c r="D10284" t="s" s="8">
        <v>3848</v>
      </c>
      <c r="E10284" t="s" s="9">
        <v>3848</v>
      </c>
      <c r="F10284" t="s" s="10">
        <v>230</v>
      </c>
      <c r="G10284" s="17">
        <v>5</v>
      </c>
      <c r="H10284" t="s" s="10">
        <v>230</v>
      </c>
      <c r="I10284" s="17">
        <v>5</v>
      </c>
      <c r="J10284" t="s" s="11">
        <v>20</v>
      </c>
      <c r="K10284" s="15"/>
      <c r="L10284" t="s" s="16">
        <f>HYPERLINK("http://csr.bu.edu/ftp/asl/asllvd/demos/verify_start_end_handshape_annotations//test_auto_move//signs_mov_separ_signers/Liz_3978.mov","MOV")</f>
        <v>21</v>
      </c>
      <c r="M10284" t="s" s="10">
        <v>77</v>
      </c>
      <c r="N10284" s="17">
        <v>24</v>
      </c>
      <c r="O10284" s="18">
        <v>1517</v>
      </c>
      <c r="P10284" s="18">
        <v>1567</v>
      </c>
      <c r="Q10284" s="15"/>
      <c r="R10284" t="s" s="16">
        <f>HYPERLINK("http://secrets.rutgers.edu:8080/data/asl-ftp/asllvd/demos/verify_start_end_handshape_annotations//test_auto_move//signs_mov_separ_signers/Liz_3978.mov","MOV")</f>
        <v>21</v>
      </c>
    </row>
    <row r="10285" s="2" customFormat="1" ht="13.5" customHeight="1">
      <c r="B10285" t="s" s="8">
        <v>3849</v>
      </c>
      <c r="C10285" t="s" s="9">
        <v>14</v>
      </c>
      <c r="D10285" t="s" s="8">
        <v>14</v>
      </c>
      <c r="E10285" t="s" s="9">
        <v>14</v>
      </c>
      <c r="F10285" t="s" s="10">
        <v>14</v>
      </c>
      <c r="G10285" t="s" s="11">
        <v>14</v>
      </c>
      <c r="H10285" t="s" s="10">
        <v>14</v>
      </c>
      <c r="I10285" t="s" s="11">
        <v>14</v>
      </c>
      <c r="J10285" t="s" s="11">
        <v>14</v>
      </c>
      <c r="K10285" t="s" s="12">
        <v>14</v>
      </c>
      <c r="L10285" t="s" s="12">
        <v>14</v>
      </c>
      <c r="M10285" t="s" s="10">
        <v>14</v>
      </c>
      <c r="N10285" t="s" s="11">
        <v>14</v>
      </c>
      <c r="O10285" t="s" s="8">
        <v>14</v>
      </c>
      <c r="P10285" t="s" s="8">
        <v>14</v>
      </c>
      <c r="Q10285" t="s" s="12">
        <v>14</v>
      </c>
      <c r="R10285" t="s" s="12">
        <v>14</v>
      </c>
    </row>
    <row r="10286" s="2" customFormat="1" ht="13.5" customHeight="1">
      <c r="B10286" s="13"/>
      <c r="C10286" t="s" s="9">
        <v>30</v>
      </c>
      <c r="D10286" t="s" s="8">
        <v>3849</v>
      </c>
      <c r="E10286" t="s" s="9">
        <v>3849</v>
      </c>
      <c r="F10286" t="s" s="10">
        <v>55</v>
      </c>
      <c r="G10286" s="14"/>
      <c r="H10286" t="s" s="10">
        <v>251</v>
      </c>
      <c r="I10286" s="14"/>
      <c r="J10286" t="s" s="11">
        <v>20</v>
      </c>
      <c r="K10286" t="s" s="16">
        <f>HYPERLINK("http://csr.bu.edu/ftp/asl/asllvd/demos/verify_start_end_handshape_annotations//test_auto_move//signs_mov/15068.mov","MOV")</f>
        <v>21</v>
      </c>
      <c r="L10286" t="s" s="16">
        <f>HYPERLINK("http://csr.bu.edu/ftp/asl/asllvd/demos/verify_start_end_handshape_annotations//test_auto_move//signs_mov_separ_signers/Brady_15068.mov","MOV")</f>
        <v>21</v>
      </c>
      <c r="M10286" t="s" s="10">
        <v>31</v>
      </c>
      <c r="N10286" s="17">
        <v>18</v>
      </c>
      <c r="O10286" s="18">
        <v>1425</v>
      </c>
      <c r="P10286" s="18">
        <v>1474</v>
      </c>
      <c r="Q10286" t="s" s="16">
        <f>HYPERLINK("http://secrets.rutgers.edu:8080/data/asl-ftp/asllvd/demos/verify_start_end_handshape_annotations//test_auto_move//signs_mov/15068.mov","MOV")</f>
        <v>21</v>
      </c>
      <c r="R10286" t="s" s="16">
        <f>HYPERLINK("http://secrets.rutgers.edu:8080/data/asl-ftp/asllvd/demos/verify_start_end_handshape_annotations//test_auto_move//signs_mov_separ_signers/Brady_15068.mov","MOV")</f>
        <v>21</v>
      </c>
    </row>
    <row r="10287" s="2" customFormat="1" ht="13.5" customHeight="1">
      <c r="B10287" t="s" s="8">
        <v>3850</v>
      </c>
      <c r="C10287" t="s" s="9">
        <v>14</v>
      </c>
      <c r="D10287" t="s" s="8">
        <v>14</v>
      </c>
      <c r="E10287" t="s" s="9">
        <v>14</v>
      </c>
      <c r="F10287" t="s" s="10">
        <v>14</v>
      </c>
      <c r="G10287" t="s" s="11">
        <v>14</v>
      </c>
      <c r="H10287" t="s" s="10">
        <v>14</v>
      </c>
      <c r="I10287" t="s" s="11">
        <v>14</v>
      </c>
      <c r="J10287" t="s" s="11">
        <v>14</v>
      </c>
      <c r="K10287" t="s" s="12">
        <v>14</v>
      </c>
      <c r="L10287" t="s" s="12">
        <v>14</v>
      </c>
      <c r="M10287" t="s" s="10">
        <v>14</v>
      </c>
      <c r="N10287" t="s" s="11">
        <v>14</v>
      </c>
      <c r="O10287" t="s" s="8">
        <v>14</v>
      </c>
      <c r="P10287" t="s" s="8">
        <v>14</v>
      </c>
      <c r="Q10287" t="s" s="12">
        <v>14</v>
      </c>
      <c r="R10287" t="s" s="12">
        <v>14</v>
      </c>
    </row>
    <row r="10288" s="2" customFormat="1" ht="13.5" customHeight="1">
      <c r="B10288" s="13"/>
      <c r="C10288" t="s" s="9">
        <v>16</v>
      </c>
      <c r="D10288" t="s" s="8">
        <v>3850</v>
      </c>
      <c r="E10288" t="s" s="9">
        <v>3850</v>
      </c>
      <c r="F10288" t="s" s="10">
        <v>25</v>
      </c>
      <c r="G10288" s="14"/>
      <c r="H10288" t="s" s="10">
        <v>25</v>
      </c>
      <c r="I10288" s="14"/>
      <c r="J10288" t="s" s="11">
        <v>20</v>
      </c>
      <c r="K10288" t="s" s="16">
        <f>HYPERLINK("http://csr.bu.edu/ftp/asl/asllvd/demos/verify_start_end_handshape_annotations//test_auto_move//signs_mov/4241.mov","MOV")</f>
        <v>21</v>
      </c>
      <c r="L10288" t="s" s="16">
        <f>HYPERLINK("http://csr.bu.edu/ftp/asl/asllvd/demos/verify_start_end_handshape_annotations//test_auto_move//signs_mov_separ_signers/Liz_4241.mov","MOV")</f>
        <v>21</v>
      </c>
      <c r="M10288" t="s" s="10">
        <v>77</v>
      </c>
      <c r="N10288" s="17">
        <v>21</v>
      </c>
      <c r="O10288" s="18">
        <v>158</v>
      </c>
      <c r="P10288" s="18">
        <v>202</v>
      </c>
      <c r="Q10288" t="s" s="16">
        <f>HYPERLINK("http://secrets.rutgers.edu:8080/data/asl-ftp/asllvd/demos/verify_start_end_handshape_annotations//test_auto_move//signs_mov/4241.mov","MOV")</f>
        <v>21</v>
      </c>
      <c r="R10288" t="s" s="16">
        <f>HYPERLINK("http://secrets.rutgers.edu:8080/data/asl-ftp/asllvd/demos/verify_start_end_handshape_annotations//test_auto_move//signs_mov_separ_signers/Liz_4241.mov","MOV")</f>
        <v>21</v>
      </c>
    </row>
    <row r="10289" s="2" customFormat="1" ht="13.5" customHeight="1">
      <c r="B10289" t="s" s="8">
        <v>3851</v>
      </c>
      <c r="C10289" t="s" s="9">
        <v>14</v>
      </c>
      <c r="D10289" t="s" s="8">
        <v>14</v>
      </c>
      <c r="E10289" t="s" s="9">
        <v>14</v>
      </c>
      <c r="F10289" t="s" s="10">
        <v>14</v>
      </c>
      <c r="G10289" t="s" s="11">
        <v>14</v>
      </c>
      <c r="H10289" t="s" s="10">
        <v>14</v>
      </c>
      <c r="I10289" t="s" s="11">
        <v>14</v>
      </c>
      <c r="J10289" t="s" s="11">
        <v>14</v>
      </c>
      <c r="K10289" t="s" s="12">
        <v>14</v>
      </c>
      <c r="L10289" t="s" s="12">
        <v>14</v>
      </c>
      <c r="M10289" t="s" s="10">
        <v>14</v>
      </c>
      <c r="N10289" t="s" s="11">
        <v>14</v>
      </c>
      <c r="O10289" t="s" s="8">
        <v>14</v>
      </c>
      <c r="P10289" t="s" s="8">
        <v>14</v>
      </c>
      <c r="Q10289" t="s" s="12">
        <v>14</v>
      </c>
      <c r="R10289" t="s" s="12">
        <v>14</v>
      </c>
    </row>
    <row r="10290" s="2" customFormat="1" ht="13.5" customHeight="1">
      <c r="B10290" s="13"/>
      <c r="C10290" t="s" s="9">
        <v>16</v>
      </c>
      <c r="D10290" t="s" s="8">
        <v>3851</v>
      </c>
      <c r="E10290" t="s" s="9">
        <v>3851</v>
      </c>
      <c r="F10290" t="s" s="10">
        <v>757</v>
      </c>
      <c r="G10290" t="s" s="11">
        <v>105</v>
      </c>
      <c r="H10290" t="s" s="10">
        <v>51</v>
      </c>
      <c r="I10290" t="s" s="11">
        <v>105</v>
      </c>
      <c r="J10290" t="s" s="11">
        <v>20</v>
      </c>
      <c r="K10290" t="s" s="16">
        <f>HYPERLINK("http://csr.bu.edu/ftp/asl/asllvd/demos/verify_start_end_handshape_annotations//test_auto_move//signs_mov/4242.mov","MOV")</f>
        <v>21</v>
      </c>
      <c r="L10290" t="s" s="16">
        <f>HYPERLINK("http://csr.bu.edu/ftp/asl/asllvd/demos/verify_start_end_handshape_annotations//test_auto_move//signs_mov_separ_signers/Liz_4242.mov","MOV")</f>
        <v>21</v>
      </c>
      <c r="M10290" t="s" s="10">
        <v>77</v>
      </c>
      <c r="N10290" s="17">
        <v>21</v>
      </c>
      <c r="O10290" s="18">
        <v>331</v>
      </c>
      <c r="P10290" s="18">
        <v>398</v>
      </c>
      <c r="Q10290" t="s" s="16">
        <f>HYPERLINK("http://secrets.rutgers.edu:8080/data/asl-ftp/asllvd/demos/verify_start_end_handshape_annotations//test_auto_move//signs_mov/4242.mov","MOV")</f>
        <v>21</v>
      </c>
      <c r="R10290" t="s" s="16">
        <f>HYPERLINK("http://secrets.rutgers.edu:8080/data/asl-ftp/asllvd/demos/verify_start_end_handshape_annotations//test_auto_move//signs_mov_separ_signers/Liz_4242.mov","MOV")</f>
        <v>21</v>
      </c>
    </row>
    <row r="10291" s="2" customFormat="1" ht="13.5" customHeight="1">
      <c r="B10291" s="13"/>
      <c r="C10291" t="s" s="9">
        <v>30</v>
      </c>
      <c r="D10291" t="s" s="8">
        <v>3851</v>
      </c>
      <c r="E10291" t="s" s="9">
        <v>3851</v>
      </c>
      <c r="F10291" t="s" s="10">
        <v>2233</v>
      </c>
      <c r="G10291" t="s" s="11">
        <v>105</v>
      </c>
      <c r="H10291" t="s" s="10">
        <v>51</v>
      </c>
      <c r="I10291" t="s" s="11">
        <v>105</v>
      </c>
      <c r="J10291" t="s" s="11">
        <v>136</v>
      </c>
      <c r="K10291" s="15"/>
      <c r="L10291" t="s" s="16">
        <f>HYPERLINK("http://csr.bu.edu/ftp/asl/asllvd/demos/verify_start_end_handshape_annotations//test_auto_move//signs_mov_separ_signers/Brady_4242.mov","MOV")</f>
        <v>21</v>
      </c>
      <c r="M10291" t="s" s="10">
        <v>39</v>
      </c>
      <c r="N10291" s="17">
        <v>55</v>
      </c>
      <c r="O10291" s="18">
        <v>3391</v>
      </c>
      <c r="P10291" s="18">
        <v>3421</v>
      </c>
      <c r="Q10291" s="15"/>
      <c r="R10291" t="s" s="16">
        <f>HYPERLINK("http://secrets.rutgers.edu:8080/data/asl-ftp/asllvd/demos/verify_start_end_handshape_annotations//test_auto_move//signs_mov_separ_signers/Brady_4242.mov","MOV")</f>
        <v>21</v>
      </c>
    </row>
    <row r="10292" s="2" customFormat="1" ht="13.5" customHeight="1">
      <c r="B10292" t="s" s="8">
        <v>3852</v>
      </c>
      <c r="C10292" t="s" s="9">
        <v>14</v>
      </c>
      <c r="D10292" t="s" s="8">
        <v>14</v>
      </c>
      <c r="E10292" t="s" s="9">
        <v>14</v>
      </c>
      <c r="F10292" t="s" s="10">
        <v>14</v>
      </c>
      <c r="G10292" t="s" s="11">
        <v>14</v>
      </c>
      <c r="H10292" t="s" s="10">
        <v>14</v>
      </c>
      <c r="I10292" t="s" s="11">
        <v>14</v>
      </c>
      <c r="J10292" t="s" s="11">
        <v>14</v>
      </c>
      <c r="K10292" t="s" s="12">
        <v>14</v>
      </c>
      <c r="L10292" t="s" s="12">
        <v>14</v>
      </c>
      <c r="M10292" t="s" s="10">
        <v>14</v>
      </c>
      <c r="N10292" t="s" s="11">
        <v>14</v>
      </c>
      <c r="O10292" t="s" s="8">
        <v>14</v>
      </c>
      <c r="P10292" t="s" s="8">
        <v>14</v>
      </c>
      <c r="Q10292" t="s" s="12">
        <v>14</v>
      </c>
      <c r="R10292" t="s" s="12">
        <v>14</v>
      </c>
    </row>
    <row r="10293" s="2" customFormat="1" ht="13.5" customHeight="1">
      <c r="B10293" s="13"/>
      <c r="C10293" t="s" s="9">
        <v>16</v>
      </c>
      <c r="D10293" t="s" s="8">
        <v>3853</v>
      </c>
      <c r="E10293" t="s" s="9">
        <v>3853</v>
      </c>
      <c r="F10293" t="s" s="10">
        <v>757</v>
      </c>
      <c r="G10293" s="14"/>
      <c r="H10293" t="s" s="10">
        <v>757</v>
      </c>
      <c r="I10293" s="14"/>
      <c r="J10293" t="s" s="11">
        <v>20</v>
      </c>
      <c r="K10293" t="s" s="16">
        <f>HYPERLINK("http://csr.bu.edu/ftp/asl/asllvd/demos/verify_start_end_handshape_annotations//test_auto_move//signs_mov/5738.mov","MOV")</f>
        <v>21</v>
      </c>
      <c r="L10293" t="s" s="16">
        <f>HYPERLINK("http://csr.bu.edu/ftp/asl/asllvd/demos/verify_start_end_handshape_annotations//test_auto_move//signs_mov_separ_signers/Liz_5738.mov","MOV")</f>
        <v>21</v>
      </c>
      <c r="M10293" t="s" s="10">
        <v>77</v>
      </c>
      <c r="N10293" s="17">
        <v>21</v>
      </c>
      <c r="O10293" s="18">
        <v>483</v>
      </c>
      <c r="P10293" s="18">
        <v>525</v>
      </c>
      <c r="Q10293" t="s" s="16">
        <f>HYPERLINK("http://secrets.rutgers.edu:8080/data/asl-ftp/asllvd/demos/verify_start_end_handshape_annotations//test_auto_move//signs_mov/5738.mov","MOV")</f>
        <v>21</v>
      </c>
      <c r="R10293" t="s" s="16">
        <f>HYPERLINK("http://secrets.rutgers.edu:8080/data/asl-ftp/asllvd/demos/verify_start_end_handshape_annotations//test_auto_move//signs_mov_separ_signers/Liz_5738.mov","MOV")</f>
        <v>21</v>
      </c>
    </row>
    <row r="10294" s="2" customFormat="1" ht="13.5" customHeight="1">
      <c r="B10294" t="s" s="8">
        <v>52</v>
      </c>
      <c r="C10294" t="s" s="9">
        <v>53</v>
      </c>
      <c r="D10294" t="s" s="8">
        <v>53</v>
      </c>
      <c r="E10294" t="s" s="9">
        <v>53</v>
      </c>
      <c r="F10294" t="s" s="10">
        <v>53</v>
      </c>
      <c r="G10294" t="s" s="11">
        <v>53</v>
      </c>
      <c r="H10294" t="s" s="10">
        <v>53</v>
      </c>
      <c r="I10294" t="s" s="11">
        <v>53</v>
      </c>
      <c r="J10294" t="s" s="11">
        <v>53</v>
      </c>
      <c r="K10294" t="s" s="12">
        <v>53</v>
      </c>
      <c r="L10294" t="s" s="12">
        <v>53</v>
      </c>
      <c r="M10294" t="s" s="10">
        <v>53</v>
      </c>
      <c r="N10294" t="s" s="11">
        <v>53</v>
      </c>
      <c r="O10294" t="s" s="8">
        <v>53</v>
      </c>
      <c r="P10294" t="s" s="8">
        <v>53</v>
      </c>
      <c r="Q10294" t="s" s="12">
        <v>53</v>
      </c>
      <c r="R10294" t="s" s="12">
        <v>53</v>
      </c>
    </row>
    <row r="10295" s="2" customFormat="1" ht="13.5" customHeight="1">
      <c r="B10295" s="13"/>
      <c r="C10295" t="s" s="9">
        <v>30</v>
      </c>
      <c r="D10295" t="s" s="8">
        <v>3853</v>
      </c>
      <c r="E10295" t="s" s="9">
        <v>3854</v>
      </c>
      <c r="F10295" t="s" s="10">
        <v>152</v>
      </c>
      <c r="G10295" t="s" s="11">
        <v>152</v>
      </c>
      <c r="H10295" t="s" s="10">
        <v>152</v>
      </c>
      <c r="I10295" t="s" s="11">
        <v>152</v>
      </c>
      <c r="J10295" t="s" s="11">
        <v>20</v>
      </c>
      <c r="K10295" t="s" s="16">
        <f>HYPERLINK("http://csr.bu.edu/ftp/asl/asllvd/demos/verify_start_end_handshape_annotations//test_auto_move//signs_mov/15112.mov","MOV")</f>
        <v>21</v>
      </c>
      <c r="L10295" t="s" s="16">
        <f>HYPERLINK("http://csr.bu.edu/ftp/asl/asllvd/demos/verify_start_end_handshape_annotations//test_auto_move//signs_mov_separ_signers/Brady_15112.mov","MOV")</f>
        <v>21</v>
      </c>
      <c r="M10295" t="s" s="10">
        <v>39</v>
      </c>
      <c r="N10295" s="17">
        <v>55</v>
      </c>
      <c r="O10295" s="18">
        <v>3709</v>
      </c>
      <c r="P10295" s="18">
        <v>3749</v>
      </c>
      <c r="Q10295" t="s" s="16">
        <f>HYPERLINK("http://secrets.rutgers.edu:8080/data/asl-ftp/asllvd/demos/verify_start_end_handshape_annotations//test_auto_move//signs_mov/15112.mov","MOV")</f>
        <v>21</v>
      </c>
      <c r="R10295" t="s" s="16">
        <f>HYPERLINK("http://secrets.rutgers.edu:8080/data/asl-ftp/asllvd/demos/verify_start_end_handshape_annotations//test_auto_move//signs_mov_separ_signers/Brady_15112.mov","MOV")</f>
        <v>21</v>
      </c>
    </row>
    <row r="10296" s="2" customFormat="1" ht="13.5" customHeight="1">
      <c r="B10296" t="s" s="8">
        <v>3855</v>
      </c>
      <c r="C10296" t="s" s="9">
        <v>14</v>
      </c>
      <c r="D10296" t="s" s="8">
        <v>14</v>
      </c>
      <c r="E10296" t="s" s="9">
        <v>14</v>
      </c>
      <c r="F10296" t="s" s="10">
        <v>14</v>
      </c>
      <c r="G10296" t="s" s="11">
        <v>14</v>
      </c>
      <c r="H10296" t="s" s="10">
        <v>14</v>
      </c>
      <c r="I10296" t="s" s="11">
        <v>14</v>
      </c>
      <c r="J10296" t="s" s="11">
        <v>14</v>
      </c>
      <c r="K10296" t="s" s="12">
        <v>14</v>
      </c>
      <c r="L10296" t="s" s="12">
        <v>14</v>
      </c>
      <c r="M10296" t="s" s="10">
        <v>14</v>
      </c>
      <c r="N10296" t="s" s="11">
        <v>14</v>
      </c>
      <c r="O10296" t="s" s="8">
        <v>14</v>
      </c>
      <c r="P10296" t="s" s="8">
        <v>14</v>
      </c>
      <c r="Q10296" t="s" s="12">
        <v>14</v>
      </c>
      <c r="R10296" t="s" s="12">
        <v>14</v>
      </c>
    </row>
    <row r="10297" s="2" customFormat="1" ht="13.5" customHeight="1">
      <c r="B10297" s="13"/>
      <c r="C10297" t="s" s="9">
        <v>16</v>
      </c>
      <c r="D10297" t="s" s="8">
        <v>3855</v>
      </c>
      <c r="E10297" t="s" s="9">
        <v>3855</v>
      </c>
      <c r="F10297" t="s" s="10">
        <v>72</v>
      </c>
      <c r="G10297" t="s" s="11">
        <v>72</v>
      </c>
      <c r="H10297" t="s" s="10">
        <v>72</v>
      </c>
      <c r="I10297" t="s" s="11">
        <v>72</v>
      </c>
      <c r="J10297" t="s" s="11">
        <v>20</v>
      </c>
      <c r="K10297" t="s" s="16">
        <f>HYPERLINK("http://csr.bu.edu/ftp/asl/asllvd/demos/verify_start_end_handshape_annotations//test_auto_move//signs_mov/4244.mov","MOV")</f>
        <v>21</v>
      </c>
      <c r="L10297" t="s" s="16">
        <f>HYPERLINK("http://csr.bu.edu/ftp/asl/asllvd/demos/verify_start_end_handshape_annotations//test_auto_move//signs_mov_separ_signers/Liz_4244.mov","MOV")</f>
        <v>21</v>
      </c>
      <c r="M10297" t="s" s="10">
        <v>77</v>
      </c>
      <c r="N10297" s="17">
        <v>21</v>
      </c>
      <c r="O10297" s="18">
        <v>667</v>
      </c>
      <c r="P10297" s="18">
        <v>719</v>
      </c>
      <c r="Q10297" t="s" s="16">
        <f>HYPERLINK("http://secrets.rutgers.edu:8080/data/asl-ftp/asllvd/demos/verify_start_end_handshape_annotations//test_auto_move//signs_mov/4244.mov","MOV")</f>
        <v>21</v>
      </c>
      <c r="R10297" t="s" s="16">
        <f>HYPERLINK("http://secrets.rutgers.edu:8080/data/asl-ftp/asllvd/demos/verify_start_end_handshape_annotations//test_auto_move//signs_mov_separ_signers/Liz_4244.mov","MOV")</f>
        <v>21</v>
      </c>
    </row>
    <row r="10298" s="2" customFormat="1" ht="13.5" customHeight="1">
      <c r="B10298" s="13"/>
      <c r="C10298" t="s" s="9">
        <v>30</v>
      </c>
      <c r="D10298" t="s" s="8">
        <v>3855</v>
      </c>
      <c r="E10298" t="s" s="9">
        <v>3855</v>
      </c>
      <c r="F10298" t="s" s="10">
        <v>72</v>
      </c>
      <c r="G10298" t="s" s="11">
        <v>72</v>
      </c>
      <c r="H10298" t="s" s="10">
        <v>72</v>
      </c>
      <c r="I10298" t="s" s="11">
        <v>72</v>
      </c>
      <c r="J10298" t="s" s="11">
        <v>20</v>
      </c>
      <c r="K10298" s="15"/>
      <c r="L10298" t="s" s="16">
        <f>HYPERLINK("http://csr.bu.edu/ftp/asl/asllvd/demos/verify_start_end_handshape_annotations//test_auto_move//signs_mov_separ_signers/Brady_4244.mov","MOV")</f>
        <v>21</v>
      </c>
      <c r="M10298" t="s" s="10">
        <v>39</v>
      </c>
      <c r="N10298" s="17">
        <v>56</v>
      </c>
      <c r="O10298" s="18">
        <v>5060</v>
      </c>
      <c r="P10298" s="18">
        <v>5083</v>
      </c>
      <c r="Q10298" s="15"/>
      <c r="R10298" t="s" s="16">
        <f>HYPERLINK("http://secrets.rutgers.edu:8080/data/asl-ftp/asllvd/demos/verify_start_end_handshape_annotations//test_auto_move//signs_mov_separ_signers/Brady_4244.mov","MOV")</f>
        <v>21</v>
      </c>
    </row>
    <row r="10299" s="2" customFormat="1" ht="13.5" customHeight="1">
      <c r="B10299" t="s" s="8">
        <v>3856</v>
      </c>
      <c r="C10299" t="s" s="9">
        <v>14</v>
      </c>
      <c r="D10299" t="s" s="8">
        <v>14</v>
      </c>
      <c r="E10299" t="s" s="9">
        <v>14</v>
      </c>
      <c r="F10299" t="s" s="10">
        <v>14</v>
      </c>
      <c r="G10299" t="s" s="11">
        <v>14</v>
      </c>
      <c r="H10299" t="s" s="10">
        <v>14</v>
      </c>
      <c r="I10299" t="s" s="11">
        <v>14</v>
      </c>
      <c r="J10299" t="s" s="11">
        <v>14</v>
      </c>
      <c r="K10299" t="s" s="12">
        <v>14</v>
      </c>
      <c r="L10299" t="s" s="12">
        <v>14</v>
      </c>
      <c r="M10299" t="s" s="10">
        <v>14</v>
      </c>
      <c r="N10299" t="s" s="11">
        <v>14</v>
      </c>
      <c r="O10299" t="s" s="8">
        <v>14</v>
      </c>
      <c r="P10299" t="s" s="8">
        <v>14</v>
      </c>
      <c r="Q10299" t="s" s="12">
        <v>14</v>
      </c>
      <c r="R10299" t="s" s="12">
        <v>14</v>
      </c>
    </row>
    <row r="10300" s="2" customFormat="1" ht="13.5" customHeight="1">
      <c r="B10300" s="13"/>
      <c r="C10300" t="s" s="9">
        <v>16</v>
      </c>
      <c r="D10300" t="s" s="8">
        <v>3856</v>
      </c>
      <c r="E10300" t="s" s="9">
        <v>3856</v>
      </c>
      <c r="F10300" t="s" s="10">
        <v>72</v>
      </c>
      <c r="G10300" s="17">
        <v>1</v>
      </c>
      <c r="H10300" t="s" s="10">
        <v>72</v>
      </c>
      <c r="I10300" s="17">
        <v>1</v>
      </c>
      <c r="J10300" t="s" s="11">
        <v>20</v>
      </c>
      <c r="K10300" t="s" s="16">
        <f>HYPERLINK("http://csr.bu.edu/ftp/asl/asllvd/demos/verify_start_end_handshape_annotations//test_auto_move//signs_mov/4248.mov","MOV")</f>
        <v>21</v>
      </c>
      <c r="L10300" t="s" s="16">
        <f>HYPERLINK("http://csr.bu.edu/ftp/asl/asllvd/demos/verify_start_end_handshape_annotations//test_auto_move//signs_mov_separ_signers/Liz_4248.mov","MOV")</f>
        <v>21</v>
      </c>
      <c r="M10300" t="s" s="10">
        <v>77</v>
      </c>
      <c r="N10300" s="17">
        <v>21</v>
      </c>
      <c r="O10300" s="18">
        <v>1798</v>
      </c>
      <c r="P10300" s="18">
        <v>1883</v>
      </c>
      <c r="Q10300" t="s" s="16">
        <f>HYPERLINK("http://secrets.rutgers.edu:8080/data/asl-ftp/asllvd/demos/verify_start_end_handshape_annotations//test_auto_move//signs_mov/4248.mov","MOV")</f>
        <v>21</v>
      </c>
      <c r="R10300" t="s" s="16">
        <f>HYPERLINK("http://secrets.rutgers.edu:8080/data/asl-ftp/asllvd/demos/verify_start_end_handshape_annotations//test_auto_move//signs_mov_separ_signers/Liz_4248.mov","MOV")</f>
        <v>21</v>
      </c>
    </row>
    <row r="10301" s="2" customFormat="1" ht="13.5" customHeight="1">
      <c r="B10301" t="s" s="8">
        <v>3857</v>
      </c>
      <c r="C10301" t="s" s="9">
        <v>14</v>
      </c>
      <c r="D10301" t="s" s="8">
        <v>14</v>
      </c>
      <c r="E10301" t="s" s="9">
        <v>14</v>
      </c>
      <c r="F10301" t="s" s="10">
        <v>14</v>
      </c>
      <c r="G10301" t="s" s="11">
        <v>14</v>
      </c>
      <c r="H10301" t="s" s="10">
        <v>14</v>
      </c>
      <c r="I10301" t="s" s="11">
        <v>14</v>
      </c>
      <c r="J10301" t="s" s="11">
        <v>14</v>
      </c>
      <c r="K10301" t="s" s="12">
        <v>14</v>
      </c>
      <c r="L10301" t="s" s="12">
        <v>14</v>
      </c>
      <c r="M10301" t="s" s="10">
        <v>14</v>
      </c>
      <c r="N10301" t="s" s="11">
        <v>14</v>
      </c>
      <c r="O10301" t="s" s="8">
        <v>14</v>
      </c>
      <c r="P10301" t="s" s="8">
        <v>14</v>
      </c>
      <c r="Q10301" t="s" s="12">
        <v>14</v>
      </c>
      <c r="R10301" t="s" s="12">
        <v>14</v>
      </c>
    </row>
    <row r="10302" s="2" customFormat="1" ht="13.5" customHeight="1">
      <c r="B10302" s="13"/>
      <c r="C10302" t="s" s="9">
        <v>16</v>
      </c>
      <c r="D10302" t="s" s="8">
        <v>3857</v>
      </c>
      <c r="E10302" t="s" s="9">
        <v>3857</v>
      </c>
      <c r="F10302" t="s" s="10">
        <v>28</v>
      </c>
      <c r="G10302" t="s" s="11">
        <v>28</v>
      </c>
      <c r="H10302" t="s" s="10">
        <v>28</v>
      </c>
      <c r="I10302" t="s" s="11">
        <v>28</v>
      </c>
      <c r="J10302" t="s" s="11">
        <v>20</v>
      </c>
      <c r="K10302" t="s" s="16">
        <f>HYPERLINK("http://csr.bu.edu/ftp/asl/asllvd/demos/verify_start_end_handshape_annotations//test_auto_move//signs_mov/4249.mov","MOV")</f>
        <v>21</v>
      </c>
      <c r="L10302" t="s" s="16">
        <f>HYPERLINK("http://csr.bu.edu/ftp/asl/asllvd/demos/verify_start_end_handshape_annotations//test_auto_move//signs_mov_separ_signers/Liz_4249.mov","MOV")</f>
        <v>21</v>
      </c>
      <c r="M10302" t="s" s="10">
        <v>77</v>
      </c>
      <c r="N10302" s="17">
        <v>21</v>
      </c>
      <c r="O10302" s="18">
        <v>1649</v>
      </c>
      <c r="P10302" s="18">
        <v>1684</v>
      </c>
      <c r="Q10302" t="s" s="16">
        <f>HYPERLINK("http://secrets.rutgers.edu:8080/data/asl-ftp/asllvd/demos/verify_start_end_handshape_annotations//test_auto_move//signs_mov/4249.mov","MOV")</f>
        <v>21</v>
      </c>
      <c r="R10302" t="s" s="16">
        <f>HYPERLINK("http://secrets.rutgers.edu:8080/data/asl-ftp/asllvd/demos/verify_start_end_handshape_annotations//test_auto_move//signs_mov_separ_signers/Liz_4249.mov","MOV")</f>
        <v>21</v>
      </c>
    </row>
    <row r="10303" s="2" customFormat="1" ht="13.5" customHeight="1">
      <c r="B10303" t="s" s="8">
        <v>52</v>
      </c>
      <c r="C10303" t="s" s="9">
        <v>53</v>
      </c>
      <c r="D10303" t="s" s="8">
        <v>53</v>
      </c>
      <c r="E10303" t="s" s="9">
        <v>53</v>
      </c>
      <c r="F10303" t="s" s="10">
        <v>53</v>
      </c>
      <c r="G10303" t="s" s="11">
        <v>53</v>
      </c>
      <c r="H10303" t="s" s="10">
        <v>53</v>
      </c>
      <c r="I10303" t="s" s="11">
        <v>53</v>
      </c>
      <c r="J10303" t="s" s="11">
        <v>53</v>
      </c>
      <c r="K10303" t="s" s="12">
        <v>53</v>
      </c>
      <c r="L10303" t="s" s="12">
        <v>53</v>
      </c>
      <c r="M10303" t="s" s="10">
        <v>53</v>
      </c>
      <c r="N10303" t="s" s="11">
        <v>53</v>
      </c>
      <c r="O10303" t="s" s="8">
        <v>53</v>
      </c>
      <c r="P10303" t="s" s="8">
        <v>53</v>
      </c>
      <c r="Q10303" t="s" s="12">
        <v>53</v>
      </c>
      <c r="R10303" t="s" s="12">
        <v>53</v>
      </c>
    </row>
    <row r="10304" s="2" customFormat="1" ht="13.5" customHeight="1">
      <c r="B10304" s="13"/>
      <c r="C10304" t="s" s="9">
        <v>30</v>
      </c>
      <c r="D10304" t="s" s="8">
        <v>3857</v>
      </c>
      <c r="E10304" t="s" s="9">
        <v>3858</v>
      </c>
      <c r="F10304" t="s" s="10">
        <v>18</v>
      </c>
      <c r="G10304" t="s" s="11">
        <v>18</v>
      </c>
      <c r="H10304" t="s" s="10">
        <v>18</v>
      </c>
      <c r="I10304" t="s" s="11">
        <v>18</v>
      </c>
      <c r="J10304" t="s" s="11">
        <v>20</v>
      </c>
      <c r="K10304" t="s" s="16">
        <f>HYPERLINK("http://csr.bu.edu/ftp/asl/asllvd/demos/verify_start_end_handshape_annotations//test_auto_move//signs_mov/16430.mov","MOV")</f>
        <v>21</v>
      </c>
      <c r="L10304" t="s" s="16">
        <f>HYPERLINK("http://csr.bu.edu/ftp/asl/asllvd/demos/verify_start_end_handshape_annotations//test_auto_move//signs_mov_separ_signers/Brady_16430.mov","MOV")</f>
        <v>21</v>
      </c>
      <c r="M10304" t="s" s="10">
        <v>40</v>
      </c>
      <c r="N10304" s="17">
        <v>26</v>
      </c>
      <c r="O10304" s="18">
        <v>1690</v>
      </c>
      <c r="P10304" s="18">
        <v>1695</v>
      </c>
      <c r="Q10304" t="s" s="16">
        <f>HYPERLINK("http://secrets.rutgers.edu:8080/data/asl-ftp/asllvd/demos/verify_start_end_handshape_annotations//test_auto_move//signs_mov/16430.mov","MOV")</f>
        <v>21</v>
      </c>
      <c r="R10304" t="s" s="16">
        <f>HYPERLINK("http://secrets.rutgers.edu:8080/data/asl-ftp/asllvd/demos/verify_start_end_handshape_annotations//test_auto_move//signs_mov_separ_signers/Brady_16430.mov","MOV")</f>
        <v>21</v>
      </c>
    </row>
    <row r="10305" s="2" customFormat="1" ht="13.5" customHeight="1">
      <c r="B10305" t="s" s="8">
        <v>3859</v>
      </c>
      <c r="C10305" t="s" s="9">
        <v>14</v>
      </c>
      <c r="D10305" t="s" s="8">
        <v>14</v>
      </c>
      <c r="E10305" t="s" s="9">
        <v>14</v>
      </c>
      <c r="F10305" t="s" s="10">
        <v>14</v>
      </c>
      <c r="G10305" t="s" s="11">
        <v>14</v>
      </c>
      <c r="H10305" t="s" s="10">
        <v>14</v>
      </c>
      <c r="I10305" t="s" s="11">
        <v>14</v>
      </c>
      <c r="J10305" t="s" s="11">
        <v>14</v>
      </c>
      <c r="K10305" t="s" s="12">
        <v>14</v>
      </c>
      <c r="L10305" t="s" s="12">
        <v>14</v>
      </c>
      <c r="M10305" t="s" s="10">
        <v>14</v>
      </c>
      <c r="N10305" t="s" s="11">
        <v>14</v>
      </c>
      <c r="O10305" t="s" s="8">
        <v>14</v>
      </c>
      <c r="P10305" t="s" s="8">
        <v>14</v>
      </c>
      <c r="Q10305" t="s" s="12">
        <v>14</v>
      </c>
      <c r="R10305" t="s" s="12">
        <v>14</v>
      </c>
    </row>
    <row r="10306" s="2" customFormat="1" ht="13.5" customHeight="1">
      <c r="B10306" s="13"/>
      <c r="C10306" t="s" s="9">
        <v>41</v>
      </c>
      <c r="D10306" t="s" s="8">
        <v>3859</v>
      </c>
      <c r="E10306" t="s" s="9">
        <v>3859</v>
      </c>
      <c r="F10306" t="s" s="10">
        <v>287</v>
      </c>
      <c r="G10306" s="14"/>
      <c r="H10306" t="s" s="10">
        <v>287</v>
      </c>
      <c r="I10306" s="14"/>
      <c r="J10306" t="s" s="11">
        <v>20</v>
      </c>
      <c r="K10306" t="s" s="16">
        <f>HYPERLINK("http://csr.bu.edu/ftp/asl/asllvd/demos/verify_start_end_handshape_annotations//test_auto_move//signs_mov/4250.mov","MOV")</f>
        <v>21</v>
      </c>
      <c r="L10306" t="s" s="16">
        <f>HYPERLINK("http://csr.bu.edu/ftp/asl/asllvd/demos/verify_start_end_handshape_annotations//test_auto_move//signs_mov_separ_signers/Lana_4250.mov","MOV")</f>
        <v>21</v>
      </c>
      <c r="M10306" t="s" s="10">
        <v>42</v>
      </c>
      <c r="N10306" s="17">
        <v>21</v>
      </c>
      <c r="O10306" s="18">
        <v>369</v>
      </c>
      <c r="P10306" s="18">
        <v>395</v>
      </c>
      <c r="Q10306" t="s" s="16">
        <f>HYPERLINK("http://secrets.rutgers.edu:8080/data/asl-ftp/asllvd/demos/verify_start_end_handshape_annotations//test_auto_move//signs_mov/4250.mov","MOV")</f>
        <v>21</v>
      </c>
      <c r="R10306" t="s" s="16">
        <f>HYPERLINK("http://secrets.rutgers.edu:8080/data/asl-ftp/asllvd/demos/verify_start_end_handshape_annotations//test_auto_move//signs_mov_separ_signers/Lana_4250.mov","MOV")</f>
        <v>21</v>
      </c>
    </row>
    <row r="10307" s="2" customFormat="1" ht="13.5" customHeight="1">
      <c r="B10307" s="13"/>
      <c r="C10307" t="s" s="9">
        <v>43</v>
      </c>
      <c r="D10307" t="s" s="8">
        <v>3859</v>
      </c>
      <c r="E10307" t="s" s="9">
        <v>3859</v>
      </c>
      <c r="F10307" t="s" s="10">
        <v>287</v>
      </c>
      <c r="G10307" s="14"/>
      <c r="H10307" t="s" s="10">
        <v>287</v>
      </c>
      <c r="I10307" s="14"/>
      <c r="J10307" t="s" s="11">
        <v>20</v>
      </c>
      <c r="K10307" s="15"/>
      <c r="L10307" t="s" s="16">
        <f>HYPERLINK("http://csr.bu.edu/ftp/asl/asllvd/demos/verify_start_end_handshape_annotations//test_auto_move//signs_mov_separ_signers/Dana_4250.mov","MOV")</f>
        <v>21</v>
      </c>
      <c r="M10307" t="s" s="10">
        <v>44</v>
      </c>
      <c r="N10307" s="17">
        <v>23</v>
      </c>
      <c r="O10307" s="18">
        <v>284</v>
      </c>
      <c r="P10307" s="18">
        <v>335</v>
      </c>
      <c r="Q10307" s="15"/>
      <c r="R10307" t="s" s="16">
        <f>HYPERLINK("http://secrets.rutgers.edu:8080/data/asl-ftp/asllvd/demos/verify_start_end_handshape_annotations//test_auto_move//signs_mov_separ_signers/Dana_4250.mov","MOV")</f>
        <v>21</v>
      </c>
    </row>
    <row r="10308" s="2" customFormat="1" ht="13.5" customHeight="1">
      <c r="B10308" t="s" s="8">
        <v>3860</v>
      </c>
      <c r="C10308" t="s" s="9">
        <v>14</v>
      </c>
      <c r="D10308" t="s" s="8">
        <v>14</v>
      </c>
      <c r="E10308" t="s" s="9">
        <v>14</v>
      </c>
      <c r="F10308" t="s" s="10">
        <v>14</v>
      </c>
      <c r="G10308" t="s" s="11">
        <v>14</v>
      </c>
      <c r="H10308" t="s" s="10">
        <v>14</v>
      </c>
      <c r="I10308" t="s" s="11">
        <v>14</v>
      </c>
      <c r="J10308" t="s" s="11">
        <v>14</v>
      </c>
      <c r="K10308" t="s" s="12">
        <v>14</v>
      </c>
      <c r="L10308" t="s" s="12">
        <v>14</v>
      </c>
      <c r="M10308" t="s" s="10">
        <v>14</v>
      </c>
      <c r="N10308" t="s" s="11">
        <v>14</v>
      </c>
      <c r="O10308" t="s" s="8">
        <v>14</v>
      </c>
      <c r="P10308" t="s" s="8">
        <v>14</v>
      </c>
      <c r="Q10308" t="s" s="12">
        <v>14</v>
      </c>
      <c r="R10308" t="s" s="12">
        <v>14</v>
      </c>
    </row>
    <row r="10309" s="2" customFormat="1" ht="13.5" customHeight="1">
      <c r="B10309" s="13"/>
      <c r="C10309" t="s" s="9">
        <v>16</v>
      </c>
      <c r="D10309" t="s" s="8">
        <v>3860</v>
      </c>
      <c r="E10309" t="s" s="9">
        <v>3860</v>
      </c>
      <c r="F10309" t="s" s="10">
        <v>220</v>
      </c>
      <c r="G10309" t="s" s="11">
        <v>220</v>
      </c>
      <c r="H10309" t="s" s="10">
        <v>220</v>
      </c>
      <c r="I10309" t="s" s="11">
        <v>220</v>
      </c>
      <c r="J10309" t="s" s="11">
        <v>20</v>
      </c>
      <c r="K10309" t="s" s="16">
        <f>HYPERLINK("http://csr.bu.edu/ftp/asl/asllvd/demos/verify_start_end_handshape_annotations//test_auto_move//signs_mov/4252.mov","MOV")</f>
        <v>21</v>
      </c>
      <c r="L10309" t="s" s="16">
        <f>HYPERLINK("http://csr.bu.edu/ftp/asl/asllvd/demos/verify_start_end_handshape_annotations//test_auto_move//signs_mov_separ_signers/Liz_4252.mov","MOV")</f>
        <v>21</v>
      </c>
      <c r="M10309" t="s" s="10">
        <v>77</v>
      </c>
      <c r="N10309" s="17">
        <v>22</v>
      </c>
      <c r="O10309" s="18">
        <v>450</v>
      </c>
      <c r="P10309" s="18">
        <v>540</v>
      </c>
      <c r="Q10309" t="s" s="16">
        <f>HYPERLINK("http://secrets.rutgers.edu:8080/data/asl-ftp/asllvd/demos/verify_start_end_handshape_annotations//test_auto_move//signs_mov/4252.mov","MOV")</f>
        <v>21</v>
      </c>
      <c r="R10309" t="s" s="16">
        <f>HYPERLINK("http://secrets.rutgers.edu:8080/data/asl-ftp/asllvd/demos/verify_start_end_handshape_annotations//test_auto_move//signs_mov_separ_signers/Liz_4252.mov","MOV")</f>
        <v>21</v>
      </c>
    </row>
    <row r="10310" s="2" customFormat="1" ht="13.5" customHeight="1">
      <c r="B10310" s="13"/>
      <c r="C10310" t="s" s="9">
        <v>30</v>
      </c>
      <c r="D10310" t="s" s="8">
        <v>3860</v>
      </c>
      <c r="E10310" t="s" s="9">
        <v>3860</v>
      </c>
      <c r="F10310" t="s" s="10">
        <v>220</v>
      </c>
      <c r="G10310" t="s" s="11">
        <v>220</v>
      </c>
      <c r="H10310" t="s" s="10">
        <v>220</v>
      </c>
      <c r="I10310" t="s" s="11">
        <v>220</v>
      </c>
      <c r="J10310" t="s" s="11">
        <v>20</v>
      </c>
      <c r="K10310" s="15"/>
      <c r="L10310" t="s" s="16">
        <f>HYPERLINK("http://csr.bu.edu/ftp/asl/asllvd/demos/verify_start_end_handshape_annotations//test_auto_move//signs_mov_separ_signers/Brady_4252.mov","MOV")</f>
        <v>21</v>
      </c>
      <c r="M10310" t="s" s="10">
        <v>40</v>
      </c>
      <c r="N10310" s="17">
        <v>32</v>
      </c>
      <c r="O10310" s="18">
        <v>4075</v>
      </c>
      <c r="P10310" s="18">
        <v>4100</v>
      </c>
      <c r="Q10310" s="15"/>
      <c r="R10310" t="s" s="16">
        <f>HYPERLINK("http://secrets.rutgers.edu:8080/data/asl-ftp/asllvd/demos/verify_start_end_handshape_annotations//test_auto_move//signs_mov_separ_signers/Brady_4252.mov","MOV")</f>
        <v>21</v>
      </c>
    </row>
    <row r="10311" s="2" customFormat="1" ht="13.5" customHeight="1">
      <c r="B10311" t="s" s="8">
        <v>3861</v>
      </c>
      <c r="C10311" t="s" s="9">
        <v>14</v>
      </c>
      <c r="D10311" t="s" s="8">
        <v>14</v>
      </c>
      <c r="E10311" t="s" s="9">
        <v>14</v>
      </c>
      <c r="F10311" t="s" s="10">
        <v>14</v>
      </c>
      <c r="G10311" t="s" s="11">
        <v>14</v>
      </c>
      <c r="H10311" t="s" s="10">
        <v>14</v>
      </c>
      <c r="I10311" t="s" s="11">
        <v>14</v>
      </c>
      <c r="J10311" t="s" s="11">
        <v>14</v>
      </c>
      <c r="K10311" t="s" s="12">
        <v>14</v>
      </c>
      <c r="L10311" t="s" s="12">
        <v>14</v>
      </c>
      <c r="M10311" t="s" s="10">
        <v>14</v>
      </c>
      <c r="N10311" t="s" s="11">
        <v>14</v>
      </c>
      <c r="O10311" t="s" s="8">
        <v>14</v>
      </c>
      <c r="P10311" t="s" s="8">
        <v>14</v>
      </c>
      <c r="Q10311" t="s" s="12">
        <v>14</v>
      </c>
      <c r="R10311" t="s" s="12">
        <v>14</v>
      </c>
    </row>
    <row r="10312" s="2" customFormat="1" ht="13.5" customHeight="1">
      <c r="B10312" s="13"/>
      <c r="C10312" t="s" s="9">
        <v>30</v>
      </c>
      <c r="D10312" t="s" s="8">
        <v>3861</v>
      </c>
      <c r="E10312" t="s" s="9">
        <v>3861</v>
      </c>
      <c r="F10312" t="s" s="10">
        <v>220</v>
      </c>
      <c r="G10312" s="14"/>
      <c r="H10312" t="s" s="10">
        <v>593</v>
      </c>
      <c r="I10312" s="14"/>
      <c r="J10312" t="s" s="11">
        <v>20</v>
      </c>
      <c r="K10312" t="s" s="16">
        <f>HYPERLINK("http://csr.bu.edu/ftp/asl/asllvd/demos/verify_start_end_handshape_annotations//test_auto_move//signs_mov/4254_5345_merged.mov","MOV")</f>
        <v>21</v>
      </c>
      <c r="L10312" t="s" s="16">
        <f>HYPERLINK("http://csr.bu.edu/ftp/asl/asllvd/demos/verify_start_end_handshape_annotations//test_auto_move//signs_mov_separ_signers/Brady_4254.mov","MOV")</f>
        <v>21</v>
      </c>
      <c r="M10312" t="s" s="10">
        <v>40</v>
      </c>
      <c r="N10312" s="17">
        <v>33</v>
      </c>
      <c r="O10312" s="18">
        <v>4435</v>
      </c>
      <c r="P10312" s="18">
        <v>4455</v>
      </c>
      <c r="Q10312" t="s" s="16">
        <f>HYPERLINK("http://secrets.rutgers.edu:8080/data/asl-ftp/asllvd/demos/verify_start_end_handshape_annotations//test_auto_move//signs_mov/4254_5345_merged.mov","MOV")</f>
        <v>21</v>
      </c>
      <c r="R10312" t="s" s="16">
        <f>HYPERLINK("http://secrets.rutgers.edu:8080/data/asl-ftp/asllvd/demos/verify_start_end_handshape_annotations//test_auto_move//signs_mov_separ_signers/Brady_4254.mov","MOV")</f>
        <v>21</v>
      </c>
    </row>
    <row r="10313" s="2" customFormat="1" ht="13.5" customHeight="1">
      <c r="B10313" s="13"/>
      <c r="C10313" t="s" s="9">
        <v>30</v>
      </c>
      <c r="D10313" t="s" s="8">
        <v>3861</v>
      </c>
      <c r="E10313" t="s" s="9">
        <v>3861</v>
      </c>
      <c r="F10313" t="s" s="10">
        <v>220</v>
      </c>
      <c r="G10313" s="14"/>
      <c r="H10313" t="s" s="10">
        <v>593</v>
      </c>
      <c r="I10313" s="14"/>
      <c r="J10313" t="s" s="11">
        <v>20</v>
      </c>
      <c r="K10313" s="15"/>
      <c r="L10313" t="s" s="16">
        <f>HYPERLINK("http://csr.bu.edu/ftp/asl/asllvd/demos/verify_start_end_handshape_annotations//test_auto_move//signs_mov_separ_signers/Brady_5345.mov","MOV")</f>
        <v>21</v>
      </c>
      <c r="M10313" t="s" s="10">
        <v>40</v>
      </c>
      <c r="N10313" s="17">
        <v>34</v>
      </c>
      <c r="O10313" s="18">
        <v>713</v>
      </c>
      <c r="P10313" s="18">
        <v>734</v>
      </c>
      <c r="Q10313" s="15"/>
      <c r="R10313" t="s" s="16">
        <f>HYPERLINK("http://secrets.rutgers.edu:8080/data/asl-ftp/asllvd/demos/verify_start_end_handshape_annotations//test_auto_move//signs_mov_separ_signers/Brady_5345.mov","MOV")</f>
        <v>21</v>
      </c>
    </row>
    <row r="10314" s="2" customFormat="1" ht="13.5" customHeight="1">
      <c r="B10314" t="s" s="8">
        <v>52</v>
      </c>
      <c r="C10314" t="s" s="9">
        <v>53</v>
      </c>
      <c r="D10314" t="s" s="8">
        <v>53</v>
      </c>
      <c r="E10314" t="s" s="9">
        <v>53</v>
      </c>
      <c r="F10314" t="s" s="10">
        <v>53</v>
      </c>
      <c r="G10314" t="s" s="11">
        <v>53</v>
      </c>
      <c r="H10314" t="s" s="10">
        <v>53</v>
      </c>
      <c r="I10314" t="s" s="11">
        <v>53</v>
      </c>
      <c r="J10314" t="s" s="11">
        <v>53</v>
      </c>
      <c r="K10314" t="s" s="12">
        <v>53</v>
      </c>
      <c r="L10314" t="s" s="12">
        <v>53</v>
      </c>
      <c r="M10314" t="s" s="10">
        <v>53</v>
      </c>
      <c r="N10314" t="s" s="11">
        <v>53</v>
      </c>
      <c r="O10314" t="s" s="8">
        <v>53</v>
      </c>
      <c r="P10314" t="s" s="8">
        <v>53</v>
      </c>
      <c r="Q10314" t="s" s="12">
        <v>53</v>
      </c>
      <c r="R10314" t="s" s="12">
        <v>53</v>
      </c>
    </row>
    <row r="10315" s="2" customFormat="1" ht="13.5" customHeight="1">
      <c r="B10315" s="13"/>
      <c r="C10315" t="s" s="9">
        <v>16</v>
      </c>
      <c r="D10315" t="s" s="8">
        <v>3861</v>
      </c>
      <c r="E10315" t="s" s="9">
        <v>3862</v>
      </c>
      <c r="F10315" t="s" s="10">
        <v>220</v>
      </c>
      <c r="G10315" s="14"/>
      <c r="H10315" t="s" s="10">
        <v>282</v>
      </c>
      <c r="I10315" s="14"/>
      <c r="J10315" t="s" s="11">
        <v>20</v>
      </c>
      <c r="K10315" t="s" s="16">
        <f>HYPERLINK("http://csr.bu.edu/ftp/asl/asllvd/demos/verify_start_end_handshape_annotations//test_auto_move//signs_mov/16431.mov","MOV")</f>
        <v>21</v>
      </c>
      <c r="L10315" t="s" s="16">
        <f>HYPERLINK("http://csr.bu.edu/ftp/asl/asllvd/demos/verify_start_end_handshape_annotations//test_auto_move//signs_mov_separ_signers/Liz_16431.mov","MOV")</f>
        <v>21</v>
      </c>
      <c r="M10315" t="s" s="10">
        <v>77</v>
      </c>
      <c r="N10315" s="17">
        <v>22</v>
      </c>
      <c r="O10315" s="18">
        <v>634</v>
      </c>
      <c r="P10315" s="18">
        <v>691</v>
      </c>
      <c r="Q10315" t="s" s="16">
        <f>HYPERLINK("http://secrets.rutgers.edu:8080/data/asl-ftp/asllvd/demos/verify_start_end_handshape_annotations//test_auto_move//signs_mov/16431.mov","MOV")</f>
        <v>21</v>
      </c>
      <c r="R10315" t="s" s="16">
        <f>HYPERLINK("http://secrets.rutgers.edu:8080/data/asl-ftp/asllvd/demos/verify_start_end_handshape_annotations//test_auto_move//signs_mov_separ_signers/Liz_16431.mov","MOV")</f>
        <v>21</v>
      </c>
    </row>
    <row r="10316" s="2" customFormat="1" ht="13.5" customHeight="1">
      <c r="B10316" t="s" s="8">
        <v>3863</v>
      </c>
      <c r="C10316" t="s" s="9">
        <v>14</v>
      </c>
      <c r="D10316" t="s" s="8">
        <v>14</v>
      </c>
      <c r="E10316" t="s" s="9">
        <v>14</v>
      </c>
      <c r="F10316" t="s" s="10">
        <v>14</v>
      </c>
      <c r="G10316" t="s" s="11">
        <v>14</v>
      </c>
      <c r="H10316" t="s" s="10">
        <v>14</v>
      </c>
      <c r="I10316" t="s" s="11">
        <v>14</v>
      </c>
      <c r="J10316" t="s" s="11">
        <v>14</v>
      </c>
      <c r="K10316" t="s" s="12">
        <v>14</v>
      </c>
      <c r="L10316" t="s" s="12">
        <v>14</v>
      </c>
      <c r="M10316" t="s" s="10">
        <v>14</v>
      </c>
      <c r="N10316" t="s" s="11">
        <v>14</v>
      </c>
      <c r="O10316" t="s" s="8">
        <v>14</v>
      </c>
      <c r="P10316" t="s" s="8">
        <v>14</v>
      </c>
      <c r="Q10316" t="s" s="12">
        <v>14</v>
      </c>
      <c r="R10316" t="s" s="12">
        <v>14</v>
      </c>
    </row>
    <row r="10317" s="2" customFormat="1" ht="13.5" customHeight="1">
      <c r="B10317" s="13"/>
      <c r="C10317" t="s" s="9">
        <v>16</v>
      </c>
      <c r="D10317" t="s" s="8">
        <v>3863</v>
      </c>
      <c r="E10317" t="s" s="9">
        <v>3863</v>
      </c>
      <c r="F10317" t="s" s="10">
        <v>73</v>
      </c>
      <c r="G10317" t="s" s="11">
        <v>73</v>
      </c>
      <c r="H10317" t="s" s="10">
        <v>73</v>
      </c>
      <c r="I10317" t="s" s="11">
        <v>73</v>
      </c>
      <c r="J10317" t="s" s="11">
        <v>20</v>
      </c>
      <c r="K10317" t="s" s="16">
        <f>HYPERLINK("http://csr.bu.edu/ftp/asl/asllvd/demos/verify_start_end_handshape_annotations//test_auto_move//signs_mov/4255.mov","MOV")</f>
        <v>21</v>
      </c>
      <c r="L10317" t="s" s="16">
        <f>HYPERLINK("http://csr.bu.edu/ftp/asl/asllvd/demos/verify_start_end_handshape_annotations//test_auto_move//signs_mov_separ_signers/Liz_4255.mov","MOV")</f>
        <v>21</v>
      </c>
      <c r="M10317" t="s" s="10">
        <v>77</v>
      </c>
      <c r="N10317" s="17">
        <v>22</v>
      </c>
      <c r="O10317" s="18">
        <v>800</v>
      </c>
      <c r="P10317" s="18">
        <v>861</v>
      </c>
      <c r="Q10317" t="s" s="16">
        <f>HYPERLINK("http://secrets.rutgers.edu:8080/data/asl-ftp/asllvd/demos/verify_start_end_handshape_annotations//test_auto_move//signs_mov/4255.mov","MOV")</f>
        <v>21</v>
      </c>
      <c r="R10317" t="s" s="16">
        <f>HYPERLINK("http://secrets.rutgers.edu:8080/data/asl-ftp/asllvd/demos/verify_start_end_handshape_annotations//test_auto_move//signs_mov_separ_signers/Liz_4255.mov","MOV")</f>
        <v>21</v>
      </c>
    </row>
    <row r="10318" s="2" customFormat="1" ht="13.5" customHeight="1">
      <c r="B10318" s="13"/>
      <c r="C10318" t="s" s="9">
        <v>30</v>
      </c>
      <c r="D10318" t="s" s="8">
        <v>3863</v>
      </c>
      <c r="E10318" t="s" s="9">
        <v>3863</v>
      </c>
      <c r="F10318" t="s" s="10">
        <v>73</v>
      </c>
      <c r="G10318" t="s" s="11">
        <v>73</v>
      </c>
      <c r="H10318" t="s" s="10">
        <v>73</v>
      </c>
      <c r="I10318" t="s" s="11">
        <v>73</v>
      </c>
      <c r="J10318" t="s" s="11">
        <v>20</v>
      </c>
      <c r="K10318" s="15"/>
      <c r="L10318" t="s" s="16">
        <f>HYPERLINK("http://csr.bu.edu/ftp/asl/asllvd/demos/verify_start_end_handshape_annotations//test_auto_move//signs_mov_separ_signers/Brady_4255.mov","MOV")</f>
        <v>21</v>
      </c>
      <c r="M10318" t="s" s="10">
        <v>40</v>
      </c>
      <c r="N10318" s="17">
        <v>38</v>
      </c>
      <c r="O10318" s="18">
        <v>2230</v>
      </c>
      <c r="P10318" s="18">
        <v>2269</v>
      </c>
      <c r="Q10318" s="15"/>
      <c r="R10318" t="s" s="16">
        <f>HYPERLINK("http://secrets.rutgers.edu:8080/data/asl-ftp/asllvd/demos/verify_start_end_handshape_annotations//test_auto_move//signs_mov_separ_signers/Brady_4255.mov","MOV")</f>
        <v>21</v>
      </c>
    </row>
    <row r="10319" s="2" customFormat="1" ht="13.5" customHeight="1">
      <c r="B10319" t="s" s="8">
        <v>3864</v>
      </c>
      <c r="C10319" t="s" s="9">
        <v>14</v>
      </c>
      <c r="D10319" t="s" s="8">
        <v>14</v>
      </c>
      <c r="E10319" t="s" s="9">
        <v>14</v>
      </c>
      <c r="F10319" t="s" s="10">
        <v>14</v>
      </c>
      <c r="G10319" t="s" s="11">
        <v>14</v>
      </c>
      <c r="H10319" t="s" s="10">
        <v>14</v>
      </c>
      <c r="I10319" t="s" s="11">
        <v>14</v>
      </c>
      <c r="J10319" t="s" s="11">
        <v>14</v>
      </c>
      <c r="K10319" t="s" s="12">
        <v>14</v>
      </c>
      <c r="L10319" t="s" s="12">
        <v>14</v>
      </c>
      <c r="M10319" t="s" s="10">
        <v>14</v>
      </c>
      <c r="N10319" t="s" s="11">
        <v>14</v>
      </c>
      <c r="O10319" t="s" s="8">
        <v>14</v>
      </c>
      <c r="P10319" t="s" s="8">
        <v>14</v>
      </c>
      <c r="Q10319" t="s" s="12">
        <v>14</v>
      </c>
      <c r="R10319" t="s" s="12">
        <v>14</v>
      </c>
    </row>
    <row r="10320" s="2" customFormat="1" ht="13.5" customHeight="1">
      <c r="B10320" s="13"/>
      <c r="C10320" t="s" s="9">
        <v>16</v>
      </c>
      <c r="D10320" t="s" s="8">
        <v>3864</v>
      </c>
      <c r="E10320" t="s" s="9">
        <v>3864</v>
      </c>
      <c r="F10320" s="19">
        <v>4</v>
      </c>
      <c r="G10320" t="s" s="11">
        <v>229</v>
      </c>
      <c r="H10320" s="19">
        <v>4</v>
      </c>
      <c r="I10320" t="s" s="11">
        <v>229</v>
      </c>
      <c r="J10320" t="s" s="11">
        <v>20</v>
      </c>
      <c r="K10320" t="s" s="16">
        <f>HYPERLINK("http://csr.bu.edu/ftp/asl/asllvd/demos/verify_start_end_handshape_annotations//test_auto_move//signs_mov/4257.mov","MOV")</f>
        <v>21</v>
      </c>
      <c r="L10320" t="s" s="16">
        <f>HYPERLINK("http://csr.bu.edu/ftp/asl/asllvd/demos/verify_start_end_handshape_annotations//test_auto_move//signs_mov_separ_signers/Liz_4257.mov","MOV")</f>
        <v>21</v>
      </c>
      <c r="M10320" t="s" s="10">
        <v>77</v>
      </c>
      <c r="N10320" s="17">
        <v>22</v>
      </c>
      <c r="O10320" s="18">
        <v>1308</v>
      </c>
      <c r="P10320" s="18">
        <v>1370</v>
      </c>
      <c r="Q10320" t="s" s="16">
        <f>HYPERLINK("http://secrets.rutgers.edu:8080/data/asl-ftp/asllvd/demos/verify_start_end_handshape_annotations//test_auto_move//signs_mov/4257.mov","MOV")</f>
        <v>21</v>
      </c>
      <c r="R10320" t="s" s="16">
        <f>HYPERLINK("http://secrets.rutgers.edu:8080/data/asl-ftp/asllvd/demos/verify_start_end_handshape_annotations//test_auto_move//signs_mov_separ_signers/Liz_4257.mov","MOV")</f>
        <v>21</v>
      </c>
    </row>
    <row r="10321" s="2" customFormat="1" ht="13.5" customHeight="1">
      <c r="B10321" s="13"/>
      <c r="C10321" t="s" s="9">
        <v>30</v>
      </c>
      <c r="D10321" t="s" s="8">
        <v>3864</v>
      </c>
      <c r="E10321" t="s" s="9">
        <v>3864</v>
      </c>
      <c r="F10321" s="19">
        <v>4</v>
      </c>
      <c r="G10321" t="s" s="11">
        <v>229</v>
      </c>
      <c r="H10321" s="19">
        <v>4</v>
      </c>
      <c r="I10321" t="s" s="11">
        <v>229</v>
      </c>
      <c r="J10321" t="s" s="11">
        <v>20</v>
      </c>
      <c r="K10321" s="15"/>
      <c r="L10321" t="s" s="16">
        <f>HYPERLINK("http://csr.bu.edu/ftp/asl/asllvd/demos/verify_start_end_handshape_annotations//test_auto_move//signs_mov_separ_signers/Brady_4257.mov","MOV")</f>
        <v>21</v>
      </c>
      <c r="M10321" t="s" s="10">
        <v>40</v>
      </c>
      <c r="N10321" s="17">
        <v>44</v>
      </c>
      <c r="O10321" s="18">
        <v>3828</v>
      </c>
      <c r="P10321" s="18">
        <v>3844</v>
      </c>
      <c r="Q10321" s="15"/>
      <c r="R10321" t="s" s="16">
        <f>HYPERLINK("http://secrets.rutgers.edu:8080/data/asl-ftp/asllvd/demos/verify_start_end_handshape_annotations//test_auto_move//signs_mov_separ_signers/Brady_4257.mov","MOV")</f>
        <v>21</v>
      </c>
    </row>
    <row r="10322" s="2" customFormat="1" ht="13.5" customHeight="1">
      <c r="B10322" t="s" s="8">
        <v>3865</v>
      </c>
      <c r="C10322" t="s" s="9">
        <v>14</v>
      </c>
      <c r="D10322" t="s" s="8">
        <v>14</v>
      </c>
      <c r="E10322" t="s" s="9">
        <v>14</v>
      </c>
      <c r="F10322" t="s" s="10">
        <v>14</v>
      </c>
      <c r="G10322" t="s" s="11">
        <v>14</v>
      </c>
      <c r="H10322" t="s" s="10">
        <v>14</v>
      </c>
      <c r="I10322" t="s" s="11">
        <v>14</v>
      </c>
      <c r="J10322" t="s" s="11">
        <v>14</v>
      </c>
      <c r="K10322" t="s" s="12">
        <v>14</v>
      </c>
      <c r="L10322" t="s" s="12">
        <v>14</v>
      </c>
      <c r="M10322" t="s" s="10">
        <v>14</v>
      </c>
      <c r="N10322" t="s" s="11">
        <v>14</v>
      </c>
      <c r="O10322" t="s" s="8">
        <v>14</v>
      </c>
      <c r="P10322" t="s" s="8">
        <v>14</v>
      </c>
      <c r="Q10322" t="s" s="12">
        <v>14</v>
      </c>
      <c r="R10322" t="s" s="12">
        <v>14</v>
      </c>
    </row>
    <row r="10323" s="2" customFormat="1" ht="13.5" customHeight="1">
      <c r="B10323" s="13"/>
      <c r="C10323" t="s" s="9">
        <v>16</v>
      </c>
      <c r="D10323" t="s" s="8">
        <v>3865</v>
      </c>
      <c r="E10323" t="s" s="9">
        <v>3866</v>
      </c>
      <c r="F10323" t="s" s="10">
        <v>205</v>
      </c>
      <c r="G10323" s="14"/>
      <c r="H10323" t="s" s="10">
        <v>205</v>
      </c>
      <c r="I10323" s="14"/>
      <c r="J10323" t="s" s="11">
        <v>20</v>
      </c>
      <c r="K10323" t="s" s="16">
        <f>HYPERLINK("http://csr.bu.edu/ftp/asl/asllvd/demos/verify_start_end_handshape_annotations//test_auto_move//signs_mov/4258.mov","MOV")</f>
        <v>21</v>
      </c>
      <c r="L10323" t="s" s="16">
        <f>HYPERLINK("http://csr.bu.edu/ftp/asl/asllvd/demos/verify_start_end_handshape_annotations//test_auto_move//signs_mov_separ_signers/Liz_4258.mov","MOV")</f>
        <v>21</v>
      </c>
      <c r="M10323" t="s" s="10">
        <v>77</v>
      </c>
      <c r="N10323" s="17">
        <v>22</v>
      </c>
      <c r="O10323" s="18">
        <v>978</v>
      </c>
      <c r="P10323" s="18">
        <v>1030</v>
      </c>
      <c r="Q10323" t="s" s="16">
        <f>HYPERLINK("http://secrets.rutgers.edu:8080/data/asl-ftp/asllvd/demos/verify_start_end_handshape_annotations//test_auto_move//signs_mov/4258.mov","MOV")</f>
        <v>21</v>
      </c>
      <c r="R10323" t="s" s="16">
        <f>HYPERLINK("http://secrets.rutgers.edu:8080/data/asl-ftp/asllvd/demos/verify_start_end_handshape_annotations//test_auto_move//signs_mov_separ_signers/Liz_4258.mov","MOV")</f>
        <v>21</v>
      </c>
    </row>
    <row r="10324" s="2" customFormat="1" ht="13.5" customHeight="1">
      <c r="B10324" t="s" s="8">
        <v>52</v>
      </c>
      <c r="C10324" t="s" s="9">
        <v>53</v>
      </c>
      <c r="D10324" t="s" s="8">
        <v>53</v>
      </c>
      <c r="E10324" t="s" s="9">
        <v>53</v>
      </c>
      <c r="F10324" t="s" s="10">
        <v>53</v>
      </c>
      <c r="G10324" t="s" s="11">
        <v>53</v>
      </c>
      <c r="H10324" t="s" s="10">
        <v>53</v>
      </c>
      <c r="I10324" t="s" s="11">
        <v>53</v>
      </c>
      <c r="J10324" t="s" s="11">
        <v>53</v>
      </c>
      <c r="K10324" t="s" s="12">
        <v>53</v>
      </c>
      <c r="L10324" t="s" s="12">
        <v>53</v>
      </c>
      <c r="M10324" t="s" s="10">
        <v>53</v>
      </c>
      <c r="N10324" t="s" s="11">
        <v>53</v>
      </c>
      <c r="O10324" t="s" s="8">
        <v>53</v>
      </c>
      <c r="P10324" t="s" s="8">
        <v>53</v>
      </c>
      <c r="Q10324" t="s" s="12">
        <v>53</v>
      </c>
      <c r="R10324" t="s" s="12">
        <v>53</v>
      </c>
    </row>
    <row r="10325" s="2" customFormat="1" ht="13.5" customHeight="1">
      <c r="B10325" s="13"/>
      <c r="C10325" t="s" s="9">
        <v>30</v>
      </c>
      <c r="D10325" t="s" s="8">
        <v>3865</v>
      </c>
      <c r="E10325" t="s" s="9">
        <v>3867</v>
      </c>
      <c r="F10325" s="19">
        <v>1</v>
      </c>
      <c r="G10325" s="14"/>
      <c r="H10325" s="19">
        <v>1</v>
      </c>
      <c r="I10325" s="14"/>
      <c r="J10325" t="s" s="11">
        <v>20</v>
      </c>
      <c r="K10325" t="s" s="16">
        <f>HYPERLINK("http://csr.bu.edu/ftp/asl/asllvd/demos/verify_start_end_handshape_annotations//test_auto_move//signs_mov/5707.mov","MOV")</f>
        <v>21</v>
      </c>
      <c r="L10325" t="s" s="16">
        <f>HYPERLINK("http://csr.bu.edu/ftp/asl/asllvd/demos/verify_start_end_handshape_annotations//test_auto_move//signs_mov_separ_signers/Brady_5707.mov","MOV")</f>
        <v>21</v>
      </c>
      <c r="M10325" t="s" s="10">
        <v>40</v>
      </c>
      <c r="N10325" s="17">
        <v>89</v>
      </c>
      <c r="O10325" s="18">
        <v>117</v>
      </c>
      <c r="P10325" s="18">
        <v>149</v>
      </c>
      <c r="Q10325" t="s" s="16">
        <f>HYPERLINK("http://secrets.rutgers.edu:8080/data/asl-ftp/asllvd/demos/verify_start_end_handshape_annotations//test_auto_move//signs_mov/5707.mov","MOV")</f>
        <v>21</v>
      </c>
      <c r="R10325" t="s" s="16">
        <f>HYPERLINK("http://secrets.rutgers.edu:8080/data/asl-ftp/asllvd/demos/verify_start_end_handshape_annotations//test_auto_move//signs_mov_separ_signers/Brady_5707.mov","MOV")</f>
        <v>21</v>
      </c>
    </row>
    <row r="10326" s="2" customFormat="1" ht="13.5" customHeight="1">
      <c r="B10326" t="s" s="8">
        <v>3868</v>
      </c>
      <c r="C10326" t="s" s="9">
        <v>14</v>
      </c>
      <c r="D10326" t="s" s="8">
        <v>14</v>
      </c>
      <c r="E10326" t="s" s="9">
        <v>14</v>
      </c>
      <c r="F10326" t="s" s="10">
        <v>14</v>
      </c>
      <c r="G10326" t="s" s="11">
        <v>14</v>
      </c>
      <c r="H10326" t="s" s="10">
        <v>14</v>
      </c>
      <c r="I10326" t="s" s="11">
        <v>14</v>
      </c>
      <c r="J10326" t="s" s="11">
        <v>14</v>
      </c>
      <c r="K10326" t="s" s="12">
        <v>14</v>
      </c>
      <c r="L10326" t="s" s="12">
        <v>14</v>
      </c>
      <c r="M10326" t="s" s="10">
        <v>14</v>
      </c>
      <c r="N10326" t="s" s="11">
        <v>14</v>
      </c>
      <c r="O10326" t="s" s="8">
        <v>14</v>
      </c>
      <c r="P10326" t="s" s="8">
        <v>14</v>
      </c>
      <c r="Q10326" t="s" s="12">
        <v>14</v>
      </c>
      <c r="R10326" t="s" s="12">
        <v>14</v>
      </c>
    </row>
    <row r="10327" s="2" customFormat="1" ht="13.5" customHeight="1">
      <c r="B10327" s="13"/>
      <c r="C10327" t="s" s="9">
        <v>16</v>
      </c>
      <c r="D10327" t="s" s="8">
        <v>3868</v>
      </c>
      <c r="E10327" t="s" s="9">
        <v>3869</v>
      </c>
      <c r="F10327" t="s" s="10">
        <v>205</v>
      </c>
      <c r="G10327" s="14"/>
      <c r="H10327" t="s" s="10">
        <v>205</v>
      </c>
      <c r="I10327" s="14"/>
      <c r="J10327" t="s" s="11">
        <v>20</v>
      </c>
      <c r="K10327" t="s" s="16">
        <f>HYPERLINK("http://csr.bu.edu/ftp/asl/asllvd/demos/verify_start_end_handshape_annotations//test_auto_move//signs_mov/16558.mov","MOV")</f>
        <v>21</v>
      </c>
      <c r="L10327" t="s" s="16">
        <f>HYPERLINK("http://csr.bu.edu/ftp/asl/asllvd/demos/verify_start_end_handshape_annotations//test_auto_move//signs_mov_separ_signers/Liz_16558.mov","MOV")</f>
        <v>21</v>
      </c>
      <c r="M10327" t="s" s="10">
        <v>36</v>
      </c>
      <c r="N10327" s="17">
        <v>38</v>
      </c>
      <c r="O10327" s="18">
        <v>2940</v>
      </c>
      <c r="P10327" s="18">
        <v>3010</v>
      </c>
      <c r="Q10327" t="s" s="16">
        <f>HYPERLINK("http://secrets.rutgers.edu:8080/data/asl-ftp/asllvd/demos/verify_start_end_handshape_annotations//test_auto_move//signs_mov/16558.mov","MOV")</f>
        <v>21</v>
      </c>
      <c r="R10327" t="s" s="16">
        <f>HYPERLINK("http://secrets.rutgers.edu:8080/data/asl-ftp/asllvd/demos/verify_start_end_handshape_annotations//test_auto_move//signs_mov_separ_signers/Liz_16558.mov","MOV")</f>
        <v>21</v>
      </c>
    </row>
    <row r="10328" s="2" customFormat="1" ht="13.5" customHeight="1">
      <c r="B10328" t="s" s="8">
        <v>3870</v>
      </c>
      <c r="C10328" t="s" s="9">
        <v>14</v>
      </c>
      <c r="D10328" t="s" s="8">
        <v>14</v>
      </c>
      <c r="E10328" t="s" s="9">
        <v>14</v>
      </c>
      <c r="F10328" t="s" s="10">
        <v>14</v>
      </c>
      <c r="G10328" t="s" s="11">
        <v>14</v>
      </c>
      <c r="H10328" t="s" s="10">
        <v>14</v>
      </c>
      <c r="I10328" t="s" s="11">
        <v>14</v>
      </c>
      <c r="J10328" t="s" s="11">
        <v>14</v>
      </c>
      <c r="K10328" t="s" s="12">
        <v>14</v>
      </c>
      <c r="L10328" t="s" s="12">
        <v>14</v>
      </c>
      <c r="M10328" t="s" s="10">
        <v>14</v>
      </c>
      <c r="N10328" t="s" s="11">
        <v>14</v>
      </c>
      <c r="O10328" t="s" s="8">
        <v>14</v>
      </c>
      <c r="P10328" t="s" s="8">
        <v>14</v>
      </c>
      <c r="Q10328" t="s" s="12">
        <v>14</v>
      </c>
      <c r="R10328" t="s" s="12">
        <v>14</v>
      </c>
    </row>
    <row r="10329" s="2" customFormat="1" ht="13.5" customHeight="1">
      <c r="B10329" s="13"/>
      <c r="C10329" t="s" s="9">
        <v>16</v>
      </c>
      <c r="D10329" t="s" s="8">
        <v>3870</v>
      </c>
      <c r="E10329" t="s" s="9">
        <v>3870</v>
      </c>
      <c r="F10329" t="s" s="10">
        <v>152</v>
      </c>
      <c r="G10329" s="14"/>
      <c r="H10329" t="s" s="10">
        <v>152</v>
      </c>
      <c r="I10329" s="14"/>
      <c r="J10329" t="s" s="11">
        <v>20</v>
      </c>
      <c r="K10329" t="s" s="16">
        <f>HYPERLINK("http://csr.bu.edu/ftp/asl/asllvd/demos/verify_start_end_handshape_annotations//test_auto_move//signs_mov/4265.mov","MOV")</f>
        <v>21</v>
      </c>
      <c r="L10329" t="s" s="16">
        <f>HYPERLINK("http://csr.bu.edu/ftp/asl/asllvd/demos/verify_start_end_handshape_annotations//test_auto_move//signs_mov_separ_signers/Liz_4265.mov","MOV")</f>
        <v>21</v>
      </c>
      <c r="M10329" t="s" s="10">
        <v>77</v>
      </c>
      <c r="N10329" s="17">
        <v>25</v>
      </c>
      <c r="O10329" s="18">
        <v>720</v>
      </c>
      <c r="P10329" s="18">
        <v>785</v>
      </c>
      <c r="Q10329" t="s" s="16">
        <f>HYPERLINK("http://secrets.rutgers.edu:8080/data/asl-ftp/asllvd/demos/verify_start_end_handshape_annotations//test_auto_move//signs_mov/4265.mov","MOV")</f>
        <v>21</v>
      </c>
      <c r="R10329" t="s" s="16">
        <f>HYPERLINK("http://secrets.rutgers.edu:8080/data/asl-ftp/asllvd/demos/verify_start_end_handshape_annotations//test_auto_move//signs_mov_separ_signers/Liz_4265.mov","MOV")</f>
        <v>21</v>
      </c>
    </row>
    <row r="10330" s="2" customFormat="1" ht="13.5" customHeight="1">
      <c r="B10330" s="13"/>
      <c r="C10330" t="s" s="9">
        <v>30</v>
      </c>
      <c r="D10330" t="s" s="8">
        <v>3870</v>
      </c>
      <c r="E10330" t="s" s="9">
        <v>3870</v>
      </c>
      <c r="F10330" t="s" s="10">
        <v>152</v>
      </c>
      <c r="G10330" s="14"/>
      <c r="H10330" t="s" s="10">
        <v>152</v>
      </c>
      <c r="I10330" s="14"/>
      <c r="J10330" t="s" s="11">
        <v>20</v>
      </c>
      <c r="K10330" s="15"/>
      <c r="L10330" t="s" s="16">
        <f>HYPERLINK("http://csr.bu.edu/ftp/asl/asllvd/demos/verify_start_end_handshape_annotations//test_auto_move//signs_mov_separ_signers/Brady_4265.mov","MOV")</f>
        <v>21</v>
      </c>
      <c r="M10330" t="s" s="10">
        <v>31</v>
      </c>
      <c r="N10330" s="17">
        <v>22</v>
      </c>
      <c r="O10330" s="18">
        <v>6029</v>
      </c>
      <c r="P10330" s="18">
        <v>6059</v>
      </c>
      <c r="Q10330" s="15"/>
      <c r="R10330" t="s" s="16">
        <f>HYPERLINK("http://secrets.rutgers.edu:8080/data/asl-ftp/asllvd/demos/verify_start_end_handshape_annotations//test_auto_move//signs_mov_separ_signers/Brady_4265.mov","MOV")</f>
        <v>21</v>
      </c>
    </row>
    <row r="10331" s="2" customFormat="1" ht="13.5" customHeight="1">
      <c r="B10331" t="s" s="8">
        <v>3871</v>
      </c>
      <c r="C10331" t="s" s="9">
        <v>14</v>
      </c>
      <c r="D10331" t="s" s="8">
        <v>14</v>
      </c>
      <c r="E10331" t="s" s="9">
        <v>14</v>
      </c>
      <c r="F10331" t="s" s="10">
        <v>14</v>
      </c>
      <c r="G10331" t="s" s="11">
        <v>14</v>
      </c>
      <c r="H10331" t="s" s="10">
        <v>14</v>
      </c>
      <c r="I10331" t="s" s="11">
        <v>14</v>
      </c>
      <c r="J10331" t="s" s="11">
        <v>14</v>
      </c>
      <c r="K10331" t="s" s="12">
        <v>14</v>
      </c>
      <c r="L10331" t="s" s="12">
        <v>14</v>
      </c>
      <c r="M10331" t="s" s="10">
        <v>14</v>
      </c>
      <c r="N10331" t="s" s="11">
        <v>14</v>
      </c>
      <c r="O10331" t="s" s="8">
        <v>14</v>
      </c>
      <c r="P10331" t="s" s="8">
        <v>14</v>
      </c>
      <c r="Q10331" t="s" s="12">
        <v>14</v>
      </c>
      <c r="R10331" t="s" s="12">
        <v>14</v>
      </c>
    </row>
    <row r="10332" s="2" customFormat="1" ht="13.5" customHeight="1">
      <c r="B10332" s="13"/>
      <c r="C10332" t="s" s="9">
        <v>16</v>
      </c>
      <c r="D10332" t="s" s="8">
        <v>3871</v>
      </c>
      <c r="E10332" t="s" s="9">
        <v>3871</v>
      </c>
      <c r="F10332" t="s" s="10">
        <v>152</v>
      </c>
      <c r="G10332" s="14"/>
      <c r="H10332" t="s" s="10">
        <v>220</v>
      </c>
      <c r="I10332" s="14"/>
      <c r="J10332" t="s" s="11">
        <v>20</v>
      </c>
      <c r="K10332" t="s" s="16">
        <f>HYPERLINK("http://csr.bu.edu/ftp/asl/asllvd/demos/verify_start_end_handshape_annotations//test_auto_move//signs_mov/4266.mov","MOV")</f>
        <v>21</v>
      </c>
      <c r="L10332" t="s" s="16">
        <f>HYPERLINK("http://csr.bu.edu/ftp/asl/asllvd/demos/verify_start_end_handshape_annotations//test_auto_move//signs_mov_separ_signers/Liz_4266.mov","MOV")</f>
        <v>21</v>
      </c>
      <c r="M10332" t="s" s="10">
        <v>77</v>
      </c>
      <c r="N10332" s="17">
        <v>25</v>
      </c>
      <c r="O10332" s="18">
        <v>905</v>
      </c>
      <c r="P10332" s="18">
        <v>976</v>
      </c>
      <c r="Q10332" t="s" s="16">
        <f>HYPERLINK("http://secrets.rutgers.edu:8080/data/asl-ftp/asllvd/demos/verify_start_end_handshape_annotations//test_auto_move//signs_mov/4266.mov","MOV")</f>
        <v>21</v>
      </c>
      <c r="R10332" t="s" s="16">
        <f>HYPERLINK("http://secrets.rutgers.edu:8080/data/asl-ftp/asllvd/demos/verify_start_end_handshape_annotations//test_auto_move//signs_mov_separ_signers/Liz_4266.mov","MOV")</f>
        <v>21</v>
      </c>
    </row>
    <row r="10333" s="2" customFormat="1" ht="13.5" customHeight="1">
      <c r="B10333" s="13"/>
      <c r="C10333" t="s" s="9">
        <v>30</v>
      </c>
      <c r="D10333" t="s" s="8">
        <v>3871</v>
      </c>
      <c r="E10333" t="s" s="9">
        <v>3871</v>
      </c>
      <c r="F10333" t="s" s="10">
        <v>55</v>
      </c>
      <c r="G10333" s="14"/>
      <c r="H10333" t="s" s="10">
        <v>220</v>
      </c>
      <c r="I10333" s="14"/>
      <c r="J10333" t="s" s="11">
        <v>20</v>
      </c>
      <c r="K10333" s="15"/>
      <c r="L10333" t="s" s="16">
        <f>HYPERLINK("http://csr.bu.edu/ftp/asl/asllvd/demos/verify_start_end_handshape_annotations//test_auto_move//signs_mov_separ_signers/Brady_4266.mov","MOV")</f>
        <v>21</v>
      </c>
      <c r="M10333" t="s" s="10">
        <v>31</v>
      </c>
      <c r="N10333" s="17">
        <v>24</v>
      </c>
      <c r="O10333" s="18">
        <v>6952</v>
      </c>
      <c r="P10333" s="18">
        <v>6978</v>
      </c>
      <c r="Q10333" s="15"/>
      <c r="R10333" t="s" s="16">
        <f>HYPERLINK("http://secrets.rutgers.edu:8080/data/asl-ftp/asllvd/demos/verify_start_end_handshape_annotations//test_auto_move//signs_mov_separ_signers/Brady_4266.mov","MOV")</f>
        <v>21</v>
      </c>
    </row>
    <row r="10334" s="2" customFormat="1" ht="13.5" customHeight="1">
      <c r="B10334" t="s" s="8">
        <v>3872</v>
      </c>
      <c r="C10334" t="s" s="9">
        <v>14</v>
      </c>
      <c r="D10334" t="s" s="8">
        <v>14</v>
      </c>
      <c r="E10334" t="s" s="9">
        <v>14</v>
      </c>
      <c r="F10334" t="s" s="10">
        <v>14</v>
      </c>
      <c r="G10334" t="s" s="11">
        <v>14</v>
      </c>
      <c r="H10334" t="s" s="10">
        <v>14</v>
      </c>
      <c r="I10334" t="s" s="11">
        <v>14</v>
      </c>
      <c r="J10334" t="s" s="11">
        <v>14</v>
      </c>
      <c r="K10334" t="s" s="12">
        <v>14</v>
      </c>
      <c r="L10334" t="s" s="12">
        <v>14</v>
      </c>
      <c r="M10334" t="s" s="10">
        <v>14</v>
      </c>
      <c r="N10334" t="s" s="11">
        <v>14</v>
      </c>
      <c r="O10334" t="s" s="8">
        <v>14</v>
      </c>
      <c r="P10334" t="s" s="8">
        <v>14</v>
      </c>
      <c r="Q10334" t="s" s="12">
        <v>14</v>
      </c>
      <c r="R10334" t="s" s="12">
        <v>14</v>
      </c>
    </row>
    <row r="10335" s="2" customFormat="1" ht="13.5" customHeight="1">
      <c r="B10335" s="13"/>
      <c r="C10335" t="s" s="9">
        <v>30</v>
      </c>
      <c r="D10335" t="s" s="8">
        <v>3872</v>
      </c>
      <c r="E10335" t="s" s="9">
        <v>3873</v>
      </c>
      <c r="F10335" t="s" s="10">
        <v>150</v>
      </c>
      <c r="G10335" s="14"/>
      <c r="H10335" t="s" s="10">
        <v>150</v>
      </c>
      <c r="I10335" s="14"/>
      <c r="J10335" t="s" s="11">
        <v>20</v>
      </c>
      <c r="K10335" t="s" s="16">
        <f>HYPERLINK("http://csr.bu.edu/ftp/asl/asllvd/demos/verify_start_end_handshape_annotations//test_auto_move//signs_mov/4267.mov","MOV")</f>
        <v>21</v>
      </c>
      <c r="L10335" t="s" s="16">
        <f>HYPERLINK("http://csr.bu.edu/ftp/asl/asllvd/demos/verify_start_end_handshape_annotations//test_auto_move//signs_mov_separ_signers/Brady_4267.mov","MOV")</f>
        <v>21</v>
      </c>
      <c r="M10335" t="s" s="10">
        <v>31</v>
      </c>
      <c r="N10335" s="17">
        <v>24</v>
      </c>
      <c r="O10335" s="18">
        <v>11936</v>
      </c>
      <c r="P10335" s="18">
        <v>11956</v>
      </c>
      <c r="Q10335" t="s" s="16">
        <f>HYPERLINK("http://secrets.rutgers.edu:8080/data/asl-ftp/asllvd/demos/verify_start_end_handshape_annotations//test_auto_move//signs_mov/4267.mov","MOV")</f>
        <v>21</v>
      </c>
      <c r="R10335" t="s" s="16">
        <f>HYPERLINK("http://secrets.rutgers.edu:8080/data/asl-ftp/asllvd/demos/verify_start_end_handshape_annotations//test_auto_move//signs_mov_separ_signers/Brady_4267.mov","MOV")</f>
        <v>21</v>
      </c>
    </row>
    <row r="10336" s="2" customFormat="1" ht="13.5" customHeight="1">
      <c r="B10336" t="s" s="8">
        <v>52</v>
      </c>
      <c r="C10336" t="s" s="9">
        <v>53</v>
      </c>
      <c r="D10336" t="s" s="8">
        <v>53</v>
      </c>
      <c r="E10336" t="s" s="9">
        <v>53</v>
      </c>
      <c r="F10336" t="s" s="10">
        <v>53</v>
      </c>
      <c r="G10336" t="s" s="11">
        <v>53</v>
      </c>
      <c r="H10336" t="s" s="10">
        <v>53</v>
      </c>
      <c r="I10336" t="s" s="11">
        <v>53</v>
      </c>
      <c r="J10336" t="s" s="11">
        <v>53</v>
      </c>
      <c r="K10336" t="s" s="12">
        <v>53</v>
      </c>
      <c r="L10336" t="s" s="12">
        <v>53</v>
      </c>
      <c r="M10336" t="s" s="10">
        <v>53</v>
      </c>
      <c r="N10336" t="s" s="11">
        <v>53</v>
      </c>
      <c r="O10336" t="s" s="8">
        <v>53</v>
      </c>
      <c r="P10336" t="s" s="8">
        <v>53</v>
      </c>
      <c r="Q10336" t="s" s="12">
        <v>53</v>
      </c>
      <c r="R10336" t="s" s="12">
        <v>53</v>
      </c>
    </row>
    <row r="10337" s="2" customFormat="1" ht="13.5" customHeight="1">
      <c r="B10337" s="13"/>
      <c r="C10337" t="s" s="9">
        <v>16</v>
      </c>
      <c r="D10337" t="s" s="8">
        <v>3872</v>
      </c>
      <c r="E10337" t="s" s="9">
        <v>3872</v>
      </c>
      <c r="F10337" t="s" s="10">
        <v>185</v>
      </c>
      <c r="G10337" s="14"/>
      <c r="H10337" t="s" s="10">
        <v>68</v>
      </c>
      <c r="I10337" s="14"/>
      <c r="J10337" t="s" s="11">
        <v>20</v>
      </c>
      <c r="K10337" t="s" s="16">
        <f>HYPERLINK("http://csr.bu.edu/ftp/asl/asllvd/demos/verify_start_end_handshape_annotations//test_auto_move//signs_mov/15005.mov","MOV")</f>
        <v>21</v>
      </c>
      <c r="L10337" t="s" s="16">
        <f>HYPERLINK("http://csr.bu.edu/ftp/asl/asllvd/demos/verify_start_end_handshape_annotations//test_auto_move//signs_mov_separ_signers/Liz_15005.mov","MOV")</f>
        <v>21</v>
      </c>
      <c r="M10337" t="s" s="10">
        <v>77</v>
      </c>
      <c r="N10337" s="17">
        <v>25</v>
      </c>
      <c r="O10337" s="18">
        <v>1090</v>
      </c>
      <c r="P10337" s="18">
        <v>1160</v>
      </c>
      <c r="Q10337" t="s" s="16">
        <f>HYPERLINK("http://secrets.rutgers.edu:8080/data/asl-ftp/asllvd/demos/verify_start_end_handshape_annotations//test_auto_move//signs_mov/15005.mov","MOV")</f>
        <v>21</v>
      </c>
      <c r="R10337" t="s" s="16">
        <f>HYPERLINK("http://secrets.rutgers.edu:8080/data/asl-ftp/asllvd/demos/verify_start_end_handshape_annotations//test_auto_move//signs_mov_separ_signers/Liz_15005.mov","MOV")</f>
        <v>21</v>
      </c>
    </row>
    <row r="10338" s="2" customFormat="1" ht="13.5" customHeight="1">
      <c r="B10338" t="s" s="8">
        <v>3874</v>
      </c>
      <c r="C10338" t="s" s="9">
        <v>14</v>
      </c>
      <c r="D10338" t="s" s="8">
        <v>14</v>
      </c>
      <c r="E10338" t="s" s="9">
        <v>14</v>
      </c>
      <c r="F10338" t="s" s="10">
        <v>14</v>
      </c>
      <c r="G10338" t="s" s="11">
        <v>14</v>
      </c>
      <c r="H10338" t="s" s="10">
        <v>14</v>
      </c>
      <c r="I10338" t="s" s="11">
        <v>14</v>
      </c>
      <c r="J10338" t="s" s="11">
        <v>14</v>
      </c>
      <c r="K10338" t="s" s="12">
        <v>14</v>
      </c>
      <c r="L10338" t="s" s="12">
        <v>14</v>
      </c>
      <c r="M10338" t="s" s="10">
        <v>14</v>
      </c>
      <c r="N10338" t="s" s="11">
        <v>14</v>
      </c>
      <c r="O10338" t="s" s="8">
        <v>14</v>
      </c>
      <c r="P10338" t="s" s="8">
        <v>14</v>
      </c>
      <c r="Q10338" t="s" s="12">
        <v>14</v>
      </c>
      <c r="R10338" t="s" s="12">
        <v>14</v>
      </c>
    </row>
    <row r="10339" s="2" customFormat="1" ht="13.5" customHeight="1">
      <c r="B10339" s="13"/>
      <c r="C10339" t="s" s="9">
        <v>16</v>
      </c>
      <c r="D10339" t="s" s="8">
        <v>3874</v>
      </c>
      <c r="E10339" t="s" s="9">
        <v>3874</v>
      </c>
      <c r="F10339" t="s" s="10">
        <v>73</v>
      </c>
      <c r="G10339" t="s" s="11">
        <v>73</v>
      </c>
      <c r="H10339" t="s" s="10">
        <v>80</v>
      </c>
      <c r="I10339" t="s" s="11">
        <v>73</v>
      </c>
      <c r="J10339" t="s" s="11">
        <v>20</v>
      </c>
      <c r="K10339" t="s" s="16">
        <f>HYPERLINK("http://csr.bu.edu/ftp/asl/asllvd/demos/verify_start_end_handshape_annotations//test_auto_move//signs_mov/4269.mov","MOV")</f>
        <v>21</v>
      </c>
      <c r="L10339" t="s" s="16">
        <f>HYPERLINK("http://csr.bu.edu/ftp/asl/asllvd/demos/verify_start_end_handshape_annotations//test_auto_move//signs_mov_separ_signers/Liz_4269.mov","MOV")</f>
        <v>21</v>
      </c>
      <c r="M10339" t="s" s="10">
        <v>77</v>
      </c>
      <c r="N10339" s="17">
        <v>25</v>
      </c>
      <c r="O10339" s="18">
        <v>1540</v>
      </c>
      <c r="P10339" s="18">
        <v>1605</v>
      </c>
      <c r="Q10339" t="s" s="16">
        <f>HYPERLINK("http://secrets.rutgers.edu:8080/data/asl-ftp/asllvd/demos/verify_start_end_handshape_annotations//test_auto_move//signs_mov/4269.mov","MOV")</f>
        <v>21</v>
      </c>
      <c r="R10339" t="s" s="16">
        <f>HYPERLINK("http://secrets.rutgers.edu:8080/data/asl-ftp/asllvd/demos/verify_start_end_handshape_annotations//test_auto_move//signs_mov_separ_signers/Liz_4269.mov","MOV")</f>
        <v>21</v>
      </c>
    </row>
    <row r="10340" s="2" customFormat="1" ht="13.5" customHeight="1">
      <c r="B10340" t="s" s="8">
        <v>52</v>
      </c>
      <c r="C10340" t="s" s="9">
        <v>53</v>
      </c>
      <c r="D10340" t="s" s="8">
        <v>53</v>
      </c>
      <c r="E10340" t="s" s="9">
        <v>53</v>
      </c>
      <c r="F10340" t="s" s="10">
        <v>53</v>
      </c>
      <c r="G10340" t="s" s="11">
        <v>53</v>
      </c>
      <c r="H10340" t="s" s="10">
        <v>53</v>
      </c>
      <c r="I10340" t="s" s="11">
        <v>53</v>
      </c>
      <c r="J10340" t="s" s="11">
        <v>53</v>
      </c>
      <c r="K10340" t="s" s="12">
        <v>53</v>
      </c>
      <c r="L10340" t="s" s="12">
        <v>53</v>
      </c>
      <c r="M10340" t="s" s="10">
        <v>53</v>
      </c>
      <c r="N10340" t="s" s="11">
        <v>53</v>
      </c>
      <c r="O10340" t="s" s="8">
        <v>53</v>
      </c>
      <c r="P10340" t="s" s="8">
        <v>53</v>
      </c>
      <c r="Q10340" t="s" s="12">
        <v>53</v>
      </c>
      <c r="R10340" t="s" s="12">
        <v>53</v>
      </c>
    </row>
    <row r="10341" s="2" customFormat="1" ht="13.5" customHeight="1">
      <c r="B10341" s="13"/>
      <c r="C10341" t="s" s="9">
        <v>30</v>
      </c>
      <c r="D10341" t="s" s="8">
        <v>3874</v>
      </c>
      <c r="E10341" t="s" s="9">
        <v>3875</v>
      </c>
      <c r="F10341" t="s" s="10">
        <v>150</v>
      </c>
      <c r="G10341" t="s" s="11">
        <v>73</v>
      </c>
      <c r="H10341" t="s" s="10">
        <v>150</v>
      </c>
      <c r="I10341" t="s" s="11">
        <v>73</v>
      </c>
      <c r="J10341" t="s" s="11">
        <v>20</v>
      </c>
      <c r="K10341" t="s" s="16">
        <f>HYPERLINK("http://csr.bu.edu/ftp/asl/asllvd/demos/verify_start_end_handshape_annotations//test_auto_move//signs_mov/5624.mov","MOV")</f>
        <v>21</v>
      </c>
      <c r="L10341" t="s" s="16">
        <f>HYPERLINK("http://csr.bu.edu/ftp/asl/asllvd/demos/verify_start_end_handshape_annotations//test_auto_move//signs_mov_separ_signers/Brady_5624.mov","MOV")</f>
        <v>21</v>
      </c>
      <c r="M10341" t="s" s="10">
        <v>31</v>
      </c>
      <c r="N10341" s="17">
        <v>24</v>
      </c>
      <c r="O10341" s="18">
        <v>13800</v>
      </c>
      <c r="P10341" s="18">
        <v>13828</v>
      </c>
      <c r="Q10341" t="s" s="16">
        <f>HYPERLINK("http://secrets.rutgers.edu:8080/data/asl-ftp/asllvd/demos/verify_start_end_handshape_annotations//test_auto_move//signs_mov/5624.mov","MOV")</f>
        <v>21</v>
      </c>
      <c r="R10341" t="s" s="16">
        <f>HYPERLINK("http://secrets.rutgers.edu:8080/data/asl-ftp/asllvd/demos/verify_start_end_handshape_annotations//test_auto_move//signs_mov_separ_signers/Brady_5624.mov","MOV")</f>
        <v>21</v>
      </c>
    </row>
    <row r="10342" s="2" customFormat="1" ht="13.5" customHeight="1">
      <c r="B10342" t="s" s="8">
        <v>3876</v>
      </c>
      <c r="C10342" t="s" s="9">
        <v>14</v>
      </c>
      <c r="D10342" t="s" s="8">
        <v>14</v>
      </c>
      <c r="E10342" t="s" s="9">
        <v>14</v>
      </c>
      <c r="F10342" t="s" s="10">
        <v>14</v>
      </c>
      <c r="G10342" t="s" s="11">
        <v>14</v>
      </c>
      <c r="H10342" t="s" s="10">
        <v>14</v>
      </c>
      <c r="I10342" t="s" s="11">
        <v>14</v>
      </c>
      <c r="J10342" t="s" s="11">
        <v>14</v>
      </c>
      <c r="K10342" t="s" s="12">
        <v>14</v>
      </c>
      <c r="L10342" t="s" s="12">
        <v>14</v>
      </c>
      <c r="M10342" t="s" s="10">
        <v>14</v>
      </c>
      <c r="N10342" t="s" s="11">
        <v>14</v>
      </c>
      <c r="O10342" t="s" s="8">
        <v>14</v>
      </c>
      <c r="P10342" t="s" s="8">
        <v>14</v>
      </c>
      <c r="Q10342" t="s" s="12">
        <v>14</v>
      </c>
      <c r="R10342" t="s" s="12">
        <v>14</v>
      </c>
    </row>
    <row r="10343" s="2" customFormat="1" ht="13.5" customHeight="1">
      <c r="B10343" s="13"/>
      <c r="C10343" t="s" s="9">
        <v>16</v>
      </c>
      <c r="D10343" t="s" s="8">
        <v>3876</v>
      </c>
      <c r="E10343" t="s" s="9">
        <v>3876</v>
      </c>
      <c r="F10343" s="19">
        <v>5</v>
      </c>
      <c r="G10343" s="17">
        <v>5</v>
      </c>
      <c r="H10343" s="19">
        <v>5</v>
      </c>
      <c r="I10343" s="17">
        <v>5</v>
      </c>
      <c r="J10343" t="s" s="11">
        <v>20</v>
      </c>
      <c r="K10343" s="15"/>
      <c r="L10343" t="s" s="16">
        <f>HYPERLINK("http://csr.bu.edu/ftp/asl/asllvd/demos/verify_start_end_handshape_annotations//test_auto_move//signs_mov_separ_signers/Liz_4270.mov","MOV")</f>
        <v>21</v>
      </c>
      <c r="M10343" t="s" s="10">
        <v>77</v>
      </c>
      <c r="N10343" s="17">
        <v>25</v>
      </c>
      <c r="O10343" s="18">
        <v>1710</v>
      </c>
      <c r="P10343" s="18">
        <v>1795</v>
      </c>
      <c r="Q10343" s="15"/>
      <c r="R10343" t="s" s="16">
        <f>HYPERLINK("http://secrets.rutgers.edu:8080/data/asl-ftp/asllvd/demos/verify_start_end_handshape_annotations//test_auto_move//signs_mov_separ_signers/Liz_4270.mov","MOV")</f>
        <v>21</v>
      </c>
    </row>
    <row r="10344" s="2" customFormat="1" ht="13.5" customHeight="1">
      <c r="B10344" s="13"/>
      <c r="C10344" t="s" s="9">
        <v>30</v>
      </c>
      <c r="D10344" t="s" s="8">
        <v>3876</v>
      </c>
      <c r="E10344" t="s" s="9">
        <v>3876</v>
      </c>
      <c r="F10344" s="19">
        <v>5</v>
      </c>
      <c r="G10344" s="17">
        <v>5</v>
      </c>
      <c r="H10344" s="19">
        <v>5</v>
      </c>
      <c r="I10344" s="17">
        <v>5</v>
      </c>
      <c r="J10344" t="s" s="11">
        <v>20</v>
      </c>
      <c r="K10344" t="s" s="16">
        <f>HYPERLINK("http://csr.bu.edu/ftp/asl/asllvd/demos/verify_start_end_handshape_annotations//test_auto_move//signs_mov/4270_5010_merged.mov","MOV")</f>
        <v>21</v>
      </c>
      <c r="L10344" t="s" s="16">
        <f>HYPERLINK("http://csr.bu.edu/ftp/asl/asllvd/demos/verify_start_end_handshape_annotations//test_auto_move//signs_mov_separ_signers/Brady_4270.mov","MOV")</f>
        <v>21</v>
      </c>
      <c r="M10344" t="s" s="10">
        <v>31</v>
      </c>
      <c r="N10344" s="17">
        <v>25</v>
      </c>
      <c r="O10344" s="18">
        <v>164</v>
      </c>
      <c r="P10344" s="18">
        <v>200</v>
      </c>
      <c r="Q10344" t="s" s="16">
        <f>HYPERLINK("http://secrets.rutgers.edu:8080/data/asl-ftp/asllvd/demos/verify_start_end_handshape_annotations//test_auto_move//signs_mov/4270_5010_merged.mov","MOV")</f>
        <v>21</v>
      </c>
      <c r="R10344" t="s" s="16">
        <f>HYPERLINK("http://secrets.rutgers.edu:8080/data/asl-ftp/asllvd/demos/verify_start_end_handshape_annotations//test_auto_move//signs_mov_separ_signers/Brady_4270.mov","MOV")</f>
        <v>21</v>
      </c>
    </row>
    <row r="10345" s="2" customFormat="1" ht="13.5" customHeight="1">
      <c r="B10345" s="13"/>
      <c r="C10345" t="s" s="9">
        <v>30</v>
      </c>
      <c r="D10345" t="s" s="8">
        <v>3876</v>
      </c>
      <c r="E10345" t="s" s="9">
        <v>3876</v>
      </c>
      <c r="F10345" s="19">
        <v>5</v>
      </c>
      <c r="G10345" s="17">
        <v>5</v>
      </c>
      <c r="H10345" s="19">
        <v>5</v>
      </c>
      <c r="I10345" s="17">
        <v>5</v>
      </c>
      <c r="J10345" t="s" s="11">
        <v>20</v>
      </c>
      <c r="K10345" s="15"/>
      <c r="L10345" t="s" s="16">
        <f>HYPERLINK("http://csr.bu.edu/ftp/asl/asllvd/demos/verify_start_end_handshape_annotations//test_auto_move//signs_mov_separ_signers/Brady_5010.mov","MOV")</f>
        <v>21</v>
      </c>
      <c r="M10345" t="s" s="10">
        <v>31</v>
      </c>
      <c r="N10345" s="17">
        <v>25</v>
      </c>
      <c r="O10345" s="18">
        <v>1284</v>
      </c>
      <c r="P10345" s="18">
        <v>1304</v>
      </c>
      <c r="Q10345" s="15"/>
      <c r="R10345" t="s" s="16">
        <f>HYPERLINK("http://secrets.rutgers.edu:8080/data/asl-ftp/asllvd/demos/verify_start_end_handshape_annotations//test_auto_move//signs_mov_separ_signers/Brady_5010.mov","MOV")</f>
        <v>21</v>
      </c>
    </row>
    <row r="10346" s="2" customFormat="1" ht="13.5" customHeight="1">
      <c r="B10346" t="s" s="8">
        <v>3877</v>
      </c>
      <c r="C10346" t="s" s="9">
        <v>14</v>
      </c>
      <c r="D10346" t="s" s="8">
        <v>14</v>
      </c>
      <c r="E10346" t="s" s="9">
        <v>14</v>
      </c>
      <c r="F10346" t="s" s="10">
        <v>14</v>
      </c>
      <c r="G10346" t="s" s="11">
        <v>14</v>
      </c>
      <c r="H10346" t="s" s="10">
        <v>14</v>
      </c>
      <c r="I10346" t="s" s="11">
        <v>14</v>
      </c>
      <c r="J10346" t="s" s="11">
        <v>14</v>
      </c>
      <c r="K10346" t="s" s="12">
        <v>14</v>
      </c>
      <c r="L10346" t="s" s="12">
        <v>14</v>
      </c>
      <c r="M10346" t="s" s="10">
        <v>14</v>
      </c>
      <c r="N10346" t="s" s="11">
        <v>14</v>
      </c>
      <c r="O10346" t="s" s="8">
        <v>14</v>
      </c>
      <c r="P10346" t="s" s="8">
        <v>14</v>
      </c>
      <c r="Q10346" t="s" s="12">
        <v>14</v>
      </c>
      <c r="R10346" t="s" s="12">
        <v>14</v>
      </c>
    </row>
    <row r="10347" s="2" customFormat="1" ht="13.5" customHeight="1">
      <c r="B10347" s="13"/>
      <c r="C10347" t="s" s="9">
        <v>16</v>
      </c>
      <c r="D10347" t="s" s="8">
        <v>3877</v>
      </c>
      <c r="E10347" t="s" s="9">
        <v>3877</v>
      </c>
      <c r="F10347" s="19">
        <v>1</v>
      </c>
      <c r="G10347" s="17">
        <v>1</v>
      </c>
      <c r="H10347" t="s" s="10">
        <v>255</v>
      </c>
      <c r="I10347" t="s" s="11">
        <v>255</v>
      </c>
      <c r="J10347" t="s" s="11">
        <v>20</v>
      </c>
      <c r="K10347" t="s" s="16">
        <f>HYPERLINK("http://csr.bu.edu/ftp/asl/asllvd/demos/verify_start_end_handshape_annotations//test_auto_move//signs_mov/4277.mov","MOV")</f>
        <v>21</v>
      </c>
      <c r="L10347" t="s" s="16">
        <f>HYPERLINK("http://csr.bu.edu/ftp/asl/asllvd/demos/verify_start_end_handshape_annotations//test_auto_move//signs_mov_separ_signers/Liz_4277.mov","MOV")</f>
        <v>21</v>
      </c>
      <c r="M10347" t="s" s="10">
        <v>77</v>
      </c>
      <c r="N10347" s="17">
        <v>26</v>
      </c>
      <c r="O10347" s="18">
        <v>990</v>
      </c>
      <c r="P10347" s="18">
        <v>1045</v>
      </c>
      <c r="Q10347" t="s" s="16">
        <f>HYPERLINK("http://secrets.rutgers.edu:8080/data/asl-ftp/asllvd/demos/verify_start_end_handshape_annotations//test_auto_move//signs_mov/4277.mov","MOV")</f>
        <v>21</v>
      </c>
      <c r="R10347" t="s" s="16">
        <f>HYPERLINK("http://secrets.rutgers.edu:8080/data/asl-ftp/asllvd/demos/verify_start_end_handshape_annotations//test_auto_move//signs_mov_separ_signers/Liz_4277.mov","MOV")</f>
        <v>21</v>
      </c>
    </row>
    <row r="10348" s="2" customFormat="1" ht="13.5" customHeight="1">
      <c r="B10348" s="13"/>
      <c r="C10348" t="s" s="9">
        <v>30</v>
      </c>
      <c r="D10348" t="s" s="8">
        <v>3877</v>
      </c>
      <c r="E10348" t="s" s="9">
        <v>3877</v>
      </c>
      <c r="F10348" s="19">
        <v>1</v>
      </c>
      <c r="G10348" s="17">
        <v>1</v>
      </c>
      <c r="H10348" t="s" s="10">
        <v>255</v>
      </c>
      <c r="I10348" t="s" s="11">
        <v>255</v>
      </c>
      <c r="J10348" t="s" s="11">
        <v>20</v>
      </c>
      <c r="K10348" s="15"/>
      <c r="L10348" t="s" s="16">
        <f>HYPERLINK("http://csr.bu.edu/ftp/asl/asllvd/demos/verify_start_end_handshape_annotations//test_auto_move//signs_mov_separ_signers/Brady_4277.mov","MOV")</f>
        <v>21</v>
      </c>
      <c r="M10348" t="s" s="10">
        <v>31</v>
      </c>
      <c r="N10348" s="17">
        <v>29</v>
      </c>
      <c r="O10348" s="18">
        <v>6614</v>
      </c>
      <c r="P10348" s="18">
        <v>6640</v>
      </c>
      <c r="Q10348" s="15"/>
      <c r="R10348" t="s" s="16">
        <f>HYPERLINK("http://secrets.rutgers.edu:8080/data/asl-ftp/asllvd/demos/verify_start_end_handshape_annotations//test_auto_move//signs_mov_separ_signers/Brady_4277.mov","MOV")</f>
        <v>21</v>
      </c>
    </row>
    <row r="10349" s="2" customFormat="1" ht="13.5" customHeight="1">
      <c r="B10349" t="s" s="8">
        <v>3878</v>
      </c>
      <c r="C10349" t="s" s="9">
        <v>14</v>
      </c>
      <c r="D10349" t="s" s="8">
        <v>14</v>
      </c>
      <c r="E10349" t="s" s="9">
        <v>14</v>
      </c>
      <c r="F10349" t="s" s="10">
        <v>14</v>
      </c>
      <c r="G10349" t="s" s="11">
        <v>14</v>
      </c>
      <c r="H10349" t="s" s="10">
        <v>14</v>
      </c>
      <c r="I10349" t="s" s="11">
        <v>14</v>
      </c>
      <c r="J10349" t="s" s="11">
        <v>14</v>
      </c>
      <c r="K10349" t="s" s="12">
        <v>14</v>
      </c>
      <c r="L10349" t="s" s="12">
        <v>14</v>
      </c>
      <c r="M10349" t="s" s="10">
        <v>14</v>
      </c>
      <c r="N10349" t="s" s="11">
        <v>14</v>
      </c>
      <c r="O10349" t="s" s="8">
        <v>14</v>
      </c>
      <c r="P10349" t="s" s="8">
        <v>14</v>
      </c>
      <c r="Q10349" t="s" s="12">
        <v>14</v>
      </c>
      <c r="R10349" t="s" s="12">
        <v>14</v>
      </c>
    </row>
    <row r="10350" s="2" customFormat="1" ht="13.5" customHeight="1">
      <c r="B10350" s="13"/>
      <c r="C10350" t="s" s="9">
        <v>16</v>
      </c>
      <c r="D10350" t="s" s="8">
        <v>3878</v>
      </c>
      <c r="E10350" t="s" s="9">
        <v>3878</v>
      </c>
      <c r="F10350" t="s" s="10">
        <v>185</v>
      </c>
      <c r="G10350" t="s" s="11">
        <v>185</v>
      </c>
      <c r="H10350" t="s" s="10">
        <v>185</v>
      </c>
      <c r="I10350" t="s" s="11">
        <v>185</v>
      </c>
      <c r="J10350" t="s" s="11">
        <v>20</v>
      </c>
      <c r="K10350" t="s" s="16">
        <f>HYPERLINK("http://csr.bu.edu/ftp/asl/asllvd/demos/verify_start_end_handshape_annotations//test_auto_move//signs_mov/4287.mov","MOV")</f>
        <v>21</v>
      </c>
      <c r="L10350" t="s" s="16">
        <f>HYPERLINK("http://csr.bu.edu/ftp/asl/asllvd/demos/verify_start_end_handshape_annotations//test_auto_move//signs_mov_separ_signers/Liz_4287.mov","MOV")</f>
        <v>21</v>
      </c>
      <c r="M10350" t="s" s="10">
        <v>77</v>
      </c>
      <c r="N10350" s="17">
        <v>27</v>
      </c>
      <c r="O10350" s="18">
        <v>295</v>
      </c>
      <c r="P10350" s="18">
        <v>355</v>
      </c>
      <c r="Q10350" t="s" s="16">
        <f>HYPERLINK("http://secrets.rutgers.edu:8080/data/asl-ftp/asllvd/demos/verify_start_end_handshape_annotations//test_auto_move//signs_mov/4287.mov","MOV")</f>
        <v>21</v>
      </c>
      <c r="R10350" t="s" s="16">
        <f>HYPERLINK("http://secrets.rutgers.edu:8080/data/asl-ftp/asllvd/demos/verify_start_end_handshape_annotations//test_auto_move//signs_mov_separ_signers/Liz_4287.mov","MOV")</f>
        <v>21</v>
      </c>
    </row>
    <row r="10351" s="2" customFormat="1" ht="13.5" customHeight="1">
      <c r="B10351" s="13"/>
      <c r="C10351" t="s" s="9">
        <v>30</v>
      </c>
      <c r="D10351" t="s" s="8">
        <v>3878</v>
      </c>
      <c r="E10351" t="s" s="9">
        <v>3878</v>
      </c>
      <c r="F10351" t="s" s="10">
        <v>185</v>
      </c>
      <c r="G10351" t="s" s="11">
        <v>185</v>
      </c>
      <c r="H10351" t="s" s="10">
        <v>185</v>
      </c>
      <c r="I10351" t="s" s="11">
        <v>185</v>
      </c>
      <c r="J10351" t="s" s="11">
        <v>20</v>
      </c>
      <c r="K10351" s="15"/>
      <c r="L10351" t="s" s="16">
        <f>HYPERLINK("http://csr.bu.edu/ftp/asl/asllvd/demos/verify_start_end_handshape_annotations//test_auto_move//signs_mov_separ_signers/Brady_4287.mov","MOV")</f>
        <v>21</v>
      </c>
      <c r="M10351" t="s" s="10">
        <v>31</v>
      </c>
      <c r="N10351" s="17">
        <v>32</v>
      </c>
      <c r="O10351" s="18">
        <v>1579</v>
      </c>
      <c r="P10351" s="18">
        <v>1599</v>
      </c>
      <c r="Q10351" s="15"/>
      <c r="R10351" t="s" s="16">
        <f>HYPERLINK("http://secrets.rutgers.edu:8080/data/asl-ftp/asllvd/demos/verify_start_end_handshape_annotations//test_auto_move//signs_mov_separ_signers/Brady_4287.mov","MOV")</f>
        <v>21</v>
      </c>
    </row>
    <row r="10352" s="2" customFormat="1" ht="13.5" customHeight="1">
      <c r="B10352" t="s" s="8">
        <v>3879</v>
      </c>
      <c r="C10352" t="s" s="9">
        <v>14</v>
      </c>
      <c r="D10352" t="s" s="8">
        <v>14</v>
      </c>
      <c r="E10352" t="s" s="9">
        <v>14</v>
      </c>
      <c r="F10352" t="s" s="10">
        <v>14</v>
      </c>
      <c r="G10352" t="s" s="11">
        <v>14</v>
      </c>
      <c r="H10352" t="s" s="10">
        <v>14</v>
      </c>
      <c r="I10352" t="s" s="11">
        <v>14</v>
      </c>
      <c r="J10352" t="s" s="11">
        <v>14</v>
      </c>
      <c r="K10352" t="s" s="12">
        <v>14</v>
      </c>
      <c r="L10352" t="s" s="12">
        <v>14</v>
      </c>
      <c r="M10352" t="s" s="10">
        <v>14</v>
      </c>
      <c r="N10352" t="s" s="11">
        <v>14</v>
      </c>
      <c r="O10352" t="s" s="8">
        <v>14</v>
      </c>
      <c r="P10352" t="s" s="8">
        <v>14</v>
      </c>
      <c r="Q10352" t="s" s="12">
        <v>14</v>
      </c>
      <c r="R10352" t="s" s="12">
        <v>14</v>
      </c>
    </row>
    <row r="10353" s="2" customFormat="1" ht="13.5" customHeight="1">
      <c r="B10353" s="13"/>
      <c r="C10353" t="s" s="9">
        <v>16</v>
      </c>
      <c r="D10353" t="s" s="8">
        <v>3879</v>
      </c>
      <c r="E10353" t="s" s="9">
        <v>3879</v>
      </c>
      <c r="F10353" s="19">
        <v>1</v>
      </c>
      <c r="G10353" s="14"/>
      <c r="H10353" s="19">
        <v>1</v>
      </c>
      <c r="I10353" s="14"/>
      <c r="J10353" t="s" s="11">
        <v>20</v>
      </c>
      <c r="K10353" t="s" s="16">
        <f>HYPERLINK("http://csr.bu.edu/ftp/asl/asllvd/demos/verify_start_end_handshape_annotations//test_auto_move//signs_mov/4301.mov","MOV")</f>
        <v>21</v>
      </c>
      <c r="L10353" t="s" s="16">
        <f>HYPERLINK("http://csr.bu.edu/ftp/asl/asllvd/demos/verify_start_end_handshape_annotations//test_auto_move//signs_mov_separ_signers/Liz_4301.mov","MOV")</f>
        <v>21</v>
      </c>
      <c r="M10353" t="s" s="10">
        <v>77</v>
      </c>
      <c r="N10353" s="17">
        <v>28</v>
      </c>
      <c r="O10353" s="18">
        <v>1315</v>
      </c>
      <c r="P10353" s="18">
        <v>1350</v>
      </c>
      <c r="Q10353" t="s" s="16">
        <f>HYPERLINK("http://secrets.rutgers.edu:8080/data/asl-ftp/asllvd/demos/verify_start_end_handshape_annotations//test_auto_move//signs_mov/4301.mov","MOV")</f>
        <v>21</v>
      </c>
      <c r="R10353" t="s" s="16">
        <f>HYPERLINK("http://secrets.rutgers.edu:8080/data/asl-ftp/asllvd/demos/verify_start_end_handshape_annotations//test_auto_move//signs_mov_separ_signers/Liz_4301.mov","MOV")</f>
        <v>21</v>
      </c>
    </row>
    <row r="10354" s="2" customFormat="1" ht="13.5" customHeight="1">
      <c r="B10354" t="s" s="8">
        <v>3880</v>
      </c>
      <c r="C10354" t="s" s="9">
        <v>14</v>
      </c>
      <c r="D10354" t="s" s="8">
        <v>14</v>
      </c>
      <c r="E10354" t="s" s="9">
        <v>14</v>
      </c>
      <c r="F10354" t="s" s="10">
        <v>14</v>
      </c>
      <c r="G10354" t="s" s="11">
        <v>14</v>
      </c>
      <c r="H10354" t="s" s="10">
        <v>14</v>
      </c>
      <c r="I10354" t="s" s="11">
        <v>14</v>
      </c>
      <c r="J10354" t="s" s="11">
        <v>14</v>
      </c>
      <c r="K10354" t="s" s="12">
        <v>14</v>
      </c>
      <c r="L10354" t="s" s="12">
        <v>14</v>
      </c>
      <c r="M10354" t="s" s="10">
        <v>14</v>
      </c>
      <c r="N10354" t="s" s="11">
        <v>14</v>
      </c>
      <c r="O10354" t="s" s="8">
        <v>14</v>
      </c>
      <c r="P10354" t="s" s="8">
        <v>14</v>
      </c>
      <c r="Q10354" t="s" s="12">
        <v>14</v>
      </c>
      <c r="R10354" t="s" s="12">
        <v>14</v>
      </c>
    </row>
    <row r="10355" s="2" customFormat="1" ht="13.5" customHeight="1">
      <c r="B10355" s="13"/>
      <c r="C10355" t="s" s="9">
        <v>30</v>
      </c>
      <c r="D10355" t="s" s="8">
        <v>3880</v>
      </c>
      <c r="E10355" t="s" s="9">
        <v>3880</v>
      </c>
      <c r="F10355" t="s" s="10">
        <v>282</v>
      </c>
      <c r="G10355" s="14"/>
      <c r="H10355" t="s" s="10">
        <v>251</v>
      </c>
      <c r="I10355" s="14"/>
      <c r="J10355" t="s" s="11">
        <v>20</v>
      </c>
      <c r="K10355" t="s" s="16">
        <f>HYPERLINK("http://csr.bu.edu/ftp/asl/asllvd/demos/verify_start_end_handshape_annotations//test_auto_move//signs_mov/15069.mov","MOV")</f>
        <v>21</v>
      </c>
      <c r="L10355" t="s" s="16">
        <f>HYPERLINK("http://csr.bu.edu/ftp/asl/asllvd/demos/verify_start_end_handshape_annotations//test_auto_move//signs_mov_separ_signers/Brady_15069.mov","MOV")</f>
        <v>21</v>
      </c>
      <c r="M10355" t="s" s="10">
        <v>39</v>
      </c>
      <c r="N10355" s="17">
        <v>17</v>
      </c>
      <c r="O10355" s="18">
        <v>1408</v>
      </c>
      <c r="P10355" s="18">
        <v>1446</v>
      </c>
      <c r="Q10355" t="s" s="16">
        <f>HYPERLINK("http://secrets.rutgers.edu:8080/data/asl-ftp/asllvd/demos/verify_start_end_handshape_annotations//test_auto_move//signs_mov/15069.mov","MOV")</f>
        <v>21</v>
      </c>
      <c r="R10355" t="s" s="16">
        <f>HYPERLINK("http://secrets.rutgers.edu:8080/data/asl-ftp/asllvd/demos/verify_start_end_handshape_annotations//test_auto_move//signs_mov_separ_signers/Brady_15069.mov","MOV")</f>
        <v>21</v>
      </c>
    </row>
    <row r="10356" s="2" customFormat="1" ht="13.5" customHeight="1">
      <c r="B10356" t="s" s="8">
        <v>3881</v>
      </c>
      <c r="C10356" t="s" s="9">
        <v>14</v>
      </c>
      <c r="D10356" t="s" s="8">
        <v>14</v>
      </c>
      <c r="E10356" t="s" s="9">
        <v>14</v>
      </c>
      <c r="F10356" t="s" s="10">
        <v>14</v>
      </c>
      <c r="G10356" t="s" s="11">
        <v>14</v>
      </c>
      <c r="H10356" t="s" s="10">
        <v>14</v>
      </c>
      <c r="I10356" t="s" s="11">
        <v>14</v>
      </c>
      <c r="J10356" t="s" s="11">
        <v>14</v>
      </c>
      <c r="K10356" t="s" s="12">
        <v>14</v>
      </c>
      <c r="L10356" t="s" s="12">
        <v>14</v>
      </c>
      <c r="M10356" t="s" s="10">
        <v>14</v>
      </c>
      <c r="N10356" t="s" s="11">
        <v>14</v>
      </c>
      <c r="O10356" t="s" s="8">
        <v>14</v>
      </c>
      <c r="P10356" t="s" s="8">
        <v>14</v>
      </c>
      <c r="Q10356" t="s" s="12">
        <v>14</v>
      </c>
      <c r="R10356" t="s" s="12">
        <v>14</v>
      </c>
    </row>
    <row r="10357" s="2" customFormat="1" ht="13.5" customHeight="1">
      <c r="B10357" s="13"/>
      <c r="C10357" t="s" s="9">
        <v>30</v>
      </c>
      <c r="D10357" t="s" s="8">
        <v>3881</v>
      </c>
      <c r="E10357" t="s" s="9">
        <v>3881</v>
      </c>
      <c r="F10357" t="s" s="10">
        <v>282</v>
      </c>
      <c r="G10357" t="s" s="11">
        <v>268</v>
      </c>
      <c r="H10357" t="s" s="10">
        <v>282</v>
      </c>
      <c r="I10357" t="s" s="11">
        <v>268</v>
      </c>
      <c r="J10357" t="s" s="11">
        <v>20</v>
      </c>
      <c r="K10357" t="s" s="16">
        <f>HYPERLINK("http://csr.bu.edu/ftp/asl/asllvd/demos/verify_start_end_handshape_annotations//test_auto_move//signs_mov/4310.mov","MOV")</f>
        <v>21</v>
      </c>
      <c r="L10357" t="s" s="16">
        <f>HYPERLINK("http://csr.bu.edu/ftp/asl/asllvd/demos/verify_start_end_handshape_annotations//test_auto_move//signs_mov_separ_signers/Brady_4310.mov","MOV")</f>
        <v>21</v>
      </c>
      <c r="M10357" t="s" s="10">
        <v>39</v>
      </c>
      <c r="N10357" s="17">
        <v>22</v>
      </c>
      <c r="O10357" s="18">
        <v>5286</v>
      </c>
      <c r="P10357" s="18">
        <v>5308</v>
      </c>
      <c r="Q10357" t="s" s="16">
        <f>HYPERLINK("http://secrets.rutgers.edu:8080/data/asl-ftp/asllvd/demos/verify_start_end_handshape_annotations//test_auto_move//signs_mov/4310.mov","MOV")</f>
        <v>21</v>
      </c>
      <c r="R10357" t="s" s="16">
        <f>HYPERLINK("http://secrets.rutgers.edu:8080/data/asl-ftp/asllvd/demos/verify_start_end_handshape_annotations//test_auto_move//signs_mov_separ_signers/Brady_4310.mov","MOV")</f>
        <v>21</v>
      </c>
    </row>
    <row r="10358" s="2" customFormat="1" ht="13.5" customHeight="1">
      <c r="B10358" t="s" s="8">
        <v>52</v>
      </c>
      <c r="C10358" t="s" s="9">
        <v>53</v>
      </c>
      <c r="D10358" t="s" s="8">
        <v>53</v>
      </c>
      <c r="E10358" t="s" s="9">
        <v>53</v>
      </c>
      <c r="F10358" t="s" s="10">
        <v>53</v>
      </c>
      <c r="G10358" t="s" s="11">
        <v>53</v>
      </c>
      <c r="H10358" t="s" s="10">
        <v>53</v>
      </c>
      <c r="I10358" t="s" s="11">
        <v>53</v>
      </c>
      <c r="J10358" t="s" s="11">
        <v>53</v>
      </c>
      <c r="K10358" t="s" s="12">
        <v>53</v>
      </c>
      <c r="L10358" t="s" s="12">
        <v>53</v>
      </c>
      <c r="M10358" t="s" s="10">
        <v>53</v>
      </c>
      <c r="N10358" t="s" s="11">
        <v>53</v>
      </c>
      <c r="O10358" t="s" s="8">
        <v>53</v>
      </c>
      <c r="P10358" t="s" s="8">
        <v>53</v>
      </c>
      <c r="Q10358" t="s" s="12">
        <v>53</v>
      </c>
      <c r="R10358" t="s" s="12">
        <v>53</v>
      </c>
    </row>
    <row r="10359" s="2" customFormat="1" ht="13.5" customHeight="1">
      <c r="B10359" s="13"/>
      <c r="C10359" t="s" s="9">
        <v>16</v>
      </c>
      <c r="D10359" t="s" s="8">
        <v>3881</v>
      </c>
      <c r="E10359" t="s" s="9">
        <v>3882</v>
      </c>
      <c r="F10359" t="s" s="10">
        <v>282</v>
      </c>
      <c r="G10359" s="14"/>
      <c r="H10359" t="s" s="10">
        <v>282</v>
      </c>
      <c r="I10359" s="14"/>
      <c r="J10359" t="s" s="11">
        <v>20</v>
      </c>
      <c r="K10359" t="s" s="16">
        <f>HYPERLINK("http://csr.bu.edu/ftp/asl/asllvd/demos/verify_start_end_handshape_annotations//test_auto_move//signs_mov/15234.mov","MOV")</f>
        <v>21</v>
      </c>
      <c r="L10359" t="s" s="16">
        <f>HYPERLINK("http://csr.bu.edu/ftp/asl/asllvd/demos/verify_start_end_handshape_annotations//test_auto_move//signs_mov_separ_signers/Liz_15234.mov","MOV")</f>
        <v>21</v>
      </c>
      <c r="M10359" t="s" s="10">
        <v>77</v>
      </c>
      <c r="N10359" s="17">
        <v>28</v>
      </c>
      <c r="O10359" s="18">
        <v>2997</v>
      </c>
      <c r="P10359" s="18">
        <v>3050</v>
      </c>
      <c r="Q10359" t="s" s="16">
        <f>HYPERLINK("http://secrets.rutgers.edu:8080/data/asl-ftp/asllvd/demos/verify_start_end_handshape_annotations//test_auto_move//signs_mov/15234.mov","MOV")</f>
        <v>21</v>
      </c>
      <c r="R10359" t="s" s="16">
        <f>HYPERLINK("http://secrets.rutgers.edu:8080/data/asl-ftp/asllvd/demos/verify_start_end_handshape_annotations//test_auto_move//signs_mov_separ_signers/Liz_15234.mov","MOV")</f>
        <v>21</v>
      </c>
    </row>
    <row r="10360" s="2" customFormat="1" ht="13.5" customHeight="1">
      <c r="B10360" t="s" s="8">
        <v>3883</v>
      </c>
      <c r="C10360" t="s" s="9">
        <v>14</v>
      </c>
      <c r="D10360" t="s" s="8">
        <v>14</v>
      </c>
      <c r="E10360" t="s" s="9">
        <v>14</v>
      </c>
      <c r="F10360" t="s" s="10">
        <v>14</v>
      </c>
      <c r="G10360" t="s" s="11">
        <v>14</v>
      </c>
      <c r="H10360" t="s" s="10">
        <v>14</v>
      </c>
      <c r="I10360" t="s" s="11">
        <v>14</v>
      </c>
      <c r="J10360" t="s" s="11">
        <v>14</v>
      </c>
      <c r="K10360" t="s" s="12">
        <v>14</v>
      </c>
      <c r="L10360" t="s" s="12">
        <v>14</v>
      </c>
      <c r="M10360" t="s" s="10">
        <v>14</v>
      </c>
      <c r="N10360" t="s" s="11">
        <v>14</v>
      </c>
      <c r="O10360" t="s" s="8">
        <v>14</v>
      </c>
      <c r="P10360" t="s" s="8">
        <v>14</v>
      </c>
      <c r="Q10360" t="s" s="12">
        <v>14</v>
      </c>
      <c r="R10360" t="s" s="12">
        <v>14</v>
      </c>
    </row>
    <row r="10361" s="2" customFormat="1" ht="13.5" customHeight="1">
      <c r="B10361" s="13"/>
      <c r="C10361" t="s" s="9">
        <v>16</v>
      </c>
      <c r="D10361" t="s" s="8">
        <v>3883</v>
      </c>
      <c r="E10361" t="s" s="9">
        <v>3884</v>
      </c>
      <c r="F10361" t="s" s="10">
        <v>18</v>
      </c>
      <c r="G10361" t="s" s="11">
        <v>18</v>
      </c>
      <c r="H10361" t="s" s="10">
        <v>18</v>
      </c>
      <c r="I10361" t="s" s="11">
        <v>18</v>
      </c>
      <c r="J10361" t="s" s="11">
        <v>20</v>
      </c>
      <c r="K10361" s="15"/>
      <c r="L10361" t="s" s="16">
        <f>HYPERLINK("http://csr.bu.edu/ftp/asl/asllvd/demos/verify_start_end_handshape_annotations//test_auto_move//signs_mov_separ_signers/Liz_4315.mov","MOV")</f>
        <v>21</v>
      </c>
      <c r="M10361" t="s" s="10">
        <v>88</v>
      </c>
      <c r="N10361" s="17">
        <v>41</v>
      </c>
      <c r="O10361" s="18">
        <v>516</v>
      </c>
      <c r="P10361" s="18">
        <v>571</v>
      </c>
      <c r="Q10361" s="15"/>
      <c r="R10361" t="s" s="16">
        <f>HYPERLINK("http://secrets.rutgers.edu:8080/data/asl-ftp/asllvd/demos/verify_start_end_handshape_annotations//test_auto_move//signs_mov_separ_signers/Liz_4315.mov","MOV")</f>
        <v>21</v>
      </c>
    </row>
    <row r="10362" s="2" customFormat="1" ht="13.5" customHeight="1">
      <c r="B10362" s="13"/>
      <c r="C10362" t="s" s="9">
        <v>16</v>
      </c>
      <c r="D10362" t="s" s="8">
        <v>3883</v>
      </c>
      <c r="E10362" t="s" s="9">
        <v>3883</v>
      </c>
      <c r="F10362" t="s" s="10">
        <v>18</v>
      </c>
      <c r="G10362" t="s" s="11">
        <v>18</v>
      </c>
      <c r="H10362" t="s" s="10">
        <v>18</v>
      </c>
      <c r="I10362" t="s" s="11">
        <v>18</v>
      </c>
      <c r="J10362" t="s" s="11">
        <v>20</v>
      </c>
      <c r="K10362" s="15"/>
      <c r="L10362" t="s" s="16">
        <f>HYPERLINK("http://csr.bu.edu/ftp/asl/asllvd/demos/verify_start_end_handshape_annotations//test_auto_move//signs_mov_separ_signers/Liz_3972.mov","MOV")</f>
        <v>21</v>
      </c>
      <c r="M10362" t="s" s="10">
        <v>77</v>
      </c>
      <c r="N10362" s="17">
        <v>2</v>
      </c>
      <c r="O10362" s="18">
        <v>165</v>
      </c>
      <c r="P10362" s="18">
        <v>221</v>
      </c>
      <c r="Q10362" s="15"/>
      <c r="R10362" t="s" s="16">
        <f>HYPERLINK("http://secrets.rutgers.edu:8080/data/asl-ftp/asllvd/demos/verify_start_end_handshape_annotations//test_auto_move//signs_mov_separ_signers/Liz_3972.mov","MOV")</f>
        <v>21</v>
      </c>
    </row>
    <row r="10363" s="2" customFormat="1" ht="13.5" customHeight="1">
      <c r="B10363" s="13"/>
      <c r="C10363" t="s" s="9">
        <v>16</v>
      </c>
      <c r="D10363" t="s" s="8">
        <v>3883</v>
      </c>
      <c r="E10363" t="s" s="9">
        <v>3883</v>
      </c>
      <c r="F10363" t="s" s="10">
        <v>18</v>
      </c>
      <c r="G10363" t="s" s="11">
        <v>18</v>
      </c>
      <c r="H10363" t="s" s="10">
        <v>18</v>
      </c>
      <c r="I10363" t="s" s="11">
        <v>18</v>
      </c>
      <c r="J10363" t="s" s="11">
        <v>20</v>
      </c>
      <c r="K10363" t="s" s="16">
        <f>HYPERLINK("http://csr.bu.edu/ftp/asl/asllvd/demos/verify_start_end_handshape_annotations//test_auto_move//signs_mov/3972_4315_5570_merged.mov","MOV")</f>
        <v>21</v>
      </c>
      <c r="L10363" t="s" s="16">
        <f>HYPERLINK("http://csr.bu.edu/ftp/asl/asllvd/demos/verify_start_end_handshape_annotations//test_auto_move//signs_mov_separ_signers/Liz_5570.mov","MOV")</f>
        <v>21</v>
      </c>
      <c r="M10363" t="s" s="10">
        <v>77</v>
      </c>
      <c r="N10363" s="17">
        <v>7</v>
      </c>
      <c r="O10363" s="18">
        <v>1753</v>
      </c>
      <c r="P10363" s="18">
        <v>1817</v>
      </c>
      <c r="Q10363" t="s" s="16">
        <f>HYPERLINK("http://secrets.rutgers.edu:8080/data/asl-ftp/asllvd/demos/verify_start_end_handshape_annotations//test_auto_move//signs_mov/3972_4315_5570_merged.mov","MOV")</f>
        <v>21</v>
      </c>
      <c r="R10363" t="s" s="16">
        <f>HYPERLINK("http://secrets.rutgers.edu:8080/data/asl-ftp/asllvd/demos/verify_start_end_handshape_annotations//test_auto_move//signs_mov_separ_signers/Liz_5570.mov","MOV")</f>
        <v>21</v>
      </c>
    </row>
    <row r="10364" s="2" customFormat="1" ht="13.5" customHeight="1">
      <c r="B10364" s="13"/>
      <c r="C10364" t="s" s="9">
        <v>30</v>
      </c>
      <c r="D10364" t="s" s="8">
        <v>3883</v>
      </c>
      <c r="E10364" t="s" s="9">
        <v>3883</v>
      </c>
      <c r="F10364" t="s" s="10">
        <v>18</v>
      </c>
      <c r="G10364" t="s" s="11">
        <v>18</v>
      </c>
      <c r="H10364" t="s" s="10">
        <v>18</v>
      </c>
      <c r="I10364" t="s" s="11">
        <v>18</v>
      </c>
      <c r="J10364" t="s" s="11">
        <v>20</v>
      </c>
      <c r="K10364" s="15"/>
      <c r="L10364" t="s" s="16">
        <f>HYPERLINK("http://csr.bu.edu/ftp/asl/asllvd/demos/verify_start_end_handshape_annotations//test_auto_move//signs_mov_separ_signers/Brady_4315.mov","MOV")</f>
        <v>21</v>
      </c>
      <c r="M10364" t="s" s="10">
        <v>31</v>
      </c>
      <c r="N10364" s="17">
        <v>36</v>
      </c>
      <c r="O10364" s="18">
        <v>1364</v>
      </c>
      <c r="P10364" s="18">
        <v>1384</v>
      </c>
      <c r="Q10364" s="15"/>
      <c r="R10364" t="s" s="16">
        <f>HYPERLINK("http://secrets.rutgers.edu:8080/data/asl-ftp/asllvd/demos/verify_start_end_handshape_annotations//test_auto_move//signs_mov_separ_signers/Brady_4315.mov","MOV")</f>
        <v>21</v>
      </c>
    </row>
    <row r="10365" s="2" customFormat="1" ht="13.5" customHeight="1">
      <c r="B10365" s="13"/>
      <c r="C10365" t="s" s="9">
        <v>41</v>
      </c>
      <c r="D10365" t="s" s="8">
        <v>3883</v>
      </c>
      <c r="E10365" t="s" s="9">
        <v>3883</v>
      </c>
      <c r="F10365" t="s" s="10">
        <v>18</v>
      </c>
      <c r="G10365" t="s" s="11">
        <v>18</v>
      </c>
      <c r="H10365" t="s" s="10">
        <v>18</v>
      </c>
      <c r="I10365" t="s" s="11">
        <v>18</v>
      </c>
      <c r="J10365" t="s" s="11">
        <v>20</v>
      </c>
      <c r="K10365" s="15"/>
      <c r="L10365" t="s" s="16">
        <f>HYPERLINK("http://csr.bu.edu/ftp/asl/asllvd/demos/verify_start_end_handshape_annotations//test_auto_move//signs_mov_separ_signers/Lana_4315.mov","MOV")</f>
        <v>21</v>
      </c>
      <c r="M10365" t="s" s="10">
        <v>42</v>
      </c>
      <c r="N10365" s="17">
        <v>21</v>
      </c>
      <c r="O10365" s="18">
        <v>766</v>
      </c>
      <c r="P10365" s="18">
        <v>778</v>
      </c>
      <c r="Q10365" s="15"/>
      <c r="R10365" t="s" s="16">
        <f>HYPERLINK("http://secrets.rutgers.edu:8080/data/asl-ftp/asllvd/demos/verify_start_end_handshape_annotations//test_auto_move//signs_mov_separ_signers/Lana_4315.mov","MOV")</f>
        <v>21</v>
      </c>
    </row>
    <row r="10366" s="2" customFormat="1" ht="13.5" customHeight="1">
      <c r="B10366" s="13"/>
      <c r="C10366" t="s" s="9">
        <v>43</v>
      </c>
      <c r="D10366" t="s" s="8">
        <v>3883</v>
      </c>
      <c r="E10366" t="s" s="9">
        <v>3883</v>
      </c>
      <c r="F10366" t="s" s="10">
        <v>292</v>
      </c>
      <c r="G10366" t="s" s="11">
        <v>292</v>
      </c>
      <c r="H10366" t="s" s="10">
        <v>292</v>
      </c>
      <c r="I10366" t="s" s="11">
        <v>292</v>
      </c>
      <c r="J10366" t="s" s="11">
        <v>20</v>
      </c>
      <c r="K10366" s="15"/>
      <c r="L10366" t="s" s="16">
        <f>HYPERLINK("http://csr.bu.edu/ftp/asl/asllvd/demos/verify_start_end_handshape_annotations//test_auto_move//signs_mov_separ_signers/Dana_4315.mov","MOV")</f>
        <v>21</v>
      </c>
      <c r="M10366" t="s" s="10">
        <v>44</v>
      </c>
      <c r="N10366" s="17">
        <v>23</v>
      </c>
      <c r="O10366" s="18">
        <v>703</v>
      </c>
      <c r="P10366" s="18">
        <v>718</v>
      </c>
      <c r="Q10366" s="15"/>
      <c r="R10366" t="s" s="16">
        <f>HYPERLINK("http://secrets.rutgers.edu:8080/data/asl-ftp/asllvd/demos/verify_start_end_handshape_annotations//test_auto_move//signs_mov_separ_signers/Dana_4315.mov","MOV")</f>
        <v>21</v>
      </c>
    </row>
    <row r="10367" s="2" customFormat="1" ht="13.5" customHeight="1">
      <c r="B10367" t="s" s="8">
        <v>52</v>
      </c>
      <c r="C10367" t="s" s="9">
        <v>53</v>
      </c>
      <c r="D10367" t="s" s="8">
        <v>53</v>
      </c>
      <c r="E10367" t="s" s="9">
        <v>53</v>
      </c>
      <c r="F10367" t="s" s="10">
        <v>53</v>
      </c>
      <c r="G10367" t="s" s="11">
        <v>53</v>
      </c>
      <c r="H10367" t="s" s="10">
        <v>53</v>
      </c>
      <c r="I10367" t="s" s="11">
        <v>53</v>
      </c>
      <c r="J10367" t="s" s="11">
        <v>53</v>
      </c>
      <c r="K10367" t="s" s="12">
        <v>53</v>
      </c>
      <c r="L10367" t="s" s="12">
        <v>53</v>
      </c>
      <c r="M10367" t="s" s="10">
        <v>53</v>
      </c>
      <c r="N10367" t="s" s="11">
        <v>53</v>
      </c>
      <c r="O10367" t="s" s="8">
        <v>53</v>
      </c>
      <c r="P10367" t="s" s="8">
        <v>53</v>
      </c>
      <c r="Q10367" t="s" s="12">
        <v>53</v>
      </c>
      <c r="R10367" t="s" s="12">
        <v>53</v>
      </c>
    </row>
    <row r="10368" s="2" customFormat="1" ht="13.5" customHeight="1">
      <c r="B10368" s="13"/>
      <c r="C10368" t="s" s="9">
        <v>16</v>
      </c>
      <c r="D10368" t="s" s="8">
        <v>3883</v>
      </c>
      <c r="E10368" t="s" s="9">
        <v>3885</v>
      </c>
      <c r="F10368" t="s" s="10">
        <v>18</v>
      </c>
      <c r="G10368" t="s" s="11">
        <v>18</v>
      </c>
      <c r="H10368" t="s" s="10">
        <v>18</v>
      </c>
      <c r="I10368" t="s" s="11">
        <v>18</v>
      </c>
      <c r="J10368" t="s" s="11">
        <v>20</v>
      </c>
      <c r="K10368" t="s" s="16">
        <f>HYPERLINK("http://csr.bu.edu/ftp/asl/asllvd/demos/verify_start_end_handshape_annotations//test_auto_move//signs_mov/15312.mov","MOV")</f>
        <v>21</v>
      </c>
      <c r="L10368" t="s" s="16">
        <f>HYPERLINK("http://csr.bu.edu/ftp/asl/asllvd/demos/verify_start_end_handshape_annotations//test_auto_move//signs_mov_separ_signers/Liz_15312.mov","MOV")</f>
        <v>21</v>
      </c>
      <c r="M10368" t="s" s="10">
        <v>77</v>
      </c>
      <c r="N10368" s="17">
        <v>2</v>
      </c>
      <c r="O10368" s="18">
        <v>350</v>
      </c>
      <c r="P10368" s="18">
        <v>400</v>
      </c>
      <c r="Q10368" t="s" s="16">
        <f>HYPERLINK("http://secrets.rutgers.edu:8080/data/asl-ftp/asllvd/demos/verify_start_end_handshape_annotations//test_auto_move//signs_mov/15312.mov","MOV")</f>
        <v>21</v>
      </c>
      <c r="R10368" t="s" s="16">
        <f>HYPERLINK("http://secrets.rutgers.edu:8080/data/asl-ftp/asllvd/demos/verify_start_end_handshape_annotations//test_auto_move//signs_mov_separ_signers/Liz_15312.mov","MOV")</f>
        <v>21</v>
      </c>
    </row>
    <row r="10369" s="2" customFormat="1" ht="13.5" customHeight="1">
      <c r="B10369" s="13"/>
      <c r="C10369" t="s" s="9">
        <v>30</v>
      </c>
      <c r="D10369" t="s" s="8">
        <v>3883</v>
      </c>
      <c r="E10369" t="s" s="9">
        <v>3885</v>
      </c>
      <c r="F10369" t="s" s="10">
        <v>18</v>
      </c>
      <c r="G10369" t="s" s="11">
        <v>18</v>
      </c>
      <c r="H10369" t="s" s="10">
        <v>18</v>
      </c>
      <c r="I10369" t="s" s="11">
        <v>18</v>
      </c>
      <c r="J10369" t="s" s="11">
        <v>20</v>
      </c>
      <c r="K10369" s="15"/>
      <c r="L10369" t="s" s="16">
        <f>HYPERLINK("http://csr.bu.edu/ftp/asl/asllvd/demos/verify_start_end_handshape_annotations//test_auto_move//signs_mov_separ_signers/Brady_15312.mov","MOV")</f>
        <v>21</v>
      </c>
      <c r="M10369" t="s" s="10">
        <v>31</v>
      </c>
      <c r="N10369" s="17">
        <v>36</v>
      </c>
      <c r="O10369" s="18">
        <v>1613</v>
      </c>
      <c r="P10369" s="18">
        <v>1646</v>
      </c>
      <c r="Q10369" s="15"/>
      <c r="R10369" t="s" s="16">
        <f>HYPERLINK("http://secrets.rutgers.edu:8080/data/asl-ftp/asllvd/demos/verify_start_end_handshape_annotations//test_auto_move//signs_mov_separ_signers/Brady_15312.mov","MOV")</f>
        <v>21</v>
      </c>
    </row>
    <row r="10370" s="2" customFormat="1" ht="13.5" customHeight="1">
      <c r="B10370" t="s" s="8">
        <v>3886</v>
      </c>
      <c r="C10370" t="s" s="9">
        <v>14</v>
      </c>
      <c r="D10370" t="s" s="8">
        <v>14</v>
      </c>
      <c r="E10370" t="s" s="9">
        <v>14</v>
      </c>
      <c r="F10370" t="s" s="10">
        <v>14</v>
      </c>
      <c r="G10370" t="s" s="11">
        <v>14</v>
      </c>
      <c r="H10370" t="s" s="10">
        <v>14</v>
      </c>
      <c r="I10370" t="s" s="11">
        <v>14</v>
      </c>
      <c r="J10370" t="s" s="11">
        <v>14</v>
      </c>
      <c r="K10370" t="s" s="12">
        <v>14</v>
      </c>
      <c r="L10370" t="s" s="12">
        <v>14</v>
      </c>
      <c r="M10370" t="s" s="10">
        <v>14</v>
      </c>
      <c r="N10370" t="s" s="11">
        <v>14</v>
      </c>
      <c r="O10370" t="s" s="8">
        <v>14</v>
      </c>
      <c r="P10370" t="s" s="8">
        <v>14</v>
      </c>
      <c r="Q10370" t="s" s="12">
        <v>14</v>
      </c>
      <c r="R10370" t="s" s="12">
        <v>14</v>
      </c>
    </row>
    <row r="10371" s="2" customFormat="1" ht="13.5" customHeight="1">
      <c r="B10371" s="13"/>
      <c r="C10371" t="s" s="9">
        <v>16</v>
      </c>
      <c r="D10371" t="s" s="8">
        <v>3886</v>
      </c>
      <c r="E10371" t="s" s="9">
        <v>3886</v>
      </c>
      <c r="F10371" t="s" s="10">
        <v>152</v>
      </c>
      <c r="G10371" t="s" s="11">
        <v>152</v>
      </c>
      <c r="H10371" t="s" s="10">
        <v>152</v>
      </c>
      <c r="I10371" t="s" s="11">
        <v>152</v>
      </c>
      <c r="J10371" t="s" s="11">
        <v>20</v>
      </c>
      <c r="K10371" s="15"/>
      <c r="L10371" t="s" s="16">
        <f>HYPERLINK("http://csr.bu.edu/ftp/asl/asllvd/demos/verify_start_end_handshape_annotations//test_auto_move//signs_mov_separ_signers/Liz_4317.mov","MOV")</f>
        <v>21</v>
      </c>
      <c r="M10371" t="s" s="10">
        <v>77</v>
      </c>
      <c r="N10371" s="17">
        <v>2</v>
      </c>
      <c r="O10371" s="18">
        <v>539</v>
      </c>
      <c r="P10371" s="18">
        <v>591</v>
      </c>
      <c r="Q10371" s="15"/>
      <c r="R10371" t="s" s="16">
        <f>HYPERLINK("http://secrets.rutgers.edu:8080/data/asl-ftp/asllvd/demos/verify_start_end_handshape_annotations//test_auto_move//signs_mov_separ_signers/Liz_4317.mov","MOV")</f>
        <v>21</v>
      </c>
    </row>
    <row r="10372" s="2" customFormat="1" ht="13.5" customHeight="1">
      <c r="B10372" s="13"/>
      <c r="C10372" t="s" s="9">
        <v>30</v>
      </c>
      <c r="D10372" t="s" s="8">
        <v>3886</v>
      </c>
      <c r="E10372" t="s" s="9">
        <v>3887</v>
      </c>
      <c r="F10372" t="s" s="10">
        <v>55</v>
      </c>
      <c r="G10372" t="s" s="11">
        <v>55</v>
      </c>
      <c r="H10372" t="s" s="10">
        <v>55</v>
      </c>
      <c r="I10372" t="s" s="11">
        <v>55</v>
      </c>
      <c r="J10372" t="s" s="11">
        <v>20</v>
      </c>
      <c r="K10372" t="s" s="16">
        <f>HYPERLINK("http://csr.bu.edu/ftp/asl/asllvd/demos/verify_start_end_handshape_annotations//test_auto_move//signs_mov/4317.mov","MOV")</f>
        <v>21</v>
      </c>
      <c r="L10372" t="s" s="16">
        <f>HYPERLINK("http://csr.bu.edu/ftp/asl/asllvd/demos/verify_start_end_handshape_annotations//test_auto_move//signs_mov_separ_signers/Brady_4317.mov","MOV")</f>
        <v>21</v>
      </c>
      <c r="M10372" t="s" s="10">
        <v>39</v>
      </c>
      <c r="N10372" s="17">
        <v>6</v>
      </c>
      <c r="O10372" s="18">
        <v>1146</v>
      </c>
      <c r="P10372" s="18">
        <v>1167</v>
      </c>
      <c r="Q10372" t="s" s="16">
        <f>HYPERLINK("http://secrets.rutgers.edu:8080/data/asl-ftp/asllvd/demos/verify_start_end_handshape_annotations//test_auto_move//signs_mov/4317.mov","MOV")</f>
        <v>21</v>
      </c>
      <c r="R10372" t="s" s="16">
        <f>HYPERLINK("http://secrets.rutgers.edu:8080/data/asl-ftp/asllvd/demos/verify_start_end_handshape_annotations//test_auto_move//signs_mov_separ_signers/Brady_4317.mov","MOV")</f>
        <v>21</v>
      </c>
    </row>
    <row r="10373" s="2" customFormat="1" ht="13.5" customHeight="1">
      <c r="B10373" s="13"/>
      <c r="C10373" t="s" s="9">
        <v>41</v>
      </c>
      <c r="D10373" t="s" s="8">
        <v>3886</v>
      </c>
      <c r="E10373" t="s" s="9">
        <v>3887</v>
      </c>
      <c r="F10373" t="s" s="10">
        <v>55</v>
      </c>
      <c r="G10373" t="s" s="11">
        <v>55</v>
      </c>
      <c r="H10373" t="s" s="10">
        <v>55</v>
      </c>
      <c r="I10373" t="s" s="11">
        <v>55</v>
      </c>
      <c r="J10373" t="s" s="11">
        <v>20</v>
      </c>
      <c r="K10373" s="15"/>
      <c r="L10373" t="s" s="16">
        <f>HYPERLINK("http://csr.bu.edu/ftp/asl/asllvd/demos/verify_start_end_handshape_annotations//test_auto_move//signs_mov_separ_signers/Lana_4317.mov","MOV")</f>
        <v>21</v>
      </c>
      <c r="M10373" t="s" s="10">
        <v>42</v>
      </c>
      <c r="N10373" s="17">
        <v>7</v>
      </c>
      <c r="O10373" s="18">
        <v>2779</v>
      </c>
      <c r="P10373" s="18">
        <v>2817</v>
      </c>
      <c r="Q10373" s="15"/>
      <c r="R10373" t="s" s="16">
        <f>HYPERLINK("http://secrets.rutgers.edu:8080/data/asl-ftp/asllvd/demos/verify_start_end_handshape_annotations//test_auto_move//signs_mov_separ_signers/Lana_4317.mov","MOV")</f>
        <v>21</v>
      </c>
    </row>
    <row r="10374" s="2" customFormat="1" ht="13.5" customHeight="1">
      <c r="B10374" s="13"/>
      <c r="C10374" t="s" s="9">
        <v>43</v>
      </c>
      <c r="D10374" t="s" s="8">
        <v>3886</v>
      </c>
      <c r="E10374" t="s" s="9">
        <v>3887</v>
      </c>
      <c r="F10374" t="s" s="10">
        <v>152</v>
      </c>
      <c r="G10374" t="s" s="11">
        <v>152</v>
      </c>
      <c r="H10374" t="s" s="10">
        <v>152</v>
      </c>
      <c r="I10374" t="s" s="11">
        <v>152</v>
      </c>
      <c r="J10374" t="s" s="11">
        <v>20</v>
      </c>
      <c r="K10374" s="15"/>
      <c r="L10374" t="s" s="16">
        <f>HYPERLINK("http://csr.bu.edu/ftp/asl/asllvd/demos/verify_start_end_handshape_annotations//test_auto_move//signs_mov_separ_signers/Dana_4317.mov","MOV")</f>
        <v>21</v>
      </c>
      <c r="M10374" t="s" s="10">
        <v>44</v>
      </c>
      <c r="N10374" s="17">
        <v>11</v>
      </c>
      <c r="O10374" s="18">
        <v>2980</v>
      </c>
      <c r="P10374" s="18">
        <v>3057</v>
      </c>
      <c r="Q10374" s="15"/>
      <c r="R10374" t="s" s="16">
        <f>HYPERLINK("http://secrets.rutgers.edu:8080/data/asl-ftp/asllvd/demos/verify_start_end_handshape_annotations//test_auto_move//signs_mov_separ_signers/Dana_4317.mov","MOV")</f>
        <v>21</v>
      </c>
    </row>
    <row r="10375" s="2" customFormat="1" ht="13.5" customHeight="1">
      <c r="B10375" t="s" s="8">
        <v>52</v>
      </c>
      <c r="C10375" t="s" s="9">
        <v>53</v>
      </c>
      <c r="D10375" t="s" s="8">
        <v>53</v>
      </c>
      <c r="E10375" t="s" s="9">
        <v>53</v>
      </c>
      <c r="F10375" t="s" s="10">
        <v>53</v>
      </c>
      <c r="G10375" t="s" s="11">
        <v>53</v>
      </c>
      <c r="H10375" t="s" s="10">
        <v>53</v>
      </c>
      <c r="I10375" t="s" s="11">
        <v>53</v>
      </c>
      <c r="J10375" t="s" s="11">
        <v>53</v>
      </c>
      <c r="K10375" t="s" s="12">
        <v>53</v>
      </c>
      <c r="L10375" t="s" s="12">
        <v>53</v>
      </c>
      <c r="M10375" t="s" s="10">
        <v>53</v>
      </c>
      <c r="N10375" t="s" s="11">
        <v>53</v>
      </c>
      <c r="O10375" t="s" s="8">
        <v>53</v>
      </c>
      <c r="P10375" t="s" s="8">
        <v>53</v>
      </c>
      <c r="Q10375" t="s" s="12">
        <v>53</v>
      </c>
      <c r="R10375" t="s" s="12">
        <v>53</v>
      </c>
    </row>
    <row r="10376" s="2" customFormat="1" ht="13.5" customHeight="1">
      <c r="B10376" s="13"/>
      <c r="C10376" t="s" s="9">
        <v>16</v>
      </c>
      <c r="D10376" t="s" s="8">
        <v>3886</v>
      </c>
      <c r="E10376" t="s" s="9">
        <v>3888</v>
      </c>
      <c r="F10376" t="s" s="10">
        <v>152</v>
      </c>
      <c r="G10376" t="s" s="11">
        <v>152</v>
      </c>
      <c r="H10376" t="s" s="10">
        <v>152</v>
      </c>
      <c r="I10376" t="s" s="11">
        <v>152</v>
      </c>
      <c r="J10376" t="s" s="11">
        <v>20</v>
      </c>
      <c r="K10376" t="s" s="16">
        <f>HYPERLINK("http://csr.bu.edu/ftp/asl/asllvd/demos/verify_start_end_handshape_annotations//test_auto_move//signs_mov/5571.mov","MOV")</f>
        <v>21</v>
      </c>
      <c r="L10376" t="s" s="16">
        <f>HYPERLINK("http://csr.bu.edu/ftp/asl/asllvd/demos/verify_start_end_handshape_annotations//test_auto_move//signs_mov_separ_signers/Liz_5571.mov","MOV")</f>
        <v>21</v>
      </c>
      <c r="M10376" t="s" s="10">
        <v>77</v>
      </c>
      <c r="N10376" s="17">
        <v>2</v>
      </c>
      <c r="O10376" s="18">
        <v>695</v>
      </c>
      <c r="P10376" s="18">
        <v>765</v>
      </c>
      <c r="Q10376" t="s" s="16">
        <f>HYPERLINK("http://secrets.rutgers.edu:8080/data/asl-ftp/asllvd/demos/verify_start_end_handshape_annotations//test_auto_move//signs_mov/5571.mov","MOV")</f>
        <v>21</v>
      </c>
      <c r="R10376" t="s" s="16">
        <f>HYPERLINK("http://secrets.rutgers.edu:8080/data/asl-ftp/asllvd/demos/verify_start_end_handshape_annotations//test_auto_move//signs_mov_separ_signers/Liz_5571.mov","MOV")</f>
        <v>21</v>
      </c>
    </row>
    <row r="10377" s="2" customFormat="1" ht="13.5" customHeight="1">
      <c r="B10377" s="13"/>
      <c r="C10377" t="s" s="9">
        <v>30</v>
      </c>
      <c r="D10377" t="s" s="8">
        <v>3886</v>
      </c>
      <c r="E10377" t="s" s="9">
        <v>3888</v>
      </c>
      <c r="F10377" t="s" s="10">
        <v>55</v>
      </c>
      <c r="G10377" t="s" s="11">
        <v>55</v>
      </c>
      <c r="H10377" t="s" s="10">
        <v>55</v>
      </c>
      <c r="I10377" t="s" s="11">
        <v>55</v>
      </c>
      <c r="J10377" t="s" s="11">
        <v>20</v>
      </c>
      <c r="K10377" s="15"/>
      <c r="L10377" t="s" s="16">
        <f>HYPERLINK("http://csr.bu.edu/ftp/asl/asllvd/demos/verify_start_end_handshape_annotations//test_auto_move//signs_mov_separ_signers/Brady_5571.mov","MOV")</f>
        <v>21</v>
      </c>
      <c r="M10377" t="s" s="10">
        <v>39</v>
      </c>
      <c r="N10377" s="17">
        <v>6</v>
      </c>
      <c r="O10377" s="18">
        <v>1523</v>
      </c>
      <c r="P10377" s="18">
        <v>1564</v>
      </c>
      <c r="Q10377" s="15"/>
      <c r="R10377" t="s" s="16">
        <f>HYPERLINK("http://secrets.rutgers.edu:8080/data/asl-ftp/asllvd/demos/verify_start_end_handshape_annotations//test_auto_move//signs_mov_separ_signers/Brady_5571.mov","MOV")</f>
        <v>21</v>
      </c>
    </row>
    <row r="10378" s="2" customFormat="1" ht="13.5" customHeight="1">
      <c r="B10378" t="s" s="8">
        <v>3889</v>
      </c>
      <c r="C10378" t="s" s="9">
        <v>14</v>
      </c>
      <c r="D10378" t="s" s="8">
        <v>14</v>
      </c>
      <c r="E10378" t="s" s="9">
        <v>14</v>
      </c>
      <c r="F10378" t="s" s="10">
        <v>14</v>
      </c>
      <c r="G10378" t="s" s="11">
        <v>14</v>
      </c>
      <c r="H10378" t="s" s="10">
        <v>14</v>
      </c>
      <c r="I10378" t="s" s="11">
        <v>14</v>
      </c>
      <c r="J10378" t="s" s="11">
        <v>14</v>
      </c>
      <c r="K10378" t="s" s="12">
        <v>14</v>
      </c>
      <c r="L10378" t="s" s="12">
        <v>14</v>
      </c>
      <c r="M10378" t="s" s="10">
        <v>14</v>
      </c>
      <c r="N10378" t="s" s="11">
        <v>14</v>
      </c>
      <c r="O10378" t="s" s="8">
        <v>14</v>
      </c>
      <c r="P10378" t="s" s="8">
        <v>14</v>
      </c>
      <c r="Q10378" t="s" s="12">
        <v>14</v>
      </c>
      <c r="R10378" t="s" s="12">
        <v>14</v>
      </c>
    </row>
    <row r="10379" s="2" customFormat="1" ht="13.5" customHeight="1">
      <c r="B10379" s="13"/>
      <c r="C10379" t="s" s="9">
        <v>16</v>
      </c>
      <c r="D10379" t="s" s="8">
        <v>3889</v>
      </c>
      <c r="E10379" t="s" s="9">
        <v>3889</v>
      </c>
      <c r="F10379" t="s" s="10">
        <v>240</v>
      </c>
      <c r="G10379" t="s" s="11">
        <v>240</v>
      </c>
      <c r="H10379" t="s" s="10">
        <v>240</v>
      </c>
      <c r="I10379" t="s" s="11">
        <v>240</v>
      </c>
      <c r="J10379" t="s" s="11">
        <v>20</v>
      </c>
      <c r="K10379" s="15"/>
      <c r="L10379" t="s" s="16">
        <f>HYPERLINK("http://csr.bu.edu/ftp/asl/asllvd/demos/verify_start_end_handshape_annotations//test_auto_move//signs_mov_separ_signers/Liz_4319.mov","MOV")</f>
        <v>21</v>
      </c>
      <c r="M10379" t="s" s="10">
        <v>77</v>
      </c>
      <c r="N10379" s="17">
        <v>2</v>
      </c>
      <c r="O10379" s="18">
        <v>892</v>
      </c>
      <c r="P10379" s="18">
        <v>925</v>
      </c>
      <c r="Q10379" s="15"/>
      <c r="R10379" t="s" s="16">
        <f>HYPERLINK("http://secrets.rutgers.edu:8080/data/asl-ftp/asllvd/demos/verify_start_end_handshape_annotations//test_auto_move//signs_mov_separ_signers/Liz_4319.mov","MOV")</f>
        <v>21</v>
      </c>
    </row>
    <row r="10380" s="2" customFormat="1" ht="13.5" customHeight="1">
      <c r="B10380" s="13"/>
      <c r="C10380" t="s" s="9">
        <v>30</v>
      </c>
      <c r="D10380" t="s" s="8">
        <v>3889</v>
      </c>
      <c r="E10380" t="s" s="9">
        <v>3890</v>
      </c>
      <c r="F10380" t="s" s="10">
        <v>240</v>
      </c>
      <c r="G10380" t="s" s="11">
        <v>240</v>
      </c>
      <c r="H10380" t="s" s="10">
        <v>240</v>
      </c>
      <c r="I10380" t="s" s="11">
        <v>240</v>
      </c>
      <c r="J10380" t="s" s="11">
        <v>20</v>
      </c>
      <c r="K10380" s="15"/>
      <c r="L10380" t="s" s="16">
        <f>HYPERLINK("http://csr.bu.edu/ftp/asl/asllvd/demos/verify_start_end_handshape_annotations//test_auto_move//signs_mov_separ_signers/Brady_4319.mov","MOV")</f>
        <v>21</v>
      </c>
      <c r="M10380" t="s" s="10">
        <v>39</v>
      </c>
      <c r="N10380" s="17">
        <v>10</v>
      </c>
      <c r="O10380" s="18">
        <v>4811</v>
      </c>
      <c r="P10380" s="18">
        <v>4833</v>
      </c>
      <c r="Q10380" s="15"/>
      <c r="R10380" t="s" s="16">
        <f>HYPERLINK("http://secrets.rutgers.edu:8080/data/asl-ftp/asllvd/demos/verify_start_end_handshape_annotations//test_auto_move//signs_mov_separ_signers/Brady_4319.mov","MOV")</f>
        <v>21</v>
      </c>
    </row>
    <row r="10381" s="2" customFormat="1" ht="13.5" customHeight="1">
      <c r="B10381" s="13"/>
      <c r="C10381" t="s" s="9">
        <v>30</v>
      </c>
      <c r="D10381" t="s" s="8">
        <v>3889</v>
      </c>
      <c r="E10381" t="s" s="9">
        <v>3890</v>
      </c>
      <c r="F10381" t="s" s="10">
        <v>240</v>
      </c>
      <c r="G10381" t="s" s="11">
        <v>240</v>
      </c>
      <c r="H10381" t="s" s="10">
        <v>240</v>
      </c>
      <c r="I10381" t="s" s="11">
        <v>240</v>
      </c>
      <c r="J10381" t="s" s="11">
        <v>20</v>
      </c>
      <c r="K10381" t="s" s="16">
        <f>HYPERLINK("http://csr.bu.edu/ftp/asl/asllvd/demos/verify_start_end_handshape_annotations//test_auto_move//signs_mov/4319_5007_merged.mov","MOV")</f>
        <v>21</v>
      </c>
      <c r="L10381" t="s" s="16">
        <f>HYPERLINK("http://csr.bu.edu/ftp/asl/asllvd/demos/verify_start_end_handshape_annotations//test_auto_move//signs_mov_separ_signers/Brady_5007.mov","MOV")</f>
        <v>21</v>
      </c>
      <c r="M10381" t="s" s="10">
        <v>39</v>
      </c>
      <c r="N10381" s="17">
        <v>10</v>
      </c>
      <c r="O10381" s="18">
        <v>5080</v>
      </c>
      <c r="P10381" s="18">
        <v>5105</v>
      </c>
      <c r="Q10381" t="s" s="16">
        <f>HYPERLINK("http://secrets.rutgers.edu:8080/data/asl-ftp/asllvd/demos/verify_start_end_handshape_annotations//test_auto_move//signs_mov/4319_5007_merged.mov","MOV")</f>
        <v>21</v>
      </c>
      <c r="R10381" t="s" s="16">
        <f>HYPERLINK("http://secrets.rutgers.edu:8080/data/asl-ftp/asllvd/demos/verify_start_end_handshape_annotations//test_auto_move//signs_mov_separ_signers/Brady_5007.mov","MOV")</f>
        <v>21</v>
      </c>
    </row>
    <row r="10382" s="2" customFormat="1" ht="13.5" customHeight="1">
      <c r="B10382" s="13"/>
      <c r="C10382" t="s" s="9">
        <v>41</v>
      </c>
      <c r="D10382" t="s" s="8">
        <v>3889</v>
      </c>
      <c r="E10382" t="s" s="9">
        <v>3889</v>
      </c>
      <c r="F10382" t="s" s="10">
        <v>240</v>
      </c>
      <c r="G10382" t="s" s="11">
        <v>240</v>
      </c>
      <c r="H10382" t="s" s="10">
        <v>240</v>
      </c>
      <c r="I10382" t="s" s="11">
        <v>240</v>
      </c>
      <c r="J10382" t="s" s="11">
        <v>20</v>
      </c>
      <c r="K10382" s="15"/>
      <c r="L10382" t="s" s="16">
        <f>HYPERLINK("http://csr.bu.edu/ftp/asl/asllvd/demos/verify_start_end_handshape_annotations//test_auto_move//signs_mov_separ_signers/Lana_4319.mov","MOV")</f>
        <v>21</v>
      </c>
      <c r="M10382" t="s" s="10">
        <v>42</v>
      </c>
      <c r="N10382" s="17">
        <v>8</v>
      </c>
      <c r="O10382" s="18">
        <v>1200</v>
      </c>
      <c r="P10382" s="18">
        <v>1215</v>
      </c>
      <c r="Q10382" s="15"/>
      <c r="R10382" t="s" s="16">
        <f>HYPERLINK("http://secrets.rutgers.edu:8080/data/asl-ftp/asllvd/demos/verify_start_end_handshape_annotations//test_auto_move//signs_mov_separ_signers/Lana_4319.mov","MOV")</f>
        <v>21</v>
      </c>
    </row>
    <row r="10383" s="2" customFormat="1" ht="13.5" customHeight="1">
      <c r="B10383" s="13"/>
      <c r="C10383" t="s" s="9">
        <v>43</v>
      </c>
      <c r="D10383" t="s" s="8">
        <v>3889</v>
      </c>
      <c r="E10383" t="s" s="9">
        <v>3889</v>
      </c>
      <c r="F10383" t="s" s="10">
        <v>240</v>
      </c>
      <c r="G10383" t="s" s="11">
        <v>240</v>
      </c>
      <c r="H10383" t="s" s="10">
        <v>240</v>
      </c>
      <c r="I10383" t="s" s="11">
        <v>240</v>
      </c>
      <c r="J10383" t="s" s="11">
        <v>20</v>
      </c>
      <c r="K10383" s="15"/>
      <c r="L10383" t="s" s="16">
        <f>HYPERLINK("http://csr.bu.edu/ftp/asl/asllvd/demos/verify_start_end_handshape_annotations//test_auto_move//signs_mov_separ_signers/Dana_4319.mov","MOV")</f>
        <v>21</v>
      </c>
      <c r="M10383" t="s" s="10">
        <v>44</v>
      </c>
      <c r="N10383" s="17">
        <v>12</v>
      </c>
      <c r="O10383" s="18">
        <v>1138</v>
      </c>
      <c r="P10383" s="18">
        <v>1156</v>
      </c>
      <c r="Q10383" s="15"/>
      <c r="R10383" t="s" s="16">
        <f>HYPERLINK("http://secrets.rutgers.edu:8080/data/asl-ftp/asllvd/demos/verify_start_end_handshape_annotations//test_auto_move//signs_mov_separ_signers/Dana_4319.mov","MOV")</f>
        <v>21</v>
      </c>
    </row>
    <row r="10384" s="2" customFormat="1" ht="13.5" customHeight="1">
      <c r="B10384" s="13"/>
      <c r="C10384" t="s" s="9">
        <v>43</v>
      </c>
      <c r="D10384" t="s" s="8">
        <v>3889</v>
      </c>
      <c r="E10384" t="s" s="9">
        <v>3890</v>
      </c>
      <c r="F10384" t="s" s="10">
        <v>240</v>
      </c>
      <c r="G10384" t="s" s="11">
        <v>240</v>
      </c>
      <c r="H10384" t="s" s="10">
        <v>240</v>
      </c>
      <c r="I10384" t="s" s="11">
        <v>240</v>
      </c>
      <c r="J10384" t="s" s="11">
        <v>20</v>
      </c>
      <c r="K10384" s="15"/>
      <c r="L10384" t="s" s="16">
        <f>HYPERLINK("http://csr.bu.edu/ftp/asl/asllvd/demos/verify_start_end_handshape_annotations//test_auto_move//signs_mov_separ_signers/Dana_5007.mov","MOV")</f>
        <v>21</v>
      </c>
      <c r="M10384" t="s" s="10">
        <v>44</v>
      </c>
      <c r="N10384" s="17">
        <v>12</v>
      </c>
      <c r="O10384" s="18">
        <v>1249</v>
      </c>
      <c r="P10384" s="18">
        <v>1295</v>
      </c>
      <c r="Q10384" s="15"/>
      <c r="R10384" t="s" s="16">
        <f>HYPERLINK("http://secrets.rutgers.edu:8080/data/asl-ftp/asllvd/demos/verify_start_end_handshape_annotations//test_auto_move//signs_mov_separ_signers/Dana_5007.mov","MOV")</f>
        <v>21</v>
      </c>
    </row>
    <row r="10385" s="2" customFormat="1" ht="13.5" customHeight="1">
      <c r="B10385" t="s" s="8">
        <v>52</v>
      </c>
      <c r="C10385" t="s" s="9">
        <v>53</v>
      </c>
      <c r="D10385" t="s" s="8">
        <v>53</v>
      </c>
      <c r="E10385" t="s" s="9">
        <v>53</v>
      </c>
      <c r="F10385" t="s" s="10">
        <v>53</v>
      </c>
      <c r="G10385" t="s" s="11">
        <v>53</v>
      </c>
      <c r="H10385" t="s" s="10">
        <v>53</v>
      </c>
      <c r="I10385" t="s" s="11">
        <v>53</v>
      </c>
      <c r="J10385" t="s" s="11">
        <v>53</v>
      </c>
      <c r="K10385" t="s" s="12">
        <v>53</v>
      </c>
      <c r="L10385" t="s" s="12">
        <v>53</v>
      </c>
      <c r="M10385" t="s" s="10">
        <v>53</v>
      </c>
      <c r="N10385" t="s" s="11">
        <v>53</v>
      </c>
      <c r="O10385" t="s" s="8">
        <v>53</v>
      </c>
      <c r="P10385" t="s" s="8">
        <v>53</v>
      </c>
      <c r="Q10385" t="s" s="12">
        <v>53</v>
      </c>
      <c r="R10385" t="s" s="12">
        <v>53</v>
      </c>
    </row>
    <row r="10386" s="2" customFormat="1" ht="13.5" customHeight="1">
      <c r="B10386" s="13"/>
      <c r="C10386" t="s" s="9">
        <v>16</v>
      </c>
      <c r="D10386" t="s" s="8">
        <v>3889</v>
      </c>
      <c r="E10386" t="s" s="9">
        <v>3891</v>
      </c>
      <c r="F10386" t="s" s="10">
        <v>240</v>
      </c>
      <c r="G10386" t="s" s="11">
        <v>240</v>
      </c>
      <c r="H10386" t="s" s="10">
        <v>240</v>
      </c>
      <c r="I10386" t="s" s="11">
        <v>240</v>
      </c>
      <c r="J10386" t="s" s="11">
        <v>20</v>
      </c>
      <c r="K10386" t="s" s="16">
        <f>HYPERLINK("http://csr.bu.edu/ftp/asl/asllvd/demos/verify_start_end_handshape_annotations//test_auto_move//signs_mov/5625.mov","MOV")</f>
        <v>21</v>
      </c>
      <c r="L10386" t="s" s="16">
        <f>HYPERLINK("http://csr.bu.edu/ftp/asl/asllvd/demos/verify_start_end_handshape_annotations//test_auto_move//signs_mov_separ_signers/Liz_5625.mov","MOV")</f>
        <v>21</v>
      </c>
      <c r="M10386" t="s" s="10">
        <v>77</v>
      </c>
      <c r="N10386" s="17">
        <v>2</v>
      </c>
      <c r="O10386" s="18">
        <v>1035</v>
      </c>
      <c r="P10386" s="18">
        <v>1092</v>
      </c>
      <c r="Q10386" t="s" s="16">
        <f>HYPERLINK("http://secrets.rutgers.edu:8080/data/asl-ftp/asllvd/demos/verify_start_end_handshape_annotations//test_auto_move//signs_mov/5625.mov","MOV")</f>
        <v>21</v>
      </c>
      <c r="R10386" t="s" s="16">
        <f>HYPERLINK("http://secrets.rutgers.edu:8080/data/asl-ftp/asllvd/demos/verify_start_end_handshape_annotations//test_auto_move//signs_mov_separ_signers/Liz_5625.mov","MOV")</f>
        <v>21</v>
      </c>
    </row>
    <row r="10387" s="2" customFormat="1" ht="13.5" customHeight="1">
      <c r="B10387" t="s" s="8">
        <v>3892</v>
      </c>
      <c r="C10387" t="s" s="9">
        <v>14</v>
      </c>
      <c r="D10387" t="s" s="8">
        <v>14</v>
      </c>
      <c r="E10387" t="s" s="9">
        <v>14</v>
      </c>
      <c r="F10387" t="s" s="10">
        <v>14</v>
      </c>
      <c r="G10387" t="s" s="11">
        <v>14</v>
      </c>
      <c r="H10387" t="s" s="10">
        <v>14</v>
      </c>
      <c r="I10387" t="s" s="11">
        <v>14</v>
      </c>
      <c r="J10387" t="s" s="11">
        <v>14</v>
      </c>
      <c r="K10387" t="s" s="12">
        <v>14</v>
      </c>
      <c r="L10387" t="s" s="12">
        <v>14</v>
      </c>
      <c r="M10387" t="s" s="10">
        <v>14</v>
      </c>
      <c r="N10387" t="s" s="11">
        <v>14</v>
      </c>
      <c r="O10387" t="s" s="8">
        <v>14</v>
      </c>
      <c r="P10387" t="s" s="8">
        <v>14</v>
      </c>
      <c r="Q10387" t="s" s="12">
        <v>14</v>
      </c>
      <c r="R10387" t="s" s="12">
        <v>14</v>
      </c>
    </row>
    <row r="10388" s="2" customFormat="1" ht="13.5" customHeight="1">
      <c r="B10388" s="13"/>
      <c r="C10388" t="s" s="9">
        <v>16</v>
      </c>
      <c r="D10388" t="s" s="8">
        <v>3892</v>
      </c>
      <c r="E10388" t="s" s="9">
        <v>3892</v>
      </c>
      <c r="F10388" t="s" s="10">
        <v>240</v>
      </c>
      <c r="G10388" t="s" s="11">
        <v>240</v>
      </c>
      <c r="H10388" t="s" s="10">
        <v>240</v>
      </c>
      <c r="I10388" t="s" s="11">
        <v>240</v>
      </c>
      <c r="J10388" t="s" s="11">
        <v>20</v>
      </c>
      <c r="K10388" s="15"/>
      <c r="L10388" t="s" s="16">
        <f>HYPERLINK("http://csr.bu.edu/ftp/asl/asllvd/demos/verify_start_end_handshape_annotations//test_auto_move//signs_mov_separ_signers/Liz_15800.mov","MOV")</f>
        <v>21</v>
      </c>
      <c r="M10388" t="s" s="10">
        <v>88</v>
      </c>
      <c r="N10388" s="17">
        <v>32</v>
      </c>
      <c r="O10388" s="18">
        <v>436</v>
      </c>
      <c r="P10388" s="18">
        <v>477</v>
      </c>
      <c r="Q10388" s="15"/>
      <c r="R10388" t="s" s="16">
        <f>HYPERLINK("http://secrets.rutgers.edu:8080/data/asl-ftp/asllvd/demos/verify_start_end_handshape_annotations//test_auto_move//signs_mov_separ_signers/Liz_15800.mov","MOV")</f>
        <v>21</v>
      </c>
    </row>
    <row r="10389" s="2" customFormat="1" ht="13.5" customHeight="1">
      <c r="B10389" s="13"/>
      <c r="C10389" t="s" s="9">
        <v>16</v>
      </c>
      <c r="D10389" t="s" s="8">
        <v>3892</v>
      </c>
      <c r="E10389" t="s" s="9">
        <v>3892</v>
      </c>
      <c r="F10389" t="s" s="10">
        <v>240</v>
      </c>
      <c r="G10389" t="s" s="11">
        <v>240</v>
      </c>
      <c r="H10389" t="s" s="10">
        <v>240</v>
      </c>
      <c r="I10389" t="s" s="11">
        <v>240</v>
      </c>
      <c r="J10389" t="s" s="11">
        <v>20</v>
      </c>
      <c r="K10389" t="s" s="16">
        <f>HYPERLINK("http://csr.bu.edu/ftp/asl/asllvd/demos/verify_start_end_handshape_annotations//test_auto_move//signs_mov/15800_16410_merged.mov","MOV")</f>
        <v>21</v>
      </c>
      <c r="L10389" t="s" s="16">
        <f>HYPERLINK("http://csr.bu.edu/ftp/asl/asllvd/demos/verify_start_end_handshape_annotations//test_auto_move//signs_mov_separ_signers/Liz_16410.mov","MOV")</f>
        <v>21</v>
      </c>
      <c r="M10389" t="s" s="10">
        <v>36</v>
      </c>
      <c r="N10389" s="17">
        <v>30</v>
      </c>
      <c r="O10389" s="18">
        <v>842</v>
      </c>
      <c r="P10389" s="18">
        <v>874</v>
      </c>
      <c r="Q10389" t="s" s="16">
        <f>HYPERLINK("http://secrets.rutgers.edu:8080/data/asl-ftp/asllvd/demos/verify_start_end_handshape_annotations//test_auto_move//signs_mov/15800_16410_merged.mov","MOV")</f>
        <v>21</v>
      </c>
      <c r="R10389" t="s" s="16">
        <f>HYPERLINK("http://secrets.rutgers.edu:8080/data/asl-ftp/asllvd/demos/verify_start_end_handshape_annotations//test_auto_move//signs_mov_separ_signers/Liz_16410.mov","MOV")</f>
        <v>21</v>
      </c>
    </row>
    <row r="10390" s="2" customFormat="1" ht="13.5" customHeight="1">
      <c r="B10390" s="13"/>
      <c r="C10390" t="s" s="9">
        <v>30</v>
      </c>
      <c r="D10390" t="s" s="8">
        <v>3892</v>
      </c>
      <c r="E10390" t="s" s="9">
        <v>3892</v>
      </c>
      <c r="F10390" t="s" s="10">
        <v>240</v>
      </c>
      <c r="G10390" t="s" s="11">
        <v>240</v>
      </c>
      <c r="H10390" t="s" s="10">
        <v>240</v>
      </c>
      <c r="I10390" t="s" s="11">
        <v>240</v>
      </c>
      <c r="J10390" t="s" s="11">
        <v>20</v>
      </c>
      <c r="K10390" s="15"/>
      <c r="L10390" t="s" s="16">
        <f>HYPERLINK("http://csr.bu.edu/ftp/asl/asllvd/demos/verify_start_end_handshape_annotations//test_auto_move//signs_mov_separ_signers/Brady_15800.mov","MOV")</f>
        <v>21</v>
      </c>
      <c r="M10390" t="s" s="10">
        <v>40</v>
      </c>
      <c r="N10390" s="17">
        <v>26</v>
      </c>
      <c r="O10390" s="18">
        <v>5767</v>
      </c>
      <c r="P10390" s="18">
        <v>5837</v>
      </c>
      <c r="Q10390" s="15"/>
      <c r="R10390" t="s" s="16">
        <f>HYPERLINK("http://secrets.rutgers.edu:8080/data/asl-ftp/asllvd/demos/verify_start_end_handshape_annotations//test_auto_move//signs_mov_separ_signers/Brady_15800.mov","MOV")</f>
        <v>21</v>
      </c>
    </row>
    <row r="10391" s="2" customFormat="1" ht="13.5" customHeight="1">
      <c r="B10391" s="13"/>
      <c r="C10391" t="s" s="9">
        <v>30</v>
      </c>
      <c r="D10391" t="s" s="8">
        <v>3892</v>
      </c>
      <c r="E10391" t="s" s="9">
        <v>3892</v>
      </c>
      <c r="F10391" t="s" s="10">
        <v>240</v>
      </c>
      <c r="G10391" t="s" s="11">
        <v>240</v>
      </c>
      <c r="H10391" t="s" s="10">
        <v>240</v>
      </c>
      <c r="I10391" t="s" s="11">
        <v>240</v>
      </c>
      <c r="J10391" t="s" s="11">
        <v>20</v>
      </c>
      <c r="K10391" s="15"/>
      <c r="L10391" t="s" s="16">
        <f>HYPERLINK("http://csr.bu.edu/ftp/asl/asllvd/demos/verify_start_end_handshape_annotations//test_auto_move//signs_mov_separ_signers/Brady_16410.mov","MOV")</f>
        <v>21</v>
      </c>
      <c r="M10391" t="s" s="10">
        <v>40</v>
      </c>
      <c r="N10391" s="17">
        <v>81</v>
      </c>
      <c r="O10391" s="18">
        <v>1103</v>
      </c>
      <c r="P10391" s="18">
        <v>1127</v>
      </c>
      <c r="Q10391" s="15"/>
      <c r="R10391" t="s" s="16">
        <f>HYPERLINK("http://secrets.rutgers.edu:8080/data/asl-ftp/asllvd/demos/verify_start_end_handshape_annotations//test_auto_move//signs_mov_separ_signers/Brady_16410.mov","MOV")</f>
        <v>21</v>
      </c>
    </row>
    <row r="10392" s="2" customFormat="1" ht="13.5" customHeight="1">
      <c r="B10392" t="s" s="8">
        <v>3893</v>
      </c>
      <c r="C10392" t="s" s="9">
        <v>14</v>
      </c>
      <c r="D10392" t="s" s="8">
        <v>14</v>
      </c>
      <c r="E10392" t="s" s="9">
        <v>14</v>
      </c>
      <c r="F10392" t="s" s="10">
        <v>14</v>
      </c>
      <c r="G10392" t="s" s="11">
        <v>14</v>
      </c>
      <c r="H10392" t="s" s="10">
        <v>14</v>
      </c>
      <c r="I10392" t="s" s="11">
        <v>14</v>
      </c>
      <c r="J10392" t="s" s="11">
        <v>14</v>
      </c>
      <c r="K10392" t="s" s="12">
        <v>14</v>
      </c>
      <c r="L10392" t="s" s="12">
        <v>14</v>
      </c>
      <c r="M10392" t="s" s="10">
        <v>14</v>
      </c>
      <c r="N10392" t="s" s="11">
        <v>14</v>
      </c>
      <c r="O10392" t="s" s="8">
        <v>14</v>
      </c>
      <c r="P10392" t="s" s="8">
        <v>14</v>
      </c>
      <c r="Q10392" t="s" s="12">
        <v>14</v>
      </c>
      <c r="R10392" t="s" s="12">
        <v>14</v>
      </c>
    </row>
    <row r="10393" s="2" customFormat="1" ht="13.5" customHeight="1">
      <c r="B10393" s="13"/>
      <c r="C10393" t="s" s="9">
        <v>16</v>
      </c>
      <c r="D10393" t="s" s="8">
        <v>3893</v>
      </c>
      <c r="E10393" t="s" s="9">
        <v>3893</v>
      </c>
      <c r="F10393" t="s" s="10">
        <v>150</v>
      </c>
      <c r="G10393" s="14"/>
      <c r="H10393" t="s" s="10">
        <v>150</v>
      </c>
      <c r="I10393" s="14"/>
      <c r="J10393" t="s" s="11">
        <v>20</v>
      </c>
      <c r="K10393" t="s" s="16">
        <f>HYPERLINK("http://csr.bu.edu/ftp/asl/asllvd/demos/verify_start_end_handshape_annotations//test_auto_move//signs_mov/4321.mov","MOV")</f>
        <v>21</v>
      </c>
      <c r="L10393" t="s" s="16">
        <f>HYPERLINK("http://csr.bu.edu/ftp/asl/asllvd/demos/verify_start_end_handshape_annotations//test_auto_move//signs_mov_separ_signers/Liz_4321.mov","MOV")</f>
        <v>21</v>
      </c>
      <c r="M10393" t="s" s="10">
        <v>77</v>
      </c>
      <c r="N10393" s="17">
        <v>2</v>
      </c>
      <c r="O10393" s="18">
        <v>1211</v>
      </c>
      <c r="P10393" s="18">
        <v>1260</v>
      </c>
      <c r="Q10393" t="s" s="16">
        <f>HYPERLINK("http://secrets.rutgers.edu:8080/data/asl-ftp/asllvd/demos/verify_start_end_handshape_annotations//test_auto_move//signs_mov/4321.mov","MOV")</f>
        <v>21</v>
      </c>
      <c r="R10393" t="s" s="16">
        <f>HYPERLINK("http://secrets.rutgers.edu:8080/data/asl-ftp/asllvd/demos/verify_start_end_handshape_annotations//test_auto_move//signs_mov_separ_signers/Liz_4321.mov","MOV")</f>
        <v>21</v>
      </c>
    </row>
    <row r="10394" s="2" customFormat="1" ht="13.5" customHeight="1">
      <c r="B10394" s="13"/>
      <c r="C10394" t="s" s="9">
        <v>30</v>
      </c>
      <c r="D10394" t="s" s="8">
        <v>3893</v>
      </c>
      <c r="E10394" t="s" s="9">
        <v>3893</v>
      </c>
      <c r="F10394" t="s" s="10">
        <v>150</v>
      </c>
      <c r="G10394" s="14"/>
      <c r="H10394" t="s" s="10">
        <v>150</v>
      </c>
      <c r="I10394" s="14"/>
      <c r="J10394" t="s" s="11">
        <v>20</v>
      </c>
      <c r="K10394" s="15"/>
      <c r="L10394" t="s" s="16">
        <f>HYPERLINK("http://csr.bu.edu/ftp/asl/asllvd/demos/verify_start_end_handshape_annotations//test_auto_move//signs_mov_separ_signers/Brady_4321.mov","MOV")</f>
        <v>21</v>
      </c>
      <c r="M10394" t="s" s="10">
        <v>39</v>
      </c>
      <c r="N10394" s="17">
        <v>25</v>
      </c>
      <c r="O10394" s="18">
        <v>5705</v>
      </c>
      <c r="P10394" s="18">
        <v>5727</v>
      </c>
      <c r="Q10394" s="15"/>
      <c r="R10394" t="s" s="16">
        <f>HYPERLINK("http://secrets.rutgers.edu:8080/data/asl-ftp/asllvd/demos/verify_start_end_handshape_annotations//test_auto_move//signs_mov_separ_signers/Brady_4321.mov","MOV")</f>
        <v>21</v>
      </c>
    </row>
    <row r="10395" s="2" customFormat="1" ht="13.5" customHeight="1">
      <c r="B10395" t="s" s="8">
        <v>52</v>
      </c>
      <c r="C10395" t="s" s="9">
        <v>53</v>
      </c>
      <c r="D10395" t="s" s="8">
        <v>53</v>
      </c>
      <c r="E10395" t="s" s="9">
        <v>53</v>
      </c>
      <c r="F10395" t="s" s="10">
        <v>53</v>
      </c>
      <c r="G10395" t="s" s="11">
        <v>53</v>
      </c>
      <c r="H10395" t="s" s="10">
        <v>53</v>
      </c>
      <c r="I10395" t="s" s="11">
        <v>53</v>
      </c>
      <c r="J10395" t="s" s="11">
        <v>53</v>
      </c>
      <c r="K10395" t="s" s="12">
        <v>53</v>
      </c>
      <c r="L10395" t="s" s="12">
        <v>53</v>
      </c>
      <c r="M10395" t="s" s="10">
        <v>53</v>
      </c>
      <c r="N10395" t="s" s="11">
        <v>53</v>
      </c>
      <c r="O10395" t="s" s="8">
        <v>53</v>
      </c>
      <c r="P10395" t="s" s="8">
        <v>53</v>
      </c>
      <c r="Q10395" t="s" s="12">
        <v>53</v>
      </c>
      <c r="R10395" t="s" s="12">
        <v>53</v>
      </c>
    </row>
    <row r="10396" s="2" customFormat="1" ht="13.5" customHeight="1">
      <c r="B10396" s="13"/>
      <c r="C10396" t="s" s="9">
        <v>16</v>
      </c>
      <c r="D10396" t="s" s="8">
        <v>3893</v>
      </c>
      <c r="E10396" t="s" s="9">
        <v>3894</v>
      </c>
      <c r="F10396" t="s" s="10">
        <v>150</v>
      </c>
      <c r="G10396" s="14"/>
      <c r="H10396" t="s" s="10">
        <v>150</v>
      </c>
      <c r="I10396" s="14"/>
      <c r="J10396" t="s" s="11">
        <v>20</v>
      </c>
      <c r="K10396" t="s" s="16">
        <f>HYPERLINK("http://csr.bu.edu/ftp/asl/asllvd/demos/verify_start_end_handshape_annotations//test_auto_move//signs_mov/5572.mov","MOV")</f>
        <v>21</v>
      </c>
      <c r="L10396" t="s" s="16">
        <f>HYPERLINK("http://csr.bu.edu/ftp/asl/asllvd/demos/verify_start_end_handshape_annotations//test_auto_move//signs_mov_separ_signers/Liz_5572.mov","MOV")</f>
        <v>21</v>
      </c>
      <c r="M10396" t="s" s="10">
        <v>77</v>
      </c>
      <c r="N10396" s="17">
        <v>2</v>
      </c>
      <c r="O10396" s="18">
        <v>1340</v>
      </c>
      <c r="P10396" s="18">
        <v>1390</v>
      </c>
      <c r="Q10396" t="s" s="16">
        <f>HYPERLINK("http://secrets.rutgers.edu:8080/data/asl-ftp/asllvd/demos/verify_start_end_handshape_annotations//test_auto_move//signs_mov/5572.mov","MOV")</f>
        <v>21</v>
      </c>
      <c r="R10396" t="s" s="16">
        <f>HYPERLINK("http://secrets.rutgers.edu:8080/data/asl-ftp/asllvd/demos/verify_start_end_handshape_annotations//test_auto_move//signs_mov_separ_signers/Liz_5572.mov","MOV")</f>
        <v>21</v>
      </c>
    </row>
    <row r="10397" s="2" customFormat="1" ht="13.5" customHeight="1">
      <c r="B10397" s="13"/>
      <c r="C10397" t="s" s="9">
        <v>30</v>
      </c>
      <c r="D10397" t="s" s="8">
        <v>3893</v>
      </c>
      <c r="E10397" t="s" s="9">
        <v>3894</v>
      </c>
      <c r="F10397" t="s" s="10">
        <v>150</v>
      </c>
      <c r="G10397" s="14"/>
      <c r="H10397" t="s" s="10">
        <v>150</v>
      </c>
      <c r="I10397" s="14"/>
      <c r="J10397" t="s" s="11">
        <v>20</v>
      </c>
      <c r="K10397" s="15"/>
      <c r="L10397" t="s" s="16">
        <f>HYPERLINK("http://csr.bu.edu/ftp/asl/asllvd/demos/verify_start_end_handshape_annotations//test_auto_move//signs_mov_separ_signers/Brady_5572.mov","MOV")</f>
        <v>21</v>
      </c>
      <c r="M10397" t="s" s="10">
        <v>39</v>
      </c>
      <c r="N10397" s="17">
        <v>25</v>
      </c>
      <c r="O10397" s="18">
        <v>6153</v>
      </c>
      <c r="P10397" s="18">
        <v>6194</v>
      </c>
      <c r="Q10397" s="15"/>
      <c r="R10397" t="s" s="16">
        <f>HYPERLINK("http://secrets.rutgers.edu:8080/data/asl-ftp/asllvd/demos/verify_start_end_handshape_annotations//test_auto_move//signs_mov_separ_signers/Brady_5572.mov","MOV")</f>
        <v>21</v>
      </c>
    </row>
    <row r="10398" s="2" customFormat="1" ht="13.5" customHeight="1">
      <c r="B10398" t="s" s="8">
        <v>3895</v>
      </c>
      <c r="C10398" t="s" s="9">
        <v>14</v>
      </c>
      <c r="D10398" t="s" s="8">
        <v>14</v>
      </c>
      <c r="E10398" t="s" s="9">
        <v>14</v>
      </c>
      <c r="F10398" t="s" s="10">
        <v>14</v>
      </c>
      <c r="G10398" t="s" s="11">
        <v>14</v>
      </c>
      <c r="H10398" t="s" s="10">
        <v>14</v>
      </c>
      <c r="I10398" t="s" s="11">
        <v>14</v>
      </c>
      <c r="J10398" t="s" s="11">
        <v>14</v>
      </c>
      <c r="K10398" t="s" s="12">
        <v>14</v>
      </c>
      <c r="L10398" t="s" s="12">
        <v>14</v>
      </c>
      <c r="M10398" t="s" s="10">
        <v>14</v>
      </c>
      <c r="N10398" t="s" s="11">
        <v>14</v>
      </c>
      <c r="O10398" t="s" s="8">
        <v>14</v>
      </c>
      <c r="P10398" t="s" s="8">
        <v>14</v>
      </c>
      <c r="Q10398" t="s" s="12">
        <v>14</v>
      </c>
      <c r="R10398" t="s" s="12">
        <v>14</v>
      </c>
    </row>
    <row r="10399" s="2" customFormat="1" ht="13.5" customHeight="1">
      <c r="B10399" s="13"/>
      <c r="C10399" t="s" s="9">
        <v>16</v>
      </c>
      <c r="D10399" t="s" s="8">
        <v>3895</v>
      </c>
      <c r="E10399" t="s" s="9">
        <v>3895</v>
      </c>
      <c r="F10399" t="s" s="10">
        <v>73</v>
      </c>
      <c r="G10399" t="s" s="11">
        <v>73</v>
      </c>
      <c r="H10399" t="s" s="10">
        <v>73</v>
      </c>
      <c r="I10399" t="s" s="11">
        <v>73</v>
      </c>
      <c r="J10399" t="s" s="11">
        <v>20</v>
      </c>
      <c r="K10399" s="15"/>
      <c r="L10399" t="s" s="16">
        <f>HYPERLINK("http://csr.bu.edu/ftp/asl/asllvd/demos/verify_start_end_handshape_annotations//test_auto_move//signs_mov_separ_signers/Liz_4323.mov","MOV")</f>
        <v>21</v>
      </c>
      <c r="M10399" t="s" s="10">
        <v>84</v>
      </c>
      <c r="N10399" s="17">
        <v>46</v>
      </c>
      <c r="O10399" s="18">
        <v>682</v>
      </c>
      <c r="P10399" s="18">
        <v>720</v>
      </c>
      <c r="Q10399" s="15"/>
      <c r="R10399" t="s" s="16">
        <f>HYPERLINK("http://secrets.rutgers.edu:8080/data/asl-ftp/asllvd/demos/verify_start_end_handshape_annotations//test_auto_move//signs_mov_separ_signers/Liz_4323.mov","MOV")</f>
        <v>21</v>
      </c>
    </row>
    <row r="10400" s="2" customFormat="1" ht="13.5" customHeight="1">
      <c r="B10400" s="13"/>
      <c r="C10400" t="s" s="9">
        <v>16</v>
      </c>
      <c r="D10400" t="s" s="8">
        <v>3895</v>
      </c>
      <c r="E10400" t="s" s="9">
        <v>3895</v>
      </c>
      <c r="F10400" t="s" s="10">
        <v>150</v>
      </c>
      <c r="G10400" t="s" s="11">
        <v>150</v>
      </c>
      <c r="H10400" t="s" s="10">
        <v>150</v>
      </c>
      <c r="I10400" t="s" s="11">
        <v>150</v>
      </c>
      <c r="J10400" t="s" s="11">
        <v>20</v>
      </c>
      <c r="K10400" s="15"/>
      <c r="L10400" t="s" s="16">
        <f>HYPERLINK("http://csr.bu.edu/ftp/asl/asllvd/demos/verify_start_end_handshape_annotations//test_auto_move//signs_mov_separ_signers/Liz_5573.mov","MOV")</f>
        <v>21</v>
      </c>
      <c r="M10400" t="s" s="10">
        <v>77</v>
      </c>
      <c r="N10400" s="17">
        <v>2</v>
      </c>
      <c r="O10400" s="18">
        <v>1496</v>
      </c>
      <c r="P10400" s="18">
        <v>1550</v>
      </c>
      <c r="Q10400" s="15"/>
      <c r="R10400" t="s" s="16">
        <f>HYPERLINK("http://secrets.rutgers.edu:8080/data/asl-ftp/asllvd/demos/verify_start_end_handshape_annotations//test_auto_move//signs_mov_separ_signers/Liz_5573.mov","MOV")</f>
        <v>21</v>
      </c>
    </row>
    <row r="10401" s="2" customFormat="1" ht="13.5" customHeight="1">
      <c r="B10401" s="13"/>
      <c r="C10401" t="s" s="9">
        <v>30</v>
      </c>
      <c r="D10401" t="s" s="8">
        <v>3895</v>
      </c>
      <c r="E10401" t="s" s="9">
        <v>3895</v>
      </c>
      <c r="F10401" t="s" s="10">
        <v>150</v>
      </c>
      <c r="G10401" t="s" s="11">
        <v>150</v>
      </c>
      <c r="H10401" t="s" s="10">
        <v>150</v>
      </c>
      <c r="I10401" t="s" s="11">
        <v>150</v>
      </c>
      <c r="J10401" t="s" s="11">
        <v>20</v>
      </c>
      <c r="K10401" t="s" s="16">
        <f>HYPERLINK("http://csr.bu.edu/ftp/asl/asllvd/demos/verify_start_end_handshape_annotations//test_auto_move//signs_mov/4323_5573_merged.mov","MOV")</f>
        <v>21</v>
      </c>
      <c r="L10401" t="s" s="16">
        <f>HYPERLINK("http://csr.bu.edu/ftp/asl/asllvd/demos/verify_start_end_handshape_annotations//test_auto_move//signs_mov_separ_signers/Brady_4323.mov","MOV")</f>
        <v>21</v>
      </c>
      <c r="M10401" t="s" s="10">
        <v>39</v>
      </c>
      <c r="N10401" s="17">
        <v>31</v>
      </c>
      <c r="O10401" s="18">
        <v>3752</v>
      </c>
      <c r="P10401" s="18">
        <v>3778</v>
      </c>
      <c r="Q10401" t="s" s="16">
        <f>HYPERLINK("http://secrets.rutgers.edu:8080/data/asl-ftp/asllvd/demos/verify_start_end_handshape_annotations//test_auto_move//signs_mov/4323_5573_merged.mov","MOV")</f>
        <v>21</v>
      </c>
      <c r="R10401" t="s" s="16">
        <f>HYPERLINK("http://secrets.rutgers.edu:8080/data/asl-ftp/asllvd/demos/verify_start_end_handshape_annotations//test_auto_move//signs_mov_separ_signers/Brady_4323.mov","MOV")</f>
        <v>21</v>
      </c>
    </row>
    <row r="10402" s="2" customFormat="1" ht="13.5" customHeight="1">
      <c r="B10402" s="13"/>
      <c r="C10402" t="s" s="9">
        <v>41</v>
      </c>
      <c r="D10402" t="s" s="8">
        <v>3895</v>
      </c>
      <c r="E10402" t="s" s="9">
        <v>3895</v>
      </c>
      <c r="F10402" t="s" s="10">
        <v>185</v>
      </c>
      <c r="G10402" t="s" s="11">
        <v>185</v>
      </c>
      <c r="H10402" t="s" s="10">
        <v>185</v>
      </c>
      <c r="I10402" t="s" s="11">
        <v>185</v>
      </c>
      <c r="J10402" t="s" s="11">
        <v>20</v>
      </c>
      <c r="K10402" s="15"/>
      <c r="L10402" t="s" s="16">
        <f>HYPERLINK("http://csr.bu.edu/ftp/asl/asllvd/demos/verify_start_end_handshape_annotations//test_auto_move//signs_mov_separ_signers/Lana_4323.mov","MOV")</f>
        <v>21</v>
      </c>
      <c r="M10402" t="s" s="10">
        <v>42</v>
      </c>
      <c r="N10402" s="17">
        <v>12</v>
      </c>
      <c r="O10402" s="18">
        <v>1275</v>
      </c>
      <c r="P10402" s="18">
        <v>1306</v>
      </c>
      <c r="Q10402" s="15"/>
      <c r="R10402" t="s" s="16">
        <f>HYPERLINK("http://secrets.rutgers.edu:8080/data/asl-ftp/asllvd/demos/verify_start_end_handshape_annotations//test_auto_move//signs_mov_separ_signers/Lana_4323.mov","MOV")</f>
        <v>21</v>
      </c>
    </row>
    <row r="10403" s="2" customFormat="1" ht="13.5" customHeight="1">
      <c r="B10403" s="13"/>
      <c r="C10403" t="s" s="9">
        <v>43</v>
      </c>
      <c r="D10403" t="s" s="8">
        <v>3895</v>
      </c>
      <c r="E10403" t="s" s="9">
        <v>3895</v>
      </c>
      <c r="F10403" t="s" s="10">
        <v>150</v>
      </c>
      <c r="G10403" t="s" s="11">
        <v>150</v>
      </c>
      <c r="H10403" t="s" s="10">
        <v>150</v>
      </c>
      <c r="I10403" t="s" s="11">
        <v>150</v>
      </c>
      <c r="J10403" t="s" s="11">
        <v>20</v>
      </c>
      <c r="K10403" s="15"/>
      <c r="L10403" t="s" s="16">
        <f>HYPERLINK("http://csr.bu.edu/ftp/asl/asllvd/demos/verify_start_end_handshape_annotations//test_auto_move//signs_mov_separ_signers/Dana_4323.mov","MOV")</f>
        <v>21</v>
      </c>
      <c r="M10403" t="s" s="10">
        <v>44</v>
      </c>
      <c r="N10403" s="17">
        <v>16</v>
      </c>
      <c r="O10403" s="18">
        <v>1126</v>
      </c>
      <c r="P10403" s="18">
        <v>1188</v>
      </c>
      <c r="Q10403" s="15"/>
      <c r="R10403" t="s" s="16">
        <f>HYPERLINK("http://secrets.rutgers.edu:8080/data/asl-ftp/asllvd/demos/verify_start_end_handshape_annotations//test_auto_move//signs_mov_separ_signers/Dana_4323.mov","MOV")</f>
        <v>21</v>
      </c>
    </row>
    <row r="10404" s="2" customFormat="1" ht="13.5" customHeight="1">
      <c r="B10404" t="s" s="8">
        <v>52</v>
      </c>
      <c r="C10404" t="s" s="9">
        <v>53</v>
      </c>
      <c r="D10404" t="s" s="8">
        <v>53</v>
      </c>
      <c r="E10404" t="s" s="9">
        <v>53</v>
      </c>
      <c r="F10404" t="s" s="10">
        <v>53</v>
      </c>
      <c r="G10404" t="s" s="11">
        <v>53</v>
      </c>
      <c r="H10404" t="s" s="10">
        <v>53</v>
      </c>
      <c r="I10404" t="s" s="11">
        <v>53</v>
      </c>
      <c r="J10404" t="s" s="11">
        <v>53</v>
      </c>
      <c r="K10404" t="s" s="12">
        <v>53</v>
      </c>
      <c r="L10404" t="s" s="12">
        <v>53</v>
      </c>
      <c r="M10404" t="s" s="10">
        <v>53</v>
      </c>
      <c r="N10404" t="s" s="11">
        <v>53</v>
      </c>
      <c r="O10404" t="s" s="8">
        <v>53</v>
      </c>
      <c r="P10404" t="s" s="8">
        <v>53</v>
      </c>
      <c r="Q10404" t="s" s="12">
        <v>53</v>
      </c>
      <c r="R10404" t="s" s="12">
        <v>53</v>
      </c>
    </row>
    <row r="10405" s="2" customFormat="1" ht="13.5" customHeight="1">
      <c r="B10405" s="13"/>
      <c r="C10405" t="s" s="9">
        <v>16</v>
      </c>
      <c r="D10405" t="s" s="8">
        <v>3895</v>
      </c>
      <c r="E10405" t="s" s="9">
        <v>3896</v>
      </c>
      <c r="F10405" t="s" s="10">
        <v>150</v>
      </c>
      <c r="G10405" t="s" s="11">
        <v>150</v>
      </c>
      <c r="H10405" t="s" s="10">
        <v>150</v>
      </c>
      <c r="I10405" t="s" s="11">
        <v>150</v>
      </c>
      <c r="J10405" t="s" s="11">
        <v>20</v>
      </c>
      <c r="K10405" t="s" s="16">
        <f>HYPERLINK("http://csr.bu.edu/ftp/asl/asllvd/demos/verify_start_end_handshape_annotations//test_auto_move//signs_mov/16361.mov","MOV")</f>
        <v>21</v>
      </c>
      <c r="L10405" t="s" s="16">
        <f>HYPERLINK("http://csr.bu.edu/ftp/asl/asllvd/demos/verify_start_end_handshape_annotations//test_auto_move//signs_mov_separ_signers/Liz_16361.mov","MOV")</f>
        <v>21</v>
      </c>
      <c r="M10405" t="s" s="10">
        <v>77</v>
      </c>
      <c r="N10405" s="17">
        <v>2</v>
      </c>
      <c r="O10405" s="18">
        <v>1670</v>
      </c>
      <c r="P10405" s="18">
        <v>1735</v>
      </c>
      <c r="Q10405" t="s" s="16">
        <f>HYPERLINK("http://secrets.rutgers.edu:8080/data/asl-ftp/asllvd/demos/verify_start_end_handshape_annotations//test_auto_move//signs_mov/16361.mov","MOV")</f>
        <v>21</v>
      </c>
      <c r="R10405" t="s" s="16">
        <f>HYPERLINK("http://secrets.rutgers.edu:8080/data/asl-ftp/asllvd/demos/verify_start_end_handshape_annotations//test_auto_move//signs_mov_separ_signers/Liz_16361.mov","MOV")</f>
        <v>21</v>
      </c>
    </row>
    <row r="10406" s="2" customFormat="1" ht="13.5" customHeight="1">
      <c r="B10406" s="13"/>
      <c r="C10406" t="s" s="9">
        <v>30</v>
      </c>
      <c r="D10406" t="s" s="8">
        <v>3895</v>
      </c>
      <c r="E10406" t="s" s="9">
        <v>3896</v>
      </c>
      <c r="F10406" t="s" s="10">
        <v>150</v>
      </c>
      <c r="G10406" t="s" s="11">
        <v>150</v>
      </c>
      <c r="H10406" t="s" s="10">
        <v>150</v>
      </c>
      <c r="I10406" t="s" s="11">
        <v>150</v>
      </c>
      <c r="J10406" t="s" s="11">
        <v>20</v>
      </c>
      <c r="K10406" s="15"/>
      <c r="L10406" t="s" s="16">
        <f>HYPERLINK("http://csr.bu.edu/ftp/asl/asllvd/demos/verify_start_end_handshape_annotations//test_auto_move//signs_mov_separ_signers/Brady_16361.mov","MOV")</f>
        <v>21</v>
      </c>
      <c r="M10406" t="s" s="10">
        <v>39</v>
      </c>
      <c r="N10406" s="17">
        <v>31</v>
      </c>
      <c r="O10406" s="18">
        <v>4081</v>
      </c>
      <c r="P10406" s="18">
        <v>4152</v>
      </c>
      <c r="Q10406" s="15"/>
      <c r="R10406" t="s" s="16">
        <f>HYPERLINK("http://secrets.rutgers.edu:8080/data/asl-ftp/asllvd/demos/verify_start_end_handshape_annotations//test_auto_move//signs_mov_separ_signers/Brady_16361.mov","MOV")</f>
        <v>21</v>
      </c>
    </row>
    <row r="10407" s="2" customFormat="1" ht="13.5" customHeight="1">
      <c r="B10407" t="s" s="8">
        <v>3897</v>
      </c>
      <c r="C10407" t="s" s="9">
        <v>14</v>
      </c>
      <c r="D10407" t="s" s="8">
        <v>14</v>
      </c>
      <c r="E10407" t="s" s="9">
        <v>14</v>
      </c>
      <c r="F10407" t="s" s="10">
        <v>14</v>
      </c>
      <c r="G10407" t="s" s="11">
        <v>14</v>
      </c>
      <c r="H10407" t="s" s="10">
        <v>14</v>
      </c>
      <c r="I10407" t="s" s="11">
        <v>14</v>
      </c>
      <c r="J10407" t="s" s="11">
        <v>14</v>
      </c>
      <c r="K10407" t="s" s="12">
        <v>14</v>
      </c>
      <c r="L10407" t="s" s="12">
        <v>14</v>
      </c>
      <c r="M10407" t="s" s="10">
        <v>14</v>
      </c>
      <c r="N10407" t="s" s="11">
        <v>14</v>
      </c>
      <c r="O10407" t="s" s="8">
        <v>14</v>
      </c>
      <c r="P10407" t="s" s="8">
        <v>14</v>
      </c>
      <c r="Q10407" t="s" s="12">
        <v>14</v>
      </c>
      <c r="R10407" t="s" s="12">
        <v>14</v>
      </c>
    </row>
    <row r="10408" s="2" customFormat="1" ht="13.5" customHeight="1">
      <c r="B10408" s="13"/>
      <c r="C10408" t="s" s="9">
        <v>16</v>
      </c>
      <c r="D10408" t="s" s="8">
        <v>3897</v>
      </c>
      <c r="E10408" t="s" s="9">
        <v>3897</v>
      </c>
      <c r="F10408" t="s" s="10">
        <v>55</v>
      </c>
      <c r="G10408" s="14"/>
      <c r="H10408" t="s" s="10">
        <v>55</v>
      </c>
      <c r="I10408" s="14"/>
      <c r="J10408" t="s" s="11">
        <v>20</v>
      </c>
      <c r="K10408" t="s" s="16">
        <f>HYPERLINK("http://csr.bu.edu/ftp/asl/asllvd/demos/verify_start_end_handshape_annotations//test_auto_move//signs_mov/4325.mov","MOV")</f>
        <v>21</v>
      </c>
      <c r="L10408" t="s" s="16">
        <f>HYPERLINK("http://csr.bu.edu/ftp/asl/asllvd/demos/verify_start_end_handshape_annotations//test_auto_move//signs_mov_separ_signers/Liz_4325.mov","MOV")</f>
        <v>21</v>
      </c>
      <c r="M10408" t="s" s="10">
        <v>77</v>
      </c>
      <c r="N10408" s="17">
        <v>2</v>
      </c>
      <c r="O10408" s="18">
        <v>1856</v>
      </c>
      <c r="P10408" s="18">
        <v>1908</v>
      </c>
      <c r="Q10408" t="s" s="16">
        <f>HYPERLINK("http://secrets.rutgers.edu:8080/data/asl-ftp/asllvd/demos/verify_start_end_handshape_annotations//test_auto_move//signs_mov/4325.mov","MOV")</f>
        <v>21</v>
      </c>
      <c r="R10408" t="s" s="16">
        <f>HYPERLINK("http://secrets.rutgers.edu:8080/data/asl-ftp/asllvd/demos/verify_start_end_handshape_annotations//test_auto_move//signs_mov_separ_signers/Liz_4325.mov","MOV")</f>
        <v>21</v>
      </c>
    </row>
    <row r="10409" s="2" customFormat="1" ht="13.5" customHeight="1">
      <c r="B10409" t="s" s="8">
        <v>52</v>
      </c>
      <c r="C10409" t="s" s="9">
        <v>53</v>
      </c>
      <c r="D10409" t="s" s="8">
        <v>53</v>
      </c>
      <c r="E10409" t="s" s="9">
        <v>53</v>
      </c>
      <c r="F10409" t="s" s="10">
        <v>53</v>
      </c>
      <c r="G10409" t="s" s="11">
        <v>53</v>
      </c>
      <c r="H10409" t="s" s="10">
        <v>53</v>
      </c>
      <c r="I10409" t="s" s="11">
        <v>53</v>
      </c>
      <c r="J10409" t="s" s="11">
        <v>53</v>
      </c>
      <c r="K10409" t="s" s="12">
        <v>53</v>
      </c>
      <c r="L10409" t="s" s="12">
        <v>53</v>
      </c>
      <c r="M10409" t="s" s="10">
        <v>53</v>
      </c>
      <c r="N10409" t="s" s="11">
        <v>53</v>
      </c>
      <c r="O10409" t="s" s="8">
        <v>53</v>
      </c>
      <c r="P10409" t="s" s="8">
        <v>53</v>
      </c>
      <c r="Q10409" t="s" s="12">
        <v>53</v>
      </c>
      <c r="R10409" t="s" s="12">
        <v>53</v>
      </c>
    </row>
    <row r="10410" s="2" customFormat="1" ht="13.5" customHeight="1">
      <c r="B10410" s="13"/>
      <c r="C10410" t="s" s="9">
        <v>30</v>
      </c>
      <c r="D10410" t="s" s="8">
        <v>3897</v>
      </c>
      <c r="E10410" t="s" s="9">
        <v>3898</v>
      </c>
      <c r="F10410" t="s" s="10">
        <v>55</v>
      </c>
      <c r="G10410" t="s" s="11">
        <v>55</v>
      </c>
      <c r="H10410" t="s" s="10">
        <v>55</v>
      </c>
      <c r="I10410" t="s" s="11">
        <v>55</v>
      </c>
      <c r="J10410" t="s" s="11">
        <v>20</v>
      </c>
      <c r="K10410" t="s" s="16">
        <f>HYPERLINK("http://csr.bu.edu/ftp/asl/asllvd/demos/verify_start_end_handshape_annotations//test_auto_move//signs_mov/5574.mov","MOV")</f>
        <v>21</v>
      </c>
      <c r="L10410" t="s" s="16">
        <f>HYPERLINK("http://csr.bu.edu/ftp/asl/asllvd/demos/verify_start_end_handshape_annotations//test_auto_move//signs_mov_separ_signers/Brady_5574.mov","MOV")</f>
        <v>21</v>
      </c>
      <c r="M10410" t="s" s="10">
        <v>39</v>
      </c>
      <c r="N10410" s="17">
        <v>34</v>
      </c>
      <c r="O10410" s="18">
        <v>2874</v>
      </c>
      <c r="P10410" s="18">
        <v>2911</v>
      </c>
      <c r="Q10410" t="s" s="16">
        <f>HYPERLINK("http://secrets.rutgers.edu:8080/data/asl-ftp/asllvd/demos/verify_start_end_handshape_annotations//test_auto_move//signs_mov/5574.mov","MOV")</f>
        <v>21</v>
      </c>
      <c r="R10410" t="s" s="16">
        <f>HYPERLINK("http://secrets.rutgers.edu:8080/data/asl-ftp/asllvd/demos/verify_start_end_handshape_annotations//test_auto_move//signs_mov_separ_signers/Brady_5574.mov","MOV")</f>
        <v>21</v>
      </c>
    </row>
    <row r="10411" s="2" customFormat="1" ht="13.5" customHeight="1">
      <c r="B10411" t="s" s="8">
        <v>52</v>
      </c>
      <c r="C10411" t="s" s="9">
        <v>53</v>
      </c>
      <c r="D10411" t="s" s="8">
        <v>53</v>
      </c>
      <c r="E10411" t="s" s="9">
        <v>53</v>
      </c>
      <c r="F10411" t="s" s="10">
        <v>53</v>
      </c>
      <c r="G10411" t="s" s="11">
        <v>53</v>
      </c>
      <c r="H10411" t="s" s="10">
        <v>53</v>
      </c>
      <c r="I10411" t="s" s="11">
        <v>53</v>
      </c>
      <c r="J10411" t="s" s="11">
        <v>53</v>
      </c>
      <c r="K10411" t="s" s="12">
        <v>53</v>
      </c>
      <c r="L10411" t="s" s="12">
        <v>53</v>
      </c>
      <c r="M10411" t="s" s="10">
        <v>53</v>
      </c>
      <c r="N10411" t="s" s="11">
        <v>53</v>
      </c>
      <c r="O10411" t="s" s="8">
        <v>53</v>
      </c>
      <c r="P10411" t="s" s="8">
        <v>53</v>
      </c>
      <c r="Q10411" t="s" s="12">
        <v>53</v>
      </c>
      <c r="R10411" t="s" s="12">
        <v>53</v>
      </c>
    </row>
    <row r="10412" s="2" customFormat="1" ht="13.5" customHeight="1">
      <c r="B10412" s="13"/>
      <c r="C10412" t="s" s="9">
        <v>16</v>
      </c>
      <c r="D10412" t="s" s="8">
        <v>3897</v>
      </c>
      <c r="E10412" t="s" s="9">
        <v>3899</v>
      </c>
      <c r="F10412" t="s" s="10">
        <v>55</v>
      </c>
      <c r="G10412" s="14"/>
      <c r="H10412" t="s" s="10">
        <v>55</v>
      </c>
      <c r="I10412" s="14"/>
      <c r="J10412" t="s" s="11">
        <v>20</v>
      </c>
      <c r="K10412" t="s" s="16">
        <f>HYPERLINK("http://csr.bu.edu/ftp/asl/asllvd/demos/verify_start_end_handshape_annotations//test_auto_move//signs_mov/16260.mov","MOV")</f>
        <v>21</v>
      </c>
      <c r="L10412" t="s" s="16">
        <f>HYPERLINK("http://csr.bu.edu/ftp/asl/asllvd/demos/verify_start_end_handshape_annotations//test_auto_move//signs_mov_separ_signers/Liz_16260.mov","MOV")</f>
        <v>21</v>
      </c>
      <c r="M10412" t="s" s="10">
        <v>77</v>
      </c>
      <c r="N10412" s="17">
        <v>2</v>
      </c>
      <c r="O10412" s="18">
        <v>2040</v>
      </c>
      <c r="P10412" s="18">
        <v>2120</v>
      </c>
      <c r="Q10412" t="s" s="16">
        <f>HYPERLINK("http://secrets.rutgers.edu:8080/data/asl-ftp/asllvd/demos/verify_start_end_handshape_annotations//test_auto_move//signs_mov/16260.mov","MOV")</f>
        <v>21</v>
      </c>
      <c r="R10412" t="s" s="16">
        <f>HYPERLINK("http://secrets.rutgers.edu:8080/data/asl-ftp/asllvd/demos/verify_start_end_handshape_annotations//test_auto_move//signs_mov_separ_signers/Liz_16260.mov","MOV")</f>
        <v>21</v>
      </c>
    </row>
    <row r="10413" s="2" customFormat="1" ht="13.5" customHeight="1">
      <c r="B10413" t="s" s="8">
        <v>52</v>
      </c>
      <c r="C10413" t="s" s="9">
        <v>53</v>
      </c>
      <c r="D10413" t="s" s="8">
        <v>53</v>
      </c>
      <c r="E10413" t="s" s="9">
        <v>53</v>
      </c>
      <c r="F10413" t="s" s="10">
        <v>53</v>
      </c>
      <c r="G10413" t="s" s="11">
        <v>53</v>
      </c>
      <c r="H10413" t="s" s="10">
        <v>53</v>
      </c>
      <c r="I10413" t="s" s="11">
        <v>53</v>
      </c>
      <c r="J10413" t="s" s="11">
        <v>53</v>
      </c>
      <c r="K10413" t="s" s="12">
        <v>53</v>
      </c>
      <c r="L10413" t="s" s="12">
        <v>53</v>
      </c>
      <c r="M10413" t="s" s="10">
        <v>53</v>
      </c>
      <c r="N10413" t="s" s="11">
        <v>53</v>
      </c>
      <c r="O10413" t="s" s="8">
        <v>53</v>
      </c>
      <c r="P10413" t="s" s="8">
        <v>53</v>
      </c>
      <c r="Q10413" t="s" s="12">
        <v>53</v>
      </c>
      <c r="R10413" t="s" s="12">
        <v>53</v>
      </c>
    </row>
    <row r="10414" s="2" customFormat="1" ht="13.5" customHeight="1">
      <c r="B10414" s="13"/>
      <c r="C10414" t="s" s="9">
        <v>30</v>
      </c>
      <c r="D10414" t="s" s="8">
        <v>3897</v>
      </c>
      <c r="E10414" t="s" s="9">
        <v>3900</v>
      </c>
      <c r="F10414" t="s" s="10">
        <v>55</v>
      </c>
      <c r="G10414" t="s" s="11">
        <v>55</v>
      </c>
      <c r="H10414" t="s" s="10">
        <v>55</v>
      </c>
      <c r="I10414" t="s" s="11">
        <v>55</v>
      </c>
      <c r="J10414" t="s" s="11">
        <v>20</v>
      </c>
      <c r="K10414" t="s" s="16">
        <f>HYPERLINK("http://csr.bu.edu/ftp/asl/asllvd/demos/verify_start_end_handshape_annotations//test_auto_move//signs_mov/16261.mov","MOV")</f>
        <v>21</v>
      </c>
      <c r="L10414" t="s" s="16">
        <f>HYPERLINK("http://csr.bu.edu/ftp/asl/asllvd/demos/verify_start_end_handshape_annotations//test_auto_move//signs_mov_separ_signers/Brady_16261.mov","MOV")</f>
        <v>21</v>
      </c>
      <c r="M10414" t="s" s="10">
        <v>39</v>
      </c>
      <c r="N10414" s="17">
        <v>34</v>
      </c>
      <c r="O10414" s="18">
        <v>3112</v>
      </c>
      <c r="P10414" s="18">
        <v>3168</v>
      </c>
      <c r="Q10414" t="s" s="16">
        <f>HYPERLINK("http://secrets.rutgers.edu:8080/data/asl-ftp/asllvd/demos/verify_start_end_handshape_annotations//test_auto_move//signs_mov/16261.mov","MOV")</f>
        <v>21</v>
      </c>
      <c r="R10414" t="s" s="16">
        <f>HYPERLINK("http://secrets.rutgers.edu:8080/data/asl-ftp/asllvd/demos/verify_start_end_handshape_annotations//test_auto_move//signs_mov_separ_signers/Brady_16261.mov","MOV")</f>
        <v>21</v>
      </c>
    </row>
    <row r="10415" s="2" customFormat="1" ht="13.5" customHeight="1">
      <c r="B10415" t="s" s="8">
        <v>3901</v>
      </c>
      <c r="C10415" t="s" s="9">
        <v>14</v>
      </c>
      <c r="D10415" t="s" s="8">
        <v>14</v>
      </c>
      <c r="E10415" t="s" s="9">
        <v>14</v>
      </c>
      <c r="F10415" t="s" s="10">
        <v>14</v>
      </c>
      <c r="G10415" t="s" s="11">
        <v>14</v>
      </c>
      <c r="H10415" t="s" s="10">
        <v>14</v>
      </c>
      <c r="I10415" t="s" s="11">
        <v>14</v>
      </c>
      <c r="J10415" t="s" s="11">
        <v>14</v>
      </c>
      <c r="K10415" t="s" s="12">
        <v>14</v>
      </c>
      <c r="L10415" t="s" s="12">
        <v>14</v>
      </c>
      <c r="M10415" t="s" s="10">
        <v>14</v>
      </c>
      <c r="N10415" t="s" s="11">
        <v>14</v>
      </c>
      <c r="O10415" t="s" s="8">
        <v>14</v>
      </c>
      <c r="P10415" t="s" s="8">
        <v>14</v>
      </c>
      <c r="Q10415" t="s" s="12">
        <v>14</v>
      </c>
      <c r="R10415" t="s" s="12">
        <v>14</v>
      </c>
    </row>
    <row r="10416" s="2" customFormat="1" ht="13.5" customHeight="1">
      <c r="B10416" s="13"/>
      <c r="C10416" t="s" s="9">
        <v>16</v>
      </c>
      <c r="D10416" t="s" s="8">
        <v>3901</v>
      </c>
      <c r="E10416" t="s" s="9">
        <v>3901</v>
      </c>
      <c r="F10416" t="s" s="10">
        <v>341</v>
      </c>
      <c r="G10416" s="17">
        <v>1</v>
      </c>
      <c r="H10416" t="s" s="10">
        <v>341</v>
      </c>
      <c r="I10416" s="17">
        <v>1</v>
      </c>
      <c r="J10416" t="s" s="11">
        <v>20</v>
      </c>
      <c r="K10416" t="s" s="16">
        <f>HYPERLINK("http://csr.bu.edu/ftp/asl/asllvd/demos/verify_start_end_handshape_annotations//test_auto_move//signs_mov/4327.mov","MOV")</f>
        <v>21</v>
      </c>
      <c r="L10416" t="s" s="16">
        <f>HYPERLINK("http://csr.bu.edu/ftp/asl/asllvd/demos/verify_start_end_handshape_annotations//test_auto_move//signs_mov_separ_signers/Liz_4327.mov","MOV")</f>
        <v>21</v>
      </c>
      <c r="M10416" t="s" s="10">
        <v>77</v>
      </c>
      <c r="N10416" s="17">
        <v>2</v>
      </c>
      <c r="O10416" s="18">
        <v>2317</v>
      </c>
      <c r="P10416" s="18">
        <v>2360</v>
      </c>
      <c r="Q10416" t="s" s="16">
        <f>HYPERLINK("http://secrets.rutgers.edu:8080/data/asl-ftp/asllvd/demos/verify_start_end_handshape_annotations//test_auto_move//signs_mov/4327.mov","MOV")</f>
        <v>21</v>
      </c>
      <c r="R10416" t="s" s="16">
        <f>HYPERLINK("http://secrets.rutgers.edu:8080/data/asl-ftp/asllvd/demos/verify_start_end_handshape_annotations//test_auto_move//signs_mov_separ_signers/Liz_4327.mov","MOV")</f>
        <v>21</v>
      </c>
    </row>
    <row r="10417" s="2" customFormat="1" ht="13.5" customHeight="1">
      <c r="B10417" s="13"/>
      <c r="C10417" t="s" s="9">
        <v>30</v>
      </c>
      <c r="D10417" t="s" s="8">
        <v>3901</v>
      </c>
      <c r="E10417" t="s" s="9">
        <v>3902</v>
      </c>
      <c r="F10417" t="s" s="10">
        <v>240</v>
      </c>
      <c r="G10417" s="17">
        <v>1</v>
      </c>
      <c r="H10417" t="s" s="10">
        <v>240</v>
      </c>
      <c r="I10417" s="17">
        <v>1</v>
      </c>
      <c r="J10417" t="s" s="11">
        <v>20</v>
      </c>
      <c r="K10417" s="15"/>
      <c r="L10417" t="s" s="16">
        <f>HYPERLINK("http://csr.bu.edu/ftp/asl/asllvd/demos/verify_start_end_handshape_annotations//test_auto_move//signs_mov_separ_signers/Brady_4327.mov","MOV")</f>
        <v>21</v>
      </c>
      <c r="M10417" t="s" s="10">
        <v>39</v>
      </c>
      <c r="N10417" s="17">
        <v>37</v>
      </c>
      <c r="O10417" s="18">
        <v>1332</v>
      </c>
      <c r="P10417" s="18">
        <v>1362</v>
      </c>
      <c r="Q10417" s="15"/>
      <c r="R10417" t="s" s="16">
        <f>HYPERLINK("http://secrets.rutgers.edu:8080/data/asl-ftp/asllvd/demos/verify_start_end_handshape_annotations//test_auto_move//signs_mov_separ_signers/Brady_4327.mov","MOV")</f>
        <v>21</v>
      </c>
    </row>
    <row r="10418" s="2" customFormat="1" ht="13.5" customHeight="1">
      <c r="B10418" t="s" s="8">
        <v>52</v>
      </c>
      <c r="C10418" t="s" s="9">
        <v>53</v>
      </c>
      <c r="D10418" t="s" s="8">
        <v>53</v>
      </c>
      <c r="E10418" t="s" s="9">
        <v>53</v>
      </c>
      <c r="F10418" t="s" s="10">
        <v>53</v>
      </c>
      <c r="G10418" t="s" s="11">
        <v>53</v>
      </c>
      <c r="H10418" t="s" s="10">
        <v>53</v>
      </c>
      <c r="I10418" t="s" s="11">
        <v>53</v>
      </c>
      <c r="J10418" t="s" s="11">
        <v>53</v>
      </c>
      <c r="K10418" t="s" s="12">
        <v>53</v>
      </c>
      <c r="L10418" t="s" s="12">
        <v>53</v>
      </c>
      <c r="M10418" t="s" s="10">
        <v>53</v>
      </c>
      <c r="N10418" t="s" s="11">
        <v>53</v>
      </c>
      <c r="O10418" t="s" s="8">
        <v>53</v>
      </c>
      <c r="P10418" t="s" s="8">
        <v>53</v>
      </c>
      <c r="Q10418" t="s" s="12">
        <v>53</v>
      </c>
      <c r="R10418" t="s" s="12">
        <v>53</v>
      </c>
    </row>
    <row r="10419" s="2" customFormat="1" ht="13.5" customHeight="1">
      <c r="B10419" s="13"/>
      <c r="C10419" t="s" s="9">
        <v>16</v>
      </c>
      <c r="D10419" t="s" s="8">
        <v>3901</v>
      </c>
      <c r="E10419" t="s" s="9">
        <v>3903</v>
      </c>
      <c r="F10419" t="s" s="10">
        <v>341</v>
      </c>
      <c r="G10419" s="17">
        <v>1</v>
      </c>
      <c r="H10419" t="s" s="10">
        <v>341</v>
      </c>
      <c r="I10419" s="17">
        <v>1</v>
      </c>
      <c r="J10419" t="s" s="11">
        <v>20</v>
      </c>
      <c r="K10419" t="s" s="16">
        <f>HYPERLINK("http://csr.bu.edu/ftp/asl/asllvd/demos/verify_start_end_handshape_annotations//test_auto_move//signs_mov/5575.mov","MOV")</f>
        <v>21</v>
      </c>
      <c r="L10419" t="s" s="16">
        <f>HYPERLINK("http://csr.bu.edu/ftp/asl/asllvd/demos/verify_start_end_handshape_annotations//test_auto_move//signs_mov_separ_signers/Liz_5575.mov","MOV")</f>
        <v>21</v>
      </c>
      <c r="M10419" t="s" s="10">
        <v>77</v>
      </c>
      <c r="N10419" s="17">
        <v>2</v>
      </c>
      <c r="O10419" s="18">
        <v>2490</v>
      </c>
      <c r="P10419" s="18">
        <v>2531</v>
      </c>
      <c r="Q10419" t="s" s="16">
        <f>HYPERLINK("http://secrets.rutgers.edu:8080/data/asl-ftp/asllvd/demos/verify_start_end_handshape_annotations//test_auto_move//signs_mov/5575.mov","MOV")</f>
        <v>21</v>
      </c>
      <c r="R10419" t="s" s="16">
        <f>HYPERLINK("http://secrets.rutgers.edu:8080/data/asl-ftp/asllvd/demos/verify_start_end_handshape_annotations//test_auto_move//signs_mov_separ_signers/Liz_5575.mov","MOV")</f>
        <v>21</v>
      </c>
    </row>
    <row r="10420" s="2" customFormat="1" ht="13.5" customHeight="1">
      <c r="B10420" t="s" s="8">
        <v>3904</v>
      </c>
      <c r="C10420" t="s" s="9">
        <v>14</v>
      </c>
      <c r="D10420" t="s" s="8">
        <v>14</v>
      </c>
      <c r="E10420" t="s" s="9">
        <v>14</v>
      </c>
      <c r="F10420" t="s" s="10">
        <v>14</v>
      </c>
      <c r="G10420" t="s" s="11">
        <v>14</v>
      </c>
      <c r="H10420" t="s" s="10">
        <v>14</v>
      </c>
      <c r="I10420" t="s" s="11">
        <v>14</v>
      </c>
      <c r="J10420" t="s" s="11">
        <v>14</v>
      </c>
      <c r="K10420" t="s" s="12">
        <v>14</v>
      </c>
      <c r="L10420" t="s" s="12">
        <v>14</v>
      </c>
      <c r="M10420" t="s" s="10">
        <v>14</v>
      </c>
      <c r="N10420" t="s" s="11">
        <v>14</v>
      </c>
      <c r="O10420" t="s" s="8">
        <v>14</v>
      </c>
      <c r="P10420" t="s" s="8">
        <v>14</v>
      </c>
      <c r="Q10420" t="s" s="12">
        <v>14</v>
      </c>
      <c r="R10420" t="s" s="12">
        <v>14</v>
      </c>
    </row>
    <row r="10421" s="2" customFormat="1" ht="13.5" customHeight="1">
      <c r="B10421" s="13"/>
      <c r="C10421" t="s" s="9">
        <v>16</v>
      </c>
      <c r="D10421" t="s" s="8">
        <v>3904</v>
      </c>
      <c r="E10421" t="s" s="9">
        <v>3904</v>
      </c>
      <c r="F10421" t="s" s="10">
        <v>73</v>
      </c>
      <c r="G10421" t="s" s="11">
        <v>73</v>
      </c>
      <c r="H10421" t="s" s="10">
        <v>73</v>
      </c>
      <c r="I10421" t="s" s="11">
        <v>73</v>
      </c>
      <c r="J10421" t="s" s="11">
        <v>20</v>
      </c>
      <c r="K10421" s="15"/>
      <c r="L10421" t="s" s="16">
        <f>HYPERLINK("http://csr.bu.edu/ftp/asl/asllvd/demos/verify_start_end_handshape_annotations//test_auto_move//signs_mov_separ_signers/Liz_4329.mov","MOV")</f>
        <v>21</v>
      </c>
      <c r="M10421" t="s" s="10">
        <v>77</v>
      </c>
      <c r="N10421" s="17">
        <v>2</v>
      </c>
      <c r="O10421" s="18">
        <v>2644</v>
      </c>
      <c r="P10421" s="18">
        <v>2672</v>
      </c>
      <c r="Q10421" s="15"/>
      <c r="R10421" t="s" s="16">
        <f>HYPERLINK("http://secrets.rutgers.edu:8080/data/asl-ftp/asllvd/demos/verify_start_end_handshape_annotations//test_auto_move//signs_mov_separ_signers/Liz_4329.mov","MOV")</f>
        <v>21</v>
      </c>
    </row>
    <row r="10422" s="2" customFormat="1" ht="13.5" customHeight="1">
      <c r="B10422" s="13"/>
      <c r="C10422" t="s" s="9">
        <v>30</v>
      </c>
      <c r="D10422" t="s" s="8">
        <v>3904</v>
      </c>
      <c r="E10422" t="s" s="9">
        <v>3904</v>
      </c>
      <c r="F10422" t="s" s="10">
        <v>152</v>
      </c>
      <c r="G10422" t="s" s="11">
        <v>152</v>
      </c>
      <c r="H10422" t="s" s="10">
        <v>152</v>
      </c>
      <c r="I10422" t="s" s="11">
        <v>152</v>
      </c>
      <c r="J10422" t="s" s="11">
        <v>20</v>
      </c>
      <c r="K10422" t="s" s="16">
        <f>HYPERLINK("http://csr.bu.edu/ftp/asl/asllvd/demos/verify_start_end_handshape_annotations//test_auto_move//signs_mov/4329.mov","MOV")</f>
        <v>21</v>
      </c>
      <c r="L10422" t="s" s="16">
        <f>HYPERLINK("http://csr.bu.edu/ftp/asl/asllvd/demos/verify_start_end_handshape_annotations//test_auto_move//signs_mov_separ_signers/Brady_4329.mov","MOV")</f>
        <v>21</v>
      </c>
      <c r="M10422" t="s" s="10">
        <v>39</v>
      </c>
      <c r="N10422" s="17">
        <v>37</v>
      </c>
      <c r="O10422" s="18">
        <v>3013</v>
      </c>
      <c r="P10422" s="18">
        <v>3032</v>
      </c>
      <c r="Q10422" t="s" s="16">
        <f>HYPERLINK("http://secrets.rutgers.edu:8080/data/asl-ftp/asllvd/demos/verify_start_end_handshape_annotations//test_auto_move//signs_mov/4329.mov","MOV")</f>
        <v>21</v>
      </c>
      <c r="R10422" t="s" s="16">
        <f>HYPERLINK("http://secrets.rutgers.edu:8080/data/asl-ftp/asllvd/demos/verify_start_end_handshape_annotations//test_auto_move//signs_mov_separ_signers/Brady_4329.mov","MOV")</f>
        <v>21</v>
      </c>
    </row>
    <row r="10423" s="2" customFormat="1" ht="13.5" customHeight="1">
      <c r="B10423" s="13"/>
      <c r="C10423" t="s" s="9">
        <v>41</v>
      </c>
      <c r="D10423" t="s" s="8">
        <v>3904</v>
      </c>
      <c r="E10423" t="s" s="9">
        <v>3904</v>
      </c>
      <c r="F10423" t="s" s="10">
        <v>55</v>
      </c>
      <c r="G10423" t="s" s="11">
        <v>55</v>
      </c>
      <c r="H10423" t="s" s="10">
        <v>55</v>
      </c>
      <c r="I10423" t="s" s="11">
        <v>55</v>
      </c>
      <c r="J10423" t="s" s="11">
        <v>20</v>
      </c>
      <c r="K10423" s="15"/>
      <c r="L10423" t="s" s="16">
        <f>HYPERLINK("http://csr.bu.edu/ftp/asl/asllvd/demos/verify_start_end_handshape_annotations//test_auto_move//signs_mov_separ_signers/Lana_4329.mov","MOV")</f>
        <v>21</v>
      </c>
      <c r="M10423" t="s" s="10">
        <v>42</v>
      </c>
      <c r="N10423" s="17">
        <v>14</v>
      </c>
      <c r="O10423" s="18">
        <v>1599</v>
      </c>
      <c r="P10423" s="18">
        <v>1618</v>
      </c>
      <c r="Q10423" s="15"/>
      <c r="R10423" t="s" s="16">
        <f>HYPERLINK("http://secrets.rutgers.edu:8080/data/asl-ftp/asllvd/demos/verify_start_end_handshape_annotations//test_auto_move//signs_mov_separ_signers/Lana_4329.mov","MOV")</f>
        <v>21</v>
      </c>
    </row>
    <row r="10424" s="2" customFormat="1" ht="13.5" customHeight="1">
      <c r="B10424" s="13"/>
      <c r="C10424" t="s" s="9">
        <v>43</v>
      </c>
      <c r="D10424" t="s" s="8">
        <v>3904</v>
      </c>
      <c r="E10424" t="s" s="9">
        <v>3904</v>
      </c>
      <c r="F10424" t="s" s="10">
        <v>152</v>
      </c>
      <c r="G10424" t="s" s="11">
        <v>152</v>
      </c>
      <c r="H10424" t="s" s="10">
        <v>73</v>
      </c>
      <c r="I10424" t="s" s="11">
        <v>73</v>
      </c>
      <c r="J10424" t="s" s="11">
        <v>20</v>
      </c>
      <c r="K10424" s="15"/>
      <c r="L10424" t="s" s="16">
        <f>HYPERLINK("http://csr.bu.edu/ftp/asl/asllvd/demos/verify_start_end_handshape_annotations//test_auto_move//signs_mov_separ_signers/Dana_4329.mov","MOV")</f>
        <v>21</v>
      </c>
      <c r="M10424" t="s" s="10">
        <v>44</v>
      </c>
      <c r="N10424" s="17">
        <v>17</v>
      </c>
      <c r="O10424" s="18">
        <v>1985</v>
      </c>
      <c r="P10424" s="18">
        <v>2025</v>
      </c>
      <c r="Q10424" s="15"/>
      <c r="R10424" t="s" s="16">
        <f>HYPERLINK("http://secrets.rutgers.edu:8080/data/asl-ftp/asllvd/demos/verify_start_end_handshape_annotations//test_auto_move//signs_mov_separ_signers/Dana_4329.mov","MOV")</f>
        <v>21</v>
      </c>
    </row>
    <row r="10425" s="2" customFormat="1" ht="13.5" customHeight="1">
      <c r="B10425" t="s" s="8">
        <v>52</v>
      </c>
      <c r="C10425" t="s" s="9">
        <v>53</v>
      </c>
      <c r="D10425" t="s" s="8">
        <v>53</v>
      </c>
      <c r="E10425" t="s" s="9">
        <v>53</v>
      </c>
      <c r="F10425" t="s" s="10">
        <v>53</v>
      </c>
      <c r="G10425" t="s" s="11">
        <v>53</v>
      </c>
      <c r="H10425" t="s" s="10">
        <v>53</v>
      </c>
      <c r="I10425" t="s" s="11">
        <v>53</v>
      </c>
      <c r="J10425" t="s" s="11">
        <v>53</v>
      </c>
      <c r="K10425" t="s" s="12">
        <v>53</v>
      </c>
      <c r="L10425" t="s" s="12">
        <v>53</v>
      </c>
      <c r="M10425" t="s" s="10">
        <v>53</v>
      </c>
      <c r="N10425" t="s" s="11">
        <v>53</v>
      </c>
      <c r="O10425" t="s" s="8">
        <v>53</v>
      </c>
      <c r="P10425" t="s" s="8">
        <v>53</v>
      </c>
      <c r="Q10425" t="s" s="12">
        <v>53</v>
      </c>
      <c r="R10425" t="s" s="12">
        <v>53</v>
      </c>
    </row>
    <row r="10426" s="2" customFormat="1" ht="13.5" customHeight="1">
      <c r="B10426" s="13"/>
      <c r="C10426" t="s" s="9">
        <v>16</v>
      </c>
      <c r="D10426" t="s" s="8">
        <v>3904</v>
      </c>
      <c r="E10426" t="s" s="9">
        <v>3905</v>
      </c>
      <c r="F10426" t="s" s="10">
        <v>73</v>
      </c>
      <c r="G10426" t="s" s="11">
        <v>73</v>
      </c>
      <c r="H10426" t="s" s="10">
        <v>73</v>
      </c>
      <c r="I10426" t="s" s="11">
        <v>73</v>
      </c>
      <c r="J10426" t="s" s="11">
        <v>20</v>
      </c>
      <c r="K10426" t="s" s="16">
        <f>HYPERLINK("http://csr.bu.edu/ftp/asl/asllvd/demos/verify_start_end_handshape_annotations//test_auto_move//signs_mov/5576.mov","MOV")</f>
        <v>21</v>
      </c>
      <c r="L10426" t="s" s="16">
        <f>HYPERLINK("http://csr.bu.edu/ftp/asl/asllvd/demos/verify_start_end_handshape_annotations//test_auto_move//signs_mov_separ_signers/Liz_5576.mov","MOV")</f>
        <v>21</v>
      </c>
      <c r="M10426" t="s" s="10">
        <v>77</v>
      </c>
      <c r="N10426" s="17">
        <v>2</v>
      </c>
      <c r="O10426" s="18">
        <v>2801</v>
      </c>
      <c r="P10426" s="18">
        <v>2849</v>
      </c>
      <c r="Q10426" t="s" s="16">
        <f>HYPERLINK("http://secrets.rutgers.edu:8080/data/asl-ftp/asllvd/demos/verify_start_end_handshape_annotations//test_auto_move//signs_mov/5576.mov","MOV")</f>
        <v>21</v>
      </c>
      <c r="R10426" t="s" s="16">
        <f>HYPERLINK("http://secrets.rutgers.edu:8080/data/asl-ftp/asllvd/demos/verify_start_end_handshape_annotations//test_auto_move//signs_mov_separ_signers/Liz_5576.mov","MOV")</f>
        <v>21</v>
      </c>
    </row>
    <row r="10427" s="2" customFormat="1" ht="13.5" customHeight="1">
      <c r="B10427" s="13"/>
      <c r="C10427" t="s" s="9">
        <v>30</v>
      </c>
      <c r="D10427" t="s" s="8">
        <v>3904</v>
      </c>
      <c r="E10427" t="s" s="9">
        <v>3905</v>
      </c>
      <c r="F10427" t="s" s="10">
        <v>152</v>
      </c>
      <c r="G10427" t="s" s="11">
        <v>152</v>
      </c>
      <c r="H10427" t="s" s="10">
        <v>152</v>
      </c>
      <c r="I10427" t="s" s="11">
        <v>152</v>
      </c>
      <c r="J10427" t="s" s="11">
        <v>20</v>
      </c>
      <c r="K10427" s="15"/>
      <c r="L10427" t="s" s="16">
        <f>HYPERLINK("http://csr.bu.edu/ftp/asl/asllvd/demos/verify_start_end_handshape_annotations//test_auto_move//signs_mov_separ_signers/Brady_5576.mov","MOV")</f>
        <v>21</v>
      </c>
      <c r="M10427" t="s" s="10">
        <v>39</v>
      </c>
      <c r="N10427" s="17">
        <v>37</v>
      </c>
      <c r="O10427" s="18">
        <v>3294</v>
      </c>
      <c r="P10427" s="18">
        <v>3352</v>
      </c>
      <c r="Q10427" s="15"/>
      <c r="R10427" t="s" s="16">
        <f>HYPERLINK("http://secrets.rutgers.edu:8080/data/asl-ftp/asllvd/demos/verify_start_end_handshape_annotations//test_auto_move//signs_mov_separ_signers/Brady_5576.mov","MOV")</f>
        <v>21</v>
      </c>
    </row>
    <row r="10428" s="2" customFormat="1" ht="13.5" customHeight="1">
      <c r="B10428" t="s" s="8">
        <v>3906</v>
      </c>
      <c r="C10428" t="s" s="9">
        <v>14</v>
      </c>
      <c r="D10428" t="s" s="8">
        <v>14</v>
      </c>
      <c r="E10428" t="s" s="9">
        <v>14</v>
      </c>
      <c r="F10428" t="s" s="10">
        <v>14</v>
      </c>
      <c r="G10428" t="s" s="11">
        <v>14</v>
      </c>
      <c r="H10428" t="s" s="10">
        <v>14</v>
      </c>
      <c r="I10428" t="s" s="11">
        <v>14</v>
      </c>
      <c r="J10428" t="s" s="11">
        <v>14</v>
      </c>
      <c r="K10428" t="s" s="12">
        <v>14</v>
      </c>
      <c r="L10428" t="s" s="12">
        <v>14</v>
      </c>
      <c r="M10428" t="s" s="10">
        <v>14</v>
      </c>
      <c r="N10428" t="s" s="11">
        <v>14</v>
      </c>
      <c r="O10428" t="s" s="8">
        <v>14</v>
      </c>
      <c r="P10428" t="s" s="8">
        <v>14</v>
      </c>
      <c r="Q10428" t="s" s="12">
        <v>14</v>
      </c>
      <c r="R10428" t="s" s="12">
        <v>14</v>
      </c>
    </row>
    <row r="10429" s="2" customFormat="1" ht="13.5" customHeight="1">
      <c r="B10429" s="13"/>
      <c r="C10429" t="s" s="9">
        <v>16</v>
      </c>
      <c r="D10429" t="s" s="8">
        <v>3906</v>
      </c>
      <c r="E10429" t="s" s="9">
        <v>3906</v>
      </c>
      <c r="F10429" t="s" s="10">
        <v>25</v>
      </c>
      <c r="G10429" t="s" s="11">
        <v>25</v>
      </c>
      <c r="H10429" t="s" s="10">
        <v>25</v>
      </c>
      <c r="I10429" t="s" s="11">
        <v>25</v>
      </c>
      <c r="J10429" t="s" s="11">
        <v>20</v>
      </c>
      <c r="K10429" t="s" s="16">
        <f>HYPERLINK("http://csr.bu.edu/ftp/asl/asllvd/demos/verify_start_end_handshape_annotations//test_auto_move//signs_mov/4331.mov","MOV")</f>
        <v>21</v>
      </c>
      <c r="L10429" t="s" s="16">
        <f>HYPERLINK("http://csr.bu.edu/ftp/asl/asllvd/demos/verify_start_end_handshape_annotations//test_auto_move//signs_mov_separ_signers/Liz_4331.mov","MOV")</f>
        <v>21</v>
      </c>
      <c r="M10429" t="s" s="10">
        <v>77</v>
      </c>
      <c r="N10429" s="17">
        <v>2</v>
      </c>
      <c r="O10429" s="18">
        <v>2988</v>
      </c>
      <c r="P10429" s="18">
        <v>3030</v>
      </c>
      <c r="Q10429" t="s" s="16">
        <f>HYPERLINK("http://secrets.rutgers.edu:8080/data/asl-ftp/asllvd/demos/verify_start_end_handshape_annotations//test_auto_move//signs_mov/4331.mov","MOV")</f>
        <v>21</v>
      </c>
      <c r="R10429" t="s" s="16">
        <f>HYPERLINK("http://secrets.rutgers.edu:8080/data/asl-ftp/asllvd/demos/verify_start_end_handshape_annotations//test_auto_move//signs_mov_separ_signers/Liz_4331.mov","MOV")</f>
        <v>21</v>
      </c>
    </row>
    <row r="10430" s="2" customFormat="1" ht="13.5" customHeight="1">
      <c r="B10430" s="13"/>
      <c r="C10430" t="s" s="9">
        <v>30</v>
      </c>
      <c r="D10430" t="s" s="8">
        <v>3906</v>
      </c>
      <c r="E10430" t="s" s="9">
        <v>3906</v>
      </c>
      <c r="F10430" t="s" s="10">
        <v>25</v>
      </c>
      <c r="G10430" t="s" s="11">
        <v>25</v>
      </c>
      <c r="H10430" t="s" s="10">
        <v>25</v>
      </c>
      <c r="I10430" t="s" s="11">
        <v>25</v>
      </c>
      <c r="J10430" t="s" s="11">
        <v>20</v>
      </c>
      <c r="K10430" s="15"/>
      <c r="L10430" t="s" s="16">
        <f>HYPERLINK("http://csr.bu.edu/ftp/asl/asllvd/demos/verify_start_end_handshape_annotations//test_auto_move//signs_mov_separ_signers/Brady_4331.mov","MOV")</f>
        <v>21</v>
      </c>
      <c r="M10430" t="s" s="10">
        <v>39</v>
      </c>
      <c r="N10430" s="17">
        <v>46</v>
      </c>
      <c r="O10430" s="18">
        <v>3488</v>
      </c>
      <c r="P10430" s="18">
        <v>3508</v>
      </c>
      <c r="Q10430" s="15"/>
      <c r="R10430" t="s" s="16">
        <f>HYPERLINK("http://secrets.rutgers.edu:8080/data/asl-ftp/asllvd/demos/verify_start_end_handshape_annotations//test_auto_move//signs_mov_separ_signers/Brady_4331.mov","MOV")</f>
        <v>21</v>
      </c>
    </row>
    <row r="10431" s="2" customFormat="1" ht="13.5" customHeight="1">
      <c r="B10431" t="s" s="8">
        <v>52</v>
      </c>
      <c r="C10431" t="s" s="9">
        <v>53</v>
      </c>
      <c r="D10431" t="s" s="8">
        <v>53</v>
      </c>
      <c r="E10431" t="s" s="9">
        <v>53</v>
      </c>
      <c r="F10431" t="s" s="10">
        <v>53</v>
      </c>
      <c r="G10431" t="s" s="11">
        <v>53</v>
      </c>
      <c r="H10431" t="s" s="10">
        <v>53</v>
      </c>
      <c r="I10431" t="s" s="11">
        <v>53</v>
      </c>
      <c r="J10431" t="s" s="11">
        <v>53</v>
      </c>
      <c r="K10431" t="s" s="12">
        <v>53</v>
      </c>
      <c r="L10431" t="s" s="12">
        <v>53</v>
      </c>
      <c r="M10431" t="s" s="10">
        <v>53</v>
      </c>
      <c r="N10431" t="s" s="11">
        <v>53</v>
      </c>
      <c r="O10431" t="s" s="8">
        <v>53</v>
      </c>
      <c r="P10431" t="s" s="8">
        <v>53</v>
      </c>
      <c r="Q10431" t="s" s="12">
        <v>53</v>
      </c>
      <c r="R10431" t="s" s="12">
        <v>53</v>
      </c>
    </row>
    <row r="10432" s="2" customFormat="1" ht="13.5" customHeight="1">
      <c r="B10432" s="13"/>
      <c r="C10432" t="s" s="9">
        <v>16</v>
      </c>
      <c r="D10432" t="s" s="8">
        <v>3906</v>
      </c>
      <c r="E10432" t="s" s="9">
        <v>3907</v>
      </c>
      <c r="F10432" t="s" s="10">
        <v>25</v>
      </c>
      <c r="G10432" t="s" s="11">
        <v>25</v>
      </c>
      <c r="H10432" t="s" s="10">
        <v>25</v>
      </c>
      <c r="I10432" t="s" s="11">
        <v>25</v>
      </c>
      <c r="J10432" t="s" s="11">
        <v>20</v>
      </c>
      <c r="K10432" t="s" s="16">
        <f>HYPERLINK("http://csr.bu.edu/ftp/asl/asllvd/demos/verify_start_end_handshape_annotations//test_auto_move//signs_mov/5577.mov","MOV")</f>
        <v>21</v>
      </c>
      <c r="L10432" t="s" s="16">
        <f>HYPERLINK("http://csr.bu.edu/ftp/asl/asllvd/demos/verify_start_end_handshape_annotations//test_auto_move//signs_mov_separ_signers/Liz_5577.mov","MOV")</f>
        <v>21</v>
      </c>
      <c r="M10432" t="s" s="10">
        <v>77</v>
      </c>
      <c r="N10432" s="17">
        <v>2</v>
      </c>
      <c r="O10432" s="18">
        <v>3140</v>
      </c>
      <c r="P10432" s="18">
        <v>3187</v>
      </c>
      <c r="Q10432" t="s" s="16">
        <f>HYPERLINK("http://secrets.rutgers.edu:8080/data/asl-ftp/asllvd/demos/verify_start_end_handshape_annotations//test_auto_move//signs_mov/5577.mov","MOV")</f>
        <v>21</v>
      </c>
      <c r="R10432" t="s" s="16">
        <f>HYPERLINK("http://secrets.rutgers.edu:8080/data/asl-ftp/asllvd/demos/verify_start_end_handshape_annotations//test_auto_move//signs_mov_separ_signers/Liz_5577.mov","MOV")</f>
        <v>21</v>
      </c>
    </row>
    <row r="10433" s="2" customFormat="1" ht="13.5" customHeight="1">
      <c r="B10433" s="13"/>
      <c r="C10433" t="s" s="9">
        <v>30</v>
      </c>
      <c r="D10433" t="s" s="8">
        <v>3906</v>
      </c>
      <c r="E10433" t="s" s="9">
        <v>3907</v>
      </c>
      <c r="F10433" t="s" s="10">
        <v>25</v>
      </c>
      <c r="G10433" t="s" s="11">
        <v>25</v>
      </c>
      <c r="H10433" t="s" s="10">
        <v>25</v>
      </c>
      <c r="I10433" t="s" s="11">
        <v>25</v>
      </c>
      <c r="J10433" t="s" s="11">
        <v>20</v>
      </c>
      <c r="K10433" s="15"/>
      <c r="L10433" t="s" s="16">
        <f>HYPERLINK("http://csr.bu.edu/ftp/asl/asllvd/demos/verify_start_end_handshape_annotations//test_auto_move//signs_mov_separ_signers/Brady_5577.mov","MOV")</f>
        <v>21</v>
      </c>
      <c r="M10433" t="s" s="10">
        <v>39</v>
      </c>
      <c r="N10433" s="17">
        <v>46</v>
      </c>
      <c r="O10433" s="18">
        <v>3719</v>
      </c>
      <c r="P10433" s="18">
        <v>3759</v>
      </c>
      <c r="Q10433" s="15"/>
      <c r="R10433" t="s" s="16">
        <f>HYPERLINK("http://secrets.rutgers.edu:8080/data/asl-ftp/asllvd/demos/verify_start_end_handshape_annotations//test_auto_move//signs_mov_separ_signers/Brady_5577.mov","MOV")</f>
        <v>21</v>
      </c>
    </row>
    <row r="10434" s="2" customFormat="1" ht="13.5" customHeight="1">
      <c r="B10434" t="s" s="8">
        <v>3908</v>
      </c>
      <c r="C10434" t="s" s="9">
        <v>14</v>
      </c>
      <c r="D10434" t="s" s="8">
        <v>14</v>
      </c>
      <c r="E10434" t="s" s="9">
        <v>14</v>
      </c>
      <c r="F10434" t="s" s="10">
        <v>14</v>
      </c>
      <c r="G10434" t="s" s="11">
        <v>14</v>
      </c>
      <c r="H10434" t="s" s="10">
        <v>14</v>
      </c>
      <c r="I10434" t="s" s="11">
        <v>14</v>
      </c>
      <c r="J10434" t="s" s="11">
        <v>14</v>
      </c>
      <c r="K10434" t="s" s="12">
        <v>14</v>
      </c>
      <c r="L10434" t="s" s="12">
        <v>14</v>
      </c>
      <c r="M10434" t="s" s="10">
        <v>14</v>
      </c>
      <c r="N10434" t="s" s="11">
        <v>14</v>
      </c>
      <c r="O10434" t="s" s="8">
        <v>14</v>
      </c>
      <c r="P10434" t="s" s="8">
        <v>14</v>
      </c>
      <c r="Q10434" t="s" s="12">
        <v>14</v>
      </c>
      <c r="R10434" t="s" s="12">
        <v>14</v>
      </c>
    </row>
    <row r="10435" s="2" customFormat="1" ht="13.5" customHeight="1">
      <c r="B10435" s="13"/>
      <c r="C10435" t="s" s="9">
        <v>16</v>
      </c>
      <c r="D10435" t="s" s="8">
        <v>3908</v>
      </c>
      <c r="E10435" t="s" s="9">
        <v>3908</v>
      </c>
      <c r="F10435" t="s" s="10">
        <v>25</v>
      </c>
      <c r="G10435" t="s" s="11">
        <v>73</v>
      </c>
      <c r="H10435" t="s" s="10">
        <v>25</v>
      </c>
      <c r="I10435" t="s" s="11">
        <v>73</v>
      </c>
      <c r="J10435" t="s" s="11">
        <v>20</v>
      </c>
      <c r="K10435" s="15"/>
      <c r="L10435" t="s" s="16">
        <f>HYPERLINK("http://csr.bu.edu/ftp/asl/asllvd/demos/verify_start_end_handshape_annotations//test_auto_move//signs_mov_separ_signers/Liz_4333.mov","MOV")</f>
        <v>21</v>
      </c>
      <c r="M10435" t="s" s="10">
        <v>77</v>
      </c>
      <c r="N10435" s="17">
        <v>2</v>
      </c>
      <c r="O10435" s="18">
        <v>3305</v>
      </c>
      <c r="P10435" s="18">
        <v>3345</v>
      </c>
      <c r="Q10435" s="15"/>
      <c r="R10435" t="s" s="16">
        <f>HYPERLINK("http://secrets.rutgers.edu:8080/data/asl-ftp/asllvd/demos/verify_start_end_handshape_annotations//test_auto_move//signs_mov_separ_signers/Liz_4333.mov","MOV")</f>
        <v>21</v>
      </c>
    </row>
    <row r="10436" s="2" customFormat="1" ht="13.5" customHeight="1">
      <c r="B10436" s="13"/>
      <c r="C10436" t="s" s="9">
        <v>30</v>
      </c>
      <c r="D10436" t="s" s="8">
        <v>3908</v>
      </c>
      <c r="E10436" t="s" s="9">
        <v>3908</v>
      </c>
      <c r="F10436" t="s" s="10">
        <v>25</v>
      </c>
      <c r="G10436" t="s" s="11">
        <v>73</v>
      </c>
      <c r="H10436" t="s" s="10">
        <v>25</v>
      </c>
      <c r="I10436" t="s" s="11">
        <v>73</v>
      </c>
      <c r="J10436" t="s" s="11">
        <v>20</v>
      </c>
      <c r="K10436" t="s" s="16">
        <f>HYPERLINK("http://csr.bu.edu/ftp/asl/asllvd/demos/verify_start_end_handshape_annotations//test_auto_move//signs_mov/4333.mov","MOV")</f>
        <v>21</v>
      </c>
      <c r="L10436" t="s" s="16">
        <f>HYPERLINK("http://csr.bu.edu/ftp/asl/asllvd/demos/verify_start_end_handshape_annotations//test_auto_move//signs_mov_separ_signers/Brady_4333.mov","MOV")</f>
        <v>21</v>
      </c>
      <c r="M10436" t="s" s="10">
        <v>39</v>
      </c>
      <c r="N10436" s="17">
        <v>47</v>
      </c>
      <c r="O10436" s="18">
        <v>2043</v>
      </c>
      <c r="P10436" s="18">
        <v>2064</v>
      </c>
      <c r="Q10436" t="s" s="16">
        <f>HYPERLINK("http://secrets.rutgers.edu:8080/data/asl-ftp/asllvd/demos/verify_start_end_handshape_annotations//test_auto_move//signs_mov/4333.mov","MOV")</f>
        <v>21</v>
      </c>
      <c r="R10436" t="s" s="16">
        <f>HYPERLINK("http://secrets.rutgers.edu:8080/data/asl-ftp/asllvd/demos/verify_start_end_handshape_annotations//test_auto_move//signs_mov_separ_signers/Brady_4333.mov","MOV")</f>
        <v>21</v>
      </c>
    </row>
    <row r="10437" s="2" customFormat="1" ht="13.5" customHeight="1">
      <c r="B10437" s="13"/>
      <c r="C10437" t="s" s="9">
        <v>41</v>
      </c>
      <c r="D10437" t="s" s="8">
        <v>3908</v>
      </c>
      <c r="E10437" t="s" s="9">
        <v>3908</v>
      </c>
      <c r="F10437" t="s" s="10">
        <v>25</v>
      </c>
      <c r="G10437" t="s" s="11">
        <v>73</v>
      </c>
      <c r="H10437" t="s" s="10">
        <v>25</v>
      </c>
      <c r="I10437" t="s" s="11">
        <v>73</v>
      </c>
      <c r="J10437" t="s" s="11">
        <v>20</v>
      </c>
      <c r="K10437" s="15"/>
      <c r="L10437" t="s" s="16">
        <f>HYPERLINK("http://csr.bu.edu/ftp/asl/asllvd/demos/verify_start_end_handshape_annotations//test_auto_move//signs_mov_separ_signers/Lana_4333.mov","MOV")</f>
        <v>21</v>
      </c>
      <c r="M10437" t="s" s="10">
        <v>42</v>
      </c>
      <c r="N10437" s="17">
        <v>15</v>
      </c>
      <c r="O10437" s="18">
        <v>2232</v>
      </c>
      <c r="P10437" s="18">
        <v>2271</v>
      </c>
      <c r="Q10437" s="15"/>
      <c r="R10437" t="s" s="16">
        <f>HYPERLINK("http://secrets.rutgers.edu:8080/data/asl-ftp/asllvd/demos/verify_start_end_handshape_annotations//test_auto_move//signs_mov_separ_signers/Lana_4333.mov","MOV")</f>
        <v>21</v>
      </c>
    </row>
    <row r="10438" s="2" customFormat="1" ht="13.5" customHeight="1">
      <c r="B10438" s="13"/>
      <c r="C10438" t="s" s="9">
        <v>43</v>
      </c>
      <c r="D10438" t="s" s="8">
        <v>3908</v>
      </c>
      <c r="E10438" t="s" s="9">
        <v>3908</v>
      </c>
      <c r="F10438" t="s" s="10">
        <v>25</v>
      </c>
      <c r="G10438" t="s" s="11">
        <v>73</v>
      </c>
      <c r="H10438" t="s" s="10">
        <v>25</v>
      </c>
      <c r="I10438" t="s" s="11">
        <v>73</v>
      </c>
      <c r="J10438" t="s" s="11">
        <v>20</v>
      </c>
      <c r="K10438" s="15"/>
      <c r="L10438" t="s" s="16">
        <f>HYPERLINK("http://csr.bu.edu/ftp/asl/asllvd/demos/verify_start_end_handshape_annotations//test_auto_move//signs_mov_separ_signers/Dana_4333.mov","MOV")</f>
        <v>21</v>
      </c>
      <c r="M10438" t="s" s="10">
        <v>44</v>
      </c>
      <c r="N10438" s="17">
        <v>18</v>
      </c>
      <c r="O10438" s="18">
        <v>2205</v>
      </c>
      <c r="P10438" s="18">
        <v>2256</v>
      </c>
      <c r="Q10438" s="15"/>
      <c r="R10438" t="s" s="16">
        <f>HYPERLINK("http://secrets.rutgers.edu:8080/data/asl-ftp/asllvd/demos/verify_start_end_handshape_annotations//test_auto_move//signs_mov_separ_signers/Dana_4333.mov","MOV")</f>
        <v>21</v>
      </c>
    </row>
    <row r="10439" s="2" customFormat="1" ht="13.5" customHeight="1">
      <c r="B10439" t="s" s="8">
        <v>52</v>
      </c>
      <c r="C10439" t="s" s="9">
        <v>53</v>
      </c>
      <c r="D10439" t="s" s="8">
        <v>53</v>
      </c>
      <c r="E10439" t="s" s="9">
        <v>53</v>
      </c>
      <c r="F10439" t="s" s="10">
        <v>53</v>
      </c>
      <c r="G10439" t="s" s="11">
        <v>53</v>
      </c>
      <c r="H10439" t="s" s="10">
        <v>53</v>
      </c>
      <c r="I10439" t="s" s="11">
        <v>53</v>
      </c>
      <c r="J10439" t="s" s="11">
        <v>53</v>
      </c>
      <c r="K10439" t="s" s="12">
        <v>53</v>
      </c>
      <c r="L10439" t="s" s="12">
        <v>53</v>
      </c>
      <c r="M10439" t="s" s="10">
        <v>53</v>
      </c>
      <c r="N10439" t="s" s="11">
        <v>53</v>
      </c>
      <c r="O10439" t="s" s="8">
        <v>53</v>
      </c>
      <c r="P10439" t="s" s="8">
        <v>53</v>
      </c>
      <c r="Q10439" t="s" s="12">
        <v>53</v>
      </c>
      <c r="R10439" t="s" s="12">
        <v>53</v>
      </c>
    </row>
    <row r="10440" s="2" customFormat="1" ht="13.5" customHeight="1">
      <c r="B10440" s="13"/>
      <c r="C10440" t="s" s="9">
        <v>16</v>
      </c>
      <c r="D10440" t="s" s="8">
        <v>3908</v>
      </c>
      <c r="E10440" t="s" s="9">
        <v>3909</v>
      </c>
      <c r="F10440" t="s" s="10">
        <v>25</v>
      </c>
      <c r="G10440" t="s" s="11">
        <v>73</v>
      </c>
      <c r="H10440" t="s" s="10">
        <v>25</v>
      </c>
      <c r="I10440" t="s" s="11">
        <v>73</v>
      </c>
      <c r="J10440" t="s" s="11">
        <v>20</v>
      </c>
      <c r="K10440" t="s" s="16">
        <f>HYPERLINK("http://csr.bu.edu/ftp/asl/asllvd/demos/verify_start_end_handshape_annotations//test_auto_move//signs_mov/5578.mov","MOV")</f>
        <v>21</v>
      </c>
      <c r="L10440" t="s" s="16">
        <f>HYPERLINK("http://csr.bu.edu/ftp/asl/asllvd/demos/verify_start_end_handshape_annotations//test_auto_move//signs_mov_separ_signers/Liz_5578.mov","MOV")</f>
        <v>21</v>
      </c>
      <c r="M10440" t="s" s="10">
        <v>77</v>
      </c>
      <c r="N10440" s="17">
        <v>2</v>
      </c>
      <c r="O10440" s="18">
        <v>3455</v>
      </c>
      <c r="P10440" s="18">
        <v>3511</v>
      </c>
      <c r="Q10440" t="s" s="16">
        <f>HYPERLINK("http://secrets.rutgers.edu:8080/data/asl-ftp/asllvd/demos/verify_start_end_handshape_annotations//test_auto_move//signs_mov/5578.mov","MOV")</f>
        <v>21</v>
      </c>
      <c r="R10440" t="s" s="16">
        <f>HYPERLINK("http://secrets.rutgers.edu:8080/data/asl-ftp/asllvd/demos/verify_start_end_handshape_annotations//test_auto_move//signs_mov_separ_signers/Liz_5578.mov","MOV")</f>
        <v>21</v>
      </c>
    </row>
    <row r="10441" s="2" customFormat="1" ht="13.5" customHeight="1">
      <c r="B10441" s="13"/>
      <c r="C10441" t="s" s="9">
        <v>30</v>
      </c>
      <c r="D10441" t="s" s="8">
        <v>3908</v>
      </c>
      <c r="E10441" t="s" s="9">
        <v>3909</v>
      </c>
      <c r="F10441" t="s" s="10">
        <v>25</v>
      </c>
      <c r="G10441" t="s" s="11">
        <v>73</v>
      </c>
      <c r="H10441" t="s" s="10">
        <v>25</v>
      </c>
      <c r="I10441" t="s" s="11">
        <v>73</v>
      </c>
      <c r="J10441" t="s" s="11">
        <v>20</v>
      </c>
      <c r="K10441" s="15"/>
      <c r="L10441" t="s" s="16">
        <f>HYPERLINK("http://csr.bu.edu/ftp/asl/asllvd/demos/verify_start_end_handshape_annotations//test_auto_move//signs_mov_separ_signers/Brady_5578.mov","MOV")</f>
        <v>21</v>
      </c>
      <c r="M10441" t="s" s="10">
        <v>39</v>
      </c>
      <c r="N10441" s="17">
        <v>47</v>
      </c>
      <c r="O10441" s="18">
        <v>2317</v>
      </c>
      <c r="P10441" s="18">
        <v>2373</v>
      </c>
      <c r="Q10441" s="15"/>
      <c r="R10441" t="s" s="16">
        <f>HYPERLINK("http://secrets.rutgers.edu:8080/data/asl-ftp/asllvd/demos/verify_start_end_handshape_annotations//test_auto_move//signs_mov_separ_signers/Brady_5578.mov","MOV")</f>
        <v>21</v>
      </c>
    </row>
    <row r="10442" s="2" customFormat="1" ht="13.5" customHeight="1">
      <c r="B10442" t="s" s="8">
        <v>3910</v>
      </c>
      <c r="C10442" t="s" s="9">
        <v>14</v>
      </c>
      <c r="D10442" t="s" s="8">
        <v>14</v>
      </c>
      <c r="E10442" t="s" s="9">
        <v>14</v>
      </c>
      <c r="F10442" t="s" s="10">
        <v>14</v>
      </c>
      <c r="G10442" t="s" s="11">
        <v>14</v>
      </c>
      <c r="H10442" t="s" s="10">
        <v>14</v>
      </c>
      <c r="I10442" t="s" s="11">
        <v>14</v>
      </c>
      <c r="J10442" t="s" s="11">
        <v>14</v>
      </c>
      <c r="K10442" t="s" s="12">
        <v>14</v>
      </c>
      <c r="L10442" t="s" s="12">
        <v>14</v>
      </c>
      <c r="M10442" t="s" s="10">
        <v>14</v>
      </c>
      <c r="N10442" t="s" s="11">
        <v>14</v>
      </c>
      <c r="O10442" t="s" s="8">
        <v>14</v>
      </c>
      <c r="P10442" t="s" s="8">
        <v>14</v>
      </c>
      <c r="Q10442" t="s" s="12">
        <v>14</v>
      </c>
      <c r="R10442" t="s" s="12">
        <v>14</v>
      </c>
    </row>
    <row r="10443" s="2" customFormat="1" ht="13.5" customHeight="1">
      <c r="B10443" s="13"/>
      <c r="C10443" t="s" s="9">
        <v>16</v>
      </c>
      <c r="D10443" t="s" s="8">
        <v>3910</v>
      </c>
      <c r="E10443" t="s" s="9">
        <v>3910</v>
      </c>
      <c r="F10443" t="s" s="10">
        <v>2861</v>
      </c>
      <c r="G10443" t="s" s="11">
        <v>73</v>
      </c>
      <c r="H10443" t="s" s="10">
        <v>2861</v>
      </c>
      <c r="I10443" t="s" s="11">
        <v>73</v>
      </c>
      <c r="J10443" t="s" s="11">
        <v>20</v>
      </c>
      <c r="K10443" s="15"/>
      <c r="L10443" t="s" s="16">
        <f>HYPERLINK("http://csr.bu.edu/ftp/asl/asllvd/demos/verify_start_end_handshape_annotations//test_auto_move//signs_mov_separ_signers/Liz_15969.mov","MOV")</f>
        <v>21</v>
      </c>
      <c r="M10443" t="s" s="10">
        <v>77</v>
      </c>
      <c r="N10443" s="17">
        <v>3</v>
      </c>
      <c r="O10443" s="18">
        <v>2360</v>
      </c>
      <c r="P10443" s="18">
        <v>2406</v>
      </c>
      <c r="Q10443" s="15"/>
      <c r="R10443" t="s" s="16">
        <f>HYPERLINK("http://secrets.rutgers.edu:8080/data/asl-ftp/asllvd/demos/verify_start_end_handshape_annotations//test_auto_move//signs_mov_separ_signers/Liz_15969.mov","MOV")</f>
        <v>21</v>
      </c>
    </row>
    <row r="10444" s="2" customFormat="1" ht="13.5" customHeight="1">
      <c r="B10444" s="13"/>
      <c r="C10444" t="s" s="9">
        <v>30</v>
      </c>
      <c r="D10444" t="s" s="8">
        <v>3910</v>
      </c>
      <c r="E10444" t="s" s="9">
        <v>3910</v>
      </c>
      <c r="F10444" t="s" s="10">
        <v>251</v>
      </c>
      <c r="G10444" t="s" s="11">
        <v>73</v>
      </c>
      <c r="H10444" t="s" s="10">
        <v>251</v>
      </c>
      <c r="I10444" t="s" s="11">
        <v>73</v>
      </c>
      <c r="J10444" t="s" s="11">
        <v>20</v>
      </c>
      <c r="K10444" t="s" s="16">
        <f>HYPERLINK("http://csr.bu.edu/ftp/asl/asllvd/demos/verify_start_end_handshape_annotations//test_auto_move//signs_mov/15969_15977_merged.mov","MOV")</f>
        <v>21</v>
      </c>
      <c r="L10444" t="s" s="16">
        <f>HYPERLINK("http://csr.bu.edu/ftp/asl/asllvd/demos/verify_start_end_handshape_annotations//test_auto_move//signs_mov_separ_signers/Brady_15969.mov","MOV")</f>
        <v>21</v>
      </c>
      <c r="M10444" t="s" s="10">
        <v>40</v>
      </c>
      <c r="N10444" s="17">
        <v>53</v>
      </c>
      <c r="O10444" s="18">
        <v>1824</v>
      </c>
      <c r="P10444" s="18">
        <v>1851</v>
      </c>
      <c r="Q10444" t="s" s="16">
        <f>HYPERLINK("http://secrets.rutgers.edu:8080/data/asl-ftp/asllvd/demos/verify_start_end_handshape_annotations//test_auto_move//signs_mov/15969_15977_merged.mov","MOV")</f>
        <v>21</v>
      </c>
      <c r="R10444" t="s" s="16">
        <f>HYPERLINK("http://secrets.rutgers.edu:8080/data/asl-ftp/asllvd/demos/verify_start_end_handshape_annotations//test_auto_move//signs_mov_separ_signers/Brady_15969.mov","MOV")</f>
        <v>21</v>
      </c>
    </row>
    <row r="10445" s="2" customFormat="1" ht="13.5" customHeight="1">
      <c r="B10445" s="13"/>
      <c r="C10445" t="s" s="9">
        <v>30</v>
      </c>
      <c r="D10445" t="s" s="8">
        <v>3910</v>
      </c>
      <c r="E10445" t="s" s="9">
        <v>3910</v>
      </c>
      <c r="F10445" t="s" s="10">
        <v>251</v>
      </c>
      <c r="G10445" t="s" s="11">
        <v>73</v>
      </c>
      <c r="H10445" t="s" s="10">
        <v>251</v>
      </c>
      <c r="I10445" t="s" s="11">
        <v>73</v>
      </c>
      <c r="J10445" t="s" s="11">
        <v>20</v>
      </c>
      <c r="K10445" s="15"/>
      <c r="L10445" t="s" s="16">
        <f>HYPERLINK("http://csr.bu.edu/ftp/asl/asllvd/demos/verify_start_end_handshape_annotations//test_auto_move//signs_mov_separ_signers/Brady_15977.mov","MOV")</f>
        <v>21</v>
      </c>
      <c r="M10445" t="s" s="10">
        <v>40</v>
      </c>
      <c r="N10445" s="17">
        <v>70</v>
      </c>
      <c r="O10445" s="18">
        <v>222</v>
      </c>
      <c r="P10445" s="18">
        <v>250</v>
      </c>
      <c r="Q10445" s="15"/>
      <c r="R10445" t="s" s="16">
        <f>HYPERLINK("http://secrets.rutgers.edu:8080/data/asl-ftp/asllvd/demos/verify_start_end_handshape_annotations//test_auto_move//signs_mov_separ_signers/Brady_15977.mov","MOV")</f>
        <v>21</v>
      </c>
    </row>
    <row r="10446" s="2" customFormat="1" ht="13.5" customHeight="1">
      <c r="B10446" s="13"/>
      <c r="C10446" t="s" s="9">
        <v>41</v>
      </c>
      <c r="D10446" t="s" s="8">
        <v>3910</v>
      </c>
      <c r="E10446" t="s" s="9">
        <v>3910</v>
      </c>
      <c r="F10446" t="s" s="10">
        <v>251</v>
      </c>
      <c r="G10446" t="s" s="11">
        <v>73</v>
      </c>
      <c r="H10446" t="s" s="10">
        <v>251</v>
      </c>
      <c r="I10446" t="s" s="11">
        <v>73</v>
      </c>
      <c r="J10446" t="s" s="11">
        <v>20</v>
      </c>
      <c r="K10446" s="15"/>
      <c r="L10446" t="s" s="16">
        <f>HYPERLINK("http://csr.bu.edu/ftp/asl/asllvd/demos/verify_start_end_handshape_annotations//test_auto_move//signs_mov_separ_signers/Lana_15969.mov","MOV")</f>
        <v>21</v>
      </c>
      <c r="M10446" t="s" s="10">
        <v>42</v>
      </c>
      <c r="N10446" s="17">
        <v>24</v>
      </c>
      <c r="O10446" s="18">
        <v>701</v>
      </c>
      <c r="P10446" s="18">
        <v>720</v>
      </c>
      <c r="Q10446" s="15"/>
      <c r="R10446" t="s" s="16">
        <f>HYPERLINK("http://secrets.rutgers.edu:8080/data/asl-ftp/asllvd/demos/verify_start_end_handshape_annotations//test_auto_move//signs_mov_separ_signers/Lana_15969.mov","MOV")</f>
        <v>21</v>
      </c>
    </row>
    <row r="10447" s="2" customFormat="1" ht="13.5" customHeight="1">
      <c r="B10447" t="s" s="8">
        <v>52</v>
      </c>
      <c r="C10447" t="s" s="9">
        <v>53</v>
      </c>
      <c r="D10447" t="s" s="8">
        <v>53</v>
      </c>
      <c r="E10447" t="s" s="9">
        <v>53</v>
      </c>
      <c r="F10447" t="s" s="10">
        <v>53</v>
      </c>
      <c r="G10447" t="s" s="11">
        <v>53</v>
      </c>
      <c r="H10447" t="s" s="10">
        <v>53</v>
      </c>
      <c r="I10447" t="s" s="11">
        <v>53</v>
      </c>
      <c r="J10447" t="s" s="11">
        <v>53</v>
      </c>
      <c r="K10447" t="s" s="12">
        <v>53</v>
      </c>
      <c r="L10447" t="s" s="12">
        <v>53</v>
      </c>
      <c r="M10447" t="s" s="10">
        <v>53</v>
      </c>
      <c r="N10447" t="s" s="11">
        <v>53</v>
      </c>
      <c r="O10447" t="s" s="8">
        <v>53</v>
      </c>
      <c r="P10447" t="s" s="8">
        <v>53</v>
      </c>
      <c r="Q10447" t="s" s="12">
        <v>53</v>
      </c>
      <c r="R10447" t="s" s="12">
        <v>53</v>
      </c>
    </row>
    <row r="10448" s="2" customFormat="1" ht="13.5" customHeight="1">
      <c r="B10448" s="13"/>
      <c r="C10448" t="s" s="9">
        <v>16</v>
      </c>
      <c r="D10448" t="s" s="8">
        <v>3910</v>
      </c>
      <c r="E10448" t="s" s="9">
        <v>3911</v>
      </c>
      <c r="F10448" t="s" s="10">
        <v>2861</v>
      </c>
      <c r="G10448" t="s" s="11">
        <v>73</v>
      </c>
      <c r="H10448" t="s" s="10">
        <v>2861</v>
      </c>
      <c r="I10448" t="s" s="11">
        <v>73</v>
      </c>
      <c r="J10448" t="s" s="11">
        <v>20</v>
      </c>
      <c r="K10448" t="s" s="16">
        <f>HYPERLINK("http://csr.bu.edu/ftp/asl/asllvd/demos/verify_start_end_handshape_annotations//test_auto_move//signs_mov/16282.mov","MOV")</f>
        <v>21</v>
      </c>
      <c r="L10448" t="s" s="16">
        <f>HYPERLINK("http://csr.bu.edu/ftp/asl/asllvd/demos/verify_start_end_handshape_annotations//test_auto_move//signs_mov_separ_signers/Liz_16282.mov","MOV")</f>
        <v>21</v>
      </c>
      <c r="M10448" t="s" s="10">
        <v>77</v>
      </c>
      <c r="N10448" s="17">
        <v>3</v>
      </c>
      <c r="O10448" s="18">
        <v>2505</v>
      </c>
      <c r="P10448" s="18">
        <v>2570</v>
      </c>
      <c r="Q10448" t="s" s="16">
        <f>HYPERLINK("http://secrets.rutgers.edu:8080/data/asl-ftp/asllvd/demos/verify_start_end_handshape_annotations//test_auto_move//signs_mov/16282.mov","MOV")</f>
        <v>21</v>
      </c>
      <c r="R10448" t="s" s="16">
        <f>HYPERLINK("http://secrets.rutgers.edu:8080/data/asl-ftp/asllvd/demos/verify_start_end_handshape_annotations//test_auto_move//signs_mov_separ_signers/Liz_16282.mov","MOV")</f>
        <v>21</v>
      </c>
    </row>
    <row r="10449" s="2" customFormat="1" ht="13.5" customHeight="1">
      <c r="B10449" s="13"/>
      <c r="C10449" t="s" s="9">
        <v>30</v>
      </c>
      <c r="D10449" t="s" s="8">
        <v>3910</v>
      </c>
      <c r="E10449" t="s" s="9">
        <v>3911</v>
      </c>
      <c r="F10449" t="s" s="10">
        <v>251</v>
      </c>
      <c r="G10449" t="s" s="11">
        <v>73</v>
      </c>
      <c r="H10449" t="s" s="10">
        <v>251</v>
      </c>
      <c r="I10449" t="s" s="11">
        <v>73</v>
      </c>
      <c r="J10449" t="s" s="11">
        <v>20</v>
      </c>
      <c r="K10449" s="15"/>
      <c r="L10449" t="s" s="16">
        <f>HYPERLINK("http://csr.bu.edu/ftp/asl/asllvd/demos/verify_start_end_handshape_annotations//test_auto_move//signs_mov_separ_signers/Brady_16282.mov","MOV")</f>
        <v>21</v>
      </c>
      <c r="M10449" t="s" s="10">
        <v>40</v>
      </c>
      <c r="N10449" s="17">
        <v>70</v>
      </c>
      <c r="O10449" s="18">
        <v>528</v>
      </c>
      <c r="P10449" s="18">
        <v>580</v>
      </c>
      <c r="Q10449" s="15"/>
      <c r="R10449" t="s" s="16">
        <f>HYPERLINK("http://secrets.rutgers.edu:8080/data/asl-ftp/asllvd/demos/verify_start_end_handshape_annotations//test_auto_move//signs_mov_separ_signers/Brady_16282.mov","MOV")</f>
        <v>21</v>
      </c>
    </row>
    <row r="10450" s="2" customFormat="1" ht="13.5" customHeight="1">
      <c r="B10450" t="s" s="8">
        <v>3912</v>
      </c>
      <c r="C10450" t="s" s="9">
        <v>14</v>
      </c>
      <c r="D10450" t="s" s="8">
        <v>14</v>
      </c>
      <c r="E10450" t="s" s="9">
        <v>14</v>
      </c>
      <c r="F10450" t="s" s="10">
        <v>14</v>
      </c>
      <c r="G10450" t="s" s="11">
        <v>14</v>
      </c>
      <c r="H10450" t="s" s="10">
        <v>14</v>
      </c>
      <c r="I10450" t="s" s="11">
        <v>14</v>
      </c>
      <c r="J10450" t="s" s="11">
        <v>14</v>
      </c>
      <c r="K10450" t="s" s="12">
        <v>14</v>
      </c>
      <c r="L10450" t="s" s="12">
        <v>14</v>
      </c>
      <c r="M10450" t="s" s="10">
        <v>14</v>
      </c>
      <c r="N10450" t="s" s="11">
        <v>14</v>
      </c>
      <c r="O10450" t="s" s="8">
        <v>14</v>
      </c>
      <c r="P10450" t="s" s="8">
        <v>14</v>
      </c>
      <c r="Q10450" t="s" s="12">
        <v>14</v>
      </c>
      <c r="R10450" t="s" s="12">
        <v>14</v>
      </c>
    </row>
    <row r="10451" s="2" customFormat="1" ht="13.5" customHeight="1">
      <c r="B10451" s="13"/>
      <c r="C10451" t="s" s="9">
        <v>16</v>
      </c>
      <c r="D10451" t="s" s="8">
        <v>3912</v>
      </c>
      <c r="E10451" t="s" s="9">
        <v>3913</v>
      </c>
      <c r="F10451" t="s" s="10">
        <v>251</v>
      </c>
      <c r="G10451" t="s" s="11">
        <v>73</v>
      </c>
      <c r="H10451" t="s" s="10">
        <v>251</v>
      </c>
      <c r="I10451" t="s" s="11">
        <v>73</v>
      </c>
      <c r="J10451" t="s" s="11">
        <v>20</v>
      </c>
      <c r="K10451" t="s" s="16">
        <f>HYPERLINK("http://csr.bu.edu/ftp/asl/asllvd/demos/verify_start_end_handshape_annotations//test_auto_move//signs_mov/16298.mov","MOV")</f>
        <v>21</v>
      </c>
      <c r="L10451" t="s" s="16">
        <f>HYPERLINK("http://csr.bu.edu/ftp/asl/asllvd/demos/verify_start_end_handshape_annotations//test_auto_move//signs_mov_separ_signers/Liz_16298.mov","MOV")</f>
        <v>21</v>
      </c>
      <c r="M10451" t="s" s="10">
        <v>36</v>
      </c>
      <c r="N10451" s="17">
        <v>8</v>
      </c>
      <c r="O10451" s="18">
        <v>2807</v>
      </c>
      <c r="P10451" s="18">
        <v>2845</v>
      </c>
      <c r="Q10451" t="s" s="16">
        <f>HYPERLINK("http://secrets.rutgers.edu:8080/data/asl-ftp/asllvd/demos/verify_start_end_handshape_annotations//test_auto_move//signs_mov/16298.mov","MOV")</f>
        <v>21</v>
      </c>
      <c r="R10451" t="s" s="16">
        <f>HYPERLINK("http://secrets.rutgers.edu:8080/data/asl-ftp/asllvd/demos/verify_start_end_handshape_annotations//test_auto_move//signs_mov_separ_signers/Liz_16298.mov","MOV")</f>
        <v>21</v>
      </c>
    </row>
    <row r="10452" s="2" customFormat="1" ht="13.5" customHeight="1">
      <c r="B10452" t="s" s="8">
        <v>3914</v>
      </c>
      <c r="C10452" t="s" s="9">
        <v>14</v>
      </c>
      <c r="D10452" t="s" s="8">
        <v>14</v>
      </c>
      <c r="E10452" t="s" s="9">
        <v>14</v>
      </c>
      <c r="F10452" t="s" s="10">
        <v>14</v>
      </c>
      <c r="G10452" t="s" s="11">
        <v>14</v>
      </c>
      <c r="H10452" t="s" s="10">
        <v>14</v>
      </c>
      <c r="I10452" t="s" s="11">
        <v>14</v>
      </c>
      <c r="J10452" t="s" s="11">
        <v>14</v>
      </c>
      <c r="K10452" t="s" s="12">
        <v>14</v>
      </c>
      <c r="L10452" t="s" s="12">
        <v>14</v>
      </c>
      <c r="M10452" t="s" s="10">
        <v>14</v>
      </c>
      <c r="N10452" t="s" s="11">
        <v>14</v>
      </c>
      <c r="O10452" t="s" s="8">
        <v>14</v>
      </c>
      <c r="P10452" t="s" s="8">
        <v>14</v>
      </c>
      <c r="Q10452" t="s" s="12">
        <v>14</v>
      </c>
      <c r="R10452" t="s" s="12">
        <v>14</v>
      </c>
    </row>
    <row r="10453" s="2" customFormat="1" ht="13.5" customHeight="1">
      <c r="B10453" s="13"/>
      <c r="C10453" t="s" s="9">
        <v>16</v>
      </c>
      <c r="D10453" t="s" s="8">
        <v>3914</v>
      </c>
      <c r="E10453" t="s" s="9">
        <v>3914</v>
      </c>
      <c r="F10453" t="s" s="10">
        <v>28</v>
      </c>
      <c r="G10453" t="s" s="11">
        <v>28</v>
      </c>
      <c r="H10453" t="s" s="10">
        <v>220</v>
      </c>
      <c r="I10453" t="s" s="11">
        <v>220</v>
      </c>
      <c r="J10453" t="s" s="11">
        <v>20</v>
      </c>
      <c r="K10453" t="s" s="16">
        <f>HYPERLINK("http://csr.bu.edu/ftp/asl/asllvd/demos/verify_start_end_handshape_annotations//test_auto_move//signs_mov/4337.mov","MOV")</f>
        <v>21</v>
      </c>
      <c r="L10453" t="s" s="16">
        <f>HYPERLINK("http://csr.bu.edu/ftp/asl/asllvd/demos/verify_start_end_handshape_annotations//test_auto_move//signs_mov_separ_signers/Liz_4337.mov","MOV")</f>
        <v>21</v>
      </c>
      <c r="M10453" t="s" s="10">
        <v>77</v>
      </c>
      <c r="N10453" s="17">
        <v>2</v>
      </c>
      <c r="O10453" s="18">
        <v>3977</v>
      </c>
      <c r="P10453" s="18">
        <v>4030</v>
      </c>
      <c r="Q10453" t="s" s="16">
        <f>HYPERLINK("http://secrets.rutgers.edu:8080/data/asl-ftp/asllvd/demos/verify_start_end_handshape_annotations//test_auto_move//signs_mov/4337.mov","MOV")</f>
        <v>21</v>
      </c>
      <c r="R10453" t="s" s="16">
        <f>HYPERLINK("http://secrets.rutgers.edu:8080/data/asl-ftp/asllvd/demos/verify_start_end_handshape_annotations//test_auto_move//signs_mov_separ_signers/Liz_4337.mov","MOV")</f>
        <v>21</v>
      </c>
    </row>
    <row r="10454" s="2" customFormat="1" ht="13.5" customHeight="1">
      <c r="B10454" s="13"/>
      <c r="C10454" t="s" s="9">
        <v>30</v>
      </c>
      <c r="D10454" t="s" s="8">
        <v>3914</v>
      </c>
      <c r="E10454" t="s" s="9">
        <v>3914</v>
      </c>
      <c r="F10454" t="s" s="10">
        <v>119</v>
      </c>
      <c r="G10454" t="s" s="11">
        <v>119</v>
      </c>
      <c r="H10454" t="s" s="10">
        <v>220</v>
      </c>
      <c r="I10454" t="s" s="11">
        <v>220</v>
      </c>
      <c r="J10454" t="s" s="11">
        <v>20</v>
      </c>
      <c r="K10454" s="15"/>
      <c r="L10454" t="s" s="16">
        <f>HYPERLINK("http://csr.bu.edu/ftp/asl/asllvd/demos/verify_start_end_handshape_annotations//test_auto_move//signs_mov_separ_signers/Brady_4337.mov","MOV")</f>
        <v>21</v>
      </c>
      <c r="M10454" t="s" s="10">
        <v>40</v>
      </c>
      <c r="N10454" s="17">
        <v>21</v>
      </c>
      <c r="O10454" s="18">
        <v>2856</v>
      </c>
      <c r="P10454" s="18">
        <v>2876</v>
      </c>
      <c r="Q10454" s="15"/>
      <c r="R10454" t="s" s="16">
        <f>HYPERLINK("http://secrets.rutgers.edu:8080/data/asl-ftp/asllvd/demos/verify_start_end_handshape_annotations//test_auto_move//signs_mov_separ_signers/Brady_4337.mov","MOV")</f>
        <v>21</v>
      </c>
    </row>
    <row r="10455" s="2" customFormat="1" ht="13.5" customHeight="1">
      <c r="B10455" t="s" s="8">
        <v>52</v>
      </c>
      <c r="C10455" t="s" s="9">
        <v>53</v>
      </c>
      <c r="D10455" t="s" s="8">
        <v>53</v>
      </c>
      <c r="E10455" t="s" s="9">
        <v>53</v>
      </c>
      <c r="F10455" t="s" s="10">
        <v>53</v>
      </c>
      <c r="G10455" t="s" s="11">
        <v>53</v>
      </c>
      <c r="H10455" t="s" s="10">
        <v>53</v>
      </c>
      <c r="I10455" t="s" s="11">
        <v>53</v>
      </c>
      <c r="J10455" t="s" s="11">
        <v>53</v>
      </c>
      <c r="K10455" t="s" s="12">
        <v>53</v>
      </c>
      <c r="L10455" t="s" s="12">
        <v>53</v>
      </c>
      <c r="M10455" t="s" s="10">
        <v>53</v>
      </c>
      <c r="N10455" t="s" s="11">
        <v>53</v>
      </c>
      <c r="O10455" t="s" s="8">
        <v>53</v>
      </c>
      <c r="P10455" t="s" s="8">
        <v>53</v>
      </c>
      <c r="Q10455" t="s" s="12">
        <v>53</v>
      </c>
      <c r="R10455" t="s" s="12">
        <v>53</v>
      </c>
    </row>
    <row r="10456" s="2" customFormat="1" ht="13.5" customHeight="1">
      <c r="B10456" s="13"/>
      <c r="C10456" t="s" s="9">
        <v>16</v>
      </c>
      <c r="D10456" t="s" s="8">
        <v>3914</v>
      </c>
      <c r="E10456" t="s" s="9">
        <v>3915</v>
      </c>
      <c r="F10456" t="s" s="10">
        <v>28</v>
      </c>
      <c r="G10456" t="s" s="11">
        <v>28</v>
      </c>
      <c r="H10456" t="s" s="10">
        <v>220</v>
      </c>
      <c r="I10456" t="s" s="11">
        <v>220</v>
      </c>
      <c r="J10456" t="s" s="11">
        <v>20</v>
      </c>
      <c r="K10456" t="s" s="16">
        <f>HYPERLINK("http://csr.bu.edu/ftp/asl/asllvd/demos/verify_start_end_handshape_annotations//test_auto_move//signs_mov/5283.mov","MOV")</f>
        <v>21</v>
      </c>
      <c r="L10456" t="s" s="16">
        <f>HYPERLINK("http://csr.bu.edu/ftp/asl/asllvd/demos/verify_start_end_handshape_annotations//test_auto_move//signs_mov_separ_signers/Liz_5283.mov","MOV")</f>
        <v>21</v>
      </c>
      <c r="M10456" t="s" s="10">
        <v>77</v>
      </c>
      <c r="N10456" s="17">
        <v>2</v>
      </c>
      <c r="O10456" s="18">
        <v>4130</v>
      </c>
      <c r="P10456" s="18">
        <v>4165</v>
      </c>
      <c r="Q10456" t="s" s="16">
        <f>HYPERLINK("http://secrets.rutgers.edu:8080/data/asl-ftp/asllvd/demos/verify_start_end_handshape_annotations//test_auto_move//signs_mov/5283.mov","MOV")</f>
        <v>21</v>
      </c>
      <c r="R10456" t="s" s="16">
        <f>HYPERLINK("http://secrets.rutgers.edu:8080/data/asl-ftp/asllvd/demos/verify_start_end_handshape_annotations//test_auto_move//signs_mov_separ_signers/Liz_5283.mov","MOV")</f>
        <v>21</v>
      </c>
    </row>
    <row r="10457" s="2" customFormat="1" ht="13.5" customHeight="1">
      <c r="B10457" s="13"/>
      <c r="C10457" t="s" s="9">
        <v>30</v>
      </c>
      <c r="D10457" t="s" s="8">
        <v>3914</v>
      </c>
      <c r="E10457" t="s" s="9">
        <v>3915</v>
      </c>
      <c r="F10457" t="s" s="10">
        <v>28</v>
      </c>
      <c r="G10457" t="s" s="11">
        <v>28</v>
      </c>
      <c r="H10457" t="s" s="10">
        <v>220</v>
      </c>
      <c r="I10457" t="s" s="11">
        <v>220</v>
      </c>
      <c r="J10457" t="s" s="11">
        <v>20</v>
      </c>
      <c r="K10457" s="15"/>
      <c r="L10457" t="s" s="16">
        <f>HYPERLINK("http://csr.bu.edu/ftp/asl/asllvd/demos/verify_start_end_handshape_annotations//test_auto_move//signs_mov_separ_signers/Brady_5283.mov","MOV")</f>
        <v>21</v>
      </c>
      <c r="M10457" t="s" s="10">
        <v>40</v>
      </c>
      <c r="N10457" s="17">
        <v>21</v>
      </c>
      <c r="O10457" s="18">
        <v>2412</v>
      </c>
      <c r="P10457" s="18">
        <v>2443</v>
      </c>
      <c r="Q10457" s="15"/>
      <c r="R10457" t="s" s="16">
        <f>HYPERLINK("http://secrets.rutgers.edu:8080/data/asl-ftp/asllvd/demos/verify_start_end_handshape_annotations//test_auto_move//signs_mov_separ_signers/Brady_5283.mov","MOV")</f>
        <v>21</v>
      </c>
    </row>
    <row r="10458" s="2" customFormat="1" ht="13.5" customHeight="1">
      <c r="B10458" t="s" s="8">
        <v>3916</v>
      </c>
      <c r="C10458" t="s" s="9">
        <v>14</v>
      </c>
      <c r="D10458" t="s" s="8">
        <v>14</v>
      </c>
      <c r="E10458" t="s" s="9">
        <v>14</v>
      </c>
      <c r="F10458" t="s" s="10">
        <v>14</v>
      </c>
      <c r="G10458" t="s" s="11">
        <v>14</v>
      </c>
      <c r="H10458" t="s" s="10">
        <v>14</v>
      </c>
      <c r="I10458" t="s" s="11">
        <v>14</v>
      </c>
      <c r="J10458" t="s" s="11">
        <v>14</v>
      </c>
      <c r="K10458" t="s" s="12">
        <v>14</v>
      </c>
      <c r="L10458" t="s" s="12">
        <v>14</v>
      </c>
      <c r="M10458" t="s" s="10">
        <v>14</v>
      </c>
      <c r="N10458" t="s" s="11">
        <v>14</v>
      </c>
      <c r="O10458" t="s" s="8">
        <v>14</v>
      </c>
      <c r="P10458" t="s" s="8">
        <v>14</v>
      </c>
      <c r="Q10458" t="s" s="12">
        <v>14</v>
      </c>
      <c r="R10458" t="s" s="12">
        <v>14</v>
      </c>
    </row>
    <row r="10459" s="2" customFormat="1" ht="13.5" customHeight="1">
      <c r="B10459" s="13"/>
      <c r="C10459" t="s" s="9">
        <v>16</v>
      </c>
      <c r="D10459" t="s" s="8">
        <v>3916</v>
      </c>
      <c r="E10459" t="s" s="9">
        <v>3916</v>
      </c>
      <c r="F10459" s="19">
        <v>10</v>
      </c>
      <c r="G10459" s="17">
        <v>10</v>
      </c>
      <c r="H10459" s="19">
        <v>10</v>
      </c>
      <c r="I10459" s="17">
        <v>10</v>
      </c>
      <c r="J10459" t="s" s="11">
        <v>20</v>
      </c>
      <c r="K10459" s="15"/>
      <c r="L10459" t="s" s="16">
        <f>HYPERLINK("http://csr.bu.edu/ftp/asl/asllvd/demos/verify_start_end_handshape_annotations//test_auto_move//signs_mov_separ_signers/Liz_4339.mov","MOV")</f>
        <v>21</v>
      </c>
      <c r="M10459" t="s" s="10">
        <v>77</v>
      </c>
      <c r="N10459" s="17">
        <v>2</v>
      </c>
      <c r="O10459" s="18">
        <v>4390</v>
      </c>
      <c r="P10459" s="18">
        <v>4445</v>
      </c>
      <c r="Q10459" s="15"/>
      <c r="R10459" t="s" s="16">
        <f>HYPERLINK("http://secrets.rutgers.edu:8080/data/asl-ftp/asllvd/demos/verify_start_end_handshape_annotations//test_auto_move//signs_mov_separ_signers/Liz_4339.mov","MOV")</f>
        <v>21</v>
      </c>
    </row>
    <row r="10460" s="2" customFormat="1" ht="13.5" customHeight="1">
      <c r="B10460" s="13"/>
      <c r="C10460" t="s" s="9">
        <v>30</v>
      </c>
      <c r="D10460" t="s" s="8">
        <v>3916</v>
      </c>
      <c r="E10460" t="s" s="9">
        <v>3916</v>
      </c>
      <c r="F10460" s="19">
        <v>10</v>
      </c>
      <c r="G10460" s="17">
        <v>10</v>
      </c>
      <c r="H10460" s="19">
        <v>10</v>
      </c>
      <c r="I10460" s="17">
        <v>10</v>
      </c>
      <c r="J10460" t="s" s="11">
        <v>20</v>
      </c>
      <c r="K10460" t="s" s="16">
        <f>HYPERLINK("http://csr.bu.edu/ftp/asl/asllvd/demos/verify_start_end_handshape_annotations//test_auto_move//signs_mov/4339_5579_merged.mov","MOV")</f>
        <v>21</v>
      </c>
      <c r="L10460" t="s" s="16">
        <f>HYPERLINK("http://csr.bu.edu/ftp/asl/asllvd/demos/verify_start_end_handshape_annotations//test_auto_move//signs_mov_separ_signers/Brady_4339.mov","MOV")</f>
        <v>21</v>
      </c>
      <c r="M10460" t="s" s="10">
        <v>40</v>
      </c>
      <c r="N10460" s="17">
        <v>39</v>
      </c>
      <c r="O10460" s="18">
        <v>713</v>
      </c>
      <c r="P10460" s="18">
        <v>747</v>
      </c>
      <c r="Q10460" t="s" s="16">
        <f>HYPERLINK("http://secrets.rutgers.edu:8080/data/asl-ftp/asllvd/demos/verify_start_end_handshape_annotations//test_auto_move//signs_mov/4339_5579_merged.mov","MOV")</f>
        <v>21</v>
      </c>
      <c r="R10460" t="s" s="16">
        <f>HYPERLINK("http://secrets.rutgers.edu:8080/data/asl-ftp/asllvd/demos/verify_start_end_handshape_annotations//test_auto_move//signs_mov_separ_signers/Brady_4339.mov","MOV")</f>
        <v>21</v>
      </c>
    </row>
    <row r="10461" s="2" customFormat="1" ht="13.5" customHeight="1">
      <c r="B10461" s="13"/>
      <c r="C10461" t="s" s="9">
        <v>30</v>
      </c>
      <c r="D10461" t="s" s="8">
        <v>3916</v>
      </c>
      <c r="E10461" t="s" s="9">
        <v>3917</v>
      </c>
      <c r="F10461" t="s" s="10">
        <v>63</v>
      </c>
      <c r="G10461" t="s" s="11">
        <v>63</v>
      </c>
      <c r="H10461" t="s" s="10">
        <v>63</v>
      </c>
      <c r="I10461" t="s" s="11">
        <v>63</v>
      </c>
      <c r="J10461" t="s" s="11">
        <v>20</v>
      </c>
      <c r="K10461" s="15"/>
      <c r="L10461" t="s" s="16">
        <f>HYPERLINK("http://csr.bu.edu/ftp/asl/asllvd/demos/verify_start_end_handshape_annotations//test_auto_move//signs_mov_separ_signers/Brady_5579.mov","MOV")</f>
        <v>21</v>
      </c>
      <c r="M10461" t="s" s="10">
        <v>40</v>
      </c>
      <c r="N10461" s="17">
        <v>39</v>
      </c>
      <c r="O10461" s="18">
        <v>973</v>
      </c>
      <c r="P10461" s="18">
        <v>1033</v>
      </c>
      <c r="Q10461" s="15"/>
      <c r="R10461" t="s" s="16">
        <f>HYPERLINK("http://secrets.rutgers.edu:8080/data/asl-ftp/asllvd/demos/verify_start_end_handshape_annotations//test_auto_move//signs_mov_separ_signers/Brady_5579.mov","MOV")</f>
        <v>21</v>
      </c>
    </row>
    <row r="10462" s="2" customFormat="1" ht="13.5" customHeight="1">
      <c r="B10462" t="s" s="8">
        <v>52</v>
      </c>
      <c r="C10462" t="s" s="9">
        <v>53</v>
      </c>
      <c r="D10462" t="s" s="8">
        <v>53</v>
      </c>
      <c r="E10462" t="s" s="9">
        <v>53</v>
      </c>
      <c r="F10462" t="s" s="10">
        <v>53</v>
      </c>
      <c r="G10462" t="s" s="11">
        <v>53</v>
      </c>
      <c r="H10462" t="s" s="10">
        <v>53</v>
      </c>
      <c r="I10462" t="s" s="11">
        <v>53</v>
      </c>
      <c r="J10462" t="s" s="11">
        <v>53</v>
      </c>
      <c r="K10462" t="s" s="12">
        <v>53</v>
      </c>
      <c r="L10462" t="s" s="12">
        <v>53</v>
      </c>
      <c r="M10462" t="s" s="10">
        <v>53</v>
      </c>
      <c r="N10462" t="s" s="11">
        <v>53</v>
      </c>
      <c r="O10462" t="s" s="8">
        <v>53</v>
      </c>
      <c r="P10462" t="s" s="8">
        <v>53</v>
      </c>
      <c r="Q10462" t="s" s="12">
        <v>53</v>
      </c>
      <c r="R10462" t="s" s="12">
        <v>53</v>
      </c>
    </row>
    <row r="10463" s="2" customFormat="1" ht="13.5" customHeight="1">
      <c r="B10463" s="13"/>
      <c r="C10463" t="s" s="9">
        <v>16</v>
      </c>
      <c r="D10463" t="s" s="8">
        <v>3916</v>
      </c>
      <c r="E10463" t="s" s="9">
        <v>3918</v>
      </c>
      <c r="F10463" s="19">
        <v>10</v>
      </c>
      <c r="G10463" s="17">
        <v>10</v>
      </c>
      <c r="H10463" s="19">
        <v>10</v>
      </c>
      <c r="I10463" s="17">
        <v>10</v>
      </c>
      <c r="J10463" t="s" s="11">
        <v>20</v>
      </c>
      <c r="K10463" t="s" s="16">
        <f>HYPERLINK("http://csr.bu.edu/ftp/asl/asllvd/demos/verify_start_end_handshape_annotations//test_auto_move//signs_mov/16561.mov","MOV")</f>
        <v>21</v>
      </c>
      <c r="L10463" t="s" s="16">
        <f>HYPERLINK("http://csr.bu.edu/ftp/asl/asllvd/demos/verify_start_end_handshape_annotations//test_auto_move//signs_mov_separ_signers/Liz_16561.mov","MOV")</f>
        <v>21</v>
      </c>
      <c r="M10463" t="s" s="10">
        <v>77</v>
      </c>
      <c r="N10463" s="17">
        <v>2</v>
      </c>
      <c r="O10463" s="18">
        <v>4571</v>
      </c>
      <c r="P10463" s="18">
        <v>4642</v>
      </c>
      <c r="Q10463" t="s" s="16">
        <f>HYPERLINK("http://secrets.rutgers.edu:8080/data/asl-ftp/asllvd/demos/verify_start_end_handshape_annotations//test_auto_move//signs_mov/16561.mov","MOV")</f>
        <v>21</v>
      </c>
      <c r="R10463" t="s" s="16">
        <f>HYPERLINK("http://secrets.rutgers.edu:8080/data/asl-ftp/asllvd/demos/verify_start_end_handshape_annotations//test_auto_move//signs_mov_separ_signers/Liz_16561.mov","MOV")</f>
        <v>21</v>
      </c>
    </row>
    <row r="10464" s="2" customFormat="1" ht="13.5" customHeight="1">
      <c r="B10464" t="s" s="8">
        <v>3919</v>
      </c>
      <c r="C10464" t="s" s="9">
        <v>14</v>
      </c>
      <c r="D10464" t="s" s="8">
        <v>14</v>
      </c>
      <c r="E10464" t="s" s="9">
        <v>14</v>
      </c>
      <c r="F10464" t="s" s="10">
        <v>14</v>
      </c>
      <c r="G10464" t="s" s="11">
        <v>14</v>
      </c>
      <c r="H10464" t="s" s="10">
        <v>14</v>
      </c>
      <c r="I10464" t="s" s="11">
        <v>14</v>
      </c>
      <c r="J10464" t="s" s="11">
        <v>14</v>
      </c>
      <c r="K10464" t="s" s="12">
        <v>14</v>
      </c>
      <c r="L10464" t="s" s="12">
        <v>14</v>
      </c>
      <c r="M10464" t="s" s="10">
        <v>14</v>
      </c>
      <c r="N10464" t="s" s="11">
        <v>14</v>
      </c>
      <c r="O10464" t="s" s="8">
        <v>14</v>
      </c>
      <c r="P10464" t="s" s="8">
        <v>14</v>
      </c>
      <c r="Q10464" t="s" s="12">
        <v>14</v>
      </c>
      <c r="R10464" t="s" s="12">
        <v>14</v>
      </c>
    </row>
    <row r="10465" s="2" customFormat="1" ht="13.5" customHeight="1">
      <c r="B10465" s="13"/>
      <c r="C10465" t="s" s="9">
        <v>16</v>
      </c>
      <c r="D10465" t="s" s="8">
        <v>3919</v>
      </c>
      <c r="E10465" t="s" s="9">
        <v>3919</v>
      </c>
      <c r="F10465" t="s" s="10">
        <v>229</v>
      </c>
      <c r="G10465" t="s" s="11">
        <v>229</v>
      </c>
      <c r="H10465" t="s" s="10">
        <v>230</v>
      </c>
      <c r="I10465" t="s" s="11">
        <v>230</v>
      </c>
      <c r="J10465" t="s" s="11">
        <v>20</v>
      </c>
      <c r="K10465" t="s" s="16">
        <f>HYPERLINK("http://csr.bu.edu/ftp/asl/asllvd/demos/verify_start_end_handshape_annotations//test_auto_move//signs_mov/4343.mov","MOV")</f>
        <v>21</v>
      </c>
      <c r="L10465" t="s" s="16">
        <f>HYPERLINK("http://csr.bu.edu/ftp/asl/asllvd/demos/verify_start_end_handshape_annotations//test_auto_move//signs_mov_separ_signers/Liz_4343.mov","MOV")</f>
        <v>21</v>
      </c>
      <c r="M10465" t="s" s="10">
        <v>77</v>
      </c>
      <c r="N10465" s="17">
        <v>29</v>
      </c>
      <c r="O10465" s="18">
        <v>1015</v>
      </c>
      <c r="P10465" s="18">
        <v>1055</v>
      </c>
      <c r="Q10465" t="s" s="16">
        <f>HYPERLINK("http://secrets.rutgers.edu:8080/data/asl-ftp/asllvd/demos/verify_start_end_handshape_annotations//test_auto_move//signs_mov/4343.mov","MOV")</f>
        <v>21</v>
      </c>
      <c r="R10465" t="s" s="16">
        <f>HYPERLINK("http://secrets.rutgers.edu:8080/data/asl-ftp/asllvd/demos/verify_start_end_handshape_annotations//test_auto_move//signs_mov_separ_signers/Liz_4343.mov","MOV")</f>
        <v>21</v>
      </c>
    </row>
    <row r="10466" s="2" customFormat="1" ht="13.5" customHeight="1">
      <c r="B10466" s="13"/>
      <c r="C10466" t="s" s="9">
        <v>30</v>
      </c>
      <c r="D10466" t="s" s="8">
        <v>3919</v>
      </c>
      <c r="E10466" t="s" s="9">
        <v>3919</v>
      </c>
      <c r="F10466" t="s" s="10">
        <v>229</v>
      </c>
      <c r="G10466" t="s" s="11">
        <v>229</v>
      </c>
      <c r="H10466" t="s" s="10">
        <v>230</v>
      </c>
      <c r="I10466" t="s" s="11">
        <v>230</v>
      </c>
      <c r="J10466" t="s" s="11">
        <v>20</v>
      </c>
      <c r="K10466" s="15"/>
      <c r="L10466" t="s" s="16">
        <f>HYPERLINK("http://csr.bu.edu/ftp/asl/asllvd/demos/verify_start_end_handshape_annotations//test_auto_move//signs_mov_separ_signers/Brady_4343.mov","MOV")</f>
        <v>21</v>
      </c>
      <c r="M10466" t="s" s="10">
        <v>39</v>
      </c>
      <c r="N10466" s="17">
        <v>29</v>
      </c>
      <c r="O10466" s="18">
        <v>1437</v>
      </c>
      <c r="P10466" s="18">
        <v>1451</v>
      </c>
      <c r="Q10466" s="15"/>
      <c r="R10466" t="s" s="16">
        <f>HYPERLINK("http://secrets.rutgers.edu:8080/data/asl-ftp/asllvd/demos/verify_start_end_handshape_annotations//test_auto_move//signs_mov_separ_signers/Brady_4343.mov","MOV")</f>
        <v>21</v>
      </c>
    </row>
    <row r="10467" s="2" customFormat="1" ht="13.5" customHeight="1">
      <c r="B10467" t="s" s="8">
        <v>3920</v>
      </c>
      <c r="C10467" t="s" s="9">
        <v>14</v>
      </c>
      <c r="D10467" t="s" s="8">
        <v>14</v>
      </c>
      <c r="E10467" t="s" s="9">
        <v>14</v>
      </c>
      <c r="F10467" t="s" s="10">
        <v>14</v>
      </c>
      <c r="G10467" t="s" s="11">
        <v>14</v>
      </c>
      <c r="H10467" t="s" s="10">
        <v>14</v>
      </c>
      <c r="I10467" t="s" s="11">
        <v>14</v>
      </c>
      <c r="J10467" t="s" s="11">
        <v>14</v>
      </c>
      <c r="K10467" t="s" s="12">
        <v>14</v>
      </c>
      <c r="L10467" t="s" s="12">
        <v>14</v>
      </c>
      <c r="M10467" t="s" s="10">
        <v>14</v>
      </c>
      <c r="N10467" t="s" s="11">
        <v>14</v>
      </c>
      <c r="O10467" t="s" s="8">
        <v>14</v>
      </c>
      <c r="P10467" t="s" s="8">
        <v>14</v>
      </c>
      <c r="Q10467" t="s" s="12">
        <v>14</v>
      </c>
      <c r="R10467" t="s" s="12">
        <v>14</v>
      </c>
    </row>
    <row r="10468" s="2" customFormat="1" ht="13.5" customHeight="1">
      <c r="B10468" s="13"/>
      <c r="C10468" t="s" s="9">
        <v>16</v>
      </c>
      <c r="D10468" t="s" s="8">
        <v>3920</v>
      </c>
      <c r="E10468" t="s" s="9">
        <v>3920</v>
      </c>
      <c r="F10468" t="s" s="10">
        <v>240</v>
      </c>
      <c r="G10468" t="s" s="11">
        <v>240</v>
      </c>
      <c r="H10468" t="s" s="10">
        <v>240</v>
      </c>
      <c r="I10468" t="s" s="11">
        <v>240</v>
      </c>
      <c r="J10468" t="s" s="11">
        <v>20</v>
      </c>
      <c r="K10468" s="15"/>
      <c r="L10468" t="s" s="16">
        <f>HYPERLINK("http://csr.bu.edu/ftp/asl/asllvd/demos/verify_start_end_handshape_annotations//test_auto_move//signs_mov_separ_signers/Liz_4345.mov","MOV")</f>
        <v>21</v>
      </c>
      <c r="M10468" t="s" s="10">
        <v>77</v>
      </c>
      <c r="N10468" s="17">
        <v>29</v>
      </c>
      <c r="O10468" s="18">
        <v>1390</v>
      </c>
      <c r="P10468" s="18">
        <v>1455</v>
      </c>
      <c r="Q10468" s="15"/>
      <c r="R10468" t="s" s="16">
        <f>HYPERLINK("http://secrets.rutgers.edu:8080/data/asl-ftp/asllvd/demos/verify_start_end_handshape_annotations//test_auto_move//signs_mov_separ_signers/Liz_4345.mov","MOV")</f>
        <v>21</v>
      </c>
    </row>
    <row r="10469" s="2" customFormat="1" ht="13.5" customHeight="1">
      <c r="B10469" s="13"/>
      <c r="C10469" t="s" s="9">
        <v>30</v>
      </c>
      <c r="D10469" t="s" s="8">
        <v>3920</v>
      </c>
      <c r="E10469" t="s" s="9">
        <v>3920</v>
      </c>
      <c r="F10469" t="s" s="10">
        <v>240</v>
      </c>
      <c r="G10469" s="17">
        <v>1</v>
      </c>
      <c r="H10469" t="s" s="10">
        <v>240</v>
      </c>
      <c r="I10469" s="17">
        <v>1</v>
      </c>
      <c r="J10469" t="s" s="11">
        <v>20</v>
      </c>
      <c r="K10469" t="s" s="16">
        <f>HYPERLINK("http://csr.bu.edu/ftp/asl/asllvd/demos/verify_start_end_handshape_annotations//test_auto_move//signs_mov/4345_5311_5313_merged.mov","MOV")</f>
        <v>21</v>
      </c>
      <c r="L10469" t="s" s="16">
        <f>HYPERLINK("http://csr.bu.edu/ftp/asl/asllvd/demos/verify_start_end_handshape_annotations//test_auto_move//signs_mov_separ_signers/Brady_4345.mov","MOV")</f>
        <v>21</v>
      </c>
      <c r="M10469" t="s" s="10">
        <v>39</v>
      </c>
      <c r="N10469" s="17">
        <v>30</v>
      </c>
      <c r="O10469" s="18">
        <v>3997</v>
      </c>
      <c r="P10469" s="18">
        <v>4015</v>
      </c>
      <c r="Q10469" t="s" s="16">
        <f>HYPERLINK("http://secrets.rutgers.edu:8080/data/asl-ftp/asllvd/demos/verify_start_end_handshape_annotations//test_auto_move//signs_mov/4345_5311_5313_merged.mov","MOV")</f>
        <v>21</v>
      </c>
      <c r="R10469" t="s" s="16">
        <f>HYPERLINK("http://secrets.rutgers.edu:8080/data/asl-ftp/asllvd/demos/verify_start_end_handshape_annotations//test_auto_move//signs_mov_separ_signers/Brady_4345.mov","MOV")</f>
        <v>21</v>
      </c>
    </row>
    <row r="10470" s="2" customFormat="1" ht="13.5" customHeight="1">
      <c r="B10470" s="13"/>
      <c r="C10470" t="s" s="9">
        <v>30</v>
      </c>
      <c r="D10470" t="s" s="8">
        <v>3920</v>
      </c>
      <c r="E10470" t="s" s="9">
        <v>3920</v>
      </c>
      <c r="F10470" t="s" s="10">
        <v>240</v>
      </c>
      <c r="G10470" s="17">
        <v>1</v>
      </c>
      <c r="H10470" t="s" s="10">
        <v>240</v>
      </c>
      <c r="I10470" s="17">
        <v>1</v>
      </c>
      <c r="J10470" t="s" s="11">
        <v>20</v>
      </c>
      <c r="K10470" s="15"/>
      <c r="L10470" t="s" s="16">
        <f>HYPERLINK("http://csr.bu.edu/ftp/asl/asllvd/demos/verify_start_end_handshape_annotations//test_auto_move//signs_mov_separ_signers/Brady_5311.mov","MOV")</f>
        <v>21</v>
      </c>
      <c r="M10470" t="s" s="10">
        <v>39</v>
      </c>
      <c r="N10470" s="17">
        <v>30</v>
      </c>
      <c r="O10470" s="18">
        <v>4234</v>
      </c>
      <c r="P10470" s="18">
        <v>4266</v>
      </c>
      <c r="Q10470" s="15"/>
      <c r="R10470" t="s" s="16">
        <f>HYPERLINK("http://secrets.rutgers.edu:8080/data/asl-ftp/asllvd/demos/verify_start_end_handshape_annotations//test_auto_move//signs_mov_separ_signers/Brady_5311.mov","MOV")</f>
        <v>21</v>
      </c>
    </row>
    <row r="10471" s="2" customFormat="1" ht="13.5" customHeight="1">
      <c r="B10471" s="13"/>
      <c r="C10471" t="s" s="9">
        <v>30</v>
      </c>
      <c r="D10471" t="s" s="8">
        <v>3920</v>
      </c>
      <c r="E10471" t="s" s="9">
        <v>3920</v>
      </c>
      <c r="F10471" t="s" s="10">
        <v>240</v>
      </c>
      <c r="G10471" s="17">
        <v>1</v>
      </c>
      <c r="H10471" t="s" s="10">
        <v>240</v>
      </c>
      <c r="I10471" s="17">
        <v>1</v>
      </c>
      <c r="J10471" t="s" s="11">
        <v>20</v>
      </c>
      <c r="K10471" s="15"/>
      <c r="L10471" t="s" s="16">
        <f>HYPERLINK("http://csr.bu.edu/ftp/asl/asllvd/demos/verify_start_end_handshape_annotations//test_auto_move//signs_mov_separ_signers/Brady_5313.mov","MOV")</f>
        <v>21</v>
      </c>
      <c r="M10471" t="s" s="10">
        <v>39</v>
      </c>
      <c r="N10471" s="17">
        <v>30</v>
      </c>
      <c r="O10471" s="18">
        <v>4433</v>
      </c>
      <c r="P10471" s="18">
        <v>4453</v>
      </c>
      <c r="Q10471" s="15"/>
      <c r="R10471" t="s" s="16">
        <f>HYPERLINK("http://secrets.rutgers.edu:8080/data/asl-ftp/asllvd/demos/verify_start_end_handshape_annotations//test_auto_move//signs_mov_separ_signers/Brady_5313.mov","MOV")</f>
        <v>21</v>
      </c>
    </row>
    <row r="10472" s="2" customFormat="1" ht="13.5" customHeight="1">
      <c r="B10472" t="s" s="8">
        <v>3921</v>
      </c>
      <c r="C10472" t="s" s="9">
        <v>14</v>
      </c>
      <c r="D10472" t="s" s="8">
        <v>14</v>
      </c>
      <c r="E10472" t="s" s="9">
        <v>14</v>
      </c>
      <c r="F10472" t="s" s="10">
        <v>14</v>
      </c>
      <c r="G10472" t="s" s="11">
        <v>14</v>
      </c>
      <c r="H10472" t="s" s="10">
        <v>14</v>
      </c>
      <c r="I10472" t="s" s="11">
        <v>14</v>
      </c>
      <c r="J10472" t="s" s="11">
        <v>14</v>
      </c>
      <c r="K10472" t="s" s="12">
        <v>14</v>
      </c>
      <c r="L10472" t="s" s="12">
        <v>14</v>
      </c>
      <c r="M10472" t="s" s="10">
        <v>14</v>
      </c>
      <c r="N10472" t="s" s="11">
        <v>14</v>
      </c>
      <c r="O10472" t="s" s="8">
        <v>14</v>
      </c>
      <c r="P10472" t="s" s="8">
        <v>14</v>
      </c>
      <c r="Q10472" t="s" s="12">
        <v>14</v>
      </c>
      <c r="R10472" t="s" s="12">
        <v>14</v>
      </c>
    </row>
    <row r="10473" s="2" customFormat="1" ht="13.5" customHeight="1">
      <c r="B10473" s="13"/>
      <c r="C10473" t="s" s="9">
        <v>16</v>
      </c>
      <c r="D10473" t="s" s="8">
        <v>3921</v>
      </c>
      <c r="E10473" t="s" s="9">
        <v>3921</v>
      </c>
      <c r="F10473" t="s" s="10">
        <v>73</v>
      </c>
      <c r="G10473" t="s" s="11">
        <v>73</v>
      </c>
      <c r="H10473" t="s" s="10">
        <v>63</v>
      </c>
      <c r="I10473" t="s" s="11">
        <v>63</v>
      </c>
      <c r="J10473" t="s" s="11">
        <v>20</v>
      </c>
      <c r="K10473" s="15"/>
      <c r="L10473" t="s" s="16">
        <f>HYPERLINK("http://csr.bu.edu/ftp/asl/asllvd/demos/verify_start_end_handshape_annotations//test_auto_move//signs_mov_separ_signers/Liz_4349.mov","MOV")</f>
        <v>21</v>
      </c>
      <c r="M10473" t="s" s="10">
        <v>77</v>
      </c>
      <c r="N10473" s="17">
        <v>29</v>
      </c>
      <c r="O10473" s="18">
        <v>2455</v>
      </c>
      <c r="P10473" s="18">
        <v>2500</v>
      </c>
      <c r="Q10473" s="15"/>
      <c r="R10473" t="s" s="16">
        <f>HYPERLINK("http://secrets.rutgers.edu:8080/data/asl-ftp/asllvd/demos/verify_start_end_handshape_annotations//test_auto_move//signs_mov_separ_signers/Liz_4349.mov","MOV")</f>
        <v>21</v>
      </c>
    </row>
    <row r="10474" s="2" customFormat="1" ht="13.5" customHeight="1">
      <c r="B10474" s="13"/>
      <c r="C10474" t="s" s="9">
        <v>23</v>
      </c>
      <c r="D10474" t="s" s="8">
        <v>3921</v>
      </c>
      <c r="E10474" t="s" s="9">
        <v>3922</v>
      </c>
      <c r="F10474" t="s" s="10">
        <v>73</v>
      </c>
      <c r="G10474" t="s" s="11">
        <v>150</v>
      </c>
      <c r="H10474" t="s" s="10">
        <v>63</v>
      </c>
      <c r="I10474" t="s" s="11">
        <v>63</v>
      </c>
      <c r="J10474" t="s" s="11">
        <v>20</v>
      </c>
      <c r="K10474" t="s" s="16">
        <f>HYPERLINK("http://csr.bu.edu/ftp/asl/asllvd/demos/verify_start_end_handshape_annotations//test_auto_move//signs_mov/4349.mov","MOV")</f>
        <v>21</v>
      </c>
      <c r="L10474" t="s" s="16">
        <f>HYPERLINK("http://csr.bu.edu/ftp/asl/asllvd/demos/verify_start_end_handshape_annotations//test_auto_move//signs_mov_separ_signers/Tyler_4349.mov","MOV")</f>
        <v>21</v>
      </c>
      <c r="M10474" t="s" s="10">
        <v>37</v>
      </c>
      <c r="N10474" s="17">
        <v>7</v>
      </c>
      <c r="O10474" s="18">
        <v>3160</v>
      </c>
      <c r="P10474" s="18">
        <v>3190</v>
      </c>
      <c r="Q10474" t="s" s="16">
        <f>HYPERLINK("http://secrets.rutgers.edu:8080/data/asl-ftp/asllvd/demos/verify_start_end_handshape_annotations//test_auto_move//signs_mov/4349.mov","MOV")</f>
        <v>21</v>
      </c>
      <c r="R10474" t="s" s="16">
        <f>HYPERLINK("http://secrets.rutgers.edu:8080/data/asl-ftp/asllvd/demos/verify_start_end_handshape_annotations//test_auto_move//signs_mov_separ_signers/Tyler_4349.mov","MOV")</f>
        <v>21</v>
      </c>
    </row>
    <row r="10475" s="2" customFormat="1" ht="13.5" customHeight="1">
      <c r="B10475" s="13"/>
      <c r="C10475" t="s" s="9">
        <v>30</v>
      </c>
      <c r="D10475" t="s" s="8">
        <v>3921</v>
      </c>
      <c r="E10475" t="s" s="9">
        <v>3921</v>
      </c>
      <c r="F10475" t="s" s="10">
        <v>109</v>
      </c>
      <c r="G10475" t="s" s="11">
        <v>109</v>
      </c>
      <c r="H10475" t="s" s="10">
        <v>63</v>
      </c>
      <c r="I10475" t="s" s="11">
        <v>63</v>
      </c>
      <c r="J10475" t="s" s="11">
        <v>20</v>
      </c>
      <c r="K10475" s="15"/>
      <c r="L10475" t="s" s="16">
        <f>HYPERLINK("http://csr.bu.edu/ftp/asl/asllvd/demos/verify_start_end_handshape_annotations//test_auto_move//signs_mov_separ_signers/Brady_4349.mov","MOV")</f>
        <v>21</v>
      </c>
      <c r="M10475" t="s" s="10">
        <v>40</v>
      </c>
      <c r="N10475" s="17">
        <v>20</v>
      </c>
      <c r="O10475" s="18">
        <v>2550</v>
      </c>
      <c r="P10475" s="18">
        <v>2562</v>
      </c>
      <c r="Q10475" s="15"/>
      <c r="R10475" t="s" s="16">
        <f>HYPERLINK("http://secrets.rutgers.edu:8080/data/asl-ftp/asllvd/demos/verify_start_end_handshape_annotations//test_auto_move//signs_mov_separ_signers/Brady_4349.mov","MOV")</f>
        <v>21</v>
      </c>
    </row>
    <row r="10476" s="2" customFormat="1" ht="13.5" customHeight="1">
      <c r="B10476" t="s" s="8">
        <v>3923</v>
      </c>
      <c r="C10476" t="s" s="9">
        <v>14</v>
      </c>
      <c r="D10476" t="s" s="8">
        <v>14</v>
      </c>
      <c r="E10476" t="s" s="9">
        <v>14</v>
      </c>
      <c r="F10476" t="s" s="10">
        <v>14</v>
      </c>
      <c r="G10476" t="s" s="11">
        <v>14</v>
      </c>
      <c r="H10476" t="s" s="10">
        <v>14</v>
      </c>
      <c r="I10476" t="s" s="11">
        <v>14</v>
      </c>
      <c r="J10476" t="s" s="11">
        <v>14</v>
      </c>
      <c r="K10476" t="s" s="12">
        <v>14</v>
      </c>
      <c r="L10476" t="s" s="12">
        <v>14</v>
      </c>
      <c r="M10476" t="s" s="10">
        <v>14</v>
      </c>
      <c r="N10476" t="s" s="11">
        <v>14</v>
      </c>
      <c r="O10476" t="s" s="8">
        <v>14</v>
      </c>
      <c r="P10476" t="s" s="8">
        <v>14</v>
      </c>
      <c r="Q10476" t="s" s="12">
        <v>14</v>
      </c>
      <c r="R10476" t="s" s="12">
        <v>14</v>
      </c>
    </row>
    <row r="10477" s="2" customFormat="1" ht="13.5" customHeight="1">
      <c r="B10477" s="13"/>
      <c r="C10477" t="s" s="9">
        <v>16</v>
      </c>
      <c r="D10477" t="s" s="8">
        <v>3923</v>
      </c>
      <c r="E10477" t="s" s="9">
        <v>3924</v>
      </c>
      <c r="F10477" t="s" s="10">
        <v>282</v>
      </c>
      <c r="G10477" s="14"/>
      <c r="H10477" t="s" s="10">
        <v>282</v>
      </c>
      <c r="I10477" s="14"/>
      <c r="J10477" t="s" s="11">
        <v>20</v>
      </c>
      <c r="K10477" t="s" s="16">
        <f>HYPERLINK("http://csr.bu.edu/ftp/asl/asllvd/demos/verify_start_end_handshape_annotations//test_auto_move//signs_mov/4361.mov","MOV")</f>
        <v>21</v>
      </c>
      <c r="L10477" t="s" s="16">
        <f>HYPERLINK("http://csr.bu.edu/ftp/asl/asllvd/demos/verify_start_end_handshape_annotations//test_auto_move//signs_mov_separ_signers/Liz_4361.mov","MOV")</f>
        <v>21</v>
      </c>
      <c r="M10477" t="s" s="10">
        <v>77</v>
      </c>
      <c r="N10477" s="17">
        <v>31</v>
      </c>
      <c r="O10477" s="18">
        <v>125</v>
      </c>
      <c r="P10477" s="18">
        <v>200</v>
      </c>
      <c r="Q10477" t="s" s="16">
        <f>HYPERLINK("http://secrets.rutgers.edu:8080/data/asl-ftp/asllvd/demos/verify_start_end_handshape_annotations//test_auto_move//signs_mov/4361.mov","MOV")</f>
        <v>21</v>
      </c>
      <c r="R10477" t="s" s="16">
        <f>HYPERLINK("http://secrets.rutgers.edu:8080/data/asl-ftp/asllvd/demos/verify_start_end_handshape_annotations//test_auto_move//signs_mov_separ_signers/Liz_4361.mov","MOV")</f>
        <v>21</v>
      </c>
    </row>
    <row r="10478" s="2" customFormat="1" ht="13.5" customHeight="1">
      <c r="B10478" s="13"/>
      <c r="C10478" t="s" s="9">
        <v>43</v>
      </c>
      <c r="D10478" t="s" s="8">
        <v>3923</v>
      </c>
      <c r="E10478" t="s" s="9">
        <v>3924</v>
      </c>
      <c r="F10478" t="s" s="10">
        <v>282</v>
      </c>
      <c r="G10478" s="14"/>
      <c r="H10478" t="s" s="10">
        <v>282</v>
      </c>
      <c r="I10478" s="14"/>
      <c r="J10478" t="s" s="11">
        <v>20</v>
      </c>
      <c r="K10478" s="15"/>
      <c r="L10478" t="s" s="16">
        <f>HYPERLINK("http://csr.bu.edu/ftp/asl/asllvd/demos/verify_start_end_handshape_annotations//test_auto_move//signs_mov_separ_signers/Dana_4361.mov","MOV")</f>
        <v>21</v>
      </c>
      <c r="M10478" t="s" s="10">
        <v>44</v>
      </c>
      <c r="N10478" s="17">
        <v>19</v>
      </c>
      <c r="O10478" s="18">
        <v>303</v>
      </c>
      <c r="P10478" s="18">
        <v>355</v>
      </c>
      <c r="Q10478" s="15"/>
      <c r="R10478" t="s" s="16">
        <f>HYPERLINK("http://secrets.rutgers.edu:8080/data/asl-ftp/asllvd/demos/verify_start_end_handshape_annotations//test_auto_move//signs_mov_separ_signers/Dana_4361.mov","MOV")</f>
        <v>21</v>
      </c>
    </row>
    <row r="10479" s="2" customFormat="1" ht="13.5" customHeight="1">
      <c r="B10479" t="s" s="8">
        <v>52</v>
      </c>
      <c r="C10479" t="s" s="9">
        <v>53</v>
      </c>
      <c r="D10479" t="s" s="8">
        <v>53</v>
      </c>
      <c r="E10479" t="s" s="9">
        <v>53</v>
      </c>
      <c r="F10479" t="s" s="10">
        <v>53</v>
      </c>
      <c r="G10479" t="s" s="11">
        <v>53</v>
      </c>
      <c r="H10479" t="s" s="10">
        <v>53</v>
      </c>
      <c r="I10479" t="s" s="11">
        <v>53</v>
      </c>
      <c r="J10479" t="s" s="11">
        <v>53</v>
      </c>
      <c r="K10479" t="s" s="12">
        <v>53</v>
      </c>
      <c r="L10479" t="s" s="12">
        <v>53</v>
      </c>
      <c r="M10479" t="s" s="10">
        <v>53</v>
      </c>
      <c r="N10479" t="s" s="11">
        <v>53</v>
      </c>
      <c r="O10479" t="s" s="8">
        <v>53</v>
      </c>
      <c r="P10479" t="s" s="8">
        <v>53</v>
      </c>
      <c r="Q10479" t="s" s="12">
        <v>53</v>
      </c>
      <c r="R10479" t="s" s="12">
        <v>53</v>
      </c>
    </row>
    <row r="10480" s="2" customFormat="1" ht="13.5" customHeight="1">
      <c r="B10480" s="13"/>
      <c r="C10480" t="s" s="9">
        <v>41</v>
      </c>
      <c r="D10480" t="s" s="8">
        <v>3923</v>
      </c>
      <c r="E10480" t="s" s="9">
        <v>3925</v>
      </c>
      <c r="F10480" t="s" s="10">
        <v>158</v>
      </c>
      <c r="G10480" s="14"/>
      <c r="H10480" t="s" s="10">
        <v>158</v>
      </c>
      <c r="I10480" s="14"/>
      <c r="J10480" t="s" s="11">
        <v>20</v>
      </c>
      <c r="K10480" t="s" s="16">
        <f>HYPERLINK("http://csr.bu.edu/ftp/asl/asllvd/demos/verify_start_end_handshape_annotations//test_auto_move//signs_mov/5377.mov","MOV")</f>
        <v>21</v>
      </c>
      <c r="L10480" t="s" s="16">
        <f>HYPERLINK("http://csr.bu.edu/ftp/asl/asllvd/demos/verify_start_end_handshape_annotations//test_auto_move//signs_mov_separ_signers/Lana_5377.mov","MOV")</f>
        <v>21</v>
      </c>
      <c r="M10480" t="s" s="10">
        <v>42</v>
      </c>
      <c r="N10480" s="17">
        <v>16</v>
      </c>
      <c r="O10480" s="18">
        <v>367</v>
      </c>
      <c r="P10480" s="18">
        <v>415</v>
      </c>
      <c r="Q10480" t="s" s="16">
        <f>HYPERLINK("http://secrets.rutgers.edu:8080/data/asl-ftp/asllvd/demos/verify_start_end_handshape_annotations//test_auto_move//signs_mov/5377.mov","MOV")</f>
        <v>21</v>
      </c>
      <c r="R10480" t="s" s="16">
        <f>HYPERLINK("http://secrets.rutgers.edu:8080/data/asl-ftp/asllvd/demos/verify_start_end_handshape_annotations//test_auto_move//signs_mov_separ_signers/Lana_5377.mov","MOV")</f>
        <v>21</v>
      </c>
    </row>
    <row r="10481" s="2" customFormat="1" ht="13.5" customHeight="1">
      <c r="B10481" t="s" s="8">
        <v>3926</v>
      </c>
      <c r="C10481" t="s" s="9">
        <v>14</v>
      </c>
      <c r="D10481" t="s" s="8">
        <v>14</v>
      </c>
      <c r="E10481" t="s" s="9">
        <v>14</v>
      </c>
      <c r="F10481" t="s" s="10">
        <v>14</v>
      </c>
      <c r="G10481" t="s" s="11">
        <v>14</v>
      </c>
      <c r="H10481" t="s" s="10">
        <v>14</v>
      </c>
      <c r="I10481" t="s" s="11">
        <v>14</v>
      </c>
      <c r="J10481" t="s" s="11">
        <v>14</v>
      </c>
      <c r="K10481" t="s" s="12">
        <v>14</v>
      </c>
      <c r="L10481" t="s" s="12">
        <v>14</v>
      </c>
      <c r="M10481" t="s" s="10">
        <v>14</v>
      </c>
      <c r="N10481" t="s" s="11">
        <v>14</v>
      </c>
      <c r="O10481" t="s" s="8">
        <v>14</v>
      </c>
      <c r="P10481" t="s" s="8">
        <v>14</v>
      </c>
      <c r="Q10481" t="s" s="12">
        <v>14</v>
      </c>
      <c r="R10481" t="s" s="12">
        <v>14</v>
      </c>
    </row>
    <row r="10482" s="2" customFormat="1" ht="13.5" customHeight="1">
      <c r="B10482" s="13"/>
      <c r="C10482" t="s" s="9">
        <v>16</v>
      </c>
      <c r="D10482" t="s" s="8">
        <v>3926</v>
      </c>
      <c r="E10482" t="s" s="9">
        <v>3926</v>
      </c>
      <c r="F10482" t="s" s="10">
        <v>341</v>
      </c>
      <c r="G10482" t="s" s="11">
        <v>73</v>
      </c>
      <c r="H10482" t="s" s="10">
        <v>341</v>
      </c>
      <c r="I10482" t="s" s="11">
        <v>73</v>
      </c>
      <c r="J10482" t="s" s="11">
        <v>20</v>
      </c>
      <c r="K10482" t="s" s="16">
        <f>HYPERLINK("http://csr.bu.edu/ftp/asl/asllvd/demos/verify_start_end_handshape_annotations//test_auto_move//signs_mov/4362.mov","MOV")</f>
        <v>21</v>
      </c>
      <c r="L10482" t="s" s="16">
        <f>HYPERLINK("http://csr.bu.edu/ftp/asl/asllvd/demos/verify_start_end_handshape_annotations//test_auto_move//signs_mov_separ_signers/Liz_4362.mov","MOV")</f>
        <v>21</v>
      </c>
      <c r="M10482" t="s" s="10">
        <v>77</v>
      </c>
      <c r="N10482" s="17">
        <v>31</v>
      </c>
      <c r="O10482" s="18">
        <v>316</v>
      </c>
      <c r="P10482" s="18">
        <v>385</v>
      </c>
      <c r="Q10482" t="s" s="16">
        <f>HYPERLINK("http://secrets.rutgers.edu:8080/data/asl-ftp/asllvd/demos/verify_start_end_handshape_annotations//test_auto_move//signs_mov/4362.mov","MOV")</f>
        <v>21</v>
      </c>
      <c r="R10482" t="s" s="16">
        <f>HYPERLINK("http://secrets.rutgers.edu:8080/data/asl-ftp/asllvd/demos/verify_start_end_handshape_annotations//test_auto_move//signs_mov_separ_signers/Liz_4362.mov","MOV")</f>
        <v>21</v>
      </c>
    </row>
    <row r="10483" s="2" customFormat="1" ht="13.5" customHeight="1">
      <c r="B10483" s="13"/>
      <c r="C10483" t="s" s="9">
        <v>30</v>
      </c>
      <c r="D10483" t="s" s="8">
        <v>3926</v>
      </c>
      <c r="E10483" t="s" s="9">
        <v>3926</v>
      </c>
      <c r="F10483" t="s" s="10">
        <v>240</v>
      </c>
      <c r="G10483" t="s" s="11">
        <v>73</v>
      </c>
      <c r="H10483" t="s" s="10">
        <v>240</v>
      </c>
      <c r="I10483" t="s" s="11">
        <v>73</v>
      </c>
      <c r="J10483" t="s" s="11">
        <v>20</v>
      </c>
      <c r="K10483" s="15"/>
      <c r="L10483" t="s" s="16">
        <f>HYPERLINK("http://csr.bu.edu/ftp/asl/asllvd/demos/verify_start_end_handshape_annotations//test_auto_move//signs_mov_separ_signers/Brady_4362.mov","MOV")</f>
        <v>21</v>
      </c>
      <c r="M10483" t="s" s="10">
        <v>39</v>
      </c>
      <c r="N10483" s="17">
        <v>46</v>
      </c>
      <c r="O10483" s="18">
        <v>95</v>
      </c>
      <c r="P10483" s="18">
        <v>130</v>
      </c>
      <c r="Q10483" s="15"/>
      <c r="R10483" t="s" s="16">
        <f>HYPERLINK("http://secrets.rutgers.edu:8080/data/asl-ftp/asllvd/demos/verify_start_end_handshape_annotations//test_auto_move//signs_mov_separ_signers/Brady_4362.mov","MOV")</f>
        <v>21</v>
      </c>
    </row>
    <row r="10484" s="2" customFormat="1" ht="13.5" customHeight="1">
      <c r="B10484" t="s" s="8">
        <v>3927</v>
      </c>
      <c r="C10484" t="s" s="9">
        <v>14</v>
      </c>
      <c r="D10484" t="s" s="8">
        <v>14</v>
      </c>
      <c r="E10484" t="s" s="9">
        <v>14</v>
      </c>
      <c r="F10484" t="s" s="10">
        <v>14</v>
      </c>
      <c r="G10484" t="s" s="11">
        <v>14</v>
      </c>
      <c r="H10484" t="s" s="10">
        <v>14</v>
      </c>
      <c r="I10484" t="s" s="11">
        <v>14</v>
      </c>
      <c r="J10484" t="s" s="11">
        <v>14</v>
      </c>
      <c r="K10484" t="s" s="12">
        <v>14</v>
      </c>
      <c r="L10484" t="s" s="12">
        <v>14</v>
      </c>
      <c r="M10484" t="s" s="10">
        <v>14</v>
      </c>
      <c r="N10484" t="s" s="11">
        <v>14</v>
      </c>
      <c r="O10484" t="s" s="8">
        <v>14</v>
      </c>
      <c r="P10484" t="s" s="8">
        <v>14</v>
      </c>
      <c r="Q10484" t="s" s="12">
        <v>14</v>
      </c>
      <c r="R10484" t="s" s="12">
        <v>14</v>
      </c>
    </row>
    <row r="10485" s="2" customFormat="1" ht="13.5" customHeight="1">
      <c r="B10485" s="13"/>
      <c r="C10485" t="s" s="9">
        <v>16</v>
      </c>
      <c r="D10485" t="s" s="8">
        <v>3927</v>
      </c>
      <c r="E10485" t="s" s="9">
        <v>3927</v>
      </c>
      <c r="F10485" t="s" s="10">
        <v>63</v>
      </c>
      <c r="G10485" t="s" s="11">
        <v>63</v>
      </c>
      <c r="H10485" t="s" s="10">
        <v>63</v>
      </c>
      <c r="I10485" t="s" s="11">
        <v>63</v>
      </c>
      <c r="J10485" t="s" s="11">
        <v>20</v>
      </c>
      <c r="K10485" t="s" s="16">
        <f>HYPERLINK("http://csr.bu.edu/ftp/asl/asllvd/demos/verify_start_end_handshape_annotations//test_auto_move//signs_mov/4364.mov","MOV")</f>
        <v>21</v>
      </c>
      <c r="L10485" t="s" s="16">
        <f>HYPERLINK("http://csr.bu.edu/ftp/asl/asllvd/demos/verify_start_end_handshape_annotations//test_auto_move//signs_mov_separ_signers/Liz_4364.mov","MOV")</f>
        <v>21</v>
      </c>
      <c r="M10485" t="s" s="10">
        <v>77</v>
      </c>
      <c r="N10485" s="17">
        <v>31</v>
      </c>
      <c r="O10485" s="18">
        <v>675</v>
      </c>
      <c r="P10485" s="18">
        <v>755</v>
      </c>
      <c r="Q10485" t="s" s="16">
        <f>HYPERLINK("http://secrets.rutgers.edu:8080/data/asl-ftp/asllvd/demos/verify_start_end_handshape_annotations//test_auto_move//signs_mov/4364.mov","MOV")</f>
        <v>21</v>
      </c>
      <c r="R10485" t="s" s="16">
        <f>HYPERLINK("http://secrets.rutgers.edu:8080/data/asl-ftp/asllvd/demos/verify_start_end_handshape_annotations//test_auto_move//signs_mov_separ_signers/Liz_4364.mov","MOV")</f>
        <v>21</v>
      </c>
    </row>
    <row r="10486" s="2" customFormat="1" ht="13.5" customHeight="1">
      <c r="B10486" t="s" s="8">
        <v>52</v>
      </c>
      <c r="C10486" t="s" s="9">
        <v>53</v>
      </c>
      <c r="D10486" t="s" s="8">
        <v>53</v>
      </c>
      <c r="E10486" t="s" s="9">
        <v>53</v>
      </c>
      <c r="F10486" t="s" s="10">
        <v>53</v>
      </c>
      <c r="G10486" t="s" s="11">
        <v>53</v>
      </c>
      <c r="H10486" t="s" s="10">
        <v>53</v>
      </c>
      <c r="I10486" t="s" s="11">
        <v>53</v>
      </c>
      <c r="J10486" t="s" s="11">
        <v>53</v>
      </c>
      <c r="K10486" t="s" s="12">
        <v>53</v>
      </c>
      <c r="L10486" t="s" s="12">
        <v>53</v>
      </c>
      <c r="M10486" t="s" s="10">
        <v>53</v>
      </c>
      <c r="N10486" t="s" s="11">
        <v>53</v>
      </c>
      <c r="O10486" t="s" s="8">
        <v>53</v>
      </c>
      <c r="P10486" t="s" s="8">
        <v>53</v>
      </c>
      <c r="Q10486" t="s" s="12">
        <v>53</v>
      </c>
      <c r="R10486" t="s" s="12">
        <v>53</v>
      </c>
    </row>
    <row r="10487" s="2" customFormat="1" ht="13.5" customHeight="1">
      <c r="B10487" s="13"/>
      <c r="C10487" t="s" s="9">
        <v>30</v>
      </c>
      <c r="D10487" t="s" s="8">
        <v>3927</v>
      </c>
      <c r="E10487" t="s" s="9">
        <v>3928</v>
      </c>
      <c r="F10487" t="s" s="10">
        <v>68</v>
      </c>
      <c r="G10487" t="s" s="11">
        <v>68</v>
      </c>
      <c r="H10487" t="s" s="10">
        <v>68</v>
      </c>
      <c r="I10487" t="s" s="11">
        <v>68</v>
      </c>
      <c r="J10487" t="s" s="11">
        <v>20</v>
      </c>
      <c r="K10487" t="s" s="16">
        <f>HYPERLINK("http://csr.bu.edu/ftp/asl/asllvd/demos/verify_start_end_handshape_annotations//test_auto_move//signs_mov/15143.mov","MOV")</f>
        <v>21</v>
      </c>
      <c r="L10487" t="s" s="16">
        <f>HYPERLINK("http://csr.bu.edu/ftp/asl/asllvd/demos/verify_start_end_handshape_annotations//test_auto_move//signs_mov_separ_signers/Brady_15143.mov","MOV")</f>
        <v>21</v>
      </c>
      <c r="M10487" t="s" s="10">
        <v>39</v>
      </c>
      <c r="N10487" s="17">
        <v>46</v>
      </c>
      <c r="O10487" s="18">
        <v>684</v>
      </c>
      <c r="P10487" s="18">
        <v>718</v>
      </c>
      <c r="Q10487" t="s" s="16">
        <f>HYPERLINK("http://secrets.rutgers.edu:8080/data/asl-ftp/asllvd/demos/verify_start_end_handshape_annotations//test_auto_move//signs_mov/15143.mov","MOV")</f>
        <v>21</v>
      </c>
      <c r="R10487" t="s" s="16">
        <f>HYPERLINK("http://secrets.rutgers.edu:8080/data/asl-ftp/asllvd/demos/verify_start_end_handshape_annotations//test_auto_move//signs_mov_separ_signers/Brady_15143.mov","MOV")</f>
        <v>21</v>
      </c>
    </row>
    <row r="10488" s="2" customFormat="1" ht="13.5" customHeight="1">
      <c r="B10488" t="s" s="8">
        <v>3929</v>
      </c>
      <c r="C10488" t="s" s="9">
        <v>14</v>
      </c>
      <c r="D10488" t="s" s="8">
        <v>14</v>
      </c>
      <c r="E10488" t="s" s="9">
        <v>14</v>
      </c>
      <c r="F10488" t="s" s="10">
        <v>14</v>
      </c>
      <c r="G10488" t="s" s="11">
        <v>14</v>
      </c>
      <c r="H10488" t="s" s="10">
        <v>14</v>
      </c>
      <c r="I10488" t="s" s="11">
        <v>14</v>
      </c>
      <c r="J10488" t="s" s="11">
        <v>14</v>
      </c>
      <c r="K10488" t="s" s="12">
        <v>14</v>
      </c>
      <c r="L10488" t="s" s="12">
        <v>14</v>
      </c>
      <c r="M10488" t="s" s="10">
        <v>14</v>
      </c>
      <c r="N10488" t="s" s="11">
        <v>14</v>
      </c>
      <c r="O10488" t="s" s="8">
        <v>14</v>
      </c>
      <c r="P10488" t="s" s="8">
        <v>14</v>
      </c>
      <c r="Q10488" t="s" s="12">
        <v>14</v>
      </c>
      <c r="R10488" t="s" s="12">
        <v>14</v>
      </c>
    </row>
    <row r="10489" s="2" customFormat="1" ht="13.5" customHeight="1">
      <c r="B10489" s="13"/>
      <c r="C10489" t="s" s="9">
        <v>16</v>
      </c>
      <c r="D10489" t="s" s="8">
        <v>3929</v>
      </c>
      <c r="E10489" t="s" s="9">
        <v>3930</v>
      </c>
      <c r="F10489" t="s" s="10">
        <v>73</v>
      </c>
      <c r="G10489" s="14"/>
      <c r="H10489" t="s" s="10">
        <v>73</v>
      </c>
      <c r="I10489" s="14"/>
      <c r="J10489" t="s" s="11">
        <v>20</v>
      </c>
      <c r="K10489" t="s" s="16">
        <f>HYPERLINK("http://csr.bu.edu/ftp/asl/asllvd/demos/verify_start_end_handshape_annotations//test_auto_move//signs_mov/4369.mov","MOV")</f>
        <v>21</v>
      </c>
      <c r="L10489" t="s" s="16">
        <f>HYPERLINK("http://csr.bu.edu/ftp/asl/asllvd/demos/verify_start_end_handshape_annotations//test_auto_move//signs_mov_separ_signers/Liz_4369.mov","MOV")</f>
        <v>21</v>
      </c>
      <c r="M10489" t="s" s="10">
        <v>77</v>
      </c>
      <c r="N10489" s="17">
        <v>5</v>
      </c>
      <c r="O10489" s="18">
        <v>508</v>
      </c>
      <c r="P10489" s="18">
        <v>580</v>
      </c>
      <c r="Q10489" t="s" s="16">
        <f>HYPERLINK("http://secrets.rutgers.edu:8080/data/asl-ftp/asllvd/demos/verify_start_end_handshape_annotations//test_auto_move//signs_mov/4369.mov","MOV")</f>
        <v>21</v>
      </c>
      <c r="R10489" t="s" s="16">
        <f>HYPERLINK("http://secrets.rutgers.edu:8080/data/asl-ftp/asllvd/demos/verify_start_end_handshape_annotations//test_auto_move//signs_mov_separ_signers/Liz_4369.mov","MOV")</f>
        <v>21</v>
      </c>
    </row>
    <row r="10490" s="2" customFormat="1" ht="13.5" customHeight="1">
      <c r="B10490" t="s" s="8">
        <v>3931</v>
      </c>
      <c r="C10490" t="s" s="9">
        <v>14</v>
      </c>
      <c r="D10490" t="s" s="8">
        <v>14</v>
      </c>
      <c r="E10490" t="s" s="9">
        <v>14</v>
      </c>
      <c r="F10490" t="s" s="10">
        <v>14</v>
      </c>
      <c r="G10490" t="s" s="11">
        <v>14</v>
      </c>
      <c r="H10490" t="s" s="10">
        <v>14</v>
      </c>
      <c r="I10490" t="s" s="11">
        <v>14</v>
      </c>
      <c r="J10490" t="s" s="11">
        <v>14</v>
      </c>
      <c r="K10490" t="s" s="12">
        <v>14</v>
      </c>
      <c r="L10490" t="s" s="12">
        <v>14</v>
      </c>
      <c r="M10490" t="s" s="10">
        <v>14</v>
      </c>
      <c r="N10490" t="s" s="11">
        <v>14</v>
      </c>
      <c r="O10490" t="s" s="8">
        <v>14</v>
      </c>
      <c r="P10490" t="s" s="8">
        <v>14</v>
      </c>
      <c r="Q10490" t="s" s="12">
        <v>14</v>
      </c>
      <c r="R10490" t="s" s="12">
        <v>14</v>
      </c>
    </row>
    <row r="10491" s="2" customFormat="1" ht="13.5" customHeight="1">
      <c r="B10491" s="13"/>
      <c r="C10491" t="s" s="9">
        <v>16</v>
      </c>
      <c r="D10491" t="s" s="8">
        <v>3931</v>
      </c>
      <c r="E10491" t="s" s="9">
        <v>3931</v>
      </c>
      <c r="F10491" t="s" s="10">
        <v>80</v>
      </c>
      <c r="G10491" s="14"/>
      <c r="H10491" t="s" s="10">
        <v>80</v>
      </c>
      <c r="I10491" s="14"/>
      <c r="J10491" t="s" s="11">
        <v>20</v>
      </c>
      <c r="K10491" t="s" s="16">
        <f>HYPERLINK("http://csr.bu.edu/ftp/asl/asllvd/demos/verify_start_end_handshape_annotations//test_auto_move//signs_mov/16073.mov","MOV")</f>
        <v>21</v>
      </c>
      <c r="L10491" t="s" s="16">
        <f>HYPERLINK("http://csr.bu.edu/ftp/asl/asllvd/demos/verify_start_end_handshape_annotations//test_auto_move//signs_mov_separ_signers/Liz_16073.mov","MOV")</f>
        <v>21</v>
      </c>
      <c r="M10491" t="s" s="10">
        <v>36</v>
      </c>
      <c r="N10491" s="17">
        <v>47</v>
      </c>
      <c r="O10491" s="18">
        <v>2170</v>
      </c>
      <c r="P10491" s="18">
        <v>2212</v>
      </c>
      <c r="Q10491" t="s" s="16">
        <f>HYPERLINK("http://secrets.rutgers.edu:8080/data/asl-ftp/asllvd/demos/verify_start_end_handshape_annotations//test_auto_move//signs_mov/16073.mov","MOV")</f>
        <v>21</v>
      </c>
      <c r="R10491" t="s" s="16">
        <f>HYPERLINK("http://secrets.rutgers.edu:8080/data/asl-ftp/asllvd/demos/verify_start_end_handshape_annotations//test_auto_move//signs_mov_separ_signers/Liz_16073.mov","MOV")</f>
        <v>21</v>
      </c>
    </row>
    <row r="10492" s="2" customFormat="1" ht="13.5" customHeight="1">
      <c r="B10492" s="13"/>
      <c r="C10492" t="s" s="9">
        <v>30</v>
      </c>
      <c r="D10492" t="s" s="8">
        <v>3931</v>
      </c>
      <c r="E10492" t="s" s="9">
        <v>3931</v>
      </c>
      <c r="F10492" t="s" s="10">
        <v>80</v>
      </c>
      <c r="G10492" s="14"/>
      <c r="H10492" t="s" s="10">
        <v>80</v>
      </c>
      <c r="I10492" s="14"/>
      <c r="J10492" t="s" s="11">
        <v>20</v>
      </c>
      <c r="K10492" s="15"/>
      <c r="L10492" t="s" s="16">
        <f>HYPERLINK("http://csr.bu.edu/ftp/asl/asllvd/demos/verify_start_end_handshape_annotations//test_auto_move//signs_mov_separ_signers/Brady_16073.mov","MOV")</f>
        <v>21</v>
      </c>
      <c r="M10492" t="s" s="10">
        <v>40</v>
      </c>
      <c r="N10492" s="17">
        <v>99</v>
      </c>
      <c r="O10492" s="18">
        <v>1038</v>
      </c>
      <c r="P10492" s="18">
        <v>1074</v>
      </c>
      <c r="Q10492" s="15"/>
      <c r="R10492" t="s" s="16">
        <f>HYPERLINK("http://secrets.rutgers.edu:8080/data/asl-ftp/asllvd/demos/verify_start_end_handshape_annotations//test_auto_move//signs_mov_separ_signers/Brady_16073.mov","MOV")</f>
        <v>21</v>
      </c>
    </row>
    <row r="10493" s="2" customFormat="1" ht="13.5" customHeight="1">
      <c r="B10493" t="s" s="8">
        <v>3932</v>
      </c>
      <c r="C10493" t="s" s="9">
        <v>14</v>
      </c>
      <c r="D10493" t="s" s="8">
        <v>14</v>
      </c>
      <c r="E10493" t="s" s="9">
        <v>14</v>
      </c>
      <c r="F10493" t="s" s="10">
        <v>14</v>
      </c>
      <c r="G10493" t="s" s="11">
        <v>14</v>
      </c>
      <c r="H10493" t="s" s="10">
        <v>14</v>
      </c>
      <c r="I10493" t="s" s="11">
        <v>14</v>
      </c>
      <c r="J10493" t="s" s="11">
        <v>14</v>
      </c>
      <c r="K10493" t="s" s="12">
        <v>14</v>
      </c>
      <c r="L10493" t="s" s="12">
        <v>14</v>
      </c>
      <c r="M10493" t="s" s="10">
        <v>14</v>
      </c>
      <c r="N10493" t="s" s="11">
        <v>14</v>
      </c>
      <c r="O10493" t="s" s="8">
        <v>14</v>
      </c>
      <c r="P10493" t="s" s="8">
        <v>14</v>
      </c>
      <c r="Q10493" t="s" s="12">
        <v>14</v>
      </c>
      <c r="R10493" t="s" s="12">
        <v>14</v>
      </c>
    </row>
    <row r="10494" s="2" customFormat="1" ht="13.5" customHeight="1">
      <c r="B10494" s="13"/>
      <c r="C10494" t="s" s="9">
        <v>16</v>
      </c>
      <c r="D10494" t="s" s="8">
        <v>3932</v>
      </c>
      <c r="E10494" t="s" s="9">
        <v>3933</v>
      </c>
      <c r="F10494" s="19">
        <v>5</v>
      </c>
      <c r="G10494" s="17">
        <v>5</v>
      </c>
      <c r="H10494" s="19">
        <v>5</v>
      </c>
      <c r="I10494" s="17">
        <v>5</v>
      </c>
      <c r="J10494" t="s" s="11">
        <v>20</v>
      </c>
      <c r="K10494" t="s" s="16">
        <f>HYPERLINK("http://csr.bu.edu/ftp/asl/asllvd/demos/verify_start_end_handshape_annotations//test_auto_move//signs_mov/4375.mov","MOV")</f>
        <v>21</v>
      </c>
      <c r="L10494" t="s" s="16">
        <f>HYPERLINK("http://csr.bu.edu/ftp/asl/asllvd/demos/verify_start_end_handshape_annotations//test_auto_move//signs_mov_separ_signers/Liz_4375.mov","MOV")</f>
        <v>21</v>
      </c>
      <c r="M10494" t="s" s="10">
        <v>77</v>
      </c>
      <c r="N10494" s="17">
        <v>5</v>
      </c>
      <c r="O10494" s="18">
        <v>1780</v>
      </c>
      <c r="P10494" s="18">
        <v>1850</v>
      </c>
      <c r="Q10494" t="s" s="16">
        <f>HYPERLINK("http://secrets.rutgers.edu:8080/data/asl-ftp/asllvd/demos/verify_start_end_handshape_annotations//test_auto_move//signs_mov/4375.mov","MOV")</f>
        <v>21</v>
      </c>
      <c r="R10494" t="s" s="16">
        <f>HYPERLINK("http://secrets.rutgers.edu:8080/data/asl-ftp/asllvd/demos/verify_start_end_handshape_annotations//test_auto_move//signs_mov_separ_signers/Liz_4375.mov","MOV")</f>
        <v>21</v>
      </c>
    </row>
    <row r="10495" s="2" customFormat="1" ht="13.5" customHeight="1">
      <c r="B10495" s="13"/>
      <c r="C10495" t="s" s="9">
        <v>30</v>
      </c>
      <c r="D10495" t="s" s="8">
        <v>3932</v>
      </c>
      <c r="E10495" t="s" s="9">
        <v>3933</v>
      </c>
      <c r="F10495" s="19">
        <v>5</v>
      </c>
      <c r="G10495" s="17">
        <v>5</v>
      </c>
      <c r="H10495" s="19">
        <v>5</v>
      </c>
      <c r="I10495" s="17">
        <v>5</v>
      </c>
      <c r="J10495" t="s" s="11">
        <v>20</v>
      </c>
      <c r="K10495" s="15"/>
      <c r="L10495" t="s" s="16">
        <f>HYPERLINK("http://csr.bu.edu/ftp/asl/asllvd/demos/verify_start_end_handshape_annotations//test_auto_move//signs_mov_separ_signers/Brady_4375.mov","MOV")</f>
        <v>21</v>
      </c>
      <c r="M10495" t="s" s="10">
        <v>39</v>
      </c>
      <c r="N10495" s="17">
        <v>26</v>
      </c>
      <c r="O10495" s="18">
        <v>6187</v>
      </c>
      <c r="P10495" s="18">
        <v>6225</v>
      </c>
      <c r="Q10495" s="15"/>
      <c r="R10495" t="s" s="16">
        <f>HYPERLINK("http://secrets.rutgers.edu:8080/data/asl-ftp/asllvd/demos/verify_start_end_handshape_annotations//test_auto_move//signs_mov_separ_signers/Brady_4375.mov","MOV")</f>
        <v>21</v>
      </c>
    </row>
    <row r="10496" s="2" customFormat="1" ht="13.5" customHeight="1">
      <c r="B10496" t="s" s="8">
        <v>3934</v>
      </c>
      <c r="C10496" t="s" s="9">
        <v>14</v>
      </c>
      <c r="D10496" t="s" s="8">
        <v>14</v>
      </c>
      <c r="E10496" t="s" s="9">
        <v>14</v>
      </c>
      <c r="F10496" t="s" s="10">
        <v>14</v>
      </c>
      <c r="G10496" t="s" s="11">
        <v>14</v>
      </c>
      <c r="H10496" t="s" s="10">
        <v>14</v>
      </c>
      <c r="I10496" t="s" s="11">
        <v>14</v>
      </c>
      <c r="J10496" t="s" s="11">
        <v>14</v>
      </c>
      <c r="K10496" t="s" s="12">
        <v>14</v>
      </c>
      <c r="L10496" t="s" s="12">
        <v>14</v>
      </c>
      <c r="M10496" t="s" s="10">
        <v>14</v>
      </c>
      <c r="N10496" t="s" s="11">
        <v>14</v>
      </c>
      <c r="O10496" t="s" s="8">
        <v>14</v>
      </c>
      <c r="P10496" t="s" s="8">
        <v>14</v>
      </c>
      <c r="Q10496" t="s" s="12">
        <v>14</v>
      </c>
      <c r="R10496" t="s" s="12">
        <v>14</v>
      </c>
    </row>
    <row r="10497" s="2" customFormat="1" ht="13.5" customHeight="1">
      <c r="B10497" s="13"/>
      <c r="C10497" t="s" s="9">
        <v>16</v>
      </c>
      <c r="D10497" t="s" s="8">
        <v>3934</v>
      </c>
      <c r="E10497" t="s" s="9">
        <v>3935</v>
      </c>
      <c r="F10497" s="19">
        <v>5</v>
      </c>
      <c r="G10497" s="17">
        <v>5</v>
      </c>
      <c r="H10497" s="19">
        <v>5</v>
      </c>
      <c r="I10497" s="17">
        <v>5</v>
      </c>
      <c r="J10497" t="s" s="11">
        <v>20</v>
      </c>
      <c r="K10497" s="15"/>
      <c r="L10497" t="s" s="16">
        <f>HYPERLINK("http://csr.bu.edu/ftp/asl/asllvd/demos/verify_start_end_handshape_annotations//test_auto_move//signs_mov_separ_signers/Liz_15565.mov","MOV")</f>
        <v>21</v>
      </c>
      <c r="M10497" t="s" s="10">
        <v>34</v>
      </c>
      <c r="N10497" s="17">
        <v>54</v>
      </c>
      <c r="O10497" s="18">
        <v>1477</v>
      </c>
      <c r="P10497" s="18">
        <v>1535</v>
      </c>
      <c r="Q10497" s="15"/>
      <c r="R10497" t="s" s="16">
        <f>HYPERLINK("http://secrets.rutgers.edu:8080/data/asl-ftp/asllvd/demos/verify_start_end_handshape_annotations//test_auto_move//signs_mov_separ_signers/Liz_15565.mov","MOV")</f>
        <v>21</v>
      </c>
    </row>
    <row r="10498" s="2" customFormat="1" ht="13.5" customHeight="1">
      <c r="B10498" s="13"/>
      <c r="C10498" t="s" s="9">
        <v>16</v>
      </c>
      <c r="D10498" t="s" s="8">
        <v>3934</v>
      </c>
      <c r="E10498" t="s" s="9">
        <v>3936</v>
      </c>
      <c r="F10498" s="19">
        <v>5</v>
      </c>
      <c r="G10498" s="17">
        <v>5</v>
      </c>
      <c r="H10498" s="19">
        <v>5</v>
      </c>
      <c r="I10498" s="17">
        <v>5</v>
      </c>
      <c r="J10498" t="s" s="11">
        <v>20</v>
      </c>
      <c r="K10498" s="15"/>
      <c r="L10498" t="s" s="16">
        <f>HYPERLINK("http://csr.bu.edu/ftp/asl/asllvd/demos/verify_start_end_handshape_annotations//test_auto_move//signs_mov_separ_signers/Liz_15569.mov","MOV")</f>
        <v>21</v>
      </c>
      <c r="M10498" t="s" s="10">
        <v>59</v>
      </c>
      <c r="N10498" s="17">
        <v>30</v>
      </c>
      <c r="O10498" s="18">
        <v>1571</v>
      </c>
      <c r="P10498" s="18">
        <v>1635</v>
      </c>
      <c r="Q10498" s="15"/>
      <c r="R10498" t="s" s="16">
        <f>HYPERLINK("http://secrets.rutgers.edu:8080/data/asl-ftp/asllvd/demos/verify_start_end_handshape_annotations//test_auto_move//signs_mov_separ_signers/Liz_15569.mov","MOV")</f>
        <v>21</v>
      </c>
    </row>
    <row r="10499" s="2" customFormat="1" ht="13.5" customHeight="1">
      <c r="B10499" s="13"/>
      <c r="C10499" t="s" s="9">
        <v>16</v>
      </c>
      <c r="D10499" t="s" s="8">
        <v>3934</v>
      </c>
      <c r="E10499" t="s" s="9">
        <v>3936</v>
      </c>
      <c r="F10499" s="19">
        <v>5</v>
      </c>
      <c r="G10499" s="17">
        <v>5</v>
      </c>
      <c r="H10499" s="19">
        <v>5</v>
      </c>
      <c r="I10499" s="17">
        <v>5</v>
      </c>
      <c r="J10499" t="s" s="11">
        <v>20</v>
      </c>
      <c r="K10499" s="15"/>
      <c r="L10499" t="s" s="16">
        <f>HYPERLINK("http://csr.bu.edu/ftp/asl/asllvd/demos/verify_start_end_handshape_annotations//test_auto_move//signs_mov_separ_signers/Liz_15656.mov","MOV")</f>
        <v>21</v>
      </c>
      <c r="M10499" t="s" s="10">
        <v>77</v>
      </c>
      <c r="N10499" s="17">
        <v>28</v>
      </c>
      <c r="O10499" s="18">
        <v>2286</v>
      </c>
      <c r="P10499" s="18">
        <v>2355</v>
      </c>
      <c r="Q10499" s="15"/>
      <c r="R10499" t="s" s="16">
        <f>HYPERLINK("http://secrets.rutgers.edu:8080/data/asl-ftp/asllvd/demos/verify_start_end_handshape_annotations//test_auto_move//signs_mov_separ_signers/Liz_15656.mov","MOV")</f>
        <v>21</v>
      </c>
    </row>
    <row r="10500" s="2" customFormat="1" ht="13.5" customHeight="1">
      <c r="B10500" s="13"/>
      <c r="C10500" t="s" s="9">
        <v>30</v>
      </c>
      <c r="D10500" t="s" s="8">
        <v>3934</v>
      </c>
      <c r="E10500" t="s" s="9">
        <v>3935</v>
      </c>
      <c r="F10500" s="19">
        <v>5</v>
      </c>
      <c r="G10500" s="17">
        <v>5</v>
      </c>
      <c r="H10500" s="19">
        <v>5</v>
      </c>
      <c r="I10500" s="17">
        <v>5</v>
      </c>
      <c r="J10500" t="s" s="11">
        <v>20</v>
      </c>
      <c r="K10500" t="s" s="16">
        <f>HYPERLINK("http://csr.bu.edu/ftp/asl/asllvd/demos/verify_start_end_handshape_annotations//test_auto_move//signs_mov/15565_15569_15656_16212_merged.mov","MOV")</f>
        <v>21</v>
      </c>
      <c r="L10500" t="s" s="16">
        <f>HYPERLINK("http://csr.bu.edu/ftp/asl/asllvd/demos/verify_start_end_handshape_annotations//test_auto_move//signs_mov_separ_signers/Brady_15565.mov","MOV")</f>
        <v>21</v>
      </c>
      <c r="M10500" t="s" s="10">
        <v>39</v>
      </c>
      <c r="N10500" s="17">
        <v>18</v>
      </c>
      <c r="O10500" s="18">
        <v>826</v>
      </c>
      <c r="P10500" s="18">
        <v>880</v>
      </c>
      <c r="Q10500" t="s" s="16">
        <f>HYPERLINK("http://secrets.rutgers.edu:8080/data/asl-ftp/asllvd/demos/verify_start_end_handshape_annotations//test_auto_move//signs_mov/15565_15569_15656_16212_merged.mov","MOV")</f>
        <v>21</v>
      </c>
      <c r="R10500" t="s" s="16">
        <f>HYPERLINK("http://secrets.rutgers.edu:8080/data/asl-ftp/asllvd/demos/verify_start_end_handshape_annotations//test_auto_move//signs_mov_separ_signers/Brady_15565.mov","MOV")</f>
        <v>21</v>
      </c>
    </row>
    <row r="10501" s="2" customFormat="1" ht="13.5" customHeight="1">
      <c r="B10501" s="13"/>
      <c r="C10501" t="s" s="9">
        <v>30</v>
      </c>
      <c r="D10501" t="s" s="8">
        <v>3934</v>
      </c>
      <c r="E10501" t="s" s="9">
        <v>3935</v>
      </c>
      <c r="F10501" s="19">
        <v>5</v>
      </c>
      <c r="G10501" s="17">
        <v>5</v>
      </c>
      <c r="H10501" s="19">
        <v>5</v>
      </c>
      <c r="I10501" s="17">
        <v>5</v>
      </c>
      <c r="J10501" t="s" s="11">
        <v>20</v>
      </c>
      <c r="K10501" s="15"/>
      <c r="L10501" t="s" s="16">
        <f>HYPERLINK("http://csr.bu.edu/ftp/asl/asllvd/demos/verify_start_end_handshape_annotations//test_auto_move//signs_mov_separ_signers/Brady_15569.mov","MOV")</f>
        <v>21</v>
      </c>
      <c r="M10501" t="s" s="10">
        <v>39</v>
      </c>
      <c r="N10501" s="17">
        <v>18</v>
      </c>
      <c r="O10501" s="18">
        <v>1590</v>
      </c>
      <c r="P10501" s="18">
        <v>1622</v>
      </c>
      <c r="Q10501" s="15"/>
      <c r="R10501" t="s" s="16">
        <f>HYPERLINK("http://secrets.rutgers.edu:8080/data/asl-ftp/asllvd/demos/verify_start_end_handshape_annotations//test_auto_move//signs_mov_separ_signers/Brady_15569.mov","MOV")</f>
        <v>21</v>
      </c>
    </row>
    <row r="10502" s="2" customFormat="1" ht="13.5" customHeight="1">
      <c r="B10502" s="13"/>
      <c r="C10502" t="s" s="9">
        <v>30</v>
      </c>
      <c r="D10502" t="s" s="8">
        <v>3934</v>
      </c>
      <c r="E10502" t="s" s="9">
        <v>3936</v>
      </c>
      <c r="F10502" s="19">
        <v>5</v>
      </c>
      <c r="G10502" s="17">
        <v>5</v>
      </c>
      <c r="H10502" s="19">
        <v>5</v>
      </c>
      <c r="I10502" s="17">
        <v>5</v>
      </c>
      <c r="J10502" t="s" s="11">
        <v>20</v>
      </c>
      <c r="K10502" s="15"/>
      <c r="L10502" t="s" s="16">
        <f>HYPERLINK("http://csr.bu.edu/ftp/asl/asllvd/demos/verify_start_end_handshape_annotations//test_auto_move//signs_mov_separ_signers/Brady_15656.mov","MOV")</f>
        <v>21</v>
      </c>
      <c r="M10502" t="s" s="10">
        <v>39</v>
      </c>
      <c r="N10502" s="17">
        <v>52</v>
      </c>
      <c r="O10502" s="18">
        <v>3700</v>
      </c>
      <c r="P10502" s="18">
        <v>3747</v>
      </c>
      <c r="Q10502" s="15"/>
      <c r="R10502" t="s" s="16">
        <f>HYPERLINK("http://secrets.rutgers.edu:8080/data/asl-ftp/asllvd/demos/verify_start_end_handshape_annotations//test_auto_move//signs_mov_separ_signers/Brady_15656.mov","MOV")</f>
        <v>21</v>
      </c>
    </row>
    <row r="10503" s="2" customFormat="1" ht="13.5" customHeight="1">
      <c r="B10503" s="13"/>
      <c r="C10503" t="s" s="9">
        <v>30</v>
      </c>
      <c r="D10503" t="s" s="8">
        <v>3934</v>
      </c>
      <c r="E10503" t="s" s="9">
        <v>3936</v>
      </c>
      <c r="F10503" s="19">
        <v>5</v>
      </c>
      <c r="G10503" s="17">
        <v>5</v>
      </c>
      <c r="H10503" s="19">
        <v>5</v>
      </c>
      <c r="I10503" s="17">
        <v>5</v>
      </c>
      <c r="J10503" t="s" s="11">
        <v>20</v>
      </c>
      <c r="K10503" s="15"/>
      <c r="L10503" t="s" s="16">
        <f>HYPERLINK("http://csr.bu.edu/ftp/asl/asllvd/demos/verify_start_end_handshape_annotations//test_auto_move//signs_mov_separ_signers/Brady_16212.mov","MOV")</f>
        <v>21</v>
      </c>
      <c r="M10503" t="s" s="10">
        <v>60</v>
      </c>
      <c r="N10503" s="17">
        <v>18</v>
      </c>
      <c r="O10503" s="18">
        <v>4865</v>
      </c>
      <c r="P10503" s="18">
        <v>4918</v>
      </c>
      <c r="Q10503" s="15"/>
      <c r="R10503" t="s" s="16">
        <f>HYPERLINK("http://secrets.rutgers.edu:8080/data/asl-ftp/asllvd/demos/verify_start_end_handshape_annotations//test_auto_move//signs_mov_separ_signers/Brady_16212.mov","MOV")</f>
        <v>21</v>
      </c>
    </row>
    <row r="10504" s="2" customFormat="1" ht="13.5" customHeight="1">
      <c r="B10504" t="s" s="8">
        <v>3937</v>
      </c>
      <c r="C10504" t="s" s="9">
        <v>14</v>
      </c>
      <c r="D10504" t="s" s="8">
        <v>14</v>
      </c>
      <c r="E10504" t="s" s="9">
        <v>14</v>
      </c>
      <c r="F10504" t="s" s="10">
        <v>14</v>
      </c>
      <c r="G10504" t="s" s="11">
        <v>14</v>
      </c>
      <c r="H10504" t="s" s="10">
        <v>14</v>
      </c>
      <c r="I10504" t="s" s="11">
        <v>14</v>
      </c>
      <c r="J10504" t="s" s="11">
        <v>14</v>
      </c>
      <c r="K10504" t="s" s="12">
        <v>14</v>
      </c>
      <c r="L10504" t="s" s="12">
        <v>14</v>
      </c>
      <c r="M10504" t="s" s="10">
        <v>14</v>
      </c>
      <c r="N10504" t="s" s="11">
        <v>14</v>
      </c>
      <c r="O10504" t="s" s="8">
        <v>14</v>
      </c>
      <c r="P10504" t="s" s="8">
        <v>14</v>
      </c>
      <c r="Q10504" t="s" s="12">
        <v>14</v>
      </c>
      <c r="R10504" t="s" s="12">
        <v>14</v>
      </c>
    </row>
    <row r="10505" s="2" customFormat="1" ht="13.5" customHeight="1">
      <c r="B10505" s="13"/>
      <c r="C10505" t="s" s="9">
        <v>27</v>
      </c>
      <c r="D10505" t="s" s="8">
        <v>3937</v>
      </c>
      <c r="E10505" t="s" s="9">
        <v>3938</v>
      </c>
      <c r="F10505" s="19">
        <v>5</v>
      </c>
      <c r="G10505" t="s" s="11">
        <v>73</v>
      </c>
      <c r="H10505" s="19">
        <v>5</v>
      </c>
      <c r="I10505" t="s" s="11">
        <v>73</v>
      </c>
      <c r="J10505" t="s" s="11">
        <v>20</v>
      </c>
      <c r="K10505" t="s" s="16">
        <f>HYPERLINK("http://csr.bu.edu/ftp/asl/asllvd/demos/verify_start_end_handshape_annotations//test_auto_move//signs_mov/16213.mov","MOV")</f>
        <v>21</v>
      </c>
      <c r="L10505" t="s" s="16">
        <f>HYPERLINK("http://csr.bu.edu/ftp/asl/asllvd/demos/verify_start_end_handshape_annotations//test_auto_move//signs_mov_separ_signers/Naomi_16213.mov","MOV")</f>
        <v>21</v>
      </c>
      <c r="M10505" t="s" s="10">
        <v>48</v>
      </c>
      <c r="N10505" s="17">
        <v>9</v>
      </c>
      <c r="O10505" s="18">
        <v>2111</v>
      </c>
      <c r="P10505" s="18">
        <v>2180</v>
      </c>
      <c r="Q10505" t="s" s="16">
        <f>HYPERLINK("http://secrets.rutgers.edu:8080/data/asl-ftp/asllvd/demos/verify_start_end_handshape_annotations//test_auto_move//signs_mov/16213.mov","MOV")</f>
        <v>21</v>
      </c>
      <c r="R10505" t="s" s="16">
        <f>HYPERLINK("http://secrets.rutgers.edu:8080/data/asl-ftp/asllvd/demos/verify_start_end_handshape_annotations//test_auto_move//signs_mov_separ_signers/Naomi_16213.mov","MOV")</f>
        <v>21</v>
      </c>
    </row>
    <row r="10506" s="2" customFormat="1" ht="13.5" customHeight="1">
      <c r="B10506" t="s" s="8">
        <v>3939</v>
      </c>
      <c r="C10506" t="s" s="9">
        <v>14</v>
      </c>
      <c r="D10506" t="s" s="8">
        <v>14</v>
      </c>
      <c r="E10506" t="s" s="9">
        <v>14</v>
      </c>
      <c r="F10506" t="s" s="10">
        <v>14</v>
      </c>
      <c r="G10506" t="s" s="11">
        <v>14</v>
      </c>
      <c r="H10506" t="s" s="10">
        <v>14</v>
      </c>
      <c r="I10506" t="s" s="11">
        <v>14</v>
      </c>
      <c r="J10506" t="s" s="11">
        <v>14</v>
      </c>
      <c r="K10506" t="s" s="12">
        <v>14</v>
      </c>
      <c r="L10506" t="s" s="12">
        <v>14</v>
      </c>
      <c r="M10506" t="s" s="10">
        <v>14</v>
      </c>
      <c r="N10506" t="s" s="11">
        <v>14</v>
      </c>
      <c r="O10506" t="s" s="8">
        <v>14</v>
      </c>
      <c r="P10506" t="s" s="8">
        <v>14</v>
      </c>
      <c r="Q10506" t="s" s="12">
        <v>14</v>
      </c>
      <c r="R10506" t="s" s="12">
        <v>14</v>
      </c>
    </row>
    <row r="10507" s="2" customFormat="1" ht="13.5" customHeight="1">
      <c r="B10507" s="13"/>
      <c r="C10507" t="s" s="9">
        <v>16</v>
      </c>
      <c r="D10507" t="s" s="8">
        <v>3939</v>
      </c>
      <c r="E10507" t="s" s="9">
        <v>3939</v>
      </c>
      <c r="F10507" t="s" s="10">
        <v>255</v>
      </c>
      <c r="G10507" s="14"/>
      <c r="H10507" t="s" s="10">
        <v>255</v>
      </c>
      <c r="I10507" s="14"/>
      <c r="J10507" t="s" s="11">
        <v>20</v>
      </c>
      <c r="K10507" t="s" s="16">
        <f>HYPERLINK("http://csr.bu.edu/ftp/asl/asllvd/demos/verify_start_end_handshape_annotations//test_auto_move//signs_mov/4376.mov","MOV")</f>
        <v>21</v>
      </c>
      <c r="L10507" t="s" s="16">
        <f>HYPERLINK("http://csr.bu.edu/ftp/asl/asllvd/demos/verify_start_end_handshape_annotations//test_auto_move//signs_mov_separ_signers/Liz_4376.mov","MOV")</f>
        <v>21</v>
      </c>
      <c r="M10507" t="s" s="10">
        <v>77</v>
      </c>
      <c r="N10507" s="17">
        <v>5</v>
      </c>
      <c r="O10507" s="18">
        <v>1970</v>
      </c>
      <c r="P10507" s="18">
        <v>2006</v>
      </c>
      <c r="Q10507" t="s" s="16">
        <f>HYPERLINK("http://secrets.rutgers.edu:8080/data/asl-ftp/asllvd/demos/verify_start_end_handshape_annotations//test_auto_move//signs_mov/4376.mov","MOV")</f>
        <v>21</v>
      </c>
      <c r="R10507" t="s" s="16">
        <f>HYPERLINK("http://secrets.rutgers.edu:8080/data/asl-ftp/asllvd/demos/verify_start_end_handshape_annotations//test_auto_move//signs_mov_separ_signers/Liz_4376.mov","MOV")</f>
        <v>21</v>
      </c>
    </row>
    <row r="10508" s="2" customFormat="1" ht="13.5" customHeight="1">
      <c r="B10508" t="s" s="8">
        <v>3940</v>
      </c>
      <c r="C10508" t="s" s="9">
        <v>14</v>
      </c>
      <c r="D10508" t="s" s="8">
        <v>14</v>
      </c>
      <c r="E10508" t="s" s="9">
        <v>14</v>
      </c>
      <c r="F10508" t="s" s="10">
        <v>14</v>
      </c>
      <c r="G10508" t="s" s="11">
        <v>14</v>
      </c>
      <c r="H10508" t="s" s="10">
        <v>14</v>
      </c>
      <c r="I10508" t="s" s="11">
        <v>14</v>
      </c>
      <c r="J10508" t="s" s="11">
        <v>14</v>
      </c>
      <c r="K10508" t="s" s="12">
        <v>14</v>
      </c>
      <c r="L10508" t="s" s="12">
        <v>14</v>
      </c>
      <c r="M10508" t="s" s="10">
        <v>14</v>
      </c>
      <c r="N10508" t="s" s="11">
        <v>14</v>
      </c>
      <c r="O10508" t="s" s="8">
        <v>14</v>
      </c>
      <c r="P10508" t="s" s="8">
        <v>14</v>
      </c>
      <c r="Q10508" t="s" s="12">
        <v>14</v>
      </c>
      <c r="R10508" t="s" s="12">
        <v>14</v>
      </c>
    </row>
    <row r="10509" s="2" customFormat="1" ht="13.5" customHeight="1">
      <c r="B10509" s="13"/>
      <c r="C10509" t="s" s="9">
        <v>16</v>
      </c>
      <c r="D10509" t="s" s="8">
        <v>3940</v>
      </c>
      <c r="E10509" t="s" s="9">
        <v>3940</v>
      </c>
      <c r="F10509" t="s" s="10">
        <v>386</v>
      </c>
      <c r="G10509" s="14"/>
      <c r="H10509" t="s" s="10">
        <v>386</v>
      </c>
      <c r="I10509" s="14"/>
      <c r="J10509" t="s" s="11">
        <v>20</v>
      </c>
      <c r="K10509" t="s" s="16">
        <f>HYPERLINK("http://csr.bu.edu/ftp/asl/asllvd/demos/verify_start_end_handshape_annotations//test_auto_move//signs_mov/4377.mov","MOV")</f>
        <v>21</v>
      </c>
      <c r="L10509" t="s" s="16">
        <f>HYPERLINK("http://csr.bu.edu/ftp/asl/asllvd/demos/verify_start_end_handshape_annotations//test_auto_move//signs_mov_separ_signers/Liz_4377.mov","MOV")</f>
        <v>21</v>
      </c>
      <c r="M10509" t="s" s="10">
        <v>77</v>
      </c>
      <c r="N10509" s="17">
        <v>5</v>
      </c>
      <c r="O10509" s="18">
        <v>2136</v>
      </c>
      <c r="P10509" s="18">
        <v>2182</v>
      </c>
      <c r="Q10509" t="s" s="16">
        <f>HYPERLINK("http://secrets.rutgers.edu:8080/data/asl-ftp/asllvd/demos/verify_start_end_handshape_annotations//test_auto_move//signs_mov/4377.mov","MOV")</f>
        <v>21</v>
      </c>
      <c r="R10509" t="s" s="16">
        <f>HYPERLINK("http://secrets.rutgers.edu:8080/data/asl-ftp/asllvd/demos/verify_start_end_handshape_annotations//test_auto_move//signs_mov_separ_signers/Liz_4377.mov","MOV")</f>
        <v>21</v>
      </c>
    </row>
    <row r="10510" s="2" customFormat="1" ht="13.5" customHeight="1">
      <c r="B10510" t="s" s="8">
        <v>3941</v>
      </c>
      <c r="C10510" t="s" s="9">
        <v>14</v>
      </c>
      <c r="D10510" t="s" s="8">
        <v>14</v>
      </c>
      <c r="E10510" t="s" s="9">
        <v>14</v>
      </c>
      <c r="F10510" t="s" s="10">
        <v>14</v>
      </c>
      <c r="G10510" t="s" s="11">
        <v>14</v>
      </c>
      <c r="H10510" t="s" s="10">
        <v>14</v>
      </c>
      <c r="I10510" t="s" s="11">
        <v>14</v>
      </c>
      <c r="J10510" t="s" s="11">
        <v>14</v>
      </c>
      <c r="K10510" t="s" s="12">
        <v>14</v>
      </c>
      <c r="L10510" t="s" s="12">
        <v>14</v>
      </c>
      <c r="M10510" t="s" s="10">
        <v>14</v>
      </c>
      <c r="N10510" t="s" s="11">
        <v>14</v>
      </c>
      <c r="O10510" t="s" s="8">
        <v>14</v>
      </c>
      <c r="P10510" t="s" s="8">
        <v>14</v>
      </c>
      <c r="Q10510" t="s" s="12">
        <v>14</v>
      </c>
      <c r="R10510" t="s" s="12">
        <v>14</v>
      </c>
    </row>
    <row r="10511" s="2" customFormat="1" ht="13.5" customHeight="1">
      <c r="B10511" s="13"/>
      <c r="C10511" t="s" s="9">
        <v>16</v>
      </c>
      <c r="D10511" t="s" s="8">
        <v>3941</v>
      </c>
      <c r="E10511" t="s" s="9">
        <v>3941</v>
      </c>
      <c r="F10511" t="s" s="10">
        <v>73</v>
      </c>
      <c r="G10511" t="s" s="11">
        <v>73</v>
      </c>
      <c r="H10511" t="s" s="10">
        <v>80</v>
      </c>
      <c r="I10511" t="s" s="11">
        <v>73</v>
      </c>
      <c r="J10511" t="s" s="11">
        <v>20</v>
      </c>
      <c r="K10511" t="s" s="16">
        <f>HYPERLINK("http://csr.bu.edu/ftp/asl/asllvd/demos/verify_start_end_handshape_annotations//test_auto_move//signs_mov/4378.mov","MOV")</f>
        <v>21</v>
      </c>
      <c r="L10511" t="s" s="16">
        <f>HYPERLINK("http://csr.bu.edu/ftp/asl/asllvd/demos/verify_start_end_handshape_annotations//test_auto_move//signs_mov_separ_signers/Liz_4378.mov","MOV")</f>
        <v>21</v>
      </c>
      <c r="M10511" t="s" s="10">
        <v>77</v>
      </c>
      <c r="N10511" s="17">
        <v>5</v>
      </c>
      <c r="O10511" s="18">
        <v>2307</v>
      </c>
      <c r="P10511" s="18">
        <v>2366</v>
      </c>
      <c r="Q10511" t="s" s="16">
        <f>HYPERLINK("http://secrets.rutgers.edu:8080/data/asl-ftp/asllvd/demos/verify_start_end_handshape_annotations//test_auto_move//signs_mov/4378.mov","MOV")</f>
        <v>21</v>
      </c>
      <c r="R10511" t="s" s="16">
        <f>HYPERLINK("http://secrets.rutgers.edu:8080/data/asl-ftp/asllvd/demos/verify_start_end_handshape_annotations//test_auto_move//signs_mov_separ_signers/Liz_4378.mov","MOV")</f>
        <v>21</v>
      </c>
    </row>
    <row r="10512" s="2" customFormat="1" ht="13.5" customHeight="1">
      <c r="B10512" t="s" s="8">
        <v>3942</v>
      </c>
      <c r="C10512" t="s" s="9">
        <v>14</v>
      </c>
      <c r="D10512" t="s" s="8">
        <v>14</v>
      </c>
      <c r="E10512" t="s" s="9">
        <v>14</v>
      </c>
      <c r="F10512" t="s" s="10">
        <v>14</v>
      </c>
      <c r="G10512" t="s" s="11">
        <v>14</v>
      </c>
      <c r="H10512" t="s" s="10">
        <v>14</v>
      </c>
      <c r="I10512" t="s" s="11">
        <v>14</v>
      </c>
      <c r="J10512" t="s" s="11">
        <v>14</v>
      </c>
      <c r="K10512" t="s" s="12">
        <v>14</v>
      </c>
      <c r="L10512" t="s" s="12">
        <v>14</v>
      </c>
      <c r="M10512" t="s" s="10">
        <v>14</v>
      </c>
      <c r="N10512" t="s" s="11">
        <v>14</v>
      </c>
      <c r="O10512" t="s" s="8">
        <v>14</v>
      </c>
      <c r="P10512" t="s" s="8">
        <v>14</v>
      </c>
      <c r="Q10512" t="s" s="12">
        <v>14</v>
      </c>
      <c r="R10512" t="s" s="12">
        <v>14</v>
      </c>
    </row>
    <row r="10513" s="2" customFormat="1" ht="13.5" customHeight="1">
      <c r="B10513" s="13"/>
      <c r="C10513" t="s" s="9">
        <v>30</v>
      </c>
      <c r="D10513" t="s" s="8">
        <v>3942</v>
      </c>
      <c r="E10513" t="s" s="9">
        <v>3942</v>
      </c>
      <c r="F10513" s="19">
        <v>1</v>
      </c>
      <c r="G10513" s="17">
        <v>1</v>
      </c>
      <c r="H10513" s="19">
        <v>1</v>
      </c>
      <c r="I10513" s="17">
        <v>1</v>
      </c>
      <c r="J10513" t="s" s="11">
        <v>20</v>
      </c>
      <c r="K10513" t="s" s="16">
        <f>HYPERLINK("http://csr.bu.edu/ftp/asl/asllvd/demos/verify_start_end_handshape_annotations//test_auto_move//signs_mov/4380.mov","MOV")</f>
        <v>21</v>
      </c>
      <c r="L10513" t="s" s="16">
        <f>HYPERLINK("http://csr.bu.edu/ftp/asl/asllvd/demos/verify_start_end_handshape_annotations//test_auto_move//signs_mov_separ_signers/Brady_4380.mov","MOV")</f>
        <v>21</v>
      </c>
      <c r="M10513" t="s" s="10">
        <v>31</v>
      </c>
      <c r="N10513" s="17">
        <v>10</v>
      </c>
      <c r="O10513" s="18">
        <v>8990</v>
      </c>
      <c r="P10513" s="18">
        <v>9004</v>
      </c>
      <c r="Q10513" t="s" s="16">
        <f>HYPERLINK("http://secrets.rutgers.edu:8080/data/asl-ftp/asllvd/demos/verify_start_end_handshape_annotations//test_auto_move//signs_mov/4380.mov","MOV")</f>
        <v>21</v>
      </c>
      <c r="R10513" t="s" s="16">
        <f>HYPERLINK("http://secrets.rutgers.edu:8080/data/asl-ftp/asllvd/demos/verify_start_end_handshape_annotations//test_auto_move//signs_mov_separ_signers/Brady_4380.mov","MOV")</f>
        <v>21</v>
      </c>
    </row>
    <row r="10514" s="2" customFormat="1" ht="13.5" customHeight="1">
      <c r="B10514" t="s" s="8">
        <v>3943</v>
      </c>
      <c r="C10514" t="s" s="9">
        <v>14</v>
      </c>
      <c r="D10514" t="s" s="8">
        <v>14</v>
      </c>
      <c r="E10514" t="s" s="9">
        <v>14</v>
      </c>
      <c r="F10514" t="s" s="10">
        <v>14</v>
      </c>
      <c r="G10514" t="s" s="11">
        <v>14</v>
      </c>
      <c r="H10514" t="s" s="10">
        <v>14</v>
      </c>
      <c r="I10514" t="s" s="11">
        <v>14</v>
      </c>
      <c r="J10514" t="s" s="11">
        <v>14</v>
      </c>
      <c r="K10514" t="s" s="12">
        <v>14</v>
      </c>
      <c r="L10514" t="s" s="12">
        <v>14</v>
      </c>
      <c r="M10514" t="s" s="10">
        <v>14</v>
      </c>
      <c r="N10514" t="s" s="11">
        <v>14</v>
      </c>
      <c r="O10514" t="s" s="8">
        <v>14</v>
      </c>
      <c r="P10514" t="s" s="8">
        <v>14</v>
      </c>
      <c r="Q10514" t="s" s="12">
        <v>14</v>
      </c>
      <c r="R10514" t="s" s="12">
        <v>14</v>
      </c>
    </row>
    <row r="10515" s="2" customFormat="1" ht="13.5" customHeight="1">
      <c r="B10515" s="13"/>
      <c r="C10515" t="s" s="9">
        <v>16</v>
      </c>
      <c r="D10515" t="s" s="8">
        <v>3943</v>
      </c>
      <c r="E10515" t="s" s="9">
        <v>3943</v>
      </c>
      <c r="F10515" s="19">
        <v>1</v>
      </c>
      <c r="G10515" s="14"/>
      <c r="H10515" t="s" s="10">
        <v>268</v>
      </c>
      <c r="I10515" t="s" s="11">
        <v>268</v>
      </c>
      <c r="J10515" t="s" s="11">
        <v>20</v>
      </c>
      <c r="K10515" t="s" s="16">
        <f>HYPERLINK("http://csr.bu.edu/ftp/asl/asllvd/demos/verify_start_end_handshape_annotations//test_auto_move//signs_mov/3931.mov","MOV")</f>
        <v>21</v>
      </c>
      <c r="L10515" t="s" s="16">
        <f>HYPERLINK("http://csr.bu.edu/ftp/asl/asllvd/demos/verify_start_end_handshape_annotations//test_auto_move//signs_mov_separ_signers/Liz_3931.mov","MOV")</f>
        <v>21</v>
      </c>
      <c r="M10515" t="s" s="10">
        <v>77</v>
      </c>
      <c r="N10515" s="17">
        <v>6</v>
      </c>
      <c r="O10515" s="18">
        <v>774</v>
      </c>
      <c r="P10515" s="18">
        <v>843</v>
      </c>
      <c r="Q10515" t="s" s="16">
        <f>HYPERLINK("http://secrets.rutgers.edu:8080/data/asl-ftp/asllvd/demos/verify_start_end_handshape_annotations//test_auto_move//signs_mov/3931.mov","MOV")</f>
        <v>21</v>
      </c>
      <c r="R10515" t="s" s="16">
        <f>HYPERLINK("http://secrets.rutgers.edu:8080/data/asl-ftp/asllvd/demos/verify_start_end_handshape_annotations//test_auto_move//signs_mov_separ_signers/Liz_3931.mov","MOV")</f>
        <v>21</v>
      </c>
    </row>
    <row r="10516" s="2" customFormat="1" ht="13.5" customHeight="1">
      <c r="B10516" t="s" s="8">
        <v>3944</v>
      </c>
      <c r="C10516" t="s" s="9">
        <v>14</v>
      </c>
      <c r="D10516" t="s" s="8">
        <v>14</v>
      </c>
      <c r="E10516" t="s" s="9">
        <v>14</v>
      </c>
      <c r="F10516" t="s" s="10">
        <v>14</v>
      </c>
      <c r="G10516" t="s" s="11">
        <v>14</v>
      </c>
      <c r="H10516" t="s" s="10">
        <v>14</v>
      </c>
      <c r="I10516" t="s" s="11">
        <v>14</v>
      </c>
      <c r="J10516" t="s" s="11">
        <v>14</v>
      </c>
      <c r="K10516" t="s" s="12">
        <v>14</v>
      </c>
      <c r="L10516" t="s" s="12">
        <v>14</v>
      </c>
      <c r="M10516" t="s" s="10">
        <v>14</v>
      </c>
      <c r="N10516" t="s" s="11">
        <v>14</v>
      </c>
      <c r="O10516" t="s" s="8">
        <v>14</v>
      </c>
      <c r="P10516" t="s" s="8">
        <v>14</v>
      </c>
      <c r="Q10516" t="s" s="12">
        <v>14</v>
      </c>
      <c r="R10516" t="s" s="12">
        <v>14</v>
      </c>
    </row>
    <row r="10517" s="2" customFormat="1" ht="13.5" customHeight="1">
      <c r="B10517" s="13"/>
      <c r="C10517" t="s" s="9">
        <v>16</v>
      </c>
      <c r="D10517" t="s" s="8">
        <v>3944</v>
      </c>
      <c r="E10517" t="s" s="9">
        <v>3944</v>
      </c>
      <c r="F10517" t="s" s="10">
        <v>119</v>
      </c>
      <c r="G10517" t="s" s="11">
        <v>119</v>
      </c>
      <c r="H10517" t="s" s="10">
        <v>119</v>
      </c>
      <c r="I10517" t="s" s="11">
        <v>119</v>
      </c>
      <c r="J10517" t="s" s="11">
        <v>20</v>
      </c>
      <c r="K10517" t="s" s="16">
        <f>HYPERLINK("http://csr.bu.edu/ftp/asl/asllvd/demos/verify_start_end_handshape_annotations//test_auto_move//signs_mov/4383.mov","MOV")</f>
        <v>21</v>
      </c>
      <c r="L10517" t="s" s="16">
        <f>HYPERLINK("http://csr.bu.edu/ftp/asl/asllvd/demos/verify_start_end_handshape_annotations//test_auto_move//signs_mov_separ_signers/Liz_4383.mov","MOV")</f>
        <v>21</v>
      </c>
      <c r="M10517" t="s" s="10">
        <v>77</v>
      </c>
      <c r="N10517" s="17">
        <v>6</v>
      </c>
      <c r="O10517" s="18">
        <v>1330</v>
      </c>
      <c r="P10517" s="18">
        <v>1380</v>
      </c>
      <c r="Q10517" t="s" s="16">
        <f>HYPERLINK("http://secrets.rutgers.edu:8080/data/asl-ftp/asllvd/demos/verify_start_end_handshape_annotations//test_auto_move//signs_mov/4383.mov","MOV")</f>
        <v>21</v>
      </c>
      <c r="R10517" t="s" s="16">
        <f>HYPERLINK("http://secrets.rutgers.edu:8080/data/asl-ftp/asllvd/demos/verify_start_end_handshape_annotations//test_auto_move//signs_mov_separ_signers/Liz_4383.mov","MOV")</f>
        <v>21</v>
      </c>
    </row>
    <row r="10518" s="2" customFormat="1" ht="13.5" customHeight="1">
      <c r="B10518" t="s" s="8">
        <v>52</v>
      </c>
      <c r="C10518" t="s" s="9">
        <v>53</v>
      </c>
      <c r="D10518" t="s" s="8">
        <v>53</v>
      </c>
      <c r="E10518" t="s" s="9">
        <v>53</v>
      </c>
      <c r="F10518" t="s" s="10">
        <v>53</v>
      </c>
      <c r="G10518" t="s" s="11">
        <v>53</v>
      </c>
      <c r="H10518" t="s" s="10">
        <v>53</v>
      </c>
      <c r="I10518" t="s" s="11">
        <v>53</v>
      </c>
      <c r="J10518" t="s" s="11">
        <v>53</v>
      </c>
      <c r="K10518" t="s" s="12">
        <v>53</v>
      </c>
      <c r="L10518" t="s" s="12">
        <v>53</v>
      </c>
      <c r="M10518" t="s" s="10">
        <v>53</v>
      </c>
      <c r="N10518" t="s" s="11">
        <v>53</v>
      </c>
      <c r="O10518" t="s" s="8">
        <v>53</v>
      </c>
      <c r="P10518" t="s" s="8">
        <v>53</v>
      </c>
      <c r="Q10518" t="s" s="12">
        <v>53</v>
      </c>
      <c r="R10518" t="s" s="12">
        <v>53</v>
      </c>
    </row>
    <row r="10519" s="2" customFormat="1" ht="13.5" customHeight="1">
      <c r="B10519" s="13"/>
      <c r="C10519" t="s" s="9">
        <v>30</v>
      </c>
      <c r="D10519" t="s" s="8">
        <v>3944</v>
      </c>
      <c r="E10519" t="s" s="9">
        <v>3945</v>
      </c>
      <c r="F10519" t="s" s="10">
        <v>148</v>
      </c>
      <c r="G10519" t="s" s="11">
        <v>148</v>
      </c>
      <c r="H10519" t="s" s="10">
        <v>148</v>
      </c>
      <c r="I10519" t="s" s="11">
        <v>148</v>
      </c>
      <c r="J10519" t="s" s="11">
        <v>20</v>
      </c>
      <c r="K10519" t="s" s="16">
        <f>HYPERLINK("http://csr.bu.edu/ftp/asl/asllvd/demos/verify_start_end_handshape_annotations//test_auto_move//signs_mov/5544.mov","MOV")</f>
        <v>21</v>
      </c>
      <c r="L10519" t="s" s="16">
        <f>HYPERLINK("http://csr.bu.edu/ftp/asl/asllvd/demos/verify_start_end_handshape_annotations//test_auto_move//signs_mov_separ_signers/Brady_5544.mov","MOV")</f>
        <v>21</v>
      </c>
      <c r="M10519" t="s" s="10">
        <v>31</v>
      </c>
      <c r="N10519" s="17">
        <v>11</v>
      </c>
      <c r="O10519" s="18">
        <v>3119</v>
      </c>
      <c r="P10519" s="18">
        <v>3149</v>
      </c>
      <c r="Q10519" t="s" s="16">
        <f>HYPERLINK("http://secrets.rutgers.edu:8080/data/asl-ftp/asllvd/demos/verify_start_end_handshape_annotations//test_auto_move//signs_mov/5544.mov","MOV")</f>
        <v>21</v>
      </c>
      <c r="R10519" t="s" s="16">
        <f>HYPERLINK("http://secrets.rutgers.edu:8080/data/asl-ftp/asllvd/demos/verify_start_end_handshape_annotations//test_auto_move//signs_mov_separ_signers/Brady_5544.mov","MOV")</f>
        <v>21</v>
      </c>
    </row>
    <row r="10520" s="2" customFormat="1" ht="13.5" customHeight="1">
      <c r="B10520" t="s" s="8">
        <v>3946</v>
      </c>
      <c r="C10520" t="s" s="9">
        <v>14</v>
      </c>
      <c r="D10520" t="s" s="8">
        <v>14</v>
      </c>
      <c r="E10520" t="s" s="9">
        <v>14</v>
      </c>
      <c r="F10520" t="s" s="10">
        <v>14</v>
      </c>
      <c r="G10520" t="s" s="11">
        <v>14</v>
      </c>
      <c r="H10520" t="s" s="10">
        <v>14</v>
      </c>
      <c r="I10520" t="s" s="11">
        <v>14</v>
      </c>
      <c r="J10520" t="s" s="11">
        <v>14</v>
      </c>
      <c r="K10520" t="s" s="12">
        <v>14</v>
      </c>
      <c r="L10520" t="s" s="12">
        <v>14</v>
      </c>
      <c r="M10520" t="s" s="10">
        <v>14</v>
      </c>
      <c r="N10520" t="s" s="11">
        <v>14</v>
      </c>
      <c r="O10520" t="s" s="8">
        <v>14</v>
      </c>
      <c r="P10520" t="s" s="8">
        <v>14</v>
      </c>
      <c r="Q10520" t="s" s="12">
        <v>14</v>
      </c>
      <c r="R10520" t="s" s="12">
        <v>14</v>
      </c>
    </row>
    <row r="10521" s="2" customFormat="1" ht="13.5" customHeight="1">
      <c r="B10521" s="13"/>
      <c r="C10521" t="s" s="9">
        <v>16</v>
      </c>
      <c r="D10521" t="s" s="8">
        <v>3946</v>
      </c>
      <c r="E10521" t="s" s="9">
        <v>3946</v>
      </c>
      <c r="F10521" t="s" s="10">
        <v>109</v>
      </c>
      <c r="G10521" s="14"/>
      <c r="H10521" t="s" s="10">
        <v>109</v>
      </c>
      <c r="I10521" s="14"/>
      <c r="J10521" t="s" s="11">
        <v>20</v>
      </c>
      <c r="K10521" t="s" s="16">
        <f>HYPERLINK("http://csr.bu.edu/ftp/asl/asllvd/demos/verify_start_end_handshape_annotations//test_auto_move//signs_mov/4388.mov","MOV")</f>
        <v>21</v>
      </c>
      <c r="L10521" t="s" s="16">
        <f>HYPERLINK("http://csr.bu.edu/ftp/asl/asllvd/demos/verify_start_end_handshape_annotations//test_auto_move//signs_mov_separ_signers/Liz_4388.mov","MOV")</f>
        <v>21</v>
      </c>
      <c r="M10521" t="s" s="10">
        <v>77</v>
      </c>
      <c r="N10521" s="17">
        <v>6</v>
      </c>
      <c r="O10521" s="18">
        <v>2376</v>
      </c>
      <c r="P10521" s="18">
        <v>2443</v>
      </c>
      <c r="Q10521" t="s" s="16">
        <f>HYPERLINK("http://secrets.rutgers.edu:8080/data/asl-ftp/asllvd/demos/verify_start_end_handshape_annotations//test_auto_move//signs_mov/4388.mov","MOV")</f>
        <v>21</v>
      </c>
      <c r="R10521" t="s" s="16">
        <f>HYPERLINK("http://secrets.rutgers.edu:8080/data/asl-ftp/asllvd/demos/verify_start_end_handshape_annotations//test_auto_move//signs_mov_separ_signers/Liz_4388.mov","MOV")</f>
        <v>21</v>
      </c>
    </row>
    <row r="10522" s="2" customFormat="1" ht="13.5" customHeight="1">
      <c r="B10522" s="13"/>
      <c r="C10522" t="s" s="9">
        <v>30</v>
      </c>
      <c r="D10522" t="s" s="8">
        <v>3946</v>
      </c>
      <c r="E10522" t="s" s="9">
        <v>3946</v>
      </c>
      <c r="F10522" t="s" s="10">
        <v>109</v>
      </c>
      <c r="G10522" s="14"/>
      <c r="H10522" t="s" s="10">
        <v>109</v>
      </c>
      <c r="I10522" s="14"/>
      <c r="J10522" t="s" s="11">
        <v>20</v>
      </c>
      <c r="K10522" s="15"/>
      <c r="L10522" t="s" s="16">
        <f>HYPERLINK("http://csr.bu.edu/ftp/asl/asllvd/demos/verify_start_end_handshape_annotations//test_auto_move//signs_mov_separ_signers/Brady_4388.mov","MOV")</f>
        <v>21</v>
      </c>
      <c r="M10522" t="s" s="10">
        <v>31</v>
      </c>
      <c r="N10522" s="17">
        <v>13</v>
      </c>
      <c r="O10522" s="18">
        <v>21660</v>
      </c>
      <c r="P10522" s="18">
        <v>21693</v>
      </c>
      <c r="Q10522" s="15"/>
      <c r="R10522" t="s" s="16">
        <f>HYPERLINK("http://secrets.rutgers.edu:8080/data/asl-ftp/asllvd/demos/verify_start_end_handshape_annotations//test_auto_move//signs_mov_separ_signers/Brady_4388.mov","MOV")</f>
        <v>21</v>
      </c>
    </row>
    <row r="10523" s="2" customFormat="1" ht="13.5" customHeight="1">
      <c r="B10523" t="s" s="8">
        <v>3947</v>
      </c>
      <c r="C10523" t="s" s="9">
        <v>14</v>
      </c>
      <c r="D10523" t="s" s="8">
        <v>14</v>
      </c>
      <c r="E10523" t="s" s="9">
        <v>14</v>
      </c>
      <c r="F10523" t="s" s="10">
        <v>14</v>
      </c>
      <c r="G10523" t="s" s="11">
        <v>14</v>
      </c>
      <c r="H10523" t="s" s="10">
        <v>14</v>
      </c>
      <c r="I10523" t="s" s="11">
        <v>14</v>
      </c>
      <c r="J10523" t="s" s="11">
        <v>14</v>
      </c>
      <c r="K10523" t="s" s="12">
        <v>14</v>
      </c>
      <c r="L10523" t="s" s="12">
        <v>14</v>
      </c>
      <c r="M10523" t="s" s="10">
        <v>14</v>
      </c>
      <c r="N10523" t="s" s="11">
        <v>14</v>
      </c>
      <c r="O10523" t="s" s="8">
        <v>14</v>
      </c>
      <c r="P10523" t="s" s="8">
        <v>14</v>
      </c>
      <c r="Q10523" t="s" s="12">
        <v>14</v>
      </c>
      <c r="R10523" t="s" s="12">
        <v>14</v>
      </c>
    </row>
    <row r="10524" s="2" customFormat="1" ht="13.5" customHeight="1">
      <c r="B10524" s="13"/>
      <c r="C10524" t="s" s="9">
        <v>16</v>
      </c>
      <c r="D10524" t="s" s="8">
        <v>3947</v>
      </c>
      <c r="E10524" t="s" s="9">
        <v>3947</v>
      </c>
      <c r="F10524" t="s" s="10">
        <v>185</v>
      </c>
      <c r="G10524" t="s" s="11">
        <v>185</v>
      </c>
      <c r="H10524" t="s" s="10">
        <v>185</v>
      </c>
      <c r="I10524" t="s" s="11">
        <v>185</v>
      </c>
      <c r="J10524" t="s" s="11">
        <v>20</v>
      </c>
      <c r="K10524" s="15"/>
      <c r="L10524" t="s" s="16">
        <f>HYPERLINK("http://csr.bu.edu/ftp/asl/asllvd/demos/verify_start_end_handshape_annotations//test_auto_move//signs_mov_separ_signers/Liz_4400.mov","MOV")</f>
        <v>21</v>
      </c>
      <c r="M10524" t="s" s="10">
        <v>77</v>
      </c>
      <c r="N10524" s="17">
        <v>3</v>
      </c>
      <c r="O10524" s="18">
        <v>5438</v>
      </c>
      <c r="P10524" s="18">
        <v>5464</v>
      </c>
      <c r="Q10524" s="15"/>
      <c r="R10524" t="s" s="16">
        <f>HYPERLINK("http://secrets.rutgers.edu:8080/data/asl-ftp/asllvd/demos/verify_start_end_handshape_annotations//test_auto_move//signs_mov_separ_signers/Liz_4400.mov","MOV")</f>
        <v>21</v>
      </c>
    </row>
    <row r="10525" s="2" customFormat="1" ht="13.5" customHeight="1">
      <c r="B10525" s="13"/>
      <c r="C10525" t="s" s="9">
        <v>30</v>
      </c>
      <c r="D10525" t="s" s="8">
        <v>3947</v>
      </c>
      <c r="E10525" t="s" s="9">
        <v>3947</v>
      </c>
      <c r="F10525" t="s" s="10">
        <v>185</v>
      </c>
      <c r="G10525" t="s" s="11">
        <v>185</v>
      </c>
      <c r="H10525" t="s" s="10">
        <v>185</v>
      </c>
      <c r="I10525" t="s" s="11">
        <v>185</v>
      </c>
      <c r="J10525" t="s" s="11">
        <v>20</v>
      </c>
      <c r="K10525" t="s" s="16">
        <f>HYPERLINK("http://csr.bu.edu/ftp/asl/asllvd/demos/verify_start_end_handshape_annotations//test_auto_move//signs_mov/4400_5529_merged.mov","MOV")</f>
        <v>21</v>
      </c>
      <c r="L10525" t="s" s="16">
        <f>HYPERLINK("http://csr.bu.edu/ftp/asl/asllvd/demos/verify_start_end_handshape_annotations//test_auto_move//signs_mov_separ_signers/Brady_4400.mov","MOV")</f>
        <v>21</v>
      </c>
      <c r="M10525" t="s" s="10">
        <v>60</v>
      </c>
      <c r="N10525" s="17">
        <v>12</v>
      </c>
      <c r="O10525" s="18">
        <v>3779</v>
      </c>
      <c r="P10525" s="18">
        <v>3843</v>
      </c>
      <c r="Q10525" t="s" s="16">
        <f>HYPERLINK("http://secrets.rutgers.edu:8080/data/asl-ftp/asllvd/demos/verify_start_end_handshape_annotations//test_auto_move//signs_mov/4400_5529_merged.mov","MOV")</f>
        <v>21</v>
      </c>
      <c r="R10525" t="s" s="16">
        <f>HYPERLINK("http://secrets.rutgers.edu:8080/data/asl-ftp/asllvd/demos/verify_start_end_handshape_annotations//test_auto_move//signs_mov_separ_signers/Brady_4400.mov","MOV")</f>
        <v>21</v>
      </c>
    </row>
    <row r="10526" s="2" customFormat="1" ht="13.5" customHeight="1">
      <c r="B10526" s="13"/>
      <c r="C10526" t="s" s="9">
        <v>30</v>
      </c>
      <c r="D10526" t="s" s="8">
        <v>3947</v>
      </c>
      <c r="E10526" t="s" s="9">
        <v>3947</v>
      </c>
      <c r="F10526" t="s" s="10">
        <v>185</v>
      </c>
      <c r="G10526" t="s" s="11">
        <v>185</v>
      </c>
      <c r="H10526" t="s" s="10">
        <v>185</v>
      </c>
      <c r="I10526" t="s" s="11">
        <v>185</v>
      </c>
      <c r="J10526" t="s" s="11">
        <v>20</v>
      </c>
      <c r="K10526" s="15"/>
      <c r="L10526" t="s" s="16">
        <f>HYPERLINK("http://csr.bu.edu/ftp/asl/asllvd/demos/verify_start_end_handshape_annotations//test_auto_move//signs_mov_separ_signers/Brady_5529.mov","MOV")</f>
        <v>21</v>
      </c>
      <c r="M10526" t="s" s="10">
        <v>60</v>
      </c>
      <c r="N10526" s="17">
        <v>12</v>
      </c>
      <c r="O10526" s="18">
        <v>4005</v>
      </c>
      <c r="P10526" s="18">
        <v>4035</v>
      </c>
      <c r="Q10526" s="15"/>
      <c r="R10526" t="s" s="16">
        <f>HYPERLINK("http://secrets.rutgers.edu:8080/data/asl-ftp/asllvd/demos/verify_start_end_handshape_annotations//test_auto_move//signs_mov_separ_signers/Brady_5529.mov","MOV")</f>
        <v>21</v>
      </c>
    </row>
    <row r="10527" s="2" customFormat="1" ht="13.5" customHeight="1">
      <c r="B10527" t="s" s="8">
        <v>3948</v>
      </c>
      <c r="C10527" t="s" s="9">
        <v>14</v>
      </c>
      <c r="D10527" t="s" s="8">
        <v>14</v>
      </c>
      <c r="E10527" t="s" s="9">
        <v>14</v>
      </c>
      <c r="F10527" t="s" s="10">
        <v>14</v>
      </c>
      <c r="G10527" t="s" s="11">
        <v>14</v>
      </c>
      <c r="H10527" t="s" s="10">
        <v>14</v>
      </c>
      <c r="I10527" t="s" s="11">
        <v>14</v>
      </c>
      <c r="J10527" t="s" s="11">
        <v>14</v>
      </c>
      <c r="K10527" t="s" s="12">
        <v>14</v>
      </c>
      <c r="L10527" t="s" s="12">
        <v>14</v>
      </c>
      <c r="M10527" t="s" s="10">
        <v>14</v>
      </c>
      <c r="N10527" t="s" s="11">
        <v>14</v>
      </c>
      <c r="O10527" t="s" s="8">
        <v>14</v>
      </c>
      <c r="P10527" t="s" s="8">
        <v>14</v>
      </c>
      <c r="Q10527" t="s" s="12">
        <v>14</v>
      </c>
      <c r="R10527" t="s" s="12">
        <v>14</v>
      </c>
    </row>
    <row r="10528" s="2" customFormat="1" ht="13.5" customHeight="1">
      <c r="B10528" s="13"/>
      <c r="C10528" t="s" s="9">
        <v>16</v>
      </c>
      <c r="D10528" t="s" s="8">
        <v>3948</v>
      </c>
      <c r="E10528" t="s" s="9">
        <v>3949</v>
      </c>
      <c r="F10528" t="s" s="10">
        <v>337</v>
      </c>
      <c r="G10528" s="17">
        <v>1</v>
      </c>
      <c r="H10528" t="s" s="10">
        <v>337</v>
      </c>
      <c r="I10528" s="17">
        <v>1</v>
      </c>
      <c r="J10528" t="s" s="11">
        <v>20</v>
      </c>
      <c r="K10528" t="s" s="16">
        <f>HYPERLINK("http://csr.bu.edu/ftp/asl/asllvd/demos/verify_start_end_handshape_annotations//test_auto_move//signs_mov/4403.mov","MOV")</f>
        <v>21</v>
      </c>
      <c r="L10528" t="s" s="16">
        <f>HYPERLINK("http://csr.bu.edu/ftp/asl/asllvd/demos/verify_start_end_handshape_annotations//test_auto_move//signs_mov_separ_signers/Liz_4403.mov","MOV")</f>
        <v>21</v>
      </c>
      <c r="M10528" t="s" s="10">
        <v>77</v>
      </c>
      <c r="N10528" s="17">
        <v>4</v>
      </c>
      <c r="O10528" s="18">
        <v>1667</v>
      </c>
      <c r="P10528" s="18">
        <v>1700</v>
      </c>
      <c r="Q10528" t="s" s="16">
        <f>HYPERLINK("http://secrets.rutgers.edu:8080/data/asl-ftp/asllvd/demos/verify_start_end_handshape_annotations//test_auto_move//signs_mov/4403.mov","MOV")</f>
        <v>21</v>
      </c>
      <c r="R10528" t="s" s="16">
        <f>HYPERLINK("http://secrets.rutgers.edu:8080/data/asl-ftp/asllvd/demos/verify_start_end_handshape_annotations//test_auto_move//signs_mov_separ_signers/Liz_4403.mov","MOV")</f>
        <v>21</v>
      </c>
    </row>
    <row r="10529" s="2" customFormat="1" ht="13.5" customHeight="1">
      <c r="B10529" s="13"/>
      <c r="C10529" t="s" s="9">
        <v>30</v>
      </c>
      <c r="D10529" t="s" s="8">
        <v>3948</v>
      </c>
      <c r="E10529" t="s" s="9">
        <v>3950</v>
      </c>
      <c r="F10529" t="s" s="10">
        <v>337</v>
      </c>
      <c r="G10529" s="17">
        <v>1</v>
      </c>
      <c r="H10529" t="s" s="10">
        <v>337</v>
      </c>
      <c r="I10529" s="17">
        <v>1</v>
      </c>
      <c r="J10529" t="s" s="11">
        <v>20</v>
      </c>
      <c r="K10529" s="15"/>
      <c r="L10529" t="s" s="16">
        <f>HYPERLINK("http://csr.bu.edu/ftp/asl/asllvd/demos/verify_start_end_handshape_annotations//test_auto_move//signs_mov_separ_signers/Brady_4403.mov","MOV")</f>
        <v>21</v>
      </c>
      <c r="M10529" t="s" s="10">
        <v>60</v>
      </c>
      <c r="N10529" s="17">
        <v>32</v>
      </c>
      <c r="O10529" s="18">
        <v>2096</v>
      </c>
      <c r="P10529" s="18">
        <v>2121</v>
      </c>
      <c r="Q10529" s="15"/>
      <c r="R10529" t="s" s="16">
        <f>HYPERLINK("http://secrets.rutgers.edu:8080/data/asl-ftp/asllvd/demos/verify_start_end_handshape_annotations//test_auto_move//signs_mov_separ_signers/Brady_4403.mov","MOV")</f>
        <v>21</v>
      </c>
    </row>
    <row r="10530" s="2" customFormat="1" ht="13.5" customHeight="1">
      <c r="B10530" t="s" s="8">
        <v>3951</v>
      </c>
      <c r="C10530" t="s" s="9">
        <v>14</v>
      </c>
      <c r="D10530" t="s" s="8">
        <v>14</v>
      </c>
      <c r="E10530" t="s" s="9">
        <v>14</v>
      </c>
      <c r="F10530" t="s" s="10">
        <v>14</v>
      </c>
      <c r="G10530" t="s" s="11">
        <v>14</v>
      </c>
      <c r="H10530" t="s" s="10">
        <v>14</v>
      </c>
      <c r="I10530" t="s" s="11">
        <v>14</v>
      </c>
      <c r="J10530" t="s" s="11">
        <v>14</v>
      </c>
      <c r="K10530" t="s" s="12">
        <v>14</v>
      </c>
      <c r="L10530" t="s" s="12">
        <v>14</v>
      </c>
      <c r="M10530" t="s" s="10">
        <v>14</v>
      </c>
      <c r="N10530" t="s" s="11">
        <v>14</v>
      </c>
      <c r="O10530" t="s" s="8">
        <v>14</v>
      </c>
      <c r="P10530" t="s" s="8">
        <v>14</v>
      </c>
      <c r="Q10530" t="s" s="12">
        <v>14</v>
      </c>
      <c r="R10530" t="s" s="12">
        <v>14</v>
      </c>
    </row>
    <row r="10531" s="2" customFormat="1" ht="13.5" customHeight="1">
      <c r="B10531" s="13"/>
      <c r="C10531" t="s" s="9">
        <v>16</v>
      </c>
      <c r="D10531" t="s" s="8">
        <v>3951</v>
      </c>
      <c r="E10531" t="s" s="9">
        <v>3951</v>
      </c>
      <c r="F10531" t="s" s="10">
        <v>18</v>
      </c>
      <c r="G10531" s="14"/>
      <c r="H10531" t="s" s="10">
        <v>18</v>
      </c>
      <c r="I10531" s="14"/>
      <c r="J10531" t="s" s="11">
        <v>20</v>
      </c>
      <c r="K10531" t="s" s="16">
        <f>HYPERLINK("http://csr.bu.edu/ftp/asl/asllvd/demos/verify_start_end_handshape_annotations//test_auto_move//signs_mov/15906.mov","MOV")</f>
        <v>21</v>
      </c>
      <c r="L10531" t="s" s="16">
        <f>HYPERLINK("http://csr.bu.edu/ftp/asl/asllvd/demos/verify_start_end_handshape_annotations//test_auto_move//signs_mov_separ_signers/Liz_15906.mov","MOV")</f>
        <v>21</v>
      </c>
      <c r="M10531" t="s" s="10">
        <v>22</v>
      </c>
      <c r="N10531" s="17">
        <v>64</v>
      </c>
      <c r="O10531" s="18">
        <v>965</v>
      </c>
      <c r="P10531" s="18">
        <v>990</v>
      </c>
      <c r="Q10531" t="s" s="16">
        <f>HYPERLINK("http://secrets.rutgers.edu:8080/data/asl-ftp/asllvd/demos/verify_start_end_handshape_annotations//test_auto_move//signs_mov/15906.mov","MOV")</f>
        <v>21</v>
      </c>
      <c r="R10531" t="s" s="16">
        <f>HYPERLINK("http://secrets.rutgers.edu:8080/data/asl-ftp/asllvd/demos/verify_start_end_handshape_annotations//test_auto_move//signs_mov_separ_signers/Liz_15906.mov","MOV")</f>
        <v>21</v>
      </c>
    </row>
    <row r="10532" s="2" customFormat="1" ht="13.5" customHeight="1">
      <c r="B10532" s="13"/>
      <c r="C10532" t="s" s="9">
        <v>30</v>
      </c>
      <c r="D10532" t="s" s="8">
        <v>3951</v>
      </c>
      <c r="E10532" t="s" s="9">
        <v>3951</v>
      </c>
      <c r="F10532" t="s" s="10">
        <v>18</v>
      </c>
      <c r="G10532" s="14"/>
      <c r="H10532" t="s" s="10">
        <v>18</v>
      </c>
      <c r="I10532" s="14"/>
      <c r="J10532" t="s" s="11">
        <v>20</v>
      </c>
      <c r="K10532" s="15"/>
      <c r="L10532" t="s" s="16">
        <f>HYPERLINK("http://csr.bu.edu/ftp/asl/asllvd/demos/verify_start_end_handshape_annotations//test_auto_move//signs_mov_separ_signers/Brady_15906.mov","MOV")</f>
        <v>21</v>
      </c>
      <c r="M10532" t="s" s="10">
        <v>31</v>
      </c>
      <c r="N10532" s="17">
        <v>25</v>
      </c>
      <c r="O10532" s="18">
        <v>12309</v>
      </c>
      <c r="P10532" s="18">
        <v>12327</v>
      </c>
      <c r="Q10532" s="15"/>
      <c r="R10532" t="s" s="16">
        <f>HYPERLINK("http://secrets.rutgers.edu:8080/data/asl-ftp/asllvd/demos/verify_start_end_handshape_annotations//test_auto_move//signs_mov_separ_signers/Brady_15906.mov","MOV")</f>
        <v>21</v>
      </c>
    </row>
    <row r="10533" s="2" customFormat="1" ht="13.5" customHeight="1">
      <c r="B10533" t="s" s="8">
        <v>52</v>
      </c>
      <c r="C10533" t="s" s="9">
        <v>53</v>
      </c>
      <c r="D10533" t="s" s="8">
        <v>53</v>
      </c>
      <c r="E10533" t="s" s="9">
        <v>53</v>
      </c>
      <c r="F10533" t="s" s="10">
        <v>53</v>
      </c>
      <c r="G10533" t="s" s="11">
        <v>53</v>
      </c>
      <c r="H10533" t="s" s="10">
        <v>53</v>
      </c>
      <c r="I10533" t="s" s="11">
        <v>53</v>
      </c>
      <c r="J10533" t="s" s="11">
        <v>53</v>
      </c>
      <c r="K10533" t="s" s="12">
        <v>53</v>
      </c>
      <c r="L10533" t="s" s="12">
        <v>53</v>
      </c>
      <c r="M10533" t="s" s="10">
        <v>53</v>
      </c>
      <c r="N10533" t="s" s="11">
        <v>53</v>
      </c>
      <c r="O10533" t="s" s="8">
        <v>53</v>
      </c>
      <c r="P10533" t="s" s="8">
        <v>53</v>
      </c>
      <c r="Q10533" t="s" s="12">
        <v>53</v>
      </c>
      <c r="R10533" t="s" s="12">
        <v>53</v>
      </c>
    </row>
    <row r="10534" s="2" customFormat="1" ht="13.5" customHeight="1">
      <c r="B10534" s="13"/>
      <c r="C10534" t="s" s="9">
        <v>27</v>
      </c>
      <c r="D10534" t="s" s="8">
        <v>3951</v>
      </c>
      <c r="E10534" t="s" s="9">
        <v>3952</v>
      </c>
      <c r="F10534" t="s" s="10">
        <v>18</v>
      </c>
      <c r="G10534" s="17">
        <v>1</v>
      </c>
      <c r="H10534" t="s" s="10">
        <v>18</v>
      </c>
      <c r="I10534" s="17">
        <v>1</v>
      </c>
      <c r="J10534" t="s" s="11">
        <v>20</v>
      </c>
      <c r="K10534" t="s" s="16">
        <f>HYPERLINK("http://csr.bu.edu/ftp/asl/asllvd/demos/verify_start_end_handshape_annotations//test_auto_move//signs_mov/16021.mov","MOV")</f>
        <v>21</v>
      </c>
      <c r="L10534" t="s" s="16">
        <f>HYPERLINK("http://csr.bu.edu/ftp/asl/asllvd/demos/verify_start_end_handshape_annotations//test_auto_move//signs_mov_separ_signers/Naomi_16021.mov","MOV")</f>
        <v>21</v>
      </c>
      <c r="M10534" t="s" s="10">
        <v>29</v>
      </c>
      <c r="N10534" s="17">
        <v>41</v>
      </c>
      <c r="O10534" s="18">
        <v>2105</v>
      </c>
      <c r="P10534" s="18">
        <v>2127</v>
      </c>
      <c r="Q10534" t="s" s="16">
        <f>HYPERLINK("http://secrets.rutgers.edu:8080/data/asl-ftp/asllvd/demos/verify_start_end_handshape_annotations//test_auto_move//signs_mov/16021.mov","MOV")</f>
        <v>21</v>
      </c>
      <c r="R10534" t="s" s="16">
        <f>HYPERLINK("http://secrets.rutgers.edu:8080/data/asl-ftp/asllvd/demos/verify_start_end_handshape_annotations//test_auto_move//signs_mov_separ_signers/Naomi_16021.mov","MOV")</f>
        <v>21</v>
      </c>
    </row>
    <row r="10535" s="2" customFormat="1" ht="13.5" customHeight="1">
      <c r="B10535" t="s" s="8">
        <v>3953</v>
      </c>
      <c r="C10535" t="s" s="9">
        <v>14</v>
      </c>
      <c r="D10535" t="s" s="8">
        <v>14</v>
      </c>
      <c r="E10535" t="s" s="9">
        <v>14</v>
      </c>
      <c r="F10535" t="s" s="10">
        <v>14</v>
      </c>
      <c r="G10535" t="s" s="11">
        <v>14</v>
      </c>
      <c r="H10535" t="s" s="10">
        <v>14</v>
      </c>
      <c r="I10535" t="s" s="11">
        <v>14</v>
      </c>
      <c r="J10535" t="s" s="11">
        <v>14</v>
      </c>
      <c r="K10535" t="s" s="12">
        <v>14</v>
      </c>
      <c r="L10535" t="s" s="12">
        <v>14</v>
      </c>
      <c r="M10535" t="s" s="10">
        <v>14</v>
      </c>
      <c r="N10535" t="s" s="11">
        <v>14</v>
      </c>
      <c r="O10535" t="s" s="8">
        <v>14</v>
      </c>
      <c r="P10535" t="s" s="8">
        <v>14</v>
      </c>
      <c r="Q10535" t="s" s="12">
        <v>14</v>
      </c>
      <c r="R10535" t="s" s="12">
        <v>14</v>
      </c>
    </row>
    <row r="10536" s="2" customFormat="1" ht="13.5" customHeight="1">
      <c r="B10536" s="13"/>
      <c r="C10536" t="s" s="9">
        <v>16</v>
      </c>
      <c r="D10536" t="s" s="8">
        <v>3953</v>
      </c>
      <c r="E10536" t="s" s="9">
        <v>3953</v>
      </c>
      <c r="F10536" t="s" s="10">
        <v>349</v>
      </c>
      <c r="G10536" s="14"/>
      <c r="H10536" t="s" s="10">
        <v>337</v>
      </c>
      <c r="I10536" s="14"/>
      <c r="J10536" t="s" s="11">
        <v>20</v>
      </c>
      <c r="K10536" s="15"/>
      <c r="L10536" t="s" s="16">
        <f>HYPERLINK("http://csr.bu.edu/ftp/asl/asllvd/demos/verify_start_end_handshape_annotations//test_auto_move//signs_mov_separ_signers/Liz_16124.mov","MOV")</f>
        <v>21</v>
      </c>
      <c r="M10536" t="s" s="10">
        <v>34</v>
      </c>
      <c r="N10536" s="17">
        <v>55</v>
      </c>
      <c r="O10536" s="18">
        <v>1272</v>
      </c>
      <c r="P10536" s="18">
        <v>1325</v>
      </c>
      <c r="Q10536" s="15"/>
      <c r="R10536" t="s" s="16">
        <f>HYPERLINK("http://secrets.rutgers.edu:8080/data/asl-ftp/asllvd/demos/verify_start_end_handshape_annotations//test_auto_move//signs_mov_separ_signers/Liz_16124.mov","MOV")</f>
        <v>21</v>
      </c>
    </row>
    <row r="10537" s="2" customFormat="1" ht="13.5" customHeight="1">
      <c r="B10537" s="13"/>
      <c r="C10537" t="s" s="9">
        <v>27</v>
      </c>
      <c r="D10537" t="s" s="8">
        <v>3953</v>
      </c>
      <c r="E10537" t="s" s="9">
        <v>3953</v>
      </c>
      <c r="F10537" t="s" s="10">
        <v>25</v>
      </c>
      <c r="G10537" s="14"/>
      <c r="H10537" t="s" s="10">
        <v>337</v>
      </c>
      <c r="I10537" s="14"/>
      <c r="J10537" t="s" s="11">
        <v>20</v>
      </c>
      <c r="K10537" t="s" s="16">
        <f>HYPERLINK("http://csr.bu.edu/ftp/asl/asllvd/demos/verify_start_end_handshape_annotations//test_auto_move//signs_mov/16124.mov","MOV")</f>
        <v>21</v>
      </c>
      <c r="L10537" t="s" s="16">
        <f>HYPERLINK("http://csr.bu.edu/ftp/asl/asllvd/demos/verify_start_end_handshape_annotations//test_auto_move//signs_mov_separ_signers/Naomi_16124.mov","MOV")</f>
        <v>21</v>
      </c>
      <c r="M10537" t="s" s="10">
        <v>48</v>
      </c>
      <c r="N10537" s="17">
        <v>10</v>
      </c>
      <c r="O10537" s="18">
        <v>810</v>
      </c>
      <c r="P10537" s="18">
        <v>835</v>
      </c>
      <c r="Q10537" t="s" s="16">
        <f>HYPERLINK("http://secrets.rutgers.edu:8080/data/asl-ftp/asllvd/demos/verify_start_end_handshape_annotations//test_auto_move//signs_mov/16124.mov","MOV")</f>
        <v>21</v>
      </c>
      <c r="R10537" t="s" s="16">
        <f>HYPERLINK("http://secrets.rutgers.edu:8080/data/asl-ftp/asllvd/demos/verify_start_end_handshape_annotations//test_auto_move//signs_mov_separ_signers/Naomi_16124.mov","MOV")</f>
        <v>21</v>
      </c>
    </row>
    <row r="10538" s="2" customFormat="1" ht="13.5" customHeight="1">
      <c r="B10538" s="13"/>
      <c r="C10538" t="s" s="9">
        <v>30</v>
      </c>
      <c r="D10538" t="s" s="8">
        <v>3953</v>
      </c>
      <c r="E10538" t="s" s="9">
        <v>3953</v>
      </c>
      <c r="F10538" t="s" s="10">
        <v>25</v>
      </c>
      <c r="G10538" s="14"/>
      <c r="H10538" t="s" s="10">
        <v>337</v>
      </c>
      <c r="I10538" s="14"/>
      <c r="J10538" t="s" s="11">
        <v>20</v>
      </c>
      <c r="K10538" s="15"/>
      <c r="L10538" t="s" s="16">
        <f>HYPERLINK("http://csr.bu.edu/ftp/asl/asllvd/demos/verify_start_end_handshape_annotations//test_auto_move//signs_mov_separ_signers/Brady_16124.mov","MOV")</f>
        <v>21</v>
      </c>
      <c r="M10538" t="s" s="10">
        <v>39</v>
      </c>
      <c r="N10538" s="17">
        <v>52</v>
      </c>
      <c r="O10538" s="18">
        <v>7825</v>
      </c>
      <c r="P10538" s="18">
        <v>7861</v>
      </c>
      <c r="Q10538" s="15"/>
      <c r="R10538" t="s" s="16">
        <f>HYPERLINK("http://secrets.rutgers.edu:8080/data/asl-ftp/asllvd/demos/verify_start_end_handshape_annotations//test_auto_move//signs_mov_separ_signers/Brady_16124.mov","MOV")</f>
        <v>21</v>
      </c>
    </row>
    <row r="10539" s="2" customFormat="1" ht="13.5" customHeight="1">
      <c r="B10539" t="s" s="8">
        <v>3954</v>
      </c>
      <c r="C10539" t="s" s="9">
        <v>14</v>
      </c>
      <c r="D10539" t="s" s="8">
        <v>14</v>
      </c>
      <c r="E10539" t="s" s="9">
        <v>14</v>
      </c>
      <c r="F10539" t="s" s="10">
        <v>14</v>
      </c>
      <c r="G10539" t="s" s="11">
        <v>14</v>
      </c>
      <c r="H10539" t="s" s="10">
        <v>14</v>
      </c>
      <c r="I10539" t="s" s="11">
        <v>14</v>
      </c>
      <c r="J10539" t="s" s="11">
        <v>14</v>
      </c>
      <c r="K10539" t="s" s="12">
        <v>14</v>
      </c>
      <c r="L10539" t="s" s="12">
        <v>14</v>
      </c>
      <c r="M10539" t="s" s="10">
        <v>14</v>
      </c>
      <c r="N10539" t="s" s="11">
        <v>14</v>
      </c>
      <c r="O10539" t="s" s="8">
        <v>14</v>
      </c>
      <c r="P10539" t="s" s="8">
        <v>14</v>
      </c>
      <c r="Q10539" t="s" s="12">
        <v>14</v>
      </c>
      <c r="R10539" t="s" s="12">
        <v>14</v>
      </c>
    </row>
    <row r="10540" s="2" customFormat="1" ht="13.5" customHeight="1">
      <c r="B10540" s="13"/>
      <c r="C10540" t="s" s="9">
        <v>16</v>
      </c>
      <c r="D10540" t="s" s="8">
        <v>3954</v>
      </c>
      <c r="E10540" t="s" s="9">
        <v>3955</v>
      </c>
      <c r="F10540" t="s" s="10">
        <v>119</v>
      </c>
      <c r="G10540" t="s" s="11">
        <v>105</v>
      </c>
      <c r="H10540" t="s" s="10">
        <v>119</v>
      </c>
      <c r="I10540" t="s" s="11">
        <v>105</v>
      </c>
      <c r="J10540" t="s" s="11">
        <v>136</v>
      </c>
      <c r="K10540" t="s" s="16">
        <f>HYPERLINK("http://csr.bu.edu/ftp/asl/asllvd/demos/verify_start_end_handshape_annotations//test_auto_move//signs_mov/4406.mov","MOV")</f>
        <v>21</v>
      </c>
      <c r="L10540" t="s" s="16">
        <f>HYPERLINK("http://csr.bu.edu/ftp/asl/asllvd/demos/verify_start_end_handshape_annotations//test_auto_move//signs_mov_separ_signers/Liz_4406.mov","MOV")</f>
        <v>21</v>
      </c>
      <c r="M10540" t="s" s="10">
        <v>77</v>
      </c>
      <c r="N10540" s="17">
        <v>7</v>
      </c>
      <c r="O10540" s="18">
        <v>2801</v>
      </c>
      <c r="P10540" s="18">
        <v>2860</v>
      </c>
      <c r="Q10540" t="s" s="16">
        <f>HYPERLINK("http://secrets.rutgers.edu:8080/data/asl-ftp/asllvd/demos/verify_start_end_handshape_annotations//test_auto_move//signs_mov/4406.mov","MOV")</f>
        <v>21</v>
      </c>
      <c r="R10540" t="s" s="16">
        <f>HYPERLINK("http://secrets.rutgers.edu:8080/data/asl-ftp/asllvd/demos/verify_start_end_handshape_annotations//test_auto_move//signs_mov_separ_signers/Liz_4406.mov","MOV")</f>
        <v>21</v>
      </c>
    </row>
    <row r="10541" s="2" customFormat="1" ht="13.5" customHeight="1">
      <c r="B10541" s="13"/>
      <c r="C10541" t="s" s="9">
        <v>30</v>
      </c>
      <c r="D10541" t="s" s="8">
        <v>3954</v>
      </c>
      <c r="E10541" t="s" s="9">
        <v>3956</v>
      </c>
      <c r="F10541" t="s" s="10">
        <v>150</v>
      </c>
      <c r="G10541" t="s" s="11">
        <v>152</v>
      </c>
      <c r="H10541" t="s" s="10">
        <v>119</v>
      </c>
      <c r="I10541" t="s" s="11">
        <v>152</v>
      </c>
      <c r="J10541" t="s" s="11">
        <v>20</v>
      </c>
      <c r="K10541" s="15"/>
      <c r="L10541" t="s" s="16">
        <f>HYPERLINK("http://csr.bu.edu/ftp/asl/asllvd/demos/verify_start_end_handshape_annotations//test_auto_move//signs_mov_separ_signers/Brady_4406.mov","MOV")</f>
        <v>21</v>
      </c>
      <c r="M10541" t="s" s="10">
        <v>40</v>
      </c>
      <c r="N10541" s="17">
        <v>47</v>
      </c>
      <c r="O10541" s="18">
        <v>2392</v>
      </c>
      <c r="P10541" s="18">
        <v>2432</v>
      </c>
      <c r="Q10541" s="15"/>
      <c r="R10541" t="s" s="16">
        <f>HYPERLINK("http://secrets.rutgers.edu:8080/data/asl-ftp/asllvd/demos/verify_start_end_handshape_annotations//test_auto_move//signs_mov_separ_signers/Brady_4406.mov","MOV")</f>
        <v>21</v>
      </c>
    </row>
    <row r="10542" s="2" customFormat="1" ht="13.5" customHeight="1">
      <c r="B10542" t="s" s="8">
        <v>3957</v>
      </c>
      <c r="C10542" t="s" s="9">
        <v>14</v>
      </c>
      <c r="D10542" t="s" s="8">
        <v>14</v>
      </c>
      <c r="E10542" t="s" s="9">
        <v>14</v>
      </c>
      <c r="F10542" t="s" s="10">
        <v>14</v>
      </c>
      <c r="G10542" t="s" s="11">
        <v>14</v>
      </c>
      <c r="H10542" t="s" s="10">
        <v>14</v>
      </c>
      <c r="I10542" t="s" s="11">
        <v>14</v>
      </c>
      <c r="J10542" t="s" s="11">
        <v>14</v>
      </c>
      <c r="K10542" t="s" s="12">
        <v>14</v>
      </c>
      <c r="L10542" t="s" s="12">
        <v>14</v>
      </c>
      <c r="M10542" t="s" s="10">
        <v>14</v>
      </c>
      <c r="N10542" t="s" s="11">
        <v>14</v>
      </c>
      <c r="O10542" t="s" s="8">
        <v>14</v>
      </c>
      <c r="P10542" t="s" s="8">
        <v>14</v>
      </c>
      <c r="Q10542" t="s" s="12">
        <v>14</v>
      </c>
      <c r="R10542" t="s" s="12">
        <v>14</v>
      </c>
    </row>
    <row r="10543" s="2" customFormat="1" ht="13.5" customHeight="1">
      <c r="B10543" s="13"/>
      <c r="C10543" t="s" s="9">
        <v>30</v>
      </c>
      <c r="D10543" t="s" s="8">
        <v>3957</v>
      </c>
      <c r="E10543" t="s" s="9">
        <v>3957</v>
      </c>
      <c r="F10543" s="19">
        <v>10</v>
      </c>
      <c r="G10543" s="14"/>
      <c r="H10543" s="19">
        <v>10</v>
      </c>
      <c r="I10543" s="14"/>
      <c r="J10543" t="s" s="11">
        <v>20</v>
      </c>
      <c r="K10543" t="s" s="16">
        <f>HYPERLINK("http://csr.bu.edu/ftp/asl/asllvd/demos/verify_start_end_handshape_annotations//test_auto_move//signs_mov/4415_5014_merged.mov","MOV")</f>
        <v>21</v>
      </c>
      <c r="L10543" t="s" s="16">
        <f>HYPERLINK("http://csr.bu.edu/ftp/asl/asllvd/demos/verify_start_end_handshape_annotations//test_auto_move//signs_mov_separ_signers/Brady_4415.mov","MOV")</f>
        <v>21</v>
      </c>
      <c r="M10543" t="s" s="10">
        <v>31</v>
      </c>
      <c r="N10543" s="17">
        <v>28</v>
      </c>
      <c r="O10543" s="18">
        <v>10082</v>
      </c>
      <c r="P10543" s="18">
        <v>10116</v>
      </c>
      <c r="Q10543" t="s" s="16">
        <f>HYPERLINK("http://secrets.rutgers.edu:8080/data/asl-ftp/asllvd/demos/verify_start_end_handshape_annotations//test_auto_move//signs_mov/4415_5014_merged.mov","MOV")</f>
        <v>21</v>
      </c>
      <c r="R10543" t="s" s="16">
        <f>HYPERLINK("http://secrets.rutgers.edu:8080/data/asl-ftp/asllvd/demos/verify_start_end_handshape_annotations//test_auto_move//signs_mov_separ_signers/Brady_4415.mov","MOV")</f>
        <v>21</v>
      </c>
    </row>
    <row r="10544" s="2" customFormat="1" ht="13.5" customHeight="1">
      <c r="B10544" s="13"/>
      <c r="C10544" t="s" s="9">
        <v>30</v>
      </c>
      <c r="D10544" t="s" s="8">
        <v>3957</v>
      </c>
      <c r="E10544" t="s" s="9">
        <v>3957</v>
      </c>
      <c r="F10544" s="19">
        <v>10</v>
      </c>
      <c r="G10544" s="14"/>
      <c r="H10544" s="19">
        <v>10</v>
      </c>
      <c r="I10544" s="14"/>
      <c r="J10544" t="s" s="11">
        <v>20</v>
      </c>
      <c r="K10544" s="15"/>
      <c r="L10544" t="s" s="16">
        <f>HYPERLINK("http://csr.bu.edu/ftp/asl/asllvd/demos/verify_start_end_handshape_annotations//test_auto_move//signs_mov_separ_signers/Brady_5014.mov","MOV")</f>
        <v>21</v>
      </c>
      <c r="M10544" t="s" s="10">
        <v>31</v>
      </c>
      <c r="N10544" s="17">
        <v>28</v>
      </c>
      <c r="O10544" s="18">
        <v>10866</v>
      </c>
      <c r="P10544" s="18">
        <v>10891</v>
      </c>
      <c r="Q10544" s="15"/>
      <c r="R10544" t="s" s="16">
        <f>HYPERLINK("http://secrets.rutgers.edu:8080/data/asl-ftp/asllvd/demos/verify_start_end_handshape_annotations//test_auto_move//signs_mov_separ_signers/Brady_5014.mov","MOV")</f>
        <v>21</v>
      </c>
    </row>
    <row r="10545" s="2" customFormat="1" ht="13.5" customHeight="1">
      <c r="B10545" t="s" s="8">
        <v>52</v>
      </c>
      <c r="C10545" t="s" s="9">
        <v>53</v>
      </c>
      <c r="D10545" t="s" s="8">
        <v>53</v>
      </c>
      <c r="E10545" t="s" s="9">
        <v>53</v>
      </c>
      <c r="F10545" t="s" s="10">
        <v>53</v>
      </c>
      <c r="G10545" t="s" s="11">
        <v>53</v>
      </c>
      <c r="H10545" t="s" s="10">
        <v>53</v>
      </c>
      <c r="I10545" t="s" s="11">
        <v>53</v>
      </c>
      <c r="J10545" t="s" s="11">
        <v>53</v>
      </c>
      <c r="K10545" t="s" s="12">
        <v>53</v>
      </c>
      <c r="L10545" t="s" s="12">
        <v>53</v>
      </c>
      <c r="M10545" t="s" s="10">
        <v>53</v>
      </c>
      <c r="N10545" t="s" s="11">
        <v>53</v>
      </c>
      <c r="O10545" t="s" s="8">
        <v>53</v>
      </c>
      <c r="P10545" t="s" s="8">
        <v>53</v>
      </c>
      <c r="Q10545" t="s" s="12">
        <v>53</v>
      </c>
      <c r="R10545" t="s" s="12">
        <v>53</v>
      </c>
    </row>
    <row r="10546" s="2" customFormat="1" ht="13.5" customHeight="1">
      <c r="B10546" s="13"/>
      <c r="C10546" t="s" s="9">
        <v>16</v>
      </c>
      <c r="D10546" t="s" s="8">
        <v>3957</v>
      </c>
      <c r="E10546" t="s" s="9">
        <v>3958</v>
      </c>
      <c r="F10546" s="19">
        <v>10</v>
      </c>
      <c r="G10546" s="14"/>
      <c r="H10546" s="19">
        <v>10</v>
      </c>
      <c r="I10546" s="14"/>
      <c r="J10546" t="s" s="11">
        <v>20</v>
      </c>
      <c r="K10546" t="s" s="16">
        <f>HYPERLINK("http://csr.bu.edu/ftp/asl/asllvd/demos/verify_start_end_handshape_annotations//test_auto_move//signs_mov/16280.mov","MOV")</f>
        <v>21</v>
      </c>
      <c r="L10546" t="s" s="16">
        <f>HYPERLINK("http://csr.bu.edu/ftp/asl/asllvd/demos/verify_start_end_handshape_annotations//test_auto_move//signs_mov_separ_signers/Liz_16280.mov","MOV")</f>
        <v>21</v>
      </c>
      <c r="M10546" t="s" s="10">
        <v>77</v>
      </c>
      <c r="N10546" s="17">
        <v>8</v>
      </c>
      <c r="O10546" s="18">
        <v>1030</v>
      </c>
      <c r="P10546" s="18">
        <v>1085</v>
      </c>
      <c r="Q10546" t="s" s="16">
        <f>HYPERLINK("http://secrets.rutgers.edu:8080/data/asl-ftp/asllvd/demos/verify_start_end_handshape_annotations//test_auto_move//signs_mov/16280.mov","MOV")</f>
        <v>21</v>
      </c>
      <c r="R10546" t="s" s="16">
        <f>HYPERLINK("http://secrets.rutgers.edu:8080/data/asl-ftp/asllvd/demos/verify_start_end_handshape_annotations//test_auto_move//signs_mov_separ_signers/Liz_16280.mov","MOV")</f>
        <v>21</v>
      </c>
    </row>
    <row r="10547" s="2" customFormat="1" ht="13.5" customHeight="1">
      <c r="B10547" t="s" s="8">
        <v>3959</v>
      </c>
      <c r="C10547" t="s" s="9">
        <v>14</v>
      </c>
      <c r="D10547" t="s" s="8">
        <v>14</v>
      </c>
      <c r="E10547" t="s" s="9">
        <v>14</v>
      </c>
      <c r="F10547" t="s" s="10">
        <v>14</v>
      </c>
      <c r="G10547" t="s" s="11">
        <v>14</v>
      </c>
      <c r="H10547" t="s" s="10">
        <v>14</v>
      </c>
      <c r="I10547" t="s" s="11">
        <v>14</v>
      </c>
      <c r="J10547" t="s" s="11">
        <v>14</v>
      </c>
      <c r="K10547" t="s" s="12">
        <v>14</v>
      </c>
      <c r="L10547" t="s" s="12">
        <v>14</v>
      </c>
      <c r="M10547" t="s" s="10">
        <v>14</v>
      </c>
      <c r="N10547" t="s" s="11">
        <v>14</v>
      </c>
      <c r="O10547" t="s" s="8">
        <v>14</v>
      </c>
      <c r="P10547" t="s" s="8">
        <v>14</v>
      </c>
      <c r="Q10547" t="s" s="12">
        <v>14</v>
      </c>
      <c r="R10547" t="s" s="12">
        <v>14</v>
      </c>
    </row>
    <row r="10548" s="2" customFormat="1" ht="13.5" customHeight="1">
      <c r="B10548" s="13"/>
      <c r="C10548" t="s" s="9">
        <v>16</v>
      </c>
      <c r="D10548" t="s" s="8">
        <v>3959</v>
      </c>
      <c r="E10548" t="s" s="9">
        <v>3959</v>
      </c>
      <c r="F10548" t="s" s="10">
        <v>2233</v>
      </c>
      <c r="G10548" t="s" s="11">
        <v>2233</v>
      </c>
      <c r="H10548" t="s" s="10">
        <v>2233</v>
      </c>
      <c r="I10548" t="s" s="11">
        <v>2233</v>
      </c>
      <c r="J10548" t="s" s="11">
        <v>20</v>
      </c>
      <c r="K10548" t="s" s="16">
        <f>HYPERLINK("http://csr.bu.edu/ftp/asl/asllvd/demos/verify_start_end_handshape_annotations//test_auto_move//signs_mov/4427.mov","MOV")</f>
        <v>21</v>
      </c>
      <c r="L10548" t="s" s="16">
        <f>HYPERLINK("http://csr.bu.edu/ftp/asl/asllvd/demos/verify_start_end_handshape_annotations//test_auto_move//signs_mov_separ_signers/Liz_4427.mov","MOV")</f>
        <v>21</v>
      </c>
      <c r="M10548" t="s" s="10">
        <v>88</v>
      </c>
      <c r="N10548" s="17">
        <v>3</v>
      </c>
      <c r="O10548" s="18">
        <v>3195</v>
      </c>
      <c r="P10548" s="18">
        <v>3235</v>
      </c>
      <c r="Q10548" t="s" s="16">
        <f>HYPERLINK("http://secrets.rutgers.edu:8080/data/asl-ftp/asllvd/demos/verify_start_end_handshape_annotations//test_auto_move//signs_mov/4427.mov","MOV")</f>
        <v>21</v>
      </c>
      <c r="R10548" t="s" s="16">
        <f>HYPERLINK("http://secrets.rutgers.edu:8080/data/asl-ftp/asllvd/demos/verify_start_end_handshape_annotations//test_auto_move//signs_mov_separ_signers/Liz_4427.mov","MOV")</f>
        <v>21</v>
      </c>
    </row>
    <row r="10549" s="2" customFormat="1" ht="13.5" customHeight="1">
      <c r="B10549" s="13"/>
      <c r="C10549" t="s" s="9">
        <v>30</v>
      </c>
      <c r="D10549" t="s" s="8">
        <v>3959</v>
      </c>
      <c r="E10549" t="s" s="9">
        <v>3959</v>
      </c>
      <c r="F10549" t="s" s="10">
        <v>2233</v>
      </c>
      <c r="G10549" t="s" s="11">
        <v>2233</v>
      </c>
      <c r="H10549" t="s" s="10">
        <v>2233</v>
      </c>
      <c r="I10549" t="s" s="11">
        <v>2233</v>
      </c>
      <c r="J10549" t="s" s="11">
        <v>20</v>
      </c>
      <c r="K10549" s="15"/>
      <c r="L10549" t="s" s="16">
        <f>HYPERLINK("http://csr.bu.edu/ftp/asl/asllvd/demos/verify_start_end_handshape_annotations//test_auto_move//signs_mov_separ_signers/Brady_4427.mov","MOV")</f>
        <v>21</v>
      </c>
      <c r="M10549" t="s" s="10">
        <v>39</v>
      </c>
      <c r="N10549" s="17">
        <v>56</v>
      </c>
      <c r="O10549" s="18">
        <v>3593</v>
      </c>
      <c r="P10549" s="18">
        <v>3604</v>
      </c>
      <c r="Q10549" s="15"/>
      <c r="R10549" t="s" s="16">
        <f>HYPERLINK("http://secrets.rutgers.edu:8080/data/asl-ftp/asllvd/demos/verify_start_end_handshape_annotations//test_auto_move//signs_mov_separ_signers/Brady_4427.mov","MOV")</f>
        <v>21</v>
      </c>
    </row>
    <row r="10550" s="2" customFormat="1" ht="13.5" customHeight="1">
      <c r="B10550" t="s" s="8">
        <v>158</v>
      </c>
      <c r="C10550" t="s" s="9">
        <v>14</v>
      </c>
      <c r="D10550" t="s" s="8">
        <v>14</v>
      </c>
      <c r="E10550" t="s" s="9">
        <v>14</v>
      </c>
      <c r="F10550" t="s" s="10">
        <v>14</v>
      </c>
      <c r="G10550" t="s" s="11">
        <v>14</v>
      </c>
      <c r="H10550" t="s" s="10">
        <v>14</v>
      </c>
      <c r="I10550" t="s" s="11">
        <v>14</v>
      </c>
      <c r="J10550" t="s" s="11">
        <v>14</v>
      </c>
      <c r="K10550" t="s" s="12">
        <v>14</v>
      </c>
      <c r="L10550" t="s" s="12">
        <v>14</v>
      </c>
      <c r="M10550" t="s" s="10">
        <v>14</v>
      </c>
      <c r="N10550" t="s" s="11">
        <v>14</v>
      </c>
      <c r="O10550" t="s" s="8">
        <v>14</v>
      </c>
      <c r="P10550" t="s" s="8">
        <v>14</v>
      </c>
      <c r="Q10550" t="s" s="12">
        <v>14</v>
      </c>
      <c r="R10550" t="s" s="12">
        <v>14</v>
      </c>
    </row>
    <row r="10551" s="2" customFormat="1" ht="13.5" customHeight="1">
      <c r="B10551" s="13"/>
      <c r="C10551" t="s" s="9">
        <v>16</v>
      </c>
      <c r="D10551" t="s" s="8">
        <v>158</v>
      </c>
      <c r="E10551" t="s" s="9">
        <v>158</v>
      </c>
      <c r="F10551" t="s" s="10">
        <v>158</v>
      </c>
      <c r="G10551" s="14"/>
      <c r="H10551" t="s" s="10">
        <v>158</v>
      </c>
      <c r="I10551" s="14"/>
      <c r="J10551" t="s" s="11">
        <v>20</v>
      </c>
      <c r="K10551" t="s" s="16">
        <f>HYPERLINK("http://csr.bu.edu/ftp/asl/asllvd/demos/verify_start_end_handshape_annotations//test_auto_move//signs_mov/4429.mov","MOV")</f>
        <v>21</v>
      </c>
      <c r="L10551" t="s" s="16">
        <f>HYPERLINK("http://csr.bu.edu/ftp/asl/asllvd/demos/verify_start_end_handshape_annotations//test_auto_move//signs_mov_separ_signers/Liz_4429.mov","MOV")</f>
        <v>21</v>
      </c>
      <c r="M10551" t="s" s="10">
        <v>88</v>
      </c>
      <c r="N10551" s="17">
        <v>22</v>
      </c>
      <c r="O10551" s="18">
        <v>926</v>
      </c>
      <c r="P10551" s="18">
        <v>1002</v>
      </c>
      <c r="Q10551" t="s" s="16">
        <f>HYPERLINK("http://secrets.rutgers.edu:8080/data/asl-ftp/asllvd/demos/verify_start_end_handshape_annotations//test_auto_move//signs_mov/4429.mov","MOV")</f>
        <v>21</v>
      </c>
      <c r="R10551" t="s" s="16">
        <f>HYPERLINK("http://secrets.rutgers.edu:8080/data/asl-ftp/asllvd/demos/verify_start_end_handshape_annotations//test_auto_move//signs_mov_separ_signers/Liz_4429.mov","MOV")</f>
        <v>21</v>
      </c>
    </row>
    <row r="10552" s="2" customFormat="1" ht="13.5" customHeight="1">
      <c r="B10552" s="13"/>
      <c r="C10552" t="s" s="9">
        <v>30</v>
      </c>
      <c r="D10552" t="s" s="8">
        <v>158</v>
      </c>
      <c r="E10552" t="s" s="9">
        <v>158</v>
      </c>
      <c r="F10552" t="s" s="10">
        <v>158</v>
      </c>
      <c r="G10552" s="14"/>
      <c r="H10552" t="s" s="10">
        <v>158</v>
      </c>
      <c r="I10552" s="14"/>
      <c r="J10552" t="s" s="11">
        <v>20</v>
      </c>
      <c r="K10552" s="15"/>
      <c r="L10552" t="s" s="16">
        <f>HYPERLINK("http://csr.bu.edu/ftp/asl/asllvd/demos/verify_start_end_handshape_annotations//test_auto_move//signs_mov_separ_signers/Brady_4429.mov","MOV")</f>
        <v>21</v>
      </c>
      <c r="M10552" t="s" s="10">
        <v>40</v>
      </c>
      <c r="N10552" s="17">
        <v>17</v>
      </c>
      <c r="O10552" s="18">
        <v>2146</v>
      </c>
      <c r="P10552" s="18">
        <v>2180</v>
      </c>
      <c r="Q10552" s="15"/>
      <c r="R10552" t="s" s="16">
        <f>HYPERLINK("http://secrets.rutgers.edu:8080/data/asl-ftp/asllvd/demos/verify_start_end_handshape_annotations//test_auto_move//signs_mov_separ_signers/Brady_4429.mov","MOV")</f>
        <v>21</v>
      </c>
    </row>
    <row r="10553" s="2" customFormat="1" ht="13.5" customHeight="1">
      <c r="B10553" t="s" s="8">
        <v>3960</v>
      </c>
      <c r="C10553" t="s" s="9">
        <v>14</v>
      </c>
      <c r="D10553" t="s" s="8">
        <v>14</v>
      </c>
      <c r="E10553" t="s" s="9">
        <v>14</v>
      </c>
      <c r="F10553" t="s" s="10">
        <v>14</v>
      </c>
      <c r="G10553" t="s" s="11">
        <v>14</v>
      </c>
      <c r="H10553" t="s" s="10">
        <v>14</v>
      </c>
      <c r="I10553" t="s" s="11">
        <v>14</v>
      </c>
      <c r="J10553" t="s" s="11">
        <v>14</v>
      </c>
      <c r="K10553" t="s" s="12">
        <v>14</v>
      </c>
      <c r="L10553" t="s" s="12">
        <v>14</v>
      </c>
      <c r="M10553" t="s" s="10">
        <v>14</v>
      </c>
      <c r="N10553" t="s" s="11">
        <v>14</v>
      </c>
      <c r="O10553" t="s" s="8">
        <v>14</v>
      </c>
      <c r="P10553" t="s" s="8">
        <v>14</v>
      </c>
      <c r="Q10553" t="s" s="12">
        <v>14</v>
      </c>
      <c r="R10553" t="s" s="12">
        <v>14</v>
      </c>
    </row>
    <row r="10554" s="2" customFormat="1" ht="13.5" customHeight="1">
      <c r="B10554" s="13"/>
      <c r="C10554" t="s" s="9">
        <v>30</v>
      </c>
      <c r="D10554" t="s" s="8">
        <v>3960</v>
      </c>
      <c r="E10554" t="s" s="9">
        <v>3960</v>
      </c>
      <c r="F10554" t="s" s="10">
        <v>425</v>
      </c>
      <c r="G10554" t="s" s="11">
        <v>425</v>
      </c>
      <c r="H10554" t="s" s="10">
        <v>425</v>
      </c>
      <c r="I10554" t="s" s="11">
        <v>425</v>
      </c>
      <c r="J10554" t="s" s="11">
        <v>20</v>
      </c>
      <c r="K10554" t="s" s="16">
        <f>HYPERLINK("http://csr.bu.edu/ftp/asl/asllvd/demos/verify_start_end_handshape_annotations//test_auto_move//signs_mov/4506.mov","MOV")</f>
        <v>21</v>
      </c>
      <c r="L10554" t="s" s="16">
        <f>HYPERLINK("http://csr.bu.edu/ftp/asl/asllvd/demos/verify_start_end_handshape_annotations//test_auto_move//signs_mov_separ_signers/Brady_4506.mov","MOV")</f>
        <v>21</v>
      </c>
      <c r="M10554" t="s" s="10">
        <v>31</v>
      </c>
      <c r="N10554" s="17">
        <v>19</v>
      </c>
      <c r="O10554" s="18">
        <v>6113</v>
      </c>
      <c r="P10554" s="18">
        <v>6139</v>
      </c>
      <c r="Q10554" t="s" s="16">
        <f>HYPERLINK("http://secrets.rutgers.edu:8080/data/asl-ftp/asllvd/demos/verify_start_end_handshape_annotations//test_auto_move//signs_mov/4506.mov","MOV")</f>
        <v>21</v>
      </c>
      <c r="R10554" t="s" s="16">
        <f>HYPERLINK("http://secrets.rutgers.edu:8080/data/asl-ftp/asllvd/demos/verify_start_end_handshape_annotations//test_auto_move//signs_mov_separ_signers/Brady_4506.mov","MOV")</f>
        <v>21</v>
      </c>
    </row>
    <row r="10555" s="2" customFormat="1" ht="13.5" customHeight="1">
      <c r="B10555" t="s" s="8">
        <v>3961</v>
      </c>
      <c r="C10555" t="s" s="9">
        <v>14</v>
      </c>
      <c r="D10555" t="s" s="8">
        <v>14</v>
      </c>
      <c r="E10555" t="s" s="9">
        <v>14</v>
      </c>
      <c r="F10555" t="s" s="10">
        <v>14</v>
      </c>
      <c r="G10555" t="s" s="11">
        <v>14</v>
      </c>
      <c r="H10555" t="s" s="10">
        <v>14</v>
      </c>
      <c r="I10555" t="s" s="11">
        <v>14</v>
      </c>
      <c r="J10555" t="s" s="11">
        <v>14</v>
      </c>
      <c r="K10555" t="s" s="12">
        <v>14</v>
      </c>
      <c r="L10555" t="s" s="12">
        <v>14</v>
      </c>
      <c r="M10555" t="s" s="10">
        <v>14</v>
      </c>
      <c r="N10555" t="s" s="11">
        <v>14</v>
      </c>
      <c r="O10555" t="s" s="8">
        <v>14</v>
      </c>
      <c r="P10555" t="s" s="8">
        <v>14</v>
      </c>
      <c r="Q10555" t="s" s="12">
        <v>14</v>
      </c>
      <c r="R10555" t="s" s="12">
        <v>14</v>
      </c>
    </row>
    <row r="10556" s="2" customFormat="1" ht="13.5" customHeight="1">
      <c r="B10556" s="13"/>
      <c r="C10556" t="s" s="9">
        <v>23</v>
      </c>
      <c r="D10556" t="s" s="8">
        <v>3962</v>
      </c>
      <c r="E10556" t="s" s="9">
        <v>3963</v>
      </c>
      <c r="F10556" s="19">
        <v>10</v>
      </c>
      <c r="G10556" t="s" s="11">
        <v>73</v>
      </c>
      <c r="H10556" s="19">
        <v>10</v>
      </c>
      <c r="I10556" t="s" s="11">
        <v>73</v>
      </c>
      <c r="J10556" t="s" s="11">
        <v>20</v>
      </c>
      <c r="K10556" t="s" s="16">
        <f>HYPERLINK("http://csr.bu.edu/ftp/asl/asllvd/demos/verify_start_end_handshape_annotations//test_auto_move//signs_mov/4544.mov","MOV")</f>
        <v>21</v>
      </c>
      <c r="L10556" t="s" s="16">
        <f>HYPERLINK("http://csr.bu.edu/ftp/asl/asllvd/demos/verify_start_end_handshape_annotations//test_auto_move//signs_mov_separ_signers/Tyler_4544.mov","MOV")</f>
        <v>21</v>
      </c>
      <c r="M10556" t="s" s="10">
        <v>92</v>
      </c>
      <c r="N10556" s="17">
        <v>49</v>
      </c>
      <c r="O10556" s="18">
        <v>1131</v>
      </c>
      <c r="P10556" s="18">
        <v>1170</v>
      </c>
      <c r="Q10556" t="s" s="16">
        <f>HYPERLINK("http://secrets.rutgers.edu:8080/data/asl-ftp/asllvd/demos/verify_start_end_handshape_annotations//test_auto_move//signs_mov/4544.mov","MOV")</f>
        <v>21</v>
      </c>
      <c r="R10556" t="s" s="16">
        <f>HYPERLINK("http://secrets.rutgers.edu:8080/data/asl-ftp/asllvd/demos/verify_start_end_handshape_annotations//test_auto_move//signs_mov_separ_signers/Tyler_4544.mov","MOV")</f>
        <v>21</v>
      </c>
    </row>
    <row r="10557" s="2" customFormat="1" ht="13.5" customHeight="1">
      <c r="B10557" s="13"/>
      <c r="C10557" t="s" s="9">
        <v>43</v>
      </c>
      <c r="D10557" t="s" s="8">
        <v>3962</v>
      </c>
      <c r="E10557" t="s" s="9">
        <v>3964</v>
      </c>
      <c r="F10557" s="19">
        <v>10</v>
      </c>
      <c r="G10557" t="s" s="11">
        <v>73</v>
      </c>
      <c r="H10557" s="19">
        <v>10</v>
      </c>
      <c r="I10557" t="s" s="11">
        <v>73</v>
      </c>
      <c r="J10557" t="s" s="11">
        <v>20</v>
      </c>
      <c r="K10557" s="15"/>
      <c r="L10557" t="s" s="16">
        <f>HYPERLINK("http://csr.bu.edu/ftp/asl/asllvd/demos/verify_start_end_handshape_annotations//test_auto_move//signs_mov_separ_signers/Dana_4544.mov","MOV")</f>
        <v>21</v>
      </c>
      <c r="M10557" t="s" s="10">
        <v>44</v>
      </c>
      <c r="N10557" s="17">
        <v>16</v>
      </c>
      <c r="O10557" s="18">
        <v>2523</v>
      </c>
      <c r="P10557" s="18">
        <v>2569</v>
      </c>
      <c r="Q10557" s="15"/>
      <c r="R10557" t="s" s="16">
        <f>HYPERLINK("http://secrets.rutgers.edu:8080/data/asl-ftp/asllvd/demos/verify_start_end_handshape_annotations//test_auto_move//signs_mov_separ_signers/Dana_4544.mov","MOV")</f>
        <v>21</v>
      </c>
    </row>
    <row r="10558" s="2" customFormat="1" ht="13.5" customHeight="1">
      <c r="B10558" t="s" s="8">
        <v>52</v>
      </c>
      <c r="C10558" t="s" s="9">
        <v>53</v>
      </c>
      <c r="D10558" t="s" s="8">
        <v>53</v>
      </c>
      <c r="E10558" t="s" s="9">
        <v>53</v>
      </c>
      <c r="F10558" t="s" s="10">
        <v>53</v>
      </c>
      <c r="G10558" t="s" s="11">
        <v>53</v>
      </c>
      <c r="H10558" t="s" s="10">
        <v>53</v>
      </c>
      <c r="I10558" t="s" s="11">
        <v>53</v>
      </c>
      <c r="J10558" t="s" s="11">
        <v>53</v>
      </c>
      <c r="K10558" t="s" s="12">
        <v>53</v>
      </c>
      <c r="L10558" t="s" s="12">
        <v>53</v>
      </c>
      <c r="M10558" t="s" s="10">
        <v>53</v>
      </c>
      <c r="N10558" t="s" s="11">
        <v>53</v>
      </c>
      <c r="O10558" t="s" s="8">
        <v>53</v>
      </c>
      <c r="P10558" t="s" s="8">
        <v>53</v>
      </c>
      <c r="Q10558" t="s" s="12">
        <v>53</v>
      </c>
      <c r="R10558" t="s" s="12">
        <v>53</v>
      </c>
    </row>
    <row r="10559" s="2" customFormat="1" ht="13.5" customHeight="1">
      <c r="B10559" s="13"/>
      <c r="C10559" t="s" s="9">
        <v>16</v>
      </c>
      <c r="D10559" t="s" s="8">
        <v>3962</v>
      </c>
      <c r="E10559" t="s" s="9">
        <v>3962</v>
      </c>
      <c r="F10559" s="19">
        <v>10</v>
      </c>
      <c r="G10559" t="s" s="11">
        <v>73</v>
      </c>
      <c r="H10559" s="19">
        <v>10</v>
      </c>
      <c r="I10559" t="s" s="11">
        <v>73</v>
      </c>
      <c r="J10559" t="s" s="11">
        <v>20</v>
      </c>
      <c r="K10559" s="15"/>
      <c r="L10559" t="s" s="16">
        <f>HYPERLINK("http://csr.bu.edu/ftp/asl/asllvd/demos/verify_start_end_handshape_annotations//test_auto_move//signs_mov_separ_signers/Liz_5487.mov","MOV")</f>
        <v>21</v>
      </c>
      <c r="M10559" t="s" s="10">
        <v>34</v>
      </c>
      <c r="N10559" s="17">
        <v>21</v>
      </c>
      <c r="O10559" s="18">
        <v>1601</v>
      </c>
      <c r="P10559" s="18">
        <v>1640</v>
      </c>
      <c r="Q10559" s="15"/>
      <c r="R10559" t="s" s="16">
        <f>HYPERLINK("http://secrets.rutgers.edu:8080/data/asl-ftp/asllvd/demos/verify_start_end_handshape_annotations//test_auto_move//signs_mov_separ_signers/Liz_5487.mov","MOV")</f>
        <v>21</v>
      </c>
    </row>
    <row r="10560" s="2" customFormat="1" ht="13.5" customHeight="1">
      <c r="B10560" s="13"/>
      <c r="C10560" t="s" s="9">
        <v>16</v>
      </c>
      <c r="D10560" t="s" s="8">
        <v>3962</v>
      </c>
      <c r="E10560" t="s" s="9">
        <v>3962</v>
      </c>
      <c r="F10560" s="19">
        <v>10</v>
      </c>
      <c r="G10560" t="s" s="11">
        <v>73</v>
      </c>
      <c r="H10560" s="19">
        <v>10</v>
      </c>
      <c r="I10560" t="s" s="11">
        <v>73</v>
      </c>
      <c r="J10560" t="s" s="11">
        <v>20</v>
      </c>
      <c r="K10560" s="15"/>
      <c r="L10560" t="s" s="16">
        <f>HYPERLINK("http://csr.bu.edu/ftp/asl/asllvd/demos/verify_start_end_handshape_annotations//test_auto_move//signs_mov_separ_signers/Liz_5547.mov","MOV")</f>
        <v>21</v>
      </c>
      <c r="M10560" t="s" s="10">
        <v>34</v>
      </c>
      <c r="N10560" s="17">
        <v>21</v>
      </c>
      <c r="O10560" s="18">
        <v>1795</v>
      </c>
      <c r="P10560" s="18">
        <v>1836</v>
      </c>
      <c r="Q10560" s="15"/>
      <c r="R10560" t="s" s="16">
        <f>HYPERLINK("http://secrets.rutgers.edu:8080/data/asl-ftp/asllvd/demos/verify_start_end_handshape_annotations//test_auto_move//signs_mov_separ_signers/Liz_5547.mov","MOV")</f>
        <v>21</v>
      </c>
    </row>
    <row r="10561" s="2" customFormat="1" ht="13.5" customHeight="1">
      <c r="B10561" s="13"/>
      <c r="C10561" t="s" s="9">
        <v>23</v>
      </c>
      <c r="D10561" t="s" s="8">
        <v>3962</v>
      </c>
      <c r="E10561" t="s" s="9">
        <v>3962</v>
      </c>
      <c r="F10561" s="19">
        <v>10</v>
      </c>
      <c r="G10561" t="s" s="11">
        <v>73</v>
      </c>
      <c r="H10561" s="19">
        <v>10</v>
      </c>
      <c r="I10561" t="s" s="11">
        <v>73</v>
      </c>
      <c r="J10561" t="s" s="11">
        <v>20</v>
      </c>
      <c r="K10561" t="s" s="16">
        <f>HYPERLINK("http://csr.bu.edu/ftp/asl/asllvd/demos/verify_start_end_handshape_annotations//test_auto_move//signs_mov/5487_5547_merged.mov","MOV")</f>
        <v>21</v>
      </c>
      <c r="L10561" t="s" s="16">
        <f>HYPERLINK("http://csr.bu.edu/ftp/asl/asllvd/demos/verify_start_end_handshape_annotations//test_auto_move//signs_mov_separ_signers/Tyler_5487.mov","MOV")</f>
        <v>21</v>
      </c>
      <c r="M10561" t="s" s="10">
        <v>92</v>
      </c>
      <c r="N10561" s="17">
        <v>49</v>
      </c>
      <c r="O10561" s="18">
        <v>1317</v>
      </c>
      <c r="P10561" s="18">
        <v>1340</v>
      </c>
      <c r="Q10561" t="s" s="16">
        <f>HYPERLINK("http://secrets.rutgers.edu:8080/data/asl-ftp/asllvd/demos/verify_start_end_handshape_annotations//test_auto_move//signs_mov/5487_5547_merged.mov","MOV")</f>
        <v>21</v>
      </c>
      <c r="R10561" t="s" s="16">
        <f>HYPERLINK("http://secrets.rutgers.edu:8080/data/asl-ftp/asllvd/demos/verify_start_end_handshape_annotations//test_auto_move//signs_mov_separ_signers/Tyler_5487.mov","MOV")</f>
        <v>21</v>
      </c>
    </row>
    <row r="10562" s="2" customFormat="1" ht="13.5" customHeight="1">
      <c r="B10562" s="13"/>
      <c r="C10562" t="s" s="9">
        <v>27</v>
      </c>
      <c r="D10562" t="s" s="8">
        <v>3962</v>
      </c>
      <c r="E10562" t="s" s="9">
        <v>3962</v>
      </c>
      <c r="F10562" s="19">
        <v>10</v>
      </c>
      <c r="G10562" t="s" s="11">
        <v>73</v>
      </c>
      <c r="H10562" s="19">
        <v>10</v>
      </c>
      <c r="I10562" t="s" s="11">
        <v>73</v>
      </c>
      <c r="J10562" t="s" s="11">
        <v>20</v>
      </c>
      <c r="K10562" s="15"/>
      <c r="L10562" t="s" s="16">
        <f>HYPERLINK("http://csr.bu.edu/ftp/asl/asllvd/demos/verify_start_end_handshape_annotations//test_auto_move//signs_mov_separ_signers/Naomi_5487.mov","MOV")</f>
        <v>21</v>
      </c>
      <c r="M10562" t="s" s="10">
        <v>38</v>
      </c>
      <c r="N10562" s="17">
        <v>17</v>
      </c>
      <c r="O10562" s="18">
        <v>1711</v>
      </c>
      <c r="P10562" s="18">
        <v>1730</v>
      </c>
      <c r="Q10562" s="15"/>
      <c r="R10562" t="s" s="16">
        <f>HYPERLINK("http://secrets.rutgers.edu:8080/data/asl-ftp/asllvd/demos/verify_start_end_handshape_annotations//test_auto_move//signs_mov_separ_signers/Naomi_5487.mov","MOV")</f>
        <v>21</v>
      </c>
    </row>
    <row r="10563" s="2" customFormat="1" ht="13.5" customHeight="1">
      <c r="B10563" s="13"/>
      <c r="C10563" t="s" s="9">
        <v>27</v>
      </c>
      <c r="D10563" t="s" s="8">
        <v>3962</v>
      </c>
      <c r="E10563" t="s" s="9">
        <v>3962</v>
      </c>
      <c r="F10563" s="19">
        <v>10</v>
      </c>
      <c r="G10563" t="s" s="11">
        <v>73</v>
      </c>
      <c r="H10563" s="19">
        <v>10</v>
      </c>
      <c r="I10563" t="s" s="11">
        <v>73</v>
      </c>
      <c r="J10563" t="s" s="11">
        <v>20</v>
      </c>
      <c r="K10563" s="15"/>
      <c r="L10563" t="s" s="16">
        <f>HYPERLINK("http://csr.bu.edu/ftp/asl/asllvd/demos/verify_start_end_handshape_annotations//test_auto_move//signs_mov_separ_signers/Naomi_5547.mov","MOV")</f>
        <v>21</v>
      </c>
      <c r="M10563" t="s" s="10">
        <v>38</v>
      </c>
      <c r="N10563" s="17">
        <v>17</v>
      </c>
      <c r="O10563" s="18">
        <v>1960</v>
      </c>
      <c r="P10563" s="18">
        <v>1978</v>
      </c>
      <c r="Q10563" s="15"/>
      <c r="R10563" t="s" s="16">
        <f>HYPERLINK("http://secrets.rutgers.edu:8080/data/asl-ftp/asllvd/demos/verify_start_end_handshape_annotations//test_auto_move//signs_mov_separ_signers/Naomi_5547.mov","MOV")</f>
        <v>21</v>
      </c>
    </row>
    <row r="10564" s="2" customFormat="1" ht="13.5" customHeight="1">
      <c r="B10564" s="13"/>
      <c r="C10564" t="s" s="9">
        <v>30</v>
      </c>
      <c r="D10564" t="s" s="8">
        <v>3962</v>
      </c>
      <c r="E10564" t="s" s="9">
        <v>3962</v>
      </c>
      <c r="F10564" s="19">
        <v>10</v>
      </c>
      <c r="G10564" t="s" s="11">
        <v>73</v>
      </c>
      <c r="H10564" s="19">
        <v>10</v>
      </c>
      <c r="I10564" t="s" s="11">
        <v>73</v>
      </c>
      <c r="J10564" t="s" s="11">
        <v>20</v>
      </c>
      <c r="K10564" s="15"/>
      <c r="L10564" t="s" s="16">
        <f>HYPERLINK("http://csr.bu.edu/ftp/asl/asllvd/demos/verify_start_end_handshape_annotations//test_auto_move//signs_mov_separ_signers/Brady_5487.mov","MOV")</f>
        <v>21</v>
      </c>
      <c r="M10564" t="s" s="10">
        <v>39</v>
      </c>
      <c r="N10564" s="17">
        <v>33</v>
      </c>
      <c r="O10564" s="18">
        <v>5332</v>
      </c>
      <c r="P10564" s="18">
        <v>5356</v>
      </c>
      <c r="Q10564" s="15"/>
      <c r="R10564" t="s" s="16">
        <f>HYPERLINK("http://secrets.rutgers.edu:8080/data/asl-ftp/asllvd/demos/verify_start_end_handshape_annotations//test_auto_move//signs_mov_separ_signers/Brady_5487.mov","MOV")</f>
        <v>21</v>
      </c>
    </row>
    <row r="10565" s="2" customFormat="1" ht="13.5" customHeight="1">
      <c r="B10565" t="s" s="8">
        <v>52</v>
      </c>
      <c r="C10565" t="s" s="9">
        <v>53</v>
      </c>
      <c r="D10565" t="s" s="8">
        <v>53</v>
      </c>
      <c r="E10565" t="s" s="9">
        <v>53</v>
      </c>
      <c r="F10565" t="s" s="10">
        <v>53</v>
      </c>
      <c r="G10565" t="s" s="11">
        <v>53</v>
      </c>
      <c r="H10565" t="s" s="10">
        <v>53</v>
      </c>
      <c r="I10565" t="s" s="11">
        <v>53</v>
      </c>
      <c r="J10565" t="s" s="11">
        <v>53</v>
      </c>
      <c r="K10565" t="s" s="12">
        <v>53</v>
      </c>
      <c r="L10565" t="s" s="12">
        <v>53</v>
      </c>
      <c r="M10565" t="s" s="10">
        <v>53</v>
      </c>
      <c r="N10565" t="s" s="11">
        <v>53</v>
      </c>
      <c r="O10565" t="s" s="8">
        <v>53</v>
      </c>
      <c r="P10565" t="s" s="8">
        <v>53</v>
      </c>
      <c r="Q10565" t="s" s="12">
        <v>53</v>
      </c>
      <c r="R10565" t="s" s="12">
        <v>53</v>
      </c>
    </row>
    <row r="10566" s="2" customFormat="1" ht="13.5" customHeight="1">
      <c r="B10566" s="13"/>
      <c r="C10566" t="s" s="9">
        <v>41</v>
      </c>
      <c r="D10566" t="s" s="8">
        <v>3962</v>
      </c>
      <c r="E10566" t="s" s="9">
        <v>3965</v>
      </c>
      <c r="F10566" t="s" s="10">
        <v>73</v>
      </c>
      <c r="G10566" s="17">
        <v>10</v>
      </c>
      <c r="H10566" t="s" s="10">
        <v>73</v>
      </c>
      <c r="I10566" s="17">
        <v>10</v>
      </c>
      <c r="J10566" t="s" s="11">
        <v>20</v>
      </c>
      <c r="K10566" t="s" s="16">
        <f>HYPERLINK("http://csr.bu.edu/ftp/asl/asllvd/demos/verify_start_end_handshape_annotations//test_auto_move//signs_mov/5548.mov","MOV")</f>
        <v>21</v>
      </c>
      <c r="L10566" t="s" s="16">
        <f>HYPERLINK("http://csr.bu.edu/ftp/asl/asllvd/demos/verify_start_end_handshape_annotations//test_auto_move//signs_mov_separ_signers/Lana_5548.mov","MOV")</f>
        <v>21</v>
      </c>
      <c r="M10566" t="s" s="10">
        <v>42</v>
      </c>
      <c r="N10566" s="17">
        <v>12</v>
      </c>
      <c r="O10566" s="18">
        <v>2613</v>
      </c>
      <c r="P10566" s="18">
        <v>2636</v>
      </c>
      <c r="Q10566" t="s" s="16">
        <f>HYPERLINK("http://secrets.rutgers.edu:8080/data/asl-ftp/asllvd/demos/verify_start_end_handshape_annotations//test_auto_move//signs_mov/5548.mov","MOV")</f>
        <v>21</v>
      </c>
      <c r="R10566" t="s" s="16">
        <f>HYPERLINK("http://secrets.rutgers.edu:8080/data/asl-ftp/asllvd/demos/verify_start_end_handshape_annotations//test_auto_move//signs_mov_separ_signers/Lana_5548.mov","MOV")</f>
        <v>21</v>
      </c>
    </row>
    <row r="10567" s="2" customFormat="1" ht="13.5" customHeight="1">
      <c r="B10567" t="s" s="8">
        <v>3966</v>
      </c>
      <c r="C10567" t="s" s="9">
        <v>14</v>
      </c>
      <c r="D10567" t="s" s="8">
        <v>14</v>
      </c>
      <c r="E10567" t="s" s="9">
        <v>14</v>
      </c>
      <c r="F10567" t="s" s="10">
        <v>14</v>
      </c>
      <c r="G10567" t="s" s="11">
        <v>14</v>
      </c>
      <c r="H10567" t="s" s="10">
        <v>14</v>
      </c>
      <c r="I10567" t="s" s="11">
        <v>14</v>
      </c>
      <c r="J10567" t="s" s="11">
        <v>14</v>
      </c>
      <c r="K10567" t="s" s="12">
        <v>14</v>
      </c>
      <c r="L10567" t="s" s="12">
        <v>14</v>
      </c>
      <c r="M10567" t="s" s="10">
        <v>14</v>
      </c>
      <c r="N10567" t="s" s="11">
        <v>14</v>
      </c>
      <c r="O10567" t="s" s="8">
        <v>14</v>
      </c>
      <c r="P10567" t="s" s="8">
        <v>14</v>
      </c>
      <c r="Q10567" t="s" s="12">
        <v>14</v>
      </c>
      <c r="R10567" t="s" s="12">
        <v>14</v>
      </c>
    </row>
    <row r="10568" s="2" customFormat="1" ht="13.5" customHeight="1">
      <c r="B10568" s="13"/>
      <c r="C10568" t="s" s="9">
        <v>16</v>
      </c>
      <c r="D10568" t="s" s="8">
        <v>3966</v>
      </c>
      <c r="E10568" t="s" s="9">
        <v>3966</v>
      </c>
      <c r="F10568" s="19">
        <v>10</v>
      </c>
      <c r="G10568" t="s" s="11">
        <v>109</v>
      </c>
      <c r="H10568" s="19">
        <v>10</v>
      </c>
      <c r="I10568" t="s" s="11">
        <v>109</v>
      </c>
      <c r="J10568" t="s" s="11">
        <v>20</v>
      </c>
      <c r="K10568" s="15"/>
      <c r="L10568" t="s" s="16">
        <f>HYPERLINK("http://csr.bu.edu/ftp/asl/asllvd/demos/verify_start_end_handshape_annotations//test_auto_move//signs_mov_separ_signers/Liz_15897.mov","MOV")</f>
        <v>21</v>
      </c>
      <c r="M10568" t="s" s="10">
        <v>84</v>
      </c>
      <c r="N10568" s="17">
        <v>33</v>
      </c>
      <c r="O10568" s="18">
        <v>865</v>
      </c>
      <c r="P10568" s="18">
        <v>901</v>
      </c>
      <c r="Q10568" s="15"/>
      <c r="R10568" t="s" s="16">
        <f>HYPERLINK("http://secrets.rutgers.edu:8080/data/asl-ftp/asllvd/demos/verify_start_end_handshape_annotations//test_auto_move//signs_mov_separ_signers/Liz_15897.mov","MOV")</f>
        <v>21</v>
      </c>
    </row>
    <row r="10569" s="2" customFormat="1" ht="13.5" customHeight="1">
      <c r="B10569" s="13"/>
      <c r="C10569" t="s" s="9">
        <v>16</v>
      </c>
      <c r="D10569" t="s" s="8">
        <v>3966</v>
      </c>
      <c r="E10569" t="s" s="9">
        <v>3966</v>
      </c>
      <c r="F10569" s="19">
        <v>10</v>
      </c>
      <c r="G10569" t="s" s="11">
        <v>68</v>
      </c>
      <c r="H10569" s="19">
        <v>10</v>
      </c>
      <c r="I10569" t="s" s="11">
        <v>68</v>
      </c>
      <c r="J10569" t="s" s="11">
        <v>20</v>
      </c>
      <c r="K10569" s="15"/>
      <c r="L10569" t="s" s="16">
        <f>HYPERLINK("http://csr.bu.edu/ftp/asl/asllvd/demos/verify_start_end_handshape_annotations//test_auto_move//signs_mov_separ_signers/Liz_16214.mov","MOV")</f>
        <v>21</v>
      </c>
      <c r="M10569" t="s" s="10">
        <v>36</v>
      </c>
      <c r="N10569" s="17">
        <v>27</v>
      </c>
      <c r="O10569" s="18">
        <v>960</v>
      </c>
      <c r="P10569" s="18">
        <v>1005</v>
      </c>
      <c r="Q10569" s="15"/>
      <c r="R10569" t="s" s="16">
        <f>HYPERLINK("http://secrets.rutgers.edu:8080/data/asl-ftp/asllvd/demos/verify_start_end_handshape_annotations//test_auto_move//signs_mov_separ_signers/Liz_16214.mov","MOV")</f>
        <v>21</v>
      </c>
    </row>
    <row r="10570" s="2" customFormat="1" ht="13.5" customHeight="1">
      <c r="B10570" s="13"/>
      <c r="C10570" t="s" s="9">
        <v>23</v>
      </c>
      <c r="D10570" t="s" s="8">
        <v>3966</v>
      </c>
      <c r="E10570" t="s" s="9">
        <v>3966</v>
      </c>
      <c r="F10570" s="19">
        <v>10</v>
      </c>
      <c r="G10570" t="s" s="11">
        <v>55</v>
      </c>
      <c r="H10570" s="19">
        <v>10</v>
      </c>
      <c r="I10570" t="s" s="11">
        <v>55</v>
      </c>
      <c r="J10570" t="s" s="11">
        <v>136</v>
      </c>
      <c r="K10570" t="s" s="16">
        <f>HYPERLINK("http://csr.bu.edu/ftp/asl/asllvd/demos/verify_start_end_handshape_annotations//test_auto_move//signs_mov/15897_16214_merged.mov","MOV")</f>
        <v>21</v>
      </c>
      <c r="L10570" t="s" s="16">
        <f>HYPERLINK("http://csr.bu.edu/ftp/asl/asllvd/demos/verify_start_end_handshape_annotations//test_auto_move//signs_mov_separ_signers/Tyler_15897.mov","MOV")</f>
        <v>21</v>
      </c>
      <c r="M10570" t="s" s="10">
        <v>92</v>
      </c>
      <c r="N10570" s="17">
        <v>13</v>
      </c>
      <c r="O10570" s="18">
        <v>1855</v>
      </c>
      <c r="P10570" s="18">
        <v>1880</v>
      </c>
      <c r="Q10570" t="s" s="16">
        <f>HYPERLINK("http://secrets.rutgers.edu:8080/data/asl-ftp/asllvd/demos/verify_start_end_handshape_annotations//test_auto_move//signs_mov/15897_16214_merged.mov","MOV")</f>
        <v>21</v>
      </c>
      <c r="R10570" t="s" s="16">
        <f>HYPERLINK("http://secrets.rutgers.edu:8080/data/asl-ftp/asllvd/demos/verify_start_end_handshape_annotations//test_auto_move//signs_mov_separ_signers/Tyler_15897.mov","MOV")</f>
        <v>21</v>
      </c>
    </row>
    <row r="10571" s="2" customFormat="1" ht="13.5" customHeight="1">
      <c r="B10571" s="13"/>
      <c r="C10571" t="s" s="9">
        <v>27</v>
      </c>
      <c r="D10571" t="s" s="8">
        <v>3966</v>
      </c>
      <c r="E10571" t="s" s="9">
        <v>3966</v>
      </c>
      <c r="F10571" s="19">
        <v>10</v>
      </c>
      <c r="G10571" t="s" s="11">
        <v>105</v>
      </c>
      <c r="H10571" s="19">
        <v>10</v>
      </c>
      <c r="I10571" t="s" s="11">
        <v>105</v>
      </c>
      <c r="J10571" t="s" s="11">
        <v>20</v>
      </c>
      <c r="K10571" s="15"/>
      <c r="L10571" t="s" s="16">
        <f>HYPERLINK("http://csr.bu.edu/ftp/asl/asllvd/demos/verify_start_end_handshape_annotations//test_auto_move//signs_mov_separ_signers/Naomi_15897.mov","MOV")</f>
        <v>21</v>
      </c>
      <c r="M10571" t="s" s="10">
        <v>86</v>
      </c>
      <c r="N10571" s="17">
        <v>33</v>
      </c>
      <c r="O10571" s="18">
        <v>655</v>
      </c>
      <c r="P10571" s="18">
        <v>676</v>
      </c>
      <c r="Q10571" s="15"/>
      <c r="R10571" t="s" s="16">
        <f>HYPERLINK("http://secrets.rutgers.edu:8080/data/asl-ftp/asllvd/demos/verify_start_end_handshape_annotations//test_auto_move//signs_mov_separ_signers/Naomi_15897.mov","MOV")</f>
        <v>21</v>
      </c>
    </row>
    <row r="10572" s="2" customFormat="1" ht="13.5" customHeight="1">
      <c r="B10572" s="13"/>
      <c r="C10572" t="s" s="9">
        <v>30</v>
      </c>
      <c r="D10572" t="s" s="8">
        <v>3966</v>
      </c>
      <c r="E10572" t="s" s="9">
        <v>3966</v>
      </c>
      <c r="F10572" t="s" s="10">
        <v>152</v>
      </c>
      <c r="G10572" s="17">
        <v>10</v>
      </c>
      <c r="H10572" t="s" s="10">
        <v>152</v>
      </c>
      <c r="I10572" s="17">
        <v>10</v>
      </c>
      <c r="J10572" t="s" s="11">
        <v>20</v>
      </c>
      <c r="K10572" s="15"/>
      <c r="L10572" t="s" s="16">
        <f>HYPERLINK("http://csr.bu.edu/ftp/asl/asllvd/demos/verify_start_end_handshape_annotations//test_auto_move//signs_mov_separ_signers/Brady_15897.mov","MOV")</f>
        <v>21</v>
      </c>
      <c r="M10572" t="s" s="10">
        <v>39</v>
      </c>
      <c r="N10572" s="17">
        <v>13</v>
      </c>
      <c r="O10572" s="18">
        <v>26</v>
      </c>
      <c r="P10572" s="18">
        <v>51</v>
      </c>
      <c r="Q10572" s="15"/>
      <c r="R10572" t="s" s="16">
        <f>HYPERLINK("http://secrets.rutgers.edu:8080/data/asl-ftp/asllvd/demos/verify_start_end_handshape_annotations//test_auto_move//signs_mov_separ_signers/Brady_15897.mov","MOV")</f>
        <v>21</v>
      </c>
    </row>
    <row r="10573" s="2" customFormat="1" ht="13.5" customHeight="1">
      <c r="B10573" s="13"/>
      <c r="C10573" t="s" s="9">
        <v>30</v>
      </c>
      <c r="D10573" t="s" s="8">
        <v>3966</v>
      </c>
      <c r="E10573" t="s" s="9">
        <v>3966</v>
      </c>
      <c r="F10573" s="19">
        <v>10</v>
      </c>
      <c r="G10573" t="s" s="11">
        <v>63</v>
      </c>
      <c r="H10573" s="19">
        <v>10</v>
      </c>
      <c r="I10573" t="s" s="11">
        <v>63</v>
      </c>
      <c r="J10573" t="s" s="11">
        <v>20</v>
      </c>
      <c r="K10573" s="15"/>
      <c r="L10573" t="s" s="16">
        <f>HYPERLINK("http://csr.bu.edu/ftp/asl/asllvd/demos/verify_start_end_handshape_annotations//test_auto_move//signs_mov_separ_signers/Brady_16214.mov","MOV")</f>
        <v>21</v>
      </c>
      <c r="M10573" t="s" s="10">
        <v>40</v>
      </c>
      <c r="N10573" s="17">
        <v>77</v>
      </c>
      <c r="O10573" s="18">
        <v>3032</v>
      </c>
      <c r="P10573" s="18">
        <v>3060</v>
      </c>
      <c r="Q10573" s="15"/>
      <c r="R10573" t="s" s="16">
        <f>HYPERLINK("http://secrets.rutgers.edu:8080/data/asl-ftp/asllvd/demos/verify_start_end_handshape_annotations//test_auto_move//signs_mov_separ_signers/Brady_16214.mov","MOV")</f>
        <v>21</v>
      </c>
    </row>
    <row r="10574" s="2" customFormat="1" ht="13.5" customHeight="1">
      <c r="B10574" t="s" s="8">
        <v>3967</v>
      </c>
      <c r="C10574" t="s" s="9">
        <v>14</v>
      </c>
      <c r="D10574" t="s" s="8">
        <v>14</v>
      </c>
      <c r="E10574" t="s" s="9">
        <v>14</v>
      </c>
      <c r="F10574" t="s" s="10">
        <v>14</v>
      </c>
      <c r="G10574" t="s" s="11">
        <v>14</v>
      </c>
      <c r="H10574" t="s" s="10">
        <v>14</v>
      </c>
      <c r="I10574" t="s" s="11">
        <v>14</v>
      </c>
      <c r="J10574" t="s" s="11">
        <v>14</v>
      </c>
      <c r="K10574" t="s" s="12">
        <v>14</v>
      </c>
      <c r="L10574" t="s" s="12">
        <v>14</v>
      </c>
      <c r="M10574" t="s" s="10">
        <v>14</v>
      </c>
      <c r="N10574" t="s" s="11">
        <v>14</v>
      </c>
      <c r="O10574" t="s" s="8">
        <v>14</v>
      </c>
      <c r="P10574" t="s" s="8">
        <v>14</v>
      </c>
      <c r="Q10574" t="s" s="12">
        <v>14</v>
      </c>
      <c r="R10574" t="s" s="12">
        <v>14</v>
      </c>
    </row>
    <row r="10575" s="2" customFormat="1" ht="13.5" customHeight="1">
      <c r="B10575" s="13"/>
      <c r="C10575" t="s" s="9">
        <v>16</v>
      </c>
      <c r="D10575" t="s" s="8">
        <v>3967</v>
      </c>
      <c r="E10575" t="s" s="9">
        <v>3968</v>
      </c>
      <c r="F10575" t="s" s="10">
        <v>229</v>
      </c>
      <c r="G10575" s="14"/>
      <c r="H10575" t="s" s="10">
        <v>229</v>
      </c>
      <c r="I10575" s="14"/>
      <c r="J10575" t="s" s="11">
        <v>20</v>
      </c>
      <c r="K10575" s="15"/>
      <c r="L10575" t="s" s="16">
        <f>HYPERLINK("http://csr.bu.edu/ftp/asl/asllvd/demos/verify_start_end_handshape_annotations//test_auto_move//signs_mov_separ_signers/Liz_4552.mov","MOV")</f>
        <v>21</v>
      </c>
      <c r="M10575" t="s" s="10">
        <v>34</v>
      </c>
      <c r="N10575" s="17">
        <v>5</v>
      </c>
      <c r="O10575" s="18">
        <v>1432</v>
      </c>
      <c r="P10575" s="18">
        <v>1476</v>
      </c>
      <c r="Q10575" s="15"/>
      <c r="R10575" t="s" s="16">
        <f>HYPERLINK("http://secrets.rutgers.edu:8080/data/asl-ftp/asllvd/demos/verify_start_end_handshape_annotations//test_auto_move//signs_mov_separ_signers/Liz_4552.mov","MOV")</f>
        <v>21</v>
      </c>
    </row>
    <row r="10576" s="2" customFormat="1" ht="13.5" customHeight="1">
      <c r="B10576" s="13"/>
      <c r="C10576" t="s" s="9">
        <v>16</v>
      </c>
      <c r="D10576" t="s" s="8">
        <v>3967</v>
      </c>
      <c r="E10576" t="s" s="9">
        <v>3967</v>
      </c>
      <c r="F10576" t="s" s="10">
        <v>229</v>
      </c>
      <c r="G10576" s="14"/>
      <c r="H10576" t="s" s="10">
        <v>229</v>
      </c>
      <c r="I10576" s="14"/>
      <c r="J10576" t="s" s="11">
        <v>20</v>
      </c>
      <c r="K10576" s="15"/>
      <c r="L10576" t="s" s="16">
        <f>HYPERLINK("http://csr.bu.edu/ftp/asl/asllvd/demos/verify_start_end_handshape_annotations//test_auto_move//signs_mov_separ_signers/Liz_5488.mov","MOV")</f>
        <v>21</v>
      </c>
      <c r="M10576" t="s" s="10">
        <v>34</v>
      </c>
      <c r="N10576" s="17">
        <v>53</v>
      </c>
      <c r="O10576" s="18">
        <v>3890</v>
      </c>
      <c r="P10576" s="18">
        <v>3935</v>
      </c>
      <c r="Q10576" s="15"/>
      <c r="R10576" t="s" s="16">
        <f>HYPERLINK("http://secrets.rutgers.edu:8080/data/asl-ftp/asllvd/demos/verify_start_end_handshape_annotations//test_auto_move//signs_mov_separ_signers/Liz_5488.mov","MOV")</f>
        <v>21</v>
      </c>
    </row>
    <row r="10577" s="2" customFormat="1" ht="13.5" customHeight="1">
      <c r="B10577" s="13"/>
      <c r="C10577" t="s" s="9">
        <v>16</v>
      </c>
      <c r="D10577" t="s" s="8">
        <v>3967</v>
      </c>
      <c r="E10577" t="s" s="9">
        <v>3968</v>
      </c>
      <c r="F10577" t="s" s="10">
        <v>229</v>
      </c>
      <c r="G10577" s="14"/>
      <c r="H10577" t="s" s="10">
        <v>229</v>
      </c>
      <c r="I10577" s="14"/>
      <c r="J10577" t="s" s="11">
        <v>20</v>
      </c>
      <c r="K10577" s="15"/>
      <c r="L10577" t="s" s="16">
        <f>HYPERLINK("http://csr.bu.edu/ftp/asl/asllvd/demos/verify_start_end_handshape_annotations//test_auto_move//signs_mov_separ_signers/Liz_5717.mov","MOV")</f>
        <v>21</v>
      </c>
      <c r="M10577" t="s" s="10">
        <v>36</v>
      </c>
      <c r="N10577" s="17">
        <v>44</v>
      </c>
      <c r="O10577" s="18">
        <v>855</v>
      </c>
      <c r="P10577" s="18">
        <v>946</v>
      </c>
      <c r="Q10577" s="15"/>
      <c r="R10577" t="s" s="16">
        <f>HYPERLINK("http://secrets.rutgers.edu:8080/data/asl-ftp/asllvd/demos/verify_start_end_handshape_annotations//test_auto_move//signs_mov_separ_signers/Liz_5717.mov","MOV")</f>
        <v>21</v>
      </c>
    </row>
    <row r="10578" s="2" customFormat="1" ht="13.5" customHeight="1">
      <c r="B10578" s="13"/>
      <c r="C10578" t="s" s="9">
        <v>23</v>
      </c>
      <c r="D10578" t="s" s="8">
        <v>3967</v>
      </c>
      <c r="E10578" t="s" s="9">
        <v>3968</v>
      </c>
      <c r="F10578" t="s" s="10">
        <v>229</v>
      </c>
      <c r="G10578" s="14"/>
      <c r="H10578" t="s" s="10">
        <v>229</v>
      </c>
      <c r="I10578" s="14"/>
      <c r="J10578" t="s" s="11">
        <v>20</v>
      </c>
      <c r="K10578" s="15"/>
      <c r="L10578" t="s" s="16">
        <f>HYPERLINK("http://csr.bu.edu/ftp/asl/asllvd/demos/verify_start_end_handshape_annotations//test_auto_move//signs_mov_separ_signers/Tyler_4552.mov","MOV")</f>
        <v>21</v>
      </c>
      <c r="M10578" t="s" s="10">
        <v>92</v>
      </c>
      <c r="N10578" s="17">
        <v>37</v>
      </c>
      <c r="O10578" s="18">
        <v>1410</v>
      </c>
      <c r="P10578" s="18">
        <v>1442</v>
      </c>
      <c r="Q10578" s="15"/>
      <c r="R10578" t="s" s="16">
        <f>HYPERLINK("http://secrets.rutgers.edu:8080/data/asl-ftp/asllvd/demos/verify_start_end_handshape_annotations//test_auto_move//signs_mov_separ_signers/Tyler_4552.mov","MOV")</f>
        <v>21</v>
      </c>
    </row>
    <row r="10579" s="2" customFormat="1" ht="13.5" customHeight="1">
      <c r="B10579" s="13"/>
      <c r="C10579" t="s" s="9">
        <v>23</v>
      </c>
      <c r="D10579" t="s" s="8">
        <v>3967</v>
      </c>
      <c r="E10579" t="s" s="9">
        <v>3967</v>
      </c>
      <c r="F10579" t="s" s="10">
        <v>229</v>
      </c>
      <c r="G10579" s="14"/>
      <c r="H10579" t="s" s="10">
        <v>229</v>
      </c>
      <c r="I10579" s="14"/>
      <c r="J10579" t="s" s="11">
        <v>20</v>
      </c>
      <c r="K10579" s="15"/>
      <c r="L10579" t="s" s="16">
        <f>HYPERLINK("http://csr.bu.edu/ftp/asl/asllvd/demos/verify_start_end_handshape_annotations//test_auto_move//signs_mov_separ_signers/Tyler_5488.mov","MOV")</f>
        <v>21</v>
      </c>
      <c r="M10579" t="s" s="10">
        <v>92</v>
      </c>
      <c r="N10579" s="17">
        <v>37</v>
      </c>
      <c r="O10579" s="18">
        <v>2172</v>
      </c>
      <c r="P10579" s="18">
        <v>2207</v>
      </c>
      <c r="Q10579" s="15"/>
      <c r="R10579" t="s" s="16">
        <f>HYPERLINK("http://secrets.rutgers.edu:8080/data/asl-ftp/asllvd/demos/verify_start_end_handshape_annotations//test_auto_move//signs_mov_separ_signers/Tyler_5488.mov","MOV")</f>
        <v>21</v>
      </c>
    </row>
    <row r="10580" s="2" customFormat="1" ht="13.5" customHeight="1">
      <c r="B10580" s="13"/>
      <c r="C10580" t="s" s="9">
        <v>23</v>
      </c>
      <c r="D10580" t="s" s="8">
        <v>3967</v>
      </c>
      <c r="E10580" t="s" s="9">
        <v>3967</v>
      </c>
      <c r="F10580" t="s" s="10">
        <v>229</v>
      </c>
      <c r="G10580" s="14"/>
      <c r="H10580" t="s" s="10">
        <v>229</v>
      </c>
      <c r="I10580" s="14"/>
      <c r="J10580" t="s" s="11">
        <v>20</v>
      </c>
      <c r="K10580" s="15"/>
      <c r="L10580" t="s" s="16">
        <f>HYPERLINK("http://csr.bu.edu/ftp/asl/asllvd/demos/verify_start_end_handshape_annotations//test_auto_move//signs_mov_separ_signers/Tyler_5717.mov","MOV")</f>
        <v>21</v>
      </c>
      <c r="M10580" t="s" s="10">
        <v>47</v>
      </c>
      <c r="N10580" s="17">
        <v>5</v>
      </c>
      <c r="O10580" s="18">
        <v>2377</v>
      </c>
      <c r="P10580" s="18">
        <v>2410</v>
      </c>
      <c r="Q10580" s="15"/>
      <c r="R10580" t="s" s="16">
        <f>HYPERLINK("http://secrets.rutgers.edu:8080/data/asl-ftp/asllvd/demos/verify_start_end_handshape_annotations//test_auto_move//signs_mov_separ_signers/Tyler_5717.mov","MOV")</f>
        <v>21</v>
      </c>
    </row>
    <row r="10581" s="2" customFormat="1" ht="13.5" customHeight="1">
      <c r="B10581" s="13"/>
      <c r="C10581" t="s" s="9">
        <v>27</v>
      </c>
      <c r="D10581" t="s" s="8">
        <v>3967</v>
      </c>
      <c r="E10581" t="s" s="9">
        <v>3967</v>
      </c>
      <c r="F10581" t="s" s="10">
        <v>229</v>
      </c>
      <c r="G10581" s="14"/>
      <c r="H10581" t="s" s="10">
        <v>229</v>
      </c>
      <c r="I10581" s="14"/>
      <c r="J10581" t="s" s="11">
        <v>20</v>
      </c>
      <c r="K10581" t="s" s="16">
        <f>HYPERLINK("http://csr.bu.edu/ftp/asl/asllvd/demos/verify_start_end_handshape_annotations//test_auto_move//signs_mov/4552_5488_5717_5718_merged.mov","MOV")</f>
        <v>21</v>
      </c>
      <c r="L10581" t="s" s="16">
        <f>HYPERLINK("http://csr.bu.edu/ftp/asl/asllvd/demos/verify_start_end_handshape_annotations//test_auto_move//signs_mov_separ_signers/Naomi_4552.mov","MOV")</f>
        <v>21</v>
      </c>
      <c r="M10581" t="s" s="10">
        <v>38</v>
      </c>
      <c r="N10581" s="17">
        <v>5</v>
      </c>
      <c r="O10581" s="18">
        <v>2018</v>
      </c>
      <c r="P10581" s="18">
        <v>2040</v>
      </c>
      <c r="Q10581" t="s" s="16">
        <f>HYPERLINK("http://secrets.rutgers.edu:8080/data/asl-ftp/asllvd/demos/verify_start_end_handshape_annotations//test_auto_move//signs_mov/4552_5488_5717_5718_merged.mov","MOV")</f>
        <v>21</v>
      </c>
      <c r="R10581" t="s" s="16">
        <f>HYPERLINK("http://secrets.rutgers.edu:8080/data/asl-ftp/asllvd/demos/verify_start_end_handshape_annotations//test_auto_move//signs_mov_separ_signers/Naomi_4552.mov","MOV")</f>
        <v>21</v>
      </c>
    </row>
    <row r="10582" s="2" customFormat="1" ht="13.5" customHeight="1">
      <c r="B10582" s="13"/>
      <c r="C10582" t="s" s="9">
        <v>27</v>
      </c>
      <c r="D10582" t="s" s="8">
        <v>3967</v>
      </c>
      <c r="E10582" t="s" s="9">
        <v>3967</v>
      </c>
      <c r="F10582" t="s" s="10">
        <v>229</v>
      </c>
      <c r="G10582" s="14"/>
      <c r="H10582" t="s" s="10">
        <v>229</v>
      </c>
      <c r="I10582" s="14"/>
      <c r="J10582" t="s" s="11">
        <v>20</v>
      </c>
      <c r="K10582" s="15"/>
      <c r="L10582" t="s" s="16">
        <f>HYPERLINK("http://csr.bu.edu/ftp/asl/asllvd/demos/verify_start_end_handshape_annotations//test_auto_move//signs_mov_separ_signers/Naomi_5488.mov","MOV")</f>
        <v>21</v>
      </c>
      <c r="M10582" t="s" s="10">
        <v>38</v>
      </c>
      <c r="N10582" s="17">
        <v>5</v>
      </c>
      <c r="O10582" s="18">
        <v>2555</v>
      </c>
      <c r="P10582" s="18">
        <v>2596</v>
      </c>
      <c r="Q10582" s="15"/>
      <c r="R10582" t="s" s="16">
        <f>HYPERLINK("http://secrets.rutgers.edu:8080/data/asl-ftp/asllvd/demos/verify_start_end_handshape_annotations//test_auto_move//signs_mov_separ_signers/Naomi_5488.mov","MOV")</f>
        <v>21</v>
      </c>
    </row>
    <row r="10583" s="2" customFormat="1" ht="13.5" customHeight="1">
      <c r="B10583" s="13"/>
      <c r="C10583" t="s" s="9">
        <v>30</v>
      </c>
      <c r="D10583" t="s" s="8">
        <v>3967</v>
      </c>
      <c r="E10583" t="s" s="9">
        <v>3967</v>
      </c>
      <c r="F10583" t="s" s="10">
        <v>229</v>
      </c>
      <c r="G10583" s="14"/>
      <c r="H10583" t="s" s="10">
        <v>229</v>
      </c>
      <c r="I10583" s="14"/>
      <c r="J10583" t="s" s="11">
        <v>20</v>
      </c>
      <c r="K10583" s="15"/>
      <c r="L10583" t="s" s="16">
        <f>HYPERLINK("http://csr.bu.edu/ftp/asl/asllvd/demos/verify_start_end_handshape_annotations//test_auto_move//signs_mov_separ_signers/Brady_4552.mov","MOV")</f>
        <v>21</v>
      </c>
      <c r="M10583" t="s" s="10">
        <v>39</v>
      </c>
      <c r="N10583" s="17">
        <v>26</v>
      </c>
      <c r="O10583" s="18">
        <v>1990</v>
      </c>
      <c r="P10583" s="18">
        <v>2022</v>
      </c>
      <c r="Q10583" s="15"/>
      <c r="R10583" t="s" s="16">
        <f>HYPERLINK("http://secrets.rutgers.edu:8080/data/asl-ftp/asllvd/demos/verify_start_end_handshape_annotations//test_auto_move//signs_mov_separ_signers/Brady_4552.mov","MOV")</f>
        <v>21</v>
      </c>
    </row>
    <row r="10584" s="2" customFormat="1" ht="13.5" customHeight="1">
      <c r="B10584" s="13"/>
      <c r="C10584" t="s" s="9">
        <v>30</v>
      </c>
      <c r="D10584" t="s" s="8">
        <v>3967</v>
      </c>
      <c r="E10584" t="s" s="9">
        <v>3968</v>
      </c>
      <c r="F10584" t="s" s="10">
        <v>229</v>
      </c>
      <c r="G10584" s="14"/>
      <c r="H10584" t="s" s="10">
        <v>229</v>
      </c>
      <c r="I10584" s="14"/>
      <c r="J10584" t="s" s="11">
        <v>20</v>
      </c>
      <c r="K10584" s="15"/>
      <c r="L10584" t="s" s="16">
        <f>HYPERLINK("http://csr.bu.edu/ftp/asl/asllvd/demos/verify_start_end_handshape_annotations//test_auto_move//signs_mov_separ_signers/Brady_5488.mov","MOV")</f>
        <v>21</v>
      </c>
      <c r="M10584" t="s" s="10">
        <v>39</v>
      </c>
      <c r="N10584" s="17">
        <v>51</v>
      </c>
      <c r="O10584" s="18">
        <v>1245</v>
      </c>
      <c r="P10584" s="18">
        <v>1269</v>
      </c>
      <c r="Q10584" s="15"/>
      <c r="R10584" t="s" s="16">
        <f>HYPERLINK("http://secrets.rutgers.edu:8080/data/asl-ftp/asllvd/demos/verify_start_end_handshape_annotations//test_auto_move//signs_mov_separ_signers/Brady_5488.mov","MOV")</f>
        <v>21</v>
      </c>
    </row>
    <row r="10585" s="2" customFormat="1" ht="13.5" customHeight="1">
      <c r="B10585" s="13"/>
      <c r="C10585" t="s" s="9">
        <v>30</v>
      </c>
      <c r="D10585" t="s" s="8">
        <v>3967</v>
      </c>
      <c r="E10585" t="s" s="9">
        <v>3969</v>
      </c>
      <c r="F10585" t="s" s="10">
        <v>229</v>
      </c>
      <c r="G10585" s="14"/>
      <c r="H10585" t="s" s="10">
        <v>229</v>
      </c>
      <c r="I10585" s="14"/>
      <c r="J10585" t="s" s="11">
        <v>20</v>
      </c>
      <c r="K10585" s="15"/>
      <c r="L10585" t="s" s="16">
        <f>HYPERLINK("http://csr.bu.edu/ftp/asl/asllvd/demos/verify_start_end_handshape_annotations//test_auto_move//signs_mov_separ_signers/Brady_5717.mov","MOV")</f>
        <v>21</v>
      </c>
      <c r="M10585" t="s" s="10">
        <v>40</v>
      </c>
      <c r="N10585" s="17">
        <v>96</v>
      </c>
      <c r="O10585" s="18">
        <v>1213</v>
      </c>
      <c r="P10585" s="18">
        <v>1259</v>
      </c>
      <c r="Q10585" s="15"/>
      <c r="R10585" t="s" s="16">
        <f>HYPERLINK("http://secrets.rutgers.edu:8080/data/asl-ftp/asllvd/demos/verify_start_end_handshape_annotations//test_auto_move//signs_mov_separ_signers/Brady_5717.mov","MOV")</f>
        <v>21</v>
      </c>
    </row>
    <row r="10586" s="2" customFormat="1" ht="13.5" customHeight="1">
      <c r="B10586" s="13"/>
      <c r="C10586" t="s" s="9">
        <v>30</v>
      </c>
      <c r="D10586" t="s" s="8">
        <v>3967</v>
      </c>
      <c r="E10586" t="s" s="9">
        <v>3967</v>
      </c>
      <c r="F10586" t="s" s="10">
        <v>229</v>
      </c>
      <c r="G10586" s="14"/>
      <c r="H10586" t="s" s="10">
        <v>229</v>
      </c>
      <c r="I10586" s="14"/>
      <c r="J10586" t="s" s="11">
        <v>20</v>
      </c>
      <c r="K10586" s="15"/>
      <c r="L10586" t="s" s="16">
        <f>HYPERLINK("http://csr.bu.edu/ftp/asl/asllvd/demos/verify_start_end_handshape_annotations//test_auto_move//signs_mov_separ_signers/Brady_5718.mov","MOV")</f>
        <v>21</v>
      </c>
      <c r="M10586" t="s" s="10">
        <v>60</v>
      </c>
      <c r="N10586" s="17">
        <v>43</v>
      </c>
      <c r="O10586" s="18">
        <v>2606</v>
      </c>
      <c r="P10586" s="18">
        <v>2630</v>
      </c>
      <c r="Q10586" s="15"/>
      <c r="R10586" t="s" s="16">
        <f>HYPERLINK("http://secrets.rutgers.edu:8080/data/asl-ftp/asllvd/demos/verify_start_end_handshape_annotations//test_auto_move//signs_mov_separ_signers/Brady_5718.mov","MOV")</f>
        <v>21</v>
      </c>
    </row>
    <row r="10587" s="2" customFormat="1" ht="13.5" customHeight="1">
      <c r="B10587" s="13"/>
      <c r="C10587" t="s" s="9">
        <v>41</v>
      </c>
      <c r="D10587" t="s" s="8">
        <v>3967</v>
      </c>
      <c r="E10587" t="s" s="9">
        <v>3967</v>
      </c>
      <c r="F10587" t="s" s="10">
        <v>229</v>
      </c>
      <c r="G10587" s="14"/>
      <c r="H10587" t="s" s="10">
        <v>229</v>
      </c>
      <c r="I10587" s="14"/>
      <c r="J10587" t="s" s="11">
        <v>20</v>
      </c>
      <c r="K10587" s="15"/>
      <c r="L10587" t="s" s="16">
        <f>HYPERLINK("http://csr.bu.edu/ftp/asl/asllvd/demos/verify_start_end_handshape_annotations//test_auto_move//signs_mov_separ_signers/Lana_4552.mov","MOV")</f>
        <v>21</v>
      </c>
      <c r="M10587" t="s" s="10">
        <v>42</v>
      </c>
      <c r="N10587" s="17">
        <v>18</v>
      </c>
      <c r="O10587" s="18">
        <v>405</v>
      </c>
      <c r="P10587" s="18">
        <v>415</v>
      </c>
      <c r="Q10587" s="15"/>
      <c r="R10587" t="s" s="16">
        <f>HYPERLINK("http://secrets.rutgers.edu:8080/data/asl-ftp/asllvd/demos/verify_start_end_handshape_annotations//test_auto_move//signs_mov_separ_signers/Lana_4552.mov","MOV")</f>
        <v>21</v>
      </c>
    </row>
    <row r="10588" s="2" customFormat="1" ht="13.5" customHeight="1">
      <c r="B10588" s="13"/>
      <c r="C10588" t="s" s="9">
        <v>43</v>
      </c>
      <c r="D10588" t="s" s="8">
        <v>3967</v>
      </c>
      <c r="E10588" t="s" s="9">
        <v>3967</v>
      </c>
      <c r="F10588" t="s" s="10">
        <v>229</v>
      </c>
      <c r="G10588" s="14"/>
      <c r="H10588" t="s" s="10">
        <v>229</v>
      </c>
      <c r="I10588" s="14"/>
      <c r="J10588" t="s" s="11">
        <v>20</v>
      </c>
      <c r="K10588" s="15"/>
      <c r="L10588" t="s" s="16">
        <f>HYPERLINK("http://csr.bu.edu/ftp/asl/asllvd/demos/verify_start_end_handshape_annotations//test_auto_move//signs_mov_separ_signers/Dana_4552.mov","MOV")</f>
        <v>21</v>
      </c>
      <c r="M10588" t="s" s="10">
        <v>44</v>
      </c>
      <c r="N10588" s="17">
        <v>20</v>
      </c>
      <c r="O10588" s="18">
        <v>402</v>
      </c>
      <c r="P10588" s="18">
        <v>448</v>
      </c>
      <c r="Q10588" s="15"/>
      <c r="R10588" t="s" s="16">
        <f>HYPERLINK("http://secrets.rutgers.edu:8080/data/asl-ftp/asllvd/demos/verify_start_end_handshape_annotations//test_auto_move//signs_mov_separ_signers/Dana_4552.mov","MOV")</f>
        <v>21</v>
      </c>
    </row>
    <row r="10589" s="2" customFormat="1" ht="13.5" customHeight="1">
      <c r="B10589" t="s" s="8">
        <v>52</v>
      </c>
      <c r="C10589" t="s" s="9">
        <v>53</v>
      </c>
      <c r="D10589" t="s" s="8">
        <v>53</v>
      </c>
      <c r="E10589" t="s" s="9">
        <v>53</v>
      </c>
      <c r="F10589" t="s" s="10">
        <v>53</v>
      </c>
      <c r="G10589" t="s" s="11">
        <v>53</v>
      </c>
      <c r="H10589" t="s" s="10">
        <v>53</v>
      </c>
      <c r="I10589" t="s" s="11">
        <v>53</v>
      </c>
      <c r="J10589" t="s" s="11">
        <v>53</v>
      </c>
      <c r="K10589" t="s" s="12">
        <v>53</v>
      </c>
      <c r="L10589" t="s" s="12">
        <v>53</v>
      </c>
      <c r="M10589" t="s" s="10">
        <v>53</v>
      </c>
      <c r="N10589" t="s" s="11">
        <v>53</v>
      </c>
      <c r="O10589" t="s" s="8">
        <v>53</v>
      </c>
      <c r="P10589" t="s" s="8">
        <v>53</v>
      </c>
      <c r="Q10589" t="s" s="12">
        <v>53</v>
      </c>
      <c r="R10589" t="s" s="12">
        <v>53</v>
      </c>
    </row>
    <row r="10590" s="2" customFormat="1" ht="13.5" customHeight="1">
      <c r="B10590" s="13"/>
      <c r="C10590" t="s" s="9">
        <v>16</v>
      </c>
      <c r="D10590" t="s" s="8">
        <v>3967</v>
      </c>
      <c r="E10590" t="s" s="9">
        <v>3970</v>
      </c>
      <c r="F10590" t="s" s="10">
        <v>229</v>
      </c>
      <c r="G10590" s="14"/>
      <c r="H10590" t="s" s="10">
        <v>229</v>
      </c>
      <c r="I10590" s="14"/>
      <c r="J10590" t="s" s="11">
        <v>20</v>
      </c>
      <c r="K10590" s="15"/>
      <c r="L10590" t="s" s="16">
        <f>HYPERLINK("http://csr.bu.edu/ftp/asl/asllvd/demos/verify_start_end_handshape_annotations//test_auto_move//signs_mov_separ_signers/Liz_5719.mov","MOV")</f>
        <v>21</v>
      </c>
      <c r="M10590" t="s" s="10">
        <v>34</v>
      </c>
      <c r="N10590" s="17">
        <v>52</v>
      </c>
      <c r="O10590" s="18">
        <v>2050</v>
      </c>
      <c r="P10590" s="18">
        <v>2091</v>
      </c>
      <c r="Q10590" s="15"/>
      <c r="R10590" t="s" s="16">
        <f>HYPERLINK("http://secrets.rutgers.edu:8080/data/asl-ftp/asllvd/demos/verify_start_end_handshape_annotations//test_auto_move//signs_mov_separ_signers/Liz_5719.mov","MOV")</f>
        <v>21</v>
      </c>
    </row>
    <row r="10591" s="2" customFormat="1" ht="13.5" customHeight="1">
      <c r="B10591" s="13"/>
      <c r="C10591" t="s" s="9">
        <v>23</v>
      </c>
      <c r="D10591" t="s" s="8">
        <v>3967</v>
      </c>
      <c r="E10591" t="s" s="9">
        <v>3970</v>
      </c>
      <c r="F10591" t="s" s="10">
        <v>229</v>
      </c>
      <c r="G10591" s="14"/>
      <c r="H10591" t="s" s="10">
        <v>229</v>
      </c>
      <c r="I10591" s="14"/>
      <c r="J10591" t="s" s="11">
        <v>20</v>
      </c>
      <c r="K10591" s="15"/>
      <c r="L10591" t="s" s="16">
        <f>HYPERLINK("http://csr.bu.edu/ftp/asl/asllvd/demos/verify_start_end_handshape_annotations//test_auto_move//signs_mov_separ_signers/Tyler_5719.mov","MOV")</f>
        <v>21</v>
      </c>
      <c r="M10591" t="s" s="10">
        <v>47</v>
      </c>
      <c r="N10591" s="17">
        <v>4</v>
      </c>
      <c r="O10591" s="18">
        <v>1768</v>
      </c>
      <c r="P10591" s="18">
        <v>1793</v>
      </c>
      <c r="Q10591" s="15"/>
      <c r="R10591" t="s" s="16">
        <f>HYPERLINK("http://secrets.rutgers.edu:8080/data/asl-ftp/asllvd/demos/verify_start_end_handshape_annotations//test_auto_move//signs_mov_separ_signers/Tyler_5719.mov","MOV")</f>
        <v>21</v>
      </c>
    </row>
    <row r="10592" s="2" customFormat="1" ht="13.5" customHeight="1">
      <c r="B10592" s="13"/>
      <c r="C10592" t="s" s="9">
        <v>27</v>
      </c>
      <c r="D10592" t="s" s="8">
        <v>3967</v>
      </c>
      <c r="E10592" t="s" s="9">
        <v>3970</v>
      </c>
      <c r="F10592" t="s" s="10">
        <v>229</v>
      </c>
      <c r="G10592" s="14"/>
      <c r="H10592" t="s" s="10">
        <v>229</v>
      </c>
      <c r="I10592" s="14"/>
      <c r="J10592" t="s" s="11">
        <v>20</v>
      </c>
      <c r="K10592" t="s" s="16">
        <f>HYPERLINK("http://csr.bu.edu/ftp/asl/asllvd/demos/verify_start_end_handshape_annotations//test_auto_move//signs_mov/5719_5720_5728_merged.mov","MOV")</f>
        <v>21</v>
      </c>
      <c r="L10592" t="s" s="16">
        <f>HYPERLINK("http://csr.bu.edu/ftp/asl/asllvd/demos/verify_start_end_handshape_annotations//test_auto_move//signs_mov_separ_signers/Naomi_5719.mov","MOV")</f>
        <v>21</v>
      </c>
      <c r="M10592" t="s" s="10">
        <v>48</v>
      </c>
      <c r="N10592" s="17">
        <v>7</v>
      </c>
      <c r="O10592" s="18">
        <v>1780</v>
      </c>
      <c r="P10592" s="18">
        <v>1800</v>
      </c>
      <c r="Q10592" t="s" s="16">
        <f>HYPERLINK("http://secrets.rutgers.edu:8080/data/asl-ftp/asllvd/demos/verify_start_end_handshape_annotations//test_auto_move//signs_mov/5719_5720_5728_merged.mov","MOV")</f>
        <v>21</v>
      </c>
      <c r="R10592" t="s" s="16">
        <f>HYPERLINK("http://secrets.rutgers.edu:8080/data/asl-ftp/asllvd/demos/verify_start_end_handshape_annotations//test_auto_move//signs_mov_separ_signers/Naomi_5719.mov","MOV")</f>
        <v>21</v>
      </c>
    </row>
    <row r="10593" s="2" customFormat="1" ht="13.5" customHeight="1">
      <c r="B10593" s="13"/>
      <c r="C10593" t="s" s="9">
        <v>30</v>
      </c>
      <c r="D10593" t="s" s="8">
        <v>3967</v>
      </c>
      <c r="E10593" t="s" s="9">
        <v>3970</v>
      </c>
      <c r="F10593" t="s" s="10">
        <v>229</v>
      </c>
      <c r="G10593" s="14"/>
      <c r="H10593" t="s" s="10">
        <v>229</v>
      </c>
      <c r="I10593" s="14"/>
      <c r="J10593" t="s" s="11">
        <v>20</v>
      </c>
      <c r="K10593" s="15"/>
      <c r="L10593" t="s" s="16">
        <f>HYPERLINK("http://csr.bu.edu/ftp/asl/asllvd/demos/verify_start_end_handshape_annotations//test_auto_move//signs_mov_separ_signers/Brady_5719.mov","MOV")</f>
        <v>21</v>
      </c>
      <c r="M10593" t="s" s="10">
        <v>39</v>
      </c>
      <c r="N10593" s="17">
        <v>51</v>
      </c>
      <c r="O10593" s="18">
        <v>1676</v>
      </c>
      <c r="P10593" s="18">
        <v>1704</v>
      </c>
      <c r="Q10593" s="15"/>
      <c r="R10593" t="s" s="16">
        <f>HYPERLINK("http://secrets.rutgers.edu:8080/data/asl-ftp/asllvd/demos/verify_start_end_handshape_annotations//test_auto_move//signs_mov_separ_signers/Brady_5719.mov","MOV")</f>
        <v>21</v>
      </c>
    </row>
    <row r="10594" s="2" customFormat="1" ht="13.5" customHeight="1">
      <c r="B10594" s="13"/>
      <c r="C10594" t="s" s="9">
        <v>30</v>
      </c>
      <c r="D10594" t="s" s="8">
        <v>3967</v>
      </c>
      <c r="E10594" t="s" s="9">
        <v>3970</v>
      </c>
      <c r="F10594" t="s" s="10">
        <v>229</v>
      </c>
      <c r="G10594" s="14"/>
      <c r="H10594" t="s" s="10">
        <v>229</v>
      </c>
      <c r="I10594" s="14"/>
      <c r="J10594" t="s" s="11">
        <v>20</v>
      </c>
      <c r="K10594" s="15"/>
      <c r="L10594" t="s" s="16">
        <f>HYPERLINK("http://csr.bu.edu/ftp/asl/asllvd/demos/verify_start_end_handshape_annotations//test_auto_move//signs_mov_separ_signers/Brady_5720.mov","MOV")</f>
        <v>21</v>
      </c>
      <c r="M10594" t="s" s="10">
        <v>39</v>
      </c>
      <c r="N10594" s="17">
        <v>51</v>
      </c>
      <c r="O10594" s="18">
        <v>4758</v>
      </c>
      <c r="P10594" s="18">
        <v>4775</v>
      </c>
      <c r="Q10594" s="15"/>
      <c r="R10594" t="s" s="16">
        <f>HYPERLINK("http://secrets.rutgers.edu:8080/data/asl-ftp/asllvd/demos/verify_start_end_handshape_annotations//test_auto_move//signs_mov_separ_signers/Brady_5720.mov","MOV")</f>
        <v>21</v>
      </c>
    </row>
    <row r="10595" s="2" customFormat="1" ht="13.5" customHeight="1">
      <c r="B10595" s="13"/>
      <c r="C10595" t="s" s="9">
        <v>30</v>
      </c>
      <c r="D10595" t="s" s="8">
        <v>3967</v>
      </c>
      <c r="E10595" t="s" s="9">
        <v>3970</v>
      </c>
      <c r="F10595" t="s" s="10">
        <v>229</v>
      </c>
      <c r="G10595" s="14"/>
      <c r="H10595" t="s" s="10">
        <v>229</v>
      </c>
      <c r="I10595" s="14"/>
      <c r="J10595" t="s" s="11">
        <v>20</v>
      </c>
      <c r="K10595" s="15"/>
      <c r="L10595" t="s" s="16">
        <f>HYPERLINK("http://csr.bu.edu/ftp/asl/asllvd/demos/verify_start_end_handshape_annotations//test_auto_move//signs_mov_separ_signers/Brady_5728.mov","MOV")</f>
        <v>21</v>
      </c>
      <c r="M10595" t="s" s="10">
        <v>60</v>
      </c>
      <c r="N10595" s="17">
        <v>46</v>
      </c>
      <c r="O10595" s="18">
        <v>2590</v>
      </c>
      <c r="P10595" s="18">
        <v>2612</v>
      </c>
      <c r="Q10595" s="15"/>
      <c r="R10595" t="s" s="16">
        <f>HYPERLINK("http://secrets.rutgers.edu:8080/data/asl-ftp/asllvd/demos/verify_start_end_handshape_annotations//test_auto_move//signs_mov_separ_signers/Brady_5728.mov","MOV")</f>
        <v>21</v>
      </c>
    </row>
    <row r="10596" s="2" customFormat="1" ht="13.5" customHeight="1">
      <c r="B10596" t="s" s="8">
        <v>52</v>
      </c>
      <c r="C10596" t="s" s="9">
        <v>53</v>
      </c>
      <c r="D10596" t="s" s="8">
        <v>53</v>
      </c>
      <c r="E10596" t="s" s="9">
        <v>53</v>
      </c>
      <c r="F10596" t="s" s="10">
        <v>53</v>
      </c>
      <c r="G10596" t="s" s="11">
        <v>53</v>
      </c>
      <c r="H10596" t="s" s="10">
        <v>53</v>
      </c>
      <c r="I10596" t="s" s="11">
        <v>53</v>
      </c>
      <c r="J10596" t="s" s="11">
        <v>53</v>
      </c>
      <c r="K10596" t="s" s="12">
        <v>53</v>
      </c>
      <c r="L10596" t="s" s="12">
        <v>53</v>
      </c>
      <c r="M10596" t="s" s="10">
        <v>53</v>
      </c>
      <c r="N10596" t="s" s="11">
        <v>53</v>
      </c>
      <c r="O10596" t="s" s="8">
        <v>53</v>
      </c>
      <c r="P10596" t="s" s="8">
        <v>53</v>
      </c>
      <c r="Q10596" t="s" s="12">
        <v>53</v>
      </c>
      <c r="R10596" t="s" s="12">
        <v>53</v>
      </c>
    </row>
    <row r="10597" s="2" customFormat="1" ht="13.5" customHeight="1">
      <c r="B10597" s="13"/>
      <c r="C10597" t="s" s="9">
        <v>16</v>
      </c>
      <c r="D10597" t="s" s="8">
        <v>3967</v>
      </c>
      <c r="E10597" t="s" s="9">
        <v>3971</v>
      </c>
      <c r="F10597" t="s" s="10">
        <v>229</v>
      </c>
      <c r="G10597" t="s" s="11">
        <v>229</v>
      </c>
      <c r="H10597" t="s" s="10">
        <v>229</v>
      </c>
      <c r="I10597" t="s" s="11">
        <v>229</v>
      </c>
      <c r="J10597" t="s" s="11">
        <v>20</v>
      </c>
      <c r="K10597" s="15"/>
      <c r="L10597" t="s" s="16">
        <f>HYPERLINK("http://csr.bu.edu/ftp/asl/asllvd/demos/verify_start_end_handshape_annotations//test_auto_move//signs_mov_separ_signers/Liz_5734.mov","MOV")</f>
        <v>21</v>
      </c>
      <c r="M10597" t="s" s="10">
        <v>34</v>
      </c>
      <c r="N10597" s="17">
        <v>53</v>
      </c>
      <c r="O10597" s="18">
        <v>1570</v>
      </c>
      <c r="P10597" s="18">
        <v>1610</v>
      </c>
      <c r="Q10597" s="15"/>
      <c r="R10597" t="s" s="16">
        <f>HYPERLINK("http://secrets.rutgers.edu:8080/data/asl-ftp/asllvd/demos/verify_start_end_handshape_annotations//test_auto_move//signs_mov_separ_signers/Liz_5734.mov","MOV")</f>
        <v>21</v>
      </c>
    </row>
    <row r="10598" s="2" customFormat="1" ht="13.5" customHeight="1">
      <c r="B10598" s="13"/>
      <c r="C10598" t="s" s="9">
        <v>23</v>
      </c>
      <c r="D10598" t="s" s="8">
        <v>3967</v>
      </c>
      <c r="E10598" t="s" s="9">
        <v>3971</v>
      </c>
      <c r="F10598" t="s" s="10">
        <v>229</v>
      </c>
      <c r="G10598" t="s" s="11">
        <v>229</v>
      </c>
      <c r="H10598" t="s" s="10">
        <v>229</v>
      </c>
      <c r="I10598" t="s" s="11">
        <v>229</v>
      </c>
      <c r="J10598" t="s" s="11">
        <v>20</v>
      </c>
      <c r="K10598" s="15"/>
      <c r="L10598" t="s" s="16">
        <f>HYPERLINK("http://csr.bu.edu/ftp/asl/asllvd/demos/verify_start_end_handshape_annotations//test_auto_move//signs_mov_separ_signers/Tyler_5734.mov","MOV")</f>
        <v>21</v>
      </c>
      <c r="M10598" t="s" s="10">
        <v>47</v>
      </c>
      <c r="N10598" s="17">
        <v>5</v>
      </c>
      <c r="O10598" s="18">
        <v>1892</v>
      </c>
      <c r="P10598" s="18">
        <v>1913</v>
      </c>
      <c r="Q10598" s="15"/>
      <c r="R10598" t="s" s="16">
        <f>HYPERLINK("http://secrets.rutgers.edu:8080/data/asl-ftp/asllvd/demos/verify_start_end_handshape_annotations//test_auto_move//signs_mov_separ_signers/Tyler_5734.mov","MOV")</f>
        <v>21</v>
      </c>
    </row>
    <row r="10599" s="2" customFormat="1" ht="13.5" customHeight="1">
      <c r="B10599" s="13"/>
      <c r="C10599" t="s" s="9">
        <v>23</v>
      </c>
      <c r="D10599" t="s" s="8">
        <v>3967</v>
      </c>
      <c r="E10599" t="s" s="9">
        <v>3971</v>
      </c>
      <c r="F10599" t="s" s="10">
        <v>229</v>
      </c>
      <c r="G10599" t="s" s="11">
        <v>229</v>
      </c>
      <c r="H10599" t="s" s="10">
        <v>229</v>
      </c>
      <c r="I10599" t="s" s="11">
        <v>229</v>
      </c>
      <c r="J10599" t="s" s="11">
        <v>20</v>
      </c>
      <c r="K10599" t="s" s="16">
        <f>HYPERLINK("http://csr.bu.edu/ftp/asl/asllvd/demos/verify_start_end_handshape_annotations//test_auto_move//signs_mov/5734_5741_merged.mov","MOV")</f>
        <v>21</v>
      </c>
      <c r="L10599" t="s" s="16">
        <f>HYPERLINK("http://csr.bu.edu/ftp/asl/asllvd/demos/verify_start_end_handshape_annotations//test_auto_move//signs_mov_separ_signers/Tyler_5741.mov","MOV")</f>
        <v>21</v>
      </c>
      <c r="M10599" t="s" s="10">
        <v>47</v>
      </c>
      <c r="N10599" s="17">
        <v>5</v>
      </c>
      <c r="O10599" s="18">
        <v>2185</v>
      </c>
      <c r="P10599" s="18">
        <v>2212</v>
      </c>
      <c r="Q10599" t="s" s="16">
        <f>HYPERLINK("http://secrets.rutgers.edu:8080/data/asl-ftp/asllvd/demos/verify_start_end_handshape_annotations//test_auto_move//signs_mov/5734_5741_merged.mov","MOV")</f>
        <v>21</v>
      </c>
      <c r="R10599" t="s" s="16">
        <f>HYPERLINK("http://secrets.rutgers.edu:8080/data/asl-ftp/asllvd/demos/verify_start_end_handshape_annotations//test_auto_move//signs_mov_separ_signers/Tyler_5741.mov","MOV")</f>
        <v>21</v>
      </c>
    </row>
    <row r="10600" s="2" customFormat="1" ht="13.5" customHeight="1">
      <c r="B10600" s="13"/>
      <c r="C10600" t="s" s="9">
        <v>27</v>
      </c>
      <c r="D10600" t="s" s="8">
        <v>3967</v>
      </c>
      <c r="E10600" t="s" s="9">
        <v>3971</v>
      </c>
      <c r="F10600" t="s" s="10">
        <v>229</v>
      </c>
      <c r="G10600" t="s" s="11">
        <v>229</v>
      </c>
      <c r="H10600" t="s" s="10">
        <v>229</v>
      </c>
      <c r="I10600" t="s" s="11">
        <v>229</v>
      </c>
      <c r="J10600" t="s" s="11">
        <v>20</v>
      </c>
      <c r="K10600" s="15"/>
      <c r="L10600" t="s" s="16">
        <f>HYPERLINK("http://csr.bu.edu/ftp/asl/asllvd/demos/verify_start_end_handshape_annotations//test_auto_move//signs_mov_separ_signers/Naomi_5734.mov","MOV")</f>
        <v>21</v>
      </c>
      <c r="M10600" t="s" s="10">
        <v>48</v>
      </c>
      <c r="N10600" s="17">
        <v>8</v>
      </c>
      <c r="O10600" s="18">
        <v>1345</v>
      </c>
      <c r="P10600" s="18">
        <v>1375</v>
      </c>
      <c r="Q10600" s="15"/>
      <c r="R10600" t="s" s="16">
        <f>HYPERLINK("http://secrets.rutgers.edu:8080/data/asl-ftp/asllvd/demos/verify_start_end_handshape_annotations//test_auto_move//signs_mov_separ_signers/Naomi_5734.mov","MOV")</f>
        <v>21</v>
      </c>
    </row>
    <row r="10601" s="2" customFormat="1" ht="13.5" customHeight="1">
      <c r="B10601" s="13"/>
      <c r="C10601" t="s" s="9">
        <v>30</v>
      </c>
      <c r="D10601" t="s" s="8">
        <v>3967</v>
      </c>
      <c r="E10601" t="s" s="9">
        <v>3971</v>
      </c>
      <c r="F10601" t="s" s="10">
        <v>229</v>
      </c>
      <c r="G10601" t="s" s="11">
        <v>229</v>
      </c>
      <c r="H10601" t="s" s="10">
        <v>229</v>
      </c>
      <c r="I10601" t="s" s="11">
        <v>229</v>
      </c>
      <c r="J10601" t="s" s="11">
        <v>20</v>
      </c>
      <c r="K10601" s="15"/>
      <c r="L10601" t="s" s="16">
        <f>HYPERLINK("http://csr.bu.edu/ftp/asl/asllvd/demos/verify_start_end_handshape_annotations//test_auto_move//signs_mov_separ_signers/Brady_5734.mov","MOV")</f>
        <v>21</v>
      </c>
      <c r="M10601" t="s" s="10">
        <v>39</v>
      </c>
      <c r="N10601" s="17">
        <v>51</v>
      </c>
      <c r="O10601" s="18">
        <v>3616</v>
      </c>
      <c r="P10601" s="18">
        <v>3630</v>
      </c>
      <c r="Q10601" s="15"/>
      <c r="R10601" t="s" s="16">
        <f>HYPERLINK("http://secrets.rutgers.edu:8080/data/asl-ftp/asllvd/demos/verify_start_end_handshape_annotations//test_auto_move//signs_mov_separ_signers/Brady_5734.mov","MOV")</f>
        <v>21</v>
      </c>
    </row>
    <row r="10602" s="2" customFormat="1" ht="13.5" customHeight="1">
      <c r="B10602" s="13"/>
      <c r="C10602" t="s" s="9">
        <v>30</v>
      </c>
      <c r="D10602" t="s" s="8">
        <v>3967</v>
      </c>
      <c r="E10602" t="s" s="9">
        <v>3971</v>
      </c>
      <c r="F10602" t="s" s="10">
        <v>229</v>
      </c>
      <c r="G10602" t="s" s="11">
        <v>229</v>
      </c>
      <c r="H10602" t="s" s="10">
        <v>229</v>
      </c>
      <c r="I10602" t="s" s="11">
        <v>229</v>
      </c>
      <c r="J10602" t="s" s="11">
        <v>20</v>
      </c>
      <c r="K10602" s="15"/>
      <c r="L10602" t="s" s="16">
        <f>HYPERLINK("http://csr.bu.edu/ftp/asl/asllvd/demos/verify_start_end_handshape_annotations//test_auto_move//signs_mov_separ_signers/Brady_5741.mov","MOV")</f>
        <v>21</v>
      </c>
      <c r="M10602" t="s" s="10">
        <v>60</v>
      </c>
      <c r="N10602" s="17">
        <v>46</v>
      </c>
      <c r="O10602" s="18">
        <v>2330</v>
      </c>
      <c r="P10602" s="18">
        <v>2352</v>
      </c>
      <c r="Q10602" s="15"/>
      <c r="R10602" t="s" s="16">
        <f>HYPERLINK("http://secrets.rutgers.edu:8080/data/asl-ftp/asllvd/demos/verify_start_end_handshape_annotations//test_auto_move//signs_mov_separ_signers/Brady_5741.mov","MOV")</f>
        <v>21</v>
      </c>
    </row>
    <row r="10603" s="2" customFormat="1" ht="13.5" customHeight="1">
      <c r="B10603" t="s" s="8">
        <v>52</v>
      </c>
      <c r="C10603" t="s" s="9">
        <v>53</v>
      </c>
      <c r="D10603" t="s" s="8">
        <v>53</v>
      </c>
      <c r="E10603" t="s" s="9">
        <v>53</v>
      </c>
      <c r="F10603" t="s" s="10">
        <v>53</v>
      </c>
      <c r="G10603" t="s" s="11">
        <v>53</v>
      </c>
      <c r="H10603" t="s" s="10">
        <v>53</v>
      </c>
      <c r="I10603" t="s" s="11">
        <v>53</v>
      </c>
      <c r="J10603" t="s" s="11">
        <v>53</v>
      </c>
      <c r="K10603" t="s" s="12">
        <v>53</v>
      </c>
      <c r="L10603" t="s" s="12">
        <v>53</v>
      </c>
      <c r="M10603" t="s" s="10">
        <v>53</v>
      </c>
      <c r="N10603" t="s" s="11">
        <v>53</v>
      </c>
      <c r="O10603" t="s" s="8">
        <v>53</v>
      </c>
      <c r="P10603" t="s" s="8">
        <v>53</v>
      </c>
      <c r="Q10603" t="s" s="12">
        <v>53</v>
      </c>
      <c r="R10603" t="s" s="12">
        <v>53</v>
      </c>
    </row>
    <row r="10604" s="2" customFormat="1" ht="13.5" customHeight="1">
      <c r="B10604" s="13"/>
      <c r="C10604" t="s" s="9">
        <v>16</v>
      </c>
      <c r="D10604" t="s" s="8">
        <v>3967</v>
      </c>
      <c r="E10604" t="s" s="9">
        <v>3972</v>
      </c>
      <c r="F10604" t="s" s="10">
        <v>229</v>
      </c>
      <c r="G10604" t="s" s="11">
        <v>229</v>
      </c>
      <c r="H10604" t="s" s="10">
        <v>229</v>
      </c>
      <c r="I10604" t="s" s="11">
        <v>229</v>
      </c>
      <c r="J10604" t="s" s="11">
        <v>20</v>
      </c>
      <c r="K10604" s="15"/>
      <c r="L10604" t="s" s="16">
        <f>HYPERLINK("http://csr.bu.edu/ftp/asl/asllvd/demos/verify_start_end_handshape_annotations//test_auto_move//signs_mov_separ_signers/Liz_5745.mov","MOV")</f>
        <v>21</v>
      </c>
      <c r="M10604" t="s" s="10">
        <v>34</v>
      </c>
      <c r="N10604" s="17">
        <v>52</v>
      </c>
      <c r="O10604" s="18">
        <v>2930</v>
      </c>
      <c r="P10604" s="18">
        <v>2965</v>
      </c>
      <c r="Q10604" s="15"/>
      <c r="R10604" t="s" s="16">
        <f>HYPERLINK("http://secrets.rutgers.edu:8080/data/asl-ftp/asllvd/demos/verify_start_end_handshape_annotations//test_auto_move//signs_mov_separ_signers/Liz_5745.mov","MOV")</f>
        <v>21</v>
      </c>
    </row>
    <row r="10605" s="2" customFormat="1" ht="13.5" customHeight="1">
      <c r="B10605" s="13"/>
      <c r="C10605" t="s" s="9">
        <v>23</v>
      </c>
      <c r="D10605" t="s" s="8">
        <v>3967</v>
      </c>
      <c r="E10605" t="s" s="9">
        <v>3972</v>
      </c>
      <c r="F10605" t="s" s="10">
        <v>229</v>
      </c>
      <c r="G10605" t="s" s="11">
        <v>229</v>
      </c>
      <c r="H10605" t="s" s="10">
        <v>229</v>
      </c>
      <c r="I10605" t="s" s="11">
        <v>229</v>
      </c>
      <c r="J10605" t="s" s="11">
        <v>20</v>
      </c>
      <c r="K10605" t="s" s="16">
        <f>HYPERLINK("http://csr.bu.edu/ftp/asl/asllvd/demos/verify_start_end_handshape_annotations//test_auto_move//signs_mov/5745.mov","MOV")</f>
        <v>21</v>
      </c>
      <c r="L10605" t="s" s="16">
        <f>HYPERLINK("http://csr.bu.edu/ftp/asl/asllvd/demos/verify_start_end_handshape_annotations//test_auto_move//signs_mov_separ_signers/Tyler_5745.mov","MOV")</f>
        <v>21</v>
      </c>
      <c r="M10605" t="s" s="10">
        <v>47</v>
      </c>
      <c r="N10605" s="17">
        <v>4</v>
      </c>
      <c r="O10605" s="18">
        <v>2532</v>
      </c>
      <c r="P10605" s="18">
        <v>2567</v>
      </c>
      <c r="Q10605" t="s" s="16">
        <f>HYPERLINK("http://secrets.rutgers.edu:8080/data/asl-ftp/asllvd/demos/verify_start_end_handshape_annotations//test_auto_move//signs_mov/5745.mov","MOV")</f>
        <v>21</v>
      </c>
      <c r="R10605" t="s" s="16">
        <f>HYPERLINK("http://secrets.rutgers.edu:8080/data/asl-ftp/asllvd/demos/verify_start_end_handshape_annotations//test_auto_move//signs_mov_separ_signers/Tyler_5745.mov","MOV")</f>
        <v>21</v>
      </c>
    </row>
    <row r="10606" s="2" customFormat="1" ht="13.5" customHeight="1">
      <c r="B10606" s="13"/>
      <c r="C10606" t="s" s="9">
        <v>27</v>
      </c>
      <c r="D10606" t="s" s="8">
        <v>3967</v>
      </c>
      <c r="E10606" t="s" s="9">
        <v>3972</v>
      </c>
      <c r="F10606" t="s" s="10">
        <v>229</v>
      </c>
      <c r="G10606" t="s" s="11">
        <v>229</v>
      </c>
      <c r="H10606" t="s" s="10">
        <v>229</v>
      </c>
      <c r="I10606" t="s" s="11">
        <v>229</v>
      </c>
      <c r="J10606" t="s" s="11">
        <v>20</v>
      </c>
      <c r="K10606" s="15"/>
      <c r="L10606" t="s" s="16">
        <f>HYPERLINK("http://csr.bu.edu/ftp/asl/asllvd/demos/verify_start_end_handshape_annotations//test_auto_move//signs_mov_separ_signers/Naomi_5745.mov","MOV")</f>
        <v>21</v>
      </c>
      <c r="M10606" t="s" s="10">
        <v>48</v>
      </c>
      <c r="N10606" s="17">
        <v>7</v>
      </c>
      <c r="O10606" s="18">
        <v>2760</v>
      </c>
      <c r="P10606" s="18">
        <v>2790</v>
      </c>
      <c r="Q10606" s="15"/>
      <c r="R10606" t="s" s="16">
        <f>HYPERLINK("http://secrets.rutgers.edu:8080/data/asl-ftp/asllvd/demos/verify_start_end_handshape_annotations//test_auto_move//signs_mov_separ_signers/Naomi_5745.mov","MOV")</f>
        <v>21</v>
      </c>
    </row>
    <row r="10607" s="2" customFormat="1" ht="13.5" customHeight="1">
      <c r="B10607" s="13"/>
      <c r="C10607" t="s" s="9">
        <v>30</v>
      </c>
      <c r="D10607" t="s" s="8">
        <v>3967</v>
      </c>
      <c r="E10607" t="s" s="9">
        <v>3972</v>
      </c>
      <c r="F10607" t="s" s="10">
        <v>229</v>
      </c>
      <c r="G10607" t="s" s="11">
        <v>229</v>
      </c>
      <c r="H10607" t="s" s="10">
        <v>229</v>
      </c>
      <c r="I10607" t="s" s="11">
        <v>229</v>
      </c>
      <c r="J10607" t="s" s="11">
        <v>20</v>
      </c>
      <c r="K10607" s="15"/>
      <c r="L10607" t="s" s="16">
        <f>HYPERLINK("http://csr.bu.edu/ftp/asl/asllvd/demos/verify_start_end_handshape_annotations//test_auto_move//signs_mov_separ_signers/Brady_5745.mov","MOV")</f>
        <v>21</v>
      </c>
      <c r="M10607" t="s" s="10">
        <v>39</v>
      </c>
      <c r="N10607" s="17">
        <v>51</v>
      </c>
      <c r="O10607" s="18">
        <v>2383</v>
      </c>
      <c r="P10607" s="18">
        <v>2406</v>
      </c>
      <c r="Q10607" s="15"/>
      <c r="R10607" t="s" s="16">
        <f>HYPERLINK("http://secrets.rutgers.edu:8080/data/asl-ftp/asllvd/demos/verify_start_end_handshape_annotations//test_auto_move//signs_mov_separ_signers/Brady_5745.mov","MOV")</f>
        <v>21</v>
      </c>
    </row>
    <row r="10608" s="2" customFormat="1" ht="13.5" customHeight="1">
      <c r="B10608" t="s" s="8">
        <v>52</v>
      </c>
      <c r="C10608" t="s" s="9">
        <v>53</v>
      </c>
      <c r="D10608" t="s" s="8">
        <v>53</v>
      </c>
      <c r="E10608" t="s" s="9">
        <v>53</v>
      </c>
      <c r="F10608" t="s" s="10">
        <v>53</v>
      </c>
      <c r="G10608" t="s" s="11">
        <v>53</v>
      </c>
      <c r="H10608" t="s" s="10">
        <v>53</v>
      </c>
      <c r="I10608" t="s" s="11">
        <v>53</v>
      </c>
      <c r="J10608" t="s" s="11">
        <v>53</v>
      </c>
      <c r="K10608" t="s" s="12">
        <v>53</v>
      </c>
      <c r="L10608" t="s" s="12">
        <v>53</v>
      </c>
      <c r="M10608" t="s" s="10">
        <v>53</v>
      </c>
      <c r="N10608" t="s" s="11">
        <v>53</v>
      </c>
      <c r="O10608" t="s" s="8">
        <v>53</v>
      </c>
      <c r="P10608" t="s" s="8">
        <v>53</v>
      </c>
      <c r="Q10608" t="s" s="12">
        <v>53</v>
      </c>
      <c r="R10608" t="s" s="12">
        <v>53</v>
      </c>
    </row>
    <row r="10609" s="2" customFormat="1" ht="13.5" customHeight="1">
      <c r="B10609" s="13"/>
      <c r="C10609" t="s" s="9">
        <v>16</v>
      </c>
      <c r="D10609" t="s" s="8">
        <v>3967</v>
      </c>
      <c r="E10609" t="s" s="9">
        <v>3973</v>
      </c>
      <c r="F10609" t="s" s="10">
        <v>229</v>
      </c>
      <c r="G10609" s="14"/>
      <c r="H10609" t="s" s="10">
        <v>229</v>
      </c>
      <c r="I10609" s="14"/>
      <c r="J10609" t="s" s="11">
        <v>20</v>
      </c>
      <c r="K10609" s="15"/>
      <c r="L10609" t="s" s="16">
        <f>HYPERLINK("http://csr.bu.edu/ftp/asl/asllvd/demos/verify_start_end_handshape_annotations//test_auto_move//signs_mov_separ_signers/Liz_5751.mov","MOV")</f>
        <v>21</v>
      </c>
      <c r="M10609" t="s" s="10">
        <v>34</v>
      </c>
      <c r="N10609" s="17">
        <v>52</v>
      </c>
      <c r="O10609" s="18">
        <v>2335</v>
      </c>
      <c r="P10609" s="18">
        <v>2390</v>
      </c>
      <c r="Q10609" s="15"/>
      <c r="R10609" t="s" s="16">
        <f>HYPERLINK("http://secrets.rutgers.edu:8080/data/asl-ftp/asllvd/demos/verify_start_end_handshape_annotations//test_auto_move//signs_mov_separ_signers/Liz_5751.mov","MOV")</f>
        <v>21</v>
      </c>
    </row>
    <row r="10610" s="2" customFormat="1" ht="13.5" customHeight="1">
      <c r="B10610" s="13"/>
      <c r="C10610" t="s" s="9">
        <v>16</v>
      </c>
      <c r="D10610" t="s" s="8">
        <v>3967</v>
      </c>
      <c r="E10610" t="s" s="9">
        <v>3973</v>
      </c>
      <c r="F10610" t="s" s="10">
        <v>229</v>
      </c>
      <c r="G10610" s="14"/>
      <c r="H10610" t="s" s="10">
        <v>229</v>
      </c>
      <c r="I10610" s="14"/>
      <c r="J10610" t="s" s="11">
        <v>20</v>
      </c>
      <c r="K10610" s="15"/>
      <c r="L10610" t="s" s="16">
        <f>HYPERLINK("http://csr.bu.edu/ftp/asl/asllvd/demos/verify_start_end_handshape_annotations//test_auto_move//signs_mov_separ_signers/Liz_5752.mov","MOV")</f>
        <v>21</v>
      </c>
      <c r="M10610" t="s" s="10">
        <v>77</v>
      </c>
      <c r="N10610" s="17">
        <v>20</v>
      </c>
      <c r="O10610" s="18">
        <v>845</v>
      </c>
      <c r="P10610" s="18">
        <v>916</v>
      </c>
      <c r="Q10610" s="15"/>
      <c r="R10610" t="s" s="16">
        <f>HYPERLINK("http://secrets.rutgers.edu:8080/data/asl-ftp/asllvd/demos/verify_start_end_handshape_annotations//test_auto_move//signs_mov_separ_signers/Liz_5752.mov","MOV")</f>
        <v>21</v>
      </c>
    </row>
    <row r="10611" s="2" customFormat="1" ht="13.5" customHeight="1">
      <c r="B10611" s="13"/>
      <c r="C10611" t="s" s="9">
        <v>23</v>
      </c>
      <c r="D10611" t="s" s="8">
        <v>3967</v>
      </c>
      <c r="E10611" t="s" s="9">
        <v>3973</v>
      </c>
      <c r="F10611" t="s" s="10">
        <v>229</v>
      </c>
      <c r="G10611" s="14"/>
      <c r="H10611" t="s" s="10">
        <v>229</v>
      </c>
      <c r="I10611" s="14"/>
      <c r="J10611" t="s" s="11">
        <v>20</v>
      </c>
      <c r="K10611" t="s" s="16">
        <f>HYPERLINK("http://csr.bu.edu/ftp/asl/asllvd/demos/verify_start_end_handshape_annotations//test_auto_move//signs_mov/5751_5752_merged.mov","MOV")</f>
        <v>21</v>
      </c>
      <c r="L10611" t="s" s="16">
        <f>HYPERLINK("http://csr.bu.edu/ftp/asl/asllvd/demos/verify_start_end_handshape_annotations//test_auto_move//signs_mov_separ_signers/Tyler_5751.mov","MOV")</f>
        <v>21</v>
      </c>
      <c r="M10611" t="s" s="10">
        <v>47</v>
      </c>
      <c r="N10611" s="17">
        <v>4</v>
      </c>
      <c r="O10611" s="18">
        <v>1998</v>
      </c>
      <c r="P10611" s="18">
        <v>2037</v>
      </c>
      <c r="Q10611" t="s" s="16">
        <f>HYPERLINK("http://secrets.rutgers.edu:8080/data/asl-ftp/asllvd/demos/verify_start_end_handshape_annotations//test_auto_move//signs_mov/5751_5752_merged.mov","MOV")</f>
        <v>21</v>
      </c>
      <c r="R10611" t="s" s="16">
        <f>HYPERLINK("http://secrets.rutgers.edu:8080/data/asl-ftp/asllvd/demos/verify_start_end_handshape_annotations//test_auto_move//signs_mov_separ_signers/Tyler_5751.mov","MOV")</f>
        <v>21</v>
      </c>
    </row>
    <row r="10612" s="2" customFormat="1" ht="13.5" customHeight="1">
      <c r="B10612" s="13"/>
      <c r="C10612" t="s" s="9">
        <v>27</v>
      </c>
      <c r="D10612" t="s" s="8">
        <v>3967</v>
      </c>
      <c r="E10612" t="s" s="9">
        <v>3973</v>
      </c>
      <c r="F10612" t="s" s="10">
        <v>220</v>
      </c>
      <c r="G10612" s="14"/>
      <c r="H10612" t="s" s="10">
        <v>220</v>
      </c>
      <c r="I10612" s="14"/>
      <c r="J10612" t="s" s="11">
        <v>20</v>
      </c>
      <c r="K10612" s="15"/>
      <c r="L10612" t="s" s="16">
        <f>HYPERLINK("http://csr.bu.edu/ftp/asl/asllvd/demos/verify_start_end_handshape_annotations//test_auto_move//signs_mov_separ_signers/Naomi_5751.mov","MOV")</f>
        <v>21</v>
      </c>
      <c r="M10612" t="s" s="10">
        <v>48</v>
      </c>
      <c r="N10612" s="17">
        <v>7</v>
      </c>
      <c r="O10612" s="18">
        <v>2075</v>
      </c>
      <c r="P10612" s="18">
        <v>2105</v>
      </c>
      <c r="Q10612" s="15"/>
      <c r="R10612" t="s" s="16">
        <f>HYPERLINK("http://secrets.rutgers.edu:8080/data/asl-ftp/asllvd/demos/verify_start_end_handshape_annotations//test_auto_move//signs_mov_separ_signers/Naomi_5751.mov","MOV")</f>
        <v>21</v>
      </c>
    </row>
    <row r="10613" s="2" customFormat="1" ht="13.5" customHeight="1">
      <c r="B10613" s="13"/>
      <c r="C10613" t="s" s="9">
        <v>30</v>
      </c>
      <c r="D10613" t="s" s="8">
        <v>3967</v>
      </c>
      <c r="E10613" t="s" s="9">
        <v>3973</v>
      </c>
      <c r="F10613" t="s" s="10">
        <v>229</v>
      </c>
      <c r="G10613" s="14"/>
      <c r="H10613" t="s" s="10">
        <v>229</v>
      </c>
      <c r="I10613" s="14"/>
      <c r="J10613" t="s" s="11">
        <v>20</v>
      </c>
      <c r="K10613" s="15"/>
      <c r="L10613" t="s" s="16">
        <f>HYPERLINK("http://csr.bu.edu/ftp/asl/asllvd/demos/verify_start_end_handshape_annotations//test_auto_move//signs_mov_separ_signers/Brady_5751.mov","MOV")</f>
        <v>21</v>
      </c>
      <c r="M10613" t="s" s="10">
        <v>39</v>
      </c>
      <c r="N10613" s="17">
        <v>51</v>
      </c>
      <c r="O10613" s="18">
        <v>1907</v>
      </c>
      <c r="P10613" s="18">
        <v>1943</v>
      </c>
      <c r="Q10613" s="15"/>
      <c r="R10613" t="s" s="16">
        <f>HYPERLINK("http://secrets.rutgers.edu:8080/data/asl-ftp/asllvd/demos/verify_start_end_handshape_annotations//test_auto_move//signs_mov_separ_signers/Brady_5751.mov","MOV")</f>
        <v>21</v>
      </c>
    </row>
    <row r="10614" s="2" customFormat="1" ht="13.5" customHeight="1">
      <c r="B10614" s="13"/>
      <c r="C10614" t="s" s="9">
        <v>30</v>
      </c>
      <c r="D10614" t="s" s="8">
        <v>3967</v>
      </c>
      <c r="E10614" t="s" s="9">
        <v>3973</v>
      </c>
      <c r="F10614" t="s" s="10">
        <v>229</v>
      </c>
      <c r="G10614" s="14"/>
      <c r="H10614" t="s" s="10">
        <v>229</v>
      </c>
      <c r="I10614" s="14"/>
      <c r="J10614" t="s" s="11">
        <v>20</v>
      </c>
      <c r="K10614" s="15"/>
      <c r="L10614" t="s" s="16">
        <f>HYPERLINK("http://csr.bu.edu/ftp/asl/asllvd/demos/verify_start_end_handshape_annotations//test_auto_move//signs_mov_separ_signers/Brady_5752.mov","MOV")</f>
        <v>21</v>
      </c>
      <c r="M10614" t="s" s="10">
        <v>39</v>
      </c>
      <c r="N10614" s="17">
        <v>51</v>
      </c>
      <c r="O10614" s="18">
        <v>4073</v>
      </c>
      <c r="P10614" s="18">
        <v>4109</v>
      </c>
      <c r="Q10614" s="15"/>
      <c r="R10614" t="s" s="16">
        <f>HYPERLINK("http://secrets.rutgers.edu:8080/data/asl-ftp/asllvd/demos/verify_start_end_handshape_annotations//test_auto_move//signs_mov_separ_signers/Brady_5752.mov","MOV")</f>
        <v>21</v>
      </c>
    </row>
    <row r="10615" s="2" customFormat="1" ht="13.5" customHeight="1">
      <c r="B10615" t="s" s="8">
        <v>52</v>
      </c>
      <c r="C10615" t="s" s="9">
        <v>53</v>
      </c>
      <c r="D10615" t="s" s="8">
        <v>53</v>
      </c>
      <c r="E10615" t="s" s="9">
        <v>53</v>
      </c>
      <c r="F10615" t="s" s="10">
        <v>53</v>
      </c>
      <c r="G10615" t="s" s="11">
        <v>53</v>
      </c>
      <c r="H10615" t="s" s="10">
        <v>53</v>
      </c>
      <c r="I10615" t="s" s="11">
        <v>53</v>
      </c>
      <c r="J10615" t="s" s="11">
        <v>53</v>
      </c>
      <c r="K10615" t="s" s="12">
        <v>53</v>
      </c>
      <c r="L10615" t="s" s="12">
        <v>53</v>
      </c>
      <c r="M10615" t="s" s="10">
        <v>53</v>
      </c>
      <c r="N10615" t="s" s="11">
        <v>53</v>
      </c>
      <c r="O10615" t="s" s="8">
        <v>53</v>
      </c>
      <c r="P10615" t="s" s="8">
        <v>53</v>
      </c>
      <c r="Q10615" t="s" s="12">
        <v>53</v>
      </c>
      <c r="R10615" t="s" s="12">
        <v>53</v>
      </c>
    </row>
    <row r="10616" s="2" customFormat="1" ht="13.5" customHeight="1">
      <c r="B10616" s="13"/>
      <c r="C10616" t="s" s="9">
        <v>16</v>
      </c>
      <c r="D10616" t="s" s="8">
        <v>3967</v>
      </c>
      <c r="E10616" t="s" s="9">
        <v>3974</v>
      </c>
      <c r="F10616" t="s" s="10">
        <v>229</v>
      </c>
      <c r="G10616" t="s" s="11">
        <v>229</v>
      </c>
      <c r="H10616" t="s" s="10">
        <v>229</v>
      </c>
      <c r="I10616" t="s" s="11">
        <v>229</v>
      </c>
      <c r="J10616" t="s" s="11">
        <v>20</v>
      </c>
      <c r="K10616" s="15"/>
      <c r="L10616" t="s" s="16">
        <f>HYPERLINK("http://csr.bu.edu/ftp/asl/asllvd/demos/verify_start_end_handshape_annotations//test_auto_move//signs_mov_separ_signers/Liz_5870.mov","MOV")</f>
        <v>21</v>
      </c>
      <c r="M10616" t="s" s="10">
        <v>34</v>
      </c>
      <c r="N10616" s="17">
        <v>53</v>
      </c>
      <c r="O10616" s="18">
        <v>575</v>
      </c>
      <c r="P10616" s="18">
        <v>626</v>
      </c>
      <c r="Q10616" s="15"/>
      <c r="R10616" t="s" s="16">
        <f>HYPERLINK("http://secrets.rutgers.edu:8080/data/asl-ftp/asllvd/demos/verify_start_end_handshape_annotations//test_auto_move//signs_mov_separ_signers/Liz_5870.mov","MOV")</f>
        <v>21</v>
      </c>
    </row>
    <row r="10617" s="2" customFormat="1" ht="13.5" customHeight="1">
      <c r="B10617" s="13"/>
      <c r="C10617" t="s" s="9">
        <v>23</v>
      </c>
      <c r="D10617" t="s" s="8">
        <v>3967</v>
      </c>
      <c r="E10617" t="s" s="9">
        <v>3975</v>
      </c>
      <c r="F10617" t="s" s="10">
        <v>229</v>
      </c>
      <c r="G10617" t="s" s="11">
        <v>229</v>
      </c>
      <c r="H10617" t="s" s="10">
        <v>229</v>
      </c>
      <c r="I10617" t="s" s="11">
        <v>229</v>
      </c>
      <c r="J10617" t="s" s="11">
        <v>20</v>
      </c>
      <c r="K10617" s="15"/>
      <c r="L10617" t="s" s="16">
        <f>HYPERLINK("http://csr.bu.edu/ftp/asl/asllvd/demos/verify_start_end_handshape_annotations//test_auto_move//signs_mov_separ_signers/Tyler_5870.mov","MOV")</f>
        <v>21</v>
      </c>
      <c r="M10617" t="s" s="10">
        <v>47</v>
      </c>
      <c r="N10617" s="17">
        <v>5</v>
      </c>
      <c r="O10617" s="18">
        <v>537</v>
      </c>
      <c r="P10617" s="18">
        <v>575</v>
      </c>
      <c r="Q10617" s="15"/>
      <c r="R10617" t="s" s="16">
        <f>HYPERLINK("http://secrets.rutgers.edu:8080/data/asl-ftp/asllvd/demos/verify_start_end_handshape_annotations//test_auto_move//signs_mov_separ_signers/Tyler_5870.mov","MOV")</f>
        <v>21</v>
      </c>
    </row>
    <row r="10618" s="2" customFormat="1" ht="13.5" customHeight="1">
      <c r="B10618" s="13"/>
      <c r="C10618" t="s" s="9">
        <v>27</v>
      </c>
      <c r="D10618" t="s" s="8">
        <v>3967</v>
      </c>
      <c r="E10618" t="s" s="9">
        <v>3974</v>
      </c>
      <c r="F10618" t="s" s="10">
        <v>229</v>
      </c>
      <c r="G10618" t="s" s="11">
        <v>229</v>
      </c>
      <c r="H10618" t="s" s="10">
        <v>229</v>
      </c>
      <c r="I10618" t="s" s="11">
        <v>229</v>
      </c>
      <c r="J10618" t="s" s="11">
        <v>20</v>
      </c>
      <c r="K10618" t="s" s="16">
        <f>HYPERLINK("http://csr.bu.edu/ftp/asl/asllvd/demos/verify_start_end_handshape_annotations//test_auto_move//signs_mov/5870_5871_merged.mov","MOV")</f>
        <v>21</v>
      </c>
      <c r="L10618" t="s" s="16">
        <f>HYPERLINK("http://csr.bu.edu/ftp/asl/asllvd/demos/verify_start_end_handshape_annotations//test_auto_move//signs_mov_separ_signers/Naomi_5870.mov","MOV")</f>
        <v>21</v>
      </c>
      <c r="M10618" t="s" s="10">
        <v>38</v>
      </c>
      <c r="N10618" s="17">
        <v>1</v>
      </c>
      <c r="O10618" s="18">
        <v>2457</v>
      </c>
      <c r="P10618" s="18">
        <v>2497</v>
      </c>
      <c r="Q10618" t="s" s="16">
        <f>HYPERLINK("http://secrets.rutgers.edu:8080/data/asl-ftp/asllvd/demos/verify_start_end_handshape_annotations//test_auto_move//signs_mov/5870_5871_merged.mov","MOV")</f>
        <v>21</v>
      </c>
      <c r="R10618" t="s" s="16">
        <f>HYPERLINK("http://secrets.rutgers.edu:8080/data/asl-ftp/asllvd/demos/verify_start_end_handshape_annotations//test_auto_move//signs_mov_separ_signers/Naomi_5870.mov","MOV")</f>
        <v>21</v>
      </c>
    </row>
    <row r="10619" s="2" customFormat="1" ht="13.5" customHeight="1">
      <c r="B10619" s="13"/>
      <c r="C10619" t="s" s="9">
        <v>27</v>
      </c>
      <c r="D10619" t="s" s="8">
        <v>3967</v>
      </c>
      <c r="E10619" t="s" s="9">
        <v>3974</v>
      </c>
      <c r="F10619" t="s" s="10">
        <v>229</v>
      </c>
      <c r="G10619" t="s" s="11">
        <v>229</v>
      </c>
      <c r="H10619" t="s" s="10">
        <v>229</v>
      </c>
      <c r="I10619" t="s" s="11">
        <v>229</v>
      </c>
      <c r="J10619" t="s" s="11">
        <v>20</v>
      </c>
      <c r="K10619" s="15"/>
      <c r="L10619" t="s" s="16">
        <f>HYPERLINK("http://csr.bu.edu/ftp/asl/asllvd/demos/verify_start_end_handshape_annotations//test_auto_move//signs_mov_separ_signers/Naomi_5871.mov","MOV")</f>
        <v>21</v>
      </c>
      <c r="M10619" t="s" s="10">
        <v>48</v>
      </c>
      <c r="N10619" s="17">
        <v>8</v>
      </c>
      <c r="O10619" s="18">
        <v>320</v>
      </c>
      <c r="P10619" s="18">
        <v>356</v>
      </c>
      <c r="Q10619" s="15"/>
      <c r="R10619" t="s" s="16">
        <f>HYPERLINK("http://secrets.rutgers.edu:8080/data/asl-ftp/asllvd/demos/verify_start_end_handshape_annotations//test_auto_move//signs_mov_separ_signers/Naomi_5871.mov","MOV")</f>
        <v>21</v>
      </c>
    </row>
    <row r="10620" s="2" customFormat="1" ht="13.5" customHeight="1">
      <c r="B10620" s="13"/>
      <c r="C10620" t="s" s="9">
        <v>30</v>
      </c>
      <c r="D10620" t="s" s="8">
        <v>3967</v>
      </c>
      <c r="E10620" t="s" s="9">
        <v>3976</v>
      </c>
      <c r="F10620" t="s" s="10">
        <v>229</v>
      </c>
      <c r="G10620" t="s" s="11">
        <v>229</v>
      </c>
      <c r="H10620" t="s" s="10">
        <v>229</v>
      </c>
      <c r="I10620" t="s" s="11">
        <v>229</v>
      </c>
      <c r="J10620" t="s" s="11">
        <v>20</v>
      </c>
      <c r="K10620" s="15"/>
      <c r="L10620" t="s" s="16">
        <f>HYPERLINK("http://csr.bu.edu/ftp/asl/asllvd/demos/verify_start_end_handshape_annotations//test_auto_move//signs_mov_separ_signers/Brady_5870.mov","MOV")</f>
        <v>21</v>
      </c>
      <c r="M10620" t="s" s="10">
        <v>39</v>
      </c>
      <c r="N10620" s="17">
        <v>51</v>
      </c>
      <c r="O10620" s="18">
        <v>2840</v>
      </c>
      <c r="P10620" s="18">
        <v>2887</v>
      </c>
      <c r="Q10620" s="15"/>
      <c r="R10620" t="s" s="16">
        <f>HYPERLINK("http://secrets.rutgers.edu:8080/data/asl-ftp/asllvd/demos/verify_start_end_handshape_annotations//test_auto_move//signs_mov_separ_signers/Brady_5870.mov","MOV")</f>
        <v>21</v>
      </c>
    </row>
    <row r="10621" s="2" customFormat="1" ht="13.5" customHeight="1">
      <c r="B10621" t="s" s="8">
        <v>52</v>
      </c>
      <c r="C10621" t="s" s="9">
        <v>53</v>
      </c>
      <c r="D10621" t="s" s="8">
        <v>53</v>
      </c>
      <c r="E10621" t="s" s="9">
        <v>53</v>
      </c>
      <c r="F10621" t="s" s="10">
        <v>53</v>
      </c>
      <c r="G10621" t="s" s="11">
        <v>53</v>
      </c>
      <c r="H10621" t="s" s="10">
        <v>53</v>
      </c>
      <c r="I10621" t="s" s="11">
        <v>53</v>
      </c>
      <c r="J10621" t="s" s="11">
        <v>53</v>
      </c>
      <c r="K10621" t="s" s="12">
        <v>53</v>
      </c>
      <c r="L10621" t="s" s="12">
        <v>53</v>
      </c>
      <c r="M10621" t="s" s="10">
        <v>53</v>
      </c>
      <c r="N10621" t="s" s="11">
        <v>53</v>
      </c>
      <c r="O10621" t="s" s="8">
        <v>53</v>
      </c>
      <c r="P10621" t="s" s="8">
        <v>53</v>
      </c>
      <c r="Q10621" t="s" s="12">
        <v>53</v>
      </c>
      <c r="R10621" t="s" s="12">
        <v>53</v>
      </c>
    </row>
    <row r="10622" s="2" customFormat="1" ht="13.5" customHeight="1">
      <c r="B10622" s="13"/>
      <c r="C10622" t="s" s="9">
        <v>16</v>
      </c>
      <c r="D10622" t="s" s="8">
        <v>3967</v>
      </c>
      <c r="E10622" t="s" s="9">
        <v>3977</v>
      </c>
      <c r="F10622" t="s" s="10">
        <v>229</v>
      </c>
      <c r="G10622" s="14"/>
      <c r="H10622" t="s" s="10">
        <v>229</v>
      </c>
      <c r="I10622" s="14"/>
      <c r="J10622" t="s" s="11">
        <v>20</v>
      </c>
      <c r="K10622" s="15"/>
      <c r="L10622" t="s" s="16">
        <f>HYPERLINK("http://csr.bu.edu/ftp/asl/asllvd/demos/verify_start_end_handshape_annotations//test_auto_move//signs_mov_separ_signers/Liz_15113.mov","MOV")</f>
        <v>21</v>
      </c>
      <c r="M10622" t="s" s="10">
        <v>59</v>
      </c>
      <c r="N10622" s="17">
        <v>32</v>
      </c>
      <c r="O10622" s="18">
        <v>496</v>
      </c>
      <c r="P10622" s="18">
        <v>575</v>
      </c>
      <c r="Q10622" s="15"/>
      <c r="R10622" t="s" s="16">
        <f>HYPERLINK("http://secrets.rutgers.edu:8080/data/asl-ftp/asllvd/demos/verify_start_end_handshape_annotations//test_auto_move//signs_mov_separ_signers/Liz_15113.mov","MOV")</f>
        <v>21</v>
      </c>
    </row>
    <row r="10623" s="2" customFormat="1" ht="13.5" customHeight="1">
      <c r="B10623" s="13"/>
      <c r="C10623" t="s" s="9">
        <v>23</v>
      </c>
      <c r="D10623" t="s" s="8">
        <v>3967</v>
      </c>
      <c r="E10623" t="s" s="9">
        <v>3977</v>
      </c>
      <c r="F10623" t="s" s="10">
        <v>229</v>
      </c>
      <c r="G10623" s="14"/>
      <c r="H10623" t="s" s="10">
        <v>229</v>
      </c>
      <c r="I10623" s="14"/>
      <c r="J10623" t="s" s="11">
        <v>20</v>
      </c>
      <c r="K10623" t="s" s="16">
        <f>HYPERLINK("http://csr.bu.edu/ftp/asl/asllvd/demos/verify_start_end_handshape_annotations//test_auto_move//signs_mov/15113_15119_merged.mov","MOV")</f>
        <v>21</v>
      </c>
      <c r="L10623" t="s" s="16">
        <f>HYPERLINK("http://csr.bu.edu/ftp/asl/asllvd/demos/verify_start_end_handshape_annotations//test_auto_move//signs_mov_separ_signers/Tyler_15113.mov","MOV")</f>
        <v>21</v>
      </c>
      <c r="M10623" t="s" s="10">
        <v>47</v>
      </c>
      <c r="N10623" s="17">
        <v>4</v>
      </c>
      <c r="O10623" s="18">
        <v>2273</v>
      </c>
      <c r="P10623" s="18">
        <v>2343</v>
      </c>
      <c r="Q10623" t="s" s="16">
        <f>HYPERLINK("http://secrets.rutgers.edu:8080/data/asl-ftp/asllvd/demos/verify_start_end_handshape_annotations//test_auto_move//signs_mov/15113_15119_merged.mov","MOV")</f>
        <v>21</v>
      </c>
      <c r="R10623" t="s" s="16">
        <f>HYPERLINK("http://secrets.rutgers.edu:8080/data/asl-ftp/asllvd/demos/verify_start_end_handshape_annotations//test_auto_move//signs_mov_separ_signers/Tyler_15113.mov","MOV")</f>
        <v>21</v>
      </c>
    </row>
    <row r="10624" s="2" customFormat="1" ht="13.5" customHeight="1">
      <c r="B10624" s="13"/>
      <c r="C10624" t="s" s="9">
        <v>30</v>
      </c>
      <c r="D10624" t="s" s="8">
        <v>3967</v>
      </c>
      <c r="E10624" t="s" s="9">
        <v>3977</v>
      </c>
      <c r="F10624" t="s" s="10">
        <v>229</v>
      </c>
      <c r="G10624" s="14"/>
      <c r="H10624" t="s" s="10">
        <v>229</v>
      </c>
      <c r="I10624" s="14"/>
      <c r="J10624" t="s" s="11">
        <v>20</v>
      </c>
      <c r="K10624" s="15"/>
      <c r="L10624" t="s" s="16">
        <f>HYPERLINK("http://csr.bu.edu/ftp/asl/asllvd/demos/verify_start_end_handshape_annotations//test_auto_move//signs_mov_separ_signers/Brady_15113.mov","MOV")</f>
        <v>21</v>
      </c>
      <c r="M10624" t="s" s="10">
        <v>60</v>
      </c>
      <c r="N10624" s="17">
        <v>20</v>
      </c>
      <c r="O10624" s="18">
        <v>2882</v>
      </c>
      <c r="P10624" s="18">
        <v>2932</v>
      </c>
      <c r="Q10624" s="15"/>
      <c r="R10624" t="s" s="16">
        <f>HYPERLINK("http://secrets.rutgers.edu:8080/data/asl-ftp/asllvd/demos/verify_start_end_handshape_annotations//test_auto_move//signs_mov_separ_signers/Brady_15113.mov","MOV")</f>
        <v>21</v>
      </c>
    </row>
    <row r="10625" s="2" customFormat="1" ht="13.5" customHeight="1">
      <c r="B10625" s="13"/>
      <c r="C10625" t="s" s="9">
        <v>30</v>
      </c>
      <c r="D10625" t="s" s="8">
        <v>3967</v>
      </c>
      <c r="E10625" t="s" s="9">
        <v>3977</v>
      </c>
      <c r="F10625" t="s" s="10">
        <v>229</v>
      </c>
      <c r="G10625" s="14"/>
      <c r="H10625" t="s" s="10">
        <v>229</v>
      </c>
      <c r="I10625" s="14"/>
      <c r="J10625" t="s" s="11">
        <v>20</v>
      </c>
      <c r="K10625" s="15"/>
      <c r="L10625" t="s" s="16">
        <f>HYPERLINK("http://csr.bu.edu/ftp/asl/asllvd/demos/verify_start_end_handshape_annotations//test_auto_move//signs_mov_separ_signers/Brady_15119.mov","MOV")</f>
        <v>21</v>
      </c>
      <c r="M10625" t="s" s="10">
        <v>60</v>
      </c>
      <c r="N10625" s="17">
        <v>57</v>
      </c>
      <c r="O10625" s="18">
        <v>749</v>
      </c>
      <c r="P10625" s="18">
        <v>816</v>
      </c>
      <c r="Q10625" s="15"/>
      <c r="R10625" t="s" s="16">
        <f>HYPERLINK("http://secrets.rutgers.edu:8080/data/asl-ftp/asllvd/demos/verify_start_end_handshape_annotations//test_auto_move//signs_mov_separ_signers/Brady_15119.mov","MOV")</f>
        <v>21</v>
      </c>
    </row>
    <row r="10626" s="2" customFormat="1" ht="13.5" customHeight="1">
      <c r="B10626" t="s" s="8">
        <v>52</v>
      </c>
      <c r="C10626" t="s" s="9">
        <v>53</v>
      </c>
      <c r="D10626" t="s" s="8">
        <v>53</v>
      </c>
      <c r="E10626" t="s" s="9">
        <v>53</v>
      </c>
      <c r="F10626" t="s" s="10">
        <v>53</v>
      </c>
      <c r="G10626" t="s" s="11">
        <v>53</v>
      </c>
      <c r="H10626" t="s" s="10">
        <v>53</v>
      </c>
      <c r="I10626" t="s" s="11">
        <v>53</v>
      </c>
      <c r="J10626" t="s" s="11">
        <v>53</v>
      </c>
      <c r="K10626" t="s" s="12">
        <v>53</v>
      </c>
      <c r="L10626" t="s" s="12">
        <v>53</v>
      </c>
      <c r="M10626" t="s" s="10">
        <v>53</v>
      </c>
      <c r="N10626" t="s" s="11">
        <v>53</v>
      </c>
      <c r="O10626" t="s" s="8">
        <v>53</v>
      </c>
      <c r="P10626" t="s" s="8">
        <v>53</v>
      </c>
      <c r="Q10626" t="s" s="12">
        <v>53</v>
      </c>
      <c r="R10626" t="s" s="12">
        <v>53</v>
      </c>
    </row>
    <row r="10627" s="2" customFormat="1" ht="13.5" customHeight="1">
      <c r="B10627" s="13"/>
      <c r="C10627" t="s" s="9">
        <v>16</v>
      </c>
      <c r="D10627" t="s" s="8">
        <v>3967</v>
      </c>
      <c r="E10627" t="s" s="9">
        <v>3978</v>
      </c>
      <c r="F10627" t="s" s="10">
        <v>229</v>
      </c>
      <c r="G10627" s="14"/>
      <c r="H10627" t="s" s="10">
        <v>229</v>
      </c>
      <c r="I10627" s="14"/>
      <c r="J10627" t="s" s="11">
        <v>20</v>
      </c>
      <c r="K10627" s="15"/>
      <c r="L10627" t="s" s="16">
        <f>HYPERLINK("http://csr.bu.edu/ftp/asl/asllvd/demos/verify_start_end_handshape_annotations//test_auto_move//signs_mov_separ_signers/Liz_15130.mov","MOV")</f>
        <v>21</v>
      </c>
      <c r="M10627" t="s" s="10">
        <v>34</v>
      </c>
      <c r="N10627" s="17">
        <v>52</v>
      </c>
      <c r="O10627" s="18">
        <v>2625</v>
      </c>
      <c r="P10627" s="18">
        <v>2710</v>
      </c>
      <c r="Q10627" s="15"/>
      <c r="R10627" t="s" s="16">
        <f>HYPERLINK("http://secrets.rutgers.edu:8080/data/asl-ftp/asllvd/demos/verify_start_end_handshape_annotations//test_auto_move//signs_mov_separ_signers/Liz_15130.mov","MOV")</f>
        <v>21</v>
      </c>
    </row>
    <row r="10628" s="2" customFormat="1" ht="13.5" customHeight="1">
      <c r="B10628" s="13"/>
      <c r="C10628" t="s" s="9">
        <v>27</v>
      </c>
      <c r="D10628" t="s" s="8">
        <v>3967</v>
      </c>
      <c r="E10628" t="s" s="9">
        <v>3979</v>
      </c>
      <c r="F10628" t="s" s="10">
        <v>229</v>
      </c>
      <c r="G10628" s="14"/>
      <c r="H10628" t="s" s="10">
        <v>229</v>
      </c>
      <c r="I10628" s="14"/>
      <c r="J10628" t="s" s="11">
        <v>20</v>
      </c>
      <c r="K10628" t="s" s="16">
        <f>HYPERLINK("http://csr.bu.edu/ftp/asl/asllvd/demos/verify_start_end_handshape_annotations//test_auto_move//signs_mov/15130.mov","MOV")</f>
        <v>21</v>
      </c>
      <c r="L10628" t="s" s="16">
        <f>HYPERLINK("http://csr.bu.edu/ftp/asl/asllvd/demos/verify_start_end_handshape_annotations//test_auto_move//signs_mov_separ_signers/Naomi_15130.mov","MOV")</f>
        <v>21</v>
      </c>
      <c r="M10628" t="s" s="10">
        <v>48</v>
      </c>
      <c r="N10628" s="17">
        <v>7</v>
      </c>
      <c r="O10628" s="18">
        <v>2410</v>
      </c>
      <c r="P10628" s="18">
        <v>2460</v>
      </c>
      <c r="Q10628" t="s" s="16">
        <f>HYPERLINK("http://secrets.rutgers.edu:8080/data/asl-ftp/asllvd/demos/verify_start_end_handshape_annotations//test_auto_move//signs_mov/15130.mov","MOV")</f>
        <v>21</v>
      </c>
      <c r="R10628" t="s" s="16">
        <f>HYPERLINK("http://secrets.rutgers.edu:8080/data/asl-ftp/asllvd/demos/verify_start_end_handshape_annotations//test_auto_move//signs_mov_separ_signers/Naomi_15130.mov","MOV")</f>
        <v>21</v>
      </c>
    </row>
    <row r="10629" s="2" customFormat="1" ht="13.5" customHeight="1">
      <c r="B10629" s="13"/>
      <c r="C10629" t="s" s="9">
        <v>30</v>
      </c>
      <c r="D10629" t="s" s="8">
        <v>3967</v>
      </c>
      <c r="E10629" t="s" s="9">
        <v>3978</v>
      </c>
      <c r="F10629" t="s" s="10">
        <v>229</v>
      </c>
      <c r="G10629" s="14"/>
      <c r="H10629" t="s" s="10">
        <v>229</v>
      </c>
      <c r="I10629" s="14"/>
      <c r="J10629" t="s" s="11">
        <v>20</v>
      </c>
      <c r="K10629" s="15"/>
      <c r="L10629" t="s" s="16">
        <f>HYPERLINK("http://csr.bu.edu/ftp/asl/asllvd/demos/verify_start_end_handshape_annotations//test_auto_move//signs_mov_separ_signers/Brady_15130.mov","MOV")</f>
        <v>21</v>
      </c>
      <c r="M10629" t="s" s="10">
        <v>39</v>
      </c>
      <c r="N10629" s="17">
        <v>51</v>
      </c>
      <c r="O10629" s="18">
        <v>2135</v>
      </c>
      <c r="P10629" s="18">
        <v>2197</v>
      </c>
      <c r="Q10629" s="15"/>
      <c r="R10629" t="s" s="16">
        <f>HYPERLINK("http://secrets.rutgers.edu:8080/data/asl-ftp/asllvd/demos/verify_start_end_handshape_annotations//test_auto_move//signs_mov_separ_signers/Brady_15130.mov","MOV")</f>
        <v>21</v>
      </c>
    </row>
    <row r="10630" s="2" customFormat="1" ht="13.5" customHeight="1">
      <c r="B10630" t="s" s="8">
        <v>52</v>
      </c>
      <c r="C10630" t="s" s="9">
        <v>53</v>
      </c>
      <c r="D10630" t="s" s="8">
        <v>53</v>
      </c>
      <c r="E10630" t="s" s="9">
        <v>53</v>
      </c>
      <c r="F10630" t="s" s="10">
        <v>53</v>
      </c>
      <c r="G10630" t="s" s="11">
        <v>53</v>
      </c>
      <c r="H10630" t="s" s="10">
        <v>53</v>
      </c>
      <c r="I10630" t="s" s="11">
        <v>53</v>
      </c>
      <c r="J10630" t="s" s="11">
        <v>53</v>
      </c>
      <c r="K10630" t="s" s="12">
        <v>53</v>
      </c>
      <c r="L10630" t="s" s="12">
        <v>53</v>
      </c>
      <c r="M10630" t="s" s="10">
        <v>53</v>
      </c>
      <c r="N10630" t="s" s="11">
        <v>53</v>
      </c>
      <c r="O10630" t="s" s="8">
        <v>53</v>
      </c>
      <c r="P10630" t="s" s="8">
        <v>53</v>
      </c>
      <c r="Q10630" t="s" s="12">
        <v>53</v>
      </c>
      <c r="R10630" t="s" s="12">
        <v>53</v>
      </c>
    </row>
    <row r="10631" s="2" customFormat="1" ht="13.5" customHeight="1">
      <c r="B10631" s="13"/>
      <c r="C10631" t="s" s="9">
        <v>23</v>
      </c>
      <c r="D10631" t="s" s="8">
        <v>3967</v>
      </c>
      <c r="E10631" t="s" s="9">
        <v>3980</v>
      </c>
      <c r="F10631" t="s" s="10">
        <v>229</v>
      </c>
      <c r="G10631" s="14"/>
      <c r="H10631" t="s" s="10">
        <v>229</v>
      </c>
      <c r="I10631" s="14"/>
      <c r="J10631" t="s" s="11">
        <v>20</v>
      </c>
      <c r="K10631" s="15"/>
      <c r="L10631" t="s" s="16">
        <f>HYPERLINK("http://csr.bu.edu/ftp/asl/asllvd/demos/verify_start_end_handshape_annotations//test_auto_move//signs_mov_separ_signers/Tyler_15144.mov","MOV")</f>
        <v>21</v>
      </c>
      <c r="M10631" t="s" s="10">
        <v>47</v>
      </c>
      <c r="N10631" s="17">
        <v>4</v>
      </c>
      <c r="O10631" s="18">
        <v>1543</v>
      </c>
      <c r="P10631" s="18">
        <v>1580</v>
      </c>
      <c r="Q10631" s="15"/>
      <c r="R10631" t="s" s="16">
        <f>HYPERLINK("http://secrets.rutgers.edu:8080/data/asl-ftp/asllvd/demos/verify_start_end_handshape_annotations//test_auto_move//signs_mov_separ_signers/Tyler_15144.mov","MOV")</f>
        <v>21</v>
      </c>
    </row>
    <row r="10632" s="2" customFormat="1" ht="13.5" customHeight="1">
      <c r="B10632" s="13"/>
      <c r="C10632" t="s" s="9">
        <v>27</v>
      </c>
      <c r="D10632" t="s" s="8">
        <v>3967</v>
      </c>
      <c r="E10632" t="s" s="9">
        <v>3981</v>
      </c>
      <c r="F10632" t="s" s="10">
        <v>229</v>
      </c>
      <c r="G10632" s="14"/>
      <c r="H10632" t="s" s="10">
        <v>229</v>
      </c>
      <c r="I10632" s="14"/>
      <c r="J10632" t="s" s="11">
        <v>20</v>
      </c>
      <c r="K10632" t="s" s="16">
        <f>HYPERLINK("http://csr.bu.edu/ftp/asl/asllvd/demos/verify_start_end_handshape_annotations//test_auto_move//signs_mov/15144_15293_merged.mov","MOV")</f>
        <v>21</v>
      </c>
      <c r="L10632" t="s" s="16">
        <f>HYPERLINK("http://csr.bu.edu/ftp/asl/asllvd/demos/verify_start_end_handshape_annotations//test_auto_move//signs_mov_separ_signers/Naomi_15144.mov","MOV")</f>
        <v>21</v>
      </c>
      <c r="M10632" t="s" s="10">
        <v>48</v>
      </c>
      <c r="N10632" s="17">
        <v>7</v>
      </c>
      <c r="O10632" s="18">
        <v>1446</v>
      </c>
      <c r="P10632" s="18">
        <v>1467</v>
      </c>
      <c r="Q10632" t="s" s="16">
        <f>HYPERLINK("http://secrets.rutgers.edu:8080/data/asl-ftp/asllvd/demos/verify_start_end_handshape_annotations//test_auto_move//signs_mov/15144_15293_merged.mov","MOV")</f>
        <v>21</v>
      </c>
      <c r="R10632" t="s" s="16">
        <f>HYPERLINK("http://secrets.rutgers.edu:8080/data/asl-ftp/asllvd/demos/verify_start_end_handshape_annotations//test_auto_move//signs_mov_separ_signers/Naomi_15144.mov","MOV")</f>
        <v>21</v>
      </c>
    </row>
    <row r="10633" s="2" customFormat="1" ht="13.5" customHeight="1">
      <c r="B10633" s="13"/>
      <c r="C10633" t="s" s="9">
        <v>27</v>
      </c>
      <c r="D10633" t="s" s="8">
        <v>3967</v>
      </c>
      <c r="E10633" t="s" s="9">
        <v>3981</v>
      </c>
      <c r="F10633" t="s" s="10">
        <v>229</v>
      </c>
      <c r="G10633" s="14"/>
      <c r="H10633" t="s" s="10">
        <v>229</v>
      </c>
      <c r="I10633" s="14"/>
      <c r="J10633" t="s" s="11">
        <v>20</v>
      </c>
      <c r="K10633" s="15"/>
      <c r="L10633" t="s" s="16">
        <f>HYPERLINK("http://csr.bu.edu/ftp/asl/asllvd/demos/verify_start_end_handshape_annotations//test_auto_move//signs_mov_separ_signers/Naomi_15293.mov","MOV")</f>
        <v>21</v>
      </c>
      <c r="M10633" t="s" s="10">
        <v>48</v>
      </c>
      <c r="N10633" s="17">
        <v>8</v>
      </c>
      <c r="O10633" s="18">
        <v>2325</v>
      </c>
      <c r="P10633" s="18">
        <v>2350</v>
      </c>
      <c r="Q10633" s="15"/>
      <c r="R10633" t="s" s="16">
        <f>HYPERLINK("http://secrets.rutgers.edu:8080/data/asl-ftp/asllvd/demos/verify_start_end_handshape_annotations//test_auto_move//signs_mov_separ_signers/Naomi_15293.mov","MOV")</f>
        <v>21</v>
      </c>
    </row>
    <row r="10634" s="2" customFormat="1" ht="13.5" customHeight="1">
      <c r="B10634" s="13"/>
      <c r="C10634" t="s" s="9">
        <v>30</v>
      </c>
      <c r="D10634" t="s" s="8">
        <v>3967</v>
      </c>
      <c r="E10634" t="s" s="9">
        <v>3981</v>
      </c>
      <c r="F10634" t="s" s="10">
        <v>229</v>
      </c>
      <c r="G10634" s="14"/>
      <c r="H10634" t="s" s="10">
        <v>229</v>
      </c>
      <c r="I10634" s="14"/>
      <c r="J10634" t="s" s="11">
        <v>20</v>
      </c>
      <c r="K10634" s="15"/>
      <c r="L10634" t="s" s="16">
        <f>HYPERLINK("http://csr.bu.edu/ftp/asl/asllvd/demos/verify_start_end_handshape_annotations//test_auto_move//signs_mov_separ_signers/Brady_15144.mov","MOV")</f>
        <v>21</v>
      </c>
      <c r="M10634" t="s" s="10">
        <v>60</v>
      </c>
      <c r="N10634" s="17">
        <v>46</v>
      </c>
      <c r="O10634" s="18">
        <v>1729</v>
      </c>
      <c r="P10634" s="18">
        <v>1764</v>
      </c>
      <c r="Q10634" s="15"/>
      <c r="R10634" t="s" s="16">
        <f>HYPERLINK("http://secrets.rutgers.edu:8080/data/asl-ftp/asllvd/demos/verify_start_end_handshape_annotations//test_auto_move//signs_mov_separ_signers/Brady_15144.mov","MOV")</f>
        <v>21</v>
      </c>
    </row>
    <row r="10635" s="2" customFormat="1" ht="13.5" customHeight="1">
      <c r="B10635" t="s" s="8">
        <v>52</v>
      </c>
      <c r="C10635" t="s" s="9">
        <v>53</v>
      </c>
      <c r="D10635" t="s" s="8">
        <v>53</v>
      </c>
      <c r="E10635" t="s" s="9">
        <v>53</v>
      </c>
      <c r="F10635" t="s" s="10">
        <v>53</v>
      </c>
      <c r="G10635" t="s" s="11">
        <v>53</v>
      </c>
      <c r="H10635" t="s" s="10">
        <v>53</v>
      </c>
      <c r="I10635" t="s" s="11">
        <v>53</v>
      </c>
      <c r="J10635" t="s" s="11">
        <v>53</v>
      </c>
      <c r="K10635" t="s" s="12">
        <v>53</v>
      </c>
      <c r="L10635" t="s" s="12">
        <v>53</v>
      </c>
      <c r="M10635" t="s" s="10">
        <v>53</v>
      </c>
      <c r="N10635" t="s" s="11">
        <v>53</v>
      </c>
      <c r="O10635" t="s" s="8">
        <v>53</v>
      </c>
      <c r="P10635" t="s" s="8">
        <v>53</v>
      </c>
      <c r="Q10635" t="s" s="12">
        <v>53</v>
      </c>
      <c r="R10635" t="s" s="12">
        <v>53</v>
      </c>
    </row>
    <row r="10636" s="2" customFormat="1" ht="13.5" customHeight="1">
      <c r="B10636" s="13"/>
      <c r="C10636" t="s" s="9">
        <v>16</v>
      </c>
      <c r="D10636" t="s" s="8">
        <v>3967</v>
      </c>
      <c r="E10636" t="s" s="9">
        <v>3982</v>
      </c>
      <c r="F10636" t="s" s="10">
        <v>229</v>
      </c>
      <c r="G10636" s="14"/>
      <c r="H10636" t="s" s="10">
        <v>229</v>
      </c>
      <c r="I10636" s="14"/>
      <c r="J10636" t="s" s="11">
        <v>20</v>
      </c>
      <c r="K10636" s="15"/>
      <c r="L10636" t="s" s="16">
        <f>HYPERLINK("http://csr.bu.edu/ftp/asl/asllvd/demos/verify_start_end_handshape_annotations//test_auto_move//signs_mov_separ_signers/Liz_15761.mov","MOV")</f>
        <v>21</v>
      </c>
      <c r="M10636" t="s" s="10">
        <v>34</v>
      </c>
      <c r="N10636" s="17">
        <v>6</v>
      </c>
      <c r="O10636" s="18">
        <v>630</v>
      </c>
      <c r="P10636" s="18">
        <v>675</v>
      </c>
      <c r="Q10636" s="15"/>
      <c r="R10636" t="s" s="16">
        <f>HYPERLINK("http://secrets.rutgers.edu:8080/data/asl-ftp/asllvd/demos/verify_start_end_handshape_annotations//test_auto_move//signs_mov_separ_signers/Liz_15761.mov","MOV")</f>
        <v>21</v>
      </c>
    </row>
    <row r="10637" s="2" customFormat="1" ht="13.5" customHeight="1">
      <c r="B10637" s="13"/>
      <c r="C10637" t="s" s="9">
        <v>16</v>
      </c>
      <c r="D10637" t="s" s="8">
        <v>3967</v>
      </c>
      <c r="E10637" t="s" s="9">
        <v>3982</v>
      </c>
      <c r="F10637" t="s" s="10">
        <v>229</v>
      </c>
      <c r="G10637" s="14"/>
      <c r="H10637" t="s" s="10">
        <v>229</v>
      </c>
      <c r="I10637" s="14"/>
      <c r="J10637" t="s" s="11">
        <v>20</v>
      </c>
      <c r="K10637" s="15"/>
      <c r="L10637" t="s" s="16">
        <f>HYPERLINK("http://csr.bu.edu/ftp/asl/asllvd/demos/verify_start_end_handshape_annotations//test_auto_move//signs_mov_separ_signers/Liz_16087.mov","MOV")</f>
        <v>21</v>
      </c>
      <c r="M10637" t="s" s="10">
        <v>34</v>
      </c>
      <c r="N10637" s="17">
        <v>52</v>
      </c>
      <c r="O10637" s="18">
        <v>1790</v>
      </c>
      <c r="P10637" s="18">
        <v>1845</v>
      </c>
      <c r="Q10637" s="15"/>
      <c r="R10637" t="s" s="16">
        <f>HYPERLINK("http://secrets.rutgers.edu:8080/data/asl-ftp/asllvd/demos/verify_start_end_handshape_annotations//test_auto_move//signs_mov_separ_signers/Liz_16087.mov","MOV")</f>
        <v>21</v>
      </c>
    </row>
    <row r="10638" s="2" customFormat="1" ht="13.5" customHeight="1">
      <c r="B10638" s="13"/>
      <c r="C10638" t="s" s="9">
        <v>27</v>
      </c>
      <c r="D10638" t="s" s="8">
        <v>3967</v>
      </c>
      <c r="E10638" t="s" s="9">
        <v>3982</v>
      </c>
      <c r="F10638" t="s" s="10">
        <v>229</v>
      </c>
      <c r="G10638" s="14"/>
      <c r="H10638" t="s" s="10">
        <v>229</v>
      </c>
      <c r="I10638" s="14"/>
      <c r="J10638" t="s" s="11">
        <v>20</v>
      </c>
      <c r="K10638" t="s" s="16">
        <f>HYPERLINK("http://csr.bu.edu/ftp/asl/asllvd/demos/verify_start_end_handshape_annotations//test_auto_move//signs_mov/15761_16087_merged.mov","MOV")</f>
        <v>21</v>
      </c>
      <c r="L10638" t="s" s="16">
        <f>HYPERLINK("http://csr.bu.edu/ftp/asl/asllvd/demos/verify_start_end_handshape_annotations//test_auto_move//signs_mov_separ_signers/Naomi_15761.mov","MOV")</f>
        <v>21</v>
      </c>
      <c r="M10638" t="s" s="10">
        <v>38</v>
      </c>
      <c r="N10638" s="17">
        <v>5</v>
      </c>
      <c r="O10638" s="18">
        <v>1730</v>
      </c>
      <c r="P10638" s="18">
        <v>1753</v>
      </c>
      <c r="Q10638" t="s" s="16">
        <f>HYPERLINK("http://secrets.rutgers.edu:8080/data/asl-ftp/asllvd/demos/verify_start_end_handshape_annotations//test_auto_move//signs_mov/15761_16087_merged.mov","MOV")</f>
        <v>21</v>
      </c>
      <c r="R10638" t="s" s="16">
        <f>HYPERLINK("http://secrets.rutgers.edu:8080/data/asl-ftp/asllvd/demos/verify_start_end_handshape_annotations//test_auto_move//signs_mov_separ_signers/Naomi_15761.mov","MOV")</f>
        <v>21</v>
      </c>
    </row>
    <row r="10639" s="2" customFormat="1" ht="13.5" customHeight="1">
      <c r="B10639" s="13"/>
      <c r="C10639" t="s" s="9">
        <v>30</v>
      </c>
      <c r="D10639" t="s" s="8">
        <v>3967</v>
      </c>
      <c r="E10639" t="s" s="9">
        <v>3982</v>
      </c>
      <c r="F10639" t="s" s="10">
        <v>229</v>
      </c>
      <c r="G10639" s="14"/>
      <c r="H10639" t="s" s="10">
        <v>229</v>
      </c>
      <c r="I10639" s="14"/>
      <c r="J10639" t="s" s="11">
        <v>20</v>
      </c>
      <c r="K10639" s="15"/>
      <c r="L10639" t="s" s="16">
        <f>HYPERLINK("http://csr.bu.edu/ftp/asl/asllvd/demos/verify_start_end_handshape_annotations//test_auto_move//signs_mov_separ_signers/Brady_15761.mov","MOV")</f>
        <v>21</v>
      </c>
      <c r="M10639" t="s" s="10">
        <v>39</v>
      </c>
      <c r="N10639" s="17">
        <v>26</v>
      </c>
      <c r="O10639" s="18">
        <v>3693</v>
      </c>
      <c r="P10639" s="18">
        <v>3725</v>
      </c>
      <c r="Q10639" s="15"/>
      <c r="R10639" t="s" s="16">
        <f>HYPERLINK("http://secrets.rutgers.edu:8080/data/asl-ftp/asllvd/demos/verify_start_end_handshape_annotations//test_auto_move//signs_mov_separ_signers/Brady_15761.mov","MOV")</f>
        <v>21</v>
      </c>
    </row>
    <row r="10640" s="2" customFormat="1" ht="13.5" customHeight="1">
      <c r="B10640" s="13"/>
      <c r="C10640" t="s" s="9">
        <v>30</v>
      </c>
      <c r="D10640" t="s" s="8">
        <v>3967</v>
      </c>
      <c r="E10640" t="s" s="9">
        <v>3982</v>
      </c>
      <c r="F10640" t="s" s="10">
        <v>229</v>
      </c>
      <c r="G10640" s="14"/>
      <c r="H10640" t="s" s="10">
        <v>229</v>
      </c>
      <c r="I10640" s="14"/>
      <c r="J10640" t="s" s="11">
        <v>20</v>
      </c>
      <c r="K10640" s="15"/>
      <c r="L10640" t="s" s="16">
        <f>HYPERLINK("http://csr.bu.edu/ftp/asl/asllvd/demos/verify_start_end_handshape_annotations//test_auto_move//signs_mov_separ_signers/Brady_16087.mov","MOV")</f>
        <v>21</v>
      </c>
      <c r="M10640" t="s" s="10">
        <v>39</v>
      </c>
      <c r="N10640" s="17">
        <v>51</v>
      </c>
      <c r="O10640" s="18">
        <v>1455</v>
      </c>
      <c r="P10640" s="18">
        <v>1485</v>
      </c>
      <c r="Q10640" s="15"/>
      <c r="R10640" t="s" s="16">
        <f>HYPERLINK("http://secrets.rutgers.edu:8080/data/asl-ftp/asllvd/demos/verify_start_end_handshape_annotations//test_auto_move//signs_mov_separ_signers/Brady_16087.mov","MOV")</f>
        <v>21</v>
      </c>
    </row>
    <row r="10641" s="2" customFormat="1" ht="13.5" customHeight="1">
      <c r="B10641" t="s" s="8">
        <v>52</v>
      </c>
      <c r="C10641" t="s" s="9">
        <v>53</v>
      </c>
      <c r="D10641" t="s" s="8">
        <v>53</v>
      </c>
      <c r="E10641" t="s" s="9">
        <v>53</v>
      </c>
      <c r="F10641" t="s" s="10">
        <v>53</v>
      </c>
      <c r="G10641" t="s" s="11">
        <v>53</v>
      </c>
      <c r="H10641" t="s" s="10">
        <v>53</v>
      </c>
      <c r="I10641" t="s" s="11">
        <v>53</v>
      </c>
      <c r="J10641" t="s" s="11">
        <v>53</v>
      </c>
      <c r="K10641" t="s" s="12">
        <v>53</v>
      </c>
      <c r="L10641" t="s" s="12">
        <v>53</v>
      </c>
      <c r="M10641" t="s" s="10">
        <v>53</v>
      </c>
      <c r="N10641" t="s" s="11">
        <v>53</v>
      </c>
      <c r="O10641" t="s" s="8">
        <v>53</v>
      </c>
      <c r="P10641" t="s" s="8">
        <v>53</v>
      </c>
      <c r="Q10641" t="s" s="12">
        <v>53</v>
      </c>
      <c r="R10641" t="s" s="12">
        <v>53</v>
      </c>
    </row>
    <row r="10642" s="2" customFormat="1" ht="13.5" customHeight="1">
      <c r="B10642" s="13"/>
      <c r="C10642" t="s" s="9">
        <v>16</v>
      </c>
      <c r="D10642" t="s" s="8">
        <v>3967</v>
      </c>
      <c r="E10642" t="s" s="9">
        <v>3983</v>
      </c>
      <c r="F10642" t="s" s="10">
        <v>229</v>
      </c>
      <c r="G10642" t="s" s="11">
        <v>229</v>
      </c>
      <c r="H10642" t="s" s="10">
        <v>229</v>
      </c>
      <c r="I10642" t="s" s="11">
        <v>229</v>
      </c>
      <c r="J10642" t="s" s="11">
        <v>20</v>
      </c>
      <c r="K10642" t="s" s="16">
        <f>HYPERLINK("http://csr.bu.edu/ftp/asl/asllvd/demos/verify_start_end_handshape_annotations//test_auto_move//signs_mov/16370.mov","MOV")</f>
        <v>21</v>
      </c>
      <c r="L10642" t="s" s="16">
        <f>HYPERLINK("http://csr.bu.edu/ftp/asl/asllvd/demos/verify_start_end_handshape_annotations//test_auto_move//signs_mov_separ_signers/Liz_16370.mov","MOV")</f>
        <v>21</v>
      </c>
      <c r="M10642" t="s" s="10">
        <v>36</v>
      </c>
      <c r="N10642" s="17">
        <v>44</v>
      </c>
      <c r="O10642" s="18">
        <v>1096</v>
      </c>
      <c r="P10642" s="18">
        <v>1156</v>
      </c>
      <c r="Q10642" t="s" s="16">
        <f>HYPERLINK("http://secrets.rutgers.edu:8080/data/asl-ftp/asllvd/demos/verify_start_end_handshape_annotations//test_auto_move//signs_mov/16370.mov","MOV")</f>
        <v>21</v>
      </c>
      <c r="R10642" t="s" s="16">
        <f>HYPERLINK("http://secrets.rutgers.edu:8080/data/asl-ftp/asllvd/demos/verify_start_end_handshape_annotations//test_auto_move//signs_mov_separ_signers/Liz_16370.mov","MOV")</f>
        <v>21</v>
      </c>
    </row>
    <row r="10643" s="2" customFormat="1" ht="13.5" customHeight="1">
      <c r="B10643" s="13"/>
      <c r="C10643" t="s" s="9">
        <v>30</v>
      </c>
      <c r="D10643" t="s" s="8">
        <v>3967</v>
      </c>
      <c r="E10643" t="s" s="9">
        <v>3983</v>
      </c>
      <c r="F10643" t="s" s="10">
        <v>229</v>
      </c>
      <c r="G10643" t="s" s="11">
        <v>229</v>
      </c>
      <c r="H10643" t="s" s="10">
        <v>229</v>
      </c>
      <c r="I10643" t="s" s="11">
        <v>229</v>
      </c>
      <c r="J10643" t="s" s="11">
        <v>20</v>
      </c>
      <c r="K10643" s="15"/>
      <c r="L10643" t="s" s="16">
        <f>HYPERLINK("http://csr.bu.edu/ftp/asl/asllvd/demos/verify_start_end_handshape_annotations//test_auto_move//signs_mov_separ_signers/Brady_16370.mov","MOV")</f>
        <v>21</v>
      </c>
      <c r="M10643" t="s" s="10">
        <v>40</v>
      </c>
      <c r="N10643" s="17">
        <v>96</v>
      </c>
      <c r="O10643" s="18">
        <v>1824</v>
      </c>
      <c r="P10643" s="18">
        <v>1854</v>
      </c>
      <c r="Q10643" s="15"/>
      <c r="R10643" t="s" s="16">
        <f>HYPERLINK("http://secrets.rutgers.edu:8080/data/asl-ftp/asllvd/demos/verify_start_end_handshape_annotations//test_auto_move//signs_mov_separ_signers/Brady_16370.mov","MOV")</f>
        <v>21</v>
      </c>
    </row>
    <row r="10644" s="2" customFormat="1" ht="13.5" customHeight="1">
      <c r="B10644" t="s" s="8">
        <v>3984</v>
      </c>
      <c r="C10644" t="s" s="9">
        <v>14</v>
      </c>
      <c r="D10644" t="s" s="8">
        <v>14</v>
      </c>
      <c r="E10644" t="s" s="9">
        <v>14</v>
      </c>
      <c r="F10644" t="s" s="10">
        <v>14</v>
      </c>
      <c r="G10644" t="s" s="11">
        <v>14</v>
      </c>
      <c r="H10644" t="s" s="10">
        <v>14</v>
      </c>
      <c r="I10644" t="s" s="11">
        <v>14</v>
      </c>
      <c r="J10644" t="s" s="11">
        <v>14</v>
      </c>
      <c r="K10644" t="s" s="12">
        <v>14</v>
      </c>
      <c r="L10644" t="s" s="12">
        <v>14</v>
      </c>
      <c r="M10644" t="s" s="10">
        <v>14</v>
      </c>
      <c r="N10644" t="s" s="11">
        <v>14</v>
      </c>
      <c r="O10644" t="s" s="8">
        <v>14</v>
      </c>
      <c r="P10644" t="s" s="8">
        <v>14</v>
      </c>
      <c r="Q10644" t="s" s="12">
        <v>14</v>
      </c>
      <c r="R10644" t="s" s="12">
        <v>14</v>
      </c>
    </row>
    <row r="10645" s="2" customFormat="1" ht="13.5" customHeight="1">
      <c r="B10645" s="13"/>
      <c r="C10645" t="s" s="9">
        <v>23</v>
      </c>
      <c r="D10645" t="s" s="8">
        <v>3984</v>
      </c>
      <c r="E10645" t="s" s="9">
        <v>3984</v>
      </c>
      <c r="F10645" t="s" s="10">
        <v>282</v>
      </c>
      <c r="G10645" t="s" s="11">
        <v>282</v>
      </c>
      <c r="H10645" t="s" s="10">
        <v>282</v>
      </c>
      <c r="I10645" t="s" s="11">
        <v>282</v>
      </c>
      <c r="J10645" t="s" s="11">
        <v>20</v>
      </c>
      <c r="K10645" t="s" s="16">
        <f>HYPERLINK("http://csr.bu.edu/ftp/asl/asllvd/demos/verify_start_end_handshape_annotations//test_auto_move//signs_mov/16397.mov","MOV")</f>
        <v>21</v>
      </c>
      <c r="L10645" t="s" s="16">
        <f>HYPERLINK("http://csr.bu.edu/ftp/asl/asllvd/demos/verify_start_end_handshape_annotations//test_auto_move//signs_mov_separ_signers/Tyler_16397.mov","MOV")</f>
        <v>21</v>
      </c>
      <c r="M10645" t="s" s="10">
        <v>92</v>
      </c>
      <c r="N10645" s="17">
        <v>37</v>
      </c>
      <c r="O10645" s="18">
        <v>1135</v>
      </c>
      <c r="P10645" s="18">
        <v>1156</v>
      </c>
      <c r="Q10645" t="s" s="16">
        <f>HYPERLINK("http://secrets.rutgers.edu:8080/data/asl-ftp/asllvd/demos/verify_start_end_handshape_annotations//test_auto_move//signs_mov/16397.mov","MOV")</f>
        <v>21</v>
      </c>
      <c r="R10645" t="s" s="16">
        <f>HYPERLINK("http://secrets.rutgers.edu:8080/data/asl-ftp/asllvd/demos/verify_start_end_handshape_annotations//test_auto_move//signs_mov_separ_signers/Tyler_16397.mov","MOV")</f>
        <v>21</v>
      </c>
    </row>
    <row r="10646" s="2" customFormat="1" ht="13.5" customHeight="1">
      <c r="B10646" s="13"/>
      <c r="C10646" t="s" s="9">
        <v>30</v>
      </c>
      <c r="D10646" t="s" s="8">
        <v>3984</v>
      </c>
      <c r="E10646" t="s" s="9">
        <v>3985</v>
      </c>
      <c r="F10646" t="s" s="10">
        <v>282</v>
      </c>
      <c r="G10646" t="s" s="11">
        <v>282</v>
      </c>
      <c r="H10646" t="s" s="10">
        <v>282</v>
      </c>
      <c r="I10646" t="s" s="11">
        <v>282</v>
      </c>
      <c r="J10646" t="s" s="11">
        <v>20</v>
      </c>
      <c r="K10646" s="15"/>
      <c r="L10646" t="s" s="16">
        <f>HYPERLINK("http://csr.bu.edu/ftp/asl/asllvd/demos/verify_start_end_handshape_annotations//test_auto_move//signs_mov_separ_signers/Brady_16397.mov","MOV")</f>
        <v>21</v>
      </c>
      <c r="M10646" t="s" s="10">
        <v>39</v>
      </c>
      <c r="N10646" s="17">
        <v>26</v>
      </c>
      <c r="O10646" s="18">
        <v>1770</v>
      </c>
      <c r="P10646" s="18">
        <v>1800</v>
      </c>
      <c r="Q10646" s="15"/>
      <c r="R10646" t="s" s="16">
        <f>HYPERLINK("http://secrets.rutgers.edu:8080/data/asl-ftp/asllvd/demos/verify_start_end_handshape_annotations//test_auto_move//signs_mov_separ_signers/Brady_16397.mov","MOV")</f>
        <v>21</v>
      </c>
    </row>
    <row r="10647" s="2" customFormat="1" ht="13.5" customHeight="1">
      <c r="B10647" t="s" s="8">
        <v>3986</v>
      </c>
      <c r="C10647" t="s" s="9">
        <v>14</v>
      </c>
      <c r="D10647" t="s" s="8">
        <v>14</v>
      </c>
      <c r="E10647" t="s" s="9">
        <v>14</v>
      </c>
      <c r="F10647" t="s" s="10">
        <v>14</v>
      </c>
      <c r="G10647" t="s" s="11">
        <v>14</v>
      </c>
      <c r="H10647" t="s" s="10">
        <v>14</v>
      </c>
      <c r="I10647" t="s" s="11">
        <v>14</v>
      </c>
      <c r="J10647" t="s" s="11">
        <v>14</v>
      </c>
      <c r="K10647" t="s" s="12">
        <v>14</v>
      </c>
      <c r="L10647" t="s" s="12">
        <v>14</v>
      </c>
      <c r="M10647" t="s" s="10">
        <v>14</v>
      </c>
      <c r="N10647" t="s" s="11">
        <v>14</v>
      </c>
      <c r="O10647" t="s" s="8">
        <v>14</v>
      </c>
      <c r="P10647" t="s" s="8">
        <v>14</v>
      </c>
      <c r="Q10647" t="s" s="12">
        <v>14</v>
      </c>
      <c r="R10647" t="s" s="12">
        <v>14</v>
      </c>
    </row>
    <row r="10648" s="2" customFormat="1" ht="13.5" customHeight="1">
      <c r="B10648" s="13"/>
      <c r="C10648" t="s" s="9">
        <v>16</v>
      </c>
      <c r="D10648" t="s" s="8">
        <v>3986</v>
      </c>
      <c r="E10648" t="s" s="9">
        <v>3986</v>
      </c>
      <c r="F10648" s="19">
        <v>5</v>
      </c>
      <c r="G10648" s="17">
        <v>5</v>
      </c>
      <c r="H10648" s="19">
        <v>5</v>
      </c>
      <c r="I10648" s="17">
        <v>5</v>
      </c>
      <c r="J10648" t="s" s="11">
        <v>20</v>
      </c>
      <c r="K10648" s="15"/>
      <c r="L10648" t="s" s="16">
        <f>HYPERLINK("http://csr.bu.edu/ftp/asl/asllvd/demos/verify_start_end_handshape_annotations//test_auto_move//signs_mov_separ_signers/Liz_4555.mov","MOV")</f>
        <v>21</v>
      </c>
      <c r="M10648" t="s" s="10">
        <v>34</v>
      </c>
      <c r="N10648" s="17">
        <v>51</v>
      </c>
      <c r="O10648" s="18">
        <v>2761</v>
      </c>
      <c r="P10648" s="18">
        <v>2815</v>
      </c>
      <c r="Q10648" s="15"/>
      <c r="R10648" t="s" s="16">
        <f>HYPERLINK("http://secrets.rutgers.edu:8080/data/asl-ftp/asllvd/demos/verify_start_end_handshape_annotations//test_auto_move//signs_mov_separ_signers/Liz_4555.mov","MOV")</f>
        <v>21</v>
      </c>
    </row>
    <row r="10649" s="2" customFormat="1" ht="13.5" customHeight="1">
      <c r="B10649" s="13"/>
      <c r="C10649" t="s" s="9">
        <v>16</v>
      </c>
      <c r="D10649" t="s" s="8">
        <v>3986</v>
      </c>
      <c r="E10649" t="s" s="9">
        <v>3986</v>
      </c>
      <c r="F10649" s="19">
        <v>5</v>
      </c>
      <c r="G10649" s="17">
        <v>5</v>
      </c>
      <c r="H10649" s="19">
        <v>5</v>
      </c>
      <c r="I10649" s="17">
        <v>5</v>
      </c>
      <c r="J10649" t="s" s="11">
        <v>20</v>
      </c>
      <c r="K10649" s="15"/>
      <c r="L10649" t="s" s="16">
        <f>HYPERLINK("http://csr.bu.edu/ftp/asl/asllvd/demos/verify_start_end_handshape_annotations//test_auto_move//signs_mov_separ_signers/Liz_5523.mov","MOV")</f>
        <v>21</v>
      </c>
      <c r="M10649" t="s" s="10">
        <v>36</v>
      </c>
      <c r="N10649" s="17">
        <v>14</v>
      </c>
      <c r="O10649" s="18">
        <v>347</v>
      </c>
      <c r="P10649" s="18">
        <v>380</v>
      </c>
      <c r="Q10649" s="15"/>
      <c r="R10649" t="s" s="16">
        <f>HYPERLINK("http://secrets.rutgers.edu:8080/data/asl-ftp/asllvd/demos/verify_start_end_handshape_annotations//test_auto_move//signs_mov_separ_signers/Liz_5523.mov","MOV")</f>
        <v>21</v>
      </c>
    </row>
    <row r="10650" s="2" customFormat="1" ht="13.5" customHeight="1">
      <c r="B10650" s="13"/>
      <c r="C10650" t="s" s="9">
        <v>16</v>
      </c>
      <c r="D10650" t="s" s="8">
        <v>3986</v>
      </c>
      <c r="E10650" t="s" s="9">
        <v>3987</v>
      </c>
      <c r="F10650" s="19">
        <v>5</v>
      </c>
      <c r="G10650" s="17">
        <v>5</v>
      </c>
      <c r="H10650" s="19">
        <v>5</v>
      </c>
      <c r="I10650" s="17">
        <v>5</v>
      </c>
      <c r="J10650" t="s" s="11">
        <v>20</v>
      </c>
      <c r="K10650" s="15"/>
      <c r="L10650" t="s" s="16">
        <f>HYPERLINK("http://csr.bu.edu/ftp/asl/asllvd/demos/verify_start_end_handshape_annotations//test_auto_move//signs_mov_separ_signers/Liz_5677.mov","MOV")</f>
        <v>21</v>
      </c>
      <c r="M10650" t="s" s="10">
        <v>59</v>
      </c>
      <c r="N10650" s="17">
        <v>29</v>
      </c>
      <c r="O10650" s="18">
        <v>3336</v>
      </c>
      <c r="P10650" s="18">
        <v>3380</v>
      </c>
      <c r="Q10650" s="15"/>
      <c r="R10650" t="s" s="16">
        <f>HYPERLINK("http://secrets.rutgers.edu:8080/data/asl-ftp/asllvd/demos/verify_start_end_handshape_annotations//test_auto_move//signs_mov_separ_signers/Liz_5677.mov","MOV")</f>
        <v>21</v>
      </c>
    </row>
    <row r="10651" s="2" customFormat="1" ht="13.5" customHeight="1">
      <c r="B10651" s="13"/>
      <c r="C10651" t="s" s="9">
        <v>27</v>
      </c>
      <c r="D10651" t="s" s="8">
        <v>3986</v>
      </c>
      <c r="E10651" t="s" s="9">
        <v>3986</v>
      </c>
      <c r="F10651" s="19">
        <v>5</v>
      </c>
      <c r="G10651" s="17">
        <v>5</v>
      </c>
      <c r="H10651" s="19">
        <v>5</v>
      </c>
      <c r="I10651" s="17">
        <v>5</v>
      </c>
      <c r="J10651" t="s" s="11">
        <v>20</v>
      </c>
      <c r="K10651" s="15"/>
      <c r="L10651" t="s" s="16">
        <f>HYPERLINK("http://csr.bu.edu/ftp/asl/asllvd/demos/verify_start_end_handshape_annotations//test_auto_move//signs_mov_separ_signers/Naomi_4555.mov","MOV")</f>
        <v>21</v>
      </c>
      <c r="M10651" t="s" s="10">
        <v>48</v>
      </c>
      <c r="N10651" s="17">
        <v>6</v>
      </c>
      <c r="O10651" s="18">
        <v>3250</v>
      </c>
      <c r="P10651" s="18">
        <v>3285</v>
      </c>
      <c r="Q10651" s="15"/>
      <c r="R10651" t="s" s="16">
        <f>HYPERLINK("http://secrets.rutgers.edu:8080/data/asl-ftp/asllvd/demos/verify_start_end_handshape_annotations//test_auto_move//signs_mov_separ_signers/Naomi_4555.mov","MOV")</f>
        <v>21</v>
      </c>
    </row>
    <row r="10652" s="2" customFormat="1" ht="13.5" customHeight="1">
      <c r="B10652" s="13"/>
      <c r="C10652" t="s" s="9">
        <v>30</v>
      </c>
      <c r="D10652" t="s" s="8">
        <v>3986</v>
      </c>
      <c r="E10652" t="s" s="9">
        <v>3986</v>
      </c>
      <c r="F10652" s="19">
        <v>5</v>
      </c>
      <c r="G10652" s="17">
        <v>5</v>
      </c>
      <c r="H10652" s="19">
        <v>5</v>
      </c>
      <c r="I10652" s="17">
        <v>5</v>
      </c>
      <c r="J10652" t="s" s="11">
        <v>20</v>
      </c>
      <c r="K10652" t="s" s="16">
        <f>HYPERLINK("http://csr.bu.edu/ftp/asl/asllvd/demos/verify_start_end_handshape_annotations//test_auto_move//signs_mov/4555_5523_5677_5688_5967_merged.mov","MOV")</f>
        <v>21</v>
      </c>
      <c r="L10652" t="s" s="16">
        <f>HYPERLINK("http://csr.bu.edu/ftp/asl/asllvd/demos/verify_start_end_handshape_annotations//test_auto_move//signs_mov_separ_signers/Brady_4555.mov","MOV")</f>
        <v>21</v>
      </c>
      <c r="M10652" t="s" s="10">
        <v>39</v>
      </c>
      <c r="N10652" s="17">
        <v>50</v>
      </c>
      <c r="O10652" s="18">
        <v>4077</v>
      </c>
      <c r="P10652" s="18">
        <v>4107</v>
      </c>
      <c r="Q10652" t="s" s="16">
        <f>HYPERLINK("http://secrets.rutgers.edu:8080/data/asl-ftp/asllvd/demos/verify_start_end_handshape_annotations//test_auto_move//signs_mov/4555_5523_5677_5688_5967_merged.mov","MOV")</f>
        <v>21</v>
      </c>
      <c r="R10652" t="s" s="16">
        <f>HYPERLINK("http://secrets.rutgers.edu:8080/data/asl-ftp/asllvd/demos/verify_start_end_handshape_annotations//test_auto_move//signs_mov_separ_signers/Brady_4555.mov","MOV")</f>
        <v>21</v>
      </c>
    </row>
    <row r="10653" s="2" customFormat="1" ht="13.5" customHeight="1">
      <c r="B10653" s="13"/>
      <c r="C10653" t="s" s="9">
        <v>30</v>
      </c>
      <c r="D10653" t="s" s="8">
        <v>3986</v>
      </c>
      <c r="E10653" t="s" s="9">
        <v>3987</v>
      </c>
      <c r="F10653" s="19">
        <v>5</v>
      </c>
      <c r="G10653" s="17">
        <v>5</v>
      </c>
      <c r="H10653" s="19">
        <v>5</v>
      </c>
      <c r="I10653" s="17">
        <v>5</v>
      </c>
      <c r="J10653" t="s" s="11">
        <v>20</v>
      </c>
      <c r="K10653" s="15"/>
      <c r="L10653" t="s" s="16">
        <f>HYPERLINK("http://csr.bu.edu/ftp/asl/asllvd/demos/verify_start_end_handshape_annotations//test_auto_move//signs_mov_separ_signers/Brady_5523.mov","MOV")</f>
        <v>21</v>
      </c>
      <c r="M10653" t="s" s="10">
        <v>40</v>
      </c>
      <c r="N10653" s="17">
        <v>59</v>
      </c>
      <c r="O10653" s="18">
        <v>144</v>
      </c>
      <c r="P10653" s="18">
        <v>162</v>
      </c>
      <c r="Q10653" s="15"/>
      <c r="R10653" t="s" s="16">
        <f>HYPERLINK("http://secrets.rutgers.edu:8080/data/asl-ftp/asllvd/demos/verify_start_end_handshape_annotations//test_auto_move//signs_mov_separ_signers/Brady_5523.mov","MOV")</f>
        <v>21</v>
      </c>
    </row>
    <row r="10654" s="2" customFormat="1" ht="13.5" customHeight="1">
      <c r="B10654" s="13"/>
      <c r="C10654" t="s" s="9">
        <v>30</v>
      </c>
      <c r="D10654" t="s" s="8">
        <v>3986</v>
      </c>
      <c r="E10654" t="s" s="9">
        <v>3988</v>
      </c>
      <c r="F10654" s="19">
        <v>5</v>
      </c>
      <c r="G10654" s="17">
        <v>5</v>
      </c>
      <c r="H10654" s="19">
        <v>5</v>
      </c>
      <c r="I10654" s="17">
        <v>5</v>
      </c>
      <c r="J10654" t="s" s="11">
        <v>20</v>
      </c>
      <c r="K10654" s="15"/>
      <c r="L10654" t="s" s="16">
        <f>HYPERLINK("http://csr.bu.edu/ftp/asl/asllvd/demos/verify_start_end_handshape_annotations//test_auto_move//signs_mov_separ_signers/Brady_5677.mov","MOV")</f>
        <v>21</v>
      </c>
      <c r="M10654" t="s" s="10">
        <v>60</v>
      </c>
      <c r="N10654" s="17">
        <v>18</v>
      </c>
      <c r="O10654" s="18">
        <v>4121</v>
      </c>
      <c r="P10654" s="18">
        <v>4162</v>
      </c>
      <c r="Q10654" s="15"/>
      <c r="R10654" t="s" s="16">
        <f>HYPERLINK("http://secrets.rutgers.edu:8080/data/asl-ftp/asllvd/demos/verify_start_end_handshape_annotations//test_auto_move//signs_mov_separ_signers/Brady_5677.mov","MOV")</f>
        <v>21</v>
      </c>
    </row>
    <row r="10655" s="2" customFormat="1" ht="13.5" customHeight="1">
      <c r="B10655" s="13"/>
      <c r="C10655" t="s" s="9">
        <v>30</v>
      </c>
      <c r="D10655" t="s" s="8">
        <v>3986</v>
      </c>
      <c r="E10655" t="s" s="9">
        <v>3987</v>
      </c>
      <c r="F10655" s="19">
        <v>5</v>
      </c>
      <c r="G10655" s="17">
        <v>5</v>
      </c>
      <c r="H10655" s="19">
        <v>5</v>
      </c>
      <c r="I10655" s="17">
        <v>5</v>
      </c>
      <c r="J10655" t="s" s="11">
        <v>20</v>
      </c>
      <c r="K10655" s="15"/>
      <c r="L10655" t="s" s="16">
        <f>HYPERLINK("http://csr.bu.edu/ftp/asl/asllvd/demos/verify_start_end_handshape_annotations//test_auto_move//signs_mov_separ_signers/Brady_5688.mov","MOV")</f>
        <v>21</v>
      </c>
      <c r="M10655" t="s" s="10">
        <v>60</v>
      </c>
      <c r="N10655" s="17">
        <v>51</v>
      </c>
      <c r="O10655" s="18">
        <v>978</v>
      </c>
      <c r="P10655" s="18">
        <v>997</v>
      </c>
      <c r="Q10655" s="15"/>
      <c r="R10655" t="s" s="16">
        <f>HYPERLINK("http://secrets.rutgers.edu:8080/data/asl-ftp/asllvd/demos/verify_start_end_handshape_annotations//test_auto_move//signs_mov_separ_signers/Brady_5688.mov","MOV")</f>
        <v>21</v>
      </c>
    </row>
    <row r="10656" s="2" customFormat="1" ht="13.5" customHeight="1">
      <c r="B10656" s="13"/>
      <c r="C10656" t="s" s="9">
        <v>30</v>
      </c>
      <c r="D10656" t="s" s="8">
        <v>3986</v>
      </c>
      <c r="E10656" t="s" s="9">
        <v>3987</v>
      </c>
      <c r="F10656" s="19">
        <v>5</v>
      </c>
      <c r="G10656" s="17">
        <v>5</v>
      </c>
      <c r="H10656" s="19">
        <v>5</v>
      </c>
      <c r="I10656" s="17">
        <v>5</v>
      </c>
      <c r="J10656" t="s" s="11">
        <v>20</v>
      </c>
      <c r="K10656" s="15"/>
      <c r="L10656" t="s" s="16">
        <f>HYPERLINK("http://csr.bu.edu/ftp/asl/asllvd/demos/verify_start_end_handshape_annotations//test_auto_move//signs_mov_separ_signers/Brady_5967.mov","MOV")</f>
        <v>21</v>
      </c>
      <c r="M10656" t="s" s="10">
        <v>60</v>
      </c>
      <c r="N10656" s="17">
        <v>57</v>
      </c>
      <c r="O10656" s="18">
        <v>333</v>
      </c>
      <c r="P10656" s="18">
        <v>362</v>
      </c>
      <c r="Q10656" s="15"/>
      <c r="R10656" t="s" s="16">
        <f>HYPERLINK("http://secrets.rutgers.edu:8080/data/asl-ftp/asllvd/demos/verify_start_end_handshape_annotations//test_auto_move//signs_mov_separ_signers/Brady_5967.mov","MOV")</f>
        <v>21</v>
      </c>
    </row>
    <row r="10657" s="2" customFormat="1" ht="13.5" customHeight="1">
      <c r="B10657" s="13"/>
      <c r="C10657" t="s" s="9">
        <v>43</v>
      </c>
      <c r="D10657" t="s" s="8">
        <v>3986</v>
      </c>
      <c r="E10657" t="s" s="9">
        <v>3986</v>
      </c>
      <c r="F10657" t="s" s="10">
        <v>73</v>
      </c>
      <c r="G10657" t="s" s="11">
        <v>73</v>
      </c>
      <c r="H10657" t="s" s="10">
        <v>73</v>
      </c>
      <c r="I10657" t="s" s="11">
        <v>73</v>
      </c>
      <c r="J10657" t="s" s="11">
        <v>20</v>
      </c>
      <c r="K10657" s="15"/>
      <c r="L10657" t="s" s="16">
        <f>HYPERLINK("http://csr.bu.edu/ftp/asl/asllvd/demos/verify_start_end_handshape_annotations//test_auto_move//signs_mov_separ_signers/Dana_4555.mov","MOV")</f>
        <v>21</v>
      </c>
      <c r="M10657" t="s" s="10">
        <v>44</v>
      </c>
      <c r="N10657" s="17">
        <v>25</v>
      </c>
      <c r="O10657" s="18">
        <v>2490</v>
      </c>
      <c r="P10657" s="18">
        <v>2506</v>
      </c>
      <c r="Q10657" s="15"/>
      <c r="R10657" t="s" s="16">
        <f>HYPERLINK("http://secrets.rutgers.edu:8080/data/asl-ftp/asllvd/demos/verify_start_end_handshape_annotations//test_auto_move//signs_mov_separ_signers/Dana_4555.mov","MOV")</f>
        <v>21</v>
      </c>
    </row>
    <row r="10658" s="2" customFormat="1" ht="13.5" customHeight="1">
      <c r="B10658" t="s" s="8">
        <v>52</v>
      </c>
      <c r="C10658" t="s" s="9">
        <v>53</v>
      </c>
      <c r="D10658" t="s" s="8">
        <v>53</v>
      </c>
      <c r="E10658" t="s" s="9">
        <v>53</v>
      </c>
      <c r="F10658" t="s" s="10">
        <v>53</v>
      </c>
      <c r="G10658" t="s" s="11">
        <v>53</v>
      </c>
      <c r="H10658" t="s" s="10">
        <v>53</v>
      </c>
      <c r="I10658" t="s" s="11">
        <v>53</v>
      </c>
      <c r="J10658" t="s" s="11">
        <v>53</v>
      </c>
      <c r="K10658" t="s" s="12">
        <v>53</v>
      </c>
      <c r="L10658" t="s" s="12">
        <v>53</v>
      </c>
      <c r="M10658" t="s" s="10">
        <v>53</v>
      </c>
      <c r="N10658" t="s" s="11">
        <v>53</v>
      </c>
      <c r="O10658" t="s" s="8">
        <v>53</v>
      </c>
      <c r="P10658" t="s" s="8">
        <v>53</v>
      </c>
      <c r="Q10658" t="s" s="12">
        <v>53</v>
      </c>
      <c r="R10658" t="s" s="12">
        <v>53</v>
      </c>
    </row>
    <row r="10659" s="2" customFormat="1" ht="13.5" customHeight="1">
      <c r="B10659" s="13"/>
      <c r="C10659" t="s" s="9">
        <v>16</v>
      </c>
      <c r="D10659" t="s" s="8">
        <v>3986</v>
      </c>
      <c r="E10659" t="s" s="9">
        <v>3989</v>
      </c>
      <c r="F10659" t="s" s="10">
        <v>148</v>
      </c>
      <c r="G10659" t="s" s="11">
        <v>148</v>
      </c>
      <c r="H10659" t="s" s="10">
        <v>148</v>
      </c>
      <c r="I10659" t="s" s="11">
        <v>148</v>
      </c>
      <c r="J10659" t="s" s="11">
        <v>20</v>
      </c>
      <c r="K10659" t="s" s="16">
        <f>HYPERLINK("http://csr.bu.edu/ftp/asl/asllvd/demos/verify_start_end_handshape_annotations//test_auto_move//signs_mov/15294.mov","MOV")</f>
        <v>21</v>
      </c>
      <c r="L10659" t="s" s="16">
        <f>HYPERLINK("http://csr.bu.edu/ftp/asl/asllvd/demos/verify_start_end_handshape_annotations//test_auto_move//signs_mov_separ_signers/Liz_15294.mov","MOV")</f>
        <v>21</v>
      </c>
      <c r="M10659" t="s" s="10">
        <v>77</v>
      </c>
      <c r="N10659" s="17">
        <v>29</v>
      </c>
      <c r="O10659" s="18">
        <v>2942</v>
      </c>
      <c r="P10659" s="18">
        <v>2980</v>
      </c>
      <c r="Q10659" t="s" s="16">
        <f>HYPERLINK("http://secrets.rutgers.edu:8080/data/asl-ftp/asllvd/demos/verify_start_end_handshape_annotations//test_auto_move//signs_mov/15294.mov","MOV")</f>
        <v>21</v>
      </c>
      <c r="R10659" t="s" s="16">
        <f>HYPERLINK("http://secrets.rutgers.edu:8080/data/asl-ftp/asllvd/demos/verify_start_end_handshape_annotations//test_auto_move//signs_mov_separ_signers/Liz_15294.mov","MOV")</f>
        <v>21</v>
      </c>
    </row>
    <row r="10660" s="2" customFormat="1" ht="13.5" customHeight="1">
      <c r="B10660" t="s" s="8">
        <v>3990</v>
      </c>
      <c r="C10660" t="s" s="9">
        <v>14</v>
      </c>
      <c r="D10660" t="s" s="8">
        <v>14</v>
      </c>
      <c r="E10660" t="s" s="9">
        <v>14</v>
      </c>
      <c r="F10660" t="s" s="10">
        <v>14</v>
      </c>
      <c r="G10660" t="s" s="11">
        <v>14</v>
      </c>
      <c r="H10660" t="s" s="10">
        <v>14</v>
      </c>
      <c r="I10660" t="s" s="11">
        <v>14</v>
      </c>
      <c r="J10660" t="s" s="11">
        <v>14</v>
      </c>
      <c r="K10660" t="s" s="12">
        <v>14</v>
      </c>
      <c r="L10660" t="s" s="12">
        <v>14</v>
      </c>
      <c r="M10660" t="s" s="10">
        <v>14</v>
      </c>
      <c r="N10660" t="s" s="11">
        <v>14</v>
      </c>
      <c r="O10660" t="s" s="8">
        <v>14</v>
      </c>
      <c r="P10660" t="s" s="8">
        <v>14</v>
      </c>
      <c r="Q10660" t="s" s="12">
        <v>14</v>
      </c>
      <c r="R10660" t="s" s="12">
        <v>14</v>
      </c>
    </row>
    <row r="10661" s="2" customFormat="1" ht="13.5" customHeight="1">
      <c r="B10661" s="13"/>
      <c r="C10661" t="s" s="9">
        <v>16</v>
      </c>
      <c r="D10661" t="s" s="8">
        <v>3990</v>
      </c>
      <c r="E10661" t="s" s="9">
        <v>3990</v>
      </c>
      <c r="F10661" t="s" s="10">
        <v>25</v>
      </c>
      <c r="G10661" t="s" s="11">
        <v>25</v>
      </c>
      <c r="H10661" t="s" s="10">
        <v>25</v>
      </c>
      <c r="I10661" t="s" s="11">
        <v>25</v>
      </c>
      <c r="J10661" t="s" s="11">
        <v>20</v>
      </c>
      <c r="K10661" s="15"/>
      <c r="L10661" t="s" s="16">
        <f>HYPERLINK("http://csr.bu.edu/ftp/asl/asllvd/demos/verify_start_end_handshape_annotations//test_auto_move//signs_mov_separ_signers/Liz_16022.mov","MOV")</f>
        <v>21</v>
      </c>
      <c r="M10661" t="s" s="10">
        <v>36</v>
      </c>
      <c r="N10661" s="17">
        <v>14</v>
      </c>
      <c r="O10661" s="18">
        <v>135</v>
      </c>
      <c r="P10661" s="18">
        <v>182</v>
      </c>
      <c r="Q10661" s="15"/>
      <c r="R10661" t="s" s="16">
        <f>HYPERLINK("http://secrets.rutgers.edu:8080/data/asl-ftp/asllvd/demos/verify_start_end_handshape_annotations//test_auto_move//signs_mov_separ_signers/Liz_16022.mov","MOV")</f>
        <v>21</v>
      </c>
    </row>
    <row r="10662" s="2" customFormat="1" ht="13.5" customHeight="1">
      <c r="B10662" s="13"/>
      <c r="C10662" t="s" s="9">
        <v>30</v>
      </c>
      <c r="D10662" t="s" s="8">
        <v>3990</v>
      </c>
      <c r="E10662" t="s" s="9">
        <v>3990</v>
      </c>
      <c r="F10662" t="s" s="10">
        <v>25</v>
      </c>
      <c r="G10662" t="s" s="11">
        <v>25</v>
      </c>
      <c r="H10662" t="s" s="10">
        <v>25</v>
      </c>
      <c r="I10662" t="s" s="11">
        <v>25</v>
      </c>
      <c r="J10662" t="s" s="11">
        <v>20</v>
      </c>
      <c r="K10662" t="s" s="16">
        <f>HYPERLINK("http://csr.bu.edu/ftp/asl/asllvd/demos/verify_start_end_handshape_annotations//test_auto_move//signs_mov/16022_16081_merged.mov","MOV")</f>
        <v>21</v>
      </c>
      <c r="L10662" t="s" s="16">
        <f>HYPERLINK("http://csr.bu.edu/ftp/asl/asllvd/demos/verify_start_end_handshape_annotations//test_auto_move//signs_mov_separ_signers/Brady_16022.mov","MOV")</f>
        <v>21</v>
      </c>
      <c r="M10662" t="s" s="10">
        <v>40</v>
      </c>
      <c r="N10662" s="17">
        <v>58</v>
      </c>
      <c r="O10662" s="18">
        <v>2770</v>
      </c>
      <c r="P10662" s="18">
        <v>2794</v>
      </c>
      <c r="Q10662" t="s" s="16">
        <f>HYPERLINK("http://secrets.rutgers.edu:8080/data/asl-ftp/asllvd/demos/verify_start_end_handshape_annotations//test_auto_move//signs_mov/16022_16081_merged.mov","MOV")</f>
        <v>21</v>
      </c>
      <c r="R10662" t="s" s="16">
        <f>HYPERLINK("http://secrets.rutgers.edu:8080/data/asl-ftp/asllvd/demos/verify_start_end_handshape_annotations//test_auto_move//signs_mov_separ_signers/Brady_16022.mov","MOV")</f>
        <v>21</v>
      </c>
    </row>
    <row r="10663" s="2" customFormat="1" ht="13.5" customHeight="1">
      <c r="B10663" s="13"/>
      <c r="C10663" t="s" s="9">
        <v>30</v>
      </c>
      <c r="D10663" t="s" s="8">
        <v>3990</v>
      </c>
      <c r="E10663" t="s" s="9">
        <v>3990</v>
      </c>
      <c r="F10663" t="s" s="10">
        <v>25</v>
      </c>
      <c r="G10663" t="s" s="11">
        <v>25</v>
      </c>
      <c r="H10663" t="s" s="10">
        <v>25</v>
      </c>
      <c r="I10663" t="s" s="11">
        <v>25</v>
      </c>
      <c r="J10663" t="s" s="11">
        <v>20</v>
      </c>
      <c r="K10663" s="15"/>
      <c r="L10663" t="s" s="16">
        <f>HYPERLINK("http://csr.bu.edu/ftp/asl/asllvd/demos/verify_start_end_handshape_annotations//test_auto_move//signs_mov_separ_signers/Brady_16081.mov","MOV")</f>
        <v>21</v>
      </c>
      <c r="M10663" t="s" s="10">
        <v>40</v>
      </c>
      <c r="N10663" s="17">
        <v>58</v>
      </c>
      <c r="O10663" s="18">
        <v>3005</v>
      </c>
      <c r="P10663" s="18">
        <v>3025</v>
      </c>
      <c r="Q10663" s="15"/>
      <c r="R10663" t="s" s="16">
        <f>HYPERLINK("http://secrets.rutgers.edu:8080/data/asl-ftp/asllvd/demos/verify_start_end_handshape_annotations//test_auto_move//signs_mov_separ_signers/Brady_16081.mov","MOV")</f>
        <v>21</v>
      </c>
    </row>
    <row r="10664" s="2" customFormat="1" ht="13.5" customHeight="1">
      <c r="B10664" t="s" s="8">
        <v>52</v>
      </c>
      <c r="C10664" t="s" s="9">
        <v>53</v>
      </c>
      <c r="D10664" t="s" s="8">
        <v>53</v>
      </c>
      <c r="E10664" t="s" s="9">
        <v>53</v>
      </c>
      <c r="F10664" t="s" s="10">
        <v>53</v>
      </c>
      <c r="G10664" t="s" s="11">
        <v>53</v>
      </c>
      <c r="H10664" t="s" s="10">
        <v>53</v>
      </c>
      <c r="I10664" t="s" s="11">
        <v>53</v>
      </c>
      <c r="J10664" t="s" s="11">
        <v>53</v>
      </c>
      <c r="K10664" t="s" s="12">
        <v>53</v>
      </c>
      <c r="L10664" t="s" s="12">
        <v>53</v>
      </c>
      <c r="M10664" t="s" s="10">
        <v>53</v>
      </c>
      <c r="N10664" t="s" s="11">
        <v>53</v>
      </c>
      <c r="O10664" t="s" s="8">
        <v>53</v>
      </c>
      <c r="P10664" t="s" s="8">
        <v>53</v>
      </c>
      <c r="Q10664" t="s" s="12">
        <v>53</v>
      </c>
      <c r="R10664" t="s" s="12">
        <v>53</v>
      </c>
    </row>
    <row r="10665" s="2" customFormat="1" ht="13.5" customHeight="1">
      <c r="B10665" s="13"/>
      <c r="C10665" t="s" s="9">
        <v>16</v>
      </c>
      <c r="D10665" t="s" s="8">
        <v>3990</v>
      </c>
      <c r="E10665" t="s" s="9">
        <v>3991</v>
      </c>
      <c r="F10665" t="s" s="10">
        <v>2861</v>
      </c>
      <c r="G10665" t="s" s="11">
        <v>2861</v>
      </c>
      <c r="H10665" t="s" s="10">
        <v>2861</v>
      </c>
      <c r="I10665" t="s" s="11">
        <v>2861</v>
      </c>
      <c r="J10665" t="s" s="11">
        <v>20</v>
      </c>
      <c r="K10665" t="s" s="16">
        <f>HYPERLINK("http://csr.bu.edu/ftp/asl/asllvd/demos/verify_start_end_handshape_annotations//test_auto_move//signs_mov/16125.mov","MOV")</f>
        <v>21</v>
      </c>
      <c r="L10665" t="s" s="16">
        <f>HYPERLINK("http://csr.bu.edu/ftp/asl/asllvd/demos/verify_start_end_handshape_annotations//test_auto_move//signs_mov_separ_signers/Liz_16125.mov","MOV")</f>
        <v>21</v>
      </c>
      <c r="M10665" t="s" s="10">
        <v>36</v>
      </c>
      <c r="N10665" s="17">
        <v>13</v>
      </c>
      <c r="O10665" s="18">
        <v>2531</v>
      </c>
      <c r="P10665" s="18">
        <v>2575</v>
      </c>
      <c r="Q10665" t="s" s="16">
        <f>HYPERLINK("http://secrets.rutgers.edu:8080/data/asl-ftp/asllvd/demos/verify_start_end_handshape_annotations//test_auto_move//signs_mov/16125.mov","MOV")</f>
        <v>21</v>
      </c>
      <c r="R10665" t="s" s="16">
        <f>HYPERLINK("http://secrets.rutgers.edu:8080/data/asl-ftp/asllvd/demos/verify_start_end_handshape_annotations//test_auto_move//signs_mov_separ_signers/Liz_16125.mov","MOV")</f>
        <v>21</v>
      </c>
    </row>
    <row r="10666" s="2" customFormat="1" ht="13.5" customHeight="1">
      <c r="B10666" s="13"/>
      <c r="C10666" t="s" s="9">
        <v>41</v>
      </c>
      <c r="D10666" t="s" s="8">
        <v>3990</v>
      </c>
      <c r="E10666" t="s" s="9">
        <v>3991</v>
      </c>
      <c r="F10666" t="s" s="10">
        <v>2861</v>
      </c>
      <c r="G10666" t="s" s="11">
        <v>2861</v>
      </c>
      <c r="H10666" t="s" s="10">
        <v>251</v>
      </c>
      <c r="I10666" t="s" s="11">
        <v>251</v>
      </c>
      <c r="J10666" t="s" s="11">
        <v>20</v>
      </c>
      <c r="K10666" s="15"/>
      <c r="L10666" t="s" s="16">
        <f>HYPERLINK("http://csr.bu.edu/ftp/asl/asllvd/demos/verify_start_end_handshape_annotations//test_auto_move//signs_mov_separ_signers/Lana_16125.mov","MOV")</f>
        <v>21</v>
      </c>
      <c r="M10666" t="s" s="10">
        <v>42</v>
      </c>
      <c r="N10666" s="17">
        <v>22</v>
      </c>
      <c r="O10666" s="18">
        <v>2573</v>
      </c>
      <c r="P10666" s="18">
        <v>2584</v>
      </c>
      <c r="Q10666" s="15"/>
      <c r="R10666" t="s" s="16">
        <f>HYPERLINK("http://secrets.rutgers.edu:8080/data/asl-ftp/asllvd/demos/verify_start_end_handshape_annotations//test_auto_move//signs_mov_separ_signers/Lana_16125.mov","MOV")</f>
        <v>21</v>
      </c>
    </row>
    <row r="10667" s="2" customFormat="1" ht="13.5" customHeight="1">
      <c r="B10667" t="s" s="8">
        <v>3992</v>
      </c>
      <c r="C10667" t="s" s="9">
        <v>14</v>
      </c>
      <c r="D10667" t="s" s="8">
        <v>14</v>
      </c>
      <c r="E10667" t="s" s="9">
        <v>14</v>
      </c>
      <c r="F10667" t="s" s="10">
        <v>14</v>
      </c>
      <c r="G10667" t="s" s="11">
        <v>14</v>
      </c>
      <c r="H10667" t="s" s="10">
        <v>14</v>
      </c>
      <c r="I10667" t="s" s="11">
        <v>14</v>
      </c>
      <c r="J10667" t="s" s="11">
        <v>14</v>
      </c>
      <c r="K10667" t="s" s="12">
        <v>14</v>
      </c>
      <c r="L10667" t="s" s="12">
        <v>14</v>
      </c>
      <c r="M10667" t="s" s="10">
        <v>14</v>
      </c>
      <c r="N10667" t="s" s="11">
        <v>14</v>
      </c>
      <c r="O10667" t="s" s="8">
        <v>14</v>
      </c>
      <c r="P10667" t="s" s="8">
        <v>14</v>
      </c>
      <c r="Q10667" t="s" s="12">
        <v>14</v>
      </c>
      <c r="R10667" t="s" s="12">
        <v>14</v>
      </c>
    </row>
    <row r="10668" s="2" customFormat="1" ht="13.5" customHeight="1">
      <c r="B10668" s="13"/>
      <c r="C10668" t="s" s="9">
        <v>30</v>
      </c>
      <c r="D10668" t="s" s="8">
        <v>3992</v>
      </c>
      <c r="E10668" t="s" s="9">
        <v>3993</v>
      </c>
      <c r="F10668" s="19">
        <v>5</v>
      </c>
      <c r="G10668" s="17">
        <v>5</v>
      </c>
      <c r="H10668" s="19">
        <v>5</v>
      </c>
      <c r="I10668" s="17">
        <v>5</v>
      </c>
      <c r="J10668" t="s" s="11">
        <v>20</v>
      </c>
      <c r="K10668" t="s" s="16">
        <f>HYPERLINK("http://csr.bu.edu/ftp/asl/asllvd/demos/verify_start_end_handshape_annotations//test_auto_move//signs_mov/16126.mov","MOV")</f>
        <v>21</v>
      </c>
      <c r="L10668" t="s" s="16">
        <f>HYPERLINK("http://csr.bu.edu/ftp/asl/asllvd/demos/verify_start_end_handshape_annotations//test_auto_move//signs_mov_separ_signers/Brady_16126.mov","MOV")</f>
        <v>21</v>
      </c>
      <c r="M10668" t="s" s="10">
        <v>39</v>
      </c>
      <c r="N10668" s="17">
        <v>35</v>
      </c>
      <c r="O10668" s="18">
        <v>1149</v>
      </c>
      <c r="P10668" s="18">
        <v>1185</v>
      </c>
      <c r="Q10668" t="s" s="16">
        <f>HYPERLINK("http://secrets.rutgers.edu:8080/data/asl-ftp/asllvd/demos/verify_start_end_handshape_annotations//test_auto_move//signs_mov/16126.mov","MOV")</f>
        <v>21</v>
      </c>
      <c r="R10668" t="s" s="16">
        <f>HYPERLINK("http://secrets.rutgers.edu:8080/data/asl-ftp/asllvd/demos/verify_start_end_handshape_annotations//test_auto_move//signs_mov_separ_signers/Brady_16126.mov","MOV")</f>
        <v>21</v>
      </c>
    </row>
    <row r="10669" s="2" customFormat="1" ht="13.5" customHeight="1">
      <c r="B10669" t="s" s="8">
        <v>3994</v>
      </c>
      <c r="C10669" t="s" s="9">
        <v>14</v>
      </c>
      <c r="D10669" t="s" s="8">
        <v>14</v>
      </c>
      <c r="E10669" t="s" s="9">
        <v>14</v>
      </c>
      <c r="F10669" t="s" s="10">
        <v>14</v>
      </c>
      <c r="G10669" t="s" s="11">
        <v>14</v>
      </c>
      <c r="H10669" t="s" s="10">
        <v>14</v>
      </c>
      <c r="I10669" t="s" s="11">
        <v>14</v>
      </c>
      <c r="J10669" t="s" s="11">
        <v>14</v>
      </c>
      <c r="K10669" t="s" s="12">
        <v>14</v>
      </c>
      <c r="L10669" t="s" s="12">
        <v>14</v>
      </c>
      <c r="M10669" t="s" s="10">
        <v>14</v>
      </c>
      <c r="N10669" t="s" s="11">
        <v>14</v>
      </c>
      <c r="O10669" t="s" s="8">
        <v>14</v>
      </c>
      <c r="P10669" t="s" s="8">
        <v>14</v>
      </c>
      <c r="Q10669" t="s" s="12">
        <v>14</v>
      </c>
      <c r="R10669" t="s" s="12">
        <v>14</v>
      </c>
    </row>
    <row r="10670" s="2" customFormat="1" ht="13.5" customHeight="1">
      <c r="B10670" s="13"/>
      <c r="C10670" t="s" s="9">
        <v>16</v>
      </c>
      <c r="D10670" t="s" s="8">
        <v>3994</v>
      </c>
      <c r="E10670" t="s" s="9">
        <v>3995</v>
      </c>
      <c r="F10670" t="s" s="10">
        <v>18</v>
      </c>
      <c r="G10670" s="14"/>
      <c r="H10670" t="s" s="10">
        <v>63</v>
      </c>
      <c r="I10670" s="14"/>
      <c r="J10670" t="s" s="11">
        <v>20</v>
      </c>
      <c r="K10670" s="15"/>
      <c r="L10670" t="s" s="16">
        <f>HYPERLINK("http://csr.bu.edu/ftp/asl/asllvd/demos/verify_start_end_handshape_annotations//test_auto_move//signs_mov_separ_signers/Liz_4558.mov","MOV")</f>
        <v>21</v>
      </c>
      <c r="M10670" t="s" s="10">
        <v>36</v>
      </c>
      <c r="N10670" s="17">
        <v>51</v>
      </c>
      <c r="O10670" s="18">
        <v>1566</v>
      </c>
      <c r="P10670" s="18">
        <v>1622</v>
      </c>
      <c r="Q10670" s="15"/>
      <c r="R10670" t="s" s="16">
        <f>HYPERLINK("http://secrets.rutgers.edu:8080/data/asl-ftp/asllvd/demos/verify_start_end_handshape_annotations//test_auto_move//signs_mov_separ_signers/Liz_4558.mov","MOV")</f>
        <v>21</v>
      </c>
    </row>
    <row r="10671" s="2" customFormat="1" ht="13.5" customHeight="1">
      <c r="B10671" s="13"/>
      <c r="C10671" t="s" s="9">
        <v>16</v>
      </c>
      <c r="D10671" t="s" s="8">
        <v>3994</v>
      </c>
      <c r="E10671" t="s" s="9">
        <v>3996</v>
      </c>
      <c r="F10671" t="s" s="10">
        <v>18</v>
      </c>
      <c r="G10671" s="14"/>
      <c r="H10671" t="s" s="10">
        <v>63</v>
      </c>
      <c r="I10671" s="14"/>
      <c r="J10671" t="s" s="11">
        <v>20</v>
      </c>
      <c r="K10671" t="s" s="16">
        <f>HYPERLINK("http://csr.bu.edu/ftp/asl/asllvd/demos/verify_start_end_handshape_annotations//test_auto_move//signs_mov/4558_5755_merged.mov","MOV")</f>
        <v>21</v>
      </c>
      <c r="L10671" t="s" s="16">
        <f>HYPERLINK("http://csr.bu.edu/ftp/asl/asllvd/demos/verify_start_end_handshape_annotations//test_auto_move//signs_mov_separ_signers/Liz_5755.mov","MOV")</f>
        <v>21</v>
      </c>
      <c r="M10671" t="s" s="10">
        <v>77</v>
      </c>
      <c r="N10671" s="17">
        <v>6</v>
      </c>
      <c r="O10671" s="18">
        <v>954</v>
      </c>
      <c r="P10671" s="18">
        <v>1009</v>
      </c>
      <c r="Q10671" t="s" s="16">
        <f>HYPERLINK("http://secrets.rutgers.edu:8080/data/asl-ftp/asllvd/demos/verify_start_end_handshape_annotations//test_auto_move//signs_mov/4558_5755_merged.mov","MOV")</f>
        <v>21</v>
      </c>
      <c r="R10671" t="s" s="16">
        <f>HYPERLINK("http://secrets.rutgers.edu:8080/data/asl-ftp/asllvd/demos/verify_start_end_handshape_annotations//test_auto_move//signs_mov_separ_signers/Liz_5755.mov","MOV")</f>
        <v>21</v>
      </c>
    </row>
    <row r="10672" s="2" customFormat="1" ht="13.5" customHeight="1">
      <c r="B10672" s="13"/>
      <c r="C10672" t="s" s="9">
        <v>30</v>
      </c>
      <c r="D10672" t="s" s="8">
        <v>3994</v>
      </c>
      <c r="E10672" t="s" s="9">
        <v>3996</v>
      </c>
      <c r="F10672" t="s" s="10">
        <v>292</v>
      </c>
      <c r="G10672" s="14"/>
      <c r="H10672" t="s" s="10">
        <v>63</v>
      </c>
      <c r="I10672" s="14"/>
      <c r="J10672" t="s" s="11">
        <v>20</v>
      </c>
      <c r="K10672" s="15"/>
      <c r="L10672" t="s" s="16">
        <f>HYPERLINK("http://csr.bu.edu/ftp/asl/asllvd/demos/verify_start_end_handshape_annotations//test_auto_move//signs_mov_separ_signers/Brady_4558.mov","MOV")</f>
        <v>21</v>
      </c>
      <c r="M10672" t="s" s="10">
        <v>31</v>
      </c>
      <c r="N10672" s="17">
        <v>10</v>
      </c>
      <c r="O10672" s="18">
        <v>9537</v>
      </c>
      <c r="P10672" s="18">
        <v>9563</v>
      </c>
      <c r="Q10672" s="15"/>
      <c r="R10672" t="s" s="16">
        <f>HYPERLINK("http://secrets.rutgers.edu:8080/data/asl-ftp/asllvd/demos/verify_start_end_handshape_annotations//test_auto_move//signs_mov_separ_signers/Brady_4558.mov","MOV")</f>
        <v>21</v>
      </c>
    </row>
    <row r="10673" s="2" customFormat="1" ht="13.5" customHeight="1">
      <c r="B10673" s="13"/>
      <c r="C10673" t="s" s="9">
        <v>30</v>
      </c>
      <c r="D10673" t="s" s="8">
        <v>3994</v>
      </c>
      <c r="E10673" t="s" s="9">
        <v>3995</v>
      </c>
      <c r="F10673" t="s" s="10">
        <v>292</v>
      </c>
      <c r="G10673" s="14"/>
      <c r="H10673" t="s" s="10">
        <v>63</v>
      </c>
      <c r="I10673" s="14"/>
      <c r="J10673" t="s" s="11">
        <v>20</v>
      </c>
      <c r="K10673" s="15"/>
      <c r="L10673" t="s" s="16">
        <f>HYPERLINK("http://csr.bu.edu/ftp/asl/asllvd/demos/verify_start_end_handshape_annotations//test_auto_move//signs_mov_separ_signers/Brady_5755.mov","MOV")</f>
        <v>21</v>
      </c>
      <c r="M10673" t="s" s="10">
        <v>40</v>
      </c>
      <c r="N10673" s="17">
        <v>102</v>
      </c>
      <c r="O10673" s="18">
        <v>2957</v>
      </c>
      <c r="P10673" s="18">
        <v>3005</v>
      </c>
      <c r="Q10673" s="15"/>
      <c r="R10673" t="s" s="16">
        <f>HYPERLINK("http://secrets.rutgers.edu:8080/data/asl-ftp/asllvd/demos/verify_start_end_handshape_annotations//test_auto_move//signs_mov_separ_signers/Brady_5755.mov","MOV")</f>
        <v>21</v>
      </c>
    </row>
    <row r="10674" s="2" customFormat="1" ht="13.5" customHeight="1">
      <c r="B10674" t="s" s="8">
        <v>3997</v>
      </c>
      <c r="C10674" t="s" s="9">
        <v>14</v>
      </c>
      <c r="D10674" t="s" s="8">
        <v>14</v>
      </c>
      <c r="E10674" t="s" s="9">
        <v>14</v>
      </c>
      <c r="F10674" t="s" s="10">
        <v>14</v>
      </c>
      <c r="G10674" t="s" s="11">
        <v>14</v>
      </c>
      <c r="H10674" t="s" s="10">
        <v>14</v>
      </c>
      <c r="I10674" t="s" s="11">
        <v>14</v>
      </c>
      <c r="J10674" t="s" s="11">
        <v>14</v>
      </c>
      <c r="K10674" t="s" s="12">
        <v>14</v>
      </c>
      <c r="L10674" t="s" s="12">
        <v>14</v>
      </c>
      <c r="M10674" t="s" s="10">
        <v>14</v>
      </c>
      <c r="N10674" t="s" s="11">
        <v>14</v>
      </c>
      <c r="O10674" t="s" s="8">
        <v>14</v>
      </c>
      <c r="P10674" t="s" s="8">
        <v>14</v>
      </c>
      <c r="Q10674" t="s" s="12">
        <v>14</v>
      </c>
      <c r="R10674" t="s" s="12">
        <v>14</v>
      </c>
    </row>
    <row r="10675" s="2" customFormat="1" ht="13.5" customHeight="1">
      <c r="B10675" s="13"/>
      <c r="C10675" t="s" s="9">
        <v>16</v>
      </c>
      <c r="D10675" t="s" s="8">
        <v>3997</v>
      </c>
      <c r="E10675" t="s" s="9">
        <v>3997</v>
      </c>
      <c r="F10675" s="19">
        <v>1</v>
      </c>
      <c r="G10675" s="17">
        <v>1</v>
      </c>
      <c r="H10675" s="19">
        <v>1</v>
      </c>
      <c r="I10675" s="17">
        <v>1</v>
      </c>
      <c r="J10675" t="s" s="11">
        <v>20</v>
      </c>
      <c r="K10675" t="s" s="16">
        <f>HYPERLINK("http://csr.bu.edu/ftp/asl/asllvd/demos/verify_start_end_handshape_annotations//test_auto_move//signs_mov/4559.mov","MOV")</f>
        <v>21</v>
      </c>
      <c r="L10675" t="s" s="16">
        <f>HYPERLINK("http://csr.bu.edu/ftp/asl/asllvd/demos/verify_start_end_handshape_annotations//test_auto_move//signs_mov_separ_signers/Liz_4559.mov","MOV")</f>
        <v>21</v>
      </c>
      <c r="M10675" t="s" s="10">
        <v>36</v>
      </c>
      <c r="N10675" s="17">
        <v>34</v>
      </c>
      <c r="O10675" s="18">
        <v>3060</v>
      </c>
      <c r="P10675" s="18">
        <v>3132</v>
      </c>
      <c r="Q10675" t="s" s="16">
        <f>HYPERLINK("http://secrets.rutgers.edu:8080/data/asl-ftp/asllvd/demos/verify_start_end_handshape_annotations//test_auto_move//signs_mov/4559.mov","MOV")</f>
        <v>21</v>
      </c>
      <c r="R10675" t="s" s="16">
        <f>HYPERLINK("http://secrets.rutgers.edu:8080/data/asl-ftp/asllvd/demos/verify_start_end_handshape_annotations//test_auto_move//signs_mov_separ_signers/Liz_4559.mov","MOV")</f>
        <v>21</v>
      </c>
    </row>
    <row r="10676" s="2" customFormat="1" ht="13.5" customHeight="1">
      <c r="B10676" t="s" s="8">
        <v>3998</v>
      </c>
      <c r="C10676" t="s" s="9">
        <v>14</v>
      </c>
      <c r="D10676" t="s" s="8">
        <v>14</v>
      </c>
      <c r="E10676" t="s" s="9">
        <v>14</v>
      </c>
      <c r="F10676" t="s" s="10">
        <v>14</v>
      </c>
      <c r="G10676" t="s" s="11">
        <v>14</v>
      </c>
      <c r="H10676" t="s" s="10">
        <v>14</v>
      </c>
      <c r="I10676" t="s" s="11">
        <v>14</v>
      </c>
      <c r="J10676" t="s" s="11">
        <v>14</v>
      </c>
      <c r="K10676" t="s" s="12">
        <v>14</v>
      </c>
      <c r="L10676" t="s" s="12">
        <v>14</v>
      </c>
      <c r="M10676" t="s" s="10">
        <v>14</v>
      </c>
      <c r="N10676" t="s" s="11">
        <v>14</v>
      </c>
      <c r="O10676" t="s" s="8">
        <v>14</v>
      </c>
      <c r="P10676" t="s" s="8">
        <v>14</v>
      </c>
      <c r="Q10676" t="s" s="12">
        <v>14</v>
      </c>
      <c r="R10676" t="s" s="12">
        <v>14</v>
      </c>
    </row>
    <row r="10677" s="2" customFormat="1" ht="13.5" customHeight="1">
      <c r="B10677" s="13"/>
      <c r="C10677" t="s" s="9">
        <v>16</v>
      </c>
      <c r="D10677" t="s" s="8">
        <v>3998</v>
      </c>
      <c r="E10677" t="s" s="9">
        <v>3999</v>
      </c>
      <c r="F10677" s="19">
        <v>5</v>
      </c>
      <c r="G10677" s="17">
        <v>5</v>
      </c>
      <c r="H10677" s="19">
        <v>5</v>
      </c>
      <c r="I10677" s="17">
        <v>5</v>
      </c>
      <c r="J10677" t="s" s="11">
        <v>20</v>
      </c>
      <c r="K10677" t="s" s="16">
        <f>HYPERLINK("http://csr.bu.edu/ftp/asl/asllvd/demos/verify_start_end_handshape_annotations//test_auto_move//signs_mov/4580.mov","MOV")</f>
        <v>21</v>
      </c>
      <c r="L10677" t="s" s="16">
        <f>HYPERLINK("http://csr.bu.edu/ftp/asl/asllvd/demos/verify_start_end_handshape_annotations//test_auto_move//signs_mov_separ_signers/Liz_4580.mov","MOV")</f>
        <v>21</v>
      </c>
      <c r="M10677" t="s" s="10">
        <v>59</v>
      </c>
      <c r="N10677" s="17">
        <v>8</v>
      </c>
      <c r="O10677" s="18">
        <v>780</v>
      </c>
      <c r="P10677" s="18">
        <v>815</v>
      </c>
      <c r="Q10677" t="s" s="16">
        <f>HYPERLINK("http://secrets.rutgers.edu:8080/data/asl-ftp/asllvd/demos/verify_start_end_handshape_annotations//test_auto_move//signs_mov/4580.mov","MOV")</f>
        <v>21</v>
      </c>
      <c r="R10677" t="s" s="16">
        <f>HYPERLINK("http://secrets.rutgers.edu:8080/data/asl-ftp/asllvd/demos/verify_start_end_handshape_annotations//test_auto_move//signs_mov_separ_signers/Liz_4580.mov","MOV")</f>
        <v>21</v>
      </c>
    </row>
    <row r="10678" s="2" customFormat="1" ht="13.5" customHeight="1">
      <c r="B10678" s="13"/>
      <c r="C10678" t="s" s="9">
        <v>30</v>
      </c>
      <c r="D10678" t="s" s="8">
        <v>3998</v>
      </c>
      <c r="E10678" t="s" s="9">
        <v>3999</v>
      </c>
      <c r="F10678" t="s" s="10">
        <v>73</v>
      </c>
      <c r="G10678" t="s" s="11">
        <v>73</v>
      </c>
      <c r="H10678" t="s" s="10">
        <v>73</v>
      </c>
      <c r="I10678" t="s" s="11">
        <v>73</v>
      </c>
      <c r="J10678" t="s" s="11">
        <v>20</v>
      </c>
      <c r="K10678" s="15"/>
      <c r="L10678" t="s" s="16">
        <f>HYPERLINK("http://csr.bu.edu/ftp/asl/asllvd/demos/verify_start_end_handshape_annotations//test_auto_move//signs_mov_separ_signers/Brady_4580.mov","MOV")</f>
        <v>21</v>
      </c>
      <c r="M10678" t="s" s="10">
        <v>40</v>
      </c>
      <c r="N10678" s="17">
        <v>112</v>
      </c>
      <c r="O10678" s="18">
        <v>1402</v>
      </c>
      <c r="P10678" s="18">
        <v>1438</v>
      </c>
      <c r="Q10678" s="15"/>
      <c r="R10678" t="s" s="16">
        <f>HYPERLINK("http://secrets.rutgers.edu:8080/data/asl-ftp/asllvd/demos/verify_start_end_handshape_annotations//test_auto_move//signs_mov_separ_signers/Brady_4580.mov","MOV")</f>
        <v>21</v>
      </c>
    </row>
    <row r="10679" s="2" customFormat="1" ht="13.5" customHeight="1">
      <c r="B10679" t="s" s="8">
        <v>4000</v>
      </c>
      <c r="C10679" t="s" s="9">
        <v>14</v>
      </c>
      <c r="D10679" t="s" s="8">
        <v>14</v>
      </c>
      <c r="E10679" t="s" s="9">
        <v>14</v>
      </c>
      <c r="F10679" t="s" s="10">
        <v>14</v>
      </c>
      <c r="G10679" t="s" s="11">
        <v>14</v>
      </c>
      <c r="H10679" t="s" s="10">
        <v>14</v>
      </c>
      <c r="I10679" t="s" s="11">
        <v>14</v>
      </c>
      <c r="J10679" t="s" s="11">
        <v>14</v>
      </c>
      <c r="K10679" t="s" s="12">
        <v>14</v>
      </c>
      <c r="L10679" t="s" s="12">
        <v>14</v>
      </c>
      <c r="M10679" t="s" s="10">
        <v>14</v>
      </c>
      <c r="N10679" t="s" s="11">
        <v>14</v>
      </c>
      <c r="O10679" t="s" s="8">
        <v>14</v>
      </c>
      <c r="P10679" t="s" s="8">
        <v>14</v>
      </c>
      <c r="Q10679" t="s" s="12">
        <v>14</v>
      </c>
      <c r="R10679" t="s" s="12">
        <v>14</v>
      </c>
    </row>
    <row r="10680" s="2" customFormat="1" ht="13.5" customHeight="1">
      <c r="B10680" s="13"/>
      <c r="C10680" t="s" s="9">
        <v>16</v>
      </c>
      <c r="D10680" t="s" s="8">
        <v>4000</v>
      </c>
      <c r="E10680" t="s" s="9">
        <v>4001</v>
      </c>
      <c r="F10680" s="19">
        <v>5</v>
      </c>
      <c r="G10680" s="17">
        <v>5</v>
      </c>
      <c r="H10680" s="19">
        <v>5</v>
      </c>
      <c r="I10680" s="17">
        <v>5</v>
      </c>
      <c r="J10680" t="s" s="11">
        <v>20</v>
      </c>
      <c r="K10680" t="s" s="16">
        <f>HYPERLINK("http://csr.bu.edu/ftp/asl/asllvd/demos/verify_start_end_handshape_annotations//test_auto_move//signs_mov/15940.mov","MOV")</f>
        <v>21</v>
      </c>
      <c r="L10680" t="s" s="16">
        <f>HYPERLINK("http://csr.bu.edu/ftp/asl/asllvd/demos/verify_start_end_handshape_annotations//test_auto_move//signs_mov_separ_signers/Liz_15940.mov","MOV")</f>
        <v>21</v>
      </c>
      <c r="M10680" t="s" s="10">
        <v>36</v>
      </c>
      <c r="N10680" s="17">
        <v>53</v>
      </c>
      <c r="O10680" s="18">
        <v>247</v>
      </c>
      <c r="P10680" s="18">
        <v>292</v>
      </c>
      <c r="Q10680" t="s" s="16">
        <f>HYPERLINK("http://secrets.rutgers.edu:8080/data/asl-ftp/asllvd/demos/verify_start_end_handshape_annotations//test_auto_move//signs_mov/15940.mov","MOV")</f>
        <v>21</v>
      </c>
      <c r="R10680" t="s" s="16">
        <f>HYPERLINK("http://secrets.rutgers.edu:8080/data/asl-ftp/asllvd/demos/verify_start_end_handshape_annotations//test_auto_move//signs_mov_separ_signers/Liz_15940.mov","MOV")</f>
        <v>21</v>
      </c>
    </row>
    <row r="10681" s="2" customFormat="1" ht="13.5" customHeight="1">
      <c r="B10681" t="s" s="8">
        <v>52</v>
      </c>
      <c r="C10681" t="s" s="9">
        <v>53</v>
      </c>
      <c r="D10681" t="s" s="8">
        <v>53</v>
      </c>
      <c r="E10681" t="s" s="9">
        <v>53</v>
      </c>
      <c r="F10681" t="s" s="10">
        <v>53</v>
      </c>
      <c r="G10681" t="s" s="11">
        <v>53</v>
      </c>
      <c r="H10681" t="s" s="10">
        <v>53</v>
      </c>
      <c r="I10681" t="s" s="11">
        <v>53</v>
      </c>
      <c r="J10681" t="s" s="11">
        <v>53</v>
      </c>
      <c r="K10681" t="s" s="12">
        <v>53</v>
      </c>
      <c r="L10681" t="s" s="12">
        <v>53</v>
      </c>
      <c r="M10681" t="s" s="10">
        <v>53</v>
      </c>
      <c r="N10681" t="s" s="11">
        <v>53</v>
      </c>
      <c r="O10681" t="s" s="8">
        <v>53</v>
      </c>
      <c r="P10681" t="s" s="8">
        <v>53</v>
      </c>
      <c r="Q10681" t="s" s="12">
        <v>53</v>
      </c>
      <c r="R10681" t="s" s="12">
        <v>53</v>
      </c>
    </row>
    <row r="10682" s="2" customFormat="1" ht="13.5" customHeight="1">
      <c r="B10682" s="13"/>
      <c r="C10682" t="s" s="9">
        <v>16</v>
      </c>
      <c r="D10682" t="s" s="8">
        <v>4000</v>
      </c>
      <c r="E10682" t="s" s="9">
        <v>4002</v>
      </c>
      <c r="F10682" s="19">
        <v>5</v>
      </c>
      <c r="G10682" s="17">
        <v>5</v>
      </c>
      <c r="H10682" s="19">
        <v>5</v>
      </c>
      <c r="I10682" s="17">
        <v>5</v>
      </c>
      <c r="J10682" t="s" s="11">
        <v>20</v>
      </c>
      <c r="K10682" t="s" s="16">
        <f>HYPERLINK("http://csr.bu.edu/ftp/asl/asllvd/demos/verify_start_end_handshape_annotations//test_auto_move//signs_mov/15963.mov","MOV")</f>
        <v>21</v>
      </c>
      <c r="L10682" t="s" s="16">
        <f>HYPERLINK("http://csr.bu.edu/ftp/asl/asllvd/demos/verify_start_end_handshape_annotations//test_auto_move//signs_mov_separ_signers/Liz_15963.mov","MOV")</f>
        <v>21</v>
      </c>
      <c r="M10682" t="s" s="10">
        <v>36</v>
      </c>
      <c r="N10682" s="17">
        <v>53</v>
      </c>
      <c r="O10682" s="18">
        <v>552</v>
      </c>
      <c r="P10682" s="18">
        <v>610</v>
      </c>
      <c r="Q10682" t="s" s="16">
        <f>HYPERLINK("http://secrets.rutgers.edu:8080/data/asl-ftp/asllvd/demos/verify_start_end_handshape_annotations//test_auto_move//signs_mov/15963.mov","MOV")</f>
        <v>21</v>
      </c>
      <c r="R10682" t="s" s="16">
        <f>HYPERLINK("http://secrets.rutgers.edu:8080/data/asl-ftp/asllvd/demos/verify_start_end_handshape_annotations//test_auto_move//signs_mov_separ_signers/Liz_15963.mov","MOV")</f>
        <v>21</v>
      </c>
    </row>
    <row r="10683" s="2" customFormat="1" ht="13.5" customHeight="1">
      <c r="B10683" s="13"/>
      <c r="C10683" t="s" s="9">
        <v>30</v>
      </c>
      <c r="D10683" t="s" s="8">
        <v>4000</v>
      </c>
      <c r="E10683" t="s" s="9">
        <v>4002</v>
      </c>
      <c r="F10683" t="s" s="10">
        <v>73</v>
      </c>
      <c r="G10683" t="s" s="11">
        <v>73</v>
      </c>
      <c r="H10683" t="s" s="10">
        <v>73</v>
      </c>
      <c r="I10683" t="s" s="11">
        <v>73</v>
      </c>
      <c r="J10683" t="s" s="11">
        <v>20</v>
      </c>
      <c r="K10683" s="15"/>
      <c r="L10683" t="s" s="16">
        <f>HYPERLINK("http://csr.bu.edu/ftp/asl/asllvd/demos/verify_start_end_handshape_annotations//test_auto_move//signs_mov_separ_signers/Brady_15963.mov","MOV")</f>
        <v>21</v>
      </c>
      <c r="M10683" t="s" s="10">
        <v>40</v>
      </c>
      <c r="N10683" s="17">
        <v>104</v>
      </c>
      <c r="O10683" s="18">
        <v>1714</v>
      </c>
      <c r="P10683" s="18">
        <v>1744</v>
      </c>
      <c r="Q10683" s="15"/>
      <c r="R10683" t="s" s="16">
        <f>HYPERLINK("http://secrets.rutgers.edu:8080/data/asl-ftp/asllvd/demos/verify_start_end_handshape_annotations//test_auto_move//signs_mov_separ_signers/Brady_15963.mov","MOV")</f>
        <v>21</v>
      </c>
    </row>
    <row r="10684" s="2" customFormat="1" ht="13.5" customHeight="1">
      <c r="B10684" t="s" s="8">
        <v>4003</v>
      </c>
      <c r="C10684" t="s" s="9">
        <v>14</v>
      </c>
      <c r="D10684" t="s" s="8">
        <v>14</v>
      </c>
      <c r="E10684" t="s" s="9">
        <v>14</v>
      </c>
      <c r="F10684" t="s" s="10">
        <v>14</v>
      </c>
      <c r="G10684" t="s" s="11">
        <v>14</v>
      </c>
      <c r="H10684" t="s" s="10">
        <v>14</v>
      </c>
      <c r="I10684" t="s" s="11">
        <v>14</v>
      </c>
      <c r="J10684" t="s" s="11">
        <v>14</v>
      </c>
      <c r="K10684" t="s" s="12">
        <v>14</v>
      </c>
      <c r="L10684" t="s" s="12">
        <v>14</v>
      </c>
      <c r="M10684" t="s" s="10">
        <v>14</v>
      </c>
      <c r="N10684" t="s" s="11">
        <v>14</v>
      </c>
      <c r="O10684" t="s" s="8">
        <v>14</v>
      </c>
      <c r="P10684" t="s" s="8">
        <v>14</v>
      </c>
      <c r="Q10684" t="s" s="12">
        <v>14</v>
      </c>
      <c r="R10684" t="s" s="12">
        <v>14</v>
      </c>
    </row>
    <row r="10685" s="2" customFormat="1" ht="13.5" customHeight="1">
      <c r="B10685" s="13"/>
      <c r="C10685" t="s" s="9">
        <v>16</v>
      </c>
      <c r="D10685" t="s" s="8">
        <v>4003</v>
      </c>
      <c r="E10685" t="s" s="9">
        <v>4003</v>
      </c>
      <c r="F10685" s="19">
        <v>5</v>
      </c>
      <c r="G10685" s="17">
        <v>5</v>
      </c>
      <c r="H10685" s="19">
        <v>5</v>
      </c>
      <c r="I10685" s="17">
        <v>5</v>
      </c>
      <c r="J10685" t="s" s="11">
        <v>20</v>
      </c>
      <c r="K10685" s="15"/>
      <c r="L10685" t="s" s="16">
        <f>HYPERLINK("http://csr.bu.edu/ftp/asl/asllvd/demos/verify_start_end_handshape_annotations//test_auto_move//signs_mov_separ_signers/Liz_15986.mov","MOV")</f>
        <v>21</v>
      </c>
      <c r="M10685" t="s" s="10">
        <v>84</v>
      </c>
      <c r="N10685" s="17">
        <v>34</v>
      </c>
      <c r="O10685" s="18">
        <v>791</v>
      </c>
      <c r="P10685" s="18">
        <v>825</v>
      </c>
      <c r="Q10685" s="15"/>
      <c r="R10685" t="s" s="16">
        <f>HYPERLINK("http://secrets.rutgers.edu:8080/data/asl-ftp/asllvd/demos/verify_start_end_handshape_annotations//test_auto_move//signs_mov_separ_signers/Liz_15986.mov","MOV")</f>
        <v>21</v>
      </c>
    </row>
    <row r="10686" s="2" customFormat="1" ht="13.5" customHeight="1">
      <c r="B10686" s="13"/>
      <c r="C10686" t="s" s="9">
        <v>23</v>
      </c>
      <c r="D10686" t="s" s="8">
        <v>4003</v>
      </c>
      <c r="E10686" t="s" s="9">
        <v>4003</v>
      </c>
      <c r="F10686" s="19">
        <v>5</v>
      </c>
      <c r="G10686" s="17">
        <v>5</v>
      </c>
      <c r="H10686" s="19">
        <v>5</v>
      </c>
      <c r="I10686" s="17">
        <v>5</v>
      </c>
      <c r="J10686" t="s" s="11">
        <v>20</v>
      </c>
      <c r="K10686" t="s" s="16">
        <f>HYPERLINK("http://csr.bu.edu/ftp/asl/asllvd/demos/verify_start_end_handshape_annotations//test_auto_move//signs_mov/15986.mov","MOV")</f>
        <v>21</v>
      </c>
      <c r="L10686" t="s" s="16">
        <f>HYPERLINK("http://csr.bu.edu/ftp/asl/asllvd/demos/verify_start_end_handshape_annotations//test_auto_move//signs_mov_separ_signers/Tyler_15986.mov","MOV")</f>
        <v>21</v>
      </c>
      <c r="M10686" t="s" s="10">
        <v>92</v>
      </c>
      <c r="N10686" s="17">
        <v>14</v>
      </c>
      <c r="O10686" s="18">
        <v>451</v>
      </c>
      <c r="P10686" s="18">
        <v>497</v>
      </c>
      <c r="Q10686" t="s" s="16">
        <f>HYPERLINK("http://secrets.rutgers.edu:8080/data/asl-ftp/asllvd/demos/verify_start_end_handshape_annotations//test_auto_move//signs_mov/15986.mov","MOV")</f>
        <v>21</v>
      </c>
      <c r="R10686" t="s" s="16">
        <f>HYPERLINK("http://secrets.rutgers.edu:8080/data/asl-ftp/asllvd/demos/verify_start_end_handshape_annotations//test_auto_move//signs_mov_separ_signers/Tyler_15986.mov","MOV")</f>
        <v>21</v>
      </c>
    </row>
    <row r="10687" s="2" customFormat="1" ht="13.5" customHeight="1">
      <c r="B10687" s="13"/>
      <c r="C10687" t="s" s="9">
        <v>27</v>
      </c>
      <c r="D10687" t="s" s="8">
        <v>4003</v>
      </c>
      <c r="E10687" t="s" s="9">
        <v>4003</v>
      </c>
      <c r="F10687" s="19">
        <v>5</v>
      </c>
      <c r="G10687" s="17">
        <v>5</v>
      </c>
      <c r="H10687" s="19">
        <v>5</v>
      </c>
      <c r="I10687" s="17">
        <v>5</v>
      </c>
      <c r="J10687" t="s" s="11">
        <v>20</v>
      </c>
      <c r="K10687" s="15"/>
      <c r="L10687" t="s" s="16">
        <f>HYPERLINK("http://csr.bu.edu/ftp/asl/asllvd/demos/verify_start_end_handshape_annotations//test_auto_move//signs_mov_separ_signers/Naomi_15986.mov","MOV")</f>
        <v>21</v>
      </c>
      <c r="M10687" t="s" s="10">
        <v>86</v>
      </c>
      <c r="N10687" s="17">
        <v>34</v>
      </c>
      <c r="O10687" s="18">
        <v>422</v>
      </c>
      <c r="P10687" s="18">
        <v>446</v>
      </c>
      <c r="Q10687" s="15"/>
      <c r="R10687" t="s" s="16">
        <f>HYPERLINK("http://secrets.rutgers.edu:8080/data/asl-ftp/asllvd/demos/verify_start_end_handshape_annotations//test_auto_move//signs_mov_separ_signers/Naomi_15986.mov","MOV")</f>
        <v>21</v>
      </c>
    </row>
    <row r="10688" s="2" customFormat="1" ht="13.5" customHeight="1">
      <c r="B10688" s="13"/>
      <c r="C10688" t="s" s="9">
        <v>30</v>
      </c>
      <c r="D10688" t="s" s="8">
        <v>4003</v>
      </c>
      <c r="E10688" t="s" s="9">
        <v>4003</v>
      </c>
      <c r="F10688" t="s" s="10">
        <v>73</v>
      </c>
      <c r="G10688" t="s" s="11">
        <v>73</v>
      </c>
      <c r="H10688" t="s" s="10">
        <v>73</v>
      </c>
      <c r="I10688" t="s" s="11">
        <v>73</v>
      </c>
      <c r="J10688" t="s" s="11">
        <v>20</v>
      </c>
      <c r="K10688" s="15"/>
      <c r="L10688" t="s" s="16">
        <f>HYPERLINK("http://csr.bu.edu/ftp/asl/asllvd/demos/verify_start_end_handshape_annotations//test_auto_move//signs_mov_separ_signers/Brady_15986.mov","MOV")</f>
        <v>21</v>
      </c>
      <c r="M10688" t="s" s="10">
        <v>39</v>
      </c>
      <c r="N10688" s="17">
        <v>13</v>
      </c>
      <c r="O10688" s="18">
        <v>3784</v>
      </c>
      <c r="P10688" s="18">
        <v>3806</v>
      </c>
      <c r="Q10688" s="15"/>
      <c r="R10688" t="s" s="16">
        <f>HYPERLINK("http://secrets.rutgers.edu:8080/data/asl-ftp/asllvd/demos/verify_start_end_handshape_annotations//test_auto_move//signs_mov_separ_signers/Brady_15986.mov","MOV")</f>
        <v>21</v>
      </c>
    </row>
    <row r="10689" s="2" customFormat="1" ht="13.5" customHeight="1">
      <c r="B10689" t="s" s="8">
        <v>4004</v>
      </c>
      <c r="C10689" t="s" s="9">
        <v>14</v>
      </c>
      <c r="D10689" t="s" s="8">
        <v>14</v>
      </c>
      <c r="E10689" t="s" s="9">
        <v>14</v>
      </c>
      <c r="F10689" t="s" s="10">
        <v>14</v>
      </c>
      <c r="G10689" t="s" s="11">
        <v>14</v>
      </c>
      <c r="H10689" t="s" s="10">
        <v>14</v>
      </c>
      <c r="I10689" t="s" s="11">
        <v>14</v>
      </c>
      <c r="J10689" t="s" s="11">
        <v>14</v>
      </c>
      <c r="K10689" t="s" s="12">
        <v>14</v>
      </c>
      <c r="L10689" t="s" s="12">
        <v>14</v>
      </c>
      <c r="M10689" t="s" s="10">
        <v>14</v>
      </c>
      <c r="N10689" t="s" s="11">
        <v>14</v>
      </c>
      <c r="O10689" t="s" s="8">
        <v>14</v>
      </c>
      <c r="P10689" t="s" s="8">
        <v>14</v>
      </c>
      <c r="Q10689" t="s" s="12">
        <v>14</v>
      </c>
      <c r="R10689" t="s" s="12">
        <v>14</v>
      </c>
    </row>
    <row r="10690" s="2" customFormat="1" ht="13.5" customHeight="1">
      <c r="B10690" s="13"/>
      <c r="C10690" t="s" s="9">
        <v>16</v>
      </c>
      <c r="D10690" t="s" s="8">
        <v>4004</v>
      </c>
      <c r="E10690" t="s" s="9">
        <v>4004</v>
      </c>
      <c r="F10690" s="19">
        <v>5</v>
      </c>
      <c r="G10690" s="17">
        <v>5</v>
      </c>
      <c r="H10690" s="19">
        <v>5</v>
      </c>
      <c r="I10690" s="17">
        <v>5</v>
      </c>
      <c r="J10690" t="s" s="11">
        <v>20</v>
      </c>
      <c r="K10690" s="15"/>
      <c r="L10690" t="s" s="16">
        <f>HYPERLINK("http://csr.bu.edu/ftp/asl/asllvd/demos/verify_start_end_handshape_annotations//test_auto_move//signs_mov_separ_signers/Liz_16035.mov","MOV")</f>
        <v>21</v>
      </c>
      <c r="M10690" t="s" s="10">
        <v>36</v>
      </c>
      <c r="N10690" s="17">
        <v>3</v>
      </c>
      <c r="O10690" s="18">
        <v>127</v>
      </c>
      <c r="P10690" s="18">
        <v>155</v>
      </c>
      <c r="Q10690" s="15"/>
      <c r="R10690" t="s" s="16">
        <f>HYPERLINK("http://secrets.rutgers.edu:8080/data/asl-ftp/asllvd/demos/verify_start_end_handshape_annotations//test_auto_move//signs_mov_separ_signers/Liz_16035.mov","MOV")</f>
        <v>21</v>
      </c>
    </row>
    <row r="10691" s="2" customFormat="1" ht="13.5" customHeight="1">
      <c r="B10691" s="13"/>
      <c r="C10691" t="s" s="9">
        <v>30</v>
      </c>
      <c r="D10691" t="s" s="8">
        <v>4004</v>
      </c>
      <c r="E10691" t="s" s="9">
        <v>4004</v>
      </c>
      <c r="F10691" s="19">
        <v>5</v>
      </c>
      <c r="G10691" s="17">
        <v>5</v>
      </c>
      <c r="H10691" s="19">
        <v>5</v>
      </c>
      <c r="I10691" s="17">
        <v>5</v>
      </c>
      <c r="J10691" t="s" s="11">
        <v>20</v>
      </c>
      <c r="K10691" t="s" s="16">
        <f>HYPERLINK("http://csr.bu.edu/ftp/asl/asllvd/demos/verify_start_end_handshape_annotations//test_auto_move//signs_mov/16035.mov","MOV")</f>
        <v>21</v>
      </c>
      <c r="L10691" t="s" s="16">
        <f>HYPERLINK("http://csr.bu.edu/ftp/asl/asllvd/demos/verify_start_end_handshape_annotations//test_auto_move//signs_mov_separ_signers/Brady_16035.mov","MOV")</f>
        <v>21</v>
      </c>
      <c r="M10691" t="s" s="10">
        <v>40</v>
      </c>
      <c r="N10691" s="17">
        <v>47</v>
      </c>
      <c r="O10691" s="18">
        <v>5234</v>
      </c>
      <c r="P10691" s="18">
        <v>5252</v>
      </c>
      <c r="Q10691" t="s" s="16">
        <f>HYPERLINK("http://secrets.rutgers.edu:8080/data/asl-ftp/asllvd/demos/verify_start_end_handshape_annotations//test_auto_move//signs_mov/16035.mov","MOV")</f>
        <v>21</v>
      </c>
      <c r="R10691" t="s" s="16">
        <f>HYPERLINK("http://secrets.rutgers.edu:8080/data/asl-ftp/asllvd/demos/verify_start_end_handshape_annotations//test_auto_move//signs_mov_separ_signers/Brady_16035.mov","MOV")</f>
        <v>21</v>
      </c>
    </row>
    <row r="10692" s="2" customFormat="1" ht="13.5" customHeight="1">
      <c r="B10692" s="13"/>
      <c r="C10692" t="s" s="9">
        <v>41</v>
      </c>
      <c r="D10692" t="s" s="8">
        <v>4004</v>
      </c>
      <c r="E10692" t="s" s="9">
        <v>4004</v>
      </c>
      <c r="F10692" s="19">
        <v>5</v>
      </c>
      <c r="G10692" s="17">
        <v>5</v>
      </c>
      <c r="H10692" s="19">
        <v>5</v>
      </c>
      <c r="I10692" s="17">
        <v>5</v>
      </c>
      <c r="J10692" t="s" s="11">
        <v>20</v>
      </c>
      <c r="K10692" s="15"/>
      <c r="L10692" t="s" s="16">
        <f>HYPERLINK("http://csr.bu.edu/ftp/asl/asllvd/demos/verify_start_end_handshape_annotations//test_auto_move//signs_mov_separ_signers/Lana_16035.mov","MOV")</f>
        <v>21</v>
      </c>
      <c r="M10692" t="s" s="10">
        <v>42</v>
      </c>
      <c r="N10692" s="17">
        <v>22</v>
      </c>
      <c r="O10692" s="18">
        <v>722</v>
      </c>
      <c r="P10692" s="18">
        <v>739</v>
      </c>
      <c r="Q10692" s="15"/>
      <c r="R10692" t="s" s="16">
        <f>HYPERLINK("http://secrets.rutgers.edu:8080/data/asl-ftp/asllvd/demos/verify_start_end_handshape_annotations//test_auto_move//signs_mov_separ_signers/Lana_16035.mov","MOV")</f>
        <v>21</v>
      </c>
    </row>
    <row r="10693" s="2" customFormat="1" ht="13.5" customHeight="1">
      <c r="B10693" s="13"/>
      <c r="C10693" t="s" s="9">
        <v>43</v>
      </c>
      <c r="D10693" t="s" s="8">
        <v>4004</v>
      </c>
      <c r="E10693" t="s" s="9">
        <v>4004</v>
      </c>
      <c r="F10693" t="s" s="10">
        <v>73</v>
      </c>
      <c r="G10693" t="s" s="11">
        <v>73</v>
      </c>
      <c r="H10693" t="s" s="10">
        <v>73</v>
      </c>
      <c r="I10693" t="s" s="11">
        <v>73</v>
      </c>
      <c r="J10693" t="s" s="11">
        <v>20</v>
      </c>
      <c r="K10693" s="15"/>
      <c r="L10693" t="s" s="16">
        <f>HYPERLINK("http://csr.bu.edu/ftp/asl/asllvd/demos/verify_start_end_handshape_annotations//test_auto_move//signs_mov_separ_signers/Dana_16035.mov","MOV")</f>
        <v>21</v>
      </c>
      <c r="M10693" t="s" s="10">
        <v>44</v>
      </c>
      <c r="N10693" s="17">
        <v>25</v>
      </c>
      <c r="O10693" s="18">
        <v>651</v>
      </c>
      <c r="P10693" s="18">
        <v>678</v>
      </c>
      <c r="Q10693" s="15"/>
      <c r="R10693" t="s" s="16">
        <f>HYPERLINK("http://secrets.rutgers.edu:8080/data/asl-ftp/asllvd/demos/verify_start_end_handshape_annotations//test_auto_move//signs_mov_separ_signers/Dana_16035.mov","MOV")</f>
        <v>21</v>
      </c>
    </row>
    <row r="10694" s="2" customFormat="1" ht="13.5" customHeight="1">
      <c r="B10694" t="s" s="8">
        <v>4005</v>
      </c>
      <c r="C10694" t="s" s="9">
        <v>14</v>
      </c>
      <c r="D10694" t="s" s="8">
        <v>14</v>
      </c>
      <c r="E10694" t="s" s="9">
        <v>14</v>
      </c>
      <c r="F10694" t="s" s="10">
        <v>14</v>
      </c>
      <c r="G10694" t="s" s="11">
        <v>14</v>
      </c>
      <c r="H10694" t="s" s="10">
        <v>14</v>
      </c>
      <c r="I10694" t="s" s="11">
        <v>14</v>
      </c>
      <c r="J10694" t="s" s="11">
        <v>14</v>
      </c>
      <c r="K10694" t="s" s="12">
        <v>14</v>
      </c>
      <c r="L10694" t="s" s="12">
        <v>14</v>
      </c>
      <c r="M10694" t="s" s="10">
        <v>14</v>
      </c>
      <c r="N10694" t="s" s="11">
        <v>14</v>
      </c>
      <c r="O10694" t="s" s="8">
        <v>14</v>
      </c>
      <c r="P10694" t="s" s="8">
        <v>14</v>
      </c>
      <c r="Q10694" t="s" s="12">
        <v>14</v>
      </c>
      <c r="R10694" t="s" s="12">
        <v>14</v>
      </c>
    </row>
    <row r="10695" s="2" customFormat="1" ht="13.5" customHeight="1">
      <c r="B10695" s="13"/>
      <c r="C10695" t="s" s="9">
        <v>16</v>
      </c>
      <c r="D10695" t="s" s="8">
        <v>4005</v>
      </c>
      <c r="E10695" t="s" s="9">
        <v>4005</v>
      </c>
      <c r="F10695" s="19">
        <v>1</v>
      </c>
      <c r="G10695" s="17">
        <v>1</v>
      </c>
      <c r="H10695" s="19">
        <v>1</v>
      </c>
      <c r="I10695" s="17">
        <v>1</v>
      </c>
      <c r="J10695" t="s" s="11">
        <v>20</v>
      </c>
      <c r="K10695" s="15"/>
      <c r="L10695" t="s" s="16">
        <f>HYPERLINK("http://csr.bu.edu/ftp/asl/asllvd/demos/verify_start_end_handshape_annotations//test_auto_move//signs_mov_separ_signers/Liz_4581.mov","MOV")</f>
        <v>21</v>
      </c>
      <c r="M10695" t="s" s="10">
        <v>59</v>
      </c>
      <c r="N10695" s="17">
        <v>18</v>
      </c>
      <c r="O10695" s="18">
        <v>3310</v>
      </c>
      <c r="P10695" s="18">
        <v>3340</v>
      </c>
      <c r="Q10695" s="15"/>
      <c r="R10695" t="s" s="16">
        <f>HYPERLINK("http://secrets.rutgers.edu:8080/data/asl-ftp/asllvd/demos/verify_start_end_handshape_annotations//test_auto_move//signs_mov_separ_signers/Liz_4581.mov","MOV")</f>
        <v>21</v>
      </c>
    </row>
    <row r="10696" s="2" customFormat="1" ht="13.5" customHeight="1">
      <c r="B10696" s="13"/>
      <c r="C10696" t="s" s="9">
        <v>16</v>
      </c>
      <c r="D10696" t="s" s="8">
        <v>4005</v>
      </c>
      <c r="E10696" t="s" s="9">
        <v>4005</v>
      </c>
      <c r="F10696" s="19">
        <v>1</v>
      </c>
      <c r="G10696" s="17">
        <v>1</v>
      </c>
      <c r="H10696" s="19">
        <v>1</v>
      </c>
      <c r="I10696" s="17">
        <v>1</v>
      </c>
      <c r="J10696" t="s" s="11">
        <v>20</v>
      </c>
      <c r="K10696" t="s" s="16">
        <f>HYPERLINK("http://csr.bu.edu/ftp/asl/asllvd/demos/verify_start_end_handshape_annotations//test_auto_move//signs_mov/4581_5684_merged.mov","MOV")</f>
        <v>21</v>
      </c>
      <c r="L10696" t="s" s="16">
        <f>HYPERLINK("http://csr.bu.edu/ftp/asl/asllvd/demos/verify_start_end_handshape_annotations//test_auto_move//signs_mov_separ_signers/Liz_5684.mov","MOV")</f>
        <v>21</v>
      </c>
      <c r="M10696" t="s" s="10">
        <v>59</v>
      </c>
      <c r="N10696" s="17">
        <v>28</v>
      </c>
      <c r="O10696" s="18">
        <v>1795</v>
      </c>
      <c r="P10696" s="18">
        <v>1835</v>
      </c>
      <c r="Q10696" t="s" s="16">
        <f>HYPERLINK("http://secrets.rutgers.edu:8080/data/asl-ftp/asllvd/demos/verify_start_end_handshape_annotations//test_auto_move//signs_mov/4581_5684_merged.mov","MOV")</f>
        <v>21</v>
      </c>
      <c r="R10696" t="s" s="16">
        <f>HYPERLINK("http://secrets.rutgers.edu:8080/data/asl-ftp/asllvd/demos/verify_start_end_handshape_annotations//test_auto_move//signs_mov_separ_signers/Liz_5684.mov","MOV")</f>
        <v>21</v>
      </c>
    </row>
    <row r="10697" s="2" customFormat="1" ht="13.5" customHeight="1">
      <c r="B10697" s="13"/>
      <c r="C10697" t="s" s="9">
        <v>30</v>
      </c>
      <c r="D10697" t="s" s="8">
        <v>4005</v>
      </c>
      <c r="E10697" t="s" s="9">
        <v>4005</v>
      </c>
      <c r="F10697" s="19">
        <v>1</v>
      </c>
      <c r="G10697" s="17">
        <v>1</v>
      </c>
      <c r="H10697" s="19">
        <v>1</v>
      </c>
      <c r="I10697" s="17">
        <v>1</v>
      </c>
      <c r="J10697" t="s" s="11">
        <v>20</v>
      </c>
      <c r="K10697" s="15"/>
      <c r="L10697" t="s" s="16">
        <f>HYPERLINK("http://csr.bu.edu/ftp/asl/asllvd/demos/verify_start_end_handshape_annotations//test_auto_move//signs_mov_separ_signers/Brady_4581.mov","MOV")</f>
        <v>21</v>
      </c>
      <c r="M10697" t="s" s="10">
        <v>60</v>
      </c>
      <c r="N10697" s="17">
        <v>7</v>
      </c>
      <c r="O10697" s="18">
        <v>249</v>
      </c>
      <c r="P10697" s="18">
        <v>270</v>
      </c>
      <c r="Q10697" s="15"/>
      <c r="R10697" t="s" s="16">
        <f>HYPERLINK("http://secrets.rutgers.edu:8080/data/asl-ftp/asllvd/demos/verify_start_end_handshape_annotations//test_auto_move//signs_mov_separ_signers/Brady_4581.mov","MOV")</f>
        <v>21</v>
      </c>
    </row>
    <row r="10698" s="2" customFormat="1" ht="13.5" customHeight="1">
      <c r="B10698" s="13"/>
      <c r="C10698" t="s" s="9">
        <v>30</v>
      </c>
      <c r="D10698" t="s" s="8">
        <v>4005</v>
      </c>
      <c r="E10698" t="s" s="9">
        <v>4005</v>
      </c>
      <c r="F10698" s="19">
        <v>1</v>
      </c>
      <c r="G10698" s="17">
        <v>1</v>
      </c>
      <c r="H10698" s="19">
        <v>1</v>
      </c>
      <c r="I10698" s="17">
        <v>1</v>
      </c>
      <c r="J10698" t="s" s="11">
        <v>20</v>
      </c>
      <c r="K10698" s="15"/>
      <c r="L10698" t="s" s="16">
        <f>HYPERLINK("http://csr.bu.edu/ftp/asl/asllvd/demos/verify_start_end_handshape_annotations//test_auto_move//signs_mov_separ_signers/Brady_5684.mov","MOV")</f>
        <v>21</v>
      </c>
      <c r="M10698" t="s" s="10">
        <v>60</v>
      </c>
      <c r="N10698" s="17">
        <v>17</v>
      </c>
      <c r="O10698" s="18">
        <v>147</v>
      </c>
      <c r="P10698" s="18">
        <v>177</v>
      </c>
      <c r="Q10698" s="15"/>
      <c r="R10698" t="s" s="16">
        <f>HYPERLINK("http://secrets.rutgers.edu:8080/data/asl-ftp/asllvd/demos/verify_start_end_handshape_annotations//test_auto_move//signs_mov_separ_signers/Brady_5684.mov","MOV")</f>
        <v>21</v>
      </c>
    </row>
    <row r="10699" s="2" customFormat="1" ht="13.5" customHeight="1">
      <c r="B10699" t="s" s="8">
        <v>4006</v>
      </c>
      <c r="C10699" t="s" s="9">
        <v>14</v>
      </c>
      <c r="D10699" t="s" s="8">
        <v>14</v>
      </c>
      <c r="E10699" t="s" s="9">
        <v>14</v>
      </c>
      <c r="F10699" t="s" s="10">
        <v>14</v>
      </c>
      <c r="G10699" t="s" s="11">
        <v>14</v>
      </c>
      <c r="H10699" t="s" s="10">
        <v>14</v>
      </c>
      <c r="I10699" t="s" s="11">
        <v>14</v>
      </c>
      <c r="J10699" t="s" s="11">
        <v>14</v>
      </c>
      <c r="K10699" t="s" s="12">
        <v>14</v>
      </c>
      <c r="L10699" t="s" s="12">
        <v>14</v>
      </c>
      <c r="M10699" t="s" s="10">
        <v>14</v>
      </c>
      <c r="N10699" t="s" s="11">
        <v>14</v>
      </c>
      <c r="O10699" t="s" s="8">
        <v>14</v>
      </c>
      <c r="P10699" t="s" s="8">
        <v>14</v>
      </c>
      <c r="Q10699" t="s" s="12">
        <v>14</v>
      </c>
      <c r="R10699" t="s" s="12">
        <v>14</v>
      </c>
    </row>
    <row r="10700" s="2" customFormat="1" ht="13.5" customHeight="1">
      <c r="B10700" s="13"/>
      <c r="C10700" t="s" s="9">
        <v>16</v>
      </c>
      <c r="D10700" t="s" s="8">
        <v>4006</v>
      </c>
      <c r="E10700" t="s" s="9">
        <v>4006</v>
      </c>
      <c r="F10700" s="19">
        <v>1</v>
      </c>
      <c r="G10700" t="s" s="11">
        <v>25</v>
      </c>
      <c r="H10700" s="19">
        <v>1</v>
      </c>
      <c r="I10700" t="s" s="11">
        <v>25</v>
      </c>
      <c r="J10700" t="s" s="11">
        <v>20</v>
      </c>
      <c r="K10700" t="s" s="16">
        <f>HYPERLINK("http://csr.bu.edu/ftp/asl/asllvd/demos/verify_start_end_handshape_annotations//test_auto_move//signs_mov/15810.mov","MOV")</f>
        <v>21</v>
      </c>
      <c r="L10700" t="s" s="16">
        <f>HYPERLINK("http://csr.bu.edu/ftp/asl/asllvd/demos/verify_start_end_handshape_annotations//test_auto_move//signs_mov_separ_signers/Liz_15810.mov","MOV")</f>
        <v>21</v>
      </c>
      <c r="M10700" t="s" s="10">
        <v>88</v>
      </c>
      <c r="N10700" s="17">
        <v>26</v>
      </c>
      <c r="O10700" s="18">
        <v>3525</v>
      </c>
      <c r="P10700" s="18">
        <v>3555</v>
      </c>
      <c r="Q10700" t="s" s="16">
        <f>HYPERLINK("http://secrets.rutgers.edu:8080/data/asl-ftp/asllvd/demos/verify_start_end_handshape_annotations//test_auto_move//signs_mov/15810.mov","MOV")</f>
        <v>21</v>
      </c>
      <c r="R10700" t="s" s="16">
        <f>HYPERLINK("http://secrets.rutgers.edu:8080/data/asl-ftp/asllvd/demos/verify_start_end_handshape_annotations//test_auto_move//signs_mov_separ_signers/Liz_15810.mov","MOV")</f>
        <v>21</v>
      </c>
    </row>
    <row r="10701" s="2" customFormat="1" ht="13.5" customHeight="1">
      <c r="B10701" s="13"/>
      <c r="C10701" t="s" s="9">
        <v>30</v>
      </c>
      <c r="D10701" t="s" s="8">
        <v>4006</v>
      </c>
      <c r="E10701" t="s" s="9">
        <v>4006</v>
      </c>
      <c r="F10701" s="19">
        <v>1</v>
      </c>
      <c r="G10701" t="s" s="11">
        <v>25</v>
      </c>
      <c r="H10701" s="19">
        <v>1</v>
      </c>
      <c r="I10701" t="s" s="11">
        <v>25</v>
      </c>
      <c r="J10701" t="s" s="11">
        <v>20</v>
      </c>
      <c r="K10701" s="15"/>
      <c r="L10701" t="s" s="16">
        <f>HYPERLINK("http://csr.bu.edu/ftp/asl/asllvd/demos/verify_start_end_handshape_annotations//test_auto_move//signs_mov_separ_signers/Brady_15810.mov","MOV")</f>
        <v>21</v>
      </c>
      <c r="M10701" t="s" s="10">
        <v>40</v>
      </c>
      <c r="N10701" s="17">
        <v>22</v>
      </c>
      <c r="O10701" s="18">
        <v>674</v>
      </c>
      <c r="P10701" s="18">
        <v>696</v>
      </c>
      <c r="Q10701" s="15"/>
      <c r="R10701" t="s" s="16">
        <f>HYPERLINK("http://secrets.rutgers.edu:8080/data/asl-ftp/asllvd/demos/verify_start_end_handshape_annotations//test_auto_move//signs_mov_separ_signers/Brady_15810.mov","MOV")</f>
        <v>21</v>
      </c>
    </row>
    <row r="10702" s="2" customFormat="1" ht="13.5" customHeight="1">
      <c r="B10702" t="s" s="8">
        <v>4007</v>
      </c>
      <c r="C10702" t="s" s="9">
        <v>14</v>
      </c>
      <c r="D10702" t="s" s="8">
        <v>14</v>
      </c>
      <c r="E10702" t="s" s="9">
        <v>14</v>
      </c>
      <c r="F10702" t="s" s="10">
        <v>14</v>
      </c>
      <c r="G10702" t="s" s="11">
        <v>14</v>
      </c>
      <c r="H10702" t="s" s="10">
        <v>14</v>
      </c>
      <c r="I10702" t="s" s="11">
        <v>14</v>
      </c>
      <c r="J10702" t="s" s="11">
        <v>14</v>
      </c>
      <c r="K10702" t="s" s="12">
        <v>14</v>
      </c>
      <c r="L10702" t="s" s="12">
        <v>14</v>
      </c>
      <c r="M10702" t="s" s="10">
        <v>14</v>
      </c>
      <c r="N10702" t="s" s="11">
        <v>14</v>
      </c>
      <c r="O10702" t="s" s="8">
        <v>14</v>
      </c>
      <c r="P10702" t="s" s="8">
        <v>14</v>
      </c>
      <c r="Q10702" t="s" s="12">
        <v>14</v>
      </c>
      <c r="R10702" t="s" s="12">
        <v>14</v>
      </c>
    </row>
    <row r="10703" s="2" customFormat="1" ht="13.5" customHeight="1">
      <c r="B10703" s="13"/>
      <c r="C10703" t="s" s="9">
        <v>16</v>
      </c>
      <c r="D10703" t="s" s="8">
        <v>4007</v>
      </c>
      <c r="E10703" t="s" s="9">
        <v>4007</v>
      </c>
      <c r="F10703" t="s" s="10">
        <v>28</v>
      </c>
      <c r="G10703" s="17">
        <v>1</v>
      </c>
      <c r="H10703" t="s" s="10">
        <v>28</v>
      </c>
      <c r="I10703" s="17">
        <v>1</v>
      </c>
      <c r="J10703" t="s" s="11">
        <v>20</v>
      </c>
      <c r="K10703" s="15"/>
      <c r="L10703" t="s" s="16">
        <f>HYPERLINK("http://csr.bu.edu/ftp/asl/asllvd/demos/verify_start_end_handshape_annotations//test_auto_move//signs_mov_separ_signers/Liz_4587.mov","MOV")</f>
        <v>21</v>
      </c>
      <c r="M10703" t="s" s="10">
        <v>88</v>
      </c>
      <c r="N10703" s="17">
        <v>33</v>
      </c>
      <c r="O10703" s="18">
        <v>3220</v>
      </c>
      <c r="P10703" s="18">
        <v>3282</v>
      </c>
      <c r="Q10703" s="15"/>
      <c r="R10703" t="s" s="16">
        <f>HYPERLINK("http://secrets.rutgers.edu:8080/data/asl-ftp/asllvd/demos/verify_start_end_handshape_annotations//test_auto_move//signs_mov_separ_signers/Liz_4587.mov","MOV")</f>
        <v>21</v>
      </c>
    </row>
    <row r="10704" s="2" customFormat="1" ht="13.5" customHeight="1">
      <c r="B10704" s="13"/>
      <c r="C10704" t="s" s="9">
        <v>23</v>
      </c>
      <c r="D10704" t="s" s="8">
        <v>4007</v>
      </c>
      <c r="E10704" t="s" s="9">
        <v>4007</v>
      </c>
      <c r="F10704" t="s" s="10">
        <v>255</v>
      </c>
      <c r="G10704" s="17">
        <v>1</v>
      </c>
      <c r="H10704" t="s" s="10">
        <v>255</v>
      </c>
      <c r="I10704" s="17">
        <v>1</v>
      </c>
      <c r="J10704" t="s" s="11">
        <v>20</v>
      </c>
      <c r="K10704" t="s" s="16">
        <f>HYPERLINK("http://csr.bu.edu/ftp/asl/asllvd/demos/verify_start_end_handshape_annotations//test_auto_move//signs_mov/4587_5754_merged.mov","MOV")</f>
        <v>21</v>
      </c>
      <c r="L10704" t="s" s="16">
        <f>HYPERLINK("http://csr.bu.edu/ftp/asl/asllvd/demos/verify_start_end_handshape_annotations//test_auto_move//signs_mov_separ_signers/Tyler_4587.mov","MOV")</f>
        <v>21</v>
      </c>
      <c r="M10704" t="s" s="10">
        <v>26</v>
      </c>
      <c r="N10704" s="17">
        <v>22</v>
      </c>
      <c r="O10704" s="18">
        <v>3120</v>
      </c>
      <c r="P10704" s="18">
        <v>3161</v>
      </c>
      <c r="Q10704" t="s" s="16">
        <f>HYPERLINK("http://secrets.rutgers.edu:8080/data/asl-ftp/asllvd/demos/verify_start_end_handshape_annotations//test_auto_move//signs_mov/4587_5754_merged.mov","MOV")</f>
        <v>21</v>
      </c>
      <c r="R10704" t="s" s="16">
        <f>HYPERLINK("http://secrets.rutgers.edu:8080/data/asl-ftp/asllvd/demos/verify_start_end_handshape_annotations//test_auto_move//signs_mov_separ_signers/Tyler_4587.mov","MOV")</f>
        <v>21</v>
      </c>
    </row>
    <row r="10705" s="2" customFormat="1" ht="13.5" customHeight="1">
      <c r="B10705" s="13"/>
      <c r="C10705" t="s" s="9">
        <v>30</v>
      </c>
      <c r="D10705" t="s" s="8">
        <v>4007</v>
      </c>
      <c r="E10705" t="s" s="9">
        <v>4007</v>
      </c>
      <c r="F10705" t="s" s="10">
        <v>28</v>
      </c>
      <c r="G10705" s="17">
        <v>1</v>
      </c>
      <c r="H10705" t="s" s="10">
        <v>28</v>
      </c>
      <c r="I10705" s="17">
        <v>1</v>
      </c>
      <c r="J10705" t="s" s="11">
        <v>20</v>
      </c>
      <c r="K10705" s="15"/>
      <c r="L10705" t="s" s="16">
        <f>HYPERLINK("http://csr.bu.edu/ftp/asl/asllvd/demos/verify_start_end_handshape_annotations//test_auto_move//signs_mov_separ_signers/Brady_4587.mov","MOV")</f>
        <v>21</v>
      </c>
      <c r="M10705" t="s" s="10">
        <v>40</v>
      </c>
      <c r="N10705" s="17">
        <v>28</v>
      </c>
      <c r="O10705" s="18">
        <v>2535</v>
      </c>
      <c r="P10705" s="18">
        <v>2566</v>
      </c>
      <c r="Q10705" s="15"/>
      <c r="R10705" t="s" s="16">
        <f>HYPERLINK("http://secrets.rutgers.edu:8080/data/asl-ftp/asllvd/demos/verify_start_end_handshape_annotations//test_auto_move//signs_mov_separ_signers/Brady_4587.mov","MOV")</f>
        <v>21</v>
      </c>
    </row>
    <row r="10706" s="2" customFormat="1" ht="13.5" customHeight="1">
      <c r="B10706" s="13"/>
      <c r="C10706" t="s" s="9">
        <v>30</v>
      </c>
      <c r="D10706" t="s" s="8">
        <v>4007</v>
      </c>
      <c r="E10706" t="s" s="9">
        <v>4007</v>
      </c>
      <c r="F10706" t="s" s="10">
        <v>255</v>
      </c>
      <c r="G10706" s="17">
        <v>1</v>
      </c>
      <c r="H10706" t="s" s="10">
        <v>255</v>
      </c>
      <c r="I10706" s="17">
        <v>1</v>
      </c>
      <c r="J10706" t="s" s="11">
        <v>20</v>
      </c>
      <c r="K10706" s="15"/>
      <c r="L10706" t="s" s="16">
        <f>HYPERLINK("http://csr.bu.edu/ftp/asl/asllvd/demos/verify_start_end_handshape_annotations//test_auto_move//signs_mov_separ_signers/Brady_5754.mov","MOV")</f>
        <v>21</v>
      </c>
      <c r="M10706" t="s" s="10">
        <v>40</v>
      </c>
      <c r="N10706" s="17">
        <v>78</v>
      </c>
      <c r="O10706" s="18">
        <v>2207</v>
      </c>
      <c r="P10706" s="18">
        <v>2234</v>
      </c>
      <c r="Q10706" s="15"/>
      <c r="R10706" t="s" s="16">
        <f>HYPERLINK("http://secrets.rutgers.edu:8080/data/asl-ftp/asllvd/demos/verify_start_end_handshape_annotations//test_auto_move//signs_mov_separ_signers/Brady_5754.mov","MOV")</f>
        <v>21</v>
      </c>
    </row>
    <row r="10707" s="2" customFormat="1" ht="13.5" customHeight="1">
      <c r="B10707" t="s" s="8">
        <v>4008</v>
      </c>
      <c r="C10707" t="s" s="9">
        <v>14</v>
      </c>
      <c r="D10707" t="s" s="8">
        <v>14</v>
      </c>
      <c r="E10707" t="s" s="9">
        <v>14</v>
      </c>
      <c r="F10707" t="s" s="10">
        <v>14</v>
      </c>
      <c r="G10707" t="s" s="11">
        <v>14</v>
      </c>
      <c r="H10707" t="s" s="10">
        <v>14</v>
      </c>
      <c r="I10707" t="s" s="11">
        <v>14</v>
      </c>
      <c r="J10707" t="s" s="11">
        <v>14</v>
      </c>
      <c r="K10707" t="s" s="12">
        <v>14</v>
      </c>
      <c r="L10707" t="s" s="12">
        <v>14</v>
      </c>
      <c r="M10707" t="s" s="10">
        <v>14</v>
      </c>
      <c r="N10707" t="s" s="11">
        <v>14</v>
      </c>
      <c r="O10707" t="s" s="8">
        <v>14</v>
      </c>
      <c r="P10707" t="s" s="8">
        <v>14</v>
      </c>
      <c r="Q10707" t="s" s="12">
        <v>14</v>
      </c>
      <c r="R10707" t="s" s="12">
        <v>14</v>
      </c>
    </row>
    <row r="10708" s="2" customFormat="1" ht="13.5" customHeight="1">
      <c r="B10708" s="13"/>
      <c r="C10708" t="s" s="9">
        <v>43</v>
      </c>
      <c r="D10708" t="s" s="8">
        <v>4008</v>
      </c>
      <c r="E10708" t="s" s="9">
        <v>4008</v>
      </c>
      <c r="F10708" t="s" s="10">
        <v>152</v>
      </c>
      <c r="G10708" t="s" s="11">
        <v>152</v>
      </c>
      <c r="H10708" t="s" s="10">
        <v>152</v>
      </c>
      <c r="I10708" t="s" s="11">
        <v>152</v>
      </c>
      <c r="J10708" t="s" s="11">
        <v>20</v>
      </c>
      <c r="K10708" t="s" s="16">
        <f>HYPERLINK("http://csr.bu.edu/ftp/asl/asllvd/demos/verify_start_end_handshape_annotations//test_auto_move//signs_mov/4597.mov","MOV")</f>
        <v>21</v>
      </c>
      <c r="L10708" t="s" s="16">
        <f>HYPERLINK("http://csr.bu.edu/ftp/asl/asllvd/demos/verify_start_end_handshape_annotations//test_auto_move//signs_mov_separ_signers/Dana_4597.mov","MOV")</f>
        <v>21</v>
      </c>
      <c r="M10708" t="s" s="10">
        <v>44</v>
      </c>
      <c r="N10708" s="17">
        <v>10</v>
      </c>
      <c r="O10708" s="18">
        <v>1667</v>
      </c>
      <c r="P10708" s="18">
        <v>1720</v>
      </c>
      <c r="Q10708" t="s" s="16">
        <f>HYPERLINK("http://secrets.rutgers.edu:8080/data/asl-ftp/asllvd/demos/verify_start_end_handshape_annotations//test_auto_move//signs_mov/4597.mov","MOV")</f>
        <v>21</v>
      </c>
      <c r="R10708" t="s" s="16">
        <f>HYPERLINK("http://secrets.rutgers.edu:8080/data/asl-ftp/asllvd/demos/verify_start_end_handshape_annotations//test_auto_move//signs_mov_separ_signers/Dana_4597.mov","MOV")</f>
        <v>21</v>
      </c>
    </row>
    <row r="10709" s="2" customFormat="1" ht="13.5" customHeight="1">
      <c r="B10709" t="s" s="8">
        <v>4009</v>
      </c>
      <c r="C10709" t="s" s="9">
        <v>14</v>
      </c>
      <c r="D10709" t="s" s="8">
        <v>14</v>
      </c>
      <c r="E10709" t="s" s="9">
        <v>14</v>
      </c>
      <c r="F10709" t="s" s="10">
        <v>14</v>
      </c>
      <c r="G10709" t="s" s="11">
        <v>14</v>
      </c>
      <c r="H10709" t="s" s="10">
        <v>14</v>
      </c>
      <c r="I10709" t="s" s="11">
        <v>14</v>
      </c>
      <c r="J10709" t="s" s="11">
        <v>14</v>
      </c>
      <c r="K10709" t="s" s="12">
        <v>14</v>
      </c>
      <c r="L10709" t="s" s="12">
        <v>14</v>
      </c>
      <c r="M10709" t="s" s="10">
        <v>14</v>
      </c>
      <c r="N10709" t="s" s="11">
        <v>14</v>
      </c>
      <c r="O10709" t="s" s="8">
        <v>14</v>
      </c>
      <c r="P10709" t="s" s="8">
        <v>14</v>
      </c>
      <c r="Q10709" t="s" s="12">
        <v>14</v>
      </c>
      <c r="R10709" t="s" s="12">
        <v>14</v>
      </c>
    </row>
    <row r="10710" s="2" customFormat="1" ht="13.5" customHeight="1">
      <c r="B10710" s="13"/>
      <c r="C10710" t="s" s="9">
        <v>16</v>
      </c>
      <c r="D10710" t="s" s="8">
        <v>4009</v>
      </c>
      <c r="E10710" t="s" s="9">
        <v>4009</v>
      </c>
      <c r="F10710" t="s" s="10">
        <v>85</v>
      </c>
      <c r="G10710" t="s" s="11">
        <v>85</v>
      </c>
      <c r="H10710" t="s" s="10">
        <v>85</v>
      </c>
      <c r="I10710" t="s" s="11">
        <v>85</v>
      </c>
      <c r="J10710" t="s" s="11">
        <v>20</v>
      </c>
      <c r="K10710" s="15"/>
      <c r="L10710" t="s" s="16">
        <f>HYPERLINK("http://csr.bu.edu/ftp/asl/asllvd/demos/verify_start_end_handshape_annotations//test_auto_move//signs_mov_separ_signers/Liz_4612.mov","MOV")</f>
        <v>21</v>
      </c>
      <c r="M10710" t="s" s="10">
        <v>84</v>
      </c>
      <c r="N10710" s="17">
        <v>44</v>
      </c>
      <c r="O10710" s="18">
        <v>690</v>
      </c>
      <c r="P10710" s="18">
        <v>715</v>
      </c>
      <c r="Q10710" s="15"/>
      <c r="R10710" t="s" s="16">
        <f>HYPERLINK("http://secrets.rutgers.edu:8080/data/asl-ftp/asllvd/demos/verify_start_end_handshape_annotations//test_auto_move//signs_mov_separ_signers/Liz_4612.mov","MOV")</f>
        <v>21</v>
      </c>
    </row>
    <row r="10711" s="2" customFormat="1" ht="13.5" customHeight="1">
      <c r="B10711" s="13"/>
      <c r="C10711" t="s" s="9">
        <v>27</v>
      </c>
      <c r="D10711" t="s" s="8">
        <v>4009</v>
      </c>
      <c r="E10711" t="s" s="9">
        <v>4009</v>
      </c>
      <c r="F10711" t="s" s="10">
        <v>85</v>
      </c>
      <c r="G10711" t="s" s="11">
        <v>85</v>
      </c>
      <c r="H10711" t="s" s="10">
        <v>85</v>
      </c>
      <c r="I10711" t="s" s="11">
        <v>85</v>
      </c>
      <c r="J10711" t="s" s="11">
        <v>20</v>
      </c>
      <c r="K10711" t="s" s="16">
        <f>HYPERLINK("http://csr.bu.edu/ftp/asl/asllvd/demos/verify_start_end_handshape_annotations//test_auto_move//signs_mov/4612.mov","MOV")</f>
        <v>21</v>
      </c>
      <c r="L10711" t="s" s="16">
        <f>HYPERLINK("http://csr.bu.edu/ftp/asl/asllvd/demos/verify_start_end_handshape_annotations//test_auto_move//signs_mov_separ_signers/Naomi_4612.mov","MOV")</f>
        <v>21</v>
      </c>
      <c r="M10711" t="s" s="10">
        <v>86</v>
      </c>
      <c r="N10711" s="17">
        <v>44</v>
      </c>
      <c r="O10711" s="18">
        <v>435</v>
      </c>
      <c r="P10711" s="18">
        <v>455</v>
      </c>
      <c r="Q10711" t="s" s="16">
        <f>HYPERLINK("http://secrets.rutgers.edu:8080/data/asl-ftp/asllvd/demos/verify_start_end_handshape_annotations//test_auto_move//signs_mov/4612.mov","MOV")</f>
        <v>21</v>
      </c>
      <c r="R10711" t="s" s="16">
        <f>HYPERLINK("http://secrets.rutgers.edu:8080/data/asl-ftp/asllvd/demos/verify_start_end_handshape_annotations//test_auto_move//signs_mov_separ_signers/Naomi_4612.mov","MOV")</f>
        <v>21</v>
      </c>
    </row>
    <row r="10712" s="2" customFormat="1" ht="13.5" customHeight="1">
      <c r="B10712" s="13"/>
      <c r="C10712" t="s" s="9">
        <v>30</v>
      </c>
      <c r="D10712" t="s" s="8">
        <v>4009</v>
      </c>
      <c r="E10712" t="s" s="9">
        <v>4009</v>
      </c>
      <c r="F10712" t="s" s="10">
        <v>85</v>
      </c>
      <c r="G10712" t="s" s="11">
        <v>85</v>
      </c>
      <c r="H10712" t="s" s="10">
        <v>85</v>
      </c>
      <c r="I10712" t="s" s="11">
        <v>85</v>
      </c>
      <c r="J10712" t="s" s="11">
        <v>20</v>
      </c>
      <c r="K10712" s="15"/>
      <c r="L10712" t="s" s="16">
        <f>HYPERLINK("http://csr.bu.edu/ftp/asl/asllvd/demos/verify_start_end_handshape_annotations//test_auto_move//signs_mov_separ_signers/Brady_4612.mov","MOV")</f>
        <v>21</v>
      </c>
      <c r="M10712" t="s" s="10">
        <v>39</v>
      </c>
      <c r="N10712" s="17">
        <v>19</v>
      </c>
      <c r="O10712" s="18">
        <v>6181</v>
      </c>
      <c r="P10712" s="18">
        <v>6214</v>
      </c>
      <c r="Q10712" s="15"/>
      <c r="R10712" t="s" s="16">
        <f>HYPERLINK("http://secrets.rutgers.edu:8080/data/asl-ftp/asllvd/demos/verify_start_end_handshape_annotations//test_auto_move//signs_mov_separ_signers/Brady_4612.mov","MOV")</f>
        <v>21</v>
      </c>
    </row>
    <row r="10713" s="2" customFormat="1" ht="13.5" customHeight="1">
      <c r="B10713" t="s" s="8">
        <v>4010</v>
      </c>
      <c r="C10713" t="s" s="9">
        <v>14</v>
      </c>
      <c r="D10713" t="s" s="8">
        <v>14</v>
      </c>
      <c r="E10713" t="s" s="9">
        <v>14</v>
      </c>
      <c r="F10713" t="s" s="10">
        <v>14</v>
      </c>
      <c r="G10713" t="s" s="11">
        <v>14</v>
      </c>
      <c r="H10713" t="s" s="10">
        <v>14</v>
      </c>
      <c r="I10713" t="s" s="11">
        <v>14</v>
      </c>
      <c r="J10713" t="s" s="11">
        <v>14</v>
      </c>
      <c r="K10713" t="s" s="12">
        <v>14</v>
      </c>
      <c r="L10713" t="s" s="12">
        <v>14</v>
      </c>
      <c r="M10713" t="s" s="10">
        <v>14</v>
      </c>
      <c r="N10713" t="s" s="11">
        <v>14</v>
      </c>
      <c r="O10713" t="s" s="8">
        <v>14</v>
      </c>
      <c r="P10713" t="s" s="8">
        <v>14</v>
      </c>
      <c r="Q10713" t="s" s="12">
        <v>14</v>
      </c>
      <c r="R10713" t="s" s="12">
        <v>14</v>
      </c>
    </row>
    <row r="10714" s="2" customFormat="1" ht="13.5" customHeight="1">
      <c r="B10714" s="13"/>
      <c r="C10714" t="s" s="9">
        <v>16</v>
      </c>
      <c r="D10714" t="s" s="8">
        <v>4010</v>
      </c>
      <c r="E10714" t="s" s="9">
        <v>4010</v>
      </c>
      <c r="F10714" t="s" s="10">
        <v>73</v>
      </c>
      <c r="G10714" s="14"/>
      <c r="H10714" t="s" s="10">
        <v>73</v>
      </c>
      <c r="I10714" s="14"/>
      <c r="J10714" t="s" s="11">
        <v>20</v>
      </c>
      <c r="K10714" s="15"/>
      <c r="L10714" t="s" s="16">
        <f>HYPERLINK("http://csr.bu.edu/ftp/asl/asllvd/demos/verify_start_end_handshape_annotations//test_auto_move//signs_mov_separ_signers/Liz_15167.mov","MOV")</f>
        <v>21</v>
      </c>
      <c r="M10714" t="s" s="10">
        <v>84</v>
      </c>
      <c r="N10714" s="17">
        <v>4</v>
      </c>
      <c r="O10714" s="18">
        <v>390</v>
      </c>
      <c r="P10714" s="18">
        <v>491</v>
      </c>
      <c r="Q10714" s="15"/>
      <c r="R10714" t="s" s="16">
        <f>HYPERLINK("http://secrets.rutgers.edu:8080/data/asl-ftp/asllvd/demos/verify_start_end_handshape_annotations//test_auto_move//signs_mov_separ_signers/Liz_15167.mov","MOV")</f>
        <v>21</v>
      </c>
    </row>
    <row r="10715" s="2" customFormat="1" ht="13.5" customHeight="1">
      <c r="B10715" s="13"/>
      <c r="C10715" t="s" s="9">
        <v>27</v>
      </c>
      <c r="D10715" t="s" s="8">
        <v>4010</v>
      </c>
      <c r="E10715" t="s" s="9">
        <v>4010</v>
      </c>
      <c r="F10715" t="s" s="10">
        <v>150</v>
      </c>
      <c r="G10715" s="14"/>
      <c r="H10715" t="s" s="10">
        <v>150</v>
      </c>
      <c r="I10715" s="14"/>
      <c r="J10715" t="s" s="11">
        <v>20</v>
      </c>
      <c r="K10715" t="s" s="16">
        <f>HYPERLINK("http://csr.bu.edu/ftp/asl/asllvd/demos/verify_start_end_handshape_annotations//test_auto_move//signs_mov/15167.mov","MOV")</f>
        <v>21</v>
      </c>
      <c r="L10715" t="s" s="16">
        <f>HYPERLINK("http://csr.bu.edu/ftp/asl/asllvd/demos/verify_start_end_handshape_annotations//test_auto_move//signs_mov_separ_signers/Naomi_15167.mov","MOV")</f>
        <v>21</v>
      </c>
      <c r="M10715" t="s" s="10">
        <v>86</v>
      </c>
      <c r="N10715" s="17">
        <v>3</v>
      </c>
      <c r="O10715" s="18">
        <v>2725</v>
      </c>
      <c r="P10715" s="18">
        <v>2755</v>
      </c>
      <c r="Q10715" t="s" s="16">
        <f>HYPERLINK("http://secrets.rutgers.edu:8080/data/asl-ftp/asllvd/demos/verify_start_end_handshape_annotations//test_auto_move//signs_mov/15167.mov","MOV")</f>
        <v>21</v>
      </c>
      <c r="R10715" t="s" s="16">
        <f>HYPERLINK("http://secrets.rutgers.edu:8080/data/asl-ftp/asllvd/demos/verify_start_end_handshape_annotations//test_auto_move//signs_mov_separ_signers/Naomi_15167.mov","MOV")</f>
        <v>21</v>
      </c>
    </row>
    <row r="10716" s="2" customFormat="1" ht="13.5" customHeight="1">
      <c r="B10716" s="13"/>
      <c r="C10716" t="s" s="9">
        <v>30</v>
      </c>
      <c r="D10716" t="s" s="8">
        <v>4010</v>
      </c>
      <c r="E10716" t="s" s="9">
        <v>4010</v>
      </c>
      <c r="F10716" t="s" s="10">
        <v>73</v>
      </c>
      <c r="G10716" s="14"/>
      <c r="H10716" t="s" s="10">
        <v>73</v>
      </c>
      <c r="I10716" s="14"/>
      <c r="J10716" t="s" s="11">
        <v>20</v>
      </c>
      <c r="K10716" s="15"/>
      <c r="L10716" t="s" s="16">
        <f>HYPERLINK("http://csr.bu.edu/ftp/asl/asllvd/demos/verify_start_end_handshape_annotations//test_auto_move//signs_mov_separ_signers/Brady_15167.mov","MOV")</f>
        <v>21</v>
      </c>
      <c r="M10716" t="s" s="10">
        <v>31</v>
      </c>
      <c r="N10716" s="17">
        <v>30</v>
      </c>
      <c r="O10716" s="18">
        <v>609</v>
      </c>
      <c r="P10716" s="18">
        <v>644</v>
      </c>
      <c r="Q10716" s="15"/>
      <c r="R10716" t="s" s="16">
        <f>HYPERLINK("http://secrets.rutgers.edu:8080/data/asl-ftp/asllvd/demos/verify_start_end_handshape_annotations//test_auto_move//signs_mov_separ_signers/Brady_15167.mov","MOV")</f>
        <v>21</v>
      </c>
    </row>
    <row r="10717" s="2" customFormat="1" ht="13.5" customHeight="1">
      <c r="B10717" t="s" s="8">
        <v>4011</v>
      </c>
      <c r="C10717" t="s" s="9">
        <v>14</v>
      </c>
      <c r="D10717" t="s" s="8">
        <v>14</v>
      </c>
      <c r="E10717" t="s" s="9">
        <v>14</v>
      </c>
      <c r="F10717" t="s" s="10">
        <v>14</v>
      </c>
      <c r="G10717" t="s" s="11">
        <v>14</v>
      </c>
      <c r="H10717" t="s" s="10">
        <v>14</v>
      </c>
      <c r="I10717" t="s" s="11">
        <v>14</v>
      </c>
      <c r="J10717" t="s" s="11">
        <v>14</v>
      </c>
      <c r="K10717" t="s" s="12">
        <v>14</v>
      </c>
      <c r="L10717" t="s" s="12">
        <v>14</v>
      </c>
      <c r="M10717" t="s" s="10">
        <v>14</v>
      </c>
      <c r="N10717" t="s" s="11">
        <v>14</v>
      </c>
      <c r="O10717" t="s" s="8">
        <v>14</v>
      </c>
      <c r="P10717" t="s" s="8">
        <v>14</v>
      </c>
      <c r="Q10717" t="s" s="12">
        <v>14</v>
      </c>
      <c r="R10717" t="s" s="12">
        <v>14</v>
      </c>
    </row>
    <row r="10718" s="2" customFormat="1" ht="13.5" customHeight="1">
      <c r="B10718" s="13"/>
      <c r="C10718" t="s" s="9">
        <v>16</v>
      </c>
      <c r="D10718" t="s" s="8">
        <v>4011</v>
      </c>
      <c r="E10718" t="s" s="9">
        <v>4011</v>
      </c>
      <c r="F10718" t="s" s="10">
        <v>55</v>
      </c>
      <c r="G10718" t="s" s="11">
        <v>55</v>
      </c>
      <c r="H10718" t="s" s="10">
        <v>55</v>
      </c>
      <c r="I10718" t="s" s="11">
        <v>55</v>
      </c>
      <c r="J10718" t="s" s="11">
        <v>20</v>
      </c>
      <c r="K10718" s="15"/>
      <c r="L10718" t="s" s="16">
        <f>HYPERLINK("http://csr.bu.edu/ftp/asl/asllvd/demos/verify_start_end_handshape_annotations//test_auto_move//signs_mov_separ_signers/Liz_15168.mov","MOV")</f>
        <v>21</v>
      </c>
      <c r="M10718" t="s" s="10">
        <v>84</v>
      </c>
      <c r="N10718" s="17">
        <v>45</v>
      </c>
      <c r="O10718" s="18">
        <v>860</v>
      </c>
      <c r="P10718" s="18">
        <v>882</v>
      </c>
      <c r="Q10718" s="15"/>
      <c r="R10718" t="s" s="16">
        <f>HYPERLINK("http://secrets.rutgers.edu:8080/data/asl-ftp/asllvd/demos/verify_start_end_handshape_annotations//test_auto_move//signs_mov_separ_signers/Liz_15168.mov","MOV")</f>
        <v>21</v>
      </c>
    </row>
    <row r="10719" s="2" customFormat="1" ht="13.5" customHeight="1">
      <c r="B10719" s="13"/>
      <c r="C10719" t="s" s="9">
        <v>16</v>
      </c>
      <c r="D10719" t="s" s="8">
        <v>4011</v>
      </c>
      <c r="E10719" t="s" s="9">
        <v>4011</v>
      </c>
      <c r="F10719" t="s" s="10">
        <v>55</v>
      </c>
      <c r="G10719" t="s" s="11">
        <v>55</v>
      </c>
      <c r="H10719" t="s" s="10">
        <v>55</v>
      </c>
      <c r="I10719" t="s" s="11">
        <v>55</v>
      </c>
      <c r="J10719" t="s" s="11">
        <v>20</v>
      </c>
      <c r="K10719" s="15"/>
      <c r="L10719" t="s" s="16">
        <f>HYPERLINK("http://csr.bu.edu/ftp/asl/asllvd/demos/verify_start_end_handshape_annotations//test_auto_move//signs_mov_separ_signers/Liz_15184.mov","MOV")</f>
        <v>21</v>
      </c>
      <c r="M10719" t="s" s="10">
        <v>34</v>
      </c>
      <c r="N10719" s="17">
        <v>48</v>
      </c>
      <c r="O10719" s="18">
        <v>295</v>
      </c>
      <c r="P10719" s="18">
        <v>330</v>
      </c>
      <c r="Q10719" s="15"/>
      <c r="R10719" t="s" s="16">
        <f>HYPERLINK("http://secrets.rutgers.edu:8080/data/asl-ftp/asllvd/demos/verify_start_end_handshape_annotations//test_auto_move//signs_mov_separ_signers/Liz_15184.mov","MOV")</f>
        <v>21</v>
      </c>
    </row>
    <row r="10720" s="2" customFormat="1" ht="13.5" customHeight="1">
      <c r="B10720" s="13"/>
      <c r="C10720" t="s" s="9">
        <v>16</v>
      </c>
      <c r="D10720" t="s" s="8">
        <v>4011</v>
      </c>
      <c r="E10720" t="s" s="9">
        <v>4011</v>
      </c>
      <c r="F10720" t="s" s="10">
        <v>55</v>
      </c>
      <c r="G10720" t="s" s="11">
        <v>152</v>
      </c>
      <c r="H10720" t="s" s="10">
        <v>55</v>
      </c>
      <c r="I10720" t="s" s="11">
        <v>152</v>
      </c>
      <c r="J10720" t="s" s="11">
        <v>20</v>
      </c>
      <c r="K10720" s="15"/>
      <c r="L10720" t="s" s="16">
        <f>HYPERLINK("http://csr.bu.edu/ftp/asl/asllvd/demos/verify_start_end_handshape_annotations//test_auto_move//signs_mov_separ_signers/Liz_15268.mov","MOV")</f>
        <v>21</v>
      </c>
      <c r="M10720" t="s" s="10">
        <v>36</v>
      </c>
      <c r="N10720" s="17">
        <v>29</v>
      </c>
      <c r="O10720" s="18">
        <v>702</v>
      </c>
      <c r="P10720" s="18">
        <v>745</v>
      </c>
      <c r="Q10720" s="15"/>
      <c r="R10720" t="s" s="16">
        <f>HYPERLINK("http://secrets.rutgers.edu:8080/data/asl-ftp/asllvd/demos/verify_start_end_handshape_annotations//test_auto_move//signs_mov_separ_signers/Liz_15268.mov","MOV")</f>
        <v>21</v>
      </c>
    </row>
    <row r="10721" s="2" customFormat="1" ht="13.5" customHeight="1">
      <c r="B10721" s="13"/>
      <c r="C10721" t="s" s="9">
        <v>16</v>
      </c>
      <c r="D10721" t="s" s="8">
        <v>4011</v>
      </c>
      <c r="E10721" t="s" s="9">
        <v>4011</v>
      </c>
      <c r="F10721" t="s" s="10">
        <v>55</v>
      </c>
      <c r="G10721" t="s" s="11">
        <v>55</v>
      </c>
      <c r="H10721" t="s" s="10">
        <v>55</v>
      </c>
      <c r="I10721" t="s" s="11">
        <v>55</v>
      </c>
      <c r="J10721" t="s" s="11">
        <v>20</v>
      </c>
      <c r="K10721" s="15"/>
      <c r="L10721" t="s" s="16">
        <f>HYPERLINK("http://csr.bu.edu/ftp/asl/asllvd/demos/verify_start_end_handshape_annotations//test_auto_move//signs_mov_separ_signers/Liz_15302.mov","MOV")</f>
        <v>21</v>
      </c>
      <c r="M10721" t="s" s="10">
        <v>36</v>
      </c>
      <c r="N10721" s="17">
        <v>43</v>
      </c>
      <c r="O10721" s="18">
        <v>535</v>
      </c>
      <c r="P10721" s="18">
        <v>566</v>
      </c>
      <c r="Q10721" s="15"/>
      <c r="R10721" t="s" s="16">
        <f>HYPERLINK("http://secrets.rutgers.edu:8080/data/asl-ftp/asllvd/demos/verify_start_end_handshape_annotations//test_auto_move//signs_mov_separ_signers/Liz_15302.mov","MOV")</f>
        <v>21</v>
      </c>
    </row>
    <row r="10722" s="2" customFormat="1" ht="13.5" customHeight="1">
      <c r="B10722" s="13"/>
      <c r="C10722" t="s" s="9">
        <v>23</v>
      </c>
      <c r="D10722" t="s" s="8">
        <v>4011</v>
      </c>
      <c r="E10722" t="s" s="9">
        <v>4011</v>
      </c>
      <c r="F10722" t="s" s="10">
        <v>55</v>
      </c>
      <c r="G10722" t="s" s="11">
        <v>55</v>
      </c>
      <c r="H10722" t="s" s="10">
        <v>55</v>
      </c>
      <c r="I10722" t="s" s="11">
        <v>55</v>
      </c>
      <c r="J10722" t="s" s="11">
        <v>20</v>
      </c>
      <c r="K10722" s="15"/>
      <c r="L10722" t="s" s="16">
        <f>HYPERLINK("http://csr.bu.edu/ftp/asl/asllvd/demos/verify_start_end_handshape_annotations//test_auto_move//signs_mov_separ_signers/Tyler_15168.mov","MOV")</f>
        <v>21</v>
      </c>
      <c r="M10722" t="s" s="10">
        <v>92</v>
      </c>
      <c r="N10722" s="17">
        <v>25</v>
      </c>
      <c r="O10722" s="18">
        <v>505</v>
      </c>
      <c r="P10722" s="18">
        <v>532</v>
      </c>
      <c r="Q10722" s="15"/>
      <c r="R10722" t="s" s="16">
        <f>HYPERLINK("http://secrets.rutgers.edu:8080/data/asl-ftp/asllvd/demos/verify_start_end_handshape_annotations//test_auto_move//signs_mov_separ_signers/Tyler_15168.mov","MOV")</f>
        <v>21</v>
      </c>
    </row>
    <row r="10723" s="2" customFormat="1" ht="13.5" customHeight="1">
      <c r="B10723" s="13"/>
      <c r="C10723" t="s" s="9">
        <v>23</v>
      </c>
      <c r="D10723" t="s" s="8">
        <v>4011</v>
      </c>
      <c r="E10723" t="s" s="9">
        <v>4011</v>
      </c>
      <c r="F10723" t="s" s="10">
        <v>80</v>
      </c>
      <c r="G10723" t="s" s="11">
        <v>80</v>
      </c>
      <c r="H10723" t="s" s="10">
        <v>80</v>
      </c>
      <c r="I10723" t="s" s="11">
        <v>80</v>
      </c>
      <c r="J10723" t="s" s="11">
        <v>20</v>
      </c>
      <c r="K10723" t="s" s="16">
        <f>HYPERLINK("http://csr.bu.edu/ftp/asl/asllvd/demos/verify_start_end_handshape_annotations//test_auto_move//signs_mov/15168_15184_15268_15302_merged.mov","MOV")</f>
        <v>21</v>
      </c>
      <c r="L10723" t="s" s="16">
        <f>HYPERLINK("http://csr.bu.edu/ftp/asl/asllvd/demos/verify_start_end_handshape_annotations//test_auto_move//signs_mov_separ_signers/Tyler_15184.mov","MOV")</f>
        <v>21</v>
      </c>
      <c r="M10723" t="s" s="10">
        <v>37</v>
      </c>
      <c r="N10723" s="17">
        <v>19</v>
      </c>
      <c r="O10723" s="18">
        <v>3465</v>
      </c>
      <c r="P10723" s="18">
        <v>3500</v>
      </c>
      <c r="Q10723" t="s" s="16">
        <f>HYPERLINK("http://secrets.rutgers.edu:8080/data/asl-ftp/asllvd/demos/verify_start_end_handshape_annotations//test_auto_move//signs_mov/15168_15184_15268_15302_merged.mov","MOV")</f>
        <v>21</v>
      </c>
      <c r="R10723" t="s" s="16">
        <f>HYPERLINK("http://secrets.rutgers.edu:8080/data/asl-ftp/asllvd/demos/verify_start_end_handshape_annotations//test_auto_move//signs_mov_separ_signers/Tyler_15184.mov","MOV")</f>
        <v>21</v>
      </c>
    </row>
    <row r="10724" s="2" customFormat="1" ht="13.5" customHeight="1">
      <c r="B10724" s="13"/>
      <c r="C10724" t="s" s="9">
        <v>27</v>
      </c>
      <c r="D10724" t="s" s="8">
        <v>4011</v>
      </c>
      <c r="E10724" t="s" s="9">
        <v>4011</v>
      </c>
      <c r="F10724" t="s" s="10">
        <v>55</v>
      </c>
      <c r="G10724" t="s" s="11">
        <v>55</v>
      </c>
      <c r="H10724" t="s" s="10">
        <v>55</v>
      </c>
      <c r="I10724" t="s" s="11">
        <v>55</v>
      </c>
      <c r="J10724" t="s" s="11">
        <v>20</v>
      </c>
      <c r="K10724" s="15"/>
      <c r="L10724" t="s" s="16">
        <f>HYPERLINK("http://csr.bu.edu/ftp/asl/asllvd/demos/verify_start_end_handshape_annotations//test_auto_move//signs_mov_separ_signers/Naomi_15168.mov","MOV")</f>
        <v>21</v>
      </c>
      <c r="M10724" t="s" s="10">
        <v>86</v>
      </c>
      <c r="N10724" s="17">
        <v>45</v>
      </c>
      <c r="O10724" s="18">
        <v>765</v>
      </c>
      <c r="P10724" s="18">
        <v>795</v>
      </c>
      <c r="Q10724" s="15"/>
      <c r="R10724" t="s" s="16">
        <f>HYPERLINK("http://secrets.rutgers.edu:8080/data/asl-ftp/asllvd/demos/verify_start_end_handshape_annotations//test_auto_move//signs_mov_separ_signers/Naomi_15168.mov","MOV")</f>
        <v>21</v>
      </c>
    </row>
    <row r="10725" s="2" customFormat="1" ht="13.5" customHeight="1">
      <c r="B10725" s="13"/>
      <c r="C10725" t="s" s="9">
        <v>27</v>
      </c>
      <c r="D10725" t="s" s="8">
        <v>4011</v>
      </c>
      <c r="E10725" t="s" s="9">
        <v>4011</v>
      </c>
      <c r="F10725" t="s" s="10">
        <v>55</v>
      </c>
      <c r="G10725" t="s" s="11">
        <v>55</v>
      </c>
      <c r="H10725" t="s" s="10">
        <v>55</v>
      </c>
      <c r="I10725" t="s" s="11">
        <v>55</v>
      </c>
      <c r="J10725" t="s" s="11">
        <v>20</v>
      </c>
      <c r="K10725" s="15"/>
      <c r="L10725" t="s" s="16">
        <f>HYPERLINK("http://csr.bu.edu/ftp/asl/asllvd/demos/verify_start_end_handshape_annotations//test_auto_move//signs_mov_separ_signers/Naomi_15184.mov","MOV")</f>
        <v>21</v>
      </c>
      <c r="M10725" t="s" s="10">
        <v>48</v>
      </c>
      <c r="N10725" s="17">
        <v>2</v>
      </c>
      <c r="O10725" s="18">
        <v>3035</v>
      </c>
      <c r="P10725" s="18">
        <v>3055</v>
      </c>
      <c r="Q10725" s="15"/>
      <c r="R10725" t="s" s="16">
        <f>HYPERLINK("http://secrets.rutgers.edu:8080/data/asl-ftp/asllvd/demos/verify_start_end_handshape_annotations//test_auto_move//signs_mov_separ_signers/Naomi_15184.mov","MOV")</f>
        <v>21</v>
      </c>
    </row>
    <row r="10726" s="2" customFormat="1" ht="13.5" customHeight="1">
      <c r="B10726" s="13"/>
      <c r="C10726" t="s" s="9">
        <v>30</v>
      </c>
      <c r="D10726" t="s" s="8">
        <v>4011</v>
      </c>
      <c r="E10726" t="s" s="9">
        <v>4011</v>
      </c>
      <c r="F10726" t="s" s="10">
        <v>55</v>
      </c>
      <c r="G10726" t="s" s="11">
        <v>55</v>
      </c>
      <c r="H10726" t="s" s="10">
        <v>55</v>
      </c>
      <c r="I10726" t="s" s="11">
        <v>55</v>
      </c>
      <c r="J10726" t="s" s="11">
        <v>20</v>
      </c>
      <c r="K10726" s="15"/>
      <c r="L10726" t="s" s="16">
        <f>HYPERLINK("http://csr.bu.edu/ftp/asl/asllvd/demos/verify_start_end_handshape_annotations//test_auto_move//signs_mov_separ_signers/Brady_15168.mov","MOV")</f>
        <v>21</v>
      </c>
      <c r="M10726" t="s" s="10">
        <v>39</v>
      </c>
      <c r="N10726" s="17">
        <v>20</v>
      </c>
      <c r="O10726" s="18">
        <v>2935</v>
      </c>
      <c r="P10726" s="18">
        <v>2957</v>
      </c>
      <c r="Q10726" s="15"/>
      <c r="R10726" t="s" s="16">
        <f>HYPERLINK("http://secrets.rutgers.edu:8080/data/asl-ftp/asllvd/demos/verify_start_end_handshape_annotations//test_auto_move//signs_mov_separ_signers/Brady_15168.mov","MOV")</f>
        <v>21</v>
      </c>
    </row>
    <row r="10727" s="2" customFormat="1" ht="13.5" customHeight="1">
      <c r="B10727" s="13"/>
      <c r="C10727" t="s" s="9">
        <v>30</v>
      </c>
      <c r="D10727" t="s" s="8">
        <v>4011</v>
      </c>
      <c r="E10727" t="s" s="9">
        <v>4011</v>
      </c>
      <c r="F10727" t="s" s="10">
        <v>152</v>
      </c>
      <c r="G10727" t="s" s="11">
        <v>152</v>
      </c>
      <c r="H10727" t="s" s="10">
        <v>152</v>
      </c>
      <c r="I10727" t="s" s="11">
        <v>152</v>
      </c>
      <c r="J10727" t="s" s="11">
        <v>20</v>
      </c>
      <c r="K10727" s="15"/>
      <c r="L10727" t="s" s="16">
        <f>HYPERLINK("http://csr.bu.edu/ftp/asl/asllvd/demos/verify_start_end_handshape_annotations//test_auto_move//signs_mov_separ_signers/Brady_15184.mov","MOV")</f>
        <v>21</v>
      </c>
      <c r="M10727" t="s" s="10">
        <v>39</v>
      </c>
      <c r="N10727" s="17">
        <v>48</v>
      </c>
      <c r="O10727" s="18">
        <v>4404</v>
      </c>
      <c r="P10727" s="18">
        <v>4419</v>
      </c>
      <c r="Q10727" s="15"/>
      <c r="R10727" t="s" s="16">
        <f>HYPERLINK("http://secrets.rutgers.edu:8080/data/asl-ftp/asllvd/demos/verify_start_end_handshape_annotations//test_auto_move//signs_mov_separ_signers/Brady_15184.mov","MOV")</f>
        <v>21</v>
      </c>
    </row>
    <row r="10728" s="2" customFormat="1" ht="13.5" customHeight="1">
      <c r="B10728" s="13"/>
      <c r="C10728" t="s" s="9">
        <v>30</v>
      </c>
      <c r="D10728" t="s" s="8">
        <v>4011</v>
      </c>
      <c r="E10728" t="s" s="9">
        <v>4011</v>
      </c>
      <c r="F10728" t="s" s="10">
        <v>152</v>
      </c>
      <c r="G10728" t="s" s="11">
        <v>152</v>
      </c>
      <c r="H10728" t="s" s="10">
        <v>152</v>
      </c>
      <c r="I10728" t="s" s="11">
        <v>152</v>
      </c>
      <c r="J10728" t="s" s="11">
        <v>20</v>
      </c>
      <c r="K10728" s="15"/>
      <c r="L10728" t="s" s="16">
        <f>HYPERLINK("http://csr.bu.edu/ftp/asl/asllvd/demos/verify_start_end_handshape_annotations//test_auto_move//signs_mov_separ_signers/Brady_15268.mov","MOV")</f>
        <v>21</v>
      </c>
      <c r="M10728" t="s" s="10">
        <v>40</v>
      </c>
      <c r="N10728" s="17">
        <v>80</v>
      </c>
      <c r="O10728" s="18">
        <v>930</v>
      </c>
      <c r="P10728" s="18">
        <v>946</v>
      </c>
      <c r="Q10728" s="15"/>
      <c r="R10728" t="s" s="16">
        <f>HYPERLINK("http://secrets.rutgers.edu:8080/data/asl-ftp/asllvd/demos/verify_start_end_handshape_annotations//test_auto_move//signs_mov_separ_signers/Brady_15268.mov","MOV")</f>
        <v>21</v>
      </c>
    </row>
    <row r="10729" s="2" customFormat="1" ht="13.5" customHeight="1">
      <c r="B10729" s="13"/>
      <c r="C10729" t="s" s="9">
        <v>30</v>
      </c>
      <c r="D10729" t="s" s="8">
        <v>4011</v>
      </c>
      <c r="E10729" t="s" s="9">
        <v>4011</v>
      </c>
      <c r="F10729" t="s" s="10">
        <v>152</v>
      </c>
      <c r="G10729" t="s" s="11">
        <v>152</v>
      </c>
      <c r="H10729" t="s" s="10">
        <v>152</v>
      </c>
      <c r="I10729" t="s" s="11">
        <v>152</v>
      </c>
      <c r="J10729" t="s" s="11">
        <v>20</v>
      </c>
      <c r="K10729" s="15"/>
      <c r="L10729" t="s" s="16">
        <f>HYPERLINK("http://csr.bu.edu/ftp/asl/asllvd/demos/verify_start_end_handshape_annotations//test_auto_move//signs_mov_separ_signers/Brady_15302.mov","MOV")</f>
        <v>21</v>
      </c>
      <c r="M10729" t="s" s="10">
        <v>40</v>
      </c>
      <c r="N10729" s="17">
        <v>95</v>
      </c>
      <c r="O10729" s="18">
        <v>846</v>
      </c>
      <c r="P10729" s="18">
        <v>861</v>
      </c>
      <c r="Q10729" s="15"/>
      <c r="R10729" t="s" s="16">
        <f>HYPERLINK("http://secrets.rutgers.edu:8080/data/asl-ftp/asllvd/demos/verify_start_end_handshape_annotations//test_auto_move//signs_mov_separ_signers/Brady_15302.mov","MOV")</f>
        <v>21</v>
      </c>
    </row>
    <row r="10730" s="2" customFormat="1" ht="13.5" customHeight="1">
      <c r="B10730" t="s" s="8">
        <v>4012</v>
      </c>
      <c r="C10730" t="s" s="9">
        <v>14</v>
      </c>
      <c r="D10730" t="s" s="8">
        <v>14</v>
      </c>
      <c r="E10730" t="s" s="9">
        <v>14</v>
      </c>
      <c r="F10730" t="s" s="10">
        <v>14</v>
      </c>
      <c r="G10730" t="s" s="11">
        <v>14</v>
      </c>
      <c r="H10730" t="s" s="10">
        <v>14</v>
      </c>
      <c r="I10730" t="s" s="11">
        <v>14</v>
      </c>
      <c r="J10730" t="s" s="11">
        <v>14</v>
      </c>
      <c r="K10730" t="s" s="12">
        <v>14</v>
      </c>
      <c r="L10730" t="s" s="12">
        <v>14</v>
      </c>
      <c r="M10730" t="s" s="10">
        <v>14</v>
      </c>
      <c r="N10730" t="s" s="11">
        <v>14</v>
      </c>
      <c r="O10730" t="s" s="8">
        <v>14</v>
      </c>
      <c r="P10730" t="s" s="8">
        <v>14</v>
      </c>
      <c r="Q10730" t="s" s="12">
        <v>14</v>
      </c>
      <c r="R10730" t="s" s="12">
        <v>14</v>
      </c>
    </row>
    <row r="10731" s="2" customFormat="1" ht="13.5" customHeight="1">
      <c r="B10731" s="13"/>
      <c r="C10731" t="s" s="9">
        <v>16</v>
      </c>
      <c r="D10731" t="s" s="8">
        <v>4012</v>
      </c>
      <c r="E10731" t="s" s="9">
        <v>4012</v>
      </c>
      <c r="F10731" t="s" s="10">
        <v>85</v>
      </c>
      <c r="G10731" t="s" s="11">
        <v>85</v>
      </c>
      <c r="H10731" t="s" s="10">
        <v>85</v>
      </c>
      <c r="I10731" t="s" s="11">
        <v>85</v>
      </c>
      <c r="J10731" t="s" s="11">
        <v>20</v>
      </c>
      <c r="K10731" s="15"/>
      <c r="L10731" t="s" s="16">
        <f>HYPERLINK("http://csr.bu.edu/ftp/asl/asllvd/demos/verify_start_end_handshape_annotations//test_auto_move//signs_mov_separ_signers/Liz_15427.mov","MOV")</f>
        <v>21</v>
      </c>
      <c r="M10731" t="s" s="10">
        <v>22</v>
      </c>
      <c r="N10731" s="17">
        <v>67</v>
      </c>
      <c r="O10731" s="18">
        <v>690</v>
      </c>
      <c r="P10731" s="18">
        <v>720</v>
      </c>
      <c r="Q10731" s="15"/>
      <c r="R10731" t="s" s="16">
        <f>HYPERLINK("http://secrets.rutgers.edu:8080/data/asl-ftp/asllvd/demos/verify_start_end_handshape_annotations//test_auto_move//signs_mov_separ_signers/Liz_15427.mov","MOV")</f>
        <v>21</v>
      </c>
    </row>
    <row r="10732" s="2" customFormat="1" ht="13.5" customHeight="1">
      <c r="B10732" s="13"/>
      <c r="C10732" t="s" s="9">
        <v>23</v>
      </c>
      <c r="D10732" t="s" s="8">
        <v>4012</v>
      </c>
      <c r="E10732" t="s" s="9">
        <v>4012</v>
      </c>
      <c r="F10732" t="s" s="10">
        <v>80</v>
      </c>
      <c r="G10732" t="s" s="11">
        <v>80</v>
      </c>
      <c r="H10732" t="s" s="10">
        <v>80</v>
      </c>
      <c r="I10732" t="s" s="11">
        <v>80</v>
      </c>
      <c r="J10732" t="s" s="11">
        <v>20</v>
      </c>
      <c r="K10732" t="s" s="16">
        <f>HYPERLINK("http://csr.bu.edu/ftp/asl/asllvd/demos/verify_start_end_handshape_annotations//test_auto_move//signs_mov/15427.mov","MOV")</f>
        <v>21</v>
      </c>
      <c r="L10732" t="s" s="16">
        <f>HYPERLINK("http://csr.bu.edu/ftp/asl/asllvd/demos/verify_start_end_handshape_annotations//test_auto_move//signs_mov_separ_signers/Tyler_15427.mov","MOV")</f>
        <v>21</v>
      </c>
      <c r="M10732" t="s" s="10">
        <v>26</v>
      </c>
      <c r="N10732" s="17">
        <v>41</v>
      </c>
      <c r="O10732" s="18">
        <v>2705</v>
      </c>
      <c r="P10732" s="18">
        <v>2740</v>
      </c>
      <c r="Q10732" t="s" s="16">
        <f>HYPERLINK("http://secrets.rutgers.edu:8080/data/asl-ftp/asllvd/demos/verify_start_end_handshape_annotations//test_auto_move//signs_mov/15427.mov","MOV")</f>
        <v>21</v>
      </c>
      <c r="R10732" t="s" s="16">
        <f>HYPERLINK("http://secrets.rutgers.edu:8080/data/asl-ftp/asllvd/demos/verify_start_end_handshape_annotations//test_auto_move//signs_mov_separ_signers/Tyler_15427.mov","MOV")</f>
        <v>21</v>
      </c>
    </row>
    <row r="10733" s="2" customFormat="1" ht="13.5" customHeight="1">
      <c r="B10733" s="13"/>
      <c r="C10733" t="s" s="9">
        <v>27</v>
      </c>
      <c r="D10733" t="s" s="8">
        <v>4012</v>
      </c>
      <c r="E10733" t="s" s="9">
        <v>4012</v>
      </c>
      <c r="F10733" t="s" s="10">
        <v>80</v>
      </c>
      <c r="G10733" t="s" s="11">
        <v>80</v>
      </c>
      <c r="H10733" t="s" s="10">
        <v>80</v>
      </c>
      <c r="I10733" t="s" s="11">
        <v>80</v>
      </c>
      <c r="J10733" t="s" s="11">
        <v>20</v>
      </c>
      <c r="K10733" s="15"/>
      <c r="L10733" t="s" s="16">
        <f>HYPERLINK("http://csr.bu.edu/ftp/asl/asllvd/demos/verify_start_end_handshape_annotations//test_auto_move//signs_mov_separ_signers/Naomi_15427.mov","MOV")</f>
        <v>21</v>
      </c>
      <c r="M10733" t="s" s="10">
        <v>29</v>
      </c>
      <c r="N10733" s="17">
        <v>42</v>
      </c>
      <c r="O10733" s="18">
        <v>4117</v>
      </c>
      <c r="P10733" s="18">
        <v>4140</v>
      </c>
      <c r="Q10733" s="15"/>
      <c r="R10733" t="s" s="16">
        <f>HYPERLINK("http://secrets.rutgers.edu:8080/data/asl-ftp/asllvd/demos/verify_start_end_handshape_annotations//test_auto_move//signs_mov_separ_signers/Naomi_15427.mov","MOV")</f>
        <v>21</v>
      </c>
    </row>
    <row r="10734" s="2" customFormat="1" ht="13.5" customHeight="1">
      <c r="B10734" s="13"/>
      <c r="C10734" t="s" s="9">
        <v>30</v>
      </c>
      <c r="D10734" t="s" s="8">
        <v>4012</v>
      </c>
      <c r="E10734" t="s" s="9">
        <v>4012</v>
      </c>
      <c r="F10734" t="s" s="10">
        <v>150</v>
      </c>
      <c r="G10734" t="s" s="11">
        <v>150</v>
      </c>
      <c r="H10734" t="s" s="10">
        <v>150</v>
      </c>
      <c r="I10734" t="s" s="11">
        <v>150</v>
      </c>
      <c r="J10734" t="s" s="11">
        <v>20</v>
      </c>
      <c r="K10734" s="15"/>
      <c r="L10734" t="s" s="16">
        <f>HYPERLINK("http://csr.bu.edu/ftp/asl/asllvd/demos/verify_start_end_handshape_annotations//test_auto_move//signs_mov_separ_signers/Brady_15427.mov","MOV")</f>
        <v>21</v>
      </c>
      <c r="M10734" t="s" s="10">
        <v>31</v>
      </c>
      <c r="N10734" s="17">
        <v>26</v>
      </c>
      <c r="O10734" s="18">
        <v>3117</v>
      </c>
      <c r="P10734" s="18">
        <v>3132</v>
      </c>
      <c r="Q10734" s="15"/>
      <c r="R10734" t="s" s="16">
        <f>HYPERLINK("http://secrets.rutgers.edu:8080/data/asl-ftp/asllvd/demos/verify_start_end_handshape_annotations//test_auto_move//signs_mov_separ_signers/Brady_15427.mov","MOV")</f>
        <v>21</v>
      </c>
    </row>
    <row r="10735" s="2" customFormat="1" ht="13.5" customHeight="1">
      <c r="B10735" t="s" s="8">
        <v>4013</v>
      </c>
      <c r="C10735" t="s" s="9">
        <v>14</v>
      </c>
      <c r="D10735" t="s" s="8">
        <v>14</v>
      </c>
      <c r="E10735" t="s" s="9">
        <v>14</v>
      </c>
      <c r="F10735" t="s" s="10">
        <v>14</v>
      </c>
      <c r="G10735" t="s" s="11">
        <v>14</v>
      </c>
      <c r="H10735" t="s" s="10">
        <v>14</v>
      </c>
      <c r="I10735" t="s" s="11">
        <v>14</v>
      </c>
      <c r="J10735" t="s" s="11">
        <v>14</v>
      </c>
      <c r="K10735" t="s" s="12">
        <v>14</v>
      </c>
      <c r="L10735" t="s" s="12">
        <v>14</v>
      </c>
      <c r="M10735" t="s" s="10">
        <v>14</v>
      </c>
      <c r="N10735" t="s" s="11">
        <v>14</v>
      </c>
      <c r="O10735" t="s" s="8">
        <v>14</v>
      </c>
      <c r="P10735" t="s" s="8">
        <v>14</v>
      </c>
      <c r="Q10735" t="s" s="12">
        <v>14</v>
      </c>
      <c r="R10735" t="s" s="12">
        <v>14</v>
      </c>
    </row>
    <row r="10736" s="2" customFormat="1" ht="13.5" customHeight="1">
      <c r="B10736" s="13"/>
      <c r="C10736" t="s" s="9">
        <v>16</v>
      </c>
      <c r="D10736" t="s" s="8">
        <v>4013</v>
      </c>
      <c r="E10736" t="s" s="9">
        <v>4013</v>
      </c>
      <c r="F10736" t="s" s="10">
        <v>68</v>
      </c>
      <c r="G10736" t="s" s="11">
        <v>68</v>
      </c>
      <c r="H10736" s="19">
        <v>1</v>
      </c>
      <c r="I10736" t="s" s="11">
        <v>68</v>
      </c>
      <c r="J10736" t="s" s="11">
        <v>20</v>
      </c>
      <c r="K10736" t="s" s="16">
        <f>HYPERLINK("http://csr.bu.edu/ftp/asl/asllvd/demos/verify_start_end_handshape_annotations//test_auto_move//signs_mov/4614.mov","MOV")</f>
        <v>21</v>
      </c>
      <c r="L10736" t="s" s="16">
        <f>HYPERLINK("http://csr.bu.edu/ftp/asl/asllvd/demos/verify_start_end_handshape_annotations//test_auto_move//signs_mov_separ_signers/Liz_4614.mov","MOV")</f>
        <v>21</v>
      </c>
      <c r="M10736" t="s" s="10">
        <v>88</v>
      </c>
      <c r="N10736" s="17">
        <v>18</v>
      </c>
      <c r="O10736" s="18">
        <v>3020</v>
      </c>
      <c r="P10736" s="18">
        <v>3060</v>
      </c>
      <c r="Q10736" t="s" s="16">
        <f>HYPERLINK("http://secrets.rutgers.edu:8080/data/asl-ftp/asllvd/demos/verify_start_end_handshape_annotations//test_auto_move//signs_mov/4614.mov","MOV")</f>
        <v>21</v>
      </c>
      <c r="R10736" t="s" s="16">
        <f>HYPERLINK("http://secrets.rutgers.edu:8080/data/asl-ftp/asllvd/demos/verify_start_end_handshape_annotations//test_auto_move//signs_mov_separ_signers/Liz_4614.mov","MOV")</f>
        <v>21</v>
      </c>
    </row>
    <row r="10737" s="2" customFormat="1" ht="13.5" customHeight="1">
      <c r="B10737" t="s" s="8">
        <v>4014</v>
      </c>
      <c r="C10737" t="s" s="9">
        <v>14</v>
      </c>
      <c r="D10737" t="s" s="8">
        <v>14</v>
      </c>
      <c r="E10737" t="s" s="9">
        <v>14</v>
      </c>
      <c r="F10737" t="s" s="10">
        <v>14</v>
      </c>
      <c r="G10737" t="s" s="11">
        <v>14</v>
      </c>
      <c r="H10737" t="s" s="10">
        <v>14</v>
      </c>
      <c r="I10737" t="s" s="11">
        <v>14</v>
      </c>
      <c r="J10737" t="s" s="11">
        <v>14</v>
      </c>
      <c r="K10737" t="s" s="12">
        <v>14</v>
      </c>
      <c r="L10737" t="s" s="12">
        <v>14</v>
      </c>
      <c r="M10737" t="s" s="10">
        <v>14</v>
      </c>
      <c r="N10737" t="s" s="11">
        <v>14</v>
      </c>
      <c r="O10737" t="s" s="8">
        <v>14</v>
      </c>
      <c r="P10737" t="s" s="8">
        <v>14</v>
      </c>
      <c r="Q10737" t="s" s="12">
        <v>14</v>
      </c>
      <c r="R10737" t="s" s="12">
        <v>14</v>
      </c>
    </row>
    <row r="10738" s="2" customFormat="1" ht="13.5" customHeight="1">
      <c r="B10738" s="13"/>
      <c r="C10738" t="s" s="9">
        <v>16</v>
      </c>
      <c r="D10738" t="s" s="8">
        <v>4014</v>
      </c>
      <c r="E10738" t="s" s="9">
        <v>4014</v>
      </c>
      <c r="F10738" t="s" s="10">
        <v>68</v>
      </c>
      <c r="G10738" t="s" s="11">
        <v>68</v>
      </c>
      <c r="H10738" s="19">
        <v>3</v>
      </c>
      <c r="I10738" t="s" s="11">
        <v>68</v>
      </c>
      <c r="J10738" t="s" s="11">
        <v>20</v>
      </c>
      <c r="K10738" t="s" s="16">
        <f>HYPERLINK("http://csr.bu.edu/ftp/asl/asllvd/demos/verify_start_end_handshape_annotations//test_auto_move//signs_mov/15182.mov","MOV")</f>
        <v>21</v>
      </c>
      <c r="L10738" t="s" s="16">
        <f>HYPERLINK("http://csr.bu.edu/ftp/asl/asllvd/demos/verify_start_end_handshape_annotations//test_auto_move//signs_mov_separ_signers/Liz_15182.mov","MOV")</f>
        <v>21</v>
      </c>
      <c r="M10738" t="s" s="10">
        <v>77</v>
      </c>
      <c r="N10738" s="17">
        <v>16</v>
      </c>
      <c r="O10738" s="18">
        <v>1995</v>
      </c>
      <c r="P10738" s="18">
        <v>2025</v>
      </c>
      <c r="Q10738" t="s" s="16">
        <f>HYPERLINK("http://secrets.rutgers.edu:8080/data/asl-ftp/asllvd/demos/verify_start_end_handshape_annotations//test_auto_move//signs_mov/15182.mov","MOV")</f>
        <v>21</v>
      </c>
      <c r="R10738" t="s" s="16">
        <f>HYPERLINK("http://secrets.rutgers.edu:8080/data/asl-ftp/asllvd/demos/verify_start_end_handshape_annotations//test_auto_move//signs_mov_separ_signers/Liz_15182.mov","MOV")</f>
        <v>21</v>
      </c>
    </row>
    <row r="10739" s="2" customFormat="1" ht="13.5" customHeight="1">
      <c r="B10739" s="13"/>
      <c r="C10739" t="s" s="9">
        <v>30</v>
      </c>
      <c r="D10739" t="s" s="8">
        <v>4014</v>
      </c>
      <c r="E10739" t="s" s="9">
        <v>4014</v>
      </c>
      <c r="F10739" t="s" s="10">
        <v>68</v>
      </c>
      <c r="G10739" t="s" s="11">
        <v>68</v>
      </c>
      <c r="H10739" s="19">
        <v>3</v>
      </c>
      <c r="I10739" t="s" s="11">
        <v>68</v>
      </c>
      <c r="J10739" t="s" s="11">
        <v>20</v>
      </c>
      <c r="K10739" s="15"/>
      <c r="L10739" t="s" s="16">
        <f>HYPERLINK("http://csr.bu.edu/ftp/asl/asllvd/demos/verify_start_end_handshape_annotations//test_auto_move//signs_mov_separ_signers/Brady_15182.mov","MOV")</f>
        <v>21</v>
      </c>
      <c r="M10739" t="s" s="10">
        <v>39</v>
      </c>
      <c r="N10739" s="17">
        <v>13</v>
      </c>
      <c r="O10739" s="18">
        <v>2397</v>
      </c>
      <c r="P10739" s="18">
        <v>2415</v>
      </c>
      <c r="Q10739" s="15"/>
      <c r="R10739" t="s" s="16">
        <f>HYPERLINK("http://secrets.rutgers.edu:8080/data/asl-ftp/asllvd/demos/verify_start_end_handshape_annotations//test_auto_move//signs_mov_separ_signers/Brady_15182.mov","MOV")</f>
        <v>21</v>
      </c>
    </row>
    <row r="10740" s="2" customFormat="1" ht="13.5" customHeight="1">
      <c r="B10740" t="s" s="8">
        <v>4015</v>
      </c>
      <c r="C10740" t="s" s="9">
        <v>14</v>
      </c>
      <c r="D10740" t="s" s="8">
        <v>14</v>
      </c>
      <c r="E10740" t="s" s="9">
        <v>14</v>
      </c>
      <c r="F10740" t="s" s="10">
        <v>14</v>
      </c>
      <c r="G10740" t="s" s="11">
        <v>14</v>
      </c>
      <c r="H10740" t="s" s="10">
        <v>14</v>
      </c>
      <c r="I10740" t="s" s="11">
        <v>14</v>
      </c>
      <c r="J10740" t="s" s="11">
        <v>14</v>
      </c>
      <c r="K10740" t="s" s="12">
        <v>14</v>
      </c>
      <c r="L10740" t="s" s="12">
        <v>14</v>
      </c>
      <c r="M10740" t="s" s="10">
        <v>14</v>
      </c>
      <c r="N10740" t="s" s="11">
        <v>14</v>
      </c>
      <c r="O10740" t="s" s="8">
        <v>14</v>
      </c>
      <c r="P10740" t="s" s="8">
        <v>14</v>
      </c>
      <c r="Q10740" t="s" s="12">
        <v>14</v>
      </c>
      <c r="R10740" t="s" s="12">
        <v>14</v>
      </c>
    </row>
    <row r="10741" s="2" customFormat="1" ht="13.5" customHeight="1">
      <c r="B10741" s="13"/>
      <c r="C10741" t="s" s="9">
        <v>16</v>
      </c>
      <c r="D10741" t="s" s="8">
        <v>4015</v>
      </c>
      <c r="E10741" t="s" s="9">
        <v>4015</v>
      </c>
      <c r="F10741" t="s" s="10">
        <v>68</v>
      </c>
      <c r="G10741" t="s" s="11">
        <v>68</v>
      </c>
      <c r="H10741" s="19">
        <v>4</v>
      </c>
      <c r="I10741" t="s" s="11">
        <v>68</v>
      </c>
      <c r="J10741" t="s" s="11">
        <v>20</v>
      </c>
      <c r="K10741" t="s" s="16">
        <f>HYPERLINK("http://csr.bu.edu/ftp/asl/asllvd/demos/verify_start_end_handshape_annotations//test_auto_move//signs_mov/15235.mov","MOV")</f>
        <v>21</v>
      </c>
      <c r="L10741" t="s" s="16">
        <f>HYPERLINK("http://csr.bu.edu/ftp/asl/asllvd/demos/verify_start_end_handshape_annotations//test_auto_move//signs_mov_separ_signers/Liz_15235.mov","MOV")</f>
        <v>21</v>
      </c>
      <c r="M10741" t="s" s="10">
        <v>77</v>
      </c>
      <c r="N10741" s="17">
        <v>16</v>
      </c>
      <c r="O10741" s="18">
        <v>2151</v>
      </c>
      <c r="P10741" s="18">
        <v>2187</v>
      </c>
      <c r="Q10741" t="s" s="16">
        <f>HYPERLINK("http://secrets.rutgers.edu:8080/data/asl-ftp/asllvd/demos/verify_start_end_handshape_annotations//test_auto_move//signs_mov/15235.mov","MOV")</f>
        <v>21</v>
      </c>
      <c r="R10741" t="s" s="16">
        <f>HYPERLINK("http://secrets.rutgers.edu:8080/data/asl-ftp/asllvd/demos/verify_start_end_handshape_annotations//test_auto_move//signs_mov_separ_signers/Liz_15235.mov","MOV")</f>
        <v>21</v>
      </c>
    </row>
    <row r="10742" s="2" customFormat="1" ht="13.5" customHeight="1">
      <c r="B10742" s="13"/>
      <c r="C10742" t="s" s="9">
        <v>30</v>
      </c>
      <c r="D10742" t="s" s="8">
        <v>4015</v>
      </c>
      <c r="E10742" t="s" s="9">
        <v>4015</v>
      </c>
      <c r="F10742" t="s" s="10">
        <v>68</v>
      </c>
      <c r="G10742" t="s" s="11">
        <v>68</v>
      </c>
      <c r="H10742" s="19">
        <v>4</v>
      </c>
      <c r="I10742" t="s" s="11">
        <v>68</v>
      </c>
      <c r="J10742" t="s" s="11">
        <v>20</v>
      </c>
      <c r="K10742" s="15"/>
      <c r="L10742" t="s" s="16">
        <f>HYPERLINK("http://csr.bu.edu/ftp/asl/asllvd/demos/verify_start_end_handshape_annotations//test_auto_move//signs_mov_separ_signers/Brady_15235.mov","MOV")</f>
        <v>21</v>
      </c>
      <c r="M10742" t="s" s="10">
        <v>39</v>
      </c>
      <c r="N10742" s="17">
        <v>13</v>
      </c>
      <c r="O10742" s="18">
        <v>2627</v>
      </c>
      <c r="P10742" s="18">
        <v>2648</v>
      </c>
      <c r="Q10742" s="15"/>
      <c r="R10742" t="s" s="16">
        <f>HYPERLINK("http://secrets.rutgers.edu:8080/data/asl-ftp/asllvd/demos/verify_start_end_handshape_annotations//test_auto_move//signs_mov_separ_signers/Brady_15235.mov","MOV")</f>
        <v>21</v>
      </c>
    </row>
    <row r="10743" s="2" customFormat="1" ht="13.5" customHeight="1">
      <c r="B10743" t="s" s="8">
        <v>4016</v>
      </c>
      <c r="C10743" t="s" s="9">
        <v>14</v>
      </c>
      <c r="D10743" t="s" s="8">
        <v>14</v>
      </c>
      <c r="E10743" t="s" s="9">
        <v>14</v>
      </c>
      <c r="F10743" t="s" s="10">
        <v>14</v>
      </c>
      <c r="G10743" t="s" s="11">
        <v>14</v>
      </c>
      <c r="H10743" t="s" s="10">
        <v>14</v>
      </c>
      <c r="I10743" t="s" s="11">
        <v>14</v>
      </c>
      <c r="J10743" t="s" s="11">
        <v>14</v>
      </c>
      <c r="K10743" t="s" s="12">
        <v>14</v>
      </c>
      <c r="L10743" t="s" s="12">
        <v>14</v>
      </c>
      <c r="M10743" t="s" s="10">
        <v>14</v>
      </c>
      <c r="N10743" t="s" s="11">
        <v>14</v>
      </c>
      <c r="O10743" t="s" s="8">
        <v>14</v>
      </c>
      <c r="P10743" t="s" s="8">
        <v>14</v>
      </c>
      <c r="Q10743" t="s" s="12">
        <v>14</v>
      </c>
      <c r="R10743" t="s" s="12">
        <v>14</v>
      </c>
    </row>
    <row r="10744" s="2" customFormat="1" ht="13.5" customHeight="1">
      <c r="B10744" s="13"/>
      <c r="C10744" t="s" s="9">
        <v>16</v>
      </c>
      <c r="D10744" t="s" s="8">
        <v>4016</v>
      </c>
      <c r="E10744" t="s" s="9">
        <v>4016</v>
      </c>
      <c r="F10744" t="s" s="10">
        <v>68</v>
      </c>
      <c r="G10744" t="s" s="11">
        <v>68</v>
      </c>
      <c r="H10744" s="19">
        <v>5</v>
      </c>
      <c r="I10744" t="s" s="11">
        <v>68</v>
      </c>
      <c r="J10744" t="s" s="11">
        <v>20</v>
      </c>
      <c r="K10744" t="s" s="16">
        <f>HYPERLINK("http://csr.bu.edu/ftp/asl/asllvd/demos/verify_start_end_handshape_annotations//test_auto_move//signs_mov/16332.mov","MOV")</f>
        <v>21</v>
      </c>
      <c r="L10744" t="s" s="16">
        <f>HYPERLINK("http://csr.bu.edu/ftp/asl/asllvd/demos/verify_start_end_handshape_annotations//test_auto_move//signs_mov_separ_signers/Liz_16332.mov","MOV")</f>
        <v>21</v>
      </c>
      <c r="M10744" t="s" s="10">
        <v>77</v>
      </c>
      <c r="N10744" s="17">
        <v>16</v>
      </c>
      <c r="O10744" s="18">
        <v>2300</v>
      </c>
      <c r="P10744" s="18">
        <v>2335</v>
      </c>
      <c r="Q10744" t="s" s="16">
        <f>HYPERLINK("http://secrets.rutgers.edu:8080/data/asl-ftp/asllvd/demos/verify_start_end_handshape_annotations//test_auto_move//signs_mov/16332.mov","MOV")</f>
        <v>21</v>
      </c>
      <c r="R10744" t="s" s="16">
        <f>HYPERLINK("http://secrets.rutgers.edu:8080/data/asl-ftp/asllvd/demos/verify_start_end_handshape_annotations//test_auto_move//signs_mov_separ_signers/Liz_16332.mov","MOV")</f>
        <v>21</v>
      </c>
    </row>
    <row r="10745" s="2" customFormat="1" ht="13.5" customHeight="1">
      <c r="B10745" s="13"/>
      <c r="C10745" t="s" s="9">
        <v>30</v>
      </c>
      <c r="D10745" t="s" s="8">
        <v>4016</v>
      </c>
      <c r="E10745" t="s" s="9">
        <v>4016</v>
      </c>
      <c r="F10745" t="s" s="10">
        <v>68</v>
      </c>
      <c r="G10745" t="s" s="11">
        <v>68</v>
      </c>
      <c r="H10745" s="19">
        <v>5</v>
      </c>
      <c r="I10745" t="s" s="11">
        <v>68</v>
      </c>
      <c r="J10745" t="s" s="11">
        <v>20</v>
      </c>
      <c r="K10745" s="15"/>
      <c r="L10745" t="s" s="16">
        <f>HYPERLINK("http://csr.bu.edu/ftp/asl/asllvd/demos/verify_start_end_handshape_annotations//test_auto_move//signs_mov_separ_signers/Brady_16332.mov","MOV")</f>
        <v>21</v>
      </c>
      <c r="M10745" t="s" s="10">
        <v>39</v>
      </c>
      <c r="N10745" s="17">
        <v>13</v>
      </c>
      <c r="O10745" s="18">
        <v>2864</v>
      </c>
      <c r="P10745" s="18">
        <v>2886</v>
      </c>
      <c r="Q10745" s="15"/>
      <c r="R10745" t="s" s="16">
        <f>HYPERLINK("http://secrets.rutgers.edu:8080/data/asl-ftp/asllvd/demos/verify_start_end_handshape_annotations//test_auto_move//signs_mov_separ_signers/Brady_16332.mov","MOV")</f>
        <v>21</v>
      </c>
    </row>
    <row r="10746" s="2" customFormat="1" ht="13.5" customHeight="1">
      <c r="B10746" t="s" s="8">
        <v>4017</v>
      </c>
      <c r="C10746" t="s" s="9">
        <v>14</v>
      </c>
      <c r="D10746" t="s" s="8">
        <v>14</v>
      </c>
      <c r="E10746" t="s" s="9">
        <v>14</v>
      </c>
      <c r="F10746" t="s" s="10">
        <v>14</v>
      </c>
      <c r="G10746" t="s" s="11">
        <v>14</v>
      </c>
      <c r="H10746" t="s" s="10">
        <v>14</v>
      </c>
      <c r="I10746" t="s" s="11">
        <v>14</v>
      </c>
      <c r="J10746" t="s" s="11">
        <v>14</v>
      </c>
      <c r="K10746" t="s" s="12">
        <v>14</v>
      </c>
      <c r="L10746" t="s" s="12">
        <v>14</v>
      </c>
      <c r="M10746" t="s" s="10">
        <v>14</v>
      </c>
      <c r="N10746" t="s" s="11">
        <v>14</v>
      </c>
      <c r="O10746" t="s" s="8">
        <v>14</v>
      </c>
      <c r="P10746" t="s" s="8">
        <v>14</v>
      </c>
      <c r="Q10746" t="s" s="12">
        <v>14</v>
      </c>
      <c r="R10746" t="s" s="12">
        <v>14</v>
      </c>
    </row>
    <row r="10747" s="2" customFormat="1" ht="13.5" customHeight="1">
      <c r="B10747" s="13"/>
      <c r="C10747" t="s" s="9">
        <v>16</v>
      </c>
      <c r="D10747" t="s" s="8">
        <v>4018</v>
      </c>
      <c r="E10747" t="s" s="9">
        <v>4018</v>
      </c>
      <c r="F10747" t="s" s="10">
        <v>70</v>
      </c>
      <c r="G10747" s="14"/>
      <c r="H10747" s="19">
        <v>1</v>
      </c>
      <c r="I10747" s="14"/>
      <c r="J10747" t="s" s="11">
        <v>20</v>
      </c>
      <c r="K10747" t="s" s="16">
        <f>HYPERLINK("http://csr.bu.edu/ftp/asl/asllvd/demos/verify_start_end_handshape_annotations//test_auto_move//signs_mov/16333.mov","MOV")</f>
        <v>21</v>
      </c>
      <c r="L10747" t="s" s="16">
        <f>HYPERLINK("http://csr.bu.edu/ftp/asl/asllvd/demos/verify_start_end_handshape_annotations//test_auto_move//signs_mov_separ_signers/Liz_16333.mov","MOV")</f>
        <v>21</v>
      </c>
      <c r="M10747" t="s" s="10">
        <v>34</v>
      </c>
      <c r="N10747" s="17">
        <v>44</v>
      </c>
      <c r="O10747" s="18">
        <v>645</v>
      </c>
      <c r="P10747" s="18">
        <v>675</v>
      </c>
      <c r="Q10747" t="s" s="16">
        <f>HYPERLINK("http://secrets.rutgers.edu:8080/data/asl-ftp/asllvd/demos/verify_start_end_handshape_annotations//test_auto_move//signs_mov/16333.mov","MOV")</f>
        <v>21</v>
      </c>
      <c r="R10747" t="s" s="16">
        <f>HYPERLINK("http://secrets.rutgers.edu:8080/data/asl-ftp/asllvd/demos/verify_start_end_handshape_annotations//test_auto_move//signs_mov_separ_signers/Liz_16333.mov","MOV")</f>
        <v>21</v>
      </c>
    </row>
    <row r="10748" s="2" customFormat="1" ht="13.5" customHeight="1">
      <c r="B10748" s="13"/>
      <c r="C10748" t="s" s="9">
        <v>30</v>
      </c>
      <c r="D10748" t="s" s="8">
        <v>4018</v>
      </c>
      <c r="E10748" t="s" s="9">
        <v>4018</v>
      </c>
      <c r="F10748" s="19">
        <v>1</v>
      </c>
      <c r="G10748" s="14"/>
      <c r="H10748" s="19">
        <v>1</v>
      </c>
      <c r="I10748" s="14"/>
      <c r="J10748" t="s" s="11">
        <v>20</v>
      </c>
      <c r="K10748" s="15"/>
      <c r="L10748" t="s" s="16">
        <f>HYPERLINK("http://csr.bu.edu/ftp/asl/asllvd/demos/verify_start_end_handshape_annotations//test_auto_move//signs_mov_separ_signers/Brady_16333.mov","MOV")</f>
        <v>21</v>
      </c>
      <c r="M10748" t="s" s="10">
        <v>39</v>
      </c>
      <c r="N10748" s="17">
        <v>47</v>
      </c>
      <c r="O10748" s="18">
        <v>434</v>
      </c>
      <c r="P10748" s="18">
        <v>458</v>
      </c>
      <c r="Q10748" s="15"/>
      <c r="R10748" t="s" s="16">
        <f>HYPERLINK("http://secrets.rutgers.edu:8080/data/asl-ftp/asllvd/demos/verify_start_end_handshape_annotations//test_auto_move//signs_mov_separ_signers/Brady_16333.mov","MOV")</f>
        <v>21</v>
      </c>
    </row>
    <row r="10749" s="2" customFormat="1" ht="13.5" customHeight="1">
      <c r="B10749" t="s" s="8">
        <v>52</v>
      </c>
      <c r="C10749" t="s" s="9">
        <v>53</v>
      </c>
      <c r="D10749" t="s" s="8">
        <v>53</v>
      </c>
      <c r="E10749" t="s" s="9">
        <v>53</v>
      </c>
      <c r="F10749" t="s" s="10">
        <v>53</v>
      </c>
      <c r="G10749" t="s" s="11">
        <v>53</v>
      </c>
      <c r="H10749" t="s" s="10">
        <v>53</v>
      </c>
      <c r="I10749" t="s" s="11">
        <v>53</v>
      </c>
      <c r="J10749" t="s" s="11">
        <v>53</v>
      </c>
      <c r="K10749" t="s" s="12">
        <v>53</v>
      </c>
      <c r="L10749" t="s" s="12">
        <v>53</v>
      </c>
      <c r="M10749" t="s" s="10">
        <v>53</v>
      </c>
      <c r="N10749" t="s" s="11">
        <v>53</v>
      </c>
      <c r="O10749" t="s" s="8">
        <v>53</v>
      </c>
      <c r="P10749" t="s" s="8">
        <v>53</v>
      </c>
      <c r="Q10749" t="s" s="12">
        <v>53</v>
      </c>
      <c r="R10749" t="s" s="12">
        <v>53</v>
      </c>
    </row>
    <row r="10750" s="2" customFormat="1" ht="13.5" customHeight="1">
      <c r="B10750" s="13"/>
      <c r="C10750" t="s" s="9">
        <v>27</v>
      </c>
      <c r="D10750" t="s" s="8">
        <v>4018</v>
      </c>
      <c r="E10750" t="s" s="9">
        <v>4019</v>
      </c>
      <c r="F10750" t="s" s="10">
        <v>25</v>
      </c>
      <c r="G10750" t="s" s="11">
        <v>68</v>
      </c>
      <c r="H10750" t="s" s="10">
        <v>626</v>
      </c>
      <c r="I10750" t="s" s="11">
        <v>68</v>
      </c>
      <c r="J10750" t="s" s="11">
        <v>20</v>
      </c>
      <c r="K10750" t="s" s="16">
        <f>HYPERLINK("http://csr.bu.edu/ftp/asl/asllvd/demos/verify_start_end_handshape_annotations//test_auto_move//signs_mov/16354.mov","MOV")</f>
        <v>21</v>
      </c>
      <c r="L10750" t="s" s="16">
        <f>HYPERLINK("http://csr.bu.edu/ftp/asl/asllvd/demos/verify_start_end_handshape_annotations//test_auto_move//signs_mov_separ_signers/Naomi_16354.mov","MOV")</f>
        <v>21</v>
      </c>
      <c r="M10750" t="s" s="10">
        <v>38</v>
      </c>
      <c r="N10750" s="17">
        <v>37</v>
      </c>
      <c r="O10750" s="18">
        <v>1367</v>
      </c>
      <c r="P10750" s="18">
        <v>1388</v>
      </c>
      <c r="Q10750" t="s" s="16">
        <f>HYPERLINK("http://secrets.rutgers.edu:8080/data/asl-ftp/asllvd/demos/verify_start_end_handshape_annotations//test_auto_move//signs_mov/16354.mov","MOV")</f>
        <v>21</v>
      </c>
      <c r="R10750" t="s" s="16">
        <f>HYPERLINK("http://secrets.rutgers.edu:8080/data/asl-ftp/asllvd/demos/verify_start_end_handshape_annotations//test_auto_move//signs_mov_separ_signers/Naomi_16354.mov","MOV")</f>
        <v>21</v>
      </c>
    </row>
    <row r="10751" s="2" customFormat="1" ht="13.5" customHeight="1">
      <c r="B10751" t="s" s="8">
        <v>4020</v>
      </c>
      <c r="C10751" t="s" s="9">
        <v>14</v>
      </c>
      <c r="D10751" t="s" s="8">
        <v>14</v>
      </c>
      <c r="E10751" t="s" s="9">
        <v>14</v>
      </c>
      <c r="F10751" t="s" s="10">
        <v>14</v>
      </c>
      <c r="G10751" t="s" s="11">
        <v>14</v>
      </c>
      <c r="H10751" t="s" s="10">
        <v>14</v>
      </c>
      <c r="I10751" t="s" s="11">
        <v>14</v>
      </c>
      <c r="J10751" t="s" s="11">
        <v>14</v>
      </c>
      <c r="K10751" t="s" s="12">
        <v>14</v>
      </c>
      <c r="L10751" t="s" s="12">
        <v>14</v>
      </c>
      <c r="M10751" t="s" s="10">
        <v>14</v>
      </c>
      <c r="N10751" t="s" s="11">
        <v>14</v>
      </c>
      <c r="O10751" t="s" s="8">
        <v>14</v>
      </c>
      <c r="P10751" t="s" s="8">
        <v>14</v>
      </c>
      <c r="Q10751" t="s" s="12">
        <v>14</v>
      </c>
      <c r="R10751" t="s" s="12">
        <v>14</v>
      </c>
    </row>
    <row r="10752" s="2" customFormat="1" ht="13.5" customHeight="1">
      <c r="B10752" s="13"/>
      <c r="C10752" t="s" s="9">
        <v>16</v>
      </c>
      <c r="D10752" t="s" s="8">
        <v>4020</v>
      </c>
      <c r="E10752" t="s" s="9">
        <v>4020</v>
      </c>
      <c r="F10752" s="19">
        <v>1</v>
      </c>
      <c r="G10752" s="17">
        <v>1</v>
      </c>
      <c r="H10752" s="19">
        <v>1</v>
      </c>
      <c r="I10752" s="17">
        <v>1</v>
      </c>
      <c r="J10752" t="s" s="11">
        <v>20</v>
      </c>
      <c r="K10752" s="15"/>
      <c r="L10752" t="s" s="16">
        <f>HYPERLINK("http://csr.bu.edu/ftp/asl/asllvd/demos/verify_start_end_handshape_annotations//test_auto_move//signs_mov_separ_signers/Liz_4615.mov","MOV")</f>
        <v>21</v>
      </c>
      <c r="M10752" t="s" s="10">
        <v>88</v>
      </c>
      <c r="N10752" s="17">
        <v>8</v>
      </c>
      <c r="O10752" s="18">
        <v>1210</v>
      </c>
      <c r="P10752" s="18">
        <v>1241</v>
      </c>
      <c r="Q10752" s="15"/>
      <c r="R10752" t="s" s="16">
        <f>HYPERLINK("http://secrets.rutgers.edu:8080/data/asl-ftp/asllvd/demos/verify_start_end_handshape_annotations//test_auto_move//signs_mov_separ_signers/Liz_4615.mov","MOV")</f>
        <v>21</v>
      </c>
    </row>
    <row r="10753" s="2" customFormat="1" ht="13.5" customHeight="1">
      <c r="B10753" s="13"/>
      <c r="C10753" t="s" s="9">
        <v>23</v>
      </c>
      <c r="D10753" t="s" s="8">
        <v>4020</v>
      </c>
      <c r="E10753" t="s" s="9">
        <v>4020</v>
      </c>
      <c r="F10753" s="19">
        <v>1</v>
      </c>
      <c r="G10753" s="17">
        <v>1</v>
      </c>
      <c r="H10753" s="19">
        <v>1</v>
      </c>
      <c r="I10753" s="17">
        <v>1</v>
      </c>
      <c r="J10753" t="s" s="11">
        <v>20</v>
      </c>
      <c r="K10753" s="15"/>
      <c r="L10753" t="s" s="16">
        <f>HYPERLINK("http://csr.bu.edu/ftp/asl/asllvd/demos/verify_start_end_handshape_annotations//test_auto_move//signs_mov_separ_signers/Tyler_4615.mov","MOV")</f>
        <v>21</v>
      </c>
      <c r="M10753" t="s" s="10">
        <v>47</v>
      </c>
      <c r="N10753" s="17">
        <v>18</v>
      </c>
      <c r="O10753" s="18">
        <v>802</v>
      </c>
      <c r="P10753" s="18">
        <v>827</v>
      </c>
      <c r="Q10753" s="15"/>
      <c r="R10753" t="s" s="16">
        <f>HYPERLINK("http://secrets.rutgers.edu:8080/data/asl-ftp/asllvd/demos/verify_start_end_handshape_annotations//test_auto_move//signs_mov_separ_signers/Tyler_4615.mov","MOV")</f>
        <v>21</v>
      </c>
    </row>
    <row r="10754" s="2" customFormat="1" ht="13.5" customHeight="1">
      <c r="B10754" s="13"/>
      <c r="C10754" t="s" s="9">
        <v>30</v>
      </c>
      <c r="D10754" t="s" s="8">
        <v>4020</v>
      </c>
      <c r="E10754" t="s" s="9">
        <v>4020</v>
      </c>
      <c r="F10754" s="19">
        <v>1</v>
      </c>
      <c r="G10754" s="17">
        <v>1</v>
      </c>
      <c r="H10754" s="19">
        <v>1</v>
      </c>
      <c r="I10754" s="17">
        <v>1</v>
      </c>
      <c r="J10754" t="s" s="11">
        <v>20</v>
      </c>
      <c r="K10754" t="s" s="16">
        <f>HYPERLINK("http://csr.bu.edu/ftp/asl/asllvd/demos/verify_start_end_handshape_annotations//test_auto_move//signs_mov/4615.mov","MOV")</f>
        <v>21</v>
      </c>
      <c r="L10754" t="s" s="16">
        <f>HYPERLINK("http://csr.bu.edu/ftp/asl/asllvd/demos/verify_start_end_handshape_annotations//test_auto_move//signs_mov_separ_signers/Brady_4615.mov","MOV")</f>
        <v>21</v>
      </c>
      <c r="M10754" t="s" s="10">
        <v>40</v>
      </c>
      <c r="N10754" s="17">
        <v>5</v>
      </c>
      <c r="O10754" s="18">
        <v>597</v>
      </c>
      <c r="P10754" s="18">
        <v>605</v>
      </c>
      <c r="Q10754" t="s" s="16">
        <f>HYPERLINK("http://secrets.rutgers.edu:8080/data/asl-ftp/asllvd/demos/verify_start_end_handshape_annotations//test_auto_move//signs_mov/4615.mov","MOV")</f>
        <v>21</v>
      </c>
      <c r="R10754" t="s" s="16">
        <f>HYPERLINK("http://secrets.rutgers.edu:8080/data/asl-ftp/asllvd/demos/verify_start_end_handshape_annotations//test_auto_move//signs_mov_separ_signers/Brady_4615.mov","MOV")</f>
        <v>21</v>
      </c>
    </row>
    <row r="10755" s="2" customFormat="1" ht="13.5" customHeight="1">
      <c r="B10755" s="13"/>
      <c r="C10755" t="s" s="9">
        <v>41</v>
      </c>
      <c r="D10755" t="s" s="8">
        <v>4020</v>
      </c>
      <c r="E10755" t="s" s="9">
        <v>4020</v>
      </c>
      <c r="F10755" s="19">
        <v>1</v>
      </c>
      <c r="G10755" s="17">
        <v>1</v>
      </c>
      <c r="H10755" s="19">
        <v>1</v>
      </c>
      <c r="I10755" s="17">
        <v>1</v>
      </c>
      <c r="J10755" t="s" s="11">
        <v>20</v>
      </c>
      <c r="K10755" s="15"/>
      <c r="L10755" t="s" s="16">
        <f>HYPERLINK("http://csr.bu.edu/ftp/asl/asllvd/demos/verify_start_end_handshape_annotations//test_auto_move//signs_mov_separ_signers/Lana_4615.mov","MOV")</f>
        <v>21</v>
      </c>
      <c r="M10755" t="s" s="10">
        <v>42</v>
      </c>
      <c r="N10755" s="17">
        <v>18</v>
      </c>
      <c r="O10755" s="18">
        <v>1509</v>
      </c>
      <c r="P10755" s="18">
        <v>1524</v>
      </c>
      <c r="Q10755" s="15"/>
      <c r="R10755" t="s" s="16">
        <f>HYPERLINK("http://secrets.rutgers.edu:8080/data/asl-ftp/asllvd/demos/verify_start_end_handshape_annotations//test_auto_move//signs_mov_separ_signers/Lana_4615.mov","MOV")</f>
        <v>21</v>
      </c>
    </row>
    <row r="10756" s="2" customFormat="1" ht="13.5" customHeight="1">
      <c r="B10756" s="13"/>
      <c r="C10756" t="s" s="9">
        <v>43</v>
      </c>
      <c r="D10756" t="s" s="8">
        <v>4020</v>
      </c>
      <c r="E10756" t="s" s="9">
        <v>4020</v>
      </c>
      <c r="F10756" s="19">
        <v>1</v>
      </c>
      <c r="G10756" s="17">
        <v>1</v>
      </c>
      <c r="H10756" s="19">
        <v>1</v>
      </c>
      <c r="I10756" s="17">
        <v>1</v>
      </c>
      <c r="J10756" t="s" s="11">
        <v>20</v>
      </c>
      <c r="K10756" s="15"/>
      <c r="L10756" t="s" s="16">
        <f>HYPERLINK("http://csr.bu.edu/ftp/asl/asllvd/demos/verify_start_end_handshape_annotations//test_auto_move//signs_mov_separ_signers/Dana_4615.mov","MOV")</f>
        <v>21</v>
      </c>
      <c r="M10756" t="s" s="10">
        <v>44</v>
      </c>
      <c r="N10756" s="17">
        <v>20</v>
      </c>
      <c r="O10756" s="18">
        <v>1438</v>
      </c>
      <c r="P10756" s="18">
        <v>1486</v>
      </c>
      <c r="Q10756" s="15"/>
      <c r="R10756" t="s" s="16">
        <f>HYPERLINK("http://secrets.rutgers.edu:8080/data/asl-ftp/asllvd/demos/verify_start_end_handshape_annotations//test_auto_move//signs_mov_separ_signers/Dana_4615.mov","MOV")</f>
        <v>21</v>
      </c>
    </row>
    <row r="10757" s="2" customFormat="1" ht="13.5" customHeight="1">
      <c r="B10757" t="s" s="8">
        <v>4021</v>
      </c>
      <c r="C10757" t="s" s="9">
        <v>14</v>
      </c>
      <c r="D10757" t="s" s="8">
        <v>14</v>
      </c>
      <c r="E10757" t="s" s="9">
        <v>14</v>
      </c>
      <c r="F10757" t="s" s="10">
        <v>14</v>
      </c>
      <c r="G10757" t="s" s="11">
        <v>14</v>
      </c>
      <c r="H10757" t="s" s="10">
        <v>14</v>
      </c>
      <c r="I10757" t="s" s="11">
        <v>14</v>
      </c>
      <c r="J10757" t="s" s="11">
        <v>14</v>
      </c>
      <c r="K10757" t="s" s="12">
        <v>14</v>
      </c>
      <c r="L10757" t="s" s="12">
        <v>14</v>
      </c>
      <c r="M10757" t="s" s="10">
        <v>14</v>
      </c>
      <c r="N10757" t="s" s="11">
        <v>14</v>
      </c>
      <c r="O10757" t="s" s="8">
        <v>14</v>
      </c>
      <c r="P10757" t="s" s="8">
        <v>14</v>
      </c>
      <c r="Q10757" t="s" s="12">
        <v>14</v>
      </c>
      <c r="R10757" t="s" s="12">
        <v>14</v>
      </c>
    </row>
    <row r="10758" s="2" customFormat="1" ht="13.5" customHeight="1">
      <c r="B10758" s="13"/>
      <c r="C10758" t="s" s="9">
        <v>16</v>
      </c>
      <c r="D10758" t="s" s="8">
        <v>4021</v>
      </c>
      <c r="E10758" t="s" s="9">
        <v>4022</v>
      </c>
      <c r="F10758" s="19">
        <v>1</v>
      </c>
      <c r="G10758" s="17">
        <v>1</v>
      </c>
      <c r="H10758" s="19">
        <v>1</v>
      </c>
      <c r="I10758" s="17">
        <v>1</v>
      </c>
      <c r="J10758" t="s" s="11">
        <v>20</v>
      </c>
      <c r="K10758" s="15"/>
      <c r="L10758" t="s" s="16">
        <f>HYPERLINK("http://csr.bu.edu/ftp/asl/asllvd/demos/verify_start_end_handshape_annotations//test_auto_move//signs_mov_separ_signers/Liz_15174.mov","MOV")</f>
        <v>21</v>
      </c>
      <c r="M10758" t="s" s="10">
        <v>88</v>
      </c>
      <c r="N10758" s="17">
        <v>8</v>
      </c>
      <c r="O10758" s="18">
        <v>1465</v>
      </c>
      <c r="P10758" s="18">
        <v>1515</v>
      </c>
      <c r="Q10758" s="15"/>
      <c r="R10758" t="s" s="16">
        <f>HYPERLINK("http://secrets.rutgers.edu:8080/data/asl-ftp/asllvd/demos/verify_start_end_handshape_annotations//test_auto_move//signs_mov_separ_signers/Liz_15174.mov","MOV")</f>
        <v>21</v>
      </c>
    </row>
    <row r="10759" s="2" customFormat="1" ht="13.5" customHeight="1">
      <c r="B10759" s="13"/>
      <c r="C10759" t="s" s="9">
        <v>23</v>
      </c>
      <c r="D10759" t="s" s="8">
        <v>4021</v>
      </c>
      <c r="E10759" t="s" s="9">
        <v>4023</v>
      </c>
      <c r="F10759" s="19">
        <v>1</v>
      </c>
      <c r="G10759" s="17">
        <v>1</v>
      </c>
      <c r="H10759" s="19">
        <v>1</v>
      </c>
      <c r="I10759" s="17">
        <v>1</v>
      </c>
      <c r="J10759" t="s" s="11">
        <v>20</v>
      </c>
      <c r="K10759" t="s" s="16">
        <f>HYPERLINK("http://csr.bu.edu/ftp/asl/asllvd/demos/verify_start_end_handshape_annotations//test_auto_move//signs_mov/15174.mov","MOV")</f>
        <v>21</v>
      </c>
      <c r="L10759" t="s" s="16">
        <f>HYPERLINK("http://csr.bu.edu/ftp/asl/asllvd/demos/verify_start_end_handshape_annotations//test_auto_move//signs_mov_separ_signers/Tyler_15174.mov","MOV")</f>
        <v>21</v>
      </c>
      <c r="M10759" t="s" s="10">
        <v>47</v>
      </c>
      <c r="N10759" s="17">
        <v>18</v>
      </c>
      <c r="O10759" s="18">
        <v>995</v>
      </c>
      <c r="P10759" s="18">
        <v>1040</v>
      </c>
      <c r="Q10759" t="s" s="16">
        <f>HYPERLINK("http://secrets.rutgers.edu:8080/data/asl-ftp/asllvd/demos/verify_start_end_handshape_annotations//test_auto_move//signs_mov/15174.mov","MOV")</f>
        <v>21</v>
      </c>
      <c r="R10759" t="s" s="16">
        <f>HYPERLINK("http://secrets.rutgers.edu:8080/data/asl-ftp/asllvd/demos/verify_start_end_handshape_annotations//test_auto_move//signs_mov_separ_signers/Tyler_15174.mov","MOV")</f>
        <v>21</v>
      </c>
    </row>
    <row r="10760" s="2" customFormat="1" ht="13.5" customHeight="1">
      <c r="B10760" s="13"/>
      <c r="C10760" t="s" s="9">
        <v>30</v>
      </c>
      <c r="D10760" t="s" s="8">
        <v>4021</v>
      </c>
      <c r="E10760" t="s" s="9">
        <v>4023</v>
      </c>
      <c r="F10760" s="19">
        <v>1</v>
      </c>
      <c r="G10760" s="17">
        <v>1</v>
      </c>
      <c r="H10760" s="19">
        <v>1</v>
      </c>
      <c r="I10760" s="17">
        <v>1</v>
      </c>
      <c r="J10760" t="s" s="11">
        <v>20</v>
      </c>
      <c r="K10760" s="15"/>
      <c r="L10760" t="s" s="16">
        <f>HYPERLINK("http://csr.bu.edu/ftp/asl/asllvd/demos/verify_start_end_handshape_annotations//test_auto_move//signs_mov_separ_signers/Brady_15174.mov","MOV")</f>
        <v>21</v>
      </c>
      <c r="M10760" t="s" s="10">
        <v>40</v>
      </c>
      <c r="N10760" s="17">
        <v>5</v>
      </c>
      <c r="O10760" s="18">
        <v>859</v>
      </c>
      <c r="P10760" s="18">
        <v>907</v>
      </c>
      <c r="Q10760" s="15"/>
      <c r="R10760" t="s" s="16">
        <f>HYPERLINK("http://secrets.rutgers.edu:8080/data/asl-ftp/asllvd/demos/verify_start_end_handshape_annotations//test_auto_move//signs_mov_separ_signers/Brady_15174.mov","MOV")</f>
        <v>21</v>
      </c>
    </row>
    <row r="10761" s="2" customFormat="1" ht="13.5" customHeight="1">
      <c r="B10761" t="s" s="8">
        <v>4024</v>
      </c>
      <c r="C10761" t="s" s="9">
        <v>14</v>
      </c>
      <c r="D10761" t="s" s="8">
        <v>14</v>
      </c>
      <c r="E10761" t="s" s="9">
        <v>14</v>
      </c>
      <c r="F10761" t="s" s="10">
        <v>14</v>
      </c>
      <c r="G10761" t="s" s="11">
        <v>14</v>
      </c>
      <c r="H10761" t="s" s="10">
        <v>14</v>
      </c>
      <c r="I10761" t="s" s="11">
        <v>14</v>
      </c>
      <c r="J10761" t="s" s="11">
        <v>14</v>
      </c>
      <c r="K10761" t="s" s="12">
        <v>14</v>
      </c>
      <c r="L10761" t="s" s="12">
        <v>14</v>
      </c>
      <c r="M10761" t="s" s="10">
        <v>14</v>
      </c>
      <c r="N10761" t="s" s="11">
        <v>14</v>
      </c>
      <c r="O10761" t="s" s="8">
        <v>14</v>
      </c>
      <c r="P10761" t="s" s="8">
        <v>14</v>
      </c>
      <c r="Q10761" t="s" s="12">
        <v>14</v>
      </c>
      <c r="R10761" t="s" s="12">
        <v>14</v>
      </c>
    </row>
    <row r="10762" s="2" customFormat="1" ht="13.5" customHeight="1">
      <c r="B10762" s="13"/>
      <c r="C10762" t="s" s="9">
        <v>23</v>
      </c>
      <c r="D10762" t="s" s="8">
        <v>4024</v>
      </c>
      <c r="E10762" t="s" s="9">
        <v>4024</v>
      </c>
      <c r="F10762" t="s" s="10">
        <v>260</v>
      </c>
      <c r="G10762" s="14"/>
      <c r="H10762" t="s" s="10">
        <v>260</v>
      </c>
      <c r="I10762" s="14"/>
      <c r="J10762" t="s" s="11">
        <v>20</v>
      </c>
      <c r="K10762" t="s" s="16">
        <f>HYPERLINK("http://csr.bu.edu/ftp/asl/asllvd/demos/verify_start_end_handshape_annotations//test_auto_move//signs_mov/4616.mov","MOV")</f>
        <v>21</v>
      </c>
      <c r="L10762" t="s" s="16">
        <f>HYPERLINK("http://csr.bu.edu/ftp/asl/asllvd/demos/verify_start_end_handshape_annotations//test_auto_move//signs_mov_separ_signers/Tyler_4616.mov","MOV")</f>
        <v>21</v>
      </c>
      <c r="M10762" t="s" s="10">
        <v>92</v>
      </c>
      <c r="N10762" s="17">
        <v>50</v>
      </c>
      <c r="O10762" s="18">
        <v>1985</v>
      </c>
      <c r="P10762" s="18">
        <v>2010</v>
      </c>
      <c r="Q10762" t="s" s="16">
        <f>HYPERLINK("http://secrets.rutgers.edu:8080/data/asl-ftp/asllvd/demos/verify_start_end_handshape_annotations//test_auto_move//signs_mov/4616.mov","MOV")</f>
        <v>21</v>
      </c>
      <c r="R10762" t="s" s="16">
        <f>HYPERLINK("http://secrets.rutgers.edu:8080/data/asl-ftp/asllvd/demos/verify_start_end_handshape_annotations//test_auto_move//signs_mov_separ_signers/Tyler_4616.mov","MOV")</f>
        <v>21</v>
      </c>
    </row>
    <row r="10763" s="2" customFormat="1" ht="13.5" customHeight="1">
      <c r="B10763" s="13"/>
      <c r="C10763" t="s" s="9">
        <v>27</v>
      </c>
      <c r="D10763" t="s" s="8">
        <v>4024</v>
      </c>
      <c r="E10763" t="s" s="9">
        <v>4024</v>
      </c>
      <c r="F10763" t="s" s="10">
        <v>150</v>
      </c>
      <c r="G10763" s="14"/>
      <c r="H10763" t="s" s="10">
        <v>150</v>
      </c>
      <c r="I10763" s="14"/>
      <c r="J10763" t="s" s="11">
        <v>20</v>
      </c>
      <c r="K10763" s="15"/>
      <c r="L10763" t="s" s="16">
        <f>HYPERLINK("http://csr.bu.edu/ftp/asl/asllvd/demos/verify_start_end_handshape_annotations//test_auto_move//signs_mov_separ_signers/Naomi_4616.mov","MOV")</f>
        <v>21</v>
      </c>
      <c r="M10763" t="s" s="10">
        <v>38</v>
      </c>
      <c r="N10763" s="17">
        <v>18</v>
      </c>
      <c r="O10763" s="18">
        <v>4332</v>
      </c>
      <c r="P10763" s="18">
        <v>4355</v>
      </c>
      <c r="Q10763" s="15"/>
      <c r="R10763" t="s" s="16">
        <f>HYPERLINK("http://secrets.rutgers.edu:8080/data/asl-ftp/asllvd/demos/verify_start_end_handshape_annotations//test_auto_move//signs_mov_separ_signers/Naomi_4616.mov","MOV")</f>
        <v>21</v>
      </c>
    </row>
    <row r="10764" s="2" customFormat="1" ht="13.5" customHeight="1">
      <c r="B10764" t="s" s="8">
        <v>4025</v>
      </c>
      <c r="C10764" t="s" s="9">
        <v>14</v>
      </c>
      <c r="D10764" t="s" s="8">
        <v>14</v>
      </c>
      <c r="E10764" t="s" s="9">
        <v>14</v>
      </c>
      <c r="F10764" t="s" s="10">
        <v>14</v>
      </c>
      <c r="G10764" t="s" s="11">
        <v>14</v>
      </c>
      <c r="H10764" t="s" s="10">
        <v>14</v>
      </c>
      <c r="I10764" t="s" s="11">
        <v>14</v>
      </c>
      <c r="J10764" t="s" s="11">
        <v>14</v>
      </c>
      <c r="K10764" t="s" s="12">
        <v>14</v>
      </c>
      <c r="L10764" t="s" s="12">
        <v>14</v>
      </c>
      <c r="M10764" t="s" s="10">
        <v>14</v>
      </c>
      <c r="N10764" t="s" s="11">
        <v>14</v>
      </c>
      <c r="O10764" t="s" s="8">
        <v>14</v>
      </c>
      <c r="P10764" t="s" s="8">
        <v>14</v>
      </c>
      <c r="Q10764" t="s" s="12">
        <v>14</v>
      </c>
      <c r="R10764" t="s" s="12">
        <v>14</v>
      </c>
    </row>
    <row r="10765" s="2" customFormat="1" ht="13.5" customHeight="1">
      <c r="B10765" s="13"/>
      <c r="C10765" t="s" s="9">
        <v>16</v>
      </c>
      <c r="D10765" t="s" s="8">
        <v>4025</v>
      </c>
      <c r="E10765" t="s" s="9">
        <v>4025</v>
      </c>
      <c r="F10765" t="s" s="10">
        <v>73</v>
      </c>
      <c r="G10765" t="s" s="11">
        <v>150</v>
      </c>
      <c r="H10765" t="s" s="10">
        <v>80</v>
      </c>
      <c r="I10765" t="s" s="11">
        <v>80</v>
      </c>
      <c r="J10765" t="s" s="11">
        <v>20</v>
      </c>
      <c r="K10765" s="15"/>
      <c r="L10765" t="s" s="16">
        <f>HYPERLINK("http://csr.bu.edu/ftp/asl/asllvd/demos/verify_start_end_handshape_annotations//test_auto_move//signs_mov_separ_signers/Liz_15971.mov","MOV")</f>
        <v>21</v>
      </c>
      <c r="M10765" t="s" s="10">
        <v>34</v>
      </c>
      <c r="N10765" s="17">
        <v>34</v>
      </c>
      <c r="O10765" s="18">
        <v>2092</v>
      </c>
      <c r="P10765" s="18">
        <v>2135</v>
      </c>
      <c r="Q10765" s="15"/>
      <c r="R10765" t="s" s="16">
        <f>HYPERLINK("http://secrets.rutgers.edu:8080/data/asl-ftp/asllvd/demos/verify_start_end_handshape_annotations//test_auto_move//signs_mov_separ_signers/Liz_15971.mov","MOV")</f>
        <v>21</v>
      </c>
    </row>
    <row r="10766" s="2" customFormat="1" ht="13.5" customHeight="1">
      <c r="B10766" s="13"/>
      <c r="C10766" t="s" s="9">
        <v>23</v>
      </c>
      <c r="D10766" t="s" s="8">
        <v>4025</v>
      </c>
      <c r="E10766" t="s" s="9">
        <v>4025</v>
      </c>
      <c r="F10766" t="s" s="10">
        <v>80</v>
      </c>
      <c r="G10766" t="s" s="11">
        <v>150</v>
      </c>
      <c r="H10766" t="s" s="10">
        <v>80</v>
      </c>
      <c r="I10766" t="s" s="11">
        <v>150</v>
      </c>
      <c r="J10766" t="s" s="11">
        <v>20</v>
      </c>
      <c r="K10766" s="15"/>
      <c r="L10766" t="s" s="16">
        <f>HYPERLINK("http://csr.bu.edu/ftp/asl/asllvd/demos/verify_start_end_handshape_annotations//test_auto_move//signs_mov_separ_signers/Tyler_15971.mov","MOV")</f>
        <v>21</v>
      </c>
      <c r="M10766" t="s" s="10">
        <v>92</v>
      </c>
      <c r="N10766" s="17">
        <v>42</v>
      </c>
      <c r="O10766" s="18">
        <v>1212</v>
      </c>
      <c r="P10766" s="18">
        <v>1235</v>
      </c>
      <c r="Q10766" s="15"/>
      <c r="R10766" t="s" s="16">
        <f>HYPERLINK("http://secrets.rutgers.edu:8080/data/asl-ftp/asllvd/demos/verify_start_end_handshape_annotations//test_auto_move//signs_mov_separ_signers/Tyler_15971.mov","MOV")</f>
        <v>21</v>
      </c>
    </row>
    <row r="10767" s="2" customFormat="1" ht="13.5" customHeight="1">
      <c r="B10767" s="13"/>
      <c r="C10767" t="s" s="9">
        <v>23</v>
      </c>
      <c r="D10767" t="s" s="8">
        <v>4025</v>
      </c>
      <c r="E10767" t="s" s="9">
        <v>4025</v>
      </c>
      <c r="F10767" t="s" s="10">
        <v>80</v>
      </c>
      <c r="G10767" t="s" s="11">
        <v>150</v>
      </c>
      <c r="H10767" t="s" s="10">
        <v>80</v>
      </c>
      <c r="I10767" t="s" s="11">
        <v>150</v>
      </c>
      <c r="J10767" t="s" s="11">
        <v>20</v>
      </c>
      <c r="K10767" t="s" s="16">
        <f>HYPERLINK("http://csr.bu.edu/ftp/asl/asllvd/demos/verify_start_end_handshape_annotations//test_auto_move//signs_mov/15971_15990_merged.mov","MOV")</f>
        <v>21</v>
      </c>
      <c r="L10767" t="s" s="16">
        <f>HYPERLINK("http://csr.bu.edu/ftp/asl/asllvd/demos/verify_start_end_handshape_annotations//test_auto_move//signs_mov_separ_signers/Tyler_15990.mov","MOV")</f>
        <v>21</v>
      </c>
      <c r="M10767" t="s" s="10">
        <v>37</v>
      </c>
      <c r="N10767" s="17">
        <v>8</v>
      </c>
      <c r="O10767" s="18">
        <v>1457</v>
      </c>
      <c r="P10767" s="18">
        <v>1480</v>
      </c>
      <c r="Q10767" t="s" s="16">
        <f>HYPERLINK("http://secrets.rutgers.edu:8080/data/asl-ftp/asllvd/demos/verify_start_end_handshape_annotations//test_auto_move//signs_mov/15971_15990_merged.mov","MOV")</f>
        <v>21</v>
      </c>
      <c r="R10767" t="s" s="16">
        <f>HYPERLINK("http://secrets.rutgers.edu:8080/data/asl-ftp/asllvd/demos/verify_start_end_handshape_annotations//test_auto_move//signs_mov_separ_signers/Tyler_15990.mov","MOV")</f>
        <v>21</v>
      </c>
    </row>
    <row r="10768" s="2" customFormat="1" ht="13.5" customHeight="1">
      <c r="B10768" s="13"/>
      <c r="C10768" t="s" s="9">
        <v>27</v>
      </c>
      <c r="D10768" t="s" s="8">
        <v>4025</v>
      </c>
      <c r="E10768" t="s" s="9">
        <v>4025</v>
      </c>
      <c r="F10768" t="s" s="10">
        <v>150</v>
      </c>
      <c r="G10768" t="s" s="11">
        <v>150</v>
      </c>
      <c r="H10768" t="s" s="10">
        <v>150</v>
      </c>
      <c r="I10768" t="s" s="11">
        <v>150</v>
      </c>
      <c r="J10768" t="s" s="11">
        <v>20</v>
      </c>
      <c r="K10768" s="15"/>
      <c r="L10768" t="s" s="16">
        <f>HYPERLINK("http://csr.bu.edu/ftp/asl/asllvd/demos/verify_start_end_handshape_annotations//test_auto_move//signs_mov_separ_signers/Naomi_15971.mov","MOV")</f>
        <v>21</v>
      </c>
      <c r="M10768" t="s" s="10">
        <v>38</v>
      </c>
      <c r="N10768" s="17">
        <v>28</v>
      </c>
      <c r="O10768" s="18">
        <v>1975</v>
      </c>
      <c r="P10768" s="18">
        <v>2002</v>
      </c>
      <c r="Q10768" s="15"/>
      <c r="R10768" t="s" s="16">
        <f>HYPERLINK("http://secrets.rutgers.edu:8080/data/asl-ftp/asllvd/demos/verify_start_end_handshape_annotations//test_auto_move//signs_mov_separ_signers/Naomi_15971.mov","MOV")</f>
        <v>21</v>
      </c>
    </row>
    <row r="10769" s="2" customFormat="1" ht="13.5" customHeight="1">
      <c r="B10769" s="13"/>
      <c r="C10769" t="s" s="9">
        <v>30</v>
      </c>
      <c r="D10769" t="s" s="8">
        <v>4025</v>
      </c>
      <c r="E10769" t="s" s="9">
        <v>4025</v>
      </c>
      <c r="F10769" t="s" s="10">
        <v>73</v>
      </c>
      <c r="G10769" t="s" s="11">
        <v>73</v>
      </c>
      <c r="H10769" t="s" s="10">
        <v>80</v>
      </c>
      <c r="I10769" t="s" s="11">
        <v>80</v>
      </c>
      <c r="J10769" t="s" s="11">
        <v>20</v>
      </c>
      <c r="K10769" s="15"/>
      <c r="L10769" t="s" s="16">
        <f>HYPERLINK("http://csr.bu.edu/ftp/asl/asllvd/demos/verify_start_end_handshape_annotations//test_auto_move//signs_mov_separ_signers/Brady_15971.mov","MOV")</f>
        <v>21</v>
      </c>
      <c r="M10769" t="s" s="10">
        <v>39</v>
      </c>
      <c r="N10769" s="17">
        <v>29</v>
      </c>
      <c r="O10769" s="18">
        <v>2727</v>
      </c>
      <c r="P10769" s="18">
        <v>2748</v>
      </c>
      <c r="Q10769" s="15"/>
      <c r="R10769" t="s" s="16">
        <f>HYPERLINK("http://secrets.rutgers.edu:8080/data/asl-ftp/asllvd/demos/verify_start_end_handshape_annotations//test_auto_move//signs_mov_separ_signers/Brady_15971.mov","MOV")</f>
        <v>21</v>
      </c>
    </row>
    <row r="10770" s="2" customFormat="1" ht="13.5" customHeight="1">
      <c r="B10770" s="13"/>
      <c r="C10770" t="s" s="9">
        <v>30</v>
      </c>
      <c r="D10770" t="s" s="8">
        <v>4025</v>
      </c>
      <c r="E10770" t="s" s="9">
        <v>4025</v>
      </c>
      <c r="F10770" t="s" s="10">
        <v>80</v>
      </c>
      <c r="G10770" t="s" s="11">
        <v>80</v>
      </c>
      <c r="H10770" t="s" s="10">
        <v>80</v>
      </c>
      <c r="I10770" t="s" s="11">
        <v>80</v>
      </c>
      <c r="J10770" t="s" s="11">
        <v>20</v>
      </c>
      <c r="K10770" s="15"/>
      <c r="L10770" t="s" s="16">
        <f>HYPERLINK("http://csr.bu.edu/ftp/asl/asllvd/demos/verify_start_end_handshape_annotations//test_auto_move//signs_mov_separ_signers/Brady_15990.mov","MOV")</f>
        <v>21</v>
      </c>
      <c r="M10770" t="s" s="10">
        <v>39</v>
      </c>
      <c r="N10770" s="17">
        <v>41</v>
      </c>
      <c r="O10770" s="18">
        <v>2898</v>
      </c>
      <c r="P10770" s="18">
        <v>2920</v>
      </c>
      <c r="Q10770" s="15"/>
      <c r="R10770" t="s" s="16">
        <f>HYPERLINK("http://secrets.rutgers.edu:8080/data/asl-ftp/asllvd/demos/verify_start_end_handshape_annotations//test_auto_move//signs_mov_separ_signers/Brady_15990.mov","MOV")</f>
        <v>21</v>
      </c>
    </row>
    <row r="10771" s="2" customFormat="1" ht="13.5" customHeight="1">
      <c r="B10771" t="s" s="8">
        <v>4026</v>
      </c>
      <c r="C10771" t="s" s="9">
        <v>14</v>
      </c>
      <c r="D10771" t="s" s="8">
        <v>14</v>
      </c>
      <c r="E10771" t="s" s="9">
        <v>14</v>
      </c>
      <c r="F10771" t="s" s="10">
        <v>14</v>
      </c>
      <c r="G10771" t="s" s="11">
        <v>14</v>
      </c>
      <c r="H10771" t="s" s="10">
        <v>14</v>
      </c>
      <c r="I10771" t="s" s="11">
        <v>14</v>
      </c>
      <c r="J10771" t="s" s="11">
        <v>14</v>
      </c>
      <c r="K10771" t="s" s="12">
        <v>14</v>
      </c>
      <c r="L10771" t="s" s="12">
        <v>14</v>
      </c>
      <c r="M10771" t="s" s="10">
        <v>14</v>
      </c>
      <c r="N10771" t="s" s="11">
        <v>14</v>
      </c>
      <c r="O10771" t="s" s="8">
        <v>14</v>
      </c>
      <c r="P10771" t="s" s="8">
        <v>14</v>
      </c>
      <c r="Q10771" t="s" s="12">
        <v>14</v>
      </c>
      <c r="R10771" t="s" s="12">
        <v>14</v>
      </c>
    </row>
    <row r="10772" s="2" customFormat="1" ht="13.5" customHeight="1">
      <c r="B10772" s="13"/>
      <c r="C10772" t="s" s="9">
        <v>16</v>
      </c>
      <c r="D10772" t="s" s="8">
        <v>4026</v>
      </c>
      <c r="E10772" t="s" s="9">
        <v>4026</v>
      </c>
      <c r="F10772" t="s" s="10">
        <v>150</v>
      </c>
      <c r="G10772" s="14"/>
      <c r="H10772" t="s" s="10">
        <v>150</v>
      </c>
      <c r="I10772" s="14"/>
      <c r="J10772" t="s" s="11">
        <v>20</v>
      </c>
      <c r="K10772" t="s" s="16">
        <f>HYPERLINK("http://csr.bu.edu/ftp/asl/asllvd/demos/verify_start_end_handshape_annotations//test_auto_move//signs_mov/16389.mov","MOV")</f>
        <v>21</v>
      </c>
      <c r="L10772" t="s" s="16">
        <f>HYPERLINK("http://csr.bu.edu/ftp/asl/asllvd/demos/verify_start_end_handshape_annotations//test_auto_move//signs_mov_separ_signers/Liz_16389.mov","MOV")</f>
        <v>21</v>
      </c>
      <c r="M10772" t="s" s="10">
        <v>34</v>
      </c>
      <c r="N10772" s="17">
        <v>22</v>
      </c>
      <c r="O10772" s="18">
        <v>2455</v>
      </c>
      <c r="P10772" s="18">
        <v>2496</v>
      </c>
      <c r="Q10772" t="s" s="16">
        <f>HYPERLINK("http://secrets.rutgers.edu:8080/data/asl-ftp/asllvd/demos/verify_start_end_handshape_annotations//test_auto_move//signs_mov/16389.mov","MOV")</f>
        <v>21</v>
      </c>
      <c r="R10772" t="s" s="16">
        <f>HYPERLINK("http://secrets.rutgers.edu:8080/data/asl-ftp/asllvd/demos/verify_start_end_handshape_annotations//test_auto_move//signs_mov_separ_signers/Liz_16389.mov","MOV")</f>
        <v>21</v>
      </c>
    </row>
    <row r="10773" s="2" customFormat="1" ht="13.5" customHeight="1">
      <c r="B10773" s="13"/>
      <c r="C10773" t="s" s="9">
        <v>30</v>
      </c>
      <c r="D10773" t="s" s="8">
        <v>4026</v>
      </c>
      <c r="E10773" t="s" s="9">
        <v>4026</v>
      </c>
      <c r="F10773" t="s" s="10">
        <v>85</v>
      </c>
      <c r="G10773" s="14"/>
      <c r="H10773" t="s" s="10">
        <v>85</v>
      </c>
      <c r="I10773" s="14"/>
      <c r="J10773" t="s" s="11">
        <v>20</v>
      </c>
      <c r="K10773" s="15"/>
      <c r="L10773" t="s" s="16">
        <f>HYPERLINK("http://csr.bu.edu/ftp/asl/asllvd/demos/verify_start_end_handshape_annotations//test_auto_move//signs_mov_separ_signers/Brady_16389.mov","MOV")</f>
        <v>21</v>
      </c>
      <c r="M10773" t="s" s="10">
        <v>39</v>
      </c>
      <c r="N10773" s="17">
        <v>34</v>
      </c>
      <c r="O10773" s="18">
        <v>3529</v>
      </c>
      <c r="P10773" s="18">
        <v>3553</v>
      </c>
      <c r="Q10773" s="15"/>
      <c r="R10773" t="s" s="16">
        <f>HYPERLINK("http://secrets.rutgers.edu:8080/data/asl-ftp/asllvd/demos/verify_start_end_handshape_annotations//test_auto_move//signs_mov_separ_signers/Brady_16389.mov","MOV")</f>
        <v>21</v>
      </c>
    </row>
    <row r="10774" s="2" customFormat="1" ht="13.5" customHeight="1">
      <c r="B10774" t="s" s="8">
        <v>4027</v>
      </c>
      <c r="C10774" t="s" s="9">
        <v>14</v>
      </c>
      <c r="D10774" t="s" s="8">
        <v>14</v>
      </c>
      <c r="E10774" t="s" s="9">
        <v>14</v>
      </c>
      <c r="F10774" t="s" s="10">
        <v>14</v>
      </c>
      <c r="G10774" t="s" s="11">
        <v>14</v>
      </c>
      <c r="H10774" t="s" s="10">
        <v>14</v>
      </c>
      <c r="I10774" t="s" s="11">
        <v>14</v>
      </c>
      <c r="J10774" t="s" s="11">
        <v>14</v>
      </c>
      <c r="K10774" t="s" s="12">
        <v>14</v>
      </c>
      <c r="L10774" t="s" s="12">
        <v>14</v>
      </c>
      <c r="M10774" t="s" s="10">
        <v>14</v>
      </c>
      <c r="N10774" t="s" s="11">
        <v>14</v>
      </c>
      <c r="O10774" t="s" s="8">
        <v>14</v>
      </c>
      <c r="P10774" t="s" s="8">
        <v>14</v>
      </c>
      <c r="Q10774" t="s" s="12">
        <v>14</v>
      </c>
      <c r="R10774" t="s" s="12">
        <v>14</v>
      </c>
    </row>
    <row r="10775" s="2" customFormat="1" ht="13.5" customHeight="1">
      <c r="B10775" s="13"/>
      <c r="C10775" t="s" s="9">
        <v>16</v>
      </c>
      <c r="D10775" t="s" s="8">
        <v>4027</v>
      </c>
      <c r="E10775" t="s" s="9">
        <v>4028</v>
      </c>
      <c r="F10775" t="s" s="10">
        <v>68</v>
      </c>
      <c r="G10775" t="s" s="11">
        <v>68</v>
      </c>
      <c r="H10775" s="19">
        <v>1</v>
      </c>
      <c r="I10775" t="s" s="11">
        <v>68</v>
      </c>
      <c r="J10775" t="s" s="11">
        <v>20</v>
      </c>
      <c r="K10775" s="15"/>
      <c r="L10775" t="s" s="16">
        <f>HYPERLINK("http://csr.bu.edu/ftp/asl/asllvd/demos/verify_start_end_handshape_annotations//test_auto_move//signs_mov_separ_signers/Liz_4618.mov","MOV")</f>
        <v>21</v>
      </c>
      <c r="M10775" t="s" s="10">
        <v>59</v>
      </c>
      <c r="N10775" s="17">
        <v>47</v>
      </c>
      <c r="O10775" s="18">
        <v>1596</v>
      </c>
      <c r="P10775" s="18">
        <v>1647</v>
      </c>
      <c r="Q10775" s="15"/>
      <c r="R10775" t="s" s="16">
        <f>HYPERLINK("http://secrets.rutgers.edu:8080/data/asl-ftp/asllvd/demos/verify_start_end_handshape_annotations//test_auto_move//signs_mov_separ_signers/Liz_4618.mov","MOV")</f>
        <v>21</v>
      </c>
    </row>
    <row r="10776" s="2" customFormat="1" ht="13.5" customHeight="1">
      <c r="B10776" s="13"/>
      <c r="C10776" t="s" s="9">
        <v>16</v>
      </c>
      <c r="D10776" t="s" s="8">
        <v>4027</v>
      </c>
      <c r="E10776" t="s" s="9">
        <v>4028</v>
      </c>
      <c r="F10776" t="s" s="10">
        <v>68</v>
      </c>
      <c r="G10776" t="s" s="11">
        <v>68</v>
      </c>
      <c r="H10776" s="19">
        <v>1</v>
      </c>
      <c r="I10776" t="s" s="11">
        <v>68</v>
      </c>
      <c r="J10776" t="s" s="11">
        <v>20</v>
      </c>
      <c r="K10776" s="15"/>
      <c r="L10776" t="s" s="16">
        <f>HYPERLINK("http://csr.bu.edu/ftp/asl/asllvd/demos/verify_start_end_handshape_annotations//test_auto_move//signs_mov_separ_signers/Liz_15196.mov","MOV")</f>
        <v>21</v>
      </c>
      <c r="M10776" t="s" s="10">
        <v>77</v>
      </c>
      <c r="N10776" s="17">
        <v>23</v>
      </c>
      <c r="O10776" s="18">
        <v>1420</v>
      </c>
      <c r="P10776" s="18">
        <v>1500</v>
      </c>
      <c r="Q10776" s="15"/>
      <c r="R10776" t="s" s="16">
        <f>HYPERLINK("http://secrets.rutgers.edu:8080/data/asl-ftp/asllvd/demos/verify_start_end_handshape_annotations//test_auto_move//signs_mov_separ_signers/Liz_15196.mov","MOV")</f>
        <v>21</v>
      </c>
    </row>
    <row r="10777" s="2" customFormat="1" ht="13.5" customHeight="1">
      <c r="B10777" s="13"/>
      <c r="C10777" t="s" s="9">
        <v>30</v>
      </c>
      <c r="D10777" t="s" s="8">
        <v>4027</v>
      </c>
      <c r="E10777" t="s" s="9">
        <v>4028</v>
      </c>
      <c r="F10777" t="s" s="10">
        <v>68</v>
      </c>
      <c r="G10777" t="s" s="11">
        <v>68</v>
      </c>
      <c r="H10777" s="19">
        <v>1</v>
      </c>
      <c r="I10777" t="s" s="11">
        <v>68</v>
      </c>
      <c r="J10777" t="s" s="11">
        <v>20</v>
      </c>
      <c r="K10777" t="s" s="16">
        <f>HYPERLINK("http://csr.bu.edu/ftp/asl/asllvd/demos/verify_start_end_handshape_annotations//test_auto_move//signs_mov/4618_15196_15197_merged.mov","MOV")</f>
        <v>21</v>
      </c>
      <c r="L10777" t="s" s="16">
        <f>HYPERLINK("http://csr.bu.edu/ftp/asl/asllvd/demos/verify_start_end_handshape_annotations//test_auto_move//signs_mov_separ_signers/Brady_4618.mov","MOV")</f>
        <v>21</v>
      </c>
      <c r="M10777" t="s" s="10">
        <v>31</v>
      </c>
      <c r="N10777" s="17">
        <v>12</v>
      </c>
      <c r="O10777" s="18">
        <v>784</v>
      </c>
      <c r="P10777" s="18">
        <v>879</v>
      </c>
      <c r="Q10777" t="s" s="16">
        <f>HYPERLINK("http://secrets.rutgers.edu:8080/data/asl-ftp/asllvd/demos/verify_start_end_handshape_annotations//test_auto_move//signs_mov/4618_15196_15197_merged.mov","MOV")</f>
        <v>21</v>
      </c>
      <c r="R10777" t="s" s="16">
        <f>HYPERLINK("http://secrets.rutgers.edu:8080/data/asl-ftp/asllvd/demos/verify_start_end_handshape_annotations//test_auto_move//signs_mov_separ_signers/Brady_4618.mov","MOV")</f>
        <v>21</v>
      </c>
    </row>
    <row r="10778" s="2" customFormat="1" ht="13.5" customHeight="1">
      <c r="B10778" s="13"/>
      <c r="C10778" t="s" s="9">
        <v>30</v>
      </c>
      <c r="D10778" t="s" s="8">
        <v>4027</v>
      </c>
      <c r="E10778" t="s" s="9">
        <v>4028</v>
      </c>
      <c r="F10778" t="s" s="10">
        <v>68</v>
      </c>
      <c r="G10778" t="s" s="11">
        <v>68</v>
      </c>
      <c r="H10778" s="19">
        <v>1</v>
      </c>
      <c r="I10778" t="s" s="11">
        <v>68</v>
      </c>
      <c r="J10778" t="s" s="11">
        <v>20</v>
      </c>
      <c r="K10778" s="15"/>
      <c r="L10778" t="s" s="16">
        <f>HYPERLINK("http://csr.bu.edu/ftp/asl/asllvd/demos/verify_start_end_handshape_annotations//test_auto_move//signs_mov_separ_signers/Brady_15196.mov","MOV")</f>
        <v>21</v>
      </c>
      <c r="M10778" t="s" s="10">
        <v>60</v>
      </c>
      <c r="N10778" s="17">
        <v>35</v>
      </c>
      <c r="O10778" s="18">
        <v>1433</v>
      </c>
      <c r="P10778" s="18">
        <v>1493</v>
      </c>
      <c r="Q10778" s="15"/>
      <c r="R10778" t="s" s="16">
        <f>HYPERLINK("http://secrets.rutgers.edu:8080/data/asl-ftp/asllvd/demos/verify_start_end_handshape_annotations//test_auto_move//signs_mov_separ_signers/Brady_15196.mov","MOV")</f>
        <v>21</v>
      </c>
    </row>
    <row r="10779" s="2" customFormat="1" ht="13.5" customHeight="1">
      <c r="B10779" s="13"/>
      <c r="C10779" t="s" s="9">
        <v>30</v>
      </c>
      <c r="D10779" t="s" s="8">
        <v>4027</v>
      </c>
      <c r="E10779" t="s" s="9">
        <v>4027</v>
      </c>
      <c r="F10779" t="s" s="10">
        <v>68</v>
      </c>
      <c r="G10779" t="s" s="11">
        <v>68</v>
      </c>
      <c r="H10779" s="19">
        <v>1</v>
      </c>
      <c r="I10779" t="s" s="11">
        <v>68</v>
      </c>
      <c r="J10779" t="s" s="11">
        <v>20</v>
      </c>
      <c r="K10779" s="15"/>
      <c r="L10779" t="s" s="16">
        <f>HYPERLINK("http://csr.bu.edu/ftp/asl/asllvd/demos/verify_start_end_handshape_annotations//test_auto_move//signs_mov_separ_signers/Brady_15197.mov","MOV")</f>
        <v>21</v>
      </c>
      <c r="M10779" t="s" s="10">
        <v>60</v>
      </c>
      <c r="N10779" s="17">
        <v>57</v>
      </c>
      <c r="O10779" s="18">
        <v>5978</v>
      </c>
      <c r="P10779" s="18">
        <v>6034</v>
      </c>
      <c r="Q10779" s="15"/>
      <c r="R10779" t="s" s="16">
        <f>HYPERLINK("http://secrets.rutgers.edu:8080/data/asl-ftp/asllvd/demos/verify_start_end_handshape_annotations//test_auto_move//signs_mov_separ_signers/Brady_15197.mov","MOV")</f>
        <v>21</v>
      </c>
    </row>
    <row r="10780" s="2" customFormat="1" ht="13.5" customHeight="1">
      <c r="B10780" t="s" s="8">
        <v>4029</v>
      </c>
      <c r="C10780" t="s" s="9">
        <v>14</v>
      </c>
      <c r="D10780" t="s" s="8">
        <v>14</v>
      </c>
      <c r="E10780" t="s" s="9">
        <v>14</v>
      </c>
      <c r="F10780" t="s" s="10">
        <v>14</v>
      </c>
      <c r="G10780" t="s" s="11">
        <v>14</v>
      </c>
      <c r="H10780" t="s" s="10">
        <v>14</v>
      </c>
      <c r="I10780" t="s" s="11">
        <v>14</v>
      </c>
      <c r="J10780" t="s" s="11">
        <v>14</v>
      </c>
      <c r="K10780" t="s" s="12">
        <v>14</v>
      </c>
      <c r="L10780" t="s" s="12">
        <v>14</v>
      </c>
      <c r="M10780" t="s" s="10">
        <v>14</v>
      </c>
      <c r="N10780" t="s" s="11">
        <v>14</v>
      </c>
      <c r="O10780" t="s" s="8">
        <v>14</v>
      </c>
      <c r="P10780" t="s" s="8">
        <v>14</v>
      </c>
      <c r="Q10780" t="s" s="12">
        <v>14</v>
      </c>
      <c r="R10780" t="s" s="12">
        <v>14</v>
      </c>
    </row>
    <row r="10781" s="2" customFormat="1" ht="13.5" customHeight="1">
      <c r="B10781" s="13"/>
      <c r="C10781" t="s" s="9">
        <v>16</v>
      </c>
      <c r="D10781" t="s" s="8">
        <v>4029</v>
      </c>
      <c r="E10781" t="s" s="9">
        <v>4029</v>
      </c>
      <c r="F10781" t="s" s="10">
        <v>68</v>
      </c>
      <c r="G10781" t="s" s="11">
        <v>68</v>
      </c>
      <c r="H10781" t="s" s="10">
        <v>229</v>
      </c>
      <c r="I10781" t="s" s="11">
        <v>68</v>
      </c>
      <c r="J10781" t="s" s="11">
        <v>20</v>
      </c>
      <c r="K10781" s="15"/>
      <c r="L10781" t="s" s="16">
        <f>HYPERLINK("http://csr.bu.edu/ftp/asl/asllvd/demos/verify_start_end_handshape_annotations//test_auto_move//signs_mov_separ_signers/Liz_15198.mov","MOV")</f>
        <v>21</v>
      </c>
      <c r="M10781" t="s" s="10">
        <v>77</v>
      </c>
      <c r="N10781" s="17">
        <v>16</v>
      </c>
      <c r="O10781" s="18">
        <v>1845</v>
      </c>
      <c r="P10781" s="18">
        <v>1881</v>
      </c>
      <c r="Q10781" s="15"/>
      <c r="R10781" t="s" s="16">
        <f>HYPERLINK("http://secrets.rutgers.edu:8080/data/asl-ftp/asllvd/demos/verify_start_end_handshape_annotations//test_auto_move//signs_mov_separ_signers/Liz_15198.mov","MOV")</f>
        <v>21</v>
      </c>
    </row>
    <row r="10782" s="2" customFormat="1" ht="13.5" customHeight="1">
      <c r="B10782" s="13"/>
      <c r="C10782" t="s" s="9">
        <v>16</v>
      </c>
      <c r="D10782" t="s" s="8">
        <v>4029</v>
      </c>
      <c r="E10782" t="s" s="9">
        <v>4029</v>
      </c>
      <c r="F10782" t="s" s="10">
        <v>68</v>
      </c>
      <c r="G10782" t="s" s="11">
        <v>68</v>
      </c>
      <c r="H10782" t="s" s="10">
        <v>229</v>
      </c>
      <c r="I10782" t="s" s="11">
        <v>68</v>
      </c>
      <c r="J10782" t="s" s="11">
        <v>20</v>
      </c>
      <c r="K10782" t="s" s="16">
        <f>HYPERLINK("http://csr.bu.edu/ftp/asl/asllvd/demos/verify_start_end_handshape_annotations//test_auto_move//signs_mov/15198_15199_merged.mov","MOV")</f>
        <v>21</v>
      </c>
      <c r="L10782" t="s" s="16">
        <f>HYPERLINK("http://csr.bu.edu/ftp/asl/asllvd/demos/verify_start_end_handshape_annotations//test_auto_move//signs_mov_separ_signers/Liz_15199.mov","MOV")</f>
        <v>21</v>
      </c>
      <c r="M10782" t="s" s="10">
        <v>77</v>
      </c>
      <c r="N10782" s="17">
        <v>24</v>
      </c>
      <c r="O10782" s="18">
        <v>2032</v>
      </c>
      <c r="P10782" s="18">
        <v>2090</v>
      </c>
      <c r="Q10782" t="s" s="16">
        <f>HYPERLINK("http://secrets.rutgers.edu:8080/data/asl-ftp/asllvd/demos/verify_start_end_handshape_annotations//test_auto_move//signs_mov/15198_15199_merged.mov","MOV")</f>
        <v>21</v>
      </c>
      <c r="R10782" t="s" s="16">
        <f>HYPERLINK("http://secrets.rutgers.edu:8080/data/asl-ftp/asllvd/demos/verify_start_end_handshape_annotations//test_auto_move//signs_mov_separ_signers/Liz_15199.mov","MOV")</f>
        <v>21</v>
      </c>
    </row>
    <row r="10783" s="2" customFormat="1" ht="13.5" customHeight="1">
      <c r="B10783" s="13"/>
      <c r="C10783" t="s" s="9">
        <v>30</v>
      </c>
      <c r="D10783" t="s" s="8">
        <v>4029</v>
      </c>
      <c r="E10783" t="s" s="9">
        <v>4029</v>
      </c>
      <c r="F10783" t="s" s="10">
        <v>68</v>
      </c>
      <c r="G10783" t="s" s="11">
        <v>68</v>
      </c>
      <c r="H10783" t="s" s="10">
        <v>229</v>
      </c>
      <c r="I10783" t="s" s="11">
        <v>68</v>
      </c>
      <c r="J10783" t="s" s="11">
        <v>20</v>
      </c>
      <c r="K10783" s="15"/>
      <c r="L10783" t="s" s="16">
        <f>HYPERLINK("http://csr.bu.edu/ftp/asl/asllvd/demos/verify_start_end_handshape_annotations//test_auto_move//signs_mov_separ_signers/Brady_15198.mov","MOV")</f>
        <v>21</v>
      </c>
      <c r="M10783" t="s" s="10">
        <v>31</v>
      </c>
      <c r="N10783" s="17">
        <v>21</v>
      </c>
      <c r="O10783" s="18">
        <v>1829</v>
      </c>
      <c r="P10783" s="18">
        <v>1862</v>
      </c>
      <c r="Q10783" s="15"/>
      <c r="R10783" t="s" s="16">
        <f>HYPERLINK("http://secrets.rutgers.edu:8080/data/asl-ftp/asllvd/demos/verify_start_end_handshape_annotations//test_auto_move//signs_mov_separ_signers/Brady_15198.mov","MOV")</f>
        <v>21</v>
      </c>
    </row>
    <row r="10784" s="2" customFormat="1" ht="13.5" customHeight="1">
      <c r="B10784" s="13"/>
      <c r="C10784" t="s" s="9">
        <v>30</v>
      </c>
      <c r="D10784" t="s" s="8">
        <v>4029</v>
      </c>
      <c r="E10784" t="s" s="9">
        <v>4029</v>
      </c>
      <c r="F10784" t="s" s="10">
        <v>68</v>
      </c>
      <c r="G10784" t="s" s="11">
        <v>68</v>
      </c>
      <c r="H10784" t="s" s="10">
        <v>229</v>
      </c>
      <c r="I10784" t="s" s="11">
        <v>68</v>
      </c>
      <c r="J10784" t="s" s="11">
        <v>20</v>
      </c>
      <c r="K10784" s="15"/>
      <c r="L10784" t="s" s="16">
        <f>HYPERLINK("http://csr.bu.edu/ftp/asl/asllvd/demos/verify_start_end_handshape_annotations//test_auto_move//signs_mov_separ_signers/Brady_15199.mov","MOV")</f>
        <v>21</v>
      </c>
      <c r="M10784" t="s" s="10">
        <v>39</v>
      </c>
      <c r="N10784" s="17">
        <v>13</v>
      </c>
      <c r="O10784" s="18">
        <v>2133</v>
      </c>
      <c r="P10784" s="18">
        <v>2156</v>
      </c>
      <c r="Q10784" s="15"/>
      <c r="R10784" t="s" s="16">
        <f>HYPERLINK("http://secrets.rutgers.edu:8080/data/asl-ftp/asllvd/demos/verify_start_end_handshape_annotations//test_auto_move//signs_mov_separ_signers/Brady_15199.mov","MOV")</f>
        <v>21</v>
      </c>
    </row>
    <row r="10785" s="2" customFormat="1" ht="13.5" customHeight="1">
      <c r="B10785" t="s" s="8">
        <v>4030</v>
      </c>
      <c r="C10785" t="s" s="9">
        <v>14</v>
      </c>
      <c r="D10785" t="s" s="8">
        <v>14</v>
      </c>
      <c r="E10785" t="s" s="9">
        <v>14</v>
      </c>
      <c r="F10785" t="s" s="10">
        <v>14</v>
      </c>
      <c r="G10785" t="s" s="11">
        <v>14</v>
      </c>
      <c r="H10785" t="s" s="10">
        <v>14</v>
      </c>
      <c r="I10785" t="s" s="11">
        <v>14</v>
      </c>
      <c r="J10785" t="s" s="11">
        <v>14</v>
      </c>
      <c r="K10785" t="s" s="12">
        <v>14</v>
      </c>
      <c r="L10785" t="s" s="12">
        <v>14</v>
      </c>
      <c r="M10785" t="s" s="10">
        <v>14</v>
      </c>
      <c r="N10785" t="s" s="11">
        <v>14</v>
      </c>
      <c r="O10785" t="s" s="8">
        <v>14</v>
      </c>
      <c r="P10785" t="s" s="8">
        <v>14</v>
      </c>
      <c r="Q10785" t="s" s="12">
        <v>14</v>
      </c>
      <c r="R10785" t="s" s="12">
        <v>14</v>
      </c>
    </row>
    <row r="10786" s="2" customFormat="1" ht="13.5" customHeight="1">
      <c r="B10786" s="13"/>
      <c r="C10786" t="s" s="9">
        <v>16</v>
      </c>
      <c r="D10786" t="s" s="8">
        <v>4030</v>
      </c>
      <c r="E10786" t="s" s="9">
        <v>4030</v>
      </c>
      <c r="F10786" t="s" s="10">
        <v>18</v>
      </c>
      <c r="G10786" t="s" s="11">
        <v>73</v>
      </c>
      <c r="H10786" t="s" s="10">
        <v>18</v>
      </c>
      <c r="I10786" t="s" s="11">
        <v>73</v>
      </c>
      <c r="J10786" t="s" s="11">
        <v>20</v>
      </c>
      <c r="K10786" t="s" s="16">
        <f>HYPERLINK("http://csr.bu.edu/ftp/asl/asllvd/demos/verify_start_end_handshape_annotations//test_auto_move//signs_mov/4623.mov","MOV")</f>
        <v>21</v>
      </c>
      <c r="L10786" t="s" s="16">
        <f>HYPERLINK("http://csr.bu.edu/ftp/asl/asllvd/demos/verify_start_end_handshape_annotations//test_auto_move//signs_mov_separ_signers/Liz_4623.mov","MOV")</f>
        <v>21</v>
      </c>
      <c r="M10786" t="s" s="10">
        <v>34</v>
      </c>
      <c r="N10786" s="17">
        <v>22</v>
      </c>
      <c r="O10786" s="18">
        <v>1186</v>
      </c>
      <c r="P10786" s="18">
        <v>1252</v>
      </c>
      <c r="Q10786" t="s" s="16">
        <f>HYPERLINK("http://secrets.rutgers.edu:8080/data/asl-ftp/asllvd/demos/verify_start_end_handshape_annotations//test_auto_move//signs_mov/4623.mov","MOV")</f>
        <v>21</v>
      </c>
      <c r="R10786" t="s" s="16">
        <f>HYPERLINK("http://secrets.rutgers.edu:8080/data/asl-ftp/asllvd/demos/verify_start_end_handshape_annotations//test_auto_move//signs_mov_separ_signers/Liz_4623.mov","MOV")</f>
        <v>21</v>
      </c>
    </row>
    <row r="10787" s="2" customFormat="1" ht="13.5" customHeight="1">
      <c r="B10787" s="13"/>
      <c r="C10787" t="s" s="9">
        <v>30</v>
      </c>
      <c r="D10787" t="s" s="8">
        <v>4030</v>
      </c>
      <c r="E10787" t="s" s="9">
        <v>4030</v>
      </c>
      <c r="F10787" t="s" s="10">
        <v>349</v>
      </c>
      <c r="G10787" t="s" s="11">
        <v>73</v>
      </c>
      <c r="H10787" t="s" s="10">
        <v>349</v>
      </c>
      <c r="I10787" t="s" s="11">
        <v>73</v>
      </c>
      <c r="J10787" t="s" s="11">
        <v>20</v>
      </c>
      <c r="K10787" s="15"/>
      <c r="L10787" t="s" s="16">
        <f>HYPERLINK("http://csr.bu.edu/ftp/asl/asllvd/demos/verify_start_end_handshape_annotations//test_auto_move//signs_mov_separ_signers/Brady_4623.mov","MOV")</f>
        <v>21</v>
      </c>
      <c r="M10787" t="s" s="10">
        <v>39</v>
      </c>
      <c r="N10787" s="17">
        <v>34</v>
      </c>
      <c r="O10787" s="18">
        <v>1879</v>
      </c>
      <c r="P10787" s="18">
        <v>1903</v>
      </c>
      <c r="Q10787" s="15"/>
      <c r="R10787" t="s" s="16">
        <f>HYPERLINK("http://secrets.rutgers.edu:8080/data/asl-ftp/asllvd/demos/verify_start_end_handshape_annotations//test_auto_move//signs_mov_separ_signers/Brady_4623.mov","MOV")</f>
        <v>21</v>
      </c>
    </row>
    <row r="10788" s="2" customFormat="1" ht="13.5" customHeight="1">
      <c r="B10788" t="s" s="8">
        <v>4031</v>
      </c>
      <c r="C10788" t="s" s="9">
        <v>14</v>
      </c>
      <c r="D10788" t="s" s="8">
        <v>14</v>
      </c>
      <c r="E10788" t="s" s="9">
        <v>14</v>
      </c>
      <c r="F10788" t="s" s="10">
        <v>14</v>
      </c>
      <c r="G10788" t="s" s="11">
        <v>14</v>
      </c>
      <c r="H10788" t="s" s="10">
        <v>14</v>
      </c>
      <c r="I10788" t="s" s="11">
        <v>14</v>
      </c>
      <c r="J10788" t="s" s="11">
        <v>14</v>
      </c>
      <c r="K10788" t="s" s="12">
        <v>14</v>
      </c>
      <c r="L10788" t="s" s="12">
        <v>14</v>
      </c>
      <c r="M10788" t="s" s="10">
        <v>14</v>
      </c>
      <c r="N10788" t="s" s="11">
        <v>14</v>
      </c>
      <c r="O10788" t="s" s="8">
        <v>14</v>
      </c>
      <c r="P10788" t="s" s="8">
        <v>14</v>
      </c>
      <c r="Q10788" t="s" s="12">
        <v>14</v>
      </c>
      <c r="R10788" t="s" s="12">
        <v>14</v>
      </c>
    </row>
    <row r="10789" s="2" customFormat="1" ht="13.5" customHeight="1">
      <c r="B10789" s="13"/>
      <c r="C10789" t="s" s="9">
        <v>16</v>
      </c>
      <c r="D10789" t="s" s="8">
        <v>4031</v>
      </c>
      <c r="E10789" t="s" s="9">
        <v>4031</v>
      </c>
      <c r="F10789" t="s" s="10">
        <v>349</v>
      </c>
      <c r="G10789" t="s" s="11">
        <v>349</v>
      </c>
      <c r="H10789" t="s" s="10">
        <v>349</v>
      </c>
      <c r="I10789" t="s" s="11">
        <v>349</v>
      </c>
      <c r="J10789" t="s" s="11">
        <v>20</v>
      </c>
      <c r="K10789" t="s" s="16">
        <f>HYPERLINK("http://csr.bu.edu/ftp/asl/asllvd/demos/verify_start_end_handshape_annotations//test_auto_move//signs_mov/15263.mov","MOV")</f>
        <v>21</v>
      </c>
      <c r="L10789" t="s" s="16">
        <f>HYPERLINK("http://csr.bu.edu/ftp/asl/asllvd/demos/verify_start_end_handshape_annotations//test_auto_move//signs_mov_separ_signers/Liz_15263.mov","MOV")</f>
        <v>21</v>
      </c>
      <c r="M10789" t="s" s="10">
        <v>88</v>
      </c>
      <c r="N10789" s="17">
        <v>52</v>
      </c>
      <c r="O10789" s="18">
        <v>1415</v>
      </c>
      <c r="P10789" s="18">
        <v>1481</v>
      </c>
      <c r="Q10789" t="s" s="16">
        <f>HYPERLINK("http://secrets.rutgers.edu:8080/data/asl-ftp/asllvd/demos/verify_start_end_handshape_annotations//test_auto_move//signs_mov/15263.mov","MOV")</f>
        <v>21</v>
      </c>
      <c r="R10789" t="s" s="16">
        <f>HYPERLINK("http://secrets.rutgers.edu:8080/data/asl-ftp/asllvd/demos/verify_start_end_handshape_annotations//test_auto_move//signs_mov_separ_signers/Liz_15263.mov","MOV")</f>
        <v>21</v>
      </c>
    </row>
    <row r="10790" s="2" customFormat="1" ht="13.5" customHeight="1">
      <c r="B10790" s="13"/>
      <c r="C10790" t="s" s="9">
        <v>30</v>
      </c>
      <c r="D10790" t="s" s="8">
        <v>4031</v>
      </c>
      <c r="E10790" t="s" s="9">
        <v>4031</v>
      </c>
      <c r="F10790" t="s" s="10">
        <v>349</v>
      </c>
      <c r="G10790" t="s" s="11">
        <v>349</v>
      </c>
      <c r="H10790" t="s" s="10">
        <v>349</v>
      </c>
      <c r="I10790" t="s" s="11">
        <v>349</v>
      </c>
      <c r="J10790" t="s" s="11">
        <v>20</v>
      </c>
      <c r="K10790" s="15"/>
      <c r="L10790" t="s" s="16">
        <f>HYPERLINK("http://csr.bu.edu/ftp/asl/asllvd/demos/verify_start_end_handshape_annotations//test_auto_move//signs_mov_separ_signers/Brady_15263.mov","MOV")</f>
        <v>21</v>
      </c>
      <c r="M10790" t="s" s="10">
        <v>40</v>
      </c>
      <c r="N10790" s="17">
        <v>47</v>
      </c>
      <c r="O10790" s="18">
        <v>688</v>
      </c>
      <c r="P10790" s="18">
        <v>730</v>
      </c>
      <c r="Q10790" s="15"/>
      <c r="R10790" t="s" s="16">
        <f>HYPERLINK("http://secrets.rutgers.edu:8080/data/asl-ftp/asllvd/demos/verify_start_end_handshape_annotations//test_auto_move//signs_mov_separ_signers/Brady_15263.mov","MOV")</f>
        <v>21</v>
      </c>
    </row>
    <row r="10791" s="2" customFormat="1" ht="13.5" customHeight="1">
      <c r="B10791" t="s" s="8">
        <v>4032</v>
      </c>
      <c r="C10791" t="s" s="9">
        <v>14</v>
      </c>
      <c r="D10791" t="s" s="8">
        <v>14</v>
      </c>
      <c r="E10791" t="s" s="9">
        <v>14</v>
      </c>
      <c r="F10791" t="s" s="10">
        <v>14</v>
      </c>
      <c r="G10791" t="s" s="11">
        <v>14</v>
      </c>
      <c r="H10791" t="s" s="10">
        <v>14</v>
      </c>
      <c r="I10791" t="s" s="11">
        <v>14</v>
      </c>
      <c r="J10791" t="s" s="11">
        <v>14</v>
      </c>
      <c r="K10791" t="s" s="12">
        <v>14</v>
      </c>
      <c r="L10791" t="s" s="12">
        <v>14</v>
      </c>
      <c r="M10791" t="s" s="10">
        <v>14</v>
      </c>
      <c r="N10791" t="s" s="11">
        <v>14</v>
      </c>
      <c r="O10791" t="s" s="8">
        <v>14</v>
      </c>
      <c r="P10791" t="s" s="8">
        <v>14</v>
      </c>
      <c r="Q10791" t="s" s="12">
        <v>14</v>
      </c>
      <c r="R10791" t="s" s="12">
        <v>14</v>
      </c>
    </row>
    <row r="10792" s="2" customFormat="1" ht="13.5" customHeight="1">
      <c r="B10792" s="13"/>
      <c r="C10792" t="s" s="9">
        <v>16</v>
      </c>
      <c r="D10792" t="s" s="8">
        <v>4032</v>
      </c>
      <c r="E10792" t="s" s="9">
        <v>4033</v>
      </c>
      <c r="F10792" t="s" s="10">
        <v>287</v>
      </c>
      <c r="G10792" t="s" s="11">
        <v>287</v>
      </c>
      <c r="H10792" t="s" s="10">
        <v>287</v>
      </c>
      <c r="I10792" t="s" s="11">
        <v>287</v>
      </c>
      <c r="J10792" t="s" s="11">
        <v>20</v>
      </c>
      <c r="K10792" s="15"/>
      <c r="L10792" t="s" s="16">
        <f>HYPERLINK("http://csr.bu.edu/ftp/asl/asllvd/demos/verify_start_end_handshape_annotations//test_auto_move//signs_mov_separ_signers/Liz_15276.mov","MOV")</f>
        <v>21</v>
      </c>
      <c r="M10792" t="s" s="10">
        <v>36</v>
      </c>
      <c r="N10792" s="17">
        <v>41</v>
      </c>
      <c r="O10792" s="18">
        <v>1950</v>
      </c>
      <c r="P10792" s="18">
        <v>2010</v>
      </c>
      <c r="Q10792" s="15"/>
      <c r="R10792" t="s" s="16">
        <f>HYPERLINK("http://secrets.rutgers.edu:8080/data/asl-ftp/asllvd/demos/verify_start_end_handshape_annotations//test_auto_move//signs_mov_separ_signers/Liz_15276.mov","MOV")</f>
        <v>21</v>
      </c>
    </row>
    <row r="10793" s="2" customFormat="1" ht="13.5" customHeight="1">
      <c r="B10793" s="13"/>
      <c r="C10793" t="s" s="9">
        <v>23</v>
      </c>
      <c r="D10793" t="s" s="8">
        <v>4032</v>
      </c>
      <c r="E10793" t="s" s="9">
        <v>4033</v>
      </c>
      <c r="F10793" t="s" s="10">
        <v>287</v>
      </c>
      <c r="G10793" t="s" s="11">
        <v>287</v>
      </c>
      <c r="H10793" t="s" s="10">
        <v>287</v>
      </c>
      <c r="I10793" t="s" s="11">
        <v>287</v>
      </c>
      <c r="J10793" t="s" s="11">
        <v>20</v>
      </c>
      <c r="K10793" s="15"/>
      <c r="L10793" t="s" s="16">
        <f>HYPERLINK("http://csr.bu.edu/ftp/asl/asllvd/demos/verify_start_end_handshape_annotations//test_auto_move//signs_mov_separ_signers/Tyler_15276.mov","MOV")</f>
        <v>21</v>
      </c>
      <c r="M10793" t="s" s="10">
        <v>92</v>
      </c>
      <c r="N10793" s="17">
        <v>50</v>
      </c>
      <c r="O10793" s="18">
        <v>830</v>
      </c>
      <c r="P10793" s="18">
        <v>886</v>
      </c>
      <c r="Q10793" s="15"/>
      <c r="R10793" t="s" s="16">
        <f>HYPERLINK("http://secrets.rutgers.edu:8080/data/asl-ftp/asllvd/demos/verify_start_end_handshape_annotations//test_auto_move//signs_mov_separ_signers/Tyler_15276.mov","MOV")</f>
        <v>21</v>
      </c>
    </row>
    <row r="10794" s="2" customFormat="1" ht="13.5" customHeight="1">
      <c r="B10794" s="13"/>
      <c r="C10794" t="s" s="9">
        <v>27</v>
      </c>
      <c r="D10794" t="s" s="8">
        <v>4032</v>
      </c>
      <c r="E10794" t="s" s="9">
        <v>4033</v>
      </c>
      <c r="F10794" t="s" s="10">
        <v>287</v>
      </c>
      <c r="G10794" t="s" s="11">
        <v>287</v>
      </c>
      <c r="H10794" t="s" s="10">
        <v>287</v>
      </c>
      <c r="I10794" t="s" s="11">
        <v>287</v>
      </c>
      <c r="J10794" t="s" s="11">
        <v>20</v>
      </c>
      <c r="K10794" t="s" s="16">
        <f>HYPERLINK("http://csr.bu.edu/ftp/asl/asllvd/demos/verify_start_end_handshape_annotations//test_auto_move//signs_mov/15276_15389_merged.mov","MOV")</f>
        <v>21</v>
      </c>
      <c r="L10794" t="s" s="16">
        <f>HYPERLINK("http://csr.bu.edu/ftp/asl/asllvd/demos/verify_start_end_handshape_annotations//test_auto_move//signs_mov_separ_signers/Naomi_15276.mov","MOV")</f>
        <v>21</v>
      </c>
      <c r="M10794" t="s" s="10">
        <v>38</v>
      </c>
      <c r="N10794" s="17">
        <v>18</v>
      </c>
      <c r="O10794" s="18">
        <v>1377</v>
      </c>
      <c r="P10794" s="18">
        <v>1440</v>
      </c>
      <c r="Q10794" t="s" s="16">
        <f>HYPERLINK("http://secrets.rutgers.edu:8080/data/asl-ftp/asllvd/demos/verify_start_end_handshape_annotations//test_auto_move//signs_mov/15276_15389_merged.mov","MOV")</f>
        <v>21</v>
      </c>
      <c r="R10794" t="s" s="16">
        <f>HYPERLINK("http://secrets.rutgers.edu:8080/data/asl-ftp/asllvd/demos/verify_start_end_handshape_annotations//test_auto_move//signs_mov_separ_signers/Naomi_15276.mov","MOV")</f>
        <v>21</v>
      </c>
    </row>
    <row r="10795" s="2" customFormat="1" ht="13.5" customHeight="1">
      <c r="B10795" s="13"/>
      <c r="C10795" t="s" s="9">
        <v>30</v>
      </c>
      <c r="D10795" t="s" s="8">
        <v>4032</v>
      </c>
      <c r="E10795" t="s" s="9">
        <v>4033</v>
      </c>
      <c r="F10795" t="s" s="10">
        <v>287</v>
      </c>
      <c r="G10795" t="s" s="11">
        <v>287</v>
      </c>
      <c r="H10795" t="s" s="10">
        <v>287</v>
      </c>
      <c r="I10795" t="s" s="11">
        <v>287</v>
      </c>
      <c r="J10795" t="s" s="11">
        <v>20</v>
      </c>
      <c r="K10795" s="15"/>
      <c r="L10795" t="s" s="16">
        <f>HYPERLINK("http://csr.bu.edu/ftp/asl/asllvd/demos/verify_start_end_handshape_annotations//test_auto_move//signs_mov_separ_signers/Brady_15276.mov","MOV")</f>
        <v>21</v>
      </c>
      <c r="M10795" t="s" s="10">
        <v>39</v>
      </c>
      <c r="N10795" s="17">
        <v>34</v>
      </c>
      <c r="O10795" s="18">
        <v>1659</v>
      </c>
      <c r="P10795" s="18">
        <v>1707</v>
      </c>
      <c r="Q10795" s="15"/>
      <c r="R10795" t="s" s="16">
        <f>HYPERLINK("http://secrets.rutgers.edu:8080/data/asl-ftp/asllvd/demos/verify_start_end_handshape_annotations//test_auto_move//signs_mov_separ_signers/Brady_15276.mov","MOV")</f>
        <v>21</v>
      </c>
    </row>
    <row r="10796" s="2" customFormat="1" ht="13.5" customHeight="1">
      <c r="B10796" s="13"/>
      <c r="C10796" t="s" s="9">
        <v>30</v>
      </c>
      <c r="D10796" t="s" s="8">
        <v>4032</v>
      </c>
      <c r="E10796" t="s" s="9">
        <v>4033</v>
      </c>
      <c r="F10796" t="s" s="10">
        <v>287</v>
      </c>
      <c r="G10796" t="s" s="11">
        <v>287</v>
      </c>
      <c r="H10796" t="s" s="10">
        <v>287</v>
      </c>
      <c r="I10796" t="s" s="11">
        <v>287</v>
      </c>
      <c r="J10796" t="s" s="11">
        <v>20</v>
      </c>
      <c r="K10796" s="15"/>
      <c r="L10796" t="s" s="16">
        <f>HYPERLINK("http://csr.bu.edu/ftp/asl/asllvd/demos/verify_start_end_handshape_annotations//test_auto_move//signs_mov_separ_signers/Brady_15389.mov","MOV")</f>
        <v>21</v>
      </c>
      <c r="M10796" t="s" s="10">
        <v>40</v>
      </c>
      <c r="N10796" s="17">
        <v>47</v>
      </c>
      <c r="O10796" s="18">
        <v>997</v>
      </c>
      <c r="P10796" s="18">
        <v>1055</v>
      </c>
      <c r="Q10796" s="15"/>
      <c r="R10796" t="s" s="16">
        <f>HYPERLINK("http://secrets.rutgers.edu:8080/data/asl-ftp/asllvd/demos/verify_start_end_handshape_annotations//test_auto_move//signs_mov_separ_signers/Brady_15389.mov","MOV")</f>
        <v>21</v>
      </c>
    </row>
    <row r="10797" s="2" customFormat="1" ht="13.5" customHeight="1">
      <c r="B10797" t="s" s="8">
        <v>4034</v>
      </c>
      <c r="C10797" t="s" s="9">
        <v>14</v>
      </c>
      <c r="D10797" t="s" s="8">
        <v>14</v>
      </c>
      <c r="E10797" t="s" s="9">
        <v>14</v>
      </c>
      <c r="F10797" t="s" s="10">
        <v>14</v>
      </c>
      <c r="G10797" t="s" s="11">
        <v>14</v>
      </c>
      <c r="H10797" t="s" s="10">
        <v>14</v>
      </c>
      <c r="I10797" t="s" s="11">
        <v>14</v>
      </c>
      <c r="J10797" t="s" s="11">
        <v>14</v>
      </c>
      <c r="K10797" t="s" s="12">
        <v>14</v>
      </c>
      <c r="L10797" t="s" s="12">
        <v>14</v>
      </c>
      <c r="M10797" t="s" s="10">
        <v>14</v>
      </c>
      <c r="N10797" t="s" s="11">
        <v>14</v>
      </c>
      <c r="O10797" t="s" s="8">
        <v>14</v>
      </c>
      <c r="P10797" t="s" s="8">
        <v>14</v>
      </c>
      <c r="Q10797" t="s" s="12">
        <v>14</v>
      </c>
      <c r="R10797" t="s" s="12">
        <v>14</v>
      </c>
    </row>
    <row r="10798" s="2" customFormat="1" ht="13.5" customHeight="1">
      <c r="B10798" s="13"/>
      <c r="C10798" t="s" s="9">
        <v>16</v>
      </c>
      <c r="D10798" t="s" s="8">
        <v>4034</v>
      </c>
      <c r="E10798" t="s" s="9">
        <v>4034</v>
      </c>
      <c r="F10798" s="19">
        <v>10</v>
      </c>
      <c r="G10798" t="s" s="11">
        <v>73</v>
      </c>
      <c r="H10798" s="19">
        <v>10</v>
      </c>
      <c r="I10798" t="s" s="11">
        <v>73</v>
      </c>
      <c r="J10798" t="s" s="11">
        <v>20</v>
      </c>
      <c r="K10798" s="15"/>
      <c r="L10798" t="s" s="16">
        <f>HYPERLINK("http://csr.bu.edu/ftp/asl/asllvd/demos/verify_start_end_handshape_annotations//test_auto_move//signs_mov_separ_signers/Liz_4626.mov","MOV")</f>
        <v>21</v>
      </c>
      <c r="M10798" t="s" s="10">
        <v>34</v>
      </c>
      <c r="N10798" s="17">
        <v>47</v>
      </c>
      <c r="O10798" s="18">
        <v>1680</v>
      </c>
      <c r="P10798" s="18">
        <v>1720</v>
      </c>
      <c r="Q10798" s="15"/>
      <c r="R10798" t="s" s="16">
        <f>HYPERLINK("http://secrets.rutgers.edu:8080/data/asl-ftp/asllvd/demos/verify_start_end_handshape_annotations//test_auto_move//signs_mov_separ_signers/Liz_4626.mov","MOV")</f>
        <v>21</v>
      </c>
    </row>
    <row r="10799" s="2" customFormat="1" ht="13.5" customHeight="1">
      <c r="B10799" s="13"/>
      <c r="C10799" t="s" s="9">
        <v>23</v>
      </c>
      <c r="D10799" t="s" s="8">
        <v>4034</v>
      </c>
      <c r="E10799" t="s" s="9">
        <v>4034</v>
      </c>
      <c r="F10799" s="19">
        <v>10</v>
      </c>
      <c r="G10799" t="s" s="11">
        <v>73</v>
      </c>
      <c r="H10799" s="19">
        <v>10</v>
      </c>
      <c r="I10799" t="s" s="11">
        <v>73</v>
      </c>
      <c r="J10799" t="s" s="11">
        <v>20</v>
      </c>
      <c r="K10799" s="15"/>
      <c r="L10799" t="s" s="16">
        <f>HYPERLINK("http://csr.bu.edu/ftp/asl/asllvd/demos/verify_start_end_handshape_annotations//test_auto_move//signs_mov_separ_signers/Tyler_4626.mov","MOV")</f>
        <v>21</v>
      </c>
      <c r="M10799" t="s" s="10">
        <v>37</v>
      </c>
      <c r="N10799" s="17">
        <v>19</v>
      </c>
      <c r="O10799" s="18">
        <v>2770</v>
      </c>
      <c r="P10799" s="18">
        <v>2805</v>
      </c>
      <c r="Q10799" s="15"/>
      <c r="R10799" t="s" s="16">
        <f>HYPERLINK("http://secrets.rutgers.edu:8080/data/asl-ftp/asllvd/demos/verify_start_end_handshape_annotations//test_auto_move//signs_mov_separ_signers/Tyler_4626.mov","MOV")</f>
        <v>21</v>
      </c>
    </row>
    <row r="10800" s="2" customFormat="1" ht="13.5" customHeight="1">
      <c r="B10800" s="13"/>
      <c r="C10800" t="s" s="9">
        <v>27</v>
      </c>
      <c r="D10800" t="s" s="8">
        <v>4034</v>
      </c>
      <c r="E10800" t="s" s="9">
        <v>4034</v>
      </c>
      <c r="F10800" s="19">
        <v>10</v>
      </c>
      <c r="G10800" t="s" s="11">
        <v>73</v>
      </c>
      <c r="H10800" s="19">
        <v>10</v>
      </c>
      <c r="I10800" t="s" s="11">
        <v>73</v>
      </c>
      <c r="J10800" t="s" s="11">
        <v>20</v>
      </c>
      <c r="K10800" s="15"/>
      <c r="L10800" t="s" s="16">
        <f>HYPERLINK("http://csr.bu.edu/ftp/asl/asllvd/demos/verify_start_end_handshape_annotations//test_auto_move//signs_mov_separ_signers/Naomi_4626.mov","MOV")</f>
        <v>21</v>
      </c>
      <c r="M10800" t="s" s="10">
        <v>48</v>
      </c>
      <c r="N10800" s="17">
        <v>2</v>
      </c>
      <c r="O10800" s="18">
        <v>2767</v>
      </c>
      <c r="P10800" s="18">
        <v>2790</v>
      </c>
      <c r="Q10800" s="15"/>
      <c r="R10800" t="s" s="16">
        <f>HYPERLINK("http://secrets.rutgers.edu:8080/data/asl-ftp/asllvd/demos/verify_start_end_handshape_annotations//test_auto_move//signs_mov_separ_signers/Naomi_4626.mov","MOV")</f>
        <v>21</v>
      </c>
    </row>
    <row r="10801" s="2" customFormat="1" ht="13.5" customHeight="1">
      <c r="B10801" s="13"/>
      <c r="C10801" t="s" s="9">
        <v>30</v>
      </c>
      <c r="D10801" t="s" s="8">
        <v>4034</v>
      </c>
      <c r="E10801" t="s" s="9">
        <v>4034</v>
      </c>
      <c r="F10801" s="19">
        <v>10</v>
      </c>
      <c r="G10801" t="s" s="11">
        <v>73</v>
      </c>
      <c r="H10801" s="19">
        <v>10</v>
      </c>
      <c r="I10801" t="s" s="11">
        <v>73</v>
      </c>
      <c r="J10801" t="s" s="11">
        <v>20</v>
      </c>
      <c r="K10801" t="s" s="16">
        <f>HYPERLINK("http://csr.bu.edu/ftp/asl/asllvd/demos/verify_start_end_handshape_annotations//test_auto_move//signs_mov/4626_15272_merged.mov","MOV")</f>
        <v>21</v>
      </c>
      <c r="L10801" t="s" s="16">
        <f>HYPERLINK("http://csr.bu.edu/ftp/asl/asllvd/demos/verify_start_end_handshape_annotations//test_auto_move//signs_mov_separ_signers/Brady_4626.mov","MOV")</f>
        <v>21</v>
      </c>
      <c r="M10801" t="s" s="10">
        <v>39</v>
      </c>
      <c r="N10801" s="17">
        <v>48</v>
      </c>
      <c r="O10801" s="18">
        <v>4143</v>
      </c>
      <c r="P10801" s="18">
        <v>4161</v>
      </c>
      <c r="Q10801" t="s" s="16">
        <f>HYPERLINK("http://secrets.rutgers.edu:8080/data/asl-ftp/asllvd/demos/verify_start_end_handshape_annotations//test_auto_move//signs_mov/4626_15272_merged.mov","MOV")</f>
        <v>21</v>
      </c>
      <c r="R10801" t="s" s="16">
        <f>HYPERLINK("http://secrets.rutgers.edu:8080/data/asl-ftp/asllvd/demos/verify_start_end_handshape_annotations//test_auto_move//signs_mov_separ_signers/Brady_4626.mov","MOV")</f>
        <v>21</v>
      </c>
    </row>
    <row r="10802" s="2" customFormat="1" ht="13.5" customHeight="1">
      <c r="B10802" s="13"/>
      <c r="C10802" t="s" s="9">
        <v>30</v>
      </c>
      <c r="D10802" t="s" s="8">
        <v>4034</v>
      </c>
      <c r="E10802" t="s" s="9">
        <v>4034</v>
      </c>
      <c r="F10802" s="19">
        <v>10</v>
      </c>
      <c r="G10802" t="s" s="11">
        <v>73</v>
      </c>
      <c r="H10802" s="19">
        <v>10</v>
      </c>
      <c r="I10802" t="s" s="11">
        <v>73</v>
      </c>
      <c r="J10802" t="s" s="11">
        <v>20</v>
      </c>
      <c r="K10802" s="15"/>
      <c r="L10802" t="s" s="16">
        <f>HYPERLINK("http://csr.bu.edu/ftp/asl/asllvd/demos/verify_start_end_handshape_annotations//test_auto_move//signs_mov_separ_signers/Brady_15272.mov","MOV")</f>
        <v>21</v>
      </c>
      <c r="M10802" t="s" s="10">
        <v>40</v>
      </c>
      <c r="N10802" s="17">
        <v>95</v>
      </c>
      <c r="O10802" s="18">
        <v>1812</v>
      </c>
      <c r="P10802" s="18">
        <v>1829</v>
      </c>
      <c r="Q10802" s="15"/>
      <c r="R10802" t="s" s="16">
        <f>HYPERLINK("http://secrets.rutgers.edu:8080/data/asl-ftp/asllvd/demos/verify_start_end_handshape_annotations//test_auto_move//signs_mov_separ_signers/Brady_15272.mov","MOV")</f>
        <v>21</v>
      </c>
    </row>
    <row r="10803" s="2" customFormat="1" ht="13.5" customHeight="1">
      <c r="B10803" s="13"/>
      <c r="C10803" t="s" s="9">
        <v>41</v>
      </c>
      <c r="D10803" t="s" s="8">
        <v>4034</v>
      </c>
      <c r="E10803" t="s" s="9">
        <v>4034</v>
      </c>
      <c r="F10803" s="19">
        <v>10</v>
      </c>
      <c r="G10803" t="s" s="11">
        <v>73</v>
      </c>
      <c r="H10803" s="19">
        <v>10</v>
      </c>
      <c r="I10803" t="s" s="11">
        <v>73</v>
      </c>
      <c r="J10803" t="s" s="11">
        <v>20</v>
      </c>
      <c r="K10803" s="15"/>
      <c r="L10803" t="s" s="16">
        <f>HYPERLINK("http://csr.bu.edu/ftp/asl/asllvd/demos/verify_start_end_handshape_annotations//test_auto_move//signs_mov_separ_signers/Lana_4626.mov","MOV")</f>
        <v>21</v>
      </c>
      <c r="M10803" t="s" s="10">
        <v>42</v>
      </c>
      <c r="N10803" s="17">
        <v>16</v>
      </c>
      <c r="O10803" s="18">
        <v>505</v>
      </c>
      <c r="P10803" s="18">
        <v>521</v>
      </c>
      <c r="Q10803" s="15"/>
      <c r="R10803" t="s" s="16">
        <f>HYPERLINK("http://secrets.rutgers.edu:8080/data/asl-ftp/asllvd/demos/verify_start_end_handshape_annotations//test_auto_move//signs_mov_separ_signers/Lana_4626.mov","MOV")</f>
        <v>21</v>
      </c>
    </row>
    <row r="10804" s="2" customFormat="1" ht="13.5" customHeight="1">
      <c r="B10804" s="13"/>
      <c r="C10804" t="s" s="9">
        <v>43</v>
      </c>
      <c r="D10804" t="s" s="8">
        <v>4034</v>
      </c>
      <c r="E10804" t="s" s="9">
        <v>4034</v>
      </c>
      <c r="F10804" s="19">
        <v>10</v>
      </c>
      <c r="G10804" t="s" s="11">
        <v>73</v>
      </c>
      <c r="H10804" s="19">
        <v>10</v>
      </c>
      <c r="I10804" t="s" s="11">
        <v>73</v>
      </c>
      <c r="J10804" t="s" s="11">
        <v>20</v>
      </c>
      <c r="K10804" s="15"/>
      <c r="L10804" t="s" s="16">
        <f>HYPERLINK("http://csr.bu.edu/ftp/asl/asllvd/demos/verify_start_end_handshape_annotations//test_auto_move//signs_mov_separ_signers/Dana_4626.mov","MOV")</f>
        <v>21</v>
      </c>
      <c r="M10804" t="s" s="10">
        <v>44</v>
      </c>
      <c r="N10804" s="17">
        <v>19</v>
      </c>
      <c r="O10804" s="18">
        <v>442</v>
      </c>
      <c r="P10804" s="18">
        <v>499</v>
      </c>
      <c r="Q10804" s="15"/>
      <c r="R10804" t="s" s="16">
        <f>HYPERLINK("http://secrets.rutgers.edu:8080/data/asl-ftp/asllvd/demos/verify_start_end_handshape_annotations//test_auto_move//signs_mov_separ_signers/Dana_4626.mov","MOV")</f>
        <v>21</v>
      </c>
    </row>
    <row r="10805" s="2" customFormat="1" ht="13.5" customHeight="1">
      <c r="B10805" t="s" s="8">
        <v>52</v>
      </c>
      <c r="C10805" t="s" s="9">
        <v>53</v>
      </c>
      <c r="D10805" t="s" s="8">
        <v>53</v>
      </c>
      <c r="E10805" t="s" s="9">
        <v>53</v>
      </c>
      <c r="F10805" t="s" s="10">
        <v>53</v>
      </c>
      <c r="G10805" t="s" s="11">
        <v>53</v>
      </c>
      <c r="H10805" t="s" s="10">
        <v>53</v>
      </c>
      <c r="I10805" t="s" s="11">
        <v>53</v>
      </c>
      <c r="J10805" t="s" s="11">
        <v>53</v>
      </c>
      <c r="K10805" t="s" s="12">
        <v>53</v>
      </c>
      <c r="L10805" t="s" s="12">
        <v>53</v>
      </c>
      <c r="M10805" t="s" s="10">
        <v>53</v>
      </c>
      <c r="N10805" t="s" s="11">
        <v>53</v>
      </c>
      <c r="O10805" t="s" s="8">
        <v>53</v>
      </c>
      <c r="P10805" t="s" s="8">
        <v>53</v>
      </c>
      <c r="Q10805" t="s" s="12">
        <v>53</v>
      </c>
      <c r="R10805" t="s" s="12">
        <v>53</v>
      </c>
    </row>
    <row r="10806" s="2" customFormat="1" ht="13.5" customHeight="1">
      <c r="B10806" s="13"/>
      <c r="C10806" t="s" s="9">
        <v>16</v>
      </c>
      <c r="D10806" t="s" s="8">
        <v>4034</v>
      </c>
      <c r="E10806" t="s" s="9">
        <v>4035</v>
      </c>
      <c r="F10806" s="19">
        <v>10</v>
      </c>
      <c r="G10806" s="17">
        <v>10</v>
      </c>
      <c r="H10806" s="19">
        <v>10</v>
      </c>
      <c r="I10806" s="17">
        <v>10</v>
      </c>
      <c r="J10806" t="s" s="11">
        <v>20</v>
      </c>
      <c r="K10806" t="s" s="16">
        <f>HYPERLINK("http://csr.bu.edu/ftp/asl/asllvd/demos/verify_start_end_handshape_annotations//test_auto_move//signs_mov/15277.mov","MOV")</f>
        <v>21</v>
      </c>
      <c r="L10806" t="s" s="16">
        <f>HYPERLINK("http://csr.bu.edu/ftp/asl/asllvd/demos/verify_start_end_handshape_annotations//test_auto_move//signs_mov_separ_signers/Liz_15277.mov","MOV")</f>
        <v>21</v>
      </c>
      <c r="M10806" t="s" s="10">
        <v>36</v>
      </c>
      <c r="N10806" s="17">
        <v>43</v>
      </c>
      <c r="O10806" s="18">
        <v>3116</v>
      </c>
      <c r="P10806" s="18">
        <v>3157</v>
      </c>
      <c r="Q10806" t="s" s="16">
        <f>HYPERLINK("http://secrets.rutgers.edu:8080/data/asl-ftp/asllvd/demos/verify_start_end_handshape_annotations//test_auto_move//signs_mov/15277.mov","MOV")</f>
        <v>21</v>
      </c>
      <c r="R10806" t="s" s="16">
        <f>HYPERLINK("http://secrets.rutgers.edu:8080/data/asl-ftp/asllvd/demos/verify_start_end_handshape_annotations//test_auto_move//signs_mov_separ_signers/Liz_15277.mov","MOV")</f>
        <v>21</v>
      </c>
    </row>
    <row r="10807" s="2" customFormat="1" ht="13.5" customHeight="1">
      <c r="B10807" s="13"/>
      <c r="C10807" t="s" s="9">
        <v>30</v>
      </c>
      <c r="D10807" t="s" s="8">
        <v>4034</v>
      </c>
      <c r="E10807" t="s" s="9">
        <v>4035</v>
      </c>
      <c r="F10807" s="19">
        <v>10</v>
      </c>
      <c r="G10807" s="17">
        <v>10</v>
      </c>
      <c r="H10807" s="19">
        <v>10</v>
      </c>
      <c r="I10807" s="17">
        <v>10</v>
      </c>
      <c r="J10807" t="s" s="11">
        <v>20</v>
      </c>
      <c r="K10807" s="15"/>
      <c r="L10807" t="s" s="16">
        <f>HYPERLINK("http://csr.bu.edu/ftp/asl/asllvd/demos/verify_start_end_handshape_annotations//test_auto_move//signs_mov_separ_signers/Brady_15277.mov","MOV")</f>
        <v>21</v>
      </c>
      <c r="M10807" t="s" s="10">
        <v>40</v>
      </c>
      <c r="N10807" s="17">
        <v>95</v>
      </c>
      <c r="O10807" s="18">
        <v>2068</v>
      </c>
      <c r="P10807" s="18">
        <v>2090</v>
      </c>
      <c r="Q10807" s="15"/>
      <c r="R10807" t="s" s="16">
        <f>HYPERLINK("http://secrets.rutgers.edu:8080/data/asl-ftp/asllvd/demos/verify_start_end_handshape_annotations//test_auto_move//signs_mov_separ_signers/Brady_15277.mov","MOV")</f>
        <v>21</v>
      </c>
    </row>
    <row r="10808" s="2" customFormat="1" ht="13.5" customHeight="1">
      <c r="B10808" t="s" s="8">
        <v>4036</v>
      </c>
      <c r="C10808" t="s" s="9">
        <v>14</v>
      </c>
      <c r="D10808" t="s" s="8">
        <v>14</v>
      </c>
      <c r="E10808" t="s" s="9">
        <v>14</v>
      </c>
      <c r="F10808" t="s" s="10">
        <v>14</v>
      </c>
      <c r="G10808" t="s" s="11">
        <v>14</v>
      </c>
      <c r="H10808" t="s" s="10">
        <v>14</v>
      </c>
      <c r="I10808" t="s" s="11">
        <v>14</v>
      </c>
      <c r="J10808" t="s" s="11">
        <v>14</v>
      </c>
      <c r="K10808" t="s" s="12">
        <v>14</v>
      </c>
      <c r="L10808" t="s" s="12">
        <v>14</v>
      </c>
      <c r="M10808" t="s" s="10">
        <v>14</v>
      </c>
      <c r="N10808" t="s" s="11">
        <v>14</v>
      </c>
      <c r="O10808" t="s" s="8">
        <v>14</v>
      </c>
      <c r="P10808" t="s" s="8">
        <v>14</v>
      </c>
      <c r="Q10808" t="s" s="12">
        <v>14</v>
      </c>
      <c r="R10808" t="s" s="12">
        <v>14</v>
      </c>
    </row>
    <row r="10809" s="2" customFormat="1" ht="13.5" customHeight="1">
      <c r="B10809" s="13"/>
      <c r="C10809" t="s" s="9">
        <v>16</v>
      </c>
      <c r="D10809" t="s" s="8">
        <v>4036</v>
      </c>
      <c r="E10809" t="s" s="9">
        <v>4036</v>
      </c>
      <c r="F10809" t="s" s="10">
        <v>240</v>
      </c>
      <c r="G10809" t="s" s="11">
        <v>73</v>
      </c>
      <c r="H10809" t="s" s="10">
        <v>240</v>
      </c>
      <c r="I10809" t="s" s="11">
        <v>73</v>
      </c>
      <c r="J10809" t="s" s="11">
        <v>20</v>
      </c>
      <c r="K10809" t="s" s="16">
        <f>HYPERLINK("http://csr.bu.edu/ftp/asl/asllvd/demos/verify_start_end_handshape_annotations//test_auto_move//signs_mov/15898.mov","MOV")</f>
        <v>21</v>
      </c>
      <c r="L10809" t="s" s="16">
        <f>HYPERLINK("http://csr.bu.edu/ftp/asl/asllvd/demos/verify_start_end_handshape_annotations//test_auto_move//signs_mov_separ_signers/Liz_15898.mov","MOV")</f>
        <v>21</v>
      </c>
      <c r="M10809" t="s" s="10">
        <v>36</v>
      </c>
      <c r="N10809" s="17">
        <v>43</v>
      </c>
      <c r="O10809" s="18">
        <v>2065</v>
      </c>
      <c r="P10809" s="18">
        <v>2135</v>
      </c>
      <c r="Q10809" t="s" s="16">
        <f>HYPERLINK("http://secrets.rutgers.edu:8080/data/asl-ftp/asllvd/demos/verify_start_end_handshape_annotations//test_auto_move//signs_mov/15898.mov","MOV")</f>
        <v>21</v>
      </c>
      <c r="R10809" t="s" s="16">
        <f>HYPERLINK("http://secrets.rutgers.edu:8080/data/asl-ftp/asllvd/demos/verify_start_end_handshape_annotations//test_auto_move//signs_mov_separ_signers/Liz_15898.mov","MOV")</f>
        <v>21</v>
      </c>
    </row>
    <row r="10810" s="2" customFormat="1" ht="13.5" customHeight="1">
      <c r="B10810" t="s" s="8">
        <v>4037</v>
      </c>
      <c r="C10810" t="s" s="9">
        <v>14</v>
      </c>
      <c r="D10810" t="s" s="8">
        <v>14</v>
      </c>
      <c r="E10810" t="s" s="9">
        <v>14</v>
      </c>
      <c r="F10810" t="s" s="10">
        <v>14</v>
      </c>
      <c r="G10810" t="s" s="11">
        <v>14</v>
      </c>
      <c r="H10810" t="s" s="10">
        <v>14</v>
      </c>
      <c r="I10810" t="s" s="11">
        <v>14</v>
      </c>
      <c r="J10810" t="s" s="11">
        <v>14</v>
      </c>
      <c r="K10810" t="s" s="12">
        <v>14</v>
      </c>
      <c r="L10810" t="s" s="12">
        <v>14</v>
      </c>
      <c r="M10810" t="s" s="10">
        <v>14</v>
      </c>
      <c r="N10810" t="s" s="11">
        <v>14</v>
      </c>
      <c r="O10810" t="s" s="8">
        <v>14</v>
      </c>
      <c r="P10810" t="s" s="8">
        <v>14</v>
      </c>
      <c r="Q10810" t="s" s="12">
        <v>14</v>
      </c>
      <c r="R10810" t="s" s="12">
        <v>14</v>
      </c>
    </row>
    <row r="10811" s="2" customFormat="1" ht="13.5" customHeight="1">
      <c r="B10811" s="13"/>
      <c r="C10811" t="s" s="9">
        <v>16</v>
      </c>
      <c r="D10811" t="s" s="8">
        <v>4037</v>
      </c>
      <c r="E10811" t="s" s="9">
        <v>4038</v>
      </c>
      <c r="F10811" t="s" s="10">
        <v>230</v>
      </c>
      <c r="G10811" s="14"/>
      <c r="H10811" t="s" s="10">
        <v>230</v>
      </c>
      <c r="I10811" s="14"/>
      <c r="J10811" t="s" s="11">
        <v>20</v>
      </c>
      <c r="K10811" s="15"/>
      <c r="L10811" t="s" s="16">
        <f>HYPERLINK("http://csr.bu.edu/ftp/asl/asllvd/demos/verify_start_end_handshape_annotations//test_auto_move//signs_mov_separ_signers/Liz_4627.mov","MOV")</f>
        <v>21</v>
      </c>
      <c r="M10811" t="s" s="10">
        <v>88</v>
      </c>
      <c r="N10811" s="17">
        <v>26</v>
      </c>
      <c r="O10811" s="18">
        <v>3736</v>
      </c>
      <c r="P10811" s="18">
        <v>3790</v>
      </c>
      <c r="Q10811" s="15"/>
      <c r="R10811" t="s" s="16">
        <f>HYPERLINK("http://secrets.rutgers.edu:8080/data/asl-ftp/asllvd/demos/verify_start_end_handshape_annotations//test_auto_move//signs_mov_separ_signers/Liz_4627.mov","MOV")</f>
        <v>21</v>
      </c>
    </row>
    <row r="10812" s="2" customFormat="1" ht="13.5" customHeight="1">
      <c r="B10812" s="13"/>
      <c r="C10812" t="s" s="9">
        <v>16</v>
      </c>
      <c r="D10812" t="s" s="8">
        <v>4037</v>
      </c>
      <c r="E10812" t="s" s="9">
        <v>4038</v>
      </c>
      <c r="F10812" t="s" s="10">
        <v>230</v>
      </c>
      <c r="G10812" s="14"/>
      <c r="H10812" t="s" s="10">
        <v>230</v>
      </c>
      <c r="I10812" s="14"/>
      <c r="J10812" t="s" s="11">
        <v>20</v>
      </c>
      <c r="K10812" s="15"/>
      <c r="L10812" t="s" s="16">
        <f>HYPERLINK("http://csr.bu.edu/ftp/asl/asllvd/demos/verify_start_end_handshape_annotations//test_auto_move//signs_mov_separ_signers/Liz_15254.mov","MOV")</f>
        <v>21</v>
      </c>
      <c r="M10812" t="s" s="10">
        <v>36</v>
      </c>
      <c r="N10812" s="17">
        <v>40</v>
      </c>
      <c r="O10812" s="18">
        <v>1787</v>
      </c>
      <c r="P10812" s="18">
        <v>1832</v>
      </c>
      <c r="Q10812" s="15"/>
      <c r="R10812" t="s" s="16">
        <f>HYPERLINK("http://secrets.rutgers.edu:8080/data/asl-ftp/asllvd/demos/verify_start_end_handshape_annotations//test_auto_move//signs_mov_separ_signers/Liz_15254.mov","MOV")</f>
        <v>21</v>
      </c>
    </row>
    <row r="10813" s="2" customFormat="1" ht="13.5" customHeight="1">
      <c r="B10813" s="13"/>
      <c r="C10813" t="s" s="9">
        <v>30</v>
      </c>
      <c r="D10813" t="s" s="8">
        <v>4037</v>
      </c>
      <c r="E10813" t="s" s="9">
        <v>4038</v>
      </c>
      <c r="F10813" t="s" s="10">
        <v>230</v>
      </c>
      <c r="G10813" s="14"/>
      <c r="H10813" t="s" s="10">
        <v>230</v>
      </c>
      <c r="I10813" s="14"/>
      <c r="J10813" t="s" s="11">
        <v>20</v>
      </c>
      <c r="K10813" t="s" s="16">
        <f>HYPERLINK("http://csr.bu.edu/ftp/asl/asllvd/demos/verify_start_end_handshape_annotations//test_auto_move//signs_mov/4627_15254_15264_15273_merged.mov","MOV")</f>
        <v>21</v>
      </c>
      <c r="L10813" t="s" s="16">
        <f>HYPERLINK("http://csr.bu.edu/ftp/asl/asllvd/demos/verify_start_end_handshape_annotations//test_auto_move//signs_mov_separ_signers/Brady_4627.mov","MOV")</f>
        <v>21</v>
      </c>
      <c r="M10813" t="s" s="10">
        <v>40</v>
      </c>
      <c r="N10813" s="17">
        <v>22</v>
      </c>
      <c r="O10813" s="18">
        <v>894</v>
      </c>
      <c r="P10813" s="18">
        <v>934</v>
      </c>
      <c r="Q10813" t="s" s="16">
        <f>HYPERLINK("http://secrets.rutgers.edu:8080/data/asl-ftp/asllvd/demos/verify_start_end_handshape_annotations//test_auto_move//signs_mov/4627_15254_15264_15273_merged.mov","MOV")</f>
        <v>21</v>
      </c>
      <c r="R10813" t="s" s="16">
        <f>HYPERLINK("http://secrets.rutgers.edu:8080/data/asl-ftp/asllvd/demos/verify_start_end_handshape_annotations//test_auto_move//signs_mov_separ_signers/Brady_4627.mov","MOV")</f>
        <v>21</v>
      </c>
    </row>
    <row r="10814" s="2" customFormat="1" ht="13.5" customHeight="1">
      <c r="B10814" s="13"/>
      <c r="C10814" t="s" s="9">
        <v>30</v>
      </c>
      <c r="D10814" t="s" s="8">
        <v>4037</v>
      </c>
      <c r="E10814" t="s" s="9">
        <v>4038</v>
      </c>
      <c r="F10814" t="s" s="10">
        <v>230</v>
      </c>
      <c r="G10814" s="14"/>
      <c r="H10814" t="s" s="10">
        <v>230</v>
      </c>
      <c r="I10814" s="14"/>
      <c r="J10814" t="s" s="11">
        <v>20</v>
      </c>
      <c r="K10814" s="15"/>
      <c r="L10814" t="s" s="16">
        <f>HYPERLINK("http://csr.bu.edu/ftp/asl/asllvd/demos/verify_start_end_handshape_annotations//test_auto_move//signs_mov_separ_signers/Brady_15254.mov","MOV")</f>
        <v>21</v>
      </c>
      <c r="M10814" t="s" s="10">
        <v>40</v>
      </c>
      <c r="N10814" s="17">
        <v>22</v>
      </c>
      <c r="O10814" s="18">
        <v>1159</v>
      </c>
      <c r="P10814" s="18">
        <v>1210</v>
      </c>
      <c r="Q10814" s="15"/>
      <c r="R10814" t="s" s="16">
        <f>HYPERLINK("http://secrets.rutgers.edu:8080/data/asl-ftp/asllvd/demos/verify_start_end_handshape_annotations//test_auto_move//signs_mov_separ_signers/Brady_15254.mov","MOV")</f>
        <v>21</v>
      </c>
    </row>
    <row r="10815" s="2" customFormat="1" ht="13.5" customHeight="1">
      <c r="B10815" s="13"/>
      <c r="C10815" t="s" s="9">
        <v>30</v>
      </c>
      <c r="D10815" t="s" s="8">
        <v>4037</v>
      </c>
      <c r="E10815" t="s" s="9">
        <v>4038</v>
      </c>
      <c r="F10815" t="s" s="10">
        <v>230</v>
      </c>
      <c r="G10815" s="14"/>
      <c r="H10815" t="s" s="10">
        <v>230</v>
      </c>
      <c r="I10815" s="14"/>
      <c r="J10815" t="s" s="11">
        <v>20</v>
      </c>
      <c r="K10815" s="15"/>
      <c r="L10815" t="s" s="16">
        <f>HYPERLINK("http://csr.bu.edu/ftp/asl/asllvd/demos/verify_start_end_handshape_annotations//test_auto_move//signs_mov_separ_signers/Brady_15264.mov","MOV")</f>
        <v>21</v>
      </c>
      <c r="M10815" t="s" s="10">
        <v>40</v>
      </c>
      <c r="N10815" s="17">
        <v>92</v>
      </c>
      <c r="O10815" s="18">
        <v>3088</v>
      </c>
      <c r="P10815" s="18">
        <v>3140</v>
      </c>
      <c r="Q10815" s="15"/>
      <c r="R10815" t="s" s="16">
        <f>HYPERLINK("http://secrets.rutgers.edu:8080/data/asl-ftp/asllvd/demos/verify_start_end_handshape_annotations//test_auto_move//signs_mov_separ_signers/Brady_15264.mov","MOV")</f>
        <v>21</v>
      </c>
    </row>
    <row r="10816" s="2" customFormat="1" ht="13.5" customHeight="1">
      <c r="B10816" s="13"/>
      <c r="C10816" t="s" s="9">
        <v>30</v>
      </c>
      <c r="D10816" t="s" s="8">
        <v>4037</v>
      </c>
      <c r="E10816" t="s" s="9">
        <v>4038</v>
      </c>
      <c r="F10816" t="s" s="10">
        <v>230</v>
      </c>
      <c r="G10816" s="14"/>
      <c r="H10816" t="s" s="10">
        <v>230</v>
      </c>
      <c r="I10816" s="14"/>
      <c r="J10816" t="s" s="11">
        <v>20</v>
      </c>
      <c r="K10816" s="15"/>
      <c r="L10816" t="s" s="16">
        <f>HYPERLINK("http://csr.bu.edu/ftp/asl/asllvd/demos/verify_start_end_handshape_annotations//test_auto_move//signs_mov_separ_signers/Brady_15273.mov","MOV")</f>
        <v>21</v>
      </c>
      <c r="M10816" t="s" s="10">
        <v>60</v>
      </c>
      <c r="N10816" s="17">
        <v>48</v>
      </c>
      <c r="O10816" s="18">
        <v>4013</v>
      </c>
      <c r="P10816" s="18">
        <v>4064</v>
      </c>
      <c r="Q10816" s="15"/>
      <c r="R10816" t="s" s="16">
        <f>HYPERLINK("http://secrets.rutgers.edu:8080/data/asl-ftp/asllvd/demos/verify_start_end_handshape_annotations//test_auto_move//signs_mov_separ_signers/Brady_15273.mov","MOV")</f>
        <v>21</v>
      </c>
    </row>
    <row r="10817" s="2" customFormat="1" ht="13.5" customHeight="1">
      <c r="B10817" t="s" s="8">
        <v>52</v>
      </c>
      <c r="C10817" t="s" s="9">
        <v>53</v>
      </c>
      <c r="D10817" t="s" s="8">
        <v>53</v>
      </c>
      <c r="E10817" t="s" s="9">
        <v>53</v>
      </c>
      <c r="F10817" t="s" s="10">
        <v>53</v>
      </c>
      <c r="G10817" t="s" s="11">
        <v>53</v>
      </c>
      <c r="H10817" t="s" s="10">
        <v>53</v>
      </c>
      <c r="I10817" t="s" s="11">
        <v>53</v>
      </c>
      <c r="J10817" t="s" s="11">
        <v>53</v>
      </c>
      <c r="K10817" t="s" s="12">
        <v>53</v>
      </c>
      <c r="L10817" t="s" s="12">
        <v>53</v>
      </c>
      <c r="M10817" t="s" s="10">
        <v>53</v>
      </c>
      <c r="N10817" t="s" s="11">
        <v>53</v>
      </c>
      <c r="O10817" t="s" s="8">
        <v>53</v>
      </c>
      <c r="P10817" t="s" s="8">
        <v>53</v>
      </c>
      <c r="Q10817" t="s" s="12">
        <v>53</v>
      </c>
      <c r="R10817" t="s" s="12">
        <v>53</v>
      </c>
    </row>
    <row r="10818" s="2" customFormat="1" ht="13.5" customHeight="1">
      <c r="B10818" s="13"/>
      <c r="C10818" t="s" s="9">
        <v>16</v>
      </c>
      <c r="D10818" t="s" s="8">
        <v>4037</v>
      </c>
      <c r="E10818" t="s" s="9">
        <v>4039</v>
      </c>
      <c r="F10818" t="s" s="10">
        <v>158</v>
      </c>
      <c r="G10818" s="14"/>
      <c r="H10818" t="s" s="10">
        <v>158</v>
      </c>
      <c r="I10818" s="14"/>
      <c r="J10818" t="s" s="11">
        <v>20</v>
      </c>
      <c r="K10818" t="s" s="16">
        <f>HYPERLINK("http://csr.bu.edu/ftp/asl/asllvd/demos/verify_start_end_handshape_annotations//test_auto_move//signs_mov/15295.mov","MOV")</f>
        <v>21</v>
      </c>
      <c r="L10818" t="s" s="16">
        <f>HYPERLINK("http://csr.bu.edu/ftp/asl/asllvd/demos/verify_start_end_handshape_annotations//test_auto_move//signs_mov_separ_signers/Liz_15295.mov","MOV")</f>
        <v>21</v>
      </c>
      <c r="M10818" t="s" s="10">
        <v>88</v>
      </c>
      <c r="N10818" s="17">
        <v>27</v>
      </c>
      <c r="O10818" s="18">
        <v>395</v>
      </c>
      <c r="P10818" s="18">
        <v>455</v>
      </c>
      <c r="Q10818" t="s" s="16">
        <f>HYPERLINK("http://secrets.rutgers.edu:8080/data/asl-ftp/asllvd/demos/verify_start_end_handshape_annotations//test_auto_move//signs_mov/15295.mov","MOV")</f>
        <v>21</v>
      </c>
      <c r="R10818" t="s" s="16">
        <f>HYPERLINK("http://secrets.rutgers.edu:8080/data/asl-ftp/asllvd/demos/verify_start_end_handshape_annotations//test_auto_move//signs_mov_separ_signers/Liz_15295.mov","MOV")</f>
        <v>21</v>
      </c>
    </row>
    <row r="10819" s="2" customFormat="1" ht="13.5" customHeight="1">
      <c r="B10819" t="s" s="8">
        <v>4040</v>
      </c>
      <c r="C10819" t="s" s="9">
        <v>14</v>
      </c>
      <c r="D10819" t="s" s="8">
        <v>14</v>
      </c>
      <c r="E10819" t="s" s="9">
        <v>14</v>
      </c>
      <c r="F10819" t="s" s="10">
        <v>14</v>
      </c>
      <c r="G10819" t="s" s="11">
        <v>14</v>
      </c>
      <c r="H10819" t="s" s="10">
        <v>14</v>
      </c>
      <c r="I10819" t="s" s="11">
        <v>14</v>
      </c>
      <c r="J10819" t="s" s="11">
        <v>14</v>
      </c>
      <c r="K10819" t="s" s="12">
        <v>14</v>
      </c>
      <c r="L10819" t="s" s="12">
        <v>14</v>
      </c>
      <c r="M10819" t="s" s="10">
        <v>14</v>
      </c>
      <c r="N10819" t="s" s="11">
        <v>14</v>
      </c>
      <c r="O10819" t="s" s="8">
        <v>14</v>
      </c>
      <c r="P10819" t="s" s="8">
        <v>14</v>
      </c>
      <c r="Q10819" t="s" s="12">
        <v>14</v>
      </c>
      <c r="R10819" t="s" s="12">
        <v>14</v>
      </c>
    </row>
    <row r="10820" s="2" customFormat="1" ht="13.5" customHeight="1">
      <c r="B10820" s="13"/>
      <c r="C10820" t="s" s="9">
        <v>16</v>
      </c>
      <c r="D10820" t="s" s="8">
        <v>4040</v>
      </c>
      <c r="E10820" t="s" s="9">
        <v>4040</v>
      </c>
      <c r="F10820" t="s" s="10">
        <v>55</v>
      </c>
      <c r="G10820" s="14"/>
      <c r="H10820" t="s" s="10">
        <v>55</v>
      </c>
      <c r="I10820" s="14"/>
      <c r="J10820" t="s" s="11">
        <v>20</v>
      </c>
      <c r="K10820" s="15"/>
      <c r="L10820" t="s" s="16">
        <f>HYPERLINK("http://csr.bu.edu/ftp/asl/asllvd/demos/verify_start_end_handshape_annotations//test_auto_move//signs_mov_separ_signers/Liz_4630.mov","MOV")</f>
        <v>21</v>
      </c>
      <c r="M10820" t="s" s="10">
        <v>34</v>
      </c>
      <c r="N10820" s="17">
        <v>1</v>
      </c>
      <c r="O10820" s="18">
        <v>1105</v>
      </c>
      <c r="P10820" s="18">
        <v>1150</v>
      </c>
      <c r="Q10820" s="15"/>
      <c r="R10820" t="s" s="16">
        <f>HYPERLINK("http://secrets.rutgers.edu:8080/data/asl-ftp/asllvd/demos/verify_start_end_handshape_annotations//test_auto_move//signs_mov_separ_signers/Liz_4630.mov","MOV")</f>
        <v>21</v>
      </c>
    </row>
    <row r="10821" s="2" customFormat="1" ht="13.5" customHeight="1">
      <c r="B10821" s="13"/>
      <c r="C10821" t="s" s="9">
        <v>16</v>
      </c>
      <c r="D10821" t="s" s="8">
        <v>4040</v>
      </c>
      <c r="E10821" t="s" s="9">
        <v>4040</v>
      </c>
      <c r="F10821" t="s" s="10">
        <v>55</v>
      </c>
      <c r="G10821" s="14"/>
      <c r="H10821" t="s" s="10">
        <v>55</v>
      </c>
      <c r="I10821" s="14"/>
      <c r="J10821" t="s" s="11">
        <v>20</v>
      </c>
      <c r="K10821" s="15"/>
      <c r="L10821" t="s" s="16">
        <f>HYPERLINK("http://csr.bu.edu/ftp/asl/asllvd/demos/verify_start_end_handshape_annotations//test_auto_move//signs_mov_separ_signers/Liz_15307.mov","MOV")</f>
        <v>21</v>
      </c>
      <c r="M10821" t="s" s="10">
        <v>34</v>
      </c>
      <c r="N10821" s="17">
        <v>1</v>
      </c>
      <c r="O10821" s="18">
        <v>1396</v>
      </c>
      <c r="P10821" s="18">
        <v>1460</v>
      </c>
      <c r="Q10821" s="15"/>
      <c r="R10821" t="s" s="16">
        <f>HYPERLINK("http://secrets.rutgers.edu:8080/data/asl-ftp/asllvd/demos/verify_start_end_handshape_annotations//test_auto_move//signs_mov_separ_signers/Liz_15307.mov","MOV")</f>
        <v>21</v>
      </c>
    </row>
    <row r="10822" s="2" customFormat="1" ht="13.5" customHeight="1">
      <c r="B10822" s="13"/>
      <c r="C10822" t="s" s="9">
        <v>16</v>
      </c>
      <c r="D10822" t="s" s="8">
        <v>4040</v>
      </c>
      <c r="E10822" t="s" s="9">
        <v>4040</v>
      </c>
      <c r="F10822" t="s" s="10">
        <v>55</v>
      </c>
      <c r="G10822" s="14"/>
      <c r="H10822" t="s" s="10">
        <v>55</v>
      </c>
      <c r="I10822" s="14"/>
      <c r="J10822" t="s" s="11">
        <v>20</v>
      </c>
      <c r="K10822" s="15"/>
      <c r="L10822" t="s" s="16">
        <f>HYPERLINK("http://csr.bu.edu/ftp/asl/asllvd/demos/verify_start_end_handshape_annotations//test_auto_move//signs_mov_separ_signers/Liz_15317.mov","MOV")</f>
        <v>21</v>
      </c>
      <c r="M10822" t="s" s="10">
        <v>77</v>
      </c>
      <c r="N10822" s="17">
        <v>28</v>
      </c>
      <c r="O10822" s="18">
        <v>1470</v>
      </c>
      <c r="P10822" s="18">
        <v>1520</v>
      </c>
      <c r="Q10822" s="15"/>
      <c r="R10822" t="s" s="16">
        <f>HYPERLINK("http://secrets.rutgers.edu:8080/data/asl-ftp/asllvd/demos/verify_start_end_handshape_annotations//test_auto_move//signs_mov_separ_signers/Liz_15317.mov","MOV")</f>
        <v>21</v>
      </c>
    </row>
    <row r="10823" s="2" customFormat="1" ht="13.5" customHeight="1">
      <c r="B10823" s="13"/>
      <c r="C10823" t="s" s="9">
        <v>23</v>
      </c>
      <c r="D10823" t="s" s="8">
        <v>4040</v>
      </c>
      <c r="E10823" t="s" s="9">
        <v>4040</v>
      </c>
      <c r="F10823" t="s" s="10">
        <v>55</v>
      </c>
      <c r="G10823" s="14"/>
      <c r="H10823" t="s" s="10">
        <v>55</v>
      </c>
      <c r="I10823" s="14"/>
      <c r="J10823" t="s" s="11">
        <v>20</v>
      </c>
      <c r="K10823" s="15"/>
      <c r="L10823" t="s" s="16">
        <f>HYPERLINK("http://csr.bu.edu/ftp/asl/asllvd/demos/verify_start_end_handshape_annotations//test_auto_move//signs_mov_separ_signers/Tyler_4630.mov","MOV")</f>
        <v>21</v>
      </c>
      <c r="M10823" t="s" s="10">
        <v>92</v>
      </c>
      <c r="N10823" s="17">
        <v>32</v>
      </c>
      <c r="O10823" s="18">
        <v>705</v>
      </c>
      <c r="P10823" s="18">
        <v>730</v>
      </c>
      <c r="Q10823" s="15"/>
      <c r="R10823" t="s" s="16">
        <f>HYPERLINK("http://secrets.rutgers.edu:8080/data/asl-ftp/asllvd/demos/verify_start_end_handshape_annotations//test_auto_move//signs_mov_separ_signers/Tyler_4630.mov","MOV")</f>
        <v>21</v>
      </c>
    </row>
    <row r="10824" s="2" customFormat="1" ht="13.5" customHeight="1">
      <c r="B10824" s="13"/>
      <c r="C10824" t="s" s="9">
        <v>23</v>
      </c>
      <c r="D10824" t="s" s="8">
        <v>4040</v>
      </c>
      <c r="E10824" t="s" s="9">
        <v>4040</v>
      </c>
      <c r="F10824" t="s" s="10">
        <v>55</v>
      </c>
      <c r="G10824" s="14"/>
      <c r="H10824" t="s" s="10">
        <v>55</v>
      </c>
      <c r="I10824" s="14"/>
      <c r="J10824" t="s" s="11">
        <v>20</v>
      </c>
      <c r="K10824" s="15"/>
      <c r="L10824" t="s" s="16">
        <f>HYPERLINK("http://csr.bu.edu/ftp/asl/asllvd/demos/verify_start_end_handshape_annotations//test_auto_move//signs_mov_separ_signers/Tyler_15307.mov","MOV")</f>
        <v>21</v>
      </c>
      <c r="M10824" t="s" s="10">
        <v>92</v>
      </c>
      <c r="N10824" s="17">
        <v>33</v>
      </c>
      <c r="O10824" s="18">
        <v>890</v>
      </c>
      <c r="P10824" s="18">
        <v>925</v>
      </c>
      <c r="Q10824" s="15"/>
      <c r="R10824" t="s" s="16">
        <f>HYPERLINK("http://secrets.rutgers.edu:8080/data/asl-ftp/asllvd/demos/verify_start_end_handshape_annotations//test_auto_move//signs_mov_separ_signers/Tyler_15307.mov","MOV")</f>
        <v>21</v>
      </c>
    </row>
    <row r="10825" s="2" customFormat="1" ht="13.5" customHeight="1">
      <c r="B10825" s="13"/>
      <c r="C10825" t="s" s="9">
        <v>27</v>
      </c>
      <c r="D10825" t="s" s="8">
        <v>4040</v>
      </c>
      <c r="E10825" t="s" s="9">
        <v>4040</v>
      </c>
      <c r="F10825" t="s" s="10">
        <v>55</v>
      </c>
      <c r="G10825" s="14"/>
      <c r="H10825" t="s" s="10">
        <v>55</v>
      </c>
      <c r="I10825" s="14"/>
      <c r="J10825" t="s" s="11">
        <v>20</v>
      </c>
      <c r="K10825" t="s" s="16">
        <f>HYPERLINK("http://csr.bu.edu/ftp/asl/asllvd/demos/verify_start_end_handshape_annotations//test_auto_move//signs_mov/4630_15307_15317_15323_merged.mov","MOV")</f>
        <v>21</v>
      </c>
      <c r="L10825" t="s" s="16">
        <f>HYPERLINK("http://csr.bu.edu/ftp/asl/asllvd/demos/verify_start_end_handshape_annotations//test_auto_move//signs_mov_separ_signers/Naomi_4630.mov","MOV")</f>
        <v>21</v>
      </c>
      <c r="M10825" t="s" s="10">
        <v>38</v>
      </c>
      <c r="N10825" s="17">
        <v>1</v>
      </c>
      <c r="O10825" s="18">
        <v>1056</v>
      </c>
      <c r="P10825" s="18">
        <v>1078</v>
      </c>
      <c r="Q10825" t="s" s="16">
        <f>HYPERLINK("http://secrets.rutgers.edu:8080/data/asl-ftp/asllvd/demos/verify_start_end_handshape_annotations//test_auto_move//signs_mov/4630_15307_15317_15323_merged.mov","MOV")</f>
        <v>21</v>
      </c>
      <c r="R10825" t="s" s="16">
        <f>HYPERLINK("http://secrets.rutgers.edu:8080/data/asl-ftp/asllvd/demos/verify_start_end_handshape_annotations//test_auto_move//signs_mov_separ_signers/Naomi_4630.mov","MOV")</f>
        <v>21</v>
      </c>
    </row>
    <row r="10826" s="2" customFormat="1" ht="13.5" customHeight="1">
      <c r="B10826" s="13"/>
      <c r="C10826" t="s" s="9">
        <v>27</v>
      </c>
      <c r="D10826" t="s" s="8">
        <v>4040</v>
      </c>
      <c r="E10826" t="s" s="9">
        <v>4040</v>
      </c>
      <c r="F10826" t="s" s="10">
        <v>55</v>
      </c>
      <c r="G10826" s="14"/>
      <c r="H10826" t="s" s="10">
        <v>55</v>
      </c>
      <c r="I10826" s="14"/>
      <c r="J10826" t="s" s="11">
        <v>20</v>
      </c>
      <c r="K10826" s="15"/>
      <c r="L10826" t="s" s="16">
        <f>HYPERLINK("http://csr.bu.edu/ftp/asl/asllvd/demos/verify_start_end_handshape_annotations//test_auto_move//signs_mov_separ_signers/Naomi_15307.mov","MOV")</f>
        <v>21</v>
      </c>
      <c r="M10826" t="s" s="10">
        <v>38</v>
      </c>
      <c r="N10826" s="17">
        <v>1</v>
      </c>
      <c r="O10826" s="18">
        <v>1532</v>
      </c>
      <c r="P10826" s="18">
        <v>1572</v>
      </c>
      <c r="Q10826" s="15"/>
      <c r="R10826" t="s" s="16">
        <f>HYPERLINK("http://secrets.rutgers.edu:8080/data/asl-ftp/asllvd/demos/verify_start_end_handshape_annotations//test_auto_move//signs_mov_separ_signers/Naomi_15307.mov","MOV")</f>
        <v>21</v>
      </c>
    </row>
    <row r="10827" s="2" customFormat="1" ht="13.5" customHeight="1">
      <c r="B10827" s="13"/>
      <c r="C10827" t="s" s="9">
        <v>30</v>
      </c>
      <c r="D10827" t="s" s="8">
        <v>4040</v>
      </c>
      <c r="E10827" t="s" s="9">
        <v>4040</v>
      </c>
      <c r="F10827" t="s" s="10">
        <v>55</v>
      </c>
      <c r="G10827" s="14"/>
      <c r="H10827" t="s" s="10">
        <v>55</v>
      </c>
      <c r="I10827" s="14"/>
      <c r="J10827" t="s" s="11">
        <v>20</v>
      </c>
      <c r="K10827" s="15"/>
      <c r="L10827" t="s" s="16">
        <f>HYPERLINK("http://csr.bu.edu/ftp/asl/asllvd/demos/verify_start_end_handshape_annotations//test_auto_move//signs_mov_separ_signers/Brady_4630.mov","MOV")</f>
        <v>21</v>
      </c>
      <c r="M10827" t="s" s="10">
        <v>39</v>
      </c>
      <c r="N10827" s="17">
        <v>17</v>
      </c>
      <c r="O10827" s="18">
        <v>1852</v>
      </c>
      <c r="P10827" s="18">
        <v>1875</v>
      </c>
      <c r="Q10827" s="15"/>
      <c r="R10827" t="s" s="16">
        <f>HYPERLINK("http://secrets.rutgers.edu:8080/data/asl-ftp/asllvd/demos/verify_start_end_handshape_annotations//test_auto_move//signs_mov_separ_signers/Brady_4630.mov","MOV")</f>
        <v>21</v>
      </c>
    </row>
    <row r="10828" s="2" customFormat="1" ht="13.5" customHeight="1">
      <c r="B10828" s="13"/>
      <c r="C10828" t="s" s="9">
        <v>30</v>
      </c>
      <c r="D10828" t="s" s="8">
        <v>4040</v>
      </c>
      <c r="E10828" t="s" s="9">
        <v>4040</v>
      </c>
      <c r="F10828" t="s" s="10">
        <v>55</v>
      </c>
      <c r="G10828" s="14"/>
      <c r="H10828" t="s" s="10">
        <v>55</v>
      </c>
      <c r="I10828" s="14"/>
      <c r="J10828" t="s" s="11">
        <v>20</v>
      </c>
      <c r="K10828" s="15"/>
      <c r="L10828" t="s" s="16">
        <f>HYPERLINK("http://csr.bu.edu/ftp/asl/asllvd/demos/verify_start_end_handshape_annotations//test_auto_move//signs_mov_separ_signers/Brady_15307.mov","MOV")</f>
        <v>21</v>
      </c>
      <c r="M10828" t="s" s="10">
        <v>39</v>
      </c>
      <c r="N10828" s="17">
        <v>23</v>
      </c>
      <c r="O10828" s="18">
        <v>5559</v>
      </c>
      <c r="P10828" s="18">
        <v>5574</v>
      </c>
      <c r="Q10828" s="15"/>
      <c r="R10828" t="s" s="16">
        <f>HYPERLINK("http://secrets.rutgers.edu:8080/data/asl-ftp/asllvd/demos/verify_start_end_handshape_annotations//test_auto_move//signs_mov_separ_signers/Brady_15307.mov","MOV")</f>
        <v>21</v>
      </c>
    </row>
    <row r="10829" s="2" customFormat="1" ht="13.5" customHeight="1">
      <c r="B10829" s="13"/>
      <c r="C10829" t="s" s="9">
        <v>30</v>
      </c>
      <c r="D10829" t="s" s="8">
        <v>4040</v>
      </c>
      <c r="E10829" t="s" s="9">
        <v>4040</v>
      </c>
      <c r="F10829" t="s" s="10">
        <v>55</v>
      </c>
      <c r="G10829" s="14"/>
      <c r="H10829" t="s" s="10">
        <v>55</v>
      </c>
      <c r="I10829" s="14"/>
      <c r="J10829" t="s" s="11">
        <v>20</v>
      </c>
      <c r="K10829" s="15"/>
      <c r="L10829" t="s" s="16">
        <f>HYPERLINK("http://csr.bu.edu/ftp/asl/asllvd/demos/verify_start_end_handshape_annotations//test_auto_move//signs_mov_separ_signers/Brady_15317.mov","MOV")</f>
        <v>21</v>
      </c>
      <c r="M10829" t="s" s="10">
        <v>39</v>
      </c>
      <c r="N10829" s="17">
        <v>23</v>
      </c>
      <c r="O10829" s="18">
        <v>5781</v>
      </c>
      <c r="P10829" s="18">
        <v>5801</v>
      </c>
      <c r="Q10829" s="15"/>
      <c r="R10829" t="s" s="16">
        <f>HYPERLINK("http://secrets.rutgers.edu:8080/data/asl-ftp/asllvd/demos/verify_start_end_handshape_annotations//test_auto_move//signs_mov_separ_signers/Brady_15317.mov","MOV")</f>
        <v>21</v>
      </c>
    </row>
    <row r="10830" s="2" customFormat="1" ht="13.5" customHeight="1">
      <c r="B10830" s="13"/>
      <c r="C10830" t="s" s="9">
        <v>30</v>
      </c>
      <c r="D10830" t="s" s="8">
        <v>4040</v>
      </c>
      <c r="E10830" t="s" s="9">
        <v>4040</v>
      </c>
      <c r="F10830" t="s" s="10">
        <v>55</v>
      </c>
      <c r="G10830" s="14"/>
      <c r="H10830" t="s" s="10">
        <v>55</v>
      </c>
      <c r="I10830" s="14"/>
      <c r="J10830" t="s" s="11">
        <v>20</v>
      </c>
      <c r="K10830" s="15"/>
      <c r="L10830" t="s" s="16">
        <f>HYPERLINK("http://csr.bu.edu/ftp/asl/asllvd/demos/verify_start_end_handshape_annotations//test_auto_move//signs_mov_separ_signers/Brady_15323.mov","MOV")</f>
        <v>21</v>
      </c>
      <c r="M10830" t="s" s="10">
        <v>39</v>
      </c>
      <c r="N10830" s="17">
        <v>24</v>
      </c>
      <c r="O10830" s="18">
        <v>987</v>
      </c>
      <c r="P10830" s="18">
        <v>1007</v>
      </c>
      <c r="Q10830" s="15"/>
      <c r="R10830" t="s" s="16">
        <f>HYPERLINK("http://secrets.rutgers.edu:8080/data/asl-ftp/asllvd/demos/verify_start_end_handshape_annotations//test_auto_move//signs_mov_separ_signers/Brady_15323.mov","MOV")</f>
        <v>21</v>
      </c>
    </row>
    <row r="10831" s="2" customFormat="1" ht="13.5" customHeight="1">
      <c r="B10831" t="s" s="8">
        <v>4041</v>
      </c>
      <c r="C10831" t="s" s="9">
        <v>14</v>
      </c>
      <c r="D10831" t="s" s="8">
        <v>14</v>
      </c>
      <c r="E10831" t="s" s="9">
        <v>14</v>
      </c>
      <c r="F10831" t="s" s="10">
        <v>14</v>
      </c>
      <c r="G10831" t="s" s="11">
        <v>14</v>
      </c>
      <c r="H10831" t="s" s="10">
        <v>14</v>
      </c>
      <c r="I10831" t="s" s="11">
        <v>14</v>
      </c>
      <c r="J10831" t="s" s="11">
        <v>14</v>
      </c>
      <c r="K10831" t="s" s="12">
        <v>14</v>
      </c>
      <c r="L10831" t="s" s="12">
        <v>14</v>
      </c>
      <c r="M10831" t="s" s="10">
        <v>14</v>
      </c>
      <c r="N10831" t="s" s="11">
        <v>14</v>
      </c>
      <c r="O10831" t="s" s="8">
        <v>14</v>
      </c>
      <c r="P10831" t="s" s="8">
        <v>14</v>
      </c>
      <c r="Q10831" t="s" s="12">
        <v>14</v>
      </c>
      <c r="R10831" t="s" s="12">
        <v>14</v>
      </c>
    </row>
    <row r="10832" s="2" customFormat="1" ht="13.5" customHeight="1">
      <c r="B10832" s="13"/>
      <c r="C10832" t="s" s="9">
        <v>16</v>
      </c>
      <c r="D10832" t="s" s="8">
        <v>4041</v>
      </c>
      <c r="E10832" t="s" s="9">
        <v>4042</v>
      </c>
      <c r="F10832" t="s" s="10">
        <v>229</v>
      </c>
      <c r="G10832" s="17">
        <v>1</v>
      </c>
      <c r="H10832" t="s" s="10">
        <v>229</v>
      </c>
      <c r="I10832" s="17">
        <v>1</v>
      </c>
      <c r="J10832" t="s" s="11">
        <v>20</v>
      </c>
      <c r="K10832" s="15"/>
      <c r="L10832" t="s" s="16">
        <f>HYPERLINK("http://csr.bu.edu/ftp/asl/asllvd/demos/verify_start_end_handshape_annotations//test_auto_move//signs_mov_separ_signers/Liz_4632.mov","MOV")</f>
        <v>21</v>
      </c>
      <c r="M10832" t="s" s="10">
        <v>88</v>
      </c>
      <c r="N10832" s="17">
        <v>42</v>
      </c>
      <c r="O10832" s="18">
        <v>2957</v>
      </c>
      <c r="P10832" s="18">
        <v>3003</v>
      </c>
      <c r="Q10832" s="15"/>
      <c r="R10832" t="s" s="16">
        <f>HYPERLINK("http://secrets.rutgers.edu:8080/data/asl-ftp/asllvd/demos/verify_start_end_handshape_annotations//test_auto_move//signs_mov_separ_signers/Liz_4632.mov","MOV")</f>
        <v>21</v>
      </c>
    </row>
    <row r="10833" s="2" customFormat="1" ht="13.5" customHeight="1">
      <c r="B10833" s="13"/>
      <c r="C10833" t="s" s="9">
        <v>16</v>
      </c>
      <c r="D10833" t="s" s="8">
        <v>4041</v>
      </c>
      <c r="E10833" t="s" s="9">
        <v>4042</v>
      </c>
      <c r="F10833" t="s" s="10">
        <v>229</v>
      </c>
      <c r="G10833" s="17">
        <v>1</v>
      </c>
      <c r="H10833" t="s" s="10">
        <v>229</v>
      </c>
      <c r="I10833" s="17">
        <v>1</v>
      </c>
      <c r="J10833" t="s" s="11">
        <v>20</v>
      </c>
      <c r="K10833" t="s" s="16">
        <f>HYPERLINK("http://csr.bu.edu/ftp/asl/asllvd/demos/verify_start_end_handshape_annotations//test_auto_move//signs_mov/4632_15318_merged.mov","MOV")</f>
        <v>21</v>
      </c>
      <c r="L10833" t="s" s="16">
        <f>HYPERLINK("http://csr.bu.edu/ftp/asl/asllvd/demos/verify_start_end_handshape_annotations//test_auto_move//signs_mov_separ_signers/Liz_15318.mov","MOV")</f>
        <v>21</v>
      </c>
      <c r="M10833" t="s" s="10">
        <v>59</v>
      </c>
      <c r="N10833" s="17">
        <v>45</v>
      </c>
      <c r="O10833" s="18">
        <v>2817</v>
      </c>
      <c r="P10833" s="18">
        <v>2876</v>
      </c>
      <c r="Q10833" t="s" s="16">
        <f>HYPERLINK("http://secrets.rutgers.edu:8080/data/asl-ftp/asllvd/demos/verify_start_end_handshape_annotations//test_auto_move//signs_mov/4632_15318_merged.mov","MOV")</f>
        <v>21</v>
      </c>
      <c r="R10833" t="s" s="16">
        <f>HYPERLINK("http://secrets.rutgers.edu:8080/data/asl-ftp/asllvd/demos/verify_start_end_handshape_annotations//test_auto_move//signs_mov_separ_signers/Liz_15318.mov","MOV")</f>
        <v>21</v>
      </c>
    </row>
    <row r="10834" s="2" customFormat="1" ht="13.5" customHeight="1">
      <c r="B10834" s="13"/>
      <c r="C10834" t="s" s="9">
        <v>30</v>
      </c>
      <c r="D10834" t="s" s="8">
        <v>4041</v>
      </c>
      <c r="E10834" t="s" s="9">
        <v>4042</v>
      </c>
      <c r="F10834" s="19">
        <v>3</v>
      </c>
      <c r="G10834" s="17">
        <v>1</v>
      </c>
      <c r="H10834" s="19">
        <v>3</v>
      </c>
      <c r="I10834" s="17">
        <v>1</v>
      </c>
      <c r="J10834" t="s" s="11">
        <v>20</v>
      </c>
      <c r="K10834" s="15"/>
      <c r="L10834" t="s" s="16">
        <f>HYPERLINK("http://csr.bu.edu/ftp/asl/asllvd/demos/verify_start_end_handshape_annotations//test_auto_move//signs_mov_separ_signers/Brady_4632.mov","MOV")</f>
        <v>21</v>
      </c>
      <c r="M10834" t="s" s="10">
        <v>60</v>
      </c>
      <c r="N10834" s="17">
        <v>34</v>
      </c>
      <c r="O10834" s="18">
        <v>1033</v>
      </c>
      <c r="P10834" s="18">
        <v>1075</v>
      </c>
      <c r="Q10834" s="15"/>
      <c r="R10834" t="s" s="16">
        <f>HYPERLINK("http://secrets.rutgers.edu:8080/data/asl-ftp/asllvd/demos/verify_start_end_handshape_annotations//test_auto_move//signs_mov_separ_signers/Brady_4632.mov","MOV")</f>
        <v>21</v>
      </c>
    </row>
    <row r="10835" s="2" customFormat="1" ht="13.5" customHeight="1">
      <c r="B10835" s="13"/>
      <c r="C10835" t="s" s="9">
        <v>30</v>
      </c>
      <c r="D10835" t="s" s="8">
        <v>4041</v>
      </c>
      <c r="E10835" t="s" s="9">
        <v>4043</v>
      </c>
      <c r="F10835" t="s" s="10">
        <v>229</v>
      </c>
      <c r="G10835" s="17">
        <v>1</v>
      </c>
      <c r="H10835" t="s" s="10">
        <v>229</v>
      </c>
      <c r="I10835" s="17">
        <v>1</v>
      </c>
      <c r="J10835" t="s" s="11">
        <v>20</v>
      </c>
      <c r="K10835" s="15"/>
      <c r="L10835" t="s" s="16">
        <f>HYPERLINK("http://csr.bu.edu/ftp/asl/asllvd/demos/verify_start_end_handshape_annotations//test_auto_move//signs_mov_separ_signers/Brady_15318.mov","MOV")</f>
        <v>21</v>
      </c>
      <c r="M10835" t="s" s="10">
        <v>60</v>
      </c>
      <c r="N10835" s="17">
        <v>57</v>
      </c>
      <c r="O10835" s="18">
        <v>5716</v>
      </c>
      <c r="P10835" s="18">
        <v>5782</v>
      </c>
      <c r="Q10835" s="15"/>
      <c r="R10835" t="s" s="16">
        <f>HYPERLINK("http://secrets.rutgers.edu:8080/data/asl-ftp/asllvd/demos/verify_start_end_handshape_annotations//test_auto_move//signs_mov_separ_signers/Brady_15318.mov","MOV")</f>
        <v>21</v>
      </c>
    </row>
    <row r="10836" s="2" customFormat="1" ht="13.5" customHeight="1">
      <c r="B10836" t="s" s="8">
        <v>4044</v>
      </c>
      <c r="C10836" t="s" s="9">
        <v>14</v>
      </c>
      <c r="D10836" t="s" s="8">
        <v>14</v>
      </c>
      <c r="E10836" t="s" s="9">
        <v>14</v>
      </c>
      <c r="F10836" t="s" s="10">
        <v>14</v>
      </c>
      <c r="G10836" t="s" s="11">
        <v>14</v>
      </c>
      <c r="H10836" t="s" s="10">
        <v>14</v>
      </c>
      <c r="I10836" t="s" s="11">
        <v>14</v>
      </c>
      <c r="J10836" t="s" s="11">
        <v>14</v>
      </c>
      <c r="K10836" t="s" s="12">
        <v>14</v>
      </c>
      <c r="L10836" t="s" s="12">
        <v>14</v>
      </c>
      <c r="M10836" t="s" s="10">
        <v>14</v>
      </c>
      <c r="N10836" t="s" s="11">
        <v>14</v>
      </c>
      <c r="O10836" t="s" s="8">
        <v>14</v>
      </c>
      <c r="P10836" t="s" s="8">
        <v>14</v>
      </c>
      <c r="Q10836" t="s" s="12">
        <v>14</v>
      </c>
      <c r="R10836" t="s" s="12">
        <v>14</v>
      </c>
    </row>
    <row r="10837" s="2" customFormat="1" ht="13.5" customHeight="1">
      <c r="B10837" s="13"/>
      <c r="C10837" t="s" s="9">
        <v>16</v>
      </c>
      <c r="D10837" t="s" s="8">
        <v>4044</v>
      </c>
      <c r="E10837" t="s" s="9">
        <v>4045</v>
      </c>
      <c r="F10837" t="s" s="10">
        <v>73</v>
      </c>
      <c r="G10837" t="s" s="11">
        <v>55</v>
      </c>
      <c r="H10837" t="s" s="10">
        <v>73</v>
      </c>
      <c r="I10837" t="s" s="11">
        <v>55</v>
      </c>
      <c r="J10837" t="s" s="11">
        <v>20</v>
      </c>
      <c r="K10837" s="15"/>
      <c r="L10837" t="s" s="16">
        <f>HYPERLINK("http://csr.bu.edu/ftp/asl/asllvd/demos/verify_start_end_handshape_annotations//test_auto_move//signs_mov_separ_signers/Liz_4636.mov","MOV")</f>
        <v>21</v>
      </c>
      <c r="M10837" t="s" s="10">
        <v>84</v>
      </c>
      <c r="N10837" s="17">
        <v>43</v>
      </c>
      <c r="O10837" s="18">
        <v>2045</v>
      </c>
      <c r="P10837" s="18">
        <v>2120</v>
      </c>
      <c r="Q10837" s="15"/>
      <c r="R10837" t="s" s="16">
        <f>HYPERLINK("http://secrets.rutgers.edu:8080/data/asl-ftp/asllvd/demos/verify_start_end_handshape_annotations//test_auto_move//signs_mov_separ_signers/Liz_4636.mov","MOV")</f>
        <v>21</v>
      </c>
    </row>
    <row r="10838" s="2" customFormat="1" ht="13.5" customHeight="1">
      <c r="B10838" s="13"/>
      <c r="C10838" t="s" s="9">
        <v>27</v>
      </c>
      <c r="D10838" t="s" s="8">
        <v>4044</v>
      </c>
      <c r="E10838" t="s" s="9">
        <v>4045</v>
      </c>
      <c r="F10838" t="s" s="10">
        <v>73</v>
      </c>
      <c r="G10838" t="s" s="11">
        <v>51</v>
      </c>
      <c r="H10838" t="s" s="10">
        <v>73</v>
      </c>
      <c r="I10838" t="s" s="11">
        <v>51</v>
      </c>
      <c r="J10838" t="s" s="11">
        <v>20</v>
      </c>
      <c r="K10838" t="s" s="16">
        <f>HYPERLINK("http://csr.bu.edu/ftp/asl/asllvd/demos/verify_start_end_handshape_annotations//test_auto_move//signs_mov/4636.mov","MOV")</f>
        <v>21</v>
      </c>
      <c r="L10838" t="s" s="16">
        <f>HYPERLINK("http://csr.bu.edu/ftp/asl/asllvd/demos/verify_start_end_handshape_annotations//test_auto_move//signs_mov_separ_signers/Naomi_4636.mov","MOV")</f>
        <v>21</v>
      </c>
      <c r="M10838" t="s" s="10">
        <v>86</v>
      </c>
      <c r="N10838" s="17">
        <v>43</v>
      </c>
      <c r="O10838" s="18">
        <v>2251</v>
      </c>
      <c r="P10838" s="18">
        <v>2305</v>
      </c>
      <c r="Q10838" t="s" s="16">
        <f>HYPERLINK("http://secrets.rutgers.edu:8080/data/asl-ftp/asllvd/demos/verify_start_end_handshape_annotations//test_auto_move//signs_mov/4636.mov","MOV")</f>
        <v>21</v>
      </c>
      <c r="R10838" t="s" s="16">
        <f>HYPERLINK("http://secrets.rutgers.edu:8080/data/asl-ftp/asllvd/demos/verify_start_end_handshape_annotations//test_auto_move//signs_mov_separ_signers/Naomi_4636.mov","MOV")</f>
        <v>21</v>
      </c>
    </row>
    <row r="10839" s="2" customFormat="1" ht="13.5" customHeight="1">
      <c r="B10839" s="13"/>
      <c r="C10839" t="s" s="9">
        <v>30</v>
      </c>
      <c r="D10839" t="s" s="8">
        <v>4044</v>
      </c>
      <c r="E10839" t="s" s="9">
        <v>4045</v>
      </c>
      <c r="F10839" t="s" s="10">
        <v>73</v>
      </c>
      <c r="G10839" s="17">
        <v>1</v>
      </c>
      <c r="H10839" t="s" s="10">
        <v>73</v>
      </c>
      <c r="I10839" s="17">
        <v>1</v>
      </c>
      <c r="J10839" t="s" s="11">
        <v>20</v>
      </c>
      <c r="K10839" s="15"/>
      <c r="L10839" t="s" s="16">
        <f>HYPERLINK("http://csr.bu.edu/ftp/asl/asllvd/demos/verify_start_end_handshape_annotations//test_auto_move//signs_mov_separ_signers/Brady_4636.mov","MOV")</f>
        <v>21</v>
      </c>
      <c r="M10839" t="s" s="10">
        <v>39</v>
      </c>
      <c r="N10839" s="17">
        <v>19</v>
      </c>
      <c r="O10839" s="18">
        <v>5001</v>
      </c>
      <c r="P10839" s="18">
        <v>5029</v>
      </c>
      <c r="Q10839" s="15"/>
      <c r="R10839" t="s" s="16">
        <f>HYPERLINK("http://secrets.rutgers.edu:8080/data/asl-ftp/asllvd/demos/verify_start_end_handshape_annotations//test_auto_move//signs_mov_separ_signers/Brady_4636.mov","MOV")</f>
        <v>21</v>
      </c>
    </row>
    <row r="10840" s="2" customFormat="1" ht="13.5" customHeight="1">
      <c r="B10840" t="s" s="8">
        <v>4044</v>
      </c>
      <c r="C10840" t="s" s="9">
        <v>14</v>
      </c>
      <c r="D10840" t="s" s="8">
        <v>14</v>
      </c>
      <c r="E10840" t="s" s="9">
        <v>14</v>
      </c>
      <c r="F10840" t="s" s="10">
        <v>14</v>
      </c>
      <c r="G10840" t="s" s="11">
        <v>14</v>
      </c>
      <c r="H10840" t="s" s="10">
        <v>14</v>
      </c>
      <c r="I10840" t="s" s="11">
        <v>14</v>
      </c>
      <c r="J10840" t="s" s="11">
        <v>14</v>
      </c>
      <c r="K10840" t="s" s="12">
        <v>14</v>
      </c>
      <c r="L10840" t="s" s="12">
        <v>14</v>
      </c>
      <c r="M10840" t="s" s="10">
        <v>14</v>
      </c>
      <c r="N10840" t="s" s="11">
        <v>14</v>
      </c>
      <c r="O10840" t="s" s="8">
        <v>14</v>
      </c>
      <c r="P10840" t="s" s="8">
        <v>14</v>
      </c>
      <c r="Q10840" t="s" s="12">
        <v>14</v>
      </c>
      <c r="R10840" t="s" s="12">
        <v>14</v>
      </c>
    </row>
    <row r="10841" s="2" customFormat="1" ht="13.5" customHeight="1">
      <c r="B10841" s="13"/>
      <c r="C10841" t="s" s="9">
        <v>16</v>
      </c>
      <c r="D10841" t="s" s="8">
        <v>4046</v>
      </c>
      <c r="E10841" t="s" s="9">
        <v>4047</v>
      </c>
      <c r="F10841" t="s" s="10">
        <v>73</v>
      </c>
      <c r="G10841" s="17">
        <v>1</v>
      </c>
      <c r="H10841" t="s" s="10">
        <v>80</v>
      </c>
      <c r="I10841" s="17">
        <v>1</v>
      </c>
      <c r="J10841" t="s" s="11">
        <v>20</v>
      </c>
      <c r="K10841" s="15"/>
      <c r="L10841" t="s" s="16">
        <f>HYPERLINK("http://csr.bu.edu/ftp/asl/asllvd/demos/verify_start_end_handshape_annotations//test_auto_move//signs_mov_separ_signers/Liz_15423.mov","MOV")</f>
        <v>21</v>
      </c>
      <c r="M10841" t="s" s="10">
        <v>84</v>
      </c>
      <c r="N10841" s="17">
        <v>43</v>
      </c>
      <c r="O10841" s="18">
        <v>2291</v>
      </c>
      <c r="P10841" s="18">
        <v>2352</v>
      </c>
      <c r="Q10841" s="15"/>
      <c r="R10841" t="s" s="16">
        <f>HYPERLINK("http://secrets.rutgers.edu:8080/data/asl-ftp/asllvd/demos/verify_start_end_handshape_annotations//test_auto_move//signs_mov_separ_signers/Liz_15423.mov","MOV")</f>
        <v>21</v>
      </c>
    </row>
    <row r="10842" s="2" customFormat="1" ht="13.5" customHeight="1">
      <c r="B10842" s="13"/>
      <c r="C10842" t="s" s="9">
        <v>23</v>
      </c>
      <c r="D10842" t="s" s="8">
        <v>4046</v>
      </c>
      <c r="E10842" t="s" s="9">
        <v>4047</v>
      </c>
      <c r="F10842" t="s" s="10">
        <v>73</v>
      </c>
      <c r="G10842" s="17">
        <v>1</v>
      </c>
      <c r="H10842" t="s" s="10">
        <v>73</v>
      </c>
      <c r="I10842" s="17">
        <v>1</v>
      </c>
      <c r="J10842" t="s" s="11">
        <v>20</v>
      </c>
      <c r="K10842" s="15"/>
      <c r="L10842" t="s" s="16">
        <f>HYPERLINK("http://csr.bu.edu/ftp/asl/asllvd/demos/verify_start_end_handshape_annotations//test_auto_move//signs_mov_separ_signers/Tyler_15423.mov","MOV")</f>
        <v>21</v>
      </c>
      <c r="M10842" t="s" s="10">
        <v>92</v>
      </c>
      <c r="N10842" s="17">
        <v>22</v>
      </c>
      <c r="O10842" s="18">
        <v>3405</v>
      </c>
      <c r="P10842" s="18">
        <v>3445</v>
      </c>
      <c r="Q10842" s="15"/>
      <c r="R10842" t="s" s="16">
        <f>HYPERLINK("http://secrets.rutgers.edu:8080/data/asl-ftp/asllvd/demos/verify_start_end_handshape_annotations//test_auto_move//signs_mov_separ_signers/Tyler_15423.mov","MOV")</f>
        <v>21</v>
      </c>
    </row>
    <row r="10843" s="2" customFormat="1" ht="13.5" customHeight="1">
      <c r="B10843" s="13"/>
      <c r="C10843" t="s" s="9">
        <v>23</v>
      </c>
      <c r="D10843" t="s" s="8">
        <v>4046</v>
      </c>
      <c r="E10843" t="s" s="9">
        <v>4047</v>
      </c>
      <c r="F10843" t="s" s="10">
        <v>73</v>
      </c>
      <c r="G10843" s="17">
        <v>1</v>
      </c>
      <c r="H10843" t="s" s="10">
        <v>73</v>
      </c>
      <c r="I10843" s="17">
        <v>1</v>
      </c>
      <c r="J10843" t="s" s="11">
        <v>20</v>
      </c>
      <c r="K10843" t="s" s="16">
        <f>HYPERLINK("http://csr.bu.edu/ftp/asl/asllvd/demos/verify_start_end_handshape_annotations//test_auto_move//signs_mov/15423_16372_merged.mov","MOV")</f>
        <v>21</v>
      </c>
      <c r="L10843" t="s" s="16">
        <f>HYPERLINK("http://csr.bu.edu/ftp/asl/asllvd/demos/verify_start_end_handshape_annotations//test_auto_move//signs_mov_separ_signers/Tyler_16372.mov","MOV")</f>
        <v>21</v>
      </c>
      <c r="M10843" t="s" s="10">
        <v>92</v>
      </c>
      <c r="N10843" s="17">
        <v>23</v>
      </c>
      <c r="O10843" s="18">
        <v>2285</v>
      </c>
      <c r="P10843" s="18">
        <v>2339</v>
      </c>
      <c r="Q10843" t="s" s="16">
        <f>HYPERLINK("http://secrets.rutgers.edu:8080/data/asl-ftp/asllvd/demos/verify_start_end_handshape_annotations//test_auto_move//signs_mov/15423_16372_merged.mov","MOV")</f>
        <v>21</v>
      </c>
      <c r="R10843" t="s" s="16">
        <f>HYPERLINK("http://secrets.rutgers.edu:8080/data/asl-ftp/asllvd/demos/verify_start_end_handshape_annotations//test_auto_move//signs_mov_separ_signers/Tyler_16372.mov","MOV")</f>
        <v>21</v>
      </c>
    </row>
    <row r="10844" s="2" customFormat="1" ht="13.5" customHeight="1">
      <c r="B10844" s="13"/>
      <c r="C10844" t="s" s="9">
        <v>27</v>
      </c>
      <c r="D10844" t="s" s="8">
        <v>4046</v>
      </c>
      <c r="E10844" t="s" s="9">
        <v>4048</v>
      </c>
      <c r="F10844" t="s" s="10">
        <v>73</v>
      </c>
      <c r="G10844" s="17">
        <v>1</v>
      </c>
      <c r="H10844" t="s" s="10">
        <v>73</v>
      </c>
      <c r="I10844" s="17">
        <v>1</v>
      </c>
      <c r="J10844" t="s" s="11">
        <v>20</v>
      </c>
      <c r="K10844" s="15"/>
      <c r="L10844" t="s" s="16">
        <f>HYPERLINK("http://csr.bu.edu/ftp/asl/asllvd/demos/verify_start_end_handshape_annotations//test_auto_move//signs_mov_separ_signers/Naomi_15423.mov","MOV")</f>
        <v>21</v>
      </c>
      <c r="M10844" t="s" s="10">
        <v>86</v>
      </c>
      <c r="N10844" s="17">
        <v>43</v>
      </c>
      <c r="O10844" s="18">
        <v>2545</v>
      </c>
      <c r="P10844" s="18">
        <v>2595</v>
      </c>
      <c r="Q10844" s="15"/>
      <c r="R10844" t="s" s="16">
        <f>HYPERLINK("http://secrets.rutgers.edu:8080/data/asl-ftp/asllvd/demos/verify_start_end_handshape_annotations//test_auto_move//signs_mov_separ_signers/Naomi_15423.mov","MOV")</f>
        <v>21</v>
      </c>
    </row>
    <row r="10845" s="2" customFormat="1" ht="13.5" customHeight="1">
      <c r="B10845" s="13"/>
      <c r="C10845" t="s" s="9">
        <v>30</v>
      </c>
      <c r="D10845" t="s" s="8">
        <v>4046</v>
      </c>
      <c r="E10845" t="s" s="9">
        <v>4047</v>
      </c>
      <c r="F10845" t="s" s="10">
        <v>73</v>
      </c>
      <c r="G10845" s="17">
        <v>1</v>
      </c>
      <c r="H10845" t="s" s="10">
        <v>73</v>
      </c>
      <c r="I10845" s="17">
        <v>1</v>
      </c>
      <c r="J10845" t="s" s="11">
        <v>20</v>
      </c>
      <c r="K10845" s="15"/>
      <c r="L10845" t="s" s="16">
        <f>HYPERLINK("http://csr.bu.edu/ftp/asl/asllvd/demos/verify_start_end_handshape_annotations//test_auto_move//signs_mov_separ_signers/Brady_15423.mov","MOV")</f>
        <v>21</v>
      </c>
      <c r="M10845" t="s" s="10">
        <v>39</v>
      </c>
      <c r="N10845" s="17">
        <v>19</v>
      </c>
      <c r="O10845" s="18">
        <v>5363</v>
      </c>
      <c r="P10845" s="18">
        <v>5400</v>
      </c>
      <c r="Q10845" s="15"/>
      <c r="R10845" t="s" s="16">
        <f>HYPERLINK("http://secrets.rutgers.edu:8080/data/asl-ftp/asllvd/demos/verify_start_end_handshape_annotations//test_auto_move//signs_mov_separ_signers/Brady_15423.mov","MOV")</f>
        <v>21</v>
      </c>
    </row>
    <row r="10846" s="2" customFormat="1" ht="13.5" customHeight="1">
      <c r="B10846" t="s" s="8">
        <v>4049</v>
      </c>
      <c r="C10846" t="s" s="9">
        <v>14</v>
      </c>
      <c r="D10846" t="s" s="8">
        <v>14</v>
      </c>
      <c r="E10846" t="s" s="9">
        <v>14</v>
      </c>
      <c r="F10846" t="s" s="10">
        <v>14</v>
      </c>
      <c r="G10846" t="s" s="11">
        <v>14</v>
      </c>
      <c r="H10846" t="s" s="10">
        <v>14</v>
      </c>
      <c r="I10846" t="s" s="11">
        <v>14</v>
      </c>
      <c r="J10846" t="s" s="11">
        <v>14</v>
      </c>
      <c r="K10846" t="s" s="12">
        <v>14</v>
      </c>
      <c r="L10846" t="s" s="12">
        <v>14</v>
      </c>
      <c r="M10846" t="s" s="10">
        <v>14</v>
      </c>
      <c r="N10846" t="s" s="11">
        <v>14</v>
      </c>
      <c r="O10846" t="s" s="8">
        <v>14</v>
      </c>
      <c r="P10846" t="s" s="8">
        <v>14</v>
      </c>
      <c r="Q10846" t="s" s="12">
        <v>14</v>
      </c>
      <c r="R10846" t="s" s="12">
        <v>14</v>
      </c>
    </row>
    <row r="10847" s="2" customFormat="1" ht="13.5" customHeight="1">
      <c r="B10847" s="13"/>
      <c r="C10847" t="s" s="9">
        <v>16</v>
      </c>
      <c r="D10847" t="s" s="8">
        <v>4049</v>
      </c>
      <c r="E10847" t="s" s="9">
        <v>4049</v>
      </c>
      <c r="F10847" t="s" s="10">
        <v>63</v>
      </c>
      <c r="G10847" t="s" s="11">
        <v>63</v>
      </c>
      <c r="H10847" t="s" s="10">
        <v>63</v>
      </c>
      <c r="I10847" t="s" s="11">
        <v>63</v>
      </c>
      <c r="J10847" t="s" s="11">
        <v>20</v>
      </c>
      <c r="K10847" s="15"/>
      <c r="L10847" t="s" s="16">
        <f>HYPERLINK("http://csr.bu.edu/ftp/asl/asllvd/demos/verify_start_end_handshape_annotations//test_auto_move//signs_mov_separ_signers/Liz_4637.mov","MOV")</f>
        <v>21</v>
      </c>
      <c r="M10847" t="s" s="10">
        <v>84</v>
      </c>
      <c r="N10847" s="17">
        <v>41</v>
      </c>
      <c r="O10847" s="18">
        <v>285</v>
      </c>
      <c r="P10847" s="18">
        <v>345</v>
      </c>
      <c r="Q10847" s="15"/>
      <c r="R10847" t="s" s="16">
        <f>HYPERLINK("http://secrets.rutgers.edu:8080/data/asl-ftp/asllvd/demos/verify_start_end_handshape_annotations//test_auto_move//signs_mov_separ_signers/Liz_4637.mov","MOV")</f>
        <v>21</v>
      </c>
    </row>
    <row r="10848" s="2" customFormat="1" ht="13.5" customHeight="1">
      <c r="B10848" s="13"/>
      <c r="C10848" t="s" s="9">
        <v>16</v>
      </c>
      <c r="D10848" t="s" s="8">
        <v>4049</v>
      </c>
      <c r="E10848" t="s" s="9">
        <v>4049</v>
      </c>
      <c r="F10848" t="s" s="10">
        <v>63</v>
      </c>
      <c r="G10848" t="s" s="11">
        <v>63</v>
      </c>
      <c r="H10848" t="s" s="10">
        <v>63</v>
      </c>
      <c r="I10848" t="s" s="11">
        <v>63</v>
      </c>
      <c r="J10848" t="s" s="11">
        <v>20</v>
      </c>
      <c r="K10848" s="15"/>
      <c r="L10848" t="s" s="16">
        <f>HYPERLINK("http://csr.bu.edu/ftp/asl/asllvd/demos/verify_start_end_handshape_annotations//test_auto_move//signs_mov_separ_signers/Liz_15379.mov","MOV")</f>
        <v>21</v>
      </c>
      <c r="M10848" t="s" s="10">
        <v>77</v>
      </c>
      <c r="N10848" s="17">
        <v>3</v>
      </c>
      <c r="O10848" s="18">
        <v>3780</v>
      </c>
      <c r="P10848" s="18">
        <v>3845</v>
      </c>
      <c r="Q10848" s="15"/>
      <c r="R10848" t="s" s="16">
        <f>HYPERLINK("http://secrets.rutgers.edu:8080/data/asl-ftp/asllvd/demos/verify_start_end_handshape_annotations//test_auto_move//signs_mov_separ_signers/Liz_15379.mov","MOV")</f>
        <v>21</v>
      </c>
    </row>
    <row r="10849" s="2" customFormat="1" ht="13.5" customHeight="1">
      <c r="B10849" s="13"/>
      <c r="C10849" t="s" s="9">
        <v>27</v>
      </c>
      <c r="D10849" t="s" s="8">
        <v>4049</v>
      </c>
      <c r="E10849" t="s" s="9">
        <v>4049</v>
      </c>
      <c r="F10849" t="s" s="10">
        <v>63</v>
      </c>
      <c r="G10849" t="s" s="11">
        <v>63</v>
      </c>
      <c r="H10849" t="s" s="10">
        <v>63</v>
      </c>
      <c r="I10849" t="s" s="11">
        <v>63</v>
      </c>
      <c r="J10849" t="s" s="11">
        <v>20</v>
      </c>
      <c r="K10849" t="s" s="16">
        <f>HYPERLINK("http://csr.bu.edu/ftp/asl/asllvd/demos/verify_start_end_handshape_annotations//test_auto_move//signs_mov/4637_15379_15382_merged.mov","MOV")</f>
        <v>21</v>
      </c>
      <c r="L10849" t="s" s="16">
        <f>HYPERLINK("http://csr.bu.edu/ftp/asl/asllvd/demos/verify_start_end_handshape_annotations//test_auto_move//signs_mov_separ_signers/Naomi_4637.mov","MOV")</f>
        <v>21</v>
      </c>
      <c r="M10849" t="s" s="10">
        <v>86</v>
      </c>
      <c r="N10849" s="17">
        <v>40</v>
      </c>
      <c r="O10849" s="18">
        <v>3382</v>
      </c>
      <c r="P10849" s="18">
        <v>3412</v>
      </c>
      <c r="Q10849" t="s" s="16">
        <f>HYPERLINK("http://secrets.rutgers.edu:8080/data/asl-ftp/asllvd/demos/verify_start_end_handshape_annotations//test_auto_move//signs_mov/4637_15379_15382_merged.mov","MOV")</f>
        <v>21</v>
      </c>
      <c r="R10849" t="s" s="16">
        <f>HYPERLINK("http://secrets.rutgers.edu:8080/data/asl-ftp/asllvd/demos/verify_start_end_handshape_annotations//test_auto_move//signs_mov_separ_signers/Naomi_4637.mov","MOV")</f>
        <v>21</v>
      </c>
    </row>
    <row r="10850" s="2" customFormat="1" ht="13.5" customHeight="1">
      <c r="B10850" s="13"/>
      <c r="C10850" t="s" s="9">
        <v>30</v>
      </c>
      <c r="D10850" t="s" s="8">
        <v>4049</v>
      </c>
      <c r="E10850" t="s" s="9">
        <v>4049</v>
      </c>
      <c r="F10850" t="s" s="10">
        <v>63</v>
      </c>
      <c r="G10850" t="s" s="11">
        <v>63</v>
      </c>
      <c r="H10850" t="s" s="10">
        <v>63</v>
      </c>
      <c r="I10850" t="s" s="11">
        <v>63</v>
      </c>
      <c r="J10850" t="s" s="11">
        <v>20</v>
      </c>
      <c r="K10850" s="15"/>
      <c r="L10850" t="s" s="16">
        <f>HYPERLINK("http://csr.bu.edu/ftp/asl/asllvd/demos/verify_start_end_handshape_annotations//test_auto_move//signs_mov_separ_signers/Brady_4637.mov","MOV")</f>
        <v>21</v>
      </c>
      <c r="M10850" t="s" s="10">
        <v>39</v>
      </c>
      <c r="N10850" s="17">
        <v>17</v>
      </c>
      <c r="O10850" s="18">
        <v>7947</v>
      </c>
      <c r="P10850" s="18">
        <v>7981</v>
      </c>
      <c r="Q10850" s="15"/>
      <c r="R10850" t="s" s="16">
        <f>HYPERLINK("http://secrets.rutgers.edu:8080/data/asl-ftp/asllvd/demos/verify_start_end_handshape_annotations//test_auto_move//signs_mov_separ_signers/Brady_4637.mov","MOV")</f>
        <v>21</v>
      </c>
    </row>
    <row r="10851" s="2" customFormat="1" ht="13.5" customHeight="1">
      <c r="B10851" s="13"/>
      <c r="C10851" t="s" s="9">
        <v>30</v>
      </c>
      <c r="D10851" t="s" s="8">
        <v>4049</v>
      </c>
      <c r="E10851" t="s" s="9">
        <v>4049</v>
      </c>
      <c r="F10851" t="s" s="10">
        <v>63</v>
      </c>
      <c r="G10851" t="s" s="11">
        <v>63</v>
      </c>
      <c r="H10851" t="s" s="10">
        <v>63</v>
      </c>
      <c r="I10851" t="s" s="11">
        <v>63</v>
      </c>
      <c r="J10851" t="s" s="11">
        <v>20</v>
      </c>
      <c r="K10851" s="15"/>
      <c r="L10851" t="s" s="16">
        <f>HYPERLINK("http://csr.bu.edu/ftp/asl/asllvd/demos/verify_start_end_handshape_annotations//test_auto_move//signs_mov_separ_signers/Brady_15379.mov","MOV")</f>
        <v>21</v>
      </c>
      <c r="M10851" t="s" s="10">
        <v>40</v>
      </c>
      <c r="N10851" s="17">
        <v>4</v>
      </c>
      <c r="O10851" s="18">
        <v>4103</v>
      </c>
      <c r="P10851" s="18">
        <v>4132</v>
      </c>
      <c r="Q10851" s="15"/>
      <c r="R10851" t="s" s="16">
        <f>HYPERLINK("http://secrets.rutgers.edu:8080/data/asl-ftp/asllvd/demos/verify_start_end_handshape_annotations//test_auto_move//signs_mov_separ_signers/Brady_15379.mov","MOV")</f>
        <v>21</v>
      </c>
    </row>
    <row r="10852" s="2" customFormat="1" ht="13.5" customHeight="1">
      <c r="B10852" s="13"/>
      <c r="C10852" t="s" s="9">
        <v>30</v>
      </c>
      <c r="D10852" t="s" s="8">
        <v>4049</v>
      </c>
      <c r="E10852" t="s" s="9">
        <v>4049</v>
      </c>
      <c r="F10852" t="s" s="10">
        <v>63</v>
      </c>
      <c r="G10852" t="s" s="11">
        <v>63</v>
      </c>
      <c r="H10852" t="s" s="10">
        <v>63</v>
      </c>
      <c r="I10852" t="s" s="11">
        <v>63</v>
      </c>
      <c r="J10852" t="s" s="11">
        <v>20</v>
      </c>
      <c r="K10852" s="15"/>
      <c r="L10852" t="s" s="16">
        <f>HYPERLINK("http://csr.bu.edu/ftp/asl/asllvd/demos/verify_start_end_handshape_annotations//test_auto_move//signs_mov_separ_signers/Brady_15382.mov","MOV")</f>
        <v>21</v>
      </c>
      <c r="M10852" t="s" s="10">
        <v>40</v>
      </c>
      <c r="N10852" s="17">
        <v>96</v>
      </c>
      <c r="O10852" s="18">
        <v>3001</v>
      </c>
      <c r="P10852" s="18">
        <v>3040</v>
      </c>
      <c r="Q10852" s="15"/>
      <c r="R10852" t="s" s="16">
        <f>HYPERLINK("http://secrets.rutgers.edu:8080/data/asl-ftp/asllvd/demos/verify_start_end_handshape_annotations//test_auto_move//signs_mov_separ_signers/Brady_15382.mov","MOV")</f>
        <v>21</v>
      </c>
    </row>
    <row r="10853" s="2" customFormat="1" ht="13.5" customHeight="1">
      <c r="B10853" t="s" s="8">
        <v>52</v>
      </c>
      <c r="C10853" t="s" s="9">
        <v>53</v>
      </c>
      <c r="D10853" t="s" s="8">
        <v>53</v>
      </c>
      <c r="E10853" t="s" s="9">
        <v>53</v>
      </c>
      <c r="F10853" t="s" s="10">
        <v>53</v>
      </c>
      <c r="G10853" t="s" s="11">
        <v>53</v>
      </c>
      <c r="H10853" t="s" s="10">
        <v>53</v>
      </c>
      <c r="I10853" t="s" s="11">
        <v>53</v>
      </c>
      <c r="J10853" t="s" s="11">
        <v>53</v>
      </c>
      <c r="K10853" t="s" s="12">
        <v>53</v>
      </c>
      <c r="L10853" t="s" s="12">
        <v>53</v>
      </c>
      <c r="M10853" t="s" s="10">
        <v>53</v>
      </c>
      <c r="N10853" t="s" s="11">
        <v>53</v>
      </c>
      <c r="O10853" t="s" s="8">
        <v>53</v>
      </c>
      <c r="P10853" t="s" s="8">
        <v>53</v>
      </c>
      <c r="Q10853" t="s" s="12">
        <v>53</v>
      </c>
      <c r="R10853" t="s" s="12">
        <v>53</v>
      </c>
    </row>
    <row r="10854" s="2" customFormat="1" ht="13.5" customHeight="1">
      <c r="B10854" s="13"/>
      <c r="C10854" t="s" s="9">
        <v>16</v>
      </c>
      <c r="D10854" t="s" s="8">
        <v>4049</v>
      </c>
      <c r="E10854" t="s" s="9">
        <v>4050</v>
      </c>
      <c r="F10854" s="19">
        <v>10</v>
      </c>
      <c r="G10854" s="17">
        <v>10</v>
      </c>
      <c r="H10854" s="19">
        <v>10</v>
      </c>
      <c r="I10854" s="17">
        <v>10</v>
      </c>
      <c r="J10854" t="s" s="11">
        <v>20</v>
      </c>
      <c r="K10854" t="s" s="16">
        <f>HYPERLINK("http://csr.bu.edu/ftp/asl/asllvd/demos/verify_start_end_handshape_annotations//test_auto_move//signs_mov/15385.mov","MOV")</f>
        <v>21</v>
      </c>
      <c r="L10854" t="s" s="16">
        <f>HYPERLINK("http://csr.bu.edu/ftp/asl/asllvd/demos/verify_start_end_handshape_annotations//test_auto_move//signs_mov_separ_signers/Liz_15385.mov","MOV")</f>
        <v>21</v>
      </c>
      <c r="M10854" t="s" s="10">
        <v>77</v>
      </c>
      <c r="N10854" s="17">
        <v>3</v>
      </c>
      <c r="O10854" s="18">
        <v>3955</v>
      </c>
      <c r="P10854" s="18">
        <v>4035</v>
      </c>
      <c r="Q10854" t="s" s="16">
        <f>HYPERLINK("http://secrets.rutgers.edu:8080/data/asl-ftp/asllvd/demos/verify_start_end_handshape_annotations//test_auto_move//signs_mov/15385.mov","MOV")</f>
        <v>21</v>
      </c>
      <c r="R10854" t="s" s="16">
        <f>HYPERLINK("http://secrets.rutgers.edu:8080/data/asl-ftp/asllvd/demos/verify_start_end_handshape_annotations//test_auto_move//signs_mov_separ_signers/Liz_15385.mov","MOV")</f>
        <v>21</v>
      </c>
    </row>
    <row r="10855" s="2" customFormat="1" ht="13.5" customHeight="1">
      <c r="B10855" s="13"/>
      <c r="C10855" t="s" s="9">
        <v>30</v>
      </c>
      <c r="D10855" t="s" s="8">
        <v>4049</v>
      </c>
      <c r="E10855" t="s" s="9">
        <v>4050</v>
      </c>
      <c r="F10855" t="s" s="10">
        <v>63</v>
      </c>
      <c r="G10855" t="s" s="11">
        <v>63</v>
      </c>
      <c r="H10855" t="s" s="10">
        <v>63</v>
      </c>
      <c r="I10855" t="s" s="11">
        <v>63</v>
      </c>
      <c r="J10855" t="s" s="11">
        <v>20</v>
      </c>
      <c r="K10855" s="15"/>
      <c r="L10855" t="s" s="16">
        <f>HYPERLINK("http://csr.bu.edu/ftp/asl/asllvd/demos/verify_start_end_handshape_annotations//test_auto_move//signs_mov_separ_signers/Brady_15385.mov","MOV")</f>
        <v>21</v>
      </c>
      <c r="M10855" t="s" s="10">
        <v>40</v>
      </c>
      <c r="N10855" s="17">
        <v>96</v>
      </c>
      <c r="O10855" s="18">
        <v>3272</v>
      </c>
      <c r="P10855" s="18">
        <v>3358</v>
      </c>
      <c r="Q10855" s="15"/>
      <c r="R10855" t="s" s="16">
        <f>HYPERLINK("http://secrets.rutgers.edu:8080/data/asl-ftp/asllvd/demos/verify_start_end_handshape_annotations//test_auto_move//signs_mov_separ_signers/Brady_15385.mov","MOV")</f>
        <v>21</v>
      </c>
    </row>
    <row r="10856" s="2" customFormat="1" ht="13.5" customHeight="1">
      <c r="B10856" t="s" s="8">
        <v>4051</v>
      </c>
      <c r="C10856" t="s" s="9">
        <v>14</v>
      </c>
      <c r="D10856" t="s" s="8">
        <v>14</v>
      </c>
      <c r="E10856" t="s" s="9">
        <v>14</v>
      </c>
      <c r="F10856" t="s" s="10">
        <v>14</v>
      </c>
      <c r="G10856" t="s" s="11">
        <v>14</v>
      </c>
      <c r="H10856" t="s" s="10">
        <v>14</v>
      </c>
      <c r="I10856" t="s" s="11">
        <v>14</v>
      </c>
      <c r="J10856" t="s" s="11">
        <v>14</v>
      </c>
      <c r="K10856" t="s" s="12">
        <v>14</v>
      </c>
      <c r="L10856" t="s" s="12">
        <v>14</v>
      </c>
      <c r="M10856" t="s" s="10">
        <v>14</v>
      </c>
      <c r="N10856" t="s" s="11">
        <v>14</v>
      </c>
      <c r="O10856" t="s" s="8">
        <v>14</v>
      </c>
      <c r="P10856" t="s" s="8">
        <v>14</v>
      </c>
      <c r="Q10856" t="s" s="12">
        <v>14</v>
      </c>
      <c r="R10856" t="s" s="12">
        <v>14</v>
      </c>
    </row>
    <row r="10857" s="2" customFormat="1" ht="13.5" customHeight="1">
      <c r="B10857" s="13"/>
      <c r="C10857" t="s" s="9">
        <v>23</v>
      </c>
      <c r="D10857" t="s" s="8">
        <v>4051</v>
      </c>
      <c r="E10857" t="s" s="9">
        <v>4051</v>
      </c>
      <c r="F10857" t="s" s="10">
        <v>73</v>
      </c>
      <c r="G10857" t="s" s="11">
        <v>73</v>
      </c>
      <c r="H10857" t="s" s="10">
        <v>150</v>
      </c>
      <c r="I10857" t="s" s="11">
        <v>150</v>
      </c>
      <c r="J10857" t="s" s="11">
        <v>20</v>
      </c>
      <c r="K10857" t="s" s="16">
        <f>HYPERLINK("http://csr.bu.edu/ftp/asl/asllvd/demos/verify_start_end_handshape_annotations//test_auto_move//signs_mov/15454.mov","MOV")</f>
        <v>21</v>
      </c>
      <c r="L10857" t="s" s="16">
        <f>HYPERLINK("http://csr.bu.edu/ftp/asl/asllvd/demos/verify_start_end_handshape_annotations//test_auto_move//signs_mov_separ_signers/Tyler_15454.mov","MOV")</f>
        <v>21</v>
      </c>
      <c r="M10857" t="s" s="10">
        <v>92</v>
      </c>
      <c r="N10857" s="17">
        <v>20</v>
      </c>
      <c r="O10857" s="18">
        <v>3565</v>
      </c>
      <c r="P10857" s="18">
        <v>3600</v>
      </c>
      <c r="Q10857" t="s" s="16">
        <f>HYPERLINK("http://secrets.rutgers.edu:8080/data/asl-ftp/asllvd/demos/verify_start_end_handshape_annotations//test_auto_move//signs_mov/15454.mov","MOV")</f>
        <v>21</v>
      </c>
      <c r="R10857" t="s" s="16">
        <f>HYPERLINK("http://secrets.rutgers.edu:8080/data/asl-ftp/asllvd/demos/verify_start_end_handshape_annotations//test_auto_move//signs_mov_separ_signers/Tyler_15454.mov","MOV")</f>
        <v>21</v>
      </c>
    </row>
    <row r="10858" s="2" customFormat="1" ht="13.5" customHeight="1">
      <c r="B10858" s="13"/>
      <c r="C10858" t="s" s="9">
        <v>30</v>
      </c>
      <c r="D10858" t="s" s="8">
        <v>4051</v>
      </c>
      <c r="E10858" t="s" s="9">
        <v>4051</v>
      </c>
      <c r="F10858" t="s" s="10">
        <v>73</v>
      </c>
      <c r="G10858" t="s" s="11">
        <v>73</v>
      </c>
      <c r="H10858" t="s" s="10">
        <v>73</v>
      </c>
      <c r="I10858" t="s" s="11">
        <v>73</v>
      </c>
      <c r="J10858" t="s" s="11">
        <v>20</v>
      </c>
      <c r="K10858" s="15"/>
      <c r="L10858" t="s" s="16">
        <f>HYPERLINK("http://csr.bu.edu/ftp/asl/asllvd/demos/verify_start_end_handshape_annotations//test_auto_move//signs_mov_separ_signers/Brady_15454.mov","MOV")</f>
        <v>21</v>
      </c>
      <c r="M10858" t="s" s="10">
        <v>39</v>
      </c>
      <c r="N10858" s="17">
        <v>18</v>
      </c>
      <c r="O10858" s="18">
        <v>311</v>
      </c>
      <c r="P10858" s="18">
        <v>340</v>
      </c>
      <c r="Q10858" s="15"/>
      <c r="R10858" t="s" s="16">
        <f>HYPERLINK("http://secrets.rutgers.edu:8080/data/asl-ftp/asllvd/demos/verify_start_end_handshape_annotations//test_auto_move//signs_mov_separ_signers/Brady_15454.mov","MOV")</f>
        <v>21</v>
      </c>
    </row>
    <row r="10859" s="2" customFormat="1" ht="13.5" customHeight="1">
      <c r="B10859" t="s" s="8">
        <v>4052</v>
      </c>
      <c r="C10859" t="s" s="9">
        <v>14</v>
      </c>
      <c r="D10859" t="s" s="8">
        <v>14</v>
      </c>
      <c r="E10859" t="s" s="9">
        <v>14</v>
      </c>
      <c r="F10859" t="s" s="10">
        <v>14</v>
      </c>
      <c r="G10859" t="s" s="11">
        <v>14</v>
      </c>
      <c r="H10859" t="s" s="10">
        <v>14</v>
      </c>
      <c r="I10859" t="s" s="11">
        <v>14</v>
      </c>
      <c r="J10859" t="s" s="11">
        <v>14</v>
      </c>
      <c r="K10859" t="s" s="12">
        <v>14</v>
      </c>
      <c r="L10859" t="s" s="12">
        <v>14</v>
      </c>
      <c r="M10859" t="s" s="10">
        <v>14</v>
      </c>
      <c r="N10859" t="s" s="11">
        <v>14</v>
      </c>
      <c r="O10859" t="s" s="8">
        <v>14</v>
      </c>
      <c r="P10859" t="s" s="8">
        <v>14</v>
      </c>
      <c r="Q10859" t="s" s="12">
        <v>14</v>
      </c>
      <c r="R10859" t="s" s="12">
        <v>14</v>
      </c>
    </row>
    <row r="10860" s="2" customFormat="1" ht="13.5" customHeight="1">
      <c r="B10860" s="13"/>
      <c r="C10860" t="s" s="9">
        <v>16</v>
      </c>
      <c r="D10860" t="s" s="8">
        <v>4052</v>
      </c>
      <c r="E10860" t="s" s="9">
        <v>4053</v>
      </c>
      <c r="F10860" t="s" s="10">
        <v>255</v>
      </c>
      <c r="G10860" s="14"/>
      <c r="H10860" t="s" s="10">
        <v>255</v>
      </c>
      <c r="I10860" s="14"/>
      <c r="J10860" t="s" s="11">
        <v>20</v>
      </c>
      <c r="K10860" s="15"/>
      <c r="L10860" t="s" s="16">
        <f>HYPERLINK("http://csr.bu.edu/ftp/asl/asllvd/demos/verify_start_end_handshape_annotations//test_auto_move//signs_mov_separ_signers/Liz_4638.mov","MOV")</f>
        <v>21</v>
      </c>
      <c r="M10860" t="s" s="10">
        <v>84</v>
      </c>
      <c r="N10860" s="17">
        <v>14</v>
      </c>
      <c r="O10860" s="18">
        <v>1790</v>
      </c>
      <c r="P10860" s="18">
        <v>1830</v>
      </c>
      <c r="Q10860" s="15"/>
      <c r="R10860" t="s" s="16">
        <f>HYPERLINK("http://secrets.rutgers.edu:8080/data/asl-ftp/asllvd/demos/verify_start_end_handshape_annotations//test_auto_move//signs_mov_separ_signers/Liz_4638.mov","MOV")</f>
        <v>21</v>
      </c>
    </row>
    <row r="10861" s="2" customFormat="1" ht="13.5" customHeight="1">
      <c r="B10861" s="13"/>
      <c r="C10861" t="s" s="9">
        <v>16</v>
      </c>
      <c r="D10861" t="s" s="8">
        <v>4052</v>
      </c>
      <c r="E10861" t="s" s="9">
        <v>4053</v>
      </c>
      <c r="F10861" t="s" s="10">
        <v>255</v>
      </c>
      <c r="G10861" s="14"/>
      <c r="H10861" t="s" s="10">
        <v>255</v>
      </c>
      <c r="I10861" s="14"/>
      <c r="J10861" t="s" s="11">
        <v>20</v>
      </c>
      <c r="K10861" s="15"/>
      <c r="L10861" t="s" s="16">
        <f>HYPERLINK("http://csr.bu.edu/ftp/asl/asllvd/demos/verify_start_end_handshape_annotations//test_auto_move//signs_mov_separ_signers/Liz_15374.mov","MOV")</f>
        <v>21</v>
      </c>
      <c r="M10861" t="s" s="10">
        <v>34</v>
      </c>
      <c r="N10861" s="17">
        <v>6</v>
      </c>
      <c r="O10861" s="18">
        <v>950</v>
      </c>
      <c r="P10861" s="18">
        <v>1001</v>
      </c>
      <c r="Q10861" s="15"/>
      <c r="R10861" t="s" s="16">
        <f>HYPERLINK("http://secrets.rutgers.edu:8080/data/asl-ftp/asllvd/demos/verify_start_end_handshape_annotations//test_auto_move//signs_mov_separ_signers/Liz_15374.mov","MOV")</f>
        <v>21</v>
      </c>
    </row>
    <row r="10862" s="2" customFormat="1" ht="13.5" customHeight="1">
      <c r="B10862" s="13"/>
      <c r="C10862" t="s" s="9">
        <v>16</v>
      </c>
      <c r="D10862" t="s" s="8">
        <v>4052</v>
      </c>
      <c r="E10862" t="s" s="9">
        <v>4052</v>
      </c>
      <c r="F10862" s="19">
        <v>1</v>
      </c>
      <c r="G10862" s="14"/>
      <c r="H10862" s="19">
        <v>1</v>
      </c>
      <c r="I10862" s="14"/>
      <c r="J10862" t="s" s="11">
        <v>20</v>
      </c>
      <c r="K10862" s="15"/>
      <c r="L10862" t="s" s="16">
        <f>HYPERLINK("http://csr.bu.edu/ftp/asl/asllvd/demos/verify_start_end_handshape_annotations//test_auto_move//signs_mov_separ_signers/Liz_15377.mov","MOV")</f>
        <v>21</v>
      </c>
      <c r="M10862" t="s" s="10">
        <v>59</v>
      </c>
      <c r="N10862" s="17">
        <v>20</v>
      </c>
      <c r="O10862" s="18">
        <v>775</v>
      </c>
      <c r="P10862" s="18">
        <v>840</v>
      </c>
      <c r="Q10862" s="15"/>
      <c r="R10862" t="s" s="16">
        <f>HYPERLINK("http://secrets.rutgers.edu:8080/data/asl-ftp/asllvd/demos/verify_start_end_handshape_annotations//test_auto_move//signs_mov_separ_signers/Liz_15377.mov","MOV")</f>
        <v>21</v>
      </c>
    </row>
    <row r="10863" s="2" customFormat="1" ht="13.5" customHeight="1">
      <c r="B10863" s="13"/>
      <c r="C10863" t="s" s="9">
        <v>23</v>
      </c>
      <c r="D10863" t="s" s="8">
        <v>4052</v>
      </c>
      <c r="E10863" t="s" s="9">
        <v>4053</v>
      </c>
      <c r="F10863" t="s" s="10">
        <v>255</v>
      </c>
      <c r="G10863" s="14"/>
      <c r="H10863" t="s" s="10">
        <v>255</v>
      </c>
      <c r="I10863" s="14"/>
      <c r="J10863" t="s" s="11">
        <v>20</v>
      </c>
      <c r="K10863" t="s" s="16">
        <f>HYPERLINK("http://csr.bu.edu/ftp/asl/asllvd/demos/verify_start_end_handshape_annotations//test_auto_move//signs_mov/4638_15374_15377_merged.mov","MOV")</f>
        <v>21</v>
      </c>
      <c r="L10863" t="s" s="16">
        <f>HYPERLINK("http://csr.bu.edu/ftp/asl/asllvd/demos/verify_start_end_handshape_annotations//test_auto_move//signs_mov_separ_signers/Tyler_4638.mov","MOV")</f>
        <v>21</v>
      </c>
      <c r="M10863" t="s" s="10">
        <v>92</v>
      </c>
      <c r="N10863" s="17">
        <v>37</v>
      </c>
      <c r="O10863" s="18">
        <v>3005</v>
      </c>
      <c r="P10863" s="18">
        <v>3050</v>
      </c>
      <c r="Q10863" t="s" s="16">
        <f>HYPERLINK("http://secrets.rutgers.edu:8080/data/asl-ftp/asllvd/demos/verify_start_end_handshape_annotations//test_auto_move//signs_mov/4638_15374_15377_merged.mov","MOV")</f>
        <v>21</v>
      </c>
      <c r="R10863" t="s" s="16">
        <f>HYPERLINK("http://secrets.rutgers.edu:8080/data/asl-ftp/asllvd/demos/verify_start_end_handshape_annotations//test_auto_move//signs_mov_separ_signers/Tyler_4638.mov","MOV")</f>
        <v>21</v>
      </c>
    </row>
    <row r="10864" s="2" customFormat="1" ht="13.5" customHeight="1">
      <c r="B10864" s="13"/>
      <c r="C10864" t="s" s="9">
        <v>27</v>
      </c>
      <c r="D10864" t="s" s="8">
        <v>4052</v>
      </c>
      <c r="E10864" t="s" s="9">
        <v>4054</v>
      </c>
      <c r="F10864" t="s" s="10">
        <v>255</v>
      </c>
      <c r="G10864" s="14"/>
      <c r="H10864" t="s" s="10">
        <v>255</v>
      </c>
      <c r="I10864" s="14"/>
      <c r="J10864" t="s" s="11">
        <v>20</v>
      </c>
      <c r="K10864" s="15"/>
      <c r="L10864" t="s" s="16">
        <f>HYPERLINK("http://csr.bu.edu/ftp/asl/asllvd/demos/verify_start_end_handshape_annotations//test_auto_move//signs_mov_separ_signers/Naomi_4638.mov","MOV")</f>
        <v>21</v>
      </c>
      <c r="M10864" t="s" s="10">
        <v>86</v>
      </c>
      <c r="N10864" s="17">
        <v>14</v>
      </c>
      <c r="O10864" s="18">
        <v>1691</v>
      </c>
      <c r="P10864" s="18">
        <v>1720</v>
      </c>
      <c r="Q10864" s="15"/>
      <c r="R10864" t="s" s="16">
        <f>HYPERLINK("http://secrets.rutgers.edu:8080/data/asl-ftp/asllvd/demos/verify_start_end_handshape_annotations//test_auto_move//signs_mov_separ_signers/Naomi_4638.mov","MOV")</f>
        <v>21</v>
      </c>
    </row>
    <row r="10865" s="2" customFormat="1" ht="13.5" customHeight="1">
      <c r="B10865" s="13"/>
      <c r="C10865" t="s" s="9">
        <v>27</v>
      </c>
      <c r="D10865" t="s" s="8">
        <v>4052</v>
      </c>
      <c r="E10865" t="s" s="9">
        <v>4053</v>
      </c>
      <c r="F10865" t="s" s="10">
        <v>255</v>
      </c>
      <c r="G10865" s="14"/>
      <c r="H10865" t="s" s="10">
        <v>255</v>
      </c>
      <c r="I10865" s="14"/>
      <c r="J10865" t="s" s="11">
        <v>20</v>
      </c>
      <c r="K10865" s="15"/>
      <c r="L10865" t="s" s="16">
        <f>HYPERLINK("http://csr.bu.edu/ftp/asl/asllvd/demos/verify_start_end_handshape_annotations//test_auto_move//signs_mov_separ_signers/Naomi_15374.mov","MOV")</f>
        <v>21</v>
      </c>
      <c r="M10865" t="s" s="10">
        <v>38</v>
      </c>
      <c r="N10865" s="17">
        <v>5</v>
      </c>
      <c r="O10865" s="18">
        <v>3317</v>
      </c>
      <c r="P10865" s="18">
        <v>3355</v>
      </c>
      <c r="Q10865" s="15"/>
      <c r="R10865" t="s" s="16">
        <f>HYPERLINK("http://secrets.rutgers.edu:8080/data/asl-ftp/asllvd/demos/verify_start_end_handshape_annotations//test_auto_move//signs_mov_separ_signers/Naomi_15374.mov","MOV")</f>
        <v>21</v>
      </c>
    </row>
    <row r="10866" s="2" customFormat="1" ht="13.5" customHeight="1">
      <c r="B10866" s="13"/>
      <c r="C10866" t="s" s="9">
        <v>30</v>
      </c>
      <c r="D10866" t="s" s="8">
        <v>4052</v>
      </c>
      <c r="E10866" t="s" s="9">
        <v>4053</v>
      </c>
      <c r="F10866" t="s" s="10">
        <v>255</v>
      </c>
      <c r="G10866" s="14"/>
      <c r="H10866" t="s" s="10">
        <v>255</v>
      </c>
      <c r="I10866" s="14"/>
      <c r="J10866" t="s" s="11">
        <v>20</v>
      </c>
      <c r="K10866" s="15"/>
      <c r="L10866" t="s" s="16">
        <f>HYPERLINK("http://csr.bu.edu/ftp/asl/asllvd/demos/verify_start_end_handshape_annotations//test_auto_move//signs_mov_separ_signers/Brady_4638.mov","MOV")</f>
        <v>21</v>
      </c>
      <c r="M10866" t="s" s="10">
        <v>31</v>
      </c>
      <c r="N10866" s="17">
        <v>32</v>
      </c>
      <c r="O10866" s="18">
        <v>15568</v>
      </c>
      <c r="P10866" s="18">
        <v>15600</v>
      </c>
      <c r="Q10866" s="15"/>
      <c r="R10866" t="s" s="16">
        <f>HYPERLINK("http://secrets.rutgers.edu:8080/data/asl-ftp/asllvd/demos/verify_start_end_handshape_annotations//test_auto_move//signs_mov_separ_signers/Brady_4638.mov","MOV")</f>
        <v>21</v>
      </c>
    </row>
    <row r="10867" s="2" customFormat="1" ht="13.5" customHeight="1">
      <c r="B10867" s="13"/>
      <c r="C10867" t="s" s="9">
        <v>30</v>
      </c>
      <c r="D10867" t="s" s="8">
        <v>4052</v>
      </c>
      <c r="E10867" t="s" s="9">
        <v>4054</v>
      </c>
      <c r="F10867" t="s" s="10">
        <v>255</v>
      </c>
      <c r="G10867" s="14"/>
      <c r="H10867" t="s" s="10">
        <v>255</v>
      </c>
      <c r="I10867" s="14"/>
      <c r="J10867" t="s" s="11">
        <v>20</v>
      </c>
      <c r="K10867" s="15"/>
      <c r="L10867" t="s" s="16">
        <f>HYPERLINK("http://csr.bu.edu/ftp/asl/asllvd/demos/verify_start_end_handshape_annotations//test_auto_move//signs_mov_separ_signers/Brady_15374.mov","MOV")</f>
        <v>21</v>
      </c>
      <c r="M10867" t="s" s="10">
        <v>60</v>
      </c>
      <c r="N10867" s="17">
        <v>8</v>
      </c>
      <c r="O10867" s="18">
        <v>1620</v>
      </c>
      <c r="P10867" s="18">
        <v>1660</v>
      </c>
      <c r="Q10867" s="15"/>
      <c r="R10867" t="s" s="16">
        <f>HYPERLINK("http://secrets.rutgers.edu:8080/data/asl-ftp/asllvd/demos/verify_start_end_handshape_annotations//test_auto_move//signs_mov_separ_signers/Brady_15374.mov","MOV")</f>
        <v>21</v>
      </c>
    </row>
    <row r="10868" s="2" customFormat="1" ht="13.5" customHeight="1">
      <c r="B10868" t="s" s="8">
        <v>4055</v>
      </c>
      <c r="C10868" t="s" s="9">
        <v>14</v>
      </c>
      <c r="D10868" t="s" s="8">
        <v>14</v>
      </c>
      <c r="E10868" t="s" s="9">
        <v>14</v>
      </c>
      <c r="F10868" t="s" s="10">
        <v>14</v>
      </c>
      <c r="G10868" t="s" s="11">
        <v>14</v>
      </c>
      <c r="H10868" t="s" s="10">
        <v>14</v>
      </c>
      <c r="I10868" t="s" s="11">
        <v>14</v>
      </c>
      <c r="J10868" t="s" s="11">
        <v>14</v>
      </c>
      <c r="K10868" t="s" s="12">
        <v>14</v>
      </c>
      <c r="L10868" t="s" s="12">
        <v>14</v>
      </c>
      <c r="M10868" t="s" s="10">
        <v>14</v>
      </c>
      <c r="N10868" t="s" s="11">
        <v>14</v>
      </c>
      <c r="O10868" t="s" s="8">
        <v>14</v>
      </c>
      <c r="P10868" t="s" s="8">
        <v>14</v>
      </c>
      <c r="Q10868" t="s" s="12">
        <v>14</v>
      </c>
      <c r="R10868" t="s" s="12">
        <v>14</v>
      </c>
    </row>
    <row r="10869" s="2" customFormat="1" ht="13.5" customHeight="1">
      <c r="B10869" s="13"/>
      <c r="C10869" t="s" s="9">
        <v>30</v>
      </c>
      <c r="D10869" t="s" s="8">
        <v>4055</v>
      </c>
      <c r="E10869" t="s" s="9">
        <v>4056</v>
      </c>
      <c r="F10869" t="s" s="10">
        <v>255</v>
      </c>
      <c r="G10869" s="14"/>
      <c r="H10869" t="s" s="10">
        <v>255</v>
      </c>
      <c r="I10869" s="14"/>
      <c r="J10869" t="s" s="11">
        <v>20</v>
      </c>
      <c r="K10869" t="s" s="16">
        <f>HYPERLINK("http://csr.bu.edu/ftp/asl/asllvd/demos/verify_start_end_handshape_annotations//test_auto_move//signs_mov/15378.mov","MOV")</f>
        <v>21</v>
      </c>
      <c r="L10869" t="s" s="16">
        <f>HYPERLINK("http://csr.bu.edu/ftp/asl/asllvd/demos/verify_start_end_handshape_annotations//test_auto_move//signs_mov_separ_signers/Brady_15378.mov","MOV")</f>
        <v>21</v>
      </c>
      <c r="M10869" t="s" s="10">
        <v>40</v>
      </c>
      <c r="N10869" s="17">
        <v>111</v>
      </c>
      <c r="O10869" s="18">
        <v>148</v>
      </c>
      <c r="P10869" s="18">
        <v>181</v>
      </c>
      <c r="Q10869" t="s" s="16">
        <f>HYPERLINK("http://secrets.rutgers.edu:8080/data/asl-ftp/asllvd/demos/verify_start_end_handshape_annotations//test_auto_move//signs_mov/15378.mov","MOV")</f>
        <v>21</v>
      </c>
      <c r="R10869" t="s" s="16">
        <f>HYPERLINK("http://secrets.rutgers.edu:8080/data/asl-ftp/asllvd/demos/verify_start_end_handshape_annotations//test_auto_move//signs_mov_separ_signers/Brady_15378.mov","MOV")</f>
        <v>21</v>
      </c>
    </row>
    <row r="10870" s="2" customFormat="1" ht="13.5" customHeight="1">
      <c r="B10870" t="s" s="8">
        <v>52</v>
      </c>
      <c r="C10870" t="s" s="9">
        <v>53</v>
      </c>
      <c r="D10870" t="s" s="8">
        <v>53</v>
      </c>
      <c r="E10870" t="s" s="9">
        <v>53</v>
      </c>
      <c r="F10870" t="s" s="10">
        <v>53</v>
      </c>
      <c r="G10870" t="s" s="11">
        <v>53</v>
      </c>
      <c r="H10870" t="s" s="10">
        <v>53</v>
      </c>
      <c r="I10870" t="s" s="11">
        <v>53</v>
      </c>
      <c r="J10870" t="s" s="11">
        <v>53</v>
      </c>
      <c r="K10870" t="s" s="12">
        <v>53</v>
      </c>
      <c r="L10870" t="s" s="12">
        <v>53</v>
      </c>
      <c r="M10870" t="s" s="10">
        <v>53</v>
      </c>
      <c r="N10870" t="s" s="11">
        <v>53</v>
      </c>
      <c r="O10870" t="s" s="8">
        <v>53</v>
      </c>
      <c r="P10870" t="s" s="8">
        <v>53</v>
      </c>
      <c r="Q10870" t="s" s="12">
        <v>53</v>
      </c>
      <c r="R10870" t="s" s="12">
        <v>53</v>
      </c>
    </row>
    <row r="10871" s="2" customFormat="1" ht="13.5" customHeight="1">
      <c r="B10871" s="13"/>
      <c r="C10871" t="s" s="9">
        <v>16</v>
      </c>
      <c r="D10871" t="s" s="8">
        <v>4055</v>
      </c>
      <c r="E10871" t="s" s="9">
        <v>4057</v>
      </c>
      <c r="F10871" t="s" s="10">
        <v>255</v>
      </c>
      <c r="G10871" s="14"/>
      <c r="H10871" t="s" s="10">
        <v>255</v>
      </c>
      <c r="I10871" s="14"/>
      <c r="J10871" t="s" s="11">
        <v>20</v>
      </c>
      <c r="K10871" t="s" s="16">
        <f>HYPERLINK("http://csr.bu.edu/ftp/asl/asllvd/demos/verify_start_end_handshape_annotations//test_auto_move//signs_mov/16487.mov","MOV")</f>
        <v>21</v>
      </c>
      <c r="L10871" t="s" s="16">
        <f>HYPERLINK("http://csr.bu.edu/ftp/asl/asllvd/demos/verify_start_end_handshape_annotations//test_auto_move//signs_mov_separ_signers/Liz_16487.mov","MOV")</f>
        <v>21</v>
      </c>
      <c r="M10871" t="s" s="10">
        <v>59</v>
      </c>
      <c r="N10871" s="17">
        <v>6</v>
      </c>
      <c r="O10871" s="18">
        <v>2640</v>
      </c>
      <c r="P10871" s="18">
        <v>2701</v>
      </c>
      <c r="Q10871" t="s" s="16">
        <f>HYPERLINK("http://secrets.rutgers.edu:8080/data/asl-ftp/asllvd/demos/verify_start_end_handshape_annotations//test_auto_move//signs_mov/16487.mov","MOV")</f>
        <v>21</v>
      </c>
      <c r="R10871" t="s" s="16">
        <f>HYPERLINK("http://secrets.rutgers.edu:8080/data/asl-ftp/asllvd/demos/verify_start_end_handshape_annotations//test_auto_move//signs_mov_separ_signers/Liz_16487.mov","MOV")</f>
        <v>21</v>
      </c>
    </row>
    <row r="10872" s="2" customFormat="1" ht="13.5" customHeight="1">
      <c r="B10872" t="s" s="8">
        <v>4058</v>
      </c>
      <c r="C10872" t="s" s="9">
        <v>14</v>
      </c>
      <c r="D10872" t="s" s="8">
        <v>14</v>
      </c>
      <c r="E10872" t="s" s="9">
        <v>14</v>
      </c>
      <c r="F10872" t="s" s="10">
        <v>14</v>
      </c>
      <c r="G10872" t="s" s="11">
        <v>14</v>
      </c>
      <c r="H10872" t="s" s="10">
        <v>14</v>
      </c>
      <c r="I10872" t="s" s="11">
        <v>14</v>
      </c>
      <c r="J10872" t="s" s="11">
        <v>14</v>
      </c>
      <c r="K10872" t="s" s="12">
        <v>14</v>
      </c>
      <c r="L10872" t="s" s="12">
        <v>14</v>
      </c>
      <c r="M10872" t="s" s="10">
        <v>14</v>
      </c>
      <c r="N10872" t="s" s="11">
        <v>14</v>
      </c>
      <c r="O10872" t="s" s="8">
        <v>14</v>
      </c>
      <c r="P10872" t="s" s="8">
        <v>14</v>
      </c>
      <c r="Q10872" t="s" s="12">
        <v>14</v>
      </c>
      <c r="R10872" t="s" s="12">
        <v>14</v>
      </c>
    </row>
    <row r="10873" s="2" customFormat="1" ht="13.5" customHeight="1">
      <c r="B10873" s="13"/>
      <c r="C10873" t="s" s="9">
        <v>16</v>
      </c>
      <c r="D10873" t="s" s="8">
        <v>4058</v>
      </c>
      <c r="E10873" t="s" s="9">
        <v>4058</v>
      </c>
      <c r="F10873" t="s" s="10">
        <v>187</v>
      </c>
      <c r="G10873" s="14"/>
      <c r="H10873" t="s" s="10">
        <v>68</v>
      </c>
      <c r="I10873" s="14"/>
      <c r="J10873" t="s" s="11">
        <v>20</v>
      </c>
      <c r="K10873" s="15"/>
      <c r="L10873" t="s" s="16">
        <f>HYPERLINK("http://csr.bu.edu/ftp/asl/asllvd/demos/verify_start_end_handshape_annotations//test_auto_move//signs_mov_separ_signers/Liz_4639.mov","MOV")</f>
        <v>21</v>
      </c>
      <c r="M10873" t="s" s="10">
        <v>36</v>
      </c>
      <c r="N10873" s="17">
        <v>46</v>
      </c>
      <c r="O10873" s="18">
        <v>690</v>
      </c>
      <c r="P10873" s="18">
        <v>763</v>
      </c>
      <c r="Q10873" s="15"/>
      <c r="R10873" t="s" s="16">
        <f>HYPERLINK("http://secrets.rutgers.edu:8080/data/asl-ftp/asllvd/demos/verify_start_end_handshape_annotations//test_auto_move//signs_mov_separ_signers/Liz_4639.mov","MOV")</f>
        <v>21</v>
      </c>
    </row>
    <row r="10874" s="2" customFormat="1" ht="13.5" customHeight="1">
      <c r="B10874" s="13"/>
      <c r="C10874" t="s" s="9">
        <v>16</v>
      </c>
      <c r="D10874" t="s" s="8">
        <v>4058</v>
      </c>
      <c r="E10874" t="s" s="9">
        <v>4058</v>
      </c>
      <c r="F10874" t="s" s="10">
        <v>72</v>
      </c>
      <c r="G10874" s="14"/>
      <c r="H10874" t="s" s="10">
        <v>68</v>
      </c>
      <c r="I10874" s="14"/>
      <c r="J10874" t="s" s="11">
        <v>20</v>
      </c>
      <c r="K10874" s="15"/>
      <c r="L10874" t="s" s="16">
        <f>HYPERLINK("http://csr.bu.edu/ftp/asl/asllvd/demos/verify_start_end_handshape_annotations//test_auto_move//signs_mov_separ_signers/Liz_15383.mov","MOV")</f>
        <v>21</v>
      </c>
      <c r="M10874" t="s" s="10">
        <v>59</v>
      </c>
      <c r="N10874" s="17">
        <v>22</v>
      </c>
      <c r="O10874" s="18">
        <v>2250</v>
      </c>
      <c r="P10874" s="18">
        <v>2312</v>
      </c>
      <c r="Q10874" s="15"/>
      <c r="R10874" t="s" s="16">
        <f>HYPERLINK("http://secrets.rutgers.edu:8080/data/asl-ftp/asllvd/demos/verify_start_end_handshape_annotations//test_auto_move//signs_mov_separ_signers/Liz_15383.mov","MOV")</f>
        <v>21</v>
      </c>
    </row>
    <row r="10875" s="2" customFormat="1" ht="13.5" customHeight="1">
      <c r="B10875" s="13"/>
      <c r="C10875" t="s" s="9">
        <v>16</v>
      </c>
      <c r="D10875" t="s" s="8">
        <v>4058</v>
      </c>
      <c r="E10875" t="s" s="9">
        <v>4058</v>
      </c>
      <c r="F10875" t="s" s="10">
        <v>72</v>
      </c>
      <c r="G10875" s="14"/>
      <c r="H10875" t="s" s="10">
        <v>68</v>
      </c>
      <c r="I10875" s="14"/>
      <c r="J10875" t="s" s="11">
        <v>20</v>
      </c>
      <c r="K10875" t="s" s="16">
        <f>HYPERLINK("http://csr.bu.edu/ftp/asl/asllvd/demos/verify_start_end_handshape_annotations//test_auto_move//signs_mov/4639_15383_15384_merged.mov","MOV")</f>
        <v>21</v>
      </c>
      <c r="L10875" t="s" s="16">
        <f>HYPERLINK("http://csr.bu.edu/ftp/asl/asllvd/demos/verify_start_end_handshape_annotations//test_auto_move//signs_mov_separ_signers/Liz_15384.mov","MOV")</f>
        <v>21</v>
      </c>
      <c r="M10875" t="s" s="10">
        <v>77</v>
      </c>
      <c r="N10875" s="17">
        <v>26</v>
      </c>
      <c r="O10875" s="18">
        <v>140</v>
      </c>
      <c r="P10875" s="18">
        <v>245</v>
      </c>
      <c r="Q10875" t="s" s="16">
        <f>HYPERLINK("http://secrets.rutgers.edu:8080/data/asl-ftp/asllvd/demos/verify_start_end_handshape_annotations//test_auto_move//signs_mov/4639_15383_15384_merged.mov","MOV")</f>
        <v>21</v>
      </c>
      <c r="R10875" t="s" s="16">
        <f>HYPERLINK("http://secrets.rutgers.edu:8080/data/asl-ftp/asllvd/demos/verify_start_end_handshape_annotations//test_auto_move//signs_mov_separ_signers/Liz_15384.mov","MOV")</f>
        <v>21</v>
      </c>
    </row>
    <row r="10876" s="2" customFormat="1" ht="13.5" customHeight="1">
      <c r="B10876" s="13"/>
      <c r="C10876" t="s" s="9">
        <v>30</v>
      </c>
      <c r="D10876" t="s" s="8">
        <v>4058</v>
      </c>
      <c r="E10876" t="s" s="9">
        <v>4058</v>
      </c>
      <c r="F10876" t="s" s="10">
        <v>72</v>
      </c>
      <c r="G10876" s="14"/>
      <c r="H10876" t="s" s="10">
        <v>68</v>
      </c>
      <c r="I10876" s="14"/>
      <c r="J10876" t="s" s="11">
        <v>20</v>
      </c>
      <c r="K10876" s="15"/>
      <c r="L10876" t="s" s="16">
        <f>HYPERLINK("http://csr.bu.edu/ftp/asl/asllvd/demos/verify_start_end_handshape_annotations//test_auto_move//signs_mov_separ_signers/Brady_4639.mov","MOV")</f>
        <v>21</v>
      </c>
      <c r="M10876" t="s" s="10">
        <v>31</v>
      </c>
      <c r="N10876" s="17">
        <v>27</v>
      </c>
      <c r="O10876" s="18">
        <v>4416</v>
      </c>
      <c r="P10876" s="18">
        <v>4456</v>
      </c>
      <c r="Q10876" s="15"/>
      <c r="R10876" t="s" s="16">
        <f>HYPERLINK("http://secrets.rutgers.edu:8080/data/asl-ftp/asllvd/demos/verify_start_end_handshape_annotations//test_auto_move//signs_mov_separ_signers/Brady_4639.mov","MOV")</f>
        <v>21</v>
      </c>
    </row>
    <row r="10877" s="2" customFormat="1" ht="13.5" customHeight="1">
      <c r="B10877" s="13"/>
      <c r="C10877" t="s" s="9">
        <v>30</v>
      </c>
      <c r="D10877" t="s" s="8">
        <v>4058</v>
      </c>
      <c r="E10877" t="s" s="9">
        <v>4058</v>
      </c>
      <c r="F10877" t="s" s="10">
        <v>75</v>
      </c>
      <c r="G10877" s="14"/>
      <c r="H10877" t="s" s="10">
        <v>68</v>
      </c>
      <c r="I10877" s="14"/>
      <c r="J10877" t="s" s="11">
        <v>20</v>
      </c>
      <c r="K10877" s="15"/>
      <c r="L10877" t="s" s="16">
        <f>HYPERLINK("http://csr.bu.edu/ftp/asl/asllvd/demos/verify_start_end_handshape_annotations//test_auto_move//signs_mov_separ_signers/Brady_15383.mov","MOV")</f>
        <v>21</v>
      </c>
      <c r="M10877" t="s" s="10">
        <v>40</v>
      </c>
      <c r="N10877" s="17">
        <v>98</v>
      </c>
      <c r="O10877" s="18">
        <v>2323</v>
      </c>
      <c r="P10877" s="18">
        <v>2353</v>
      </c>
      <c r="Q10877" s="15"/>
      <c r="R10877" t="s" s="16">
        <f>HYPERLINK("http://secrets.rutgers.edu:8080/data/asl-ftp/asllvd/demos/verify_start_end_handshape_annotations//test_auto_move//signs_mov_separ_signers/Brady_15383.mov","MOV")</f>
        <v>21</v>
      </c>
    </row>
    <row r="10878" s="2" customFormat="1" ht="13.5" customHeight="1">
      <c r="B10878" s="13"/>
      <c r="C10878" t="s" s="9">
        <v>30</v>
      </c>
      <c r="D10878" t="s" s="8">
        <v>4058</v>
      </c>
      <c r="E10878" t="s" s="9">
        <v>4058</v>
      </c>
      <c r="F10878" t="s" s="10">
        <v>187</v>
      </c>
      <c r="G10878" s="14"/>
      <c r="H10878" t="s" s="10">
        <v>68</v>
      </c>
      <c r="I10878" s="14"/>
      <c r="J10878" t="s" s="11">
        <v>20</v>
      </c>
      <c r="K10878" s="15"/>
      <c r="L10878" t="s" s="16">
        <f>HYPERLINK("http://csr.bu.edu/ftp/asl/asllvd/demos/verify_start_end_handshape_annotations//test_auto_move//signs_mov_separ_signers/Brady_15384.mov","MOV")</f>
        <v>21</v>
      </c>
      <c r="M10878" t="s" s="10">
        <v>60</v>
      </c>
      <c r="N10878" s="17">
        <v>54</v>
      </c>
      <c r="O10878" s="18">
        <v>942</v>
      </c>
      <c r="P10878" s="18">
        <v>991</v>
      </c>
      <c r="Q10878" s="15"/>
      <c r="R10878" t="s" s="16">
        <f>HYPERLINK("http://secrets.rutgers.edu:8080/data/asl-ftp/asllvd/demos/verify_start_end_handshape_annotations//test_auto_move//signs_mov_separ_signers/Brady_15384.mov","MOV")</f>
        <v>21</v>
      </c>
    </row>
    <row r="10879" s="2" customFormat="1" ht="13.5" customHeight="1">
      <c r="B10879" t="s" s="8">
        <v>4059</v>
      </c>
      <c r="C10879" t="s" s="9">
        <v>14</v>
      </c>
      <c r="D10879" t="s" s="8">
        <v>14</v>
      </c>
      <c r="E10879" t="s" s="9">
        <v>14</v>
      </c>
      <c r="F10879" t="s" s="10">
        <v>14</v>
      </c>
      <c r="G10879" t="s" s="11">
        <v>14</v>
      </c>
      <c r="H10879" t="s" s="10">
        <v>14</v>
      </c>
      <c r="I10879" t="s" s="11">
        <v>14</v>
      </c>
      <c r="J10879" t="s" s="11">
        <v>14</v>
      </c>
      <c r="K10879" t="s" s="12">
        <v>14</v>
      </c>
      <c r="L10879" t="s" s="12">
        <v>14</v>
      </c>
      <c r="M10879" t="s" s="10">
        <v>14</v>
      </c>
      <c r="N10879" t="s" s="11">
        <v>14</v>
      </c>
      <c r="O10879" t="s" s="8">
        <v>14</v>
      </c>
      <c r="P10879" t="s" s="8">
        <v>14</v>
      </c>
      <c r="Q10879" t="s" s="12">
        <v>14</v>
      </c>
      <c r="R10879" t="s" s="12">
        <v>14</v>
      </c>
    </row>
    <row r="10880" s="2" customFormat="1" ht="13.5" customHeight="1">
      <c r="B10880" s="13"/>
      <c r="C10880" t="s" s="9">
        <v>30</v>
      </c>
      <c r="D10880" t="s" s="8">
        <v>4059</v>
      </c>
      <c r="E10880" t="s" s="9">
        <v>4059</v>
      </c>
      <c r="F10880" t="s" s="10">
        <v>72</v>
      </c>
      <c r="G10880" s="14"/>
      <c r="H10880" t="s" s="10">
        <v>68</v>
      </c>
      <c r="I10880" s="14"/>
      <c r="J10880" t="s" s="11">
        <v>20</v>
      </c>
      <c r="K10880" t="s" s="16">
        <f>HYPERLINK("http://csr.bu.edu/ftp/asl/asllvd/demos/verify_start_end_handshape_annotations//test_auto_move//signs_mov/4743.mov","MOV")</f>
        <v>21</v>
      </c>
      <c r="L10880" t="s" s="16">
        <f>HYPERLINK("http://csr.bu.edu/ftp/asl/asllvd/demos/verify_start_end_handshape_annotations//test_auto_move//signs_mov_separ_signers/Brady_4743.mov","MOV")</f>
        <v>21</v>
      </c>
      <c r="M10880" t="s" s="10">
        <v>60</v>
      </c>
      <c r="N10880" s="17">
        <v>10</v>
      </c>
      <c r="O10880" s="18">
        <v>1964</v>
      </c>
      <c r="P10880" s="18">
        <v>2001</v>
      </c>
      <c r="Q10880" t="s" s="16">
        <f>HYPERLINK("http://secrets.rutgers.edu:8080/data/asl-ftp/asllvd/demos/verify_start_end_handshape_annotations//test_auto_move//signs_mov/4743.mov","MOV")</f>
        <v>21</v>
      </c>
      <c r="R10880" t="s" s="16">
        <f>HYPERLINK("http://secrets.rutgers.edu:8080/data/asl-ftp/asllvd/demos/verify_start_end_handshape_annotations//test_auto_move//signs_mov_separ_signers/Brady_4743.mov","MOV")</f>
        <v>21</v>
      </c>
    </row>
    <row r="10881" s="2" customFormat="1" ht="13.5" customHeight="1">
      <c r="B10881" t="s" s="8">
        <v>4060</v>
      </c>
      <c r="C10881" t="s" s="9">
        <v>14</v>
      </c>
      <c r="D10881" t="s" s="8">
        <v>14</v>
      </c>
      <c r="E10881" t="s" s="9">
        <v>14</v>
      </c>
      <c r="F10881" t="s" s="10">
        <v>14</v>
      </c>
      <c r="G10881" t="s" s="11">
        <v>14</v>
      </c>
      <c r="H10881" t="s" s="10">
        <v>14</v>
      </c>
      <c r="I10881" t="s" s="11">
        <v>14</v>
      </c>
      <c r="J10881" t="s" s="11">
        <v>14</v>
      </c>
      <c r="K10881" t="s" s="12">
        <v>14</v>
      </c>
      <c r="L10881" t="s" s="12">
        <v>14</v>
      </c>
      <c r="M10881" t="s" s="10">
        <v>14</v>
      </c>
      <c r="N10881" t="s" s="11">
        <v>14</v>
      </c>
      <c r="O10881" t="s" s="8">
        <v>14</v>
      </c>
      <c r="P10881" t="s" s="8">
        <v>14</v>
      </c>
      <c r="Q10881" t="s" s="12">
        <v>14</v>
      </c>
      <c r="R10881" t="s" s="12">
        <v>14</v>
      </c>
    </row>
    <row r="10882" s="2" customFormat="1" ht="13.5" customHeight="1">
      <c r="B10882" s="13"/>
      <c r="C10882" t="s" s="9">
        <v>16</v>
      </c>
      <c r="D10882" t="s" s="8">
        <v>4060</v>
      </c>
      <c r="E10882" t="s" s="9">
        <v>4060</v>
      </c>
      <c r="F10882" s="19">
        <v>5</v>
      </c>
      <c r="G10882" s="17">
        <v>5</v>
      </c>
      <c r="H10882" s="19">
        <v>5</v>
      </c>
      <c r="I10882" s="17">
        <v>5</v>
      </c>
      <c r="J10882" t="s" s="11">
        <v>20</v>
      </c>
      <c r="K10882" s="15"/>
      <c r="L10882" t="s" s="16">
        <f>HYPERLINK("http://csr.bu.edu/ftp/asl/asllvd/demos/verify_start_end_handshape_annotations//test_auto_move//signs_mov_separ_signers/Liz_4654.mov","MOV")</f>
        <v>21</v>
      </c>
      <c r="M10882" t="s" s="10">
        <v>84</v>
      </c>
      <c r="N10882" s="17">
        <v>45</v>
      </c>
      <c r="O10882" s="18">
        <v>1346</v>
      </c>
      <c r="P10882" s="18">
        <v>1400</v>
      </c>
      <c r="Q10882" s="15"/>
      <c r="R10882" t="s" s="16">
        <f>HYPERLINK("http://secrets.rutgers.edu:8080/data/asl-ftp/asllvd/demos/verify_start_end_handshape_annotations//test_auto_move//signs_mov_separ_signers/Liz_4654.mov","MOV")</f>
        <v>21</v>
      </c>
    </row>
    <row r="10883" s="2" customFormat="1" ht="13.5" customHeight="1">
      <c r="B10883" s="13"/>
      <c r="C10883" t="s" s="9">
        <v>16</v>
      </c>
      <c r="D10883" t="s" s="8">
        <v>4060</v>
      </c>
      <c r="E10883" t="s" s="9">
        <v>4060</v>
      </c>
      <c r="F10883" s="19">
        <v>5</v>
      </c>
      <c r="G10883" s="17">
        <v>5</v>
      </c>
      <c r="H10883" s="19">
        <v>5</v>
      </c>
      <c r="I10883" s="17">
        <v>5</v>
      </c>
      <c r="J10883" t="s" s="11">
        <v>20</v>
      </c>
      <c r="K10883" s="15"/>
      <c r="L10883" t="s" s="16">
        <f>HYPERLINK("http://csr.bu.edu/ftp/asl/asllvd/demos/verify_start_end_handshape_annotations//test_auto_move//signs_mov_separ_signers/Liz_15429.mov","MOV")</f>
        <v>21</v>
      </c>
      <c r="M10883" t="s" s="10">
        <v>34</v>
      </c>
      <c r="N10883" s="17">
        <v>56</v>
      </c>
      <c r="O10883" s="18">
        <v>3677</v>
      </c>
      <c r="P10883" s="18">
        <v>3725</v>
      </c>
      <c r="Q10883" s="15"/>
      <c r="R10883" t="s" s="16">
        <f>HYPERLINK("http://secrets.rutgers.edu:8080/data/asl-ftp/asllvd/demos/verify_start_end_handshape_annotations//test_auto_move//signs_mov_separ_signers/Liz_15429.mov","MOV")</f>
        <v>21</v>
      </c>
    </row>
    <row r="10884" s="2" customFormat="1" ht="13.5" customHeight="1">
      <c r="B10884" s="13"/>
      <c r="C10884" t="s" s="9">
        <v>23</v>
      </c>
      <c r="D10884" t="s" s="8">
        <v>4060</v>
      </c>
      <c r="E10884" t="s" s="9">
        <v>4060</v>
      </c>
      <c r="F10884" s="19">
        <v>5</v>
      </c>
      <c r="G10884" s="17">
        <v>5</v>
      </c>
      <c r="H10884" s="19">
        <v>5</v>
      </c>
      <c r="I10884" s="17">
        <v>5</v>
      </c>
      <c r="J10884" t="s" s="11">
        <v>20</v>
      </c>
      <c r="K10884" s="15"/>
      <c r="L10884" t="s" s="16">
        <f>HYPERLINK("http://csr.bu.edu/ftp/asl/asllvd/demos/verify_start_end_handshape_annotations//test_auto_move//signs_mov_separ_signers/Tyler_4654.mov","MOV")</f>
        <v>21</v>
      </c>
      <c r="M10884" t="s" s="10">
        <v>47</v>
      </c>
      <c r="N10884" s="17">
        <v>8</v>
      </c>
      <c r="O10884" s="18">
        <v>2563</v>
      </c>
      <c r="P10884" s="18">
        <v>2602</v>
      </c>
      <c r="Q10884" s="15"/>
      <c r="R10884" t="s" s="16">
        <f>HYPERLINK("http://secrets.rutgers.edu:8080/data/asl-ftp/asllvd/demos/verify_start_end_handshape_annotations//test_auto_move//signs_mov_separ_signers/Tyler_4654.mov","MOV")</f>
        <v>21</v>
      </c>
    </row>
    <row r="10885" s="2" customFormat="1" ht="13.5" customHeight="1">
      <c r="B10885" s="13"/>
      <c r="C10885" t="s" s="9">
        <v>27</v>
      </c>
      <c r="D10885" t="s" s="8">
        <v>4060</v>
      </c>
      <c r="E10885" t="s" s="9">
        <v>4060</v>
      </c>
      <c r="F10885" s="19">
        <v>5</v>
      </c>
      <c r="G10885" s="17">
        <v>5</v>
      </c>
      <c r="H10885" s="19">
        <v>5</v>
      </c>
      <c r="I10885" s="17">
        <v>5</v>
      </c>
      <c r="J10885" t="s" s="11">
        <v>20</v>
      </c>
      <c r="K10885" t="s" s="16">
        <f>HYPERLINK("http://csr.bu.edu/ftp/asl/asllvd/demos/verify_start_end_handshape_annotations//test_auto_move//signs_mov/4654_15429_merged.mov","MOV")</f>
        <v>21</v>
      </c>
      <c r="L10885" t="s" s="16">
        <f>HYPERLINK("http://csr.bu.edu/ftp/asl/asllvd/demos/verify_start_end_handshape_annotations//test_auto_move//signs_mov_separ_signers/Naomi_4654.mov","MOV")</f>
        <v>21</v>
      </c>
      <c r="M10885" t="s" s="10">
        <v>86</v>
      </c>
      <c r="N10885" s="17">
        <v>45</v>
      </c>
      <c r="O10885" s="18">
        <v>1575</v>
      </c>
      <c r="P10885" s="18">
        <v>1605</v>
      </c>
      <c r="Q10885" t="s" s="16">
        <f>HYPERLINK("http://secrets.rutgers.edu:8080/data/asl-ftp/asllvd/demos/verify_start_end_handshape_annotations//test_auto_move//signs_mov/4654_15429_merged.mov","MOV")</f>
        <v>21</v>
      </c>
      <c r="R10885" t="s" s="16">
        <f>HYPERLINK("http://secrets.rutgers.edu:8080/data/asl-ftp/asllvd/demos/verify_start_end_handshape_annotations//test_auto_move//signs_mov_separ_signers/Naomi_4654.mov","MOV")</f>
        <v>21</v>
      </c>
    </row>
    <row r="10886" s="2" customFormat="1" ht="13.5" customHeight="1">
      <c r="B10886" s="13"/>
      <c r="C10886" t="s" s="9">
        <v>27</v>
      </c>
      <c r="D10886" t="s" s="8">
        <v>4060</v>
      </c>
      <c r="E10886" t="s" s="9">
        <v>4060</v>
      </c>
      <c r="F10886" s="19">
        <v>5</v>
      </c>
      <c r="G10886" s="17">
        <v>5</v>
      </c>
      <c r="H10886" s="19">
        <v>5</v>
      </c>
      <c r="I10886" s="17">
        <v>5</v>
      </c>
      <c r="J10886" t="s" s="11">
        <v>20</v>
      </c>
      <c r="K10886" s="15"/>
      <c r="L10886" t="s" s="16">
        <f>HYPERLINK("http://csr.bu.edu/ftp/asl/asllvd/demos/verify_start_end_handshape_annotations//test_auto_move//signs_mov_separ_signers/Naomi_15429.mov","MOV")</f>
        <v>21</v>
      </c>
      <c r="M10886" t="s" s="10">
        <v>48</v>
      </c>
      <c r="N10886" s="17">
        <v>11</v>
      </c>
      <c r="O10886" s="18">
        <v>4226</v>
      </c>
      <c r="P10886" s="18">
        <v>4256</v>
      </c>
      <c r="Q10886" s="15"/>
      <c r="R10886" t="s" s="16">
        <f>HYPERLINK("http://secrets.rutgers.edu:8080/data/asl-ftp/asllvd/demos/verify_start_end_handshape_annotations//test_auto_move//signs_mov_separ_signers/Naomi_15429.mov","MOV")</f>
        <v>21</v>
      </c>
    </row>
    <row r="10887" s="2" customFormat="1" ht="13.5" customHeight="1">
      <c r="B10887" s="13"/>
      <c r="C10887" t="s" s="9">
        <v>30</v>
      </c>
      <c r="D10887" t="s" s="8">
        <v>4060</v>
      </c>
      <c r="E10887" t="s" s="9">
        <v>4060</v>
      </c>
      <c r="F10887" s="19">
        <v>5</v>
      </c>
      <c r="G10887" s="17">
        <v>5</v>
      </c>
      <c r="H10887" s="19">
        <v>5</v>
      </c>
      <c r="I10887" s="17">
        <v>5</v>
      </c>
      <c r="J10887" t="s" s="11">
        <v>20</v>
      </c>
      <c r="K10887" s="15"/>
      <c r="L10887" t="s" s="16">
        <f>HYPERLINK("http://csr.bu.edu/ftp/asl/asllvd/demos/verify_start_end_handshape_annotations//test_auto_move//signs_mov_separ_signers/Brady_4654.mov","MOV")</f>
        <v>21</v>
      </c>
      <c r="M10887" t="s" s="10">
        <v>39</v>
      </c>
      <c r="N10887" s="17">
        <v>20</v>
      </c>
      <c r="O10887" s="18">
        <v>3734</v>
      </c>
      <c r="P10887" s="18">
        <v>3764</v>
      </c>
      <c r="Q10887" s="15"/>
      <c r="R10887" t="s" s="16">
        <f>HYPERLINK("http://secrets.rutgers.edu:8080/data/asl-ftp/asllvd/demos/verify_start_end_handshape_annotations//test_auto_move//signs_mov_separ_signers/Brady_4654.mov","MOV")</f>
        <v>21</v>
      </c>
    </row>
    <row r="10888" s="2" customFormat="1" ht="13.5" customHeight="1">
      <c r="B10888" s="13"/>
      <c r="C10888" t="s" s="9">
        <v>30</v>
      </c>
      <c r="D10888" t="s" s="8">
        <v>4060</v>
      </c>
      <c r="E10888" t="s" s="9">
        <v>4060</v>
      </c>
      <c r="F10888" s="19">
        <v>5</v>
      </c>
      <c r="G10888" s="17">
        <v>5</v>
      </c>
      <c r="H10888" s="19">
        <v>5</v>
      </c>
      <c r="I10888" s="17">
        <v>5</v>
      </c>
      <c r="J10888" t="s" s="11">
        <v>20</v>
      </c>
      <c r="K10888" s="15"/>
      <c r="L10888" t="s" s="16">
        <f>HYPERLINK("http://csr.bu.edu/ftp/asl/asllvd/demos/verify_start_end_handshape_annotations//test_auto_move//signs_mov_separ_signers/Brady_15429.mov","MOV")</f>
        <v>21</v>
      </c>
      <c r="M10888" t="s" s="10">
        <v>39</v>
      </c>
      <c r="N10888" s="17">
        <v>53</v>
      </c>
      <c r="O10888" s="18">
        <v>4700</v>
      </c>
      <c r="P10888" s="18">
        <v>4736</v>
      </c>
      <c r="Q10888" s="15"/>
      <c r="R10888" t="s" s="16">
        <f>HYPERLINK("http://secrets.rutgers.edu:8080/data/asl-ftp/asllvd/demos/verify_start_end_handshape_annotations//test_auto_move//signs_mov_separ_signers/Brady_15429.mov","MOV")</f>
        <v>21</v>
      </c>
    </row>
    <row r="10889" s="2" customFormat="1" ht="13.5" customHeight="1">
      <c r="B10889" t="s" s="8">
        <v>4061</v>
      </c>
      <c r="C10889" t="s" s="9">
        <v>14</v>
      </c>
      <c r="D10889" t="s" s="8">
        <v>14</v>
      </c>
      <c r="E10889" t="s" s="9">
        <v>14</v>
      </c>
      <c r="F10889" t="s" s="10">
        <v>14</v>
      </c>
      <c r="G10889" t="s" s="11">
        <v>14</v>
      </c>
      <c r="H10889" t="s" s="10">
        <v>14</v>
      </c>
      <c r="I10889" t="s" s="11">
        <v>14</v>
      </c>
      <c r="J10889" t="s" s="11">
        <v>14</v>
      </c>
      <c r="K10889" t="s" s="12">
        <v>14</v>
      </c>
      <c r="L10889" t="s" s="12">
        <v>14</v>
      </c>
      <c r="M10889" t="s" s="10">
        <v>14</v>
      </c>
      <c r="N10889" t="s" s="11">
        <v>14</v>
      </c>
      <c r="O10889" t="s" s="8">
        <v>14</v>
      </c>
      <c r="P10889" t="s" s="8">
        <v>14</v>
      </c>
      <c r="Q10889" t="s" s="12">
        <v>14</v>
      </c>
      <c r="R10889" t="s" s="12">
        <v>14</v>
      </c>
    </row>
    <row r="10890" s="2" customFormat="1" ht="13.5" customHeight="1">
      <c r="B10890" s="13"/>
      <c r="C10890" t="s" s="9">
        <v>16</v>
      </c>
      <c r="D10890" t="s" s="8">
        <v>4061</v>
      </c>
      <c r="E10890" t="s" s="9">
        <v>4061</v>
      </c>
      <c r="F10890" s="19">
        <v>5</v>
      </c>
      <c r="G10890" s="17">
        <v>5</v>
      </c>
      <c r="H10890" s="19">
        <v>5</v>
      </c>
      <c r="I10890" s="17">
        <v>5</v>
      </c>
      <c r="J10890" t="s" s="11">
        <v>20</v>
      </c>
      <c r="K10890" t="s" s="16">
        <f>HYPERLINK("http://csr.bu.edu/ftp/asl/asllvd/demos/verify_start_end_handshape_annotations//test_auto_move//signs_mov/15948.mov","MOV")</f>
        <v>21</v>
      </c>
      <c r="L10890" t="s" s="16">
        <f>HYPERLINK("http://csr.bu.edu/ftp/asl/asllvd/demos/verify_start_end_handshape_annotations//test_auto_move//signs_mov_separ_signers/Liz_15948.mov","MOV")</f>
        <v>21</v>
      </c>
      <c r="M10890" t="s" s="10">
        <v>59</v>
      </c>
      <c r="N10890" s="17">
        <v>38</v>
      </c>
      <c r="O10890" s="18">
        <v>336</v>
      </c>
      <c r="P10890" s="18">
        <v>385</v>
      </c>
      <c r="Q10890" t="s" s="16">
        <f>HYPERLINK("http://secrets.rutgers.edu:8080/data/asl-ftp/asllvd/demos/verify_start_end_handshape_annotations//test_auto_move//signs_mov/15948.mov","MOV")</f>
        <v>21</v>
      </c>
      <c r="R10890" t="s" s="16">
        <f>HYPERLINK("http://secrets.rutgers.edu:8080/data/asl-ftp/asllvd/demos/verify_start_end_handshape_annotations//test_auto_move//signs_mov_separ_signers/Liz_15948.mov","MOV")</f>
        <v>21</v>
      </c>
    </row>
    <row r="10891" s="2" customFormat="1" ht="13.5" customHeight="1">
      <c r="B10891" s="13"/>
      <c r="C10891" t="s" s="9">
        <v>30</v>
      </c>
      <c r="D10891" t="s" s="8">
        <v>4061</v>
      </c>
      <c r="E10891" t="s" s="9">
        <v>4061</v>
      </c>
      <c r="F10891" s="19">
        <v>5</v>
      </c>
      <c r="G10891" s="17">
        <v>5</v>
      </c>
      <c r="H10891" s="19">
        <v>5</v>
      </c>
      <c r="I10891" s="17">
        <v>5</v>
      </c>
      <c r="J10891" t="s" s="11">
        <v>20</v>
      </c>
      <c r="K10891" s="15"/>
      <c r="L10891" t="s" s="16">
        <f>HYPERLINK("http://csr.bu.edu/ftp/asl/asllvd/demos/verify_start_end_handshape_annotations//test_auto_move//signs_mov_separ_signers/Brady_15948.mov","MOV")</f>
        <v>21</v>
      </c>
      <c r="M10891" t="s" s="10">
        <v>60</v>
      </c>
      <c r="N10891" s="17">
        <v>26</v>
      </c>
      <c r="O10891" s="18">
        <v>1590</v>
      </c>
      <c r="P10891" s="18">
        <v>1631</v>
      </c>
      <c r="Q10891" s="15"/>
      <c r="R10891" t="s" s="16">
        <f>HYPERLINK("http://secrets.rutgers.edu:8080/data/asl-ftp/asllvd/demos/verify_start_end_handshape_annotations//test_auto_move//signs_mov_separ_signers/Brady_15948.mov","MOV")</f>
        <v>21</v>
      </c>
    </row>
    <row r="10892" s="2" customFormat="1" ht="13.5" customHeight="1">
      <c r="B10892" t="s" s="8">
        <v>4062</v>
      </c>
      <c r="C10892" t="s" s="9">
        <v>14</v>
      </c>
      <c r="D10892" t="s" s="8">
        <v>14</v>
      </c>
      <c r="E10892" t="s" s="9">
        <v>14</v>
      </c>
      <c r="F10892" t="s" s="10">
        <v>14</v>
      </c>
      <c r="G10892" t="s" s="11">
        <v>14</v>
      </c>
      <c r="H10892" t="s" s="10">
        <v>14</v>
      </c>
      <c r="I10892" t="s" s="11">
        <v>14</v>
      </c>
      <c r="J10892" t="s" s="11">
        <v>14</v>
      </c>
      <c r="K10892" t="s" s="12">
        <v>14</v>
      </c>
      <c r="L10892" t="s" s="12">
        <v>14</v>
      </c>
      <c r="M10892" t="s" s="10">
        <v>14</v>
      </c>
      <c r="N10892" t="s" s="11">
        <v>14</v>
      </c>
      <c r="O10892" t="s" s="8">
        <v>14</v>
      </c>
      <c r="P10892" t="s" s="8">
        <v>14</v>
      </c>
      <c r="Q10892" t="s" s="12">
        <v>14</v>
      </c>
      <c r="R10892" t="s" s="12">
        <v>14</v>
      </c>
    </row>
    <row r="10893" s="2" customFormat="1" ht="13.5" customHeight="1">
      <c r="B10893" s="13"/>
      <c r="C10893" t="s" s="9">
        <v>41</v>
      </c>
      <c r="D10893" t="s" s="8">
        <v>4062</v>
      </c>
      <c r="E10893" t="s" s="9">
        <v>4062</v>
      </c>
      <c r="F10893" t="s" s="10">
        <v>73</v>
      </c>
      <c r="G10893" t="s" s="11">
        <v>73</v>
      </c>
      <c r="H10893" t="s" s="10">
        <v>73</v>
      </c>
      <c r="I10893" t="s" s="11">
        <v>73</v>
      </c>
      <c r="J10893" t="s" s="11">
        <v>20</v>
      </c>
      <c r="K10893" t="s" s="16">
        <f>HYPERLINK("http://csr.bu.edu/ftp/asl/asllvd/demos/verify_start_end_handshape_annotations//test_auto_move//signs_mov/4665.mov","MOV")</f>
        <v>21</v>
      </c>
      <c r="L10893" t="s" s="16">
        <f>HYPERLINK("http://csr.bu.edu/ftp/asl/asllvd/demos/verify_start_end_handshape_annotations//test_auto_move//signs_mov_separ_signers/Lana_4665.mov","MOV")</f>
        <v>21</v>
      </c>
      <c r="M10893" t="s" s="10">
        <v>42</v>
      </c>
      <c r="N10893" s="17">
        <v>6</v>
      </c>
      <c r="O10893" s="18">
        <v>764</v>
      </c>
      <c r="P10893" s="18">
        <v>791</v>
      </c>
      <c r="Q10893" t="s" s="16">
        <f>HYPERLINK("http://secrets.rutgers.edu:8080/data/asl-ftp/asllvd/demos/verify_start_end_handshape_annotations//test_auto_move//signs_mov/4665.mov","MOV")</f>
        <v>21</v>
      </c>
      <c r="R10893" t="s" s="16">
        <f>HYPERLINK("http://secrets.rutgers.edu:8080/data/asl-ftp/asllvd/demos/verify_start_end_handshape_annotations//test_auto_move//signs_mov_separ_signers/Lana_4665.mov","MOV")</f>
        <v>21</v>
      </c>
    </row>
    <row r="10894" s="2" customFormat="1" ht="13.5" customHeight="1">
      <c r="B10894" s="13"/>
      <c r="C10894" t="s" s="9">
        <v>43</v>
      </c>
      <c r="D10894" t="s" s="8">
        <v>4062</v>
      </c>
      <c r="E10894" t="s" s="9">
        <v>4062</v>
      </c>
      <c r="F10894" t="s" s="10">
        <v>73</v>
      </c>
      <c r="G10894" t="s" s="11">
        <v>73</v>
      </c>
      <c r="H10894" t="s" s="10">
        <v>73</v>
      </c>
      <c r="I10894" t="s" s="11">
        <v>73</v>
      </c>
      <c r="J10894" t="s" s="11">
        <v>20</v>
      </c>
      <c r="K10894" s="15"/>
      <c r="L10894" t="s" s="16">
        <f>HYPERLINK("http://csr.bu.edu/ftp/asl/asllvd/demos/verify_start_end_handshape_annotations//test_auto_move//signs_mov_separ_signers/Dana_4665.mov","MOV")</f>
        <v>21</v>
      </c>
      <c r="M10894" t="s" s="10">
        <v>44</v>
      </c>
      <c r="N10894" s="17">
        <v>10</v>
      </c>
      <c r="O10894" s="18">
        <v>955</v>
      </c>
      <c r="P10894" s="18">
        <v>1009</v>
      </c>
      <c r="Q10894" s="15"/>
      <c r="R10894" t="s" s="16">
        <f>HYPERLINK("http://secrets.rutgers.edu:8080/data/asl-ftp/asllvd/demos/verify_start_end_handshape_annotations//test_auto_move//signs_mov_separ_signers/Dana_4665.mov","MOV")</f>
        <v>21</v>
      </c>
    </row>
    <row r="10895" s="2" customFormat="1" ht="13.5" customHeight="1">
      <c r="B10895" t="s" s="8">
        <v>4063</v>
      </c>
      <c r="C10895" t="s" s="9">
        <v>14</v>
      </c>
      <c r="D10895" t="s" s="8">
        <v>14</v>
      </c>
      <c r="E10895" t="s" s="9">
        <v>14</v>
      </c>
      <c r="F10895" t="s" s="10">
        <v>14</v>
      </c>
      <c r="G10895" t="s" s="11">
        <v>14</v>
      </c>
      <c r="H10895" t="s" s="10">
        <v>14</v>
      </c>
      <c r="I10895" t="s" s="11">
        <v>14</v>
      </c>
      <c r="J10895" t="s" s="11">
        <v>14</v>
      </c>
      <c r="K10895" t="s" s="12">
        <v>14</v>
      </c>
      <c r="L10895" t="s" s="12">
        <v>14</v>
      </c>
      <c r="M10895" t="s" s="10">
        <v>14</v>
      </c>
      <c r="N10895" t="s" s="11">
        <v>14</v>
      </c>
      <c r="O10895" t="s" s="8">
        <v>14</v>
      </c>
      <c r="P10895" t="s" s="8">
        <v>14</v>
      </c>
      <c r="Q10895" t="s" s="12">
        <v>14</v>
      </c>
      <c r="R10895" t="s" s="12">
        <v>14</v>
      </c>
    </row>
    <row r="10896" s="2" customFormat="1" ht="13.5" customHeight="1">
      <c r="B10896" s="13"/>
      <c r="C10896" t="s" s="9">
        <v>23</v>
      </c>
      <c r="D10896" t="s" s="8">
        <v>4063</v>
      </c>
      <c r="E10896" t="s" s="9">
        <v>4064</v>
      </c>
      <c r="F10896" t="s" s="10">
        <v>73</v>
      </c>
      <c r="G10896" t="s" s="11">
        <v>73</v>
      </c>
      <c r="H10896" t="s" s="10">
        <v>73</v>
      </c>
      <c r="I10896" t="s" s="11">
        <v>73</v>
      </c>
      <c r="J10896" t="s" s="11">
        <v>20</v>
      </c>
      <c r="K10896" s="15"/>
      <c r="L10896" t="s" s="16">
        <f>HYPERLINK("http://csr.bu.edu/ftp/asl/asllvd/demos/verify_start_end_handshape_annotations//test_auto_move//signs_mov_separ_signers/Tyler_15522.mov","MOV")</f>
        <v>21</v>
      </c>
      <c r="M10896" t="s" s="10">
        <v>125</v>
      </c>
      <c r="N10896" s="17">
        <v>4</v>
      </c>
      <c r="O10896" s="18">
        <v>4782</v>
      </c>
      <c r="P10896" s="18">
        <v>4830</v>
      </c>
      <c r="Q10896" s="15"/>
      <c r="R10896" t="s" s="16">
        <f>HYPERLINK("http://secrets.rutgers.edu:8080/data/asl-ftp/asllvd/demos/verify_start_end_handshape_annotations//test_auto_move//signs_mov_separ_signers/Tyler_15522.mov","MOV")</f>
        <v>21</v>
      </c>
    </row>
    <row r="10897" s="2" customFormat="1" ht="13.5" customHeight="1">
      <c r="B10897" s="13"/>
      <c r="C10897" t="s" s="9">
        <v>27</v>
      </c>
      <c r="D10897" t="s" s="8">
        <v>4063</v>
      </c>
      <c r="E10897" t="s" s="9">
        <v>4065</v>
      </c>
      <c r="F10897" t="s" s="10">
        <v>73</v>
      </c>
      <c r="G10897" t="s" s="11">
        <v>73</v>
      </c>
      <c r="H10897" t="s" s="10">
        <v>73</v>
      </c>
      <c r="I10897" t="s" s="11">
        <v>73</v>
      </c>
      <c r="J10897" t="s" s="11">
        <v>20</v>
      </c>
      <c r="K10897" s="15"/>
      <c r="L10897" t="s" s="16">
        <f>HYPERLINK("http://csr.bu.edu/ftp/asl/asllvd/demos/verify_start_end_handshape_annotations//test_auto_move//signs_mov_separ_signers/Naomi_15522.mov","MOV")</f>
        <v>21</v>
      </c>
      <c r="M10897" t="s" s="10">
        <v>86</v>
      </c>
      <c r="N10897" s="17">
        <v>4</v>
      </c>
      <c r="O10897" s="18">
        <v>2715</v>
      </c>
      <c r="P10897" s="18">
        <v>2765</v>
      </c>
      <c r="Q10897" s="15"/>
      <c r="R10897" t="s" s="16">
        <f>HYPERLINK("http://secrets.rutgers.edu:8080/data/asl-ftp/asllvd/demos/verify_start_end_handshape_annotations//test_auto_move//signs_mov_separ_signers/Naomi_15522.mov","MOV")</f>
        <v>21</v>
      </c>
    </row>
    <row r="10898" s="2" customFormat="1" ht="13.5" customHeight="1">
      <c r="B10898" s="13"/>
      <c r="C10898" t="s" s="9">
        <v>30</v>
      </c>
      <c r="D10898" t="s" s="8">
        <v>4063</v>
      </c>
      <c r="E10898" t="s" s="9">
        <v>4064</v>
      </c>
      <c r="F10898" t="s" s="10">
        <v>73</v>
      </c>
      <c r="G10898" t="s" s="11">
        <v>73</v>
      </c>
      <c r="H10898" t="s" s="10">
        <v>73</v>
      </c>
      <c r="I10898" t="s" s="11">
        <v>73</v>
      </c>
      <c r="J10898" t="s" s="11">
        <v>20</v>
      </c>
      <c r="K10898" t="s" s="16">
        <f>HYPERLINK("http://csr.bu.edu/ftp/asl/asllvd/demos/verify_start_end_handshape_annotations//test_auto_move//signs_mov/15522.mov","MOV")</f>
        <v>21</v>
      </c>
      <c r="L10898" t="s" s="16">
        <f>HYPERLINK("http://csr.bu.edu/ftp/asl/asllvd/demos/verify_start_end_handshape_annotations//test_auto_move//signs_mov_separ_signers/Brady_15522.mov","MOV")</f>
        <v>21</v>
      </c>
      <c r="M10898" t="s" s="10">
        <v>31</v>
      </c>
      <c r="N10898" s="17">
        <v>30</v>
      </c>
      <c r="O10898" s="18">
        <v>3912</v>
      </c>
      <c r="P10898" s="18">
        <v>3950</v>
      </c>
      <c r="Q10898" t="s" s="16">
        <f>HYPERLINK("http://secrets.rutgers.edu:8080/data/asl-ftp/asllvd/demos/verify_start_end_handshape_annotations//test_auto_move//signs_mov/15522.mov","MOV")</f>
        <v>21</v>
      </c>
      <c r="R10898" t="s" s="16">
        <f>HYPERLINK("http://secrets.rutgers.edu:8080/data/asl-ftp/asllvd/demos/verify_start_end_handshape_annotations//test_auto_move//signs_mov_separ_signers/Brady_15522.mov","MOV")</f>
        <v>21</v>
      </c>
    </row>
    <row r="10899" s="2" customFormat="1" ht="13.5" customHeight="1">
      <c r="B10899" s="13"/>
      <c r="C10899" t="s" s="9">
        <v>41</v>
      </c>
      <c r="D10899" t="s" s="8">
        <v>4063</v>
      </c>
      <c r="E10899" t="s" s="9">
        <v>4063</v>
      </c>
      <c r="F10899" t="s" s="10">
        <v>73</v>
      </c>
      <c r="G10899" t="s" s="11">
        <v>73</v>
      </c>
      <c r="H10899" t="s" s="10">
        <v>73</v>
      </c>
      <c r="I10899" t="s" s="11">
        <v>73</v>
      </c>
      <c r="J10899" t="s" s="11">
        <v>20</v>
      </c>
      <c r="K10899" s="15"/>
      <c r="L10899" t="s" s="16">
        <f>HYPERLINK("http://csr.bu.edu/ftp/asl/asllvd/demos/verify_start_end_handshape_annotations//test_auto_move//signs_mov_separ_signers/Lana_15522.mov","MOV")</f>
        <v>21</v>
      </c>
      <c r="M10899" t="s" s="10">
        <v>42</v>
      </c>
      <c r="N10899" s="17">
        <v>15</v>
      </c>
      <c r="O10899" s="18">
        <v>1837</v>
      </c>
      <c r="P10899" s="18">
        <v>1877</v>
      </c>
      <c r="Q10899" s="15"/>
      <c r="R10899" t="s" s="16">
        <f>HYPERLINK("http://secrets.rutgers.edu:8080/data/asl-ftp/asllvd/demos/verify_start_end_handshape_annotations//test_auto_move//signs_mov_separ_signers/Lana_15522.mov","MOV")</f>
        <v>21</v>
      </c>
    </row>
    <row r="10900" s="2" customFormat="1" ht="13.5" customHeight="1">
      <c r="B10900" s="13"/>
      <c r="C10900" t="s" s="9">
        <v>43</v>
      </c>
      <c r="D10900" t="s" s="8">
        <v>4063</v>
      </c>
      <c r="E10900" t="s" s="9">
        <v>4063</v>
      </c>
      <c r="F10900" t="s" s="10">
        <v>73</v>
      </c>
      <c r="G10900" t="s" s="11">
        <v>73</v>
      </c>
      <c r="H10900" t="s" s="10">
        <v>73</v>
      </c>
      <c r="I10900" t="s" s="11">
        <v>73</v>
      </c>
      <c r="J10900" t="s" s="11">
        <v>20</v>
      </c>
      <c r="K10900" s="15"/>
      <c r="L10900" t="s" s="16">
        <f>HYPERLINK("http://csr.bu.edu/ftp/asl/asllvd/demos/verify_start_end_handshape_annotations//test_auto_move//signs_mov_separ_signers/Dana_15522.mov","MOV")</f>
        <v>21</v>
      </c>
      <c r="M10900" t="s" s="10">
        <v>44</v>
      </c>
      <c r="N10900" s="17">
        <v>18</v>
      </c>
      <c r="O10900" s="18">
        <v>1781</v>
      </c>
      <c r="P10900" s="18">
        <v>1835</v>
      </c>
      <c r="Q10900" s="15"/>
      <c r="R10900" t="s" s="16">
        <f>HYPERLINK("http://secrets.rutgers.edu:8080/data/asl-ftp/asllvd/demos/verify_start_end_handshape_annotations//test_auto_move//signs_mov_separ_signers/Dana_15522.mov","MOV")</f>
        <v>21</v>
      </c>
    </row>
    <row r="10901" s="2" customFormat="1" ht="13.5" customHeight="1">
      <c r="B10901" t="s" s="8">
        <v>4066</v>
      </c>
      <c r="C10901" t="s" s="9">
        <v>14</v>
      </c>
      <c r="D10901" t="s" s="8">
        <v>14</v>
      </c>
      <c r="E10901" t="s" s="9">
        <v>14</v>
      </c>
      <c r="F10901" t="s" s="10">
        <v>14</v>
      </c>
      <c r="G10901" t="s" s="11">
        <v>14</v>
      </c>
      <c r="H10901" t="s" s="10">
        <v>14</v>
      </c>
      <c r="I10901" t="s" s="11">
        <v>14</v>
      </c>
      <c r="J10901" t="s" s="11">
        <v>14</v>
      </c>
      <c r="K10901" t="s" s="12">
        <v>14</v>
      </c>
      <c r="L10901" t="s" s="12">
        <v>14</v>
      </c>
      <c r="M10901" t="s" s="10">
        <v>14</v>
      </c>
      <c r="N10901" t="s" s="11">
        <v>14</v>
      </c>
      <c r="O10901" t="s" s="8">
        <v>14</v>
      </c>
      <c r="P10901" t="s" s="8">
        <v>14</v>
      </c>
      <c r="Q10901" t="s" s="12">
        <v>14</v>
      </c>
      <c r="R10901" t="s" s="12">
        <v>14</v>
      </c>
    </row>
    <row r="10902" s="2" customFormat="1" ht="13.5" customHeight="1">
      <c r="B10902" s="13"/>
      <c r="C10902" t="s" s="9">
        <v>16</v>
      </c>
      <c r="D10902" t="s" s="8">
        <v>4066</v>
      </c>
      <c r="E10902" t="s" s="9">
        <v>4066</v>
      </c>
      <c r="F10902" t="s" s="10">
        <v>73</v>
      </c>
      <c r="G10902" t="s" s="11">
        <v>73</v>
      </c>
      <c r="H10902" t="s" s="10">
        <v>73</v>
      </c>
      <c r="I10902" t="s" s="11">
        <v>73</v>
      </c>
      <c r="J10902" t="s" s="11">
        <v>20</v>
      </c>
      <c r="K10902" t="s" s="16">
        <f>HYPERLINK("http://csr.bu.edu/ftp/asl/asllvd/demos/verify_start_end_handshape_annotations//test_auto_move//signs_mov/15637.mov","MOV")</f>
        <v>21</v>
      </c>
      <c r="L10902" t="s" s="16">
        <f>HYPERLINK("http://csr.bu.edu/ftp/asl/asllvd/demos/verify_start_end_handshape_annotations//test_auto_move//signs_mov_separ_signers/Liz_15637.mov","MOV")</f>
        <v>21</v>
      </c>
      <c r="M10902" t="s" s="10">
        <v>88</v>
      </c>
      <c r="N10902" s="17">
        <v>30</v>
      </c>
      <c r="O10902" s="18">
        <v>2221</v>
      </c>
      <c r="P10902" s="18">
        <v>2266</v>
      </c>
      <c r="Q10902" t="s" s="16">
        <f>HYPERLINK("http://secrets.rutgers.edu:8080/data/asl-ftp/asllvd/demos/verify_start_end_handshape_annotations//test_auto_move//signs_mov/15637.mov","MOV")</f>
        <v>21</v>
      </c>
      <c r="R10902" t="s" s="16">
        <f>HYPERLINK("http://secrets.rutgers.edu:8080/data/asl-ftp/asllvd/demos/verify_start_end_handshape_annotations//test_auto_move//signs_mov_separ_signers/Liz_15637.mov","MOV")</f>
        <v>21</v>
      </c>
    </row>
    <row r="10903" s="2" customFormat="1" ht="13.5" customHeight="1">
      <c r="B10903" s="13"/>
      <c r="C10903" t="s" s="9">
        <v>30</v>
      </c>
      <c r="D10903" t="s" s="8">
        <v>4066</v>
      </c>
      <c r="E10903" t="s" s="9">
        <v>4066</v>
      </c>
      <c r="F10903" t="s" s="10">
        <v>73</v>
      </c>
      <c r="G10903" t="s" s="11">
        <v>73</v>
      </c>
      <c r="H10903" t="s" s="10">
        <v>73</v>
      </c>
      <c r="I10903" t="s" s="11">
        <v>73</v>
      </c>
      <c r="J10903" t="s" s="11">
        <v>20</v>
      </c>
      <c r="K10903" s="15"/>
      <c r="L10903" t="s" s="16">
        <f>HYPERLINK("http://csr.bu.edu/ftp/asl/asllvd/demos/verify_start_end_handshape_annotations//test_auto_move//signs_mov_separ_signers/Brady_15637.mov","MOV")</f>
        <v>21</v>
      </c>
      <c r="M10903" t="s" s="10">
        <v>40</v>
      </c>
      <c r="N10903" s="17">
        <v>25</v>
      </c>
      <c r="O10903" s="18">
        <v>1324</v>
      </c>
      <c r="P10903" s="18">
        <v>1354</v>
      </c>
      <c r="Q10903" s="15"/>
      <c r="R10903" t="s" s="16">
        <f>HYPERLINK("http://secrets.rutgers.edu:8080/data/asl-ftp/asllvd/demos/verify_start_end_handshape_annotations//test_auto_move//signs_mov_separ_signers/Brady_15637.mov","MOV")</f>
        <v>21</v>
      </c>
    </row>
    <row r="10904" s="2" customFormat="1" ht="13.5" customHeight="1">
      <c r="B10904" t="s" s="8">
        <v>4067</v>
      </c>
      <c r="C10904" t="s" s="9">
        <v>14</v>
      </c>
      <c r="D10904" t="s" s="8">
        <v>14</v>
      </c>
      <c r="E10904" t="s" s="9">
        <v>14</v>
      </c>
      <c r="F10904" t="s" s="10">
        <v>14</v>
      </c>
      <c r="G10904" t="s" s="11">
        <v>14</v>
      </c>
      <c r="H10904" t="s" s="10">
        <v>14</v>
      </c>
      <c r="I10904" t="s" s="11">
        <v>14</v>
      </c>
      <c r="J10904" t="s" s="11">
        <v>14</v>
      </c>
      <c r="K10904" t="s" s="12">
        <v>14</v>
      </c>
      <c r="L10904" t="s" s="12">
        <v>14</v>
      </c>
      <c r="M10904" t="s" s="10">
        <v>14</v>
      </c>
      <c r="N10904" t="s" s="11">
        <v>14</v>
      </c>
      <c r="O10904" t="s" s="8">
        <v>14</v>
      </c>
      <c r="P10904" t="s" s="8">
        <v>14</v>
      </c>
      <c r="Q10904" t="s" s="12">
        <v>14</v>
      </c>
      <c r="R10904" t="s" s="12">
        <v>14</v>
      </c>
    </row>
    <row r="10905" s="2" customFormat="1" ht="13.5" customHeight="1">
      <c r="B10905" s="13"/>
      <c r="C10905" t="s" s="9">
        <v>16</v>
      </c>
      <c r="D10905" t="s" s="8">
        <v>4068</v>
      </c>
      <c r="E10905" t="s" s="9">
        <v>4068</v>
      </c>
      <c r="F10905" t="s" s="10">
        <v>220</v>
      </c>
      <c r="G10905" t="s" s="11">
        <v>73</v>
      </c>
      <c r="H10905" t="s" s="10">
        <v>220</v>
      </c>
      <c r="I10905" t="s" s="11">
        <v>73</v>
      </c>
      <c r="J10905" t="s" s="11">
        <v>20</v>
      </c>
      <c r="K10905" s="15"/>
      <c r="L10905" t="s" s="16">
        <f>HYPERLINK("http://csr.bu.edu/ftp/asl/asllvd/demos/verify_start_end_handshape_annotations//test_auto_move//signs_mov_separ_signers/Liz_15709.mov","MOV")</f>
        <v>21</v>
      </c>
      <c r="M10905" t="s" s="10">
        <v>34</v>
      </c>
      <c r="N10905" s="17">
        <v>41</v>
      </c>
      <c r="O10905" s="18">
        <v>2690</v>
      </c>
      <c r="P10905" s="18">
        <v>2735</v>
      </c>
      <c r="Q10905" s="15"/>
      <c r="R10905" t="s" s="16">
        <f>HYPERLINK("http://secrets.rutgers.edu:8080/data/asl-ftp/asllvd/demos/verify_start_end_handshape_annotations//test_auto_move//signs_mov_separ_signers/Liz_15709.mov","MOV")</f>
        <v>21</v>
      </c>
    </row>
    <row r="10906" s="2" customFormat="1" ht="13.5" customHeight="1">
      <c r="B10906" s="13"/>
      <c r="C10906" t="s" s="9">
        <v>23</v>
      </c>
      <c r="D10906" t="s" s="8">
        <v>4068</v>
      </c>
      <c r="E10906" t="s" s="9">
        <v>4069</v>
      </c>
      <c r="F10906" t="s" s="10">
        <v>220</v>
      </c>
      <c r="G10906" t="s" s="11">
        <v>73</v>
      </c>
      <c r="H10906" t="s" s="10">
        <v>220</v>
      </c>
      <c r="I10906" t="s" s="11">
        <v>73</v>
      </c>
      <c r="J10906" t="s" s="11">
        <v>20</v>
      </c>
      <c r="K10906" t="s" s="16">
        <f>HYPERLINK("http://csr.bu.edu/ftp/asl/asllvd/demos/verify_start_end_handshape_annotations//test_auto_move//signs_mov/15709.mov","MOV")</f>
        <v>21</v>
      </c>
      <c r="L10906" t="s" s="16">
        <f>HYPERLINK("http://csr.bu.edu/ftp/asl/asllvd/demos/verify_start_end_handshape_annotations//test_auto_move//signs_mov_separ_signers/Tyler_15709.mov","MOV")</f>
        <v>21</v>
      </c>
      <c r="M10906" t="s" s="10">
        <v>37</v>
      </c>
      <c r="N10906" s="17">
        <v>14</v>
      </c>
      <c r="O10906" s="18">
        <v>2320</v>
      </c>
      <c r="P10906" s="18">
        <v>2370</v>
      </c>
      <c r="Q10906" t="s" s="16">
        <f>HYPERLINK("http://secrets.rutgers.edu:8080/data/asl-ftp/asllvd/demos/verify_start_end_handshape_annotations//test_auto_move//signs_mov/15709.mov","MOV")</f>
        <v>21</v>
      </c>
      <c r="R10906" t="s" s="16">
        <f>HYPERLINK("http://secrets.rutgers.edu:8080/data/asl-ftp/asllvd/demos/verify_start_end_handshape_annotations//test_auto_move//signs_mov_separ_signers/Tyler_15709.mov","MOV")</f>
        <v>21</v>
      </c>
    </row>
    <row r="10907" s="2" customFormat="1" ht="13.5" customHeight="1">
      <c r="B10907" s="13"/>
      <c r="C10907" t="s" s="9">
        <v>27</v>
      </c>
      <c r="D10907" t="s" s="8">
        <v>4068</v>
      </c>
      <c r="E10907" t="s" s="9">
        <v>4068</v>
      </c>
      <c r="F10907" t="s" s="10">
        <v>220</v>
      </c>
      <c r="G10907" t="s" s="11">
        <v>73</v>
      </c>
      <c r="H10907" t="s" s="10">
        <v>220</v>
      </c>
      <c r="I10907" t="s" s="11">
        <v>73</v>
      </c>
      <c r="J10907" t="s" s="11">
        <v>20</v>
      </c>
      <c r="K10907" s="15"/>
      <c r="L10907" t="s" s="16">
        <f>HYPERLINK("http://csr.bu.edu/ftp/asl/asllvd/demos/verify_start_end_handshape_annotations//test_auto_move//signs_mov_separ_signers/Naomi_15709.mov","MOV")</f>
        <v>21</v>
      </c>
      <c r="M10907" t="s" s="10">
        <v>38</v>
      </c>
      <c r="N10907" s="17">
        <v>34</v>
      </c>
      <c r="O10907" s="18">
        <v>4475</v>
      </c>
      <c r="P10907" s="18">
        <v>4507</v>
      </c>
      <c r="Q10907" s="15"/>
      <c r="R10907" t="s" s="16">
        <f>HYPERLINK("http://secrets.rutgers.edu:8080/data/asl-ftp/asllvd/demos/verify_start_end_handshape_annotations//test_auto_move//signs_mov_separ_signers/Naomi_15709.mov","MOV")</f>
        <v>21</v>
      </c>
    </row>
    <row r="10908" s="2" customFormat="1" ht="13.5" customHeight="1">
      <c r="B10908" s="13"/>
      <c r="C10908" t="s" s="9">
        <v>30</v>
      </c>
      <c r="D10908" t="s" s="8">
        <v>4068</v>
      </c>
      <c r="E10908" t="s" s="9">
        <v>4068</v>
      </c>
      <c r="F10908" t="s" s="10">
        <v>220</v>
      </c>
      <c r="G10908" t="s" s="11">
        <v>73</v>
      </c>
      <c r="H10908" t="s" s="10">
        <v>220</v>
      </c>
      <c r="I10908" t="s" s="11">
        <v>73</v>
      </c>
      <c r="J10908" t="s" s="11">
        <v>20</v>
      </c>
      <c r="K10908" s="15"/>
      <c r="L10908" t="s" s="16">
        <f>HYPERLINK("http://csr.bu.edu/ftp/asl/asllvd/demos/verify_start_end_handshape_annotations//test_auto_move//signs_mov_separ_signers/Brady_15709.mov","MOV")</f>
        <v>21</v>
      </c>
      <c r="M10908" t="s" s="10">
        <v>39</v>
      </c>
      <c r="N10908" s="17">
        <v>45</v>
      </c>
      <c r="O10908" s="18">
        <v>2526</v>
      </c>
      <c r="P10908" s="18">
        <v>2554</v>
      </c>
      <c r="Q10908" s="15"/>
      <c r="R10908" t="s" s="16">
        <f>HYPERLINK("http://secrets.rutgers.edu:8080/data/asl-ftp/asllvd/demos/verify_start_end_handshape_annotations//test_auto_move//signs_mov_separ_signers/Brady_15709.mov","MOV")</f>
        <v>21</v>
      </c>
    </row>
    <row r="10909" s="2" customFormat="1" ht="13.5" customHeight="1">
      <c r="B10909" t="s" s="8">
        <v>4070</v>
      </c>
      <c r="C10909" t="s" s="9">
        <v>14</v>
      </c>
      <c r="D10909" t="s" s="8">
        <v>14</v>
      </c>
      <c r="E10909" t="s" s="9">
        <v>14</v>
      </c>
      <c r="F10909" t="s" s="10">
        <v>14</v>
      </c>
      <c r="G10909" t="s" s="11">
        <v>14</v>
      </c>
      <c r="H10909" t="s" s="10">
        <v>14</v>
      </c>
      <c r="I10909" t="s" s="11">
        <v>14</v>
      </c>
      <c r="J10909" t="s" s="11">
        <v>14</v>
      </c>
      <c r="K10909" t="s" s="12">
        <v>14</v>
      </c>
      <c r="L10909" t="s" s="12">
        <v>14</v>
      </c>
      <c r="M10909" t="s" s="10">
        <v>14</v>
      </c>
      <c r="N10909" t="s" s="11">
        <v>14</v>
      </c>
      <c r="O10909" t="s" s="8">
        <v>14</v>
      </c>
      <c r="P10909" t="s" s="8">
        <v>14</v>
      </c>
      <c r="Q10909" t="s" s="12">
        <v>14</v>
      </c>
      <c r="R10909" t="s" s="12">
        <v>14</v>
      </c>
    </row>
    <row r="10910" s="2" customFormat="1" ht="13.5" customHeight="1">
      <c r="B10910" s="13"/>
      <c r="C10910" t="s" s="9">
        <v>16</v>
      </c>
      <c r="D10910" t="s" s="8">
        <v>4070</v>
      </c>
      <c r="E10910" t="s" s="9">
        <v>4070</v>
      </c>
      <c r="F10910" s="19">
        <v>5</v>
      </c>
      <c r="G10910" t="s" s="11">
        <v>185</v>
      </c>
      <c r="H10910" t="s" s="10">
        <v>119</v>
      </c>
      <c r="I10910" t="s" s="11">
        <v>158</v>
      </c>
      <c r="J10910" t="s" s="11">
        <v>20</v>
      </c>
      <c r="K10910" s="15"/>
      <c r="L10910" t="s" s="16">
        <f>HYPERLINK("http://csr.bu.edu/ftp/asl/asllvd/demos/verify_start_end_handshape_annotations//test_auto_move//signs_mov_separ_signers/Liz_4666.mov","MOV")</f>
        <v>21</v>
      </c>
      <c r="M10910" t="s" s="10">
        <v>34</v>
      </c>
      <c r="N10910" s="17">
        <v>30</v>
      </c>
      <c r="O10910" s="18">
        <v>3447</v>
      </c>
      <c r="P10910" s="18">
        <v>3492</v>
      </c>
      <c r="Q10910" s="15"/>
      <c r="R10910" t="s" s="16">
        <f>HYPERLINK("http://secrets.rutgers.edu:8080/data/asl-ftp/asllvd/demos/verify_start_end_handshape_annotations//test_auto_move//signs_mov_separ_signers/Liz_4666.mov","MOV")</f>
        <v>21</v>
      </c>
    </row>
    <row r="10911" s="2" customFormat="1" ht="13.5" customHeight="1">
      <c r="B10911" s="13"/>
      <c r="C10911" t="s" s="9">
        <v>16</v>
      </c>
      <c r="D10911" t="s" s="8">
        <v>4070</v>
      </c>
      <c r="E10911" t="s" s="9">
        <v>4070</v>
      </c>
      <c r="F10911" t="s" s="10">
        <v>148</v>
      </c>
      <c r="G10911" t="s" s="11">
        <v>148</v>
      </c>
      <c r="H10911" t="s" s="10">
        <v>119</v>
      </c>
      <c r="I10911" t="s" s="11">
        <v>158</v>
      </c>
      <c r="J10911" t="s" s="11">
        <v>20</v>
      </c>
      <c r="K10911" s="15"/>
      <c r="L10911" t="s" s="16">
        <f>HYPERLINK("http://csr.bu.edu/ftp/asl/asllvd/demos/verify_start_end_handshape_annotations//test_auto_move//signs_mov_separ_signers/Liz_15491.mov","MOV")</f>
        <v>21</v>
      </c>
      <c r="M10911" t="s" s="10">
        <v>34</v>
      </c>
      <c r="N10911" s="17">
        <v>35</v>
      </c>
      <c r="O10911" s="18">
        <v>225</v>
      </c>
      <c r="P10911" s="18">
        <v>266</v>
      </c>
      <c r="Q10911" s="15"/>
      <c r="R10911" t="s" s="16">
        <f>HYPERLINK("http://secrets.rutgers.edu:8080/data/asl-ftp/asllvd/demos/verify_start_end_handshape_annotations//test_auto_move//signs_mov_separ_signers/Liz_15491.mov","MOV")</f>
        <v>21</v>
      </c>
    </row>
    <row r="10912" s="2" customFormat="1" ht="13.5" customHeight="1">
      <c r="B10912" s="13"/>
      <c r="C10912" t="s" s="9">
        <v>23</v>
      </c>
      <c r="D10912" t="s" s="8">
        <v>4070</v>
      </c>
      <c r="E10912" t="s" s="9">
        <v>4070</v>
      </c>
      <c r="F10912" s="19">
        <v>5</v>
      </c>
      <c r="G10912" t="s" s="11">
        <v>244</v>
      </c>
      <c r="H10912" t="s" s="10">
        <v>119</v>
      </c>
      <c r="I10912" t="s" s="11">
        <v>119</v>
      </c>
      <c r="J10912" t="s" s="11">
        <v>20</v>
      </c>
      <c r="K10912" s="15"/>
      <c r="L10912" t="s" s="16">
        <f>HYPERLINK("http://csr.bu.edu/ftp/asl/asllvd/demos/verify_start_end_handshape_annotations//test_auto_move//signs_mov_separ_signers/Tyler_4666.mov","MOV")</f>
        <v>21</v>
      </c>
      <c r="M10912" t="s" s="10">
        <v>37</v>
      </c>
      <c r="N10912" s="17">
        <v>5</v>
      </c>
      <c r="O10912" s="18">
        <v>1827</v>
      </c>
      <c r="P10912" s="18">
        <v>1855</v>
      </c>
      <c r="Q10912" s="15"/>
      <c r="R10912" t="s" s="16">
        <f>HYPERLINK("http://secrets.rutgers.edu:8080/data/asl-ftp/asllvd/demos/verify_start_end_handshape_annotations//test_auto_move//signs_mov_separ_signers/Tyler_4666.mov","MOV")</f>
        <v>21</v>
      </c>
    </row>
    <row r="10913" s="2" customFormat="1" ht="13.5" customHeight="1">
      <c r="B10913" s="13"/>
      <c r="C10913" t="s" s="9">
        <v>23</v>
      </c>
      <c r="D10913" t="s" s="8">
        <v>4070</v>
      </c>
      <c r="E10913" t="s" s="9">
        <v>4070</v>
      </c>
      <c r="F10913" s="19">
        <v>5</v>
      </c>
      <c r="G10913" s="17">
        <v>5</v>
      </c>
      <c r="H10913" t="s" s="10">
        <v>119</v>
      </c>
      <c r="I10913" t="s" s="11">
        <v>244</v>
      </c>
      <c r="J10913" t="s" s="11">
        <v>20</v>
      </c>
      <c r="K10913" s="15"/>
      <c r="L10913" t="s" s="16">
        <f>HYPERLINK("http://csr.bu.edu/ftp/asl/asllvd/demos/verify_start_end_handshape_annotations//test_auto_move//signs_mov_separ_signers/Tyler_15491.mov","MOV")</f>
        <v>21</v>
      </c>
      <c r="M10913" t="s" s="10">
        <v>37</v>
      </c>
      <c r="N10913" s="17">
        <v>8</v>
      </c>
      <c r="O10913" s="18">
        <v>2170</v>
      </c>
      <c r="P10913" s="18">
        <v>2200</v>
      </c>
      <c r="Q10913" s="15"/>
      <c r="R10913" t="s" s="16">
        <f>HYPERLINK("http://secrets.rutgers.edu:8080/data/asl-ftp/asllvd/demos/verify_start_end_handshape_annotations//test_auto_move//signs_mov_separ_signers/Tyler_15491.mov","MOV")</f>
        <v>21</v>
      </c>
    </row>
    <row r="10914" s="2" customFormat="1" ht="13.5" customHeight="1">
      <c r="B10914" s="13"/>
      <c r="C10914" t="s" s="9">
        <v>27</v>
      </c>
      <c r="D10914" t="s" s="8">
        <v>4070</v>
      </c>
      <c r="E10914" t="s" s="9">
        <v>4070</v>
      </c>
      <c r="F10914" s="19">
        <v>5</v>
      </c>
      <c r="G10914" s="17">
        <v>5</v>
      </c>
      <c r="H10914" t="s" s="10">
        <v>119</v>
      </c>
      <c r="I10914" t="s" s="11">
        <v>158</v>
      </c>
      <c r="J10914" t="s" s="11">
        <v>20</v>
      </c>
      <c r="K10914" s="15"/>
      <c r="L10914" t="s" s="16">
        <f>HYPERLINK("http://csr.bu.edu/ftp/asl/asllvd/demos/verify_start_end_handshape_annotations//test_auto_move//signs_mov_separ_signers/Naomi_4666.mov","MOV")</f>
        <v>21</v>
      </c>
      <c r="M10914" t="s" s="10">
        <v>38</v>
      </c>
      <c r="N10914" s="17">
        <v>25</v>
      </c>
      <c r="O10914" s="18">
        <v>3400</v>
      </c>
      <c r="P10914" s="18">
        <v>3425</v>
      </c>
      <c r="Q10914" s="15"/>
      <c r="R10914" t="s" s="16">
        <f>HYPERLINK("http://secrets.rutgers.edu:8080/data/asl-ftp/asllvd/demos/verify_start_end_handshape_annotations//test_auto_move//signs_mov_separ_signers/Naomi_4666.mov","MOV")</f>
        <v>21</v>
      </c>
    </row>
    <row r="10915" s="2" customFormat="1" ht="13.5" customHeight="1">
      <c r="B10915" s="13"/>
      <c r="C10915" t="s" s="9">
        <v>27</v>
      </c>
      <c r="D10915" t="s" s="8">
        <v>4070</v>
      </c>
      <c r="E10915" t="s" s="9">
        <v>4070</v>
      </c>
      <c r="F10915" t="s" s="10">
        <v>72</v>
      </c>
      <c r="G10915" t="s" s="11">
        <v>72</v>
      </c>
      <c r="H10915" t="s" s="10">
        <v>119</v>
      </c>
      <c r="I10915" t="s" s="11">
        <v>148</v>
      </c>
      <c r="J10915" t="s" s="11">
        <v>20</v>
      </c>
      <c r="K10915" t="s" s="16">
        <f>HYPERLINK("http://csr.bu.edu/ftp/asl/asllvd/demos/verify_start_end_handshape_annotations//test_auto_move//signs_mov/4666_15491_15500_merged.mov","MOV")</f>
        <v>21</v>
      </c>
      <c r="L10915" t="s" s="16">
        <f>HYPERLINK("http://csr.bu.edu/ftp/asl/asllvd/demos/verify_start_end_handshape_annotations//test_auto_move//signs_mov_separ_signers/Naomi_15491.mov","MOV")</f>
        <v>21</v>
      </c>
      <c r="M10915" t="s" s="10">
        <v>38</v>
      </c>
      <c r="N10915" s="17">
        <v>28</v>
      </c>
      <c r="O10915" s="18">
        <v>2737</v>
      </c>
      <c r="P10915" s="18">
        <v>2766</v>
      </c>
      <c r="Q10915" t="s" s="16">
        <f>HYPERLINK("http://secrets.rutgers.edu:8080/data/asl-ftp/asllvd/demos/verify_start_end_handshape_annotations//test_auto_move//signs_mov/4666_15491_15500_merged.mov","MOV")</f>
        <v>21</v>
      </c>
      <c r="R10915" t="s" s="16">
        <f>HYPERLINK("http://secrets.rutgers.edu:8080/data/asl-ftp/asllvd/demos/verify_start_end_handshape_annotations//test_auto_move//signs_mov_separ_signers/Naomi_15491.mov","MOV")</f>
        <v>21</v>
      </c>
    </row>
    <row r="10916" s="2" customFormat="1" ht="13.5" customHeight="1">
      <c r="B10916" s="13"/>
      <c r="C10916" t="s" s="9">
        <v>30</v>
      </c>
      <c r="D10916" t="s" s="8">
        <v>4070</v>
      </c>
      <c r="E10916" t="s" s="9">
        <v>4070</v>
      </c>
      <c r="F10916" s="19">
        <v>5</v>
      </c>
      <c r="G10916" t="s" s="11">
        <v>185</v>
      </c>
      <c r="H10916" t="s" s="10">
        <v>119</v>
      </c>
      <c r="I10916" t="s" s="11">
        <v>185</v>
      </c>
      <c r="J10916" t="s" s="11">
        <v>20</v>
      </c>
      <c r="K10916" s="15"/>
      <c r="L10916" t="s" s="16">
        <f>HYPERLINK("http://csr.bu.edu/ftp/asl/asllvd/demos/verify_start_end_handshape_annotations//test_auto_move//signs_mov_separ_signers/Brady_4666.mov","MOV")</f>
        <v>21</v>
      </c>
      <c r="M10916" t="s" s="10">
        <v>39</v>
      </c>
      <c r="N10916" s="17">
        <v>39</v>
      </c>
      <c r="O10916" s="18">
        <v>3740</v>
      </c>
      <c r="P10916" s="18">
        <v>3754</v>
      </c>
      <c r="Q10916" s="15"/>
      <c r="R10916" t="s" s="16">
        <f>HYPERLINK("http://secrets.rutgers.edu:8080/data/asl-ftp/asllvd/demos/verify_start_end_handshape_annotations//test_auto_move//signs_mov_separ_signers/Brady_4666.mov","MOV")</f>
        <v>21</v>
      </c>
    </row>
    <row r="10917" s="2" customFormat="1" ht="13.5" customHeight="1">
      <c r="B10917" s="13"/>
      <c r="C10917" t="s" s="9">
        <v>30</v>
      </c>
      <c r="D10917" t="s" s="8">
        <v>4070</v>
      </c>
      <c r="E10917" t="s" s="9">
        <v>4070</v>
      </c>
      <c r="F10917" t="s" s="10">
        <v>72</v>
      </c>
      <c r="G10917" t="s" s="11">
        <v>150</v>
      </c>
      <c r="H10917" t="s" s="10">
        <v>119</v>
      </c>
      <c r="I10917" t="s" s="11">
        <v>150</v>
      </c>
      <c r="J10917" t="s" s="11">
        <v>20</v>
      </c>
      <c r="K10917" s="15"/>
      <c r="L10917" t="s" s="16">
        <f>HYPERLINK("http://csr.bu.edu/ftp/asl/asllvd/demos/verify_start_end_handshape_annotations//test_auto_move//signs_mov_separ_signers/Brady_15491.mov","MOV")</f>
        <v>21</v>
      </c>
      <c r="M10917" t="s" s="10">
        <v>39</v>
      </c>
      <c r="N10917" s="17">
        <v>41</v>
      </c>
      <c r="O10917" s="18">
        <v>3604</v>
      </c>
      <c r="P10917" s="18">
        <v>3622</v>
      </c>
      <c r="Q10917" s="15"/>
      <c r="R10917" t="s" s="16">
        <f>HYPERLINK("http://secrets.rutgers.edu:8080/data/asl-ftp/asllvd/demos/verify_start_end_handshape_annotations//test_auto_move//signs_mov_separ_signers/Brady_15491.mov","MOV")</f>
        <v>21</v>
      </c>
    </row>
    <row r="10918" s="2" customFormat="1" ht="13.5" customHeight="1">
      <c r="B10918" s="13"/>
      <c r="C10918" t="s" s="9">
        <v>30</v>
      </c>
      <c r="D10918" t="s" s="8">
        <v>4070</v>
      </c>
      <c r="E10918" t="s" s="9">
        <v>4070</v>
      </c>
      <c r="F10918" t="s" s="10">
        <v>148</v>
      </c>
      <c r="G10918" t="s" s="11">
        <v>185</v>
      </c>
      <c r="H10918" t="s" s="10">
        <v>119</v>
      </c>
      <c r="I10918" t="s" s="11">
        <v>185</v>
      </c>
      <c r="J10918" t="s" s="11">
        <v>20</v>
      </c>
      <c r="K10918" s="15"/>
      <c r="L10918" t="s" s="16">
        <f>HYPERLINK("http://csr.bu.edu/ftp/asl/asllvd/demos/verify_start_end_handshape_annotations//test_auto_move//signs_mov_separ_signers/Brady_15500.mov","MOV")</f>
        <v>21</v>
      </c>
      <c r="M10918" t="s" s="10">
        <v>40</v>
      </c>
      <c r="N10918" s="17">
        <v>26</v>
      </c>
      <c r="O10918" s="18">
        <v>3051</v>
      </c>
      <c r="P10918" s="18">
        <v>3081</v>
      </c>
      <c r="Q10918" s="15"/>
      <c r="R10918" t="s" s="16">
        <f>HYPERLINK("http://secrets.rutgers.edu:8080/data/asl-ftp/asllvd/demos/verify_start_end_handshape_annotations//test_auto_move//signs_mov_separ_signers/Brady_15500.mov","MOV")</f>
        <v>21</v>
      </c>
    </row>
    <row r="10919" s="2" customFormat="1" ht="13.5" customHeight="1">
      <c r="B10919" s="13"/>
      <c r="C10919" t="s" s="9">
        <v>41</v>
      </c>
      <c r="D10919" t="s" s="8">
        <v>4070</v>
      </c>
      <c r="E10919" t="s" s="9">
        <v>4070</v>
      </c>
      <c r="F10919" s="19">
        <v>5</v>
      </c>
      <c r="G10919" t="s" s="11">
        <v>119</v>
      </c>
      <c r="H10919" t="s" s="10">
        <v>119</v>
      </c>
      <c r="I10919" t="s" s="11">
        <v>119</v>
      </c>
      <c r="J10919" t="s" s="11">
        <v>20</v>
      </c>
      <c r="K10919" s="15"/>
      <c r="L10919" t="s" s="16">
        <f>HYPERLINK("http://csr.bu.edu/ftp/asl/asllvd/demos/verify_start_end_handshape_annotations//test_auto_move//signs_mov_separ_signers/Lana_4666.mov","MOV")</f>
        <v>21</v>
      </c>
      <c r="M10919" t="s" s="10">
        <v>42</v>
      </c>
      <c r="N10919" s="17">
        <v>15</v>
      </c>
      <c r="O10919" s="18">
        <v>908</v>
      </c>
      <c r="P10919" s="18">
        <v>941</v>
      </c>
      <c r="Q10919" s="15"/>
      <c r="R10919" t="s" s="16">
        <f>HYPERLINK("http://secrets.rutgers.edu:8080/data/asl-ftp/asllvd/demos/verify_start_end_handshape_annotations//test_auto_move//signs_mov_separ_signers/Lana_4666.mov","MOV")</f>
        <v>21</v>
      </c>
    </row>
    <row r="10920" s="2" customFormat="1" ht="13.5" customHeight="1">
      <c r="B10920" s="13"/>
      <c r="C10920" t="s" s="9">
        <v>43</v>
      </c>
      <c r="D10920" t="s" s="8">
        <v>4070</v>
      </c>
      <c r="E10920" t="s" s="9">
        <v>4070</v>
      </c>
      <c r="F10920" s="19">
        <v>5</v>
      </c>
      <c r="G10920" t="s" s="11">
        <v>72</v>
      </c>
      <c r="H10920" t="s" s="10">
        <v>119</v>
      </c>
      <c r="I10920" t="s" s="11">
        <v>244</v>
      </c>
      <c r="J10920" t="s" s="11">
        <v>20</v>
      </c>
      <c r="K10920" s="15"/>
      <c r="L10920" t="s" s="16">
        <f>HYPERLINK("http://csr.bu.edu/ftp/asl/asllvd/demos/verify_start_end_handshape_annotations//test_auto_move//signs_mov_separ_signers/Dana_4666.mov","MOV")</f>
        <v>21</v>
      </c>
      <c r="M10920" t="s" s="10">
        <v>44</v>
      </c>
      <c r="N10920" s="17">
        <v>18</v>
      </c>
      <c r="O10920" s="18">
        <v>840</v>
      </c>
      <c r="P10920" s="18">
        <v>891</v>
      </c>
      <c r="Q10920" s="15"/>
      <c r="R10920" t="s" s="16">
        <f>HYPERLINK("http://secrets.rutgers.edu:8080/data/asl-ftp/asllvd/demos/verify_start_end_handshape_annotations//test_auto_move//signs_mov_separ_signers/Dana_4666.mov","MOV")</f>
        <v>21</v>
      </c>
    </row>
    <row r="10921" s="2" customFormat="1" ht="13.5" customHeight="1">
      <c r="B10921" t="s" s="8">
        <v>4071</v>
      </c>
      <c r="C10921" t="s" s="9">
        <v>14</v>
      </c>
      <c r="D10921" t="s" s="8">
        <v>14</v>
      </c>
      <c r="E10921" t="s" s="9">
        <v>14</v>
      </c>
      <c r="F10921" t="s" s="10">
        <v>14</v>
      </c>
      <c r="G10921" t="s" s="11">
        <v>14</v>
      </c>
      <c r="H10921" t="s" s="10">
        <v>14</v>
      </c>
      <c r="I10921" t="s" s="11">
        <v>14</v>
      </c>
      <c r="J10921" t="s" s="11">
        <v>14</v>
      </c>
      <c r="K10921" t="s" s="12">
        <v>14</v>
      </c>
      <c r="L10921" t="s" s="12">
        <v>14</v>
      </c>
      <c r="M10921" t="s" s="10">
        <v>14</v>
      </c>
      <c r="N10921" t="s" s="11">
        <v>14</v>
      </c>
      <c r="O10921" t="s" s="8">
        <v>14</v>
      </c>
      <c r="P10921" t="s" s="8">
        <v>14</v>
      </c>
      <c r="Q10921" t="s" s="12">
        <v>14</v>
      </c>
      <c r="R10921" t="s" s="12">
        <v>14</v>
      </c>
    </row>
    <row r="10922" s="2" customFormat="1" ht="13.5" customHeight="1">
      <c r="B10922" s="13"/>
      <c r="C10922" t="s" s="9">
        <v>16</v>
      </c>
      <c r="D10922" t="s" s="8">
        <v>4072</v>
      </c>
      <c r="E10922" t="s" s="9">
        <v>4072</v>
      </c>
      <c r="F10922" t="s" s="10">
        <v>220</v>
      </c>
      <c r="G10922" t="s" s="11">
        <v>185</v>
      </c>
      <c r="H10922" t="s" s="10">
        <v>220</v>
      </c>
      <c r="I10922" t="s" s="11">
        <v>185</v>
      </c>
      <c r="J10922" t="s" s="11">
        <v>20</v>
      </c>
      <c r="K10922" t="s" s="16">
        <f>HYPERLINK("http://csr.bu.edu/ftp/asl/asllvd/demos/verify_start_end_handshape_annotations//test_auto_move//signs_mov/15523.mov","MOV")</f>
        <v>21</v>
      </c>
      <c r="L10922" t="s" s="16">
        <f>HYPERLINK("http://csr.bu.edu/ftp/asl/asllvd/demos/verify_start_end_handshape_annotations//test_auto_move//signs_mov_separ_signers/Liz_15523.mov","MOV")</f>
        <v>21</v>
      </c>
      <c r="M10922" t="s" s="10">
        <v>88</v>
      </c>
      <c r="N10922" s="17">
        <v>31</v>
      </c>
      <c r="O10922" s="18">
        <v>2387</v>
      </c>
      <c r="P10922" s="18">
        <v>2434</v>
      </c>
      <c r="Q10922" t="s" s="16">
        <f>HYPERLINK("http://secrets.rutgers.edu:8080/data/asl-ftp/asllvd/demos/verify_start_end_handshape_annotations//test_auto_move//signs_mov/15523.mov","MOV")</f>
        <v>21</v>
      </c>
      <c r="R10922" t="s" s="16">
        <f>HYPERLINK("http://secrets.rutgers.edu:8080/data/asl-ftp/asllvd/demos/verify_start_end_handshape_annotations//test_auto_move//signs_mov_separ_signers/Liz_15523.mov","MOV")</f>
        <v>21</v>
      </c>
    </row>
    <row r="10923" s="2" customFormat="1" ht="13.5" customHeight="1">
      <c r="B10923" t="s" s="8">
        <v>4073</v>
      </c>
      <c r="C10923" t="s" s="9">
        <v>14</v>
      </c>
      <c r="D10923" t="s" s="8">
        <v>14</v>
      </c>
      <c r="E10923" t="s" s="9">
        <v>14</v>
      </c>
      <c r="F10923" t="s" s="10">
        <v>14</v>
      </c>
      <c r="G10923" t="s" s="11">
        <v>14</v>
      </c>
      <c r="H10923" t="s" s="10">
        <v>14</v>
      </c>
      <c r="I10923" t="s" s="11">
        <v>14</v>
      </c>
      <c r="J10923" t="s" s="11">
        <v>14</v>
      </c>
      <c r="K10923" t="s" s="12">
        <v>14</v>
      </c>
      <c r="L10923" t="s" s="12">
        <v>14</v>
      </c>
      <c r="M10923" t="s" s="10">
        <v>14</v>
      </c>
      <c r="N10923" t="s" s="11">
        <v>14</v>
      </c>
      <c r="O10923" t="s" s="8">
        <v>14</v>
      </c>
      <c r="P10923" t="s" s="8">
        <v>14</v>
      </c>
      <c r="Q10923" t="s" s="12">
        <v>14</v>
      </c>
      <c r="R10923" t="s" s="12">
        <v>14</v>
      </c>
    </row>
    <row r="10924" s="2" customFormat="1" ht="13.5" customHeight="1">
      <c r="B10924" s="13"/>
      <c r="C10924" t="s" s="9">
        <v>16</v>
      </c>
      <c r="D10924" t="s" s="8">
        <v>4073</v>
      </c>
      <c r="E10924" t="s" s="9">
        <v>4073</v>
      </c>
      <c r="F10924" t="s" s="10">
        <v>240</v>
      </c>
      <c r="G10924" t="s" s="11">
        <v>185</v>
      </c>
      <c r="H10924" t="s" s="10">
        <v>240</v>
      </c>
      <c r="I10924" t="s" s="11">
        <v>185</v>
      </c>
      <c r="J10924" t="s" s="11">
        <v>20</v>
      </c>
      <c r="K10924" s="15"/>
      <c r="L10924" t="s" s="16">
        <f>HYPERLINK("http://csr.bu.edu/ftp/asl/asllvd/demos/verify_start_end_handshape_annotations//test_auto_move//signs_mov_separ_signers/Liz_15638.mov","MOV")</f>
        <v>21</v>
      </c>
      <c r="M10924" t="s" s="10">
        <v>88</v>
      </c>
      <c r="N10924" s="17">
        <v>31</v>
      </c>
      <c r="O10924" s="18">
        <v>1895</v>
      </c>
      <c r="P10924" s="18">
        <v>1931</v>
      </c>
      <c r="Q10924" s="15"/>
      <c r="R10924" t="s" s="16">
        <f>HYPERLINK("http://secrets.rutgers.edu:8080/data/asl-ftp/asllvd/demos/verify_start_end_handshape_annotations//test_auto_move//signs_mov_separ_signers/Liz_15638.mov","MOV")</f>
        <v>21</v>
      </c>
    </row>
    <row r="10925" s="2" customFormat="1" ht="13.5" customHeight="1">
      <c r="B10925" s="13"/>
      <c r="C10925" t="s" s="9">
        <v>30</v>
      </c>
      <c r="D10925" t="s" s="8">
        <v>4073</v>
      </c>
      <c r="E10925" t="s" s="9">
        <v>4073</v>
      </c>
      <c r="F10925" t="s" s="10">
        <v>240</v>
      </c>
      <c r="G10925" t="s" s="11">
        <v>185</v>
      </c>
      <c r="H10925" t="s" s="10">
        <v>240</v>
      </c>
      <c r="I10925" t="s" s="11">
        <v>185</v>
      </c>
      <c r="J10925" t="s" s="11">
        <v>20</v>
      </c>
      <c r="K10925" t="s" s="16">
        <f>HYPERLINK("http://csr.bu.edu/ftp/asl/asllvd/demos/verify_start_end_handshape_annotations//test_auto_move//signs_mov/15638.mov","MOV")</f>
        <v>21</v>
      </c>
      <c r="L10925" t="s" s="16">
        <f>HYPERLINK("http://csr.bu.edu/ftp/asl/asllvd/demos/verify_start_end_handshape_annotations//test_auto_move//signs_mov_separ_signers/Brady_15638.mov","MOV")</f>
        <v>21</v>
      </c>
      <c r="M10925" t="s" s="10">
        <v>39</v>
      </c>
      <c r="N10925" s="17">
        <v>43</v>
      </c>
      <c r="O10925" s="18">
        <v>5284</v>
      </c>
      <c r="P10925" s="18">
        <v>5296</v>
      </c>
      <c r="Q10925" t="s" s="16">
        <f>HYPERLINK("http://secrets.rutgers.edu:8080/data/asl-ftp/asllvd/demos/verify_start_end_handshape_annotations//test_auto_move//signs_mov/15638.mov","MOV")</f>
        <v>21</v>
      </c>
      <c r="R10925" t="s" s="16">
        <f>HYPERLINK("http://secrets.rutgers.edu:8080/data/asl-ftp/asllvd/demos/verify_start_end_handshape_annotations//test_auto_move//signs_mov_separ_signers/Brady_15638.mov","MOV")</f>
        <v>21</v>
      </c>
    </row>
    <row r="10926" s="2" customFormat="1" ht="13.5" customHeight="1">
      <c r="B10926" s="13"/>
      <c r="C10926" t="s" s="9">
        <v>41</v>
      </c>
      <c r="D10926" t="s" s="8">
        <v>4073</v>
      </c>
      <c r="E10926" t="s" s="9">
        <v>4073</v>
      </c>
      <c r="F10926" t="s" s="10">
        <v>240</v>
      </c>
      <c r="G10926" t="s" s="11">
        <v>185</v>
      </c>
      <c r="H10926" t="s" s="10">
        <v>240</v>
      </c>
      <c r="I10926" t="s" s="11">
        <v>68</v>
      </c>
      <c r="J10926" t="s" s="11">
        <v>20</v>
      </c>
      <c r="K10926" s="15"/>
      <c r="L10926" t="s" s="16">
        <f>HYPERLINK("http://csr.bu.edu/ftp/asl/asllvd/demos/verify_start_end_handshape_annotations//test_auto_move//signs_mov_separ_signers/Lana_15638.mov","MOV")</f>
        <v>21</v>
      </c>
      <c r="M10926" t="s" s="10">
        <v>42</v>
      </c>
      <c r="N10926" s="17">
        <v>15</v>
      </c>
      <c r="O10926" s="18">
        <v>1455</v>
      </c>
      <c r="P10926" s="18">
        <v>1472</v>
      </c>
      <c r="Q10926" s="15"/>
      <c r="R10926" t="s" s="16">
        <f>HYPERLINK("http://secrets.rutgers.edu:8080/data/asl-ftp/asllvd/demos/verify_start_end_handshape_annotations//test_auto_move//signs_mov_separ_signers/Lana_15638.mov","MOV")</f>
        <v>21</v>
      </c>
    </row>
    <row r="10927" s="2" customFormat="1" ht="13.5" customHeight="1">
      <c r="B10927" s="13"/>
      <c r="C10927" t="s" s="9">
        <v>43</v>
      </c>
      <c r="D10927" t="s" s="8">
        <v>4073</v>
      </c>
      <c r="E10927" t="s" s="9">
        <v>4073</v>
      </c>
      <c r="F10927" t="s" s="10">
        <v>240</v>
      </c>
      <c r="G10927" t="s" s="11">
        <v>185</v>
      </c>
      <c r="H10927" t="s" s="10">
        <v>240</v>
      </c>
      <c r="I10927" t="s" s="11">
        <v>185</v>
      </c>
      <c r="J10927" t="s" s="11">
        <v>20</v>
      </c>
      <c r="K10927" s="15"/>
      <c r="L10927" t="s" s="16">
        <f>HYPERLINK("http://csr.bu.edu/ftp/asl/asllvd/demos/verify_start_end_handshape_annotations//test_auto_move//signs_mov_separ_signers/Dana_15638.mov","MOV")</f>
        <v>21</v>
      </c>
      <c r="M10927" t="s" s="10">
        <v>44</v>
      </c>
      <c r="N10927" s="17">
        <v>18</v>
      </c>
      <c r="O10927" s="18">
        <v>1400</v>
      </c>
      <c r="P10927" s="18">
        <v>1420</v>
      </c>
      <c r="Q10927" s="15"/>
      <c r="R10927" t="s" s="16">
        <f>HYPERLINK("http://secrets.rutgers.edu:8080/data/asl-ftp/asllvd/demos/verify_start_end_handshape_annotations//test_auto_move//signs_mov_separ_signers/Dana_15638.mov","MOV")</f>
        <v>21</v>
      </c>
    </row>
    <row r="10928" s="2" customFormat="1" ht="13.5" customHeight="1">
      <c r="B10928" t="s" s="8">
        <v>4074</v>
      </c>
      <c r="C10928" t="s" s="9">
        <v>14</v>
      </c>
      <c r="D10928" t="s" s="8">
        <v>14</v>
      </c>
      <c r="E10928" t="s" s="9">
        <v>14</v>
      </c>
      <c r="F10928" t="s" s="10">
        <v>14</v>
      </c>
      <c r="G10928" t="s" s="11">
        <v>14</v>
      </c>
      <c r="H10928" t="s" s="10">
        <v>14</v>
      </c>
      <c r="I10928" t="s" s="11">
        <v>14</v>
      </c>
      <c r="J10928" t="s" s="11">
        <v>14</v>
      </c>
      <c r="K10928" t="s" s="12">
        <v>14</v>
      </c>
      <c r="L10928" t="s" s="12">
        <v>14</v>
      </c>
      <c r="M10928" t="s" s="10">
        <v>14</v>
      </c>
      <c r="N10928" t="s" s="11">
        <v>14</v>
      </c>
      <c r="O10928" t="s" s="8">
        <v>14</v>
      </c>
      <c r="P10928" t="s" s="8">
        <v>14</v>
      </c>
      <c r="Q10928" t="s" s="12">
        <v>14</v>
      </c>
      <c r="R10928" t="s" s="12">
        <v>14</v>
      </c>
    </row>
    <row r="10929" s="2" customFormat="1" ht="13.5" customHeight="1">
      <c r="B10929" s="13"/>
      <c r="C10929" t="s" s="9">
        <v>16</v>
      </c>
      <c r="D10929" t="s" s="8">
        <v>4074</v>
      </c>
      <c r="E10929" t="s" s="9">
        <v>4075</v>
      </c>
      <c r="F10929" t="s" s="10">
        <v>287</v>
      </c>
      <c r="G10929" t="s" s="11">
        <v>68</v>
      </c>
      <c r="H10929" t="s" s="10">
        <v>287</v>
      </c>
      <c r="I10929" t="s" s="11">
        <v>68</v>
      </c>
      <c r="J10929" t="s" s="11">
        <v>20</v>
      </c>
      <c r="K10929" s="15"/>
      <c r="L10929" t="s" s="16">
        <f>HYPERLINK("http://csr.bu.edu/ftp/asl/asllvd/demos/verify_start_end_handshape_annotations//test_auto_move//signs_mov_separ_signers/Liz_4667.mov","MOV")</f>
        <v>21</v>
      </c>
      <c r="M10929" t="s" s="10">
        <v>34</v>
      </c>
      <c r="N10929" s="17">
        <v>35</v>
      </c>
      <c r="O10929" s="18">
        <v>3360</v>
      </c>
      <c r="P10929" s="18">
        <v>3421</v>
      </c>
      <c r="Q10929" s="15"/>
      <c r="R10929" t="s" s="16">
        <f>HYPERLINK("http://secrets.rutgers.edu:8080/data/asl-ftp/asllvd/demos/verify_start_end_handshape_annotations//test_auto_move//signs_mov_separ_signers/Liz_4667.mov","MOV")</f>
        <v>21</v>
      </c>
    </row>
    <row r="10930" s="2" customFormat="1" ht="13.5" customHeight="1">
      <c r="B10930" s="13"/>
      <c r="C10930" t="s" s="9">
        <v>27</v>
      </c>
      <c r="D10930" t="s" s="8">
        <v>4074</v>
      </c>
      <c r="E10930" t="s" s="9">
        <v>4074</v>
      </c>
      <c r="F10930" t="s" s="10">
        <v>287</v>
      </c>
      <c r="G10930" t="s" s="11">
        <v>68</v>
      </c>
      <c r="H10930" t="s" s="10">
        <v>287</v>
      </c>
      <c r="I10930" t="s" s="11">
        <v>68</v>
      </c>
      <c r="J10930" t="s" s="11">
        <v>20</v>
      </c>
      <c r="K10930" s="15"/>
      <c r="L10930" t="s" s="16">
        <f>HYPERLINK("http://csr.bu.edu/ftp/asl/asllvd/demos/verify_start_end_handshape_annotations//test_auto_move//signs_mov_separ_signers/Naomi_4667.mov","MOV")</f>
        <v>21</v>
      </c>
      <c r="M10930" t="s" s="10">
        <v>38</v>
      </c>
      <c r="N10930" s="17">
        <v>27</v>
      </c>
      <c r="O10930" s="18">
        <v>2845</v>
      </c>
      <c r="P10930" s="18">
        <v>2890</v>
      </c>
      <c r="Q10930" s="15"/>
      <c r="R10930" t="s" s="16">
        <f>HYPERLINK("http://secrets.rutgers.edu:8080/data/asl-ftp/asllvd/demos/verify_start_end_handshape_annotations//test_auto_move//signs_mov_separ_signers/Naomi_4667.mov","MOV")</f>
        <v>21</v>
      </c>
    </row>
    <row r="10931" s="2" customFormat="1" ht="13.5" customHeight="1">
      <c r="B10931" s="13"/>
      <c r="C10931" t="s" s="9">
        <v>27</v>
      </c>
      <c r="D10931" t="s" s="8">
        <v>4074</v>
      </c>
      <c r="E10931" t="s" s="9">
        <v>4075</v>
      </c>
      <c r="F10931" t="s" s="10">
        <v>287</v>
      </c>
      <c r="G10931" t="s" s="11">
        <v>68</v>
      </c>
      <c r="H10931" t="s" s="10">
        <v>287</v>
      </c>
      <c r="I10931" t="s" s="11">
        <v>68</v>
      </c>
      <c r="J10931" t="s" s="11">
        <v>20</v>
      </c>
      <c r="K10931" t="s" s="16">
        <f>HYPERLINK("http://csr.bu.edu/ftp/asl/asllvd/demos/verify_start_end_handshape_annotations//test_auto_move//signs_mov/4667_15499_merged.mov","MOV")</f>
        <v>21</v>
      </c>
      <c r="L10931" t="s" s="16">
        <f>HYPERLINK("http://csr.bu.edu/ftp/asl/asllvd/demos/verify_start_end_handshape_annotations//test_auto_move//signs_mov_separ_signers/Naomi_15499.mov","MOV")</f>
        <v>21</v>
      </c>
      <c r="M10931" t="s" s="10">
        <v>38</v>
      </c>
      <c r="N10931" s="17">
        <v>29</v>
      </c>
      <c r="O10931" s="18">
        <v>2610</v>
      </c>
      <c r="P10931" s="18">
        <v>2667</v>
      </c>
      <c r="Q10931" t="s" s="16">
        <f>HYPERLINK("http://secrets.rutgers.edu:8080/data/asl-ftp/asllvd/demos/verify_start_end_handshape_annotations//test_auto_move//signs_mov/4667_15499_merged.mov","MOV")</f>
        <v>21</v>
      </c>
      <c r="R10931" t="s" s="16">
        <f>HYPERLINK("http://secrets.rutgers.edu:8080/data/asl-ftp/asllvd/demos/verify_start_end_handshape_annotations//test_auto_move//signs_mov_separ_signers/Naomi_15499.mov","MOV")</f>
        <v>21</v>
      </c>
    </row>
    <row r="10932" s="2" customFormat="1" ht="13.5" customHeight="1">
      <c r="B10932" s="13"/>
      <c r="C10932" t="s" s="9">
        <v>30</v>
      </c>
      <c r="D10932" t="s" s="8">
        <v>4074</v>
      </c>
      <c r="E10932" t="s" s="9">
        <v>4075</v>
      </c>
      <c r="F10932" t="s" s="10">
        <v>287</v>
      </c>
      <c r="G10932" t="s" s="11">
        <v>68</v>
      </c>
      <c r="H10932" t="s" s="10">
        <v>287</v>
      </c>
      <c r="I10932" t="s" s="11">
        <v>68</v>
      </c>
      <c r="J10932" t="s" s="11">
        <v>20</v>
      </c>
      <c r="K10932" s="15"/>
      <c r="L10932" t="s" s="16">
        <f>HYPERLINK("http://csr.bu.edu/ftp/asl/asllvd/demos/verify_start_end_handshape_annotations//test_auto_move//signs_mov_separ_signers/Brady_4667.mov","MOV")</f>
        <v>21</v>
      </c>
      <c r="M10932" t="s" s="10">
        <v>39</v>
      </c>
      <c r="N10932" s="17">
        <v>41</v>
      </c>
      <c r="O10932" s="18">
        <v>714</v>
      </c>
      <c r="P10932" s="18">
        <v>761</v>
      </c>
      <c r="Q10932" s="15"/>
      <c r="R10932" t="s" s="16">
        <f>HYPERLINK("http://secrets.rutgers.edu:8080/data/asl-ftp/asllvd/demos/verify_start_end_handshape_annotations//test_auto_move//signs_mov_separ_signers/Brady_4667.mov","MOV")</f>
        <v>21</v>
      </c>
    </row>
    <row r="10933" s="2" customFormat="1" ht="13.5" customHeight="1">
      <c r="B10933" s="13"/>
      <c r="C10933" t="s" s="9">
        <v>30</v>
      </c>
      <c r="D10933" t="s" s="8">
        <v>4074</v>
      </c>
      <c r="E10933" t="s" s="9">
        <v>4075</v>
      </c>
      <c r="F10933" t="s" s="10">
        <v>287</v>
      </c>
      <c r="G10933" t="s" s="11">
        <v>68</v>
      </c>
      <c r="H10933" t="s" s="10">
        <v>287</v>
      </c>
      <c r="I10933" t="s" s="11">
        <v>68</v>
      </c>
      <c r="J10933" t="s" s="11">
        <v>20</v>
      </c>
      <c r="K10933" s="15"/>
      <c r="L10933" t="s" s="16">
        <f>HYPERLINK("http://csr.bu.edu/ftp/asl/asllvd/demos/verify_start_end_handshape_annotations//test_auto_move//signs_mov_separ_signers/Brady_15499.mov","MOV")</f>
        <v>21</v>
      </c>
      <c r="M10933" t="s" s="10">
        <v>39</v>
      </c>
      <c r="N10933" s="17">
        <v>42</v>
      </c>
      <c r="O10933" s="18">
        <v>1225</v>
      </c>
      <c r="P10933" s="18">
        <v>1272</v>
      </c>
      <c r="Q10933" s="15"/>
      <c r="R10933" t="s" s="16">
        <f>HYPERLINK("http://secrets.rutgers.edu:8080/data/asl-ftp/asllvd/demos/verify_start_end_handshape_annotations//test_auto_move//signs_mov_separ_signers/Brady_15499.mov","MOV")</f>
        <v>21</v>
      </c>
    </row>
    <row r="10934" s="2" customFormat="1" ht="13.5" customHeight="1">
      <c r="B10934" s="13"/>
      <c r="C10934" t="s" s="9">
        <v>41</v>
      </c>
      <c r="D10934" t="s" s="8">
        <v>4074</v>
      </c>
      <c r="E10934" t="s" s="9">
        <v>4075</v>
      </c>
      <c r="F10934" t="s" s="10">
        <v>287</v>
      </c>
      <c r="G10934" t="s" s="11">
        <v>68</v>
      </c>
      <c r="H10934" t="s" s="10">
        <v>287</v>
      </c>
      <c r="I10934" t="s" s="11">
        <v>68</v>
      </c>
      <c r="J10934" t="s" s="11">
        <v>20</v>
      </c>
      <c r="K10934" s="15"/>
      <c r="L10934" t="s" s="16">
        <f>HYPERLINK("http://csr.bu.edu/ftp/asl/asllvd/demos/verify_start_end_handshape_annotations//test_auto_move//signs_mov_separ_signers/Lana_4667.mov","MOV")</f>
        <v>21</v>
      </c>
      <c r="M10934" t="s" s="10">
        <v>42</v>
      </c>
      <c r="N10934" s="17">
        <v>15</v>
      </c>
      <c r="O10934" s="18">
        <v>1189</v>
      </c>
      <c r="P10934" s="18">
        <v>1243</v>
      </c>
      <c r="Q10934" s="15"/>
      <c r="R10934" t="s" s="16">
        <f>HYPERLINK("http://secrets.rutgers.edu:8080/data/asl-ftp/asllvd/demos/verify_start_end_handshape_annotations//test_auto_move//signs_mov_separ_signers/Lana_4667.mov","MOV")</f>
        <v>21</v>
      </c>
    </row>
    <row r="10935" s="2" customFormat="1" ht="13.5" customHeight="1">
      <c r="B10935" t="s" s="8">
        <v>52</v>
      </c>
      <c r="C10935" t="s" s="9">
        <v>53</v>
      </c>
      <c r="D10935" t="s" s="8">
        <v>53</v>
      </c>
      <c r="E10935" t="s" s="9">
        <v>53</v>
      </c>
      <c r="F10935" t="s" s="10">
        <v>53</v>
      </c>
      <c r="G10935" t="s" s="11">
        <v>53</v>
      </c>
      <c r="H10935" t="s" s="10">
        <v>53</v>
      </c>
      <c r="I10935" t="s" s="11">
        <v>53</v>
      </c>
      <c r="J10935" t="s" s="11">
        <v>53</v>
      </c>
      <c r="K10935" t="s" s="12">
        <v>53</v>
      </c>
      <c r="L10935" t="s" s="12">
        <v>53</v>
      </c>
      <c r="M10935" t="s" s="10">
        <v>53</v>
      </c>
      <c r="N10935" t="s" s="11">
        <v>53</v>
      </c>
      <c r="O10935" t="s" s="8">
        <v>53</v>
      </c>
      <c r="P10935" t="s" s="8">
        <v>53</v>
      </c>
      <c r="Q10935" t="s" s="12">
        <v>53</v>
      </c>
      <c r="R10935" t="s" s="12">
        <v>53</v>
      </c>
    </row>
    <row r="10936" s="2" customFormat="1" ht="13.5" customHeight="1">
      <c r="B10936" s="13"/>
      <c r="C10936" t="s" s="9">
        <v>16</v>
      </c>
      <c r="D10936" t="s" s="8">
        <v>4074</v>
      </c>
      <c r="E10936" t="s" s="9">
        <v>4076</v>
      </c>
      <c r="F10936" t="s" s="10">
        <v>287</v>
      </c>
      <c r="G10936" t="s" s="11">
        <v>55</v>
      </c>
      <c r="H10936" t="s" s="10">
        <v>287</v>
      </c>
      <c r="I10936" t="s" s="11">
        <v>55</v>
      </c>
      <c r="J10936" t="s" s="11">
        <v>20</v>
      </c>
      <c r="K10936" s="15"/>
      <c r="L10936" t="s" s="16">
        <f>HYPERLINK("http://csr.bu.edu/ftp/asl/asllvd/demos/verify_start_end_handshape_annotations//test_auto_move//signs_mov_separ_signers/Liz_16390.mov","MOV")</f>
        <v>21</v>
      </c>
      <c r="M10936" t="s" s="10">
        <v>34</v>
      </c>
      <c r="N10936" s="17">
        <v>33</v>
      </c>
      <c r="O10936" s="18">
        <v>2535</v>
      </c>
      <c r="P10936" s="18">
        <v>2585</v>
      </c>
      <c r="Q10936" s="15"/>
      <c r="R10936" t="s" s="16">
        <f>HYPERLINK("http://secrets.rutgers.edu:8080/data/asl-ftp/asllvd/demos/verify_start_end_handshape_annotations//test_auto_move//signs_mov_separ_signers/Liz_16390.mov","MOV")</f>
        <v>21</v>
      </c>
    </row>
    <row r="10937" s="2" customFormat="1" ht="13.5" customHeight="1">
      <c r="B10937" s="13"/>
      <c r="C10937" t="s" s="9">
        <v>23</v>
      </c>
      <c r="D10937" t="s" s="8">
        <v>4074</v>
      </c>
      <c r="E10937" t="s" s="9">
        <v>4076</v>
      </c>
      <c r="F10937" t="s" s="10">
        <v>287</v>
      </c>
      <c r="G10937" t="s" s="11">
        <v>55</v>
      </c>
      <c r="H10937" t="s" s="10">
        <v>287</v>
      </c>
      <c r="I10937" t="s" s="11">
        <v>55</v>
      </c>
      <c r="J10937" t="s" s="11">
        <v>20</v>
      </c>
      <c r="K10937" t="s" s="16">
        <f>HYPERLINK("http://csr.bu.edu/ftp/asl/asllvd/demos/verify_start_end_handshape_annotations//test_auto_move//signs_mov/16390_16552_merged.mov","MOV")</f>
        <v>21</v>
      </c>
      <c r="L10937" t="s" s="16">
        <f>HYPERLINK("http://csr.bu.edu/ftp/asl/asllvd/demos/verify_start_end_handshape_annotations//test_auto_move//signs_mov_separ_signers/Tyler_16390.mov","MOV")</f>
        <v>21</v>
      </c>
      <c r="M10937" t="s" s="10">
        <v>37</v>
      </c>
      <c r="N10937" s="17">
        <v>7</v>
      </c>
      <c r="O10937" s="18">
        <v>3500</v>
      </c>
      <c r="P10937" s="18">
        <v>3540</v>
      </c>
      <c r="Q10937" t="s" s="16">
        <f>HYPERLINK("http://secrets.rutgers.edu:8080/data/asl-ftp/asllvd/demos/verify_start_end_handshape_annotations//test_auto_move//signs_mov/16390_16552_merged.mov","MOV")</f>
        <v>21</v>
      </c>
      <c r="R10937" t="s" s="16">
        <f>HYPERLINK("http://secrets.rutgers.edu:8080/data/asl-ftp/asllvd/demos/verify_start_end_handshape_annotations//test_auto_move//signs_mov_separ_signers/Tyler_16390.mov","MOV")</f>
        <v>21</v>
      </c>
    </row>
    <row r="10938" s="2" customFormat="1" ht="13.5" customHeight="1">
      <c r="B10938" s="13"/>
      <c r="C10938" t="s" s="9">
        <v>23</v>
      </c>
      <c r="D10938" t="s" s="8">
        <v>4074</v>
      </c>
      <c r="E10938" t="s" s="9">
        <v>4076</v>
      </c>
      <c r="F10938" t="s" s="10">
        <v>287</v>
      </c>
      <c r="G10938" t="s" s="11">
        <v>55</v>
      </c>
      <c r="H10938" t="s" s="10">
        <v>287</v>
      </c>
      <c r="I10938" t="s" s="11">
        <v>55</v>
      </c>
      <c r="J10938" t="s" s="11">
        <v>20</v>
      </c>
      <c r="K10938" s="15"/>
      <c r="L10938" t="s" s="16">
        <f>HYPERLINK("http://csr.bu.edu/ftp/asl/asllvd/demos/verify_start_end_handshape_annotations//test_auto_move//signs_mov_separ_signers/Tyler_16552.mov","MOV")</f>
        <v>21</v>
      </c>
      <c r="M10938" t="s" s="10">
        <v>37</v>
      </c>
      <c r="N10938" s="17">
        <v>9</v>
      </c>
      <c r="O10938" s="18">
        <v>3555</v>
      </c>
      <c r="P10938" s="18">
        <v>3600</v>
      </c>
      <c r="Q10938" s="15"/>
      <c r="R10938" t="s" s="16">
        <f>HYPERLINK("http://secrets.rutgers.edu:8080/data/asl-ftp/asllvd/demos/verify_start_end_handshape_annotations//test_auto_move//signs_mov_separ_signers/Tyler_16552.mov","MOV")</f>
        <v>21</v>
      </c>
    </row>
    <row r="10939" s="2" customFormat="1" ht="13.5" customHeight="1">
      <c r="B10939" t="s" s="8">
        <v>52</v>
      </c>
      <c r="C10939" t="s" s="9">
        <v>53</v>
      </c>
      <c r="D10939" t="s" s="8">
        <v>53</v>
      </c>
      <c r="E10939" t="s" s="9">
        <v>53</v>
      </c>
      <c r="F10939" t="s" s="10">
        <v>53</v>
      </c>
      <c r="G10939" t="s" s="11">
        <v>53</v>
      </c>
      <c r="H10939" t="s" s="10">
        <v>53</v>
      </c>
      <c r="I10939" t="s" s="11">
        <v>53</v>
      </c>
      <c r="J10939" t="s" s="11">
        <v>53</v>
      </c>
      <c r="K10939" t="s" s="12">
        <v>53</v>
      </c>
      <c r="L10939" t="s" s="12">
        <v>53</v>
      </c>
      <c r="M10939" t="s" s="10">
        <v>53</v>
      </c>
      <c r="N10939" t="s" s="11">
        <v>53</v>
      </c>
      <c r="O10939" t="s" s="8">
        <v>53</v>
      </c>
      <c r="P10939" t="s" s="8">
        <v>53</v>
      </c>
      <c r="Q10939" t="s" s="12">
        <v>53</v>
      </c>
      <c r="R10939" t="s" s="12">
        <v>53</v>
      </c>
    </row>
    <row r="10940" s="2" customFormat="1" ht="13.5" customHeight="1">
      <c r="B10940" s="13"/>
      <c r="C10940" t="s" s="9">
        <v>43</v>
      </c>
      <c r="D10940" t="s" s="8">
        <v>4074</v>
      </c>
      <c r="E10940" t="s" s="9">
        <v>4077</v>
      </c>
      <c r="F10940" t="s" s="10">
        <v>287</v>
      </c>
      <c r="G10940" t="s" s="11">
        <v>68</v>
      </c>
      <c r="H10940" t="s" s="10">
        <v>287</v>
      </c>
      <c r="I10940" t="s" s="11">
        <v>68</v>
      </c>
      <c r="J10940" t="s" s="11">
        <v>136</v>
      </c>
      <c r="K10940" t="s" s="16">
        <f>HYPERLINK("http://csr.bu.edu/ftp/asl/asllvd/demos/verify_start_end_handshape_annotations//test_auto_move//signs_mov/16553.mov","MOV")</f>
        <v>21</v>
      </c>
      <c r="L10940" t="s" s="16">
        <f>HYPERLINK("http://csr.bu.edu/ftp/asl/asllvd/demos/verify_start_end_handshape_annotations//test_auto_move//signs_mov_separ_signers/Dana_16553.mov","MOV")</f>
        <v>21</v>
      </c>
      <c r="M10940" t="s" s="10">
        <v>44</v>
      </c>
      <c r="N10940" s="17">
        <v>18</v>
      </c>
      <c r="O10940" s="18">
        <v>1097</v>
      </c>
      <c r="P10940" s="18">
        <v>1185</v>
      </c>
      <c r="Q10940" t="s" s="16">
        <f>HYPERLINK("http://secrets.rutgers.edu:8080/data/asl-ftp/asllvd/demos/verify_start_end_handshape_annotations//test_auto_move//signs_mov/16553.mov","MOV")</f>
        <v>21</v>
      </c>
      <c r="R10940" t="s" s="16">
        <f>HYPERLINK("http://secrets.rutgers.edu:8080/data/asl-ftp/asllvd/demos/verify_start_end_handshape_annotations//test_auto_move//signs_mov_separ_signers/Dana_16553.mov","MOV")</f>
        <v>21</v>
      </c>
    </row>
    <row r="10941" s="2" customFormat="1" ht="13.5" customHeight="1">
      <c r="B10941" t="s" s="8">
        <v>4078</v>
      </c>
      <c r="C10941" t="s" s="9">
        <v>14</v>
      </c>
      <c r="D10941" t="s" s="8">
        <v>14</v>
      </c>
      <c r="E10941" t="s" s="9">
        <v>14</v>
      </c>
      <c r="F10941" t="s" s="10">
        <v>14</v>
      </c>
      <c r="G10941" t="s" s="11">
        <v>14</v>
      </c>
      <c r="H10941" t="s" s="10">
        <v>14</v>
      </c>
      <c r="I10941" t="s" s="11">
        <v>14</v>
      </c>
      <c r="J10941" t="s" s="11">
        <v>14</v>
      </c>
      <c r="K10941" t="s" s="12">
        <v>14</v>
      </c>
      <c r="L10941" t="s" s="12">
        <v>14</v>
      </c>
      <c r="M10941" t="s" s="10">
        <v>14</v>
      </c>
      <c r="N10941" t="s" s="11">
        <v>14</v>
      </c>
      <c r="O10941" t="s" s="8">
        <v>14</v>
      </c>
      <c r="P10941" t="s" s="8">
        <v>14</v>
      </c>
      <c r="Q10941" t="s" s="12">
        <v>14</v>
      </c>
      <c r="R10941" t="s" s="12">
        <v>14</v>
      </c>
    </row>
    <row r="10942" s="2" customFormat="1" ht="13.5" customHeight="1">
      <c r="B10942" s="13"/>
      <c r="C10942" t="s" s="9">
        <v>16</v>
      </c>
      <c r="D10942" t="s" s="8">
        <v>4078</v>
      </c>
      <c r="E10942" t="s" s="9">
        <v>4078</v>
      </c>
      <c r="F10942" t="s" s="10">
        <v>119</v>
      </c>
      <c r="G10942" t="s" s="11">
        <v>119</v>
      </c>
      <c r="H10942" t="s" s="10">
        <v>185</v>
      </c>
      <c r="I10942" t="s" s="11">
        <v>119</v>
      </c>
      <c r="J10942" t="s" s="11">
        <v>20</v>
      </c>
      <c r="K10942" s="15"/>
      <c r="L10942" t="s" s="16">
        <f>HYPERLINK("http://csr.bu.edu/ftp/asl/asllvd/demos/verify_start_end_handshape_annotations//test_auto_move//signs_mov_separ_signers/Liz_4677.mov","MOV")</f>
        <v>21</v>
      </c>
      <c r="M10942" t="s" s="10">
        <v>84</v>
      </c>
      <c r="N10942" s="17">
        <v>29</v>
      </c>
      <c r="O10942" s="18">
        <v>477</v>
      </c>
      <c r="P10942" s="18">
        <v>506</v>
      </c>
      <c r="Q10942" s="15"/>
      <c r="R10942" t="s" s="16">
        <f>HYPERLINK("http://secrets.rutgers.edu:8080/data/asl-ftp/asllvd/demos/verify_start_end_handshape_annotations//test_auto_move//signs_mov_separ_signers/Liz_4677.mov","MOV")</f>
        <v>21</v>
      </c>
    </row>
    <row r="10943" s="2" customFormat="1" ht="13.5" customHeight="1">
      <c r="B10943" s="13"/>
      <c r="C10943" t="s" s="9">
        <v>27</v>
      </c>
      <c r="D10943" t="s" s="8">
        <v>4078</v>
      </c>
      <c r="E10943" t="s" s="9">
        <v>4078</v>
      </c>
      <c r="F10943" t="s" s="10">
        <v>119</v>
      </c>
      <c r="G10943" t="s" s="11">
        <v>55</v>
      </c>
      <c r="H10943" t="s" s="10">
        <v>185</v>
      </c>
      <c r="I10943" t="s" s="11">
        <v>55</v>
      </c>
      <c r="J10943" t="s" s="11">
        <v>20</v>
      </c>
      <c r="K10943" t="s" s="16">
        <f>HYPERLINK("http://csr.bu.edu/ftp/asl/asllvd/demos/verify_start_end_handshape_annotations//test_auto_move//signs_mov/4677.mov","MOV")</f>
        <v>21</v>
      </c>
      <c r="L10943" t="s" s="16">
        <f>HYPERLINK("http://csr.bu.edu/ftp/asl/asllvd/demos/verify_start_end_handshape_annotations//test_auto_move//signs_mov_separ_signers/Naomi_4677.mov","MOV")</f>
        <v>21</v>
      </c>
      <c r="M10943" t="s" s="10">
        <v>86</v>
      </c>
      <c r="N10943" s="17">
        <v>29</v>
      </c>
      <c r="O10943" s="18">
        <v>205</v>
      </c>
      <c r="P10943" s="18">
        <v>235</v>
      </c>
      <c r="Q10943" t="s" s="16">
        <f>HYPERLINK("http://secrets.rutgers.edu:8080/data/asl-ftp/asllvd/demos/verify_start_end_handshape_annotations//test_auto_move//signs_mov/4677.mov","MOV")</f>
        <v>21</v>
      </c>
      <c r="R10943" t="s" s="16">
        <f>HYPERLINK("http://secrets.rutgers.edu:8080/data/asl-ftp/asllvd/demos/verify_start_end_handshape_annotations//test_auto_move//signs_mov_separ_signers/Naomi_4677.mov","MOV")</f>
        <v>21</v>
      </c>
    </row>
    <row r="10944" s="2" customFormat="1" ht="13.5" customHeight="1">
      <c r="B10944" s="13"/>
      <c r="C10944" t="s" s="9">
        <v>30</v>
      </c>
      <c r="D10944" t="s" s="8">
        <v>4078</v>
      </c>
      <c r="E10944" t="s" s="9">
        <v>4078</v>
      </c>
      <c r="F10944" t="s" s="10">
        <v>119</v>
      </c>
      <c r="G10944" t="s" s="11">
        <v>55</v>
      </c>
      <c r="H10944" t="s" s="10">
        <v>150</v>
      </c>
      <c r="I10944" t="s" s="11">
        <v>55</v>
      </c>
      <c r="J10944" t="s" s="11">
        <v>20</v>
      </c>
      <c r="K10944" s="15"/>
      <c r="L10944" t="s" s="16">
        <f>HYPERLINK("http://csr.bu.edu/ftp/asl/asllvd/demos/verify_start_end_handshape_annotations//test_auto_move//signs_mov_separ_signers/Brady_4677.mov","MOV")</f>
        <v>21</v>
      </c>
      <c r="M10944" t="s" s="10">
        <v>39</v>
      </c>
      <c r="N10944" s="17">
        <v>10</v>
      </c>
      <c r="O10944" s="18">
        <v>6284</v>
      </c>
      <c r="P10944" s="18">
        <v>6308</v>
      </c>
      <c r="Q10944" s="15"/>
      <c r="R10944" t="s" s="16">
        <f>HYPERLINK("http://secrets.rutgers.edu:8080/data/asl-ftp/asllvd/demos/verify_start_end_handshape_annotations//test_auto_move//signs_mov_separ_signers/Brady_4677.mov","MOV")</f>
        <v>21</v>
      </c>
    </row>
    <row r="10945" s="2" customFormat="1" ht="13.5" customHeight="1">
      <c r="B10945" t="s" s="8">
        <v>4079</v>
      </c>
      <c r="C10945" t="s" s="9">
        <v>14</v>
      </c>
      <c r="D10945" t="s" s="8">
        <v>14</v>
      </c>
      <c r="E10945" t="s" s="9">
        <v>14</v>
      </c>
      <c r="F10945" t="s" s="10">
        <v>14</v>
      </c>
      <c r="G10945" t="s" s="11">
        <v>14</v>
      </c>
      <c r="H10945" t="s" s="10">
        <v>14</v>
      </c>
      <c r="I10945" t="s" s="11">
        <v>14</v>
      </c>
      <c r="J10945" t="s" s="11">
        <v>14</v>
      </c>
      <c r="K10945" t="s" s="12">
        <v>14</v>
      </c>
      <c r="L10945" t="s" s="12">
        <v>14</v>
      </c>
      <c r="M10945" t="s" s="10">
        <v>14</v>
      </c>
      <c r="N10945" t="s" s="11">
        <v>14</v>
      </c>
      <c r="O10945" t="s" s="8">
        <v>14</v>
      </c>
      <c r="P10945" t="s" s="8">
        <v>14</v>
      </c>
      <c r="Q10945" t="s" s="12">
        <v>14</v>
      </c>
      <c r="R10945" t="s" s="12">
        <v>14</v>
      </c>
    </row>
    <row r="10946" s="2" customFormat="1" ht="13.5" customHeight="1">
      <c r="B10946" s="13"/>
      <c r="C10946" t="s" s="9">
        <v>16</v>
      </c>
      <c r="D10946" t="s" s="8">
        <v>4079</v>
      </c>
      <c r="E10946" t="s" s="9">
        <v>4079</v>
      </c>
      <c r="F10946" t="s" s="10">
        <v>73</v>
      </c>
      <c r="G10946" t="s" s="11">
        <v>55</v>
      </c>
      <c r="H10946" t="s" s="10">
        <v>119</v>
      </c>
      <c r="I10946" t="s" s="11">
        <v>55</v>
      </c>
      <c r="J10946" t="s" s="11">
        <v>20</v>
      </c>
      <c r="K10946" t="s" s="16">
        <f>HYPERLINK("http://csr.bu.edu/ftp/asl/asllvd/demos/verify_start_end_handshape_annotations//test_auto_move//signs_mov/15533.mov","MOV")</f>
        <v>21</v>
      </c>
      <c r="L10946" t="s" s="16">
        <f>HYPERLINK("http://csr.bu.edu/ftp/asl/asllvd/demos/verify_start_end_handshape_annotations//test_auto_move//signs_mov_separ_signers/Liz_15533.mov","MOV")</f>
        <v>21</v>
      </c>
      <c r="M10946" t="s" s="10">
        <v>84</v>
      </c>
      <c r="N10946" s="17">
        <v>14</v>
      </c>
      <c r="O10946" s="18">
        <v>277</v>
      </c>
      <c r="P10946" s="18">
        <v>301</v>
      </c>
      <c r="Q10946" t="s" s="16">
        <f>HYPERLINK("http://secrets.rutgers.edu:8080/data/asl-ftp/asllvd/demos/verify_start_end_handshape_annotations//test_auto_move//signs_mov/15533.mov","MOV")</f>
        <v>21</v>
      </c>
      <c r="R10946" t="s" s="16">
        <f>HYPERLINK("http://secrets.rutgers.edu:8080/data/asl-ftp/asllvd/demos/verify_start_end_handshape_annotations//test_auto_move//signs_mov_separ_signers/Liz_15533.mov","MOV")</f>
        <v>21</v>
      </c>
    </row>
    <row r="10947" s="2" customFormat="1" ht="13.5" customHeight="1">
      <c r="B10947" s="13"/>
      <c r="C10947" t="s" s="9">
        <v>30</v>
      </c>
      <c r="D10947" t="s" s="8">
        <v>4079</v>
      </c>
      <c r="E10947" t="s" s="9">
        <v>4079</v>
      </c>
      <c r="F10947" t="s" s="10">
        <v>73</v>
      </c>
      <c r="G10947" t="s" s="11">
        <v>55</v>
      </c>
      <c r="H10947" t="s" s="10">
        <v>119</v>
      </c>
      <c r="I10947" t="s" s="11">
        <v>55</v>
      </c>
      <c r="J10947" t="s" s="11">
        <v>20</v>
      </c>
      <c r="K10947" s="15"/>
      <c r="L10947" t="s" s="16">
        <f>HYPERLINK("http://csr.bu.edu/ftp/asl/asllvd/demos/verify_start_end_handshape_annotations//test_auto_move//signs_mov_separ_signers/Brady_15533.mov","MOV")</f>
        <v>21</v>
      </c>
      <c r="M10947" t="s" s="10">
        <v>31</v>
      </c>
      <c r="N10947" s="17">
        <v>32</v>
      </c>
      <c r="O10947" s="18">
        <v>14142</v>
      </c>
      <c r="P10947" s="18">
        <v>14166</v>
      </c>
      <c r="Q10947" s="15"/>
      <c r="R10947" t="s" s="16">
        <f>HYPERLINK("http://secrets.rutgers.edu:8080/data/asl-ftp/asllvd/demos/verify_start_end_handshape_annotations//test_auto_move//signs_mov_separ_signers/Brady_15533.mov","MOV")</f>
        <v>21</v>
      </c>
    </row>
    <row r="10948" s="2" customFormat="1" ht="13.5" customHeight="1">
      <c r="B10948" t="s" s="8">
        <v>52</v>
      </c>
      <c r="C10948" t="s" s="9">
        <v>53</v>
      </c>
      <c r="D10948" t="s" s="8">
        <v>53</v>
      </c>
      <c r="E10948" t="s" s="9">
        <v>53</v>
      </c>
      <c r="F10948" t="s" s="10">
        <v>53</v>
      </c>
      <c r="G10948" t="s" s="11">
        <v>53</v>
      </c>
      <c r="H10948" t="s" s="10">
        <v>53</v>
      </c>
      <c r="I10948" t="s" s="11">
        <v>53</v>
      </c>
      <c r="J10948" t="s" s="11">
        <v>53</v>
      </c>
      <c r="K10948" t="s" s="12">
        <v>53</v>
      </c>
      <c r="L10948" t="s" s="12">
        <v>53</v>
      </c>
      <c r="M10948" t="s" s="10">
        <v>53</v>
      </c>
      <c r="N10948" t="s" s="11">
        <v>53</v>
      </c>
      <c r="O10948" t="s" s="8">
        <v>53</v>
      </c>
      <c r="P10948" t="s" s="8">
        <v>53</v>
      </c>
      <c r="Q10948" t="s" s="12">
        <v>53</v>
      </c>
      <c r="R10948" t="s" s="12">
        <v>53</v>
      </c>
    </row>
    <row r="10949" s="2" customFormat="1" ht="13.5" customHeight="1">
      <c r="B10949" s="13"/>
      <c r="C10949" t="s" s="9">
        <v>27</v>
      </c>
      <c r="D10949" t="s" s="8">
        <v>4079</v>
      </c>
      <c r="E10949" t="s" s="9">
        <v>4080</v>
      </c>
      <c r="F10949" t="s" s="10">
        <v>73</v>
      </c>
      <c r="G10949" s="14"/>
      <c r="H10949" t="s" s="10">
        <v>119</v>
      </c>
      <c r="I10949" s="14"/>
      <c r="J10949" t="s" s="11">
        <v>20</v>
      </c>
      <c r="K10949" t="s" s="16">
        <f>HYPERLINK("http://csr.bu.edu/ftp/asl/asllvd/demos/verify_start_end_handshape_annotations//test_auto_move//signs_mov/15639.mov","MOV")</f>
        <v>21</v>
      </c>
      <c r="L10949" t="s" s="16">
        <f>HYPERLINK("http://csr.bu.edu/ftp/asl/asllvd/demos/verify_start_end_handshape_annotations//test_auto_move//signs_mov_separ_signers/Naomi_15639.mov","MOV")</f>
        <v>21</v>
      </c>
      <c r="M10949" t="s" s="10">
        <v>86</v>
      </c>
      <c r="N10949" s="17">
        <v>13</v>
      </c>
      <c r="O10949" s="18">
        <v>3190</v>
      </c>
      <c r="P10949" s="18">
        <v>3221</v>
      </c>
      <c r="Q10949" t="s" s="16">
        <f>HYPERLINK("http://secrets.rutgers.edu:8080/data/asl-ftp/asllvd/demos/verify_start_end_handshape_annotations//test_auto_move//signs_mov/15639.mov","MOV")</f>
        <v>21</v>
      </c>
      <c r="R10949" t="s" s="16">
        <f>HYPERLINK("http://secrets.rutgers.edu:8080/data/asl-ftp/asllvd/demos/verify_start_end_handshape_annotations//test_auto_move//signs_mov_separ_signers/Naomi_15639.mov","MOV")</f>
        <v>21</v>
      </c>
    </row>
    <row r="10950" s="2" customFormat="1" ht="13.5" customHeight="1">
      <c r="B10950" t="s" s="8">
        <v>4079</v>
      </c>
      <c r="C10950" t="s" s="9">
        <v>14</v>
      </c>
      <c r="D10950" t="s" s="8">
        <v>14</v>
      </c>
      <c r="E10950" t="s" s="9">
        <v>14</v>
      </c>
      <c r="F10950" t="s" s="10">
        <v>14</v>
      </c>
      <c r="G10950" t="s" s="11">
        <v>14</v>
      </c>
      <c r="H10950" t="s" s="10">
        <v>14</v>
      </c>
      <c r="I10950" t="s" s="11">
        <v>14</v>
      </c>
      <c r="J10950" t="s" s="11">
        <v>14</v>
      </c>
      <c r="K10950" t="s" s="12">
        <v>14</v>
      </c>
      <c r="L10950" t="s" s="12">
        <v>14</v>
      </c>
      <c r="M10950" t="s" s="10">
        <v>14</v>
      </c>
      <c r="N10950" t="s" s="11">
        <v>14</v>
      </c>
      <c r="O10950" t="s" s="8">
        <v>14</v>
      </c>
      <c r="P10950" t="s" s="8">
        <v>14</v>
      </c>
      <c r="Q10950" t="s" s="12">
        <v>14</v>
      </c>
      <c r="R10950" t="s" s="12">
        <v>14</v>
      </c>
    </row>
    <row r="10951" s="2" customFormat="1" ht="13.5" customHeight="1">
      <c r="B10951" s="13"/>
      <c r="C10951" t="s" s="9">
        <v>23</v>
      </c>
      <c r="D10951" t="s" s="8">
        <v>4081</v>
      </c>
      <c r="E10951" t="s" s="9">
        <v>4081</v>
      </c>
      <c r="F10951" t="s" s="10">
        <v>119</v>
      </c>
      <c r="G10951" t="s" s="11">
        <v>80</v>
      </c>
      <c r="H10951" t="s" s="10">
        <v>73</v>
      </c>
      <c r="I10951" t="s" s="11">
        <v>80</v>
      </c>
      <c r="J10951" t="s" s="11">
        <v>20</v>
      </c>
      <c r="K10951" t="s" s="16">
        <f>HYPERLINK("http://csr.bu.edu/ftp/asl/asllvd/demos/verify_start_end_handshape_annotations//test_auto_move//signs_mov/15640.mov","MOV")</f>
        <v>21</v>
      </c>
      <c r="L10951" t="s" s="16">
        <f>HYPERLINK("http://csr.bu.edu/ftp/asl/asllvd/demos/verify_start_end_handshape_annotations//test_auto_move//signs_mov_separ_signers/Tyler_15640.mov","MOV")</f>
        <v>21</v>
      </c>
      <c r="M10951" t="s" s="10">
        <v>125</v>
      </c>
      <c r="N10951" s="17">
        <v>13</v>
      </c>
      <c r="O10951" s="18">
        <v>3097</v>
      </c>
      <c r="P10951" s="18">
        <v>3135</v>
      </c>
      <c r="Q10951" t="s" s="16">
        <f>HYPERLINK("http://secrets.rutgers.edu:8080/data/asl-ftp/asllvd/demos/verify_start_end_handshape_annotations//test_auto_move//signs_mov/15640.mov","MOV")</f>
        <v>21</v>
      </c>
      <c r="R10951" t="s" s="16">
        <f>HYPERLINK("http://secrets.rutgers.edu:8080/data/asl-ftp/asllvd/demos/verify_start_end_handshape_annotations//test_auto_move//signs_mov_separ_signers/Tyler_15640.mov","MOV")</f>
        <v>21</v>
      </c>
    </row>
    <row r="10952" s="2" customFormat="1" ht="13.5" customHeight="1">
      <c r="B10952" t="s" s="8">
        <v>4082</v>
      </c>
      <c r="C10952" t="s" s="9">
        <v>14</v>
      </c>
      <c r="D10952" t="s" s="8">
        <v>14</v>
      </c>
      <c r="E10952" t="s" s="9">
        <v>14</v>
      </c>
      <c r="F10952" t="s" s="10">
        <v>14</v>
      </c>
      <c r="G10952" t="s" s="11">
        <v>14</v>
      </c>
      <c r="H10952" t="s" s="10">
        <v>14</v>
      </c>
      <c r="I10952" t="s" s="11">
        <v>14</v>
      </c>
      <c r="J10952" t="s" s="11">
        <v>14</v>
      </c>
      <c r="K10952" t="s" s="12">
        <v>14</v>
      </c>
      <c r="L10952" t="s" s="12">
        <v>14</v>
      </c>
      <c r="M10952" t="s" s="10">
        <v>14</v>
      </c>
      <c r="N10952" t="s" s="11">
        <v>14</v>
      </c>
      <c r="O10952" t="s" s="8">
        <v>14</v>
      </c>
      <c r="P10952" t="s" s="8">
        <v>14</v>
      </c>
      <c r="Q10952" t="s" s="12">
        <v>14</v>
      </c>
      <c r="R10952" t="s" s="12">
        <v>14</v>
      </c>
    </row>
    <row r="10953" s="2" customFormat="1" ht="13.5" customHeight="1">
      <c r="B10953" s="13"/>
      <c r="C10953" t="s" s="9">
        <v>16</v>
      </c>
      <c r="D10953" t="s" s="8">
        <v>4082</v>
      </c>
      <c r="E10953" t="s" s="9">
        <v>4082</v>
      </c>
      <c r="F10953" t="s" s="10">
        <v>73</v>
      </c>
      <c r="G10953" t="s" s="11">
        <v>73</v>
      </c>
      <c r="H10953" t="s" s="10">
        <v>119</v>
      </c>
      <c r="I10953" t="s" s="11">
        <v>73</v>
      </c>
      <c r="J10953" t="s" s="11">
        <v>20</v>
      </c>
      <c r="K10953" s="15"/>
      <c r="L10953" t="s" s="16">
        <f>HYPERLINK("http://csr.bu.edu/ftp/asl/asllvd/demos/verify_start_end_handshape_annotations//test_auto_move//signs_mov_separ_signers/Liz_15710.mov","MOV")</f>
        <v>21</v>
      </c>
      <c r="M10953" t="s" s="10">
        <v>84</v>
      </c>
      <c r="N10953" s="17">
        <v>13</v>
      </c>
      <c r="O10953" s="18">
        <v>2561</v>
      </c>
      <c r="P10953" s="18">
        <v>2585</v>
      </c>
      <c r="Q10953" s="15"/>
      <c r="R10953" t="s" s="16">
        <f>HYPERLINK("http://secrets.rutgers.edu:8080/data/asl-ftp/asllvd/demos/verify_start_end_handshape_annotations//test_auto_move//signs_mov_separ_signers/Liz_15710.mov","MOV")</f>
        <v>21</v>
      </c>
    </row>
    <row r="10954" s="2" customFormat="1" ht="13.5" customHeight="1">
      <c r="B10954" s="13"/>
      <c r="C10954" t="s" s="9">
        <v>16</v>
      </c>
      <c r="D10954" t="s" s="8">
        <v>4082</v>
      </c>
      <c r="E10954" t="s" s="9">
        <v>4082</v>
      </c>
      <c r="F10954" s="19">
        <v>5</v>
      </c>
      <c r="G10954" t="s" s="11">
        <v>73</v>
      </c>
      <c r="H10954" t="s" s="10">
        <v>119</v>
      </c>
      <c r="I10954" t="s" s="11">
        <v>73</v>
      </c>
      <c r="J10954" t="s" s="11">
        <v>20</v>
      </c>
      <c r="K10954" s="15"/>
      <c r="L10954" t="s" s="16">
        <f>HYPERLINK("http://csr.bu.edu/ftp/asl/asllvd/demos/verify_start_end_handshape_annotations//test_auto_move//signs_mov_separ_signers/Liz_15711.mov","MOV")</f>
        <v>21</v>
      </c>
      <c r="M10954" t="s" s="10">
        <v>84</v>
      </c>
      <c r="N10954" s="17">
        <v>44</v>
      </c>
      <c r="O10954" s="18">
        <v>895</v>
      </c>
      <c r="P10954" s="18">
        <v>915</v>
      </c>
      <c r="Q10954" s="15"/>
      <c r="R10954" t="s" s="16">
        <f>HYPERLINK("http://secrets.rutgers.edu:8080/data/asl-ftp/asllvd/demos/verify_start_end_handshape_annotations//test_auto_move//signs_mov_separ_signers/Liz_15711.mov","MOV")</f>
        <v>21</v>
      </c>
    </row>
    <row r="10955" s="2" customFormat="1" ht="13.5" customHeight="1">
      <c r="B10955" s="13"/>
      <c r="C10955" t="s" s="9">
        <v>23</v>
      </c>
      <c r="D10955" t="s" s="8">
        <v>4082</v>
      </c>
      <c r="E10955" t="s" s="9">
        <v>4082</v>
      </c>
      <c r="F10955" t="s" s="10">
        <v>73</v>
      </c>
      <c r="G10955" t="s" s="11">
        <v>73</v>
      </c>
      <c r="H10955" t="s" s="10">
        <v>119</v>
      </c>
      <c r="I10955" t="s" s="11">
        <v>73</v>
      </c>
      <c r="J10955" t="s" s="11">
        <v>20</v>
      </c>
      <c r="K10955" t="s" s="16">
        <f>HYPERLINK("http://csr.bu.edu/ftp/asl/asllvd/demos/verify_start_end_handshape_annotations//test_auto_move//signs_mov/15710_15711_merged.mov","MOV")</f>
        <v>21</v>
      </c>
      <c r="L10955" t="s" s="16">
        <f>HYPERLINK("http://csr.bu.edu/ftp/asl/asllvd/demos/verify_start_end_handshape_annotations//test_auto_move//signs_mov_separ_signers/Tyler_15710.mov","MOV")</f>
        <v>21</v>
      </c>
      <c r="M10955" t="s" s="10">
        <v>125</v>
      </c>
      <c r="N10955" s="17">
        <v>13</v>
      </c>
      <c r="O10955" s="18">
        <v>2720</v>
      </c>
      <c r="P10955" s="18">
        <v>2746</v>
      </c>
      <c r="Q10955" t="s" s="16">
        <f>HYPERLINK("http://secrets.rutgers.edu:8080/data/asl-ftp/asllvd/demos/verify_start_end_handshape_annotations//test_auto_move//signs_mov/15710_15711_merged.mov","MOV")</f>
        <v>21</v>
      </c>
      <c r="R10955" t="s" s="16">
        <f>HYPERLINK("http://secrets.rutgers.edu:8080/data/asl-ftp/asllvd/demos/verify_start_end_handshape_annotations//test_auto_move//signs_mov_separ_signers/Tyler_15710.mov","MOV")</f>
        <v>21</v>
      </c>
    </row>
    <row r="10956" s="2" customFormat="1" ht="13.5" customHeight="1">
      <c r="B10956" s="13"/>
      <c r="C10956" t="s" s="9">
        <v>27</v>
      </c>
      <c r="D10956" t="s" s="8">
        <v>4082</v>
      </c>
      <c r="E10956" t="s" s="9">
        <v>4082</v>
      </c>
      <c r="F10956" t="s" s="10">
        <v>73</v>
      </c>
      <c r="G10956" t="s" s="11">
        <v>73</v>
      </c>
      <c r="H10956" t="s" s="10">
        <v>119</v>
      </c>
      <c r="I10956" t="s" s="11">
        <v>73</v>
      </c>
      <c r="J10956" t="s" s="11">
        <v>20</v>
      </c>
      <c r="K10956" s="15"/>
      <c r="L10956" t="s" s="16">
        <f>HYPERLINK("http://csr.bu.edu/ftp/asl/asllvd/demos/verify_start_end_handshape_annotations//test_auto_move//signs_mov_separ_signers/Naomi_15710.mov","MOV")</f>
        <v>21</v>
      </c>
      <c r="M10956" t="s" s="10">
        <v>86</v>
      </c>
      <c r="N10956" s="17">
        <v>13</v>
      </c>
      <c r="O10956" s="18">
        <v>2901</v>
      </c>
      <c r="P10956" s="18">
        <v>2926</v>
      </c>
      <c r="Q10956" s="15"/>
      <c r="R10956" t="s" s="16">
        <f>HYPERLINK("http://secrets.rutgers.edu:8080/data/asl-ftp/asllvd/demos/verify_start_end_handshape_annotations//test_auto_move//signs_mov_separ_signers/Naomi_15710.mov","MOV")</f>
        <v>21</v>
      </c>
    </row>
    <row r="10957" s="2" customFormat="1" ht="13.5" customHeight="1">
      <c r="B10957" s="13"/>
      <c r="C10957" t="s" s="9">
        <v>27</v>
      </c>
      <c r="D10957" t="s" s="8">
        <v>4082</v>
      </c>
      <c r="E10957" t="s" s="9">
        <v>4082</v>
      </c>
      <c r="F10957" t="s" s="10">
        <v>73</v>
      </c>
      <c r="G10957" t="s" s="11">
        <v>73</v>
      </c>
      <c r="H10957" t="s" s="10">
        <v>119</v>
      </c>
      <c r="I10957" t="s" s="11">
        <v>73</v>
      </c>
      <c r="J10957" t="s" s="11">
        <v>20</v>
      </c>
      <c r="K10957" s="15"/>
      <c r="L10957" t="s" s="16">
        <f>HYPERLINK("http://csr.bu.edu/ftp/asl/asllvd/demos/verify_start_end_handshape_annotations//test_auto_move//signs_mov_separ_signers/Naomi_15711.mov","MOV")</f>
        <v>21</v>
      </c>
      <c r="M10957" t="s" s="10">
        <v>86</v>
      </c>
      <c r="N10957" s="17">
        <v>44</v>
      </c>
      <c r="O10957" s="18">
        <v>670</v>
      </c>
      <c r="P10957" s="18">
        <v>705</v>
      </c>
      <c r="Q10957" s="15"/>
      <c r="R10957" t="s" s="16">
        <f>HYPERLINK("http://secrets.rutgers.edu:8080/data/asl-ftp/asllvd/demos/verify_start_end_handshape_annotations//test_auto_move//signs_mov_separ_signers/Naomi_15711.mov","MOV")</f>
        <v>21</v>
      </c>
    </row>
    <row r="10958" s="2" customFormat="1" ht="13.5" customHeight="1">
      <c r="B10958" s="13"/>
      <c r="C10958" t="s" s="9">
        <v>30</v>
      </c>
      <c r="D10958" t="s" s="8">
        <v>4082</v>
      </c>
      <c r="E10958" t="s" s="9">
        <v>4082</v>
      </c>
      <c r="F10958" t="s" s="10">
        <v>73</v>
      </c>
      <c r="G10958" t="s" s="11">
        <v>73</v>
      </c>
      <c r="H10958" t="s" s="10">
        <v>119</v>
      </c>
      <c r="I10958" t="s" s="11">
        <v>73</v>
      </c>
      <c r="J10958" t="s" s="11">
        <v>20</v>
      </c>
      <c r="K10958" s="15"/>
      <c r="L10958" t="s" s="16">
        <f>HYPERLINK("http://csr.bu.edu/ftp/asl/asllvd/demos/verify_start_end_handshape_annotations//test_auto_move//signs_mov_separ_signers/Brady_15710.mov","MOV")</f>
        <v>21</v>
      </c>
      <c r="M10958" t="s" s="10">
        <v>31</v>
      </c>
      <c r="N10958" s="17">
        <v>32</v>
      </c>
      <c r="O10958" s="18">
        <v>13907</v>
      </c>
      <c r="P10958" s="18">
        <v>13928</v>
      </c>
      <c r="Q10958" s="15"/>
      <c r="R10958" t="s" s="16">
        <f>HYPERLINK("http://secrets.rutgers.edu:8080/data/asl-ftp/asllvd/demos/verify_start_end_handshape_annotations//test_auto_move//signs_mov_separ_signers/Brady_15710.mov","MOV")</f>
        <v>21</v>
      </c>
    </row>
    <row r="10959" s="2" customFormat="1" ht="13.5" customHeight="1">
      <c r="B10959" t="s" s="8">
        <v>52</v>
      </c>
      <c r="C10959" t="s" s="9">
        <v>53</v>
      </c>
      <c r="D10959" t="s" s="8">
        <v>53</v>
      </c>
      <c r="E10959" t="s" s="9">
        <v>53</v>
      </c>
      <c r="F10959" t="s" s="10">
        <v>53</v>
      </c>
      <c r="G10959" t="s" s="11">
        <v>53</v>
      </c>
      <c r="H10959" t="s" s="10">
        <v>53</v>
      </c>
      <c r="I10959" t="s" s="11">
        <v>53</v>
      </c>
      <c r="J10959" t="s" s="11">
        <v>53</v>
      </c>
      <c r="K10959" t="s" s="12">
        <v>53</v>
      </c>
      <c r="L10959" t="s" s="12">
        <v>53</v>
      </c>
      <c r="M10959" t="s" s="10">
        <v>53</v>
      </c>
      <c r="N10959" t="s" s="11">
        <v>53</v>
      </c>
      <c r="O10959" t="s" s="8">
        <v>53</v>
      </c>
      <c r="P10959" t="s" s="8">
        <v>53</v>
      </c>
      <c r="Q10959" t="s" s="12">
        <v>53</v>
      </c>
      <c r="R10959" t="s" s="12">
        <v>53</v>
      </c>
    </row>
    <row r="10960" s="2" customFormat="1" ht="13.5" customHeight="1">
      <c r="B10960" s="13"/>
      <c r="C10960" t="s" s="9">
        <v>41</v>
      </c>
      <c r="D10960" t="s" s="8">
        <v>4082</v>
      </c>
      <c r="E10960" t="s" s="9">
        <v>4083</v>
      </c>
      <c r="F10960" t="s" s="10">
        <v>148</v>
      </c>
      <c r="G10960" t="s" s="11">
        <v>260</v>
      </c>
      <c r="H10960" t="s" s="10">
        <v>119</v>
      </c>
      <c r="I10960" t="s" s="11">
        <v>260</v>
      </c>
      <c r="J10960" t="s" s="11">
        <v>20</v>
      </c>
      <c r="K10960" t="s" s="16">
        <f>HYPERLINK("http://csr.bu.edu/ftp/asl/asllvd/demos/verify_start_end_handshape_annotations//test_auto_move//signs_mov/15712.mov","MOV")</f>
        <v>21</v>
      </c>
      <c r="L10960" t="s" s="16">
        <f>HYPERLINK("http://csr.bu.edu/ftp/asl/asllvd/demos/verify_start_end_handshape_annotations//test_auto_move//signs_mov_separ_signers/Lana_15712.mov","MOV")</f>
        <v>21</v>
      </c>
      <c r="M10960" t="s" s="10">
        <v>42</v>
      </c>
      <c r="N10960" s="17">
        <v>11</v>
      </c>
      <c r="O10960" s="18">
        <v>383</v>
      </c>
      <c r="P10960" s="18">
        <v>393</v>
      </c>
      <c r="Q10960" t="s" s="16">
        <f>HYPERLINK("http://secrets.rutgers.edu:8080/data/asl-ftp/asllvd/demos/verify_start_end_handshape_annotations//test_auto_move//signs_mov/15712.mov","MOV")</f>
        <v>21</v>
      </c>
      <c r="R10960" t="s" s="16">
        <f>HYPERLINK("http://secrets.rutgers.edu:8080/data/asl-ftp/asllvd/demos/verify_start_end_handshape_annotations//test_auto_move//signs_mov_separ_signers/Lana_15712.mov","MOV")</f>
        <v>21</v>
      </c>
    </row>
    <row r="10961" s="2" customFormat="1" ht="13.5" customHeight="1">
      <c r="B10961" t="s" s="8">
        <v>52</v>
      </c>
      <c r="C10961" t="s" s="9">
        <v>53</v>
      </c>
      <c r="D10961" t="s" s="8">
        <v>53</v>
      </c>
      <c r="E10961" t="s" s="9">
        <v>53</v>
      </c>
      <c r="F10961" t="s" s="10">
        <v>53</v>
      </c>
      <c r="G10961" t="s" s="11">
        <v>53</v>
      </c>
      <c r="H10961" t="s" s="10">
        <v>53</v>
      </c>
      <c r="I10961" t="s" s="11">
        <v>53</v>
      </c>
      <c r="J10961" t="s" s="11">
        <v>53</v>
      </c>
      <c r="K10961" t="s" s="12">
        <v>53</v>
      </c>
      <c r="L10961" t="s" s="12">
        <v>53</v>
      </c>
      <c r="M10961" t="s" s="10">
        <v>53</v>
      </c>
      <c r="N10961" t="s" s="11">
        <v>53</v>
      </c>
      <c r="O10961" t="s" s="8">
        <v>53</v>
      </c>
      <c r="P10961" t="s" s="8">
        <v>53</v>
      </c>
      <c r="Q10961" t="s" s="12">
        <v>53</v>
      </c>
      <c r="R10961" t="s" s="12">
        <v>53</v>
      </c>
    </row>
    <row r="10962" s="2" customFormat="1" ht="13.5" customHeight="1">
      <c r="B10962" s="13"/>
      <c r="C10962" t="s" s="9">
        <v>23</v>
      </c>
      <c r="D10962" t="s" s="8">
        <v>4082</v>
      </c>
      <c r="E10962" t="s" s="9">
        <v>4084</v>
      </c>
      <c r="F10962" t="s" s="10">
        <v>73</v>
      </c>
      <c r="G10962" t="s" s="11">
        <v>73</v>
      </c>
      <c r="H10962" t="s" s="10">
        <v>119</v>
      </c>
      <c r="I10962" t="s" s="11">
        <v>119</v>
      </c>
      <c r="J10962" t="s" s="11">
        <v>20</v>
      </c>
      <c r="K10962" t="s" s="16">
        <f>HYPERLINK("http://csr.bu.edu/ftp/asl/asllvd/demos/verify_start_end_handshape_annotations//test_auto_move//signs_mov/15801.mov","MOV")</f>
        <v>21</v>
      </c>
      <c r="L10962" t="s" s="16">
        <f>HYPERLINK("http://csr.bu.edu/ftp/asl/asllvd/demos/verify_start_end_handshape_annotations//test_auto_move//signs_mov_separ_signers/Tyler_15801.mov","MOV")</f>
        <v>21</v>
      </c>
      <c r="M10962" t="s" s="10">
        <v>92</v>
      </c>
      <c r="N10962" s="17">
        <v>24</v>
      </c>
      <c r="O10962" s="18">
        <v>890</v>
      </c>
      <c r="P10962" s="18">
        <v>917</v>
      </c>
      <c r="Q10962" t="s" s="16">
        <f>HYPERLINK("http://secrets.rutgers.edu:8080/data/asl-ftp/asllvd/demos/verify_start_end_handshape_annotations//test_auto_move//signs_mov/15801.mov","MOV")</f>
        <v>21</v>
      </c>
      <c r="R10962" t="s" s="16">
        <f>HYPERLINK("http://secrets.rutgers.edu:8080/data/asl-ftp/asllvd/demos/verify_start_end_handshape_annotations//test_auto_move//signs_mov_separ_signers/Tyler_15801.mov","MOV")</f>
        <v>21</v>
      </c>
    </row>
    <row r="10963" s="2" customFormat="1" ht="13.5" customHeight="1">
      <c r="B10963" s="13"/>
      <c r="C10963" t="s" s="9">
        <v>43</v>
      </c>
      <c r="D10963" t="s" s="8">
        <v>4082</v>
      </c>
      <c r="E10963" t="s" s="9">
        <v>4084</v>
      </c>
      <c r="F10963" s="19">
        <v>5</v>
      </c>
      <c r="G10963" s="17">
        <v>5</v>
      </c>
      <c r="H10963" t="s" s="10">
        <v>119</v>
      </c>
      <c r="I10963" t="s" s="11">
        <v>119</v>
      </c>
      <c r="J10963" t="s" s="11">
        <v>20</v>
      </c>
      <c r="K10963" s="15"/>
      <c r="L10963" t="s" s="16">
        <f>HYPERLINK("http://csr.bu.edu/ftp/asl/asllvd/demos/verify_start_end_handshape_annotations//test_auto_move//signs_mov_separ_signers/Dana_15801.mov","MOV")</f>
        <v>21</v>
      </c>
      <c r="M10963" t="s" s="10">
        <v>44</v>
      </c>
      <c r="N10963" s="17">
        <v>14</v>
      </c>
      <c r="O10963" s="18">
        <v>314</v>
      </c>
      <c r="P10963" s="18">
        <v>361</v>
      </c>
      <c r="Q10963" s="15"/>
      <c r="R10963" t="s" s="16">
        <f>HYPERLINK("http://secrets.rutgers.edu:8080/data/asl-ftp/asllvd/demos/verify_start_end_handshape_annotations//test_auto_move//signs_mov_separ_signers/Dana_15801.mov","MOV")</f>
        <v>21</v>
      </c>
    </row>
    <row r="10964" s="2" customFormat="1" ht="13.5" customHeight="1">
      <c r="B10964" t="s" s="8">
        <v>4085</v>
      </c>
      <c r="C10964" t="s" s="9">
        <v>14</v>
      </c>
      <c r="D10964" t="s" s="8">
        <v>14</v>
      </c>
      <c r="E10964" t="s" s="9">
        <v>14</v>
      </c>
      <c r="F10964" t="s" s="10">
        <v>14</v>
      </c>
      <c r="G10964" t="s" s="11">
        <v>14</v>
      </c>
      <c r="H10964" t="s" s="10">
        <v>14</v>
      </c>
      <c r="I10964" t="s" s="11">
        <v>14</v>
      </c>
      <c r="J10964" t="s" s="11">
        <v>14</v>
      </c>
      <c r="K10964" t="s" s="12">
        <v>14</v>
      </c>
      <c r="L10964" t="s" s="12">
        <v>14</v>
      </c>
      <c r="M10964" t="s" s="10">
        <v>14</v>
      </c>
      <c r="N10964" t="s" s="11">
        <v>14</v>
      </c>
      <c r="O10964" t="s" s="8">
        <v>14</v>
      </c>
      <c r="P10964" t="s" s="8">
        <v>14</v>
      </c>
      <c r="Q10964" t="s" s="12">
        <v>14</v>
      </c>
      <c r="R10964" t="s" s="12">
        <v>14</v>
      </c>
    </row>
    <row r="10965" s="2" customFormat="1" ht="13.5" customHeight="1">
      <c r="B10965" s="13"/>
      <c r="C10965" t="s" s="9">
        <v>16</v>
      </c>
      <c r="D10965" t="s" s="8">
        <v>4085</v>
      </c>
      <c r="E10965" t="s" s="9">
        <v>4085</v>
      </c>
      <c r="F10965" t="s" s="10">
        <v>73</v>
      </c>
      <c r="G10965" t="s" s="11">
        <v>55</v>
      </c>
      <c r="H10965" t="s" s="10">
        <v>244</v>
      </c>
      <c r="I10965" t="s" s="11">
        <v>55</v>
      </c>
      <c r="J10965" t="s" s="11">
        <v>20</v>
      </c>
      <c r="K10965" t="s" s="16">
        <f>HYPERLINK("http://csr.bu.edu/ftp/asl/asllvd/demos/verify_start_end_handshape_annotations//test_auto_move//signs_mov/15899.mov","MOV")</f>
        <v>21</v>
      </c>
      <c r="L10965" t="s" s="16">
        <f>HYPERLINK("http://csr.bu.edu/ftp/asl/asllvd/demos/verify_start_end_handshape_annotations//test_auto_move//signs_mov_separ_signers/Liz_15899.mov","MOV")</f>
        <v>21</v>
      </c>
      <c r="M10965" t="s" s="10">
        <v>77</v>
      </c>
      <c r="N10965" s="17">
        <v>27</v>
      </c>
      <c r="O10965" s="18">
        <v>840</v>
      </c>
      <c r="P10965" s="18">
        <v>885</v>
      </c>
      <c r="Q10965" t="s" s="16">
        <f>HYPERLINK("http://secrets.rutgers.edu:8080/data/asl-ftp/asllvd/demos/verify_start_end_handshape_annotations//test_auto_move//signs_mov/15899.mov","MOV")</f>
        <v>21</v>
      </c>
      <c r="R10965" t="s" s="16">
        <f>HYPERLINK("http://secrets.rutgers.edu:8080/data/asl-ftp/asllvd/demos/verify_start_end_handshape_annotations//test_auto_move//signs_mov_separ_signers/Liz_15899.mov","MOV")</f>
        <v>21</v>
      </c>
    </row>
    <row r="10966" s="2" customFormat="1" ht="13.5" customHeight="1">
      <c r="B10966" s="13"/>
      <c r="C10966" t="s" s="9">
        <v>30</v>
      </c>
      <c r="D10966" t="s" s="8">
        <v>4085</v>
      </c>
      <c r="E10966" t="s" s="9">
        <v>4085</v>
      </c>
      <c r="F10966" t="s" s="10">
        <v>152</v>
      </c>
      <c r="G10966" t="s" s="11">
        <v>73</v>
      </c>
      <c r="H10966" t="s" s="10">
        <v>244</v>
      </c>
      <c r="I10966" t="s" s="11">
        <v>73</v>
      </c>
      <c r="J10966" t="s" s="11">
        <v>20</v>
      </c>
      <c r="K10966" s="15"/>
      <c r="L10966" t="s" s="16">
        <f>HYPERLINK("http://csr.bu.edu/ftp/asl/asllvd/demos/verify_start_end_handshape_annotations//test_auto_move//signs_mov_separ_signers/Brady_15899.mov","MOV")</f>
        <v>21</v>
      </c>
      <c r="M10966" t="s" s="10">
        <v>31</v>
      </c>
      <c r="N10966" s="17">
        <v>35</v>
      </c>
      <c r="O10966" s="18">
        <v>4557</v>
      </c>
      <c r="P10966" s="18">
        <v>4582</v>
      </c>
      <c r="Q10966" s="15"/>
      <c r="R10966" t="s" s="16">
        <f>HYPERLINK("http://secrets.rutgers.edu:8080/data/asl-ftp/asllvd/demos/verify_start_end_handshape_annotations//test_auto_move//signs_mov_separ_signers/Brady_15899.mov","MOV")</f>
        <v>21</v>
      </c>
    </row>
    <row r="10967" s="2" customFormat="1" ht="13.5" customHeight="1">
      <c r="B10967" t="s" s="8">
        <v>4086</v>
      </c>
      <c r="C10967" t="s" s="9">
        <v>14</v>
      </c>
      <c r="D10967" t="s" s="8">
        <v>14</v>
      </c>
      <c r="E10967" t="s" s="9">
        <v>14</v>
      </c>
      <c r="F10967" t="s" s="10">
        <v>14</v>
      </c>
      <c r="G10967" t="s" s="11">
        <v>14</v>
      </c>
      <c r="H10967" t="s" s="10">
        <v>14</v>
      </c>
      <c r="I10967" t="s" s="11">
        <v>14</v>
      </c>
      <c r="J10967" t="s" s="11">
        <v>14</v>
      </c>
      <c r="K10967" t="s" s="12">
        <v>14</v>
      </c>
      <c r="L10967" t="s" s="12">
        <v>14</v>
      </c>
      <c r="M10967" t="s" s="10">
        <v>14</v>
      </c>
      <c r="N10967" t="s" s="11">
        <v>14</v>
      </c>
      <c r="O10967" t="s" s="8">
        <v>14</v>
      </c>
      <c r="P10967" t="s" s="8">
        <v>14</v>
      </c>
      <c r="Q10967" t="s" s="12">
        <v>14</v>
      </c>
      <c r="R10967" t="s" s="12">
        <v>14</v>
      </c>
    </row>
    <row r="10968" s="2" customFormat="1" ht="13.5" customHeight="1">
      <c r="B10968" s="13"/>
      <c r="C10968" t="s" s="9">
        <v>16</v>
      </c>
      <c r="D10968" t="s" s="8">
        <v>4087</v>
      </c>
      <c r="E10968" t="s" s="9">
        <v>4088</v>
      </c>
      <c r="F10968" t="s" s="10">
        <v>255</v>
      </c>
      <c r="G10968" s="14"/>
      <c r="H10968" t="s" s="10">
        <v>255</v>
      </c>
      <c r="I10968" s="14"/>
      <c r="J10968" t="s" s="11">
        <v>20</v>
      </c>
      <c r="K10968" s="15"/>
      <c r="L10968" t="s" s="16">
        <f>HYPERLINK("http://csr.bu.edu/ftp/asl/asllvd/demos/verify_start_end_handshape_annotations//test_auto_move//signs_mov_separ_signers/Liz_4684.mov","MOV")</f>
        <v>21</v>
      </c>
      <c r="M10968" t="s" s="10">
        <v>84</v>
      </c>
      <c r="N10968" s="17">
        <v>21</v>
      </c>
      <c r="O10968" s="18">
        <v>1285</v>
      </c>
      <c r="P10968" s="18">
        <v>1325</v>
      </c>
      <c r="Q10968" s="15"/>
      <c r="R10968" t="s" s="16">
        <f>HYPERLINK("http://secrets.rutgers.edu:8080/data/asl-ftp/asllvd/demos/verify_start_end_handshape_annotations//test_auto_move//signs_mov_separ_signers/Liz_4684.mov","MOV")</f>
        <v>21</v>
      </c>
    </row>
    <row r="10969" s="2" customFormat="1" ht="13.5" customHeight="1">
      <c r="B10969" s="13"/>
      <c r="C10969" t="s" s="9">
        <v>16</v>
      </c>
      <c r="D10969" t="s" s="8">
        <v>4087</v>
      </c>
      <c r="E10969" t="s" s="9">
        <v>4087</v>
      </c>
      <c r="F10969" t="s" s="10">
        <v>255</v>
      </c>
      <c r="G10969" s="14"/>
      <c r="H10969" t="s" s="10">
        <v>255</v>
      </c>
      <c r="I10969" s="14"/>
      <c r="J10969" t="s" s="11">
        <v>20</v>
      </c>
      <c r="K10969" s="15"/>
      <c r="L10969" t="s" s="16">
        <f>HYPERLINK("http://csr.bu.edu/ftp/asl/asllvd/demos/verify_start_end_handshape_annotations//test_auto_move//signs_mov_separ_signers/Liz_15652.mov","MOV")</f>
        <v>21</v>
      </c>
      <c r="M10969" t="s" s="10">
        <v>84</v>
      </c>
      <c r="N10969" s="17">
        <v>46</v>
      </c>
      <c r="O10969" s="18">
        <v>2066</v>
      </c>
      <c r="P10969" s="18">
        <v>2095</v>
      </c>
      <c r="Q10969" s="15"/>
      <c r="R10969" t="s" s="16">
        <f>HYPERLINK("http://secrets.rutgers.edu:8080/data/asl-ftp/asllvd/demos/verify_start_end_handshape_annotations//test_auto_move//signs_mov_separ_signers/Liz_15652.mov","MOV")</f>
        <v>21</v>
      </c>
    </row>
    <row r="10970" s="2" customFormat="1" ht="13.5" customHeight="1">
      <c r="B10970" s="13"/>
      <c r="C10970" t="s" s="9">
        <v>23</v>
      </c>
      <c r="D10970" t="s" s="8">
        <v>4087</v>
      </c>
      <c r="E10970" t="s" s="9">
        <v>4089</v>
      </c>
      <c r="F10970" t="s" s="10">
        <v>255</v>
      </c>
      <c r="G10970" s="14"/>
      <c r="H10970" t="s" s="10">
        <v>255</v>
      </c>
      <c r="I10970" s="14"/>
      <c r="J10970" t="s" s="11">
        <v>20</v>
      </c>
      <c r="K10970" s="15"/>
      <c r="L10970" t="s" s="16">
        <f>HYPERLINK("http://csr.bu.edu/ftp/asl/asllvd/demos/verify_start_end_handshape_annotations//test_auto_move//signs_mov_separ_signers/Tyler_4684.mov","MOV")</f>
        <v>21</v>
      </c>
      <c r="M10970" t="s" s="10">
        <v>92</v>
      </c>
      <c r="N10970" s="17">
        <v>1</v>
      </c>
      <c r="O10970" s="18">
        <v>4140</v>
      </c>
      <c r="P10970" s="18">
        <v>4185</v>
      </c>
      <c r="Q10970" s="15"/>
      <c r="R10970" t="s" s="16">
        <f>HYPERLINK("http://secrets.rutgers.edu:8080/data/asl-ftp/asllvd/demos/verify_start_end_handshape_annotations//test_auto_move//signs_mov_separ_signers/Tyler_4684.mov","MOV")</f>
        <v>21</v>
      </c>
    </row>
    <row r="10971" s="2" customFormat="1" ht="13.5" customHeight="1">
      <c r="B10971" s="13"/>
      <c r="C10971" t="s" s="9">
        <v>27</v>
      </c>
      <c r="D10971" t="s" s="8">
        <v>4087</v>
      </c>
      <c r="E10971" t="s" s="9">
        <v>4088</v>
      </c>
      <c r="F10971" t="s" s="10">
        <v>255</v>
      </c>
      <c r="G10971" s="14"/>
      <c r="H10971" t="s" s="10">
        <v>255</v>
      </c>
      <c r="I10971" s="14"/>
      <c r="J10971" t="s" s="11">
        <v>20</v>
      </c>
      <c r="K10971" t="s" s="16">
        <f>HYPERLINK("http://csr.bu.edu/ftp/asl/asllvd/demos/verify_start_end_handshape_annotations//test_auto_move//signs_mov/4684_15652_merged.mov","MOV")</f>
        <v>21</v>
      </c>
      <c r="L10971" t="s" s="16">
        <f>HYPERLINK("http://csr.bu.edu/ftp/asl/asllvd/demos/verify_start_end_handshape_annotations//test_auto_move//signs_mov_separ_signers/Naomi_4684.mov","MOV")</f>
        <v>21</v>
      </c>
      <c r="M10971" t="s" s="10">
        <v>86</v>
      </c>
      <c r="N10971" s="17">
        <v>21</v>
      </c>
      <c r="O10971" s="18">
        <v>1980</v>
      </c>
      <c r="P10971" s="18">
        <v>2007</v>
      </c>
      <c r="Q10971" t="s" s="16">
        <f>HYPERLINK("http://secrets.rutgers.edu:8080/data/asl-ftp/asllvd/demos/verify_start_end_handshape_annotations//test_auto_move//signs_mov/4684_15652_merged.mov","MOV")</f>
        <v>21</v>
      </c>
      <c r="R10971" t="s" s="16">
        <f>HYPERLINK("http://secrets.rutgers.edu:8080/data/asl-ftp/asllvd/demos/verify_start_end_handshape_annotations//test_auto_move//signs_mov_separ_signers/Naomi_4684.mov","MOV")</f>
        <v>21</v>
      </c>
    </row>
    <row r="10972" s="2" customFormat="1" ht="13.5" customHeight="1">
      <c r="B10972" s="13"/>
      <c r="C10972" t="s" s="9">
        <v>27</v>
      </c>
      <c r="D10972" t="s" s="8">
        <v>4087</v>
      </c>
      <c r="E10972" t="s" s="9">
        <v>4087</v>
      </c>
      <c r="F10972" t="s" s="10">
        <v>255</v>
      </c>
      <c r="G10972" s="14"/>
      <c r="H10972" t="s" s="10">
        <v>255</v>
      </c>
      <c r="I10972" s="14"/>
      <c r="J10972" t="s" s="11">
        <v>20</v>
      </c>
      <c r="K10972" s="15"/>
      <c r="L10972" t="s" s="16">
        <f>HYPERLINK("http://csr.bu.edu/ftp/asl/asllvd/demos/verify_start_end_handshape_annotations//test_auto_move//signs_mov_separ_signers/Naomi_15652.mov","MOV")</f>
        <v>21</v>
      </c>
      <c r="M10972" t="s" s="10">
        <v>86</v>
      </c>
      <c r="N10972" s="17">
        <v>46</v>
      </c>
      <c r="O10972" s="18">
        <v>1990</v>
      </c>
      <c r="P10972" s="18">
        <v>2005</v>
      </c>
      <c r="Q10972" s="15"/>
      <c r="R10972" t="s" s="16">
        <f>HYPERLINK("http://secrets.rutgers.edu:8080/data/asl-ftp/asllvd/demos/verify_start_end_handshape_annotations//test_auto_move//signs_mov_separ_signers/Naomi_15652.mov","MOV")</f>
        <v>21</v>
      </c>
    </row>
    <row r="10973" s="2" customFormat="1" ht="13.5" customHeight="1">
      <c r="B10973" s="13"/>
      <c r="C10973" t="s" s="9">
        <v>30</v>
      </c>
      <c r="D10973" t="s" s="8">
        <v>4087</v>
      </c>
      <c r="E10973" t="s" s="9">
        <v>4088</v>
      </c>
      <c r="F10973" t="s" s="10">
        <v>255</v>
      </c>
      <c r="G10973" s="14"/>
      <c r="H10973" t="s" s="10">
        <v>255</v>
      </c>
      <c r="I10973" s="14"/>
      <c r="J10973" t="s" s="11">
        <v>20</v>
      </c>
      <c r="K10973" s="15"/>
      <c r="L10973" t="s" s="16">
        <f>HYPERLINK("http://csr.bu.edu/ftp/asl/asllvd/demos/verify_start_end_handshape_annotations//test_auto_move//signs_mov_separ_signers/Brady_4684.mov","MOV")</f>
        <v>21</v>
      </c>
      <c r="M10973" t="s" s="10">
        <v>31</v>
      </c>
      <c r="N10973" s="17">
        <v>37</v>
      </c>
      <c r="O10973" s="18">
        <v>1034</v>
      </c>
      <c r="P10973" s="18">
        <v>1061</v>
      </c>
      <c r="Q10973" s="15"/>
      <c r="R10973" t="s" s="16">
        <f>HYPERLINK("http://secrets.rutgers.edu:8080/data/asl-ftp/asllvd/demos/verify_start_end_handshape_annotations//test_auto_move//signs_mov_separ_signers/Brady_4684.mov","MOV")</f>
        <v>21</v>
      </c>
    </row>
    <row r="10974" s="2" customFormat="1" ht="13.5" customHeight="1">
      <c r="B10974" s="13"/>
      <c r="C10974" t="s" s="9">
        <v>30</v>
      </c>
      <c r="D10974" t="s" s="8">
        <v>4087</v>
      </c>
      <c r="E10974" t="s" s="9">
        <v>4087</v>
      </c>
      <c r="F10974" t="s" s="10">
        <v>255</v>
      </c>
      <c r="G10974" s="14"/>
      <c r="H10974" t="s" s="10">
        <v>255</v>
      </c>
      <c r="I10974" s="14"/>
      <c r="J10974" t="s" s="11">
        <v>20</v>
      </c>
      <c r="K10974" s="15"/>
      <c r="L10974" t="s" s="16">
        <f>HYPERLINK("http://csr.bu.edu/ftp/asl/asllvd/demos/verify_start_end_handshape_annotations//test_auto_move//signs_mov_separ_signers/Brady_15652.mov","MOV")</f>
        <v>21</v>
      </c>
      <c r="M10974" t="s" s="10">
        <v>39</v>
      </c>
      <c r="N10974" s="17">
        <v>21</v>
      </c>
      <c r="O10974" s="18">
        <v>2177</v>
      </c>
      <c r="P10974" s="18">
        <v>2200</v>
      </c>
      <c r="Q10974" s="15"/>
      <c r="R10974" t="s" s="16">
        <f>HYPERLINK("http://secrets.rutgers.edu:8080/data/asl-ftp/asllvd/demos/verify_start_end_handshape_annotations//test_auto_move//signs_mov_separ_signers/Brady_15652.mov","MOV")</f>
        <v>21</v>
      </c>
    </row>
    <row r="10975" s="2" customFormat="1" ht="13.5" customHeight="1">
      <c r="B10975" t="s" s="8">
        <v>4090</v>
      </c>
      <c r="C10975" t="s" s="9">
        <v>14</v>
      </c>
      <c r="D10975" t="s" s="8">
        <v>14</v>
      </c>
      <c r="E10975" t="s" s="9">
        <v>14</v>
      </c>
      <c r="F10975" t="s" s="10">
        <v>14</v>
      </c>
      <c r="G10975" t="s" s="11">
        <v>14</v>
      </c>
      <c r="H10975" t="s" s="10">
        <v>14</v>
      </c>
      <c r="I10975" t="s" s="11">
        <v>14</v>
      </c>
      <c r="J10975" t="s" s="11">
        <v>14</v>
      </c>
      <c r="K10975" t="s" s="12">
        <v>14</v>
      </c>
      <c r="L10975" t="s" s="12">
        <v>14</v>
      </c>
      <c r="M10975" t="s" s="10">
        <v>14</v>
      </c>
      <c r="N10975" t="s" s="11">
        <v>14</v>
      </c>
      <c r="O10975" t="s" s="8">
        <v>14</v>
      </c>
      <c r="P10975" t="s" s="8">
        <v>14</v>
      </c>
      <c r="Q10975" t="s" s="12">
        <v>14</v>
      </c>
      <c r="R10975" t="s" s="12">
        <v>14</v>
      </c>
    </row>
    <row r="10976" s="2" customFormat="1" ht="13.5" customHeight="1">
      <c r="B10976" s="13"/>
      <c r="C10976" t="s" s="9">
        <v>23</v>
      </c>
      <c r="D10976" t="s" s="8">
        <v>4091</v>
      </c>
      <c r="E10976" t="s" s="9">
        <v>4091</v>
      </c>
      <c r="F10976" t="s" s="10">
        <v>277</v>
      </c>
      <c r="G10976" s="14"/>
      <c r="H10976" s="19">
        <v>5</v>
      </c>
      <c r="I10976" s="14"/>
      <c r="J10976" t="s" s="11">
        <v>20</v>
      </c>
      <c r="K10976" t="s" s="16">
        <f>HYPERLINK("http://csr.bu.edu/ftp/asl/asllvd/demos/verify_start_end_handshape_annotations//test_auto_move//signs_mov/4690.mov","MOV")</f>
        <v>21</v>
      </c>
      <c r="L10976" t="s" s="16">
        <f>HYPERLINK("http://csr.bu.edu/ftp/asl/asllvd/demos/verify_start_end_handshape_annotations//test_auto_move//signs_mov_separ_signers/Tyler_4690.mov","MOV")</f>
        <v>21</v>
      </c>
      <c r="M10976" t="s" s="10">
        <v>92</v>
      </c>
      <c r="N10976" s="17">
        <v>25</v>
      </c>
      <c r="O10976" s="18">
        <v>6555</v>
      </c>
      <c r="P10976" s="18">
        <v>6580</v>
      </c>
      <c r="Q10976" t="s" s="16">
        <f>HYPERLINK("http://secrets.rutgers.edu:8080/data/asl-ftp/asllvd/demos/verify_start_end_handshape_annotations//test_auto_move//signs_mov/4690.mov","MOV")</f>
        <v>21</v>
      </c>
      <c r="R10976" t="s" s="16">
        <f>HYPERLINK("http://secrets.rutgers.edu:8080/data/asl-ftp/asllvd/demos/verify_start_end_handshape_annotations//test_auto_move//signs_mov_separ_signers/Tyler_4690.mov","MOV")</f>
        <v>21</v>
      </c>
    </row>
    <row r="10977" s="2" customFormat="1" ht="13.5" customHeight="1">
      <c r="B10977" t="s" s="8">
        <v>4092</v>
      </c>
      <c r="C10977" t="s" s="9">
        <v>14</v>
      </c>
      <c r="D10977" t="s" s="8">
        <v>14</v>
      </c>
      <c r="E10977" t="s" s="9">
        <v>14</v>
      </c>
      <c r="F10977" t="s" s="10">
        <v>14</v>
      </c>
      <c r="G10977" t="s" s="11">
        <v>14</v>
      </c>
      <c r="H10977" t="s" s="10">
        <v>14</v>
      </c>
      <c r="I10977" t="s" s="11">
        <v>14</v>
      </c>
      <c r="J10977" t="s" s="11">
        <v>14</v>
      </c>
      <c r="K10977" t="s" s="12">
        <v>14</v>
      </c>
      <c r="L10977" t="s" s="12">
        <v>14</v>
      </c>
      <c r="M10977" t="s" s="10">
        <v>14</v>
      </c>
      <c r="N10977" t="s" s="11">
        <v>14</v>
      </c>
      <c r="O10977" t="s" s="8">
        <v>14</v>
      </c>
      <c r="P10977" t="s" s="8">
        <v>14</v>
      </c>
      <c r="Q10977" t="s" s="12">
        <v>14</v>
      </c>
      <c r="R10977" t="s" s="12">
        <v>14</v>
      </c>
    </row>
    <row r="10978" s="2" customFormat="1" ht="13.5" customHeight="1">
      <c r="B10978" s="13"/>
      <c r="C10978" t="s" s="9">
        <v>16</v>
      </c>
      <c r="D10978" t="s" s="8">
        <v>4092</v>
      </c>
      <c r="E10978" t="s" s="9">
        <v>4092</v>
      </c>
      <c r="F10978" s="19">
        <v>4</v>
      </c>
      <c r="G10978" s="17">
        <v>4</v>
      </c>
      <c r="H10978" s="19">
        <v>4</v>
      </c>
      <c r="I10978" s="17">
        <v>4</v>
      </c>
      <c r="J10978" t="s" s="11">
        <v>20</v>
      </c>
      <c r="K10978" s="15"/>
      <c r="L10978" t="s" s="16">
        <f>HYPERLINK("http://csr.bu.edu/ftp/asl/asllvd/demos/verify_start_end_handshape_annotations//test_auto_move//signs_mov_separ_signers/Liz_4692.mov","MOV")</f>
        <v>21</v>
      </c>
      <c r="M10978" t="s" s="10">
        <v>34</v>
      </c>
      <c r="N10978" s="17">
        <v>18</v>
      </c>
      <c r="O10978" s="18">
        <v>1785</v>
      </c>
      <c r="P10978" s="18">
        <v>1827</v>
      </c>
      <c r="Q10978" s="15"/>
      <c r="R10978" t="s" s="16">
        <f>HYPERLINK("http://secrets.rutgers.edu:8080/data/asl-ftp/asllvd/demos/verify_start_end_handshape_annotations//test_auto_move//signs_mov_separ_signers/Liz_4692.mov","MOV")</f>
        <v>21</v>
      </c>
    </row>
    <row r="10979" s="2" customFormat="1" ht="13.5" customHeight="1">
      <c r="B10979" s="13"/>
      <c r="C10979" t="s" s="9">
        <v>27</v>
      </c>
      <c r="D10979" t="s" s="8">
        <v>4092</v>
      </c>
      <c r="E10979" t="s" s="9">
        <v>4092</v>
      </c>
      <c r="F10979" s="19">
        <v>4</v>
      </c>
      <c r="G10979" s="17">
        <v>4</v>
      </c>
      <c r="H10979" s="19">
        <v>4</v>
      </c>
      <c r="I10979" s="17">
        <v>4</v>
      </c>
      <c r="J10979" t="s" s="11">
        <v>20</v>
      </c>
      <c r="K10979" t="s" s="16">
        <f>HYPERLINK("http://csr.bu.edu/ftp/asl/asllvd/demos/verify_start_end_handshape_annotations//test_auto_move//signs_mov/4692.mov","MOV")</f>
        <v>21</v>
      </c>
      <c r="L10979" t="s" s="16">
        <f>HYPERLINK("http://csr.bu.edu/ftp/asl/asllvd/demos/verify_start_end_handshape_annotations//test_auto_move//signs_mov_separ_signers/Naomi_4692.mov","MOV")</f>
        <v>21</v>
      </c>
      <c r="M10979" t="s" s="10">
        <v>38</v>
      </c>
      <c r="N10979" s="17">
        <v>14</v>
      </c>
      <c r="O10979" s="18">
        <v>650</v>
      </c>
      <c r="P10979" s="18">
        <v>688</v>
      </c>
      <c r="Q10979" t="s" s="16">
        <f>HYPERLINK("http://secrets.rutgers.edu:8080/data/asl-ftp/asllvd/demos/verify_start_end_handshape_annotations//test_auto_move//signs_mov/4692.mov","MOV")</f>
        <v>21</v>
      </c>
      <c r="R10979" t="s" s="16">
        <f>HYPERLINK("http://secrets.rutgers.edu:8080/data/asl-ftp/asllvd/demos/verify_start_end_handshape_annotations//test_auto_move//signs_mov_separ_signers/Naomi_4692.mov","MOV")</f>
        <v>21</v>
      </c>
    </row>
    <row r="10980" s="2" customFormat="1" ht="13.5" customHeight="1">
      <c r="B10980" s="13"/>
      <c r="C10980" t="s" s="9">
        <v>30</v>
      </c>
      <c r="D10980" t="s" s="8">
        <v>4092</v>
      </c>
      <c r="E10980" t="s" s="9">
        <v>4092</v>
      </c>
      <c r="F10980" s="19">
        <v>4</v>
      </c>
      <c r="G10980" s="17">
        <v>4</v>
      </c>
      <c r="H10980" s="19">
        <v>4</v>
      </c>
      <c r="I10980" s="17">
        <v>4</v>
      </c>
      <c r="J10980" t="s" s="11">
        <v>20</v>
      </c>
      <c r="K10980" s="15"/>
      <c r="L10980" t="s" s="16">
        <f>HYPERLINK("http://csr.bu.edu/ftp/asl/asllvd/demos/verify_start_end_handshape_annotations//test_auto_move//signs_mov_separ_signers/Brady_4692.mov","MOV")</f>
        <v>21</v>
      </c>
      <c r="M10980" t="s" s="10">
        <v>39</v>
      </c>
      <c r="N10980" s="17">
        <v>31</v>
      </c>
      <c r="O10980" s="18">
        <v>6317</v>
      </c>
      <c r="P10980" s="18">
        <v>6343</v>
      </c>
      <c r="Q10980" s="15"/>
      <c r="R10980" t="s" s="16">
        <f>HYPERLINK("http://secrets.rutgers.edu:8080/data/asl-ftp/asllvd/demos/verify_start_end_handshape_annotations//test_auto_move//signs_mov_separ_signers/Brady_4692.mov","MOV")</f>
        <v>21</v>
      </c>
    </row>
    <row r="10981" s="2" customFormat="1" ht="13.5" customHeight="1">
      <c r="B10981" t="s" s="8">
        <v>52</v>
      </c>
      <c r="C10981" t="s" s="9">
        <v>53</v>
      </c>
      <c r="D10981" t="s" s="8">
        <v>53</v>
      </c>
      <c r="E10981" t="s" s="9">
        <v>53</v>
      </c>
      <c r="F10981" t="s" s="10">
        <v>53</v>
      </c>
      <c r="G10981" t="s" s="11">
        <v>53</v>
      </c>
      <c r="H10981" t="s" s="10">
        <v>53</v>
      </c>
      <c r="I10981" t="s" s="11">
        <v>53</v>
      </c>
      <c r="J10981" t="s" s="11">
        <v>53</v>
      </c>
      <c r="K10981" t="s" s="12">
        <v>53</v>
      </c>
      <c r="L10981" t="s" s="12">
        <v>53</v>
      </c>
      <c r="M10981" t="s" s="10">
        <v>53</v>
      </c>
      <c r="N10981" t="s" s="11">
        <v>53</v>
      </c>
      <c r="O10981" t="s" s="8">
        <v>53</v>
      </c>
      <c r="P10981" t="s" s="8">
        <v>53</v>
      </c>
      <c r="Q10981" t="s" s="12">
        <v>53</v>
      </c>
      <c r="R10981" t="s" s="12">
        <v>53</v>
      </c>
    </row>
    <row r="10982" s="2" customFormat="1" ht="13.5" customHeight="1">
      <c r="B10982" s="13"/>
      <c r="C10982" t="s" s="9">
        <v>23</v>
      </c>
      <c r="D10982" t="s" s="8">
        <v>4092</v>
      </c>
      <c r="E10982" t="s" s="9">
        <v>4093</v>
      </c>
      <c r="F10982" s="19">
        <v>4</v>
      </c>
      <c r="G10982" s="17">
        <v>4</v>
      </c>
      <c r="H10982" s="19">
        <v>4</v>
      </c>
      <c r="I10982" s="17">
        <v>4</v>
      </c>
      <c r="J10982" t="s" s="11">
        <v>20</v>
      </c>
      <c r="K10982" t="s" s="16">
        <f>HYPERLINK("http://csr.bu.edu/ftp/asl/asllvd/demos/verify_start_end_handshape_annotations//test_auto_move//signs_mov/16262.mov","MOV")</f>
        <v>21</v>
      </c>
      <c r="L10982" t="s" s="16">
        <f>HYPERLINK("http://csr.bu.edu/ftp/asl/asllvd/demos/verify_start_end_handshape_annotations//test_auto_move//signs_mov_separ_signers/Tyler_16262.mov","MOV")</f>
        <v>21</v>
      </c>
      <c r="M10982" t="s" s="10">
        <v>92</v>
      </c>
      <c r="N10982" s="17">
        <v>46</v>
      </c>
      <c r="O10982" s="18">
        <v>455</v>
      </c>
      <c r="P10982" s="18">
        <v>495</v>
      </c>
      <c r="Q10982" t="s" s="16">
        <f>HYPERLINK("http://secrets.rutgers.edu:8080/data/asl-ftp/asllvd/demos/verify_start_end_handshape_annotations//test_auto_move//signs_mov/16262.mov","MOV")</f>
        <v>21</v>
      </c>
      <c r="R10982" t="s" s="16">
        <f>HYPERLINK("http://secrets.rutgers.edu:8080/data/asl-ftp/asllvd/demos/verify_start_end_handshape_annotations//test_auto_move//signs_mov_separ_signers/Tyler_16262.mov","MOV")</f>
        <v>21</v>
      </c>
    </row>
    <row r="10983" s="2" customFormat="1" ht="13.5" customHeight="1">
      <c r="B10983" t="s" s="8">
        <v>4094</v>
      </c>
      <c r="C10983" t="s" s="9">
        <v>14</v>
      </c>
      <c r="D10983" t="s" s="8">
        <v>14</v>
      </c>
      <c r="E10983" t="s" s="9">
        <v>14</v>
      </c>
      <c r="F10983" t="s" s="10">
        <v>14</v>
      </c>
      <c r="G10983" t="s" s="11">
        <v>14</v>
      </c>
      <c r="H10983" t="s" s="10">
        <v>14</v>
      </c>
      <c r="I10983" t="s" s="11">
        <v>14</v>
      </c>
      <c r="J10983" t="s" s="11">
        <v>14</v>
      </c>
      <c r="K10983" t="s" s="12">
        <v>14</v>
      </c>
      <c r="L10983" t="s" s="12">
        <v>14</v>
      </c>
      <c r="M10983" t="s" s="10">
        <v>14</v>
      </c>
      <c r="N10983" t="s" s="11">
        <v>14</v>
      </c>
      <c r="O10983" t="s" s="8">
        <v>14</v>
      </c>
      <c r="P10983" t="s" s="8">
        <v>14</v>
      </c>
      <c r="Q10983" t="s" s="12">
        <v>14</v>
      </c>
      <c r="R10983" t="s" s="12">
        <v>14</v>
      </c>
    </row>
    <row r="10984" s="2" customFormat="1" ht="13.5" customHeight="1">
      <c r="B10984" s="13"/>
      <c r="C10984" t="s" s="9">
        <v>16</v>
      </c>
      <c r="D10984" t="s" s="8">
        <v>4094</v>
      </c>
      <c r="E10984" t="s" s="9">
        <v>4095</v>
      </c>
      <c r="F10984" t="s" s="10">
        <v>73</v>
      </c>
      <c r="G10984" t="s" s="11">
        <v>73</v>
      </c>
      <c r="H10984" t="s" s="10">
        <v>73</v>
      </c>
      <c r="I10984" t="s" s="11">
        <v>73</v>
      </c>
      <c r="J10984" t="s" s="11">
        <v>20</v>
      </c>
      <c r="K10984" s="15"/>
      <c r="L10984" t="s" s="16">
        <f>HYPERLINK("http://csr.bu.edu/ftp/asl/asllvd/demos/verify_start_end_handshape_annotations//test_auto_move//signs_mov_separ_signers/Liz_4693.mov","MOV")</f>
        <v>21</v>
      </c>
      <c r="M10984" t="s" s="10">
        <v>22</v>
      </c>
      <c r="N10984" s="17">
        <v>12</v>
      </c>
      <c r="O10984" s="18">
        <v>845</v>
      </c>
      <c r="P10984" s="18">
        <v>880</v>
      </c>
      <c r="Q10984" s="15"/>
      <c r="R10984" t="s" s="16">
        <f>HYPERLINK("http://secrets.rutgers.edu:8080/data/asl-ftp/asllvd/demos/verify_start_end_handshape_annotations//test_auto_move//signs_mov_separ_signers/Liz_4693.mov","MOV")</f>
        <v>21</v>
      </c>
    </row>
    <row r="10985" s="2" customFormat="1" ht="13.5" customHeight="1">
      <c r="B10985" s="13"/>
      <c r="C10985" t="s" s="9">
        <v>16</v>
      </c>
      <c r="D10985" t="s" s="8">
        <v>4094</v>
      </c>
      <c r="E10985" t="s" s="9">
        <v>4095</v>
      </c>
      <c r="F10985" t="s" s="10">
        <v>73</v>
      </c>
      <c r="G10985" t="s" s="11">
        <v>73</v>
      </c>
      <c r="H10985" t="s" s="10">
        <v>80</v>
      </c>
      <c r="I10985" t="s" s="11">
        <v>73</v>
      </c>
      <c r="J10985" t="s" s="11">
        <v>20</v>
      </c>
      <c r="K10985" s="15"/>
      <c r="L10985" t="s" s="16">
        <f>HYPERLINK("http://csr.bu.edu/ftp/asl/asllvd/demos/verify_start_end_handshape_annotations//test_auto_move//signs_mov_separ_signers/Liz_15721.mov","MOV")</f>
        <v>21</v>
      </c>
      <c r="M10985" t="s" s="10">
        <v>84</v>
      </c>
      <c r="N10985" s="17">
        <v>28</v>
      </c>
      <c r="O10985" s="18">
        <v>1337</v>
      </c>
      <c r="P10985" s="18">
        <v>1371</v>
      </c>
      <c r="Q10985" s="15"/>
      <c r="R10985" t="s" s="16">
        <f>HYPERLINK("http://secrets.rutgers.edu:8080/data/asl-ftp/asllvd/demos/verify_start_end_handshape_annotations//test_auto_move//signs_mov_separ_signers/Liz_15721.mov","MOV")</f>
        <v>21</v>
      </c>
    </row>
    <row r="10986" s="2" customFormat="1" ht="13.5" customHeight="1">
      <c r="B10986" s="13"/>
      <c r="C10986" t="s" s="9">
        <v>23</v>
      </c>
      <c r="D10986" t="s" s="8">
        <v>4094</v>
      </c>
      <c r="E10986" t="s" s="9">
        <v>4096</v>
      </c>
      <c r="F10986" t="s" s="10">
        <v>80</v>
      </c>
      <c r="G10986" t="s" s="11">
        <v>80</v>
      </c>
      <c r="H10986" t="s" s="10">
        <v>80</v>
      </c>
      <c r="I10986" t="s" s="11">
        <v>80</v>
      </c>
      <c r="J10986" t="s" s="11">
        <v>20</v>
      </c>
      <c r="K10986" s="15"/>
      <c r="L10986" t="s" s="16">
        <f>HYPERLINK("http://csr.bu.edu/ftp/asl/asllvd/demos/verify_start_end_handshape_annotations//test_auto_move//signs_mov_separ_signers/Tyler_4693.mov","MOV")</f>
        <v>21</v>
      </c>
      <c r="M10986" t="s" s="10">
        <v>92</v>
      </c>
      <c r="N10986" s="17">
        <v>8</v>
      </c>
      <c r="O10986" s="18">
        <v>675</v>
      </c>
      <c r="P10986" s="18">
        <v>721</v>
      </c>
      <c r="Q10986" s="15"/>
      <c r="R10986" t="s" s="16">
        <f>HYPERLINK("http://secrets.rutgers.edu:8080/data/asl-ftp/asllvd/demos/verify_start_end_handshape_annotations//test_auto_move//signs_mov_separ_signers/Tyler_4693.mov","MOV")</f>
        <v>21</v>
      </c>
    </row>
    <row r="10987" s="2" customFormat="1" ht="13.5" customHeight="1">
      <c r="B10987" s="13"/>
      <c r="C10987" t="s" s="9">
        <v>27</v>
      </c>
      <c r="D10987" t="s" s="8">
        <v>4094</v>
      </c>
      <c r="E10987" t="s" s="9">
        <v>4095</v>
      </c>
      <c r="F10987" t="s" s="10">
        <v>73</v>
      </c>
      <c r="G10987" t="s" s="11">
        <v>73</v>
      </c>
      <c r="H10987" t="s" s="10">
        <v>73</v>
      </c>
      <c r="I10987" t="s" s="11">
        <v>73</v>
      </c>
      <c r="J10987" t="s" s="11">
        <v>20</v>
      </c>
      <c r="K10987" s="15"/>
      <c r="L10987" t="s" s="16">
        <f>HYPERLINK("http://csr.bu.edu/ftp/asl/asllvd/demos/verify_start_end_handshape_annotations//test_auto_move//signs_mov_separ_signers/Naomi_4693.mov","MOV")</f>
        <v>21</v>
      </c>
      <c r="M10987" t="s" s="10">
        <v>29</v>
      </c>
      <c r="N10987" s="17">
        <v>9</v>
      </c>
      <c r="O10987" s="18">
        <v>575</v>
      </c>
      <c r="P10987" s="18">
        <v>607</v>
      </c>
      <c r="Q10987" s="15"/>
      <c r="R10987" t="s" s="16">
        <f>HYPERLINK("http://secrets.rutgers.edu:8080/data/asl-ftp/asllvd/demos/verify_start_end_handshape_annotations//test_auto_move//signs_mov_separ_signers/Naomi_4693.mov","MOV")</f>
        <v>21</v>
      </c>
    </row>
    <row r="10988" s="2" customFormat="1" ht="13.5" customHeight="1">
      <c r="B10988" s="13"/>
      <c r="C10988" t="s" s="9">
        <v>27</v>
      </c>
      <c r="D10988" t="s" s="8">
        <v>4094</v>
      </c>
      <c r="E10988" t="s" s="9">
        <v>4095</v>
      </c>
      <c r="F10988" t="s" s="10">
        <v>73</v>
      </c>
      <c r="G10988" t="s" s="11">
        <v>73</v>
      </c>
      <c r="H10988" t="s" s="10">
        <v>73</v>
      </c>
      <c r="I10988" t="s" s="11">
        <v>73</v>
      </c>
      <c r="J10988" t="s" s="11">
        <v>20</v>
      </c>
      <c r="K10988" t="s" s="16">
        <f>HYPERLINK("http://csr.bu.edu/ftp/asl/asllvd/demos/verify_start_end_handshape_annotations//test_auto_move//signs_mov/4693_15721_merged.mov","MOV")</f>
        <v>21</v>
      </c>
      <c r="L10988" t="s" s="16">
        <f>HYPERLINK("http://csr.bu.edu/ftp/asl/asllvd/demos/verify_start_end_handshape_annotations//test_auto_move//signs_mov_separ_signers/Naomi_15721.mov","MOV")</f>
        <v>21</v>
      </c>
      <c r="M10988" t="s" s="10">
        <v>86</v>
      </c>
      <c r="N10988" s="17">
        <v>28</v>
      </c>
      <c r="O10988" s="18">
        <v>701</v>
      </c>
      <c r="P10988" s="18">
        <v>725</v>
      </c>
      <c r="Q10988" t="s" s="16">
        <f>HYPERLINK("http://secrets.rutgers.edu:8080/data/asl-ftp/asllvd/demos/verify_start_end_handshape_annotations//test_auto_move//signs_mov/4693_15721_merged.mov","MOV")</f>
        <v>21</v>
      </c>
      <c r="R10988" t="s" s="16">
        <f>HYPERLINK("http://secrets.rutgers.edu:8080/data/asl-ftp/asllvd/demos/verify_start_end_handshape_annotations//test_auto_move//signs_mov_separ_signers/Naomi_15721.mov","MOV")</f>
        <v>21</v>
      </c>
    </row>
    <row r="10989" s="2" customFormat="1" ht="13.5" customHeight="1">
      <c r="B10989" s="13"/>
      <c r="C10989" t="s" s="9">
        <v>30</v>
      </c>
      <c r="D10989" t="s" s="8">
        <v>4094</v>
      </c>
      <c r="E10989" t="s" s="9">
        <v>4095</v>
      </c>
      <c r="F10989" t="s" s="10">
        <v>73</v>
      </c>
      <c r="G10989" t="s" s="11">
        <v>73</v>
      </c>
      <c r="H10989" t="s" s="10">
        <v>73</v>
      </c>
      <c r="I10989" t="s" s="11">
        <v>73</v>
      </c>
      <c r="J10989" t="s" s="11">
        <v>20</v>
      </c>
      <c r="K10989" s="15"/>
      <c r="L10989" t="s" s="16">
        <f>HYPERLINK("http://csr.bu.edu/ftp/asl/asllvd/demos/verify_start_end_handshape_annotations//test_auto_move//signs_mov_separ_signers/Brady_4693.mov","MOV")</f>
        <v>21</v>
      </c>
      <c r="M10989" t="s" s="10">
        <v>31</v>
      </c>
      <c r="N10989" s="17">
        <v>11</v>
      </c>
      <c r="O10989" s="18">
        <v>384</v>
      </c>
      <c r="P10989" s="18">
        <v>407</v>
      </c>
      <c r="Q10989" s="15"/>
      <c r="R10989" t="s" s="16">
        <f>HYPERLINK("http://secrets.rutgers.edu:8080/data/asl-ftp/asllvd/demos/verify_start_end_handshape_annotations//test_auto_move//signs_mov_separ_signers/Brady_4693.mov","MOV")</f>
        <v>21</v>
      </c>
    </row>
    <row r="10990" s="2" customFormat="1" ht="13.5" customHeight="1">
      <c r="B10990" s="13"/>
      <c r="C10990" t="s" s="9">
        <v>30</v>
      </c>
      <c r="D10990" t="s" s="8">
        <v>4094</v>
      </c>
      <c r="E10990" t="s" s="9">
        <v>4096</v>
      </c>
      <c r="F10990" t="s" s="10">
        <v>73</v>
      </c>
      <c r="G10990" t="s" s="11">
        <v>80</v>
      </c>
      <c r="H10990" t="s" s="10">
        <v>80</v>
      </c>
      <c r="I10990" t="s" s="11">
        <v>80</v>
      </c>
      <c r="J10990" t="s" s="11">
        <v>20</v>
      </c>
      <c r="K10990" s="15"/>
      <c r="L10990" t="s" s="16">
        <f>HYPERLINK("http://csr.bu.edu/ftp/asl/asllvd/demos/verify_start_end_handshape_annotations//test_auto_move//signs_mov_separ_signers/Brady_15721.mov","MOV")</f>
        <v>21</v>
      </c>
      <c r="M10990" t="s" s="10">
        <v>39</v>
      </c>
      <c r="N10990" s="17">
        <v>9</v>
      </c>
      <c r="O10990" s="18">
        <v>7509</v>
      </c>
      <c r="P10990" s="18">
        <v>7546</v>
      </c>
      <c r="Q10990" s="15"/>
      <c r="R10990" t="s" s="16">
        <f>HYPERLINK("http://secrets.rutgers.edu:8080/data/asl-ftp/asllvd/demos/verify_start_end_handshape_annotations//test_auto_move//signs_mov_separ_signers/Brady_15721.mov","MOV")</f>
        <v>21</v>
      </c>
    </row>
    <row r="10991" s="2" customFormat="1" ht="13.5" customHeight="1">
      <c r="B10991" s="13"/>
      <c r="C10991" t="s" s="9">
        <v>41</v>
      </c>
      <c r="D10991" t="s" s="8">
        <v>4094</v>
      </c>
      <c r="E10991" t="s" s="9">
        <v>4095</v>
      </c>
      <c r="F10991" t="s" s="10">
        <v>73</v>
      </c>
      <c r="G10991" t="s" s="11">
        <v>150</v>
      </c>
      <c r="H10991" t="s" s="10">
        <v>80</v>
      </c>
      <c r="I10991" t="s" s="11">
        <v>150</v>
      </c>
      <c r="J10991" t="s" s="11">
        <v>20</v>
      </c>
      <c r="K10991" s="15"/>
      <c r="L10991" t="s" s="16">
        <f>HYPERLINK("http://csr.bu.edu/ftp/asl/asllvd/demos/verify_start_end_handshape_annotations//test_auto_move//signs_mov_separ_signers/Lana_4693.mov","MOV")</f>
        <v>21</v>
      </c>
      <c r="M10991" t="s" s="10">
        <v>42</v>
      </c>
      <c r="N10991" s="17">
        <v>8</v>
      </c>
      <c r="O10991" s="18">
        <v>909</v>
      </c>
      <c r="P10991" s="18">
        <v>967</v>
      </c>
      <c r="Q10991" s="15"/>
      <c r="R10991" t="s" s="16">
        <f>HYPERLINK("http://secrets.rutgers.edu:8080/data/asl-ftp/asllvd/demos/verify_start_end_handshape_annotations//test_auto_move//signs_mov_separ_signers/Lana_4693.mov","MOV")</f>
        <v>21</v>
      </c>
    </row>
    <row r="10992" s="2" customFormat="1" ht="13.5" customHeight="1">
      <c r="B10992" s="13"/>
      <c r="C10992" t="s" s="9">
        <v>43</v>
      </c>
      <c r="D10992" t="s" s="8">
        <v>4094</v>
      </c>
      <c r="E10992" t="s" s="9">
        <v>4096</v>
      </c>
      <c r="F10992" t="s" s="10">
        <v>73</v>
      </c>
      <c r="G10992" t="s" s="11">
        <v>73</v>
      </c>
      <c r="H10992" t="s" s="10">
        <v>73</v>
      </c>
      <c r="I10992" t="s" s="11">
        <v>73</v>
      </c>
      <c r="J10992" t="s" s="11">
        <v>20</v>
      </c>
      <c r="K10992" s="15"/>
      <c r="L10992" t="s" s="16">
        <f>HYPERLINK("http://csr.bu.edu/ftp/asl/asllvd/demos/verify_start_end_handshape_annotations//test_auto_move//signs_mov_separ_signers/Dana_4693.mov","MOV")</f>
        <v>21</v>
      </c>
      <c r="M10992" t="s" s="10">
        <v>44</v>
      </c>
      <c r="N10992" s="17">
        <v>12</v>
      </c>
      <c r="O10992" s="18">
        <v>854</v>
      </c>
      <c r="P10992" s="18">
        <v>923</v>
      </c>
      <c r="Q10992" s="15"/>
      <c r="R10992" t="s" s="16">
        <f>HYPERLINK("http://secrets.rutgers.edu:8080/data/asl-ftp/asllvd/demos/verify_start_end_handshape_annotations//test_auto_move//signs_mov_separ_signers/Dana_4693.mov","MOV")</f>
        <v>21</v>
      </c>
    </row>
    <row r="10993" s="2" customFormat="1" ht="13.5" customHeight="1">
      <c r="B10993" t="s" s="8">
        <v>4097</v>
      </c>
      <c r="C10993" t="s" s="9">
        <v>14</v>
      </c>
      <c r="D10993" t="s" s="8">
        <v>14</v>
      </c>
      <c r="E10993" t="s" s="9">
        <v>14</v>
      </c>
      <c r="F10993" t="s" s="10">
        <v>14</v>
      </c>
      <c r="G10993" t="s" s="11">
        <v>14</v>
      </c>
      <c r="H10993" t="s" s="10">
        <v>14</v>
      </c>
      <c r="I10993" t="s" s="11">
        <v>14</v>
      </c>
      <c r="J10993" t="s" s="11">
        <v>14</v>
      </c>
      <c r="K10993" t="s" s="12">
        <v>14</v>
      </c>
      <c r="L10993" t="s" s="12">
        <v>14</v>
      </c>
      <c r="M10993" t="s" s="10">
        <v>14</v>
      </c>
      <c r="N10993" t="s" s="11">
        <v>14</v>
      </c>
      <c r="O10993" t="s" s="8">
        <v>14</v>
      </c>
      <c r="P10993" t="s" s="8">
        <v>14</v>
      </c>
      <c r="Q10993" t="s" s="12">
        <v>14</v>
      </c>
      <c r="R10993" t="s" s="12">
        <v>14</v>
      </c>
    </row>
    <row r="10994" s="2" customFormat="1" ht="13.5" customHeight="1">
      <c r="B10994" s="13"/>
      <c r="C10994" t="s" s="9">
        <v>23</v>
      </c>
      <c r="D10994" t="s" s="8">
        <v>4097</v>
      </c>
      <c r="E10994" t="s" s="9">
        <v>4098</v>
      </c>
      <c r="F10994" t="s" s="10">
        <v>73</v>
      </c>
      <c r="G10994" t="s" s="11">
        <v>80</v>
      </c>
      <c r="H10994" s="19">
        <v>10</v>
      </c>
      <c r="I10994" t="s" s="11">
        <v>80</v>
      </c>
      <c r="J10994" t="s" s="11">
        <v>20</v>
      </c>
      <c r="K10994" t="s" s="16">
        <f>HYPERLINK("http://csr.bu.edu/ftp/asl/asllvd/demos/verify_start_end_handshape_annotations//test_auto_move//signs_mov/16127.mov","MOV")</f>
        <v>21</v>
      </c>
      <c r="L10994" t="s" s="16">
        <f>HYPERLINK("http://csr.bu.edu/ftp/asl/asllvd/demos/verify_start_end_handshape_annotations//test_auto_move//signs_mov_separ_signers/Tyler_16127.mov","MOV")</f>
        <v>21</v>
      </c>
      <c r="M10994" t="s" s="10">
        <v>26</v>
      </c>
      <c r="N10994" s="17">
        <v>10</v>
      </c>
      <c r="O10994" s="18">
        <v>1047</v>
      </c>
      <c r="P10994" s="18">
        <v>1063</v>
      </c>
      <c r="Q10994" t="s" s="16">
        <f>HYPERLINK("http://secrets.rutgers.edu:8080/data/asl-ftp/asllvd/demos/verify_start_end_handshape_annotations//test_auto_move//signs_mov/16127.mov","MOV")</f>
        <v>21</v>
      </c>
      <c r="R10994" t="s" s="16">
        <f>HYPERLINK("http://secrets.rutgers.edu:8080/data/asl-ftp/asllvd/demos/verify_start_end_handshape_annotations//test_auto_move//signs_mov_separ_signers/Tyler_16127.mov","MOV")</f>
        <v>21</v>
      </c>
    </row>
    <row r="10995" s="2" customFormat="1" ht="13.5" customHeight="1">
      <c r="B10995" t="s" s="8">
        <v>4099</v>
      </c>
      <c r="C10995" t="s" s="9">
        <v>14</v>
      </c>
      <c r="D10995" t="s" s="8">
        <v>14</v>
      </c>
      <c r="E10995" t="s" s="9">
        <v>14</v>
      </c>
      <c r="F10995" t="s" s="10">
        <v>14</v>
      </c>
      <c r="G10995" t="s" s="11">
        <v>14</v>
      </c>
      <c r="H10995" t="s" s="10">
        <v>14</v>
      </c>
      <c r="I10995" t="s" s="11">
        <v>14</v>
      </c>
      <c r="J10995" t="s" s="11">
        <v>14</v>
      </c>
      <c r="K10995" t="s" s="12">
        <v>14</v>
      </c>
      <c r="L10995" t="s" s="12">
        <v>14</v>
      </c>
      <c r="M10995" t="s" s="10">
        <v>14</v>
      </c>
      <c r="N10995" t="s" s="11">
        <v>14</v>
      </c>
      <c r="O10995" t="s" s="8">
        <v>14</v>
      </c>
      <c r="P10995" t="s" s="8">
        <v>14</v>
      </c>
      <c r="Q10995" t="s" s="12">
        <v>14</v>
      </c>
      <c r="R10995" t="s" s="12">
        <v>14</v>
      </c>
    </row>
    <row r="10996" s="2" customFormat="1" ht="13.5" customHeight="1">
      <c r="B10996" s="13"/>
      <c r="C10996" t="s" s="9">
        <v>16</v>
      </c>
      <c r="D10996" t="s" s="8">
        <v>4099</v>
      </c>
      <c r="E10996" t="s" s="9">
        <v>4099</v>
      </c>
      <c r="F10996" t="s" s="10">
        <v>196</v>
      </c>
      <c r="G10996" s="14"/>
      <c r="H10996" t="s" s="10">
        <v>136</v>
      </c>
      <c r="I10996" s="14"/>
      <c r="J10996" t="s" s="11">
        <v>20</v>
      </c>
      <c r="K10996" s="15"/>
      <c r="L10996" t="s" s="16">
        <f>HYPERLINK("http://csr.bu.edu/ftp/asl/asllvd/demos/verify_start_end_handshape_annotations//test_auto_move//signs_mov_separ_signers/Liz_4695.mov","MOV")</f>
        <v>21</v>
      </c>
      <c r="M10996" t="s" s="10">
        <v>22</v>
      </c>
      <c r="N10996" s="17">
        <v>61</v>
      </c>
      <c r="O10996" s="18">
        <v>2045</v>
      </c>
      <c r="P10996" s="18">
        <v>2065</v>
      </c>
      <c r="Q10996" s="15"/>
      <c r="R10996" t="s" s="16">
        <f>HYPERLINK("http://secrets.rutgers.edu:8080/data/asl-ftp/asllvd/demos/verify_start_end_handshape_annotations//test_auto_move//signs_mov_separ_signers/Liz_4695.mov","MOV")</f>
        <v>21</v>
      </c>
    </row>
    <row r="10997" s="2" customFormat="1" ht="13.5" customHeight="1">
      <c r="B10997" s="13"/>
      <c r="C10997" t="s" s="9">
        <v>27</v>
      </c>
      <c r="D10997" t="s" s="8">
        <v>4099</v>
      </c>
      <c r="E10997" t="s" s="9">
        <v>4099</v>
      </c>
      <c r="F10997" t="s" s="10">
        <v>196</v>
      </c>
      <c r="G10997" s="14"/>
      <c r="H10997" t="s" s="10">
        <v>136</v>
      </c>
      <c r="I10997" s="14"/>
      <c r="J10997" t="s" s="11">
        <v>20</v>
      </c>
      <c r="K10997" s="15"/>
      <c r="L10997" t="s" s="16">
        <f>HYPERLINK("http://csr.bu.edu/ftp/asl/asllvd/demos/verify_start_end_handshape_annotations//test_auto_move//signs_mov_separ_signers/Naomi_4695.mov","MOV")</f>
        <v>21</v>
      </c>
      <c r="M10997" t="s" s="10">
        <v>29</v>
      </c>
      <c r="N10997" s="17">
        <v>39</v>
      </c>
      <c r="O10997" s="18">
        <v>2965</v>
      </c>
      <c r="P10997" s="18">
        <v>2980</v>
      </c>
      <c r="Q10997" s="15"/>
      <c r="R10997" t="s" s="16">
        <f>HYPERLINK("http://secrets.rutgers.edu:8080/data/asl-ftp/asllvd/demos/verify_start_end_handshape_annotations//test_auto_move//signs_mov_separ_signers/Naomi_4695.mov","MOV")</f>
        <v>21</v>
      </c>
    </row>
    <row r="10998" s="2" customFormat="1" ht="13.5" customHeight="1">
      <c r="B10998" s="13"/>
      <c r="C10998" t="s" s="9">
        <v>27</v>
      </c>
      <c r="D10998" t="s" s="8">
        <v>4099</v>
      </c>
      <c r="E10998" t="s" s="9">
        <v>4099</v>
      </c>
      <c r="F10998" t="s" s="10">
        <v>196</v>
      </c>
      <c r="G10998" s="14"/>
      <c r="H10998" t="s" s="10">
        <v>136</v>
      </c>
      <c r="I10998" s="14"/>
      <c r="J10998" t="s" s="11">
        <v>20</v>
      </c>
      <c r="K10998" s="15"/>
      <c r="L10998" t="s" s="16">
        <f>HYPERLINK("http://csr.bu.edu/ftp/asl/asllvd/demos/verify_start_end_handshape_annotations//test_auto_move//signs_mov_separ_signers/Naomi_15750.mov","MOV")</f>
        <v>21</v>
      </c>
      <c r="M10998" t="s" s="10">
        <v>38</v>
      </c>
      <c r="N10998" s="17">
        <v>7</v>
      </c>
      <c r="O10998" s="18">
        <v>2007</v>
      </c>
      <c r="P10998" s="18">
        <v>2022</v>
      </c>
      <c r="Q10998" s="15"/>
      <c r="R10998" t="s" s="16">
        <f>HYPERLINK("http://secrets.rutgers.edu:8080/data/asl-ftp/asllvd/demos/verify_start_end_handshape_annotations//test_auto_move//signs_mov_separ_signers/Naomi_15750.mov","MOV")</f>
        <v>21</v>
      </c>
    </row>
    <row r="10999" s="2" customFormat="1" ht="13.5" customHeight="1">
      <c r="B10999" s="13"/>
      <c r="C10999" t="s" s="9">
        <v>30</v>
      </c>
      <c r="D10999" t="s" s="8">
        <v>4099</v>
      </c>
      <c r="E10999" t="s" s="9">
        <v>4099</v>
      </c>
      <c r="F10999" t="s" s="10">
        <v>25</v>
      </c>
      <c r="G10999" s="14"/>
      <c r="H10999" t="s" s="10">
        <v>136</v>
      </c>
      <c r="I10999" s="14"/>
      <c r="J10999" t="s" s="11">
        <v>20</v>
      </c>
      <c r="K10999" t="s" s="16">
        <f>HYPERLINK("http://csr.bu.edu/ftp/asl/asllvd/demos/verify_start_end_handshape_annotations//test_auto_move//signs_mov/4695_15750_15754_merged.mov","MOV")</f>
        <v>21</v>
      </c>
      <c r="L10999" t="s" s="16">
        <f>HYPERLINK("http://csr.bu.edu/ftp/asl/asllvd/demos/verify_start_end_handshape_annotations//test_auto_move//signs_mov_separ_signers/Brady_4695.mov","MOV")</f>
        <v>21</v>
      </c>
      <c r="M10999" t="s" s="10">
        <v>31</v>
      </c>
      <c r="N10999" s="17">
        <v>24</v>
      </c>
      <c r="O10999" s="18">
        <v>14043</v>
      </c>
      <c r="P10999" s="18">
        <v>14056</v>
      </c>
      <c r="Q10999" t="s" s="16">
        <f>HYPERLINK("http://secrets.rutgers.edu:8080/data/asl-ftp/asllvd/demos/verify_start_end_handshape_annotations//test_auto_move//signs_mov/4695_15750_15754_merged.mov","MOV")</f>
        <v>21</v>
      </c>
      <c r="R10999" t="s" s="16">
        <f>HYPERLINK("http://secrets.rutgers.edu:8080/data/asl-ftp/asllvd/demos/verify_start_end_handshape_annotations//test_auto_move//signs_mov_separ_signers/Brady_4695.mov","MOV")</f>
        <v>21</v>
      </c>
    </row>
    <row r="11000" s="2" customFormat="1" ht="13.5" customHeight="1">
      <c r="B11000" s="13"/>
      <c r="C11000" t="s" s="9">
        <v>30</v>
      </c>
      <c r="D11000" t="s" s="8">
        <v>4099</v>
      </c>
      <c r="E11000" t="s" s="9">
        <v>4099</v>
      </c>
      <c r="F11000" t="s" s="10">
        <v>25</v>
      </c>
      <c r="G11000" s="14"/>
      <c r="H11000" t="s" s="10">
        <v>136</v>
      </c>
      <c r="I11000" s="14"/>
      <c r="J11000" t="s" s="11">
        <v>20</v>
      </c>
      <c r="K11000" s="15"/>
      <c r="L11000" t="s" s="16">
        <f>HYPERLINK("http://csr.bu.edu/ftp/asl/asllvd/demos/verify_start_end_handshape_annotations//test_auto_move//signs_mov_separ_signers/Brady_15750.mov","MOV")</f>
        <v>21</v>
      </c>
      <c r="M11000" t="s" s="10">
        <v>31</v>
      </c>
      <c r="N11000" s="17">
        <v>24</v>
      </c>
      <c r="O11000" s="18">
        <v>14318</v>
      </c>
      <c r="P11000" s="18">
        <v>14335</v>
      </c>
      <c r="Q11000" s="15"/>
      <c r="R11000" t="s" s="16">
        <f>HYPERLINK("http://secrets.rutgers.edu:8080/data/asl-ftp/asllvd/demos/verify_start_end_handshape_annotations//test_auto_move//signs_mov_separ_signers/Brady_15750.mov","MOV")</f>
        <v>21</v>
      </c>
    </row>
    <row r="11001" s="2" customFormat="1" ht="13.5" customHeight="1">
      <c r="B11001" s="13"/>
      <c r="C11001" t="s" s="9">
        <v>30</v>
      </c>
      <c r="D11001" t="s" s="8">
        <v>4099</v>
      </c>
      <c r="E11001" t="s" s="9">
        <v>4099</v>
      </c>
      <c r="F11001" t="s" s="10">
        <v>25</v>
      </c>
      <c r="G11001" s="14"/>
      <c r="H11001" t="s" s="10">
        <v>136</v>
      </c>
      <c r="I11001" s="14"/>
      <c r="J11001" t="s" s="11">
        <v>20</v>
      </c>
      <c r="K11001" s="15"/>
      <c r="L11001" t="s" s="16">
        <f>HYPERLINK("http://csr.bu.edu/ftp/asl/asllvd/demos/verify_start_end_handshape_annotations//test_auto_move//signs_mov_separ_signers/Brady_15754.mov","MOV")</f>
        <v>21</v>
      </c>
      <c r="M11001" t="s" s="10">
        <v>39</v>
      </c>
      <c r="N11001" s="17">
        <v>27</v>
      </c>
      <c r="O11001" s="18">
        <v>2755</v>
      </c>
      <c r="P11001" s="18">
        <v>2773</v>
      </c>
      <c r="Q11001" s="15"/>
      <c r="R11001" t="s" s="16">
        <f>HYPERLINK("http://secrets.rutgers.edu:8080/data/asl-ftp/asllvd/demos/verify_start_end_handshape_annotations//test_auto_move//signs_mov_separ_signers/Brady_15754.mov","MOV")</f>
        <v>21</v>
      </c>
    </row>
    <row r="11002" s="2" customFormat="1" ht="13.5" customHeight="1">
      <c r="B11002" s="13"/>
      <c r="C11002" t="s" s="9">
        <v>41</v>
      </c>
      <c r="D11002" t="s" s="8">
        <v>4099</v>
      </c>
      <c r="E11002" t="s" s="9">
        <v>4100</v>
      </c>
      <c r="F11002" t="s" s="10">
        <v>196</v>
      </c>
      <c r="G11002" s="14"/>
      <c r="H11002" t="s" s="10">
        <v>136</v>
      </c>
      <c r="I11002" s="14"/>
      <c r="J11002" t="s" s="11">
        <v>20</v>
      </c>
      <c r="K11002" s="15"/>
      <c r="L11002" t="s" s="16">
        <f>HYPERLINK("http://csr.bu.edu/ftp/asl/asllvd/demos/verify_start_end_handshape_annotations//test_auto_move//signs_mov_separ_signers/Lana_4695.mov","MOV")</f>
        <v>21</v>
      </c>
      <c r="M11002" t="s" s="10">
        <v>42</v>
      </c>
      <c r="N11002" s="17">
        <v>5</v>
      </c>
      <c r="O11002" s="18">
        <v>357</v>
      </c>
      <c r="P11002" s="18">
        <v>385</v>
      </c>
      <c r="Q11002" s="15"/>
      <c r="R11002" t="s" s="16">
        <f>HYPERLINK("http://secrets.rutgers.edu:8080/data/asl-ftp/asllvd/demos/verify_start_end_handshape_annotations//test_auto_move//signs_mov_separ_signers/Lana_4695.mov","MOV")</f>
        <v>21</v>
      </c>
    </row>
    <row r="11003" s="2" customFormat="1" ht="13.5" customHeight="1">
      <c r="B11003" t="s" s="8">
        <v>52</v>
      </c>
      <c r="C11003" t="s" s="9">
        <v>53</v>
      </c>
      <c r="D11003" t="s" s="8">
        <v>53</v>
      </c>
      <c r="E11003" t="s" s="9">
        <v>53</v>
      </c>
      <c r="F11003" t="s" s="10">
        <v>53</v>
      </c>
      <c r="G11003" t="s" s="11">
        <v>53</v>
      </c>
      <c r="H11003" t="s" s="10">
        <v>53</v>
      </c>
      <c r="I11003" t="s" s="11">
        <v>53</v>
      </c>
      <c r="J11003" t="s" s="11">
        <v>53</v>
      </c>
      <c r="K11003" t="s" s="12">
        <v>53</v>
      </c>
      <c r="L11003" t="s" s="12">
        <v>53</v>
      </c>
      <c r="M11003" t="s" s="10">
        <v>53</v>
      </c>
      <c r="N11003" t="s" s="11">
        <v>53</v>
      </c>
      <c r="O11003" t="s" s="8">
        <v>53</v>
      </c>
      <c r="P11003" t="s" s="8">
        <v>53</v>
      </c>
      <c r="Q11003" t="s" s="12">
        <v>53</v>
      </c>
      <c r="R11003" t="s" s="12">
        <v>53</v>
      </c>
    </row>
    <row r="11004" s="2" customFormat="1" ht="13.5" customHeight="1">
      <c r="B11004" s="13"/>
      <c r="C11004" t="s" s="9">
        <v>23</v>
      </c>
      <c r="D11004" t="s" s="8">
        <v>4099</v>
      </c>
      <c r="E11004" t="s" s="9">
        <v>4101</v>
      </c>
      <c r="F11004" t="s" s="10">
        <v>337</v>
      </c>
      <c r="G11004" s="14"/>
      <c r="H11004" t="s" s="10">
        <v>337</v>
      </c>
      <c r="I11004" s="14"/>
      <c r="J11004" t="s" s="11">
        <v>20</v>
      </c>
      <c r="K11004" t="s" s="16">
        <f>HYPERLINK("http://csr.bu.edu/ftp/asl/asllvd/demos/verify_start_end_handshape_annotations//test_auto_move//signs_mov/15802.mov","MOV")</f>
        <v>21</v>
      </c>
      <c r="L11004" t="s" s="16">
        <f>HYPERLINK("http://csr.bu.edu/ftp/asl/asllvd/demos/verify_start_end_handshape_annotations//test_auto_move//signs_mov_separ_signers/Tyler_15802.mov","MOV")</f>
        <v>21</v>
      </c>
      <c r="M11004" t="s" s="10">
        <v>92</v>
      </c>
      <c r="N11004" s="17">
        <v>39</v>
      </c>
      <c r="O11004" s="18">
        <v>1177</v>
      </c>
      <c r="P11004" s="18">
        <v>1200</v>
      </c>
      <c r="Q11004" t="s" s="16">
        <f>HYPERLINK("http://secrets.rutgers.edu:8080/data/asl-ftp/asllvd/demos/verify_start_end_handshape_annotations//test_auto_move//signs_mov/15802.mov","MOV")</f>
        <v>21</v>
      </c>
      <c r="R11004" t="s" s="16">
        <f>HYPERLINK("http://secrets.rutgers.edu:8080/data/asl-ftp/asllvd/demos/verify_start_end_handshape_annotations//test_auto_move//signs_mov_separ_signers/Tyler_15802.mov","MOV")</f>
        <v>21</v>
      </c>
    </row>
    <row r="11005" s="2" customFormat="1" ht="13.5" customHeight="1">
      <c r="B11005" t="s" s="8">
        <v>52</v>
      </c>
      <c r="C11005" t="s" s="9">
        <v>53</v>
      </c>
      <c r="D11005" t="s" s="8">
        <v>53</v>
      </c>
      <c r="E11005" t="s" s="9">
        <v>53</v>
      </c>
      <c r="F11005" t="s" s="10">
        <v>53</v>
      </c>
      <c r="G11005" t="s" s="11">
        <v>53</v>
      </c>
      <c r="H11005" t="s" s="10">
        <v>53</v>
      </c>
      <c r="I11005" t="s" s="11">
        <v>53</v>
      </c>
      <c r="J11005" t="s" s="11">
        <v>53</v>
      </c>
      <c r="K11005" t="s" s="12">
        <v>53</v>
      </c>
      <c r="L11005" t="s" s="12">
        <v>53</v>
      </c>
      <c r="M11005" t="s" s="10">
        <v>53</v>
      </c>
      <c r="N11005" t="s" s="11">
        <v>53</v>
      </c>
      <c r="O11005" t="s" s="8">
        <v>53</v>
      </c>
      <c r="P11005" t="s" s="8">
        <v>53</v>
      </c>
      <c r="Q11005" t="s" s="12">
        <v>53</v>
      </c>
      <c r="R11005" t="s" s="12">
        <v>53</v>
      </c>
    </row>
    <row r="11006" s="2" customFormat="1" ht="13.5" customHeight="1">
      <c r="B11006" s="13"/>
      <c r="C11006" t="s" s="9">
        <v>43</v>
      </c>
      <c r="D11006" t="s" s="8">
        <v>4099</v>
      </c>
      <c r="E11006" t="s" s="9">
        <v>4102</v>
      </c>
      <c r="F11006" s="19">
        <v>1</v>
      </c>
      <c r="G11006" s="14"/>
      <c r="H11006" t="s" s="10">
        <v>136</v>
      </c>
      <c r="I11006" s="14"/>
      <c r="J11006" t="s" s="11">
        <v>20</v>
      </c>
      <c r="K11006" t="s" s="16">
        <f>HYPERLINK("http://csr.bu.edu/ftp/asl/asllvd/demos/verify_start_end_handshape_annotations//test_auto_move//signs_mov/15803.mov","MOV")</f>
        <v>21</v>
      </c>
      <c r="L11006" t="s" s="16">
        <f>HYPERLINK("http://csr.bu.edu/ftp/asl/asllvd/demos/verify_start_end_handshape_annotations//test_auto_move//signs_mov_separ_signers/Dana_15803.mov","MOV")</f>
        <v>21</v>
      </c>
      <c r="M11006" t="s" s="10">
        <v>44</v>
      </c>
      <c r="N11006" s="17">
        <v>9</v>
      </c>
      <c r="O11006" s="18">
        <v>422</v>
      </c>
      <c r="P11006" s="18">
        <v>450</v>
      </c>
      <c r="Q11006" t="s" s="16">
        <f>HYPERLINK("http://secrets.rutgers.edu:8080/data/asl-ftp/asllvd/demos/verify_start_end_handshape_annotations//test_auto_move//signs_mov/15803.mov","MOV")</f>
        <v>21</v>
      </c>
      <c r="R11006" t="s" s="16">
        <f>HYPERLINK("http://secrets.rutgers.edu:8080/data/asl-ftp/asllvd/demos/verify_start_end_handshape_annotations//test_auto_move//signs_mov_separ_signers/Dana_15803.mov","MOV")</f>
        <v>21</v>
      </c>
    </row>
    <row r="11007" s="2" customFormat="1" ht="13.5" customHeight="1">
      <c r="B11007" t="s" s="8">
        <v>52</v>
      </c>
      <c r="C11007" t="s" s="9">
        <v>53</v>
      </c>
      <c r="D11007" t="s" s="8">
        <v>53</v>
      </c>
      <c r="E11007" t="s" s="9">
        <v>53</v>
      </c>
      <c r="F11007" t="s" s="10">
        <v>53</v>
      </c>
      <c r="G11007" t="s" s="11">
        <v>53</v>
      </c>
      <c r="H11007" t="s" s="10">
        <v>53</v>
      </c>
      <c r="I11007" t="s" s="11">
        <v>53</v>
      </c>
      <c r="J11007" t="s" s="11">
        <v>53</v>
      </c>
      <c r="K11007" t="s" s="12">
        <v>53</v>
      </c>
      <c r="L11007" t="s" s="12">
        <v>53</v>
      </c>
      <c r="M11007" t="s" s="10">
        <v>53</v>
      </c>
      <c r="N11007" t="s" s="11">
        <v>53</v>
      </c>
      <c r="O11007" t="s" s="8">
        <v>53</v>
      </c>
      <c r="P11007" t="s" s="8">
        <v>53</v>
      </c>
      <c r="Q11007" t="s" s="12">
        <v>53</v>
      </c>
      <c r="R11007" t="s" s="12">
        <v>53</v>
      </c>
    </row>
    <row r="11008" s="2" customFormat="1" ht="13.5" customHeight="1">
      <c r="B11008" s="13"/>
      <c r="C11008" t="s" s="9">
        <v>23</v>
      </c>
      <c r="D11008" t="s" s="8">
        <v>4099</v>
      </c>
      <c r="E11008" t="s" s="9">
        <v>4103</v>
      </c>
      <c r="F11008" s="19">
        <v>25</v>
      </c>
      <c r="G11008" s="14"/>
      <c r="H11008" s="19">
        <v>25</v>
      </c>
      <c r="I11008" s="14"/>
      <c r="J11008" t="s" s="11">
        <v>20</v>
      </c>
      <c r="K11008" t="s" s="16">
        <f>HYPERLINK("http://csr.bu.edu/ftp/asl/asllvd/demos/verify_start_end_handshape_annotations//test_auto_move//signs_mov/16128.mov","MOV")</f>
        <v>21</v>
      </c>
      <c r="L11008" t="s" s="16">
        <f>HYPERLINK("http://csr.bu.edu/ftp/asl/asllvd/demos/verify_start_end_handshape_annotations//test_auto_move//signs_mov_separ_signers/Tyler_16128.mov","MOV")</f>
        <v>21</v>
      </c>
      <c r="M11008" t="s" s="10">
        <v>26</v>
      </c>
      <c r="N11008" s="17">
        <v>38</v>
      </c>
      <c r="O11008" s="18">
        <v>1470</v>
      </c>
      <c r="P11008" s="18">
        <v>1505</v>
      </c>
      <c r="Q11008" t="s" s="16">
        <f>HYPERLINK("http://secrets.rutgers.edu:8080/data/asl-ftp/asllvd/demos/verify_start_end_handshape_annotations//test_auto_move//signs_mov/16128.mov","MOV")</f>
        <v>21</v>
      </c>
      <c r="R11008" t="s" s="16">
        <f>HYPERLINK("http://secrets.rutgers.edu:8080/data/asl-ftp/asllvd/demos/verify_start_end_handshape_annotations//test_auto_move//signs_mov_separ_signers/Tyler_16128.mov","MOV")</f>
        <v>21</v>
      </c>
    </row>
    <row r="11009" s="2" customFormat="1" ht="27.75" customHeight="1">
      <c r="B11009" t="s" s="8">
        <v>4104</v>
      </c>
      <c r="C11009" t="s" s="9">
        <v>14</v>
      </c>
      <c r="D11009" t="s" s="8">
        <v>14</v>
      </c>
      <c r="E11009" t="s" s="9">
        <v>14</v>
      </c>
      <c r="F11009" t="s" s="10">
        <v>14</v>
      </c>
      <c r="G11009" t="s" s="11">
        <v>14</v>
      </c>
      <c r="H11009" t="s" s="10">
        <v>14</v>
      </c>
      <c r="I11009" t="s" s="11">
        <v>14</v>
      </c>
      <c r="J11009" t="s" s="11">
        <v>14</v>
      </c>
      <c r="K11009" t="s" s="12">
        <v>14</v>
      </c>
      <c r="L11009" t="s" s="12">
        <v>14</v>
      </c>
      <c r="M11009" t="s" s="10">
        <v>14</v>
      </c>
      <c r="N11009" t="s" s="11">
        <v>14</v>
      </c>
      <c r="O11009" t="s" s="8">
        <v>14</v>
      </c>
      <c r="P11009" t="s" s="8">
        <v>14</v>
      </c>
      <c r="Q11009" t="s" s="12">
        <v>14</v>
      </c>
      <c r="R11009" t="s" s="12">
        <v>14</v>
      </c>
    </row>
    <row r="11010" s="2" customFormat="1" ht="27.75" customHeight="1">
      <c r="B11010" s="13"/>
      <c r="C11010" t="s" s="9">
        <v>16</v>
      </c>
      <c r="D11010" t="s" s="8">
        <v>4104</v>
      </c>
      <c r="E11010" t="s" s="9">
        <v>4104</v>
      </c>
      <c r="F11010" t="s" s="10">
        <v>196</v>
      </c>
      <c r="G11010" s="14"/>
      <c r="H11010" t="s" s="10">
        <v>136</v>
      </c>
      <c r="I11010" s="14"/>
      <c r="J11010" t="s" s="11">
        <v>20</v>
      </c>
      <c r="K11010" t="s" s="16">
        <f>HYPERLINK("http://csr.bu.edu/ftp/asl/asllvd/demos/verify_start_end_handshape_annotations//test_auto_move//signs_mov/16550.mov","MOV")</f>
        <v>21</v>
      </c>
      <c r="L11010" t="s" s="16">
        <f>HYPERLINK("http://csr.bu.edu/ftp/asl/asllvd/demos/verify_start_end_handshape_annotations//test_auto_move//signs_mov_separ_signers/Liz_16550.mov","MOV")</f>
        <v>21</v>
      </c>
      <c r="M11010" t="s" s="10">
        <v>34</v>
      </c>
      <c r="N11010" s="17">
        <v>8</v>
      </c>
      <c r="O11010" s="18">
        <v>1507</v>
      </c>
      <c r="P11010" s="18">
        <v>1560</v>
      </c>
      <c r="Q11010" t="s" s="16">
        <f>HYPERLINK("http://secrets.rutgers.edu:8080/data/asl-ftp/asllvd/demos/verify_start_end_handshape_annotations//test_auto_move//signs_mov/16550.mov","MOV")</f>
        <v>21</v>
      </c>
      <c r="R11010" t="s" s="16">
        <f>HYPERLINK("http://secrets.rutgers.edu:8080/data/asl-ftp/asllvd/demos/verify_start_end_handshape_annotations//test_auto_move//signs_mov_separ_signers/Liz_16550.mov","MOV")</f>
        <v>21</v>
      </c>
    </row>
    <row r="11011" s="2" customFormat="1" ht="13.5" customHeight="1">
      <c r="B11011" t="s" s="8">
        <v>4105</v>
      </c>
      <c r="C11011" t="s" s="9">
        <v>14</v>
      </c>
      <c r="D11011" t="s" s="8">
        <v>14</v>
      </c>
      <c r="E11011" t="s" s="9">
        <v>14</v>
      </c>
      <c r="F11011" t="s" s="10">
        <v>14</v>
      </c>
      <c r="G11011" t="s" s="11">
        <v>14</v>
      </c>
      <c r="H11011" t="s" s="10">
        <v>14</v>
      </c>
      <c r="I11011" t="s" s="11">
        <v>14</v>
      </c>
      <c r="J11011" t="s" s="11">
        <v>14</v>
      </c>
      <c r="K11011" t="s" s="12">
        <v>14</v>
      </c>
      <c r="L11011" t="s" s="12">
        <v>14</v>
      </c>
      <c r="M11011" t="s" s="10">
        <v>14</v>
      </c>
      <c r="N11011" t="s" s="11">
        <v>14</v>
      </c>
      <c r="O11011" t="s" s="8">
        <v>14</v>
      </c>
      <c r="P11011" t="s" s="8">
        <v>14</v>
      </c>
      <c r="Q11011" t="s" s="12">
        <v>14</v>
      </c>
      <c r="R11011" t="s" s="12">
        <v>14</v>
      </c>
    </row>
    <row r="11012" s="2" customFormat="1" ht="13.5" customHeight="1">
      <c r="B11012" s="13"/>
      <c r="C11012" t="s" s="9">
        <v>16</v>
      </c>
      <c r="D11012" t="s" s="8">
        <v>4105</v>
      </c>
      <c r="E11012" t="s" s="9">
        <v>4106</v>
      </c>
      <c r="F11012" t="s" s="10">
        <v>73</v>
      </c>
      <c r="G11012" t="s" s="11">
        <v>55</v>
      </c>
      <c r="H11012" t="s" s="10">
        <v>73</v>
      </c>
      <c r="I11012" t="s" s="11">
        <v>55</v>
      </c>
      <c r="J11012" t="s" s="11">
        <v>136</v>
      </c>
      <c r="K11012" t="s" s="16">
        <f>HYPERLINK("http://csr.bu.edu/ftp/asl/asllvd/demos/verify_start_end_handshape_annotations//test_auto_move//signs_mov/4697.mov","MOV")</f>
        <v>21</v>
      </c>
      <c r="L11012" t="s" s="16">
        <f>HYPERLINK("http://csr.bu.edu/ftp/asl/asllvd/demos/verify_start_end_handshape_annotations//test_auto_move//signs_mov_separ_signers/Liz_4697.mov","MOV")</f>
        <v>21</v>
      </c>
      <c r="M11012" t="s" s="10">
        <v>84</v>
      </c>
      <c r="N11012" s="17">
        <v>16</v>
      </c>
      <c r="O11012" s="18">
        <v>357</v>
      </c>
      <c r="P11012" s="18">
        <v>425</v>
      </c>
      <c r="Q11012" t="s" s="16">
        <f>HYPERLINK("http://secrets.rutgers.edu:8080/data/asl-ftp/asllvd/demos/verify_start_end_handshape_annotations//test_auto_move//signs_mov/4697.mov","MOV")</f>
        <v>21</v>
      </c>
      <c r="R11012" t="s" s="16">
        <f>HYPERLINK("http://secrets.rutgers.edu:8080/data/asl-ftp/asllvd/demos/verify_start_end_handshape_annotations//test_auto_move//signs_mov_separ_signers/Liz_4697.mov","MOV")</f>
        <v>21</v>
      </c>
    </row>
    <row r="11013" s="2" customFormat="1" ht="13.5" customHeight="1">
      <c r="B11013" t="s" s="8">
        <v>52</v>
      </c>
      <c r="C11013" t="s" s="9">
        <v>53</v>
      </c>
      <c r="D11013" t="s" s="8">
        <v>53</v>
      </c>
      <c r="E11013" t="s" s="9">
        <v>53</v>
      </c>
      <c r="F11013" t="s" s="10">
        <v>53</v>
      </c>
      <c r="G11013" t="s" s="11">
        <v>53</v>
      </c>
      <c r="H11013" t="s" s="10">
        <v>53</v>
      </c>
      <c r="I11013" t="s" s="11">
        <v>53</v>
      </c>
      <c r="J11013" t="s" s="11">
        <v>53</v>
      </c>
      <c r="K11013" t="s" s="12">
        <v>53</v>
      </c>
      <c r="L11013" t="s" s="12">
        <v>53</v>
      </c>
      <c r="M11013" t="s" s="10">
        <v>53</v>
      </c>
      <c r="N11013" t="s" s="11">
        <v>53</v>
      </c>
      <c r="O11013" t="s" s="8">
        <v>53</v>
      </c>
      <c r="P11013" t="s" s="8">
        <v>53</v>
      </c>
      <c r="Q11013" t="s" s="12">
        <v>53</v>
      </c>
      <c r="R11013" t="s" s="12">
        <v>53</v>
      </c>
    </row>
    <row r="11014" s="2" customFormat="1" ht="27.75" customHeight="1">
      <c r="B11014" s="13"/>
      <c r="C11014" t="s" s="9">
        <v>27</v>
      </c>
      <c r="D11014" t="s" s="8">
        <v>4105</v>
      </c>
      <c r="E11014" t="s" s="9">
        <v>4107</v>
      </c>
      <c r="F11014" t="s" s="10">
        <v>73</v>
      </c>
      <c r="G11014" t="s" s="11">
        <v>105</v>
      </c>
      <c r="H11014" t="s" s="10">
        <v>73</v>
      </c>
      <c r="I11014" t="s" s="11">
        <v>105</v>
      </c>
      <c r="J11014" t="s" s="11">
        <v>136</v>
      </c>
      <c r="K11014" s="15"/>
      <c r="L11014" t="s" s="16">
        <f>HYPERLINK("http://csr.bu.edu/ftp/asl/asllvd/demos/verify_start_end_handshape_annotations//test_auto_move//signs_mov_separ_signers/Naomi_15917.mov","MOV")</f>
        <v>21</v>
      </c>
      <c r="M11014" t="s" s="10">
        <v>86</v>
      </c>
      <c r="N11014" s="17">
        <v>15</v>
      </c>
      <c r="O11014" s="18">
        <v>3920</v>
      </c>
      <c r="P11014" s="18">
        <v>3970</v>
      </c>
      <c r="Q11014" s="15"/>
      <c r="R11014" t="s" s="16">
        <f>HYPERLINK("http://secrets.rutgers.edu:8080/data/asl-ftp/asllvd/demos/verify_start_end_handshape_annotations//test_auto_move//signs_mov_separ_signers/Naomi_15917.mov","MOV")</f>
        <v>21</v>
      </c>
    </row>
    <row r="11015" s="2" customFormat="1" ht="27.75" customHeight="1">
      <c r="B11015" s="13"/>
      <c r="C11015" t="s" s="9">
        <v>30</v>
      </c>
      <c r="D11015" t="s" s="8">
        <v>4105</v>
      </c>
      <c r="E11015" t="s" s="9">
        <v>4107</v>
      </c>
      <c r="F11015" t="s" s="10">
        <v>73</v>
      </c>
      <c r="G11015" t="s" s="11">
        <v>105</v>
      </c>
      <c r="H11015" t="s" s="10">
        <v>73</v>
      </c>
      <c r="I11015" t="s" s="11">
        <v>105</v>
      </c>
      <c r="J11015" t="s" s="11">
        <v>136</v>
      </c>
      <c r="K11015" t="s" s="16">
        <f>HYPERLINK("http://csr.bu.edu/ftp/asl/asllvd/demos/verify_start_end_handshape_annotations//test_auto_move//signs_mov/15917_16024_merged.mov","MOV")</f>
        <v>21</v>
      </c>
      <c r="L11015" t="s" s="16">
        <f>HYPERLINK("http://csr.bu.edu/ftp/asl/asllvd/demos/verify_start_end_handshape_annotations//test_auto_move//signs_mov_separ_signers/Brady_15917.mov","MOV")</f>
        <v>21</v>
      </c>
      <c r="M11015" t="s" s="10">
        <v>31</v>
      </c>
      <c r="N11015" s="17">
        <v>33</v>
      </c>
      <c r="O11015" s="18">
        <v>9336</v>
      </c>
      <c r="P11015" s="18">
        <v>9404</v>
      </c>
      <c r="Q11015" t="s" s="16">
        <f>HYPERLINK("http://secrets.rutgers.edu:8080/data/asl-ftp/asllvd/demos/verify_start_end_handshape_annotations//test_auto_move//signs_mov/15917_16024_merged.mov","MOV")</f>
        <v>21</v>
      </c>
      <c r="R11015" t="s" s="16">
        <f>HYPERLINK("http://secrets.rutgers.edu:8080/data/asl-ftp/asllvd/demos/verify_start_end_handshape_annotations//test_auto_move//signs_mov_separ_signers/Brady_15917.mov","MOV")</f>
        <v>21</v>
      </c>
    </row>
    <row r="11016" s="2" customFormat="1" ht="27.75" customHeight="1">
      <c r="B11016" s="13"/>
      <c r="C11016" t="s" s="9">
        <v>30</v>
      </c>
      <c r="D11016" t="s" s="8">
        <v>4105</v>
      </c>
      <c r="E11016" t="s" s="9">
        <v>4107</v>
      </c>
      <c r="F11016" t="s" s="10">
        <v>73</v>
      </c>
      <c r="G11016" t="s" s="11">
        <v>105</v>
      </c>
      <c r="H11016" t="s" s="10">
        <v>73</v>
      </c>
      <c r="I11016" t="s" s="11">
        <v>105</v>
      </c>
      <c r="J11016" t="s" s="11">
        <v>20</v>
      </c>
      <c r="K11016" s="15"/>
      <c r="L11016" t="s" s="16">
        <f>HYPERLINK("http://csr.bu.edu/ftp/asl/asllvd/demos/verify_start_end_handshape_annotations//test_auto_move//signs_mov_separ_signers/Brady_16024.mov","MOV")</f>
        <v>21</v>
      </c>
      <c r="M11016" t="s" s="10">
        <v>60</v>
      </c>
      <c r="N11016" s="17">
        <v>41</v>
      </c>
      <c r="O11016" s="18">
        <v>2296</v>
      </c>
      <c r="P11016" s="18">
        <v>2372</v>
      </c>
      <c r="Q11016" s="15"/>
      <c r="R11016" t="s" s="16">
        <f>HYPERLINK("http://secrets.rutgers.edu:8080/data/asl-ftp/asllvd/demos/verify_start_end_handshape_annotations//test_auto_move//signs_mov_separ_signers/Brady_16024.mov","MOV")</f>
        <v>21</v>
      </c>
    </row>
    <row r="11017" s="2" customFormat="1" ht="13.5" customHeight="1">
      <c r="B11017" t="s" s="8">
        <v>52</v>
      </c>
      <c r="C11017" t="s" s="9">
        <v>53</v>
      </c>
      <c r="D11017" t="s" s="8">
        <v>53</v>
      </c>
      <c r="E11017" t="s" s="9">
        <v>53</v>
      </c>
      <c r="F11017" t="s" s="10">
        <v>53</v>
      </c>
      <c r="G11017" t="s" s="11">
        <v>53</v>
      </c>
      <c r="H11017" t="s" s="10">
        <v>53</v>
      </c>
      <c r="I11017" t="s" s="11">
        <v>53</v>
      </c>
      <c r="J11017" t="s" s="11">
        <v>53</v>
      </c>
      <c r="K11017" t="s" s="12">
        <v>53</v>
      </c>
      <c r="L11017" t="s" s="12">
        <v>53</v>
      </c>
      <c r="M11017" t="s" s="10">
        <v>53</v>
      </c>
      <c r="N11017" t="s" s="11">
        <v>53</v>
      </c>
      <c r="O11017" t="s" s="8">
        <v>53</v>
      </c>
      <c r="P11017" t="s" s="8">
        <v>53</v>
      </c>
      <c r="Q11017" t="s" s="12">
        <v>53</v>
      </c>
      <c r="R11017" t="s" s="12">
        <v>53</v>
      </c>
    </row>
    <row r="11018" s="2" customFormat="1" ht="13.5" customHeight="1">
      <c r="B11018" s="13"/>
      <c r="C11018" t="s" s="9">
        <v>23</v>
      </c>
      <c r="D11018" t="s" s="8">
        <v>4105</v>
      </c>
      <c r="E11018" t="s" s="9">
        <v>4108</v>
      </c>
      <c r="F11018" t="s" s="10">
        <v>73</v>
      </c>
      <c r="G11018" t="s" s="11">
        <v>68</v>
      </c>
      <c r="H11018" t="s" s="10">
        <v>73</v>
      </c>
      <c r="I11018" t="s" s="11">
        <v>68</v>
      </c>
      <c r="J11018" t="s" s="11">
        <v>136</v>
      </c>
      <c r="K11018" t="s" s="16">
        <f>HYPERLINK("http://csr.bu.edu/ftp/asl/asllvd/demos/verify_start_end_handshape_annotations//test_auto_move//signs_mov/16025.mov","MOV")</f>
        <v>21</v>
      </c>
      <c r="L11018" t="s" s="16">
        <f>HYPERLINK("http://csr.bu.edu/ftp/asl/asllvd/demos/verify_start_end_handshape_annotations//test_auto_move//signs_mov_separ_signers/Tyler_16025.mov","MOV")</f>
        <v>21</v>
      </c>
      <c r="M11018" t="s" s="10">
        <v>125</v>
      </c>
      <c r="N11018" s="17">
        <v>15</v>
      </c>
      <c r="O11018" s="18">
        <v>3285</v>
      </c>
      <c r="P11018" s="18">
        <v>3330</v>
      </c>
      <c r="Q11018" t="s" s="16">
        <f>HYPERLINK("http://secrets.rutgers.edu:8080/data/asl-ftp/asllvd/demos/verify_start_end_handshape_annotations//test_auto_move//signs_mov/16025.mov","MOV")</f>
        <v>21</v>
      </c>
      <c r="R11018" t="s" s="16">
        <f>HYPERLINK("http://secrets.rutgers.edu:8080/data/asl-ftp/asllvd/demos/verify_start_end_handshape_annotations//test_auto_move//signs_mov_separ_signers/Tyler_16025.mov","MOV")</f>
        <v>21</v>
      </c>
    </row>
    <row r="11019" s="2" customFormat="1" ht="13.5" customHeight="1">
      <c r="B11019" t="s" s="8">
        <v>4109</v>
      </c>
      <c r="C11019" t="s" s="9">
        <v>14</v>
      </c>
      <c r="D11019" t="s" s="8">
        <v>14</v>
      </c>
      <c r="E11019" t="s" s="9">
        <v>14</v>
      </c>
      <c r="F11019" t="s" s="10">
        <v>14</v>
      </c>
      <c r="G11019" t="s" s="11">
        <v>14</v>
      </c>
      <c r="H11019" t="s" s="10">
        <v>14</v>
      </c>
      <c r="I11019" t="s" s="11">
        <v>14</v>
      </c>
      <c r="J11019" t="s" s="11">
        <v>14</v>
      </c>
      <c r="K11019" t="s" s="12">
        <v>14</v>
      </c>
      <c r="L11019" t="s" s="12">
        <v>14</v>
      </c>
      <c r="M11019" t="s" s="10">
        <v>14</v>
      </c>
      <c r="N11019" t="s" s="11">
        <v>14</v>
      </c>
      <c r="O11019" t="s" s="8">
        <v>14</v>
      </c>
      <c r="P11019" t="s" s="8">
        <v>14</v>
      </c>
      <c r="Q11019" t="s" s="12">
        <v>14</v>
      </c>
      <c r="R11019" t="s" s="12">
        <v>14</v>
      </c>
    </row>
    <row r="11020" s="2" customFormat="1" ht="13.5" customHeight="1">
      <c r="B11020" s="13"/>
      <c r="C11020" t="s" s="9">
        <v>16</v>
      </c>
      <c r="D11020" t="s" s="8">
        <v>4109</v>
      </c>
      <c r="E11020" t="s" s="9">
        <v>4109</v>
      </c>
      <c r="F11020" t="s" s="10">
        <v>73</v>
      </c>
      <c r="G11020" t="s" s="11">
        <v>73</v>
      </c>
      <c r="H11020" t="s" s="10">
        <v>73</v>
      </c>
      <c r="I11020" t="s" s="11">
        <v>73</v>
      </c>
      <c r="J11020" t="s" s="11">
        <v>20</v>
      </c>
      <c r="K11020" s="15"/>
      <c r="L11020" t="s" s="16">
        <f>HYPERLINK("http://csr.bu.edu/ftp/asl/asllvd/demos/verify_start_end_handshape_annotations//test_auto_move//signs_mov_separ_signers/Liz_4698.mov","MOV")</f>
        <v>21</v>
      </c>
      <c r="M11020" t="s" s="10">
        <v>88</v>
      </c>
      <c r="N11020" s="17">
        <v>15</v>
      </c>
      <c r="O11020" s="18">
        <v>725</v>
      </c>
      <c r="P11020" s="18">
        <v>780</v>
      </c>
      <c r="Q11020" s="15"/>
      <c r="R11020" t="s" s="16">
        <f>HYPERLINK("http://secrets.rutgers.edu:8080/data/asl-ftp/asllvd/demos/verify_start_end_handshape_annotations//test_auto_move//signs_mov_separ_signers/Liz_4698.mov","MOV")</f>
        <v>21</v>
      </c>
    </row>
    <row r="11021" s="2" customFormat="1" ht="13.5" customHeight="1">
      <c r="B11021" s="13"/>
      <c r="C11021" t="s" s="9">
        <v>16</v>
      </c>
      <c r="D11021" t="s" s="8">
        <v>4109</v>
      </c>
      <c r="E11021" t="s" s="9">
        <v>4109</v>
      </c>
      <c r="F11021" t="s" s="10">
        <v>73</v>
      </c>
      <c r="G11021" t="s" s="11">
        <v>73</v>
      </c>
      <c r="H11021" t="s" s="10">
        <v>73</v>
      </c>
      <c r="I11021" t="s" s="11">
        <v>73</v>
      </c>
      <c r="J11021" t="s" s="11">
        <v>20</v>
      </c>
      <c r="K11021" t="s" s="16">
        <f>HYPERLINK("http://csr.bu.edu/ftp/asl/asllvd/demos/verify_start_end_handshape_annotations//test_auto_move//signs_mov/4698_15745_merged.mov","MOV")</f>
        <v>21</v>
      </c>
      <c r="L11021" t="s" s="16">
        <f>HYPERLINK("http://csr.bu.edu/ftp/asl/asllvd/demos/verify_start_end_handshape_annotations//test_auto_move//signs_mov_separ_signers/Liz_15745.mov","MOV")</f>
        <v>21</v>
      </c>
      <c r="M11021" t="s" s="10">
        <v>77</v>
      </c>
      <c r="N11021" s="17">
        <v>28</v>
      </c>
      <c r="O11021" s="18">
        <v>2810</v>
      </c>
      <c r="P11021" s="18">
        <v>2850</v>
      </c>
      <c r="Q11021" t="s" s="16">
        <f>HYPERLINK("http://secrets.rutgers.edu:8080/data/asl-ftp/asllvd/demos/verify_start_end_handshape_annotations//test_auto_move//signs_mov/4698_15745_merged.mov","MOV")</f>
        <v>21</v>
      </c>
      <c r="R11021" t="s" s="16">
        <f>HYPERLINK("http://secrets.rutgers.edu:8080/data/asl-ftp/asllvd/demos/verify_start_end_handshape_annotations//test_auto_move//signs_mov_separ_signers/Liz_15745.mov","MOV")</f>
        <v>21</v>
      </c>
    </row>
    <row r="11022" s="2" customFormat="1" ht="13.5" customHeight="1">
      <c r="B11022" s="13"/>
      <c r="C11022" t="s" s="9">
        <v>23</v>
      </c>
      <c r="D11022" t="s" s="8">
        <v>4109</v>
      </c>
      <c r="E11022" t="s" s="9">
        <v>4109</v>
      </c>
      <c r="F11022" t="s" s="10">
        <v>109</v>
      </c>
      <c r="G11022" t="s" s="11">
        <v>109</v>
      </c>
      <c r="H11022" t="s" s="10">
        <v>109</v>
      </c>
      <c r="I11022" t="s" s="11">
        <v>109</v>
      </c>
      <c r="J11022" t="s" s="11">
        <v>20</v>
      </c>
      <c r="K11022" s="15"/>
      <c r="L11022" t="s" s="16">
        <f>HYPERLINK("http://csr.bu.edu/ftp/asl/asllvd/demos/verify_start_end_handshape_annotations//test_auto_move//signs_mov_separ_signers/Tyler_4698.mov","MOV")</f>
        <v>21</v>
      </c>
      <c r="M11022" t="s" s="10">
        <v>47</v>
      </c>
      <c r="N11022" s="17">
        <v>23</v>
      </c>
      <c r="O11022" s="18">
        <v>388</v>
      </c>
      <c r="P11022" s="18">
        <v>435</v>
      </c>
      <c r="Q11022" s="15"/>
      <c r="R11022" t="s" s="16">
        <f>HYPERLINK("http://secrets.rutgers.edu:8080/data/asl-ftp/asllvd/demos/verify_start_end_handshape_annotations//test_auto_move//signs_mov_separ_signers/Tyler_4698.mov","MOV")</f>
        <v>21</v>
      </c>
    </row>
    <row r="11023" s="2" customFormat="1" ht="13.5" customHeight="1">
      <c r="B11023" s="13"/>
      <c r="C11023" t="s" s="9">
        <v>30</v>
      </c>
      <c r="D11023" t="s" s="8">
        <v>4109</v>
      </c>
      <c r="E11023" t="s" s="9">
        <v>4109</v>
      </c>
      <c r="F11023" t="s" s="10">
        <v>73</v>
      </c>
      <c r="G11023" t="s" s="11">
        <v>73</v>
      </c>
      <c r="H11023" t="s" s="10">
        <v>73</v>
      </c>
      <c r="I11023" t="s" s="11">
        <v>73</v>
      </c>
      <c r="J11023" t="s" s="11">
        <v>20</v>
      </c>
      <c r="K11023" s="15"/>
      <c r="L11023" t="s" s="16">
        <f>HYPERLINK("http://csr.bu.edu/ftp/asl/asllvd/demos/verify_start_end_handshape_annotations//test_auto_move//signs_mov_separ_signers/Brady_4698.mov","MOV")</f>
        <v>21</v>
      </c>
      <c r="M11023" t="s" s="10">
        <v>39</v>
      </c>
      <c r="N11023" s="17">
        <v>20</v>
      </c>
      <c r="O11023" s="18">
        <v>6363</v>
      </c>
      <c r="P11023" s="18">
        <v>6382</v>
      </c>
      <c r="Q11023" s="15"/>
      <c r="R11023" t="s" s="16">
        <f>HYPERLINK("http://secrets.rutgers.edu:8080/data/asl-ftp/asllvd/demos/verify_start_end_handshape_annotations//test_auto_move//signs_mov_separ_signers/Brady_4698.mov","MOV")</f>
        <v>21</v>
      </c>
    </row>
    <row r="11024" s="2" customFormat="1" ht="13.5" customHeight="1">
      <c r="B11024" t="s" s="8">
        <v>4110</v>
      </c>
      <c r="C11024" t="s" s="9">
        <v>14</v>
      </c>
      <c r="D11024" t="s" s="8">
        <v>14</v>
      </c>
      <c r="E11024" t="s" s="9">
        <v>14</v>
      </c>
      <c r="F11024" t="s" s="10">
        <v>14</v>
      </c>
      <c r="G11024" t="s" s="11">
        <v>14</v>
      </c>
      <c r="H11024" t="s" s="10">
        <v>14</v>
      </c>
      <c r="I11024" t="s" s="11">
        <v>14</v>
      </c>
      <c r="J11024" t="s" s="11">
        <v>14</v>
      </c>
      <c r="K11024" t="s" s="12">
        <v>14</v>
      </c>
      <c r="L11024" t="s" s="12">
        <v>14</v>
      </c>
      <c r="M11024" t="s" s="10">
        <v>14</v>
      </c>
      <c r="N11024" t="s" s="11">
        <v>14</v>
      </c>
      <c r="O11024" t="s" s="8">
        <v>14</v>
      </c>
      <c r="P11024" t="s" s="8">
        <v>14</v>
      </c>
      <c r="Q11024" t="s" s="12">
        <v>14</v>
      </c>
      <c r="R11024" t="s" s="12">
        <v>14</v>
      </c>
    </row>
    <row r="11025" s="2" customFormat="1" ht="13.5" customHeight="1">
      <c r="B11025" s="13"/>
      <c r="C11025" t="s" s="9">
        <v>16</v>
      </c>
      <c r="D11025" t="s" s="8">
        <v>4110</v>
      </c>
      <c r="E11025" t="s" s="9">
        <v>4110</v>
      </c>
      <c r="F11025" t="s" s="10">
        <v>73</v>
      </c>
      <c r="G11025" t="s" s="11">
        <v>73</v>
      </c>
      <c r="H11025" t="s" s="10">
        <v>73</v>
      </c>
      <c r="I11025" t="s" s="11">
        <v>73</v>
      </c>
      <c r="J11025" t="s" s="11">
        <v>20</v>
      </c>
      <c r="K11025" s="15"/>
      <c r="L11025" t="s" s="16">
        <f>HYPERLINK("http://csr.bu.edu/ftp/asl/asllvd/demos/verify_start_end_handshape_annotations//test_auto_move//signs_mov_separ_signers/Liz_15828.mov","MOV")</f>
        <v>21</v>
      </c>
      <c r="M11025" t="s" s="10">
        <v>77</v>
      </c>
      <c r="N11025" s="17">
        <v>3</v>
      </c>
      <c r="O11025" s="18">
        <v>1635</v>
      </c>
      <c r="P11025" s="18">
        <v>1680</v>
      </c>
      <c r="Q11025" s="15"/>
      <c r="R11025" t="s" s="16">
        <f>HYPERLINK("http://secrets.rutgers.edu:8080/data/asl-ftp/asllvd/demos/verify_start_end_handshape_annotations//test_auto_move//signs_mov_separ_signers/Liz_15828.mov","MOV")</f>
        <v>21</v>
      </c>
    </row>
    <row r="11026" s="2" customFormat="1" ht="13.5" customHeight="1">
      <c r="B11026" s="13"/>
      <c r="C11026" t="s" s="9">
        <v>30</v>
      </c>
      <c r="D11026" t="s" s="8">
        <v>4110</v>
      </c>
      <c r="E11026" t="s" s="9">
        <v>4110</v>
      </c>
      <c r="F11026" t="s" s="10">
        <v>73</v>
      </c>
      <c r="G11026" t="s" s="11">
        <v>73</v>
      </c>
      <c r="H11026" t="s" s="10">
        <v>73</v>
      </c>
      <c r="I11026" t="s" s="11">
        <v>73</v>
      </c>
      <c r="J11026" t="s" s="11">
        <v>20</v>
      </c>
      <c r="K11026" t="s" s="16">
        <f>HYPERLINK("http://csr.bu.edu/ftp/asl/asllvd/demos/verify_start_end_handshape_annotations//test_auto_move//signs_mov/15828_15843_merged.mov","MOV")</f>
        <v>21</v>
      </c>
      <c r="L11026" t="s" s="16">
        <f>HYPERLINK("http://csr.bu.edu/ftp/asl/asllvd/demos/verify_start_end_handshape_annotations//test_auto_move//signs_mov_separ_signers/Brady_15828.mov","MOV")</f>
        <v>21</v>
      </c>
      <c r="M11026" t="s" s="10">
        <v>31</v>
      </c>
      <c r="N11026" s="17">
        <v>10</v>
      </c>
      <c r="O11026" s="18">
        <v>10170</v>
      </c>
      <c r="P11026" s="18">
        <v>10190</v>
      </c>
      <c r="Q11026" t="s" s="16">
        <f>HYPERLINK("http://secrets.rutgers.edu:8080/data/asl-ftp/asllvd/demos/verify_start_end_handshape_annotations//test_auto_move//signs_mov/15828_15843_merged.mov","MOV")</f>
        <v>21</v>
      </c>
      <c r="R11026" t="s" s="16">
        <f>HYPERLINK("http://secrets.rutgers.edu:8080/data/asl-ftp/asllvd/demos/verify_start_end_handshape_annotations//test_auto_move//signs_mov_separ_signers/Brady_15828.mov","MOV")</f>
        <v>21</v>
      </c>
    </row>
    <row r="11027" s="2" customFormat="1" ht="13.5" customHeight="1">
      <c r="B11027" s="13"/>
      <c r="C11027" t="s" s="9">
        <v>30</v>
      </c>
      <c r="D11027" t="s" s="8">
        <v>4110</v>
      </c>
      <c r="E11027" t="s" s="9">
        <v>4110</v>
      </c>
      <c r="F11027" t="s" s="10">
        <v>73</v>
      </c>
      <c r="G11027" t="s" s="11">
        <v>73</v>
      </c>
      <c r="H11027" t="s" s="10">
        <v>73</v>
      </c>
      <c r="I11027" t="s" s="11">
        <v>73</v>
      </c>
      <c r="J11027" t="s" s="11">
        <v>20</v>
      </c>
      <c r="K11027" s="15"/>
      <c r="L11027" t="s" s="16">
        <f>HYPERLINK("http://csr.bu.edu/ftp/asl/asllvd/demos/verify_start_end_handshape_annotations//test_auto_move//signs_mov_separ_signers/Brady_15843.mov","MOV")</f>
        <v>21</v>
      </c>
      <c r="M11027" t="s" s="10">
        <v>40</v>
      </c>
      <c r="N11027" s="17">
        <v>61</v>
      </c>
      <c r="O11027" s="18">
        <v>1490</v>
      </c>
      <c r="P11027" s="18">
        <v>1508</v>
      </c>
      <c r="Q11027" s="15"/>
      <c r="R11027" t="s" s="16">
        <f>HYPERLINK("http://secrets.rutgers.edu:8080/data/asl-ftp/asllvd/demos/verify_start_end_handshape_annotations//test_auto_move//signs_mov_separ_signers/Brady_15843.mov","MOV")</f>
        <v>21</v>
      </c>
    </row>
    <row r="11028" s="2" customFormat="1" ht="13.5" customHeight="1">
      <c r="B11028" t="s" s="8">
        <v>52</v>
      </c>
      <c r="C11028" t="s" s="9">
        <v>53</v>
      </c>
      <c r="D11028" t="s" s="8">
        <v>53</v>
      </c>
      <c r="E11028" t="s" s="9">
        <v>53</v>
      </c>
      <c r="F11028" t="s" s="10">
        <v>53</v>
      </c>
      <c r="G11028" t="s" s="11">
        <v>53</v>
      </c>
      <c r="H11028" t="s" s="10">
        <v>53</v>
      </c>
      <c r="I11028" t="s" s="11">
        <v>53</v>
      </c>
      <c r="J11028" t="s" s="11">
        <v>53</v>
      </c>
      <c r="K11028" t="s" s="12">
        <v>53</v>
      </c>
      <c r="L11028" t="s" s="12">
        <v>53</v>
      </c>
      <c r="M11028" t="s" s="10">
        <v>53</v>
      </c>
      <c r="N11028" t="s" s="11">
        <v>53</v>
      </c>
      <c r="O11028" t="s" s="8">
        <v>53</v>
      </c>
      <c r="P11028" t="s" s="8">
        <v>53</v>
      </c>
      <c r="Q11028" t="s" s="12">
        <v>53</v>
      </c>
      <c r="R11028" t="s" s="12">
        <v>53</v>
      </c>
    </row>
    <row r="11029" s="2" customFormat="1" ht="13.5" customHeight="1">
      <c r="B11029" s="13"/>
      <c r="C11029" t="s" s="9">
        <v>16</v>
      </c>
      <c r="D11029" t="s" s="8">
        <v>4110</v>
      </c>
      <c r="E11029" t="s" s="9">
        <v>4111</v>
      </c>
      <c r="F11029" t="s" s="10">
        <v>73</v>
      </c>
      <c r="G11029" t="s" s="11">
        <v>73</v>
      </c>
      <c r="H11029" t="s" s="10">
        <v>73</v>
      </c>
      <c r="I11029" t="s" s="11">
        <v>73</v>
      </c>
      <c r="J11029" t="s" s="11">
        <v>20</v>
      </c>
      <c r="K11029" t="s" s="16">
        <f>HYPERLINK("http://csr.bu.edu/ftp/asl/asllvd/demos/verify_start_end_handshape_annotations//test_auto_move//signs_mov/15847.mov","MOV")</f>
        <v>21</v>
      </c>
      <c r="L11029" t="s" s="16">
        <f>HYPERLINK("http://csr.bu.edu/ftp/asl/asllvd/demos/verify_start_end_handshape_annotations//test_auto_move//signs_mov_separ_signers/Liz_15847.mov","MOV")</f>
        <v>21</v>
      </c>
      <c r="M11029" t="s" s="10">
        <v>77</v>
      </c>
      <c r="N11029" s="17">
        <v>3</v>
      </c>
      <c r="O11029" s="18">
        <v>1791</v>
      </c>
      <c r="P11029" s="18">
        <v>1855</v>
      </c>
      <c r="Q11029" t="s" s="16">
        <f>HYPERLINK("http://secrets.rutgers.edu:8080/data/asl-ftp/asllvd/demos/verify_start_end_handshape_annotations//test_auto_move//signs_mov/15847.mov","MOV")</f>
        <v>21</v>
      </c>
      <c r="R11029" t="s" s="16">
        <f>HYPERLINK("http://secrets.rutgers.edu:8080/data/asl-ftp/asllvd/demos/verify_start_end_handshape_annotations//test_auto_move//signs_mov_separ_signers/Liz_15847.mov","MOV")</f>
        <v>21</v>
      </c>
    </row>
    <row r="11030" s="2" customFormat="1" ht="13.5" customHeight="1">
      <c r="B11030" s="13"/>
      <c r="C11030" t="s" s="9">
        <v>30</v>
      </c>
      <c r="D11030" t="s" s="8">
        <v>4110</v>
      </c>
      <c r="E11030" t="s" s="9">
        <v>4111</v>
      </c>
      <c r="F11030" t="s" s="10">
        <v>73</v>
      </c>
      <c r="G11030" t="s" s="11">
        <v>73</v>
      </c>
      <c r="H11030" t="s" s="10">
        <v>73</v>
      </c>
      <c r="I11030" t="s" s="11">
        <v>73</v>
      </c>
      <c r="J11030" t="s" s="11">
        <v>20</v>
      </c>
      <c r="K11030" s="15"/>
      <c r="L11030" t="s" s="16">
        <f>HYPERLINK("http://csr.bu.edu/ftp/asl/asllvd/demos/verify_start_end_handshape_annotations//test_auto_move//signs_mov_separ_signers/Brady_15847.mov","MOV")</f>
        <v>21</v>
      </c>
      <c r="M11030" t="s" s="10">
        <v>40</v>
      </c>
      <c r="N11030" s="17">
        <v>61</v>
      </c>
      <c r="O11030" s="18">
        <v>1206</v>
      </c>
      <c r="P11030" s="18">
        <v>1263</v>
      </c>
      <c r="Q11030" s="15"/>
      <c r="R11030" t="s" s="16">
        <f>HYPERLINK("http://secrets.rutgers.edu:8080/data/asl-ftp/asllvd/demos/verify_start_end_handshape_annotations//test_auto_move//signs_mov_separ_signers/Brady_15847.mov","MOV")</f>
        <v>21</v>
      </c>
    </row>
    <row r="11031" s="2" customFormat="1" ht="13.5" customHeight="1">
      <c r="B11031" t="s" s="8">
        <v>4112</v>
      </c>
      <c r="C11031" t="s" s="9">
        <v>14</v>
      </c>
      <c r="D11031" t="s" s="8">
        <v>14</v>
      </c>
      <c r="E11031" t="s" s="9">
        <v>14</v>
      </c>
      <c r="F11031" t="s" s="10">
        <v>14</v>
      </c>
      <c r="G11031" t="s" s="11">
        <v>14</v>
      </c>
      <c r="H11031" t="s" s="10">
        <v>14</v>
      </c>
      <c r="I11031" t="s" s="11">
        <v>14</v>
      </c>
      <c r="J11031" t="s" s="11">
        <v>14</v>
      </c>
      <c r="K11031" t="s" s="12">
        <v>14</v>
      </c>
      <c r="L11031" t="s" s="12">
        <v>14</v>
      </c>
      <c r="M11031" t="s" s="10">
        <v>14</v>
      </c>
      <c r="N11031" t="s" s="11">
        <v>14</v>
      </c>
      <c r="O11031" t="s" s="8">
        <v>14</v>
      </c>
      <c r="P11031" t="s" s="8">
        <v>14</v>
      </c>
      <c r="Q11031" t="s" s="12">
        <v>14</v>
      </c>
      <c r="R11031" t="s" s="12">
        <v>14</v>
      </c>
    </row>
    <row r="11032" s="2" customFormat="1" ht="13.5" customHeight="1">
      <c r="B11032" s="13"/>
      <c r="C11032" t="s" s="9">
        <v>16</v>
      </c>
      <c r="D11032" t="s" s="8">
        <v>4112</v>
      </c>
      <c r="E11032" t="s" s="9">
        <v>4112</v>
      </c>
      <c r="F11032" t="s" s="10">
        <v>73</v>
      </c>
      <c r="G11032" t="s" s="11">
        <v>73</v>
      </c>
      <c r="H11032" t="s" s="10">
        <v>73</v>
      </c>
      <c r="I11032" t="s" s="11">
        <v>73</v>
      </c>
      <c r="J11032" t="s" s="11">
        <v>20</v>
      </c>
      <c r="K11032" t="s" s="16">
        <f>HYPERLINK("http://csr.bu.edu/ftp/asl/asllvd/demos/verify_start_end_handshape_annotations//test_auto_move//signs_mov/15854.mov","MOV")</f>
        <v>21</v>
      </c>
      <c r="L11032" t="s" s="16">
        <f>HYPERLINK("http://csr.bu.edu/ftp/asl/asllvd/demos/verify_start_end_handshape_annotations//test_auto_move//signs_mov_separ_signers/Liz_15854.mov","MOV")</f>
        <v>21</v>
      </c>
      <c r="M11032" t="s" s="10">
        <v>88</v>
      </c>
      <c r="N11032" s="17">
        <v>15</v>
      </c>
      <c r="O11032" s="18">
        <v>1020</v>
      </c>
      <c r="P11032" s="18">
        <v>1081</v>
      </c>
      <c r="Q11032" t="s" s="16">
        <f>HYPERLINK("http://secrets.rutgers.edu:8080/data/asl-ftp/asllvd/demos/verify_start_end_handshape_annotations//test_auto_move//signs_mov/15854.mov","MOV")</f>
        <v>21</v>
      </c>
      <c r="R11032" t="s" s="16">
        <f>HYPERLINK("http://secrets.rutgers.edu:8080/data/asl-ftp/asllvd/demos/verify_start_end_handshape_annotations//test_auto_move//signs_mov_separ_signers/Liz_15854.mov","MOV")</f>
        <v>21</v>
      </c>
    </row>
    <row r="11033" s="2" customFormat="1" ht="13.5" customHeight="1">
      <c r="B11033" s="13"/>
      <c r="C11033" t="s" s="9">
        <v>23</v>
      </c>
      <c r="D11033" t="s" s="8">
        <v>4112</v>
      </c>
      <c r="E11033" t="s" s="9">
        <v>4112</v>
      </c>
      <c r="F11033" t="s" s="10">
        <v>109</v>
      </c>
      <c r="G11033" t="s" s="11">
        <v>109</v>
      </c>
      <c r="H11033" t="s" s="10">
        <v>109</v>
      </c>
      <c r="I11033" t="s" s="11">
        <v>109</v>
      </c>
      <c r="J11033" t="s" s="11">
        <v>20</v>
      </c>
      <c r="K11033" s="15"/>
      <c r="L11033" t="s" s="16">
        <f>HYPERLINK("http://csr.bu.edu/ftp/asl/asllvd/demos/verify_start_end_handshape_annotations//test_auto_move//signs_mov_separ_signers/Tyler_15854.mov","MOV")</f>
        <v>21</v>
      </c>
      <c r="M11033" t="s" s="10">
        <v>47</v>
      </c>
      <c r="N11033" s="17">
        <v>23</v>
      </c>
      <c r="O11033" s="18">
        <v>632</v>
      </c>
      <c r="P11033" s="18">
        <v>677</v>
      </c>
      <c r="Q11033" s="15"/>
      <c r="R11033" t="s" s="16">
        <f>HYPERLINK("http://secrets.rutgers.edu:8080/data/asl-ftp/asllvd/demos/verify_start_end_handshape_annotations//test_auto_move//signs_mov_separ_signers/Tyler_15854.mov","MOV")</f>
        <v>21</v>
      </c>
    </row>
    <row r="11034" s="2" customFormat="1" ht="13.5" customHeight="1">
      <c r="B11034" t="s" s="8">
        <v>4113</v>
      </c>
      <c r="C11034" t="s" s="9">
        <v>14</v>
      </c>
      <c r="D11034" t="s" s="8">
        <v>14</v>
      </c>
      <c r="E11034" t="s" s="9">
        <v>14</v>
      </c>
      <c r="F11034" t="s" s="10">
        <v>14</v>
      </c>
      <c r="G11034" t="s" s="11">
        <v>14</v>
      </c>
      <c r="H11034" t="s" s="10">
        <v>14</v>
      </c>
      <c r="I11034" t="s" s="11">
        <v>14</v>
      </c>
      <c r="J11034" t="s" s="11">
        <v>14</v>
      </c>
      <c r="K11034" t="s" s="12">
        <v>14</v>
      </c>
      <c r="L11034" t="s" s="12">
        <v>14</v>
      </c>
      <c r="M11034" t="s" s="10">
        <v>14</v>
      </c>
      <c r="N11034" t="s" s="11">
        <v>14</v>
      </c>
      <c r="O11034" t="s" s="8">
        <v>14</v>
      </c>
      <c r="P11034" t="s" s="8">
        <v>14</v>
      </c>
      <c r="Q11034" t="s" s="12">
        <v>14</v>
      </c>
      <c r="R11034" t="s" s="12">
        <v>14</v>
      </c>
    </row>
    <row r="11035" s="2" customFormat="1" ht="13.5" customHeight="1">
      <c r="B11035" s="13"/>
      <c r="C11035" t="s" s="9">
        <v>16</v>
      </c>
      <c r="D11035" t="s" s="8">
        <v>4113</v>
      </c>
      <c r="E11035" t="s" s="9">
        <v>4113</v>
      </c>
      <c r="F11035" t="s" s="10">
        <v>73</v>
      </c>
      <c r="G11035" t="s" s="11">
        <v>73</v>
      </c>
      <c r="H11035" t="s" s="10">
        <v>73</v>
      </c>
      <c r="I11035" t="s" s="11">
        <v>73</v>
      </c>
      <c r="J11035" t="s" s="11">
        <v>20</v>
      </c>
      <c r="K11035" t="s" s="16">
        <f>HYPERLINK("http://csr.bu.edu/ftp/asl/asllvd/demos/verify_start_end_handshape_annotations//test_auto_move//signs_mov/15900.mov","MOV")</f>
        <v>21</v>
      </c>
      <c r="L11035" t="s" s="16">
        <f>HYPERLINK("http://csr.bu.edu/ftp/asl/asllvd/demos/verify_start_end_handshape_annotations//test_auto_move//signs_mov_separ_signers/Liz_15900.mov","MOV")</f>
        <v>21</v>
      </c>
      <c r="M11035" t="s" s="10">
        <v>59</v>
      </c>
      <c r="N11035" s="17">
        <v>41</v>
      </c>
      <c r="O11035" s="18">
        <v>3065</v>
      </c>
      <c r="P11035" s="18">
        <v>3090</v>
      </c>
      <c r="Q11035" t="s" s="16">
        <f>HYPERLINK("http://secrets.rutgers.edu:8080/data/asl-ftp/asllvd/demos/verify_start_end_handshape_annotations//test_auto_move//signs_mov/15900.mov","MOV")</f>
        <v>21</v>
      </c>
      <c r="R11035" t="s" s="16">
        <f>HYPERLINK("http://secrets.rutgers.edu:8080/data/asl-ftp/asllvd/demos/verify_start_end_handshape_annotations//test_auto_move//signs_mov_separ_signers/Liz_15900.mov","MOV")</f>
        <v>21</v>
      </c>
    </row>
    <row r="11036" s="2" customFormat="1" ht="13.5" customHeight="1">
      <c r="B11036" s="13"/>
      <c r="C11036" t="s" s="9">
        <v>30</v>
      </c>
      <c r="D11036" t="s" s="8">
        <v>4113</v>
      </c>
      <c r="E11036" t="s" s="9">
        <v>4113</v>
      </c>
      <c r="F11036" t="s" s="10">
        <v>73</v>
      </c>
      <c r="G11036" t="s" s="11">
        <v>73</v>
      </c>
      <c r="H11036" t="s" s="10">
        <v>73</v>
      </c>
      <c r="I11036" t="s" s="11">
        <v>73</v>
      </c>
      <c r="J11036" t="s" s="11">
        <v>20</v>
      </c>
      <c r="K11036" s="15"/>
      <c r="L11036" t="s" s="16">
        <f>HYPERLINK("http://csr.bu.edu/ftp/asl/asllvd/demos/verify_start_end_handshape_annotations//test_auto_move//signs_mov_separ_signers/Brady_15900.mov","MOV")</f>
        <v>21</v>
      </c>
      <c r="M11036" t="s" s="10">
        <v>60</v>
      </c>
      <c r="N11036" s="17">
        <v>30</v>
      </c>
      <c r="O11036" s="18">
        <v>850</v>
      </c>
      <c r="P11036" s="18">
        <v>873</v>
      </c>
      <c r="Q11036" s="15"/>
      <c r="R11036" t="s" s="16">
        <f>HYPERLINK("http://secrets.rutgers.edu:8080/data/asl-ftp/asllvd/demos/verify_start_end_handshape_annotations//test_auto_move//signs_mov_separ_signers/Brady_15900.mov","MOV")</f>
        <v>21</v>
      </c>
    </row>
    <row r="11037" s="2" customFormat="1" ht="13.5" customHeight="1">
      <c r="B11037" t="s" s="8">
        <v>4114</v>
      </c>
      <c r="C11037" t="s" s="9">
        <v>14</v>
      </c>
      <c r="D11037" t="s" s="8">
        <v>14</v>
      </c>
      <c r="E11037" t="s" s="9">
        <v>14</v>
      </c>
      <c r="F11037" t="s" s="10">
        <v>14</v>
      </c>
      <c r="G11037" t="s" s="11">
        <v>14</v>
      </c>
      <c r="H11037" t="s" s="10">
        <v>14</v>
      </c>
      <c r="I11037" t="s" s="11">
        <v>14</v>
      </c>
      <c r="J11037" t="s" s="11">
        <v>14</v>
      </c>
      <c r="K11037" t="s" s="12">
        <v>14</v>
      </c>
      <c r="L11037" t="s" s="12">
        <v>14</v>
      </c>
      <c r="M11037" t="s" s="10">
        <v>14</v>
      </c>
      <c r="N11037" t="s" s="11">
        <v>14</v>
      </c>
      <c r="O11037" t="s" s="8">
        <v>14</v>
      </c>
      <c r="P11037" t="s" s="8">
        <v>14</v>
      </c>
      <c r="Q11037" t="s" s="12">
        <v>14</v>
      </c>
      <c r="R11037" t="s" s="12">
        <v>14</v>
      </c>
    </row>
    <row r="11038" s="2" customFormat="1" ht="13.5" customHeight="1">
      <c r="B11038" s="13"/>
      <c r="C11038" t="s" s="9">
        <v>16</v>
      </c>
      <c r="D11038" t="s" s="8">
        <v>4114</v>
      </c>
      <c r="E11038" t="s" s="9">
        <v>4114</v>
      </c>
      <c r="F11038" t="s" s="10">
        <v>73</v>
      </c>
      <c r="G11038" t="s" s="11">
        <v>73</v>
      </c>
      <c r="H11038" t="s" s="10">
        <v>73</v>
      </c>
      <c r="I11038" t="s" s="11">
        <v>73</v>
      </c>
      <c r="J11038" t="s" s="11">
        <v>20</v>
      </c>
      <c r="K11038" s="15"/>
      <c r="L11038" t="s" s="16">
        <f>HYPERLINK("http://csr.bu.edu/ftp/asl/asllvd/demos/verify_start_end_handshape_annotations//test_auto_move//signs_mov_separ_signers/Liz_16092.mov","MOV")</f>
        <v>21</v>
      </c>
      <c r="M11038" t="s" s="10">
        <v>34</v>
      </c>
      <c r="N11038" s="17">
        <v>3</v>
      </c>
      <c r="O11038" s="18">
        <v>530</v>
      </c>
      <c r="P11038" s="18">
        <v>575</v>
      </c>
      <c r="Q11038" s="15"/>
      <c r="R11038" t="s" s="16">
        <f>HYPERLINK("http://secrets.rutgers.edu:8080/data/asl-ftp/asllvd/demos/verify_start_end_handshape_annotations//test_auto_move//signs_mov_separ_signers/Liz_16092.mov","MOV")</f>
        <v>21</v>
      </c>
    </row>
    <row r="11039" s="2" customFormat="1" ht="13.5" customHeight="1">
      <c r="B11039" s="13"/>
      <c r="C11039" t="s" s="9">
        <v>23</v>
      </c>
      <c r="D11039" t="s" s="8">
        <v>4114</v>
      </c>
      <c r="E11039" t="s" s="9">
        <v>4114</v>
      </c>
      <c r="F11039" t="s" s="10">
        <v>73</v>
      </c>
      <c r="G11039" t="s" s="11">
        <v>73</v>
      </c>
      <c r="H11039" t="s" s="10">
        <v>73</v>
      </c>
      <c r="I11039" t="s" s="11">
        <v>73</v>
      </c>
      <c r="J11039" t="s" s="11">
        <v>20</v>
      </c>
      <c r="K11039" s="15"/>
      <c r="L11039" t="s" s="16">
        <f>HYPERLINK("http://csr.bu.edu/ftp/asl/asllvd/demos/verify_start_end_handshape_annotations//test_auto_move//signs_mov_separ_signers/Tyler_16092.mov","MOV")</f>
        <v>21</v>
      </c>
      <c r="M11039" t="s" s="10">
        <v>92</v>
      </c>
      <c r="N11039" s="17">
        <v>35</v>
      </c>
      <c r="O11039" s="18">
        <v>275</v>
      </c>
      <c r="P11039" s="18">
        <v>298</v>
      </c>
      <c r="Q11039" s="15"/>
      <c r="R11039" t="s" s="16">
        <f>HYPERLINK("http://secrets.rutgers.edu:8080/data/asl-ftp/asllvd/demos/verify_start_end_handshape_annotations//test_auto_move//signs_mov_separ_signers/Tyler_16092.mov","MOV")</f>
        <v>21</v>
      </c>
    </row>
    <row r="11040" s="2" customFormat="1" ht="13.5" customHeight="1">
      <c r="B11040" s="13"/>
      <c r="C11040" t="s" s="9">
        <v>27</v>
      </c>
      <c r="D11040" t="s" s="8">
        <v>4114</v>
      </c>
      <c r="E11040" t="s" s="9">
        <v>4114</v>
      </c>
      <c r="F11040" t="s" s="10">
        <v>73</v>
      </c>
      <c r="G11040" t="s" s="11">
        <v>73</v>
      </c>
      <c r="H11040" t="s" s="10">
        <v>73</v>
      </c>
      <c r="I11040" t="s" s="11">
        <v>73</v>
      </c>
      <c r="J11040" t="s" s="11">
        <v>20</v>
      </c>
      <c r="K11040" t="s" s="16">
        <f>HYPERLINK("http://csr.bu.edu/ftp/asl/asllvd/demos/verify_start_end_handshape_annotations//test_auto_move//signs_mov/16092_16129_merged.mov","MOV")</f>
        <v>21</v>
      </c>
      <c r="L11040" t="s" s="16">
        <f>HYPERLINK("http://csr.bu.edu/ftp/asl/asllvd/demos/verify_start_end_handshape_annotations//test_auto_move//signs_mov_separ_signers/Naomi_16092.mov","MOV")</f>
        <v>21</v>
      </c>
      <c r="M11040" t="s" s="10">
        <v>38</v>
      </c>
      <c r="N11040" s="17">
        <v>3</v>
      </c>
      <c r="O11040" s="18">
        <v>67</v>
      </c>
      <c r="P11040" s="18">
        <v>92</v>
      </c>
      <c r="Q11040" t="s" s="16">
        <f>HYPERLINK("http://secrets.rutgers.edu:8080/data/asl-ftp/asllvd/demos/verify_start_end_handshape_annotations//test_auto_move//signs_mov/16092_16129_merged.mov","MOV")</f>
        <v>21</v>
      </c>
      <c r="R11040" t="s" s="16">
        <f>HYPERLINK("http://secrets.rutgers.edu:8080/data/asl-ftp/asllvd/demos/verify_start_end_handshape_annotations//test_auto_move//signs_mov_separ_signers/Naomi_16092.mov","MOV")</f>
        <v>21</v>
      </c>
    </row>
    <row r="11041" s="2" customFormat="1" ht="13.5" customHeight="1">
      <c r="B11041" s="13"/>
      <c r="C11041" t="s" s="9">
        <v>30</v>
      </c>
      <c r="D11041" t="s" s="8">
        <v>4114</v>
      </c>
      <c r="E11041" t="s" s="9">
        <v>4114</v>
      </c>
      <c r="F11041" t="s" s="10">
        <v>73</v>
      </c>
      <c r="G11041" t="s" s="11">
        <v>73</v>
      </c>
      <c r="H11041" t="s" s="10">
        <v>73</v>
      </c>
      <c r="I11041" t="s" s="11">
        <v>73</v>
      </c>
      <c r="J11041" t="s" s="11">
        <v>20</v>
      </c>
      <c r="K11041" s="15"/>
      <c r="L11041" t="s" s="16">
        <f>HYPERLINK("http://csr.bu.edu/ftp/asl/asllvd/demos/verify_start_end_handshape_annotations//test_auto_move//signs_mov_separ_signers/Brady_16092.mov","MOV")</f>
        <v>21</v>
      </c>
      <c r="M11041" t="s" s="10">
        <v>39</v>
      </c>
      <c r="N11041" s="17">
        <v>24</v>
      </c>
      <c r="O11041" s="18">
        <v>9743</v>
      </c>
      <c r="P11041" s="18">
        <v>9782</v>
      </c>
      <c r="Q11041" s="15"/>
      <c r="R11041" t="s" s="16">
        <f>HYPERLINK("http://secrets.rutgers.edu:8080/data/asl-ftp/asllvd/demos/verify_start_end_handshape_annotations//test_auto_move//signs_mov_separ_signers/Brady_16092.mov","MOV")</f>
        <v>21</v>
      </c>
    </row>
    <row r="11042" s="2" customFormat="1" ht="13.5" customHeight="1">
      <c r="B11042" s="13"/>
      <c r="C11042" t="s" s="9">
        <v>30</v>
      </c>
      <c r="D11042" t="s" s="8">
        <v>4114</v>
      </c>
      <c r="E11042" t="s" s="9">
        <v>4114</v>
      </c>
      <c r="F11042" t="s" s="10">
        <v>73</v>
      </c>
      <c r="G11042" t="s" s="11">
        <v>73</v>
      </c>
      <c r="H11042" t="s" s="10">
        <v>73</v>
      </c>
      <c r="I11042" t="s" s="11">
        <v>73</v>
      </c>
      <c r="J11042" t="s" s="11">
        <v>20</v>
      </c>
      <c r="K11042" s="15"/>
      <c r="L11042" t="s" s="16">
        <f>HYPERLINK("http://csr.bu.edu/ftp/asl/asllvd/demos/verify_start_end_handshape_annotations//test_auto_move//signs_mov_separ_signers/Brady_16129.mov","MOV")</f>
        <v>21</v>
      </c>
      <c r="M11042" t="s" s="10">
        <v>39</v>
      </c>
      <c r="N11042" s="17">
        <v>32</v>
      </c>
      <c r="O11042" s="18">
        <v>6365</v>
      </c>
      <c r="P11042" s="18">
        <v>6379</v>
      </c>
      <c r="Q11042" s="15"/>
      <c r="R11042" t="s" s="16">
        <f>HYPERLINK("http://secrets.rutgers.edu:8080/data/asl-ftp/asllvd/demos/verify_start_end_handshape_annotations//test_auto_move//signs_mov_separ_signers/Brady_16129.mov","MOV")</f>
        <v>21</v>
      </c>
    </row>
    <row r="11043" s="2" customFormat="1" ht="13.5" customHeight="1">
      <c r="B11043" t="s" s="8">
        <v>3846</v>
      </c>
      <c r="C11043" t="s" s="9">
        <v>14</v>
      </c>
      <c r="D11043" t="s" s="8">
        <v>14</v>
      </c>
      <c r="E11043" t="s" s="9">
        <v>14</v>
      </c>
      <c r="F11043" t="s" s="10">
        <v>14</v>
      </c>
      <c r="G11043" t="s" s="11">
        <v>14</v>
      </c>
      <c r="H11043" t="s" s="10">
        <v>14</v>
      </c>
      <c r="I11043" t="s" s="11">
        <v>14</v>
      </c>
      <c r="J11043" t="s" s="11">
        <v>14</v>
      </c>
      <c r="K11043" t="s" s="12">
        <v>14</v>
      </c>
      <c r="L11043" t="s" s="12">
        <v>14</v>
      </c>
      <c r="M11043" t="s" s="10">
        <v>14</v>
      </c>
      <c r="N11043" t="s" s="11">
        <v>14</v>
      </c>
      <c r="O11043" t="s" s="8">
        <v>14</v>
      </c>
      <c r="P11043" t="s" s="8">
        <v>14</v>
      </c>
      <c r="Q11043" t="s" s="12">
        <v>14</v>
      </c>
      <c r="R11043" t="s" s="12">
        <v>14</v>
      </c>
    </row>
    <row r="11044" s="2" customFormat="1" ht="13.5" customHeight="1">
      <c r="B11044" s="13"/>
      <c r="C11044" t="s" s="9">
        <v>23</v>
      </c>
      <c r="D11044" t="s" s="8">
        <v>4115</v>
      </c>
      <c r="E11044" t="s" s="9">
        <v>4115</v>
      </c>
      <c r="F11044" t="s" s="10">
        <v>109</v>
      </c>
      <c r="G11044" t="s" s="11">
        <v>109</v>
      </c>
      <c r="H11044" t="s" s="10">
        <v>109</v>
      </c>
      <c r="I11044" t="s" s="11">
        <v>109</v>
      </c>
      <c r="J11044" t="s" s="11">
        <v>20</v>
      </c>
      <c r="K11044" t="s" s="16">
        <f>HYPERLINK("http://csr.bu.edu/ftp/asl/asllvd/demos/verify_start_end_handshape_annotations//test_auto_move//signs_mov/16130.mov","MOV")</f>
        <v>21</v>
      </c>
      <c r="L11044" t="s" s="16">
        <f>HYPERLINK("http://csr.bu.edu/ftp/asl/asllvd/demos/verify_start_end_handshape_annotations//test_auto_move//signs_mov_separ_signers/Tyler_16130.mov","MOV")</f>
        <v>21</v>
      </c>
      <c r="M11044" t="s" s="10">
        <v>26</v>
      </c>
      <c r="N11044" s="17">
        <v>33</v>
      </c>
      <c r="O11044" s="18">
        <v>2272</v>
      </c>
      <c r="P11044" s="18">
        <v>2322</v>
      </c>
      <c r="Q11044" t="s" s="16">
        <f>HYPERLINK("http://secrets.rutgers.edu:8080/data/asl-ftp/asllvd/demos/verify_start_end_handshape_annotations//test_auto_move//signs_mov/16130.mov","MOV")</f>
        <v>21</v>
      </c>
      <c r="R11044" t="s" s="16">
        <f>HYPERLINK("http://secrets.rutgers.edu:8080/data/asl-ftp/asllvd/demos/verify_start_end_handshape_annotations//test_auto_move//signs_mov_separ_signers/Tyler_16130.mov","MOV")</f>
        <v>21</v>
      </c>
    </row>
    <row r="11045" s="2" customFormat="1" ht="13.5" customHeight="1">
      <c r="B11045" s="13"/>
      <c r="C11045" t="s" s="9">
        <v>30</v>
      </c>
      <c r="D11045" t="s" s="8">
        <v>4115</v>
      </c>
      <c r="E11045" t="s" s="9">
        <v>4115</v>
      </c>
      <c r="F11045" t="s" s="10">
        <v>109</v>
      </c>
      <c r="G11045" t="s" s="11">
        <v>109</v>
      </c>
      <c r="H11045" t="s" s="10">
        <v>109</v>
      </c>
      <c r="I11045" t="s" s="11">
        <v>109</v>
      </c>
      <c r="J11045" t="s" s="11">
        <v>20</v>
      </c>
      <c r="K11045" s="15"/>
      <c r="L11045" t="s" s="16">
        <f>HYPERLINK("http://csr.bu.edu/ftp/asl/asllvd/demos/verify_start_end_handshape_annotations//test_auto_move//signs_mov_separ_signers/Brady_16130.mov","MOV")</f>
        <v>21</v>
      </c>
      <c r="M11045" t="s" s="10">
        <v>31</v>
      </c>
      <c r="N11045" s="17">
        <v>23</v>
      </c>
      <c r="O11045" s="18">
        <v>4418</v>
      </c>
      <c r="P11045" s="18">
        <v>4439</v>
      </c>
      <c r="Q11045" s="15"/>
      <c r="R11045" t="s" s="16">
        <f>HYPERLINK("http://secrets.rutgers.edu:8080/data/asl-ftp/asllvd/demos/verify_start_end_handshape_annotations//test_auto_move//signs_mov_separ_signers/Brady_16130.mov","MOV")</f>
        <v>21</v>
      </c>
    </row>
    <row r="11046" s="2" customFormat="1" ht="13.5" customHeight="1">
      <c r="B11046" t="s" s="8">
        <v>4116</v>
      </c>
      <c r="C11046" t="s" s="9">
        <v>14</v>
      </c>
      <c r="D11046" t="s" s="8">
        <v>14</v>
      </c>
      <c r="E11046" t="s" s="9">
        <v>14</v>
      </c>
      <c r="F11046" t="s" s="10">
        <v>14</v>
      </c>
      <c r="G11046" t="s" s="11">
        <v>14</v>
      </c>
      <c r="H11046" t="s" s="10">
        <v>14</v>
      </c>
      <c r="I11046" t="s" s="11">
        <v>14</v>
      </c>
      <c r="J11046" t="s" s="11">
        <v>14</v>
      </c>
      <c r="K11046" t="s" s="12">
        <v>14</v>
      </c>
      <c r="L11046" t="s" s="12">
        <v>14</v>
      </c>
      <c r="M11046" t="s" s="10">
        <v>14</v>
      </c>
      <c r="N11046" t="s" s="11">
        <v>14</v>
      </c>
      <c r="O11046" t="s" s="8">
        <v>14</v>
      </c>
      <c r="P11046" t="s" s="8">
        <v>14</v>
      </c>
      <c r="Q11046" t="s" s="12">
        <v>14</v>
      </c>
      <c r="R11046" t="s" s="12">
        <v>14</v>
      </c>
    </row>
    <row r="11047" s="2" customFormat="1" ht="13.5" customHeight="1">
      <c r="B11047" s="13"/>
      <c r="C11047" t="s" s="9">
        <v>16</v>
      </c>
      <c r="D11047" t="s" s="8">
        <v>4116</v>
      </c>
      <c r="E11047" t="s" s="9">
        <v>4117</v>
      </c>
      <c r="F11047" s="19">
        <v>1</v>
      </c>
      <c r="G11047" s="14"/>
      <c r="H11047" s="19">
        <v>1</v>
      </c>
      <c r="I11047" s="14"/>
      <c r="J11047" t="s" s="11">
        <v>20</v>
      </c>
      <c r="K11047" s="15"/>
      <c r="L11047" t="s" s="16">
        <f>HYPERLINK("http://csr.bu.edu/ftp/asl/asllvd/demos/verify_start_end_handshape_annotations//test_auto_move//signs_mov_separ_signers/Liz_4703.mov","MOV")</f>
        <v>21</v>
      </c>
      <c r="M11047" t="s" s="10">
        <v>34</v>
      </c>
      <c r="N11047" s="17">
        <v>50</v>
      </c>
      <c r="O11047" s="18">
        <v>3195</v>
      </c>
      <c r="P11047" s="18">
        <v>3237</v>
      </c>
      <c r="Q11047" s="15"/>
      <c r="R11047" t="s" s="16">
        <f>HYPERLINK("http://secrets.rutgers.edu:8080/data/asl-ftp/asllvd/demos/verify_start_end_handshape_annotations//test_auto_move//signs_mov_separ_signers/Liz_4703.mov","MOV")</f>
        <v>21</v>
      </c>
    </row>
    <row r="11048" s="2" customFormat="1" ht="13.5" customHeight="1">
      <c r="B11048" s="13"/>
      <c r="C11048" t="s" s="9">
        <v>16</v>
      </c>
      <c r="D11048" t="s" s="8">
        <v>4116</v>
      </c>
      <c r="E11048" t="s" s="9">
        <v>4117</v>
      </c>
      <c r="F11048" s="19">
        <v>1</v>
      </c>
      <c r="G11048" s="14"/>
      <c r="H11048" s="19">
        <v>1</v>
      </c>
      <c r="I11048" s="14"/>
      <c r="J11048" t="s" s="11">
        <v>20</v>
      </c>
      <c r="K11048" s="15"/>
      <c r="L11048" t="s" s="16">
        <f>HYPERLINK("http://csr.bu.edu/ftp/asl/asllvd/demos/verify_start_end_handshape_annotations//test_auto_move//signs_mov_separ_signers/Liz_15749.mov","MOV")</f>
        <v>21</v>
      </c>
      <c r="M11048" t="s" s="10">
        <v>88</v>
      </c>
      <c r="N11048" s="17">
        <v>11</v>
      </c>
      <c r="O11048" s="18">
        <v>1440</v>
      </c>
      <c r="P11048" s="18">
        <v>1497</v>
      </c>
      <c r="Q11048" s="15"/>
      <c r="R11048" t="s" s="16">
        <f>HYPERLINK("http://secrets.rutgers.edu:8080/data/asl-ftp/asllvd/demos/verify_start_end_handshape_annotations//test_auto_move//signs_mov_separ_signers/Liz_15749.mov","MOV")</f>
        <v>21</v>
      </c>
    </row>
    <row r="11049" s="2" customFormat="1" ht="13.5" customHeight="1">
      <c r="B11049" s="13"/>
      <c r="C11049" t="s" s="9">
        <v>23</v>
      </c>
      <c r="D11049" t="s" s="8">
        <v>4116</v>
      </c>
      <c r="E11049" t="s" s="9">
        <v>4117</v>
      </c>
      <c r="F11049" t="s" s="10">
        <v>25</v>
      </c>
      <c r="G11049" s="14"/>
      <c r="H11049" t="s" s="10">
        <v>25</v>
      </c>
      <c r="I11049" s="14"/>
      <c r="J11049" t="s" s="11">
        <v>20</v>
      </c>
      <c r="K11049" t="s" s="16">
        <f>HYPERLINK("http://csr.bu.edu/ftp/asl/asllvd/demos/verify_start_end_handshape_annotations//test_auto_move//signs_mov/4703_15749_merged.mov","MOV")</f>
        <v>21</v>
      </c>
      <c r="L11049" t="s" s="16">
        <f>HYPERLINK("http://csr.bu.edu/ftp/asl/asllvd/demos/verify_start_end_handshape_annotations//test_auto_move//signs_mov_separ_signers/Tyler_4703.mov","MOV")</f>
        <v>21</v>
      </c>
      <c r="M11049" t="s" s="10">
        <v>47</v>
      </c>
      <c r="N11049" s="17">
        <v>2</v>
      </c>
      <c r="O11049" s="18">
        <v>2850</v>
      </c>
      <c r="P11049" s="18">
        <v>2910</v>
      </c>
      <c r="Q11049" t="s" s="16">
        <f>HYPERLINK("http://secrets.rutgers.edu:8080/data/asl-ftp/asllvd/demos/verify_start_end_handshape_annotations//test_auto_move//signs_mov/4703_15749_merged.mov","MOV")</f>
        <v>21</v>
      </c>
      <c r="R11049" t="s" s="16">
        <f>HYPERLINK("http://secrets.rutgers.edu:8080/data/asl-ftp/asllvd/demos/verify_start_end_handshape_annotations//test_auto_move//signs_mov_separ_signers/Tyler_4703.mov","MOV")</f>
        <v>21</v>
      </c>
    </row>
    <row r="11050" s="2" customFormat="1" ht="13.5" customHeight="1">
      <c r="B11050" s="13"/>
      <c r="C11050" t="s" s="9">
        <v>23</v>
      </c>
      <c r="D11050" t="s" s="8">
        <v>4116</v>
      </c>
      <c r="E11050" t="s" s="9">
        <v>4117</v>
      </c>
      <c r="F11050" s="19">
        <v>1</v>
      </c>
      <c r="G11050" s="14"/>
      <c r="H11050" s="19">
        <v>1</v>
      </c>
      <c r="I11050" s="14"/>
      <c r="J11050" t="s" s="11">
        <v>20</v>
      </c>
      <c r="K11050" s="15"/>
      <c r="L11050" t="s" s="16">
        <f>HYPERLINK("http://csr.bu.edu/ftp/asl/asllvd/demos/verify_start_end_handshape_annotations//test_auto_move//signs_mov_separ_signers/Tyler_15749.mov","MOV")</f>
        <v>21</v>
      </c>
      <c r="M11050" t="s" s="10">
        <v>47</v>
      </c>
      <c r="N11050" s="17">
        <v>20</v>
      </c>
      <c r="O11050" s="18">
        <v>1340</v>
      </c>
      <c r="P11050" s="18">
        <v>1383</v>
      </c>
      <c r="Q11050" s="15"/>
      <c r="R11050" t="s" s="16">
        <f>HYPERLINK("http://secrets.rutgers.edu:8080/data/asl-ftp/asllvd/demos/verify_start_end_handshape_annotations//test_auto_move//signs_mov_separ_signers/Tyler_15749.mov","MOV")</f>
        <v>21</v>
      </c>
    </row>
    <row r="11051" s="2" customFormat="1" ht="13.5" customHeight="1">
      <c r="B11051" s="13"/>
      <c r="C11051" t="s" s="9">
        <v>27</v>
      </c>
      <c r="D11051" t="s" s="8">
        <v>4116</v>
      </c>
      <c r="E11051" t="s" s="9">
        <v>4117</v>
      </c>
      <c r="F11051" s="19">
        <v>1</v>
      </c>
      <c r="G11051" s="14"/>
      <c r="H11051" s="19">
        <v>1</v>
      </c>
      <c r="I11051" s="14"/>
      <c r="J11051" t="s" s="11">
        <v>20</v>
      </c>
      <c r="K11051" s="15"/>
      <c r="L11051" t="s" s="16">
        <f>HYPERLINK("http://csr.bu.edu/ftp/asl/asllvd/demos/verify_start_end_handshape_annotations//test_auto_move//signs_mov_separ_signers/Naomi_4703.mov","MOV")</f>
        <v>21</v>
      </c>
      <c r="M11051" t="s" s="10">
        <v>48</v>
      </c>
      <c r="N11051" s="17">
        <v>5</v>
      </c>
      <c r="O11051" s="18">
        <v>2732</v>
      </c>
      <c r="P11051" s="18">
        <v>2790</v>
      </c>
      <c r="Q11051" s="15"/>
      <c r="R11051" t="s" s="16">
        <f>HYPERLINK("http://secrets.rutgers.edu:8080/data/asl-ftp/asllvd/demos/verify_start_end_handshape_annotations//test_auto_move//signs_mov_separ_signers/Naomi_4703.mov","MOV")</f>
        <v>21</v>
      </c>
    </row>
    <row r="11052" s="2" customFormat="1" ht="13.5" customHeight="1">
      <c r="B11052" s="13"/>
      <c r="C11052" t="s" s="9">
        <v>30</v>
      </c>
      <c r="D11052" t="s" s="8">
        <v>4116</v>
      </c>
      <c r="E11052" t="s" s="9">
        <v>4117</v>
      </c>
      <c r="F11052" s="19">
        <v>1</v>
      </c>
      <c r="G11052" s="14"/>
      <c r="H11052" s="19">
        <v>1</v>
      </c>
      <c r="I11052" s="14"/>
      <c r="J11052" t="s" s="11">
        <v>20</v>
      </c>
      <c r="K11052" s="15"/>
      <c r="L11052" t="s" s="16">
        <f>HYPERLINK("http://csr.bu.edu/ftp/asl/asllvd/demos/verify_start_end_handshape_annotations//test_auto_move//signs_mov_separ_signers/Brady_4703.mov","MOV")</f>
        <v>21</v>
      </c>
      <c r="M11052" t="s" s="10">
        <v>39</v>
      </c>
      <c r="N11052" s="17">
        <v>50</v>
      </c>
      <c r="O11052" s="18">
        <v>1569</v>
      </c>
      <c r="P11052" s="18">
        <v>1614</v>
      </c>
      <c r="Q11052" s="15"/>
      <c r="R11052" t="s" s="16">
        <f>HYPERLINK("http://secrets.rutgers.edu:8080/data/asl-ftp/asllvd/demos/verify_start_end_handshape_annotations//test_auto_move//signs_mov_separ_signers/Brady_4703.mov","MOV")</f>
        <v>21</v>
      </c>
    </row>
    <row r="11053" s="2" customFormat="1" ht="13.5" customHeight="1">
      <c r="B11053" t="s" s="8">
        <v>4118</v>
      </c>
      <c r="C11053" t="s" s="9">
        <v>14</v>
      </c>
      <c r="D11053" t="s" s="8">
        <v>14</v>
      </c>
      <c r="E11053" t="s" s="9">
        <v>14</v>
      </c>
      <c r="F11053" t="s" s="10">
        <v>14</v>
      </c>
      <c r="G11053" t="s" s="11">
        <v>14</v>
      </c>
      <c r="H11053" t="s" s="10">
        <v>14</v>
      </c>
      <c r="I11053" t="s" s="11">
        <v>14</v>
      </c>
      <c r="J11053" t="s" s="11">
        <v>14</v>
      </c>
      <c r="K11053" t="s" s="12">
        <v>14</v>
      </c>
      <c r="L11053" t="s" s="12">
        <v>14</v>
      </c>
      <c r="M11053" t="s" s="10">
        <v>14</v>
      </c>
      <c r="N11053" t="s" s="11">
        <v>14</v>
      </c>
      <c r="O11053" t="s" s="8">
        <v>14</v>
      </c>
      <c r="P11053" t="s" s="8">
        <v>14</v>
      </c>
      <c r="Q11053" t="s" s="12">
        <v>14</v>
      </c>
      <c r="R11053" t="s" s="12">
        <v>14</v>
      </c>
    </row>
    <row r="11054" s="2" customFormat="1" ht="13.5" customHeight="1">
      <c r="B11054" s="13"/>
      <c r="C11054" t="s" s="9">
        <v>16</v>
      </c>
      <c r="D11054" t="s" s="8">
        <v>4118</v>
      </c>
      <c r="E11054" t="s" s="9">
        <v>4119</v>
      </c>
      <c r="F11054" t="s" s="10">
        <v>28</v>
      </c>
      <c r="G11054" s="14"/>
      <c r="H11054" t="s" s="10">
        <v>28</v>
      </c>
      <c r="I11054" s="14"/>
      <c r="J11054" t="s" s="11">
        <v>20</v>
      </c>
      <c r="K11054" s="15"/>
      <c r="L11054" t="s" s="16">
        <f>HYPERLINK("http://csr.bu.edu/ftp/asl/asllvd/demos/verify_start_end_handshape_annotations//test_auto_move//signs_mov_separ_signers/Liz_15765.mov","MOV")</f>
        <v>21</v>
      </c>
      <c r="M11054" t="s" s="10">
        <v>34</v>
      </c>
      <c r="N11054" s="17">
        <v>51</v>
      </c>
      <c r="O11054" s="18">
        <v>315</v>
      </c>
      <c r="P11054" s="18">
        <v>365</v>
      </c>
      <c r="Q11054" s="15"/>
      <c r="R11054" t="s" s="16">
        <f>HYPERLINK("http://secrets.rutgers.edu:8080/data/asl-ftp/asllvd/demos/verify_start_end_handshape_annotations//test_auto_move//signs_mov_separ_signers/Liz_15765.mov","MOV")</f>
        <v>21</v>
      </c>
    </row>
    <row r="11055" s="2" customFormat="1" ht="13.5" customHeight="1">
      <c r="B11055" s="13"/>
      <c r="C11055" t="s" s="9">
        <v>23</v>
      </c>
      <c r="D11055" t="s" s="8">
        <v>4118</v>
      </c>
      <c r="E11055" t="s" s="9">
        <v>4119</v>
      </c>
      <c r="F11055" t="s" s="10">
        <v>19</v>
      </c>
      <c r="G11055" s="14"/>
      <c r="H11055" t="s" s="10">
        <v>19</v>
      </c>
      <c r="I11055" s="14"/>
      <c r="J11055" t="s" s="11">
        <v>20</v>
      </c>
      <c r="K11055" t="s" s="16">
        <f>HYPERLINK("http://csr.bu.edu/ftp/asl/asllvd/demos/verify_start_end_handshape_annotations//test_auto_move//signs_mov/15765.mov","MOV")</f>
        <v>21</v>
      </c>
      <c r="L11055" t="s" s="16">
        <f>HYPERLINK("http://csr.bu.edu/ftp/asl/asllvd/demos/verify_start_end_handshape_annotations//test_auto_move//signs_mov_separ_signers/Tyler_15765.mov","MOV")</f>
        <v>21</v>
      </c>
      <c r="M11055" t="s" s="10">
        <v>47</v>
      </c>
      <c r="N11055" s="17">
        <v>2</v>
      </c>
      <c r="O11055" s="18">
        <v>3110</v>
      </c>
      <c r="P11055" s="18">
        <v>3156</v>
      </c>
      <c r="Q11055" t="s" s="16">
        <f>HYPERLINK("http://secrets.rutgers.edu:8080/data/asl-ftp/asllvd/demos/verify_start_end_handshape_annotations//test_auto_move//signs_mov/15765.mov","MOV")</f>
        <v>21</v>
      </c>
      <c r="R11055" t="s" s="16">
        <f>HYPERLINK("http://secrets.rutgers.edu:8080/data/asl-ftp/asllvd/demos/verify_start_end_handshape_annotations//test_auto_move//signs_mov_separ_signers/Tyler_15765.mov","MOV")</f>
        <v>21</v>
      </c>
    </row>
    <row r="11056" s="2" customFormat="1" ht="13.5" customHeight="1">
      <c r="B11056" s="13"/>
      <c r="C11056" t="s" s="9">
        <v>27</v>
      </c>
      <c r="D11056" t="s" s="8">
        <v>4118</v>
      </c>
      <c r="E11056" t="s" s="9">
        <v>4119</v>
      </c>
      <c r="F11056" t="s" s="10">
        <v>28</v>
      </c>
      <c r="G11056" s="14"/>
      <c r="H11056" t="s" s="10">
        <v>28</v>
      </c>
      <c r="I11056" s="14"/>
      <c r="J11056" t="s" s="11">
        <v>20</v>
      </c>
      <c r="K11056" s="15"/>
      <c r="L11056" t="s" s="16">
        <f>HYPERLINK("http://csr.bu.edu/ftp/asl/asllvd/demos/verify_start_end_handshape_annotations//test_auto_move//signs_mov_separ_signers/Naomi_15765.mov","MOV")</f>
        <v>21</v>
      </c>
      <c r="M11056" t="s" s="10">
        <v>48</v>
      </c>
      <c r="N11056" s="17">
        <v>5</v>
      </c>
      <c r="O11056" s="18">
        <v>3015</v>
      </c>
      <c r="P11056" s="18">
        <v>3055</v>
      </c>
      <c r="Q11056" s="15"/>
      <c r="R11056" t="s" s="16">
        <f>HYPERLINK("http://secrets.rutgers.edu:8080/data/asl-ftp/asllvd/demos/verify_start_end_handshape_annotations//test_auto_move//signs_mov_separ_signers/Naomi_15765.mov","MOV")</f>
        <v>21</v>
      </c>
    </row>
    <row r="11057" s="2" customFormat="1" ht="13.5" customHeight="1">
      <c r="B11057" s="13"/>
      <c r="C11057" t="s" s="9">
        <v>30</v>
      </c>
      <c r="D11057" t="s" s="8">
        <v>4118</v>
      </c>
      <c r="E11057" t="s" s="9">
        <v>4119</v>
      </c>
      <c r="F11057" t="s" s="10">
        <v>28</v>
      </c>
      <c r="G11057" s="14"/>
      <c r="H11057" t="s" s="10">
        <v>28</v>
      </c>
      <c r="I11057" s="14"/>
      <c r="J11057" t="s" s="11">
        <v>20</v>
      </c>
      <c r="K11057" s="15"/>
      <c r="L11057" t="s" s="16">
        <f>HYPERLINK("http://csr.bu.edu/ftp/asl/asllvd/demos/verify_start_end_handshape_annotations//test_auto_move//signs_mov_separ_signers/Brady_15765.mov","MOV")</f>
        <v>21</v>
      </c>
      <c r="M11057" t="s" s="10">
        <v>39</v>
      </c>
      <c r="N11057" s="17">
        <v>50</v>
      </c>
      <c r="O11057" s="18">
        <v>1803</v>
      </c>
      <c r="P11057" s="18">
        <v>1847</v>
      </c>
      <c r="Q11057" s="15"/>
      <c r="R11057" t="s" s="16">
        <f>HYPERLINK("http://secrets.rutgers.edu:8080/data/asl-ftp/asllvd/demos/verify_start_end_handshape_annotations//test_auto_move//signs_mov_separ_signers/Brady_15765.mov","MOV")</f>
        <v>21</v>
      </c>
    </row>
    <row r="11058" s="2" customFormat="1" ht="13.5" customHeight="1">
      <c r="B11058" t="s" s="8">
        <v>4120</v>
      </c>
      <c r="C11058" t="s" s="9">
        <v>14</v>
      </c>
      <c r="D11058" t="s" s="8">
        <v>14</v>
      </c>
      <c r="E11058" t="s" s="9">
        <v>14</v>
      </c>
      <c r="F11058" t="s" s="10">
        <v>14</v>
      </c>
      <c r="G11058" t="s" s="11">
        <v>14</v>
      </c>
      <c r="H11058" t="s" s="10">
        <v>14</v>
      </c>
      <c r="I11058" t="s" s="11">
        <v>14</v>
      </c>
      <c r="J11058" t="s" s="11">
        <v>14</v>
      </c>
      <c r="K11058" t="s" s="12">
        <v>14</v>
      </c>
      <c r="L11058" t="s" s="12">
        <v>14</v>
      </c>
      <c r="M11058" t="s" s="10">
        <v>14</v>
      </c>
      <c r="N11058" t="s" s="11">
        <v>14</v>
      </c>
      <c r="O11058" t="s" s="8">
        <v>14</v>
      </c>
      <c r="P11058" t="s" s="8">
        <v>14</v>
      </c>
      <c r="Q11058" t="s" s="12">
        <v>14</v>
      </c>
      <c r="R11058" t="s" s="12">
        <v>14</v>
      </c>
    </row>
    <row r="11059" s="2" customFormat="1" ht="13.5" customHeight="1">
      <c r="B11059" s="13"/>
      <c r="C11059" t="s" s="9">
        <v>16</v>
      </c>
      <c r="D11059" t="s" s="8">
        <v>4120</v>
      </c>
      <c r="E11059" t="s" s="9">
        <v>4120</v>
      </c>
      <c r="F11059" t="s" s="10">
        <v>73</v>
      </c>
      <c r="G11059" s="14"/>
      <c r="H11059" t="s" s="10">
        <v>73</v>
      </c>
      <c r="I11059" s="14"/>
      <c r="J11059" t="s" s="11">
        <v>20</v>
      </c>
      <c r="K11059" t="s" s="16">
        <f>HYPERLINK("http://csr.bu.edu/ftp/asl/asllvd/demos/verify_start_end_handshape_annotations//test_auto_move//signs_mov/4710.mov","MOV")</f>
        <v>21</v>
      </c>
      <c r="L11059" t="s" s="16">
        <f>HYPERLINK("http://csr.bu.edu/ftp/asl/asllvd/demos/verify_start_end_handshape_annotations//test_auto_move//signs_mov_separ_signers/Liz_4710.mov","MOV")</f>
        <v>21</v>
      </c>
      <c r="M11059" t="s" s="10">
        <v>36</v>
      </c>
      <c r="N11059" s="17">
        <v>30</v>
      </c>
      <c r="O11059" s="18">
        <v>637</v>
      </c>
      <c r="P11059" s="18">
        <v>670</v>
      </c>
      <c r="Q11059" t="s" s="16">
        <f>HYPERLINK("http://secrets.rutgers.edu:8080/data/asl-ftp/asllvd/demos/verify_start_end_handshape_annotations//test_auto_move//signs_mov/4710.mov","MOV")</f>
        <v>21</v>
      </c>
      <c r="R11059" t="s" s="16">
        <f>HYPERLINK("http://secrets.rutgers.edu:8080/data/asl-ftp/asllvd/demos/verify_start_end_handshape_annotations//test_auto_move//signs_mov_separ_signers/Liz_4710.mov","MOV")</f>
        <v>21</v>
      </c>
    </row>
    <row r="11060" s="2" customFormat="1" ht="13.5" customHeight="1">
      <c r="B11060" s="13"/>
      <c r="C11060" t="s" s="9">
        <v>30</v>
      </c>
      <c r="D11060" t="s" s="8">
        <v>4120</v>
      </c>
      <c r="E11060" t="s" s="9">
        <v>4121</v>
      </c>
      <c r="F11060" t="s" s="10">
        <v>80</v>
      </c>
      <c r="G11060" s="14"/>
      <c r="H11060" t="s" s="10">
        <v>80</v>
      </c>
      <c r="I11060" s="14"/>
      <c r="J11060" t="s" s="11">
        <v>20</v>
      </c>
      <c r="K11060" s="15"/>
      <c r="L11060" t="s" s="16">
        <f>HYPERLINK("http://csr.bu.edu/ftp/asl/asllvd/demos/verify_start_end_handshape_annotations//test_auto_move//signs_mov_separ_signers/Brady_4710.mov","MOV")</f>
        <v>21</v>
      </c>
      <c r="M11060" t="s" s="10">
        <v>40</v>
      </c>
      <c r="N11060" s="17">
        <v>81</v>
      </c>
      <c r="O11060" s="18">
        <v>392</v>
      </c>
      <c r="P11060" s="18">
        <v>422</v>
      </c>
      <c r="Q11060" s="15"/>
      <c r="R11060" t="s" s="16">
        <f>HYPERLINK("http://secrets.rutgers.edu:8080/data/asl-ftp/asllvd/demos/verify_start_end_handshape_annotations//test_auto_move//signs_mov_separ_signers/Brady_4710.mov","MOV")</f>
        <v>21</v>
      </c>
    </row>
    <row r="11061" s="2" customFormat="1" ht="13.5" customHeight="1">
      <c r="B11061" t="s" s="8">
        <v>4122</v>
      </c>
      <c r="C11061" t="s" s="9">
        <v>14</v>
      </c>
      <c r="D11061" t="s" s="8">
        <v>14</v>
      </c>
      <c r="E11061" t="s" s="9">
        <v>14</v>
      </c>
      <c r="F11061" t="s" s="10">
        <v>14</v>
      </c>
      <c r="G11061" t="s" s="11">
        <v>14</v>
      </c>
      <c r="H11061" t="s" s="10">
        <v>14</v>
      </c>
      <c r="I11061" t="s" s="11">
        <v>14</v>
      </c>
      <c r="J11061" t="s" s="11">
        <v>14</v>
      </c>
      <c r="K11061" t="s" s="12">
        <v>14</v>
      </c>
      <c r="L11061" t="s" s="12">
        <v>14</v>
      </c>
      <c r="M11061" t="s" s="10">
        <v>14</v>
      </c>
      <c r="N11061" t="s" s="11">
        <v>14</v>
      </c>
      <c r="O11061" t="s" s="8">
        <v>14</v>
      </c>
      <c r="P11061" t="s" s="8">
        <v>14</v>
      </c>
      <c r="Q11061" t="s" s="12">
        <v>14</v>
      </c>
      <c r="R11061" t="s" s="12">
        <v>14</v>
      </c>
    </row>
    <row r="11062" s="2" customFormat="1" ht="13.5" customHeight="1">
      <c r="B11062" s="13"/>
      <c r="C11062" t="s" s="9">
        <v>16</v>
      </c>
      <c r="D11062" t="s" s="8">
        <v>4122</v>
      </c>
      <c r="E11062" t="s" s="9">
        <v>4122</v>
      </c>
      <c r="F11062" t="s" s="10">
        <v>73</v>
      </c>
      <c r="G11062" t="s" s="11">
        <v>73</v>
      </c>
      <c r="H11062" t="s" s="10">
        <v>73</v>
      </c>
      <c r="I11062" t="s" s="11">
        <v>73</v>
      </c>
      <c r="J11062" t="s" s="11">
        <v>20</v>
      </c>
      <c r="K11062" s="15"/>
      <c r="L11062" t="s" s="16">
        <f>HYPERLINK("http://csr.bu.edu/ftp/asl/asllvd/demos/verify_start_end_handshape_annotations//test_auto_move//signs_mov_separ_signers/Liz_15817.mov","MOV")</f>
        <v>21</v>
      </c>
      <c r="M11062" t="s" s="10">
        <v>34</v>
      </c>
      <c r="N11062" s="17">
        <v>55</v>
      </c>
      <c r="O11062" s="18">
        <v>1040</v>
      </c>
      <c r="P11062" s="18">
        <v>1105</v>
      </c>
      <c r="Q11062" s="15"/>
      <c r="R11062" t="s" s="16">
        <f>HYPERLINK("http://secrets.rutgers.edu:8080/data/asl-ftp/asllvd/demos/verify_start_end_handshape_annotations//test_auto_move//signs_mov_separ_signers/Liz_15817.mov","MOV")</f>
        <v>21</v>
      </c>
    </row>
    <row r="11063" s="2" customFormat="1" ht="13.5" customHeight="1">
      <c r="B11063" s="13"/>
      <c r="C11063" t="s" s="9">
        <v>27</v>
      </c>
      <c r="D11063" t="s" s="8">
        <v>4122</v>
      </c>
      <c r="E11063" t="s" s="9">
        <v>4122</v>
      </c>
      <c r="F11063" s="19">
        <v>5</v>
      </c>
      <c r="G11063" s="17">
        <v>5</v>
      </c>
      <c r="H11063" s="19">
        <v>5</v>
      </c>
      <c r="I11063" s="17">
        <v>5</v>
      </c>
      <c r="J11063" t="s" s="11">
        <v>20</v>
      </c>
      <c r="K11063" t="s" s="16">
        <f>HYPERLINK("http://csr.bu.edu/ftp/asl/asllvd/demos/verify_start_end_handshape_annotations//test_auto_move//signs_mov/15817.mov","MOV")</f>
        <v>21</v>
      </c>
      <c r="L11063" t="s" s="16">
        <f>HYPERLINK("http://csr.bu.edu/ftp/asl/asllvd/demos/verify_start_end_handshape_annotations//test_auto_move//signs_mov_separ_signers/Naomi_15817.mov","MOV")</f>
        <v>21</v>
      </c>
      <c r="M11063" t="s" s="10">
        <v>48</v>
      </c>
      <c r="N11063" s="17">
        <v>10</v>
      </c>
      <c r="O11063" s="18">
        <v>270</v>
      </c>
      <c r="P11063" s="18">
        <v>296</v>
      </c>
      <c r="Q11063" t="s" s="16">
        <f>HYPERLINK("http://secrets.rutgers.edu:8080/data/asl-ftp/asllvd/demos/verify_start_end_handshape_annotations//test_auto_move//signs_mov/15817.mov","MOV")</f>
        <v>21</v>
      </c>
      <c r="R11063" t="s" s="16">
        <f>HYPERLINK("http://secrets.rutgers.edu:8080/data/asl-ftp/asllvd/demos/verify_start_end_handshape_annotations//test_auto_move//signs_mov_separ_signers/Naomi_15817.mov","MOV")</f>
        <v>21</v>
      </c>
    </row>
    <row r="11064" s="2" customFormat="1" ht="13.5" customHeight="1">
      <c r="B11064" s="13"/>
      <c r="C11064" t="s" s="9">
        <v>30</v>
      </c>
      <c r="D11064" t="s" s="8">
        <v>4122</v>
      </c>
      <c r="E11064" t="s" s="9">
        <v>4122</v>
      </c>
      <c r="F11064" t="s" s="10">
        <v>73</v>
      </c>
      <c r="G11064" t="s" s="11">
        <v>73</v>
      </c>
      <c r="H11064" t="s" s="10">
        <v>73</v>
      </c>
      <c r="I11064" t="s" s="11">
        <v>73</v>
      </c>
      <c r="J11064" t="s" s="11">
        <v>20</v>
      </c>
      <c r="K11064" s="15"/>
      <c r="L11064" t="s" s="16">
        <f>HYPERLINK("http://csr.bu.edu/ftp/asl/asllvd/demos/verify_start_end_handshape_annotations//test_auto_move//signs_mov_separ_signers/Brady_15817.mov","MOV")</f>
        <v>21</v>
      </c>
      <c r="M11064" t="s" s="10">
        <v>39</v>
      </c>
      <c r="N11064" s="17">
        <v>52</v>
      </c>
      <c r="O11064" s="18">
        <v>7339</v>
      </c>
      <c r="P11064" s="18">
        <v>7367</v>
      </c>
      <c r="Q11064" s="15"/>
      <c r="R11064" t="s" s="16">
        <f>HYPERLINK("http://secrets.rutgers.edu:8080/data/asl-ftp/asllvd/demos/verify_start_end_handshape_annotations//test_auto_move//signs_mov_separ_signers/Brady_15817.mov","MOV")</f>
        <v>21</v>
      </c>
    </row>
    <row r="11065" s="2" customFormat="1" ht="13.5" customHeight="1">
      <c r="B11065" t="s" s="8">
        <v>52</v>
      </c>
      <c r="C11065" t="s" s="9">
        <v>53</v>
      </c>
      <c r="D11065" t="s" s="8">
        <v>53</v>
      </c>
      <c r="E11065" t="s" s="9">
        <v>53</v>
      </c>
      <c r="F11065" t="s" s="10">
        <v>53</v>
      </c>
      <c r="G11065" t="s" s="11">
        <v>53</v>
      </c>
      <c r="H11065" t="s" s="10">
        <v>53</v>
      </c>
      <c r="I11065" t="s" s="11">
        <v>53</v>
      </c>
      <c r="J11065" t="s" s="11">
        <v>53</v>
      </c>
      <c r="K11065" t="s" s="12">
        <v>53</v>
      </c>
      <c r="L11065" t="s" s="12">
        <v>53</v>
      </c>
      <c r="M11065" t="s" s="10">
        <v>53</v>
      </c>
      <c r="N11065" t="s" s="11">
        <v>53</v>
      </c>
      <c r="O11065" t="s" s="8">
        <v>53</v>
      </c>
      <c r="P11065" t="s" s="8">
        <v>53</v>
      </c>
      <c r="Q11065" t="s" s="12">
        <v>53</v>
      </c>
      <c r="R11065" t="s" s="12">
        <v>53</v>
      </c>
    </row>
    <row r="11066" s="2" customFormat="1" ht="13.5" customHeight="1">
      <c r="B11066" s="13"/>
      <c r="C11066" t="s" s="9">
        <v>23</v>
      </c>
      <c r="D11066" t="s" s="8">
        <v>4122</v>
      </c>
      <c r="E11066" t="s" s="9">
        <v>4123</v>
      </c>
      <c r="F11066" t="s" s="10">
        <v>25</v>
      </c>
      <c r="G11066" s="14"/>
      <c r="H11066" t="s" s="10">
        <v>25</v>
      </c>
      <c r="I11066" s="14"/>
      <c r="J11066" t="s" s="11">
        <v>20</v>
      </c>
      <c r="K11066" t="s" s="16">
        <f>HYPERLINK("http://csr.bu.edu/ftp/asl/asllvd/demos/verify_start_end_handshape_annotations//test_auto_move//signs_mov/15901.mov","MOV")</f>
        <v>21</v>
      </c>
      <c r="L11066" t="s" s="16">
        <f>HYPERLINK("http://csr.bu.edu/ftp/asl/asllvd/demos/verify_start_end_handshape_annotations//test_auto_move//signs_mov_separ_signers/Tyler_15901.mov","MOV")</f>
        <v>21</v>
      </c>
      <c r="M11066" t="s" s="10">
        <v>47</v>
      </c>
      <c r="N11066" s="17">
        <v>7</v>
      </c>
      <c r="O11066" s="18">
        <v>257</v>
      </c>
      <c r="P11066" s="18">
        <v>288</v>
      </c>
      <c r="Q11066" t="s" s="16">
        <f>HYPERLINK("http://secrets.rutgers.edu:8080/data/asl-ftp/asllvd/demos/verify_start_end_handshape_annotations//test_auto_move//signs_mov/15901.mov","MOV")</f>
        <v>21</v>
      </c>
      <c r="R11066" t="s" s="16">
        <f>HYPERLINK("http://secrets.rutgers.edu:8080/data/asl-ftp/asllvd/demos/verify_start_end_handshape_annotations//test_auto_move//signs_mov_separ_signers/Tyler_15901.mov","MOV")</f>
        <v>21</v>
      </c>
    </row>
    <row r="11067" s="2" customFormat="1" ht="13.5" customHeight="1">
      <c r="B11067" t="s" s="8">
        <v>4124</v>
      </c>
      <c r="C11067" t="s" s="9">
        <v>14</v>
      </c>
      <c r="D11067" t="s" s="8">
        <v>14</v>
      </c>
      <c r="E11067" t="s" s="9">
        <v>14</v>
      </c>
      <c r="F11067" t="s" s="10">
        <v>14</v>
      </c>
      <c r="G11067" t="s" s="11">
        <v>14</v>
      </c>
      <c r="H11067" t="s" s="10">
        <v>14</v>
      </c>
      <c r="I11067" t="s" s="11">
        <v>14</v>
      </c>
      <c r="J11067" t="s" s="11">
        <v>14</v>
      </c>
      <c r="K11067" t="s" s="12">
        <v>14</v>
      </c>
      <c r="L11067" t="s" s="12">
        <v>14</v>
      </c>
      <c r="M11067" t="s" s="10">
        <v>14</v>
      </c>
      <c r="N11067" t="s" s="11">
        <v>14</v>
      </c>
      <c r="O11067" t="s" s="8">
        <v>14</v>
      </c>
      <c r="P11067" t="s" s="8">
        <v>14</v>
      </c>
      <c r="Q11067" t="s" s="12">
        <v>14</v>
      </c>
      <c r="R11067" t="s" s="12">
        <v>14</v>
      </c>
    </row>
    <row r="11068" s="2" customFormat="1" ht="13.5" customHeight="1">
      <c r="B11068" s="13"/>
      <c r="C11068" t="s" s="9">
        <v>16</v>
      </c>
      <c r="D11068" t="s" s="8">
        <v>4124</v>
      </c>
      <c r="E11068" t="s" s="9">
        <v>4124</v>
      </c>
      <c r="F11068" t="s" s="10">
        <v>63</v>
      </c>
      <c r="G11068" s="14"/>
      <c r="H11068" t="s" s="10">
        <v>63</v>
      </c>
      <c r="I11068" s="14"/>
      <c r="J11068" t="s" s="11">
        <v>20</v>
      </c>
      <c r="K11068" s="15"/>
      <c r="L11068" t="s" s="16">
        <f>HYPERLINK("http://csr.bu.edu/ftp/asl/asllvd/demos/verify_start_end_handshape_annotations//test_auto_move//signs_mov_separ_signers/Liz_4711.mov","MOV")</f>
        <v>21</v>
      </c>
      <c r="M11068" t="s" s="10">
        <v>22</v>
      </c>
      <c r="N11068" s="17">
        <v>30</v>
      </c>
      <c r="O11068" s="18">
        <v>325</v>
      </c>
      <c r="P11068" s="18">
        <v>380</v>
      </c>
      <c r="Q11068" s="15"/>
      <c r="R11068" t="s" s="16">
        <f>HYPERLINK("http://secrets.rutgers.edu:8080/data/asl-ftp/asllvd/demos/verify_start_end_handshape_annotations//test_auto_move//signs_mov_separ_signers/Liz_4711.mov","MOV")</f>
        <v>21</v>
      </c>
    </row>
    <row r="11069" s="2" customFormat="1" ht="13.5" customHeight="1">
      <c r="B11069" s="13"/>
      <c r="C11069" t="s" s="9">
        <v>16</v>
      </c>
      <c r="D11069" t="s" s="8">
        <v>4124</v>
      </c>
      <c r="E11069" t="s" s="9">
        <v>4124</v>
      </c>
      <c r="F11069" t="s" s="10">
        <v>63</v>
      </c>
      <c r="G11069" s="14"/>
      <c r="H11069" t="s" s="10">
        <v>63</v>
      </c>
      <c r="I11069" s="14"/>
      <c r="J11069" t="s" s="11">
        <v>20</v>
      </c>
      <c r="K11069" s="15"/>
      <c r="L11069" t="s" s="16">
        <f>HYPERLINK("http://csr.bu.edu/ftp/asl/asllvd/demos/verify_start_end_handshape_annotations//test_auto_move//signs_mov_separ_signers/Liz_15837.mov","MOV")</f>
        <v>21</v>
      </c>
      <c r="M11069" t="s" s="10">
        <v>59</v>
      </c>
      <c r="N11069" s="17">
        <v>7</v>
      </c>
      <c r="O11069" s="18">
        <v>3225</v>
      </c>
      <c r="P11069" s="18">
        <v>3287</v>
      </c>
      <c r="Q11069" s="15"/>
      <c r="R11069" t="s" s="16">
        <f>HYPERLINK("http://secrets.rutgers.edu:8080/data/asl-ftp/asllvd/demos/verify_start_end_handshape_annotations//test_auto_move//signs_mov_separ_signers/Liz_15837.mov","MOV")</f>
        <v>21</v>
      </c>
    </row>
    <row r="11070" s="2" customFormat="1" ht="13.5" customHeight="1">
      <c r="B11070" s="13"/>
      <c r="C11070" t="s" s="9">
        <v>27</v>
      </c>
      <c r="D11070" t="s" s="8">
        <v>4124</v>
      </c>
      <c r="E11070" t="s" s="9">
        <v>4124</v>
      </c>
      <c r="F11070" t="s" s="10">
        <v>65</v>
      </c>
      <c r="G11070" s="14"/>
      <c r="H11070" t="s" s="10">
        <v>65</v>
      </c>
      <c r="I11070" s="14"/>
      <c r="J11070" t="s" s="11">
        <v>20</v>
      </c>
      <c r="K11070" s="15"/>
      <c r="L11070" t="s" s="16">
        <f>HYPERLINK("http://csr.bu.edu/ftp/asl/asllvd/demos/verify_start_end_handshape_annotations//test_auto_move//signs_mov_separ_signers/Naomi_4711.mov","MOV")</f>
        <v>21</v>
      </c>
      <c r="M11070" t="s" s="10">
        <v>29</v>
      </c>
      <c r="N11070" s="17">
        <v>19</v>
      </c>
      <c r="O11070" s="18">
        <v>2160</v>
      </c>
      <c r="P11070" s="18">
        <v>2192</v>
      </c>
      <c r="Q11070" s="15"/>
      <c r="R11070" t="s" s="16">
        <f>HYPERLINK("http://secrets.rutgers.edu:8080/data/asl-ftp/asllvd/demos/verify_start_end_handshape_annotations//test_auto_move//signs_mov_separ_signers/Naomi_4711.mov","MOV")</f>
        <v>21</v>
      </c>
    </row>
    <row r="11071" s="2" customFormat="1" ht="13.5" customHeight="1">
      <c r="B11071" s="13"/>
      <c r="C11071" t="s" s="9">
        <v>30</v>
      </c>
      <c r="D11071" t="s" s="8">
        <v>4124</v>
      </c>
      <c r="E11071" t="s" s="9">
        <v>4124</v>
      </c>
      <c r="F11071" t="s" s="10">
        <v>65</v>
      </c>
      <c r="G11071" s="14"/>
      <c r="H11071" t="s" s="10">
        <v>65</v>
      </c>
      <c r="I11071" s="14"/>
      <c r="J11071" t="s" s="11">
        <v>20</v>
      </c>
      <c r="K11071" t="s" s="16">
        <f>HYPERLINK("http://csr.bu.edu/ftp/asl/asllvd/demos/verify_start_end_handshape_annotations//test_auto_move//signs_mov/4711_15837_15852_15864_merged.mov","MOV")</f>
        <v>21</v>
      </c>
      <c r="L11071" t="s" s="16">
        <f>HYPERLINK("http://csr.bu.edu/ftp/asl/asllvd/demos/verify_start_end_handshape_annotations//test_auto_move//signs_mov_separ_signers/Brady_4711.mov","MOV")</f>
        <v>21</v>
      </c>
      <c r="M11071" t="s" s="10">
        <v>31</v>
      </c>
      <c r="N11071" s="17">
        <v>15</v>
      </c>
      <c r="O11071" s="18">
        <v>6250</v>
      </c>
      <c r="P11071" s="18">
        <v>6290</v>
      </c>
      <c r="Q11071" t="s" s="16">
        <f>HYPERLINK("http://secrets.rutgers.edu:8080/data/asl-ftp/asllvd/demos/verify_start_end_handshape_annotations//test_auto_move//signs_mov/4711_15837_15852_15864_merged.mov","MOV")</f>
        <v>21</v>
      </c>
      <c r="R11071" t="s" s="16">
        <f>HYPERLINK("http://secrets.rutgers.edu:8080/data/asl-ftp/asllvd/demos/verify_start_end_handshape_annotations//test_auto_move//signs_mov_separ_signers/Brady_4711.mov","MOV")</f>
        <v>21</v>
      </c>
    </row>
    <row r="11072" s="2" customFormat="1" ht="13.5" customHeight="1">
      <c r="B11072" s="13"/>
      <c r="C11072" t="s" s="9">
        <v>30</v>
      </c>
      <c r="D11072" t="s" s="8">
        <v>4124</v>
      </c>
      <c r="E11072" t="s" s="9">
        <v>4124</v>
      </c>
      <c r="F11072" t="s" s="10">
        <v>65</v>
      </c>
      <c r="G11072" s="14"/>
      <c r="H11072" t="s" s="10">
        <v>65</v>
      </c>
      <c r="I11072" s="14"/>
      <c r="J11072" t="s" s="11">
        <v>20</v>
      </c>
      <c r="K11072" s="15"/>
      <c r="L11072" t="s" s="16">
        <f>HYPERLINK("http://csr.bu.edu/ftp/asl/asllvd/demos/verify_start_end_handshape_annotations//test_auto_move//signs_mov_separ_signers/Brady_15837.mov","MOV")</f>
        <v>21</v>
      </c>
      <c r="M11072" t="s" s="10">
        <v>40</v>
      </c>
      <c r="N11072" s="17">
        <v>33</v>
      </c>
      <c r="O11072" s="18">
        <v>3031</v>
      </c>
      <c r="P11072" s="18">
        <v>3073</v>
      </c>
      <c r="Q11072" s="15"/>
      <c r="R11072" t="s" s="16">
        <f>HYPERLINK("http://secrets.rutgers.edu:8080/data/asl-ftp/asllvd/demos/verify_start_end_handshape_annotations//test_auto_move//signs_mov_separ_signers/Brady_15837.mov","MOV")</f>
        <v>21</v>
      </c>
    </row>
    <row r="11073" s="2" customFormat="1" ht="13.5" customHeight="1">
      <c r="B11073" s="13"/>
      <c r="C11073" t="s" s="9">
        <v>30</v>
      </c>
      <c r="D11073" t="s" s="8">
        <v>4124</v>
      </c>
      <c r="E11073" t="s" s="9">
        <v>4124</v>
      </c>
      <c r="F11073" t="s" s="10">
        <v>65</v>
      </c>
      <c r="G11073" s="14"/>
      <c r="H11073" t="s" s="10">
        <v>65</v>
      </c>
      <c r="I11073" s="14"/>
      <c r="J11073" t="s" s="11">
        <v>20</v>
      </c>
      <c r="K11073" s="15"/>
      <c r="L11073" t="s" s="16">
        <f>HYPERLINK("http://csr.bu.edu/ftp/asl/asllvd/demos/verify_start_end_handshape_annotations//test_auto_move//signs_mov_separ_signers/Brady_15852.mov","MOV")</f>
        <v>21</v>
      </c>
      <c r="M11073" t="s" s="10">
        <v>40</v>
      </c>
      <c r="N11073" s="17">
        <v>33</v>
      </c>
      <c r="O11073" s="18">
        <v>3726</v>
      </c>
      <c r="P11073" s="18">
        <v>3803</v>
      </c>
      <c r="Q11073" s="15"/>
      <c r="R11073" t="s" s="16">
        <f>HYPERLINK("http://secrets.rutgers.edu:8080/data/asl-ftp/asllvd/demos/verify_start_end_handshape_annotations//test_auto_move//signs_mov_separ_signers/Brady_15852.mov","MOV")</f>
        <v>21</v>
      </c>
    </row>
    <row r="11074" s="2" customFormat="1" ht="13.5" customHeight="1">
      <c r="B11074" s="13"/>
      <c r="C11074" t="s" s="9">
        <v>30</v>
      </c>
      <c r="D11074" t="s" s="8">
        <v>4124</v>
      </c>
      <c r="E11074" t="s" s="9">
        <v>4124</v>
      </c>
      <c r="F11074" t="s" s="10">
        <v>65</v>
      </c>
      <c r="G11074" s="14"/>
      <c r="H11074" t="s" s="10">
        <v>65</v>
      </c>
      <c r="I11074" s="14"/>
      <c r="J11074" t="s" s="11">
        <v>20</v>
      </c>
      <c r="K11074" s="15"/>
      <c r="L11074" t="s" s="16">
        <f>HYPERLINK("http://csr.bu.edu/ftp/asl/asllvd/demos/verify_start_end_handshape_annotations//test_auto_move//signs_mov_separ_signers/Brady_15864.mov","MOV")</f>
        <v>21</v>
      </c>
      <c r="M11074" t="s" s="10">
        <v>40</v>
      </c>
      <c r="N11074" s="17">
        <v>112</v>
      </c>
      <c r="O11074" s="18">
        <v>634</v>
      </c>
      <c r="P11074" s="18">
        <v>694</v>
      </c>
      <c r="Q11074" s="15"/>
      <c r="R11074" t="s" s="16">
        <f>HYPERLINK("http://secrets.rutgers.edu:8080/data/asl-ftp/asllvd/demos/verify_start_end_handshape_annotations//test_auto_move//signs_mov_separ_signers/Brady_15864.mov","MOV")</f>
        <v>21</v>
      </c>
    </row>
    <row r="11075" s="2" customFormat="1" ht="13.5" customHeight="1">
      <c r="B11075" t="s" s="8">
        <v>52</v>
      </c>
      <c r="C11075" t="s" s="9">
        <v>53</v>
      </c>
      <c r="D11075" t="s" s="8">
        <v>53</v>
      </c>
      <c r="E11075" t="s" s="9">
        <v>53</v>
      </c>
      <c r="F11075" t="s" s="10">
        <v>53</v>
      </c>
      <c r="G11075" t="s" s="11">
        <v>53</v>
      </c>
      <c r="H11075" t="s" s="10">
        <v>53</v>
      </c>
      <c r="I11075" t="s" s="11">
        <v>53</v>
      </c>
      <c r="J11075" t="s" s="11">
        <v>53</v>
      </c>
      <c r="K11075" t="s" s="12">
        <v>53</v>
      </c>
      <c r="L11075" t="s" s="12">
        <v>53</v>
      </c>
      <c r="M11075" t="s" s="10">
        <v>53</v>
      </c>
      <c r="N11075" t="s" s="11">
        <v>53</v>
      </c>
      <c r="O11075" t="s" s="8">
        <v>53</v>
      </c>
      <c r="P11075" t="s" s="8">
        <v>53</v>
      </c>
      <c r="Q11075" t="s" s="12">
        <v>53</v>
      </c>
      <c r="R11075" t="s" s="12">
        <v>53</v>
      </c>
    </row>
    <row r="11076" s="2" customFormat="1" ht="13.5" customHeight="1">
      <c r="B11076" s="13"/>
      <c r="C11076" t="s" s="9">
        <v>16</v>
      </c>
      <c r="D11076" t="s" s="8">
        <v>4124</v>
      </c>
      <c r="E11076" t="s" s="9">
        <v>4125</v>
      </c>
      <c r="F11076" t="s" s="10">
        <v>119</v>
      </c>
      <c r="G11076" s="14"/>
      <c r="H11076" t="s" s="10">
        <v>119</v>
      </c>
      <c r="I11076" s="14"/>
      <c r="J11076" t="s" s="11">
        <v>20</v>
      </c>
      <c r="K11076" t="s" s="16">
        <f>HYPERLINK("http://csr.bu.edu/ftp/asl/asllvd/demos/verify_start_end_handshape_annotations//test_auto_move//signs_mov/15902.mov","MOV")</f>
        <v>21</v>
      </c>
      <c r="L11076" t="s" s="16">
        <f>HYPERLINK("http://csr.bu.edu/ftp/asl/asllvd/demos/verify_start_end_handshape_annotations//test_auto_move//signs_mov_separ_signers/Liz_15902.mov","MOV")</f>
        <v>21</v>
      </c>
      <c r="M11076" t="s" s="10">
        <v>88</v>
      </c>
      <c r="N11076" s="17">
        <v>39</v>
      </c>
      <c r="O11076" s="18">
        <v>5115</v>
      </c>
      <c r="P11076" s="18">
        <v>5155</v>
      </c>
      <c r="Q11076" t="s" s="16">
        <f>HYPERLINK("http://secrets.rutgers.edu:8080/data/asl-ftp/asllvd/demos/verify_start_end_handshape_annotations//test_auto_move//signs_mov/15902.mov","MOV")</f>
        <v>21</v>
      </c>
      <c r="R11076" t="s" s="16">
        <f>HYPERLINK("http://secrets.rutgers.edu:8080/data/asl-ftp/asllvd/demos/verify_start_end_handshape_annotations//test_auto_move//signs_mov_separ_signers/Liz_15902.mov","MOV")</f>
        <v>21</v>
      </c>
    </row>
    <row r="11077" s="2" customFormat="1" ht="13.5" customHeight="1">
      <c r="B11077" t="s" s="8">
        <v>4126</v>
      </c>
      <c r="C11077" t="s" s="9">
        <v>14</v>
      </c>
      <c r="D11077" t="s" s="8">
        <v>14</v>
      </c>
      <c r="E11077" t="s" s="9">
        <v>14</v>
      </c>
      <c r="F11077" t="s" s="10">
        <v>14</v>
      </c>
      <c r="G11077" t="s" s="11">
        <v>14</v>
      </c>
      <c r="H11077" t="s" s="10">
        <v>14</v>
      </c>
      <c r="I11077" t="s" s="11">
        <v>14</v>
      </c>
      <c r="J11077" t="s" s="11">
        <v>14</v>
      </c>
      <c r="K11077" t="s" s="12">
        <v>14</v>
      </c>
      <c r="L11077" t="s" s="12">
        <v>14</v>
      </c>
      <c r="M11077" t="s" s="10">
        <v>14</v>
      </c>
      <c r="N11077" t="s" s="11">
        <v>14</v>
      </c>
      <c r="O11077" t="s" s="8">
        <v>14</v>
      </c>
      <c r="P11077" t="s" s="8">
        <v>14</v>
      </c>
      <c r="Q11077" t="s" s="12">
        <v>14</v>
      </c>
      <c r="R11077" t="s" s="12">
        <v>14</v>
      </c>
    </row>
    <row r="11078" s="2" customFormat="1" ht="13.5" customHeight="1">
      <c r="B11078" s="13"/>
      <c r="C11078" t="s" s="9">
        <v>16</v>
      </c>
      <c r="D11078" t="s" s="8">
        <v>4126</v>
      </c>
      <c r="E11078" t="s" s="9">
        <v>4127</v>
      </c>
      <c r="F11078" t="s" s="10">
        <v>282</v>
      </c>
      <c r="G11078" s="14"/>
      <c r="H11078" t="s" s="10">
        <v>282</v>
      </c>
      <c r="I11078" s="14"/>
      <c r="J11078" t="s" s="11">
        <v>20</v>
      </c>
      <c r="K11078" s="15"/>
      <c r="L11078" t="s" s="16">
        <f>HYPERLINK("http://csr.bu.edu/ftp/asl/asllvd/demos/verify_start_end_handshape_annotations//test_auto_move//signs_mov_separ_signers/Liz_4715.mov","MOV")</f>
        <v>21</v>
      </c>
      <c r="M11078" t="s" s="10">
        <v>22</v>
      </c>
      <c r="N11078" s="17">
        <v>18</v>
      </c>
      <c r="O11078" s="18">
        <v>1425</v>
      </c>
      <c r="P11078" s="18">
        <v>1465</v>
      </c>
      <c r="Q11078" s="15"/>
      <c r="R11078" t="s" s="16">
        <f>HYPERLINK("http://secrets.rutgers.edu:8080/data/asl-ftp/asllvd/demos/verify_start_end_handshape_annotations//test_auto_move//signs_mov_separ_signers/Liz_4715.mov","MOV")</f>
        <v>21</v>
      </c>
    </row>
    <row r="11079" s="2" customFormat="1" ht="13.5" customHeight="1">
      <c r="B11079" s="13"/>
      <c r="C11079" t="s" s="9">
        <v>23</v>
      </c>
      <c r="D11079" t="s" s="8">
        <v>4126</v>
      </c>
      <c r="E11079" t="s" s="9">
        <v>4128</v>
      </c>
      <c r="F11079" t="s" s="10">
        <v>282</v>
      </c>
      <c r="G11079" s="14"/>
      <c r="H11079" t="s" s="10">
        <v>282</v>
      </c>
      <c r="I11079" s="14"/>
      <c r="J11079" t="s" s="11">
        <v>20</v>
      </c>
      <c r="K11079" s="15"/>
      <c r="L11079" t="s" s="16">
        <f>HYPERLINK("http://csr.bu.edu/ftp/asl/asllvd/demos/verify_start_end_handshape_annotations//test_auto_move//signs_mov_separ_signers/Tyler_4715.mov","MOV")</f>
        <v>21</v>
      </c>
      <c r="M11079" t="s" s="10">
        <v>26</v>
      </c>
      <c r="N11079" s="17">
        <v>12</v>
      </c>
      <c r="O11079" s="18">
        <v>2605</v>
      </c>
      <c r="P11079" s="18">
        <v>2660</v>
      </c>
      <c r="Q11079" s="15"/>
      <c r="R11079" t="s" s="16">
        <f>HYPERLINK("http://secrets.rutgers.edu:8080/data/asl-ftp/asllvd/demos/verify_start_end_handshape_annotations//test_auto_move//signs_mov_separ_signers/Tyler_4715.mov","MOV")</f>
        <v>21</v>
      </c>
    </row>
    <row r="11080" s="2" customFormat="1" ht="13.5" customHeight="1">
      <c r="B11080" s="13"/>
      <c r="C11080" t="s" s="9">
        <v>23</v>
      </c>
      <c r="D11080" t="s" s="8">
        <v>4126</v>
      </c>
      <c r="E11080" t="s" s="9">
        <v>4127</v>
      </c>
      <c r="F11080" t="s" s="10">
        <v>282</v>
      </c>
      <c r="G11080" s="14"/>
      <c r="H11080" t="s" s="10">
        <v>282</v>
      </c>
      <c r="I11080" s="14"/>
      <c r="J11080" t="s" s="11">
        <v>20</v>
      </c>
      <c r="K11080" t="s" s="16">
        <f>HYPERLINK("http://csr.bu.edu/ftp/asl/asllvd/demos/verify_start_end_handshape_annotations//test_auto_move//signs_mov/4715_15936_merged.mov","MOV")</f>
        <v>21</v>
      </c>
      <c r="L11080" t="s" s="16">
        <f>HYPERLINK("http://csr.bu.edu/ftp/asl/asllvd/demos/verify_start_end_handshape_annotations//test_auto_move//signs_mov_separ_signers/Tyler_15936.mov","MOV")</f>
        <v>21</v>
      </c>
      <c r="M11080" t="s" s="10">
        <v>26</v>
      </c>
      <c r="N11080" s="17">
        <v>12</v>
      </c>
      <c r="O11080" s="18">
        <v>3110</v>
      </c>
      <c r="P11080" s="18">
        <v>3135</v>
      </c>
      <c r="Q11080" t="s" s="16">
        <f>HYPERLINK("http://secrets.rutgers.edu:8080/data/asl-ftp/asllvd/demos/verify_start_end_handshape_annotations//test_auto_move//signs_mov/4715_15936_merged.mov","MOV")</f>
        <v>21</v>
      </c>
      <c r="R11080" t="s" s="16">
        <f>HYPERLINK("http://secrets.rutgers.edu:8080/data/asl-ftp/asllvd/demos/verify_start_end_handshape_annotations//test_auto_move//signs_mov_separ_signers/Tyler_15936.mov","MOV")</f>
        <v>21</v>
      </c>
    </row>
    <row r="11081" s="2" customFormat="1" ht="13.5" customHeight="1">
      <c r="B11081" s="13"/>
      <c r="C11081" t="s" s="9">
        <v>27</v>
      </c>
      <c r="D11081" t="s" s="8">
        <v>4126</v>
      </c>
      <c r="E11081" t="s" s="9">
        <v>4127</v>
      </c>
      <c r="F11081" t="s" s="10">
        <v>282</v>
      </c>
      <c r="G11081" s="14"/>
      <c r="H11081" t="s" s="10">
        <v>282</v>
      </c>
      <c r="I11081" s="14"/>
      <c r="J11081" t="s" s="11">
        <v>20</v>
      </c>
      <c r="K11081" s="15"/>
      <c r="L11081" t="s" s="16">
        <f>HYPERLINK("http://csr.bu.edu/ftp/asl/asllvd/demos/verify_start_end_handshape_annotations//test_auto_move//signs_mov_separ_signers/Naomi_4715.mov","MOV")</f>
        <v>21</v>
      </c>
      <c r="M11081" t="s" s="10">
        <v>29</v>
      </c>
      <c r="N11081" s="17">
        <v>12</v>
      </c>
      <c r="O11081" s="18">
        <v>1960</v>
      </c>
      <c r="P11081" s="18">
        <v>1990</v>
      </c>
      <c r="Q11081" s="15"/>
      <c r="R11081" t="s" s="16">
        <f>HYPERLINK("http://secrets.rutgers.edu:8080/data/asl-ftp/asllvd/demos/verify_start_end_handshape_annotations//test_auto_move//signs_mov_separ_signers/Naomi_4715.mov","MOV")</f>
        <v>21</v>
      </c>
    </row>
    <row r="11082" s="2" customFormat="1" ht="13.5" customHeight="1">
      <c r="B11082" s="13"/>
      <c r="C11082" t="s" s="9">
        <v>30</v>
      </c>
      <c r="D11082" t="s" s="8">
        <v>4126</v>
      </c>
      <c r="E11082" t="s" s="9">
        <v>4129</v>
      </c>
      <c r="F11082" t="s" s="10">
        <v>282</v>
      </c>
      <c r="G11082" s="14"/>
      <c r="H11082" t="s" s="10">
        <v>282</v>
      </c>
      <c r="I11082" s="14"/>
      <c r="J11082" t="s" s="11">
        <v>20</v>
      </c>
      <c r="K11082" s="15"/>
      <c r="L11082" t="s" s="16">
        <f>HYPERLINK("http://csr.bu.edu/ftp/asl/asllvd/demos/verify_start_end_handshape_annotations//test_auto_move//signs_mov_separ_signers/Brady_4715.mov","MOV")</f>
        <v>21</v>
      </c>
      <c r="M11082" t="s" s="10">
        <v>31</v>
      </c>
      <c r="N11082" s="17">
        <v>12</v>
      </c>
      <c r="O11082" s="18">
        <v>6867</v>
      </c>
      <c r="P11082" s="18">
        <v>6905</v>
      </c>
      <c r="Q11082" s="15"/>
      <c r="R11082" t="s" s="16">
        <f>HYPERLINK("http://secrets.rutgers.edu:8080/data/asl-ftp/asllvd/demos/verify_start_end_handshape_annotations//test_auto_move//signs_mov_separ_signers/Brady_4715.mov","MOV")</f>
        <v>21</v>
      </c>
    </row>
    <row r="11083" s="2" customFormat="1" ht="13.5" customHeight="1">
      <c r="B11083" t="s" s="8">
        <v>52</v>
      </c>
      <c r="C11083" t="s" s="9">
        <v>53</v>
      </c>
      <c r="D11083" t="s" s="8">
        <v>53</v>
      </c>
      <c r="E11083" t="s" s="9">
        <v>53</v>
      </c>
      <c r="F11083" t="s" s="10">
        <v>53</v>
      </c>
      <c r="G11083" t="s" s="11">
        <v>53</v>
      </c>
      <c r="H11083" t="s" s="10">
        <v>53</v>
      </c>
      <c r="I11083" t="s" s="11">
        <v>53</v>
      </c>
      <c r="J11083" t="s" s="11">
        <v>53</v>
      </c>
      <c r="K11083" t="s" s="12">
        <v>53</v>
      </c>
      <c r="L11083" t="s" s="12">
        <v>53</v>
      </c>
      <c r="M11083" t="s" s="10">
        <v>53</v>
      </c>
      <c r="N11083" t="s" s="11">
        <v>53</v>
      </c>
      <c r="O11083" t="s" s="8">
        <v>53</v>
      </c>
      <c r="P11083" t="s" s="8">
        <v>53</v>
      </c>
      <c r="Q11083" t="s" s="12">
        <v>53</v>
      </c>
      <c r="R11083" t="s" s="12">
        <v>53</v>
      </c>
    </row>
    <row r="11084" s="2" customFormat="1" ht="13.5" customHeight="1">
      <c r="B11084" s="13"/>
      <c r="C11084" t="s" s="9">
        <v>16</v>
      </c>
      <c r="D11084" t="s" s="8">
        <v>4126</v>
      </c>
      <c r="E11084" t="s" s="9">
        <v>4130</v>
      </c>
      <c r="F11084" t="s" s="10">
        <v>282</v>
      </c>
      <c r="G11084" t="s" s="11">
        <v>282</v>
      </c>
      <c r="H11084" t="s" s="10">
        <v>282</v>
      </c>
      <c r="I11084" t="s" s="11">
        <v>282</v>
      </c>
      <c r="J11084" t="s" s="11">
        <v>20</v>
      </c>
      <c r="K11084" t="s" s="16">
        <f>HYPERLINK("http://csr.bu.edu/ftp/asl/asllvd/demos/verify_start_end_handshape_annotations//test_auto_move//signs_mov/16131.mov","MOV")</f>
        <v>21</v>
      </c>
      <c r="L11084" t="s" s="16">
        <f>HYPERLINK("http://csr.bu.edu/ftp/asl/asllvd/demos/verify_start_end_handshape_annotations//test_auto_move//signs_mov_separ_signers/Liz_16131.mov","MOV")</f>
        <v>21</v>
      </c>
      <c r="M11084" t="s" s="10">
        <v>36</v>
      </c>
      <c r="N11084" s="17">
        <v>29</v>
      </c>
      <c r="O11084" s="18">
        <v>1934</v>
      </c>
      <c r="P11084" s="18">
        <v>1985</v>
      </c>
      <c r="Q11084" t="s" s="16">
        <f>HYPERLINK("http://secrets.rutgers.edu:8080/data/asl-ftp/asllvd/demos/verify_start_end_handshape_annotations//test_auto_move//signs_mov/16131.mov","MOV")</f>
        <v>21</v>
      </c>
      <c r="R11084" t="s" s="16">
        <f>HYPERLINK("http://secrets.rutgers.edu:8080/data/asl-ftp/asllvd/demos/verify_start_end_handshape_annotations//test_auto_move//signs_mov_separ_signers/Liz_16131.mov","MOV")</f>
        <v>21</v>
      </c>
    </row>
    <row r="11085" s="2" customFormat="1" ht="13.5" customHeight="1">
      <c r="B11085" s="13"/>
      <c r="C11085" t="s" s="9">
        <v>30</v>
      </c>
      <c r="D11085" t="s" s="8">
        <v>4126</v>
      </c>
      <c r="E11085" t="s" s="9">
        <v>4130</v>
      </c>
      <c r="F11085" t="s" s="10">
        <v>282</v>
      </c>
      <c r="G11085" t="s" s="11">
        <v>282</v>
      </c>
      <c r="H11085" t="s" s="10">
        <v>282</v>
      </c>
      <c r="I11085" t="s" s="11">
        <v>282</v>
      </c>
      <c r="J11085" t="s" s="11">
        <v>20</v>
      </c>
      <c r="K11085" s="15"/>
      <c r="L11085" t="s" s="16">
        <f>HYPERLINK("http://csr.bu.edu/ftp/asl/asllvd/demos/verify_start_end_handshape_annotations//test_auto_move//signs_mov_separ_signers/Brady_16131.mov","MOV")</f>
        <v>21</v>
      </c>
      <c r="M11085" t="s" s="10">
        <v>40</v>
      </c>
      <c r="N11085" s="17">
        <v>80</v>
      </c>
      <c r="O11085" s="18">
        <v>3882</v>
      </c>
      <c r="P11085" s="18">
        <v>3915</v>
      </c>
      <c r="Q11085" s="15"/>
      <c r="R11085" t="s" s="16">
        <f>HYPERLINK("http://secrets.rutgers.edu:8080/data/asl-ftp/asllvd/demos/verify_start_end_handshape_annotations//test_auto_move//signs_mov_separ_signers/Brady_16131.mov","MOV")</f>
        <v>21</v>
      </c>
    </row>
    <row r="11086" s="2" customFormat="1" ht="13.5" customHeight="1">
      <c r="B11086" t="s" s="8">
        <v>4131</v>
      </c>
      <c r="C11086" t="s" s="9">
        <v>14</v>
      </c>
      <c r="D11086" t="s" s="8">
        <v>14</v>
      </c>
      <c r="E11086" t="s" s="9">
        <v>14</v>
      </c>
      <c r="F11086" t="s" s="10">
        <v>14</v>
      </c>
      <c r="G11086" t="s" s="11">
        <v>14</v>
      </c>
      <c r="H11086" t="s" s="10">
        <v>14</v>
      </c>
      <c r="I11086" t="s" s="11">
        <v>14</v>
      </c>
      <c r="J11086" t="s" s="11">
        <v>14</v>
      </c>
      <c r="K11086" t="s" s="12">
        <v>14</v>
      </c>
      <c r="L11086" t="s" s="12">
        <v>14</v>
      </c>
      <c r="M11086" t="s" s="10">
        <v>14</v>
      </c>
      <c r="N11086" t="s" s="11">
        <v>14</v>
      </c>
      <c r="O11086" t="s" s="8">
        <v>14</v>
      </c>
      <c r="P11086" t="s" s="8">
        <v>14</v>
      </c>
      <c r="Q11086" t="s" s="12">
        <v>14</v>
      </c>
      <c r="R11086" t="s" s="12">
        <v>14</v>
      </c>
    </row>
    <row r="11087" s="2" customFormat="1" ht="13.5" customHeight="1">
      <c r="B11087" s="13"/>
      <c r="C11087" t="s" s="9">
        <v>16</v>
      </c>
      <c r="D11087" t="s" s="8">
        <v>4131</v>
      </c>
      <c r="E11087" t="s" s="9">
        <v>4131</v>
      </c>
      <c r="F11087" t="s" s="10">
        <v>72</v>
      </c>
      <c r="G11087" t="s" s="11">
        <v>72</v>
      </c>
      <c r="H11087" t="s" s="10">
        <v>72</v>
      </c>
      <c r="I11087" t="s" s="11">
        <v>72</v>
      </c>
      <c r="J11087" t="s" s="11">
        <v>20</v>
      </c>
      <c r="K11087" s="15"/>
      <c r="L11087" t="s" s="16">
        <f>HYPERLINK("http://csr.bu.edu/ftp/asl/asllvd/demos/verify_start_end_handshape_annotations//test_auto_move//signs_mov_separ_signers/Liz_4721.mov","MOV")</f>
        <v>21</v>
      </c>
      <c r="M11087" t="s" s="10">
        <v>84</v>
      </c>
      <c r="N11087" s="17">
        <v>43</v>
      </c>
      <c r="O11087" s="18">
        <v>1055</v>
      </c>
      <c r="P11087" s="18">
        <v>1075</v>
      </c>
      <c r="Q11087" s="15"/>
      <c r="R11087" t="s" s="16">
        <f>HYPERLINK("http://secrets.rutgers.edu:8080/data/asl-ftp/asllvd/demos/verify_start_end_handshape_annotations//test_auto_move//signs_mov_separ_signers/Liz_4721.mov","MOV")</f>
        <v>21</v>
      </c>
    </row>
    <row r="11088" s="2" customFormat="1" ht="13.5" customHeight="1">
      <c r="B11088" s="13"/>
      <c r="C11088" t="s" s="9">
        <v>16</v>
      </c>
      <c r="D11088" t="s" s="8">
        <v>4131</v>
      </c>
      <c r="E11088" t="s" s="9">
        <v>4131</v>
      </c>
      <c r="F11088" t="s" s="10">
        <v>72</v>
      </c>
      <c r="G11088" t="s" s="11">
        <v>72</v>
      </c>
      <c r="H11088" t="s" s="10">
        <v>72</v>
      </c>
      <c r="I11088" t="s" s="11">
        <v>72</v>
      </c>
      <c r="J11088" t="s" s="11">
        <v>20</v>
      </c>
      <c r="K11088" s="15"/>
      <c r="L11088" t="s" s="16">
        <f>HYPERLINK("http://csr.bu.edu/ftp/asl/asllvd/demos/verify_start_end_handshape_annotations//test_auto_move//signs_mov_separ_signers/Liz_15991.mov","MOV")</f>
        <v>21</v>
      </c>
      <c r="M11088" t="s" s="10">
        <v>34</v>
      </c>
      <c r="N11088" s="17">
        <v>58</v>
      </c>
      <c r="O11088" s="18">
        <v>2785</v>
      </c>
      <c r="P11088" s="18">
        <v>2830</v>
      </c>
      <c r="Q11088" s="15"/>
      <c r="R11088" t="s" s="16">
        <f>HYPERLINK("http://secrets.rutgers.edu:8080/data/asl-ftp/asllvd/demos/verify_start_end_handshape_annotations//test_auto_move//signs_mov_separ_signers/Liz_15991.mov","MOV")</f>
        <v>21</v>
      </c>
    </row>
    <row r="11089" s="2" customFormat="1" ht="13.5" customHeight="1">
      <c r="B11089" s="13"/>
      <c r="C11089" t="s" s="9">
        <v>23</v>
      </c>
      <c r="D11089" t="s" s="8">
        <v>4131</v>
      </c>
      <c r="E11089" t="s" s="9">
        <v>4131</v>
      </c>
      <c r="F11089" t="s" s="10">
        <v>75</v>
      </c>
      <c r="G11089" t="s" s="11">
        <v>75</v>
      </c>
      <c r="H11089" t="s" s="10">
        <v>75</v>
      </c>
      <c r="I11089" t="s" s="11">
        <v>75</v>
      </c>
      <c r="J11089" t="s" s="11">
        <v>20</v>
      </c>
      <c r="K11089" s="15"/>
      <c r="L11089" t="s" s="16">
        <f>HYPERLINK("http://csr.bu.edu/ftp/asl/asllvd/demos/verify_start_end_handshape_annotations//test_auto_move//signs_mov_separ_signers/Tyler_4721.mov","MOV")</f>
        <v>21</v>
      </c>
      <c r="M11089" t="s" s="10">
        <v>47</v>
      </c>
      <c r="N11089" s="17">
        <v>10</v>
      </c>
      <c r="O11089" s="18">
        <v>2770</v>
      </c>
      <c r="P11089" s="18">
        <v>2805</v>
      </c>
      <c r="Q11089" s="15"/>
      <c r="R11089" t="s" s="16">
        <f>HYPERLINK("http://secrets.rutgers.edu:8080/data/asl-ftp/asllvd/demos/verify_start_end_handshape_annotations//test_auto_move//signs_mov_separ_signers/Tyler_4721.mov","MOV")</f>
        <v>21</v>
      </c>
    </row>
    <row r="11090" s="2" customFormat="1" ht="13.5" customHeight="1">
      <c r="B11090" s="13"/>
      <c r="C11090" t="s" s="9">
        <v>27</v>
      </c>
      <c r="D11090" t="s" s="8">
        <v>4131</v>
      </c>
      <c r="E11090" t="s" s="9">
        <v>4131</v>
      </c>
      <c r="F11090" t="s" s="10">
        <v>72</v>
      </c>
      <c r="G11090" t="s" s="11">
        <v>72</v>
      </c>
      <c r="H11090" t="s" s="10">
        <v>72</v>
      </c>
      <c r="I11090" t="s" s="11">
        <v>72</v>
      </c>
      <c r="J11090" t="s" s="11">
        <v>20</v>
      </c>
      <c r="K11090" t="s" s="16">
        <f>HYPERLINK("http://csr.bu.edu/ftp/asl/asllvd/demos/verify_start_end_handshape_annotations//test_auto_move//signs_mov/4721_15991_merged.mov","MOV")</f>
        <v>21</v>
      </c>
      <c r="L11090" t="s" s="16">
        <f>HYPERLINK("http://csr.bu.edu/ftp/asl/asllvd/demos/verify_start_end_handshape_annotations//test_auto_move//signs_mov_separ_signers/Naomi_4721.mov","MOV")</f>
        <v>21</v>
      </c>
      <c r="M11090" t="s" s="10">
        <v>86</v>
      </c>
      <c r="N11090" s="17">
        <v>43</v>
      </c>
      <c r="O11090" s="18">
        <v>972</v>
      </c>
      <c r="P11090" s="18">
        <v>995</v>
      </c>
      <c r="Q11090" t="s" s="16">
        <f>HYPERLINK("http://secrets.rutgers.edu:8080/data/asl-ftp/asllvd/demos/verify_start_end_handshape_annotations//test_auto_move//signs_mov/4721_15991_merged.mov","MOV")</f>
        <v>21</v>
      </c>
      <c r="R11090" t="s" s="16">
        <f>HYPERLINK("http://secrets.rutgers.edu:8080/data/asl-ftp/asllvd/demos/verify_start_end_handshape_annotations//test_auto_move//signs_mov_separ_signers/Naomi_4721.mov","MOV")</f>
        <v>21</v>
      </c>
    </row>
    <row r="11091" s="2" customFormat="1" ht="13.5" customHeight="1">
      <c r="B11091" s="13"/>
      <c r="C11091" t="s" s="9">
        <v>27</v>
      </c>
      <c r="D11091" t="s" s="8">
        <v>4131</v>
      </c>
      <c r="E11091" t="s" s="9">
        <v>4131</v>
      </c>
      <c r="F11091" t="s" s="10">
        <v>72</v>
      </c>
      <c r="G11091" t="s" s="11">
        <v>72</v>
      </c>
      <c r="H11091" t="s" s="10">
        <v>72</v>
      </c>
      <c r="I11091" t="s" s="11">
        <v>72</v>
      </c>
      <c r="J11091" t="s" s="11">
        <v>20</v>
      </c>
      <c r="K11091" s="15"/>
      <c r="L11091" t="s" s="16">
        <f>HYPERLINK("http://csr.bu.edu/ftp/asl/asllvd/demos/verify_start_end_handshape_annotations//test_auto_move//signs_mov_separ_signers/Naomi_15991.mov","MOV")</f>
        <v>21</v>
      </c>
      <c r="M11091" t="s" s="10">
        <v>48</v>
      </c>
      <c r="N11091" s="17">
        <v>13</v>
      </c>
      <c r="O11091" s="18">
        <v>1735</v>
      </c>
      <c r="P11091" s="18">
        <v>1761</v>
      </c>
      <c r="Q11091" s="15"/>
      <c r="R11091" t="s" s="16">
        <f>HYPERLINK("http://secrets.rutgers.edu:8080/data/asl-ftp/asllvd/demos/verify_start_end_handshape_annotations//test_auto_move//signs_mov_separ_signers/Naomi_15991.mov","MOV")</f>
        <v>21</v>
      </c>
    </row>
    <row r="11092" s="2" customFormat="1" ht="13.5" customHeight="1">
      <c r="B11092" s="13"/>
      <c r="C11092" t="s" s="9">
        <v>30</v>
      </c>
      <c r="D11092" t="s" s="8">
        <v>4131</v>
      </c>
      <c r="E11092" t="s" s="9">
        <v>4131</v>
      </c>
      <c r="F11092" t="s" s="10">
        <v>72</v>
      </c>
      <c r="G11092" t="s" s="11">
        <v>72</v>
      </c>
      <c r="H11092" t="s" s="10">
        <v>72</v>
      </c>
      <c r="I11092" t="s" s="11">
        <v>72</v>
      </c>
      <c r="J11092" t="s" s="11">
        <v>20</v>
      </c>
      <c r="K11092" s="15"/>
      <c r="L11092" t="s" s="16">
        <f>HYPERLINK("http://csr.bu.edu/ftp/asl/asllvd/demos/verify_start_end_handshape_annotations//test_auto_move//signs_mov_separ_signers/Brady_4721.mov","MOV")</f>
        <v>21</v>
      </c>
      <c r="M11092" t="s" s="10">
        <v>39</v>
      </c>
      <c r="N11092" s="17">
        <v>19</v>
      </c>
      <c r="O11092" s="18">
        <v>1674</v>
      </c>
      <c r="P11092" s="18">
        <v>1700</v>
      </c>
      <c r="Q11092" s="15"/>
      <c r="R11092" t="s" s="16">
        <f>HYPERLINK("http://secrets.rutgers.edu:8080/data/asl-ftp/asllvd/demos/verify_start_end_handshape_annotations//test_auto_move//signs_mov_separ_signers/Brady_4721.mov","MOV")</f>
        <v>21</v>
      </c>
    </row>
    <row r="11093" s="2" customFormat="1" ht="13.5" customHeight="1">
      <c r="B11093" s="13"/>
      <c r="C11093" t="s" s="9">
        <v>30</v>
      </c>
      <c r="D11093" t="s" s="8">
        <v>4131</v>
      </c>
      <c r="E11093" t="s" s="9">
        <v>4131</v>
      </c>
      <c r="F11093" t="s" s="10">
        <v>75</v>
      </c>
      <c r="G11093" t="s" s="11">
        <v>75</v>
      </c>
      <c r="H11093" t="s" s="10">
        <v>75</v>
      </c>
      <c r="I11093" t="s" s="11">
        <v>75</v>
      </c>
      <c r="J11093" t="s" s="11">
        <v>20</v>
      </c>
      <c r="K11093" s="15"/>
      <c r="L11093" t="s" s="16">
        <f>HYPERLINK("http://csr.bu.edu/ftp/asl/asllvd/demos/verify_start_end_handshape_annotations//test_auto_move//signs_mov_separ_signers/Brady_15991.mov","MOV")</f>
        <v>21</v>
      </c>
      <c r="M11093" t="s" s="10">
        <v>39</v>
      </c>
      <c r="N11093" s="17">
        <v>54</v>
      </c>
      <c r="O11093" s="18">
        <v>5637</v>
      </c>
      <c r="P11093" s="18">
        <v>5652</v>
      </c>
      <c r="Q11093" s="15"/>
      <c r="R11093" t="s" s="16">
        <f>HYPERLINK("http://secrets.rutgers.edu:8080/data/asl-ftp/asllvd/demos/verify_start_end_handshape_annotations//test_auto_move//signs_mov_separ_signers/Brady_15991.mov","MOV")</f>
        <v>21</v>
      </c>
    </row>
    <row r="11094" s="2" customFormat="1" ht="13.5" customHeight="1">
      <c r="B11094" t="s" s="8">
        <v>4132</v>
      </c>
      <c r="C11094" t="s" s="9">
        <v>14</v>
      </c>
      <c r="D11094" t="s" s="8">
        <v>14</v>
      </c>
      <c r="E11094" t="s" s="9">
        <v>14</v>
      </c>
      <c r="F11094" t="s" s="10">
        <v>14</v>
      </c>
      <c r="G11094" t="s" s="11">
        <v>14</v>
      </c>
      <c r="H11094" t="s" s="10">
        <v>14</v>
      </c>
      <c r="I11094" t="s" s="11">
        <v>14</v>
      </c>
      <c r="J11094" t="s" s="11">
        <v>14</v>
      </c>
      <c r="K11094" t="s" s="12">
        <v>14</v>
      </c>
      <c r="L11094" t="s" s="12">
        <v>14</v>
      </c>
      <c r="M11094" t="s" s="10">
        <v>14</v>
      </c>
      <c r="N11094" t="s" s="11">
        <v>14</v>
      </c>
      <c r="O11094" t="s" s="8">
        <v>14</v>
      </c>
      <c r="P11094" t="s" s="8">
        <v>14</v>
      </c>
      <c r="Q11094" t="s" s="12">
        <v>14</v>
      </c>
      <c r="R11094" t="s" s="12">
        <v>14</v>
      </c>
    </row>
    <row r="11095" s="2" customFormat="1" ht="13.5" customHeight="1">
      <c r="B11095" s="13"/>
      <c r="C11095" t="s" s="9">
        <v>16</v>
      </c>
      <c r="D11095" t="s" s="8">
        <v>4132</v>
      </c>
      <c r="E11095" t="s" s="9">
        <v>4133</v>
      </c>
      <c r="F11095" t="s" s="10">
        <v>72</v>
      </c>
      <c r="G11095" t="s" s="11">
        <v>72</v>
      </c>
      <c r="H11095" t="s" s="10">
        <v>72</v>
      </c>
      <c r="I11095" t="s" s="11">
        <v>72</v>
      </c>
      <c r="J11095" t="s" s="11">
        <v>20</v>
      </c>
      <c r="K11095" t="s" s="16">
        <f>HYPERLINK("http://csr.bu.edu/ftp/asl/asllvd/demos/verify_start_end_handshape_annotations//test_auto_move//signs_mov/16058.mov","MOV")</f>
        <v>21</v>
      </c>
      <c r="L11095" t="s" s="16">
        <f>HYPERLINK("http://csr.bu.edu/ftp/asl/asllvd/demos/verify_start_end_handshape_annotations//test_auto_move//signs_mov_separ_signers/Liz_16058.mov","MOV")</f>
        <v>21</v>
      </c>
      <c r="M11095" t="s" s="10">
        <v>36</v>
      </c>
      <c r="N11095" s="17">
        <v>18</v>
      </c>
      <c r="O11095" s="18">
        <v>3521</v>
      </c>
      <c r="P11095" s="18">
        <v>3580</v>
      </c>
      <c r="Q11095" t="s" s="16">
        <f>HYPERLINK("http://secrets.rutgers.edu:8080/data/asl-ftp/asllvd/demos/verify_start_end_handshape_annotations//test_auto_move//signs_mov/16058.mov","MOV")</f>
        <v>21</v>
      </c>
      <c r="R11095" t="s" s="16">
        <f>HYPERLINK("http://secrets.rutgers.edu:8080/data/asl-ftp/asllvd/demos/verify_start_end_handshape_annotations//test_auto_move//signs_mov_separ_signers/Liz_16058.mov","MOV")</f>
        <v>21</v>
      </c>
    </row>
    <row r="11096" s="2" customFormat="1" ht="13.5" customHeight="1">
      <c r="B11096" t="s" s="8">
        <v>4134</v>
      </c>
      <c r="C11096" t="s" s="9">
        <v>14</v>
      </c>
      <c r="D11096" t="s" s="8">
        <v>14</v>
      </c>
      <c r="E11096" t="s" s="9">
        <v>14</v>
      </c>
      <c r="F11096" t="s" s="10">
        <v>14</v>
      </c>
      <c r="G11096" t="s" s="11">
        <v>14</v>
      </c>
      <c r="H11096" t="s" s="10">
        <v>14</v>
      </c>
      <c r="I11096" t="s" s="11">
        <v>14</v>
      </c>
      <c r="J11096" t="s" s="11">
        <v>14</v>
      </c>
      <c r="K11096" t="s" s="12">
        <v>14</v>
      </c>
      <c r="L11096" t="s" s="12">
        <v>14</v>
      </c>
      <c r="M11096" t="s" s="10">
        <v>14</v>
      </c>
      <c r="N11096" t="s" s="11">
        <v>14</v>
      </c>
      <c r="O11096" t="s" s="8">
        <v>14</v>
      </c>
      <c r="P11096" t="s" s="8">
        <v>14</v>
      </c>
      <c r="Q11096" t="s" s="12">
        <v>14</v>
      </c>
      <c r="R11096" t="s" s="12">
        <v>14</v>
      </c>
    </row>
    <row r="11097" s="2" customFormat="1" ht="13.5" customHeight="1">
      <c r="B11097" s="13"/>
      <c r="C11097" t="s" s="9">
        <v>16</v>
      </c>
      <c r="D11097" t="s" s="8">
        <v>4134</v>
      </c>
      <c r="E11097" t="s" s="9">
        <v>4135</v>
      </c>
      <c r="F11097" t="s" s="10">
        <v>158</v>
      </c>
      <c r="G11097" t="s" s="11">
        <v>158</v>
      </c>
      <c r="H11097" t="s" s="10">
        <v>158</v>
      </c>
      <c r="I11097" s="17">
        <v>5</v>
      </c>
      <c r="J11097" t="s" s="11">
        <v>20</v>
      </c>
      <c r="K11097" s="15"/>
      <c r="L11097" t="s" s="16">
        <f>HYPERLINK("http://csr.bu.edu/ftp/asl/asllvd/demos/verify_start_end_handshape_annotations//test_auto_move//signs_mov_separ_signers/Liz_4739.mov","MOV")</f>
        <v>21</v>
      </c>
      <c r="M11097" t="s" s="10">
        <v>88</v>
      </c>
      <c r="N11097" s="17">
        <v>22</v>
      </c>
      <c r="O11097" s="18">
        <v>2032</v>
      </c>
      <c r="P11097" s="18">
        <v>2135</v>
      </c>
      <c r="Q11097" s="15"/>
      <c r="R11097" t="s" s="16">
        <f>HYPERLINK("http://secrets.rutgers.edu:8080/data/asl-ftp/asllvd/demos/verify_start_end_handshape_annotations//test_auto_move//signs_mov_separ_signers/Liz_4739.mov","MOV")</f>
        <v>21</v>
      </c>
    </row>
    <row r="11098" s="2" customFormat="1" ht="13.5" customHeight="1">
      <c r="B11098" s="13"/>
      <c r="C11098" t="s" s="9">
        <v>23</v>
      </c>
      <c r="D11098" t="s" s="8">
        <v>4134</v>
      </c>
      <c r="E11098" t="s" s="9">
        <v>4136</v>
      </c>
      <c r="F11098" s="19">
        <v>5</v>
      </c>
      <c r="G11098" t="s" s="11">
        <v>158</v>
      </c>
      <c r="H11098" s="19">
        <v>5</v>
      </c>
      <c r="I11098" t="s" s="11">
        <v>158</v>
      </c>
      <c r="J11098" t="s" s="11">
        <v>20</v>
      </c>
      <c r="K11098" t="s" s="16">
        <f>HYPERLINK("http://csr.bu.edu/ftp/asl/asllvd/demos/verify_start_end_handshape_annotations//test_auto_move//signs_mov/4739_16229_merged.mov","MOV")</f>
        <v>21</v>
      </c>
      <c r="L11098" t="s" s="16">
        <f>HYPERLINK("http://csr.bu.edu/ftp/asl/asllvd/demos/verify_start_end_handshape_annotations//test_auto_move//signs_mov_separ_signers/Tyler_4739.mov","MOV")</f>
        <v>21</v>
      </c>
      <c r="M11098" t="s" s="10">
        <v>37</v>
      </c>
      <c r="N11098" s="17">
        <v>10</v>
      </c>
      <c r="O11098" s="18">
        <v>4015</v>
      </c>
      <c r="P11098" s="18">
        <v>4080</v>
      </c>
      <c r="Q11098" t="s" s="16">
        <f>HYPERLINK("http://secrets.rutgers.edu:8080/data/asl-ftp/asllvd/demos/verify_start_end_handshape_annotations//test_auto_move//signs_mov/4739_16229_merged.mov","MOV")</f>
        <v>21</v>
      </c>
      <c r="R11098" t="s" s="16">
        <f>HYPERLINK("http://secrets.rutgers.edu:8080/data/asl-ftp/asllvd/demos/verify_start_end_handshape_annotations//test_auto_move//signs_mov_separ_signers/Tyler_4739.mov","MOV")</f>
        <v>21</v>
      </c>
    </row>
    <row r="11099" s="2" customFormat="1" ht="13.5" customHeight="1">
      <c r="B11099" s="13"/>
      <c r="C11099" t="s" s="9">
        <v>30</v>
      </c>
      <c r="D11099" t="s" s="8">
        <v>4134</v>
      </c>
      <c r="E11099" t="s" s="9">
        <v>4135</v>
      </c>
      <c r="F11099" t="s" s="10">
        <v>283</v>
      </c>
      <c r="G11099" t="s" s="11">
        <v>158</v>
      </c>
      <c r="H11099" s="19">
        <v>5</v>
      </c>
      <c r="I11099" t="s" s="11">
        <v>158</v>
      </c>
      <c r="J11099" t="s" s="11">
        <v>20</v>
      </c>
      <c r="K11099" s="15"/>
      <c r="L11099" t="s" s="16">
        <f>HYPERLINK("http://csr.bu.edu/ftp/asl/asllvd/demos/verify_start_end_handshape_annotations//test_auto_move//signs_mov_separ_signers/Brady_4739.mov","MOV")</f>
        <v>21</v>
      </c>
      <c r="M11099" t="s" s="10">
        <v>39</v>
      </c>
      <c r="N11099" s="17">
        <v>42</v>
      </c>
      <c r="O11099" s="18">
        <v>10585</v>
      </c>
      <c r="P11099" s="18">
        <v>10622</v>
      </c>
      <c r="Q11099" s="15"/>
      <c r="R11099" t="s" s="16">
        <f>HYPERLINK("http://secrets.rutgers.edu:8080/data/asl-ftp/asllvd/demos/verify_start_end_handshape_annotations//test_auto_move//signs_mov_separ_signers/Brady_4739.mov","MOV")</f>
        <v>21</v>
      </c>
    </row>
    <row r="11100" s="2" customFormat="1" ht="13.5" customHeight="1">
      <c r="B11100" s="13"/>
      <c r="C11100" t="s" s="9">
        <v>30</v>
      </c>
      <c r="D11100" t="s" s="8">
        <v>4134</v>
      </c>
      <c r="E11100" t="s" s="9">
        <v>4135</v>
      </c>
      <c r="F11100" t="s" s="10">
        <v>158</v>
      </c>
      <c r="G11100" t="s" s="11">
        <v>158</v>
      </c>
      <c r="H11100" t="s" s="10">
        <v>158</v>
      </c>
      <c r="I11100" t="s" s="11">
        <v>158</v>
      </c>
      <c r="J11100" t="s" s="11">
        <v>20</v>
      </c>
      <c r="K11100" s="15"/>
      <c r="L11100" t="s" s="16">
        <f>HYPERLINK("http://csr.bu.edu/ftp/asl/asllvd/demos/verify_start_end_handshape_annotations//test_auto_move//signs_mov_separ_signers/Brady_16229.mov","MOV")</f>
        <v>21</v>
      </c>
      <c r="M11100" t="s" s="10">
        <v>40</v>
      </c>
      <c r="N11100" s="17">
        <v>18</v>
      </c>
      <c r="O11100" s="18">
        <v>190</v>
      </c>
      <c r="P11100" s="18">
        <v>252</v>
      </c>
      <c r="Q11100" s="15"/>
      <c r="R11100" t="s" s="16">
        <f>HYPERLINK("http://secrets.rutgers.edu:8080/data/asl-ftp/asllvd/demos/verify_start_end_handshape_annotations//test_auto_move//signs_mov_separ_signers/Brady_16229.mov","MOV")</f>
        <v>21</v>
      </c>
    </row>
    <row r="11101" s="2" customFormat="1" ht="13.5" customHeight="1">
      <c r="B11101" t="s" s="8">
        <v>4137</v>
      </c>
      <c r="C11101" t="s" s="9">
        <v>14</v>
      </c>
      <c r="D11101" t="s" s="8">
        <v>14</v>
      </c>
      <c r="E11101" t="s" s="9">
        <v>14</v>
      </c>
      <c r="F11101" t="s" s="10">
        <v>14</v>
      </c>
      <c r="G11101" t="s" s="11">
        <v>14</v>
      </c>
      <c r="H11101" t="s" s="10">
        <v>14</v>
      </c>
      <c r="I11101" t="s" s="11">
        <v>14</v>
      </c>
      <c r="J11101" t="s" s="11">
        <v>14</v>
      </c>
      <c r="K11101" t="s" s="12">
        <v>14</v>
      </c>
      <c r="L11101" t="s" s="12">
        <v>14</v>
      </c>
      <c r="M11101" t="s" s="10">
        <v>14</v>
      </c>
      <c r="N11101" t="s" s="11">
        <v>14</v>
      </c>
      <c r="O11101" t="s" s="8">
        <v>14</v>
      </c>
      <c r="P11101" t="s" s="8">
        <v>14</v>
      </c>
      <c r="Q11101" t="s" s="12">
        <v>14</v>
      </c>
      <c r="R11101" t="s" s="12">
        <v>14</v>
      </c>
    </row>
    <row r="11102" s="2" customFormat="1" ht="13.5" customHeight="1">
      <c r="B11102" s="13"/>
      <c r="C11102" t="s" s="9">
        <v>16</v>
      </c>
      <c r="D11102" t="s" s="8">
        <v>4137</v>
      </c>
      <c r="E11102" t="s" s="9">
        <v>4137</v>
      </c>
      <c r="F11102" s="19">
        <v>5</v>
      </c>
      <c r="G11102" t="s" s="11">
        <v>260</v>
      </c>
      <c r="H11102" s="19">
        <v>5</v>
      </c>
      <c r="I11102" t="s" s="11">
        <v>260</v>
      </c>
      <c r="J11102" t="s" s="11">
        <v>20</v>
      </c>
      <c r="K11102" t="s" s="16">
        <f>HYPERLINK("http://csr.bu.edu/ftp/asl/asllvd/demos/verify_start_end_handshape_annotations//test_auto_move//signs_mov/16231.mov","MOV")</f>
        <v>21</v>
      </c>
      <c r="L11102" t="s" s="16">
        <f>HYPERLINK("http://csr.bu.edu/ftp/asl/asllvd/demos/verify_start_end_handshape_annotations//test_auto_move//signs_mov_separ_signers/Liz_16231.mov","MOV")</f>
        <v>21</v>
      </c>
      <c r="M11102" t="s" s="10">
        <v>34</v>
      </c>
      <c r="N11102" s="17">
        <v>37</v>
      </c>
      <c r="O11102" s="18">
        <v>555</v>
      </c>
      <c r="P11102" s="18">
        <v>650</v>
      </c>
      <c r="Q11102" t="s" s="16">
        <f>HYPERLINK("http://secrets.rutgers.edu:8080/data/asl-ftp/asllvd/demos/verify_start_end_handshape_annotations//test_auto_move//signs_mov/16231.mov","MOV")</f>
        <v>21</v>
      </c>
      <c r="R11102" t="s" s="16">
        <f>HYPERLINK("http://secrets.rutgers.edu:8080/data/asl-ftp/asllvd/demos/verify_start_end_handshape_annotations//test_auto_move//signs_mov_separ_signers/Liz_16231.mov","MOV")</f>
        <v>21</v>
      </c>
    </row>
    <row r="11103" s="2" customFormat="1" ht="13.5" customHeight="1">
      <c r="B11103" t="s" s="8">
        <v>4138</v>
      </c>
      <c r="C11103" t="s" s="9">
        <v>14</v>
      </c>
      <c r="D11103" t="s" s="8">
        <v>14</v>
      </c>
      <c r="E11103" t="s" s="9">
        <v>14</v>
      </c>
      <c r="F11103" t="s" s="10">
        <v>14</v>
      </c>
      <c r="G11103" t="s" s="11">
        <v>14</v>
      </c>
      <c r="H11103" t="s" s="10">
        <v>14</v>
      </c>
      <c r="I11103" t="s" s="11">
        <v>14</v>
      </c>
      <c r="J11103" t="s" s="11">
        <v>14</v>
      </c>
      <c r="K11103" t="s" s="12">
        <v>14</v>
      </c>
      <c r="L11103" t="s" s="12">
        <v>14</v>
      </c>
      <c r="M11103" t="s" s="10">
        <v>14</v>
      </c>
      <c r="N11103" t="s" s="11">
        <v>14</v>
      </c>
      <c r="O11103" t="s" s="8">
        <v>14</v>
      </c>
      <c r="P11103" t="s" s="8">
        <v>14</v>
      </c>
      <c r="Q11103" t="s" s="12">
        <v>14</v>
      </c>
      <c r="R11103" t="s" s="12">
        <v>14</v>
      </c>
    </row>
    <row r="11104" s="2" customFormat="1" ht="13.5" customHeight="1">
      <c r="B11104" s="13"/>
      <c r="C11104" t="s" s="9">
        <v>16</v>
      </c>
      <c r="D11104" t="s" s="8">
        <v>4138</v>
      </c>
      <c r="E11104" t="s" s="9">
        <v>4138</v>
      </c>
      <c r="F11104" t="s" s="10">
        <v>185</v>
      </c>
      <c r="G11104" s="14"/>
      <c r="H11104" t="s" s="10">
        <v>185</v>
      </c>
      <c r="I11104" s="14"/>
      <c r="J11104" t="s" s="11">
        <v>20</v>
      </c>
      <c r="K11104" s="15"/>
      <c r="L11104" t="s" s="16">
        <f>HYPERLINK("http://csr.bu.edu/ftp/asl/asllvd/demos/verify_start_end_handshape_annotations//test_auto_move//signs_mov_separ_signers/Liz_4742.mov","MOV")</f>
        <v>21</v>
      </c>
      <c r="M11104" t="s" s="10">
        <v>22</v>
      </c>
      <c r="N11104" s="17">
        <v>70</v>
      </c>
      <c r="O11104" s="18">
        <v>1535</v>
      </c>
      <c r="P11104" s="18">
        <v>1575</v>
      </c>
      <c r="Q11104" s="15"/>
      <c r="R11104" t="s" s="16">
        <f>HYPERLINK("http://secrets.rutgers.edu:8080/data/asl-ftp/asllvd/demos/verify_start_end_handshape_annotations//test_auto_move//signs_mov_separ_signers/Liz_4742.mov","MOV")</f>
        <v>21</v>
      </c>
    </row>
    <row r="11105" s="2" customFormat="1" ht="13.5" customHeight="1">
      <c r="B11105" s="13"/>
      <c r="C11105" t="s" s="9">
        <v>23</v>
      </c>
      <c r="D11105" t="s" s="8">
        <v>4138</v>
      </c>
      <c r="E11105" t="s" s="9">
        <v>4138</v>
      </c>
      <c r="F11105" t="s" s="10">
        <v>185</v>
      </c>
      <c r="G11105" s="14"/>
      <c r="H11105" t="s" s="10">
        <v>185</v>
      </c>
      <c r="I11105" s="14"/>
      <c r="J11105" t="s" s="11">
        <v>20</v>
      </c>
      <c r="K11105" t="s" s="16">
        <f>HYPERLINK("http://csr.bu.edu/ftp/asl/asllvd/demos/verify_start_end_handshape_annotations//test_auto_move//signs_mov/4742.mov","MOV")</f>
        <v>21</v>
      </c>
      <c r="L11105" t="s" s="16">
        <f>HYPERLINK("http://csr.bu.edu/ftp/asl/asllvd/demos/verify_start_end_handshape_annotations//test_auto_move//signs_mov_separ_signers/Tyler_4742.mov","MOV")</f>
        <v>21</v>
      </c>
      <c r="M11105" t="s" s="10">
        <v>26</v>
      </c>
      <c r="N11105" s="17">
        <v>43</v>
      </c>
      <c r="O11105" s="18">
        <v>2420</v>
      </c>
      <c r="P11105" s="18">
        <v>2455</v>
      </c>
      <c r="Q11105" t="s" s="16">
        <f>HYPERLINK("http://secrets.rutgers.edu:8080/data/asl-ftp/asllvd/demos/verify_start_end_handshape_annotations//test_auto_move//signs_mov/4742.mov","MOV")</f>
        <v>21</v>
      </c>
      <c r="R11105" t="s" s="16">
        <f>HYPERLINK("http://secrets.rutgers.edu:8080/data/asl-ftp/asllvd/demos/verify_start_end_handshape_annotations//test_auto_move//signs_mov_separ_signers/Tyler_4742.mov","MOV")</f>
        <v>21</v>
      </c>
    </row>
    <row r="11106" s="2" customFormat="1" ht="13.5" customHeight="1">
      <c r="B11106" s="13"/>
      <c r="C11106" t="s" s="9">
        <v>27</v>
      </c>
      <c r="D11106" t="s" s="8">
        <v>4138</v>
      </c>
      <c r="E11106" t="s" s="9">
        <v>4138</v>
      </c>
      <c r="F11106" t="s" s="10">
        <v>185</v>
      </c>
      <c r="G11106" s="14"/>
      <c r="H11106" t="s" s="10">
        <v>185</v>
      </c>
      <c r="I11106" s="14"/>
      <c r="J11106" t="s" s="11">
        <v>20</v>
      </c>
      <c r="K11106" s="15"/>
      <c r="L11106" t="s" s="16">
        <f>HYPERLINK("http://csr.bu.edu/ftp/asl/asllvd/demos/verify_start_end_handshape_annotations//test_auto_move//signs_mov_separ_signers/Naomi_4742.mov","MOV")</f>
        <v>21</v>
      </c>
      <c r="M11106" t="s" s="10">
        <v>29</v>
      </c>
      <c r="N11106" s="17">
        <v>44</v>
      </c>
      <c r="O11106" s="18">
        <v>3360</v>
      </c>
      <c r="P11106" s="18">
        <v>3400</v>
      </c>
      <c r="Q11106" s="15"/>
      <c r="R11106" t="s" s="16">
        <f>HYPERLINK("http://secrets.rutgers.edu:8080/data/asl-ftp/asllvd/demos/verify_start_end_handshape_annotations//test_auto_move//signs_mov_separ_signers/Naomi_4742.mov","MOV")</f>
        <v>21</v>
      </c>
    </row>
    <row r="11107" s="2" customFormat="1" ht="13.5" customHeight="1">
      <c r="B11107" t="s" s="8">
        <v>4139</v>
      </c>
      <c r="C11107" t="s" s="9">
        <v>14</v>
      </c>
      <c r="D11107" t="s" s="8">
        <v>14</v>
      </c>
      <c r="E11107" t="s" s="9">
        <v>14</v>
      </c>
      <c r="F11107" t="s" s="10">
        <v>14</v>
      </c>
      <c r="G11107" t="s" s="11">
        <v>14</v>
      </c>
      <c r="H11107" t="s" s="10">
        <v>14</v>
      </c>
      <c r="I11107" t="s" s="11">
        <v>14</v>
      </c>
      <c r="J11107" t="s" s="11">
        <v>14</v>
      </c>
      <c r="K11107" t="s" s="12">
        <v>14</v>
      </c>
      <c r="L11107" t="s" s="12">
        <v>14</v>
      </c>
      <c r="M11107" t="s" s="10">
        <v>14</v>
      </c>
      <c r="N11107" t="s" s="11">
        <v>14</v>
      </c>
      <c r="O11107" t="s" s="8">
        <v>14</v>
      </c>
      <c r="P11107" t="s" s="8">
        <v>14</v>
      </c>
      <c r="Q11107" t="s" s="12">
        <v>14</v>
      </c>
      <c r="R11107" t="s" s="12">
        <v>14</v>
      </c>
    </row>
    <row r="11108" s="2" customFormat="1" ht="13.5" customHeight="1">
      <c r="B11108" s="13"/>
      <c r="C11108" t="s" s="9">
        <v>16</v>
      </c>
      <c r="D11108" t="s" s="8">
        <v>4139</v>
      </c>
      <c r="E11108" t="s" s="9">
        <v>4139</v>
      </c>
      <c r="F11108" t="s" s="10">
        <v>185</v>
      </c>
      <c r="G11108" t="s" s="11">
        <v>73</v>
      </c>
      <c r="H11108" t="s" s="10">
        <v>185</v>
      </c>
      <c r="I11108" t="s" s="11">
        <v>73</v>
      </c>
      <c r="J11108" t="s" s="11">
        <v>20</v>
      </c>
      <c r="K11108" t="s" s="16">
        <f>HYPERLINK("http://csr.bu.edu/ftp/asl/asllvd/demos/verify_start_end_handshape_annotations//test_auto_move//signs_mov/16356.mov","MOV")</f>
        <v>21</v>
      </c>
      <c r="L11108" t="s" s="16">
        <f>HYPERLINK("http://csr.bu.edu/ftp/asl/asllvd/demos/verify_start_end_handshape_annotations//test_auto_move//signs_mov_separ_signers/Liz_16356.mov","MOV")</f>
        <v>21</v>
      </c>
      <c r="M11108" t="s" s="10">
        <v>22</v>
      </c>
      <c r="N11108" s="17">
        <v>70</v>
      </c>
      <c r="O11108" s="18">
        <v>1770</v>
      </c>
      <c r="P11108" s="18">
        <v>1810</v>
      </c>
      <c r="Q11108" t="s" s="16">
        <f>HYPERLINK("http://secrets.rutgers.edu:8080/data/asl-ftp/asllvd/demos/verify_start_end_handshape_annotations//test_auto_move//signs_mov/16356.mov","MOV")</f>
        <v>21</v>
      </c>
      <c r="R11108" t="s" s="16">
        <f>HYPERLINK("http://secrets.rutgers.edu:8080/data/asl-ftp/asllvd/demos/verify_start_end_handshape_annotations//test_auto_move//signs_mov_separ_signers/Liz_16356.mov","MOV")</f>
        <v>21</v>
      </c>
    </row>
    <row r="11109" s="2" customFormat="1" ht="13.5" customHeight="1">
      <c r="B11109" s="13"/>
      <c r="C11109" t="s" s="9">
        <v>27</v>
      </c>
      <c r="D11109" t="s" s="8">
        <v>4139</v>
      </c>
      <c r="E11109" t="s" s="9">
        <v>4139</v>
      </c>
      <c r="F11109" t="s" s="10">
        <v>185</v>
      </c>
      <c r="G11109" t="s" s="11">
        <v>73</v>
      </c>
      <c r="H11109" t="s" s="10">
        <v>185</v>
      </c>
      <c r="I11109" t="s" s="11">
        <v>73</v>
      </c>
      <c r="J11109" t="s" s="11">
        <v>20</v>
      </c>
      <c r="K11109" s="15"/>
      <c r="L11109" t="s" s="16">
        <f>HYPERLINK("http://csr.bu.edu/ftp/asl/asllvd/demos/verify_start_end_handshape_annotations//test_auto_move//signs_mov_separ_signers/Naomi_16356.mov","MOV")</f>
        <v>21</v>
      </c>
      <c r="M11109" t="s" s="10">
        <v>29</v>
      </c>
      <c r="N11109" s="17">
        <v>44</v>
      </c>
      <c r="O11109" s="18">
        <v>3626</v>
      </c>
      <c r="P11109" s="18">
        <v>3660</v>
      </c>
      <c r="Q11109" s="15"/>
      <c r="R11109" t="s" s="16">
        <f>HYPERLINK("http://secrets.rutgers.edu:8080/data/asl-ftp/asllvd/demos/verify_start_end_handshape_annotations//test_auto_move//signs_mov_separ_signers/Naomi_16356.mov","MOV")</f>
        <v>21</v>
      </c>
    </row>
    <row r="11110" s="2" customFormat="1" ht="13.5" customHeight="1">
      <c r="B11110" t="s" s="8">
        <v>4140</v>
      </c>
      <c r="C11110" t="s" s="9">
        <v>14</v>
      </c>
      <c r="D11110" t="s" s="8">
        <v>14</v>
      </c>
      <c r="E11110" t="s" s="9">
        <v>14</v>
      </c>
      <c r="F11110" t="s" s="10">
        <v>14</v>
      </c>
      <c r="G11110" t="s" s="11">
        <v>14</v>
      </c>
      <c r="H11110" t="s" s="10">
        <v>14</v>
      </c>
      <c r="I11110" t="s" s="11">
        <v>14</v>
      </c>
      <c r="J11110" t="s" s="11">
        <v>14</v>
      </c>
      <c r="K11110" t="s" s="12">
        <v>14</v>
      </c>
      <c r="L11110" t="s" s="12">
        <v>14</v>
      </c>
      <c r="M11110" t="s" s="10">
        <v>14</v>
      </c>
      <c r="N11110" t="s" s="11">
        <v>14</v>
      </c>
      <c r="O11110" t="s" s="8">
        <v>14</v>
      </c>
      <c r="P11110" t="s" s="8">
        <v>14</v>
      </c>
      <c r="Q11110" t="s" s="12">
        <v>14</v>
      </c>
      <c r="R11110" t="s" s="12">
        <v>14</v>
      </c>
    </row>
    <row r="11111" s="2" customFormat="1" ht="13.5" customHeight="1">
      <c r="B11111" s="13"/>
      <c r="C11111" t="s" s="9">
        <v>16</v>
      </c>
      <c r="D11111" t="s" s="8">
        <v>4140</v>
      </c>
      <c r="E11111" t="s" s="9">
        <v>4140</v>
      </c>
      <c r="F11111" s="19">
        <v>5</v>
      </c>
      <c r="G11111" s="17">
        <v>5</v>
      </c>
      <c r="H11111" t="s" s="10">
        <v>68</v>
      </c>
      <c r="I11111" t="s" s="11">
        <v>68</v>
      </c>
      <c r="J11111" t="s" s="11">
        <v>20</v>
      </c>
      <c r="K11111" s="15"/>
      <c r="L11111" t="s" s="16">
        <f>HYPERLINK("http://csr.bu.edu/ftp/asl/asllvd/demos/verify_start_end_handshape_annotations//test_auto_move//signs_mov_separ_signers/Liz_4747.mov","MOV")</f>
        <v>21</v>
      </c>
      <c r="M11111" t="s" s="10">
        <v>84</v>
      </c>
      <c r="N11111" s="17">
        <v>2</v>
      </c>
      <c r="O11111" s="18">
        <v>3365</v>
      </c>
      <c r="P11111" s="18">
        <v>3400</v>
      </c>
      <c r="Q11111" s="15"/>
      <c r="R11111" t="s" s="16">
        <f>HYPERLINK("http://secrets.rutgers.edu:8080/data/asl-ftp/asllvd/demos/verify_start_end_handshape_annotations//test_auto_move//signs_mov_separ_signers/Liz_4747.mov","MOV")</f>
        <v>21</v>
      </c>
    </row>
    <row r="11112" s="2" customFormat="1" ht="13.5" customHeight="1">
      <c r="B11112" s="13"/>
      <c r="C11112" t="s" s="9">
        <v>23</v>
      </c>
      <c r="D11112" t="s" s="8">
        <v>4140</v>
      </c>
      <c r="E11112" t="s" s="9">
        <v>4140</v>
      </c>
      <c r="F11112" s="19">
        <v>5</v>
      </c>
      <c r="G11112" s="17">
        <v>5</v>
      </c>
      <c r="H11112" t="s" s="10">
        <v>68</v>
      </c>
      <c r="I11112" t="s" s="11">
        <v>68</v>
      </c>
      <c r="J11112" t="s" s="11">
        <v>20</v>
      </c>
      <c r="K11112" t="s" s="16">
        <f>HYPERLINK("http://csr.bu.edu/ftp/asl/asllvd/demos/verify_start_end_handshape_annotations//test_auto_move//signs_mov/4747.mov","MOV")</f>
        <v>21</v>
      </c>
      <c r="L11112" t="s" s="16">
        <f>HYPERLINK("http://csr.bu.edu/ftp/asl/asllvd/demos/verify_start_end_handshape_annotations//test_auto_move//signs_mov_separ_signers/Tyler_4747.mov","MOV")</f>
        <v>21</v>
      </c>
      <c r="M11112" t="s" s="10">
        <v>125</v>
      </c>
      <c r="N11112" s="17">
        <v>2</v>
      </c>
      <c r="O11112" s="18">
        <v>3185</v>
      </c>
      <c r="P11112" s="18">
        <v>3215</v>
      </c>
      <c r="Q11112" t="s" s="16">
        <f>HYPERLINK("http://secrets.rutgers.edu:8080/data/asl-ftp/asllvd/demos/verify_start_end_handshape_annotations//test_auto_move//signs_mov/4747.mov","MOV")</f>
        <v>21</v>
      </c>
      <c r="R11112" t="s" s="16">
        <f>HYPERLINK("http://secrets.rutgers.edu:8080/data/asl-ftp/asllvd/demos/verify_start_end_handshape_annotations//test_auto_move//signs_mov_separ_signers/Tyler_4747.mov","MOV")</f>
        <v>21</v>
      </c>
    </row>
    <row r="11113" s="2" customFormat="1" ht="13.5" customHeight="1">
      <c r="B11113" s="13"/>
      <c r="C11113" t="s" s="9">
        <v>27</v>
      </c>
      <c r="D11113" t="s" s="8">
        <v>4140</v>
      </c>
      <c r="E11113" t="s" s="9">
        <v>4140</v>
      </c>
      <c r="F11113" t="s" s="10">
        <v>72</v>
      </c>
      <c r="G11113" t="s" s="11">
        <v>72</v>
      </c>
      <c r="H11113" t="s" s="10">
        <v>63</v>
      </c>
      <c r="I11113" t="s" s="11">
        <v>68</v>
      </c>
      <c r="J11113" t="s" s="11">
        <v>20</v>
      </c>
      <c r="K11113" s="15"/>
      <c r="L11113" t="s" s="16">
        <f>HYPERLINK("http://csr.bu.edu/ftp/asl/asllvd/demos/verify_start_end_handshape_annotations//test_auto_move//signs_mov_separ_signers/Naomi_4747.mov","MOV")</f>
        <v>21</v>
      </c>
      <c r="M11113" t="s" s="10">
        <v>86</v>
      </c>
      <c r="N11113" s="17">
        <v>2</v>
      </c>
      <c r="O11113" s="18">
        <v>4570</v>
      </c>
      <c r="P11113" s="18">
        <v>4595</v>
      </c>
      <c r="Q11113" s="15"/>
      <c r="R11113" t="s" s="16">
        <f>HYPERLINK("http://secrets.rutgers.edu:8080/data/asl-ftp/asllvd/demos/verify_start_end_handshape_annotations//test_auto_move//signs_mov_separ_signers/Naomi_4747.mov","MOV")</f>
        <v>21</v>
      </c>
    </row>
    <row r="11114" s="2" customFormat="1" ht="13.5" customHeight="1">
      <c r="B11114" t="s" s="8">
        <v>4141</v>
      </c>
      <c r="C11114" t="s" s="9">
        <v>14</v>
      </c>
      <c r="D11114" t="s" s="8">
        <v>14</v>
      </c>
      <c r="E11114" t="s" s="9">
        <v>14</v>
      </c>
      <c r="F11114" t="s" s="10">
        <v>14</v>
      </c>
      <c r="G11114" t="s" s="11">
        <v>14</v>
      </c>
      <c r="H11114" t="s" s="10">
        <v>14</v>
      </c>
      <c r="I11114" t="s" s="11">
        <v>14</v>
      </c>
      <c r="J11114" t="s" s="11">
        <v>14</v>
      </c>
      <c r="K11114" t="s" s="12">
        <v>14</v>
      </c>
      <c r="L11114" t="s" s="12">
        <v>14</v>
      </c>
      <c r="M11114" t="s" s="10">
        <v>14</v>
      </c>
      <c r="N11114" t="s" s="11">
        <v>14</v>
      </c>
      <c r="O11114" t="s" s="8">
        <v>14</v>
      </c>
      <c r="P11114" t="s" s="8">
        <v>14</v>
      </c>
      <c r="Q11114" t="s" s="12">
        <v>14</v>
      </c>
      <c r="R11114" t="s" s="12">
        <v>14</v>
      </c>
    </row>
    <row r="11115" s="2" customFormat="1" ht="13.5" customHeight="1">
      <c r="B11115" s="13"/>
      <c r="C11115" t="s" s="9">
        <v>16</v>
      </c>
      <c r="D11115" t="s" s="8">
        <v>4141</v>
      </c>
      <c r="E11115" t="s" s="9">
        <v>4141</v>
      </c>
      <c r="F11115" s="19">
        <v>5</v>
      </c>
      <c r="G11115" s="17">
        <v>5</v>
      </c>
      <c r="H11115" t="s" s="10">
        <v>68</v>
      </c>
      <c r="I11115" t="s" s="11">
        <v>68</v>
      </c>
      <c r="J11115" t="s" s="11">
        <v>20</v>
      </c>
      <c r="K11115" s="15"/>
      <c r="L11115" t="s" s="16">
        <f>HYPERLINK("http://csr.bu.edu/ftp/asl/asllvd/demos/verify_start_end_handshape_annotations//test_auto_move//signs_mov_separ_signers/Liz_16299.mov","MOV")</f>
        <v>21</v>
      </c>
      <c r="M11115" t="s" s="10">
        <v>77</v>
      </c>
      <c r="N11115" s="17">
        <v>5</v>
      </c>
      <c r="O11115" s="18">
        <v>342</v>
      </c>
      <c r="P11115" s="18">
        <v>398</v>
      </c>
      <c r="Q11115" s="15"/>
      <c r="R11115" t="s" s="16">
        <f>HYPERLINK("http://secrets.rutgers.edu:8080/data/asl-ftp/asllvd/demos/verify_start_end_handshape_annotations//test_auto_move//signs_mov_separ_signers/Liz_16299.mov","MOV")</f>
        <v>21</v>
      </c>
    </row>
    <row r="11116" s="2" customFormat="1" ht="13.5" customHeight="1">
      <c r="B11116" s="13"/>
      <c r="C11116" t="s" s="9">
        <v>30</v>
      </c>
      <c r="D11116" t="s" s="8">
        <v>4141</v>
      </c>
      <c r="E11116" t="s" s="9">
        <v>4141</v>
      </c>
      <c r="F11116" t="s" s="10">
        <v>72</v>
      </c>
      <c r="G11116" t="s" s="11">
        <v>72</v>
      </c>
      <c r="H11116" t="s" s="10">
        <v>68</v>
      </c>
      <c r="I11116" t="s" s="11">
        <v>68</v>
      </c>
      <c r="J11116" t="s" s="11">
        <v>20</v>
      </c>
      <c r="K11116" t="s" s="16">
        <f>HYPERLINK("http://csr.bu.edu/ftp/asl/asllvd/demos/verify_start_end_handshape_annotations//test_auto_move//signs_mov/16299_16489_merged.mov","MOV")</f>
        <v>21</v>
      </c>
      <c r="L11116" t="s" s="16">
        <f>HYPERLINK("http://csr.bu.edu/ftp/asl/asllvd/demos/verify_start_end_handshape_annotations//test_auto_move//signs_mov_separ_signers/Brady_16299.mov","MOV")</f>
        <v>21</v>
      </c>
      <c r="M11116" t="s" s="10">
        <v>31</v>
      </c>
      <c r="N11116" s="17">
        <v>7</v>
      </c>
      <c r="O11116" s="18">
        <v>321</v>
      </c>
      <c r="P11116" s="18">
        <v>341</v>
      </c>
      <c r="Q11116" t="s" s="16">
        <f>HYPERLINK("http://secrets.rutgers.edu:8080/data/asl-ftp/asllvd/demos/verify_start_end_handshape_annotations//test_auto_move//signs_mov/16299_16489_merged.mov","MOV")</f>
        <v>21</v>
      </c>
      <c r="R11116" t="s" s="16">
        <f>HYPERLINK("http://secrets.rutgers.edu:8080/data/asl-ftp/asllvd/demos/verify_start_end_handshape_annotations//test_auto_move//signs_mov_separ_signers/Brady_16299.mov","MOV")</f>
        <v>21</v>
      </c>
    </row>
    <row r="11117" s="2" customFormat="1" ht="13.5" customHeight="1">
      <c r="B11117" s="13"/>
      <c r="C11117" t="s" s="9">
        <v>30</v>
      </c>
      <c r="D11117" t="s" s="8">
        <v>4141</v>
      </c>
      <c r="E11117" t="s" s="9">
        <v>4141</v>
      </c>
      <c r="F11117" t="s" s="10">
        <v>72</v>
      </c>
      <c r="G11117" t="s" s="11">
        <v>72</v>
      </c>
      <c r="H11117" t="s" s="10">
        <v>68</v>
      </c>
      <c r="I11117" t="s" s="11">
        <v>68</v>
      </c>
      <c r="J11117" t="s" s="11">
        <v>20</v>
      </c>
      <c r="K11117" s="15"/>
      <c r="L11117" t="s" s="16">
        <f>HYPERLINK("http://csr.bu.edu/ftp/asl/asllvd/demos/verify_start_end_handshape_annotations//test_auto_move//signs_mov_separ_signers/Brady_16489.mov","MOV")</f>
        <v>21</v>
      </c>
      <c r="M11117" t="s" s="10">
        <v>31</v>
      </c>
      <c r="N11117" s="17">
        <v>29</v>
      </c>
      <c r="O11117" s="18">
        <v>13469</v>
      </c>
      <c r="P11117" s="18">
        <v>13486</v>
      </c>
      <c r="Q11117" s="15"/>
      <c r="R11117" t="s" s="16">
        <f>HYPERLINK("http://secrets.rutgers.edu:8080/data/asl-ftp/asllvd/demos/verify_start_end_handshape_annotations//test_auto_move//signs_mov_separ_signers/Brady_16489.mov","MOV")</f>
        <v>21</v>
      </c>
    </row>
    <row r="11118" s="2" customFormat="1" ht="13.5" customHeight="1">
      <c r="B11118" t="s" s="8">
        <v>4142</v>
      </c>
      <c r="C11118" t="s" s="9">
        <v>14</v>
      </c>
      <c r="D11118" t="s" s="8">
        <v>14</v>
      </c>
      <c r="E11118" t="s" s="9">
        <v>14</v>
      </c>
      <c r="F11118" t="s" s="10">
        <v>14</v>
      </c>
      <c r="G11118" t="s" s="11">
        <v>14</v>
      </c>
      <c r="H11118" t="s" s="10">
        <v>14</v>
      </c>
      <c r="I11118" t="s" s="11">
        <v>14</v>
      </c>
      <c r="J11118" t="s" s="11">
        <v>14</v>
      </c>
      <c r="K11118" t="s" s="12">
        <v>14</v>
      </c>
      <c r="L11118" t="s" s="12">
        <v>14</v>
      </c>
      <c r="M11118" t="s" s="10">
        <v>14</v>
      </c>
      <c r="N11118" t="s" s="11">
        <v>14</v>
      </c>
      <c r="O11118" t="s" s="8">
        <v>14</v>
      </c>
      <c r="P11118" t="s" s="8">
        <v>14</v>
      </c>
      <c r="Q11118" t="s" s="12">
        <v>14</v>
      </c>
      <c r="R11118" t="s" s="12">
        <v>14</v>
      </c>
    </row>
    <row r="11119" s="2" customFormat="1" ht="13.5" customHeight="1">
      <c r="B11119" s="13"/>
      <c r="C11119" t="s" s="9">
        <v>16</v>
      </c>
      <c r="D11119" t="s" s="8">
        <v>4142</v>
      </c>
      <c r="E11119" t="s" s="9">
        <v>4143</v>
      </c>
      <c r="F11119" t="s" s="10">
        <v>72</v>
      </c>
      <c r="G11119" t="s" s="11">
        <v>72</v>
      </c>
      <c r="H11119" t="s" s="10">
        <v>72</v>
      </c>
      <c r="I11119" t="s" s="11">
        <v>72</v>
      </c>
      <c r="J11119" t="s" s="11">
        <v>20</v>
      </c>
      <c r="K11119" s="15"/>
      <c r="L11119" t="s" s="16">
        <f>HYPERLINK("http://csr.bu.edu/ftp/asl/asllvd/demos/verify_start_end_handshape_annotations//test_auto_move//signs_mov_separ_signers/Liz_4749.mov","MOV")</f>
        <v>21</v>
      </c>
      <c r="M11119" t="s" s="10">
        <v>84</v>
      </c>
      <c r="N11119" s="17">
        <v>8</v>
      </c>
      <c r="O11119" s="18">
        <v>1117</v>
      </c>
      <c r="P11119" s="18">
        <v>1185</v>
      </c>
      <c r="Q11119" s="15"/>
      <c r="R11119" t="s" s="16">
        <f>HYPERLINK("http://secrets.rutgers.edu:8080/data/asl-ftp/asllvd/demos/verify_start_end_handshape_annotations//test_auto_move//signs_mov_separ_signers/Liz_4749.mov","MOV")</f>
        <v>21</v>
      </c>
    </row>
    <row r="11120" s="2" customFormat="1" ht="13.5" customHeight="1">
      <c r="B11120" s="13"/>
      <c r="C11120" t="s" s="9">
        <v>23</v>
      </c>
      <c r="D11120" t="s" s="8">
        <v>4142</v>
      </c>
      <c r="E11120" t="s" s="9">
        <v>4143</v>
      </c>
      <c r="F11120" s="19">
        <v>5</v>
      </c>
      <c r="G11120" s="17">
        <v>5</v>
      </c>
      <c r="H11120" t="s" s="10">
        <v>72</v>
      </c>
      <c r="I11120" t="s" s="11">
        <v>72</v>
      </c>
      <c r="J11120" t="s" s="11">
        <v>20</v>
      </c>
      <c r="K11120" t="s" s="16">
        <f>HYPERLINK("http://csr.bu.edu/ftp/asl/asllvd/demos/verify_start_end_handshape_annotations//test_auto_move//signs_mov/4749.mov","MOV")</f>
        <v>21</v>
      </c>
      <c r="L11120" t="s" s="16">
        <f>HYPERLINK("http://csr.bu.edu/ftp/asl/asllvd/demos/verify_start_end_handshape_annotations//test_auto_move//signs_mov_separ_signers/Tyler_4749.mov","MOV")</f>
        <v>21</v>
      </c>
      <c r="M11120" t="s" s="10">
        <v>125</v>
      </c>
      <c r="N11120" s="17">
        <v>8</v>
      </c>
      <c r="O11120" s="18">
        <v>510</v>
      </c>
      <c r="P11120" s="18">
        <v>570</v>
      </c>
      <c r="Q11120" t="s" s="16">
        <f>HYPERLINK("http://secrets.rutgers.edu:8080/data/asl-ftp/asllvd/demos/verify_start_end_handshape_annotations//test_auto_move//signs_mov/4749.mov","MOV")</f>
        <v>21</v>
      </c>
      <c r="R11120" t="s" s="16">
        <f>HYPERLINK("http://secrets.rutgers.edu:8080/data/asl-ftp/asllvd/demos/verify_start_end_handshape_annotations//test_auto_move//signs_mov_separ_signers/Tyler_4749.mov","MOV")</f>
        <v>21</v>
      </c>
    </row>
    <row r="11121" s="2" customFormat="1" ht="13.5" customHeight="1">
      <c r="B11121" s="13"/>
      <c r="C11121" t="s" s="9">
        <v>27</v>
      </c>
      <c r="D11121" t="s" s="8">
        <v>4142</v>
      </c>
      <c r="E11121" t="s" s="9">
        <v>4142</v>
      </c>
      <c r="F11121" s="19">
        <v>5</v>
      </c>
      <c r="G11121" t="s" s="11">
        <v>72</v>
      </c>
      <c r="H11121" t="s" s="10">
        <v>72</v>
      </c>
      <c r="I11121" t="s" s="11">
        <v>72</v>
      </c>
      <c r="J11121" t="s" s="11">
        <v>20</v>
      </c>
      <c r="K11121" s="15"/>
      <c r="L11121" t="s" s="16">
        <f>HYPERLINK("http://csr.bu.edu/ftp/asl/asllvd/demos/verify_start_end_handshape_annotations//test_auto_move//signs_mov_separ_signers/Naomi_4749.mov","MOV")</f>
        <v>21</v>
      </c>
      <c r="M11121" t="s" s="10">
        <v>86</v>
      </c>
      <c r="N11121" s="17">
        <v>8</v>
      </c>
      <c r="O11121" s="18">
        <v>1016</v>
      </c>
      <c r="P11121" s="18">
        <v>1051</v>
      </c>
      <c r="Q11121" s="15"/>
      <c r="R11121" t="s" s="16">
        <f>HYPERLINK("http://secrets.rutgers.edu:8080/data/asl-ftp/asllvd/demos/verify_start_end_handshape_annotations//test_auto_move//signs_mov_separ_signers/Naomi_4749.mov","MOV")</f>
        <v>21</v>
      </c>
    </row>
    <row r="11122" s="2" customFormat="1" ht="13.5" customHeight="1">
      <c r="B11122" t="s" s="8">
        <v>4142</v>
      </c>
      <c r="C11122" t="s" s="9">
        <v>14</v>
      </c>
      <c r="D11122" t="s" s="8">
        <v>14</v>
      </c>
      <c r="E11122" t="s" s="9">
        <v>14</v>
      </c>
      <c r="F11122" t="s" s="10">
        <v>14</v>
      </c>
      <c r="G11122" t="s" s="11">
        <v>14</v>
      </c>
      <c r="H11122" t="s" s="10">
        <v>14</v>
      </c>
      <c r="I11122" t="s" s="11">
        <v>14</v>
      </c>
      <c r="J11122" t="s" s="11">
        <v>14</v>
      </c>
      <c r="K11122" t="s" s="12">
        <v>14</v>
      </c>
      <c r="L11122" t="s" s="12">
        <v>14</v>
      </c>
      <c r="M11122" t="s" s="10">
        <v>14</v>
      </c>
      <c r="N11122" t="s" s="11">
        <v>14</v>
      </c>
      <c r="O11122" t="s" s="8">
        <v>14</v>
      </c>
      <c r="P11122" t="s" s="8">
        <v>14</v>
      </c>
      <c r="Q11122" t="s" s="12">
        <v>14</v>
      </c>
      <c r="R11122" t="s" s="12">
        <v>14</v>
      </c>
    </row>
    <row r="11123" s="2" customFormat="1" ht="13.5" customHeight="1">
      <c r="B11123" s="13"/>
      <c r="C11123" t="s" s="9">
        <v>16</v>
      </c>
      <c r="D11123" t="s" s="8">
        <v>4144</v>
      </c>
      <c r="E11123" t="s" s="9">
        <v>4144</v>
      </c>
      <c r="F11123" t="s" s="10">
        <v>229</v>
      </c>
      <c r="G11123" t="s" s="11">
        <v>73</v>
      </c>
      <c r="H11123" t="s" s="10">
        <v>230</v>
      </c>
      <c r="I11123" t="s" s="11">
        <v>73</v>
      </c>
      <c r="J11123" t="s" s="11">
        <v>20</v>
      </c>
      <c r="K11123" t="s" s="16">
        <f>HYPERLINK("http://csr.bu.edu/ftp/asl/asllvd/demos/verify_start_end_handshape_annotations//test_auto_move//signs_mov/16313.mov","MOV")</f>
        <v>21</v>
      </c>
      <c r="L11123" t="s" s="16">
        <f>HYPERLINK("http://csr.bu.edu/ftp/asl/asllvd/demos/verify_start_end_handshape_annotations//test_auto_move//signs_mov_separ_signers/Liz_16313.mov","MOV")</f>
        <v>21</v>
      </c>
      <c r="M11123" t="s" s="10">
        <v>84</v>
      </c>
      <c r="N11123" s="17">
        <v>8</v>
      </c>
      <c r="O11123" s="18">
        <v>770</v>
      </c>
      <c r="P11123" s="18">
        <v>895</v>
      </c>
      <c r="Q11123" t="s" s="16">
        <f>HYPERLINK("http://secrets.rutgers.edu:8080/data/asl-ftp/asllvd/demos/verify_start_end_handshape_annotations//test_auto_move//signs_mov/16313.mov","MOV")</f>
        <v>21</v>
      </c>
      <c r="R11123" t="s" s="16">
        <f>HYPERLINK("http://secrets.rutgers.edu:8080/data/asl-ftp/asllvd/demos/verify_start_end_handshape_annotations//test_auto_move//signs_mov_separ_signers/Liz_16313.mov","MOV")</f>
        <v>21</v>
      </c>
    </row>
    <row r="11124" s="2" customFormat="1" ht="13.5" customHeight="1">
      <c r="B11124" s="13"/>
      <c r="C11124" t="s" s="9">
        <v>27</v>
      </c>
      <c r="D11124" t="s" s="8">
        <v>4144</v>
      </c>
      <c r="E11124" t="s" s="9">
        <v>4144</v>
      </c>
      <c r="F11124" t="s" s="10">
        <v>229</v>
      </c>
      <c r="G11124" t="s" s="11">
        <v>73</v>
      </c>
      <c r="H11124" t="s" s="10">
        <v>230</v>
      </c>
      <c r="I11124" t="s" s="11">
        <v>73</v>
      </c>
      <c r="J11124" t="s" s="11">
        <v>20</v>
      </c>
      <c r="K11124" s="15"/>
      <c r="L11124" t="s" s="16">
        <f>HYPERLINK("http://csr.bu.edu/ftp/asl/asllvd/demos/verify_start_end_handshape_annotations//test_auto_move//signs_mov_separ_signers/Naomi_16313.mov","MOV")</f>
        <v>21</v>
      </c>
      <c r="M11124" t="s" s="10">
        <v>86</v>
      </c>
      <c r="N11124" s="17">
        <v>8</v>
      </c>
      <c r="O11124" s="18">
        <v>535</v>
      </c>
      <c r="P11124" s="18">
        <v>565</v>
      </c>
      <c r="Q11124" s="15"/>
      <c r="R11124" t="s" s="16">
        <f>HYPERLINK("http://secrets.rutgers.edu:8080/data/asl-ftp/asllvd/demos/verify_start_end_handshape_annotations//test_auto_move//signs_mov_separ_signers/Naomi_16313.mov","MOV")</f>
        <v>21</v>
      </c>
    </row>
    <row r="11125" s="2" customFormat="1" ht="13.5" customHeight="1">
      <c r="B11125" t="s" s="8">
        <v>4145</v>
      </c>
      <c r="C11125" t="s" s="9">
        <v>14</v>
      </c>
      <c r="D11125" t="s" s="8">
        <v>14</v>
      </c>
      <c r="E11125" t="s" s="9">
        <v>14</v>
      </c>
      <c r="F11125" t="s" s="10">
        <v>14</v>
      </c>
      <c r="G11125" t="s" s="11">
        <v>14</v>
      </c>
      <c r="H11125" t="s" s="10">
        <v>14</v>
      </c>
      <c r="I11125" t="s" s="11">
        <v>14</v>
      </c>
      <c r="J11125" t="s" s="11">
        <v>14</v>
      </c>
      <c r="K11125" t="s" s="12">
        <v>14</v>
      </c>
      <c r="L11125" t="s" s="12">
        <v>14</v>
      </c>
      <c r="M11125" t="s" s="10">
        <v>14</v>
      </c>
      <c r="N11125" t="s" s="11">
        <v>14</v>
      </c>
      <c r="O11125" t="s" s="8">
        <v>14</v>
      </c>
      <c r="P11125" t="s" s="8">
        <v>14</v>
      </c>
      <c r="Q11125" t="s" s="12">
        <v>14</v>
      </c>
      <c r="R11125" t="s" s="12">
        <v>14</v>
      </c>
    </row>
    <row r="11126" s="2" customFormat="1" ht="13.5" customHeight="1">
      <c r="B11126" s="13"/>
      <c r="C11126" t="s" s="9">
        <v>30</v>
      </c>
      <c r="D11126" t="s" s="8">
        <v>4145</v>
      </c>
      <c r="E11126" t="s" s="9">
        <v>4146</v>
      </c>
      <c r="F11126" s="19">
        <v>5</v>
      </c>
      <c r="G11126" s="17">
        <v>5</v>
      </c>
      <c r="H11126" t="s" s="10">
        <v>72</v>
      </c>
      <c r="I11126" t="s" s="11">
        <v>72</v>
      </c>
      <c r="J11126" t="s" s="11">
        <v>20</v>
      </c>
      <c r="K11126" t="s" s="16">
        <f>HYPERLINK("http://csr.bu.edu/ftp/asl/asllvd/demos/verify_start_end_handshape_annotations//test_auto_move//signs_mov/16317.mov","MOV")</f>
        <v>21</v>
      </c>
      <c r="L11126" t="s" s="16">
        <f>HYPERLINK("http://csr.bu.edu/ftp/asl/asllvd/demos/verify_start_end_handshape_annotations//test_auto_move//signs_mov_separ_signers/Brady_16317.mov","MOV")</f>
        <v>21</v>
      </c>
      <c r="M11126" t="s" s="10">
        <v>31</v>
      </c>
      <c r="N11126" s="17">
        <v>31</v>
      </c>
      <c r="O11126" s="18">
        <v>3700</v>
      </c>
      <c r="P11126" s="18">
        <v>3737</v>
      </c>
      <c r="Q11126" t="s" s="16">
        <f>HYPERLINK("http://secrets.rutgers.edu:8080/data/asl-ftp/asllvd/demos/verify_start_end_handshape_annotations//test_auto_move//signs_mov/16317.mov","MOV")</f>
        <v>21</v>
      </c>
      <c r="R11126" t="s" s="16">
        <f>HYPERLINK("http://secrets.rutgers.edu:8080/data/asl-ftp/asllvd/demos/verify_start_end_handshape_annotations//test_auto_move//signs_mov_separ_signers/Brady_16317.mov","MOV")</f>
        <v>21</v>
      </c>
    </row>
    <row r="11127" s="2" customFormat="1" ht="13.5" customHeight="1">
      <c r="B11127" t="s" s="8">
        <v>4147</v>
      </c>
      <c r="C11127" t="s" s="9">
        <v>14</v>
      </c>
      <c r="D11127" t="s" s="8">
        <v>14</v>
      </c>
      <c r="E11127" t="s" s="9">
        <v>14</v>
      </c>
      <c r="F11127" t="s" s="10">
        <v>14</v>
      </c>
      <c r="G11127" t="s" s="11">
        <v>14</v>
      </c>
      <c r="H11127" t="s" s="10">
        <v>14</v>
      </c>
      <c r="I11127" t="s" s="11">
        <v>14</v>
      </c>
      <c r="J11127" t="s" s="11">
        <v>14</v>
      </c>
      <c r="K11127" t="s" s="12">
        <v>14</v>
      </c>
      <c r="L11127" t="s" s="12">
        <v>14</v>
      </c>
      <c r="M11127" t="s" s="10">
        <v>14</v>
      </c>
      <c r="N11127" t="s" s="11">
        <v>14</v>
      </c>
      <c r="O11127" t="s" s="8">
        <v>14</v>
      </c>
      <c r="P11127" t="s" s="8">
        <v>14</v>
      </c>
      <c r="Q11127" t="s" s="12">
        <v>14</v>
      </c>
      <c r="R11127" t="s" s="12">
        <v>14</v>
      </c>
    </row>
    <row r="11128" s="2" customFormat="1" ht="13.5" customHeight="1">
      <c r="B11128" s="13"/>
      <c r="C11128" t="s" s="9">
        <v>16</v>
      </c>
      <c r="D11128" t="s" s="8">
        <v>4147</v>
      </c>
      <c r="E11128" t="s" s="9">
        <v>4147</v>
      </c>
      <c r="F11128" t="s" s="10">
        <v>72</v>
      </c>
      <c r="G11128" t="s" s="11">
        <v>72</v>
      </c>
      <c r="H11128" t="s" s="10">
        <v>72</v>
      </c>
      <c r="I11128" t="s" s="11">
        <v>72</v>
      </c>
      <c r="J11128" t="s" s="11">
        <v>20</v>
      </c>
      <c r="K11128" t="s" s="16">
        <f>HYPERLINK("http://csr.bu.edu/ftp/asl/asllvd/demos/verify_start_end_handshape_annotations//test_auto_move//signs_mov/4751_16399_merged.mov","MOV")</f>
        <v>21</v>
      </c>
      <c r="L11128" t="s" s="16">
        <f>HYPERLINK("http://csr.bu.edu/ftp/asl/asllvd/demos/verify_start_end_handshape_annotations//test_auto_move//signs_mov_separ_signers/Liz_4751.mov","MOV")</f>
        <v>21</v>
      </c>
      <c r="M11128" t="s" s="10">
        <v>88</v>
      </c>
      <c r="N11128" s="17">
        <v>11</v>
      </c>
      <c r="O11128" s="18">
        <v>295</v>
      </c>
      <c r="P11128" s="18">
        <v>346</v>
      </c>
      <c r="Q11128" t="s" s="16">
        <f>HYPERLINK("http://secrets.rutgers.edu:8080/data/asl-ftp/asllvd/demos/verify_start_end_handshape_annotations//test_auto_move//signs_mov/4751_16399_merged.mov","MOV")</f>
        <v>21</v>
      </c>
      <c r="R11128" t="s" s="16">
        <f>HYPERLINK("http://secrets.rutgers.edu:8080/data/asl-ftp/asllvd/demos/verify_start_end_handshape_annotations//test_auto_move//signs_mov_separ_signers/Liz_4751.mov","MOV")</f>
        <v>21</v>
      </c>
    </row>
    <row r="11129" s="2" customFormat="1" ht="13.5" customHeight="1">
      <c r="B11129" s="13"/>
      <c r="C11129" t="s" s="9">
        <v>16</v>
      </c>
      <c r="D11129" t="s" s="8">
        <v>4147</v>
      </c>
      <c r="E11129" t="s" s="9">
        <v>4147</v>
      </c>
      <c r="F11129" t="s" s="10">
        <v>185</v>
      </c>
      <c r="G11129" t="s" s="11">
        <v>430</v>
      </c>
      <c r="H11129" t="s" s="10">
        <v>185</v>
      </c>
      <c r="I11129" t="s" s="11">
        <v>185</v>
      </c>
      <c r="J11129" t="s" s="11">
        <v>20</v>
      </c>
      <c r="K11129" s="15"/>
      <c r="L11129" t="s" s="16">
        <f>HYPERLINK("http://csr.bu.edu/ftp/asl/asllvd/demos/verify_start_end_handshape_annotations//test_auto_move//signs_mov_separ_signers/Liz_16399.mov","MOV")</f>
        <v>21</v>
      </c>
      <c r="M11129" t="s" s="10">
        <v>59</v>
      </c>
      <c r="N11129" s="17">
        <v>24</v>
      </c>
      <c r="O11129" s="18">
        <v>324</v>
      </c>
      <c r="P11129" s="18">
        <v>364</v>
      </c>
      <c r="Q11129" s="15"/>
      <c r="R11129" t="s" s="16">
        <f>HYPERLINK("http://secrets.rutgers.edu:8080/data/asl-ftp/asllvd/demos/verify_start_end_handshape_annotations//test_auto_move//signs_mov_separ_signers/Liz_16399.mov","MOV")</f>
        <v>21</v>
      </c>
    </row>
    <row r="11130" s="2" customFormat="1" ht="13.5" customHeight="1">
      <c r="B11130" t="s" s="8">
        <v>4148</v>
      </c>
      <c r="C11130" t="s" s="9">
        <v>14</v>
      </c>
      <c r="D11130" t="s" s="8">
        <v>14</v>
      </c>
      <c r="E11130" t="s" s="9">
        <v>14</v>
      </c>
      <c r="F11130" t="s" s="10">
        <v>14</v>
      </c>
      <c r="G11130" t="s" s="11">
        <v>14</v>
      </c>
      <c r="H11130" t="s" s="10">
        <v>14</v>
      </c>
      <c r="I11130" t="s" s="11">
        <v>14</v>
      </c>
      <c r="J11130" t="s" s="11">
        <v>14</v>
      </c>
      <c r="K11130" t="s" s="12">
        <v>14</v>
      </c>
      <c r="L11130" t="s" s="12">
        <v>14</v>
      </c>
      <c r="M11130" t="s" s="10">
        <v>14</v>
      </c>
      <c r="N11130" t="s" s="11">
        <v>14</v>
      </c>
      <c r="O11130" t="s" s="8">
        <v>14</v>
      </c>
      <c r="P11130" t="s" s="8">
        <v>14</v>
      </c>
      <c r="Q11130" t="s" s="12">
        <v>14</v>
      </c>
      <c r="R11130" t="s" s="12">
        <v>14</v>
      </c>
    </row>
    <row r="11131" s="2" customFormat="1" ht="13.5" customHeight="1">
      <c r="B11131" s="13"/>
      <c r="C11131" t="s" s="9">
        <v>41</v>
      </c>
      <c r="D11131" t="s" s="8">
        <v>4148</v>
      </c>
      <c r="E11131" t="s" s="9">
        <v>4148</v>
      </c>
      <c r="F11131" t="s" s="10">
        <v>185</v>
      </c>
      <c r="G11131" t="s" s="11">
        <v>73</v>
      </c>
      <c r="H11131" t="s" s="10">
        <v>185</v>
      </c>
      <c r="I11131" t="s" s="11">
        <v>73</v>
      </c>
      <c r="J11131" t="s" s="11">
        <v>20</v>
      </c>
      <c r="K11131" t="s" s="16">
        <f>HYPERLINK("http://csr.bu.edu/ftp/asl/asllvd/demos/verify_start_end_handshape_annotations//test_auto_move//signs_mov/4752.mov","MOV")</f>
        <v>21</v>
      </c>
      <c r="L11131" t="s" s="16">
        <f>HYPERLINK("http://csr.bu.edu/ftp/asl/asllvd/demos/verify_start_end_handshape_annotations//test_auto_move//signs_mov_separ_signers/Lana_4752.mov","MOV")</f>
        <v>21</v>
      </c>
      <c r="M11131" t="s" s="10">
        <v>42</v>
      </c>
      <c r="N11131" s="17">
        <v>6</v>
      </c>
      <c r="O11131" s="18">
        <v>2085</v>
      </c>
      <c r="P11131" s="18">
        <v>2106</v>
      </c>
      <c r="Q11131" t="s" s="16">
        <f>HYPERLINK("http://secrets.rutgers.edu:8080/data/asl-ftp/asllvd/demos/verify_start_end_handshape_annotations//test_auto_move//signs_mov/4752.mov","MOV")</f>
        <v>21</v>
      </c>
      <c r="R11131" t="s" s="16">
        <f>HYPERLINK("http://secrets.rutgers.edu:8080/data/asl-ftp/asllvd/demos/verify_start_end_handshape_annotations//test_auto_move//signs_mov_separ_signers/Lana_4752.mov","MOV")</f>
        <v>21</v>
      </c>
    </row>
    <row r="11132" s="2" customFormat="1" ht="13.5" customHeight="1">
      <c r="B11132" s="13"/>
      <c r="C11132" t="s" s="9">
        <v>43</v>
      </c>
      <c r="D11132" t="s" s="8">
        <v>4148</v>
      </c>
      <c r="E11132" t="s" s="9">
        <v>4148</v>
      </c>
      <c r="F11132" t="s" s="10">
        <v>185</v>
      </c>
      <c r="G11132" t="s" s="11">
        <v>73</v>
      </c>
      <c r="H11132" t="s" s="10">
        <v>185</v>
      </c>
      <c r="I11132" t="s" s="11">
        <v>73</v>
      </c>
      <c r="J11132" t="s" s="11">
        <v>20</v>
      </c>
      <c r="K11132" s="15"/>
      <c r="L11132" t="s" s="16">
        <f>HYPERLINK("http://csr.bu.edu/ftp/asl/asllvd/demos/verify_start_end_handshape_annotations//test_auto_move//signs_mov_separ_signers/Dana_4752.mov","MOV")</f>
        <v>21</v>
      </c>
      <c r="M11132" t="s" s="10">
        <v>44</v>
      </c>
      <c r="N11132" s="17">
        <v>10</v>
      </c>
      <c r="O11132" s="18">
        <v>2402</v>
      </c>
      <c r="P11132" s="18">
        <v>2468</v>
      </c>
      <c r="Q11132" s="15"/>
      <c r="R11132" t="s" s="16">
        <f>HYPERLINK("http://secrets.rutgers.edu:8080/data/asl-ftp/asllvd/demos/verify_start_end_handshape_annotations//test_auto_move//signs_mov_separ_signers/Dana_4752.mov","MOV")</f>
        <v>21</v>
      </c>
    </row>
    <row r="11133" s="2" customFormat="1" ht="13.5" customHeight="1">
      <c r="B11133" t="s" s="8">
        <v>4149</v>
      </c>
      <c r="C11133" t="s" s="9">
        <v>14</v>
      </c>
      <c r="D11133" t="s" s="8">
        <v>14</v>
      </c>
      <c r="E11133" t="s" s="9">
        <v>14</v>
      </c>
      <c r="F11133" t="s" s="10">
        <v>14</v>
      </c>
      <c r="G11133" t="s" s="11">
        <v>14</v>
      </c>
      <c r="H11133" t="s" s="10">
        <v>14</v>
      </c>
      <c r="I11133" t="s" s="11">
        <v>14</v>
      </c>
      <c r="J11133" t="s" s="11">
        <v>14</v>
      </c>
      <c r="K11133" t="s" s="12">
        <v>14</v>
      </c>
      <c r="L11133" t="s" s="12">
        <v>14</v>
      </c>
      <c r="M11133" t="s" s="10">
        <v>14</v>
      </c>
      <c r="N11133" t="s" s="11">
        <v>14</v>
      </c>
      <c r="O11133" t="s" s="8">
        <v>14</v>
      </c>
      <c r="P11133" t="s" s="8">
        <v>14</v>
      </c>
      <c r="Q11133" t="s" s="12">
        <v>14</v>
      </c>
      <c r="R11133" t="s" s="12">
        <v>14</v>
      </c>
    </row>
    <row r="11134" s="2" customFormat="1" ht="13.5" customHeight="1">
      <c r="B11134" s="13"/>
      <c r="C11134" t="s" s="9">
        <v>30</v>
      </c>
      <c r="D11134" t="s" s="8">
        <v>4149</v>
      </c>
      <c r="E11134" t="s" s="9">
        <v>4150</v>
      </c>
      <c r="F11134" t="s" s="10">
        <v>68</v>
      </c>
      <c r="G11134" t="s" s="11">
        <v>68</v>
      </c>
      <c r="H11134" t="s" s="10">
        <v>72</v>
      </c>
      <c r="I11134" t="s" s="11">
        <v>72</v>
      </c>
      <c r="J11134" t="s" s="11">
        <v>20</v>
      </c>
      <c r="K11134" t="s" s="16">
        <f>HYPERLINK("http://csr.bu.edu/ftp/asl/asllvd/demos/verify_start_end_handshape_annotations//test_auto_move//signs_mov/4765.mov","MOV")</f>
        <v>21</v>
      </c>
      <c r="L11134" t="s" s="16">
        <f>HYPERLINK("http://csr.bu.edu/ftp/asl/asllvd/demos/verify_start_end_handshape_annotations//test_auto_move//signs_mov_separ_signers/Brady_4765.mov","MOV")</f>
        <v>21</v>
      </c>
      <c r="M11134" t="s" s="10">
        <v>39</v>
      </c>
      <c r="N11134" s="17">
        <v>25</v>
      </c>
      <c r="O11134" s="18">
        <v>1846</v>
      </c>
      <c r="P11134" s="18">
        <v>1900</v>
      </c>
      <c r="Q11134" t="s" s="16">
        <f>HYPERLINK("http://secrets.rutgers.edu:8080/data/asl-ftp/asllvd/demos/verify_start_end_handshape_annotations//test_auto_move//signs_mov/4765.mov","MOV")</f>
        <v>21</v>
      </c>
      <c r="R11134" t="s" s="16">
        <f>HYPERLINK("http://secrets.rutgers.edu:8080/data/asl-ftp/asllvd/demos/verify_start_end_handshape_annotations//test_auto_move//signs_mov_separ_signers/Brady_4765.mov","MOV")</f>
        <v>21</v>
      </c>
    </row>
    <row r="11135" s="2" customFormat="1" ht="13.5" customHeight="1">
      <c r="B11135" t="s" s="8">
        <v>4151</v>
      </c>
      <c r="C11135" t="s" s="9">
        <v>14</v>
      </c>
      <c r="D11135" t="s" s="8">
        <v>14</v>
      </c>
      <c r="E11135" t="s" s="9">
        <v>14</v>
      </c>
      <c r="F11135" t="s" s="10">
        <v>14</v>
      </c>
      <c r="G11135" t="s" s="11">
        <v>14</v>
      </c>
      <c r="H11135" t="s" s="10">
        <v>14</v>
      </c>
      <c r="I11135" t="s" s="11">
        <v>14</v>
      </c>
      <c r="J11135" t="s" s="11">
        <v>14</v>
      </c>
      <c r="K11135" t="s" s="12">
        <v>14</v>
      </c>
      <c r="L11135" t="s" s="12">
        <v>14</v>
      </c>
      <c r="M11135" t="s" s="10">
        <v>14</v>
      </c>
      <c r="N11135" t="s" s="11">
        <v>14</v>
      </c>
      <c r="O11135" t="s" s="8">
        <v>14</v>
      </c>
      <c r="P11135" t="s" s="8">
        <v>14</v>
      </c>
      <c r="Q11135" t="s" s="12">
        <v>14</v>
      </c>
      <c r="R11135" t="s" s="12">
        <v>14</v>
      </c>
    </row>
    <row r="11136" s="2" customFormat="1" ht="13.5" customHeight="1">
      <c r="B11136" s="13"/>
      <c r="C11136" t="s" s="9">
        <v>16</v>
      </c>
      <c r="D11136" t="s" s="8">
        <v>4151</v>
      </c>
      <c r="E11136" t="s" s="9">
        <v>4152</v>
      </c>
      <c r="F11136" t="s" s="10">
        <v>68</v>
      </c>
      <c r="G11136" t="s" s="11">
        <v>68</v>
      </c>
      <c r="H11136" t="s" s="10">
        <v>72</v>
      </c>
      <c r="I11136" t="s" s="11">
        <v>187</v>
      </c>
      <c r="J11136" t="s" s="11">
        <v>20</v>
      </c>
      <c r="K11136" t="s" s="16">
        <f>HYPERLINK("http://csr.bu.edu/ftp/asl/asllvd/demos/verify_start_end_handshape_annotations//test_auto_move//signs_mov/4766.mov","MOV")</f>
        <v>21</v>
      </c>
      <c r="L11136" t="s" s="16">
        <f>HYPERLINK("http://csr.bu.edu/ftp/asl/asllvd/demos/verify_start_end_handshape_annotations//test_auto_move//signs_mov_separ_signers/Liz_4766.mov","MOV")</f>
        <v>21</v>
      </c>
      <c r="M11136" t="s" s="10">
        <v>77</v>
      </c>
      <c r="N11136" s="17">
        <v>29</v>
      </c>
      <c r="O11136" s="18">
        <v>150</v>
      </c>
      <c r="P11136" s="18">
        <v>215</v>
      </c>
      <c r="Q11136" t="s" s="16">
        <f>HYPERLINK("http://secrets.rutgers.edu:8080/data/asl-ftp/asllvd/demos/verify_start_end_handshape_annotations//test_auto_move//signs_mov/4766.mov","MOV")</f>
        <v>21</v>
      </c>
      <c r="R11136" t="s" s="16">
        <f>HYPERLINK("http://secrets.rutgers.edu:8080/data/asl-ftp/asllvd/demos/verify_start_end_handshape_annotations//test_auto_move//signs_mov_separ_signers/Liz_4766.mov","MOV")</f>
        <v>21</v>
      </c>
    </row>
    <row r="11137" s="2" customFormat="1" ht="13.5" customHeight="1">
      <c r="B11137" t="s" s="8">
        <v>4153</v>
      </c>
      <c r="C11137" t="s" s="9">
        <v>14</v>
      </c>
      <c r="D11137" t="s" s="8">
        <v>14</v>
      </c>
      <c r="E11137" t="s" s="9">
        <v>14</v>
      </c>
      <c r="F11137" t="s" s="10">
        <v>14</v>
      </c>
      <c r="G11137" t="s" s="11">
        <v>14</v>
      </c>
      <c r="H11137" t="s" s="10">
        <v>14</v>
      </c>
      <c r="I11137" t="s" s="11">
        <v>14</v>
      </c>
      <c r="J11137" t="s" s="11">
        <v>14</v>
      </c>
      <c r="K11137" t="s" s="12">
        <v>14</v>
      </c>
      <c r="L11137" t="s" s="12">
        <v>14</v>
      </c>
      <c r="M11137" t="s" s="10">
        <v>14</v>
      </c>
      <c r="N11137" t="s" s="11">
        <v>14</v>
      </c>
      <c r="O11137" t="s" s="8">
        <v>14</v>
      </c>
      <c r="P11137" t="s" s="8">
        <v>14</v>
      </c>
      <c r="Q11137" t="s" s="12">
        <v>14</v>
      </c>
      <c r="R11137" t="s" s="12">
        <v>14</v>
      </c>
    </row>
    <row r="11138" s="2" customFormat="1" ht="13.5" customHeight="1">
      <c r="B11138" s="13"/>
      <c r="C11138" t="s" s="9">
        <v>23</v>
      </c>
      <c r="D11138" t="s" s="8">
        <v>4153</v>
      </c>
      <c r="E11138" t="s" s="9">
        <v>4153</v>
      </c>
      <c r="F11138" t="s" s="10">
        <v>119</v>
      </c>
      <c r="G11138" t="s" s="11">
        <v>119</v>
      </c>
      <c r="H11138" s="19">
        <v>5</v>
      </c>
      <c r="I11138" s="17">
        <v>5</v>
      </c>
      <c r="J11138" t="s" s="11">
        <v>20</v>
      </c>
      <c r="K11138" t="s" s="16">
        <f>HYPERLINK("http://csr.bu.edu/ftp/asl/asllvd/demos/verify_start_end_handshape_annotations//test_auto_move//signs_mov/4769.mov","MOV")</f>
        <v>21</v>
      </c>
      <c r="L11138" t="s" s="16">
        <f>HYPERLINK("http://csr.bu.edu/ftp/asl/asllvd/demos/verify_start_end_handshape_annotations//test_auto_move//signs_mov_separ_signers/Tyler_4769.mov","MOV")</f>
        <v>21</v>
      </c>
      <c r="M11138" t="s" s="10">
        <v>37</v>
      </c>
      <c r="N11138" s="17">
        <v>6</v>
      </c>
      <c r="O11138" s="18">
        <v>1980</v>
      </c>
      <c r="P11138" s="18">
        <v>2017</v>
      </c>
      <c r="Q11138" t="s" s="16">
        <f>HYPERLINK("http://secrets.rutgers.edu:8080/data/asl-ftp/asllvd/demos/verify_start_end_handshape_annotations//test_auto_move//signs_mov/4769.mov","MOV")</f>
        <v>21</v>
      </c>
      <c r="R11138" t="s" s="16">
        <f>HYPERLINK("http://secrets.rutgers.edu:8080/data/asl-ftp/asllvd/demos/verify_start_end_handshape_annotations//test_auto_move//signs_mov_separ_signers/Tyler_4769.mov","MOV")</f>
        <v>21</v>
      </c>
    </row>
    <row r="11139" s="2" customFormat="1" ht="13.5" customHeight="1">
      <c r="B11139" t="s" s="8">
        <v>4154</v>
      </c>
      <c r="C11139" t="s" s="9">
        <v>14</v>
      </c>
      <c r="D11139" t="s" s="8">
        <v>14</v>
      </c>
      <c r="E11139" t="s" s="9">
        <v>14</v>
      </c>
      <c r="F11139" t="s" s="10">
        <v>14</v>
      </c>
      <c r="G11139" t="s" s="11">
        <v>14</v>
      </c>
      <c r="H11139" t="s" s="10">
        <v>14</v>
      </c>
      <c r="I11139" t="s" s="11">
        <v>14</v>
      </c>
      <c r="J11139" t="s" s="11">
        <v>14</v>
      </c>
      <c r="K11139" t="s" s="12">
        <v>14</v>
      </c>
      <c r="L11139" t="s" s="12">
        <v>14</v>
      </c>
      <c r="M11139" t="s" s="10">
        <v>14</v>
      </c>
      <c r="N11139" t="s" s="11">
        <v>14</v>
      </c>
      <c r="O11139" t="s" s="8">
        <v>14</v>
      </c>
      <c r="P11139" t="s" s="8">
        <v>14</v>
      </c>
      <c r="Q11139" t="s" s="12">
        <v>14</v>
      </c>
      <c r="R11139" t="s" s="12">
        <v>14</v>
      </c>
    </row>
    <row r="11140" s="2" customFormat="1" ht="13.5" customHeight="1">
      <c r="B11140" s="13"/>
      <c r="C11140" t="s" s="9">
        <v>16</v>
      </c>
      <c r="D11140" t="s" s="8">
        <v>4154</v>
      </c>
      <c r="E11140" t="s" s="9">
        <v>4154</v>
      </c>
      <c r="F11140" t="s" s="10">
        <v>240</v>
      </c>
      <c r="G11140" t="s" s="11">
        <v>240</v>
      </c>
      <c r="H11140" t="s" s="10">
        <v>240</v>
      </c>
      <c r="I11140" t="s" s="11">
        <v>240</v>
      </c>
      <c r="J11140" t="s" s="11">
        <v>20</v>
      </c>
      <c r="K11140" s="15"/>
      <c r="L11140" t="s" s="16">
        <f>HYPERLINK("http://csr.bu.edu/ftp/asl/asllvd/demos/verify_start_end_handshape_annotations//test_auto_move//signs_mov_separ_signers/Liz_6010.mov","MOV")</f>
        <v>21</v>
      </c>
      <c r="M11140" t="s" s="10">
        <v>22</v>
      </c>
      <c r="N11140" s="17">
        <v>40</v>
      </c>
      <c r="O11140" s="18">
        <v>921</v>
      </c>
      <c r="P11140" s="18">
        <v>970</v>
      </c>
      <c r="Q11140" s="15"/>
      <c r="R11140" t="s" s="16">
        <f>HYPERLINK("http://secrets.rutgers.edu:8080/data/asl-ftp/asllvd/demos/verify_start_end_handshape_annotations//test_auto_move//signs_mov_separ_signers/Liz_6010.mov","MOV")</f>
        <v>21</v>
      </c>
    </row>
    <row r="11141" s="2" customFormat="1" ht="13.5" customHeight="1">
      <c r="B11141" s="13"/>
      <c r="C11141" t="s" s="9">
        <v>23</v>
      </c>
      <c r="D11141" t="s" s="8">
        <v>4154</v>
      </c>
      <c r="E11141" t="s" s="9">
        <v>4154</v>
      </c>
      <c r="F11141" t="s" s="10">
        <v>240</v>
      </c>
      <c r="G11141" t="s" s="11">
        <v>240</v>
      </c>
      <c r="H11141" t="s" s="10">
        <v>240</v>
      </c>
      <c r="I11141" t="s" s="11">
        <v>240</v>
      </c>
      <c r="J11141" t="s" s="11">
        <v>20</v>
      </c>
      <c r="K11141" t="s" s="16">
        <f>HYPERLINK("http://csr.bu.edu/ftp/asl/asllvd/demos/verify_start_end_handshape_annotations//test_auto_move//signs_mov/6010.mov","MOV")</f>
        <v>21</v>
      </c>
      <c r="L11141" t="s" s="16">
        <f>HYPERLINK("http://csr.bu.edu/ftp/asl/asllvd/demos/verify_start_end_handshape_annotations//test_auto_move//signs_mov_separ_signers/Tyler_6010.mov","MOV")</f>
        <v>21</v>
      </c>
      <c r="M11141" t="s" s="10">
        <v>26</v>
      </c>
      <c r="N11141" s="17">
        <v>25</v>
      </c>
      <c r="O11141" s="18">
        <v>4125</v>
      </c>
      <c r="P11141" s="18">
        <v>4165</v>
      </c>
      <c r="Q11141" t="s" s="16">
        <f>HYPERLINK("http://secrets.rutgers.edu:8080/data/asl-ftp/asllvd/demos/verify_start_end_handshape_annotations//test_auto_move//signs_mov/6010.mov","MOV")</f>
        <v>21</v>
      </c>
      <c r="R11141" t="s" s="16">
        <f>HYPERLINK("http://secrets.rutgers.edu:8080/data/asl-ftp/asllvd/demos/verify_start_end_handshape_annotations//test_auto_move//signs_mov_separ_signers/Tyler_6010.mov","MOV")</f>
        <v>21</v>
      </c>
    </row>
    <row r="11142" s="2" customFormat="1" ht="13.5" customHeight="1">
      <c r="B11142" s="13"/>
      <c r="C11142" t="s" s="9">
        <v>27</v>
      </c>
      <c r="D11142" t="s" s="8">
        <v>4154</v>
      </c>
      <c r="E11142" t="s" s="9">
        <v>4154</v>
      </c>
      <c r="F11142" t="s" s="10">
        <v>240</v>
      </c>
      <c r="G11142" t="s" s="11">
        <v>240</v>
      </c>
      <c r="H11142" t="s" s="10">
        <v>240</v>
      </c>
      <c r="I11142" t="s" s="11">
        <v>240</v>
      </c>
      <c r="J11142" t="s" s="11">
        <v>20</v>
      </c>
      <c r="K11142" s="15"/>
      <c r="L11142" t="s" s="16">
        <f>HYPERLINK("http://csr.bu.edu/ftp/asl/asllvd/demos/verify_start_end_handshape_annotations//test_auto_move//signs_mov_separ_signers/Naomi_6010.mov","MOV")</f>
        <v>21</v>
      </c>
      <c r="M11142" t="s" s="10">
        <v>29</v>
      </c>
      <c r="N11142" s="17">
        <v>26</v>
      </c>
      <c r="O11142" s="18">
        <v>3680</v>
      </c>
      <c r="P11142" s="18">
        <v>3710</v>
      </c>
      <c r="Q11142" s="15"/>
      <c r="R11142" t="s" s="16">
        <f>HYPERLINK("http://secrets.rutgers.edu:8080/data/asl-ftp/asllvd/demos/verify_start_end_handshape_annotations//test_auto_move//signs_mov_separ_signers/Naomi_6010.mov","MOV")</f>
        <v>21</v>
      </c>
    </row>
    <row r="11143" s="2" customFormat="1" ht="13.5" customHeight="1">
      <c r="B11143" s="13"/>
      <c r="C11143" t="s" s="9">
        <v>30</v>
      </c>
      <c r="D11143" t="s" s="8">
        <v>4154</v>
      </c>
      <c r="E11143" t="s" s="9">
        <v>4154</v>
      </c>
      <c r="F11143" t="s" s="10">
        <v>240</v>
      </c>
      <c r="G11143" t="s" s="11">
        <v>240</v>
      </c>
      <c r="H11143" t="s" s="10">
        <v>240</v>
      </c>
      <c r="I11143" t="s" s="11">
        <v>240</v>
      </c>
      <c r="J11143" t="s" s="11">
        <v>20</v>
      </c>
      <c r="K11143" s="15"/>
      <c r="L11143" t="s" s="16">
        <f>HYPERLINK("http://csr.bu.edu/ftp/asl/asllvd/demos/verify_start_end_handshape_annotations//test_auto_move//signs_mov_separ_signers/Brady_6010.mov","MOV")</f>
        <v>21</v>
      </c>
      <c r="M11143" t="s" s="10">
        <v>60</v>
      </c>
      <c r="N11143" s="17">
        <v>38</v>
      </c>
      <c r="O11143" s="18">
        <v>2765</v>
      </c>
      <c r="P11143" s="18">
        <v>2785</v>
      </c>
      <c r="Q11143" s="15"/>
      <c r="R11143" t="s" s="16">
        <f>HYPERLINK("http://secrets.rutgers.edu:8080/data/asl-ftp/asllvd/demos/verify_start_end_handshape_annotations//test_auto_move//signs_mov_separ_signers/Brady_6010.mov","MOV")</f>
        <v>21</v>
      </c>
    </row>
    <row r="11144" s="2" customFormat="1" ht="13.5" customHeight="1">
      <c r="B11144" t="s" s="8">
        <v>4155</v>
      </c>
      <c r="C11144" t="s" s="9">
        <v>14</v>
      </c>
      <c r="D11144" t="s" s="8">
        <v>14</v>
      </c>
      <c r="E11144" t="s" s="9">
        <v>14</v>
      </c>
      <c r="F11144" t="s" s="10">
        <v>14</v>
      </c>
      <c r="G11144" t="s" s="11">
        <v>14</v>
      </c>
      <c r="H11144" t="s" s="10">
        <v>14</v>
      </c>
      <c r="I11144" t="s" s="11">
        <v>14</v>
      </c>
      <c r="J11144" t="s" s="11">
        <v>14</v>
      </c>
      <c r="K11144" t="s" s="12">
        <v>14</v>
      </c>
      <c r="L11144" t="s" s="12">
        <v>14</v>
      </c>
      <c r="M11144" t="s" s="10">
        <v>14</v>
      </c>
      <c r="N11144" t="s" s="11">
        <v>14</v>
      </c>
      <c r="O11144" t="s" s="8">
        <v>14</v>
      </c>
      <c r="P11144" t="s" s="8">
        <v>14</v>
      </c>
      <c r="Q11144" t="s" s="12">
        <v>14</v>
      </c>
      <c r="R11144" t="s" s="12">
        <v>14</v>
      </c>
    </row>
    <row r="11145" s="2" customFormat="1" ht="13.5" customHeight="1">
      <c r="B11145" s="13"/>
      <c r="C11145" t="s" s="9">
        <v>30</v>
      </c>
      <c r="D11145" t="s" s="8">
        <v>4155</v>
      </c>
      <c r="E11145" t="s" s="9">
        <v>4155</v>
      </c>
      <c r="F11145" s="19">
        <v>8</v>
      </c>
      <c r="G11145" s="17">
        <v>5</v>
      </c>
      <c r="H11145" s="19">
        <v>8</v>
      </c>
      <c r="I11145" s="17">
        <v>5</v>
      </c>
      <c r="J11145" t="s" s="11">
        <v>20</v>
      </c>
      <c r="K11145" t="s" s="16">
        <f>HYPERLINK("http://csr.bu.edu/ftp/asl/asllvd/demos/verify_start_end_handshape_annotations//test_auto_move//signs_mov/6172.mov","MOV")</f>
        <v>21</v>
      </c>
      <c r="L11145" t="s" s="16">
        <f>HYPERLINK("http://csr.bu.edu/ftp/asl/asllvd/demos/verify_start_end_handshape_annotations//test_auto_move//signs_mov_separ_signers/Brady_6172.mov","MOV")</f>
        <v>21</v>
      </c>
      <c r="M11145" t="s" s="10">
        <v>31</v>
      </c>
      <c r="N11145" s="17">
        <v>6</v>
      </c>
      <c r="O11145" s="18">
        <v>4406</v>
      </c>
      <c r="P11145" s="18">
        <v>4434</v>
      </c>
      <c r="Q11145" t="s" s="16">
        <f>HYPERLINK("http://secrets.rutgers.edu:8080/data/asl-ftp/asllvd/demos/verify_start_end_handshape_annotations//test_auto_move//signs_mov/6172.mov","MOV")</f>
        <v>21</v>
      </c>
      <c r="R11145" t="s" s="16">
        <f>HYPERLINK("http://secrets.rutgers.edu:8080/data/asl-ftp/asllvd/demos/verify_start_end_handshape_annotations//test_auto_move//signs_mov_separ_signers/Brady_6172.mov","MOV")</f>
        <v>21</v>
      </c>
    </row>
    <row r="11146" s="2" customFormat="1" ht="13.5" customHeight="1">
      <c r="B11146" t="s" s="8">
        <v>4156</v>
      </c>
      <c r="C11146" t="s" s="9">
        <v>14</v>
      </c>
      <c r="D11146" t="s" s="8">
        <v>14</v>
      </c>
      <c r="E11146" t="s" s="9">
        <v>14</v>
      </c>
      <c r="F11146" t="s" s="10">
        <v>14</v>
      </c>
      <c r="G11146" t="s" s="11">
        <v>14</v>
      </c>
      <c r="H11146" t="s" s="10">
        <v>14</v>
      </c>
      <c r="I11146" t="s" s="11">
        <v>14</v>
      </c>
      <c r="J11146" t="s" s="11">
        <v>14</v>
      </c>
      <c r="K11146" t="s" s="12">
        <v>14</v>
      </c>
      <c r="L11146" t="s" s="12">
        <v>14</v>
      </c>
      <c r="M11146" t="s" s="10">
        <v>14</v>
      </c>
      <c r="N11146" t="s" s="11">
        <v>14</v>
      </c>
      <c r="O11146" t="s" s="8">
        <v>14</v>
      </c>
      <c r="P11146" t="s" s="8">
        <v>14</v>
      </c>
      <c r="Q11146" t="s" s="12">
        <v>14</v>
      </c>
      <c r="R11146" t="s" s="12">
        <v>14</v>
      </c>
    </row>
    <row r="11147" s="2" customFormat="1" ht="13.5" customHeight="1">
      <c r="B11147" s="13"/>
      <c r="C11147" t="s" s="9">
        <v>16</v>
      </c>
      <c r="D11147" t="s" s="8">
        <v>4156</v>
      </c>
      <c r="E11147" t="s" s="9">
        <v>4156</v>
      </c>
      <c r="F11147" t="s" s="10">
        <v>430</v>
      </c>
      <c r="G11147" t="s" s="11">
        <v>73</v>
      </c>
      <c r="H11147" s="19">
        <v>1</v>
      </c>
      <c r="I11147" t="s" s="11">
        <v>73</v>
      </c>
      <c r="J11147" t="s" s="11">
        <v>20</v>
      </c>
      <c r="K11147" t="s" s="16">
        <f>HYPERLINK("http://csr.bu.edu/ftp/asl/asllvd/demos/verify_start_end_handshape_annotations//test_auto_move//signs_mov/5872.mov","MOV")</f>
        <v>21</v>
      </c>
      <c r="L11147" t="s" s="16">
        <f>HYPERLINK("http://csr.bu.edu/ftp/asl/asllvd/demos/verify_start_end_handshape_annotations//test_auto_move//signs_mov_separ_signers/Liz_5872.mov","MOV")</f>
        <v>21</v>
      </c>
      <c r="M11147" t="s" s="10">
        <v>77</v>
      </c>
      <c r="N11147" s="17">
        <v>16</v>
      </c>
      <c r="O11147" s="18">
        <v>5210</v>
      </c>
      <c r="P11147" s="18">
        <v>5273</v>
      </c>
      <c r="Q11147" t="s" s="16">
        <f>HYPERLINK("http://secrets.rutgers.edu:8080/data/asl-ftp/asllvd/demos/verify_start_end_handshape_annotations//test_auto_move//signs_mov/5872.mov","MOV")</f>
        <v>21</v>
      </c>
      <c r="R11147" t="s" s="16">
        <f>HYPERLINK("http://secrets.rutgers.edu:8080/data/asl-ftp/asllvd/demos/verify_start_end_handshape_annotations//test_auto_move//signs_mov_separ_signers/Liz_5872.mov","MOV")</f>
        <v>21</v>
      </c>
    </row>
    <row r="11148" s="2" customFormat="1" ht="13.5" customHeight="1">
      <c r="B11148" t="s" s="8">
        <v>4157</v>
      </c>
      <c r="C11148" t="s" s="9">
        <v>14</v>
      </c>
      <c r="D11148" t="s" s="8">
        <v>14</v>
      </c>
      <c r="E11148" t="s" s="9">
        <v>14</v>
      </c>
      <c r="F11148" t="s" s="10">
        <v>14</v>
      </c>
      <c r="G11148" t="s" s="11">
        <v>14</v>
      </c>
      <c r="H11148" t="s" s="10">
        <v>14</v>
      </c>
      <c r="I11148" t="s" s="11">
        <v>14</v>
      </c>
      <c r="J11148" t="s" s="11">
        <v>14</v>
      </c>
      <c r="K11148" t="s" s="12">
        <v>14</v>
      </c>
      <c r="L11148" t="s" s="12">
        <v>14</v>
      </c>
      <c r="M11148" t="s" s="10">
        <v>14</v>
      </c>
      <c r="N11148" t="s" s="11">
        <v>14</v>
      </c>
      <c r="O11148" t="s" s="8">
        <v>14</v>
      </c>
      <c r="P11148" t="s" s="8">
        <v>14</v>
      </c>
      <c r="Q11148" t="s" s="12">
        <v>14</v>
      </c>
      <c r="R11148" t="s" s="12">
        <v>14</v>
      </c>
    </row>
    <row r="11149" s="2" customFormat="1" ht="13.5" customHeight="1">
      <c r="B11149" s="13"/>
      <c r="C11149" t="s" s="9">
        <v>30</v>
      </c>
      <c r="D11149" t="s" s="8">
        <v>4157</v>
      </c>
      <c r="E11149" t="s" s="9">
        <v>4157</v>
      </c>
      <c r="F11149" s="19">
        <v>6</v>
      </c>
      <c r="G11149" s="14"/>
      <c r="H11149" s="19">
        <v>6</v>
      </c>
      <c r="I11149" s="14"/>
      <c r="J11149" t="s" s="11">
        <v>20</v>
      </c>
      <c r="K11149" t="s" s="16">
        <f>HYPERLINK("http://csr.bu.edu/ftp/asl/asllvd/demos/verify_start_end_handshape_annotations//test_auto_move//signs_mov/6174.mov","MOV")</f>
        <v>21</v>
      </c>
      <c r="L11149" t="s" s="16">
        <f>HYPERLINK("http://csr.bu.edu/ftp/asl/asllvd/demos/verify_start_end_handshape_annotations//test_auto_move//signs_mov_separ_signers/Brady_6174.mov","MOV")</f>
        <v>21</v>
      </c>
      <c r="M11149" t="s" s="10">
        <v>31</v>
      </c>
      <c r="N11149" s="17">
        <v>6</v>
      </c>
      <c r="O11149" s="18">
        <v>2182</v>
      </c>
      <c r="P11149" s="18">
        <v>2212</v>
      </c>
      <c r="Q11149" t="s" s="16">
        <f>HYPERLINK("http://secrets.rutgers.edu:8080/data/asl-ftp/asllvd/demos/verify_start_end_handshape_annotations//test_auto_move//signs_mov/6174.mov","MOV")</f>
        <v>21</v>
      </c>
      <c r="R11149" t="s" s="16">
        <f>HYPERLINK("http://secrets.rutgers.edu:8080/data/asl-ftp/asllvd/demos/verify_start_end_handshape_annotations//test_auto_move//signs_mov_separ_signers/Brady_6174.mov","MOV")</f>
        <v>21</v>
      </c>
    </row>
    <row r="11150" s="2" customFormat="1" ht="13.5" customHeight="1">
      <c r="B11150" t="s" s="8">
        <v>4158</v>
      </c>
      <c r="C11150" t="s" s="9">
        <v>14</v>
      </c>
      <c r="D11150" t="s" s="8">
        <v>14</v>
      </c>
      <c r="E11150" t="s" s="9">
        <v>14</v>
      </c>
      <c r="F11150" t="s" s="10">
        <v>14</v>
      </c>
      <c r="G11150" t="s" s="11">
        <v>14</v>
      </c>
      <c r="H11150" t="s" s="10">
        <v>14</v>
      </c>
      <c r="I11150" t="s" s="11">
        <v>14</v>
      </c>
      <c r="J11150" t="s" s="11">
        <v>14</v>
      </c>
      <c r="K11150" t="s" s="12">
        <v>14</v>
      </c>
      <c r="L11150" t="s" s="12">
        <v>14</v>
      </c>
      <c r="M11150" t="s" s="10">
        <v>14</v>
      </c>
      <c r="N11150" t="s" s="11">
        <v>14</v>
      </c>
      <c r="O11150" t="s" s="8">
        <v>14</v>
      </c>
      <c r="P11150" t="s" s="8">
        <v>14</v>
      </c>
      <c r="Q11150" t="s" s="12">
        <v>14</v>
      </c>
      <c r="R11150" t="s" s="12">
        <v>14</v>
      </c>
    </row>
    <row r="11151" s="2" customFormat="1" ht="13.5" customHeight="1">
      <c r="B11151" s="13"/>
      <c r="C11151" t="s" s="9">
        <v>16</v>
      </c>
      <c r="D11151" t="s" s="8">
        <v>4158</v>
      </c>
      <c r="E11151" t="s" s="9">
        <v>4158</v>
      </c>
      <c r="F11151" t="s" s="10">
        <v>260</v>
      </c>
      <c r="G11151" t="s" s="11">
        <v>260</v>
      </c>
      <c r="H11151" t="s" s="10">
        <v>260</v>
      </c>
      <c r="I11151" t="s" s="11">
        <v>260</v>
      </c>
      <c r="J11151" t="s" s="11">
        <v>20</v>
      </c>
      <c r="K11151" t="s" s="16">
        <f>HYPERLINK("http://csr.bu.edu/ftp/asl/asllvd/demos/verify_start_end_handshape_annotations//test_auto_move//signs_mov/6231.mov","MOV")</f>
        <v>21</v>
      </c>
      <c r="L11151" t="s" s="16">
        <f>HYPERLINK("http://csr.bu.edu/ftp/asl/asllvd/demos/verify_start_end_handshape_annotations//test_auto_move//signs_mov_separ_signers/Liz_6231.mov","MOV")</f>
        <v>21</v>
      </c>
      <c r="M11151" t="s" s="10">
        <v>22</v>
      </c>
      <c r="N11151" s="17">
        <v>47</v>
      </c>
      <c r="O11151" s="18">
        <v>1495</v>
      </c>
      <c r="P11151" s="18">
        <v>1535</v>
      </c>
      <c r="Q11151" t="s" s="16">
        <f>HYPERLINK("http://secrets.rutgers.edu:8080/data/asl-ftp/asllvd/demos/verify_start_end_handshape_annotations//test_auto_move//signs_mov/6231.mov","MOV")</f>
        <v>21</v>
      </c>
      <c r="R11151" t="s" s="16">
        <f>HYPERLINK("http://secrets.rutgers.edu:8080/data/asl-ftp/asllvd/demos/verify_start_end_handshape_annotations//test_auto_move//signs_mov_separ_signers/Liz_6231.mov","MOV")</f>
        <v>21</v>
      </c>
    </row>
    <row r="11152" s="2" customFormat="1" ht="13.5" customHeight="1">
      <c r="B11152" t="s" s="8">
        <v>4159</v>
      </c>
      <c r="C11152" t="s" s="9">
        <v>14</v>
      </c>
      <c r="D11152" t="s" s="8">
        <v>14</v>
      </c>
      <c r="E11152" t="s" s="9">
        <v>14</v>
      </c>
      <c r="F11152" t="s" s="10">
        <v>14</v>
      </c>
      <c r="G11152" t="s" s="11">
        <v>14</v>
      </c>
      <c r="H11152" t="s" s="10">
        <v>14</v>
      </c>
      <c r="I11152" t="s" s="11">
        <v>14</v>
      </c>
      <c r="J11152" t="s" s="11">
        <v>14</v>
      </c>
      <c r="K11152" t="s" s="12">
        <v>14</v>
      </c>
      <c r="L11152" t="s" s="12">
        <v>14</v>
      </c>
      <c r="M11152" t="s" s="10">
        <v>14</v>
      </c>
      <c r="N11152" t="s" s="11">
        <v>14</v>
      </c>
      <c r="O11152" t="s" s="8">
        <v>14</v>
      </c>
      <c r="P11152" t="s" s="8">
        <v>14</v>
      </c>
      <c r="Q11152" t="s" s="12">
        <v>14</v>
      </c>
      <c r="R11152" t="s" s="12">
        <v>14</v>
      </c>
    </row>
    <row r="11153" s="2" customFormat="1" ht="13.5" customHeight="1">
      <c r="B11153" s="13"/>
      <c r="C11153" t="s" s="9">
        <v>30</v>
      </c>
      <c r="D11153" t="s" s="8">
        <v>4159</v>
      </c>
      <c r="E11153" t="s" s="9">
        <v>4159</v>
      </c>
      <c r="F11153" t="s" s="10">
        <v>55</v>
      </c>
      <c r="G11153" s="14"/>
      <c r="H11153" t="s" s="10">
        <v>117</v>
      </c>
      <c r="I11153" s="14"/>
      <c r="J11153" t="s" s="11">
        <v>20</v>
      </c>
      <c r="K11153" t="s" s="16">
        <f>HYPERLINK("http://csr.bu.edu/ftp/asl/asllvd/demos/verify_start_end_handshape_annotations//test_auto_move//signs_mov/15072.mov","MOV")</f>
        <v>21</v>
      </c>
      <c r="L11153" t="s" s="16">
        <f>HYPERLINK("http://csr.bu.edu/ftp/asl/asllvd/demos/verify_start_end_handshape_annotations//test_auto_move//signs_mov_separ_signers/Brady_15072.mov","MOV")</f>
        <v>21</v>
      </c>
      <c r="M11153" t="s" s="10">
        <v>31</v>
      </c>
      <c r="N11153" s="17">
        <v>22</v>
      </c>
      <c r="O11153" s="18">
        <v>1185</v>
      </c>
      <c r="P11153" s="18">
        <v>1228</v>
      </c>
      <c r="Q11153" t="s" s="16">
        <f>HYPERLINK("http://secrets.rutgers.edu:8080/data/asl-ftp/asllvd/demos/verify_start_end_handshape_annotations//test_auto_move//signs_mov/15072.mov","MOV")</f>
        <v>21</v>
      </c>
      <c r="R11153" t="s" s="16">
        <f>HYPERLINK("http://secrets.rutgers.edu:8080/data/asl-ftp/asllvd/demos/verify_start_end_handshape_annotations//test_auto_move//signs_mov_separ_signers/Brady_15072.mov","MOV")</f>
        <v>21</v>
      </c>
    </row>
    <row r="11154" s="2" customFormat="1" ht="13.5" customHeight="1">
      <c r="B11154" t="s" s="8">
        <v>4160</v>
      </c>
      <c r="C11154" t="s" s="9">
        <v>14</v>
      </c>
      <c r="D11154" t="s" s="8">
        <v>14</v>
      </c>
      <c r="E11154" t="s" s="9">
        <v>14</v>
      </c>
      <c r="F11154" t="s" s="10">
        <v>14</v>
      </c>
      <c r="G11154" t="s" s="11">
        <v>14</v>
      </c>
      <c r="H11154" t="s" s="10">
        <v>14</v>
      </c>
      <c r="I11154" t="s" s="11">
        <v>14</v>
      </c>
      <c r="J11154" t="s" s="11">
        <v>14</v>
      </c>
      <c r="K11154" t="s" s="12">
        <v>14</v>
      </c>
      <c r="L11154" t="s" s="12">
        <v>14</v>
      </c>
      <c r="M11154" t="s" s="10">
        <v>14</v>
      </c>
      <c r="N11154" t="s" s="11">
        <v>14</v>
      </c>
      <c r="O11154" t="s" s="8">
        <v>14</v>
      </c>
      <c r="P11154" t="s" s="8">
        <v>14</v>
      </c>
      <c r="Q11154" t="s" s="12">
        <v>14</v>
      </c>
      <c r="R11154" t="s" s="12">
        <v>14</v>
      </c>
    </row>
    <row r="11155" s="2" customFormat="1" ht="13.5" customHeight="1">
      <c r="B11155" s="13"/>
      <c r="C11155" t="s" s="9">
        <v>23</v>
      </c>
      <c r="D11155" t="s" s="8">
        <v>4160</v>
      </c>
      <c r="E11155" t="s" s="9">
        <v>4161</v>
      </c>
      <c r="F11155" t="s" s="10">
        <v>55</v>
      </c>
      <c r="G11155" t="s" s="11">
        <v>55</v>
      </c>
      <c r="H11155" t="s" s="10">
        <v>55</v>
      </c>
      <c r="I11155" t="s" s="11">
        <v>55</v>
      </c>
      <c r="J11155" t="s" s="11">
        <v>20</v>
      </c>
      <c r="K11155" t="s" s="16">
        <f>HYPERLINK("http://csr.bu.edu/ftp/asl/asllvd/demos/verify_start_end_handshape_annotations//test_auto_move//signs_mov/6295.mov","MOV")</f>
        <v>21</v>
      </c>
      <c r="L11155" t="s" s="16">
        <f>HYPERLINK("http://csr.bu.edu/ftp/asl/asllvd/demos/verify_start_end_handshape_annotations//test_auto_move//signs_mov_separ_signers/Tyler_6295.mov","MOV")</f>
        <v>21</v>
      </c>
      <c r="M11155" t="s" s="10">
        <v>26</v>
      </c>
      <c r="N11155" s="17">
        <v>22</v>
      </c>
      <c r="O11155" s="18">
        <v>2795</v>
      </c>
      <c r="P11155" s="18">
        <v>2867</v>
      </c>
      <c r="Q11155" t="s" s="16">
        <f>HYPERLINK("http://secrets.rutgers.edu:8080/data/asl-ftp/asllvd/demos/verify_start_end_handshape_annotations//test_auto_move//signs_mov/6295.mov","MOV")</f>
        <v>21</v>
      </c>
      <c r="R11155" t="s" s="16">
        <f>HYPERLINK("http://secrets.rutgers.edu:8080/data/asl-ftp/asllvd/demos/verify_start_end_handshape_annotations//test_auto_move//signs_mov_separ_signers/Tyler_6295.mov","MOV")</f>
        <v>21</v>
      </c>
    </row>
    <row r="11156" s="2" customFormat="1" ht="13.5" customHeight="1">
      <c r="B11156" t="s" s="8">
        <v>4162</v>
      </c>
      <c r="C11156" t="s" s="9">
        <v>14</v>
      </c>
      <c r="D11156" t="s" s="8">
        <v>14</v>
      </c>
      <c r="E11156" t="s" s="9">
        <v>14</v>
      </c>
      <c r="F11156" t="s" s="10">
        <v>14</v>
      </c>
      <c r="G11156" t="s" s="11">
        <v>14</v>
      </c>
      <c r="H11156" t="s" s="10">
        <v>14</v>
      </c>
      <c r="I11156" t="s" s="11">
        <v>14</v>
      </c>
      <c r="J11156" t="s" s="11">
        <v>14</v>
      </c>
      <c r="K11156" t="s" s="12">
        <v>14</v>
      </c>
      <c r="L11156" t="s" s="12">
        <v>14</v>
      </c>
      <c r="M11156" t="s" s="10">
        <v>14</v>
      </c>
      <c r="N11156" t="s" s="11">
        <v>14</v>
      </c>
      <c r="O11156" t="s" s="8">
        <v>14</v>
      </c>
      <c r="P11156" t="s" s="8">
        <v>14</v>
      </c>
      <c r="Q11156" t="s" s="12">
        <v>14</v>
      </c>
      <c r="R11156" t="s" s="12">
        <v>14</v>
      </c>
    </row>
    <row r="11157" s="2" customFormat="1" ht="13.5" customHeight="1">
      <c r="B11157" s="13"/>
      <c r="C11157" t="s" s="9">
        <v>16</v>
      </c>
      <c r="D11157" t="s" s="8">
        <v>4162</v>
      </c>
      <c r="E11157" t="s" s="9">
        <v>4162</v>
      </c>
      <c r="F11157" t="s" s="10">
        <v>1352</v>
      </c>
      <c r="G11157" t="s" s="11">
        <v>1352</v>
      </c>
      <c r="H11157" t="s" s="10">
        <v>119</v>
      </c>
      <c r="I11157" t="s" s="11">
        <v>119</v>
      </c>
      <c r="J11157" t="s" s="11">
        <v>20</v>
      </c>
      <c r="K11157" t="s" s="16">
        <f>HYPERLINK("http://csr.bu.edu/ftp/asl/asllvd/demos/verify_start_end_handshape_annotations//test_auto_move//signs_mov/6348.mov","MOV")</f>
        <v>21</v>
      </c>
      <c r="L11157" t="s" s="16">
        <f>HYPERLINK("http://csr.bu.edu/ftp/asl/asllvd/demos/verify_start_end_handshape_annotations//test_auto_move//signs_mov_separ_signers/Liz_6348.mov","MOV")</f>
        <v>21</v>
      </c>
      <c r="M11157" t="s" s="10">
        <v>22</v>
      </c>
      <c r="N11157" s="17">
        <v>34</v>
      </c>
      <c r="O11157" s="18">
        <v>820</v>
      </c>
      <c r="P11157" s="18">
        <v>870</v>
      </c>
      <c r="Q11157" t="s" s="16">
        <f>HYPERLINK("http://secrets.rutgers.edu:8080/data/asl-ftp/asllvd/demos/verify_start_end_handshape_annotations//test_auto_move//signs_mov/6348.mov","MOV")</f>
        <v>21</v>
      </c>
      <c r="R11157" t="s" s="16">
        <f>HYPERLINK("http://secrets.rutgers.edu:8080/data/asl-ftp/asllvd/demos/verify_start_end_handshape_annotations//test_auto_move//signs_mov_separ_signers/Liz_6348.mov","MOV")</f>
        <v>21</v>
      </c>
    </row>
    <row r="11158" s="2" customFormat="1" ht="13.5" customHeight="1">
      <c r="B11158" t="s" s="8">
        <v>4163</v>
      </c>
      <c r="C11158" t="s" s="9">
        <v>14</v>
      </c>
      <c r="D11158" t="s" s="8">
        <v>14</v>
      </c>
      <c r="E11158" t="s" s="9">
        <v>14</v>
      </c>
      <c r="F11158" t="s" s="10">
        <v>14</v>
      </c>
      <c r="G11158" t="s" s="11">
        <v>14</v>
      </c>
      <c r="H11158" t="s" s="10">
        <v>14</v>
      </c>
      <c r="I11158" t="s" s="11">
        <v>14</v>
      </c>
      <c r="J11158" t="s" s="11">
        <v>14</v>
      </c>
      <c r="K11158" t="s" s="12">
        <v>14</v>
      </c>
      <c r="L11158" t="s" s="12">
        <v>14</v>
      </c>
      <c r="M11158" t="s" s="10">
        <v>14</v>
      </c>
      <c r="N11158" t="s" s="11">
        <v>14</v>
      </c>
      <c r="O11158" t="s" s="8">
        <v>14</v>
      </c>
      <c r="P11158" t="s" s="8">
        <v>14</v>
      </c>
      <c r="Q11158" t="s" s="12">
        <v>14</v>
      </c>
      <c r="R11158" t="s" s="12">
        <v>14</v>
      </c>
    </row>
    <row r="11159" s="2" customFormat="1" ht="13.5" customHeight="1">
      <c r="B11159" s="13"/>
      <c r="C11159" t="s" s="9">
        <v>23</v>
      </c>
      <c r="D11159" t="s" s="8">
        <v>4163</v>
      </c>
      <c r="E11159" t="s" s="9">
        <v>4163</v>
      </c>
      <c r="F11159" s="19">
        <v>10</v>
      </c>
      <c r="G11159" s="17">
        <v>10</v>
      </c>
      <c r="H11159" s="19">
        <v>5</v>
      </c>
      <c r="I11159" s="17">
        <v>5</v>
      </c>
      <c r="J11159" t="s" s="11">
        <v>20</v>
      </c>
      <c r="K11159" t="s" s="16">
        <f>HYPERLINK("http://csr.bu.edu/ftp/asl/asllvd/demos/verify_start_end_handshape_annotations//test_auto_move//signs_mov/5596.mov","MOV")</f>
        <v>21</v>
      </c>
      <c r="L11159" t="s" s="16">
        <f>HYPERLINK("http://csr.bu.edu/ftp/asl/asllvd/demos/verify_start_end_handshape_annotations//test_auto_move//signs_mov_separ_signers/Tyler_5596.mov","MOV")</f>
        <v>21</v>
      </c>
      <c r="M11159" t="s" s="10">
        <v>26</v>
      </c>
      <c r="N11159" s="17">
        <v>22</v>
      </c>
      <c r="O11159" s="18">
        <v>784</v>
      </c>
      <c r="P11159" s="18">
        <v>837</v>
      </c>
      <c r="Q11159" t="s" s="16">
        <f>HYPERLINK("http://secrets.rutgers.edu:8080/data/asl-ftp/asllvd/demos/verify_start_end_handshape_annotations//test_auto_move//signs_mov/5596.mov","MOV")</f>
        <v>21</v>
      </c>
      <c r="R11159" t="s" s="16">
        <f>HYPERLINK("http://secrets.rutgers.edu:8080/data/asl-ftp/asllvd/demos/verify_start_end_handshape_annotations//test_auto_move//signs_mov_separ_signers/Tyler_5596.mov","MOV")</f>
        <v>21</v>
      </c>
    </row>
    <row r="11160" s="2" customFormat="1" ht="13.5" customHeight="1">
      <c r="B11160" t="s" s="8">
        <v>4164</v>
      </c>
      <c r="C11160" t="s" s="9">
        <v>14</v>
      </c>
      <c r="D11160" t="s" s="8">
        <v>14</v>
      </c>
      <c r="E11160" t="s" s="9">
        <v>14</v>
      </c>
      <c r="F11160" t="s" s="10">
        <v>14</v>
      </c>
      <c r="G11160" t="s" s="11">
        <v>14</v>
      </c>
      <c r="H11160" t="s" s="10">
        <v>14</v>
      </c>
      <c r="I11160" t="s" s="11">
        <v>14</v>
      </c>
      <c r="J11160" t="s" s="11">
        <v>14</v>
      </c>
      <c r="K11160" t="s" s="12">
        <v>14</v>
      </c>
      <c r="L11160" t="s" s="12">
        <v>14</v>
      </c>
      <c r="M11160" t="s" s="10">
        <v>14</v>
      </c>
      <c r="N11160" t="s" s="11">
        <v>14</v>
      </c>
      <c r="O11160" t="s" s="8">
        <v>14</v>
      </c>
      <c r="P11160" t="s" s="8">
        <v>14</v>
      </c>
      <c r="Q11160" t="s" s="12">
        <v>14</v>
      </c>
      <c r="R11160" t="s" s="12">
        <v>14</v>
      </c>
    </row>
    <row r="11161" s="2" customFormat="1" ht="13.5" customHeight="1">
      <c r="B11161" s="13"/>
      <c r="C11161" t="s" s="9">
        <v>30</v>
      </c>
      <c r="D11161" t="s" s="8">
        <v>4164</v>
      </c>
      <c r="E11161" t="s" s="9">
        <v>4164</v>
      </c>
      <c r="F11161" t="s" s="10">
        <v>63</v>
      </c>
      <c r="G11161" t="s" s="11">
        <v>63</v>
      </c>
      <c r="H11161" t="s" s="10">
        <v>119</v>
      </c>
      <c r="I11161" t="s" s="11">
        <v>119</v>
      </c>
      <c r="J11161" t="s" s="11">
        <v>20</v>
      </c>
      <c r="K11161" t="s" s="16">
        <f>HYPERLINK("http://csr.bu.edu/ftp/asl/asllvd/demos/verify_start_end_handshape_annotations//test_auto_move//signs_mov/5599_5628_merged.mov","MOV")</f>
        <v>21</v>
      </c>
      <c r="L11161" t="s" s="16">
        <f>HYPERLINK("http://csr.bu.edu/ftp/asl/asllvd/demos/verify_start_end_handshape_annotations//test_auto_move//signs_mov_separ_signers/Brady_5599.mov","MOV")</f>
        <v>21</v>
      </c>
      <c r="M11161" t="s" s="10">
        <v>39</v>
      </c>
      <c r="N11161" s="17">
        <v>2</v>
      </c>
      <c r="O11161" s="18">
        <v>3889</v>
      </c>
      <c r="P11161" s="18">
        <v>3934</v>
      </c>
      <c r="Q11161" t="s" s="16">
        <f>HYPERLINK("http://secrets.rutgers.edu:8080/data/asl-ftp/asllvd/demos/verify_start_end_handshape_annotations//test_auto_move//signs_mov/5599_5628_merged.mov","MOV")</f>
        <v>21</v>
      </c>
      <c r="R11161" t="s" s="16">
        <f>HYPERLINK("http://secrets.rutgers.edu:8080/data/asl-ftp/asllvd/demos/verify_start_end_handshape_annotations//test_auto_move//signs_mov_separ_signers/Brady_5599.mov","MOV")</f>
        <v>21</v>
      </c>
    </row>
    <row r="11162" s="2" customFormat="1" ht="13.5" customHeight="1">
      <c r="B11162" s="13"/>
      <c r="C11162" t="s" s="9">
        <v>30</v>
      </c>
      <c r="D11162" t="s" s="8">
        <v>4164</v>
      </c>
      <c r="E11162" t="s" s="9">
        <v>4164</v>
      </c>
      <c r="F11162" t="s" s="10">
        <v>63</v>
      </c>
      <c r="G11162" t="s" s="11">
        <v>63</v>
      </c>
      <c r="H11162" t="s" s="10">
        <v>119</v>
      </c>
      <c r="I11162" t="s" s="11">
        <v>119</v>
      </c>
      <c r="J11162" t="s" s="11">
        <v>20</v>
      </c>
      <c r="K11162" s="15"/>
      <c r="L11162" t="s" s="16">
        <f>HYPERLINK("http://csr.bu.edu/ftp/asl/asllvd/demos/verify_start_end_handshape_annotations//test_auto_move//signs_mov_separ_signers/Brady_5628.mov","MOV")</f>
        <v>21</v>
      </c>
      <c r="M11162" t="s" s="10">
        <v>39</v>
      </c>
      <c r="N11162" s="17">
        <v>2</v>
      </c>
      <c r="O11162" s="18">
        <v>4176</v>
      </c>
      <c r="P11162" s="18">
        <v>4229</v>
      </c>
      <c r="Q11162" s="15"/>
      <c r="R11162" t="s" s="16">
        <f>HYPERLINK("http://secrets.rutgers.edu:8080/data/asl-ftp/asllvd/demos/verify_start_end_handshape_annotations//test_auto_move//signs_mov_separ_signers/Brady_5628.mov","MOV")</f>
        <v>21</v>
      </c>
    </row>
    <row r="11163" s="2" customFormat="1" ht="13.5" customHeight="1">
      <c r="B11163" t="s" s="8">
        <v>4165</v>
      </c>
      <c r="C11163" t="s" s="9">
        <v>14</v>
      </c>
      <c r="D11163" t="s" s="8">
        <v>14</v>
      </c>
      <c r="E11163" t="s" s="9">
        <v>14</v>
      </c>
      <c r="F11163" t="s" s="10">
        <v>14</v>
      </c>
      <c r="G11163" t="s" s="11">
        <v>14</v>
      </c>
      <c r="H11163" t="s" s="10">
        <v>14</v>
      </c>
      <c r="I11163" t="s" s="11">
        <v>14</v>
      </c>
      <c r="J11163" t="s" s="11">
        <v>14</v>
      </c>
      <c r="K11163" t="s" s="12">
        <v>14</v>
      </c>
      <c r="L11163" t="s" s="12">
        <v>14</v>
      </c>
      <c r="M11163" t="s" s="10">
        <v>14</v>
      </c>
      <c r="N11163" t="s" s="11">
        <v>14</v>
      </c>
      <c r="O11163" t="s" s="8">
        <v>14</v>
      </c>
      <c r="P11163" t="s" s="8">
        <v>14</v>
      </c>
      <c r="Q11163" t="s" s="12">
        <v>14</v>
      </c>
      <c r="R11163" t="s" s="12">
        <v>14</v>
      </c>
    </row>
    <row r="11164" s="2" customFormat="1" ht="13.5" customHeight="1">
      <c r="B11164" s="13"/>
      <c r="C11164" t="s" s="9">
        <v>16</v>
      </c>
      <c r="D11164" t="s" s="8">
        <v>4165</v>
      </c>
      <c r="E11164" t="s" s="9">
        <v>4165</v>
      </c>
      <c r="F11164" s="19">
        <v>10</v>
      </c>
      <c r="G11164" s="17">
        <v>10</v>
      </c>
      <c r="H11164" t="s" s="10">
        <v>63</v>
      </c>
      <c r="I11164" t="s" s="11">
        <v>63</v>
      </c>
      <c r="J11164" t="s" s="11">
        <v>20</v>
      </c>
      <c r="K11164" t="s" s="16">
        <f>HYPERLINK("http://csr.bu.edu/ftp/asl/asllvd/demos/verify_start_end_handshape_annotations//test_auto_move//signs_mov/5873.mov","MOV")</f>
        <v>21</v>
      </c>
      <c r="L11164" t="s" s="16">
        <f>HYPERLINK("http://csr.bu.edu/ftp/asl/asllvd/demos/verify_start_end_handshape_annotations//test_auto_move//signs_mov_separ_signers/Liz_5873.mov","MOV")</f>
        <v>21</v>
      </c>
      <c r="M11164" t="s" s="10">
        <v>22</v>
      </c>
      <c r="N11164" s="17">
        <v>34</v>
      </c>
      <c r="O11164" s="18">
        <v>530</v>
      </c>
      <c r="P11164" s="18">
        <v>608</v>
      </c>
      <c r="Q11164" t="s" s="16">
        <f>HYPERLINK("http://secrets.rutgers.edu:8080/data/asl-ftp/asllvd/demos/verify_start_end_handshape_annotations//test_auto_move//signs_mov/5873.mov","MOV")</f>
        <v>21</v>
      </c>
      <c r="R11164" t="s" s="16">
        <f>HYPERLINK("http://secrets.rutgers.edu:8080/data/asl-ftp/asllvd/demos/verify_start_end_handshape_annotations//test_auto_move//signs_mov_separ_signers/Liz_5873.mov","MOV")</f>
        <v>21</v>
      </c>
    </row>
    <row r="11165" s="2" customFormat="1" ht="13.5" customHeight="1">
      <c r="B11165" s="13"/>
      <c r="C11165" t="s" s="9">
        <v>27</v>
      </c>
      <c r="D11165" t="s" s="8">
        <v>4165</v>
      </c>
      <c r="E11165" t="s" s="9">
        <v>4165</v>
      </c>
      <c r="F11165" s="19">
        <v>10</v>
      </c>
      <c r="G11165" s="17">
        <v>10</v>
      </c>
      <c r="H11165" t="s" s="10">
        <v>63</v>
      </c>
      <c r="I11165" t="s" s="11">
        <v>63</v>
      </c>
      <c r="J11165" t="s" s="11">
        <v>20</v>
      </c>
      <c r="K11165" s="15"/>
      <c r="L11165" t="s" s="16">
        <f>HYPERLINK("http://csr.bu.edu/ftp/asl/asllvd/demos/verify_start_end_handshape_annotations//test_auto_move//signs_mov_separ_signers/Naomi_5873.mov","MOV")</f>
        <v>21</v>
      </c>
      <c r="M11165" t="s" s="10">
        <v>29</v>
      </c>
      <c r="N11165" s="17">
        <v>23</v>
      </c>
      <c r="O11165" s="18">
        <v>947</v>
      </c>
      <c r="P11165" s="18">
        <v>1003</v>
      </c>
      <c r="Q11165" s="15"/>
      <c r="R11165" t="s" s="16">
        <f>HYPERLINK("http://secrets.rutgers.edu:8080/data/asl-ftp/asllvd/demos/verify_start_end_handshape_annotations//test_auto_move//signs_mov_separ_signers/Naomi_5873.mov","MOV")</f>
        <v>21</v>
      </c>
    </row>
    <row r="11166" s="2" customFormat="1" ht="13.5" customHeight="1">
      <c r="B11166" t="s" s="8">
        <v>4166</v>
      </c>
      <c r="C11166" t="s" s="9">
        <v>14</v>
      </c>
      <c r="D11166" t="s" s="8">
        <v>14</v>
      </c>
      <c r="E11166" t="s" s="9">
        <v>14</v>
      </c>
      <c r="F11166" t="s" s="10">
        <v>14</v>
      </c>
      <c r="G11166" t="s" s="11">
        <v>14</v>
      </c>
      <c r="H11166" t="s" s="10">
        <v>14</v>
      </c>
      <c r="I11166" t="s" s="11">
        <v>14</v>
      </c>
      <c r="J11166" t="s" s="11">
        <v>14</v>
      </c>
      <c r="K11166" t="s" s="12">
        <v>14</v>
      </c>
      <c r="L11166" t="s" s="12">
        <v>14</v>
      </c>
      <c r="M11166" t="s" s="10">
        <v>14</v>
      </c>
      <c r="N11166" t="s" s="11">
        <v>14</v>
      </c>
      <c r="O11166" t="s" s="8">
        <v>14</v>
      </c>
      <c r="P11166" t="s" s="8">
        <v>14</v>
      </c>
      <c r="Q11166" t="s" s="12">
        <v>14</v>
      </c>
      <c r="R11166" t="s" s="12">
        <v>14</v>
      </c>
    </row>
    <row r="11167" s="2" customFormat="1" ht="13.5" customHeight="1">
      <c r="B11167" s="13"/>
      <c r="C11167" t="s" s="9">
        <v>23</v>
      </c>
      <c r="D11167" t="s" s="8">
        <v>4166</v>
      </c>
      <c r="E11167" t="s" s="9">
        <v>4166</v>
      </c>
      <c r="F11167" t="s" s="10">
        <v>150</v>
      </c>
      <c r="G11167" t="s" s="11">
        <v>150</v>
      </c>
      <c r="H11167" t="s" s="10">
        <v>150</v>
      </c>
      <c r="I11167" t="s" s="11">
        <v>150</v>
      </c>
      <c r="J11167" t="s" s="11">
        <v>20</v>
      </c>
      <c r="K11167" t="s" s="16">
        <f>HYPERLINK("http://csr.bu.edu/ftp/asl/asllvd/demos/verify_start_end_handshape_annotations//test_auto_move//signs_mov/6361.mov","MOV")</f>
        <v>21</v>
      </c>
      <c r="L11167" t="s" s="16">
        <f>HYPERLINK("http://csr.bu.edu/ftp/asl/asllvd/demos/verify_start_end_handshape_annotations//test_auto_move//signs_mov_separ_signers/Tyler_6361.mov","MOV")</f>
        <v>21</v>
      </c>
      <c r="M11167" t="s" s="10">
        <v>26</v>
      </c>
      <c r="N11167" s="17">
        <v>36</v>
      </c>
      <c r="O11167" s="18">
        <v>322</v>
      </c>
      <c r="P11167" s="18">
        <v>350</v>
      </c>
      <c r="Q11167" t="s" s="16">
        <f>HYPERLINK("http://secrets.rutgers.edu:8080/data/asl-ftp/asllvd/demos/verify_start_end_handshape_annotations//test_auto_move//signs_mov/6361.mov","MOV")</f>
        <v>21</v>
      </c>
      <c r="R11167" t="s" s="16">
        <f>HYPERLINK("http://secrets.rutgers.edu:8080/data/asl-ftp/asllvd/demos/verify_start_end_handshape_annotations//test_auto_move//signs_mov_separ_signers/Tyler_6361.mov","MOV")</f>
        <v>21</v>
      </c>
    </row>
    <row r="11168" s="2" customFormat="1" ht="13.5" customHeight="1">
      <c r="B11168" s="13"/>
      <c r="C11168" t="s" s="9">
        <v>30</v>
      </c>
      <c r="D11168" t="s" s="8">
        <v>4166</v>
      </c>
      <c r="E11168" t="s" s="9">
        <v>4166</v>
      </c>
      <c r="F11168" t="s" s="10">
        <v>72</v>
      </c>
      <c r="G11168" t="s" s="11">
        <v>72</v>
      </c>
      <c r="H11168" t="s" s="10">
        <v>72</v>
      </c>
      <c r="I11168" t="s" s="11">
        <v>72</v>
      </c>
      <c r="J11168" t="s" s="11">
        <v>20</v>
      </c>
      <c r="K11168" s="15"/>
      <c r="L11168" t="s" s="16">
        <f>HYPERLINK("http://csr.bu.edu/ftp/asl/asllvd/demos/verify_start_end_handshape_annotations//test_auto_move//signs_mov_separ_signers/Brady_6361.mov","MOV")</f>
        <v>21</v>
      </c>
      <c r="M11168" t="s" s="10">
        <v>31</v>
      </c>
      <c r="N11168" s="17">
        <v>24</v>
      </c>
      <c r="O11168" s="18">
        <v>1197</v>
      </c>
      <c r="P11168" s="18">
        <v>1231</v>
      </c>
      <c r="Q11168" s="15"/>
      <c r="R11168" t="s" s="16">
        <f>HYPERLINK("http://secrets.rutgers.edu:8080/data/asl-ftp/asllvd/demos/verify_start_end_handshape_annotations//test_auto_move//signs_mov_separ_signers/Brady_6361.mov","MOV")</f>
        <v>21</v>
      </c>
    </row>
    <row r="11169" s="2" customFormat="1" ht="13.5" customHeight="1">
      <c r="B11169" t="s" s="8">
        <v>4167</v>
      </c>
      <c r="C11169" t="s" s="9">
        <v>14</v>
      </c>
      <c r="D11169" t="s" s="8">
        <v>14</v>
      </c>
      <c r="E11169" t="s" s="9">
        <v>14</v>
      </c>
      <c r="F11169" t="s" s="10">
        <v>14</v>
      </c>
      <c r="G11169" t="s" s="11">
        <v>14</v>
      </c>
      <c r="H11169" t="s" s="10">
        <v>14</v>
      </c>
      <c r="I11169" t="s" s="11">
        <v>14</v>
      </c>
      <c r="J11169" t="s" s="11">
        <v>14</v>
      </c>
      <c r="K11169" t="s" s="12">
        <v>14</v>
      </c>
      <c r="L11169" t="s" s="12">
        <v>14</v>
      </c>
      <c r="M11169" t="s" s="10">
        <v>14</v>
      </c>
      <c r="N11169" t="s" s="11">
        <v>14</v>
      </c>
      <c r="O11169" t="s" s="8">
        <v>14</v>
      </c>
      <c r="P11169" t="s" s="8">
        <v>14</v>
      </c>
      <c r="Q11169" t="s" s="12">
        <v>14</v>
      </c>
      <c r="R11169" t="s" s="12">
        <v>14</v>
      </c>
    </row>
    <row r="11170" s="2" customFormat="1" ht="13.5" customHeight="1">
      <c r="B11170" s="13"/>
      <c r="C11170" t="s" s="9">
        <v>27</v>
      </c>
      <c r="D11170" t="s" s="8">
        <v>4167</v>
      </c>
      <c r="E11170" t="s" s="9">
        <v>4167</v>
      </c>
      <c r="F11170" t="s" s="10">
        <v>25</v>
      </c>
      <c r="G11170" t="s" s="11">
        <v>25</v>
      </c>
      <c r="H11170" t="s" s="10">
        <v>25</v>
      </c>
      <c r="I11170" t="s" s="11">
        <v>25</v>
      </c>
      <c r="J11170" t="s" s="11">
        <v>20</v>
      </c>
      <c r="K11170" s="15"/>
      <c r="L11170" t="s" s="16">
        <f>HYPERLINK("http://csr.bu.edu/ftp/asl/asllvd/demos/verify_start_end_handshape_annotations//test_auto_move//signs_mov_separ_signers/Naomi_6380.mov","MOV")</f>
        <v>21</v>
      </c>
      <c r="M11170" t="s" s="10">
        <v>29</v>
      </c>
      <c r="N11170" s="17">
        <v>36</v>
      </c>
      <c r="O11170" s="18">
        <v>2005</v>
      </c>
      <c r="P11170" s="18">
        <v>2017</v>
      </c>
      <c r="Q11170" s="15"/>
      <c r="R11170" t="s" s="16">
        <f>HYPERLINK("http://secrets.rutgers.edu:8080/data/asl-ftp/asllvd/demos/verify_start_end_handshape_annotations//test_auto_move//signs_mov_separ_signers/Naomi_6380.mov","MOV")</f>
        <v>21</v>
      </c>
    </row>
    <row r="11171" s="2" customFormat="1" ht="13.5" customHeight="1">
      <c r="B11171" s="13"/>
      <c r="C11171" t="s" s="9">
        <v>30</v>
      </c>
      <c r="D11171" t="s" s="8">
        <v>4167</v>
      </c>
      <c r="E11171" t="s" s="9">
        <v>4167</v>
      </c>
      <c r="F11171" t="s" s="10">
        <v>25</v>
      </c>
      <c r="G11171" t="s" s="11">
        <v>25</v>
      </c>
      <c r="H11171" t="s" s="10">
        <v>25</v>
      </c>
      <c r="I11171" t="s" s="11">
        <v>25</v>
      </c>
      <c r="J11171" t="s" s="11">
        <v>20</v>
      </c>
      <c r="K11171" t="s" s="16">
        <f>HYPERLINK("http://csr.bu.edu/ftp/asl/asllvd/demos/verify_start_end_handshape_annotations//test_auto_move//signs_mov/5006_6380_merged.mov","MOV")</f>
        <v>21</v>
      </c>
      <c r="L11171" t="s" s="16">
        <f>HYPERLINK("http://csr.bu.edu/ftp/asl/asllvd/demos/verify_start_end_handshape_annotations//test_auto_move//signs_mov_separ_signers/Brady_6380.mov","MOV")</f>
        <v>21</v>
      </c>
      <c r="M11171" t="s" s="10">
        <v>31</v>
      </c>
      <c r="N11171" s="17">
        <v>23</v>
      </c>
      <c r="O11171" s="18">
        <v>14314</v>
      </c>
      <c r="P11171" s="18">
        <v>14336</v>
      </c>
      <c r="Q11171" t="s" s="16">
        <f>HYPERLINK("http://secrets.rutgers.edu:8080/data/asl-ftp/asllvd/demos/verify_start_end_handshape_annotations//test_auto_move//signs_mov/5006_6380_merged.mov","MOV")</f>
        <v>21</v>
      </c>
      <c r="R11171" t="s" s="16">
        <f>HYPERLINK("http://secrets.rutgers.edu:8080/data/asl-ftp/asllvd/demos/verify_start_end_handshape_annotations//test_auto_move//signs_mov_separ_signers/Brady_6380.mov","MOV")</f>
        <v>21</v>
      </c>
    </row>
    <row r="11172" s="2" customFormat="1" ht="13.5" customHeight="1">
      <c r="B11172" s="13"/>
      <c r="C11172" t="s" s="9">
        <v>30</v>
      </c>
      <c r="D11172" t="s" s="8">
        <v>4167</v>
      </c>
      <c r="E11172" t="s" s="9">
        <v>4167</v>
      </c>
      <c r="F11172" t="s" s="10">
        <v>25</v>
      </c>
      <c r="G11172" t="s" s="11">
        <v>25</v>
      </c>
      <c r="H11172" t="s" s="10">
        <v>25</v>
      </c>
      <c r="I11172" t="s" s="11">
        <v>25</v>
      </c>
      <c r="J11172" t="s" s="11">
        <v>20</v>
      </c>
      <c r="K11172" s="15"/>
      <c r="L11172" t="s" s="16">
        <f>HYPERLINK("http://csr.bu.edu/ftp/asl/asllvd/demos/verify_start_end_handshape_annotations//test_auto_move//signs_mov_separ_signers/Brady_5006.mov","MOV")</f>
        <v>21</v>
      </c>
      <c r="M11172" t="s" s="10">
        <v>39</v>
      </c>
      <c r="N11172" s="17">
        <v>3</v>
      </c>
      <c r="O11172" s="18">
        <v>3356</v>
      </c>
      <c r="P11172" s="18">
        <v>3372</v>
      </c>
      <c r="Q11172" s="15"/>
      <c r="R11172" t="s" s="16">
        <f>HYPERLINK("http://secrets.rutgers.edu:8080/data/asl-ftp/asllvd/demos/verify_start_end_handshape_annotations//test_auto_move//signs_mov_separ_signers/Brady_5006.mov","MOV")</f>
        <v>21</v>
      </c>
    </row>
    <row r="11173" s="2" customFormat="1" ht="13.5" customHeight="1">
      <c r="B11173" s="13"/>
      <c r="C11173" t="s" s="9">
        <v>43</v>
      </c>
      <c r="D11173" t="s" s="8">
        <v>4167</v>
      </c>
      <c r="E11173" t="s" s="9">
        <v>4167</v>
      </c>
      <c r="F11173" t="s" s="10">
        <v>25</v>
      </c>
      <c r="G11173" t="s" s="11">
        <v>25</v>
      </c>
      <c r="H11173" t="s" s="10">
        <v>25</v>
      </c>
      <c r="I11173" t="s" s="11">
        <v>25</v>
      </c>
      <c r="J11173" t="s" s="11">
        <v>20</v>
      </c>
      <c r="K11173" s="15"/>
      <c r="L11173" t="s" s="16">
        <f>HYPERLINK("http://csr.bu.edu/ftp/asl/asllvd/demos/verify_start_end_handshape_annotations//test_auto_move//signs_mov_separ_signers/Dana_6380.mov","MOV")</f>
        <v>21</v>
      </c>
      <c r="M11173" t="s" s="10">
        <v>44</v>
      </c>
      <c r="N11173" s="17">
        <v>8</v>
      </c>
      <c r="O11173" s="18">
        <v>490.49</v>
      </c>
      <c r="P11173" s="18">
        <v>549.29</v>
      </c>
      <c r="Q11173" s="15"/>
      <c r="R11173" t="s" s="16">
        <f>HYPERLINK("http://secrets.rutgers.edu:8080/data/asl-ftp/asllvd/demos/verify_start_end_handshape_annotations//test_auto_move//signs_mov_separ_signers/Dana_6380.mov","MOV")</f>
        <v>21</v>
      </c>
    </row>
    <row r="11174" s="2" customFormat="1" ht="13.5" customHeight="1">
      <c r="B11174" t="s" s="8">
        <v>52</v>
      </c>
      <c r="C11174" t="s" s="9">
        <v>53</v>
      </c>
      <c r="D11174" t="s" s="8">
        <v>53</v>
      </c>
      <c r="E11174" t="s" s="9">
        <v>53</v>
      </c>
      <c r="F11174" t="s" s="10">
        <v>53</v>
      </c>
      <c r="G11174" t="s" s="11">
        <v>53</v>
      </c>
      <c r="H11174" t="s" s="10">
        <v>53</v>
      </c>
      <c r="I11174" t="s" s="11">
        <v>53</v>
      </c>
      <c r="J11174" t="s" s="11">
        <v>53</v>
      </c>
      <c r="K11174" t="s" s="12">
        <v>53</v>
      </c>
      <c r="L11174" t="s" s="12">
        <v>53</v>
      </c>
      <c r="M11174" t="s" s="10">
        <v>53</v>
      </c>
      <c r="N11174" t="s" s="11">
        <v>53</v>
      </c>
      <c r="O11174" t="s" s="8">
        <v>53</v>
      </c>
      <c r="P11174" t="s" s="8">
        <v>53</v>
      </c>
      <c r="Q11174" t="s" s="12">
        <v>53</v>
      </c>
      <c r="R11174" t="s" s="12">
        <v>53</v>
      </c>
    </row>
    <row r="11175" s="2" customFormat="1" ht="13.5" customHeight="1">
      <c r="B11175" s="13"/>
      <c r="C11175" t="s" s="9">
        <v>30</v>
      </c>
      <c r="D11175" t="s" s="8">
        <v>4167</v>
      </c>
      <c r="E11175" t="s" s="9">
        <v>4168</v>
      </c>
      <c r="F11175" t="s" s="10">
        <v>25</v>
      </c>
      <c r="G11175" t="s" s="11">
        <v>25</v>
      </c>
      <c r="H11175" t="s" s="10">
        <v>25</v>
      </c>
      <c r="I11175" t="s" s="11">
        <v>25</v>
      </c>
      <c r="J11175" t="s" s="11">
        <v>20</v>
      </c>
      <c r="K11175" t="s" s="16">
        <f>HYPERLINK("http://csr.bu.edu/ftp/asl/asllvd/demos/verify_start_end_handshape_annotations//test_auto_move//signs_mov/5300.mov","MOV")</f>
        <v>21</v>
      </c>
      <c r="L11175" t="s" s="16">
        <f>HYPERLINK("http://csr.bu.edu/ftp/asl/asllvd/demos/verify_start_end_handshape_annotations//test_auto_move//signs_mov_separ_signers/Brady_5300.mov","MOV")</f>
        <v>21</v>
      </c>
      <c r="M11175" t="s" s="10">
        <v>31</v>
      </c>
      <c r="N11175" s="17">
        <v>23</v>
      </c>
      <c r="O11175" s="18">
        <v>15482</v>
      </c>
      <c r="P11175" s="18">
        <v>15528</v>
      </c>
      <c r="Q11175" t="s" s="16">
        <f>HYPERLINK("http://secrets.rutgers.edu:8080/data/asl-ftp/asllvd/demos/verify_start_end_handshape_annotations//test_auto_move//signs_mov/5300.mov","MOV")</f>
        <v>21</v>
      </c>
      <c r="R11175" t="s" s="16">
        <f>HYPERLINK("http://secrets.rutgers.edu:8080/data/asl-ftp/asllvd/demos/verify_start_end_handshape_annotations//test_auto_move//signs_mov_separ_signers/Brady_5300.mov","MOV")</f>
        <v>21</v>
      </c>
    </row>
    <row r="11176" s="2" customFormat="1" ht="13.5" customHeight="1">
      <c r="B11176" t="s" s="8">
        <v>4169</v>
      </c>
      <c r="C11176" t="s" s="9">
        <v>14</v>
      </c>
      <c r="D11176" t="s" s="8">
        <v>14</v>
      </c>
      <c r="E11176" t="s" s="9">
        <v>14</v>
      </c>
      <c r="F11176" t="s" s="10">
        <v>14</v>
      </c>
      <c r="G11176" t="s" s="11">
        <v>14</v>
      </c>
      <c r="H11176" t="s" s="10">
        <v>14</v>
      </c>
      <c r="I11176" t="s" s="11">
        <v>14</v>
      </c>
      <c r="J11176" t="s" s="11">
        <v>14</v>
      </c>
      <c r="K11176" t="s" s="12">
        <v>14</v>
      </c>
      <c r="L11176" t="s" s="12">
        <v>14</v>
      </c>
      <c r="M11176" t="s" s="10">
        <v>14</v>
      </c>
      <c r="N11176" t="s" s="11">
        <v>14</v>
      </c>
      <c r="O11176" t="s" s="8">
        <v>14</v>
      </c>
      <c r="P11176" t="s" s="8">
        <v>14</v>
      </c>
      <c r="Q11176" t="s" s="12">
        <v>14</v>
      </c>
      <c r="R11176" t="s" s="12">
        <v>14</v>
      </c>
    </row>
    <row r="11177" s="2" customFormat="1" ht="13.5" customHeight="1">
      <c r="B11177" s="13"/>
      <c r="C11177" t="s" s="9">
        <v>16</v>
      </c>
      <c r="D11177" t="s" s="8">
        <v>4169</v>
      </c>
      <c r="E11177" t="s" s="9">
        <v>4170</v>
      </c>
      <c r="F11177" t="s" s="10">
        <v>244</v>
      </c>
      <c r="G11177" s="14"/>
      <c r="H11177" t="s" s="10">
        <v>25</v>
      </c>
      <c r="I11177" s="17">
        <v>1</v>
      </c>
      <c r="J11177" t="s" s="11">
        <v>20</v>
      </c>
      <c r="K11177" t="s" s="16">
        <f>HYPERLINK("http://csr.bu.edu/ftp/asl/asllvd/demos/verify_start_end_handshape_annotations//test_auto_move//signs_mov/5580_5732_merged.mov","MOV")</f>
        <v>21</v>
      </c>
      <c r="L11177" t="s" s="16">
        <f>HYPERLINK("http://csr.bu.edu/ftp/asl/asllvd/demos/verify_start_end_handshape_annotations//test_auto_move//signs_mov_separ_signers/Liz_5580.mov","MOV")</f>
        <v>21</v>
      </c>
      <c r="M11177" t="s" s="10">
        <v>77</v>
      </c>
      <c r="N11177" s="17">
        <v>1</v>
      </c>
      <c r="O11177" s="18">
        <v>4200</v>
      </c>
      <c r="P11177" s="18">
        <v>4250</v>
      </c>
      <c r="Q11177" t="s" s="16">
        <f>HYPERLINK("http://secrets.rutgers.edu:8080/data/asl-ftp/asllvd/demos/verify_start_end_handshape_annotations//test_auto_move//signs_mov/5580_5732_merged.mov","MOV")</f>
        <v>21</v>
      </c>
      <c r="R11177" t="s" s="16">
        <f>HYPERLINK("http://secrets.rutgers.edu:8080/data/asl-ftp/asllvd/demos/verify_start_end_handshape_annotations//test_auto_move//signs_mov_separ_signers/Liz_5580.mov","MOV")</f>
        <v>21</v>
      </c>
    </row>
    <row r="11178" s="2" customFormat="1" ht="13.5" customHeight="1">
      <c r="B11178" s="13"/>
      <c r="C11178" t="s" s="9">
        <v>16</v>
      </c>
      <c r="D11178" t="s" s="8">
        <v>4169</v>
      </c>
      <c r="E11178" t="s" s="9">
        <v>4171</v>
      </c>
      <c r="F11178" t="s" s="10">
        <v>244</v>
      </c>
      <c r="G11178" s="14"/>
      <c r="H11178" s="19">
        <v>1</v>
      </c>
      <c r="I11178" s="17">
        <v>1</v>
      </c>
      <c r="J11178" t="s" s="11">
        <v>20</v>
      </c>
      <c r="K11178" s="15"/>
      <c r="L11178" t="s" s="16">
        <f>HYPERLINK("http://csr.bu.edu/ftp/asl/asllvd/demos/verify_start_end_handshape_annotations//test_auto_move//signs_mov_separ_signers/Liz_5732.mov","MOV")</f>
        <v>21</v>
      </c>
      <c r="M11178" t="s" s="10">
        <v>77</v>
      </c>
      <c r="N11178" s="17">
        <v>1</v>
      </c>
      <c r="O11178" s="18">
        <v>4385</v>
      </c>
      <c r="P11178" s="18">
        <v>4436</v>
      </c>
      <c r="Q11178" s="15"/>
      <c r="R11178" t="s" s="16">
        <f>HYPERLINK("http://secrets.rutgers.edu:8080/data/asl-ftp/asllvd/demos/verify_start_end_handshape_annotations//test_auto_move//signs_mov_separ_signers/Liz_5732.mov","MOV")</f>
        <v>21</v>
      </c>
    </row>
    <row r="11179" s="2" customFormat="1" ht="13.5" customHeight="1">
      <c r="B11179" t="s" s="8">
        <v>52</v>
      </c>
      <c r="C11179" t="s" s="9">
        <v>53</v>
      </c>
      <c r="D11179" t="s" s="8">
        <v>53</v>
      </c>
      <c r="E11179" t="s" s="9">
        <v>53</v>
      </c>
      <c r="F11179" t="s" s="10">
        <v>53</v>
      </c>
      <c r="G11179" t="s" s="11">
        <v>53</v>
      </c>
      <c r="H11179" t="s" s="10">
        <v>53</v>
      </c>
      <c r="I11179" t="s" s="11">
        <v>53</v>
      </c>
      <c r="J11179" t="s" s="11">
        <v>53</v>
      </c>
      <c r="K11179" t="s" s="12">
        <v>53</v>
      </c>
      <c r="L11179" t="s" s="12">
        <v>53</v>
      </c>
      <c r="M11179" t="s" s="10">
        <v>53</v>
      </c>
      <c r="N11179" t="s" s="11">
        <v>53</v>
      </c>
      <c r="O11179" t="s" s="8">
        <v>53</v>
      </c>
      <c r="P11179" t="s" s="8">
        <v>53</v>
      </c>
      <c r="Q11179" t="s" s="12">
        <v>53</v>
      </c>
      <c r="R11179" t="s" s="12">
        <v>53</v>
      </c>
    </row>
    <row r="11180" s="2" customFormat="1" ht="13.5" customHeight="1">
      <c r="B11180" s="13"/>
      <c r="C11180" t="s" s="9">
        <v>23</v>
      </c>
      <c r="D11180" t="s" s="8">
        <v>4169</v>
      </c>
      <c r="E11180" t="s" s="9">
        <v>4169</v>
      </c>
      <c r="F11180" t="s" s="10">
        <v>63</v>
      </c>
      <c r="G11180" s="14"/>
      <c r="H11180" t="s" s="10">
        <v>25</v>
      </c>
      <c r="I11180" t="s" s="11">
        <v>25</v>
      </c>
      <c r="J11180" t="s" s="11">
        <v>20</v>
      </c>
      <c r="K11180" s="15"/>
      <c r="L11180" t="s" s="16">
        <f>HYPERLINK("http://csr.bu.edu/ftp/asl/asllvd/demos/verify_start_end_handshape_annotations//test_auto_move//signs_mov_separ_signers/Tyler_5737.mov","MOV")</f>
        <v>21</v>
      </c>
      <c r="M11180" t="s" s="10">
        <v>26</v>
      </c>
      <c r="N11180" s="17">
        <v>35</v>
      </c>
      <c r="O11180" s="18">
        <v>1827</v>
      </c>
      <c r="P11180" s="18">
        <v>1861</v>
      </c>
      <c r="Q11180" s="15"/>
      <c r="R11180" t="s" s="16">
        <f>HYPERLINK("http://secrets.rutgers.edu:8080/data/asl-ftp/asllvd/demos/verify_start_end_handshape_annotations//test_auto_move//signs_mov_separ_signers/Tyler_5737.mov","MOV")</f>
        <v>21</v>
      </c>
    </row>
    <row r="11181" s="2" customFormat="1" ht="13.5" customHeight="1">
      <c r="B11181" s="13"/>
      <c r="C11181" t="s" s="9">
        <v>30</v>
      </c>
      <c r="D11181" t="s" s="8">
        <v>4169</v>
      </c>
      <c r="E11181" t="s" s="9">
        <v>4169</v>
      </c>
      <c r="F11181" t="s" s="10">
        <v>63</v>
      </c>
      <c r="G11181" s="14"/>
      <c r="H11181" t="s" s="10">
        <v>25</v>
      </c>
      <c r="I11181" t="s" s="11">
        <v>25</v>
      </c>
      <c r="J11181" t="s" s="11">
        <v>20</v>
      </c>
      <c r="K11181" t="s" s="16">
        <f>HYPERLINK("http://csr.bu.edu/ftp/asl/asllvd/demos/verify_start_end_handshape_annotations//test_auto_move//signs_mov/5737.mov","MOV")</f>
        <v>21</v>
      </c>
      <c r="L11181" t="s" s="16">
        <f>HYPERLINK("http://csr.bu.edu/ftp/asl/asllvd/demos/verify_start_end_handshape_annotations//test_auto_move//signs_mov_separ_signers/Brady_5737.mov","MOV")</f>
        <v>21</v>
      </c>
      <c r="M11181" t="s" s="10">
        <v>31</v>
      </c>
      <c r="N11181" s="17">
        <v>23</v>
      </c>
      <c r="O11181" s="18">
        <v>14003</v>
      </c>
      <c r="P11181" s="18">
        <v>14025</v>
      </c>
      <c r="Q11181" t="s" s="16">
        <f>HYPERLINK("http://secrets.rutgers.edu:8080/data/asl-ftp/asllvd/demos/verify_start_end_handshape_annotations//test_auto_move//signs_mov/5737.mov","MOV")</f>
        <v>21</v>
      </c>
      <c r="R11181" t="s" s="16">
        <f>HYPERLINK("http://secrets.rutgers.edu:8080/data/asl-ftp/asllvd/demos/verify_start_end_handshape_annotations//test_auto_move//signs_mov_separ_signers/Brady_5737.mov","MOV")</f>
        <v>21</v>
      </c>
    </row>
    <row r="11182" s="2" customFormat="1" ht="13.5" customHeight="1">
      <c r="B11182" s="13"/>
      <c r="C11182" t="s" s="9">
        <v>41</v>
      </c>
      <c r="D11182" t="s" s="8">
        <v>4169</v>
      </c>
      <c r="E11182" t="s" s="9">
        <v>4169</v>
      </c>
      <c r="F11182" t="s" s="10">
        <v>63</v>
      </c>
      <c r="G11182" s="14"/>
      <c r="H11182" t="s" s="10">
        <v>25</v>
      </c>
      <c r="I11182" t="s" s="11">
        <v>25</v>
      </c>
      <c r="J11182" t="s" s="11">
        <v>20</v>
      </c>
      <c r="K11182" s="15"/>
      <c r="L11182" t="s" s="16">
        <f>HYPERLINK("http://csr.bu.edu/ftp/asl/asllvd/demos/verify_start_end_handshape_annotations//test_auto_move//signs_mov_separ_signers/Lana_5737.mov","MOV")</f>
        <v>21</v>
      </c>
      <c r="M11182" t="s" s="10">
        <v>42</v>
      </c>
      <c r="N11182" s="17">
        <v>4</v>
      </c>
      <c r="O11182" s="18">
        <v>626</v>
      </c>
      <c r="P11182" s="18">
        <v>666</v>
      </c>
      <c r="Q11182" s="15"/>
      <c r="R11182" t="s" s="16">
        <f>HYPERLINK("http://secrets.rutgers.edu:8080/data/asl-ftp/asllvd/demos/verify_start_end_handshape_annotations//test_auto_move//signs_mov_separ_signers/Lana_5737.mov","MOV")</f>
        <v>21</v>
      </c>
    </row>
    <row r="11183" s="2" customFormat="1" ht="13.5" customHeight="1">
      <c r="B11183" t="s" s="8">
        <v>52</v>
      </c>
      <c r="C11183" t="s" s="9">
        <v>53</v>
      </c>
      <c r="D11183" t="s" s="8">
        <v>53</v>
      </c>
      <c r="E11183" t="s" s="9">
        <v>53</v>
      </c>
      <c r="F11183" t="s" s="10">
        <v>53</v>
      </c>
      <c r="G11183" t="s" s="11">
        <v>53</v>
      </c>
      <c r="H11183" t="s" s="10">
        <v>53</v>
      </c>
      <c r="I11183" t="s" s="11">
        <v>53</v>
      </c>
      <c r="J11183" t="s" s="11">
        <v>53</v>
      </c>
      <c r="K11183" t="s" s="12">
        <v>53</v>
      </c>
      <c r="L11183" t="s" s="12">
        <v>53</v>
      </c>
      <c r="M11183" t="s" s="10">
        <v>53</v>
      </c>
      <c r="N11183" t="s" s="11">
        <v>53</v>
      </c>
      <c r="O11183" t="s" s="8">
        <v>53</v>
      </c>
      <c r="P11183" t="s" s="8">
        <v>53</v>
      </c>
      <c r="Q11183" t="s" s="12">
        <v>53</v>
      </c>
      <c r="R11183" t="s" s="12">
        <v>53</v>
      </c>
    </row>
    <row r="11184" s="2" customFormat="1" ht="13.5" customHeight="1">
      <c r="B11184" s="13"/>
      <c r="C11184" t="s" s="9">
        <v>16</v>
      </c>
      <c r="D11184" t="s" s="8">
        <v>4169</v>
      </c>
      <c r="E11184" t="s" s="9">
        <v>4172</v>
      </c>
      <c r="F11184" t="s" s="10">
        <v>244</v>
      </c>
      <c r="G11184" s="14"/>
      <c r="H11184" s="19">
        <v>1</v>
      </c>
      <c r="I11184" s="17">
        <v>1</v>
      </c>
      <c r="J11184" t="s" s="11">
        <v>20</v>
      </c>
      <c r="K11184" s="15"/>
      <c r="L11184" t="s" s="16">
        <f>HYPERLINK("http://csr.bu.edu/ftp/asl/asllvd/demos/verify_start_end_handshape_annotations//test_auto_move//signs_mov_separ_signers/Liz_5877.mov","MOV")</f>
        <v>21</v>
      </c>
      <c r="M11184" t="s" s="10">
        <v>22</v>
      </c>
      <c r="N11184" s="17">
        <v>57</v>
      </c>
      <c r="O11184" s="18">
        <v>975</v>
      </c>
      <c r="P11184" s="18">
        <v>1031</v>
      </c>
      <c r="Q11184" s="15"/>
      <c r="R11184" t="s" s="16">
        <f>HYPERLINK("http://secrets.rutgers.edu:8080/data/asl-ftp/asllvd/demos/verify_start_end_handshape_annotations//test_auto_move//signs_mov_separ_signers/Liz_5877.mov","MOV")</f>
        <v>21</v>
      </c>
    </row>
    <row r="11185" s="2" customFormat="1" ht="13.5" customHeight="1">
      <c r="B11185" s="13"/>
      <c r="C11185" t="s" s="9">
        <v>16</v>
      </c>
      <c r="D11185" t="s" s="8">
        <v>4169</v>
      </c>
      <c r="E11185" t="s" s="9">
        <v>4172</v>
      </c>
      <c r="F11185" t="s" s="10">
        <v>244</v>
      </c>
      <c r="G11185" s="14"/>
      <c r="H11185" s="19">
        <v>1</v>
      </c>
      <c r="I11185" s="17">
        <v>1</v>
      </c>
      <c r="J11185" t="s" s="11">
        <v>20</v>
      </c>
      <c r="K11185" t="s" s="16">
        <f>HYPERLINK("http://csr.bu.edu/ftp/asl/asllvd/demos/verify_start_end_handshape_annotations//test_auto_move//signs_mov/5877_5878_5879_merged.mov","MOV")</f>
        <v>21</v>
      </c>
      <c r="L11185" t="s" s="16">
        <f>HYPERLINK("http://csr.bu.edu/ftp/asl/asllvd/demos/verify_start_end_handshape_annotations//test_auto_move//signs_mov_separ_signers/Liz_5878.mov","MOV")</f>
        <v>21</v>
      </c>
      <c r="M11185" t="s" s="10">
        <v>77</v>
      </c>
      <c r="N11185" s="17">
        <v>1</v>
      </c>
      <c r="O11185" s="18">
        <v>3820</v>
      </c>
      <c r="P11185" s="18">
        <v>3880</v>
      </c>
      <c r="Q11185" t="s" s="16">
        <f>HYPERLINK("http://secrets.rutgers.edu:8080/data/asl-ftp/asllvd/demos/verify_start_end_handshape_annotations//test_auto_move//signs_mov/5877_5878_5879_merged.mov","MOV")</f>
        <v>21</v>
      </c>
      <c r="R11185" t="s" s="16">
        <f>HYPERLINK("http://secrets.rutgers.edu:8080/data/asl-ftp/asllvd/demos/verify_start_end_handshape_annotations//test_auto_move//signs_mov_separ_signers/Liz_5878.mov","MOV")</f>
        <v>21</v>
      </c>
    </row>
    <row r="11186" s="2" customFormat="1" ht="13.5" customHeight="1">
      <c r="B11186" s="13"/>
      <c r="C11186" t="s" s="9">
        <v>16</v>
      </c>
      <c r="D11186" t="s" s="8">
        <v>4169</v>
      </c>
      <c r="E11186" t="s" s="9">
        <v>4173</v>
      </c>
      <c r="F11186" t="s" s="10">
        <v>244</v>
      </c>
      <c r="G11186" s="14"/>
      <c r="H11186" s="19">
        <v>1</v>
      </c>
      <c r="I11186" s="14"/>
      <c r="J11186" t="s" s="11">
        <v>20</v>
      </c>
      <c r="K11186" s="15"/>
      <c r="L11186" t="s" s="16">
        <f>HYPERLINK("http://csr.bu.edu/ftp/asl/asllvd/demos/verify_start_end_handshape_annotations//test_auto_move//signs_mov_separ_signers/Liz_5879.mov","MOV")</f>
        <v>21</v>
      </c>
      <c r="M11186" t="s" s="10">
        <v>77</v>
      </c>
      <c r="N11186" s="17">
        <v>1</v>
      </c>
      <c r="O11186" s="18">
        <v>4005</v>
      </c>
      <c r="P11186" s="18">
        <v>4055</v>
      </c>
      <c r="Q11186" s="15"/>
      <c r="R11186" t="s" s="16">
        <f>HYPERLINK("http://secrets.rutgers.edu:8080/data/asl-ftp/asllvd/demos/verify_start_end_handshape_annotations//test_auto_move//signs_mov_separ_signers/Liz_5879.mov","MOV")</f>
        <v>21</v>
      </c>
    </row>
    <row r="11187" s="2" customFormat="1" ht="13.5" customHeight="1">
      <c r="B11187" t="s" s="8">
        <v>52</v>
      </c>
      <c r="C11187" t="s" s="9">
        <v>53</v>
      </c>
      <c r="D11187" t="s" s="8">
        <v>53</v>
      </c>
      <c r="E11187" t="s" s="9">
        <v>53</v>
      </c>
      <c r="F11187" t="s" s="10">
        <v>53</v>
      </c>
      <c r="G11187" t="s" s="11">
        <v>53</v>
      </c>
      <c r="H11187" t="s" s="10">
        <v>53</v>
      </c>
      <c r="I11187" t="s" s="11">
        <v>53</v>
      </c>
      <c r="J11187" t="s" s="11">
        <v>53</v>
      </c>
      <c r="K11187" t="s" s="12">
        <v>53</v>
      </c>
      <c r="L11187" t="s" s="12">
        <v>53</v>
      </c>
      <c r="M11187" t="s" s="10">
        <v>53</v>
      </c>
      <c r="N11187" t="s" s="11">
        <v>53</v>
      </c>
      <c r="O11187" t="s" s="8">
        <v>53</v>
      </c>
      <c r="P11187" t="s" s="8">
        <v>53</v>
      </c>
      <c r="Q11187" t="s" s="12">
        <v>53</v>
      </c>
      <c r="R11187" t="s" s="12">
        <v>53</v>
      </c>
    </row>
    <row r="11188" s="2" customFormat="1" ht="13.5" customHeight="1">
      <c r="B11188" s="13"/>
      <c r="C11188" t="s" s="9">
        <v>30</v>
      </c>
      <c r="D11188" t="s" s="8">
        <v>4169</v>
      </c>
      <c r="E11188" t="s" s="9">
        <v>4174</v>
      </c>
      <c r="F11188" t="s" s="10">
        <v>63</v>
      </c>
      <c r="G11188" s="14"/>
      <c r="H11188" s="19">
        <v>1</v>
      </c>
      <c r="I11188" s="17">
        <v>1</v>
      </c>
      <c r="J11188" t="s" s="11">
        <v>20</v>
      </c>
      <c r="K11188" t="s" s="16">
        <f>HYPERLINK("http://csr.bu.edu/ftp/asl/asllvd/demos/verify_start_end_handshape_annotations//test_auto_move//signs_mov/5880.mov","MOV")</f>
        <v>21</v>
      </c>
      <c r="L11188" t="s" s="16">
        <f>HYPERLINK("http://csr.bu.edu/ftp/asl/asllvd/demos/verify_start_end_handshape_annotations//test_auto_move//signs_mov_separ_signers/Brady_5880.mov","MOV")</f>
        <v>21</v>
      </c>
      <c r="M11188" t="s" s="10">
        <v>31</v>
      </c>
      <c r="N11188" s="17">
        <v>23</v>
      </c>
      <c r="O11188" s="18">
        <v>12449</v>
      </c>
      <c r="P11188" s="18">
        <v>12471</v>
      </c>
      <c r="Q11188" t="s" s="16">
        <f>HYPERLINK("http://secrets.rutgers.edu:8080/data/asl-ftp/asllvd/demos/verify_start_end_handshape_annotations//test_auto_move//signs_mov/5880.mov","MOV")</f>
        <v>21</v>
      </c>
      <c r="R11188" t="s" s="16">
        <f>HYPERLINK("http://secrets.rutgers.edu:8080/data/asl-ftp/asllvd/demos/verify_start_end_handshape_annotations//test_auto_move//signs_mov_separ_signers/Brady_5880.mov","MOV")</f>
        <v>21</v>
      </c>
    </row>
    <row r="11189" s="2" customFormat="1" ht="13.5" customHeight="1">
      <c r="B11189" t="s" s="8">
        <v>4175</v>
      </c>
      <c r="C11189" t="s" s="9">
        <v>14</v>
      </c>
      <c r="D11189" t="s" s="8">
        <v>14</v>
      </c>
      <c r="E11189" t="s" s="9">
        <v>14</v>
      </c>
      <c r="F11189" t="s" s="10">
        <v>14</v>
      </c>
      <c r="G11189" t="s" s="11">
        <v>14</v>
      </c>
      <c r="H11189" t="s" s="10">
        <v>14</v>
      </c>
      <c r="I11189" t="s" s="11">
        <v>14</v>
      </c>
      <c r="J11189" t="s" s="11">
        <v>14</v>
      </c>
      <c r="K11189" t="s" s="12">
        <v>14</v>
      </c>
      <c r="L11189" t="s" s="12">
        <v>14</v>
      </c>
      <c r="M11189" t="s" s="10">
        <v>14</v>
      </c>
      <c r="N11189" t="s" s="11">
        <v>14</v>
      </c>
      <c r="O11189" t="s" s="8">
        <v>14</v>
      </c>
      <c r="P11189" t="s" s="8">
        <v>14</v>
      </c>
      <c r="Q11189" t="s" s="12">
        <v>14</v>
      </c>
      <c r="R11189" t="s" s="12">
        <v>14</v>
      </c>
    </row>
    <row r="11190" s="2" customFormat="1" ht="13.5" customHeight="1">
      <c r="B11190" s="13"/>
      <c r="C11190" t="s" s="9">
        <v>27</v>
      </c>
      <c r="D11190" t="s" s="8">
        <v>4175</v>
      </c>
      <c r="E11190" t="s" s="9">
        <v>4176</v>
      </c>
      <c r="F11190" t="s" s="10">
        <v>68</v>
      </c>
      <c r="G11190" t="s" s="11">
        <v>68</v>
      </c>
      <c r="H11190" t="s" s="10">
        <v>68</v>
      </c>
      <c r="I11190" t="s" s="11">
        <v>68</v>
      </c>
      <c r="J11190" t="s" s="11">
        <v>20</v>
      </c>
      <c r="K11190" t="s" s="16">
        <f>HYPERLINK("http://csr.bu.edu/ftp/asl/asllvd/demos/verify_start_end_handshape_annotations//test_auto_move//signs_mov/6625.mov","MOV")</f>
        <v>21</v>
      </c>
      <c r="L11190" t="s" s="16">
        <f>HYPERLINK("http://csr.bu.edu/ftp/asl/asllvd/demos/verify_start_end_handshape_annotations//test_auto_move//signs_mov_separ_signers/Naomi_6625.mov","MOV")</f>
        <v>21</v>
      </c>
      <c r="M11190" t="s" s="10">
        <v>86</v>
      </c>
      <c r="N11190" s="17">
        <v>31</v>
      </c>
      <c r="O11190" s="18">
        <v>3147</v>
      </c>
      <c r="P11190" s="18">
        <v>3200</v>
      </c>
      <c r="Q11190" t="s" s="16">
        <f>HYPERLINK("http://secrets.rutgers.edu:8080/data/asl-ftp/asllvd/demos/verify_start_end_handshape_annotations//test_auto_move//signs_mov/6625.mov","MOV")</f>
        <v>21</v>
      </c>
      <c r="R11190" t="s" s="16">
        <f>HYPERLINK("http://secrets.rutgers.edu:8080/data/asl-ftp/asllvd/demos/verify_start_end_handshape_annotations//test_auto_move//signs_mov_separ_signers/Naomi_6625.mov","MOV")</f>
        <v>21</v>
      </c>
    </row>
    <row r="11191" s="2" customFormat="1" ht="13.5" customHeight="1">
      <c r="B11191" t="s" s="8">
        <v>4177</v>
      </c>
      <c r="C11191" t="s" s="9">
        <v>14</v>
      </c>
      <c r="D11191" t="s" s="8">
        <v>14</v>
      </c>
      <c r="E11191" t="s" s="9">
        <v>14</v>
      </c>
      <c r="F11191" t="s" s="10">
        <v>14</v>
      </c>
      <c r="G11191" t="s" s="11">
        <v>14</v>
      </c>
      <c r="H11191" t="s" s="10">
        <v>14</v>
      </c>
      <c r="I11191" t="s" s="11">
        <v>14</v>
      </c>
      <c r="J11191" t="s" s="11">
        <v>14</v>
      </c>
      <c r="K11191" t="s" s="12">
        <v>14</v>
      </c>
      <c r="L11191" t="s" s="12">
        <v>14</v>
      </c>
      <c r="M11191" t="s" s="10">
        <v>14</v>
      </c>
      <c r="N11191" t="s" s="11">
        <v>14</v>
      </c>
      <c r="O11191" t="s" s="8">
        <v>14</v>
      </c>
      <c r="P11191" t="s" s="8">
        <v>14</v>
      </c>
      <c r="Q11191" t="s" s="12">
        <v>14</v>
      </c>
      <c r="R11191" t="s" s="12">
        <v>14</v>
      </c>
    </row>
    <row r="11192" s="2" customFormat="1" ht="13.5" customHeight="1">
      <c r="B11192" s="13"/>
      <c r="C11192" t="s" s="9">
        <v>23</v>
      </c>
      <c r="D11192" t="s" s="8">
        <v>4177</v>
      </c>
      <c r="E11192" t="s" s="9">
        <v>4177</v>
      </c>
      <c r="F11192" t="s" s="10">
        <v>148</v>
      </c>
      <c r="G11192" s="14"/>
      <c r="H11192" t="s" s="10">
        <v>119</v>
      </c>
      <c r="I11192" s="14"/>
      <c r="J11192" t="s" s="11">
        <v>20</v>
      </c>
      <c r="K11192" s="15"/>
      <c r="L11192" t="s" s="16">
        <f>HYPERLINK("http://csr.bu.edu/ftp/asl/asllvd/demos/verify_start_end_handshape_annotations//test_auto_move//signs_mov_separ_signers/Tyler_6716.mov","MOV")</f>
        <v>21</v>
      </c>
      <c r="M11192" t="s" s="10">
        <v>26</v>
      </c>
      <c r="N11192" s="17">
        <v>28</v>
      </c>
      <c r="O11192" s="18">
        <v>1565</v>
      </c>
      <c r="P11192" s="18">
        <v>1590</v>
      </c>
      <c r="Q11192" s="15"/>
      <c r="R11192" t="s" s="16">
        <f>HYPERLINK("http://secrets.rutgers.edu:8080/data/asl-ftp/asllvd/demos/verify_start_end_handshape_annotations//test_auto_move//signs_mov_separ_signers/Tyler_6716.mov","MOV")</f>
        <v>21</v>
      </c>
    </row>
    <row r="11193" s="2" customFormat="1" ht="13.5" customHeight="1">
      <c r="B11193" s="13"/>
      <c r="C11193" t="s" s="9">
        <v>23</v>
      </c>
      <c r="D11193" t="s" s="8">
        <v>4177</v>
      </c>
      <c r="E11193" t="s" s="9">
        <v>4177</v>
      </c>
      <c r="F11193" t="s" s="10">
        <v>148</v>
      </c>
      <c r="G11193" s="14"/>
      <c r="H11193" t="s" s="10">
        <v>119</v>
      </c>
      <c r="I11193" s="14"/>
      <c r="J11193" t="s" s="11">
        <v>20</v>
      </c>
      <c r="K11193" t="s" s="16">
        <f>HYPERLINK("http://csr.bu.edu/ftp/asl/asllvd/demos/verify_start_end_handshape_annotations//test_auto_move//signs_mov/3979_6716_merged.mov","MOV")</f>
        <v>21</v>
      </c>
      <c r="L11193" t="s" s="16">
        <f>HYPERLINK("http://csr.bu.edu/ftp/asl/asllvd/demos/verify_start_end_handshape_annotations//test_auto_move//signs_mov_separ_signers/Tyler_3979.mov","MOV")</f>
        <v>21</v>
      </c>
      <c r="M11193" t="s" s="10">
        <v>92</v>
      </c>
      <c r="N11193" s="17">
        <v>17</v>
      </c>
      <c r="O11193" s="18">
        <v>2480</v>
      </c>
      <c r="P11193" s="18">
        <v>2502</v>
      </c>
      <c r="Q11193" t="s" s="16">
        <f>HYPERLINK("http://secrets.rutgers.edu:8080/data/asl-ftp/asllvd/demos/verify_start_end_handshape_annotations//test_auto_move//signs_mov/3979_6716_merged.mov","MOV")</f>
        <v>21</v>
      </c>
      <c r="R11193" t="s" s="16">
        <f>HYPERLINK("http://secrets.rutgers.edu:8080/data/asl-ftp/asllvd/demos/verify_start_end_handshape_annotations//test_auto_move//signs_mov_separ_signers/Tyler_3979.mov","MOV")</f>
        <v>21</v>
      </c>
    </row>
    <row r="11194" s="2" customFormat="1" ht="13.5" customHeight="1">
      <c r="B11194" s="13"/>
      <c r="C11194" t="s" s="9">
        <v>30</v>
      </c>
      <c r="D11194" t="s" s="8">
        <v>4177</v>
      </c>
      <c r="E11194" t="s" s="9">
        <v>4177</v>
      </c>
      <c r="F11194" t="s" s="10">
        <v>148</v>
      </c>
      <c r="G11194" s="14"/>
      <c r="H11194" t="s" s="10">
        <v>119</v>
      </c>
      <c r="I11194" s="14"/>
      <c r="J11194" t="s" s="11">
        <v>20</v>
      </c>
      <c r="K11194" s="15"/>
      <c r="L11194" t="s" s="16">
        <f>HYPERLINK("http://csr.bu.edu/ftp/asl/asllvd/demos/verify_start_end_handshape_annotations//test_auto_move//signs_mov_separ_signers/Brady_6716.mov","MOV")</f>
        <v>21</v>
      </c>
      <c r="M11194" t="s" s="10">
        <v>39</v>
      </c>
      <c r="N11194" s="17">
        <v>15</v>
      </c>
      <c r="O11194" s="18">
        <v>6150</v>
      </c>
      <c r="P11194" s="18">
        <v>6165</v>
      </c>
      <c r="Q11194" s="15"/>
      <c r="R11194" t="s" s="16">
        <f>HYPERLINK("http://secrets.rutgers.edu:8080/data/asl-ftp/asllvd/demos/verify_start_end_handshape_annotations//test_auto_move//signs_mov_separ_signers/Brady_6716.mov","MOV")</f>
        <v>21</v>
      </c>
    </row>
    <row r="11195" s="2" customFormat="1" ht="13.5" customHeight="1">
      <c r="B11195" t="s" s="8">
        <v>4178</v>
      </c>
      <c r="C11195" t="s" s="9">
        <v>14</v>
      </c>
      <c r="D11195" t="s" s="8">
        <v>14</v>
      </c>
      <c r="E11195" t="s" s="9">
        <v>14</v>
      </c>
      <c r="F11195" t="s" s="10">
        <v>14</v>
      </c>
      <c r="G11195" t="s" s="11">
        <v>14</v>
      </c>
      <c r="H11195" t="s" s="10">
        <v>14</v>
      </c>
      <c r="I11195" t="s" s="11">
        <v>14</v>
      </c>
      <c r="J11195" t="s" s="11">
        <v>14</v>
      </c>
      <c r="K11195" t="s" s="12">
        <v>14</v>
      </c>
      <c r="L11195" t="s" s="12">
        <v>14</v>
      </c>
      <c r="M11195" t="s" s="10">
        <v>14</v>
      </c>
      <c r="N11195" t="s" s="11">
        <v>14</v>
      </c>
      <c r="O11195" t="s" s="8">
        <v>14</v>
      </c>
      <c r="P11195" t="s" s="8">
        <v>14</v>
      </c>
      <c r="Q11195" t="s" s="12">
        <v>14</v>
      </c>
      <c r="R11195" t="s" s="12">
        <v>14</v>
      </c>
    </row>
    <row r="11196" s="2" customFormat="1" ht="13.5" customHeight="1">
      <c r="B11196" s="13"/>
      <c r="C11196" t="s" s="9">
        <v>16</v>
      </c>
      <c r="D11196" t="s" s="8">
        <v>4178</v>
      </c>
      <c r="E11196" t="s" s="9">
        <v>4178</v>
      </c>
      <c r="F11196" t="s" s="10">
        <v>1352</v>
      </c>
      <c r="G11196" s="14"/>
      <c r="H11196" t="s" s="10">
        <v>1352</v>
      </c>
      <c r="I11196" s="14"/>
      <c r="J11196" t="s" s="11">
        <v>20</v>
      </c>
      <c r="K11196" s="15"/>
      <c r="L11196" t="s" s="16">
        <f>HYPERLINK("http://csr.bu.edu/ftp/asl/asllvd/demos/verify_start_end_handshape_annotations//test_auto_move//signs_mov_separ_signers/Liz_6756.mov","MOV")</f>
        <v>21</v>
      </c>
      <c r="M11196" t="s" s="10">
        <v>22</v>
      </c>
      <c r="N11196" s="17">
        <v>77</v>
      </c>
      <c r="O11196" s="18">
        <v>1536</v>
      </c>
      <c r="P11196" s="18">
        <v>1575</v>
      </c>
      <c r="Q11196" s="15"/>
      <c r="R11196" t="s" s="16">
        <f>HYPERLINK("http://secrets.rutgers.edu:8080/data/asl-ftp/asllvd/demos/verify_start_end_handshape_annotations//test_auto_move//signs_mov_separ_signers/Liz_6756.mov","MOV")</f>
        <v>21</v>
      </c>
    </row>
    <row r="11197" s="2" customFormat="1" ht="13.5" customHeight="1">
      <c r="B11197" s="13"/>
      <c r="C11197" t="s" s="9">
        <v>27</v>
      </c>
      <c r="D11197" t="s" s="8">
        <v>4178</v>
      </c>
      <c r="E11197" t="s" s="9">
        <v>4178</v>
      </c>
      <c r="F11197" t="s" s="10">
        <v>1352</v>
      </c>
      <c r="G11197" s="14"/>
      <c r="H11197" t="s" s="10">
        <v>1352</v>
      </c>
      <c r="I11197" s="14"/>
      <c r="J11197" t="s" s="11">
        <v>20</v>
      </c>
      <c r="K11197" t="s" s="16">
        <f>HYPERLINK("http://csr.bu.edu/ftp/asl/asllvd/demos/verify_start_end_handshape_annotations//test_auto_move//signs_mov/6756.mov","MOV")</f>
        <v>21</v>
      </c>
      <c r="L11197" t="s" s="16">
        <f>HYPERLINK("http://csr.bu.edu/ftp/asl/asllvd/demos/verify_start_end_handshape_annotations//test_auto_move//signs_mov_separ_signers/Naomi_6756.mov","MOV")</f>
        <v>21</v>
      </c>
      <c r="M11197" t="s" s="10">
        <v>29</v>
      </c>
      <c r="N11197" s="17">
        <v>49</v>
      </c>
      <c r="O11197" s="18">
        <v>1691</v>
      </c>
      <c r="P11197" s="18">
        <v>1710</v>
      </c>
      <c r="Q11197" t="s" s="16">
        <f>HYPERLINK("http://secrets.rutgers.edu:8080/data/asl-ftp/asllvd/demos/verify_start_end_handshape_annotations//test_auto_move//signs_mov/6756.mov","MOV")</f>
        <v>21</v>
      </c>
      <c r="R11197" t="s" s="16">
        <f>HYPERLINK("http://secrets.rutgers.edu:8080/data/asl-ftp/asllvd/demos/verify_start_end_handshape_annotations//test_auto_move//signs_mov_separ_signers/Naomi_6756.mov","MOV")</f>
        <v>21</v>
      </c>
    </row>
    <row r="11198" s="2" customFormat="1" ht="13.5" customHeight="1">
      <c r="B11198" s="13"/>
      <c r="C11198" t="s" s="9">
        <v>30</v>
      </c>
      <c r="D11198" t="s" s="8">
        <v>4178</v>
      </c>
      <c r="E11198" t="s" s="9">
        <v>4178</v>
      </c>
      <c r="F11198" t="s" s="10">
        <v>1352</v>
      </c>
      <c r="G11198" s="14"/>
      <c r="H11198" t="s" s="10">
        <v>1352</v>
      </c>
      <c r="I11198" s="14"/>
      <c r="J11198" t="s" s="11">
        <v>20</v>
      </c>
      <c r="K11198" s="15"/>
      <c r="L11198" t="s" s="16">
        <f>HYPERLINK("http://csr.bu.edu/ftp/asl/asllvd/demos/verify_start_end_handshape_annotations//test_auto_move//signs_mov_separ_signers/Brady_6756.mov","MOV")</f>
        <v>21</v>
      </c>
      <c r="M11198" t="s" s="10">
        <v>31</v>
      </c>
      <c r="N11198" s="17">
        <v>27</v>
      </c>
      <c r="O11198" s="18">
        <v>14961</v>
      </c>
      <c r="P11198" s="18">
        <v>14991</v>
      </c>
      <c r="Q11198" s="15"/>
      <c r="R11198" t="s" s="16">
        <f>HYPERLINK("http://secrets.rutgers.edu:8080/data/asl-ftp/asllvd/demos/verify_start_end_handshape_annotations//test_auto_move//signs_mov_separ_signers/Brady_6756.mov","MOV")</f>
        <v>21</v>
      </c>
    </row>
    <row r="11199" s="2" customFormat="1" ht="13.5" customHeight="1">
      <c r="B11199" t="s" s="8">
        <v>4179</v>
      </c>
      <c r="C11199" t="s" s="9">
        <v>14</v>
      </c>
      <c r="D11199" t="s" s="8">
        <v>14</v>
      </c>
      <c r="E11199" t="s" s="9">
        <v>14</v>
      </c>
      <c r="F11199" t="s" s="10">
        <v>14</v>
      </c>
      <c r="G11199" t="s" s="11">
        <v>14</v>
      </c>
      <c r="H11199" t="s" s="10">
        <v>14</v>
      </c>
      <c r="I11199" t="s" s="11">
        <v>14</v>
      </c>
      <c r="J11199" t="s" s="11">
        <v>14</v>
      </c>
      <c r="K11199" t="s" s="12">
        <v>14</v>
      </c>
      <c r="L11199" t="s" s="12">
        <v>14</v>
      </c>
      <c r="M11199" t="s" s="10">
        <v>14</v>
      </c>
      <c r="N11199" t="s" s="11">
        <v>14</v>
      </c>
      <c r="O11199" t="s" s="8">
        <v>14</v>
      </c>
      <c r="P11199" t="s" s="8">
        <v>14</v>
      </c>
      <c r="Q11199" t="s" s="12">
        <v>14</v>
      </c>
      <c r="R11199" t="s" s="12">
        <v>14</v>
      </c>
    </row>
    <row r="11200" s="2" customFormat="1" ht="13.5" customHeight="1">
      <c r="B11200" s="13"/>
      <c r="C11200" t="s" s="9">
        <v>16</v>
      </c>
      <c r="D11200" t="s" s="8">
        <v>4179</v>
      </c>
      <c r="E11200" t="s" s="9">
        <v>4179</v>
      </c>
      <c r="F11200" t="s" s="10">
        <v>152</v>
      </c>
      <c r="G11200" t="s" s="11">
        <v>109</v>
      </c>
      <c r="H11200" t="s" s="10">
        <v>152</v>
      </c>
      <c r="I11200" t="s" s="11">
        <v>109</v>
      </c>
      <c r="J11200" t="s" s="11">
        <v>20</v>
      </c>
      <c r="K11200" s="15"/>
      <c r="L11200" t="s" s="16">
        <f>HYPERLINK("http://csr.bu.edu/ftp/asl/asllvd/demos/verify_start_end_handshape_annotations//test_auto_move//signs_mov_separ_signers/Liz_6833.mov","MOV")</f>
        <v>21</v>
      </c>
      <c r="M11200" t="s" s="10">
        <v>22</v>
      </c>
      <c r="N11200" s="17">
        <v>79</v>
      </c>
      <c r="O11200" s="18">
        <v>2400</v>
      </c>
      <c r="P11200" s="18">
        <v>2426</v>
      </c>
      <c r="Q11200" s="15"/>
      <c r="R11200" t="s" s="16">
        <f>HYPERLINK("http://secrets.rutgers.edu:8080/data/asl-ftp/asllvd/demos/verify_start_end_handshape_annotations//test_auto_move//signs_mov_separ_signers/Liz_6833.mov","MOV")</f>
        <v>21</v>
      </c>
    </row>
    <row r="11201" s="2" customFormat="1" ht="13.5" customHeight="1">
      <c r="B11201" s="13"/>
      <c r="C11201" t="s" s="9">
        <v>23</v>
      </c>
      <c r="D11201" t="s" s="8">
        <v>4179</v>
      </c>
      <c r="E11201" t="s" s="9">
        <v>4179</v>
      </c>
      <c r="F11201" t="s" s="10">
        <v>55</v>
      </c>
      <c r="G11201" t="s" s="11">
        <v>55</v>
      </c>
      <c r="H11201" t="s" s="10">
        <v>55</v>
      </c>
      <c r="I11201" t="s" s="11">
        <v>55</v>
      </c>
      <c r="J11201" t="s" s="11">
        <v>20</v>
      </c>
      <c r="K11201" s="15"/>
      <c r="L11201" t="s" s="16">
        <f>HYPERLINK("http://csr.bu.edu/ftp/asl/asllvd/demos/verify_start_end_handshape_annotations//test_auto_move//signs_mov_separ_signers/Tyler_6833.mov","MOV")</f>
        <v>21</v>
      </c>
      <c r="M11201" t="s" s="10">
        <v>26</v>
      </c>
      <c r="N11201" s="17">
        <v>48</v>
      </c>
      <c r="O11201" s="18">
        <v>880</v>
      </c>
      <c r="P11201" s="18">
        <v>916</v>
      </c>
      <c r="Q11201" s="15"/>
      <c r="R11201" t="s" s="16">
        <f>HYPERLINK("http://secrets.rutgers.edu:8080/data/asl-ftp/asllvd/demos/verify_start_end_handshape_annotations//test_auto_move//signs_mov_separ_signers/Tyler_6833.mov","MOV")</f>
        <v>21</v>
      </c>
    </row>
    <row r="11202" s="2" customFormat="1" ht="13.5" customHeight="1">
      <c r="B11202" s="13"/>
      <c r="C11202" t="s" s="9">
        <v>27</v>
      </c>
      <c r="D11202" t="s" s="8">
        <v>4179</v>
      </c>
      <c r="E11202" t="s" s="9">
        <v>4179</v>
      </c>
      <c r="F11202" t="s" s="10">
        <v>73</v>
      </c>
      <c r="G11202" t="s" s="11">
        <v>73</v>
      </c>
      <c r="H11202" t="s" s="10">
        <v>73</v>
      </c>
      <c r="I11202" t="s" s="11">
        <v>73</v>
      </c>
      <c r="J11202" t="s" s="11">
        <v>20</v>
      </c>
      <c r="K11202" t="s" s="16">
        <f>HYPERLINK("http://csr.bu.edu/ftp/asl/asllvd/demos/verify_start_end_handshape_annotations//test_auto_move//signs_mov/5832_6833_merged.mov","MOV")</f>
        <v>21</v>
      </c>
      <c r="L11202" t="s" s="16">
        <f>HYPERLINK("http://csr.bu.edu/ftp/asl/asllvd/demos/verify_start_end_handshape_annotations//test_auto_move//signs_mov_separ_signers/Naomi_6833.mov","MOV")</f>
        <v>21</v>
      </c>
      <c r="M11202" t="s" s="10">
        <v>29</v>
      </c>
      <c r="N11202" s="17">
        <v>50</v>
      </c>
      <c r="O11202" s="18">
        <v>935</v>
      </c>
      <c r="P11202" s="18">
        <v>965</v>
      </c>
      <c r="Q11202" t="s" s="16">
        <f>HYPERLINK("http://secrets.rutgers.edu:8080/data/asl-ftp/asllvd/demos/verify_start_end_handshape_annotations//test_auto_move//signs_mov/5832_6833_merged.mov","MOV")</f>
        <v>21</v>
      </c>
      <c r="R11202" t="s" s="16">
        <f>HYPERLINK("http://secrets.rutgers.edu:8080/data/asl-ftp/asllvd/demos/verify_start_end_handshape_annotations//test_auto_move//signs_mov_separ_signers/Naomi_6833.mov","MOV")</f>
        <v>21</v>
      </c>
    </row>
    <row r="11203" s="2" customFormat="1" ht="13.5" customHeight="1">
      <c r="B11203" s="13"/>
      <c r="C11203" t="s" s="9">
        <v>30</v>
      </c>
      <c r="D11203" t="s" s="8">
        <v>4179</v>
      </c>
      <c r="E11203" t="s" s="9">
        <v>4179</v>
      </c>
      <c r="F11203" t="s" s="10">
        <v>73</v>
      </c>
      <c r="G11203" t="s" s="11">
        <v>73</v>
      </c>
      <c r="H11203" t="s" s="10">
        <v>73</v>
      </c>
      <c r="I11203" t="s" s="11">
        <v>73</v>
      </c>
      <c r="J11203" t="s" s="11">
        <v>20</v>
      </c>
      <c r="K11203" s="15"/>
      <c r="L11203" t="s" s="16">
        <f>HYPERLINK("http://csr.bu.edu/ftp/asl/asllvd/demos/verify_start_end_handshape_annotations//test_auto_move//signs_mov_separ_signers/Brady_6833.mov","MOV")</f>
        <v>21</v>
      </c>
      <c r="M11203" t="s" s="10">
        <v>31</v>
      </c>
      <c r="N11203" s="17">
        <v>28</v>
      </c>
      <c r="O11203" s="18">
        <v>7661</v>
      </c>
      <c r="P11203" s="18">
        <v>7692</v>
      </c>
      <c r="Q11203" s="15"/>
      <c r="R11203" t="s" s="16">
        <f>HYPERLINK("http://secrets.rutgers.edu:8080/data/asl-ftp/asllvd/demos/verify_start_end_handshape_annotations//test_auto_move//signs_mov_separ_signers/Brady_6833.mov","MOV")</f>
        <v>21</v>
      </c>
    </row>
    <row r="11204" s="2" customFormat="1" ht="13.5" customHeight="1">
      <c r="B11204" s="13"/>
      <c r="C11204" t="s" s="9">
        <v>30</v>
      </c>
      <c r="D11204" t="s" s="8">
        <v>4179</v>
      </c>
      <c r="E11204" t="s" s="9">
        <v>4179</v>
      </c>
      <c r="F11204" t="s" s="10">
        <v>85</v>
      </c>
      <c r="G11204" t="s" s="11">
        <v>85</v>
      </c>
      <c r="H11204" t="s" s="10">
        <v>85</v>
      </c>
      <c r="I11204" t="s" s="11">
        <v>85</v>
      </c>
      <c r="J11204" t="s" s="11">
        <v>20</v>
      </c>
      <c r="K11204" s="15"/>
      <c r="L11204" t="s" s="16">
        <f>HYPERLINK("http://csr.bu.edu/ftp/asl/asllvd/demos/verify_start_end_handshape_annotations//test_auto_move//signs_mov_separ_signers/Brady_5832.mov","MOV")</f>
        <v>21</v>
      </c>
      <c r="M11204" t="s" s="10">
        <v>60</v>
      </c>
      <c r="N11204" s="17">
        <v>40</v>
      </c>
      <c r="O11204" s="18">
        <v>1962</v>
      </c>
      <c r="P11204" s="18">
        <v>1986</v>
      </c>
      <c r="Q11204" s="15"/>
      <c r="R11204" t="s" s="16">
        <f>HYPERLINK("http://secrets.rutgers.edu:8080/data/asl-ftp/asllvd/demos/verify_start_end_handshape_annotations//test_auto_move//signs_mov_separ_signers/Brady_5832.mov","MOV")</f>
        <v>21</v>
      </c>
    </row>
    <row r="11205" s="2" customFormat="1" ht="13.5" customHeight="1">
      <c r="B11205" t="s" s="8">
        <v>4180</v>
      </c>
      <c r="C11205" t="s" s="9">
        <v>14</v>
      </c>
      <c r="D11205" t="s" s="8">
        <v>14</v>
      </c>
      <c r="E11205" t="s" s="9">
        <v>14</v>
      </c>
      <c r="F11205" t="s" s="10">
        <v>14</v>
      </c>
      <c r="G11205" t="s" s="11">
        <v>14</v>
      </c>
      <c r="H11205" t="s" s="10">
        <v>14</v>
      </c>
      <c r="I11205" t="s" s="11">
        <v>14</v>
      </c>
      <c r="J11205" t="s" s="11">
        <v>14</v>
      </c>
      <c r="K11205" t="s" s="12">
        <v>14</v>
      </c>
      <c r="L11205" t="s" s="12">
        <v>14</v>
      </c>
      <c r="M11205" t="s" s="10">
        <v>14</v>
      </c>
      <c r="N11205" t="s" s="11">
        <v>14</v>
      </c>
      <c r="O11205" t="s" s="8">
        <v>14</v>
      </c>
      <c r="P11205" t="s" s="8">
        <v>14</v>
      </c>
      <c r="Q11205" t="s" s="12">
        <v>14</v>
      </c>
      <c r="R11205" t="s" s="12">
        <v>14</v>
      </c>
    </row>
    <row r="11206" s="2" customFormat="1" ht="13.5" customHeight="1">
      <c r="B11206" s="13"/>
      <c r="C11206" t="s" s="9">
        <v>16</v>
      </c>
      <c r="D11206" t="s" s="8">
        <v>4180</v>
      </c>
      <c r="E11206" t="s" s="9">
        <v>4180</v>
      </c>
      <c r="F11206" t="s" s="10">
        <v>18</v>
      </c>
      <c r="G11206" t="s" s="11">
        <v>18</v>
      </c>
      <c r="H11206" t="s" s="10">
        <v>18</v>
      </c>
      <c r="I11206" t="s" s="11">
        <v>18</v>
      </c>
      <c r="J11206" t="s" s="11">
        <v>20</v>
      </c>
      <c r="K11206" s="15"/>
      <c r="L11206" t="s" s="16">
        <f>HYPERLINK("http://csr.bu.edu/ftp/asl/asllvd/demos/verify_start_end_handshape_annotations//test_auto_move//signs_mov_separ_signers/Liz_6842.mov","MOV")</f>
        <v>21</v>
      </c>
      <c r="M11206" t="s" s="10">
        <v>22</v>
      </c>
      <c r="N11206" s="17">
        <v>83</v>
      </c>
      <c r="O11206" s="18">
        <v>525</v>
      </c>
      <c r="P11206" s="18">
        <v>555</v>
      </c>
      <c r="Q11206" s="15"/>
      <c r="R11206" t="s" s="16">
        <f>HYPERLINK("http://secrets.rutgers.edu:8080/data/asl-ftp/asllvd/demos/verify_start_end_handshape_annotations//test_auto_move//signs_mov_separ_signers/Liz_6842.mov","MOV")</f>
        <v>21</v>
      </c>
    </row>
    <row r="11207" s="2" customFormat="1" ht="13.5" customHeight="1">
      <c r="B11207" s="13"/>
      <c r="C11207" t="s" s="9">
        <v>27</v>
      </c>
      <c r="D11207" t="s" s="8">
        <v>4180</v>
      </c>
      <c r="E11207" t="s" s="9">
        <v>4180</v>
      </c>
      <c r="F11207" t="s" s="10">
        <v>18</v>
      </c>
      <c r="G11207" t="s" s="11">
        <v>18</v>
      </c>
      <c r="H11207" t="s" s="10">
        <v>18</v>
      </c>
      <c r="I11207" t="s" s="11">
        <v>18</v>
      </c>
      <c r="J11207" t="s" s="11">
        <v>20</v>
      </c>
      <c r="K11207" t="s" s="16">
        <f>HYPERLINK("http://csr.bu.edu/ftp/asl/asllvd/demos/verify_start_end_handshape_annotations//test_auto_move//signs_mov/5834_6842_merged.mov","MOV")</f>
        <v>21</v>
      </c>
      <c r="L11207" t="s" s="16">
        <f>HYPERLINK("http://csr.bu.edu/ftp/asl/asllvd/demos/verify_start_end_handshape_annotations//test_auto_move//signs_mov_separ_signers/Naomi_6842.mov","MOV")</f>
        <v>21</v>
      </c>
      <c r="M11207" t="s" s="10">
        <v>29</v>
      </c>
      <c r="N11207" s="17">
        <v>51</v>
      </c>
      <c r="O11207" s="18">
        <v>3211</v>
      </c>
      <c r="P11207" s="18">
        <v>3235</v>
      </c>
      <c r="Q11207" t="s" s="16">
        <f>HYPERLINK("http://secrets.rutgers.edu:8080/data/asl-ftp/asllvd/demos/verify_start_end_handshape_annotations//test_auto_move//signs_mov/5834_6842_merged.mov","MOV")</f>
        <v>21</v>
      </c>
      <c r="R11207" t="s" s="16">
        <f>HYPERLINK("http://secrets.rutgers.edu:8080/data/asl-ftp/asllvd/demos/verify_start_end_handshape_annotations//test_auto_move//signs_mov_separ_signers/Naomi_6842.mov","MOV")</f>
        <v>21</v>
      </c>
    </row>
    <row r="11208" s="2" customFormat="1" ht="13.5" customHeight="1">
      <c r="B11208" s="13"/>
      <c r="C11208" t="s" s="9">
        <v>30</v>
      </c>
      <c r="D11208" t="s" s="8">
        <v>4180</v>
      </c>
      <c r="E11208" t="s" s="9">
        <v>4180</v>
      </c>
      <c r="F11208" t="s" s="10">
        <v>337</v>
      </c>
      <c r="G11208" t="s" s="11">
        <v>337</v>
      </c>
      <c r="H11208" t="s" s="10">
        <v>337</v>
      </c>
      <c r="I11208" t="s" s="11">
        <v>337</v>
      </c>
      <c r="J11208" t="s" s="11">
        <v>20</v>
      </c>
      <c r="K11208" s="15"/>
      <c r="L11208" t="s" s="16">
        <f>HYPERLINK("http://csr.bu.edu/ftp/asl/asllvd/demos/verify_start_end_handshape_annotations//test_auto_move//signs_mov_separ_signers/Brady_6842.mov","MOV")</f>
        <v>21</v>
      </c>
      <c r="M11208" t="s" s="10">
        <v>31</v>
      </c>
      <c r="N11208" s="17">
        <v>28</v>
      </c>
      <c r="O11208" s="18">
        <v>14289</v>
      </c>
      <c r="P11208" s="18">
        <v>14325</v>
      </c>
      <c r="Q11208" s="15"/>
      <c r="R11208" t="s" s="16">
        <f>HYPERLINK("http://secrets.rutgers.edu:8080/data/asl-ftp/asllvd/demos/verify_start_end_handshape_annotations//test_auto_move//signs_mov_separ_signers/Brady_6842.mov","MOV")</f>
        <v>21</v>
      </c>
    </row>
    <row r="11209" s="2" customFormat="1" ht="13.5" customHeight="1">
      <c r="B11209" s="13"/>
      <c r="C11209" t="s" s="9">
        <v>30</v>
      </c>
      <c r="D11209" t="s" s="8">
        <v>4180</v>
      </c>
      <c r="E11209" t="s" s="9">
        <v>4180</v>
      </c>
      <c r="F11209" t="s" s="10">
        <v>337</v>
      </c>
      <c r="G11209" t="s" s="11">
        <v>337</v>
      </c>
      <c r="H11209" t="s" s="10">
        <v>337</v>
      </c>
      <c r="I11209" t="s" s="11">
        <v>337</v>
      </c>
      <c r="J11209" t="s" s="11">
        <v>20</v>
      </c>
      <c r="K11209" s="15"/>
      <c r="L11209" t="s" s="16">
        <f>HYPERLINK("http://csr.bu.edu/ftp/asl/asllvd/demos/verify_start_end_handshape_annotations//test_auto_move//signs_mov_separ_signers/Brady_5834.mov","MOV")</f>
        <v>21</v>
      </c>
      <c r="M11209" t="s" s="10">
        <v>60</v>
      </c>
      <c r="N11209" s="17">
        <v>40</v>
      </c>
      <c r="O11209" s="18">
        <v>2805</v>
      </c>
      <c r="P11209" s="18">
        <v>2844</v>
      </c>
      <c r="Q11209" s="15"/>
      <c r="R11209" t="s" s="16">
        <f>HYPERLINK("http://secrets.rutgers.edu:8080/data/asl-ftp/asllvd/demos/verify_start_end_handshape_annotations//test_auto_move//signs_mov_separ_signers/Brady_5834.mov","MOV")</f>
        <v>21</v>
      </c>
    </row>
    <row r="11210" s="2" customFormat="1" ht="13.5" customHeight="1">
      <c r="B11210" t="s" s="8">
        <v>4181</v>
      </c>
      <c r="C11210" t="s" s="9">
        <v>14</v>
      </c>
      <c r="D11210" t="s" s="8">
        <v>14</v>
      </c>
      <c r="E11210" t="s" s="9">
        <v>14</v>
      </c>
      <c r="F11210" t="s" s="10">
        <v>14</v>
      </c>
      <c r="G11210" t="s" s="11">
        <v>14</v>
      </c>
      <c r="H11210" t="s" s="10">
        <v>14</v>
      </c>
      <c r="I11210" t="s" s="11">
        <v>14</v>
      </c>
      <c r="J11210" t="s" s="11">
        <v>14</v>
      </c>
      <c r="K11210" t="s" s="12">
        <v>14</v>
      </c>
      <c r="L11210" t="s" s="12">
        <v>14</v>
      </c>
      <c r="M11210" t="s" s="10">
        <v>14</v>
      </c>
      <c r="N11210" t="s" s="11">
        <v>14</v>
      </c>
      <c r="O11210" t="s" s="8">
        <v>14</v>
      </c>
      <c r="P11210" t="s" s="8">
        <v>14</v>
      </c>
      <c r="Q11210" t="s" s="12">
        <v>14</v>
      </c>
      <c r="R11210" t="s" s="12">
        <v>14</v>
      </c>
    </row>
    <row r="11211" s="2" customFormat="1" ht="13.5" customHeight="1">
      <c r="B11211" s="13"/>
      <c r="C11211" t="s" s="9">
        <v>16</v>
      </c>
      <c r="D11211" t="s" s="8">
        <v>4181</v>
      </c>
      <c r="E11211" t="s" s="9">
        <v>4182</v>
      </c>
      <c r="F11211" t="s" s="10">
        <v>337</v>
      </c>
      <c r="G11211" s="14"/>
      <c r="H11211" t="s" s="10">
        <v>337</v>
      </c>
      <c r="I11211" s="14"/>
      <c r="J11211" t="s" s="11">
        <v>20</v>
      </c>
      <c r="K11211" s="15"/>
      <c r="L11211" t="s" s="16">
        <f>HYPERLINK("http://csr.bu.edu/ftp/asl/asllvd/demos/verify_start_end_handshape_annotations//test_auto_move//signs_mov_separ_signers/Liz_15811.mov","MOV")</f>
        <v>21</v>
      </c>
      <c r="M11211" t="s" s="10">
        <v>88</v>
      </c>
      <c r="N11211" s="17">
        <v>48</v>
      </c>
      <c r="O11211" s="18">
        <v>426</v>
      </c>
      <c r="P11211" s="18">
        <v>472</v>
      </c>
      <c r="Q11211" s="15"/>
      <c r="R11211" t="s" s="16">
        <f>HYPERLINK("http://secrets.rutgers.edu:8080/data/asl-ftp/asllvd/demos/verify_start_end_handshape_annotations//test_auto_move//signs_mov_separ_signers/Liz_15811.mov","MOV")</f>
        <v>21</v>
      </c>
    </row>
    <row r="11212" s="2" customFormat="1" ht="13.5" customHeight="1">
      <c r="B11212" s="13"/>
      <c r="C11212" t="s" s="9">
        <v>23</v>
      </c>
      <c r="D11212" t="s" s="8">
        <v>4181</v>
      </c>
      <c r="E11212" t="s" s="9">
        <v>4181</v>
      </c>
      <c r="F11212" t="s" s="10">
        <v>337</v>
      </c>
      <c r="G11212" s="14"/>
      <c r="H11212" t="s" s="10">
        <v>337</v>
      </c>
      <c r="I11212" s="14"/>
      <c r="J11212" t="s" s="11">
        <v>20</v>
      </c>
      <c r="K11212" t="s" s="16">
        <f>HYPERLINK("http://csr.bu.edu/ftp/asl/asllvd/demos/verify_start_end_handshape_annotations//test_auto_move//signs_mov/15811.mov","MOV")</f>
        <v>21</v>
      </c>
      <c r="L11212" t="s" s="16">
        <f>HYPERLINK("http://csr.bu.edu/ftp/asl/asllvd/demos/verify_start_end_handshape_annotations//test_auto_move//signs_mov_separ_signers/Tyler_15811.mov","MOV")</f>
        <v>21</v>
      </c>
      <c r="M11212" t="s" s="10">
        <v>26</v>
      </c>
      <c r="N11212" s="17">
        <v>49</v>
      </c>
      <c r="O11212" s="18">
        <v>2365</v>
      </c>
      <c r="P11212" s="18">
        <v>2400</v>
      </c>
      <c r="Q11212" t="s" s="16">
        <f>HYPERLINK("http://secrets.rutgers.edu:8080/data/asl-ftp/asllvd/demos/verify_start_end_handshape_annotations//test_auto_move//signs_mov/15811.mov","MOV")</f>
        <v>21</v>
      </c>
      <c r="R11212" t="s" s="16">
        <f>HYPERLINK("http://secrets.rutgers.edu:8080/data/asl-ftp/asllvd/demos/verify_start_end_handshape_annotations//test_auto_move//signs_mov_separ_signers/Tyler_15811.mov","MOV")</f>
        <v>21</v>
      </c>
    </row>
    <row r="11213" s="2" customFormat="1" ht="13.5" customHeight="1">
      <c r="B11213" s="13"/>
      <c r="C11213" t="s" s="9">
        <v>30</v>
      </c>
      <c r="D11213" t="s" s="8">
        <v>4181</v>
      </c>
      <c r="E11213" t="s" s="9">
        <v>4182</v>
      </c>
      <c r="F11213" t="s" s="10">
        <v>337</v>
      </c>
      <c r="G11213" s="14"/>
      <c r="H11213" t="s" s="10">
        <v>337</v>
      </c>
      <c r="I11213" s="14"/>
      <c r="J11213" t="s" s="11">
        <v>20</v>
      </c>
      <c r="K11213" s="15"/>
      <c r="L11213" t="s" s="16">
        <f>HYPERLINK("http://csr.bu.edu/ftp/asl/asllvd/demos/verify_start_end_handshape_annotations//test_auto_move//signs_mov_separ_signers/Brady_15811.mov","MOV")</f>
        <v>21</v>
      </c>
      <c r="M11213" t="s" s="10">
        <v>40</v>
      </c>
      <c r="N11213" s="17">
        <v>42</v>
      </c>
      <c r="O11213" s="18">
        <v>802</v>
      </c>
      <c r="P11213" s="18">
        <v>833</v>
      </c>
      <c r="Q11213" s="15"/>
      <c r="R11213" t="s" s="16">
        <f>HYPERLINK("http://secrets.rutgers.edu:8080/data/asl-ftp/asllvd/demos/verify_start_end_handshape_annotations//test_auto_move//signs_mov_separ_signers/Brady_15811.mov","MOV")</f>
        <v>21</v>
      </c>
    </row>
    <row r="11214" s="2" customFormat="1" ht="13.5" customHeight="1">
      <c r="B11214" t="s" s="8">
        <v>4183</v>
      </c>
      <c r="C11214" t="s" s="9">
        <v>14</v>
      </c>
      <c r="D11214" t="s" s="8">
        <v>14</v>
      </c>
      <c r="E11214" t="s" s="9">
        <v>14</v>
      </c>
      <c r="F11214" t="s" s="10">
        <v>14</v>
      </c>
      <c r="G11214" t="s" s="11">
        <v>14</v>
      </c>
      <c r="H11214" t="s" s="10">
        <v>14</v>
      </c>
      <c r="I11214" t="s" s="11">
        <v>14</v>
      </c>
      <c r="J11214" t="s" s="11">
        <v>14</v>
      </c>
      <c r="K11214" t="s" s="12">
        <v>14</v>
      </c>
      <c r="L11214" t="s" s="12">
        <v>14</v>
      </c>
      <c r="M11214" t="s" s="10">
        <v>14</v>
      </c>
      <c r="N11214" t="s" s="11">
        <v>14</v>
      </c>
      <c r="O11214" t="s" s="8">
        <v>14</v>
      </c>
      <c r="P11214" t="s" s="8">
        <v>14</v>
      </c>
      <c r="Q11214" t="s" s="12">
        <v>14</v>
      </c>
      <c r="R11214" t="s" s="12">
        <v>14</v>
      </c>
    </row>
    <row r="11215" s="2" customFormat="1" ht="13.5" customHeight="1">
      <c r="B11215" s="13"/>
      <c r="C11215" t="s" s="9">
        <v>16</v>
      </c>
      <c r="D11215" t="s" s="8">
        <v>4183</v>
      </c>
      <c r="E11215" t="s" s="9">
        <v>4183</v>
      </c>
      <c r="F11215" s="19">
        <v>1</v>
      </c>
      <c r="G11215" s="17">
        <v>1</v>
      </c>
      <c r="H11215" s="19">
        <v>1</v>
      </c>
      <c r="I11215" s="17">
        <v>1</v>
      </c>
      <c r="J11215" t="s" s="11">
        <v>20</v>
      </c>
      <c r="K11215" t="s" s="16">
        <f>HYPERLINK("http://csr.bu.edu/ftp/asl/asllvd/demos/verify_start_end_handshape_annotations//test_auto_move//signs_mov/15926.mov","MOV")</f>
        <v>21</v>
      </c>
      <c r="L11215" t="s" s="16">
        <f>HYPERLINK("http://csr.bu.edu/ftp/asl/asllvd/demos/verify_start_end_handshape_annotations//test_auto_move//signs_mov_separ_signers/Liz_15926.mov","MOV")</f>
        <v>21</v>
      </c>
      <c r="M11215" t="s" s="10">
        <v>88</v>
      </c>
      <c r="N11215" s="17">
        <v>16</v>
      </c>
      <c r="O11215" s="18">
        <v>1846</v>
      </c>
      <c r="P11215" s="18">
        <v>1906</v>
      </c>
      <c r="Q11215" t="s" s="16">
        <f>HYPERLINK("http://secrets.rutgers.edu:8080/data/asl-ftp/asllvd/demos/verify_start_end_handshape_annotations//test_auto_move//signs_mov/15926.mov","MOV")</f>
        <v>21</v>
      </c>
      <c r="R11215" t="s" s="16">
        <f>HYPERLINK("http://secrets.rutgers.edu:8080/data/asl-ftp/asllvd/demos/verify_start_end_handshape_annotations//test_auto_move//signs_mov_separ_signers/Liz_15926.mov","MOV")</f>
        <v>21</v>
      </c>
    </row>
    <row r="11216" s="2" customFormat="1" ht="13.5" customHeight="1">
      <c r="B11216" s="13"/>
      <c r="C11216" t="s" s="9">
        <v>30</v>
      </c>
      <c r="D11216" t="s" s="8">
        <v>4183</v>
      </c>
      <c r="E11216" t="s" s="9">
        <v>4183</v>
      </c>
      <c r="F11216" s="19">
        <v>1</v>
      </c>
      <c r="G11216" s="17">
        <v>1</v>
      </c>
      <c r="H11216" s="19">
        <v>1</v>
      </c>
      <c r="I11216" s="17">
        <v>1</v>
      </c>
      <c r="J11216" t="s" s="11">
        <v>20</v>
      </c>
      <c r="K11216" s="15"/>
      <c r="L11216" t="s" s="16">
        <f>HYPERLINK("http://csr.bu.edu/ftp/asl/asllvd/demos/verify_start_end_handshape_annotations//test_auto_move//signs_mov_separ_signers/Brady_15926.mov","MOV")</f>
        <v>21</v>
      </c>
      <c r="M11216" t="s" s="10">
        <v>60</v>
      </c>
      <c r="N11216" s="17">
        <v>49</v>
      </c>
      <c r="O11216" s="18">
        <v>909</v>
      </c>
      <c r="P11216" s="18">
        <v>942</v>
      </c>
      <c r="Q11216" s="15"/>
      <c r="R11216" t="s" s="16">
        <f>HYPERLINK("http://secrets.rutgers.edu:8080/data/asl-ftp/asllvd/demos/verify_start_end_handshape_annotations//test_auto_move//signs_mov_separ_signers/Brady_15926.mov","MOV")</f>
        <v>21</v>
      </c>
    </row>
    <row r="11217" s="2" customFormat="1" ht="13.5" customHeight="1">
      <c r="B11217" t="s" s="8">
        <v>52</v>
      </c>
      <c r="C11217" t="s" s="9">
        <v>53</v>
      </c>
      <c r="D11217" t="s" s="8">
        <v>53</v>
      </c>
      <c r="E11217" t="s" s="9">
        <v>53</v>
      </c>
      <c r="F11217" t="s" s="10">
        <v>53</v>
      </c>
      <c r="G11217" t="s" s="11">
        <v>53</v>
      </c>
      <c r="H11217" t="s" s="10">
        <v>53</v>
      </c>
      <c r="I11217" t="s" s="11">
        <v>53</v>
      </c>
      <c r="J11217" t="s" s="11">
        <v>53</v>
      </c>
      <c r="K11217" t="s" s="12">
        <v>53</v>
      </c>
      <c r="L11217" t="s" s="12">
        <v>53</v>
      </c>
      <c r="M11217" t="s" s="10">
        <v>53</v>
      </c>
      <c r="N11217" t="s" s="11">
        <v>53</v>
      </c>
      <c r="O11217" t="s" s="8">
        <v>53</v>
      </c>
      <c r="P11217" t="s" s="8">
        <v>53</v>
      </c>
      <c r="Q11217" t="s" s="12">
        <v>53</v>
      </c>
      <c r="R11217" t="s" s="12">
        <v>53</v>
      </c>
    </row>
    <row r="11218" s="2" customFormat="1" ht="13.5" customHeight="1">
      <c r="B11218" s="13"/>
      <c r="C11218" t="s" s="9">
        <v>23</v>
      </c>
      <c r="D11218" t="s" s="8">
        <v>4183</v>
      </c>
      <c r="E11218" t="s" s="9">
        <v>4184</v>
      </c>
      <c r="F11218" t="s" s="10">
        <v>282</v>
      </c>
      <c r="G11218" t="s" s="11">
        <v>282</v>
      </c>
      <c r="H11218" t="s" s="10">
        <v>282</v>
      </c>
      <c r="I11218" t="s" s="11">
        <v>282</v>
      </c>
      <c r="J11218" t="s" s="11">
        <v>20</v>
      </c>
      <c r="K11218" t="s" s="16">
        <f>HYPERLINK("http://csr.bu.edu/ftp/asl/asllvd/demos/verify_start_end_handshape_annotations//test_auto_move//signs_mov/15987.mov","MOV")</f>
        <v>21</v>
      </c>
      <c r="L11218" t="s" s="16">
        <f>HYPERLINK("http://csr.bu.edu/ftp/asl/asllvd/demos/verify_start_end_handshape_annotations//test_auto_move//signs_mov_separ_signers/Tyler_15987.mov","MOV")</f>
        <v>21</v>
      </c>
      <c r="M11218" t="s" s="10">
        <v>37</v>
      </c>
      <c r="N11218" s="17">
        <v>11</v>
      </c>
      <c r="O11218" s="18">
        <v>1462</v>
      </c>
      <c r="P11218" s="18">
        <v>1500</v>
      </c>
      <c r="Q11218" t="s" s="16">
        <f>HYPERLINK("http://secrets.rutgers.edu:8080/data/asl-ftp/asllvd/demos/verify_start_end_handshape_annotations//test_auto_move//signs_mov/15987.mov","MOV")</f>
        <v>21</v>
      </c>
      <c r="R11218" t="s" s="16">
        <f>HYPERLINK("http://secrets.rutgers.edu:8080/data/asl-ftp/asllvd/demos/verify_start_end_handshape_annotations//test_auto_move//signs_mov_separ_signers/Tyler_15987.mov","MOV")</f>
        <v>21</v>
      </c>
    </row>
    <row r="11219" s="2" customFormat="1" ht="13.5" customHeight="1">
      <c r="B11219" t="s" s="8">
        <v>52</v>
      </c>
      <c r="C11219" t="s" s="9">
        <v>53</v>
      </c>
      <c r="D11219" t="s" s="8">
        <v>53</v>
      </c>
      <c r="E11219" t="s" s="9">
        <v>53</v>
      </c>
      <c r="F11219" t="s" s="10">
        <v>53</v>
      </c>
      <c r="G11219" t="s" s="11">
        <v>53</v>
      </c>
      <c r="H11219" t="s" s="10">
        <v>53</v>
      </c>
      <c r="I11219" t="s" s="11">
        <v>53</v>
      </c>
      <c r="J11219" t="s" s="11">
        <v>53</v>
      </c>
      <c r="K11219" t="s" s="12">
        <v>53</v>
      </c>
      <c r="L11219" t="s" s="12">
        <v>53</v>
      </c>
      <c r="M11219" t="s" s="10">
        <v>53</v>
      </c>
      <c r="N11219" t="s" s="11">
        <v>53</v>
      </c>
      <c r="O11219" t="s" s="8">
        <v>53</v>
      </c>
      <c r="P11219" t="s" s="8">
        <v>53</v>
      </c>
      <c r="Q11219" t="s" s="12">
        <v>53</v>
      </c>
      <c r="R11219" t="s" s="12">
        <v>53</v>
      </c>
    </row>
    <row r="11220" s="2" customFormat="1" ht="13.5" customHeight="1">
      <c r="B11220" s="13"/>
      <c r="C11220" t="s" s="9">
        <v>16</v>
      </c>
      <c r="D11220" t="s" s="8">
        <v>4183</v>
      </c>
      <c r="E11220" t="s" s="9">
        <v>4185</v>
      </c>
      <c r="F11220" t="s" s="10">
        <v>282</v>
      </c>
      <c r="G11220" t="s" s="11">
        <v>282</v>
      </c>
      <c r="H11220" t="s" s="10">
        <v>282</v>
      </c>
      <c r="I11220" t="s" s="11">
        <v>282</v>
      </c>
      <c r="J11220" t="s" s="11">
        <v>20</v>
      </c>
      <c r="K11220" t="s" s="16">
        <f>HYPERLINK("http://csr.bu.edu/ftp/asl/asllvd/demos/verify_start_end_handshape_annotations//test_auto_move//signs_mov/16026.mov","MOV")</f>
        <v>21</v>
      </c>
      <c r="L11220" t="s" s="16">
        <f>HYPERLINK("http://csr.bu.edu/ftp/asl/asllvd/demos/verify_start_end_handshape_annotations//test_auto_move//signs_mov_separ_signers/Liz_16026.mov","MOV")</f>
        <v>21</v>
      </c>
      <c r="M11220" t="s" s="10">
        <v>88</v>
      </c>
      <c r="N11220" s="17">
        <v>33</v>
      </c>
      <c r="O11220" s="18">
        <v>2940</v>
      </c>
      <c r="P11220" s="18">
        <v>2992</v>
      </c>
      <c r="Q11220" t="s" s="16">
        <f>HYPERLINK("http://secrets.rutgers.edu:8080/data/asl-ftp/asllvd/demos/verify_start_end_handshape_annotations//test_auto_move//signs_mov/16026.mov","MOV")</f>
        <v>21</v>
      </c>
      <c r="R11220" t="s" s="16">
        <f>HYPERLINK("http://secrets.rutgers.edu:8080/data/asl-ftp/asllvd/demos/verify_start_end_handshape_annotations//test_auto_move//signs_mov_separ_signers/Liz_16026.mov","MOV")</f>
        <v>21</v>
      </c>
    </row>
    <row r="11221" s="2" customFormat="1" ht="13.5" customHeight="1">
      <c r="B11221" s="13"/>
      <c r="C11221" t="s" s="9">
        <v>30</v>
      </c>
      <c r="D11221" t="s" s="8">
        <v>4183</v>
      </c>
      <c r="E11221" t="s" s="9">
        <v>4185</v>
      </c>
      <c r="F11221" t="s" s="10">
        <v>282</v>
      </c>
      <c r="G11221" t="s" s="11">
        <v>282</v>
      </c>
      <c r="H11221" t="s" s="10">
        <v>282</v>
      </c>
      <c r="I11221" t="s" s="11">
        <v>282</v>
      </c>
      <c r="J11221" t="s" s="11">
        <v>20</v>
      </c>
      <c r="K11221" s="15"/>
      <c r="L11221" t="s" s="16">
        <f>HYPERLINK("http://csr.bu.edu/ftp/asl/asllvd/demos/verify_start_end_handshape_annotations//test_auto_move//signs_mov_separ_signers/Brady_16026.mov","MOV")</f>
        <v>21</v>
      </c>
      <c r="M11221" t="s" s="10">
        <v>40</v>
      </c>
      <c r="N11221" s="17">
        <v>28</v>
      </c>
      <c r="O11221" s="18">
        <v>2267</v>
      </c>
      <c r="P11221" s="18">
        <v>2317</v>
      </c>
      <c r="Q11221" s="15"/>
      <c r="R11221" t="s" s="16">
        <f>HYPERLINK("http://secrets.rutgers.edu:8080/data/asl-ftp/asllvd/demos/verify_start_end_handshape_annotations//test_auto_move//signs_mov_separ_signers/Brady_16026.mov","MOV")</f>
        <v>21</v>
      </c>
    </row>
    <row r="11222" s="2" customFormat="1" ht="13.5" customHeight="1">
      <c r="B11222" t="s" s="8">
        <v>4186</v>
      </c>
      <c r="C11222" t="s" s="9">
        <v>14</v>
      </c>
      <c r="D11222" t="s" s="8">
        <v>14</v>
      </c>
      <c r="E11222" t="s" s="9">
        <v>14</v>
      </c>
      <c r="F11222" t="s" s="10">
        <v>14</v>
      </c>
      <c r="G11222" t="s" s="11">
        <v>14</v>
      </c>
      <c r="H11222" t="s" s="10">
        <v>14</v>
      </c>
      <c r="I11222" t="s" s="11">
        <v>14</v>
      </c>
      <c r="J11222" t="s" s="11">
        <v>14</v>
      </c>
      <c r="K11222" t="s" s="12">
        <v>14</v>
      </c>
      <c r="L11222" t="s" s="12">
        <v>14</v>
      </c>
      <c r="M11222" t="s" s="10">
        <v>14</v>
      </c>
      <c r="N11222" t="s" s="11">
        <v>14</v>
      </c>
      <c r="O11222" t="s" s="8">
        <v>14</v>
      </c>
      <c r="P11222" t="s" s="8">
        <v>14</v>
      </c>
      <c r="Q11222" t="s" s="12">
        <v>14</v>
      </c>
      <c r="R11222" t="s" s="12">
        <v>14</v>
      </c>
    </row>
    <row r="11223" s="2" customFormat="1" ht="13.5" customHeight="1">
      <c r="B11223" s="13"/>
      <c r="C11223" t="s" s="9">
        <v>16</v>
      </c>
      <c r="D11223" t="s" s="8">
        <v>4186</v>
      </c>
      <c r="E11223" t="s" s="9">
        <v>4187</v>
      </c>
      <c r="F11223" s="19">
        <v>4</v>
      </c>
      <c r="G11223" s="17">
        <v>4</v>
      </c>
      <c r="H11223" s="19">
        <v>4</v>
      </c>
      <c r="I11223" s="17">
        <v>4</v>
      </c>
      <c r="J11223" t="s" s="11">
        <v>20</v>
      </c>
      <c r="K11223" t="s" s="16">
        <f>HYPERLINK("http://csr.bu.edu/ftp/asl/asllvd/demos/verify_start_end_handshape_annotations//test_auto_move//signs_mov/6886.mov","MOV")</f>
        <v>21</v>
      </c>
      <c r="L11223" t="s" s="16">
        <f>HYPERLINK("http://csr.bu.edu/ftp/asl/asllvd/demos/verify_start_end_handshape_annotations//test_auto_move//signs_mov_separ_signers/Liz_6886.mov","MOV")</f>
        <v>21</v>
      </c>
      <c r="M11223" t="s" s="10">
        <v>36</v>
      </c>
      <c r="N11223" s="17">
        <v>24</v>
      </c>
      <c r="O11223" s="18">
        <v>2905</v>
      </c>
      <c r="P11223" s="18">
        <v>2965</v>
      </c>
      <c r="Q11223" t="s" s="16">
        <f>HYPERLINK("http://secrets.rutgers.edu:8080/data/asl-ftp/asllvd/demos/verify_start_end_handshape_annotations//test_auto_move//signs_mov/6886.mov","MOV")</f>
        <v>21</v>
      </c>
      <c r="R11223" t="s" s="16">
        <f>HYPERLINK("http://secrets.rutgers.edu:8080/data/asl-ftp/asllvd/demos/verify_start_end_handshape_annotations//test_auto_move//signs_mov_separ_signers/Liz_6886.mov","MOV")</f>
        <v>21</v>
      </c>
    </row>
    <row r="11224" s="2" customFormat="1" ht="13.5" customHeight="1">
      <c r="B11224" t="s" s="8">
        <v>4188</v>
      </c>
      <c r="C11224" t="s" s="9">
        <v>14</v>
      </c>
      <c r="D11224" t="s" s="8">
        <v>14</v>
      </c>
      <c r="E11224" t="s" s="9">
        <v>14</v>
      </c>
      <c r="F11224" t="s" s="10">
        <v>14</v>
      </c>
      <c r="G11224" t="s" s="11">
        <v>14</v>
      </c>
      <c r="H11224" t="s" s="10">
        <v>14</v>
      </c>
      <c r="I11224" t="s" s="11">
        <v>14</v>
      </c>
      <c r="J11224" t="s" s="11">
        <v>14</v>
      </c>
      <c r="K11224" t="s" s="12">
        <v>14</v>
      </c>
      <c r="L11224" t="s" s="12">
        <v>14</v>
      </c>
      <c r="M11224" t="s" s="10">
        <v>14</v>
      </c>
      <c r="N11224" t="s" s="11">
        <v>14</v>
      </c>
      <c r="O11224" t="s" s="8">
        <v>14</v>
      </c>
      <c r="P11224" t="s" s="8">
        <v>14</v>
      </c>
      <c r="Q11224" t="s" s="12">
        <v>14</v>
      </c>
      <c r="R11224" t="s" s="12">
        <v>14</v>
      </c>
    </row>
    <row r="11225" s="2" customFormat="1" ht="13.5" customHeight="1">
      <c r="B11225" s="13"/>
      <c r="C11225" t="s" s="9">
        <v>16</v>
      </c>
      <c r="D11225" t="s" s="8">
        <v>4188</v>
      </c>
      <c r="E11225" t="s" s="9">
        <v>4188</v>
      </c>
      <c r="F11225" s="19">
        <v>4</v>
      </c>
      <c r="G11225" s="17">
        <v>5</v>
      </c>
      <c r="H11225" s="19">
        <v>4</v>
      </c>
      <c r="I11225" s="17">
        <v>5</v>
      </c>
      <c r="J11225" t="s" s="11">
        <v>20</v>
      </c>
      <c r="K11225" s="15"/>
      <c r="L11225" t="s" s="16">
        <f>HYPERLINK("http://csr.bu.edu/ftp/asl/asllvd/demos/verify_start_end_handshape_annotations//test_auto_move//signs_mov_separ_signers/Liz_5304.mov","MOV")</f>
        <v>21</v>
      </c>
      <c r="M11225" t="s" s="10">
        <v>88</v>
      </c>
      <c r="N11225" s="17">
        <v>48</v>
      </c>
      <c r="O11225" s="18">
        <v>3506</v>
      </c>
      <c r="P11225" s="18">
        <v>3535</v>
      </c>
      <c r="Q11225" s="15"/>
      <c r="R11225" t="s" s="16">
        <f>HYPERLINK("http://secrets.rutgers.edu:8080/data/asl-ftp/asllvd/demos/verify_start_end_handshape_annotations//test_auto_move//signs_mov_separ_signers/Liz_5304.mov","MOV")</f>
        <v>21</v>
      </c>
    </row>
    <row r="11226" s="2" customFormat="1" ht="13.5" customHeight="1">
      <c r="B11226" s="13"/>
      <c r="C11226" t="s" s="9">
        <v>16</v>
      </c>
      <c r="D11226" t="s" s="8">
        <v>4188</v>
      </c>
      <c r="E11226" t="s" s="9">
        <v>4189</v>
      </c>
      <c r="F11226" s="19">
        <v>4</v>
      </c>
      <c r="G11226" s="17">
        <v>5</v>
      </c>
      <c r="H11226" s="19">
        <v>4</v>
      </c>
      <c r="I11226" s="17">
        <v>5</v>
      </c>
      <c r="J11226" t="s" s="11">
        <v>20</v>
      </c>
      <c r="K11226" s="15"/>
      <c r="L11226" t="s" s="16">
        <f>HYPERLINK("http://csr.bu.edu/ftp/asl/asllvd/demos/verify_start_end_handshape_annotations//test_auto_move//signs_mov_separ_signers/Liz_5347.mov","MOV")</f>
        <v>21</v>
      </c>
      <c r="M11226" t="s" s="10">
        <v>88</v>
      </c>
      <c r="N11226" s="17">
        <v>49</v>
      </c>
      <c r="O11226" s="18">
        <v>350</v>
      </c>
      <c r="P11226" s="18">
        <v>385</v>
      </c>
      <c r="Q11226" s="15"/>
      <c r="R11226" t="s" s="16">
        <f>HYPERLINK("http://secrets.rutgers.edu:8080/data/asl-ftp/asllvd/demos/verify_start_end_handshape_annotations//test_auto_move//signs_mov_separ_signers/Liz_5347.mov","MOV")</f>
        <v>21</v>
      </c>
    </row>
    <row r="11227" s="2" customFormat="1" ht="13.5" customHeight="1">
      <c r="B11227" s="13"/>
      <c r="C11227" t="s" s="9">
        <v>30</v>
      </c>
      <c r="D11227" t="s" s="8">
        <v>4188</v>
      </c>
      <c r="E11227" t="s" s="9">
        <v>4188</v>
      </c>
      <c r="F11227" s="19">
        <v>4</v>
      </c>
      <c r="G11227" s="17">
        <v>4</v>
      </c>
      <c r="H11227" s="19">
        <v>4</v>
      </c>
      <c r="I11227" s="17">
        <v>4</v>
      </c>
      <c r="J11227" t="s" s="11">
        <v>20</v>
      </c>
      <c r="K11227" t="s" s="16">
        <f>HYPERLINK("http://csr.bu.edu/ftp/asl/asllvd/demos/verify_start_end_handshape_annotations//test_auto_move//signs_mov/5304_5347_15679_merged.mov","MOV")</f>
        <v>21</v>
      </c>
      <c r="L11227" t="s" s="16">
        <f>HYPERLINK("http://csr.bu.edu/ftp/asl/asllvd/demos/verify_start_end_handshape_annotations//test_auto_move//signs_mov_separ_signers/Brady_5304.mov","MOV")</f>
        <v>21</v>
      </c>
      <c r="M11227" t="s" s="10">
        <v>40</v>
      </c>
      <c r="N11227" s="17">
        <v>43</v>
      </c>
      <c r="O11227" s="18">
        <v>105</v>
      </c>
      <c r="P11227" s="18">
        <v>120</v>
      </c>
      <c r="Q11227" t="s" s="16">
        <f>HYPERLINK("http://secrets.rutgers.edu:8080/data/asl-ftp/asllvd/demos/verify_start_end_handshape_annotations//test_auto_move//signs_mov/5304_5347_15679_merged.mov","MOV")</f>
        <v>21</v>
      </c>
      <c r="R11227" t="s" s="16">
        <f>HYPERLINK("http://secrets.rutgers.edu:8080/data/asl-ftp/asllvd/demos/verify_start_end_handshape_annotations//test_auto_move//signs_mov_separ_signers/Brady_5304.mov","MOV")</f>
        <v>21</v>
      </c>
    </row>
    <row r="11228" s="2" customFormat="1" ht="13.5" customHeight="1">
      <c r="B11228" s="13"/>
      <c r="C11228" t="s" s="9">
        <v>30</v>
      </c>
      <c r="D11228" t="s" s="8">
        <v>4188</v>
      </c>
      <c r="E11228" t="s" s="9">
        <v>4189</v>
      </c>
      <c r="F11228" s="19">
        <v>4</v>
      </c>
      <c r="G11228" s="17">
        <v>4</v>
      </c>
      <c r="H11228" s="19">
        <v>4</v>
      </c>
      <c r="I11228" s="17">
        <v>4</v>
      </c>
      <c r="J11228" t="s" s="11">
        <v>20</v>
      </c>
      <c r="K11228" s="15"/>
      <c r="L11228" t="s" s="16">
        <f>HYPERLINK("http://csr.bu.edu/ftp/asl/asllvd/demos/verify_start_end_handshape_annotations//test_auto_move//signs_mov_separ_signers/Brady_5347.mov","MOV")</f>
        <v>21</v>
      </c>
      <c r="M11228" t="s" s="10">
        <v>40</v>
      </c>
      <c r="N11228" s="17">
        <v>43</v>
      </c>
      <c r="O11228" s="18">
        <v>372</v>
      </c>
      <c r="P11228" s="18">
        <v>400</v>
      </c>
      <c r="Q11228" s="15"/>
      <c r="R11228" t="s" s="16">
        <f>HYPERLINK("http://secrets.rutgers.edu:8080/data/asl-ftp/asllvd/demos/verify_start_end_handshape_annotations//test_auto_move//signs_mov_separ_signers/Brady_5347.mov","MOV")</f>
        <v>21</v>
      </c>
    </row>
    <row r="11229" s="2" customFormat="1" ht="13.5" customHeight="1">
      <c r="B11229" s="13"/>
      <c r="C11229" t="s" s="9">
        <v>30</v>
      </c>
      <c r="D11229" t="s" s="8">
        <v>4188</v>
      </c>
      <c r="E11229" t="s" s="9">
        <v>4189</v>
      </c>
      <c r="F11229" s="19">
        <v>4</v>
      </c>
      <c r="G11229" s="17">
        <v>4</v>
      </c>
      <c r="H11229" s="19">
        <v>4</v>
      </c>
      <c r="I11229" s="17">
        <v>4</v>
      </c>
      <c r="J11229" t="s" s="11">
        <v>20</v>
      </c>
      <c r="K11229" s="15"/>
      <c r="L11229" t="s" s="16">
        <f>HYPERLINK("http://csr.bu.edu/ftp/asl/asllvd/demos/verify_start_end_handshape_annotations//test_auto_move//signs_mov_separ_signers/Brady_15679.mov","MOV")</f>
        <v>21</v>
      </c>
      <c r="M11229" t="s" s="10">
        <v>60</v>
      </c>
      <c r="N11229" s="17">
        <v>48</v>
      </c>
      <c r="O11229" s="18">
        <v>2110</v>
      </c>
      <c r="P11229" s="18">
        <v>2145</v>
      </c>
      <c r="Q11229" s="15"/>
      <c r="R11229" t="s" s="16">
        <f>HYPERLINK("http://secrets.rutgers.edu:8080/data/asl-ftp/asllvd/demos/verify_start_end_handshape_annotations//test_auto_move//signs_mov_separ_signers/Brady_15679.mov","MOV")</f>
        <v>21</v>
      </c>
    </row>
    <row r="11230" s="2" customFormat="1" ht="13.5" customHeight="1">
      <c r="B11230" t="s" s="8">
        <v>4190</v>
      </c>
      <c r="C11230" t="s" s="9">
        <v>14</v>
      </c>
      <c r="D11230" t="s" s="8">
        <v>14</v>
      </c>
      <c r="E11230" t="s" s="9">
        <v>14</v>
      </c>
      <c r="F11230" t="s" s="10">
        <v>14</v>
      </c>
      <c r="G11230" t="s" s="11">
        <v>14</v>
      </c>
      <c r="H11230" t="s" s="10">
        <v>14</v>
      </c>
      <c r="I11230" t="s" s="11">
        <v>14</v>
      </c>
      <c r="J11230" t="s" s="11">
        <v>14</v>
      </c>
      <c r="K11230" t="s" s="12">
        <v>14</v>
      </c>
      <c r="L11230" t="s" s="12">
        <v>14</v>
      </c>
      <c r="M11230" t="s" s="10">
        <v>14</v>
      </c>
      <c r="N11230" t="s" s="11">
        <v>14</v>
      </c>
      <c r="O11230" t="s" s="8">
        <v>14</v>
      </c>
      <c r="P11230" t="s" s="8">
        <v>14</v>
      </c>
      <c r="Q11230" t="s" s="12">
        <v>14</v>
      </c>
      <c r="R11230" t="s" s="12">
        <v>14</v>
      </c>
    </row>
    <row r="11231" s="2" customFormat="1" ht="13.5" customHeight="1">
      <c r="B11231" s="13"/>
      <c r="C11231" t="s" s="9">
        <v>30</v>
      </c>
      <c r="D11231" t="s" s="8">
        <v>4190</v>
      </c>
      <c r="E11231" t="s" s="9">
        <v>4190</v>
      </c>
      <c r="F11231" s="19">
        <v>5</v>
      </c>
      <c r="G11231" t="s" s="11">
        <v>73</v>
      </c>
      <c r="H11231" s="19">
        <v>5</v>
      </c>
      <c r="I11231" t="s" s="11">
        <v>73</v>
      </c>
      <c r="J11231" t="s" s="11">
        <v>20</v>
      </c>
      <c r="K11231" t="s" s="16">
        <f>HYPERLINK("http://csr.bu.edu/ftp/asl/asllvd/demos/verify_start_end_handshape_annotations//test_auto_move//signs_mov/6917.mov","MOV")</f>
        <v>21</v>
      </c>
      <c r="L11231" t="s" s="16">
        <f>HYPERLINK("http://csr.bu.edu/ftp/asl/asllvd/demos/verify_start_end_handshape_annotations//test_auto_move//signs_mov_separ_signers/Brady_6917.mov","MOV")</f>
        <v>21</v>
      </c>
      <c r="M11231" t="s" s="10">
        <v>39</v>
      </c>
      <c r="N11231" s="17">
        <v>19</v>
      </c>
      <c r="O11231" s="18">
        <v>2622</v>
      </c>
      <c r="P11231" s="18">
        <v>2649</v>
      </c>
      <c r="Q11231" t="s" s="16">
        <f>HYPERLINK("http://secrets.rutgers.edu:8080/data/asl-ftp/asllvd/demos/verify_start_end_handshape_annotations//test_auto_move//signs_mov/6917.mov","MOV")</f>
        <v>21</v>
      </c>
      <c r="R11231" t="s" s="16">
        <f>HYPERLINK("http://secrets.rutgers.edu:8080/data/asl-ftp/asllvd/demos/verify_start_end_handshape_annotations//test_auto_move//signs_mov_separ_signers/Brady_6917.mov","MOV")</f>
        <v>21</v>
      </c>
    </row>
    <row r="11232" s="2" customFormat="1" ht="13.5" customHeight="1">
      <c r="B11232" t="s" s="8">
        <v>4191</v>
      </c>
      <c r="C11232" t="s" s="9">
        <v>14</v>
      </c>
      <c r="D11232" t="s" s="8">
        <v>14</v>
      </c>
      <c r="E11232" t="s" s="9">
        <v>14</v>
      </c>
      <c r="F11232" t="s" s="10">
        <v>14</v>
      </c>
      <c r="G11232" t="s" s="11">
        <v>14</v>
      </c>
      <c r="H11232" t="s" s="10">
        <v>14</v>
      </c>
      <c r="I11232" t="s" s="11">
        <v>14</v>
      </c>
      <c r="J11232" t="s" s="11">
        <v>14</v>
      </c>
      <c r="K11232" t="s" s="12">
        <v>14</v>
      </c>
      <c r="L11232" t="s" s="12">
        <v>14</v>
      </c>
      <c r="M11232" t="s" s="10">
        <v>14</v>
      </c>
      <c r="N11232" t="s" s="11">
        <v>14</v>
      </c>
      <c r="O11232" t="s" s="8">
        <v>14</v>
      </c>
      <c r="P11232" t="s" s="8">
        <v>14</v>
      </c>
      <c r="Q11232" t="s" s="12">
        <v>14</v>
      </c>
      <c r="R11232" t="s" s="12">
        <v>14</v>
      </c>
    </row>
    <row r="11233" s="2" customFormat="1" ht="13.5" customHeight="1">
      <c r="B11233" s="13"/>
      <c r="C11233" t="s" s="9">
        <v>16</v>
      </c>
      <c r="D11233" t="s" s="8">
        <v>4191</v>
      </c>
      <c r="E11233" t="s" s="9">
        <v>4191</v>
      </c>
      <c r="F11233" s="19">
        <v>5</v>
      </c>
      <c r="G11233" t="s" s="11">
        <v>73</v>
      </c>
      <c r="H11233" s="19">
        <v>1</v>
      </c>
      <c r="I11233" t="s" s="11">
        <v>73</v>
      </c>
      <c r="J11233" t="s" s="11">
        <v>20</v>
      </c>
      <c r="K11233" t="s" s="16">
        <f>HYPERLINK("http://csr.bu.edu/ftp/asl/asllvd/demos/verify_start_end_handshape_annotations//test_auto_move//signs_mov/5885.mov","MOV")</f>
        <v>21</v>
      </c>
      <c r="L11233" t="s" s="16">
        <f>HYPERLINK("http://csr.bu.edu/ftp/asl/asllvd/demos/verify_start_end_handshape_annotations//test_auto_move//signs_mov_separ_signers/Liz_5885.mov","MOV")</f>
        <v>21</v>
      </c>
      <c r="M11233" t="s" s="10">
        <v>77</v>
      </c>
      <c r="N11233" s="17">
        <v>16</v>
      </c>
      <c r="O11233" s="18">
        <v>4629</v>
      </c>
      <c r="P11233" s="18">
        <v>4713</v>
      </c>
      <c r="Q11233" t="s" s="16">
        <f>HYPERLINK("http://secrets.rutgers.edu:8080/data/asl-ftp/asllvd/demos/verify_start_end_handshape_annotations//test_auto_move//signs_mov/5885.mov","MOV")</f>
        <v>21</v>
      </c>
      <c r="R11233" t="s" s="16">
        <f>HYPERLINK("http://secrets.rutgers.edu:8080/data/asl-ftp/asllvd/demos/verify_start_end_handshape_annotations//test_auto_move//signs_mov_separ_signers/Liz_5885.mov","MOV")</f>
        <v>21</v>
      </c>
    </row>
    <row r="11234" s="2" customFormat="1" ht="13.5" customHeight="1">
      <c r="B11234" t="s" s="8">
        <v>4192</v>
      </c>
      <c r="C11234" t="s" s="9">
        <v>14</v>
      </c>
      <c r="D11234" t="s" s="8">
        <v>14</v>
      </c>
      <c r="E11234" t="s" s="9">
        <v>14</v>
      </c>
      <c r="F11234" t="s" s="10">
        <v>14</v>
      </c>
      <c r="G11234" t="s" s="11">
        <v>14</v>
      </c>
      <c r="H11234" t="s" s="10">
        <v>14</v>
      </c>
      <c r="I11234" t="s" s="11">
        <v>14</v>
      </c>
      <c r="J11234" t="s" s="11">
        <v>14</v>
      </c>
      <c r="K11234" t="s" s="12">
        <v>14</v>
      </c>
      <c r="L11234" t="s" s="12">
        <v>14</v>
      </c>
      <c r="M11234" t="s" s="10">
        <v>14</v>
      </c>
      <c r="N11234" t="s" s="11">
        <v>14</v>
      </c>
      <c r="O11234" t="s" s="8">
        <v>14</v>
      </c>
      <c r="P11234" t="s" s="8">
        <v>14</v>
      </c>
      <c r="Q11234" t="s" s="12">
        <v>14</v>
      </c>
      <c r="R11234" t="s" s="12">
        <v>14</v>
      </c>
    </row>
    <row r="11235" s="2" customFormat="1" ht="13.5" customHeight="1">
      <c r="B11235" s="13"/>
      <c r="C11235" t="s" s="9">
        <v>16</v>
      </c>
      <c r="D11235" t="s" s="8">
        <v>4192</v>
      </c>
      <c r="E11235" t="s" s="9">
        <v>4193</v>
      </c>
      <c r="F11235" t="s" s="10">
        <v>255</v>
      </c>
      <c r="G11235" t="s" s="11">
        <v>255</v>
      </c>
      <c r="H11235" t="s" s="10">
        <v>255</v>
      </c>
      <c r="I11235" t="s" s="11">
        <v>255</v>
      </c>
      <c r="J11235" t="s" s="11">
        <v>20</v>
      </c>
      <c r="K11235" s="15"/>
      <c r="L11235" t="s" s="16">
        <f>HYPERLINK("http://csr.bu.edu/ftp/asl/asllvd/demos/verify_start_end_handshape_annotations//test_auto_move//signs_mov_separ_signers/Liz_6931.mov","MOV")</f>
        <v>21</v>
      </c>
      <c r="M11235" t="s" s="10">
        <v>84</v>
      </c>
      <c r="N11235" s="17">
        <v>43</v>
      </c>
      <c r="O11235" s="18">
        <v>451</v>
      </c>
      <c r="P11235" s="18">
        <v>500</v>
      </c>
      <c r="Q11235" s="15"/>
      <c r="R11235" t="s" s="16">
        <f>HYPERLINK("http://secrets.rutgers.edu:8080/data/asl-ftp/asllvd/demos/verify_start_end_handshape_annotations//test_auto_move//signs_mov_separ_signers/Liz_6931.mov","MOV")</f>
        <v>21</v>
      </c>
    </row>
    <row r="11236" s="2" customFormat="1" ht="13.5" customHeight="1">
      <c r="B11236" s="13"/>
      <c r="C11236" t="s" s="9">
        <v>23</v>
      </c>
      <c r="D11236" t="s" s="8">
        <v>4192</v>
      </c>
      <c r="E11236" t="s" s="9">
        <v>4193</v>
      </c>
      <c r="F11236" t="s" s="10">
        <v>65</v>
      </c>
      <c r="G11236" t="s" s="11">
        <v>65</v>
      </c>
      <c r="H11236" t="s" s="10">
        <v>65</v>
      </c>
      <c r="I11236" t="s" s="11">
        <v>65</v>
      </c>
      <c r="J11236" t="s" s="11">
        <v>20</v>
      </c>
      <c r="K11236" t="s" s="16">
        <f>HYPERLINK("http://csr.bu.edu/ftp/asl/asllvd/demos/verify_start_end_handshape_annotations//test_auto_move//signs_mov/6931.mov","MOV")</f>
        <v>21</v>
      </c>
      <c r="L11236" t="s" s="16">
        <f>HYPERLINK("http://csr.bu.edu/ftp/asl/asllvd/demos/verify_start_end_handshape_annotations//test_auto_move//signs_mov_separ_signers/Tyler_6931.mov","MOV")</f>
        <v>21</v>
      </c>
      <c r="M11236" t="s" s="10">
        <v>92</v>
      </c>
      <c r="N11236" s="17">
        <v>23</v>
      </c>
      <c r="O11236" s="18">
        <v>296</v>
      </c>
      <c r="P11236" s="18">
        <v>330</v>
      </c>
      <c r="Q11236" t="s" s="16">
        <f>HYPERLINK("http://secrets.rutgers.edu:8080/data/asl-ftp/asllvd/demos/verify_start_end_handshape_annotations//test_auto_move//signs_mov/6931.mov","MOV")</f>
        <v>21</v>
      </c>
      <c r="R11236" t="s" s="16">
        <f>HYPERLINK("http://secrets.rutgers.edu:8080/data/asl-ftp/asllvd/demos/verify_start_end_handshape_annotations//test_auto_move//signs_mov_separ_signers/Tyler_6931.mov","MOV")</f>
        <v>21</v>
      </c>
    </row>
    <row r="11237" s="2" customFormat="1" ht="13.5" customHeight="1">
      <c r="B11237" s="13"/>
      <c r="C11237" t="s" s="9">
        <v>27</v>
      </c>
      <c r="D11237" t="s" s="8">
        <v>4192</v>
      </c>
      <c r="E11237" t="s" s="9">
        <v>4193</v>
      </c>
      <c r="F11237" t="s" s="10">
        <v>65</v>
      </c>
      <c r="G11237" t="s" s="11">
        <v>65</v>
      </c>
      <c r="H11237" t="s" s="10">
        <v>65</v>
      </c>
      <c r="I11237" t="s" s="11">
        <v>65</v>
      </c>
      <c r="J11237" t="s" s="11">
        <v>20</v>
      </c>
      <c r="K11237" s="15"/>
      <c r="L11237" t="s" s="16">
        <f>HYPERLINK("http://csr.bu.edu/ftp/asl/asllvd/demos/verify_start_end_handshape_annotations//test_auto_move//signs_mov_separ_signers/Naomi_6931.mov","MOV")</f>
        <v>21</v>
      </c>
      <c r="M11237" t="s" s="10">
        <v>86</v>
      </c>
      <c r="N11237" s="17">
        <v>43</v>
      </c>
      <c r="O11237" s="18">
        <v>205</v>
      </c>
      <c r="P11237" s="18">
        <v>236</v>
      </c>
      <c r="Q11237" s="15"/>
      <c r="R11237" t="s" s="16">
        <f>HYPERLINK("http://secrets.rutgers.edu:8080/data/asl-ftp/asllvd/demos/verify_start_end_handshape_annotations//test_auto_move//signs_mov_separ_signers/Naomi_6931.mov","MOV")</f>
        <v>21</v>
      </c>
    </row>
    <row r="11238" s="2" customFormat="1" ht="13.5" customHeight="1">
      <c r="B11238" s="13"/>
      <c r="C11238" t="s" s="9">
        <v>30</v>
      </c>
      <c r="D11238" t="s" s="8">
        <v>4192</v>
      </c>
      <c r="E11238" t="s" s="9">
        <v>4193</v>
      </c>
      <c r="F11238" t="s" s="10">
        <v>255</v>
      </c>
      <c r="G11238" t="s" s="11">
        <v>255</v>
      </c>
      <c r="H11238" t="s" s="10">
        <v>255</v>
      </c>
      <c r="I11238" t="s" s="11">
        <v>255</v>
      </c>
      <c r="J11238" t="s" s="11">
        <v>20</v>
      </c>
      <c r="K11238" s="15"/>
      <c r="L11238" t="s" s="16">
        <f>HYPERLINK("http://csr.bu.edu/ftp/asl/asllvd/demos/verify_start_end_handshape_annotations//test_auto_move//signs_mov_separ_signers/Brady_6931.mov","MOV")</f>
        <v>21</v>
      </c>
      <c r="M11238" t="s" s="10">
        <v>39</v>
      </c>
      <c r="N11238" s="17">
        <v>19</v>
      </c>
      <c r="O11238" s="18">
        <v>1204</v>
      </c>
      <c r="P11238" s="18">
        <v>1230</v>
      </c>
      <c r="Q11238" s="15"/>
      <c r="R11238" t="s" s="16">
        <f>HYPERLINK("http://secrets.rutgers.edu:8080/data/asl-ftp/asllvd/demos/verify_start_end_handshape_annotations//test_auto_move//signs_mov_separ_signers/Brady_6931.mov","MOV")</f>
        <v>21</v>
      </c>
    </row>
    <row r="11239" s="2" customFormat="1" ht="13.5" customHeight="1">
      <c r="B11239" t="s" s="8">
        <v>4194</v>
      </c>
      <c r="C11239" t="s" s="9">
        <v>14</v>
      </c>
      <c r="D11239" t="s" s="8">
        <v>14</v>
      </c>
      <c r="E11239" t="s" s="9">
        <v>14</v>
      </c>
      <c r="F11239" t="s" s="10">
        <v>14</v>
      </c>
      <c r="G11239" t="s" s="11">
        <v>14</v>
      </c>
      <c r="H11239" t="s" s="10">
        <v>14</v>
      </c>
      <c r="I11239" t="s" s="11">
        <v>14</v>
      </c>
      <c r="J11239" t="s" s="11">
        <v>14</v>
      </c>
      <c r="K11239" t="s" s="12">
        <v>14</v>
      </c>
      <c r="L11239" t="s" s="12">
        <v>14</v>
      </c>
      <c r="M11239" t="s" s="10">
        <v>14</v>
      </c>
      <c r="N11239" t="s" s="11">
        <v>14</v>
      </c>
      <c r="O11239" t="s" s="8">
        <v>14</v>
      </c>
      <c r="P11239" t="s" s="8">
        <v>14</v>
      </c>
      <c r="Q11239" t="s" s="12">
        <v>14</v>
      </c>
      <c r="R11239" t="s" s="12">
        <v>14</v>
      </c>
    </row>
    <row r="11240" s="2" customFormat="1" ht="13.5" customHeight="1">
      <c r="B11240" s="13"/>
      <c r="C11240" t="s" s="9">
        <v>16</v>
      </c>
      <c r="D11240" t="s" s="8">
        <v>4194</v>
      </c>
      <c r="E11240" t="s" s="9">
        <v>4194</v>
      </c>
      <c r="F11240" s="19">
        <v>5</v>
      </c>
      <c r="G11240" t="s" s="11">
        <v>73</v>
      </c>
      <c r="H11240" t="s" s="10">
        <v>119</v>
      </c>
      <c r="I11240" t="s" s="11">
        <v>73</v>
      </c>
      <c r="J11240" t="s" s="11">
        <v>20</v>
      </c>
      <c r="K11240" s="15"/>
      <c r="L11240" t="s" s="16">
        <f>HYPERLINK("http://csr.bu.edu/ftp/asl/asllvd/demos/verify_start_end_handshape_annotations//test_auto_move//signs_mov_separ_signers/Liz_6963.mov","MOV")</f>
        <v>21</v>
      </c>
      <c r="M11240" t="s" s="10">
        <v>84</v>
      </c>
      <c r="N11240" s="17">
        <v>5</v>
      </c>
      <c r="O11240" s="18">
        <v>1221</v>
      </c>
      <c r="P11240" s="18">
        <v>1250</v>
      </c>
      <c r="Q11240" s="15"/>
      <c r="R11240" t="s" s="16">
        <f>HYPERLINK("http://secrets.rutgers.edu:8080/data/asl-ftp/asllvd/demos/verify_start_end_handshape_annotations//test_auto_move//signs_mov_separ_signers/Liz_6963.mov","MOV")</f>
        <v>21</v>
      </c>
    </row>
    <row r="11241" s="2" customFormat="1" ht="13.5" customHeight="1">
      <c r="B11241" s="13"/>
      <c r="C11241" t="s" s="9">
        <v>27</v>
      </c>
      <c r="D11241" t="s" s="8">
        <v>4194</v>
      </c>
      <c r="E11241" t="s" s="9">
        <v>4194</v>
      </c>
      <c r="F11241" s="19">
        <v>5</v>
      </c>
      <c r="G11241" t="s" s="11">
        <v>73</v>
      </c>
      <c r="H11241" t="s" s="10">
        <v>119</v>
      </c>
      <c r="I11241" t="s" s="11">
        <v>73</v>
      </c>
      <c r="J11241" t="s" s="11">
        <v>20</v>
      </c>
      <c r="K11241" s="15"/>
      <c r="L11241" t="s" s="16">
        <f>HYPERLINK("http://csr.bu.edu/ftp/asl/asllvd/demos/verify_start_end_handshape_annotations//test_auto_move//signs_mov_separ_signers/Naomi_6963.mov","MOV")</f>
        <v>21</v>
      </c>
      <c r="M11241" t="s" s="10">
        <v>86</v>
      </c>
      <c r="N11241" s="17">
        <v>5</v>
      </c>
      <c r="O11241" s="18">
        <v>2025</v>
      </c>
      <c r="P11241" s="18">
        <v>2055</v>
      </c>
      <c r="Q11241" s="15"/>
      <c r="R11241" t="s" s="16">
        <f>HYPERLINK("http://secrets.rutgers.edu:8080/data/asl-ftp/asllvd/demos/verify_start_end_handshape_annotations//test_auto_move//signs_mov_separ_signers/Naomi_6963.mov","MOV")</f>
        <v>21</v>
      </c>
    </row>
    <row r="11242" s="2" customFormat="1" ht="13.5" customHeight="1">
      <c r="B11242" s="13"/>
      <c r="C11242" t="s" s="9">
        <v>30</v>
      </c>
      <c r="D11242" t="s" s="8">
        <v>4194</v>
      </c>
      <c r="E11242" t="s" s="9">
        <v>4194</v>
      </c>
      <c r="F11242" s="19">
        <v>5</v>
      </c>
      <c r="G11242" t="s" s="11">
        <v>73</v>
      </c>
      <c r="H11242" t="s" s="10">
        <v>119</v>
      </c>
      <c r="I11242" t="s" s="11">
        <v>73</v>
      </c>
      <c r="J11242" t="s" s="11">
        <v>20</v>
      </c>
      <c r="K11242" t="s" s="16">
        <f>HYPERLINK("http://csr.bu.edu/ftp/asl/asllvd/demos/verify_start_end_handshape_annotations//test_auto_move//signs_mov/5824_6963_16383_merged.mov","MOV")</f>
        <v>21</v>
      </c>
      <c r="L11242" t="s" s="16">
        <f>HYPERLINK("http://csr.bu.edu/ftp/asl/asllvd/demos/verify_start_end_handshape_annotations//test_auto_move//signs_mov_separ_signers/Brady_6963.mov","MOV")</f>
        <v>21</v>
      </c>
      <c r="M11242" t="s" s="10">
        <v>31</v>
      </c>
      <c r="N11242" s="17">
        <v>30</v>
      </c>
      <c r="O11242" s="18">
        <v>6508</v>
      </c>
      <c r="P11242" s="18">
        <v>6531</v>
      </c>
      <c r="Q11242" t="s" s="16">
        <f>HYPERLINK("http://secrets.rutgers.edu:8080/data/asl-ftp/asllvd/demos/verify_start_end_handshape_annotations//test_auto_move//signs_mov/5824_6963_16383_merged.mov","MOV")</f>
        <v>21</v>
      </c>
      <c r="R11242" t="s" s="16">
        <f>HYPERLINK("http://secrets.rutgers.edu:8080/data/asl-ftp/asllvd/demos/verify_start_end_handshape_annotations//test_auto_move//signs_mov_separ_signers/Brady_6963.mov","MOV")</f>
        <v>21</v>
      </c>
    </row>
    <row r="11243" s="2" customFormat="1" ht="13.5" customHeight="1">
      <c r="B11243" s="13"/>
      <c r="C11243" t="s" s="9">
        <v>30</v>
      </c>
      <c r="D11243" t="s" s="8">
        <v>4194</v>
      </c>
      <c r="E11243" t="s" s="9">
        <v>4194</v>
      </c>
      <c r="F11243" s="19">
        <v>5</v>
      </c>
      <c r="G11243" t="s" s="11">
        <v>73</v>
      </c>
      <c r="H11243" t="s" s="10">
        <v>119</v>
      </c>
      <c r="I11243" t="s" s="11">
        <v>73</v>
      </c>
      <c r="J11243" t="s" s="11">
        <v>20</v>
      </c>
      <c r="K11243" s="15"/>
      <c r="L11243" t="s" s="16">
        <f>HYPERLINK("http://csr.bu.edu/ftp/asl/asllvd/demos/verify_start_end_handshape_annotations//test_auto_move//signs_mov_separ_signers/Brady_5824.mov","MOV")</f>
        <v>21</v>
      </c>
      <c r="M11243" t="s" s="10">
        <v>39</v>
      </c>
      <c r="N11243" s="17">
        <v>19</v>
      </c>
      <c r="O11243" s="18">
        <v>6418</v>
      </c>
      <c r="P11243" s="18">
        <v>6435</v>
      </c>
      <c r="Q11243" s="15"/>
      <c r="R11243" t="s" s="16">
        <f>HYPERLINK("http://secrets.rutgers.edu:8080/data/asl-ftp/asllvd/demos/verify_start_end_handshape_annotations//test_auto_move//signs_mov_separ_signers/Brady_5824.mov","MOV")</f>
        <v>21</v>
      </c>
    </row>
    <row r="11244" s="2" customFormat="1" ht="13.5" customHeight="1">
      <c r="B11244" s="13"/>
      <c r="C11244" t="s" s="9">
        <v>30</v>
      </c>
      <c r="D11244" t="s" s="8">
        <v>4194</v>
      </c>
      <c r="E11244" t="s" s="9">
        <v>4194</v>
      </c>
      <c r="F11244" s="19">
        <v>5</v>
      </c>
      <c r="G11244" s="17">
        <v>5</v>
      </c>
      <c r="H11244" t="s" s="10">
        <v>119</v>
      </c>
      <c r="I11244" s="17">
        <v>5</v>
      </c>
      <c r="J11244" t="s" s="11">
        <v>20</v>
      </c>
      <c r="K11244" s="15"/>
      <c r="L11244" t="s" s="16">
        <f>HYPERLINK("http://csr.bu.edu/ftp/asl/asllvd/demos/verify_start_end_handshape_annotations//test_auto_move//signs_mov_separ_signers/Brady_16383.mov","MOV")</f>
        <v>21</v>
      </c>
      <c r="M11244" t="s" s="10">
        <v>60</v>
      </c>
      <c r="N11244" s="17">
        <v>41</v>
      </c>
      <c r="O11244" s="18">
        <v>190</v>
      </c>
      <c r="P11244" s="18">
        <v>215</v>
      </c>
      <c r="Q11244" s="15"/>
      <c r="R11244" t="s" s="16">
        <f>HYPERLINK("http://secrets.rutgers.edu:8080/data/asl-ftp/asllvd/demos/verify_start_end_handshape_annotations//test_auto_move//signs_mov_separ_signers/Brady_16383.mov","MOV")</f>
        <v>21</v>
      </c>
    </row>
    <row r="11245" s="2" customFormat="1" ht="13.5" customHeight="1">
      <c r="B11245" t="s" s="8">
        <v>4195</v>
      </c>
      <c r="C11245" t="s" s="9">
        <v>14</v>
      </c>
      <c r="D11245" t="s" s="8">
        <v>14</v>
      </c>
      <c r="E11245" t="s" s="9">
        <v>14</v>
      </c>
      <c r="F11245" t="s" s="10">
        <v>14</v>
      </c>
      <c r="G11245" t="s" s="11">
        <v>14</v>
      </c>
      <c r="H11245" t="s" s="10">
        <v>14</v>
      </c>
      <c r="I11245" t="s" s="11">
        <v>14</v>
      </c>
      <c r="J11245" t="s" s="11">
        <v>14</v>
      </c>
      <c r="K11245" t="s" s="12">
        <v>14</v>
      </c>
      <c r="L11245" t="s" s="12">
        <v>14</v>
      </c>
      <c r="M11245" t="s" s="10">
        <v>14</v>
      </c>
      <c r="N11245" t="s" s="11">
        <v>14</v>
      </c>
      <c r="O11245" t="s" s="8">
        <v>14</v>
      </c>
      <c r="P11245" t="s" s="8">
        <v>14</v>
      </c>
      <c r="Q11245" t="s" s="12">
        <v>14</v>
      </c>
      <c r="R11245" t="s" s="12">
        <v>14</v>
      </c>
    </row>
    <row r="11246" s="2" customFormat="1" ht="13.5" customHeight="1">
      <c r="B11246" s="13"/>
      <c r="C11246" t="s" s="9">
        <v>30</v>
      </c>
      <c r="D11246" t="s" s="8">
        <v>4195</v>
      </c>
      <c r="E11246" t="s" s="9">
        <v>4195</v>
      </c>
      <c r="F11246" s="19">
        <v>5</v>
      </c>
      <c r="G11246" s="14"/>
      <c r="H11246" t="s" s="10">
        <v>68</v>
      </c>
      <c r="I11246" s="14"/>
      <c r="J11246" t="s" s="11">
        <v>20</v>
      </c>
      <c r="K11246" t="s" s="16">
        <f>HYPERLINK("http://csr.bu.edu/ftp/asl/asllvd/demos/verify_start_end_handshape_annotations//test_auto_move//signs_mov/6964.mov","MOV")</f>
        <v>21</v>
      </c>
      <c r="L11246" t="s" s="16">
        <f>HYPERLINK("http://csr.bu.edu/ftp/asl/asllvd/demos/verify_start_end_handshape_annotations//test_auto_move//signs_mov_separ_signers/Brady_6964.mov","MOV")</f>
        <v>21</v>
      </c>
      <c r="M11246" t="s" s="10">
        <v>31</v>
      </c>
      <c r="N11246" s="17">
        <v>30</v>
      </c>
      <c r="O11246" s="18">
        <v>1149</v>
      </c>
      <c r="P11246" s="18">
        <v>1176</v>
      </c>
      <c r="Q11246" t="s" s="16">
        <f>HYPERLINK("http://secrets.rutgers.edu:8080/data/asl-ftp/asllvd/demos/verify_start_end_handshape_annotations//test_auto_move//signs_mov/6964.mov","MOV")</f>
        <v>21</v>
      </c>
      <c r="R11246" t="s" s="16">
        <f>HYPERLINK("http://secrets.rutgers.edu:8080/data/asl-ftp/asllvd/demos/verify_start_end_handshape_annotations//test_auto_move//signs_mov_separ_signers/Brady_6964.mov","MOV")</f>
        <v>21</v>
      </c>
    </row>
    <row r="11247" s="2" customFormat="1" ht="13.5" customHeight="1">
      <c r="B11247" t="s" s="8">
        <v>4196</v>
      </c>
      <c r="C11247" t="s" s="9">
        <v>14</v>
      </c>
      <c r="D11247" t="s" s="8">
        <v>14</v>
      </c>
      <c r="E11247" t="s" s="9">
        <v>14</v>
      </c>
      <c r="F11247" t="s" s="10">
        <v>14</v>
      </c>
      <c r="G11247" t="s" s="11">
        <v>14</v>
      </c>
      <c r="H11247" t="s" s="10">
        <v>14</v>
      </c>
      <c r="I11247" t="s" s="11">
        <v>14</v>
      </c>
      <c r="J11247" t="s" s="11">
        <v>14</v>
      </c>
      <c r="K11247" t="s" s="12">
        <v>14</v>
      </c>
      <c r="L11247" t="s" s="12">
        <v>14</v>
      </c>
      <c r="M11247" t="s" s="10">
        <v>14</v>
      </c>
      <c r="N11247" t="s" s="11">
        <v>14</v>
      </c>
      <c r="O11247" t="s" s="8">
        <v>14</v>
      </c>
      <c r="P11247" t="s" s="8">
        <v>14</v>
      </c>
      <c r="Q11247" t="s" s="12">
        <v>14</v>
      </c>
      <c r="R11247" t="s" s="12">
        <v>14</v>
      </c>
    </row>
    <row r="11248" s="2" customFormat="1" ht="13.5" customHeight="1">
      <c r="B11248" s="13"/>
      <c r="C11248" t="s" s="9">
        <v>16</v>
      </c>
      <c r="D11248" t="s" s="8">
        <v>4197</v>
      </c>
      <c r="E11248" t="s" s="9">
        <v>4197</v>
      </c>
      <c r="F11248" t="s" s="10">
        <v>80</v>
      </c>
      <c r="G11248" s="14"/>
      <c r="H11248" t="s" s="10">
        <v>80</v>
      </c>
      <c r="I11248" s="14"/>
      <c r="J11248" t="s" s="11">
        <v>20</v>
      </c>
      <c r="K11248" t="s" s="16">
        <f>HYPERLINK("http://csr.bu.edu/ftp/asl/asllvd/demos/verify_start_end_handshape_annotations//test_auto_move//signs_mov/16027.mov","MOV")</f>
        <v>21</v>
      </c>
      <c r="L11248" t="s" s="16">
        <f>HYPERLINK("http://csr.bu.edu/ftp/asl/asllvd/demos/verify_start_end_handshape_annotations//test_auto_move//signs_mov_separ_signers/Liz_16027.mov","MOV")</f>
        <v>21</v>
      </c>
      <c r="M11248" t="s" s="10">
        <v>84</v>
      </c>
      <c r="N11248" s="17">
        <v>4</v>
      </c>
      <c r="O11248" s="18">
        <v>905</v>
      </c>
      <c r="P11248" s="18">
        <v>950</v>
      </c>
      <c r="Q11248" t="s" s="16">
        <f>HYPERLINK("http://secrets.rutgers.edu:8080/data/asl-ftp/asllvd/demos/verify_start_end_handshape_annotations//test_auto_move//signs_mov/16027.mov","MOV")</f>
        <v>21</v>
      </c>
      <c r="R11248" t="s" s="16">
        <f>HYPERLINK("http://secrets.rutgers.edu:8080/data/asl-ftp/asllvd/demos/verify_start_end_handshape_annotations//test_auto_move//signs_mov_separ_signers/Liz_16027.mov","MOV")</f>
        <v>21</v>
      </c>
    </row>
    <row r="11249" s="2" customFormat="1" ht="13.5" customHeight="1">
      <c r="B11249" s="13"/>
      <c r="C11249" t="s" s="9">
        <v>27</v>
      </c>
      <c r="D11249" t="s" s="8">
        <v>4197</v>
      </c>
      <c r="E11249" t="s" s="9">
        <v>4197</v>
      </c>
      <c r="F11249" t="s" s="10">
        <v>80</v>
      </c>
      <c r="G11249" s="14"/>
      <c r="H11249" t="s" s="10">
        <v>80</v>
      </c>
      <c r="I11249" s="14"/>
      <c r="J11249" t="s" s="11">
        <v>20</v>
      </c>
      <c r="K11249" s="15"/>
      <c r="L11249" t="s" s="16">
        <f>HYPERLINK("http://csr.bu.edu/ftp/asl/asllvd/demos/verify_start_end_handshape_annotations//test_auto_move//signs_mov_separ_signers/Naomi_16027.mov","MOV")</f>
        <v>21</v>
      </c>
      <c r="M11249" t="s" s="10">
        <v>86</v>
      </c>
      <c r="N11249" s="17">
        <v>4</v>
      </c>
      <c r="O11249" s="18">
        <v>540</v>
      </c>
      <c r="P11249" s="18">
        <v>567</v>
      </c>
      <c r="Q11249" s="15"/>
      <c r="R11249" t="s" s="16">
        <f>HYPERLINK("http://secrets.rutgers.edu:8080/data/asl-ftp/asllvd/demos/verify_start_end_handshape_annotations//test_auto_move//signs_mov_separ_signers/Naomi_16027.mov","MOV")</f>
        <v>21</v>
      </c>
    </row>
    <row r="11250" s="2" customFormat="1" ht="13.5" customHeight="1">
      <c r="B11250" t="s" s="8">
        <v>4198</v>
      </c>
      <c r="C11250" t="s" s="9">
        <v>14</v>
      </c>
      <c r="D11250" t="s" s="8">
        <v>14</v>
      </c>
      <c r="E11250" t="s" s="9">
        <v>14</v>
      </c>
      <c r="F11250" t="s" s="10">
        <v>14</v>
      </c>
      <c r="G11250" t="s" s="11">
        <v>14</v>
      </c>
      <c r="H11250" t="s" s="10">
        <v>14</v>
      </c>
      <c r="I11250" t="s" s="11">
        <v>14</v>
      </c>
      <c r="J11250" t="s" s="11">
        <v>14</v>
      </c>
      <c r="K11250" t="s" s="12">
        <v>14</v>
      </c>
      <c r="L11250" t="s" s="12">
        <v>14</v>
      </c>
      <c r="M11250" t="s" s="10">
        <v>14</v>
      </c>
      <c r="N11250" t="s" s="11">
        <v>14</v>
      </c>
      <c r="O11250" t="s" s="8">
        <v>14</v>
      </c>
      <c r="P11250" t="s" s="8">
        <v>14</v>
      </c>
      <c r="Q11250" t="s" s="12">
        <v>14</v>
      </c>
      <c r="R11250" t="s" s="12">
        <v>14</v>
      </c>
    </row>
    <row r="11251" s="2" customFormat="1" ht="13.5" customHeight="1">
      <c r="B11251" s="13"/>
      <c r="C11251" t="s" s="9">
        <v>16</v>
      </c>
      <c r="D11251" t="s" s="8">
        <v>4198</v>
      </c>
      <c r="E11251" t="s" s="9">
        <v>4198</v>
      </c>
      <c r="F11251" t="s" s="10">
        <v>344</v>
      </c>
      <c r="G11251" t="s" s="11">
        <v>240</v>
      </c>
      <c r="H11251" t="s" s="10">
        <v>344</v>
      </c>
      <c r="I11251" t="s" s="11">
        <v>240</v>
      </c>
      <c r="J11251" t="s" s="11">
        <v>20</v>
      </c>
      <c r="K11251" t="s" s="16">
        <f>HYPERLINK("http://csr.bu.edu/ftp/asl/asllvd/demos/verify_start_end_handshape_annotations//test_auto_move//signs_mov/6978.mov","MOV")</f>
        <v>21</v>
      </c>
      <c r="L11251" t="s" s="16">
        <f>HYPERLINK("http://csr.bu.edu/ftp/asl/asllvd/demos/verify_start_end_handshape_annotations//test_auto_move//signs_mov_separ_signers/Liz_6978.mov","MOV")</f>
        <v>21</v>
      </c>
      <c r="M11251" t="s" s="10">
        <v>77</v>
      </c>
      <c r="N11251" s="17">
        <v>24</v>
      </c>
      <c r="O11251" s="18">
        <v>1870</v>
      </c>
      <c r="P11251" s="18">
        <v>1925</v>
      </c>
      <c r="Q11251" t="s" s="16">
        <f>HYPERLINK("http://secrets.rutgers.edu:8080/data/asl-ftp/asllvd/demos/verify_start_end_handshape_annotations//test_auto_move//signs_mov/6978.mov","MOV")</f>
        <v>21</v>
      </c>
      <c r="R11251" t="s" s="16">
        <f>HYPERLINK("http://secrets.rutgers.edu:8080/data/asl-ftp/asllvd/demos/verify_start_end_handshape_annotations//test_auto_move//signs_mov_separ_signers/Liz_6978.mov","MOV")</f>
        <v>21</v>
      </c>
    </row>
    <row r="11252" s="2" customFormat="1" ht="27.75" customHeight="1">
      <c r="B11252" t="s" s="8">
        <v>4199</v>
      </c>
      <c r="C11252" t="s" s="9">
        <v>14</v>
      </c>
      <c r="D11252" t="s" s="8">
        <v>14</v>
      </c>
      <c r="E11252" t="s" s="9">
        <v>14</v>
      </c>
      <c r="F11252" t="s" s="10">
        <v>14</v>
      </c>
      <c r="G11252" t="s" s="11">
        <v>14</v>
      </c>
      <c r="H11252" t="s" s="10">
        <v>14</v>
      </c>
      <c r="I11252" t="s" s="11">
        <v>14</v>
      </c>
      <c r="J11252" t="s" s="11">
        <v>14</v>
      </c>
      <c r="K11252" t="s" s="12">
        <v>14</v>
      </c>
      <c r="L11252" t="s" s="12">
        <v>14</v>
      </c>
      <c r="M11252" t="s" s="10">
        <v>14</v>
      </c>
      <c r="N11252" t="s" s="11">
        <v>14</v>
      </c>
      <c r="O11252" t="s" s="8">
        <v>14</v>
      </c>
      <c r="P11252" t="s" s="8">
        <v>14</v>
      </c>
      <c r="Q11252" t="s" s="12">
        <v>14</v>
      </c>
      <c r="R11252" t="s" s="12">
        <v>14</v>
      </c>
    </row>
    <row r="11253" s="2" customFormat="1" ht="27.75" customHeight="1">
      <c r="B11253" s="13"/>
      <c r="C11253" t="s" s="9">
        <v>23</v>
      </c>
      <c r="D11253" t="s" s="8">
        <v>4199</v>
      </c>
      <c r="E11253" t="s" s="9">
        <v>4200</v>
      </c>
      <c r="F11253" t="s" s="10">
        <v>344</v>
      </c>
      <c r="G11253" t="s" s="11">
        <v>344</v>
      </c>
      <c r="H11253" t="s" s="10">
        <v>344</v>
      </c>
      <c r="I11253" t="s" s="11">
        <v>344</v>
      </c>
      <c r="J11253" t="s" s="11">
        <v>20</v>
      </c>
      <c r="K11253" t="s" s="16">
        <f>HYPERLINK("http://csr.bu.edu/ftp/asl/asllvd/demos/verify_start_end_handshape_annotations//test_auto_move//signs_mov/5385.mov","MOV")</f>
        <v>21</v>
      </c>
      <c r="L11253" t="s" s="16">
        <f>HYPERLINK("http://csr.bu.edu/ftp/asl/asllvd/demos/verify_start_end_handshape_annotations//test_auto_move//signs_mov_separ_signers/Tyler_5385.mov","MOV")</f>
        <v>21</v>
      </c>
      <c r="M11253" t="s" s="10">
        <v>125</v>
      </c>
      <c r="N11253" s="17">
        <v>6</v>
      </c>
      <c r="O11253" s="18">
        <v>735</v>
      </c>
      <c r="P11253" s="18">
        <v>767</v>
      </c>
      <c r="Q11253" t="s" s="16">
        <f>HYPERLINK("http://secrets.rutgers.edu:8080/data/asl-ftp/asllvd/demos/verify_start_end_handshape_annotations//test_auto_move//signs_mov/5385.mov","MOV")</f>
        <v>21</v>
      </c>
      <c r="R11253" t="s" s="16">
        <f>HYPERLINK("http://secrets.rutgers.edu:8080/data/asl-ftp/asllvd/demos/verify_start_end_handshape_annotations//test_auto_move//signs_mov_separ_signers/Tyler_5385.mov","MOV")</f>
        <v>21</v>
      </c>
    </row>
    <row r="11254" s="2" customFormat="1" ht="27.75" customHeight="1">
      <c r="B11254" s="13"/>
      <c r="C11254" t="s" s="9">
        <v>30</v>
      </c>
      <c r="D11254" t="s" s="8">
        <v>4199</v>
      </c>
      <c r="E11254" t="s" s="9">
        <v>4200</v>
      </c>
      <c r="F11254" t="s" s="10">
        <v>344</v>
      </c>
      <c r="G11254" t="s" s="11">
        <v>344</v>
      </c>
      <c r="H11254" t="s" s="10">
        <v>344</v>
      </c>
      <c r="I11254" t="s" s="11">
        <v>344</v>
      </c>
      <c r="J11254" t="s" s="11">
        <v>20</v>
      </c>
      <c r="K11254" s="15"/>
      <c r="L11254" t="s" s="16">
        <f>HYPERLINK("http://csr.bu.edu/ftp/asl/asllvd/demos/verify_start_end_handshape_annotations//test_auto_move//signs_mov_separ_signers/Brady_5385.mov","MOV")</f>
        <v>21</v>
      </c>
      <c r="M11254" t="s" s="10">
        <v>31</v>
      </c>
      <c r="N11254" s="17">
        <v>30</v>
      </c>
      <c r="O11254" s="18">
        <v>8913</v>
      </c>
      <c r="P11254" s="18">
        <v>8949</v>
      </c>
      <c r="Q11254" s="15"/>
      <c r="R11254" t="s" s="16">
        <f>HYPERLINK("http://secrets.rutgers.edu:8080/data/asl-ftp/asllvd/demos/verify_start_end_handshape_annotations//test_auto_move//signs_mov_separ_signers/Brady_5385.mov","MOV")</f>
        <v>21</v>
      </c>
    </row>
    <row r="11255" s="2" customFormat="1" ht="13.5" customHeight="1">
      <c r="B11255" t="s" s="8">
        <v>52</v>
      </c>
      <c r="C11255" t="s" s="9">
        <v>53</v>
      </c>
      <c r="D11255" t="s" s="8">
        <v>53</v>
      </c>
      <c r="E11255" t="s" s="9">
        <v>53</v>
      </c>
      <c r="F11255" t="s" s="10">
        <v>53</v>
      </c>
      <c r="G11255" t="s" s="11">
        <v>53</v>
      </c>
      <c r="H11255" t="s" s="10">
        <v>53</v>
      </c>
      <c r="I11255" t="s" s="11">
        <v>53</v>
      </c>
      <c r="J11255" t="s" s="11">
        <v>53</v>
      </c>
      <c r="K11255" t="s" s="12">
        <v>53</v>
      </c>
      <c r="L11255" t="s" s="12">
        <v>53</v>
      </c>
      <c r="M11255" t="s" s="10">
        <v>53</v>
      </c>
      <c r="N11255" t="s" s="11">
        <v>53</v>
      </c>
      <c r="O11255" t="s" s="8">
        <v>53</v>
      </c>
      <c r="P11255" t="s" s="8">
        <v>53</v>
      </c>
      <c r="Q11255" t="s" s="12">
        <v>53</v>
      </c>
      <c r="R11255" t="s" s="12">
        <v>53</v>
      </c>
    </row>
    <row r="11256" s="2" customFormat="1" ht="27.75" customHeight="1">
      <c r="B11256" s="13"/>
      <c r="C11256" t="s" s="9">
        <v>16</v>
      </c>
      <c r="D11256" t="s" s="8">
        <v>4199</v>
      </c>
      <c r="E11256" t="s" s="9">
        <v>4199</v>
      </c>
      <c r="F11256" t="s" s="10">
        <v>230</v>
      </c>
      <c r="G11256" t="s" s="11">
        <v>230</v>
      </c>
      <c r="H11256" t="s" s="10">
        <v>230</v>
      </c>
      <c r="I11256" t="s" s="11">
        <v>230</v>
      </c>
      <c r="J11256" t="s" s="11">
        <v>20</v>
      </c>
      <c r="K11256" s="15"/>
      <c r="L11256" t="s" s="16">
        <f>HYPERLINK("http://csr.bu.edu/ftp/asl/asllvd/demos/verify_start_end_handshape_annotations//test_auto_move//signs_mov_separ_signers/Liz_5736.mov","MOV")</f>
        <v>21</v>
      </c>
      <c r="M11256" t="s" s="10">
        <v>36</v>
      </c>
      <c r="N11256" s="17">
        <v>37</v>
      </c>
      <c r="O11256" s="18">
        <v>2690</v>
      </c>
      <c r="P11256" s="18">
        <v>2740</v>
      </c>
      <c r="Q11256" s="15"/>
      <c r="R11256" t="s" s="16">
        <f>HYPERLINK("http://secrets.rutgers.edu:8080/data/asl-ftp/asllvd/demos/verify_start_end_handshape_annotations//test_auto_move//signs_mov_separ_signers/Liz_5736.mov","MOV")</f>
        <v>21</v>
      </c>
    </row>
    <row r="11257" s="2" customFormat="1" ht="27.75" customHeight="1">
      <c r="B11257" s="13"/>
      <c r="C11257" t="s" s="9">
        <v>30</v>
      </c>
      <c r="D11257" t="s" s="8">
        <v>4199</v>
      </c>
      <c r="E11257" t="s" s="9">
        <v>4199</v>
      </c>
      <c r="F11257" t="s" s="10">
        <v>230</v>
      </c>
      <c r="G11257" t="s" s="11">
        <v>230</v>
      </c>
      <c r="H11257" t="s" s="10">
        <v>230</v>
      </c>
      <c r="I11257" t="s" s="11">
        <v>230</v>
      </c>
      <c r="J11257" t="s" s="11">
        <v>20</v>
      </c>
      <c r="K11257" t="s" s="16">
        <f>HYPERLINK("http://csr.bu.edu/ftp/asl/asllvd/demos/verify_start_end_handshape_annotations//test_auto_move//signs_mov/5736_5968_merged.mov","MOV")</f>
        <v>21</v>
      </c>
      <c r="L11257" t="s" s="16">
        <f>HYPERLINK("http://csr.bu.edu/ftp/asl/asllvd/demos/verify_start_end_handshape_annotations//test_auto_move//signs_mov_separ_signers/Brady_5736.mov","MOV")</f>
        <v>21</v>
      </c>
      <c r="M11257" t="s" s="10">
        <v>31</v>
      </c>
      <c r="N11257" s="17">
        <v>19</v>
      </c>
      <c r="O11257" s="18">
        <v>6901</v>
      </c>
      <c r="P11257" s="18">
        <v>6925</v>
      </c>
      <c r="Q11257" t="s" s="16">
        <f>HYPERLINK("http://secrets.rutgers.edu:8080/data/asl-ftp/asllvd/demos/verify_start_end_handshape_annotations//test_auto_move//signs_mov/5736_5968_merged.mov","MOV")</f>
        <v>21</v>
      </c>
      <c r="R11257" t="s" s="16">
        <f>HYPERLINK("http://secrets.rutgers.edu:8080/data/asl-ftp/asllvd/demos/verify_start_end_handshape_annotations//test_auto_move//signs_mov_separ_signers/Brady_5736.mov","MOV")</f>
        <v>21</v>
      </c>
    </row>
    <row r="11258" s="2" customFormat="1" ht="27.75" customHeight="1">
      <c r="B11258" s="13"/>
      <c r="C11258" t="s" s="9">
        <v>30</v>
      </c>
      <c r="D11258" t="s" s="8">
        <v>4199</v>
      </c>
      <c r="E11258" t="s" s="9">
        <v>4199</v>
      </c>
      <c r="F11258" t="s" s="10">
        <v>230</v>
      </c>
      <c r="G11258" t="s" s="11">
        <v>230</v>
      </c>
      <c r="H11258" t="s" s="10">
        <v>230</v>
      </c>
      <c r="I11258" t="s" s="11">
        <v>230</v>
      </c>
      <c r="J11258" t="s" s="11">
        <v>20</v>
      </c>
      <c r="K11258" s="15"/>
      <c r="L11258" t="s" s="16">
        <f>HYPERLINK("http://csr.bu.edu/ftp/asl/asllvd/demos/verify_start_end_handshape_annotations//test_auto_move//signs_mov_separ_signers/Brady_5968.mov","MOV")</f>
        <v>21</v>
      </c>
      <c r="M11258" t="s" s="10">
        <v>40</v>
      </c>
      <c r="N11258" s="17">
        <v>90</v>
      </c>
      <c r="O11258" s="18">
        <v>1400</v>
      </c>
      <c r="P11258" s="18">
        <v>1421</v>
      </c>
      <c r="Q11258" s="15"/>
      <c r="R11258" t="s" s="16">
        <f>HYPERLINK("http://secrets.rutgers.edu:8080/data/asl-ftp/asllvd/demos/verify_start_end_handshape_annotations//test_auto_move//signs_mov_separ_signers/Brady_5968.mov","MOV")</f>
        <v>21</v>
      </c>
    </row>
    <row r="11259" s="2" customFormat="1" ht="13.5" customHeight="1">
      <c r="B11259" t="s" s="8">
        <v>52</v>
      </c>
      <c r="C11259" t="s" s="9">
        <v>53</v>
      </c>
      <c r="D11259" t="s" s="8">
        <v>53</v>
      </c>
      <c r="E11259" t="s" s="9">
        <v>53</v>
      </c>
      <c r="F11259" t="s" s="10">
        <v>53</v>
      </c>
      <c r="G11259" t="s" s="11">
        <v>53</v>
      </c>
      <c r="H11259" t="s" s="10">
        <v>53</v>
      </c>
      <c r="I11259" t="s" s="11">
        <v>53</v>
      </c>
      <c r="J11259" t="s" s="11">
        <v>53</v>
      </c>
      <c r="K11259" t="s" s="12">
        <v>53</v>
      </c>
      <c r="L11259" t="s" s="12">
        <v>53</v>
      </c>
      <c r="M11259" t="s" s="10">
        <v>53</v>
      </c>
      <c r="N11259" t="s" s="11">
        <v>53</v>
      </c>
      <c r="O11259" t="s" s="8">
        <v>53</v>
      </c>
      <c r="P11259" t="s" s="8">
        <v>53</v>
      </c>
      <c r="Q11259" t="s" s="12">
        <v>53</v>
      </c>
      <c r="R11259" t="s" s="12">
        <v>53</v>
      </c>
    </row>
    <row r="11260" s="2" customFormat="1" ht="27.75" customHeight="1">
      <c r="B11260" s="13"/>
      <c r="C11260" t="s" s="9">
        <v>16</v>
      </c>
      <c r="D11260" t="s" s="8">
        <v>4199</v>
      </c>
      <c r="E11260" t="s" s="9">
        <v>4201</v>
      </c>
      <c r="F11260" t="s" s="10">
        <v>150</v>
      </c>
      <c r="G11260" t="s" s="11">
        <v>150</v>
      </c>
      <c r="H11260" t="s" s="10">
        <v>150</v>
      </c>
      <c r="I11260" t="s" s="11">
        <v>150</v>
      </c>
      <c r="J11260" t="s" s="11">
        <v>20</v>
      </c>
      <c r="K11260" t="s" s="16">
        <f>HYPERLINK("http://csr.bu.edu/ftp/asl/asllvd/demos/verify_start_end_handshape_annotations//test_auto_move//signs_mov/16309.mov","MOV")</f>
        <v>21</v>
      </c>
      <c r="L11260" t="s" s="16">
        <f>HYPERLINK("http://csr.bu.edu/ftp/asl/asllvd/demos/verify_start_end_handshape_annotations//test_auto_move//signs_mov_separ_signers/Liz_16309.mov","MOV")</f>
        <v>21</v>
      </c>
      <c r="M11260" t="s" s="10">
        <v>36</v>
      </c>
      <c r="N11260" s="17">
        <v>38</v>
      </c>
      <c r="O11260" s="18">
        <v>220</v>
      </c>
      <c r="P11260" s="18">
        <v>251</v>
      </c>
      <c r="Q11260" t="s" s="16">
        <f>HYPERLINK("http://secrets.rutgers.edu:8080/data/asl-ftp/asllvd/demos/verify_start_end_handshape_annotations//test_auto_move//signs_mov/16309.mov","MOV")</f>
        <v>21</v>
      </c>
      <c r="R11260" t="s" s="16">
        <f>HYPERLINK("http://secrets.rutgers.edu:8080/data/asl-ftp/asllvd/demos/verify_start_end_handshape_annotations//test_auto_move//signs_mov_separ_signers/Liz_16309.mov","MOV")</f>
        <v>21</v>
      </c>
    </row>
    <row r="11261" s="2" customFormat="1" ht="27.75" customHeight="1">
      <c r="B11261" s="13"/>
      <c r="C11261" t="s" s="9">
        <v>30</v>
      </c>
      <c r="D11261" t="s" s="8">
        <v>4199</v>
      </c>
      <c r="E11261" t="s" s="9">
        <v>4201</v>
      </c>
      <c r="F11261" t="s" s="10">
        <v>150</v>
      </c>
      <c r="G11261" t="s" s="11">
        <v>150</v>
      </c>
      <c r="H11261" t="s" s="10">
        <v>150</v>
      </c>
      <c r="I11261" t="s" s="11">
        <v>150</v>
      </c>
      <c r="J11261" t="s" s="11">
        <v>20</v>
      </c>
      <c r="K11261" s="15"/>
      <c r="L11261" t="s" s="16">
        <f>HYPERLINK("http://csr.bu.edu/ftp/asl/asllvd/demos/verify_start_end_handshape_annotations//test_auto_move//signs_mov_separ_signers/Brady_16309.mov","MOV")</f>
        <v>21</v>
      </c>
      <c r="M11261" t="s" s="10">
        <v>40</v>
      </c>
      <c r="N11261" s="17">
        <v>90</v>
      </c>
      <c r="O11261" s="18">
        <v>1700</v>
      </c>
      <c r="P11261" s="18">
        <v>1714</v>
      </c>
      <c r="Q11261" s="15"/>
      <c r="R11261" t="s" s="16">
        <f>HYPERLINK("http://secrets.rutgers.edu:8080/data/asl-ftp/asllvd/demos/verify_start_end_handshape_annotations//test_auto_move//signs_mov_separ_signers/Brady_16309.mov","MOV")</f>
        <v>21</v>
      </c>
    </row>
    <row r="11262" s="2" customFormat="1" ht="13.5" customHeight="1">
      <c r="B11262" t="s" s="8">
        <v>4202</v>
      </c>
      <c r="C11262" t="s" s="9">
        <v>14</v>
      </c>
      <c r="D11262" t="s" s="8">
        <v>14</v>
      </c>
      <c r="E11262" t="s" s="9">
        <v>14</v>
      </c>
      <c r="F11262" t="s" s="10">
        <v>14</v>
      </c>
      <c r="G11262" t="s" s="11">
        <v>14</v>
      </c>
      <c r="H11262" t="s" s="10">
        <v>14</v>
      </c>
      <c r="I11262" t="s" s="11">
        <v>14</v>
      </c>
      <c r="J11262" t="s" s="11">
        <v>14</v>
      </c>
      <c r="K11262" t="s" s="12">
        <v>14</v>
      </c>
      <c r="L11262" t="s" s="12">
        <v>14</v>
      </c>
      <c r="M11262" t="s" s="10">
        <v>14</v>
      </c>
      <c r="N11262" t="s" s="11">
        <v>14</v>
      </c>
      <c r="O11262" t="s" s="8">
        <v>14</v>
      </c>
      <c r="P11262" t="s" s="8">
        <v>14</v>
      </c>
      <c r="Q11262" t="s" s="12">
        <v>14</v>
      </c>
      <c r="R11262" t="s" s="12">
        <v>14</v>
      </c>
    </row>
    <row r="11263" s="2" customFormat="1" ht="13.5" customHeight="1">
      <c r="B11263" s="13"/>
      <c r="C11263" t="s" s="9">
        <v>16</v>
      </c>
      <c r="D11263" t="s" s="8">
        <v>4202</v>
      </c>
      <c r="E11263" t="s" s="9">
        <v>4202</v>
      </c>
      <c r="F11263" t="s" s="10">
        <v>65</v>
      </c>
      <c r="G11263" s="14"/>
      <c r="H11263" t="s" s="10">
        <v>65</v>
      </c>
      <c r="I11263" s="14"/>
      <c r="J11263" t="s" s="11">
        <v>20</v>
      </c>
      <c r="K11263" s="15"/>
      <c r="L11263" t="s" s="16">
        <f>HYPERLINK("http://csr.bu.edu/ftp/asl/asllvd/demos/verify_start_end_handshape_annotations//test_auto_move//signs_mov_separ_signers/Liz_6981.mov","MOV")</f>
        <v>21</v>
      </c>
      <c r="M11263" t="s" s="10">
        <v>88</v>
      </c>
      <c r="N11263" s="17">
        <v>16</v>
      </c>
      <c r="O11263" s="18">
        <v>390</v>
      </c>
      <c r="P11263" s="18">
        <v>426</v>
      </c>
      <c r="Q11263" s="15"/>
      <c r="R11263" t="s" s="16">
        <f>HYPERLINK("http://secrets.rutgers.edu:8080/data/asl-ftp/asllvd/demos/verify_start_end_handshape_annotations//test_auto_move//signs_mov_separ_signers/Liz_6981.mov","MOV")</f>
        <v>21</v>
      </c>
    </row>
    <row r="11264" s="2" customFormat="1" ht="13.5" customHeight="1">
      <c r="B11264" s="13"/>
      <c r="C11264" t="s" s="9">
        <v>16</v>
      </c>
      <c r="D11264" t="s" s="8">
        <v>4202</v>
      </c>
      <c r="E11264" t="s" s="9">
        <v>4202</v>
      </c>
      <c r="F11264" t="s" s="10">
        <v>255</v>
      </c>
      <c r="G11264" s="14"/>
      <c r="H11264" t="s" s="10">
        <v>255</v>
      </c>
      <c r="I11264" s="14"/>
      <c r="J11264" t="s" s="11">
        <v>20</v>
      </c>
      <c r="K11264" t="s" s="16">
        <f>HYPERLINK("http://csr.bu.edu/ftp/asl/asllvd/demos/verify_start_end_handshape_annotations//test_auto_move//signs_mov/5339_6981_merged.mov","MOV")</f>
        <v>21</v>
      </c>
      <c r="L11264" t="s" s="16">
        <f>HYPERLINK("http://csr.bu.edu/ftp/asl/asllvd/demos/verify_start_end_handshape_annotations//test_auto_move//signs_mov_separ_signers/Liz_5339.mov","MOV")</f>
        <v>21</v>
      </c>
      <c r="M11264" t="s" s="10">
        <v>77</v>
      </c>
      <c r="N11264" s="17">
        <v>26</v>
      </c>
      <c r="O11264" s="18">
        <v>2490</v>
      </c>
      <c r="P11264" s="18">
        <v>2546</v>
      </c>
      <c r="Q11264" t="s" s="16">
        <f>HYPERLINK("http://secrets.rutgers.edu:8080/data/asl-ftp/asllvd/demos/verify_start_end_handshape_annotations//test_auto_move//signs_mov/5339_6981_merged.mov","MOV")</f>
        <v>21</v>
      </c>
      <c r="R11264" t="s" s="16">
        <f>HYPERLINK("http://secrets.rutgers.edu:8080/data/asl-ftp/asllvd/demos/verify_start_end_handshape_annotations//test_auto_move//signs_mov_separ_signers/Liz_5339.mov","MOV")</f>
        <v>21</v>
      </c>
    </row>
    <row r="11265" s="2" customFormat="1" ht="13.5" customHeight="1">
      <c r="B11265" s="13"/>
      <c r="C11265" t="s" s="9">
        <v>23</v>
      </c>
      <c r="D11265" t="s" s="8">
        <v>4202</v>
      </c>
      <c r="E11265" t="s" s="9">
        <v>4202</v>
      </c>
      <c r="F11265" t="s" s="10">
        <v>65</v>
      </c>
      <c r="G11265" s="14"/>
      <c r="H11265" t="s" s="10">
        <v>65</v>
      </c>
      <c r="I11265" s="14"/>
      <c r="J11265" t="s" s="11">
        <v>20</v>
      </c>
      <c r="K11265" s="15"/>
      <c r="L11265" t="s" s="16">
        <f>HYPERLINK("http://csr.bu.edu/ftp/asl/asllvd/demos/verify_start_end_handshape_annotations//test_auto_move//signs_mov_separ_signers/Tyler_6981.mov","MOV")</f>
        <v>21</v>
      </c>
      <c r="M11265" t="s" s="10">
        <v>47</v>
      </c>
      <c r="N11265" s="17">
        <v>23</v>
      </c>
      <c r="O11265" s="18">
        <v>3542</v>
      </c>
      <c r="P11265" s="18">
        <v>3562</v>
      </c>
      <c r="Q11265" s="15"/>
      <c r="R11265" t="s" s="16">
        <f>HYPERLINK("http://secrets.rutgers.edu:8080/data/asl-ftp/asllvd/demos/verify_start_end_handshape_annotations//test_auto_move//signs_mov_separ_signers/Tyler_6981.mov","MOV")</f>
        <v>21</v>
      </c>
    </row>
    <row r="11266" s="2" customFormat="1" ht="13.5" customHeight="1">
      <c r="B11266" s="13"/>
      <c r="C11266" t="s" s="9">
        <v>30</v>
      </c>
      <c r="D11266" t="s" s="8">
        <v>4202</v>
      </c>
      <c r="E11266" t="s" s="9">
        <v>4202</v>
      </c>
      <c r="F11266" t="s" s="10">
        <v>28</v>
      </c>
      <c r="G11266" s="14"/>
      <c r="H11266" t="s" s="10">
        <v>28</v>
      </c>
      <c r="I11266" s="14"/>
      <c r="J11266" t="s" s="11">
        <v>20</v>
      </c>
      <c r="K11266" s="15"/>
      <c r="L11266" t="s" s="16">
        <f>HYPERLINK("http://csr.bu.edu/ftp/asl/asllvd/demos/verify_start_end_handshape_annotations//test_auto_move//signs_mov_separ_signers/Brady_6981.mov","MOV")</f>
        <v>21</v>
      </c>
      <c r="M11266" t="s" s="10">
        <v>31</v>
      </c>
      <c r="N11266" s="17">
        <v>30</v>
      </c>
      <c r="O11266" s="18">
        <v>5202</v>
      </c>
      <c r="P11266" s="18">
        <v>5216</v>
      </c>
      <c r="Q11266" s="15"/>
      <c r="R11266" t="s" s="16">
        <f>HYPERLINK("http://secrets.rutgers.edu:8080/data/asl-ftp/asllvd/demos/verify_start_end_handshape_annotations//test_auto_move//signs_mov_separ_signers/Brady_6981.mov","MOV")</f>
        <v>21</v>
      </c>
    </row>
    <row r="11267" s="2" customFormat="1" ht="13.5" customHeight="1">
      <c r="B11267" t="s" s="8">
        <v>4203</v>
      </c>
      <c r="C11267" t="s" s="9">
        <v>14</v>
      </c>
      <c r="D11267" t="s" s="8">
        <v>14</v>
      </c>
      <c r="E11267" t="s" s="9">
        <v>14</v>
      </c>
      <c r="F11267" t="s" s="10">
        <v>14</v>
      </c>
      <c r="G11267" t="s" s="11">
        <v>14</v>
      </c>
      <c r="H11267" t="s" s="10">
        <v>14</v>
      </c>
      <c r="I11267" t="s" s="11">
        <v>14</v>
      </c>
      <c r="J11267" t="s" s="11">
        <v>14</v>
      </c>
      <c r="K11267" t="s" s="12">
        <v>14</v>
      </c>
      <c r="L11267" t="s" s="12">
        <v>14</v>
      </c>
      <c r="M11267" t="s" s="10">
        <v>14</v>
      </c>
      <c r="N11267" t="s" s="11">
        <v>14</v>
      </c>
      <c r="O11267" t="s" s="8">
        <v>14</v>
      </c>
      <c r="P11267" t="s" s="8">
        <v>14</v>
      </c>
      <c r="Q11267" t="s" s="12">
        <v>14</v>
      </c>
      <c r="R11267" t="s" s="12">
        <v>14</v>
      </c>
    </row>
    <row r="11268" s="2" customFormat="1" ht="13.5" customHeight="1">
      <c r="B11268" s="13"/>
      <c r="C11268" t="s" s="9">
        <v>16</v>
      </c>
      <c r="D11268" t="s" s="8">
        <v>4203</v>
      </c>
      <c r="E11268" t="s" s="9">
        <v>4203</v>
      </c>
      <c r="F11268" t="s" s="10">
        <v>344</v>
      </c>
      <c r="G11268" s="14"/>
      <c r="H11268" t="s" s="10">
        <v>344</v>
      </c>
      <c r="I11268" s="14"/>
      <c r="J11268" t="s" s="11">
        <v>20</v>
      </c>
      <c r="K11268" t="s" s="16">
        <f>HYPERLINK("http://csr.bu.edu/ftp/asl/asllvd/demos/verify_start_end_handshape_annotations//test_auto_move//signs_mov/15180.mov","MOV")</f>
        <v>21</v>
      </c>
      <c r="L11268" t="s" s="16">
        <f>HYPERLINK("http://csr.bu.edu/ftp/asl/asllvd/demos/verify_start_end_handshape_annotations//test_auto_move//signs_mov_separ_signers/Liz_15180.mov","MOV")</f>
        <v>21</v>
      </c>
      <c r="M11268" t="s" s="10">
        <v>88</v>
      </c>
      <c r="N11268" s="17">
        <v>17</v>
      </c>
      <c r="O11268" s="18">
        <v>640</v>
      </c>
      <c r="P11268" s="18">
        <v>685</v>
      </c>
      <c r="Q11268" t="s" s="16">
        <f>HYPERLINK("http://secrets.rutgers.edu:8080/data/asl-ftp/asllvd/demos/verify_start_end_handshape_annotations//test_auto_move//signs_mov/15180.mov","MOV")</f>
        <v>21</v>
      </c>
      <c r="R11268" t="s" s="16">
        <f>HYPERLINK("http://secrets.rutgers.edu:8080/data/asl-ftp/asllvd/demos/verify_start_end_handshape_annotations//test_auto_move//signs_mov_separ_signers/Liz_15180.mov","MOV")</f>
        <v>21</v>
      </c>
    </row>
    <row r="11269" s="2" customFormat="1" ht="13.5" customHeight="1">
      <c r="B11269" t="s" s="8">
        <v>4204</v>
      </c>
      <c r="C11269" t="s" s="9">
        <v>14</v>
      </c>
      <c r="D11269" t="s" s="8">
        <v>14</v>
      </c>
      <c r="E11269" t="s" s="9">
        <v>14</v>
      </c>
      <c r="F11269" t="s" s="10">
        <v>14</v>
      </c>
      <c r="G11269" t="s" s="11">
        <v>14</v>
      </c>
      <c r="H11269" t="s" s="10">
        <v>14</v>
      </c>
      <c r="I11269" t="s" s="11">
        <v>14</v>
      </c>
      <c r="J11269" t="s" s="11">
        <v>14</v>
      </c>
      <c r="K11269" t="s" s="12">
        <v>14</v>
      </c>
      <c r="L11269" t="s" s="12">
        <v>14</v>
      </c>
      <c r="M11269" t="s" s="10">
        <v>14</v>
      </c>
      <c r="N11269" t="s" s="11">
        <v>14</v>
      </c>
      <c r="O11269" t="s" s="8">
        <v>14</v>
      </c>
      <c r="P11269" t="s" s="8">
        <v>14</v>
      </c>
      <c r="Q11269" t="s" s="12">
        <v>14</v>
      </c>
      <c r="R11269" t="s" s="12">
        <v>14</v>
      </c>
    </row>
    <row r="11270" s="2" customFormat="1" ht="13.5" customHeight="1">
      <c r="B11270" s="13"/>
      <c r="C11270" t="s" s="9">
        <v>23</v>
      </c>
      <c r="D11270" t="s" s="8">
        <v>4205</v>
      </c>
      <c r="E11270" t="s" s="9">
        <v>4205</v>
      </c>
      <c r="F11270" t="s" s="10">
        <v>72</v>
      </c>
      <c r="G11270" s="14"/>
      <c r="H11270" t="s" s="10">
        <v>68</v>
      </c>
      <c r="I11270" s="14"/>
      <c r="J11270" t="s" s="11">
        <v>20</v>
      </c>
      <c r="K11270" t="s" s="16">
        <f>HYPERLINK("http://csr.bu.edu/ftp/asl/asllvd/demos/verify_start_end_handshape_annotations//test_auto_move//signs_mov/7007.mov","MOV")</f>
        <v>21</v>
      </c>
      <c r="L11270" t="s" s="16">
        <f>HYPERLINK("http://csr.bu.edu/ftp/asl/asllvd/demos/verify_start_end_handshape_annotations//test_auto_move//signs_mov_separ_signers/Tyler_7007.mov","MOV")</f>
        <v>21</v>
      </c>
      <c r="M11270" t="s" s="10">
        <v>125</v>
      </c>
      <c r="N11270" s="17">
        <v>8</v>
      </c>
      <c r="O11270" s="18">
        <v>3390</v>
      </c>
      <c r="P11270" s="18">
        <v>3415</v>
      </c>
      <c r="Q11270" t="s" s="16">
        <f>HYPERLINK("http://secrets.rutgers.edu:8080/data/asl-ftp/asllvd/demos/verify_start_end_handshape_annotations//test_auto_move//signs_mov/7007.mov","MOV")</f>
        <v>21</v>
      </c>
      <c r="R11270" t="s" s="16">
        <f>HYPERLINK("http://secrets.rutgers.edu:8080/data/asl-ftp/asllvd/demos/verify_start_end_handshape_annotations//test_auto_move//signs_mov_separ_signers/Tyler_7007.mov","MOV")</f>
        <v>21</v>
      </c>
    </row>
    <row r="11271" s="2" customFormat="1" ht="13.5" customHeight="1">
      <c r="B11271" t="s" s="8">
        <v>4206</v>
      </c>
      <c r="C11271" t="s" s="9">
        <v>14</v>
      </c>
      <c r="D11271" t="s" s="8">
        <v>14</v>
      </c>
      <c r="E11271" t="s" s="9">
        <v>14</v>
      </c>
      <c r="F11271" t="s" s="10">
        <v>14</v>
      </c>
      <c r="G11271" t="s" s="11">
        <v>14</v>
      </c>
      <c r="H11271" t="s" s="10">
        <v>14</v>
      </c>
      <c r="I11271" t="s" s="11">
        <v>14</v>
      </c>
      <c r="J11271" t="s" s="11">
        <v>14</v>
      </c>
      <c r="K11271" t="s" s="12">
        <v>14</v>
      </c>
      <c r="L11271" t="s" s="12">
        <v>14</v>
      </c>
      <c r="M11271" t="s" s="10">
        <v>14</v>
      </c>
      <c r="N11271" t="s" s="11">
        <v>14</v>
      </c>
      <c r="O11271" t="s" s="8">
        <v>14</v>
      </c>
      <c r="P11271" t="s" s="8">
        <v>14</v>
      </c>
      <c r="Q11271" t="s" s="12">
        <v>14</v>
      </c>
      <c r="R11271" t="s" s="12">
        <v>14</v>
      </c>
    </row>
    <row r="11272" s="2" customFormat="1" ht="13.5" customHeight="1">
      <c r="B11272" s="13"/>
      <c r="C11272" t="s" s="9">
        <v>16</v>
      </c>
      <c r="D11272" t="s" s="8">
        <v>4206</v>
      </c>
      <c r="E11272" t="s" s="9">
        <v>4207</v>
      </c>
      <c r="F11272" s="19">
        <v>1</v>
      </c>
      <c r="G11272" s="14"/>
      <c r="H11272" s="19">
        <v>1</v>
      </c>
      <c r="I11272" s="14"/>
      <c r="J11272" t="s" s="11">
        <v>20</v>
      </c>
      <c r="K11272" s="15"/>
      <c r="L11272" t="s" s="16">
        <f>HYPERLINK("http://csr.bu.edu/ftp/asl/asllvd/demos/verify_start_end_handshape_annotations//test_auto_move//signs_mov_separ_signers/Liz_7009.mov","MOV")</f>
        <v>21</v>
      </c>
      <c r="M11272" t="s" s="10">
        <v>84</v>
      </c>
      <c r="N11272" s="17">
        <v>8</v>
      </c>
      <c r="O11272" s="18">
        <v>2740</v>
      </c>
      <c r="P11272" s="18">
        <v>2795</v>
      </c>
      <c r="Q11272" s="15"/>
      <c r="R11272" t="s" s="16">
        <f>HYPERLINK("http://secrets.rutgers.edu:8080/data/asl-ftp/asllvd/demos/verify_start_end_handshape_annotations//test_auto_move//signs_mov_separ_signers/Liz_7009.mov","MOV")</f>
        <v>21</v>
      </c>
    </row>
    <row r="11273" s="2" customFormat="1" ht="13.5" customHeight="1">
      <c r="B11273" s="13"/>
      <c r="C11273" t="s" s="9">
        <v>23</v>
      </c>
      <c r="D11273" t="s" s="8">
        <v>4206</v>
      </c>
      <c r="E11273" t="s" s="9">
        <v>4207</v>
      </c>
      <c r="F11273" s="19">
        <v>1</v>
      </c>
      <c r="G11273" s="14"/>
      <c r="H11273" s="19">
        <v>1</v>
      </c>
      <c r="I11273" s="14"/>
      <c r="J11273" t="s" s="11">
        <v>20</v>
      </c>
      <c r="K11273" s="15"/>
      <c r="L11273" t="s" s="16">
        <f>HYPERLINK("http://csr.bu.edu/ftp/asl/asllvd/demos/verify_start_end_handshape_annotations//test_auto_move//signs_mov_separ_signers/Tyler_7009.mov","MOV")</f>
        <v>21</v>
      </c>
      <c r="M11273" t="s" s="10">
        <v>125</v>
      </c>
      <c r="N11273" s="17">
        <v>8</v>
      </c>
      <c r="O11273" s="18">
        <v>1532</v>
      </c>
      <c r="P11273" s="18">
        <v>1576</v>
      </c>
      <c r="Q11273" s="15"/>
      <c r="R11273" t="s" s="16">
        <f>HYPERLINK("http://secrets.rutgers.edu:8080/data/asl-ftp/asllvd/demos/verify_start_end_handshape_annotations//test_auto_move//signs_mov_separ_signers/Tyler_7009.mov","MOV")</f>
        <v>21</v>
      </c>
    </row>
    <row r="11274" s="2" customFormat="1" ht="13.5" customHeight="1">
      <c r="B11274" s="13"/>
      <c r="C11274" t="s" s="9">
        <v>27</v>
      </c>
      <c r="D11274" t="s" s="8">
        <v>4206</v>
      </c>
      <c r="E11274" t="s" s="9">
        <v>4207</v>
      </c>
      <c r="F11274" s="19">
        <v>1</v>
      </c>
      <c r="G11274" s="14"/>
      <c r="H11274" s="19">
        <v>1</v>
      </c>
      <c r="I11274" s="14"/>
      <c r="J11274" t="s" s="11">
        <v>20</v>
      </c>
      <c r="K11274" t="s" s="16">
        <f>HYPERLINK("http://csr.bu.edu/ftp/asl/asllvd/demos/verify_start_end_handshape_annotations//test_auto_move//signs_mov/7009.mov","MOV")</f>
        <v>21</v>
      </c>
      <c r="L11274" t="s" s="16">
        <f>HYPERLINK("http://csr.bu.edu/ftp/asl/asllvd/demos/verify_start_end_handshape_annotations//test_auto_move//signs_mov_separ_signers/Naomi_7009.mov","MOV")</f>
        <v>21</v>
      </c>
      <c r="M11274" t="s" s="10">
        <v>86</v>
      </c>
      <c r="N11274" s="17">
        <v>8</v>
      </c>
      <c r="O11274" s="18">
        <v>3985</v>
      </c>
      <c r="P11274" s="18">
        <v>4022</v>
      </c>
      <c r="Q11274" t="s" s="16">
        <f>HYPERLINK("http://secrets.rutgers.edu:8080/data/asl-ftp/asllvd/demos/verify_start_end_handshape_annotations//test_auto_move//signs_mov/7009.mov","MOV")</f>
        <v>21</v>
      </c>
      <c r="R11274" t="s" s="16">
        <f>HYPERLINK("http://secrets.rutgers.edu:8080/data/asl-ftp/asllvd/demos/verify_start_end_handshape_annotations//test_auto_move//signs_mov_separ_signers/Naomi_7009.mov","MOV")</f>
        <v>21</v>
      </c>
    </row>
    <row r="11275" s="2" customFormat="1" ht="13.5" customHeight="1">
      <c r="B11275" s="13"/>
      <c r="C11275" t="s" s="9">
        <v>30</v>
      </c>
      <c r="D11275" t="s" s="8">
        <v>4206</v>
      </c>
      <c r="E11275" t="s" s="9">
        <v>4207</v>
      </c>
      <c r="F11275" s="19">
        <v>1</v>
      </c>
      <c r="G11275" s="14"/>
      <c r="H11275" s="19">
        <v>1</v>
      </c>
      <c r="I11275" s="14"/>
      <c r="J11275" t="s" s="11">
        <v>20</v>
      </c>
      <c r="K11275" s="15"/>
      <c r="L11275" t="s" s="16">
        <f>HYPERLINK("http://csr.bu.edu/ftp/asl/asllvd/demos/verify_start_end_handshape_annotations//test_auto_move//signs_mov_separ_signers/Brady_7009.mov","MOV")</f>
        <v>21</v>
      </c>
      <c r="M11275" t="s" s="10">
        <v>31</v>
      </c>
      <c r="N11275" s="17">
        <v>31</v>
      </c>
      <c r="O11275" s="18">
        <v>4150</v>
      </c>
      <c r="P11275" s="18">
        <v>4196</v>
      </c>
      <c r="Q11275" s="15"/>
      <c r="R11275" t="s" s="16">
        <f>HYPERLINK("http://secrets.rutgers.edu:8080/data/asl-ftp/asllvd/demos/verify_start_end_handshape_annotations//test_auto_move//signs_mov_separ_signers/Brady_7009.mov","MOV")</f>
        <v>21</v>
      </c>
    </row>
    <row r="11276" s="2" customFormat="1" ht="13.5" customHeight="1">
      <c r="B11276" s="13"/>
      <c r="C11276" t="s" s="9">
        <v>41</v>
      </c>
      <c r="D11276" t="s" s="8">
        <v>4206</v>
      </c>
      <c r="E11276" t="s" s="9">
        <v>4207</v>
      </c>
      <c r="F11276" s="19">
        <v>1</v>
      </c>
      <c r="G11276" s="14"/>
      <c r="H11276" s="19">
        <v>1</v>
      </c>
      <c r="I11276" s="14"/>
      <c r="J11276" t="s" s="11">
        <v>20</v>
      </c>
      <c r="K11276" s="15"/>
      <c r="L11276" t="s" s="16">
        <f>HYPERLINK("http://csr.bu.edu/ftp/asl/asllvd/demos/verify_start_end_handshape_annotations//test_auto_move//signs_mov_separ_signers/Lana_7009.mov","MOV")</f>
        <v>21</v>
      </c>
      <c r="M11276" t="s" s="10">
        <v>42</v>
      </c>
      <c r="N11276" s="17">
        <v>6</v>
      </c>
      <c r="O11276" s="18">
        <v>1295</v>
      </c>
      <c r="P11276" s="18">
        <v>1333</v>
      </c>
      <c r="Q11276" s="15"/>
      <c r="R11276" t="s" s="16">
        <f>HYPERLINK("http://secrets.rutgers.edu:8080/data/asl-ftp/asllvd/demos/verify_start_end_handshape_annotations//test_auto_move//signs_mov_separ_signers/Lana_7009.mov","MOV")</f>
        <v>21</v>
      </c>
    </row>
    <row r="11277" s="2" customFormat="1" ht="13.5" customHeight="1">
      <c r="B11277" t="s" s="8">
        <v>52</v>
      </c>
      <c r="C11277" t="s" s="9">
        <v>53</v>
      </c>
      <c r="D11277" t="s" s="8">
        <v>53</v>
      </c>
      <c r="E11277" t="s" s="9">
        <v>53</v>
      </c>
      <c r="F11277" t="s" s="10">
        <v>53</v>
      </c>
      <c r="G11277" t="s" s="11">
        <v>53</v>
      </c>
      <c r="H11277" t="s" s="10">
        <v>53</v>
      </c>
      <c r="I11277" t="s" s="11">
        <v>53</v>
      </c>
      <c r="J11277" t="s" s="11">
        <v>53</v>
      </c>
      <c r="K11277" t="s" s="12">
        <v>53</v>
      </c>
      <c r="L11277" t="s" s="12">
        <v>53</v>
      </c>
      <c r="M11277" t="s" s="10">
        <v>53</v>
      </c>
      <c r="N11277" t="s" s="11">
        <v>53</v>
      </c>
      <c r="O11277" t="s" s="8">
        <v>53</v>
      </c>
      <c r="P11277" t="s" s="8">
        <v>53</v>
      </c>
      <c r="Q11277" t="s" s="12">
        <v>53</v>
      </c>
      <c r="R11277" t="s" s="12">
        <v>53</v>
      </c>
    </row>
    <row r="11278" s="2" customFormat="1" ht="13.5" customHeight="1">
      <c r="B11278" s="13"/>
      <c r="C11278" t="s" s="9">
        <v>43</v>
      </c>
      <c r="D11278" t="s" s="8">
        <v>4206</v>
      </c>
      <c r="E11278" t="s" s="9">
        <v>4208</v>
      </c>
      <c r="F11278" s="19">
        <v>5</v>
      </c>
      <c r="G11278" s="14"/>
      <c r="H11278" s="19">
        <v>5</v>
      </c>
      <c r="I11278" s="14"/>
      <c r="J11278" t="s" s="11">
        <v>20</v>
      </c>
      <c r="K11278" t="s" s="16">
        <f>HYPERLINK("http://csr.bu.edu/ftp/asl/asllvd/demos/verify_start_end_handshape_annotations//test_auto_move//signs_mov/15073.mov","MOV")</f>
        <v>21</v>
      </c>
      <c r="L11278" t="s" s="16">
        <f>HYPERLINK("http://csr.bu.edu/ftp/asl/asllvd/demos/verify_start_end_handshape_annotations//test_auto_move//signs_mov_separ_signers/Dana_15073.mov","MOV")</f>
        <v>21</v>
      </c>
      <c r="M11278" t="s" s="10">
        <v>44</v>
      </c>
      <c r="N11278" s="17">
        <v>10</v>
      </c>
      <c r="O11278" s="18">
        <v>1493</v>
      </c>
      <c r="P11278" s="18">
        <v>1564</v>
      </c>
      <c r="Q11278" t="s" s="16">
        <f>HYPERLINK("http://secrets.rutgers.edu:8080/data/asl-ftp/asllvd/demos/verify_start_end_handshape_annotations//test_auto_move//signs_mov/15073.mov","MOV")</f>
        <v>21</v>
      </c>
      <c r="R11278" t="s" s="16">
        <f>HYPERLINK("http://secrets.rutgers.edu:8080/data/asl-ftp/asllvd/demos/verify_start_end_handshape_annotations//test_auto_move//signs_mov_separ_signers/Dana_15073.mov","MOV")</f>
        <v>21</v>
      </c>
    </row>
    <row r="11279" s="2" customFormat="1" ht="13.5" customHeight="1">
      <c r="B11279" t="s" s="8">
        <v>4209</v>
      </c>
      <c r="C11279" t="s" s="9">
        <v>14</v>
      </c>
      <c r="D11279" t="s" s="8">
        <v>14</v>
      </c>
      <c r="E11279" t="s" s="9">
        <v>14</v>
      </c>
      <c r="F11279" t="s" s="10">
        <v>14</v>
      </c>
      <c r="G11279" t="s" s="11">
        <v>14</v>
      </c>
      <c r="H11279" t="s" s="10">
        <v>14</v>
      </c>
      <c r="I11279" t="s" s="11">
        <v>14</v>
      </c>
      <c r="J11279" t="s" s="11">
        <v>14</v>
      </c>
      <c r="K11279" t="s" s="12">
        <v>14</v>
      </c>
      <c r="L11279" t="s" s="12">
        <v>14</v>
      </c>
      <c r="M11279" t="s" s="10">
        <v>14</v>
      </c>
      <c r="N11279" t="s" s="11">
        <v>14</v>
      </c>
      <c r="O11279" t="s" s="8">
        <v>14</v>
      </c>
      <c r="P11279" t="s" s="8">
        <v>14</v>
      </c>
      <c r="Q11279" t="s" s="12">
        <v>14</v>
      </c>
      <c r="R11279" t="s" s="12">
        <v>14</v>
      </c>
    </row>
    <row r="11280" s="2" customFormat="1" ht="13.5" customHeight="1">
      <c r="B11280" s="13"/>
      <c r="C11280" t="s" s="9">
        <v>16</v>
      </c>
      <c r="D11280" t="s" s="8">
        <v>4209</v>
      </c>
      <c r="E11280" t="s" s="9">
        <v>4209</v>
      </c>
      <c r="F11280" t="s" s="10">
        <v>72</v>
      </c>
      <c r="G11280" s="14"/>
      <c r="H11280" t="s" s="10">
        <v>72</v>
      </c>
      <c r="I11280" s="14"/>
      <c r="J11280" t="s" s="11">
        <v>20</v>
      </c>
      <c r="K11280" s="15"/>
      <c r="L11280" t="s" s="16">
        <f>HYPERLINK("http://csr.bu.edu/ftp/asl/asllvd/demos/verify_start_end_handshape_annotations//test_auto_move//signs_mov_separ_signers/Liz_16179.mov","MOV")</f>
        <v>21</v>
      </c>
      <c r="M11280" t="s" s="10">
        <v>84</v>
      </c>
      <c r="N11280" s="17">
        <v>8</v>
      </c>
      <c r="O11280" s="18">
        <v>2296</v>
      </c>
      <c r="P11280" s="18">
        <v>2340</v>
      </c>
      <c r="Q11280" s="15"/>
      <c r="R11280" t="s" s="16">
        <f>HYPERLINK("http://secrets.rutgers.edu:8080/data/asl-ftp/asllvd/demos/verify_start_end_handshape_annotations//test_auto_move//signs_mov_separ_signers/Liz_16179.mov","MOV")</f>
        <v>21</v>
      </c>
    </row>
    <row r="11281" s="2" customFormat="1" ht="13.5" customHeight="1">
      <c r="B11281" s="13"/>
      <c r="C11281" t="s" s="9">
        <v>16</v>
      </c>
      <c r="D11281" t="s" s="8">
        <v>4209</v>
      </c>
      <c r="E11281" t="s" s="9">
        <v>4209</v>
      </c>
      <c r="F11281" t="s" s="10">
        <v>72</v>
      </c>
      <c r="G11281" s="14"/>
      <c r="H11281" t="s" s="10">
        <v>72</v>
      </c>
      <c r="I11281" s="14"/>
      <c r="J11281" t="s" s="11">
        <v>20</v>
      </c>
      <c r="K11281" t="s" s="16">
        <f>HYPERLINK("http://csr.bu.edu/ftp/asl/asllvd/demos/verify_start_end_handshape_annotations//test_auto_move//signs_mov/16179_16185_merged.mov","MOV")</f>
        <v>21</v>
      </c>
      <c r="L11281" t="s" s="16">
        <f>HYPERLINK("http://csr.bu.edu/ftp/asl/asllvd/demos/verify_start_end_handshape_annotations//test_auto_move//signs_mov_separ_signers/Liz_16185.mov","MOV")</f>
        <v>21</v>
      </c>
      <c r="M11281" t="s" s="10">
        <v>36</v>
      </c>
      <c r="N11281" s="17">
        <v>5</v>
      </c>
      <c r="O11281" s="18">
        <v>1655</v>
      </c>
      <c r="P11281" s="18">
        <v>1700</v>
      </c>
      <c r="Q11281" t="s" s="16">
        <f>HYPERLINK("http://secrets.rutgers.edu:8080/data/asl-ftp/asllvd/demos/verify_start_end_handshape_annotations//test_auto_move//signs_mov/16179_16185_merged.mov","MOV")</f>
        <v>21</v>
      </c>
      <c r="R11281" t="s" s="16">
        <f>HYPERLINK("http://secrets.rutgers.edu:8080/data/asl-ftp/asllvd/demos/verify_start_end_handshape_annotations//test_auto_move//signs_mov_separ_signers/Liz_16185.mov","MOV")</f>
        <v>21</v>
      </c>
    </row>
    <row r="11282" s="2" customFormat="1" ht="13.5" customHeight="1">
      <c r="B11282" s="13"/>
      <c r="C11282" t="s" s="9">
        <v>27</v>
      </c>
      <c r="D11282" t="s" s="8">
        <v>4209</v>
      </c>
      <c r="E11282" t="s" s="9">
        <v>4209</v>
      </c>
      <c r="F11282" t="s" s="10">
        <v>72</v>
      </c>
      <c r="G11282" s="14"/>
      <c r="H11282" t="s" s="10">
        <v>72</v>
      </c>
      <c r="I11282" s="14"/>
      <c r="J11282" t="s" s="11">
        <v>20</v>
      </c>
      <c r="K11282" s="15"/>
      <c r="L11282" t="s" s="16">
        <f>HYPERLINK("http://csr.bu.edu/ftp/asl/asllvd/demos/verify_start_end_handshape_annotations//test_auto_move//signs_mov_separ_signers/Naomi_16179.mov","MOV")</f>
        <v>21</v>
      </c>
      <c r="M11282" t="s" s="10">
        <v>86</v>
      </c>
      <c r="N11282" s="17">
        <v>8</v>
      </c>
      <c r="O11282" s="18">
        <v>3705</v>
      </c>
      <c r="P11282" s="18">
        <v>3721</v>
      </c>
      <c r="Q11282" s="15"/>
      <c r="R11282" t="s" s="16">
        <f>HYPERLINK("http://secrets.rutgers.edu:8080/data/asl-ftp/asllvd/demos/verify_start_end_handshape_annotations//test_auto_move//signs_mov_separ_signers/Naomi_16179.mov","MOV")</f>
        <v>21</v>
      </c>
    </row>
    <row r="11283" s="2" customFormat="1" ht="13.5" customHeight="1">
      <c r="B11283" s="13"/>
      <c r="C11283" t="s" s="9">
        <v>30</v>
      </c>
      <c r="D11283" t="s" s="8">
        <v>4209</v>
      </c>
      <c r="E11283" t="s" s="9">
        <v>4209</v>
      </c>
      <c r="F11283" t="s" s="10">
        <v>72</v>
      </c>
      <c r="G11283" s="14"/>
      <c r="H11283" t="s" s="10">
        <v>72</v>
      </c>
      <c r="I11283" s="14"/>
      <c r="J11283" t="s" s="11">
        <v>20</v>
      </c>
      <c r="K11283" s="15"/>
      <c r="L11283" t="s" s="16">
        <f>HYPERLINK("http://csr.bu.edu/ftp/asl/asllvd/demos/verify_start_end_handshape_annotations//test_auto_move//signs_mov_separ_signers/Brady_16179.mov","MOV")</f>
        <v>21</v>
      </c>
      <c r="M11283" t="s" s="10">
        <v>40</v>
      </c>
      <c r="N11283" s="17">
        <v>50</v>
      </c>
      <c r="O11283" s="18">
        <v>742</v>
      </c>
      <c r="P11283" s="18">
        <v>785</v>
      </c>
      <c r="Q11283" s="15"/>
      <c r="R11283" t="s" s="16">
        <f>HYPERLINK("http://secrets.rutgers.edu:8080/data/asl-ftp/asllvd/demos/verify_start_end_handshape_annotations//test_auto_move//signs_mov_separ_signers/Brady_16179.mov","MOV")</f>
        <v>21</v>
      </c>
    </row>
    <row r="11284" s="2" customFormat="1" ht="13.5" customHeight="1">
      <c r="B11284" t="s" s="8">
        <v>4210</v>
      </c>
      <c r="C11284" t="s" s="9">
        <v>14</v>
      </c>
      <c r="D11284" t="s" s="8">
        <v>14</v>
      </c>
      <c r="E11284" t="s" s="9">
        <v>14</v>
      </c>
      <c r="F11284" t="s" s="10">
        <v>14</v>
      </c>
      <c r="G11284" t="s" s="11">
        <v>14</v>
      </c>
      <c r="H11284" t="s" s="10">
        <v>14</v>
      </c>
      <c r="I11284" t="s" s="11">
        <v>14</v>
      </c>
      <c r="J11284" t="s" s="11">
        <v>14</v>
      </c>
      <c r="K11284" t="s" s="12">
        <v>14</v>
      </c>
      <c r="L11284" t="s" s="12">
        <v>14</v>
      </c>
      <c r="M11284" t="s" s="10">
        <v>14</v>
      </c>
      <c r="N11284" t="s" s="11">
        <v>14</v>
      </c>
      <c r="O11284" t="s" s="8">
        <v>14</v>
      </c>
      <c r="P11284" t="s" s="8">
        <v>14</v>
      </c>
      <c r="Q11284" t="s" s="12">
        <v>14</v>
      </c>
      <c r="R11284" t="s" s="12">
        <v>14</v>
      </c>
    </row>
    <row r="11285" s="2" customFormat="1" ht="13.5" customHeight="1">
      <c r="B11285" s="13"/>
      <c r="C11285" t="s" s="9">
        <v>23</v>
      </c>
      <c r="D11285" t="s" s="8">
        <v>4210</v>
      </c>
      <c r="E11285" t="s" s="9">
        <v>4211</v>
      </c>
      <c r="F11285" t="s" s="10">
        <v>68</v>
      </c>
      <c r="G11285" s="14"/>
      <c r="H11285" t="s" s="10">
        <v>68</v>
      </c>
      <c r="I11285" s="14"/>
      <c r="J11285" t="s" s="11">
        <v>20</v>
      </c>
      <c r="K11285" t="s" s="16">
        <f>HYPERLINK("http://csr.bu.edu/ftp/asl/asllvd/demos/verify_start_end_handshape_annotations//test_auto_move//signs_mov/7113.mov","MOV")</f>
        <v>21</v>
      </c>
      <c r="L11285" t="s" s="16">
        <f>HYPERLINK("http://csr.bu.edu/ftp/asl/asllvd/demos/verify_start_end_handshape_annotations//test_auto_move//signs_mov_separ_signers/Tyler_7113.mov","MOV")</f>
        <v>21</v>
      </c>
      <c r="M11285" t="s" s="10">
        <v>125</v>
      </c>
      <c r="N11285" s="17">
        <v>14</v>
      </c>
      <c r="O11285" s="18">
        <v>1660</v>
      </c>
      <c r="P11285" s="18">
        <v>1705</v>
      </c>
      <c r="Q11285" t="s" s="16">
        <f>HYPERLINK("http://secrets.rutgers.edu:8080/data/asl-ftp/asllvd/demos/verify_start_end_handshape_annotations//test_auto_move//signs_mov/7113.mov","MOV")</f>
        <v>21</v>
      </c>
      <c r="R11285" t="s" s="16">
        <f>HYPERLINK("http://secrets.rutgers.edu:8080/data/asl-ftp/asllvd/demos/verify_start_end_handshape_annotations//test_auto_move//signs_mov_separ_signers/Tyler_7113.mov","MOV")</f>
        <v>21</v>
      </c>
    </row>
    <row r="11286" s="2" customFormat="1" ht="13.5" customHeight="1">
      <c r="B11286" s="13"/>
      <c r="C11286" t="s" s="9">
        <v>30</v>
      </c>
      <c r="D11286" t="s" s="8">
        <v>4210</v>
      </c>
      <c r="E11286" t="s" s="9">
        <v>4211</v>
      </c>
      <c r="F11286" t="s" s="10">
        <v>68</v>
      </c>
      <c r="G11286" s="14"/>
      <c r="H11286" t="s" s="10">
        <v>68</v>
      </c>
      <c r="I11286" s="14"/>
      <c r="J11286" t="s" s="11">
        <v>20</v>
      </c>
      <c r="K11286" s="15"/>
      <c r="L11286" t="s" s="16">
        <f>HYPERLINK("http://csr.bu.edu/ftp/asl/asllvd/demos/verify_start_end_handshape_annotations//test_auto_move//signs_mov_separ_signers/Brady_7113.mov","MOV")</f>
        <v>21</v>
      </c>
      <c r="M11286" t="s" s="10">
        <v>31</v>
      </c>
      <c r="N11286" s="17">
        <v>33</v>
      </c>
      <c r="O11286" s="18">
        <v>532</v>
      </c>
      <c r="P11286" s="18">
        <v>562</v>
      </c>
      <c r="Q11286" s="15"/>
      <c r="R11286" t="s" s="16">
        <f>HYPERLINK("http://secrets.rutgers.edu:8080/data/asl-ftp/asllvd/demos/verify_start_end_handshape_annotations//test_auto_move//signs_mov_separ_signers/Brady_7113.mov","MOV")</f>
        <v>21</v>
      </c>
    </row>
    <row r="11287" s="2" customFormat="1" ht="13.5" customHeight="1">
      <c r="B11287" t="s" s="8">
        <v>4212</v>
      </c>
      <c r="C11287" t="s" s="9">
        <v>14</v>
      </c>
      <c r="D11287" t="s" s="8">
        <v>14</v>
      </c>
      <c r="E11287" t="s" s="9">
        <v>14</v>
      </c>
      <c r="F11287" t="s" s="10">
        <v>14</v>
      </c>
      <c r="G11287" t="s" s="11">
        <v>14</v>
      </c>
      <c r="H11287" t="s" s="10">
        <v>14</v>
      </c>
      <c r="I11287" t="s" s="11">
        <v>14</v>
      </c>
      <c r="J11287" t="s" s="11">
        <v>14</v>
      </c>
      <c r="K11287" t="s" s="12">
        <v>14</v>
      </c>
      <c r="L11287" t="s" s="12">
        <v>14</v>
      </c>
      <c r="M11287" t="s" s="10">
        <v>14</v>
      </c>
      <c r="N11287" t="s" s="11">
        <v>14</v>
      </c>
      <c r="O11287" t="s" s="8">
        <v>14</v>
      </c>
      <c r="P11287" t="s" s="8">
        <v>14</v>
      </c>
      <c r="Q11287" t="s" s="12">
        <v>14</v>
      </c>
      <c r="R11287" t="s" s="12">
        <v>14</v>
      </c>
    </row>
    <row r="11288" s="2" customFormat="1" ht="13.5" customHeight="1">
      <c r="B11288" s="13"/>
      <c r="C11288" t="s" s="9">
        <v>41</v>
      </c>
      <c r="D11288" t="s" s="8">
        <v>4213</v>
      </c>
      <c r="E11288" t="s" s="9">
        <v>4214</v>
      </c>
      <c r="F11288" t="s" s="10">
        <v>75</v>
      </c>
      <c r="G11288" s="14"/>
      <c r="H11288" t="s" s="10">
        <v>75</v>
      </c>
      <c r="I11288" s="14"/>
      <c r="J11288" t="s" s="11">
        <v>20</v>
      </c>
      <c r="K11288" t="s" s="16">
        <f>HYPERLINK("http://csr.bu.edu/ftp/asl/asllvd/demos/verify_start_end_handshape_annotations//test_auto_move//signs_mov/7139.mov","MOV")</f>
        <v>21</v>
      </c>
      <c r="L11288" t="s" s="16">
        <f>HYPERLINK("http://csr.bu.edu/ftp/asl/asllvd/demos/verify_start_end_handshape_annotations//test_auto_move//signs_mov_separ_signers/Lana_7139.mov","MOV")</f>
        <v>21</v>
      </c>
      <c r="M11288" t="s" s="10">
        <v>42</v>
      </c>
      <c r="N11288" s="17">
        <v>18</v>
      </c>
      <c r="O11288" s="18">
        <v>1089</v>
      </c>
      <c r="P11288" s="18">
        <v>1103</v>
      </c>
      <c r="Q11288" t="s" s="16">
        <f>HYPERLINK("http://secrets.rutgers.edu:8080/data/asl-ftp/asllvd/demos/verify_start_end_handshape_annotations//test_auto_move//signs_mov/7139.mov","MOV")</f>
        <v>21</v>
      </c>
      <c r="R11288" t="s" s="16">
        <f>HYPERLINK("http://secrets.rutgers.edu:8080/data/asl-ftp/asllvd/demos/verify_start_end_handshape_annotations//test_auto_move//signs_mov_separ_signers/Lana_7139.mov","MOV")</f>
        <v>21</v>
      </c>
    </row>
    <row r="11289" s="2" customFormat="1" ht="13.5" customHeight="1">
      <c r="B11289" t="s" s="8">
        <v>52</v>
      </c>
      <c r="C11289" t="s" s="9">
        <v>53</v>
      </c>
      <c r="D11289" t="s" s="8">
        <v>53</v>
      </c>
      <c r="E11289" t="s" s="9">
        <v>53</v>
      </c>
      <c r="F11289" t="s" s="10">
        <v>53</v>
      </c>
      <c r="G11289" t="s" s="11">
        <v>53</v>
      </c>
      <c r="H11289" t="s" s="10">
        <v>53</v>
      </c>
      <c r="I11289" t="s" s="11">
        <v>53</v>
      </c>
      <c r="J11289" t="s" s="11">
        <v>53</v>
      </c>
      <c r="K11289" t="s" s="12">
        <v>53</v>
      </c>
      <c r="L11289" t="s" s="12">
        <v>53</v>
      </c>
      <c r="M11289" t="s" s="10">
        <v>53</v>
      </c>
      <c r="N11289" t="s" s="11">
        <v>53</v>
      </c>
      <c r="O11289" t="s" s="8">
        <v>53</v>
      </c>
      <c r="P11289" t="s" s="8">
        <v>53</v>
      </c>
      <c r="Q11289" t="s" s="12">
        <v>53</v>
      </c>
      <c r="R11289" t="s" s="12">
        <v>53</v>
      </c>
    </row>
    <row r="11290" s="2" customFormat="1" ht="13.5" customHeight="1">
      <c r="B11290" s="13"/>
      <c r="C11290" t="s" s="9">
        <v>16</v>
      </c>
      <c r="D11290" t="s" s="8">
        <v>4213</v>
      </c>
      <c r="E11290" t="s" s="9">
        <v>4215</v>
      </c>
      <c r="F11290" t="s" s="10">
        <v>75</v>
      </c>
      <c r="G11290" t="s" s="11">
        <v>75</v>
      </c>
      <c r="H11290" t="s" s="10">
        <v>75</v>
      </c>
      <c r="I11290" t="s" s="11">
        <v>75</v>
      </c>
      <c r="J11290" t="s" s="11">
        <v>20</v>
      </c>
      <c r="K11290" s="15"/>
      <c r="L11290" t="s" s="16">
        <f>HYPERLINK("http://csr.bu.edu/ftp/asl/asllvd/demos/verify_start_end_handshape_annotations//test_auto_move//signs_mov_separ_signers/Liz_5470.mov","MOV")</f>
        <v>21</v>
      </c>
      <c r="M11290" t="s" s="10">
        <v>22</v>
      </c>
      <c r="N11290" s="17">
        <v>10</v>
      </c>
      <c r="O11290" s="18">
        <v>380</v>
      </c>
      <c r="P11290" s="18">
        <v>425</v>
      </c>
      <c r="Q11290" s="15"/>
      <c r="R11290" t="s" s="16">
        <f>HYPERLINK("http://secrets.rutgers.edu:8080/data/asl-ftp/asllvd/demos/verify_start_end_handshape_annotations//test_auto_move//signs_mov_separ_signers/Liz_5470.mov","MOV")</f>
        <v>21</v>
      </c>
    </row>
    <row r="11291" s="2" customFormat="1" ht="13.5" customHeight="1">
      <c r="B11291" s="13"/>
      <c r="C11291" t="s" s="9">
        <v>16</v>
      </c>
      <c r="D11291" t="s" s="8">
        <v>4213</v>
      </c>
      <c r="E11291" t="s" s="9">
        <v>4215</v>
      </c>
      <c r="F11291" t="s" s="10">
        <v>75</v>
      </c>
      <c r="G11291" t="s" s="11">
        <v>75</v>
      </c>
      <c r="H11291" t="s" s="10">
        <v>75</v>
      </c>
      <c r="I11291" t="s" s="11">
        <v>75</v>
      </c>
      <c r="J11291" t="s" s="11">
        <v>20</v>
      </c>
      <c r="K11291" t="s" s="16">
        <f>HYPERLINK("http://csr.bu.edu/ftp/asl/asllvd/demos/verify_start_end_handshape_annotations//test_auto_move//signs_mov/5470_5895_merged.mov","MOV")</f>
        <v>21</v>
      </c>
      <c r="L11291" t="s" s="16">
        <f>HYPERLINK("http://csr.bu.edu/ftp/asl/asllvd/demos/verify_start_end_handshape_annotations//test_auto_move//signs_mov_separ_signers/Liz_5895.mov","MOV")</f>
        <v>21</v>
      </c>
      <c r="M11291" t="s" s="10">
        <v>77</v>
      </c>
      <c r="N11291" s="17">
        <v>8</v>
      </c>
      <c r="O11291" s="18">
        <v>2326</v>
      </c>
      <c r="P11291" s="18">
        <v>2380</v>
      </c>
      <c r="Q11291" t="s" s="16">
        <f>HYPERLINK("http://secrets.rutgers.edu:8080/data/asl-ftp/asllvd/demos/verify_start_end_handshape_annotations//test_auto_move//signs_mov/5470_5895_merged.mov","MOV")</f>
        <v>21</v>
      </c>
      <c r="R11291" t="s" s="16">
        <f>HYPERLINK("http://secrets.rutgers.edu:8080/data/asl-ftp/asllvd/demos/verify_start_end_handshape_annotations//test_auto_move//signs_mov_separ_signers/Liz_5895.mov","MOV")</f>
        <v>21</v>
      </c>
    </row>
    <row r="11292" s="2" customFormat="1" ht="13.5" customHeight="1">
      <c r="B11292" s="13"/>
      <c r="C11292" t="s" s="9">
        <v>30</v>
      </c>
      <c r="D11292" t="s" s="8">
        <v>4213</v>
      </c>
      <c r="E11292" t="s" s="9">
        <v>4215</v>
      </c>
      <c r="F11292" t="s" s="10">
        <v>75</v>
      </c>
      <c r="G11292" t="s" s="11">
        <v>75</v>
      </c>
      <c r="H11292" t="s" s="10">
        <v>75</v>
      </c>
      <c r="I11292" t="s" s="11">
        <v>75</v>
      </c>
      <c r="J11292" t="s" s="11">
        <v>20</v>
      </c>
      <c r="K11292" s="15"/>
      <c r="L11292" t="s" s="16">
        <f>HYPERLINK("http://csr.bu.edu/ftp/asl/asllvd/demos/verify_start_end_handshape_annotations//test_auto_move//signs_mov_separ_signers/Brady_5470.mov","MOV")</f>
        <v>21</v>
      </c>
      <c r="M11292" t="s" s="10">
        <v>31</v>
      </c>
      <c r="N11292" s="17">
        <v>9</v>
      </c>
      <c r="O11292" s="18">
        <v>12376</v>
      </c>
      <c r="P11292" s="18">
        <v>12410</v>
      </c>
      <c r="Q11292" s="15"/>
      <c r="R11292" t="s" s="16">
        <f>HYPERLINK("http://secrets.rutgers.edu:8080/data/asl-ftp/asllvd/demos/verify_start_end_handshape_annotations//test_auto_move//signs_mov_separ_signers/Brady_5470.mov","MOV")</f>
        <v>21</v>
      </c>
    </row>
    <row r="11293" s="2" customFormat="1" ht="13.5" customHeight="1">
      <c r="B11293" s="13"/>
      <c r="C11293" t="s" s="9">
        <v>30</v>
      </c>
      <c r="D11293" t="s" s="8">
        <v>4213</v>
      </c>
      <c r="E11293" t="s" s="9">
        <v>4215</v>
      </c>
      <c r="F11293" t="s" s="10">
        <v>187</v>
      </c>
      <c r="G11293" t="s" s="11">
        <v>187</v>
      </c>
      <c r="H11293" t="s" s="10">
        <v>187</v>
      </c>
      <c r="I11293" t="s" s="11">
        <v>187</v>
      </c>
      <c r="J11293" t="s" s="11">
        <v>20</v>
      </c>
      <c r="K11293" s="15"/>
      <c r="L11293" t="s" s="16">
        <f>HYPERLINK("http://csr.bu.edu/ftp/asl/asllvd/demos/verify_start_end_handshape_annotations//test_auto_move//signs_mov_separ_signers/Brady_5895.mov","MOV")</f>
        <v>21</v>
      </c>
      <c r="M11293" t="s" s="10">
        <v>40</v>
      </c>
      <c r="N11293" s="17">
        <v>50</v>
      </c>
      <c r="O11293" s="18">
        <v>952</v>
      </c>
      <c r="P11293" s="18">
        <v>994</v>
      </c>
      <c r="Q11293" s="15"/>
      <c r="R11293" t="s" s="16">
        <f>HYPERLINK("http://secrets.rutgers.edu:8080/data/asl-ftp/asllvd/demos/verify_start_end_handshape_annotations//test_auto_move//signs_mov_separ_signers/Brady_5895.mov","MOV")</f>
        <v>21</v>
      </c>
    </row>
    <row r="11294" s="2" customFormat="1" ht="13.5" customHeight="1">
      <c r="B11294" t="s" s="8">
        <v>4216</v>
      </c>
      <c r="C11294" t="s" s="9">
        <v>14</v>
      </c>
      <c r="D11294" t="s" s="8">
        <v>14</v>
      </c>
      <c r="E11294" t="s" s="9">
        <v>14</v>
      </c>
      <c r="F11294" t="s" s="10">
        <v>14</v>
      </c>
      <c r="G11294" t="s" s="11">
        <v>14</v>
      </c>
      <c r="H11294" t="s" s="10">
        <v>14</v>
      </c>
      <c r="I11294" t="s" s="11">
        <v>14</v>
      </c>
      <c r="J11294" t="s" s="11">
        <v>14</v>
      </c>
      <c r="K11294" t="s" s="12">
        <v>14</v>
      </c>
      <c r="L11294" t="s" s="12">
        <v>14</v>
      </c>
      <c r="M11294" t="s" s="10">
        <v>14</v>
      </c>
      <c r="N11294" t="s" s="11">
        <v>14</v>
      </c>
      <c r="O11294" t="s" s="8">
        <v>14</v>
      </c>
      <c r="P11294" t="s" s="8">
        <v>14</v>
      </c>
      <c r="Q11294" t="s" s="12">
        <v>14</v>
      </c>
      <c r="R11294" t="s" s="12">
        <v>14</v>
      </c>
    </row>
    <row r="11295" s="2" customFormat="1" ht="13.5" customHeight="1">
      <c r="B11295" s="13"/>
      <c r="C11295" t="s" s="9">
        <v>30</v>
      </c>
      <c r="D11295" t="s" s="8">
        <v>4216</v>
      </c>
      <c r="E11295" t="s" s="9">
        <v>4216</v>
      </c>
      <c r="F11295" s="19">
        <v>4</v>
      </c>
      <c r="G11295" t="s" s="11">
        <v>73</v>
      </c>
      <c r="H11295" s="19">
        <v>4</v>
      </c>
      <c r="I11295" t="s" s="11">
        <v>73</v>
      </c>
      <c r="J11295" t="s" s="11">
        <v>20</v>
      </c>
      <c r="K11295" t="s" s="16">
        <f>HYPERLINK("http://csr.bu.edu/ftp/asl/asllvd/demos/verify_start_end_handshape_annotations//test_auto_move//signs_mov/7152.mov","MOV")</f>
        <v>21</v>
      </c>
      <c r="L11295" t="s" s="16">
        <f>HYPERLINK("http://csr.bu.edu/ftp/asl/asllvd/demos/verify_start_end_handshape_annotations//test_auto_move//signs_mov_separ_signers/Brady_7152.mov","MOV")</f>
        <v>21</v>
      </c>
      <c r="M11295" t="s" s="10">
        <v>39</v>
      </c>
      <c r="N11295" s="17">
        <v>22</v>
      </c>
      <c r="O11295" s="18">
        <v>4785</v>
      </c>
      <c r="P11295" s="18">
        <v>4814</v>
      </c>
      <c r="Q11295" t="s" s="16">
        <f>HYPERLINK("http://secrets.rutgers.edu:8080/data/asl-ftp/asllvd/demos/verify_start_end_handshape_annotations//test_auto_move//signs_mov/7152.mov","MOV")</f>
        <v>21</v>
      </c>
      <c r="R11295" t="s" s="16">
        <f>HYPERLINK("http://secrets.rutgers.edu:8080/data/asl-ftp/asllvd/demos/verify_start_end_handshape_annotations//test_auto_move//signs_mov_separ_signers/Brady_7152.mov","MOV")</f>
        <v>21</v>
      </c>
    </row>
    <row r="11296" s="2" customFormat="1" ht="13.5" customHeight="1">
      <c r="B11296" t="s" s="8">
        <v>4217</v>
      </c>
      <c r="C11296" t="s" s="9">
        <v>14</v>
      </c>
      <c r="D11296" t="s" s="8">
        <v>14</v>
      </c>
      <c r="E11296" t="s" s="9">
        <v>14</v>
      </c>
      <c r="F11296" t="s" s="10">
        <v>14</v>
      </c>
      <c r="G11296" t="s" s="11">
        <v>14</v>
      </c>
      <c r="H11296" t="s" s="10">
        <v>14</v>
      </c>
      <c r="I11296" t="s" s="11">
        <v>14</v>
      </c>
      <c r="J11296" t="s" s="11">
        <v>14</v>
      </c>
      <c r="K11296" t="s" s="12">
        <v>14</v>
      </c>
      <c r="L11296" t="s" s="12">
        <v>14</v>
      </c>
      <c r="M11296" t="s" s="10">
        <v>14</v>
      </c>
      <c r="N11296" t="s" s="11">
        <v>14</v>
      </c>
      <c r="O11296" t="s" s="8">
        <v>14</v>
      </c>
      <c r="P11296" t="s" s="8">
        <v>14</v>
      </c>
      <c r="Q11296" t="s" s="12">
        <v>14</v>
      </c>
      <c r="R11296" t="s" s="12">
        <v>14</v>
      </c>
    </row>
    <row r="11297" s="2" customFormat="1" ht="13.5" customHeight="1">
      <c r="B11297" s="13"/>
      <c r="C11297" t="s" s="9">
        <v>16</v>
      </c>
      <c r="D11297" t="s" s="8">
        <v>4217</v>
      </c>
      <c r="E11297" t="s" s="9">
        <v>4217</v>
      </c>
      <c r="F11297" s="19">
        <v>4</v>
      </c>
      <c r="G11297" t="s" s="11">
        <v>73</v>
      </c>
      <c r="H11297" s="19">
        <v>1</v>
      </c>
      <c r="I11297" t="s" s="11">
        <v>73</v>
      </c>
      <c r="J11297" t="s" s="11">
        <v>20</v>
      </c>
      <c r="K11297" t="s" s="16">
        <f>HYPERLINK("http://csr.bu.edu/ftp/asl/asllvd/demos/verify_start_end_handshape_annotations//test_auto_move//signs_mov/5886.mov","MOV")</f>
        <v>21</v>
      </c>
      <c r="L11297" t="s" s="16">
        <f>HYPERLINK("http://csr.bu.edu/ftp/asl/asllvd/demos/verify_start_end_handshape_annotations//test_auto_move//signs_mov_separ_signers/Liz_5886.mov","MOV")</f>
        <v>21</v>
      </c>
      <c r="M11297" t="s" s="10">
        <v>77</v>
      </c>
      <c r="N11297" s="17">
        <v>16</v>
      </c>
      <c r="O11297" s="18">
        <v>4441</v>
      </c>
      <c r="P11297" s="18">
        <v>4514</v>
      </c>
      <c r="Q11297" t="s" s="16">
        <f>HYPERLINK("http://secrets.rutgers.edu:8080/data/asl-ftp/asllvd/demos/verify_start_end_handshape_annotations//test_auto_move//signs_mov/5886.mov","MOV")</f>
        <v>21</v>
      </c>
      <c r="R11297" t="s" s="16">
        <f>HYPERLINK("http://secrets.rutgers.edu:8080/data/asl-ftp/asllvd/demos/verify_start_end_handshape_annotations//test_auto_move//signs_mov_separ_signers/Liz_5886.mov","MOV")</f>
        <v>21</v>
      </c>
    </row>
    <row r="11298" s="2" customFormat="1" ht="13.5" customHeight="1">
      <c r="B11298" t="s" s="8">
        <v>4218</v>
      </c>
      <c r="C11298" t="s" s="9">
        <v>14</v>
      </c>
      <c r="D11298" t="s" s="8">
        <v>14</v>
      </c>
      <c r="E11298" t="s" s="9">
        <v>14</v>
      </c>
      <c r="F11298" t="s" s="10">
        <v>14</v>
      </c>
      <c r="G11298" t="s" s="11">
        <v>14</v>
      </c>
      <c r="H11298" t="s" s="10">
        <v>14</v>
      </c>
      <c r="I11298" t="s" s="11">
        <v>14</v>
      </c>
      <c r="J11298" t="s" s="11">
        <v>14</v>
      </c>
      <c r="K11298" t="s" s="12">
        <v>14</v>
      </c>
      <c r="L11298" t="s" s="12">
        <v>14</v>
      </c>
      <c r="M11298" t="s" s="10">
        <v>14</v>
      </c>
      <c r="N11298" t="s" s="11">
        <v>14</v>
      </c>
      <c r="O11298" t="s" s="8">
        <v>14</v>
      </c>
      <c r="P11298" t="s" s="8">
        <v>14</v>
      </c>
      <c r="Q11298" t="s" s="12">
        <v>14</v>
      </c>
      <c r="R11298" t="s" s="12">
        <v>14</v>
      </c>
    </row>
    <row r="11299" s="2" customFormat="1" ht="13.5" customHeight="1">
      <c r="B11299" s="13"/>
      <c r="C11299" t="s" s="9">
        <v>16</v>
      </c>
      <c r="D11299" t="s" s="8">
        <v>4218</v>
      </c>
      <c r="E11299" t="s" s="9">
        <v>4219</v>
      </c>
      <c r="F11299" s="19">
        <v>10</v>
      </c>
      <c r="G11299" t="s" s="11">
        <v>68</v>
      </c>
      <c r="H11299" s="19">
        <v>10</v>
      </c>
      <c r="I11299" t="s" s="11">
        <v>68</v>
      </c>
      <c r="J11299" t="s" s="11">
        <v>20</v>
      </c>
      <c r="K11299" s="15"/>
      <c r="L11299" t="s" s="16">
        <f>HYPERLINK("http://csr.bu.edu/ftp/asl/asllvd/demos/verify_start_end_handshape_annotations//test_auto_move//signs_mov_separ_signers/Liz_7200.mov","MOV")</f>
        <v>21</v>
      </c>
      <c r="M11299" t="s" s="10">
        <v>34</v>
      </c>
      <c r="N11299" s="17">
        <v>2</v>
      </c>
      <c r="O11299" s="18">
        <v>3265</v>
      </c>
      <c r="P11299" s="18">
        <v>3350</v>
      </c>
      <c r="Q11299" s="15"/>
      <c r="R11299" t="s" s="16">
        <f>HYPERLINK("http://secrets.rutgers.edu:8080/data/asl-ftp/asllvd/demos/verify_start_end_handshape_annotations//test_auto_move//signs_mov_separ_signers/Liz_7200.mov","MOV")</f>
        <v>21</v>
      </c>
    </row>
    <row r="11300" s="2" customFormat="1" ht="13.5" customHeight="1">
      <c r="B11300" s="13"/>
      <c r="C11300" t="s" s="9">
        <v>16</v>
      </c>
      <c r="D11300" t="s" s="8">
        <v>4218</v>
      </c>
      <c r="E11300" t="s" s="9">
        <v>4218</v>
      </c>
      <c r="F11300" s="19">
        <v>10</v>
      </c>
      <c r="G11300" t="s" s="11">
        <v>68</v>
      </c>
      <c r="H11300" s="19">
        <v>10</v>
      </c>
      <c r="I11300" t="s" s="11">
        <v>68</v>
      </c>
      <c r="J11300" t="s" s="11">
        <v>20</v>
      </c>
      <c r="K11300" s="15"/>
      <c r="L11300" t="s" s="16">
        <f>HYPERLINK("http://csr.bu.edu/ftp/asl/asllvd/demos/verify_start_end_handshape_annotations//test_auto_move//signs_mov_separ_signers/Liz_5022.mov","MOV")</f>
        <v>21</v>
      </c>
      <c r="M11300" t="s" s="10">
        <v>36</v>
      </c>
      <c r="N11300" s="17">
        <v>3</v>
      </c>
      <c r="O11300" s="18">
        <v>1056</v>
      </c>
      <c r="P11300" s="18">
        <v>1111</v>
      </c>
      <c r="Q11300" s="15"/>
      <c r="R11300" t="s" s="16">
        <f>HYPERLINK("http://secrets.rutgers.edu:8080/data/asl-ftp/asllvd/demos/verify_start_end_handshape_annotations//test_auto_move//signs_mov_separ_signers/Liz_5022.mov","MOV")</f>
        <v>21</v>
      </c>
    </row>
    <row r="11301" s="2" customFormat="1" ht="13.5" customHeight="1">
      <c r="B11301" s="13"/>
      <c r="C11301" t="s" s="9">
        <v>23</v>
      </c>
      <c r="D11301" t="s" s="8">
        <v>4218</v>
      </c>
      <c r="E11301" t="s" s="9">
        <v>4219</v>
      </c>
      <c r="F11301" s="19">
        <v>10</v>
      </c>
      <c r="G11301" t="s" s="11">
        <v>68</v>
      </c>
      <c r="H11301" s="19">
        <v>10</v>
      </c>
      <c r="I11301" t="s" s="11">
        <v>68</v>
      </c>
      <c r="J11301" t="s" s="11">
        <v>20</v>
      </c>
      <c r="K11301" s="15"/>
      <c r="L11301" t="s" s="16">
        <f>HYPERLINK("http://csr.bu.edu/ftp/asl/asllvd/demos/verify_start_end_handshape_annotations//test_auto_move//signs_mov_separ_signers/Tyler_7200.mov","MOV")</f>
        <v>21</v>
      </c>
      <c r="M11301" t="s" s="10">
        <v>92</v>
      </c>
      <c r="N11301" s="17">
        <v>34</v>
      </c>
      <c r="O11301" s="18">
        <v>1840</v>
      </c>
      <c r="P11301" s="18">
        <v>1881</v>
      </c>
      <c r="Q11301" s="15"/>
      <c r="R11301" t="s" s="16">
        <f>HYPERLINK("http://secrets.rutgers.edu:8080/data/asl-ftp/asllvd/demos/verify_start_end_handshape_annotations//test_auto_move//signs_mov_separ_signers/Tyler_7200.mov","MOV")</f>
        <v>21</v>
      </c>
    </row>
    <row r="11302" s="2" customFormat="1" ht="13.5" customHeight="1">
      <c r="B11302" s="13"/>
      <c r="C11302" t="s" s="9">
        <v>27</v>
      </c>
      <c r="D11302" t="s" s="8">
        <v>4218</v>
      </c>
      <c r="E11302" t="s" s="9">
        <v>4219</v>
      </c>
      <c r="F11302" s="19">
        <v>10</v>
      </c>
      <c r="G11302" t="s" s="11">
        <v>68</v>
      </c>
      <c r="H11302" s="19">
        <v>10</v>
      </c>
      <c r="I11302" t="s" s="11">
        <v>68</v>
      </c>
      <c r="J11302" t="s" s="11">
        <v>20</v>
      </c>
      <c r="K11302" t="s" s="16">
        <f>HYPERLINK("http://csr.bu.edu/ftp/asl/asllvd/demos/verify_start_end_handshape_annotations//test_auto_move//signs_mov/5022_7200_merged.mov","MOV")</f>
        <v>21</v>
      </c>
      <c r="L11302" t="s" s="16">
        <f>HYPERLINK("http://csr.bu.edu/ftp/asl/asllvd/demos/verify_start_end_handshape_annotations//test_auto_move//signs_mov_separ_signers/Naomi_7200.mov","MOV")</f>
        <v>21</v>
      </c>
      <c r="M11302" t="s" s="10">
        <v>38</v>
      </c>
      <c r="N11302" s="17">
        <v>2</v>
      </c>
      <c r="O11302" s="18">
        <v>3002</v>
      </c>
      <c r="P11302" s="18">
        <v>3029</v>
      </c>
      <c r="Q11302" t="s" s="16">
        <f>HYPERLINK("http://secrets.rutgers.edu:8080/data/asl-ftp/asllvd/demos/verify_start_end_handshape_annotations//test_auto_move//signs_mov/5022_7200_merged.mov","MOV")</f>
        <v>21</v>
      </c>
      <c r="R11302" t="s" s="16">
        <f>HYPERLINK("http://secrets.rutgers.edu:8080/data/asl-ftp/asllvd/demos/verify_start_end_handshape_annotations//test_auto_move//signs_mov_separ_signers/Naomi_7200.mov","MOV")</f>
        <v>21</v>
      </c>
    </row>
    <row r="11303" s="2" customFormat="1" ht="13.5" customHeight="1">
      <c r="B11303" s="13"/>
      <c r="C11303" t="s" s="9">
        <v>30</v>
      </c>
      <c r="D11303" t="s" s="8">
        <v>4218</v>
      </c>
      <c r="E11303" t="s" s="9">
        <v>4218</v>
      </c>
      <c r="F11303" s="19">
        <v>10</v>
      </c>
      <c r="G11303" t="s" s="11">
        <v>283</v>
      </c>
      <c r="H11303" s="19">
        <v>10</v>
      </c>
      <c r="I11303" t="s" s="11">
        <v>283</v>
      </c>
      <c r="J11303" t="s" s="11">
        <v>20</v>
      </c>
      <c r="K11303" s="15"/>
      <c r="L11303" t="s" s="16">
        <f>HYPERLINK("http://csr.bu.edu/ftp/asl/asllvd/demos/verify_start_end_handshape_annotations//test_auto_move//signs_mov_separ_signers/Brady_7200.mov","MOV")</f>
        <v>21</v>
      </c>
      <c r="M11303" t="s" s="10">
        <v>39</v>
      </c>
      <c r="N11303" s="17">
        <v>24</v>
      </c>
      <c r="O11303" s="18">
        <v>8894</v>
      </c>
      <c r="P11303" s="18">
        <v>8921</v>
      </c>
      <c r="Q11303" s="15"/>
      <c r="R11303" t="s" s="16">
        <f>HYPERLINK("http://secrets.rutgers.edu:8080/data/asl-ftp/asllvd/demos/verify_start_end_handshape_annotations//test_auto_move//signs_mov_separ_signers/Brady_7200.mov","MOV")</f>
        <v>21</v>
      </c>
    </row>
    <row r="11304" s="2" customFormat="1" ht="13.5" customHeight="1">
      <c r="B11304" s="13"/>
      <c r="C11304" t="s" s="9">
        <v>30</v>
      </c>
      <c r="D11304" t="s" s="8">
        <v>4218</v>
      </c>
      <c r="E11304" t="s" s="9">
        <v>4218</v>
      </c>
      <c r="F11304" s="19">
        <v>10</v>
      </c>
      <c r="G11304" t="s" s="11">
        <v>68</v>
      </c>
      <c r="H11304" s="19">
        <v>10</v>
      </c>
      <c r="I11304" t="s" s="11">
        <v>68</v>
      </c>
      <c r="J11304" t="s" s="11">
        <v>20</v>
      </c>
      <c r="K11304" s="15"/>
      <c r="L11304" t="s" s="16">
        <f>HYPERLINK("http://csr.bu.edu/ftp/asl/asllvd/demos/verify_start_end_handshape_annotations//test_auto_move//signs_mov_separ_signers/Brady_5022.mov","MOV")</f>
        <v>21</v>
      </c>
      <c r="M11304" t="s" s="10">
        <v>40</v>
      </c>
      <c r="N11304" s="17">
        <v>48</v>
      </c>
      <c r="O11304" s="18">
        <v>124</v>
      </c>
      <c r="P11304" s="18">
        <v>153</v>
      </c>
      <c r="Q11304" s="15"/>
      <c r="R11304" t="s" s="16">
        <f>HYPERLINK("http://secrets.rutgers.edu:8080/data/asl-ftp/asllvd/demos/verify_start_end_handshape_annotations//test_auto_move//signs_mov_separ_signers/Brady_5022.mov","MOV")</f>
        <v>21</v>
      </c>
    </row>
    <row r="11305" s="2" customFormat="1" ht="13.5" customHeight="1">
      <c r="B11305" s="13"/>
      <c r="C11305" t="s" s="9">
        <v>41</v>
      </c>
      <c r="D11305" t="s" s="8">
        <v>4218</v>
      </c>
      <c r="E11305" t="s" s="9">
        <v>4218</v>
      </c>
      <c r="F11305" s="19">
        <v>10</v>
      </c>
      <c r="G11305" t="s" s="11">
        <v>68</v>
      </c>
      <c r="H11305" s="19">
        <v>10</v>
      </c>
      <c r="I11305" t="s" s="11">
        <v>68</v>
      </c>
      <c r="J11305" t="s" s="11">
        <v>20</v>
      </c>
      <c r="K11305" s="15"/>
      <c r="L11305" t="s" s="16">
        <f>HYPERLINK("http://csr.bu.edu/ftp/asl/asllvd/demos/verify_start_end_handshape_annotations//test_auto_move//signs_mov_separ_signers/Lana_7200.mov","MOV")</f>
        <v>21</v>
      </c>
      <c r="M11305" t="s" s="10">
        <v>42</v>
      </c>
      <c r="N11305" s="17">
        <v>11</v>
      </c>
      <c r="O11305" s="18">
        <v>2348</v>
      </c>
      <c r="P11305" s="18">
        <v>2360</v>
      </c>
      <c r="Q11305" s="15"/>
      <c r="R11305" t="s" s="16">
        <f>HYPERLINK("http://secrets.rutgers.edu:8080/data/asl-ftp/asllvd/demos/verify_start_end_handshape_annotations//test_auto_move//signs_mov_separ_signers/Lana_7200.mov","MOV")</f>
        <v>21</v>
      </c>
    </row>
    <row r="11306" s="2" customFormat="1" ht="13.5" customHeight="1">
      <c r="B11306" s="13"/>
      <c r="C11306" t="s" s="9">
        <v>43</v>
      </c>
      <c r="D11306" t="s" s="8">
        <v>4218</v>
      </c>
      <c r="E11306" t="s" s="9">
        <v>4218</v>
      </c>
      <c r="F11306" s="19">
        <v>10</v>
      </c>
      <c r="G11306" t="s" s="11">
        <v>68</v>
      </c>
      <c r="H11306" s="19">
        <v>10</v>
      </c>
      <c r="I11306" t="s" s="11">
        <v>68</v>
      </c>
      <c r="J11306" t="s" s="11">
        <v>20</v>
      </c>
      <c r="K11306" s="15"/>
      <c r="L11306" t="s" s="16">
        <f>HYPERLINK("http://csr.bu.edu/ftp/asl/asllvd/demos/verify_start_end_handshape_annotations//test_auto_move//signs_mov_separ_signers/Dana_7200.mov","MOV")</f>
        <v>21</v>
      </c>
      <c r="M11306" t="s" s="10">
        <v>44</v>
      </c>
      <c r="N11306" s="17">
        <v>15</v>
      </c>
      <c r="O11306" s="18">
        <v>2278</v>
      </c>
      <c r="P11306" s="18">
        <v>2329</v>
      </c>
      <c r="Q11306" s="15"/>
      <c r="R11306" t="s" s="16">
        <f>HYPERLINK("http://secrets.rutgers.edu:8080/data/asl-ftp/asllvd/demos/verify_start_end_handshape_annotations//test_auto_move//signs_mov_separ_signers/Dana_7200.mov","MOV")</f>
        <v>21</v>
      </c>
    </row>
    <row r="11307" s="2" customFormat="1" ht="13.5" customHeight="1">
      <c r="B11307" t="s" s="8">
        <v>4220</v>
      </c>
      <c r="C11307" t="s" s="9">
        <v>14</v>
      </c>
      <c r="D11307" t="s" s="8">
        <v>14</v>
      </c>
      <c r="E11307" t="s" s="9">
        <v>14</v>
      </c>
      <c r="F11307" t="s" s="10">
        <v>14</v>
      </c>
      <c r="G11307" t="s" s="11">
        <v>14</v>
      </c>
      <c r="H11307" t="s" s="10">
        <v>14</v>
      </c>
      <c r="I11307" t="s" s="11">
        <v>14</v>
      </c>
      <c r="J11307" t="s" s="11">
        <v>14</v>
      </c>
      <c r="K11307" t="s" s="12">
        <v>14</v>
      </c>
      <c r="L11307" t="s" s="12">
        <v>14</v>
      </c>
      <c r="M11307" t="s" s="10">
        <v>14</v>
      </c>
      <c r="N11307" t="s" s="11">
        <v>14</v>
      </c>
      <c r="O11307" t="s" s="8">
        <v>14</v>
      </c>
      <c r="P11307" t="s" s="8">
        <v>14</v>
      </c>
      <c r="Q11307" t="s" s="12">
        <v>14</v>
      </c>
      <c r="R11307" t="s" s="12">
        <v>14</v>
      </c>
    </row>
    <row r="11308" s="2" customFormat="1" ht="13.5" customHeight="1">
      <c r="B11308" s="13"/>
      <c r="C11308" t="s" s="9">
        <v>16</v>
      </c>
      <c r="D11308" t="s" s="8">
        <v>4220</v>
      </c>
      <c r="E11308" t="s" s="9">
        <v>4220</v>
      </c>
      <c r="F11308" t="s" s="10">
        <v>230</v>
      </c>
      <c r="G11308" t="s" s="11">
        <v>73</v>
      </c>
      <c r="H11308" t="s" s="10">
        <v>230</v>
      </c>
      <c r="I11308" t="s" s="11">
        <v>73</v>
      </c>
      <c r="J11308" t="s" s="11">
        <v>20</v>
      </c>
      <c r="K11308" s="15"/>
      <c r="L11308" t="s" s="16">
        <f>HYPERLINK("http://csr.bu.edu/ftp/asl/asllvd/demos/verify_start_end_handshape_annotations//test_auto_move//signs_mov_separ_signers/Liz_7232.mov","MOV")</f>
        <v>21</v>
      </c>
      <c r="M11308" t="s" s="10">
        <v>34</v>
      </c>
      <c r="N11308" s="17">
        <v>3</v>
      </c>
      <c r="O11308" s="18">
        <v>1985</v>
      </c>
      <c r="P11308" s="18">
        <v>2040</v>
      </c>
      <c r="Q11308" s="15"/>
      <c r="R11308" t="s" s="16">
        <f>HYPERLINK("http://secrets.rutgers.edu:8080/data/asl-ftp/asllvd/demos/verify_start_end_handshape_annotations//test_auto_move//signs_mov_separ_signers/Liz_7232.mov","MOV")</f>
        <v>21</v>
      </c>
    </row>
    <row r="11309" s="2" customFormat="1" ht="13.5" customHeight="1">
      <c r="B11309" s="13"/>
      <c r="C11309" t="s" s="9">
        <v>16</v>
      </c>
      <c r="D11309" t="s" s="8">
        <v>4220</v>
      </c>
      <c r="E11309" t="s" s="9">
        <v>4220</v>
      </c>
      <c r="F11309" t="s" s="10">
        <v>230</v>
      </c>
      <c r="G11309" t="s" s="11">
        <v>73</v>
      </c>
      <c r="H11309" t="s" s="10">
        <v>230</v>
      </c>
      <c r="I11309" t="s" s="11">
        <v>73</v>
      </c>
      <c r="J11309" t="s" s="11">
        <v>20</v>
      </c>
      <c r="K11309" s="15"/>
      <c r="L11309" t="s" s="16">
        <f>HYPERLINK("http://csr.bu.edu/ftp/asl/asllvd/demos/verify_start_end_handshape_annotations//test_auto_move//signs_mov_separ_signers/Liz_5021.mov","MOV")</f>
        <v>21</v>
      </c>
      <c r="M11309" t="s" s="10">
        <v>34</v>
      </c>
      <c r="N11309" s="17">
        <v>4</v>
      </c>
      <c r="O11309" s="18">
        <v>775</v>
      </c>
      <c r="P11309" s="18">
        <v>817</v>
      </c>
      <c r="Q11309" s="15"/>
      <c r="R11309" t="s" s="16">
        <f>HYPERLINK("http://secrets.rutgers.edu:8080/data/asl-ftp/asllvd/demos/verify_start_end_handshape_annotations//test_auto_move//signs_mov_separ_signers/Liz_5021.mov","MOV")</f>
        <v>21</v>
      </c>
    </row>
    <row r="11310" s="2" customFormat="1" ht="13.5" customHeight="1">
      <c r="B11310" s="13"/>
      <c r="C11310" t="s" s="9">
        <v>16</v>
      </c>
      <c r="D11310" t="s" s="8">
        <v>4220</v>
      </c>
      <c r="E11310" t="s" s="9">
        <v>4221</v>
      </c>
      <c r="F11310" t="s" s="10">
        <v>230</v>
      </c>
      <c r="G11310" t="s" s="11">
        <v>73</v>
      </c>
      <c r="H11310" t="s" s="10">
        <v>230</v>
      </c>
      <c r="I11310" t="s" s="11">
        <v>73</v>
      </c>
      <c r="J11310" t="s" s="11">
        <v>20</v>
      </c>
      <c r="K11310" s="15"/>
      <c r="L11310" t="s" s="16">
        <f>HYPERLINK("http://csr.bu.edu/ftp/asl/asllvd/demos/verify_start_end_handshape_annotations//test_auto_move//signs_mov_separ_signers/Liz_5813.mov","MOV")</f>
        <v>21</v>
      </c>
      <c r="M11310" t="s" s="10">
        <v>59</v>
      </c>
      <c r="N11310" s="17">
        <v>17</v>
      </c>
      <c r="O11310" s="18">
        <v>4020</v>
      </c>
      <c r="P11310" s="18">
        <v>4050</v>
      </c>
      <c r="Q11310" s="15"/>
      <c r="R11310" t="s" s="16">
        <f>HYPERLINK("http://secrets.rutgers.edu:8080/data/asl-ftp/asllvd/demos/verify_start_end_handshape_annotations//test_auto_move//signs_mov_separ_signers/Liz_5813.mov","MOV")</f>
        <v>21</v>
      </c>
    </row>
    <row r="11311" s="2" customFormat="1" ht="13.5" customHeight="1">
      <c r="B11311" s="13"/>
      <c r="C11311" t="s" s="9">
        <v>23</v>
      </c>
      <c r="D11311" t="s" s="8">
        <v>4220</v>
      </c>
      <c r="E11311" t="s" s="9">
        <v>4220</v>
      </c>
      <c r="F11311" t="s" s="10">
        <v>230</v>
      </c>
      <c r="G11311" t="s" s="11">
        <v>73</v>
      </c>
      <c r="H11311" t="s" s="10">
        <v>230</v>
      </c>
      <c r="I11311" t="s" s="11">
        <v>73</v>
      </c>
      <c r="J11311" t="s" s="11">
        <v>20</v>
      </c>
      <c r="K11311" s="15"/>
      <c r="L11311" t="s" s="16">
        <f>HYPERLINK("http://csr.bu.edu/ftp/asl/asllvd/demos/verify_start_end_handshape_annotations//test_auto_move//signs_mov_separ_signers/Tyler_7232.mov","MOV")</f>
        <v>21</v>
      </c>
      <c r="M11311" t="s" s="10">
        <v>92</v>
      </c>
      <c r="N11311" s="17">
        <v>36</v>
      </c>
      <c r="O11311" s="18">
        <v>480</v>
      </c>
      <c r="P11311" s="18">
        <v>505</v>
      </c>
      <c r="Q11311" s="15"/>
      <c r="R11311" t="s" s="16">
        <f>HYPERLINK("http://secrets.rutgers.edu:8080/data/asl-ftp/asllvd/demos/verify_start_end_handshape_annotations//test_auto_move//signs_mov_separ_signers/Tyler_7232.mov","MOV")</f>
        <v>21</v>
      </c>
    </row>
    <row r="11312" s="2" customFormat="1" ht="13.5" customHeight="1">
      <c r="B11312" s="13"/>
      <c r="C11312" t="s" s="9">
        <v>27</v>
      </c>
      <c r="D11312" t="s" s="8">
        <v>4220</v>
      </c>
      <c r="E11312" t="s" s="9">
        <v>4220</v>
      </c>
      <c r="F11312" t="s" s="10">
        <v>230</v>
      </c>
      <c r="G11312" t="s" s="11">
        <v>73</v>
      </c>
      <c r="H11312" t="s" s="10">
        <v>230</v>
      </c>
      <c r="I11312" t="s" s="11">
        <v>73</v>
      </c>
      <c r="J11312" t="s" s="11">
        <v>20</v>
      </c>
      <c r="K11312" s="15"/>
      <c r="L11312" t="s" s="16">
        <f>HYPERLINK("http://csr.bu.edu/ftp/asl/asllvd/demos/verify_start_end_handshape_annotations//test_auto_move//signs_mov_separ_signers/Naomi_7232.mov","MOV")</f>
        <v>21</v>
      </c>
      <c r="M11312" t="s" s="10">
        <v>38</v>
      </c>
      <c r="N11312" s="17">
        <v>3</v>
      </c>
      <c r="O11312" s="18">
        <v>2943</v>
      </c>
      <c r="P11312" s="18">
        <v>2970</v>
      </c>
      <c r="Q11312" s="15"/>
      <c r="R11312" t="s" s="16">
        <f>HYPERLINK("http://secrets.rutgers.edu:8080/data/asl-ftp/asllvd/demos/verify_start_end_handshape_annotations//test_auto_move//signs_mov_separ_signers/Naomi_7232.mov","MOV")</f>
        <v>21</v>
      </c>
    </row>
    <row r="11313" s="2" customFormat="1" ht="13.5" customHeight="1">
      <c r="B11313" s="13"/>
      <c r="C11313" t="s" s="9">
        <v>27</v>
      </c>
      <c r="D11313" t="s" s="8">
        <v>4220</v>
      </c>
      <c r="E11313" t="s" s="9">
        <v>4220</v>
      </c>
      <c r="F11313" t="s" s="10">
        <v>230</v>
      </c>
      <c r="G11313" t="s" s="11">
        <v>73</v>
      </c>
      <c r="H11313" t="s" s="10">
        <v>230</v>
      </c>
      <c r="I11313" t="s" s="11">
        <v>73</v>
      </c>
      <c r="J11313" t="s" s="11">
        <v>20</v>
      </c>
      <c r="K11313" t="s" s="16">
        <f>HYPERLINK("http://csr.bu.edu/ftp/asl/asllvd/demos/verify_start_end_handshape_annotations//test_auto_move//signs_mov/5021_5813_5938_7232_15127_merged.mov","MOV")</f>
        <v>21</v>
      </c>
      <c r="L11313" t="s" s="16">
        <f>HYPERLINK("http://csr.bu.edu/ftp/asl/asllvd/demos/verify_start_end_handshape_annotations//test_auto_move//signs_mov_separ_signers/Naomi_5021.mov","MOV")</f>
        <v>21</v>
      </c>
      <c r="M11313" t="s" s="10">
        <v>38</v>
      </c>
      <c r="N11313" s="17">
        <v>4</v>
      </c>
      <c r="O11313" s="18">
        <v>980</v>
      </c>
      <c r="P11313" s="18">
        <v>1000</v>
      </c>
      <c r="Q11313" t="s" s="16">
        <f>HYPERLINK("http://secrets.rutgers.edu:8080/data/asl-ftp/asllvd/demos/verify_start_end_handshape_annotations//test_auto_move//signs_mov/5021_5813_5938_7232_15127_merged.mov","MOV")</f>
        <v>21</v>
      </c>
      <c r="R11313" t="s" s="16">
        <f>HYPERLINK("http://secrets.rutgers.edu:8080/data/asl-ftp/asllvd/demos/verify_start_end_handshape_annotations//test_auto_move//signs_mov_separ_signers/Naomi_5021.mov","MOV")</f>
        <v>21</v>
      </c>
    </row>
    <row r="11314" s="2" customFormat="1" ht="13.5" customHeight="1">
      <c r="B11314" s="13"/>
      <c r="C11314" t="s" s="9">
        <v>30</v>
      </c>
      <c r="D11314" t="s" s="8">
        <v>4220</v>
      </c>
      <c r="E11314" t="s" s="9">
        <v>4220</v>
      </c>
      <c r="F11314" t="s" s="10">
        <v>230</v>
      </c>
      <c r="G11314" t="s" s="11">
        <v>73</v>
      </c>
      <c r="H11314" t="s" s="10">
        <v>230</v>
      </c>
      <c r="I11314" t="s" s="11">
        <v>73</v>
      </c>
      <c r="J11314" t="s" s="11">
        <v>20</v>
      </c>
      <c r="K11314" s="15"/>
      <c r="L11314" t="s" s="16">
        <f>HYPERLINK("http://csr.bu.edu/ftp/asl/asllvd/demos/verify_start_end_handshape_annotations//test_auto_move//signs_mov_separ_signers/Brady_7232.mov","MOV")</f>
        <v>21</v>
      </c>
      <c r="M11314" t="s" s="10">
        <v>39</v>
      </c>
      <c r="N11314" s="17">
        <v>25</v>
      </c>
      <c r="O11314" s="18">
        <v>2065</v>
      </c>
      <c r="P11314" s="18">
        <v>2088</v>
      </c>
      <c r="Q11314" s="15"/>
      <c r="R11314" t="s" s="16">
        <f>HYPERLINK("http://secrets.rutgers.edu:8080/data/asl-ftp/asllvd/demos/verify_start_end_handshape_annotations//test_auto_move//signs_mov_separ_signers/Brady_7232.mov","MOV")</f>
        <v>21</v>
      </c>
    </row>
    <row r="11315" s="2" customFormat="1" ht="13.5" customHeight="1">
      <c r="B11315" s="13"/>
      <c r="C11315" t="s" s="9">
        <v>30</v>
      </c>
      <c r="D11315" t="s" s="8">
        <v>4220</v>
      </c>
      <c r="E11315" t="s" s="9">
        <v>4220</v>
      </c>
      <c r="F11315" t="s" s="10">
        <v>230</v>
      </c>
      <c r="G11315" t="s" s="11">
        <v>73</v>
      </c>
      <c r="H11315" t="s" s="10">
        <v>230</v>
      </c>
      <c r="I11315" t="s" s="11">
        <v>73</v>
      </c>
      <c r="J11315" t="s" s="11">
        <v>20</v>
      </c>
      <c r="K11315" s="15"/>
      <c r="L11315" t="s" s="16">
        <f>HYPERLINK("http://csr.bu.edu/ftp/asl/asllvd/demos/verify_start_end_handshape_annotations//test_auto_move//signs_mov_separ_signers/Brady_5021.mov","MOV")</f>
        <v>21</v>
      </c>
      <c r="M11315" t="s" s="10">
        <v>39</v>
      </c>
      <c r="N11315" s="17">
        <v>25</v>
      </c>
      <c r="O11315" s="18">
        <v>3237</v>
      </c>
      <c r="P11315" s="18">
        <v>3261</v>
      </c>
      <c r="Q11315" s="15"/>
      <c r="R11315" t="s" s="16">
        <f>HYPERLINK("http://secrets.rutgers.edu:8080/data/asl-ftp/asllvd/demos/verify_start_end_handshape_annotations//test_auto_move//signs_mov_separ_signers/Brady_5021.mov","MOV")</f>
        <v>21</v>
      </c>
    </row>
    <row r="11316" s="2" customFormat="1" ht="13.5" customHeight="1">
      <c r="B11316" s="13"/>
      <c r="C11316" t="s" s="9">
        <v>30</v>
      </c>
      <c r="D11316" t="s" s="8">
        <v>4220</v>
      </c>
      <c r="E11316" t="s" s="9">
        <v>4222</v>
      </c>
      <c r="F11316" t="s" s="10">
        <v>230</v>
      </c>
      <c r="G11316" t="s" s="11">
        <v>73</v>
      </c>
      <c r="H11316" t="s" s="10">
        <v>230</v>
      </c>
      <c r="I11316" t="s" s="11">
        <v>73</v>
      </c>
      <c r="J11316" t="s" s="11">
        <v>20</v>
      </c>
      <c r="K11316" s="15"/>
      <c r="L11316" t="s" s="16">
        <f>HYPERLINK("http://csr.bu.edu/ftp/asl/asllvd/demos/verify_start_end_handshape_annotations//test_auto_move//signs_mov_separ_signers/Brady_5813.mov","MOV")</f>
        <v>21</v>
      </c>
      <c r="M11316" t="s" s="10">
        <v>60</v>
      </c>
      <c r="N11316" s="17">
        <v>5</v>
      </c>
      <c r="O11316" s="18">
        <v>3035</v>
      </c>
      <c r="P11316" s="18">
        <v>3071</v>
      </c>
      <c r="Q11316" s="15"/>
      <c r="R11316" t="s" s="16">
        <f>HYPERLINK("http://secrets.rutgers.edu:8080/data/asl-ftp/asllvd/demos/verify_start_end_handshape_annotations//test_auto_move//signs_mov_separ_signers/Brady_5813.mov","MOV")</f>
        <v>21</v>
      </c>
    </row>
    <row r="11317" s="2" customFormat="1" ht="13.5" customHeight="1">
      <c r="B11317" s="13"/>
      <c r="C11317" t="s" s="9">
        <v>30</v>
      </c>
      <c r="D11317" t="s" s="8">
        <v>4220</v>
      </c>
      <c r="E11317" t="s" s="9">
        <v>4220</v>
      </c>
      <c r="F11317" t="s" s="10">
        <v>230</v>
      </c>
      <c r="G11317" t="s" s="11">
        <v>73</v>
      </c>
      <c r="H11317" t="s" s="10">
        <v>230</v>
      </c>
      <c r="I11317" t="s" s="11">
        <v>73</v>
      </c>
      <c r="J11317" t="s" s="11">
        <v>20</v>
      </c>
      <c r="K11317" s="15"/>
      <c r="L11317" t="s" s="16">
        <f>HYPERLINK("http://csr.bu.edu/ftp/asl/asllvd/demos/verify_start_end_handshape_annotations//test_auto_move//signs_mov_separ_signers/Brady_5938.mov","MOV")</f>
        <v>21</v>
      </c>
      <c r="M11317" t="s" s="10">
        <v>60</v>
      </c>
      <c r="N11317" s="17">
        <v>43</v>
      </c>
      <c r="O11317" s="18">
        <v>1759</v>
      </c>
      <c r="P11317" s="18">
        <v>1792</v>
      </c>
      <c r="Q11317" s="15"/>
      <c r="R11317" t="s" s="16">
        <f>HYPERLINK("http://secrets.rutgers.edu:8080/data/asl-ftp/asllvd/demos/verify_start_end_handshape_annotations//test_auto_move//signs_mov_separ_signers/Brady_5938.mov","MOV")</f>
        <v>21</v>
      </c>
    </row>
    <row r="11318" s="2" customFormat="1" ht="13.5" customHeight="1">
      <c r="B11318" s="13"/>
      <c r="C11318" t="s" s="9">
        <v>30</v>
      </c>
      <c r="D11318" t="s" s="8">
        <v>4220</v>
      </c>
      <c r="E11318" t="s" s="9">
        <v>4220</v>
      </c>
      <c r="F11318" t="s" s="10">
        <v>230</v>
      </c>
      <c r="G11318" t="s" s="11">
        <v>73</v>
      </c>
      <c r="H11318" t="s" s="10">
        <v>230</v>
      </c>
      <c r="I11318" t="s" s="11">
        <v>73</v>
      </c>
      <c r="J11318" t="s" s="11">
        <v>20</v>
      </c>
      <c r="K11318" s="15"/>
      <c r="L11318" t="s" s="16">
        <f>HYPERLINK("http://csr.bu.edu/ftp/asl/asllvd/demos/verify_start_end_handshape_annotations//test_auto_move//signs_mov_separ_signers/Brady_15127.mov","MOV")</f>
        <v>21</v>
      </c>
      <c r="M11318" t="s" s="10">
        <v>60</v>
      </c>
      <c r="N11318" s="17">
        <v>43</v>
      </c>
      <c r="O11318" s="18">
        <v>1962</v>
      </c>
      <c r="P11318" s="18">
        <v>1988</v>
      </c>
      <c r="Q11318" s="15"/>
      <c r="R11318" t="s" s="16">
        <f>HYPERLINK("http://secrets.rutgers.edu:8080/data/asl-ftp/asllvd/demos/verify_start_end_handshape_annotations//test_auto_move//signs_mov_separ_signers/Brady_15127.mov","MOV")</f>
        <v>21</v>
      </c>
    </row>
    <row r="11319" s="2" customFormat="1" ht="13.5" customHeight="1">
      <c r="B11319" t="s" s="8">
        <v>4223</v>
      </c>
      <c r="C11319" t="s" s="9">
        <v>14</v>
      </c>
      <c r="D11319" t="s" s="8">
        <v>14</v>
      </c>
      <c r="E11319" t="s" s="9">
        <v>14</v>
      </c>
      <c r="F11319" t="s" s="10">
        <v>14</v>
      </c>
      <c r="G11319" t="s" s="11">
        <v>14</v>
      </c>
      <c r="H11319" t="s" s="10">
        <v>14</v>
      </c>
      <c r="I11319" t="s" s="11">
        <v>14</v>
      </c>
      <c r="J11319" t="s" s="11">
        <v>14</v>
      </c>
      <c r="K11319" t="s" s="12">
        <v>14</v>
      </c>
      <c r="L11319" t="s" s="12">
        <v>14</v>
      </c>
      <c r="M11319" t="s" s="10">
        <v>14</v>
      </c>
      <c r="N11319" t="s" s="11">
        <v>14</v>
      </c>
      <c r="O11319" t="s" s="8">
        <v>14</v>
      </c>
      <c r="P11319" t="s" s="8">
        <v>14</v>
      </c>
      <c r="Q11319" t="s" s="12">
        <v>14</v>
      </c>
      <c r="R11319" t="s" s="12">
        <v>14</v>
      </c>
    </row>
    <row r="11320" s="2" customFormat="1" ht="13.5" customHeight="1">
      <c r="B11320" s="13"/>
      <c r="C11320" t="s" s="9">
        <v>16</v>
      </c>
      <c r="D11320" t="s" s="8">
        <v>4223</v>
      </c>
      <c r="E11320" t="s" s="9">
        <v>4223</v>
      </c>
      <c r="F11320" s="19">
        <v>4</v>
      </c>
      <c r="G11320" s="17">
        <v>4</v>
      </c>
      <c r="H11320" s="19">
        <v>4</v>
      </c>
      <c r="I11320" s="17">
        <v>4</v>
      </c>
      <c r="J11320" t="s" s="11">
        <v>20</v>
      </c>
      <c r="K11320" s="15"/>
      <c r="L11320" t="s" s="16">
        <f>HYPERLINK("http://csr.bu.edu/ftp/asl/asllvd/demos/verify_start_end_handshape_annotations//test_auto_move//signs_mov_separ_signers/Liz_7256.mov","MOV")</f>
        <v>21</v>
      </c>
      <c r="M11320" t="s" s="10">
        <v>34</v>
      </c>
      <c r="N11320" s="17">
        <v>50</v>
      </c>
      <c r="O11320" s="18">
        <v>2505</v>
      </c>
      <c r="P11320" s="18">
        <v>2541</v>
      </c>
      <c r="Q11320" s="15"/>
      <c r="R11320" t="s" s="16">
        <f>HYPERLINK("http://secrets.rutgers.edu:8080/data/asl-ftp/asllvd/demos/verify_start_end_handshape_annotations//test_auto_move//signs_mov_separ_signers/Liz_7256.mov","MOV")</f>
        <v>21</v>
      </c>
    </row>
    <row r="11321" s="2" customFormat="1" ht="13.5" customHeight="1">
      <c r="B11321" s="13"/>
      <c r="C11321" t="s" s="9">
        <v>23</v>
      </c>
      <c r="D11321" t="s" s="8">
        <v>4223</v>
      </c>
      <c r="E11321" t="s" s="9">
        <v>4223</v>
      </c>
      <c r="F11321" s="19">
        <v>4</v>
      </c>
      <c r="G11321" s="17">
        <v>4</v>
      </c>
      <c r="H11321" s="19">
        <v>4</v>
      </c>
      <c r="I11321" s="17">
        <v>4</v>
      </c>
      <c r="J11321" t="s" s="11">
        <v>20</v>
      </c>
      <c r="K11321" s="15"/>
      <c r="L11321" t="s" s="16">
        <f>HYPERLINK("http://csr.bu.edu/ftp/asl/asllvd/demos/verify_start_end_handshape_annotations//test_auto_move//signs_mov_separ_signers/Tyler_7256.mov","MOV")</f>
        <v>21</v>
      </c>
      <c r="M11321" t="s" s="10">
        <v>47</v>
      </c>
      <c r="N11321" s="17">
        <v>2</v>
      </c>
      <c r="O11321" s="18">
        <v>2137</v>
      </c>
      <c r="P11321" s="18">
        <v>2180</v>
      </c>
      <c r="Q11321" s="15"/>
      <c r="R11321" t="s" s="16">
        <f>HYPERLINK("http://secrets.rutgers.edu:8080/data/asl-ftp/asllvd/demos/verify_start_end_handshape_annotations//test_auto_move//signs_mov_separ_signers/Tyler_7256.mov","MOV")</f>
        <v>21</v>
      </c>
    </row>
    <row r="11322" s="2" customFormat="1" ht="13.5" customHeight="1">
      <c r="B11322" s="13"/>
      <c r="C11322" t="s" s="9">
        <v>27</v>
      </c>
      <c r="D11322" t="s" s="8">
        <v>4223</v>
      </c>
      <c r="E11322" t="s" s="9">
        <v>4223</v>
      </c>
      <c r="F11322" s="19">
        <v>4</v>
      </c>
      <c r="G11322" s="17">
        <v>4</v>
      </c>
      <c r="H11322" s="19">
        <v>4</v>
      </c>
      <c r="I11322" s="17">
        <v>4</v>
      </c>
      <c r="J11322" t="s" s="11">
        <v>20</v>
      </c>
      <c r="K11322" t="s" s="16">
        <f>HYPERLINK("http://csr.bu.edu/ftp/asl/asllvd/demos/verify_start_end_handshape_annotations//test_auto_move//signs_mov/5803_7256_merged.mov","MOV")</f>
        <v>21</v>
      </c>
      <c r="L11322" t="s" s="16">
        <f>HYPERLINK("http://csr.bu.edu/ftp/asl/asllvd/demos/verify_start_end_handshape_annotations//test_auto_move//signs_mov_separ_signers/Naomi_7256.mov","MOV")</f>
        <v>21</v>
      </c>
      <c r="M11322" t="s" s="10">
        <v>48</v>
      </c>
      <c r="N11322" s="17">
        <v>5</v>
      </c>
      <c r="O11322" s="18">
        <v>1835</v>
      </c>
      <c r="P11322" s="18">
        <v>1860</v>
      </c>
      <c r="Q11322" t="s" s="16">
        <f>HYPERLINK("http://secrets.rutgers.edu:8080/data/asl-ftp/asllvd/demos/verify_start_end_handshape_annotations//test_auto_move//signs_mov/5803_7256_merged.mov","MOV")</f>
        <v>21</v>
      </c>
      <c r="R11322" t="s" s="16">
        <f>HYPERLINK("http://secrets.rutgers.edu:8080/data/asl-ftp/asllvd/demos/verify_start_end_handshape_annotations//test_auto_move//signs_mov_separ_signers/Naomi_7256.mov","MOV")</f>
        <v>21</v>
      </c>
    </row>
    <row r="11323" s="2" customFormat="1" ht="13.5" customHeight="1">
      <c r="B11323" s="13"/>
      <c r="C11323" t="s" s="9">
        <v>30</v>
      </c>
      <c r="D11323" t="s" s="8">
        <v>4223</v>
      </c>
      <c r="E11323" t="s" s="9">
        <v>4223</v>
      </c>
      <c r="F11323" s="19">
        <v>4</v>
      </c>
      <c r="G11323" s="17">
        <v>4</v>
      </c>
      <c r="H11323" s="19">
        <v>4</v>
      </c>
      <c r="I11323" s="17">
        <v>4</v>
      </c>
      <c r="J11323" t="s" s="11">
        <v>20</v>
      </c>
      <c r="K11323" s="15"/>
      <c r="L11323" t="s" s="16">
        <f>HYPERLINK("http://csr.bu.edu/ftp/asl/asllvd/demos/verify_start_end_handshape_annotations//test_auto_move//signs_mov_separ_signers/Brady_7256.mov","MOV")</f>
        <v>21</v>
      </c>
      <c r="M11323" t="s" s="10">
        <v>39</v>
      </c>
      <c r="N11323" s="17">
        <v>50</v>
      </c>
      <c r="O11323" s="18">
        <v>543</v>
      </c>
      <c r="P11323" s="18">
        <v>565</v>
      </c>
      <c r="Q11323" s="15"/>
      <c r="R11323" t="s" s="16">
        <f>HYPERLINK("http://secrets.rutgers.edu:8080/data/asl-ftp/asllvd/demos/verify_start_end_handshape_annotations//test_auto_move//signs_mov_separ_signers/Brady_7256.mov","MOV")</f>
        <v>21</v>
      </c>
    </row>
    <row r="11324" s="2" customFormat="1" ht="13.5" customHeight="1">
      <c r="B11324" s="13"/>
      <c r="C11324" t="s" s="9">
        <v>30</v>
      </c>
      <c r="D11324" t="s" s="8">
        <v>4223</v>
      </c>
      <c r="E11324" t="s" s="9">
        <v>4223</v>
      </c>
      <c r="F11324" s="19">
        <v>4</v>
      </c>
      <c r="G11324" s="17">
        <v>4</v>
      </c>
      <c r="H11324" s="19">
        <v>4</v>
      </c>
      <c r="I11324" s="17">
        <v>4</v>
      </c>
      <c r="J11324" t="s" s="11">
        <v>20</v>
      </c>
      <c r="K11324" s="15"/>
      <c r="L11324" t="s" s="16">
        <f>HYPERLINK("http://csr.bu.edu/ftp/asl/asllvd/demos/verify_start_end_handshape_annotations//test_auto_move//signs_mov_separ_signers/Brady_5803.mov","MOV")</f>
        <v>21</v>
      </c>
      <c r="M11324" t="s" s="10">
        <v>60</v>
      </c>
      <c r="N11324" s="17">
        <v>46</v>
      </c>
      <c r="O11324" s="18">
        <v>1973</v>
      </c>
      <c r="P11324" s="18">
        <v>2006</v>
      </c>
      <c r="Q11324" s="15"/>
      <c r="R11324" t="s" s="16">
        <f>HYPERLINK("http://secrets.rutgers.edu:8080/data/asl-ftp/asllvd/demos/verify_start_end_handshape_annotations//test_auto_move//signs_mov_separ_signers/Brady_5803.mov","MOV")</f>
        <v>21</v>
      </c>
    </row>
    <row r="11325" s="2" customFormat="1" ht="13.5" customHeight="1">
      <c r="B11325" t="s" s="8">
        <v>4224</v>
      </c>
      <c r="C11325" t="s" s="9">
        <v>14</v>
      </c>
      <c r="D11325" t="s" s="8">
        <v>14</v>
      </c>
      <c r="E11325" t="s" s="9">
        <v>14</v>
      </c>
      <c r="F11325" t="s" s="10">
        <v>14</v>
      </c>
      <c r="G11325" t="s" s="11">
        <v>14</v>
      </c>
      <c r="H11325" t="s" s="10">
        <v>14</v>
      </c>
      <c r="I11325" t="s" s="11">
        <v>14</v>
      </c>
      <c r="J11325" t="s" s="11">
        <v>14</v>
      </c>
      <c r="K11325" t="s" s="12">
        <v>14</v>
      </c>
      <c r="L11325" t="s" s="12">
        <v>14</v>
      </c>
      <c r="M11325" t="s" s="10">
        <v>14</v>
      </c>
      <c r="N11325" t="s" s="11">
        <v>14</v>
      </c>
      <c r="O11325" t="s" s="8">
        <v>14</v>
      </c>
      <c r="P11325" t="s" s="8">
        <v>14</v>
      </c>
      <c r="Q11325" t="s" s="12">
        <v>14</v>
      </c>
      <c r="R11325" t="s" s="12">
        <v>14</v>
      </c>
    </row>
    <row r="11326" s="2" customFormat="1" ht="13.5" customHeight="1">
      <c r="B11326" s="13"/>
      <c r="C11326" t="s" s="9">
        <v>16</v>
      </c>
      <c r="D11326" t="s" s="8">
        <v>4224</v>
      </c>
      <c r="E11326" t="s" s="9">
        <v>4225</v>
      </c>
      <c r="F11326" s="19">
        <v>5</v>
      </c>
      <c r="G11326" s="17">
        <v>5</v>
      </c>
      <c r="H11326" s="19">
        <v>5</v>
      </c>
      <c r="I11326" s="17">
        <v>5</v>
      </c>
      <c r="J11326" t="s" s="11">
        <v>20</v>
      </c>
      <c r="K11326" t="s" s="16">
        <f>HYPERLINK("http://csr.bu.edu/ftp/asl/asllvd/demos/verify_start_end_handshape_annotations//test_auto_move//signs_mov/16077.mov","MOV")</f>
        <v>21</v>
      </c>
      <c r="L11326" t="s" s="16">
        <f>HYPERLINK("http://csr.bu.edu/ftp/asl/asllvd/demos/verify_start_end_handshape_annotations//test_auto_move//signs_mov_separ_signers/Liz_16077.mov","MOV")</f>
        <v>21</v>
      </c>
      <c r="M11326" t="s" s="10">
        <v>59</v>
      </c>
      <c r="N11326" s="17">
        <v>22</v>
      </c>
      <c r="O11326" s="18">
        <v>651</v>
      </c>
      <c r="P11326" s="18">
        <v>690</v>
      </c>
      <c r="Q11326" t="s" s="16">
        <f>HYPERLINK("http://secrets.rutgers.edu:8080/data/asl-ftp/asllvd/demos/verify_start_end_handshape_annotations//test_auto_move//signs_mov/16077.mov","MOV")</f>
        <v>21</v>
      </c>
      <c r="R11326" t="s" s="16">
        <f>HYPERLINK("http://secrets.rutgers.edu:8080/data/asl-ftp/asllvd/demos/verify_start_end_handshape_annotations//test_auto_move//signs_mov_separ_signers/Liz_16077.mov","MOV")</f>
        <v>21</v>
      </c>
    </row>
    <row r="11327" s="2" customFormat="1" ht="13.5" customHeight="1">
      <c r="B11327" s="13"/>
      <c r="C11327" t="s" s="9">
        <v>30</v>
      </c>
      <c r="D11327" t="s" s="8">
        <v>4224</v>
      </c>
      <c r="E11327" t="s" s="9">
        <v>4226</v>
      </c>
      <c r="F11327" s="19">
        <v>5</v>
      </c>
      <c r="G11327" s="17">
        <v>5</v>
      </c>
      <c r="H11327" s="19">
        <v>5</v>
      </c>
      <c r="I11327" s="17">
        <v>5</v>
      </c>
      <c r="J11327" t="s" s="11">
        <v>20</v>
      </c>
      <c r="K11327" s="15"/>
      <c r="L11327" t="s" s="16">
        <f>HYPERLINK("http://csr.bu.edu/ftp/asl/asllvd/demos/verify_start_end_handshape_annotations//test_auto_move//signs_mov_separ_signers/Brady_16077.mov","MOV")</f>
        <v>21</v>
      </c>
      <c r="M11327" t="s" s="10">
        <v>60</v>
      </c>
      <c r="N11327" s="17">
        <v>10</v>
      </c>
      <c r="O11327" s="18">
        <v>146</v>
      </c>
      <c r="P11327" s="18">
        <v>192</v>
      </c>
      <c r="Q11327" s="15"/>
      <c r="R11327" t="s" s="16">
        <f>HYPERLINK("http://secrets.rutgers.edu:8080/data/asl-ftp/asllvd/demos/verify_start_end_handshape_annotations//test_auto_move//signs_mov_separ_signers/Brady_16077.mov","MOV")</f>
        <v>21</v>
      </c>
    </row>
    <row r="11328" s="2" customFormat="1" ht="13.5" customHeight="1">
      <c r="B11328" t="s" s="8">
        <v>4227</v>
      </c>
      <c r="C11328" t="s" s="9">
        <v>14</v>
      </c>
      <c r="D11328" t="s" s="8">
        <v>14</v>
      </c>
      <c r="E11328" t="s" s="9">
        <v>14</v>
      </c>
      <c r="F11328" t="s" s="10">
        <v>14</v>
      </c>
      <c r="G11328" t="s" s="11">
        <v>14</v>
      </c>
      <c r="H11328" t="s" s="10">
        <v>14</v>
      </c>
      <c r="I11328" t="s" s="11">
        <v>14</v>
      </c>
      <c r="J11328" t="s" s="11">
        <v>14</v>
      </c>
      <c r="K11328" t="s" s="12">
        <v>14</v>
      </c>
      <c r="L11328" t="s" s="12">
        <v>14</v>
      </c>
      <c r="M11328" t="s" s="10">
        <v>14</v>
      </c>
      <c r="N11328" t="s" s="11">
        <v>14</v>
      </c>
      <c r="O11328" t="s" s="8">
        <v>14</v>
      </c>
      <c r="P11328" t="s" s="8">
        <v>14</v>
      </c>
      <c r="Q11328" t="s" s="12">
        <v>14</v>
      </c>
      <c r="R11328" t="s" s="12">
        <v>14</v>
      </c>
    </row>
    <row r="11329" s="2" customFormat="1" ht="13.5" customHeight="1">
      <c r="B11329" s="13"/>
      <c r="C11329" t="s" s="9">
        <v>16</v>
      </c>
      <c r="D11329" t="s" s="8">
        <v>4227</v>
      </c>
      <c r="E11329" t="s" s="9">
        <v>4227</v>
      </c>
      <c r="F11329" s="19">
        <v>1</v>
      </c>
      <c r="G11329" s="14"/>
      <c r="H11329" s="19">
        <v>1</v>
      </c>
      <c r="I11329" s="14"/>
      <c r="J11329" t="s" s="11">
        <v>20</v>
      </c>
      <c r="K11329" s="15"/>
      <c r="L11329" t="s" s="16">
        <f>HYPERLINK("http://csr.bu.edu/ftp/asl/asllvd/demos/verify_start_end_handshape_annotations//test_auto_move//signs_mov_separ_signers/Liz_7322.mov","MOV")</f>
        <v>21</v>
      </c>
      <c r="M11329" t="s" s="10">
        <v>34</v>
      </c>
      <c r="N11329" s="17">
        <v>8</v>
      </c>
      <c r="O11329" s="18">
        <v>645</v>
      </c>
      <c r="P11329" s="18">
        <v>670</v>
      </c>
      <c r="Q11329" s="15"/>
      <c r="R11329" t="s" s="16">
        <f>HYPERLINK("http://secrets.rutgers.edu:8080/data/asl-ftp/asllvd/demos/verify_start_end_handshape_annotations//test_auto_move//signs_mov_separ_signers/Liz_7322.mov","MOV")</f>
        <v>21</v>
      </c>
    </row>
    <row r="11330" s="2" customFormat="1" ht="13.5" customHeight="1">
      <c r="B11330" s="13"/>
      <c r="C11330" t="s" s="9">
        <v>23</v>
      </c>
      <c r="D11330" t="s" s="8">
        <v>4227</v>
      </c>
      <c r="E11330" t="s" s="9">
        <v>4227</v>
      </c>
      <c r="F11330" s="19">
        <v>1</v>
      </c>
      <c r="G11330" s="14"/>
      <c r="H11330" s="19">
        <v>1</v>
      </c>
      <c r="I11330" s="14"/>
      <c r="J11330" t="s" s="11">
        <v>20</v>
      </c>
      <c r="K11330" s="15"/>
      <c r="L11330" t="s" s="16">
        <f>HYPERLINK("http://csr.bu.edu/ftp/asl/asllvd/demos/verify_start_end_handshape_annotations//test_auto_move//signs_mov_separ_signers/Tyler_7322.mov","MOV")</f>
        <v>21</v>
      </c>
      <c r="M11330" t="s" s="10">
        <v>92</v>
      </c>
      <c r="N11330" s="17">
        <v>39</v>
      </c>
      <c r="O11330" s="18">
        <v>276</v>
      </c>
      <c r="P11330" s="18">
        <v>306</v>
      </c>
      <c r="Q11330" s="15"/>
      <c r="R11330" t="s" s="16">
        <f>HYPERLINK("http://secrets.rutgers.edu:8080/data/asl-ftp/asllvd/demos/verify_start_end_handshape_annotations//test_auto_move//signs_mov_separ_signers/Tyler_7322.mov","MOV")</f>
        <v>21</v>
      </c>
    </row>
    <row r="11331" s="2" customFormat="1" ht="13.5" customHeight="1">
      <c r="B11331" s="13"/>
      <c r="C11331" t="s" s="9">
        <v>27</v>
      </c>
      <c r="D11331" t="s" s="8">
        <v>4227</v>
      </c>
      <c r="E11331" t="s" s="9">
        <v>4227</v>
      </c>
      <c r="F11331" t="s" s="10">
        <v>268</v>
      </c>
      <c r="G11331" s="14"/>
      <c r="H11331" t="s" s="10">
        <v>268</v>
      </c>
      <c r="I11331" s="14"/>
      <c r="J11331" t="s" s="11">
        <v>20</v>
      </c>
      <c r="K11331" t="s" s="16">
        <f>HYPERLINK("http://csr.bu.edu/ftp/asl/asllvd/demos/verify_start_end_handshape_annotations//test_auto_move//signs_mov/5795_7322_merged.mov","MOV")</f>
        <v>21</v>
      </c>
      <c r="L11331" t="s" s="16">
        <f>HYPERLINK("http://csr.bu.edu/ftp/asl/asllvd/demos/verify_start_end_handshape_annotations//test_auto_move//signs_mov_separ_signers/Naomi_7322.mov","MOV")</f>
        <v>21</v>
      </c>
      <c r="M11331" t="s" s="10">
        <v>38</v>
      </c>
      <c r="N11331" s="17">
        <v>7</v>
      </c>
      <c r="O11331" s="18">
        <v>743</v>
      </c>
      <c r="P11331" s="18">
        <v>762</v>
      </c>
      <c r="Q11331" t="s" s="16">
        <f>HYPERLINK("http://secrets.rutgers.edu:8080/data/asl-ftp/asllvd/demos/verify_start_end_handshape_annotations//test_auto_move//signs_mov/5795_7322_merged.mov","MOV")</f>
        <v>21</v>
      </c>
      <c r="R11331" t="s" s="16">
        <f>HYPERLINK("http://secrets.rutgers.edu:8080/data/asl-ftp/asllvd/demos/verify_start_end_handshape_annotations//test_auto_move//signs_mov_separ_signers/Naomi_7322.mov","MOV")</f>
        <v>21</v>
      </c>
    </row>
    <row r="11332" s="2" customFormat="1" ht="13.5" customHeight="1">
      <c r="B11332" s="13"/>
      <c r="C11332" t="s" s="9">
        <v>30</v>
      </c>
      <c r="D11332" t="s" s="8">
        <v>4227</v>
      </c>
      <c r="E11332" t="s" s="9">
        <v>4227</v>
      </c>
      <c r="F11332" s="19">
        <v>1</v>
      </c>
      <c r="G11332" s="14"/>
      <c r="H11332" s="19">
        <v>1</v>
      </c>
      <c r="I11332" s="14"/>
      <c r="J11332" t="s" s="11">
        <v>20</v>
      </c>
      <c r="K11332" s="15"/>
      <c r="L11332" t="s" s="16">
        <f>HYPERLINK("http://csr.bu.edu/ftp/asl/asllvd/demos/verify_start_end_handshape_annotations//test_auto_move//signs_mov_separ_signers/Brady_7322.mov","MOV")</f>
        <v>21</v>
      </c>
      <c r="M11332" t="s" s="10">
        <v>39</v>
      </c>
      <c r="N11332" s="17">
        <v>27</v>
      </c>
      <c r="O11332" s="18">
        <v>1610</v>
      </c>
      <c r="P11332" s="18">
        <v>1630</v>
      </c>
      <c r="Q11332" s="15"/>
      <c r="R11332" t="s" s="16">
        <f>HYPERLINK("http://secrets.rutgers.edu:8080/data/asl-ftp/asllvd/demos/verify_start_end_handshape_annotations//test_auto_move//signs_mov_separ_signers/Brady_7322.mov","MOV")</f>
        <v>21</v>
      </c>
    </row>
    <row r="11333" s="2" customFormat="1" ht="13.5" customHeight="1">
      <c r="B11333" s="13"/>
      <c r="C11333" t="s" s="9">
        <v>30</v>
      </c>
      <c r="D11333" t="s" s="8">
        <v>4227</v>
      </c>
      <c r="E11333" t="s" s="9">
        <v>4227</v>
      </c>
      <c r="F11333" s="19">
        <v>1</v>
      </c>
      <c r="G11333" s="14"/>
      <c r="H11333" t="s" s="10">
        <v>268</v>
      </c>
      <c r="I11333" s="14"/>
      <c r="J11333" t="s" s="11">
        <v>20</v>
      </c>
      <c r="K11333" s="15"/>
      <c r="L11333" t="s" s="16">
        <f>HYPERLINK("http://csr.bu.edu/ftp/asl/asllvd/demos/verify_start_end_handshape_annotations//test_auto_move//signs_mov_separ_signers/Brady_5795.mov","MOV")</f>
        <v>21</v>
      </c>
      <c r="M11333" t="s" s="10">
        <v>60</v>
      </c>
      <c r="N11333" s="17">
        <v>44</v>
      </c>
      <c r="O11333" s="18">
        <v>686</v>
      </c>
      <c r="P11333" s="18">
        <v>703</v>
      </c>
      <c r="Q11333" s="15"/>
      <c r="R11333" t="s" s="16">
        <f>HYPERLINK("http://secrets.rutgers.edu:8080/data/asl-ftp/asllvd/demos/verify_start_end_handshape_annotations//test_auto_move//signs_mov_separ_signers/Brady_5795.mov","MOV")</f>
        <v>21</v>
      </c>
    </row>
    <row r="11334" s="2" customFormat="1" ht="13.5" customHeight="1">
      <c r="B11334" t="s" s="8">
        <v>4228</v>
      </c>
      <c r="C11334" t="s" s="9">
        <v>14</v>
      </c>
      <c r="D11334" t="s" s="8">
        <v>14</v>
      </c>
      <c r="E11334" t="s" s="9">
        <v>14</v>
      </c>
      <c r="F11334" t="s" s="10">
        <v>14</v>
      </c>
      <c r="G11334" t="s" s="11">
        <v>14</v>
      </c>
      <c r="H11334" t="s" s="10">
        <v>14</v>
      </c>
      <c r="I11334" t="s" s="11">
        <v>14</v>
      </c>
      <c r="J11334" t="s" s="11">
        <v>14</v>
      </c>
      <c r="K11334" t="s" s="12">
        <v>14</v>
      </c>
      <c r="L11334" t="s" s="12">
        <v>14</v>
      </c>
      <c r="M11334" t="s" s="10">
        <v>14</v>
      </c>
      <c r="N11334" t="s" s="11">
        <v>14</v>
      </c>
      <c r="O11334" t="s" s="8">
        <v>14</v>
      </c>
      <c r="P11334" t="s" s="8">
        <v>14</v>
      </c>
      <c r="Q11334" t="s" s="12">
        <v>14</v>
      </c>
      <c r="R11334" t="s" s="12">
        <v>14</v>
      </c>
    </row>
    <row r="11335" s="2" customFormat="1" ht="13.5" customHeight="1">
      <c r="B11335" s="13"/>
      <c r="C11335" t="s" s="9">
        <v>30</v>
      </c>
      <c r="D11335" t="s" s="8">
        <v>4229</v>
      </c>
      <c r="E11335" t="s" s="9">
        <v>4229</v>
      </c>
      <c r="F11335" t="s" s="10">
        <v>283</v>
      </c>
      <c r="G11335" s="14"/>
      <c r="H11335" t="s" s="10">
        <v>283</v>
      </c>
      <c r="I11335" s="14"/>
      <c r="J11335" t="s" s="11">
        <v>20</v>
      </c>
      <c r="K11335" t="s" s="16">
        <f>HYPERLINK("http://csr.bu.edu/ftp/asl/asllvd/demos/verify_start_end_handshape_annotations//test_auto_move//signs_mov/7379.mov","MOV")</f>
        <v>21</v>
      </c>
      <c r="L11335" t="s" s="16">
        <f>HYPERLINK("http://csr.bu.edu/ftp/asl/asllvd/demos/verify_start_end_handshape_annotations//test_auto_move//signs_mov_separ_signers/Brady_7379.mov","MOV")</f>
        <v>21</v>
      </c>
      <c r="M11335" t="s" s="10">
        <v>39</v>
      </c>
      <c r="N11335" s="17">
        <v>56</v>
      </c>
      <c r="O11335" s="18">
        <v>4304</v>
      </c>
      <c r="P11335" s="18">
        <v>4332</v>
      </c>
      <c r="Q11335" t="s" s="16">
        <f>HYPERLINK("http://secrets.rutgers.edu:8080/data/asl-ftp/asllvd/demos/verify_start_end_handshape_annotations//test_auto_move//signs_mov/7379.mov","MOV")</f>
        <v>21</v>
      </c>
      <c r="R11335" t="s" s="16">
        <f>HYPERLINK("http://secrets.rutgers.edu:8080/data/asl-ftp/asllvd/demos/verify_start_end_handshape_annotations//test_auto_move//signs_mov_separ_signers/Brady_7379.mov","MOV")</f>
        <v>21</v>
      </c>
    </row>
    <row r="11336" s="2" customFormat="1" ht="13.5" customHeight="1">
      <c r="B11336" t="s" s="8">
        <v>4230</v>
      </c>
      <c r="C11336" t="s" s="9">
        <v>14</v>
      </c>
      <c r="D11336" t="s" s="8">
        <v>14</v>
      </c>
      <c r="E11336" t="s" s="9">
        <v>14</v>
      </c>
      <c r="F11336" t="s" s="10">
        <v>14</v>
      </c>
      <c r="G11336" t="s" s="11">
        <v>14</v>
      </c>
      <c r="H11336" t="s" s="10">
        <v>14</v>
      </c>
      <c r="I11336" t="s" s="11">
        <v>14</v>
      </c>
      <c r="J11336" t="s" s="11">
        <v>14</v>
      </c>
      <c r="K11336" t="s" s="12">
        <v>14</v>
      </c>
      <c r="L11336" t="s" s="12">
        <v>14</v>
      </c>
      <c r="M11336" t="s" s="10">
        <v>14</v>
      </c>
      <c r="N11336" t="s" s="11">
        <v>14</v>
      </c>
      <c r="O11336" t="s" s="8">
        <v>14</v>
      </c>
      <c r="P11336" t="s" s="8">
        <v>14</v>
      </c>
      <c r="Q11336" t="s" s="12">
        <v>14</v>
      </c>
      <c r="R11336" t="s" s="12">
        <v>14</v>
      </c>
    </row>
    <row r="11337" s="2" customFormat="1" ht="13.5" customHeight="1">
      <c r="B11337" s="13"/>
      <c r="C11337" t="s" s="9">
        <v>16</v>
      </c>
      <c r="D11337" t="s" s="8">
        <v>4230</v>
      </c>
      <c r="E11337" t="s" s="9">
        <v>4230</v>
      </c>
      <c r="F11337" t="s" s="10">
        <v>229</v>
      </c>
      <c r="G11337" s="14"/>
      <c r="H11337" t="s" s="10">
        <v>229</v>
      </c>
      <c r="I11337" s="14"/>
      <c r="J11337" t="s" s="11">
        <v>20</v>
      </c>
      <c r="K11337" s="15"/>
      <c r="L11337" t="s" s="16">
        <f>HYPERLINK("http://csr.bu.edu/ftp/asl/asllvd/demos/verify_start_end_handshape_annotations//test_auto_move//signs_mov_separ_signers/Liz_5066.mov","MOV")</f>
        <v>21</v>
      </c>
      <c r="M11337" t="s" s="10">
        <v>88</v>
      </c>
      <c r="N11337" s="17">
        <v>3</v>
      </c>
      <c r="O11337" s="18">
        <v>4410</v>
      </c>
      <c r="P11337" s="18">
        <v>4455</v>
      </c>
      <c r="Q11337" s="15"/>
      <c r="R11337" t="s" s="16">
        <f>HYPERLINK("http://secrets.rutgers.edu:8080/data/asl-ftp/asllvd/demos/verify_start_end_handshape_annotations//test_auto_move//signs_mov_separ_signers/Liz_5066.mov","MOV")</f>
        <v>21</v>
      </c>
    </row>
    <row r="11338" s="2" customFormat="1" ht="13.5" customHeight="1">
      <c r="B11338" s="13"/>
      <c r="C11338" t="s" s="9">
        <v>23</v>
      </c>
      <c r="D11338" t="s" s="8">
        <v>4230</v>
      </c>
      <c r="E11338" t="s" s="9">
        <v>4230</v>
      </c>
      <c r="F11338" t="s" s="10">
        <v>229</v>
      </c>
      <c r="G11338" s="14"/>
      <c r="H11338" t="s" s="10">
        <v>229</v>
      </c>
      <c r="I11338" s="14"/>
      <c r="J11338" t="s" s="11">
        <v>20</v>
      </c>
      <c r="K11338" t="s" s="16">
        <f>HYPERLINK("http://csr.bu.edu/ftp/asl/asllvd/demos/verify_start_end_handshape_annotations//test_auto_move//signs_mov/5066.mov","MOV")</f>
        <v>21</v>
      </c>
      <c r="L11338" t="s" s="16">
        <f>HYPERLINK("http://csr.bu.edu/ftp/asl/asllvd/demos/verify_start_end_handshape_annotations//test_auto_move//signs_mov_separ_signers/Tyler_5066.mov","MOV")</f>
        <v>21</v>
      </c>
      <c r="M11338" t="s" s="10">
        <v>47</v>
      </c>
      <c r="N11338" s="17">
        <v>13</v>
      </c>
      <c r="O11338" s="18">
        <v>5089</v>
      </c>
      <c r="P11338" s="18">
        <v>5126</v>
      </c>
      <c r="Q11338" t="s" s="16">
        <f>HYPERLINK("http://secrets.rutgers.edu:8080/data/asl-ftp/asllvd/demos/verify_start_end_handshape_annotations//test_auto_move//signs_mov/5066.mov","MOV")</f>
        <v>21</v>
      </c>
      <c r="R11338" t="s" s="16">
        <f>HYPERLINK("http://secrets.rutgers.edu:8080/data/asl-ftp/asllvd/demos/verify_start_end_handshape_annotations//test_auto_move//signs_mov_separ_signers/Tyler_5066.mov","MOV")</f>
        <v>21</v>
      </c>
    </row>
    <row r="11339" s="2" customFormat="1" ht="13.5" customHeight="1">
      <c r="B11339" s="13"/>
      <c r="C11339" t="s" s="9">
        <v>30</v>
      </c>
      <c r="D11339" t="s" s="8">
        <v>4230</v>
      </c>
      <c r="E11339" t="s" s="9">
        <v>4230</v>
      </c>
      <c r="F11339" t="s" s="10">
        <v>229</v>
      </c>
      <c r="G11339" s="14"/>
      <c r="H11339" t="s" s="10">
        <v>229</v>
      </c>
      <c r="I11339" s="14"/>
      <c r="J11339" t="s" s="11">
        <v>20</v>
      </c>
      <c r="K11339" s="15"/>
      <c r="L11339" t="s" s="16">
        <f>HYPERLINK("http://csr.bu.edu/ftp/asl/asllvd/demos/verify_start_end_handshape_annotations//test_auto_move//signs_mov_separ_signers/Brady_5066.mov","MOV")</f>
        <v>21</v>
      </c>
      <c r="M11339" t="s" s="10">
        <v>39</v>
      </c>
      <c r="N11339" s="17">
        <v>56</v>
      </c>
      <c r="O11339" s="18">
        <v>3827</v>
      </c>
      <c r="P11339" s="18">
        <v>3856</v>
      </c>
      <c r="Q11339" s="15"/>
      <c r="R11339" t="s" s="16">
        <f>HYPERLINK("http://secrets.rutgers.edu:8080/data/asl-ftp/asllvd/demos/verify_start_end_handshape_annotations//test_auto_move//signs_mov_separ_signers/Brady_5066.mov","MOV")</f>
        <v>21</v>
      </c>
    </row>
    <row r="11340" s="2" customFormat="1" ht="13.5" customHeight="1">
      <c r="B11340" t="s" s="8">
        <v>4231</v>
      </c>
      <c r="C11340" t="s" s="9">
        <v>14</v>
      </c>
      <c r="D11340" t="s" s="8">
        <v>14</v>
      </c>
      <c r="E11340" t="s" s="9">
        <v>14</v>
      </c>
      <c r="F11340" t="s" s="10">
        <v>14</v>
      </c>
      <c r="G11340" t="s" s="11">
        <v>14</v>
      </c>
      <c r="H11340" t="s" s="10">
        <v>14</v>
      </c>
      <c r="I11340" t="s" s="11">
        <v>14</v>
      </c>
      <c r="J11340" t="s" s="11">
        <v>14</v>
      </c>
      <c r="K11340" t="s" s="12">
        <v>14</v>
      </c>
      <c r="L11340" t="s" s="12">
        <v>14</v>
      </c>
      <c r="M11340" t="s" s="10">
        <v>14</v>
      </c>
      <c r="N11340" t="s" s="11">
        <v>14</v>
      </c>
      <c r="O11340" t="s" s="8">
        <v>14</v>
      </c>
      <c r="P11340" t="s" s="8">
        <v>14</v>
      </c>
      <c r="Q11340" t="s" s="12">
        <v>14</v>
      </c>
      <c r="R11340" t="s" s="12">
        <v>14</v>
      </c>
    </row>
    <row r="11341" s="2" customFormat="1" ht="13.5" customHeight="1">
      <c r="B11341" s="13"/>
      <c r="C11341" t="s" s="9">
        <v>16</v>
      </c>
      <c r="D11341" t="s" s="8">
        <v>4231</v>
      </c>
      <c r="E11341" t="s" s="9">
        <v>4232</v>
      </c>
      <c r="F11341" t="s" s="10">
        <v>185</v>
      </c>
      <c r="G11341" s="14"/>
      <c r="H11341" t="s" s="10">
        <v>185</v>
      </c>
      <c r="I11341" s="14"/>
      <c r="J11341" t="s" s="11">
        <v>20</v>
      </c>
      <c r="K11341" t="s" s="16">
        <f>HYPERLINK("http://csr.bu.edu/ftp/asl/asllvd/demos/verify_start_end_handshape_annotations//test_auto_move//signs_mov/7405.mov","MOV")</f>
        <v>21</v>
      </c>
      <c r="L11341" t="s" s="16">
        <f>HYPERLINK("http://csr.bu.edu/ftp/asl/asllvd/demos/verify_start_end_handshape_annotations//test_auto_move//signs_mov_separ_signers/Liz_7405.mov","MOV")</f>
        <v>21</v>
      </c>
      <c r="M11341" t="s" s="10">
        <v>34</v>
      </c>
      <c r="N11341" s="17">
        <v>39</v>
      </c>
      <c r="O11341" s="18">
        <v>2075</v>
      </c>
      <c r="P11341" s="18">
        <v>2130</v>
      </c>
      <c r="Q11341" t="s" s="16">
        <f>HYPERLINK("http://secrets.rutgers.edu:8080/data/asl-ftp/asllvd/demos/verify_start_end_handshape_annotations//test_auto_move//signs_mov/7405.mov","MOV")</f>
        <v>21</v>
      </c>
      <c r="R11341" t="s" s="16">
        <f>HYPERLINK("http://secrets.rutgers.edu:8080/data/asl-ftp/asllvd/demos/verify_start_end_handshape_annotations//test_auto_move//signs_mov_separ_signers/Liz_7405.mov","MOV")</f>
        <v>21</v>
      </c>
    </row>
    <row r="11342" s="2" customFormat="1" ht="13.5" customHeight="1">
      <c r="B11342" s="13"/>
      <c r="C11342" t="s" s="9">
        <v>27</v>
      </c>
      <c r="D11342" t="s" s="8">
        <v>4231</v>
      </c>
      <c r="E11342" t="s" s="9">
        <v>4233</v>
      </c>
      <c r="F11342" t="s" s="10">
        <v>185</v>
      </c>
      <c r="G11342" s="14"/>
      <c r="H11342" t="s" s="10">
        <v>185</v>
      </c>
      <c r="I11342" s="14"/>
      <c r="J11342" t="s" s="11">
        <v>20</v>
      </c>
      <c r="K11342" s="15"/>
      <c r="L11342" t="s" s="16">
        <f>HYPERLINK("http://csr.bu.edu/ftp/asl/asllvd/demos/verify_start_end_handshape_annotations//test_auto_move//signs_mov_separ_signers/Naomi_7405.mov","MOV")</f>
        <v>21</v>
      </c>
      <c r="M11342" t="s" s="10">
        <v>38</v>
      </c>
      <c r="N11342" s="17">
        <v>33</v>
      </c>
      <c r="O11342" s="18">
        <v>1332</v>
      </c>
      <c r="P11342" s="18">
        <v>1368</v>
      </c>
      <c r="Q11342" s="15"/>
      <c r="R11342" t="s" s="16">
        <f>HYPERLINK("http://secrets.rutgers.edu:8080/data/asl-ftp/asllvd/demos/verify_start_end_handshape_annotations//test_auto_move//signs_mov_separ_signers/Naomi_7405.mov","MOV")</f>
        <v>21</v>
      </c>
    </row>
    <row r="11343" s="2" customFormat="1" ht="13.5" customHeight="1">
      <c r="B11343" t="s" s="8">
        <v>4231</v>
      </c>
      <c r="C11343" t="s" s="9">
        <v>14</v>
      </c>
      <c r="D11343" t="s" s="8">
        <v>14</v>
      </c>
      <c r="E11343" t="s" s="9">
        <v>14</v>
      </c>
      <c r="F11343" t="s" s="10">
        <v>14</v>
      </c>
      <c r="G11343" t="s" s="11">
        <v>14</v>
      </c>
      <c r="H11343" t="s" s="10">
        <v>14</v>
      </c>
      <c r="I11343" t="s" s="11">
        <v>14</v>
      </c>
      <c r="J11343" t="s" s="11">
        <v>14</v>
      </c>
      <c r="K11343" t="s" s="12">
        <v>14</v>
      </c>
      <c r="L11343" t="s" s="12">
        <v>14</v>
      </c>
      <c r="M11343" t="s" s="10">
        <v>14</v>
      </c>
      <c r="N11343" t="s" s="11">
        <v>14</v>
      </c>
      <c r="O11343" t="s" s="8">
        <v>14</v>
      </c>
      <c r="P11343" t="s" s="8">
        <v>14</v>
      </c>
      <c r="Q11343" t="s" s="12">
        <v>14</v>
      </c>
      <c r="R11343" t="s" s="12">
        <v>14</v>
      </c>
    </row>
    <row r="11344" s="2" customFormat="1" ht="13.5" customHeight="1">
      <c r="B11344" s="13"/>
      <c r="C11344" t="s" s="9">
        <v>16</v>
      </c>
      <c r="D11344" t="s" s="8">
        <v>4234</v>
      </c>
      <c r="E11344" t="s" s="9">
        <v>4235</v>
      </c>
      <c r="F11344" s="19">
        <v>5</v>
      </c>
      <c r="G11344" t="s" s="11">
        <v>68</v>
      </c>
      <c r="H11344" s="19">
        <v>5</v>
      </c>
      <c r="I11344" t="s" s="11">
        <v>68</v>
      </c>
      <c r="J11344" t="s" s="11">
        <v>20</v>
      </c>
      <c r="K11344" s="15"/>
      <c r="L11344" t="s" s="16">
        <f>HYPERLINK("http://csr.bu.edu/ftp/asl/asllvd/demos/verify_start_end_handshape_annotations//test_auto_move//signs_mov_separ_signers/Liz_5589.mov","MOV")</f>
        <v>21</v>
      </c>
      <c r="M11344" t="s" s="10">
        <v>34</v>
      </c>
      <c r="N11344" s="17">
        <v>40</v>
      </c>
      <c r="O11344" s="18">
        <v>600</v>
      </c>
      <c r="P11344" s="18">
        <v>665</v>
      </c>
      <c r="Q11344" s="15"/>
      <c r="R11344" t="s" s="16">
        <f>HYPERLINK("http://secrets.rutgers.edu:8080/data/asl-ftp/asllvd/demos/verify_start_end_handshape_annotations//test_auto_move//signs_mov_separ_signers/Liz_5589.mov","MOV")</f>
        <v>21</v>
      </c>
    </row>
    <row r="11345" s="2" customFormat="1" ht="13.5" customHeight="1">
      <c r="B11345" s="13"/>
      <c r="C11345" t="s" s="9">
        <v>23</v>
      </c>
      <c r="D11345" t="s" s="8">
        <v>4234</v>
      </c>
      <c r="E11345" t="s" s="9">
        <v>4236</v>
      </c>
      <c r="F11345" s="19">
        <v>5</v>
      </c>
      <c r="G11345" t="s" s="11">
        <v>68</v>
      </c>
      <c r="H11345" s="19">
        <v>5</v>
      </c>
      <c r="I11345" t="s" s="11">
        <v>68</v>
      </c>
      <c r="J11345" t="s" s="11">
        <v>20</v>
      </c>
      <c r="K11345" t="s" s="16">
        <f>HYPERLINK("http://csr.bu.edu/ftp/asl/asllvd/demos/verify_start_end_handshape_annotations//test_auto_move//signs_mov/5589.mov","MOV")</f>
        <v>21</v>
      </c>
      <c r="L11345" t="s" s="16">
        <f>HYPERLINK("http://csr.bu.edu/ftp/asl/asllvd/demos/verify_start_end_handshape_annotations//test_auto_move//signs_mov_separ_signers/Tyler_5589.mov","MOV")</f>
        <v>21</v>
      </c>
      <c r="M11345" t="s" s="10">
        <v>37</v>
      </c>
      <c r="N11345" s="17">
        <v>13</v>
      </c>
      <c r="O11345" s="18">
        <v>1555</v>
      </c>
      <c r="P11345" s="18">
        <v>1610</v>
      </c>
      <c r="Q11345" t="s" s="16">
        <f>HYPERLINK("http://secrets.rutgers.edu:8080/data/asl-ftp/asllvd/demos/verify_start_end_handshape_annotations//test_auto_move//signs_mov/5589.mov","MOV")</f>
        <v>21</v>
      </c>
      <c r="R11345" t="s" s="16">
        <f>HYPERLINK("http://secrets.rutgers.edu:8080/data/asl-ftp/asllvd/demos/verify_start_end_handshape_annotations//test_auto_move//signs_mov_separ_signers/Tyler_5589.mov","MOV")</f>
        <v>21</v>
      </c>
    </row>
    <row r="11346" s="2" customFormat="1" ht="13.5" customHeight="1">
      <c r="B11346" s="13"/>
      <c r="C11346" t="s" s="9">
        <v>27</v>
      </c>
      <c r="D11346" t="s" s="8">
        <v>4234</v>
      </c>
      <c r="E11346" t="s" s="9">
        <v>4235</v>
      </c>
      <c r="F11346" s="19">
        <v>5</v>
      </c>
      <c r="G11346" t="s" s="11">
        <v>68</v>
      </c>
      <c r="H11346" s="19">
        <v>5</v>
      </c>
      <c r="I11346" t="s" s="11">
        <v>68</v>
      </c>
      <c r="J11346" t="s" s="11">
        <v>20</v>
      </c>
      <c r="K11346" s="15"/>
      <c r="L11346" t="s" s="16">
        <f>HYPERLINK("http://csr.bu.edu/ftp/asl/asllvd/demos/verify_start_end_handshape_annotations//test_auto_move//signs_mov_separ_signers/Naomi_5589.mov","MOV")</f>
        <v>21</v>
      </c>
      <c r="M11346" t="s" s="10">
        <v>38</v>
      </c>
      <c r="N11346" s="17">
        <v>33</v>
      </c>
      <c r="O11346" s="18">
        <v>2112</v>
      </c>
      <c r="P11346" s="18">
        <v>2152</v>
      </c>
      <c r="Q11346" s="15"/>
      <c r="R11346" t="s" s="16">
        <f>HYPERLINK("http://secrets.rutgers.edu:8080/data/asl-ftp/asllvd/demos/verify_start_end_handshape_annotations//test_auto_move//signs_mov_separ_signers/Naomi_5589.mov","MOV")</f>
        <v>21</v>
      </c>
    </row>
    <row r="11347" s="2" customFormat="1" ht="13.5" customHeight="1">
      <c r="B11347" s="13"/>
      <c r="C11347" t="s" s="9">
        <v>30</v>
      </c>
      <c r="D11347" t="s" s="8">
        <v>4234</v>
      </c>
      <c r="E11347" t="s" s="9">
        <v>4235</v>
      </c>
      <c r="F11347" t="s" s="10">
        <v>73</v>
      </c>
      <c r="G11347" t="s" s="11">
        <v>158</v>
      </c>
      <c r="H11347" t="s" s="10">
        <v>73</v>
      </c>
      <c r="I11347" t="s" s="11">
        <v>158</v>
      </c>
      <c r="J11347" t="s" s="11">
        <v>20</v>
      </c>
      <c r="K11347" s="15"/>
      <c r="L11347" t="s" s="16">
        <f>HYPERLINK("http://csr.bu.edu/ftp/asl/asllvd/demos/verify_start_end_handshape_annotations//test_auto_move//signs_mov_separ_signers/Brady_5589.mov","MOV")</f>
        <v>21</v>
      </c>
      <c r="M11347" t="s" s="10">
        <v>39</v>
      </c>
      <c r="N11347" s="17">
        <v>44</v>
      </c>
      <c r="O11347" s="18">
        <v>4195</v>
      </c>
      <c r="P11347" s="18">
        <v>4223</v>
      </c>
      <c r="Q11347" s="15"/>
      <c r="R11347" t="s" s="16">
        <f>HYPERLINK("http://secrets.rutgers.edu:8080/data/asl-ftp/asllvd/demos/verify_start_end_handshape_annotations//test_auto_move//signs_mov_separ_signers/Brady_5589.mov","MOV")</f>
        <v>21</v>
      </c>
    </row>
    <row r="11348" s="2" customFormat="1" ht="13.5" customHeight="1">
      <c r="B11348" t="s" s="8">
        <v>4237</v>
      </c>
      <c r="C11348" t="s" s="9">
        <v>14</v>
      </c>
      <c r="D11348" t="s" s="8">
        <v>14</v>
      </c>
      <c r="E11348" t="s" s="9">
        <v>14</v>
      </c>
      <c r="F11348" t="s" s="10">
        <v>14</v>
      </c>
      <c r="G11348" t="s" s="11">
        <v>14</v>
      </c>
      <c r="H11348" t="s" s="10">
        <v>14</v>
      </c>
      <c r="I11348" t="s" s="11">
        <v>14</v>
      </c>
      <c r="J11348" t="s" s="11">
        <v>14</v>
      </c>
      <c r="K11348" t="s" s="12">
        <v>14</v>
      </c>
      <c r="L11348" t="s" s="12">
        <v>14</v>
      </c>
      <c r="M11348" t="s" s="10">
        <v>14</v>
      </c>
      <c r="N11348" t="s" s="11">
        <v>14</v>
      </c>
      <c r="O11348" t="s" s="8">
        <v>14</v>
      </c>
      <c r="P11348" t="s" s="8">
        <v>14</v>
      </c>
      <c r="Q11348" t="s" s="12">
        <v>14</v>
      </c>
      <c r="R11348" t="s" s="12">
        <v>14</v>
      </c>
    </row>
    <row r="11349" s="2" customFormat="1" ht="13.5" customHeight="1">
      <c r="B11349" s="13"/>
      <c r="C11349" t="s" s="9">
        <v>27</v>
      </c>
      <c r="D11349" t="s" s="8">
        <v>4237</v>
      </c>
      <c r="E11349" t="s" s="9">
        <v>4237</v>
      </c>
      <c r="F11349" t="s" s="10">
        <v>437</v>
      </c>
      <c r="G11349" s="14"/>
      <c r="H11349" t="s" s="10">
        <v>220</v>
      </c>
      <c r="I11349" s="14"/>
      <c r="J11349" t="s" s="11">
        <v>20</v>
      </c>
      <c r="K11349" s="15"/>
      <c r="L11349" t="s" s="16">
        <f>HYPERLINK("http://csr.bu.edu/ftp/asl/asllvd/demos/verify_start_end_handshape_annotations//test_auto_move//signs_mov_separ_signers/Naomi_5632.mov","MOV")</f>
        <v>21</v>
      </c>
      <c r="M11349" t="s" s="10">
        <v>38</v>
      </c>
      <c r="N11349" s="17">
        <v>33</v>
      </c>
      <c r="O11349" s="18">
        <v>1837</v>
      </c>
      <c r="P11349" s="18">
        <v>1870</v>
      </c>
      <c r="Q11349" s="15"/>
      <c r="R11349" t="s" s="16">
        <f>HYPERLINK("http://secrets.rutgers.edu:8080/data/asl-ftp/asllvd/demos/verify_start_end_handshape_annotations//test_auto_move//signs_mov_separ_signers/Naomi_5632.mov","MOV")</f>
        <v>21</v>
      </c>
    </row>
    <row r="11350" s="2" customFormat="1" ht="13.5" customHeight="1">
      <c r="B11350" s="13"/>
      <c r="C11350" t="s" s="9">
        <v>30</v>
      </c>
      <c r="D11350" t="s" s="8">
        <v>4237</v>
      </c>
      <c r="E11350" t="s" s="9">
        <v>4237</v>
      </c>
      <c r="F11350" t="s" s="10">
        <v>282</v>
      </c>
      <c r="G11350" s="14"/>
      <c r="H11350" t="s" s="10">
        <v>220</v>
      </c>
      <c r="I11350" s="14"/>
      <c r="J11350" t="s" s="11">
        <v>20</v>
      </c>
      <c r="K11350" t="s" s="16">
        <f>HYPERLINK("http://csr.bu.edu/ftp/asl/asllvd/demos/verify_start_end_handshape_annotations//test_auto_move//signs_mov/5632_5969_merged.mov","MOV")</f>
        <v>21</v>
      </c>
      <c r="L11350" t="s" s="16">
        <f>HYPERLINK("http://csr.bu.edu/ftp/asl/asllvd/demos/verify_start_end_handshape_annotations//test_auto_move//signs_mov_separ_signers/Brady_5632.mov","MOV")</f>
        <v>21</v>
      </c>
      <c r="M11350" t="s" s="10">
        <v>39</v>
      </c>
      <c r="N11350" s="17">
        <v>44</v>
      </c>
      <c r="O11350" s="18">
        <v>2393</v>
      </c>
      <c r="P11350" s="18">
        <v>2414</v>
      </c>
      <c r="Q11350" t="s" s="16">
        <f>HYPERLINK("http://secrets.rutgers.edu:8080/data/asl-ftp/asllvd/demos/verify_start_end_handshape_annotations//test_auto_move//signs_mov/5632_5969_merged.mov","MOV")</f>
        <v>21</v>
      </c>
      <c r="R11350" t="s" s="16">
        <f>HYPERLINK("http://secrets.rutgers.edu:8080/data/asl-ftp/asllvd/demos/verify_start_end_handshape_annotations//test_auto_move//signs_mov_separ_signers/Brady_5632.mov","MOV")</f>
        <v>21</v>
      </c>
    </row>
    <row r="11351" s="2" customFormat="1" ht="13.5" customHeight="1">
      <c r="B11351" s="13"/>
      <c r="C11351" t="s" s="9">
        <v>30</v>
      </c>
      <c r="D11351" t="s" s="8">
        <v>4237</v>
      </c>
      <c r="E11351" t="s" s="9">
        <v>4237</v>
      </c>
      <c r="F11351" t="s" s="10">
        <v>437</v>
      </c>
      <c r="G11351" s="14"/>
      <c r="H11351" t="s" s="10">
        <v>220</v>
      </c>
      <c r="I11351" s="14"/>
      <c r="J11351" t="s" s="11">
        <v>20</v>
      </c>
      <c r="K11351" s="15"/>
      <c r="L11351" t="s" s="16">
        <f>HYPERLINK("http://csr.bu.edu/ftp/asl/asllvd/demos/verify_start_end_handshape_annotations//test_auto_move//signs_mov_separ_signers/Brady_5969.mov","MOV")</f>
        <v>21</v>
      </c>
      <c r="M11351" t="s" s="10">
        <v>39</v>
      </c>
      <c r="N11351" s="17">
        <v>44</v>
      </c>
      <c r="O11351" s="18">
        <v>3576</v>
      </c>
      <c r="P11351" s="18">
        <v>3601</v>
      </c>
      <c r="Q11351" s="15"/>
      <c r="R11351" t="s" s="16">
        <f>HYPERLINK("http://secrets.rutgers.edu:8080/data/asl-ftp/asllvd/demos/verify_start_end_handshape_annotations//test_auto_move//signs_mov_separ_signers/Brady_5969.mov","MOV")</f>
        <v>21</v>
      </c>
    </row>
    <row r="11352" s="2" customFormat="1" ht="13.5" customHeight="1">
      <c r="B11352" t="s" s="8">
        <v>52</v>
      </c>
      <c r="C11352" t="s" s="9">
        <v>53</v>
      </c>
      <c r="D11352" t="s" s="8">
        <v>53</v>
      </c>
      <c r="E11352" t="s" s="9">
        <v>53</v>
      </c>
      <c r="F11352" t="s" s="10">
        <v>53</v>
      </c>
      <c r="G11352" t="s" s="11">
        <v>53</v>
      </c>
      <c r="H11352" t="s" s="10">
        <v>53</v>
      </c>
      <c r="I11352" t="s" s="11">
        <v>53</v>
      </c>
      <c r="J11352" t="s" s="11">
        <v>53</v>
      </c>
      <c r="K11352" t="s" s="12">
        <v>53</v>
      </c>
      <c r="L11352" t="s" s="12">
        <v>53</v>
      </c>
      <c r="M11352" t="s" s="10">
        <v>53</v>
      </c>
      <c r="N11352" t="s" s="11">
        <v>53</v>
      </c>
      <c r="O11352" t="s" s="8">
        <v>53</v>
      </c>
      <c r="P11352" t="s" s="8">
        <v>53</v>
      </c>
      <c r="Q11352" t="s" s="12">
        <v>53</v>
      </c>
      <c r="R11352" t="s" s="12">
        <v>53</v>
      </c>
    </row>
    <row r="11353" s="2" customFormat="1" ht="13.5" customHeight="1">
      <c r="B11353" s="13"/>
      <c r="C11353" t="s" s="9">
        <v>27</v>
      </c>
      <c r="D11353" t="s" s="8">
        <v>4237</v>
      </c>
      <c r="E11353" t="s" s="9">
        <v>4238</v>
      </c>
      <c r="F11353" t="s" s="10">
        <v>437</v>
      </c>
      <c r="G11353" s="14"/>
      <c r="H11353" s="19">
        <v>1</v>
      </c>
      <c r="I11353" s="14"/>
      <c r="J11353" t="s" s="11">
        <v>20</v>
      </c>
      <c r="K11353" t="s" s="16">
        <f>HYPERLINK("http://csr.bu.edu/ftp/asl/asllvd/demos/verify_start_end_handshape_annotations//test_auto_move//signs_mov/15114.mov","MOV")</f>
        <v>21</v>
      </c>
      <c r="L11353" t="s" s="16">
        <f>HYPERLINK("http://csr.bu.edu/ftp/asl/asllvd/demos/verify_start_end_handshape_annotations//test_auto_move//signs_mov_separ_signers/Naomi_15114.mov","MOV")</f>
        <v>21</v>
      </c>
      <c r="M11353" t="s" s="10">
        <v>38</v>
      </c>
      <c r="N11353" s="17">
        <v>33</v>
      </c>
      <c r="O11353" s="18">
        <v>1590</v>
      </c>
      <c r="P11353" s="18">
        <v>1620</v>
      </c>
      <c r="Q11353" t="s" s="16">
        <f>HYPERLINK("http://secrets.rutgers.edu:8080/data/asl-ftp/asllvd/demos/verify_start_end_handshape_annotations//test_auto_move//signs_mov/15114.mov","MOV")</f>
        <v>21</v>
      </c>
      <c r="R11353" t="s" s="16">
        <f>HYPERLINK("http://secrets.rutgers.edu:8080/data/asl-ftp/asllvd/demos/verify_start_end_handshape_annotations//test_auto_move//signs_mov_separ_signers/Naomi_15114.mov","MOV")</f>
        <v>21</v>
      </c>
    </row>
    <row r="11354" s="2" customFormat="1" ht="13.5" customHeight="1">
      <c r="B11354" t="s" s="8">
        <v>1615</v>
      </c>
      <c r="C11354" t="s" s="9">
        <v>14</v>
      </c>
      <c r="D11354" t="s" s="8">
        <v>14</v>
      </c>
      <c r="E11354" t="s" s="9">
        <v>14</v>
      </c>
      <c r="F11354" t="s" s="10">
        <v>14</v>
      </c>
      <c r="G11354" t="s" s="11">
        <v>14</v>
      </c>
      <c r="H11354" t="s" s="10">
        <v>14</v>
      </c>
      <c r="I11354" t="s" s="11">
        <v>14</v>
      </c>
      <c r="J11354" t="s" s="11">
        <v>14</v>
      </c>
      <c r="K11354" t="s" s="12">
        <v>14</v>
      </c>
      <c r="L11354" t="s" s="12">
        <v>14</v>
      </c>
      <c r="M11354" t="s" s="10">
        <v>14</v>
      </c>
      <c r="N11354" t="s" s="11">
        <v>14</v>
      </c>
      <c r="O11354" t="s" s="8">
        <v>14</v>
      </c>
      <c r="P11354" t="s" s="8">
        <v>14</v>
      </c>
      <c r="Q11354" t="s" s="12">
        <v>14</v>
      </c>
      <c r="R11354" t="s" s="12">
        <v>14</v>
      </c>
    </row>
    <row r="11355" s="2" customFormat="1" ht="13.5" customHeight="1">
      <c r="B11355" s="13"/>
      <c r="C11355" t="s" s="9">
        <v>23</v>
      </c>
      <c r="D11355" t="s" s="8">
        <v>1615</v>
      </c>
      <c r="E11355" t="s" s="9">
        <v>4239</v>
      </c>
      <c r="F11355" t="s" s="10">
        <v>25</v>
      </c>
      <c r="G11355" t="s" s="11">
        <v>73</v>
      </c>
      <c r="H11355" t="s" s="10">
        <v>626</v>
      </c>
      <c r="I11355" t="s" s="11">
        <v>73</v>
      </c>
      <c r="J11355" t="s" s="11">
        <v>20</v>
      </c>
      <c r="K11355" t="s" s="16">
        <f>HYPERLINK("http://csr.bu.edu/ftp/asl/asllvd/demos/verify_start_end_handshape_annotations//test_auto_move//signs_mov/7459.mov","MOV")</f>
        <v>21</v>
      </c>
      <c r="L11355" t="s" s="16">
        <f>HYPERLINK("http://csr.bu.edu/ftp/asl/asllvd/demos/verify_start_end_handshape_annotations//test_auto_move//signs_mov_separ_signers/Tyler_7459.mov","MOV")</f>
        <v>21</v>
      </c>
      <c r="M11355" t="s" s="10">
        <v>37</v>
      </c>
      <c r="N11355" s="17">
        <v>17</v>
      </c>
      <c r="O11355" s="18">
        <v>1480</v>
      </c>
      <c r="P11355" s="18">
        <v>1513</v>
      </c>
      <c r="Q11355" t="s" s="16">
        <f>HYPERLINK("http://secrets.rutgers.edu:8080/data/asl-ftp/asllvd/demos/verify_start_end_handshape_annotations//test_auto_move//signs_mov/7459.mov","MOV")</f>
        <v>21</v>
      </c>
      <c r="R11355" t="s" s="16">
        <f>HYPERLINK("http://secrets.rutgers.edu:8080/data/asl-ftp/asllvd/demos/verify_start_end_handshape_annotations//test_auto_move//signs_mov_separ_signers/Tyler_7459.mov","MOV")</f>
        <v>21</v>
      </c>
    </row>
    <row r="11356" s="2" customFormat="1" ht="13.5" customHeight="1">
      <c r="B11356" s="13"/>
      <c r="C11356" t="s" s="9">
        <v>30</v>
      </c>
      <c r="D11356" t="s" s="8">
        <v>1615</v>
      </c>
      <c r="E11356" t="s" s="9">
        <v>1615</v>
      </c>
      <c r="F11356" t="s" s="10">
        <v>25</v>
      </c>
      <c r="G11356" t="s" s="11">
        <v>73</v>
      </c>
      <c r="H11356" t="s" s="10">
        <v>25</v>
      </c>
      <c r="I11356" t="s" s="11">
        <v>73</v>
      </c>
      <c r="J11356" t="s" s="11">
        <v>20</v>
      </c>
      <c r="K11356" s="15"/>
      <c r="L11356" t="s" s="16">
        <f>HYPERLINK("http://csr.bu.edu/ftp/asl/asllvd/demos/verify_start_end_handshape_annotations//test_auto_move//signs_mov_separ_signers/Brady_7459.mov","MOV")</f>
        <v>21</v>
      </c>
      <c r="M11356" t="s" s="10">
        <v>39</v>
      </c>
      <c r="N11356" s="17">
        <v>47</v>
      </c>
      <c r="O11356" s="18">
        <v>1533</v>
      </c>
      <c r="P11356" s="18">
        <v>1543</v>
      </c>
      <c r="Q11356" s="15"/>
      <c r="R11356" t="s" s="16">
        <f>HYPERLINK("http://secrets.rutgers.edu:8080/data/asl-ftp/asllvd/demos/verify_start_end_handshape_annotations//test_auto_move//signs_mov_separ_signers/Brady_7459.mov","MOV")</f>
        <v>21</v>
      </c>
    </row>
    <row r="11357" s="2" customFormat="1" ht="13.5" customHeight="1">
      <c r="B11357" t="s" s="8">
        <v>4240</v>
      </c>
      <c r="C11357" t="s" s="9">
        <v>14</v>
      </c>
      <c r="D11357" t="s" s="8">
        <v>14</v>
      </c>
      <c r="E11357" t="s" s="9">
        <v>14</v>
      </c>
      <c r="F11357" t="s" s="10">
        <v>14</v>
      </c>
      <c r="G11357" t="s" s="11">
        <v>14</v>
      </c>
      <c r="H11357" t="s" s="10">
        <v>14</v>
      </c>
      <c r="I11357" t="s" s="11">
        <v>14</v>
      </c>
      <c r="J11357" t="s" s="11">
        <v>14</v>
      </c>
      <c r="K11357" t="s" s="12">
        <v>14</v>
      </c>
      <c r="L11357" t="s" s="12">
        <v>14</v>
      </c>
      <c r="M11357" t="s" s="10">
        <v>14</v>
      </c>
      <c r="N11357" t="s" s="11">
        <v>14</v>
      </c>
      <c r="O11357" t="s" s="8">
        <v>14</v>
      </c>
      <c r="P11357" t="s" s="8">
        <v>14</v>
      </c>
      <c r="Q11357" t="s" s="12">
        <v>14</v>
      </c>
      <c r="R11357" t="s" s="12">
        <v>14</v>
      </c>
    </row>
    <row r="11358" s="2" customFormat="1" ht="13.5" customHeight="1">
      <c r="B11358" s="13"/>
      <c r="C11358" t="s" s="9">
        <v>16</v>
      </c>
      <c r="D11358" t="s" s="8">
        <v>4240</v>
      </c>
      <c r="E11358" t="s" s="9">
        <v>4241</v>
      </c>
      <c r="F11358" t="s" s="10">
        <v>337</v>
      </c>
      <c r="G11358" s="14"/>
      <c r="H11358" t="s" s="10">
        <v>337</v>
      </c>
      <c r="I11358" s="14"/>
      <c r="J11358" t="s" s="11">
        <v>20</v>
      </c>
      <c r="K11358" s="15"/>
      <c r="L11358" t="s" s="16">
        <f>HYPERLINK("http://csr.bu.edu/ftp/asl/asllvd/demos/verify_start_end_handshape_annotations//test_auto_move//signs_mov_separ_signers/Liz_7482.mov","MOV")</f>
        <v>21</v>
      </c>
      <c r="M11358" t="s" s="10">
        <v>22</v>
      </c>
      <c r="N11358" s="17">
        <v>19</v>
      </c>
      <c r="O11358" s="18">
        <v>1541</v>
      </c>
      <c r="P11358" s="18">
        <v>1590</v>
      </c>
      <c r="Q11358" s="15"/>
      <c r="R11358" t="s" s="16">
        <f>HYPERLINK("http://secrets.rutgers.edu:8080/data/asl-ftp/asllvd/demos/verify_start_end_handshape_annotations//test_auto_move//signs_mov_separ_signers/Liz_7482.mov","MOV")</f>
        <v>21</v>
      </c>
    </row>
    <row r="11359" s="2" customFormat="1" ht="13.5" customHeight="1">
      <c r="B11359" s="13"/>
      <c r="C11359" t="s" s="9">
        <v>16</v>
      </c>
      <c r="D11359" t="s" s="8">
        <v>4240</v>
      </c>
      <c r="E11359" t="s" s="9">
        <v>4241</v>
      </c>
      <c r="F11359" t="s" s="10">
        <v>337</v>
      </c>
      <c r="G11359" s="14"/>
      <c r="H11359" t="s" s="10">
        <v>337</v>
      </c>
      <c r="I11359" s="14"/>
      <c r="J11359" t="s" s="11">
        <v>20</v>
      </c>
      <c r="K11359" s="15"/>
      <c r="L11359" t="s" s="16">
        <f>HYPERLINK("http://csr.bu.edu/ftp/asl/asllvd/demos/verify_start_end_handshape_annotations//test_auto_move//signs_mov_separ_signers/Liz_5586.mov","MOV")</f>
        <v>21</v>
      </c>
      <c r="M11359" t="s" s="10">
        <v>34</v>
      </c>
      <c r="N11359" s="17">
        <v>13</v>
      </c>
      <c r="O11359" s="18">
        <v>1737</v>
      </c>
      <c r="P11359" s="18">
        <v>1790</v>
      </c>
      <c r="Q11359" s="15"/>
      <c r="R11359" t="s" s="16">
        <f>HYPERLINK("http://secrets.rutgers.edu:8080/data/asl-ftp/asllvd/demos/verify_start_end_handshape_annotations//test_auto_move//signs_mov_separ_signers/Liz_5586.mov","MOV")</f>
        <v>21</v>
      </c>
    </row>
    <row r="11360" s="2" customFormat="1" ht="13.5" customHeight="1">
      <c r="B11360" s="13"/>
      <c r="C11360" t="s" s="9">
        <v>23</v>
      </c>
      <c r="D11360" t="s" s="8">
        <v>4240</v>
      </c>
      <c r="E11360" t="s" s="9">
        <v>4242</v>
      </c>
      <c r="F11360" t="s" s="10">
        <v>337</v>
      </c>
      <c r="G11360" s="14"/>
      <c r="H11360" t="s" s="10">
        <v>337</v>
      </c>
      <c r="I11360" s="14"/>
      <c r="J11360" t="s" s="11">
        <v>20</v>
      </c>
      <c r="K11360" s="15"/>
      <c r="L11360" t="s" s="16">
        <f>HYPERLINK("http://csr.bu.edu/ftp/asl/asllvd/demos/verify_start_end_handshape_annotations//test_auto_move//signs_mov_separ_signers/Tyler_7482.mov","MOV")</f>
        <v>21</v>
      </c>
      <c r="M11360" t="s" s="10">
        <v>26</v>
      </c>
      <c r="N11360" s="17">
        <v>13</v>
      </c>
      <c r="O11360" s="18">
        <v>1330</v>
      </c>
      <c r="P11360" s="18">
        <v>1415</v>
      </c>
      <c r="Q11360" s="15"/>
      <c r="R11360" t="s" s="16">
        <f>HYPERLINK("http://secrets.rutgers.edu:8080/data/asl-ftp/asllvd/demos/verify_start_end_handshape_annotations//test_auto_move//signs_mov_separ_signers/Tyler_7482.mov","MOV")</f>
        <v>21</v>
      </c>
    </row>
    <row r="11361" s="2" customFormat="1" ht="13.5" customHeight="1">
      <c r="B11361" s="13"/>
      <c r="C11361" t="s" s="9">
        <v>23</v>
      </c>
      <c r="D11361" t="s" s="8">
        <v>4240</v>
      </c>
      <c r="E11361" t="s" s="9">
        <v>4242</v>
      </c>
      <c r="F11361" t="s" s="10">
        <v>337</v>
      </c>
      <c r="G11361" s="14"/>
      <c r="H11361" t="s" s="10">
        <v>337</v>
      </c>
      <c r="I11361" s="14"/>
      <c r="J11361" t="s" s="11">
        <v>20</v>
      </c>
      <c r="K11361" t="s" s="16">
        <f>HYPERLINK("http://csr.bu.edu/ftp/asl/asllvd/demos/verify_start_end_handshape_annotations//test_auto_move//signs_mov/5586_7482_merged.mov","MOV")</f>
        <v>21</v>
      </c>
      <c r="L11361" t="s" s="16">
        <f>HYPERLINK("http://csr.bu.edu/ftp/asl/asllvd/demos/verify_start_end_handshape_annotations//test_auto_move//signs_mov_separ_signers/Tyler_5586.mov","MOV")</f>
        <v>21</v>
      </c>
      <c r="M11361" t="s" s="10">
        <v>92</v>
      </c>
      <c r="N11361" s="17">
        <v>43</v>
      </c>
      <c r="O11361" s="18">
        <v>1765</v>
      </c>
      <c r="P11361" s="18">
        <v>1815</v>
      </c>
      <c r="Q11361" t="s" s="16">
        <f>HYPERLINK("http://secrets.rutgers.edu:8080/data/asl-ftp/asllvd/demos/verify_start_end_handshape_annotations//test_auto_move//signs_mov/5586_7482_merged.mov","MOV")</f>
        <v>21</v>
      </c>
      <c r="R11361" t="s" s="16">
        <f>HYPERLINK("http://secrets.rutgers.edu:8080/data/asl-ftp/asllvd/demos/verify_start_end_handshape_annotations//test_auto_move//signs_mov_separ_signers/Tyler_5586.mov","MOV")</f>
        <v>21</v>
      </c>
    </row>
    <row r="11362" s="2" customFormat="1" ht="13.5" customHeight="1">
      <c r="B11362" s="13"/>
      <c r="C11362" t="s" s="9">
        <v>27</v>
      </c>
      <c r="D11362" t="s" s="8">
        <v>4240</v>
      </c>
      <c r="E11362" t="s" s="9">
        <v>4240</v>
      </c>
      <c r="F11362" t="s" s="10">
        <v>337</v>
      </c>
      <c r="G11362" s="14"/>
      <c r="H11362" t="s" s="10">
        <v>337</v>
      </c>
      <c r="I11362" s="14"/>
      <c r="J11362" t="s" s="11">
        <v>20</v>
      </c>
      <c r="K11362" s="15"/>
      <c r="L11362" t="s" s="16">
        <f>HYPERLINK("http://csr.bu.edu/ftp/asl/asllvd/demos/verify_start_end_handshape_annotations//test_auto_move//signs_mov_separ_signers/Naomi_7482.mov","MOV")</f>
        <v>21</v>
      </c>
      <c r="M11362" t="s" s="10">
        <v>29</v>
      </c>
      <c r="N11362" s="17">
        <v>13</v>
      </c>
      <c r="O11362" s="18">
        <v>1698</v>
      </c>
      <c r="P11362" s="18">
        <v>1738</v>
      </c>
      <c r="Q11362" s="15"/>
      <c r="R11362" t="s" s="16">
        <f>HYPERLINK("http://secrets.rutgers.edu:8080/data/asl-ftp/asllvd/demos/verify_start_end_handshape_annotations//test_auto_move//signs_mov_separ_signers/Naomi_7482.mov","MOV")</f>
        <v>21</v>
      </c>
    </row>
    <row r="11363" s="2" customFormat="1" ht="13.5" customHeight="1">
      <c r="B11363" s="13"/>
      <c r="C11363" t="s" s="9">
        <v>27</v>
      </c>
      <c r="D11363" t="s" s="8">
        <v>4240</v>
      </c>
      <c r="E11363" t="s" s="9">
        <v>4241</v>
      </c>
      <c r="F11363" t="s" s="10">
        <v>337</v>
      </c>
      <c r="G11363" s="14"/>
      <c r="H11363" t="s" s="10">
        <v>337</v>
      </c>
      <c r="I11363" s="14"/>
      <c r="J11363" t="s" s="11">
        <v>20</v>
      </c>
      <c r="K11363" s="15"/>
      <c r="L11363" t="s" s="16">
        <f>HYPERLINK("http://csr.bu.edu/ftp/asl/asllvd/demos/verify_start_end_handshape_annotations//test_auto_move//signs_mov_separ_signers/Naomi_5586.mov","MOV")</f>
        <v>21</v>
      </c>
      <c r="M11363" t="s" s="10">
        <v>38</v>
      </c>
      <c r="N11363" s="17">
        <v>11</v>
      </c>
      <c r="O11363" s="18">
        <v>1972</v>
      </c>
      <c r="P11363" s="18">
        <v>1991</v>
      </c>
      <c r="Q11363" s="15"/>
      <c r="R11363" t="s" s="16">
        <f>HYPERLINK("http://secrets.rutgers.edu:8080/data/asl-ftp/asllvd/demos/verify_start_end_handshape_annotations//test_auto_move//signs_mov_separ_signers/Naomi_5586.mov","MOV")</f>
        <v>21</v>
      </c>
    </row>
    <row r="11364" s="2" customFormat="1" ht="13.5" customHeight="1">
      <c r="B11364" s="13"/>
      <c r="C11364" t="s" s="9">
        <v>30</v>
      </c>
      <c r="D11364" t="s" s="8">
        <v>4240</v>
      </c>
      <c r="E11364" t="s" s="9">
        <v>4242</v>
      </c>
      <c r="F11364" t="s" s="10">
        <v>337</v>
      </c>
      <c r="G11364" s="14"/>
      <c r="H11364" t="s" s="10">
        <v>337</v>
      </c>
      <c r="I11364" s="14"/>
      <c r="J11364" t="s" s="11">
        <v>20</v>
      </c>
      <c r="K11364" s="15"/>
      <c r="L11364" t="s" s="16">
        <f>HYPERLINK("http://csr.bu.edu/ftp/asl/asllvd/demos/verify_start_end_handshape_annotations//test_auto_move//signs_mov_separ_signers/Brady_7482.mov","MOV")</f>
        <v>21</v>
      </c>
      <c r="M11364" t="s" s="10">
        <v>31</v>
      </c>
      <c r="N11364" s="17">
        <v>12</v>
      </c>
      <c r="O11364" s="18">
        <v>9537</v>
      </c>
      <c r="P11364" s="18">
        <v>9574</v>
      </c>
      <c r="Q11364" s="15"/>
      <c r="R11364" t="s" s="16">
        <f>HYPERLINK("http://secrets.rutgers.edu:8080/data/asl-ftp/asllvd/demos/verify_start_end_handshape_annotations//test_auto_move//signs_mov_separ_signers/Brady_7482.mov","MOV")</f>
        <v>21</v>
      </c>
    </row>
    <row r="11365" s="2" customFormat="1" ht="13.5" customHeight="1">
      <c r="B11365" s="13"/>
      <c r="C11365" t="s" s="9">
        <v>30</v>
      </c>
      <c r="D11365" t="s" s="8">
        <v>4240</v>
      </c>
      <c r="E11365" t="s" s="9">
        <v>4242</v>
      </c>
      <c r="F11365" t="s" s="10">
        <v>337</v>
      </c>
      <c r="G11365" s="14"/>
      <c r="H11365" t="s" s="10">
        <v>337</v>
      </c>
      <c r="I11365" s="14"/>
      <c r="J11365" t="s" s="11">
        <v>20</v>
      </c>
      <c r="K11365" s="15"/>
      <c r="L11365" t="s" s="16">
        <f>HYPERLINK("http://csr.bu.edu/ftp/asl/asllvd/demos/verify_start_end_handshape_annotations//test_auto_move//signs_mov_separ_signers/Brady_5586.mov","MOV")</f>
        <v>21</v>
      </c>
      <c r="M11365" t="s" s="10">
        <v>39</v>
      </c>
      <c r="N11365" s="17">
        <v>29</v>
      </c>
      <c r="O11365" s="18">
        <v>7465</v>
      </c>
      <c r="P11365" s="18">
        <v>7514</v>
      </c>
      <c r="Q11365" s="15"/>
      <c r="R11365" t="s" s="16">
        <f>HYPERLINK("http://secrets.rutgers.edu:8080/data/asl-ftp/asllvd/demos/verify_start_end_handshape_annotations//test_auto_move//signs_mov_separ_signers/Brady_5586.mov","MOV")</f>
        <v>21</v>
      </c>
    </row>
    <row r="11366" s="2" customFormat="1" ht="13.5" customHeight="1">
      <c r="B11366" t="s" s="8">
        <v>4243</v>
      </c>
      <c r="C11366" t="s" s="9">
        <v>14</v>
      </c>
      <c r="D11366" t="s" s="8">
        <v>14</v>
      </c>
      <c r="E11366" t="s" s="9">
        <v>14</v>
      </c>
      <c r="F11366" t="s" s="10">
        <v>14</v>
      </c>
      <c r="G11366" t="s" s="11">
        <v>14</v>
      </c>
      <c r="H11366" t="s" s="10">
        <v>14</v>
      </c>
      <c r="I11366" t="s" s="11">
        <v>14</v>
      </c>
      <c r="J11366" t="s" s="11">
        <v>14</v>
      </c>
      <c r="K11366" t="s" s="12">
        <v>14</v>
      </c>
      <c r="L11366" t="s" s="12">
        <v>14</v>
      </c>
      <c r="M11366" t="s" s="10">
        <v>14</v>
      </c>
      <c r="N11366" t="s" s="11">
        <v>14</v>
      </c>
      <c r="O11366" t="s" s="8">
        <v>14</v>
      </c>
      <c r="P11366" t="s" s="8">
        <v>14</v>
      </c>
      <c r="Q11366" t="s" s="12">
        <v>14</v>
      </c>
      <c r="R11366" t="s" s="12">
        <v>14</v>
      </c>
    </row>
    <row r="11367" s="2" customFormat="1" ht="13.5" customHeight="1">
      <c r="B11367" s="13"/>
      <c r="C11367" t="s" s="9">
        <v>16</v>
      </c>
      <c r="D11367" t="s" s="8">
        <v>4243</v>
      </c>
      <c r="E11367" t="s" s="9">
        <v>4244</v>
      </c>
      <c r="F11367" t="s" s="10">
        <v>68</v>
      </c>
      <c r="G11367" t="s" s="11">
        <v>73</v>
      </c>
      <c r="H11367" t="s" s="10">
        <v>68</v>
      </c>
      <c r="I11367" t="s" s="11">
        <v>73</v>
      </c>
      <c r="J11367" t="s" s="11">
        <v>20</v>
      </c>
      <c r="K11367" s="15"/>
      <c r="L11367" t="s" s="16">
        <f>HYPERLINK("http://csr.bu.edu/ftp/asl/asllvd/demos/verify_start_end_handshape_annotations//test_auto_move//signs_mov_separ_signers/Liz_7631.mov","MOV")</f>
        <v>21</v>
      </c>
      <c r="M11367" t="s" s="10">
        <v>34</v>
      </c>
      <c r="N11367" s="17">
        <v>35</v>
      </c>
      <c r="O11367" s="18">
        <v>3080</v>
      </c>
      <c r="P11367" s="18">
        <v>3145</v>
      </c>
      <c r="Q11367" s="15"/>
      <c r="R11367" t="s" s="16">
        <f>HYPERLINK("http://secrets.rutgers.edu:8080/data/asl-ftp/asllvd/demos/verify_start_end_handshape_annotations//test_auto_move//signs_mov_separ_signers/Liz_7631.mov","MOV")</f>
        <v>21</v>
      </c>
    </row>
    <row r="11368" s="2" customFormat="1" ht="13.5" customHeight="1">
      <c r="B11368" s="13"/>
      <c r="C11368" t="s" s="9">
        <v>23</v>
      </c>
      <c r="D11368" t="s" s="8">
        <v>4243</v>
      </c>
      <c r="E11368" t="s" s="9">
        <v>4245</v>
      </c>
      <c r="F11368" t="s" s="10">
        <v>68</v>
      </c>
      <c r="G11368" t="s" s="11">
        <v>73</v>
      </c>
      <c r="H11368" t="s" s="10">
        <v>68</v>
      </c>
      <c r="I11368" t="s" s="11">
        <v>73</v>
      </c>
      <c r="J11368" t="s" s="11">
        <v>20</v>
      </c>
      <c r="K11368" s="15"/>
      <c r="L11368" t="s" s="16">
        <f>HYPERLINK("http://csr.bu.edu/ftp/asl/asllvd/demos/verify_start_end_handshape_annotations//test_auto_move//signs_mov_separ_signers/Tyler_7631.mov","MOV")</f>
        <v>21</v>
      </c>
      <c r="M11368" t="s" s="10">
        <v>37</v>
      </c>
      <c r="N11368" s="17">
        <v>9</v>
      </c>
      <c r="O11368" s="18">
        <v>3312</v>
      </c>
      <c r="P11368" s="18">
        <v>3346</v>
      </c>
      <c r="Q11368" s="15"/>
      <c r="R11368" t="s" s="16">
        <f>HYPERLINK("http://secrets.rutgers.edu:8080/data/asl-ftp/asllvd/demos/verify_start_end_handshape_annotations//test_auto_move//signs_mov_separ_signers/Tyler_7631.mov","MOV")</f>
        <v>21</v>
      </c>
    </row>
    <row r="11369" s="2" customFormat="1" ht="13.5" customHeight="1">
      <c r="B11369" s="13"/>
      <c r="C11369" t="s" s="9">
        <v>27</v>
      </c>
      <c r="D11369" t="s" s="8">
        <v>4243</v>
      </c>
      <c r="E11369" t="s" s="9">
        <v>4245</v>
      </c>
      <c r="F11369" t="s" s="10">
        <v>63</v>
      </c>
      <c r="G11369" t="s" s="11">
        <v>73</v>
      </c>
      <c r="H11369" t="s" s="10">
        <v>63</v>
      </c>
      <c r="I11369" t="s" s="11">
        <v>73</v>
      </c>
      <c r="J11369" t="s" s="11">
        <v>20</v>
      </c>
      <c r="K11369" t="s" s="16">
        <f>HYPERLINK("http://csr.bu.edu/ftp/asl/asllvd/demos/verify_start_end_handshape_annotations//test_auto_move//signs_mov/5773_7631_merged.mov","MOV")</f>
        <v>21</v>
      </c>
      <c r="L11369" t="s" s="16">
        <f>HYPERLINK("http://csr.bu.edu/ftp/asl/asllvd/demos/verify_start_end_handshape_annotations//test_auto_move//signs_mov_separ_signers/Naomi_7631.mov","MOV")</f>
        <v>21</v>
      </c>
      <c r="M11369" t="s" s="10">
        <v>38</v>
      </c>
      <c r="N11369" s="17">
        <v>29</v>
      </c>
      <c r="O11369" s="18">
        <v>1907</v>
      </c>
      <c r="P11369" s="18">
        <v>1965</v>
      </c>
      <c r="Q11369" t="s" s="16">
        <f>HYPERLINK("http://secrets.rutgers.edu:8080/data/asl-ftp/asllvd/demos/verify_start_end_handshape_annotations//test_auto_move//signs_mov/5773_7631_merged.mov","MOV")</f>
        <v>21</v>
      </c>
      <c r="R11369" t="s" s="16">
        <f>HYPERLINK("http://secrets.rutgers.edu:8080/data/asl-ftp/asllvd/demos/verify_start_end_handshape_annotations//test_auto_move//signs_mov_separ_signers/Naomi_7631.mov","MOV")</f>
        <v>21</v>
      </c>
    </row>
    <row r="11370" s="2" customFormat="1" ht="13.5" customHeight="1">
      <c r="B11370" s="13"/>
      <c r="C11370" t="s" s="9">
        <v>30</v>
      </c>
      <c r="D11370" t="s" s="8">
        <v>4243</v>
      </c>
      <c r="E11370" t="s" s="9">
        <v>4245</v>
      </c>
      <c r="F11370" t="s" s="10">
        <v>68</v>
      </c>
      <c r="G11370" t="s" s="11">
        <v>73</v>
      </c>
      <c r="H11370" t="s" s="10">
        <v>68</v>
      </c>
      <c r="I11370" t="s" s="11">
        <v>73</v>
      </c>
      <c r="J11370" t="s" s="11">
        <v>20</v>
      </c>
      <c r="K11370" s="15"/>
      <c r="L11370" t="s" s="16">
        <f>HYPERLINK("http://csr.bu.edu/ftp/asl/asllvd/demos/verify_start_end_handshape_annotations//test_auto_move//signs_mov_separ_signers/Brady_7631.mov","MOV")</f>
        <v>21</v>
      </c>
      <c r="M11370" t="s" s="10">
        <v>39</v>
      </c>
      <c r="N11370" s="17">
        <v>42</v>
      </c>
      <c r="O11370" s="18">
        <v>800</v>
      </c>
      <c r="P11370" s="18">
        <v>827</v>
      </c>
      <c r="Q11370" s="15"/>
      <c r="R11370" t="s" s="16">
        <f>HYPERLINK("http://secrets.rutgers.edu:8080/data/asl-ftp/asllvd/demos/verify_start_end_handshape_annotations//test_auto_move//signs_mov_separ_signers/Brady_7631.mov","MOV")</f>
        <v>21</v>
      </c>
    </row>
    <row r="11371" s="2" customFormat="1" ht="13.5" customHeight="1">
      <c r="B11371" s="13"/>
      <c r="C11371" t="s" s="9">
        <v>30</v>
      </c>
      <c r="D11371" t="s" s="8">
        <v>4243</v>
      </c>
      <c r="E11371" t="s" s="9">
        <v>4245</v>
      </c>
      <c r="F11371" t="s" s="10">
        <v>63</v>
      </c>
      <c r="G11371" t="s" s="11">
        <v>73</v>
      </c>
      <c r="H11371" t="s" s="10">
        <v>63</v>
      </c>
      <c r="I11371" t="s" s="11">
        <v>73</v>
      </c>
      <c r="J11371" t="s" s="11">
        <v>20</v>
      </c>
      <c r="K11371" s="15"/>
      <c r="L11371" t="s" s="16">
        <f>HYPERLINK("http://csr.bu.edu/ftp/asl/asllvd/demos/verify_start_end_handshape_annotations//test_auto_move//signs_mov_separ_signers/Brady_5773.mov","MOV")</f>
        <v>21</v>
      </c>
      <c r="M11371" t="s" s="10">
        <v>60</v>
      </c>
      <c r="N11371" s="17">
        <v>45</v>
      </c>
      <c r="O11371" s="18">
        <v>3368</v>
      </c>
      <c r="P11371" s="18">
        <v>3416</v>
      </c>
      <c r="Q11371" s="15"/>
      <c r="R11371" t="s" s="16">
        <f>HYPERLINK("http://secrets.rutgers.edu:8080/data/asl-ftp/asllvd/demos/verify_start_end_handshape_annotations//test_auto_move//signs_mov_separ_signers/Brady_5773.mov","MOV")</f>
        <v>21</v>
      </c>
    </row>
    <row r="11372" s="2" customFormat="1" ht="13.5" customHeight="1">
      <c r="B11372" t="s" s="8">
        <v>52</v>
      </c>
      <c r="C11372" t="s" s="9">
        <v>53</v>
      </c>
      <c r="D11372" t="s" s="8">
        <v>53</v>
      </c>
      <c r="E11372" t="s" s="9">
        <v>53</v>
      </c>
      <c r="F11372" t="s" s="10">
        <v>53</v>
      </c>
      <c r="G11372" t="s" s="11">
        <v>53</v>
      </c>
      <c r="H11372" t="s" s="10">
        <v>53</v>
      </c>
      <c r="I11372" t="s" s="11">
        <v>53</v>
      </c>
      <c r="J11372" t="s" s="11">
        <v>53</v>
      </c>
      <c r="K11372" t="s" s="12">
        <v>53</v>
      </c>
      <c r="L11372" t="s" s="12">
        <v>53</v>
      </c>
      <c r="M11372" t="s" s="10">
        <v>53</v>
      </c>
      <c r="N11372" t="s" s="11">
        <v>53</v>
      </c>
      <c r="O11372" t="s" s="8">
        <v>53</v>
      </c>
      <c r="P11372" t="s" s="8">
        <v>53</v>
      </c>
      <c r="Q11372" t="s" s="12">
        <v>53</v>
      </c>
      <c r="R11372" t="s" s="12">
        <v>53</v>
      </c>
    </row>
    <row r="11373" s="2" customFormat="1" ht="13.5" customHeight="1">
      <c r="B11373" s="13"/>
      <c r="C11373" t="s" s="9">
        <v>30</v>
      </c>
      <c r="D11373" t="s" s="8">
        <v>4243</v>
      </c>
      <c r="E11373" t="s" s="9">
        <v>4246</v>
      </c>
      <c r="F11373" t="s" s="10">
        <v>136</v>
      </c>
      <c r="G11373" t="s" s="11">
        <v>73</v>
      </c>
      <c r="H11373" t="s" s="10">
        <v>136</v>
      </c>
      <c r="I11373" t="s" s="11">
        <v>73</v>
      </c>
      <c r="J11373" t="s" s="11">
        <v>20</v>
      </c>
      <c r="K11373" t="s" s="16">
        <f>HYPERLINK("http://csr.bu.edu/ftp/asl/asllvd/demos/verify_start_end_handshape_annotations//test_auto_move//signs_mov/5775.mov","MOV")</f>
        <v>21</v>
      </c>
      <c r="L11373" t="s" s="16">
        <f>HYPERLINK("http://csr.bu.edu/ftp/asl/asllvd/demos/verify_start_end_handshape_annotations//test_auto_move//signs_mov_separ_signers/Brady_5775.mov","MOV")</f>
        <v>21</v>
      </c>
      <c r="M11373" t="s" s="10">
        <v>60</v>
      </c>
      <c r="N11373" s="17">
        <v>45</v>
      </c>
      <c r="O11373" s="18">
        <v>3092</v>
      </c>
      <c r="P11373" s="18">
        <v>3161</v>
      </c>
      <c r="Q11373" t="s" s="16">
        <f>HYPERLINK("http://secrets.rutgers.edu:8080/data/asl-ftp/asllvd/demos/verify_start_end_handshape_annotations//test_auto_move//signs_mov/5775.mov","MOV")</f>
        <v>21</v>
      </c>
      <c r="R11373" t="s" s="16">
        <f>HYPERLINK("http://secrets.rutgers.edu:8080/data/asl-ftp/asllvd/demos/verify_start_end_handshape_annotations//test_auto_move//signs_mov_separ_signers/Brady_5775.mov","MOV")</f>
        <v>21</v>
      </c>
    </row>
    <row r="11374" s="2" customFormat="1" ht="13.5" customHeight="1">
      <c r="B11374" t="s" s="8">
        <v>4247</v>
      </c>
      <c r="C11374" t="s" s="9">
        <v>14</v>
      </c>
      <c r="D11374" t="s" s="8">
        <v>14</v>
      </c>
      <c r="E11374" t="s" s="9">
        <v>14</v>
      </c>
      <c r="F11374" t="s" s="10">
        <v>14</v>
      </c>
      <c r="G11374" t="s" s="11">
        <v>14</v>
      </c>
      <c r="H11374" t="s" s="10">
        <v>14</v>
      </c>
      <c r="I11374" t="s" s="11">
        <v>14</v>
      </c>
      <c r="J11374" t="s" s="11">
        <v>14</v>
      </c>
      <c r="K11374" t="s" s="12">
        <v>14</v>
      </c>
      <c r="L11374" t="s" s="12">
        <v>14</v>
      </c>
      <c r="M11374" t="s" s="10">
        <v>14</v>
      </c>
      <c r="N11374" t="s" s="11">
        <v>14</v>
      </c>
      <c r="O11374" t="s" s="8">
        <v>14</v>
      </c>
      <c r="P11374" t="s" s="8">
        <v>14</v>
      </c>
      <c r="Q11374" t="s" s="12">
        <v>14</v>
      </c>
      <c r="R11374" t="s" s="12">
        <v>14</v>
      </c>
    </row>
    <row r="11375" s="2" customFormat="1" ht="13.5" customHeight="1">
      <c r="B11375" s="13"/>
      <c r="C11375" t="s" s="9">
        <v>27</v>
      </c>
      <c r="D11375" t="s" s="8">
        <v>4248</v>
      </c>
      <c r="E11375" t="s" s="9">
        <v>4248</v>
      </c>
      <c r="F11375" t="s" s="10">
        <v>287</v>
      </c>
      <c r="G11375" t="s" s="11">
        <v>68</v>
      </c>
      <c r="H11375" t="s" s="10">
        <v>287</v>
      </c>
      <c r="I11375" t="s" s="11">
        <v>68</v>
      </c>
      <c r="J11375" t="s" s="11">
        <v>20</v>
      </c>
      <c r="K11375" t="s" s="16">
        <f>HYPERLINK("http://csr.bu.edu/ftp/asl/asllvd/demos/verify_start_end_handshape_annotations//test_auto_move//signs_mov/15982.mov","MOV")</f>
        <v>21</v>
      </c>
      <c r="L11375" t="s" s="16">
        <f>HYPERLINK("http://csr.bu.edu/ftp/asl/asllvd/demos/verify_start_end_handshape_annotations//test_auto_move//signs_mov_separ_signers/Naomi_15982.mov","MOV")</f>
        <v>21</v>
      </c>
      <c r="M11375" t="s" s="10">
        <v>38</v>
      </c>
      <c r="N11375" s="17">
        <v>29</v>
      </c>
      <c r="O11375" s="18">
        <v>1618</v>
      </c>
      <c r="P11375" s="18">
        <v>1662</v>
      </c>
      <c r="Q11375" t="s" s="16">
        <f>HYPERLINK("http://secrets.rutgers.edu:8080/data/asl-ftp/asllvd/demos/verify_start_end_handshape_annotations//test_auto_move//signs_mov/15982.mov","MOV")</f>
        <v>21</v>
      </c>
      <c r="R11375" t="s" s="16">
        <f>HYPERLINK("http://secrets.rutgers.edu:8080/data/asl-ftp/asllvd/demos/verify_start_end_handshape_annotations//test_auto_move//signs_mov_separ_signers/Naomi_15982.mov","MOV")</f>
        <v>21</v>
      </c>
    </row>
    <row r="11376" s="2" customFormat="1" ht="13.5" customHeight="1">
      <c r="B11376" t="s" s="8">
        <v>4249</v>
      </c>
      <c r="C11376" t="s" s="9">
        <v>14</v>
      </c>
      <c r="D11376" t="s" s="8">
        <v>14</v>
      </c>
      <c r="E11376" t="s" s="9">
        <v>14</v>
      </c>
      <c r="F11376" t="s" s="10">
        <v>14</v>
      </c>
      <c r="G11376" t="s" s="11">
        <v>14</v>
      </c>
      <c r="H11376" t="s" s="10">
        <v>14</v>
      </c>
      <c r="I11376" t="s" s="11">
        <v>14</v>
      </c>
      <c r="J11376" t="s" s="11">
        <v>14</v>
      </c>
      <c r="K11376" t="s" s="12">
        <v>14</v>
      </c>
      <c r="L11376" t="s" s="12">
        <v>14</v>
      </c>
      <c r="M11376" t="s" s="10">
        <v>14</v>
      </c>
      <c r="N11376" t="s" s="11">
        <v>14</v>
      </c>
      <c r="O11376" t="s" s="8">
        <v>14</v>
      </c>
      <c r="P11376" t="s" s="8">
        <v>14</v>
      </c>
      <c r="Q11376" t="s" s="12">
        <v>14</v>
      </c>
      <c r="R11376" t="s" s="12">
        <v>14</v>
      </c>
    </row>
    <row r="11377" s="2" customFormat="1" ht="13.5" customHeight="1">
      <c r="B11377" s="13"/>
      <c r="C11377" t="s" s="9">
        <v>16</v>
      </c>
      <c r="D11377" t="s" s="8">
        <v>4249</v>
      </c>
      <c r="E11377" t="s" s="9">
        <v>4250</v>
      </c>
      <c r="F11377" t="s" s="10">
        <v>18</v>
      </c>
      <c r="G11377" t="s" s="11">
        <v>18</v>
      </c>
      <c r="H11377" t="s" s="10">
        <v>18</v>
      </c>
      <c r="I11377" t="s" s="11">
        <v>18</v>
      </c>
      <c r="J11377" t="s" s="11">
        <v>20</v>
      </c>
      <c r="K11377" t="s" s="16">
        <f>HYPERLINK("http://csr.bu.edu/ftp/asl/asllvd/demos/verify_start_end_handshape_annotations//test_auto_move//signs_mov/7635.mov","MOV")</f>
        <v>21</v>
      </c>
      <c r="L11377" t="s" s="16">
        <f>HYPERLINK("http://csr.bu.edu/ftp/asl/asllvd/demos/verify_start_end_handshape_annotations//test_auto_move//signs_mov_separ_signers/Liz_7635.mov","MOV")</f>
        <v>21</v>
      </c>
      <c r="M11377" t="s" s="10">
        <v>77</v>
      </c>
      <c r="N11377" s="17">
        <v>20</v>
      </c>
      <c r="O11377" s="18">
        <v>425</v>
      </c>
      <c r="P11377" s="18">
        <v>485</v>
      </c>
      <c r="Q11377" t="s" s="16">
        <f>HYPERLINK("http://secrets.rutgers.edu:8080/data/asl-ftp/asllvd/demos/verify_start_end_handshape_annotations//test_auto_move//signs_mov/7635.mov","MOV")</f>
        <v>21</v>
      </c>
      <c r="R11377" t="s" s="16">
        <f>HYPERLINK("http://secrets.rutgers.edu:8080/data/asl-ftp/asllvd/demos/verify_start_end_handshape_annotations//test_auto_move//signs_mov_separ_signers/Liz_7635.mov","MOV")</f>
        <v>21</v>
      </c>
    </row>
    <row r="11378" s="2" customFormat="1" ht="13.5" customHeight="1">
      <c r="B11378" t="s" s="8">
        <v>52</v>
      </c>
      <c r="C11378" t="s" s="9">
        <v>53</v>
      </c>
      <c r="D11378" t="s" s="8">
        <v>53</v>
      </c>
      <c r="E11378" t="s" s="9">
        <v>53</v>
      </c>
      <c r="F11378" t="s" s="10">
        <v>53</v>
      </c>
      <c r="G11378" t="s" s="11">
        <v>53</v>
      </c>
      <c r="H11378" t="s" s="10">
        <v>53</v>
      </c>
      <c r="I11378" t="s" s="11">
        <v>53</v>
      </c>
      <c r="J11378" t="s" s="11">
        <v>53</v>
      </c>
      <c r="K11378" t="s" s="12">
        <v>53</v>
      </c>
      <c r="L11378" t="s" s="12">
        <v>53</v>
      </c>
      <c r="M11378" t="s" s="10">
        <v>53</v>
      </c>
      <c r="N11378" t="s" s="11">
        <v>53</v>
      </c>
      <c r="O11378" t="s" s="8">
        <v>53</v>
      </c>
      <c r="P11378" t="s" s="8">
        <v>53</v>
      </c>
      <c r="Q11378" t="s" s="12">
        <v>53</v>
      </c>
      <c r="R11378" t="s" s="12">
        <v>53</v>
      </c>
    </row>
    <row r="11379" s="2" customFormat="1" ht="13.5" customHeight="1">
      <c r="B11379" s="13"/>
      <c r="C11379" t="s" s="9">
        <v>23</v>
      </c>
      <c r="D11379" t="s" s="8">
        <v>4249</v>
      </c>
      <c r="E11379" t="s" s="9">
        <v>4251</v>
      </c>
      <c r="F11379" t="s" s="10">
        <v>150</v>
      </c>
      <c r="G11379" t="s" s="11">
        <v>150</v>
      </c>
      <c r="H11379" t="s" s="10">
        <v>150</v>
      </c>
      <c r="I11379" t="s" s="11">
        <v>150</v>
      </c>
      <c r="J11379" t="s" s="11">
        <v>20</v>
      </c>
      <c r="K11379" t="s" s="16">
        <f>HYPERLINK("http://csr.bu.edu/ftp/asl/asllvd/demos/verify_start_end_handshape_annotations//test_auto_move//signs_mov/15350.mov","MOV")</f>
        <v>21</v>
      </c>
      <c r="L11379" t="s" s="16">
        <f>HYPERLINK("http://csr.bu.edu/ftp/asl/asllvd/demos/verify_start_end_handshape_annotations//test_auto_move//signs_mov_separ_signers/Tyler_15350.mov","MOV")</f>
        <v>21</v>
      </c>
      <c r="M11379" t="s" s="10">
        <v>92</v>
      </c>
      <c r="N11379" s="17">
        <v>45</v>
      </c>
      <c r="O11379" s="18">
        <v>521</v>
      </c>
      <c r="P11379" s="18">
        <v>572</v>
      </c>
      <c r="Q11379" t="s" s="16">
        <f>HYPERLINK("http://secrets.rutgers.edu:8080/data/asl-ftp/asllvd/demos/verify_start_end_handshape_annotations//test_auto_move//signs_mov/15350.mov","MOV")</f>
        <v>21</v>
      </c>
      <c r="R11379" t="s" s="16">
        <f>HYPERLINK("http://secrets.rutgers.edu:8080/data/asl-ftp/asllvd/demos/verify_start_end_handshape_annotations//test_auto_move//signs_mov_separ_signers/Tyler_15350.mov","MOV")</f>
        <v>21</v>
      </c>
    </row>
    <row r="11380" s="2" customFormat="1" ht="13.5" customHeight="1">
      <c r="B11380" t="s" s="8">
        <v>4252</v>
      </c>
      <c r="C11380" t="s" s="9">
        <v>14</v>
      </c>
      <c r="D11380" t="s" s="8">
        <v>14</v>
      </c>
      <c r="E11380" t="s" s="9">
        <v>14</v>
      </c>
      <c r="F11380" t="s" s="10">
        <v>14</v>
      </c>
      <c r="G11380" t="s" s="11">
        <v>14</v>
      </c>
      <c r="H11380" t="s" s="10">
        <v>14</v>
      </c>
      <c r="I11380" t="s" s="11">
        <v>14</v>
      </c>
      <c r="J11380" t="s" s="11">
        <v>14</v>
      </c>
      <c r="K11380" t="s" s="12">
        <v>14</v>
      </c>
      <c r="L11380" t="s" s="12">
        <v>14</v>
      </c>
      <c r="M11380" t="s" s="10">
        <v>14</v>
      </c>
      <c r="N11380" t="s" s="11">
        <v>14</v>
      </c>
      <c r="O11380" t="s" s="8">
        <v>14</v>
      </c>
      <c r="P11380" t="s" s="8">
        <v>14</v>
      </c>
      <c r="Q11380" t="s" s="12">
        <v>14</v>
      </c>
      <c r="R11380" t="s" s="12">
        <v>14</v>
      </c>
    </row>
    <row r="11381" s="2" customFormat="1" ht="13.5" customHeight="1">
      <c r="B11381" s="13"/>
      <c r="C11381" t="s" s="9">
        <v>16</v>
      </c>
      <c r="D11381" t="s" s="8">
        <v>4252</v>
      </c>
      <c r="E11381" t="s" s="9">
        <v>4252</v>
      </c>
      <c r="F11381" t="s" s="10">
        <v>73</v>
      </c>
      <c r="G11381" t="s" s="11">
        <v>73</v>
      </c>
      <c r="H11381" t="s" s="10">
        <v>73</v>
      </c>
      <c r="I11381" t="s" s="11">
        <v>73</v>
      </c>
      <c r="J11381" t="s" s="11">
        <v>20</v>
      </c>
      <c r="K11381" s="15"/>
      <c r="L11381" t="s" s="16">
        <f>HYPERLINK("http://csr.bu.edu/ftp/asl/asllvd/demos/verify_start_end_handshape_annotations//test_auto_move//signs_mov_separ_signers/Liz_7658.mov","MOV")</f>
        <v>21</v>
      </c>
      <c r="M11381" t="s" s="10">
        <v>22</v>
      </c>
      <c r="N11381" s="17">
        <v>26</v>
      </c>
      <c r="O11381" s="18">
        <v>1570</v>
      </c>
      <c r="P11381" s="18">
        <v>1605</v>
      </c>
      <c r="Q11381" s="15"/>
      <c r="R11381" t="s" s="16">
        <f>HYPERLINK("http://secrets.rutgers.edu:8080/data/asl-ftp/asllvd/demos/verify_start_end_handshape_annotations//test_auto_move//signs_mov_separ_signers/Liz_7658.mov","MOV")</f>
        <v>21</v>
      </c>
    </row>
    <row r="11382" s="2" customFormat="1" ht="13.5" customHeight="1">
      <c r="B11382" s="13"/>
      <c r="C11382" t="s" s="9">
        <v>23</v>
      </c>
      <c r="D11382" t="s" s="8">
        <v>4252</v>
      </c>
      <c r="E11382" t="s" s="9">
        <v>4252</v>
      </c>
      <c r="F11382" t="s" s="10">
        <v>73</v>
      </c>
      <c r="G11382" t="s" s="11">
        <v>73</v>
      </c>
      <c r="H11382" t="s" s="10">
        <v>73</v>
      </c>
      <c r="I11382" t="s" s="11">
        <v>73</v>
      </c>
      <c r="J11382" t="s" s="11">
        <v>20</v>
      </c>
      <c r="K11382" t="s" s="16">
        <f>HYPERLINK("http://csr.bu.edu/ftp/asl/asllvd/demos/verify_start_end_handshape_annotations//test_auto_move//signs_mov/7658.mov","MOV")</f>
        <v>21</v>
      </c>
      <c r="L11382" t="s" s="16">
        <f>HYPERLINK("http://csr.bu.edu/ftp/asl/asllvd/demos/verify_start_end_handshape_annotations//test_auto_move//signs_mov_separ_signers/Tyler_7658.mov","MOV")</f>
        <v>21</v>
      </c>
      <c r="M11382" t="s" s="10">
        <v>26</v>
      </c>
      <c r="N11382" s="17">
        <v>26</v>
      </c>
      <c r="O11382" s="18">
        <v>1810</v>
      </c>
      <c r="P11382" s="18">
        <v>1850</v>
      </c>
      <c r="Q11382" t="s" s="16">
        <f>HYPERLINK("http://secrets.rutgers.edu:8080/data/asl-ftp/asllvd/demos/verify_start_end_handshape_annotations//test_auto_move//signs_mov/7658.mov","MOV")</f>
        <v>21</v>
      </c>
      <c r="R11382" t="s" s="16">
        <f>HYPERLINK("http://secrets.rutgers.edu:8080/data/asl-ftp/asllvd/demos/verify_start_end_handshape_annotations//test_auto_move//signs_mov_separ_signers/Tyler_7658.mov","MOV")</f>
        <v>21</v>
      </c>
    </row>
    <row r="11383" s="2" customFormat="1" ht="13.5" customHeight="1">
      <c r="B11383" s="13"/>
      <c r="C11383" t="s" s="9">
        <v>30</v>
      </c>
      <c r="D11383" t="s" s="8">
        <v>4252</v>
      </c>
      <c r="E11383" t="s" s="9">
        <v>4252</v>
      </c>
      <c r="F11383" t="s" s="10">
        <v>73</v>
      </c>
      <c r="G11383" t="s" s="11">
        <v>73</v>
      </c>
      <c r="H11383" t="s" s="10">
        <v>73</v>
      </c>
      <c r="I11383" t="s" s="11">
        <v>73</v>
      </c>
      <c r="J11383" t="s" s="11">
        <v>20</v>
      </c>
      <c r="K11383" s="15"/>
      <c r="L11383" t="s" s="16">
        <f>HYPERLINK("http://csr.bu.edu/ftp/asl/asllvd/demos/verify_start_end_handshape_annotations//test_auto_move//signs_mov_separ_signers/Brady_7658.mov","MOV")</f>
        <v>21</v>
      </c>
      <c r="M11383" t="s" s="10">
        <v>31</v>
      </c>
      <c r="N11383" s="17">
        <v>14</v>
      </c>
      <c r="O11383" s="18">
        <v>3188</v>
      </c>
      <c r="P11383" s="18">
        <v>3218</v>
      </c>
      <c r="Q11383" s="15"/>
      <c r="R11383" t="s" s="16">
        <f>HYPERLINK("http://secrets.rutgers.edu:8080/data/asl-ftp/asllvd/demos/verify_start_end_handshape_annotations//test_auto_move//signs_mov_separ_signers/Brady_7658.mov","MOV")</f>
        <v>21</v>
      </c>
    </row>
    <row r="11384" s="2" customFormat="1" ht="13.5" customHeight="1">
      <c r="B11384" t="s" s="8">
        <v>4253</v>
      </c>
      <c r="C11384" t="s" s="9">
        <v>14</v>
      </c>
      <c r="D11384" t="s" s="8">
        <v>14</v>
      </c>
      <c r="E11384" t="s" s="9">
        <v>14</v>
      </c>
      <c r="F11384" t="s" s="10">
        <v>14</v>
      </c>
      <c r="G11384" t="s" s="11">
        <v>14</v>
      </c>
      <c r="H11384" t="s" s="10">
        <v>14</v>
      </c>
      <c r="I11384" t="s" s="11">
        <v>14</v>
      </c>
      <c r="J11384" t="s" s="11">
        <v>14</v>
      </c>
      <c r="K11384" t="s" s="12">
        <v>14</v>
      </c>
      <c r="L11384" t="s" s="12">
        <v>14</v>
      </c>
      <c r="M11384" t="s" s="10">
        <v>14</v>
      </c>
      <c r="N11384" t="s" s="11">
        <v>14</v>
      </c>
      <c r="O11384" t="s" s="8">
        <v>14</v>
      </c>
      <c r="P11384" t="s" s="8">
        <v>14</v>
      </c>
      <c r="Q11384" t="s" s="12">
        <v>14</v>
      </c>
      <c r="R11384" t="s" s="12">
        <v>14</v>
      </c>
    </row>
    <row r="11385" s="2" customFormat="1" ht="13.5" customHeight="1">
      <c r="B11385" s="13"/>
      <c r="C11385" t="s" s="9">
        <v>16</v>
      </c>
      <c r="D11385" t="s" s="8">
        <v>4253</v>
      </c>
      <c r="E11385" t="s" s="9">
        <v>4253</v>
      </c>
      <c r="F11385" t="s" s="10">
        <v>73</v>
      </c>
      <c r="G11385" t="s" s="11">
        <v>73</v>
      </c>
      <c r="H11385" t="s" s="10">
        <v>73</v>
      </c>
      <c r="I11385" t="s" s="11">
        <v>73</v>
      </c>
      <c r="J11385" t="s" s="11">
        <v>20</v>
      </c>
      <c r="K11385" s="15"/>
      <c r="L11385" t="s" s="16">
        <f>HYPERLINK("http://csr.bu.edu/ftp/asl/asllvd/demos/verify_start_end_handshape_annotations//test_auto_move//signs_mov_separ_signers/Liz_5380.mov","MOV")</f>
        <v>21</v>
      </c>
      <c r="M11385" t="s" s="10">
        <v>88</v>
      </c>
      <c r="N11385" s="17">
        <v>2</v>
      </c>
      <c r="O11385" s="18">
        <v>825</v>
      </c>
      <c r="P11385" s="18">
        <v>895</v>
      </c>
      <c r="Q11385" s="15"/>
      <c r="R11385" t="s" s="16">
        <f>HYPERLINK("http://secrets.rutgers.edu:8080/data/asl-ftp/asllvd/demos/verify_start_end_handshape_annotations//test_auto_move//signs_mov_separ_signers/Liz_5380.mov","MOV")</f>
        <v>21</v>
      </c>
    </row>
    <row r="11386" s="2" customFormat="1" ht="13.5" customHeight="1">
      <c r="B11386" s="13"/>
      <c r="C11386" t="s" s="9">
        <v>27</v>
      </c>
      <c r="D11386" t="s" s="8">
        <v>4253</v>
      </c>
      <c r="E11386" t="s" s="9">
        <v>4253</v>
      </c>
      <c r="F11386" t="s" s="10">
        <v>73</v>
      </c>
      <c r="G11386" t="s" s="11">
        <v>73</v>
      </c>
      <c r="H11386" t="s" s="10">
        <v>73</v>
      </c>
      <c r="I11386" t="s" s="11">
        <v>73</v>
      </c>
      <c r="J11386" t="s" s="11">
        <v>20</v>
      </c>
      <c r="K11386" s="15"/>
      <c r="L11386" t="s" s="16">
        <f>HYPERLINK("http://csr.bu.edu/ftp/asl/asllvd/demos/verify_start_end_handshape_annotations//test_auto_move//signs_mov_separ_signers/Naomi_5380.mov","MOV")</f>
        <v>21</v>
      </c>
      <c r="M11386" t="s" s="10">
        <v>29</v>
      </c>
      <c r="N11386" s="17">
        <v>17</v>
      </c>
      <c r="O11386" s="18">
        <v>2375</v>
      </c>
      <c r="P11386" s="18">
        <v>2393</v>
      </c>
      <c r="Q11386" s="15"/>
      <c r="R11386" t="s" s="16">
        <f>HYPERLINK("http://secrets.rutgers.edu:8080/data/asl-ftp/asllvd/demos/verify_start_end_handshape_annotations//test_auto_move//signs_mov_separ_signers/Naomi_5380.mov","MOV")</f>
        <v>21</v>
      </c>
    </row>
    <row r="11387" s="2" customFormat="1" ht="13.5" customHeight="1">
      <c r="B11387" s="13"/>
      <c r="C11387" t="s" s="9">
        <v>27</v>
      </c>
      <c r="D11387" t="s" s="8">
        <v>4253</v>
      </c>
      <c r="E11387" t="s" s="9">
        <v>4253</v>
      </c>
      <c r="F11387" t="s" s="10">
        <v>73</v>
      </c>
      <c r="G11387" t="s" s="11">
        <v>73</v>
      </c>
      <c r="H11387" t="s" s="10">
        <v>73</v>
      </c>
      <c r="I11387" t="s" s="11">
        <v>73</v>
      </c>
      <c r="J11387" t="s" s="11">
        <v>20</v>
      </c>
      <c r="K11387" t="s" s="16">
        <f>HYPERLINK("http://csr.bu.edu/ftp/asl/asllvd/demos/verify_start_end_handshape_annotations//test_auto_move//signs_mov/5380_5382_merged.mov","MOV")</f>
        <v>21</v>
      </c>
      <c r="L11387" t="s" s="16">
        <f>HYPERLINK("http://csr.bu.edu/ftp/asl/asllvd/demos/verify_start_end_handshape_annotations//test_auto_move//signs_mov_separ_signers/Naomi_5382.mov","MOV")</f>
        <v>21</v>
      </c>
      <c r="M11387" t="s" s="10">
        <v>29</v>
      </c>
      <c r="N11387" s="17">
        <v>27</v>
      </c>
      <c r="O11387" s="18">
        <v>1840</v>
      </c>
      <c r="P11387" s="18">
        <v>1885</v>
      </c>
      <c r="Q11387" t="s" s="16">
        <f>HYPERLINK("http://secrets.rutgers.edu:8080/data/asl-ftp/asllvd/demos/verify_start_end_handshape_annotations//test_auto_move//signs_mov/5380_5382_merged.mov","MOV")</f>
        <v>21</v>
      </c>
      <c r="R11387" t="s" s="16">
        <f>HYPERLINK("http://secrets.rutgers.edu:8080/data/asl-ftp/asllvd/demos/verify_start_end_handshape_annotations//test_auto_move//signs_mov_separ_signers/Naomi_5382.mov","MOV")</f>
        <v>21</v>
      </c>
    </row>
    <row r="11388" s="2" customFormat="1" ht="13.5" customHeight="1">
      <c r="B11388" s="13"/>
      <c r="C11388" t="s" s="9">
        <v>30</v>
      </c>
      <c r="D11388" t="s" s="8">
        <v>4253</v>
      </c>
      <c r="E11388" t="s" s="9">
        <v>4253</v>
      </c>
      <c r="F11388" t="s" s="10">
        <v>73</v>
      </c>
      <c r="G11388" t="s" s="11">
        <v>73</v>
      </c>
      <c r="H11388" t="s" s="10">
        <v>73</v>
      </c>
      <c r="I11388" t="s" s="11">
        <v>73</v>
      </c>
      <c r="J11388" t="s" s="11">
        <v>20</v>
      </c>
      <c r="K11388" s="15"/>
      <c r="L11388" t="s" s="16">
        <f>HYPERLINK("http://csr.bu.edu/ftp/asl/asllvd/demos/verify_start_end_handshape_annotations//test_auto_move//signs_mov_separ_signers/Brady_5380.mov","MOV")</f>
        <v>21</v>
      </c>
      <c r="M11388" t="s" s="10">
        <v>31</v>
      </c>
      <c r="N11388" s="17">
        <v>19</v>
      </c>
      <c r="O11388" s="18">
        <v>9275</v>
      </c>
      <c r="P11388" s="18">
        <v>9310</v>
      </c>
      <c r="Q11388" s="15"/>
      <c r="R11388" t="s" s="16">
        <f>HYPERLINK("http://secrets.rutgers.edu:8080/data/asl-ftp/asllvd/demos/verify_start_end_handshape_annotations//test_auto_move//signs_mov_separ_signers/Brady_5380.mov","MOV")</f>
        <v>21</v>
      </c>
    </row>
    <row r="11389" s="2" customFormat="1" ht="13.5" customHeight="1">
      <c r="B11389" s="13"/>
      <c r="C11389" t="s" s="9">
        <v>30</v>
      </c>
      <c r="D11389" t="s" s="8">
        <v>4253</v>
      </c>
      <c r="E11389" t="s" s="9">
        <v>4253</v>
      </c>
      <c r="F11389" t="s" s="10">
        <v>73</v>
      </c>
      <c r="G11389" t="s" s="11">
        <v>73</v>
      </c>
      <c r="H11389" t="s" s="10">
        <v>73</v>
      </c>
      <c r="I11389" t="s" s="11">
        <v>73</v>
      </c>
      <c r="J11389" t="s" s="11">
        <v>20</v>
      </c>
      <c r="K11389" s="15"/>
      <c r="L11389" t="s" s="16">
        <f>HYPERLINK("http://csr.bu.edu/ftp/asl/asllvd/demos/verify_start_end_handshape_annotations//test_auto_move//signs_mov_separ_signers/Brady_5382.mov","MOV")</f>
        <v>21</v>
      </c>
      <c r="M11389" t="s" s="10">
        <v>39</v>
      </c>
      <c r="N11389" s="17">
        <v>55</v>
      </c>
      <c r="O11389" s="18">
        <v>7179</v>
      </c>
      <c r="P11389" s="18">
        <v>7227</v>
      </c>
      <c r="Q11389" s="15"/>
      <c r="R11389" t="s" s="16">
        <f>HYPERLINK("http://secrets.rutgers.edu:8080/data/asl-ftp/asllvd/demos/verify_start_end_handshape_annotations//test_auto_move//signs_mov_separ_signers/Brady_5382.mov","MOV")</f>
        <v>21</v>
      </c>
    </row>
    <row r="11390" s="2" customFormat="1" ht="13.5" customHeight="1">
      <c r="B11390" t="s" s="8">
        <v>52</v>
      </c>
      <c r="C11390" t="s" s="9">
        <v>53</v>
      </c>
      <c r="D11390" t="s" s="8">
        <v>53</v>
      </c>
      <c r="E11390" t="s" s="9">
        <v>53</v>
      </c>
      <c r="F11390" t="s" s="10">
        <v>53</v>
      </c>
      <c r="G11390" t="s" s="11">
        <v>53</v>
      </c>
      <c r="H11390" t="s" s="10">
        <v>53</v>
      </c>
      <c r="I11390" t="s" s="11">
        <v>53</v>
      </c>
      <c r="J11390" t="s" s="11">
        <v>53</v>
      </c>
      <c r="K11390" t="s" s="12">
        <v>53</v>
      </c>
      <c r="L11390" t="s" s="12">
        <v>53</v>
      </c>
      <c r="M11390" t="s" s="10">
        <v>53</v>
      </c>
      <c r="N11390" t="s" s="11">
        <v>53</v>
      </c>
      <c r="O11390" t="s" s="8">
        <v>53</v>
      </c>
      <c r="P11390" t="s" s="8">
        <v>53</v>
      </c>
      <c r="Q11390" t="s" s="12">
        <v>53</v>
      </c>
      <c r="R11390" t="s" s="12">
        <v>53</v>
      </c>
    </row>
    <row r="11391" s="2" customFormat="1" ht="13.5" customHeight="1">
      <c r="B11391" s="13"/>
      <c r="C11391" t="s" s="9">
        <v>23</v>
      </c>
      <c r="D11391" t="s" s="8">
        <v>4253</v>
      </c>
      <c r="E11391" t="s" s="9">
        <v>4254</v>
      </c>
      <c r="F11391" t="s" s="10">
        <v>73</v>
      </c>
      <c r="G11391" t="s" s="11">
        <v>73</v>
      </c>
      <c r="H11391" t="s" s="10">
        <v>73</v>
      </c>
      <c r="I11391" t="s" s="11">
        <v>73</v>
      </c>
      <c r="J11391" t="s" s="11">
        <v>20</v>
      </c>
      <c r="K11391" t="s" s="16">
        <f>HYPERLINK("http://csr.bu.edu/ftp/asl/asllvd/demos/verify_start_end_handshape_annotations//test_auto_move//signs_mov/5485.mov","MOV")</f>
        <v>21</v>
      </c>
      <c r="L11391" t="s" s="16">
        <f>HYPERLINK("http://csr.bu.edu/ftp/asl/asllvd/demos/verify_start_end_handshape_annotations//test_auto_move//signs_mov_separ_signers/Tyler_5485.mov","MOV")</f>
        <v>21</v>
      </c>
      <c r="M11391" t="s" s="10">
        <v>26</v>
      </c>
      <c r="N11391" s="17">
        <v>17</v>
      </c>
      <c r="O11391" s="18">
        <v>2880</v>
      </c>
      <c r="P11391" s="18">
        <v>2950</v>
      </c>
      <c r="Q11391" t="s" s="16">
        <f>HYPERLINK("http://secrets.rutgers.edu:8080/data/asl-ftp/asllvd/demos/verify_start_end_handshape_annotations//test_auto_move//signs_mov/5485.mov","MOV")</f>
        <v>21</v>
      </c>
      <c r="R11391" t="s" s="16">
        <f>HYPERLINK("http://secrets.rutgers.edu:8080/data/asl-ftp/asllvd/demos/verify_start_end_handshape_annotations//test_auto_move//signs_mov_separ_signers/Tyler_5485.mov","MOV")</f>
        <v>21</v>
      </c>
    </row>
    <row r="11392" s="2" customFormat="1" ht="13.5" customHeight="1">
      <c r="B11392" t="s" s="8">
        <v>4255</v>
      </c>
      <c r="C11392" t="s" s="9">
        <v>14</v>
      </c>
      <c r="D11392" t="s" s="8">
        <v>14</v>
      </c>
      <c r="E11392" t="s" s="9">
        <v>14</v>
      </c>
      <c r="F11392" t="s" s="10">
        <v>14</v>
      </c>
      <c r="G11392" t="s" s="11">
        <v>14</v>
      </c>
      <c r="H11392" t="s" s="10">
        <v>14</v>
      </c>
      <c r="I11392" t="s" s="11">
        <v>14</v>
      </c>
      <c r="J11392" t="s" s="11">
        <v>14</v>
      </c>
      <c r="K11392" t="s" s="12">
        <v>14</v>
      </c>
      <c r="L11392" t="s" s="12">
        <v>14</v>
      </c>
      <c r="M11392" t="s" s="10">
        <v>14</v>
      </c>
      <c r="N11392" t="s" s="11">
        <v>14</v>
      </c>
      <c r="O11392" t="s" s="8">
        <v>14</v>
      </c>
      <c r="P11392" t="s" s="8">
        <v>14</v>
      </c>
      <c r="Q11392" t="s" s="12">
        <v>14</v>
      </c>
      <c r="R11392" t="s" s="12">
        <v>14</v>
      </c>
    </row>
    <row r="11393" s="2" customFormat="1" ht="13.5" customHeight="1">
      <c r="B11393" s="13"/>
      <c r="C11393" t="s" s="9">
        <v>23</v>
      </c>
      <c r="D11393" t="s" s="8">
        <v>4255</v>
      </c>
      <c r="E11393" t="s" s="9">
        <v>4256</v>
      </c>
      <c r="F11393" t="s" s="10">
        <v>68</v>
      </c>
      <c r="G11393" t="s" s="11">
        <v>73</v>
      </c>
      <c r="H11393" t="s" s="10">
        <v>68</v>
      </c>
      <c r="I11393" t="s" s="11">
        <v>73</v>
      </c>
      <c r="J11393" t="s" s="11">
        <v>20</v>
      </c>
      <c r="K11393" t="s" s="16">
        <f>HYPERLINK("http://csr.bu.edu/ftp/asl/asllvd/demos/verify_start_end_handshape_annotations//test_auto_move//signs_mov/7671.mov","MOV")</f>
        <v>21</v>
      </c>
      <c r="L11393" t="s" s="16">
        <f>HYPERLINK("http://csr.bu.edu/ftp/asl/asllvd/demos/verify_start_end_handshape_annotations//test_auto_move//signs_mov_separ_signers/Tyler_7671.mov","MOV")</f>
        <v>21</v>
      </c>
      <c r="M11393" t="s" s="10">
        <v>92</v>
      </c>
      <c r="N11393" s="17">
        <v>48</v>
      </c>
      <c r="O11393" s="18">
        <v>1315</v>
      </c>
      <c r="P11393" s="18">
        <v>1376</v>
      </c>
      <c r="Q11393" t="s" s="16">
        <f>HYPERLINK("http://secrets.rutgers.edu:8080/data/asl-ftp/asllvd/demos/verify_start_end_handshape_annotations//test_auto_move//signs_mov/7671.mov","MOV")</f>
        <v>21</v>
      </c>
      <c r="R11393" t="s" s="16">
        <f>HYPERLINK("http://secrets.rutgers.edu:8080/data/asl-ftp/asllvd/demos/verify_start_end_handshape_annotations//test_auto_move//signs_mov_separ_signers/Tyler_7671.mov","MOV")</f>
        <v>21</v>
      </c>
    </row>
    <row r="11394" s="2" customFormat="1" ht="13.5" customHeight="1">
      <c r="B11394" s="13"/>
      <c r="C11394" t="s" s="9">
        <v>30</v>
      </c>
      <c r="D11394" t="s" s="8">
        <v>4255</v>
      </c>
      <c r="E11394" t="s" s="9">
        <v>4256</v>
      </c>
      <c r="F11394" t="s" s="10">
        <v>68</v>
      </c>
      <c r="G11394" t="s" s="11">
        <v>73</v>
      </c>
      <c r="H11394" t="s" s="10">
        <v>68</v>
      </c>
      <c r="I11394" t="s" s="11">
        <v>73</v>
      </c>
      <c r="J11394" t="s" s="11">
        <v>20</v>
      </c>
      <c r="K11394" s="15"/>
      <c r="L11394" t="s" s="16">
        <f>HYPERLINK("http://csr.bu.edu/ftp/asl/asllvd/demos/verify_start_end_handshape_annotations//test_auto_move//signs_mov_separ_signers/Brady_7671.mov","MOV")</f>
        <v>21</v>
      </c>
      <c r="M11394" t="s" s="10">
        <v>39</v>
      </c>
      <c r="N11394" s="17">
        <v>33</v>
      </c>
      <c r="O11394" s="18">
        <v>1305</v>
      </c>
      <c r="P11394" s="18">
        <v>1366</v>
      </c>
      <c r="Q11394" s="15"/>
      <c r="R11394" t="s" s="16">
        <f>HYPERLINK("http://secrets.rutgers.edu:8080/data/asl-ftp/asllvd/demos/verify_start_end_handshape_annotations//test_auto_move//signs_mov_separ_signers/Brady_7671.mov","MOV")</f>
        <v>21</v>
      </c>
    </row>
    <row r="11395" s="2" customFormat="1" ht="13.5" customHeight="1">
      <c r="B11395" t="s" s="8">
        <v>4257</v>
      </c>
      <c r="C11395" t="s" s="9">
        <v>14</v>
      </c>
      <c r="D11395" t="s" s="8">
        <v>14</v>
      </c>
      <c r="E11395" t="s" s="9">
        <v>14</v>
      </c>
      <c r="F11395" t="s" s="10">
        <v>14</v>
      </c>
      <c r="G11395" t="s" s="11">
        <v>14</v>
      </c>
      <c r="H11395" t="s" s="10">
        <v>14</v>
      </c>
      <c r="I11395" t="s" s="11">
        <v>14</v>
      </c>
      <c r="J11395" t="s" s="11">
        <v>14</v>
      </c>
      <c r="K11395" t="s" s="12">
        <v>14</v>
      </c>
      <c r="L11395" t="s" s="12">
        <v>14</v>
      </c>
      <c r="M11395" t="s" s="10">
        <v>14</v>
      </c>
      <c r="N11395" t="s" s="11">
        <v>14</v>
      </c>
      <c r="O11395" t="s" s="8">
        <v>14</v>
      </c>
      <c r="P11395" t="s" s="8">
        <v>14</v>
      </c>
      <c r="Q11395" t="s" s="12">
        <v>14</v>
      </c>
      <c r="R11395" t="s" s="12">
        <v>14</v>
      </c>
    </row>
    <row r="11396" s="2" customFormat="1" ht="13.5" customHeight="1">
      <c r="B11396" s="13"/>
      <c r="C11396" t="s" s="9">
        <v>16</v>
      </c>
      <c r="D11396" t="s" s="8">
        <v>4257</v>
      </c>
      <c r="E11396" t="s" s="9">
        <v>4258</v>
      </c>
      <c r="F11396" s="19">
        <v>25</v>
      </c>
      <c r="G11396" s="14"/>
      <c r="H11396" t="s" s="10">
        <v>68</v>
      </c>
      <c r="I11396" t="s" s="11">
        <v>73</v>
      </c>
      <c r="J11396" t="s" s="11">
        <v>20</v>
      </c>
      <c r="K11396" s="15"/>
      <c r="L11396" t="s" s="16">
        <f>HYPERLINK("http://csr.bu.edu/ftp/asl/asllvd/demos/verify_start_end_handshape_annotations//test_auto_move//signs_mov_separ_signers/Liz_5075.mov","MOV")</f>
        <v>21</v>
      </c>
      <c r="M11396" t="s" s="10">
        <v>34</v>
      </c>
      <c r="N11396" s="17">
        <v>20</v>
      </c>
      <c r="O11396" s="18">
        <v>1622</v>
      </c>
      <c r="P11396" s="18">
        <v>1691</v>
      </c>
      <c r="Q11396" s="15"/>
      <c r="R11396" t="s" s="16">
        <f>HYPERLINK("http://secrets.rutgers.edu:8080/data/asl-ftp/asllvd/demos/verify_start_end_handshape_annotations//test_auto_move//signs_mov_separ_signers/Liz_5075.mov","MOV")</f>
        <v>21</v>
      </c>
    </row>
    <row r="11397" s="2" customFormat="1" ht="13.5" customHeight="1">
      <c r="B11397" s="13"/>
      <c r="C11397" t="s" s="9">
        <v>27</v>
      </c>
      <c r="D11397" t="s" s="8">
        <v>4257</v>
      </c>
      <c r="E11397" t="s" s="9">
        <v>4259</v>
      </c>
      <c r="F11397" s="19">
        <v>25</v>
      </c>
      <c r="G11397" t="s" s="11">
        <v>73</v>
      </c>
      <c r="H11397" t="s" s="10">
        <v>63</v>
      </c>
      <c r="I11397" t="s" s="11">
        <v>73</v>
      </c>
      <c r="J11397" t="s" s="11">
        <v>20</v>
      </c>
      <c r="K11397" t="s" s="16">
        <f>HYPERLINK("http://csr.bu.edu/ftp/asl/asllvd/demos/verify_start_end_handshape_annotations//test_auto_move//signs_mov/5075.mov","MOV")</f>
        <v>21</v>
      </c>
      <c r="L11397" t="s" s="16">
        <f>HYPERLINK("http://csr.bu.edu/ftp/asl/asllvd/demos/verify_start_end_handshape_annotations//test_auto_move//signs_mov_separ_signers/Naomi_5075.mov","MOV")</f>
        <v>21</v>
      </c>
      <c r="M11397" t="s" s="10">
        <v>38</v>
      </c>
      <c r="N11397" s="17">
        <v>16</v>
      </c>
      <c r="O11397" s="18">
        <v>3579</v>
      </c>
      <c r="P11397" s="18">
        <v>3666</v>
      </c>
      <c r="Q11397" t="s" s="16">
        <f>HYPERLINK("http://secrets.rutgers.edu:8080/data/asl-ftp/asllvd/demos/verify_start_end_handshape_annotations//test_auto_move//signs_mov/5075.mov","MOV")</f>
        <v>21</v>
      </c>
      <c r="R11397" t="s" s="16">
        <f>HYPERLINK("http://secrets.rutgers.edu:8080/data/asl-ftp/asllvd/demos/verify_start_end_handshape_annotations//test_auto_move//signs_mov_separ_signers/Naomi_5075.mov","MOV")</f>
        <v>21</v>
      </c>
    </row>
    <row r="11398" s="2" customFormat="1" ht="13.5" customHeight="1">
      <c r="B11398" s="13"/>
      <c r="C11398" t="s" s="9">
        <v>30</v>
      </c>
      <c r="D11398" t="s" s="8">
        <v>4257</v>
      </c>
      <c r="E11398" t="s" s="9">
        <v>4259</v>
      </c>
      <c r="F11398" s="19">
        <v>25</v>
      </c>
      <c r="G11398" s="14"/>
      <c r="H11398" t="s" s="10">
        <v>68</v>
      </c>
      <c r="I11398" t="s" s="11">
        <v>73</v>
      </c>
      <c r="J11398" t="s" s="11">
        <v>20</v>
      </c>
      <c r="K11398" s="15"/>
      <c r="L11398" t="s" s="16">
        <f>HYPERLINK("http://csr.bu.edu/ftp/asl/asllvd/demos/verify_start_end_handshape_annotations//test_auto_move//signs_mov_separ_signers/Brady_5075.mov","MOV")</f>
        <v>21</v>
      </c>
      <c r="M11398" t="s" s="10">
        <v>39</v>
      </c>
      <c r="N11398" s="17">
        <v>33</v>
      </c>
      <c r="O11398" s="18">
        <v>1026</v>
      </c>
      <c r="P11398" s="18">
        <v>1076</v>
      </c>
      <c r="Q11398" s="15"/>
      <c r="R11398" t="s" s="16">
        <f>HYPERLINK("http://secrets.rutgers.edu:8080/data/asl-ftp/asllvd/demos/verify_start_end_handshape_annotations//test_auto_move//signs_mov_separ_signers/Brady_5075.mov","MOV")</f>
        <v>21</v>
      </c>
    </row>
    <row r="11399" s="2" customFormat="1" ht="13.5" customHeight="1">
      <c r="B11399" t="s" s="8">
        <v>52</v>
      </c>
      <c r="C11399" t="s" s="9">
        <v>53</v>
      </c>
      <c r="D11399" t="s" s="8">
        <v>53</v>
      </c>
      <c r="E11399" t="s" s="9">
        <v>53</v>
      </c>
      <c r="F11399" t="s" s="10">
        <v>53</v>
      </c>
      <c r="G11399" t="s" s="11">
        <v>53</v>
      </c>
      <c r="H11399" t="s" s="10">
        <v>53</v>
      </c>
      <c r="I11399" t="s" s="11">
        <v>53</v>
      </c>
      <c r="J11399" t="s" s="11">
        <v>53</v>
      </c>
      <c r="K11399" t="s" s="12">
        <v>53</v>
      </c>
      <c r="L11399" t="s" s="12">
        <v>53</v>
      </c>
      <c r="M11399" t="s" s="10">
        <v>53</v>
      </c>
      <c r="N11399" t="s" s="11">
        <v>53</v>
      </c>
      <c r="O11399" t="s" s="8">
        <v>53</v>
      </c>
      <c r="P11399" t="s" s="8">
        <v>53</v>
      </c>
      <c r="Q11399" t="s" s="12">
        <v>53</v>
      </c>
      <c r="R11399" t="s" s="12">
        <v>53</v>
      </c>
    </row>
    <row r="11400" s="2" customFormat="1" ht="13.5" customHeight="1">
      <c r="B11400" s="13"/>
      <c r="C11400" t="s" s="9">
        <v>16</v>
      </c>
      <c r="D11400" t="s" s="8">
        <v>4257</v>
      </c>
      <c r="E11400" t="s" s="9">
        <v>4260</v>
      </c>
      <c r="F11400" s="19">
        <v>25</v>
      </c>
      <c r="G11400" s="14"/>
      <c r="H11400" t="s" s="10">
        <v>68</v>
      </c>
      <c r="I11400" s="14"/>
      <c r="J11400" t="s" s="11">
        <v>20</v>
      </c>
      <c r="K11400" t="s" s="16">
        <f>HYPERLINK("http://csr.bu.edu/ftp/asl/asllvd/demos/verify_start_end_handshape_annotations//test_auto_move//signs_mov/5299.mov","MOV")</f>
        <v>21</v>
      </c>
      <c r="L11400" t="s" s="16">
        <f>HYPERLINK("http://csr.bu.edu/ftp/asl/asllvd/demos/verify_start_end_handshape_annotations//test_auto_move//signs_mov_separ_signers/Liz_5299.mov","MOV")</f>
        <v>21</v>
      </c>
      <c r="M11400" t="s" s="10">
        <v>34</v>
      </c>
      <c r="N11400" s="17">
        <v>20</v>
      </c>
      <c r="O11400" s="18">
        <v>1892</v>
      </c>
      <c r="P11400" s="18">
        <v>1963</v>
      </c>
      <c r="Q11400" t="s" s="16">
        <f>HYPERLINK("http://secrets.rutgers.edu:8080/data/asl-ftp/asllvd/demos/verify_start_end_handshape_annotations//test_auto_move//signs_mov/5299.mov","MOV")</f>
        <v>21</v>
      </c>
      <c r="R11400" t="s" s="16">
        <f>HYPERLINK("http://secrets.rutgers.edu:8080/data/asl-ftp/asllvd/demos/verify_start_end_handshape_annotations//test_auto_move//signs_mov_separ_signers/Liz_5299.mov","MOV")</f>
        <v>21</v>
      </c>
    </row>
    <row r="11401" s="2" customFormat="1" ht="13.5" customHeight="1">
      <c r="B11401" s="13"/>
      <c r="C11401" t="s" s="9">
        <v>30</v>
      </c>
      <c r="D11401" t="s" s="8">
        <v>4257</v>
      </c>
      <c r="E11401" t="s" s="9">
        <v>4261</v>
      </c>
      <c r="F11401" s="19">
        <v>25</v>
      </c>
      <c r="G11401" s="14"/>
      <c r="H11401" t="s" s="10">
        <v>63</v>
      </c>
      <c r="I11401" s="14"/>
      <c r="J11401" t="s" s="11">
        <v>20</v>
      </c>
      <c r="K11401" s="15"/>
      <c r="L11401" t="s" s="16">
        <f>HYPERLINK("http://csr.bu.edu/ftp/asl/asllvd/demos/verify_start_end_handshape_annotations//test_auto_move//signs_mov_separ_signers/Brady_5299.mov","MOV")</f>
        <v>21</v>
      </c>
      <c r="M11401" t="s" s="10">
        <v>39</v>
      </c>
      <c r="N11401" s="17">
        <v>33</v>
      </c>
      <c r="O11401" s="18">
        <v>1629</v>
      </c>
      <c r="P11401" s="18">
        <v>1696</v>
      </c>
      <c r="Q11401" s="15"/>
      <c r="R11401" t="s" s="16">
        <f>HYPERLINK("http://secrets.rutgers.edu:8080/data/asl-ftp/asllvd/demos/verify_start_end_handshape_annotations//test_auto_move//signs_mov_separ_signers/Brady_5299.mov","MOV")</f>
        <v>21</v>
      </c>
    </row>
    <row r="11402" s="2" customFormat="1" ht="13.5" customHeight="1">
      <c r="B11402" t="s" s="8">
        <v>4262</v>
      </c>
      <c r="C11402" t="s" s="9">
        <v>14</v>
      </c>
      <c r="D11402" t="s" s="8">
        <v>14</v>
      </c>
      <c r="E11402" t="s" s="9">
        <v>14</v>
      </c>
      <c r="F11402" t="s" s="10">
        <v>14</v>
      </c>
      <c r="G11402" t="s" s="11">
        <v>14</v>
      </c>
      <c r="H11402" t="s" s="10">
        <v>14</v>
      </c>
      <c r="I11402" t="s" s="11">
        <v>14</v>
      </c>
      <c r="J11402" t="s" s="11">
        <v>14</v>
      </c>
      <c r="K11402" t="s" s="12">
        <v>14</v>
      </c>
      <c r="L11402" t="s" s="12">
        <v>14</v>
      </c>
      <c r="M11402" t="s" s="10">
        <v>14</v>
      </c>
      <c r="N11402" t="s" s="11">
        <v>14</v>
      </c>
      <c r="O11402" t="s" s="8">
        <v>14</v>
      </c>
      <c r="P11402" t="s" s="8">
        <v>14</v>
      </c>
      <c r="Q11402" t="s" s="12">
        <v>14</v>
      </c>
      <c r="R11402" t="s" s="12">
        <v>14</v>
      </c>
    </row>
    <row r="11403" s="2" customFormat="1" ht="13.5" customHeight="1">
      <c r="B11403" s="13"/>
      <c r="C11403" t="s" s="9">
        <v>30</v>
      </c>
      <c r="D11403" t="s" s="8">
        <v>4263</v>
      </c>
      <c r="E11403" t="s" s="9">
        <v>4264</v>
      </c>
      <c r="F11403" t="s" s="10">
        <v>2233</v>
      </c>
      <c r="G11403" t="s" s="11">
        <v>73</v>
      </c>
      <c r="H11403" t="s" s="10">
        <v>2233</v>
      </c>
      <c r="I11403" t="s" s="11">
        <v>73</v>
      </c>
      <c r="J11403" t="s" s="11">
        <v>20</v>
      </c>
      <c r="K11403" t="s" s="16">
        <f>HYPERLINK("http://csr.bu.edu/ftp/asl/asllvd/demos/verify_start_end_handshape_annotations//test_auto_move//signs_mov/7818.mov","MOV")</f>
        <v>21</v>
      </c>
      <c r="L11403" t="s" s="16">
        <f>HYPERLINK("http://csr.bu.edu/ftp/asl/asllvd/demos/verify_start_end_handshape_annotations//test_auto_move//signs_mov_separ_signers/Brady_7818.mov","MOV")</f>
        <v>21</v>
      </c>
      <c r="M11403" t="s" s="10">
        <v>40</v>
      </c>
      <c r="N11403" s="17">
        <v>4</v>
      </c>
      <c r="O11403" s="18">
        <v>3815</v>
      </c>
      <c r="P11403" s="18">
        <v>3842</v>
      </c>
      <c r="Q11403" t="s" s="16">
        <f>HYPERLINK("http://secrets.rutgers.edu:8080/data/asl-ftp/asllvd/demos/verify_start_end_handshape_annotations//test_auto_move//signs_mov/7818.mov","MOV")</f>
        <v>21</v>
      </c>
      <c r="R11403" t="s" s="16">
        <f>HYPERLINK("http://secrets.rutgers.edu:8080/data/asl-ftp/asllvd/demos/verify_start_end_handshape_annotations//test_auto_move//signs_mov_separ_signers/Brady_7818.mov","MOV")</f>
        <v>21</v>
      </c>
    </row>
    <row r="11404" s="2" customFormat="1" ht="13.5" customHeight="1">
      <c r="B11404" t="s" s="8">
        <v>4265</v>
      </c>
      <c r="C11404" t="s" s="9">
        <v>14</v>
      </c>
      <c r="D11404" t="s" s="8">
        <v>14</v>
      </c>
      <c r="E11404" t="s" s="9">
        <v>14</v>
      </c>
      <c r="F11404" t="s" s="10">
        <v>14</v>
      </c>
      <c r="G11404" t="s" s="11">
        <v>14</v>
      </c>
      <c r="H11404" t="s" s="10">
        <v>14</v>
      </c>
      <c r="I11404" t="s" s="11">
        <v>14</v>
      </c>
      <c r="J11404" t="s" s="11">
        <v>14</v>
      </c>
      <c r="K11404" t="s" s="12">
        <v>14</v>
      </c>
      <c r="L11404" t="s" s="12">
        <v>14</v>
      </c>
      <c r="M11404" t="s" s="10">
        <v>14</v>
      </c>
      <c r="N11404" t="s" s="11">
        <v>14</v>
      </c>
      <c r="O11404" t="s" s="8">
        <v>14</v>
      </c>
      <c r="P11404" t="s" s="8">
        <v>14</v>
      </c>
      <c r="Q11404" t="s" s="12">
        <v>14</v>
      </c>
      <c r="R11404" t="s" s="12">
        <v>14</v>
      </c>
    </row>
    <row r="11405" s="2" customFormat="1" ht="13.5" customHeight="1">
      <c r="B11405" s="13"/>
      <c r="C11405" t="s" s="9">
        <v>30</v>
      </c>
      <c r="D11405" t="s" s="8">
        <v>4265</v>
      </c>
      <c r="E11405" t="s" s="9">
        <v>4265</v>
      </c>
      <c r="F11405" t="s" s="10">
        <v>425</v>
      </c>
      <c r="G11405" t="s" s="11">
        <v>425</v>
      </c>
      <c r="H11405" t="s" s="10">
        <v>240</v>
      </c>
      <c r="I11405" t="s" s="11">
        <v>240</v>
      </c>
      <c r="J11405" t="s" s="11">
        <v>20</v>
      </c>
      <c r="K11405" t="s" s="16">
        <f>HYPERLINK("http://csr.bu.edu/ftp/asl/asllvd/demos/verify_start_end_handshape_annotations//test_auto_move//signs_mov/5802_7833_merged.mov","MOV")</f>
        <v>21</v>
      </c>
      <c r="L11405" t="s" s="16">
        <f>HYPERLINK("http://csr.bu.edu/ftp/asl/asllvd/demos/verify_start_end_handshape_annotations//test_auto_move//signs_mov_separ_signers/Brady_7833.mov","MOV")</f>
        <v>21</v>
      </c>
      <c r="M11405" t="s" s="10">
        <v>40</v>
      </c>
      <c r="N11405" s="17">
        <v>17</v>
      </c>
      <c r="O11405" s="18">
        <v>1048</v>
      </c>
      <c r="P11405" s="18">
        <v>1079</v>
      </c>
      <c r="Q11405" t="s" s="16">
        <f>HYPERLINK("http://secrets.rutgers.edu:8080/data/asl-ftp/asllvd/demos/verify_start_end_handshape_annotations//test_auto_move//signs_mov/5802_7833_merged.mov","MOV")</f>
        <v>21</v>
      </c>
      <c r="R11405" t="s" s="16">
        <f>HYPERLINK("http://secrets.rutgers.edu:8080/data/asl-ftp/asllvd/demos/verify_start_end_handshape_annotations//test_auto_move//signs_mov_separ_signers/Brady_7833.mov","MOV")</f>
        <v>21</v>
      </c>
    </row>
    <row r="11406" s="2" customFormat="1" ht="13.5" customHeight="1">
      <c r="B11406" s="13"/>
      <c r="C11406" t="s" s="9">
        <v>30</v>
      </c>
      <c r="D11406" t="s" s="8">
        <v>4265</v>
      </c>
      <c r="E11406" t="s" s="9">
        <v>4265</v>
      </c>
      <c r="F11406" t="s" s="10">
        <v>425</v>
      </c>
      <c r="G11406" t="s" s="11">
        <v>425</v>
      </c>
      <c r="H11406" t="s" s="10">
        <v>240</v>
      </c>
      <c r="I11406" t="s" s="11">
        <v>240</v>
      </c>
      <c r="J11406" t="s" s="11">
        <v>20</v>
      </c>
      <c r="K11406" s="15"/>
      <c r="L11406" t="s" s="16">
        <f>HYPERLINK("http://csr.bu.edu/ftp/asl/asllvd/demos/verify_start_end_handshape_annotations//test_auto_move//signs_mov_separ_signers/Brady_5802.mov","MOV")</f>
        <v>21</v>
      </c>
      <c r="M11406" t="s" s="10">
        <v>60</v>
      </c>
      <c r="N11406" s="17">
        <v>48</v>
      </c>
      <c r="O11406" s="18">
        <v>2725</v>
      </c>
      <c r="P11406" s="18">
        <v>2753</v>
      </c>
      <c r="Q11406" s="15"/>
      <c r="R11406" t="s" s="16">
        <f>HYPERLINK("http://secrets.rutgers.edu:8080/data/asl-ftp/asllvd/demos/verify_start_end_handshape_annotations//test_auto_move//signs_mov_separ_signers/Brady_5802.mov","MOV")</f>
        <v>21</v>
      </c>
    </row>
    <row r="11407" s="2" customFormat="1" ht="13.5" customHeight="1">
      <c r="B11407" t="s" s="8">
        <v>4266</v>
      </c>
      <c r="C11407" t="s" s="9">
        <v>14</v>
      </c>
      <c r="D11407" t="s" s="8">
        <v>14</v>
      </c>
      <c r="E11407" t="s" s="9">
        <v>14</v>
      </c>
      <c r="F11407" t="s" s="10">
        <v>14</v>
      </c>
      <c r="G11407" t="s" s="11">
        <v>14</v>
      </c>
      <c r="H11407" t="s" s="10">
        <v>14</v>
      </c>
      <c r="I11407" t="s" s="11">
        <v>14</v>
      </c>
      <c r="J11407" t="s" s="11">
        <v>14</v>
      </c>
      <c r="K11407" t="s" s="12">
        <v>14</v>
      </c>
      <c r="L11407" t="s" s="12">
        <v>14</v>
      </c>
      <c r="M11407" t="s" s="10">
        <v>14</v>
      </c>
      <c r="N11407" t="s" s="11">
        <v>14</v>
      </c>
      <c r="O11407" t="s" s="8">
        <v>14</v>
      </c>
      <c r="P11407" t="s" s="8">
        <v>14</v>
      </c>
      <c r="Q11407" t="s" s="12">
        <v>14</v>
      </c>
      <c r="R11407" t="s" s="12">
        <v>14</v>
      </c>
    </row>
    <row r="11408" s="2" customFormat="1" ht="13.5" customHeight="1">
      <c r="B11408" s="13"/>
      <c r="C11408" t="s" s="9">
        <v>16</v>
      </c>
      <c r="D11408" t="s" s="8">
        <v>4266</v>
      </c>
      <c r="E11408" t="s" s="9">
        <v>4266</v>
      </c>
      <c r="F11408" t="s" s="10">
        <v>757</v>
      </c>
      <c r="G11408" t="s" s="11">
        <v>757</v>
      </c>
      <c r="H11408" t="s" s="10">
        <v>757</v>
      </c>
      <c r="I11408" t="s" s="11">
        <v>757</v>
      </c>
      <c r="J11408" t="s" s="11">
        <v>20</v>
      </c>
      <c r="K11408" t="s" s="16">
        <f>HYPERLINK("http://csr.bu.edu/ftp/asl/asllvd/demos/verify_start_end_handshape_annotations//test_auto_move//signs_mov/16263.mov","MOV")</f>
        <v>21</v>
      </c>
      <c r="L11408" t="s" s="16">
        <f>HYPERLINK("http://csr.bu.edu/ftp/asl/asllvd/demos/verify_start_end_handshape_annotations//test_auto_move//signs_mov_separ_signers/Liz_16263.mov","MOV")</f>
        <v>21</v>
      </c>
      <c r="M11408" t="s" s="10">
        <v>88</v>
      </c>
      <c r="N11408" s="17">
        <v>22</v>
      </c>
      <c r="O11408" s="18">
        <v>315</v>
      </c>
      <c r="P11408" s="18">
        <v>360</v>
      </c>
      <c r="Q11408" t="s" s="16">
        <f>HYPERLINK("http://secrets.rutgers.edu:8080/data/asl-ftp/asllvd/demos/verify_start_end_handshape_annotations//test_auto_move//signs_mov/16263.mov","MOV")</f>
        <v>21</v>
      </c>
      <c r="R11408" t="s" s="16">
        <f>HYPERLINK("http://secrets.rutgers.edu:8080/data/asl-ftp/asllvd/demos/verify_start_end_handshape_annotations//test_auto_move//signs_mov_separ_signers/Liz_16263.mov","MOV")</f>
        <v>21</v>
      </c>
    </row>
    <row r="11409" s="2" customFormat="1" ht="13.5" customHeight="1">
      <c r="B11409" t="s" s="8">
        <v>4267</v>
      </c>
      <c r="C11409" t="s" s="9">
        <v>14</v>
      </c>
      <c r="D11409" t="s" s="8">
        <v>14</v>
      </c>
      <c r="E11409" t="s" s="9">
        <v>14</v>
      </c>
      <c r="F11409" t="s" s="10">
        <v>14</v>
      </c>
      <c r="G11409" t="s" s="11">
        <v>14</v>
      </c>
      <c r="H11409" t="s" s="10">
        <v>14</v>
      </c>
      <c r="I11409" t="s" s="11">
        <v>14</v>
      </c>
      <c r="J11409" t="s" s="11">
        <v>14</v>
      </c>
      <c r="K11409" t="s" s="12">
        <v>14</v>
      </c>
      <c r="L11409" t="s" s="12">
        <v>14</v>
      </c>
      <c r="M11409" t="s" s="10">
        <v>14</v>
      </c>
      <c r="N11409" t="s" s="11">
        <v>14</v>
      </c>
      <c r="O11409" t="s" s="8">
        <v>14</v>
      </c>
      <c r="P11409" t="s" s="8">
        <v>14</v>
      </c>
      <c r="Q11409" t="s" s="12">
        <v>14</v>
      </c>
      <c r="R11409" t="s" s="12">
        <v>14</v>
      </c>
    </row>
    <row r="11410" s="2" customFormat="1" ht="13.5" customHeight="1">
      <c r="B11410" s="13"/>
      <c r="C11410" t="s" s="9">
        <v>16</v>
      </c>
      <c r="D11410" t="s" s="8">
        <v>4267</v>
      </c>
      <c r="E11410" t="s" s="9">
        <v>4267</v>
      </c>
      <c r="F11410" s="19">
        <v>3</v>
      </c>
      <c r="G11410" t="s" s="11">
        <v>73</v>
      </c>
      <c r="H11410" s="19">
        <v>3</v>
      </c>
      <c r="I11410" t="s" s="11">
        <v>73</v>
      </c>
      <c r="J11410" t="s" s="11">
        <v>20</v>
      </c>
      <c r="K11410" s="15"/>
      <c r="L11410" t="s" s="16">
        <f>HYPERLINK("http://csr.bu.edu/ftp/asl/asllvd/demos/verify_start_end_handshape_annotations//test_auto_move//signs_mov_separ_signers/Liz_7904.mov","MOV")</f>
        <v>21</v>
      </c>
      <c r="M11410" t="s" s="10">
        <v>88</v>
      </c>
      <c r="N11410" s="17">
        <v>31</v>
      </c>
      <c r="O11410" s="18">
        <v>1385</v>
      </c>
      <c r="P11410" s="18">
        <v>1432</v>
      </c>
      <c r="Q11410" s="15"/>
      <c r="R11410" t="s" s="16">
        <f>HYPERLINK("http://secrets.rutgers.edu:8080/data/asl-ftp/asllvd/demos/verify_start_end_handshape_annotations//test_auto_move//signs_mov_separ_signers/Liz_7904.mov","MOV")</f>
        <v>21</v>
      </c>
    </row>
    <row r="11411" s="2" customFormat="1" ht="13.5" customHeight="1">
      <c r="B11411" s="13"/>
      <c r="C11411" t="s" s="9">
        <v>30</v>
      </c>
      <c r="D11411" t="s" s="8">
        <v>4267</v>
      </c>
      <c r="E11411" t="s" s="9">
        <v>4267</v>
      </c>
      <c r="F11411" s="19">
        <v>3</v>
      </c>
      <c r="G11411" t="s" s="11">
        <v>73</v>
      </c>
      <c r="H11411" s="19">
        <v>3</v>
      </c>
      <c r="I11411" t="s" s="11">
        <v>73</v>
      </c>
      <c r="J11411" t="s" s="11">
        <v>20</v>
      </c>
      <c r="K11411" t="s" s="16">
        <f>HYPERLINK("http://csr.bu.edu/ftp/asl/asllvd/demos/verify_start_end_handshape_annotations//test_auto_move//signs_mov/5785_7904_merged.mov","MOV")</f>
        <v>21</v>
      </c>
      <c r="L11411" t="s" s="16">
        <f>HYPERLINK("http://csr.bu.edu/ftp/asl/asllvd/demos/verify_start_end_handshape_annotations//test_auto_move//signs_mov_separ_signers/Brady_7904.mov","MOV")</f>
        <v>21</v>
      </c>
      <c r="M11411" t="s" s="10">
        <v>40</v>
      </c>
      <c r="N11411" s="17">
        <v>26</v>
      </c>
      <c r="O11411" s="18">
        <v>2607</v>
      </c>
      <c r="P11411" s="18">
        <v>2627</v>
      </c>
      <c r="Q11411" t="s" s="16">
        <f>HYPERLINK("http://secrets.rutgers.edu:8080/data/asl-ftp/asllvd/demos/verify_start_end_handshape_annotations//test_auto_move//signs_mov/5785_7904_merged.mov","MOV")</f>
        <v>21</v>
      </c>
      <c r="R11411" t="s" s="16">
        <f>HYPERLINK("http://secrets.rutgers.edu:8080/data/asl-ftp/asllvd/demos/verify_start_end_handshape_annotations//test_auto_move//signs_mov_separ_signers/Brady_7904.mov","MOV")</f>
        <v>21</v>
      </c>
    </row>
    <row r="11412" s="2" customFormat="1" ht="13.5" customHeight="1">
      <c r="B11412" s="13"/>
      <c r="C11412" t="s" s="9">
        <v>30</v>
      </c>
      <c r="D11412" t="s" s="8">
        <v>4267</v>
      </c>
      <c r="E11412" t="s" s="9">
        <v>4268</v>
      </c>
      <c r="F11412" s="19">
        <v>3</v>
      </c>
      <c r="G11412" t="s" s="11">
        <v>73</v>
      </c>
      <c r="H11412" s="19">
        <v>3</v>
      </c>
      <c r="I11412" t="s" s="11">
        <v>73</v>
      </c>
      <c r="J11412" t="s" s="11">
        <v>20</v>
      </c>
      <c r="K11412" s="15"/>
      <c r="L11412" t="s" s="16">
        <f>HYPERLINK("http://csr.bu.edu/ftp/asl/asllvd/demos/verify_start_end_handshape_annotations//test_auto_move//signs_mov_separ_signers/Brady_5785.mov","MOV")</f>
        <v>21</v>
      </c>
      <c r="M11412" t="s" s="10">
        <v>60</v>
      </c>
      <c r="N11412" s="17">
        <v>49</v>
      </c>
      <c r="O11412" s="18">
        <v>169</v>
      </c>
      <c r="P11412" s="18">
        <v>213</v>
      </c>
      <c r="Q11412" s="15"/>
      <c r="R11412" t="s" s="16">
        <f>HYPERLINK("http://secrets.rutgers.edu:8080/data/asl-ftp/asllvd/demos/verify_start_end_handshape_annotations//test_auto_move//signs_mov_separ_signers/Brady_5785.mov","MOV")</f>
        <v>21</v>
      </c>
    </row>
    <row r="11413" s="2" customFormat="1" ht="13.5" customHeight="1">
      <c r="B11413" t="s" s="8">
        <v>4269</v>
      </c>
      <c r="C11413" t="s" s="9">
        <v>14</v>
      </c>
      <c r="D11413" t="s" s="8">
        <v>14</v>
      </c>
      <c r="E11413" t="s" s="9">
        <v>14</v>
      </c>
      <c r="F11413" t="s" s="10">
        <v>14</v>
      </c>
      <c r="G11413" t="s" s="11">
        <v>14</v>
      </c>
      <c r="H11413" t="s" s="10">
        <v>14</v>
      </c>
      <c r="I11413" t="s" s="11">
        <v>14</v>
      </c>
      <c r="J11413" t="s" s="11">
        <v>14</v>
      </c>
      <c r="K11413" t="s" s="12">
        <v>14</v>
      </c>
      <c r="L11413" t="s" s="12">
        <v>14</v>
      </c>
      <c r="M11413" t="s" s="10">
        <v>14</v>
      </c>
      <c r="N11413" t="s" s="11">
        <v>14</v>
      </c>
      <c r="O11413" t="s" s="8">
        <v>14</v>
      </c>
      <c r="P11413" t="s" s="8">
        <v>14</v>
      </c>
      <c r="Q11413" t="s" s="12">
        <v>14</v>
      </c>
      <c r="R11413" t="s" s="12">
        <v>14</v>
      </c>
    </row>
    <row r="11414" s="2" customFormat="1" ht="13.5" customHeight="1">
      <c r="B11414" s="13"/>
      <c r="C11414" t="s" s="9">
        <v>16</v>
      </c>
      <c r="D11414" t="s" s="8">
        <v>4269</v>
      </c>
      <c r="E11414" t="s" s="9">
        <v>4269</v>
      </c>
      <c r="F11414" t="s" s="10">
        <v>220</v>
      </c>
      <c r="G11414" t="s" s="11">
        <v>68</v>
      </c>
      <c r="H11414" t="s" s="10">
        <v>220</v>
      </c>
      <c r="I11414" t="s" s="11">
        <v>68</v>
      </c>
      <c r="J11414" t="s" s="11">
        <v>136</v>
      </c>
      <c r="K11414" s="15"/>
      <c r="L11414" t="s" s="16">
        <f>HYPERLINK("http://csr.bu.edu/ftp/asl/asllvd/demos/verify_start_end_handshape_annotations//test_auto_move//signs_mov_separ_signers/Liz_7906.mov","MOV")</f>
        <v>21</v>
      </c>
      <c r="M11414" t="s" s="10">
        <v>88</v>
      </c>
      <c r="N11414" s="17">
        <v>31</v>
      </c>
      <c r="O11414" s="18">
        <v>1645</v>
      </c>
      <c r="P11414" s="18">
        <v>1701</v>
      </c>
      <c r="Q11414" s="15"/>
      <c r="R11414" t="s" s="16">
        <f>HYPERLINK("http://secrets.rutgers.edu:8080/data/asl-ftp/asllvd/demos/verify_start_end_handshape_annotations//test_auto_move//signs_mov_separ_signers/Liz_7906.mov","MOV")</f>
        <v>21</v>
      </c>
    </row>
    <row r="11415" s="2" customFormat="1" ht="13.5" customHeight="1">
      <c r="B11415" s="13"/>
      <c r="C11415" t="s" s="9">
        <v>30</v>
      </c>
      <c r="D11415" t="s" s="8">
        <v>4269</v>
      </c>
      <c r="E11415" t="s" s="9">
        <v>4269</v>
      </c>
      <c r="F11415" t="s" s="10">
        <v>220</v>
      </c>
      <c r="G11415" t="s" s="11">
        <v>68</v>
      </c>
      <c r="H11415" t="s" s="10">
        <v>220</v>
      </c>
      <c r="I11415" t="s" s="11">
        <v>68</v>
      </c>
      <c r="J11415" t="s" s="11">
        <v>20</v>
      </c>
      <c r="K11415" t="s" s="16">
        <f>HYPERLINK("http://csr.bu.edu/ftp/asl/asllvd/demos/verify_start_end_handshape_annotations//test_auto_move//signs_mov/5789_7906_merged.mov","MOV")</f>
        <v>21</v>
      </c>
      <c r="L11415" t="s" s="16">
        <f>HYPERLINK("http://csr.bu.edu/ftp/asl/asllvd/demos/verify_start_end_handshape_annotations//test_auto_move//signs_mov_separ_signers/Brady_7906.mov","MOV")</f>
        <v>21</v>
      </c>
      <c r="M11415" t="s" s="10">
        <v>40</v>
      </c>
      <c r="N11415" s="17">
        <v>26</v>
      </c>
      <c r="O11415" s="18">
        <v>3324</v>
      </c>
      <c r="P11415" s="18">
        <v>3348</v>
      </c>
      <c r="Q11415" t="s" s="16">
        <f>HYPERLINK("http://secrets.rutgers.edu:8080/data/asl-ftp/asllvd/demos/verify_start_end_handshape_annotations//test_auto_move//signs_mov/5789_7906_merged.mov","MOV")</f>
        <v>21</v>
      </c>
      <c r="R11415" t="s" s="16">
        <f>HYPERLINK("http://secrets.rutgers.edu:8080/data/asl-ftp/asllvd/demos/verify_start_end_handshape_annotations//test_auto_move//signs_mov_separ_signers/Brady_7906.mov","MOV")</f>
        <v>21</v>
      </c>
    </row>
    <row r="11416" s="2" customFormat="1" ht="13.5" customHeight="1">
      <c r="B11416" s="13"/>
      <c r="C11416" t="s" s="9">
        <v>30</v>
      </c>
      <c r="D11416" t="s" s="8">
        <v>4269</v>
      </c>
      <c r="E11416" t="s" s="9">
        <v>4269</v>
      </c>
      <c r="F11416" t="s" s="10">
        <v>220</v>
      </c>
      <c r="G11416" t="s" s="11">
        <v>68</v>
      </c>
      <c r="H11416" t="s" s="10">
        <v>220</v>
      </c>
      <c r="I11416" t="s" s="11">
        <v>68</v>
      </c>
      <c r="J11416" t="s" s="11">
        <v>20</v>
      </c>
      <c r="K11416" s="15"/>
      <c r="L11416" t="s" s="16">
        <f>HYPERLINK("http://csr.bu.edu/ftp/asl/asllvd/demos/verify_start_end_handshape_annotations//test_auto_move//signs_mov_separ_signers/Brady_5789.mov","MOV")</f>
        <v>21</v>
      </c>
      <c r="M11416" t="s" s="10">
        <v>60</v>
      </c>
      <c r="N11416" s="17">
        <v>49</v>
      </c>
      <c r="O11416" s="18">
        <v>395</v>
      </c>
      <c r="P11416" s="18">
        <v>419</v>
      </c>
      <c r="Q11416" s="15"/>
      <c r="R11416" t="s" s="16">
        <f>HYPERLINK("http://secrets.rutgers.edu:8080/data/asl-ftp/asllvd/demos/verify_start_end_handshape_annotations//test_auto_move//signs_mov_separ_signers/Brady_5789.mov","MOV")</f>
        <v>21</v>
      </c>
    </row>
    <row r="11417" s="2" customFormat="1" ht="13.5" customHeight="1">
      <c r="B11417" t="s" s="8">
        <v>4270</v>
      </c>
      <c r="C11417" t="s" s="9">
        <v>14</v>
      </c>
      <c r="D11417" t="s" s="8">
        <v>14</v>
      </c>
      <c r="E11417" t="s" s="9">
        <v>14</v>
      </c>
      <c r="F11417" t="s" s="10">
        <v>14</v>
      </c>
      <c r="G11417" t="s" s="11">
        <v>14</v>
      </c>
      <c r="H11417" t="s" s="10">
        <v>14</v>
      </c>
      <c r="I11417" t="s" s="11">
        <v>14</v>
      </c>
      <c r="J11417" t="s" s="11">
        <v>14</v>
      </c>
      <c r="K11417" t="s" s="12">
        <v>14</v>
      </c>
      <c r="L11417" t="s" s="12">
        <v>14</v>
      </c>
      <c r="M11417" t="s" s="10">
        <v>14</v>
      </c>
      <c r="N11417" t="s" s="11">
        <v>14</v>
      </c>
      <c r="O11417" t="s" s="8">
        <v>14</v>
      </c>
      <c r="P11417" t="s" s="8">
        <v>14</v>
      </c>
      <c r="Q11417" t="s" s="12">
        <v>14</v>
      </c>
      <c r="R11417" t="s" s="12">
        <v>14</v>
      </c>
    </row>
    <row r="11418" s="2" customFormat="1" ht="13.5" customHeight="1">
      <c r="B11418" s="13"/>
      <c r="C11418" t="s" s="9">
        <v>30</v>
      </c>
      <c r="D11418" t="s" s="8">
        <v>4270</v>
      </c>
      <c r="E11418" t="s" s="9">
        <v>4271</v>
      </c>
      <c r="F11418" s="19">
        <v>3</v>
      </c>
      <c r="G11418" s="14"/>
      <c r="H11418" s="19">
        <v>3</v>
      </c>
      <c r="I11418" s="14"/>
      <c r="J11418" t="s" s="11">
        <v>20</v>
      </c>
      <c r="K11418" t="s" s="16">
        <f>HYPERLINK("http://csr.bu.edu/ftp/asl/asllvd/demos/verify_start_end_handshape_annotations//test_auto_move//signs_mov/5784_7977_merged.mov","MOV")</f>
        <v>21</v>
      </c>
      <c r="L11418" t="s" s="16">
        <f>HYPERLINK("http://csr.bu.edu/ftp/asl/asllvd/demos/verify_start_end_handshape_annotations//test_auto_move//signs_mov_separ_signers/Brady_7977.mov","MOV")</f>
        <v>21</v>
      </c>
      <c r="M11418" t="s" s="10">
        <v>40</v>
      </c>
      <c r="N11418" s="17">
        <v>34</v>
      </c>
      <c r="O11418" s="18">
        <v>980</v>
      </c>
      <c r="P11418" s="18">
        <v>1031</v>
      </c>
      <c r="Q11418" t="s" s="16">
        <f>HYPERLINK("http://secrets.rutgers.edu:8080/data/asl-ftp/asllvd/demos/verify_start_end_handshape_annotations//test_auto_move//signs_mov/5784_7977_merged.mov","MOV")</f>
        <v>21</v>
      </c>
      <c r="R11418" t="s" s="16">
        <f>HYPERLINK("http://secrets.rutgers.edu:8080/data/asl-ftp/asllvd/demos/verify_start_end_handshape_annotations//test_auto_move//signs_mov_separ_signers/Brady_7977.mov","MOV")</f>
        <v>21</v>
      </c>
    </row>
    <row r="11419" s="2" customFormat="1" ht="13.5" customHeight="1">
      <c r="B11419" s="13"/>
      <c r="C11419" t="s" s="9">
        <v>30</v>
      </c>
      <c r="D11419" t="s" s="8">
        <v>4270</v>
      </c>
      <c r="E11419" t="s" s="9">
        <v>4272</v>
      </c>
      <c r="F11419" s="19">
        <v>3</v>
      </c>
      <c r="G11419" s="14"/>
      <c r="H11419" s="19">
        <v>3</v>
      </c>
      <c r="I11419" s="14"/>
      <c r="J11419" t="s" s="11">
        <v>20</v>
      </c>
      <c r="K11419" s="15"/>
      <c r="L11419" t="s" s="16">
        <f>HYPERLINK("http://csr.bu.edu/ftp/asl/asllvd/demos/verify_start_end_handshape_annotations//test_auto_move//signs_mov_separ_signers/Brady_5784.mov","MOV")</f>
        <v>21</v>
      </c>
      <c r="M11419" t="s" s="10">
        <v>60</v>
      </c>
      <c r="N11419" s="17">
        <v>49</v>
      </c>
      <c r="O11419" s="18">
        <v>1680</v>
      </c>
      <c r="P11419" s="18">
        <v>1720</v>
      </c>
      <c r="Q11419" s="15"/>
      <c r="R11419" t="s" s="16">
        <f>HYPERLINK("http://secrets.rutgers.edu:8080/data/asl-ftp/asllvd/demos/verify_start_end_handshape_annotations//test_auto_move//signs_mov_separ_signers/Brady_5784.mov","MOV")</f>
        <v>21</v>
      </c>
    </row>
    <row r="11420" s="2" customFormat="1" ht="13.5" customHeight="1">
      <c r="B11420" t="s" s="8">
        <v>4273</v>
      </c>
      <c r="C11420" t="s" s="9">
        <v>14</v>
      </c>
      <c r="D11420" t="s" s="8">
        <v>14</v>
      </c>
      <c r="E11420" t="s" s="9">
        <v>14</v>
      </c>
      <c r="F11420" t="s" s="10">
        <v>14</v>
      </c>
      <c r="G11420" t="s" s="11">
        <v>14</v>
      </c>
      <c r="H11420" t="s" s="10">
        <v>14</v>
      </c>
      <c r="I11420" t="s" s="11">
        <v>14</v>
      </c>
      <c r="J11420" t="s" s="11">
        <v>14</v>
      </c>
      <c r="K11420" t="s" s="12">
        <v>14</v>
      </c>
      <c r="L11420" t="s" s="12">
        <v>14</v>
      </c>
      <c r="M11420" t="s" s="10">
        <v>14</v>
      </c>
      <c r="N11420" t="s" s="11">
        <v>14</v>
      </c>
      <c r="O11420" t="s" s="8">
        <v>14</v>
      </c>
      <c r="P11420" t="s" s="8">
        <v>14</v>
      </c>
      <c r="Q11420" t="s" s="12">
        <v>14</v>
      </c>
      <c r="R11420" t="s" s="12">
        <v>14</v>
      </c>
    </row>
    <row r="11421" s="2" customFormat="1" ht="13.5" customHeight="1">
      <c r="B11421" s="13"/>
      <c r="C11421" t="s" s="9">
        <v>16</v>
      </c>
      <c r="D11421" t="s" s="8">
        <v>4273</v>
      </c>
      <c r="E11421" t="s" s="9">
        <v>4273</v>
      </c>
      <c r="F11421" t="s" s="10">
        <v>282</v>
      </c>
      <c r="G11421" s="14"/>
      <c r="H11421" t="s" s="10">
        <v>282</v>
      </c>
      <c r="I11421" s="14"/>
      <c r="J11421" t="s" s="11">
        <v>20</v>
      </c>
      <c r="K11421" t="s" s="16">
        <f>HYPERLINK("http://csr.bu.edu/ftp/asl/asllvd/demos/verify_start_end_handshape_annotations//test_auto_move//signs_mov/7980.mov","MOV")</f>
        <v>21</v>
      </c>
      <c r="L11421" t="s" s="16">
        <f>HYPERLINK("http://csr.bu.edu/ftp/asl/asllvd/demos/verify_start_end_handshape_annotations//test_auto_move//signs_mov_separ_signers/Liz_7980.mov","MOV")</f>
        <v>21</v>
      </c>
      <c r="M11421" t="s" s="10">
        <v>88</v>
      </c>
      <c r="N11421" s="17">
        <v>40</v>
      </c>
      <c r="O11421" s="18">
        <v>3067</v>
      </c>
      <c r="P11421" s="18">
        <v>3130</v>
      </c>
      <c r="Q11421" t="s" s="16">
        <f>HYPERLINK("http://secrets.rutgers.edu:8080/data/asl-ftp/asllvd/demos/verify_start_end_handshape_annotations//test_auto_move//signs_mov/7980.mov","MOV")</f>
        <v>21</v>
      </c>
      <c r="R11421" t="s" s="16">
        <f>HYPERLINK("http://secrets.rutgers.edu:8080/data/asl-ftp/asllvd/demos/verify_start_end_handshape_annotations//test_auto_move//signs_mov_separ_signers/Liz_7980.mov","MOV")</f>
        <v>21</v>
      </c>
    </row>
    <row r="11422" s="2" customFormat="1" ht="13.5" customHeight="1">
      <c r="B11422" s="13"/>
      <c r="C11422" t="s" s="9">
        <v>30</v>
      </c>
      <c r="D11422" t="s" s="8">
        <v>4273</v>
      </c>
      <c r="E11422" t="s" s="9">
        <v>4273</v>
      </c>
      <c r="F11422" t="s" s="10">
        <v>282</v>
      </c>
      <c r="G11422" s="14"/>
      <c r="H11422" t="s" s="10">
        <v>282</v>
      </c>
      <c r="I11422" s="14"/>
      <c r="J11422" t="s" s="11">
        <v>20</v>
      </c>
      <c r="K11422" s="15"/>
      <c r="L11422" t="s" s="16">
        <f>HYPERLINK("http://csr.bu.edu/ftp/asl/asllvd/demos/verify_start_end_handshape_annotations//test_auto_move//signs_mov_separ_signers/Brady_7980.mov","MOV")</f>
        <v>21</v>
      </c>
      <c r="M11422" t="s" s="10">
        <v>60</v>
      </c>
      <c r="N11422" s="17">
        <v>49</v>
      </c>
      <c r="O11422" s="18">
        <v>2357</v>
      </c>
      <c r="P11422" s="18">
        <v>2384</v>
      </c>
      <c r="Q11422" s="15"/>
      <c r="R11422" t="s" s="16">
        <f>HYPERLINK("http://secrets.rutgers.edu:8080/data/asl-ftp/asllvd/demos/verify_start_end_handshape_annotations//test_auto_move//signs_mov_separ_signers/Brady_7980.mov","MOV")</f>
        <v>21</v>
      </c>
    </row>
    <row r="11423" s="2" customFormat="1" ht="13.5" customHeight="1">
      <c r="B11423" t="s" s="8">
        <v>4274</v>
      </c>
      <c r="C11423" t="s" s="9">
        <v>14</v>
      </c>
      <c r="D11423" t="s" s="8">
        <v>14</v>
      </c>
      <c r="E11423" t="s" s="9">
        <v>14</v>
      </c>
      <c r="F11423" t="s" s="10">
        <v>14</v>
      </c>
      <c r="G11423" t="s" s="11">
        <v>14</v>
      </c>
      <c r="H11423" t="s" s="10">
        <v>14</v>
      </c>
      <c r="I11423" t="s" s="11">
        <v>14</v>
      </c>
      <c r="J11423" t="s" s="11">
        <v>14</v>
      </c>
      <c r="K11423" t="s" s="12">
        <v>14</v>
      </c>
      <c r="L11423" t="s" s="12">
        <v>14</v>
      </c>
      <c r="M11423" t="s" s="10">
        <v>14</v>
      </c>
      <c r="N11423" t="s" s="11">
        <v>14</v>
      </c>
      <c r="O11423" t="s" s="8">
        <v>14</v>
      </c>
      <c r="P11423" t="s" s="8">
        <v>14</v>
      </c>
      <c r="Q11423" t="s" s="12">
        <v>14</v>
      </c>
      <c r="R11423" t="s" s="12">
        <v>14</v>
      </c>
    </row>
    <row r="11424" s="2" customFormat="1" ht="13.5" customHeight="1">
      <c r="B11424" s="13"/>
      <c r="C11424" t="s" s="9">
        <v>30</v>
      </c>
      <c r="D11424" t="s" s="8">
        <v>4274</v>
      </c>
      <c r="E11424" t="s" s="9">
        <v>4274</v>
      </c>
      <c r="F11424" t="s" s="10">
        <v>282</v>
      </c>
      <c r="G11424" s="14"/>
      <c r="H11424" t="s" s="10">
        <v>282</v>
      </c>
      <c r="I11424" s="14"/>
      <c r="J11424" t="s" s="11">
        <v>20</v>
      </c>
      <c r="K11424" t="s" s="16">
        <f>HYPERLINK("http://csr.bu.edu/ftp/asl/asllvd/demos/verify_start_end_handshape_annotations//test_auto_move//signs_mov/5788.mov","MOV")</f>
        <v>21</v>
      </c>
      <c r="L11424" t="s" s="16">
        <f>HYPERLINK("http://csr.bu.edu/ftp/asl/asllvd/demos/verify_start_end_handshape_annotations//test_auto_move//signs_mov_separ_signers/Brady_5788.mov","MOV")</f>
        <v>21</v>
      </c>
      <c r="M11424" t="s" s="10">
        <v>40</v>
      </c>
      <c r="N11424" s="17">
        <v>34</v>
      </c>
      <c r="O11424" s="18">
        <v>2079</v>
      </c>
      <c r="P11424" s="18">
        <v>2107</v>
      </c>
      <c r="Q11424" t="s" s="16">
        <f>HYPERLINK("http://secrets.rutgers.edu:8080/data/asl-ftp/asllvd/demos/verify_start_end_handshape_annotations//test_auto_move//signs_mov/5788.mov","MOV")</f>
        <v>21</v>
      </c>
      <c r="R11424" t="s" s="16">
        <f>HYPERLINK("http://secrets.rutgers.edu:8080/data/asl-ftp/asllvd/demos/verify_start_end_handshape_annotations//test_auto_move//signs_mov_separ_signers/Brady_5788.mov","MOV")</f>
        <v>21</v>
      </c>
    </row>
    <row r="11425" s="2" customFormat="1" ht="13.5" customHeight="1">
      <c r="B11425" t="s" s="8">
        <v>4275</v>
      </c>
      <c r="C11425" t="s" s="9">
        <v>14</v>
      </c>
      <c r="D11425" t="s" s="8">
        <v>14</v>
      </c>
      <c r="E11425" t="s" s="9">
        <v>14</v>
      </c>
      <c r="F11425" t="s" s="10">
        <v>14</v>
      </c>
      <c r="G11425" t="s" s="11">
        <v>14</v>
      </c>
      <c r="H11425" t="s" s="10">
        <v>14</v>
      </c>
      <c r="I11425" t="s" s="11">
        <v>14</v>
      </c>
      <c r="J11425" t="s" s="11">
        <v>14</v>
      </c>
      <c r="K11425" t="s" s="12">
        <v>14</v>
      </c>
      <c r="L11425" t="s" s="12">
        <v>14</v>
      </c>
      <c r="M11425" t="s" s="10">
        <v>14</v>
      </c>
      <c r="N11425" t="s" s="11">
        <v>14</v>
      </c>
      <c r="O11425" t="s" s="8">
        <v>14</v>
      </c>
      <c r="P11425" t="s" s="8">
        <v>14</v>
      </c>
      <c r="Q11425" t="s" s="12">
        <v>14</v>
      </c>
      <c r="R11425" t="s" s="12">
        <v>14</v>
      </c>
    </row>
    <row r="11426" s="2" customFormat="1" ht="13.5" customHeight="1">
      <c r="B11426" s="13"/>
      <c r="C11426" t="s" s="9">
        <v>30</v>
      </c>
      <c r="D11426" t="s" s="8">
        <v>4275</v>
      </c>
      <c r="E11426" t="s" s="9">
        <v>4275</v>
      </c>
      <c r="F11426" t="s" s="10">
        <v>282</v>
      </c>
      <c r="G11426" t="s" s="11">
        <v>282</v>
      </c>
      <c r="H11426" t="s" s="10">
        <v>282</v>
      </c>
      <c r="I11426" t="s" s="11">
        <v>282</v>
      </c>
      <c r="J11426" t="s" s="11">
        <v>20</v>
      </c>
      <c r="K11426" t="s" s="16">
        <f>HYPERLINK("http://csr.bu.edu/ftp/asl/asllvd/demos/verify_start_end_handshape_annotations//test_auto_move//signs_mov/8061.mov","MOV")</f>
        <v>21</v>
      </c>
      <c r="L11426" t="s" s="16">
        <f>HYPERLINK("http://csr.bu.edu/ftp/asl/asllvd/demos/verify_start_end_handshape_annotations//test_auto_move//signs_mov_separ_signers/Brady_8061.mov","MOV")</f>
        <v>21</v>
      </c>
      <c r="M11426" t="s" s="10">
        <v>40</v>
      </c>
      <c r="N11426" s="17">
        <v>33</v>
      </c>
      <c r="O11426" s="18">
        <v>5279</v>
      </c>
      <c r="P11426" s="18">
        <v>5306</v>
      </c>
      <c r="Q11426" t="s" s="16">
        <f>HYPERLINK("http://secrets.rutgers.edu:8080/data/asl-ftp/asllvd/demos/verify_start_end_handshape_annotations//test_auto_move//signs_mov/8061.mov","MOV")</f>
        <v>21</v>
      </c>
      <c r="R11426" t="s" s="16">
        <f>HYPERLINK("http://secrets.rutgers.edu:8080/data/asl-ftp/asllvd/demos/verify_start_end_handshape_annotations//test_auto_move//signs_mov_separ_signers/Brady_8061.mov","MOV")</f>
        <v>21</v>
      </c>
    </row>
    <row r="11427" s="2" customFormat="1" ht="13.5" customHeight="1">
      <c r="B11427" t="s" s="8">
        <v>4276</v>
      </c>
      <c r="C11427" t="s" s="9">
        <v>14</v>
      </c>
      <c r="D11427" t="s" s="8">
        <v>14</v>
      </c>
      <c r="E11427" t="s" s="9">
        <v>14</v>
      </c>
      <c r="F11427" t="s" s="10">
        <v>14</v>
      </c>
      <c r="G11427" t="s" s="11">
        <v>14</v>
      </c>
      <c r="H11427" t="s" s="10">
        <v>14</v>
      </c>
      <c r="I11427" t="s" s="11">
        <v>14</v>
      </c>
      <c r="J11427" t="s" s="11">
        <v>14</v>
      </c>
      <c r="K11427" t="s" s="12">
        <v>14</v>
      </c>
      <c r="L11427" t="s" s="12">
        <v>14</v>
      </c>
      <c r="M11427" t="s" s="10">
        <v>14</v>
      </c>
      <c r="N11427" t="s" s="11">
        <v>14</v>
      </c>
      <c r="O11427" t="s" s="8">
        <v>14</v>
      </c>
      <c r="P11427" t="s" s="8">
        <v>14</v>
      </c>
      <c r="Q11427" t="s" s="12">
        <v>14</v>
      </c>
      <c r="R11427" t="s" s="12">
        <v>14</v>
      </c>
    </row>
    <row r="11428" s="2" customFormat="1" ht="13.5" customHeight="1">
      <c r="B11428" s="13"/>
      <c r="C11428" t="s" s="9">
        <v>16</v>
      </c>
      <c r="D11428" t="s" s="8">
        <v>4276</v>
      </c>
      <c r="E11428" t="s" s="9">
        <v>4277</v>
      </c>
      <c r="F11428" t="s" s="10">
        <v>437</v>
      </c>
      <c r="G11428" t="s" s="11">
        <v>437</v>
      </c>
      <c r="H11428" t="s" s="10">
        <v>282</v>
      </c>
      <c r="I11428" t="s" s="11">
        <v>282</v>
      </c>
      <c r="J11428" t="s" s="11">
        <v>20</v>
      </c>
      <c r="K11428" s="15"/>
      <c r="L11428" t="s" s="16">
        <f>HYPERLINK("http://csr.bu.edu/ftp/asl/asllvd/demos/verify_start_end_handshape_annotations//test_auto_move//signs_mov_separ_signers/Liz_8081.mov","MOV")</f>
        <v>21</v>
      </c>
      <c r="M11428" t="s" s="10">
        <v>88</v>
      </c>
      <c r="N11428" s="17">
        <v>52</v>
      </c>
      <c r="O11428" s="18">
        <v>2413</v>
      </c>
      <c r="P11428" s="18">
        <v>2483</v>
      </c>
      <c r="Q11428" s="15"/>
      <c r="R11428" t="s" s="16">
        <f>HYPERLINK("http://secrets.rutgers.edu:8080/data/asl-ftp/asllvd/demos/verify_start_end_handshape_annotations//test_auto_move//signs_mov_separ_signers/Liz_8081.mov","MOV")</f>
        <v>21</v>
      </c>
    </row>
    <row r="11429" s="2" customFormat="1" ht="13.5" customHeight="1">
      <c r="B11429" s="13"/>
      <c r="C11429" t="s" s="9">
        <v>30</v>
      </c>
      <c r="D11429" t="s" s="8">
        <v>4276</v>
      </c>
      <c r="E11429" t="s" s="9">
        <v>4277</v>
      </c>
      <c r="F11429" t="s" s="10">
        <v>437</v>
      </c>
      <c r="G11429" t="s" s="11">
        <v>437</v>
      </c>
      <c r="H11429" t="s" s="10">
        <v>282</v>
      </c>
      <c r="I11429" t="s" s="11">
        <v>282</v>
      </c>
      <c r="J11429" t="s" s="11">
        <v>20</v>
      </c>
      <c r="K11429" t="s" s="16">
        <f>HYPERLINK("http://csr.bu.edu/ftp/asl/asllvd/demos/verify_start_end_handshape_annotations//test_auto_move//signs_mov/5769_8081_merged.mov","MOV")</f>
        <v>21</v>
      </c>
      <c r="L11429" t="s" s="16">
        <f>HYPERLINK("http://csr.bu.edu/ftp/asl/asllvd/demos/verify_start_end_handshape_annotations//test_auto_move//signs_mov_separ_signers/Brady_8081.mov","MOV")</f>
        <v>21</v>
      </c>
      <c r="M11429" t="s" s="10">
        <v>40</v>
      </c>
      <c r="N11429" s="17">
        <v>47</v>
      </c>
      <c r="O11429" s="18">
        <v>2129</v>
      </c>
      <c r="P11429" s="18">
        <v>2166</v>
      </c>
      <c r="Q11429" t="s" s="16">
        <f>HYPERLINK("http://secrets.rutgers.edu:8080/data/asl-ftp/asllvd/demos/verify_start_end_handshape_annotations//test_auto_move//signs_mov/5769_8081_merged.mov","MOV")</f>
        <v>21</v>
      </c>
      <c r="R11429" t="s" s="16">
        <f>HYPERLINK("http://secrets.rutgers.edu:8080/data/asl-ftp/asllvd/demos/verify_start_end_handshape_annotations//test_auto_move//signs_mov_separ_signers/Brady_8081.mov","MOV")</f>
        <v>21</v>
      </c>
    </row>
    <row r="11430" s="2" customFormat="1" ht="13.5" customHeight="1">
      <c r="B11430" s="13"/>
      <c r="C11430" t="s" s="9">
        <v>30</v>
      </c>
      <c r="D11430" t="s" s="8">
        <v>4276</v>
      </c>
      <c r="E11430" t="s" s="9">
        <v>4277</v>
      </c>
      <c r="F11430" t="s" s="10">
        <v>282</v>
      </c>
      <c r="G11430" t="s" s="11">
        <v>282</v>
      </c>
      <c r="H11430" t="s" s="10">
        <v>282</v>
      </c>
      <c r="I11430" t="s" s="11">
        <v>282</v>
      </c>
      <c r="J11430" t="s" s="11">
        <v>20</v>
      </c>
      <c r="K11430" s="15"/>
      <c r="L11430" t="s" s="16">
        <f>HYPERLINK("http://csr.bu.edu/ftp/asl/asllvd/demos/verify_start_end_handshape_annotations//test_auto_move//signs_mov_separ_signers/Brady_5769.mov","MOV")</f>
        <v>21</v>
      </c>
      <c r="M11430" t="s" s="10">
        <v>60</v>
      </c>
      <c r="N11430" s="17">
        <v>50</v>
      </c>
      <c r="O11430" s="18">
        <v>1672</v>
      </c>
      <c r="P11430" s="18">
        <v>1724</v>
      </c>
      <c r="Q11430" s="15"/>
      <c r="R11430" t="s" s="16">
        <f>HYPERLINK("http://secrets.rutgers.edu:8080/data/asl-ftp/asllvd/demos/verify_start_end_handshape_annotations//test_auto_move//signs_mov_separ_signers/Brady_5769.mov","MOV")</f>
        <v>21</v>
      </c>
    </row>
    <row r="11431" s="2" customFormat="1" ht="13.5" customHeight="1">
      <c r="B11431" t="s" s="8">
        <v>4278</v>
      </c>
      <c r="C11431" t="s" s="9">
        <v>14</v>
      </c>
      <c r="D11431" t="s" s="8">
        <v>14</v>
      </c>
      <c r="E11431" t="s" s="9">
        <v>14</v>
      </c>
      <c r="F11431" t="s" s="10">
        <v>14</v>
      </c>
      <c r="G11431" t="s" s="11">
        <v>14</v>
      </c>
      <c r="H11431" t="s" s="10">
        <v>14</v>
      </c>
      <c r="I11431" t="s" s="11">
        <v>14</v>
      </c>
      <c r="J11431" t="s" s="11">
        <v>14</v>
      </c>
      <c r="K11431" t="s" s="12">
        <v>14</v>
      </c>
      <c r="L11431" t="s" s="12">
        <v>14</v>
      </c>
      <c r="M11431" t="s" s="10">
        <v>14</v>
      </c>
      <c r="N11431" t="s" s="11">
        <v>14</v>
      </c>
      <c r="O11431" t="s" s="8">
        <v>14</v>
      </c>
      <c r="P11431" t="s" s="8">
        <v>14</v>
      </c>
      <c r="Q11431" t="s" s="12">
        <v>14</v>
      </c>
      <c r="R11431" t="s" s="12">
        <v>14</v>
      </c>
    </row>
    <row r="11432" s="2" customFormat="1" ht="13.5" customHeight="1">
      <c r="B11432" s="13"/>
      <c r="C11432" t="s" s="9">
        <v>16</v>
      </c>
      <c r="D11432" t="s" s="8">
        <v>4278</v>
      </c>
      <c r="E11432" t="s" s="9">
        <v>4278</v>
      </c>
      <c r="F11432" t="s" s="10">
        <v>68</v>
      </c>
      <c r="G11432" t="s" s="11">
        <v>68</v>
      </c>
      <c r="H11432" t="s" s="10">
        <v>68</v>
      </c>
      <c r="I11432" t="s" s="11">
        <v>68</v>
      </c>
      <c r="J11432" t="s" s="11">
        <v>20</v>
      </c>
      <c r="K11432" s="15"/>
      <c r="L11432" t="s" s="16">
        <f>HYPERLINK("http://csr.bu.edu/ftp/asl/asllvd/demos/verify_start_end_handshape_annotations//test_auto_move//signs_mov_separ_signers/Liz_8086.mov","MOV")</f>
        <v>21</v>
      </c>
      <c r="M11432" t="s" s="10">
        <v>88</v>
      </c>
      <c r="N11432" s="17">
        <v>52</v>
      </c>
      <c r="O11432" s="18">
        <v>716</v>
      </c>
      <c r="P11432" s="18">
        <v>780</v>
      </c>
      <c r="Q11432" s="15"/>
      <c r="R11432" t="s" s="16">
        <f>HYPERLINK("http://secrets.rutgers.edu:8080/data/asl-ftp/asllvd/demos/verify_start_end_handshape_annotations//test_auto_move//signs_mov_separ_signers/Liz_8086.mov","MOV")</f>
        <v>21</v>
      </c>
    </row>
    <row r="11433" s="2" customFormat="1" ht="13.5" customHeight="1">
      <c r="B11433" s="13"/>
      <c r="C11433" t="s" s="9">
        <v>30</v>
      </c>
      <c r="D11433" t="s" s="8">
        <v>4278</v>
      </c>
      <c r="E11433" t="s" s="9">
        <v>4279</v>
      </c>
      <c r="F11433" t="s" s="10">
        <v>68</v>
      </c>
      <c r="G11433" t="s" s="11">
        <v>68</v>
      </c>
      <c r="H11433" t="s" s="10">
        <v>68</v>
      </c>
      <c r="I11433" t="s" s="11">
        <v>68</v>
      </c>
      <c r="J11433" t="s" s="11">
        <v>20</v>
      </c>
      <c r="K11433" t="s" s="16">
        <f>HYPERLINK("http://csr.bu.edu/ftp/asl/asllvd/demos/verify_start_end_handshape_annotations//test_auto_move//signs_mov/5770_8086_merged.mov","MOV")</f>
        <v>21</v>
      </c>
      <c r="L11433" t="s" s="16">
        <f>HYPERLINK("http://csr.bu.edu/ftp/asl/asllvd/demos/verify_start_end_handshape_annotations//test_auto_move//signs_mov_separ_signers/Brady_8086.mov","MOV")</f>
        <v>21</v>
      </c>
      <c r="M11433" t="s" s="10">
        <v>40</v>
      </c>
      <c r="N11433" s="17">
        <v>47</v>
      </c>
      <c r="O11433" s="18">
        <v>134</v>
      </c>
      <c r="P11433" s="18">
        <v>186</v>
      </c>
      <c r="Q11433" t="s" s="16">
        <f>HYPERLINK("http://secrets.rutgers.edu:8080/data/asl-ftp/asllvd/demos/verify_start_end_handshape_annotations//test_auto_move//signs_mov/5770_8086_merged.mov","MOV")</f>
        <v>21</v>
      </c>
      <c r="R11433" t="s" s="16">
        <f>HYPERLINK("http://secrets.rutgers.edu:8080/data/asl-ftp/asllvd/demos/verify_start_end_handshape_annotations//test_auto_move//signs_mov_separ_signers/Brady_8086.mov","MOV")</f>
        <v>21</v>
      </c>
    </row>
    <row r="11434" s="2" customFormat="1" ht="13.5" customHeight="1">
      <c r="B11434" s="13"/>
      <c r="C11434" t="s" s="9">
        <v>30</v>
      </c>
      <c r="D11434" t="s" s="8">
        <v>4278</v>
      </c>
      <c r="E11434" t="s" s="9">
        <v>4279</v>
      </c>
      <c r="F11434" t="s" s="10">
        <v>68</v>
      </c>
      <c r="G11434" t="s" s="11">
        <v>68</v>
      </c>
      <c r="H11434" t="s" s="10">
        <v>68</v>
      </c>
      <c r="I11434" t="s" s="11">
        <v>68</v>
      </c>
      <c r="J11434" t="s" s="11">
        <v>20</v>
      </c>
      <c r="K11434" s="15"/>
      <c r="L11434" t="s" s="16">
        <f>HYPERLINK("http://csr.bu.edu/ftp/asl/asllvd/demos/verify_start_end_handshape_annotations//test_auto_move//signs_mov_separ_signers/Brady_5770.mov","MOV")</f>
        <v>21</v>
      </c>
      <c r="M11434" t="s" s="10">
        <v>60</v>
      </c>
      <c r="N11434" s="17">
        <v>50</v>
      </c>
      <c r="O11434" s="18">
        <v>1026</v>
      </c>
      <c r="P11434" s="18">
        <v>1092</v>
      </c>
      <c r="Q11434" s="15"/>
      <c r="R11434" t="s" s="16">
        <f>HYPERLINK("http://secrets.rutgers.edu:8080/data/asl-ftp/asllvd/demos/verify_start_end_handshape_annotations//test_auto_move//signs_mov_separ_signers/Brady_5770.mov","MOV")</f>
        <v>21</v>
      </c>
    </row>
    <row r="11435" s="2" customFormat="1" ht="13.5" customHeight="1">
      <c r="B11435" t="s" s="8">
        <v>4280</v>
      </c>
      <c r="C11435" t="s" s="9">
        <v>14</v>
      </c>
      <c r="D11435" t="s" s="8">
        <v>14</v>
      </c>
      <c r="E11435" t="s" s="9">
        <v>14</v>
      </c>
      <c r="F11435" t="s" s="10">
        <v>14</v>
      </c>
      <c r="G11435" t="s" s="11">
        <v>14</v>
      </c>
      <c r="H11435" t="s" s="10">
        <v>14</v>
      </c>
      <c r="I11435" t="s" s="11">
        <v>14</v>
      </c>
      <c r="J11435" t="s" s="11">
        <v>14</v>
      </c>
      <c r="K11435" t="s" s="12">
        <v>14</v>
      </c>
      <c r="L11435" t="s" s="12">
        <v>14</v>
      </c>
      <c r="M11435" t="s" s="10">
        <v>14</v>
      </c>
      <c r="N11435" t="s" s="11">
        <v>14</v>
      </c>
      <c r="O11435" t="s" s="8">
        <v>14</v>
      </c>
      <c r="P11435" t="s" s="8">
        <v>14</v>
      </c>
      <c r="Q11435" t="s" s="12">
        <v>14</v>
      </c>
      <c r="R11435" t="s" s="12">
        <v>14</v>
      </c>
    </row>
    <row r="11436" s="2" customFormat="1" ht="13.5" customHeight="1">
      <c r="B11436" s="13"/>
      <c r="C11436" t="s" s="9">
        <v>30</v>
      </c>
      <c r="D11436" t="s" s="8">
        <v>4280</v>
      </c>
      <c r="E11436" t="s" s="9">
        <v>4280</v>
      </c>
      <c r="F11436" s="19">
        <v>6</v>
      </c>
      <c r="G11436" t="s" s="11">
        <v>73</v>
      </c>
      <c r="H11436" s="19">
        <v>6</v>
      </c>
      <c r="I11436" t="s" s="11">
        <v>73</v>
      </c>
      <c r="J11436" t="s" s="11">
        <v>20</v>
      </c>
      <c r="K11436" t="s" s="16">
        <f>HYPERLINK("http://csr.bu.edu/ftp/asl/asllvd/demos/verify_start_end_handshape_annotations//test_auto_move//signs_mov/8097.mov","MOV")</f>
        <v>21</v>
      </c>
      <c r="L11436" t="s" s="16">
        <f>HYPERLINK("http://csr.bu.edu/ftp/asl/asllvd/demos/verify_start_end_handshape_annotations//test_auto_move//signs_mov_separ_signers/Brady_8097.mov","MOV")</f>
        <v>21</v>
      </c>
      <c r="M11436" t="s" s="10">
        <v>40</v>
      </c>
      <c r="N11436" s="17">
        <v>85</v>
      </c>
      <c r="O11436" s="18">
        <v>542</v>
      </c>
      <c r="P11436" s="18">
        <v>573</v>
      </c>
      <c r="Q11436" t="s" s="16">
        <f>HYPERLINK("http://secrets.rutgers.edu:8080/data/asl-ftp/asllvd/demos/verify_start_end_handshape_annotations//test_auto_move//signs_mov/8097.mov","MOV")</f>
        <v>21</v>
      </c>
      <c r="R11436" t="s" s="16">
        <f>HYPERLINK("http://secrets.rutgers.edu:8080/data/asl-ftp/asllvd/demos/verify_start_end_handshape_annotations//test_auto_move//signs_mov_separ_signers/Brady_8097.mov","MOV")</f>
        <v>21</v>
      </c>
    </row>
    <row r="11437" s="2" customFormat="1" ht="13.5" customHeight="1">
      <c r="B11437" t="s" s="8">
        <v>4281</v>
      </c>
      <c r="C11437" t="s" s="9">
        <v>14</v>
      </c>
      <c r="D11437" t="s" s="8">
        <v>14</v>
      </c>
      <c r="E11437" t="s" s="9">
        <v>14</v>
      </c>
      <c r="F11437" t="s" s="10">
        <v>14</v>
      </c>
      <c r="G11437" t="s" s="11">
        <v>14</v>
      </c>
      <c r="H11437" t="s" s="10">
        <v>14</v>
      </c>
      <c r="I11437" t="s" s="11">
        <v>14</v>
      </c>
      <c r="J11437" t="s" s="11">
        <v>14</v>
      </c>
      <c r="K11437" t="s" s="12">
        <v>14</v>
      </c>
      <c r="L11437" t="s" s="12">
        <v>14</v>
      </c>
      <c r="M11437" t="s" s="10">
        <v>14</v>
      </c>
      <c r="N11437" t="s" s="11">
        <v>14</v>
      </c>
      <c r="O11437" t="s" s="8">
        <v>14</v>
      </c>
      <c r="P11437" t="s" s="8">
        <v>14</v>
      </c>
      <c r="Q11437" t="s" s="12">
        <v>14</v>
      </c>
      <c r="R11437" t="s" s="12">
        <v>14</v>
      </c>
    </row>
    <row r="11438" s="2" customFormat="1" ht="13.5" customHeight="1">
      <c r="B11438" s="13"/>
      <c r="C11438" t="s" s="9">
        <v>16</v>
      </c>
      <c r="D11438" t="s" s="8">
        <v>4281</v>
      </c>
      <c r="E11438" t="s" s="9">
        <v>4281</v>
      </c>
      <c r="F11438" s="19">
        <v>6</v>
      </c>
      <c r="G11438" t="s" s="11">
        <v>73</v>
      </c>
      <c r="H11438" s="19">
        <v>1</v>
      </c>
      <c r="I11438" t="s" s="11">
        <v>73</v>
      </c>
      <c r="J11438" t="s" s="11">
        <v>20</v>
      </c>
      <c r="K11438" t="s" s="16">
        <f>HYPERLINK("http://csr.bu.edu/ftp/asl/asllvd/demos/verify_start_end_handshape_annotations//test_auto_move//signs_mov/5887.mov","MOV")</f>
        <v>21</v>
      </c>
      <c r="L11438" t="s" s="16">
        <f>HYPERLINK("http://csr.bu.edu/ftp/asl/asllvd/demos/verify_start_end_handshape_annotations//test_auto_move//signs_mov_separ_signers/Liz_5887.mov","MOV")</f>
        <v>21</v>
      </c>
      <c r="M11438" t="s" s="10">
        <v>77</v>
      </c>
      <c r="N11438" s="17">
        <v>16</v>
      </c>
      <c r="O11438" s="18">
        <v>4809</v>
      </c>
      <c r="P11438" s="18">
        <v>4880</v>
      </c>
      <c r="Q11438" t="s" s="16">
        <f>HYPERLINK("http://secrets.rutgers.edu:8080/data/asl-ftp/asllvd/demos/verify_start_end_handshape_annotations//test_auto_move//signs_mov/5887.mov","MOV")</f>
        <v>21</v>
      </c>
      <c r="R11438" t="s" s="16">
        <f>HYPERLINK("http://secrets.rutgers.edu:8080/data/asl-ftp/asllvd/demos/verify_start_end_handshape_annotations//test_auto_move//signs_mov_separ_signers/Liz_5887.mov","MOV")</f>
        <v>21</v>
      </c>
    </row>
    <row r="11439" s="2" customFormat="1" ht="13.5" customHeight="1">
      <c r="B11439" t="s" s="8">
        <v>4282</v>
      </c>
      <c r="C11439" t="s" s="9">
        <v>14</v>
      </c>
      <c r="D11439" t="s" s="8">
        <v>14</v>
      </c>
      <c r="E11439" t="s" s="9">
        <v>14</v>
      </c>
      <c r="F11439" t="s" s="10">
        <v>14</v>
      </c>
      <c r="G11439" t="s" s="11">
        <v>14</v>
      </c>
      <c r="H11439" t="s" s="10">
        <v>14</v>
      </c>
      <c r="I11439" t="s" s="11">
        <v>14</v>
      </c>
      <c r="J11439" t="s" s="11">
        <v>14</v>
      </c>
      <c r="K11439" t="s" s="12">
        <v>14</v>
      </c>
      <c r="L11439" t="s" s="12">
        <v>14</v>
      </c>
      <c r="M11439" t="s" s="10">
        <v>14</v>
      </c>
      <c r="N11439" t="s" s="11">
        <v>14</v>
      </c>
      <c r="O11439" t="s" s="8">
        <v>14</v>
      </c>
      <c r="P11439" t="s" s="8">
        <v>14</v>
      </c>
      <c r="Q11439" t="s" s="12">
        <v>14</v>
      </c>
      <c r="R11439" t="s" s="12">
        <v>14</v>
      </c>
    </row>
    <row r="11440" s="2" customFormat="1" ht="13.5" customHeight="1">
      <c r="B11440" s="13"/>
      <c r="C11440" t="s" s="9">
        <v>16</v>
      </c>
      <c r="D11440" t="s" s="8">
        <v>4282</v>
      </c>
      <c r="E11440" t="s" s="9">
        <v>4282</v>
      </c>
      <c r="F11440" t="s" s="10">
        <v>337</v>
      </c>
      <c r="G11440" s="14"/>
      <c r="H11440" t="s" s="10">
        <v>337</v>
      </c>
      <c r="I11440" s="14"/>
      <c r="J11440" t="s" s="11">
        <v>20</v>
      </c>
      <c r="K11440" t="s" s="16">
        <f>HYPERLINK("http://csr.bu.edu/ftp/asl/asllvd/demos/verify_start_end_handshape_annotations//test_auto_move//signs_mov/8134.mov","MOV")</f>
        <v>21</v>
      </c>
      <c r="L11440" t="s" s="16">
        <f>HYPERLINK("http://csr.bu.edu/ftp/asl/asllvd/demos/verify_start_end_handshape_annotations//test_auto_move//signs_mov_separ_signers/Liz_8134.mov","MOV")</f>
        <v>21</v>
      </c>
      <c r="M11440" t="s" s="10">
        <v>77</v>
      </c>
      <c r="N11440" s="17">
        <v>13</v>
      </c>
      <c r="O11440" s="18">
        <v>1076</v>
      </c>
      <c r="P11440" s="18">
        <v>1125</v>
      </c>
      <c r="Q11440" t="s" s="16">
        <f>HYPERLINK("http://secrets.rutgers.edu:8080/data/asl-ftp/asllvd/demos/verify_start_end_handshape_annotations//test_auto_move//signs_mov/8134.mov","MOV")</f>
        <v>21</v>
      </c>
      <c r="R11440" t="s" s="16">
        <f>HYPERLINK("http://secrets.rutgers.edu:8080/data/asl-ftp/asllvd/demos/verify_start_end_handshape_annotations//test_auto_move//signs_mov_separ_signers/Liz_8134.mov","MOV")</f>
        <v>21</v>
      </c>
    </row>
    <row r="11441" s="2" customFormat="1" ht="13.5" customHeight="1">
      <c r="B11441" s="13"/>
      <c r="C11441" t="s" s="9">
        <v>30</v>
      </c>
      <c r="D11441" t="s" s="8">
        <v>4282</v>
      </c>
      <c r="E11441" t="s" s="9">
        <v>4282</v>
      </c>
      <c r="F11441" t="s" s="10">
        <v>337</v>
      </c>
      <c r="G11441" s="14"/>
      <c r="H11441" t="s" s="10">
        <v>337</v>
      </c>
      <c r="I11441" s="14"/>
      <c r="J11441" t="s" s="11">
        <v>20</v>
      </c>
      <c r="K11441" s="15"/>
      <c r="L11441" t="s" s="16">
        <f>HYPERLINK("http://csr.bu.edu/ftp/asl/asllvd/demos/verify_start_end_handshape_annotations//test_auto_move//signs_mov_separ_signers/Brady_8134.mov","MOV")</f>
        <v>21</v>
      </c>
      <c r="M11441" t="s" s="10">
        <v>40</v>
      </c>
      <c r="N11441" s="17">
        <v>48</v>
      </c>
      <c r="O11441" s="18">
        <v>2791</v>
      </c>
      <c r="P11441" s="18">
        <v>2826</v>
      </c>
      <c r="Q11441" s="15"/>
      <c r="R11441" t="s" s="16">
        <f>HYPERLINK("http://secrets.rutgers.edu:8080/data/asl-ftp/asllvd/demos/verify_start_end_handshape_annotations//test_auto_move//signs_mov_separ_signers/Brady_8134.mov","MOV")</f>
        <v>21</v>
      </c>
    </row>
    <row r="11442" s="2" customFormat="1" ht="13.5" customHeight="1">
      <c r="B11442" t="s" s="8">
        <v>4283</v>
      </c>
      <c r="C11442" t="s" s="9">
        <v>14</v>
      </c>
      <c r="D11442" t="s" s="8">
        <v>14</v>
      </c>
      <c r="E11442" t="s" s="9">
        <v>14</v>
      </c>
      <c r="F11442" t="s" s="10">
        <v>14</v>
      </c>
      <c r="G11442" t="s" s="11">
        <v>14</v>
      </c>
      <c r="H11442" t="s" s="10">
        <v>14</v>
      </c>
      <c r="I11442" t="s" s="11">
        <v>14</v>
      </c>
      <c r="J11442" t="s" s="11">
        <v>14</v>
      </c>
      <c r="K11442" t="s" s="12">
        <v>14</v>
      </c>
      <c r="L11442" t="s" s="12">
        <v>14</v>
      </c>
      <c r="M11442" t="s" s="10">
        <v>14</v>
      </c>
      <c r="N11442" t="s" s="11">
        <v>14</v>
      </c>
      <c r="O11442" t="s" s="8">
        <v>14</v>
      </c>
      <c r="P11442" t="s" s="8">
        <v>14</v>
      </c>
      <c r="Q11442" t="s" s="12">
        <v>14</v>
      </c>
      <c r="R11442" t="s" s="12">
        <v>14</v>
      </c>
    </row>
    <row r="11443" s="2" customFormat="1" ht="13.5" customHeight="1">
      <c r="B11443" s="13"/>
      <c r="C11443" t="s" s="9">
        <v>16</v>
      </c>
      <c r="D11443" t="s" s="8">
        <v>4283</v>
      </c>
      <c r="E11443" t="s" s="9">
        <v>4284</v>
      </c>
      <c r="F11443" t="s" s="10">
        <v>229</v>
      </c>
      <c r="G11443" s="14"/>
      <c r="H11443" t="s" s="10">
        <v>229</v>
      </c>
      <c r="I11443" s="14"/>
      <c r="J11443" t="s" s="11">
        <v>20</v>
      </c>
      <c r="K11443" s="15"/>
      <c r="L11443" t="s" s="16">
        <f>HYPERLINK("http://csr.bu.edu/ftp/asl/asllvd/demos/verify_start_end_handshape_annotations//test_auto_move//signs_mov_separ_signers/Liz_8223.mov","MOV")</f>
        <v>21</v>
      </c>
      <c r="M11443" t="s" s="10">
        <v>36</v>
      </c>
      <c r="N11443" s="17">
        <v>36</v>
      </c>
      <c r="O11443" s="18">
        <v>1095</v>
      </c>
      <c r="P11443" s="18">
        <v>1150</v>
      </c>
      <c r="Q11443" s="15"/>
      <c r="R11443" t="s" s="16">
        <f>HYPERLINK("http://secrets.rutgers.edu:8080/data/asl-ftp/asllvd/demos/verify_start_end_handshape_annotations//test_auto_move//signs_mov_separ_signers/Liz_8223.mov","MOV")</f>
        <v>21</v>
      </c>
    </row>
    <row r="11444" s="2" customFormat="1" ht="13.5" customHeight="1">
      <c r="B11444" s="13"/>
      <c r="C11444" t="s" s="9">
        <v>30</v>
      </c>
      <c r="D11444" t="s" s="8">
        <v>4283</v>
      </c>
      <c r="E11444" t="s" s="9">
        <v>4283</v>
      </c>
      <c r="F11444" t="s" s="10">
        <v>229</v>
      </c>
      <c r="G11444" s="14"/>
      <c r="H11444" t="s" s="10">
        <v>229</v>
      </c>
      <c r="I11444" s="14"/>
      <c r="J11444" t="s" s="11">
        <v>20</v>
      </c>
      <c r="K11444" t="s" s="16">
        <f>HYPERLINK("http://csr.bu.edu/ftp/asl/asllvd/demos/verify_start_end_handshape_annotations//test_auto_move//signs_mov/5807_8223_merged.mov","MOV")</f>
        <v>21</v>
      </c>
      <c r="L11444" t="s" s="16">
        <f>HYPERLINK("http://csr.bu.edu/ftp/asl/asllvd/demos/verify_start_end_handshape_annotations//test_auto_move//signs_mov_separ_signers/Brady_8223.mov","MOV")</f>
        <v>21</v>
      </c>
      <c r="M11444" t="s" s="10">
        <v>40</v>
      </c>
      <c r="N11444" s="17">
        <v>88</v>
      </c>
      <c r="O11444" s="18">
        <v>1459</v>
      </c>
      <c r="P11444" s="18">
        <v>1491</v>
      </c>
      <c r="Q11444" t="s" s="16">
        <f>HYPERLINK("http://secrets.rutgers.edu:8080/data/asl-ftp/asllvd/demos/verify_start_end_handshape_annotations//test_auto_move//signs_mov/5807_8223_merged.mov","MOV")</f>
        <v>21</v>
      </c>
      <c r="R11444" t="s" s="16">
        <f>HYPERLINK("http://secrets.rutgers.edu:8080/data/asl-ftp/asllvd/demos/verify_start_end_handshape_annotations//test_auto_move//signs_mov_separ_signers/Brady_8223.mov","MOV")</f>
        <v>21</v>
      </c>
    </row>
    <row r="11445" s="2" customFormat="1" ht="13.5" customHeight="1">
      <c r="B11445" s="13"/>
      <c r="C11445" t="s" s="9">
        <v>30</v>
      </c>
      <c r="D11445" t="s" s="8">
        <v>4283</v>
      </c>
      <c r="E11445" t="s" s="9">
        <v>4284</v>
      </c>
      <c r="F11445" t="s" s="10">
        <v>240</v>
      </c>
      <c r="G11445" s="14"/>
      <c r="H11445" t="s" s="10">
        <v>240</v>
      </c>
      <c r="I11445" s="14"/>
      <c r="J11445" t="s" s="11">
        <v>20</v>
      </c>
      <c r="K11445" s="15"/>
      <c r="L11445" t="s" s="16">
        <f>HYPERLINK("http://csr.bu.edu/ftp/asl/asllvd/demos/verify_start_end_handshape_annotations//test_auto_move//signs_mov_separ_signers/Brady_5807.mov","MOV")</f>
        <v>21</v>
      </c>
      <c r="M11445" t="s" s="10">
        <v>60</v>
      </c>
      <c r="N11445" s="17">
        <v>53</v>
      </c>
      <c r="O11445" s="18">
        <v>1956</v>
      </c>
      <c r="P11445" s="18">
        <v>2001</v>
      </c>
      <c r="Q11445" s="15"/>
      <c r="R11445" t="s" s="16">
        <f>HYPERLINK("http://secrets.rutgers.edu:8080/data/asl-ftp/asllvd/demos/verify_start_end_handshape_annotations//test_auto_move//signs_mov_separ_signers/Brady_5807.mov","MOV")</f>
        <v>21</v>
      </c>
    </row>
    <row r="11446" s="2" customFormat="1" ht="13.5" customHeight="1">
      <c r="B11446" t="s" s="8">
        <v>52</v>
      </c>
      <c r="C11446" t="s" s="9">
        <v>53</v>
      </c>
      <c r="D11446" t="s" s="8">
        <v>53</v>
      </c>
      <c r="E11446" t="s" s="9">
        <v>53</v>
      </c>
      <c r="F11446" t="s" s="10">
        <v>53</v>
      </c>
      <c r="G11446" t="s" s="11">
        <v>53</v>
      </c>
      <c r="H11446" t="s" s="10">
        <v>53</v>
      </c>
      <c r="I11446" t="s" s="11">
        <v>53</v>
      </c>
      <c r="J11446" t="s" s="11">
        <v>53</v>
      </c>
      <c r="K11446" t="s" s="12">
        <v>53</v>
      </c>
      <c r="L11446" t="s" s="12">
        <v>53</v>
      </c>
      <c r="M11446" t="s" s="10">
        <v>53</v>
      </c>
      <c r="N11446" t="s" s="11">
        <v>53</v>
      </c>
      <c r="O11446" t="s" s="8">
        <v>53</v>
      </c>
      <c r="P11446" t="s" s="8">
        <v>53</v>
      </c>
      <c r="Q11446" t="s" s="12">
        <v>53</v>
      </c>
      <c r="R11446" t="s" s="12">
        <v>53</v>
      </c>
    </row>
    <row r="11447" s="2" customFormat="1" ht="13.5" customHeight="1">
      <c r="B11447" s="13"/>
      <c r="C11447" t="s" s="9">
        <v>41</v>
      </c>
      <c r="D11447" t="s" s="8">
        <v>4283</v>
      </c>
      <c r="E11447" t="s" s="9">
        <v>4285</v>
      </c>
      <c r="F11447" t="s" s="10">
        <v>220</v>
      </c>
      <c r="G11447" s="14"/>
      <c r="H11447" t="s" s="10">
        <v>220</v>
      </c>
      <c r="I11447" s="14"/>
      <c r="J11447" t="s" s="11">
        <v>20</v>
      </c>
      <c r="K11447" t="s" s="16">
        <f>HYPERLINK("http://csr.bu.edu/ftp/asl/asllvd/demos/verify_start_end_handshape_annotations//test_auto_move//signs_mov/16490.mov","MOV")</f>
        <v>21</v>
      </c>
      <c r="L11447" t="s" s="16">
        <f>HYPERLINK("http://csr.bu.edu/ftp/asl/asllvd/demos/verify_start_end_handshape_annotations//test_auto_move//signs_mov_separ_signers/Lana_16490.mov","MOV")</f>
        <v>21</v>
      </c>
      <c r="M11447" t="s" s="10">
        <v>42</v>
      </c>
      <c r="N11447" s="17">
        <v>24</v>
      </c>
      <c r="O11447" s="18">
        <v>2193</v>
      </c>
      <c r="P11447" s="18">
        <v>2217</v>
      </c>
      <c r="Q11447" t="s" s="16">
        <f>HYPERLINK("http://secrets.rutgers.edu:8080/data/asl-ftp/asllvd/demos/verify_start_end_handshape_annotations//test_auto_move//signs_mov/16490.mov","MOV")</f>
        <v>21</v>
      </c>
      <c r="R11447" t="s" s="16">
        <f>HYPERLINK("http://secrets.rutgers.edu:8080/data/asl-ftp/asllvd/demos/verify_start_end_handshape_annotations//test_auto_move//signs_mov_separ_signers/Lana_16490.mov","MOV")</f>
        <v>21</v>
      </c>
    </row>
    <row r="11448" s="2" customFormat="1" ht="13.5" customHeight="1">
      <c r="B11448" s="13"/>
      <c r="C11448" t="s" s="9">
        <v>43</v>
      </c>
      <c r="D11448" t="s" s="8">
        <v>4283</v>
      </c>
      <c r="E11448" t="s" s="9">
        <v>4285</v>
      </c>
      <c r="F11448" t="s" s="10">
        <v>220</v>
      </c>
      <c r="G11448" s="14"/>
      <c r="H11448" t="s" s="10">
        <v>220</v>
      </c>
      <c r="I11448" s="14"/>
      <c r="J11448" t="s" s="11">
        <v>20</v>
      </c>
      <c r="K11448" s="15"/>
      <c r="L11448" t="s" s="16">
        <f>HYPERLINK("http://csr.bu.edu/ftp/asl/asllvd/demos/verify_start_end_handshape_annotations//test_auto_move//signs_mov_separ_signers/Dana_16490.mov","MOV")</f>
        <v>21</v>
      </c>
      <c r="M11448" t="s" s="10">
        <v>44</v>
      </c>
      <c r="N11448" s="17">
        <v>26</v>
      </c>
      <c r="O11448" s="18">
        <v>2253</v>
      </c>
      <c r="P11448" s="18">
        <v>2299</v>
      </c>
      <c r="Q11448" s="15"/>
      <c r="R11448" t="s" s="16">
        <f>HYPERLINK("http://secrets.rutgers.edu:8080/data/asl-ftp/asllvd/demos/verify_start_end_handshape_annotations//test_auto_move//signs_mov_separ_signers/Dana_16490.mov","MOV")</f>
        <v>21</v>
      </c>
    </row>
    <row r="11449" s="2" customFormat="1" ht="13.5" customHeight="1">
      <c r="B11449" t="s" s="8">
        <v>4286</v>
      </c>
      <c r="C11449" t="s" s="9">
        <v>14</v>
      </c>
      <c r="D11449" t="s" s="8">
        <v>14</v>
      </c>
      <c r="E11449" t="s" s="9">
        <v>14</v>
      </c>
      <c r="F11449" t="s" s="10">
        <v>14</v>
      </c>
      <c r="G11449" t="s" s="11">
        <v>14</v>
      </c>
      <c r="H11449" t="s" s="10">
        <v>14</v>
      </c>
      <c r="I11449" t="s" s="11">
        <v>14</v>
      </c>
      <c r="J11449" t="s" s="11">
        <v>14</v>
      </c>
      <c r="K11449" t="s" s="12">
        <v>14</v>
      </c>
      <c r="L11449" t="s" s="12">
        <v>14</v>
      </c>
      <c r="M11449" t="s" s="10">
        <v>14</v>
      </c>
      <c r="N11449" t="s" s="11">
        <v>14</v>
      </c>
      <c r="O11449" t="s" s="8">
        <v>14</v>
      </c>
      <c r="P11449" t="s" s="8">
        <v>14</v>
      </c>
      <c r="Q11449" t="s" s="12">
        <v>14</v>
      </c>
      <c r="R11449" t="s" s="12">
        <v>14</v>
      </c>
    </row>
    <row r="11450" s="2" customFormat="1" ht="13.5" customHeight="1">
      <c r="B11450" s="13"/>
      <c r="C11450" t="s" s="9">
        <v>16</v>
      </c>
      <c r="D11450" t="s" s="8">
        <v>4286</v>
      </c>
      <c r="E11450" t="s" s="9">
        <v>4286</v>
      </c>
      <c r="F11450" t="s" s="10">
        <v>75</v>
      </c>
      <c r="G11450" t="s" s="11">
        <v>75</v>
      </c>
      <c r="H11450" t="s" s="10">
        <v>75</v>
      </c>
      <c r="I11450" t="s" s="11">
        <v>75</v>
      </c>
      <c r="J11450" t="s" s="11">
        <v>20</v>
      </c>
      <c r="K11450" t="s" s="16">
        <f>HYPERLINK("http://csr.bu.edu/ftp/asl/asllvd/demos/verify_start_end_handshape_annotations//test_auto_move//signs_mov/8324.mov","MOV")</f>
        <v>21</v>
      </c>
      <c r="L11450" t="s" s="16">
        <f>HYPERLINK("http://csr.bu.edu/ftp/asl/asllvd/demos/verify_start_end_handshape_annotations//test_auto_move//signs_mov_separ_signers/Liz_8324.mov","MOV")</f>
        <v>21</v>
      </c>
      <c r="M11450" t="s" s="10">
        <v>36</v>
      </c>
      <c r="N11450" s="17">
        <v>24</v>
      </c>
      <c r="O11450" s="18">
        <v>2605</v>
      </c>
      <c r="P11450" s="18">
        <v>2641</v>
      </c>
      <c r="Q11450" t="s" s="16">
        <f>HYPERLINK("http://secrets.rutgers.edu:8080/data/asl-ftp/asllvd/demos/verify_start_end_handshape_annotations//test_auto_move//signs_mov/8324.mov","MOV")</f>
        <v>21</v>
      </c>
      <c r="R11450" t="s" s="16">
        <f>HYPERLINK("http://secrets.rutgers.edu:8080/data/asl-ftp/asllvd/demos/verify_start_end_handshape_annotations//test_auto_move//signs_mov_separ_signers/Liz_8324.mov","MOV")</f>
        <v>21</v>
      </c>
    </row>
    <row r="11451" s="2" customFormat="1" ht="13.5" customHeight="1">
      <c r="B11451" s="13"/>
      <c r="C11451" t="s" s="9">
        <v>30</v>
      </c>
      <c r="D11451" t="s" s="8">
        <v>4286</v>
      </c>
      <c r="E11451" t="s" s="9">
        <v>4286</v>
      </c>
      <c r="F11451" t="s" s="10">
        <v>72</v>
      </c>
      <c r="G11451" t="s" s="11">
        <v>72</v>
      </c>
      <c r="H11451" t="s" s="10">
        <v>72</v>
      </c>
      <c r="I11451" t="s" s="11">
        <v>72</v>
      </c>
      <c r="J11451" t="s" s="11">
        <v>20</v>
      </c>
      <c r="K11451" s="15"/>
      <c r="L11451" t="s" s="16">
        <f>HYPERLINK("http://csr.bu.edu/ftp/asl/asllvd/demos/verify_start_end_handshape_annotations//test_auto_move//signs_mov_separ_signers/Brady_8324.mov","MOV")</f>
        <v>21</v>
      </c>
      <c r="M11451" t="s" s="10">
        <v>40</v>
      </c>
      <c r="N11451" s="17">
        <v>74</v>
      </c>
      <c r="O11451" s="18">
        <v>2219</v>
      </c>
      <c r="P11451" s="18">
        <v>2245</v>
      </c>
      <c r="Q11451" s="15"/>
      <c r="R11451" t="s" s="16">
        <f>HYPERLINK("http://secrets.rutgers.edu:8080/data/asl-ftp/asllvd/demos/verify_start_end_handshape_annotations//test_auto_move//signs_mov_separ_signers/Brady_8324.mov","MOV")</f>
        <v>21</v>
      </c>
    </row>
    <row r="11452" s="2" customFormat="1" ht="13.5" customHeight="1">
      <c r="B11452" t="s" s="8">
        <v>4286</v>
      </c>
      <c r="C11452" t="s" s="9">
        <v>14</v>
      </c>
      <c r="D11452" t="s" s="8">
        <v>14</v>
      </c>
      <c r="E11452" t="s" s="9">
        <v>14</v>
      </c>
      <c r="F11452" t="s" s="10">
        <v>14</v>
      </c>
      <c r="G11452" t="s" s="11">
        <v>14</v>
      </c>
      <c r="H11452" t="s" s="10">
        <v>14</v>
      </c>
      <c r="I11452" t="s" s="11">
        <v>14</v>
      </c>
      <c r="J11452" t="s" s="11">
        <v>14</v>
      </c>
      <c r="K11452" t="s" s="12">
        <v>14</v>
      </c>
      <c r="L11452" t="s" s="12">
        <v>14</v>
      </c>
      <c r="M11452" t="s" s="10">
        <v>14</v>
      </c>
      <c r="N11452" t="s" s="11">
        <v>14</v>
      </c>
      <c r="O11452" t="s" s="8">
        <v>14</v>
      </c>
      <c r="P11452" t="s" s="8">
        <v>14</v>
      </c>
      <c r="Q11452" t="s" s="12">
        <v>14</v>
      </c>
      <c r="R11452" t="s" s="12">
        <v>14</v>
      </c>
    </row>
    <row r="11453" s="2" customFormat="1" ht="13.5" customHeight="1">
      <c r="B11453" s="13"/>
      <c r="C11453" t="s" s="9">
        <v>41</v>
      </c>
      <c r="D11453" t="s" s="8">
        <v>4287</v>
      </c>
      <c r="E11453" t="s" s="9">
        <v>4287</v>
      </c>
      <c r="F11453" t="s" s="10">
        <v>187</v>
      </c>
      <c r="G11453" s="14"/>
      <c r="H11453" t="s" s="10">
        <v>187</v>
      </c>
      <c r="I11453" s="14"/>
      <c r="J11453" t="s" s="11">
        <v>20</v>
      </c>
      <c r="K11453" t="s" s="16">
        <f>HYPERLINK("http://csr.bu.edu/ftp/asl/asllvd/demos/verify_start_end_handshape_annotations//test_auto_move//signs_mov/5450.mov","MOV")</f>
        <v>21</v>
      </c>
      <c r="L11453" t="s" s="16">
        <f>HYPERLINK("http://csr.bu.edu/ftp/asl/asllvd/demos/verify_start_end_handshape_annotations//test_auto_move//signs_mov_separ_signers/Lana_5450.mov","MOV")</f>
        <v>21</v>
      </c>
      <c r="M11453" t="s" s="10">
        <v>42</v>
      </c>
      <c r="N11453" s="17">
        <v>25</v>
      </c>
      <c r="O11453" s="18">
        <v>2276</v>
      </c>
      <c r="P11453" s="18">
        <v>2287</v>
      </c>
      <c r="Q11453" t="s" s="16">
        <f>HYPERLINK("http://secrets.rutgers.edu:8080/data/asl-ftp/asllvd/demos/verify_start_end_handshape_annotations//test_auto_move//signs_mov/5450.mov","MOV")</f>
        <v>21</v>
      </c>
      <c r="R11453" t="s" s="16">
        <f>HYPERLINK("http://secrets.rutgers.edu:8080/data/asl-ftp/asllvd/demos/verify_start_end_handshape_annotations//test_auto_move//signs_mov_separ_signers/Lana_5450.mov","MOV")</f>
        <v>21</v>
      </c>
    </row>
    <row r="11454" s="2" customFormat="1" ht="13.5" customHeight="1">
      <c r="B11454" t="s" s="8">
        <v>4288</v>
      </c>
      <c r="C11454" t="s" s="9">
        <v>14</v>
      </c>
      <c r="D11454" t="s" s="8">
        <v>14</v>
      </c>
      <c r="E11454" t="s" s="9">
        <v>14</v>
      </c>
      <c r="F11454" t="s" s="10">
        <v>14</v>
      </c>
      <c r="G11454" t="s" s="11">
        <v>14</v>
      </c>
      <c r="H11454" t="s" s="10">
        <v>14</v>
      </c>
      <c r="I11454" t="s" s="11">
        <v>14</v>
      </c>
      <c r="J11454" t="s" s="11">
        <v>14</v>
      </c>
      <c r="K11454" t="s" s="12">
        <v>14</v>
      </c>
      <c r="L11454" t="s" s="12">
        <v>14</v>
      </c>
      <c r="M11454" t="s" s="10">
        <v>14</v>
      </c>
      <c r="N11454" t="s" s="11">
        <v>14</v>
      </c>
      <c r="O11454" t="s" s="8">
        <v>14</v>
      </c>
      <c r="P11454" t="s" s="8">
        <v>14</v>
      </c>
      <c r="Q11454" t="s" s="12">
        <v>14</v>
      </c>
      <c r="R11454" t="s" s="12">
        <v>14</v>
      </c>
    </row>
    <row r="11455" s="2" customFormat="1" ht="13.5" customHeight="1">
      <c r="B11455" s="13"/>
      <c r="C11455" t="s" s="9">
        <v>16</v>
      </c>
      <c r="D11455" t="s" s="8">
        <v>4288</v>
      </c>
      <c r="E11455" t="s" s="9">
        <v>4289</v>
      </c>
      <c r="F11455" s="19">
        <v>1</v>
      </c>
      <c r="G11455" s="14"/>
      <c r="H11455" s="19">
        <v>1</v>
      </c>
      <c r="I11455" s="14"/>
      <c r="J11455" t="s" s="11">
        <v>20</v>
      </c>
      <c r="K11455" s="15"/>
      <c r="L11455" t="s" s="16">
        <f>HYPERLINK("http://csr.bu.edu/ftp/asl/asllvd/demos/verify_start_end_handshape_annotations//test_auto_move//signs_mov_separ_signers/Liz_8327.mov","MOV")</f>
        <v>21</v>
      </c>
      <c r="M11455" t="s" s="10">
        <v>36</v>
      </c>
      <c r="N11455" s="17">
        <v>23</v>
      </c>
      <c r="O11455" s="18">
        <v>3483</v>
      </c>
      <c r="P11455" s="18">
        <v>3532</v>
      </c>
      <c r="Q11455" s="15"/>
      <c r="R11455" t="s" s="16">
        <f>HYPERLINK("http://secrets.rutgers.edu:8080/data/asl-ftp/asllvd/demos/verify_start_end_handshape_annotations//test_auto_move//signs_mov_separ_signers/Liz_8327.mov","MOV")</f>
        <v>21</v>
      </c>
    </row>
    <row r="11456" s="2" customFormat="1" ht="13.5" customHeight="1">
      <c r="B11456" s="13"/>
      <c r="C11456" t="s" s="9">
        <v>30</v>
      </c>
      <c r="D11456" t="s" s="8">
        <v>4288</v>
      </c>
      <c r="E11456" t="s" s="9">
        <v>4290</v>
      </c>
      <c r="F11456" s="19">
        <v>1</v>
      </c>
      <c r="G11456" s="14"/>
      <c r="H11456" s="19">
        <v>1</v>
      </c>
      <c r="I11456" s="14"/>
      <c r="J11456" t="s" s="11">
        <v>20</v>
      </c>
      <c r="K11456" t="s" s="16">
        <f>HYPERLINK("http://csr.bu.edu/ftp/asl/asllvd/demos/verify_start_end_handshape_annotations//test_auto_move//signs_mov/5761_8327_merged.mov","MOV")</f>
        <v>21</v>
      </c>
      <c r="L11456" t="s" s="16">
        <f>HYPERLINK("http://csr.bu.edu/ftp/asl/asllvd/demos/verify_start_end_handshape_annotations//test_auto_move//signs_mov_separ_signers/Brady_8327.mov","MOV")</f>
        <v>21</v>
      </c>
      <c r="M11456" t="s" s="10">
        <v>40</v>
      </c>
      <c r="N11456" s="17">
        <v>74</v>
      </c>
      <c r="O11456" s="18">
        <v>519</v>
      </c>
      <c r="P11456" s="18">
        <v>555</v>
      </c>
      <c r="Q11456" t="s" s="16">
        <f>HYPERLINK("http://secrets.rutgers.edu:8080/data/asl-ftp/asllvd/demos/verify_start_end_handshape_annotations//test_auto_move//signs_mov/5761_8327_merged.mov","MOV")</f>
        <v>21</v>
      </c>
      <c r="R11456" t="s" s="16">
        <f>HYPERLINK("http://secrets.rutgers.edu:8080/data/asl-ftp/asllvd/demos/verify_start_end_handshape_annotations//test_auto_move//signs_mov_separ_signers/Brady_8327.mov","MOV")</f>
        <v>21</v>
      </c>
    </row>
    <row r="11457" s="2" customFormat="1" ht="13.5" customHeight="1">
      <c r="B11457" s="13"/>
      <c r="C11457" t="s" s="9">
        <v>30</v>
      </c>
      <c r="D11457" t="s" s="8">
        <v>4288</v>
      </c>
      <c r="E11457" t="s" s="9">
        <v>4290</v>
      </c>
      <c r="F11457" s="19">
        <v>1</v>
      </c>
      <c r="G11457" s="14"/>
      <c r="H11457" s="19">
        <v>1</v>
      </c>
      <c r="I11457" s="14"/>
      <c r="J11457" t="s" s="11">
        <v>20</v>
      </c>
      <c r="K11457" s="15"/>
      <c r="L11457" t="s" s="16">
        <f>HYPERLINK("http://csr.bu.edu/ftp/asl/asllvd/demos/verify_start_end_handshape_annotations//test_auto_move//signs_mov_separ_signers/Brady_5761.mov","MOV")</f>
        <v>21</v>
      </c>
      <c r="M11457" t="s" s="10">
        <v>60</v>
      </c>
      <c r="N11457" s="17">
        <v>51</v>
      </c>
      <c r="O11457" s="18">
        <v>2621</v>
      </c>
      <c r="P11457" s="18">
        <v>2665</v>
      </c>
      <c r="Q11457" s="15"/>
      <c r="R11457" t="s" s="16">
        <f>HYPERLINK("http://secrets.rutgers.edu:8080/data/asl-ftp/asllvd/demos/verify_start_end_handshape_annotations//test_auto_move//signs_mov_separ_signers/Brady_5761.mov","MOV")</f>
        <v>21</v>
      </c>
    </row>
    <row r="11458" s="2" customFormat="1" ht="13.5" customHeight="1">
      <c r="B11458" t="s" s="8">
        <v>4291</v>
      </c>
      <c r="C11458" t="s" s="9">
        <v>14</v>
      </c>
      <c r="D11458" t="s" s="8">
        <v>14</v>
      </c>
      <c r="E11458" t="s" s="9">
        <v>14</v>
      </c>
      <c r="F11458" t="s" s="10">
        <v>14</v>
      </c>
      <c r="G11458" t="s" s="11">
        <v>14</v>
      </c>
      <c r="H11458" t="s" s="10">
        <v>14</v>
      </c>
      <c r="I11458" t="s" s="11">
        <v>14</v>
      </c>
      <c r="J11458" t="s" s="11">
        <v>14</v>
      </c>
      <c r="K11458" t="s" s="12">
        <v>14</v>
      </c>
      <c r="L11458" t="s" s="12">
        <v>14</v>
      </c>
      <c r="M11458" t="s" s="10">
        <v>14</v>
      </c>
      <c r="N11458" t="s" s="11">
        <v>14</v>
      </c>
      <c r="O11458" t="s" s="8">
        <v>14</v>
      </c>
      <c r="P11458" t="s" s="8">
        <v>14</v>
      </c>
      <c r="Q11458" t="s" s="12">
        <v>14</v>
      </c>
      <c r="R11458" t="s" s="12">
        <v>14</v>
      </c>
    </row>
    <row r="11459" s="2" customFormat="1" ht="13.5" customHeight="1">
      <c r="B11459" s="13"/>
      <c r="C11459" t="s" s="9">
        <v>16</v>
      </c>
      <c r="D11459" t="s" s="8">
        <v>4291</v>
      </c>
      <c r="E11459" t="s" s="9">
        <v>4291</v>
      </c>
      <c r="F11459" s="19">
        <v>3</v>
      </c>
      <c r="G11459" t="s" s="11">
        <v>73</v>
      </c>
      <c r="H11459" s="19">
        <v>3</v>
      </c>
      <c r="I11459" t="s" s="11">
        <v>73</v>
      </c>
      <c r="J11459" t="s" s="11">
        <v>20</v>
      </c>
      <c r="K11459" t="s" s="16">
        <f>HYPERLINK("http://csr.bu.edu/ftp/asl/asllvd/demos/verify_start_end_handshape_annotations//test_auto_move//signs_mov/8426.mov","MOV")</f>
        <v>21</v>
      </c>
      <c r="L11459" t="s" s="16">
        <f>HYPERLINK("http://csr.bu.edu/ftp/asl/asllvd/demos/verify_start_end_handshape_annotations//test_auto_move//signs_mov_separ_signers/Liz_8426.mov","MOV")</f>
        <v>21</v>
      </c>
      <c r="M11459" t="s" s="10">
        <v>36</v>
      </c>
      <c r="N11459" s="17">
        <v>29</v>
      </c>
      <c r="O11459" s="18">
        <v>1368</v>
      </c>
      <c r="P11459" s="18">
        <v>1434</v>
      </c>
      <c r="Q11459" t="s" s="16">
        <f>HYPERLINK("http://secrets.rutgers.edu:8080/data/asl-ftp/asllvd/demos/verify_start_end_handshape_annotations//test_auto_move//signs_mov/8426.mov","MOV")</f>
        <v>21</v>
      </c>
      <c r="R11459" t="s" s="16">
        <f>HYPERLINK("http://secrets.rutgers.edu:8080/data/asl-ftp/asllvd/demos/verify_start_end_handshape_annotations//test_auto_move//signs_mov_separ_signers/Liz_8426.mov","MOV")</f>
        <v>21</v>
      </c>
    </row>
    <row r="11460" s="2" customFormat="1" ht="13.5" customHeight="1">
      <c r="B11460" s="13"/>
      <c r="C11460" t="s" s="9">
        <v>30</v>
      </c>
      <c r="D11460" t="s" s="8">
        <v>4291</v>
      </c>
      <c r="E11460" t="s" s="9">
        <v>4291</v>
      </c>
      <c r="F11460" s="19">
        <v>3</v>
      </c>
      <c r="G11460" t="s" s="11">
        <v>73</v>
      </c>
      <c r="H11460" s="19">
        <v>3</v>
      </c>
      <c r="I11460" t="s" s="11">
        <v>73</v>
      </c>
      <c r="J11460" t="s" s="11">
        <v>20</v>
      </c>
      <c r="K11460" s="15"/>
      <c r="L11460" t="s" s="16">
        <f>HYPERLINK("http://csr.bu.edu/ftp/asl/asllvd/demos/verify_start_end_handshape_annotations//test_auto_move//signs_mov_separ_signers/Brady_8426.mov","MOV")</f>
        <v>21</v>
      </c>
      <c r="M11460" t="s" s="10">
        <v>40</v>
      </c>
      <c r="N11460" s="17">
        <v>80</v>
      </c>
      <c r="O11460" s="18">
        <v>2090</v>
      </c>
      <c r="P11460" s="18">
        <v>2134</v>
      </c>
      <c r="Q11460" s="15"/>
      <c r="R11460" t="s" s="16">
        <f>HYPERLINK("http://secrets.rutgers.edu:8080/data/asl-ftp/asllvd/demos/verify_start_end_handshape_annotations//test_auto_move//signs_mov_separ_signers/Brady_8426.mov","MOV")</f>
        <v>21</v>
      </c>
    </row>
    <row r="11461" s="2" customFormat="1" ht="13.5" customHeight="1">
      <c r="B11461" t="s" s="8">
        <v>4292</v>
      </c>
      <c r="C11461" t="s" s="9">
        <v>14</v>
      </c>
      <c r="D11461" t="s" s="8">
        <v>14</v>
      </c>
      <c r="E11461" t="s" s="9">
        <v>14</v>
      </c>
      <c r="F11461" t="s" s="10">
        <v>14</v>
      </c>
      <c r="G11461" t="s" s="11">
        <v>14</v>
      </c>
      <c r="H11461" t="s" s="10">
        <v>14</v>
      </c>
      <c r="I11461" t="s" s="11">
        <v>14</v>
      </c>
      <c r="J11461" t="s" s="11">
        <v>14</v>
      </c>
      <c r="K11461" t="s" s="12">
        <v>14</v>
      </c>
      <c r="L11461" t="s" s="12">
        <v>14</v>
      </c>
      <c r="M11461" t="s" s="10">
        <v>14</v>
      </c>
      <c r="N11461" t="s" s="11">
        <v>14</v>
      </c>
      <c r="O11461" t="s" s="8">
        <v>14</v>
      </c>
      <c r="P11461" t="s" s="8">
        <v>14</v>
      </c>
      <c r="Q11461" t="s" s="12">
        <v>14</v>
      </c>
      <c r="R11461" t="s" s="12">
        <v>14</v>
      </c>
    </row>
    <row r="11462" s="2" customFormat="1" ht="13.5" customHeight="1">
      <c r="B11462" s="13"/>
      <c r="C11462" t="s" s="9">
        <v>16</v>
      </c>
      <c r="D11462" t="s" s="8">
        <v>4292</v>
      </c>
      <c r="E11462" t="s" s="9">
        <v>4293</v>
      </c>
      <c r="F11462" t="s" s="10">
        <v>255</v>
      </c>
      <c r="G11462" t="s" s="11">
        <v>255</v>
      </c>
      <c r="H11462" t="s" s="10">
        <v>255</v>
      </c>
      <c r="I11462" t="s" s="11">
        <v>255</v>
      </c>
      <c r="J11462" t="s" s="11">
        <v>20</v>
      </c>
      <c r="K11462" s="15"/>
      <c r="L11462" t="s" s="16">
        <f>HYPERLINK("http://csr.bu.edu/ftp/asl/asllvd/demos/verify_start_end_handshape_annotations//test_auto_move//signs_mov_separ_signers/Liz_8453.mov","MOV")</f>
        <v>21</v>
      </c>
      <c r="M11462" t="s" s="10">
        <v>59</v>
      </c>
      <c r="N11462" s="17">
        <v>6</v>
      </c>
      <c r="O11462" s="18">
        <v>1956</v>
      </c>
      <c r="P11462" s="18">
        <v>1999</v>
      </c>
      <c r="Q11462" s="15"/>
      <c r="R11462" t="s" s="16">
        <f>HYPERLINK("http://secrets.rutgers.edu:8080/data/asl-ftp/asllvd/demos/verify_start_end_handshape_annotations//test_auto_move//signs_mov_separ_signers/Liz_8453.mov","MOV")</f>
        <v>21</v>
      </c>
    </row>
    <row r="11463" s="2" customFormat="1" ht="13.5" customHeight="1">
      <c r="B11463" s="13"/>
      <c r="C11463" t="s" s="9">
        <v>30</v>
      </c>
      <c r="D11463" t="s" s="8">
        <v>4292</v>
      </c>
      <c r="E11463" t="s" s="9">
        <v>4293</v>
      </c>
      <c r="F11463" t="s" s="10">
        <v>255</v>
      </c>
      <c r="G11463" t="s" s="11">
        <v>255</v>
      </c>
      <c r="H11463" t="s" s="10">
        <v>255</v>
      </c>
      <c r="I11463" t="s" s="11">
        <v>255</v>
      </c>
      <c r="J11463" t="s" s="11">
        <v>20</v>
      </c>
      <c r="K11463" t="s" s="16">
        <f>HYPERLINK("http://csr.bu.edu/ftp/asl/asllvd/demos/verify_start_end_handshape_annotations//test_auto_move//signs_mov/5778_8453_merged.mov","MOV")</f>
        <v>21</v>
      </c>
      <c r="L11463" t="s" s="16">
        <f>HYPERLINK("http://csr.bu.edu/ftp/asl/asllvd/demos/verify_start_end_handshape_annotations//test_auto_move//signs_mov_separ_signers/Brady_8453.mov","MOV")</f>
        <v>21</v>
      </c>
      <c r="M11463" t="s" s="10">
        <v>40</v>
      </c>
      <c r="N11463" s="17">
        <v>110</v>
      </c>
      <c r="O11463" s="18">
        <v>2404</v>
      </c>
      <c r="P11463" s="18">
        <v>2445</v>
      </c>
      <c r="Q11463" t="s" s="16">
        <f>HYPERLINK("http://secrets.rutgers.edu:8080/data/asl-ftp/asllvd/demos/verify_start_end_handshape_annotations//test_auto_move//signs_mov/5778_8453_merged.mov","MOV")</f>
        <v>21</v>
      </c>
      <c r="R11463" t="s" s="16">
        <f>HYPERLINK("http://secrets.rutgers.edu:8080/data/asl-ftp/asllvd/demos/verify_start_end_handshape_annotations//test_auto_move//signs_mov_separ_signers/Brady_8453.mov","MOV")</f>
        <v>21</v>
      </c>
    </row>
    <row r="11464" s="2" customFormat="1" ht="13.5" customHeight="1">
      <c r="B11464" s="13"/>
      <c r="C11464" t="s" s="9">
        <v>30</v>
      </c>
      <c r="D11464" t="s" s="8">
        <v>4292</v>
      </c>
      <c r="E11464" t="s" s="9">
        <v>4293</v>
      </c>
      <c r="F11464" t="s" s="10">
        <v>255</v>
      </c>
      <c r="G11464" t="s" s="11">
        <v>255</v>
      </c>
      <c r="H11464" t="s" s="10">
        <v>255</v>
      </c>
      <c r="I11464" t="s" s="11">
        <v>255</v>
      </c>
      <c r="J11464" t="s" s="11">
        <v>20</v>
      </c>
      <c r="K11464" s="15"/>
      <c r="L11464" t="s" s="16">
        <f>HYPERLINK("http://csr.bu.edu/ftp/asl/asllvd/demos/verify_start_end_handshape_annotations//test_auto_move//signs_mov_separ_signers/Brady_5778.mov","MOV")</f>
        <v>21</v>
      </c>
      <c r="M11464" t="s" s="10">
        <v>60</v>
      </c>
      <c r="N11464" s="17">
        <v>55</v>
      </c>
      <c r="O11464" s="18">
        <v>121</v>
      </c>
      <c r="P11464" s="18">
        <v>166</v>
      </c>
      <c r="Q11464" s="15"/>
      <c r="R11464" t="s" s="16">
        <f>HYPERLINK("http://secrets.rutgers.edu:8080/data/asl-ftp/asllvd/demos/verify_start_end_handshape_annotations//test_auto_move//signs_mov_separ_signers/Brady_5778.mov","MOV")</f>
        <v>21</v>
      </c>
    </row>
    <row r="11465" s="2" customFormat="1" ht="13.5" customHeight="1">
      <c r="B11465" t="s" s="8">
        <v>4294</v>
      </c>
      <c r="C11465" t="s" s="9">
        <v>14</v>
      </c>
      <c r="D11465" t="s" s="8">
        <v>14</v>
      </c>
      <c r="E11465" t="s" s="9">
        <v>14</v>
      </c>
      <c r="F11465" t="s" s="10">
        <v>14</v>
      </c>
      <c r="G11465" t="s" s="11">
        <v>14</v>
      </c>
      <c r="H11465" t="s" s="10">
        <v>14</v>
      </c>
      <c r="I11465" t="s" s="11">
        <v>14</v>
      </c>
      <c r="J11465" t="s" s="11">
        <v>14</v>
      </c>
      <c r="K11465" t="s" s="12">
        <v>14</v>
      </c>
      <c r="L11465" t="s" s="12">
        <v>14</v>
      </c>
      <c r="M11465" t="s" s="10">
        <v>14</v>
      </c>
      <c r="N11465" t="s" s="11">
        <v>14</v>
      </c>
      <c r="O11465" t="s" s="8">
        <v>14</v>
      </c>
      <c r="P11465" t="s" s="8">
        <v>14</v>
      </c>
      <c r="Q11465" t="s" s="12">
        <v>14</v>
      </c>
      <c r="R11465" t="s" s="12">
        <v>14</v>
      </c>
    </row>
    <row r="11466" s="2" customFormat="1" ht="13.5" customHeight="1">
      <c r="B11466" s="13"/>
      <c r="C11466" t="s" s="9">
        <v>16</v>
      </c>
      <c r="D11466" t="s" s="8">
        <v>4294</v>
      </c>
      <c r="E11466" t="s" s="9">
        <v>4294</v>
      </c>
      <c r="F11466" t="s" s="10">
        <v>255</v>
      </c>
      <c r="G11466" t="s" s="11">
        <v>255</v>
      </c>
      <c r="H11466" t="s" s="10">
        <v>255</v>
      </c>
      <c r="I11466" t="s" s="11">
        <v>255</v>
      </c>
      <c r="J11466" t="s" s="11">
        <v>20</v>
      </c>
      <c r="K11466" t="s" s="16">
        <f>HYPERLINK("http://csr.bu.edu/ftp/asl/asllvd/demos/verify_start_end_handshape_annotations//test_auto_move//signs_mov/15563.mov","MOV")</f>
        <v>21</v>
      </c>
      <c r="L11466" t="s" s="16">
        <f>HYPERLINK("http://csr.bu.edu/ftp/asl/asllvd/demos/verify_start_end_handshape_annotations//test_auto_move//signs_mov_separ_signers/Liz_15563.mov","MOV")</f>
        <v>21</v>
      </c>
      <c r="M11466" t="s" s="10">
        <v>36</v>
      </c>
      <c r="N11466" s="17">
        <v>19</v>
      </c>
      <c r="O11466" s="18">
        <v>3137</v>
      </c>
      <c r="P11466" s="18">
        <v>3165</v>
      </c>
      <c r="Q11466" t="s" s="16">
        <f>HYPERLINK("http://secrets.rutgers.edu:8080/data/asl-ftp/asllvd/demos/verify_start_end_handshape_annotations//test_auto_move//signs_mov/15563.mov","MOV")</f>
        <v>21</v>
      </c>
      <c r="R11466" t="s" s="16">
        <f>HYPERLINK("http://secrets.rutgers.edu:8080/data/asl-ftp/asllvd/demos/verify_start_end_handshape_annotations//test_auto_move//signs_mov_separ_signers/Liz_15563.mov","MOV")</f>
        <v>21</v>
      </c>
    </row>
    <row r="11467" s="2" customFormat="1" ht="13.5" customHeight="1">
      <c r="B11467" s="13"/>
      <c r="C11467" t="s" s="9">
        <v>30</v>
      </c>
      <c r="D11467" t="s" s="8">
        <v>4294</v>
      </c>
      <c r="E11467" t="s" s="9">
        <v>4294</v>
      </c>
      <c r="F11467" t="s" s="10">
        <v>255</v>
      </c>
      <c r="G11467" t="s" s="11">
        <v>255</v>
      </c>
      <c r="H11467" t="s" s="10">
        <v>255</v>
      </c>
      <c r="I11467" t="s" s="11">
        <v>255</v>
      </c>
      <c r="J11467" t="s" s="11">
        <v>20</v>
      </c>
      <c r="K11467" s="15"/>
      <c r="L11467" t="s" s="16">
        <f>HYPERLINK("http://csr.bu.edu/ftp/asl/asllvd/demos/verify_start_end_handshape_annotations//test_auto_move//signs_mov_separ_signers/Brady_15563.mov","MOV")</f>
        <v>21</v>
      </c>
      <c r="M11467" t="s" s="10">
        <v>40</v>
      </c>
      <c r="N11467" s="17">
        <v>69</v>
      </c>
      <c r="O11467" s="18">
        <v>2428</v>
      </c>
      <c r="P11467" s="18">
        <v>2442</v>
      </c>
      <c r="Q11467" s="15"/>
      <c r="R11467" t="s" s="16">
        <f>HYPERLINK("http://secrets.rutgers.edu:8080/data/asl-ftp/asllvd/demos/verify_start_end_handshape_annotations//test_auto_move//signs_mov_separ_signers/Brady_15563.mov","MOV")</f>
        <v>21</v>
      </c>
    </row>
    <row r="11468" s="2" customFormat="1" ht="13.5" customHeight="1">
      <c r="B11468" t="s" s="8">
        <v>4295</v>
      </c>
      <c r="C11468" t="s" s="9">
        <v>14</v>
      </c>
      <c r="D11468" t="s" s="8">
        <v>14</v>
      </c>
      <c r="E11468" t="s" s="9">
        <v>14</v>
      </c>
      <c r="F11468" t="s" s="10">
        <v>14</v>
      </c>
      <c r="G11468" t="s" s="11">
        <v>14</v>
      </c>
      <c r="H11468" t="s" s="10">
        <v>14</v>
      </c>
      <c r="I11468" t="s" s="11">
        <v>14</v>
      </c>
      <c r="J11468" t="s" s="11">
        <v>14</v>
      </c>
      <c r="K11468" t="s" s="12">
        <v>14</v>
      </c>
      <c r="L11468" t="s" s="12">
        <v>14</v>
      </c>
      <c r="M11468" t="s" s="10">
        <v>14</v>
      </c>
      <c r="N11468" t="s" s="11">
        <v>14</v>
      </c>
      <c r="O11468" t="s" s="8">
        <v>14</v>
      </c>
      <c r="P11468" t="s" s="8">
        <v>14</v>
      </c>
      <c r="Q11468" t="s" s="12">
        <v>14</v>
      </c>
      <c r="R11468" t="s" s="12">
        <v>14</v>
      </c>
    </row>
    <row r="11469" s="2" customFormat="1" ht="13.5" customHeight="1">
      <c r="B11469" s="13"/>
      <c r="C11469" t="s" s="9">
        <v>16</v>
      </c>
      <c r="D11469" t="s" s="8">
        <v>4295</v>
      </c>
      <c r="E11469" t="s" s="9">
        <v>4296</v>
      </c>
      <c r="F11469" t="s" s="10">
        <v>255</v>
      </c>
      <c r="G11469" t="s" s="11">
        <v>255</v>
      </c>
      <c r="H11469" t="s" s="10">
        <v>255</v>
      </c>
      <c r="I11469" t="s" s="11">
        <v>255</v>
      </c>
      <c r="J11469" t="s" s="11">
        <v>20</v>
      </c>
      <c r="K11469" t="s" s="16">
        <f>HYPERLINK("http://csr.bu.edu/ftp/asl/asllvd/demos/verify_start_end_handshape_annotations//test_auto_move//signs_mov/15588.mov","MOV")</f>
        <v>21</v>
      </c>
      <c r="L11469" t="s" s="16">
        <f>HYPERLINK("http://csr.bu.edu/ftp/asl/asllvd/demos/verify_start_end_handshape_annotations//test_auto_move//signs_mov_separ_signers/Liz_15588.mov","MOV")</f>
        <v>21</v>
      </c>
      <c r="M11469" t="s" s="10">
        <v>59</v>
      </c>
      <c r="N11469" s="17">
        <v>21</v>
      </c>
      <c r="O11469" s="18">
        <v>560</v>
      </c>
      <c r="P11469" s="18">
        <v>667</v>
      </c>
      <c r="Q11469" t="s" s="16">
        <f>HYPERLINK("http://secrets.rutgers.edu:8080/data/asl-ftp/asllvd/demos/verify_start_end_handshape_annotations//test_auto_move//signs_mov/15588.mov","MOV")</f>
        <v>21</v>
      </c>
      <c r="R11469" t="s" s="16">
        <f>HYPERLINK("http://secrets.rutgers.edu:8080/data/asl-ftp/asllvd/demos/verify_start_end_handshape_annotations//test_auto_move//signs_mov_separ_signers/Liz_15588.mov","MOV")</f>
        <v>21</v>
      </c>
    </row>
    <row r="11470" s="2" customFormat="1" ht="13.5" customHeight="1">
      <c r="B11470" s="13"/>
      <c r="C11470" t="s" s="9">
        <v>30</v>
      </c>
      <c r="D11470" t="s" s="8">
        <v>4295</v>
      </c>
      <c r="E11470" t="s" s="9">
        <v>4296</v>
      </c>
      <c r="F11470" t="s" s="10">
        <v>255</v>
      </c>
      <c r="G11470" t="s" s="11">
        <v>255</v>
      </c>
      <c r="H11470" t="s" s="10">
        <v>255</v>
      </c>
      <c r="I11470" t="s" s="11">
        <v>255</v>
      </c>
      <c r="J11470" t="s" s="11">
        <v>20</v>
      </c>
      <c r="K11470" s="15"/>
      <c r="L11470" t="s" s="16">
        <f>HYPERLINK("http://csr.bu.edu/ftp/asl/asllvd/demos/verify_start_end_handshape_annotations//test_auto_move//signs_mov_separ_signers/Brady_15588.mov","MOV")</f>
        <v>21</v>
      </c>
      <c r="M11470" t="s" s="10">
        <v>60</v>
      </c>
      <c r="N11470" s="17">
        <v>8</v>
      </c>
      <c r="O11470" s="18">
        <v>3455</v>
      </c>
      <c r="P11470" s="18">
        <v>3493</v>
      </c>
      <c r="Q11470" s="15"/>
      <c r="R11470" t="s" s="16">
        <f>HYPERLINK("http://secrets.rutgers.edu:8080/data/asl-ftp/asllvd/demos/verify_start_end_handshape_annotations//test_auto_move//signs_mov_separ_signers/Brady_15588.mov","MOV")</f>
        <v>21</v>
      </c>
    </row>
    <row r="11471" s="2" customFormat="1" ht="13.5" customHeight="1">
      <c r="B11471" t="s" s="8">
        <v>52</v>
      </c>
      <c r="C11471" t="s" s="9">
        <v>53</v>
      </c>
      <c r="D11471" t="s" s="8">
        <v>53</v>
      </c>
      <c r="E11471" t="s" s="9">
        <v>53</v>
      </c>
      <c r="F11471" t="s" s="10">
        <v>53</v>
      </c>
      <c r="G11471" t="s" s="11">
        <v>53</v>
      </c>
      <c r="H11471" t="s" s="10">
        <v>53</v>
      </c>
      <c r="I11471" t="s" s="11">
        <v>53</v>
      </c>
      <c r="J11471" t="s" s="11">
        <v>53</v>
      </c>
      <c r="K11471" t="s" s="12">
        <v>53</v>
      </c>
      <c r="L11471" t="s" s="12">
        <v>53</v>
      </c>
      <c r="M11471" t="s" s="10">
        <v>53</v>
      </c>
      <c r="N11471" t="s" s="11">
        <v>53</v>
      </c>
      <c r="O11471" t="s" s="8">
        <v>53</v>
      </c>
      <c r="P11471" t="s" s="8">
        <v>53</v>
      </c>
      <c r="Q11471" t="s" s="12">
        <v>53</v>
      </c>
      <c r="R11471" t="s" s="12">
        <v>53</v>
      </c>
    </row>
    <row r="11472" s="2" customFormat="1" ht="13.5" customHeight="1">
      <c r="B11472" s="13"/>
      <c r="C11472" t="s" s="9">
        <v>30</v>
      </c>
      <c r="D11472" t="s" s="8">
        <v>4295</v>
      </c>
      <c r="E11472" t="s" s="9">
        <v>4297</v>
      </c>
      <c r="F11472" t="s" s="10">
        <v>255</v>
      </c>
      <c r="G11472" t="s" s="11">
        <v>255</v>
      </c>
      <c r="H11472" t="s" s="10">
        <v>255</v>
      </c>
      <c r="I11472" t="s" s="11">
        <v>255</v>
      </c>
      <c r="J11472" t="s" s="11">
        <v>20</v>
      </c>
      <c r="K11472" t="s" s="16">
        <f>HYPERLINK("http://csr.bu.edu/ftp/asl/asllvd/demos/verify_start_end_handshape_annotations//test_auto_move//signs_mov/15935.mov","MOV")</f>
        <v>21</v>
      </c>
      <c r="L11472" t="s" s="16">
        <f>HYPERLINK("http://csr.bu.edu/ftp/asl/asllvd/demos/verify_start_end_handshape_annotations//test_auto_move//signs_mov_separ_signers/Brady_15935.mov","MOV")</f>
        <v>21</v>
      </c>
      <c r="M11472" t="s" s="10">
        <v>60</v>
      </c>
      <c r="N11472" s="17">
        <v>9</v>
      </c>
      <c r="O11472" s="18">
        <v>200</v>
      </c>
      <c r="P11472" s="18">
        <v>278</v>
      </c>
      <c r="Q11472" t="s" s="16">
        <f>HYPERLINK("http://secrets.rutgers.edu:8080/data/asl-ftp/asllvd/demos/verify_start_end_handshape_annotations//test_auto_move//signs_mov/15935.mov","MOV")</f>
        <v>21</v>
      </c>
      <c r="R11472" t="s" s="16">
        <f>HYPERLINK("http://secrets.rutgers.edu:8080/data/asl-ftp/asllvd/demos/verify_start_end_handshape_annotations//test_auto_move//signs_mov_separ_signers/Brady_15935.mov","MOV")</f>
        <v>21</v>
      </c>
    </row>
    <row r="11473" s="2" customFormat="1" ht="13.5" customHeight="1">
      <c r="B11473" t="s" s="8">
        <v>4298</v>
      </c>
      <c r="C11473" t="s" s="9">
        <v>14</v>
      </c>
      <c r="D11473" t="s" s="8">
        <v>14</v>
      </c>
      <c r="E11473" t="s" s="9">
        <v>14</v>
      </c>
      <c r="F11473" t="s" s="10">
        <v>14</v>
      </c>
      <c r="G11473" t="s" s="11">
        <v>14</v>
      </c>
      <c r="H11473" t="s" s="10">
        <v>14</v>
      </c>
      <c r="I11473" t="s" s="11">
        <v>14</v>
      </c>
      <c r="J11473" t="s" s="11">
        <v>14</v>
      </c>
      <c r="K11473" t="s" s="12">
        <v>14</v>
      </c>
      <c r="L11473" t="s" s="12">
        <v>14</v>
      </c>
      <c r="M11473" t="s" s="10">
        <v>14</v>
      </c>
      <c r="N11473" t="s" s="11">
        <v>14</v>
      </c>
      <c r="O11473" t="s" s="8">
        <v>14</v>
      </c>
      <c r="P11473" t="s" s="8">
        <v>14</v>
      </c>
      <c r="Q11473" t="s" s="12">
        <v>14</v>
      </c>
      <c r="R11473" t="s" s="12">
        <v>14</v>
      </c>
    </row>
    <row r="11474" s="2" customFormat="1" ht="13.5" customHeight="1">
      <c r="B11474" s="13"/>
      <c r="C11474" t="s" s="9">
        <v>30</v>
      </c>
      <c r="D11474" t="s" s="8">
        <v>4298</v>
      </c>
      <c r="E11474" t="s" s="9">
        <v>4298</v>
      </c>
      <c r="F11474" s="19">
        <v>7</v>
      </c>
      <c r="G11474" s="17">
        <v>5</v>
      </c>
      <c r="H11474" s="19">
        <v>7</v>
      </c>
      <c r="I11474" s="17">
        <v>5</v>
      </c>
      <c r="J11474" t="s" s="11">
        <v>20</v>
      </c>
      <c r="K11474" t="s" s="16">
        <f>HYPERLINK("http://csr.bu.edu/ftp/asl/asllvd/demos/verify_start_end_handshape_annotations//test_auto_move//signs_mov/8455.mov","MOV")</f>
        <v>21</v>
      </c>
      <c r="L11474" t="s" s="16">
        <f>HYPERLINK("http://csr.bu.edu/ftp/asl/asllvd/demos/verify_start_end_handshape_annotations//test_auto_move//signs_mov_separ_signers/Brady_8455.mov","MOV")</f>
        <v>21</v>
      </c>
      <c r="M11474" t="s" s="10">
        <v>40</v>
      </c>
      <c r="N11474" s="17">
        <v>78</v>
      </c>
      <c r="O11474" s="18">
        <v>239</v>
      </c>
      <c r="P11474" s="18">
        <v>271</v>
      </c>
      <c r="Q11474" t="s" s="16">
        <f>HYPERLINK("http://secrets.rutgers.edu:8080/data/asl-ftp/asllvd/demos/verify_start_end_handshape_annotations//test_auto_move//signs_mov/8455.mov","MOV")</f>
        <v>21</v>
      </c>
      <c r="R11474" t="s" s="16">
        <f>HYPERLINK("http://secrets.rutgers.edu:8080/data/asl-ftp/asllvd/demos/verify_start_end_handshape_annotations//test_auto_move//signs_mov_separ_signers/Brady_8455.mov","MOV")</f>
        <v>21</v>
      </c>
    </row>
    <row r="11475" s="2" customFormat="1" ht="13.5" customHeight="1">
      <c r="B11475" t="s" s="8">
        <v>4299</v>
      </c>
      <c r="C11475" t="s" s="9">
        <v>14</v>
      </c>
      <c r="D11475" t="s" s="8">
        <v>14</v>
      </c>
      <c r="E11475" t="s" s="9">
        <v>14</v>
      </c>
      <c r="F11475" t="s" s="10">
        <v>14</v>
      </c>
      <c r="G11475" t="s" s="11">
        <v>14</v>
      </c>
      <c r="H11475" t="s" s="10">
        <v>14</v>
      </c>
      <c r="I11475" t="s" s="11">
        <v>14</v>
      </c>
      <c r="J11475" t="s" s="11">
        <v>14</v>
      </c>
      <c r="K11475" t="s" s="12">
        <v>14</v>
      </c>
      <c r="L11475" t="s" s="12">
        <v>14</v>
      </c>
      <c r="M11475" t="s" s="10">
        <v>14</v>
      </c>
      <c r="N11475" t="s" s="11">
        <v>14</v>
      </c>
      <c r="O11475" t="s" s="8">
        <v>14</v>
      </c>
      <c r="P11475" t="s" s="8">
        <v>14</v>
      </c>
      <c r="Q11475" t="s" s="12">
        <v>14</v>
      </c>
      <c r="R11475" t="s" s="12">
        <v>14</v>
      </c>
    </row>
    <row r="11476" s="2" customFormat="1" ht="13.5" customHeight="1">
      <c r="B11476" s="13"/>
      <c r="C11476" t="s" s="9">
        <v>16</v>
      </c>
      <c r="D11476" t="s" s="8">
        <v>4299</v>
      </c>
      <c r="E11476" t="s" s="9">
        <v>4299</v>
      </c>
      <c r="F11476" s="19">
        <v>7</v>
      </c>
      <c r="G11476" t="s" s="11">
        <v>73</v>
      </c>
      <c r="H11476" s="19">
        <v>1</v>
      </c>
      <c r="I11476" t="s" s="11">
        <v>73</v>
      </c>
      <c r="J11476" t="s" s="11">
        <v>20</v>
      </c>
      <c r="K11476" t="s" s="16">
        <f>HYPERLINK("http://csr.bu.edu/ftp/asl/asllvd/demos/verify_start_end_handshape_annotations//test_auto_move//signs_mov/5888.mov","MOV")</f>
        <v>21</v>
      </c>
      <c r="L11476" t="s" s="16">
        <f>HYPERLINK("http://csr.bu.edu/ftp/asl/asllvd/demos/verify_start_end_handshape_annotations//test_auto_move//signs_mov_separ_signers/Liz_5888.mov","MOV")</f>
        <v>21</v>
      </c>
      <c r="M11476" t="s" s="10">
        <v>77</v>
      </c>
      <c r="N11476" s="17">
        <v>16</v>
      </c>
      <c r="O11476" s="18">
        <v>5022</v>
      </c>
      <c r="P11476" s="18">
        <v>5080</v>
      </c>
      <c r="Q11476" t="s" s="16">
        <f>HYPERLINK("http://secrets.rutgers.edu:8080/data/asl-ftp/asllvd/demos/verify_start_end_handshape_annotations//test_auto_move//signs_mov/5888.mov","MOV")</f>
        <v>21</v>
      </c>
      <c r="R11476" t="s" s="16">
        <f>HYPERLINK("http://secrets.rutgers.edu:8080/data/asl-ftp/asllvd/demos/verify_start_end_handshape_annotations//test_auto_move//signs_mov_separ_signers/Liz_5888.mov","MOV")</f>
        <v>21</v>
      </c>
    </row>
    <row r="11477" s="2" customFormat="1" ht="13.5" customHeight="1">
      <c r="B11477" t="s" s="8">
        <v>4300</v>
      </c>
      <c r="C11477" t="s" s="9">
        <v>14</v>
      </c>
      <c r="D11477" t="s" s="8">
        <v>14</v>
      </c>
      <c r="E11477" t="s" s="9">
        <v>14</v>
      </c>
      <c r="F11477" t="s" s="10">
        <v>14</v>
      </c>
      <c r="G11477" t="s" s="11">
        <v>14</v>
      </c>
      <c r="H11477" t="s" s="10">
        <v>14</v>
      </c>
      <c r="I11477" t="s" s="11">
        <v>14</v>
      </c>
      <c r="J11477" t="s" s="11">
        <v>14</v>
      </c>
      <c r="K11477" t="s" s="12">
        <v>14</v>
      </c>
      <c r="L11477" t="s" s="12">
        <v>14</v>
      </c>
      <c r="M11477" t="s" s="10">
        <v>14</v>
      </c>
      <c r="N11477" t="s" s="11">
        <v>14</v>
      </c>
      <c r="O11477" t="s" s="8">
        <v>14</v>
      </c>
      <c r="P11477" t="s" s="8">
        <v>14</v>
      </c>
      <c r="Q11477" t="s" s="12">
        <v>14</v>
      </c>
      <c r="R11477" t="s" s="12">
        <v>14</v>
      </c>
    </row>
    <row r="11478" s="2" customFormat="1" ht="13.5" customHeight="1">
      <c r="B11478" s="13"/>
      <c r="C11478" t="s" s="9">
        <v>16</v>
      </c>
      <c r="D11478" t="s" s="8">
        <v>4300</v>
      </c>
      <c r="E11478" t="s" s="9">
        <v>4301</v>
      </c>
      <c r="F11478" t="s" s="10">
        <v>72</v>
      </c>
      <c r="G11478" t="s" s="11">
        <v>72</v>
      </c>
      <c r="H11478" t="s" s="10">
        <v>72</v>
      </c>
      <c r="I11478" t="s" s="11">
        <v>72</v>
      </c>
      <c r="J11478" t="s" s="11">
        <v>20</v>
      </c>
      <c r="K11478" s="15"/>
      <c r="L11478" t="s" s="16">
        <f>HYPERLINK("http://csr.bu.edu/ftp/asl/asllvd/demos/verify_start_end_handshape_annotations//test_auto_move//signs_mov_separ_signers/Liz_8466.mov","MOV")</f>
        <v>21</v>
      </c>
      <c r="M11478" t="s" s="10">
        <v>36</v>
      </c>
      <c r="N11478" s="17">
        <v>28</v>
      </c>
      <c r="O11478" s="18">
        <v>1240</v>
      </c>
      <c r="P11478" s="18">
        <v>1325</v>
      </c>
      <c r="Q11478" s="15"/>
      <c r="R11478" t="s" s="16">
        <f>HYPERLINK("http://secrets.rutgers.edu:8080/data/asl-ftp/asllvd/demos/verify_start_end_handshape_annotations//test_auto_move//signs_mov_separ_signers/Liz_8466.mov","MOV")</f>
        <v>21</v>
      </c>
    </row>
    <row r="11479" s="2" customFormat="1" ht="13.5" customHeight="1">
      <c r="B11479" s="13"/>
      <c r="C11479" t="s" s="9">
        <v>30</v>
      </c>
      <c r="D11479" t="s" s="8">
        <v>4300</v>
      </c>
      <c r="E11479" t="s" s="9">
        <v>4301</v>
      </c>
      <c r="F11479" t="s" s="10">
        <v>185</v>
      </c>
      <c r="G11479" t="s" s="11">
        <v>185</v>
      </c>
      <c r="H11479" t="s" s="10">
        <v>185</v>
      </c>
      <c r="I11479" t="s" s="11">
        <v>185</v>
      </c>
      <c r="J11479" t="s" s="11">
        <v>20</v>
      </c>
      <c r="K11479" t="s" s="16">
        <f>HYPERLINK("http://csr.bu.edu/ftp/asl/asllvd/demos/verify_start_end_handshape_annotations//test_auto_move//signs_mov/5726_8466_merged.mov","MOV")</f>
        <v>21</v>
      </c>
      <c r="L11479" t="s" s="16">
        <f>HYPERLINK("http://csr.bu.edu/ftp/asl/asllvd/demos/verify_start_end_handshape_annotations//test_auto_move//signs_mov_separ_signers/Brady_8466.mov","MOV")</f>
        <v>21</v>
      </c>
      <c r="M11479" t="s" s="10">
        <v>40</v>
      </c>
      <c r="N11479" s="17">
        <v>79</v>
      </c>
      <c r="O11479" s="18">
        <v>2170</v>
      </c>
      <c r="P11479" s="18">
        <v>2214</v>
      </c>
      <c r="Q11479" t="s" s="16">
        <f>HYPERLINK("http://secrets.rutgers.edu:8080/data/asl-ftp/asllvd/demos/verify_start_end_handshape_annotations//test_auto_move//signs_mov/5726_8466_merged.mov","MOV")</f>
        <v>21</v>
      </c>
      <c r="R11479" t="s" s="16">
        <f>HYPERLINK("http://secrets.rutgers.edu:8080/data/asl-ftp/asllvd/demos/verify_start_end_handshape_annotations//test_auto_move//signs_mov_separ_signers/Brady_8466.mov","MOV")</f>
        <v>21</v>
      </c>
    </row>
    <row r="11480" s="2" customFormat="1" ht="13.5" customHeight="1">
      <c r="B11480" s="13"/>
      <c r="C11480" t="s" s="9">
        <v>30</v>
      </c>
      <c r="D11480" t="s" s="8">
        <v>4300</v>
      </c>
      <c r="E11480" t="s" s="9">
        <v>4301</v>
      </c>
      <c r="F11480" t="s" s="10">
        <v>72</v>
      </c>
      <c r="G11480" t="s" s="11">
        <v>72</v>
      </c>
      <c r="H11480" t="s" s="10">
        <v>72</v>
      </c>
      <c r="I11480" t="s" s="11">
        <v>72</v>
      </c>
      <c r="J11480" t="s" s="11">
        <v>20</v>
      </c>
      <c r="K11480" s="15"/>
      <c r="L11480" t="s" s="16">
        <f>HYPERLINK("http://csr.bu.edu/ftp/asl/asllvd/demos/verify_start_end_handshape_annotations//test_auto_move//signs_mov_separ_signers/Brady_5726.mov","MOV")</f>
        <v>21</v>
      </c>
      <c r="M11480" t="s" s="10">
        <v>40</v>
      </c>
      <c r="N11480" s="17">
        <v>79</v>
      </c>
      <c r="O11480" s="18">
        <v>2935</v>
      </c>
      <c r="P11480" s="18">
        <v>2970</v>
      </c>
      <c r="Q11480" s="15"/>
      <c r="R11480" t="s" s="16">
        <f>HYPERLINK("http://secrets.rutgers.edu:8080/data/asl-ftp/asllvd/demos/verify_start_end_handshape_annotations//test_auto_move//signs_mov_separ_signers/Brady_5726.mov","MOV")</f>
        <v>21</v>
      </c>
    </row>
    <row r="11481" s="2" customFormat="1" ht="13.5" customHeight="1">
      <c r="B11481" t="s" s="8">
        <v>4302</v>
      </c>
      <c r="C11481" t="s" s="9">
        <v>14</v>
      </c>
      <c r="D11481" t="s" s="8">
        <v>14</v>
      </c>
      <c r="E11481" t="s" s="9">
        <v>14</v>
      </c>
      <c r="F11481" t="s" s="10">
        <v>14</v>
      </c>
      <c r="G11481" t="s" s="11">
        <v>14</v>
      </c>
      <c r="H11481" t="s" s="10">
        <v>14</v>
      </c>
      <c r="I11481" t="s" s="11">
        <v>14</v>
      </c>
      <c r="J11481" t="s" s="11">
        <v>14</v>
      </c>
      <c r="K11481" t="s" s="12">
        <v>14</v>
      </c>
      <c r="L11481" t="s" s="12">
        <v>14</v>
      </c>
      <c r="M11481" t="s" s="10">
        <v>14</v>
      </c>
      <c r="N11481" t="s" s="11">
        <v>14</v>
      </c>
      <c r="O11481" t="s" s="8">
        <v>14</v>
      </c>
      <c r="P11481" t="s" s="8">
        <v>14</v>
      </c>
      <c r="Q11481" t="s" s="12">
        <v>14</v>
      </c>
      <c r="R11481" t="s" s="12">
        <v>14</v>
      </c>
    </row>
    <row r="11482" s="2" customFormat="1" ht="13.5" customHeight="1">
      <c r="B11482" s="13"/>
      <c r="C11482" t="s" s="9">
        <v>16</v>
      </c>
      <c r="D11482" t="s" s="8">
        <v>4302</v>
      </c>
      <c r="E11482" t="s" s="9">
        <v>4302</v>
      </c>
      <c r="F11482" t="s" s="10">
        <v>72</v>
      </c>
      <c r="G11482" t="s" s="11">
        <v>72</v>
      </c>
      <c r="H11482" t="s" s="10">
        <v>72</v>
      </c>
      <c r="I11482" t="s" s="11">
        <v>72</v>
      </c>
      <c r="J11482" t="s" s="11">
        <v>20</v>
      </c>
      <c r="K11482" t="s" s="16">
        <f>HYPERLINK("http://csr.bu.edu/ftp/asl/asllvd/demos/verify_start_end_handshape_annotations//test_auto_move//signs_mov/5746.mov","MOV")</f>
        <v>21</v>
      </c>
      <c r="L11482" t="s" s="16">
        <f>HYPERLINK("http://csr.bu.edu/ftp/asl/asllvd/demos/verify_start_end_handshape_annotations//test_auto_move//signs_mov_separ_signers/Liz_5746.mov","MOV")</f>
        <v>21</v>
      </c>
      <c r="M11482" t="s" s="10">
        <v>36</v>
      </c>
      <c r="N11482" s="17">
        <v>28</v>
      </c>
      <c r="O11482" s="18">
        <v>990</v>
      </c>
      <c r="P11482" s="18">
        <v>1045</v>
      </c>
      <c r="Q11482" t="s" s="16">
        <f>HYPERLINK("http://secrets.rutgers.edu:8080/data/asl-ftp/asllvd/demos/verify_start_end_handshape_annotations//test_auto_move//signs_mov/5746.mov","MOV")</f>
        <v>21</v>
      </c>
      <c r="R11482" t="s" s="16">
        <f>HYPERLINK("http://secrets.rutgers.edu:8080/data/asl-ftp/asllvd/demos/verify_start_end_handshape_annotations//test_auto_move//signs_mov_separ_signers/Liz_5746.mov","MOV")</f>
        <v>21</v>
      </c>
    </row>
    <row r="11483" s="2" customFormat="1" ht="13.5" customHeight="1">
      <c r="B11483" s="13"/>
      <c r="C11483" t="s" s="9">
        <v>30</v>
      </c>
      <c r="D11483" t="s" s="8">
        <v>4302</v>
      </c>
      <c r="E11483" t="s" s="9">
        <v>4302</v>
      </c>
      <c r="F11483" t="s" s="10">
        <v>185</v>
      </c>
      <c r="G11483" t="s" s="11">
        <v>185</v>
      </c>
      <c r="H11483" t="s" s="10">
        <v>185</v>
      </c>
      <c r="I11483" t="s" s="11">
        <v>185</v>
      </c>
      <c r="J11483" t="s" s="11">
        <v>20</v>
      </c>
      <c r="K11483" s="15"/>
      <c r="L11483" t="s" s="16">
        <f>HYPERLINK("http://csr.bu.edu/ftp/asl/asllvd/demos/verify_start_end_handshape_annotations//test_auto_move//signs_mov_separ_signers/Brady_5746.mov","MOV")</f>
        <v>21</v>
      </c>
      <c r="M11483" t="s" s="10">
        <v>40</v>
      </c>
      <c r="N11483" s="17">
        <v>79</v>
      </c>
      <c r="O11483" s="18">
        <v>678</v>
      </c>
      <c r="P11483" s="18">
        <v>705</v>
      </c>
      <c r="Q11483" s="15"/>
      <c r="R11483" t="s" s="16">
        <f>HYPERLINK("http://secrets.rutgers.edu:8080/data/asl-ftp/asllvd/demos/verify_start_end_handshape_annotations//test_auto_move//signs_mov_separ_signers/Brady_5746.mov","MOV")</f>
        <v>21</v>
      </c>
    </row>
    <row r="11484" s="2" customFormat="1" ht="13.5" customHeight="1">
      <c r="B11484" t="s" s="8">
        <v>4303</v>
      </c>
      <c r="C11484" t="s" s="9">
        <v>14</v>
      </c>
      <c r="D11484" t="s" s="8">
        <v>14</v>
      </c>
      <c r="E11484" t="s" s="9">
        <v>14</v>
      </c>
      <c r="F11484" t="s" s="10">
        <v>14</v>
      </c>
      <c r="G11484" t="s" s="11">
        <v>14</v>
      </c>
      <c r="H11484" t="s" s="10">
        <v>14</v>
      </c>
      <c r="I11484" t="s" s="11">
        <v>14</v>
      </c>
      <c r="J11484" t="s" s="11">
        <v>14</v>
      </c>
      <c r="K11484" t="s" s="12">
        <v>14</v>
      </c>
      <c r="L11484" t="s" s="12">
        <v>14</v>
      </c>
      <c r="M11484" t="s" s="10">
        <v>14</v>
      </c>
      <c r="N11484" t="s" s="11">
        <v>14</v>
      </c>
      <c r="O11484" t="s" s="8">
        <v>14</v>
      </c>
      <c r="P11484" t="s" s="8">
        <v>14</v>
      </c>
      <c r="Q11484" t="s" s="12">
        <v>14</v>
      </c>
      <c r="R11484" t="s" s="12">
        <v>14</v>
      </c>
    </row>
    <row r="11485" s="2" customFormat="1" ht="13.5" customHeight="1">
      <c r="B11485" s="13"/>
      <c r="C11485" t="s" s="9">
        <v>16</v>
      </c>
      <c r="D11485" t="s" s="8">
        <v>4303</v>
      </c>
      <c r="E11485" t="s" s="9">
        <v>4304</v>
      </c>
      <c r="F11485" t="s" s="10">
        <v>282</v>
      </c>
      <c r="G11485" t="s" s="11">
        <v>282</v>
      </c>
      <c r="H11485" t="s" s="10">
        <v>282</v>
      </c>
      <c r="I11485" t="s" s="11">
        <v>282</v>
      </c>
      <c r="J11485" t="s" s="11">
        <v>20</v>
      </c>
      <c r="K11485" s="15"/>
      <c r="L11485" t="s" s="16">
        <f>HYPERLINK("http://csr.bu.edu/ftp/asl/asllvd/demos/verify_start_end_handshape_annotations//test_auto_move//signs_mov_separ_signers/Liz_8559.mov","MOV")</f>
        <v>21</v>
      </c>
      <c r="M11485" t="s" s="10">
        <v>36</v>
      </c>
      <c r="N11485" s="17">
        <v>48</v>
      </c>
      <c r="O11485" s="18">
        <v>2700</v>
      </c>
      <c r="P11485" s="18">
        <v>2760</v>
      </c>
      <c r="Q11485" s="15"/>
      <c r="R11485" t="s" s="16">
        <f>HYPERLINK("http://secrets.rutgers.edu:8080/data/asl-ftp/asllvd/demos/verify_start_end_handshape_annotations//test_auto_move//signs_mov_separ_signers/Liz_8559.mov","MOV")</f>
        <v>21</v>
      </c>
    </row>
    <row r="11486" s="2" customFormat="1" ht="13.5" customHeight="1">
      <c r="B11486" s="13"/>
      <c r="C11486" t="s" s="9">
        <v>16</v>
      </c>
      <c r="D11486" t="s" s="8">
        <v>4303</v>
      </c>
      <c r="E11486" t="s" s="9">
        <v>4303</v>
      </c>
      <c r="F11486" t="s" s="10">
        <v>282</v>
      </c>
      <c r="G11486" t="s" s="11">
        <v>282</v>
      </c>
      <c r="H11486" t="s" s="10">
        <v>282</v>
      </c>
      <c r="I11486" t="s" s="11">
        <v>282</v>
      </c>
      <c r="J11486" t="s" s="11">
        <v>20</v>
      </c>
      <c r="K11486" t="s" s="16">
        <f>HYPERLINK("http://csr.bu.edu/ftp/asl/asllvd/demos/verify_start_end_handshape_annotations//test_auto_move//signs_mov/5816_8559_merged.mov","MOV")</f>
        <v>21</v>
      </c>
      <c r="L11486" t="s" s="16">
        <f>HYPERLINK("http://csr.bu.edu/ftp/asl/asllvd/demos/verify_start_end_handshape_annotations//test_auto_move//signs_mov_separ_signers/Liz_5816.mov","MOV")</f>
        <v>21</v>
      </c>
      <c r="M11486" t="s" s="10">
        <v>59</v>
      </c>
      <c r="N11486" s="17">
        <v>29</v>
      </c>
      <c r="O11486" s="18">
        <v>2750</v>
      </c>
      <c r="P11486" s="18">
        <v>2797</v>
      </c>
      <c r="Q11486" t="s" s="16">
        <f>HYPERLINK("http://secrets.rutgers.edu:8080/data/asl-ftp/asllvd/demos/verify_start_end_handshape_annotations//test_auto_move//signs_mov/5816_8559_merged.mov","MOV")</f>
        <v>21</v>
      </c>
      <c r="R11486" t="s" s="16">
        <f>HYPERLINK("http://secrets.rutgers.edu:8080/data/asl-ftp/asllvd/demos/verify_start_end_handshape_annotations//test_auto_move//signs_mov_separ_signers/Liz_5816.mov","MOV")</f>
        <v>21</v>
      </c>
    </row>
    <row r="11487" s="2" customFormat="1" ht="13.5" customHeight="1">
      <c r="B11487" s="13"/>
      <c r="C11487" t="s" s="9">
        <v>30</v>
      </c>
      <c r="D11487" t="s" s="8">
        <v>4303</v>
      </c>
      <c r="E11487" t="s" s="9">
        <v>4303</v>
      </c>
      <c r="F11487" t="s" s="10">
        <v>282</v>
      </c>
      <c r="G11487" t="s" s="11">
        <v>282</v>
      </c>
      <c r="H11487" t="s" s="10">
        <v>282</v>
      </c>
      <c r="I11487" t="s" s="11">
        <v>282</v>
      </c>
      <c r="J11487" t="s" s="11">
        <v>20</v>
      </c>
      <c r="K11487" s="15"/>
      <c r="L11487" t="s" s="16">
        <f>HYPERLINK("http://csr.bu.edu/ftp/asl/asllvd/demos/verify_start_end_handshape_annotations//test_auto_move//signs_mov_separ_signers/Brady_8559.mov","MOV")</f>
        <v>21</v>
      </c>
      <c r="M11487" t="s" s="10">
        <v>40</v>
      </c>
      <c r="N11487" s="17">
        <v>100</v>
      </c>
      <c r="O11487" s="18">
        <v>1231</v>
      </c>
      <c r="P11487" s="18">
        <v>1263</v>
      </c>
      <c r="Q11487" s="15"/>
      <c r="R11487" t="s" s="16">
        <f>HYPERLINK("http://secrets.rutgers.edu:8080/data/asl-ftp/asllvd/demos/verify_start_end_handshape_annotations//test_auto_move//signs_mov_separ_signers/Brady_8559.mov","MOV")</f>
        <v>21</v>
      </c>
    </row>
    <row r="11488" s="2" customFormat="1" ht="13.5" customHeight="1">
      <c r="B11488" t="s" s="8">
        <v>52</v>
      </c>
      <c r="C11488" t="s" s="9">
        <v>53</v>
      </c>
      <c r="D11488" t="s" s="8">
        <v>53</v>
      </c>
      <c r="E11488" t="s" s="9">
        <v>53</v>
      </c>
      <c r="F11488" t="s" s="10">
        <v>53</v>
      </c>
      <c r="G11488" t="s" s="11">
        <v>53</v>
      </c>
      <c r="H11488" t="s" s="10">
        <v>53</v>
      </c>
      <c r="I11488" t="s" s="11">
        <v>53</v>
      </c>
      <c r="J11488" t="s" s="11">
        <v>53</v>
      </c>
      <c r="K11488" t="s" s="12">
        <v>53</v>
      </c>
      <c r="L11488" t="s" s="12">
        <v>53</v>
      </c>
      <c r="M11488" t="s" s="10">
        <v>53</v>
      </c>
      <c r="N11488" t="s" s="11">
        <v>53</v>
      </c>
      <c r="O11488" t="s" s="8">
        <v>53</v>
      </c>
      <c r="P11488" t="s" s="8">
        <v>53</v>
      </c>
      <c r="Q11488" t="s" s="12">
        <v>53</v>
      </c>
      <c r="R11488" t="s" s="12">
        <v>53</v>
      </c>
    </row>
    <row r="11489" s="2" customFormat="1" ht="13.5" customHeight="1">
      <c r="B11489" s="13"/>
      <c r="C11489" t="s" s="9">
        <v>30</v>
      </c>
      <c r="D11489" t="s" s="8">
        <v>4303</v>
      </c>
      <c r="E11489" t="s" s="9">
        <v>4305</v>
      </c>
      <c r="F11489" t="s" s="10">
        <v>337</v>
      </c>
      <c r="G11489" t="s" s="11">
        <v>337</v>
      </c>
      <c r="H11489" t="s" s="10">
        <v>337</v>
      </c>
      <c r="I11489" t="s" s="11">
        <v>337</v>
      </c>
      <c r="J11489" t="s" s="11">
        <v>20</v>
      </c>
      <c r="K11489" t="s" s="16">
        <f>HYPERLINK("http://csr.bu.edu/ftp/asl/asllvd/demos/verify_start_end_handshape_annotations//test_auto_move//signs_mov/5838_16491_merged.mov","MOV")</f>
        <v>21</v>
      </c>
      <c r="L11489" t="s" s="16">
        <f>HYPERLINK("http://csr.bu.edu/ftp/asl/asllvd/demos/verify_start_end_handshape_annotations//test_auto_move//signs_mov_separ_signers/Brady_5838.mov","MOV")</f>
        <v>21</v>
      </c>
      <c r="M11489" t="s" s="10">
        <v>60</v>
      </c>
      <c r="N11489" s="17">
        <v>18</v>
      </c>
      <c r="O11489" s="18">
        <v>865</v>
      </c>
      <c r="P11489" s="18">
        <v>900</v>
      </c>
      <c r="Q11489" t="s" s="16">
        <f>HYPERLINK("http://secrets.rutgers.edu:8080/data/asl-ftp/asllvd/demos/verify_start_end_handshape_annotations//test_auto_move//signs_mov/5838_16491_merged.mov","MOV")</f>
        <v>21</v>
      </c>
      <c r="R11489" t="s" s="16">
        <f>HYPERLINK("http://secrets.rutgers.edu:8080/data/asl-ftp/asllvd/demos/verify_start_end_handshape_annotations//test_auto_move//signs_mov_separ_signers/Brady_5838.mov","MOV")</f>
        <v>21</v>
      </c>
    </row>
    <row r="11490" s="2" customFormat="1" ht="13.5" customHeight="1">
      <c r="B11490" s="13"/>
      <c r="C11490" t="s" s="9">
        <v>30</v>
      </c>
      <c r="D11490" t="s" s="8">
        <v>4303</v>
      </c>
      <c r="E11490" t="s" s="9">
        <v>4305</v>
      </c>
      <c r="F11490" t="s" s="10">
        <v>19</v>
      </c>
      <c r="G11490" t="s" s="11">
        <v>19</v>
      </c>
      <c r="H11490" t="s" s="10">
        <v>19</v>
      </c>
      <c r="I11490" t="s" s="11">
        <v>19</v>
      </c>
      <c r="J11490" t="s" s="11">
        <v>20</v>
      </c>
      <c r="K11490" s="15"/>
      <c r="L11490" t="s" s="16">
        <f>HYPERLINK("http://csr.bu.edu/ftp/asl/asllvd/demos/verify_start_end_handshape_annotations//test_auto_move//signs_mov_separ_signers/Brady_16491.mov","MOV")</f>
        <v>21</v>
      </c>
      <c r="M11490" t="s" s="10">
        <v>60</v>
      </c>
      <c r="N11490" s="17">
        <v>54</v>
      </c>
      <c r="O11490" s="18">
        <v>1591</v>
      </c>
      <c r="P11490" s="18">
        <v>1626</v>
      </c>
      <c r="Q11490" s="15"/>
      <c r="R11490" t="s" s="16">
        <f>HYPERLINK("http://secrets.rutgers.edu:8080/data/asl-ftp/asllvd/demos/verify_start_end_handshape_annotations//test_auto_move//signs_mov_separ_signers/Brady_16491.mov","MOV")</f>
        <v>21</v>
      </c>
    </row>
    <row r="11491" s="2" customFormat="1" ht="13.5" customHeight="1">
      <c r="B11491" t="s" s="8">
        <v>4306</v>
      </c>
      <c r="C11491" t="s" s="9">
        <v>14</v>
      </c>
      <c r="D11491" t="s" s="8">
        <v>14</v>
      </c>
      <c r="E11491" t="s" s="9">
        <v>14</v>
      </c>
      <c r="F11491" t="s" s="10">
        <v>14</v>
      </c>
      <c r="G11491" t="s" s="11">
        <v>14</v>
      </c>
      <c r="H11491" t="s" s="10">
        <v>14</v>
      </c>
      <c r="I11491" t="s" s="11">
        <v>14</v>
      </c>
      <c r="J11491" t="s" s="11">
        <v>14</v>
      </c>
      <c r="K11491" t="s" s="12">
        <v>14</v>
      </c>
      <c r="L11491" t="s" s="12">
        <v>14</v>
      </c>
      <c r="M11491" t="s" s="10">
        <v>14</v>
      </c>
      <c r="N11491" t="s" s="11">
        <v>14</v>
      </c>
      <c r="O11491" t="s" s="8">
        <v>14</v>
      </c>
      <c r="P11491" t="s" s="8">
        <v>14</v>
      </c>
      <c r="Q11491" t="s" s="12">
        <v>14</v>
      </c>
      <c r="R11491" t="s" s="12">
        <v>14</v>
      </c>
    </row>
    <row r="11492" s="2" customFormat="1" ht="13.5" customHeight="1">
      <c r="B11492" s="13"/>
      <c r="C11492" t="s" s="9">
        <v>16</v>
      </c>
      <c r="D11492" t="s" s="8">
        <v>4306</v>
      </c>
      <c r="E11492" t="s" s="9">
        <v>4307</v>
      </c>
      <c r="F11492" t="s" s="10">
        <v>65</v>
      </c>
      <c r="G11492" s="14"/>
      <c r="H11492" t="s" s="10">
        <v>65</v>
      </c>
      <c r="I11492" s="14"/>
      <c r="J11492" t="s" s="11">
        <v>20</v>
      </c>
      <c r="K11492" s="15"/>
      <c r="L11492" t="s" s="16">
        <f>HYPERLINK("http://csr.bu.edu/ftp/asl/asllvd/demos/verify_start_end_handshape_annotations//test_auto_move//signs_mov_separ_signers/Liz_8602.mov","MOV")</f>
        <v>21</v>
      </c>
      <c r="M11492" t="s" s="10">
        <v>36</v>
      </c>
      <c r="N11492" s="17">
        <v>51</v>
      </c>
      <c r="O11492" s="18">
        <v>3115</v>
      </c>
      <c r="P11492" s="18">
        <v>3165</v>
      </c>
      <c r="Q11492" s="15"/>
      <c r="R11492" t="s" s="16">
        <f>HYPERLINK("http://secrets.rutgers.edu:8080/data/asl-ftp/asllvd/demos/verify_start_end_handshape_annotations//test_auto_move//signs_mov_separ_signers/Liz_8602.mov","MOV")</f>
        <v>21</v>
      </c>
    </row>
    <row r="11493" s="2" customFormat="1" ht="13.5" customHeight="1">
      <c r="B11493" s="13"/>
      <c r="C11493" t="s" s="9">
        <v>30</v>
      </c>
      <c r="D11493" t="s" s="8">
        <v>4306</v>
      </c>
      <c r="E11493" t="s" s="9">
        <v>4308</v>
      </c>
      <c r="F11493" t="s" s="10">
        <v>65</v>
      </c>
      <c r="G11493" s="14"/>
      <c r="H11493" t="s" s="10">
        <v>65</v>
      </c>
      <c r="I11493" s="14"/>
      <c r="J11493" t="s" s="11">
        <v>20</v>
      </c>
      <c r="K11493" t="s" s="16">
        <f>HYPERLINK("http://csr.bu.edu/ftp/asl/asllvd/demos/verify_start_end_handshape_annotations//test_auto_move//signs_mov/5837_8602_merged.mov","MOV")</f>
        <v>21</v>
      </c>
      <c r="L11493" t="s" s="16">
        <f>HYPERLINK("http://csr.bu.edu/ftp/asl/asllvd/demos/verify_start_end_handshape_annotations//test_auto_move//signs_mov_separ_signers/Brady_8602.mov","MOV")</f>
        <v>21</v>
      </c>
      <c r="M11493" t="s" s="10">
        <v>40</v>
      </c>
      <c r="N11493" s="17">
        <v>103</v>
      </c>
      <c r="O11493" s="18">
        <v>1847</v>
      </c>
      <c r="P11493" s="18">
        <v>1885</v>
      </c>
      <c r="Q11493" t="s" s="16">
        <f>HYPERLINK("http://secrets.rutgers.edu:8080/data/asl-ftp/asllvd/demos/verify_start_end_handshape_annotations//test_auto_move//signs_mov/5837_8602_merged.mov","MOV")</f>
        <v>21</v>
      </c>
      <c r="R11493" t="s" s="16">
        <f>HYPERLINK("http://secrets.rutgers.edu:8080/data/asl-ftp/asllvd/demos/verify_start_end_handshape_annotations//test_auto_move//signs_mov_separ_signers/Brady_8602.mov","MOV")</f>
        <v>21</v>
      </c>
    </row>
    <row r="11494" s="2" customFormat="1" ht="13.5" customHeight="1">
      <c r="B11494" s="13"/>
      <c r="C11494" t="s" s="9">
        <v>30</v>
      </c>
      <c r="D11494" t="s" s="8">
        <v>4306</v>
      </c>
      <c r="E11494" t="s" s="9">
        <v>4308</v>
      </c>
      <c r="F11494" t="s" s="10">
        <v>65</v>
      </c>
      <c r="G11494" s="14"/>
      <c r="H11494" t="s" s="10">
        <v>65</v>
      </c>
      <c r="I11494" s="14"/>
      <c r="J11494" t="s" s="11">
        <v>20</v>
      </c>
      <c r="K11494" s="15"/>
      <c r="L11494" t="s" s="16">
        <f>HYPERLINK("http://csr.bu.edu/ftp/asl/asllvd/demos/verify_start_end_handshape_annotations//test_auto_move//signs_mov_separ_signers/Brady_5837.mov","MOV")</f>
        <v>21</v>
      </c>
      <c r="M11494" t="s" s="10">
        <v>60</v>
      </c>
      <c r="N11494" s="17">
        <v>54</v>
      </c>
      <c r="O11494" s="18">
        <v>2377</v>
      </c>
      <c r="P11494" s="18">
        <v>2422</v>
      </c>
      <c r="Q11494" s="15"/>
      <c r="R11494" t="s" s="16">
        <f>HYPERLINK("http://secrets.rutgers.edu:8080/data/asl-ftp/asllvd/demos/verify_start_end_handshape_annotations//test_auto_move//signs_mov_separ_signers/Brady_5837.mov","MOV")</f>
        <v>21</v>
      </c>
    </row>
    <row r="11495" s="2" customFormat="1" ht="13.5" customHeight="1">
      <c r="B11495" t="s" s="8">
        <v>4309</v>
      </c>
      <c r="C11495" t="s" s="9">
        <v>14</v>
      </c>
      <c r="D11495" t="s" s="8">
        <v>14</v>
      </c>
      <c r="E11495" t="s" s="9">
        <v>14</v>
      </c>
      <c r="F11495" t="s" s="10">
        <v>14</v>
      </c>
      <c r="G11495" t="s" s="11">
        <v>14</v>
      </c>
      <c r="H11495" t="s" s="10">
        <v>14</v>
      </c>
      <c r="I11495" t="s" s="11">
        <v>14</v>
      </c>
      <c r="J11495" t="s" s="11">
        <v>14</v>
      </c>
      <c r="K11495" t="s" s="12">
        <v>14</v>
      </c>
      <c r="L11495" t="s" s="12">
        <v>14</v>
      </c>
      <c r="M11495" t="s" s="10">
        <v>14</v>
      </c>
      <c r="N11495" t="s" s="11">
        <v>14</v>
      </c>
      <c r="O11495" t="s" s="8">
        <v>14</v>
      </c>
      <c r="P11495" t="s" s="8">
        <v>14</v>
      </c>
      <c r="Q11495" t="s" s="12">
        <v>14</v>
      </c>
      <c r="R11495" t="s" s="12">
        <v>14</v>
      </c>
    </row>
    <row r="11496" s="2" customFormat="1" ht="13.5" customHeight="1">
      <c r="B11496" s="13"/>
      <c r="C11496" t="s" s="9">
        <v>16</v>
      </c>
      <c r="D11496" t="s" s="8">
        <v>4309</v>
      </c>
      <c r="E11496" t="s" s="9">
        <v>4309</v>
      </c>
      <c r="F11496" s="19">
        <v>1</v>
      </c>
      <c r="G11496" s="17">
        <v>1</v>
      </c>
      <c r="H11496" s="19">
        <v>1</v>
      </c>
      <c r="I11496" s="17">
        <v>1</v>
      </c>
      <c r="J11496" t="s" s="11">
        <v>20</v>
      </c>
      <c r="K11496" s="15"/>
      <c r="L11496" t="s" s="16">
        <f>HYPERLINK("http://csr.bu.edu/ftp/asl/asllvd/demos/verify_start_end_handshape_annotations//test_auto_move//signs_mov_separ_signers/Liz_8608.mov","MOV")</f>
        <v>21</v>
      </c>
      <c r="M11496" t="s" s="10">
        <v>36</v>
      </c>
      <c r="N11496" s="17">
        <v>51</v>
      </c>
      <c r="O11496" s="18">
        <v>2705</v>
      </c>
      <c r="P11496" s="18">
        <v>2750</v>
      </c>
      <c r="Q11496" s="15"/>
      <c r="R11496" t="s" s="16">
        <f>HYPERLINK("http://secrets.rutgers.edu:8080/data/asl-ftp/asllvd/demos/verify_start_end_handshape_annotations//test_auto_move//signs_mov_separ_signers/Liz_8608.mov","MOV")</f>
        <v>21</v>
      </c>
    </row>
    <row r="11497" s="2" customFormat="1" ht="13.5" customHeight="1">
      <c r="B11497" s="13"/>
      <c r="C11497" t="s" s="9">
        <v>30</v>
      </c>
      <c r="D11497" t="s" s="8">
        <v>4309</v>
      </c>
      <c r="E11497" t="s" s="9">
        <v>4309</v>
      </c>
      <c r="F11497" s="19">
        <v>1</v>
      </c>
      <c r="G11497" s="17">
        <v>1</v>
      </c>
      <c r="H11497" s="19">
        <v>1</v>
      </c>
      <c r="I11497" s="17">
        <v>1</v>
      </c>
      <c r="J11497" t="s" s="11">
        <v>20</v>
      </c>
      <c r="K11497" t="s" s="16">
        <f>HYPERLINK("http://csr.bu.edu/ftp/asl/asllvd/demos/verify_start_end_handshape_annotations//test_auto_move//signs_mov/5840_8608_merged.mov","MOV")</f>
        <v>21</v>
      </c>
      <c r="L11497" t="s" s="16">
        <f>HYPERLINK("http://csr.bu.edu/ftp/asl/asllvd/demos/verify_start_end_handshape_annotations//test_auto_move//signs_mov_separ_signers/Brady_8608.mov","MOV")</f>
        <v>21</v>
      </c>
      <c r="M11497" t="s" s="10">
        <v>40</v>
      </c>
      <c r="N11497" s="17">
        <v>103</v>
      </c>
      <c r="O11497" s="18">
        <v>1537</v>
      </c>
      <c r="P11497" s="18">
        <v>1566</v>
      </c>
      <c r="Q11497" t="s" s="16">
        <f>HYPERLINK("http://secrets.rutgers.edu:8080/data/asl-ftp/asllvd/demos/verify_start_end_handshape_annotations//test_auto_move//signs_mov/5840_8608_merged.mov","MOV")</f>
        <v>21</v>
      </c>
      <c r="R11497" t="s" s="16">
        <f>HYPERLINK("http://secrets.rutgers.edu:8080/data/asl-ftp/asllvd/demos/verify_start_end_handshape_annotations//test_auto_move//signs_mov_separ_signers/Brady_8608.mov","MOV")</f>
        <v>21</v>
      </c>
    </row>
    <row r="11498" s="2" customFormat="1" ht="13.5" customHeight="1">
      <c r="B11498" s="13"/>
      <c r="C11498" t="s" s="9">
        <v>30</v>
      </c>
      <c r="D11498" t="s" s="8">
        <v>4309</v>
      </c>
      <c r="E11498" t="s" s="9">
        <v>4309</v>
      </c>
      <c r="F11498" s="19">
        <v>1</v>
      </c>
      <c r="G11498" s="17">
        <v>1</v>
      </c>
      <c r="H11498" s="19">
        <v>1</v>
      </c>
      <c r="I11498" s="17">
        <v>1</v>
      </c>
      <c r="J11498" t="s" s="11">
        <v>20</v>
      </c>
      <c r="K11498" s="15"/>
      <c r="L11498" t="s" s="16">
        <f>HYPERLINK("http://csr.bu.edu/ftp/asl/asllvd/demos/verify_start_end_handshape_annotations//test_auto_move//signs_mov_separ_signers/Brady_5840.mov","MOV")</f>
        <v>21</v>
      </c>
      <c r="M11498" t="s" s="10">
        <v>60</v>
      </c>
      <c r="N11498" s="17">
        <v>54</v>
      </c>
      <c r="O11498" s="18">
        <v>2112</v>
      </c>
      <c r="P11498" s="18">
        <v>2145</v>
      </c>
      <c r="Q11498" s="15"/>
      <c r="R11498" t="s" s="16">
        <f>HYPERLINK("http://secrets.rutgers.edu:8080/data/asl-ftp/asllvd/demos/verify_start_end_handshape_annotations//test_auto_move//signs_mov_separ_signers/Brady_5840.mov","MOV")</f>
        <v>21</v>
      </c>
    </row>
    <row r="11499" s="2" customFormat="1" ht="13.5" customHeight="1">
      <c r="B11499" t="s" s="8">
        <v>4310</v>
      </c>
      <c r="C11499" t="s" s="9">
        <v>14</v>
      </c>
      <c r="D11499" t="s" s="8">
        <v>14</v>
      </c>
      <c r="E11499" t="s" s="9">
        <v>14</v>
      </c>
      <c r="F11499" t="s" s="10">
        <v>14</v>
      </c>
      <c r="G11499" t="s" s="11">
        <v>14</v>
      </c>
      <c r="H11499" t="s" s="10">
        <v>14</v>
      </c>
      <c r="I11499" t="s" s="11">
        <v>14</v>
      </c>
      <c r="J11499" t="s" s="11">
        <v>14</v>
      </c>
      <c r="K11499" t="s" s="12">
        <v>14</v>
      </c>
      <c r="L11499" t="s" s="12">
        <v>14</v>
      </c>
      <c r="M11499" t="s" s="10">
        <v>14</v>
      </c>
      <c r="N11499" t="s" s="11">
        <v>14</v>
      </c>
      <c r="O11499" t="s" s="8">
        <v>14</v>
      </c>
      <c r="P11499" t="s" s="8">
        <v>14</v>
      </c>
      <c r="Q11499" t="s" s="12">
        <v>14</v>
      </c>
      <c r="R11499" t="s" s="12">
        <v>14</v>
      </c>
    </row>
    <row r="11500" s="2" customFormat="1" ht="13.5" customHeight="1">
      <c r="B11500" s="13"/>
      <c r="C11500" t="s" s="9">
        <v>16</v>
      </c>
      <c r="D11500" t="s" s="8">
        <v>4310</v>
      </c>
      <c r="E11500" t="s" s="9">
        <v>4310</v>
      </c>
      <c r="F11500" s="19">
        <v>1</v>
      </c>
      <c r="G11500" s="17">
        <v>1</v>
      </c>
      <c r="H11500" s="19">
        <v>1</v>
      </c>
      <c r="I11500" s="17">
        <v>1</v>
      </c>
      <c r="J11500" t="s" s="11">
        <v>20</v>
      </c>
      <c r="K11500" s="15"/>
      <c r="L11500" t="s" s="16">
        <f>HYPERLINK("http://csr.bu.edu/ftp/asl/asllvd/demos/verify_start_end_handshape_annotations//test_auto_move//signs_mov_separ_signers/Liz_15361.mov","MOV")</f>
        <v>21</v>
      </c>
      <c r="M11500" t="s" s="10">
        <v>84</v>
      </c>
      <c r="N11500" s="17">
        <v>41</v>
      </c>
      <c r="O11500" s="18">
        <v>1401</v>
      </c>
      <c r="P11500" s="18">
        <v>1425</v>
      </c>
      <c r="Q11500" s="15"/>
      <c r="R11500" t="s" s="16">
        <f>HYPERLINK("http://secrets.rutgers.edu:8080/data/asl-ftp/asllvd/demos/verify_start_end_handshape_annotations//test_auto_move//signs_mov_separ_signers/Liz_15361.mov","MOV")</f>
        <v>21</v>
      </c>
    </row>
    <row r="11501" s="2" customFormat="1" ht="13.5" customHeight="1">
      <c r="B11501" s="13"/>
      <c r="C11501" t="s" s="9">
        <v>16</v>
      </c>
      <c r="D11501" t="s" s="8">
        <v>4310</v>
      </c>
      <c r="E11501" t="s" s="9">
        <v>4310</v>
      </c>
      <c r="F11501" s="19">
        <v>1</v>
      </c>
      <c r="G11501" s="17">
        <v>1</v>
      </c>
      <c r="H11501" s="19">
        <v>1</v>
      </c>
      <c r="I11501" s="17">
        <v>1</v>
      </c>
      <c r="J11501" t="s" s="11">
        <v>20</v>
      </c>
      <c r="K11501" s="15"/>
      <c r="L11501" t="s" s="16">
        <f>HYPERLINK("http://csr.bu.edu/ftp/asl/asllvd/demos/verify_start_end_handshape_annotations//test_auto_move//signs_mov_separ_signers/Liz_15362.mov","MOV")</f>
        <v>21</v>
      </c>
      <c r="M11501" t="s" s="10">
        <v>77</v>
      </c>
      <c r="N11501" s="17">
        <v>24</v>
      </c>
      <c r="O11501" s="18">
        <v>128</v>
      </c>
      <c r="P11501" s="18">
        <v>188</v>
      </c>
      <c r="Q11501" s="15"/>
      <c r="R11501" t="s" s="16">
        <f>HYPERLINK("http://secrets.rutgers.edu:8080/data/asl-ftp/asllvd/demos/verify_start_end_handshape_annotations//test_auto_move//signs_mov_separ_signers/Liz_15362.mov","MOV")</f>
        <v>21</v>
      </c>
    </row>
    <row r="11502" s="2" customFormat="1" ht="13.5" customHeight="1">
      <c r="B11502" s="13"/>
      <c r="C11502" t="s" s="9">
        <v>23</v>
      </c>
      <c r="D11502" t="s" s="8">
        <v>4310</v>
      </c>
      <c r="E11502" t="s" s="9">
        <v>4310</v>
      </c>
      <c r="F11502" s="19">
        <v>1</v>
      </c>
      <c r="G11502" s="17">
        <v>1</v>
      </c>
      <c r="H11502" s="19">
        <v>1</v>
      </c>
      <c r="I11502" s="17">
        <v>1</v>
      </c>
      <c r="J11502" t="s" s="11">
        <v>20</v>
      </c>
      <c r="K11502" t="s" s="16">
        <f>HYPERLINK("http://csr.bu.edu/ftp/asl/asllvd/demos/verify_start_end_handshape_annotations//test_auto_move//signs_mov/15361_15362_merged.mov","MOV")</f>
        <v>21</v>
      </c>
      <c r="L11502" t="s" s="16">
        <f>HYPERLINK("http://csr.bu.edu/ftp/asl/asllvd/demos/verify_start_end_handshape_annotations//test_auto_move//signs_mov_separ_signers/Tyler_15361.mov","MOV")</f>
        <v>21</v>
      </c>
      <c r="M11502" t="s" s="10">
        <v>92</v>
      </c>
      <c r="N11502" s="17">
        <v>21</v>
      </c>
      <c r="O11502" s="18">
        <v>1081</v>
      </c>
      <c r="P11502" s="18">
        <v>1105</v>
      </c>
      <c r="Q11502" t="s" s="16">
        <f>HYPERLINK("http://secrets.rutgers.edu:8080/data/asl-ftp/asllvd/demos/verify_start_end_handshape_annotations//test_auto_move//signs_mov/15361_15362_merged.mov","MOV")</f>
        <v>21</v>
      </c>
      <c r="R11502" t="s" s="16">
        <f>HYPERLINK("http://secrets.rutgers.edu:8080/data/asl-ftp/asllvd/demos/verify_start_end_handshape_annotations//test_auto_move//signs_mov_separ_signers/Tyler_15361.mov","MOV")</f>
        <v>21</v>
      </c>
    </row>
    <row r="11503" s="2" customFormat="1" ht="13.5" customHeight="1">
      <c r="B11503" s="13"/>
      <c r="C11503" t="s" s="9">
        <v>27</v>
      </c>
      <c r="D11503" t="s" s="8">
        <v>4310</v>
      </c>
      <c r="E11503" t="s" s="9">
        <v>4310</v>
      </c>
      <c r="F11503" s="19">
        <v>1</v>
      </c>
      <c r="G11503" s="17">
        <v>1</v>
      </c>
      <c r="H11503" s="19">
        <v>1</v>
      </c>
      <c r="I11503" s="17">
        <v>1</v>
      </c>
      <c r="J11503" t="s" s="11">
        <v>20</v>
      </c>
      <c r="K11503" s="15"/>
      <c r="L11503" t="s" s="16">
        <f>HYPERLINK("http://csr.bu.edu/ftp/asl/asllvd/demos/verify_start_end_handshape_annotations//test_auto_move//signs_mov_separ_signers/Naomi_15361.mov","MOV")</f>
        <v>21</v>
      </c>
      <c r="M11503" t="s" s="10">
        <v>86</v>
      </c>
      <c r="N11503" s="17">
        <v>41</v>
      </c>
      <c r="O11503" s="18">
        <v>985</v>
      </c>
      <c r="P11503" s="18">
        <v>1005</v>
      </c>
      <c r="Q11503" s="15"/>
      <c r="R11503" t="s" s="16">
        <f>HYPERLINK("http://secrets.rutgers.edu:8080/data/asl-ftp/asllvd/demos/verify_start_end_handshape_annotations//test_auto_move//signs_mov_separ_signers/Naomi_15361.mov","MOV")</f>
        <v>21</v>
      </c>
    </row>
    <row r="11504" s="2" customFormat="1" ht="13.5" customHeight="1">
      <c r="B11504" s="13"/>
      <c r="C11504" t="s" s="9">
        <v>30</v>
      </c>
      <c r="D11504" t="s" s="8">
        <v>4310</v>
      </c>
      <c r="E11504" t="s" s="9">
        <v>4310</v>
      </c>
      <c r="F11504" s="19">
        <v>1</v>
      </c>
      <c r="G11504" s="17">
        <v>1</v>
      </c>
      <c r="H11504" s="19">
        <v>1</v>
      </c>
      <c r="I11504" s="17">
        <v>1</v>
      </c>
      <c r="J11504" t="s" s="11">
        <v>20</v>
      </c>
      <c r="K11504" s="15"/>
      <c r="L11504" t="s" s="16">
        <f>HYPERLINK("http://csr.bu.edu/ftp/asl/asllvd/demos/verify_start_end_handshape_annotations//test_auto_move//signs_mov_separ_signers/Brady_15361.mov","MOV")</f>
        <v>21</v>
      </c>
      <c r="M11504" t="s" s="10">
        <v>31</v>
      </c>
      <c r="N11504" s="17">
        <v>13</v>
      </c>
      <c r="O11504" s="18">
        <v>10795</v>
      </c>
      <c r="P11504" s="18">
        <v>10818</v>
      </c>
      <c r="Q11504" s="15"/>
      <c r="R11504" t="s" s="16">
        <f>HYPERLINK("http://secrets.rutgers.edu:8080/data/asl-ftp/asllvd/demos/verify_start_end_handshape_annotations//test_auto_move//signs_mov_separ_signers/Brady_15361.mov","MOV")</f>
        <v>21</v>
      </c>
    </row>
    <row r="11505" s="2" customFormat="1" ht="13.5" customHeight="1">
      <c r="B11505" s="13"/>
      <c r="C11505" t="s" s="9">
        <v>30</v>
      </c>
      <c r="D11505" t="s" s="8">
        <v>4310</v>
      </c>
      <c r="E11505" t="s" s="9">
        <v>4310</v>
      </c>
      <c r="F11505" s="19">
        <v>1</v>
      </c>
      <c r="G11505" s="17">
        <v>1</v>
      </c>
      <c r="H11505" s="19">
        <v>1</v>
      </c>
      <c r="I11505" s="17">
        <v>1</v>
      </c>
      <c r="J11505" t="s" s="11">
        <v>20</v>
      </c>
      <c r="K11505" s="15"/>
      <c r="L11505" t="s" s="16">
        <f>HYPERLINK("http://csr.bu.edu/ftp/asl/asllvd/demos/verify_start_end_handshape_annotations//test_auto_move//signs_mov_separ_signers/Brady_15362.mov","MOV")</f>
        <v>21</v>
      </c>
      <c r="M11505" t="s" s="10">
        <v>39</v>
      </c>
      <c r="N11505" s="17">
        <v>18</v>
      </c>
      <c r="O11505" s="18">
        <v>1944</v>
      </c>
      <c r="P11505" s="18">
        <v>1959</v>
      </c>
      <c r="Q11505" s="15"/>
      <c r="R11505" t="s" s="16">
        <f>HYPERLINK("http://secrets.rutgers.edu:8080/data/asl-ftp/asllvd/demos/verify_start_end_handshape_annotations//test_auto_move//signs_mov_separ_signers/Brady_15362.mov","MOV")</f>
        <v>21</v>
      </c>
    </row>
    <row r="11506" s="2" customFormat="1" ht="13.5" customHeight="1">
      <c r="B11506" t="s" s="8">
        <v>52</v>
      </c>
      <c r="C11506" t="s" s="9">
        <v>53</v>
      </c>
      <c r="D11506" t="s" s="8">
        <v>53</v>
      </c>
      <c r="E11506" t="s" s="9">
        <v>53</v>
      </c>
      <c r="F11506" t="s" s="10">
        <v>53</v>
      </c>
      <c r="G11506" t="s" s="11">
        <v>53</v>
      </c>
      <c r="H11506" t="s" s="10">
        <v>53</v>
      </c>
      <c r="I11506" t="s" s="11">
        <v>53</v>
      </c>
      <c r="J11506" t="s" s="11">
        <v>53</v>
      </c>
      <c r="K11506" t="s" s="12">
        <v>53</v>
      </c>
      <c r="L11506" t="s" s="12">
        <v>53</v>
      </c>
      <c r="M11506" t="s" s="10">
        <v>53</v>
      </c>
      <c r="N11506" t="s" s="11">
        <v>53</v>
      </c>
      <c r="O11506" t="s" s="8">
        <v>53</v>
      </c>
      <c r="P11506" t="s" s="8">
        <v>53</v>
      </c>
      <c r="Q11506" t="s" s="12">
        <v>53</v>
      </c>
      <c r="R11506" t="s" s="12">
        <v>53</v>
      </c>
    </row>
    <row r="11507" s="2" customFormat="1" ht="13.5" customHeight="1">
      <c r="B11507" s="13"/>
      <c r="C11507" t="s" s="9">
        <v>41</v>
      </c>
      <c r="D11507" t="s" s="8">
        <v>4310</v>
      </c>
      <c r="E11507" t="s" s="9">
        <v>4311</v>
      </c>
      <c r="F11507" s="19">
        <v>1</v>
      </c>
      <c r="G11507" s="17">
        <v>1</v>
      </c>
      <c r="H11507" s="19">
        <v>1</v>
      </c>
      <c r="I11507" s="17">
        <v>1</v>
      </c>
      <c r="J11507" t="s" s="11">
        <v>20</v>
      </c>
      <c r="K11507" t="s" s="16">
        <f>HYPERLINK("http://csr.bu.edu/ftp/asl/asllvd/demos/verify_start_end_handshape_annotations//test_auto_move//signs_mov/15392.mov","MOV")</f>
        <v>21</v>
      </c>
      <c r="L11507" t="s" s="16">
        <f>HYPERLINK("http://csr.bu.edu/ftp/asl/asllvd/demos/verify_start_end_handshape_annotations//test_auto_move//signs_mov_separ_signers/Lana_15392.mov","MOV")</f>
        <v>21</v>
      </c>
      <c r="M11507" t="s" s="10">
        <v>42</v>
      </c>
      <c r="N11507" s="17">
        <v>9</v>
      </c>
      <c r="O11507" s="18">
        <v>2287</v>
      </c>
      <c r="P11507" s="18">
        <v>2301</v>
      </c>
      <c r="Q11507" t="s" s="16">
        <f>HYPERLINK("http://secrets.rutgers.edu:8080/data/asl-ftp/asllvd/demos/verify_start_end_handshape_annotations//test_auto_move//signs_mov/15392.mov","MOV")</f>
        <v>21</v>
      </c>
      <c r="R11507" t="s" s="16">
        <f>HYPERLINK("http://secrets.rutgers.edu:8080/data/asl-ftp/asllvd/demos/verify_start_end_handshape_annotations//test_auto_move//signs_mov_separ_signers/Lana_15392.mov","MOV")</f>
        <v>21</v>
      </c>
    </row>
    <row r="11508" s="2" customFormat="1" ht="13.5" customHeight="1">
      <c r="B11508" t="s" s="8">
        <v>4312</v>
      </c>
      <c r="C11508" t="s" s="9">
        <v>14</v>
      </c>
      <c r="D11508" t="s" s="8">
        <v>14</v>
      </c>
      <c r="E11508" t="s" s="9">
        <v>14</v>
      </c>
      <c r="F11508" t="s" s="10">
        <v>14</v>
      </c>
      <c r="G11508" t="s" s="11">
        <v>14</v>
      </c>
      <c r="H11508" t="s" s="10">
        <v>14</v>
      </c>
      <c r="I11508" t="s" s="11">
        <v>14</v>
      </c>
      <c r="J11508" t="s" s="11">
        <v>14</v>
      </c>
      <c r="K11508" t="s" s="12">
        <v>14</v>
      </c>
      <c r="L11508" t="s" s="12">
        <v>14</v>
      </c>
      <c r="M11508" t="s" s="10">
        <v>14</v>
      </c>
      <c r="N11508" t="s" s="11">
        <v>14</v>
      </c>
      <c r="O11508" t="s" s="8">
        <v>14</v>
      </c>
      <c r="P11508" t="s" s="8">
        <v>14</v>
      </c>
      <c r="Q11508" t="s" s="12">
        <v>14</v>
      </c>
      <c r="R11508" t="s" s="12">
        <v>14</v>
      </c>
    </row>
    <row r="11509" s="2" customFormat="1" ht="13.5" customHeight="1">
      <c r="B11509" s="13"/>
      <c r="C11509" t="s" s="9">
        <v>16</v>
      </c>
      <c r="D11509" t="s" s="8">
        <v>4312</v>
      </c>
      <c r="E11509" t="s" s="9">
        <v>4312</v>
      </c>
      <c r="F11509" s="19">
        <v>1</v>
      </c>
      <c r="G11509" s="17">
        <v>1</v>
      </c>
      <c r="H11509" s="19">
        <v>1</v>
      </c>
      <c r="I11509" s="17">
        <v>1</v>
      </c>
      <c r="J11509" t="s" s="11">
        <v>20</v>
      </c>
      <c r="K11509" s="15"/>
      <c r="L11509" t="s" s="16">
        <f>HYPERLINK("http://csr.bu.edu/ftp/asl/asllvd/demos/verify_start_end_handshape_annotations//test_auto_move//signs_mov_separ_signers/Liz_15804.mov","MOV")</f>
        <v>21</v>
      </c>
      <c r="M11509" t="s" s="10">
        <v>84</v>
      </c>
      <c r="N11509" s="17">
        <v>38</v>
      </c>
      <c r="O11509" s="18">
        <v>1095</v>
      </c>
      <c r="P11509" s="18">
        <v>1135</v>
      </c>
      <c r="Q11509" s="15"/>
      <c r="R11509" t="s" s="16">
        <f>HYPERLINK("http://secrets.rutgers.edu:8080/data/asl-ftp/asllvd/demos/verify_start_end_handshape_annotations//test_auto_move//signs_mov_separ_signers/Liz_15804.mov","MOV")</f>
        <v>21</v>
      </c>
    </row>
    <row r="11510" s="2" customFormat="1" ht="13.5" customHeight="1">
      <c r="B11510" s="13"/>
      <c r="C11510" t="s" s="9">
        <v>23</v>
      </c>
      <c r="D11510" t="s" s="8">
        <v>4312</v>
      </c>
      <c r="E11510" t="s" s="9">
        <v>4312</v>
      </c>
      <c r="F11510" s="19">
        <v>1</v>
      </c>
      <c r="G11510" s="17">
        <v>1</v>
      </c>
      <c r="H11510" s="19">
        <v>1</v>
      </c>
      <c r="I11510" s="17">
        <v>1</v>
      </c>
      <c r="J11510" t="s" s="11">
        <v>20</v>
      </c>
      <c r="K11510" t="s" s="16">
        <f>HYPERLINK("http://csr.bu.edu/ftp/asl/asllvd/demos/verify_start_end_handshape_annotations//test_auto_move//signs_mov/15804.mov","MOV")</f>
        <v>21</v>
      </c>
      <c r="L11510" t="s" s="16">
        <f>HYPERLINK("http://csr.bu.edu/ftp/asl/asllvd/demos/verify_start_end_handshape_annotations//test_auto_move//signs_mov_separ_signers/Tyler_15804.mov","MOV")</f>
        <v>21</v>
      </c>
      <c r="M11510" t="s" s="10">
        <v>92</v>
      </c>
      <c r="N11510" s="17">
        <v>18</v>
      </c>
      <c r="O11510" s="18">
        <v>2102</v>
      </c>
      <c r="P11510" s="18">
        <v>2142</v>
      </c>
      <c r="Q11510" t="s" s="16">
        <f>HYPERLINK("http://secrets.rutgers.edu:8080/data/asl-ftp/asllvd/demos/verify_start_end_handshape_annotations//test_auto_move//signs_mov/15804.mov","MOV")</f>
        <v>21</v>
      </c>
      <c r="R11510" t="s" s="16">
        <f>HYPERLINK("http://secrets.rutgers.edu:8080/data/asl-ftp/asllvd/demos/verify_start_end_handshape_annotations//test_auto_move//signs_mov_separ_signers/Tyler_15804.mov","MOV")</f>
        <v>21</v>
      </c>
    </row>
    <row r="11511" s="2" customFormat="1" ht="13.5" customHeight="1">
      <c r="B11511" s="13"/>
      <c r="C11511" t="s" s="9">
        <v>27</v>
      </c>
      <c r="D11511" t="s" s="8">
        <v>4312</v>
      </c>
      <c r="E11511" t="s" s="9">
        <v>4312</v>
      </c>
      <c r="F11511" s="19">
        <v>1</v>
      </c>
      <c r="G11511" s="17">
        <v>1</v>
      </c>
      <c r="H11511" s="19">
        <v>1</v>
      </c>
      <c r="I11511" s="17">
        <v>1</v>
      </c>
      <c r="J11511" t="s" s="11">
        <v>20</v>
      </c>
      <c r="K11511" s="15"/>
      <c r="L11511" t="s" s="16">
        <f>HYPERLINK("http://csr.bu.edu/ftp/asl/asllvd/demos/verify_start_end_handshape_annotations//test_auto_move//signs_mov_separ_signers/Naomi_15804.mov","MOV")</f>
        <v>21</v>
      </c>
      <c r="M11511" t="s" s="10">
        <v>86</v>
      </c>
      <c r="N11511" s="17">
        <v>38</v>
      </c>
      <c r="O11511" s="18">
        <v>775</v>
      </c>
      <c r="P11511" s="18">
        <v>805</v>
      </c>
      <c r="Q11511" s="15"/>
      <c r="R11511" t="s" s="16">
        <f>HYPERLINK("http://secrets.rutgers.edu:8080/data/asl-ftp/asllvd/demos/verify_start_end_handshape_annotations//test_auto_move//signs_mov_separ_signers/Naomi_15804.mov","MOV")</f>
        <v>21</v>
      </c>
    </row>
    <row r="11512" s="2" customFormat="1" ht="13.5" customHeight="1">
      <c r="B11512" s="13"/>
      <c r="C11512" t="s" s="9">
        <v>30</v>
      </c>
      <c r="D11512" t="s" s="8">
        <v>4312</v>
      </c>
      <c r="E11512" t="s" s="9">
        <v>4312</v>
      </c>
      <c r="F11512" s="19">
        <v>1</v>
      </c>
      <c r="G11512" s="17">
        <v>1</v>
      </c>
      <c r="H11512" s="19">
        <v>1</v>
      </c>
      <c r="I11512" s="17">
        <v>1</v>
      </c>
      <c r="J11512" t="s" s="11">
        <v>20</v>
      </c>
      <c r="K11512" s="15"/>
      <c r="L11512" t="s" s="16">
        <f>HYPERLINK("http://csr.bu.edu/ftp/asl/asllvd/demos/verify_start_end_handshape_annotations//test_auto_move//signs_mov_separ_signers/Brady_15804.mov","MOV")</f>
        <v>21</v>
      </c>
      <c r="M11512" t="s" s="10">
        <v>39</v>
      </c>
      <c r="N11512" s="17">
        <v>16</v>
      </c>
      <c r="O11512" s="18">
        <v>688</v>
      </c>
      <c r="P11512" s="18">
        <v>721</v>
      </c>
      <c r="Q11512" s="15"/>
      <c r="R11512" t="s" s="16">
        <f>HYPERLINK("http://secrets.rutgers.edu:8080/data/asl-ftp/asllvd/demos/verify_start_end_handshape_annotations//test_auto_move//signs_mov_separ_signers/Brady_15804.mov","MOV")</f>
        <v>21</v>
      </c>
    </row>
    <row r="11513" s="2" customFormat="1" ht="13.5" customHeight="1">
      <c r="B11513" t="s" s="8">
        <v>4313</v>
      </c>
      <c r="C11513" t="s" s="9">
        <v>14</v>
      </c>
      <c r="D11513" t="s" s="8">
        <v>14</v>
      </c>
      <c r="E11513" t="s" s="9">
        <v>14</v>
      </c>
      <c r="F11513" t="s" s="10">
        <v>14</v>
      </c>
      <c r="G11513" t="s" s="11">
        <v>14</v>
      </c>
      <c r="H11513" t="s" s="10">
        <v>14</v>
      </c>
      <c r="I11513" t="s" s="11">
        <v>14</v>
      </c>
      <c r="J11513" t="s" s="11">
        <v>14</v>
      </c>
      <c r="K11513" t="s" s="12">
        <v>14</v>
      </c>
      <c r="L11513" t="s" s="12">
        <v>14</v>
      </c>
      <c r="M11513" t="s" s="10">
        <v>14</v>
      </c>
      <c r="N11513" t="s" s="11">
        <v>14</v>
      </c>
      <c r="O11513" t="s" s="8">
        <v>14</v>
      </c>
      <c r="P11513" t="s" s="8">
        <v>14</v>
      </c>
      <c r="Q11513" t="s" s="12">
        <v>14</v>
      </c>
      <c r="R11513" t="s" s="12">
        <v>14</v>
      </c>
    </row>
    <row r="11514" s="2" customFormat="1" ht="13.5" customHeight="1">
      <c r="B11514" s="13"/>
      <c r="C11514" t="s" s="9">
        <v>23</v>
      </c>
      <c r="D11514" t="s" s="8">
        <v>4313</v>
      </c>
      <c r="E11514" t="s" s="9">
        <v>4313</v>
      </c>
      <c r="F11514" s="19">
        <v>1</v>
      </c>
      <c r="G11514" s="17">
        <v>1</v>
      </c>
      <c r="H11514" s="19">
        <v>1</v>
      </c>
      <c r="I11514" s="17">
        <v>1</v>
      </c>
      <c r="J11514" t="s" s="11">
        <v>20</v>
      </c>
      <c r="K11514" t="s" s="16">
        <f>HYPERLINK("http://csr.bu.edu/ftp/asl/asllvd/demos/verify_start_end_handshape_annotations//test_auto_move//signs_mov/16492.mov","MOV")</f>
        <v>21</v>
      </c>
      <c r="L11514" t="s" s="16">
        <f>HYPERLINK("http://csr.bu.edu/ftp/asl/asllvd/demos/verify_start_end_handshape_annotations//test_auto_move//signs_mov_separ_signers/Tyler_16492.mov","MOV")</f>
        <v>21</v>
      </c>
      <c r="M11514" t="s" s="10">
        <v>26</v>
      </c>
      <c r="N11514" s="17">
        <v>11</v>
      </c>
      <c r="O11514" s="18">
        <v>2211</v>
      </c>
      <c r="P11514" s="18">
        <v>2240</v>
      </c>
      <c r="Q11514" t="s" s="16">
        <f>HYPERLINK("http://secrets.rutgers.edu:8080/data/asl-ftp/asllvd/demos/verify_start_end_handshape_annotations//test_auto_move//signs_mov/16492.mov","MOV")</f>
        <v>21</v>
      </c>
      <c r="R11514" t="s" s="16">
        <f>HYPERLINK("http://secrets.rutgers.edu:8080/data/asl-ftp/asllvd/demos/verify_start_end_handshape_annotations//test_auto_move//signs_mov_separ_signers/Tyler_16492.mov","MOV")</f>
        <v>21</v>
      </c>
    </row>
    <row r="11515" s="2" customFormat="1" ht="13.5" customHeight="1">
      <c r="B11515" s="13"/>
      <c r="C11515" t="s" s="9">
        <v>27</v>
      </c>
      <c r="D11515" t="s" s="8">
        <v>4313</v>
      </c>
      <c r="E11515" t="s" s="9">
        <v>4313</v>
      </c>
      <c r="F11515" s="19">
        <v>1</v>
      </c>
      <c r="G11515" s="17">
        <v>1</v>
      </c>
      <c r="H11515" s="19">
        <v>1</v>
      </c>
      <c r="I11515" s="17">
        <v>1</v>
      </c>
      <c r="J11515" t="s" s="11">
        <v>20</v>
      </c>
      <c r="K11515" s="15"/>
      <c r="L11515" t="s" s="16">
        <f>HYPERLINK("http://csr.bu.edu/ftp/asl/asllvd/demos/verify_start_end_handshape_annotations//test_auto_move//signs_mov_separ_signers/Naomi_16492.mov","MOV")</f>
        <v>21</v>
      </c>
      <c r="M11515" t="s" s="10">
        <v>29</v>
      </c>
      <c r="N11515" s="17">
        <v>10</v>
      </c>
      <c r="O11515" s="18">
        <v>2610</v>
      </c>
      <c r="P11515" s="18">
        <v>2642</v>
      </c>
      <c r="Q11515" s="15"/>
      <c r="R11515" t="s" s="16">
        <f>HYPERLINK("http://secrets.rutgers.edu:8080/data/asl-ftp/asllvd/demos/verify_start_end_handshape_annotations//test_auto_move//signs_mov_separ_signers/Naomi_16492.mov","MOV")</f>
        <v>21</v>
      </c>
    </row>
    <row r="11516" s="2" customFormat="1" ht="13.5" customHeight="1">
      <c r="B11516" t="s" s="8">
        <v>52</v>
      </c>
      <c r="C11516" t="s" s="9">
        <v>53</v>
      </c>
      <c r="D11516" t="s" s="8">
        <v>53</v>
      </c>
      <c r="E11516" t="s" s="9">
        <v>53</v>
      </c>
      <c r="F11516" t="s" s="10">
        <v>53</v>
      </c>
      <c r="G11516" t="s" s="11">
        <v>53</v>
      </c>
      <c r="H11516" t="s" s="10">
        <v>53</v>
      </c>
      <c r="I11516" t="s" s="11">
        <v>53</v>
      </c>
      <c r="J11516" t="s" s="11">
        <v>53</v>
      </c>
      <c r="K11516" t="s" s="12">
        <v>53</v>
      </c>
      <c r="L11516" t="s" s="12">
        <v>53</v>
      </c>
      <c r="M11516" t="s" s="10">
        <v>53</v>
      </c>
      <c r="N11516" t="s" s="11">
        <v>53</v>
      </c>
      <c r="O11516" t="s" s="8">
        <v>53</v>
      </c>
      <c r="P11516" t="s" s="8">
        <v>53</v>
      </c>
      <c r="Q11516" t="s" s="12">
        <v>53</v>
      </c>
      <c r="R11516" t="s" s="12">
        <v>53</v>
      </c>
    </row>
    <row r="11517" s="2" customFormat="1" ht="13.5" customHeight="1">
      <c r="B11517" s="13"/>
      <c r="C11517" t="s" s="9">
        <v>16</v>
      </c>
      <c r="D11517" t="s" s="8">
        <v>4313</v>
      </c>
      <c r="E11517" t="s" s="9">
        <v>4314</v>
      </c>
      <c r="F11517" s="19">
        <v>1</v>
      </c>
      <c r="G11517" s="17">
        <v>1</v>
      </c>
      <c r="H11517" s="19">
        <v>1</v>
      </c>
      <c r="I11517" s="17">
        <v>1</v>
      </c>
      <c r="J11517" t="s" s="11">
        <v>20</v>
      </c>
      <c r="K11517" t="s" s="16">
        <f>HYPERLINK("http://csr.bu.edu/ftp/asl/asllvd/demos/verify_start_end_handshape_annotations//test_auto_move//signs_mov/16493.mov","MOV")</f>
        <v>21</v>
      </c>
      <c r="L11517" t="s" s="16">
        <f>HYPERLINK("http://csr.bu.edu/ftp/asl/asllvd/demos/verify_start_end_handshape_annotations//test_auto_move//signs_mov_separ_signers/Liz_16493.mov","MOV")</f>
        <v>21</v>
      </c>
      <c r="M11517" t="s" s="10">
        <v>22</v>
      </c>
      <c r="N11517" s="17">
        <v>15</v>
      </c>
      <c r="O11517" s="18">
        <v>320</v>
      </c>
      <c r="P11517" s="18">
        <v>350</v>
      </c>
      <c r="Q11517" t="s" s="16">
        <f>HYPERLINK("http://secrets.rutgers.edu:8080/data/asl-ftp/asllvd/demos/verify_start_end_handshape_annotations//test_auto_move//signs_mov/16493.mov","MOV")</f>
        <v>21</v>
      </c>
      <c r="R11517" t="s" s="16">
        <f>HYPERLINK("http://secrets.rutgers.edu:8080/data/asl-ftp/asllvd/demos/verify_start_end_handshape_annotations//test_auto_move//signs_mov_separ_signers/Liz_16493.mov","MOV")</f>
        <v>21</v>
      </c>
    </row>
    <row r="11518" s="2" customFormat="1" ht="13.5" customHeight="1">
      <c r="B11518" s="13"/>
      <c r="C11518" t="s" s="9">
        <v>30</v>
      </c>
      <c r="D11518" t="s" s="8">
        <v>4313</v>
      </c>
      <c r="E11518" t="s" s="9">
        <v>4314</v>
      </c>
      <c r="F11518" s="19">
        <v>1</v>
      </c>
      <c r="G11518" s="17">
        <v>1</v>
      </c>
      <c r="H11518" s="19">
        <v>1</v>
      </c>
      <c r="I11518" s="17">
        <v>1</v>
      </c>
      <c r="J11518" t="s" s="11">
        <v>20</v>
      </c>
      <c r="K11518" s="15"/>
      <c r="L11518" t="s" s="16">
        <f>HYPERLINK("http://csr.bu.edu/ftp/asl/asllvd/demos/verify_start_end_handshape_annotations//test_auto_move//signs_mov_separ_signers/Brady_16493.mov","MOV")</f>
        <v>21</v>
      </c>
      <c r="M11518" t="s" s="10">
        <v>31</v>
      </c>
      <c r="N11518" s="17">
        <v>12</v>
      </c>
      <c r="O11518" s="18">
        <v>180</v>
      </c>
      <c r="P11518" s="18">
        <v>197</v>
      </c>
      <c r="Q11518" s="15"/>
      <c r="R11518" t="s" s="16">
        <f>HYPERLINK("http://secrets.rutgers.edu:8080/data/asl-ftp/asllvd/demos/verify_start_end_handshape_annotations//test_auto_move//signs_mov_separ_signers/Brady_16493.mov","MOV")</f>
        <v>21</v>
      </c>
    </row>
    <row r="11519" s="2" customFormat="1" ht="13.5" customHeight="1">
      <c r="B11519" t="s" s="8">
        <v>4315</v>
      </c>
      <c r="C11519" t="s" s="9">
        <v>14</v>
      </c>
      <c r="D11519" t="s" s="8">
        <v>14</v>
      </c>
      <c r="E11519" t="s" s="9">
        <v>14</v>
      </c>
      <c r="F11519" t="s" s="10">
        <v>14</v>
      </c>
      <c r="G11519" t="s" s="11">
        <v>14</v>
      </c>
      <c r="H11519" t="s" s="10">
        <v>14</v>
      </c>
      <c r="I11519" t="s" s="11">
        <v>14</v>
      </c>
      <c r="J11519" t="s" s="11">
        <v>14</v>
      </c>
      <c r="K11519" t="s" s="12">
        <v>14</v>
      </c>
      <c r="L11519" t="s" s="12">
        <v>14</v>
      </c>
      <c r="M11519" t="s" s="10">
        <v>14</v>
      </c>
      <c r="N11519" t="s" s="11">
        <v>14</v>
      </c>
      <c r="O11519" t="s" s="8">
        <v>14</v>
      </c>
      <c r="P11519" t="s" s="8">
        <v>14</v>
      </c>
      <c r="Q11519" t="s" s="12">
        <v>14</v>
      </c>
      <c r="R11519" t="s" s="12">
        <v>14</v>
      </c>
    </row>
    <row r="11520" s="2" customFormat="1" ht="13.5" customHeight="1">
      <c r="B11520" s="13"/>
      <c r="C11520" t="s" s="9">
        <v>16</v>
      </c>
      <c r="D11520" t="s" s="8">
        <v>4316</v>
      </c>
      <c r="E11520" t="s" s="9">
        <v>4316</v>
      </c>
      <c r="F11520" t="s" s="10">
        <v>70</v>
      </c>
      <c r="G11520" s="14"/>
      <c r="H11520" s="19">
        <v>1</v>
      </c>
      <c r="I11520" s="14"/>
      <c r="J11520" t="s" s="11">
        <v>20</v>
      </c>
      <c r="K11520" s="15"/>
      <c r="L11520" t="s" s="16">
        <f>HYPERLINK("http://csr.bu.edu/ftp/asl/asllvd/demos/verify_start_end_handshape_annotations//test_auto_move//signs_mov_separ_signers/Liz_8643.mov","MOV")</f>
        <v>21</v>
      </c>
      <c r="M11520" t="s" s="10">
        <v>59</v>
      </c>
      <c r="N11520" s="17">
        <v>7</v>
      </c>
      <c r="O11520" s="18">
        <v>987</v>
      </c>
      <c r="P11520" s="18">
        <v>1010</v>
      </c>
      <c r="Q11520" s="15"/>
      <c r="R11520" t="s" s="16">
        <f>HYPERLINK("http://secrets.rutgers.edu:8080/data/asl-ftp/asllvd/demos/verify_start_end_handshape_annotations//test_auto_move//signs_mov_separ_signers/Liz_8643.mov","MOV")</f>
        <v>21</v>
      </c>
    </row>
    <row r="11521" s="2" customFormat="1" ht="13.5" customHeight="1">
      <c r="B11521" s="13"/>
      <c r="C11521" t="s" s="9">
        <v>30</v>
      </c>
      <c r="D11521" t="s" s="8">
        <v>4316</v>
      </c>
      <c r="E11521" t="s" s="9">
        <v>4316</v>
      </c>
      <c r="F11521" s="19">
        <v>1</v>
      </c>
      <c r="G11521" s="14"/>
      <c r="H11521" s="19">
        <v>1</v>
      </c>
      <c r="I11521" s="14"/>
      <c r="J11521" t="s" s="11">
        <v>20</v>
      </c>
      <c r="K11521" t="s" s="16">
        <f>HYPERLINK("http://csr.bu.edu/ftp/asl/asllvd/demos/verify_start_end_handshape_annotations//test_auto_move//signs_mov/8643.mov","MOV")</f>
        <v>21</v>
      </c>
      <c r="L11521" t="s" s="16">
        <f>HYPERLINK("http://csr.bu.edu/ftp/asl/asllvd/demos/verify_start_end_handshape_annotations//test_auto_move//signs_mov_separ_signers/Brady_8643.mov","MOV")</f>
        <v>21</v>
      </c>
      <c r="M11521" t="s" s="10">
        <v>40</v>
      </c>
      <c r="N11521" s="17">
        <v>111</v>
      </c>
      <c r="O11521" s="18">
        <v>1562</v>
      </c>
      <c r="P11521" s="18">
        <v>1576</v>
      </c>
      <c r="Q11521" t="s" s="16">
        <f>HYPERLINK("http://secrets.rutgers.edu:8080/data/asl-ftp/asllvd/demos/verify_start_end_handshape_annotations//test_auto_move//signs_mov/8643.mov","MOV")</f>
        <v>21</v>
      </c>
      <c r="R11521" t="s" s="16">
        <f>HYPERLINK("http://secrets.rutgers.edu:8080/data/asl-ftp/asllvd/demos/verify_start_end_handshape_annotations//test_auto_move//signs_mov_separ_signers/Brady_8643.mov","MOV")</f>
        <v>21</v>
      </c>
    </row>
    <row r="11522" s="2" customFormat="1" ht="13.5" customHeight="1">
      <c r="B11522" s="13"/>
      <c r="C11522" t="s" s="9">
        <v>41</v>
      </c>
      <c r="D11522" t="s" s="8">
        <v>4316</v>
      </c>
      <c r="E11522" t="s" s="9">
        <v>4316</v>
      </c>
      <c r="F11522" s="19">
        <v>1</v>
      </c>
      <c r="G11522" s="14"/>
      <c r="H11522" s="19">
        <v>1</v>
      </c>
      <c r="I11522" s="14"/>
      <c r="J11522" t="s" s="11">
        <v>20</v>
      </c>
      <c r="K11522" s="15"/>
      <c r="L11522" t="s" s="16">
        <f>HYPERLINK("http://csr.bu.edu/ftp/asl/asllvd/demos/verify_start_end_handshape_annotations//test_auto_move//signs_mov_separ_signers/Lana_8643.mov","MOV")</f>
        <v>21</v>
      </c>
      <c r="M11522" t="s" s="10">
        <v>245</v>
      </c>
      <c r="N11522" s="17">
        <v>22</v>
      </c>
      <c r="O11522" s="18">
        <v>3010</v>
      </c>
      <c r="P11522" s="18">
        <v>3051</v>
      </c>
      <c r="Q11522" s="15"/>
      <c r="R11522" t="s" s="16">
        <f>HYPERLINK("http://secrets.rutgers.edu:8080/data/asl-ftp/asllvd/demos/verify_start_end_handshape_annotations//test_auto_move//signs_mov_separ_signers/Lana_8643.mov","MOV")</f>
        <v>21</v>
      </c>
    </row>
    <row r="11523" s="2" customFormat="1" ht="13.5" customHeight="1">
      <c r="B11523" t="s" s="8">
        <v>52</v>
      </c>
      <c r="C11523" t="s" s="9">
        <v>53</v>
      </c>
      <c r="D11523" t="s" s="8">
        <v>53</v>
      </c>
      <c r="E11523" t="s" s="9">
        <v>53</v>
      </c>
      <c r="F11523" t="s" s="10">
        <v>53</v>
      </c>
      <c r="G11523" t="s" s="11">
        <v>53</v>
      </c>
      <c r="H11523" t="s" s="10">
        <v>53</v>
      </c>
      <c r="I11523" t="s" s="11">
        <v>53</v>
      </c>
      <c r="J11523" t="s" s="11">
        <v>53</v>
      </c>
      <c r="K11523" t="s" s="12">
        <v>53</v>
      </c>
      <c r="L11523" t="s" s="12">
        <v>53</v>
      </c>
      <c r="M11523" t="s" s="10">
        <v>53</v>
      </c>
      <c r="N11523" t="s" s="11">
        <v>53</v>
      </c>
      <c r="O11523" t="s" s="8">
        <v>53</v>
      </c>
      <c r="P11523" t="s" s="8">
        <v>53</v>
      </c>
      <c r="Q11523" t="s" s="12">
        <v>53</v>
      </c>
      <c r="R11523" t="s" s="12">
        <v>53</v>
      </c>
    </row>
    <row r="11524" s="2" customFormat="1" ht="13.5" customHeight="1">
      <c r="B11524" s="13"/>
      <c r="C11524" t="s" s="9">
        <v>16</v>
      </c>
      <c r="D11524" t="s" s="8">
        <v>4316</v>
      </c>
      <c r="E11524" t="s" s="9">
        <v>4317</v>
      </c>
      <c r="F11524" s="19">
        <v>1</v>
      </c>
      <c r="G11524" s="14"/>
      <c r="H11524" s="19">
        <v>1</v>
      </c>
      <c r="I11524" s="14"/>
      <c r="J11524" t="s" s="11">
        <v>20</v>
      </c>
      <c r="K11524" t="s" s="16">
        <f>HYPERLINK("http://csr.bu.edu/ftp/asl/asllvd/demos/verify_start_end_handshape_annotations//test_auto_move//signs_mov/5522.mov","MOV")</f>
        <v>21</v>
      </c>
      <c r="L11524" t="s" s="16">
        <f>HYPERLINK("http://csr.bu.edu/ftp/asl/asllvd/demos/verify_start_end_handshape_annotations//test_auto_move//signs_mov_separ_signers/Liz_5522.mov","MOV")</f>
        <v>21</v>
      </c>
      <c r="M11524" t="s" s="10">
        <v>59</v>
      </c>
      <c r="N11524" s="17">
        <v>7</v>
      </c>
      <c r="O11524" s="18">
        <v>705</v>
      </c>
      <c r="P11524" s="18">
        <v>740</v>
      </c>
      <c r="Q11524" t="s" s="16">
        <f>HYPERLINK("http://secrets.rutgers.edu:8080/data/asl-ftp/asllvd/demos/verify_start_end_handshape_annotations//test_auto_move//signs_mov/5522.mov","MOV")</f>
        <v>21</v>
      </c>
      <c r="R11524" t="s" s="16">
        <f>HYPERLINK("http://secrets.rutgers.edu:8080/data/asl-ftp/asllvd/demos/verify_start_end_handshape_annotations//test_auto_move//signs_mov_separ_signers/Liz_5522.mov","MOV")</f>
        <v>21</v>
      </c>
    </row>
    <row r="11525" s="2" customFormat="1" ht="13.5" customHeight="1">
      <c r="B11525" s="13"/>
      <c r="C11525" t="s" s="9">
        <v>30</v>
      </c>
      <c r="D11525" t="s" s="8">
        <v>4316</v>
      </c>
      <c r="E11525" t="s" s="9">
        <v>4317</v>
      </c>
      <c r="F11525" s="19">
        <v>1</v>
      </c>
      <c r="G11525" s="14"/>
      <c r="H11525" s="19">
        <v>1</v>
      </c>
      <c r="I11525" s="14"/>
      <c r="J11525" t="s" s="11">
        <v>20</v>
      </c>
      <c r="K11525" s="15"/>
      <c r="L11525" t="s" s="16">
        <f>HYPERLINK("http://csr.bu.edu/ftp/asl/asllvd/demos/verify_start_end_handshape_annotations//test_auto_move//signs_mov_separ_signers/Brady_5522.mov","MOV")</f>
        <v>21</v>
      </c>
      <c r="M11525" t="s" s="10">
        <v>40</v>
      </c>
      <c r="N11525" s="17">
        <v>111</v>
      </c>
      <c r="O11525" s="18">
        <v>1361</v>
      </c>
      <c r="P11525" s="18">
        <v>1378</v>
      </c>
      <c r="Q11525" s="15"/>
      <c r="R11525" t="s" s="16">
        <f>HYPERLINK("http://secrets.rutgers.edu:8080/data/asl-ftp/asllvd/demos/verify_start_end_handshape_annotations//test_auto_move//signs_mov_separ_signers/Brady_5522.mov","MOV")</f>
        <v>21</v>
      </c>
    </row>
    <row r="11526" s="2" customFormat="1" ht="13.5" customHeight="1">
      <c r="B11526" t="s" s="8">
        <v>4318</v>
      </c>
      <c r="C11526" t="s" s="9">
        <v>14</v>
      </c>
      <c r="D11526" t="s" s="8">
        <v>14</v>
      </c>
      <c r="E11526" t="s" s="9">
        <v>14</v>
      </c>
      <c r="F11526" t="s" s="10">
        <v>14</v>
      </c>
      <c r="G11526" t="s" s="11">
        <v>14</v>
      </c>
      <c r="H11526" t="s" s="10">
        <v>14</v>
      </c>
      <c r="I11526" t="s" s="11">
        <v>14</v>
      </c>
      <c r="J11526" t="s" s="11">
        <v>14</v>
      </c>
      <c r="K11526" t="s" s="12">
        <v>14</v>
      </c>
      <c r="L11526" t="s" s="12">
        <v>14</v>
      </c>
      <c r="M11526" t="s" s="10">
        <v>14</v>
      </c>
      <c r="N11526" t="s" s="11">
        <v>14</v>
      </c>
      <c r="O11526" t="s" s="8">
        <v>14</v>
      </c>
      <c r="P11526" t="s" s="8">
        <v>14</v>
      </c>
      <c r="Q11526" t="s" s="12">
        <v>14</v>
      </c>
      <c r="R11526" t="s" s="12">
        <v>14</v>
      </c>
    </row>
    <row r="11527" s="2" customFormat="1" ht="13.5" customHeight="1">
      <c r="B11527" s="13"/>
      <c r="C11527" t="s" s="9">
        <v>16</v>
      </c>
      <c r="D11527" t="s" s="8">
        <v>4318</v>
      </c>
      <c r="E11527" t="s" s="9">
        <v>4318</v>
      </c>
      <c r="F11527" s="19">
        <v>3</v>
      </c>
      <c r="G11527" s="14"/>
      <c r="H11527" t="s" s="10">
        <v>453</v>
      </c>
      <c r="I11527" s="14"/>
      <c r="J11527" t="s" s="11">
        <v>20</v>
      </c>
      <c r="K11527" t="s" s="16">
        <f>HYPERLINK("http://csr.bu.edu/ftp/asl/asllvd/demos/verify_start_end_handshape_annotations//test_auto_move//signs_mov/8649.mov","MOV")</f>
        <v>21</v>
      </c>
      <c r="L11527" t="s" s="16">
        <f>HYPERLINK("http://csr.bu.edu/ftp/asl/asllvd/demos/verify_start_end_handshape_annotations//test_auto_move//signs_mov_separ_signers/Liz_8649.mov","MOV")</f>
        <v>21</v>
      </c>
      <c r="M11527" t="s" s="10">
        <v>59</v>
      </c>
      <c r="N11527" s="17">
        <v>8</v>
      </c>
      <c r="O11527" s="18">
        <v>2770</v>
      </c>
      <c r="P11527" s="18">
        <v>2807</v>
      </c>
      <c r="Q11527" t="s" s="16">
        <f>HYPERLINK("http://secrets.rutgers.edu:8080/data/asl-ftp/asllvd/demos/verify_start_end_handshape_annotations//test_auto_move//signs_mov/8649.mov","MOV")</f>
        <v>21</v>
      </c>
      <c r="R11527" t="s" s="16">
        <f>HYPERLINK("http://secrets.rutgers.edu:8080/data/asl-ftp/asllvd/demos/verify_start_end_handshape_annotations//test_auto_move//signs_mov_separ_signers/Liz_8649.mov","MOV")</f>
        <v>21</v>
      </c>
    </row>
    <row r="11528" s="2" customFormat="1" ht="13.5" customHeight="1">
      <c r="B11528" s="13"/>
      <c r="C11528" t="s" s="9">
        <v>30</v>
      </c>
      <c r="D11528" t="s" s="8">
        <v>4318</v>
      </c>
      <c r="E11528" t="s" s="9">
        <v>4318</v>
      </c>
      <c r="F11528" s="19">
        <v>3</v>
      </c>
      <c r="G11528" s="14"/>
      <c r="H11528" t="s" s="10">
        <v>453</v>
      </c>
      <c r="I11528" s="14"/>
      <c r="J11528" t="s" s="11">
        <v>20</v>
      </c>
      <c r="K11528" s="15"/>
      <c r="L11528" t="s" s="16">
        <f>HYPERLINK("http://csr.bu.edu/ftp/asl/asllvd/demos/verify_start_end_handshape_annotations//test_auto_move//signs_mov_separ_signers/Brady_8649.mov","MOV")</f>
        <v>21</v>
      </c>
      <c r="M11528" t="s" s="10">
        <v>40</v>
      </c>
      <c r="N11528" s="17">
        <v>113</v>
      </c>
      <c r="O11528" s="18">
        <v>431</v>
      </c>
      <c r="P11528" s="18">
        <v>462</v>
      </c>
      <c r="Q11528" s="15"/>
      <c r="R11528" t="s" s="16">
        <f>HYPERLINK("http://secrets.rutgers.edu:8080/data/asl-ftp/asllvd/demos/verify_start_end_handshape_annotations//test_auto_move//signs_mov_separ_signers/Brady_8649.mov","MOV")</f>
        <v>21</v>
      </c>
    </row>
    <row r="11529" s="2" customFormat="1" ht="13.5" customHeight="1">
      <c r="B11529" t="s" s="8">
        <v>4318</v>
      </c>
      <c r="C11529" t="s" s="9">
        <v>14</v>
      </c>
      <c r="D11529" t="s" s="8">
        <v>14</v>
      </c>
      <c r="E11529" t="s" s="9">
        <v>14</v>
      </c>
      <c r="F11529" t="s" s="10">
        <v>14</v>
      </c>
      <c r="G11529" t="s" s="11">
        <v>14</v>
      </c>
      <c r="H11529" t="s" s="10">
        <v>14</v>
      </c>
      <c r="I11529" t="s" s="11">
        <v>14</v>
      </c>
      <c r="J11529" t="s" s="11">
        <v>14</v>
      </c>
      <c r="K11529" t="s" s="12">
        <v>14</v>
      </c>
      <c r="L11529" t="s" s="12">
        <v>14</v>
      </c>
      <c r="M11529" t="s" s="10">
        <v>14</v>
      </c>
      <c r="N11529" t="s" s="11">
        <v>14</v>
      </c>
      <c r="O11529" t="s" s="8">
        <v>14</v>
      </c>
      <c r="P11529" t="s" s="8">
        <v>14</v>
      </c>
      <c r="Q11529" t="s" s="12">
        <v>14</v>
      </c>
      <c r="R11529" t="s" s="12">
        <v>14</v>
      </c>
    </row>
    <row r="11530" s="2" customFormat="1" ht="13.5" customHeight="1">
      <c r="B11530" s="13"/>
      <c r="C11530" t="s" s="9">
        <v>16</v>
      </c>
      <c r="D11530" t="s" s="8">
        <v>4319</v>
      </c>
      <c r="E11530" t="s" s="9">
        <v>4319</v>
      </c>
      <c r="F11530" t="s" s="10">
        <v>337</v>
      </c>
      <c r="G11530" s="14"/>
      <c r="H11530" t="s" s="10">
        <v>337</v>
      </c>
      <c r="I11530" s="14"/>
      <c r="J11530" t="s" s="11">
        <v>20</v>
      </c>
      <c r="K11530" t="s" s="16">
        <f>HYPERLINK("http://csr.bu.edu/ftp/asl/asllvd/demos/verify_start_end_handshape_annotations//test_auto_move//signs_mov/5500.mov","MOV")</f>
        <v>21</v>
      </c>
      <c r="L11530" t="s" s="16">
        <f>HYPERLINK("http://csr.bu.edu/ftp/asl/asllvd/demos/verify_start_end_handshape_annotations//test_auto_move//signs_mov_separ_signers/Liz_5500.mov","MOV")</f>
        <v>21</v>
      </c>
      <c r="M11530" t="s" s="10">
        <v>59</v>
      </c>
      <c r="N11530" s="17">
        <v>9</v>
      </c>
      <c r="O11530" s="18">
        <v>121</v>
      </c>
      <c r="P11530" s="18">
        <v>175</v>
      </c>
      <c r="Q11530" t="s" s="16">
        <f>HYPERLINK("http://secrets.rutgers.edu:8080/data/asl-ftp/asllvd/demos/verify_start_end_handshape_annotations//test_auto_move//signs_mov/5500.mov","MOV")</f>
        <v>21</v>
      </c>
      <c r="R11530" t="s" s="16">
        <f>HYPERLINK("http://secrets.rutgers.edu:8080/data/asl-ftp/asllvd/demos/verify_start_end_handshape_annotations//test_auto_move//signs_mov_separ_signers/Liz_5500.mov","MOV")</f>
        <v>21</v>
      </c>
    </row>
    <row r="11531" s="2" customFormat="1" ht="13.5" customHeight="1">
      <c r="B11531" t="s" s="8">
        <v>4320</v>
      </c>
      <c r="C11531" t="s" s="9">
        <v>14</v>
      </c>
      <c r="D11531" t="s" s="8">
        <v>14</v>
      </c>
      <c r="E11531" t="s" s="9">
        <v>14</v>
      </c>
      <c r="F11531" t="s" s="10">
        <v>14</v>
      </c>
      <c r="G11531" t="s" s="11">
        <v>14</v>
      </c>
      <c r="H11531" t="s" s="10">
        <v>14</v>
      </c>
      <c r="I11531" t="s" s="11">
        <v>14</v>
      </c>
      <c r="J11531" t="s" s="11">
        <v>14</v>
      </c>
      <c r="K11531" t="s" s="12">
        <v>14</v>
      </c>
      <c r="L11531" t="s" s="12">
        <v>14</v>
      </c>
      <c r="M11531" t="s" s="10">
        <v>14</v>
      </c>
      <c r="N11531" t="s" s="11">
        <v>14</v>
      </c>
      <c r="O11531" t="s" s="8">
        <v>14</v>
      </c>
      <c r="P11531" t="s" s="8">
        <v>14</v>
      </c>
      <c r="Q11531" t="s" s="12">
        <v>14</v>
      </c>
      <c r="R11531" t="s" s="12">
        <v>14</v>
      </c>
    </row>
    <row r="11532" s="2" customFormat="1" ht="13.5" customHeight="1">
      <c r="B11532" s="13"/>
      <c r="C11532" t="s" s="9">
        <v>16</v>
      </c>
      <c r="D11532" t="s" s="8">
        <v>4320</v>
      </c>
      <c r="E11532" t="s" s="9">
        <v>4320</v>
      </c>
      <c r="F11532" t="s" s="10">
        <v>425</v>
      </c>
      <c r="G11532" s="14"/>
      <c r="H11532" t="s" s="10">
        <v>425</v>
      </c>
      <c r="I11532" s="14"/>
      <c r="J11532" t="s" s="11">
        <v>20</v>
      </c>
      <c r="K11532" t="s" s="16">
        <f>HYPERLINK("http://csr.bu.edu/ftp/asl/asllvd/demos/verify_start_end_handshape_annotations//test_auto_move//signs_mov/5513.mov","MOV")</f>
        <v>21</v>
      </c>
      <c r="L11532" t="s" s="16">
        <f>HYPERLINK("http://csr.bu.edu/ftp/asl/asllvd/demos/verify_start_end_handshape_annotations//test_auto_move//signs_mov_separ_signers/Liz_5513.mov","MOV")</f>
        <v>21</v>
      </c>
      <c r="M11532" t="s" s="10">
        <v>77</v>
      </c>
      <c r="N11532" s="17">
        <v>11</v>
      </c>
      <c r="O11532" s="18">
        <v>170</v>
      </c>
      <c r="P11532" s="18">
        <v>215</v>
      </c>
      <c r="Q11532" t="s" s="16">
        <f>HYPERLINK("http://secrets.rutgers.edu:8080/data/asl-ftp/asllvd/demos/verify_start_end_handshape_annotations//test_auto_move//signs_mov/5513.mov","MOV")</f>
        <v>21</v>
      </c>
      <c r="R11532" t="s" s="16">
        <f>HYPERLINK("http://secrets.rutgers.edu:8080/data/asl-ftp/asllvd/demos/verify_start_end_handshape_annotations//test_auto_move//signs_mov_separ_signers/Liz_5513.mov","MOV")</f>
        <v>21</v>
      </c>
    </row>
    <row r="11533" s="2" customFormat="1" ht="13.5" customHeight="1">
      <c r="B11533" s="13"/>
      <c r="C11533" t="s" s="9">
        <v>30</v>
      </c>
      <c r="D11533" t="s" s="8">
        <v>4320</v>
      </c>
      <c r="E11533" t="s" s="9">
        <v>4320</v>
      </c>
      <c r="F11533" t="s" s="10">
        <v>425</v>
      </c>
      <c r="G11533" s="14"/>
      <c r="H11533" t="s" s="10">
        <v>425</v>
      </c>
      <c r="I11533" s="14"/>
      <c r="J11533" t="s" s="11">
        <v>20</v>
      </c>
      <c r="K11533" s="15"/>
      <c r="L11533" t="s" s="16">
        <f>HYPERLINK("http://csr.bu.edu/ftp/asl/asllvd/demos/verify_start_end_handshape_annotations//test_auto_move//signs_mov_separ_signers/Brady_5513.mov","MOV")</f>
        <v>21</v>
      </c>
      <c r="M11533" t="s" s="10">
        <v>40</v>
      </c>
      <c r="N11533" s="17">
        <v>113</v>
      </c>
      <c r="O11533" s="18">
        <v>1494</v>
      </c>
      <c r="P11533" s="18">
        <v>1605</v>
      </c>
      <c r="Q11533" s="15"/>
      <c r="R11533" t="s" s="16">
        <f>HYPERLINK("http://secrets.rutgers.edu:8080/data/asl-ftp/asllvd/demos/verify_start_end_handshape_annotations//test_auto_move//signs_mov_separ_signers/Brady_5513.mov","MOV")</f>
        <v>21</v>
      </c>
    </row>
    <row r="11534" s="2" customFormat="1" ht="13.5" customHeight="1">
      <c r="B11534" t="s" s="8">
        <v>4321</v>
      </c>
      <c r="C11534" t="s" s="9">
        <v>14</v>
      </c>
      <c r="D11534" t="s" s="8">
        <v>14</v>
      </c>
      <c r="E11534" t="s" s="9">
        <v>14</v>
      </c>
      <c r="F11534" t="s" s="10">
        <v>14</v>
      </c>
      <c r="G11534" t="s" s="11">
        <v>14</v>
      </c>
      <c r="H11534" t="s" s="10">
        <v>14</v>
      </c>
      <c r="I11534" t="s" s="11">
        <v>14</v>
      </c>
      <c r="J11534" t="s" s="11">
        <v>14</v>
      </c>
      <c r="K11534" t="s" s="12">
        <v>14</v>
      </c>
      <c r="L11534" t="s" s="12">
        <v>14</v>
      </c>
      <c r="M11534" t="s" s="10">
        <v>14</v>
      </c>
      <c r="N11534" t="s" s="11">
        <v>14</v>
      </c>
      <c r="O11534" t="s" s="8">
        <v>14</v>
      </c>
      <c r="P11534" t="s" s="8">
        <v>14</v>
      </c>
      <c r="Q11534" t="s" s="12">
        <v>14</v>
      </c>
      <c r="R11534" t="s" s="12">
        <v>14</v>
      </c>
    </row>
    <row r="11535" s="2" customFormat="1" ht="13.5" customHeight="1">
      <c r="B11535" s="13"/>
      <c r="C11535" t="s" s="9">
        <v>16</v>
      </c>
      <c r="D11535" t="s" s="8">
        <v>4321</v>
      </c>
      <c r="E11535" t="s" s="9">
        <v>4321</v>
      </c>
      <c r="F11535" t="s" s="10">
        <v>73</v>
      </c>
      <c r="G11535" s="14"/>
      <c r="H11535" t="s" s="10">
        <v>73</v>
      </c>
      <c r="I11535" s="14"/>
      <c r="J11535" t="s" s="11">
        <v>20</v>
      </c>
      <c r="K11535" t="s" s="16">
        <f>HYPERLINK("http://csr.bu.edu/ftp/asl/asllvd/demos/verify_start_end_handshape_annotations//test_auto_move//signs_mov/8658.mov","MOV")</f>
        <v>21</v>
      </c>
      <c r="L11535" t="s" s="16">
        <f>HYPERLINK("http://csr.bu.edu/ftp/asl/asllvd/demos/verify_start_end_handshape_annotations//test_auto_move//signs_mov_separ_signers/Liz_8658.mov","MOV")</f>
        <v>21</v>
      </c>
      <c r="M11535" t="s" s="10">
        <v>59</v>
      </c>
      <c r="N11535" s="17">
        <v>10</v>
      </c>
      <c r="O11535" s="18">
        <v>6290</v>
      </c>
      <c r="P11535" s="18">
        <v>6336</v>
      </c>
      <c r="Q11535" t="s" s="16">
        <f>HYPERLINK("http://secrets.rutgers.edu:8080/data/asl-ftp/asllvd/demos/verify_start_end_handshape_annotations//test_auto_move//signs_mov/8658.mov","MOV")</f>
        <v>21</v>
      </c>
      <c r="R11535" t="s" s="16">
        <f>HYPERLINK("http://secrets.rutgers.edu:8080/data/asl-ftp/asllvd/demos/verify_start_end_handshape_annotations//test_auto_move//signs_mov_separ_signers/Liz_8658.mov","MOV")</f>
        <v>21</v>
      </c>
    </row>
    <row r="11536" s="2" customFormat="1" ht="13.5" customHeight="1">
      <c r="B11536" s="13"/>
      <c r="C11536" t="s" s="9">
        <v>30</v>
      </c>
      <c r="D11536" t="s" s="8">
        <v>4321</v>
      </c>
      <c r="E11536" t="s" s="9">
        <v>4321</v>
      </c>
      <c r="F11536" t="s" s="10">
        <v>73</v>
      </c>
      <c r="G11536" s="14"/>
      <c r="H11536" t="s" s="10">
        <v>73</v>
      </c>
      <c r="I11536" s="14"/>
      <c r="J11536" t="s" s="11">
        <v>20</v>
      </c>
      <c r="K11536" s="15"/>
      <c r="L11536" t="s" s="16">
        <f>HYPERLINK("http://csr.bu.edu/ftp/asl/asllvd/demos/verify_start_end_handshape_annotations//test_auto_move//signs_mov_separ_signers/Brady_8658.mov","MOV")</f>
        <v>21</v>
      </c>
      <c r="M11536" t="s" s="10">
        <v>40</v>
      </c>
      <c r="N11536" s="17">
        <v>115</v>
      </c>
      <c r="O11536" s="18">
        <v>107</v>
      </c>
      <c r="P11536" s="18">
        <v>133</v>
      </c>
      <c r="Q11536" s="15"/>
      <c r="R11536" t="s" s="16">
        <f>HYPERLINK("http://secrets.rutgers.edu:8080/data/asl-ftp/asllvd/demos/verify_start_end_handshape_annotations//test_auto_move//signs_mov_separ_signers/Brady_8658.mov","MOV")</f>
        <v>21</v>
      </c>
    </row>
    <row r="11537" s="2" customFormat="1" ht="13.5" customHeight="1">
      <c r="B11537" t="s" s="8">
        <v>52</v>
      </c>
      <c r="C11537" t="s" s="9">
        <v>53</v>
      </c>
      <c r="D11537" t="s" s="8">
        <v>53</v>
      </c>
      <c r="E11537" t="s" s="9">
        <v>53</v>
      </c>
      <c r="F11537" t="s" s="10">
        <v>53</v>
      </c>
      <c r="G11537" t="s" s="11">
        <v>53</v>
      </c>
      <c r="H11537" t="s" s="10">
        <v>53</v>
      </c>
      <c r="I11537" t="s" s="11">
        <v>53</v>
      </c>
      <c r="J11537" t="s" s="11">
        <v>53</v>
      </c>
      <c r="K11537" t="s" s="12">
        <v>53</v>
      </c>
      <c r="L11537" t="s" s="12">
        <v>53</v>
      </c>
      <c r="M11537" t="s" s="10">
        <v>53</v>
      </c>
      <c r="N11537" t="s" s="11">
        <v>53</v>
      </c>
      <c r="O11537" t="s" s="8">
        <v>53</v>
      </c>
      <c r="P11537" t="s" s="8">
        <v>53</v>
      </c>
      <c r="Q11537" t="s" s="12">
        <v>53</v>
      </c>
      <c r="R11537" t="s" s="12">
        <v>53</v>
      </c>
    </row>
    <row r="11538" s="2" customFormat="1" ht="13.5" customHeight="1">
      <c r="B11538" s="13"/>
      <c r="C11538" t="s" s="9">
        <v>16</v>
      </c>
      <c r="D11538" t="s" s="8">
        <v>4321</v>
      </c>
      <c r="E11538" t="s" s="9">
        <v>4322</v>
      </c>
      <c r="F11538" t="s" s="10">
        <v>73</v>
      </c>
      <c r="G11538" t="s" s="11">
        <v>73</v>
      </c>
      <c r="H11538" t="s" s="10">
        <v>73</v>
      </c>
      <c r="I11538" t="s" s="11">
        <v>73</v>
      </c>
      <c r="J11538" t="s" s="11">
        <v>20</v>
      </c>
      <c r="K11538" t="s" s="16">
        <f>HYPERLINK("http://csr.bu.edu/ftp/asl/asllvd/demos/verify_start_end_handshape_annotations//test_auto_move//signs_mov/5501.mov","MOV")</f>
        <v>21</v>
      </c>
      <c r="L11538" t="s" s="16">
        <f>HYPERLINK("http://csr.bu.edu/ftp/asl/asllvd/demos/verify_start_end_handshape_annotations//test_auto_move//signs_mov_separ_signers/Liz_5501.mov","MOV")</f>
        <v>21</v>
      </c>
      <c r="M11538" t="s" s="10">
        <v>59</v>
      </c>
      <c r="N11538" s="17">
        <v>10</v>
      </c>
      <c r="O11538" s="18">
        <v>6020</v>
      </c>
      <c r="P11538" s="18">
        <v>6056</v>
      </c>
      <c r="Q11538" t="s" s="16">
        <f>HYPERLINK("http://secrets.rutgers.edu:8080/data/asl-ftp/asllvd/demos/verify_start_end_handshape_annotations//test_auto_move//signs_mov/5501.mov","MOV")</f>
        <v>21</v>
      </c>
      <c r="R11538" t="s" s="16">
        <f>HYPERLINK("http://secrets.rutgers.edu:8080/data/asl-ftp/asllvd/demos/verify_start_end_handshape_annotations//test_auto_move//signs_mov_separ_signers/Liz_5501.mov","MOV")</f>
        <v>21</v>
      </c>
    </row>
    <row r="11539" s="2" customFormat="1" ht="13.5" customHeight="1">
      <c r="B11539" s="13"/>
      <c r="C11539" t="s" s="9">
        <v>30</v>
      </c>
      <c r="D11539" t="s" s="8">
        <v>4321</v>
      </c>
      <c r="E11539" t="s" s="9">
        <v>4322</v>
      </c>
      <c r="F11539" t="s" s="10">
        <v>73</v>
      </c>
      <c r="G11539" t="s" s="11">
        <v>73</v>
      </c>
      <c r="H11539" t="s" s="10">
        <v>73</v>
      </c>
      <c r="I11539" t="s" s="11">
        <v>73</v>
      </c>
      <c r="J11539" t="s" s="11">
        <v>20</v>
      </c>
      <c r="K11539" s="15"/>
      <c r="L11539" t="s" s="16">
        <f>HYPERLINK("http://csr.bu.edu/ftp/asl/asllvd/demos/verify_start_end_handshape_annotations//test_auto_move//signs_mov_separ_signers/Brady_5501.mov","MOV")</f>
        <v>21</v>
      </c>
      <c r="M11539" t="s" s="10">
        <v>40</v>
      </c>
      <c r="N11539" s="17">
        <v>114</v>
      </c>
      <c r="O11539" s="18">
        <v>3449</v>
      </c>
      <c r="P11539" s="18">
        <v>3478</v>
      </c>
      <c r="Q11539" s="15"/>
      <c r="R11539" t="s" s="16">
        <f>HYPERLINK("http://secrets.rutgers.edu:8080/data/asl-ftp/asllvd/demos/verify_start_end_handshape_annotations//test_auto_move//signs_mov_separ_signers/Brady_5501.mov","MOV")</f>
        <v>21</v>
      </c>
    </row>
    <row r="11540" s="2" customFormat="1" ht="13.5" customHeight="1">
      <c r="B11540" t="s" s="8">
        <v>4323</v>
      </c>
      <c r="C11540" t="s" s="9">
        <v>14</v>
      </c>
      <c r="D11540" t="s" s="8">
        <v>14</v>
      </c>
      <c r="E11540" t="s" s="9">
        <v>14</v>
      </c>
      <c r="F11540" t="s" s="10">
        <v>14</v>
      </c>
      <c r="G11540" t="s" s="11">
        <v>14</v>
      </c>
      <c r="H11540" t="s" s="10">
        <v>14</v>
      </c>
      <c r="I11540" t="s" s="11">
        <v>14</v>
      </c>
      <c r="J11540" t="s" s="11">
        <v>14</v>
      </c>
      <c r="K11540" t="s" s="12">
        <v>14</v>
      </c>
      <c r="L11540" t="s" s="12">
        <v>14</v>
      </c>
      <c r="M11540" t="s" s="10">
        <v>14</v>
      </c>
      <c r="N11540" t="s" s="11">
        <v>14</v>
      </c>
      <c r="O11540" t="s" s="8">
        <v>14</v>
      </c>
      <c r="P11540" t="s" s="8">
        <v>14</v>
      </c>
      <c r="Q11540" t="s" s="12">
        <v>14</v>
      </c>
      <c r="R11540" t="s" s="12">
        <v>14</v>
      </c>
    </row>
    <row r="11541" s="2" customFormat="1" ht="13.5" customHeight="1">
      <c r="B11541" s="13"/>
      <c r="C11541" t="s" s="9">
        <v>16</v>
      </c>
      <c r="D11541" t="s" s="8">
        <v>4323</v>
      </c>
      <c r="E11541" t="s" s="9">
        <v>4323</v>
      </c>
      <c r="F11541" s="19">
        <v>1</v>
      </c>
      <c r="G11541" s="14"/>
      <c r="H11541" s="19">
        <v>1</v>
      </c>
      <c r="I11541" s="14"/>
      <c r="J11541" t="s" s="11">
        <v>20</v>
      </c>
      <c r="K11541" s="15"/>
      <c r="L11541" t="s" s="16">
        <f>HYPERLINK("http://csr.bu.edu/ftp/asl/asllvd/demos/verify_start_end_handshape_annotations//test_auto_move//signs_mov_separ_signers/Liz_8659.mov","MOV")</f>
        <v>21</v>
      </c>
      <c r="M11541" t="s" s="10">
        <v>59</v>
      </c>
      <c r="N11541" s="17">
        <v>11</v>
      </c>
      <c r="O11541" s="18">
        <v>105</v>
      </c>
      <c r="P11541" s="18">
        <v>150</v>
      </c>
      <c r="Q11541" s="15"/>
      <c r="R11541" t="s" s="16">
        <f>HYPERLINK("http://secrets.rutgers.edu:8080/data/asl-ftp/asllvd/demos/verify_start_end_handshape_annotations//test_auto_move//signs_mov_separ_signers/Liz_8659.mov","MOV")</f>
        <v>21</v>
      </c>
    </row>
    <row r="11542" s="2" customFormat="1" ht="13.5" customHeight="1">
      <c r="B11542" s="13"/>
      <c r="C11542" t="s" s="9">
        <v>16</v>
      </c>
      <c r="D11542" t="s" s="8">
        <v>4323</v>
      </c>
      <c r="E11542" t="s" s="9">
        <v>4323</v>
      </c>
      <c r="F11542" s="19">
        <v>1</v>
      </c>
      <c r="G11542" s="14"/>
      <c r="H11542" s="19">
        <v>1</v>
      </c>
      <c r="I11542" s="14"/>
      <c r="J11542" t="s" s="11">
        <v>20</v>
      </c>
      <c r="K11542" t="s" s="16">
        <f>HYPERLINK("http://csr.bu.edu/ftp/asl/asllvd/demos/verify_start_end_handshape_annotations//test_auto_move//signs_mov/5503_8659_merged.mov","MOV")</f>
        <v>21</v>
      </c>
      <c r="L11542" t="s" s="16">
        <f>HYPERLINK("http://csr.bu.edu/ftp/asl/asllvd/demos/verify_start_end_handshape_annotations//test_auto_move//signs_mov_separ_signers/Liz_5503.mov","MOV")</f>
        <v>21</v>
      </c>
      <c r="M11542" t="s" s="10">
        <v>59</v>
      </c>
      <c r="N11542" s="17">
        <v>15</v>
      </c>
      <c r="O11542" s="18">
        <v>1575</v>
      </c>
      <c r="P11542" s="18">
        <v>1610</v>
      </c>
      <c r="Q11542" t="s" s="16">
        <f>HYPERLINK("http://secrets.rutgers.edu:8080/data/asl-ftp/asllvd/demos/verify_start_end_handshape_annotations//test_auto_move//signs_mov/5503_8659_merged.mov","MOV")</f>
        <v>21</v>
      </c>
      <c r="R11542" t="s" s="16">
        <f>HYPERLINK("http://secrets.rutgers.edu:8080/data/asl-ftp/asllvd/demos/verify_start_end_handshape_annotations//test_auto_move//signs_mov_separ_signers/Liz_5503.mov","MOV")</f>
        <v>21</v>
      </c>
    </row>
    <row r="11543" s="2" customFormat="1" ht="13.5" customHeight="1">
      <c r="B11543" s="13"/>
      <c r="C11543" t="s" s="9">
        <v>30</v>
      </c>
      <c r="D11543" t="s" s="8">
        <v>4323</v>
      </c>
      <c r="E11543" t="s" s="9">
        <v>4323</v>
      </c>
      <c r="F11543" s="19">
        <v>1</v>
      </c>
      <c r="G11543" s="14"/>
      <c r="H11543" s="19">
        <v>1</v>
      </c>
      <c r="I11543" s="14"/>
      <c r="J11543" t="s" s="11">
        <v>20</v>
      </c>
      <c r="K11543" s="15"/>
      <c r="L11543" t="s" s="16">
        <f>HYPERLINK("http://csr.bu.edu/ftp/asl/asllvd/demos/verify_start_end_handshape_annotations//test_auto_move//signs_mov_separ_signers/Brady_8659.mov","MOV")</f>
        <v>21</v>
      </c>
      <c r="M11543" t="s" s="10">
        <v>40</v>
      </c>
      <c r="N11543" s="17">
        <v>115</v>
      </c>
      <c r="O11543" s="18">
        <v>379</v>
      </c>
      <c r="P11543" s="18">
        <v>407</v>
      </c>
      <c r="Q11543" s="15"/>
      <c r="R11543" t="s" s="16">
        <f>HYPERLINK("http://secrets.rutgers.edu:8080/data/asl-ftp/asllvd/demos/verify_start_end_handshape_annotations//test_auto_move//signs_mov_separ_signers/Brady_8659.mov","MOV")</f>
        <v>21</v>
      </c>
    </row>
    <row r="11544" s="2" customFormat="1" ht="13.5" customHeight="1">
      <c r="B11544" s="13"/>
      <c r="C11544" t="s" s="9">
        <v>30</v>
      </c>
      <c r="D11544" t="s" s="8">
        <v>4323</v>
      </c>
      <c r="E11544" t="s" s="9">
        <v>4323</v>
      </c>
      <c r="F11544" s="19">
        <v>1</v>
      </c>
      <c r="G11544" s="14"/>
      <c r="H11544" s="19">
        <v>1</v>
      </c>
      <c r="I11544" s="14"/>
      <c r="J11544" t="s" s="11">
        <v>20</v>
      </c>
      <c r="K11544" s="15"/>
      <c r="L11544" t="s" s="16">
        <f>HYPERLINK("http://csr.bu.edu/ftp/asl/asllvd/demos/verify_start_end_handshape_annotations//test_auto_move//signs_mov_separ_signers/Brady_5503.mov","MOV")</f>
        <v>21</v>
      </c>
      <c r="M11544" t="s" s="10">
        <v>40</v>
      </c>
      <c r="N11544" s="17">
        <v>116</v>
      </c>
      <c r="O11544" s="18">
        <v>1272</v>
      </c>
      <c r="P11544" s="18">
        <v>1302</v>
      </c>
      <c r="Q11544" s="15"/>
      <c r="R11544" t="s" s="16">
        <f>HYPERLINK("http://secrets.rutgers.edu:8080/data/asl-ftp/asllvd/demos/verify_start_end_handshape_annotations//test_auto_move//signs_mov_separ_signers/Brady_5503.mov","MOV")</f>
        <v>21</v>
      </c>
    </row>
    <row r="11545" s="2" customFormat="1" ht="13.5" customHeight="1">
      <c r="B11545" t="s" s="8">
        <v>4324</v>
      </c>
      <c r="C11545" t="s" s="9">
        <v>14</v>
      </c>
      <c r="D11545" t="s" s="8">
        <v>14</v>
      </c>
      <c r="E11545" t="s" s="9">
        <v>14</v>
      </c>
      <c r="F11545" t="s" s="10">
        <v>14</v>
      </c>
      <c r="G11545" t="s" s="11">
        <v>14</v>
      </c>
      <c r="H11545" t="s" s="10">
        <v>14</v>
      </c>
      <c r="I11545" t="s" s="11">
        <v>14</v>
      </c>
      <c r="J11545" t="s" s="11">
        <v>14</v>
      </c>
      <c r="K11545" t="s" s="12">
        <v>14</v>
      </c>
      <c r="L11545" t="s" s="12">
        <v>14</v>
      </c>
      <c r="M11545" t="s" s="10">
        <v>14</v>
      </c>
      <c r="N11545" t="s" s="11">
        <v>14</v>
      </c>
      <c r="O11545" t="s" s="8">
        <v>14</v>
      </c>
      <c r="P11545" t="s" s="8">
        <v>14</v>
      </c>
      <c r="Q11545" t="s" s="12">
        <v>14</v>
      </c>
      <c r="R11545" t="s" s="12">
        <v>14</v>
      </c>
    </row>
    <row r="11546" s="2" customFormat="1" ht="13.5" customHeight="1">
      <c r="B11546" s="13"/>
      <c r="C11546" t="s" s="9">
        <v>16</v>
      </c>
      <c r="D11546" t="s" s="8">
        <v>4324</v>
      </c>
      <c r="E11546" t="s" s="9">
        <v>4325</v>
      </c>
      <c r="F11546" s="19">
        <v>1</v>
      </c>
      <c r="G11546" s="14"/>
      <c r="H11546" s="19">
        <v>1</v>
      </c>
      <c r="I11546" s="14"/>
      <c r="J11546" t="s" s="11">
        <v>20</v>
      </c>
      <c r="K11546" t="s" s="16">
        <f>HYPERLINK("http://csr.bu.edu/ftp/asl/asllvd/demos/verify_start_end_handshape_annotations//test_auto_move//signs_mov/5890.mov","MOV")</f>
        <v>21</v>
      </c>
      <c r="L11546" t="s" s="16">
        <f>HYPERLINK("http://csr.bu.edu/ftp/asl/asllvd/demos/verify_start_end_handshape_annotations//test_auto_move//signs_mov_separ_signers/Liz_5890.mov","MOV")</f>
        <v>21</v>
      </c>
      <c r="M11546" t="s" s="10">
        <v>59</v>
      </c>
      <c r="N11546" s="17">
        <v>11</v>
      </c>
      <c r="O11546" s="18">
        <v>320</v>
      </c>
      <c r="P11546" s="18">
        <v>373</v>
      </c>
      <c r="Q11546" t="s" s="16">
        <f>HYPERLINK("http://secrets.rutgers.edu:8080/data/asl-ftp/asllvd/demos/verify_start_end_handshape_annotations//test_auto_move//signs_mov/5890.mov","MOV")</f>
        <v>21</v>
      </c>
      <c r="R11546" t="s" s="16">
        <f>HYPERLINK("http://secrets.rutgers.edu:8080/data/asl-ftp/asllvd/demos/verify_start_end_handshape_annotations//test_auto_move//signs_mov_separ_signers/Liz_5890.mov","MOV")</f>
        <v>21</v>
      </c>
    </row>
    <row r="11547" s="2" customFormat="1" ht="13.5" customHeight="1">
      <c r="B11547" t="s" s="8">
        <v>4326</v>
      </c>
      <c r="C11547" t="s" s="9">
        <v>14</v>
      </c>
      <c r="D11547" t="s" s="8">
        <v>14</v>
      </c>
      <c r="E11547" t="s" s="9">
        <v>14</v>
      </c>
      <c r="F11547" t="s" s="10">
        <v>14</v>
      </c>
      <c r="G11547" t="s" s="11">
        <v>14</v>
      </c>
      <c r="H11547" t="s" s="10">
        <v>14</v>
      </c>
      <c r="I11547" t="s" s="11">
        <v>14</v>
      </c>
      <c r="J11547" t="s" s="11">
        <v>14</v>
      </c>
      <c r="K11547" t="s" s="12">
        <v>14</v>
      </c>
      <c r="L11547" t="s" s="12">
        <v>14</v>
      </c>
      <c r="M11547" t="s" s="10">
        <v>14</v>
      </c>
      <c r="N11547" t="s" s="11">
        <v>14</v>
      </c>
      <c r="O11547" t="s" s="8">
        <v>14</v>
      </c>
      <c r="P11547" t="s" s="8">
        <v>14</v>
      </c>
      <c r="Q11547" t="s" s="12">
        <v>14</v>
      </c>
      <c r="R11547" t="s" s="12">
        <v>14</v>
      </c>
    </row>
    <row r="11548" s="2" customFormat="1" ht="13.5" customHeight="1">
      <c r="B11548" s="13"/>
      <c r="C11548" t="s" s="9">
        <v>16</v>
      </c>
      <c r="D11548" t="s" s="8">
        <v>4326</v>
      </c>
      <c r="E11548" t="s" s="9">
        <v>4327</v>
      </c>
      <c r="F11548" s="19">
        <v>1</v>
      </c>
      <c r="G11548" s="14"/>
      <c r="H11548" s="19">
        <v>1</v>
      </c>
      <c r="I11548" s="14"/>
      <c r="J11548" t="s" s="11">
        <v>20</v>
      </c>
      <c r="K11548" s="15"/>
      <c r="L11548" t="s" s="16">
        <f>HYPERLINK("http://csr.bu.edu/ftp/asl/asllvd/demos/verify_start_end_handshape_annotations//test_auto_move//signs_mov_separ_signers/Liz_15821.mov","MOV")</f>
        <v>21</v>
      </c>
      <c r="M11548" t="s" s="10">
        <v>59</v>
      </c>
      <c r="N11548" s="17">
        <v>44</v>
      </c>
      <c r="O11548" s="18">
        <v>530</v>
      </c>
      <c r="P11548" s="18">
        <v>595</v>
      </c>
      <c r="Q11548" s="15"/>
      <c r="R11548" t="s" s="16">
        <f>HYPERLINK("http://secrets.rutgers.edu:8080/data/asl-ftp/asllvd/demos/verify_start_end_handshape_annotations//test_auto_move//signs_mov_separ_signers/Liz_15821.mov","MOV")</f>
        <v>21</v>
      </c>
    </row>
    <row r="11549" s="2" customFormat="1" ht="13.5" customHeight="1">
      <c r="B11549" s="13"/>
      <c r="C11549" t="s" s="9">
        <v>30</v>
      </c>
      <c r="D11549" t="s" s="8">
        <v>4326</v>
      </c>
      <c r="E11549" t="s" s="9">
        <v>4326</v>
      </c>
      <c r="F11549" s="19">
        <v>1</v>
      </c>
      <c r="G11549" s="14"/>
      <c r="H11549" s="19">
        <v>1</v>
      </c>
      <c r="I11549" s="14"/>
      <c r="J11549" t="s" s="11">
        <v>20</v>
      </c>
      <c r="K11549" t="s" s="16">
        <f>HYPERLINK("http://csr.bu.edu/ftp/asl/asllvd/demos/verify_start_end_handshape_annotations//test_auto_move//signs_mov/15821.mov","MOV")</f>
        <v>21</v>
      </c>
      <c r="L11549" t="s" s="16">
        <f>HYPERLINK("http://csr.bu.edu/ftp/asl/asllvd/demos/verify_start_end_handshape_annotations//test_auto_move//signs_mov_separ_signers/Brady_15821.mov","MOV")</f>
        <v>21</v>
      </c>
      <c r="M11549" t="s" s="10">
        <v>60</v>
      </c>
      <c r="N11549" s="17">
        <v>32</v>
      </c>
      <c r="O11549" s="18">
        <v>1122</v>
      </c>
      <c r="P11549" s="18">
        <v>1165</v>
      </c>
      <c r="Q11549" t="s" s="16">
        <f>HYPERLINK("http://secrets.rutgers.edu:8080/data/asl-ftp/asllvd/demos/verify_start_end_handshape_annotations//test_auto_move//signs_mov/15821.mov","MOV")</f>
        <v>21</v>
      </c>
      <c r="R11549" t="s" s="16">
        <f>HYPERLINK("http://secrets.rutgers.edu:8080/data/asl-ftp/asllvd/demos/verify_start_end_handshape_annotations//test_auto_move//signs_mov_separ_signers/Brady_15821.mov","MOV")</f>
        <v>21</v>
      </c>
    </row>
    <row r="11550" s="2" customFormat="1" ht="13.5" customHeight="1">
      <c r="B11550" s="13"/>
      <c r="C11550" t="s" s="9">
        <v>41</v>
      </c>
      <c r="D11550" t="s" s="8">
        <v>4326</v>
      </c>
      <c r="E11550" t="s" s="9">
        <v>4326</v>
      </c>
      <c r="F11550" s="19">
        <v>1</v>
      </c>
      <c r="G11550" s="14"/>
      <c r="H11550" s="19">
        <v>1</v>
      </c>
      <c r="I11550" s="14"/>
      <c r="J11550" t="s" s="11">
        <v>20</v>
      </c>
      <c r="K11550" s="15"/>
      <c r="L11550" t="s" s="16">
        <f>HYPERLINK("http://csr.bu.edu/ftp/asl/asllvd/demos/verify_start_end_handshape_annotations//test_auto_move//signs_mov_separ_signers/Lana_15821.mov","MOV")</f>
        <v>21</v>
      </c>
      <c r="M11550" t="s" s="10">
        <v>42</v>
      </c>
      <c r="N11550" s="17">
        <v>25</v>
      </c>
      <c r="O11550" s="18">
        <v>1647</v>
      </c>
      <c r="P11550" s="18">
        <v>1696</v>
      </c>
      <c r="Q11550" s="15"/>
      <c r="R11550" t="s" s="16">
        <f>HYPERLINK("http://secrets.rutgers.edu:8080/data/asl-ftp/asllvd/demos/verify_start_end_handshape_annotations//test_auto_move//signs_mov_separ_signers/Lana_15821.mov","MOV")</f>
        <v>21</v>
      </c>
    </row>
    <row r="11551" s="2" customFormat="1" ht="13.5" customHeight="1">
      <c r="B11551" s="13"/>
      <c r="C11551" t="s" s="9">
        <v>43</v>
      </c>
      <c r="D11551" t="s" s="8">
        <v>4326</v>
      </c>
      <c r="E11551" t="s" s="9">
        <v>4326</v>
      </c>
      <c r="F11551" s="19">
        <v>1</v>
      </c>
      <c r="G11551" s="14"/>
      <c r="H11551" s="19">
        <v>1</v>
      </c>
      <c r="I11551" s="14"/>
      <c r="J11551" t="s" s="11">
        <v>20</v>
      </c>
      <c r="K11551" s="15"/>
      <c r="L11551" t="s" s="16">
        <f>HYPERLINK("http://csr.bu.edu/ftp/asl/asllvd/demos/verify_start_end_handshape_annotations//test_auto_move//signs_mov_separ_signers/Dana_15821.mov","MOV")</f>
        <v>21</v>
      </c>
      <c r="M11551" t="s" s="10">
        <v>44</v>
      </c>
      <c r="N11551" s="17">
        <v>27</v>
      </c>
      <c r="O11551" s="18">
        <v>1572</v>
      </c>
      <c r="P11551" s="18">
        <v>1634</v>
      </c>
      <c r="Q11551" s="15"/>
      <c r="R11551" t="s" s="16">
        <f>HYPERLINK("http://secrets.rutgers.edu:8080/data/asl-ftp/asllvd/demos/verify_start_end_handshape_annotations//test_auto_move//signs_mov_separ_signers/Dana_15821.mov","MOV")</f>
        <v>21</v>
      </c>
    </row>
    <row r="11552" s="2" customFormat="1" ht="13.5" customHeight="1">
      <c r="B11552" t="s" s="8">
        <v>4328</v>
      </c>
      <c r="C11552" t="s" s="9">
        <v>14</v>
      </c>
      <c r="D11552" t="s" s="8">
        <v>14</v>
      </c>
      <c r="E11552" t="s" s="9">
        <v>14</v>
      </c>
      <c r="F11552" t="s" s="10">
        <v>14</v>
      </c>
      <c r="G11552" t="s" s="11">
        <v>14</v>
      </c>
      <c r="H11552" t="s" s="10">
        <v>14</v>
      </c>
      <c r="I11552" t="s" s="11">
        <v>14</v>
      </c>
      <c r="J11552" t="s" s="11">
        <v>14</v>
      </c>
      <c r="K11552" t="s" s="12">
        <v>14</v>
      </c>
      <c r="L11552" t="s" s="12">
        <v>14</v>
      </c>
      <c r="M11552" t="s" s="10">
        <v>14</v>
      </c>
      <c r="N11552" t="s" s="11">
        <v>14</v>
      </c>
      <c r="O11552" t="s" s="8">
        <v>14</v>
      </c>
      <c r="P11552" t="s" s="8">
        <v>14</v>
      </c>
      <c r="Q11552" t="s" s="12">
        <v>14</v>
      </c>
      <c r="R11552" t="s" s="12">
        <v>14</v>
      </c>
    </row>
    <row r="11553" s="2" customFormat="1" ht="13.5" customHeight="1">
      <c r="B11553" s="13"/>
      <c r="C11553" t="s" s="9">
        <v>16</v>
      </c>
      <c r="D11553" t="s" s="8">
        <v>4328</v>
      </c>
      <c r="E11553" t="s" s="9">
        <v>4329</v>
      </c>
      <c r="F11553" s="19">
        <v>1</v>
      </c>
      <c r="G11553" s="17">
        <v>1</v>
      </c>
      <c r="H11553" s="19">
        <v>1</v>
      </c>
      <c r="I11553" s="17">
        <v>1</v>
      </c>
      <c r="J11553" t="s" s="11">
        <v>20</v>
      </c>
      <c r="K11553" s="15"/>
      <c r="L11553" t="s" s="16">
        <f>HYPERLINK("http://csr.bu.edu/ftp/asl/asllvd/demos/verify_start_end_handshape_annotations//test_auto_move//signs_mov_separ_signers/Liz_15831.mov","MOV")</f>
        <v>21</v>
      </c>
      <c r="M11553" t="s" s="10">
        <v>84</v>
      </c>
      <c r="N11553" s="17">
        <v>3</v>
      </c>
      <c r="O11553" s="18">
        <v>2305</v>
      </c>
      <c r="P11553" s="18">
        <v>2350</v>
      </c>
      <c r="Q11553" s="15"/>
      <c r="R11553" t="s" s="16">
        <f>HYPERLINK("http://secrets.rutgers.edu:8080/data/asl-ftp/asllvd/demos/verify_start_end_handshape_annotations//test_auto_move//signs_mov_separ_signers/Liz_15831.mov","MOV")</f>
        <v>21</v>
      </c>
    </row>
    <row r="11554" s="2" customFormat="1" ht="13.5" customHeight="1">
      <c r="B11554" s="13"/>
      <c r="C11554" t="s" s="9">
        <v>23</v>
      </c>
      <c r="D11554" t="s" s="8">
        <v>4328</v>
      </c>
      <c r="E11554" t="s" s="9">
        <v>4329</v>
      </c>
      <c r="F11554" s="19">
        <v>1</v>
      </c>
      <c r="G11554" s="17">
        <v>1</v>
      </c>
      <c r="H11554" s="19">
        <v>1</v>
      </c>
      <c r="I11554" s="17">
        <v>1</v>
      </c>
      <c r="J11554" t="s" s="11">
        <v>20</v>
      </c>
      <c r="K11554" t="s" s="16">
        <f>HYPERLINK("http://csr.bu.edu/ftp/asl/asllvd/demos/verify_start_end_handshape_annotations//test_auto_move//signs_mov/15831.mov","MOV")</f>
        <v>21</v>
      </c>
      <c r="L11554" t="s" s="16">
        <f>HYPERLINK("http://csr.bu.edu/ftp/asl/asllvd/demos/verify_start_end_handshape_annotations//test_auto_move//signs_mov_separ_signers/Tyler_15831.mov","MOV")</f>
        <v>21</v>
      </c>
      <c r="M11554" t="s" s="10">
        <v>125</v>
      </c>
      <c r="N11554" s="17">
        <v>3</v>
      </c>
      <c r="O11554" s="18">
        <v>1810</v>
      </c>
      <c r="P11554" s="18">
        <v>1860</v>
      </c>
      <c r="Q11554" t="s" s="16">
        <f>HYPERLINK("http://secrets.rutgers.edu:8080/data/asl-ftp/asllvd/demos/verify_start_end_handshape_annotations//test_auto_move//signs_mov/15831.mov","MOV")</f>
        <v>21</v>
      </c>
      <c r="R11554" t="s" s="16">
        <f>HYPERLINK("http://secrets.rutgers.edu:8080/data/asl-ftp/asllvd/demos/verify_start_end_handshape_annotations//test_auto_move//signs_mov_separ_signers/Tyler_15831.mov","MOV")</f>
        <v>21</v>
      </c>
    </row>
    <row r="11555" s="2" customFormat="1" ht="13.5" customHeight="1">
      <c r="B11555" s="13"/>
      <c r="C11555" t="s" s="9">
        <v>27</v>
      </c>
      <c r="D11555" t="s" s="8">
        <v>4328</v>
      </c>
      <c r="E11555" t="s" s="9">
        <v>4329</v>
      </c>
      <c r="F11555" s="19">
        <v>1</v>
      </c>
      <c r="G11555" s="17">
        <v>1</v>
      </c>
      <c r="H11555" s="19">
        <v>1</v>
      </c>
      <c r="I11555" s="17">
        <v>1</v>
      </c>
      <c r="J11555" t="s" s="11">
        <v>20</v>
      </c>
      <c r="K11555" s="15"/>
      <c r="L11555" t="s" s="16">
        <f>HYPERLINK("http://csr.bu.edu/ftp/asl/asllvd/demos/verify_start_end_handshape_annotations//test_auto_move//signs_mov_separ_signers/Naomi_15831.mov","MOV")</f>
        <v>21</v>
      </c>
      <c r="M11555" t="s" s="10">
        <v>86</v>
      </c>
      <c r="N11555" s="17">
        <v>3</v>
      </c>
      <c r="O11555" s="18">
        <v>1740</v>
      </c>
      <c r="P11555" s="18">
        <v>1775</v>
      </c>
      <c r="Q11555" s="15"/>
      <c r="R11555" t="s" s="16">
        <f>HYPERLINK("http://secrets.rutgers.edu:8080/data/asl-ftp/asllvd/demos/verify_start_end_handshape_annotations//test_auto_move//signs_mov_separ_signers/Naomi_15831.mov","MOV")</f>
        <v>21</v>
      </c>
    </row>
    <row r="11556" s="2" customFormat="1" ht="13.5" customHeight="1">
      <c r="B11556" s="13"/>
      <c r="C11556" t="s" s="9">
        <v>30</v>
      </c>
      <c r="D11556" t="s" s="8">
        <v>4328</v>
      </c>
      <c r="E11556" t="s" s="9">
        <v>4329</v>
      </c>
      <c r="F11556" s="19">
        <v>1</v>
      </c>
      <c r="G11556" s="17">
        <v>1</v>
      </c>
      <c r="H11556" s="19">
        <v>1</v>
      </c>
      <c r="I11556" s="17">
        <v>1</v>
      </c>
      <c r="J11556" t="s" s="11">
        <v>20</v>
      </c>
      <c r="K11556" s="15"/>
      <c r="L11556" t="s" s="16">
        <f>HYPERLINK("http://csr.bu.edu/ftp/asl/asllvd/demos/verify_start_end_handshape_annotations//test_auto_move//signs_mov_separ_signers/Brady_15831.mov","MOV")</f>
        <v>21</v>
      </c>
      <c r="M11556" t="s" s="10">
        <v>31</v>
      </c>
      <c r="N11556" s="17">
        <v>29</v>
      </c>
      <c r="O11556" s="18">
        <v>16344</v>
      </c>
      <c r="P11556" s="18">
        <v>16373</v>
      </c>
      <c r="Q11556" s="15"/>
      <c r="R11556" t="s" s="16">
        <f>HYPERLINK("http://secrets.rutgers.edu:8080/data/asl-ftp/asllvd/demos/verify_start_end_handshape_annotations//test_auto_move//signs_mov_separ_signers/Brady_15831.mov","MOV")</f>
        <v>21</v>
      </c>
    </row>
    <row r="11557" s="2" customFormat="1" ht="13.5" customHeight="1">
      <c r="B11557" t="s" s="8">
        <v>4330</v>
      </c>
      <c r="C11557" t="s" s="9">
        <v>14</v>
      </c>
      <c r="D11557" t="s" s="8">
        <v>14</v>
      </c>
      <c r="E11557" t="s" s="9">
        <v>14</v>
      </c>
      <c r="F11557" t="s" s="10">
        <v>14</v>
      </c>
      <c r="G11557" t="s" s="11">
        <v>14</v>
      </c>
      <c r="H11557" t="s" s="10">
        <v>14</v>
      </c>
      <c r="I11557" t="s" s="11">
        <v>14</v>
      </c>
      <c r="J11557" t="s" s="11">
        <v>14</v>
      </c>
      <c r="K11557" t="s" s="12">
        <v>14</v>
      </c>
      <c r="L11557" t="s" s="12">
        <v>14</v>
      </c>
      <c r="M11557" t="s" s="10">
        <v>14</v>
      </c>
      <c r="N11557" t="s" s="11">
        <v>14</v>
      </c>
      <c r="O11557" t="s" s="8">
        <v>14</v>
      </c>
      <c r="P11557" t="s" s="8">
        <v>14</v>
      </c>
      <c r="Q11557" t="s" s="12">
        <v>14</v>
      </c>
      <c r="R11557" t="s" s="12">
        <v>14</v>
      </c>
    </row>
    <row r="11558" s="2" customFormat="1" ht="13.5" customHeight="1">
      <c r="B11558" s="13"/>
      <c r="C11558" t="s" s="9">
        <v>16</v>
      </c>
      <c r="D11558" t="s" s="8">
        <v>4330</v>
      </c>
      <c r="E11558" t="s" s="9">
        <v>4331</v>
      </c>
      <c r="F11558" t="s" s="10">
        <v>119</v>
      </c>
      <c r="G11558" t="s" s="11">
        <v>119</v>
      </c>
      <c r="H11558" t="s" s="10">
        <v>119</v>
      </c>
      <c r="I11558" t="s" s="11">
        <v>119</v>
      </c>
      <c r="J11558" t="s" s="11">
        <v>20</v>
      </c>
      <c r="K11558" s="15"/>
      <c r="L11558" t="s" s="16">
        <f>HYPERLINK("http://csr.bu.edu/ftp/asl/asllvd/demos/verify_start_end_handshape_annotations//test_auto_move//signs_mov_separ_signers/Liz_15856.mov","MOV")</f>
        <v>21</v>
      </c>
      <c r="M11558" t="s" s="10">
        <v>88</v>
      </c>
      <c r="N11558" s="17">
        <v>2</v>
      </c>
      <c r="O11558" s="18">
        <v>295</v>
      </c>
      <c r="P11558" s="18">
        <v>371</v>
      </c>
      <c r="Q11558" s="15"/>
      <c r="R11558" t="s" s="16">
        <f>HYPERLINK("http://secrets.rutgers.edu:8080/data/asl-ftp/asllvd/demos/verify_start_end_handshape_annotations//test_auto_move//signs_mov_separ_signers/Liz_15856.mov","MOV")</f>
        <v>21</v>
      </c>
    </row>
    <row r="11559" s="2" customFormat="1" ht="13.5" customHeight="1">
      <c r="B11559" s="13"/>
      <c r="C11559" t="s" s="9">
        <v>30</v>
      </c>
      <c r="D11559" t="s" s="8">
        <v>4330</v>
      </c>
      <c r="E11559" t="s" s="9">
        <v>4331</v>
      </c>
      <c r="F11559" t="s" s="10">
        <v>1352</v>
      </c>
      <c r="G11559" t="s" s="11">
        <v>1352</v>
      </c>
      <c r="H11559" t="s" s="10">
        <v>1352</v>
      </c>
      <c r="I11559" t="s" s="11">
        <v>1352</v>
      </c>
      <c r="J11559" t="s" s="11">
        <v>20</v>
      </c>
      <c r="K11559" t="s" s="16">
        <f>HYPERLINK("http://csr.bu.edu/ftp/asl/asllvd/demos/verify_start_end_handshape_annotations//test_auto_move//signs_mov/15856_15858_merged.mov","MOV")</f>
        <v>21</v>
      </c>
      <c r="L11559" t="s" s="16">
        <f>HYPERLINK("http://csr.bu.edu/ftp/asl/asllvd/demos/verify_start_end_handshape_annotations//test_auto_move//signs_mov_separ_signers/Brady_15856.mov","MOV")</f>
        <v>21</v>
      </c>
      <c r="M11559" t="s" s="10">
        <v>39</v>
      </c>
      <c r="N11559" s="17">
        <v>55</v>
      </c>
      <c r="O11559" s="18">
        <v>6680</v>
      </c>
      <c r="P11559" s="18">
        <v>6724</v>
      </c>
      <c r="Q11559" t="s" s="16">
        <f>HYPERLINK("http://secrets.rutgers.edu:8080/data/asl-ftp/asllvd/demos/verify_start_end_handshape_annotations//test_auto_move//signs_mov/15856_15858_merged.mov","MOV")</f>
        <v>21</v>
      </c>
      <c r="R11559" t="s" s="16">
        <f>HYPERLINK("http://secrets.rutgers.edu:8080/data/asl-ftp/asllvd/demos/verify_start_end_handshape_annotations//test_auto_move//signs_mov_separ_signers/Brady_15856.mov","MOV")</f>
        <v>21</v>
      </c>
    </row>
    <row r="11560" s="2" customFormat="1" ht="13.5" customHeight="1">
      <c r="B11560" s="13"/>
      <c r="C11560" t="s" s="9">
        <v>30</v>
      </c>
      <c r="D11560" t="s" s="8">
        <v>4330</v>
      </c>
      <c r="E11560" t="s" s="9">
        <v>4331</v>
      </c>
      <c r="F11560" t="s" s="10">
        <v>158</v>
      </c>
      <c r="G11560" t="s" s="11">
        <v>158</v>
      </c>
      <c r="H11560" t="s" s="10">
        <v>158</v>
      </c>
      <c r="I11560" t="s" s="11">
        <v>158</v>
      </c>
      <c r="J11560" t="s" s="11">
        <v>20</v>
      </c>
      <c r="K11560" s="15"/>
      <c r="L11560" t="s" s="16">
        <f>HYPERLINK("http://csr.bu.edu/ftp/asl/asllvd/demos/verify_start_end_handshape_annotations//test_auto_move//signs_mov_separ_signers/Brady_15858.mov","MOV")</f>
        <v>21</v>
      </c>
      <c r="M11560" t="s" s="10">
        <v>60</v>
      </c>
      <c r="N11560" s="17">
        <v>47</v>
      </c>
      <c r="O11560" s="18">
        <v>1255</v>
      </c>
      <c r="P11560" s="18">
        <v>1327</v>
      </c>
      <c r="Q11560" s="15"/>
      <c r="R11560" t="s" s="16">
        <f>HYPERLINK("http://secrets.rutgers.edu:8080/data/asl-ftp/asllvd/demos/verify_start_end_handshape_annotations//test_auto_move//signs_mov_separ_signers/Brady_15858.mov","MOV")</f>
        <v>21</v>
      </c>
    </row>
    <row r="11561" s="2" customFormat="1" ht="13.5" customHeight="1">
      <c r="B11561" t="s" s="8">
        <v>52</v>
      </c>
      <c r="C11561" t="s" s="9">
        <v>53</v>
      </c>
      <c r="D11561" t="s" s="8">
        <v>53</v>
      </c>
      <c r="E11561" t="s" s="9">
        <v>53</v>
      </c>
      <c r="F11561" t="s" s="10">
        <v>53</v>
      </c>
      <c r="G11561" t="s" s="11">
        <v>53</v>
      </c>
      <c r="H11561" t="s" s="10">
        <v>53</v>
      </c>
      <c r="I11561" t="s" s="11">
        <v>53</v>
      </c>
      <c r="J11561" t="s" s="11">
        <v>53</v>
      </c>
      <c r="K11561" t="s" s="12">
        <v>53</v>
      </c>
      <c r="L11561" t="s" s="12">
        <v>53</v>
      </c>
      <c r="M11561" t="s" s="10">
        <v>53</v>
      </c>
      <c r="N11561" t="s" s="11">
        <v>53</v>
      </c>
      <c r="O11561" t="s" s="8">
        <v>53</v>
      </c>
      <c r="P11561" t="s" s="8">
        <v>53</v>
      </c>
      <c r="Q11561" t="s" s="12">
        <v>53</v>
      </c>
      <c r="R11561" t="s" s="12">
        <v>53</v>
      </c>
    </row>
    <row r="11562" s="2" customFormat="1" ht="13.5" customHeight="1">
      <c r="B11562" s="13"/>
      <c r="C11562" t="s" s="9">
        <v>23</v>
      </c>
      <c r="D11562" t="s" s="8">
        <v>4330</v>
      </c>
      <c r="E11562" t="s" s="9">
        <v>4332</v>
      </c>
      <c r="F11562" t="s" s="10">
        <v>1352</v>
      </c>
      <c r="G11562" t="s" s="11">
        <v>1352</v>
      </c>
      <c r="H11562" t="s" s="10">
        <v>1352</v>
      </c>
      <c r="I11562" t="s" s="11">
        <v>1352</v>
      </c>
      <c r="J11562" t="s" s="11">
        <v>20</v>
      </c>
      <c r="K11562" t="s" s="16">
        <f>HYPERLINK("http://csr.bu.edu/ftp/asl/asllvd/demos/verify_start_end_handshape_annotations//test_auto_move//signs_mov/15862.mov","MOV")</f>
        <v>21</v>
      </c>
      <c r="L11562" t="s" s="16">
        <f>HYPERLINK("http://csr.bu.edu/ftp/asl/asllvd/demos/verify_start_end_handshape_annotations//test_auto_move//signs_mov_separ_signers/Tyler_15862.mov","MOV")</f>
        <v>21</v>
      </c>
      <c r="M11562" t="s" s="10">
        <v>47</v>
      </c>
      <c r="N11562" s="17">
        <v>11</v>
      </c>
      <c r="O11562" s="18">
        <v>2662</v>
      </c>
      <c r="P11562" s="18">
        <v>2720</v>
      </c>
      <c r="Q11562" t="s" s="16">
        <f>HYPERLINK("http://secrets.rutgers.edu:8080/data/asl-ftp/asllvd/demos/verify_start_end_handshape_annotations//test_auto_move//signs_mov/15862.mov","MOV")</f>
        <v>21</v>
      </c>
      <c r="R11562" t="s" s="16">
        <f>HYPERLINK("http://secrets.rutgers.edu:8080/data/asl-ftp/asllvd/demos/verify_start_end_handshape_annotations//test_auto_move//signs_mov_separ_signers/Tyler_15862.mov","MOV")</f>
        <v>21</v>
      </c>
    </row>
    <row r="11563" s="2" customFormat="1" ht="13.5" customHeight="1">
      <c r="B11563" t="s" s="8">
        <v>52</v>
      </c>
      <c r="C11563" t="s" s="9">
        <v>53</v>
      </c>
      <c r="D11563" t="s" s="8">
        <v>53</v>
      </c>
      <c r="E11563" t="s" s="9">
        <v>53</v>
      </c>
      <c r="F11563" t="s" s="10">
        <v>53</v>
      </c>
      <c r="G11563" t="s" s="11">
        <v>53</v>
      </c>
      <c r="H11563" t="s" s="10">
        <v>53</v>
      </c>
      <c r="I11563" t="s" s="11">
        <v>53</v>
      </c>
      <c r="J11563" t="s" s="11">
        <v>53</v>
      </c>
      <c r="K11563" t="s" s="12">
        <v>53</v>
      </c>
      <c r="L11563" t="s" s="12">
        <v>53</v>
      </c>
      <c r="M11563" t="s" s="10">
        <v>53</v>
      </c>
      <c r="N11563" t="s" s="11">
        <v>53</v>
      </c>
      <c r="O11563" t="s" s="8">
        <v>53</v>
      </c>
      <c r="P11563" t="s" s="8">
        <v>53</v>
      </c>
      <c r="Q11563" t="s" s="12">
        <v>53</v>
      </c>
      <c r="R11563" t="s" s="12">
        <v>53</v>
      </c>
    </row>
    <row r="11564" s="2" customFormat="1" ht="13.5" customHeight="1">
      <c r="B11564" s="13"/>
      <c r="C11564" t="s" s="9">
        <v>16</v>
      </c>
      <c r="D11564" t="s" s="8">
        <v>4330</v>
      </c>
      <c r="E11564" t="s" s="9">
        <v>4333</v>
      </c>
      <c r="F11564" t="s" s="10">
        <v>119</v>
      </c>
      <c r="G11564" s="14"/>
      <c r="H11564" t="s" s="10">
        <v>119</v>
      </c>
      <c r="I11564" s="14"/>
      <c r="J11564" t="s" s="11">
        <v>20</v>
      </c>
      <c r="K11564" s="15"/>
      <c r="L11564" t="s" s="16">
        <f>HYPERLINK("http://csr.bu.edu/ftp/asl/asllvd/demos/verify_start_end_handshape_annotations//test_auto_move//signs_mov_separ_signers/Liz_15903.mov","MOV")</f>
        <v>21</v>
      </c>
      <c r="M11564" t="s" s="10">
        <v>88</v>
      </c>
      <c r="N11564" s="17">
        <v>12</v>
      </c>
      <c r="O11564" s="18">
        <v>785</v>
      </c>
      <c r="P11564" s="18">
        <v>836</v>
      </c>
      <c r="Q11564" s="15"/>
      <c r="R11564" t="s" s="16">
        <f>HYPERLINK("http://secrets.rutgers.edu:8080/data/asl-ftp/asllvd/demos/verify_start_end_handshape_annotations//test_auto_move//signs_mov_separ_signers/Liz_15903.mov","MOV")</f>
        <v>21</v>
      </c>
    </row>
    <row r="11565" s="2" customFormat="1" ht="13.5" customHeight="1">
      <c r="B11565" s="13"/>
      <c r="C11565" t="s" s="9">
        <v>23</v>
      </c>
      <c r="D11565" t="s" s="8">
        <v>4330</v>
      </c>
      <c r="E11565" t="s" s="9">
        <v>4333</v>
      </c>
      <c r="F11565" t="s" s="10">
        <v>119</v>
      </c>
      <c r="G11565" s="14"/>
      <c r="H11565" t="s" s="10">
        <v>119</v>
      </c>
      <c r="I11565" s="14"/>
      <c r="J11565" t="s" s="11">
        <v>20</v>
      </c>
      <c r="K11565" t="s" s="16">
        <f>HYPERLINK("http://csr.bu.edu/ftp/asl/asllvd/demos/verify_start_end_handshape_annotations//test_auto_move//signs_mov/15903_16028_merged.mov","MOV")</f>
        <v>21</v>
      </c>
      <c r="L11565" t="s" s="16">
        <f>HYPERLINK("http://csr.bu.edu/ftp/asl/asllvd/demos/verify_start_end_handshape_annotations//test_auto_move//signs_mov_separ_signers/Tyler_15903.mov","MOV")</f>
        <v>21</v>
      </c>
      <c r="M11565" t="s" s="10">
        <v>47</v>
      </c>
      <c r="N11565" s="17">
        <v>21</v>
      </c>
      <c r="O11565" s="18">
        <v>313</v>
      </c>
      <c r="P11565" s="18">
        <v>353</v>
      </c>
      <c r="Q11565" t="s" s="16">
        <f>HYPERLINK("http://secrets.rutgers.edu:8080/data/asl-ftp/asllvd/demos/verify_start_end_handshape_annotations//test_auto_move//signs_mov/15903_16028_merged.mov","MOV")</f>
        <v>21</v>
      </c>
      <c r="R11565" t="s" s="16">
        <f>HYPERLINK("http://secrets.rutgers.edu:8080/data/asl-ftp/asllvd/demos/verify_start_end_handshape_annotations//test_auto_move//signs_mov_separ_signers/Tyler_15903.mov","MOV")</f>
        <v>21</v>
      </c>
    </row>
    <row r="11566" s="2" customFormat="1" ht="13.5" customHeight="1">
      <c r="B11566" s="13"/>
      <c r="C11566" t="s" s="9">
        <v>30</v>
      </c>
      <c r="D11566" t="s" s="8">
        <v>4330</v>
      </c>
      <c r="E11566" t="s" s="9">
        <v>4333</v>
      </c>
      <c r="F11566" t="s" s="10">
        <v>158</v>
      </c>
      <c r="G11566" s="14"/>
      <c r="H11566" t="s" s="10">
        <v>158</v>
      </c>
      <c r="I11566" s="14"/>
      <c r="J11566" t="s" s="11">
        <v>20</v>
      </c>
      <c r="K11566" s="15"/>
      <c r="L11566" t="s" s="16">
        <f>HYPERLINK("http://csr.bu.edu/ftp/asl/asllvd/demos/verify_start_end_handshape_annotations//test_auto_move//signs_mov_separ_signers/Brady_15903.mov","MOV")</f>
        <v>21</v>
      </c>
      <c r="M11566" t="s" s="10">
        <v>40</v>
      </c>
      <c r="N11566" s="17">
        <v>115</v>
      </c>
      <c r="O11566" s="18">
        <v>662</v>
      </c>
      <c r="P11566" s="18">
        <v>734</v>
      </c>
      <c r="Q11566" s="15"/>
      <c r="R11566" t="s" s="16">
        <f>HYPERLINK("http://secrets.rutgers.edu:8080/data/asl-ftp/asllvd/demos/verify_start_end_handshape_annotations//test_auto_move//signs_mov_separ_signers/Brady_15903.mov","MOV")</f>
        <v>21</v>
      </c>
    </row>
    <row r="11567" s="2" customFormat="1" ht="13.5" customHeight="1">
      <c r="B11567" s="13"/>
      <c r="C11567" t="s" s="9">
        <v>30</v>
      </c>
      <c r="D11567" t="s" s="8">
        <v>4330</v>
      </c>
      <c r="E11567" t="s" s="9">
        <v>4333</v>
      </c>
      <c r="F11567" t="s" s="10">
        <v>158</v>
      </c>
      <c r="G11567" s="14"/>
      <c r="H11567" t="s" s="10">
        <v>158</v>
      </c>
      <c r="I11567" s="14"/>
      <c r="J11567" t="s" s="11">
        <v>20</v>
      </c>
      <c r="K11567" s="15"/>
      <c r="L11567" t="s" s="16">
        <f>HYPERLINK("http://csr.bu.edu/ftp/asl/asllvd/demos/verify_start_end_handshape_annotations//test_auto_move//signs_mov_separ_signers/Brady_16028.mov","MOV")</f>
        <v>21</v>
      </c>
      <c r="M11567" t="s" s="10">
        <v>60</v>
      </c>
      <c r="N11567" s="17">
        <v>47</v>
      </c>
      <c r="O11567" s="18">
        <v>2259</v>
      </c>
      <c r="P11567" s="18">
        <v>2320</v>
      </c>
      <c r="Q11567" s="15"/>
      <c r="R11567" t="s" s="16">
        <f>HYPERLINK("http://secrets.rutgers.edu:8080/data/asl-ftp/asllvd/demos/verify_start_end_handshape_annotations//test_auto_move//signs_mov_separ_signers/Brady_16028.mov","MOV")</f>
        <v>21</v>
      </c>
    </row>
    <row r="11568" s="2" customFormat="1" ht="13.5" customHeight="1">
      <c r="B11568" t="s" s="8">
        <v>4334</v>
      </c>
      <c r="C11568" t="s" s="9">
        <v>14</v>
      </c>
      <c r="D11568" t="s" s="8">
        <v>14</v>
      </c>
      <c r="E11568" t="s" s="9">
        <v>14</v>
      </c>
      <c r="F11568" t="s" s="10">
        <v>14</v>
      </c>
      <c r="G11568" t="s" s="11">
        <v>14</v>
      </c>
      <c r="H11568" t="s" s="10">
        <v>14</v>
      </c>
      <c r="I11568" t="s" s="11">
        <v>14</v>
      </c>
      <c r="J11568" t="s" s="11">
        <v>14</v>
      </c>
      <c r="K11568" t="s" s="12">
        <v>14</v>
      </c>
      <c r="L11568" t="s" s="12">
        <v>14</v>
      </c>
      <c r="M11568" t="s" s="10">
        <v>14</v>
      </c>
      <c r="N11568" t="s" s="11">
        <v>14</v>
      </c>
      <c r="O11568" t="s" s="8">
        <v>14</v>
      </c>
      <c r="P11568" t="s" s="8">
        <v>14</v>
      </c>
      <c r="Q11568" t="s" s="12">
        <v>14</v>
      </c>
      <c r="R11568" t="s" s="12">
        <v>14</v>
      </c>
    </row>
    <row r="11569" s="2" customFormat="1" ht="13.5" customHeight="1">
      <c r="B11569" s="13"/>
      <c r="C11569" t="s" s="9">
        <v>16</v>
      </c>
      <c r="D11569" t="s" s="8">
        <v>4334</v>
      </c>
      <c r="E11569" t="s" s="9">
        <v>4335</v>
      </c>
      <c r="F11569" t="s" s="10">
        <v>255</v>
      </c>
      <c r="G11569" s="14"/>
      <c r="H11569" t="s" s="10">
        <v>255</v>
      </c>
      <c r="I11569" s="14"/>
      <c r="J11569" t="s" s="11">
        <v>20</v>
      </c>
      <c r="K11569" s="15"/>
      <c r="L11569" t="s" s="16">
        <f>HYPERLINK("http://csr.bu.edu/ftp/asl/asllvd/demos/verify_start_end_handshape_annotations//test_auto_move//signs_mov_separ_signers/Liz_16159.mov","MOV")</f>
        <v>21</v>
      </c>
      <c r="M11569" t="s" s="10">
        <v>22</v>
      </c>
      <c r="N11569" s="17">
        <v>53</v>
      </c>
      <c r="O11569" s="18">
        <v>1446</v>
      </c>
      <c r="P11569" s="18">
        <v>1480</v>
      </c>
      <c r="Q11569" s="15"/>
      <c r="R11569" t="s" s="16">
        <f>HYPERLINK("http://secrets.rutgers.edu:8080/data/asl-ftp/asllvd/demos/verify_start_end_handshape_annotations//test_auto_move//signs_mov_separ_signers/Liz_16159.mov","MOV")</f>
        <v>21</v>
      </c>
    </row>
    <row r="11570" s="2" customFormat="1" ht="13.5" customHeight="1">
      <c r="B11570" s="13"/>
      <c r="C11570" t="s" s="9">
        <v>23</v>
      </c>
      <c r="D11570" t="s" s="8">
        <v>4334</v>
      </c>
      <c r="E11570" t="s" s="9">
        <v>4336</v>
      </c>
      <c r="F11570" t="s" s="10">
        <v>255</v>
      </c>
      <c r="G11570" s="14"/>
      <c r="H11570" t="s" s="10">
        <v>255</v>
      </c>
      <c r="I11570" s="14"/>
      <c r="J11570" t="s" s="11">
        <v>20</v>
      </c>
      <c r="K11570" t="s" s="16">
        <f>HYPERLINK("http://csr.bu.edu/ftp/asl/asllvd/demos/verify_start_end_handshape_annotations//test_auto_move//signs_mov/16159.mov","MOV")</f>
        <v>21</v>
      </c>
      <c r="L11570" t="s" s="16">
        <f>HYPERLINK("http://csr.bu.edu/ftp/asl/asllvd/demos/verify_start_end_handshape_annotations//test_auto_move//signs_mov_separ_signers/Tyler_16159.mov","MOV")</f>
        <v>21</v>
      </c>
      <c r="M11570" t="s" s="10">
        <v>26</v>
      </c>
      <c r="N11570" s="17">
        <v>33</v>
      </c>
      <c r="O11570" s="18">
        <v>1326</v>
      </c>
      <c r="P11570" s="18">
        <v>1370</v>
      </c>
      <c r="Q11570" t="s" s="16">
        <f>HYPERLINK("http://secrets.rutgers.edu:8080/data/asl-ftp/asllvd/demos/verify_start_end_handshape_annotations//test_auto_move//signs_mov/16159.mov","MOV")</f>
        <v>21</v>
      </c>
      <c r="R11570" t="s" s="16">
        <f>HYPERLINK("http://secrets.rutgers.edu:8080/data/asl-ftp/asllvd/demos/verify_start_end_handshape_annotations//test_auto_move//signs_mov_separ_signers/Tyler_16159.mov","MOV")</f>
        <v>21</v>
      </c>
    </row>
    <row r="11571" s="2" customFormat="1" ht="13.5" customHeight="1">
      <c r="B11571" s="13"/>
      <c r="C11571" t="s" s="9">
        <v>27</v>
      </c>
      <c r="D11571" t="s" s="8">
        <v>4334</v>
      </c>
      <c r="E11571" t="s" s="9">
        <v>4336</v>
      </c>
      <c r="F11571" t="s" s="10">
        <v>255</v>
      </c>
      <c r="G11571" s="14"/>
      <c r="H11571" t="s" s="10">
        <v>255</v>
      </c>
      <c r="I11571" s="14"/>
      <c r="J11571" t="s" s="11">
        <v>20</v>
      </c>
      <c r="K11571" s="15"/>
      <c r="L11571" t="s" s="16">
        <f>HYPERLINK("http://csr.bu.edu/ftp/asl/asllvd/demos/verify_start_end_handshape_annotations//test_auto_move//signs_mov_separ_signers/Naomi_16159.mov","MOV")</f>
        <v>21</v>
      </c>
      <c r="M11571" t="s" s="10">
        <v>29</v>
      </c>
      <c r="N11571" s="17">
        <v>34</v>
      </c>
      <c r="O11571" s="18">
        <v>1615</v>
      </c>
      <c r="P11571" s="18">
        <v>1661</v>
      </c>
      <c r="Q11571" s="15"/>
      <c r="R11571" t="s" s="16">
        <f>HYPERLINK("http://secrets.rutgers.edu:8080/data/asl-ftp/asllvd/demos/verify_start_end_handshape_annotations//test_auto_move//signs_mov_separ_signers/Naomi_16159.mov","MOV")</f>
        <v>21</v>
      </c>
    </row>
    <row r="11572" s="2" customFormat="1" ht="13.5" customHeight="1">
      <c r="B11572" s="13"/>
      <c r="C11572" t="s" s="9">
        <v>30</v>
      </c>
      <c r="D11572" t="s" s="8">
        <v>4334</v>
      </c>
      <c r="E11572" t="s" s="9">
        <v>4335</v>
      </c>
      <c r="F11572" t="s" s="10">
        <v>255</v>
      </c>
      <c r="G11572" s="14"/>
      <c r="H11572" t="s" s="10">
        <v>255</v>
      </c>
      <c r="I11572" s="14"/>
      <c r="J11572" t="s" s="11">
        <v>20</v>
      </c>
      <c r="K11572" s="15"/>
      <c r="L11572" t="s" s="16">
        <f>HYPERLINK("http://csr.bu.edu/ftp/asl/asllvd/demos/verify_start_end_handshape_annotations//test_auto_move//signs_mov_separ_signers/Brady_16159.mov","MOV")</f>
        <v>21</v>
      </c>
      <c r="M11572" t="s" s="10">
        <v>31</v>
      </c>
      <c r="N11572" s="17">
        <v>23</v>
      </c>
      <c r="O11572" s="18">
        <v>264</v>
      </c>
      <c r="P11572" s="18">
        <v>283</v>
      </c>
      <c r="Q11572" s="15"/>
      <c r="R11572" t="s" s="16">
        <f>HYPERLINK("http://secrets.rutgers.edu:8080/data/asl-ftp/asllvd/demos/verify_start_end_handshape_annotations//test_auto_move//signs_mov_separ_signers/Brady_16159.mov","MOV")</f>
        <v>21</v>
      </c>
    </row>
    <row r="11573" s="2" customFormat="1" ht="13.5" customHeight="1">
      <c r="B11573" t="s" s="8">
        <v>4337</v>
      </c>
      <c r="C11573" t="s" s="9">
        <v>14</v>
      </c>
      <c r="D11573" t="s" s="8">
        <v>14</v>
      </c>
      <c r="E11573" t="s" s="9">
        <v>14</v>
      </c>
      <c r="F11573" t="s" s="10">
        <v>14</v>
      </c>
      <c r="G11573" t="s" s="11">
        <v>14</v>
      </c>
      <c r="H11573" t="s" s="10">
        <v>14</v>
      </c>
      <c r="I11573" t="s" s="11">
        <v>14</v>
      </c>
      <c r="J11573" t="s" s="11">
        <v>14</v>
      </c>
      <c r="K11573" t="s" s="12">
        <v>14</v>
      </c>
      <c r="L11573" t="s" s="12">
        <v>14</v>
      </c>
      <c r="M11573" t="s" s="10">
        <v>14</v>
      </c>
      <c r="N11573" t="s" s="11">
        <v>14</v>
      </c>
      <c r="O11573" t="s" s="8">
        <v>14</v>
      </c>
      <c r="P11573" t="s" s="8">
        <v>14</v>
      </c>
      <c r="Q11573" t="s" s="12">
        <v>14</v>
      </c>
      <c r="R11573" t="s" s="12">
        <v>14</v>
      </c>
    </row>
    <row r="11574" s="2" customFormat="1" ht="13.5" customHeight="1">
      <c r="B11574" s="13"/>
      <c r="C11574" t="s" s="9">
        <v>16</v>
      </c>
      <c r="D11574" t="s" s="8">
        <v>4337</v>
      </c>
      <c r="E11574" t="s" s="9">
        <v>4338</v>
      </c>
      <c r="F11574" t="s" s="10">
        <v>255</v>
      </c>
      <c r="G11574" s="14"/>
      <c r="H11574" t="s" s="10">
        <v>255</v>
      </c>
      <c r="I11574" s="14"/>
      <c r="J11574" t="s" s="11">
        <v>20</v>
      </c>
      <c r="K11574" s="15"/>
      <c r="L11574" t="s" s="16">
        <f>HYPERLINK("http://csr.bu.edu/ftp/asl/asllvd/demos/verify_start_end_handshape_annotations//test_auto_move//signs_mov_separ_signers/Liz_16174.mov","MOV")</f>
        <v>21</v>
      </c>
      <c r="M11574" t="s" s="10">
        <v>59</v>
      </c>
      <c r="N11574" s="17">
        <v>43</v>
      </c>
      <c r="O11574" s="18">
        <v>285</v>
      </c>
      <c r="P11574" s="18">
        <v>315</v>
      </c>
      <c r="Q11574" s="15"/>
      <c r="R11574" t="s" s="16">
        <f>HYPERLINK("http://secrets.rutgers.edu:8080/data/asl-ftp/asllvd/demos/verify_start_end_handshape_annotations//test_auto_move//signs_mov_separ_signers/Liz_16174.mov","MOV")</f>
        <v>21</v>
      </c>
    </row>
    <row r="11575" s="2" customFormat="1" ht="13.5" customHeight="1">
      <c r="B11575" s="13"/>
      <c r="C11575" t="s" s="9">
        <v>16</v>
      </c>
      <c r="D11575" t="s" s="8">
        <v>4337</v>
      </c>
      <c r="E11575" t="s" s="9">
        <v>4338</v>
      </c>
      <c r="F11575" t="s" s="10">
        <v>255</v>
      </c>
      <c r="G11575" s="14"/>
      <c r="H11575" t="s" s="10">
        <v>255</v>
      </c>
      <c r="I11575" s="14"/>
      <c r="J11575" t="s" s="11">
        <v>20</v>
      </c>
      <c r="K11575" t="s" s="16">
        <f>HYPERLINK("http://csr.bu.edu/ftp/asl/asllvd/demos/verify_start_end_handshape_annotations//test_auto_move//signs_mov/16174_16494_merged.mov","MOV")</f>
        <v>21</v>
      </c>
      <c r="L11575" t="s" s="16">
        <f>HYPERLINK("http://csr.bu.edu/ftp/asl/asllvd/demos/verify_start_end_handshape_annotations//test_auto_move//signs_mov_separ_signers/Liz_16494.mov","MOV")</f>
        <v>21</v>
      </c>
      <c r="M11575" t="s" s="10">
        <v>59</v>
      </c>
      <c r="N11575" s="17">
        <v>43</v>
      </c>
      <c r="O11575" s="18">
        <v>517</v>
      </c>
      <c r="P11575" s="18">
        <v>575</v>
      </c>
      <c r="Q11575" t="s" s="16">
        <f>HYPERLINK("http://secrets.rutgers.edu:8080/data/asl-ftp/asllvd/demos/verify_start_end_handshape_annotations//test_auto_move//signs_mov/16174_16494_merged.mov","MOV")</f>
        <v>21</v>
      </c>
      <c r="R11575" t="s" s="16">
        <f>HYPERLINK("http://secrets.rutgers.edu:8080/data/asl-ftp/asllvd/demos/verify_start_end_handshape_annotations//test_auto_move//signs_mov_separ_signers/Liz_16494.mov","MOV")</f>
        <v>21</v>
      </c>
    </row>
    <row r="11576" s="2" customFormat="1" ht="13.5" customHeight="1">
      <c r="B11576" s="13"/>
      <c r="C11576" t="s" s="9">
        <v>30</v>
      </c>
      <c r="D11576" t="s" s="8">
        <v>4337</v>
      </c>
      <c r="E11576" t="s" s="9">
        <v>4339</v>
      </c>
      <c r="F11576" t="s" s="10">
        <v>255</v>
      </c>
      <c r="G11576" s="14"/>
      <c r="H11576" t="s" s="10">
        <v>255</v>
      </c>
      <c r="I11576" s="14"/>
      <c r="J11576" t="s" s="11">
        <v>20</v>
      </c>
      <c r="K11576" s="15"/>
      <c r="L11576" t="s" s="16">
        <f>HYPERLINK("http://csr.bu.edu/ftp/asl/asllvd/demos/verify_start_end_handshape_annotations//test_auto_move//signs_mov_separ_signers/Brady_16174.mov","MOV")</f>
        <v>21</v>
      </c>
      <c r="M11576" t="s" s="10">
        <v>60</v>
      </c>
      <c r="N11576" s="17">
        <v>31</v>
      </c>
      <c r="O11576" s="18">
        <v>972</v>
      </c>
      <c r="P11576" s="18">
        <v>1002</v>
      </c>
      <c r="Q11576" s="15"/>
      <c r="R11576" t="s" s="16">
        <f>HYPERLINK("http://secrets.rutgers.edu:8080/data/asl-ftp/asllvd/demos/verify_start_end_handshape_annotations//test_auto_move//signs_mov_separ_signers/Brady_16174.mov","MOV")</f>
        <v>21</v>
      </c>
    </row>
    <row r="11577" s="2" customFormat="1" ht="13.5" customHeight="1">
      <c r="B11577" s="13"/>
      <c r="C11577" t="s" s="9">
        <v>30</v>
      </c>
      <c r="D11577" t="s" s="8">
        <v>4337</v>
      </c>
      <c r="E11577" t="s" s="9">
        <v>4338</v>
      </c>
      <c r="F11577" t="s" s="10">
        <v>255</v>
      </c>
      <c r="G11577" s="14"/>
      <c r="H11577" t="s" s="10">
        <v>255</v>
      </c>
      <c r="I11577" s="14"/>
      <c r="J11577" t="s" s="11">
        <v>20</v>
      </c>
      <c r="K11577" s="15"/>
      <c r="L11577" t="s" s="16">
        <f>HYPERLINK("http://csr.bu.edu/ftp/asl/asllvd/demos/verify_start_end_handshape_annotations//test_auto_move//signs_mov_separ_signers/Brady_16494.mov","MOV")</f>
        <v>21</v>
      </c>
      <c r="M11577" t="s" s="10">
        <v>60</v>
      </c>
      <c r="N11577" s="17">
        <v>31</v>
      </c>
      <c r="O11577" s="18">
        <v>1223</v>
      </c>
      <c r="P11577" s="18">
        <v>1262</v>
      </c>
      <c r="Q11577" s="15"/>
      <c r="R11577" t="s" s="16">
        <f>HYPERLINK("http://secrets.rutgers.edu:8080/data/asl-ftp/asllvd/demos/verify_start_end_handshape_annotations//test_auto_move//signs_mov_separ_signers/Brady_16494.mov","MOV")</f>
        <v>21</v>
      </c>
    </row>
    <row r="11578" s="2" customFormat="1" ht="13.5" customHeight="1">
      <c r="B11578" t="s" s="8">
        <v>4340</v>
      </c>
      <c r="C11578" t="s" s="9">
        <v>14</v>
      </c>
      <c r="D11578" t="s" s="8">
        <v>14</v>
      </c>
      <c r="E11578" t="s" s="9">
        <v>14</v>
      </c>
      <c r="F11578" t="s" s="10">
        <v>14</v>
      </c>
      <c r="G11578" t="s" s="11">
        <v>14</v>
      </c>
      <c r="H11578" t="s" s="10">
        <v>14</v>
      </c>
      <c r="I11578" t="s" s="11">
        <v>14</v>
      </c>
      <c r="J11578" t="s" s="11">
        <v>14</v>
      </c>
      <c r="K11578" t="s" s="12">
        <v>14</v>
      </c>
      <c r="L11578" t="s" s="12">
        <v>14</v>
      </c>
      <c r="M11578" t="s" s="10">
        <v>14</v>
      </c>
      <c r="N11578" t="s" s="11">
        <v>14</v>
      </c>
      <c r="O11578" t="s" s="8">
        <v>14</v>
      </c>
      <c r="P11578" t="s" s="8">
        <v>14</v>
      </c>
      <c r="Q11578" t="s" s="12">
        <v>14</v>
      </c>
      <c r="R11578" t="s" s="12">
        <v>14</v>
      </c>
    </row>
    <row r="11579" s="2" customFormat="1" ht="13.5" customHeight="1">
      <c r="B11579" s="13"/>
      <c r="C11579" t="s" s="9">
        <v>16</v>
      </c>
      <c r="D11579" t="s" s="8">
        <v>4340</v>
      </c>
      <c r="E11579" t="s" s="9">
        <v>4340</v>
      </c>
      <c r="F11579" s="19">
        <v>1</v>
      </c>
      <c r="G11579" t="s" s="11">
        <v>73</v>
      </c>
      <c r="H11579" s="19">
        <v>1</v>
      </c>
      <c r="I11579" t="s" s="11">
        <v>73</v>
      </c>
      <c r="J11579" t="s" s="11">
        <v>20</v>
      </c>
      <c r="K11579" s="15"/>
      <c r="L11579" t="s" s="16">
        <f>HYPERLINK("http://csr.bu.edu/ftp/asl/asllvd/demos/verify_start_end_handshape_annotations//test_auto_move//signs_mov_separ_signers/Liz_8663.mov","MOV")</f>
        <v>21</v>
      </c>
      <c r="M11579" t="s" s="10">
        <v>36</v>
      </c>
      <c r="N11579" s="17">
        <v>21</v>
      </c>
      <c r="O11579" s="18">
        <v>3505</v>
      </c>
      <c r="P11579" s="18">
        <v>3545</v>
      </c>
      <c r="Q11579" s="15"/>
      <c r="R11579" t="s" s="16">
        <f>HYPERLINK("http://secrets.rutgers.edu:8080/data/asl-ftp/asllvd/demos/verify_start_end_handshape_annotations//test_auto_move//signs_mov_separ_signers/Liz_8663.mov","MOV")</f>
        <v>21</v>
      </c>
    </row>
    <row r="11580" s="2" customFormat="1" ht="13.5" customHeight="1">
      <c r="B11580" s="13"/>
      <c r="C11580" t="s" s="9">
        <v>16</v>
      </c>
      <c r="D11580" t="s" s="8">
        <v>4340</v>
      </c>
      <c r="E11580" t="s" s="9">
        <v>4340</v>
      </c>
      <c r="F11580" s="19">
        <v>1</v>
      </c>
      <c r="G11580" s="17">
        <v>5</v>
      </c>
      <c r="H11580" s="19">
        <v>1</v>
      </c>
      <c r="I11580" s="17">
        <v>5</v>
      </c>
      <c r="J11580" t="s" s="11">
        <v>20</v>
      </c>
      <c r="K11580" t="s" s="16">
        <f>HYPERLINK("http://csr.bu.edu/ftp/asl/asllvd/demos/verify_start_end_handshape_annotations//test_auto_move//signs_mov/5490_8663_merged.mov","MOV")</f>
        <v>21</v>
      </c>
      <c r="L11580" t="s" s="16">
        <f>HYPERLINK("http://csr.bu.edu/ftp/asl/asllvd/demos/verify_start_end_handshape_annotations//test_auto_move//signs_mov_separ_signers/Liz_5490.mov","MOV")</f>
        <v>21</v>
      </c>
      <c r="M11580" t="s" s="10">
        <v>59</v>
      </c>
      <c r="N11580" s="17">
        <v>11</v>
      </c>
      <c r="O11580" s="18">
        <v>1790</v>
      </c>
      <c r="P11580" s="18">
        <v>1840</v>
      </c>
      <c r="Q11580" t="s" s="16">
        <f>HYPERLINK("http://secrets.rutgers.edu:8080/data/asl-ftp/asllvd/demos/verify_start_end_handshape_annotations//test_auto_move//signs_mov/5490_8663_merged.mov","MOV")</f>
        <v>21</v>
      </c>
      <c r="R11580" t="s" s="16">
        <f>HYPERLINK("http://secrets.rutgers.edu:8080/data/asl-ftp/asllvd/demos/verify_start_end_handshape_annotations//test_auto_move//signs_mov_separ_signers/Liz_5490.mov","MOV")</f>
        <v>21</v>
      </c>
    </row>
    <row r="11581" s="2" customFormat="1" ht="13.5" customHeight="1">
      <c r="B11581" s="13"/>
      <c r="C11581" t="s" s="9">
        <v>30</v>
      </c>
      <c r="D11581" t="s" s="8">
        <v>4340</v>
      </c>
      <c r="E11581" t="s" s="9">
        <v>4341</v>
      </c>
      <c r="F11581" s="19">
        <v>1</v>
      </c>
      <c r="G11581" t="s" s="11">
        <v>109</v>
      </c>
      <c r="H11581" s="19">
        <v>1</v>
      </c>
      <c r="I11581" t="s" s="11">
        <v>109</v>
      </c>
      <c r="J11581" t="s" s="11">
        <v>20</v>
      </c>
      <c r="K11581" s="15"/>
      <c r="L11581" t="s" s="16">
        <f>HYPERLINK("http://csr.bu.edu/ftp/asl/asllvd/demos/verify_start_end_handshape_annotations//test_auto_move//signs_mov_separ_signers/Brady_8663.mov","MOV")</f>
        <v>21</v>
      </c>
      <c r="M11581" t="s" s="10">
        <v>40</v>
      </c>
      <c r="N11581" s="17">
        <v>72</v>
      </c>
      <c r="O11581" s="18">
        <v>842</v>
      </c>
      <c r="P11581" s="18">
        <v>876</v>
      </c>
      <c r="Q11581" s="15"/>
      <c r="R11581" t="s" s="16">
        <f>HYPERLINK("http://secrets.rutgers.edu:8080/data/asl-ftp/asllvd/demos/verify_start_end_handshape_annotations//test_auto_move//signs_mov_separ_signers/Brady_8663.mov","MOV")</f>
        <v>21</v>
      </c>
    </row>
    <row r="11582" s="2" customFormat="1" ht="13.5" customHeight="1">
      <c r="B11582" s="13"/>
      <c r="C11582" t="s" s="9">
        <v>30</v>
      </c>
      <c r="D11582" t="s" s="8">
        <v>4340</v>
      </c>
      <c r="E11582" t="s" s="9">
        <v>4341</v>
      </c>
      <c r="F11582" s="19">
        <v>1</v>
      </c>
      <c r="G11582" t="s" s="11">
        <v>73</v>
      </c>
      <c r="H11582" s="19">
        <v>1</v>
      </c>
      <c r="I11582" t="s" s="11">
        <v>73</v>
      </c>
      <c r="J11582" t="s" s="11">
        <v>20</v>
      </c>
      <c r="K11582" s="15"/>
      <c r="L11582" t="s" s="16">
        <f>HYPERLINK("http://csr.bu.edu/ftp/asl/asllvd/demos/verify_start_end_handshape_annotations//test_auto_move//signs_mov_separ_signers/Brady_5490.mov","MOV")</f>
        <v>21</v>
      </c>
      <c r="M11582" t="s" s="10">
        <v>40</v>
      </c>
      <c r="N11582" s="17">
        <v>115</v>
      </c>
      <c r="O11582" s="18">
        <v>2257</v>
      </c>
      <c r="P11582" s="18">
        <v>2292</v>
      </c>
      <c r="Q11582" s="15"/>
      <c r="R11582" t="s" s="16">
        <f>HYPERLINK("http://secrets.rutgers.edu:8080/data/asl-ftp/asllvd/demos/verify_start_end_handshape_annotations//test_auto_move//signs_mov_separ_signers/Brady_5490.mov","MOV")</f>
        <v>21</v>
      </c>
    </row>
    <row r="11583" s="2" customFormat="1" ht="13.5" customHeight="1">
      <c r="B11583" t="s" s="8">
        <v>4342</v>
      </c>
      <c r="C11583" t="s" s="9">
        <v>14</v>
      </c>
      <c r="D11583" t="s" s="8">
        <v>14</v>
      </c>
      <c r="E11583" t="s" s="9">
        <v>14</v>
      </c>
      <c r="F11583" t="s" s="10">
        <v>14</v>
      </c>
      <c r="G11583" t="s" s="11">
        <v>14</v>
      </c>
      <c r="H11583" t="s" s="10">
        <v>14</v>
      </c>
      <c r="I11583" t="s" s="11">
        <v>14</v>
      </c>
      <c r="J11583" t="s" s="11">
        <v>14</v>
      </c>
      <c r="K11583" t="s" s="12">
        <v>14</v>
      </c>
      <c r="L11583" t="s" s="12">
        <v>14</v>
      </c>
      <c r="M11583" t="s" s="10">
        <v>14</v>
      </c>
      <c r="N11583" t="s" s="11">
        <v>14</v>
      </c>
      <c r="O11583" t="s" s="8">
        <v>14</v>
      </c>
      <c r="P11583" t="s" s="8">
        <v>14</v>
      </c>
      <c r="Q11583" t="s" s="12">
        <v>14</v>
      </c>
      <c r="R11583" t="s" s="12">
        <v>14</v>
      </c>
    </row>
    <row r="11584" s="2" customFormat="1" ht="13.5" customHeight="1">
      <c r="B11584" s="13"/>
      <c r="C11584" t="s" s="9">
        <v>16</v>
      </c>
      <c r="D11584" t="s" s="8">
        <v>4342</v>
      </c>
      <c r="E11584" t="s" s="9">
        <v>4343</v>
      </c>
      <c r="F11584" t="s" s="10">
        <v>205</v>
      </c>
      <c r="G11584" t="s" s="11">
        <v>205</v>
      </c>
      <c r="H11584" t="s" s="10">
        <v>2074</v>
      </c>
      <c r="I11584" t="s" s="11">
        <v>2074</v>
      </c>
      <c r="J11584" t="s" s="11">
        <v>20</v>
      </c>
      <c r="K11584" s="15"/>
      <c r="L11584" t="s" s="16">
        <f>HYPERLINK("http://csr.bu.edu/ftp/asl/asllvd/demos/verify_start_end_handshape_annotations//test_auto_move//signs_mov_separ_signers/Liz_8682.mov","MOV")</f>
        <v>21</v>
      </c>
      <c r="M11584" t="s" s="10">
        <v>22</v>
      </c>
      <c r="N11584" s="17">
        <v>62</v>
      </c>
      <c r="O11584" s="18">
        <v>1325</v>
      </c>
      <c r="P11584" s="18">
        <v>1370</v>
      </c>
      <c r="Q11584" s="15"/>
      <c r="R11584" t="s" s="16">
        <f>HYPERLINK("http://secrets.rutgers.edu:8080/data/asl-ftp/asllvd/demos/verify_start_end_handshape_annotations//test_auto_move//signs_mov_separ_signers/Liz_8682.mov","MOV")</f>
        <v>21</v>
      </c>
    </row>
    <row r="11585" s="2" customFormat="1" ht="13.5" customHeight="1">
      <c r="B11585" s="13"/>
      <c r="C11585" t="s" s="9">
        <v>16</v>
      </c>
      <c r="D11585" t="s" s="8">
        <v>4342</v>
      </c>
      <c r="E11585" t="s" s="9">
        <v>4342</v>
      </c>
      <c r="F11585" t="s" s="10">
        <v>205</v>
      </c>
      <c r="G11585" t="s" s="11">
        <v>205</v>
      </c>
      <c r="H11585" t="s" s="10">
        <v>205</v>
      </c>
      <c r="I11585" t="s" s="11">
        <v>205</v>
      </c>
      <c r="J11585" t="s" s="11">
        <v>20</v>
      </c>
      <c r="K11585" s="15"/>
      <c r="L11585" t="s" s="16">
        <f>HYPERLINK("http://csr.bu.edu/ftp/asl/asllvd/demos/verify_start_end_handshape_annotations//test_auto_move//signs_mov_separ_signers/Liz_5498.mov","MOV")</f>
        <v>21</v>
      </c>
      <c r="M11585" t="s" s="10">
        <v>59</v>
      </c>
      <c r="N11585" s="17">
        <v>8</v>
      </c>
      <c r="O11585" s="18">
        <v>250</v>
      </c>
      <c r="P11585" s="18">
        <v>290</v>
      </c>
      <c r="Q11585" s="15"/>
      <c r="R11585" t="s" s="16">
        <f>HYPERLINK("http://secrets.rutgers.edu:8080/data/asl-ftp/asllvd/demos/verify_start_end_handshape_annotations//test_auto_move//signs_mov_separ_signers/Liz_5498.mov","MOV")</f>
        <v>21</v>
      </c>
    </row>
    <row r="11586" s="2" customFormat="1" ht="13.5" customHeight="1">
      <c r="B11586" s="13"/>
      <c r="C11586" t="s" s="9">
        <v>23</v>
      </c>
      <c r="D11586" t="s" s="8">
        <v>4342</v>
      </c>
      <c r="E11586" t="s" s="9">
        <v>4344</v>
      </c>
      <c r="F11586" t="s" s="10">
        <v>196</v>
      </c>
      <c r="G11586" t="s" s="11">
        <v>196</v>
      </c>
      <c r="H11586" s="19">
        <v>10</v>
      </c>
      <c r="I11586" s="17">
        <v>10</v>
      </c>
      <c r="J11586" t="s" s="11">
        <v>20</v>
      </c>
      <c r="K11586" s="15"/>
      <c r="L11586" t="s" s="16">
        <f>HYPERLINK("http://csr.bu.edu/ftp/asl/asllvd/demos/verify_start_end_handshape_annotations//test_auto_move//signs_mov_separ_signers/Tyler_8682.mov","MOV")</f>
        <v>21</v>
      </c>
      <c r="M11586" t="s" s="10">
        <v>26</v>
      </c>
      <c r="N11586" s="17">
        <v>39</v>
      </c>
      <c r="O11586" s="18">
        <v>365</v>
      </c>
      <c r="P11586" s="18">
        <v>420</v>
      </c>
      <c r="Q11586" s="15"/>
      <c r="R11586" t="s" s="16">
        <f>HYPERLINK("http://secrets.rutgers.edu:8080/data/asl-ftp/asllvd/demos/verify_start_end_handshape_annotations//test_auto_move//signs_mov_separ_signers/Tyler_8682.mov","MOV")</f>
        <v>21</v>
      </c>
    </row>
    <row r="11587" s="2" customFormat="1" ht="13.5" customHeight="1">
      <c r="B11587" s="13"/>
      <c r="C11587" t="s" s="9">
        <v>23</v>
      </c>
      <c r="D11587" t="s" s="8">
        <v>4342</v>
      </c>
      <c r="E11587" t="s" s="9">
        <v>4343</v>
      </c>
      <c r="F11587" t="s" s="10">
        <v>196</v>
      </c>
      <c r="G11587" t="s" s="11">
        <v>196</v>
      </c>
      <c r="H11587" s="19">
        <v>10</v>
      </c>
      <c r="I11587" s="17">
        <v>10</v>
      </c>
      <c r="J11587" t="s" s="11">
        <v>20</v>
      </c>
      <c r="K11587" s="15"/>
      <c r="L11587" t="s" s="16">
        <f>HYPERLINK("http://csr.bu.edu/ftp/asl/asllvd/demos/verify_start_end_handshape_annotations//test_auto_move//signs_mov_separ_signers/Tyler_5498.mov","MOV")</f>
        <v>21</v>
      </c>
      <c r="M11587" t="s" s="10">
        <v>26</v>
      </c>
      <c r="N11587" s="17">
        <v>39</v>
      </c>
      <c r="O11587" s="18">
        <v>615</v>
      </c>
      <c r="P11587" s="18">
        <v>650</v>
      </c>
      <c r="Q11587" s="15"/>
      <c r="R11587" t="s" s="16">
        <f>HYPERLINK("http://secrets.rutgers.edu:8080/data/asl-ftp/asllvd/demos/verify_start_end_handshape_annotations//test_auto_move//signs_mov_separ_signers/Tyler_5498.mov","MOV")</f>
        <v>21</v>
      </c>
    </row>
    <row r="11588" s="2" customFormat="1" ht="13.5" customHeight="1">
      <c r="B11588" s="13"/>
      <c r="C11588" t="s" s="9">
        <v>27</v>
      </c>
      <c r="D11588" t="s" s="8">
        <v>4342</v>
      </c>
      <c r="E11588" t="s" s="9">
        <v>4343</v>
      </c>
      <c r="F11588" t="s" s="10">
        <v>196</v>
      </c>
      <c r="G11588" t="s" s="11">
        <v>196</v>
      </c>
      <c r="H11588" t="s" s="10">
        <v>63</v>
      </c>
      <c r="I11588" t="s" s="11">
        <v>63</v>
      </c>
      <c r="J11588" t="s" s="11">
        <v>20</v>
      </c>
      <c r="K11588" s="15"/>
      <c r="L11588" t="s" s="16">
        <f>HYPERLINK("http://csr.bu.edu/ftp/asl/asllvd/demos/verify_start_end_handshape_annotations//test_auto_move//signs_mov_separ_signers/Naomi_8682.mov","MOV")</f>
        <v>21</v>
      </c>
      <c r="M11588" t="s" s="10">
        <v>29</v>
      </c>
      <c r="N11588" s="17">
        <v>40</v>
      </c>
      <c r="O11588" s="18">
        <v>591</v>
      </c>
      <c r="P11588" s="18">
        <v>625</v>
      </c>
      <c r="Q11588" s="15"/>
      <c r="R11588" t="s" s="16">
        <f>HYPERLINK("http://secrets.rutgers.edu:8080/data/asl-ftp/asllvd/demos/verify_start_end_handshape_annotations//test_auto_move//signs_mov_separ_signers/Naomi_8682.mov","MOV")</f>
        <v>21</v>
      </c>
    </row>
    <row r="11589" s="2" customFormat="1" ht="13.5" customHeight="1">
      <c r="B11589" s="13"/>
      <c r="C11589" t="s" s="9">
        <v>27</v>
      </c>
      <c r="D11589" t="s" s="8">
        <v>4342</v>
      </c>
      <c r="E11589" t="s" s="9">
        <v>4343</v>
      </c>
      <c r="F11589" t="s" s="10">
        <v>196</v>
      </c>
      <c r="G11589" t="s" s="11">
        <v>196</v>
      </c>
      <c r="H11589" s="19">
        <v>10</v>
      </c>
      <c r="I11589" s="17">
        <v>10</v>
      </c>
      <c r="J11589" t="s" s="11">
        <v>20</v>
      </c>
      <c r="K11589" t="s" s="16">
        <f>HYPERLINK("http://csr.bu.edu/ftp/asl/asllvd/demos/verify_start_end_handshape_annotations//test_auto_move//signs_mov/5498_5518_8682_merged.mov","MOV")</f>
        <v>21</v>
      </c>
      <c r="L11589" t="s" s="16">
        <f>HYPERLINK("http://csr.bu.edu/ftp/asl/asllvd/demos/verify_start_end_handshape_annotations//test_auto_move//signs_mov_separ_signers/Naomi_5498.mov","MOV")</f>
        <v>21</v>
      </c>
      <c r="M11589" t="s" s="10">
        <v>29</v>
      </c>
      <c r="N11589" s="17">
        <v>40</v>
      </c>
      <c r="O11589" s="18">
        <v>898</v>
      </c>
      <c r="P11589" s="18">
        <v>930</v>
      </c>
      <c r="Q11589" t="s" s="16">
        <f>HYPERLINK("http://secrets.rutgers.edu:8080/data/asl-ftp/asllvd/demos/verify_start_end_handshape_annotations//test_auto_move//signs_mov/5498_5518_8682_merged.mov","MOV")</f>
        <v>21</v>
      </c>
      <c r="R11589" t="s" s="16">
        <f>HYPERLINK("http://secrets.rutgers.edu:8080/data/asl-ftp/asllvd/demos/verify_start_end_handshape_annotations//test_auto_move//signs_mov_separ_signers/Naomi_5498.mov","MOV")</f>
        <v>21</v>
      </c>
    </row>
    <row r="11590" s="2" customFormat="1" ht="13.5" customHeight="1">
      <c r="B11590" s="13"/>
      <c r="C11590" t="s" s="9">
        <v>30</v>
      </c>
      <c r="D11590" t="s" s="8">
        <v>4342</v>
      </c>
      <c r="E11590" t="s" s="9">
        <v>4342</v>
      </c>
      <c r="F11590" t="s" s="10">
        <v>205</v>
      </c>
      <c r="G11590" t="s" s="11">
        <v>205</v>
      </c>
      <c r="H11590" t="s" s="10">
        <v>2074</v>
      </c>
      <c r="I11590" t="s" s="11">
        <v>2074</v>
      </c>
      <c r="J11590" t="s" s="11">
        <v>20</v>
      </c>
      <c r="K11590" s="15"/>
      <c r="L11590" t="s" s="16">
        <f>HYPERLINK("http://csr.bu.edu/ftp/asl/asllvd/demos/verify_start_end_handshape_annotations//test_auto_move//signs_mov_separ_signers/Brady_8682.mov","MOV")</f>
        <v>21</v>
      </c>
      <c r="M11590" t="s" s="10">
        <v>31</v>
      </c>
      <c r="N11590" s="17">
        <v>25</v>
      </c>
      <c r="O11590" s="18">
        <v>1940</v>
      </c>
      <c r="P11590" s="18">
        <v>1968</v>
      </c>
      <c r="Q11590" s="15"/>
      <c r="R11590" t="s" s="16">
        <f>HYPERLINK("http://secrets.rutgers.edu:8080/data/asl-ftp/asllvd/demos/verify_start_end_handshape_annotations//test_auto_move//signs_mov_separ_signers/Brady_8682.mov","MOV")</f>
        <v>21</v>
      </c>
    </row>
    <row r="11591" s="2" customFormat="1" ht="13.5" customHeight="1">
      <c r="B11591" s="13"/>
      <c r="C11591" t="s" s="9">
        <v>30</v>
      </c>
      <c r="D11591" t="s" s="8">
        <v>4342</v>
      </c>
      <c r="E11591" t="s" s="9">
        <v>4342</v>
      </c>
      <c r="F11591" t="s" s="10">
        <v>205</v>
      </c>
      <c r="G11591" t="s" s="11">
        <v>205</v>
      </c>
      <c r="H11591" t="s" s="10">
        <v>2074</v>
      </c>
      <c r="I11591" t="s" s="11">
        <v>2074</v>
      </c>
      <c r="J11591" t="s" s="11">
        <v>20</v>
      </c>
      <c r="K11591" s="15"/>
      <c r="L11591" t="s" s="16">
        <f>HYPERLINK("http://csr.bu.edu/ftp/asl/asllvd/demos/verify_start_end_handshape_annotations//test_auto_move//signs_mov_separ_signers/Brady_5498.mov","MOV")</f>
        <v>21</v>
      </c>
      <c r="M11591" t="s" s="10">
        <v>31</v>
      </c>
      <c r="N11591" s="17">
        <v>25</v>
      </c>
      <c r="O11591" s="18">
        <v>2301</v>
      </c>
      <c r="P11591" s="18">
        <v>2336</v>
      </c>
      <c r="Q11591" s="15"/>
      <c r="R11591" t="s" s="16">
        <f>HYPERLINK("http://secrets.rutgers.edu:8080/data/asl-ftp/asllvd/demos/verify_start_end_handshape_annotations//test_auto_move//signs_mov_separ_signers/Brady_5498.mov","MOV")</f>
        <v>21</v>
      </c>
    </row>
    <row r="11592" s="2" customFormat="1" ht="13.5" customHeight="1">
      <c r="B11592" s="13"/>
      <c r="C11592" t="s" s="9">
        <v>30</v>
      </c>
      <c r="D11592" t="s" s="8">
        <v>4342</v>
      </c>
      <c r="E11592" t="s" s="9">
        <v>4342</v>
      </c>
      <c r="F11592" t="s" s="10">
        <v>205</v>
      </c>
      <c r="G11592" t="s" s="11">
        <v>205</v>
      </c>
      <c r="H11592" t="s" s="10">
        <v>205</v>
      </c>
      <c r="I11592" t="s" s="11">
        <v>205</v>
      </c>
      <c r="J11592" t="s" s="11">
        <v>20</v>
      </c>
      <c r="K11592" s="15"/>
      <c r="L11592" t="s" s="16">
        <f>HYPERLINK("http://csr.bu.edu/ftp/asl/asllvd/demos/verify_start_end_handshape_annotations//test_auto_move//signs_mov_separ_signers/Brady_5518.mov","MOV")</f>
        <v>21</v>
      </c>
      <c r="M11592" t="s" s="10">
        <v>40</v>
      </c>
      <c r="N11592" s="17">
        <v>112</v>
      </c>
      <c r="O11592" s="18">
        <v>904</v>
      </c>
      <c r="P11592" s="18">
        <v>924</v>
      </c>
      <c r="Q11592" s="15"/>
      <c r="R11592" t="s" s="16">
        <f>HYPERLINK("http://secrets.rutgers.edu:8080/data/asl-ftp/asllvd/demos/verify_start_end_handshape_annotations//test_auto_move//signs_mov_separ_signers/Brady_5518.mov","MOV")</f>
        <v>21</v>
      </c>
    </row>
    <row r="11593" s="2" customFormat="1" ht="13.5" customHeight="1">
      <c r="B11593" s="13"/>
      <c r="C11593" t="s" s="9">
        <v>41</v>
      </c>
      <c r="D11593" t="s" s="8">
        <v>4342</v>
      </c>
      <c r="E11593" t="s" s="9">
        <v>4343</v>
      </c>
      <c r="F11593" t="s" s="10">
        <v>196</v>
      </c>
      <c r="G11593" t="s" s="11">
        <v>196</v>
      </c>
      <c r="H11593" t="s" s="10">
        <v>136</v>
      </c>
      <c r="I11593" t="s" s="11">
        <v>136</v>
      </c>
      <c r="J11593" t="s" s="11">
        <v>20</v>
      </c>
      <c r="K11593" s="15"/>
      <c r="L11593" t="s" s="16">
        <f>HYPERLINK("http://csr.bu.edu/ftp/asl/asllvd/demos/verify_start_end_handshape_annotations//test_auto_move//signs_mov_separ_signers/Lana_8682.mov","MOV")</f>
        <v>21</v>
      </c>
      <c r="M11593" t="s" s="10">
        <v>42</v>
      </c>
      <c r="N11593" s="17">
        <v>4</v>
      </c>
      <c r="O11593" s="18">
        <v>1539</v>
      </c>
      <c r="P11593" s="18">
        <v>1569</v>
      </c>
      <c r="Q11593" s="15"/>
      <c r="R11593" t="s" s="16">
        <f>HYPERLINK("http://secrets.rutgers.edu:8080/data/asl-ftp/asllvd/demos/verify_start_end_handshape_annotations//test_auto_move//signs_mov_separ_signers/Lana_8682.mov","MOV")</f>
        <v>21</v>
      </c>
    </row>
    <row r="11594" s="2" customFormat="1" ht="13.5" customHeight="1">
      <c r="B11594" s="13"/>
      <c r="C11594" t="s" s="9">
        <v>43</v>
      </c>
      <c r="D11594" t="s" s="8">
        <v>4342</v>
      </c>
      <c r="E11594" t="s" s="9">
        <v>4343</v>
      </c>
      <c r="F11594" t="s" s="10">
        <v>205</v>
      </c>
      <c r="G11594" t="s" s="11">
        <v>205</v>
      </c>
      <c r="H11594" t="s" s="10">
        <v>2074</v>
      </c>
      <c r="I11594" t="s" s="11">
        <v>2074</v>
      </c>
      <c r="J11594" t="s" s="11">
        <v>20</v>
      </c>
      <c r="K11594" s="15"/>
      <c r="L11594" t="s" s="16">
        <f>HYPERLINK("http://csr.bu.edu/ftp/asl/asllvd/demos/verify_start_end_handshape_annotations//test_auto_move//signs_mov_separ_signers/Dana_8682.mov","MOV")</f>
        <v>21</v>
      </c>
      <c r="M11594" t="s" s="10">
        <v>44</v>
      </c>
      <c r="N11594" s="17">
        <v>8</v>
      </c>
      <c r="O11594" s="18">
        <v>1470</v>
      </c>
      <c r="P11594" s="18">
        <v>1534</v>
      </c>
      <c r="Q11594" s="15"/>
      <c r="R11594" t="s" s="16">
        <f>HYPERLINK("http://secrets.rutgers.edu:8080/data/asl-ftp/asllvd/demos/verify_start_end_handshape_annotations//test_auto_move//signs_mov_separ_signers/Dana_8682.mov","MOV")</f>
        <v>21</v>
      </c>
    </row>
    <row r="11595" s="2" customFormat="1" ht="13.5" customHeight="1">
      <c r="B11595" t="s" s="8">
        <v>4345</v>
      </c>
      <c r="C11595" t="s" s="9">
        <v>14</v>
      </c>
      <c r="D11595" t="s" s="8">
        <v>14</v>
      </c>
      <c r="E11595" t="s" s="9">
        <v>14</v>
      </c>
      <c r="F11595" t="s" s="10">
        <v>14</v>
      </c>
      <c r="G11595" t="s" s="11">
        <v>14</v>
      </c>
      <c r="H11595" t="s" s="10">
        <v>14</v>
      </c>
      <c r="I11595" t="s" s="11">
        <v>14</v>
      </c>
      <c r="J11595" t="s" s="11">
        <v>14</v>
      </c>
      <c r="K11595" t="s" s="12">
        <v>14</v>
      </c>
      <c r="L11595" t="s" s="12">
        <v>14</v>
      </c>
      <c r="M11595" t="s" s="10">
        <v>14</v>
      </c>
      <c r="N11595" t="s" s="11">
        <v>14</v>
      </c>
      <c r="O11595" t="s" s="8">
        <v>14</v>
      </c>
      <c r="P11595" t="s" s="8">
        <v>14</v>
      </c>
      <c r="Q11595" t="s" s="12">
        <v>14</v>
      </c>
      <c r="R11595" t="s" s="12">
        <v>14</v>
      </c>
    </row>
    <row r="11596" s="2" customFormat="1" ht="13.5" customHeight="1">
      <c r="B11596" s="13"/>
      <c r="C11596" t="s" s="9">
        <v>16</v>
      </c>
      <c r="D11596" t="s" s="8">
        <v>4345</v>
      </c>
      <c r="E11596" t="s" s="9">
        <v>4346</v>
      </c>
      <c r="F11596" t="s" s="10">
        <v>344</v>
      </c>
      <c r="G11596" t="s" s="11">
        <v>240</v>
      </c>
      <c r="H11596" t="s" s="10">
        <v>344</v>
      </c>
      <c r="I11596" t="s" s="11">
        <v>240</v>
      </c>
      <c r="J11596" t="s" s="11">
        <v>20</v>
      </c>
      <c r="K11596" s="15"/>
      <c r="L11596" t="s" s="16">
        <f>HYPERLINK("http://csr.bu.edu/ftp/asl/asllvd/demos/verify_start_end_handshape_annotations//test_auto_move//signs_mov_separ_signers/Liz_8683.mov","MOV")</f>
        <v>21</v>
      </c>
      <c r="M11596" t="s" s="10">
        <v>59</v>
      </c>
      <c r="N11596" s="17">
        <v>2</v>
      </c>
      <c r="O11596" s="18">
        <v>4345</v>
      </c>
      <c r="P11596" s="18">
        <v>4426</v>
      </c>
      <c r="Q11596" s="15"/>
      <c r="R11596" t="s" s="16">
        <f>HYPERLINK("http://secrets.rutgers.edu:8080/data/asl-ftp/asllvd/demos/verify_start_end_handshape_annotations//test_auto_move//signs_mov_separ_signers/Liz_8683.mov","MOV")</f>
        <v>21</v>
      </c>
    </row>
    <row r="11597" s="2" customFormat="1" ht="13.5" customHeight="1">
      <c r="B11597" s="13"/>
      <c r="C11597" t="s" s="9">
        <v>16</v>
      </c>
      <c r="D11597" t="s" s="8">
        <v>4345</v>
      </c>
      <c r="E11597" t="s" s="9">
        <v>4346</v>
      </c>
      <c r="F11597" t="s" s="10">
        <v>240</v>
      </c>
      <c r="G11597" t="s" s="11">
        <v>240</v>
      </c>
      <c r="H11597" t="s" s="10">
        <v>240</v>
      </c>
      <c r="I11597" t="s" s="11">
        <v>240</v>
      </c>
      <c r="J11597" t="s" s="11">
        <v>20</v>
      </c>
      <c r="K11597" t="s" s="16">
        <f>HYPERLINK("http://csr.bu.edu/ftp/asl/asllvd/demos/verify_start_end_handshape_annotations//test_auto_move//signs_mov/5499_8683_merged.mov","MOV")</f>
        <v>21</v>
      </c>
      <c r="L11597" t="s" s="16">
        <f>HYPERLINK("http://csr.bu.edu/ftp/asl/asllvd/demos/verify_start_end_handshape_annotations//test_auto_move//signs_mov_separ_signers/Liz_5499.mov","MOV")</f>
        <v>21</v>
      </c>
      <c r="M11597" t="s" s="10">
        <v>59</v>
      </c>
      <c r="N11597" s="17">
        <v>2</v>
      </c>
      <c r="O11597" s="18">
        <v>5291</v>
      </c>
      <c r="P11597" s="18">
        <v>5395</v>
      </c>
      <c r="Q11597" t="s" s="16">
        <f>HYPERLINK("http://secrets.rutgers.edu:8080/data/asl-ftp/asllvd/demos/verify_start_end_handshape_annotations//test_auto_move//signs_mov/5499_8683_merged.mov","MOV")</f>
        <v>21</v>
      </c>
      <c r="R11597" t="s" s="16">
        <f>HYPERLINK("http://secrets.rutgers.edu:8080/data/asl-ftp/asllvd/demos/verify_start_end_handshape_annotations//test_auto_move//signs_mov_separ_signers/Liz_5499.mov","MOV")</f>
        <v>21</v>
      </c>
    </row>
    <row r="11598" s="2" customFormat="1" ht="13.5" customHeight="1">
      <c r="B11598" s="13"/>
      <c r="C11598" t="s" s="9">
        <v>30</v>
      </c>
      <c r="D11598" t="s" s="8">
        <v>4345</v>
      </c>
      <c r="E11598" t="s" s="9">
        <v>4346</v>
      </c>
      <c r="F11598" t="s" s="10">
        <v>240</v>
      </c>
      <c r="G11598" t="s" s="11">
        <v>240</v>
      </c>
      <c r="H11598" t="s" s="10">
        <v>240</v>
      </c>
      <c r="I11598" t="s" s="11">
        <v>240</v>
      </c>
      <c r="J11598" t="s" s="11">
        <v>20</v>
      </c>
      <c r="K11598" s="15"/>
      <c r="L11598" t="s" s="16">
        <f>HYPERLINK("http://csr.bu.edu/ftp/asl/asllvd/demos/verify_start_end_handshape_annotations//test_auto_move//signs_mov_separ_signers/Brady_8683.mov","MOV")</f>
        <v>21</v>
      </c>
      <c r="M11598" t="s" s="10">
        <v>40</v>
      </c>
      <c r="N11598" s="17">
        <v>107</v>
      </c>
      <c r="O11598" s="18">
        <v>1381</v>
      </c>
      <c r="P11598" s="18">
        <v>1442</v>
      </c>
      <c r="Q11598" s="15"/>
      <c r="R11598" t="s" s="16">
        <f>HYPERLINK("http://secrets.rutgers.edu:8080/data/asl-ftp/asllvd/demos/verify_start_end_handshape_annotations//test_auto_move//signs_mov_separ_signers/Brady_8683.mov","MOV")</f>
        <v>21</v>
      </c>
    </row>
    <row r="11599" s="2" customFormat="1" ht="13.5" customHeight="1">
      <c r="B11599" t="s" s="8">
        <v>4347</v>
      </c>
      <c r="C11599" t="s" s="9">
        <v>14</v>
      </c>
      <c r="D11599" t="s" s="8">
        <v>14</v>
      </c>
      <c r="E11599" t="s" s="9">
        <v>14</v>
      </c>
      <c r="F11599" t="s" s="10">
        <v>14</v>
      </c>
      <c r="G11599" t="s" s="11">
        <v>14</v>
      </c>
      <c r="H11599" t="s" s="10">
        <v>14</v>
      </c>
      <c r="I11599" t="s" s="11">
        <v>14</v>
      </c>
      <c r="J11599" t="s" s="11">
        <v>14</v>
      </c>
      <c r="K11599" t="s" s="12">
        <v>14</v>
      </c>
      <c r="L11599" t="s" s="12">
        <v>14</v>
      </c>
      <c r="M11599" t="s" s="10">
        <v>14</v>
      </c>
      <c r="N11599" t="s" s="11">
        <v>14</v>
      </c>
      <c r="O11599" t="s" s="8">
        <v>14</v>
      </c>
      <c r="P11599" t="s" s="8">
        <v>14</v>
      </c>
      <c r="Q11599" t="s" s="12">
        <v>14</v>
      </c>
      <c r="R11599" t="s" s="12">
        <v>14</v>
      </c>
    </row>
    <row r="11600" s="2" customFormat="1" ht="13.5" customHeight="1">
      <c r="B11600" s="13"/>
      <c r="C11600" t="s" s="9">
        <v>16</v>
      </c>
      <c r="D11600" t="s" s="8">
        <v>4347</v>
      </c>
      <c r="E11600" t="s" s="9">
        <v>4348</v>
      </c>
      <c r="F11600" s="19">
        <v>4</v>
      </c>
      <c r="G11600" s="14"/>
      <c r="H11600" s="19">
        <v>4</v>
      </c>
      <c r="I11600" s="14"/>
      <c r="J11600" t="s" s="11">
        <v>20</v>
      </c>
      <c r="K11600" t="s" s="16">
        <f>HYPERLINK("http://csr.bu.edu/ftp/asl/asllvd/demos/verify_start_end_handshape_annotations//test_auto_move//signs_mov/8696.mov","MOV")</f>
        <v>21</v>
      </c>
      <c r="L11600" t="s" s="16">
        <f>HYPERLINK("http://csr.bu.edu/ftp/asl/asllvd/demos/verify_start_end_handshape_annotations//test_auto_move//signs_mov_separ_signers/Liz_8696.mov","MOV")</f>
        <v>21</v>
      </c>
      <c r="M11600" t="s" s="10">
        <v>59</v>
      </c>
      <c r="N11600" s="17">
        <v>4</v>
      </c>
      <c r="O11600" s="18">
        <v>2500</v>
      </c>
      <c r="P11600" s="18">
        <v>2530</v>
      </c>
      <c r="Q11600" t="s" s="16">
        <f>HYPERLINK("http://secrets.rutgers.edu:8080/data/asl-ftp/asllvd/demos/verify_start_end_handshape_annotations//test_auto_move//signs_mov/8696.mov","MOV")</f>
        <v>21</v>
      </c>
      <c r="R11600" t="s" s="16">
        <f>HYPERLINK("http://secrets.rutgers.edu:8080/data/asl-ftp/asllvd/demos/verify_start_end_handshape_annotations//test_auto_move//signs_mov_separ_signers/Liz_8696.mov","MOV")</f>
        <v>21</v>
      </c>
    </row>
    <row r="11601" s="2" customFormat="1" ht="13.5" customHeight="1">
      <c r="B11601" s="13"/>
      <c r="C11601" t="s" s="9">
        <v>30</v>
      </c>
      <c r="D11601" t="s" s="8">
        <v>4347</v>
      </c>
      <c r="E11601" t="s" s="9">
        <v>4349</v>
      </c>
      <c r="F11601" s="19">
        <v>4</v>
      </c>
      <c r="G11601" s="14"/>
      <c r="H11601" s="19">
        <v>4</v>
      </c>
      <c r="I11601" s="14"/>
      <c r="J11601" t="s" s="11">
        <v>20</v>
      </c>
      <c r="K11601" s="15"/>
      <c r="L11601" t="s" s="16">
        <f>HYPERLINK("http://csr.bu.edu/ftp/asl/asllvd/demos/verify_start_end_handshape_annotations//test_auto_move//signs_mov_separ_signers/Brady_8696.mov","MOV")</f>
        <v>21</v>
      </c>
      <c r="M11601" t="s" s="10">
        <v>40</v>
      </c>
      <c r="N11601" s="17">
        <v>109</v>
      </c>
      <c r="O11601" s="18">
        <v>233</v>
      </c>
      <c r="P11601" s="18">
        <v>264</v>
      </c>
      <c r="Q11601" s="15"/>
      <c r="R11601" t="s" s="16">
        <f>HYPERLINK("http://secrets.rutgers.edu:8080/data/asl-ftp/asllvd/demos/verify_start_end_handshape_annotations//test_auto_move//signs_mov_separ_signers/Brady_8696.mov","MOV")</f>
        <v>21</v>
      </c>
    </row>
    <row r="11602" s="2" customFormat="1" ht="13.5" customHeight="1">
      <c r="B11602" t="s" s="8">
        <v>52</v>
      </c>
      <c r="C11602" t="s" s="9">
        <v>53</v>
      </c>
      <c r="D11602" t="s" s="8">
        <v>53</v>
      </c>
      <c r="E11602" t="s" s="9">
        <v>53</v>
      </c>
      <c r="F11602" t="s" s="10">
        <v>53</v>
      </c>
      <c r="G11602" t="s" s="11">
        <v>53</v>
      </c>
      <c r="H11602" t="s" s="10">
        <v>53</v>
      </c>
      <c r="I11602" t="s" s="11">
        <v>53</v>
      </c>
      <c r="J11602" t="s" s="11">
        <v>53</v>
      </c>
      <c r="K11602" t="s" s="12">
        <v>53</v>
      </c>
      <c r="L11602" t="s" s="12">
        <v>53</v>
      </c>
      <c r="M11602" t="s" s="10">
        <v>53</v>
      </c>
      <c r="N11602" t="s" s="11">
        <v>53</v>
      </c>
      <c r="O11602" t="s" s="8">
        <v>53</v>
      </c>
      <c r="P11602" t="s" s="8">
        <v>53</v>
      </c>
      <c r="Q11602" t="s" s="12">
        <v>53</v>
      </c>
      <c r="R11602" t="s" s="12">
        <v>53</v>
      </c>
    </row>
    <row r="11603" s="2" customFormat="1" ht="13.5" customHeight="1">
      <c r="B11603" s="13"/>
      <c r="C11603" t="s" s="9">
        <v>16</v>
      </c>
      <c r="D11603" t="s" s="8">
        <v>4347</v>
      </c>
      <c r="E11603" t="s" s="9">
        <v>4350</v>
      </c>
      <c r="F11603" s="19">
        <v>4</v>
      </c>
      <c r="G11603" s="14"/>
      <c r="H11603" s="19">
        <v>4</v>
      </c>
      <c r="I11603" s="14"/>
      <c r="J11603" t="s" s="11">
        <v>20</v>
      </c>
      <c r="K11603" t="s" s="16">
        <f>HYPERLINK("http://csr.bu.edu/ftp/asl/asllvd/demos/verify_start_end_handshape_annotations//test_auto_move//signs_mov/5691.mov","MOV")</f>
        <v>21</v>
      </c>
      <c r="L11603" t="s" s="16">
        <f>HYPERLINK("http://csr.bu.edu/ftp/asl/asllvd/demos/verify_start_end_handshape_annotations//test_auto_move//signs_mov_separ_signers/Liz_5691.mov","MOV")</f>
        <v>21</v>
      </c>
      <c r="M11603" t="s" s="10">
        <v>77</v>
      </c>
      <c r="N11603" s="17">
        <v>24</v>
      </c>
      <c r="O11603" s="18">
        <v>654</v>
      </c>
      <c r="P11603" s="18">
        <v>705</v>
      </c>
      <c r="Q11603" t="s" s="16">
        <f>HYPERLINK("http://secrets.rutgers.edu:8080/data/asl-ftp/asllvd/demos/verify_start_end_handshape_annotations//test_auto_move//signs_mov/5691.mov","MOV")</f>
        <v>21</v>
      </c>
      <c r="R11603" t="s" s="16">
        <f>HYPERLINK("http://secrets.rutgers.edu:8080/data/asl-ftp/asllvd/demos/verify_start_end_handshape_annotations//test_auto_move//signs_mov_separ_signers/Liz_5691.mov","MOV")</f>
        <v>21</v>
      </c>
    </row>
    <row r="11604" s="2" customFormat="1" ht="13.5" customHeight="1">
      <c r="B11604" s="13"/>
      <c r="C11604" t="s" s="9">
        <v>30</v>
      </c>
      <c r="D11604" t="s" s="8">
        <v>4347</v>
      </c>
      <c r="E11604" t="s" s="9">
        <v>4350</v>
      </c>
      <c r="F11604" s="19">
        <v>4</v>
      </c>
      <c r="G11604" s="14"/>
      <c r="H11604" s="19">
        <v>4</v>
      </c>
      <c r="I11604" s="14"/>
      <c r="J11604" t="s" s="11">
        <v>20</v>
      </c>
      <c r="K11604" s="15"/>
      <c r="L11604" t="s" s="16">
        <f>HYPERLINK("http://csr.bu.edu/ftp/asl/asllvd/demos/verify_start_end_handshape_annotations//test_auto_move//signs_mov_separ_signers/Brady_5691.mov","MOV")</f>
        <v>21</v>
      </c>
      <c r="M11604" t="s" s="10">
        <v>31</v>
      </c>
      <c r="N11604" s="17">
        <v>14</v>
      </c>
      <c r="O11604" s="18">
        <v>4907</v>
      </c>
      <c r="P11604" s="18">
        <v>4962</v>
      </c>
      <c r="Q11604" s="15"/>
      <c r="R11604" t="s" s="16">
        <f>HYPERLINK("http://secrets.rutgers.edu:8080/data/asl-ftp/asllvd/demos/verify_start_end_handshape_annotations//test_auto_move//signs_mov_separ_signers/Brady_5691.mov","MOV")</f>
        <v>21</v>
      </c>
    </row>
    <row r="11605" s="2" customFormat="1" ht="13.5" customHeight="1">
      <c r="B11605" t="s" s="8">
        <v>4351</v>
      </c>
      <c r="C11605" t="s" s="9">
        <v>14</v>
      </c>
      <c r="D11605" t="s" s="8">
        <v>14</v>
      </c>
      <c r="E11605" t="s" s="9">
        <v>14</v>
      </c>
      <c r="F11605" t="s" s="10">
        <v>14</v>
      </c>
      <c r="G11605" t="s" s="11">
        <v>14</v>
      </c>
      <c r="H11605" t="s" s="10">
        <v>14</v>
      </c>
      <c r="I11605" t="s" s="11">
        <v>14</v>
      </c>
      <c r="J11605" t="s" s="11">
        <v>14</v>
      </c>
      <c r="K11605" t="s" s="12">
        <v>14</v>
      </c>
      <c r="L11605" t="s" s="12">
        <v>14</v>
      </c>
      <c r="M11605" t="s" s="10">
        <v>14</v>
      </c>
      <c r="N11605" t="s" s="11">
        <v>14</v>
      </c>
      <c r="O11605" t="s" s="8">
        <v>14</v>
      </c>
      <c r="P11605" t="s" s="8">
        <v>14</v>
      </c>
      <c r="Q11605" t="s" s="12">
        <v>14</v>
      </c>
      <c r="R11605" t="s" s="12">
        <v>14</v>
      </c>
    </row>
    <row r="11606" s="2" customFormat="1" ht="13.5" customHeight="1">
      <c r="B11606" s="13"/>
      <c r="C11606" t="s" s="9">
        <v>16</v>
      </c>
      <c r="D11606" t="s" s="8">
        <v>4351</v>
      </c>
      <c r="E11606" t="s" s="9">
        <v>4351</v>
      </c>
      <c r="F11606" t="s" s="10">
        <v>229</v>
      </c>
      <c r="G11606" s="14"/>
      <c r="H11606" t="s" s="10">
        <v>229</v>
      </c>
      <c r="I11606" s="14"/>
      <c r="J11606" t="s" s="11">
        <v>20</v>
      </c>
      <c r="K11606" t="s" s="16">
        <f>HYPERLINK("http://csr.bu.edu/ftp/asl/asllvd/demos/verify_start_end_handshape_annotations//test_auto_move//signs_mov/8701.mov","MOV")</f>
        <v>21</v>
      </c>
      <c r="L11606" t="s" s="16">
        <f>HYPERLINK("http://csr.bu.edu/ftp/asl/asllvd/demos/verify_start_end_handshape_annotations//test_auto_move//signs_mov_separ_signers/Liz_8701.mov","MOV")</f>
        <v>21</v>
      </c>
      <c r="M11606" t="s" s="10">
        <v>59</v>
      </c>
      <c r="N11606" s="17">
        <v>26</v>
      </c>
      <c r="O11606" s="18">
        <v>242</v>
      </c>
      <c r="P11606" s="18">
        <v>275</v>
      </c>
      <c r="Q11606" t="s" s="16">
        <f>HYPERLINK("http://secrets.rutgers.edu:8080/data/asl-ftp/asllvd/demos/verify_start_end_handshape_annotations//test_auto_move//signs_mov/8701.mov","MOV")</f>
        <v>21</v>
      </c>
      <c r="R11606" t="s" s="16">
        <f>HYPERLINK("http://secrets.rutgers.edu:8080/data/asl-ftp/asllvd/demos/verify_start_end_handshape_annotations//test_auto_move//signs_mov_separ_signers/Liz_8701.mov","MOV")</f>
        <v>21</v>
      </c>
    </row>
    <row r="11607" s="2" customFormat="1" ht="13.5" customHeight="1">
      <c r="B11607" s="13"/>
      <c r="C11607" t="s" s="9">
        <v>30</v>
      </c>
      <c r="D11607" t="s" s="8">
        <v>4351</v>
      </c>
      <c r="E11607" t="s" s="9">
        <v>4351</v>
      </c>
      <c r="F11607" t="s" s="10">
        <v>229</v>
      </c>
      <c r="G11607" s="14"/>
      <c r="H11607" t="s" s="10">
        <v>229</v>
      </c>
      <c r="I11607" s="14"/>
      <c r="J11607" t="s" s="11">
        <v>20</v>
      </c>
      <c r="K11607" s="15"/>
      <c r="L11607" t="s" s="16">
        <f>HYPERLINK("http://csr.bu.edu/ftp/asl/asllvd/demos/verify_start_end_handshape_annotations//test_auto_move//signs_mov_separ_signers/Brady_8701.mov","MOV")</f>
        <v>21</v>
      </c>
      <c r="M11607" t="s" s="10">
        <v>60</v>
      </c>
      <c r="N11607" s="17">
        <v>14</v>
      </c>
      <c r="O11607" s="18">
        <v>1082</v>
      </c>
      <c r="P11607" s="18">
        <v>1116</v>
      </c>
      <c r="Q11607" s="15"/>
      <c r="R11607" t="s" s="16">
        <f>HYPERLINK("http://secrets.rutgers.edu:8080/data/asl-ftp/asllvd/demos/verify_start_end_handshape_annotations//test_auto_move//signs_mov_separ_signers/Brady_8701.mov","MOV")</f>
        <v>21</v>
      </c>
    </row>
    <row r="11608" s="2" customFormat="1" ht="13.5" customHeight="1">
      <c r="B11608" t="s" s="8">
        <v>52</v>
      </c>
      <c r="C11608" t="s" s="9">
        <v>53</v>
      </c>
      <c r="D11608" t="s" s="8">
        <v>53</v>
      </c>
      <c r="E11608" t="s" s="9">
        <v>53</v>
      </c>
      <c r="F11608" t="s" s="10">
        <v>53</v>
      </c>
      <c r="G11608" t="s" s="11">
        <v>53</v>
      </c>
      <c r="H11608" t="s" s="10">
        <v>53</v>
      </c>
      <c r="I11608" t="s" s="11">
        <v>53</v>
      </c>
      <c r="J11608" t="s" s="11">
        <v>53</v>
      </c>
      <c r="K11608" t="s" s="12">
        <v>53</v>
      </c>
      <c r="L11608" t="s" s="12">
        <v>53</v>
      </c>
      <c r="M11608" t="s" s="10">
        <v>53</v>
      </c>
      <c r="N11608" t="s" s="11">
        <v>53</v>
      </c>
      <c r="O11608" t="s" s="8">
        <v>53</v>
      </c>
      <c r="P11608" t="s" s="8">
        <v>53</v>
      </c>
      <c r="Q11608" t="s" s="12">
        <v>53</v>
      </c>
      <c r="R11608" t="s" s="12">
        <v>53</v>
      </c>
    </row>
    <row r="11609" s="2" customFormat="1" ht="13.5" customHeight="1">
      <c r="B11609" s="13"/>
      <c r="C11609" t="s" s="9">
        <v>16</v>
      </c>
      <c r="D11609" t="s" s="8">
        <v>4351</v>
      </c>
      <c r="E11609" t="s" s="9">
        <v>4352</v>
      </c>
      <c r="F11609" t="s" s="10">
        <v>386</v>
      </c>
      <c r="G11609" s="14"/>
      <c r="H11609" t="s" s="10">
        <v>386</v>
      </c>
      <c r="I11609" s="14"/>
      <c r="J11609" t="s" s="11">
        <v>20</v>
      </c>
      <c r="K11609" t="s" s="16">
        <f>HYPERLINK("http://csr.bu.edu/ftp/asl/asllvd/demos/verify_start_end_handshape_annotations//test_auto_move//signs_mov/5507.mov","MOV")</f>
        <v>21</v>
      </c>
      <c r="L11609" t="s" s="16">
        <f>HYPERLINK("http://csr.bu.edu/ftp/asl/asllvd/demos/verify_start_end_handshape_annotations//test_auto_move//signs_mov_separ_signers/Liz_5507.mov","MOV")</f>
        <v>21</v>
      </c>
      <c r="M11609" t="s" s="10">
        <v>59</v>
      </c>
      <c r="N11609" s="17">
        <v>25</v>
      </c>
      <c r="O11609" s="18">
        <v>3492</v>
      </c>
      <c r="P11609" s="18">
        <v>3530</v>
      </c>
      <c r="Q11609" t="s" s="16">
        <f>HYPERLINK("http://secrets.rutgers.edu:8080/data/asl-ftp/asllvd/demos/verify_start_end_handshape_annotations//test_auto_move//signs_mov/5507.mov","MOV")</f>
        <v>21</v>
      </c>
      <c r="R11609" t="s" s="16">
        <f>HYPERLINK("http://secrets.rutgers.edu:8080/data/asl-ftp/asllvd/demos/verify_start_end_handshape_annotations//test_auto_move//signs_mov_separ_signers/Liz_5507.mov","MOV")</f>
        <v>21</v>
      </c>
    </row>
    <row r="11610" s="2" customFormat="1" ht="13.5" customHeight="1">
      <c r="B11610" s="13"/>
      <c r="C11610" t="s" s="9">
        <v>30</v>
      </c>
      <c r="D11610" t="s" s="8">
        <v>4351</v>
      </c>
      <c r="E11610" t="s" s="9">
        <v>4352</v>
      </c>
      <c r="F11610" t="s" s="10">
        <v>386</v>
      </c>
      <c r="G11610" s="14"/>
      <c r="H11610" t="s" s="10">
        <v>386</v>
      </c>
      <c r="I11610" s="14"/>
      <c r="J11610" t="s" s="11">
        <v>20</v>
      </c>
      <c r="K11610" s="15"/>
      <c r="L11610" t="s" s="16">
        <f>HYPERLINK("http://csr.bu.edu/ftp/asl/asllvd/demos/verify_start_end_handshape_annotations//test_auto_move//signs_mov_separ_signers/Brady_5507.mov","MOV")</f>
        <v>21</v>
      </c>
      <c r="M11610" t="s" s="10">
        <v>60</v>
      </c>
      <c r="N11610" s="17">
        <v>14</v>
      </c>
      <c r="O11610" s="18">
        <v>806</v>
      </c>
      <c r="P11610" s="18">
        <v>842</v>
      </c>
      <c r="Q11610" s="15"/>
      <c r="R11610" t="s" s="16">
        <f>HYPERLINK("http://secrets.rutgers.edu:8080/data/asl-ftp/asllvd/demos/verify_start_end_handshape_annotations//test_auto_move//signs_mov_separ_signers/Brady_5507.mov","MOV")</f>
        <v>21</v>
      </c>
    </row>
    <row r="11611" s="2" customFormat="1" ht="13.5" customHeight="1">
      <c r="B11611" t="s" s="8">
        <v>52</v>
      </c>
      <c r="C11611" t="s" s="9">
        <v>53</v>
      </c>
      <c r="D11611" t="s" s="8">
        <v>53</v>
      </c>
      <c r="E11611" t="s" s="9">
        <v>53</v>
      </c>
      <c r="F11611" t="s" s="10">
        <v>53</v>
      </c>
      <c r="G11611" t="s" s="11">
        <v>53</v>
      </c>
      <c r="H11611" t="s" s="10">
        <v>53</v>
      </c>
      <c r="I11611" t="s" s="11">
        <v>53</v>
      </c>
      <c r="J11611" t="s" s="11">
        <v>53</v>
      </c>
      <c r="K11611" t="s" s="12">
        <v>53</v>
      </c>
      <c r="L11611" t="s" s="12">
        <v>53</v>
      </c>
      <c r="M11611" t="s" s="10">
        <v>53</v>
      </c>
      <c r="N11611" t="s" s="11">
        <v>53</v>
      </c>
      <c r="O11611" t="s" s="8">
        <v>53</v>
      </c>
      <c r="P11611" t="s" s="8">
        <v>53</v>
      </c>
      <c r="Q11611" t="s" s="12">
        <v>53</v>
      </c>
      <c r="R11611" t="s" s="12">
        <v>53</v>
      </c>
    </row>
    <row r="11612" s="2" customFormat="1" ht="13.5" customHeight="1">
      <c r="B11612" s="13"/>
      <c r="C11612" t="s" s="9">
        <v>23</v>
      </c>
      <c r="D11612" t="s" s="8">
        <v>4351</v>
      </c>
      <c r="E11612" t="s" s="9">
        <v>4353</v>
      </c>
      <c r="F11612" t="s" s="10">
        <v>240</v>
      </c>
      <c r="G11612" s="14"/>
      <c r="H11612" t="s" s="10">
        <v>240</v>
      </c>
      <c r="I11612" s="14"/>
      <c r="J11612" t="s" s="11">
        <v>20</v>
      </c>
      <c r="K11612" t="s" s="16">
        <f>HYPERLINK("http://csr.bu.edu/ftp/asl/asllvd/demos/verify_start_end_handshape_annotations//test_auto_move//signs_mov/16495.mov","MOV")</f>
        <v>21</v>
      </c>
      <c r="L11612" t="s" s="16">
        <f>HYPERLINK("http://csr.bu.edu/ftp/asl/asllvd/demos/verify_start_end_handshape_annotations//test_auto_move//signs_mov_separ_signers/Tyler_16495.mov","MOV")</f>
        <v>21</v>
      </c>
      <c r="M11612" t="s" s="10">
        <v>37</v>
      </c>
      <c r="N11612" s="17">
        <v>1</v>
      </c>
      <c r="O11612" s="18">
        <v>732</v>
      </c>
      <c r="P11612" s="18">
        <v>755</v>
      </c>
      <c r="Q11612" t="s" s="16">
        <f>HYPERLINK("http://secrets.rutgers.edu:8080/data/asl-ftp/asllvd/demos/verify_start_end_handshape_annotations//test_auto_move//signs_mov/16495.mov","MOV")</f>
        <v>21</v>
      </c>
      <c r="R11612" t="s" s="16">
        <f>HYPERLINK("http://secrets.rutgers.edu:8080/data/asl-ftp/asllvd/demos/verify_start_end_handshape_annotations//test_auto_move//signs_mov_separ_signers/Tyler_16495.mov","MOV")</f>
        <v>21</v>
      </c>
    </row>
    <row r="11613" s="2" customFormat="1" ht="13.5" customHeight="1">
      <c r="B11613" t="s" s="8">
        <v>4354</v>
      </c>
      <c r="C11613" t="s" s="9">
        <v>14</v>
      </c>
      <c r="D11613" t="s" s="8">
        <v>14</v>
      </c>
      <c r="E11613" t="s" s="9">
        <v>14</v>
      </c>
      <c r="F11613" t="s" s="10">
        <v>14</v>
      </c>
      <c r="G11613" t="s" s="11">
        <v>14</v>
      </c>
      <c r="H11613" t="s" s="10">
        <v>14</v>
      </c>
      <c r="I11613" t="s" s="11">
        <v>14</v>
      </c>
      <c r="J11613" t="s" s="11">
        <v>14</v>
      </c>
      <c r="K11613" t="s" s="12">
        <v>14</v>
      </c>
      <c r="L11613" t="s" s="12">
        <v>14</v>
      </c>
      <c r="M11613" t="s" s="10">
        <v>14</v>
      </c>
      <c r="N11613" t="s" s="11">
        <v>14</v>
      </c>
      <c r="O11613" t="s" s="8">
        <v>14</v>
      </c>
      <c r="P11613" t="s" s="8">
        <v>14</v>
      </c>
      <c r="Q11613" t="s" s="12">
        <v>14</v>
      </c>
      <c r="R11613" t="s" s="12">
        <v>14</v>
      </c>
    </row>
    <row r="11614" s="2" customFormat="1" ht="13.5" customHeight="1">
      <c r="B11614" s="13"/>
      <c r="C11614" t="s" s="9">
        <v>30</v>
      </c>
      <c r="D11614" t="s" s="8">
        <v>4354</v>
      </c>
      <c r="E11614" t="s" s="9">
        <v>4354</v>
      </c>
      <c r="F11614" t="s" s="10">
        <v>229</v>
      </c>
      <c r="G11614" t="s" s="11">
        <v>73</v>
      </c>
      <c r="H11614" t="s" s="10">
        <v>229</v>
      </c>
      <c r="I11614" t="s" s="11">
        <v>73</v>
      </c>
      <c r="J11614" t="s" s="11">
        <v>20</v>
      </c>
      <c r="K11614" t="s" s="16">
        <f>HYPERLINK("http://csr.bu.edu/ftp/asl/asllvd/demos/verify_start_end_handshape_annotations//test_auto_move//signs_mov/8703.mov","MOV")</f>
        <v>21</v>
      </c>
      <c r="L11614" t="s" s="16">
        <f>HYPERLINK("http://csr.bu.edu/ftp/asl/asllvd/demos/verify_start_end_handshape_annotations//test_auto_move//signs_mov_separ_signers/Brady_8703.mov","MOV")</f>
        <v>21</v>
      </c>
      <c r="M11614" t="s" s="10">
        <v>60</v>
      </c>
      <c r="N11614" s="17">
        <v>14</v>
      </c>
      <c r="O11614" s="18">
        <v>3566</v>
      </c>
      <c r="P11614" s="18">
        <v>3601</v>
      </c>
      <c r="Q11614" t="s" s="16">
        <f>HYPERLINK("http://secrets.rutgers.edu:8080/data/asl-ftp/asllvd/demos/verify_start_end_handshape_annotations//test_auto_move//signs_mov/8703.mov","MOV")</f>
        <v>21</v>
      </c>
      <c r="R11614" t="s" s="16">
        <f>HYPERLINK("http://secrets.rutgers.edu:8080/data/asl-ftp/asllvd/demos/verify_start_end_handshape_annotations//test_auto_move//signs_mov_separ_signers/Brady_8703.mov","MOV")</f>
        <v>21</v>
      </c>
    </row>
    <row r="11615" s="2" customFormat="1" ht="13.5" customHeight="1">
      <c r="B11615" t="s" s="8">
        <v>4355</v>
      </c>
      <c r="C11615" t="s" s="9">
        <v>14</v>
      </c>
      <c r="D11615" t="s" s="8">
        <v>14</v>
      </c>
      <c r="E11615" t="s" s="9">
        <v>14</v>
      </c>
      <c r="F11615" t="s" s="10">
        <v>14</v>
      </c>
      <c r="G11615" t="s" s="11">
        <v>14</v>
      </c>
      <c r="H11615" t="s" s="10">
        <v>14</v>
      </c>
      <c r="I11615" t="s" s="11">
        <v>14</v>
      </c>
      <c r="J11615" t="s" s="11">
        <v>14</v>
      </c>
      <c r="K11615" t="s" s="12">
        <v>14</v>
      </c>
      <c r="L11615" t="s" s="12">
        <v>14</v>
      </c>
      <c r="M11615" t="s" s="10">
        <v>14</v>
      </c>
      <c r="N11615" t="s" s="11">
        <v>14</v>
      </c>
      <c r="O11615" t="s" s="8">
        <v>14</v>
      </c>
      <c r="P11615" t="s" s="8">
        <v>14</v>
      </c>
      <c r="Q11615" t="s" s="12">
        <v>14</v>
      </c>
      <c r="R11615" t="s" s="12">
        <v>14</v>
      </c>
    </row>
    <row r="11616" s="2" customFormat="1" ht="13.5" customHeight="1">
      <c r="B11616" s="13"/>
      <c r="C11616" t="s" s="9">
        <v>16</v>
      </c>
      <c r="D11616" t="s" s="8">
        <v>4355</v>
      </c>
      <c r="E11616" t="s" s="9">
        <v>4355</v>
      </c>
      <c r="F11616" t="s" s="10">
        <v>229</v>
      </c>
      <c r="G11616" t="s" s="11">
        <v>73</v>
      </c>
      <c r="H11616" s="19">
        <v>1</v>
      </c>
      <c r="I11616" t="s" s="11">
        <v>73</v>
      </c>
      <c r="J11616" t="s" s="11">
        <v>20</v>
      </c>
      <c r="K11616" t="s" s="16">
        <f>HYPERLINK("http://csr.bu.edu/ftp/asl/asllvd/demos/verify_start_end_handshape_annotations//test_auto_move//signs_mov/5891.mov","MOV")</f>
        <v>21</v>
      </c>
      <c r="L11616" t="s" s="16">
        <f>HYPERLINK("http://csr.bu.edu/ftp/asl/asllvd/demos/verify_start_end_handshape_annotations//test_auto_move//signs_mov_separ_signers/Liz_5891.mov","MOV")</f>
        <v>21</v>
      </c>
      <c r="M11616" t="s" s="10">
        <v>77</v>
      </c>
      <c r="N11616" s="17">
        <v>16</v>
      </c>
      <c r="O11616" s="18">
        <v>4062</v>
      </c>
      <c r="P11616" s="18">
        <v>4144</v>
      </c>
      <c r="Q11616" t="s" s="16">
        <f>HYPERLINK("http://secrets.rutgers.edu:8080/data/asl-ftp/asllvd/demos/verify_start_end_handshape_annotations//test_auto_move//signs_mov/5891.mov","MOV")</f>
        <v>21</v>
      </c>
      <c r="R11616" t="s" s="16">
        <f>HYPERLINK("http://secrets.rutgers.edu:8080/data/asl-ftp/asllvd/demos/verify_start_end_handshape_annotations//test_auto_move//signs_mov_separ_signers/Liz_5891.mov","MOV")</f>
        <v>21</v>
      </c>
    </row>
    <row r="11617" s="2" customFormat="1" ht="13.5" customHeight="1">
      <c r="B11617" t="s" s="8">
        <v>4356</v>
      </c>
      <c r="C11617" t="s" s="9">
        <v>14</v>
      </c>
      <c r="D11617" t="s" s="8">
        <v>14</v>
      </c>
      <c r="E11617" t="s" s="9">
        <v>14</v>
      </c>
      <c r="F11617" t="s" s="10">
        <v>14</v>
      </c>
      <c r="G11617" t="s" s="11">
        <v>14</v>
      </c>
      <c r="H11617" t="s" s="10">
        <v>14</v>
      </c>
      <c r="I11617" t="s" s="11">
        <v>14</v>
      </c>
      <c r="J11617" t="s" s="11">
        <v>14</v>
      </c>
      <c r="K11617" t="s" s="12">
        <v>14</v>
      </c>
      <c r="L11617" t="s" s="12">
        <v>14</v>
      </c>
      <c r="M11617" t="s" s="10">
        <v>14</v>
      </c>
      <c r="N11617" t="s" s="11">
        <v>14</v>
      </c>
      <c r="O11617" t="s" s="8">
        <v>14</v>
      </c>
      <c r="P11617" t="s" s="8">
        <v>14</v>
      </c>
      <c r="Q11617" t="s" s="12">
        <v>14</v>
      </c>
      <c r="R11617" t="s" s="12">
        <v>14</v>
      </c>
    </row>
    <row r="11618" s="2" customFormat="1" ht="13.5" customHeight="1">
      <c r="B11618" s="13"/>
      <c r="C11618" t="s" s="9">
        <v>16</v>
      </c>
      <c r="D11618" t="s" s="8">
        <v>4356</v>
      </c>
      <c r="E11618" t="s" s="9">
        <v>4357</v>
      </c>
      <c r="F11618" t="s" s="10">
        <v>150</v>
      </c>
      <c r="G11618" s="14"/>
      <c r="H11618" t="s" s="10">
        <v>150</v>
      </c>
      <c r="I11618" s="14"/>
      <c r="J11618" t="s" s="11">
        <v>20</v>
      </c>
      <c r="K11618" s="15"/>
      <c r="L11618" t="s" s="16">
        <f>HYPERLINK("http://csr.bu.edu/ftp/asl/asllvd/demos/verify_start_end_handshape_annotations//test_auto_move//signs_mov_separ_signers/Liz_8715.mov","MOV")</f>
        <v>21</v>
      </c>
      <c r="M11618" t="s" s="10">
        <v>22</v>
      </c>
      <c r="N11618" s="17">
        <v>61</v>
      </c>
      <c r="O11618" s="18">
        <v>871</v>
      </c>
      <c r="P11618" s="18">
        <v>905</v>
      </c>
      <c r="Q11618" s="15"/>
      <c r="R11618" t="s" s="16">
        <f>HYPERLINK("http://secrets.rutgers.edu:8080/data/asl-ftp/asllvd/demos/verify_start_end_handshape_annotations//test_auto_move//signs_mov_separ_signers/Liz_8715.mov","MOV")</f>
        <v>21</v>
      </c>
    </row>
    <row r="11619" s="2" customFormat="1" ht="13.5" customHeight="1">
      <c r="B11619" s="13"/>
      <c r="C11619" t="s" s="9">
        <v>23</v>
      </c>
      <c r="D11619" t="s" s="8">
        <v>4356</v>
      </c>
      <c r="E11619" t="s" s="9">
        <v>4358</v>
      </c>
      <c r="F11619" t="s" s="10">
        <v>150</v>
      </c>
      <c r="G11619" s="14"/>
      <c r="H11619" t="s" s="10">
        <v>150</v>
      </c>
      <c r="I11619" s="14"/>
      <c r="J11619" t="s" s="11">
        <v>20</v>
      </c>
      <c r="K11619" s="15"/>
      <c r="L11619" t="s" s="16">
        <f>HYPERLINK("http://csr.bu.edu/ftp/asl/asllvd/demos/verify_start_end_handshape_annotations//test_auto_move//signs_mov_separ_signers/Tyler_8715.mov","MOV")</f>
        <v>21</v>
      </c>
      <c r="M11619" t="s" s="10">
        <v>26</v>
      </c>
      <c r="N11619" s="17">
        <v>38</v>
      </c>
      <c r="O11619" s="18">
        <v>340</v>
      </c>
      <c r="P11619" s="18">
        <v>395</v>
      </c>
      <c r="Q11619" s="15"/>
      <c r="R11619" t="s" s="16">
        <f>HYPERLINK("http://secrets.rutgers.edu:8080/data/asl-ftp/asllvd/demos/verify_start_end_handshape_annotations//test_auto_move//signs_mov_separ_signers/Tyler_8715.mov","MOV")</f>
        <v>21</v>
      </c>
    </row>
    <row r="11620" s="2" customFormat="1" ht="13.5" customHeight="1">
      <c r="B11620" s="13"/>
      <c r="C11620" t="s" s="9">
        <v>27</v>
      </c>
      <c r="D11620" t="s" s="8">
        <v>4356</v>
      </c>
      <c r="E11620" t="s" s="9">
        <v>4357</v>
      </c>
      <c r="F11620" t="s" s="10">
        <v>72</v>
      </c>
      <c r="G11620" s="14"/>
      <c r="H11620" t="s" s="10">
        <v>72</v>
      </c>
      <c r="I11620" s="14"/>
      <c r="J11620" t="s" s="11">
        <v>20</v>
      </c>
      <c r="K11620" t="s" s="16">
        <f>HYPERLINK("http://csr.bu.edu/ftp/asl/asllvd/demos/verify_start_end_handshape_annotations//test_auto_move//signs_mov/5486_8715_merged.mov","MOV")</f>
        <v>21</v>
      </c>
      <c r="L11620" t="s" s="16">
        <f>HYPERLINK("http://csr.bu.edu/ftp/asl/asllvd/demos/verify_start_end_handshape_annotations//test_auto_move//signs_mov_separ_signers/Naomi_8715.mov","MOV")</f>
        <v>21</v>
      </c>
      <c r="M11620" t="s" s="10">
        <v>29</v>
      </c>
      <c r="N11620" s="17">
        <v>39</v>
      </c>
      <c r="O11620" s="18">
        <v>633</v>
      </c>
      <c r="P11620" s="18">
        <v>667</v>
      </c>
      <c r="Q11620" t="s" s="16">
        <f>HYPERLINK("http://secrets.rutgers.edu:8080/data/asl-ftp/asllvd/demos/verify_start_end_handshape_annotations//test_auto_move//signs_mov/5486_8715_merged.mov","MOV")</f>
        <v>21</v>
      </c>
      <c r="R11620" t="s" s="16">
        <f>HYPERLINK("http://secrets.rutgers.edu:8080/data/asl-ftp/asllvd/demos/verify_start_end_handshape_annotations//test_auto_move//signs_mov_separ_signers/Naomi_8715.mov","MOV")</f>
        <v>21</v>
      </c>
    </row>
    <row r="11621" s="2" customFormat="1" ht="13.5" customHeight="1">
      <c r="B11621" s="13"/>
      <c r="C11621" t="s" s="9">
        <v>30</v>
      </c>
      <c r="D11621" t="s" s="8">
        <v>4356</v>
      </c>
      <c r="E11621" t="s" s="9">
        <v>4358</v>
      </c>
      <c r="F11621" t="s" s="10">
        <v>150</v>
      </c>
      <c r="G11621" s="14"/>
      <c r="H11621" t="s" s="10">
        <v>150</v>
      </c>
      <c r="I11621" s="14"/>
      <c r="J11621" t="s" s="11">
        <v>20</v>
      </c>
      <c r="K11621" s="15"/>
      <c r="L11621" t="s" s="16">
        <f>HYPERLINK("http://csr.bu.edu/ftp/asl/asllvd/demos/verify_start_end_handshape_annotations//test_auto_move//signs_mov_separ_signers/Brady_8715.mov","MOV")</f>
        <v>21</v>
      </c>
      <c r="M11621" t="s" s="10">
        <v>31</v>
      </c>
      <c r="N11621" s="17">
        <v>24</v>
      </c>
      <c r="O11621" s="18">
        <v>11378</v>
      </c>
      <c r="P11621" s="18">
        <v>11409</v>
      </c>
      <c r="Q11621" s="15"/>
      <c r="R11621" t="s" s="16">
        <f>HYPERLINK("http://secrets.rutgers.edu:8080/data/asl-ftp/asllvd/demos/verify_start_end_handshape_annotations//test_auto_move//signs_mov_separ_signers/Brady_8715.mov","MOV")</f>
        <v>21</v>
      </c>
    </row>
    <row r="11622" s="2" customFormat="1" ht="13.5" customHeight="1">
      <c r="B11622" s="13"/>
      <c r="C11622" t="s" s="9">
        <v>30</v>
      </c>
      <c r="D11622" t="s" s="8">
        <v>4356</v>
      </c>
      <c r="E11622" t="s" s="9">
        <v>4357</v>
      </c>
      <c r="F11622" t="s" s="10">
        <v>150</v>
      </c>
      <c r="G11622" s="14"/>
      <c r="H11622" t="s" s="10">
        <v>150</v>
      </c>
      <c r="I11622" s="14"/>
      <c r="J11622" t="s" s="11">
        <v>20</v>
      </c>
      <c r="K11622" s="15"/>
      <c r="L11622" t="s" s="16">
        <f>HYPERLINK("http://csr.bu.edu/ftp/asl/asllvd/demos/verify_start_end_handshape_annotations//test_auto_move//signs_mov_separ_signers/Brady_5486.mov","MOV")</f>
        <v>21</v>
      </c>
      <c r="M11622" t="s" s="10">
        <v>60</v>
      </c>
      <c r="N11622" s="17">
        <v>10</v>
      </c>
      <c r="O11622" s="18">
        <v>1413</v>
      </c>
      <c r="P11622" s="18">
        <v>1457</v>
      </c>
      <c r="Q11622" s="15"/>
      <c r="R11622" t="s" s="16">
        <f>HYPERLINK("http://secrets.rutgers.edu:8080/data/asl-ftp/asllvd/demos/verify_start_end_handshape_annotations//test_auto_move//signs_mov_separ_signers/Brady_5486.mov","MOV")</f>
        <v>21</v>
      </c>
    </row>
    <row r="11623" s="2" customFormat="1" ht="13.5" customHeight="1">
      <c r="B11623" t="s" s="8">
        <v>52</v>
      </c>
      <c r="C11623" t="s" s="9">
        <v>53</v>
      </c>
      <c r="D11623" t="s" s="8">
        <v>53</v>
      </c>
      <c r="E11623" t="s" s="9">
        <v>53</v>
      </c>
      <c r="F11623" t="s" s="10">
        <v>53</v>
      </c>
      <c r="G11623" t="s" s="11">
        <v>53</v>
      </c>
      <c r="H11623" t="s" s="10">
        <v>53</v>
      </c>
      <c r="I11623" t="s" s="11">
        <v>53</v>
      </c>
      <c r="J11623" t="s" s="11">
        <v>53</v>
      </c>
      <c r="K11623" t="s" s="12">
        <v>53</v>
      </c>
      <c r="L11623" t="s" s="12">
        <v>53</v>
      </c>
      <c r="M11623" t="s" s="10">
        <v>53</v>
      </c>
      <c r="N11623" t="s" s="11">
        <v>53</v>
      </c>
      <c r="O11623" t="s" s="8">
        <v>53</v>
      </c>
      <c r="P11623" t="s" s="8">
        <v>53</v>
      </c>
      <c r="Q11623" t="s" s="12">
        <v>53</v>
      </c>
      <c r="R11623" t="s" s="12">
        <v>53</v>
      </c>
    </row>
    <row r="11624" s="2" customFormat="1" ht="13.5" customHeight="1">
      <c r="B11624" s="13"/>
      <c r="C11624" t="s" s="9">
        <v>16</v>
      </c>
      <c r="D11624" t="s" s="8">
        <v>4356</v>
      </c>
      <c r="E11624" t="s" s="9">
        <v>4359</v>
      </c>
      <c r="F11624" t="s" s="10">
        <v>63</v>
      </c>
      <c r="G11624" s="14"/>
      <c r="H11624" t="s" s="10">
        <v>63</v>
      </c>
      <c r="I11624" s="14"/>
      <c r="J11624" t="s" s="11">
        <v>20</v>
      </c>
      <c r="K11624" t="s" s="16">
        <f>HYPERLINK("http://csr.bu.edu/ftp/asl/asllvd/demos/verify_start_end_handshape_annotations//test_auto_move//signs_mov/5554.mov","MOV")</f>
        <v>21</v>
      </c>
      <c r="L11624" t="s" s="16">
        <f>HYPERLINK("http://csr.bu.edu/ftp/asl/asllvd/demos/verify_start_end_handshape_annotations//test_auto_move//signs_mov_separ_signers/Liz_5554.mov","MOV")</f>
        <v>21</v>
      </c>
      <c r="M11624" t="s" s="10">
        <v>77</v>
      </c>
      <c r="N11624" s="17">
        <v>29</v>
      </c>
      <c r="O11624" s="18">
        <v>345</v>
      </c>
      <c r="P11624" s="18">
        <v>391</v>
      </c>
      <c r="Q11624" t="s" s="16">
        <f>HYPERLINK("http://secrets.rutgers.edu:8080/data/asl-ftp/asllvd/demos/verify_start_end_handshape_annotations//test_auto_move//signs_mov/5554.mov","MOV")</f>
        <v>21</v>
      </c>
      <c r="R11624" t="s" s="16">
        <f>HYPERLINK("http://secrets.rutgers.edu:8080/data/asl-ftp/asllvd/demos/verify_start_end_handshape_annotations//test_auto_move//signs_mov_separ_signers/Liz_5554.mov","MOV")</f>
        <v>21</v>
      </c>
    </row>
    <row r="11625" s="2" customFormat="1" ht="13.5" customHeight="1">
      <c r="B11625" t="s" s="8">
        <v>4360</v>
      </c>
      <c r="C11625" t="s" s="9">
        <v>14</v>
      </c>
      <c r="D11625" t="s" s="8">
        <v>14</v>
      </c>
      <c r="E11625" t="s" s="9">
        <v>14</v>
      </c>
      <c r="F11625" t="s" s="10">
        <v>14</v>
      </c>
      <c r="G11625" t="s" s="11">
        <v>14</v>
      </c>
      <c r="H11625" t="s" s="10">
        <v>14</v>
      </c>
      <c r="I11625" t="s" s="11">
        <v>14</v>
      </c>
      <c r="J11625" t="s" s="11">
        <v>14</v>
      </c>
      <c r="K11625" t="s" s="12">
        <v>14</v>
      </c>
      <c r="L11625" t="s" s="12">
        <v>14</v>
      </c>
      <c r="M11625" t="s" s="10">
        <v>14</v>
      </c>
      <c r="N11625" t="s" s="11">
        <v>14</v>
      </c>
      <c r="O11625" t="s" s="8">
        <v>14</v>
      </c>
      <c r="P11625" t="s" s="8">
        <v>14</v>
      </c>
      <c r="Q11625" t="s" s="12">
        <v>14</v>
      </c>
      <c r="R11625" t="s" s="12">
        <v>14</v>
      </c>
    </row>
    <row r="11626" s="2" customFormat="1" ht="13.5" customHeight="1">
      <c r="B11626" s="13"/>
      <c r="C11626" t="s" s="9">
        <v>16</v>
      </c>
      <c r="D11626" t="s" s="8">
        <v>4360</v>
      </c>
      <c r="E11626" t="s" s="9">
        <v>4361</v>
      </c>
      <c r="F11626" t="s" s="10">
        <v>230</v>
      </c>
      <c r="G11626" s="14"/>
      <c r="H11626" t="s" s="10">
        <v>230</v>
      </c>
      <c r="I11626" s="14"/>
      <c r="J11626" t="s" s="11">
        <v>20</v>
      </c>
      <c r="K11626" t="s" s="16">
        <f>HYPERLINK("http://csr.bu.edu/ftp/asl/asllvd/demos/verify_start_end_handshape_annotations//test_auto_move//signs_mov/8717.mov","MOV")</f>
        <v>21</v>
      </c>
      <c r="L11626" t="s" s="16">
        <f>HYPERLINK("http://csr.bu.edu/ftp/asl/asllvd/demos/verify_start_end_handshape_annotations//test_auto_move//signs_mov_separ_signers/Liz_8717.mov","MOV")</f>
        <v>21</v>
      </c>
      <c r="M11626" t="s" s="10">
        <v>59</v>
      </c>
      <c r="N11626" s="17">
        <v>22</v>
      </c>
      <c r="O11626" s="18">
        <v>2002</v>
      </c>
      <c r="P11626" s="18">
        <v>2062</v>
      </c>
      <c r="Q11626" t="s" s="16">
        <f>HYPERLINK("http://secrets.rutgers.edu:8080/data/asl-ftp/asllvd/demos/verify_start_end_handshape_annotations//test_auto_move//signs_mov/8717.mov","MOV")</f>
        <v>21</v>
      </c>
      <c r="R11626" t="s" s="16">
        <f>HYPERLINK("http://secrets.rutgers.edu:8080/data/asl-ftp/asllvd/demos/verify_start_end_handshape_annotations//test_auto_move//signs_mov_separ_signers/Liz_8717.mov","MOV")</f>
        <v>21</v>
      </c>
    </row>
    <row r="11627" s="2" customFormat="1" ht="13.5" customHeight="1">
      <c r="B11627" s="13"/>
      <c r="C11627" t="s" s="9">
        <v>30</v>
      </c>
      <c r="D11627" t="s" s="8">
        <v>4360</v>
      </c>
      <c r="E11627" t="s" s="9">
        <v>4361</v>
      </c>
      <c r="F11627" t="s" s="10">
        <v>230</v>
      </c>
      <c r="G11627" s="14"/>
      <c r="H11627" t="s" s="10">
        <v>230</v>
      </c>
      <c r="I11627" s="14"/>
      <c r="J11627" t="s" s="11">
        <v>20</v>
      </c>
      <c r="K11627" s="15"/>
      <c r="L11627" t="s" s="16">
        <f>HYPERLINK("http://csr.bu.edu/ftp/asl/asllvd/demos/verify_start_end_handshape_annotations//test_auto_move//signs_mov_separ_signers/Brady_8717.mov","MOV")</f>
        <v>21</v>
      </c>
      <c r="M11627" t="s" s="10">
        <v>60</v>
      </c>
      <c r="N11627" s="17">
        <v>10</v>
      </c>
      <c r="O11627" s="18">
        <v>1700</v>
      </c>
      <c r="P11627" s="18">
        <v>1750</v>
      </c>
      <c r="Q11627" s="15"/>
      <c r="R11627" t="s" s="16">
        <f>HYPERLINK("http://secrets.rutgers.edu:8080/data/asl-ftp/asllvd/demos/verify_start_end_handshape_annotations//test_auto_move//signs_mov_separ_signers/Brady_8717.mov","MOV")</f>
        <v>21</v>
      </c>
    </row>
    <row r="11628" s="2" customFormat="1" ht="13.5" customHeight="1">
      <c r="B11628" t="s" s="8">
        <v>4362</v>
      </c>
      <c r="C11628" t="s" s="9">
        <v>14</v>
      </c>
      <c r="D11628" t="s" s="8">
        <v>14</v>
      </c>
      <c r="E11628" t="s" s="9">
        <v>14</v>
      </c>
      <c r="F11628" t="s" s="10">
        <v>14</v>
      </c>
      <c r="G11628" t="s" s="11">
        <v>14</v>
      </c>
      <c r="H11628" t="s" s="10">
        <v>14</v>
      </c>
      <c r="I11628" t="s" s="11">
        <v>14</v>
      </c>
      <c r="J11628" t="s" s="11">
        <v>14</v>
      </c>
      <c r="K11628" t="s" s="12">
        <v>14</v>
      </c>
      <c r="L11628" t="s" s="12">
        <v>14</v>
      </c>
      <c r="M11628" t="s" s="10">
        <v>14</v>
      </c>
      <c r="N11628" t="s" s="11">
        <v>14</v>
      </c>
      <c r="O11628" t="s" s="8">
        <v>14</v>
      </c>
      <c r="P11628" t="s" s="8">
        <v>14</v>
      </c>
      <c r="Q11628" t="s" s="12">
        <v>14</v>
      </c>
      <c r="R11628" t="s" s="12">
        <v>14</v>
      </c>
    </row>
    <row r="11629" s="2" customFormat="1" ht="13.5" customHeight="1">
      <c r="B11629" s="13"/>
      <c r="C11629" t="s" s="9">
        <v>16</v>
      </c>
      <c r="D11629" t="s" s="8">
        <v>4362</v>
      </c>
      <c r="E11629" t="s" s="9">
        <v>4362</v>
      </c>
      <c r="F11629" t="s" s="10">
        <v>230</v>
      </c>
      <c r="G11629" s="14"/>
      <c r="H11629" t="s" s="10">
        <v>230</v>
      </c>
      <c r="I11629" s="14"/>
      <c r="J11629" t="s" s="11">
        <v>20</v>
      </c>
      <c r="K11629" t="s" s="16">
        <f>HYPERLINK("http://csr.bu.edu/ftp/asl/asllvd/demos/verify_start_end_handshape_annotations//test_auto_move//signs_mov/5504.mov","MOV")</f>
        <v>21</v>
      </c>
      <c r="L11629" t="s" s="16">
        <f>HYPERLINK("http://csr.bu.edu/ftp/asl/asllvd/demos/verify_start_end_handshape_annotations//test_auto_move//signs_mov_separ_signers/Liz_5504.mov","MOV")</f>
        <v>21</v>
      </c>
      <c r="M11629" t="s" s="10">
        <v>59</v>
      </c>
      <c r="N11629" s="17">
        <v>23</v>
      </c>
      <c r="O11629" s="18">
        <v>2634</v>
      </c>
      <c r="P11629" s="18">
        <v>2673</v>
      </c>
      <c r="Q11629" t="s" s="16">
        <f>HYPERLINK("http://secrets.rutgers.edu:8080/data/asl-ftp/asllvd/demos/verify_start_end_handshape_annotations//test_auto_move//signs_mov/5504.mov","MOV")</f>
        <v>21</v>
      </c>
      <c r="R11629" t="s" s="16">
        <f>HYPERLINK("http://secrets.rutgers.edu:8080/data/asl-ftp/asllvd/demos/verify_start_end_handshape_annotations//test_auto_move//signs_mov_separ_signers/Liz_5504.mov","MOV")</f>
        <v>21</v>
      </c>
    </row>
    <row r="11630" s="2" customFormat="1" ht="13.5" customHeight="1">
      <c r="B11630" s="13"/>
      <c r="C11630" t="s" s="9">
        <v>30</v>
      </c>
      <c r="D11630" t="s" s="8">
        <v>4362</v>
      </c>
      <c r="E11630" t="s" s="9">
        <v>4362</v>
      </c>
      <c r="F11630" t="s" s="10">
        <v>230</v>
      </c>
      <c r="G11630" s="14"/>
      <c r="H11630" t="s" s="10">
        <v>230</v>
      </c>
      <c r="I11630" s="14"/>
      <c r="J11630" t="s" s="11">
        <v>20</v>
      </c>
      <c r="K11630" s="15"/>
      <c r="L11630" t="s" s="16">
        <f>HYPERLINK("http://csr.bu.edu/ftp/asl/asllvd/demos/verify_start_end_handshape_annotations//test_auto_move//signs_mov_separ_signers/Brady_5504.mov","MOV")</f>
        <v>21</v>
      </c>
      <c r="M11630" t="s" s="10">
        <v>60</v>
      </c>
      <c r="N11630" s="17">
        <v>11</v>
      </c>
      <c r="O11630" s="18">
        <v>1843</v>
      </c>
      <c r="P11630" s="18">
        <v>1870</v>
      </c>
      <c r="Q11630" s="15"/>
      <c r="R11630" t="s" s="16">
        <f>HYPERLINK("http://secrets.rutgers.edu:8080/data/asl-ftp/asllvd/demos/verify_start_end_handshape_annotations//test_auto_move//signs_mov_separ_signers/Brady_5504.mov","MOV")</f>
        <v>21</v>
      </c>
    </row>
    <row r="11631" s="2" customFormat="1" ht="13.5" customHeight="1">
      <c r="B11631" t="s" s="8">
        <v>4363</v>
      </c>
      <c r="C11631" t="s" s="9">
        <v>14</v>
      </c>
      <c r="D11631" t="s" s="8">
        <v>14</v>
      </c>
      <c r="E11631" t="s" s="9">
        <v>14</v>
      </c>
      <c r="F11631" t="s" s="10">
        <v>14</v>
      </c>
      <c r="G11631" t="s" s="11">
        <v>14</v>
      </c>
      <c r="H11631" t="s" s="10">
        <v>14</v>
      </c>
      <c r="I11631" t="s" s="11">
        <v>14</v>
      </c>
      <c r="J11631" t="s" s="11">
        <v>14</v>
      </c>
      <c r="K11631" t="s" s="12">
        <v>14</v>
      </c>
      <c r="L11631" t="s" s="12">
        <v>14</v>
      </c>
      <c r="M11631" t="s" s="10">
        <v>14</v>
      </c>
      <c r="N11631" t="s" s="11">
        <v>14</v>
      </c>
      <c r="O11631" t="s" s="8">
        <v>14</v>
      </c>
      <c r="P11631" t="s" s="8">
        <v>14</v>
      </c>
      <c r="Q11631" t="s" s="12">
        <v>14</v>
      </c>
      <c r="R11631" t="s" s="12">
        <v>14</v>
      </c>
    </row>
    <row r="11632" s="2" customFormat="1" ht="13.5" customHeight="1">
      <c r="B11632" s="13"/>
      <c r="C11632" t="s" s="9">
        <v>16</v>
      </c>
      <c r="D11632" t="s" s="8">
        <v>4363</v>
      </c>
      <c r="E11632" t="s" s="9">
        <v>4364</v>
      </c>
      <c r="F11632" t="s" s="10">
        <v>230</v>
      </c>
      <c r="G11632" s="14"/>
      <c r="H11632" t="s" s="10">
        <v>230</v>
      </c>
      <c r="I11632" s="14"/>
      <c r="J11632" t="s" s="11">
        <v>20</v>
      </c>
      <c r="K11632" t="s" s="16">
        <f>HYPERLINK("http://csr.bu.edu/ftp/asl/asllvd/demos/verify_start_end_handshape_annotations//test_auto_move//signs_mov/15259.mov","MOV")</f>
        <v>21</v>
      </c>
      <c r="L11632" t="s" s="16">
        <f>HYPERLINK("http://csr.bu.edu/ftp/asl/asllvd/demos/verify_start_end_handshape_annotations//test_auto_move//signs_mov_separ_signers/Liz_15259.mov","MOV")</f>
        <v>21</v>
      </c>
      <c r="M11632" t="s" s="10">
        <v>59</v>
      </c>
      <c r="N11632" s="17">
        <v>22</v>
      </c>
      <c r="O11632" s="18">
        <v>1381</v>
      </c>
      <c r="P11632" s="18">
        <v>1449</v>
      </c>
      <c r="Q11632" t="s" s="16">
        <f>HYPERLINK("http://secrets.rutgers.edu:8080/data/asl-ftp/asllvd/demos/verify_start_end_handshape_annotations//test_auto_move//signs_mov/15259.mov","MOV")</f>
        <v>21</v>
      </c>
      <c r="R11632" t="s" s="16">
        <f>HYPERLINK("http://secrets.rutgers.edu:8080/data/asl-ftp/asllvd/demos/verify_start_end_handshape_annotations//test_auto_move//signs_mov_separ_signers/Liz_15259.mov","MOV")</f>
        <v>21</v>
      </c>
    </row>
    <row r="11633" s="2" customFormat="1" ht="13.5" customHeight="1">
      <c r="B11633" s="13"/>
      <c r="C11633" t="s" s="9">
        <v>30</v>
      </c>
      <c r="D11633" t="s" s="8">
        <v>4363</v>
      </c>
      <c r="E11633" t="s" s="9">
        <v>4364</v>
      </c>
      <c r="F11633" t="s" s="10">
        <v>230</v>
      </c>
      <c r="G11633" s="14"/>
      <c r="H11633" t="s" s="10">
        <v>230</v>
      </c>
      <c r="I11633" s="14"/>
      <c r="J11633" t="s" s="11">
        <v>20</v>
      </c>
      <c r="K11633" s="15"/>
      <c r="L11633" t="s" s="16">
        <f>HYPERLINK("http://csr.bu.edu/ftp/asl/asllvd/demos/verify_start_end_handshape_annotations//test_auto_move//signs_mov_separ_signers/Brady_15259.mov","MOV")</f>
        <v>21</v>
      </c>
      <c r="M11633" t="s" s="10">
        <v>60</v>
      </c>
      <c r="N11633" s="17">
        <v>10</v>
      </c>
      <c r="O11633" s="18">
        <v>863</v>
      </c>
      <c r="P11633" s="18">
        <v>922</v>
      </c>
      <c r="Q11633" s="15"/>
      <c r="R11633" t="s" s="16">
        <f>HYPERLINK("http://secrets.rutgers.edu:8080/data/asl-ftp/asllvd/demos/verify_start_end_handshape_annotations//test_auto_move//signs_mov_separ_signers/Brady_15259.mov","MOV")</f>
        <v>21</v>
      </c>
    </row>
    <row r="11634" s="2" customFormat="1" ht="13.5" customHeight="1">
      <c r="B11634" t="s" s="8">
        <v>4365</v>
      </c>
      <c r="C11634" t="s" s="9">
        <v>14</v>
      </c>
      <c r="D11634" t="s" s="8">
        <v>14</v>
      </c>
      <c r="E11634" t="s" s="9">
        <v>14</v>
      </c>
      <c r="F11634" t="s" s="10">
        <v>14</v>
      </c>
      <c r="G11634" t="s" s="11">
        <v>14</v>
      </c>
      <c r="H11634" t="s" s="10">
        <v>14</v>
      </c>
      <c r="I11634" t="s" s="11">
        <v>14</v>
      </c>
      <c r="J11634" t="s" s="11">
        <v>14</v>
      </c>
      <c r="K11634" t="s" s="12">
        <v>14</v>
      </c>
      <c r="L11634" t="s" s="12">
        <v>14</v>
      </c>
      <c r="M11634" t="s" s="10">
        <v>14</v>
      </c>
      <c r="N11634" t="s" s="11">
        <v>14</v>
      </c>
      <c r="O11634" t="s" s="8">
        <v>14</v>
      </c>
      <c r="P11634" t="s" s="8">
        <v>14</v>
      </c>
      <c r="Q11634" t="s" s="12">
        <v>14</v>
      </c>
      <c r="R11634" t="s" s="12">
        <v>14</v>
      </c>
    </row>
    <row r="11635" s="2" customFormat="1" ht="13.5" customHeight="1">
      <c r="B11635" s="13"/>
      <c r="C11635" t="s" s="9">
        <v>16</v>
      </c>
      <c r="D11635" t="s" s="8">
        <v>4365</v>
      </c>
      <c r="E11635" t="s" s="9">
        <v>4365</v>
      </c>
      <c r="F11635" s="19">
        <v>1</v>
      </c>
      <c r="G11635" s="14"/>
      <c r="H11635" s="19">
        <v>1</v>
      </c>
      <c r="I11635" s="14"/>
      <c r="J11635" t="s" s="11">
        <v>20</v>
      </c>
      <c r="K11635" s="15"/>
      <c r="L11635" t="s" s="16">
        <f>HYPERLINK("http://csr.bu.edu/ftp/asl/asllvd/demos/verify_start_end_handshape_annotations//test_auto_move//signs_mov_separ_signers/Liz_8722.mov","MOV")</f>
        <v>21</v>
      </c>
      <c r="M11635" t="s" s="10">
        <v>59</v>
      </c>
      <c r="N11635" s="17">
        <v>23</v>
      </c>
      <c r="O11635" s="18">
        <v>4174</v>
      </c>
      <c r="P11635" s="18">
        <v>4201</v>
      </c>
      <c r="Q11635" s="15"/>
      <c r="R11635" t="s" s="16">
        <f>HYPERLINK("http://secrets.rutgers.edu:8080/data/asl-ftp/asllvd/demos/verify_start_end_handshape_annotations//test_auto_move//signs_mov_separ_signers/Liz_8722.mov","MOV")</f>
        <v>21</v>
      </c>
    </row>
    <row r="11636" s="2" customFormat="1" ht="13.5" customHeight="1">
      <c r="B11636" s="13"/>
      <c r="C11636" t="s" s="9">
        <v>30</v>
      </c>
      <c r="D11636" t="s" s="8">
        <v>4365</v>
      </c>
      <c r="E11636" t="s" s="9">
        <v>4365</v>
      </c>
      <c r="F11636" s="19">
        <v>1</v>
      </c>
      <c r="G11636" s="14"/>
      <c r="H11636" s="19">
        <v>1</v>
      </c>
      <c r="I11636" s="14"/>
      <c r="J11636" t="s" s="11">
        <v>20</v>
      </c>
      <c r="K11636" s="15"/>
      <c r="L11636" t="s" s="16">
        <f>HYPERLINK("http://csr.bu.edu/ftp/asl/asllvd/demos/verify_start_end_handshape_annotations//test_auto_move//signs_mov_separ_signers/Brady_8722.mov","MOV")</f>
        <v>21</v>
      </c>
      <c r="M11636" t="s" s="10">
        <v>60</v>
      </c>
      <c r="N11636" s="17">
        <v>12</v>
      </c>
      <c r="O11636" s="18">
        <v>1249</v>
      </c>
      <c r="P11636" s="18">
        <v>1264</v>
      </c>
      <c r="Q11636" s="15"/>
      <c r="R11636" t="s" s="16">
        <f>HYPERLINK("http://secrets.rutgers.edu:8080/data/asl-ftp/asllvd/demos/verify_start_end_handshape_annotations//test_auto_move//signs_mov_separ_signers/Brady_8722.mov","MOV")</f>
        <v>21</v>
      </c>
    </row>
    <row r="11637" s="2" customFormat="1" ht="13.5" customHeight="1">
      <c r="B11637" s="13"/>
      <c r="C11637" t="s" s="9">
        <v>41</v>
      </c>
      <c r="D11637" t="s" s="8">
        <v>4365</v>
      </c>
      <c r="E11637" t="s" s="9">
        <v>4365</v>
      </c>
      <c r="F11637" s="19">
        <v>1</v>
      </c>
      <c r="G11637" s="14"/>
      <c r="H11637" s="19">
        <v>1</v>
      </c>
      <c r="I11637" s="14"/>
      <c r="J11637" t="s" s="11">
        <v>20</v>
      </c>
      <c r="K11637" t="s" s="16">
        <f>HYPERLINK("http://csr.bu.edu/ftp/asl/asllvd/demos/verify_start_end_handshape_annotations//test_auto_move//signs_mov/5520_8722_merged.mov","MOV")</f>
        <v>21</v>
      </c>
      <c r="L11637" t="s" s="16">
        <f>HYPERLINK("http://csr.bu.edu/ftp/asl/asllvd/demos/verify_start_end_handshape_annotations//test_auto_move//signs_mov_separ_signers/Lana_8722.mov","MOV")</f>
        <v>21</v>
      </c>
      <c r="M11637" t="s" s="10">
        <v>42</v>
      </c>
      <c r="N11637" s="17">
        <v>22</v>
      </c>
      <c r="O11637" s="18">
        <v>342</v>
      </c>
      <c r="P11637" s="18">
        <v>350</v>
      </c>
      <c r="Q11637" t="s" s="16">
        <f>HYPERLINK("http://secrets.rutgers.edu:8080/data/asl-ftp/asllvd/demos/verify_start_end_handshape_annotations//test_auto_move//signs_mov/5520_8722_merged.mov","MOV")</f>
        <v>21</v>
      </c>
      <c r="R11637" t="s" s="16">
        <f>HYPERLINK("http://secrets.rutgers.edu:8080/data/asl-ftp/asllvd/demos/verify_start_end_handshape_annotations//test_auto_move//signs_mov_separ_signers/Lana_8722.mov","MOV")</f>
        <v>21</v>
      </c>
    </row>
    <row r="11638" s="2" customFormat="1" ht="13.5" customHeight="1">
      <c r="B11638" s="13"/>
      <c r="C11638" t="s" s="9">
        <v>41</v>
      </c>
      <c r="D11638" t="s" s="8">
        <v>4365</v>
      </c>
      <c r="E11638" t="s" s="9">
        <v>4365</v>
      </c>
      <c r="F11638" s="19">
        <v>1</v>
      </c>
      <c r="G11638" s="14"/>
      <c r="H11638" s="19">
        <v>1</v>
      </c>
      <c r="I11638" s="14"/>
      <c r="J11638" t="s" s="11">
        <v>20</v>
      </c>
      <c r="K11638" s="15"/>
      <c r="L11638" t="s" s="16">
        <f>HYPERLINK("http://csr.bu.edu/ftp/asl/asllvd/demos/verify_start_end_handshape_annotations//test_auto_move//signs_mov_separ_signers/Lana_5520.mov","MOV")</f>
        <v>21</v>
      </c>
      <c r="M11638" t="s" s="10">
        <v>42</v>
      </c>
      <c r="N11638" s="17">
        <v>24</v>
      </c>
      <c r="O11638" s="18">
        <v>2435</v>
      </c>
      <c r="P11638" s="18">
        <v>2441</v>
      </c>
      <c r="Q11638" s="15"/>
      <c r="R11638" t="s" s="16">
        <f>HYPERLINK("http://secrets.rutgers.edu:8080/data/asl-ftp/asllvd/demos/verify_start_end_handshape_annotations//test_auto_move//signs_mov_separ_signers/Lana_5520.mov","MOV")</f>
        <v>21</v>
      </c>
    </row>
    <row r="11639" s="2" customFormat="1" ht="13.5" customHeight="1">
      <c r="B11639" s="13"/>
      <c r="C11639" t="s" s="9">
        <v>43</v>
      </c>
      <c r="D11639" t="s" s="8">
        <v>4365</v>
      </c>
      <c r="E11639" t="s" s="9">
        <v>4365</v>
      </c>
      <c r="F11639" s="19">
        <v>1</v>
      </c>
      <c r="G11639" s="14"/>
      <c r="H11639" s="19">
        <v>1</v>
      </c>
      <c r="I11639" s="14"/>
      <c r="J11639" t="s" s="11">
        <v>20</v>
      </c>
      <c r="K11639" s="15"/>
      <c r="L11639" t="s" s="16">
        <f>HYPERLINK("http://csr.bu.edu/ftp/asl/asllvd/demos/verify_start_end_handshape_annotations//test_auto_move//signs_mov_separ_signers/Dana_8722.mov","MOV")</f>
        <v>21</v>
      </c>
      <c r="M11639" t="s" s="10">
        <v>44</v>
      </c>
      <c r="N11639" s="17">
        <v>25</v>
      </c>
      <c r="O11639" s="18">
        <v>294</v>
      </c>
      <c r="P11639" s="18">
        <v>311</v>
      </c>
      <c r="Q11639" s="15"/>
      <c r="R11639" t="s" s="16">
        <f>HYPERLINK("http://secrets.rutgers.edu:8080/data/asl-ftp/asllvd/demos/verify_start_end_handshape_annotations//test_auto_move//signs_mov_separ_signers/Dana_8722.mov","MOV")</f>
        <v>21</v>
      </c>
    </row>
    <row r="11640" s="2" customFormat="1" ht="13.5" customHeight="1">
      <c r="B11640" s="13"/>
      <c r="C11640" t="s" s="9">
        <v>43</v>
      </c>
      <c r="D11640" t="s" s="8">
        <v>4365</v>
      </c>
      <c r="E11640" t="s" s="9">
        <v>4365</v>
      </c>
      <c r="F11640" s="19">
        <v>1</v>
      </c>
      <c r="G11640" s="14"/>
      <c r="H11640" s="19">
        <v>1</v>
      </c>
      <c r="I11640" s="14"/>
      <c r="J11640" t="s" s="11">
        <v>20</v>
      </c>
      <c r="K11640" s="15"/>
      <c r="L11640" t="s" s="16">
        <f>HYPERLINK("http://csr.bu.edu/ftp/asl/asllvd/demos/verify_start_end_handshape_annotations//test_auto_move//signs_mov_separ_signers/Dana_5520.mov","MOV")</f>
        <v>21</v>
      </c>
      <c r="M11640" t="s" s="10">
        <v>44</v>
      </c>
      <c r="N11640" s="17">
        <v>26</v>
      </c>
      <c r="O11640" s="18">
        <v>2522</v>
      </c>
      <c r="P11640" s="18">
        <v>2536</v>
      </c>
      <c r="Q11640" s="15"/>
      <c r="R11640" t="s" s="16">
        <f>HYPERLINK("http://secrets.rutgers.edu:8080/data/asl-ftp/asllvd/demos/verify_start_end_handshape_annotations//test_auto_move//signs_mov_separ_signers/Dana_5520.mov","MOV")</f>
        <v>21</v>
      </c>
    </row>
    <row r="11641" s="2" customFormat="1" ht="13.5" customHeight="1">
      <c r="B11641" t="s" s="8">
        <v>4366</v>
      </c>
      <c r="C11641" t="s" s="9">
        <v>14</v>
      </c>
      <c r="D11641" t="s" s="8">
        <v>14</v>
      </c>
      <c r="E11641" t="s" s="9">
        <v>14</v>
      </c>
      <c r="F11641" t="s" s="10">
        <v>14</v>
      </c>
      <c r="G11641" t="s" s="11">
        <v>14</v>
      </c>
      <c r="H11641" t="s" s="10">
        <v>14</v>
      </c>
      <c r="I11641" t="s" s="11">
        <v>14</v>
      </c>
      <c r="J11641" t="s" s="11">
        <v>14</v>
      </c>
      <c r="K11641" t="s" s="12">
        <v>14</v>
      </c>
      <c r="L11641" t="s" s="12">
        <v>14</v>
      </c>
      <c r="M11641" t="s" s="10">
        <v>14</v>
      </c>
      <c r="N11641" t="s" s="11">
        <v>14</v>
      </c>
      <c r="O11641" t="s" s="8">
        <v>14</v>
      </c>
      <c r="P11641" t="s" s="8">
        <v>14</v>
      </c>
      <c r="Q11641" t="s" s="12">
        <v>14</v>
      </c>
      <c r="R11641" t="s" s="12">
        <v>14</v>
      </c>
    </row>
    <row r="11642" s="2" customFormat="1" ht="13.5" customHeight="1">
      <c r="B11642" s="13"/>
      <c r="C11642" t="s" s="9">
        <v>30</v>
      </c>
      <c r="D11642" t="s" s="8">
        <v>4366</v>
      </c>
      <c r="E11642" t="s" s="9">
        <v>4366</v>
      </c>
      <c r="F11642" t="s" s="10">
        <v>72</v>
      </c>
      <c r="G11642" t="s" s="11">
        <v>72</v>
      </c>
      <c r="H11642" t="s" s="10">
        <v>72</v>
      </c>
      <c r="I11642" t="s" s="11">
        <v>72</v>
      </c>
      <c r="J11642" t="s" s="11">
        <v>20</v>
      </c>
      <c r="K11642" t="s" s="16">
        <f>HYPERLINK("http://csr.bu.edu/ftp/asl/asllvd/demos/verify_start_end_handshape_annotations//test_auto_move//signs_mov/5496_8724_merged.mov","MOV")</f>
        <v>21</v>
      </c>
      <c r="L11642" t="s" s="16">
        <f>HYPERLINK("http://csr.bu.edu/ftp/asl/asllvd/demos/verify_start_end_handshape_annotations//test_auto_move//signs_mov_separ_signers/Brady_8724.mov","MOV")</f>
        <v>21</v>
      </c>
      <c r="M11642" t="s" s="10">
        <v>60</v>
      </c>
      <c r="N11642" s="17">
        <v>7</v>
      </c>
      <c r="O11642" s="18">
        <v>535</v>
      </c>
      <c r="P11642" s="18">
        <v>587</v>
      </c>
      <c r="Q11642" t="s" s="16">
        <f>HYPERLINK("http://secrets.rutgers.edu:8080/data/asl-ftp/asllvd/demos/verify_start_end_handshape_annotations//test_auto_move//signs_mov/5496_8724_merged.mov","MOV")</f>
        <v>21</v>
      </c>
      <c r="R11642" t="s" s="16">
        <f>HYPERLINK("http://secrets.rutgers.edu:8080/data/asl-ftp/asllvd/demos/verify_start_end_handshape_annotations//test_auto_move//signs_mov_separ_signers/Brady_8724.mov","MOV")</f>
        <v>21</v>
      </c>
    </row>
    <row r="11643" s="2" customFormat="1" ht="13.5" customHeight="1">
      <c r="B11643" s="13"/>
      <c r="C11643" t="s" s="9">
        <v>30</v>
      </c>
      <c r="D11643" t="s" s="8">
        <v>4366</v>
      </c>
      <c r="E11643" t="s" s="9">
        <v>4366</v>
      </c>
      <c r="F11643" t="s" s="10">
        <v>72</v>
      </c>
      <c r="G11643" t="s" s="11">
        <v>72</v>
      </c>
      <c r="H11643" t="s" s="10">
        <v>72</v>
      </c>
      <c r="I11643" t="s" s="11">
        <v>72</v>
      </c>
      <c r="J11643" t="s" s="11">
        <v>20</v>
      </c>
      <c r="K11643" s="15"/>
      <c r="L11643" t="s" s="16">
        <f>HYPERLINK("http://csr.bu.edu/ftp/asl/asllvd/demos/verify_start_end_handshape_annotations//test_auto_move//signs_mov_separ_signers/Brady_5496.mov","MOV")</f>
        <v>21</v>
      </c>
      <c r="M11643" t="s" s="10">
        <v>60</v>
      </c>
      <c r="N11643" s="17">
        <v>56</v>
      </c>
      <c r="O11643" s="18">
        <v>373</v>
      </c>
      <c r="P11643" s="18">
        <v>420</v>
      </c>
      <c r="Q11643" s="15"/>
      <c r="R11643" t="s" s="16">
        <f>HYPERLINK("http://secrets.rutgers.edu:8080/data/asl-ftp/asllvd/demos/verify_start_end_handshape_annotations//test_auto_move//signs_mov_separ_signers/Brady_5496.mov","MOV")</f>
        <v>21</v>
      </c>
    </row>
    <row r="11644" s="2" customFormat="1" ht="13.5" customHeight="1">
      <c r="B11644" t="s" s="8">
        <v>52</v>
      </c>
      <c r="C11644" t="s" s="9">
        <v>53</v>
      </c>
      <c r="D11644" t="s" s="8">
        <v>53</v>
      </c>
      <c r="E11644" t="s" s="9">
        <v>53</v>
      </c>
      <c r="F11644" t="s" s="10">
        <v>53</v>
      </c>
      <c r="G11644" t="s" s="11">
        <v>53</v>
      </c>
      <c r="H11644" t="s" s="10">
        <v>53</v>
      </c>
      <c r="I11644" t="s" s="11">
        <v>53</v>
      </c>
      <c r="J11644" t="s" s="11">
        <v>53</v>
      </c>
      <c r="K11644" t="s" s="12">
        <v>53</v>
      </c>
      <c r="L11644" t="s" s="12">
        <v>53</v>
      </c>
      <c r="M11644" t="s" s="10">
        <v>53</v>
      </c>
      <c r="N11644" t="s" s="11">
        <v>53</v>
      </c>
      <c r="O11644" t="s" s="8">
        <v>53</v>
      </c>
      <c r="P11644" t="s" s="8">
        <v>53</v>
      </c>
      <c r="Q11644" t="s" s="12">
        <v>53</v>
      </c>
      <c r="R11644" t="s" s="12">
        <v>53</v>
      </c>
    </row>
    <row r="11645" s="2" customFormat="1" ht="13.5" customHeight="1">
      <c r="B11645" s="13"/>
      <c r="C11645" t="s" s="9">
        <v>30</v>
      </c>
      <c r="D11645" t="s" s="8">
        <v>4366</v>
      </c>
      <c r="E11645" t="s" s="9">
        <v>4367</v>
      </c>
      <c r="F11645" t="s" s="10">
        <v>72</v>
      </c>
      <c r="G11645" t="s" s="11">
        <v>72</v>
      </c>
      <c r="H11645" t="s" s="10">
        <v>72</v>
      </c>
      <c r="I11645" t="s" s="11">
        <v>72</v>
      </c>
      <c r="J11645" t="s" s="11">
        <v>20</v>
      </c>
      <c r="K11645" t="s" s="16">
        <f>HYPERLINK("http://csr.bu.edu/ftp/asl/asllvd/demos/verify_start_end_handshape_annotations//test_auto_move//signs_mov/5820.mov","MOV")</f>
        <v>21</v>
      </c>
      <c r="L11645" t="s" s="16">
        <f>HYPERLINK("http://csr.bu.edu/ftp/asl/asllvd/demos/verify_start_end_handshape_annotations//test_auto_move//signs_mov_separ_signers/Brady_5820.mov","MOV")</f>
        <v>21</v>
      </c>
      <c r="M11645" t="s" s="10">
        <v>60</v>
      </c>
      <c r="N11645" s="17">
        <v>56</v>
      </c>
      <c r="O11645" s="18">
        <v>1400</v>
      </c>
      <c r="P11645" s="18">
        <v>1446</v>
      </c>
      <c r="Q11645" t="s" s="16">
        <f>HYPERLINK("http://secrets.rutgers.edu:8080/data/asl-ftp/asllvd/demos/verify_start_end_handshape_annotations//test_auto_move//signs_mov/5820.mov","MOV")</f>
        <v>21</v>
      </c>
      <c r="R11645" t="s" s="16">
        <f>HYPERLINK("http://secrets.rutgers.edu:8080/data/asl-ftp/asllvd/demos/verify_start_end_handshape_annotations//test_auto_move//signs_mov_separ_signers/Brady_5820.mov","MOV")</f>
        <v>21</v>
      </c>
    </row>
    <row r="11646" s="2" customFormat="1" ht="13.5" customHeight="1">
      <c r="B11646" t="s" s="8">
        <v>4368</v>
      </c>
      <c r="C11646" t="s" s="9">
        <v>14</v>
      </c>
      <c r="D11646" t="s" s="8">
        <v>14</v>
      </c>
      <c r="E11646" t="s" s="9">
        <v>14</v>
      </c>
      <c r="F11646" t="s" s="10">
        <v>14</v>
      </c>
      <c r="G11646" t="s" s="11">
        <v>14</v>
      </c>
      <c r="H11646" t="s" s="10">
        <v>14</v>
      </c>
      <c r="I11646" t="s" s="11">
        <v>14</v>
      </c>
      <c r="J11646" t="s" s="11">
        <v>14</v>
      </c>
      <c r="K11646" t="s" s="12">
        <v>14</v>
      </c>
      <c r="L11646" t="s" s="12">
        <v>14</v>
      </c>
      <c r="M11646" t="s" s="10">
        <v>14</v>
      </c>
      <c r="N11646" t="s" s="11">
        <v>14</v>
      </c>
      <c r="O11646" t="s" s="8">
        <v>14</v>
      </c>
      <c r="P11646" t="s" s="8">
        <v>14</v>
      </c>
      <c r="Q11646" t="s" s="12">
        <v>14</v>
      </c>
      <c r="R11646" t="s" s="12">
        <v>14</v>
      </c>
    </row>
    <row r="11647" s="2" customFormat="1" ht="13.5" customHeight="1">
      <c r="B11647" s="13"/>
      <c r="C11647" t="s" s="9">
        <v>16</v>
      </c>
      <c r="D11647" t="s" s="8">
        <v>4368</v>
      </c>
      <c r="E11647" t="s" s="9">
        <v>4368</v>
      </c>
      <c r="F11647" t="s" s="10">
        <v>72</v>
      </c>
      <c r="G11647" t="s" s="11">
        <v>72</v>
      </c>
      <c r="H11647" t="s" s="10">
        <v>72</v>
      </c>
      <c r="I11647" t="s" s="11">
        <v>72</v>
      </c>
      <c r="J11647" t="s" s="11">
        <v>20</v>
      </c>
      <c r="K11647" s="15"/>
      <c r="L11647" t="s" s="16">
        <f>HYPERLINK("http://csr.bu.edu/ftp/asl/asllvd/demos/verify_start_end_handshape_annotations//test_auto_move//signs_mov_separ_signers/Liz_5828.mov","MOV")</f>
        <v>21</v>
      </c>
      <c r="M11647" t="s" s="10">
        <v>59</v>
      </c>
      <c r="N11647" s="17">
        <v>24</v>
      </c>
      <c r="O11647" s="18">
        <v>1233</v>
      </c>
      <c r="P11647" s="18">
        <v>1276</v>
      </c>
      <c r="Q11647" s="15"/>
      <c r="R11647" t="s" s="16">
        <f>HYPERLINK("http://secrets.rutgers.edu:8080/data/asl-ftp/asllvd/demos/verify_start_end_handshape_annotations//test_auto_move//signs_mov_separ_signers/Liz_5828.mov","MOV")</f>
        <v>21</v>
      </c>
    </row>
    <row r="11648" s="2" customFormat="1" ht="13.5" customHeight="1">
      <c r="B11648" s="13"/>
      <c r="C11648" t="s" s="9">
        <v>16</v>
      </c>
      <c r="D11648" t="s" s="8">
        <v>4368</v>
      </c>
      <c r="E11648" t="s" s="9">
        <v>4368</v>
      </c>
      <c r="F11648" t="s" s="10">
        <v>72</v>
      </c>
      <c r="G11648" t="s" s="11">
        <v>72</v>
      </c>
      <c r="H11648" t="s" s="10">
        <v>72</v>
      </c>
      <c r="I11648" t="s" s="11">
        <v>72</v>
      </c>
      <c r="J11648" t="s" s="11">
        <v>20</v>
      </c>
      <c r="K11648" t="s" s="16">
        <f>HYPERLINK("http://csr.bu.edu/ftp/asl/asllvd/demos/verify_start_end_handshape_annotations//test_auto_move//signs_mov/5828_5908_merged.mov","MOV")</f>
        <v>21</v>
      </c>
      <c r="L11648" t="s" s="16">
        <f>HYPERLINK("http://csr.bu.edu/ftp/asl/asllvd/demos/verify_start_end_handshape_annotations//test_auto_move//signs_mov_separ_signers/Liz_5908.mov","MOV")</f>
        <v>21</v>
      </c>
      <c r="M11648" t="s" s="10">
        <v>59</v>
      </c>
      <c r="N11648" s="17">
        <v>26</v>
      </c>
      <c r="O11648" s="18">
        <v>3525</v>
      </c>
      <c r="P11648" s="18">
        <v>3570</v>
      </c>
      <c r="Q11648" t="s" s="16">
        <f>HYPERLINK("http://secrets.rutgers.edu:8080/data/asl-ftp/asllvd/demos/verify_start_end_handshape_annotations//test_auto_move//signs_mov/5828_5908_merged.mov","MOV")</f>
        <v>21</v>
      </c>
      <c r="R11648" t="s" s="16">
        <f>HYPERLINK("http://secrets.rutgers.edu:8080/data/asl-ftp/asllvd/demos/verify_start_end_handshape_annotations//test_auto_move//signs_mov_separ_signers/Liz_5908.mov","MOV")</f>
        <v>21</v>
      </c>
    </row>
    <row r="11649" s="2" customFormat="1" ht="13.5" customHeight="1">
      <c r="B11649" s="13"/>
      <c r="C11649" t="s" s="9">
        <v>30</v>
      </c>
      <c r="D11649" t="s" s="8">
        <v>4368</v>
      </c>
      <c r="E11649" t="s" s="9">
        <v>4368</v>
      </c>
      <c r="F11649" t="s" s="10">
        <v>72</v>
      </c>
      <c r="G11649" t="s" s="11">
        <v>72</v>
      </c>
      <c r="H11649" t="s" s="10">
        <v>72</v>
      </c>
      <c r="I11649" t="s" s="11">
        <v>72</v>
      </c>
      <c r="J11649" t="s" s="11">
        <v>20</v>
      </c>
      <c r="K11649" s="15"/>
      <c r="L11649" t="s" s="16">
        <f>HYPERLINK("http://csr.bu.edu/ftp/asl/asllvd/demos/verify_start_end_handshape_annotations//test_auto_move//signs_mov_separ_signers/Brady_5828.mov","MOV")</f>
        <v>21</v>
      </c>
      <c r="M11649" t="s" s="10">
        <v>60</v>
      </c>
      <c r="N11649" s="17">
        <v>12</v>
      </c>
      <c r="O11649" s="18">
        <v>2712</v>
      </c>
      <c r="P11649" s="18">
        <v>2765</v>
      </c>
      <c r="Q11649" s="15"/>
      <c r="R11649" t="s" s="16">
        <f>HYPERLINK("http://secrets.rutgers.edu:8080/data/asl-ftp/asllvd/demos/verify_start_end_handshape_annotations//test_auto_move//signs_mov_separ_signers/Brady_5828.mov","MOV")</f>
        <v>21</v>
      </c>
    </row>
    <row r="11650" s="2" customFormat="1" ht="13.5" customHeight="1">
      <c r="B11650" t="s" s="8">
        <v>4369</v>
      </c>
      <c r="C11650" t="s" s="9">
        <v>14</v>
      </c>
      <c r="D11650" t="s" s="8">
        <v>14</v>
      </c>
      <c r="E11650" t="s" s="9">
        <v>14</v>
      </c>
      <c r="F11650" t="s" s="10">
        <v>14</v>
      </c>
      <c r="G11650" t="s" s="11">
        <v>14</v>
      </c>
      <c r="H11650" t="s" s="10">
        <v>14</v>
      </c>
      <c r="I11650" t="s" s="11">
        <v>14</v>
      </c>
      <c r="J11650" t="s" s="11">
        <v>14</v>
      </c>
      <c r="K11650" t="s" s="12">
        <v>14</v>
      </c>
      <c r="L11650" t="s" s="12">
        <v>14</v>
      </c>
      <c r="M11650" t="s" s="10">
        <v>14</v>
      </c>
      <c r="N11650" t="s" s="11">
        <v>14</v>
      </c>
      <c r="O11650" t="s" s="8">
        <v>14</v>
      </c>
      <c r="P11650" t="s" s="8">
        <v>14</v>
      </c>
      <c r="Q11650" t="s" s="12">
        <v>14</v>
      </c>
      <c r="R11650" t="s" s="12">
        <v>14</v>
      </c>
    </row>
    <row r="11651" s="2" customFormat="1" ht="13.5" customHeight="1">
      <c r="B11651" s="13"/>
      <c r="C11651" t="s" s="9">
        <v>16</v>
      </c>
      <c r="D11651" t="s" s="8">
        <v>4369</v>
      </c>
      <c r="E11651" t="s" s="9">
        <v>4369</v>
      </c>
      <c r="F11651" s="19">
        <v>25</v>
      </c>
      <c r="G11651" s="17">
        <v>25</v>
      </c>
      <c r="H11651" s="19">
        <v>25</v>
      </c>
      <c r="I11651" s="17">
        <v>25</v>
      </c>
      <c r="J11651" t="s" s="11">
        <v>20</v>
      </c>
      <c r="K11651" t="s" s="16">
        <f>HYPERLINK("http://csr.bu.edu/ftp/asl/asllvd/demos/verify_start_end_handshape_annotations//test_auto_move//signs_mov/5923.mov","MOV")</f>
        <v>21</v>
      </c>
      <c r="L11651" t="s" s="16">
        <f>HYPERLINK("http://csr.bu.edu/ftp/asl/asllvd/demos/verify_start_end_handshape_annotations//test_auto_move//signs_mov_separ_signers/Liz_5923.mov","MOV")</f>
        <v>21</v>
      </c>
      <c r="M11651" t="s" s="10">
        <v>59</v>
      </c>
      <c r="N11651" s="17">
        <v>19</v>
      </c>
      <c r="O11651" s="18">
        <v>130</v>
      </c>
      <c r="P11651" s="18">
        <v>177</v>
      </c>
      <c r="Q11651" t="s" s="16">
        <f>HYPERLINK("http://secrets.rutgers.edu:8080/data/asl-ftp/asllvd/demos/verify_start_end_handshape_annotations//test_auto_move//signs_mov/5923.mov","MOV")</f>
        <v>21</v>
      </c>
      <c r="R11651" t="s" s="16">
        <f>HYPERLINK("http://secrets.rutgers.edu:8080/data/asl-ftp/asllvd/demos/verify_start_end_handshape_annotations//test_auto_move//signs_mov_separ_signers/Liz_5923.mov","MOV")</f>
        <v>21</v>
      </c>
    </row>
    <row r="11652" s="2" customFormat="1" ht="13.5" customHeight="1">
      <c r="B11652" t="s" s="8">
        <v>4370</v>
      </c>
      <c r="C11652" t="s" s="9">
        <v>14</v>
      </c>
      <c r="D11652" t="s" s="8">
        <v>14</v>
      </c>
      <c r="E11652" t="s" s="9">
        <v>14</v>
      </c>
      <c r="F11652" t="s" s="10">
        <v>14</v>
      </c>
      <c r="G11652" t="s" s="11">
        <v>14</v>
      </c>
      <c r="H11652" t="s" s="10">
        <v>14</v>
      </c>
      <c r="I11652" t="s" s="11">
        <v>14</v>
      </c>
      <c r="J11652" t="s" s="11">
        <v>14</v>
      </c>
      <c r="K11652" t="s" s="12">
        <v>14</v>
      </c>
      <c r="L11652" t="s" s="12">
        <v>14</v>
      </c>
      <c r="M11652" t="s" s="10">
        <v>14</v>
      </c>
      <c r="N11652" t="s" s="11">
        <v>14</v>
      </c>
      <c r="O11652" t="s" s="8">
        <v>14</v>
      </c>
      <c r="P11652" t="s" s="8">
        <v>14</v>
      </c>
      <c r="Q11652" t="s" s="12">
        <v>14</v>
      </c>
      <c r="R11652" t="s" s="12">
        <v>14</v>
      </c>
    </row>
    <row r="11653" s="2" customFormat="1" ht="13.5" customHeight="1">
      <c r="B11653" s="13"/>
      <c r="C11653" t="s" s="9">
        <v>16</v>
      </c>
      <c r="D11653" t="s" s="8">
        <v>4370</v>
      </c>
      <c r="E11653" t="s" s="9">
        <v>4370</v>
      </c>
      <c r="F11653" s="19">
        <v>5</v>
      </c>
      <c r="G11653" s="17">
        <v>5</v>
      </c>
      <c r="H11653" s="19">
        <v>5</v>
      </c>
      <c r="I11653" s="17">
        <v>5</v>
      </c>
      <c r="J11653" t="s" s="11">
        <v>20</v>
      </c>
      <c r="K11653" s="15"/>
      <c r="L11653" t="s" s="16">
        <f>HYPERLINK("http://csr.bu.edu/ftp/asl/asllvd/demos/verify_start_end_handshape_annotations//test_auto_move//signs_mov_separ_signers/Liz_16496.mov","MOV")</f>
        <v>21</v>
      </c>
      <c r="M11653" t="s" s="10">
        <v>84</v>
      </c>
      <c r="N11653" s="17">
        <v>44</v>
      </c>
      <c r="O11653" s="18">
        <v>2230</v>
      </c>
      <c r="P11653" s="18">
        <v>2275</v>
      </c>
      <c r="Q11653" s="15"/>
      <c r="R11653" t="s" s="16">
        <f>HYPERLINK("http://secrets.rutgers.edu:8080/data/asl-ftp/asllvd/demos/verify_start_end_handshape_annotations//test_auto_move//signs_mov_separ_signers/Liz_16496.mov","MOV")</f>
        <v>21</v>
      </c>
    </row>
    <row r="11654" s="2" customFormat="1" ht="13.5" customHeight="1">
      <c r="B11654" s="13"/>
      <c r="C11654" t="s" s="9">
        <v>23</v>
      </c>
      <c r="D11654" t="s" s="8">
        <v>4370</v>
      </c>
      <c r="E11654" t="s" s="9">
        <v>4370</v>
      </c>
      <c r="F11654" s="19">
        <v>5</v>
      </c>
      <c r="G11654" s="17">
        <v>5</v>
      </c>
      <c r="H11654" s="19">
        <v>5</v>
      </c>
      <c r="I11654" s="17">
        <v>5</v>
      </c>
      <c r="J11654" t="s" s="11">
        <v>20</v>
      </c>
      <c r="K11654" t="s" s="16">
        <f>HYPERLINK("http://csr.bu.edu/ftp/asl/asllvd/demos/verify_start_end_handshape_annotations//test_auto_move//signs_mov/16496.mov","MOV")</f>
        <v>21</v>
      </c>
      <c r="L11654" t="s" s="16">
        <f>HYPERLINK("http://csr.bu.edu/ftp/asl/asllvd/demos/verify_start_end_handshape_annotations//test_auto_move//signs_mov_separ_signers/Tyler_16496.mov","MOV")</f>
        <v>21</v>
      </c>
      <c r="M11654" t="s" s="10">
        <v>92</v>
      </c>
      <c r="N11654" s="17">
        <v>24</v>
      </c>
      <c r="O11654" s="18">
        <v>3561</v>
      </c>
      <c r="P11654" s="18">
        <v>3590</v>
      </c>
      <c r="Q11654" t="s" s="16">
        <f>HYPERLINK("http://secrets.rutgers.edu:8080/data/asl-ftp/asllvd/demos/verify_start_end_handshape_annotations//test_auto_move//signs_mov/16496.mov","MOV")</f>
        <v>21</v>
      </c>
      <c r="R11654" t="s" s="16">
        <f>HYPERLINK("http://secrets.rutgers.edu:8080/data/asl-ftp/asllvd/demos/verify_start_end_handshape_annotations//test_auto_move//signs_mov_separ_signers/Tyler_16496.mov","MOV")</f>
        <v>21</v>
      </c>
    </row>
    <row r="11655" s="2" customFormat="1" ht="13.5" customHeight="1">
      <c r="B11655" s="13"/>
      <c r="C11655" t="s" s="9">
        <v>27</v>
      </c>
      <c r="D11655" t="s" s="8">
        <v>4370</v>
      </c>
      <c r="E11655" t="s" s="9">
        <v>4370</v>
      </c>
      <c r="F11655" t="s" s="10">
        <v>72</v>
      </c>
      <c r="G11655" t="s" s="11">
        <v>72</v>
      </c>
      <c r="H11655" t="s" s="10">
        <v>72</v>
      </c>
      <c r="I11655" t="s" s="11">
        <v>72</v>
      </c>
      <c r="J11655" t="s" s="11">
        <v>20</v>
      </c>
      <c r="K11655" s="15"/>
      <c r="L11655" t="s" s="16">
        <f>HYPERLINK("http://csr.bu.edu/ftp/asl/asllvd/demos/verify_start_end_handshape_annotations//test_auto_move//signs_mov_separ_signers/Naomi_16496.mov","MOV")</f>
        <v>21</v>
      </c>
      <c r="M11655" t="s" s="10">
        <v>86</v>
      </c>
      <c r="N11655" s="17">
        <v>44</v>
      </c>
      <c r="O11655" s="18">
        <v>2920</v>
      </c>
      <c r="P11655" s="18">
        <v>2940</v>
      </c>
      <c r="Q11655" s="15"/>
      <c r="R11655" t="s" s="16">
        <f>HYPERLINK("http://secrets.rutgers.edu:8080/data/asl-ftp/asllvd/demos/verify_start_end_handshape_annotations//test_auto_move//signs_mov_separ_signers/Naomi_16496.mov","MOV")</f>
        <v>21</v>
      </c>
    </row>
    <row r="11656" s="2" customFormat="1" ht="13.5" customHeight="1">
      <c r="B11656" s="13"/>
      <c r="C11656" t="s" s="9">
        <v>30</v>
      </c>
      <c r="D11656" t="s" s="8">
        <v>4370</v>
      </c>
      <c r="E11656" t="s" s="9">
        <v>4370</v>
      </c>
      <c r="F11656" s="19">
        <v>5</v>
      </c>
      <c r="G11656" s="17">
        <v>5</v>
      </c>
      <c r="H11656" s="19">
        <v>5</v>
      </c>
      <c r="I11656" s="17">
        <v>5</v>
      </c>
      <c r="J11656" t="s" s="11">
        <v>20</v>
      </c>
      <c r="K11656" s="15"/>
      <c r="L11656" t="s" s="16">
        <f>HYPERLINK("http://csr.bu.edu/ftp/asl/asllvd/demos/verify_start_end_handshape_annotations//test_auto_move//signs_mov_separ_signers/Brady_16496.mov","MOV")</f>
        <v>21</v>
      </c>
      <c r="M11656" t="s" s="10">
        <v>39</v>
      </c>
      <c r="N11656" s="17">
        <v>20</v>
      </c>
      <c r="O11656" s="18">
        <v>1556</v>
      </c>
      <c r="P11656" s="18">
        <v>1584</v>
      </c>
      <c r="Q11656" s="15"/>
      <c r="R11656" t="s" s="16">
        <f>HYPERLINK("http://secrets.rutgers.edu:8080/data/asl-ftp/asllvd/demos/verify_start_end_handshape_annotations//test_auto_move//signs_mov_separ_signers/Brady_16496.mov","MOV")</f>
        <v>21</v>
      </c>
    </row>
    <row r="11657" s="2" customFormat="1" ht="13.5" customHeight="1">
      <c r="B11657" t="s" s="8">
        <v>4371</v>
      </c>
      <c r="C11657" t="s" s="9">
        <v>14</v>
      </c>
      <c r="D11657" t="s" s="8">
        <v>14</v>
      </c>
      <c r="E11657" t="s" s="9">
        <v>14</v>
      </c>
      <c r="F11657" t="s" s="10">
        <v>14</v>
      </c>
      <c r="G11657" t="s" s="11">
        <v>14</v>
      </c>
      <c r="H11657" t="s" s="10">
        <v>14</v>
      </c>
      <c r="I11657" t="s" s="11">
        <v>14</v>
      </c>
      <c r="J11657" t="s" s="11">
        <v>14</v>
      </c>
      <c r="K11657" t="s" s="12">
        <v>14</v>
      </c>
      <c r="L11657" t="s" s="12">
        <v>14</v>
      </c>
      <c r="M11657" t="s" s="10">
        <v>14</v>
      </c>
      <c r="N11657" t="s" s="11">
        <v>14</v>
      </c>
      <c r="O11657" t="s" s="8">
        <v>14</v>
      </c>
      <c r="P11657" t="s" s="8">
        <v>14</v>
      </c>
      <c r="Q11657" t="s" s="12">
        <v>14</v>
      </c>
      <c r="R11657" t="s" s="12">
        <v>14</v>
      </c>
    </row>
    <row r="11658" s="2" customFormat="1" ht="13.5" customHeight="1">
      <c r="B11658" s="13"/>
      <c r="C11658" t="s" s="9">
        <v>16</v>
      </c>
      <c r="D11658" t="s" s="8">
        <v>4371</v>
      </c>
      <c r="E11658" t="s" s="9">
        <v>4371</v>
      </c>
      <c r="F11658" s="19">
        <v>25</v>
      </c>
      <c r="G11658" s="17">
        <v>25</v>
      </c>
      <c r="H11658" s="19">
        <v>25</v>
      </c>
      <c r="I11658" s="17">
        <v>25</v>
      </c>
      <c r="J11658" t="s" s="11">
        <v>20</v>
      </c>
      <c r="K11658" t="s" s="16">
        <f>HYPERLINK("http://csr.bu.edu/ftp/asl/asllvd/demos/verify_start_end_handshape_annotations//test_auto_move//signs_mov/8729.mov","MOV")</f>
        <v>21</v>
      </c>
      <c r="L11658" t="s" s="16">
        <f>HYPERLINK("http://csr.bu.edu/ftp/asl/asllvd/demos/verify_start_end_handshape_annotations//test_auto_move//signs_mov_separ_signers/Liz_8729.mov","MOV")</f>
        <v>21</v>
      </c>
      <c r="M11658" t="s" s="10">
        <v>59</v>
      </c>
      <c r="N11658" s="17">
        <v>23</v>
      </c>
      <c r="O11658" s="18">
        <v>2906</v>
      </c>
      <c r="P11658" s="18">
        <v>2940</v>
      </c>
      <c r="Q11658" t="s" s="16">
        <f>HYPERLINK("http://secrets.rutgers.edu:8080/data/asl-ftp/asllvd/demos/verify_start_end_handshape_annotations//test_auto_move//signs_mov/8729.mov","MOV")</f>
        <v>21</v>
      </c>
      <c r="R11658" t="s" s="16">
        <f>HYPERLINK("http://secrets.rutgers.edu:8080/data/asl-ftp/asllvd/demos/verify_start_end_handshape_annotations//test_auto_move//signs_mov_separ_signers/Liz_8729.mov","MOV")</f>
        <v>21</v>
      </c>
    </row>
    <row r="11659" s="2" customFormat="1" ht="13.5" customHeight="1">
      <c r="B11659" s="13"/>
      <c r="C11659" t="s" s="9">
        <v>30</v>
      </c>
      <c r="D11659" t="s" s="8">
        <v>4371</v>
      </c>
      <c r="E11659" t="s" s="9">
        <v>4371</v>
      </c>
      <c r="F11659" s="19">
        <v>25</v>
      </c>
      <c r="G11659" s="17">
        <v>25</v>
      </c>
      <c r="H11659" s="19">
        <v>25</v>
      </c>
      <c r="I11659" s="17">
        <v>25</v>
      </c>
      <c r="J11659" t="s" s="11">
        <v>20</v>
      </c>
      <c r="K11659" s="15"/>
      <c r="L11659" t="s" s="16">
        <f>HYPERLINK("http://csr.bu.edu/ftp/asl/asllvd/demos/verify_start_end_handshape_annotations//test_auto_move//signs_mov_separ_signers/Brady_8729.mov","MOV")</f>
        <v>21</v>
      </c>
      <c r="M11659" t="s" s="10">
        <v>60</v>
      </c>
      <c r="N11659" s="17">
        <v>11</v>
      </c>
      <c r="O11659" s="18">
        <v>2115</v>
      </c>
      <c r="P11659" s="18">
        <v>2138</v>
      </c>
      <c r="Q11659" s="15"/>
      <c r="R11659" t="s" s="16">
        <f>HYPERLINK("http://secrets.rutgers.edu:8080/data/asl-ftp/asllvd/demos/verify_start_end_handshape_annotations//test_auto_move//signs_mov_separ_signers/Brady_8729.mov","MOV")</f>
        <v>21</v>
      </c>
    </row>
    <row r="11660" s="2" customFormat="1" ht="13.5" customHeight="1">
      <c r="B11660" t="s" s="8">
        <v>52</v>
      </c>
      <c r="C11660" t="s" s="9">
        <v>53</v>
      </c>
      <c r="D11660" t="s" s="8">
        <v>53</v>
      </c>
      <c r="E11660" t="s" s="9">
        <v>53</v>
      </c>
      <c r="F11660" t="s" s="10">
        <v>53</v>
      </c>
      <c r="G11660" t="s" s="11">
        <v>53</v>
      </c>
      <c r="H11660" t="s" s="10">
        <v>53</v>
      </c>
      <c r="I11660" t="s" s="11">
        <v>53</v>
      </c>
      <c r="J11660" t="s" s="11">
        <v>53</v>
      </c>
      <c r="K11660" t="s" s="12">
        <v>53</v>
      </c>
      <c r="L11660" t="s" s="12">
        <v>53</v>
      </c>
      <c r="M11660" t="s" s="10">
        <v>53</v>
      </c>
      <c r="N11660" t="s" s="11">
        <v>53</v>
      </c>
      <c r="O11660" t="s" s="8">
        <v>53</v>
      </c>
      <c r="P11660" t="s" s="8">
        <v>53</v>
      </c>
      <c r="Q11660" t="s" s="12">
        <v>53</v>
      </c>
      <c r="R11660" t="s" s="12">
        <v>53</v>
      </c>
    </row>
    <row r="11661" s="2" customFormat="1" ht="13.5" customHeight="1">
      <c r="B11661" s="13"/>
      <c r="C11661" t="s" s="9">
        <v>16</v>
      </c>
      <c r="D11661" t="s" s="8">
        <v>4371</v>
      </c>
      <c r="E11661" t="s" s="9">
        <v>4372</v>
      </c>
      <c r="F11661" s="19">
        <v>1</v>
      </c>
      <c r="G11661" s="17">
        <v>1</v>
      </c>
      <c r="H11661" s="19">
        <v>1</v>
      </c>
      <c r="I11661" s="17">
        <v>1</v>
      </c>
      <c r="J11661" t="s" s="11">
        <v>20</v>
      </c>
      <c r="K11661" t="s" s="16">
        <f>HYPERLINK("http://csr.bu.edu/ftp/asl/asllvd/demos/verify_start_end_handshape_annotations//test_auto_move//signs_mov/5505.mov","MOV")</f>
        <v>21</v>
      </c>
      <c r="L11661" t="s" s="16">
        <f>HYPERLINK("http://csr.bu.edu/ftp/asl/asllvd/demos/verify_start_end_handshape_annotations//test_auto_move//signs_mov_separ_signers/Liz_5505.mov","MOV")</f>
        <v>21</v>
      </c>
      <c r="M11661" t="s" s="10">
        <v>59</v>
      </c>
      <c r="N11661" s="17">
        <v>23</v>
      </c>
      <c r="O11661" s="18">
        <v>3153</v>
      </c>
      <c r="P11661" s="18">
        <v>3198</v>
      </c>
      <c r="Q11661" t="s" s="16">
        <f>HYPERLINK("http://secrets.rutgers.edu:8080/data/asl-ftp/asllvd/demos/verify_start_end_handshape_annotations//test_auto_move//signs_mov/5505.mov","MOV")</f>
        <v>21</v>
      </c>
      <c r="R11661" t="s" s="16">
        <f>HYPERLINK("http://secrets.rutgers.edu:8080/data/asl-ftp/asllvd/demos/verify_start_end_handshape_annotations//test_auto_move//signs_mov_separ_signers/Liz_5505.mov","MOV")</f>
        <v>21</v>
      </c>
    </row>
    <row r="11662" s="2" customFormat="1" ht="13.5" customHeight="1">
      <c r="B11662" s="13"/>
      <c r="C11662" t="s" s="9">
        <v>30</v>
      </c>
      <c r="D11662" t="s" s="8">
        <v>4371</v>
      </c>
      <c r="E11662" t="s" s="9">
        <v>4372</v>
      </c>
      <c r="F11662" s="19">
        <v>1</v>
      </c>
      <c r="G11662" s="17">
        <v>1</v>
      </c>
      <c r="H11662" s="19">
        <v>1</v>
      </c>
      <c r="I11662" s="17">
        <v>1</v>
      </c>
      <c r="J11662" t="s" s="11">
        <v>20</v>
      </c>
      <c r="K11662" s="15"/>
      <c r="L11662" t="s" s="16">
        <f>HYPERLINK("http://csr.bu.edu/ftp/asl/asllvd/demos/verify_start_end_handshape_annotations//test_auto_move//signs_mov_separ_signers/Brady_5505.mov","MOV")</f>
        <v>21</v>
      </c>
      <c r="M11662" t="s" s="10">
        <v>60</v>
      </c>
      <c r="N11662" s="17">
        <v>11</v>
      </c>
      <c r="O11662" s="18">
        <v>2379</v>
      </c>
      <c r="P11662" s="18">
        <v>2410</v>
      </c>
      <c r="Q11662" s="15"/>
      <c r="R11662" t="s" s="16">
        <f>HYPERLINK("http://secrets.rutgers.edu:8080/data/asl-ftp/asllvd/demos/verify_start_end_handshape_annotations//test_auto_move//signs_mov_separ_signers/Brady_5505.mov","MOV")</f>
        <v>21</v>
      </c>
    </row>
    <row r="11663" s="2" customFormat="1" ht="13.5" customHeight="1">
      <c r="B11663" t="s" s="8">
        <v>4373</v>
      </c>
      <c r="C11663" t="s" s="9">
        <v>14</v>
      </c>
      <c r="D11663" t="s" s="8">
        <v>14</v>
      </c>
      <c r="E11663" t="s" s="9">
        <v>14</v>
      </c>
      <c r="F11663" t="s" s="10">
        <v>14</v>
      </c>
      <c r="G11663" t="s" s="11">
        <v>14</v>
      </c>
      <c r="H11663" t="s" s="10">
        <v>14</v>
      </c>
      <c r="I11663" t="s" s="11">
        <v>14</v>
      </c>
      <c r="J11663" t="s" s="11">
        <v>14</v>
      </c>
      <c r="K11663" t="s" s="12">
        <v>14</v>
      </c>
      <c r="L11663" t="s" s="12">
        <v>14</v>
      </c>
      <c r="M11663" t="s" s="10">
        <v>14</v>
      </c>
      <c r="N11663" t="s" s="11">
        <v>14</v>
      </c>
      <c r="O11663" t="s" s="8">
        <v>14</v>
      </c>
      <c r="P11663" t="s" s="8">
        <v>14</v>
      </c>
      <c r="Q11663" t="s" s="12">
        <v>14</v>
      </c>
      <c r="R11663" t="s" s="12">
        <v>14</v>
      </c>
    </row>
    <row r="11664" s="2" customFormat="1" ht="13.5" customHeight="1">
      <c r="B11664" s="13"/>
      <c r="C11664" t="s" s="9">
        <v>16</v>
      </c>
      <c r="D11664" t="s" s="8">
        <v>4373</v>
      </c>
      <c r="E11664" t="s" s="9">
        <v>4374</v>
      </c>
      <c r="F11664" s="19">
        <v>25</v>
      </c>
      <c r="G11664" s="17">
        <v>25</v>
      </c>
      <c r="H11664" s="19">
        <v>25</v>
      </c>
      <c r="I11664" s="17">
        <v>25</v>
      </c>
      <c r="J11664" t="s" s="11">
        <v>20</v>
      </c>
      <c r="K11664" t="s" s="16">
        <f>HYPERLINK("http://csr.bu.edu/ftp/asl/asllvd/demos/verify_start_end_handshape_annotations//test_auto_move//signs_mov/15562.mov","MOV")</f>
        <v>21</v>
      </c>
      <c r="L11664" t="s" s="16">
        <f>HYPERLINK("http://csr.bu.edu/ftp/asl/asllvd/demos/verify_start_end_handshape_annotations//test_auto_move//signs_mov_separ_signers/Liz_15562.mov","MOV")</f>
        <v>21</v>
      </c>
      <c r="M11664" t="s" s="10">
        <v>59</v>
      </c>
      <c r="N11664" s="17">
        <v>20</v>
      </c>
      <c r="O11664" s="18">
        <v>2265</v>
      </c>
      <c r="P11664" s="18">
        <v>2320</v>
      </c>
      <c r="Q11664" t="s" s="16">
        <f>HYPERLINK("http://secrets.rutgers.edu:8080/data/asl-ftp/asllvd/demos/verify_start_end_handshape_annotations//test_auto_move//signs_mov/15562.mov","MOV")</f>
        <v>21</v>
      </c>
      <c r="R11664" t="s" s="16">
        <f>HYPERLINK("http://secrets.rutgers.edu:8080/data/asl-ftp/asllvd/demos/verify_start_end_handshape_annotations//test_auto_move//signs_mov_separ_signers/Liz_15562.mov","MOV")</f>
        <v>21</v>
      </c>
    </row>
    <row r="11665" s="2" customFormat="1" ht="13.5" customHeight="1">
      <c r="B11665" s="13"/>
      <c r="C11665" t="s" s="9">
        <v>30</v>
      </c>
      <c r="D11665" t="s" s="8">
        <v>4373</v>
      </c>
      <c r="E11665" t="s" s="9">
        <v>4374</v>
      </c>
      <c r="F11665" s="19">
        <v>25</v>
      </c>
      <c r="G11665" s="17">
        <v>25</v>
      </c>
      <c r="H11665" s="19">
        <v>25</v>
      </c>
      <c r="I11665" s="17">
        <v>25</v>
      </c>
      <c r="J11665" t="s" s="11">
        <v>20</v>
      </c>
      <c r="K11665" s="15"/>
      <c r="L11665" t="s" s="16">
        <f>HYPERLINK("http://csr.bu.edu/ftp/asl/asllvd/demos/verify_start_end_handshape_annotations//test_auto_move//signs_mov_separ_signers/Brady_15562.mov","MOV")</f>
        <v>21</v>
      </c>
      <c r="M11665" t="s" s="10">
        <v>60</v>
      </c>
      <c r="N11665" s="17">
        <v>8</v>
      </c>
      <c r="O11665" s="18">
        <v>2865</v>
      </c>
      <c r="P11665" s="18">
        <v>2905</v>
      </c>
      <c r="Q11665" s="15"/>
      <c r="R11665" t="s" s="16">
        <f>HYPERLINK("http://secrets.rutgers.edu:8080/data/asl-ftp/asllvd/demos/verify_start_end_handshape_annotations//test_auto_move//signs_mov_separ_signers/Brady_15562.mov","MOV")</f>
        <v>21</v>
      </c>
    </row>
    <row r="11666" s="2" customFormat="1" ht="13.5" customHeight="1">
      <c r="B11666" t="s" s="8">
        <v>52</v>
      </c>
      <c r="C11666" t="s" s="9">
        <v>53</v>
      </c>
      <c r="D11666" t="s" s="8">
        <v>53</v>
      </c>
      <c r="E11666" t="s" s="9">
        <v>53</v>
      </c>
      <c r="F11666" t="s" s="10">
        <v>53</v>
      </c>
      <c r="G11666" t="s" s="11">
        <v>53</v>
      </c>
      <c r="H11666" t="s" s="10">
        <v>53</v>
      </c>
      <c r="I11666" t="s" s="11">
        <v>53</v>
      </c>
      <c r="J11666" t="s" s="11">
        <v>53</v>
      </c>
      <c r="K11666" t="s" s="12">
        <v>53</v>
      </c>
      <c r="L11666" t="s" s="12">
        <v>53</v>
      </c>
      <c r="M11666" t="s" s="10">
        <v>53</v>
      </c>
      <c r="N11666" t="s" s="11">
        <v>53</v>
      </c>
      <c r="O11666" t="s" s="8">
        <v>53</v>
      </c>
      <c r="P11666" t="s" s="8">
        <v>53</v>
      </c>
      <c r="Q11666" t="s" s="12">
        <v>53</v>
      </c>
      <c r="R11666" t="s" s="12">
        <v>53</v>
      </c>
    </row>
    <row r="11667" s="2" customFormat="1" ht="13.5" customHeight="1">
      <c r="B11667" s="13"/>
      <c r="C11667" t="s" s="9">
        <v>16</v>
      </c>
      <c r="D11667" t="s" s="8">
        <v>4373</v>
      </c>
      <c r="E11667" t="s" s="9">
        <v>4375</v>
      </c>
      <c r="F11667" s="19">
        <v>1</v>
      </c>
      <c r="G11667" s="17">
        <v>1</v>
      </c>
      <c r="H11667" s="19">
        <v>1</v>
      </c>
      <c r="I11667" s="17">
        <v>1</v>
      </c>
      <c r="J11667" t="s" s="11">
        <v>20</v>
      </c>
      <c r="K11667" t="s" s="16">
        <f>HYPERLINK("http://csr.bu.edu/ftp/asl/asllvd/demos/verify_start_end_handshape_annotations//test_auto_move//signs_mov/15579.mov","MOV")</f>
        <v>21</v>
      </c>
      <c r="L11667" t="s" s="16">
        <f>HYPERLINK("http://csr.bu.edu/ftp/asl/asllvd/demos/verify_start_end_handshape_annotations//test_auto_move//signs_mov_separ_signers/Liz_15579.mov","MOV")</f>
        <v>21</v>
      </c>
      <c r="M11667" t="s" s="10">
        <v>59</v>
      </c>
      <c r="N11667" s="17">
        <v>20</v>
      </c>
      <c r="O11667" s="18">
        <v>2500</v>
      </c>
      <c r="P11667" s="18">
        <v>2552</v>
      </c>
      <c r="Q11667" t="s" s="16">
        <f>HYPERLINK("http://secrets.rutgers.edu:8080/data/asl-ftp/asllvd/demos/verify_start_end_handshape_annotations//test_auto_move//signs_mov/15579.mov","MOV")</f>
        <v>21</v>
      </c>
      <c r="R11667" t="s" s="16">
        <f>HYPERLINK("http://secrets.rutgers.edu:8080/data/asl-ftp/asllvd/demos/verify_start_end_handshape_annotations//test_auto_move//signs_mov_separ_signers/Liz_15579.mov","MOV")</f>
        <v>21</v>
      </c>
    </row>
    <row r="11668" s="2" customFormat="1" ht="13.5" customHeight="1">
      <c r="B11668" s="13"/>
      <c r="C11668" t="s" s="9">
        <v>30</v>
      </c>
      <c r="D11668" t="s" s="8">
        <v>4373</v>
      </c>
      <c r="E11668" t="s" s="9">
        <v>4375</v>
      </c>
      <c r="F11668" s="19">
        <v>1</v>
      </c>
      <c r="G11668" s="17">
        <v>1</v>
      </c>
      <c r="H11668" s="19">
        <v>1</v>
      </c>
      <c r="I11668" s="17">
        <v>1</v>
      </c>
      <c r="J11668" t="s" s="11">
        <v>20</v>
      </c>
      <c r="K11668" s="15"/>
      <c r="L11668" t="s" s="16">
        <f>HYPERLINK("http://csr.bu.edu/ftp/asl/asllvd/demos/verify_start_end_handshape_annotations//test_auto_move//signs_mov_separ_signers/Brady_15579.mov","MOV")</f>
        <v>21</v>
      </c>
      <c r="M11668" t="s" s="10">
        <v>60</v>
      </c>
      <c r="N11668" s="17">
        <v>8</v>
      </c>
      <c r="O11668" s="18">
        <v>3103</v>
      </c>
      <c r="P11668" s="18">
        <v>3146</v>
      </c>
      <c r="Q11668" s="15"/>
      <c r="R11668" t="s" s="16">
        <f>HYPERLINK("http://secrets.rutgers.edu:8080/data/asl-ftp/asllvd/demos/verify_start_end_handshape_annotations//test_auto_move//signs_mov_separ_signers/Brady_15579.mov","MOV")</f>
        <v>21</v>
      </c>
    </row>
    <row r="11669" s="2" customFormat="1" ht="13.5" customHeight="1">
      <c r="B11669" t="s" s="8">
        <v>4376</v>
      </c>
      <c r="C11669" t="s" s="9">
        <v>14</v>
      </c>
      <c r="D11669" t="s" s="8">
        <v>14</v>
      </c>
      <c r="E11669" t="s" s="9">
        <v>14</v>
      </c>
      <c r="F11669" t="s" s="10">
        <v>14</v>
      </c>
      <c r="G11669" t="s" s="11">
        <v>14</v>
      </c>
      <c r="H11669" t="s" s="10">
        <v>14</v>
      </c>
      <c r="I11669" t="s" s="11">
        <v>14</v>
      </c>
      <c r="J11669" t="s" s="11">
        <v>14</v>
      </c>
      <c r="K11669" t="s" s="12">
        <v>14</v>
      </c>
      <c r="L11669" t="s" s="12">
        <v>14</v>
      </c>
      <c r="M11669" t="s" s="10">
        <v>14</v>
      </c>
      <c r="N11669" t="s" s="11">
        <v>14</v>
      </c>
      <c r="O11669" t="s" s="8">
        <v>14</v>
      </c>
      <c r="P11669" t="s" s="8">
        <v>14</v>
      </c>
      <c r="Q11669" t="s" s="12">
        <v>14</v>
      </c>
      <c r="R11669" t="s" s="12">
        <v>14</v>
      </c>
    </row>
    <row r="11670" s="2" customFormat="1" ht="13.5" customHeight="1">
      <c r="B11670" s="13"/>
      <c r="C11670" t="s" s="9">
        <v>30</v>
      </c>
      <c r="D11670" t="s" s="8">
        <v>4376</v>
      </c>
      <c r="E11670" t="s" s="9">
        <v>4376</v>
      </c>
      <c r="F11670" t="s" s="10">
        <v>150</v>
      </c>
      <c r="G11670" t="s" s="11">
        <v>150</v>
      </c>
      <c r="H11670" t="s" s="10">
        <v>150</v>
      </c>
      <c r="I11670" t="s" s="11">
        <v>150</v>
      </c>
      <c r="J11670" t="s" s="11">
        <v>20</v>
      </c>
      <c r="K11670" t="s" s="16">
        <f>HYPERLINK("http://csr.bu.edu/ftp/asl/asllvd/demos/verify_start_end_handshape_annotations//test_auto_move//signs_mov/8806.mov","MOV")</f>
        <v>21</v>
      </c>
      <c r="L11670" t="s" s="16">
        <f>HYPERLINK("http://csr.bu.edu/ftp/asl/asllvd/demos/verify_start_end_handshape_annotations//test_auto_move//signs_mov_separ_signers/Brady_8806.mov","MOV")</f>
        <v>21</v>
      </c>
      <c r="M11670" t="s" s="10">
        <v>60</v>
      </c>
      <c r="N11670" s="17">
        <v>30</v>
      </c>
      <c r="O11670" s="18">
        <v>1109</v>
      </c>
      <c r="P11670" s="18">
        <v>1125</v>
      </c>
      <c r="Q11670" t="s" s="16">
        <f>HYPERLINK("http://secrets.rutgers.edu:8080/data/asl-ftp/asllvd/demos/verify_start_end_handshape_annotations//test_auto_move//signs_mov/8806.mov","MOV")</f>
        <v>21</v>
      </c>
      <c r="R11670" t="s" s="16">
        <f>HYPERLINK("http://secrets.rutgers.edu:8080/data/asl-ftp/asllvd/demos/verify_start_end_handshape_annotations//test_auto_move//signs_mov_separ_signers/Brady_8806.mov","MOV")</f>
        <v>21</v>
      </c>
    </row>
    <row r="11671" s="2" customFormat="1" ht="13.5" customHeight="1">
      <c r="B11671" t="s" s="8">
        <v>4377</v>
      </c>
      <c r="C11671" t="s" s="9">
        <v>14</v>
      </c>
      <c r="D11671" t="s" s="8">
        <v>14</v>
      </c>
      <c r="E11671" t="s" s="9">
        <v>14</v>
      </c>
      <c r="F11671" t="s" s="10">
        <v>14</v>
      </c>
      <c r="G11671" t="s" s="11">
        <v>14</v>
      </c>
      <c r="H11671" t="s" s="10">
        <v>14</v>
      </c>
      <c r="I11671" t="s" s="11">
        <v>14</v>
      </c>
      <c r="J11671" t="s" s="11">
        <v>14</v>
      </c>
      <c r="K11671" t="s" s="12">
        <v>14</v>
      </c>
      <c r="L11671" t="s" s="12">
        <v>14</v>
      </c>
      <c r="M11671" t="s" s="10">
        <v>14</v>
      </c>
      <c r="N11671" t="s" s="11">
        <v>14</v>
      </c>
      <c r="O11671" t="s" s="8">
        <v>14</v>
      </c>
      <c r="P11671" t="s" s="8">
        <v>14</v>
      </c>
      <c r="Q11671" t="s" s="12">
        <v>14</v>
      </c>
      <c r="R11671" t="s" s="12">
        <v>14</v>
      </c>
    </row>
    <row r="11672" s="2" customFormat="1" ht="13.5" customHeight="1">
      <c r="B11672" s="13"/>
      <c r="C11672" t="s" s="9">
        <v>16</v>
      </c>
      <c r="D11672" t="s" s="8">
        <v>4377</v>
      </c>
      <c r="E11672" t="s" s="9">
        <v>4377</v>
      </c>
      <c r="F11672" t="s" s="10">
        <v>72</v>
      </c>
      <c r="G11672" s="14"/>
      <c r="H11672" t="s" s="10">
        <v>150</v>
      </c>
      <c r="I11672" t="s" s="11">
        <v>150</v>
      </c>
      <c r="J11672" t="s" s="11">
        <v>20</v>
      </c>
      <c r="K11672" t="s" s="16">
        <f>HYPERLINK("http://csr.bu.edu/ftp/asl/asllvd/demos/verify_start_end_handshape_annotations//test_auto_move//signs_mov/15297.mov","MOV")</f>
        <v>21</v>
      </c>
      <c r="L11672" t="s" s="16">
        <f>HYPERLINK("http://csr.bu.edu/ftp/asl/asllvd/demos/verify_start_end_handshape_annotations//test_auto_move//signs_mov_separ_signers/Liz_15297.mov","MOV")</f>
        <v>21</v>
      </c>
      <c r="M11672" t="s" s="10">
        <v>59</v>
      </c>
      <c r="N11672" s="17">
        <v>42</v>
      </c>
      <c r="O11672" s="18">
        <v>306</v>
      </c>
      <c r="P11672" s="18">
        <v>348</v>
      </c>
      <c r="Q11672" t="s" s="16">
        <f>HYPERLINK("http://secrets.rutgers.edu:8080/data/asl-ftp/asllvd/demos/verify_start_end_handshape_annotations//test_auto_move//signs_mov/15297.mov","MOV")</f>
        <v>21</v>
      </c>
      <c r="R11672" t="s" s="16">
        <f>HYPERLINK("http://secrets.rutgers.edu:8080/data/asl-ftp/asllvd/demos/verify_start_end_handshape_annotations//test_auto_move//signs_mov_separ_signers/Liz_15297.mov","MOV")</f>
        <v>21</v>
      </c>
    </row>
    <row r="11673" s="2" customFormat="1" ht="13.5" customHeight="1">
      <c r="B11673" t="s" s="8">
        <v>4378</v>
      </c>
      <c r="C11673" t="s" s="9">
        <v>14</v>
      </c>
      <c r="D11673" t="s" s="8">
        <v>14</v>
      </c>
      <c r="E11673" t="s" s="9">
        <v>14</v>
      </c>
      <c r="F11673" t="s" s="10">
        <v>14</v>
      </c>
      <c r="G11673" t="s" s="11">
        <v>14</v>
      </c>
      <c r="H11673" t="s" s="10">
        <v>14</v>
      </c>
      <c r="I11673" t="s" s="11">
        <v>14</v>
      </c>
      <c r="J11673" t="s" s="11">
        <v>14</v>
      </c>
      <c r="K11673" t="s" s="12">
        <v>14</v>
      </c>
      <c r="L11673" t="s" s="12">
        <v>14</v>
      </c>
      <c r="M11673" t="s" s="10">
        <v>14</v>
      </c>
      <c r="N11673" t="s" s="11">
        <v>14</v>
      </c>
      <c r="O11673" t="s" s="8">
        <v>14</v>
      </c>
      <c r="P11673" t="s" s="8">
        <v>14</v>
      </c>
      <c r="Q11673" t="s" s="12">
        <v>14</v>
      </c>
      <c r="R11673" t="s" s="12">
        <v>14</v>
      </c>
    </row>
    <row r="11674" s="2" customFormat="1" ht="13.5" customHeight="1">
      <c r="B11674" s="13"/>
      <c r="C11674" t="s" s="9">
        <v>30</v>
      </c>
      <c r="D11674" t="s" s="8">
        <v>4378</v>
      </c>
      <c r="E11674" t="s" s="9">
        <v>4378</v>
      </c>
      <c r="F11674" s="19">
        <v>4</v>
      </c>
      <c r="G11674" s="17">
        <v>4</v>
      </c>
      <c r="H11674" s="19">
        <v>4</v>
      </c>
      <c r="I11674" s="17">
        <v>4</v>
      </c>
      <c r="J11674" t="s" s="11">
        <v>20</v>
      </c>
      <c r="K11674" t="s" s="16">
        <f>HYPERLINK("http://csr.bu.edu/ftp/asl/asllvd/demos/verify_start_end_handshape_annotations//test_auto_move//signs_mov/8878.mov","MOV")</f>
        <v>21</v>
      </c>
      <c r="L11674" t="s" s="16">
        <f>HYPERLINK("http://csr.bu.edu/ftp/asl/asllvd/demos/verify_start_end_handshape_annotations//test_auto_move//signs_mov_separ_signers/Brady_8878.mov","MOV")</f>
        <v>21</v>
      </c>
      <c r="M11674" t="s" s="10">
        <v>60</v>
      </c>
      <c r="N11674" s="17">
        <v>57</v>
      </c>
      <c r="O11674" s="18">
        <v>3221</v>
      </c>
      <c r="P11674" s="18">
        <v>3273</v>
      </c>
      <c r="Q11674" t="s" s="16">
        <f>HYPERLINK("http://secrets.rutgers.edu:8080/data/asl-ftp/asllvd/demos/verify_start_end_handshape_annotations//test_auto_move//signs_mov/8878.mov","MOV")</f>
        <v>21</v>
      </c>
      <c r="R11674" t="s" s="16">
        <f>HYPERLINK("http://secrets.rutgers.edu:8080/data/asl-ftp/asllvd/demos/verify_start_end_handshape_annotations//test_auto_move//signs_mov_separ_signers/Brady_8878.mov","MOV")</f>
        <v>21</v>
      </c>
    </row>
    <row r="11675" s="2" customFormat="1" ht="13.5" customHeight="1">
      <c r="B11675" t="s" s="8">
        <v>4379</v>
      </c>
      <c r="C11675" t="s" s="9">
        <v>14</v>
      </c>
      <c r="D11675" t="s" s="8">
        <v>14</v>
      </c>
      <c r="E11675" t="s" s="9">
        <v>14</v>
      </c>
      <c r="F11675" t="s" s="10">
        <v>14</v>
      </c>
      <c r="G11675" t="s" s="11">
        <v>14</v>
      </c>
      <c r="H11675" t="s" s="10">
        <v>14</v>
      </c>
      <c r="I11675" t="s" s="11">
        <v>14</v>
      </c>
      <c r="J11675" t="s" s="11">
        <v>14</v>
      </c>
      <c r="K11675" t="s" s="12">
        <v>14</v>
      </c>
      <c r="L11675" t="s" s="12">
        <v>14</v>
      </c>
      <c r="M11675" t="s" s="10">
        <v>14</v>
      </c>
      <c r="N11675" t="s" s="11">
        <v>14</v>
      </c>
      <c r="O11675" t="s" s="8">
        <v>14</v>
      </c>
      <c r="P11675" t="s" s="8">
        <v>14</v>
      </c>
      <c r="Q11675" t="s" s="12">
        <v>14</v>
      </c>
      <c r="R11675" t="s" s="12">
        <v>14</v>
      </c>
    </row>
    <row r="11676" s="2" customFormat="1" ht="13.5" customHeight="1">
      <c r="B11676" s="13"/>
      <c r="C11676" t="s" s="9">
        <v>30</v>
      </c>
      <c r="D11676" t="s" s="8">
        <v>4379</v>
      </c>
      <c r="E11676" t="s" s="9">
        <v>4380</v>
      </c>
      <c r="F11676" s="19">
        <v>1</v>
      </c>
      <c r="G11676" t="s" s="11">
        <v>73</v>
      </c>
      <c r="H11676" s="19">
        <v>1</v>
      </c>
      <c r="I11676" t="s" s="11">
        <v>73</v>
      </c>
      <c r="J11676" t="s" s="11">
        <v>20</v>
      </c>
      <c r="K11676" t="s" s="16">
        <f>HYPERLINK("http://csr.bu.edu/ftp/asl/asllvd/demos/verify_start_end_handshape_annotations//test_auto_move//signs_mov/8908.mov","MOV")</f>
        <v>21</v>
      </c>
      <c r="L11676" t="s" s="16">
        <f>HYPERLINK("http://csr.bu.edu/ftp/asl/asllvd/demos/verify_start_end_handshape_annotations//test_auto_move//signs_mov_separ_signers/Brady_8908.mov","MOV")</f>
        <v>21</v>
      </c>
      <c r="M11676" t="s" s="10">
        <v>60</v>
      </c>
      <c r="N11676" s="17">
        <v>55</v>
      </c>
      <c r="O11676" s="18">
        <v>2949</v>
      </c>
      <c r="P11676" s="18">
        <v>2967</v>
      </c>
      <c r="Q11676" t="s" s="16">
        <f>HYPERLINK("http://secrets.rutgers.edu:8080/data/asl-ftp/asllvd/demos/verify_start_end_handshape_annotations//test_auto_move//signs_mov/8908.mov","MOV")</f>
        <v>21</v>
      </c>
      <c r="R11676" t="s" s="16">
        <f>HYPERLINK("http://secrets.rutgers.edu:8080/data/asl-ftp/asllvd/demos/verify_start_end_handshape_annotations//test_auto_move//signs_mov_separ_signers/Brady_8908.mov","MOV")</f>
        <v>21</v>
      </c>
    </row>
    <row r="11677" s="2" customFormat="1" ht="13.5" customHeight="1">
      <c r="B11677" t="s" s="8">
        <v>52</v>
      </c>
      <c r="C11677" t="s" s="9">
        <v>53</v>
      </c>
      <c r="D11677" t="s" s="8">
        <v>53</v>
      </c>
      <c r="E11677" t="s" s="9">
        <v>53</v>
      </c>
      <c r="F11677" t="s" s="10">
        <v>53</v>
      </c>
      <c r="G11677" t="s" s="11">
        <v>53</v>
      </c>
      <c r="H11677" t="s" s="10">
        <v>53</v>
      </c>
      <c r="I11677" t="s" s="11">
        <v>53</v>
      </c>
      <c r="J11677" t="s" s="11">
        <v>53</v>
      </c>
      <c r="K11677" t="s" s="12">
        <v>53</v>
      </c>
      <c r="L11677" t="s" s="12">
        <v>53</v>
      </c>
      <c r="M11677" t="s" s="10">
        <v>53</v>
      </c>
      <c r="N11677" t="s" s="11">
        <v>53</v>
      </c>
      <c r="O11677" t="s" s="8">
        <v>53</v>
      </c>
      <c r="P11677" t="s" s="8">
        <v>53</v>
      </c>
      <c r="Q11677" t="s" s="12">
        <v>53</v>
      </c>
      <c r="R11677" t="s" s="12">
        <v>53</v>
      </c>
    </row>
    <row r="11678" s="2" customFormat="1" ht="13.5" customHeight="1">
      <c r="B11678" s="13"/>
      <c r="C11678" t="s" s="9">
        <v>16</v>
      </c>
      <c r="D11678" t="s" s="8">
        <v>4379</v>
      </c>
      <c r="E11678" t="s" s="9">
        <v>4379</v>
      </c>
      <c r="F11678" s="19">
        <v>1</v>
      </c>
      <c r="G11678" s="14"/>
      <c r="H11678" s="19">
        <v>1</v>
      </c>
      <c r="I11678" s="14"/>
      <c r="J11678" t="s" s="11">
        <v>20</v>
      </c>
      <c r="K11678" t="s" s="16">
        <f>HYPERLINK("http://csr.bu.edu/ftp/asl/asllvd/demos/verify_start_end_handshape_annotations//test_auto_move//signs_mov/16061.mov","MOV")</f>
        <v>21</v>
      </c>
      <c r="L11678" t="s" s="16">
        <f>HYPERLINK("http://csr.bu.edu/ftp/asl/asllvd/demos/verify_start_end_handshape_annotations//test_auto_move//signs_mov_separ_signers/Liz_16061.mov","MOV")</f>
        <v>21</v>
      </c>
      <c r="M11678" t="s" s="10">
        <v>59</v>
      </c>
      <c r="N11678" s="17">
        <v>10</v>
      </c>
      <c r="O11678" s="18">
        <v>1196</v>
      </c>
      <c r="P11678" s="18">
        <v>1247</v>
      </c>
      <c r="Q11678" t="s" s="16">
        <f>HYPERLINK("http://secrets.rutgers.edu:8080/data/asl-ftp/asllvd/demos/verify_start_end_handshape_annotations//test_auto_move//signs_mov/16061.mov","MOV")</f>
        <v>21</v>
      </c>
      <c r="R11678" t="s" s="16">
        <f>HYPERLINK("http://secrets.rutgers.edu:8080/data/asl-ftp/asllvd/demos/verify_start_end_handshape_annotations//test_auto_move//signs_mov_separ_signers/Liz_16061.mov","MOV")</f>
        <v>21</v>
      </c>
    </row>
    <row r="11679" s="2" customFormat="1" ht="13.5" customHeight="1">
      <c r="B11679" s="13"/>
      <c r="C11679" t="s" s="9">
        <v>30</v>
      </c>
      <c r="D11679" t="s" s="8">
        <v>4379</v>
      </c>
      <c r="E11679" t="s" s="9">
        <v>4379</v>
      </c>
      <c r="F11679" s="19">
        <v>1</v>
      </c>
      <c r="G11679" s="14"/>
      <c r="H11679" s="19">
        <v>1</v>
      </c>
      <c r="I11679" s="14"/>
      <c r="J11679" t="s" s="11">
        <v>20</v>
      </c>
      <c r="K11679" s="15"/>
      <c r="L11679" t="s" s="16">
        <f>HYPERLINK("http://csr.bu.edu/ftp/asl/asllvd/demos/verify_start_end_handshape_annotations//test_auto_move//signs_mov_separ_signers/Brady_16061.mov","MOV")</f>
        <v>21</v>
      </c>
      <c r="M11679" t="s" s="10">
        <v>40</v>
      </c>
      <c r="N11679" s="17">
        <v>114</v>
      </c>
      <c r="O11679" s="18">
        <v>1218</v>
      </c>
      <c r="P11679" s="18">
        <v>1244</v>
      </c>
      <c r="Q11679" s="15"/>
      <c r="R11679" t="s" s="16">
        <f>HYPERLINK("http://secrets.rutgers.edu:8080/data/asl-ftp/asllvd/demos/verify_start_end_handshape_annotations//test_auto_move//signs_mov_separ_signers/Brady_16061.mov","MOV")</f>
        <v>21</v>
      </c>
    </row>
    <row r="11680" s="2" customFormat="1" ht="13.5" customHeight="1">
      <c r="B11680" t="s" s="8">
        <v>4381</v>
      </c>
      <c r="C11680" t="s" s="9">
        <v>14</v>
      </c>
      <c r="D11680" t="s" s="8">
        <v>14</v>
      </c>
      <c r="E11680" t="s" s="9">
        <v>14</v>
      </c>
      <c r="F11680" t="s" s="10">
        <v>14</v>
      </c>
      <c r="G11680" t="s" s="11">
        <v>14</v>
      </c>
      <c r="H11680" t="s" s="10">
        <v>14</v>
      </c>
      <c r="I11680" t="s" s="11">
        <v>14</v>
      </c>
      <c r="J11680" t="s" s="11">
        <v>14</v>
      </c>
      <c r="K11680" t="s" s="12">
        <v>14</v>
      </c>
      <c r="L11680" t="s" s="12">
        <v>14</v>
      </c>
      <c r="M11680" t="s" s="10">
        <v>14</v>
      </c>
      <c r="N11680" t="s" s="11">
        <v>14</v>
      </c>
      <c r="O11680" t="s" s="8">
        <v>14</v>
      </c>
      <c r="P11680" t="s" s="8">
        <v>14</v>
      </c>
      <c r="Q11680" t="s" s="12">
        <v>14</v>
      </c>
      <c r="R11680" t="s" s="12">
        <v>14</v>
      </c>
    </row>
    <row r="11681" s="2" customFormat="1" ht="13.5" customHeight="1">
      <c r="B11681" s="13"/>
      <c r="C11681" t="s" s="9">
        <v>16</v>
      </c>
      <c r="D11681" t="s" s="8">
        <v>4381</v>
      </c>
      <c r="E11681" t="s" s="9">
        <v>4381</v>
      </c>
      <c r="F11681" t="s" s="10">
        <v>268</v>
      </c>
      <c r="G11681" t="s" s="11">
        <v>268</v>
      </c>
      <c r="H11681" t="s" s="10">
        <v>268</v>
      </c>
      <c r="I11681" t="s" s="11">
        <v>268</v>
      </c>
      <c r="J11681" t="s" s="11">
        <v>20</v>
      </c>
      <c r="K11681" s="15"/>
      <c r="L11681" t="s" s="16">
        <f>HYPERLINK("http://csr.bu.edu/ftp/asl/asllvd/demos/verify_start_end_handshape_annotations//test_auto_move//signs_mov_separ_signers/Liz_16075.mov","MOV")</f>
        <v>21</v>
      </c>
      <c r="M11681" t="s" s="10">
        <v>34</v>
      </c>
      <c r="N11681" s="17">
        <v>21</v>
      </c>
      <c r="O11681" s="18">
        <v>2615</v>
      </c>
      <c r="P11681" s="18">
        <v>2660</v>
      </c>
      <c r="Q11681" s="15"/>
      <c r="R11681" t="s" s="16">
        <f>HYPERLINK("http://secrets.rutgers.edu:8080/data/asl-ftp/asllvd/demos/verify_start_end_handshape_annotations//test_auto_move//signs_mov_separ_signers/Liz_16075.mov","MOV")</f>
        <v>21</v>
      </c>
    </row>
    <row r="11682" s="2" customFormat="1" ht="13.5" customHeight="1">
      <c r="B11682" s="13"/>
      <c r="C11682" t="s" s="9">
        <v>27</v>
      </c>
      <c r="D11682" t="s" s="8">
        <v>4381</v>
      </c>
      <c r="E11682" t="s" s="9">
        <v>4381</v>
      </c>
      <c r="F11682" t="s" s="10">
        <v>268</v>
      </c>
      <c r="G11682" t="s" s="11">
        <v>268</v>
      </c>
      <c r="H11682" t="s" s="10">
        <v>268</v>
      </c>
      <c r="I11682" t="s" s="11">
        <v>268</v>
      </c>
      <c r="J11682" t="s" s="11">
        <v>20</v>
      </c>
      <c r="K11682" t="s" s="16">
        <f>HYPERLINK("http://csr.bu.edu/ftp/asl/asllvd/demos/verify_start_end_handshape_annotations//test_auto_move//signs_mov/16075.mov","MOV")</f>
        <v>21</v>
      </c>
      <c r="L11682" t="s" s="16">
        <f>HYPERLINK("http://csr.bu.edu/ftp/asl/asllvd/demos/verify_start_end_handshape_annotations//test_auto_move//signs_mov_separ_signers/Naomi_16075.mov","MOV")</f>
        <v>21</v>
      </c>
      <c r="M11682" t="s" s="10">
        <v>38</v>
      </c>
      <c r="N11682" s="17">
        <v>17</v>
      </c>
      <c r="O11682" s="18">
        <v>2665</v>
      </c>
      <c r="P11682" s="18">
        <v>2690</v>
      </c>
      <c r="Q11682" t="s" s="16">
        <f>HYPERLINK("http://secrets.rutgers.edu:8080/data/asl-ftp/asllvd/demos/verify_start_end_handshape_annotations//test_auto_move//signs_mov/16075.mov","MOV")</f>
        <v>21</v>
      </c>
      <c r="R11682" t="s" s="16">
        <f>HYPERLINK("http://secrets.rutgers.edu:8080/data/asl-ftp/asllvd/demos/verify_start_end_handshape_annotations//test_auto_move//signs_mov_separ_signers/Naomi_16075.mov","MOV")</f>
        <v>21</v>
      </c>
    </row>
    <row r="11683" s="2" customFormat="1" ht="13.5" customHeight="1">
      <c r="B11683" s="13"/>
      <c r="C11683" t="s" s="9">
        <v>30</v>
      </c>
      <c r="D11683" t="s" s="8">
        <v>4381</v>
      </c>
      <c r="E11683" t="s" s="9">
        <v>4381</v>
      </c>
      <c r="F11683" t="s" s="10">
        <v>3061</v>
      </c>
      <c r="G11683" t="s" s="11">
        <v>3061</v>
      </c>
      <c r="H11683" t="s" s="10">
        <v>3061</v>
      </c>
      <c r="I11683" t="s" s="11">
        <v>3061</v>
      </c>
      <c r="J11683" t="s" s="11">
        <v>20</v>
      </c>
      <c r="K11683" s="15"/>
      <c r="L11683" t="s" s="16">
        <f>HYPERLINK("http://csr.bu.edu/ftp/asl/asllvd/demos/verify_start_end_handshape_annotations//test_auto_move//signs_mov_separ_signers/Brady_16075.mov","MOV")</f>
        <v>21</v>
      </c>
      <c r="M11683" t="s" s="10">
        <v>39</v>
      </c>
      <c r="N11683" s="17">
        <v>33</v>
      </c>
      <c r="O11683" s="18">
        <v>6093</v>
      </c>
      <c r="P11683" s="18">
        <v>6114</v>
      </c>
      <c r="Q11683" s="15"/>
      <c r="R11683" t="s" s="16">
        <f>HYPERLINK("http://secrets.rutgers.edu:8080/data/asl-ftp/asllvd/demos/verify_start_end_handshape_annotations//test_auto_move//signs_mov_separ_signers/Brady_16075.mov","MOV")</f>
        <v>21</v>
      </c>
    </row>
    <row r="11684" s="2" customFormat="1" ht="13.5" customHeight="1">
      <c r="B11684" t="s" s="8">
        <v>52</v>
      </c>
      <c r="C11684" t="s" s="9">
        <v>53</v>
      </c>
      <c r="D11684" t="s" s="8">
        <v>53</v>
      </c>
      <c r="E11684" t="s" s="9">
        <v>53</v>
      </c>
      <c r="F11684" t="s" s="10">
        <v>53</v>
      </c>
      <c r="G11684" t="s" s="11">
        <v>53</v>
      </c>
      <c r="H11684" t="s" s="10">
        <v>53</v>
      </c>
      <c r="I11684" t="s" s="11">
        <v>53</v>
      </c>
      <c r="J11684" t="s" s="11">
        <v>53</v>
      </c>
      <c r="K11684" t="s" s="12">
        <v>53</v>
      </c>
      <c r="L11684" t="s" s="12">
        <v>53</v>
      </c>
      <c r="M11684" t="s" s="10">
        <v>53</v>
      </c>
      <c r="N11684" t="s" s="11">
        <v>53</v>
      </c>
      <c r="O11684" t="s" s="8">
        <v>53</v>
      </c>
      <c r="P11684" t="s" s="8">
        <v>53</v>
      </c>
      <c r="Q11684" t="s" s="12">
        <v>53</v>
      </c>
      <c r="R11684" t="s" s="12">
        <v>53</v>
      </c>
    </row>
    <row r="11685" s="2" customFormat="1" ht="13.5" customHeight="1">
      <c r="B11685" s="13"/>
      <c r="C11685" t="s" s="9">
        <v>16</v>
      </c>
      <c r="D11685" t="s" s="8">
        <v>4381</v>
      </c>
      <c r="E11685" t="s" s="9">
        <v>4382</v>
      </c>
      <c r="F11685" t="s" s="10">
        <v>268</v>
      </c>
      <c r="G11685" s="14"/>
      <c r="H11685" t="s" s="10">
        <v>268</v>
      </c>
      <c r="I11685" s="14"/>
      <c r="J11685" t="s" s="11">
        <v>20</v>
      </c>
      <c r="K11685" t="s" s="16">
        <f>HYPERLINK("http://csr.bu.edu/ftp/asl/asllvd/demos/verify_start_end_handshape_annotations//test_auto_move//signs_mov/16084.mov","MOV")</f>
        <v>21</v>
      </c>
      <c r="L11685" t="s" s="16">
        <f>HYPERLINK("http://csr.bu.edu/ftp/asl/asllvd/demos/verify_start_end_handshape_annotations//test_auto_move//signs_mov_separ_signers/Liz_16084.mov","MOV")</f>
        <v>21</v>
      </c>
      <c r="M11685" t="s" s="10">
        <v>59</v>
      </c>
      <c r="N11685" s="17">
        <v>11</v>
      </c>
      <c r="O11685" s="18">
        <v>1510</v>
      </c>
      <c r="P11685" s="18">
        <v>1545</v>
      </c>
      <c r="Q11685" t="s" s="16">
        <f>HYPERLINK("http://secrets.rutgers.edu:8080/data/asl-ftp/asllvd/demos/verify_start_end_handshape_annotations//test_auto_move//signs_mov/16084.mov","MOV")</f>
        <v>21</v>
      </c>
      <c r="R11685" t="s" s="16">
        <f>HYPERLINK("http://secrets.rutgers.edu:8080/data/asl-ftp/asllvd/demos/verify_start_end_handshape_annotations//test_auto_move//signs_mov_separ_signers/Liz_16084.mov","MOV")</f>
        <v>21</v>
      </c>
    </row>
    <row r="11686" s="2" customFormat="1" ht="13.5" customHeight="1">
      <c r="B11686" s="13"/>
      <c r="C11686" t="s" s="9">
        <v>30</v>
      </c>
      <c r="D11686" t="s" s="8">
        <v>4381</v>
      </c>
      <c r="E11686" t="s" s="9">
        <v>4382</v>
      </c>
      <c r="F11686" t="s" s="10">
        <v>268</v>
      </c>
      <c r="G11686" s="14"/>
      <c r="H11686" t="s" s="10">
        <v>268</v>
      </c>
      <c r="I11686" s="14"/>
      <c r="J11686" t="s" s="11">
        <v>20</v>
      </c>
      <c r="K11686" s="15"/>
      <c r="L11686" t="s" s="16">
        <f>HYPERLINK("http://csr.bu.edu/ftp/asl/asllvd/demos/verify_start_end_handshape_annotations//test_auto_move//signs_mov_separ_signers/Brady_16084.mov","MOV")</f>
        <v>21</v>
      </c>
      <c r="M11686" t="s" s="10">
        <v>40</v>
      </c>
      <c r="N11686" s="17">
        <v>115</v>
      </c>
      <c r="O11686" s="18">
        <v>2026</v>
      </c>
      <c r="P11686" s="18">
        <v>2051</v>
      </c>
      <c r="Q11686" s="15"/>
      <c r="R11686" t="s" s="16">
        <f>HYPERLINK("http://secrets.rutgers.edu:8080/data/asl-ftp/asllvd/demos/verify_start_end_handshape_annotations//test_auto_move//signs_mov_separ_signers/Brady_16084.mov","MOV")</f>
        <v>21</v>
      </c>
    </row>
    <row r="11687" s="2" customFormat="1" ht="13.5" customHeight="1">
      <c r="B11687" t="s" s="8">
        <v>4383</v>
      </c>
      <c r="C11687" t="s" s="9">
        <v>14</v>
      </c>
      <c r="D11687" t="s" s="8">
        <v>14</v>
      </c>
      <c r="E11687" t="s" s="9">
        <v>14</v>
      </c>
      <c r="F11687" t="s" s="10">
        <v>14</v>
      </c>
      <c r="G11687" t="s" s="11">
        <v>14</v>
      </c>
      <c r="H11687" t="s" s="10">
        <v>14</v>
      </c>
      <c r="I11687" t="s" s="11">
        <v>14</v>
      </c>
      <c r="J11687" t="s" s="11">
        <v>14</v>
      </c>
      <c r="K11687" t="s" s="12">
        <v>14</v>
      </c>
      <c r="L11687" t="s" s="12">
        <v>14</v>
      </c>
      <c r="M11687" t="s" s="10">
        <v>14</v>
      </c>
      <c r="N11687" t="s" s="11">
        <v>14</v>
      </c>
      <c r="O11687" t="s" s="8">
        <v>14</v>
      </c>
      <c r="P11687" t="s" s="8">
        <v>14</v>
      </c>
      <c r="Q11687" t="s" s="12">
        <v>14</v>
      </c>
      <c r="R11687" t="s" s="12">
        <v>14</v>
      </c>
    </row>
    <row r="11688" s="2" customFormat="1" ht="13.5" customHeight="1">
      <c r="B11688" s="13"/>
      <c r="C11688" t="s" s="9">
        <v>30</v>
      </c>
      <c r="D11688" t="s" s="8">
        <v>4383</v>
      </c>
      <c r="E11688" t="s" s="9">
        <v>4384</v>
      </c>
      <c r="F11688" t="s" s="10">
        <v>25</v>
      </c>
      <c r="G11688" t="s" s="11">
        <v>73</v>
      </c>
      <c r="H11688" t="s" s="10">
        <v>25</v>
      </c>
      <c r="I11688" t="s" s="11">
        <v>73</v>
      </c>
      <c r="J11688" t="s" s="11">
        <v>20</v>
      </c>
      <c r="K11688" t="s" s="16">
        <f>HYPERLINK("http://csr.bu.edu/ftp/asl/asllvd/demos/verify_start_end_handshape_annotations//test_auto_move//signs_mov/8915.mov","MOV")</f>
        <v>21</v>
      </c>
      <c r="L11688" t="s" s="16">
        <f>HYPERLINK("http://csr.bu.edu/ftp/asl/asllvd/demos/verify_start_end_handshape_annotations//test_auto_move//signs_mov_separ_signers/Brady_8915.mov","MOV")</f>
        <v>21</v>
      </c>
      <c r="M11688" t="s" s="10">
        <v>60</v>
      </c>
      <c r="N11688" s="17">
        <v>47</v>
      </c>
      <c r="O11688" s="18">
        <v>162</v>
      </c>
      <c r="P11688" s="18">
        <v>181</v>
      </c>
      <c r="Q11688" t="s" s="16">
        <f>HYPERLINK("http://secrets.rutgers.edu:8080/data/asl-ftp/asllvd/demos/verify_start_end_handshape_annotations//test_auto_move//signs_mov/8915.mov","MOV")</f>
        <v>21</v>
      </c>
      <c r="R11688" t="s" s="16">
        <f>HYPERLINK("http://secrets.rutgers.edu:8080/data/asl-ftp/asllvd/demos/verify_start_end_handshape_annotations//test_auto_move//signs_mov_separ_signers/Brady_8915.mov","MOV")</f>
        <v>21</v>
      </c>
    </row>
    <row r="11689" s="2" customFormat="1" ht="13.5" customHeight="1">
      <c r="B11689" t="s" s="8">
        <v>4385</v>
      </c>
      <c r="C11689" t="s" s="9">
        <v>14</v>
      </c>
      <c r="D11689" t="s" s="8">
        <v>14</v>
      </c>
      <c r="E11689" t="s" s="9">
        <v>14</v>
      </c>
      <c r="F11689" t="s" s="10">
        <v>14</v>
      </c>
      <c r="G11689" t="s" s="11">
        <v>14</v>
      </c>
      <c r="H11689" t="s" s="10">
        <v>14</v>
      </c>
      <c r="I11689" t="s" s="11">
        <v>14</v>
      </c>
      <c r="J11689" t="s" s="11">
        <v>14</v>
      </c>
      <c r="K11689" t="s" s="12">
        <v>14</v>
      </c>
      <c r="L11689" t="s" s="12">
        <v>14</v>
      </c>
      <c r="M11689" t="s" s="10">
        <v>14</v>
      </c>
      <c r="N11689" t="s" s="11">
        <v>14</v>
      </c>
      <c r="O11689" t="s" s="8">
        <v>14</v>
      </c>
      <c r="P11689" t="s" s="8">
        <v>14</v>
      </c>
      <c r="Q11689" t="s" s="12">
        <v>14</v>
      </c>
      <c r="R11689" t="s" s="12">
        <v>14</v>
      </c>
    </row>
    <row r="11690" s="2" customFormat="1" ht="13.5" customHeight="1">
      <c r="B11690" s="13"/>
      <c r="C11690" t="s" s="9">
        <v>16</v>
      </c>
      <c r="D11690" t="s" s="8">
        <v>4385</v>
      </c>
      <c r="E11690" t="s" s="9">
        <v>4385</v>
      </c>
      <c r="F11690" t="s" s="10">
        <v>150</v>
      </c>
      <c r="G11690" t="s" s="11">
        <v>150</v>
      </c>
      <c r="H11690" t="s" s="10">
        <v>73</v>
      </c>
      <c r="I11690" t="s" s="11">
        <v>73</v>
      </c>
      <c r="J11690" t="s" s="11">
        <v>20</v>
      </c>
      <c r="K11690" s="15"/>
      <c r="L11690" t="s" s="16">
        <f>HYPERLINK("http://csr.bu.edu/ftp/asl/asllvd/demos/verify_start_end_handshape_annotations//test_auto_move//signs_mov_separ_signers/Liz_8945.mov","MOV")</f>
        <v>21</v>
      </c>
      <c r="M11690" t="s" s="10">
        <v>36</v>
      </c>
      <c r="N11690" s="17">
        <v>45</v>
      </c>
      <c r="O11690" s="18">
        <v>575</v>
      </c>
      <c r="P11690" s="18">
        <v>660</v>
      </c>
      <c r="Q11690" s="15"/>
      <c r="R11690" t="s" s="16">
        <f>HYPERLINK("http://secrets.rutgers.edu:8080/data/asl-ftp/asllvd/demos/verify_start_end_handshape_annotations//test_auto_move//signs_mov_separ_signers/Liz_8945.mov","MOV")</f>
        <v>21</v>
      </c>
    </row>
    <row r="11691" s="2" customFormat="1" ht="13.5" customHeight="1">
      <c r="B11691" s="13"/>
      <c r="C11691" t="s" s="9">
        <v>30</v>
      </c>
      <c r="D11691" t="s" s="8">
        <v>4385</v>
      </c>
      <c r="E11691" t="s" s="9">
        <v>4385</v>
      </c>
      <c r="F11691" t="s" s="10">
        <v>73</v>
      </c>
      <c r="G11691" t="s" s="11">
        <v>73</v>
      </c>
      <c r="H11691" t="s" s="10">
        <v>73</v>
      </c>
      <c r="I11691" t="s" s="11">
        <v>73</v>
      </c>
      <c r="J11691" t="s" s="11">
        <v>20</v>
      </c>
      <c r="K11691" t="s" s="16">
        <f>HYPERLINK("http://csr.bu.edu/ftp/asl/asllvd/demos/verify_start_end_handshape_annotations//test_auto_move//signs_mov/8945_15255_merged.mov","MOV")</f>
        <v>21</v>
      </c>
      <c r="L11691" t="s" s="16">
        <f>HYPERLINK("http://csr.bu.edu/ftp/asl/asllvd/demos/verify_start_end_handshape_annotations//test_auto_move//signs_mov_separ_signers/Brady_8945.mov","MOV")</f>
        <v>21</v>
      </c>
      <c r="M11691" t="s" s="10">
        <v>40</v>
      </c>
      <c r="N11691" s="17">
        <v>97</v>
      </c>
      <c r="O11691" s="18">
        <v>2024</v>
      </c>
      <c r="P11691" s="18">
        <v>2058</v>
      </c>
      <c r="Q11691" t="s" s="16">
        <f>HYPERLINK("http://secrets.rutgers.edu:8080/data/asl-ftp/asllvd/demos/verify_start_end_handshape_annotations//test_auto_move//signs_mov/8945_15255_merged.mov","MOV")</f>
        <v>21</v>
      </c>
      <c r="R11691" t="s" s="16">
        <f>HYPERLINK("http://secrets.rutgers.edu:8080/data/asl-ftp/asllvd/demos/verify_start_end_handshape_annotations//test_auto_move//signs_mov_separ_signers/Brady_8945.mov","MOV")</f>
        <v>21</v>
      </c>
    </row>
    <row r="11692" s="2" customFormat="1" ht="13.5" customHeight="1">
      <c r="B11692" s="13"/>
      <c r="C11692" t="s" s="9">
        <v>30</v>
      </c>
      <c r="D11692" t="s" s="8">
        <v>4385</v>
      </c>
      <c r="E11692" t="s" s="9">
        <v>4385</v>
      </c>
      <c r="F11692" t="s" s="10">
        <v>73</v>
      </c>
      <c r="G11692" t="s" s="11">
        <v>73</v>
      </c>
      <c r="H11692" t="s" s="10">
        <v>73</v>
      </c>
      <c r="I11692" t="s" s="11">
        <v>73</v>
      </c>
      <c r="J11692" t="s" s="11">
        <v>20</v>
      </c>
      <c r="K11692" s="15"/>
      <c r="L11692" t="s" s="16">
        <f>HYPERLINK("http://csr.bu.edu/ftp/asl/asllvd/demos/verify_start_end_handshape_annotations//test_auto_move//signs_mov_separ_signers/Brady_15255.mov","MOV")</f>
        <v>21</v>
      </c>
      <c r="M11692" t="s" s="10">
        <v>60</v>
      </c>
      <c r="N11692" s="17">
        <v>49</v>
      </c>
      <c r="O11692" s="18">
        <v>620</v>
      </c>
      <c r="P11692" s="18">
        <v>646</v>
      </c>
      <c r="Q11692" s="15"/>
      <c r="R11692" t="s" s="16">
        <f>HYPERLINK("http://secrets.rutgers.edu:8080/data/asl-ftp/asllvd/demos/verify_start_end_handshape_annotations//test_auto_move//signs_mov_separ_signers/Brady_15255.mov","MOV")</f>
        <v>21</v>
      </c>
    </row>
    <row r="11693" s="2" customFormat="1" ht="13.5" customHeight="1">
      <c r="B11693" t="s" s="8">
        <v>4386</v>
      </c>
      <c r="C11693" t="s" s="9">
        <v>14</v>
      </c>
      <c r="D11693" t="s" s="8">
        <v>14</v>
      </c>
      <c r="E11693" t="s" s="9">
        <v>14</v>
      </c>
      <c r="F11693" t="s" s="10">
        <v>14</v>
      </c>
      <c r="G11693" t="s" s="11">
        <v>14</v>
      </c>
      <c r="H11693" t="s" s="10">
        <v>14</v>
      </c>
      <c r="I11693" t="s" s="11">
        <v>14</v>
      </c>
      <c r="J11693" t="s" s="11">
        <v>14</v>
      </c>
      <c r="K11693" t="s" s="12">
        <v>14</v>
      </c>
      <c r="L11693" t="s" s="12">
        <v>14</v>
      </c>
      <c r="M11693" t="s" s="10">
        <v>14</v>
      </c>
      <c r="N11693" t="s" s="11">
        <v>14</v>
      </c>
      <c r="O11693" t="s" s="8">
        <v>14</v>
      </c>
      <c r="P11693" t="s" s="8">
        <v>14</v>
      </c>
      <c r="Q11693" t="s" s="12">
        <v>14</v>
      </c>
      <c r="R11693" t="s" s="12">
        <v>14</v>
      </c>
    </row>
    <row r="11694" s="2" customFormat="1" ht="13.5" customHeight="1">
      <c r="B11694" s="13"/>
      <c r="C11694" t="s" s="9">
        <v>30</v>
      </c>
      <c r="D11694" t="s" s="8">
        <v>4386</v>
      </c>
      <c r="E11694" t="s" s="9">
        <v>4386</v>
      </c>
      <c r="F11694" t="s" s="10">
        <v>28</v>
      </c>
      <c r="G11694" s="14"/>
      <c r="H11694" t="s" s="10">
        <v>28</v>
      </c>
      <c r="I11694" s="14"/>
      <c r="J11694" t="s" s="11">
        <v>20</v>
      </c>
      <c r="K11694" t="s" s="16">
        <f>HYPERLINK("http://csr.bu.edu/ftp/asl/asllvd/demos/verify_start_end_handshape_annotations//test_auto_move//signs_mov/9027.mov","MOV")</f>
        <v>21</v>
      </c>
      <c r="L11694" t="s" s="16">
        <f>HYPERLINK("http://csr.bu.edu/ftp/asl/asllvd/demos/verify_start_end_handshape_annotations//test_auto_move//signs_mov_separ_signers/Brady_9027.mov","MOV")</f>
        <v>21</v>
      </c>
      <c r="M11694" t="s" s="10">
        <v>60</v>
      </c>
      <c r="N11694" s="17">
        <v>53</v>
      </c>
      <c r="O11694" s="18">
        <v>217</v>
      </c>
      <c r="P11694" s="18">
        <v>255</v>
      </c>
      <c r="Q11694" t="s" s="16">
        <f>HYPERLINK("http://secrets.rutgers.edu:8080/data/asl-ftp/asllvd/demos/verify_start_end_handshape_annotations//test_auto_move//signs_mov/9027.mov","MOV")</f>
        <v>21</v>
      </c>
      <c r="R11694" t="s" s="16">
        <f>HYPERLINK("http://secrets.rutgers.edu:8080/data/asl-ftp/asllvd/demos/verify_start_end_handshape_annotations//test_auto_move//signs_mov_separ_signers/Brady_9027.mov","MOV")</f>
        <v>21</v>
      </c>
    </row>
    <row r="11695" s="2" customFormat="1" ht="13.5" customHeight="1">
      <c r="B11695" t="s" s="8">
        <v>4387</v>
      </c>
      <c r="C11695" t="s" s="9">
        <v>14</v>
      </c>
      <c r="D11695" t="s" s="8">
        <v>14</v>
      </c>
      <c r="E11695" t="s" s="9">
        <v>14</v>
      </c>
      <c r="F11695" t="s" s="10">
        <v>14</v>
      </c>
      <c r="G11695" t="s" s="11">
        <v>14</v>
      </c>
      <c r="H11695" t="s" s="10">
        <v>14</v>
      </c>
      <c r="I11695" t="s" s="11">
        <v>14</v>
      </c>
      <c r="J11695" t="s" s="11">
        <v>14</v>
      </c>
      <c r="K11695" t="s" s="12">
        <v>14</v>
      </c>
      <c r="L11695" t="s" s="12">
        <v>14</v>
      </c>
      <c r="M11695" t="s" s="10">
        <v>14</v>
      </c>
      <c r="N11695" t="s" s="11">
        <v>14</v>
      </c>
      <c r="O11695" t="s" s="8">
        <v>14</v>
      </c>
      <c r="P11695" t="s" s="8">
        <v>14</v>
      </c>
      <c r="Q11695" t="s" s="12">
        <v>14</v>
      </c>
      <c r="R11695" t="s" s="12">
        <v>14</v>
      </c>
    </row>
    <row r="11696" s="2" customFormat="1" ht="13.5" customHeight="1">
      <c r="B11696" s="13"/>
      <c r="C11696" t="s" s="9">
        <v>43</v>
      </c>
      <c r="D11696" t="s" s="8">
        <v>4387</v>
      </c>
      <c r="E11696" t="s" s="9">
        <v>4387</v>
      </c>
      <c r="F11696" s="19">
        <v>1</v>
      </c>
      <c r="G11696" s="14"/>
      <c r="H11696" s="19">
        <v>1</v>
      </c>
      <c r="I11696" s="14"/>
      <c r="J11696" t="s" s="11">
        <v>20</v>
      </c>
      <c r="K11696" t="s" s="16">
        <f>HYPERLINK("http://csr.bu.edu/ftp/asl/asllvd/demos/verify_start_end_handshape_annotations//test_auto_move//signs_mov/11028.mov","MOV")</f>
        <v>21</v>
      </c>
      <c r="L11696" t="s" s="16">
        <f>HYPERLINK("http://csr.bu.edu/ftp/asl/asllvd/demos/verify_start_end_handshape_annotations//test_auto_move//signs_mov_separ_signers/Dana_11028.mov","MOV")</f>
        <v>21</v>
      </c>
      <c r="M11696" t="s" s="10">
        <v>44</v>
      </c>
      <c r="N11696" s="17">
        <v>7</v>
      </c>
      <c r="O11696" s="18">
        <v>720</v>
      </c>
      <c r="P11696" s="18">
        <v>754</v>
      </c>
      <c r="Q11696" t="s" s="16">
        <f>HYPERLINK("http://secrets.rutgers.edu:8080/data/asl-ftp/asllvd/demos/verify_start_end_handshape_annotations//test_auto_move//signs_mov/11028.mov","MOV")</f>
        <v>21</v>
      </c>
      <c r="R11696" t="s" s="16">
        <f>HYPERLINK("http://secrets.rutgers.edu:8080/data/asl-ftp/asllvd/demos/verify_start_end_handshape_annotations//test_auto_move//signs_mov_separ_signers/Dana_11028.mov","MOV")</f>
        <v>21</v>
      </c>
    </row>
    <row r="11697" s="2" customFormat="1" ht="13.5" customHeight="1">
      <c r="B11697" t="s" s="8">
        <v>52</v>
      </c>
      <c r="C11697" t="s" s="9">
        <v>53</v>
      </c>
      <c r="D11697" t="s" s="8">
        <v>53</v>
      </c>
      <c r="E11697" t="s" s="9">
        <v>53</v>
      </c>
      <c r="F11697" t="s" s="10">
        <v>53</v>
      </c>
      <c r="G11697" t="s" s="11">
        <v>53</v>
      </c>
      <c r="H11697" t="s" s="10">
        <v>53</v>
      </c>
      <c r="I11697" t="s" s="11">
        <v>53</v>
      </c>
      <c r="J11697" t="s" s="11">
        <v>53</v>
      </c>
      <c r="K11697" t="s" s="12">
        <v>53</v>
      </c>
      <c r="L11697" t="s" s="12">
        <v>53</v>
      </c>
      <c r="M11697" t="s" s="10">
        <v>53</v>
      </c>
      <c r="N11697" t="s" s="11">
        <v>53</v>
      </c>
      <c r="O11697" t="s" s="8">
        <v>53</v>
      </c>
      <c r="P11697" t="s" s="8">
        <v>53</v>
      </c>
      <c r="Q11697" t="s" s="12">
        <v>53</v>
      </c>
      <c r="R11697" t="s" s="12">
        <v>53</v>
      </c>
    </row>
    <row r="11698" s="2" customFormat="1" ht="13.5" customHeight="1">
      <c r="B11698" s="13"/>
      <c r="C11698" t="s" s="9">
        <v>41</v>
      </c>
      <c r="D11698" t="s" s="8">
        <v>4387</v>
      </c>
      <c r="E11698" t="s" s="9">
        <v>4388</v>
      </c>
      <c r="F11698" t="s" s="10">
        <v>68</v>
      </c>
      <c r="G11698" s="14"/>
      <c r="H11698" s="19">
        <v>1</v>
      </c>
      <c r="I11698" s="14"/>
      <c r="J11698" t="s" s="11">
        <v>20</v>
      </c>
      <c r="K11698" t="s" s="16">
        <f>HYPERLINK("http://csr.bu.edu/ftp/asl/asllvd/demos/verify_start_end_handshape_annotations//test_auto_move//signs_mov/5451.mov","MOV")</f>
        <v>21</v>
      </c>
      <c r="L11698" t="s" s="16">
        <f>HYPERLINK("http://csr.bu.edu/ftp/asl/asllvd/demos/verify_start_end_handshape_annotations//test_auto_move//signs_mov_separ_signers/Lana_5451.mov","MOV")</f>
        <v>21</v>
      </c>
      <c r="M11698" t="s" s="10">
        <v>42</v>
      </c>
      <c r="N11698" s="17">
        <v>3</v>
      </c>
      <c r="O11698" s="18">
        <v>775</v>
      </c>
      <c r="P11698" s="18">
        <v>786</v>
      </c>
      <c r="Q11698" t="s" s="16">
        <f>HYPERLINK("http://secrets.rutgers.edu:8080/data/asl-ftp/asllvd/demos/verify_start_end_handshape_annotations//test_auto_move//signs_mov/5451.mov","MOV")</f>
        <v>21</v>
      </c>
      <c r="R11698" t="s" s="16">
        <f>HYPERLINK("http://secrets.rutgers.edu:8080/data/asl-ftp/asllvd/demos/verify_start_end_handshape_annotations//test_auto_move//signs_mov_separ_signers/Lana_5451.mov","MOV")</f>
        <v>21</v>
      </c>
    </row>
    <row r="11699" s="2" customFormat="1" ht="13.5" customHeight="1">
      <c r="B11699" t="s" s="8">
        <v>4389</v>
      </c>
      <c r="C11699" t="s" s="9">
        <v>14</v>
      </c>
      <c r="D11699" t="s" s="8">
        <v>14</v>
      </c>
      <c r="E11699" t="s" s="9">
        <v>14</v>
      </c>
      <c r="F11699" t="s" s="10">
        <v>14</v>
      </c>
      <c r="G11699" t="s" s="11">
        <v>14</v>
      </c>
      <c r="H11699" t="s" s="10">
        <v>14</v>
      </c>
      <c r="I11699" t="s" s="11">
        <v>14</v>
      </c>
      <c r="J11699" t="s" s="11">
        <v>14</v>
      </c>
      <c r="K11699" t="s" s="12">
        <v>14</v>
      </c>
      <c r="L11699" t="s" s="12">
        <v>14</v>
      </c>
      <c r="M11699" t="s" s="10">
        <v>14</v>
      </c>
      <c r="N11699" t="s" s="11">
        <v>14</v>
      </c>
      <c r="O11699" t="s" s="8">
        <v>14</v>
      </c>
      <c r="P11699" t="s" s="8">
        <v>14</v>
      </c>
      <c r="Q11699" t="s" s="12">
        <v>14</v>
      </c>
      <c r="R11699" t="s" s="12">
        <v>14</v>
      </c>
    </row>
    <row r="11700" s="2" customFormat="1" ht="13.5" customHeight="1">
      <c r="B11700" s="13"/>
      <c r="C11700" t="s" s="9">
        <v>16</v>
      </c>
      <c r="D11700" t="s" s="8">
        <v>4389</v>
      </c>
      <c r="E11700" t="s" s="9">
        <v>4389</v>
      </c>
      <c r="F11700" s="19">
        <v>1</v>
      </c>
      <c r="G11700" s="14"/>
      <c r="H11700" s="19">
        <v>1</v>
      </c>
      <c r="I11700" s="14"/>
      <c r="J11700" t="s" s="11">
        <v>20</v>
      </c>
      <c r="K11700" t="s" s="16">
        <f>HYPERLINK("http://csr.bu.edu/ftp/asl/asllvd/demos/verify_start_end_handshape_annotations//test_auto_move//signs_mov/5471.mov","MOV")</f>
        <v>21</v>
      </c>
      <c r="L11700" t="s" s="16">
        <f>HYPERLINK("http://csr.bu.edu/ftp/asl/asllvd/demos/verify_start_end_handshape_annotations//test_auto_move//signs_mov_separ_signers/Liz_5471.mov","MOV")</f>
        <v>21</v>
      </c>
      <c r="M11700" t="s" s="10">
        <v>36</v>
      </c>
      <c r="N11700" s="17">
        <v>4</v>
      </c>
      <c r="O11700" s="18">
        <v>1295</v>
      </c>
      <c r="P11700" s="18">
        <v>1335</v>
      </c>
      <c r="Q11700" t="s" s="16">
        <f>HYPERLINK("http://secrets.rutgers.edu:8080/data/asl-ftp/asllvd/demos/verify_start_end_handshape_annotations//test_auto_move//signs_mov/5471.mov","MOV")</f>
        <v>21</v>
      </c>
      <c r="R11700" t="s" s="16">
        <f>HYPERLINK("http://secrets.rutgers.edu:8080/data/asl-ftp/asllvd/demos/verify_start_end_handshape_annotations//test_auto_move//signs_mov_separ_signers/Liz_5471.mov","MOV")</f>
        <v>21</v>
      </c>
    </row>
    <row r="11701" s="2" customFormat="1" ht="13.5" customHeight="1">
      <c r="B11701" s="13"/>
      <c r="C11701" t="s" s="9">
        <v>30</v>
      </c>
      <c r="D11701" t="s" s="8">
        <v>4389</v>
      </c>
      <c r="E11701" t="s" s="9">
        <v>4389</v>
      </c>
      <c r="F11701" s="19">
        <v>1</v>
      </c>
      <c r="G11701" s="14"/>
      <c r="H11701" s="19">
        <v>1</v>
      </c>
      <c r="I11701" s="14"/>
      <c r="J11701" t="s" s="11">
        <v>20</v>
      </c>
      <c r="K11701" s="15"/>
      <c r="L11701" t="s" s="16">
        <f>HYPERLINK("http://csr.bu.edu/ftp/asl/asllvd/demos/verify_start_end_handshape_annotations//test_auto_move//signs_mov_separ_signers/Brady_5471.mov","MOV")</f>
        <v>21</v>
      </c>
      <c r="M11701" t="s" s="10">
        <v>40</v>
      </c>
      <c r="N11701" s="17">
        <v>49</v>
      </c>
      <c r="O11701" s="18">
        <v>176</v>
      </c>
      <c r="P11701" s="18">
        <v>211</v>
      </c>
      <c r="Q11701" s="15"/>
      <c r="R11701" t="s" s="16">
        <f>HYPERLINK("http://secrets.rutgers.edu:8080/data/asl-ftp/asllvd/demos/verify_start_end_handshape_annotations//test_auto_move//signs_mov_separ_signers/Brady_5471.mov","MOV")</f>
        <v>21</v>
      </c>
    </row>
    <row r="11702" s="2" customFormat="1" ht="13.5" customHeight="1">
      <c r="B11702" t="s" s="8">
        <v>4390</v>
      </c>
      <c r="C11702" t="s" s="9">
        <v>14</v>
      </c>
      <c r="D11702" t="s" s="8">
        <v>14</v>
      </c>
      <c r="E11702" t="s" s="9">
        <v>14</v>
      </c>
      <c r="F11702" t="s" s="10">
        <v>14</v>
      </c>
      <c r="G11702" t="s" s="11">
        <v>14</v>
      </c>
      <c r="H11702" t="s" s="10">
        <v>14</v>
      </c>
      <c r="I11702" t="s" s="11">
        <v>14</v>
      </c>
      <c r="J11702" t="s" s="11">
        <v>14</v>
      </c>
      <c r="K11702" t="s" s="12">
        <v>14</v>
      </c>
      <c r="L11702" t="s" s="12">
        <v>14</v>
      </c>
      <c r="M11702" t="s" s="10">
        <v>14</v>
      </c>
      <c r="N11702" t="s" s="11">
        <v>14</v>
      </c>
      <c r="O11702" t="s" s="8">
        <v>14</v>
      </c>
      <c r="P11702" t="s" s="8">
        <v>14</v>
      </c>
      <c r="Q11702" t="s" s="12">
        <v>14</v>
      </c>
      <c r="R11702" t="s" s="12">
        <v>14</v>
      </c>
    </row>
    <row r="11703" s="2" customFormat="1" ht="13.5" customHeight="1">
      <c r="B11703" s="13"/>
      <c r="C11703" t="s" s="9">
        <v>16</v>
      </c>
      <c r="D11703" t="s" s="8">
        <v>4390</v>
      </c>
      <c r="E11703" t="s" s="9">
        <v>4390</v>
      </c>
      <c r="F11703" s="19">
        <v>5</v>
      </c>
      <c r="G11703" s="17">
        <v>5</v>
      </c>
      <c r="H11703" t="s" s="10">
        <v>119</v>
      </c>
      <c r="I11703" t="s" s="11">
        <v>119</v>
      </c>
      <c r="J11703" t="s" s="11">
        <v>20</v>
      </c>
      <c r="K11703" s="15"/>
      <c r="L11703" t="s" s="16">
        <f>HYPERLINK("http://csr.bu.edu/ftp/asl/asllvd/demos/verify_start_end_handshape_annotations//test_auto_move//signs_mov_separ_signers/Liz_11194.mov","MOV")</f>
        <v>21</v>
      </c>
      <c r="M11703" t="s" s="10">
        <v>34</v>
      </c>
      <c r="N11703" s="17">
        <v>23</v>
      </c>
      <c r="O11703" s="18">
        <v>1262</v>
      </c>
      <c r="P11703" s="18">
        <v>1310</v>
      </c>
      <c r="Q11703" s="15"/>
      <c r="R11703" t="s" s="16">
        <f>HYPERLINK("http://secrets.rutgers.edu:8080/data/asl-ftp/asllvd/demos/verify_start_end_handshape_annotations//test_auto_move//signs_mov_separ_signers/Liz_11194.mov","MOV")</f>
        <v>21</v>
      </c>
    </row>
    <row r="11704" s="2" customFormat="1" ht="13.5" customHeight="1">
      <c r="B11704" s="13"/>
      <c r="C11704" t="s" s="9">
        <v>23</v>
      </c>
      <c r="D11704" t="s" s="8">
        <v>4390</v>
      </c>
      <c r="E11704" t="s" s="9">
        <v>4390</v>
      </c>
      <c r="F11704" t="s" s="10">
        <v>73</v>
      </c>
      <c r="G11704" t="s" s="11">
        <v>73</v>
      </c>
      <c r="H11704" t="s" s="10">
        <v>119</v>
      </c>
      <c r="I11704" t="s" s="11">
        <v>119</v>
      </c>
      <c r="J11704" t="s" s="11">
        <v>20</v>
      </c>
      <c r="K11704" s="15"/>
      <c r="L11704" t="s" s="16">
        <f>HYPERLINK("http://csr.bu.edu/ftp/asl/asllvd/demos/verify_start_end_handshape_annotations//test_auto_move//signs_mov_separ_signers/Tyler_11194.mov","MOV")</f>
        <v>21</v>
      </c>
      <c r="M11704" t="s" s="10">
        <v>92</v>
      </c>
      <c r="N11704" s="17">
        <v>51</v>
      </c>
      <c r="O11704" s="18">
        <v>1545</v>
      </c>
      <c r="P11704" s="18">
        <v>1570</v>
      </c>
      <c r="Q11704" s="15"/>
      <c r="R11704" t="s" s="16">
        <f>HYPERLINK("http://secrets.rutgers.edu:8080/data/asl-ftp/asllvd/demos/verify_start_end_handshape_annotations//test_auto_move//signs_mov_separ_signers/Tyler_11194.mov","MOV")</f>
        <v>21</v>
      </c>
    </row>
    <row r="11705" s="2" customFormat="1" ht="13.5" customHeight="1">
      <c r="B11705" s="13"/>
      <c r="C11705" t="s" s="9">
        <v>30</v>
      </c>
      <c r="D11705" t="s" s="8">
        <v>4390</v>
      </c>
      <c r="E11705" t="s" s="9">
        <v>4390</v>
      </c>
      <c r="F11705" t="s" s="10">
        <v>73</v>
      </c>
      <c r="G11705" t="s" s="11">
        <v>73</v>
      </c>
      <c r="H11705" t="s" s="10">
        <v>119</v>
      </c>
      <c r="I11705" t="s" s="11">
        <v>119</v>
      </c>
      <c r="J11705" t="s" s="11">
        <v>20</v>
      </c>
      <c r="K11705" t="s" s="16">
        <f>HYPERLINK("http://csr.bu.edu/ftp/asl/asllvd/demos/verify_start_end_handshape_annotations//test_auto_move//signs_mov/5731_11194_merged.mov","MOV")</f>
        <v>21</v>
      </c>
      <c r="L11705" t="s" s="16">
        <f>HYPERLINK("http://csr.bu.edu/ftp/asl/asllvd/demos/verify_start_end_handshape_annotations//test_auto_move//signs_mov_separ_signers/Brady_11194.mov","MOV")</f>
        <v>21</v>
      </c>
      <c r="M11705" t="s" s="10">
        <v>39</v>
      </c>
      <c r="N11705" s="17">
        <v>35</v>
      </c>
      <c r="O11705" s="18">
        <v>1435</v>
      </c>
      <c r="P11705" s="18">
        <v>1461</v>
      </c>
      <c r="Q11705" t="s" s="16">
        <f>HYPERLINK("http://secrets.rutgers.edu:8080/data/asl-ftp/asllvd/demos/verify_start_end_handshape_annotations//test_auto_move//signs_mov/5731_11194_merged.mov","MOV")</f>
        <v>21</v>
      </c>
      <c r="R11705" t="s" s="16">
        <f>HYPERLINK("http://secrets.rutgers.edu:8080/data/asl-ftp/asllvd/demos/verify_start_end_handshape_annotations//test_auto_move//signs_mov_separ_signers/Brady_11194.mov","MOV")</f>
        <v>21</v>
      </c>
    </row>
    <row r="11706" s="2" customFormat="1" ht="13.5" customHeight="1">
      <c r="B11706" s="13"/>
      <c r="C11706" t="s" s="9">
        <v>30</v>
      </c>
      <c r="D11706" t="s" s="8">
        <v>4390</v>
      </c>
      <c r="E11706" t="s" s="9">
        <v>4390</v>
      </c>
      <c r="F11706" t="s" s="10">
        <v>73</v>
      </c>
      <c r="G11706" t="s" s="11">
        <v>73</v>
      </c>
      <c r="H11706" t="s" s="10">
        <v>119</v>
      </c>
      <c r="I11706" t="s" s="11">
        <v>119</v>
      </c>
      <c r="J11706" t="s" s="11">
        <v>20</v>
      </c>
      <c r="K11706" s="15"/>
      <c r="L11706" t="s" s="16">
        <f>HYPERLINK("http://csr.bu.edu/ftp/asl/asllvd/demos/verify_start_end_handshape_annotations//test_auto_move//signs_mov_separ_signers/Brady_5731.mov","MOV")</f>
        <v>21</v>
      </c>
      <c r="M11706" t="s" s="10">
        <v>60</v>
      </c>
      <c r="N11706" s="17">
        <v>44</v>
      </c>
      <c r="O11706" s="18">
        <v>2246</v>
      </c>
      <c r="P11706" s="18">
        <v>2274</v>
      </c>
      <c r="Q11706" s="15"/>
      <c r="R11706" t="s" s="16">
        <f>HYPERLINK("http://secrets.rutgers.edu:8080/data/asl-ftp/asllvd/demos/verify_start_end_handshape_annotations//test_auto_move//signs_mov_separ_signers/Brady_5731.mov","MOV")</f>
        <v>21</v>
      </c>
    </row>
    <row r="11707" s="2" customFormat="1" ht="13.5" customHeight="1">
      <c r="B11707" s="13"/>
      <c r="C11707" t="s" s="9">
        <v>41</v>
      </c>
      <c r="D11707" t="s" s="8">
        <v>4390</v>
      </c>
      <c r="E11707" t="s" s="9">
        <v>4390</v>
      </c>
      <c r="F11707" t="s" s="10">
        <v>73</v>
      </c>
      <c r="G11707" t="s" s="11">
        <v>73</v>
      </c>
      <c r="H11707" t="s" s="10">
        <v>119</v>
      </c>
      <c r="I11707" t="s" s="11">
        <v>119</v>
      </c>
      <c r="J11707" t="s" s="11">
        <v>20</v>
      </c>
      <c r="K11707" s="15"/>
      <c r="L11707" t="s" s="16">
        <f>HYPERLINK("http://csr.bu.edu/ftp/asl/asllvd/demos/verify_start_end_handshape_annotations//test_auto_move//signs_mov_separ_signers/Lana_11194.mov","MOV")</f>
        <v>21</v>
      </c>
      <c r="M11707" t="s" s="10">
        <v>42</v>
      </c>
      <c r="N11707" s="17">
        <v>14</v>
      </c>
      <c r="O11707" s="18">
        <v>776</v>
      </c>
      <c r="P11707" s="18">
        <v>794</v>
      </c>
      <c r="Q11707" s="15"/>
      <c r="R11707" t="s" s="16">
        <f>HYPERLINK("http://secrets.rutgers.edu:8080/data/asl-ftp/asllvd/demos/verify_start_end_handshape_annotations//test_auto_move//signs_mov_separ_signers/Lana_11194.mov","MOV")</f>
        <v>21</v>
      </c>
    </row>
    <row r="11708" s="2" customFormat="1" ht="13.5" customHeight="1">
      <c r="B11708" s="13"/>
      <c r="C11708" t="s" s="9">
        <v>43</v>
      </c>
      <c r="D11708" t="s" s="8">
        <v>4390</v>
      </c>
      <c r="E11708" t="s" s="9">
        <v>4390</v>
      </c>
      <c r="F11708" t="s" s="10">
        <v>73</v>
      </c>
      <c r="G11708" t="s" s="11">
        <v>73</v>
      </c>
      <c r="H11708" t="s" s="10">
        <v>119</v>
      </c>
      <c r="I11708" t="s" s="11">
        <v>119</v>
      </c>
      <c r="J11708" t="s" s="11">
        <v>20</v>
      </c>
      <c r="K11708" s="15"/>
      <c r="L11708" t="s" s="16">
        <f>HYPERLINK("http://csr.bu.edu/ftp/asl/asllvd/demos/verify_start_end_handshape_annotations//test_auto_move//signs_mov_separ_signers/Dana_11194.mov","MOV")</f>
        <v>21</v>
      </c>
      <c r="M11708" t="s" s="10">
        <v>44</v>
      </c>
      <c r="N11708" s="17">
        <v>17</v>
      </c>
      <c r="O11708" s="18">
        <v>1166</v>
      </c>
      <c r="P11708" s="18">
        <v>1199</v>
      </c>
      <c r="Q11708" s="15"/>
      <c r="R11708" t="s" s="16">
        <f>HYPERLINK("http://secrets.rutgers.edu:8080/data/asl-ftp/asllvd/demos/verify_start_end_handshape_annotations//test_auto_move//signs_mov_separ_signers/Dana_11194.mov","MOV")</f>
        <v>21</v>
      </c>
    </row>
    <row r="11709" s="2" customFormat="1" ht="13.5" customHeight="1">
      <c r="B11709" t="s" s="8">
        <v>52</v>
      </c>
      <c r="C11709" t="s" s="9">
        <v>53</v>
      </c>
      <c r="D11709" t="s" s="8">
        <v>53</v>
      </c>
      <c r="E11709" t="s" s="9">
        <v>53</v>
      </c>
      <c r="F11709" t="s" s="10">
        <v>53</v>
      </c>
      <c r="G11709" t="s" s="11">
        <v>53</v>
      </c>
      <c r="H11709" t="s" s="10">
        <v>53</v>
      </c>
      <c r="I11709" t="s" s="11">
        <v>53</v>
      </c>
      <c r="J11709" t="s" s="11">
        <v>53</v>
      </c>
      <c r="K11709" t="s" s="12">
        <v>53</v>
      </c>
      <c r="L11709" t="s" s="12">
        <v>53</v>
      </c>
      <c r="M11709" t="s" s="10">
        <v>53</v>
      </c>
      <c r="N11709" t="s" s="11">
        <v>53</v>
      </c>
      <c r="O11709" t="s" s="8">
        <v>53</v>
      </c>
      <c r="P11709" t="s" s="8">
        <v>53</v>
      </c>
      <c r="Q11709" t="s" s="12">
        <v>53</v>
      </c>
      <c r="R11709" t="s" s="12">
        <v>53</v>
      </c>
    </row>
    <row r="11710" s="2" customFormat="1" ht="13.5" customHeight="1">
      <c r="B11710" s="13"/>
      <c r="C11710" t="s" s="9">
        <v>27</v>
      </c>
      <c r="D11710" t="s" s="8">
        <v>4390</v>
      </c>
      <c r="E11710" t="s" s="9">
        <v>4391</v>
      </c>
      <c r="F11710" s="19">
        <v>5</v>
      </c>
      <c r="G11710" s="17">
        <v>5</v>
      </c>
      <c r="H11710" t="s" s="10">
        <v>119</v>
      </c>
      <c r="I11710" t="s" s="11">
        <v>119</v>
      </c>
      <c r="J11710" t="s" s="11">
        <v>20</v>
      </c>
      <c r="K11710" t="s" s="16">
        <f>HYPERLINK("http://csr.bu.edu/ftp/asl/asllvd/demos/verify_start_end_handshape_annotations//test_auto_move//signs_mov/15037.mov","MOV")</f>
        <v>21</v>
      </c>
      <c r="L11710" t="s" s="16">
        <f>HYPERLINK("http://csr.bu.edu/ftp/asl/asllvd/demos/verify_start_end_handshape_annotations//test_auto_move//signs_mov_separ_signers/Naomi_15037.mov","MOV")</f>
        <v>21</v>
      </c>
      <c r="M11710" t="s" s="10">
        <v>38</v>
      </c>
      <c r="N11710" s="17">
        <v>19</v>
      </c>
      <c r="O11710" s="18">
        <v>1830</v>
      </c>
      <c r="P11710" s="18">
        <v>1861</v>
      </c>
      <c r="Q11710" t="s" s="16">
        <f>HYPERLINK("http://secrets.rutgers.edu:8080/data/asl-ftp/asllvd/demos/verify_start_end_handshape_annotations//test_auto_move//signs_mov/15037.mov","MOV")</f>
        <v>21</v>
      </c>
      <c r="R11710" t="s" s="16">
        <f>HYPERLINK("http://secrets.rutgers.edu:8080/data/asl-ftp/asllvd/demos/verify_start_end_handshape_annotations//test_auto_move//signs_mov_separ_signers/Naomi_15037.mov","MOV")</f>
        <v>21</v>
      </c>
    </row>
    <row r="11711" s="2" customFormat="1" ht="13.5" customHeight="1">
      <c r="B11711" t="s" s="8">
        <v>4392</v>
      </c>
      <c r="C11711" t="s" s="9">
        <v>14</v>
      </c>
      <c r="D11711" t="s" s="8">
        <v>14</v>
      </c>
      <c r="E11711" t="s" s="9">
        <v>14</v>
      </c>
      <c r="F11711" t="s" s="10">
        <v>14</v>
      </c>
      <c r="G11711" t="s" s="11">
        <v>14</v>
      </c>
      <c r="H11711" t="s" s="10">
        <v>14</v>
      </c>
      <c r="I11711" t="s" s="11">
        <v>14</v>
      </c>
      <c r="J11711" t="s" s="11">
        <v>14</v>
      </c>
      <c r="K11711" t="s" s="12">
        <v>14</v>
      </c>
      <c r="L11711" t="s" s="12">
        <v>14</v>
      </c>
      <c r="M11711" t="s" s="10">
        <v>14</v>
      </c>
      <c r="N11711" t="s" s="11">
        <v>14</v>
      </c>
      <c r="O11711" t="s" s="8">
        <v>14</v>
      </c>
      <c r="P11711" t="s" s="8">
        <v>14</v>
      </c>
      <c r="Q11711" t="s" s="12">
        <v>14</v>
      </c>
      <c r="R11711" t="s" s="12">
        <v>14</v>
      </c>
    </row>
    <row r="11712" s="2" customFormat="1" ht="13.5" customHeight="1">
      <c r="B11712" s="13"/>
      <c r="C11712" t="s" s="9">
        <v>16</v>
      </c>
      <c r="D11712" t="s" s="8">
        <v>4392</v>
      </c>
      <c r="E11712" t="s" s="9">
        <v>4392</v>
      </c>
      <c r="F11712" t="s" s="10">
        <v>136</v>
      </c>
      <c r="G11712" s="14"/>
      <c r="H11712" t="s" s="10">
        <v>136</v>
      </c>
      <c r="I11712" s="14"/>
      <c r="J11712" t="s" s="11">
        <v>20</v>
      </c>
      <c r="K11712" s="15"/>
      <c r="L11712" t="s" s="16">
        <f>HYPERLINK("http://csr.bu.edu/ftp/asl/asllvd/demos/verify_start_end_handshape_annotations//test_auto_move//signs_mov_separ_signers/Liz_15038.mov","MOV")</f>
        <v>21</v>
      </c>
      <c r="M11712" t="s" s="10">
        <v>34</v>
      </c>
      <c r="N11712" s="17">
        <v>23</v>
      </c>
      <c r="O11712" s="18">
        <v>1465</v>
      </c>
      <c r="P11712" s="18">
        <v>1516</v>
      </c>
      <c r="Q11712" s="15"/>
      <c r="R11712" t="s" s="16">
        <f>HYPERLINK("http://secrets.rutgers.edu:8080/data/asl-ftp/asllvd/demos/verify_start_end_handshape_annotations//test_auto_move//signs_mov_separ_signers/Liz_15038.mov","MOV")</f>
        <v>21</v>
      </c>
    </row>
    <row r="11713" s="2" customFormat="1" ht="13.5" customHeight="1">
      <c r="B11713" s="13"/>
      <c r="C11713" t="s" s="9">
        <v>30</v>
      </c>
      <c r="D11713" t="s" s="8">
        <v>4392</v>
      </c>
      <c r="E11713" t="s" s="9">
        <v>4392</v>
      </c>
      <c r="F11713" t="s" s="10">
        <v>136</v>
      </c>
      <c r="G11713" s="14"/>
      <c r="H11713" t="s" s="10">
        <v>136</v>
      </c>
      <c r="I11713" s="14"/>
      <c r="J11713" t="s" s="11">
        <v>20</v>
      </c>
      <c r="K11713" t="s" s="16">
        <f>HYPERLINK("http://csr.bu.edu/ftp/asl/asllvd/demos/verify_start_end_handshape_annotations//test_auto_move//signs_mov/15038_16417_merged.mov","MOV")</f>
        <v>21</v>
      </c>
      <c r="L11713" t="s" s="16">
        <f>HYPERLINK("http://csr.bu.edu/ftp/asl/asllvd/demos/verify_start_end_handshape_annotations//test_auto_move//signs_mov_separ_signers/Brady_15038.mov","MOV")</f>
        <v>21</v>
      </c>
      <c r="M11713" t="s" s="10">
        <v>39</v>
      </c>
      <c r="N11713" s="17">
        <v>35</v>
      </c>
      <c r="O11713" s="18">
        <v>1677</v>
      </c>
      <c r="P11713" s="18">
        <v>1693</v>
      </c>
      <c r="Q11713" t="s" s="16">
        <f>HYPERLINK("http://secrets.rutgers.edu:8080/data/asl-ftp/asllvd/demos/verify_start_end_handshape_annotations//test_auto_move//signs_mov/15038_16417_merged.mov","MOV")</f>
        <v>21</v>
      </c>
      <c r="R11713" t="s" s="16">
        <f>HYPERLINK("http://secrets.rutgers.edu:8080/data/asl-ftp/asllvd/demos/verify_start_end_handshape_annotations//test_auto_move//signs_mov_separ_signers/Brady_15038.mov","MOV")</f>
        <v>21</v>
      </c>
    </row>
    <row r="11714" s="2" customFormat="1" ht="13.5" customHeight="1">
      <c r="B11714" s="13"/>
      <c r="C11714" t="s" s="9">
        <v>30</v>
      </c>
      <c r="D11714" t="s" s="8">
        <v>4392</v>
      </c>
      <c r="E11714" t="s" s="9">
        <v>4392</v>
      </c>
      <c r="F11714" t="s" s="10">
        <v>136</v>
      </c>
      <c r="G11714" s="14"/>
      <c r="H11714" t="s" s="10">
        <v>136</v>
      </c>
      <c r="I11714" s="14"/>
      <c r="J11714" t="s" s="11">
        <v>20</v>
      </c>
      <c r="K11714" s="15"/>
      <c r="L11714" t="s" s="16">
        <f>HYPERLINK("http://csr.bu.edu/ftp/asl/asllvd/demos/verify_start_end_handshape_annotations//test_auto_move//signs_mov_separ_signers/Brady_16417.mov","MOV")</f>
        <v>21</v>
      </c>
      <c r="M11714" t="s" s="10">
        <v>60</v>
      </c>
      <c r="N11714" s="17">
        <v>45</v>
      </c>
      <c r="O11714" s="18">
        <v>547</v>
      </c>
      <c r="P11714" s="18">
        <v>570</v>
      </c>
      <c r="Q11714" s="15"/>
      <c r="R11714" t="s" s="16">
        <f>HYPERLINK("http://secrets.rutgers.edu:8080/data/asl-ftp/asllvd/demos/verify_start_end_handshape_annotations//test_auto_move//signs_mov_separ_signers/Brady_16417.mov","MOV")</f>
        <v>21</v>
      </c>
    </row>
    <row r="11715" s="2" customFormat="1" ht="13.5" customHeight="1">
      <c r="B11715" t="s" s="8">
        <v>4393</v>
      </c>
      <c r="C11715" t="s" s="9">
        <v>14</v>
      </c>
      <c r="D11715" t="s" s="8">
        <v>14</v>
      </c>
      <c r="E11715" t="s" s="9">
        <v>14</v>
      </c>
      <c r="F11715" t="s" s="10">
        <v>14</v>
      </c>
      <c r="G11715" t="s" s="11">
        <v>14</v>
      </c>
      <c r="H11715" t="s" s="10">
        <v>14</v>
      </c>
      <c r="I11715" t="s" s="11">
        <v>14</v>
      </c>
      <c r="J11715" t="s" s="11">
        <v>14</v>
      </c>
      <c r="K11715" t="s" s="12">
        <v>14</v>
      </c>
      <c r="L11715" t="s" s="12">
        <v>14</v>
      </c>
      <c r="M11715" t="s" s="10">
        <v>14</v>
      </c>
      <c r="N11715" t="s" s="11">
        <v>14</v>
      </c>
      <c r="O11715" t="s" s="8">
        <v>14</v>
      </c>
      <c r="P11715" t="s" s="8">
        <v>14</v>
      </c>
      <c r="Q11715" t="s" s="12">
        <v>14</v>
      </c>
      <c r="R11715" t="s" s="12">
        <v>14</v>
      </c>
    </row>
    <row r="11716" s="2" customFormat="1" ht="13.5" customHeight="1">
      <c r="B11716" s="13"/>
      <c r="C11716" t="s" s="9">
        <v>16</v>
      </c>
      <c r="D11716" t="s" s="8">
        <v>4393</v>
      </c>
      <c r="E11716" t="s" s="9">
        <v>4393</v>
      </c>
      <c r="F11716" t="s" s="10">
        <v>150</v>
      </c>
      <c r="G11716" t="s" s="11">
        <v>150</v>
      </c>
      <c r="H11716" t="s" s="10">
        <v>150</v>
      </c>
      <c r="I11716" t="s" s="11">
        <v>150</v>
      </c>
      <c r="J11716" t="s" s="11">
        <v>20</v>
      </c>
      <c r="K11716" t="s" s="16">
        <f>HYPERLINK("http://csr.bu.edu/ftp/asl/asllvd/demos/verify_start_end_handshape_annotations//test_auto_move//signs_mov/11201.mov","MOV")</f>
        <v>21</v>
      </c>
      <c r="L11716" t="s" s="16">
        <f>HYPERLINK("http://csr.bu.edu/ftp/asl/asllvd/demos/verify_start_end_handshape_annotations//test_auto_move//signs_mov_separ_signers/Liz_11201.mov","MOV")</f>
        <v>21</v>
      </c>
      <c r="M11716" t="s" s="10">
        <v>34</v>
      </c>
      <c r="N11716" s="17">
        <v>27</v>
      </c>
      <c r="O11716" s="18">
        <v>1204</v>
      </c>
      <c r="P11716" s="18">
        <v>1232</v>
      </c>
      <c r="Q11716" t="s" s="16">
        <f>HYPERLINK("http://secrets.rutgers.edu:8080/data/asl-ftp/asllvd/demos/verify_start_end_handshape_annotations//test_auto_move//signs_mov/11201.mov","MOV")</f>
        <v>21</v>
      </c>
      <c r="R11716" t="s" s="16">
        <f>HYPERLINK("http://secrets.rutgers.edu:8080/data/asl-ftp/asllvd/demos/verify_start_end_handshape_annotations//test_auto_move//signs_mov_separ_signers/Liz_11201.mov","MOV")</f>
        <v>21</v>
      </c>
    </row>
    <row r="11717" s="2" customFormat="1" ht="13.5" customHeight="1">
      <c r="B11717" s="13"/>
      <c r="C11717" t="s" s="9">
        <v>27</v>
      </c>
      <c r="D11717" t="s" s="8">
        <v>4393</v>
      </c>
      <c r="E11717" t="s" s="9">
        <v>4393</v>
      </c>
      <c r="F11717" t="s" s="10">
        <v>150</v>
      </c>
      <c r="G11717" t="s" s="11">
        <v>150</v>
      </c>
      <c r="H11717" t="s" s="10">
        <v>150</v>
      </c>
      <c r="I11717" t="s" s="11">
        <v>150</v>
      </c>
      <c r="J11717" t="s" s="11">
        <v>20</v>
      </c>
      <c r="K11717" s="15"/>
      <c r="L11717" t="s" s="16">
        <f>HYPERLINK("http://csr.bu.edu/ftp/asl/asllvd/demos/verify_start_end_handshape_annotations//test_auto_move//signs_mov_separ_signers/Naomi_11201.mov","MOV")</f>
        <v>21</v>
      </c>
      <c r="M11717" t="s" s="10">
        <v>38</v>
      </c>
      <c r="N11717" s="17">
        <v>23</v>
      </c>
      <c r="O11717" s="18">
        <v>1325</v>
      </c>
      <c r="P11717" s="18">
        <v>1355</v>
      </c>
      <c r="Q11717" s="15"/>
      <c r="R11717" t="s" s="16">
        <f>HYPERLINK("http://secrets.rutgers.edu:8080/data/asl-ftp/asllvd/demos/verify_start_end_handshape_annotations//test_auto_move//signs_mov_separ_signers/Naomi_11201.mov","MOV")</f>
        <v>21</v>
      </c>
    </row>
    <row r="11718" s="2" customFormat="1" ht="13.5" customHeight="1">
      <c r="B11718" t="s" s="8">
        <v>4394</v>
      </c>
      <c r="C11718" t="s" s="9">
        <v>14</v>
      </c>
      <c r="D11718" t="s" s="8">
        <v>14</v>
      </c>
      <c r="E11718" t="s" s="9">
        <v>14</v>
      </c>
      <c r="F11718" t="s" s="10">
        <v>14</v>
      </c>
      <c r="G11718" t="s" s="11">
        <v>14</v>
      </c>
      <c r="H11718" t="s" s="10">
        <v>14</v>
      </c>
      <c r="I11718" t="s" s="11">
        <v>14</v>
      </c>
      <c r="J11718" t="s" s="11">
        <v>14</v>
      </c>
      <c r="K11718" t="s" s="12">
        <v>14</v>
      </c>
      <c r="L11718" t="s" s="12">
        <v>14</v>
      </c>
      <c r="M11718" t="s" s="10">
        <v>14</v>
      </c>
      <c r="N11718" t="s" s="11">
        <v>14</v>
      </c>
      <c r="O11718" t="s" s="8">
        <v>14</v>
      </c>
      <c r="P11718" t="s" s="8">
        <v>14</v>
      </c>
      <c r="Q11718" t="s" s="12">
        <v>14</v>
      </c>
      <c r="R11718" t="s" s="12">
        <v>14</v>
      </c>
    </row>
    <row r="11719" s="2" customFormat="1" ht="13.5" customHeight="1">
      <c r="B11719" s="13"/>
      <c r="C11719" t="s" s="9">
        <v>41</v>
      </c>
      <c r="D11719" t="s" s="8">
        <v>4394</v>
      </c>
      <c r="E11719" t="s" s="9">
        <v>4394</v>
      </c>
      <c r="F11719" t="s" s="10">
        <v>25</v>
      </c>
      <c r="G11719" s="14"/>
      <c r="H11719" t="s" s="10">
        <v>150</v>
      </c>
      <c r="I11719" t="s" s="11">
        <v>150</v>
      </c>
      <c r="J11719" t="s" s="11">
        <v>20</v>
      </c>
      <c r="K11719" t="s" s="16">
        <f>HYPERLINK("http://csr.bu.edu/ftp/asl/asllvd/demos/verify_start_end_handshape_annotations//test_auto_move//signs_mov/15236.mov","MOV")</f>
        <v>21</v>
      </c>
      <c r="L11719" t="s" s="16">
        <f>HYPERLINK("http://csr.bu.edu/ftp/asl/asllvd/demos/verify_start_end_handshape_annotations//test_auto_move//signs_mov_separ_signers/Lana_15236.mov","MOV")</f>
        <v>21</v>
      </c>
      <c r="M11719" t="s" s="10">
        <v>42</v>
      </c>
      <c r="N11719" s="17">
        <v>14</v>
      </c>
      <c r="O11719" s="18">
        <v>2297</v>
      </c>
      <c r="P11719" s="18">
        <v>2345</v>
      </c>
      <c r="Q11719" t="s" s="16">
        <f>HYPERLINK("http://secrets.rutgers.edu:8080/data/asl-ftp/asllvd/demos/verify_start_end_handshape_annotations//test_auto_move//signs_mov/15236.mov","MOV")</f>
        <v>21</v>
      </c>
      <c r="R11719" t="s" s="16">
        <f>HYPERLINK("http://secrets.rutgers.edu:8080/data/asl-ftp/asllvd/demos/verify_start_end_handshape_annotations//test_auto_move//signs_mov_separ_signers/Lana_15236.mov","MOV")</f>
        <v>21</v>
      </c>
    </row>
    <row r="11720" s="2" customFormat="1" ht="13.5" customHeight="1">
      <c r="B11720" s="13"/>
      <c r="C11720" t="s" s="9">
        <v>43</v>
      </c>
      <c r="D11720" t="s" s="8">
        <v>4394</v>
      </c>
      <c r="E11720" t="s" s="9">
        <v>4394</v>
      </c>
      <c r="F11720" s="19">
        <v>1</v>
      </c>
      <c r="G11720" s="14"/>
      <c r="H11720" t="s" s="10">
        <v>150</v>
      </c>
      <c r="I11720" t="s" s="11">
        <v>150</v>
      </c>
      <c r="J11720" t="s" s="11">
        <v>20</v>
      </c>
      <c r="K11720" s="15"/>
      <c r="L11720" t="s" s="16">
        <f>HYPERLINK("http://csr.bu.edu/ftp/asl/asllvd/demos/verify_start_end_handshape_annotations//test_auto_move//signs_mov_separ_signers/Dana_15236.mov","MOV")</f>
        <v>21</v>
      </c>
      <c r="M11720" t="s" s="10">
        <v>44</v>
      </c>
      <c r="N11720" s="17">
        <v>17</v>
      </c>
      <c r="O11720" s="18">
        <v>2613</v>
      </c>
      <c r="P11720" s="18">
        <v>2668</v>
      </c>
      <c r="Q11720" s="15"/>
      <c r="R11720" t="s" s="16">
        <f>HYPERLINK("http://secrets.rutgers.edu:8080/data/asl-ftp/asllvd/demos/verify_start_end_handshape_annotations//test_auto_move//signs_mov_separ_signers/Dana_15236.mov","MOV")</f>
        <v>21</v>
      </c>
    </row>
    <row r="11721" s="2" customFormat="1" ht="13.5" customHeight="1">
      <c r="B11721" t="s" s="8">
        <v>4395</v>
      </c>
      <c r="C11721" t="s" s="9">
        <v>14</v>
      </c>
      <c r="D11721" t="s" s="8">
        <v>14</v>
      </c>
      <c r="E11721" t="s" s="9">
        <v>14</v>
      </c>
      <c r="F11721" t="s" s="10">
        <v>14</v>
      </c>
      <c r="G11721" t="s" s="11">
        <v>14</v>
      </c>
      <c r="H11721" t="s" s="10">
        <v>14</v>
      </c>
      <c r="I11721" t="s" s="11">
        <v>14</v>
      </c>
      <c r="J11721" t="s" s="11">
        <v>14</v>
      </c>
      <c r="K11721" t="s" s="12">
        <v>14</v>
      </c>
      <c r="L11721" t="s" s="12">
        <v>14</v>
      </c>
      <c r="M11721" t="s" s="10">
        <v>14</v>
      </c>
      <c r="N11721" t="s" s="11">
        <v>14</v>
      </c>
      <c r="O11721" t="s" s="8">
        <v>14</v>
      </c>
      <c r="P11721" t="s" s="8">
        <v>14</v>
      </c>
      <c r="Q11721" t="s" s="12">
        <v>14</v>
      </c>
      <c r="R11721" t="s" s="12">
        <v>14</v>
      </c>
    </row>
    <row r="11722" s="2" customFormat="1" ht="13.5" customHeight="1">
      <c r="B11722" s="13"/>
      <c r="C11722" t="s" s="9">
        <v>41</v>
      </c>
      <c r="D11722" t="s" s="8">
        <v>4395</v>
      </c>
      <c r="E11722" t="s" s="9">
        <v>4396</v>
      </c>
      <c r="F11722" t="s" s="10">
        <v>55</v>
      </c>
      <c r="G11722" s="17">
        <v>1</v>
      </c>
      <c r="H11722" t="s" s="10">
        <v>55</v>
      </c>
      <c r="I11722" s="17">
        <v>1</v>
      </c>
      <c r="J11722" t="s" s="11">
        <v>20</v>
      </c>
      <c r="K11722" t="s" s="16">
        <f>HYPERLINK("http://csr.bu.edu/ftp/asl/asllvd/demos/verify_start_end_handshape_annotations//test_auto_move//signs_mov/11241.mov","MOV")</f>
        <v>21</v>
      </c>
      <c r="L11722" t="s" s="16">
        <f>HYPERLINK("http://csr.bu.edu/ftp/asl/asllvd/demos/verify_start_end_handshape_annotations//test_auto_move//signs_mov_separ_signers/Lana_11241.mov","MOV")</f>
        <v>21</v>
      </c>
      <c r="M11722" t="s" s="10">
        <v>42</v>
      </c>
      <c r="N11722" s="17">
        <v>11</v>
      </c>
      <c r="O11722" s="18">
        <v>1563</v>
      </c>
      <c r="P11722" s="18">
        <v>1602</v>
      </c>
      <c r="Q11722" t="s" s="16">
        <f>HYPERLINK("http://secrets.rutgers.edu:8080/data/asl-ftp/asllvd/demos/verify_start_end_handshape_annotations//test_auto_move//signs_mov/11241.mov","MOV")</f>
        <v>21</v>
      </c>
      <c r="R11722" t="s" s="16">
        <f>HYPERLINK("http://secrets.rutgers.edu:8080/data/asl-ftp/asllvd/demos/verify_start_end_handshape_annotations//test_auto_move//signs_mov_separ_signers/Lana_11241.mov","MOV")</f>
        <v>21</v>
      </c>
    </row>
    <row r="11723" s="2" customFormat="1" ht="13.5" customHeight="1">
      <c r="B11723" t="s" s="8">
        <v>4397</v>
      </c>
      <c r="C11723" t="s" s="9">
        <v>14</v>
      </c>
      <c r="D11723" t="s" s="8">
        <v>14</v>
      </c>
      <c r="E11723" t="s" s="9">
        <v>14</v>
      </c>
      <c r="F11723" t="s" s="10">
        <v>14</v>
      </c>
      <c r="G11723" t="s" s="11">
        <v>14</v>
      </c>
      <c r="H11723" t="s" s="10">
        <v>14</v>
      </c>
      <c r="I11723" t="s" s="11">
        <v>14</v>
      </c>
      <c r="J11723" t="s" s="11">
        <v>14</v>
      </c>
      <c r="K11723" t="s" s="12">
        <v>14</v>
      </c>
      <c r="L11723" t="s" s="12">
        <v>14</v>
      </c>
      <c r="M11723" t="s" s="10">
        <v>14</v>
      </c>
      <c r="N11723" t="s" s="11">
        <v>14</v>
      </c>
      <c r="O11723" t="s" s="8">
        <v>14</v>
      </c>
      <c r="P11723" t="s" s="8">
        <v>14</v>
      </c>
      <c r="Q11723" t="s" s="12">
        <v>14</v>
      </c>
      <c r="R11723" t="s" s="12">
        <v>14</v>
      </c>
    </row>
    <row r="11724" s="2" customFormat="1" ht="13.5" customHeight="1">
      <c r="B11724" s="13"/>
      <c r="C11724" t="s" s="9">
        <v>23</v>
      </c>
      <c r="D11724" t="s" s="8">
        <v>4397</v>
      </c>
      <c r="E11724" t="s" s="9">
        <v>4397</v>
      </c>
      <c r="F11724" t="s" s="10">
        <v>73</v>
      </c>
      <c r="G11724" s="14"/>
      <c r="H11724" t="s" s="10">
        <v>80</v>
      </c>
      <c r="I11724" s="14"/>
      <c r="J11724" t="s" s="11">
        <v>20</v>
      </c>
      <c r="K11724" t="s" s="16">
        <f>HYPERLINK("http://csr.bu.edu/ftp/asl/asllvd/demos/verify_start_end_handshape_annotations//test_auto_move//signs_mov/11250.mov","MOV")</f>
        <v>21</v>
      </c>
      <c r="L11724" t="s" s="16">
        <f>HYPERLINK("http://csr.bu.edu/ftp/asl/asllvd/demos/verify_start_end_handshape_annotations//test_auto_move//signs_mov_separ_signers/Tyler_11250.mov","MOV")</f>
        <v>21</v>
      </c>
      <c r="M11724" t="s" s="10">
        <v>37</v>
      </c>
      <c r="N11724" s="17">
        <v>17</v>
      </c>
      <c r="O11724" s="18">
        <v>1255</v>
      </c>
      <c r="P11724" s="18">
        <v>1275</v>
      </c>
      <c r="Q11724" t="s" s="16">
        <f>HYPERLINK("http://secrets.rutgers.edu:8080/data/asl-ftp/asllvd/demos/verify_start_end_handshape_annotations//test_auto_move//signs_mov/11250.mov","MOV")</f>
        <v>21</v>
      </c>
      <c r="R11724" t="s" s="16">
        <f>HYPERLINK("http://secrets.rutgers.edu:8080/data/asl-ftp/asllvd/demos/verify_start_end_handshape_annotations//test_auto_move//signs_mov_separ_signers/Tyler_11250.mov","MOV")</f>
        <v>21</v>
      </c>
    </row>
    <row r="11725" s="2" customFormat="1" ht="13.5" customHeight="1">
      <c r="B11725" s="13"/>
      <c r="C11725" t="s" s="9">
        <v>41</v>
      </c>
      <c r="D11725" t="s" s="8">
        <v>4397</v>
      </c>
      <c r="E11725" t="s" s="9">
        <v>4397</v>
      </c>
      <c r="F11725" t="s" s="10">
        <v>73</v>
      </c>
      <c r="G11725" s="14"/>
      <c r="H11725" t="s" s="10">
        <v>73</v>
      </c>
      <c r="I11725" s="14"/>
      <c r="J11725" t="s" s="11">
        <v>20</v>
      </c>
      <c r="K11725" s="15"/>
      <c r="L11725" t="s" s="16">
        <f>HYPERLINK("http://csr.bu.edu/ftp/asl/asllvd/demos/verify_start_end_handshape_annotations//test_auto_move//signs_mov_separ_signers/Lana_11250.mov","MOV")</f>
        <v>21</v>
      </c>
      <c r="M11725" t="s" s="10">
        <v>42</v>
      </c>
      <c r="N11725" s="17">
        <v>16</v>
      </c>
      <c r="O11725" s="18">
        <v>642</v>
      </c>
      <c r="P11725" s="18">
        <v>661</v>
      </c>
      <c r="Q11725" s="15"/>
      <c r="R11725" t="s" s="16">
        <f>HYPERLINK("http://secrets.rutgers.edu:8080/data/asl-ftp/asllvd/demos/verify_start_end_handshape_annotations//test_auto_move//signs_mov_separ_signers/Lana_11250.mov","MOV")</f>
        <v>21</v>
      </c>
    </row>
    <row r="11726" s="2" customFormat="1" ht="13.5" customHeight="1">
      <c r="B11726" t="s" s="8">
        <v>4398</v>
      </c>
      <c r="C11726" t="s" s="9">
        <v>14</v>
      </c>
      <c r="D11726" t="s" s="8">
        <v>14</v>
      </c>
      <c r="E11726" t="s" s="9">
        <v>14</v>
      </c>
      <c r="F11726" t="s" s="10">
        <v>14</v>
      </c>
      <c r="G11726" t="s" s="11">
        <v>14</v>
      </c>
      <c r="H11726" t="s" s="10">
        <v>14</v>
      </c>
      <c r="I11726" t="s" s="11">
        <v>14</v>
      </c>
      <c r="J11726" t="s" s="11">
        <v>14</v>
      </c>
      <c r="K11726" t="s" s="12">
        <v>14</v>
      </c>
      <c r="L11726" t="s" s="12">
        <v>14</v>
      </c>
      <c r="M11726" t="s" s="10">
        <v>14</v>
      </c>
      <c r="N11726" t="s" s="11">
        <v>14</v>
      </c>
      <c r="O11726" t="s" s="8">
        <v>14</v>
      </c>
      <c r="P11726" t="s" s="8">
        <v>14</v>
      </c>
      <c r="Q11726" t="s" s="12">
        <v>14</v>
      </c>
      <c r="R11726" t="s" s="12">
        <v>14</v>
      </c>
    </row>
    <row r="11727" s="2" customFormat="1" ht="13.5" customHeight="1">
      <c r="B11727" s="13"/>
      <c r="C11727" t="s" s="9">
        <v>16</v>
      </c>
      <c r="D11727" t="s" s="8">
        <v>4398</v>
      </c>
      <c r="E11727" t="s" s="9">
        <v>4399</v>
      </c>
      <c r="F11727" t="s" s="10">
        <v>73</v>
      </c>
      <c r="G11727" s="14"/>
      <c r="H11727" t="s" s="10">
        <v>73</v>
      </c>
      <c r="I11727" s="14"/>
      <c r="J11727" t="s" s="11">
        <v>20</v>
      </c>
      <c r="K11727" s="15"/>
      <c r="L11727" t="s" s="16">
        <f>HYPERLINK("http://csr.bu.edu/ftp/asl/asllvd/demos/verify_start_end_handshape_annotations//test_auto_move//signs_mov_separ_signers/Liz_15310.mov","MOV")</f>
        <v>21</v>
      </c>
      <c r="M11727" t="s" s="10">
        <v>34</v>
      </c>
      <c r="N11727" s="17">
        <v>44</v>
      </c>
      <c r="O11727" s="18">
        <v>1100</v>
      </c>
      <c r="P11727" s="18">
        <v>1135</v>
      </c>
      <c r="Q11727" s="15"/>
      <c r="R11727" t="s" s="16">
        <f>HYPERLINK("http://secrets.rutgers.edu:8080/data/asl-ftp/asllvd/demos/verify_start_end_handshape_annotations//test_auto_move//signs_mov_separ_signers/Liz_15310.mov","MOV")</f>
        <v>21</v>
      </c>
    </row>
    <row r="11728" s="2" customFormat="1" ht="13.5" customHeight="1">
      <c r="B11728" s="13"/>
      <c r="C11728" t="s" s="9">
        <v>16</v>
      </c>
      <c r="D11728" t="s" s="8">
        <v>4398</v>
      </c>
      <c r="E11728" t="s" s="9">
        <v>4400</v>
      </c>
      <c r="F11728" t="s" s="10">
        <v>73</v>
      </c>
      <c r="G11728" s="14"/>
      <c r="H11728" t="s" s="10">
        <v>73</v>
      </c>
      <c r="I11728" s="14"/>
      <c r="J11728" t="s" s="11">
        <v>20</v>
      </c>
      <c r="K11728" s="15"/>
      <c r="L11728" t="s" s="16">
        <f>HYPERLINK("http://csr.bu.edu/ftp/asl/asllvd/demos/verify_start_end_handshape_annotations//test_auto_move//signs_mov_separ_signers/Liz_15351.mov","MOV")</f>
        <v>21</v>
      </c>
      <c r="M11728" t="s" s="10">
        <v>88</v>
      </c>
      <c r="N11728" s="17">
        <v>21</v>
      </c>
      <c r="O11728" s="18">
        <v>1362</v>
      </c>
      <c r="P11728" s="18">
        <v>1411</v>
      </c>
      <c r="Q11728" s="15"/>
      <c r="R11728" t="s" s="16">
        <f>HYPERLINK("http://secrets.rutgers.edu:8080/data/asl-ftp/asllvd/demos/verify_start_end_handshape_annotations//test_auto_move//signs_mov_separ_signers/Liz_15351.mov","MOV")</f>
        <v>21</v>
      </c>
    </row>
    <row r="11729" s="2" customFormat="1" ht="13.5" customHeight="1">
      <c r="B11729" s="13"/>
      <c r="C11729" t="s" s="9">
        <v>27</v>
      </c>
      <c r="D11729" t="s" s="8">
        <v>4398</v>
      </c>
      <c r="E11729" t="s" s="9">
        <v>4401</v>
      </c>
      <c r="F11729" t="s" s="10">
        <v>73</v>
      </c>
      <c r="G11729" s="14"/>
      <c r="H11729" t="s" s="10">
        <v>73</v>
      </c>
      <c r="I11729" s="14"/>
      <c r="J11729" t="s" s="11">
        <v>20</v>
      </c>
      <c r="K11729" s="15"/>
      <c r="L11729" t="s" s="16">
        <f>HYPERLINK("http://csr.bu.edu/ftp/asl/asllvd/demos/verify_start_end_handshape_annotations//test_auto_move//signs_mov_separ_signers/Naomi_15310.mov","MOV")</f>
        <v>21</v>
      </c>
      <c r="M11729" t="s" s="10">
        <v>38</v>
      </c>
      <c r="N11729" s="17">
        <v>37</v>
      </c>
      <c r="O11729" s="18">
        <v>3280</v>
      </c>
      <c r="P11729" s="18">
        <v>3343</v>
      </c>
      <c r="Q11729" s="15"/>
      <c r="R11729" t="s" s="16">
        <f>HYPERLINK("http://secrets.rutgers.edu:8080/data/asl-ftp/asllvd/demos/verify_start_end_handshape_annotations//test_auto_move//signs_mov_separ_signers/Naomi_15310.mov","MOV")</f>
        <v>21</v>
      </c>
    </row>
    <row r="11730" s="2" customFormat="1" ht="13.5" customHeight="1">
      <c r="B11730" s="13"/>
      <c r="C11730" t="s" s="9">
        <v>30</v>
      </c>
      <c r="D11730" t="s" s="8">
        <v>4398</v>
      </c>
      <c r="E11730" t="s" s="9">
        <v>4399</v>
      </c>
      <c r="F11730" t="s" s="10">
        <v>73</v>
      </c>
      <c r="G11730" s="14"/>
      <c r="H11730" t="s" s="10">
        <v>73</v>
      </c>
      <c r="I11730" s="14"/>
      <c r="J11730" t="s" s="11">
        <v>20</v>
      </c>
      <c r="K11730" t="s" s="16">
        <f>HYPERLINK("http://csr.bu.edu/ftp/asl/asllvd/demos/verify_start_end_handshape_annotations//test_auto_move//signs_mov/15310_15351_merged.mov","MOV")</f>
        <v>21</v>
      </c>
      <c r="L11730" t="s" s="16">
        <f>HYPERLINK("http://csr.bu.edu/ftp/asl/asllvd/demos/verify_start_end_handshape_annotations//test_auto_move//signs_mov_separ_signers/Brady_15310.mov","MOV")</f>
        <v>21</v>
      </c>
      <c r="M11730" t="s" s="10">
        <v>39</v>
      </c>
      <c r="N11730" s="17">
        <v>47</v>
      </c>
      <c r="O11730" s="18">
        <v>940</v>
      </c>
      <c r="P11730" s="18">
        <v>979</v>
      </c>
      <c r="Q11730" t="s" s="16">
        <f>HYPERLINK("http://secrets.rutgers.edu:8080/data/asl-ftp/asllvd/demos/verify_start_end_handshape_annotations//test_auto_move//signs_mov/15310_15351_merged.mov","MOV")</f>
        <v>21</v>
      </c>
      <c r="R11730" t="s" s="16">
        <f>HYPERLINK("http://secrets.rutgers.edu:8080/data/asl-ftp/asllvd/demos/verify_start_end_handshape_annotations//test_auto_move//signs_mov_separ_signers/Brady_15310.mov","MOV")</f>
        <v>21</v>
      </c>
    </row>
    <row r="11731" s="2" customFormat="1" ht="13.5" customHeight="1">
      <c r="B11731" s="13"/>
      <c r="C11731" t="s" s="9">
        <v>41</v>
      </c>
      <c r="D11731" t="s" s="8">
        <v>4398</v>
      </c>
      <c r="E11731" t="s" s="9">
        <v>4399</v>
      </c>
      <c r="F11731" t="s" s="10">
        <v>73</v>
      </c>
      <c r="G11731" s="14"/>
      <c r="H11731" t="s" s="10">
        <v>73</v>
      </c>
      <c r="I11731" s="14"/>
      <c r="J11731" t="s" s="11">
        <v>20</v>
      </c>
      <c r="K11731" s="15"/>
      <c r="L11731" t="s" s="16">
        <f>HYPERLINK("http://csr.bu.edu/ftp/asl/asllvd/demos/verify_start_end_handshape_annotations//test_auto_move//signs_mov_separ_signers/Lana_15310.mov","MOV")</f>
        <v>21</v>
      </c>
      <c r="M11731" t="s" s="10">
        <v>42</v>
      </c>
      <c r="N11731" s="17">
        <v>20</v>
      </c>
      <c r="O11731" s="18">
        <v>376</v>
      </c>
      <c r="P11731" s="18">
        <v>408</v>
      </c>
      <c r="Q11731" s="15"/>
      <c r="R11731" t="s" s="16">
        <f>HYPERLINK("http://secrets.rutgers.edu:8080/data/asl-ftp/asllvd/demos/verify_start_end_handshape_annotations//test_auto_move//signs_mov_separ_signers/Lana_15310.mov","MOV")</f>
        <v>21</v>
      </c>
    </row>
    <row r="11732" s="2" customFormat="1" ht="13.5" customHeight="1">
      <c r="B11732" s="13"/>
      <c r="C11732" t="s" s="9">
        <v>43</v>
      </c>
      <c r="D11732" t="s" s="8">
        <v>4398</v>
      </c>
      <c r="E11732" t="s" s="9">
        <v>4399</v>
      </c>
      <c r="F11732" t="s" s="10">
        <v>73</v>
      </c>
      <c r="G11732" s="14"/>
      <c r="H11732" t="s" s="10">
        <v>73</v>
      </c>
      <c r="I11732" s="14"/>
      <c r="J11732" t="s" s="11">
        <v>20</v>
      </c>
      <c r="K11732" s="15"/>
      <c r="L11732" t="s" s="16">
        <f>HYPERLINK("http://csr.bu.edu/ftp/asl/asllvd/demos/verify_start_end_handshape_annotations//test_auto_move//signs_mov_separ_signers/Dana_15310.mov","MOV")</f>
        <v>21</v>
      </c>
      <c r="M11732" t="s" s="10">
        <v>44</v>
      </c>
      <c r="N11732" s="17">
        <v>19</v>
      </c>
      <c r="O11732" s="18">
        <v>570</v>
      </c>
      <c r="P11732" s="18">
        <v>632</v>
      </c>
      <c r="Q11732" s="15"/>
      <c r="R11732" t="s" s="16">
        <f>HYPERLINK("http://secrets.rutgers.edu:8080/data/asl-ftp/asllvd/demos/verify_start_end_handshape_annotations//test_auto_move//signs_mov_separ_signers/Dana_15310.mov","MOV")</f>
        <v>21</v>
      </c>
    </row>
    <row r="11733" s="2" customFormat="1" ht="13.5" customHeight="1">
      <c r="B11733" s="13"/>
      <c r="C11733" t="s" s="9">
        <v>43</v>
      </c>
      <c r="D11733" t="s" s="8">
        <v>4398</v>
      </c>
      <c r="E11733" t="s" s="9">
        <v>4399</v>
      </c>
      <c r="F11733" t="s" s="10">
        <v>73</v>
      </c>
      <c r="G11733" s="14"/>
      <c r="H11733" t="s" s="10">
        <v>73</v>
      </c>
      <c r="I11733" s="14"/>
      <c r="J11733" t="s" s="11">
        <v>20</v>
      </c>
      <c r="K11733" s="15"/>
      <c r="L11733" t="s" s="16">
        <f>HYPERLINK("http://csr.bu.edu/ftp/asl/asllvd/demos/verify_start_end_handshape_annotations//test_auto_move//signs_mov_separ_signers/Dana_15351.mov","MOV")</f>
        <v>21</v>
      </c>
      <c r="M11733" t="s" s="10">
        <v>44</v>
      </c>
      <c r="N11733" s="17">
        <v>22</v>
      </c>
      <c r="O11733" s="18">
        <v>300</v>
      </c>
      <c r="P11733" s="18">
        <v>349</v>
      </c>
      <c r="Q11733" s="15"/>
      <c r="R11733" t="s" s="16">
        <f>HYPERLINK("http://secrets.rutgers.edu:8080/data/asl-ftp/asllvd/demos/verify_start_end_handshape_annotations//test_auto_move//signs_mov_separ_signers/Dana_15351.mov","MOV")</f>
        <v>21</v>
      </c>
    </row>
    <row r="11734" s="2" customFormat="1" ht="13.5" customHeight="1">
      <c r="B11734" t="s" s="8">
        <v>4402</v>
      </c>
      <c r="C11734" t="s" s="9">
        <v>14</v>
      </c>
      <c r="D11734" t="s" s="8">
        <v>14</v>
      </c>
      <c r="E11734" t="s" s="9">
        <v>14</v>
      </c>
      <c r="F11734" t="s" s="10">
        <v>14</v>
      </c>
      <c r="G11734" t="s" s="11">
        <v>14</v>
      </c>
      <c r="H11734" t="s" s="10">
        <v>14</v>
      </c>
      <c r="I11734" t="s" s="11">
        <v>14</v>
      </c>
      <c r="J11734" t="s" s="11">
        <v>14</v>
      </c>
      <c r="K11734" t="s" s="12">
        <v>14</v>
      </c>
      <c r="L11734" t="s" s="12">
        <v>14</v>
      </c>
      <c r="M11734" t="s" s="10">
        <v>14</v>
      </c>
      <c r="N11734" t="s" s="11">
        <v>14</v>
      </c>
      <c r="O11734" t="s" s="8">
        <v>14</v>
      </c>
      <c r="P11734" t="s" s="8">
        <v>14</v>
      </c>
      <c r="Q11734" t="s" s="12">
        <v>14</v>
      </c>
      <c r="R11734" t="s" s="12">
        <v>14</v>
      </c>
    </row>
    <row r="11735" s="2" customFormat="1" ht="13.5" customHeight="1">
      <c r="B11735" s="13"/>
      <c r="C11735" t="s" s="9">
        <v>43</v>
      </c>
      <c r="D11735" t="s" s="8">
        <v>4402</v>
      </c>
      <c r="E11735" t="s" s="9">
        <v>4402</v>
      </c>
      <c r="F11735" t="s" s="10">
        <v>63</v>
      </c>
      <c r="G11735" t="s" s="11">
        <v>260</v>
      </c>
      <c r="H11735" t="s" s="10">
        <v>63</v>
      </c>
      <c r="I11735" t="s" s="11">
        <v>260</v>
      </c>
      <c r="J11735" t="s" s="11">
        <v>20</v>
      </c>
      <c r="K11735" t="s" s="16">
        <f>HYPERLINK("http://csr.bu.edu/ftp/asl/asllvd/demos/verify_start_end_handshape_annotations//test_auto_move//signs_mov/11262.mov","MOV")</f>
        <v>21</v>
      </c>
      <c r="L11735" t="s" s="16">
        <f>HYPERLINK("http://csr.bu.edu/ftp/asl/asllvd/demos/verify_start_end_handshape_annotations//test_auto_move//signs_mov_separ_signers/Dana_11262.mov","MOV")</f>
        <v>21</v>
      </c>
      <c r="M11735" t="s" s="10">
        <v>44</v>
      </c>
      <c r="N11735" s="17">
        <v>16</v>
      </c>
      <c r="O11735" s="18">
        <v>2786</v>
      </c>
      <c r="P11735" s="18">
        <v>2827</v>
      </c>
      <c r="Q11735" t="s" s="16">
        <f>HYPERLINK("http://secrets.rutgers.edu:8080/data/asl-ftp/asllvd/demos/verify_start_end_handshape_annotations//test_auto_move//signs_mov/11262.mov","MOV")</f>
        <v>21</v>
      </c>
      <c r="R11735" t="s" s="16">
        <f>HYPERLINK("http://secrets.rutgers.edu:8080/data/asl-ftp/asllvd/demos/verify_start_end_handshape_annotations//test_auto_move//signs_mov_separ_signers/Dana_11262.mov","MOV")</f>
        <v>21</v>
      </c>
    </row>
    <row r="11736" s="2" customFormat="1" ht="13.5" customHeight="1">
      <c r="B11736" t="s" s="8">
        <v>4403</v>
      </c>
      <c r="C11736" t="s" s="9">
        <v>14</v>
      </c>
      <c r="D11736" t="s" s="8">
        <v>14</v>
      </c>
      <c r="E11736" t="s" s="9">
        <v>14</v>
      </c>
      <c r="F11736" t="s" s="10">
        <v>14</v>
      </c>
      <c r="G11736" t="s" s="11">
        <v>14</v>
      </c>
      <c r="H11736" t="s" s="10">
        <v>14</v>
      </c>
      <c r="I11736" t="s" s="11">
        <v>14</v>
      </c>
      <c r="J11736" t="s" s="11">
        <v>14</v>
      </c>
      <c r="K11736" t="s" s="12">
        <v>14</v>
      </c>
      <c r="L11736" t="s" s="12">
        <v>14</v>
      </c>
      <c r="M11736" t="s" s="10">
        <v>14</v>
      </c>
      <c r="N11736" t="s" s="11">
        <v>14</v>
      </c>
      <c r="O11736" t="s" s="8">
        <v>14</v>
      </c>
      <c r="P11736" t="s" s="8">
        <v>14</v>
      </c>
      <c r="Q11736" t="s" s="12">
        <v>14</v>
      </c>
      <c r="R11736" t="s" s="12">
        <v>14</v>
      </c>
    </row>
    <row r="11737" s="2" customFormat="1" ht="13.5" customHeight="1">
      <c r="B11737" s="13"/>
      <c r="C11737" t="s" s="9">
        <v>16</v>
      </c>
      <c r="D11737" t="s" s="8">
        <v>4403</v>
      </c>
      <c r="E11737" t="s" s="9">
        <v>4404</v>
      </c>
      <c r="F11737" t="s" s="10">
        <v>63</v>
      </c>
      <c r="G11737" t="s" s="11">
        <v>150</v>
      </c>
      <c r="H11737" t="s" s="10">
        <v>63</v>
      </c>
      <c r="I11737" t="s" s="11">
        <v>150</v>
      </c>
      <c r="J11737" t="s" s="11">
        <v>20</v>
      </c>
      <c r="K11737" t="s" s="16">
        <f>HYPERLINK("http://csr.bu.edu/ftp/asl/asllvd/demos/verify_start_end_handshape_annotations//test_auto_move//signs_mov/16029.mov","MOV")</f>
        <v>21</v>
      </c>
      <c r="L11737" t="s" s="16">
        <f>HYPERLINK("http://csr.bu.edu/ftp/asl/asllvd/demos/verify_start_end_handshape_annotations//test_auto_move//signs_mov_separ_signers/Liz_16029.mov","MOV")</f>
        <v>21</v>
      </c>
      <c r="M11737" t="s" s="10">
        <v>59</v>
      </c>
      <c r="N11737" s="17">
        <v>25</v>
      </c>
      <c r="O11737" s="18">
        <v>1385</v>
      </c>
      <c r="P11737" s="18">
        <v>1420</v>
      </c>
      <c r="Q11737" t="s" s="16">
        <f>HYPERLINK("http://secrets.rutgers.edu:8080/data/asl-ftp/asllvd/demos/verify_start_end_handshape_annotations//test_auto_move//signs_mov/16029.mov","MOV")</f>
        <v>21</v>
      </c>
      <c r="R11737" t="s" s="16">
        <f>HYPERLINK("http://secrets.rutgers.edu:8080/data/asl-ftp/asllvd/demos/verify_start_end_handshape_annotations//test_auto_move//signs_mov_separ_signers/Liz_16029.mov","MOV")</f>
        <v>21</v>
      </c>
    </row>
    <row r="11738" s="2" customFormat="1" ht="13.5" customHeight="1">
      <c r="B11738" s="13"/>
      <c r="C11738" t="s" s="9">
        <v>30</v>
      </c>
      <c r="D11738" t="s" s="8">
        <v>4403</v>
      </c>
      <c r="E11738" t="s" s="9">
        <v>4405</v>
      </c>
      <c r="F11738" s="19">
        <v>10</v>
      </c>
      <c r="G11738" t="s" s="11">
        <v>85</v>
      </c>
      <c r="H11738" s="19">
        <v>10</v>
      </c>
      <c r="I11738" t="s" s="11">
        <v>85</v>
      </c>
      <c r="J11738" t="s" s="11">
        <v>20</v>
      </c>
      <c r="K11738" s="15"/>
      <c r="L11738" t="s" s="16">
        <f>HYPERLINK("http://csr.bu.edu/ftp/asl/asllvd/demos/verify_start_end_handshape_annotations//test_auto_move//signs_mov_separ_signers/Brady_16029.mov","MOV")</f>
        <v>21</v>
      </c>
      <c r="M11738" t="s" s="10">
        <v>60</v>
      </c>
      <c r="N11738" s="17">
        <v>13</v>
      </c>
      <c r="O11738" s="18">
        <v>2459</v>
      </c>
      <c r="P11738" s="18">
        <v>2503</v>
      </c>
      <c r="Q11738" s="15"/>
      <c r="R11738" t="s" s="16">
        <f>HYPERLINK("http://secrets.rutgers.edu:8080/data/asl-ftp/asllvd/demos/verify_start_end_handshape_annotations//test_auto_move//signs_mov_separ_signers/Brady_16029.mov","MOV")</f>
        <v>21</v>
      </c>
    </row>
    <row r="11739" s="2" customFormat="1" ht="13.5" customHeight="1">
      <c r="B11739" t="s" s="8">
        <v>4406</v>
      </c>
      <c r="C11739" t="s" s="9">
        <v>14</v>
      </c>
      <c r="D11739" t="s" s="8">
        <v>14</v>
      </c>
      <c r="E11739" t="s" s="9">
        <v>14</v>
      </c>
      <c r="F11739" t="s" s="10">
        <v>14</v>
      </c>
      <c r="G11739" t="s" s="11">
        <v>14</v>
      </c>
      <c r="H11739" t="s" s="10">
        <v>14</v>
      </c>
      <c r="I11739" t="s" s="11">
        <v>14</v>
      </c>
      <c r="J11739" t="s" s="11">
        <v>14</v>
      </c>
      <c r="K11739" t="s" s="12">
        <v>14</v>
      </c>
      <c r="L11739" t="s" s="12">
        <v>14</v>
      </c>
      <c r="M11739" t="s" s="10">
        <v>14</v>
      </c>
      <c r="N11739" t="s" s="11">
        <v>14</v>
      </c>
      <c r="O11739" t="s" s="8">
        <v>14</v>
      </c>
      <c r="P11739" t="s" s="8">
        <v>14</v>
      </c>
      <c r="Q11739" t="s" s="12">
        <v>14</v>
      </c>
      <c r="R11739" t="s" s="12">
        <v>14</v>
      </c>
    </row>
    <row r="11740" s="2" customFormat="1" ht="13.5" customHeight="1">
      <c r="B11740" s="13"/>
      <c r="C11740" t="s" s="9">
        <v>41</v>
      </c>
      <c r="D11740" t="s" s="8">
        <v>4406</v>
      </c>
      <c r="E11740" t="s" s="9">
        <v>4407</v>
      </c>
      <c r="F11740" s="19">
        <v>1</v>
      </c>
      <c r="G11740" s="17">
        <v>1</v>
      </c>
      <c r="H11740" s="19">
        <v>1</v>
      </c>
      <c r="I11740" s="17">
        <v>1</v>
      </c>
      <c r="J11740" t="s" s="11">
        <v>20</v>
      </c>
      <c r="K11740" t="s" s="16">
        <f>HYPERLINK("http://csr.bu.edu/ftp/asl/asllvd/demos/verify_start_end_handshape_annotations//test_auto_move//signs_mov/11388.mov","MOV")</f>
        <v>21</v>
      </c>
      <c r="L11740" t="s" s="16">
        <f>HYPERLINK("http://csr.bu.edu/ftp/asl/asllvd/demos/verify_start_end_handshape_annotations//test_auto_move//signs_mov_separ_signers/Lana_11388.mov","MOV")</f>
        <v>21</v>
      </c>
      <c r="M11740" t="s" s="10">
        <v>42</v>
      </c>
      <c r="N11740" s="17">
        <v>25</v>
      </c>
      <c r="O11740" s="18">
        <v>1146</v>
      </c>
      <c r="P11740" s="18">
        <v>1186</v>
      </c>
      <c r="Q11740" t="s" s="16">
        <f>HYPERLINK("http://secrets.rutgers.edu:8080/data/asl-ftp/asllvd/demos/verify_start_end_handshape_annotations//test_auto_move//signs_mov/11388.mov","MOV")</f>
        <v>21</v>
      </c>
      <c r="R11740" t="s" s="16">
        <f>HYPERLINK("http://secrets.rutgers.edu:8080/data/asl-ftp/asllvd/demos/verify_start_end_handshape_annotations//test_auto_move//signs_mov_separ_signers/Lana_11388.mov","MOV")</f>
        <v>21</v>
      </c>
    </row>
    <row r="11741" s="2" customFormat="1" ht="13.5" customHeight="1">
      <c r="B11741" t="s" s="8">
        <v>4408</v>
      </c>
      <c r="C11741" t="s" s="9">
        <v>14</v>
      </c>
      <c r="D11741" t="s" s="8">
        <v>14</v>
      </c>
      <c r="E11741" t="s" s="9">
        <v>14</v>
      </c>
      <c r="F11741" t="s" s="10">
        <v>14</v>
      </c>
      <c r="G11741" t="s" s="11">
        <v>14</v>
      </c>
      <c r="H11741" t="s" s="10">
        <v>14</v>
      </c>
      <c r="I11741" t="s" s="11">
        <v>14</v>
      </c>
      <c r="J11741" t="s" s="11">
        <v>14</v>
      </c>
      <c r="K11741" t="s" s="12">
        <v>14</v>
      </c>
      <c r="L11741" t="s" s="12">
        <v>14</v>
      </c>
      <c r="M11741" t="s" s="10">
        <v>14</v>
      </c>
      <c r="N11741" t="s" s="11">
        <v>14</v>
      </c>
      <c r="O11741" t="s" s="8">
        <v>14</v>
      </c>
      <c r="P11741" t="s" s="8">
        <v>14</v>
      </c>
      <c r="Q11741" t="s" s="12">
        <v>14</v>
      </c>
      <c r="R11741" t="s" s="12">
        <v>14</v>
      </c>
    </row>
    <row r="11742" s="2" customFormat="1" ht="13.5" customHeight="1">
      <c r="B11742" s="13"/>
      <c r="C11742" t="s" s="9">
        <v>43</v>
      </c>
      <c r="D11742" t="s" s="8">
        <v>4408</v>
      </c>
      <c r="E11742" t="s" s="9">
        <v>4408</v>
      </c>
      <c r="F11742" s="19">
        <v>10</v>
      </c>
      <c r="G11742" t="s" s="11">
        <v>68</v>
      </c>
      <c r="H11742" s="19">
        <v>5</v>
      </c>
      <c r="I11742" t="s" s="11">
        <v>68</v>
      </c>
      <c r="J11742" t="s" s="11">
        <v>20</v>
      </c>
      <c r="K11742" t="s" s="16">
        <f>HYPERLINK("http://csr.bu.edu/ftp/asl/asllvd/demos/verify_start_end_handshape_annotations//test_auto_move//signs_mov/11417.mov","MOV")</f>
        <v>21</v>
      </c>
      <c r="L11742" t="s" s="16">
        <f>HYPERLINK("http://csr.bu.edu/ftp/asl/asllvd/demos/verify_start_end_handshape_annotations//test_auto_move//signs_mov_separ_signers/Dana_11417.mov","MOV")</f>
        <v>21</v>
      </c>
      <c r="M11742" t="s" s="10">
        <v>44</v>
      </c>
      <c r="N11742" s="17">
        <v>18</v>
      </c>
      <c r="O11742" s="18">
        <v>172</v>
      </c>
      <c r="P11742" s="18">
        <v>212</v>
      </c>
      <c r="Q11742" t="s" s="16">
        <f>HYPERLINK("http://secrets.rutgers.edu:8080/data/asl-ftp/asllvd/demos/verify_start_end_handshape_annotations//test_auto_move//signs_mov/11417.mov","MOV")</f>
        <v>21</v>
      </c>
      <c r="R11742" t="s" s="16">
        <f>HYPERLINK("http://secrets.rutgers.edu:8080/data/asl-ftp/asllvd/demos/verify_start_end_handshape_annotations//test_auto_move//signs_mov_separ_signers/Dana_11417.mov","MOV")</f>
        <v>21</v>
      </c>
    </row>
    <row r="11743" s="2" customFormat="1" ht="13.5" customHeight="1">
      <c r="B11743" t="s" s="8">
        <v>52</v>
      </c>
      <c r="C11743" t="s" s="9">
        <v>53</v>
      </c>
      <c r="D11743" t="s" s="8">
        <v>53</v>
      </c>
      <c r="E11743" t="s" s="9">
        <v>53</v>
      </c>
      <c r="F11743" t="s" s="10">
        <v>53</v>
      </c>
      <c r="G11743" t="s" s="11">
        <v>53</v>
      </c>
      <c r="H11743" t="s" s="10">
        <v>53</v>
      </c>
      <c r="I11743" t="s" s="11">
        <v>53</v>
      </c>
      <c r="J11743" t="s" s="11">
        <v>53</v>
      </c>
      <c r="K11743" t="s" s="12">
        <v>53</v>
      </c>
      <c r="L11743" t="s" s="12">
        <v>53</v>
      </c>
      <c r="M11743" t="s" s="10">
        <v>53</v>
      </c>
      <c r="N11743" t="s" s="11">
        <v>53</v>
      </c>
      <c r="O11743" t="s" s="8">
        <v>53</v>
      </c>
      <c r="P11743" t="s" s="8">
        <v>53</v>
      </c>
      <c r="Q11743" t="s" s="12">
        <v>53</v>
      </c>
      <c r="R11743" t="s" s="12">
        <v>53</v>
      </c>
    </row>
    <row r="11744" s="2" customFormat="1" ht="13.5" customHeight="1">
      <c r="B11744" s="13"/>
      <c r="C11744" t="s" s="9">
        <v>41</v>
      </c>
      <c r="D11744" t="s" s="8">
        <v>4408</v>
      </c>
      <c r="E11744" t="s" s="9">
        <v>4409</v>
      </c>
      <c r="F11744" s="19">
        <v>5</v>
      </c>
      <c r="G11744" t="s" s="11">
        <v>68</v>
      </c>
      <c r="H11744" s="19">
        <v>5</v>
      </c>
      <c r="I11744" t="s" s="11">
        <v>68</v>
      </c>
      <c r="J11744" t="s" s="11">
        <v>20</v>
      </c>
      <c r="K11744" t="s" s="16">
        <f>HYPERLINK("http://csr.bu.edu/ftp/asl/asllvd/demos/verify_start_end_handshape_annotations//test_auto_move//signs_mov/16391.mov","MOV")</f>
        <v>21</v>
      </c>
      <c r="L11744" t="s" s="16">
        <f>HYPERLINK("http://csr.bu.edu/ftp/asl/asllvd/demos/verify_start_end_handshape_annotations//test_auto_move//signs_mov_separ_signers/Lana_16391.mov","MOV")</f>
        <v>21</v>
      </c>
      <c r="M11744" t="s" s="10">
        <v>42</v>
      </c>
      <c r="N11744" s="17">
        <v>15</v>
      </c>
      <c r="O11744" s="18">
        <v>217</v>
      </c>
      <c r="P11744" s="18">
        <v>265</v>
      </c>
      <c r="Q11744" t="s" s="16">
        <f>HYPERLINK("http://secrets.rutgers.edu:8080/data/asl-ftp/asllvd/demos/verify_start_end_handshape_annotations//test_auto_move//signs_mov/16391.mov","MOV")</f>
        <v>21</v>
      </c>
      <c r="R11744" t="s" s="16">
        <f>HYPERLINK("http://secrets.rutgers.edu:8080/data/asl-ftp/asllvd/demos/verify_start_end_handshape_annotations//test_auto_move//signs_mov_separ_signers/Lana_16391.mov","MOV")</f>
        <v>21</v>
      </c>
    </row>
    <row r="11745" s="2" customFormat="1" ht="13.5" customHeight="1">
      <c r="B11745" t="s" s="8">
        <v>4410</v>
      </c>
      <c r="C11745" t="s" s="9">
        <v>14</v>
      </c>
      <c r="D11745" t="s" s="8">
        <v>14</v>
      </c>
      <c r="E11745" t="s" s="9">
        <v>14</v>
      </c>
      <c r="F11745" t="s" s="10">
        <v>14</v>
      </c>
      <c r="G11745" t="s" s="11">
        <v>14</v>
      </c>
      <c r="H11745" t="s" s="10">
        <v>14</v>
      </c>
      <c r="I11745" t="s" s="11">
        <v>14</v>
      </c>
      <c r="J11745" t="s" s="11">
        <v>14</v>
      </c>
      <c r="K11745" t="s" s="12">
        <v>14</v>
      </c>
      <c r="L11745" t="s" s="12">
        <v>14</v>
      </c>
      <c r="M11745" t="s" s="10">
        <v>14</v>
      </c>
      <c r="N11745" t="s" s="11">
        <v>14</v>
      </c>
      <c r="O11745" t="s" s="8">
        <v>14</v>
      </c>
      <c r="P11745" t="s" s="8">
        <v>14</v>
      </c>
      <c r="Q11745" t="s" s="12">
        <v>14</v>
      </c>
      <c r="R11745" t="s" s="12">
        <v>14</v>
      </c>
    </row>
    <row r="11746" s="2" customFormat="1" ht="13.5" customHeight="1">
      <c r="B11746" s="13"/>
      <c r="C11746" t="s" s="9">
        <v>43</v>
      </c>
      <c r="D11746" t="s" s="8">
        <v>4410</v>
      </c>
      <c r="E11746" t="s" s="9">
        <v>4410</v>
      </c>
      <c r="F11746" s="19">
        <v>10</v>
      </c>
      <c r="G11746" s="14"/>
      <c r="H11746" s="19">
        <v>10</v>
      </c>
      <c r="I11746" s="14"/>
      <c r="J11746" t="s" s="11">
        <v>20</v>
      </c>
      <c r="K11746" t="s" s="16">
        <f>HYPERLINK("http://csr.bu.edu/ftp/asl/asllvd/demos/verify_start_end_handshape_annotations//test_auto_move//signs_mov/14251.mov","MOV")</f>
        <v>21</v>
      </c>
      <c r="L11746" t="s" s="16">
        <f>HYPERLINK("http://csr.bu.edu/ftp/asl/asllvd/demos/verify_start_end_handshape_annotations//test_auto_move//signs_mov_separ_signers/Dana_14251.mov","MOV")</f>
        <v>21</v>
      </c>
      <c r="M11746" t="s" s="10">
        <v>44</v>
      </c>
      <c r="N11746" s="17">
        <v>7</v>
      </c>
      <c r="O11746" s="18">
        <v>1850</v>
      </c>
      <c r="P11746" s="18">
        <v>1890</v>
      </c>
      <c r="Q11746" t="s" s="16">
        <f>HYPERLINK("http://secrets.rutgers.edu:8080/data/asl-ftp/asllvd/demos/verify_start_end_handshape_annotations//test_auto_move//signs_mov/14251.mov","MOV")</f>
        <v>21</v>
      </c>
      <c r="R11746" t="s" s="16">
        <f>HYPERLINK("http://secrets.rutgers.edu:8080/data/asl-ftp/asllvd/demos/verify_start_end_handshape_annotations//test_auto_move//signs_mov_separ_signers/Dana_14251.mov","MOV")</f>
        <v>21</v>
      </c>
    </row>
    <row r="11747" s="2" customFormat="1" ht="13.5" customHeight="1">
      <c r="B11747" t="s" s="8">
        <v>4411</v>
      </c>
      <c r="C11747" t="s" s="9">
        <v>14</v>
      </c>
      <c r="D11747" t="s" s="8">
        <v>14</v>
      </c>
      <c r="E11747" t="s" s="9">
        <v>14</v>
      </c>
      <c r="F11747" t="s" s="10">
        <v>14</v>
      </c>
      <c r="G11747" t="s" s="11">
        <v>14</v>
      </c>
      <c r="H11747" t="s" s="10">
        <v>14</v>
      </c>
      <c r="I11747" t="s" s="11">
        <v>14</v>
      </c>
      <c r="J11747" t="s" s="11">
        <v>14</v>
      </c>
      <c r="K11747" t="s" s="12">
        <v>14</v>
      </c>
      <c r="L11747" t="s" s="12">
        <v>14</v>
      </c>
      <c r="M11747" t="s" s="10">
        <v>14</v>
      </c>
      <c r="N11747" t="s" s="11">
        <v>14</v>
      </c>
      <c r="O11747" t="s" s="8">
        <v>14</v>
      </c>
      <c r="P11747" t="s" s="8">
        <v>14</v>
      </c>
      <c r="Q11747" t="s" s="12">
        <v>14</v>
      </c>
      <c r="R11747" t="s" s="12">
        <v>14</v>
      </c>
    </row>
    <row r="11748" s="2" customFormat="1" ht="13.5" customHeight="1">
      <c r="B11748" s="13"/>
      <c r="C11748" t="s" s="9">
        <v>16</v>
      </c>
      <c r="D11748" t="s" s="8">
        <v>4411</v>
      </c>
      <c r="E11748" t="s" s="9">
        <v>4411</v>
      </c>
      <c r="F11748" t="s" s="10">
        <v>73</v>
      </c>
      <c r="G11748" s="14"/>
      <c r="H11748" t="s" s="10">
        <v>80</v>
      </c>
      <c r="I11748" s="14"/>
      <c r="J11748" t="s" s="11">
        <v>20</v>
      </c>
      <c r="K11748" s="15"/>
      <c r="L11748" t="s" s="16">
        <f>HYPERLINK("http://csr.bu.edu/ftp/asl/asllvd/demos/verify_start_end_handshape_annotations//test_auto_move//signs_mov_separ_signers/Liz_1.mov","MOV")</f>
        <v>21</v>
      </c>
      <c r="M11748" t="s" s="10">
        <v>22</v>
      </c>
      <c r="N11748" s="17">
        <v>2</v>
      </c>
      <c r="O11748" s="18">
        <v>305</v>
      </c>
      <c r="P11748" s="18">
        <v>346</v>
      </c>
      <c r="Q11748" s="15"/>
      <c r="R11748" t="s" s="16">
        <f>HYPERLINK("http://secrets.rutgers.edu:8080/data/asl-ftp/asllvd/demos/verify_start_end_handshape_annotations//test_auto_move//signs_mov_separ_signers/Liz_1.mov","MOV")</f>
        <v>21</v>
      </c>
    </row>
    <row r="11749" s="2" customFormat="1" ht="13.5" customHeight="1">
      <c r="B11749" s="13"/>
      <c r="C11749" t="s" s="9">
        <v>23</v>
      </c>
      <c r="D11749" t="s" s="8">
        <v>4411</v>
      </c>
      <c r="E11749" t="s" s="9">
        <v>4411</v>
      </c>
      <c r="F11749" t="s" s="10">
        <v>73</v>
      </c>
      <c r="G11749" s="14"/>
      <c r="H11749" t="s" s="10">
        <v>80</v>
      </c>
      <c r="I11749" s="14"/>
      <c r="J11749" t="s" s="11">
        <v>20</v>
      </c>
      <c r="K11749" t="s" s="16">
        <f>HYPERLINK("http://csr.bu.edu/ftp/asl/asllvd/demos/verify_start_end_handshape_annotations//test_auto_move//signs_mov/1.mov","MOV")</f>
        <v>21</v>
      </c>
      <c r="L11749" t="s" s="16">
        <f>HYPERLINK("http://csr.bu.edu/ftp/asl/asllvd/demos/verify_start_end_handshape_annotations//test_auto_move//signs_mov_separ_signers/Tyler_1.mov","MOV")</f>
        <v>21</v>
      </c>
      <c r="M11749" t="s" s="10">
        <v>26</v>
      </c>
      <c r="N11749" s="17">
        <v>1</v>
      </c>
      <c r="O11749" s="18">
        <v>357</v>
      </c>
      <c r="P11749" s="18">
        <v>441</v>
      </c>
      <c r="Q11749" t="s" s="16">
        <f>HYPERLINK("http://secrets.rutgers.edu:8080/data/asl-ftp/asllvd/demos/verify_start_end_handshape_annotations//test_auto_move//signs_mov/1.mov","MOV")</f>
        <v>21</v>
      </c>
      <c r="R11749" t="s" s="16">
        <f>HYPERLINK("http://secrets.rutgers.edu:8080/data/asl-ftp/asllvd/demos/verify_start_end_handshape_annotations//test_auto_move//signs_mov_separ_signers/Tyler_1.mov","MOV")</f>
        <v>21</v>
      </c>
    </row>
    <row r="11750" s="2" customFormat="1" ht="13.5" customHeight="1">
      <c r="B11750" s="13"/>
      <c r="C11750" t="s" s="9">
        <v>27</v>
      </c>
      <c r="D11750" t="s" s="8">
        <v>4411</v>
      </c>
      <c r="E11750" t="s" s="9">
        <v>4411</v>
      </c>
      <c r="F11750" t="s" s="10">
        <v>73</v>
      </c>
      <c r="G11750" s="14"/>
      <c r="H11750" t="s" s="10">
        <v>80</v>
      </c>
      <c r="I11750" s="14"/>
      <c r="J11750" t="s" s="11">
        <v>20</v>
      </c>
      <c r="K11750" s="15"/>
      <c r="L11750" t="s" s="16">
        <f>HYPERLINK("http://csr.bu.edu/ftp/asl/asllvd/demos/verify_start_end_handshape_annotations//test_auto_move//signs_mov_separ_signers/Naomi_1.mov","MOV")</f>
        <v>21</v>
      </c>
      <c r="M11750" t="s" s="10">
        <v>29</v>
      </c>
      <c r="N11750" s="17">
        <v>1</v>
      </c>
      <c r="O11750" s="18">
        <v>278</v>
      </c>
      <c r="P11750" s="18">
        <v>300</v>
      </c>
      <c r="Q11750" s="15"/>
      <c r="R11750" t="s" s="16">
        <f>HYPERLINK("http://secrets.rutgers.edu:8080/data/asl-ftp/asllvd/demos/verify_start_end_handshape_annotations//test_auto_move//signs_mov_separ_signers/Naomi_1.mov","MOV")</f>
        <v>21</v>
      </c>
    </row>
    <row r="11751" s="2" customFormat="1" ht="13.5" customHeight="1">
      <c r="B11751" s="13"/>
      <c r="C11751" t="s" s="9">
        <v>30</v>
      </c>
      <c r="D11751" t="s" s="8">
        <v>4411</v>
      </c>
      <c r="E11751" t="s" s="9">
        <v>4411</v>
      </c>
      <c r="F11751" t="s" s="10">
        <v>73</v>
      </c>
      <c r="G11751" s="14"/>
      <c r="H11751" t="s" s="10">
        <v>80</v>
      </c>
      <c r="I11751" s="14"/>
      <c r="J11751" t="s" s="11">
        <v>20</v>
      </c>
      <c r="K11751" s="15"/>
      <c r="L11751" t="s" s="16">
        <f>HYPERLINK("http://csr.bu.edu/ftp/asl/asllvd/demos/verify_start_end_handshape_annotations//test_auto_move//signs_mov_separ_signers/Brady_1.mov","MOV")</f>
        <v>21</v>
      </c>
      <c r="M11751" t="s" s="10">
        <v>31</v>
      </c>
      <c r="N11751" s="17">
        <v>4</v>
      </c>
      <c r="O11751" s="18">
        <v>11841</v>
      </c>
      <c r="P11751" s="18">
        <v>11871</v>
      </c>
      <c r="Q11751" s="15"/>
      <c r="R11751" t="s" s="16">
        <f>HYPERLINK("http://secrets.rutgers.edu:8080/data/asl-ftp/asllvd/demos/verify_start_end_handshape_annotations//test_auto_move//signs_mov_separ_signers/Brady_1.mov","MOV")</f>
        <v>21</v>
      </c>
    </row>
    <row r="11752" s="2" customFormat="1" ht="13.5" customHeight="1">
      <c r="B11752" t="s" s="8">
        <v>4412</v>
      </c>
      <c r="C11752" t="s" s="9">
        <v>14</v>
      </c>
      <c r="D11752" t="s" s="8">
        <v>14</v>
      </c>
      <c r="E11752" t="s" s="9">
        <v>14</v>
      </c>
      <c r="F11752" t="s" s="10">
        <v>14</v>
      </c>
      <c r="G11752" t="s" s="11">
        <v>14</v>
      </c>
      <c r="H11752" t="s" s="10">
        <v>14</v>
      </c>
      <c r="I11752" t="s" s="11">
        <v>14</v>
      </c>
      <c r="J11752" t="s" s="11">
        <v>14</v>
      </c>
      <c r="K11752" t="s" s="12">
        <v>14</v>
      </c>
      <c r="L11752" t="s" s="12">
        <v>14</v>
      </c>
      <c r="M11752" t="s" s="10">
        <v>14</v>
      </c>
      <c r="N11752" t="s" s="11">
        <v>14</v>
      </c>
      <c r="O11752" t="s" s="8">
        <v>14</v>
      </c>
      <c r="P11752" t="s" s="8">
        <v>14</v>
      </c>
      <c r="Q11752" t="s" s="12">
        <v>14</v>
      </c>
      <c r="R11752" t="s" s="12">
        <v>14</v>
      </c>
    </row>
    <row r="11753" s="2" customFormat="1" ht="13.5" customHeight="1">
      <c r="B11753" s="13"/>
      <c r="C11753" t="s" s="9">
        <v>16</v>
      </c>
      <c r="D11753" t="s" s="8">
        <v>4412</v>
      </c>
      <c r="E11753" t="s" s="9">
        <v>4413</v>
      </c>
      <c r="F11753" t="s" s="10">
        <v>460</v>
      </c>
      <c r="G11753" s="14"/>
      <c r="H11753" t="s" s="10">
        <v>460</v>
      </c>
      <c r="I11753" s="14"/>
      <c r="J11753" t="s" s="11">
        <v>20</v>
      </c>
      <c r="K11753" s="15"/>
      <c r="L11753" t="s" s="16">
        <f>HYPERLINK("http://csr.bu.edu/ftp/asl/asllvd/demos/verify_start_end_handshape_annotations//test_auto_move//signs_mov_separ_signers/Liz_2.mov","MOV")</f>
        <v>21</v>
      </c>
      <c r="M11753" t="s" s="10">
        <v>22</v>
      </c>
      <c r="N11753" s="17">
        <v>2</v>
      </c>
      <c r="O11753" s="18">
        <v>515</v>
      </c>
      <c r="P11753" s="18">
        <v>550</v>
      </c>
      <c r="Q11753" s="15"/>
      <c r="R11753" t="s" s="16">
        <f>HYPERLINK("http://secrets.rutgers.edu:8080/data/asl-ftp/asllvd/demos/verify_start_end_handshape_annotations//test_auto_move//signs_mov_separ_signers/Liz_2.mov","MOV")</f>
        <v>21</v>
      </c>
    </row>
    <row r="11754" s="2" customFormat="1" ht="13.5" customHeight="1">
      <c r="B11754" s="13"/>
      <c r="C11754" t="s" s="9">
        <v>23</v>
      </c>
      <c r="D11754" t="s" s="8">
        <v>4412</v>
      </c>
      <c r="E11754" t="s" s="9">
        <v>4414</v>
      </c>
      <c r="F11754" t="s" s="10">
        <v>460</v>
      </c>
      <c r="G11754" s="14"/>
      <c r="H11754" t="s" s="10">
        <v>460</v>
      </c>
      <c r="I11754" s="14"/>
      <c r="J11754" t="s" s="11">
        <v>20</v>
      </c>
      <c r="K11754" s="15"/>
      <c r="L11754" t="s" s="16">
        <f>HYPERLINK("http://csr.bu.edu/ftp/asl/asllvd/demos/verify_start_end_handshape_annotations//test_auto_move//signs_mov_separ_signers/Tyler_2.mov","MOV")</f>
        <v>21</v>
      </c>
      <c r="M11754" t="s" s="10">
        <v>26</v>
      </c>
      <c r="N11754" s="17">
        <v>1</v>
      </c>
      <c r="O11754" s="18">
        <v>695</v>
      </c>
      <c r="P11754" s="18">
        <v>772</v>
      </c>
      <c r="Q11754" s="15"/>
      <c r="R11754" t="s" s="16">
        <f>HYPERLINK("http://secrets.rutgers.edu:8080/data/asl-ftp/asllvd/demos/verify_start_end_handshape_annotations//test_auto_move//signs_mov_separ_signers/Tyler_2.mov","MOV")</f>
        <v>21</v>
      </c>
    </row>
    <row r="11755" s="2" customFormat="1" ht="13.5" customHeight="1">
      <c r="B11755" s="13"/>
      <c r="C11755" t="s" s="9">
        <v>27</v>
      </c>
      <c r="D11755" t="s" s="8">
        <v>4412</v>
      </c>
      <c r="E11755" t="s" s="9">
        <v>4413</v>
      </c>
      <c r="F11755" t="s" s="10">
        <v>460</v>
      </c>
      <c r="G11755" s="14"/>
      <c r="H11755" t="s" s="10">
        <v>460</v>
      </c>
      <c r="I11755" s="14"/>
      <c r="J11755" t="s" s="11">
        <v>20</v>
      </c>
      <c r="K11755" t="s" s="16">
        <f>HYPERLINK("http://csr.bu.edu/ftp/asl/asllvd/demos/verify_start_end_handshape_annotations//test_auto_move//signs_mov/2_3935_merged.mov","MOV")</f>
        <v>21</v>
      </c>
      <c r="L11755" t="s" s="16">
        <f>HYPERLINK("http://csr.bu.edu/ftp/asl/asllvd/demos/verify_start_end_handshape_annotations//test_auto_move//signs_mov_separ_signers/Naomi_2.mov","MOV")</f>
        <v>21</v>
      </c>
      <c r="M11755" t="s" s="10">
        <v>29</v>
      </c>
      <c r="N11755" s="17">
        <v>1</v>
      </c>
      <c r="O11755" s="18">
        <v>465</v>
      </c>
      <c r="P11755" s="18">
        <v>485</v>
      </c>
      <c r="Q11755" t="s" s="16">
        <f>HYPERLINK("http://secrets.rutgers.edu:8080/data/asl-ftp/asllvd/demos/verify_start_end_handshape_annotations//test_auto_move//signs_mov/2_3935_merged.mov","MOV")</f>
        <v>21</v>
      </c>
      <c r="R11755" t="s" s="16">
        <f>HYPERLINK("http://secrets.rutgers.edu:8080/data/asl-ftp/asllvd/demos/verify_start_end_handshape_annotations//test_auto_move//signs_mov_separ_signers/Naomi_2.mov","MOV")</f>
        <v>21</v>
      </c>
    </row>
    <row r="11756" s="2" customFormat="1" ht="13.5" customHeight="1">
      <c r="B11756" s="13"/>
      <c r="C11756" t="s" s="9">
        <v>30</v>
      </c>
      <c r="D11756" t="s" s="8">
        <v>4412</v>
      </c>
      <c r="E11756" t="s" s="9">
        <v>4413</v>
      </c>
      <c r="F11756" t="s" s="10">
        <v>460</v>
      </c>
      <c r="G11756" s="14"/>
      <c r="H11756" t="s" s="10">
        <v>460</v>
      </c>
      <c r="I11756" s="14"/>
      <c r="J11756" t="s" s="11">
        <v>20</v>
      </c>
      <c r="K11756" s="15"/>
      <c r="L11756" t="s" s="16">
        <f>HYPERLINK("http://csr.bu.edu/ftp/asl/asllvd/demos/verify_start_end_handshape_annotations//test_auto_move//signs_mov_separ_signers/Brady_2.mov","MOV")</f>
        <v>21</v>
      </c>
      <c r="M11756" t="s" s="10">
        <v>31</v>
      </c>
      <c r="N11756" s="17">
        <v>4</v>
      </c>
      <c r="O11756" s="18">
        <v>9698</v>
      </c>
      <c r="P11756" s="18">
        <v>9728</v>
      </c>
      <c r="Q11756" s="15"/>
      <c r="R11756" t="s" s="16">
        <f>HYPERLINK("http://secrets.rutgers.edu:8080/data/asl-ftp/asllvd/demos/verify_start_end_handshape_annotations//test_auto_move//signs_mov_separ_signers/Brady_2.mov","MOV")</f>
        <v>21</v>
      </c>
    </row>
    <row r="11757" s="2" customFormat="1" ht="13.5" customHeight="1">
      <c r="B11757" s="13"/>
      <c r="C11757" t="s" s="9">
        <v>30</v>
      </c>
      <c r="D11757" t="s" s="8">
        <v>4412</v>
      </c>
      <c r="E11757" t="s" s="9">
        <v>4413</v>
      </c>
      <c r="F11757" t="s" s="10">
        <v>460</v>
      </c>
      <c r="G11757" s="14"/>
      <c r="H11757" t="s" s="10">
        <v>460</v>
      </c>
      <c r="I11757" s="14"/>
      <c r="J11757" t="s" s="11">
        <v>20</v>
      </c>
      <c r="K11757" s="15"/>
      <c r="L11757" t="s" s="16">
        <f>HYPERLINK("http://csr.bu.edu/ftp/asl/asllvd/demos/verify_start_end_handshape_annotations//test_auto_move//signs_mov_separ_signers/Brady_3935.mov","MOV")</f>
        <v>21</v>
      </c>
      <c r="M11757" t="s" s="10">
        <v>31</v>
      </c>
      <c r="N11757" s="17">
        <v>4</v>
      </c>
      <c r="O11757" s="18">
        <v>11628</v>
      </c>
      <c r="P11757" s="18">
        <v>11650</v>
      </c>
      <c r="Q11757" s="15"/>
      <c r="R11757" t="s" s="16">
        <f>HYPERLINK("http://secrets.rutgers.edu:8080/data/asl-ftp/asllvd/demos/verify_start_end_handshape_annotations//test_auto_move//signs_mov_separ_signers/Brady_3935.mov","MOV")</f>
        <v>21</v>
      </c>
    </row>
    <row r="11758" s="2" customFormat="1" ht="13.5" customHeight="1">
      <c r="B11758" t="s" s="8">
        <v>4415</v>
      </c>
      <c r="C11758" t="s" s="9">
        <v>14</v>
      </c>
      <c r="D11758" t="s" s="8">
        <v>14</v>
      </c>
      <c r="E11758" t="s" s="9">
        <v>14</v>
      </c>
      <c r="F11758" t="s" s="10">
        <v>14</v>
      </c>
      <c r="G11758" t="s" s="11">
        <v>14</v>
      </c>
      <c r="H11758" t="s" s="10">
        <v>14</v>
      </c>
      <c r="I11758" t="s" s="11">
        <v>14</v>
      </c>
      <c r="J11758" t="s" s="11">
        <v>14</v>
      </c>
      <c r="K11758" t="s" s="12">
        <v>14</v>
      </c>
      <c r="L11758" t="s" s="12">
        <v>14</v>
      </c>
      <c r="M11758" t="s" s="10">
        <v>14</v>
      </c>
      <c r="N11758" t="s" s="11">
        <v>14</v>
      </c>
      <c r="O11758" t="s" s="8">
        <v>14</v>
      </c>
      <c r="P11758" t="s" s="8">
        <v>14</v>
      </c>
      <c r="Q11758" t="s" s="12">
        <v>14</v>
      </c>
      <c r="R11758" t="s" s="12">
        <v>14</v>
      </c>
    </row>
    <row r="11759" s="2" customFormat="1" ht="13.5" customHeight="1">
      <c r="B11759" s="13"/>
      <c r="C11759" t="s" s="9">
        <v>16</v>
      </c>
      <c r="D11759" t="s" s="8">
        <v>4415</v>
      </c>
      <c r="E11759" t="s" s="9">
        <v>4415</v>
      </c>
      <c r="F11759" t="s" s="10">
        <v>341</v>
      </c>
      <c r="G11759" s="14"/>
      <c r="H11759" t="s" s="10">
        <v>342</v>
      </c>
      <c r="I11759" s="14"/>
      <c r="J11759" t="s" s="11">
        <v>20</v>
      </c>
      <c r="K11759" s="15"/>
      <c r="L11759" t="s" s="16">
        <f>HYPERLINK("http://csr.bu.edu/ftp/asl/asllvd/demos/verify_start_end_handshape_annotations//test_auto_move//signs_mov_separ_signers/Liz_3.mov","MOV")</f>
        <v>21</v>
      </c>
      <c r="M11759" t="s" s="10">
        <v>22</v>
      </c>
      <c r="N11759" s="17">
        <v>2</v>
      </c>
      <c r="O11759" s="18">
        <v>786</v>
      </c>
      <c r="P11759" s="18">
        <v>815</v>
      </c>
      <c r="Q11759" s="15"/>
      <c r="R11759" t="s" s="16">
        <f>HYPERLINK("http://secrets.rutgers.edu:8080/data/asl-ftp/asllvd/demos/verify_start_end_handshape_annotations//test_auto_move//signs_mov_separ_signers/Liz_3.mov","MOV")</f>
        <v>21</v>
      </c>
    </row>
    <row r="11760" s="2" customFormat="1" ht="13.5" customHeight="1">
      <c r="B11760" s="13"/>
      <c r="C11760" t="s" s="9">
        <v>23</v>
      </c>
      <c r="D11760" t="s" s="8">
        <v>4415</v>
      </c>
      <c r="E11760" t="s" s="9">
        <v>4415</v>
      </c>
      <c r="F11760" t="s" s="10">
        <v>341</v>
      </c>
      <c r="G11760" s="14"/>
      <c r="H11760" t="s" s="10">
        <v>342</v>
      </c>
      <c r="I11760" s="14"/>
      <c r="J11760" t="s" s="11">
        <v>20</v>
      </c>
      <c r="K11760" t="s" s="16">
        <f>HYPERLINK("http://csr.bu.edu/ftp/asl/asllvd/demos/verify_start_end_handshape_annotations//test_auto_move//signs_mov/3.mov","MOV")</f>
        <v>21</v>
      </c>
      <c r="L11760" t="s" s="16">
        <f>HYPERLINK("http://csr.bu.edu/ftp/asl/asllvd/demos/verify_start_end_handshape_annotations//test_auto_move//signs_mov_separ_signers/Tyler_3.mov","MOV")</f>
        <v>21</v>
      </c>
      <c r="M11760" t="s" s="10">
        <v>26</v>
      </c>
      <c r="N11760" s="17">
        <v>1</v>
      </c>
      <c r="O11760" s="18">
        <v>920</v>
      </c>
      <c r="P11760" s="18">
        <v>986</v>
      </c>
      <c r="Q11760" t="s" s="16">
        <f>HYPERLINK("http://secrets.rutgers.edu:8080/data/asl-ftp/asllvd/demos/verify_start_end_handshape_annotations//test_auto_move//signs_mov/3.mov","MOV")</f>
        <v>21</v>
      </c>
      <c r="R11760" t="s" s="16">
        <f>HYPERLINK("http://secrets.rutgers.edu:8080/data/asl-ftp/asllvd/demos/verify_start_end_handshape_annotations//test_auto_move//signs_mov_separ_signers/Tyler_3.mov","MOV")</f>
        <v>21</v>
      </c>
    </row>
    <row r="11761" s="2" customFormat="1" ht="13.5" customHeight="1">
      <c r="B11761" s="13"/>
      <c r="C11761" t="s" s="9">
        <v>27</v>
      </c>
      <c r="D11761" t="s" s="8">
        <v>4415</v>
      </c>
      <c r="E11761" t="s" s="9">
        <v>4415</v>
      </c>
      <c r="F11761" t="s" s="10">
        <v>341</v>
      </c>
      <c r="G11761" s="14"/>
      <c r="H11761" t="s" s="10">
        <v>342</v>
      </c>
      <c r="I11761" s="14"/>
      <c r="J11761" t="s" s="11">
        <v>20</v>
      </c>
      <c r="K11761" s="15"/>
      <c r="L11761" t="s" s="16">
        <f>HYPERLINK("http://csr.bu.edu/ftp/asl/asllvd/demos/verify_start_end_handshape_annotations//test_auto_move//signs_mov_separ_signers/Naomi_3.mov","MOV")</f>
        <v>21</v>
      </c>
      <c r="M11761" t="s" s="10">
        <v>29</v>
      </c>
      <c r="N11761" s="17">
        <v>1</v>
      </c>
      <c r="O11761" s="18">
        <v>683</v>
      </c>
      <c r="P11761" s="18">
        <v>702</v>
      </c>
      <c r="Q11761" s="15"/>
      <c r="R11761" t="s" s="16">
        <f>HYPERLINK("http://secrets.rutgers.edu:8080/data/asl-ftp/asllvd/demos/verify_start_end_handshape_annotations//test_auto_move//signs_mov_separ_signers/Naomi_3.mov","MOV")</f>
        <v>21</v>
      </c>
    </row>
    <row r="11762" s="2" customFormat="1" ht="13.5" customHeight="1">
      <c r="B11762" s="13"/>
      <c r="C11762" t="s" s="9">
        <v>30</v>
      </c>
      <c r="D11762" t="s" s="8">
        <v>4415</v>
      </c>
      <c r="E11762" t="s" s="9">
        <v>4415</v>
      </c>
      <c r="F11762" t="s" s="10">
        <v>341</v>
      </c>
      <c r="G11762" s="14"/>
      <c r="H11762" t="s" s="10">
        <v>342</v>
      </c>
      <c r="I11762" s="14"/>
      <c r="J11762" t="s" s="11">
        <v>20</v>
      </c>
      <c r="K11762" s="15"/>
      <c r="L11762" t="s" s="16">
        <f>HYPERLINK("http://csr.bu.edu/ftp/asl/asllvd/demos/verify_start_end_handshape_annotations//test_auto_move//signs_mov_separ_signers/Brady_3.mov","MOV")</f>
        <v>21</v>
      </c>
      <c r="M11762" t="s" s="10">
        <v>31</v>
      </c>
      <c r="N11762" s="17">
        <v>4</v>
      </c>
      <c r="O11762" s="18">
        <v>8125</v>
      </c>
      <c r="P11762" s="18">
        <v>8153</v>
      </c>
      <c r="Q11762" s="15"/>
      <c r="R11762" t="s" s="16">
        <f>HYPERLINK("http://secrets.rutgers.edu:8080/data/asl-ftp/asllvd/demos/verify_start_end_handshape_annotations//test_auto_move//signs_mov_separ_signers/Brady_3.mov","MOV")</f>
        <v>21</v>
      </c>
    </row>
    <row r="11763" s="2" customFormat="1" ht="13.5" customHeight="1">
      <c r="B11763" t="s" s="8">
        <v>4416</v>
      </c>
      <c r="C11763" t="s" s="9">
        <v>14</v>
      </c>
      <c r="D11763" t="s" s="8">
        <v>14</v>
      </c>
      <c r="E11763" t="s" s="9">
        <v>14</v>
      </c>
      <c r="F11763" t="s" s="10">
        <v>14</v>
      </c>
      <c r="G11763" t="s" s="11">
        <v>14</v>
      </c>
      <c r="H11763" t="s" s="10">
        <v>14</v>
      </c>
      <c r="I11763" t="s" s="11">
        <v>14</v>
      </c>
      <c r="J11763" t="s" s="11">
        <v>14</v>
      </c>
      <c r="K11763" t="s" s="12">
        <v>14</v>
      </c>
      <c r="L11763" t="s" s="12">
        <v>14</v>
      </c>
      <c r="M11763" t="s" s="10">
        <v>14</v>
      </c>
      <c r="N11763" t="s" s="11">
        <v>14</v>
      </c>
      <c r="O11763" t="s" s="8">
        <v>14</v>
      </c>
      <c r="P11763" t="s" s="8">
        <v>14</v>
      </c>
      <c r="Q11763" t="s" s="12">
        <v>14</v>
      </c>
      <c r="R11763" t="s" s="12">
        <v>14</v>
      </c>
    </row>
    <row r="11764" s="2" customFormat="1" ht="13.5" customHeight="1">
      <c r="B11764" s="13"/>
      <c r="C11764" t="s" s="9">
        <v>16</v>
      </c>
      <c r="D11764" t="s" s="8">
        <v>4416</v>
      </c>
      <c r="E11764" t="s" s="9">
        <v>4417</v>
      </c>
      <c r="F11764" t="s" s="10">
        <v>517</v>
      </c>
      <c r="G11764" s="14"/>
      <c r="H11764" t="s" s="10">
        <v>229</v>
      </c>
      <c r="I11764" s="14"/>
      <c r="J11764" t="s" s="11">
        <v>20</v>
      </c>
      <c r="K11764" s="15"/>
      <c r="L11764" t="s" s="16">
        <f>HYPERLINK("http://csr.bu.edu/ftp/asl/asllvd/demos/verify_start_end_handshape_annotations//test_auto_move//signs_mov_separ_signers/Liz_4.mov","MOV")</f>
        <v>21</v>
      </c>
      <c r="M11764" t="s" s="10">
        <v>22</v>
      </c>
      <c r="N11764" s="17">
        <v>2</v>
      </c>
      <c r="O11764" s="18">
        <v>1050</v>
      </c>
      <c r="P11764" s="18">
        <v>1080</v>
      </c>
      <c r="Q11764" s="15"/>
      <c r="R11764" t="s" s="16">
        <f>HYPERLINK("http://secrets.rutgers.edu:8080/data/asl-ftp/asllvd/demos/verify_start_end_handshape_annotations//test_auto_move//signs_mov_separ_signers/Liz_4.mov","MOV")</f>
        <v>21</v>
      </c>
    </row>
    <row r="11765" s="2" customFormat="1" ht="13.5" customHeight="1">
      <c r="B11765" s="13"/>
      <c r="C11765" t="s" s="9">
        <v>23</v>
      </c>
      <c r="D11765" t="s" s="8">
        <v>4416</v>
      </c>
      <c r="E11765" t="s" s="9">
        <v>4418</v>
      </c>
      <c r="F11765" t="s" s="10">
        <v>517</v>
      </c>
      <c r="G11765" s="14"/>
      <c r="H11765" t="s" s="10">
        <v>229</v>
      </c>
      <c r="I11765" s="14"/>
      <c r="J11765" t="s" s="11">
        <v>20</v>
      </c>
      <c r="K11765" t="s" s="16">
        <f>HYPERLINK("http://csr.bu.edu/ftp/asl/asllvd/demos/verify_start_end_handshape_annotations//test_auto_move//signs_mov/4.mov","MOV")</f>
        <v>21</v>
      </c>
      <c r="L11765" t="s" s="16">
        <f>HYPERLINK("http://csr.bu.edu/ftp/asl/asllvd/demos/verify_start_end_handshape_annotations//test_auto_move//signs_mov_separ_signers/Tyler_4.mov","MOV")</f>
        <v>21</v>
      </c>
      <c r="M11765" t="s" s="10">
        <v>26</v>
      </c>
      <c r="N11765" s="17">
        <v>1</v>
      </c>
      <c r="O11765" s="18">
        <v>1151</v>
      </c>
      <c r="P11765" s="18">
        <v>1249</v>
      </c>
      <c r="Q11765" t="s" s="16">
        <f>HYPERLINK("http://secrets.rutgers.edu:8080/data/asl-ftp/asllvd/demos/verify_start_end_handshape_annotations//test_auto_move//signs_mov/4.mov","MOV")</f>
        <v>21</v>
      </c>
      <c r="R11765" t="s" s="16">
        <f>HYPERLINK("http://secrets.rutgers.edu:8080/data/asl-ftp/asllvd/demos/verify_start_end_handshape_annotations//test_auto_move//signs_mov_separ_signers/Tyler_4.mov","MOV")</f>
        <v>21</v>
      </c>
    </row>
    <row r="11766" s="2" customFormat="1" ht="13.5" customHeight="1">
      <c r="B11766" s="13"/>
      <c r="C11766" t="s" s="9">
        <v>27</v>
      </c>
      <c r="D11766" t="s" s="8">
        <v>4416</v>
      </c>
      <c r="E11766" t="s" s="9">
        <v>4417</v>
      </c>
      <c r="F11766" t="s" s="10">
        <v>517</v>
      </c>
      <c r="G11766" s="14"/>
      <c r="H11766" t="s" s="10">
        <v>229</v>
      </c>
      <c r="I11766" s="14"/>
      <c r="J11766" t="s" s="11">
        <v>20</v>
      </c>
      <c r="K11766" s="15"/>
      <c r="L11766" t="s" s="16">
        <f>HYPERLINK("http://csr.bu.edu/ftp/asl/asllvd/demos/verify_start_end_handshape_annotations//test_auto_move//signs_mov_separ_signers/Naomi_4.mov","MOV")</f>
        <v>21</v>
      </c>
      <c r="M11766" t="s" s="10">
        <v>29</v>
      </c>
      <c r="N11766" s="17">
        <v>1</v>
      </c>
      <c r="O11766" s="18">
        <v>912</v>
      </c>
      <c r="P11766" s="18">
        <v>948</v>
      </c>
      <c r="Q11766" s="15"/>
      <c r="R11766" t="s" s="16">
        <f>HYPERLINK("http://secrets.rutgers.edu:8080/data/asl-ftp/asllvd/demos/verify_start_end_handshape_annotations//test_auto_move//signs_mov_separ_signers/Naomi_4.mov","MOV")</f>
        <v>21</v>
      </c>
    </row>
    <row r="11767" s="2" customFormat="1" ht="13.5" customHeight="1">
      <c r="B11767" s="13"/>
      <c r="C11767" t="s" s="9">
        <v>30</v>
      </c>
      <c r="D11767" t="s" s="8">
        <v>4416</v>
      </c>
      <c r="E11767" t="s" s="9">
        <v>4418</v>
      </c>
      <c r="F11767" t="s" s="10">
        <v>68</v>
      </c>
      <c r="G11767" s="14"/>
      <c r="H11767" t="s" s="10">
        <v>229</v>
      </c>
      <c r="I11767" s="14"/>
      <c r="J11767" t="s" s="11">
        <v>20</v>
      </c>
      <c r="K11767" s="15"/>
      <c r="L11767" t="s" s="16">
        <f>HYPERLINK("http://csr.bu.edu/ftp/asl/asllvd/demos/verify_start_end_handshape_annotations//test_auto_move//signs_mov_separ_signers/Brady_4.mov","MOV")</f>
        <v>21</v>
      </c>
      <c r="M11767" t="s" s="10">
        <v>60</v>
      </c>
      <c r="N11767" s="17">
        <v>15</v>
      </c>
      <c r="O11767" s="18">
        <v>218</v>
      </c>
      <c r="P11767" s="18">
        <v>257</v>
      </c>
      <c r="Q11767" s="15"/>
      <c r="R11767" t="s" s="16">
        <f>HYPERLINK("http://secrets.rutgers.edu:8080/data/asl-ftp/asllvd/demos/verify_start_end_handshape_annotations//test_auto_move//signs_mov_separ_signers/Brady_4.mov","MOV")</f>
        <v>21</v>
      </c>
    </row>
    <row r="11768" s="2" customFormat="1" ht="13.5" customHeight="1">
      <c r="B11768" t="s" s="8">
        <v>4419</v>
      </c>
      <c r="C11768" t="s" s="9">
        <v>14</v>
      </c>
      <c r="D11768" t="s" s="8">
        <v>14</v>
      </c>
      <c r="E11768" t="s" s="9">
        <v>14</v>
      </c>
      <c r="F11768" t="s" s="10">
        <v>14</v>
      </c>
      <c r="G11768" t="s" s="11">
        <v>14</v>
      </c>
      <c r="H11768" t="s" s="10">
        <v>14</v>
      </c>
      <c r="I11768" t="s" s="11">
        <v>14</v>
      </c>
      <c r="J11768" t="s" s="11">
        <v>14</v>
      </c>
      <c r="K11768" t="s" s="12">
        <v>14</v>
      </c>
      <c r="L11768" t="s" s="12">
        <v>14</v>
      </c>
      <c r="M11768" t="s" s="10">
        <v>14</v>
      </c>
      <c r="N11768" t="s" s="11">
        <v>14</v>
      </c>
      <c r="O11768" t="s" s="8">
        <v>14</v>
      </c>
      <c r="P11768" t="s" s="8">
        <v>14</v>
      </c>
      <c r="Q11768" t="s" s="12">
        <v>14</v>
      </c>
      <c r="R11768" t="s" s="12">
        <v>14</v>
      </c>
    </row>
    <row r="11769" s="2" customFormat="1" ht="13.5" customHeight="1">
      <c r="B11769" s="13"/>
      <c r="C11769" t="s" s="9">
        <v>16</v>
      </c>
      <c r="D11769" t="s" s="8">
        <v>4419</v>
      </c>
      <c r="E11769" t="s" s="9">
        <v>4420</v>
      </c>
      <c r="F11769" t="s" s="10">
        <v>70</v>
      </c>
      <c r="G11769" s="14"/>
      <c r="H11769" s="19">
        <v>1</v>
      </c>
      <c r="I11769" s="14"/>
      <c r="J11769" t="s" s="11">
        <v>20</v>
      </c>
      <c r="K11769" s="15"/>
      <c r="L11769" t="s" s="16">
        <f>HYPERLINK("http://csr.bu.edu/ftp/asl/asllvd/demos/verify_start_end_handshape_annotations//test_auto_move//signs_mov_separ_signers/Liz_5.mov","MOV")</f>
        <v>21</v>
      </c>
      <c r="M11769" t="s" s="10">
        <v>22</v>
      </c>
      <c r="N11769" s="17">
        <v>2</v>
      </c>
      <c r="O11769" s="18">
        <v>1276</v>
      </c>
      <c r="P11769" s="18">
        <v>1310</v>
      </c>
      <c r="Q11769" s="15"/>
      <c r="R11769" t="s" s="16">
        <f>HYPERLINK("http://secrets.rutgers.edu:8080/data/asl-ftp/asllvd/demos/verify_start_end_handshape_annotations//test_auto_move//signs_mov_separ_signers/Liz_5.mov","MOV")</f>
        <v>21</v>
      </c>
    </row>
    <row r="11770" s="2" customFormat="1" ht="13.5" customHeight="1">
      <c r="B11770" s="13"/>
      <c r="C11770" t="s" s="9">
        <v>23</v>
      </c>
      <c r="D11770" t="s" s="8">
        <v>4419</v>
      </c>
      <c r="E11770" t="s" s="9">
        <v>4421</v>
      </c>
      <c r="F11770" t="s" s="10">
        <v>70</v>
      </c>
      <c r="G11770" s="14"/>
      <c r="H11770" s="19">
        <v>1</v>
      </c>
      <c r="I11770" s="14"/>
      <c r="J11770" t="s" s="11">
        <v>20</v>
      </c>
      <c r="K11770" t="s" s="16">
        <f>HYPERLINK("http://csr.bu.edu/ftp/asl/asllvd/demos/verify_start_end_handshape_annotations//test_auto_move//signs_mov/5.mov","MOV")</f>
        <v>21</v>
      </c>
      <c r="L11770" t="s" s="16">
        <f>HYPERLINK("http://csr.bu.edu/ftp/asl/asllvd/demos/verify_start_end_handshape_annotations//test_auto_move//signs_mov_separ_signers/Tyler_5.mov","MOV")</f>
        <v>21</v>
      </c>
      <c r="M11770" t="s" s="10">
        <v>26</v>
      </c>
      <c r="N11770" s="17">
        <v>1</v>
      </c>
      <c r="O11770" s="18">
        <v>1395</v>
      </c>
      <c r="P11770" s="18">
        <v>1481</v>
      </c>
      <c r="Q11770" t="s" s="16">
        <f>HYPERLINK("http://secrets.rutgers.edu:8080/data/asl-ftp/asllvd/demos/verify_start_end_handshape_annotations//test_auto_move//signs_mov/5.mov","MOV")</f>
        <v>21</v>
      </c>
      <c r="R11770" t="s" s="16">
        <f>HYPERLINK("http://secrets.rutgers.edu:8080/data/asl-ftp/asllvd/demos/verify_start_end_handshape_annotations//test_auto_move//signs_mov_separ_signers/Tyler_5.mov","MOV")</f>
        <v>21</v>
      </c>
    </row>
    <row r="11771" s="2" customFormat="1" ht="13.5" customHeight="1">
      <c r="B11771" s="13"/>
      <c r="C11771" t="s" s="9">
        <v>27</v>
      </c>
      <c r="D11771" t="s" s="8">
        <v>4419</v>
      </c>
      <c r="E11771" t="s" s="9">
        <v>4420</v>
      </c>
      <c r="F11771" t="s" s="10">
        <v>70</v>
      </c>
      <c r="G11771" s="14"/>
      <c r="H11771" s="19">
        <v>1</v>
      </c>
      <c r="I11771" s="14"/>
      <c r="J11771" t="s" s="11">
        <v>20</v>
      </c>
      <c r="K11771" s="15"/>
      <c r="L11771" t="s" s="16">
        <f>HYPERLINK("http://csr.bu.edu/ftp/asl/asllvd/demos/verify_start_end_handshape_annotations//test_auto_move//signs_mov_separ_signers/Naomi_5.mov","MOV")</f>
        <v>21</v>
      </c>
      <c r="M11771" t="s" s="10">
        <v>29</v>
      </c>
      <c r="N11771" s="17">
        <v>1</v>
      </c>
      <c r="O11771" s="18">
        <v>1155</v>
      </c>
      <c r="P11771" s="18">
        <v>1183</v>
      </c>
      <c r="Q11771" s="15"/>
      <c r="R11771" t="s" s="16">
        <f>HYPERLINK("http://secrets.rutgers.edu:8080/data/asl-ftp/asllvd/demos/verify_start_end_handshape_annotations//test_auto_move//signs_mov_separ_signers/Naomi_5.mov","MOV")</f>
        <v>21</v>
      </c>
    </row>
    <row r="11772" s="2" customFormat="1" ht="13.5" customHeight="1">
      <c r="B11772" s="13"/>
      <c r="C11772" t="s" s="9">
        <v>30</v>
      </c>
      <c r="D11772" t="s" s="8">
        <v>4419</v>
      </c>
      <c r="E11772" t="s" s="9">
        <v>4420</v>
      </c>
      <c r="F11772" t="s" s="10">
        <v>70</v>
      </c>
      <c r="G11772" s="14"/>
      <c r="H11772" s="19">
        <v>1</v>
      </c>
      <c r="I11772" s="14"/>
      <c r="J11772" t="s" s="11">
        <v>20</v>
      </c>
      <c r="K11772" s="15"/>
      <c r="L11772" t="s" s="16">
        <f>HYPERLINK("http://csr.bu.edu/ftp/asl/asllvd/demos/verify_start_end_handshape_annotations//test_auto_move//signs_mov_separ_signers/Brady_5.mov","MOV")</f>
        <v>21</v>
      </c>
      <c r="M11772" t="s" s="10">
        <v>31</v>
      </c>
      <c r="N11772" s="17">
        <v>4</v>
      </c>
      <c r="O11772" s="18">
        <v>7527</v>
      </c>
      <c r="P11772" s="18">
        <v>7547</v>
      </c>
      <c r="Q11772" s="15"/>
      <c r="R11772" t="s" s="16">
        <f>HYPERLINK("http://secrets.rutgers.edu:8080/data/asl-ftp/asllvd/demos/verify_start_end_handshape_annotations//test_auto_move//signs_mov_separ_signers/Brady_5.mov","MOV")</f>
        <v>21</v>
      </c>
    </row>
    <row r="11773" s="2" customFormat="1" ht="13.5" customHeight="1">
      <c r="B11773" t="s" s="8">
        <v>4422</v>
      </c>
      <c r="C11773" t="s" s="9">
        <v>14</v>
      </c>
      <c r="D11773" t="s" s="8">
        <v>14</v>
      </c>
      <c r="E11773" t="s" s="9">
        <v>14</v>
      </c>
      <c r="F11773" t="s" s="10">
        <v>14</v>
      </c>
      <c r="G11773" t="s" s="11">
        <v>14</v>
      </c>
      <c r="H11773" t="s" s="10">
        <v>14</v>
      </c>
      <c r="I11773" t="s" s="11">
        <v>14</v>
      </c>
      <c r="J11773" t="s" s="11">
        <v>14</v>
      </c>
      <c r="K11773" t="s" s="12">
        <v>14</v>
      </c>
      <c r="L11773" t="s" s="12">
        <v>14</v>
      </c>
      <c r="M11773" t="s" s="10">
        <v>14</v>
      </c>
      <c r="N11773" t="s" s="11">
        <v>14</v>
      </c>
      <c r="O11773" t="s" s="8">
        <v>14</v>
      </c>
      <c r="P11773" t="s" s="8">
        <v>14</v>
      </c>
      <c r="Q11773" t="s" s="12">
        <v>14</v>
      </c>
      <c r="R11773" t="s" s="12">
        <v>14</v>
      </c>
    </row>
    <row r="11774" s="2" customFormat="1" ht="13.5" customHeight="1">
      <c r="B11774" s="13"/>
      <c r="C11774" t="s" s="9">
        <v>16</v>
      </c>
      <c r="D11774" t="s" s="8">
        <v>4422</v>
      </c>
      <c r="E11774" t="s" s="9">
        <v>4422</v>
      </c>
      <c r="F11774" s="19">
        <v>1</v>
      </c>
      <c r="G11774" s="14"/>
      <c r="H11774" t="s" s="10">
        <v>150</v>
      </c>
      <c r="I11774" s="14"/>
      <c r="J11774" t="s" s="11">
        <v>20</v>
      </c>
      <c r="K11774" s="15"/>
      <c r="L11774" t="s" s="16">
        <f>HYPERLINK("http://csr.bu.edu/ftp/asl/asllvd/demos/verify_start_end_handshape_annotations//test_auto_move//signs_mov_separ_signers/Liz_6.mov","MOV")</f>
        <v>21</v>
      </c>
      <c r="M11774" t="s" s="10">
        <v>22</v>
      </c>
      <c r="N11774" s="17">
        <v>2</v>
      </c>
      <c r="O11774" s="18">
        <v>1510</v>
      </c>
      <c r="P11774" s="18">
        <v>1530</v>
      </c>
      <c r="Q11774" s="15"/>
      <c r="R11774" t="s" s="16">
        <f>HYPERLINK("http://secrets.rutgers.edu:8080/data/asl-ftp/asllvd/demos/verify_start_end_handshape_annotations//test_auto_move//signs_mov_separ_signers/Liz_6.mov","MOV")</f>
        <v>21</v>
      </c>
    </row>
    <row r="11775" s="2" customFormat="1" ht="13.5" customHeight="1">
      <c r="B11775" s="13"/>
      <c r="C11775" t="s" s="9">
        <v>23</v>
      </c>
      <c r="D11775" t="s" s="8">
        <v>4422</v>
      </c>
      <c r="E11775" t="s" s="9">
        <v>4422</v>
      </c>
      <c r="F11775" s="19">
        <v>1</v>
      </c>
      <c r="G11775" s="14"/>
      <c r="H11775" t="s" s="10">
        <v>185</v>
      </c>
      <c r="I11775" s="14"/>
      <c r="J11775" t="s" s="11">
        <v>20</v>
      </c>
      <c r="K11775" s="15"/>
      <c r="L11775" t="s" s="16">
        <f>HYPERLINK("http://csr.bu.edu/ftp/asl/asllvd/demos/verify_start_end_handshape_annotations//test_auto_move//signs_mov_separ_signers/Tyler_6.mov","MOV")</f>
        <v>21</v>
      </c>
      <c r="M11775" t="s" s="10">
        <v>26</v>
      </c>
      <c r="N11775" s="17">
        <v>1</v>
      </c>
      <c r="O11775" s="18">
        <v>1591</v>
      </c>
      <c r="P11775" s="18">
        <v>1630</v>
      </c>
      <c r="Q11775" s="15"/>
      <c r="R11775" t="s" s="16">
        <f>HYPERLINK("http://secrets.rutgers.edu:8080/data/asl-ftp/asllvd/demos/verify_start_end_handshape_annotations//test_auto_move//signs_mov_separ_signers/Tyler_6.mov","MOV")</f>
        <v>21</v>
      </c>
    </row>
    <row r="11776" s="2" customFormat="1" ht="13.5" customHeight="1">
      <c r="B11776" s="13"/>
      <c r="C11776" t="s" s="9">
        <v>23</v>
      </c>
      <c r="D11776" t="s" s="8">
        <v>4422</v>
      </c>
      <c r="E11776" t="s" s="9">
        <v>4422</v>
      </c>
      <c r="F11776" s="19">
        <v>1</v>
      </c>
      <c r="G11776" s="14"/>
      <c r="H11776" t="s" s="10">
        <v>185</v>
      </c>
      <c r="I11776" s="14"/>
      <c r="J11776" t="s" s="11">
        <v>20</v>
      </c>
      <c r="K11776" t="s" s="16">
        <f>HYPERLINK("http://csr.bu.edu/ftp/asl/asllvd/demos/verify_start_end_handshape_annotations//test_auto_move//signs_mov/6_3835_merged.mov","MOV")</f>
        <v>21</v>
      </c>
      <c r="L11776" t="s" s="16">
        <f>HYPERLINK("http://csr.bu.edu/ftp/asl/asllvd/demos/verify_start_end_handshape_annotations//test_auto_move//signs_mov_separ_signers/Tyler_3835.mov","MOV")</f>
        <v>21</v>
      </c>
      <c r="M11776" t="s" s="10">
        <v>37</v>
      </c>
      <c r="N11776" s="17">
        <v>2</v>
      </c>
      <c r="O11776" s="18">
        <v>1066</v>
      </c>
      <c r="P11776" s="18">
        <v>1092</v>
      </c>
      <c r="Q11776" t="s" s="16">
        <f>HYPERLINK("http://secrets.rutgers.edu:8080/data/asl-ftp/asllvd/demos/verify_start_end_handshape_annotations//test_auto_move//signs_mov/6_3835_merged.mov","MOV")</f>
        <v>21</v>
      </c>
      <c r="R11776" t="s" s="16">
        <f>HYPERLINK("http://secrets.rutgers.edu:8080/data/asl-ftp/asllvd/demos/verify_start_end_handshape_annotations//test_auto_move//signs_mov_separ_signers/Tyler_3835.mov","MOV")</f>
        <v>21</v>
      </c>
    </row>
    <row r="11777" s="2" customFormat="1" ht="13.5" customHeight="1">
      <c r="B11777" s="13"/>
      <c r="C11777" t="s" s="9">
        <v>27</v>
      </c>
      <c r="D11777" t="s" s="8">
        <v>4422</v>
      </c>
      <c r="E11777" t="s" s="9">
        <v>4422</v>
      </c>
      <c r="F11777" s="19">
        <v>1</v>
      </c>
      <c r="G11777" s="14"/>
      <c r="H11777" t="s" s="10">
        <v>75</v>
      </c>
      <c r="I11777" s="14"/>
      <c r="J11777" t="s" s="11">
        <v>20</v>
      </c>
      <c r="K11777" s="15"/>
      <c r="L11777" t="s" s="16">
        <f>HYPERLINK("http://csr.bu.edu/ftp/asl/asllvd/demos/verify_start_end_handshape_annotations//test_auto_move//signs_mov_separ_signers/Naomi_6.mov","MOV")</f>
        <v>21</v>
      </c>
      <c r="M11777" t="s" s="10">
        <v>29</v>
      </c>
      <c r="N11777" s="17">
        <v>1</v>
      </c>
      <c r="O11777" s="18">
        <v>1376</v>
      </c>
      <c r="P11777" s="18">
        <v>1388</v>
      </c>
      <c r="Q11777" s="15"/>
      <c r="R11777" t="s" s="16">
        <f>HYPERLINK("http://secrets.rutgers.edu:8080/data/asl-ftp/asllvd/demos/verify_start_end_handshape_annotations//test_auto_move//signs_mov_separ_signers/Naomi_6.mov","MOV")</f>
        <v>21</v>
      </c>
    </row>
    <row r="11778" s="2" customFormat="1" ht="13.5" customHeight="1">
      <c r="B11778" s="13"/>
      <c r="C11778" t="s" s="9">
        <v>30</v>
      </c>
      <c r="D11778" t="s" s="8">
        <v>4422</v>
      </c>
      <c r="E11778" t="s" s="9">
        <v>4422</v>
      </c>
      <c r="F11778" s="19">
        <v>1</v>
      </c>
      <c r="G11778" s="14"/>
      <c r="H11778" t="s" s="10">
        <v>185</v>
      </c>
      <c r="I11778" s="14"/>
      <c r="J11778" t="s" s="11">
        <v>20</v>
      </c>
      <c r="K11778" s="15"/>
      <c r="L11778" t="s" s="16">
        <f>HYPERLINK("http://csr.bu.edu/ftp/asl/asllvd/demos/verify_start_end_handshape_annotations//test_auto_move//signs_mov_separ_signers/Brady_6.mov","MOV")</f>
        <v>21</v>
      </c>
      <c r="M11778" t="s" s="10">
        <v>39</v>
      </c>
      <c r="N11778" s="17">
        <v>37</v>
      </c>
      <c r="O11778" s="18">
        <v>9025</v>
      </c>
      <c r="P11778" s="18">
        <v>9046</v>
      </c>
      <c r="Q11778" s="15"/>
      <c r="R11778" t="s" s="16">
        <f>HYPERLINK("http://secrets.rutgers.edu:8080/data/asl-ftp/asllvd/demos/verify_start_end_handshape_annotations//test_auto_move//signs_mov_separ_signers/Brady_6.mov","MOV")</f>
        <v>21</v>
      </c>
    </row>
    <row r="11779" s="2" customFormat="1" ht="13.5" customHeight="1">
      <c r="B11779" t="s" s="8">
        <v>4423</v>
      </c>
      <c r="C11779" t="s" s="9">
        <v>14</v>
      </c>
      <c r="D11779" t="s" s="8">
        <v>14</v>
      </c>
      <c r="E11779" t="s" s="9">
        <v>14</v>
      </c>
      <c r="F11779" t="s" s="10">
        <v>14</v>
      </c>
      <c r="G11779" t="s" s="11">
        <v>14</v>
      </c>
      <c r="H11779" t="s" s="10">
        <v>14</v>
      </c>
      <c r="I11779" t="s" s="11">
        <v>14</v>
      </c>
      <c r="J11779" t="s" s="11">
        <v>14</v>
      </c>
      <c r="K11779" t="s" s="12">
        <v>14</v>
      </c>
      <c r="L11779" t="s" s="12">
        <v>14</v>
      </c>
      <c r="M11779" t="s" s="10">
        <v>14</v>
      </c>
      <c r="N11779" t="s" s="11">
        <v>14</v>
      </c>
      <c r="O11779" t="s" s="8">
        <v>14</v>
      </c>
      <c r="P11779" t="s" s="8">
        <v>14</v>
      </c>
      <c r="Q11779" t="s" s="12">
        <v>14</v>
      </c>
      <c r="R11779" t="s" s="12">
        <v>14</v>
      </c>
    </row>
    <row r="11780" s="2" customFormat="1" ht="13.5" customHeight="1">
      <c r="B11780" s="13"/>
      <c r="C11780" t="s" s="9">
        <v>16</v>
      </c>
      <c r="D11780" t="s" s="8">
        <v>4423</v>
      </c>
      <c r="E11780" t="s" s="9">
        <v>4423</v>
      </c>
      <c r="F11780" s="19">
        <v>10</v>
      </c>
      <c r="G11780" s="14"/>
      <c r="H11780" s="19">
        <v>10</v>
      </c>
      <c r="I11780" s="14"/>
      <c r="J11780" t="s" s="11">
        <v>20</v>
      </c>
      <c r="K11780" s="15"/>
      <c r="L11780" t="s" s="16">
        <f>HYPERLINK("http://csr.bu.edu/ftp/asl/asllvd/demos/verify_start_end_handshape_annotations//test_auto_move//signs_mov_separ_signers/Liz_7.mov","MOV")</f>
        <v>21</v>
      </c>
      <c r="M11780" t="s" s="10">
        <v>22</v>
      </c>
      <c r="N11780" s="17">
        <v>2</v>
      </c>
      <c r="O11780" s="18">
        <v>1840</v>
      </c>
      <c r="P11780" s="18">
        <v>1865</v>
      </c>
      <c r="Q11780" s="15"/>
      <c r="R11780" t="s" s="16">
        <f>HYPERLINK("http://secrets.rutgers.edu:8080/data/asl-ftp/asllvd/demos/verify_start_end_handshape_annotations//test_auto_move//signs_mov_separ_signers/Liz_7.mov","MOV")</f>
        <v>21</v>
      </c>
    </row>
    <row r="11781" s="2" customFormat="1" ht="13.5" customHeight="1">
      <c r="B11781" s="13"/>
      <c r="C11781" t="s" s="9">
        <v>23</v>
      </c>
      <c r="D11781" t="s" s="8">
        <v>4423</v>
      </c>
      <c r="E11781" t="s" s="9">
        <v>4424</v>
      </c>
      <c r="F11781" s="19">
        <v>10</v>
      </c>
      <c r="G11781" s="14"/>
      <c r="H11781" s="19">
        <v>10</v>
      </c>
      <c r="I11781" s="14"/>
      <c r="J11781" t="s" s="11">
        <v>20</v>
      </c>
      <c r="K11781" t="s" s="16">
        <f>HYPERLINK("http://csr.bu.edu/ftp/asl/asllvd/demos/verify_start_end_handshape_annotations//test_auto_move//signs_mov/7.mov","MOV")</f>
        <v>21</v>
      </c>
      <c r="L11781" t="s" s="16">
        <f>HYPERLINK("http://csr.bu.edu/ftp/asl/asllvd/demos/verify_start_end_handshape_annotations//test_auto_move//signs_mov_separ_signers/Tyler_7.mov","MOV")</f>
        <v>21</v>
      </c>
      <c r="M11781" t="s" s="10">
        <v>26</v>
      </c>
      <c r="N11781" s="17">
        <v>1</v>
      </c>
      <c r="O11781" s="18">
        <v>1846</v>
      </c>
      <c r="P11781" s="18">
        <v>1945</v>
      </c>
      <c r="Q11781" t="s" s="16">
        <f>HYPERLINK("http://secrets.rutgers.edu:8080/data/asl-ftp/asllvd/demos/verify_start_end_handshape_annotations//test_auto_move//signs_mov/7.mov","MOV")</f>
        <v>21</v>
      </c>
      <c r="R11781" t="s" s="16">
        <f>HYPERLINK("http://secrets.rutgers.edu:8080/data/asl-ftp/asllvd/demos/verify_start_end_handshape_annotations//test_auto_move//signs_mov_separ_signers/Tyler_7.mov","MOV")</f>
        <v>21</v>
      </c>
    </row>
    <row r="11782" s="2" customFormat="1" ht="13.5" customHeight="1">
      <c r="B11782" s="13"/>
      <c r="C11782" t="s" s="9">
        <v>27</v>
      </c>
      <c r="D11782" t="s" s="8">
        <v>4423</v>
      </c>
      <c r="E11782" t="s" s="9">
        <v>4423</v>
      </c>
      <c r="F11782" s="19">
        <v>10</v>
      </c>
      <c r="G11782" s="14"/>
      <c r="H11782" s="19">
        <v>10</v>
      </c>
      <c r="I11782" s="14"/>
      <c r="J11782" t="s" s="11">
        <v>20</v>
      </c>
      <c r="K11782" s="15"/>
      <c r="L11782" t="s" s="16">
        <f>HYPERLINK("http://csr.bu.edu/ftp/asl/asllvd/demos/verify_start_end_handshape_annotations//test_auto_move//signs_mov_separ_signers/Naomi_7.mov","MOV")</f>
        <v>21</v>
      </c>
      <c r="M11782" t="s" s="10">
        <v>29</v>
      </c>
      <c r="N11782" s="17">
        <v>1</v>
      </c>
      <c r="O11782" s="18">
        <v>1607</v>
      </c>
      <c r="P11782" s="18">
        <v>1621</v>
      </c>
      <c r="Q11782" s="15"/>
      <c r="R11782" t="s" s="16">
        <f>HYPERLINK("http://secrets.rutgers.edu:8080/data/asl-ftp/asllvd/demos/verify_start_end_handshape_annotations//test_auto_move//signs_mov_separ_signers/Naomi_7.mov","MOV")</f>
        <v>21</v>
      </c>
    </row>
    <row r="11783" s="2" customFormat="1" ht="13.5" customHeight="1">
      <c r="B11783" s="13"/>
      <c r="C11783" t="s" s="9">
        <v>30</v>
      </c>
      <c r="D11783" t="s" s="8">
        <v>4423</v>
      </c>
      <c r="E11783" t="s" s="9">
        <v>4423</v>
      </c>
      <c r="F11783" s="19">
        <v>10</v>
      </c>
      <c r="G11783" s="14"/>
      <c r="H11783" s="19">
        <v>10</v>
      </c>
      <c r="I11783" s="14"/>
      <c r="J11783" t="s" s="11">
        <v>20</v>
      </c>
      <c r="K11783" s="15"/>
      <c r="L11783" t="s" s="16">
        <f>HYPERLINK("http://csr.bu.edu/ftp/asl/asllvd/demos/verify_start_end_handshape_annotations//test_auto_move//signs_mov_separ_signers/Brady_7.mov","MOV")</f>
        <v>21</v>
      </c>
      <c r="M11783" t="s" s="10">
        <v>31</v>
      </c>
      <c r="N11783" s="17">
        <v>4</v>
      </c>
      <c r="O11783" s="18">
        <v>4980</v>
      </c>
      <c r="P11783" s="18">
        <v>5011</v>
      </c>
      <c r="Q11783" s="15"/>
      <c r="R11783" t="s" s="16">
        <f>HYPERLINK("http://secrets.rutgers.edu:8080/data/asl-ftp/asllvd/demos/verify_start_end_handshape_annotations//test_auto_move//signs_mov_separ_signers/Brady_7.mov","MOV")</f>
        <v>21</v>
      </c>
    </row>
    <row r="11784" s="2" customFormat="1" ht="13.5" customHeight="1">
      <c r="B11784" t="s" s="8">
        <v>4425</v>
      </c>
      <c r="C11784" t="s" s="9">
        <v>14</v>
      </c>
      <c r="D11784" t="s" s="8">
        <v>14</v>
      </c>
      <c r="E11784" t="s" s="9">
        <v>14</v>
      </c>
      <c r="F11784" t="s" s="10">
        <v>14</v>
      </c>
      <c r="G11784" t="s" s="11">
        <v>14</v>
      </c>
      <c r="H11784" t="s" s="10">
        <v>14</v>
      </c>
      <c r="I11784" t="s" s="11">
        <v>14</v>
      </c>
      <c r="J11784" t="s" s="11">
        <v>14</v>
      </c>
      <c r="K11784" t="s" s="12">
        <v>14</v>
      </c>
      <c r="L11784" t="s" s="12">
        <v>14</v>
      </c>
      <c r="M11784" t="s" s="10">
        <v>14</v>
      </c>
      <c r="N11784" t="s" s="11">
        <v>14</v>
      </c>
      <c r="O11784" t="s" s="8">
        <v>14</v>
      </c>
      <c r="P11784" t="s" s="8">
        <v>14</v>
      </c>
      <c r="Q11784" t="s" s="12">
        <v>14</v>
      </c>
      <c r="R11784" t="s" s="12">
        <v>14</v>
      </c>
    </row>
    <row r="11785" s="2" customFormat="1" ht="13.5" customHeight="1">
      <c r="B11785" s="13"/>
      <c r="C11785" t="s" s="9">
        <v>16</v>
      </c>
      <c r="D11785" t="s" s="8">
        <v>4425</v>
      </c>
      <c r="E11785" t="s" s="9">
        <v>4425</v>
      </c>
      <c r="F11785" s="19">
        <v>4</v>
      </c>
      <c r="G11785" s="14"/>
      <c r="H11785" s="19">
        <v>4</v>
      </c>
      <c r="I11785" s="14"/>
      <c r="J11785" t="s" s="11">
        <v>20</v>
      </c>
      <c r="K11785" s="15"/>
      <c r="L11785" t="s" s="16">
        <f>HYPERLINK("http://csr.bu.edu/ftp/asl/asllvd/demos/verify_start_end_handshape_annotations//test_auto_move//signs_mov_separ_signers/Liz_8.mov","MOV")</f>
        <v>21</v>
      </c>
      <c r="M11785" t="s" s="10">
        <v>22</v>
      </c>
      <c r="N11785" s="17">
        <v>2</v>
      </c>
      <c r="O11785" s="18">
        <v>2125</v>
      </c>
      <c r="P11785" s="18">
        <v>2155</v>
      </c>
      <c r="Q11785" s="15"/>
      <c r="R11785" t="s" s="16">
        <f>HYPERLINK("http://secrets.rutgers.edu:8080/data/asl-ftp/asllvd/demos/verify_start_end_handshape_annotations//test_auto_move//signs_mov_separ_signers/Liz_8.mov","MOV")</f>
        <v>21</v>
      </c>
    </row>
    <row r="11786" s="2" customFormat="1" ht="13.5" customHeight="1">
      <c r="B11786" s="13"/>
      <c r="C11786" t="s" s="9">
        <v>23</v>
      </c>
      <c r="D11786" t="s" s="8">
        <v>4425</v>
      </c>
      <c r="E11786" t="s" s="9">
        <v>4425</v>
      </c>
      <c r="F11786" s="19">
        <v>4</v>
      </c>
      <c r="G11786" s="14"/>
      <c r="H11786" s="19">
        <v>4</v>
      </c>
      <c r="I11786" s="14"/>
      <c r="J11786" t="s" s="11">
        <v>20</v>
      </c>
      <c r="K11786" s="15"/>
      <c r="L11786" t="s" s="16">
        <f>HYPERLINK("http://csr.bu.edu/ftp/asl/asllvd/demos/verify_start_end_handshape_annotations//test_auto_move//signs_mov_separ_signers/Tyler_8.mov","MOV")</f>
        <v>21</v>
      </c>
      <c r="M11786" t="s" s="10">
        <v>26</v>
      </c>
      <c r="N11786" s="17">
        <v>1</v>
      </c>
      <c r="O11786" s="18">
        <v>2020</v>
      </c>
      <c r="P11786" s="18">
        <v>2110</v>
      </c>
      <c r="Q11786" s="15"/>
      <c r="R11786" t="s" s="16">
        <f>HYPERLINK("http://secrets.rutgers.edu:8080/data/asl-ftp/asllvd/demos/verify_start_end_handshape_annotations//test_auto_move//signs_mov_separ_signers/Tyler_8.mov","MOV")</f>
        <v>21</v>
      </c>
    </row>
    <row r="11787" s="2" customFormat="1" ht="13.5" customHeight="1">
      <c r="B11787" s="13"/>
      <c r="C11787" t="s" s="9">
        <v>27</v>
      </c>
      <c r="D11787" t="s" s="8">
        <v>4425</v>
      </c>
      <c r="E11787" t="s" s="9">
        <v>4425</v>
      </c>
      <c r="F11787" s="19">
        <v>4</v>
      </c>
      <c r="G11787" s="14"/>
      <c r="H11787" s="19">
        <v>4</v>
      </c>
      <c r="I11787" s="14"/>
      <c r="J11787" t="s" s="11">
        <v>20</v>
      </c>
      <c r="K11787" t="s" s="16">
        <f>HYPERLINK("http://csr.bu.edu/ftp/asl/asllvd/demos/verify_start_end_handshape_annotations//test_auto_move//signs_mov/8.mov","MOV")</f>
        <v>21</v>
      </c>
      <c r="L11787" t="s" s="16">
        <f>HYPERLINK("http://csr.bu.edu/ftp/asl/asllvd/demos/verify_start_end_handshape_annotations//test_auto_move//signs_mov_separ_signers/Naomi_8.mov","MOV")</f>
        <v>21</v>
      </c>
      <c r="M11787" t="s" s="10">
        <v>29</v>
      </c>
      <c r="N11787" s="17">
        <v>1</v>
      </c>
      <c r="O11787" s="18">
        <v>1843</v>
      </c>
      <c r="P11787" s="18">
        <v>1860</v>
      </c>
      <c r="Q11787" t="s" s="16">
        <f>HYPERLINK("http://secrets.rutgers.edu:8080/data/asl-ftp/asllvd/demos/verify_start_end_handshape_annotations//test_auto_move//signs_mov/8.mov","MOV")</f>
        <v>21</v>
      </c>
      <c r="R11787" t="s" s="16">
        <f>HYPERLINK("http://secrets.rutgers.edu:8080/data/asl-ftp/asllvd/demos/verify_start_end_handshape_annotations//test_auto_move//signs_mov_separ_signers/Naomi_8.mov","MOV")</f>
        <v>21</v>
      </c>
    </row>
    <row r="11788" s="2" customFormat="1" ht="13.5" customHeight="1">
      <c r="B11788" s="13"/>
      <c r="C11788" t="s" s="9">
        <v>30</v>
      </c>
      <c r="D11788" t="s" s="8">
        <v>4425</v>
      </c>
      <c r="E11788" t="s" s="9">
        <v>4425</v>
      </c>
      <c r="F11788" s="19">
        <v>4</v>
      </c>
      <c r="G11788" s="14"/>
      <c r="H11788" s="19">
        <v>4</v>
      </c>
      <c r="I11788" s="14"/>
      <c r="J11788" t="s" s="11">
        <v>20</v>
      </c>
      <c r="K11788" s="15"/>
      <c r="L11788" t="s" s="16">
        <f>HYPERLINK("http://csr.bu.edu/ftp/asl/asllvd/demos/verify_start_end_handshape_annotations//test_auto_move//signs_mov_separ_signers/Brady_8.mov","MOV")</f>
        <v>21</v>
      </c>
      <c r="M11788" t="s" s="10">
        <v>31</v>
      </c>
      <c r="N11788" s="17">
        <v>5</v>
      </c>
      <c r="O11788" s="18">
        <v>9227</v>
      </c>
      <c r="P11788" s="18">
        <v>9242</v>
      </c>
      <c r="Q11788" s="15"/>
      <c r="R11788" t="s" s="16">
        <f>HYPERLINK("http://secrets.rutgers.edu:8080/data/asl-ftp/asllvd/demos/verify_start_end_handshape_annotations//test_auto_move//signs_mov_separ_signers/Brady_8.mov","MOV")</f>
        <v>21</v>
      </c>
    </row>
    <row r="11789" s="2" customFormat="1" ht="13.5" customHeight="1">
      <c r="B11789" s="13"/>
      <c r="C11789" t="s" s="9">
        <v>41</v>
      </c>
      <c r="D11789" t="s" s="8">
        <v>4425</v>
      </c>
      <c r="E11789" t="s" s="9">
        <v>4425</v>
      </c>
      <c r="F11789" s="19">
        <v>4</v>
      </c>
      <c r="G11789" s="14"/>
      <c r="H11789" s="19">
        <v>4</v>
      </c>
      <c r="I11789" s="14"/>
      <c r="J11789" t="s" s="11">
        <v>20</v>
      </c>
      <c r="K11789" s="15"/>
      <c r="L11789" t="s" s="16">
        <f>HYPERLINK("http://csr.bu.edu/ftp/asl/asllvd/demos/verify_start_end_handshape_annotations//test_auto_move//signs_mov_separ_signers/Lana_8.mov","MOV")</f>
        <v>21</v>
      </c>
      <c r="M11789" t="s" s="10">
        <v>42</v>
      </c>
      <c r="N11789" s="17">
        <v>11</v>
      </c>
      <c r="O11789" s="18">
        <v>2078</v>
      </c>
      <c r="P11789" s="18">
        <v>2087</v>
      </c>
      <c r="Q11789" s="15"/>
      <c r="R11789" t="s" s="16">
        <f>HYPERLINK("http://secrets.rutgers.edu:8080/data/asl-ftp/asllvd/demos/verify_start_end_handshape_annotations//test_auto_move//signs_mov_separ_signers/Lana_8.mov","MOV")</f>
        <v>21</v>
      </c>
    </row>
    <row r="11790" s="2" customFormat="1" ht="13.5" customHeight="1">
      <c r="B11790" s="13"/>
      <c r="C11790" t="s" s="9">
        <v>43</v>
      </c>
      <c r="D11790" t="s" s="8">
        <v>4425</v>
      </c>
      <c r="E11790" t="s" s="9">
        <v>4425</v>
      </c>
      <c r="F11790" s="19">
        <v>4</v>
      </c>
      <c r="G11790" s="14"/>
      <c r="H11790" s="19">
        <v>4</v>
      </c>
      <c r="I11790" s="14"/>
      <c r="J11790" t="s" s="11">
        <v>20</v>
      </c>
      <c r="K11790" s="15"/>
      <c r="L11790" t="s" s="16">
        <f>HYPERLINK("http://csr.bu.edu/ftp/asl/asllvd/demos/verify_start_end_handshape_annotations//test_auto_move//signs_mov_separ_signers/Dana_8.mov","MOV")</f>
        <v>21</v>
      </c>
      <c r="M11790" t="s" s="10">
        <v>44</v>
      </c>
      <c r="N11790" s="17">
        <v>15</v>
      </c>
      <c r="O11790" s="18">
        <v>2009</v>
      </c>
      <c r="P11790" s="18">
        <v>2056</v>
      </c>
      <c r="Q11790" s="15"/>
      <c r="R11790" t="s" s="16">
        <f>HYPERLINK("http://secrets.rutgers.edu:8080/data/asl-ftp/asllvd/demos/verify_start_end_handshape_annotations//test_auto_move//signs_mov_separ_signers/Dana_8.mov","MOV")</f>
        <v>21</v>
      </c>
    </row>
    <row r="11791" s="2" customFormat="1" ht="13.5" customHeight="1">
      <c r="B11791" t="s" s="8">
        <v>4426</v>
      </c>
      <c r="C11791" t="s" s="9">
        <v>14</v>
      </c>
      <c r="D11791" t="s" s="8">
        <v>14</v>
      </c>
      <c r="E11791" t="s" s="9">
        <v>14</v>
      </c>
      <c r="F11791" t="s" s="10">
        <v>14</v>
      </c>
      <c r="G11791" t="s" s="11">
        <v>14</v>
      </c>
      <c r="H11791" t="s" s="10">
        <v>14</v>
      </c>
      <c r="I11791" t="s" s="11">
        <v>14</v>
      </c>
      <c r="J11791" t="s" s="11">
        <v>14</v>
      </c>
      <c r="K11791" t="s" s="12">
        <v>14</v>
      </c>
      <c r="L11791" t="s" s="12">
        <v>14</v>
      </c>
      <c r="M11791" t="s" s="10">
        <v>14</v>
      </c>
      <c r="N11791" t="s" s="11">
        <v>14</v>
      </c>
      <c r="O11791" t="s" s="8">
        <v>14</v>
      </c>
      <c r="P11791" t="s" s="8">
        <v>14</v>
      </c>
      <c r="Q11791" t="s" s="12">
        <v>14</v>
      </c>
      <c r="R11791" t="s" s="12">
        <v>14</v>
      </c>
    </row>
    <row r="11792" s="2" customFormat="1" ht="13.5" customHeight="1">
      <c r="B11792" s="13"/>
      <c r="C11792" t="s" s="9">
        <v>16</v>
      </c>
      <c r="D11792" t="s" s="8">
        <v>4426</v>
      </c>
      <c r="E11792" t="s" s="9">
        <v>4426</v>
      </c>
      <c r="F11792" s="19">
        <v>3</v>
      </c>
      <c r="G11792" s="14"/>
      <c r="H11792" s="19">
        <v>3</v>
      </c>
      <c r="I11792" s="14"/>
      <c r="J11792" t="s" s="11">
        <v>20</v>
      </c>
      <c r="K11792" s="15"/>
      <c r="L11792" t="s" s="16">
        <f>HYPERLINK("http://csr.bu.edu/ftp/asl/asllvd/demos/verify_start_end_handshape_annotations//test_auto_move//signs_mov_separ_signers/Liz_9.mov","MOV")</f>
        <v>21</v>
      </c>
      <c r="M11792" t="s" s="10">
        <v>22</v>
      </c>
      <c r="N11792" s="17">
        <v>2</v>
      </c>
      <c r="O11792" s="18">
        <v>2411</v>
      </c>
      <c r="P11792" s="18">
        <v>2435</v>
      </c>
      <c r="Q11792" s="15"/>
      <c r="R11792" t="s" s="16">
        <f>HYPERLINK("http://secrets.rutgers.edu:8080/data/asl-ftp/asllvd/demos/verify_start_end_handshape_annotations//test_auto_move//signs_mov_separ_signers/Liz_9.mov","MOV")</f>
        <v>21</v>
      </c>
    </row>
    <row r="11793" s="2" customFormat="1" ht="13.5" customHeight="1">
      <c r="B11793" s="13"/>
      <c r="C11793" t="s" s="9">
        <v>23</v>
      </c>
      <c r="D11793" t="s" s="8">
        <v>4426</v>
      </c>
      <c r="E11793" t="s" s="9">
        <v>4426</v>
      </c>
      <c r="F11793" s="19">
        <v>3</v>
      </c>
      <c r="G11793" s="14"/>
      <c r="H11793" s="19">
        <v>3</v>
      </c>
      <c r="I11793" s="14"/>
      <c r="J11793" t="s" s="11">
        <v>20</v>
      </c>
      <c r="K11793" t="s" s="16">
        <f>HYPERLINK("http://csr.bu.edu/ftp/asl/asllvd/demos/verify_start_end_handshape_annotations//test_auto_move//signs_mov/9.mov","MOV")</f>
        <v>21</v>
      </c>
      <c r="L11793" t="s" s="16">
        <f>HYPERLINK("http://csr.bu.edu/ftp/asl/asllvd/demos/verify_start_end_handshape_annotations//test_auto_move//signs_mov_separ_signers/Tyler_9.mov","MOV")</f>
        <v>21</v>
      </c>
      <c r="M11793" t="s" s="10">
        <v>26</v>
      </c>
      <c r="N11793" s="17">
        <v>1</v>
      </c>
      <c r="O11793" s="18">
        <v>2226</v>
      </c>
      <c r="P11793" s="18">
        <v>2306</v>
      </c>
      <c r="Q11793" t="s" s="16">
        <f>HYPERLINK("http://secrets.rutgers.edu:8080/data/asl-ftp/asllvd/demos/verify_start_end_handshape_annotations//test_auto_move//signs_mov/9.mov","MOV")</f>
        <v>21</v>
      </c>
      <c r="R11793" t="s" s="16">
        <f>HYPERLINK("http://secrets.rutgers.edu:8080/data/asl-ftp/asllvd/demos/verify_start_end_handshape_annotations//test_auto_move//signs_mov_separ_signers/Tyler_9.mov","MOV")</f>
        <v>21</v>
      </c>
    </row>
    <row r="11794" s="2" customFormat="1" ht="13.5" customHeight="1">
      <c r="B11794" s="13"/>
      <c r="C11794" t="s" s="9">
        <v>27</v>
      </c>
      <c r="D11794" t="s" s="8">
        <v>4426</v>
      </c>
      <c r="E11794" t="s" s="9">
        <v>4426</v>
      </c>
      <c r="F11794" s="19">
        <v>3</v>
      </c>
      <c r="G11794" s="14"/>
      <c r="H11794" s="19">
        <v>3</v>
      </c>
      <c r="I11794" s="14"/>
      <c r="J11794" t="s" s="11">
        <v>20</v>
      </c>
      <c r="K11794" s="15"/>
      <c r="L11794" t="s" s="16">
        <f>HYPERLINK("http://csr.bu.edu/ftp/asl/asllvd/demos/verify_start_end_handshape_annotations//test_auto_move//signs_mov_separ_signers/Naomi_9.mov","MOV")</f>
        <v>21</v>
      </c>
      <c r="M11794" t="s" s="10">
        <v>29</v>
      </c>
      <c r="N11794" s="17">
        <v>1</v>
      </c>
      <c r="O11794" s="18">
        <v>2057</v>
      </c>
      <c r="P11794" s="18">
        <v>2078</v>
      </c>
      <c r="Q11794" s="15"/>
      <c r="R11794" t="s" s="16">
        <f>HYPERLINK("http://secrets.rutgers.edu:8080/data/asl-ftp/asllvd/demos/verify_start_end_handshape_annotations//test_auto_move//signs_mov_separ_signers/Naomi_9.mov","MOV")</f>
        <v>21</v>
      </c>
    </row>
    <row r="11795" s="2" customFormat="1" ht="13.5" customHeight="1">
      <c r="B11795" s="13"/>
      <c r="C11795" t="s" s="9">
        <v>30</v>
      </c>
      <c r="D11795" t="s" s="8">
        <v>4426</v>
      </c>
      <c r="E11795" t="s" s="9">
        <v>4426</v>
      </c>
      <c r="F11795" s="19">
        <v>3</v>
      </c>
      <c r="G11795" s="14"/>
      <c r="H11795" s="19">
        <v>3</v>
      </c>
      <c r="I11795" s="14"/>
      <c r="J11795" t="s" s="11">
        <v>20</v>
      </c>
      <c r="K11795" s="15"/>
      <c r="L11795" t="s" s="16">
        <f>HYPERLINK("http://csr.bu.edu/ftp/asl/asllvd/demos/verify_start_end_handshape_annotations//test_auto_move//signs_mov_separ_signers/Brady_9.mov","MOV")</f>
        <v>21</v>
      </c>
      <c r="M11795" t="s" s="10">
        <v>31</v>
      </c>
      <c r="N11795" s="17">
        <v>5</v>
      </c>
      <c r="O11795" s="18">
        <v>6628</v>
      </c>
      <c r="P11795" s="18">
        <v>6645</v>
      </c>
      <c r="Q11795" s="15"/>
      <c r="R11795" t="s" s="16">
        <f>HYPERLINK("http://secrets.rutgers.edu:8080/data/asl-ftp/asllvd/demos/verify_start_end_handshape_annotations//test_auto_move//signs_mov_separ_signers/Brady_9.mov","MOV")</f>
        <v>21</v>
      </c>
    </row>
    <row r="11796" s="2" customFormat="1" ht="13.5" customHeight="1">
      <c r="B11796" t="s" s="8">
        <v>52</v>
      </c>
      <c r="C11796" t="s" s="9">
        <v>53</v>
      </c>
      <c r="D11796" t="s" s="8">
        <v>53</v>
      </c>
      <c r="E11796" t="s" s="9">
        <v>53</v>
      </c>
      <c r="F11796" t="s" s="10">
        <v>53</v>
      </c>
      <c r="G11796" t="s" s="11">
        <v>53</v>
      </c>
      <c r="H11796" t="s" s="10">
        <v>53</v>
      </c>
      <c r="I11796" t="s" s="11">
        <v>53</v>
      </c>
      <c r="J11796" t="s" s="11">
        <v>53</v>
      </c>
      <c r="K11796" t="s" s="12">
        <v>53</v>
      </c>
      <c r="L11796" t="s" s="12">
        <v>53</v>
      </c>
      <c r="M11796" t="s" s="10">
        <v>53</v>
      </c>
      <c r="N11796" t="s" s="11">
        <v>53</v>
      </c>
      <c r="O11796" t="s" s="8">
        <v>53</v>
      </c>
      <c r="P11796" t="s" s="8">
        <v>53</v>
      </c>
      <c r="Q11796" t="s" s="12">
        <v>53</v>
      </c>
      <c r="R11796" t="s" s="12">
        <v>53</v>
      </c>
    </row>
    <row r="11797" s="2" customFormat="1" ht="13.5" customHeight="1">
      <c r="B11797" s="13"/>
      <c r="C11797" t="s" s="9">
        <v>30</v>
      </c>
      <c r="D11797" t="s" s="8">
        <v>4426</v>
      </c>
      <c r="E11797" t="s" s="9">
        <v>4427</v>
      </c>
      <c r="F11797" s="19">
        <v>3</v>
      </c>
      <c r="G11797" s="14"/>
      <c r="H11797" s="19">
        <v>3</v>
      </c>
      <c r="I11797" s="14"/>
      <c r="J11797" t="s" s="11">
        <v>20</v>
      </c>
      <c r="K11797" t="s" s="16">
        <f>HYPERLINK("http://csr.bu.edu/ftp/asl/asllvd/demos/verify_start_end_handshape_annotations//test_auto_move//signs_mov/3937.mov","MOV")</f>
        <v>21</v>
      </c>
      <c r="L11797" t="s" s="16">
        <f>HYPERLINK("http://csr.bu.edu/ftp/asl/asllvd/demos/verify_start_end_handshape_annotations//test_auto_move//signs_mov_separ_signers/Brady_3937.mov","MOV")</f>
        <v>21</v>
      </c>
      <c r="M11797" t="s" s="10">
        <v>31</v>
      </c>
      <c r="N11797" s="17">
        <v>5</v>
      </c>
      <c r="O11797" s="18">
        <v>8390</v>
      </c>
      <c r="P11797" s="18">
        <v>8403</v>
      </c>
      <c r="Q11797" t="s" s="16">
        <f>HYPERLINK("http://secrets.rutgers.edu:8080/data/asl-ftp/asllvd/demos/verify_start_end_handshape_annotations//test_auto_move//signs_mov/3937.mov","MOV")</f>
        <v>21</v>
      </c>
      <c r="R11797" t="s" s="16">
        <f>HYPERLINK("http://secrets.rutgers.edu:8080/data/asl-ftp/asllvd/demos/verify_start_end_handshape_annotations//test_auto_move//signs_mov_separ_signers/Brady_3937.mov","MOV")</f>
        <v>21</v>
      </c>
    </row>
    <row r="11798" s="2" customFormat="1" ht="13.5" customHeight="1">
      <c r="B11798" t="s" s="8">
        <v>4428</v>
      </c>
      <c r="C11798" t="s" s="9">
        <v>14</v>
      </c>
      <c r="D11798" t="s" s="8">
        <v>14</v>
      </c>
      <c r="E11798" t="s" s="9">
        <v>14</v>
      </c>
      <c r="F11798" t="s" s="10">
        <v>14</v>
      </c>
      <c r="G11798" t="s" s="11">
        <v>14</v>
      </c>
      <c r="H11798" t="s" s="10">
        <v>14</v>
      </c>
      <c r="I11798" t="s" s="11">
        <v>14</v>
      </c>
      <c r="J11798" t="s" s="11">
        <v>14</v>
      </c>
      <c r="K11798" t="s" s="12">
        <v>14</v>
      </c>
      <c r="L11798" t="s" s="12">
        <v>14</v>
      </c>
      <c r="M11798" t="s" s="10">
        <v>14</v>
      </c>
      <c r="N11798" t="s" s="11">
        <v>14</v>
      </c>
      <c r="O11798" t="s" s="8">
        <v>14</v>
      </c>
      <c r="P11798" t="s" s="8">
        <v>14</v>
      </c>
      <c r="Q11798" t="s" s="12">
        <v>14</v>
      </c>
      <c r="R11798" t="s" s="12">
        <v>14</v>
      </c>
    </row>
    <row r="11799" s="2" customFormat="1" ht="13.5" customHeight="1">
      <c r="B11799" s="13"/>
      <c r="C11799" t="s" s="9">
        <v>16</v>
      </c>
      <c r="D11799" t="s" s="8">
        <v>4428</v>
      </c>
      <c r="E11799" t="s" s="9">
        <v>4429</v>
      </c>
      <c r="F11799" t="s" s="10">
        <v>282</v>
      </c>
      <c r="G11799" s="14"/>
      <c r="H11799" t="s" s="10">
        <v>282</v>
      </c>
      <c r="I11799" s="14"/>
      <c r="J11799" t="s" s="11">
        <v>20</v>
      </c>
      <c r="K11799" s="15"/>
      <c r="L11799" t="s" s="16">
        <f>HYPERLINK("http://csr.bu.edu/ftp/asl/asllvd/demos/verify_start_end_handshape_annotations//test_auto_move//signs_mov_separ_signers/Liz_11.mov","MOV")</f>
        <v>21</v>
      </c>
      <c r="M11799" t="s" s="10">
        <v>22</v>
      </c>
      <c r="N11799" s="17">
        <v>2</v>
      </c>
      <c r="O11799" s="18">
        <v>2935</v>
      </c>
      <c r="P11799" s="18">
        <v>2980</v>
      </c>
      <c r="Q11799" s="15"/>
      <c r="R11799" t="s" s="16">
        <f>HYPERLINK("http://secrets.rutgers.edu:8080/data/asl-ftp/asllvd/demos/verify_start_end_handshape_annotations//test_auto_move//signs_mov_separ_signers/Liz_11.mov","MOV")</f>
        <v>21</v>
      </c>
    </row>
    <row r="11800" s="2" customFormat="1" ht="13.5" customHeight="1">
      <c r="B11800" s="13"/>
      <c r="C11800" t="s" s="9">
        <v>23</v>
      </c>
      <c r="D11800" t="s" s="8">
        <v>4428</v>
      </c>
      <c r="E11800" t="s" s="9">
        <v>4430</v>
      </c>
      <c r="F11800" t="s" s="10">
        <v>282</v>
      </c>
      <c r="G11800" s="14"/>
      <c r="H11800" t="s" s="10">
        <v>282</v>
      </c>
      <c r="I11800" s="14"/>
      <c r="J11800" t="s" s="11">
        <v>20</v>
      </c>
      <c r="K11800" s="15"/>
      <c r="L11800" t="s" s="16">
        <f>HYPERLINK("http://csr.bu.edu/ftp/asl/asllvd/demos/verify_start_end_handshape_annotations//test_auto_move//signs_mov_separ_signers/Tyler_11.mov","MOV")</f>
        <v>21</v>
      </c>
      <c r="M11800" t="s" s="10">
        <v>26</v>
      </c>
      <c r="N11800" s="17">
        <v>2</v>
      </c>
      <c r="O11800" s="18">
        <v>280</v>
      </c>
      <c r="P11800" s="18">
        <v>357</v>
      </c>
      <c r="Q11800" s="15"/>
      <c r="R11800" t="s" s="16">
        <f>HYPERLINK("http://secrets.rutgers.edu:8080/data/asl-ftp/asllvd/demos/verify_start_end_handshape_annotations//test_auto_move//signs_mov_separ_signers/Tyler_11.mov","MOV")</f>
        <v>21</v>
      </c>
    </row>
    <row r="11801" s="2" customFormat="1" ht="13.5" customHeight="1">
      <c r="B11801" s="13"/>
      <c r="C11801" t="s" s="9">
        <v>23</v>
      </c>
      <c r="D11801" t="s" s="8">
        <v>4428</v>
      </c>
      <c r="E11801" t="s" s="9">
        <v>4431</v>
      </c>
      <c r="F11801" t="s" s="10">
        <v>282</v>
      </c>
      <c r="G11801" s="14"/>
      <c r="H11801" t="s" s="10">
        <v>282</v>
      </c>
      <c r="I11801" s="14"/>
      <c r="J11801" t="s" s="11">
        <v>20</v>
      </c>
      <c r="K11801" s="15"/>
      <c r="L11801" t="s" s="16">
        <f>HYPERLINK("http://csr.bu.edu/ftp/asl/asllvd/demos/verify_start_end_handshape_annotations//test_auto_move//signs_mov_separ_signers/Tyler_3358.mov","MOV")</f>
        <v>21</v>
      </c>
      <c r="M11801" t="s" s="10">
        <v>26</v>
      </c>
      <c r="N11801" s="17">
        <v>2</v>
      </c>
      <c r="O11801" s="18">
        <v>1575</v>
      </c>
      <c r="P11801" s="18">
        <v>1661</v>
      </c>
      <c r="Q11801" s="15"/>
      <c r="R11801" t="s" s="16">
        <f>HYPERLINK("http://secrets.rutgers.edu:8080/data/asl-ftp/asllvd/demos/verify_start_end_handshape_annotations//test_auto_move//signs_mov_separ_signers/Tyler_3358.mov","MOV")</f>
        <v>21</v>
      </c>
    </row>
    <row r="11802" s="2" customFormat="1" ht="13.5" customHeight="1">
      <c r="B11802" s="13"/>
      <c r="C11802" t="s" s="9">
        <v>27</v>
      </c>
      <c r="D11802" t="s" s="8">
        <v>4428</v>
      </c>
      <c r="E11802" t="s" s="9">
        <v>4429</v>
      </c>
      <c r="F11802" t="s" s="10">
        <v>282</v>
      </c>
      <c r="G11802" s="14"/>
      <c r="H11802" t="s" s="10">
        <v>282</v>
      </c>
      <c r="I11802" s="14"/>
      <c r="J11802" t="s" s="11">
        <v>20</v>
      </c>
      <c r="K11802" t="s" s="16">
        <f>HYPERLINK("http://csr.bu.edu/ftp/asl/asllvd/demos/verify_start_end_handshape_annotations//test_auto_move//signs_mov/11_3358_3934_merged.mov","MOV")</f>
        <v>21</v>
      </c>
      <c r="L11802" t="s" s="16">
        <f>HYPERLINK("http://csr.bu.edu/ftp/asl/asllvd/demos/verify_start_end_handshape_annotations//test_auto_move//signs_mov_separ_signers/Naomi_11.mov","MOV")</f>
        <v>21</v>
      </c>
      <c r="M11802" t="s" s="10">
        <v>29</v>
      </c>
      <c r="N11802" s="17">
        <v>2</v>
      </c>
      <c r="O11802" s="18">
        <v>420</v>
      </c>
      <c r="P11802" s="18">
        <v>441</v>
      </c>
      <c r="Q11802" t="s" s="16">
        <f>HYPERLINK("http://secrets.rutgers.edu:8080/data/asl-ftp/asllvd/demos/verify_start_end_handshape_annotations//test_auto_move//signs_mov/11_3358_3934_merged.mov","MOV")</f>
        <v>21</v>
      </c>
      <c r="R11802" t="s" s="16">
        <f>HYPERLINK("http://secrets.rutgers.edu:8080/data/asl-ftp/asllvd/demos/verify_start_end_handshape_annotations//test_auto_move//signs_mov_separ_signers/Naomi_11.mov","MOV")</f>
        <v>21</v>
      </c>
    </row>
    <row r="11803" s="2" customFormat="1" ht="13.5" customHeight="1">
      <c r="B11803" s="13"/>
      <c r="C11803" t="s" s="9">
        <v>27</v>
      </c>
      <c r="D11803" t="s" s="8">
        <v>4428</v>
      </c>
      <c r="E11803" t="s" s="9">
        <v>4429</v>
      </c>
      <c r="F11803" t="s" s="10">
        <v>282</v>
      </c>
      <c r="G11803" s="14"/>
      <c r="H11803" t="s" s="10">
        <v>282</v>
      </c>
      <c r="I11803" s="14"/>
      <c r="J11803" t="s" s="11">
        <v>20</v>
      </c>
      <c r="K11803" s="15"/>
      <c r="L11803" t="s" s="16">
        <f>HYPERLINK("http://csr.bu.edu/ftp/asl/asllvd/demos/verify_start_end_handshape_annotations//test_auto_move//signs_mov_separ_signers/Naomi_3358.mov","MOV")</f>
        <v>21</v>
      </c>
      <c r="M11803" t="s" s="10">
        <v>29</v>
      </c>
      <c r="N11803" s="17">
        <v>2</v>
      </c>
      <c r="O11803" s="18">
        <v>1787</v>
      </c>
      <c r="P11803" s="18">
        <v>1812</v>
      </c>
      <c r="Q11803" s="15"/>
      <c r="R11803" t="s" s="16">
        <f>HYPERLINK("http://secrets.rutgers.edu:8080/data/asl-ftp/asllvd/demos/verify_start_end_handshape_annotations//test_auto_move//signs_mov_separ_signers/Naomi_3358.mov","MOV")</f>
        <v>21</v>
      </c>
    </row>
    <row r="11804" s="2" customFormat="1" ht="13.5" customHeight="1">
      <c r="B11804" s="13"/>
      <c r="C11804" t="s" s="9">
        <v>30</v>
      </c>
      <c r="D11804" t="s" s="8">
        <v>4428</v>
      </c>
      <c r="E11804" t="s" s="9">
        <v>4430</v>
      </c>
      <c r="F11804" t="s" s="10">
        <v>282</v>
      </c>
      <c r="G11804" s="14"/>
      <c r="H11804" t="s" s="10">
        <v>282</v>
      </c>
      <c r="I11804" s="14"/>
      <c r="J11804" t="s" s="11">
        <v>20</v>
      </c>
      <c r="K11804" s="15"/>
      <c r="L11804" t="s" s="16">
        <f>HYPERLINK("http://csr.bu.edu/ftp/asl/asllvd/demos/verify_start_end_handshape_annotations//test_auto_move//signs_mov_separ_signers/Brady_11.mov","MOV")</f>
        <v>21</v>
      </c>
      <c r="M11804" t="s" s="10">
        <v>31</v>
      </c>
      <c r="N11804" s="17">
        <v>4</v>
      </c>
      <c r="O11804" s="18">
        <v>13008</v>
      </c>
      <c r="P11804" s="18">
        <v>13041</v>
      </c>
      <c r="Q11804" s="15"/>
      <c r="R11804" t="s" s="16">
        <f>HYPERLINK("http://secrets.rutgers.edu:8080/data/asl-ftp/asllvd/demos/verify_start_end_handshape_annotations//test_auto_move//signs_mov_separ_signers/Brady_11.mov","MOV")</f>
        <v>21</v>
      </c>
    </row>
    <row r="11805" s="2" customFormat="1" ht="13.5" customHeight="1">
      <c r="B11805" s="13"/>
      <c r="C11805" t="s" s="9">
        <v>30</v>
      </c>
      <c r="D11805" t="s" s="8">
        <v>4428</v>
      </c>
      <c r="E11805" t="s" s="9">
        <v>4432</v>
      </c>
      <c r="F11805" t="s" s="10">
        <v>282</v>
      </c>
      <c r="G11805" s="14"/>
      <c r="H11805" t="s" s="10">
        <v>282</v>
      </c>
      <c r="I11805" s="14"/>
      <c r="J11805" t="s" s="11">
        <v>20</v>
      </c>
      <c r="K11805" s="15"/>
      <c r="L11805" t="s" s="16">
        <f>HYPERLINK("http://csr.bu.edu/ftp/asl/asllvd/demos/verify_start_end_handshape_annotations//test_auto_move//signs_mov_separ_signers/Brady_3358.mov","MOV")</f>
        <v>21</v>
      </c>
      <c r="M11805" t="s" s="10">
        <v>31</v>
      </c>
      <c r="N11805" s="17">
        <v>4</v>
      </c>
      <c r="O11805" s="18">
        <v>13843</v>
      </c>
      <c r="P11805" s="18">
        <v>13875</v>
      </c>
      <c r="Q11805" s="15"/>
      <c r="R11805" t="s" s="16">
        <f>HYPERLINK("http://secrets.rutgers.edu:8080/data/asl-ftp/asllvd/demos/verify_start_end_handshape_annotations//test_auto_move//signs_mov_separ_signers/Brady_3358.mov","MOV")</f>
        <v>21</v>
      </c>
    </row>
    <row r="11806" s="2" customFormat="1" ht="13.5" customHeight="1">
      <c r="B11806" s="13"/>
      <c r="C11806" t="s" s="9">
        <v>30</v>
      </c>
      <c r="D11806" t="s" s="8">
        <v>4428</v>
      </c>
      <c r="E11806" t="s" s="9">
        <v>4430</v>
      </c>
      <c r="F11806" t="s" s="10">
        <v>282</v>
      </c>
      <c r="G11806" s="14"/>
      <c r="H11806" t="s" s="10">
        <v>282</v>
      </c>
      <c r="I11806" s="14"/>
      <c r="J11806" t="s" s="11">
        <v>20</v>
      </c>
      <c r="K11806" s="15"/>
      <c r="L11806" t="s" s="16">
        <f>HYPERLINK("http://csr.bu.edu/ftp/asl/asllvd/demos/verify_start_end_handshape_annotations//test_auto_move//signs_mov_separ_signers/Brady_3934.mov","MOV")</f>
        <v>21</v>
      </c>
      <c r="M11806" t="s" s="10">
        <v>31</v>
      </c>
      <c r="N11806" s="17">
        <v>4</v>
      </c>
      <c r="O11806" s="18">
        <v>14002</v>
      </c>
      <c r="P11806" s="18">
        <v>14027</v>
      </c>
      <c r="Q11806" s="15"/>
      <c r="R11806" t="s" s="16">
        <f>HYPERLINK("http://secrets.rutgers.edu:8080/data/asl-ftp/asllvd/demos/verify_start_end_handshape_annotations//test_auto_move//signs_mov_separ_signers/Brady_3934.mov","MOV")</f>
        <v>21</v>
      </c>
    </row>
    <row r="11807" s="2" customFormat="1" ht="13.5" customHeight="1">
      <c r="B11807" t="s" s="8">
        <v>52</v>
      </c>
      <c r="C11807" t="s" s="9">
        <v>53</v>
      </c>
      <c r="D11807" t="s" s="8">
        <v>53</v>
      </c>
      <c r="E11807" t="s" s="9">
        <v>53</v>
      </c>
      <c r="F11807" t="s" s="10">
        <v>53</v>
      </c>
      <c r="G11807" t="s" s="11">
        <v>53</v>
      </c>
      <c r="H11807" t="s" s="10">
        <v>53</v>
      </c>
      <c r="I11807" t="s" s="11">
        <v>53</v>
      </c>
      <c r="J11807" t="s" s="11">
        <v>53</v>
      </c>
      <c r="K11807" t="s" s="12">
        <v>53</v>
      </c>
      <c r="L11807" t="s" s="12">
        <v>53</v>
      </c>
      <c r="M11807" t="s" s="10">
        <v>53</v>
      </c>
      <c r="N11807" t="s" s="11">
        <v>53</v>
      </c>
      <c r="O11807" t="s" s="8">
        <v>53</v>
      </c>
      <c r="P11807" t="s" s="8">
        <v>53</v>
      </c>
      <c r="Q11807" t="s" s="12">
        <v>53</v>
      </c>
      <c r="R11807" t="s" s="12">
        <v>53</v>
      </c>
    </row>
    <row r="11808" s="2" customFormat="1" ht="13.5" customHeight="1">
      <c r="B11808" s="13"/>
      <c r="C11808" t="s" s="9">
        <v>16</v>
      </c>
      <c r="D11808" t="s" s="8">
        <v>4428</v>
      </c>
      <c r="E11808" t="s" s="9">
        <v>4433</v>
      </c>
      <c r="F11808" s="19">
        <v>10</v>
      </c>
      <c r="G11808" s="14"/>
      <c r="H11808" t="s" s="10">
        <v>282</v>
      </c>
      <c r="I11808" s="14"/>
      <c r="J11808" t="s" s="11">
        <v>20</v>
      </c>
      <c r="K11808" t="s" s="16">
        <f>HYPERLINK("http://csr.bu.edu/ftp/asl/asllvd/demos/verify_start_end_handshape_annotations//test_auto_move//signs_mov/16234.mov","MOV")</f>
        <v>21</v>
      </c>
      <c r="L11808" t="s" s="16">
        <f>HYPERLINK("http://csr.bu.edu/ftp/asl/asllvd/demos/verify_start_end_handshape_annotations//test_auto_move//signs_mov_separ_signers/Liz_16234.mov","MOV")</f>
        <v>21</v>
      </c>
      <c r="M11808" t="s" s="10">
        <v>22</v>
      </c>
      <c r="N11808" s="17">
        <v>3</v>
      </c>
      <c r="O11808" s="18">
        <v>2345</v>
      </c>
      <c r="P11808" s="18">
        <v>2380</v>
      </c>
      <c r="Q11808" t="s" s="16">
        <f>HYPERLINK("http://secrets.rutgers.edu:8080/data/asl-ftp/asllvd/demos/verify_start_end_handshape_annotations//test_auto_move//signs_mov/16234.mov","MOV")</f>
        <v>21</v>
      </c>
      <c r="R11808" t="s" s="16">
        <f>HYPERLINK("http://secrets.rutgers.edu:8080/data/asl-ftp/asllvd/demos/verify_start_end_handshape_annotations//test_auto_move//signs_mov_separ_signers/Liz_16234.mov","MOV")</f>
        <v>21</v>
      </c>
    </row>
    <row r="11809" s="2" customFormat="1" ht="13.5" customHeight="1">
      <c r="B11809" t="s" s="8">
        <v>4434</v>
      </c>
      <c r="C11809" t="s" s="9">
        <v>14</v>
      </c>
      <c r="D11809" t="s" s="8">
        <v>14</v>
      </c>
      <c r="E11809" t="s" s="9">
        <v>14</v>
      </c>
      <c r="F11809" t="s" s="10">
        <v>14</v>
      </c>
      <c r="G11809" t="s" s="11">
        <v>14</v>
      </c>
      <c r="H11809" t="s" s="10">
        <v>14</v>
      </c>
      <c r="I11809" t="s" s="11">
        <v>14</v>
      </c>
      <c r="J11809" t="s" s="11">
        <v>14</v>
      </c>
      <c r="K11809" t="s" s="12">
        <v>14</v>
      </c>
      <c r="L11809" t="s" s="12">
        <v>14</v>
      </c>
      <c r="M11809" t="s" s="10">
        <v>14</v>
      </c>
      <c r="N11809" t="s" s="11">
        <v>14</v>
      </c>
      <c r="O11809" t="s" s="8">
        <v>14</v>
      </c>
      <c r="P11809" t="s" s="8">
        <v>14</v>
      </c>
      <c r="Q11809" t="s" s="12">
        <v>14</v>
      </c>
      <c r="R11809" t="s" s="12">
        <v>14</v>
      </c>
    </row>
    <row r="11810" s="2" customFormat="1" ht="13.5" customHeight="1">
      <c r="B11810" s="13"/>
      <c r="C11810" t="s" s="9">
        <v>16</v>
      </c>
      <c r="D11810" t="s" s="8">
        <v>4434</v>
      </c>
      <c r="E11810" t="s" s="9">
        <v>4434</v>
      </c>
      <c r="F11810" t="s" s="10">
        <v>282</v>
      </c>
      <c r="G11810" s="14"/>
      <c r="H11810" t="s" s="10">
        <v>282</v>
      </c>
      <c r="I11810" s="14"/>
      <c r="J11810" t="s" s="11">
        <v>20</v>
      </c>
      <c r="K11810" s="15"/>
      <c r="L11810" t="s" s="16">
        <f>HYPERLINK("http://csr.bu.edu/ftp/asl/asllvd/demos/verify_start_end_handshape_annotations//test_auto_move//signs_mov_separ_signers/Liz_12.mov","MOV")</f>
        <v>21</v>
      </c>
      <c r="M11810" t="s" s="10">
        <v>22</v>
      </c>
      <c r="N11810" s="17">
        <v>2</v>
      </c>
      <c r="O11810" s="18">
        <v>3250</v>
      </c>
      <c r="P11810" s="18">
        <v>3275</v>
      </c>
      <c r="Q11810" s="15"/>
      <c r="R11810" t="s" s="16">
        <f>HYPERLINK("http://secrets.rutgers.edu:8080/data/asl-ftp/asllvd/demos/verify_start_end_handshape_annotations//test_auto_move//signs_mov_separ_signers/Liz_12.mov","MOV")</f>
        <v>21</v>
      </c>
    </row>
    <row r="11811" s="2" customFormat="1" ht="13.5" customHeight="1">
      <c r="B11811" s="13"/>
      <c r="C11811" t="s" s="9">
        <v>23</v>
      </c>
      <c r="D11811" t="s" s="8">
        <v>4434</v>
      </c>
      <c r="E11811" t="s" s="9">
        <v>4434</v>
      </c>
      <c r="F11811" t="s" s="10">
        <v>282</v>
      </c>
      <c r="G11811" s="14"/>
      <c r="H11811" t="s" s="10">
        <v>282</v>
      </c>
      <c r="I11811" s="14"/>
      <c r="J11811" t="s" s="11">
        <v>20</v>
      </c>
      <c r="K11811" t="s" s="16">
        <f>HYPERLINK("http://csr.bu.edu/ftp/asl/asllvd/demos/verify_start_end_handshape_annotations//test_auto_move//signs_mov/12.mov","MOV")</f>
        <v>21</v>
      </c>
      <c r="L11811" t="s" s="16">
        <f>HYPERLINK("http://csr.bu.edu/ftp/asl/asllvd/demos/verify_start_end_handshape_annotations//test_auto_move//signs_mov_separ_signers/Tyler_12.mov","MOV")</f>
        <v>21</v>
      </c>
      <c r="M11811" t="s" s="10">
        <v>26</v>
      </c>
      <c r="N11811" s="17">
        <v>2</v>
      </c>
      <c r="O11811" s="18">
        <v>497</v>
      </c>
      <c r="P11811" s="18">
        <v>570</v>
      </c>
      <c r="Q11811" t="s" s="16">
        <f>HYPERLINK("http://secrets.rutgers.edu:8080/data/asl-ftp/asllvd/demos/verify_start_end_handshape_annotations//test_auto_move//signs_mov/12.mov","MOV")</f>
        <v>21</v>
      </c>
      <c r="R11811" t="s" s="16">
        <f>HYPERLINK("http://secrets.rutgers.edu:8080/data/asl-ftp/asllvd/demos/verify_start_end_handshape_annotations//test_auto_move//signs_mov_separ_signers/Tyler_12.mov","MOV")</f>
        <v>21</v>
      </c>
    </row>
    <row r="11812" s="2" customFormat="1" ht="13.5" customHeight="1">
      <c r="B11812" s="13"/>
      <c r="C11812" t="s" s="9">
        <v>27</v>
      </c>
      <c r="D11812" t="s" s="8">
        <v>4434</v>
      </c>
      <c r="E11812" t="s" s="9">
        <v>4434</v>
      </c>
      <c r="F11812" t="s" s="10">
        <v>282</v>
      </c>
      <c r="G11812" s="14"/>
      <c r="H11812" t="s" s="10">
        <v>282</v>
      </c>
      <c r="I11812" s="14"/>
      <c r="J11812" t="s" s="11">
        <v>20</v>
      </c>
      <c r="K11812" s="15"/>
      <c r="L11812" t="s" s="16">
        <f>HYPERLINK("http://csr.bu.edu/ftp/asl/asllvd/demos/verify_start_end_handshape_annotations//test_auto_move//signs_mov_separ_signers/Naomi_12.mov","MOV")</f>
        <v>21</v>
      </c>
      <c r="M11812" t="s" s="10">
        <v>29</v>
      </c>
      <c r="N11812" s="17">
        <v>2</v>
      </c>
      <c r="O11812" s="18">
        <v>660</v>
      </c>
      <c r="P11812" s="18">
        <v>683</v>
      </c>
      <c r="Q11812" s="15"/>
      <c r="R11812" t="s" s="16">
        <f>HYPERLINK("http://secrets.rutgers.edu:8080/data/asl-ftp/asllvd/demos/verify_start_end_handshape_annotations//test_auto_move//signs_mov_separ_signers/Naomi_12.mov","MOV")</f>
        <v>21</v>
      </c>
    </row>
    <row r="11813" s="2" customFormat="1" ht="13.5" customHeight="1">
      <c r="B11813" s="13"/>
      <c r="C11813" t="s" s="9">
        <v>30</v>
      </c>
      <c r="D11813" t="s" s="8">
        <v>4434</v>
      </c>
      <c r="E11813" t="s" s="9">
        <v>4434</v>
      </c>
      <c r="F11813" t="s" s="10">
        <v>282</v>
      </c>
      <c r="G11813" s="14"/>
      <c r="H11813" t="s" s="10">
        <v>282</v>
      </c>
      <c r="I11813" s="14"/>
      <c r="J11813" t="s" s="11">
        <v>20</v>
      </c>
      <c r="K11813" s="15"/>
      <c r="L11813" t="s" s="16">
        <f>HYPERLINK("http://csr.bu.edu/ftp/asl/asllvd/demos/verify_start_end_handshape_annotations//test_auto_move//signs_mov_separ_signers/Brady_12.mov","MOV")</f>
        <v>21</v>
      </c>
      <c r="M11813" t="s" s="10">
        <v>31</v>
      </c>
      <c r="N11813" s="17">
        <v>6</v>
      </c>
      <c r="O11813" s="18">
        <v>5724</v>
      </c>
      <c r="P11813" s="18">
        <v>5730</v>
      </c>
      <c r="Q11813" s="15"/>
      <c r="R11813" t="s" s="16">
        <f>HYPERLINK("http://secrets.rutgers.edu:8080/data/asl-ftp/asllvd/demos/verify_start_end_handshape_annotations//test_auto_move//signs_mov_separ_signers/Brady_12.mov","MOV")</f>
        <v>21</v>
      </c>
    </row>
    <row r="11814" s="2" customFormat="1" ht="13.5" customHeight="1">
      <c r="B11814" t="s" s="8">
        <v>4435</v>
      </c>
      <c r="C11814" t="s" s="9">
        <v>14</v>
      </c>
      <c r="D11814" t="s" s="8">
        <v>14</v>
      </c>
      <c r="E11814" t="s" s="9">
        <v>14</v>
      </c>
      <c r="F11814" t="s" s="10">
        <v>14</v>
      </c>
      <c r="G11814" t="s" s="11">
        <v>14</v>
      </c>
      <c r="H11814" t="s" s="10">
        <v>14</v>
      </c>
      <c r="I11814" t="s" s="11">
        <v>14</v>
      </c>
      <c r="J11814" t="s" s="11">
        <v>14</v>
      </c>
      <c r="K11814" t="s" s="12">
        <v>14</v>
      </c>
      <c r="L11814" t="s" s="12">
        <v>14</v>
      </c>
      <c r="M11814" t="s" s="10">
        <v>14</v>
      </c>
      <c r="N11814" t="s" s="11">
        <v>14</v>
      </c>
      <c r="O11814" t="s" s="8">
        <v>14</v>
      </c>
      <c r="P11814" t="s" s="8">
        <v>14</v>
      </c>
      <c r="Q11814" t="s" s="12">
        <v>14</v>
      </c>
      <c r="R11814" t="s" s="12">
        <v>14</v>
      </c>
    </row>
    <row r="11815" s="2" customFormat="1" ht="13.5" customHeight="1">
      <c r="B11815" s="13"/>
      <c r="C11815" t="s" s="9">
        <v>23</v>
      </c>
      <c r="D11815" t="s" s="8">
        <v>4435</v>
      </c>
      <c r="E11815" t="s" s="9">
        <v>4435</v>
      </c>
      <c r="F11815" s="19">
        <v>8</v>
      </c>
      <c r="G11815" s="14"/>
      <c r="H11815" s="19">
        <v>8</v>
      </c>
      <c r="I11815" s="14"/>
      <c r="J11815" t="s" s="11">
        <v>20</v>
      </c>
      <c r="K11815" s="15"/>
      <c r="L11815" t="s" s="16">
        <f>HYPERLINK("http://csr.bu.edu/ftp/asl/asllvd/demos/verify_start_end_handshape_annotations//test_auto_move//signs_mov_separ_signers/Tyler_13.mov","MOV")</f>
        <v>21</v>
      </c>
      <c r="M11815" t="s" s="10">
        <v>26</v>
      </c>
      <c r="N11815" s="17">
        <v>2</v>
      </c>
      <c r="O11815" s="18">
        <v>680</v>
      </c>
      <c r="P11815" s="18">
        <v>742</v>
      </c>
      <c r="Q11815" s="15"/>
      <c r="R11815" t="s" s="16">
        <f>HYPERLINK("http://secrets.rutgers.edu:8080/data/asl-ftp/asllvd/demos/verify_start_end_handshape_annotations//test_auto_move//signs_mov_separ_signers/Tyler_13.mov","MOV")</f>
        <v>21</v>
      </c>
    </row>
    <row r="11816" s="2" customFormat="1" ht="13.5" customHeight="1">
      <c r="B11816" s="13"/>
      <c r="C11816" t="s" s="9">
        <v>27</v>
      </c>
      <c r="D11816" t="s" s="8">
        <v>4435</v>
      </c>
      <c r="E11816" t="s" s="9">
        <v>4435</v>
      </c>
      <c r="F11816" s="19">
        <v>8</v>
      </c>
      <c r="G11816" s="14"/>
      <c r="H11816" s="19">
        <v>8</v>
      </c>
      <c r="I11816" s="14"/>
      <c r="J11816" t="s" s="11">
        <v>20</v>
      </c>
      <c r="K11816" t="s" s="16">
        <f>HYPERLINK("http://csr.bu.edu/ftp/asl/asllvd/demos/verify_start_end_handshape_annotations//test_auto_move//signs_mov/13.mov","MOV")</f>
        <v>21</v>
      </c>
      <c r="L11816" t="s" s="16">
        <f>HYPERLINK("http://csr.bu.edu/ftp/asl/asllvd/demos/verify_start_end_handshape_annotations//test_auto_move//signs_mov_separ_signers/Naomi_13.mov","MOV")</f>
        <v>21</v>
      </c>
      <c r="M11816" t="s" s="10">
        <v>29</v>
      </c>
      <c r="N11816" s="17">
        <v>2</v>
      </c>
      <c r="O11816" s="18">
        <v>883</v>
      </c>
      <c r="P11816" s="18">
        <v>906</v>
      </c>
      <c r="Q11816" t="s" s="16">
        <f>HYPERLINK("http://secrets.rutgers.edu:8080/data/asl-ftp/asllvd/demos/verify_start_end_handshape_annotations//test_auto_move//signs_mov/13.mov","MOV")</f>
        <v>21</v>
      </c>
      <c r="R11816" t="s" s="16">
        <f>HYPERLINK("http://secrets.rutgers.edu:8080/data/asl-ftp/asllvd/demos/verify_start_end_handshape_annotations//test_auto_move//signs_mov_separ_signers/Naomi_13.mov","MOV")</f>
        <v>21</v>
      </c>
    </row>
    <row r="11817" s="2" customFormat="1" ht="13.5" customHeight="1">
      <c r="B11817" s="13"/>
      <c r="C11817" t="s" s="9">
        <v>30</v>
      </c>
      <c r="D11817" t="s" s="8">
        <v>4435</v>
      </c>
      <c r="E11817" t="s" s="9">
        <v>4435</v>
      </c>
      <c r="F11817" s="19">
        <v>8</v>
      </c>
      <c r="G11817" s="14"/>
      <c r="H11817" s="19">
        <v>8</v>
      </c>
      <c r="I11817" s="14"/>
      <c r="J11817" t="s" s="11">
        <v>20</v>
      </c>
      <c r="K11817" s="15"/>
      <c r="L11817" t="s" s="16">
        <f>HYPERLINK("http://csr.bu.edu/ftp/asl/asllvd/demos/verify_start_end_handshape_annotations//test_auto_move//signs_mov_separ_signers/Brady_13.mov","MOV")</f>
        <v>21</v>
      </c>
      <c r="M11817" t="s" s="10">
        <v>31</v>
      </c>
      <c r="N11817" s="17">
        <v>6</v>
      </c>
      <c r="O11817" s="18">
        <v>3545</v>
      </c>
      <c r="P11817" s="18">
        <v>3559</v>
      </c>
      <c r="Q11817" s="15"/>
      <c r="R11817" t="s" s="16">
        <f>HYPERLINK("http://secrets.rutgers.edu:8080/data/asl-ftp/asllvd/demos/verify_start_end_handshape_annotations//test_auto_move//signs_mov_separ_signers/Brady_13.mov","MOV")</f>
        <v>21</v>
      </c>
    </row>
    <row r="11818" s="2" customFormat="1" ht="13.5" customHeight="1">
      <c r="B11818" t="s" s="8">
        <v>4436</v>
      </c>
      <c r="C11818" t="s" s="9">
        <v>14</v>
      </c>
      <c r="D11818" t="s" s="8">
        <v>14</v>
      </c>
      <c r="E11818" t="s" s="9">
        <v>14</v>
      </c>
      <c r="F11818" t="s" s="10">
        <v>14</v>
      </c>
      <c r="G11818" t="s" s="11">
        <v>14</v>
      </c>
      <c r="H11818" t="s" s="10">
        <v>14</v>
      </c>
      <c r="I11818" t="s" s="11">
        <v>14</v>
      </c>
      <c r="J11818" t="s" s="11">
        <v>14</v>
      </c>
      <c r="K11818" t="s" s="12">
        <v>14</v>
      </c>
      <c r="L11818" t="s" s="12">
        <v>14</v>
      </c>
      <c r="M11818" t="s" s="10">
        <v>14</v>
      </c>
      <c r="N11818" t="s" s="11">
        <v>14</v>
      </c>
      <c r="O11818" t="s" s="8">
        <v>14</v>
      </c>
      <c r="P11818" t="s" s="8">
        <v>14</v>
      </c>
      <c r="Q11818" t="s" s="12">
        <v>14</v>
      </c>
      <c r="R11818" t="s" s="12">
        <v>14</v>
      </c>
    </row>
    <row r="11819" s="2" customFormat="1" ht="13.5" customHeight="1">
      <c r="B11819" s="13"/>
      <c r="C11819" t="s" s="9">
        <v>16</v>
      </c>
      <c r="D11819" t="s" s="8">
        <v>4436</v>
      </c>
      <c r="E11819" t="s" s="9">
        <v>4436</v>
      </c>
      <c r="F11819" s="19">
        <v>7</v>
      </c>
      <c r="G11819" s="14"/>
      <c r="H11819" s="19">
        <v>7</v>
      </c>
      <c r="I11819" s="14"/>
      <c r="J11819" t="s" s="11">
        <v>20</v>
      </c>
      <c r="K11819" s="15"/>
      <c r="L11819" t="s" s="16">
        <f>HYPERLINK("http://csr.bu.edu/ftp/asl/asllvd/demos/verify_start_end_handshape_annotations//test_auto_move//signs_mov_separ_signers/Liz_14.mov","MOV")</f>
        <v>21</v>
      </c>
      <c r="M11819" t="s" s="10">
        <v>22</v>
      </c>
      <c r="N11819" s="17">
        <v>3</v>
      </c>
      <c r="O11819" s="18">
        <v>1511</v>
      </c>
      <c r="P11819" s="18">
        <v>1555</v>
      </c>
      <c r="Q11819" s="15"/>
      <c r="R11819" t="s" s="16">
        <f>HYPERLINK("http://secrets.rutgers.edu:8080/data/asl-ftp/asllvd/demos/verify_start_end_handshape_annotations//test_auto_move//signs_mov_separ_signers/Liz_14.mov","MOV")</f>
        <v>21</v>
      </c>
    </row>
    <row r="11820" s="2" customFormat="1" ht="13.5" customHeight="1">
      <c r="B11820" s="13"/>
      <c r="C11820" t="s" s="9">
        <v>23</v>
      </c>
      <c r="D11820" t="s" s="8">
        <v>4436</v>
      </c>
      <c r="E11820" t="s" s="9">
        <v>4436</v>
      </c>
      <c r="F11820" s="19">
        <v>7</v>
      </c>
      <c r="G11820" s="14"/>
      <c r="H11820" s="19">
        <v>7</v>
      </c>
      <c r="I11820" s="14"/>
      <c r="J11820" t="s" s="11">
        <v>20</v>
      </c>
      <c r="K11820" t="s" s="16">
        <f>HYPERLINK("http://csr.bu.edu/ftp/asl/asllvd/demos/verify_start_end_handshape_annotations//test_auto_move//signs_mov/14.mov","MOV")</f>
        <v>21</v>
      </c>
      <c r="L11820" t="s" s="16">
        <f>HYPERLINK("http://csr.bu.edu/ftp/asl/asllvd/demos/verify_start_end_handshape_annotations//test_auto_move//signs_mov_separ_signers/Tyler_14.mov","MOV")</f>
        <v>21</v>
      </c>
      <c r="M11820" t="s" s="10">
        <v>26</v>
      </c>
      <c r="N11820" s="17">
        <v>2</v>
      </c>
      <c r="O11820" s="18">
        <v>865</v>
      </c>
      <c r="P11820" s="18">
        <v>935</v>
      </c>
      <c r="Q11820" t="s" s="16">
        <f>HYPERLINK("http://secrets.rutgers.edu:8080/data/asl-ftp/asllvd/demos/verify_start_end_handshape_annotations//test_auto_move//signs_mov/14.mov","MOV")</f>
        <v>21</v>
      </c>
      <c r="R11820" t="s" s="16">
        <f>HYPERLINK("http://secrets.rutgers.edu:8080/data/asl-ftp/asllvd/demos/verify_start_end_handshape_annotations//test_auto_move//signs_mov_separ_signers/Tyler_14.mov","MOV")</f>
        <v>21</v>
      </c>
    </row>
    <row r="11821" s="2" customFormat="1" ht="13.5" customHeight="1">
      <c r="B11821" s="13"/>
      <c r="C11821" t="s" s="9">
        <v>27</v>
      </c>
      <c r="D11821" t="s" s="8">
        <v>4436</v>
      </c>
      <c r="E11821" t="s" s="9">
        <v>4436</v>
      </c>
      <c r="F11821" s="19">
        <v>7</v>
      </c>
      <c r="G11821" s="14"/>
      <c r="H11821" s="19">
        <v>7</v>
      </c>
      <c r="I11821" s="14"/>
      <c r="J11821" t="s" s="11">
        <v>20</v>
      </c>
      <c r="K11821" s="15"/>
      <c r="L11821" t="s" s="16">
        <f>HYPERLINK("http://csr.bu.edu/ftp/asl/asllvd/demos/verify_start_end_handshape_annotations//test_auto_move//signs_mov_separ_signers/Naomi_14.mov","MOV")</f>
        <v>21</v>
      </c>
      <c r="M11821" t="s" s="10">
        <v>29</v>
      </c>
      <c r="N11821" s="17">
        <v>2</v>
      </c>
      <c r="O11821" s="18">
        <v>1070</v>
      </c>
      <c r="P11821" s="18">
        <v>1113</v>
      </c>
      <c r="Q11821" s="15"/>
      <c r="R11821" t="s" s="16">
        <f>HYPERLINK("http://secrets.rutgers.edu:8080/data/asl-ftp/asllvd/demos/verify_start_end_handshape_annotations//test_auto_move//signs_mov_separ_signers/Naomi_14.mov","MOV")</f>
        <v>21</v>
      </c>
    </row>
    <row r="11822" s="2" customFormat="1" ht="13.5" customHeight="1">
      <c r="B11822" s="13"/>
      <c r="C11822" t="s" s="9">
        <v>30</v>
      </c>
      <c r="D11822" t="s" s="8">
        <v>4436</v>
      </c>
      <c r="E11822" t="s" s="9">
        <v>4436</v>
      </c>
      <c r="F11822" s="19">
        <v>7</v>
      </c>
      <c r="G11822" s="14"/>
      <c r="H11822" s="19">
        <v>7</v>
      </c>
      <c r="I11822" s="14"/>
      <c r="J11822" t="s" s="11">
        <v>20</v>
      </c>
      <c r="K11822" s="15"/>
      <c r="L11822" t="s" s="16">
        <f>HYPERLINK("http://csr.bu.edu/ftp/asl/asllvd/demos/verify_start_end_handshape_annotations//test_auto_move//signs_mov_separ_signers/Brady_14.mov","MOV")</f>
        <v>21</v>
      </c>
      <c r="M11822" t="s" s="10">
        <v>31</v>
      </c>
      <c r="N11822" s="17">
        <v>6</v>
      </c>
      <c r="O11822" s="18">
        <v>2654</v>
      </c>
      <c r="P11822" s="18">
        <v>2664</v>
      </c>
      <c r="Q11822" s="15"/>
      <c r="R11822" t="s" s="16">
        <f>HYPERLINK("http://secrets.rutgers.edu:8080/data/asl-ftp/asllvd/demos/verify_start_end_handshape_annotations//test_auto_move//signs_mov_separ_signers/Brady_14.mov","MOV")</f>
        <v>21</v>
      </c>
    </row>
    <row r="11823" s="2" customFormat="1" ht="13.5" customHeight="1">
      <c r="B11823" t="s" s="8">
        <v>4437</v>
      </c>
      <c r="C11823" t="s" s="9">
        <v>14</v>
      </c>
      <c r="D11823" t="s" s="8">
        <v>14</v>
      </c>
      <c r="E11823" t="s" s="9">
        <v>14</v>
      </c>
      <c r="F11823" t="s" s="10">
        <v>14</v>
      </c>
      <c r="G11823" t="s" s="11">
        <v>14</v>
      </c>
      <c r="H11823" t="s" s="10">
        <v>14</v>
      </c>
      <c r="I11823" t="s" s="11">
        <v>14</v>
      </c>
      <c r="J11823" t="s" s="11">
        <v>14</v>
      </c>
      <c r="K11823" t="s" s="12">
        <v>14</v>
      </c>
      <c r="L11823" t="s" s="12">
        <v>14</v>
      </c>
      <c r="M11823" t="s" s="10">
        <v>14</v>
      </c>
      <c r="N11823" t="s" s="11">
        <v>14</v>
      </c>
      <c r="O11823" t="s" s="8">
        <v>14</v>
      </c>
      <c r="P11823" t="s" s="8">
        <v>14</v>
      </c>
      <c r="Q11823" t="s" s="12">
        <v>14</v>
      </c>
      <c r="R11823" t="s" s="12">
        <v>14</v>
      </c>
    </row>
    <row r="11824" s="2" customFormat="1" ht="13.5" customHeight="1">
      <c r="B11824" s="13"/>
      <c r="C11824" t="s" s="9">
        <v>16</v>
      </c>
      <c r="D11824" t="s" s="8">
        <v>4437</v>
      </c>
      <c r="E11824" t="s" s="9">
        <v>4437</v>
      </c>
      <c r="F11824" s="19">
        <v>6</v>
      </c>
      <c r="G11824" s="14"/>
      <c r="H11824" s="19">
        <v>6</v>
      </c>
      <c r="I11824" s="14"/>
      <c r="J11824" t="s" s="11">
        <v>20</v>
      </c>
      <c r="K11824" s="15"/>
      <c r="L11824" t="s" s="16">
        <f>HYPERLINK("http://csr.bu.edu/ftp/asl/asllvd/demos/verify_start_end_handshape_annotations//test_auto_move//signs_mov_separ_signers/Liz_15.mov","MOV")</f>
        <v>21</v>
      </c>
      <c r="M11824" t="s" s="10">
        <v>22</v>
      </c>
      <c r="N11824" s="17">
        <v>3</v>
      </c>
      <c r="O11824" s="18">
        <v>1820</v>
      </c>
      <c r="P11824" s="18">
        <v>1865</v>
      </c>
      <c r="Q11824" s="15"/>
      <c r="R11824" t="s" s="16">
        <f>HYPERLINK("http://secrets.rutgers.edu:8080/data/asl-ftp/asllvd/demos/verify_start_end_handshape_annotations//test_auto_move//signs_mov_separ_signers/Liz_15.mov","MOV")</f>
        <v>21</v>
      </c>
    </row>
    <row r="11825" s="2" customFormat="1" ht="13.5" customHeight="1">
      <c r="B11825" s="13"/>
      <c r="C11825" t="s" s="9">
        <v>23</v>
      </c>
      <c r="D11825" t="s" s="8">
        <v>4437</v>
      </c>
      <c r="E11825" t="s" s="9">
        <v>4437</v>
      </c>
      <c r="F11825" s="19">
        <v>6</v>
      </c>
      <c r="G11825" s="14"/>
      <c r="H11825" s="19">
        <v>6</v>
      </c>
      <c r="I11825" s="14"/>
      <c r="J11825" t="s" s="11">
        <v>20</v>
      </c>
      <c r="K11825" t="s" s="16">
        <f>HYPERLINK("http://csr.bu.edu/ftp/asl/asllvd/demos/verify_start_end_handshape_annotations//test_auto_move//signs_mov/15.mov","MOV")</f>
        <v>21</v>
      </c>
      <c r="L11825" t="s" s="16">
        <f>HYPERLINK("http://csr.bu.edu/ftp/asl/asllvd/demos/verify_start_end_handshape_annotations//test_auto_move//signs_mov_separ_signers/Tyler_15.mov","MOV")</f>
        <v>21</v>
      </c>
      <c r="M11825" t="s" s="10">
        <v>26</v>
      </c>
      <c r="N11825" s="17">
        <v>2</v>
      </c>
      <c r="O11825" s="18">
        <v>1065</v>
      </c>
      <c r="P11825" s="18">
        <v>1135</v>
      </c>
      <c r="Q11825" t="s" s="16">
        <f>HYPERLINK("http://secrets.rutgers.edu:8080/data/asl-ftp/asllvd/demos/verify_start_end_handshape_annotations//test_auto_move//signs_mov/15.mov","MOV")</f>
        <v>21</v>
      </c>
      <c r="R11825" t="s" s="16">
        <f>HYPERLINK("http://secrets.rutgers.edu:8080/data/asl-ftp/asllvd/demos/verify_start_end_handshape_annotations//test_auto_move//signs_mov_separ_signers/Tyler_15.mov","MOV")</f>
        <v>21</v>
      </c>
    </row>
    <row r="11826" s="2" customFormat="1" ht="13.5" customHeight="1">
      <c r="B11826" s="13"/>
      <c r="C11826" t="s" s="9">
        <v>27</v>
      </c>
      <c r="D11826" t="s" s="8">
        <v>4437</v>
      </c>
      <c r="E11826" t="s" s="9">
        <v>4437</v>
      </c>
      <c r="F11826" s="19">
        <v>6</v>
      </c>
      <c r="G11826" s="14"/>
      <c r="H11826" s="19">
        <v>6</v>
      </c>
      <c r="I11826" s="14"/>
      <c r="J11826" t="s" s="11">
        <v>20</v>
      </c>
      <c r="K11826" s="15"/>
      <c r="L11826" t="s" s="16">
        <f>HYPERLINK("http://csr.bu.edu/ftp/asl/asllvd/demos/verify_start_end_handshape_annotations//test_auto_move//signs_mov_separ_signers/Naomi_15.mov","MOV")</f>
        <v>21</v>
      </c>
      <c r="M11826" t="s" s="10">
        <v>29</v>
      </c>
      <c r="N11826" s="17">
        <v>2</v>
      </c>
      <c r="O11826" s="18">
        <v>1275</v>
      </c>
      <c r="P11826" s="18">
        <v>1296</v>
      </c>
      <c r="Q11826" s="15"/>
      <c r="R11826" t="s" s="16">
        <f>HYPERLINK("http://secrets.rutgers.edu:8080/data/asl-ftp/asllvd/demos/verify_start_end_handshape_annotations//test_auto_move//signs_mov_separ_signers/Naomi_15.mov","MOV")</f>
        <v>21</v>
      </c>
    </row>
    <row r="11827" s="2" customFormat="1" ht="13.5" customHeight="1">
      <c r="B11827" s="13"/>
      <c r="C11827" t="s" s="9">
        <v>30</v>
      </c>
      <c r="D11827" t="s" s="8">
        <v>4437</v>
      </c>
      <c r="E11827" t="s" s="9">
        <v>4437</v>
      </c>
      <c r="F11827" s="19">
        <v>6</v>
      </c>
      <c r="G11827" s="14"/>
      <c r="H11827" s="19">
        <v>6</v>
      </c>
      <c r="I11827" s="14"/>
      <c r="J11827" t="s" s="11">
        <v>20</v>
      </c>
      <c r="K11827" s="15"/>
      <c r="L11827" t="s" s="16">
        <f>HYPERLINK("http://csr.bu.edu/ftp/asl/asllvd/demos/verify_start_end_handshape_annotations//test_auto_move//signs_mov_separ_signers/Brady_15.mov","MOV")</f>
        <v>21</v>
      </c>
      <c r="M11827" t="s" s="10">
        <v>31</v>
      </c>
      <c r="N11827" s="17">
        <v>6</v>
      </c>
      <c r="O11827" s="18">
        <v>1317</v>
      </c>
      <c r="P11827" s="18">
        <v>1329</v>
      </c>
      <c r="Q11827" s="15"/>
      <c r="R11827" t="s" s="16">
        <f>HYPERLINK("http://secrets.rutgers.edu:8080/data/asl-ftp/asllvd/demos/verify_start_end_handshape_annotations//test_auto_move//signs_mov_separ_signers/Brady_15.mov","MOV")</f>
        <v>21</v>
      </c>
    </row>
    <row r="11828" s="2" customFormat="1" ht="13.5" customHeight="1">
      <c r="B11828" t="s" s="8">
        <v>4438</v>
      </c>
      <c r="C11828" t="s" s="9">
        <v>14</v>
      </c>
      <c r="D11828" t="s" s="8">
        <v>14</v>
      </c>
      <c r="E11828" t="s" s="9">
        <v>14</v>
      </c>
      <c r="F11828" t="s" s="10">
        <v>14</v>
      </c>
      <c r="G11828" t="s" s="11">
        <v>14</v>
      </c>
      <c r="H11828" t="s" s="10">
        <v>14</v>
      </c>
      <c r="I11828" t="s" s="11">
        <v>14</v>
      </c>
      <c r="J11828" t="s" s="11">
        <v>14</v>
      </c>
      <c r="K11828" t="s" s="12">
        <v>14</v>
      </c>
      <c r="L11828" t="s" s="12">
        <v>14</v>
      </c>
      <c r="M11828" t="s" s="10">
        <v>14</v>
      </c>
      <c r="N11828" t="s" s="11">
        <v>14</v>
      </c>
      <c r="O11828" t="s" s="8">
        <v>14</v>
      </c>
      <c r="P11828" t="s" s="8">
        <v>14</v>
      </c>
      <c r="Q11828" t="s" s="12">
        <v>14</v>
      </c>
      <c r="R11828" t="s" s="12">
        <v>14</v>
      </c>
    </row>
    <row r="11829" s="2" customFormat="1" ht="13.5" customHeight="1">
      <c r="B11829" s="13"/>
      <c r="C11829" t="s" s="9">
        <v>16</v>
      </c>
      <c r="D11829" t="s" s="8">
        <v>4438</v>
      </c>
      <c r="E11829" t="s" s="9">
        <v>4438</v>
      </c>
      <c r="F11829" s="19">
        <v>5</v>
      </c>
      <c r="G11829" s="14"/>
      <c r="H11829" s="19">
        <v>5</v>
      </c>
      <c r="I11829" s="14"/>
      <c r="J11829" t="s" s="11">
        <v>20</v>
      </c>
      <c r="K11829" s="15"/>
      <c r="L11829" t="s" s="16">
        <f>HYPERLINK("http://csr.bu.edu/ftp/asl/asllvd/demos/verify_start_end_handshape_annotations//test_auto_move//signs_mov_separ_signers/Liz_16.mov","MOV")</f>
        <v>21</v>
      </c>
      <c r="M11829" t="s" s="10">
        <v>22</v>
      </c>
      <c r="N11829" s="17">
        <v>3</v>
      </c>
      <c r="O11829" s="18">
        <v>2090</v>
      </c>
      <c r="P11829" s="18">
        <v>2135</v>
      </c>
      <c r="Q11829" s="15"/>
      <c r="R11829" t="s" s="16">
        <f>HYPERLINK("http://secrets.rutgers.edu:8080/data/asl-ftp/asllvd/demos/verify_start_end_handshape_annotations//test_auto_move//signs_mov_separ_signers/Liz_16.mov","MOV")</f>
        <v>21</v>
      </c>
    </row>
    <row r="11830" s="2" customFormat="1" ht="13.5" customHeight="1">
      <c r="B11830" s="13"/>
      <c r="C11830" t="s" s="9">
        <v>27</v>
      </c>
      <c r="D11830" t="s" s="8">
        <v>4438</v>
      </c>
      <c r="E11830" t="s" s="9">
        <v>4438</v>
      </c>
      <c r="F11830" s="19">
        <v>5</v>
      </c>
      <c r="G11830" s="14"/>
      <c r="H11830" s="19">
        <v>5</v>
      </c>
      <c r="I11830" s="14"/>
      <c r="J11830" t="s" s="11">
        <v>20</v>
      </c>
      <c r="K11830" t="s" s="16">
        <f>HYPERLINK("http://csr.bu.edu/ftp/asl/asllvd/demos/verify_start_end_handshape_annotations//test_auto_move//signs_mov/16.mov","MOV")</f>
        <v>21</v>
      </c>
      <c r="L11830" t="s" s="16">
        <f>HYPERLINK("http://csr.bu.edu/ftp/asl/asllvd/demos/verify_start_end_handshape_annotations//test_auto_move//signs_mov_separ_signers/Naomi_16.mov","MOV")</f>
        <v>21</v>
      </c>
      <c r="M11830" t="s" s="10">
        <v>29</v>
      </c>
      <c r="N11830" s="17">
        <v>2</v>
      </c>
      <c r="O11830" s="18">
        <v>1470</v>
      </c>
      <c r="P11830" s="18">
        <v>1497</v>
      </c>
      <c r="Q11830" t="s" s="16">
        <f>HYPERLINK("http://secrets.rutgers.edu:8080/data/asl-ftp/asllvd/demos/verify_start_end_handshape_annotations//test_auto_move//signs_mov/16.mov","MOV")</f>
        <v>21</v>
      </c>
      <c r="R11830" t="s" s="16">
        <f>HYPERLINK("http://secrets.rutgers.edu:8080/data/asl-ftp/asllvd/demos/verify_start_end_handshape_annotations//test_auto_move//signs_mov_separ_signers/Naomi_16.mov","MOV")</f>
        <v>21</v>
      </c>
    </row>
    <row r="11831" s="2" customFormat="1" ht="13.5" customHeight="1">
      <c r="B11831" s="13"/>
      <c r="C11831" t="s" s="9">
        <v>30</v>
      </c>
      <c r="D11831" t="s" s="8">
        <v>4438</v>
      </c>
      <c r="E11831" t="s" s="9">
        <v>4438</v>
      </c>
      <c r="F11831" s="19">
        <v>5</v>
      </c>
      <c r="G11831" s="14"/>
      <c r="H11831" s="19">
        <v>5</v>
      </c>
      <c r="I11831" s="14"/>
      <c r="J11831" t="s" s="11">
        <v>20</v>
      </c>
      <c r="K11831" s="15"/>
      <c r="L11831" t="s" s="16">
        <f>HYPERLINK("http://csr.bu.edu/ftp/asl/asllvd/demos/verify_start_end_handshape_annotations//test_auto_move//signs_mov_separ_signers/Brady_16.mov","MOV")</f>
        <v>21</v>
      </c>
      <c r="M11831" t="s" s="10">
        <v>31</v>
      </c>
      <c r="N11831" s="17">
        <v>5</v>
      </c>
      <c r="O11831" s="18">
        <v>10503</v>
      </c>
      <c r="P11831" s="18">
        <v>10517</v>
      </c>
      <c r="Q11831" s="15"/>
      <c r="R11831" t="s" s="16">
        <f>HYPERLINK("http://secrets.rutgers.edu:8080/data/asl-ftp/asllvd/demos/verify_start_end_handshape_annotations//test_auto_move//signs_mov_separ_signers/Brady_16.mov","MOV")</f>
        <v>21</v>
      </c>
    </row>
    <row r="11832" s="2" customFormat="1" ht="13.5" customHeight="1">
      <c r="B11832" t="s" s="8">
        <v>52</v>
      </c>
      <c r="C11832" t="s" s="9">
        <v>53</v>
      </c>
      <c r="D11832" t="s" s="8">
        <v>53</v>
      </c>
      <c r="E11832" t="s" s="9">
        <v>53</v>
      </c>
      <c r="F11832" t="s" s="10">
        <v>53</v>
      </c>
      <c r="G11832" t="s" s="11">
        <v>53</v>
      </c>
      <c r="H11832" t="s" s="10">
        <v>53</v>
      </c>
      <c r="I11832" t="s" s="11">
        <v>53</v>
      </c>
      <c r="J11832" t="s" s="11">
        <v>53</v>
      </c>
      <c r="K11832" t="s" s="12">
        <v>53</v>
      </c>
      <c r="L11832" t="s" s="12">
        <v>53</v>
      </c>
      <c r="M11832" t="s" s="10">
        <v>53</v>
      </c>
      <c r="N11832" t="s" s="11">
        <v>53</v>
      </c>
      <c r="O11832" t="s" s="8">
        <v>53</v>
      </c>
      <c r="P11832" t="s" s="8">
        <v>53</v>
      </c>
      <c r="Q11832" t="s" s="12">
        <v>53</v>
      </c>
      <c r="R11832" t="s" s="12">
        <v>53</v>
      </c>
    </row>
    <row r="11833" s="2" customFormat="1" ht="13.5" customHeight="1">
      <c r="B11833" s="13"/>
      <c r="C11833" t="s" s="9">
        <v>23</v>
      </c>
      <c r="D11833" t="s" s="8">
        <v>4438</v>
      </c>
      <c r="E11833" t="s" s="9">
        <v>4439</v>
      </c>
      <c r="F11833" s="19">
        <v>5</v>
      </c>
      <c r="G11833" s="14"/>
      <c r="H11833" s="19">
        <v>5</v>
      </c>
      <c r="I11833" s="14"/>
      <c r="J11833" t="s" s="11">
        <v>20</v>
      </c>
      <c r="K11833" t="s" s="16">
        <f>HYPERLINK("http://csr.bu.edu/ftp/asl/asllvd/demos/verify_start_end_handshape_annotations//test_auto_move//signs_mov/3936.mov","MOV")</f>
        <v>21</v>
      </c>
      <c r="L11833" t="s" s="16">
        <f>HYPERLINK("http://csr.bu.edu/ftp/asl/asllvd/demos/verify_start_end_handshape_annotations//test_auto_move//signs_mov_separ_signers/Tyler_3936.mov","MOV")</f>
        <v>21</v>
      </c>
      <c r="M11833" t="s" s="10">
        <v>26</v>
      </c>
      <c r="N11833" s="17">
        <v>2</v>
      </c>
      <c r="O11833" s="18">
        <v>1226</v>
      </c>
      <c r="P11833" s="18">
        <v>1295</v>
      </c>
      <c r="Q11833" t="s" s="16">
        <f>HYPERLINK("http://secrets.rutgers.edu:8080/data/asl-ftp/asllvd/demos/verify_start_end_handshape_annotations//test_auto_move//signs_mov/3936.mov","MOV")</f>
        <v>21</v>
      </c>
      <c r="R11833" t="s" s="16">
        <f>HYPERLINK("http://secrets.rutgers.edu:8080/data/asl-ftp/asllvd/demos/verify_start_end_handshape_annotations//test_auto_move//signs_mov_separ_signers/Tyler_3936.mov","MOV")</f>
        <v>21</v>
      </c>
    </row>
    <row r="11834" s="2" customFormat="1" ht="13.5" customHeight="1">
      <c r="B11834" t="s" s="8">
        <v>4440</v>
      </c>
      <c r="C11834" t="s" s="9">
        <v>14</v>
      </c>
      <c r="D11834" t="s" s="8">
        <v>14</v>
      </c>
      <c r="E11834" t="s" s="9">
        <v>14</v>
      </c>
      <c r="F11834" t="s" s="10">
        <v>14</v>
      </c>
      <c r="G11834" t="s" s="11">
        <v>14</v>
      </c>
      <c r="H11834" t="s" s="10">
        <v>14</v>
      </c>
      <c r="I11834" t="s" s="11">
        <v>14</v>
      </c>
      <c r="J11834" t="s" s="11">
        <v>14</v>
      </c>
      <c r="K11834" t="s" s="12">
        <v>14</v>
      </c>
      <c r="L11834" t="s" s="12">
        <v>14</v>
      </c>
      <c r="M11834" t="s" s="10">
        <v>14</v>
      </c>
      <c r="N11834" t="s" s="11">
        <v>14</v>
      </c>
      <c r="O11834" t="s" s="8">
        <v>14</v>
      </c>
      <c r="P11834" t="s" s="8">
        <v>14</v>
      </c>
      <c r="Q11834" t="s" s="12">
        <v>14</v>
      </c>
      <c r="R11834" t="s" s="12">
        <v>14</v>
      </c>
    </row>
    <row r="11835" s="2" customFormat="1" ht="13.5" customHeight="1">
      <c r="B11835" s="13"/>
      <c r="C11835" t="s" s="9">
        <v>16</v>
      </c>
      <c r="D11835" t="s" s="8">
        <v>4440</v>
      </c>
      <c r="E11835" t="s" s="9">
        <v>4441</v>
      </c>
      <c r="F11835" t="s" s="10">
        <v>63</v>
      </c>
      <c r="G11835" s="14"/>
      <c r="H11835" s="19">
        <v>8</v>
      </c>
      <c r="I11835" s="14"/>
      <c r="J11835" t="s" s="11">
        <v>20</v>
      </c>
      <c r="K11835" t="s" s="16">
        <f>HYPERLINK("http://csr.bu.edu/ftp/asl/asllvd/demos/verify_start_end_handshape_annotations//test_auto_move//signs_mov/18_3360_merged.mov","MOV")</f>
        <v>21</v>
      </c>
      <c r="L11835" t="s" s="16">
        <f>HYPERLINK("http://csr.bu.edu/ftp/asl/asllvd/demos/verify_start_end_handshape_annotations//test_auto_move//signs_mov_separ_signers/Liz_18.mov","MOV")</f>
        <v>21</v>
      </c>
      <c r="M11835" t="s" s="10">
        <v>22</v>
      </c>
      <c r="N11835" s="17">
        <v>3</v>
      </c>
      <c r="O11835" s="18">
        <v>2573</v>
      </c>
      <c r="P11835" s="18">
        <v>2611</v>
      </c>
      <c r="Q11835" t="s" s="16">
        <f>HYPERLINK("http://secrets.rutgers.edu:8080/data/asl-ftp/asllvd/demos/verify_start_end_handshape_annotations//test_auto_move//signs_mov/18_3360_merged.mov","MOV")</f>
        <v>21</v>
      </c>
      <c r="R11835" t="s" s="16">
        <f>HYPERLINK("http://secrets.rutgers.edu:8080/data/asl-ftp/asllvd/demos/verify_start_end_handshape_annotations//test_auto_move//signs_mov_separ_signers/Liz_18.mov","MOV")</f>
        <v>21</v>
      </c>
    </row>
    <row r="11836" s="2" customFormat="1" ht="13.5" customHeight="1">
      <c r="B11836" s="13"/>
      <c r="C11836" t="s" s="9">
        <v>16</v>
      </c>
      <c r="D11836" t="s" s="8">
        <v>4440</v>
      </c>
      <c r="E11836" t="s" s="9">
        <v>4440</v>
      </c>
      <c r="F11836" t="s" s="10">
        <v>63</v>
      </c>
      <c r="G11836" s="14"/>
      <c r="H11836" s="19">
        <v>8</v>
      </c>
      <c r="I11836" s="14"/>
      <c r="J11836" t="s" s="11">
        <v>20</v>
      </c>
      <c r="K11836" s="15"/>
      <c r="L11836" t="s" s="16">
        <f>HYPERLINK("http://csr.bu.edu/ftp/asl/asllvd/demos/verify_start_end_handshape_annotations//test_auto_move//signs_mov_separ_signers/Liz_3360.mov","MOV")</f>
        <v>21</v>
      </c>
      <c r="M11836" t="s" s="10">
        <v>22</v>
      </c>
      <c r="N11836" s="17">
        <v>3</v>
      </c>
      <c r="O11836" s="18">
        <v>3260</v>
      </c>
      <c r="P11836" s="18">
        <v>3294</v>
      </c>
      <c r="Q11836" s="15"/>
      <c r="R11836" t="s" s="16">
        <f>HYPERLINK("http://secrets.rutgers.edu:8080/data/asl-ftp/asllvd/demos/verify_start_end_handshape_annotations//test_auto_move//signs_mov_separ_signers/Liz_3360.mov","MOV")</f>
        <v>21</v>
      </c>
    </row>
    <row r="11837" s="2" customFormat="1" ht="13.5" customHeight="1">
      <c r="B11837" t="s" s="8">
        <v>4442</v>
      </c>
      <c r="C11837" t="s" s="9">
        <v>14</v>
      </c>
      <c r="D11837" t="s" s="8">
        <v>14</v>
      </c>
      <c r="E11837" t="s" s="9">
        <v>14</v>
      </c>
      <c r="F11837" t="s" s="10">
        <v>14</v>
      </c>
      <c r="G11837" t="s" s="11">
        <v>14</v>
      </c>
      <c r="H11837" t="s" s="10">
        <v>14</v>
      </c>
      <c r="I11837" t="s" s="11">
        <v>14</v>
      </c>
      <c r="J11837" t="s" s="11">
        <v>14</v>
      </c>
      <c r="K11837" t="s" s="12">
        <v>14</v>
      </c>
      <c r="L11837" t="s" s="12">
        <v>14</v>
      </c>
      <c r="M11837" t="s" s="10">
        <v>14</v>
      </c>
      <c r="N11837" t="s" s="11">
        <v>14</v>
      </c>
      <c r="O11837" t="s" s="8">
        <v>14</v>
      </c>
      <c r="P11837" t="s" s="8">
        <v>14</v>
      </c>
      <c r="Q11837" t="s" s="12">
        <v>14</v>
      </c>
      <c r="R11837" t="s" s="12">
        <v>14</v>
      </c>
    </row>
    <row r="11838" s="2" customFormat="1" ht="13.5" customHeight="1">
      <c r="B11838" s="13"/>
      <c r="C11838" t="s" s="9">
        <v>16</v>
      </c>
      <c r="D11838" t="s" s="8">
        <v>4442</v>
      </c>
      <c r="E11838" t="s" s="9">
        <v>4442</v>
      </c>
      <c r="F11838" s="19">
        <v>8</v>
      </c>
      <c r="G11838" s="14"/>
      <c r="H11838" s="19">
        <v>8</v>
      </c>
      <c r="I11838" s="14"/>
      <c r="J11838" t="s" s="11">
        <v>20</v>
      </c>
      <c r="K11838" s="15"/>
      <c r="L11838" t="s" s="16">
        <f>HYPERLINK("http://csr.bu.edu/ftp/asl/asllvd/demos/verify_start_end_handshape_annotations//test_auto_move//signs_mov_separ_signers/Liz_16334.mov","MOV")</f>
        <v>21</v>
      </c>
      <c r="M11838" t="s" s="10">
        <v>77</v>
      </c>
      <c r="N11838" s="17">
        <v>18</v>
      </c>
      <c r="O11838" s="18">
        <v>1386</v>
      </c>
      <c r="P11838" s="18">
        <v>1428</v>
      </c>
      <c r="Q11838" s="15"/>
      <c r="R11838" t="s" s="16">
        <f>HYPERLINK("http://secrets.rutgers.edu:8080/data/asl-ftp/asllvd/demos/verify_start_end_handshape_annotations//test_auto_move//signs_mov_separ_signers/Liz_16334.mov","MOV")</f>
        <v>21</v>
      </c>
    </row>
    <row r="11839" s="2" customFormat="1" ht="13.5" customHeight="1">
      <c r="B11839" s="13"/>
      <c r="C11839" t="s" s="9">
        <v>23</v>
      </c>
      <c r="D11839" t="s" s="8">
        <v>4442</v>
      </c>
      <c r="E11839" t="s" s="9">
        <v>4443</v>
      </c>
      <c r="F11839" s="19">
        <v>8</v>
      </c>
      <c r="G11839" s="14"/>
      <c r="H11839" s="19">
        <v>8</v>
      </c>
      <c r="I11839" s="14"/>
      <c r="J11839" t="s" s="11">
        <v>20</v>
      </c>
      <c r="K11839" s="15"/>
      <c r="L11839" t="s" s="16">
        <f>HYPERLINK("http://csr.bu.edu/ftp/asl/asllvd/demos/verify_start_end_handshape_annotations//test_auto_move//signs_mov_separ_signers/Tyler_16334.mov","MOV")</f>
        <v>21</v>
      </c>
      <c r="M11839" t="s" s="10">
        <v>26</v>
      </c>
      <c r="N11839" s="17">
        <v>2</v>
      </c>
      <c r="O11839" s="18">
        <v>1780</v>
      </c>
      <c r="P11839" s="18">
        <v>1837</v>
      </c>
      <c r="Q11839" s="15"/>
      <c r="R11839" t="s" s="16">
        <f>HYPERLINK("http://secrets.rutgers.edu:8080/data/asl-ftp/asllvd/demos/verify_start_end_handshape_annotations//test_auto_move//signs_mov_separ_signers/Tyler_16334.mov","MOV")</f>
        <v>21</v>
      </c>
    </row>
    <row r="11840" s="2" customFormat="1" ht="13.5" customHeight="1">
      <c r="B11840" s="13"/>
      <c r="C11840" t="s" s="9">
        <v>23</v>
      </c>
      <c r="D11840" t="s" s="8">
        <v>4442</v>
      </c>
      <c r="E11840" t="s" s="9">
        <v>4444</v>
      </c>
      <c r="F11840" s="19">
        <v>8</v>
      </c>
      <c r="G11840" s="14"/>
      <c r="H11840" s="19">
        <v>8</v>
      </c>
      <c r="I11840" s="14"/>
      <c r="J11840" t="s" s="11">
        <v>20</v>
      </c>
      <c r="K11840" t="s" s="16">
        <f>HYPERLINK("http://csr.bu.edu/ftp/asl/asllvd/demos/verify_start_end_handshape_annotations//test_auto_move//signs_mov/16334_16335_merged.mov","MOV")</f>
        <v>21</v>
      </c>
      <c r="L11840" t="s" s="16">
        <f>HYPERLINK("http://csr.bu.edu/ftp/asl/asllvd/demos/verify_start_end_handshape_annotations//test_auto_move//signs_mov_separ_signers/Tyler_16335.mov","MOV")</f>
        <v>21</v>
      </c>
      <c r="M11840" t="s" s="10">
        <v>26</v>
      </c>
      <c r="N11840" s="17">
        <v>2</v>
      </c>
      <c r="O11840" s="18">
        <v>2020</v>
      </c>
      <c r="P11840" s="18">
        <v>2086</v>
      </c>
      <c r="Q11840" t="s" s="16">
        <f>HYPERLINK("http://secrets.rutgers.edu:8080/data/asl-ftp/asllvd/demos/verify_start_end_handshape_annotations//test_auto_move//signs_mov/16334_16335_merged.mov","MOV")</f>
        <v>21</v>
      </c>
      <c r="R11840" t="s" s="16">
        <f>HYPERLINK("http://secrets.rutgers.edu:8080/data/asl-ftp/asllvd/demos/verify_start_end_handshape_annotations//test_auto_move//signs_mov_separ_signers/Tyler_16335.mov","MOV")</f>
        <v>21</v>
      </c>
    </row>
    <row r="11841" s="2" customFormat="1" ht="13.5" customHeight="1">
      <c r="B11841" s="13"/>
      <c r="C11841" t="s" s="9">
        <v>27</v>
      </c>
      <c r="D11841" t="s" s="8">
        <v>4442</v>
      </c>
      <c r="E11841" t="s" s="9">
        <v>4445</v>
      </c>
      <c r="F11841" s="19">
        <v>8</v>
      </c>
      <c r="G11841" s="14"/>
      <c r="H11841" s="19">
        <v>8</v>
      </c>
      <c r="I11841" s="14"/>
      <c r="J11841" t="s" s="11">
        <v>20</v>
      </c>
      <c r="K11841" s="15"/>
      <c r="L11841" t="s" s="16">
        <f>HYPERLINK("http://csr.bu.edu/ftp/asl/asllvd/demos/verify_start_end_handshape_annotations//test_auto_move//signs_mov_separ_signers/Naomi_16334.mov","MOV")</f>
        <v>21</v>
      </c>
      <c r="M11841" t="s" s="10">
        <v>29</v>
      </c>
      <c r="N11841" s="17">
        <v>2</v>
      </c>
      <c r="O11841" s="18">
        <v>2540</v>
      </c>
      <c r="P11841" s="18">
        <v>2560</v>
      </c>
      <c r="Q11841" s="15"/>
      <c r="R11841" t="s" s="16">
        <f>HYPERLINK("http://secrets.rutgers.edu:8080/data/asl-ftp/asllvd/demos/verify_start_end_handshape_annotations//test_auto_move//signs_mov_separ_signers/Naomi_16334.mov","MOV")</f>
        <v>21</v>
      </c>
    </row>
    <row r="11842" s="2" customFormat="1" ht="13.5" customHeight="1">
      <c r="B11842" s="13"/>
      <c r="C11842" t="s" s="9">
        <v>27</v>
      </c>
      <c r="D11842" t="s" s="8">
        <v>4442</v>
      </c>
      <c r="E11842" t="s" s="9">
        <v>4442</v>
      </c>
      <c r="F11842" s="19">
        <v>8</v>
      </c>
      <c r="G11842" s="14"/>
      <c r="H11842" s="19">
        <v>8</v>
      </c>
      <c r="I11842" s="14"/>
      <c r="J11842" t="s" s="11">
        <v>20</v>
      </c>
      <c r="K11842" s="15"/>
      <c r="L11842" t="s" s="16">
        <f>HYPERLINK("http://csr.bu.edu/ftp/asl/asllvd/demos/verify_start_end_handshape_annotations//test_auto_move//signs_mov_separ_signers/Naomi_16335.mov","MOV")</f>
        <v>21</v>
      </c>
      <c r="M11842" t="s" s="10">
        <v>29</v>
      </c>
      <c r="N11842" s="17">
        <v>2</v>
      </c>
      <c r="O11842" s="18">
        <v>2972</v>
      </c>
      <c r="P11842" s="18">
        <v>2993</v>
      </c>
      <c r="Q11842" s="15"/>
      <c r="R11842" t="s" s="16">
        <f>HYPERLINK("http://secrets.rutgers.edu:8080/data/asl-ftp/asllvd/demos/verify_start_end_handshape_annotations//test_auto_move//signs_mov_separ_signers/Naomi_16335.mov","MOV")</f>
        <v>21</v>
      </c>
    </row>
    <row r="11843" s="2" customFormat="1" ht="13.5" customHeight="1">
      <c r="B11843" s="13"/>
      <c r="C11843" t="s" s="9">
        <v>30</v>
      </c>
      <c r="D11843" t="s" s="8">
        <v>4442</v>
      </c>
      <c r="E11843" t="s" s="9">
        <v>4443</v>
      </c>
      <c r="F11843" s="19">
        <v>8</v>
      </c>
      <c r="G11843" s="14"/>
      <c r="H11843" s="19">
        <v>8</v>
      </c>
      <c r="I11843" s="14"/>
      <c r="J11843" t="s" s="11">
        <v>20</v>
      </c>
      <c r="K11843" s="15"/>
      <c r="L11843" t="s" s="16">
        <f>HYPERLINK("http://csr.bu.edu/ftp/asl/asllvd/demos/verify_start_end_handshape_annotations//test_auto_move//signs_mov_separ_signers/Brady_16334.mov","MOV")</f>
        <v>21</v>
      </c>
      <c r="M11843" t="s" s="10">
        <v>31</v>
      </c>
      <c r="N11843" s="17">
        <v>4</v>
      </c>
      <c r="O11843" s="18">
        <v>12665</v>
      </c>
      <c r="P11843" s="18">
        <v>12692</v>
      </c>
      <c r="Q11843" s="15"/>
      <c r="R11843" t="s" s="16">
        <f>HYPERLINK("http://secrets.rutgers.edu:8080/data/asl-ftp/asllvd/demos/verify_start_end_handshape_annotations//test_auto_move//signs_mov_separ_signers/Brady_16334.mov","MOV")</f>
        <v>21</v>
      </c>
    </row>
    <row r="11844" s="2" customFormat="1" ht="13.5" customHeight="1">
      <c r="B11844" t="s" s="8">
        <v>4446</v>
      </c>
      <c r="C11844" t="s" s="9">
        <v>14</v>
      </c>
      <c r="D11844" t="s" s="8">
        <v>14</v>
      </c>
      <c r="E11844" t="s" s="9">
        <v>14</v>
      </c>
      <c r="F11844" t="s" s="10">
        <v>14</v>
      </c>
      <c r="G11844" t="s" s="11">
        <v>14</v>
      </c>
      <c r="H11844" t="s" s="10">
        <v>14</v>
      </c>
      <c r="I11844" t="s" s="11">
        <v>14</v>
      </c>
      <c r="J11844" t="s" s="11">
        <v>14</v>
      </c>
      <c r="K11844" t="s" s="12">
        <v>14</v>
      </c>
      <c r="L11844" t="s" s="12">
        <v>14</v>
      </c>
      <c r="M11844" t="s" s="10">
        <v>14</v>
      </c>
      <c r="N11844" t="s" s="11">
        <v>14</v>
      </c>
      <c r="O11844" t="s" s="8">
        <v>14</v>
      </c>
      <c r="P11844" t="s" s="8">
        <v>14</v>
      </c>
      <c r="Q11844" t="s" s="12">
        <v>14</v>
      </c>
      <c r="R11844" t="s" s="12">
        <v>14</v>
      </c>
    </row>
    <row r="11845" s="2" customFormat="1" ht="13.5" customHeight="1">
      <c r="B11845" s="13"/>
      <c r="C11845" t="s" s="9">
        <v>16</v>
      </c>
      <c r="D11845" t="s" s="8">
        <v>4446</v>
      </c>
      <c r="E11845" t="s" s="9">
        <v>4447</v>
      </c>
      <c r="F11845" s="19">
        <v>7</v>
      </c>
      <c r="G11845" s="14"/>
      <c r="H11845" s="19">
        <v>7</v>
      </c>
      <c r="I11845" s="14"/>
      <c r="J11845" t="s" s="11">
        <v>20</v>
      </c>
      <c r="K11845" s="15"/>
      <c r="L11845" t="s" s="16">
        <f>HYPERLINK("http://csr.bu.edu/ftp/asl/asllvd/demos/verify_start_end_handshape_annotations//test_auto_move//signs_mov_separ_signers/Liz_20.mov","MOV")</f>
        <v>21</v>
      </c>
      <c r="M11845" t="s" s="10">
        <v>22</v>
      </c>
      <c r="N11845" s="17">
        <v>4</v>
      </c>
      <c r="O11845" s="18">
        <v>685</v>
      </c>
      <c r="P11845" s="18">
        <v>730</v>
      </c>
      <c r="Q11845" s="15"/>
      <c r="R11845" t="s" s="16">
        <f>HYPERLINK("http://secrets.rutgers.edu:8080/data/asl-ftp/asllvd/demos/verify_start_end_handshape_annotations//test_auto_move//signs_mov_separ_signers/Liz_20.mov","MOV")</f>
        <v>21</v>
      </c>
    </row>
    <row r="11846" s="2" customFormat="1" ht="13.5" customHeight="1">
      <c r="B11846" s="13"/>
      <c r="C11846" t="s" s="9">
        <v>23</v>
      </c>
      <c r="D11846" t="s" s="8">
        <v>4446</v>
      </c>
      <c r="E11846" t="s" s="9">
        <v>4448</v>
      </c>
      <c r="F11846" s="19">
        <v>7</v>
      </c>
      <c r="G11846" s="14"/>
      <c r="H11846" s="19">
        <v>7</v>
      </c>
      <c r="I11846" s="14"/>
      <c r="J11846" t="s" s="11">
        <v>20</v>
      </c>
      <c r="K11846" s="15"/>
      <c r="L11846" t="s" s="16">
        <f>HYPERLINK("http://csr.bu.edu/ftp/asl/asllvd/demos/verify_start_end_handshape_annotations//test_auto_move//signs_mov_separ_signers/Tyler_20.mov","MOV")</f>
        <v>21</v>
      </c>
      <c r="M11846" t="s" s="10">
        <v>26</v>
      </c>
      <c r="N11846" s="17">
        <v>2</v>
      </c>
      <c r="O11846" s="18">
        <v>2280</v>
      </c>
      <c r="P11846" s="18">
        <v>2337</v>
      </c>
      <c r="Q11846" s="15"/>
      <c r="R11846" t="s" s="16">
        <f>HYPERLINK("http://secrets.rutgers.edu:8080/data/asl-ftp/asllvd/demos/verify_start_end_handshape_annotations//test_auto_move//signs_mov_separ_signers/Tyler_20.mov","MOV")</f>
        <v>21</v>
      </c>
    </row>
    <row r="11847" s="2" customFormat="1" ht="13.5" customHeight="1">
      <c r="B11847" s="13"/>
      <c r="C11847" t="s" s="9">
        <v>23</v>
      </c>
      <c r="D11847" t="s" s="8">
        <v>4446</v>
      </c>
      <c r="E11847" t="s" s="9">
        <v>4448</v>
      </c>
      <c r="F11847" s="19">
        <v>7</v>
      </c>
      <c r="G11847" s="14"/>
      <c r="H11847" s="19">
        <v>7</v>
      </c>
      <c r="I11847" s="14"/>
      <c r="J11847" t="s" s="11">
        <v>20</v>
      </c>
      <c r="K11847" t="s" s="16">
        <f>HYPERLINK("http://csr.bu.edu/ftp/asl/asllvd/demos/verify_start_end_handshape_annotations//test_auto_move//signs_mov/20_3361_merged.mov","MOV")</f>
        <v>21</v>
      </c>
      <c r="L11847" t="s" s="16">
        <f>HYPERLINK("http://csr.bu.edu/ftp/asl/asllvd/demos/verify_start_end_handshape_annotations//test_auto_move//signs_mov_separ_signers/Tyler_3361.mov","MOV")</f>
        <v>21</v>
      </c>
      <c r="M11847" t="s" s="10">
        <v>26</v>
      </c>
      <c r="N11847" s="17">
        <v>3</v>
      </c>
      <c r="O11847" s="18">
        <v>292</v>
      </c>
      <c r="P11847" s="18">
        <v>357</v>
      </c>
      <c r="Q11847" t="s" s="16">
        <f>HYPERLINK("http://secrets.rutgers.edu:8080/data/asl-ftp/asllvd/demos/verify_start_end_handshape_annotations//test_auto_move//signs_mov/20_3361_merged.mov","MOV")</f>
        <v>21</v>
      </c>
      <c r="R11847" t="s" s="16">
        <f>HYPERLINK("http://secrets.rutgers.edu:8080/data/asl-ftp/asllvd/demos/verify_start_end_handshape_annotations//test_auto_move//signs_mov_separ_signers/Tyler_3361.mov","MOV")</f>
        <v>21</v>
      </c>
    </row>
    <row r="11848" s="2" customFormat="1" ht="13.5" customHeight="1">
      <c r="B11848" s="13"/>
      <c r="C11848" t="s" s="9">
        <v>27</v>
      </c>
      <c r="D11848" t="s" s="8">
        <v>4446</v>
      </c>
      <c r="E11848" t="s" s="9">
        <v>4446</v>
      </c>
      <c r="F11848" s="19">
        <v>7</v>
      </c>
      <c r="G11848" s="14"/>
      <c r="H11848" s="19">
        <v>7</v>
      </c>
      <c r="I11848" s="14"/>
      <c r="J11848" t="s" s="11">
        <v>20</v>
      </c>
      <c r="K11848" s="15"/>
      <c r="L11848" t="s" s="16">
        <f>HYPERLINK("http://csr.bu.edu/ftp/asl/asllvd/demos/verify_start_end_handshape_annotations//test_auto_move//signs_mov_separ_signers/Naomi_20.mov","MOV")</f>
        <v>21</v>
      </c>
      <c r="M11848" t="s" s="10">
        <v>29</v>
      </c>
      <c r="N11848" s="17">
        <v>2</v>
      </c>
      <c r="O11848" s="18">
        <v>3255</v>
      </c>
      <c r="P11848" s="18">
        <v>3272</v>
      </c>
      <c r="Q11848" s="15"/>
      <c r="R11848" t="s" s="16">
        <f>HYPERLINK("http://secrets.rutgers.edu:8080/data/asl-ftp/asllvd/demos/verify_start_end_handshape_annotations//test_auto_move//signs_mov_separ_signers/Naomi_20.mov","MOV")</f>
        <v>21</v>
      </c>
    </row>
    <row r="11849" s="2" customFormat="1" ht="13.5" customHeight="1">
      <c r="B11849" s="13"/>
      <c r="C11849" t="s" s="9">
        <v>27</v>
      </c>
      <c r="D11849" t="s" s="8">
        <v>4446</v>
      </c>
      <c r="E11849" t="s" s="9">
        <v>4447</v>
      </c>
      <c r="F11849" s="19">
        <v>7</v>
      </c>
      <c r="G11849" s="14"/>
      <c r="H11849" s="19">
        <v>7</v>
      </c>
      <c r="I11849" s="14"/>
      <c r="J11849" t="s" s="11">
        <v>20</v>
      </c>
      <c r="K11849" s="15"/>
      <c r="L11849" t="s" s="16">
        <f>HYPERLINK("http://csr.bu.edu/ftp/asl/asllvd/demos/verify_start_end_handshape_annotations//test_auto_move//signs_mov_separ_signers/Naomi_3361.mov","MOV")</f>
        <v>21</v>
      </c>
      <c r="M11849" t="s" s="10">
        <v>29</v>
      </c>
      <c r="N11849" s="17">
        <v>3</v>
      </c>
      <c r="O11849" s="18">
        <v>512</v>
      </c>
      <c r="P11849" s="18">
        <v>535</v>
      </c>
      <c r="Q11849" s="15"/>
      <c r="R11849" t="s" s="16">
        <f>HYPERLINK("http://secrets.rutgers.edu:8080/data/asl-ftp/asllvd/demos/verify_start_end_handshape_annotations//test_auto_move//signs_mov_separ_signers/Naomi_3361.mov","MOV")</f>
        <v>21</v>
      </c>
    </row>
    <row r="11850" s="2" customFormat="1" ht="13.5" customHeight="1">
      <c r="B11850" s="13"/>
      <c r="C11850" t="s" s="9">
        <v>30</v>
      </c>
      <c r="D11850" t="s" s="8">
        <v>4446</v>
      </c>
      <c r="E11850" t="s" s="9">
        <v>4448</v>
      </c>
      <c r="F11850" s="19">
        <v>7</v>
      </c>
      <c r="G11850" s="14"/>
      <c r="H11850" s="19">
        <v>7</v>
      </c>
      <c r="I11850" s="14"/>
      <c r="J11850" t="s" s="11">
        <v>20</v>
      </c>
      <c r="K11850" s="15"/>
      <c r="L11850" t="s" s="16">
        <f>HYPERLINK("http://csr.bu.edu/ftp/asl/asllvd/demos/verify_start_end_handshape_annotations//test_auto_move//signs_mov_separ_signers/Brady_20.mov","MOV")</f>
        <v>21</v>
      </c>
      <c r="M11850" t="s" s="10">
        <v>31</v>
      </c>
      <c r="N11850" s="17">
        <v>4</v>
      </c>
      <c r="O11850" s="18">
        <v>12431</v>
      </c>
      <c r="P11850" s="18">
        <v>12458</v>
      </c>
      <c r="Q11850" s="15"/>
      <c r="R11850" t="s" s="16">
        <f>HYPERLINK("http://secrets.rutgers.edu:8080/data/asl-ftp/asllvd/demos/verify_start_end_handshape_annotations//test_auto_move//signs_mov_separ_signers/Brady_20.mov","MOV")</f>
        <v>21</v>
      </c>
    </row>
    <row r="11851" s="2" customFormat="1" ht="13.5" customHeight="1">
      <c r="B11851" t="s" s="8">
        <v>52</v>
      </c>
      <c r="C11851" t="s" s="9">
        <v>53</v>
      </c>
      <c r="D11851" t="s" s="8">
        <v>53</v>
      </c>
      <c r="E11851" t="s" s="9">
        <v>53</v>
      </c>
      <c r="F11851" t="s" s="10">
        <v>53</v>
      </c>
      <c r="G11851" t="s" s="11">
        <v>53</v>
      </c>
      <c r="H11851" t="s" s="10">
        <v>53</v>
      </c>
      <c r="I11851" t="s" s="11">
        <v>53</v>
      </c>
      <c r="J11851" t="s" s="11">
        <v>53</v>
      </c>
      <c r="K11851" t="s" s="12">
        <v>53</v>
      </c>
      <c r="L11851" t="s" s="12">
        <v>53</v>
      </c>
      <c r="M11851" t="s" s="10">
        <v>53</v>
      </c>
      <c r="N11851" t="s" s="11">
        <v>53</v>
      </c>
      <c r="O11851" t="s" s="8">
        <v>53</v>
      </c>
      <c r="P11851" t="s" s="8">
        <v>53</v>
      </c>
      <c r="Q11851" t="s" s="12">
        <v>53</v>
      </c>
      <c r="R11851" t="s" s="12">
        <v>53</v>
      </c>
    </row>
    <row r="11852" s="2" customFormat="1" ht="13.5" customHeight="1">
      <c r="B11852" s="13"/>
      <c r="C11852" t="s" s="9">
        <v>16</v>
      </c>
      <c r="D11852" t="s" s="8">
        <v>4446</v>
      </c>
      <c r="E11852" t="s" s="9">
        <v>4449</v>
      </c>
      <c r="F11852" t="s" s="10">
        <v>63</v>
      </c>
      <c r="G11852" s="14"/>
      <c r="H11852" s="19">
        <v>7</v>
      </c>
      <c r="I11852" s="14"/>
      <c r="J11852" t="s" s="11">
        <v>20</v>
      </c>
      <c r="K11852" t="s" s="16">
        <f>HYPERLINK("http://csr.bu.edu/ftp/asl/asllvd/demos/verify_start_end_handshape_annotations//test_auto_move//signs_mov/16437.mov","MOV")</f>
        <v>21</v>
      </c>
      <c r="L11852" t="s" s="16">
        <f>HYPERLINK("http://csr.bu.edu/ftp/asl/asllvd/demos/verify_start_end_handshape_annotations//test_auto_move//signs_mov_separ_signers/Liz_16437.mov","MOV")</f>
        <v>21</v>
      </c>
      <c r="M11852" t="s" s="10">
        <v>22</v>
      </c>
      <c r="N11852" s="17">
        <v>4</v>
      </c>
      <c r="O11852" s="18">
        <v>925</v>
      </c>
      <c r="P11852" s="18">
        <v>955</v>
      </c>
      <c r="Q11852" t="s" s="16">
        <f>HYPERLINK("http://secrets.rutgers.edu:8080/data/asl-ftp/asllvd/demos/verify_start_end_handshape_annotations//test_auto_move//signs_mov/16437.mov","MOV")</f>
        <v>21</v>
      </c>
      <c r="R11852" t="s" s="16">
        <f>HYPERLINK("http://secrets.rutgers.edu:8080/data/asl-ftp/asllvd/demos/verify_start_end_handshape_annotations//test_auto_move//signs_mov_separ_signers/Liz_16437.mov","MOV")</f>
        <v>21</v>
      </c>
    </row>
    <row r="11853" s="2" customFormat="1" ht="13.5" customHeight="1">
      <c r="B11853" t="s" s="8">
        <v>4450</v>
      </c>
      <c r="C11853" t="s" s="9">
        <v>14</v>
      </c>
      <c r="D11853" t="s" s="8">
        <v>14</v>
      </c>
      <c r="E11853" t="s" s="9">
        <v>14</v>
      </c>
      <c r="F11853" t="s" s="10">
        <v>14</v>
      </c>
      <c r="G11853" t="s" s="11">
        <v>14</v>
      </c>
      <c r="H11853" t="s" s="10">
        <v>14</v>
      </c>
      <c r="I11853" t="s" s="11">
        <v>14</v>
      </c>
      <c r="J11853" t="s" s="11">
        <v>14</v>
      </c>
      <c r="K11853" t="s" s="12">
        <v>14</v>
      </c>
      <c r="L11853" t="s" s="12">
        <v>14</v>
      </c>
      <c r="M11853" t="s" s="10">
        <v>14</v>
      </c>
      <c r="N11853" t="s" s="11">
        <v>14</v>
      </c>
      <c r="O11853" t="s" s="8">
        <v>14</v>
      </c>
      <c r="P11853" t="s" s="8">
        <v>14</v>
      </c>
      <c r="Q11853" t="s" s="12">
        <v>14</v>
      </c>
      <c r="R11853" t="s" s="12">
        <v>14</v>
      </c>
    </row>
    <row r="11854" s="2" customFormat="1" ht="13.5" customHeight="1">
      <c r="B11854" s="13"/>
      <c r="C11854" t="s" s="9">
        <v>23</v>
      </c>
      <c r="D11854" t="s" s="8">
        <v>4450</v>
      </c>
      <c r="E11854" t="s" s="9">
        <v>4451</v>
      </c>
      <c r="F11854" s="19">
        <v>6</v>
      </c>
      <c r="G11854" s="14"/>
      <c r="H11854" s="19">
        <v>6</v>
      </c>
      <c r="I11854" s="14"/>
      <c r="J11854" t="s" s="11">
        <v>20</v>
      </c>
      <c r="K11854" s="15"/>
      <c r="L11854" t="s" s="16">
        <f>HYPERLINK("http://csr.bu.edu/ftp/asl/asllvd/demos/verify_start_end_handshape_annotations//test_auto_move//signs_mov_separ_signers/Tyler_22.mov","MOV")</f>
        <v>21</v>
      </c>
      <c r="M11854" t="s" s="10">
        <v>26</v>
      </c>
      <c r="N11854" s="17">
        <v>3</v>
      </c>
      <c r="O11854" s="18">
        <v>525</v>
      </c>
      <c r="P11854" s="18">
        <v>585</v>
      </c>
      <c r="Q11854" s="15"/>
      <c r="R11854" t="s" s="16">
        <f>HYPERLINK("http://secrets.rutgers.edu:8080/data/asl-ftp/asllvd/demos/verify_start_end_handshape_annotations//test_auto_move//signs_mov_separ_signers/Tyler_22.mov","MOV")</f>
        <v>21</v>
      </c>
    </row>
    <row r="11855" s="2" customFormat="1" ht="13.5" customHeight="1">
      <c r="B11855" s="13"/>
      <c r="C11855" t="s" s="9">
        <v>23</v>
      </c>
      <c r="D11855" t="s" s="8">
        <v>4450</v>
      </c>
      <c r="E11855" t="s" s="9">
        <v>4452</v>
      </c>
      <c r="F11855" s="19">
        <v>6</v>
      </c>
      <c r="G11855" s="14"/>
      <c r="H11855" s="19">
        <v>6</v>
      </c>
      <c r="I11855" s="14"/>
      <c r="J11855" t="s" s="11">
        <v>20</v>
      </c>
      <c r="K11855" t="s" s="16">
        <f>HYPERLINK("http://csr.bu.edu/ftp/asl/asllvd/demos/verify_start_end_handshape_annotations//test_auto_move//signs_mov/22_3362_merged.mov","MOV")</f>
        <v>21</v>
      </c>
      <c r="L11855" t="s" s="16">
        <f>HYPERLINK("http://csr.bu.edu/ftp/asl/asllvd/demos/verify_start_end_handshape_annotations//test_auto_move//signs_mov_separ_signers/Tyler_3362.mov","MOV")</f>
        <v>21</v>
      </c>
      <c r="M11855" t="s" s="10">
        <v>26</v>
      </c>
      <c r="N11855" s="17">
        <v>3</v>
      </c>
      <c r="O11855" s="18">
        <v>730</v>
      </c>
      <c r="P11855" s="18">
        <v>785</v>
      </c>
      <c r="Q11855" t="s" s="16">
        <f>HYPERLINK("http://secrets.rutgers.edu:8080/data/asl-ftp/asllvd/demos/verify_start_end_handshape_annotations//test_auto_move//signs_mov/22_3362_merged.mov","MOV")</f>
        <v>21</v>
      </c>
      <c r="R11855" t="s" s="16">
        <f>HYPERLINK("http://secrets.rutgers.edu:8080/data/asl-ftp/asllvd/demos/verify_start_end_handshape_annotations//test_auto_move//signs_mov_separ_signers/Tyler_3362.mov","MOV")</f>
        <v>21</v>
      </c>
    </row>
    <row r="11856" s="2" customFormat="1" ht="13.5" customHeight="1">
      <c r="B11856" s="13"/>
      <c r="C11856" t="s" s="9">
        <v>27</v>
      </c>
      <c r="D11856" t="s" s="8">
        <v>4450</v>
      </c>
      <c r="E11856" t="s" s="9">
        <v>4453</v>
      </c>
      <c r="F11856" s="19">
        <v>6</v>
      </c>
      <c r="G11856" s="14"/>
      <c r="H11856" s="19">
        <v>6</v>
      </c>
      <c r="I11856" s="14"/>
      <c r="J11856" t="s" s="11">
        <v>20</v>
      </c>
      <c r="K11856" s="15"/>
      <c r="L11856" t="s" s="16">
        <f>HYPERLINK("http://csr.bu.edu/ftp/asl/asllvd/demos/verify_start_end_handshape_annotations//test_auto_move//signs_mov_separ_signers/Naomi_22.mov","MOV")</f>
        <v>21</v>
      </c>
      <c r="M11856" t="s" s="10">
        <v>29</v>
      </c>
      <c r="N11856" s="17">
        <v>3</v>
      </c>
      <c r="O11856" s="18">
        <v>750</v>
      </c>
      <c r="P11856" s="18">
        <v>767</v>
      </c>
      <c r="Q11856" s="15"/>
      <c r="R11856" t="s" s="16">
        <f>HYPERLINK("http://secrets.rutgers.edu:8080/data/asl-ftp/asllvd/demos/verify_start_end_handshape_annotations//test_auto_move//signs_mov_separ_signers/Naomi_22.mov","MOV")</f>
        <v>21</v>
      </c>
    </row>
    <row r="11857" s="2" customFormat="1" ht="13.5" customHeight="1">
      <c r="B11857" s="13"/>
      <c r="C11857" t="s" s="9">
        <v>30</v>
      </c>
      <c r="D11857" t="s" s="8">
        <v>4450</v>
      </c>
      <c r="E11857" t="s" s="9">
        <v>4453</v>
      </c>
      <c r="F11857" s="19">
        <v>6</v>
      </c>
      <c r="G11857" s="14"/>
      <c r="H11857" s="19">
        <v>6</v>
      </c>
      <c r="I11857" s="14"/>
      <c r="J11857" t="s" s="11">
        <v>20</v>
      </c>
      <c r="K11857" s="15"/>
      <c r="L11857" t="s" s="16">
        <f>HYPERLINK("http://csr.bu.edu/ftp/asl/asllvd/demos/verify_start_end_handshape_annotations//test_auto_move//signs_mov_separ_signers/Brady_22.mov","MOV")</f>
        <v>21</v>
      </c>
      <c r="M11857" t="s" s="10">
        <v>31</v>
      </c>
      <c r="N11857" s="17">
        <v>4</v>
      </c>
      <c r="O11857" s="18">
        <v>12020</v>
      </c>
      <c r="P11857" s="18">
        <v>12052</v>
      </c>
      <c r="Q11857" s="15"/>
      <c r="R11857" t="s" s="16">
        <f>HYPERLINK("http://secrets.rutgers.edu:8080/data/asl-ftp/asllvd/demos/verify_start_end_handshape_annotations//test_auto_move//signs_mov_separ_signers/Brady_22.mov","MOV")</f>
        <v>21</v>
      </c>
    </row>
    <row r="11858" s="2" customFormat="1" ht="13.5" customHeight="1">
      <c r="B11858" t="s" s="8">
        <v>52</v>
      </c>
      <c r="C11858" t="s" s="9">
        <v>53</v>
      </c>
      <c r="D11858" t="s" s="8">
        <v>53</v>
      </c>
      <c r="E11858" t="s" s="9">
        <v>53</v>
      </c>
      <c r="F11858" t="s" s="10">
        <v>53</v>
      </c>
      <c r="G11858" t="s" s="11">
        <v>53</v>
      </c>
      <c r="H11858" t="s" s="10">
        <v>53</v>
      </c>
      <c r="I11858" t="s" s="11">
        <v>53</v>
      </c>
      <c r="J11858" t="s" s="11">
        <v>53</v>
      </c>
      <c r="K11858" t="s" s="12">
        <v>53</v>
      </c>
      <c r="L11858" t="s" s="12">
        <v>53</v>
      </c>
      <c r="M11858" t="s" s="10">
        <v>53</v>
      </c>
      <c r="N11858" t="s" s="11">
        <v>53</v>
      </c>
      <c r="O11858" t="s" s="8">
        <v>53</v>
      </c>
      <c r="P11858" t="s" s="8">
        <v>53</v>
      </c>
      <c r="Q11858" t="s" s="12">
        <v>53</v>
      </c>
      <c r="R11858" t="s" s="12">
        <v>53</v>
      </c>
    </row>
    <row r="11859" s="2" customFormat="1" ht="13.5" customHeight="1">
      <c r="B11859" s="13"/>
      <c r="C11859" t="s" s="9">
        <v>16</v>
      </c>
      <c r="D11859" t="s" s="8">
        <v>4450</v>
      </c>
      <c r="E11859" t="s" s="9">
        <v>4454</v>
      </c>
      <c r="F11859" s="19">
        <v>6</v>
      </c>
      <c r="G11859" s="14"/>
      <c r="H11859" s="19">
        <v>6</v>
      </c>
      <c r="I11859" s="14"/>
      <c r="J11859" t="s" s="11">
        <v>20</v>
      </c>
      <c r="K11859" t="s" s="16">
        <f>HYPERLINK("http://csr.bu.edu/ftp/asl/asllvd/demos/verify_start_end_handshape_annotations//test_auto_move//signs_mov/16438.mov","MOV")</f>
        <v>21</v>
      </c>
      <c r="L11859" t="s" s="16">
        <f>HYPERLINK("http://csr.bu.edu/ftp/asl/asllvd/demos/verify_start_end_handshape_annotations//test_auto_move//signs_mov_separ_signers/Liz_16438.mov","MOV")</f>
        <v>21</v>
      </c>
      <c r="M11859" t="s" s="10">
        <v>22</v>
      </c>
      <c r="N11859" s="17">
        <v>4</v>
      </c>
      <c r="O11859" s="18">
        <v>1175</v>
      </c>
      <c r="P11859" s="18">
        <v>1211</v>
      </c>
      <c r="Q11859" t="s" s="16">
        <f>HYPERLINK("http://secrets.rutgers.edu:8080/data/asl-ftp/asllvd/demos/verify_start_end_handshape_annotations//test_auto_move//signs_mov/16438.mov","MOV")</f>
        <v>21</v>
      </c>
      <c r="R11859" t="s" s="16">
        <f>HYPERLINK("http://secrets.rutgers.edu:8080/data/asl-ftp/asllvd/demos/verify_start_end_handshape_annotations//test_auto_move//signs_mov_separ_signers/Liz_16438.mov","MOV")</f>
        <v>21</v>
      </c>
    </row>
    <row r="11860" s="2" customFormat="1" ht="13.5" customHeight="1">
      <c r="B11860" t="s" s="8">
        <v>52</v>
      </c>
      <c r="C11860" t="s" s="9">
        <v>53</v>
      </c>
      <c r="D11860" t="s" s="8">
        <v>53</v>
      </c>
      <c r="E11860" t="s" s="9">
        <v>53</v>
      </c>
      <c r="F11860" t="s" s="10">
        <v>53</v>
      </c>
      <c r="G11860" t="s" s="11">
        <v>53</v>
      </c>
      <c r="H11860" t="s" s="10">
        <v>53</v>
      </c>
      <c r="I11860" t="s" s="11">
        <v>53</v>
      </c>
      <c r="J11860" t="s" s="11">
        <v>53</v>
      </c>
      <c r="K11860" t="s" s="12">
        <v>53</v>
      </c>
      <c r="L11860" t="s" s="12">
        <v>53</v>
      </c>
      <c r="M11860" t="s" s="10">
        <v>53</v>
      </c>
      <c r="N11860" t="s" s="11">
        <v>53</v>
      </c>
      <c r="O11860" t="s" s="8">
        <v>53</v>
      </c>
      <c r="P11860" t="s" s="8">
        <v>53</v>
      </c>
      <c r="Q11860" t="s" s="12">
        <v>53</v>
      </c>
      <c r="R11860" t="s" s="12">
        <v>53</v>
      </c>
    </row>
    <row r="11861" s="2" customFormat="1" ht="13.5" customHeight="1">
      <c r="B11861" s="13"/>
      <c r="C11861" t="s" s="9">
        <v>16</v>
      </c>
      <c r="D11861" t="s" s="8">
        <v>4450</v>
      </c>
      <c r="E11861" t="s" s="9">
        <v>4455</v>
      </c>
      <c r="F11861" t="s" s="10">
        <v>63</v>
      </c>
      <c r="G11861" s="14"/>
      <c r="H11861" s="19">
        <v>6</v>
      </c>
      <c r="I11861" s="14"/>
      <c r="J11861" t="s" s="11">
        <v>20</v>
      </c>
      <c r="K11861" t="s" s="16">
        <f>HYPERLINK("http://csr.bu.edu/ftp/asl/asllvd/demos/verify_start_end_handshape_annotations//test_auto_move//signs_mov/16439.mov","MOV")</f>
        <v>21</v>
      </c>
      <c r="L11861" t="s" s="16">
        <f>HYPERLINK("http://csr.bu.edu/ftp/asl/asllvd/demos/verify_start_end_handshape_annotations//test_auto_move//signs_mov_separ_signers/Liz_16439.mov","MOV")</f>
        <v>21</v>
      </c>
      <c r="M11861" t="s" s="10">
        <v>22</v>
      </c>
      <c r="N11861" s="17">
        <v>4</v>
      </c>
      <c r="O11861" s="18">
        <v>1440</v>
      </c>
      <c r="P11861" s="18">
        <v>1475</v>
      </c>
      <c r="Q11861" t="s" s="16">
        <f>HYPERLINK("http://secrets.rutgers.edu:8080/data/asl-ftp/asllvd/demos/verify_start_end_handshape_annotations//test_auto_move//signs_mov/16439.mov","MOV")</f>
        <v>21</v>
      </c>
      <c r="R11861" t="s" s="16">
        <f>HYPERLINK("http://secrets.rutgers.edu:8080/data/asl-ftp/asllvd/demos/verify_start_end_handshape_annotations//test_auto_move//signs_mov_separ_signers/Liz_16439.mov","MOV")</f>
        <v>21</v>
      </c>
    </row>
    <row r="11862" s="2" customFormat="1" ht="13.5" customHeight="1">
      <c r="B11862" t="s" s="8">
        <v>4456</v>
      </c>
      <c r="C11862" t="s" s="9">
        <v>14</v>
      </c>
      <c r="D11862" t="s" s="8">
        <v>14</v>
      </c>
      <c r="E11862" t="s" s="9">
        <v>14</v>
      </c>
      <c r="F11862" t="s" s="10">
        <v>14</v>
      </c>
      <c r="G11862" t="s" s="11">
        <v>14</v>
      </c>
      <c r="H11862" t="s" s="10">
        <v>14</v>
      </c>
      <c r="I11862" t="s" s="11">
        <v>14</v>
      </c>
      <c r="J11862" t="s" s="11">
        <v>14</v>
      </c>
      <c r="K11862" t="s" s="12">
        <v>14</v>
      </c>
      <c r="L11862" t="s" s="12">
        <v>14</v>
      </c>
      <c r="M11862" t="s" s="10">
        <v>14</v>
      </c>
      <c r="N11862" t="s" s="11">
        <v>14</v>
      </c>
      <c r="O11862" t="s" s="8">
        <v>14</v>
      </c>
      <c r="P11862" t="s" s="8">
        <v>14</v>
      </c>
      <c r="Q11862" t="s" s="12">
        <v>14</v>
      </c>
      <c r="R11862" t="s" s="12">
        <v>14</v>
      </c>
    </row>
    <row r="11863" s="2" customFormat="1" ht="13.5" customHeight="1">
      <c r="B11863" s="13"/>
      <c r="C11863" t="s" s="9">
        <v>16</v>
      </c>
      <c r="D11863" t="s" s="8">
        <v>4456</v>
      </c>
      <c r="E11863" t="s" s="9">
        <v>4456</v>
      </c>
      <c r="F11863" t="s" s="10">
        <v>229</v>
      </c>
      <c r="G11863" s="14"/>
      <c r="H11863" t="s" s="10">
        <v>229</v>
      </c>
      <c r="I11863" s="14"/>
      <c r="J11863" t="s" s="11">
        <v>20</v>
      </c>
      <c r="K11863" s="15"/>
      <c r="L11863" t="s" s="16">
        <f>HYPERLINK("http://csr.bu.edu/ftp/asl/asllvd/demos/verify_start_end_handshape_annotations//test_auto_move//signs_mov_separ_signers/Liz_24.mov","MOV")</f>
        <v>21</v>
      </c>
      <c r="M11863" t="s" s="10">
        <v>22</v>
      </c>
      <c r="N11863" s="17">
        <v>4</v>
      </c>
      <c r="O11863" s="18">
        <v>1720</v>
      </c>
      <c r="P11863" s="18">
        <v>1745</v>
      </c>
      <c r="Q11863" s="15"/>
      <c r="R11863" t="s" s="16">
        <f>HYPERLINK("http://secrets.rutgers.edu:8080/data/asl-ftp/asllvd/demos/verify_start_end_handshape_annotations//test_auto_move//signs_mov_separ_signers/Liz_24.mov","MOV")</f>
        <v>21</v>
      </c>
    </row>
    <row r="11864" s="2" customFormat="1" ht="13.5" customHeight="1">
      <c r="B11864" s="13"/>
      <c r="C11864" t="s" s="9">
        <v>23</v>
      </c>
      <c r="D11864" t="s" s="8">
        <v>4456</v>
      </c>
      <c r="E11864" t="s" s="9">
        <v>4456</v>
      </c>
      <c r="F11864" t="s" s="10">
        <v>229</v>
      </c>
      <c r="G11864" s="14"/>
      <c r="H11864" t="s" s="10">
        <v>229</v>
      </c>
      <c r="I11864" s="14"/>
      <c r="J11864" t="s" s="11">
        <v>20</v>
      </c>
      <c r="K11864" t="s" s="16">
        <f>HYPERLINK("http://csr.bu.edu/ftp/asl/asllvd/demos/verify_start_end_handshape_annotations//test_auto_move//signs_mov/24.mov","MOV")</f>
        <v>21</v>
      </c>
      <c r="L11864" t="s" s="16">
        <f>HYPERLINK("http://csr.bu.edu/ftp/asl/asllvd/demos/verify_start_end_handshape_annotations//test_auto_move//signs_mov_separ_signers/Tyler_24.mov","MOV")</f>
        <v>21</v>
      </c>
      <c r="M11864" t="s" s="10">
        <v>26</v>
      </c>
      <c r="N11864" s="17">
        <v>3</v>
      </c>
      <c r="O11864" s="18">
        <v>940</v>
      </c>
      <c r="P11864" s="18">
        <v>996</v>
      </c>
      <c r="Q11864" t="s" s="16">
        <f>HYPERLINK("http://secrets.rutgers.edu:8080/data/asl-ftp/asllvd/demos/verify_start_end_handshape_annotations//test_auto_move//signs_mov/24.mov","MOV")</f>
        <v>21</v>
      </c>
      <c r="R11864" t="s" s="16">
        <f>HYPERLINK("http://secrets.rutgers.edu:8080/data/asl-ftp/asllvd/demos/verify_start_end_handshape_annotations//test_auto_move//signs_mov_separ_signers/Tyler_24.mov","MOV")</f>
        <v>21</v>
      </c>
    </row>
    <row r="11865" s="2" customFormat="1" ht="13.5" customHeight="1">
      <c r="B11865" s="13"/>
      <c r="C11865" t="s" s="9">
        <v>27</v>
      </c>
      <c r="D11865" t="s" s="8">
        <v>4456</v>
      </c>
      <c r="E11865" t="s" s="9">
        <v>4456</v>
      </c>
      <c r="F11865" t="s" s="10">
        <v>229</v>
      </c>
      <c r="G11865" s="14"/>
      <c r="H11865" t="s" s="10">
        <v>229</v>
      </c>
      <c r="I11865" s="14"/>
      <c r="J11865" t="s" s="11">
        <v>20</v>
      </c>
      <c r="K11865" s="15"/>
      <c r="L11865" t="s" s="16">
        <f>HYPERLINK("http://csr.bu.edu/ftp/asl/asllvd/demos/verify_start_end_handshape_annotations//test_auto_move//signs_mov_separ_signers/Naomi_24.mov","MOV")</f>
        <v>21</v>
      </c>
      <c r="M11865" t="s" s="10">
        <v>29</v>
      </c>
      <c r="N11865" s="17">
        <v>3</v>
      </c>
      <c r="O11865" s="18">
        <v>1240</v>
      </c>
      <c r="P11865" s="18">
        <v>1261</v>
      </c>
      <c r="Q11865" s="15"/>
      <c r="R11865" t="s" s="16">
        <f>HYPERLINK("http://secrets.rutgers.edu:8080/data/asl-ftp/asllvd/demos/verify_start_end_handshape_annotations//test_auto_move//signs_mov_separ_signers/Naomi_24.mov","MOV")</f>
        <v>21</v>
      </c>
    </row>
    <row r="11866" s="2" customFormat="1" ht="13.5" customHeight="1">
      <c r="B11866" s="13"/>
      <c r="C11866" t="s" s="9">
        <v>30</v>
      </c>
      <c r="D11866" t="s" s="8">
        <v>4456</v>
      </c>
      <c r="E11866" t="s" s="9">
        <v>4456</v>
      </c>
      <c r="F11866" t="s" s="10">
        <v>229</v>
      </c>
      <c r="G11866" s="14"/>
      <c r="H11866" t="s" s="10">
        <v>229</v>
      </c>
      <c r="I11866" s="14"/>
      <c r="J11866" t="s" s="11">
        <v>20</v>
      </c>
      <c r="K11866" s="15"/>
      <c r="L11866" t="s" s="16">
        <f>HYPERLINK("http://csr.bu.edu/ftp/asl/asllvd/demos/verify_start_end_handshape_annotations//test_auto_move//signs_mov_separ_signers/Brady_24.mov","MOV")</f>
        <v>21</v>
      </c>
      <c r="M11866" t="s" s="10">
        <v>31</v>
      </c>
      <c r="N11866" s="17">
        <v>5</v>
      </c>
      <c r="O11866" s="18">
        <v>2106</v>
      </c>
      <c r="P11866" s="18">
        <v>2114</v>
      </c>
      <c r="Q11866" s="15"/>
      <c r="R11866" t="s" s="16">
        <f>HYPERLINK("http://secrets.rutgers.edu:8080/data/asl-ftp/asllvd/demos/verify_start_end_handshape_annotations//test_auto_move//signs_mov_separ_signers/Brady_24.mov","MOV")</f>
        <v>21</v>
      </c>
    </row>
    <row r="11867" s="2" customFormat="1" ht="27.75" customHeight="1">
      <c r="B11867" t="s" s="8">
        <v>4457</v>
      </c>
      <c r="C11867" t="s" s="9">
        <v>14</v>
      </c>
      <c r="D11867" t="s" s="8">
        <v>14</v>
      </c>
      <c r="E11867" t="s" s="9">
        <v>14</v>
      </c>
      <c r="F11867" t="s" s="10">
        <v>14</v>
      </c>
      <c r="G11867" t="s" s="11">
        <v>14</v>
      </c>
      <c r="H11867" t="s" s="10">
        <v>14</v>
      </c>
      <c r="I11867" t="s" s="11">
        <v>14</v>
      </c>
      <c r="J11867" t="s" s="11">
        <v>14</v>
      </c>
      <c r="K11867" t="s" s="12">
        <v>14</v>
      </c>
      <c r="L11867" t="s" s="12">
        <v>14</v>
      </c>
      <c r="M11867" t="s" s="10">
        <v>14</v>
      </c>
      <c r="N11867" t="s" s="11">
        <v>14</v>
      </c>
      <c r="O11867" t="s" s="8">
        <v>14</v>
      </c>
      <c r="P11867" t="s" s="8">
        <v>14</v>
      </c>
      <c r="Q11867" t="s" s="12">
        <v>14</v>
      </c>
      <c r="R11867" t="s" s="12">
        <v>14</v>
      </c>
    </row>
    <row r="11868" s="2" customFormat="1" ht="27.75" customHeight="1">
      <c r="B11868" s="13"/>
      <c r="C11868" t="s" s="9">
        <v>16</v>
      </c>
      <c r="D11868" t="s" s="8">
        <v>4457</v>
      </c>
      <c r="E11868" t="s" s="9">
        <v>4457</v>
      </c>
      <c r="F11868" t="s" s="10">
        <v>119</v>
      </c>
      <c r="G11868" t="s" s="11">
        <v>73</v>
      </c>
      <c r="H11868" t="s" s="10">
        <v>73</v>
      </c>
      <c r="I11868" t="s" s="11">
        <v>73</v>
      </c>
      <c r="J11868" t="s" s="11">
        <v>20</v>
      </c>
      <c r="K11868" s="15"/>
      <c r="L11868" t="s" s="16">
        <f>HYPERLINK("http://csr.bu.edu/ftp/asl/asllvd/demos/verify_start_end_handshape_annotations//test_auto_move//signs_mov_separ_signers/Liz_55.mov","MOV")</f>
        <v>21</v>
      </c>
      <c r="M11868" t="s" s="10">
        <v>22</v>
      </c>
      <c r="N11868" s="17">
        <v>8</v>
      </c>
      <c r="O11868" s="18">
        <v>600</v>
      </c>
      <c r="P11868" s="18">
        <v>662</v>
      </c>
      <c r="Q11868" s="15"/>
      <c r="R11868" t="s" s="16">
        <f>HYPERLINK("http://secrets.rutgers.edu:8080/data/asl-ftp/asllvd/demos/verify_start_end_handshape_annotations//test_auto_move//signs_mov_separ_signers/Liz_55.mov","MOV")</f>
        <v>21</v>
      </c>
    </row>
    <row r="11869" s="2" customFormat="1" ht="27.75" customHeight="1">
      <c r="B11869" s="13"/>
      <c r="C11869" t="s" s="9">
        <v>23</v>
      </c>
      <c r="D11869" t="s" s="8">
        <v>4457</v>
      </c>
      <c r="E11869" t="s" s="9">
        <v>4458</v>
      </c>
      <c r="F11869" t="s" s="10">
        <v>119</v>
      </c>
      <c r="G11869" t="s" s="11">
        <v>55</v>
      </c>
      <c r="H11869" t="s" s="10">
        <v>73</v>
      </c>
      <c r="I11869" t="s" s="11">
        <v>73</v>
      </c>
      <c r="J11869" t="s" s="11">
        <v>20</v>
      </c>
      <c r="K11869" t="s" s="16">
        <f>HYPERLINK("http://csr.bu.edu/ftp/asl/asllvd/demos/verify_start_end_handshape_annotations//test_auto_move//signs_mov/55.mov","MOV")</f>
        <v>21</v>
      </c>
      <c r="L11869" t="s" s="16">
        <f>HYPERLINK("http://csr.bu.edu/ftp/asl/asllvd/demos/verify_start_end_handshape_annotations//test_auto_move//signs_mov_separ_signers/Tyler_55.mov","MOV")</f>
        <v>21</v>
      </c>
      <c r="M11869" t="s" s="10">
        <v>26</v>
      </c>
      <c r="N11869" s="17">
        <v>7</v>
      </c>
      <c r="O11869" s="18">
        <v>1306</v>
      </c>
      <c r="P11869" s="18">
        <v>1350</v>
      </c>
      <c r="Q11869" t="s" s="16">
        <f>HYPERLINK("http://secrets.rutgers.edu:8080/data/asl-ftp/asllvd/demos/verify_start_end_handshape_annotations//test_auto_move//signs_mov/55.mov","MOV")</f>
        <v>21</v>
      </c>
      <c r="R11869" t="s" s="16">
        <f>HYPERLINK("http://secrets.rutgers.edu:8080/data/asl-ftp/asllvd/demos/verify_start_end_handshape_annotations//test_auto_move//signs_mov_separ_signers/Tyler_55.mov","MOV")</f>
        <v>21</v>
      </c>
    </row>
    <row r="11870" s="2" customFormat="1" ht="27.75" customHeight="1">
      <c r="B11870" s="13"/>
      <c r="C11870" t="s" s="9">
        <v>27</v>
      </c>
      <c r="D11870" t="s" s="8">
        <v>4457</v>
      </c>
      <c r="E11870" t="s" s="9">
        <v>4457</v>
      </c>
      <c r="F11870" t="s" s="10">
        <v>119</v>
      </c>
      <c r="G11870" t="s" s="11">
        <v>105</v>
      </c>
      <c r="H11870" t="s" s="10">
        <v>73</v>
      </c>
      <c r="I11870" t="s" s="11">
        <v>73</v>
      </c>
      <c r="J11870" t="s" s="11">
        <v>20</v>
      </c>
      <c r="K11870" s="15"/>
      <c r="L11870" t="s" s="16">
        <f>HYPERLINK("http://csr.bu.edu/ftp/asl/asllvd/demos/verify_start_end_handshape_annotations//test_auto_move//signs_mov_separ_signers/Naomi_55.mov","MOV")</f>
        <v>21</v>
      </c>
      <c r="M11870" t="s" s="10">
        <v>29</v>
      </c>
      <c r="N11870" s="17">
        <v>6</v>
      </c>
      <c r="O11870" s="18">
        <v>1601</v>
      </c>
      <c r="P11870" s="18">
        <v>1644</v>
      </c>
      <c r="Q11870" s="15"/>
      <c r="R11870" t="s" s="16">
        <f>HYPERLINK("http://secrets.rutgers.edu:8080/data/asl-ftp/asllvd/demos/verify_start_end_handshape_annotations//test_auto_move//signs_mov_separ_signers/Naomi_55.mov","MOV")</f>
        <v>21</v>
      </c>
    </row>
    <row r="11871" s="2" customFormat="1" ht="27.75" customHeight="1">
      <c r="B11871" t="s" s="8">
        <v>4459</v>
      </c>
      <c r="C11871" t="s" s="9">
        <v>14</v>
      </c>
      <c r="D11871" t="s" s="8">
        <v>14</v>
      </c>
      <c r="E11871" t="s" s="9">
        <v>14</v>
      </c>
      <c r="F11871" t="s" s="10">
        <v>14</v>
      </c>
      <c r="G11871" t="s" s="11">
        <v>14</v>
      </c>
      <c r="H11871" t="s" s="10">
        <v>14</v>
      </c>
      <c r="I11871" t="s" s="11">
        <v>14</v>
      </c>
      <c r="J11871" t="s" s="11">
        <v>14</v>
      </c>
      <c r="K11871" t="s" s="12">
        <v>14</v>
      </c>
      <c r="L11871" t="s" s="12">
        <v>14</v>
      </c>
      <c r="M11871" t="s" s="10">
        <v>14</v>
      </c>
      <c r="N11871" t="s" s="11">
        <v>14</v>
      </c>
      <c r="O11871" t="s" s="8">
        <v>14</v>
      </c>
      <c r="P11871" t="s" s="8">
        <v>14</v>
      </c>
      <c r="Q11871" t="s" s="12">
        <v>14</v>
      </c>
      <c r="R11871" t="s" s="12">
        <v>14</v>
      </c>
    </row>
    <row r="11872" s="2" customFormat="1" ht="27.75" customHeight="1">
      <c r="B11872" s="13"/>
      <c r="C11872" t="s" s="9">
        <v>16</v>
      </c>
      <c r="D11872" t="s" s="8">
        <v>4459</v>
      </c>
      <c r="E11872" t="s" s="9">
        <v>4459</v>
      </c>
      <c r="F11872" s="19">
        <v>5</v>
      </c>
      <c r="G11872" s="17">
        <v>5</v>
      </c>
      <c r="H11872" t="s" s="10">
        <v>73</v>
      </c>
      <c r="I11872" t="s" s="11">
        <v>73</v>
      </c>
      <c r="J11872" t="s" s="11">
        <v>20</v>
      </c>
      <c r="K11872" s="15"/>
      <c r="L11872" t="s" s="16">
        <f>HYPERLINK("http://csr.bu.edu/ftp/asl/asllvd/demos/verify_start_end_handshape_annotations//test_auto_move//signs_mov_separ_signers/Liz_59.mov","MOV")</f>
        <v>21</v>
      </c>
      <c r="M11872" t="s" s="10">
        <v>22</v>
      </c>
      <c r="N11872" s="17">
        <v>8</v>
      </c>
      <c r="O11872" s="18">
        <v>2905</v>
      </c>
      <c r="P11872" s="18">
        <v>2992</v>
      </c>
      <c r="Q11872" s="15"/>
      <c r="R11872" t="s" s="16">
        <f>HYPERLINK("http://secrets.rutgers.edu:8080/data/asl-ftp/asllvd/demos/verify_start_end_handshape_annotations//test_auto_move//signs_mov_separ_signers/Liz_59.mov","MOV")</f>
        <v>21</v>
      </c>
    </row>
    <row r="11873" s="2" customFormat="1" ht="27.75" customHeight="1">
      <c r="B11873" s="13"/>
      <c r="C11873" t="s" s="9">
        <v>23</v>
      </c>
      <c r="D11873" t="s" s="8">
        <v>4459</v>
      </c>
      <c r="E11873" t="s" s="9">
        <v>4459</v>
      </c>
      <c r="F11873" s="19">
        <v>5</v>
      </c>
      <c r="G11873" s="17">
        <v>5</v>
      </c>
      <c r="H11873" t="s" s="10">
        <v>73</v>
      </c>
      <c r="I11873" t="s" s="11">
        <v>73</v>
      </c>
      <c r="J11873" t="s" s="11">
        <v>20</v>
      </c>
      <c r="K11873" t="s" s="16">
        <f>HYPERLINK("http://csr.bu.edu/ftp/asl/asllvd/demos/verify_start_end_handshape_annotations//test_auto_move//signs_mov/59.mov","MOV")</f>
        <v>21</v>
      </c>
      <c r="L11873" t="s" s="16">
        <f>HYPERLINK("http://csr.bu.edu/ftp/asl/asllvd/demos/verify_start_end_handshape_annotations//test_auto_move//signs_mov_separ_signers/Tyler_59.mov","MOV")</f>
        <v>21</v>
      </c>
      <c r="M11873" t="s" s="10">
        <v>26</v>
      </c>
      <c r="N11873" s="17">
        <v>7</v>
      </c>
      <c r="O11873" s="18">
        <v>3417</v>
      </c>
      <c r="P11873" s="18">
        <v>3485</v>
      </c>
      <c r="Q11873" t="s" s="16">
        <f>HYPERLINK("http://secrets.rutgers.edu:8080/data/asl-ftp/asllvd/demos/verify_start_end_handshape_annotations//test_auto_move//signs_mov/59.mov","MOV")</f>
        <v>21</v>
      </c>
      <c r="R11873" t="s" s="16">
        <f>HYPERLINK("http://secrets.rutgers.edu:8080/data/asl-ftp/asllvd/demos/verify_start_end_handshape_annotations//test_auto_move//signs_mov_separ_signers/Tyler_59.mov","MOV")</f>
        <v>21</v>
      </c>
    </row>
    <row r="11874" s="2" customFormat="1" ht="27.75" customHeight="1">
      <c r="B11874" s="13"/>
      <c r="C11874" t="s" s="9">
        <v>27</v>
      </c>
      <c r="D11874" t="s" s="8">
        <v>4459</v>
      </c>
      <c r="E11874" t="s" s="9">
        <v>4459</v>
      </c>
      <c r="F11874" s="19">
        <v>5</v>
      </c>
      <c r="G11874" s="17">
        <v>5</v>
      </c>
      <c r="H11874" t="s" s="10">
        <v>73</v>
      </c>
      <c r="I11874" t="s" s="11">
        <v>73</v>
      </c>
      <c r="J11874" t="s" s="11">
        <v>20</v>
      </c>
      <c r="K11874" s="15"/>
      <c r="L11874" t="s" s="16">
        <f>HYPERLINK("http://csr.bu.edu/ftp/asl/asllvd/demos/verify_start_end_handshape_annotations//test_auto_move//signs_mov_separ_signers/Naomi_59.mov","MOV")</f>
        <v>21</v>
      </c>
      <c r="M11874" t="s" s="10">
        <v>29</v>
      </c>
      <c r="N11874" s="17">
        <v>6</v>
      </c>
      <c r="O11874" s="18">
        <v>3551</v>
      </c>
      <c r="P11874" s="18">
        <v>3626</v>
      </c>
      <c r="Q11874" s="15"/>
      <c r="R11874" t="s" s="16">
        <f>HYPERLINK("http://secrets.rutgers.edu:8080/data/asl-ftp/asllvd/demos/verify_start_end_handshape_annotations//test_auto_move//signs_mov_separ_signers/Naomi_59.mov","MOV")</f>
        <v>21</v>
      </c>
    </row>
    <row r="11875" s="2" customFormat="1" ht="27.75" customHeight="1">
      <c r="B11875" s="13"/>
      <c r="C11875" t="s" s="9">
        <v>30</v>
      </c>
      <c r="D11875" t="s" s="8">
        <v>4459</v>
      </c>
      <c r="E11875" t="s" s="9">
        <v>4459</v>
      </c>
      <c r="F11875" s="19">
        <v>5</v>
      </c>
      <c r="G11875" s="14"/>
      <c r="H11875" t="s" s="10">
        <v>73</v>
      </c>
      <c r="I11875" t="s" s="11">
        <v>73</v>
      </c>
      <c r="J11875" t="s" s="11">
        <v>20</v>
      </c>
      <c r="K11875" s="15"/>
      <c r="L11875" t="s" s="16">
        <f>HYPERLINK("http://csr.bu.edu/ftp/asl/asllvd/demos/verify_start_end_handshape_annotations//test_auto_move//signs_mov_separ_signers/Brady_59.mov","MOV")</f>
        <v>21</v>
      </c>
      <c r="M11875" t="s" s="10">
        <v>31</v>
      </c>
      <c r="N11875" s="17">
        <v>9</v>
      </c>
      <c r="O11875" s="18">
        <v>6994</v>
      </c>
      <c r="P11875" s="18">
        <v>7034</v>
      </c>
      <c r="Q11875" s="15"/>
      <c r="R11875" t="s" s="16">
        <f>HYPERLINK("http://secrets.rutgers.edu:8080/data/asl-ftp/asllvd/demos/verify_start_end_handshape_annotations//test_auto_move//signs_mov_separ_signers/Brady_59.mov","MOV")</f>
        <v>21</v>
      </c>
    </row>
    <row r="11876" s="2" customFormat="1" ht="13.5" customHeight="1">
      <c r="B11876" t="s" s="8">
        <v>52</v>
      </c>
      <c r="C11876" t="s" s="9">
        <v>53</v>
      </c>
      <c r="D11876" t="s" s="8">
        <v>53</v>
      </c>
      <c r="E11876" t="s" s="9">
        <v>53</v>
      </c>
      <c r="F11876" t="s" s="10">
        <v>53</v>
      </c>
      <c r="G11876" t="s" s="11">
        <v>53</v>
      </c>
      <c r="H11876" t="s" s="10">
        <v>53</v>
      </c>
      <c r="I11876" t="s" s="11">
        <v>53</v>
      </c>
      <c r="J11876" t="s" s="11">
        <v>53</v>
      </c>
      <c r="K11876" t="s" s="12">
        <v>53</v>
      </c>
      <c r="L11876" t="s" s="12">
        <v>53</v>
      </c>
      <c r="M11876" t="s" s="10">
        <v>53</v>
      </c>
      <c r="N11876" t="s" s="11">
        <v>53</v>
      </c>
      <c r="O11876" t="s" s="8">
        <v>53</v>
      </c>
      <c r="P11876" t="s" s="8">
        <v>53</v>
      </c>
      <c r="Q11876" t="s" s="12">
        <v>53</v>
      </c>
      <c r="R11876" t="s" s="12">
        <v>53</v>
      </c>
    </row>
    <row r="11877" s="2" customFormat="1" ht="27.75" customHeight="1">
      <c r="B11877" s="13"/>
      <c r="C11877" t="s" s="9">
        <v>16</v>
      </c>
      <c r="D11877" t="s" s="8">
        <v>4459</v>
      </c>
      <c r="E11877" t="s" s="9">
        <v>4460</v>
      </c>
      <c r="F11877" t="s" s="10">
        <v>63</v>
      </c>
      <c r="G11877" s="17">
        <v>5</v>
      </c>
      <c r="H11877" t="s" s="10">
        <v>73</v>
      </c>
      <c r="I11877" t="s" s="11">
        <v>73</v>
      </c>
      <c r="J11877" t="s" s="11">
        <v>20</v>
      </c>
      <c r="K11877" t="s" s="16">
        <f>HYPERLINK("http://csr.bu.edu/ftp/asl/asllvd/demos/verify_start_end_handshape_annotations//test_auto_move//signs_mov/3569.mov","MOV")</f>
        <v>21</v>
      </c>
      <c r="L11877" t="s" s="16">
        <f>HYPERLINK("http://csr.bu.edu/ftp/asl/asllvd/demos/verify_start_end_handshape_annotations//test_auto_move//signs_mov_separ_signers/Liz_3569.mov","MOV")</f>
        <v>21</v>
      </c>
      <c r="M11877" t="s" s="10">
        <v>22</v>
      </c>
      <c r="N11877" s="17">
        <v>8</v>
      </c>
      <c r="O11877" s="18">
        <v>2145</v>
      </c>
      <c r="P11877" s="18">
        <v>2269</v>
      </c>
      <c r="Q11877" t="s" s="16">
        <f>HYPERLINK("http://secrets.rutgers.edu:8080/data/asl-ftp/asllvd/demos/verify_start_end_handshape_annotations//test_auto_move//signs_mov/3569.mov","MOV")</f>
        <v>21</v>
      </c>
      <c r="R11877" t="s" s="16">
        <f>HYPERLINK("http://secrets.rutgers.edu:8080/data/asl-ftp/asllvd/demos/verify_start_end_handshape_annotations//test_auto_move//signs_mov_separ_signers/Liz_3569.mov","MOV")</f>
        <v>21</v>
      </c>
    </row>
    <row r="11878" s="2" customFormat="1" ht="13.5" customHeight="1">
      <c r="B11878" t="s" s="8">
        <v>4461</v>
      </c>
      <c r="C11878" t="s" s="9">
        <v>14</v>
      </c>
      <c r="D11878" t="s" s="8">
        <v>14</v>
      </c>
      <c r="E11878" t="s" s="9">
        <v>14</v>
      </c>
      <c r="F11878" t="s" s="10">
        <v>14</v>
      </c>
      <c r="G11878" t="s" s="11">
        <v>14</v>
      </c>
      <c r="H11878" t="s" s="10">
        <v>14</v>
      </c>
      <c r="I11878" t="s" s="11">
        <v>14</v>
      </c>
      <c r="J11878" t="s" s="11">
        <v>14</v>
      </c>
      <c r="K11878" t="s" s="12">
        <v>14</v>
      </c>
      <c r="L11878" t="s" s="12">
        <v>14</v>
      </c>
      <c r="M11878" t="s" s="10">
        <v>14</v>
      </c>
      <c r="N11878" t="s" s="11">
        <v>14</v>
      </c>
      <c r="O11878" t="s" s="8">
        <v>14</v>
      </c>
      <c r="P11878" t="s" s="8">
        <v>14</v>
      </c>
      <c r="Q11878" t="s" s="12">
        <v>14</v>
      </c>
      <c r="R11878" t="s" s="12">
        <v>14</v>
      </c>
    </row>
    <row r="11879" s="2" customFormat="1" ht="13.5" customHeight="1">
      <c r="B11879" s="13"/>
      <c r="C11879" t="s" s="9">
        <v>16</v>
      </c>
      <c r="D11879" t="s" s="8">
        <v>4461</v>
      </c>
      <c r="E11879" t="s" s="9">
        <v>4461</v>
      </c>
      <c r="F11879" t="s" s="10">
        <v>287</v>
      </c>
      <c r="G11879" t="s" s="11">
        <v>73</v>
      </c>
      <c r="H11879" t="s" s="10">
        <v>73</v>
      </c>
      <c r="I11879" t="s" s="11">
        <v>73</v>
      </c>
      <c r="J11879" t="s" s="11">
        <v>20</v>
      </c>
      <c r="K11879" s="15"/>
      <c r="L11879" t="s" s="16">
        <f>HYPERLINK("http://csr.bu.edu/ftp/asl/asllvd/demos/verify_start_end_handshape_annotations//test_auto_move//signs_mov_separ_signers/Liz_130.mov","MOV")</f>
        <v>21</v>
      </c>
      <c r="M11879" t="s" s="10">
        <v>22</v>
      </c>
      <c r="N11879" s="17">
        <v>22</v>
      </c>
      <c r="O11879" s="18">
        <v>838</v>
      </c>
      <c r="P11879" s="18">
        <v>901</v>
      </c>
      <c r="Q11879" s="15"/>
      <c r="R11879" t="s" s="16">
        <f>HYPERLINK("http://secrets.rutgers.edu:8080/data/asl-ftp/asllvd/demos/verify_start_end_handshape_annotations//test_auto_move//signs_mov_separ_signers/Liz_130.mov","MOV")</f>
        <v>21</v>
      </c>
    </row>
    <row r="11880" s="2" customFormat="1" ht="13.5" customHeight="1">
      <c r="B11880" s="13"/>
      <c r="C11880" t="s" s="9">
        <v>23</v>
      </c>
      <c r="D11880" t="s" s="8">
        <v>4461</v>
      </c>
      <c r="E11880" t="s" s="9">
        <v>4461</v>
      </c>
      <c r="F11880" t="s" s="10">
        <v>287</v>
      </c>
      <c r="G11880" t="s" s="11">
        <v>73</v>
      </c>
      <c r="H11880" t="s" s="10">
        <v>73</v>
      </c>
      <c r="I11880" t="s" s="11">
        <v>73</v>
      </c>
      <c r="J11880" t="s" s="11">
        <v>20</v>
      </c>
      <c r="K11880" t="s" s="16">
        <f>HYPERLINK("http://csr.bu.edu/ftp/asl/asllvd/demos/verify_start_end_handshape_annotations//test_auto_move//signs_mov/130.mov","MOV")</f>
        <v>21</v>
      </c>
      <c r="L11880" t="s" s="16">
        <f>HYPERLINK("http://csr.bu.edu/ftp/asl/asllvd/demos/verify_start_end_handshape_annotations//test_auto_move//signs_mov_separ_signers/Tyler_130.mov","MOV")</f>
        <v>21</v>
      </c>
      <c r="M11880" t="s" s="10">
        <v>26</v>
      </c>
      <c r="N11880" s="17">
        <v>14</v>
      </c>
      <c r="O11880" s="18">
        <v>2961</v>
      </c>
      <c r="P11880" s="18">
        <v>3003</v>
      </c>
      <c r="Q11880" t="s" s="16">
        <f>HYPERLINK("http://secrets.rutgers.edu:8080/data/asl-ftp/asllvd/demos/verify_start_end_handshape_annotations//test_auto_move//signs_mov/130.mov","MOV")</f>
        <v>21</v>
      </c>
      <c r="R11880" t="s" s="16">
        <f>HYPERLINK("http://secrets.rutgers.edu:8080/data/asl-ftp/asllvd/demos/verify_start_end_handshape_annotations//test_auto_move//signs_mov_separ_signers/Tyler_130.mov","MOV")</f>
        <v>21</v>
      </c>
    </row>
    <row r="11881" s="2" customFormat="1" ht="13.5" customHeight="1">
      <c r="B11881" s="13"/>
      <c r="C11881" t="s" s="9">
        <v>27</v>
      </c>
      <c r="D11881" t="s" s="8">
        <v>4461</v>
      </c>
      <c r="E11881" t="s" s="9">
        <v>4461</v>
      </c>
      <c r="F11881" t="s" s="10">
        <v>287</v>
      </c>
      <c r="G11881" t="s" s="11">
        <v>73</v>
      </c>
      <c r="H11881" t="s" s="10">
        <v>73</v>
      </c>
      <c r="I11881" t="s" s="11">
        <v>73</v>
      </c>
      <c r="J11881" t="s" s="11">
        <v>20</v>
      </c>
      <c r="K11881" s="15"/>
      <c r="L11881" t="s" s="16">
        <f>HYPERLINK("http://csr.bu.edu/ftp/asl/asllvd/demos/verify_start_end_handshape_annotations//test_auto_move//signs_mov_separ_signers/Naomi_130.mov","MOV")</f>
        <v>21</v>
      </c>
      <c r="M11881" t="s" s="10">
        <v>29</v>
      </c>
      <c r="N11881" s="17">
        <v>14</v>
      </c>
      <c r="O11881" s="18">
        <v>2806</v>
      </c>
      <c r="P11881" s="18">
        <v>2849</v>
      </c>
      <c r="Q11881" s="15"/>
      <c r="R11881" t="s" s="16">
        <f>HYPERLINK("http://secrets.rutgers.edu:8080/data/asl-ftp/asllvd/demos/verify_start_end_handshape_annotations//test_auto_move//signs_mov_separ_signers/Naomi_130.mov","MOV")</f>
        <v>21</v>
      </c>
    </row>
    <row r="11882" s="2" customFormat="1" ht="13.5" customHeight="1">
      <c r="B11882" s="13"/>
      <c r="C11882" t="s" s="9">
        <v>30</v>
      </c>
      <c r="D11882" t="s" s="8">
        <v>4461</v>
      </c>
      <c r="E11882" t="s" s="9">
        <v>4461</v>
      </c>
      <c r="F11882" t="s" s="10">
        <v>287</v>
      </c>
      <c r="G11882" t="s" s="11">
        <v>73</v>
      </c>
      <c r="H11882" t="s" s="10">
        <v>73</v>
      </c>
      <c r="I11882" t="s" s="11">
        <v>73</v>
      </c>
      <c r="J11882" t="s" s="11">
        <v>20</v>
      </c>
      <c r="K11882" s="15"/>
      <c r="L11882" t="s" s="16">
        <f>HYPERLINK("http://csr.bu.edu/ftp/asl/asllvd/demos/verify_start_end_handshape_annotations//test_auto_move//signs_mov_separ_signers/Brady_130.mov","MOV")</f>
        <v>21</v>
      </c>
      <c r="M11882" t="s" s="10">
        <v>39</v>
      </c>
      <c r="N11882" s="17">
        <v>2</v>
      </c>
      <c r="O11882" s="18">
        <v>2930</v>
      </c>
      <c r="P11882" s="18">
        <v>2956</v>
      </c>
      <c r="Q11882" s="15"/>
      <c r="R11882" t="s" s="16">
        <f>HYPERLINK("http://secrets.rutgers.edu:8080/data/asl-ftp/asllvd/demos/verify_start_end_handshape_annotations//test_auto_move//signs_mov_separ_signers/Brady_130.mov","MOV")</f>
        <v>21</v>
      </c>
    </row>
    <row r="11883" s="2" customFormat="1" ht="13.5" customHeight="1">
      <c r="B11883" t="s" s="8">
        <v>4462</v>
      </c>
      <c r="C11883" t="s" s="9">
        <v>14</v>
      </c>
      <c r="D11883" t="s" s="8">
        <v>14</v>
      </c>
      <c r="E11883" t="s" s="9">
        <v>14</v>
      </c>
      <c r="F11883" t="s" s="10">
        <v>14</v>
      </c>
      <c r="G11883" t="s" s="11">
        <v>14</v>
      </c>
      <c r="H11883" t="s" s="10">
        <v>14</v>
      </c>
      <c r="I11883" t="s" s="11">
        <v>14</v>
      </c>
      <c r="J11883" t="s" s="11">
        <v>14</v>
      </c>
      <c r="K11883" t="s" s="12">
        <v>14</v>
      </c>
      <c r="L11883" t="s" s="12">
        <v>14</v>
      </c>
      <c r="M11883" t="s" s="10">
        <v>14</v>
      </c>
      <c r="N11883" t="s" s="11">
        <v>14</v>
      </c>
      <c r="O11883" t="s" s="8">
        <v>14</v>
      </c>
      <c r="P11883" t="s" s="8">
        <v>14</v>
      </c>
      <c r="Q11883" t="s" s="12">
        <v>14</v>
      </c>
      <c r="R11883" t="s" s="12">
        <v>14</v>
      </c>
    </row>
    <row r="11884" s="2" customFormat="1" ht="13.5" customHeight="1">
      <c r="B11884" s="13"/>
      <c r="C11884" t="s" s="9">
        <v>16</v>
      </c>
      <c r="D11884" t="s" s="8">
        <v>4462</v>
      </c>
      <c r="E11884" t="s" s="9">
        <v>4462</v>
      </c>
      <c r="F11884" t="s" s="10">
        <v>63</v>
      </c>
      <c r="G11884" s="14"/>
      <c r="H11884" t="s" s="10">
        <v>25</v>
      </c>
      <c r="I11884" s="14"/>
      <c r="J11884" t="s" s="11">
        <v>20</v>
      </c>
      <c r="K11884" s="15"/>
      <c r="L11884" t="s" s="16">
        <f>HYPERLINK("http://csr.bu.edu/ftp/asl/asllvd/demos/verify_start_end_handshape_annotations//test_auto_move//signs_mov_separ_signers/Liz_136.mov","MOV")</f>
        <v>21</v>
      </c>
      <c r="M11884" t="s" s="10">
        <v>22</v>
      </c>
      <c r="N11884" s="17">
        <v>23</v>
      </c>
      <c r="O11884" s="18">
        <v>680</v>
      </c>
      <c r="P11884" s="18">
        <v>705</v>
      </c>
      <c r="Q11884" s="15"/>
      <c r="R11884" t="s" s="16">
        <f>HYPERLINK("http://secrets.rutgers.edu:8080/data/asl-ftp/asllvd/demos/verify_start_end_handshape_annotations//test_auto_move//signs_mov_separ_signers/Liz_136.mov","MOV")</f>
        <v>21</v>
      </c>
    </row>
    <row r="11885" s="2" customFormat="1" ht="13.5" customHeight="1">
      <c r="B11885" s="13"/>
      <c r="C11885" t="s" s="9">
        <v>23</v>
      </c>
      <c r="D11885" t="s" s="8">
        <v>4462</v>
      </c>
      <c r="E11885" t="s" s="9">
        <v>4462</v>
      </c>
      <c r="F11885" t="s" s="10">
        <v>63</v>
      </c>
      <c r="G11885" s="14"/>
      <c r="H11885" t="s" s="10">
        <v>25</v>
      </c>
      <c r="I11885" s="14"/>
      <c r="J11885" t="s" s="11">
        <v>20</v>
      </c>
      <c r="K11885" s="15"/>
      <c r="L11885" t="s" s="16">
        <f>HYPERLINK("http://csr.bu.edu/ftp/asl/asllvd/demos/verify_start_end_handshape_annotations//test_auto_move//signs_mov_separ_signers/Tyler_136.mov","MOV")</f>
        <v>21</v>
      </c>
      <c r="M11885" t="s" s="10">
        <v>26</v>
      </c>
      <c r="N11885" s="17">
        <v>10</v>
      </c>
      <c r="O11885" s="18">
        <v>2952</v>
      </c>
      <c r="P11885" s="18">
        <v>3000</v>
      </c>
      <c r="Q11885" s="15"/>
      <c r="R11885" t="s" s="16">
        <f>HYPERLINK("http://secrets.rutgers.edu:8080/data/asl-ftp/asllvd/demos/verify_start_end_handshape_annotations//test_auto_move//signs_mov_separ_signers/Tyler_136.mov","MOV")</f>
        <v>21</v>
      </c>
    </row>
    <row r="11886" s="2" customFormat="1" ht="13.5" customHeight="1">
      <c r="B11886" s="13"/>
      <c r="C11886" t="s" s="9">
        <v>23</v>
      </c>
      <c r="D11886" t="s" s="8">
        <v>4462</v>
      </c>
      <c r="E11886" t="s" s="9">
        <v>4462</v>
      </c>
      <c r="F11886" t="s" s="10">
        <v>63</v>
      </c>
      <c r="G11886" s="14"/>
      <c r="H11886" t="s" s="10">
        <v>25</v>
      </c>
      <c r="I11886" s="14"/>
      <c r="J11886" t="s" s="11">
        <v>20</v>
      </c>
      <c r="K11886" t="s" s="16">
        <f>HYPERLINK("http://csr.bu.edu/ftp/asl/asllvd/demos/verify_start_end_handshape_annotations//test_auto_move//signs_mov/136_3831_merged.mov","MOV")</f>
        <v>21</v>
      </c>
      <c r="L11886" t="s" s="16">
        <f>HYPERLINK("http://csr.bu.edu/ftp/asl/asllvd/demos/verify_start_end_handshape_annotations//test_auto_move//signs_mov_separ_signers/Tyler_3831.mov","MOV")</f>
        <v>21</v>
      </c>
      <c r="M11886" t="s" s="10">
        <v>26</v>
      </c>
      <c r="N11886" s="17">
        <v>15</v>
      </c>
      <c r="O11886" s="18">
        <v>2631</v>
      </c>
      <c r="P11886" s="18">
        <v>2666</v>
      </c>
      <c r="Q11886" t="s" s="16">
        <f>HYPERLINK("http://secrets.rutgers.edu:8080/data/asl-ftp/asllvd/demos/verify_start_end_handshape_annotations//test_auto_move//signs_mov/136_3831_merged.mov","MOV")</f>
        <v>21</v>
      </c>
      <c r="R11886" t="s" s="16">
        <f>HYPERLINK("http://secrets.rutgers.edu:8080/data/asl-ftp/asllvd/demos/verify_start_end_handshape_annotations//test_auto_move//signs_mov_separ_signers/Tyler_3831.mov","MOV")</f>
        <v>21</v>
      </c>
    </row>
    <row r="11887" s="2" customFormat="1" ht="13.5" customHeight="1">
      <c r="B11887" s="13"/>
      <c r="C11887" t="s" s="9">
        <v>27</v>
      </c>
      <c r="D11887" t="s" s="8">
        <v>4462</v>
      </c>
      <c r="E11887" t="s" s="9">
        <v>4462</v>
      </c>
      <c r="F11887" t="s" s="10">
        <v>63</v>
      </c>
      <c r="G11887" s="14"/>
      <c r="H11887" t="s" s="10">
        <v>25</v>
      </c>
      <c r="I11887" s="14"/>
      <c r="J11887" t="s" s="11">
        <v>20</v>
      </c>
      <c r="K11887" s="15"/>
      <c r="L11887" t="s" s="16">
        <f>HYPERLINK("http://csr.bu.edu/ftp/asl/asllvd/demos/verify_start_end_handshape_annotations//test_auto_move//signs_mov_separ_signers/Naomi_136.mov","MOV")</f>
        <v>21</v>
      </c>
      <c r="M11887" t="s" s="10">
        <v>29</v>
      </c>
      <c r="N11887" s="17">
        <v>15</v>
      </c>
      <c r="O11887" s="18">
        <v>2411</v>
      </c>
      <c r="P11887" s="18">
        <v>2430</v>
      </c>
      <c r="Q11887" s="15"/>
      <c r="R11887" t="s" s="16">
        <f>HYPERLINK("http://secrets.rutgers.edu:8080/data/asl-ftp/asllvd/demos/verify_start_end_handshape_annotations//test_auto_move//signs_mov_separ_signers/Naomi_136.mov","MOV")</f>
        <v>21</v>
      </c>
    </row>
    <row r="11888" s="2" customFormat="1" ht="13.5" customHeight="1">
      <c r="B11888" s="13"/>
      <c r="C11888" t="s" s="9">
        <v>30</v>
      </c>
      <c r="D11888" t="s" s="8">
        <v>4462</v>
      </c>
      <c r="E11888" t="s" s="9">
        <v>4462</v>
      </c>
      <c r="F11888" t="s" s="10">
        <v>63</v>
      </c>
      <c r="G11888" s="14"/>
      <c r="H11888" t="s" s="10">
        <v>25</v>
      </c>
      <c r="I11888" s="14"/>
      <c r="J11888" t="s" s="11">
        <v>20</v>
      </c>
      <c r="K11888" s="15"/>
      <c r="L11888" t="s" s="16">
        <f>HYPERLINK("http://csr.bu.edu/ftp/asl/asllvd/demos/verify_start_end_handshape_annotations//test_auto_move//signs_mov_separ_signers/Brady_136.mov","MOV")</f>
        <v>21</v>
      </c>
      <c r="M11888" t="s" s="10">
        <v>31</v>
      </c>
      <c r="N11888" s="17">
        <v>11</v>
      </c>
      <c r="O11888" s="18">
        <v>6136</v>
      </c>
      <c r="P11888" s="18">
        <v>6160</v>
      </c>
      <c r="Q11888" s="15"/>
      <c r="R11888" t="s" s="16">
        <f>HYPERLINK("http://secrets.rutgers.edu:8080/data/asl-ftp/asllvd/demos/verify_start_end_handshape_annotations//test_auto_move//signs_mov_separ_signers/Brady_136.mov","MOV")</f>
        <v>21</v>
      </c>
    </row>
    <row r="11889" s="2" customFormat="1" ht="13.5" customHeight="1">
      <c r="B11889" s="13"/>
      <c r="C11889" t="s" s="9">
        <v>30</v>
      </c>
      <c r="D11889" t="s" s="8">
        <v>4462</v>
      </c>
      <c r="E11889" t="s" s="9">
        <v>4462</v>
      </c>
      <c r="F11889" t="s" s="10">
        <v>63</v>
      </c>
      <c r="G11889" s="14"/>
      <c r="H11889" t="s" s="10">
        <v>25</v>
      </c>
      <c r="I11889" s="14"/>
      <c r="J11889" t="s" s="11">
        <v>20</v>
      </c>
      <c r="K11889" s="15"/>
      <c r="L11889" t="s" s="16">
        <f>HYPERLINK("http://csr.bu.edu/ftp/asl/asllvd/demos/verify_start_end_handshape_annotations//test_auto_move//signs_mov_separ_signers/Brady_3831.mov","MOV")</f>
        <v>21</v>
      </c>
      <c r="M11889" t="s" s="10">
        <v>31</v>
      </c>
      <c r="N11889" s="17">
        <v>13</v>
      </c>
      <c r="O11889" s="18">
        <v>7966</v>
      </c>
      <c r="P11889" s="18">
        <v>7985</v>
      </c>
      <c r="Q11889" s="15"/>
      <c r="R11889" t="s" s="16">
        <f>HYPERLINK("http://secrets.rutgers.edu:8080/data/asl-ftp/asllvd/demos/verify_start_end_handshape_annotations//test_auto_move//signs_mov_separ_signers/Brady_3831.mov","MOV")</f>
        <v>21</v>
      </c>
    </row>
    <row r="11890" s="2" customFormat="1" ht="42" customHeight="1">
      <c r="B11890" t="s" s="8">
        <v>4463</v>
      </c>
      <c r="C11890" t="s" s="9">
        <v>14</v>
      </c>
      <c r="D11890" t="s" s="8">
        <v>14</v>
      </c>
      <c r="E11890" t="s" s="9">
        <v>14</v>
      </c>
      <c r="F11890" t="s" s="10">
        <v>14</v>
      </c>
      <c r="G11890" t="s" s="11">
        <v>14</v>
      </c>
      <c r="H11890" t="s" s="10">
        <v>14</v>
      </c>
      <c r="I11890" t="s" s="11">
        <v>14</v>
      </c>
      <c r="J11890" t="s" s="11">
        <v>14</v>
      </c>
      <c r="K11890" t="s" s="12">
        <v>14</v>
      </c>
      <c r="L11890" t="s" s="12">
        <v>14</v>
      </c>
      <c r="M11890" t="s" s="10">
        <v>14</v>
      </c>
      <c r="N11890" t="s" s="11">
        <v>14</v>
      </c>
      <c r="O11890" t="s" s="8">
        <v>14</v>
      </c>
      <c r="P11890" t="s" s="8">
        <v>14</v>
      </c>
      <c r="Q11890" t="s" s="12">
        <v>14</v>
      </c>
      <c r="R11890" t="s" s="12">
        <v>14</v>
      </c>
    </row>
    <row r="11891" s="2" customFormat="1" ht="42" customHeight="1">
      <c r="B11891" s="13"/>
      <c r="C11891" t="s" s="9">
        <v>30</v>
      </c>
      <c r="D11891" t="s" s="8">
        <v>4463</v>
      </c>
      <c r="E11891" t="s" s="9">
        <v>4463</v>
      </c>
      <c r="F11891" s="19">
        <v>5</v>
      </c>
      <c r="G11891" s="17">
        <v>5</v>
      </c>
      <c r="H11891" t="s" s="10">
        <v>25</v>
      </c>
      <c r="I11891" t="s" s="11">
        <v>25</v>
      </c>
      <c r="J11891" t="s" s="11">
        <v>20</v>
      </c>
      <c r="K11891" s="15"/>
      <c r="L11891" t="s" s="16">
        <f>HYPERLINK("http://csr.bu.edu/ftp/asl/asllvd/demos/verify_start_end_handshape_annotations//test_auto_move//signs_mov_separ_signers/Brady_15025.mov","MOV")</f>
        <v>21</v>
      </c>
      <c r="M11891" t="s" s="10">
        <v>31</v>
      </c>
      <c r="N11891" s="17">
        <v>11</v>
      </c>
      <c r="O11891" s="18">
        <v>6381</v>
      </c>
      <c r="P11891" s="18">
        <v>6421</v>
      </c>
      <c r="Q11891" s="15"/>
      <c r="R11891" t="s" s="16">
        <f>HYPERLINK("http://secrets.rutgers.edu:8080/data/asl-ftp/asllvd/demos/verify_start_end_handshape_annotations//test_auto_move//signs_mov_separ_signers/Brady_15025.mov","MOV")</f>
        <v>21</v>
      </c>
    </row>
    <row r="11892" s="2" customFormat="1" ht="42" customHeight="1">
      <c r="B11892" s="13"/>
      <c r="C11892" t="s" s="9">
        <v>30</v>
      </c>
      <c r="D11892" t="s" s="8">
        <v>4463</v>
      </c>
      <c r="E11892" t="s" s="9">
        <v>4463</v>
      </c>
      <c r="F11892" s="19">
        <v>5</v>
      </c>
      <c r="G11892" s="17">
        <v>5</v>
      </c>
      <c r="H11892" t="s" s="10">
        <v>25</v>
      </c>
      <c r="I11892" t="s" s="11">
        <v>25</v>
      </c>
      <c r="J11892" t="s" s="11">
        <v>20</v>
      </c>
      <c r="K11892" t="s" s="16">
        <f>HYPERLINK("http://csr.bu.edu/ftp/asl/asllvd/demos/verify_start_end_handshape_annotations//test_auto_move//signs_mov/15025_15031_15032_merged.mov","MOV")</f>
        <v>21</v>
      </c>
      <c r="L11892" t="s" s="16">
        <f>HYPERLINK("http://csr.bu.edu/ftp/asl/asllvd/demos/verify_start_end_handshape_annotations//test_auto_move//signs_mov_separ_signers/Brady_15031.mov","MOV")</f>
        <v>21</v>
      </c>
      <c r="M11892" t="s" s="10">
        <v>39</v>
      </c>
      <c r="N11892" s="17">
        <v>2</v>
      </c>
      <c r="O11892" s="18">
        <v>1975</v>
      </c>
      <c r="P11892" s="18">
        <v>2016</v>
      </c>
      <c r="Q11892" t="s" s="16">
        <f>HYPERLINK("http://secrets.rutgers.edu:8080/data/asl-ftp/asllvd/demos/verify_start_end_handshape_annotations//test_auto_move//signs_mov/15025_15031_15032_merged.mov","MOV")</f>
        <v>21</v>
      </c>
      <c r="R11892" t="s" s="16">
        <f>HYPERLINK("http://secrets.rutgers.edu:8080/data/asl-ftp/asllvd/demos/verify_start_end_handshape_annotations//test_auto_move//signs_mov_separ_signers/Brady_15031.mov","MOV")</f>
        <v>21</v>
      </c>
    </row>
    <row r="11893" s="2" customFormat="1" ht="42" customHeight="1">
      <c r="B11893" s="13"/>
      <c r="C11893" t="s" s="9">
        <v>30</v>
      </c>
      <c r="D11893" t="s" s="8">
        <v>4463</v>
      </c>
      <c r="E11893" t="s" s="9">
        <v>4463</v>
      </c>
      <c r="F11893" s="19">
        <v>5</v>
      </c>
      <c r="G11893" s="17">
        <v>5</v>
      </c>
      <c r="H11893" t="s" s="10">
        <v>25</v>
      </c>
      <c r="I11893" t="s" s="11">
        <v>25</v>
      </c>
      <c r="J11893" t="s" s="11">
        <v>20</v>
      </c>
      <c r="K11893" s="15"/>
      <c r="L11893" t="s" s="16">
        <f>HYPERLINK("http://csr.bu.edu/ftp/asl/asllvd/demos/verify_start_end_handshape_annotations//test_auto_move//signs_mov_separ_signers/Brady_15032.mov","MOV")</f>
        <v>21</v>
      </c>
      <c r="M11893" t="s" s="10">
        <v>60</v>
      </c>
      <c r="N11893" s="17">
        <v>37</v>
      </c>
      <c r="O11893" s="18">
        <v>1278</v>
      </c>
      <c r="P11893" s="18">
        <v>1338</v>
      </c>
      <c r="Q11893" s="15"/>
      <c r="R11893" t="s" s="16">
        <f>HYPERLINK("http://secrets.rutgers.edu:8080/data/asl-ftp/asllvd/demos/verify_start_end_handshape_annotations//test_auto_move//signs_mov_separ_signers/Brady_15032.mov","MOV")</f>
        <v>21</v>
      </c>
    </row>
    <row r="11894" s="2" customFormat="1" ht="13.5" customHeight="1">
      <c r="B11894" t="s" s="8">
        <v>4464</v>
      </c>
      <c r="C11894" t="s" s="9">
        <v>14</v>
      </c>
      <c r="D11894" t="s" s="8">
        <v>14</v>
      </c>
      <c r="E11894" t="s" s="9">
        <v>14</v>
      </c>
      <c r="F11894" t="s" s="10">
        <v>14</v>
      </c>
      <c r="G11894" t="s" s="11">
        <v>14</v>
      </c>
      <c r="H11894" t="s" s="10">
        <v>14</v>
      </c>
      <c r="I11894" t="s" s="11">
        <v>14</v>
      </c>
      <c r="J11894" t="s" s="11">
        <v>14</v>
      </c>
      <c r="K11894" t="s" s="12">
        <v>14</v>
      </c>
      <c r="L11894" t="s" s="12">
        <v>14</v>
      </c>
      <c r="M11894" t="s" s="10">
        <v>14</v>
      </c>
      <c r="N11894" t="s" s="11">
        <v>14</v>
      </c>
      <c r="O11894" t="s" s="8">
        <v>14</v>
      </c>
      <c r="P11894" t="s" s="8">
        <v>14</v>
      </c>
      <c r="Q11894" t="s" s="12">
        <v>14</v>
      </c>
      <c r="R11894" t="s" s="12">
        <v>14</v>
      </c>
    </row>
    <row r="11895" s="2" customFormat="1" ht="13.5" customHeight="1">
      <c r="B11895" s="13"/>
      <c r="C11895" t="s" s="9">
        <v>16</v>
      </c>
      <c r="D11895" t="s" s="8">
        <v>4464</v>
      </c>
      <c r="E11895" t="s" s="9">
        <v>4464</v>
      </c>
      <c r="F11895" t="s" s="10">
        <v>63</v>
      </c>
      <c r="G11895" t="s" s="11">
        <v>73</v>
      </c>
      <c r="H11895" t="s" s="10">
        <v>73</v>
      </c>
      <c r="I11895" t="s" s="11">
        <v>73</v>
      </c>
      <c r="J11895" t="s" s="11">
        <v>20</v>
      </c>
      <c r="K11895" s="15"/>
      <c r="L11895" t="s" s="16">
        <f>HYPERLINK("http://csr.bu.edu/ftp/asl/asllvd/demos/verify_start_end_handshape_annotations//test_auto_move//signs_mov_separ_signers/Liz_148.mov","MOV")</f>
        <v>21</v>
      </c>
      <c r="M11895" t="s" s="10">
        <v>22</v>
      </c>
      <c r="N11895" s="17">
        <v>25</v>
      </c>
      <c r="O11895" s="18">
        <v>974</v>
      </c>
      <c r="P11895" s="18">
        <v>1039</v>
      </c>
      <c r="Q11895" s="15"/>
      <c r="R11895" t="s" s="16">
        <f>HYPERLINK("http://secrets.rutgers.edu:8080/data/asl-ftp/asllvd/demos/verify_start_end_handshape_annotations//test_auto_move//signs_mov_separ_signers/Liz_148.mov","MOV")</f>
        <v>21</v>
      </c>
    </row>
    <row r="11896" s="2" customFormat="1" ht="13.5" customHeight="1">
      <c r="B11896" s="13"/>
      <c r="C11896" t="s" s="9">
        <v>23</v>
      </c>
      <c r="D11896" t="s" s="8">
        <v>4464</v>
      </c>
      <c r="E11896" t="s" s="9">
        <v>4464</v>
      </c>
      <c r="F11896" t="s" s="10">
        <v>63</v>
      </c>
      <c r="G11896" s="14"/>
      <c r="H11896" t="s" s="10">
        <v>73</v>
      </c>
      <c r="I11896" t="s" s="11">
        <v>73</v>
      </c>
      <c r="J11896" t="s" s="11">
        <v>20</v>
      </c>
      <c r="K11896" t="s" s="16">
        <f>HYPERLINK("http://csr.bu.edu/ftp/asl/asllvd/demos/verify_start_end_handshape_annotations//test_auto_move//signs_mov/148.mov","MOV")</f>
        <v>21</v>
      </c>
      <c r="L11896" t="s" s="16">
        <f>HYPERLINK("http://csr.bu.edu/ftp/asl/asllvd/demos/verify_start_end_handshape_annotations//test_auto_move//signs_mov_separ_signers/Tyler_148.mov","MOV")</f>
        <v>21</v>
      </c>
      <c r="M11896" t="s" s="10">
        <v>26</v>
      </c>
      <c r="N11896" s="17">
        <v>16</v>
      </c>
      <c r="O11896" s="18">
        <v>3901</v>
      </c>
      <c r="P11896" s="18">
        <v>3955</v>
      </c>
      <c r="Q11896" t="s" s="16">
        <f>HYPERLINK("http://secrets.rutgers.edu:8080/data/asl-ftp/asllvd/demos/verify_start_end_handshape_annotations//test_auto_move//signs_mov/148.mov","MOV")</f>
        <v>21</v>
      </c>
      <c r="R11896" t="s" s="16">
        <f>HYPERLINK("http://secrets.rutgers.edu:8080/data/asl-ftp/asllvd/demos/verify_start_end_handshape_annotations//test_auto_move//signs_mov_separ_signers/Tyler_148.mov","MOV")</f>
        <v>21</v>
      </c>
    </row>
    <row r="11897" s="2" customFormat="1" ht="13.5" customHeight="1">
      <c r="B11897" s="13"/>
      <c r="C11897" t="s" s="9">
        <v>27</v>
      </c>
      <c r="D11897" t="s" s="8">
        <v>4464</v>
      </c>
      <c r="E11897" t="s" s="9">
        <v>4464</v>
      </c>
      <c r="F11897" t="s" s="10">
        <v>63</v>
      </c>
      <c r="G11897" t="s" s="11">
        <v>73</v>
      </c>
      <c r="H11897" t="s" s="10">
        <v>73</v>
      </c>
      <c r="I11897" t="s" s="11">
        <v>73</v>
      </c>
      <c r="J11897" t="s" s="11">
        <v>20</v>
      </c>
      <c r="K11897" s="15"/>
      <c r="L11897" t="s" s="16">
        <f>HYPERLINK("http://csr.bu.edu/ftp/asl/asllvd/demos/verify_start_end_handshape_annotations//test_auto_move//signs_mov_separ_signers/Naomi_148.mov","MOV")</f>
        <v>21</v>
      </c>
      <c r="M11897" t="s" s="10">
        <v>29</v>
      </c>
      <c r="N11897" s="17">
        <v>16</v>
      </c>
      <c r="O11897" s="18">
        <v>4645</v>
      </c>
      <c r="P11897" s="18">
        <v>4705</v>
      </c>
      <c r="Q11897" s="15"/>
      <c r="R11897" t="s" s="16">
        <f>HYPERLINK("http://secrets.rutgers.edu:8080/data/asl-ftp/asllvd/demos/verify_start_end_handshape_annotations//test_auto_move//signs_mov_separ_signers/Naomi_148.mov","MOV")</f>
        <v>21</v>
      </c>
    </row>
    <row r="11898" s="2" customFormat="1" ht="13.5" customHeight="1">
      <c r="B11898" s="13"/>
      <c r="C11898" t="s" s="9">
        <v>30</v>
      </c>
      <c r="D11898" t="s" s="8">
        <v>4464</v>
      </c>
      <c r="E11898" t="s" s="9">
        <v>4464</v>
      </c>
      <c r="F11898" t="s" s="10">
        <v>63</v>
      </c>
      <c r="G11898" t="s" s="11">
        <v>73</v>
      </c>
      <c r="H11898" t="s" s="10">
        <v>73</v>
      </c>
      <c r="I11898" t="s" s="11">
        <v>73</v>
      </c>
      <c r="J11898" t="s" s="11">
        <v>20</v>
      </c>
      <c r="K11898" s="15"/>
      <c r="L11898" t="s" s="16">
        <f>HYPERLINK("http://csr.bu.edu/ftp/asl/asllvd/demos/verify_start_end_handshape_annotations//test_auto_move//signs_mov_separ_signers/Brady_148.mov","MOV")</f>
        <v>21</v>
      </c>
      <c r="M11898" t="s" s="10">
        <v>39</v>
      </c>
      <c r="N11898" s="17">
        <v>2</v>
      </c>
      <c r="O11898" s="18">
        <v>3402</v>
      </c>
      <c r="P11898" s="18">
        <v>3439</v>
      </c>
      <c r="Q11898" s="15"/>
      <c r="R11898" t="s" s="16">
        <f>HYPERLINK("http://secrets.rutgers.edu:8080/data/asl-ftp/asllvd/demos/verify_start_end_handshape_annotations//test_auto_move//signs_mov_separ_signers/Brady_148.mov","MOV")</f>
        <v>21</v>
      </c>
    </row>
    <row r="11899" s="2" customFormat="1" ht="13.5" customHeight="1">
      <c r="B11899" t="s" s="8">
        <v>4465</v>
      </c>
      <c r="C11899" t="s" s="9">
        <v>14</v>
      </c>
      <c r="D11899" t="s" s="8">
        <v>14</v>
      </c>
      <c r="E11899" t="s" s="9">
        <v>14</v>
      </c>
      <c r="F11899" t="s" s="10">
        <v>14</v>
      </c>
      <c r="G11899" t="s" s="11">
        <v>14</v>
      </c>
      <c r="H11899" t="s" s="10">
        <v>14</v>
      </c>
      <c r="I11899" t="s" s="11">
        <v>14</v>
      </c>
      <c r="J11899" t="s" s="11">
        <v>14</v>
      </c>
      <c r="K11899" t="s" s="12">
        <v>14</v>
      </c>
      <c r="L11899" t="s" s="12">
        <v>14</v>
      </c>
      <c r="M11899" t="s" s="10">
        <v>14</v>
      </c>
      <c r="N11899" t="s" s="11">
        <v>14</v>
      </c>
      <c r="O11899" t="s" s="8">
        <v>14</v>
      </c>
      <c r="P11899" t="s" s="8">
        <v>14</v>
      </c>
      <c r="Q11899" t="s" s="12">
        <v>14</v>
      </c>
      <c r="R11899" t="s" s="12">
        <v>14</v>
      </c>
    </row>
    <row r="11900" s="2" customFormat="1" ht="13.5" customHeight="1">
      <c r="B11900" s="13"/>
      <c r="C11900" t="s" s="9">
        <v>16</v>
      </c>
      <c r="D11900" t="s" s="8">
        <v>4465</v>
      </c>
      <c r="E11900" t="s" s="9">
        <v>4465</v>
      </c>
      <c r="F11900" t="s" s="10">
        <v>55</v>
      </c>
      <c r="G11900" s="14"/>
      <c r="H11900" t="s" s="10">
        <v>220</v>
      </c>
      <c r="I11900" s="14"/>
      <c r="J11900" t="s" s="11">
        <v>20</v>
      </c>
      <c r="K11900" s="15"/>
      <c r="L11900" t="s" s="16">
        <f>HYPERLINK("http://csr.bu.edu/ftp/asl/asllvd/demos/verify_start_end_handshape_annotations//test_auto_move//signs_mov_separ_signers/Liz_168.mov","MOV")</f>
        <v>21</v>
      </c>
      <c r="M11900" t="s" s="10">
        <v>22</v>
      </c>
      <c r="N11900" s="17">
        <v>28</v>
      </c>
      <c r="O11900" s="18">
        <v>1136</v>
      </c>
      <c r="P11900" s="18">
        <v>1171</v>
      </c>
      <c r="Q11900" s="15"/>
      <c r="R11900" t="s" s="16">
        <f>HYPERLINK("http://secrets.rutgers.edu:8080/data/asl-ftp/asllvd/demos/verify_start_end_handshape_annotations//test_auto_move//signs_mov_separ_signers/Liz_168.mov","MOV")</f>
        <v>21</v>
      </c>
    </row>
    <row r="11901" s="2" customFormat="1" ht="13.5" customHeight="1">
      <c r="B11901" s="13"/>
      <c r="C11901" t="s" s="9">
        <v>23</v>
      </c>
      <c r="D11901" t="s" s="8">
        <v>4465</v>
      </c>
      <c r="E11901" t="s" s="9">
        <v>4465</v>
      </c>
      <c r="F11901" t="s" s="10">
        <v>68</v>
      </c>
      <c r="G11901" s="14"/>
      <c r="H11901" t="s" s="10">
        <v>220</v>
      </c>
      <c r="I11901" s="14"/>
      <c r="J11901" t="s" s="11">
        <v>20</v>
      </c>
      <c r="K11901" t="s" s="16">
        <f>HYPERLINK("http://csr.bu.edu/ftp/asl/asllvd/demos/verify_start_end_handshape_annotations//test_auto_move//signs_mov/168.mov","MOV")</f>
        <v>21</v>
      </c>
      <c r="L11901" t="s" s="16">
        <f>HYPERLINK("http://csr.bu.edu/ftp/asl/asllvd/demos/verify_start_end_handshape_annotations//test_auto_move//signs_mov_separ_signers/Tyler_168.mov","MOV")</f>
        <v>21</v>
      </c>
      <c r="M11901" t="s" s="10">
        <v>26</v>
      </c>
      <c r="N11901" s="17">
        <v>18</v>
      </c>
      <c r="O11901" s="18">
        <v>3935</v>
      </c>
      <c r="P11901" s="18">
        <v>3952</v>
      </c>
      <c r="Q11901" t="s" s="16">
        <f>HYPERLINK("http://secrets.rutgers.edu:8080/data/asl-ftp/asllvd/demos/verify_start_end_handshape_annotations//test_auto_move//signs_mov/168.mov","MOV")</f>
        <v>21</v>
      </c>
      <c r="R11901" t="s" s="16">
        <f>HYPERLINK("http://secrets.rutgers.edu:8080/data/asl-ftp/asllvd/demos/verify_start_end_handshape_annotations//test_auto_move//signs_mov_separ_signers/Tyler_168.mov","MOV")</f>
        <v>21</v>
      </c>
    </row>
    <row r="11902" s="2" customFormat="1" ht="13.5" customHeight="1">
      <c r="B11902" s="13"/>
      <c r="C11902" t="s" s="9">
        <v>30</v>
      </c>
      <c r="D11902" t="s" s="8">
        <v>4465</v>
      </c>
      <c r="E11902" t="s" s="9">
        <v>4465</v>
      </c>
      <c r="F11902" t="s" s="10">
        <v>109</v>
      </c>
      <c r="G11902" s="14"/>
      <c r="H11902" s="19">
        <v>3</v>
      </c>
      <c r="I11902" s="14"/>
      <c r="J11902" t="s" s="11">
        <v>20</v>
      </c>
      <c r="K11902" s="15"/>
      <c r="L11902" t="s" s="16">
        <f>HYPERLINK("http://csr.bu.edu/ftp/asl/asllvd/demos/verify_start_end_handshape_annotations//test_auto_move//signs_mov_separ_signers/Brady_168.mov","MOV")</f>
        <v>21</v>
      </c>
      <c r="M11902" t="s" s="10">
        <v>31</v>
      </c>
      <c r="N11902" s="17">
        <v>15</v>
      </c>
      <c r="O11902" s="18">
        <v>1218</v>
      </c>
      <c r="P11902" s="18">
        <v>1246</v>
      </c>
      <c r="Q11902" s="15"/>
      <c r="R11902" t="s" s="16">
        <f>HYPERLINK("http://secrets.rutgers.edu:8080/data/asl-ftp/asllvd/demos/verify_start_end_handshape_annotations//test_auto_move//signs_mov_separ_signers/Brady_168.mov","MOV")</f>
        <v>21</v>
      </c>
    </row>
    <row r="11903" s="2" customFormat="1" ht="13.5" customHeight="1">
      <c r="B11903" t="s" s="8">
        <v>52</v>
      </c>
      <c r="C11903" t="s" s="9">
        <v>53</v>
      </c>
      <c r="D11903" t="s" s="8">
        <v>53</v>
      </c>
      <c r="E11903" t="s" s="9">
        <v>53</v>
      </c>
      <c r="F11903" t="s" s="10">
        <v>53</v>
      </c>
      <c r="G11903" t="s" s="11">
        <v>53</v>
      </c>
      <c r="H11903" t="s" s="10">
        <v>53</v>
      </c>
      <c r="I11903" t="s" s="11">
        <v>53</v>
      </c>
      <c r="J11903" t="s" s="11">
        <v>53</v>
      </c>
      <c r="K11903" t="s" s="12">
        <v>53</v>
      </c>
      <c r="L11903" t="s" s="12">
        <v>53</v>
      </c>
      <c r="M11903" t="s" s="10">
        <v>53</v>
      </c>
      <c r="N11903" t="s" s="11">
        <v>53</v>
      </c>
      <c r="O11903" t="s" s="8">
        <v>53</v>
      </c>
      <c r="P11903" t="s" s="8">
        <v>53</v>
      </c>
      <c r="Q11903" t="s" s="12">
        <v>53</v>
      </c>
      <c r="R11903" t="s" s="12">
        <v>53</v>
      </c>
    </row>
    <row r="11904" s="2" customFormat="1" ht="13.5" customHeight="1">
      <c r="B11904" s="13"/>
      <c r="C11904" t="s" s="9">
        <v>27</v>
      </c>
      <c r="D11904" t="s" s="8">
        <v>4465</v>
      </c>
      <c r="E11904" t="s" s="9">
        <v>4466</v>
      </c>
      <c r="F11904" t="s" s="10">
        <v>55</v>
      </c>
      <c r="G11904" s="14"/>
      <c r="H11904" t="s" s="10">
        <v>220</v>
      </c>
      <c r="I11904" s="14"/>
      <c r="J11904" t="s" s="11">
        <v>20</v>
      </c>
      <c r="K11904" t="s" s="16">
        <f>HYPERLINK("http://csr.bu.edu/ftp/asl/asllvd/demos/verify_start_end_handshape_annotations//test_auto_move//signs_mov/5473.mov","MOV")</f>
        <v>21</v>
      </c>
      <c r="L11904" t="s" s="16">
        <f>HYPERLINK("http://csr.bu.edu/ftp/asl/asllvd/demos/verify_start_end_handshape_annotations//test_auto_move//signs_mov_separ_signers/Naomi_5473.mov","MOV")</f>
        <v>21</v>
      </c>
      <c r="M11904" t="s" s="10">
        <v>29</v>
      </c>
      <c r="N11904" s="17">
        <v>18</v>
      </c>
      <c r="O11904" s="18">
        <v>2723</v>
      </c>
      <c r="P11904" s="18">
        <v>2735</v>
      </c>
      <c r="Q11904" t="s" s="16">
        <f>HYPERLINK("http://secrets.rutgers.edu:8080/data/asl-ftp/asllvd/demos/verify_start_end_handshape_annotations//test_auto_move//signs_mov/5473.mov","MOV")</f>
        <v>21</v>
      </c>
      <c r="R11904" t="s" s="16">
        <f>HYPERLINK("http://secrets.rutgers.edu:8080/data/asl-ftp/asllvd/demos/verify_start_end_handshape_annotations//test_auto_move//signs_mov_separ_signers/Naomi_5473.mov","MOV")</f>
        <v>21</v>
      </c>
    </row>
    <row r="11905" s="2" customFormat="1" ht="13.5" customHeight="1">
      <c r="B11905" t="s" s="8">
        <v>4465</v>
      </c>
      <c r="C11905" t="s" s="9">
        <v>14</v>
      </c>
      <c r="D11905" t="s" s="8">
        <v>14</v>
      </c>
      <c r="E11905" t="s" s="9">
        <v>14</v>
      </c>
      <c r="F11905" t="s" s="10">
        <v>14</v>
      </c>
      <c r="G11905" t="s" s="11">
        <v>14</v>
      </c>
      <c r="H11905" t="s" s="10">
        <v>14</v>
      </c>
      <c r="I11905" t="s" s="11">
        <v>14</v>
      </c>
      <c r="J11905" t="s" s="11">
        <v>14</v>
      </c>
      <c r="K11905" t="s" s="12">
        <v>14</v>
      </c>
      <c r="L11905" t="s" s="12">
        <v>14</v>
      </c>
      <c r="M11905" t="s" s="10">
        <v>14</v>
      </c>
      <c r="N11905" t="s" s="11">
        <v>14</v>
      </c>
      <c r="O11905" t="s" s="8">
        <v>14</v>
      </c>
      <c r="P11905" t="s" s="8">
        <v>14</v>
      </c>
      <c r="Q11905" t="s" s="12">
        <v>14</v>
      </c>
      <c r="R11905" t="s" s="12">
        <v>14</v>
      </c>
    </row>
    <row r="11906" s="2" customFormat="1" ht="13.5" customHeight="1">
      <c r="B11906" s="13"/>
      <c r="C11906" t="s" s="9">
        <v>16</v>
      </c>
      <c r="D11906" t="s" s="8">
        <v>4467</v>
      </c>
      <c r="E11906" t="s" s="9">
        <v>4467</v>
      </c>
      <c r="F11906" t="s" s="10">
        <v>152</v>
      </c>
      <c r="G11906" t="s" s="11">
        <v>152</v>
      </c>
      <c r="H11906" t="s" s="10">
        <v>220</v>
      </c>
      <c r="I11906" t="s" s="11">
        <v>220</v>
      </c>
      <c r="J11906" t="s" s="11">
        <v>20</v>
      </c>
      <c r="K11906" t="s" s="16">
        <f>HYPERLINK("http://csr.bu.edu/ftp/asl/asllvd/demos/verify_start_end_handshape_annotations//test_auto_move//signs_mov/16199.mov","MOV")</f>
        <v>21</v>
      </c>
      <c r="L11906" t="s" s="16">
        <f>HYPERLINK("http://csr.bu.edu/ftp/asl/asllvd/demos/verify_start_end_handshape_annotations//test_auto_move//signs_mov_separ_signers/Liz_16199.mov","MOV")</f>
        <v>21</v>
      </c>
      <c r="M11906" t="s" s="10">
        <v>22</v>
      </c>
      <c r="N11906" s="17">
        <v>28</v>
      </c>
      <c r="O11906" s="18">
        <v>725</v>
      </c>
      <c r="P11906" s="18">
        <v>770</v>
      </c>
      <c r="Q11906" t="s" s="16">
        <f>HYPERLINK("http://secrets.rutgers.edu:8080/data/asl-ftp/asllvd/demos/verify_start_end_handshape_annotations//test_auto_move//signs_mov/16199.mov","MOV")</f>
        <v>21</v>
      </c>
      <c r="R11906" t="s" s="16">
        <f>HYPERLINK("http://secrets.rutgers.edu:8080/data/asl-ftp/asllvd/demos/verify_start_end_handshape_annotations//test_auto_move//signs_mov_separ_signers/Liz_16199.mov","MOV")</f>
        <v>21</v>
      </c>
    </row>
    <row r="11907" s="2" customFormat="1" ht="13.5" customHeight="1">
      <c r="B11907" s="13"/>
      <c r="C11907" t="s" s="9">
        <v>30</v>
      </c>
      <c r="D11907" t="s" s="8">
        <v>4467</v>
      </c>
      <c r="E11907" t="s" s="9">
        <v>4467</v>
      </c>
      <c r="F11907" t="s" s="10">
        <v>73</v>
      </c>
      <c r="G11907" t="s" s="11">
        <v>73</v>
      </c>
      <c r="H11907" s="19">
        <v>3</v>
      </c>
      <c r="I11907" s="17">
        <v>3</v>
      </c>
      <c r="J11907" t="s" s="11">
        <v>20</v>
      </c>
      <c r="K11907" s="15"/>
      <c r="L11907" t="s" s="16">
        <f>HYPERLINK("http://csr.bu.edu/ftp/asl/asllvd/demos/verify_start_end_handshape_annotations//test_auto_move//signs_mov_separ_signers/Brady_16199.mov","MOV")</f>
        <v>21</v>
      </c>
      <c r="M11907" t="s" s="10">
        <v>31</v>
      </c>
      <c r="N11907" s="17">
        <v>15</v>
      </c>
      <c r="O11907" s="18">
        <v>2294</v>
      </c>
      <c r="P11907" s="18">
        <v>2319</v>
      </c>
      <c r="Q11907" s="15"/>
      <c r="R11907" t="s" s="16">
        <f>HYPERLINK("http://secrets.rutgers.edu:8080/data/asl-ftp/asllvd/demos/verify_start_end_handshape_annotations//test_auto_move//signs_mov_separ_signers/Brady_16199.mov","MOV")</f>
        <v>21</v>
      </c>
    </row>
    <row r="11908" s="2" customFormat="1" ht="13.5" customHeight="1">
      <c r="B11908" t="s" s="8">
        <v>4468</v>
      </c>
      <c r="C11908" t="s" s="9">
        <v>14</v>
      </c>
      <c r="D11908" t="s" s="8">
        <v>14</v>
      </c>
      <c r="E11908" t="s" s="9">
        <v>14</v>
      </c>
      <c r="F11908" t="s" s="10">
        <v>14</v>
      </c>
      <c r="G11908" t="s" s="11">
        <v>14</v>
      </c>
      <c r="H11908" t="s" s="10">
        <v>14</v>
      </c>
      <c r="I11908" t="s" s="11">
        <v>14</v>
      </c>
      <c r="J11908" t="s" s="11">
        <v>14</v>
      </c>
      <c r="K11908" t="s" s="12">
        <v>14</v>
      </c>
      <c r="L11908" t="s" s="12">
        <v>14</v>
      </c>
      <c r="M11908" t="s" s="10">
        <v>14</v>
      </c>
      <c r="N11908" t="s" s="11">
        <v>14</v>
      </c>
      <c r="O11908" t="s" s="8">
        <v>14</v>
      </c>
      <c r="P11908" t="s" s="8">
        <v>14</v>
      </c>
      <c r="Q11908" t="s" s="12">
        <v>14</v>
      </c>
      <c r="R11908" t="s" s="12">
        <v>14</v>
      </c>
    </row>
    <row r="11909" s="2" customFormat="1" ht="13.5" customHeight="1">
      <c r="B11909" s="13"/>
      <c r="C11909" t="s" s="9">
        <v>30</v>
      </c>
      <c r="D11909" t="s" s="8">
        <v>4468</v>
      </c>
      <c r="E11909" t="s" s="9">
        <v>4469</v>
      </c>
      <c r="F11909" t="s" s="10">
        <v>229</v>
      </c>
      <c r="G11909" t="s" s="11">
        <v>229</v>
      </c>
      <c r="H11909" t="s" s="10">
        <v>73</v>
      </c>
      <c r="I11909" t="s" s="11">
        <v>73</v>
      </c>
      <c r="J11909" t="s" s="11">
        <v>20</v>
      </c>
      <c r="K11909" t="s" s="16">
        <f>HYPERLINK("http://csr.bu.edu/ftp/asl/asllvd/demos/verify_start_end_handshape_annotations//test_auto_move//signs_mov/190.mov","MOV")</f>
        <v>21</v>
      </c>
      <c r="L11909" t="s" s="16">
        <f>HYPERLINK("http://csr.bu.edu/ftp/asl/asllvd/demos/verify_start_end_handshape_annotations//test_auto_move//signs_mov_separ_signers/Brady_190.mov","MOV")</f>
        <v>21</v>
      </c>
      <c r="M11909" t="s" s="10">
        <v>39</v>
      </c>
      <c r="N11909" s="17">
        <v>2</v>
      </c>
      <c r="O11909" s="18">
        <v>3618</v>
      </c>
      <c r="P11909" s="18">
        <v>3651</v>
      </c>
      <c r="Q11909" t="s" s="16">
        <f>HYPERLINK("http://secrets.rutgers.edu:8080/data/asl-ftp/asllvd/demos/verify_start_end_handshape_annotations//test_auto_move//signs_mov/190.mov","MOV")</f>
        <v>21</v>
      </c>
      <c r="R11909" t="s" s="16">
        <f>HYPERLINK("http://secrets.rutgers.edu:8080/data/asl-ftp/asllvd/demos/verify_start_end_handshape_annotations//test_auto_move//signs_mov_separ_signers/Brady_190.mov","MOV")</f>
        <v>21</v>
      </c>
    </row>
    <row r="11910" s="2" customFormat="1" ht="13.5" customHeight="1">
      <c r="B11910" t="s" s="8">
        <v>52</v>
      </c>
      <c r="C11910" t="s" s="9">
        <v>53</v>
      </c>
      <c r="D11910" t="s" s="8">
        <v>53</v>
      </c>
      <c r="E11910" t="s" s="9">
        <v>53</v>
      </c>
      <c r="F11910" t="s" s="10">
        <v>53</v>
      </c>
      <c r="G11910" t="s" s="11">
        <v>53</v>
      </c>
      <c r="H11910" t="s" s="10">
        <v>53</v>
      </c>
      <c r="I11910" t="s" s="11">
        <v>53</v>
      </c>
      <c r="J11910" t="s" s="11">
        <v>53</v>
      </c>
      <c r="K11910" t="s" s="12">
        <v>53</v>
      </c>
      <c r="L11910" t="s" s="12">
        <v>53</v>
      </c>
      <c r="M11910" t="s" s="10">
        <v>53</v>
      </c>
      <c r="N11910" t="s" s="11">
        <v>53</v>
      </c>
      <c r="O11910" t="s" s="8">
        <v>53</v>
      </c>
      <c r="P11910" t="s" s="8">
        <v>53</v>
      </c>
      <c r="Q11910" t="s" s="12">
        <v>53</v>
      </c>
      <c r="R11910" t="s" s="12">
        <v>53</v>
      </c>
    </row>
    <row r="11911" s="2" customFormat="1" ht="13.5" customHeight="1">
      <c r="B11911" s="13"/>
      <c r="C11911" t="s" s="9">
        <v>27</v>
      </c>
      <c r="D11911" t="s" s="8">
        <v>4468</v>
      </c>
      <c r="E11911" t="s" s="9">
        <v>4468</v>
      </c>
      <c r="F11911" t="s" s="10">
        <v>229</v>
      </c>
      <c r="G11911" t="s" s="11">
        <v>229</v>
      </c>
      <c r="H11911" t="s" s="10">
        <v>73</v>
      </c>
      <c r="I11911" t="s" s="11">
        <v>73</v>
      </c>
      <c r="J11911" t="s" s="11">
        <v>20</v>
      </c>
      <c r="K11911" t="s" s="16">
        <f>HYPERLINK("http://csr.bu.edu/ftp/asl/asllvd/demos/verify_start_end_handshape_annotations//test_auto_move//signs_mov/3953.mov","MOV")</f>
        <v>21</v>
      </c>
      <c r="L11911" t="s" s="16">
        <f>HYPERLINK("http://csr.bu.edu/ftp/asl/asllvd/demos/verify_start_end_handshape_annotations//test_auto_move//signs_mov_separ_signers/Naomi_3953.mov","MOV")</f>
        <v>21</v>
      </c>
      <c r="M11911" t="s" s="10">
        <v>29</v>
      </c>
      <c r="N11911" s="17">
        <v>20</v>
      </c>
      <c r="O11911" s="18">
        <v>3595</v>
      </c>
      <c r="P11911" s="18">
        <v>3637</v>
      </c>
      <c r="Q11911" t="s" s="16">
        <f>HYPERLINK("http://secrets.rutgers.edu:8080/data/asl-ftp/asllvd/demos/verify_start_end_handshape_annotations//test_auto_move//signs_mov/3953.mov","MOV")</f>
        <v>21</v>
      </c>
      <c r="R11911" t="s" s="16">
        <f>HYPERLINK("http://secrets.rutgers.edu:8080/data/asl-ftp/asllvd/demos/verify_start_end_handshape_annotations//test_auto_move//signs_mov_separ_signers/Naomi_3953.mov","MOV")</f>
        <v>21</v>
      </c>
    </row>
    <row r="11912" s="2" customFormat="1" ht="13.5" customHeight="1">
      <c r="B11912" t="s" s="8">
        <v>52</v>
      </c>
      <c r="C11912" t="s" s="9">
        <v>53</v>
      </c>
      <c r="D11912" t="s" s="8">
        <v>53</v>
      </c>
      <c r="E11912" t="s" s="9">
        <v>53</v>
      </c>
      <c r="F11912" t="s" s="10">
        <v>53</v>
      </c>
      <c r="G11912" t="s" s="11">
        <v>53</v>
      </c>
      <c r="H11912" t="s" s="10">
        <v>53</v>
      </c>
      <c r="I11912" t="s" s="11">
        <v>53</v>
      </c>
      <c r="J11912" t="s" s="11">
        <v>53</v>
      </c>
      <c r="K11912" t="s" s="12">
        <v>53</v>
      </c>
      <c r="L11912" t="s" s="12">
        <v>53</v>
      </c>
      <c r="M11912" t="s" s="10">
        <v>53</v>
      </c>
      <c r="N11912" t="s" s="11">
        <v>53</v>
      </c>
      <c r="O11912" t="s" s="8">
        <v>53</v>
      </c>
      <c r="P11912" t="s" s="8">
        <v>53</v>
      </c>
      <c r="Q11912" t="s" s="12">
        <v>53</v>
      </c>
      <c r="R11912" t="s" s="12">
        <v>53</v>
      </c>
    </row>
    <row r="11913" s="2" customFormat="1" ht="13.5" customHeight="1">
      <c r="B11913" s="13"/>
      <c r="C11913" t="s" s="9">
        <v>16</v>
      </c>
      <c r="D11913" t="s" s="8">
        <v>4468</v>
      </c>
      <c r="E11913" t="s" s="9">
        <v>4470</v>
      </c>
      <c r="F11913" t="s" s="10">
        <v>229</v>
      </c>
      <c r="G11913" s="14"/>
      <c r="H11913" t="s" s="10">
        <v>73</v>
      </c>
      <c r="I11913" t="s" s="11">
        <v>73</v>
      </c>
      <c r="J11913" t="s" s="11">
        <v>20</v>
      </c>
      <c r="K11913" t="s" s="16">
        <f>HYPERLINK("http://csr.bu.edu/ftp/asl/asllvd/demos/verify_start_end_handshape_annotations//test_auto_move//signs_mov/5099.mov","MOV")</f>
        <v>21</v>
      </c>
      <c r="L11913" t="s" s="16">
        <f>HYPERLINK("http://csr.bu.edu/ftp/asl/asllvd/demos/verify_start_end_handshape_annotations//test_auto_move//signs_mov_separ_signers/Liz_5099.mov","MOV")</f>
        <v>21</v>
      </c>
      <c r="M11913" t="s" s="10">
        <v>22</v>
      </c>
      <c r="N11913" s="17">
        <v>32</v>
      </c>
      <c r="O11913" s="18">
        <v>525</v>
      </c>
      <c r="P11913" s="18">
        <v>588</v>
      </c>
      <c r="Q11913" t="s" s="16">
        <f>HYPERLINK("http://secrets.rutgers.edu:8080/data/asl-ftp/asllvd/demos/verify_start_end_handshape_annotations//test_auto_move//signs_mov/5099.mov","MOV")</f>
        <v>21</v>
      </c>
      <c r="R11913" t="s" s="16">
        <f>HYPERLINK("http://secrets.rutgers.edu:8080/data/asl-ftp/asllvd/demos/verify_start_end_handshape_annotations//test_auto_move//signs_mov_separ_signers/Liz_5099.mov","MOV")</f>
        <v>21</v>
      </c>
    </row>
    <row r="11914" s="2" customFormat="1" ht="13.5" customHeight="1">
      <c r="B11914" t="s" s="8">
        <v>4471</v>
      </c>
      <c r="C11914" t="s" s="9">
        <v>14</v>
      </c>
      <c r="D11914" t="s" s="8">
        <v>14</v>
      </c>
      <c r="E11914" t="s" s="9">
        <v>14</v>
      </c>
      <c r="F11914" t="s" s="10">
        <v>14</v>
      </c>
      <c r="G11914" t="s" s="11">
        <v>14</v>
      </c>
      <c r="H11914" t="s" s="10">
        <v>14</v>
      </c>
      <c r="I11914" t="s" s="11">
        <v>14</v>
      </c>
      <c r="J11914" t="s" s="11">
        <v>14</v>
      </c>
      <c r="K11914" t="s" s="12">
        <v>14</v>
      </c>
      <c r="L11914" t="s" s="12">
        <v>14</v>
      </c>
      <c r="M11914" t="s" s="10">
        <v>14</v>
      </c>
      <c r="N11914" t="s" s="11">
        <v>14</v>
      </c>
      <c r="O11914" t="s" s="8">
        <v>14</v>
      </c>
      <c r="P11914" t="s" s="8">
        <v>14</v>
      </c>
      <c r="Q11914" t="s" s="12">
        <v>14</v>
      </c>
      <c r="R11914" t="s" s="12">
        <v>14</v>
      </c>
    </row>
    <row r="11915" s="2" customFormat="1" ht="13.5" customHeight="1">
      <c r="B11915" s="13"/>
      <c r="C11915" t="s" s="9">
        <v>16</v>
      </c>
      <c r="D11915" t="s" s="8">
        <v>4471</v>
      </c>
      <c r="E11915" t="s" s="9">
        <v>4471</v>
      </c>
      <c r="F11915" t="s" s="10">
        <v>73</v>
      </c>
      <c r="G11915" t="s" s="11">
        <v>73</v>
      </c>
      <c r="H11915" t="s" s="10">
        <v>73</v>
      </c>
      <c r="I11915" t="s" s="11">
        <v>73</v>
      </c>
      <c r="J11915" t="s" s="11">
        <v>20</v>
      </c>
      <c r="K11915" t="s" s="16">
        <f>HYPERLINK("http://csr.bu.edu/ftp/asl/asllvd/demos/verify_start_end_handshape_annotations//test_auto_move//signs_mov/219.mov","MOV")</f>
        <v>21</v>
      </c>
      <c r="L11915" t="s" s="16">
        <f>HYPERLINK("http://csr.bu.edu/ftp/asl/asllvd/demos/verify_start_end_handshape_annotations//test_auto_move//signs_mov_separ_signers/Liz_219.mov","MOV")</f>
        <v>21</v>
      </c>
      <c r="M11915" t="s" s="10">
        <v>22</v>
      </c>
      <c r="N11915" s="17">
        <v>37</v>
      </c>
      <c r="O11915" s="18">
        <v>376</v>
      </c>
      <c r="P11915" s="18">
        <v>452</v>
      </c>
      <c r="Q11915" t="s" s="16">
        <f>HYPERLINK("http://secrets.rutgers.edu:8080/data/asl-ftp/asllvd/demos/verify_start_end_handshape_annotations//test_auto_move//signs_mov/219.mov","MOV")</f>
        <v>21</v>
      </c>
      <c r="R11915" t="s" s="16">
        <f>HYPERLINK("http://secrets.rutgers.edu:8080/data/asl-ftp/asllvd/demos/verify_start_end_handshape_annotations//test_auto_move//signs_mov_separ_signers/Liz_219.mov","MOV")</f>
        <v>21</v>
      </c>
    </row>
    <row r="11916" s="2" customFormat="1" ht="13.5" customHeight="1">
      <c r="B11916" s="13"/>
      <c r="C11916" t="s" s="9">
        <v>27</v>
      </c>
      <c r="D11916" t="s" s="8">
        <v>4471</v>
      </c>
      <c r="E11916" t="s" s="9">
        <v>4471</v>
      </c>
      <c r="F11916" t="s" s="10">
        <v>73</v>
      </c>
      <c r="G11916" t="s" s="11">
        <v>73</v>
      </c>
      <c r="H11916" t="s" s="10">
        <v>73</v>
      </c>
      <c r="I11916" t="s" s="11">
        <v>73</v>
      </c>
      <c r="J11916" t="s" s="11">
        <v>20</v>
      </c>
      <c r="K11916" s="15"/>
      <c r="L11916" t="s" s="16">
        <f>HYPERLINK("http://csr.bu.edu/ftp/asl/asllvd/demos/verify_start_end_handshape_annotations//test_auto_move//signs_mov_separ_signers/Naomi_219.mov","MOV")</f>
        <v>21</v>
      </c>
      <c r="M11916" t="s" s="10">
        <v>29</v>
      </c>
      <c r="N11916" s="17">
        <v>24</v>
      </c>
      <c r="O11916" s="18">
        <v>2424</v>
      </c>
      <c r="P11916" s="18">
        <v>2474</v>
      </c>
      <c r="Q11916" s="15"/>
      <c r="R11916" t="s" s="16">
        <f>HYPERLINK("http://secrets.rutgers.edu:8080/data/asl-ftp/asllvd/demos/verify_start_end_handshape_annotations//test_auto_move//signs_mov_separ_signers/Naomi_219.mov","MOV")</f>
        <v>21</v>
      </c>
    </row>
    <row r="11917" s="2" customFormat="1" ht="13.5" customHeight="1">
      <c r="B11917" t="s" s="8">
        <v>4472</v>
      </c>
      <c r="C11917" t="s" s="9">
        <v>14</v>
      </c>
      <c r="D11917" t="s" s="8">
        <v>14</v>
      </c>
      <c r="E11917" t="s" s="9">
        <v>14</v>
      </c>
      <c r="F11917" t="s" s="10">
        <v>14</v>
      </c>
      <c r="G11917" t="s" s="11">
        <v>14</v>
      </c>
      <c r="H11917" t="s" s="10">
        <v>14</v>
      </c>
      <c r="I11917" t="s" s="11">
        <v>14</v>
      </c>
      <c r="J11917" t="s" s="11">
        <v>14</v>
      </c>
      <c r="K11917" t="s" s="12">
        <v>14</v>
      </c>
      <c r="L11917" t="s" s="12">
        <v>14</v>
      </c>
      <c r="M11917" t="s" s="10">
        <v>14</v>
      </c>
      <c r="N11917" t="s" s="11">
        <v>14</v>
      </c>
      <c r="O11917" t="s" s="8">
        <v>14</v>
      </c>
      <c r="P11917" t="s" s="8">
        <v>14</v>
      </c>
      <c r="Q11917" t="s" s="12">
        <v>14</v>
      </c>
      <c r="R11917" t="s" s="12">
        <v>14</v>
      </c>
    </row>
    <row r="11918" s="2" customFormat="1" ht="13.5" customHeight="1">
      <c r="B11918" s="13"/>
      <c r="C11918" t="s" s="9">
        <v>16</v>
      </c>
      <c r="D11918" t="s" s="8">
        <v>4472</v>
      </c>
      <c r="E11918" t="s" s="9">
        <v>4472</v>
      </c>
      <c r="F11918" t="s" s="10">
        <v>72</v>
      </c>
      <c r="G11918" t="s" s="11">
        <v>55</v>
      </c>
      <c r="H11918" t="s" s="10">
        <v>73</v>
      </c>
      <c r="I11918" t="s" s="11">
        <v>73</v>
      </c>
      <c r="J11918" t="s" s="11">
        <v>20</v>
      </c>
      <c r="K11918" s="15"/>
      <c r="L11918" t="s" s="16">
        <f>HYPERLINK("http://csr.bu.edu/ftp/asl/asllvd/demos/verify_start_end_handshape_annotations//test_auto_move//signs_mov_separ_signers/Liz_225.mov","MOV")</f>
        <v>21</v>
      </c>
      <c r="M11918" t="s" s="10">
        <v>22</v>
      </c>
      <c r="N11918" s="17">
        <v>38</v>
      </c>
      <c r="O11918" s="18">
        <v>273</v>
      </c>
      <c r="P11918" s="18">
        <v>326</v>
      </c>
      <c r="Q11918" s="15"/>
      <c r="R11918" t="s" s="16">
        <f>HYPERLINK("http://secrets.rutgers.edu:8080/data/asl-ftp/asllvd/demos/verify_start_end_handshape_annotations//test_auto_move//signs_mov_separ_signers/Liz_225.mov","MOV")</f>
        <v>21</v>
      </c>
    </row>
    <row r="11919" s="2" customFormat="1" ht="13.5" customHeight="1">
      <c r="B11919" s="13"/>
      <c r="C11919" t="s" s="9">
        <v>23</v>
      </c>
      <c r="D11919" t="s" s="8">
        <v>4472</v>
      </c>
      <c r="E11919" t="s" s="9">
        <v>4472</v>
      </c>
      <c r="F11919" s="19">
        <v>5</v>
      </c>
      <c r="G11919" t="s" s="11">
        <v>55</v>
      </c>
      <c r="H11919" t="s" s="10">
        <v>73</v>
      </c>
      <c r="I11919" t="s" s="11">
        <v>73</v>
      </c>
      <c r="J11919" t="s" s="11">
        <v>20</v>
      </c>
      <c r="K11919" t="s" s="16">
        <f>HYPERLINK("http://csr.bu.edu/ftp/asl/asllvd/demos/verify_start_end_handshape_annotations//test_auto_move//signs_mov/225.mov","MOV")</f>
        <v>21</v>
      </c>
      <c r="L11919" t="s" s="16">
        <f>HYPERLINK("http://csr.bu.edu/ftp/asl/asllvd/demos/verify_start_end_handshape_annotations//test_auto_move//signs_mov_separ_signers/Tyler_225.mov","MOV")</f>
        <v>21</v>
      </c>
      <c r="M11919" t="s" s="10">
        <v>26</v>
      </c>
      <c r="N11919" s="17">
        <v>24</v>
      </c>
      <c r="O11919" s="18">
        <v>1251</v>
      </c>
      <c r="P11919" s="18">
        <v>1300</v>
      </c>
      <c r="Q11919" t="s" s="16">
        <f>HYPERLINK("http://secrets.rutgers.edu:8080/data/asl-ftp/asllvd/demos/verify_start_end_handshape_annotations//test_auto_move//signs_mov/225.mov","MOV")</f>
        <v>21</v>
      </c>
      <c r="R11919" t="s" s="16">
        <f>HYPERLINK("http://secrets.rutgers.edu:8080/data/asl-ftp/asllvd/demos/verify_start_end_handshape_annotations//test_auto_move//signs_mov_separ_signers/Tyler_225.mov","MOV")</f>
        <v>21</v>
      </c>
    </row>
    <row r="11920" s="2" customFormat="1" ht="13.5" customHeight="1">
      <c r="B11920" s="13"/>
      <c r="C11920" t="s" s="9">
        <v>27</v>
      </c>
      <c r="D11920" t="s" s="8">
        <v>4472</v>
      </c>
      <c r="E11920" t="s" s="9">
        <v>4472</v>
      </c>
      <c r="F11920" t="s" s="10">
        <v>72</v>
      </c>
      <c r="G11920" t="s" s="11">
        <v>73</v>
      </c>
      <c r="H11920" t="s" s="10">
        <v>73</v>
      </c>
      <c r="I11920" t="s" s="11">
        <v>73</v>
      </c>
      <c r="J11920" t="s" s="11">
        <v>20</v>
      </c>
      <c r="K11920" s="15"/>
      <c r="L11920" t="s" s="16">
        <f>HYPERLINK("http://csr.bu.edu/ftp/asl/asllvd/demos/verify_start_end_handshape_annotations//test_auto_move//signs_mov_separ_signers/Naomi_225.mov","MOV")</f>
        <v>21</v>
      </c>
      <c r="M11920" t="s" s="10">
        <v>29</v>
      </c>
      <c r="N11920" s="17">
        <v>25</v>
      </c>
      <c r="O11920" s="18">
        <v>1203</v>
      </c>
      <c r="P11920" s="18">
        <v>1260</v>
      </c>
      <c r="Q11920" s="15"/>
      <c r="R11920" t="s" s="16">
        <f>HYPERLINK("http://secrets.rutgers.edu:8080/data/asl-ftp/asllvd/demos/verify_start_end_handshape_annotations//test_auto_move//signs_mov_separ_signers/Naomi_225.mov","MOV")</f>
        <v>21</v>
      </c>
    </row>
    <row r="11921" s="2" customFormat="1" ht="13.5" customHeight="1">
      <c r="B11921" t="s" s="8">
        <v>52</v>
      </c>
      <c r="C11921" t="s" s="9">
        <v>53</v>
      </c>
      <c r="D11921" t="s" s="8">
        <v>53</v>
      </c>
      <c r="E11921" t="s" s="9">
        <v>53</v>
      </c>
      <c r="F11921" t="s" s="10">
        <v>53</v>
      </c>
      <c r="G11921" t="s" s="11">
        <v>53</v>
      </c>
      <c r="H11921" t="s" s="10">
        <v>53</v>
      </c>
      <c r="I11921" t="s" s="11">
        <v>53</v>
      </c>
      <c r="J11921" t="s" s="11">
        <v>53</v>
      </c>
      <c r="K11921" t="s" s="12">
        <v>53</v>
      </c>
      <c r="L11921" t="s" s="12">
        <v>53</v>
      </c>
      <c r="M11921" t="s" s="10">
        <v>53</v>
      </c>
      <c r="N11921" t="s" s="11">
        <v>53</v>
      </c>
      <c r="O11921" t="s" s="8">
        <v>53</v>
      </c>
      <c r="P11921" t="s" s="8">
        <v>53</v>
      </c>
      <c r="Q11921" t="s" s="12">
        <v>53</v>
      </c>
      <c r="R11921" t="s" s="12">
        <v>53</v>
      </c>
    </row>
    <row r="11922" s="2" customFormat="1" ht="13.5" customHeight="1">
      <c r="B11922" s="13"/>
      <c r="C11922" t="s" s="9">
        <v>30</v>
      </c>
      <c r="D11922" t="s" s="8">
        <v>4472</v>
      </c>
      <c r="E11922" t="s" s="9">
        <v>4473</v>
      </c>
      <c r="F11922" t="s" s="10">
        <v>72</v>
      </c>
      <c r="G11922" t="s" s="11">
        <v>73</v>
      </c>
      <c r="H11922" t="s" s="10">
        <v>73</v>
      </c>
      <c r="I11922" t="s" s="11">
        <v>73</v>
      </c>
      <c r="J11922" t="s" s="11">
        <v>20</v>
      </c>
      <c r="K11922" t="s" s="16">
        <f>HYPERLINK("http://csr.bu.edu/ftp/asl/asllvd/demos/verify_start_end_handshape_annotations//test_auto_move//signs_mov/5990.mov","MOV")</f>
        <v>21</v>
      </c>
      <c r="L11922" t="s" s="16">
        <f>HYPERLINK("http://csr.bu.edu/ftp/asl/asllvd/demos/verify_start_end_handshape_annotations//test_auto_move//signs_mov_separ_signers/Brady_5990.mov","MOV")</f>
        <v>21</v>
      </c>
      <c r="M11922" t="s" s="10">
        <v>39</v>
      </c>
      <c r="N11922" s="17">
        <v>2</v>
      </c>
      <c r="O11922" s="18">
        <v>5074</v>
      </c>
      <c r="P11922" s="18">
        <v>5113</v>
      </c>
      <c r="Q11922" t="s" s="16">
        <f>HYPERLINK("http://secrets.rutgers.edu:8080/data/asl-ftp/asllvd/demos/verify_start_end_handshape_annotations//test_auto_move//signs_mov/5990.mov","MOV")</f>
        <v>21</v>
      </c>
      <c r="R11922" t="s" s="16">
        <f>HYPERLINK("http://secrets.rutgers.edu:8080/data/asl-ftp/asllvd/demos/verify_start_end_handshape_annotations//test_auto_move//signs_mov_separ_signers/Brady_5990.mov","MOV")</f>
        <v>21</v>
      </c>
    </row>
    <row r="11923" s="2" customFormat="1" ht="13.5" customHeight="1">
      <c r="B11923" t="s" s="8">
        <v>4474</v>
      </c>
      <c r="C11923" t="s" s="9">
        <v>14</v>
      </c>
      <c r="D11923" t="s" s="8">
        <v>14</v>
      </c>
      <c r="E11923" t="s" s="9">
        <v>14</v>
      </c>
      <c r="F11923" t="s" s="10">
        <v>14</v>
      </c>
      <c r="G11923" t="s" s="11">
        <v>14</v>
      </c>
      <c r="H11923" t="s" s="10">
        <v>14</v>
      </c>
      <c r="I11923" t="s" s="11">
        <v>14</v>
      </c>
      <c r="J11923" t="s" s="11">
        <v>14</v>
      </c>
      <c r="K11923" t="s" s="12">
        <v>14</v>
      </c>
      <c r="L11923" t="s" s="12">
        <v>14</v>
      </c>
      <c r="M11923" t="s" s="10">
        <v>14</v>
      </c>
      <c r="N11923" t="s" s="11">
        <v>14</v>
      </c>
      <c r="O11923" t="s" s="8">
        <v>14</v>
      </c>
      <c r="P11923" t="s" s="8">
        <v>14</v>
      </c>
      <c r="Q11923" t="s" s="12">
        <v>14</v>
      </c>
      <c r="R11923" t="s" s="12">
        <v>14</v>
      </c>
    </row>
    <row r="11924" s="2" customFormat="1" ht="13.5" customHeight="1">
      <c r="B11924" s="13"/>
      <c r="C11924" t="s" s="9">
        <v>16</v>
      </c>
      <c r="D11924" t="s" s="8">
        <v>4474</v>
      </c>
      <c r="E11924" t="s" s="9">
        <v>4474</v>
      </c>
      <c r="F11924" s="19">
        <v>1</v>
      </c>
      <c r="G11924" s="14"/>
      <c r="H11924" t="s" s="10">
        <v>150</v>
      </c>
      <c r="I11924" t="s" s="11">
        <v>150</v>
      </c>
      <c r="J11924" t="s" s="11">
        <v>20</v>
      </c>
      <c r="K11924" s="15"/>
      <c r="L11924" t="s" s="16">
        <f>HYPERLINK("http://csr.bu.edu/ftp/asl/asllvd/demos/verify_start_end_handshape_annotations//test_auto_move//signs_mov_separ_signers/Liz_232.mov","MOV")</f>
        <v>21</v>
      </c>
      <c r="M11924" t="s" s="10">
        <v>22</v>
      </c>
      <c r="N11924" s="17">
        <v>39</v>
      </c>
      <c r="O11924" s="18">
        <v>492</v>
      </c>
      <c r="P11924" s="18">
        <v>531</v>
      </c>
      <c r="Q11924" s="15"/>
      <c r="R11924" t="s" s="16">
        <f>HYPERLINK("http://secrets.rutgers.edu:8080/data/asl-ftp/asllvd/demos/verify_start_end_handshape_annotations//test_auto_move//signs_mov_separ_signers/Liz_232.mov","MOV")</f>
        <v>21</v>
      </c>
    </row>
    <row r="11925" s="2" customFormat="1" ht="13.5" customHeight="1">
      <c r="B11925" s="13"/>
      <c r="C11925" t="s" s="9">
        <v>23</v>
      </c>
      <c r="D11925" t="s" s="8">
        <v>4474</v>
      </c>
      <c r="E11925" t="s" s="9">
        <v>4474</v>
      </c>
      <c r="F11925" s="19">
        <v>1</v>
      </c>
      <c r="G11925" s="14"/>
      <c r="H11925" t="s" s="10">
        <v>150</v>
      </c>
      <c r="I11925" t="s" s="11">
        <v>150</v>
      </c>
      <c r="J11925" t="s" s="11">
        <v>20</v>
      </c>
      <c r="K11925" s="15"/>
      <c r="L11925" t="s" s="16">
        <f>HYPERLINK("http://csr.bu.edu/ftp/asl/asllvd/demos/verify_start_end_handshape_annotations//test_auto_move//signs_mov_separ_signers/Tyler_232.mov","MOV")</f>
        <v>21</v>
      </c>
      <c r="M11925" t="s" s="10">
        <v>26</v>
      </c>
      <c r="N11925" s="17">
        <v>25</v>
      </c>
      <c r="O11925" s="18">
        <v>615</v>
      </c>
      <c r="P11925" s="18">
        <v>656</v>
      </c>
      <c r="Q11925" s="15"/>
      <c r="R11925" t="s" s="16">
        <f>HYPERLINK("http://secrets.rutgers.edu:8080/data/asl-ftp/asllvd/demos/verify_start_end_handshape_annotations//test_auto_move//signs_mov_separ_signers/Tyler_232.mov","MOV")</f>
        <v>21</v>
      </c>
    </row>
    <row r="11926" s="2" customFormat="1" ht="13.5" customHeight="1">
      <c r="B11926" s="13"/>
      <c r="C11926" t="s" s="9">
        <v>27</v>
      </c>
      <c r="D11926" t="s" s="8">
        <v>4474</v>
      </c>
      <c r="E11926" t="s" s="9">
        <v>4474</v>
      </c>
      <c r="F11926" s="19">
        <v>1</v>
      </c>
      <c r="G11926" s="14"/>
      <c r="H11926" t="s" s="10">
        <v>185</v>
      </c>
      <c r="I11926" t="s" s="11">
        <v>185</v>
      </c>
      <c r="J11926" t="s" s="11">
        <v>20</v>
      </c>
      <c r="K11926" t="s" s="16">
        <f>HYPERLINK("http://csr.bu.edu/ftp/asl/asllvd/demos/verify_start_end_handshape_annotations//test_auto_move//signs_mov/232.mov","MOV")</f>
        <v>21</v>
      </c>
      <c r="L11926" t="s" s="16">
        <f>HYPERLINK("http://csr.bu.edu/ftp/asl/asllvd/demos/verify_start_end_handshape_annotations//test_auto_move//signs_mov_separ_signers/Naomi_232.mov","MOV")</f>
        <v>21</v>
      </c>
      <c r="M11926" t="s" s="10">
        <v>29</v>
      </c>
      <c r="N11926" s="17">
        <v>26</v>
      </c>
      <c r="O11926" s="18">
        <v>728</v>
      </c>
      <c r="P11926" s="18">
        <v>757</v>
      </c>
      <c r="Q11926" t="s" s="16">
        <f>HYPERLINK("http://secrets.rutgers.edu:8080/data/asl-ftp/asllvd/demos/verify_start_end_handshape_annotations//test_auto_move//signs_mov/232.mov","MOV")</f>
        <v>21</v>
      </c>
      <c r="R11926" t="s" s="16">
        <f>HYPERLINK("http://secrets.rutgers.edu:8080/data/asl-ftp/asllvd/demos/verify_start_end_handshape_annotations//test_auto_move//signs_mov_separ_signers/Naomi_232.mov","MOV")</f>
        <v>21</v>
      </c>
    </row>
    <row r="11927" s="2" customFormat="1" ht="13.5" customHeight="1">
      <c r="B11927" s="13"/>
      <c r="C11927" t="s" s="9">
        <v>30</v>
      </c>
      <c r="D11927" t="s" s="8">
        <v>4474</v>
      </c>
      <c r="E11927" t="s" s="9">
        <v>4474</v>
      </c>
      <c r="F11927" s="19">
        <v>1</v>
      </c>
      <c r="G11927" s="14"/>
      <c r="H11927" t="s" s="10">
        <v>72</v>
      </c>
      <c r="I11927" t="s" s="11">
        <v>72</v>
      </c>
      <c r="J11927" t="s" s="11">
        <v>20</v>
      </c>
      <c r="K11927" s="15"/>
      <c r="L11927" t="s" s="16">
        <f>HYPERLINK("http://csr.bu.edu/ftp/asl/asllvd/demos/verify_start_end_handshape_annotations//test_auto_move//signs_mov_separ_signers/Brady_232.mov","MOV")</f>
        <v>21</v>
      </c>
      <c r="M11927" t="s" s="10">
        <v>31</v>
      </c>
      <c r="N11927" s="17">
        <v>18</v>
      </c>
      <c r="O11927" s="18">
        <v>14400</v>
      </c>
      <c r="P11927" s="18">
        <v>14421</v>
      </c>
      <c r="Q11927" s="15"/>
      <c r="R11927" t="s" s="16">
        <f>HYPERLINK("http://secrets.rutgers.edu:8080/data/asl-ftp/asllvd/demos/verify_start_end_handshape_annotations//test_auto_move//signs_mov_separ_signers/Brady_232.mov","MOV")</f>
        <v>21</v>
      </c>
    </row>
    <row r="11928" s="2" customFormat="1" ht="13.5" customHeight="1">
      <c r="B11928" s="13"/>
      <c r="C11928" t="s" s="9">
        <v>41</v>
      </c>
      <c r="D11928" t="s" s="8">
        <v>4474</v>
      </c>
      <c r="E11928" t="s" s="9">
        <v>4474</v>
      </c>
      <c r="F11928" t="s" s="10">
        <v>25</v>
      </c>
      <c r="G11928" s="14"/>
      <c r="H11928" t="s" s="10">
        <v>150</v>
      </c>
      <c r="I11928" t="s" s="11">
        <v>150</v>
      </c>
      <c r="J11928" t="s" s="11">
        <v>20</v>
      </c>
      <c r="K11928" s="15"/>
      <c r="L11928" t="s" s="16">
        <f>HYPERLINK("http://csr.bu.edu/ftp/asl/asllvd/demos/verify_start_end_handshape_annotations//test_auto_move//signs_mov_separ_signers/Lana_232.mov","MOV")</f>
        <v>21</v>
      </c>
      <c r="M11928" t="s" s="10">
        <v>42</v>
      </c>
      <c r="N11928" s="17">
        <v>3</v>
      </c>
      <c r="O11928" s="18">
        <v>2347</v>
      </c>
      <c r="P11928" s="18">
        <v>2389</v>
      </c>
      <c r="Q11928" s="15"/>
      <c r="R11928" t="s" s="16">
        <f>HYPERLINK("http://secrets.rutgers.edu:8080/data/asl-ftp/asllvd/demos/verify_start_end_handshape_annotations//test_auto_move//signs_mov_separ_signers/Lana_232.mov","MOV")</f>
        <v>21</v>
      </c>
    </row>
    <row r="11929" s="2" customFormat="1" ht="13.5" customHeight="1">
      <c r="B11929" s="13"/>
      <c r="C11929" t="s" s="9">
        <v>43</v>
      </c>
      <c r="D11929" t="s" s="8">
        <v>4474</v>
      </c>
      <c r="E11929" t="s" s="9">
        <v>4474</v>
      </c>
      <c r="F11929" s="19">
        <v>1</v>
      </c>
      <c r="G11929" t="s" s="11">
        <v>150</v>
      </c>
      <c r="H11929" t="s" s="10">
        <v>150</v>
      </c>
      <c r="I11929" t="s" s="11">
        <v>150</v>
      </c>
      <c r="J11929" t="s" s="11">
        <v>20</v>
      </c>
      <c r="K11929" s="15"/>
      <c r="L11929" t="s" s="16">
        <f>HYPERLINK("http://csr.bu.edu/ftp/asl/asllvd/demos/verify_start_end_handshape_annotations//test_auto_move//signs_mov_separ_signers/Dana_232.mov","MOV")</f>
        <v>21</v>
      </c>
      <c r="M11929" t="s" s="10">
        <v>44</v>
      </c>
      <c r="N11929" s="17">
        <v>7</v>
      </c>
      <c r="O11929" s="18">
        <v>2437</v>
      </c>
      <c r="P11929" s="18">
        <v>2493</v>
      </c>
      <c r="Q11929" s="15"/>
      <c r="R11929" t="s" s="16">
        <f>HYPERLINK("http://secrets.rutgers.edu:8080/data/asl-ftp/asllvd/demos/verify_start_end_handshape_annotations//test_auto_move//signs_mov_separ_signers/Dana_232.mov","MOV")</f>
        <v>21</v>
      </c>
    </row>
    <row r="11930" s="2" customFormat="1" ht="13.5" customHeight="1">
      <c r="B11930" t="s" s="8">
        <v>4475</v>
      </c>
      <c r="C11930" t="s" s="9">
        <v>14</v>
      </c>
      <c r="D11930" t="s" s="8">
        <v>14</v>
      </c>
      <c r="E11930" t="s" s="9">
        <v>14</v>
      </c>
      <c r="F11930" t="s" s="10">
        <v>14</v>
      </c>
      <c r="G11930" t="s" s="11">
        <v>14</v>
      </c>
      <c r="H11930" t="s" s="10">
        <v>14</v>
      </c>
      <c r="I11930" t="s" s="11">
        <v>14</v>
      </c>
      <c r="J11930" t="s" s="11">
        <v>14</v>
      </c>
      <c r="K11930" t="s" s="12">
        <v>14</v>
      </c>
      <c r="L11930" t="s" s="12">
        <v>14</v>
      </c>
      <c r="M11930" t="s" s="10">
        <v>14</v>
      </c>
      <c r="N11930" t="s" s="11">
        <v>14</v>
      </c>
      <c r="O11930" t="s" s="8">
        <v>14</v>
      </c>
      <c r="P11930" t="s" s="8">
        <v>14</v>
      </c>
      <c r="Q11930" t="s" s="12">
        <v>14</v>
      </c>
      <c r="R11930" t="s" s="12">
        <v>14</v>
      </c>
    </row>
    <row r="11931" s="2" customFormat="1" ht="13.5" customHeight="1">
      <c r="B11931" s="13"/>
      <c r="C11931" t="s" s="9">
        <v>16</v>
      </c>
      <c r="D11931" t="s" s="8">
        <v>4476</v>
      </c>
      <c r="E11931" t="s" s="9">
        <v>4477</v>
      </c>
      <c r="F11931" s="19">
        <v>1</v>
      </c>
      <c r="G11931" s="14"/>
      <c r="H11931" t="s" s="10">
        <v>73</v>
      </c>
      <c r="I11931" s="14"/>
      <c r="J11931" t="s" s="11">
        <v>20</v>
      </c>
      <c r="K11931" t="s" s="16">
        <f>HYPERLINK("http://csr.bu.edu/ftp/asl/asllvd/demos/verify_start_end_handshape_annotations//test_auto_move//signs_mov/237.mov","MOV")</f>
        <v>21</v>
      </c>
      <c r="L11931" t="s" s="16">
        <f>HYPERLINK("http://csr.bu.edu/ftp/asl/asllvd/demos/verify_start_end_handshape_annotations//test_auto_move//signs_mov_separ_signers/Liz_237.mov","MOV")</f>
        <v>21</v>
      </c>
      <c r="M11931" t="s" s="10">
        <v>22</v>
      </c>
      <c r="N11931" s="17">
        <v>40</v>
      </c>
      <c r="O11931" s="18">
        <v>297</v>
      </c>
      <c r="P11931" s="18">
        <v>346</v>
      </c>
      <c r="Q11931" t="s" s="16">
        <f>HYPERLINK("http://secrets.rutgers.edu:8080/data/asl-ftp/asllvd/demos/verify_start_end_handshape_annotations//test_auto_move//signs_mov/237.mov","MOV")</f>
        <v>21</v>
      </c>
      <c r="R11931" t="s" s="16">
        <f>HYPERLINK("http://secrets.rutgers.edu:8080/data/asl-ftp/asllvd/demos/verify_start_end_handshape_annotations//test_auto_move//signs_mov_separ_signers/Liz_237.mov","MOV")</f>
        <v>21</v>
      </c>
    </row>
    <row r="11932" s="2" customFormat="1" ht="13.5" customHeight="1">
      <c r="B11932" t="s" s="8">
        <v>4478</v>
      </c>
      <c r="C11932" t="s" s="9">
        <v>14</v>
      </c>
      <c r="D11932" t="s" s="8">
        <v>14</v>
      </c>
      <c r="E11932" t="s" s="9">
        <v>14</v>
      </c>
      <c r="F11932" t="s" s="10">
        <v>14</v>
      </c>
      <c r="G11932" t="s" s="11">
        <v>14</v>
      </c>
      <c r="H11932" t="s" s="10">
        <v>14</v>
      </c>
      <c r="I11932" t="s" s="11">
        <v>14</v>
      </c>
      <c r="J11932" t="s" s="11">
        <v>14</v>
      </c>
      <c r="K11932" t="s" s="12">
        <v>14</v>
      </c>
      <c r="L11932" t="s" s="12">
        <v>14</v>
      </c>
      <c r="M11932" t="s" s="10">
        <v>14</v>
      </c>
      <c r="N11932" t="s" s="11">
        <v>14</v>
      </c>
      <c r="O11932" t="s" s="8">
        <v>14</v>
      </c>
      <c r="P11932" t="s" s="8">
        <v>14</v>
      </c>
      <c r="Q11932" t="s" s="12">
        <v>14</v>
      </c>
      <c r="R11932" t="s" s="12">
        <v>14</v>
      </c>
    </row>
    <row r="11933" s="2" customFormat="1" ht="13.5" customHeight="1">
      <c r="B11933" s="13"/>
      <c r="C11933" t="s" s="9">
        <v>16</v>
      </c>
      <c r="D11933" t="s" s="8">
        <v>4478</v>
      </c>
      <c r="E11933" t="s" s="9">
        <v>4478</v>
      </c>
      <c r="F11933" s="19">
        <v>25</v>
      </c>
      <c r="G11933" t="s" s="11">
        <v>73</v>
      </c>
      <c r="H11933" t="s" s="10">
        <v>73</v>
      </c>
      <c r="I11933" t="s" s="11">
        <v>73</v>
      </c>
      <c r="J11933" t="s" s="11">
        <v>20</v>
      </c>
      <c r="K11933" s="15"/>
      <c r="L11933" t="s" s="16">
        <f>HYPERLINK("http://csr.bu.edu/ftp/asl/asllvd/demos/verify_start_end_handshape_annotations//test_auto_move//signs_mov_separ_signers/Liz_248.mov","MOV")</f>
        <v>21</v>
      </c>
      <c r="M11933" t="s" s="10">
        <v>22</v>
      </c>
      <c r="N11933" s="17">
        <v>41</v>
      </c>
      <c r="O11933" s="18">
        <v>1298</v>
      </c>
      <c r="P11933" s="18">
        <v>1363</v>
      </c>
      <c r="Q11933" s="15"/>
      <c r="R11933" t="s" s="16">
        <f>HYPERLINK("http://secrets.rutgers.edu:8080/data/asl-ftp/asllvd/demos/verify_start_end_handshape_annotations//test_auto_move//signs_mov_separ_signers/Liz_248.mov","MOV")</f>
        <v>21</v>
      </c>
    </row>
    <row r="11934" s="2" customFormat="1" ht="13.5" customHeight="1">
      <c r="B11934" s="13"/>
      <c r="C11934" t="s" s="9">
        <v>23</v>
      </c>
      <c r="D11934" t="s" s="8">
        <v>4478</v>
      </c>
      <c r="E11934" t="s" s="9">
        <v>4478</v>
      </c>
      <c r="F11934" s="19">
        <v>25</v>
      </c>
      <c r="G11934" s="17">
        <v>5</v>
      </c>
      <c r="H11934" t="s" s="10">
        <v>73</v>
      </c>
      <c r="I11934" t="s" s="11">
        <v>73</v>
      </c>
      <c r="J11934" t="s" s="11">
        <v>20</v>
      </c>
      <c r="K11934" t="s" s="16">
        <f>HYPERLINK("http://csr.bu.edu/ftp/asl/asllvd/demos/verify_start_end_handshape_annotations//test_auto_move//signs_mov/248.mov","MOV")</f>
        <v>21</v>
      </c>
      <c r="L11934" t="s" s="16">
        <f>HYPERLINK("http://csr.bu.edu/ftp/asl/asllvd/demos/verify_start_end_handshape_annotations//test_auto_move//signs_mov_separ_signers/Tyler_248.mov","MOV")</f>
        <v>21</v>
      </c>
      <c r="M11934" t="s" s="10">
        <v>26</v>
      </c>
      <c r="N11934" s="17">
        <v>26</v>
      </c>
      <c r="O11934" s="18">
        <v>2497</v>
      </c>
      <c r="P11934" s="18">
        <v>2546</v>
      </c>
      <c r="Q11934" t="s" s="16">
        <f>HYPERLINK("http://secrets.rutgers.edu:8080/data/asl-ftp/asllvd/demos/verify_start_end_handshape_annotations//test_auto_move//signs_mov/248.mov","MOV")</f>
        <v>21</v>
      </c>
      <c r="R11934" t="s" s="16">
        <f>HYPERLINK("http://secrets.rutgers.edu:8080/data/asl-ftp/asllvd/demos/verify_start_end_handshape_annotations//test_auto_move//signs_mov_separ_signers/Tyler_248.mov","MOV")</f>
        <v>21</v>
      </c>
    </row>
    <row r="11935" s="2" customFormat="1" ht="13.5" customHeight="1">
      <c r="B11935" s="13"/>
      <c r="C11935" t="s" s="9">
        <v>27</v>
      </c>
      <c r="D11935" t="s" s="8">
        <v>4478</v>
      </c>
      <c r="E11935" t="s" s="9">
        <v>4478</v>
      </c>
      <c r="F11935" s="19">
        <v>25</v>
      </c>
      <c r="G11935" t="s" s="11">
        <v>73</v>
      </c>
      <c r="H11935" t="s" s="10">
        <v>73</v>
      </c>
      <c r="I11935" t="s" s="11">
        <v>73</v>
      </c>
      <c r="J11935" t="s" s="11">
        <v>20</v>
      </c>
      <c r="K11935" s="15"/>
      <c r="L11935" t="s" s="16">
        <f>HYPERLINK("http://csr.bu.edu/ftp/asl/asllvd/demos/verify_start_end_handshape_annotations//test_auto_move//signs_mov_separ_signers/Naomi_248.mov","MOV")</f>
        <v>21</v>
      </c>
      <c r="M11935" t="s" s="10">
        <v>29</v>
      </c>
      <c r="N11935" s="17">
        <v>27</v>
      </c>
      <c r="O11935" s="18">
        <v>2310</v>
      </c>
      <c r="P11935" s="18">
        <v>2370</v>
      </c>
      <c r="Q11935" s="15"/>
      <c r="R11935" t="s" s="16">
        <f>HYPERLINK("http://secrets.rutgers.edu:8080/data/asl-ftp/asllvd/demos/verify_start_end_handshape_annotations//test_auto_move//signs_mov_separ_signers/Naomi_248.mov","MOV")</f>
        <v>21</v>
      </c>
    </row>
    <row r="11936" s="2" customFormat="1" ht="13.5" customHeight="1">
      <c r="B11936" s="13"/>
      <c r="C11936" t="s" s="9">
        <v>30</v>
      </c>
      <c r="D11936" t="s" s="8">
        <v>4478</v>
      </c>
      <c r="E11936" t="s" s="9">
        <v>4478</v>
      </c>
      <c r="F11936" s="19">
        <v>25</v>
      </c>
      <c r="G11936" t="s" s="11">
        <v>73</v>
      </c>
      <c r="H11936" t="s" s="10">
        <v>73</v>
      </c>
      <c r="I11936" t="s" s="11">
        <v>73</v>
      </c>
      <c r="J11936" t="s" s="11">
        <v>20</v>
      </c>
      <c r="K11936" s="15"/>
      <c r="L11936" t="s" s="16">
        <f>HYPERLINK("http://csr.bu.edu/ftp/asl/asllvd/demos/verify_start_end_handshape_annotations//test_auto_move//signs_mov_separ_signers/Brady_248.mov","MOV")</f>
        <v>21</v>
      </c>
      <c r="M11936" t="s" s="10">
        <v>39</v>
      </c>
      <c r="N11936" s="17">
        <v>3</v>
      </c>
      <c r="O11936" s="18">
        <v>95</v>
      </c>
      <c r="P11936" s="18">
        <v>137</v>
      </c>
      <c r="Q11936" s="15"/>
      <c r="R11936" t="s" s="16">
        <f>HYPERLINK("http://secrets.rutgers.edu:8080/data/asl-ftp/asllvd/demos/verify_start_end_handshape_annotations//test_auto_move//signs_mov_separ_signers/Brady_248.mov","MOV")</f>
        <v>21</v>
      </c>
    </row>
    <row r="11937" s="2" customFormat="1" ht="13.5" customHeight="1">
      <c r="B11937" t="s" s="8">
        <v>4479</v>
      </c>
      <c r="C11937" t="s" s="9">
        <v>14</v>
      </c>
      <c r="D11937" t="s" s="8">
        <v>14</v>
      </c>
      <c r="E11937" t="s" s="9">
        <v>14</v>
      </c>
      <c r="F11937" t="s" s="10">
        <v>14</v>
      </c>
      <c r="G11937" t="s" s="11">
        <v>14</v>
      </c>
      <c r="H11937" t="s" s="10">
        <v>14</v>
      </c>
      <c r="I11937" t="s" s="11">
        <v>14</v>
      </c>
      <c r="J11937" t="s" s="11">
        <v>14</v>
      </c>
      <c r="K11937" t="s" s="12">
        <v>14</v>
      </c>
      <c r="L11937" t="s" s="12">
        <v>14</v>
      </c>
      <c r="M11937" t="s" s="10">
        <v>14</v>
      </c>
      <c r="N11937" t="s" s="11">
        <v>14</v>
      </c>
      <c r="O11937" t="s" s="8">
        <v>14</v>
      </c>
      <c r="P11937" t="s" s="8">
        <v>14</v>
      </c>
      <c r="Q11937" t="s" s="12">
        <v>14</v>
      </c>
      <c r="R11937" t="s" s="12">
        <v>14</v>
      </c>
    </row>
    <row r="11938" s="2" customFormat="1" ht="13.5" customHeight="1">
      <c r="B11938" s="13"/>
      <c r="C11938" t="s" s="9">
        <v>16</v>
      </c>
      <c r="D11938" t="s" s="8">
        <v>4479</v>
      </c>
      <c r="E11938" t="s" s="9">
        <v>4479</v>
      </c>
      <c r="F11938" t="s" s="10">
        <v>25</v>
      </c>
      <c r="G11938" s="14"/>
      <c r="H11938" s="19">
        <v>5</v>
      </c>
      <c r="I11938" s="17">
        <v>5</v>
      </c>
      <c r="J11938" t="s" s="11">
        <v>20</v>
      </c>
      <c r="K11938" t="s" s="16">
        <f>HYPERLINK("http://csr.bu.edu/ftp/asl/asllvd/demos/verify_start_end_handshape_annotations//test_auto_move//signs_mov/3190.mov","MOV")</f>
        <v>21</v>
      </c>
      <c r="L11938" t="s" s="16">
        <f>HYPERLINK("http://csr.bu.edu/ftp/asl/asllvd/demos/verify_start_end_handshape_annotations//test_auto_move//signs_mov_separ_signers/Liz_3190.mov","MOV")</f>
        <v>21</v>
      </c>
      <c r="M11938" t="s" s="10">
        <v>22</v>
      </c>
      <c r="N11938" s="17">
        <v>47</v>
      </c>
      <c r="O11938" s="18">
        <v>1018</v>
      </c>
      <c r="P11938" s="18">
        <v>1079</v>
      </c>
      <c r="Q11938" t="s" s="16">
        <f>HYPERLINK("http://secrets.rutgers.edu:8080/data/asl-ftp/asllvd/demos/verify_start_end_handshape_annotations//test_auto_move//signs_mov/3190.mov","MOV")</f>
        <v>21</v>
      </c>
      <c r="R11938" t="s" s="16">
        <f>HYPERLINK("http://secrets.rutgers.edu:8080/data/asl-ftp/asllvd/demos/verify_start_end_handshape_annotations//test_auto_move//signs_mov_separ_signers/Liz_3190.mov","MOV")</f>
        <v>21</v>
      </c>
    </row>
    <row r="11939" s="2" customFormat="1" ht="13.5" customHeight="1">
      <c r="B11939" s="13"/>
      <c r="C11939" t="s" s="9">
        <v>27</v>
      </c>
      <c r="D11939" t="s" s="8">
        <v>4479</v>
      </c>
      <c r="E11939" t="s" s="9">
        <v>4479</v>
      </c>
      <c r="F11939" s="19">
        <v>1</v>
      </c>
      <c r="G11939" s="17">
        <v>5</v>
      </c>
      <c r="H11939" s="19">
        <v>5</v>
      </c>
      <c r="I11939" s="17">
        <v>5</v>
      </c>
      <c r="J11939" t="s" s="11">
        <v>20</v>
      </c>
      <c r="K11939" s="15"/>
      <c r="L11939" t="s" s="16">
        <f>HYPERLINK("http://csr.bu.edu/ftp/asl/asllvd/demos/verify_start_end_handshape_annotations//test_auto_move//signs_mov_separ_signers/Naomi_3190.mov","MOV")</f>
        <v>21</v>
      </c>
      <c r="M11939" t="s" s="10">
        <v>29</v>
      </c>
      <c r="N11939" s="17">
        <v>30</v>
      </c>
      <c r="O11939" s="18">
        <v>2496</v>
      </c>
      <c r="P11939" s="18">
        <v>2520</v>
      </c>
      <c r="Q11939" s="15"/>
      <c r="R11939" t="s" s="16">
        <f>HYPERLINK("http://secrets.rutgers.edu:8080/data/asl-ftp/asllvd/demos/verify_start_end_handshape_annotations//test_auto_move//signs_mov_separ_signers/Naomi_3190.mov","MOV")</f>
        <v>21</v>
      </c>
    </row>
    <row r="11940" s="2" customFormat="1" ht="13.5" customHeight="1">
      <c r="B11940" t="s" s="8">
        <v>4480</v>
      </c>
      <c r="C11940" t="s" s="9">
        <v>14</v>
      </c>
      <c r="D11940" t="s" s="8">
        <v>14</v>
      </c>
      <c r="E11940" t="s" s="9">
        <v>14</v>
      </c>
      <c r="F11940" t="s" s="10">
        <v>14</v>
      </c>
      <c r="G11940" t="s" s="11">
        <v>14</v>
      </c>
      <c r="H11940" t="s" s="10">
        <v>14</v>
      </c>
      <c r="I11940" t="s" s="11">
        <v>14</v>
      </c>
      <c r="J11940" t="s" s="11">
        <v>14</v>
      </c>
      <c r="K11940" t="s" s="12">
        <v>14</v>
      </c>
      <c r="L11940" t="s" s="12">
        <v>14</v>
      </c>
      <c r="M11940" t="s" s="10">
        <v>14</v>
      </c>
      <c r="N11940" t="s" s="11">
        <v>14</v>
      </c>
      <c r="O11940" t="s" s="8">
        <v>14</v>
      </c>
      <c r="P11940" t="s" s="8">
        <v>14</v>
      </c>
      <c r="Q11940" t="s" s="12">
        <v>14</v>
      </c>
      <c r="R11940" t="s" s="12">
        <v>14</v>
      </c>
    </row>
    <row r="11941" s="2" customFormat="1" ht="13.5" customHeight="1">
      <c r="B11941" s="13"/>
      <c r="C11941" t="s" s="9">
        <v>30</v>
      </c>
      <c r="D11941" t="s" s="8">
        <v>4480</v>
      </c>
      <c r="E11941" t="s" s="9">
        <v>4480</v>
      </c>
      <c r="F11941" s="19">
        <v>1</v>
      </c>
      <c r="G11941" s="14"/>
      <c r="H11941" t="s" s="10">
        <v>73</v>
      </c>
      <c r="I11941" t="s" s="11">
        <v>68</v>
      </c>
      <c r="J11941" t="s" s="11">
        <v>20</v>
      </c>
      <c r="K11941" t="s" s="16">
        <f>HYPERLINK("http://csr.bu.edu/ftp/asl/asllvd/demos/verify_start_end_handshape_annotations//test_auto_move//signs_mov/3293.mov","MOV")</f>
        <v>21</v>
      </c>
      <c r="L11941" t="s" s="16">
        <f>HYPERLINK("http://csr.bu.edu/ftp/asl/asllvd/demos/verify_start_end_handshape_annotations//test_auto_move//signs_mov_separ_signers/Brady_3293.mov","MOV")</f>
        <v>21</v>
      </c>
      <c r="M11941" t="s" s="10">
        <v>31</v>
      </c>
      <c r="N11941" s="17">
        <v>22</v>
      </c>
      <c r="O11941" s="18">
        <v>3105</v>
      </c>
      <c r="P11941" s="18">
        <v>3141</v>
      </c>
      <c r="Q11941" t="s" s="16">
        <f>HYPERLINK("http://secrets.rutgers.edu:8080/data/asl-ftp/asllvd/demos/verify_start_end_handshape_annotations//test_auto_move//signs_mov/3293.mov","MOV")</f>
        <v>21</v>
      </c>
      <c r="R11941" t="s" s="16">
        <f>HYPERLINK("http://secrets.rutgers.edu:8080/data/asl-ftp/asllvd/demos/verify_start_end_handshape_annotations//test_auto_move//signs_mov_separ_signers/Brady_3293.mov","MOV")</f>
        <v>21</v>
      </c>
    </row>
    <row r="11942" s="2" customFormat="1" ht="13.5" customHeight="1">
      <c r="B11942" t="s" s="8">
        <v>4481</v>
      </c>
      <c r="C11942" t="s" s="9">
        <v>14</v>
      </c>
      <c r="D11942" t="s" s="8">
        <v>14</v>
      </c>
      <c r="E11942" t="s" s="9">
        <v>14</v>
      </c>
      <c r="F11942" t="s" s="10">
        <v>14</v>
      </c>
      <c r="G11942" t="s" s="11">
        <v>14</v>
      </c>
      <c r="H11942" t="s" s="10">
        <v>14</v>
      </c>
      <c r="I11942" t="s" s="11">
        <v>14</v>
      </c>
      <c r="J11942" t="s" s="11">
        <v>14</v>
      </c>
      <c r="K11942" t="s" s="12">
        <v>14</v>
      </c>
      <c r="L11942" t="s" s="12">
        <v>14</v>
      </c>
      <c r="M11942" t="s" s="10">
        <v>14</v>
      </c>
      <c r="N11942" t="s" s="11">
        <v>14</v>
      </c>
      <c r="O11942" t="s" s="8">
        <v>14</v>
      </c>
      <c r="P11942" t="s" s="8">
        <v>14</v>
      </c>
      <c r="Q11942" t="s" s="12">
        <v>14</v>
      </c>
      <c r="R11942" t="s" s="12">
        <v>14</v>
      </c>
    </row>
    <row r="11943" s="2" customFormat="1" ht="13.5" customHeight="1">
      <c r="B11943" s="13"/>
      <c r="C11943" t="s" s="9">
        <v>27</v>
      </c>
      <c r="D11943" t="s" s="8">
        <v>4481</v>
      </c>
      <c r="E11943" t="s" s="9">
        <v>4481</v>
      </c>
      <c r="F11943" t="s" s="10">
        <v>68</v>
      </c>
      <c r="G11943" t="s" s="11">
        <v>68</v>
      </c>
      <c r="H11943" t="s" s="10">
        <v>73</v>
      </c>
      <c r="I11943" t="s" s="11">
        <v>68</v>
      </c>
      <c r="J11943" t="s" s="11">
        <v>20</v>
      </c>
      <c r="K11943" t="s" s="16">
        <f>HYPERLINK("http://csr.bu.edu/ftp/asl/asllvd/demos/verify_start_end_handshape_annotations//test_auto_move//signs_mov/294.mov","MOV")</f>
        <v>21</v>
      </c>
      <c r="L11943" t="s" s="16">
        <f>HYPERLINK("http://csr.bu.edu/ftp/asl/asllvd/demos/verify_start_end_handshape_annotations//test_auto_move//signs_mov_separ_signers/Naomi_294.mov","MOV")</f>
        <v>21</v>
      </c>
      <c r="M11943" t="s" s="10">
        <v>29</v>
      </c>
      <c r="N11943" s="17">
        <v>32</v>
      </c>
      <c r="O11943" s="18">
        <v>2402</v>
      </c>
      <c r="P11943" s="18">
        <v>2445</v>
      </c>
      <c r="Q11943" t="s" s="16">
        <f>HYPERLINK("http://secrets.rutgers.edu:8080/data/asl-ftp/asllvd/demos/verify_start_end_handshape_annotations//test_auto_move//signs_mov/294.mov","MOV")</f>
        <v>21</v>
      </c>
      <c r="R11943" t="s" s="16">
        <f>HYPERLINK("http://secrets.rutgers.edu:8080/data/asl-ftp/asllvd/demos/verify_start_end_handshape_annotations//test_auto_move//signs_mov_separ_signers/Naomi_294.mov","MOV")</f>
        <v>21</v>
      </c>
    </row>
    <row r="11944" s="2" customFormat="1" ht="13.5" customHeight="1">
      <c r="B11944" s="13"/>
      <c r="C11944" t="s" s="9">
        <v>30</v>
      </c>
      <c r="D11944" t="s" s="8">
        <v>4481</v>
      </c>
      <c r="E11944" t="s" s="9">
        <v>4482</v>
      </c>
      <c r="F11944" t="s" s="10">
        <v>68</v>
      </c>
      <c r="G11944" t="s" s="11">
        <v>68</v>
      </c>
      <c r="H11944" t="s" s="10">
        <v>73</v>
      </c>
      <c r="I11944" t="s" s="11">
        <v>68</v>
      </c>
      <c r="J11944" t="s" s="11">
        <v>20</v>
      </c>
      <c r="K11944" s="15"/>
      <c r="L11944" t="s" s="16">
        <f>HYPERLINK("http://csr.bu.edu/ftp/asl/asllvd/demos/verify_start_end_handshape_annotations//test_auto_move//signs_mov_separ_signers/Brady_294.mov","MOV")</f>
        <v>21</v>
      </c>
      <c r="M11944" t="s" s="10">
        <v>39</v>
      </c>
      <c r="N11944" s="17">
        <v>3</v>
      </c>
      <c r="O11944" s="18">
        <v>2112</v>
      </c>
      <c r="P11944" s="18">
        <v>2151</v>
      </c>
      <c r="Q11944" s="15"/>
      <c r="R11944" t="s" s="16">
        <f>HYPERLINK("http://secrets.rutgers.edu:8080/data/asl-ftp/asllvd/demos/verify_start_end_handshape_annotations//test_auto_move//signs_mov_separ_signers/Brady_294.mov","MOV")</f>
        <v>21</v>
      </c>
    </row>
    <row r="11945" s="2" customFormat="1" ht="13.5" customHeight="1">
      <c r="B11945" t="s" s="8">
        <v>4483</v>
      </c>
      <c r="C11945" t="s" s="9">
        <v>14</v>
      </c>
      <c r="D11945" t="s" s="8">
        <v>14</v>
      </c>
      <c r="E11945" t="s" s="9">
        <v>14</v>
      </c>
      <c r="F11945" t="s" s="10">
        <v>14</v>
      </c>
      <c r="G11945" t="s" s="11">
        <v>14</v>
      </c>
      <c r="H11945" t="s" s="10">
        <v>14</v>
      </c>
      <c r="I11945" t="s" s="11">
        <v>14</v>
      </c>
      <c r="J11945" t="s" s="11">
        <v>14</v>
      </c>
      <c r="K11945" t="s" s="12">
        <v>14</v>
      </c>
      <c r="L11945" t="s" s="12">
        <v>14</v>
      </c>
      <c r="M11945" t="s" s="10">
        <v>14</v>
      </c>
      <c r="N11945" t="s" s="11">
        <v>14</v>
      </c>
      <c r="O11945" t="s" s="8">
        <v>14</v>
      </c>
      <c r="P11945" t="s" s="8">
        <v>14</v>
      </c>
      <c r="Q11945" t="s" s="12">
        <v>14</v>
      </c>
      <c r="R11945" t="s" s="12">
        <v>14</v>
      </c>
    </row>
    <row r="11946" s="2" customFormat="1" ht="27.75" customHeight="1">
      <c r="B11946" s="13"/>
      <c r="C11946" t="s" s="9">
        <v>30</v>
      </c>
      <c r="D11946" t="s" s="8">
        <v>4484</v>
      </c>
      <c r="E11946" t="s" s="9">
        <v>4484</v>
      </c>
      <c r="F11946" s="19">
        <v>5</v>
      </c>
      <c r="G11946" s="17">
        <v>5</v>
      </c>
      <c r="H11946" t="s" s="10">
        <v>72</v>
      </c>
      <c r="I11946" t="s" s="11">
        <v>72</v>
      </c>
      <c r="J11946" t="s" s="11">
        <v>20</v>
      </c>
      <c r="K11946" t="s" s="16">
        <f>HYPERLINK("http://csr.bu.edu/ftp/asl/asllvd/demos/verify_start_end_handshape_annotations//test_auto_move//signs_mov/3295.mov","MOV")</f>
        <v>21</v>
      </c>
      <c r="L11946" t="s" s="16">
        <f>HYPERLINK("http://csr.bu.edu/ftp/asl/asllvd/demos/verify_start_end_handshape_annotations//test_auto_move//signs_mov_separ_signers/Brady_3295.mov","MOV")</f>
        <v>21</v>
      </c>
      <c r="M11946" t="s" s="10">
        <v>31</v>
      </c>
      <c r="N11946" s="17">
        <v>22</v>
      </c>
      <c r="O11946" s="18">
        <v>24600</v>
      </c>
      <c r="P11946" s="18">
        <v>24643</v>
      </c>
      <c r="Q11946" t="s" s="16">
        <f>HYPERLINK("http://secrets.rutgers.edu:8080/data/asl-ftp/asllvd/demos/verify_start_end_handshape_annotations//test_auto_move//signs_mov/3295.mov","MOV")</f>
        <v>21</v>
      </c>
      <c r="R11946" t="s" s="16">
        <f>HYPERLINK("http://secrets.rutgers.edu:8080/data/asl-ftp/asllvd/demos/verify_start_end_handshape_annotations//test_auto_move//signs_mov_separ_signers/Brady_3295.mov","MOV")</f>
        <v>21</v>
      </c>
    </row>
    <row r="11947" s="2" customFormat="1" ht="13.5" customHeight="1">
      <c r="B11947" t="s" s="8">
        <v>4485</v>
      </c>
      <c r="C11947" t="s" s="9">
        <v>14</v>
      </c>
      <c r="D11947" t="s" s="8">
        <v>14</v>
      </c>
      <c r="E11947" t="s" s="9">
        <v>14</v>
      </c>
      <c r="F11947" t="s" s="10">
        <v>14</v>
      </c>
      <c r="G11947" t="s" s="11">
        <v>14</v>
      </c>
      <c r="H11947" t="s" s="10">
        <v>14</v>
      </c>
      <c r="I11947" t="s" s="11">
        <v>14</v>
      </c>
      <c r="J11947" t="s" s="11">
        <v>14</v>
      </c>
      <c r="K11947" t="s" s="12">
        <v>14</v>
      </c>
      <c r="L11947" t="s" s="12">
        <v>14</v>
      </c>
      <c r="M11947" t="s" s="10">
        <v>14</v>
      </c>
      <c r="N11947" t="s" s="11">
        <v>14</v>
      </c>
      <c r="O11947" t="s" s="8">
        <v>14</v>
      </c>
      <c r="P11947" t="s" s="8">
        <v>14</v>
      </c>
      <c r="Q11947" t="s" s="12">
        <v>14</v>
      </c>
      <c r="R11947" t="s" s="12">
        <v>14</v>
      </c>
    </row>
    <row r="11948" s="2" customFormat="1" ht="13.5" customHeight="1">
      <c r="B11948" s="13"/>
      <c r="C11948" t="s" s="9">
        <v>16</v>
      </c>
      <c r="D11948" t="s" s="8">
        <v>4485</v>
      </c>
      <c r="E11948" t="s" s="9">
        <v>4485</v>
      </c>
      <c r="F11948" t="s" s="10">
        <v>244</v>
      </c>
      <c r="G11948" t="s" s="11">
        <v>255</v>
      </c>
      <c r="H11948" t="s" s="10">
        <v>255</v>
      </c>
      <c r="I11948" t="s" s="11">
        <v>255</v>
      </c>
      <c r="J11948" t="s" s="11">
        <v>20</v>
      </c>
      <c r="K11948" s="15"/>
      <c r="L11948" t="s" s="16">
        <f>HYPERLINK("http://csr.bu.edu/ftp/asl/asllvd/demos/verify_start_end_handshape_annotations//test_auto_move//signs_mov_separ_signers/Liz_312.mov","MOV")</f>
        <v>21</v>
      </c>
      <c r="M11948" t="s" s="10">
        <v>22</v>
      </c>
      <c r="N11948" s="17">
        <v>53</v>
      </c>
      <c r="O11948" s="18">
        <v>515</v>
      </c>
      <c r="P11948" s="18">
        <v>579</v>
      </c>
      <c r="Q11948" s="15"/>
      <c r="R11948" t="s" s="16">
        <f>HYPERLINK("http://secrets.rutgers.edu:8080/data/asl-ftp/asllvd/demos/verify_start_end_handshape_annotations//test_auto_move//signs_mov_separ_signers/Liz_312.mov","MOV")</f>
        <v>21</v>
      </c>
    </row>
    <row r="11949" s="2" customFormat="1" ht="13.5" customHeight="1">
      <c r="B11949" s="13"/>
      <c r="C11949" t="s" s="9">
        <v>23</v>
      </c>
      <c r="D11949" t="s" s="8">
        <v>4485</v>
      </c>
      <c r="E11949" t="s" s="9">
        <v>4485</v>
      </c>
      <c r="F11949" t="s" s="10">
        <v>73</v>
      </c>
      <c r="G11949" s="17">
        <v>1</v>
      </c>
      <c r="H11949" s="19">
        <v>1</v>
      </c>
      <c r="I11949" s="17">
        <v>1</v>
      </c>
      <c r="J11949" t="s" s="11">
        <v>20</v>
      </c>
      <c r="K11949" t="s" s="16">
        <f>HYPERLINK("http://csr.bu.edu/ftp/asl/asllvd/demos/verify_start_end_handshape_annotations//test_auto_move//signs_mov/312.mov","MOV")</f>
        <v>21</v>
      </c>
      <c r="L11949" t="s" s="16">
        <f>HYPERLINK("http://csr.bu.edu/ftp/asl/asllvd/demos/verify_start_end_handshape_annotations//test_auto_move//signs_mov_separ_signers/Tyler_312.mov","MOV")</f>
        <v>21</v>
      </c>
      <c r="M11949" t="s" s="10">
        <v>26</v>
      </c>
      <c r="N11949" s="17">
        <v>33</v>
      </c>
      <c r="O11949" s="18">
        <v>490</v>
      </c>
      <c r="P11949" s="18">
        <v>530</v>
      </c>
      <c r="Q11949" t="s" s="16">
        <f>HYPERLINK("http://secrets.rutgers.edu:8080/data/asl-ftp/asllvd/demos/verify_start_end_handshape_annotations//test_auto_move//signs_mov/312.mov","MOV")</f>
        <v>21</v>
      </c>
      <c r="R11949" t="s" s="16">
        <f>HYPERLINK("http://secrets.rutgers.edu:8080/data/asl-ftp/asllvd/demos/verify_start_end_handshape_annotations//test_auto_move//signs_mov_separ_signers/Tyler_312.mov","MOV")</f>
        <v>21</v>
      </c>
    </row>
    <row r="11950" s="2" customFormat="1" ht="13.5" customHeight="1">
      <c r="B11950" s="13"/>
      <c r="C11950" t="s" s="9">
        <v>27</v>
      </c>
      <c r="D11950" t="s" s="8">
        <v>4485</v>
      </c>
      <c r="E11950" t="s" s="9">
        <v>4485</v>
      </c>
      <c r="F11950" t="s" s="10">
        <v>73</v>
      </c>
      <c r="G11950" s="17">
        <v>1</v>
      </c>
      <c r="H11950" t="s" s="10">
        <v>255</v>
      </c>
      <c r="I11950" t="s" s="11">
        <v>255</v>
      </c>
      <c r="J11950" t="s" s="11">
        <v>20</v>
      </c>
      <c r="K11950" s="15"/>
      <c r="L11950" t="s" s="16">
        <f>HYPERLINK("http://csr.bu.edu/ftp/asl/asllvd/demos/verify_start_end_handshape_annotations//test_auto_move//signs_mov_separ_signers/Naomi_312.mov","MOV")</f>
        <v>21</v>
      </c>
      <c r="M11950" t="s" s="10">
        <v>29</v>
      </c>
      <c r="N11950" s="17">
        <v>34</v>
      </c>
      <c r="O11950" s="18">
        <v>424</v>
      </c>
      <c r="P11950" s="18">
        <v>472</v>
      </c>
      <c r="Q11950" s="15"/>
      <c r="R11950" t="s" s="16">
        <f>HYPERLINK("http://secrets.rutgers.edu:8080/data/asl-ftp/asllvd/demos/verify_start_end_handshape_annotations//test_auto_move//signs_mov_separ_signers/Naomi_312.mov","MOV")</f>
        <v>21</v>
      </c>
    </row>
    <row r="11951" s="2" customFormat="1" ht="13.5" customHeight="1">
      <c r="B11951" t="s" s="8">
        <v>4486</v>
      </c>
      <c r="C11951" t="s" s="9">
        <v>14</v>
      </c>
      <c r="D11951" t="s" s="8">
        <v>14</v>
      </c>
      <c r="E11951" t="s" s="9">
        <v>14</v>
      </c>
      <c r="F11951" t="s" s="10">
        <v>14</v>
      </c>
      <c r="G11951" t="s" s="11">
        <v>14</v>
      </c>
      <c r="H11951" t="s" s="10">
        <v>14</v>
      </c>
      <c r="I11951" t="s" s="11">
        <v>14</v>
      </c>
      <c r="J11951" t="s" s="11">
        <v>14</v>
      </c>
      <c r="K11951" t="s" s="12">
        <v>14</v>
      </c>
      <c r="L11951" t="s" s="12">
        <v>14</v>
      </c>
      <c r="M11951" t="s" s="10">
        <v>14</v>
      </c>
      <c r="N11951" t="s" s="11">
        <v>14</v>
      </c>
      <c r="O11951" t="s" s="8">
        <v>14</v>
      </c>
      <c r="P11951" t="s" s="8">
        <v>14</v>
      </c>
      <c r="Q11951" t="s" s="12">
        <v>14</v>
      </c>
      <c r="R11951" t="s" s="12">
        <v>14</v>
      </c>
    </row>
    <row r="11952" s="2" customFormat="1" ht="13.5" customHeight="1">
      <c r="B11952" s="13"/>
      <c r="C11952" t="s" s="9">
        <v>16</v>
      </c>
      <c r="D11952" t="s" s="8">
        <v>4486</v>
      </c>
      <c r="E11952" t="s" s="9">
        <v>4486</v>
      </c>
      <c r="F11952" t="s" s="10">
        <v>119</v>
      </c>
      <c r="G11952" t="s" s="11">
        <v>73</v>
      </c>
      <c r="H11952" t="s" s="10">
        <v>73</v>
      </c>
      <c r="I11952" t="s" s="11">
        <v>73</v>
      </c>
      <c r="J11952" t="s" s="11">
        <v>20</v>
      </c>
      <c r="K11952" s="15"/>
      <c r="L11952" t="s" s="16">
        <f>HYPERLINK("http://csr.bu.edu/ftp/asl/asllvd/demos/verify_start_end_handshape_annotations//test_auto_move//signs_mov_separ_signers/Liz_328.mov","MOV")</f>
        <v>21</v>
      </c>
      <c r="M11952" t="s" s="10">
        <v>22</v>
      </c>
      <c r="N11952" s="17">
        <v>55</v>
      </c>
      <c r="O11952" s="18">
        <v>1371</v>
      </c>
      <c r="P11952" s="18">
        <v>1405</v>
      </c>
      <c r="Q11952" s="15"/>
      <c r="R11952" t="s" s="16">
        <f>HYPERLINK("http://secrets.rutgers.edu:8080/data/asl-ftp/asllvd/demos/verify_start_end_handshape_annotations//test_auto_move//signs_mov_separ_signers/Liz_328.mov","MOV")</f>
        <v>21</v>
      </c>
    </row>
    <row r="11953" s="2" customFormat="1" ht="13.5" customHeight="1">
      <c r="B11953" s="13"/>
      <c r="C11953" t="s" s="9">
        <v>23</v>
      </c>
      <c r="D11953" t="s" s="8">
        <v>4486</v>
      </c>
      <c r="E11953" t="s" s="9">
        <v>4486</v>
      </c>
      <c r="F11953" t="s" s="10">
        <v>119</v>
      </c>
      <c r="G11953" t="s" s="11">
        <v>73</v>
      </c>
      <c r="H11953" t="s" s="10">
        <v>73</v>
      </c>
      <c r="I11953" t="s" s="11">
        <v>73</v>
      </c>
      <c r="J11953" t="s" s="11">
        <v>20</v>
      </c>
      <c r="K11953" s="15"/>
      <c r="L11953" t="s" s="16">
        <f>HYPERLINK("http://csr.bu.edu/ftp/asl/asllvd/demos/verify_start_end_handshape_annotations//test_auto_move//signs_mov_separ_signers/Tyler_328.mov","MOV")</f>
        <v>21</v>
      </c>
      <c r="M11953" t="s" s="10">
        <v>26</v>
      </c>
      <c r="N11953" s="17">
        <v>34</v>
      </c>
      <c r="O11953" s="18">
        <v>2075</v>
      </c>
      <c r="P11953" s="18">
        <v>2129</v>
      </c>
      <c r="Q11953" s="15"/>
      <c r="R11953" t="s" s="16">
        <f>HYPERLINK("http://secrets.rutgers.edu:8080/data/asl-ftp/asllvd/demos/verify_start_end_handshape_annotations//test_auto_move//signs_mov_separ_signers/Tyler_328.mov","MOV")</f>
        <v>21</v>
      </c>
    </row>
    <row r="11954" s="2" customFormat="1" ht="13.5" customHeight="1">
      <c r="B11954" s="13"/>
      <c r="C11954" t="s" s="9">
        <v>27</v>
      </c>
      <c r="D11954" t="s" s="8">
        <v>4486</v>
      </c>
      <c r="E11954" t="s" s="9">
        <v>4486</v>
      </c>
      <c r="F11954" t="s" s="10">
        <v>119</v>
      </c>
      <c r="G11954" t="s" s="11">
        <v>73</v>
      </c>
      <c r="H11954" t="s" s="10">
        <v>73</v>
      </c>
      <c r="I11954" t="s" s="11">
        <v>73</v>
      </c>
      <c r="J11954" t="s" s="11">
        <v>20</v>
      </c>
      <c r="K11954" t="s" s="16">
        <f>HYPERLINK("http://csr.bu.edu/ftp/asl/asllvd/demos/verify_start_end_handshape_annotations//test_auto_move//signs_mov/328.mov","MOV")</f>
        <v>21</v>
      </c>
      <c r="L11954" t="s" s="16">
        <f>HYPERLINK("http://csr.bu.edu/ftp/asl/asllvd/demos/verify_start_end_handshape_annotations//test_auto_move//signs_mov_separ_signers/Naomi_328.mov","MOV")</f>
        <v>21</v>
      </c>
      <c r="M11954" t="s" s="10">
        <v>29</v>
      </c>
      <c r="N11954" s="17">
        <v>35</v>
      </c>
      <c r="O11954" s="18">
        <v>2674</v>
      </c>
      <c r="P11954" s="18">
        <v>2710</v>
      </c>
      <c r="Q11954" t="s" s="16">
        <f>HYPERLINK("http://secrets.rutgers.edu:8080/data/asl-ftp/asllvd/demos/verify_start_end_handshape_annotations//test_auto_move//signs_mov/328.mov","MOV")</f>
        <v>21</v>
      </c>
      <c r="R11954" t="s" s="16">
        <f>HYPERLINK("http://secrets.rutgers.edu:8080/data/asl-ftp/asllvd/demos/verify_start_end_handshape_annotations//test_auto_move//signs_mov_separ_signers/Naomi_328.mov","MOV")</f>
        <v>21</v>
      </c>
    </row>
    <row r="11955" s="2" customFormat="1" ht="13.5" customHeight="1">
      <c r="B11955" s="13"/>
      <c r="C11955" t="s" s="9">
        <v>30</v>
      </c>
      <c r="D11955" t="s" s="8">
        <v>4486</v>
      </c>
      <c r="E11955" t="s" s="9">
        <v>4486</v>
      </c>
      <c r="F11955" t="s" s="10">
        <v>119</v>
      </c>
      <c r="G11955" t="s" s="11">
        <v>73</v>
      </c>
      <c r="H11955" t="s" s="10">
        <v>73</v>
      </c>
      <c r="I11955" t="s" s="11">
        <v>73</v>
      </c>
      <c r="J11955" t="s" s="11">
        <v>20</v>
      </c>
      <c r="K11955" s="15"/>
      <c r="L11955" t="s" s="16">
        <f>HYPERLINK("http://csr.bu.edu/ftp/asl/asllvd/demos/verify_start_end_handshape_annotations//test_auto_move//signs_mov_separ_signers/Brady_328.mov","MOV")</f>
        <v>21</v>
      </c>
      <c r="M11955" t="s" s="10">
        <v>39</v>
      </c>
      <c r="N11955" s="17">
        <v>3</v>
      </c>
      <c r="O11955" s="18">
        <v>3125</v>
      </c>
      <c r="P11955" s="18">
        <v>3162</v>
      </c>
      <c r="Q11955" s="15"/>
      <c r="R11955" t="s" s="16">
        <f>HYPERLINK("http://secrets.rutgers.edu:8080/data/asl-ftp/asllvd/demos/verify_start_end_handshape_annotations//test_auto_move//signs_mov_separ_signers/Brady_328.mov","MOV")</f>
        <v>21</v>
      </c>
    </row>
    <row r="11956" s="2" customFormat="1" ht="13.5" customHeight="1">
      <c r="B11956" s="13"/>
      <c r="C11956" t="s" s="9">
        <v>41</v>
      </c>
      <c r="D11956" t="s" s="8">
        <v>4486</v>
      </c>
      <c r="E11956" t="s" s="9">
        <v>4486</v>
      </c>
      <c r="F11956" t="s" s="10">
        <v>119</v>
      </c>
      <c r="G11956" s="14"/>
      <c r="H11956" t="s" s="10">
        <v>73</v>
      </c>
      <c r="I11956" t="s" s="11">
        <v>73</v>
      </c>
      <c r="J11956" t="s" s="11">
        <v>20</v>
      </c>
      <c r="K11956" s="15"/>
      <c r="L11956" t="s" s="16">
        <f>HYPERLINK("http://csr.bu.edu/ftp/asl/asllvd/demos/verify_start_end_handshape_annotations//test_auto_move//signs_mov_separ_signers/Lana_328.mov","MOV")</f>
        <v>21</v>
      </c>
      <c r="M11956" t="s" s="10">
        <v>42</v>
      </c>
      <c r="N11956" s="17">
        <v>3</v>
      </c>
      <c r="O11956" s="18">
        <v>2857</v>
      </c>
      <c r="P11956" s="18">
        <v>2900</v>
      </c>
      <c r="Q11956" s="15"/>
      <c r="R11956" t="s" s="16">
        <f>HYPERLINK("http://secrets.rutgers.edu:8080/data/asl-ftp/asllvd/demos/verify_start_end_handshape_annotations//test_auto_move//signs_mov_separ_signers/Lana_328.mov","MOV")</f>
        <v>21</v>
      </c>
    </row>
    <row r="11957" s="2" customFormat="1" ht="13.5" customHeight="1">
      <c r="B11957" s="13"/>
      <c r="C11957" t="s" s="9">
        <v>43</v>
      </c>
      <c r="D11957" t="s" s="8">
        <v>4486</v>
      </c>
      <c r="E11957" t="s" s="9">
        <v>4486</v>
      </c>
      <c r="F11957" t="s" s="10">
        <v>119</v>
      </c>
      <c r="G11957" t="s" s="11">
        <v>73</v>
      </c>
      <c r="H11957" t="s" s="10">
        <v>73</v>
      </c>
      <c r="I11957" t="s" s="11">
        <v>73</v>
      </c>
      <c r="J11957" t="s" s="11">
        <v>20</v>
      </c>
      <c r="K11957" s="15"/>
      <c r="L11957" t="s" s="16">
        <f>HYPERLINK("http://csr.bu.edu/ftp/asl/asllvd/demos/verify_start_end_handshape_annotations//test_auto_move//signs_mov_separ_signers/Dana_328.mov","MOV")</f>
        <v>21</v>
      </c>
      <c r="M11957" t="s" s="10">
        <v>44</v>
      </c>
      <c r="N11957" s="17">
        <v>7</v>
      </c>
      <c r="O11957" s="18">
        <v>3012</v>
      </c>
      <c r="P11957" s="18">
        <v>3069</v>
      </c>
      <c r="Q11957" s="15"/>
      <c r="R11957" t="s" s="16">
        <f>HYPERLINK("http://secrets.rutgers.edu:8080/data/asl-ftp/asllvd/demos/verify_start_end_handshape_annotations//test_auto_move//signs_mov_separ_signers/Dana_328.mov","MOV")</f>
        <v>21</v>
      </c>
    </row>
    <row r="11958" s="2" customFormat="1" ht="42" customHeight="1">
      <c r="B11958" t="s" s="8">
        <v>4487</v>
      </c>
      <c r="C11958" t="s" s="9">
        <v>14</v>
      </c>
      <c r="D11958" t="s" s="8">
        <v>14</v>
      </c>
      <c r="E11958" t="s" s="9">
        <v>14</v>
      </c>
      <c r="F11958" t="s" s="10">
        <v>14</v>
      </c>
      <c r="G11958" t="s" s="11">
        <v>14</v>
      </c>
      <c r="H11958" t="s" s="10">
        <v>14</v>
      </c>
      <c r="I11958" t="s" s="11">
        <v>14</v>
      </c>
      <c r="J11958" t="s" s="11">
        <v>14</v>
      </c>
      <c r="K11958" t="s" s="12">
        <v>14</v>
      </c>
      <c r="L11958" t="s" s="12">
        <v>14</v>
      </c>
      <c r="M11958" t="s" s="10">
        <v>14</v>
      </c>
      <c r="N11958" t="s" s="11">
        <v>14</v>
      </c>
      <c r="O11958" t="s" s="8">
        <v>14</v>
      </c>
      <c r="P11958" t="s" s="8">
        <v>14</v>
      </c>
      <c r="Q11958" t="s" s="12">
        <v>14</v>
      </c>
      <c r="R11958" t="s" s="12">
        <v>14</v>
      </c>
    </row>
    <row r="11959" s="2" customFormat="1" ht="42" customHeight="1">
      <c r="B11959" s="13"/>
      <c r="C11959" t="s" s="9">
        <v>27</v>
      </c>
      <c r="D11959" t="s" s="8">
        <v>4487</v>
      </c>
      <c r="E11959" t="s" s="9">
        <v>4487</v>
      </c>
      <c r="F11959" t="s" s="10">
        <v>72</v>
      </c>
      <c r="G11959" t="s" s="11">
        <v>72</v>
      </c>
      <c r="H11959" t="s" s="10">
        <v>65</v>
      </c>
      <c r="I11959" t="s" s="11">
        <v>72</v>
      </c>
      <c r="J11959" t="s" s="11">
        <v>20</v>
      </c>
      <c r="K11959" t="s" s="16">
        <f>HYPERLINK("http://csr.bu.edu/ftp/asl/asllvd/demos/verify_start_end_handshape_annotations//test_auto_move//signs_mov/341.mov","MOV")</f>
        <v>21</v>
      </c>
      <c r="L11959" t="s" s="16">
        <f>HYPERLINK("http://csr.bu.edu/ftp/asl/asllvd/demos/verify_start_end_handshape_annotations//test_auto_move//signs_mov_separ_signers/Naomi_341.mov","MOV")</f>
        <v>21</v>
      </c>
      <c r="M11959" t="s" s="10">
        <v>29</v>
      </c>
      <c r="N11959" s="17">
        <v>37</v>
      </c>
      <c r="O11959" s="18">
        <v>404</v>
      </c>
      <c r="P11959" s="18">
        <v>460</v>
      </c>
      <c r="Q11959" t="s" s="16">
        <f>HYPERLINK("http://secrets.rutgers.edu:8080/data/asl-ftp/asllvd/demos/verify_start_end_handshape_annotations//test_auto_move//signs_mov/341.mov","MOV")</f>
        <v>21</v>
      </c>
      <c r="R11959" t="s" s="16">
        <f>HYPERLINK("http://secrets.rutgers.edu:8080/data/asl-ftp/asllvd/demos/verify_start_end_handshape_annotations//test_auto_move//signs_mov_separ_signers/Naomi_341.mov","MOV")</f>
        <v>21</v>
      </c>
    </row>
    <row r="11960" s="2" customFormat="1" ht="42" customHeight="1">
      <c r="B11960" s="13"/>
      <c r="C11960" t="s" s="9">
        <v>30</v>
      </c>
      <c r="D11960" t="s" s="8">
        <v>4487</v>
      </c>
      <c r="E11960" t="s" s="9">
        <v>4487</v>
      </c>
      <c r="F11960" t="s" s="10">
        <v>72</v>
      </c>
      <c r="G11960" t="s" s="11">
        <v>72</v>
      </c>
      <c r="H11960" t="s" s="10">
        <v>68</v>
      </c>
      <c r="I11960" t="s" s="11">
        <v>72</v>
      </c>
      <c r="J11960" t="s" s="11">
        <v>20</v>
      </c>
      <c r="K11960" s="15"/>
      <c r="L11960" t="s" s="16">
        <f>HYPERLINK("http://csr.bu.edu/ftp/asl/asllvd/demos/verify_start_end_handshape_annotations//test_auto_move//signs_mov_separ_signers/Brady_341.mov","MOV")</f>
        <v>21</v>
      </c>
      <c r="M11960" t="s" s="10">
        <v>39</v>
      </c>
      <c r="N11960" s="17">
        <v>3</v>
      </c>
      <c r="O11960" s="18">
        <v>3873</v>
      </c>
      <c r="P11960" s="18">
        <v>3909</v>
      </c>
      <c r="Q11960" s="15"/>
      <c r="R11960" t="s" s="16">
        <f>HYPERLINK("http://secrets.rutgers.edu:8080/data/asl-ftp/asllvd/demos/verify_start_end_handshape_annotations//test_auto_move//signs_mov_separ_signers/Brady_341.mov","MOV")</f>
        <v>21</v>
      </c>
    </row>
    <row r="11961" s="2" customFormat="1" ht="13.5" customHeight="1">
      <c r="B11961" t="s" s="8">
        <v>4488</v>
      </c>
      <c r="C11961" t="s" s="9">
        <v>14</v>
      </c>
      <c r="D11961" t="s" s="8">
        <v>14</v>
      </c>
      <c r="E11961" t="s" s="9">
        <v>14</v>
      </c>
      <c r="F11961" t="s" s="10">
        <v>14</v>
      </c>
      <c r="G11961" t="s" s="11">
        <v>14</v>
      </c>
      <c r="H11961" t="s" s="10">
        <v>14</v>
      </c>
      <c r="I11961" t="s" s="11">
        <v>14</v>
      </c>
      <c r="J11961" t="s" s="11">
        <v>14</v>
      </c>
      <c r="K11961" t="s" s="12">
        <v>14</v>
      </c>
      <c r="L11961" t="s" s="12">
        <v>14</v>
      </c>
      <c r="M11961" t="s" s="10">
        <v>14</v>
      </c>
      <c r="N11961" t="s" s="11">
        <v>14</v>
      </c>
      <c r="O11961" t="s" s="8">
        <v>14</v>
      </c>
      <c r="P11961" t="s" s="8">
        <v>14</v>
      </c>
      <c r="Q11961" t="s" s="12">
        <v>14</v>
      </c>
      <c r="R11961" t="s" s="12">
        <v>14</v>
      </c>
    </row>
    <row r="11962" s="2" customFormat="1" ht="13.5" customHeight="1">
      <c r="B11962" s="13"/>
      <c r="C11962" t="s" s="9">
        <v>16</v>
      </c>
      <c r="D11962" t="s" s="8">
        <v>4488</v>
      </c>
      <c r="E11962" t="s" s="9">
        <v>4488</v>
      </c>
      <c r="F11962" t="s" s="10">
        <v>55</v>
      </c>
      <c r="G11962" s="14"/>
      <c r="H11962" t="s" s="10">
        <v>68</v>
      </c>
      <c r="I11962" s="14"/>
      <c r="J11962" t="s" s="11">
        <v>20</v>
      </c>
      <c r="K11962" s="15"/>
      <c r="L11962" t="s" s="16">
        <f>HYPERLINK("http://csr.bu.edu/ftp/asl/asllvd/demos/verify_start_end_handshape_annotations//test_auto_move//signs_mov_separ_signers/Liz_351.mov","MOV")</f>
        <v>21</v>
      </c>
      <c r="M11962" t="s" s="10">
        <v>22</v>
      </c>
      <c r="N11962" s="17">
        <v>59</v>
      </c>
      <c r="O11962" s="18">
        <v>1370</v>
      </c>
      <c r="P11962" s="18">
        <v>1418</v>
      </c>
      <c r="Q11962" s="15"/>
      <c r="R11962" t="s" s="16">
        <f>HYPERLINK("http://secrets.rutgers.edu:8080/data/asl-ftp/asllvd/demos/verify_start_end_handshape_annotations//test_auto_move//signs_mov_separ_signers/Liz_351.mov","MOV")</f>
        <v>21</v>
      </c>
    </row>
    <row r="11963" s="2" customFormat="1" ht="13.5" customHeight="1">
      <c r="B11963" s="13"/>
      <c r="C11963" t="s" s="9">
        <v>23</v>
      </c>
      <c r="D11963" t="s" s="8">
        <v>4488</v>
      </c>
      <c r="E11963" t="s" s="9">
        <v>4488</v>
      </c>
      <c r="F11963" t="s" s="10">
        <v>55</v>
      </c>
      <c r="G11963" s="14"/>
      <c r="H11963" t="s" s="10">
        <v>68</v>
      </c>
      <c r="I11963" s="14"/>
      <c r="J11963" t="s" s="11">
        <v>20</v>
      </c>
      <c r="K11963" t="s" s="16">
        <f>HYPERLINK("http://csr.bu.edu/ftp/asl/asllvd/demos/verify_start_end_handshape_annotations//test_auto_move//signs_mov/351.mov","MOV")</f>
        <v>21</v>
      </c>
      <c r="L11963" t="s" s="16">
        <f>HYPERLINK("http://csr.bu.edu/ftp/asl/asllvd/demos/verify_start_end_handshape_annotations//test_auto_move//signs_mov_separ_signers/Tyler_351.mov","MOV")</f>
        <v>21</v>
      </c>
      <c r="M11963" t="s" s="10">
        <v>26</v>
      </c>
      <c r="N11963" s="17">
        <v>37</v>
      </c>
      <c r="O11963" s="18">
        <v>281</v>
      </c>
      <c r="P11963" s="18">
        <v>305</v>
      </c>
      <c r="Q11963" t="s" s="16">
        <f>HYPERLINK("http://secrets.rutgers.edu:8080/data/asl-ftp/asllvd/demos/verify_start_end_handshape_annotations//test_auto_move//signs_mov/351.mov","MOV")</f>
        <v>21</v>
      </c>
      <c r="R11963" t="s" s="16">
        <f>HYPERLINK("http://secrets.rutgers.edu:8080/data/asl-ftp/asllvd/demos/verify_start_end_handshape_annotations//test_auto_move//signs_mov_separ_signers/Tyler_351.mov","MOV")</f>
        <v>21</v>
      </c>
    </row>
    <row r="11964" s="2" customFormat="1" ht="13.5" customHeight="1">
      <c r="B11964" s="13"/>
      <c r="C11964" t="s" s="9">
        <v>27</v>
      </c>
      <c r="D11964" t="s" s="8">
        <v>4488</v>
      </c>
      <c r="E11964" t="s" s="9">
        <v>4488</v>
      </c>
      <c r="F11964" t="s" s="10">
        <v>55</v>
      </c>
      <c r="G11964" s="14"/>
      <c r="H11964" t="s" s="10">
        <v>68</v>
      </c>
      <c r="I11964" s="14"/>
      <c r="J11964" t="s" s="11">
        <v>20</v>
      </c>
      <c r="K11964" s="15"/>
      <c r="L11964" t="s" s="16">
        <f>HYPERLINK("http://csr.bu.edu/ftp/asl/asllvd/demos/verify_start_end_handshape_annotations//test_auto_move//signs_mov_separ_signers/Naomi_351.mov","MOV")</f>
        <v>21</v>
      </c>
      <c r="M11964" t="s" s="10">
        <v>29</v>
      </c>
      <c r="N11964" s="17">
        <v>38</v>
      </c>
      <c r="O11964" s="18">
        <v>252</v>
      </c>
      <c r="P11964" s="18">
        <v>268</v>
      </c>
      <c r="Q11964" s="15"/>
      <c r="R11964" t="s" s="16">
        <f>HYPERLINK("http://secrets.rutgers.edu:8080/data/asl-ftp/asllvd/demos/verify_start_end_handshape_annotations//test_auto_move//signs_mov_separ_signers/Naomi_351.mov","MOV")</f>
        <v>21</v>
      </c>
    </row>
    <row r="11965" s="2" customFormat="1" ht="13.5" customHeight="1">
      <c r="B11965" s="13"/>
      <c r="C11965" t="s" s="9">
        <v>30</v>
      </c>
      <c r="D11965" t="s" s="8">
        <v>4488</v>
      </c>
      <c r="E11965" t="s" s="9">
        <v>4488</v>
      </c>
      <c r="F11965" t="s" s="10">
        <v>152</v>
      </c>
      <c r="G11965" s="14"/>
      <c r="H11965" t="s" s="10">
        <v>68</v>
      </c>
      <c r="I11965" s="14"/>
      <c r="J11965" t="s" s="11">
        <v>20</v>
      </c>
      <c r="K11965" s="15"/>
      <c r="L11965" t="s" s="16">
        <f>HYPERLINK("http://csr.bu.edu/ftp/asl/asllvd/demos/verify_start_end_handshape_annotations//test_auto_move//signs_mov_separ_signers/Brady_351.mov","MOV")</f>
        <v>21</v>
      </c>
      <c r="M11965" t="s" s="10">
        <v>31</v>
      </c>
      <c r="N11965" s="17">
        <v>24</v>
      </c>
      <c r="O11965" s="18">
        <v>7710</v>
      </c>
      <c r="P11965" s="18">
        <v>7725</v>
      </c>
      <c r="Q11965" s="15"/>
      <c r="R11965" t="s" s="16">
        <f>HYPERLINK("http://secrets.rutgers.edu:8080/data/asl-ftp/asllvd/demos/verify_start_end_handshape_annotations//test_auto_move//signs_mov_separ_signers/Brady_351.mov","MOV")</f>
        <v>21</v>
      </c>
    </row>
    <row r="11966" s="2" customFormat="1" ht="13.5" customHeight="1">
      <c r="B11966" t="s" s="8">
        <v>4489</v>
      </c>
      <c r="C11966" t="s" s="9">
        <v>14</v>
      </c>
      <c r="D11966" t="s" s="8">
        <v>14</v>
      </c>
      <c r="E11966" t="s" s="9">
        <v>14</v>
      </c>
      <c r="F11966" t="s" s="10">
        <v>14</v>
      </c>
      <c r="G11966" t="s" s="11">
        <v>14</v>
      </c>
      <c r="H11966" t="s" s="10">
        <v>14</v>
      </c>
      <c r="I11966" t="s" s="11">
        <v>14</v>
      </c>
      <c r="J11966" t="s" s="11">
        <v>14</v>
      </c>
      <c r="K11966" t="s" s="12">
        <v>14</v>
      </c>
      <c r="L11966" t="s" s="12">
        <v>14</v>
      </c>
      <c r="M11966" t="s" s="10">
        <v>14</v>
      </c>
      <c r="N11966" t="s" s="11">
        <v>14</v>
      </c>
      <c r="O11966" t="s" s="8">
        <v>14</v>
      </c>
      <c r="P11966" t="s" s="8">
        <v>14</v>
      </c>
      <c r="Q11966" t="s" s="12">
        <v>14</v>
      </c>
      <c r="R11966" t="s" s="12">
        <v>14</v>
      </c>
    </row>
    <row r="11967" s="2" customFormat="1" ht="13.5" customHeight="1">
      <c r="B11967" s="13"/>
      <c r="C11967" t="s" s="9">
        <v>16</v>
      </c>
      <c r="D11967" t="s" s="8">
        <v>4489</v>
      </c>
      <c r="E11967" t="s" s="9">
        <v>4489</v>
      </c>
      <c r="F11967" t="s" s="10">
        <v>185</v>
      </c>
      <c r="G11967" s="14"/>
      <c r="H11967" t="s" s="10">
        <v>158</v>
      </c>
      <c r="I11967" s="14"/>
      <c r="J11967" t="s" s="11">
        <v>20</v>
      </c>
      <c r="K11967" s="15"/>
      <c r="L11967" t="s" s="16">
        <f>HYPERLINK("http://csr.bu.edu/ftp/asl/asllvd/demos/verify_start_end_handshape_annotations//test_auto_move//signs_mov_separ_signers/Liz_360.mov","MOV")</f>
        <v>21</v>
      </c>
      <c r="M11967" t="s" s="10">
        <v>22</v>
      </c>
      <c r="N11967" s="17">
        <v>61</v>
      </c>
      <c r="O11967" s="18">
        <v>486</v>
      </c>
      <c r="P11967" s="18">
        <v>514</v>
      </c>
      <c r="Q11967" s="15"/>
      <c r="R11967" t="s" s="16">
        <f>HYPERLINK("http://secrets.rutgers.edu:8080/data/asl-ftp/asllvd/demos/verify_start_end_handshape_annotations//test_auto_move//signs_mov_separ_signers/Liz_360.mov","MOV")</f>
        <v>21</v>
      </c>
    </row>
    <row r="11968" s="2" customFormat="1" ht="13.5" customHeight="1">
      <c r="B11968" s="13"/>
      <c r="C11968" t="s" s="9">
        <v>23</v>
      </c>
      <c r="D11968" t="s" s="8">
        <v>4489</v>
      </c>
      <c r="E11968" t="s" s="9">
        <v>4489</v>
      </c>
      <c r="F11968" t="s" s="10">
        <v>185</v>
      </c>
      <c r="G11968" s="14"/>
      <c r="H11968" t="s" s="10">
        <v>158</v>
      </c>
      <c r="I11968" s="14"/>
      <c r="J11968" t="s" s="11">
        <v>20</v>
      </c>
      <c r="K11968" t="s" s="16">
        <f>HYPERLINK("http://csr.bu.edu/ftp/asl/asllvd/demos/verify_start_end_handshape_annotations//test_auto_move//signs_mov/360.mov","MOV")</f>
        <v>21</v>
      </c>
      <c r="L11968" t="s" s="16">
        <f>HYPERLINK("http://csr.bu.edu/ftp/asl/asllvd/demos/verify_start_end_handshape_annotations//test_auto_move//signs_mov_separ_signers/Tyler_360.mov","MOV")</f>
        <v>21</v>
      </c>
      <c r="M11968" t="s" s="10">
        <v>26</v>
      </c>
      <c r="N11968" s="17">
        <v>37</v>
      </c>
      <c r="O11968" s="18">
        <v>2290</v>
      </c>
      <c r="P11968" s="18">
        <v>2310</v>
      </c>
      <c r="Q11968" t="s" s="16">
        <f>HYPERLINK("http://secrets.rutgers.edu:8080/data/asl-ftp/asllvd/demos/verify_start_end_handshape_annotations//test_auto_move//signs_mov/360.mov","MOV")</f>
        <v>21</v>
      </c>
      <c r="R11968" t="s" s="16">
        <f>HYPERLINK("http://secrets.rutgers.edu:8080/data/asl-ftp/asllvd/demos/verify_start_end_handshape_annotations//test_auto_move//signs_mov_separ_signers/Tyler_360.mov","MOV")</f>
        <v>21</v>
      </c>
    </row>
    <row r="11969" s="2" customFormat="1" ht="13.5" customHeight="1">
      <c r="B11969" s="13"/>
      <c r="C11969" t="s" s="9">
        <v>27</v>
      </c>
      <c r="D11969" t="s" s="8">
        <v>4489</v>
      </c>
      <c r="E11969" t="s" s="9">
        <v>4489</v>
      </c>
      <c r="F11969" t="s" s="10">
        <v>185</v>
      </c>
      <c r="G11969" s="14"/>
      <c r="H11969" t="s" s="10">
        <v>158</v>
      </c>
      <c r="I11969" s="14"/>
      <c r="J11969" t="s" s="11">
        <v>20</v>
      </c>
      <c r="K11969" s="15"/>
      <c r="L11969" t="s" s="16">
        <f>HYPERLINK("http://csr.bu.edu/ftp/asl/asllvd/demos/verify_start_end_handshape_annotations//test_auto_move//signs_mov_separ_signers/Naomi_360.mov","MOV")</f>
        <v>21</v>
      </c>
      <c r="M11969" t="s" s="10">
        <v>29</v>
      </c>
      <c r="N11969" s="17">
        <v>38</v>
      </c>
      <c r="O11969" s="18">
        <v>2375</v>
      </c>
      <c r="P11969" s="18">
        <v>2388</v>
      </c>
      <c r="Q11969" s="15"/>
      <c r="R11969" t="s" s="16">
        <f>HYPERLINK("http://secrets.rutgers.edu:8080/data/asl-ftp/asllvd/demos/verify_start_end_handshape_annotations//test_auto_move//signs_mov_separ_signers/Naomi_360.mov","MOV")</f>
        <v>21</v>
      </c>
    </row>
    <row r="11970" s="2" customFormat="1" ht="13.5" customHeight="1">
      <c r="B11970" s="13"/>
      <c r="C11970" t="s" s="9">
        <v>30</v>
      </c>
      <c r="D11970" t="s" s="8">
        <v>4489</v>
      </c>
      <c r="E11970" t="s" s="9">
        <v>4489</v>
      </c>
      <c r="F11970" t="s" s="10">
        <v>185</v>
      </c>
      <c r="G11970" s="14"/>
      <c r="H11970" t="s" s="10">
        <v>158</v>
      </c>
      <c r="I11970" s="14"/>
      <c r="J11970" t="s" s="11">
        <v>20</v>
      </c>
      <c r="K11970" s="15"/>
      <c r="L11970" t="s" s="16">
        <f>HYPERLINK("http://csr.bu.edu/ftp/asl/asllvd/demos/verify_start_end_handshape_annotations//test_auto_move//signs_mov_separ_signers/Brady_360.mov","MOV")</f>
        <v>21</v>
      </c>
      <c r="M11970" t="s" s="10">
        <v>31</v>
      </c>
      <c r="N11970" s="17">
        <v>24</v>
      </c>
      <c r="O11970" s="18">
        <v>10973</v>
      </c>
      <c r="P11970" s="18">
        <v>10981</v>
      </c>
      <c r="Q11970" s="15"/>
      <c r="R11970" t="s" s="16">
        <f>HYPERLINK("http://secrets.rutgers.edu:8080/data/asl-ftp/asllvd/demos/verify_start_end_handshape_annotations//test_auto_move//signs_mov_separ_signers/Brady_360.mov","MOV")</f>
        <v>21</v>
      </c>
    </row>
    <row r="11971" s="2" customFormat="1" ht="13.5" customHeight="1">
      <c r="B11971" t="s" s="8">
        <v>4490</v>
      </c>
      <c r="C11971" t="s" s="9">
        <v>14</v>
      </c>
      <c r="D11971" t="s" s="8">
        <v>14</v>
      </c>
      <c r="E11971" t="s" s="9">
        <v>14</v>
      </c>
      <c r="F11971" t="s" s="10">
        <v>14</v>
      </c>
      <c r="G11971" t="s" s="11">
        <v>14</v>
      </c>
      <c r="H11971" t="s" s="10">
        <v>14</v>
      </c>
      <c r="I11971" t="s" s="11">
        <v>14</v>
      </c>
      <c r="J11971" t="s" s="11">
        <v>14</v>
      </c>
      <c r="K11971" t="s" s="12">
        <v>14</v>
      </c>
      <c r="L11971" t="s" s="12">
        <v>14</v>
      </c>
      <c r="M11971" t="s" s="10">
        <v>14</v>
      </c>
      <c r="N11971" t="s" s="11">
        <v>14</v>
      </c>
      <c r="O11971" t="s" s="8">
        <v>14</v>
      </c>
      <c r="P11971" t="s" s="8">
        <v>14</v>
      </c>
      <c r="Q11971" t="s" s="12">
        <v>14</v>
      </c>
      <c r="R11971" t="s" s="12">
        <v>14</v>
      </c>
    </row>
    <row r="11972" s="2" customFormat="1" ht="13.5" customHeight="1">
      <c r="B11972" s="13"/>
      <c r="C11972" t="s" s="9">
        <v>16</v>
      </c>
      <c r="D11972" t="s" s="8">
        <v>4490</v>
      </c>
      <c r="E11972" t="s" s="9">
        <v>4490</v>
      </c>
      <c r="F11972" t="s" s="10">
        <v>185</v>
      </c>
      <c r="G11972" s="14"/>
      <c r="H11972" t="s" s="10">
        <v>220</v>
      </c>
      <c r="I11972" s="14"/>
      <c r="J11972" t="s" s="11">
        <v>20</v>
      </c>
      <c r="K11972" s="15"/>
      <c r="L11972" t="s" s="16">
        <f>HYPERLINK("http://csr.bu.edu/ftp/asl/asllvd/demos/verify_start_end_handshape_annotations//test_auto_move//signs_mov_separ_signers/Liz_361.mov","MOV")</f>
        <v>21</v>
      </c>
      <c r="M11972" t="s" s="10">
        <v>22</v>
      </c>
      <c r="N11972" s="17">
        <v>61</v>
      </c>
      <c r="O11972" s="18">
        <v>690</v>
      </c>
      <c r="P11972" s="18">
        <v>725</v>
      </c>
      <c r="Q11972" s="15"/>
      <c r="R11972" t="s" s="16">
        <f>HYPERLINK("http://secrets.rutgers.edu:8080/data/asl-ftp/asllvd/demos/verify_start_end_handshape_annotations//test_auto_move//signs_mov_separ_signers/Liz_361.mov","MOV")</f>
        <v>21</v>
      </c>
    </row>
    <row r="11973" s="2" customFormat="1" ht="13.5" customHeight="1">
      <c r="B11973" s="13"/>
      <c r="C11973" t="s" s="9">
        <v>27</v>
      </c>
      <c r="D11973" t="s" s="8">
        <v>4490</v>
      </c>
      <c r="E11973" t="s" s="9">
        <v>4490</v>
      </c>
      <c r="F11973" t="s" s="10">
        <v>185</v>
      </c>
      <c r="G11973" s="14"/>
      <c r="H11973" t="s" s="10">
        <v>220</v>
      </c>
      <c r="I11973" s="14"/>
      <c r="J11973" t="s" s="11">
        <v>20</v>
      </c>
      <c r="K11973" t="s" s="16">
        <f>HYPERLINK("http://csr.bu.edu/ftp/asl/asllvd/demos/verify_start_end_handshape_annotations//test_auto_move//signs_mov/361.mov","MOV")</f>
        <v>21</v>
      </c>
      <c r="L11973" t="s" s="16">
        <f>HYPERLINK("http://csr.bu.edu/ftp/asl/asllvd/demos/verify_start_end_handshape_annotations//test_auto_move//signs_mov_separ_signers/Naomi_361.mov","MOV")</f>
        <v>21</v>
      </c>
      <c r="M11973" t="s" s="10">
        <v>29</v>
      </c>
      <c r="N11973" s="17">
        <v>39</v>
      </c>
      <c r="O11973" s="18">
        <v>408</v>
      </c>
      <c r="P11973" s="18">
        <v>422</v>
      </c>
      <c r="Q11973" t="s" s="16">
        <f>HYPERLINK("http://secrets.rutgers.edu:8080/data/asl-ftp/asllvd/demos/verify_start_end_handshape_annotations//test_auto_move//signs_mov/361.mov","MOV")</f>
        <v>21</v>
      </c>
      <c r="R11973" t="s" s="16">
        <f>HYPERLINK("http://secrets.rutgers.edu:8080/data/asl-ftp/asllvd/demos/verify_start_end_handshape_annotations//test_auto_move//signs_mov_separ_signers/Naomi_361.mov","MOV")</f>
        <v>21</v>
      </c>
    </row>
    <row r="11974" s="2" customFormat="1" ht="13.5" customHeight="1">
      <c r="B11974" s="13"/>
      <c r="C11974" t="s" s="9">
        <v>30</v>
      </c>
      <c r="D11974" t="s" s="8">
        <v>4490</v>
      </c>
      <c r="E11974" t="s" s="9">
        <v>4490</v>
      </c>
      <c r="F11974" t="s" s="10">
        <v>185</v>
      </c>
      <c r="G11974" s="14"/>
      <c r="H11974" t="s" s="10">
        <v>220</v>
      </c>
      <c r="I11974" s="14"/>
      <c r="J11974" t="s" s="11">
        <v>20</v>
      </c>
      <c r="K11974" s="15"/>
      <c r="L11974" t="s" s="16">
        <f>HYPERLINK("http://csr.bu.edu/ftp/asl/asllvd/demos/verify_start_end_handshape_annotations//test_auto_move//signs_mov_separ_signers/Brady_361.mov","MOV")</f>
        <v>21</v>
      </c>
      <c r="M11974" t="s" s="10">
        <v>31</v>
      </c>
      <c r="N11974" s="17">
        <v>24</v>
      </c>
      <c r="O11974" s="18">
        <v>11178</v>
      </c>
      <c r="P11974" s="18">
        <v>11192</v>
      </c>
      <c r="Q11974" s="15"/>
      <c r="R11974" t="s" s="16">
        <f>HYPERLINK("http://secrets.rutgers.edu:8080/data/asl-ftp/asllvd/demos/verify_start_end_handshape_annotations//test_auto_move//signs_mov_separ_signers/Brady_361.mov","MOV")</f>
        <v>21</v>
      </c>
    </row>
    <row r="11975" s="2" customFormat="1" ht="13.5" customHeight="1">
      <c r="B11975" t="s" s="8">
        <v>4491</v>
      </c>
      <c r="C11975" t="s" s="9">
        <v>14</v>
      </c>
      <c r="D11975" t="s" s="8">
        <v>14</v>
      </c>
      <c r="E11975" t="s" s="9">
        <v>14</v>
      </c>
      <c r="F11975" t="s" s="10">
        <v>14</v>
      </c>
      <c r="G11975" t="s" s="11">
        <v>14</v>
      </c>
      <c r="H11975" t="s" s="10">
        <v>14</v>
      </c>
      <c r="I11975" t="s" s="11">
        <v>14</v>
      </c>
      <c r="J11975" t="s" s="11">
        <v>14</v>
      </c>
      <c r="K11975" t="s" s="12">
        <v>14</v>
      </c>
      <c r="L11975" t="s" s="12">
        <v>14</v>
      </c>
      <c r="M11975" t="s" s="10">
        <v>14</v>
      </c>
      <c r="N11975" t="s" s="11">
        <v>14</v>
      </c>
      <c r="O11975" t="s" s="8">
        <v>14</v>
      </c>
      <c r="P11975" t="s" s="8">
        <v>14</v>
      </c>
      <c r="Q11975" t="s" s="12">
        <v>14</v>
      </c>
      <c r="R11975" t="s" s="12">
        <v>14</v>
      </c>
    </row>
    <row r="11976" s="2" customFormat="1" ht="13.5" customHeight="1">
      <c r="B11976" s="13"/>
      <c r="C11976" t="s" s="9">
        <v>27</v>
      </c>
      <c r="D11976" t="s" s="8">
        <v>4492</v>
      </c>
      <c r="E11976" t="s" s="9">
        <v>4492</v>
      </c>
      <c r="F11976" t="s" s="10">
        <v>73</v>
      </c>
      <c r="G11976" t="s" s="11">
        <v>105</v>
      </c>
      <c r="H11976" t="s" s="10">
        <v>73</v>
      </c>
      <c r="I11976" t="s" s="11">
        <v>73</v>
      </c>
      <c r="J11976" t="s" s="11">
        <v>20</v>
      </c>
      <c r="K11976" t="s" s="16">
        <f>HYPERLINK("http://csr.bu.edu/ftp/asl/asllvd/demos/verify_start_end_handshape_annotations//test_auto_move//signs_mov/3012.mov","MOV")</f>
        <v>21</v>
      </c>
      <c r="L11976" t="s" s="16">
        <f>HYPERLINK("http://csr.bu.edu/ftp/asl/asllvd/demos/verify_start_end_handshape_annotations//test_auto_move//signs_mov_separ_signers/Naomi_3012.mov","MOV")</f>
        <v>21</v>
      </c>
      <c r="M11976" t="s" s="10">
        <v>29</v>
      </c>
      <c r="N11976" s="17">
        <v>41</v>
      </c>
      <c r="O11976" s="18">
        <v>4900</v>
      </c>
      <c r="P11976" s="18">
        <v>4957</v>
      </c>
      <c r="Q11976" t="s" s="16">
        <f>HYPERLINK("http://secrets.rutgers.edu:8080/data/asl-ftp/asllvd/demos/verify_start_end_handshape_annotations//test_auto_move//signs_mov/3012.mov","MOV")</f>
        <v>21</v>
      </c>
      <c r="R11976" t="s" s="16">
        <f>HYPERLINK("http://secrets.rutgers.edu:8080/data/asl-ftp/asllvd/demos/verify_start_end_handshape_annotations//test_auto_move//signs_mov_separ_signers/Naomi_3012.mov","MOV")</f>
        <v>21</v>
      </c>
    </row>
    <row r="11977" s="2" customFormat="1" ht="13.5" customHeight="1">
      <c r="B11977" s="13"/>
      <c r="C11977" t="s" s="9">
        <v>30</v>
      </c>
      <c r="D11977" t="s" s="8">
        <v>4492</v>
      </c>
      <c r="E11977" t="s" s="9">
        <v>4492</v>
      </c>
      <c r="F11977" t="s" s="10">
        <v>73</v>
      </c>
      <c r="G11977" t="s" s="11">
        <v>68</v>
      </c>
      <c r="H11977" t="s" s="10">
        <v>73</v>
      </c>
      <c r="I11977" t="s" s="11">
        <v>73</v>
      </c>
      <c r="J11977" t="s" s="11">
        <v>20</v>
      </c>
      <c r="K11977" s="15"/>
      <c r="L11977" t="s" s="16">
        <f>HYPERLINK("http://csr.bu.edu/ftp/asl/asllvd/demos/verify_start_end_handshape_annotations//test_auto_move//signs_mov_separ_signers/Brady_3012.mov","MOV")</f>
        <v>21</v>
      </c>
      <c r="M11977" t="s" s="10">
        <v>39</v>
      </c>
      <c r="N11977" s="17">
        <v>3</v>
      </c>
      <c r="O11977" s="18">
        <v>5393</v>
      </c>
      <c r="P11977" s="18">
        <v>5438</v>
      </c>
      <c r="Q11977" s="15"/>
      <c r="R11977" t="s" s="16">
        <f>HYPERLINK("http://secrets.rutgers.edu:8080/data/asl-ftp/asllvd/demos/verify_start_end_handshape_annotations//test_auto_move//signs_mov_separ_signers/Brady_3012.mov","MOV")</f>
        <v>21</v>
      </c>
    </row>
    <row r="11978" s="2" customFormat="1" ht="13.5" customHeight="1">
      <c r="B11978" t="s" s="8">
        <v>4493</v>
      </c>
      <c r="C11978" t="s" s="9">
        <v>14</v>
      </c>
      <c r="D11978" t="s" s="8">
        <v>14</v>
      </c>
      <c r="E11978" t="s" s="9">
        <v>14</v>
      </c>
      <c r="F11978" t="s" s="10">
        <v>14</v>
      </c>
      <c r="G11978" t="s" s="11">
        <v>14</v>
      </c>
      <c r="H11978" t="s" s="10">
        <v>14</v>
      </c>
      <c r="I11978" t="s" s="11">
        <v>14</v>
      </c>
      <c r="J11978" t="s" s="11">
        <v>14</v>
      </c>
      <c r="K11978" t="s" s="12">
        <v>14</v>
      </c>
      <c r="L11978" t="s" s="12">
        <v>14</v>
      </c>
      <c r="M11978" t="s" s="10">
        <v>14</v>
      </c>
      <c r="N11978" t="s" s="11">
        <v>14</v>
      </c>
      <c r="O11978" t="s" s="8">
        <v>14</v>
      </c>
      <c r="P11978" t="s" s="8">
        <v>14</v>
      </c>
      <c r="Q11978" t="s" s="12">
        <v>14</v>
      </c>
      <c r="R11978" t="s" s="12">
        <v>14</v>
      </c>
    </row>
    <row r="11979" s="2" customFormat="1" ht="13.5" customHeight="1">
      <c r="B11979" s="13"/>
      <c r="C11979" t="s" s="9">
        <v>16</v>
      </c>
      <c r="D11979" t="s" s="8">
        <v>4493</v>
      </c>
      <c r="E11979" t="s" s="9">
        <v>4493</v>
      </c>
      <c r="F11979" t="s" s="10">
        <v>73</v>
      </c>
      <c r="G11979" t="s" s="11">
        <v>73</v>
      </c>
      <c r="H11979" t="s" s="10">
        <v>73</v>
      </c>
      <c r="I11979" t="s" s="11">
        <v>73</v>
      </c>
      <c r="J11979" t="s" s="11">
        <v>20</v>
      </c>
      <c r="K11979" s="15"/>
      <c r="L11979" t="s" s="16">
        <f>HYPERLINK("http://csr.bu.edu/ftp/asl/asllvd/demos/verify_start_end_handshape_annotations//test_auto_move//signs_mov_separ_signers/Liz_436.mov","MOV")</f>
        <v>21</v>
      </c>
      <c r="M11979" t="s" s="10">
        <v>22</v>
      </c>
      <c r="N11979" s="17">
        <v>73</v>
      </c>
      <c r="O11979" s="18">
        <v>625</v>
      </c>
      <c r="P11979" s="18">
        <v>674</v>
      </c>
      <c r="Q11979" s="15"/>
      <c r="R11979" t="s" s="16">
        <f>HYPERLINK("http://secrets.rutgers.edu:8080/data/asl-ftp/asllvd/demos/verify_start_end_handshape_annotations//test_auto_move//signs_mov_separ_signers/Liz_436.mov","MOV")</f>
        <v>21</v>
      </c>
    </row>
    <row r="11980" s="2" customFormat="1" ht="13.5" customHeight="1">
      <c r="B11980" s="13"/>
      <c r="C11980" t="s" s="9">
        <v>23</v>
      </c>
      <c r="D11980" t="s" s="8">
        <v>4493</v>
      </c>
      <c r="E11980" t="s" s="9">
        <v>4493</v>
      </c>
      <c r="F11980" t="s" s="10">
        <v>73</v>
      </c>
      <c r="G11980" t="s" s="11">
        <v>73</v>
      </c>
      <c r="H11980" t="s" s="10">
        <v>73</v>
      </c>
      <c r="I11980" t="s" s="11">
        <v>73</v>
      </c>
      <c r="J11980" t="s" s="11">
        <v>20</v>
      </c>
      <c r="K11980" t="s" s="16">
        <f>HYPERLINK("http://csr.bu.edu/ftp/asl/asllvd/demos/verify_start_end_handshape_annotations//test_auto_move//signs_mov/436.mov","MOV")</f>
        <v>21</v>
      </c>
      <c r="L11980" t="s" s="16">
        <f>HYPERLINK("http://csr.bu.edu/ftp/asl/asllvd/demos/verify_start_end_handshape_annotations//test_auto_move//signs_mov_separ_signers/Tyler_436.mov","MOV")</f>
        <v>21</v>
      </c>
      <c r="M11980" t="s" s="10">
        <v>26</v>
      </c>
      <c r="N11980" s="17">
        <v>44</v>
      </c>
      <c r="O11980" s="18">
        <v>4846</v>
      </c>
      <c r="P11980" s="18">
        <v>4896</v>
      </c>
      <c r="Q11980" t="s" s="16">
        <f>HYPERLINK("http://secrets.rutgers.edu:8080/data/asl-ftp/asllvd/demos/verify_start_end_handshape_annotations//test_auto_move//signs_mov/436.mov","MOV")</f>
        <v>21</v>
      </c>
      <c r="R11980" t="s" s="16">
        <f>HYPERLINK("http://secrets.rutgers.edu:8080/data/asl-ftp/asllvd/demos/verify_start_end_handshape_annotations//test_auto_move//signs_mov_separ_signers/Tyler_436.mov","MOV")</f>
        <v>21</v>
      </c>
    </row>
    <row r="11981" s="2" customFormat="1" ht="13.5" customHeight="1">
      <c r="B11981" s="13"/>
      <c r="C11981" t="s" s="9">
        <v>27</v>
      </c>
      <c r="D11981" t="s" s="8">
        <v>4493</v>
      </c>
      <c r="E11981" t="s" s="9">
        <v>4493</v>
      </c>
      <c r="F11981" t="s" s="10">
        <v>73</v>
      </c>
      <c r="G11981" t="s" s="11">
        <v>73</v>
      </c>
      <c r="H11981" t="s" s="10">
        <v>73</v>
      </c>
      <c r="I11981" t="s" s="11">
        <v>73</v>
      </c>
      <c r="J11981" t="s" s="11">
        <v>20</v>
      </c>
      <c r="K11981" s="15"/>
      <c r="L11981" t="s" s="16">
        <f>HYPERLINK("http://csr.bu.edu/ftp/asl/asllvd/demos/verify_start_end_handshape_annotations//test_auto_move//signs_mov_separ_signers/Naomi_436.mov","MOV")</f>
        <v>21</v>
      </c>
      <c r="M11981" t="s" s="10">
        <v>29</v>
      </c>
      <c r="N11981" s="17">
        <v>46</v>
      </c>
      <c r="O11981" s="18">
        <v>3029</v>
      </c>
      <c r="P11981" s="18">
        <v>3081</v>
      </c>
      <c r="Q11981" s="15"/>
      <c r="R11981" t="s" s="16">
        <f>HYPERLINK("http://secrets.rutgers.edu:8080/data/asl-ftp/asllvd/demos/verify_start_end_handshape_annotations//test_auto_move//signs_mov_separ_signers/Naomi_436.mov","MOV")</f>
        <v>21</v>
      </c>
    </row>
    <row r="11982" s="2" customFormat="1" ht="13.5" customHeight="1">
      <c r="B11982" s="13"/>
      <c r="C11982" t="s" s="9">
        <v>30</v>
      </c>
      <c r="D11982" t="s" s="8">
        <v>4493</v>
      </c>
      <c r="E11982" t="s" s="9">
        <v>4493</v>
      </c>
      <c r="F11982" t="s" s="10">
        <v>73</v>
      </c>
      <c r="G11982" t="s" s="11">
        <v>73</v>
      </c>
      <c r="H11982" t="s" s="10">
        <v>73</v>
      </c>
      <c r="I11982" t="s" s="11">
        <v>73</v>
      </c>
      <c r="J11982" t="s" s="11">
        <v>20</v>
      </c>
      <c r="K11982" s="15"/>
      <c r="L11982" t="s" s="16">
        <f>HYPERLINK("http://csr.bu.edu/ftp/asl/asllvd/demos/verify_start_end_handshape_annotations//test_auto_move//signs_mov_separ_signers/Brady_436.mov","MOV")</f>
        <v>21</v>
      </c>
      <c r="M11982" t="s" s="10">
        <v>39</v>
      </c>
      <c r="N11982" s="17">
        <v>3</v>
      </c>
      <c r="O11982" s="18">
        <v>8200</v>
      </c>
      <c r="P11982" s="18">
        <v>8235</v>
      </c>
      <c r="Q11982" s="15"/>
      <c r="R11982" t="s" s="16">
        <f>HYPERLINK("http://secrets.rutgers.edu:8080/data/asl-ftp/asllvd/demos/verify_start_end_handshape_annotations//test_auto_move//signs_mov_separ_signers/Brady_436.mov","MOV")</f>
        <v>21</v>
      </c>
    </row>
    <row r="11983" s="2" customFormat="1" ht="27.75" customHeight="1">
      <c r="B11983" t="s" s="8">
        <v>4494</v>
      </c>
      <c r="C11983" t="s" s="9">
        <v>14</v>
      </c>
      <c r="D11983" t="s" s="8">
        <v>14</v>
      </c>
      <c r="E11983" t="s" s="9">
        <v>14</v>
      </c>
      <c r="F11983" t="s" s="10">
        <v>14</v>
      </c>
      <c r="G11983" t="s" s="11">
        <v>14</v>
      </c>
      <c r="H11983" t="s" s="10">
        <v>14</v>
      </c>
      <c r="I11983" t="s" s="11">
        <v>14</v>
      </c>
      <c r="J11983" t="s" s="11">
        <v>14</v>
      </c>
      <c r="K11983" t="s" s="12">
        <v>14</v>
      </c>
      <c r="L11983" t="s" s="12">
        <v>14</v>
      </c>
      <c r="M11983" t="s" s="10">
        <v>14</v>
      </c>
      <c r="N11983" t="s" s="11">
        <v>14</v>
      </c>
      <c r="O11983" t="s" s="8">
        <v>14</v>
      </c>
      <c r="P11983" t="s" s="8">
        <v>14</v>
      </c>
      <c r="Q11983" t="s" s="12">
        <v>14</v>
      </c>
      <c r="R11983" t="s" s="12">
        <v>14</v>
      </c>
    </row>
    <row r="11984" s="2" customFormat="1" ht="27.75" customHeight="1">
      <c r="B11984" s="13"/>
      <c r="C11984" t="s" s="9">
        <v>16</v>
      </c>
      <c r="D11984" t="s" s="8">
        <v>4495</v>
      </c>
      <c r="E11984" t="s" s="9">
        <v>4495</v>
      </c>
      <c r="F11984" t="s" s="10">
        <v>255</v>
      </c>
      <c r="G11984" t="s" s="11">
        <v>68</v>
      </c>
      <c r="H11984" t="s" s="10">
        <v>18</v>
      </c>
      <c r="I11984" t="s" s="11">
        <v>18</v>
      </c>
      <c r="J11984" t="s" s="11">
        <v>20</v>
      </c>
      <c r="K11984" s="15"/>
      <c r="L11984" t="s" s="16">
        <f>HYPERLINK("http://csr.bu.edu/ftp/asl/asllvd/demos/verify_start_end_handshape_annotations//test_auto_move//signs_mov_separ_signers/Liz_472.mov","MOV")</f>
        <v>21</v>
      </c>
      <c r="M11984" t="s" s="10">
        <v>22</v>
      </c>
      <c r="N11984" s="17">
        <v>79</v>
      </c>
      <c r="O11984" s="18">
        <v>1911</v>
      </c>
      <c r="P11984" s="18">
        <v>1970</v>
      </c>
      <c r="Q11984" s="15"/>
      <c r="R11984" t="s" s="16">
        <f>HYPERLINK("http://secrets.rutgers.edu:8080/data/asl-ftp/asllvd/demos/verify_start_end_handshape_annotations//test_auto_move//signs_mov_separ_signers/Liz_472.mov","MOV")</f>
        <v>21</v>
      </c>
    </row>
    <row r="11985" s="2" customFormat="1" ht="27.75" customHeight="1">
      <c r="B11985" s="13"/>
      <c r="C11985" t="s" s="9">
        <v>23</v>
      </c>
      <c r="D11985" t="s" s="8">
        <v>4495</v>
      </c>
      <c r="E11985" t="s" s="9">
        <v>4495</v>
      </c>
      <c r="F11985" t="s" s="10">
        <v>255</v>
      </c>
      <c r="G11985" t="s" s="11">
        <v>68</v>
      </c>
      <c r="H11985" t="s" s="10">
        <v>18</v>
      </c>
      <c r="I11985" t="s" s="11">
        <v>18</v>
      </c>
      <c r="J11985" t="s" s="11">
        <v>20</v>
      </c>
      <c r="K11985" t="s" s="16">
        <f>HYPERLINK("http://csr.bu.edu/ftp/asl/asllvd/demos/verify_start_end_handshape_annotations//test_auto_move//signs_mov/472.mov","MOV")</f>
        <v>21</v>
      </c>
      <c r="L11985" t="s" s="16">
        <f>HYPERLINK("http://csr.bu.edu/ftp/asl/asllvd/demos/verify_start_end_handshape_annotations//test_auto_move//signs_mov_separ_signers/Tyler_472.mov","MOV")</f>
        <v>21</v>
      </c>
      <c r="M11985" t="s" s="10">
        <v>26</v>
      </c>
      <c r="N11985" s="17">
        <v>48</v>
      </c>
      <c r="O11985" s="18">
        <v>488</v>
      </c>
      <c r="P11985" s="18">
        <v>530</v>
      </c>
      <c r="Q11985" t="s" s="16">
        <f>HYPERLINK("http://secrets.rutgers.edu:8080/data/asl-ftp/asllvd/demos/verify_start_end_handshape_annotations//test_auto_move//signs_mov/472.mov","MOV")</f>
        <v>21</v>
      </c>
      <c r="R11985" t="s" s="16">
        <f>HYPERLINK("http://secrets.rutgers.edu:8080/data/asl-ftp/asllvd/demos/verify_start_end_handshape_annotations//test_auto_move//signs_mov_separ_signers/Tyler_472.mov","MOV")</f>
        <v>21</v>
      </c>
    </row>
    <row r="11986" s="2" customFormat="1" ht="27.75" customHeight="1">
      <c r="B11986" s="13"/>
      <c r="C11986" t="s" s="9">
        <v>27</v>
      </c>
      <c r="D11986" t="s" s="8">
        <v>4495</v>
      </c>
      <c r="E11986" t="s" s="9">
        <v>4494</v>
      </c>
      <c r="F11986" t="s" s="10">
        <v>255</v>
      </c>
      <c r="G11986" t="s" s="11">
        <v>68</v>
      </c>
      <c r="H11986" t="s" s="10">
        <v>18</v>
      </c>
      <c r="I11986" t="s" s="11">
        <v>18</v>
      </c>
      <c r="J11986" t="s" s="11">
        <v>20</v>
      </c>
      <c r="K11986" s="15"/>
      <c r="L11986" t="s" s="16">
        <f>HYPERLINK("http://csr.bu.edu/ftp/asl/asllvd/demos/verify_start_end_handshape_annotations//test_auto_move//signs_mov_separ_signers/Naomi_472.mov","MOV")</f>
        <v>21</v>
      </c>
      <c r="M11986" t="s" s="10">
        <v>29</v>
      </c>
      <c r="N11986" s="17">
        <v>50</v>
      </c>
      <c r="O11986" s="18">
        <v>495</v>
      </c>
      <c r="P11986" s="18">
        <v>532</v>
      </c>
      <c r="Q11986" s="15"/>
      <c r="R11986" t="s" s="16">
        <f>HYPERLINK("http://secrets.rutgers.edu:8080/data/asl-ftp/asllvd/demos/verify_start_end_handshape_annotations//test_auto_move//signs_mov_separ_signers/Naomi_472.mov","MOV")</f>
        <v>21</v>
      </c>
    </row>
    <row r="11987" s="2" customFormat="1" ht="27.75" customHeight="1">
      <c r="B11987" s="13"/>
      <c r="C11987" t="s" s="9">
        <v>30</v>
      </c>
      <c r="D11987" t="s" s="8">
        <v>4495</v>
      </c>
      <c r="E11987" t="s" s="9">
        <v>4494</v>
      </c>
      <c r="F11987" t="s" s="10">
        <v>255</v>
      </c>
      <c r="G11987" t="s" s="11">
        <v>68</v>
      </c>
      <c r="H11987" t="s" s="10">
        <v>18</v>
      </c>
      <c r="I11987" t="s" s="11">
        <v>18</v>
      </c>
      <c r="J11987" t="s" s="11">
        <v>20</v>
      </c>
      <c r="K11987" s="15"/>
      <c r="L11987" t="s" s="16">
        <f>HYPERLINK("http://csr.bu.edu/ftp/asl/asllvd/demos/verify_start_end_handshape_annotations//test_auto_move//signs_mov_separ_signers/Brady_472.mov","MOV")</f>
        <v>21</v>
      </c>
      <c r="M11987" t="s" s="10">
        <v>39</v>
      </c>
      <c r="N11987" s="17">
        <v>3</v>
      </c>
      <c r="O11987" s="18">
        <v>8812</v>
      </c>
      <c r="P11987" s="18">
        <v>8836</v>
      </c>
      <c r="Q11987" s="15"/>
      <c r="R11987" t="s" s="16">
        <f>HYPERLINK("http://secrets.rutgers.edu:8080/data/asl-ftp/asllvd/demos/verify_start_end_handshape_annotations//test_auto_move//signs_mov_separ_signers/Brady_472.mov","MOV")</f>
        <v>21</v>
      </c>
    </row>
    <row r="11988" s="2" customFormat="1" ht="13.5" customHeight="1">
      <c r="B11988" t="s" s="8">
        <v>4496</v>
      </c>
      <c r="C11988" t="s" s="9">
        <v>14</v>
      </c>
      <c r="D11988" t="s" s="8">
        <v>14</v>
      </c>
      <c r="E11988" t="s" s="9">
        <v>14</v>
      </c>
      <c r="F11988" t="s" s="10">
        <v>14</v>
      </c>
      <c r="G11988" t="s" s="11">
        <v>14</v>
      </c>
      <c r="H11988" t="s" s="10">
        <v>14</v>
      </c>
      <c r="I11988" t="s" s="11">
        <v>14</v>
      </c>
      <c r="J11988" t="s" s="11">
        <v>14</v>
      </c>
      <c r="K11988" t="s" s="12">
        <v>14</v>
      </c>
      <c r="L11988" t="s" s="12">
        <v>14</v>
      </c>
      <c r="M11988" t="s" s="10">
        <v>14</v>
      </c>
      <c r="N11988" t="s" s="11">
        <v>14</v>
      </c>
      <c r="O11988" t="s" s="8">
        <v>14</v>
      </c>
      <c r="P11988" t="s" s="8">
        <v>14</v>
      </c>
      <c r="Q11988" t="s" s="12">
        <v>14</v>
      </c>
      <c r="R11988" t="s" s="12">
        <v>14</v>
      </c>
    </row>
    <row r="11989" s="2" customFormat="1" ht="13.5" customHeight="1">
      <c r="B11989" s="13"/>
      <c r="C11989" t="s" s="9">
        <v>16</v>
      </c>
      <c r="D11989" t="s" s="8">
        <v>4497</v>
      </c>
      <c r="E11989" t="s" s="9">
        <v>4497</v>
      </c>
      <c r="F11989" t="s" s="10">
        <v>240</v>
      </c>
      <c r="G11989" t="s" s="11">
        <v>55</v>
      </c>
      <c r="H11989" t="s" s="10">
        <v>73</v>
      </c>
      <c r="I11989" t="s" s="11">
        <v>73</v>
      </c>
      <c r="J11989" t="s" s="11">
        <v>20</v>
      </c>
      <c r="K11989" t="s" s="16">
        <f>HYPERLINK("http://csr.bu.edu/ftp/asl/asllvd/demos/verify_start_end_handshape_annotations//test_auto_move//signs_mov/533.mov","MOV")</f>
        <v>21</v>
      </c>
      <c r="L11989" t="s" s="16">
        <f>HYPERLINK("http://csr.bu.edu/ftp/asl/asllvd/demos/verify_start_end_handshape_annotations//test_auto_move//signs_mov_separ_signers/Liz_533.mov","MOV")</f>
        <v>21</v>
      </c>
      <c r="M11989" t="s" s="10">
        <v>84</v>
      </c>
      <c r="N11989" s="17">
        <v>4</v>
      </c>
      <c r="O11989" s="18">
        <v>1185</v>
      </c>
      <c r="P11989" s="18">
        <v>1246</v>
      </c>
      <c r="Q11989" t="s" s="16">
        <f>HYPERLINK("http://secrets.rutgers.edu:8080/data/asl-ftp/asllvd/demos/verify_start_end_handshape_annotations//test_auto_move//signs_mov/533.mov","MOV")</f>
        <v>21</v>
      </c>
      <c r="R11989" t="s" s="16">
        <f>HYPERLINK("http://secrets.rutgers.edu:8080/data/asl-ftp/asllvd/demos/verify_start_end_handshape_annotations//test_auto_move//signs_mov_separ_signers/Liz_533.mov","MOV")</f>
        <v>21</v>
      </c>
    </row>
    <row r="11990" s="2" customFormat="1" ht="13.5" customHeight="1">
      <c r="B11990" s="13"/>
      <c r="C11990" t="s" s="9">
        <v>27</v>
      </c>
      <c r="D11990" t="s" s="8">
        <v>4497</v>
      </c>
      <c r="E11990" t="s" s="9">
        <v>4497</v>
      </c>
      <c r="F11990" t="s" s="10">
        <v>240</v>
      </c>
      <c r="G11990" t="s" s="11">
        <v>68</v>
      </c>
      <c r="H11990" t="s" s="10">
        <v>73</v>
      </c>
      <c r="I11990" t="s" s="11">
        <v>73</v>
      </c>
      <c r="J11990" t="s" s="11">
        <v>20</v>
      </c>
      <c r="K11990" s="15"/>
      <c r="L11990" t="s" s="16">
        <f>HYPERLINK("http://csr.bu.edu/ftp/asl/asllvd/demos/verify_start_end_handshape_annotations//test_auto_move//signs_mov_separ_signers/Naomi_533.mov","MOV")</f>
        <v>21</v>
      </c>
      <c r="M11990" t="s" s="10">
        <v>86</v>
      </c>
      <c r="N11990" s="17">
        <v>4</v>
      </c>
      <c r="O11990" s="18">
        <v>819</v>
      </c>
      <c r="P11990" s="18">
        <v>872</v>
      </c>
      <c r="Q11990" s="15"/>
      <c r="R11990" t="s" s="16">
        <f>HYPERLINK("http://secrets.rutgers.edu:8080/data/asl-ftp/asllvd/demos/verify_start_end_handshape_annotations//test_auto_move//signs_mov_separ_signers/Naomi_533.mov","MOV")</f>
        <v>21</v>
      </c>
    </row>
    <row r="11991" s="2" customFormat="1" ht="13.5" customHeight="1">
      <c r="B11991" t="s" s="8">
        <v>52</v>
      </c>
      <c r="C11991" t="s" s="9">
        <v>53</v>
      </c>
      <c r="D11991" t="s" s="8">
        <v>53</v>
      </c>
      <c r="E11991" t="s" s="9">
        <v>53</v>
      </c>
      <c r="F11991" t="s" s="10">
        <v>53</v>
      </c>
      <c r="G11991" t="s" s="11">
        <v>53</v>
      </c>
      <c r="H11991" t="s" s="10">
        <v>53</v>
      </c>
      <c r="I11991" t="s" s="11">
        <v>53</v>
      </c>
      <c r="J11991" t="s" s="11">
        <v>53</v>
      </c>
      <c r="K11991" t="s" s="12">
        <v>53</v>
      </c>
      <c r="L11991" t="s" s="12">
        <v>53</v>
      </c>
      <c r="M11991" t="s" s="10">
        <v>53</v>
      </c>
      <c r="N11991" t="s" s="11">
        <v>53</v>
      </c>
      <c r="O11991" t="s" s="8">
        <v>53</v>
      </c>
      <c r="P11991" t="s" s="8">
        <v>53</v>
      </c>
      <c r="Q11991" t="s" s="12">
        <v>53</v>
      </c>
      <c r="R11991" t="s" s="12">
        <v>53</v>
      </c>
    </row>
    <row r="11992" s="2" customFormat="1" ht="13.5" customHeight="1">
      <c r="B11992" s="13"/>
      <c r="C11992" t="s" s="9">
        <v>30</v>
      </c>
      <c r="D11992" t="s" s="8">
        <v>4497</v>
      </c>
      <c r="E11992" t="s" s="9">
        <v>4498</v>
      </c>
      <c r="F11992" t="s" s="10">
        <v>240</v>
      </c>
      <c r="G11992" t="s" s="11">
        <v>73</v>
      </c>
      <c r="H11992" t="s" s="10">
        <v>73</v>
      </c>
      <c r="I11992" t="s" s="11">
        <v>73</v>
      </c>
      <c r="J11992" t="s" s="11">
        <v>20</v>
      </c>
      <c r="K11992" t="s" s="16">
        <f>HYPERLINK("http://csr.bu.edu/ftp/asl/asllvd/demos/verify_start_end_handshape_annotations//test_auto_move//signs_mov/16518.mov","MOV")</f>
        <v>21</v>
      </c>
      <c r="L11992" t="s" s="16">
        <f>HYPERLINK("http://csr.bu.edu/ftp/asl/asllvd/demos/verify_start_end_handshape_annotations//test_auto_move//signs_mov_separ_signers/Brady_16518.mov","MOV")</f>
        <v>21</v>
      </c>
      <c r="M11992" t="s" s="10">
        <v>39</v>
      </c>
      <c r="N11992" s="17">
        <v>3</v>
      </c>
      <c r="O11992" s="18">
        <v>9316</v>
      </c>
      <c r="P11992" s="18">
        <v>9338</v>
      </c>
      <c r="Q11992" t="s" s="16">
        <f>HYPERLINK("http://secrets.rutgers.edu:8080/data/asl-ftp/asllvd/demos/verify_start_end_handshape_annotations//test_auto_move//signs_mov/16518.mov","MOV")</f>
        <v>21</v>
      </c>
      <c r="R11992" t="s" s="16">
        <f>HYPERLINK("http://secrets.rutgers.edu:8080/data/asl-ftp/asllvd/demos/verify_start_end_handshape_annotations//test_auto_move//signs_mov_separ_signers/Brady_16518.mov","MOV")</f>
        <v>21</v>
      </c>
    </row>
    <row r="11993" s="2" customFormat="1" ht="13.5" customHeight="1">
      <c r="B11993" t="s" s="8">
        <v>4499</v>
      </c>
      <c r="C11993" t="s" s="9">
        <v>14</v>
      </c>
      <c r="D11993" t="s" s="8">
        <v>14</v>
      </c>
      <c r="E11993" t="s" s="9">
        <v>14</v>
      </c>
      <c r="F11993" t="s" s="10">
        <v>14</v>
      </c>
      <c r="G11993" t="s" s="11">
        <v>14</v>
      </c>
      <c r="H11993" t="s" s="10">
        <v>14</v>
      </c>
      <c r="I11993" t="s" s="11">
        <v>14</v>
      </c>
      <c r="J11993" t="s" s="11">
        <v>14</v>
      </c>
      <c r="K11993" t="s" s="12">
        <v>14</v>
      </c>
      <c r="L11993" t="s" s="12">
        <v>14</v>
      </c>
      <c r="M11993" t="s" s="10">
        <v>14</v>
      </c>
      <c r="N11993" t="s" s="11">
        <v>14</v>
      </c>
      <c r="O11993" t="s" s="8">
        <v>14</v>
      </c>
      <c r="P11993" t="s" s="8">
        <v>14</v>
      </c>
      <c r="Q11993" t="s" s="12">
        <v>14</v>
      </c>
      <c r="R11993" t="s" s="12">
        <v>14</v>
      </c>
    </row>
    <row r="11994" s="2" customFormat="1" ht="13.5" customHeight="1">
      <c r="B11994" s="13"/>
      <c r="C11994" t="s" s="9">
        <v>16</v>
      </c>
      <c r="D11994" t="s" s="8">
        <v>4500</v>
      </c>
      <c r="E11994" t="s" s="9">
        <v>4500</v>
      </c>
      <c r="F11994" t="s" s="10">
        <v>119</v>
      </c>
      <c r="G11994" t="s" s="11">
        <v>73</v>
      </c>
      <c r="H11994" t="s" s="10">
        <v>73</v>
      </c>
      <c r="I11994" t="s" s="11">
        <v>73</v>
      </c>
      <c r="J11994" t="s" s="11">
        <v>20</v>
      </c>
      <c r="K11994" s="15"/>
      <c r="L11994" t="s" s="16">
        <f>HYPERLINK("http://csr.bu.edu/ftp/asl/asllvd/demos/verify_start_end_handshape_annotations//test_auto_move//signs_mov_separ_signers/Liz_534.mov","MOV")</f>
        <v>21</v>
      </c>
      <c r="M11994" t="s" s="10">
        <v>84</v>
      </c>
      <c r="N11994" s="17">
        <v>4</v>
      </c>
      <c r="O11994" s="18">
        <v>1447</v>
      </c>
      <c r="P11994" s="18">
        <v>1518</v>
      </c>
      <c r="Q11994" s="15"/>
      <c r="R11994" t="s" s="16">
        <f>HYPERLINK("http://secrets.rutgers.edu:8080/data/asl-ftp/asllvd/demos/verify_start_end_handshape_annotations//test_auto_move//signs_mov_separ_signers/Liz_534.mov","MOV")</f>
        <v>21</v>
      </c>
    </row>
    <row r="11995" s="2" customFormat="1" ht="13.5" customHeight="1">
      <c r="B11995" s="13"/>
      <c r="C11995" t="s" s="9">
        <v>27</v>
      </c>
      <c r="D11995" t="s" s="8">
        <v>4500</v>
      </c>
      <c r="E11995" t="s" s="9">
        <v>4500</v>
      </c>
      <c r="F11995" t="s" s="10">
        <v>119</v>
      </c>
      <c r="G11995" t="s" s="11">
        <v>73</v>
      </c>
      <c r="H11995" t="s" s="10">
        <v>73</v>
      </c>
      <c r="I11995" t="s" s="11">
        <v>73</v>
      </c>
      <c r="J11995" t="s" s="11">
        <v>20</v>
      </c>
      <c r="K11995" t="s" s="16">
        <f>HYPERLINK("http://csr.bu.edu/ftp/asl/asllvd/demos/verify_start_end_handshape_annotations//test_auto_move//signs_mov/534.mov","MOV")</f>
        <v>21</v>
      </c>
      <c r="L11995" t="s" s="16">
        <f>HYPERLINK("http://csr.bu.edu/ftp/asl/asllvd/demos/verify_start_end_handshape_annotations//test_auto_move//signs_mov_separ_signers/Naomi_534.mov","MOV")</f>
        <v>21</v>
      </c>
      <c r="M11995" t="s" s="10">
        <v>86</v>
      </c>
      <c r="N11995" s="17">
        <v>4</v>
      </c>
      <c r="O11995" s="18">
        <v>1094</v>
      </c>
      <c r="P11995" s="18">
        <v>1145</v>
      </c>
      <c r="Q11995" t="s" s="16">
        <f>HYPERLINK("http://secrets.rutgers.edu:8080/data/asl-ftp/asllvd/demos/verify_start_end_handshape_annotations//test_auto_move//signs_mov/534.mov","MOV")</f>
        <v>21</v>
      </c>
      <c r="R11995" t="s" s="16">
        <f>HYPERLINK("http://secrets.rutgers.edu:8080/data/asl-ftp/asllvd/demos/verify_start_end_handshape_annotations//test_auto_move//signs_mov_separ_signers/Naomi_534.mov","MOV")</f>
        <v>21</v>
      </c>
    </row>
    <row r="11996" s="2" customFormat="1" ht="13.5" customHeight="1">
      <c r="B11996" s="13"/>
      <c r="C11996" t="s" s="9">
        <v>30</v>
      </c>
      <c r="D11996" t="s" s="8">
        <v>4500</v>
      </c>
      <c r="E11996" t="s" s="9">
        <v>4500</v>
      </c>
      <c r="F11996" t="s" s="10">
        <v>119</v>
      </c>
      <c r="G11996" t="s" s="11">
        <v>73</v>
      </c>
      <c r="H11996" t="s" s="10">
        <v>73</v>
      </c>
      <c r="I11996" t="s" s="11">
        <v>73</v>
      </c>
      <c r="J11996" t="s" s="11">
        <v>20</v>
      </c>
      <c r="K11996" s="15"/>
      <c r="L11996" t="s" s="16">
        <f>HYPERLINK("http://csr.bu.edu/ftp/asl/asllvd/demos/verify_start_end_handshape_annotations//test_auto_move//signs_mov_separ_signers/Brady_534.mov","MOV")</f>
        <v>21</v>
      </c>
      <c r="M11996" t="s" s="10">
        <v>39</v>
      </c>
      <c r="N11996" s="17">
        <v>3</v>
      </c>
      <c r="O11996" s="18">
        <v>9539</v>
      </c>
      <c r="P11996" s="18">
        <v>9567</v>
      </c>
      <c r="Q11996" s="15"/>
      <c r="R11996" t="s" s="16">
        <f>HYPERLINK("http://secrets.rutgers.edu:8080/data/asl-ftp/asllvd/demos/verify_start_end_handshape_annotations//test_auto_move//signs_mov_separ_signers/Brady_534.mov","MOV")</f>
        <v>21</v>
      </c>
    </row>
    <row r="11997" s="2" customFormat="1" ht="27.75" customHeight="1">
      <c r="B11997" t="s" s="8">
        <v>4501</v>
      </c>
      <c r="C11997" t="s" s="9">
        <v>14</v>
      </c>
      <c r="D11997" t="s" s="8">
        <v>14</v>
      </c>
      <c r="E11997" t="s" s="9">
        <v>14</v>
      </c>
      <c r="F11997" t="s" s="10">
        <v>14</v>
      </c>
      <c r="G11997" t="s" s="11">
        <v>14</v>
      </c>
      <c r="H11997" t="s" s="10">
        <v>14</v>
      </c>
      <c r="I11997" t="s" s="11">
        <v>14</v>
      </c>
      <c r="J11997" t="s" s="11">
        <v>14</v>
      </c>
      <c r="K11997" t="s" s="12">
        <v>14</v>
      </c>
      <c r="L11997" t="s" s="12">
        <v>14</v>
      </c>
      <c r="M11997" t="s" s="10">
        <v>14</v>
      </c>
      <c r="N11997" t="s" s="11">
        <v>14</v>
      </c>
      <c r="O11997" t="s" s="8">
        <v>14</v>
      </c>
      <c r="P11997" t="s" s="8">
        <v>14</v>
      </c>
      <c r="Q11997" t="s" s="12">
        <v>14</v>
      </c>
      <c r="R11997" t="s" s="12">
        <v>14</v>
      </c>
    </row>
    <row r="11998" s="2" customFormat="1" ht="27.75" customHeight="1">
      <c r="B11998" s="13"/>
      <c r="C11998" t="s" s="9">
        <v>30</v>
      </c>
      <c r="D11998" t="s" s="8">
        <v>4502</v>
      </c>
      <c r="E11998" t="s" s="9">
        <v>4503</v>
      </c>
      <c r="F11998" t="s" s="10">
        <v>240</v>
      </c>
      <c r="G11998" t="s" s="11">
        <v>240</v>
      </c>
      <c r="H11998" t="s" s="10">
        <v>344</v>
      </c>
      <c r="I11998" t="s" s="11">
        <v>344</v>
      </c>
      <c r="J11998" t="s" s="11">
        <v>20</v>
      </c>
      <c r="K11998" t="s" s="16">
        <f>HYPERLINK("http://csr.bu.edu/ftp/asl/asllvd/demos/verify_start_end_handshape_annotations//test_auto_move//signs_mov/552.mov","MOV")</f>
        <v>21</v>
      </c>
      <c r="L11998" t="s" s="16">
        <f>HYPERLINK("http://csr.bu.edu/ftp/asl/asllvd/demos/verify_start_end_handshape_annotations//test_auto_move//signs_mov_separ_signers/Brady_552.mov","MOV")</f>
        <v>21</v>
      </c>
      <c r="M11998" t="s" s="10">
        <v>39</v>
      </c>
      <c r="N11998" s="17">
        <v>3</v>
      </c>
      <c r="O11998" s="18">
        <v>9782</v>
      </c>
      <c r="P11998" s="18">
        <v>9815</v>
      </c>
      <c r="Q11998" t="s" s="16">
        <f>HYPERLINK("http://secrets.rutgers.edu:8080/data/asl-ftp/asllvd/demos/verify_start_end_handshape_annotations//test_auto_move//signs_mov/552.mov","MOV")</f>
        <v>21</v>
      </c>
      <c r="R11998" t="s" s="16">
        <f>HYPERLINK("http://secrets.rutgers.edu:8080/data/asl-ftp/asllvd/demos/verify_start_end_handshape_annotations//test_auto_move//signs_mov_separ_signers/Brady_552.mov","MOV")</f>
        <v>21</v>
      </c>
    </row>
    <row r="11999" s="2" customFormat="1" ht="13.5" customHeight="1">
      <c r="B11999" t="s" s="8">
        <v>52</v>
      </c>
      <c r="C11999" t="s" s="9">
        <v>53</v>
      </c>
      <c r="D11999" t="s" s="8">
        <v>53</v>
      </c>
      <c r="E11999" t="s" s="9">
        <v>53</v>
      </c>
      <c r="F11999" t="s" s="10">
        <v>53</v>
      </c>
      <c r="G11999" t="s" s="11">
        <v>53</v>
      </c>
      <c r="H11999" t="s" s="10">
        <v>53</v>
      </c>
      <c r="I11999" t="s" s="11">
        <v>53</v>
      </c>
      <c r="J11999" t="s" s="11">
        <v>53</v>
      </c>
      <c r="K11999" t="s" s="12">
        <v>53</v>
      </c>
      <c r="L11999" t="s" s="12">
        <v>53</v>
      </c>
      <c r="M11999" t="s" s="10">
        <v>53</v>
      </c>
      <c r="N11999" t="s" s="11">
        <v>53</v>
      </c>
      <c r="O11999" t="s" s="8">
        <v>53</v>
      </c>
      <c r="P11999" t="s" s="8">
        <v>53</v>
      </c>
      <c r="Q11999" t="s" s="12">
        <v>53</v>
      </c>
      <c r="R11999" t="s" s="12">
        <v>53</v>
      </c>
    </row>
    <row r="12000" s="2" customFormat="1" ht="27.75" customHeight="1">
      <c r="B12000" s="13"/>
      <c r="C12000" t="s" s="9">
        <v>16</v>
      </c>
      <c r="D12000" t="s" s="8">
        <v>4502</v>
      </c>
      <c r="E12000" t="s" s="9">
        <v>4502</v>
      </c>
      <c r="F12000" t="s" s="10">
        <v>240</v>
      </c>
      <c r="G12000" t="s" s="11">
        <v>240</v>
      </c>
      <c r="H12000" t="s" s="10">
        <v>150</v>
      </c>
      <c r="I12000" t="s" s="11">
        <v>150</v>
      </c>
      <c r="J12000" t="s" s="11">
        <v>20</v>
      </c>
      <c r="K12000" t="s" s="16">
        <f>HYPERLINK("http://csr.bu.edu/ftp/asl/asllvd/demos/verify_start_end_handshape_annotations//test_auto_move//signs_mov/5848.mov","MOV")</f>
        <v>21</v>
      </c>
      <c r="L12000" t="s" s="16">
        <f>HYPERLINK("http://csr.bu.edu/ftp/asl/asllvd/demos/verify_start_end_handshape_annotations//test_auto_move//signs_mov_separ_signers/Liz_5848.mov","MOV")</f>
        <v>21</v>
      </c>
      <c r="M12000" t="s" s="10">
        <v>84</v>
      </c>
      <c r="N12000" s="17">
        <v>6</v>
      </c>
      <c r="O12000" s="18">
        <v>1420</v>
      </c>
      <c r="P12000" s="18">
        <v>1501</v>
      </c>
      <c r="Q12000" t="s" s="16">
        <f>HYPERLINK("http://secrets.rutgers.edu:8080/data/asl-ftp/asllvd/demos/verify_start_end_handshape_annotations//test_auto_move//signs_mov/5848.mov","MOV")</f>
        <v>21</v>
      </c>
      <c r="R12000" t="s" s="16">
        <f>HYPERLINK("http://secrets.rutgers.edu:8080/data/asl-ftp/asllvd/demos/verify_start_end_handshape_annotations//test_auto_move//signs_mov_separ_signers/Liz_5848.mov","MOV")</f>
        <v>21</v>
      </c>
    </row>
    <row r="12001" s="2" customFormat="1" ht="27.75" customHeight="1">
      <c r="B12001" s="13"/>
      <c r="C12001" t="s" s="9">
        <v>27</v>
      </c>
      <c r="D12001" t="s" s="8">
        <v>4502</v>
      </c>
      <c r="E12001" t="s" s="9">
        <v>4502</v>
      </c>
      <c r="F12001" t="s" s="10">
        <v>344</v>
      </c>
      <c r="G12001" t="s" s="11">
        <v>341</v>
      </c>
      <c r="H12001" t="s" s="10">
        <v>150</v>
      </c>
      <c r="I12001" t="s" s="11">
        <v>150</v>
      </c>
      <c r="J12001" t="s" s="11">
        <v>20</v>
      </c>
      <c r="K12001" s="15"/>
      <c r="L12001" t="s" s="16">
        <f>HYPERLINK("http://csr.bu.edu/ftp/asl/asllvd/demos/verify_start_end_handshape_annotations//test_auto_move//signs_mov_separ_signers/Naomi_5848.mov","MOV")</f>
        <v>21</v>
      </c>
      <c r="M12001" t="s" s="10">
        <v>86</v>
      </c>
      <c r="N12001" s="17">
        <v>6</v>
      </c>
      <c r="O12001" s="18">
        <v>645</v>
      </c>
      <c r="P12001" s="18">
        <v>699</v>
      </c>
      <c r="Q12001" s="15"/>
      <c r="R12001" t="s" s="16">
        <f>HYPERLINK("http://secrets.rutgers.edu:8080/data/asl-ftp/asllvd/demos/verify_start_end_handshape_annotations//test_auto_move//signs_mov_separ_signers/Naomi_5848.mov","MOV")</f>
        <v>21</v>
      </c>
    </row>
    <row r="12002" s="2" customFormat="1" ht="13.5" customHeight="1">
      <c r="B12002" t="s" s="8">
        <v>4504</v>
      </c>
      <c r="C12002" t="s" s="9">
        <v>14</v>
      </c>
      <c r="D12002" t="s" s="8">
        <v>14</v>
      </c>
      <c r="E12002" t="s" s="9">
        <v>14</v>
      </c>
      <c r="F12002" t="s" s="10">
        <v>14</v>
      </c>
      <c r="G12002" t="s" s="11">
        <v>14</v>
      </c>
      <c r="H12002" t="s" s="10">
        <v>14</v>
      </c>
      <c r="I12002" t="s" s="11">
        <v>14</v>
      </c>
      <c r="J12002" t="s" s="11">
        <v>14</v>
      </c>
      <c r="K12002" t="s" s="12">
        <v>14</v>
      </c>
      <c r="L12002" t="s" s="12">
        <v>14</v>
      </c>
      <c r="M12002" t="s" s="10">
        <v>14</v>
      </c>
      <c r="N12002" t="s" s="11">
        <v>14</v>
      </c>
      <c r="O12002" t="s" s="8">
        <v>14</v>
      </c>
      <c r="P12002" t="s" s="8">
        <v>14</v>
      </c>
      <c r="Q12002" t="s" s="12">
        <v>14</v>
      </c>
      <c r="R12002" t="s" s="12">
        <v>14</v>
      </c>
    </row>
    <row r="12003" s="2" customFormat="1" ht="13.5" customHeight="1">
      <c r="B12003" s="13"/>
      <c r="C12003" t="s" s="9">
        <v>16</v>
      </c>
      <c r="D12003" t="s" s="8">
        <v>4504</v>
      </c>
      <c r="E12003" t="s" s="9">
        <v>4504</v>
      </c>
      <c r="F12003" t="s" s="10">
        <v>282</v>
      </c>
      <c r="G12003" t="s" s="11">
        <v>282</v>
      </c>
      <c r="H12003" t="s" s="10">
        <v>73</v>
      </c>
      <c r="I12003" t="s" s="11">
        <v>73</v>
      </c>
      <c r="J12003" t="s" s="11">
        <v>20</v>
      </c>
      <c r="K12003" s="15"/>
      <c r="L12003" t="s" s="16">
        <f>HYPERLINK("http://csr.bu.edu/ftp/asl/asllvd/demos/verify_start_end_handshape_annotations//test_auto_move//signs_mov_separ_signers/Liz_561.mov","MOV")</f>
        <v>21</v>
      </c>
      <c r="M12003" t="s" s="10">
        <v>84</v>
      </c>
      <c r="N12003" s="17">
        <v>7</v>
      </c>
      <c r="O12003" s="18">
        <v>1165</v>
      </c>
      <c r="P12003" s="18">
        <v>1260</v>
      </c>
      <c r="Q12003" s="15"/>
      <c r="R12003" t="s" s="16">
        <f>HYPERLINK("http://secrets.rutgers.edu:8080/data/asl-ftp/asllvd/demos/verify_start_end_handshape_annotations//test_auto_move//signs_mov_separ_signers/Liz_561.mov","MOV")</f>
        <v>21</v>
      </c>
    </row>
    <row r="12004" s="2" customFormat="1" ht="13.5" customHeight="1">
      <c r="B12004" s="13"/>
      <c r="C12004" t="s" s="9">
        <v>27</v>
      </c>
      <c r="D12004" t="s" s="8">
        <v>4504</v>
      </c>
      <c r="E12004" t="s" s="9">
        <v>4504</v>
      </c>
      <c r="F12004" t="s" s="10">
        <v>282</v>
      </c>
      <c r="G12004" t="s" s="11">
        <v>282</v>
      </c>
      <c r="H12004" t="s" s="10">
        <v>73</v>
      </c>
      <c r="I12004" t="s" s="11">
        <v>73</v>
      </c>
      <c r="J12004" t="s" s="11">
        <v>20</v>
      </c>
      <c r="K12004" t="s" s="16">
        <f>HYPERLINK("http://csr.bu.edu/ftp/asl/asllvd/demos/verify_start_end_handshape_annotations//test_auto_move//signs_mov/561.mov","MOV")</f>
        <v>21</v>
      </c>
      <c r="L12004" t="s" s="16">
        <f>HYPERLINK("http://csr.bu.edu/ftp/asl/asllvd/demos/verify_start_end_handshape_annotations//test_auto_move//signs_mov_separ_signers/Naomi_561.mov","MOV")</f>
        <v>21</v>
      </c>
      <c r="M12004" t="s" s="10">
        <v>86</v>
      </c>
      <c r="N12004" s="17">
        <v>7</v>
      </c>
      <c r="O12004" s="18">
        <v>565</v>
      </c>
      <c r="P12004" s="18">
        <v>620</v>
      </c>
      <c r="Q12004" t="s" s="16">
        <f>HYPERLINK("http://secrets.rutgers.edu:8080/data/asl-ftp/asllvd/demos/verify_start_end_handshape_annotations//test_auto_move//signs_mov/561.mov","MOV")</f>
        <v>21</v>
      </c>
      <c r="R12004" t="s" s="16">
        <f>HYPERLINK("http://secrets.rutgers.edu:8080/data/asl-ftp/asllvd/demos/verify_start_end_handshape_annotations//test_auto_move//signs_mov_separ_signers/Naomi_561.mov","MOV")</f>
        <v>21</v>
      </c>
    </row>
    <row r="12005" s="2" customFormat="1" ht="13.5" customHeight="1">
      <c r="B12005" s="13"/>
      <c r="C12005" t="s" s="9">
        <v>30</v>
      </c>
      <c r="D12005" t="s" s="8">
        <v>4504</v>
      </c>
      <c r="E12005" t="s" s="9">
        <v>4504</v>
      </c>
      <c r="F12005" t="s" s="10">
        <v>282</v>
      </c>
      <c r="G12005" t="s" s="11">
        <v>282</v>
      </c>
      <c r="H12005" t="s" s="10">
        <v>55</v>
      </c>
      <c r="I12005" t="s" s="11">
        <v>55</v>
      </c>
      <c r="J12005" t="s" s="11">
        <v>20</v>
      </c>
      <c r="K12005" s="15"/>
      <c r="L12005" t="s" s="16">
        <f>HYPERLINK("http://csr.bu.edu/ftp/asl/asllvd/demos/verify_start_end_handshape_annotations//test_auto_move//signs_mov_separ_signers/Brady_561.mov","MOV")</f>
        <v>21</v>
      </c>
      <c r="M12005" t="s" s="10">
        <v>39</v>
      </c>
      <c r="N12005" s="17">
        <v>3</v>
      </c>
      <c r="O12005" s="18">
        <v>10100</v>
      </c>
      <c r="P12005" s="18">
        <v>10146</v>
      </c>
      <c r="Q12005" s="15"/>
      <c r="R12005" t="s" s="16">
        <f>HYPERLINK("http://secrets.rutgers.edu:8080/data/asl-ftp/asllvd/demos/verify_start_end_handshape_annotations//test_auto_move//signs_mov_separ_signers/Brady_561.mov","MOV")</f>
        <v>21</v>
      </c>
    </row>
    <row r="12006" s="2" customFormat="1" ht="13.5" customHeight="1">
      <c r="B12006" t="s" s="8">
        <v>4505</v>
      </c>
      <c r="C12006" t="s" s="9">
        <v>14</v>
      </c>
      <c r="D12006" t="s" s="8">
        <v>14</v>
      </c>
      <c r="E12006" t="s" s="9">
        <v>14</v>
      </c>
      <c r="F12006" t="s" s="10">
        <v>14</v>
      </c>
      <c r="G12006" t="s" s="11">
        <v>14</v>
      </c>
      <c r="H12006" t="s" s="10">
        <v>14</v>
      </c>
      <c r="I12006" t="s" s="11">
        <v>14</v>
      </c>
      <c r="J12006" t="s" s="11">
        <v>14</v>
      </c>
      <c r="K12006" t="s" s="12">
        <v>14</v>
      </c>
      <c r="L12006" t="s" s="12">
        <v>14</v>
      </c>
      <c r="M12006" t="s" s="10">
        <v>14</v>
      </c>
      <c r="N12006" t="s" s="11">
        <v>14</v>
      </c>
      <c r="O12006" t="s" s="8">
        <v>14</v>
      </c>
      <c r="P12006" t="s" s="8">
        <v>14</v>
      </c>
      <c r="Q12006" t="s" s="12">
        <v>14</v>
      </c>
      <c r="R12006" t="s" s="12">
        <v>14</v>
      </c>
    </row>
    <row r="12007" s="2" customFormat="1" ht="13.5" customHeight="1">
      <c r="B12007" s="13"/>
      <c r="C12007" t="s" s="9">
        <v>23</v>
      </c>
      <c r="D12007" t="s" s="8">
        <v>4505</v>
      </c>
      <c r="E12007" t="s" s="9">
        <v>4505</v>
      </c>
      <c r="F12007" t="s" s="10">
        <v>282</v>
      </c>
      <c r="G12007" t="s" s="11">
        <v>282</v>
      </c>
      <c r="H12007" t="s" s="10">
        <v>73</v>
      </c>
      <c r="I12007" t="s" s="11">
        <v>73</v>
      </c>
      <c r="J12007" t="s" s="11">
        <v>20</v>
      </c>
      <c r="K12007" t="s" s="16">
        <f>HYPERLINK("http://csr.bu.edu/ftp/asl/asllvd/demos/verify_start_end_handshape_annotations//test_auto_move//signs_mov/4635.mov","MOV")</f>
        <v>21</v>
      </c>
      <c r="L12007" t="s" s="16">
        <f>HYPERLINK("http://csr.bu.edu/ftp/asl/asllvd/demos/verify_start_end_handshape_annotations//test_auto_move//signs_mov_separ_signers/Tyler_4635.mov","MOV")</f>
        <v>21</v>
      </c>
      <c r="M12007" t="s" s="10">
        <v>125</v>
      </c>
      <c r="N12007" s="17">
        <v>7</v>
      </c>
      <c r="O12007" s="18">
        <v>291</v>
      </c>
      <c r="P12007" s="18">
        <v>355</v>
      </c>
      <c r="Q12007" t="s" s="16">
        <f>HYPERLINK("http://secrets.rutgers.edu:8080/data/asl-ftp/asllvd/demos/verify_start_end_handshape_annotations//test_auto_move//signs_mov/4635.mov","MOV")</f>
        <v>21</v>
      </c>
      <c r="R12007" t="s" s="16">
        <f>HYPERLINK("http://secrets.rutgers.edu:8080/data/asl-ftp/asllvd/demos/verify_start_end_handshape_annotations//test_auto_move//signs_mov_separ_signers/Tyler_4635.mov","MOV")</f>
        <v>21</v>
      </c>
    </row>
    <row r="12008" s="2" customFormat="1" ht="13.5" customHeight="1">
      <c r="B12008" t="s" s="8">
        <v>4506</v>
      </c>
      <c r="C12008" t="s" s="9">
        <v>14</v>
      </c>
      <c r="D12008" t="s" s="8">
        <v>14</v>
      </c>
      <c r="E12008" t="s" s="9">
        <v>14</v>
      </c>
      <c r="F12008" t="s" s="10">
        <v>14</v>
      </c>
      <c r="G12008" t="s" s="11">
        <v>14</v>
      </c>
      <c r="H12008" t="s" s="10">
        <v>14</v>
      </c>
      <c r="I12008" t="s" s="11">
        <v>14</v>
      </c>
      <c r="J12008" t="s" s="11">
        <v>14</v>
      </c>
      <c r="K12008" t="s" s="12">
        <v>14</v>
      </c>
      <c r="L12008" t="s" s="12">
        <v>14</v>
      </c>
      <c r="M12008" t="s" s="10">
        <v>14</v>
      </c>
      <c r="N12008" t="s" s="11">
        <v>14</v>
      </c>
      <c r="O12008" t="s" s="8">
        <v>14</v>
      </c>
      <c r="P12008" t="s" s="8">
        <v>14</v>
      </c>
      <c r="Q12008" t="s" s="12">
        <v>14</v>
      </c>
      <c r="R12008" t="s" s="12">
        <v>14</v>
      </c>
    </row>
    <row r="12009" s="2" customFormat="1" ht="13.5" customHeight="1">
      <c r="B12009" s="13"/>
      <c r="C12009" t="s" s="9">
        <v>16</v>
      </c>
      <c r="D12009" t="s" s="8">
        <v>4507</v>
      </c>
      <c r="E12009" t="s" s="9">
        <v>4507</v>
      </c>
      <c r="F12009" t="s" s="10">
        <v>406</v>
      </c>
      <c r="G12009" s="14"/>
      <c r="H12009" t="s" s="10">
        <v>109</v>
      </c>
      <c r="I12009" t="s" s="11">
        <v>109</v>
      </c>
      <c r="J12009" t="s" s="11">
        <v>20</v>
      </c>
      <c r="K12009" s="15"/>
      <c r="L12009" t="s" s="16">
        <f>HYPERLINK("http://csr.bu.edu/ftp/asl/asllvd/demos/verify_start_end_handshape_annotations//test_auto_move//signs_mov_separ_signers/Liz_579.mov","MOV")</f>
        <v>21</v>
      </c>
      <c r="M12009" t="s" s="10">
        <v>84</v>
      </c>
      <c r="N12009" s="17">
        <v>8</v>
      </c>
      <c r="O12009" s="18">
        <v>3616</v>
      </c>
      <c r="P12009" s="18">
        <v>3690</v>
      </c>
      <c r="Q12009" s="15"/>
      <c r="R12009" t="s" s="16">
        <f>HYPERLINK("http://secrets.rutgers.edu:8080/data/asl-ftp/asllvd/demos/verify_start_end_handshape_annotations//test_auto_move//signs_mov_separ_signers/Liz_579.mov","MOV")</f>
        <v>21</v>
      </c>
    </row>
    <row r="12010" s="2" customFormat="1" ht="13.5" customHeight="1">
      <c r="B12010" s="13"/>
      <c r="C12010" t="s" s="9">
        <v>16</v>
      </c>
      <c r="D12010" t="s" s="8">
        <v>4507</v>
      </c>
      <c r="E12010" t="s" s="9">
        <v>4507</v>
      </c>
      <c r="F12010" s="19">
        <v>5</v>
      </c>
      <c r="G12010" s="14"/>
      <c r="H12010" s="19">
        <v>5</v>
      </c>
      <c r="I12010" s="17">
        <v>5</v>
      </c>
      <c r="J12010" t="s" s="11">
        <v>20</v>
      </c>
      <c r="K12010" s="15"/>
      <c r="L12010" t="s" s="16">
        <f>HYPERLINK("http://csr.bu.edu/ftp/asl/asllvd/demos/verify_start_end_handshape_annotations//test_auto_move//signs_mov_separ_signers/Liz_5695.mov","MOV")</f>
        <v>21</v>
      </c>
      <c r="M12010" t="s" s="10">
        <v>84</v>
      </c>
      <c r="N12010" s="17">
        <v>45</v>
      </c>
      <c r="O12010" s="18">
        <v>1132</v>
      </c>
      <c r="P12010" s="18">
        <v>1187</v>
      </c>
      <c r="Q12010" s="15"/>
      <c r="R12010" t="s" s="16">
        <f>HYPERLINK("http://secrets.rutgers.edu:8080/data/asl-ftp/asllvd/demos/verify_start_end_handshape_annotations//test_auto_move//signs_mov_separ_signers/Liz_5695.mov","MOV")</f>
        <v>21</v>
      </c>
    </row>
    <row r="12011" s="2" customFormat="1" ht="13.5" customHeight="1">
      <c r="B12011" s="13"/>
      <c r="C12011" t="s" s="9">
        <v>27</v>
      </c>
      <c r="D12011" t="s" s="8">
        <v>4507</v>
      </c>
      <c r="E12011" t="s" s="9">
        <v>4507</v>
      </c>
      <c r="F12011" t="s" s="10">
        <v>406</v>
      </c>
      <c r="G12011" s="17">
        <v>5</v>
      </c>
      <c r="H12011" s="19">
        <v>5</v>
      </c>
      <c r="I12011" s="17">
        <v>5</v>
      </c>
      <c r="J12011" t="s" s="11">
        <v>20</v>
      </c>
      <c r="K12011" t="s" s="16">
        <f>HYPERLINK("http://csr.bu.edu/ftp/asl/asllvd/demos/verify_start_end_handshape_annotations//test_auto_move//signs_mov/579_5695_merged.mov","MOV")</f>
        <v>21</v>
      </c>
      <c r="L12011" t="s" s="16">
        <f>HYPERLINK("http://csr.bu.edu/ftp/asl/asllvd/demos/verify_start_end_handshape_annotations//test_auto_move//signs_mov_separ_signers/Naomi_579.mov","MOV")</f>
        <v>21</v>
      </c>
      <c r="M12011" t="s" s="10">
        <v>86</v>
      </c>
      <c r="N12011" s="17">
        <v>8</v>
      </c>
      <c r="O12011" s="18">
        <v>4883</v>
      </c>
      <c r="P12011" s="18">
        <v>4931</v>
      </c>
      <c r="Q12011" t="s" s="16">
        <f>HYPERLINK("http://secrets.rutgers.edu:8080/data/asl-ftp/asllvd/demos/verify_start_end_handshape_annotations//test_auto_move//signs_mov/579_5695_merged.mov","MOV")</f>
        <v>21</v>
      </c>
      <c r="R12011" t="s" s="16">
        <f>HYPERLINK("http://secrets.rutgers.edu:8080/data/asl-ftp/asllvd/demos/verify_start_end_handshape_annotations//test_auto_move//signs_mov_separ_signers/Naomi_579.mov","MOV")</f>
        <v>21</v>
      </c>
    </row>
    <row r="12012" s="2" customFormat="1" ht="13.5" customHeight="1">
      <c r="B12012" s="13"/>
      <c r="C12012" t="s" s="9">
        <v>27</v>
      </c>
      <c r="D12012" t="s" s="8">
        <v>4507</v>
      </c>
      <c r="E12012" t="s" s="9">
        <v>4507</v>
      </c>
      <c r="F12012" t="s" s="10">
        <v>406</v>
      </c>
      <c r="G12012" s="17">
        <v>5</v>
      </c>
      <c r="H12012" s="19">
        <v>5</v>
      </c>
      <c r="I12012" s="17">
        <v>5</v>
      </c>
      <c r="J12012" t="s" s="11">
        <v>20</v>
      </c>
      <c r="K12012" s="15"/>
      <c r="L12012" t="s" s="16">
        <f>HYPERLINK("http://csr.bu.edu/ftp/asl/asllvd/demos/verify_start_end_handshape_annotations//test_auto_move//signs_mov_separ_signers/Naomi_5695.mov","MOV")</f>
        <v>21</v>
      </c>
      <c r="M12012" t="s" s="10">
        <v>86</v>
      </c>
      <c r="N12012" s="17">
        <v>45</v>
      </c>
      <c r="O12012" s="18">
        <v>1083</v>
      </c>
      <c r="P12012" s="18">
        <v>1130</v>
      </c>
      <c r="Q12012" s="15"/>
      <c r="R12012" t="s" s="16">
        <f>HYPERLINK("http://secrets.rutgers.edu:8080/data/asl-ftp/asllvd/demos/verify_start_end_handshape_annotations//test_auto_move//signs_mov_separ_signers/Naomi_5695.mov","MOV")</f>
        <v>21</v>
      </c>
    </row>
    <row r="12013" s="2" customFormat="1" ht="13.5" customHeight="1">
      <c r="B12013" s="13"/>
      <c r="C12013" t="s" s="9">
        <v>30</v>
      </c>
      <c r="D12013" t="s" s="8">
        <v>4507</v>
      </c>
      <c r="E12013" t="s" s="9">
        <v>4507</v>
      </c>
      <c r="F12013" t="s" s="10">
        <v>406</v>
      </c>
      <c r="G12013" s="17">
        <v>5</v>
      </c>
      <c r="H12013" s="19">
        <v>5</v>
      </c>
      <c r="I12013" s="17">
        <v>5</v>
      </c>
      <c r="J12013" t="s" s="11">
        <v>20</v>
      </c>
      <c r="K12013" s="15"/>
      <c r="L12013" t="s" s="16">
        <f>HYPERLINK("http://csr.bu.edu/ftp/asl/asllvd/demos/verify_start_end_handshape_annotations//test_auto_move//signs_mov_separ_signers/Brady_579.mov","MOV")</f>
        <v>21</v>
      </c>
      <c r="M12013" t="s" s="10">
        <v>39</v>
      </c>
      <c r="N12013" s="17">
        <v>3</v>
      </c>
      <c r="O12013" s="18">
        <v>10428</v>
      </c>
      <c r="P12013" s="18">
        <v>10464</v>
      </c>
      <c r="Q12013" s="15"/>
      <c r="R12013" t="s" s="16">
        <f>HYPERLINK("http://secrets.rutgers.edu:8080/data/asl-ftp/asllvd/demos/verify_start_end_handshape_annotations//test_auto_move//signs_mov_separ_signers/Brady_579.mov","MOV")</f>
        <v>21</v>
      </c>
    </row>
    <row r="12014" s="2" customFormat="1" ht="13.5" customHeight="1">
      <c r="B12014" s="13"/>
      <c r="C12014" t="s" s="9">
        <v>30</v>
      </c>
      <c r="D12014" t="s" s="8">
        <v>4507</v>
      </c>
      <c r="E12014" t="s" s="9">
        <v>4507</v>
      </c>
      <c r="F12014" t="s" s="10">
        <v>406</v>
      </c>
      <c r="G12014" s="14"/>
      <c r="H12014" s="19">
        <v>5</v>
      </c>
      <c r="I12014" s="14"/>
      <c r="J12014" t="s" s="11">
        <v>20</v>
      </c>
      <c r="K12014" s="15"/>
      <c r="L12014" t="s" s="16">
        <f>HYPERLINK("http://csr.bu.edu/ftp/asl/asllvd/demos/verify_start_end_handshape_annotations//test_auto_move//signs_mov_separ_signers/Brady_5695.mov","MOV")</f>
        <v>21</v>
      </c>
      <c r="M12014" t="s" s="10">
        <v>39</v>
      </c>
      <c r="N12014" s="17">
        <v>20</v>
      </c>
      <c r="O12014" s="18">
        <v>3496</v>
      </c>
      <c r="P12014" s="18">
        <v>3535</v>
      </c>
      <c r="Q12014" s="15"/>
      <c r="R12014" t="s" s="16">
        <f>HYPERLINK("http://secrets.rutgers.edu:8080/data/asl-ftp/asllvd/demos/verify_start_end_handshape_annotations//test_auto_move//signs_mov_separ_signers/Brady_5695.mov","MOV")</f>
        <v>21</v>
      </c>
    </row>
    <row r="12015" s="2" customFormat="1" ht="13.5" customHeight="1">
      <c r="B12015" t="s" s="8">
        <v>4508</v>
      </c>
      <c r="C12015" t="s" s="9">
        <v>14</v>
      </c>
      <c r="D12015" t="s" s="8">
        <v>14</v>
      </c>
      <c r="E12015" t="s" s="9">
        <v>14</v>
      </c>
      <c r="F12015" t="s" s="10">
        <v>14</v>
      </c>
      <c r="G12015" t="s" s="11">
        <v>14</v>
      </c>
      <c r="H12015" t="s" s="10">
        <v>14</v>
      </c>
      <c r="I12015" t="s" s="11">
        <v>14</v>
      </c>
      <c r="J12015" t="s" s="11">
        <v>14</v>
      </c>
      <c r="K12015" t="s" s="12">
        <v>14</v>
      </c>
      <c r="L12015" t="s" s="12">
        <v>14</v>
      </c>
      <c r="M12015" t="s" s="10">
        <v>14</v>
      </c>
      <c r="N12015" t="s" s="11">
        <v>14</v>
      </c>
      <c r="O12015" t="s" s="8">
        <v>14</v>
      </c>
      <c r="P12015" t="s" s="8">
        <v>14</v>
      </c>
      <c r="Q12015" t="s" s="12">
        <v>14</v>
      </c>
      <c r="R12015" t="s" s="12">
        <v>14</v>
      </c>
    </row>
    <row r="12016" s="2" customFormat="1" ht="13.5" customHeight="1">
      <c r="B12016" s="13"/>
      <c r="C12016" t="s" s="9">
        <v>16</v>
      </c>
      <c r="D12016" t="s" s="8">
        <v>4508</v>
      </c>
      <c r="E12016" t="s" s="9">
        <v>4508</v>
      </c>
      <c r="F12016" s="19">
        <v>1</v>
      </c>
      <c r="G12016" s="14"/>
      <c r="H12016" t="s" s="10">
        <v>55</v>
      </c>
      <c r="I12016" t="s" s="11">
        <v>55</v>
      </c>
      <c r="J12016" t="s" s="11">
        <v>20</v>
      </c>
      <c r="K12016" t="s" s="16">
        <f>HYPERLINK("http://csr.bu.edu/ftp/asl/asllvd/demos/verify_start_end_handshape_annotations//test_auto_move//signs_mov/619.mov","MOV")</f>
        <v>21</v>
      </c>
      <c r="L12016" t="s" s="16">
        <f>HYPERLINK("http://csr.bu.edu/ftp/asl/asllvd/demos/verify_start_end_handshape_annotations//test_auto_move//signs_mov_separ_signers/Liz_619.mov","MOV")</f>
        <v>21</v>
      </c>
      <c r="M12016" t="s" s="10">
        <v>84</v>
      </c>
      <c r="N12016" s="17">
        <v>12</v>
      </c>
      <c r="O12016" s="18">
        <v>2555</v>
      </c>
      <c r="P12016" s="18">
        <v>2625</v>
      </c>
      <c r="Q12016" t="s" s="16">
        <f>HYPERLINK("http://secrets.rutgers.edu:8080/data/asl-ftp/asllvd/demos/verify_start_end_handshape_annotations//test_auto_move//signs_mov/619.mov","MOV")</f>
        <v>21</v>
      </c>
      <c r="R12016" t="s" s="16">
        <f>HYPERLINK("http://secrets.rutgers.edu:8080/data/asl-ftp/asllvd/demos/verify_start_end_handshape_annotations//test_auto_move//signs_mov_separ_signers/Liz_619.mov","MOV")</f>
        <v>21</v>
      </c>
    </row>
    <row r="12017" s="2" customFormat="1" ht="13.5" customHeight="1">
      <c r="B12017" s="13"/>
      <c r="C12017" t="s" s="9">
        <v>27</v>
      </c>
      <c r="D12017" t="s" s="8">
        <v>4508</v>
      </c>
      <c r="E12017" t="s" s="9">
        <v>4508</v>
      </c>
      <c r="F12017" s="19">
        <v>1</v>
      </c>
      <c r="G12017" t="s" s="11">
        <v>55</v>
      </c>
      <c r="H12017" t="s" s="10">
        <v>55</v>
      </c>
      <c r="I12017" t="s" s="11">
        <v>55</v>
      </c>
      <c r="J12017" t="s" s="11">
        <v>20</v>
      </c>
      <c r="K12017" s="15"/>
      <c r="L12017" t="s" s="16">
        <f>HYPERLINK("http://csr.bu.edu/ftp/asl/asllvd/demos/verify_start_end_handshape_annotations//test_auto_move//signs_mov_separ_signers/Naomi_619.mov","MOV")</f>
        <v>21</v>
      </c>
      <c r="M12017" t="s" s="10">
        <v>86</v>
      </c>
      <c r="N12017" s="17">
        <v>12</v>
      </c>
      <c r="O12017" s="18">
        <v>2762</v>
      </c>
      <c r="P12017" s="18">
        <v>2795</v>
      </c>
      <c r="Q12017" s="15"/>
      <c r="R12017" t="s" s="16">
        <f>HYPERLINK("http://secrets.rutgers.edu:8080/data/asl-ftp/asllvd/demos/verify_start_end_handshape_annotations//test_auto_move//signs_mov_separ_signers/Naomi_619.mov","MOV")</f>
        <v>21</v>
      </c>
    </row>
    <row r="12018" s="2" customFormat="1" ht="13.5" customHeight="1">
      <c r="B12018" t="s" s="8">
        <v>4509</v>
      </c>
      <c r="C12018" t="s" s="9">
        <v>14</v>
      </c>
      <c r="D12018" t="s" s="8">
        <v>14</v>
      </c>
      <c r="E12018" t="s" s="9">
        <v>14</v>
      </c>
      <c r="F12018" t="s" s="10">
        <v>14</v>
      </c>
      <c r="G12018" t="s" s="11">
        <v>14</v>
      </c>
      <c r="H12018" t="s" s="10">
        <v>14</v>
      </c>
      <c r="I12018" t="s" s="11">
        <v>14</v>
      </c>
      <c r="J12018" t="s" s="11">
        <v>14</v>
      </c>
      <c r="K12018" t="s" s="12">
        <v>14</v>
      </c>
      <c r="L12018" t="s" s="12">
        <v>14</v>
      </c>
      <c r="M12018" t="s" s="10">
        <v>14</v>
      </c>
      <c r="N12018" t="s" s="11">
        <v>14</v>
      </c>
      <c r="O12018" t="s" s="8">
        <v>14</v>
      </c>
      <c r="P12018" t="s" s="8">
        <v>14</v>
      </c>
      <c r="Q12018" t="s" s="12">
        <v>14</v>
      </c>
      <c r="R12018" t="s" s="12">
        <v>14</v>
      </c>
    </row>
    <row r="12019" s="2" customFormat="1" ht="13.5" customHeight="1">
      <c r="B12019" s="13"/>
      <c r="C12019" t="s" s="9">
        <v>16</v>
      </c>
      <c r="D12019" t="s" s="8">
        <v>4509</v>
      </c>
      <c r="E12019" t="s" s="9">
        <v>4509</v>
      </c>
      <c r="F12019" s="19">
        <v>1</v>
      </c>
      <c r="G12019" t="s" s="11">
        <v>282</v>
      </c>
      <c r="H12019" t="s" s="10">
        <v>282</v>
      </c>
      <c r="I12019" t="s" s="11">
        <v>282</v>
      </c>
      <c r="J12019" t="s" s="11">
        <v>20</v>
      </c>
      <c r="K12019" s="15"/>
      <c r="L12019" t="s" s="16">
        <f>HYPERLINK("http://csr.bu.edu/ftp/asl/asllvd/demos/verify_start_end_handshape_annotations//test_auto_move//signs_mov_separ_signers/Liz_623.mov","MOV")</f>
        <v>21</v>
      </c>
      <c r="M12019" t="s" s="10">
        <v>84</v>
      </c>
      <c r="N12019" s="17">
        <v>13</v>
      </c>
      <c r="O12019" s="18">
        <v>1220</v>
      </c>
      <c r="P12019" s="18">
        <v>1273</v>
      </c>
      <c r="Q12019" s="15"/>
      <c r="R12019" t="s" s="16">
        <f>HYPERLINK("http://secrets.rutgers.edu:8080/data/asl-ftp/asllvd/demos/verify_start_end_handshape_annotations//test_auto_move//signs_mov_separ_signers/Liz_623.mov","MOV")</f>
        <v>21</v>
      </c>
    </row>
    <row r="12020" s="2" customFormat="1" ht="13.5" customHeight="1">
      <c r="B12020" s="13"/>
      <c r="C12020" t="s" s="9">
        <v>23</v>
      </c>
      <c r="D12020" t="s" s="8">
        <v>4509</v>
      </c>
      <c r="E12020" t="s" s="9">
        <v>4509</v>
      </c>
      <c r="F12020" s="19">
        <v>1</v>
      </c>
      <c r="G12020" t="s" s="11">
        <v>282</v>
      </c>
      <c r="H12020" t="s" s="10">
        <v>282</v>
      </c>
      <c r="I12020" t="s" s="11">
        <v>282</v>
      </c>
      <c r="J12020" t="s" s="11">
        <v>20</v>
      </c>
      <c r="K12020" t="s" s="16">
        <f>HYPERLINK("http://csr.bu.edu/ftp/asl/asllvd/demos/verify_start_end_handshape_annotations//test_auto_move//signs_mov/623.mov","MOV")</f>
        <v>21</v>
      </c>
      <c r="L12020" t="s" s="16">
        <f>HYPERLINK("http://csr.bu.edu/ftp/asl/asllvd/demos/verify_start_end_handshape_annotations//test_auto_move//signs_mov_separ_signers/Tyler_623.mov","MOV")</f>
        <v>21</v>
      </c>
      <c r="M12020" t="s" s="10">
        <v>125</v>
      </c>
      <c r="N12020" s="17">
        <v>13</v>
      </c>
      <c r="O12020" s="18">
        <v>1321</v>
      </c>
      <c r="P12020" s="18">
        <v>1352</v>
      </c>
      <c r="Q12020" t="s" s="16">
        <f>HYPERLINK("http://secrets.rutgers.edu:8080/data/asl-ftp/asllvd/demos/verify_start_end_handshape_annotations//test_auto_move//signs_mov/623.mov","MOV")</f>
        <v>21</v>
      </c>
      <c r="R12020" t="s" s="16">
        <f>HYPERLINK("http://secrets.rutgers.edu:8080/data/asl-ftp/asllvd/demos/verify_start_end_handshape_annotations//test_auto_move//signs_mov_separ_signers/Tyler_623.mov","MOV")</f>
        <v>21</v>
      </c>
    </row>
    <row r="12021" s="2" customFormat="1" ht="13.5" customHeight="1">
      <c r="B12021" s="13"/>
      <c r="C12021" t="s" s="9">
        <v>27</v>
      </c>
      <c r="D12021" t="s" s="8">
        <v>4509</v>
      </c>
      <c r="E12021" t="s" s="9">
        <v>4509</v>
      </c>
      <c r="F12021" s="19">
        <v>1</v>
      </c>
      <c r="G12021" s="14"/>
      <c r="H12021" t="s" s="10">
        <v>282</v>
      </c>
      <c r="I12021" t="s" s="11">
        <v>282</v>
      </c>
      <c r="J12021" t="s" s="11">
        <v>20</v>
      </c>
      <c r="K12021" s="15"/>
      <c r="L12021" t="s" s="16">
        <f>HYPERLINK("http://csr.bu.edu/ftp/asl/asllvd/demos/verify_start_end_handshape_annotations//test_auto_move//signs_mov_separ_signers/Naomi_623.mov","MOV")</f>
        <v>21</v>
      </c>
      <c r="M12021" t="s" s="10">
        <v>86</v>
      </c>
      <c r="N12021" s="17">
        <v>13</v>
      </c>
      <c r="O12021" s="18">
        <v>1202</v>
      </c>
      <c r="P12021" s="18">
        <v>1230</v>
      </c>
      <c r="Q12021" s="15"/>
      <c r="R12021" t="s" s="16">
        <f>HYPERLINK("http://secrets.rutgers.edu:8080/data/asl-ftp/asllvd/demos/verify_start_end_handshape_annotations//test_auto_move//signs_mov_separ_signers/Naomi_623.mov","MOV")</f>
        <v>21</v>
      </c>
    </row>
    <row r="12022" s="2" customFormat="1" ht="13.5" customHeight="1">
      <c r="B12022" s="13"/>
      <c r="C12022" t="s" s="9">
        <v>30</v>
      </c>
      <c r="D12022" t="s" s="8">
        <v>4509</v>
      </c>
      <c r="E12022" t="s" s="9">
        <v>4509</v>
      </c>
      <c r="F12022" s="19">
        <v>1</v>
      </c>
      <c r="G12022" t="s" s="11">
        <v>282</v>
      </c>
      <c r="H12022" t="s" s="10">
        <v>282</v>
      </c>
      <c r="I12022" t="s" s="11">
        <v>282</v>
      </c>
      <c r="J12022" t="s" s="11">
        <v>20</v>
      </c>
      <c r="K12022" s="15"/>
      <c r="L12022" t="s" s="16">
        <f>HYPERLINK("http://csr.bu.edu/ftp/asl/asllvd/demos/verify_start_end_handshape_annotations//test_auto_move//signs_mov_separ_signers/Brady_623.mov","MOV")</f>
        <v>21</v>
      </c>
      <c r="M12022" t="s" s="10">
        <v>39</v>
      </c>
      <c r="N12022" s="17">
        <v>3</v>
      </c>
      <c r="O12022" s="18">
        <v>11784</v>
      </c>
      <c r="P12022" s="18">
        <v>11802</v>
      </c>
      <c r="Q12022" s="15"/>
      <c r="R12022" t="s" s="16">
        <f>HYPERLINK("http://secrets.rutgers.edu:8080/data/asl-ftp/asllvd/demos/verify_start_end_handshape_annotations//test_auto_move//signs_mov_separ_signers/Brady_623.mov","MOV")</f>
        <v>21</v>
      </c>
    </row>
    <row r="12023" s="2" customFormat="1" ht="13.5" customHeight="1">
      <c r="B12023" t="s" s="8">
        <v>4510</v>
      </c>
      <c r="C12023" t="s" s="9">
        <v>14</v>
      </c>
      <c r="D12023" t="s" s="8">
        <v>14</v>
      </c>
      <c r="E12023" t="s" s="9">
        <v>14</v>
      </c>
      <c r="F12023" t="s" s="10">
        <v>14</v>
      </c>
      <c r="G12023" t="s" s="11">
        <v>14</v>
      </c>
      <c r="H12023" t="s" s="10">
        <v>14</v>
      </c>
      <c r="I12023" t="s" s="11">
        <v>14</v>
      </c>
      <c r="J12023" t="s" s="11">
        <v>14</v>
      </c>
      <c r="K12023" t="s" s="12">
        <v>14</v>
      </c>
      <c r="L12023" t="s" s="12">
        <v>14</v>
      </c>
      <c r="M12023" t="s" s="10">
        <v>14</v>
      </c>
      <c r="N12023" t="s" s="11">
        <v>14</v>
      </c>
      <c r="O12023" t="s" s="8">
        <v>14</v>
      </c>
      <c r="P12023" t="s" s="8">
        <v>14</v>
      </c>
      <c r="Q12023" t="s" s="12">
        <v>14</v>
      </c>
      <c r="R12023" t="s" s="12">
        <v>14</v>
      </c>
    </row>
    <row r="12024" s="2" customFormat="1" ht="13.5" customHeight="1">
      <c r="B12024" s="13"/>
      <c r="C12024" t="s" s="9">
        <v>16</v>
      </c>
      <c r="D12024" t="s" s="8">
        <v>4510</v>
      </c>
      <c r="E12024" t="s" s="9">
        <v>4510</v>
      </c>
      <c r="F12024" s="19">
        <v>1</v>
      </c>
      <c r="G12024" s="14"/>
      <c r="H12024" s="19">
        <v>5</v>
      </c>
      <c r="I12024" s="17">
        <v>5</v>
      </c>
      <c r="J12024" t="s" s="11">
        <v>20</v>
      </c>
      <c r="K12024" t="s" s="16">
        <f>HYPERLINK("http://csr.bu.edu/ftp/asl/asllvd/demos/verify_start_end_handshape_annotations//test_auto_move//signs_mov/644.mov","MOV")</f>
        <v>21</v>
      </c>
      <c r="L12024" t="s" s="16">
        <f>HYPERLINK("http://csr.bu.edu/ftp/asl/asllvd/demos/verify_start_end_handshape_annotations//test_auto_move//signs_mov_separ_signers/Liz_644.mov","MOV")</f>
        <v>21</v>
      </c>
      <c r="M12024" t="s" s="10">
        <v>84</v>
      </c>
      <c r="N12024" s="17">
        <v>15</v>
      </c>
      <c r="O12024" s="18">
        <v>1103</v>
      </c>
      <c r="P12024" s="18">
        <v>1170</v>
      </c>
      <c r="Q12024" t="s" s="16">
        <f>HYPERLINK("http://secrets.rutgers.edu:8080/data/asl-ftp/asllvd/demos/verify_start_end_handshape_annotations//test_auto_move//signs_mov/644.mov","MOV")</f>
        <v>21</v>
      </c>
      <c r="R12024" t="s" s="16">
        <f>HYPERLINK("http://secrets.rutgers.edu:8080/data/asl-ftp/asllvd/demos/verify_start_end_handshape_annotations//test_auto_move//signs_mov_separ_signers/Liz_644.mov","MOV")</f>
        <v>21</v>
      </c>
    </row>
    <row r="12025" s="2" customFormat="1" ht="13.5" customHeight="1">
      <c r="B12025" s="13"/>
      <c r="C12025" t="s" s="9">
        <v>30</v>
      </c>
      <c r="D12025" t="s" s="8">
        <v>4510</v>
      </c>
      <c r="E12025" t="s" s="9">
        <v>4510</v>
      </c>
      <c r="F12025" s="19">
        <v>1</v>
      </c>
      <c r="G12025" s="17">
        <v>5</v>
      </c>
      <c r="H12025" s="19">
        <v>5</v>
      </c>
      <c r="I12025" s="17">
        <v>5</v>
      </c>
      <c r="J12025" t="s" s="11">
        <v>20</v>
      </c>
      <c r="K12025" s="15"/>
      <c r="L12025" t="s" s="16">
        <f>HYPERLINK("http://csr.bu.edu/ftp/asl/asllvd/demos/verify_start_end_handshape_annotations//test_auto_move//signs_mov_separ_signers/Brady_644.mov","MOV")</f>
        <v>21</v>
      </c>
      <c r="M12025" t="s" s="10">
        <v>39</v>
      </c>
      <c r="N12025" s="17">
        <v>4</v>
      </c>
      <c r="O12025" s="18">
        <v>310</v>
      </c>
      <c r="P12025" s="18">
        <v>351</v>
      </c>
      <c r="Q12025" s="15"/>
      <c r="R12025" t="s" s="16">
        <f>HYPERLINK("http://secrets.rutgers.edu:8080/data/asl-ftp/asllvd/demos/verify_start_end_handshape_annotations//test_auto_move//signs_mov_separ_signers/Brady_644.mov","MOV")</f>
        <v>21</v>
      </c>
    </row>
    <row r="12026" s="2" customFormat="1" ht="13.5" customHeight="1">
      <c r="B12026" t="s" s="8">
        <v>52</v>
      </c>
      <c r="C12026" t="s" s="9">
        <v>53</v>
      </c>
      <c r="D12026" t="s" s="8">
        <v>53</v>
      </c>
      <c r="E12026" t="s" s="9">
        <v>53</v>
      </c>
      <c r="F12026" t="s" s="10">
        <v>53</v>
      </c>
      <c r="G12026" t="s" s="11">
        <v>53</v>
      </c>
      <c r="H12026" t="s" s="10">
        <v>53</v>
      </c>
      <c r="I12026" t="s" s="11">
        <v>53</v>
      </c>
      <c r="J12026" t="s" s="11">
        <v>53</v>
      </c>
      <c r="K12026" t="s" s="12">
        <v>53</v>
      </c>
      <c r="L12026" t="s" s="12">
        <v>53</v>
      </c>
      <c r="M12026" t="s" s="10">
        <v>53</v>
      </c>
      <c r="N12026" t="s" s="11">
        <v>53</v>
      </c>
      <c r="O12026" t="s" s="8">
        <v>53</v>
      </c>
      <c r="P12026" t="s" s="8">
        <v>53</v>
      </c>
      <c r="Q12026" t="s" s="12">
        <v>53</v>
      </c>
      <c r="R12026" t="s" s="12">
        <v>53</v>
      </c>
    </row>
    <row r="12027" s="2" customFormat="1" ht="13.5" customHeight="1">
      <c r="B12027" s="13"/>
      <c r="C12027" t="s" s="9">
        <v>23</v>
      </c>
      <c r="D12027" t="s" s="8">
        <v>4510</v>
      </c>
      <c r="E12027" t="s" s="9">
        <v>4511</v>
      </c>
      <c r="F12027" s="19">
        <v>1</v>
      </c>
      <c r="G12027" s="14"/>
      <c r="H12027" s="19">
        <v>5</v>
      </c>
      <c r="I12027" s="17">
        <v>5</v>
      </c>
      <c r="J12027" t="s" s="11">
        <v>20</v>
      </c>
      <c r="K12027" t="s" s="16">
        <f>HYPERLINK("http://csr.bu.edu/ftp/asl/asllvd/demos/verify_start_end_handshape_annotations//test_auto_move//signs_mov/5160.mov","MOV")</f>
        <v>21</v>
      </c>
      <c r="L12027" t="s" s="16">
        <f>HYPERLINK("http://csr.bu.edu/ftp/asl/asllvd/demos/verify_start_end_handshape_annotations//test_auto_move//signs_mov_separ_signers/Tyler_5160.mov","MOV")</f>
        <v>21</v>
      </c>
      <c r="M12027" t="s" s="10">
        <v>125</v>
      </c>
      <c r="N12027" s="17">
        <v>15</v>
      </c>
      <c r="O12027" s="18">
        <v>837</v>
      </c>
      <c r="P12027" s="18">
        <v>903</v>
      </c>
      <c r="Q12027" t="s" s="16">
        <f>HYPERLINK("http://secrets.rutgers.edu:8080/data/asl-ftp/asllvd/demos/verify_start_end_handshape_annotations//test_auto_move//signs_mov/5160.mov","MOV")</f>
        <v>21</v>
      </c>
      <c r="R12027" t="s" s="16">
        <f>HYPERLINK("http://secrets.rutgers.edu:8080/data/asl-ftp/asllvd/demos/verify_start_end_handshape_annotations//test_auto_move//signs_mov_separ_signers/Tyler_5160.mov","MOV")</f>
        <v>21</v>
      </c>
    </row>
    <row r="12028" s="2" customFormat="1" ht="13.5" customHeight="1">
      <c r="B12028" t="s" s="8">
        <v>52</v>
      </c>
      <c r="C12028" t="s" s="9">
        <v>53</v>
      </c>
      <c r="D12028" t="s" s="8">
        <v>53</v>
      </c>
      <c r="E12028" t="s" s="9">
        <v>53</v>
      </c>
      <c r="F12028" t="s" s="10">
        <v>53</v>
      </c>
      <c r="G12028" t="s" s="11">
        <v>53</v>
      </c>
      <c r="H12028" t="s" s="10">
        <v>53</v>
      </c>
      <c r="I12028" t="s" s="11">
        <v>53</v>
      </c>
      <c r="J12028" t="s" s="11">
        <v>53</v>
      </c>
      <c r="K12028" t="s" s="12">
        <v>53</v>
      </c>
      <c r="L12028" t="s" s="12">
        <v>53</v>
      </c>
      <c r="M12028" t="s" s="10">
        <v>53</v>
      </c>
      <c r="N12028" t="s" s="11">
        <v>53</v>
      </c>
      <c r="O12028" t="s" s="8">
        <v>53</v>
      </c>
      <c r="P12028" t="s" s="8">
        <v>53</v>
      </c>
      <c r="Q12028" t="s" s="12">
        <v>53</v>
      </c>
      <c r="R12028" t="s" s="12">
        <v>53</v>
      </c>
    </row>
    <row r="12029" s="2" customFormat="1" ht="13.5" customHeight="1">
      <c r="B12029" s="13"/>
      <c r="C12029" t="s" s="9">
        <v>27</v>
      </c>
      <c r="D12029" t="s" s="8">
        <v>4510</v>
      </c>
      <c r="E12029" t="s" s="9">
        <v>4512</v>
      </c>
      <c r="F12029" s="19">
        <v>1</v>
      </c>
      <c r="G12029" s="14"/>
      <c r="H12029" s="19">
        <v>5</v>
      </c>
      <c r="I12029" s="14"/>
      <c r="J12029" t="s" s="11">
        <v>20</v>
      </c>
      <c r="K12029" t="s" s="16">
        <f>HYPERLINK("http://csr.bu.edu/ftp/asl/asllvd/demos/verify_start_end_handshape_annotations//test_auto_move//signs_mov/16358.mov","MOV")</f>
        <v>21</v>
      </c>
      <c r="L12029" t="s" s="16">
        <f>HYPERLINK("http://csr.bu.edu/ftp/asl/asllvd/demos/verify_start_end_handshape_annotations//test_auto_move//signs_mov_separ_signers/Naomi_16358.mov","MOV")</f>
        <v>21</v>
      </c>
      <c r="M12029" t="s" s="10">
        <v>86</v>
      </c>
      <c r="N12029" s="17">
        <v>15</v>
      </c>
      <c r="O12029" s="18">
        <v>1060</v>
      </c>
      <c r="P12029" s="18">
        <v>1117</v>
      </c>
      <c r="Q12029" t="s" s="16">
        <f>HYPERLINK("http://secrets.rutgers.edu:8080/data/asl-ftp/asllvd/demos/verify_start_end_handshape_annotations//test_auto_move//signs_mov/16358.mov","MOV")</f>
        <v>21</v>
      </c>
      <c r="R12029" t="s" s="16">
        <f>HYPERLINK("http://secrets.rutgers.edu:8080/data/asl-ftp/asllvd/demos/verify_start_end_handshape_annotations//test_auto_move//signs_mov_separ_signers/Naomi_16358.mov","MOV")</f>
        <v>21</v>
      </c>
    </row>
    <row r="12030" s="2" customFormat="1" ht="27.75" customHeight="1">
      <c r="B12030" t="s" s="8">
        <v>4513</v>
      </c>
      <c r="C12030" t="s" s="9">
        <v>14</v>
      </c>
      <c r="D12030" t="s" s="8">
        <v>14</v>
      </c>
      <c r="E12030" t="s" s="9">
        <v>14</v>
      </c>
      <c r="F12030" t="s" s="10">
        <v>14</v>
      </c>
      <c r="G12030" t="s" s="11">
        <v>14</v>
      </c>
      <c r="H12030" t="s" s="10">
        <v>14</v>
      </c>
      <c r="I12030" t="s" s="11">
        <v>14</v>
      </c>
      <c r="J12030" t="s" s="11">
        <v>14</v>
      </c>
      <c r="K12030" t="s" s="12">
        <v>14</v>
      </c>
      <c r="L12030" t="s" s="12">
        <v>14</v>
      </c>
      <c r="M12030" t="s" s="10">
        <v>14</v>
      </c>
      <c r="N12030" t="s" s="11">
        <v>14</v>
      </c>
      <c r="O12030" t="s" s="8">
        <v>14</v>
      </c>
      <c r="P12030" t="s" s="8">
        <v>14</v>
      </c>
      <c r="Q12030" t="s" s="12">
        <v>14</v>
      </c>
      <c r="R12030" t="s" s="12">
        <v>14</v>
      </c>
    </row>
    <row r="12031" s="2" customFormat="1" ht="27.75" customHeight="1">
      <c r="B12031" s="13"/>
      <c r="C12031" t="s" s="9">
        <v>16</v>
      </c>
      <c r="D12031" t="s" s="8">
        <v>4513</v>
      </c>
      <c r="E12031" t="s" s="9">
        <v>4514</v>
      </c>
      <c r="F12031" t="s" s="10">
        <v>72</v>
      </c>
      <c r="G12031" t="s" s="11">
        <v>72</v>
      </c>
      <c r="H12031" t="s" s="10">
        <v>150</v>
      </c>
      <c r="I12031" t="s" s="11">
        <v>73</v>
      </c>
      <c r="J12031" t="s" s="11">
        <v>20</v>
      </c>
      <c r="K12031" s="15"/>
      <c r="L12031" t="s" s="16">
        <f>HYPERLINK("http://csr.bu.edu/ftp/asl/asllvd/demos/verify_start_end_handshape_annotations//test_auto_move//signs_mov_separ_signers/Liz_649.mov","MOV")</f>
        <v>21</v>
      </c>
      <c r="M12031" t="s" s="10">
        <v>84</v>
      </c>
      <c r="N12031" s="17">
        <v>15</v>
      </c>
      <c r="O12031" s="18">
        <v>2425</v>
      </c>
      <c r="P12031" s="18">
        <v>2507</v>
      </c>
      <c r="Q12031" s="15"/>
      <c r="R12031" t="s" s="16">
        <f>HYPERLINK("http://secrets.rutgers.edu:8080/data/asl-ftp/asllvd/demos/verify_start_end_handshape_annotations//test_auto_move//signs_mov_separ_signers/Liz_649.mov","MOV")</f>
        <v>21</v>
      </c>
    </row>
    <row r="12032" s="2" customFormat="1" ht="27.75" customHeight="1">
      <c r="B12032" s="13"/>
      <c r="C12032" t="s" s="9">
        <v>27</v>
      </c>
      <c r="D12032" t="s" s="8">
        <v>4513</v>
      </c>
      <c r="E12032" t="s" s="9">
        <v>4514</v>
      </c>
      <c r="F12032" t="s" s="10">
        <v>72</v>
      </c>
      <c r="G12032" t="s" s="11">
        <v>72</v>
      </c>
      <c r="H12032" t="s" s="10">
        <v>80</v>
      </c>
      <c r="I12032" t="s" s="11">
        <v>73</v>
      </c>
      <c r="J12032" t="s" s="11">
        <v>20</v>
      </c>
      <c r="K12032" t="s" s="16">
        <f>HYPERLINK("http://csr.bu.edu/ftp/asl/asllvd/demos/verify_start_end_handshape_annotations//test_auto_move//signs_mov/649.mov","MOV")</f>
        <v>21</v>
      </c>
      <c r="L12032" t="s" s="16">
        <f>HYPERLINK("http://csr.bu.edu/ftp/asl/asllvd/demos/verify_start_end_handshape_annotations//test_auto_move//signs_mov_separ_signers/Naomi_649.mov","MOV")</f>
        <v>21</v>
      </c>
      <c r="M12032" t="s" s="10">
        <v>86</v>
      </c>
      <c r="N12032" s="17">
        <v>15</v>
      </c>
      <c r="O12032" s="18">
        <v>3520</v>
      </c>
      <c r="P12032" s="18">
        <v>3581</v>
      </c>
      <c r="Q12032" t="s" s="16">
        <f>HYPERLINK("http://secrets.rutgers.edu:8080/data/asl-ftp/asllvd/demos/verify_start_end_handshape_annotations//test_auto_move//signs_mov/649.mov","MOV")</f>
        <v>21</v>
      </c>
      <c r="R12032" t="s" s="16">
        <f>HYPERLINK("http://secrets.rutgers.edu:8080/data/asl-ftp/asllvd/demos/verify_start_end_handshape_annotations//test_auto_move//signs_mov_separ_signers/Naomi_649.mov","MOV")</f>
        <v>21</v>
      </c>
    </row>
    <row r="12033" s="2" customFormat="1" ht="27.75" customHeight="1">
      <c r="B12033" s="13"/>
      <c r="C12033" t="s" s="9">
        <v>30</v>
      </c>
      <c r="D12033" t="s" s="8">
        <v>4513</v>
      </c>
      <c r="E12033" t="s" s="9">
        <v>4515</v>
      </c>
      <c r="F12033" t="s" s="10">
        <v>72</v>
      </c>
      <c r="G12033" t="s" s="11">
        <v>72</v>
      </c>
      <c r="H12033" s="19">
        <v>10</v>
      </c>
      <c r="I12033" t="s" s="11">
        <v>73</v>
      </c>
      <c r="J12033" t="s" s="11">
        <v>20</v>
      </c>
      <c r="K12033" s="15"/>
      <c r="L12033" t="s" s="16">
        <f>HYPERLINK("http://csr.bu.edu/ftp/asl/asllvd/demos/verify_start_end_handshape_annotations//test_auto_move//signs_mov_separ_signers/Brady_649.mov","MOV")</f>
        <v>21</v>
      </c>
      <c r="M12033" t="s" s="10">
        <v>39</v>
      </c>
      <c r="N12033" s="17">
        <v>4</v>
      </c>
      <c r="O12033" s="18">
        <v>880</v>
      </c>
      <c r="P12033" s="18">
        <v>926</v>
      </c>
      <c r="Q12033" s="15"/>
      <c r="R12033" t="s" s="16">
        <f>HYPERLINK("http://secrets.rutgers.edu:8080/data/asl-ftp/asllvd/demos/verify_start_end_handshape_annotations//test_auto_move//signs_mov_separ_signers/Brady_649.mov","MOV")</f>
        <v>21</v>
      </c>
    </row>
    <row r="12034" s="2" customFormat="1" ht="13.5" customHeight="1">
      <c r="B12034" t="s" s="8">
        <v>52</v>
      </c>
      <c r="C12034" t="s" s="9">
        <v>53</v>
      </c>
      <c r="D12034" t="s" s="8">
        <v>53</v>
      </c>
      <c r="E12034" t="s" s="9">
        <v>53</v>
      </c>
      <c r="F12034" t="s" s="10">
        <v>53</v>
      </c>
      <c r="G12034" t="s" s="11">
        <v>53</v>
      </c>
      <c r="H12034" t="s" s="10">
        <v>53</v>
      </c>
      <c r="I12034" t="s" s="11">
        <v>53</v>
      </c>
      <c r="J12034" t="s" s="11">
        <v>53</v>
      </c>
      <c r="K12034" t="s" s="12">
        <v>53</v>
      </c>
      <c r="L12034" t="s" s="12">
        <v>53</v>
      </c>
      <c r="M12034" t="s" s="10">
        <v>53</v>
      </c>
      <c r="N12034" t="s" s="11">
        <v>53</v>
      </c>
      <c r="O12034" t="s" s="8">
        <v>53</v>
      </c>
      <c r="P12034" t="s" s="8">
        <v>53</v>
      </c>
      <c r="Q12034" t="s" s="12">
        <v>53</v>
      </c>
      <c r="R12034" t="s" s="12">
        <v>53</v>
      </c>
    </row>
    <row r="12035" s="2" customFormat="1" ht="27.75" customHeight="1">
      <c r="B12035" s="13"/>
      <c r="C12035" t="s" s="9">
        <v>23</v>
      </c>
      <c r="D12035" t="s" s="8">
        <v>4513</v>
      </c>
      <c r="E12035" t="s" s="9">
        <v>4516</v>
      </c>
      <c r="F12035" t="s" s="10">
        <v>73</v>
      </c>
      <c r="G12035" t="s" s="11">
        <v>73</v>
      </c>
      <c r="H12035" t="s" s="10">
        <v>72</v>
      </c>
      <c r="I12035" t="s" s="11">
        <v>72</v>
      </c>
      <c r="J12035" t="s" s="11">
        <v>20</v>
      </c>
      <c r="K12035" t="s" s="16">
        <f>HYPERLINK("http://csr.bu.edu/ftp/asl/asllvd/demos/verify_start_end_handshape_annotations//test_auto_move//signs_mov/5849.mov","MOV")</f>
        <v>21</v>
      </c>
      <c r="L12035" t="s" s="16">
        <f>HYPERLINK("http://csr.bu.edu/ftp/asl/asllvd/demos/verify_start_end_handshape_annotations//test_auto_move//signs_mov_separ_signers/Tyler_5849.mov","MOV")</f>
        <v>21</v>
      </c>
      <c r="M12035" t="s" s="10">
        <v>125</v>
      </c>
      <c r="N12035" s="17">
        <v>15</v>
      </c>
      <c r="O12035" s="18">
        <v>2681</v>
      </c>
      <c r="P12035" s="18">
        <v>2736</v>
      </c>
      <c r="Q12035" t="s" s="16">
        <f>HYPERLINK("http://secrets.rutgers.edu:8080/data/asl-ftp/asllvd/demos/verify_start_end_handshape_annotations//test_auto_move//signs_mov/5849.mov","MOV")</f>
        <v>21</v>
      </c>
      <c r="R12035" t="s" s="16">
        <f>HYPERLINK("http://secrets.rutgers.edu:8080/data/asl-ftp/asllvd/demos/verify_start_end_handshape_annotations//test_auto_move//signs_mov_separ_signers/Tyler_5849.mov","MOV")</f>
        <v>21</v>
      </c>
    </row>
    <row r="12036" s="2" customFormat="1" ht="13.5" customHeight="1">
      <c r="B12036" t="s" s="8">
        <v>4517</v>
      </c>
      <c r="C12036" t="s" s="9">
        <v>14</v>
      </c>
      <c r="D12036" t="s" s="8">
        <v>14</v>
      </c>
      <c r="E12036" t="s" s="9">
        <v>14</v>
      </c>
      <c r="F12036" t="s" s="10">
        <v>14</v>
      </c>
      <c r="G12036" t="s" s="11">
        <v>14</v>
      </c>
      <c r="H12036" t="s" s="10">
        <v>14</v>
      </c>
      <c r="I12036" t="s" s="11">
        <v>14</v>
      </c>
      <c r="J12036" t="s" s="11">
        <v>14</v>
      </c>
      <c r="K12036" t="s" s="12">
        <v>14</v>
      </c>
      <c r="L12036" t="s" s="12">
        <v>14</v>
      </c>
      <c r="M12036" t="s" s="10">
        <v>14</v>
      </c>
      <c r="N12036" t="s" s="11">
        <v>14</v>
      </c>
      <c r="O12036" t="s" s="8">
        <v>14</v>
      </c>
      <c r="P12036" t="s" s="8">
        <v>14</v>
      </c>
      <c r="Q12036" t="s" s="12">
        <v>14</v>
      </c>
      <c r="R12036" t="s" s="12">
        <v>14</v>
      </c>
    </row>
    <row r="12037" s="2" customFormat="1" ht="13.5" customHeight="1">
      <c r="B12037" s="13"/>
      <c r="C12037" t="s" s="9">
        <v>16</v>
      </c>
      <c r="D12037" t="s" s="8">
        <v>4517</v>
      </c>
      <c r="E12037" t="s" s="9">
        <v>4517</v>
      </c>
      <c r="F12037" t="s" s="10">
        <v>136</v>
      </c>
      <c r="G12037" s="14"/>
      <c r="H12037" s="19">
        <v>25</v>
      </c>
      <c r="I12037" s="14"/>
      <c r="J12037" t="s" s="11">
        <v>20</v>
      </c>
      <c r="K12037" s="15"/>
      <c r="L12037" t="s" s="16">
        <f>HYPERLINK("http://csr.bu.edu/ftp/asl/asllvd/demos/verify_start_end_handshape_annotations//test_auto_move//signs_mov_separ_signers/Liz_658.mov","MOV")</f>
        <v>21</v>
      </c>
      <c r="M12037" t="s" s="10">
        <v>84</v>
      </c>
      <c r="N12037" s="17">
        <v>16</v>
      </c>
      <c r="O12037" s="18">
        <v>2975</v>
      </c>
      <c r="P12037" s="18">
        <v>3077</v>
      </c>
      <c r="Q12037" s="15"/>
      <c r="R12037" t="s" s="16">
        <f>HYPERLINK("http://secrets.rutgers.edu:8080/data/asl-ftp/asllvd/demos/verify_start_end_handshape_annotations//test_auto_move//signs_mov_separ_signers/Liz_658.mov","MOV")</f>
        <v>21</v>
      </c>
    </row>
    <row r="12038" s="2" customFormat="1" ht="13.5" customHeight="1">
      <c r="B12038" s="13"/>
      <c r="C12038" t="s" s="9">
        <v>27</v>
      </c>
      <c r="D12038" t="s" s="8">
        <v>4517</v>
      </c>
      <c r="E12038" t="s" s="9">
        <v>4517</v>
      </c>
      <c r="F12038" t="s" s="10">
        <v>136</v>
      </c>
      <c r="G12038" s="14"/>
      <c r="H12038" s="19">
        <v>25</v>
      </c>
      <c r="I12038" s="14"/>
      <c r="J12038" t="s" s="11">
        <v>20</v>
      </c>
      <c r="K12038" t="s" s="16">
        <f>HYPERLINK("http://csr.bu.edu/ftp/asl/asllvd/demos/verify_start_end_handshape_annotations//test_auto_move//signs_mov/658_5416_merged.mov","MOV")</f>
        <v>21</v>
      </c>
      <c r="L12038" t="s" s="16">
        <f>HYPERLINK("http://csr.bu.edu/ftp/asl/asllvd/demos/verify_start_end_handshape_annotations//test_auto_move//signs_mov_separ_signers/Naomi_658.mov","MOV")</f>
        <v>21</v>
      </c>
      <c r="M12038" t="s" s="10">
        <v>86</v>
      </c>
      <c r="N12038" s="17">
        <v>16</v>
      </c>
      <c r="O12038" s="18">
        <v>3992</v>
      </c>
      <c r="P12038" s="18">
        <v>4041</v>
      </c>
      <c r="Q12038" t="s" s="16">
        <f>HYPERLINK("http://secrets.rutgers.edu:8080/data/asl-ftp/asllvd/demos/verify_start_end_handshape_annotations//test_auto_move//signs_mov/658_5416_merged.mov","MOV")</f>
        <v>21</v>
      </c>
      <c r="R12038" t="s" s="16">
        <f>HYPERLINK("http://secrets.rutgers.edu:8080/data/asl-ftp/asllvd/demos/verify_start_end_handshape_annotations//test_auto_move//signs_mov_separ_signers/Naomi_658.mov","MOV")</f>
        <v>21</v>
      </c>
    </row>
    <row r="12039" s="2" customFormat="1" ht="13.5" customHeight="1">
      <c r="B12039" s="13"/>
      <c r="C12039" t="s" s="9">
        <v>30</v>
      </c>
      <c r="D12039" t="s" s="8">
        <v>4517</v>
      </c>
      <c r="E12039" t="s" s="9">
        <v>4517</v>
      </c>
      <c r="F12039" t="s" s="10">
        <v>196</v>
      </c>
      <c r="G12039" s="14"/>
      <c r="H12039" s="19">
        <v>25</v>
      </c>
      <c r="I12039" s="14"/>
      <c r="J12039" t="s" s="11">
        <v>20</v>
      </c>
      <c r="K12039" s="15"/>
      <c r="L12039" t="s" s="16">
        <f>HYPERLINK("http://csr.bu.edu/ftp/asl/asllvd/demos/verify_start_end_handshape_annotations//test_auto_move//signs_mov_separ_signers/Brady_658.mov","MOV")</f>
        <v>21</v>
      </c>
      <c r="M12039" t="s" s="10">
        <v>39</v>
      </c>
      <c r="N12039" s="17">
        <v>4</v>
      </c>
      <c r="O12039" s="18">
        <v>1230</v>
      </c>
      <c r="P12039" s="18">
        <v>1282</v>
      </c>
      <c r="Q12039" s="15"/>
      <c r="R12039" t="s" s="16">
        <f>HYPERLINK("http://secrets.rutgers.edu:8080/data/asl-ftp/asllvd/demos/verify_start_end_handshape_annotations//test_auto_move//signs_mov_separ_signers/Brady_658.mov","MOV")</f>
        <v>21</v>
      </c>
    </row>
    <row r="12040" s="2" customFormat="1" ht="13.5" customHeight="1">
      <c r="B12040" s="13"/>
      <c r="C12040" t="s" s="9">
        <v>30</v>
      </c>
      <c r="D12040" t="s" s="8">
        <v>4517</v>
      </c>
      <c r="E12040" t="s" s="9">
        <v>4517</v>
      </c>
      <c r="F12040" t="s" s="10">
        <v>136</v>
      </c>
      <c r="G12040" s="14"/>
      <c r="H12040" s="19">
        <v>25</v>
      </c>
      <c r="I12040" s="14"/>
      <c r="J12040" t="s" s="11">
        <v>20</v>
      </c>
      <c r="K12040" s="15"/>
      <c r="L12040" t="s" s="16">
        <f>HYPERLINK("http://csr.bu.edu/ftp/asl/asllvd/demos/verify_start_end_handshape_annotations//test_auto_move//signs_mov_separ_signers/Brady_5416.mov","MOV")</f>
        <v>21</v>
      </c>
      <c r="M12040" t="s" s="10">
        <v>39</v>
      </c>
      <c r="N12040" s="17">
        <v>5</v>
      </c>
      <c r="O12040" s="18">
        <v>187</v>
      </c>
      <c r="P12040" s="18">
        <v>238</v>
      </c>
      <c r="Q12040" s="15"/>
      <c r="R12040" t="s" s="16">
        <f>HYPERLINK("http://secrets.rutgers.edu:8080/data/asl-ftp/asllvd/demos/verify_start_end_handshape_annotations//test_auto_move//signs_mov_separ_signers/Brady_5416.mov","MOV")</f>
        <v>21</v>
      </c>
    </row>
    <row r="12041" s="2" customFormat="1" ht="27.75" customHeight="1">
      <c r="B12041" t="s" s="8">
        <v>4518</v>
      </c>
      <c r="C12041" t="s" s="9">
        <v>14</v>
      </c>
      <c r="D12041" t="s" s="8">
        <v>14</v>
      </c>
      <c r="E12041" t="s" s="9">
        <v>14</v>
      </c>
      <c r="F12041" t="s" s="10">
        <v>14</v>
      </c>
      <c r="G12041" t="s" s="11">
        <v>14</v>
      </c>
      <c r="H12041" t="s" s="10">
        <v>14</v>
      </c>
      <c r="I12041" t="s" s="11">
        <v>14</v>
      </c>
      <c r="J12041" t="s" s="11">
        <v>14</v>
      </c>
      <c r="K12041" t="s" s="12">
        <v>14</v>
      </c>
      <c r="L12041" t="s" s="12">
        <v>14</v>
      </c>
      <c r="M12041" t="s" s="10">
        <v>14</v>
      </c>
      <c r="N12041" t="s" s="11">
        <v>14</v>
      </c>
      <c r="O12041" t="s" s="8">
        <v>14</v>
      </c>
      <c r="P12041" t="s" s="8">
        <v>14</v>
      </c>
      <c r="Q12041" t="s" s="12">
        <v>14</v>
      </c>
      <c r="R12041" t="s" s="12">
        <v>14</v>
      </c>
    </row>
    <row r="12042" s="2" customFormat="1" ht="27.75" customHeight="1">
      <c r="B12042" s="13"/>
      <c r="C12042" t="s" s="9">
        <v>16</v>
      </c>
      <c r="D12042" t="s" s="8">
        <v>4518</v>
      </c>
      <c r="E12042" t="s" s="9">
        <v>4518</v>
      </c>
      <c r="F12042" t="s" s="10">
        <v>255</v>
      </c>
      <c r="G12042" t="s" s="11">
        <v>255</v>
      </c>
      <c r="H12042" t="s" s="10">
        <v>73</v>
      </c>
      <c r="I12042" t="s" s="11">
        <v>73</v>
      </c>
      <c r="J12042" t="s" s="11">
        <v>20</v>
      </c>
      <c r="K12042" s="15"/>
      <c r="L12042" t="s" s="16">
        <f>HYPERLINK("http://csr.bu.edu/ftp/asl/asllvd/demos/verify_start_end_handshape_annotations//test_auto_move//signs_mov_separ_signers/Liz_660.mov","MOV")</f>
        <v>21</v>
      </c>
      <c r="M12042" t="s" s="10">
        <v>84</v>
      </c>
      <c r="N12042" s="17">
        <v>17</v>
      </c>
      <c r="O12042" s="18">
        <v>253</v>
      </c>
      <c r="P12042" s="18">
        <v>322</v>
      </c>
      <c r="Q12042" s="15"/>
      <c r="R12042" t="s" s="16">
        <f>HYPERLINK("http://secrets.rutgers.edu:8080/data/asl-ftp/asllvd/demos/verify_start_end_handshape_annotations//test_auto_move//signs_mov_separ_signers/Liz_660.mov","MOV")</f>
        <v>21</v>
      </c>
    </row>
    <row r="12043" s="2" customFormat="1" ht="27.75" customHeight="1">
      <c r="B12043" s="13"/>
      <c r="C12043" t="s" s="9">
        <v>16</v>
      </c>
      <c r="D12043" t="s" s="8">
        <v>4518</v>
      </c>
      <c r="E12043" t="s" s="9">
        <v>4518</v>
      </c>
      <c r="F12043" t="s" s="10">
        <v>255</v>
      </c>
      <c r="G12043" t="s" s="11">
        <v>255</v>
      </c>
      <c r="H12043" t="s" s="10">
        <v>73</v>
      </c>
      <c r="I12043" t="s" s="11">
        <v>73</v>
      </c>
      <c r="J12043" t="s" s="11">
        <v>20</v>
      </c>
      <c r="K12043" s="15"/>
      <c r="L12043" t="s" s="16">
        <f>HYPERLINK("http://csr.bu.edu/ftp/asl/asllvd/demos/verify_start_end_handshape_annotations//test_auto_move//signs_mov_separ_signers/Liz_3679.mov","MOV")</f>
        <v>21</v>
      </c>
      <c r="M12043" t="s" s="10">
        <v>34</v>
      </c>
      <c r="N12043" s="17">
        <v>57</v>
      </c>
      <c r="O12043" s="18">
        <v>2260</v>
      </c>
      <c r="P12043" s="18">
        <v>2312</v>
      </c>
      <c r="Q12043" s="15"/>
      <c r="R12043" t="s" s="16">
        <f>HYPERLINK("http://secrets.rutgers.edu:8080/data/asl-ftp/asllvd/demos/verify_start_end_handshape_annotations//test_auto_move//signs_mov_separ_signers/Liz_3679.mov","MOV")</f>
        <v>21</v>
      </c>
    </row>
    <row r="12044" s="2" customFormat="1" ht="27.75" customHeight="1">
      <c r="B12044" s="13"/>
      <c r="C12044" t="s" s="9">
        <v>23</v>
      </c>
      <c r="D12044" t="s" s="8">
        <v>4518</v>
      </c>
      <c r="E12044" t="s" s="9">
        <v>4518</v>
      </c>
      <c r="F12044" t="s" s="10">
        <v>255</v>
      </c>
      <c r="G12044" t="s" s="11">
        <v>255</v>
      </c>
      <c r="H12044" t="s" s="10">
        <v>73</v>
      </c>
      <c r="I12044" t="s" s="11">
        <v>73</v>
      </c>
      <c r="J12044" t="s" s="11">
        <v>20</v>
      </c>
      <c r="K12044" s="15"/>
      <c r="L12044" t="s" s="16">
        <f>HYPERLINK("http://csr.bu.edu/ftp/asl/asllvd/demos/verify_start_end_handshape_annotations//test_auto_move//signs_mov_separ_signers/Tyler_660.mov","MOV")</f>
        <v>21</v>
      </c>
      <c r="M12044" t="s" s="10">
        <v>47</v>
      </c>
      <c r="N12044" s="17">
        <v>9</v>
      </c>
      <c r="O12044" s="18">
        <v>2391</v>
      </c>
      <c r="P12044" s="18">
        <v>2437</v>
      </c>
      <c r="Q12044" s="15"/>
      <c r="R12044" t="s" s="16">
        <f>HYPERLINK("http://secrets.rutgers.edu:8080/data/asl-ftp/asllvd/demos/verify_start_end_handshape_annotations//test_auto_move//signs_mov_separ_signers/Tyler_660.mov","MOV")</f>
        <v>21</v>
      </c>
    </row>
    <row r="12045" s="2" customFormat="1" ht="27.75" customHeight="1">
      <c r="B12045" s="13"/>
      <c r="C12045" t="s" s="9">
        <v>27</v>
      </c>
      <c r="D12045" t="s" s="8">
        <v>4518</v>
      </c>
      <c r="E12045" t="s" s="9">
        <v>4518</v>
      </c>
      <c r="F12045" t="s" s="10">
        <v>255</v>
      </c>
      <c r="G12045" t="s" s="11">
        <v>255</v>
      </c>
      <c r="H12045" t="s" s="10">
        <v>73</v>
      </c>
      <c r="I12045" t="s" s="11">
        <v>73</v>
      </c>
      <c r="J12045" t="s" s="11">
        <v>20</v>
      </c>
      <c r="K12045" t="s" s="16">
        <f>HYPERLINK("http://csr.bu.edu/ftp/asl/asllvd/demos/verify_start_end_handshape_annotations//test_auto_move//signs_mov/660_3679_5162_merged.mov","MOV")</f>
        <v>21</v>
      </c>
      <c r="L12045" t="s" s="16">
        <f>HYPERLINK("http://csr.bu.edu/ftp/asl/asllvd/demos/verify_start_end_handshape_annotations//test_auto_move//signs_mov_separ_signers/Naomi_660.mov","MOV")</f>
        <v>21</v>
      </c>
      <c r="M12045" t="s" s="10">
        <v>86</v>
      </c>
      <c r="N12045" s="17">
        <v>16</v>
      </c>
      <c r="O12045" s="18">
        <v>4493</v>
      </c>
      <c r="P12045" s="18">
        <v>4535</v>
      </c>
      <c r="Q12045" t="s" s="16">
        <f>HYPERLINK("http://secrets.rutgers.edu:8080/data/asl-ftp/asllvd/demos/verify_start_end_handshape_annotations//test_auto_move//signs_mov/660_3679_5162_merged.mov","MOV")</f>
        <v>21</v>
      </c>
      <c r="R12045" t="s" s="16">
        <f>HYPERLINK("http://secrets.rutgers.edu:8080/data/asl-ftp/asllvd/demos/verify_start_end_handshape_annotations//test_auto_move//signs_mov_separ_signers/Naomi_660.mov","MOV")</f>
        <v>21</v>
      </c>
    </row>
    <row r="12046" s="2" customFormat="1" ht="27.75" customHeight="1">
      <c r="B12046" s="13"/>
      <c r="C12046" t="s" s="9">
        <v>27</v>
      </c>
      <c r="D12046" t="s" s="8">
        <v>4518</v>
      </c>
      <c r="E12046" t="s" s="9">
        <v>4518</v>
      </c>
      <c r="F12046" t="s" s="10">
        <v>255</v>
      </c>
      <c r="G12046" t="s" s="11">
        <v>255</v>
      </c>
      <c r="H12046" t="s" s="10">
        <v>73</v>
      </c>
      <c r="I12046" t="s" s="11">
        <v>73</v>
      </c>
      <c r="J12046" t="s" s="11">
        <v>20</v>
      </c>
      <c r="K12046" s="15"/>
      <c r="L12046" t="s" s="16">
        <f>HYPERLINK("http://csr.bu.edu/ftp/asl/asllvd/demos/verify_start_end_handshape_annotations//test_auto_move//signs_mov_separ_signers/Naomi_3679.mov","MOV")</f>
        <v>21</v>
      </c>
      <c r="M12046" t="s" s="10">
        <v>48</v>
      </c>
      <c r="N12046" s="17">
        <v>12</v>
      </c>
      <c r="O12046" s="18">
        <v>2385</v>
      </c>
      <c r="P12046" s="18">
        <v>2437</v>
      </c>
      <c r="Q12046" s="15"/>
      <c r="R12046" t="s" s="16">
        <f>HYPERLINK("http://secrets.rutgers.edu:8080/data/asl-ftp/asllvd/demos/verify_start_end_handshape_annotations//test_auto_move//signs_mov_separ_signers/Naomi_3679.mov","MOV")</f>
        <v>21</v>
      </c>
    </row>
    <row r="12047" s="2" customFormat="1" ht="27.75" customHeight="1">
      <c r="B12047" s="13"/>
      <c r="C12047" t="s" s="9">
        <v>30</v>
      </c>
      <c r="D12047" t="s" s="8">
        <v>4518</v>
      </c>
      <c r="E12047" t="s" s="9">
        <v>4518</v>
      </c>
      <c r="F12047" t="s" s="10">
        <v>255</v>
      </c>
      <c r="G12047" t="s" s="11">
        <v>255</v>
      </c>
      <c r="H12047" t="s" s="10">
        <v>73</v>
      </c>
      <c r="I12047" t="s" s="11">
        <v>73</v>
      </c>
      <c r="J12047" t="s" s="11">
        <v>20</v>
      </c>
      <c r="K12047" s="15"/>
      <c r="L12047" t="s" s="16">
        <f>HYPERLINK("http://csr.bu.edu/ftp/asl/asllvd/demos/verify_start_end_handshape_annotations//test_auto_move//signs_mov_separ_signers/Brady_660.mov","MOV")</f>
        <v>21</v>
      </c>
      <c r="M12047" t="s" s="10">
        <v>39</v>
      </c>
      <c r="N12047" s="17">
        <v>4</v>
      </c>
      <c r="O12047" s="18">
        <v>1488</v>
      </c>
      <c r="P12047" s="18">
        <v>1520</v>
      </c>
      <c r="Q12047" s="15"/>
      <c r="R12047" t="s" s="16">
        <f>HYPERLINK("http://secrets.rutgers.edu:8080/data/asl-ftp/asllvd/demos/verify_start_end_handshape_annotations//test_auto_move//signs_mov_separ_signers/Brady_660.mov","MOV")</f>
        <v>21</v>
      </c>
    </row>
    <row r="12048" s="2" customFormat="1" ht="27.75" customHeight="1">
      <c r="B12048" s="13"/>
      <c r="C12048" t="s" s="9">
        <v>30</v>
      </c>
      <c r="D12048" t="s" s="8">
        <v>4518</v>
      </c>
      <c r="E12048" t="s" s="9">
        <v>4518</v>
      </c>
      <c r="F12048" t="s" s="10">
        <v>255</v>
      </c>
      <c r="G12048" t="s" s="11">
        <v>255</v>
      </c>
      <c r="H12048" t="s" s="10">
        <v>73</v>
      </c>
      <c r="I12048" t="s" s="11">
        <v>73</v>
      </c>
      <c r="J12048" t="s" s="11">
        <v>20</v>
      </c>
      <c r="K12048" s="15"/>
      <c r="L12048" t="s" s="16">
        <f>HYPERLINK("http://csr.bu.edu/ftp/asl/asllvd/demos/verify_start_end_handshape_annotations//test_auto_move//signs_mov_separ_signers/Brady_3679.mov","MOV")</f>
        <v>21</v>
      </c>
      <c r="M12048" t="s" s="10">
        <v>39</v>
      </c>
      <c r="N12048" s="17">
        <v>5</v>
      </c>
      <c r="O12048" s="18">
        <v>446</v>
      </c>
      <c r="P12048" s="18">
        <v>486</v>
      </c>
      <c r="Q12048" s="15"/>
      <c r="R12048" t="s" s="16">
        <f>HYPERLINK("http://secrets.rutgers.edu:8080/data/asl-ftp/asllvd/demos/verify_start_end_handshape_annotations//test_auto_move//signs_mov_separ_signers/Brady_3679.mov","MOV")</f>
        <v>21</v>
      </c>
    </row>
    <row r="12049" s="2" customFormat="1" ht="27.75" customHeight="1">
      <c r="B12049" s="13"/>
      <c r="C12049" t="s" s="9">
        <v>30</v>
      </c>
      <c r="D12049" t="s" s="8">
        <v>4518</v>
      </c>
      <c r="E12049" t="s" s="9">
        <v>4518</v>
      </c>
      <c r="F12049" t="s" s="10">
        <v>255</v>
      </c>
      <c r="G12049" t="s" s="11">
        <v>255</v>
      </c>
      <c r="H12049" t="s" s="10">
        <v>73</v>
      </c>
      <c r="I12049" t="s" s="11">
        <v>73</v>
      </c>
      <c r="J12049" t="s" s="11">
        <v>20</v>
      </c>
      <c r="K12049" s="15"/>
      <c r="L12049" t="s" s="16">
        <f>HYPERLINK("http://csr.bu.edu/ftp/asl/asllvd/demos/verify_start_end_handshape_annotations//test_auto_move//signs_mov_separ_signers/Brady_5162.mov","MOV")</f>
        <v>21</v>
      </c>
      <c r="M12049" t="s" s="10">
        <v>39</v>
      </c>
      <c r="N12049" s="17">
        <v>54</v>
      </c>
      <c r="O12049" s="18">
        <v>1429</v>
      </c>
      <c r="P12049" s="18">
        <v>1461</v>
      </c>
      <c r="Q12049" s="15"/>
      <c r="R12049" t="s" s="16">
        <f>HYPERLINK("http://secrets.rutgers.edu:8080/data/asl-ftp/asllvd/demos/verify_start_end_handshape_annotations//test_auto_move//signs_mov_separ_signers/Brady_5162.mov","MOV")</f>
        <v>21</v>
      </c>
    </row>
    <row r="12050" s="2" customFormat="1" ht="13.5" customHeight="1">
      <c r="B12050" t="s" s="8">
        <v>4519</v>
      </c>
      <c r="C12050" t="s" s="9">
        <v>14</v>
      </c>
      <c r="D12050" t="s" s="8">
        <v>14</v>
      </c>
      <c r="E12050" t="s" s="9">
        <v>14</v>
      </c>
      <c r="F12050" t="s" s="10">
        <v>14</v>
      </c>
      <c r="G12050" t="s" s="11">
        <v>14</v>
      </c>
      <c r="H12050" t="s" s="10">
        <v>14</v>
      </c>
      <c r="I12050" t="s" s="11">
        <v>14</v>
      </c>
      <c r="J12050" t="s" s="11">
        <v>14</v>
      </c>
      <c r="K12050" t="s" s="12">
        <v>14</v>
      </c>
      <c r="L12050" t="s" s="12">
        <v>14</v>
      </c>
      <c r="M12050" t="s" s="10">
        <v>14</v>
      </c>
      <c r="N12050" t="s" s="11">
        <v>14</v>
      </c>
      <c r="O12050" t="s" s="8">
        <v>14</v>
      </c>
      <c r="P12050" t="s" s="8">
        <v>14</v>
      </c>
      <c r="Q12050" t="s" s="12">
        <v>14</v>
      </c>
      <c r="R12050" t="s" s="12">
        <v>14</v>
      </c>
    </row>
    <row r="12051" s="2" customFormat="1" ht="13.5" customHeight="1">
      <c r="B12051" s="13"/>
      <c r="C12051" t="s" s="9">
        <v>16</v>
      </c>
      <c r="D12051" t="s" s="8">
        <v>4519</v>
      </c>
      <c r="E12051" t="s" s="9">
        <v>4519</v>
      </c>
      <c r="F12051" t="s" s="10">
        <v>25</v>
      </c>
      <c r="G12051" s="14"/>
      <c r="H12051" s="19">
        <v>10</v>
      </c>
      <c r="I12051" s="14"/>
      <c r="J12051" t="s" s="11">
        <v>20</v>
      </c>
      <c r="K12051" s="15"/>
      <c r="L12051" t="s" s="16">
        <f>HYPERLINK("http://csr.bu.edu/ftp/asl/asllvd/demos/verify_start_end_handshape_annotations//test_auto_move//signs_mov_separ_signers/Liz_667.mov","MOV")</f>
        <v>21</v>
      </c>
      <c r="M12051" t="s" s="10">
        <v>84</v>
      </c>
      <c r="N12051" s="17">
        <v>17</v>
      </c>
      <c r="O12051" s="18">
        <v>2025</v>
      </c>
      <c r="P12051" s="18">
        <v>2087</v>
      </c>
      <c r="Q12051" s="15"/>
      <c r="R12051" t="s" s="16">
        <f>HYPERLINK("http://secrets.rutgers.edu:8080/data/asl-ftp/asllvd/demos/verify_start_end_handshape_annotations//test_auto_move//signs_mov_separ_signers/Liz_667.mov","MOV")</f>
        <v>21</v>
      </c>
    </row>
    <row r="12052" s="2" customFormat="1" ht="13.5" customHeight="1">
      <c r="B12052" s="13"/>
      <c r="C12052" t="s" s="9">
        <v>23</v>
      </c>
      <c r="D12052" t="s" s="8">
        <v>4519</v>
      </c>
      <c r="E12052" t="s" s="9">
        <v>4519</v>
      </c>
      <c r="F12052" s="19">
        <v>1</v>
      </c>
      <c r="G12052" s="14"/>
      <c r="H12052" s="19">
        <v>10</v>
      </c>
      <c r="I12052" s="14"/>
      <c r="J12052" t="s" s="11">
        <v>20</v>
      </c>
      <c r="K12052" s="15"/>
      <c r="L12052" t="s" s="16">
        <f>HYPERLINK("http://csr.bu.edu/ftp/asl/asllvd/demos/verify_start_end_handshape_annotations//test_auto_move//signs_mov_separ_signers/Tyler_667.mov","MOV")</f>
        <v>21</v>
      </c>
      <c r="M12052" t="s" s="10">
        <v>125</v>
      </c>
      <c r="N12052" s="17">
        <v>16</v>
      </c>
      <c r="O12052" s="18">
        <v>2166</v>
      </c>
      <c r="P12052" s="18">
        <v>2197</v>
      </c>
      <c r="Q12052" s="15"/>
      <c r="R12052" t="s" s="16">
        <f>HYPERLINK("http://secrets.rutgers.edu:8080/data/asl-ftp/asllvd/demos/verify_start_end_handshape_annotations//test_auto_move//signs_mov_separ_signers/Tyler_667.mov","MOV")</f>
        <v>21</v>
      </c>
    </row>
    <row r="12053" s="2" customFormat="1" ht="13.5" customHeight="1">
      <c r="B12053" s="13"/>
      <c r="C12053" t="s" s="9">
        <v>27</v>
      </c>
      <c r="D12053" t="s" s="8">
        <v>4519</v>
      </c>
      <c r="E12053" t="s" s="9">
        <v>4519</v>
      </c>
      <c r="F12053" t="s" s="10">
        <v>25</v>
      </c>
      <c r="G12053" s="14"/>
      <c r="H12053" s="19">
        <v>10</v>
      </c>
      <c r="I12053" s="14"/>
      <c r="J12053" t="s" s="11">
        <v>20</v>
      </c>
      <c r="K12053" t="s" s="16">
        <f>HYPERLINK("http://csr.bu.edu/ftp/asl/asllvd/demos/verify_start_end_handshape_annotations//test_auto_move//signs_mov/667_5415_merged.mov","MOV")</f>
        <v>21</v>
      </c>
      <c r="L12053" t="s" s="16">
        <f>HYPERLINK("http://csr.bu.edu/ftp/asl/asllvd/demos/verify_start_end_handshape_annotations//test_auto_move//signs_mov_separ_signers/Naomi_667.mov","MOV")</f>
        <v>21</v>
      </c>
      <c r="M12053" t="s" s="10">
        <v>86</v>
      </c>
      <c r="N12053" s="17">
        <v>17</v>
      </c>
      <c r="O12053" s="18">
        <v>2733</v>
      </c>
      <c r="P12053" s="18">
        <v>2745</v>
      </c>
      <c r="Q12053" t="s" s="16">
        <f>HYPERLINK("http://secrets.rutgers.edu:8080/data/asl-ftp/asllvd/demos/verify_start_end_handshape_annotations//test_auto_move//signs_mov/667_5415_merged.mov","MOV")</f>
        <v>21</v>
      </c>
      <c r="R12053" t="s" s="16">
        <f>HYPERLINK("http://secrets.rutgers.edu:8080/data/asl-ftp/asllvd/demos/verify_start_end_handshape_annotations//test_auto_move//signs_mov_separ_signers/Naomi_667.mov","MOV")</f>
        <v>21</v>
      </c>
    </row>
    <row r="12054" s="2" customFormat="1" ht="13.5" customHeight="1">
      <c r="B12054" s="13"/>
      <c r="C12054" t="s" s="9">
        <v>30</v>
      </c>
      <c r="D12054" t="s" s="8">
        <v>4519</v>
      </c>
      <c r="E12054" t="s" s="9">
        <v>4519</v>
      </c>
      <c r="F12054" t="s" s="10">
        <v>25</v>
      </c>
      <c r="G12054" s="14"/>
      <c r="H12054" s="19">
        <v>10</v>
      </c>
      <c r="I12054" s="14"/>
      <c r="J12054" t="s" s="11">
        <v>20</v>
      </c>
      <c r="K12054" s="15"/>
      <c r="L12054" t="s" s="16">
        <f>HYPERLINK("http://csr.bu.edu/ftp/asl/asllvd/demos/verify_start_end_handshape_annotations//test_auto_move//signs_mov_separ_signers/Brady_667.mov","MOV")</f>
        <v>21</v>
      </c>
      <c r="M12054" t="s" s="10">
        <v>39</v>
      </c>
      <c r="N12054" s="17">
        <v>4</v>
      </c>
      <c r="O12054" s="18">
        <v>1979</v>
      </c>
      <c r="P12054" s="18">
        <v>1996</v>
      </c>
      <c r="Q12054" s="15"/>
      <c r="R12054" t="s" s="16">
        <f>HYPERLINK("http://secrets.rutgers.edu:8080/data/asl-ftp/asllvd/demos/verify_start_end_handshape_annotations//test_auto_move//signs_mov_separ_signers/Brady_667.mov","MOV")</f>
        <v>21</v>
      </c>
    </row>
    <row r="12055" s="2" customFormat="1" ht="13.5" customHeight="1">
      <c r="B12055" s="13"/>
      <c r="C12055" t="s" s="9">
        <v>30</v>
      </c>
      <c r="D12055" t="s" s="8">
        <v>4519</v>
      </c>
      <c r="E12055" t="s" s="9">
        <v>4519</v>
      </c>
      <c r="F12055" s="19">
        <v>1</v>
      </c>
      <c r="G12055" s="14"/>
      <c r="H12055" s="19">
        <v>10</v>
      </c>
      <c r="I12055" s="14"/>
      <c r="J12055" t="s" s="11">
        <v>20</v>
      </c>
      <c r="K12055" s="15"/>
      <c r="L12055" t="s" s="16">
        <f>HYPERLINK("http://csr.bu.edu/ftp/asl/asllvd/demos/verify_start_end_handshape_annotations//test_auto_move//signs_mov_separ_signers/Brady_5415.mov","MOV")</f>
        <v>21</v>
      </c>
      <c r="M12055" t="s" s="10">
        <v>39</v>
      </c>
      <c r="N12055" s="17">
        <v>5</v>
      </c>
      <c r="O12055" s="18">
        <v>684</v>
      </c>
      <c r="P12055" s="18">
        <v>704</v>
      </c>
      <c r="Q12055" s="15"/>
      <c r="R12055" t="s" s="16">
        <f>HYPERLINK("http://secrets.rutgers.edu:8080/data/asl-ftp/asllvd/demos/verify_start_end_handshape_annotations//test_auto_move//signs_mov_separ_signers/Brady_5415.mov","MOV")</f>
        <v>21</v>
      </c>
    </row>
    <row r="12056" s="2" customFormat="1" ht="13.5" customHeight="1">
      <c r="B12056" t="s" s="8">
        <v>4520</v>
      </c>
      <c r="C12056" t="s" s="9">
        <v>14</v>
      </c>
      <c r="D12056" t="s" s="8">
        <v>14</v>
      </c>
      <c r="E12056" t="s" s="9">
        <v>14</v>
      </c>
      <c r="F12056" t="s" s="10">
        <v>14</v>
      </c>
      <c r="G12056" t="s" s="11">
        <v>14</v>
      </c>
      <c r="H12056" t="s" s="10">
        <v>14</v>
      </c>
      <c r="I12056" t="s" s="11">
        <v>14</v>
      </c>
      <c r="J12056" t="s" s="11">
        <v>14</v>
      </c>
      <c r="K12056" t="s" s="12">
        <v>14</v>
      </c>
      <c r="L12056" t="s" s="12">
        <v>14</v>
      </c>
      <c r="M12056" t="s" s="10">
        <v>14</v>
      </c>
      <c r="N12056" t="s" s="11">
        <v>14</v>
      </c>
      <c r="O12056" t="s" s="8">
        <v>14</v>
      </c>
      <c r="P12056" t="s" s="8">
        <v>14</v>
      </c>
      <c r="Q12056" t="s" s="12">
        <v>14</v>
      </c>
      <c r="R12056" t="s" s="12">
        <v>14</v>
      </c>
    </row>
    <row r="12057" s="2" customFormat="1" ht="13.5" customHeight="1">
      <c r="B12057" s="13"/>
      <c r="C12057" t="s" s="9">
        <v>16</v>
      </c>
      <c r="D12057" t="s" s="8">
        <v>4520</v>
      </c>
      <c r="E12057" t="s" s="9">
        <v>4520</v>
      </c>
      <c r="F12057" t="s" s="10">
        <v>119</v>
      </c>
      <c r="G12057" t="s" s="11">
        <v>73</v>
      </c>
      <c r="H12057" t="s" s="10">
        <v>73</v>
      </c>
      <c r="I12057" t="s" s="11">
        <v>73</v>
      </c>
      <c r="J12057" t="s" s="11">
        <v>20</v>
      </c>
      <c r="K12057" s="15"/>
      <c r="L12057" t="s" s="16">
        <f>HYPERLINK("http://csr.bu.edu/ftp/asl/asllvd/demos/verify_start_end_handshape_annotations//test_auto_move//signs_mov_separ_signers/Liz_669.mov","MOV")</f>
        <v>21</v>
      </c>
      <c r="M12057" t="s" s="10">
        <v>84</v>
      </c>
      <c r="N12057" s="17">
        <v>17</v>
      </c>
      <c r="O12057" s="18">
        <v>2549</v>
      </c>
      <c r="P12057" s="18">
        <v>2624</v>
      </c>
      <c r="Q12057" s="15"/>
      <c r="R12057" t="s" s="16">
        <f>HYPERLINK("http://secrets.rutgers.edu:8080/data/asl-ftp/asllvd/demos/verify_start_end_handshape_annotations//test_auto_move//signs_mov_separ_signers/Liz_669.mov","MOV")</f>
        <v>21</v>
      </c>
    </row>
    <row r="12058" s="2" customFormat="1" ht="13.5" customHeight="1">
      <c r="B12058" s="13"/>
      <c r="C12058" t="s" s="9">
        <v>27</v>
      </c>
      <c r="D12058" t="s" s="8">
        <v>4520</v>
      </c>
      <c r="E12058" t="s" s="9">
        <v>4521</v>
      </c>
      <c r="F12058" t="s" s="10">
        <v>119</v>
      </c>
      <c r="G12058" t="s" s="11">
        <v>73</v>
      </c>
      <c r="H12058" t="s" s="10">
        <v>73</v>
      </c>
      <c r="I12058" t="s" s="11">
        <v>73</v>
      </c>
      <c r="J12058" t="s" s="11">
        <v>20</v>
      </c>
      <c r="K12058" t="s" s="16">
        <f>HYPERLINK("http://csr.bu.edu/ftp/asl/asllvd/demos/verify_start_end_handshape_annotations//test_auto_move//signs_mov/669_16275_merged.mov","MOV")</f>
        <v>21</v>
      </c>
      <c r="L12058" t="s" s="16">
        <f>HYPERLINK("http://csr.bu.edu/ftp/asl/asllvd/demos/verify_start_end_handshape_annotations//test_auto_move//signs_mov_separ_signers/Naomi_669.mov","MOV")</f>
        <v>21</v>
      </c>
      <c r="M12058" t="s" s="10">
        <v>86</v>
      </c>
      <c r="N12058" s="17">
        <v>17</v>
      </c>
      <c r="O12058" s="18">
        <v>3756</v>
      </c>
      <c r="P12058" s="18">
        <v>3812</v>
      </c>
      <c r="Q12058" t="s" s="16">
        <f>HYPERLINK("http://secrets.rutgers.edu:8080/data/asl-ftp/asllvd/demos/verify_start_end_handshape_annotations//test_auto_move//signs_mov/669_16275_merged.mov","MOV")</f>
        <v>21</v>
      </c>
      <c r="R12058" t="s" s="16">
        <f>HYPERLINK("http://secrets.rutgers.edu:8080/data/asl-ftp/asllvd/demos/verify_start_end_handshape_annotations//test_auto_move//signs_mov_separ_signers/Naomi_669.mov","MOV")</f>
        <v>21</v>
      </c>
    </row>
    <row r="12059" s="2" customFormat="1" ht="13.5" customHeight="1">
      <c r="B12059" s="13"/>
      <c r="C12059" t="s" s="9">
        <v>30</v>
      </c>
      <c r="D12059" t="s" s="8">
        <v>4520</v>
      </c>
      <c r="E12059" t="s" s="9">
        <v>4521</v>
      </c>
      <c r="F12059" t="s" s="10">
        <v>119</v>
      </c>
      <c r="G12059" t="s" s="11">
        <v>73</v>
      </c>
      <c r="H12059" t="s" s="10">
        <v>73</v>
      </c>
      <c r="I12059" t="s" s="11">
        <v>73</v>
      </c>
      <c r="J12059" t="s" s="11">
        <v>20</v>
      </c>
      <c r="K12059" s="15"/>
      <c r="L12059" t="s" s="16">
        <f>HYPERLINK("http://csr.bu.edu/ftp/asl/asllvd/demos/verify_start_end_handshape_annotations//test_auto_move//signs_mov_separ_signers/Brady_669.mov","MOV")</f>
        <v>21</v>
      </c>
      <c r="M12059" t="s" s="10">
        <v>39</v>
      </c>
      <c r="N12059" s="17">
        <v>4</v>
      </c>
      <c r="O12059" s="18">
        <v>2304</v>
      </c>
      <c r="P12059" s="18">
        <v>2332</v>
      </c>
      <c r="Q12059" s="15"/>
      <c r="R12059" t="s" s="16">
        <f>HYPERLINK("http://secrets.rutgers.edu:8080/data/asl-ftp/asllvd/demos/verify_start_end_handshape_annotations//test_auto_move//signs_mov_separ_signers/Brady_669.mov","MOV")</f>
        <v>21</v>
      </c>
    </row>
    <row r="12060" s="2" customFormat="1" ht="13.5" customHeight="1">
      <c r="B12060" s="13"/>
      <c r="C12060" t="s" s="9">
        <v>30</v>
      </c>
      <c r="D12060" t="s" s="8">
        <v>4520</v>
      </c>
      <c r="E12060" t="s" s="9">
        <v>4521</v>
      </c>
      <c r="F12060" t="s" s="10">
        <v>119</v>
      </c>
      <c r="G12060" t="s" s="11">
        <v>73</v>
      </c>
      <c r="H12060" t="s" s="10">
        <v>73</v>
      </c>
      <c r="I12060" t="s" s="11">
        <v>73</v>
      </c>
      <c r="J12060" t="s" s="11">
        <v>20</v>
      </c>
      <c r="K12060" s="15"/>
      <c r="L12060" t="s" s="16">
        <f>HYPERLINK("http://csr.bu.edu/ftp/asl/asllvd/demos/verify_start_end_handshape_annotations//test_auto_move//signs_mov_separ_signers/Brady_16275.mov","MOV")</f>
        <v>21</v>
      </c>
      <c r="M12060" t="s" s="10">
        <v>39</v>
      </c>
      <c r="N12060" s="17">
        <v>5</v>
      </c>
      <c r="O12060" s="18">
        <v>1082</v>
      </c>
      <c r="P12060" s="18">
        <v>1120</v>
      </c>
      <c r="Q12060" s="15"/>
      <c r="R12060" t="s" s="16">
        <f>HYPERLINK("http://secrets.rutgers.edu:8080/data/asl-ftp/asllvd/demos/verify_start_end_handshape_annotations//test_auto_move//signs_mov_separ_signers/Brady_16275.mov","MOV")</f>
        <v>21</v>
      </c>
    </row>
    <row r="12061" s="2" customFormat="1" ht="13.5" customHeight="1">
      <c r="B12061" t="s" s="8">
        <v>4522</v>
      </c>
      <c r="C12061" t="s" s="9">
        <v>14</v>
      </c>
      <c r="D12061" t="s" s="8">
        <v>14</v>
      </c>
      <c r="E12061" t="s" s="9">
        <v>14</v>
      </c>
      <c r="F12061" t="s" s="10">
        <v>14</v>
      </c>
      <c r="G12061" t="s" s="11">
        <v>14</v>
      </c>
      <c r="H12061" t="s" s="10">
        <v>14</v>
      </c>
      <c r="I12061" t="s" s="11">
        <v>14</v>
      </c>
      <c r="J12061" t="s" s="11">
        <v>14</v>
      </c>
      <c r="K12061" t="s" s="12">
        <v>14</v>
      </c>
      <c r="L12061" t="s" s="12">
        <v>14</v>
      </c>
      <c r="M12061" t="s" s="10">
        <v>14</v>
      </c>
      <c r="N12061" t="s" s="11">
        <v>14</v>
      </c>
      <c r="O12061" t="s" s="8">
        <v>14</v>
      </c>
      <c r="P12061" t="s" s="8">
        <v>14</v>
      </c>
      <c r="Q12061" t="s" s="12">
        <v>14</v>
      </c>
      <c r="R12061" t="s" s="12">
        <v>14</v>
      </c>
    </row>
    <row r="12062" s="2" customFormat="1" ht="13.5" customHeight="1">
      <c r="B12062" s="13"/>
      <c r="C12062" t="s" s="9">
        <v>16</v>
      </c>
      <c r="D12062" t="s" s="8">
        <v>4522</v>
      </c>
      <c r="E12062" t="s" s="9">
        <v>4522</v>
      </c>
      <c r="F12062" t="s" s="10">
        <v>51</v>
      </c>
      <c r="G12062" t="s" s="11">
        <v>51</v>
      </c>
      <c r="H12062" t="s" s="10">
        <v>73</v>
      </c>
      <c r="I12062" t="s" s="11">
        <v>73</v>
      </c>
      <c r="J12062" t="s" s="11">
        <v>20</v>
      </c>
      <c r="K12062" s="15"/>
      <c r="L12062" t="s" s="16">
        <f>HYPERLINK("http://csr.bu.edu/ftp/asl/asllvd/demos/verify_start_end_handshape_annotations//test_auto_move//signs_mov_separ_signers/Liz_677.mov","MOV")</f>
        <v>21</v>
      </c>
      <c r="M12062" t="s" s="10">
        <v>84</v>
      </c>
      <c r="N12062" s="17">
        <v>18</v>
      </c>
      <c r="O12062" s="18">
        <v>1991</v>
      </c>
      <c r="P12062" s="18">
        <v>2052</v>
      </c>
      <c r="Q12062" s="15"/>
      <c r="R12062" t="s" s="16">
        <f>HYPERLINK("http://secrets.rutgers.edu:8080/data/asl-ftp/asllvd/demos/verify_start_end_handshape_annotations//test_auto_move//signs_mov_separ_signers/Liz_677.mov","MOV")</f>
        <v>21</v>
      </c>
    </row>
    <row r="12063" s="2" customFormat="1" ht="13.5" customHeight="1">
      <c r="B12063" s="13"/>
      <c r="C12063" t="s" s="9">
        <v>23</v>
      </c>
      <c r="D12063" t="s" s="8">
        <v>4522</v>
      </c>
      <c r="E12063" t="s" s="9">
        <v>4522</v>
      </c>
      <c r="F12063" t="s" s="10">
        <v>51</v>
      </c>
      <c r="G12063" t="s" s="11">
        <v>51</v>
      </c>
      <c r="H12063" t="s" s="10">
        <v>73</v>
      </c>
      <c r="I12063" t="s" s="11">
        <v>73</v>
      </c>
      <c r="J12063" t="s" s="11">
        <v>20</v>
      </c>
      <c r="K12063" t="s" s="16">
        <f>HYPERLINK("http://csr.bu.edu/ftp/asl/asllvd/demos/verify_start_end_handshape_annotations//test_auto_move//signs_mov/677.mov","MOV")</f>
        <v>21</v>
      </c>
      <c r="L12063" t="s" s="16">
        <f>HYPERLINK("http://csr.bu.edu/ftp/asl/asllvd/demos/verify_start_end_handshape_annotations//test_auto_move//signs_mov_separ_signers/Tyler_677.mov","MOV")</f>
        <v>21</v>
      </c>
      <c r="M12063" t="s" s="10">
        <v>125</v>
      </c>
      <c r="N12063" s="17">
        <v>17</v>
      </c>
      <c r="O12063" s="18">
        <v>2020</v>
      </c>
      <c r="P12063" s="18">
        <v>2064</v>
      </c>
      <c r="Q12063" t="s" s="16">
        <f>HYPERLINK("http://secrets.rutgers.edu:8080/data/asl-ftp/asllvd/demos/verify_start_end_handshape_annotations//test_auto_move//signs_mov/677.mov","MOV")</f>
        <v>21</v>
      </c>
      <c r="R12063" t="s" s="16">
        <f>HYPERLINK("http://secrets.rutgers.edu:8080/data/asl-ftp/asllvd/demos/verify_start_end_handshape_annotations//test_auto_move//signs_mov_separ_signers/Tyler_677.mov","MOV")</f>
        <v>21</v>
      </c>
    </row>
    <row r="12064" s="2" customFormat="1" ht="13.5" customHeight="1">
      <c r="B12064" s="13"/>
      <c r="C12064" t="s" s="9">
        <v>27</v>
      </c>
      <c r="D12064" t="s" s="8">
        <v>4522</v>
      </c>
      <c r="E12064" t="s" s="9">
        <v>4522</v>
      </c>
      <c r="F12064" t="s" s="10">
        <v>51</v>
      </c>
      <c r="G12064" t="s" s="11">
        <v>51</v>
      </c>
      <c r="H12064" t="s" s="10">
        <v>73</v>
      </c>
      <c r="I12064" t="s" s="11">
        <v>73</v>
      </c>
      <c r="J12064" t="s" s="11">
        <v>20</v>
      </c>
      <c r="K12064" s="15"/>
      <c r="L12064" t="s" s="16">
        <f>HYPERLINK("http://csr.bu.edu/ftp/asl/asllvd/demos/verify_start_end_handshape_annotations//test_auto_move//signs_mov_separ_signers/Naomi_677.mov","MOV")</f>
        <v>21</v>
      </c>
      <c r="M12064" t="s" s="10">
        <v>86</v>
      </c>
      <c r="N12064" s="17">
        <v>18</v>
      </c>
      <c r="O12064" s="18">
        <v>1915</v>
      </c>
      <c r="P12064" s="18">
        <v>1956</v>
      </c>
      <c r="Q12064" s="15"/>
      <c r="R12064" t="s" s="16">
        <f>HYPERLINK("http://secrets.rutgers.edu:8080/data/asl-ftp/asllvd/demos/verify_start_end_handshape_annotations//test_auto_move//signs_mov_separ_signers/Naomi_677.mov","MOV")</f>
        <v>21</v>
      </c>
    </row>
    <row r="12065" s="2" customFormat="1" ht="13.5" customHeight="1">
      <c r="B12065" s="13"/>
      <c r="C12065" t="s" s="9">
        <v>30</v>
      </c>
      <c r="D12065" t="s" s="8">
        <v>4522</v>
      </c>
      <c r="E12065" t="s" s="9">
        <v>4522</v>
      </c>
      <c r="F12065" t="s" s="10">
        <v>51</v>
      </c>
      <c r="G12065" t="s" s="11">
        <v>51</v>
      </c>
      <c r="H12065" t="s" s="10">
        <v>73</v>
      </c>
      <c r="I12065" t="s" s="11">
        <v>73</v>
      </c>
      <c r="J12065" t="s" s="11">
        <v>20</v>
      </c>
      <c r="K12065" s="15"/>
      <c r="L12065" t="s" s="16">
        <f>HYPERLINK("http://csr.bu.edu/ftp/asl/asllvd/demos/verify_start_end_handshape_annotations//test_auto_move//signs_mov_separ_signers/Brady_677.mov","MOV")</f>
        <v>21</v>
      </c>
      <c r="M12065" t="s" s="10">
        <v>39</v>
      </c>
      <c r="N12065" s="17">
        <v>5</v>
      </c>
      <c r="O12065" s="18">
        <v>1867</v>
      </c>
      <c r="P12065" s="18">
        <v>1888</v>
      </c>
      <c r="Q12065" s="15"/>
      <c r="R12065" t="s" s="16">
        <f>HYPERLINK("http://secrets.rutgers.edu:8080/data/asl-ftp/asllvd/demos/verify_start_end_handshape_annotations//test_auto_move//signs_mov_separ_signers/Brady_677.mov","MOV")</f>
        <v>21</v>
      </c>
    </row>
    <row r="12066" s="2" customFormat="1" ht="13.5" customHeight="1">
      <c r="B12066" t="s" s="8">
        <v>4523</v>
      </c>
      <c r="C12066" t="s" s="9">
        <v>14</v>
      </c>
      <c r="D12066" t="s" s="8">
        <v>14</v>
      </c>
      <c r="E12066" t="s" s="9">
        <v>14</v>
      </c>
      <c r="F12066" t="s" s="10">
        <v>14</v>
      </c>
      <c r="G12066" t="s" s="11">
        <v>14</v>
      </c>
      <c r="H12066" t="s" s="10">
        <v>14</v>
      </c>
      <c r="I12066" t="s" s="11">
        <v>14</v>
      </c>
      <c r="J12066" t="s" s="11">
        <v>14</v>
      </c>
      <c r="K12066" t="s" s="12">
        <v>14</v>
      </c>
      <c r="L12066" t="s" s="12">
        <v>14</v>
      </c>
      <c r="M12066" t="s" s="10">
        <v>14</v>
      </c>
      <c r="N12066" t="s" s="11">
        <v>14</v>
      </c>
      <c r="O12066" t="s" s="8">
        <v>14</v>
      </c>
      <c r="P12066" t="s" s="8">
        <v>14</v>
      </c>
      <c r="Q12066" t="s" s="12">
        <v>14</v>
      </c>
      <c r="R12066" t="s" s="12">
        <v>14</v>
      </c>
    </row>
    <row r="12067" s="2" customFormat="1" ht="13.5" customHeight="1">
      <c r="B12067" s="13"/>
      <c r="C12067" t="s" s="9">
        <v>16</v>
      </c>
      <c r="D12067" t="s" s="8">
        <v>4523</v>
      </c>
      <c r="E12067" t="s" s="9">
        <v>4523</v>
      </c>
      <c r="F12067" s="19">
        <v>1</v>
      </c>
      <c r="G12067" t="s" s="11">
        <v>72</v>
      </c>
      <c r="H12067" t="s" s="10">
        <v>72</v>
      </c>
      <c r="I12067" t="s" s="11">
        <v>72</v>
      </c>
      <c r="J12067" t="s" s="11">
        <v>20</v>
      </c>
      <c r="K12067" s="15"/>
      <c r="L12067" t="s" s="16">
        <f>HYPERLINK("http://csr.bu.edu/ftp/asl/asllvd/demos/verify_start_end_handshape_annotations//test_auto_move//signs_mov_separ_signers/Liz_693.mov","MOV")</f>
        <v>21</v>
      </c>
      <c r="M12067" t="s" s="10">
        <v>84</v>
      </c>
      <c r="N12067" s="17">
        <v>20</v>
      </c>
      <c r="O12067" s="18">
        <v>965</v>
      </c>
      <c r="P12067" s="18">
        <v>1020</v>
      </c>
      <c r="Q12067" s="15"/>
      <c r="R12067" t="s" s="16">
        <f>HYPERLINK("http://secrets.rutgers.edu:8080/data/asl-ftp/asllvd/demos/verify_start_end_handshape_annotations//test_auto_move//signs_mov_separ_signers/Liz_693.mov","MOV")</f>
        <v>21</v>
      </c>
    </row>
    <row r="12068" s="2" customFormat="1" ht="13.5" customHeight="1">
      <c r="B12068" s="13"/>
      <c r="C12068" t="s" s="9">
        <v>23</v>
      </c>
      <c r="D12068" t="s" s="8">
        <v>4523</v>
      </c>
      <c r="E12068" t="s" s="9">
        <v>4523</v>
      </c>
      <c r="F12068" s="19">
        <v>1</v>
      </c>
      <c r="G12068" t="s" s="11">
        <v>72</v>
      </c>
      <c r="H12068" t="s" s="10">
        <v>72</v>
      </c>
      <c r="I12068" t="s" s="11">
        <v>72</v>
      </c>
      <c r="J12068" t="s" s="11">
        <v>20</v>
      </c>
      <c r="K12068" t="s" s="16">
        <f>HYPERLINK("http://csr.bu.edu/ftp/asl/asllvd/demos/verify_start_end_handshape_annotations//test_auto_move//signs_mov/693.mov","MOV")</f>
        <v>21</v>
      </c>
      <c r="L12068" t="s" s="16">
        <f>HYPERLINK("http://csr.bu.edu/ftp/asl/asllvd/demos/verify_start_end_handshape_annotations//test_auto_move//signs_mov_separ_signers/Tyler_693.mov","MOV")</f>
        <v>21</v>
      </c>
      <c r="M12068" t="s" s="10">
        <v>125</v>
      </c>
      <c r="N12068" s="17">
        <v>19</v>
      </c>
      <c r="O12068" s="18">
        <v>971</v>
      </c>
      <c r="P12068" s="18">
        <v>1009</v>
      </c>
      <c r="Q12068" t="s" s="16">
        <f>HYPERLINK("http://secrets.rutgers.edu:8080/data/asl-ftp/asllvd/demos/verify_start_end_handshape_annotations//test_auto_move//signs_mov/693.mov","MOV")</f>
        <v>21</v>
      </c>
      <c r="R12068" t="s" s="16">
        <f>HYPERLINK("http://secrets.rutgers.edu:8080/data/asl-ftp/asllvd/demos/verify_start_end_handshape_annotations//test_auto_move//signs_mov_separ_signers/Tyler_693.mov","MOV")</f>
        <v>21</v>
      </c>
    </row>
    <row r="12069" s="2" customFormat="1" ht="13.5" customHeight="1">
      <c r="B12069" s="13"/>
      <c r="C12069" t="s" s="9">
        <v>27</v>
      </c>
      <c r="D12069" t="s" s="8">
        <v>4523</v>
      </c>
      <c r="E12069" t="s" s="9">
        <v>4523</v>
      </c>
      <c r="F12069" s="19">
        <v>1</v>
      </c>
      <c r="G12069" t="s" s="11">
        <v>72</v>
      </c>
      <c r="H12069" t="s" s="10">
        <v>72</v>
      </c>
      <c r="I12069" t="s" s="11">
        <v>72</v>
      </c>
      <c r="J12069" t="s" s="11">
        <v>20</v>
      </c>
      <c r="K12069" s="15"/>
      <c r="L12069" t="s" s="16">
        <f>HYPERLINK("http://csr.bu.edu/ftp/asl/asllvd/demos/verify_start_end_handshape_annotations//test_auto_move//signs_mov_separ_signers/Naomi_693.mov","MOV")</f>
        <v>21</v>
      </c>
      <c r="M12069" t="s" s="10">
        <v>86</v>
      </c>
      <c r="N12069" s="17">
        <v>20</v>
      </c>
      <c r="O12069" s="18">
        <v>757</v>
      </c>
      <c r="P12069" s="18">
        <v>791</v>
      </c>
      <c r="Q12069" s="15"/>
      <c r="R12069" t="s" s="16">
        <f>HYPERLINK("http://secrets.rutgers.edu:8080/data/asl-ftp/asllvd/demos/verify_start_end_handshape_annotations//test_auto_move//signs_mov_separ_signers/Naomi_693.mov","MOV")</f>
        <v>21</v>
      </c>
    </row>
    <row r="12070" s="2" customFormat="1" ht="13.5" customHeight="1">
      <c r="B12070" s="13"/>
      <c r="C12070" t="s" s="9">
        <v>30</v>
      </c>
      <c r="D12070" t="s" s="8">
        <v>4523</v>
      </c>
      <c r="E12070" t="s" s="9">
        <v>4523</v>
      </c>
      <c r="F12070" s="19">
        <v>1</v>
      </c>
      <c r="G12070" t="s" s="11">
        <v>72</v>
      </c>
      <c r="H12070" t="s" s="10">
        <v>72</v>
      </c>
      <c r="I12070" t="s" s="11">
        <v>72</v>
      </c>
      <c r="J12070" t="s" s="11">
        <v>20</v>
      </c>
      <c r="K12070" s="15"/>
      <c r="L12070" t="s" s="16">
        <f>HYPERLINK("http://csr.bu.edu/ftp/asl/asllvd/demos/verify_start_end_handshape_annotations//test_auto_move//signs_mov_separ_signers/Brady_693.mov","MOV")</f>
        <v>21</v>
      </c>
      <c r="M12070" t="s" s="10">
        <v>39</v>
      </c>
      <c r="N12070" s="17">
        <v>5</v>
      </c>
      <c r="O12070" s="18">
        <v>2582</v>
      </c>
      <c r="P12070" s="18">
        <v>2613</v>
      </c>
      <c r="Q12070" s="15"/>
      <c r="R12070" t="s" s="16">
        <f>HYPERLINK("http://secrets.rutgers.edu:8080/data/asl-ftp/asllvd/demos/verify_start_end_handshape_annotations//test_auto_move//signs_mov_separ_signers/Brady_693.mov","MOV")</f>
        <v>21</v>
      </c>
    </row>
    <row r="12071" s="2" customFormat="1" ht="13.5" customHeight="1">
      <c r="B12071" t="s" s="8">
        <v>4524</v>
      </c>
      <c r="C12071" t="s" s="9">
        <v>14</v>
      </c>
      <c r="D12071" t="s" s="8">
        <v>14</v>
      </c>
      <c r="E12071" t="s" s="9">
        <v>14</v>
      </c>
      <c r="F12071" t="s" s="10">
        <v>14</v>
      </c>
      <c r="G12071" t="s" s="11">
        <v>14</v>
      </c>
      <c r="H12071" t="s" s="10">
        <v>14</v>
      </c>
      <c r="I12071" t="s" s="11">
        <v>14</v>
      </c>
      <c r="J12071" t="s" s="11">
        <v>14</v>
      </c>
      <c r="K12071" t="s" s="12">
        <v>14</v>
      </c>
      <c r="L12071" t="s" s="12">
        <v>14</v>
      </c>
      <c r="M12071" t="s" s="10">
        <v>14</v>
      </c>
      <c r="N12071" t="s" s="11">
        <v>14</v>
      </c>
      <c r="O12071" t="s" s="8">
        <v>14</v>
      </c>
      <c r="P12071" t="s" s="8">
        <v>14</v>
      </c>
      <c r="Q12071" t="s" s="12">
        <v>14</v>
      </c>
      <c r="R12071" t="s" s="12">
        <v>14</v>
      </c>
    </row>
    <row r="12072" s="2" customFormat="1" ht="13.5" customHeight="1">
      <c r="B12072" s="13"/>
      <c r="C12072" t="s" s="9">
        <v>16</v>
      </c>
      <c r="D12072" t="s" s="8">
        <v>4524</v>
      </c>
      <c r="E12072" t="s" s="9">
        <v>4525</v>
      </c>
      <c r="F12072" t="s" s="10">
        <v>51</v>
      </c>
      <c r="G12072" s="14"/>
      <c r="H12072" t="s" s="10">
        <v>28</v>
      </c>
      <c r="I12072" s="14"/>
      <c r="J12072" t="s" s="11">
        <v>20</v>
      </c>
      <c r="K12072" s="15"/>
      <c r="L12072" t="s" s="16">
        <f>HYPERLINK("http://csr.bu.edu/ftp/asl/asllvd/demos/verify_start_end_handshape_annotations//test_auto_move//signs_mov_separ_signers/Liz_704.mov","MOV")</f>
        <v>21</v>
      </c>
      <c r="M12072" t="s" s="10">
        <v>84</v>
      </c>
      <c r="N12072" s="17">
        <v>21</v>
      </c>
      <c r="O12072" s="18">
        <v>1077</v>
      </c>
      <c r="P12072" s="18">
        <v>1110</v>
      </c>
      <c r="Q12072" s="15"/>
      <c r="R12072" t="s" s="16">
        <f>HYPERLINK("http://secrets.rutgers.edu:8080/data/asl-ftp/asllvd/demos/verify_start_end_handshape_annotations//test_auto_move//signs_mov_separ_signers/Liz_704.mov","MOV")</f>
        <v>21</v>
      </c>
    </row>
    <row r="12073" s="2" customFormat="1" ht="13.5" customHeight="1">
      <c r="B12073" s="13"/>
      <c r="C12073" t="s" s="9">
        <v>23</v>
      </c>
      <c r="D12073" t="s" s="8">
        <v>4524</v>
      </c>
      <c r="E12073" t="s" s="9">
        <v>4526</v>
      </c>
      <c r="F12073" t="s" s="10">
        <v>51</v>
      </c>
      <c r="G12073" s="14"/>
      <c r="H12073" t="s" s="10">
        <v>19</v>
      </c>
      <c r="I12073" s="14"/>
      <c r="J12073" t="s" s="11">
        <v>20</v>
      </c>
      <c r="K12073" s="15"/>
      <c r="L12073" t="s" s="16">
        <f>HYPERLINK("http://csr.bu.edu/ftp/asl/asllvd/demos/verify_start_end_handshape_annotations//test_auto_move//signs_mov_separ_signers/Tyler_704.mov","MOV")</f>
        <v>21</v>
      </c>
      <c r="M12073" t="s" s="10">
        <v>92</v>
      </c>
      <c r="N12073" s="17">
        <v>1</v>
      </c>
      <c r="O12073" s="18">
        <v>3946</v>
      </c>
      <c r="P12073" s="18">
        <v>3984</v>
      </c>
      <c r="Q12073" s="15"/>
      <c r="R12073" t="s" s="16">
        <f>HYPERLINK("http://secrets.rutgers.edu:8080/data/asl-ftp/asllvd/demos/verify_start_end_handshape_annotations//test_auto_move//signs_mov_separ_signers/Tyler_704.mov","MOV")</f>
        <v>21</v>
      </c>
    </row>
    <row r="12074" s="2" customFormat="1" ht="13.5" customHeight="1">
      <c r="B12074" s="13"/>
      <c r="C12074" t="s" s="9">
        <v>27</v>
      </c>
      <c r="D12074" t="s" s="8">
        <v>4524</v>
      </c>
      <c r="E12074" t="s" s="9">
        <v>4526</v>
      </c>
      <c r="F12074" t="s" s="10">
        <v>51</v>
      </c>
      <c r="G12074" s="14"/>
      <c r="H12074" t="s" s="10">
        <v>28</v>
      </c>
      <c r="I12074" s="14"/>
      <c r="J12074" t="s" s="11">
        <v>20</v>
      </c>
      <c r="K12074" t="s" s="16">
        <f>HYPERLINK("http://csr.bu.edu/ftp/asl/asllvd/demos/verify_start_end_handshape_annotations//test_auto_move//signs_mov/704.mov","MOV")</f>
        <v>21</v>
      </c>
      <c r="L12074" t="s" s="16">
        <f>HYPERLINK("http://csr.bu.edu/ftp/asl/asllvd/demos/verify_start_end_handshape_annotations//test_auto_move//signs_mov_separ_signers/Naomi_704.mov","MOV")</f>
        <v>21</v>
      </c>
      <c r="M12074" t="s" s="10">
        <v>86</v>
      </c>
      <c r="N12074" s="17">
        <v>21</v>
      </c>
      <c r="O12074" s="18">
        <v>1707</v>
      </c>
      <c r="P12074" s="18">
        <v>1730</v>
      </c>
      <c r="Q12074" t="s" s="16">
        <f>HYPERLINK("http://secrets.rutgers.edu:8080/data/asl-ftp/asllvd/demos/verify_start_end_handshape_annotations//test_auto_move//signs_mov/704.mov","MOV")</f>
        <v>21</v>
      </c>
      <c r="R12074" t="s" s="16">
        <f>HYPERLINK("http://secrets.rutgers.edu:8080/data/asl-ftp/asllvd/demos/verify_start_end_handshape_annotations//test_auto_move//signs_mov_separ_signers/Naomi_704.mov","MOV")</f>
        <v>21</v>
      </c>
    </row>
    <row r="12075" s="2" customFormat="1" ht="13.5" customHeight="1">
      <c r="B12075" s="13"/>
      <c r="C12075" t="s" s="9">
        <v>30</v>
      </c>
      <c r="D12075" t="s" s="8">
        <v>4524</v>
      </c>
      <c r="E12075" t="s" s="9">
        <v>4526</v>
      </c>
      <c r="F12075" t="s" s="10">
        <v>51</v>
      </c>
      <c r="G12075" s="14"/>
      <c r="H12075" t="s" s="10">
        <v>337</v>
      </c>
      <c r="I12075" s="14"/>
      <c r="J12075" t="s" s="11">
        <v>20</v>
      </c>
      <c r="K12075" s="15"/>
      <c r="L12075" t="s" s="16">
        <f>HYPERLINK("http://csr.bu.edu/ftp/asl/asllvd/demos/verify_start_end_handshape_annotations//test_auto_move//signs_mov_separ_signers/Brady_704.mov","MOV")</f>
        <v>21</v>
      </c>
      <c r="M12075" t="s" s="10">
        <v>31</v>
      </c>
      <c r="N12075" s="17">
        <v>37</v>
      </c>
      <c r="O12075" s="18">
        <v>830</v>
      </c>
      <c r="P12075" s="18">
        <v>851</v>
      </c>
      <c r="Q12075" s="15"/>
      <c r="R12075" t="s" s="16">
        <f>HYPERLINK("http://secrets.rutgers.edu:8080/data/asl-ftp/asllvd/demos/verify_start_end_handshape_annotations//test_auto_move//signs_mov_separ_signers/Brady_704.mov","MOV")</f>
        <v>21</v>
      </c>
    </row>
    <row r="12076" s="2" customFormat="1" ht="13.5" customHeight="1">
      <c r="B12076" s="13"/>
      <c r="C12076" t="s" s="9">
        <v>41</v>
      </c>
      <c r="D12076" t="s" s="8">
        <v>4524</v>
      </c>
      <c r="E12076" t="s" s="9">
        <v>4526</v>
      </c>
      <c r="F12076" t="s" s="10">
        <v>51</v>
      </c>
      <c r="G12076" s="14"/>
      <c r="H12076" t="s" s="10">
        <v>337</v>
      </c>
      <c r="I12076" s="14"/>
      <c r="J12076" t="s" s="11">
        <v>20</v>
      </c>
      <c r="K12076" s="15"/>
      <c r="L12076" t="s" s="16">
        <f>HYPERLINK("http://csr.bu.edu/ftp/asl/asllvd/demos/verify_start_end_handshape_annotations//test_auto_move//signs_mov_separ_signers/Lana_704.mov","MOV")</f>
        <v>21</v>
      </c>
      <c r="M12076" t="s" s="10">
        <v>42</v>
      </c>
      <c r="N12076" s="17">
        <v>7</v>
      </c>
      <c r="O12076" s="18">
        <v>640</v>
      </c>
      <c r="P12076" s="18">
        <v>662</v>
      </c>
      <c r="Q12076" s="15"/>
      <c r="R12076" t="s" s="16">
        <f>HYPERLINK("http://secrets.rutgers.edu:8080/data/asl-ftp/asllvd/demos/verify_start_end_handshape_annotations//test_auto_move//signs_mov_separ_signers/Lana_704.mov","MOV")</f>
        <v>21</v>
      </c>
    </row>
    <row r="12077" s="2" customFormat="1" ht="13.5" customHeight="1">
      <c r="B12077" s="13"/>
      <c r="C12077" t="s" s="9">
        <v>43</v>
      </c>
      <c r="D12077" t="s" s="8">
        <v>4524</v>
      </c>
      <c r="E12077" t="s" s="9">
        <v>4525</v>
      </c>
      <c r="F12077" t="s" s="10">
        <v>51</v>
      </c>
      <c r="G12077" s="14"/>
      <c r="H12077" t="s" s="10">
        <v>337</v>
      </c>
      <c r="I12077" s="14"/>
      <c r="J12077" t="s" s="11">
        <v>20</v>
      </c>
      <c r="K12077" s="15"/>
      <c r="L12077" t="s" s="16">
        <f>HYPERLINK("http://csr.bu.edu/ftp/asl/asllvd/demos/verify_start_end_handshape_annotations//test_auto_move//signs_mov_separ_signers/Dana_704.mov","MOV")</f>
        <v>21</v>
      </c>
      <c r="M12077" t="s" s="10">
        <v>44</v>
      </c>
      <c r="N12077" s="17">
        <v>11</v>
      </c>
      <c r="O12077" s="18">
        <v>675</v>
      </c>
      <c r="P12077" s="18">
        <v>735</v>
      </c>
      <c r="Q12077" s="15"/>
      <c r="R12077" t="s" s="16">
        <f>HYPERLINK("http://secrets.rutgers.edu:8080/data/asl-ftp/asllvd/demos/verify_start_end_handshape_annotations//test_auto_move//signs_mov_separ_signers/Dana_704.mov","MOV")</f>
        <v>21</v>
      </c>
    </row>
    <row r="12078" s="2" customFormat="1" ht="13.5" customHeight="1">
      <c r="B12078" t="s" s="8">
        <v>4527</v>
      </c>
      <c r="C12078" t="s" s="9">
        <v>14</v>
      </c>
      <c r="D12078" t="s" s="8">
        <v>14</v>
      </c>
      <c r="E12078" t="s" s="9">
        <v>14</v>
      </c>
      <c r="F12078" t="s" s="10">
        <v>14</v>
      </c>
      <c r="G12078" t="s" s="11">
        <v>14</v>
      </c>
      <c r="H12078" t="s" s="10">
        <v>14</v>
      </c>
      <c r="I12078" t="s" s="11">
        <v>14</v>
      </c>
      <c r="J12078" t="s" s="11">
        <v>14</v>
      </c>
      <c r="K12078" t="s" s="12">
        <v>14</v>
      </c>
      <c r="L12078" t="s" s="12">
        <v>14</v>
      </c>
      <c r="M12078" t="s" s="10">
        <v>14</v>
      </c>
      <c r="N12078" t="s" s="11">
        <v>14</v>
      </c>
      <c r="O12078" t="s" s="8">
        <v>14</v>
      </c>
      <c r="P12078" t="s" s="8">
        <v>14</v>
      </c>
      <c r="Q12078" t="s" s="12">
        <v>14</v>
      </c>
      <c r="R12078" t="s" s="12">
        <v>14</v>
      </c>
    </row>
    <row r="12079" s="2" customFormat="1" ht="13.5" customHeight="1">
      <c r="B12079" s="13"/>
      <c r="C12079" t="s" s="9">
        <v>16</v>
      </c>
      <c r="D12079" t="s" s="8">
        <v>4528</v>
      </c>
      <c r="E12079" t="s" s="9">
        <v>4528</v>
      </c>
      <c r="F12079" s="19">
        <v>1</v>
      </c>
      <c r="G12079" s="14"/>
      <c r="H12079" s="19">
        <v>1</v>
      </c>
      <c r="I12079" t="s" s="11">
        <v>185</v>
      </c>
      <c r="J12079" t="s" s="11">
        <v>20</v>
      </c>
      <c r="K12079" s="15"/>
      <c r="L12079" t="s" s="16">
        <f>HYPERLINK("http://csr.bu.edu/ftp/asl/asllvd/demos/verify_start_end_handshape_annotations//test_auto_move//signs_mov_separ_signers/Liz_749.mov","MOV")</f>
        <v>21</v>
      </c>
      <c r="M12079" t="s" s="10">
        <v>84</v>
      </c>
      <c r="N12079" s="17">
        <v>25</v>
      </c>
      <c r="O12079" s="18">
        <v>2390</v>
      </c>
      <c r="P12079" s="18">
        <v>2492</v>
      </c>
      <c r="Q12079" s="15"/>
      <c r="R12079" t="s" s="16">
        <f>HYPERLINK("http://secrets.rutgers.edu:8080/data/asl-ftp/asllvd/demos/verify_start_end_handshape_annotations//test_auto_move//signs_mov_separ_signers/Liz_749.mov","MOV")</f>
        <v>21</v>
      </c>
    </row>
    <row r="12080" s="2" customFormat="1" ht="13.5" customHeight="1">
      <c r="B12080" s="13"/>
      <c r="C12080" t="s" s="9">
        <v>27</v>
      </c>
      <c r="D12080" t="s" s="8">
        <v>4528</v>
      </c>
      <c r="E12080" t="s" s="9">
        <v>4528</v>
      </c>
      <c r="F12080" s="19">
        <v>1</v>
      </c>
      <c r="G12080" s="14"/>
      <c r="H12080" s="19">
        <v>1</v>
      </c>
      <c r="I12080" t="s" s="11">
        <v>72</v>
      </c>
      <c r="J12080" t="s" s="11">
        <v>20</v>
      </c>
      <c r="K12080" t="s" s="16">
        <f>HYPERLINK("http://csr.bu.edu/ftp/asl/asllvd/demos/verify_start_end_handshape_annotations//test_auto_move//signs_mov/749.mov","MOV")</f>
        <v>21</v>
      </c>
      <c r="L12080" t="s" s="16">
        <f>HYPERLINK("http://csr.bu.edu/ftp/asl/asllvd/demos/verify_start_end_handshape_annotations//test_auto_move//signs_mov_separ_signers/Naomi_749.mov","MOV")</f>
        <v>21</v>
      </c>
      <c r="M12080" t="s" s="10">
        <v>86</v>
      </c>
      <c r="N12080" s="17">
        <v>25</v>
      </c>
      <c r="O12080" s="18">
        <v>3257</v>
      </c>
      <c r="P12080" s="18">
        <v>3330</v>
      </c>
      <c r="Q12080" t="s" s="16">
        <f>HYPERLINK("http://secrets.rutgers.edu:8080/data/asl-ftp/asllvd/demos/verify_start_end_handshape_annotations//test_auto_move//signs_mov/749.mov","MOV")</f>
        <v>21</v>
      </c>
      <c r="R12080" t="s" s="16">
        <f>HYPERLINK("http://secrets.rutgers.edu:8080/data/asl-ftp/asllvd/demos/verify_start_end_handshape_annotations//test_auto_move//signs_mov_separ_signers/Naomi_749.mov","MOV")</f>
        <v>21</v>
      </c>
    </row>
    <row r="12081" s="2" customFormat="1" ht="13.5" customHeight="1">
      <c r="B12081" s="13"/>
      <c r="C12081" t="s" s="9">
        <v>30</v>
      </c>
      <c r="D12081" t="s" s="8">
        <v>4528</v>
      </c>
      <c r="E12081" t="s" s="9">
        <v>4529</v>
      </c>
      <c r="F12081" s="19">
        <v>1</v>
      </c>
      <c r="G12081" t="s" s="11">
        <v>150</v>
      </c>
      <c r="H12081" s="19">
        <v>1</v>
      </c>
      <c r="I12081" t="s" s="11">
        <v>150</v>
      </c>
      <c r="J12081" t="s" s="11">
        <v>20</v>
      </c>
      <c r="K12081" s="15"/>
      <c r="L12081" t="s" s="16">
        <f>HYPERLINK("http://csr.bu.edu/ftp/asl/asllvd/demos/verify_start_end_handshape_annotations//test_auto_move//signs_mov_separ_signers/Brady_749.mov","MOV")</f>
        <v>21</v>
      </c>
      <c r="M12081" t="s" s="10">
        <v>39</v>
      </c>
      <c r="N12081" s="17">
        <v>8</v>
      </c>
      <c r="O12081" s="18">
        <v>869</v>
      </c>
      <c r="P12081" s="18">
        <v>912</v>
      </c>
      <c r="Q12081" s="15"/>
      <c r="R12081" t="s" s="16">
        <f>HYPERLINK("http://secrets.rutgers.edu:8080/data/asl-ftp/asllvd/demos/verify_start_end_handshape_annotations//test_auto_move//signs_mov_separ_signers/Brady_749.mov","MOV")</f>
        <v>21</v>
      </c>
    </row>
    <row r="12082" s="2" customFormat="1" ht="13.5" customHeight="1">
      <c r="B12082" t="s" s="8">
        <v>52</v>
      </c>
      <c r="C12082" t="s" s="9">
        <v>53</v>
      </c>
      <c r="D12082" t="s" s="8">
        <v>53</v>
      </c>
      <c r="E12082" t="s" s="9">
        <v>53</v>
      </c>
      <c r="F12082" t="s" s="10">
        <v>53</v>
      </c>
      <c r="G12082" t="s" s="11">
        <v>53</v>
      </c>
      <c r="H12082" t="s" s="10">
        <v>53</v>
      </c>
      <c r="I12082" t="s" s="11">
        <v>53</v>
      </c>
      <c r="J12082" t="s" s="11">
        <v>53</v>
      </c>
      <c r="K12082" t="s" s="12">
        <v>53</v>
      </c>
      <c r="L12082" t="s" s="12">
        <v>53</v>
      </c>
      <c r="M12082" t="s" s="10">
        <v>53</v>
      </c>
      <c r="N12082" t="s" s="11">
        <v>53</v>
      </c>
      <c r="O12082" t="s" s="8">
        <v>53</v>
      </c>
      <c r="P12082" t="s" s="8">
        <v>53</v>
      </c>
      <c r="Q12082" t="s" s="12">
        <v>53</v>
      </c>
      <c r="R12082" t="s" s="12">
        <v>53</v>
      </c>
    </row>
    <row r="12083" s="2" customFormat="1" ht="13.5" customHeight="1">
      <c r="B12083" s="13"/>
      <c r="C12083" t="s" s="9">
        <v>23</v>
      </c>
      <c r="D12083" t="s" s="8">
        <v>4528</v>
      </c>
      <c r="E12083" t="s" s="9">
        <v>4530</v>
      </c>
      <c r="F12083" s="19">
        <v>1</v>
      </c>
      <c r="G12083" t="s" s="11">
        <v>72</v>
      </c>
      <c r="H12083" t="s" s="10">
        <v>72</v>
      </c>
      <c r="I12083" t="s" s="11">
        <v>72</v>
      </c>
      <c r="J12083" t="s" s="11">
        <v>20</v>
      </c>
      <c r="K12083" t="s" s="16">
        <f>HYPERLINK("http://csr.bu.edu/ftp/asl/asllvd/demos/verify_start_end_handshape_annotations//test_auto_move//signs_mov/5749.mov","MOV")</f>
        <v>21</v>
      </c>
      <c r="L12083" t="s" s="16">
        <f>HYPERLINK("http://csr.bu.edu/ftp/asl/asllvd/demos/verify_start_end_handshape_annotations//test_auto_move//signs_mov_separ_signers/Tyler_5749.mov","MOV")</f>
        <v>21</v>
      </c>
      <c r="M12083" t="s" s="10">
        <v>92</v>
      </c>
      <c r="N12083" s="17">
        <v>5</v>
      </c>
      <c r="O12083" s="18">
        <v>3562</v>
      </c>
      <c r="P12083" s="18">
        <v>3625</v>
      </c>
      <c r="Q12083" t="s" s="16">
        <f>HYPERLINK("http://secrets.rutgers.edu:8080/data/asl-ftp/asllvd/demos/verify_start_end_handshape_annotations//test_auto_move//signs_mov/5749.mov","MOV")</f>
        <v>21</v>
      </c>
      <c r="R12083" t="s" s="16">
        <f>HYPERLINK("http://secrets.rutgers.edu:8080/data/asl-ftp/asllvd/demos/verify_start_end_handshape_annotations//test_auto_move//signs_mov_separ_signers/Tyler_5749.mov","MOV")</f>
        <v>21</v>
      </c>
    </row>
    <row r="12084" s="2" customFormat="1" ht="27.75" customHeight="1">
      <c r="B12084" s="13"/>
      <c r="C12084" t="s" s="9">
        <v>30</v>
      </c>
      <c r="D12084" t="s" s="8">
        <v>4528</v>
      </c>
      <c r="E12084" t="s" s="9">
        <v>4531</v>
      </c>
      <c r="F12084" s="19">
        <v>1</v>
      </c>
      <c r="G12084" t="s" s="11">
        <v>72</v>
      </c>
      <c r="H12084" t="s" s="10">
        <v>72</v>
      </c>
      <c r="I12084" t="s" s="11">
        <v>72</v>
      </c>
      <c r="J12084" t="s" s="11">
        <v>20</v>
      </c>
      <c r="K12084" s="15"/>
      <c r="L12084" t="s" s="16">
        <f>HYPERLINK("http://csr.bu.edu/ftp/asl/asllvd/demos/verify_start_end_handshape_annotations//test_auto_move//signs_mov_separ_signers/Brady_5749.mov","MOV")</f>
        <v>21</v>
      </c>
      <c r="M12084" t="s" s="10">
        <v>39</v>
      </c>
      <c r="N12084" s="17">
        <v>8</v>
      </c>
      <c r="O12084" s="18">
        <v>2810</v>
      </c>
      <c r="P12084" s="18">
        <v>2861</v>
      </c>
      <c r="Q12084" s="15"/>
      <c r="R12084" t="s" s="16">
        <f>HYPERLINK("http://secrets.rutgers.edu:8080/data/asl-ftp/asllvd/demos/verify_start_end_handshape_annotations//test_auto_move//signs_mov_separ_signers/Brady_5749.mov","MOV")</f>
        <v>21</v>
      </c>
    </row>
    <row r="12085" s="2" customFormat="1" ht="13.5" customHeight="1">
      <c r="B12085" t="s" s="8">
        <v>4532</v>
      </c>
      <c r="C12085" t="s" s="9">
        <v>14</v>
      </c>
      <c r="D12085" t="s" s="8">
        <v>14</v>
      </c>
      <c r="E12085" t="s" s="9">
        <v>14</v>
      </c>
      <c r="F12085" t="s" s="10">
        <v>14</v>
      </c>
      <c r="G12085" t="s" s="11">
        <v>14</v>
      </c>
      <c r="H12085" t="s" s="10">
        <v>14</v>
      </c>
      <c r="I12085" t="s" s="11">
        <v>14</v>
      </c>
      <c r="J12085" t="s" s="11">
        <v>14</v>
      </c>
      <c r="K12085" t="s" s="12">
        <v>14</v>
      </c>
      <c r="L12085" t="s" s="12">
        <v>14</v>
      </c>
      <c r="M12085" t="s" s="10">
        <v>14</v>
      </c>
      <c r="N12085" t="s" s="11">
        <v>14</v>
      </c>
      <c r="O12085" t="s" s="8">
        <v>14</v>
      </c>
      <c r="P12085" t="s" s="8">
        <v>14</v>
      </c>
      <c r="Q12085" t="s" s="12">
        <v>14</v>
      </c>
      <c r="R12085" t="s" s="12">
        <v>14</v>
      </c>
    </row>
    <row r="12086" s="2" customFormat="1" ht="13.5" customHeight="1">
      <c r="B12086" s="13"/>
      <c r="C12086" t="s" s="9">
        <v>27</v>
      </c>
      <c r="D12086" t="s" s="8">
        <v>4532</v>
      </c>
      <c r="E12086" t="s" s="9">
        <v>4532</v>
      </c>
      <c r="F12086" s="19">
        <v>1</v>
      </c>
      <c r="G12086" s="14"/>
      <c r="H12086" t="s" s="10">
        <v>268</v>
      </c>
      <c r="I12086" t="s" s="11">
        <v>268</v>
      </c>
      <c r="J12086" t="s" s="11">
        <v>20</v>
      </c>
      <c r="K12086" t="s" s="16">
        <f>HYPERLINK("http://csr.bu.edu/ftp/asl/asllvd/demos/verify_start_end_handshape_annotations//test_auto_move//signs_mov/763.mov","MOV")</f>
        <v>21</v>
      </c>
      <c r="L12086" t="s" s="16">
        <f>HYPERLINK("http://csr.bu.edu/ftp/asl/asllvd/demos/verify_start_end_handshape_annotations//test_auto_move//signs_mov_separ_signers/Naomi_763.mov","MOV")</f>
        <v>21</v>
      </c>
      <c r="M12086" t="s" s="10">
        <v>86</v>
      </c>
      <c r="N12086" s="17">
        <v>27</v>
      </c>
      <c r="O12086" s="18">
        <v>604</v>
      </c>
      <c r="P12086" s="18">
        <v>655</v>
      </c>
      <c r="Q12086" t="s" s="16">
        <f>HYPERLINK("http://secrets.rutgers.edu:8080/data/asl-ftp/asllvd/demos/verify_start_end_handshape_annotations//test_auto_move//signs_mov/763.mov","MOV")</f>
        <v>21</v>
      </c>
      <c r="R12086" t="s" s="16">
        <f>HYPERLINK("http://secrets.rutgers.edu:8080/data/asl-ftp/asllvd/demos/verify_start_end_handshape_annotations//test_auto_move//signs_mov_separ_signers/Naomi_763.mov","MOV")</f>
        <v>21</v>
      </c>
    </row>
    <row r="12087" s="2" customFormat="1" ht="13.5" customHeight="1">
      <c r="B12087" t="s" s="8">
        <v>4533</v>
      </c>
      <c r="C12087" t="s" s="9">
        <v>14</v>
      </c>
      <c r="D12087" t="s" s="8">
        <v>14</v>
      </c>
      <c r="E12087" t="s" s="9">
        <v>14</v>
      </c>
      <c r="F12087" t="s" s="10">
        <v>14</v>
      </c>
      <c r="G12087" t="s" s="11">
        <v>14</v>
      </c>
      <c r="H12087" t="s" s="10">
        <v>14</v>
      </c>
      <c r="I12087" t="s" s="11">
        <v>14</v>
      </c>
      <c r="J12087" t="s" s="11">
        <v>14</v>
      </c>
      <c r="K12087" t="s" s="12">
        <v>14</v>
      </c>
      <c r="L12087" t="s" s="12">
        <v>14</v>
      </c>
      <c r="M12087" t="s" s="10">
        <v>14</v>
      </c>
      <c r="N12087" t="s" s="11">
        <v>14</v>
      </c>
      <c r="O12087" t="s" s="8">
        <v>14</v>
      </c>
      <c r="P12087" t="s" s="8">
        <v>14</v>
      </c>
      <c r="Q12087" t="s" s="12">
        <v>14</v>
      </c>
      <c r="R12087" t="s" s="12">
        <v>14</v>
      </c>
    </row>
    <row r="12088" s="2" customFormat="1" ht="13.5" customHeight="1">
      <c r="B12088" s="13"/>
      <c r="C12088" t="s" s="9">
        <v>16</v>
      </c>
      <c r="D12088" t="s" s="8">
        <v>4533</v>
      </c>
      <c r="E12088" t="s" s="9">
        <v>4533</v>
      </c>
      <c r="F12088" t="s" s="10">
        <v>115</v>
      </c>
      <c r="G12088" s="14"/>
      <c r="H12088" t="s" s="10">
        <v>136</v>
      </c>
      <c r="I12088" s="14"/>
      <c r="J12088" t="s" s="11">
        <v>20</v>
      </c>
      <c r="K12088" s="15"/>
      <c r="L12088" t="s" s="16">
        <f>HYPERLINK("http://csr.bu.edu/ftp/asl/asllvd/demos/verify_start_end_handshape_annotations//test_auto_move//signs_mov_separ_signers/Liz_764.mov","MOV")</f>
        <v>21</v>
      </c>
      <c r="M12088" t="s" s="10">
        <v>84</v>
      </c>
      <c r="N12088" s="17">
        <v>27</v>
      </c>
      <c r="O12088" s="18">
        <v>1136</v>
      </c>
      <c r="P12088" s="18">
        <v>1202</v>
      </c>
      <c r="Q12088" s="15"/>
      <c r="R12088" t="s" s="16">
        <f>HYPERLINK("http://secrets.rutgers.edu:8080/data/asl-ftp/asllvd/demos/verify_start_end_handshape_annotations//test_auto_move//signs_mov_separ_signers/Liz_764.mov","MOV")</f>
        <v>21</v>
      </c>
    </row>
    <row r="12089" s="2" customFormat="1" ht="13.5" customHeight="1">
      <c r="B12089" s="13"/>
      <c r="C12089" t="s" s="9">
        <v>16</v>
      </c>
      <c r="D12089" t="s" s="8">
        <v>4533</v>
      </c>
      <c r="E12089" t="s" s="9">
        <v>4533</v>
      </c>
      <c r="F12089" t="s" s="10">
        <v>115</v>
      </c>
      <c r="G12089" s="14"/>
      <c r="H12089" t="s" s="10">
        <v>136</v>
      </c>
      <c r="I12089" s="14"/>
      <c r="J12089" t="s" s="11">
        <v>20</v>
      </c>
      <c r="K12089" t="s" s="16">
        <f>HYPERLINK("http://csr.bu.edu/ftp/asl/asllvd/demos/verify_start_end_handshape_annotations//test_auto_move//signs_mov/764_3621_merged.mov","MOV")</f>
        <v>21</v>
      </c>
      <c r="L12089" t="s" s="16">
        <f>HYPERLINK("http://csr.bu.edu/ftp/asl/asllvd/demos/verify_start_end_handshape_annotations//test_auto_move//signs_mov_separ_signers/Liz_3621.mov","MOV")</f>
        <v>21</v>
      </c>
      <c r="M12089" t="s" s="10">
        <v>84</v>
      </c>
      <c r="N12089" s="17">
        <v>27</v>
      </c>
      <c r="O12089" s="18">
        <v>1610</v>
      </c>
      <c r="P12089" s="18">
        <v>1667</v>
      </c>
      <c r="Q12089" t="s" s="16">
        <f>HYPERLINK("http://secrets.rutgers.edu:8080/data/asl-ftp/asllvd/demos/verify_start_end_handshape_annotations//test_auto_move//signs_mov/764_3621_merged.mov","MOV")</f>
        <v>21</v>
      </c>
      <c r="R12089" t="s" s="16">
        <f>HYPERLINK("http://secrets.rutgers.edu:8080/data/asl-ftp/asllvd/demos/verify_start_end_handshape_annotations//test_auto_move//signs_mov_separ_signers/Liz_3621.mov","MOV")</f>
        <v>21</v>
      </c>
    </row>
    <row r="12090" s="2" customFormat="1" ht="13.5" customHeight="1">
      <c r="B12090" s="13"/>
      <c r="C12090" t="s" s="9">
        <v>30</v>
      </c>
      <c r="D12090" t="s" s="8">
        <v>4533</v>
      </c>
      <c r="E12090" t="s" s="9">
        <v>4533</v>
      </c>
      <c r="F12090" t="s" s="10">
        <v>115</v>
      </c>
      <c r="G12090" s="14"/>
      <c r="H12090" t="s" s="10">
        <v>136</v>
      </c>
      <c r="I12090" s="14"/>
      <c r="J12090" t="s" s="11">
        <v>20</v>
      </c>
      <c r="K12090" s="15"/>
      <c r="L12090" t="s" s="16">
        <f>HYPERLINK("http://csr.bu.edu/ftp/asl/asllvd/demos/verify_start_end_handshape_annotations//test_auto_move//signs_mov_separ_signers/Brady_764.mov","MOV")</f>
        <v>21</v>
      </c>
      <c r="M12090" t="s" s="10">
        <v>39</v>
      </c>
      <c r="N12090" s="17">
        <v>9</v>
      </c>
      <c r="O12090" s="18">
        <v>4808</v>
      </c>
      <c r="P12090" s="18">
        <v>4841</v>
      </c>
      <c r="Q12090" s="15"/>
      <c r="R12090" t="s" s="16">
        <f>HYPERLINK("http://secrets.rutgers.edu:8080/data/asl-ftp/asllvd/demos/verify_start_end_handshape_annotations//test_auto_move//signs_mov_separ_signers/Brady_764.mov","MOV")</f>
        <v>21</v>
      </c>
    </row>
    <row r="12091" s="2" customFormat="1" ht="13.5" customHeight="1">
      <c r="B12091" s="13"/>
      <c r="C12091" t="s" s="9">
        <v>30</v>
      </c>
      <c r="D12091" t="s" s="8">
        <v>4533</v>
      </c>
      <c r="E12091" t="s" s="9">
        <v>4533</v>
      </c>
      <c r="F12091" t="s" s="10">
        <v>115</v>
      </c>
      <c r="G12091" s="14"/>
      <c r="H12091" t="s" s="10">
        <v>136</v>
      </c>
      <c r="I12091" s="14"/>
      <c r="J12091" t="s" s="11">
        <v>20</v>
      </c>
      <c r="K12091" s="15"/>
      <c r="L12091" t="s" s="16">
        <f>HYPERLINK("http://csr.bu.edu/ftp/asl/asllvd/demos/verify_start_end_handshape_annotations//test_auto_move//signs_mov_separ_signers/Brady_3621.mov","MOV")</f>
        <v>21</v>
      </c>
      <c r="M12091" t="s" s="10">
        <v>39</v>
      </c>
      <c r="N12091" s="17">
        <v>9</v>
      </c>
      <c r="O12091" s="18">
        <v>5366</v>
      </c>
      <c r="P12091" s="18">
        <v>5401</v>
      </c>
      <c r="Q12091" s="15"/>
      <c r="R12091" t="s" s="16">
        <f>HYPERLINK("http://secrets.rutgers.edu:8080/data/asl-ftp/asllvd/demos/verify_start_end_handshape_annotations//test_auto_move//signs_mov_separ_signers/Brady_3621.mov","MOV")</f>
        <v>21</v>
      </c>
    </row>
    <row r="12092" s="2" customFormat="1" ht="13.5" customHeight="1">
      <c r="B12092" t="s" s="8">
        <v>4534</v>
      </c>
      <c r="C12092" t="s" s="9">
        <v>14</v>
      </c>
      <c r="D12092" t="s" s="8">
        <v>14</v>
      </c>
      <c r="E12092" t="s" s="9">
        <v>14</v>
      </c>
      <c r="F12092" t="s" s="10">
        <v>14</v>
      </c>
      <c r="G12092" t="s" s="11">
        <v>14</v>
      </c>
      <c r="H12092" t="s" s="10">
        <v>14</v>
      </c>
      <c r="I12092" t="s" s="11">
        <v>14</v>
      </c>
      <c r="J12092" t="s" s="11">
        <v>14</v>
      </c>
      <c r="K12092" t="s" s="12">
        <v>14</v>
      </c>
      <c r="L12092" t="s" s="12">
        <v>14</v>
      </c>
      <c r="M12092" t="s" s="10">
        <v>14</v>
      </c>
      <c r="N12092" t="s" s="11">
        <v>14</v>
      </c>
      <c r="O12092" t="s" s="8">
        <v>14</v>
      </c>
      <c r="P12092" t="s" s="8">
        <v>14</v>
      </c>
      <c r="Q12092" t="s" s="12">
        <v>14</v>
      </c>
      <c r="R12092" t="s" s="12">
        <v>14</v>
      </c>
    </row>
    <row r="12093" s="2" customFormat="1" ht="13.5" customHeight="1">
      <c r="B12093" s="13"/>
      <c r="C12093" t="s" s="9">
        <v>16</v>
      </c>
      <c r="D12093" t="s" s="8">
        <v>4534</v>
      </c>
      <c r="E12093" t="s" s="9">
        <v>4534</v>
      </c>
      <c r="F12093" t="s" s="10">
        <v>430</v>
      </c>
      <c r="G12093" t="s" s="11">
        <v>73</v>
      </c>
      <c r="H12093" t="s" s="10">
        <v>68</v>
      </c>
      <c r="I12093" t="s" s="11">
        <v>68</v>
      </c>
      <c r="J12093" t="s" s="11">
        <v>20</v>
      </c>
      <c r="K12093" s="15"/>
      <c r="L12093" t="s" s="16">
        <f>HYPERLINK("http://csr.bu.edu/ftp/asl/asllvd/demos/verify_start_end_handshape_annotations//test_auto_move//signs_mov_separ_signers/Liz_770.mov","MOV")</f>
        <v>21</v>
      </c>
      <c r="M12093" t="s" s="10">
        <v>84</v>
      </c>
      <c r="N12093" s="17">
        <v>28</v>
      </c>
      <c r="O12093" s="18">
        <v>415</v>
      </c>
      <c r="P12093" s="18">
        <v>475</v>
      </c>
      <c r="Q12093" s="15"/>
      <c r="R12093" t="s" s="16">
        <f>HYPERLINK("http://secrets.rutgers.edu:8080/data/asl-ftp/asllvd/demos/verify_start_end_handshape_annotations//test_auto_move//signs_mov_separ_signers/Liz_770.mov","MOV")</f>
        <v>21</v>
      </c>
    </row>
    <row r="12094" s="2" customFormat="1" ht="13.5" customHeight="1">
      <c r="B12094" s="13"/>
      <c r="C12094" t="s" s="9">
        <v>23</v>
      </c>
      <c r="D12094" t="s" s="8">
        <v>4534</v>
      </c>
      <c r="E12094" t="s" s="9">
        <v>4534</v>
      </c>
      <c r="F12094" t="s" s="10">
        <v>430</v>
      </c>
      <c r="G12094" t="s" s="11">
        <v>73</v>
      </c>
      <c r="H12094" t="s" s="10">
        <v>68</v>
      </c>
      <c r="I12094" t="s" s="11">
        <v>68</v>
      </c>
      <c r="J12094" t="s" s="11">
        <v>20</v>
      </c>
      <c r="K12094" t="s" s="16">
        <f>HYPERLINK("http://csr.bu.edu/ftp/asl/asllvd/demos/verify_start_end_handshape_annotations//test_auto_move//signs_mov/770.mov","MOV")</f>
        <v>21</v>
      </c>
      <c r="L12094" t="s" s="16">
        <f>HYPERLINK("http://csr.bu.edu/ftp/asl/asllvd/demos/verify_start_end_handshape_annotations//test_auto_move//signs_mov_separ_signers/Tyler_770.mov","MOV")</f>
        <v>21</v>
      </c>
      <c r="M12094" t="s" s="10">
        <v>92</v>
      </c>
      <c r="N12094" s="17">
        <v>7</v>
      </c>
      <c r="O12094" s="18">
        <v>3164</v>
      </c>
      <c r="P12094" s="18">
        <v>3203</v>
      </c>
      <c r="Q12094" t="s" s="16">
        <f>HYPERLINK("http://secrets.rutgers.edu:8080/data/asl-ftp/asllvd/demos/verify_start_end_handshape_annotations//test_auto_move//signs_mov/770.mov","MOV")</f>
        <v>21</v>
      </c>
      <c r="R12094" t="s" s="16">
        <f>HYPERLINK("http://secrets.rutgers.edu:8080/data/asl-ftp/asllvd/demos/verify_start_end_handshape_annotations//test_auto_move//signs_mov_separ_signers/Tyler_770.mov","MOV")</f>
        <v>21</v>
      </c>
    </row>
    <row r="12095" s="2" customFormat="1" ht="13.5" customHeight="1">
      <c r="B12095" s="13"/>
      <c r="C12095" t="s" s="9">
        <v>27</v>
      </c>
      <c r="D12095" t="s" s="8">
        <v>4534</v>
      </c>
      <c r="E12095" t="s" s="9">
        <v>4534</v>
      </c>
      <c r="F12095" t="s" s="10">
        <v>430</v>
      </c>
      <c r="G12095" t="s" s="11">
        <v>73</v>
      </c>
      <c r="H12095" t="s" s="10">
        <v>68</v>
      </c>
      <c r="I12095" t="s" s="11">
        <v>68</v>
      </c>
      <c r="J12095" t="s" s="11">
        <v>20</v>
      </c>
      <c r="K12095" s="15"/>
      <c r="L12095" t="s" s="16">
        <f>HYPERLINK("http://csr.bu.edu/ftp/asl/asllvd/demos/verify_start_end_handshape_annotations//test_auto_move//signs_mov_separ_signers/Naomi_770.mov","MOV")</f>
        <v>21</v>
      </c>
      <c r="M12095" t="s" s="10">
        <v>86</v>
      </c>
      <c r="N12095" s="17">
        <v>27</v>
      </c>
      <c r="O12095" s="18">
        <v>3476</v>
      </c>
      <c r="P12095" s="18">
        <v>3516</v>
      </c>
      <c r="Q12095" s="15"/>
      <c r="R12095" t="s" s="16">
        <f>HYPERLINK("http://secrets.rutgers.edu:8080/data/asl-ftp/asllvd/demos/verify_start_end_handshape_annotations//test_auto_move//signs_mov_separ_signers/Naomi_770.mov","MOV")</f>
        <v>21</v>
      </c>
    </row>
    <row r="12096" s="2" customFormat="1" ht="13.5" customHeight="1">
      <c r="B12096" s="13"/>
      <c r="C12096" t="s" s="9">
        <v>30</v>
      </c>
      <c r="D12096" t="s" s="8">
        <v>4534</v>
      </c>
      <c r="E12096" t="s" s="9">
        <v>4534</v>
      </c>
      <c r="F12096" t="s" s="10">
        <v>430</v>
      </c>
      <c r="G12096" t="s" s="11">
        <v>105</v>
      </c>
      <c r="H12096" t="s" s="10">
        <v>68</v>
      </c>
      <c r="I12096" t="s" s="11">
        <v>68</v>
      </c>
      <c r="J12096" t="s" s="11">
        <v>20</v>
      </c>
      <c r="K12096" s="15"/>
      <c r="L12096" t="s" s="16">
        <f>HYPERLINK("http://csr.bu.edu/ftp/asl/asllvd/demos/verify_start_end_handshape_annotations//test_auto_move//signs_mov_separ_signers/Brady_770.mov","MOV")</f>
        <v>21</v>
      </c>
      <c r="M12096" t="s" s="10">
        <v>39</v>
      </c>
      <c r="N12096" s="17">
        <v>9</v>
      </c>
      <c r="O12096" s="18">
        <v>6674</v>
      </c>
      <c r="P12096" s="18">
        <v>6707</v>
      </c>
      <c r="Q12096" s="15"/>
      <c r="R12096" t="s" s="16">
        <f>HYPERLINK("http://secrets.rutgers.edu:8080/data/asl-ftp/asllvd/demos/verify_start_end_handshape_annotations//test_auto_move//signs_mov_separ_signers/Brady_770.mov","MOV")</f>
        <v>21</v>
      </c>
    </row>
    <row r="12097" s="2" customFormat="1" ht="13.5" customHeight="1">
      <c r="B12097" t="s" s="20">
        <v>4535</v>
      </c>
      <c r="C12097" t="s" s="9">
        <v>14</v>
      </c>
      <c r="D12097" t="s" s="8">
        <v>14</v>
      </c>
      <c r="E12097" t="s" s="9">
        <v>14</v>
      </c>
      <c r="F12097" t="s" s="10">
        <v>14</v>
      </c>
      <c r="G12097" t="s" s="11">
        <v>14</v>
      </c>
      <c r="H12097" t="s" s="10">
        <v>14</v>
      </c>
      <c r="I12097" t="s" s="11">
        <v>14</v>
      </c>
      <c r="J12097" t="s" s="11">
        <v>14</v>
      </c>
      <c r="K12097" t="s" s="12">
        <v>14</v>
      </c>
      <c r="L12097" t="s" s="12">
        <v>14</v>
      </c>
      <c r="M12097" t="s" s="10">
        <v>14</v>
      </c>
      <c r="N12097" t="s" s="11">
        <v>14</v>
      </c>
      <c r="O12097" t="s" s="8">
        <v>14</v>
      </c>
      <c r="P12097" t="s" s="8">
        <v>14</v>
      </c>
      <c r="Q12097" t="s" s="12">
        <v>14</v>
      </c>
      <c r="R12097" t="s" s="12">
        <v>14</v>
      </c>
    </row>
    <row r="12098" s="2" customFormat="1" ht="13.5" customHeight="1">
      <c r="C12098" t="s" s="9">
        <v>16</v>
      </c>
      <c r="D12098" t="s" s="8">
        <v>4535</v>
      </c>
      <c r="E12098" t="s" s="9">
        <v>4535</v>
      </c>
      <c r="F12098" t="s" s="10">
        <v>115</v>
      </c>
      <c r="G12098" t="s" s="11">
        <v>115</v>
      </c>
      <c r="H12098" t="s" s="10">
        <v>51</v>
      </c>
      <c r="I12098" t="s" s="11">
        <v>51</v>
      </c>
      <c r="J12098" t="s" s="11">
        <v>20</v>
      </c>
      <c r="K12098" s="15"/>
      <c r="L12098" t="s" s="16">
        <f>HYPERLINK("http://csr.bu.edu/ftp/asl/asllvd/demos/verify_start_end_handshape_annotations//test_auto_move//signs_mov_separ_signers/Liz_778.mov","MOV")</f>
        <v>21</v>
      </c>
      <c r="M12098" t="s" s="10">
        <v>77</v>
      </c>
      <c r="N12098" s="17">
        <v>11</v>
      </c>
      <c r="O12098" s="18">
        <v>475</v>
      </c>
      <c r="P12098" s="18">
        <v>530</v>
      </c>
      <c r="Q12098" s="15"/>
      <c r="R12098" t="s" s="16">
        <f>HYPERLINK("http://secrets.rutgers.edu:8080/data/asl-ftp/asllvd/demos/verify_start_end_handshape_annotations//test_auto_move//signs_mov_separ_signers/Liz_778.mov","MOV")</f>
        <v>21</v>
      </c>
    </row>
    <row r="12099" s="2" customFormat="1" ht="13.5" customHeight="1">
      <c r="C12099" t="s" s="9">
        <v>23</v>
      </c>
      <c r="D12099" t="s" s="8">
        <v>4535</v>
      </c>
      <c r="E12099" t="s" s="9">
        <v>4535</v>
      </c>
      <c r="F12099" t="s" s="10">
        <v>117</v>
      </c>
      <c r="G12099" t="s" s="11">
        <v>117</v>
      </c>
      <c r="H12099" t="s" s="10">
        <v>51</v>
      </c>
      <c r="I12099" t="s" s="11">
        <v>51</v>
      </c>
      <c r="J12099" t="s" s="11">
        <v>20</v>
      </c>
      <c r="K12099" t="s" s="16">
        <f>HYPERLINK("http://csr.bu.edu/ftp/asl/asllvd/demos/verify_start_end_handshape_annotations//test_auto_move//signs_mov/778.mov","MOV")</f>
        <v>21</v>
      </c>
      <c r="L12099" t="s" s="16">
        <f>HYPERLINK("http://csr.bu.edu/ftp/asl/asllvd/demos/verify_start_end_handshape_annotations//test_auto_move//signs_mov_separ_signers/Tyler_778.mov","MOV")</f>
        <v>21</v>
      </c>
      <c r="M12099" t="s" s="10">
        <v>92</v>
      </c>
      <c r="N12099" s="17">
        <v>8</v>
      </c>
      <c r="O12099" s="18">
        <v>3115</v>
      </c>
      <c r="P12099" s="18">
        <v>3140</v>
      </c>
      <c r="Q12099" t="s" s="16">
        <f>HYPERLINK("http://secrets.rutgers.edu:8080/data/asl-ftp/asllvd/demos/verify_start_end_handshape_annotations//test_auto_move//signs_mov/778.mov","MOV")</f>
        <v>21</v>
      </c>
      <c r="R12099" t="s" s="16">
        <f>HYPERLINK("http://secrets.rutgers.edu:8080/data/asl-ftp/asllvd/demos/verify_start_end_handshape_annotations//test_auto_move//signs_mov_separ_signers/Tyler_778.mov","MOV")</f>
        <v>21</v>
      </c>
    </row>
    <row r="12100" s="2" customFormat="1" ht="13.5" customHeight="1">
      <c r="C12100" t="s" s="9">
        <v>27</v>
      </c>
      <c r="D12100" t="s" s="8">
        <v>4535</v>
      </c>
      <c r="E12100" t="s" s="9">
        <v>4535</v>
      </c>
      <c r="F12100" t="s" s="10">
        <v>115</v>
      </c>
      <c r="G12100" t="s" s="11">
        <v>115</v>
      </c>
      <c r="H12100" t="s" s="10">
        <v>51</v>
      </c>
      <c r="I12100" t="s" s="11">
        <v>51</v>
      </c>
      <c r="J12100" t="s" s="11">
        <v>20</v>
      </c>
      <c r="K12100" s="15"/>
      <c r="L12100" t="s" s="16">
        <f>HYPERLINK("http://csr.bu.edu/ftp/asl/asllvd/demos/verify_start_end_handshape_annotations//test_auto_move//signs_mov_separ_signers/Naomi_778.mov","MOV")</f>
        <v>21</v>
      </c>
      <c r="M12100" t="s" s="10">
        <v>86</v>
      </c>
      <c r="N12100" s="17">
        <v>28</v>
      </c>
      <c r="O12100" s="18">
        <v>3062</v>
      </c>
      <c r="P12100" s="18">
        <v>3085</v>
      </c>
      <c r="Q12100" s="15"/>
      <c r="R12100" t="s" s="16">
        <f>HYPERLINK("http://secrets.rutgers.edu:8080/data/asl-ftp/asllvd/demos/verify_start_end_handshape_annotations//test_auto_move//signs_mov_separ_signers/Naomi_778.mov","MOV")</f>
        <v>21</v>
      </c>
    </row>
    <row r="12101" s="2" customFormat="1" ht="13.5" customHeight="1">
      <c r="C12101" t="s" s="9">
        <v>30</v>
      </c>
      <c r="D12101" t="s" s="8">
        <v>4535</v>
      </c>
      <c r="E12101" t="s" s="9">
        <v>4535</v>
      </c>
      <c r="F12101" t="s" s="10">
        <v>115</v>
      </c>
      <c r="G12101" t="s" s="11">
        <v>115</v>
      </c>
      <c r="H12101" t="s" s="10">
        <v>51</v>
      </c>
      <c r="I12101" t="s" s="11">
        <v>51</v>
      </c>
      <c r="J12101" t="s" s="11">
        <v>20</v>
      </c>
      <c r="K12101" s="15"/>
      <c r="L12101" t="s" s="16">
        <f>HYPERLINK("http://csr.bu.edu/ftp/asl/asllvd/demos/verify_start_end_handshape_annotations//test_auto_move//signs_mov_separ_signers/Brady_778.mov","MOV")</f>
        <v>21</v>
      </c>
      <c r="M12101" t="s" s="10">
        <v>39</v>
      </c>
      <c r="N12101" s="17">
        <v>10</v>
      </c>
      <c r="O12101" s="18">
        <v>2928</v>
      </c>
      <c r="P12101" s="18">
        <v>2946</v>
      </c>
      <c r="Q12101" s="15"/>
      <c r="R12101" t="s" s="16">
        <f>HYPERLINK("http://secrets.rutgers.edu:8080/data/asl-ftp/asllvd/demos/verify_start_end_handshape_annotations//test_auto_move//signs_mov_separ_signers/Brady_778.mov","MOV")</f>
        <v>21</v>
      </c>
    </row>
    <row r="12102" s="2" customFormat="1" ht="13.5" customHeight="1">
      <c r="B12102" t="s" s="20">
        <v>52</v>
      </c>
      <c r="C12102" t="s" s="9">
        <v>53</v>
      </c>
      <c r="D12102" t="s" s="8">
        <v>53</v>
      </c>
      <c r="E12102" t="s" s="9">
        <v>53</v>
      </c>
      <c r="F12102" t="s" s="10">
        <v>53</v>
      </c>
      <c r="G12102" t="s" s="11">
        <v>53</v>
      </c>
      <c r="H12102" t="s" s="10">
        <v>53</v>
      </c>
      <c r="I12102" t="s" s="11">
        <v>53</v>
      </c>
      <c r="J12102" t="s" s="11">
        <v>53</v>
      </c>
      <c r="K12102" t="s" s="12">
        <v>53</v>
      </c>
      <c r="L12102" t="s" s="12">
        <v>53</v>
      </c>
      <c r="M12102" t="s" s="10">
        <v>53</v>
      </c>
      <c r="N12102" t="s" s="11">
        <v>53</v>
      </c>
      <c r="O12102" t="s" s="8">
        <v>53</v>
      </c>
      <c r="P12102" t="s" s="8">
        <v>53</v>
      </c>
      <c r="Q12102" t="s" s="12">
        <v>53</v>
      </c>
      <c r="R12102" t="s" s="12">
        <v>53</v>
      </c>
    </row>
    <row r="12103" s="2" customFormat="1" ht="13.5" customHeight="1">
      <c r="C12103" t="s" s="9">
        <v>16</v>
      </c>
      <c r="D12103" t="s" s="8">
        <v>4535</v>
      </c>
      <c r="E12103" t="s" s="9">
        <v>4536</v>
      </c>
      <c r="F12103" t="s" s="10">
        <v>115</v>
      </c>
      <c r="G12103" s="14"/>
      <c r="H12103" t="s" s="10">
        <v>51</v>
      </c>
      <c r="I12103" s="14"/>
      <c r="J12103" t="s" s="11">
        <v>20</v>
      </c>
      <c r="K12103" t="s" s="16">
        <f>HYPERLINK("http://csr.bu.edu/ftp/asl/asllvd/demos/verify_start_end_handshape_annotations//test_auto_move//signs_mov/3877.mov","MOV")</f>
        <v>21</v>
      </c>
      <c r="L12103" t="s" s="16">
        <f>HYPERLINK("http://csr.bu.edu/ftp/asl/asllvd/demos/verify_start_end_handshape_annotations//test_auto_move//signs_mov_separ_signers/Liz_3877.mov","MOV")</f>
        <v>21</v>
      </c>
      <c r="M12103" t="s" s="10">
        <v>84</v>
      </c>
      <c r="N12103" s="17">
        <v>28</v>
      </c>
      <c r="O12103" s="18">
        <v>2550</v>
      </c>
      <c r="P12103" s="18">
        <v>2575</v>
      </c>
      <c r="Q12103" t="s" s="16">
        <f>HYPERLINK("http://secrets.rutgers.edu:8080/data/asl-ftp/asllvd/demos/verify_start_end_handshape_annotations//test_auto_move//signs_mov/3877.mov","MOV")</f>
        <v>21</v>
      </c>
      <c r="R12103" t="s" s="16">
        <f>HYPERLINK("http://secrets.rutgers.edu:8080/data/asl-ftp/asllvd/demos/verify_start_end_handshape_annotations//test_auto_move//signs_mov_separ_signers/Liz_3877.mov","MOV")</f>
        <v>21</v>
      </c>
    </row>
    <row r="12104" s="2" customFormat="1" ht="13.5" customHeight="1">
      <c r="B12104" t="s" s="20">
        <v>4537</v>
      </c>
      <c r="C12104" t="s" s="9">
        <v>14</v>
      </c>
      <c r="D12104" t="s" s="8">
        <v>14</v>
      </c>
      <c r="E12104" t="s" s="9">
        <v>14</v>
      </c>
      <c r="F12104" t="s" s="10">
        <v>14</v>
      </c>
      <c r="G12104" t="s" s="11">
        <v>14</v>
      </c>
      <c r="H12104" t="s" s="10">
        <v>14</v>
      </c>
      <c r="I12104" t="s" s="11">
        <v>14</v>
      </c>
      <c r="J12104" t="s" s="11">
        <v>14</v>
      </c>
      <c r="K12104" t="s" s="12">
        <v>14</v>
      </c>
      <c r="L12104" t="s" s="12">
        <v>14</v>
      </c>
      <c r="M12104" t="s" s="10">
        <v>14</v>
      </c>
      <c r="N12104" t="s" s="11">
        <v>14</v>
      </c>
      <c r="O12104" t="s" s="8">
        <v>14</v>
      </c>
      <c r="P12104" t="s" s="8">
        <v>14</v>
      </c>
      <c r="Q12104" t="s" s="12">
        <v>14</v>
      </c>
      <c r="R12104" t="s" s="12">
        <v>14</v>
      </c>
    </row>
    <row r="12105" s="2" customFormat="1" ht="13.5" customHeight="1">
      <c r="C12105" t="s" s="9">
        <v>16</v>
      </c>
      <c r="D12105" t="s" s="8">
        <v>4537</v>
      </c>
      <c r="E12105" t="s" s="9">
        <v>4537</v>
      </c>
      <c r="F12105" s="19">
        <v>1</v>
      </c>
      <c r="G12105" s="14"/>
      <c r="H12105" s="19">
        <v>8</v>
      </c>
      <c r="I12105" s="14"/>
      <c r="J12105" t="s" s="11">
        <v>20</v>
      </c>
      <c r="K12105" s="15"/>
      <c r="L12105" t="s" s="16">
        <f>HYPERLINK("http://csr.bu.edu/ftp/asl/asllvd/demos/verify_start_end_handshape_annotations//test_auto_move//signs_mov_separ_signers/Liz_784.mov","MOV")</f>
        <v>21</v>
      </c>
      <c r="M12105" t="s" s="10">
        <v>84</v>
      </c>
      <c r="N12105" s="17">
        <v>29</v>
      </c>
      <c r="O12105" s="18">
        <v>1830</v>
      </c>
      <c r="P12105" s="18">
        <v>1877</v>
      </c>
      <c r="Q12105" s="15"/>
      <c r="R12105" t="s" s="16">
        <f>HYPERLINK("http://secrets.rutgers.edu:8080/data/asl-ftp/asllvd/demos/verify_start_end_handshape_annotations//test_auto_move//signs_mov_separ_signers/Liz_784.mov","MOV")</f>
        <v>21</v>
      </c>
    </row>
    <row r="12106" s="2" customFormat="1" ht="13.5" customHeight="1">
      <c r="C12106" t="s" s="9">
        <v>27</v>
      </c>
      <c r="D12106" t="s" s="8">
        <v>4537</v>
      </c>
      <c r="E12106" t="s" s="9">
        <v>4537</v>
      </c>
      <c r="F12106" s="19">
        <v>1</v>
      </c>
      <c r="G12106" s="14"/>
      <c r="H12106" s="19">
        <v>8</v>
      </c>
      <c r="I12106" s="14"/>
      <c r="J12106" t="s" s="11">
        <v>20</v>
      </c>
      <c r="K12106" t="s" s="16">
        <f>HYPERLINK("http://csr.bu.edu/ftp/asl/asllvd/demos/verify_start_end_handshape_annotations//test_auto_move//signs_mov/784.mov","MOV")</f>
        <v>21</v>
      </c>
      <c r="L12106" t="s" s="16">
        <f>HYPERLINK("http://csr.bu.edu/ftp/asl/asllvd/demos/verify_start_end_handshape_annotations//test_auto_move//signs_mov_separ_signers/Naomi_784.mov","MOV")</f>
        <v>21</v>
      </c>
      <c r="M12106" t="s" s="10">
        <v>86</v>
      </c>
      <c r="N12106" s="17">
        <v>29</v>
      </c>
      <c r="O12106" s="18">
        <v>1176</v>
      </c>
      <c r="P12106" s="18">
        <v>1200</v>
      </c>
      <c r="Q12106" t="s" s="16">
        <f>HYPERLINK("http://secrets.rutgers.edu:8080/data/asl-ftp/asllvd/demos/verify_start_end_handshape_annotations//test_auto_move//signs_mov/784.mov","MOV")</f>
        <v>21</v>
      </c>
      <c r="R12106" t="s" s="16">
        <f>HYPERLINK("http://secrets.rutgers.edu:8080/data/asl-ftp/asllvd/demos/verify_start_end_handshape_annotations//test_auto_move//signs_mov_separ_signers/Naomi_784.mov","MOV")</f>
        <v>21</v>
      </c>
    </row>
    <row r="12107" s="2" customFormat="1" ht="13.5" customHeight="1">
      <c r="C12107" t="s" s="9">
        <v>30</v>
      </c>
      <c r="D12107" t="s" s="8">
        <v>4537</v>
      </c>
      <c r="E12107" t="s" s="9">
        <v>4537</v>
      </c>
      <c r="F12107" s="19">
        <v>1</v>
      </c>
      <c r="G12107" s="14"/>
      <c r="H12107" s="19">
        <v>8</v>
      </c>
      <c r="I12107" s="14"/>
      <c r="J12107" t="s" s="11">
        <v>20</v>
      </c>
      <c r="K12107" s="15"/>
      <c r="L12107" t="s" s="16">
        <f>HYPERLINK("http://csr.bu.edu/ftp/asl/asllvd/demos/verify_start_end_handshape_annotations//test_auto_move//signs_mov_separ_signers/Brady_784.mov","MOV")</f>
        <v>21</v>
      </c>
      <c r="M12107" t="s" s="10">
        <v>39</v>
      </c>
      <c r="N12107" s="17">
        <v>10</v>
      </c>
      <c r="O12107" s="18">
        <v>7764</v>
      </c>
      <c r="P12107" s="18">
        <v>7785</v>
      </c>
      <c r="Q12107" s="15"/>
      <c r="R12107" t="s" s="16">
        <f>HYPERLINK("http://secrets.rutgers.edu:8080/data/asl-ftp/asllvd/demos/verify_start_end_handshape_annotations//test_auto_move//signs_mov_separ_signers/Brady_784.mov","MOV")</f>
        <v>21</v>
      </c>
    </row>
    <row r="12108" s="2" customFormat="1" ht="13.5" customHeight="1">
      <c r="B12108" t="s" s="20">
        <v>4538</v>
      </c>
      <c r="C12108" t="s" s="9">
        <v>14</v>
      </c>
      <c r="D12108" t="s" s="8">
        <v>14</v>
      </c>
      <c r="E12108" t="s" s="9">
        <v>14</v>
      </c>
      <c r="F12108" t="s" s="10">
        <v>14</v>
      </c>
      <c r="G12108" t="s" s="11">
        <v>14</v>
      </c>
      <c r="H12108" t="s" s="10">
        <v>14</v>
      </c>
      <c r="I12108" t="s" s="11">
        <v>14</v>
      </c>
      <c r="J12108" t="s" s="11">
        <v>14</v>
      </c>
      <c r="K12108" t="s" s="12">
        <v>14</v>
      </c>
      <c r="L12108" t="s" s="12">
        <v>14</v>
      </c>
      <c r="M12108" t="s" s="10">
        <v>14</v>
      </c>
      <c r="N12108" t="s" s="11">
        <v>14</v>
      </c>
      <c r="O12108" t="s" s="8">
        <v>14</v>
      </c>
      <c r="P12108" t="s" s="8">
        <v>14</v>
      </c>
      <c r="Q12108" t="s" s="12">
        <v>14</v>
      </c>
      <c r="R12108" t="s" s="12">
        <v>14</v>
      </c>
    </row>
    <row r="12109" s="2" customFormat="1" ht="13.5" customHeight="1">
      <c r="C12109" t="s" s="9">
        <v>16</v>
      </c>
      <c r="D12109" t="s" s="8">
        <v>4538</v>
      </c>
      <c r="E12109" t="s" s="9">
        <v>4538</v>
      </c>
      <c r="F12109" t="s" s="10">
        <v>255</v>
      </c>
      <c r="G12109" t="s" s="11">
        <v>255</v>
      </c>
      <c r="H12109" t="s" s="10">
        <v>73</v>
      </c>
      <c r="I12109" t="s" s="11">
        <v>73</v>
      </c>
      <c r="J12109" t="s" s="11">
        <v>20</v>
      </c>
      <c r="K12109" s="15"/>
      <c r="L12109" t="s" s="16">
        <f>HYPERLINK("http://csr.bu.edu/ftp/asl/asllvd/demos/verify_start_end_handshape_annotations//test_auto_move//signs_mov_separ_signers/Liz_791.mov","MOV")</f>
        <v>21</v>
      </c>
      <c r="M12109" t="s" s="10">
        <v>84</v>
      </c>
      <c r="N12109" s="17">
        <v>30</v>
      </c>
      <c r="O12109" s="18">
        <v>486</v>
      </c>
      <c r="P12109" s="18">
        <v>555</v>
      </c>
      <c r="Q12109" s="15"/>
      <c r="R12109" t="s" s="16">
        <f>HYPERLINK("http://secrets.rutgers.edu:8080/data/asl-ftp/asllvd/demos/verify_start_end_handshape_annotations//test_auto_move//signs_mov_separ_signers/Liz_791.mov","MOV")</f>
        <v>21</v>
      </c>
    </row>
    <row r="12110" s="2" customFormat="1" ht="13.5" customHeight="1">
      <c r="C12110" t="s" s="9">
        <v>23</v>
      </c>
      <c r="D12110" t="s" s="8">
        <v>4538</v>
      </c>
      <c r="E12110" t="s" s="9">
        <v>4538</v>
      </c>
      <c r="F12110" t="s" s="10">
        <v>255</v>
      </c>
      <c r="G12110" t="s" s="11">
        <v>255</v>
      </c>
      <c r="H12110" t="s" s="10">
        <v>73</v>
      </c>
      <c r="I12110" t="s" s="11">
        <v>73</v>
      </c>
      <c r="J12110" t="s" s="11">
        <v>20</v>
      </c>
      <c r="K12110" t="s" s="16">
        <f>HYPERLINK("http://csr.bu.edu/ftp/asl/asllvd/demos/verify_start_end_handshape_annotations//test_auto_move//signs_mov/791.mov","MOV")</f>
        <v>21</v>
      </c>
      <c r="L12110" t="s" s="16">
        <f>HYPERLINK("http://csr.bu.edu/ftp/asl/asllvd/demos/verify_start_end_handshape_annotations//test_auto_move//signs_mov_separ_signers/Tyler_791.mov","MOV")</f>
        <v>21</v>
      </c>
      <c r="M12110" t="s" s="10">
        <v>92</v>
      </c>
      <c r="N12110" s="17">
        <v>10</v>
      </c>
      <c r="O12110" s="18">
        <v>256</v>
      </c>
      <c r="P12110" s="18">
        <v>303</v>
      </c>
      <c r="Q12110" t="s" s="16">
        <f>HYPERLINK("http://secrets.rutgers.edu:8080/data/asl-ftp/asllvd/demos/verify_start_end_handshape_annotations//test_auto_move//signs_mov/791.mov","MOV")</f>
        <v>21</v>
      </c>
      <c r="R12110" t="s" s="16">
        <f>HYPERLINK("http://secrets.rutgers.edu:8080/data/asl-ftp/asllvd/demos/verify_start_end_handshape_annotations//test_auto_move//signs_mov_separ_signers/Tyler_791.mov","MOV")</f>
        <v>21</v>
      </c>
    </row>
    <row r="12111" s="2" customFormat="1" ht="13.5" customHeight="1">
      <c r="C12111" t="s" s="9">
        <v>27</v>
      </c>
      <c r="D12111" t="s" s="8">
        <v>4538</v>
      </c>
      <c r="E12111" t="s" s="9">
        <v>4538</v>
      </c>
      <c r="F12111" t="s" s="10">
        <v>255</v>
      </c>
      <c r="G12111" t="s" s="11">
        <v>255</v>
      </c>
      <c r="H12111" t="s" s="10">
        <v>73</v>
      </c>
      <c r="I12111" t="s" s="11">
        <v>73</v>
      </c>
      <c r="J12111" t="s" s="11">
        <v>20</v>
      </c>
      <c r="K12111" s="15"/>
      <c r="L12111" t="s" s="16">
        <f>HYPERLINK("http://csr.bu.edu/ftp/asl/asllvd/demos/verify_start_end_handshape_annotations//test_auto_move//signs_mov_separ_signers/Naomi_791.mov","MOV")</f>
        <v>21</v>
      </c>
      <c r="M12111" t="s" s="10">
        <v>86</v>
      </c>
      <c r="N12111" s="17">
        <v>30</v>
      </c>
      <c r="O12111" s="18">
        <v>259</v>
      </c>
      <c r="P12111" s="18">
        <v>305</v>
      </c>
      <c r="Q12111" s="15"/>
      <c r="R12111" t="s" s="16">
        <f>HYPERLINK("http://secrets.rutgers.edu:8080/data/asl-ftp/asllvd/demos/verify_start_end_handshape_annotations//test_auto_move//signs_mov_separ_signers/Naomi_791.mov","MOV")</f>
        <v>21</v>
      </c>
    </row>
    <row r="12112" s="2" customFormat="1" ht="13.5" customHeight="1">
      <c r="C12112" t="s" s="9">
        <v>30</v>
      </c>
      <c r="D12112" t="s" s="8">
        <v>4538</v>
      </c>
      <c r="E12112" t="s" s="9">
        <v>4538</v>
      </c>
      <c r="F12112" t="s" s="10">
        <v>255</v>
      </c>
      <c r="G12112" t="s" s="11">
        <v>255</v>
      </c>
      <c r="H12112" t="s" s="10">
        <v>73</v>
      </c>
      <c r="I12112" t="s" s="11">
        <v>73</v>
      </c>
      <c r="J12112" t="s" s="11">
        <v>20</v>
      </c>
      <c r="K12112" s="15"/>
      <c r="L12112" t="s" s="16">
        <f>HYPERLINK("http://csr.bu.edu/ftp/asl/asllvd/demos/verify_start_end_handshape_annotations//test_auto_move//signs_mov_separ_signers/Brady_791.mov","MOV")</f>
        <v>21</v>
      </c>
      <c r="M12112" t="s" s="10">
        <v>39</v>
      </c>
      <c r="N12112" s="17">
        <v>11</v>
      </c>
      <c r="O12112" s="18">
        <v>1981</v>
      </c>
      <c r="P12112" s="18">
        <v>2014</v>
      </c>
      <c r="Q12112" s="15"/>
      <c r="R12112" t="s" s="16">
        <f>HYPERLINK("http://secrets.rutgers.edu:8080/data/asl-ftp/asllvd/demos/verify_start_end_handshape_annotations//test_auto_move//signs_mov_separ_signers/Brady_791.mov","MOV")</f>
        <v>21</v>
      </c>
    </row>
    <row r="12113" s="2" customFormat="1" ht="13.5" customHeight="1">
      <c r="B12113" t="s" s="8">
        <v>4539</v>
      </c>
      <c r="C12113" t="s" s="9">
        <v>14</v>
      </c>
      <c r="D12113" t="s" s="8">
        <v>14</v>
      </c>
      <c r="E12113" t="s" s="9">
        <v>14</v>
      </c>
      <c r="F12113" t="s" s="10">
        <v>14</v>
      </c>
      <c r="G12113" t="s" s="11">
        <v>14</v>
      </c>
      <c r="H12113" t="s" s="10">
        <v>14</v>
      </c>
      <c r="I12113" t="s" s="11">
        <v>14</v>
      </c>
      <c r="J12113" t="s" s="11">
        <v>14</v>
      </c>
      <c r="K12113" t="s" s="12">
        <v>14</v>
      </c>
      <c r="L12113" t="s" s="12">
        <v>14</v>
      </c>
      <c r="M12113" t="s" s="10">
        <v>14</v>
      </c>
      <c r="N12113" t="s" s="11">
        <v>14</v>
      </c>
      <c r="O12113" t="s" s="8">
        <v>14</v>
      </c>
      <c r="P12113" t="s" s="8">
        <v>14</v>
      </c>
      <c r="Q12113" t="s" s="12">
        <v>14</v>
      </c>
      <c r="R12113" t="s" s="12">
        <v>14</v>
      </c>
    </row>
    <row r="12114" s="2" customFormat="1" ht="13.5" customHeight="1">
      <c r="B12114" s="13"/>
      <c r="C12114" t="s" s="9">
        <v>16</v>
      </c>
      <c r="D12114" t="s" s="8">
        <v>4539</v>
      </c>
      <c r="E12114" t="s" s="9">
        <v>4539</v>
      </c>
      <c r="F12114" s="19">
        <v>1</v>
      </c>
      <c r="G12114" s="17">
        <v>1</v>
      </c>
      <c r="H12114" t="s" s="10">
        <v>73</v>
      </c>
      <c r="I12114" t="s" s="11">
        <v>73</v>
      </c>
      <c r="J12114" t="s" s="11">
        <v>20</v>
      </c>
      <c r="K12114" s="15"/>
      <c r="L12114" t="s" s="16">
        <f>HYPERLINK("http://csr.bu.edu/ftp/asl/asllvd/demos/verify_start_end_handshape_annotations//test_auto_move//signs_mov_separ_signers/Liz_805.mov","MOV")</f>
        <v>21</v>
      </c>
      <c r="M12114" t="s" s="10">
        <v>84</v>
      </c>
      <c r="N12114" s="17">
        <v>31</v>
      </c>
      <c r="O12114" s="18">
        <v>1395</v>
      </c>
      <c r="P12114" s="18">
        <v>1450</v>
      </c>
      <c r="Q12114" s="15"/>
      <c r="R12114" t="s" s="16">
        <f>HYPERLINK("http://secrets.rutgers.edu:8080/data/asl-ftp/asllvd/demos/verify_start_end_handshape_annotations//test_auto_move//signs_mov_separ_signers/Liz_805.mov","MOV")</f>
        <v>21</v>
      </c>
    </row>
    <row r="12115" s="2" customFormat="1" ht="13.5" customHeight="1">
      <c r="B12115" s="13"/>
      <c r="C12115" t="s" s="9">
        <v>27</v>
      </c>
      <c r="D12115" t="s" s="8">
        <v>4539</v>
      </c>
      <c r="E12115" t="s" s="9">
        <v>4539</v>
      </c>
      <c r="F12115" t="s" s="10">
        <v>268</v>
      </c>
      <c r="G12115" t="s" s="11">
        <v>268</v>
      </c>
      <c r="H12115" t="s" s="10">
        <v>73</v>
      </c>
      <c r="I12115" t="s" s="11">
        <v>73</v>
      </c>
      <c r="J12115" t="s" s="11">
        <v>20</v>
      </c>
      <c r="K12115" t="s" s="16">
        <f>HYPERLINK("http://csr.bu.edu/ftp/asl/asllvd/demos/verify_start_end_handshape_annotations//test_auto_move//signs_mov/805.mov","MOV")</f>
        <v>21</v>
      </c>
      <c r="L12115" t="s" s="16">
        <f>HYPERLINK("http://csr.bu.edu/ftp/asl/asllvd/demos/verify_start_end_handshape_annotations//test_auto_move//signs_mov_separ_signers/Naomi_805.mov","MOV")</f>
        <v>21</v>
      </c>
      <c r="M12115" t="s" s="10">
        <v>86</v>
      </c>
      <c r="N12115" s="17">
        <v>31</v>
      </c>
      <c r="O12115" s="18">
        <v>1955</v>
      </c>
      <c r="P12115" s="18">
        <v>1990</v>
      </c>
      <c r="Q12115" t="s" s="16">
        <f>HYPERLINK("http://secrets.rutgers.edu:8080/data/asl-ftp/asllvd/demos/verify_start_end_handshape_annotations//test_auto_move//signs_mov/805.mov","MOV")</f>
        <v>21</v>
      </c>
      <c r="R12115" t="s" s="16">
        <f>HYPERLINK("http://secrets.rutgers.edu:8080/data/asl-ftp/asllvd/demos/verify_start_end_handshape_annotations//test_auto_move//signs_mov_separ_signers/Naomi_805.mov","MOV")</f>
        <v>21</v>
      </c>
    </row>
    <row r="12116" s="2" customFormat="1" ht="13.5" customHeight="1">
      <c r="B12116" s="13"/>
      <c r="C12116" t="s" s="9">
        <v>30</v>
      </c>
      <c r="D12116" t="s" s="8">
        <v>4539</v>
      </c>
      <c r="E12116" t="s" s="9">
        <v>4539</v>
      </c>
      <c r="F12116" s="19">
        <v>1</v>
      </c>
      <c r="G12116" s="17">
        <v>1</v>
      </c>
      <c r="H12116" t="s" s="10">
        <v>73</v>
      </c>
      <c r="I12116" t="s" s="11">
        <v>73</v>
      </c>
      <c r="J12116" t="s" s="11">
        <v>20</v>
      </c>
      <c r="K12116" s="15"/>
      <c r="L12116" t="s" s="16">
        <f>HYPERLINK("http://csr.bu.edu/ftp/asl/asllvd/demos/verify_start_end_handshape_annotations//test_auto_move//signs_mov_separ_signers/Brady_805.mov","MOV")</f>
        <v>21</v>
      </c>
      <c r="M12116" t="s" s="10">
        <v>39</v>
      </c>
      <c r="N12116" s="17">
        <v>12</v>
      </c>
      <c r="O12116" s="18">
        <v>525</v>
      </c>
      <c r="P12116" s="18">
        <v>552</v>
      </c>
      <c r="Q12116" s="15"/>
      <c r="R12116" t="s" s="16">
        <f>HYPERLINK("http://secrets.rutgers.edu:8080/data/asl-ftp/asllvd/demos/verify_start_end_handshape_annotations//test_auto_move//signs_mov_separ_signers/Brady_805.mov","MOV")</f>
        <v>21</v>
      </c>
    </row>
    <row r="12117" s="2" customFormat="1" ht="13.5" customHeight="1">
      <c r="B12117" t="s" s="8">
        <v>4540</v>
      </c>
      <c r="C12117" t="s" s="9">
        <v>14</v>
      </c>
      <c r="D12117" t="s" s="8">
        <v>14</v>
      </c>
      <c r="E12117" t="s" s="9">
        <v>14</v>
      </c>
      <c r="F12117" t="s" s="10">
        <v>14</v>
      </c>
      <c r="G12117" t="s" s="11">
        <v>14</v>
      </c>
      <c r="H12117" t="s" s="10">
        <v>14</v>
      </c>
      <c r="I12117" t="s" s="11">
        <v>14</v>
      </c>
      <c r="J12117" t="s" s="11">
        <v>14</v>
      </c>
      <c r="K12117" t="s" s="12">
        <v>14</v>
      </c>
      <c r="L12117" t="s" s="12">
        <v>14</v>
      </c>
      <c r="M12117" t="s" s="10">
        <v>14</v>
      </c>
      <c r="N12117" t="s" s="11">
        <v>14</v>
      </c>
      <c r="O12117" t="s" s="8">
        <v>14</v>
      </c>
      <c r="P12117" t="s" s="8">
        <v>14</v>
      </c>
      <c r="Q12117" t="s" s="12">
        <v>14</v>
      </c>
      <c r="R12117" t="s" s="12">
        <v>14</v>
      </c>
    </row>
    <row r="12118" s="2" customFormat="1" ht="13.5" customHeight="1">
      <c r="B12118" s="13"/>
      <c r="C12118" t="s" s="9">
        <v>16</v>
      </c>
      <c r="D12118" t="s" s="8">
        <v>4540</v>
      </c>
      <c r="E12118" t="s" s="9">
        <v>4541</v>
      </c>
      <c r="F12118" t="s" s="10">
        <v>68</v>
      </c>
      <c r="G12118" t="s" s="11">
        <v>68</v>
      </c>
      <c r="H12118" t="s" s="10">
        <v>68</v>
      </c>
      <c r="I12118" t="s" s="11">
        <v>68</v>
      </c>
      <c r="J12118" t="s" s="11">
        <v>20</v>
      </c>
      <c r="K12118" t="s" s="16">
        <f>HYPERLINK("http://csr.bu.edu/ftp/asl/asllvd/demos/verify_start_end_handshape_annotations//test_auto_move//signs_mov/809.mov","MOV")</f>
        <v>21</v>
      </c>
      <c r="L12118" t="s" s="16">
        <f>HYPERLINK("http://csr.bu.edu/ftp/asl/asllvd/demos/verify_start_end_handshape_annotations//test_auto_move//signs_mov_separ_signers/Liz_809.mov","MOV")</f>
        <v>21</v>
      </c>
      <c r="M12118" t="s" s="10">
        <v>84</v>
      </c>
      <c r="N12118" s="17">
        <v>31</v>
      </c>
      <c r="O12118" s="18">
        <v>4478</v>
      </c>
      <c r="P12118" s="18">
        <v>4577</v>
      </c>
      <c r="Q12118" t="s" s="16">
        <f>HYPERLINK("http://secrets.rutgers.edu:8080/data/asl-ftp/asllvd/demos/verify_start_end_handshape_annotations//test_auto_move//signs_mov/809.mov","MOV")</f>
        <v>21</v>
      </c>
      <c r="R12118" t="s" s="16">
        <f>HYPERLINK("http://secrets.rutgers.edu:8080/data/asl-ftp/asllvd/demos/verify_start_end_handshape_annotations//test_auto_move//signs_mov_separ_signers/Liz_809.mov","MOV")</f>
        <v>21</v>
      </c>
    </row>
    <row r="12119" s="2" customFormat="1" ht="13.5" customHeight="1">
      <c r="B12119" t="s" s="8">
        <v>4542</v>
      </c>
      <c r="C12119" t="s" s="9">
        <v>14</v>
      </c>
      <c r="D12119" t="s" s="8">
        <v>14</v>
      </c>
      <c r="E12119" t="s" s="9">
        <v>14</v>
      </c>
      <c r="F12119" t="s" s="10">
        <v>14</v>
      </c>
      <c r="G12119" t="s" s="11">
        <v>14</v>
      </c>
      <c r="H12119" t="s" s="10">
        <v>14</v>
      </c>
      <c r="I12119" t="s" s="11">
        <v>14</v>
      </c>
      <c r="J12119" t="s" s="11">
        <v>14</v>
      </c>
      <c r="K12119" t="s" s="12">
        <v>14</v>
      </c>
      <c r="L12119" t="s" s="12">
        <v>14</v>
      </c>
      <c r="M12119" t="s" s="10">
        <v>14</v>
      </c>
      <c r="N12119" t="s" s="11">
        <v>14</v>
      </c>
      <c r="O12119" t="s" s="8">
        <v>14</v>
      </c>
      <c r="P12119" t="s" s="8">
        <v>14</v>
      </c>
      <c r="Q12119" t="s" s="12">
        <v>14</v>
      </c>
      <c r="R12119" t="s" s="12">
        <v>14</v>
      </c>
    </row>
    <row r="12120" s="2" customFormat="1" ht="13.5" customHeight="1">
      <c r="B12120" s="13"/>
      <c r="C12120" t="s" s="9">
        <v>30</v>
      </c>
      <c r="D12120" t="s" s="8">
        <v>4542</v>
      </c>
      <c r="E12120" t="s" s="9">
        <v>4542</v>
      </c>
      <c r="F12120" t="s" s="10">
        <v>68</v>
      </c>
      <c r="G12120" t="s" s="11">
        <v>68</v>
      </c>
      <c r="H12120" t="s" s="10">
        <v>150</v>
      </c>
      <c r="I12120" t="s" s="11">
        <v>55</v>
      </c>
      <c r="J12120" t="s" s="11">
        <v>20</v>
      </c>
      <c r="K12120" t="s" s="16">
        <f>HYPERLINK("http://csr.bu.edu/ftp/asl/asllvd/demos/verify_start_end_handshape_annotations//test_auto_move//signs_mov/4745.mov","MOV")</f>
        <v>21</v>
      </c>
      <c r="L12120" t="s" s="16">
        <f>HYPERLINK("http://csr.bu.edu/ftp/asl/asllvd/demos/verify_start_end_handshape_annotations//test_auto_move//signs_mov_separ_signers/Brady_4745.mov","MOV")</f>
        <v>21</v>
      </c>
      <c r="M12120" t="s" s="10">
        <v>39</v>
      </c>
      <c r="N12120" s="17">
        <v>12</v>
      </c>
      <c r="O12120" s="18">
        <v>1916</v>
      </c>
      <c r="P12120" s="18">
        <v>1978</v>
      </c>
      <c r="Q12120" t="s" s="16">
        <f>HYPERLINK("http://secrets.rutgers.edu:8080/data/asl-ftp/asllvd/demos/verify_start_end_handshape_annotations//test_auto_move//signs_mov/4745.mov","MOV")</f>
        <v>21</v>
      </c>
      <c r="R12120" t="s" s="16">
        <f>HYPERLINK("http://secrets.rutgers.edu:8080/data/asl-ftp/asllvd/demos/verify_start_end_handshape_annotations//test_auto_move//signs_mov_separ_signers/Brady_4745.mov","MOV")</f>
        <v>21</v>
      </c>
    </row>
    <row r="12121" s="2" customFormat="1" ht="13.5" customHeight="1">
      <c r="B12121" t="s" s="8">
        <v>4543</v>
      </c>
      <c r="C12121" t="s" s="9">
        <v>14</v>
      </c>
      <c r="D12121" t="s" s="8">
        <v>14</v>
      </c>
      <c r="E12121" t="s" s="9">
        <v>14</v>
      </c>
      <c r="F12121" t="s" s="10">
        <v>14</v>
      </c>
      <c r="G12121" t="s" s="11">
        <v>14</v>
      </c>
      <c r="H12121" t="s" s="10">
        <v>14</v>
      </c>
      <c r="I12121" t="s" s="11">
        <v>14</v>
      </c>
      <c r="J12121" t="s" s="11">
        <v>14</v>
      </c>
      <c r="K12121" t="s" s="12">
        <v>14</v>
      </c>
      <c r="L12121" t="s" s="12">
        <v>14</v>
      </c>
      <c r="M12121" t="s" s="10">
        <v>14</v>
      </c>
      <c r="N12121" t="s" s="11">
        <v>14</v>
      </c>
      <c r="O12121" t="s" s="8">
        <v>14</v>
      </c>
      <c r="P12121" t="s" s="8">
        <v>14</v>
      </c>
      <c r="Q12121" t="s" s="12">
        <v>14</v>
      </c>
      <c r="R12121" t="s" s="12">
        <v>14</v>
      </c>
    </row>
    <row r="12122" s="2" customFormat="1" ht="13.5" customHeight="1">
      <c r="B12122" s="13"/>
      <c r="C12122" t="s" s="9">
        <v>16</v>
      </c>
      <c r="D12122" t="s" s="8">
        <v>4543</v>
      </c>
      <c r="E12122" t="s" s="9">
        <v>4543</v>
      </c>
      <c r="F12122" t="s" s="10">
        <v>136</v>
      </c>
      <c r="G12122" t="s" s="11">
        <v>136</v>
      </c>
      <c r="H12122" t="s" s="10">
        <v>73</v>
      </c>
      <c r="I12122" t="s" s="11">
        <v>73</v>
      </c>
      <c r="J12122" t="s" s="11">
        <v>20</v>
      </c>
      <c r="K12122" s="15"/>
      <c r="L12122" t="s" s="16">
        <f>HYPERLINK("http://csr.bu.edu/ftp/asl/asllvd/demos/verify_start_end_handshape_annotations//test_auto_move//signs_mov_separ_signers/Liz_810.mov","MOV")</f>
        <v>21</v>
      </c>
      <c r="M12122" t="s" s="10">
        <v>84</v>
      </c>
      <c r="N12122" s="17">
        <v>32</v>
      </c>
      <c r="O12122" s="18">
        <v>182</v>
      </c>
      <c r="P12122" s="18">
        <v>237</v>
      </c>
      <c r="Q12122" s="15"/>
      <c r="R12122" t="s" s="16">
        <f>HYPERLINK("http://secrets.rutgers.edu:8080/data/asl-ftp/asllvd/demos/verify_start_end_handshape_annotations//test_auto_move//signs_mov_separ_signers/Liz_810.mov","MOV")</f>
        <v>21</v>
      </c>
    </row>
    <row r="12123" s="2" customFormat="1" ht="13.5" customHeight="1">
      <c r="B12123" s="13"/>
      <c r="C12123" t="s" s="9">
        <v>27</v>
      </c>
      <c r="D12123" t="s" s="8">
        <v>4543</v>
      </c>
      <c r="E12123" t="s" s="9">
        <v>4543</v>
      </c>
      <c r="F12123" t="s" s="10">
        <v>136</v>
      </c>
      <c r="G12123" t="s" s="11">
        <v>136</v>
      </c>
      <c r="H12123" t="s" s="10">
        <v>73</v>
      </c>
      <c r="I12123" t="s" s="11">
        <v>73</v>
      </c>
      <c r="J12123" t="s" s="11">
        <v>20</v>
      </c>
      <c r="K12123" t="s" s="16">
        <f>HYPERLINK("http://csr.bu.edu/ftp/asl/asllvd/demos/verify_start_end_handshape_annotations//test_auto_move//signs_mov/810.mov","MOV")</f>
        <v>21</v>
      </c>
      <c r="L12123" t="s" s="16">
        <f>HYPERLINK("http://csr.bu.edu/ftp/asl/asllvd/demos/verify_start_end_handshape_annotations//test_auto_move//signs_mov_separ_signers/Naomi_810.mov","MOV")</f>
        <v>21</v>
      </c>
      <c r="M12123" t="s" s="10">
        <v>86</v>
      </c>
      <c r="N12123" s="17">
        <v>31</v>
      </c>
      <c r="O12123" s="18">
        <v>3440</v>
      </c>
      <c r="P12123" s="18">
        <v>3475</v>
      </c>
      <c r="Q12123" t="s" s="16">
        <f>HYPERLINK("http://secrets.rutgers.edu:8080/data/asl-ftp/asllvd/demos/verify_start_end_handshape_annotations//test_auto_move//signs_mov/810.mov","MOV")</f>
        <v>21</v>
      </c>
      <c r="R12123" t="s" s="16">
        <f>HYPERLINK("http://secrets.rutgers.edu:8080/data/asl-ftp/asllvd/demos/verify_start_end_handshape_annotations//test_auto_move//signs_mov_separ_signers/Naomi_810.mov","MOV")</f>
        <v>21</v>
      </c>
    </row>
    <row r="12124" s="2" customFormat="1" ht="13.5" customHeight="1">
      <c r="B12124" s="13"/>
      <c r="C12124" t="s" s="9">
        <v>30</v>
      </c>
      <c r="D12124" t="s" s="8">
        <v>4543</v>
      </c>
      <c r="E12124" t="s" s="9">
        <v>4543</v>
      </c>
      <c r="F12124" t="s" s="10">
        <v>136</v>
      </c>
      <c r="G12124" t="s" s="11">
        <v>136</v>
      </c>
      <c r="H12124" t="s" s="10">
        <v>73</v>
      </c>
      <c r="I12124" t="s" s="11">
        <v>73</v>
      </c>
      <c r="J12124" t="s" s="11">
        <v>20</v>
      </c>
      <c r="K12124" s="15"/>
      <c r="L12124" t="s" s="16">
        <f>HYPERLINK("http://csr.bu.edu/ftp/asl/asllvd/demos/verify_start_end_handshape_annotations//test_auto_move//signs_mov_separ_signers/Brady_810.mov","MOV")</f>
        <v>21</v>
      </c>
      <c r="M12124" t="s" s="10">
        <v>39</v>
      </c>
      <c r="N12124" s="17">
        <v>12</v>
      </c>
      <c r="O12124" s="18">
        <v>4591</v>
      </c>
      <c r="P12124" s="18">
        <v>4628</v>
      </c>
      <c r="Q12124" s="15"/>
      <c r="R12124" t="s" s="16">
        <f>HYPERLINK("http://secrets.rutgers.edu:8080/data/asl-ftp/asllvd/demos/verify_start_end_handshape_annotations//test_auto_move//signs_mov_separ_signers/Brady_810.mov","MOV")</f>
        <v>21</v>
      </c>
    </row>
    <row r="12125" s="2" customFormat="1" ht="13.5" customHeight="1">
      <c r="B12125" t="s" s="8">
        <v>52</v>
      </c>
      <c r="C12125" t="s" s="9">
        <v>53</v>
      </c>
      <c r="D12125" t="s" s="8">
        <v>53</v>
      </c>
      <c r="E12125" t="s" s="9">
        <v>53</v>
      </c>
      <c r="F12125" t="s" s="10">
        <v>53</v>
      </c>
      <c r="G12125" t="s" s="11">
        <v>53</v>
      </c>
      <c r="H12125" t="s" s="10">
        <v>53</v>
      </c>
      <c r="I12125" t="s" s="11">
        <v>53</v>
      </c>
      <c r="J12125" t="s" s="11">
        <v>53</v>
      </c>
      <c r="K12125" t="s" s="12">
        <v>53</v>
      </c>
      <c r="L12125" t="s" s="12">
        <v>53</v>
      </c>
      <c r="M12125" t="s" s="10">
        <v>53</v>
      </c>
      <c r="N12125" t="s" s="11">
        <v>53</v>
      </c>
      <c r="O12125" t="s" s="8">
        <v>53</v>
      </c>
      <c r="P12125" t="s" s="8">
        <v>53</v>
      </c>
      <c r="Q12125" t="s" s="12">
        <v>53</v>
      </c>
      <c r="R12125" t="s" s="12">
        <v>53</v>
      </c>
    </row>
    <row r="12126" s="2" customFormat="1" ht="27.75" customHeight="1">
      <c r="B12126" s="13"/>
      <c r="C12126" t="s" s="9">
        <v>23</v>
      </c>
      <c r="D12126" t="s" s="8">
        <v>4543</v>
      </c>
      <c r="E12126" t="s" s="9">
        <v>4544</v>
      </c>
      <c r="F12126" t="s" s="10">
        <v>136</v>
      </c>
      <c r="G12126" t="s" s="11">
        <v>136</v>
      </c>
      <c r="H12126" t="s" s="10">
        <v>73</v>
      </c>
      <c r="I12126" t="s" s="11">
        <v>73</v>
      </c>
      <c r="J12126" t="s" s="11">
        <v>20</v>
      </c>
      <c r="K12126" t="s" s="16">
        <f>HYPERLINK("http://csr.bu.edu/ftp/asl/asllvd/demos/verify_start_end_handshape_annotations//test_auto_move//signs_mov/16556.mov","MOV")</f>
        <v>21</v>
      </c>
      <c r="L12126" t="s" s="16">
        <f>HYPERLINK("http://csr.bu.edu/ftp/asl/asllvd/demos/verify_start_end_handshape_annotations//test_auto_move//signs_mov_separ_signers/Tyler_16556.mov","MOV")</f>
        <v>21</v>
      </c>
      <c r="M12126" t="s" s="10">
        <v>92</v>
      </c>
      <c r="N12126" s="17">
        <v>11</v>
      </c>
      <c r="O12126" s="18">
        <v>3616</v>
      </c>
      <c r="P12126" s="18">
        <v>3680</v>
      </c>
      <c r="Q12126" t="s" s="16">
        <f>HYPERLINK("http://secrets.rutgers.edu:8080/data/asl-ftp/asllvd/demos/verify_start_end_handshape_annotations//test_auto_move//signs_mov/16556.mov","MOV")</f>
        <v>21</v>
      </c>
      <c r="R12126" t="s" s="16">
        <f>HYPERLINK("http://secrets.rutgers.edu:8080/data/asl-ftp/asllvd/demos/verify_start_end_handshape_annotations//test_auto_move//signs_mov_separ_signers/Tyler_16556.mov","MOV")</f>
        <v>21</v>
      </c>
    </row>
    <row r="12127" s="2" customFormat="1" ht="13.5" customHeight="1">
      <c r="B12127" t="s" s="8">
        <v>4545</v>
      </c>
      <c r="C12127" t="s" s="9">
        <v>14</v>
      </c>
      <c r="D12127" t="s" s="8">
        <v>14</v>
      </c>
      <c r="E12127" t="s" s="9">
        <v>14</v>
      </c>
      <c r="F12127" t="s" s="10">
        <v>14</v>
      </c>
      <c r="G12127" t="s" s="11">
        <v>14</v>
      </c>
      <c r="H12127" t="s" s="10">
        <v>14</v>
      </c>
      <c r="I12127" t="s" s="11">
        <v>14</v>
      </c>
      <c r="J12127" t="s" s="11">
        <v>14</v>
      </c>
      <c r="K12127" t="s" s="12">
        <v>14</v>
      </c>
      <c r="L12127" t="s" s="12">
        <v>14</v>
      </c>
      <c r="M12127" t="s" s="10">
        <v>14</v>
      </c>
      <c r="N12127" t="s" s="11">
        <v>14</v>
      </c>
      <c r="O12127" t="s" s="8">
        <v>14</v>
      </c>
      <c r="P12127" t="s" s="8">
        <v>14</v>
      </c>
      <c r="Q12127" t="s" s="12">
        <v>14</v>
      </c>
      <c r="R12127" t="s" s="12">
        <v>14</v>
      </c>
    </row>
    <row r="12128" s="2" customFormat="1" ht="13.5" customHeight="1">
      <c r="B12128" s="13"/>
      <c r="C12128" t="s" s="9">
        <v>16</v>
      </c>
      <c r="D12128" t="s" s="8">
        <v>4545</v>
      </c>
      <c r="E12128" t="s" s="9">
        <v>4546</v>
      </c>
      <c r="F12128" s="19">
        <v>10</v>
      </c>
      <c r="G12128" s="17">
        <v>10</v>
      </c>
      <c r="H12128" s="19">
        <v>1</v>
      </c>
      <c r="I12128" s="17">
        <v>10</v>
      </c>
      <c r="J12128" t="s" s="11">
        <v>20</v>
      </c>
      <c r="K12128" t="s" s="16">
        <f>HYPERLINK("http://csr.bu.edu/ftp/asl/asllvd/demos/verify_start_end_handshape_annotations//test_auto_move//signs_mov/841.mov","MOV")</f>
        <v>21</v>
      </c>
      <c r="L12128" t="s" s="16">
        <f>HYPERLINK("http://csr.bu.edu/ftp/asl/asllvd/demos/verify_start_end_handshape_annotations//test_auto_move//signs_mov_separ_signers/Liz_841.mov","MOV")</f>
        <v>21</v>
      </c>
      <c r="M12128" t="s" s="10">
        <v>84</v>
      </c>
      <c r="N12128" s="17">
        <v>35</v>
      </c>
      <c r="O12128" s="18">
        <v>485</v>
      </c>
      <c r="P12128" s="18">
        <v>538</v>
      </c>
      <c r="Q12128" t="s" s="16">
        <f>HYPERLINK("http://secrets.rutgers.edu:8080/data/asl-ftp/asllvd/demos/verify_start_end_handshape_annotations//test_auto_move//signs_mov/841.mov","MOV")</f>
        <v>21</v>
      </c>
      <c r="R12128" t="s" s="16">
        <f>HYPERLINK("http://secrets.rutgers.edu:8080/data/asl-ftp/asllvd/demos/verify_start_end_handshape_annotations//test_auto_move//signs_mov_separ_signers/Liz_841.mov","MOV")</f>
        <v>21</v>
      </c>
    </row>
    <row r="12129" s="2" customFormat="1" ht="13.5" customHeight="1">
      <c r="B12129" s="13"/>
      <c r="C12129" t="s" s="9">
        <v>27</v>
      </c>
      <c r="D12129" t="s" s="8">
        <v>4545</v>
      </c>
      <c r="E12129" t="s" s="9">
        <v>4546</v>
      </c>
      <c r="F12129" s="19">
        <v>10</v>
      </c>
      <c r="G12129" s="17">
        <v>10</v>
      </c>
      <c r="H12129" s="19">
        <v>1</v>
      </c>
      <c r="I12129" s="17">
        <v>10</v>
      </c>
      <c r="J12129" t="s" s="11">
        <v>20</v>
      </c>
      <c r="K12129" s="15"/>
      <c r="L12129" t="s" s="16">
        <f>HYPERLINK("http://csr.bu.edu/ftp/asl/asllvd/demos/verify_start_end_handshape_annotations//test_auto_move//signs_mov_separ_signers/Naomi_841.mov","MOV")</f>
        <v>21</v>
      </c>
      <c r="M12129" t="s" s="10">
        <v>86</v>
      </c>
      <c r="N12129" s="17">
        <v>35</v>
      </c>
      <c r="O12129" s="18">
        <v>154</v>
      </c>
      <c r="P12129" s="18">
        <v>187</v>
      </c>
      <c r="Q12129" s="15"/>
      <c r="R12129" t="s" s="16">
        <f>HYPERLINK("http://secrets.rutgers.edu:8080/data/asl-ftp/asllvd/demos/verify_start_end_handshape_annotations//test_auto_move//signs_mov_separ_signers/Naomi_841.mov","MOV")</f>
        <v>21</v>
      </c>
    </row>
    <row r="12130" s="2" customFormat="1" ht="13.5" customHeight="1">
      <c r="B12130" t="s" s="8">
        <v>52</v>
      </c>
      <c r="C12130" t="s" s="9">
        <v>53</v>
      </c>
      <c r="D12130" t="s" s="8">
        <v>53</v>
      </c>
      <c r="E12130" t="s" s="9">
        <v>53</v>
      </c>
      <c r="F12130" t="s" s="10">
        <v>53</v>
      </c>
      <c r="G12130" t="s" s="11">
        <v>53</v>
      </c>
      <c r="H12130" t="s" s="10">
        <v>53</v>
      </c>
      <c r="I12130" t="s" s="11">
        <v>53</v>
      </c>
      <c r="J12130" t="s" s="11">
        <v>53</v>
      </c>
      <c r="K12130" t="s" s="12">
        <v>53</v>
      </c>
      <c r="L12130" t="s" s="12">
        <v>53</v>
      </c>
      <c r="M12130" t="s" s="10">
        <v>53</v>
      </c>
      <c r="N12130" t="s" s="11">
        <v>53</v>
      </c>
      <c r="O12130" t="s" s="8">
        <v>53</v>
      </c>
      <c r="P12130" t="s" s="8">
        <v>53</v>
      </c>
      <c r="Q12130" t="s" s="12">
        <v>53</v>
      </c>
      <c r="R12130" t="s" s="12">
        <v>53</v>
      </c>
    </row>
    <row r="12131" s="2" customFormat="1" ht="13.5" customHeight="1">
      <c r="B12131" s="13"/>
      <c r="C12131" t="s" s="9">
        <v>16</v>
      </c>
      <c r="D12131" t="s" s="8">
        <v>4545</v>
      </c>
      <c r="E12131" t="s" s="9">
        <v>4545</v>
      </c>
      <c r="F12131" t="s" s="10">
        <v>63</v>
      </c>
      <c r="G12131" s="14"/>
      <c r="H12131" s="19">
        <v>1</v>
      </c>
      <c r="I12131" s="14"/>
      <c r="J12131" t="s" s="11">
        <v>20</v>
      </c>
      <c r="K12131" s="15"/>
      <c r="L12131" t="s" s="16">
        <f>HYPERLINK("http://csr.bu.edu/ftp/asl/asllvd/demos/verify_start_end_handshape_annotations//test_auto_move//signs_mov_separ_signers/Liz_5176.mov","MOV")</f>
        <v>21</v>
      </c>
      <c r="M12131" t="s" s="10">
        <v>22</v>
      </c>
      <c r="N12131" s="17">
        <v>16</v>
      </c>
      <c r="O12131" s="18">
        <v>458</v>
      </c>
      <c r="P12131" s="18">
        <v>499</v>
      </c>
      <c r="Q12131" s="15"/>
      <c r="R12131" t="s" s="16">
        <f>HYPERLINK("http://secrets.rutgers.edu:8080/data/asl-ftp/asllvd/demos/verify_start_end_handshape_annotations//test_auto_move//signs_mov_separ_signers/Liz_5176.mov","MOV")</f>
        <v>21</v>
      </c>
    </row>
    <row r="12132" s="2" customFormat="1" ht="13.5" customHeight="1">
      <c r="B12132" s="13"/>
      <c r="C12132" t="s" s="9">
        <v>23</v>
      </c>
      <c r="D12132" t="s" s="8">
        <v>4545</v>
      </c>
      <c r="E12132" t="s" s="9">
        <v>4545</v>
      </c>
      <c r="F12132" t="s" s="10">
        <v>63</v>
      </c>
      <c r="G12132" s="14"/>
      <c r="H12132" s="19">
        <v>1</v>
      </c>
      <c r="I12132" s="14"/>
      <c r="J12132" t="s" s="11">
        <v>20</v>
      </c>
      <c r="K12132" s="15"/>
      <c r="L12132" t="s" s="16">
        <f>HYPERLINK("http://csr.bu.edu/ftp/asl/asllvd/demos/verify_start_end_handshape_annotations//test_auto_move//signs_mov_separ_signers/Tyler_5176.mov","MOV")</f>
        <v>21</v>
      </c>
      <c r="M12132" t="s" s="10">
        <v>26</v>
      </c>
      <c r="N12132" s="17">
        <v>12</v>
      </c>
      <c r="O12132" s="18">
        <v>929</v>
      </c>
      <c r="P12132" s="18">
        <v>966</v>
      </c>
      <c r="Q12132" s="15"/>
      <c r="R12132" t="s" s="16">
        <f>HYPERLINK("http://secrets.rutgers.edu:8080/data/asl-ftp/asllvd/demos/verify_start_end_handshape_annotations//test_auto_move//signs_mov_separ_signers/Tyler_5176.mov","MOV")</f>
        <v>21</v>
      </c>
    </row>
    <row r="12133" s="2" customFormat="1" ht="13.5" customHeight="1">
      <c r="B12133" s="13"/>
      <c r="C12133" t="s" s="9">
        <v>23</v>
      </c>
      <c r="D12133" t="s" s="8">
        <v>4545</v>
      </c>
      <c r="E12133" t="s" s="9">
        <v>4545</v>
      </c>
      <c r="F12133" s="19">
        <v>10</v>
      </c>
      <c r="G12133" s="14"/>
      <c r="H12133" s="19">
        <v>1</v>
      </c>
      <c r="I12133" s="14"/>
      <c r="J12133" t="s" s="11">
        <v>20</v>
      </c>
      <c r="K12133" t="s" s="16">
        <f>HYPERLINK("http://csr.bu.edu/ftp/asl/asllvd/demos/verify_start_end_handshape_annotations//test_auto_move//signs_mov/5176_15053_merged.mov","MOV")</f>
        <v>21</v>
      </c>
      <c r="L12133" t="s" s="16">
        <f>HYPERLINK("http://csr.bu.edu/ftp/asl/asllvd/demos/verify_start_end_handshape_annotations//test_auto_move//signs_mov_separ_signers/Tyler_15053.mov","MOV")</f>
        <v>21</v>
      </c>
      <c r="M12133" t="s" s="10">
        <v>92</v>
      </c>
      <c r="N12133" s="17">
        <v>15</v>
      </c>
      <c r="O12133" s="18">
        <v>261</v>
      </c>
      <c r="P12133" s="18">
        <v>300</v>
      </c>
      <c r="Q12133" t="s" s="16">
        <f>HYPERLINK("http://secrets.rutgers.edu:8080/data/asl-ftp/asllvd/demos/verify_start_end_handshape_annotations//test_auto_move//signs_mov/5176_15053_merged.mov","MOV")</f>
        <v>21</v>
      </c>
      <c r="R12133" t="s" s="16">
        <f>HYPERLINK("http://secrets.rutgers.edu:8080/data/asl-ftp/asllvd/demos/verify_start_end_handshape_annotations//test_auto_move//signs_mov_separ_signers/Tyler_15053.mov","MOV")</f>
        <v>21</v>
      </c>
    </row>
    <row r="12134" s="2" customFormat="1" ht="13.5" customHeight="1">
      <c r="B12134" s="13"/>
      <c r="C12134" t="s" s="9">
        <v>27</v>
      </c>
      <c r="D12134" t="s" s="8">
        <v>4545</v>
      </c>
      <c r="E12134" t="s" s="9">
        <v>4545</v>
      </c>
      <c r="F12134" t="s" s="10">
        <v>63</v>
      </c>
      <c r="G12134" s="14"/>
      <c r="H12134" s="19">
        <v>1</v>
      </c>
      <c r="I12134" s="14"/>
      <c r="J12134" t="s" s="11">
        <v>20</v>
      </c>
      <c r="K12134" s="15"/>
      <c r="L12134" t="s" s="16">
        <f>HYPERLINK("http://csr.bu.edu/ftp/asl/asllvd/demos/verify_start_end_handshape_annotations//test_auto_move//signs_mov_separ_signers/Naomi_5176.mov","MOV")</f>
        <v>21</v>
      </c>
      <c r="M12134" t="s" s="10">
        <v>29</v>
      </c>
      <c r="N12134" s="17">
        <v>12</v>
      </c>
      <c r="O12134" s="18">
        <v>735</v>
      </c>
      <c r="P12134" s="18">
        <v>767</v>
      </c>
      <c r="Q12134" s="15"/>
      <c r="R12134" t="s" s="16">
        <f>HYPERLINK("http://secrets.rutgers.edu:8080/data/asl-ftp/asllvd/demos/verify_start_end_handshape_annotations//test_auto_move//signs_mov_separ_signers/Naomi_5176.mov","MOV")</f>
        <v>21</v>
      </c>
    </row>
    <row r="12135" s="2" customFormat="1" ht="13.5" customHeight="1">
      <c r="B12135" s="13"/>
      <c r="C12135" t="s" s="9">
        <v>30</v>
      </c>
      <c r="D12135" t="s" s="8">
        <v>4545</v>
      </c>
      <c r="E12135" t="s" s="9">
        <v>4545</v>
      </c>
      <c r="F12135" s="19">
        <v>10</v>
      </c>
      <c r="G12135" s="14"/>
      <c r="H12135" s="19">
        <v>1</v>
      </c>
      <c r="I12135" s="14"/>
      <c r="J12135" t="s" s="11">
        <v>20</v>
      </c>
      <c r="K12135" s="15"/>
      <c r="L12135" t="s" s="16">
        <f>HYPERLINK("http://csr.bu.edu/ftp/asl/asllvd/demos/verify_start_end_handshape_annotations//test_auto_move//signs_mov_separ_signers/Brady_5176.mov","MOV")</f>
        <v>21</v>
      </c>
      <c r="M12135" t="s" s="10">
        <v>39</v>
      </c>
      <c r="N12135" s="17">
        <v>2</v>
      </c>
      <c r="O12135" s="18">
        <v>2658</v>
      </c>
      <c r="P12135" s="18">
        <v>2688</v>
      </c>
      <c r="Q12135" s="15"/>
      <c r="R12135" t="s" s="16">
        <f>HYPERLINK("http://secrets.rutgers.edu:8080/data/asl-ftp/asllvd/demos/verify_start_end_handshape_annotations//test_auto_move//signs_mov_separ_signers/Brady_5176.mov","MOV")</f>
        <v>21</v>
      </c>
    </row>
    <row r="12136" s="2" customFormat="1" ht="13.5" customHeight="1">
      <c r="B12136" s="13"/>
      <c r="C12136" t="s" s="9">
        <v>30</v>
      </c>
      <c r="D12136" t="s" s="8">
        <v>4545</v>
      </c>
      <c r="E12136" t="s" s="9">
        <v>4545</v>
      </c>
      <c r="F12136" s="19">
        <v>10</v>
      </c>
      <c r="G12136" s="14"/>
      <c r="H12136" s="19">
        <v>1</v>
      </c>
      <c r="I12136" s="14"/>
      <c r="J12136" t="s" s="11">
        <v>20</v>
      </c>
      <c r="K12136" s="15"/>
      <c r="L12136" t="s" s="16">
        <f>HYPERLINK("http://csr.bu.edu/ftp/asl/asllvd/demos/verify_start_end_handshape_annotations//test_auto_move//signs_mov_separ_signers/Brady_15053.mov","MOV")</f>
        <v>21</v>
      </c>
      <c r="M12136" t="s" s="10">
        <v>39</v>
      </c>
      <c r="N12136" s="17">
        <v>14</v>
      </c>
      <c r="O12136" s="18">
        <v>721</v>
      </c>
      <c r="P12136" s="18">
        <v>751</v>
      </c>
      <c r="Q12136" s="15"/>
      <c r="R12136" t="s" s="16">
        <f>HYPERLINK("http://secrets.rutgers.edu:8080/data/asl-ftp/asllvd/demos/verify_start_end_handshape_annotations//test_auto_move//signs_mov_separ_signers/Brady_15053.mov","MOV")</f>
        <v>21</v>
      </c>
    </row>
    <row r="12137" s="2" customFormat="1" ht="13.5" customHeight="1">
      <c r="B12137" t="s" s="8">
        <v>4547</v>
      </c>
      <c r="C12137" t="s" s="9">
        <v>14</v>
      </c>
      <c r="D12137" t="s" s="8">
        <v>14</v>
      </c>
      <c r="E12137" t="s" s="9">
        <v>14</v>
      </c>
      <c r="F12137" t="s" s="10">
        <v>14</v>
      </c>
      <c r="G12137" t="s" s="11">
        <v>14</v>
      </c>
      <c r="H12137" t="s" s="10">
        <v>14</v>
      </c>
      <c r="I12137" t="s" s="11">
        <v>14</v>
      </c>
      <c r="J12137" t="s" s="11">
        <v>14</v>
      </c>
      <c r="K12137" t="s" s="12">
        <v>14</v>
      </c>
      <c r="L12137" t="s" s="12">
        <v>14</v>
      </c>
      <c r="M12137" t="s" s="10">
        <v>14</v>
      </c>
      <c r="N12137" t="s" s="11">
        <v>14</v>
      </c>
      <c r="O12137" t="s" s="8">
        <v>14</v>
      </c>
      <c r="P12137" t="s" s="8">
        <v>14</v>
      </c>
      <c r="Q12137" t="s" s="12">
        <v>14</v>
      </c>
      <c r="R12137" t="s" s="12">
        <v>14</v>
      </c>
    </row>
    <row r="12138" s="2" customFormat="1" ht="13.5" customHeight="1">
      <c r="B12138" s="13"/>
      <c r="C12138" t="s" s="9">
        <v>16</v>
      </c>
      <c r="D12138" t="s" s="8">
        <v>4548</v>
      </c>
      <c r="E12138" t="s" s="9">
        <v>4548</v>
      </c>
      <c r="F12138" s="19">
        <v>1</v>
      </c>
      <c r="G12138" s="14"/>
      <c r="H12138" t="s" s="10">
        <v>68</v>
      </c>
      <c r="I12138" t="s" s="11">
        <v>68</v>
      </c>
      <c r="J12138" t="s" s="11">
        <v>20</v>
      </c>
      <c r="K12138" s="15"/>
      <c r="L12138" t="s" s="16">
        <f>HYPERLINK("http://csr.bu.edu/ftp/asl/asllvd/demos/verify_start_end_handshape_annotations//test_auto_move//signs_mov_separ_signers/Liz_867.mov","MOV")</f>
        <v>21</v>
      </c>
      <c r="M12138" t="s" s="10">
        <v>84</v>
      </c>
      <c r="N12138" s="17">
        <v>37</v>
      </c>
      <c r="O12138" s="18">
        <v>1898</v>
      </c>
      <c r="P12138" s="18">
        <v>1973</v>
      </c>
      <c r="Q12138" s="15"/>
      <c r="R12138" t="s" s="16">
        <f>HYPERLINK("http://secrets.rutgers.edu:8080/data/asl-ftp/asllvd/demos/verify_start_end_handshape_annotations//test_auto_move//signs_mov_separ_signers/Liz_867.mov","MOV")</f>
        <v>21</v>
      </c>
    </row>
    <row r="12139" s="2" customFormat="1" ht="13.5" customHeight="1">
      <c r="B12139" s="13"/>
      <c r="C12139" t="s" s="9">
        <v>27</v>
      </c>
      <c r="D12139" t="s" s="8">
        <v>4548</v>
      </c>
      <c r="E12139" t="s" s="9">
        <v>4548</v>
      </c>
      <c r="F12139" s="19">
        <v>1</v>
      </c>
      <c r="G12139" s="14"/>
      <c r="H12139" t="s" s="10">
        <v>70</v>
      </c>
      <c r="I12139" t="s" s="11">
        <v>68</v>
      </c>
      <c r="J12139" t="s" s="11">
        <v>20</v>
      </c>
      <c r="K12139" t="s" s="16">
        <f>HYPERLINK("http://csr.bu.edu/ftp/asl/asllvd/demos/verify_start_end_handshape_annotations//test_auto_move//signs_mov/867.mov","MOV")</f>
        <v>21</v>
      </c>
      <c r="L12139" t="s" s="16">
        <f>HYPERLINK("http://csr.bu.edu/ftp/asl/asllvd/demos/verify_start_end_handshape_annotations//test_auto_move//signs_mov_separ_signers/Naomi_867.mov","MOV")</f>
        <v>21</v>
      </c>
      <c r="M12139" t="s" s="10">
        <v>86</v>
      </c>
      <c r="N12139" s="17">
        <v>37</v>
      </c>
      <c r="O12139" s="18">
        <v>1823</v>
      </c>
      <c r="P12139" s="18">
        <v>1852</v>
      </c>
      <c r="Q12139" t="s" s="16">
        <f>HYPERLINK("http://secrets.rutgers.edu:8080/data/asl-ftp/asllvd/demos/verify_start_end_handshape_annotations//test_auto_move//signs_mov/867.mov","MOV")</f>
        <v>21</v>
      </c>
      <c r="R12139" t="s" s="16">
        <f>HYPERLINK("http://secrets.rutgers.edu:8080/data/asl-ftp/asllvd/demos/verify_start_end_handshape_annotations//test_auto_move//signs_mov_separ_signers/Naomi_867.mov","MOV")</f>
        <v>21</v>
      </c>
    </row>
    <row r="12140" s="2" customFormat="1" ht="13.5" customHeight="1">
      <c r="B12140" s="13"/>
      <c r="C12140" t="s" s="9">
        <v>30</v>
      </c>
      <c r="D12140" t="s" s="8">
        <v>4548</v>
      </c>
      <c r="E12140" t="s" s="9">
        <v>4548</v>
      </c>
      <c r="F12140" s="19">
        <v>1</v>
      </c>
      <c r="G12140" s="14"/>
      <c r="H12140" t="s" s="10">
        <v>68</v>
      </c>
      <c r="I12140" t="s" s="11">
        <v>68</v>
      </c>
      <c r="J12140" t="s" s="11">
        <v>20</v>
      </c>
      <c r="K12140" s="15"/>
      <c r="L12140" t="s" s="16">
        <f>HYPERLINK("http://csr.bu.edu/ftp/asl/asllvd/demos/verify_start_end_handshape_annotations//test_auto_move//signs_mov_separ_signers/Brady_867.mov","MOV")</f>
        <v>21</v>
      </c>
      <c r="M12140" t="s" s="10">
        <v>39</v>
      </c>
      <c r="N12140" s="17">
        <v>15</v>
      </c>
      <c r="O12140" s="18">
        <v>5885</v>
      </c>
      <c r="P12140" s="18">
        <v>5919</v>
      </c>
      <c r="Q12140" s="15"/>
      <c r="R12140" t="s" s="16">
        <f>HYPERLINK("http://secrets.rutgers.edu:8080/data/asl-ftp/asllvd/demos/verify_start_end_handshape_annotations//test_auto_move//signs_mov_separ_signers/Brady_867.mov","MOV")</f>
        <v>21</v>
      </c>
    </row>
    <row r="12141" s="2" customFormat="1" ht="13.5" customHeight="1">
      <c r="B12141" t="s" s="8">
        <v>4549</v>
      </c>
      <c r="C12141" t="s" s="9">
        <v>14</v>
      </c>
      <c r="D12141" t="s" s="8">
        <v>14</v>
      </c>
      <c r="E12141" t="s" s="9">
        <v>14</v>
      </c>
      <c r="F12141" t="s" s="10">
        <v>14</v>
      </c>
      <c r="G12141" t="s" s="11">
        <v>14</v>
      </c>
      <c r="H12141" t="s" s="10">
        <v>14</v>
      </c>
      <c r="I12141" t="s" s="11">
        <v>14</v>
      </c>
      <c r="J12141" t="s" s="11">
        <v>14</v>
      </c>
      <c r="K12141" t="s" s="12">
        <v>14</v>
      </c>
      <c r="L12141" t="s" s="12">
        <v>14</v>
      </c>
      <c r="M12141" t="s" s="10">
        <v>14</v>
      </c>
      <c r="N12141" t="s" s="11">
        <v>14</v>
      </c>
      <c r="O12141" t="s" s="8">
        <v>14</v>
      </c>
      <c r="P12141" t="s" s="8">
        <v>14</v>
      </c>
      <c r="Q12141" t="s" s="12">
        <v>14</v>
      </c>
      <c r="R12141" t="s" s="12">
        <v>14</v>
      </c>
    </row>
    <row r="12142" s="2" customFormat="1" ht="13.5" customHeight="1">
      <c r="B12142" s="13"/>
      <c r="C12142" t="s" s="9">
        <v>16</v>
      </c>
      <c r="D12142" t="s" s="8">
        <v>4549</v>
      </c>
      <c r="E12142" t="s" s="9">
        <v>4549</v>
      </c>
      <c r="F12142" s="19">
        <v>5</v>
      </c>
      <c r="G12142" t="s" s="11">
        <v>73</v>
      </c>
      <c r="H12142" t="s" s="10">
        <v>73</v>
      </c>
      <c r="I12142" t="s" s="11">
        <v>73</v>
      </c>
      <c r="J12142" t="s" s="11">
        <v>20</v>
      </c>
      <c r="K12142" s="15"/>
      <c r="L12142" t="s" s="16">
        <f>HYPERLINK("http://csr.bu.edu/ftp/asl/asllvd/demos/verify_start_end_handshape_annotations//test_auto_move//signs_mov_separ_signers/Liz_879.mov","MOV")</f>
        <v>21</v>
      </c>
      <c r="M12142" t="s" s="10">
        <v>84</v>
      </c>
      <c r="N12142" s="17">
        <v>38</v>
      </c>
      <c r="O12142" s="18">
        <v>2177</v>
      </c>
      <c r="P12142" s="18">
        <v>2245</v>
      </c>
      <c r="Q12142" s="15"/>
      <c r="R12142" t="s" s="16">
        <f>HYPERLINK("http://secrets.rutgers.edu:8080/data/asl-ftp/asllvd/demos/verify_start_end_handshape_annotations//test_auto_move//signs_mov_separ_signers/Liz_879.mov","MOV")</f>
        <v>21</v>
      </c>
    </row>
    <row r="12143" s="2" customFormat="1" ht="13.5" customHeight="1">
      <c r="B12143" s="13"/>
      <c r="C12143" t="s" s="9">
        <v>27</v>
      </c>
      <c r="D12143" t="s" s="8">
        <v>4549</v>
      </c>
      <c r="E12143" t="s" s="9">
        <v>4550</v>
      </c>
      <c r="F12143" s="19">
        <v>5</v>
      </c>
      <c r="G12143" t="s" s="11">
        <v>73</v>
      </c>
      <c r="H12143" t="s" s="10">
        <v>73</v>
      </c>
      <c r="I12143" t="s" s="11">
        <v>73</v>
      </c>
      <c r="J12143" t="s" s="11">
        <v>20</v>
      </c>
      <c r="K12143" t="s" s="16">
        <f>HYPERLINK("http://csr.bu.edu/ftp/asl/asllvd/demos/verify_start_end_handshape_annotations//test_auto_move//signs_mov/879.mov","MOV")</f>
        <v>21</v>
      </c>
      <c r="L12143" t="s" s="16">
        <f>HYPERLINK("http://csr.bu.edu/ftp/asl/asllvd/demos/verify_start_end_handshape_annotations//test_auto_move//signs_mov_separ_signers/Naomi_879.mov","MOV")</f>
        <v>21</v>
      </c>
      <c r="M12143" t="s" s="10">
        <v>86</v>
      </c>
      <c r="N12143" s="17">
        <v>38</v>
      </c>
      <c r="O12143" s="18">
        <v>2539</v>
      </c>
      <c r="P12143" s="18">
        <v>2590</v>
      </c>
      <c r="Q12143" t="s" s="16">
        <f>HYPERLINK("http://secrets.rutgers.edu:8080/data/asl-ftp/asllvd/demos/verify_start_end_handshape_annotations//test_auto_move//signs_mov/879.mov","MOV")</f>
        <v>21</v>
      </c>
      <c r="R12143" t="s" s="16">
        <f>HYPERLINK("http://secrets.rutgers.edu:8080/data/asl-ftp/asllvd/demos/verify_start_end_handshape_annotations//test_auto_move//signs_mov_separ_signers/Naomi_879.mov","MOV")</f>
        <v>21</v>
      </c>
    </row>
    <row r="12144" s="2" customFormat="1" ht="13.5" customHeight="1">
      <c r="B12144" s="13"/>
      <c r="C12144" t="s" s="9">
        <v>30</v>
      </c>
      <c r="D12144" t="s" s="8">
        <v>4549</v>
      </c>
      <c r="E12144" t="s" s="9">
        <v>4549</v>
      </c>
      <c r="F12144" s="19">
        <v>5</v>
      </c>
      <c r="G12144" t="s" s="11">
        <v>73</v>
      </c>
      <c r="H12144" t="s" s="10">
        <v>73</v>
      </c>
      <c r="I12144" t="s" s="11">
        <v>73</v>
      </c>
      <c r="J12144" t="s" s="11">
        <v>20</v>
      </c>
      <c r="K12144" s="15"/>
      <c r="L12144" t="s" s="16">
        <f>HYPERLINK("http://csr.bu.edu/ftp/asl/asllvd/demos/verify_start_end_handshape_annotations//test_auto_move//signs_mov_separ_signers/Brady_879.mov","MOV")</f>
        <v>21</v>
      </c>
      <c r="M12144" t="s" s="10">
        <v>39</v>
      </c>
      <c r="N12144" s="17">
        <v>16</v>
      </c>
      <c r="O12144" s="18">
        <v>4074</v>
      </c>
      <c r="P12144" s="18">
        <v>4110</v>
      </c>
      <c r="Q12144" s="15"/>
      <c r="R12144" t="s" s="16">
        <f>HYPERLINK("http://secrets.rutgers.edu:8080/data/asl-ftp/asllvd/demos/verify_start_end_handshape_annotations//test_auto_move//signs_mov_separ_signers/Brady_879.mov","MOV")</f>
        <v>21</v>
      </c>
    </row>
    <row r="12145" s="2" customFormat="1" ht="13.5" customHeight="1">
      <c r="B12145" t="s" s="8">
        <v>52</v>
      </c>
      <c r="C12145" t="s" s="9">
        <v>53</v>
      </c>
      <c r="D12145" t="s" s="8">
        <v>53</v>
      </c>
      <c r="E12145" t="s" s="9">
        <v>53</v>
      </c>
      <c r="F12145" t="s" s="10">
        <v>53</v>
      </c>
      <c r="G12145" t="s" s="11">
        <v>53</v>
      </c>
      <c r="H12145" t="s" s="10">
        <v>53</v>
      </c>
      <c r="I12145" t="s" s="11">
        <v>53</v>
      </c>
      <c r="J12145" t="s" s="11">
        <v>53</v>
      </c>
      <c r="K12145" t="s" s="12">
        <v>53</v>
      </c>
      <c r="L12145" t="s" s="12">
        <v>53</v>
      </c>
      <c r="M12145" t="s" s="10">
        <v>53</v>
      </c>
      <c r="N12145" t="s" s="11">
        <v>53</v>
      </c>
      <c r="O12145" t="s" s="8">
        <v>53</v>
      </c>
      <c r="P12145" t="s" s="8">
        <v>53</v>
      </c>
      <c r="Q12145" t="s" s="12">
        <v>53</v>
      </c>
      <c r="R12145" t="s" s="12">
        <v>53</v>
      </c>
    </row>
    <row r="12146" s="2" customFormat="1" ht="13.5" customHeight="1">
      <c r="B12146" s="13"/>
      <c r="C12146" t="s" s="9">
        <v>23</v>
      </c>
      <c r="D12146" t="s" s="8">
        <v>4549</v>
      </c>
      <c r="E12146" t="s" s="9">
        <v>4551</v>
      </c>
      <c r="F12146" s="19">
        <v>5</v>
      </c>
      <c r="G12146" t="s" s="11">
        <v>73</v>
      </c>
      <c r="H12146" t="s" s="10">
        <v>73</v>
      </c>
      <c r="I12146" t="s" s="11">
        <v>73</v>
      </c>
      <c r="J12146" t="s" s="11">
        <v>20</v>
      </c>
      <c r="K12146" t="s" s="16">
        <f>HYPERLINK("http://csr.bu.edu/ftp/asl/asllvd/demos/verify_start_end_handshape_annotations//test_auto_move//signs_mov/16521.mov","MOV")</f>
        <v>21</v>
      </c>
      <c r="L12146" t="s" s="16">
        <f>HYPERLINK("http://csr.bu.edu/ftp/asl/asllvd/demos/verify_start_end_handshape_annotations//test_auto_move//signs_mov_separ_signers/Tyler_16521.mov","MOV")</f>
        <v>21</v>
      </c>
      <c r="M12146" t="s" s="10">
        <v>92</v>
      </c>
      <c r="N12146" s="17">
        <v>18</v>
      </c>
      <c r="O12146" s="18">
        <v>3167</v>
      </c>
      <c r="P12146" s="18">
        <v>3210</v>
      </c>
      <c r="Q12146" t="s" s="16">
        <f>HYPERLINK("http://secrets.rutgers.edu:8080/data/asl-ftp/asllvd/demos/verify_start_end_handshape_annotations//test_auto_move//signs_mov/16521.mov","MOV")</f>
        <v>21</v>
      </c>
      <c r="R12146" t="s" s="16">
        <f>HYPERLINK("http://secrets.rutgers.edu:8080/data/asl-ftp/asllvd/demos/verify_start_end_handshape_annotations//test_auto_move//signs_mov_separ_signers/Tyler_16521.mov","MOV")</f>
        <v>21</v>
      </c>
    </row>
    <row r="12147" s="2" customFormat="1" ht="13.5" customHeight="1">
      <c r="B12147" t="s" s="8">
        <v>4552</v>
      </c>
      <c r="C12147" t="s" s="9">
        <v>14</v>
      </c>
      <c r="D12147" t="s" s="8">
        <v>14</v>
      </c>
      <c r="E12147" t="s" s="9">
        <v>14</v>
      </c>
      <c r="F12147" t="s" s="10">
        <v>14</v>
      </c>
      <c r="G12147" t="s" s="11">
        <v>14</v>
      </c>
      <c r="H12147" t="s" s="10">
        <v>14</v>
      </c>
      <c r="I12147" t="s" s="11">
        <v>14</v>
      </c>
      <c r="J12147" t="s" s="11">
        <v>14</v>
      </c>
      <c r="K12147" t="s" s="12">
        <v>14</v>
      </c>
      <c r="L12147" t="s" s="12">
        <v>14</v>
      </c>
      <c r="M12147" t="s" s="10">
        <v>14</v>
      </c>
      <c r="N12147" t="s" s="11">
        <v>14</v>
      </c>
      <c r="O12147" t="s" s="8">
        <v>14</v>
      </c>
      <c r="P12147" t="s" s="8">
        <v>14</v>
      </c>
      <c r="Q12147" t="s" s="12">
        <v>14</v>
      </c>
      <c r="R12147" t="s" s="12">
        <v>14</v>
      </c>
    </row>
    <row r="12148" s="2" customFormat="1" ht="13.5" customHeight="1">
      <c r="B12148" s="13"/>
      <c r="C12148" t="s" s="9">
        <v>16</v>
      </c>
      <c r="D12148" t="s" s="8">
        <v>4552</v>
      </c>
      <c r="E12148" t="s" s="9">
        <v>4552</v>
      </c>
      <c r="F12148" s="19">
        <v>5</v>
      </c>
      <c r="G12148" s="14"/>
      <c r="H12148" s="19">
        <v>5</v>
      </c>
      <c r="I12148" s="14"/>
      <c r="J12148" t="s" s="11">
        <v>20</v>
      </c>
      <c r="K12148" s="15"/>
      <c r="L12148" t="s" s="16">
        <f>HYPERLINK("http://csr.bu.edu/ftp/asl/asllvd/demos/verify_start_end_handshape_annotations//test_auto_move//signs_mov_separ_signers/Liz_897.mov","MOV")</f>
        <v>21</v>
      </c>
      <c r="M12148" t="s" s="10">
        <v>84</v>
      </c>
      <c r="N12148" s="17">
        <v>40</v>
      </c>
      <c r="O12148" s="18">
        <v>1592</v>
      </c>
      <c r="P12148" s="18">
        <v>1622</v>
      </c>
      <c r="Q12148" s="15"/>
      <c r="R12148" t="s" s="16">
        <f>HYPERLINK("http://secrets.rutgers.edu:8080/data/asl-ftp/asllvd/demos/verify_start_end_handshape_annotations//test_auto_move//signs_mov_separ_signers/Liz_897.mov","MOV")</f>
        <v>21</v>
      </c>
    </row>
    <row r="12149" s="2" customFormat="1" ht="13.5" customHeight="1">
      <c r="B12149" s="13"/>
      <c r="C12149" t="s" s="9">
        <v>16</v>
      </c>
      <c r="D12149" t="s" s="8">
        <v>4552</v>
      </c>
      <c r="E12149" t="s" s="9">
        <v>4552</v>
      </c>
      <c r="F12149" s="19">
        <v>5</v>
      </c>
      <c r="G12149" s="14"/>
      <c r="H12149" s="19">
        <v>5</v>
      </c>
      <c r="I12149" s="14"/>
      <c r="J12149" t="s" s="11">
        <v>20</v>
      </c>
      <c r="K12149" s="15"/>
      <c r="L12149" t="s" s="16">
        <f>HYPERLINK("http://csr.bu.edu/ftp/asl/asllvd/demos/verify_start_end_handshape_annotations//test_auto_move//signs_mov_separ_signers/Liz_3489.mov","MOV")</f>
        <v>21</v>
      </c>
      <c r="M12149" t="s" s="10">
        <v>84</v>
      </c>
      <c r="N12149" s="17">
        <v>43</v>
      </c>
      <c r="O12149" s="18">
        <v>1225</v>
      </c>
      <c r="P12149" s="18">
        <v>1247</v>
      </c>
      <c r="Q12149" s="15"/>
      <c r="R12149" t="s" s="16">
        <f>HYPERLINK("http://secrets.rutgers.edu:8080/data/asl-ftp/asllvd/demos/verify_start_end_handshape_annotations//test_auto_move//signs_mov_separ_signers/Liz_3489.mov","MOV")</f>
        <v>21</v>
      </c>
    </row>
    <row r="12150" s="2" customFormat="1" ht="13.5" customHeight="1">
      <c r="B12150" s="13"/>
      <c r="C12150" t="s" s="9">
        <v>16</v>
      </c>
      <c r="D12150" t="s" s="8">
        <v>4552</v>
      </c>
      <c r="E12150" t="s" s="9">
        <v>4552</v>
      </c>
      <c r="F12150" s="19">
        <v>5</v>
      </c>
      <c r="G12150" s="14"/>
      <c r="H12150" s="19">
        <v>5</v>
      </c>
      <c r="I12150" s="14"/>
      <c r="J12150" t="s" s="11">
        <v>20</v>
      </c>
      <c r="K12150" s="15"/>
      <c r="L12150" t="s" s="16">
        <f>HYPERLINK("http://csr.bu.edu/ftp/asl/asllvd/demos/verify_start_end_handshape_annotations//test_auto_move//signs_mov_separ_signers/Liz_3491.mov","MOV")</f>
        <v>21</v>
      </c>
      <c r="M12150" t="s" s="10">
        <v>77</v>
      </c>
      <c r="N12150" s="17">
        <v>11</v>
      </c>
      <c r="O12150" s="18">
        <v>2710</v>
      </c>
      <c r="P12150" s="18">
        <v>2740</v>
      </c>
      <c r="Q12150" s="15"/>
      <c r="R12150" t="s" s="16">
        <f>HYPERLINK("http://secrets.rutgers.edu:8080/data/asl-ftp/asllvd/demos/verify_start_end_handshape_annotations//test_auto_move//signs_mov_separ_signers/Liz_3491.mov","MOV")</f>
        <v>21</v>
      </c>
    </row>
    <row r="12151" s="2" customFormat="1" ht="13.5" customHeight="1">
      <c r="B12151" s="13"/>
      <c r="C12151" t="s" s="9">
        <v>16</v>
      </c>
      <c r="D12151" t="s" s="8">
        <v>4552</v>
      </c>
      <c r="E12151" t="s" s="9">
        <v>4552</v>
      </c>
      <c r="F12151" s="19">
        <v>5</v>
      </c>
      <c r="G12151" s="14"/>
      <c r="H12151" s="19">
        <v>5</v>
      </c>
      <c r="I12151" s="14"/>
      <c r="J12151" t="s" s="11">
        <v>20</v>
      </c>
      <c r="K12151" s="15"/>
      <c r="L12151" t="s" s="16">
        <f>HYPERLINK("http://csr.bu.edu/ftp/asl/asllvd/demos/verify_start_end_handshape_annotations//test_auto_move//signs_mov_separ_signers/Liz_3524.mov","MOV")</f>
        <v>21</v>
      </c>
      <c r="M12151" t="s" s="10">
        <v>77</v>
      </c>
      <c r="N12151" s="17">
        <v>15</v>
      </c>
      <c r="O12151" s="18">
        <v>795</v>
      </c>
      <c r="P12151" s="18">
        <v>830</v>
      </c>
      <c r="Q12151" s="15"/>
      <c r="R12151" t="s" s="16">
        <f>HYPERLINK("http://secrets.rutgers.edu:8080/data/asl-ftp/asllvd/demos/verify_start_end_handshape_annotations//test_auto_move//signs_mov_separ_signers/Liz_3524.mov","MOV")</f>
        <v>21</v>
      </c>
    </row>
    <row r="12152" s="2" customFormat="1" ht="13.5" customHeight="1">
      <c r="B12152" s="13"/>
      <c r="C12152" t="s" s="9">
        <v>16</v>
      </c>
      <c r="D12152" t="s" s="8">
        <v>4552</v>
      </c>
      <c r="E12152" t="s" s="9">
        <v>4552</v>
      </c>
      <c r="F12152" s="19">
        <v>5</v>
      </c>
      <c r="G12152" s="14"/>
      <c r="H12152" s="19">
        <v>5</v>
      </c>
      <c r="I12152" s="14"/>
      <c r="J12152" t="s" s="11">
        <v>20</v>
      </c>
      <c r="K12152" s="15"/>
      <c r="L12152" t="s" s="16">
        <f>HYPERLINK("http://csr.bu.edu/ftp/asl/asllvd/demos/verify_start_end_handshape_annotations//test_auto_move//signs_mov_separ_signers/Liz_3533.mov","MOV")</f>
        <v>21</v>
      </c>
      <c r="M12152" t="s" s="10">
        <v>77</v>
      </c>
      <c r="N12152" s="17">
        <v>18</v>
      </c>
      <c r="O12152" s="18">
        <v>885</v>
      </c>
      <c r="P12152" s="18">
        <v>925</v>
      </c>
      <c r="Q12152" s="15"/>
      <c r="R12152" t="s" s="16">
        <f>HYPERLINK("http://secrets.rutgers.edu:8080/data/asl-ftp/asllvd/demos/verify_start_end_handshape_annotations//test_auto_move//signs_mov_separ_signers/Liz_3533.mov","MOV")</f>
        <v>21</v>
      </c>
    </row>
    <row r="12153" s="2" customFormat="1" ht="13.5" customHeight="1">
      <c r="B12153" s="13"/>
      <c r="C12153" t="s" s="9">
        <v>23</v>
      </c>
      <c r="D12153" t="s" s="8">
        <v>4552</v>
      </c>
      <c r="E12153" t="s" s="9">
        <v>4553</v>
      </c>
      <c r="F12153" s="19">
        <v>5</v>
      </c>
      <c r="G12153" s="14"/>
      <c r="H12153" s="19">
        <v>5</v>
      </c>
      <c r="I12153" s="14"/>
      <c r="J12153" t="s" s="11">
        <v>20</v>
      </c>
      <c r="K12153" s="15"/>
      <c r="L12153" t="s" s="16">
        <f>HYPERLINK("http://csr.bu.edu/ftp/asl/asllvd/demos/verify_start_end_handshape_annotations//test_auto_move//signs_mov_separ_signers/Tyler_897.mov","MOV")</f>
        <v>21</v>
      </c>
      <c r="M12153" t="s" s="10">
        <v>92</v>
      </c>
      <c r="N12153" s="17">
        <v>20</v>
      </c>
      <c r="O12153" s="18">
        <v>2655</v>
      </c>
      <c r="P12153" s="18">
        <v>2720</v>
      </c>
      <c r="Q12153" s="15"/>
      <c r="R12153" t="s" s="16">
        <f>HYPERLINK("http://secrets.rutgers.edu:8080/data/asl-ftp/asllvd/demos/verify_start_end_handshape_annotations//test_auto_move//signs_mov_separ_signers/Tyler_897.mov","MOV")</f>
        <v>21</v>
      </c>
    </row>
    <row r="12154" s="2" customFormat="1" ht="13.5" customHeight="1">
      <c r="B12154" s="13"/>
      <c r="C12154" t="s" s="9">
        <v>27</v>
      </c>
      <c r="D12154" t="s" s="8">
        <v>4552</v>
      </c>
      <c r="E12154" t="s" s="9">
        <v>4552</v>
      </c>
      <c r="F12154" s="19">
        <v>5</v>
      </c>
      <c r="G12154" s="14"/>
      <c r="H12154" s="19">
        <v>5</v>
      </c>
      <c r="I12154" s="14"/>
      <c r="J12154" t="s" s="11">
        <v>20</v>
      </c>
      <c r="K12154" s="15"/>
      <c r="L12154" t="s" s="16">
        <f>HYPERLINK("http://csr.bu.edu/ftp/asl/asllvd/demos/verify_start_end_handshape_annotations//test_auto_move//signs_mov_separ_signers/Naomi_897.mov","MOV")</f>
        <v>21</v>
      </c>
      <c r="M12154" t="s" s="10">
        <v>86</v>
      </c>
      <c r="N12154" s="17">
        <v>40</v>
      </c>
      <c r="O12154" s="18">
        <v>2485</v>
      </c>
      <c r="P12154" s="18">
        <v>2501</v>
      </c>
      <c r="Q12154" s="15"/>
      <c r="R12154" t="s" s="16">
        <f>HYPERLINK("http://secrets.rutgers.edu:8080/data/asl-ftp/asllvd/demos/verify_start_end_handshape_annotations//test_auto_move//signs_mov_separ_signers/Naomi_897.mov","MOV")</f>
        <v>21</v>
      </c>
    </row>
    <row r="12155" s="2" customFormat="1" ht="13.5" customHeight="1">
      <c r="B12155" s="13"/>
      <c r="C12155" t="s" s="9">
        <v>27</v>
      </c>
      <c r="D12155" t="s" s="8">
        <v>4552</v>
      </c>
      <c r="E12155" t="s" s="9">
        <v>4552</v>
      </c>
      <c r="F12155" s="19">
        <v>5</v>
      </c>
      <c r="G12155" s="14"/>
      <c r="H12155" s="19">
        <v>5</v>
      </c>
      <c r="I12155" s="14"/>
      <c r="J12155" t="s" s="11">
        <v>20</v>
      </c>
      <c r="K12155" t="s" s="16">
        <f>HYPERLINK("http://csr.bu.edu/ftp/asl/asllvd/demos/verify_start_end_handshape_annotations//test_auto_move//signs_mov/897_3489_3491_3524_3533_3537_3995_merged.mov","MOV")</f>
        <v>21</v>
      </c>
      <c r="L12155" t="s" s="16">
        <f>HYPERLINK("http://csr.bu.edu/ftp/asl/asllvd/demos/verify_start_end_handshape_annotations//test_auto_move//signs_mov_separ_signers/Naomi_3489.mov","MOV")</f>
        <v>21</v>
      </c>
      <c r="M12155" t="s" s="10">
        <v>86</v>
      </c>
      <c r="N12155" s="17">
        <v>43</v>
      </c>
      <c r="O12155" s="18">
        <v>1170</v>
      </c>
      <c r="P12155" s="18">
        <v>1192</v>
      </c>
      <c r="Q12155" t="s" s="16">
        <f>HYPERLINK("http://secrets.rutgers.edu:8080/data/asl-ftp/asllvd/demos/verify_start_end_handshape_annotations//test_auto_move//signs_mov/897_3489_3491_3524_3533_3537_3995_merged.mov","MOV")</f>
        <v>21</v>
      </c>
      <c r="R12155" t="s" s="16">
        <f>HYPERLINK("http://secrets.rutgers.edu:8080/data/asl-ftp/asllvd/demos/verify_start_end_handshape_annotations//test_auto_move//signs_mov_separ_signers/Naomi_3489.mov","MOV")</f>
        <v>21</v>
      </c>
    </row>
    <row r="12156" s="2" customFormat="1" ht="13.5" customHeight="1">
      <c r="B12156" s="13"/>
      <c r="C12156" t="s" s="9">
        <v>30</v>
      </c>
      <c r="D12156" t="s" s="8">
        <v>4552</v>
      </c>
      <c r="E12156" t="s" s="9">
        <v>4552</v>
      </c>
      <c r="F12156" s="19">
        <v>5</v>
      </c>
      <c r="G12156" s="14"/>
      <c r="H12156" s="19">
        <v>5</v>
      </c>
      <c r="I12156" s="14"/>
      <c r="J12156" t="s" s="11">
        <v>20</v>
      </c>
      <c r="K12156" s="15"/>
      <c r="L12156" t="s" s="16">
        <f>HYPERLINK("http://csr.bu.edu/ftp/asl/asllvd/demos/verify_start_end_handshape_annotations//test_auto_move//signs_mov_separ_signers/Brady_897.mov","MOV")</f>
        <v>21</v>
      </c>
      <c r="M12156" t="s" s="10">
        <v>31</v>
      </c>
      <c r="N12156" s="17">
        <v>4</v>
      </c>
      <c r="O12156" s="18">
        <v>265</v>
      </c>
      <c r="P12156" s="18">
        <v>280</v>
      </c>
      <c r="Q12156" s="15"/>
      <c r="R12156" t="s" s="16">
        <f>HYPERLINK("http://secrets.rutgers.edu:8080/data/asl-ftp/asllvd/demos/verify_start_end_handshape_annotations//test_auto_move//signs_mov_separ_signers/Brady_897.mov","MOV")</f>
        <v>21</v>
      </c>
    </row>
    <row r="12157" s="2" customFormat="1" ht="13.5" customHeight="1">
      <c r="B12157" s="13"/>
      <c r="C12157" t="s" s="9">
        <v>30</v>
      </c>
      <c r="D12157" t="s" s="8">
        <v>4552</v>
      </c>
      <c r="E12157" t="s" s="9">
        <v>4552</v>
      </c>
      <c r="F12157" s="19">
        <v>5</v>
      </c>
      <c r="G12157" s="14"/>
      <c r="H12157" s="19">
        <v>5</v>
      </c>
      <c r="I12157" s="14"/>
      <c r="J12157" t="s" s="11">
        <v>20</v>
      </c>
      <c r="K12157" s="15"/>
      <c r="L12157" t="s" s="16">
        <f>HYPERLINK("http://csr.bu.edu/ftp/asl/asllvd/demos/verify_start_end_handshape_annotations//test_auto_move//signs_mov_separ_signers/Brady_3489.mov","MOV")</f>
        <v>21</v>
      </c>
      <c r="M12157" t="s" s="10">
        <v>31</v>
      </c>
      <c r="N12157" s="17">
        <v>4</v>
      </c>
      <c r="O12157" s="18">
        <v>725</v>
      </c>
      <c r="P12157" s="18">
        <v>739</v>
      </c>
      <c r="Q12157" s="15"/>
      <c r="R12157" t="s" s="16">
        <f>HYPERLINK("http://secrets.rutgers.edu:8080/data/asl-ftp/asllvd/demos/verify_start_end_handshape_annotations//test_auto_move//signs_mov_separ_signers/Brady_3489.mov","MOV")</f>
        <v>21</v>
      </c>
    </row>
    <row r="12158" s="2" customFormat="1" ht="13.5" customHeight="1">
      <c r="B12158" s="13"/>
      <c r="C12158" t="s" s="9">
        <v>30</v>
      </c>
      <c r="D12158" t="s" s="8">
        <v>4552</v>
      </c>
      <c r="E12158" t="s" s="9">
        <v>4552</v>
      </c>
      <c r="F12158" s="19">
        <v>5</v>
      </c>
      <c r="G12158" s="14"/>
      <c r="H12158" s="19">
        <v>5</v>
      </c>
      <c r="I12158" s="14"/>
      <c r="J12158" t="s" s="11">
        <v>20</v>
      </c>
      <c r="K12158" s="15"/>
      <c r="L12158" t="s" s="16">
        <f>HYPERLINK("http://csr.bu.edu/ftp/asl/asllvd/demos/verify_start_end_handshape_annotations//test_auto_move//signs_mov_separ_signers/Brady_3491.mov","MOV")</f>
        <v>21</v>
      </c>
      <c r="M12158" t="s" s="10">
        <v>31</v>
      </c>
      <c r="N12158" s="17">
        <v>4</v>
      </c>
      <c r="O12158" s="18">
        <v>1413</v>
      </c>
      <c r="P12158" s="18">
        <v>1429</v>
      </c>
      <c r="Q12158" s="15"/>
      <c r="R12158" t="s" s="16">
        <f>HYPERLINK("http://secrets.rutgers.edu:8080/data/asl-ftp/asllvd/demos/verify_start_end_handshape_annotations//test_auto_move//signs_mov_separ_signers/Brady_3491.mov","MOV")</f>
        <v>21</v>
      </c>
    </row>
    <row r="12159" s="2" customFormat="1" ht="13.5" customHeight="1">
      <c r="B12159" s="13"/>
      <c r="C12159" t="s" s="9">
        <v>30</v>
      </c>
      <c r="D12159" t="s" s="8">
        <v>4552</v>
      </c>
      <c r="E12159" t="s" s="9">
        <v>4552</v>
      </c>
      <c r="F12159" s="19">
        <v>5</v>
      </c>
      <c r="G12159" s="14"/>
      <c r="H12159" s="19">
        <v>5</v>
      </c>
      <c r="I12159" s="14"/>
      <c r="J12159" t="s" s="11">
        <v>20</v>
      </c>
      <c r="K12159" s="15"/>
      <c r="L12159" t="s" s="16">
        <f>HYPERLINK("http://csr.bu.edu/ftp/asl/asllvd/demos/verify_start_end_handshape_annotations//test_auto_move//signs_mov_separ_signers/Brady_3524.mov","MOV")</f>
        <v>21</v>
      </c>
      <c r="M12159" t="s" s="10">
        <v>31</v>
      </c>
      <c r="N12159" s="17">
        <v>5</v>
      </c>
      <c r="O12159" s="18">
        <v>10708</v>
      </c>
      <c r="P12159" s="18">
        <v>10719</v>
      </c>
      <c r="Q12159" s="15"/>
      <c r="R12159" t="s" s="16">
        <f>HYPERLINK("http://secrets.rutgers.edu:8080/data/asl-ftp/asllvd/demos/verify_start_end_handshape_annotations//test_auto_move//signs_mov_separ_signers/Brady_3524.mov","MOV")</f>
        <v>21</v>
      </c>
    </row>
    <row r="12160" s="2" customFormat="1" ht="13.5" customHeight="1">
      <c r="B12160" s="13"/>
      <c r="C12160" t="s" s="9">
        <v>30</v>
      </c>
      <c r="D12160" t="s" s="8">
        <v>4552</v>
      </c>
      <c r="E12160" t="s" s="9">
        <v>4552</v>
      </c>
      <c r="F12160" s="19">
        <v>5</v>
      </c>
      <c r="G12160" s="14"/>
      <c r="H12160" s="19">
        <v>5</v>
      </c>
      <c r="I12160" s="14"/>
      <c r="J12160" t="s" s="11">
        <v>20</v>
      </c>
      <c r="K12160" s="15"/>
      <c r="L12160" t="s" s="16">
        <f>HYPERLINK("http://csr.bu.edu/ftp/asl/asllvd/demos/verify_start_end_handshape_annotations//test_auto_move//signs_mov_separ_signers/Brady_3533.mov","MOV")</f>
        <v>21</v>
      </c>
      <c r="M12160" t="s" s="10">
        <v>31</v>
      </c>
      <c r="N12160" s="17">
        <v>6</v>
      </c>
      <c r="O12160" s="18">
        <v>734</v>
      </c>
      <c r="P12160" s="18">
        <v>750</v>
      </c>
      <c r="Q12160" s="15"/>
      <c r="R12160" t="s" s="16">
        <f>HYPERLINK("http://secrets.rutgers.edu:8080/data/asl-ftp/asllvd/demos/verify_start_end_handshape_annotations//test_auto_move//signs_mov_separ_signers/Brady_3533.mov","MOV")</f>
        <v>21</v>
      </c>
    </row>
    <row r="12161" s="2" customFormat="1" ht="13.5" customHeight="1">
      <c r="C12161" t="s" s="9">
        <v>30</v>
      </c>
      <c r="D12161" t="s" s="8">
        <v>4552</v>
      </c>
      <c r="E12161" t="s" s="9">
        <v>4552</v>
      </c>
      <c r="F12161" s="19">
        <v>5</v>
      </c>
      <c r="G12161" s="14"/>
      <c r="H12161" s="19">
        <v>5</v>
      </c>
      <c r="I12161" s="14"/>
      <c r="J12161" t="s" s="11">
        <v>20</v>
      </c>
      <c r="K12161" s="15"/>
      <c r="L12161" t="s" s="16">
        <f>HYPERLINK("http://csr.bu.edu/ftp/asl/asllvd/demos/verify_start_end_handshape_annotations//test_auto_move//signs_mov_separ_signers/Brady_3537.mov","MOV")</f>
        <v>21</v>
      </c>
      <c r="M12161" t="s" s="10">
        <v>39</v>
      </c>
      <c r="N12161" s="17">
        <v>17</v>
      </c>
      <c r="O12161" s="18">
        <v>6839</v>
      </c>
      <c r="P12161" s="18">
        <v>6859</v>
      </c>
      <c r="Q12161" s="15"/>
      <c r="R12161" t="s" s="16">
        <f>HYPERLINK("http://secrets.rutgers.edu:8080/data/asl-ftp/asllvd/demos/verify_start_end_handshape_annotations//test_auto_move//signs_mov_separ_signers/Brady_3537.mov","MOV")</f>
        <v>21</v>
      </c>
    </row>
    <row r="12162" s="2" customFormat="1" ht="13.5" customHeight="1">
      <c r="C12162" t="s" s="9">
        <v>30</v>
      </c>
      <c r="D12162" t="s" s="8">
        <v>4552</v>
      </c>
      <c r="E12162" t="s" s="9">
        <v>4552</v>
      </c>
      <c r="F12162" s="19">
        <v>5</v>
      </c>
      <c r="G12162" s="14"/>
      <c r="H12162" s="19">
        <v>5</v>
      </c>
      <c r="I12162" s="14"/>
      <c r="J12162" t="s" s="11">
        <v>20</v>
      </c>
      <c r="K12162" s="15"/>
      <c r="L12162" t="s" s="16">
        <f>HYPERLINK("http://csr.bu.edu/ftp/asl/asllvd/demos/verify_start_end_handshape_annotations//test_auto_move//signs_mov_separ_signers/Brady_3995.mov","MOV")</f>
        <v>21</v>
      </c>
      <c r="M12162" t="s" s="10">
        <v>39</v>
      </c>
      <c r="N12162" s="17">
        <v>19</v>
      </c>
      <c r="O12162" s="18">
        <v>2369</v>
      </c>
      <c r="P12162" s="18">
        <v>2379</v>
      </c>
      <c r="Q12162" s="15"/>
      <c r="R12162" t="s" s="16">
        <f>HYPERLINK("http://secrets.rutgers.edu:8080/data/asl-ftp/asllvd/demos/verify_start_end_handshape_annotations//test_auto_move//signs_mov_separ_signers/Brady_3995.mov","MOV")</f>
        <v>21</v>
      </c>
    </row>
    <row r="12163" s="2" customFormat="1" ht="13.5" customHeight="1">
      <c r="B12163" t="s" s="20">
        <v>52</v>
      </c>
      <c r="C12163" t="s" s="9">
        <v>53</v>
      </c>
      <c r="D12163" t="s" s="8">
        <v>53</v>
      </c>
      <c r="E12163" t="s" s="9">
        <v>53</v>
      </c>
      <c r="F12163" t="s" s="10">
        <v>53</v>
      </c>
      <c r="G12163" t="s" s="11">
        <v>53</v>
      </c>
      <c r="H12163" t="s" s="10">
        <v>53</v>
      </c>
      <c r="I12163" t="s" s="11">
        <v>53</v>
      </c>
      <c r="J12163" t="s" s="11">
        <v>53</v>
      </c>
      <c r="K12163" t="s" s="12">
        <v>53</v>
      </c>
      <c r="L12163" t="s" s="12">
        <v>53</v>
      </c>
      <c r="M12163" t="s" s="10">
        <v>53</v>
      </c>
      <c r="N12163" t="s" s="11">
        <v>53</v>
      </c>
      <c r="O12163" t="s" s="8">
        <v>53</v>
      </c>
      <c r="P12163" t="s" s="8">
        <v>53</v>
      </c>
      <c r="Q12163" t="s" s="12">
        <v>53</v>
      </c>
      <c r="R12163" t="s" s="12">
        <v>53</v>
      </c>
    </row>
    <row r="12164" s="2" customFormat="1" ht="13.5" customHeight="1">
      <c r="C12164" t="s" s="9">
        <v>30</v>
      </c>
      <c r="D12164" t="s" s="8">
        <v>4552</v>
      </c>
      <c r="E12164" t="s" s="9">
        <v>4554</v>
      </c>
      <c r="F12164" s="19">
        <v>5</v>
      </c>
      <c r="G12164" s="14"/>
      <c r="H12164" s="19">
        <v>5</v>
      </c>
      <c r="I12164" s="14"/>
      <c r="J12164" t="s" s="11">
        <v>20</v>
      </c>
      <c r="K12164" t="s" s="16">
        <f>HYPERLINK("http://csr.bu.edu/ftp/asl/asllvd/demos/verify_start_end_handshape_annotations//test_auto_move//signs_mov/5015_5017_merged.mov","MOV")</f>
        <v>21</v>
      </c>
      <c r="L12164" t="s" s="16">
        <f>HYPERLINK("http://csr.bu.edu/ftp/asl/asllvd/demos/verify_start_end_handshape_annotations//test_auto_move//signs_mov_separ_signers/Brady_5015.mov","MOV")</f>
        <v>21</v>
      </c>
      <c r="M12164" t="s" s="10">
        <v>31</v>
      </c>
      <c r="N12164" s="17">
        <v>6</v>
      </c>
      <c r="O12164" s="18">
        <v>462</v>
      </c>
      <c r="P12164" s="18">
        <v>473</v>
      </c>
      <c r="Q12164" t="s" s="16">
        <f>HYPERLINK("http://secrets.rutgers.edu:8080/data/asl-ftp/asllvd/demos/verify_start_end_handshape_annotations//test_auto_move//signs_mov/5015_5017_merged.mov","MOV")</f>
        <v>21</v>
      </c>
      <c r="R12164" t="s" s="16">
        <f>HYPERLINK("http://secrets.rutgers.edu:8080/data/asl-ftp/asllvd/demos/verify_start_end_handshape_annotations//test_auto_move//signs_mov_separ_signers/Brady_5015.mov","MOV")</f>
        <v>21</v>
      </c>
    </row>
    <row r="12165" s="2" customFormat="1" ht="13.5" customHeight="1">
      <c r="C12165" t="s" s="9">
        <v>30</v>
      </c>
      <c r="D12165" t="s" s="8">
        <v>4552</v>
      </c>
      <c r="E12165" t="s" s="9">
        <v>4554</v>
      </c>
      <c r="F12165" s="19">
        <v>5</v>
      </c>
      <c r="G12165" s="14"/>
      <c r="H12165" s="19">
        <v>5</v>
      </c>
      <c r="I12165" s="14"/>
      <c r="J12165" t="s" s="11">
        <v>20</v>
      </c>
      <c r="K12165" s="15"/>
      <c r="L12165" t="s" s="16">
        <f>HYPERLINK("http://csr.bu.edu/ftp/asl/asllvd/demos/verify_start_end_handshape_annotations//test_auto_move//signs_mov_separ_signers/Brady_5017.mov","MOV")</f>
        <v>21</v>
      </c>
      <c r="M12165" t="s" s="10">
        <v>31</v>
      </c>
      <c r="N12165" s="17">
        <v>6</v>
      </c>
      <c r="O12165" s="18">
        <v>981</v>
      </c>
      <c r="P12165" s="18">
        <v>1002</v>
      </c>
      <c r="Q12165" s="15"/>
      <c r="R12165" t="s" s="16">
        <f>HYPERLINK("http://secrets.rutgers.edu:8080/data/asl-ftp/asllvd/demos/verify_start_end_handshape_annotations//test_auto_move//signs_mov_separ_signers/Brady_5017.mov","MOV")</f>
        <v>21</v>
      </c>
    </row>
    <row r="12166" s="2" customFormat="1" ht="13.5" customHeight="1">
      <c r="B12166" t="s" s="20">
        <v>4555</v>
      </c>
      <c r="C12166" t="s" s="9">
        <v>14</v>
      </c>
      <c r="D12166" t="s" s="8">
        <v>14</v>
      </c>
      <c r="E12166" t="s" s="9">
        <v>14</v>
      </c>
      <c r="F12166" t="s" s="10">
        <v>14</v>
      </c>
      <c r="G12166" t="s" s="11">
        <v>14</v>
      </c>
      <c r="H12166" t="s" s="10">
        <v>14</v>
      </c>
      <c r="I12166" t="s" s="11">
        <v>14</v>
      </c>
      <c r="J12166" t="s" s="11">
        <v>14</v>
      </c>
      <c r="K12166" t="s" s="12">
        <v>14</v>
      </c>
      <c r="L12166" t="s" s="12">
        <v>14</v>
      </c>
      <c r="M12166" t="s" s="10">
        <v>14</v>
      </c>
      <c r="N12166" t="s" s="11">
        <v>14</v>
      </c>
      <c r="O12166" t="s" s="8">
        <v>14</v>
      </c>
      <c r="P12166" t="s" s="8">
        <v>14</v>
      </c>
      <c r="Q12166" t="s" s="12">
        <v>14</v>
      </c>
      <c r="R12166" t="s" s="12">
        <v>14</v>
      </c>
    </row>
    <row r="12167" s="2" customFormat="1" ht="13.5" customHeight="1">
      <c r="C12167" t="s" s="9">
        <v>16</v>
      </c>
      <c r="D12167" t="s" s="8">
        <v>4555</v>
      </c>
      <c r="E12167" t="s" s="9">
        <v>4555</v>
      </c>
      <c r="F12167" s="19">
        <v>5</v>
      </c>
      <c r="G12167" s="14"/>
      <c r="H12167" s="19">
        <v>5</v>
      </c>
      <c r="I12167" s="14"/>
      <c r="J12167" t="s" s="11">
        <v>20</v>
      </c>
      <c r="K12167" s="15"/>
      <c r="L12167" t="s" s="16">
        <f>HYPERLINK("http://csr.bu.edu/ftp/asl/asllvd/demos/verify_start_end_handshape_annotations//test_auto_move//signs_mov_separ_signers/Liz_5689.mov","MOV")</f>
        <v>21</v>
      </c>
      <c r="M12167" t="s" s="10">
        <v>77</v>
      </c>
      <c r="N12167" s="17">
        <v>11</v>
      </c>
      <c r="O12167" s="18">
        <v>2851</v>
      </c>
      <c r="P12167" s="18">
        <v>2880</v>
      </c>
      <c r="Q12167" s="15"/>
      <c r="R12167" t="s" s="16">
        <f>HYPERLINK("http://secrets.rutgers.edu:8080/data/asl-ftp/asllvd/demos/verify_start_end_handshape_annotations//test_auto_move//signs_mov_separ_signers/Liz_5689.mov","MOV")</f>
        <v>21</v>
      </c>
    </row>
    <row r="12168" s="2" customFormat="1" ht="13.5" customHeight="1">
      <c r="C12168" t="s" s="9">
        <v>23</v>
      </c>
      <c r="D12168" t="s" s="8">
        <v>4555</v>
      </c>
      <c r="E12168" t="s" s="9">
        <v>4555</v>
      </c>
      <c r="F12168" s="19">
        <v>5</v>
      </c>
      <c r="G12168" s="14"/>
      <c r="H12168" s="19">
        <v>5</v>
      </c>
      <c r="I12168" s="14"/>
      <c r="J12168" t="s" s="11">
        <v>20</v>
      </c>
      <c r="K12168" t="s" s="16">
        <f>HYPERLINK("http://csr.bu.edu/ftp/asl/asllvd/demos/verify_start_end_handshape_annotations//test_auto_move//signs_mov/5689.mov","MOV")</f>
        <v>21</v>
      </c>
      <c r="L12168" t="s" s="16">
        <f>HYPERLINK("http://csr.bu.edu/ftp/asl/asllvd/demos/verify_start_end_handshape_annotations//test_auto_move//signs_mov_separ_signers/Tyler_5689.mov","MOV")</f>
        <v>21</v>
      </c>
      <c r="M12168" t="s" s="10">
        <v>92</v>
      </c>
      <c r="N12168" s="17">
        <v>23</v>
      </c>
      <c r="O12168" s="18">
        <v>1027</v>
      </c>
      <c r="P12168" s="18">
        <v>1050</v>
      </c>
      <c r="Q12168" t="s" s="16">
        <f>HYPERLINK("http://secrets.rutgers.edu:8080/data/asl-ftp/asllvd/demos/verify_start_end_handshape_annotations//test_auto_move//signs_mov/5689.mov","MOV")</f>
        <v>21</v>
      </c>
      <c r="R12168" t="s" s="16">
        <f>HYPERLINK("http://secrets.rutgers.edu:8080/data/asl-ftp/asllvd/demos/verify_start_end_handshape_annotations//test_auto_move//signs_mov_separ_signers/Tyler_5689.mov","MOV")</f>
        <v>21</v>
      </c>
    </row>
    <row r="12169" s="2" customFormat="1" ht="13.5" customHeight="1">
      <c r="C12169" t="s" s="9">
        <v>30</v>
      </c>
      <c r="D12169" t="s" s="8">
        <v>4555</v>
      </c>
      <c r="E12169" t="s" s="9">
        <v>4556</v>
      </c>
      <c r="F12169" s="19">
        <v>5</v>
      </c>
      <c r="G12169" s="14"/>
      <c r="H12169" s="19">
        <v>5</v>
      </c>
      <c r="I12169" s="14"/>
      <c r="J12169" t="s" s="11">
        <v>20</v>
      </c>
      <c r="K12169" s="15"/>
      <c r="L12169" t="s" s="16">
        <f>HYPERLINK("http://csr.bu.edu/ftp/asl/asllvd/demos/verify_start_end_handshape_annotations//test_auto_move//signs_mov_separ_signers/Brady_5689.mov","MOV")</f>
        <v>21</v>
      </c>
      <c r="M12169" t="s" s="10">
        <v>31</v>
      </c>
      <c r="N12169" s="17">
        <v>6</v>
      </c>
      <c r="O12169" s="18">
        <v>127</v>
      </c>
      <c r="P12169" s="18">
        <v>155</v>
      </c>
      <c r="Q12169" s="15"/>
      <c r="R12169" t="s" s="16">
        <f>HYPERLINK("http://secrets.rutgers.edu:8080/data/asl-ftp/asllvd/demos/verify_start_end_handshape_annotations//test_auto_move//signs_mov_separ_signers/Brady_5689.mov","MOV")</f>
        <v>21</v>
      </c>
    </row>
    <row r="12170" s="2" customFormat="1" ht="13.5" customHeight="1">
      <c r="B12170" t="s" s="20">
        <v>4557</v>
      </c>
      <c r="C12170" t="s" s="9">
        <v>14</v>
      </c>
      <c r="D12170" t="s" s="8">
        <v>14</v>
      </c>
      <c r="E12170" t="s" s="9">
        <v>14</v>
      </c>
      <c r="F12170" t="s" s="10">
        <v>14</v>
      </c>
      <c r="G12170" t="s" s="11">
        <v>14</v>
      </c>
      <c r="H12170" t="s" s="10">
        <v>14</v>
      </c>
      <c r="I12170" t="s" s="11">
        <v>14</v>
      </c>
      <c r="J12170" t="s" s="11">
        <v>14</v>
      </c>
      <c r="K12170" t="s" s="12">
        <v>14</v>
      </c>
      <c r="L12170" t="s" s="12">
        <v>14</v>
      </c>
      <c r="M12170" t="s" s="10">
        <v>14</v>
      </c>
      <c r="N12170" t="s" s="11">
        <v>14</v>
      </c>
      <c r="O12170" t="s" s="8">
        <v>14</v>
      </c>
      <c r="P12170" t="s" s="8">
        <v>14</v>
      </c>
      <c r="Q12170" t="s" s="12">
        <v>14</v>
      </c>
      <c r="R12170" t="s" s="12">
        <v>14</v>
      </c>
    </row>
    <row r="12171" s="2" customFormat="1" ht="13.5" customHeight="1">
      <c r="C12171" t="s" s="9">
        <v>16</v>
      </c>
      <c r="D12171" t="s" s="8">
        <v>4557</v>
      </c>
      <c r="E12171" t="s" s="9">
        <v>4557</v>
      </c>
      <c r="F12171" s="19">
        <v>5</v>
      </c>
      <c r="G12171" s="14"/>
      <c r="H12171" s="19">
        <v>5</v>
      </c>
      <c r="I12171" s="14"/>
      <c r="J12171" t="s" s="11">
        <v>20</v>
      </c>
      <c r="K12171" t="s" s="16">
        <f>HYPERLINK("http://csr.bu.edu/ftp/asl/asllvd/demos/verify_start_end_handshape_annotations//test_auto_move//signs_mov/4649_15394_merged.mov","MOV")</f>
        <v>21</v>
      </c>
      <c r="L12171" t="s" s="16">
        <f>HYPERLINK("http://csr.bu.edu/ftp/asl/asllvd/demos/verify_start_end_handshape_annotations//test_auto_move//signs_mov_separ_signers/Liz_4649.mov","MOV")</f>
        <v>21</v>
      </c>
      <c r="M12171" t="s" s="10">
        <v>77</v>
      </c>
      <c r="N12171" s="17">
        <v>11</v>
      </c>
      <c r="O12171" s="18">
        <v>2985</v>
      </c>
      <c r="P12171" s="18">
        <v>3030</v>
      </c>
      <c r="Q12171" t="s" s="16">
        <f>HYPERLINK("http://secrets.rutgers.edu:8080/data/asl-ftp/asllvd/demos/verify_start_end_handshape_annotations//test_auto_move//signs_mov/4649_15394_merged.mov","MOV")</f>
        <v>21</v>
      </c>
      <c r="R12171" t="s" s="16">
        <f>HYPERLINK("http://secrets.rutgers.edu:8080/data/asl-ftp/asllvd/demos/verify_start_end_handshape_annotations//test_auto_move//signs_mov_separ_signers/Liz_4649.mov","MOV")</f>
        <v>21</v>
      </c>
    </row>
    <row r="12172" s="2" customFormat="1" ht="13.5" customHeight="1">
      <c r="C12172" t="s" s="9">
        <v>16</v>
      </c>
      <c r="D12172" t="s" s="8">
        <v>4557</v>
      </c>
      <c r="E12172" t="s" s="9">
        <v>4557</v>
      </c>
      <c r="F12172" s="19">
        <v>5</v>
      </c>
      <c r="G12172" s="14"/>
      <c r="H12172" s="19">
        <v>5</v>
      </c>
      <c r="I12172" s="14"/>
      <c r="J12172" t="s" s="11">
        <v>20</v>
      </c>
      <c r="K12172" s="15"/>
      <c r="L12172" t="s" s="16">
        <f>HYPERLINK("http://csr.bu.edu/ftp/asl/asllvd/demos/verify_start_end_handshape_annotations//test_auto_move//signs_mov_separ_signers/Liz_15394.mov","MOV")</f>
        <v>21</v>
      </c>
      <c r="M12172" t="s" s="10">
        <v>77</v>
      </c>
      <c r="N12172" s="17">
        <v>13</v>
      </c>
      <c r="O12172" s="18">
        <v>705</v>
      </c>
      <c r="P12172" s="18">
        <v>746</v>
      </c>
      <c r="Q12172" s="15"/>
      <c r="R12172" t="s" s="16">
        <f>HYPERLINK("http://secrets.rutgers.edu:8080/data/asl-ftp/asllvd/demos/verify_start_end_handshape_annotations//test_auto_move//signs_mov_separ_signers/Liz_15394.mov","MOV")</f>
        <v>21</v>
      </c>
    </row>
    <row r="12173" s="2" customFormat="1" ht="13.5" customHeight="1">
      <c r="B12173" t="s" s="20">
        <v>4558</v>
      </c>
      <c r="C12173" t="s" s="9">
        <v>14</v>
      </c>
      <c r="D12173" t="s" s="8">
        <v>14</v>
      </c>
      <c r="E12173" t="s" s="9">
        <v>14</v>
      </c>
      <c r="F12173" t="s" s="10">
        <v>14</v>
      </c>
      <c r="G12173" t="s" s="11">
        <v>14</v>
      </c>
      <c r="H12173" t="s" s="10">
        <v>14</v>
      </c>
      <c r="I12173" t="s" s="11">
        <v>14</v>
      </c>
      <c r="J12173" t="s" s="11">
        <v>14</v>
      </c>
      <c r="K12173" t="s" s="12">
        <v>14</v>
      </c>
      <c r="L12173" t="s" s="12">
        <v>14</v>
      </c>
      <c r="M12173" t="s" s="10">
        <v>14</v>
      </c>
      <c r="N12173" t="s" s="11">
        <v>14</v>
      </c>
      <c r="O12173" t="s" s="8">
        <v>14</v>
      </c>
      <c r="P12173" t="s" s="8">
        <v>14</v>
      </c>
      <c r="Q12173" t="s" s="12">
        <v>14</v>
      </c>
      <c r="R12173" t="s" s="12">
        <v>14</v>
      </c>
    </row>
    <row r="12174" s="2" customFormat="1" ht="13.5" customHeight="1">
      <c r="C12174" t="s" s="9">
        <v>16</v>
      </c>
      <c r="D12174" t="s" s="8">
        <v>4558</v>
      </c>
      <c r="E12174" t="s" s="9">
        <v>4558</v>
      </c>
      <c r="F12174" t="s" s="10">
        <v>72</v>
      </c>
      <c r="G12174" t="s" s="11">
        <v>72</v>
      </c>
      <c r="H12174" t="s" s="10">
        <v>220</v>
      </c>
      <c r="I12174" t="s" s="11">
        <v>220</v>
      </c>
      <c r="J12174" t="s" s="11">
        <v>20</v>
      </c>
      <c r="K12174" s="15"/>
      <c r="L12174" t="s" s="16">
        <f>HYPERLINK("http://csr.bu.edu/ftp/asl/asllvd/demos/verify_start_end_handshape_annotations//test_auto_move//signs_mov_separ_signers/Liz_918.mov","MOV")</f>
        <v>21</v>
      </c>
      <c r="M12174" t="s" s="10">
        <v>84</v>
      </c>
      <c r="N12174" s="17">
        <v>42</v>
      </c>
      <c r="O12174" s="18">
        <v>2254</v>
      </c>
      <c r="P12174" s="18">
        <v>2335</v>
      </c>
      <c r="Q12174" s="15"/>
      <c r="R12174" t="s" s="16">
        <f>HYPERLINK("http://secrets.rutgers.edu:8080/data/asl-ftp/asllvd/demos/verify_start_end_handshape_annotations//test_auto_move//signs_mov_separ_signers/Liz_918.mov","MOV")</f>
        <v>21</v>
      </c>
    </row>
    <row r="12175" s="2" customFormat="1" ht="13.5" customHeight="1">
      <c r="C12175" t="s" s="9">
        <v>23</v>
      </c>
      <c r="D12175" t="s" s="8">
        <v>4558</v>
      </c>
      <c r="E12175" t="s" s="9">
        <v>4558</v>
      </c>
      <c r="F12175" s="19">
        <v>5</v>
      </c>
      <c r="G12175" s="17">
        <v>5</v>
      </c>
      <c r="H12175" t="s" s="10">
        <v>220</v>
      </c>
      <c r="I12175" t="s" s="11">
        <v>220</v>
      </c>
      <c r="J12175" t="s" s="11">
        <v>20</v>
      </c>
      <c r="K12175" t="s" s="16">
        <f>HYPERLINK("http://csr.bu.edu/ftp/asl/asllvd/demos/verify_start_end_handshape_annotations//test_auto_move//signs_mov/918.mov","MOV")</f>
        <v>21</v>
      </c>
      <c r="L12175" t="s" s="16">
        <f>HYPERLINK("http://csr.bu.edu/ftp/asl/asllvd/demos/verify_start_end_handshape_annotations//test_auto_move//signs_mov_separ_signers/Tyler_918.mov","MOV")</f>
        <v>21</v>
      </c>
      <c r="M12175" t="s" s="10">
        <v>92</v>
      </c>
      <c r="N12175" s="17">
        <v>22</v>
      </c>
      <c r="O12175" s="18">
        <v>2964</v>
      </c>
      <c r="P12175" s="18">
        <v>3008</v>
      </c>
      <c r="Q12175" t="s" s="16">
        <f>HYPERLINK("http://secrets.rutgers.edu:8080/data/asl-ftp/asllvd/demos/verify_start_end_handshape_annotations//test_auto_move//signs_mov/918.mov","MOV")</f>
        <v>21</v>
      </c>
      <c r="R12175" t="s" s="16">
        <f>HYPERLINK("http://secrets.rutgers.edu:8080/data/asl-ftp/asllvd/demos/verify_start_end_handshape_annotations//test_auto_move//signs_mov_separ_signers/Tyler_918.mov","MOV")</f>
        <v>21</v>
      </c>
    </row>
    <row r="12176" s="2" customFormat="1" ht="13.5" customHeight="1">
      <c r="C12176" t="s" s="9">
        <v>27</v>
      </c>
      <c r="D12176" t="s" s="8">
        <v>4558</v>
      </c>
      <c r="E12176" t="s" s="9">
        <v>4558</v>
      </c>
      <c r="F12176" t="s" s="10">
        <v>63</v>
      </c>
      <c r="G12176" s="17">
        <v>10</v>
      </c>
      <c r="H12176" t="s" s="10">
        <v>220</v>
      </c>
      <c r="I12176" t="s" s="11">
        <v>220</v>
      </c>
      <c r="J12176" t="s" s="11">
        <v>20</v>
      </c>
      <c r="K12176" s="15"/>
      <c r="L12176" t="s" s="16">
        <f>HYPERLINK("http://csr.bu.edu/ftp/asl/asllvd/demos/verify_start_end_handshape_annotations//test_auto_move//signs_mov_separ_signers/Naomi_918.mov","MOV")</f>
        <v>21</v>
      </c>
      <c r="M12176" t="s" s="10">
        <v>86</v>
      </c>
      <c r="N12176" s="17">
        <v>42</v>
      </c>
      <c r="O12176" s="18">
        <v>1787</v>
      </c>
      <c r="P12176" s="18">
        <v>1846</v>
      </c>
      <c r="Q12176" s="15"/>
      <c r="R12176" t="s" s="16">
        <f>HYPERLINK("http://secrets.rutgers.edu:8080/data/asl-ftp/asllvd/demos/verify_start_end_handshape_annotations//test_auto_move//signs_mov_separ_signers/Naomi_918.mov","MOV")</f>
        <v>21</v>
      </c>
    </row>
    <row r="12177" s="2" customFormat="1" ht="13.5" customHeight="1">
      <c r="B12177" t="s" s="8">
        <v>52</v>
      </c>
      <c r="C12177" t="s" s="9">
        <v>53</v>
      </c>
      <c r="D12177" t="s" s="8">
        <v>53</v>
      </c>
      <c r="E12177" t="s" s="9">
        <v>53</v>
      </c>
      <c r="F12177" t="s" s="10">
        <v>53</v>
      </c>
      <c r="G12177" t="s" s="11">
        <v>53</v>
      </c>
      <c r="H12177" t="s" s="10">
        <v>53</v>
      </c>
      <c r="I12177" t="s" s="11">
        <v>53</v>
      </c>
      <c r="J12177" t="s" s="11">
        <v>53</v>
      </c>
      <c r="K12177" t="s" s="12">
        <v>53</v>
      </c>
      <c r="L12177" t="s" s="12">
        <v>53</v>
      </c>
      <c r="M12177" t="s" s="10">
        <v>53</v>
      </c>
      <c r="N12177" t="s" s="11">
        <v>53</v>
      </c>
      <c r="O12177" t="s" s="8">
        <v>53</v>
      </c>
      <c r="P12177" t="s" s="8">
        <v>53</v>
      </c>
      <c r="Q12177" t="s" s="12">
        <v>53</v>
      </c>
      <c r="R12177" t="s" s="12">
        <v>53</v>
      </c>
    </row>
    <row r="12178" s="2" customFormat="1" ht="13.5" customHeight="1">
      <c r="B12178" s="13"/>
      <c r="C12178" t="s" s="9">
        <v>30</v>
      </c>
      <c r="D12178" t="s" s="8">
        <v>4558</v>
      </c>
      <c r="E12178" t="s" s="9">
        <v>4559</v>
      </c>
      <c r="F12178" s="19">
        <v>5</v>
      </c>
      <c r="G12178" s="17">
        <v>5</v>
      </c>
      <c r="H12178" t="s" s="10">
        <v>220</v>
      </c>
      <c r="I12178" t="s" s="11">
        <v>220</v>
      </c>
      <c r="J12178" t="s" s="11">
        <v>20</v>
      </c>
      <c r="K12178" t="s" s="16">
        <f>HYPERLINK("http://csr.bu.edu/ftp/asl/asllvd/demos/verify_start_end_handshape_annotations//test_auto_move//signs_mov/16522.mov","MOV")</f>
        <v>21</v>
      </c>
      <c r="L12178" t="s" s="16">
        <f>HYPERLINK("http://csr.bu.edu/ftp/asl/asllvd/demos/verify_start_end_handshape_annotations//test_auto_move//signs_mov_separ_signers/Brady_16522.mov","MOV")</f>
        <v>21</v>
      </c>
      <c r="M12178" t="s" s="10">
        <v>39</v>
      </c>
      <c r="N12178" s="17">
        <v>18</v>
      </c>
      <c r="O12178" s="18">
        <v>7191</v>
      </c>
      <c r="P12178" s="18">
        <v>7235</v>
      </c>
      <c r="Q12178" t="s" s="16">
        <f>HYPERLINK("http://secrets.rutgers.edu:8080/data/asl-ftp/asllvd/demos/verify_start_end_handshape_annotations//test_auto_move//signs_mov/16522.mov","MOV")</f>
        <v>21</v>
      </c>
      <c r="R12178" t="s" s="16">
        <f>HYPERLINK("http://secrets.rutgers.edu:8080/data/asl-ftp/asllvd/demos/verify_start_end_handshape_annotations//test_auto_move//signs_mov_separ_signers/Brady_16522.mov","MOV")</f>
        <v>21</v>
      </c>
    </row>
    <row r="12179" s="2" customFormat="1" ht="13.5" customHeight="1">
      <c r="B12179" t="s" s="8">
        <v>4560</v>
      </c>
      <c r="C12179" t="s" s="9">
        <v>14</v>
      </c>
      <c r="D12179" t="s" s="8">
        <v>14</v>
      </c>
      <c r="E12179" t="s" s="9">
        <v>14</v>
      </c>
      <c r="F12179" t="s" s="10">
        <v>14</v>
      </c>
      <c r="G12179" t="s" s="11">
        <v>14</v>
      </c>
      <c r="H12179" t="s" s="10">
        <v>14</v>
      </c>
      <c r="I12179" t="s" s="11">
        <v>14</v>
      </c>
      <c r="J12179" t="s" s="11">
        <v>14</v>
      </c>
      <c r="K12179" t="s" s="12">
        <v>14</v>
      </c>
      <c r="L12179" t="s" s="12">
        <v>14</v>
      </c>
      <c r="M12179" t="s" s="10">
        <v>14</v>
      </c>
      <c r="N12179" t="s" s="11">
        <v>14</v>
      </c>
      <c r="O12179" t="s" s="8">
        <v>14</v>
      </c>
      <c r="P12179" t="s" s="8">
        <v>14</v>
      </c>
      <c r="Q12179" t="s" s="12">
        <v>14</v>
      </c>
      <c r="R12179" t="s" s="12">
        <v>14</v>
      </c>
    </row>
    <row r="12180" s="2" customFormat="1" ht="13.5" customHeight="1">
      <c r="B12180" s="13"/>
      <c r="C12180" t="s" s="9">
        <v>16</v>
      </c>
      <c r="D12180" t="s" s="8">
        <v>4560</v>
      </c>
      <c r="E12180" t="s" s="9">
        <v>4560</v>
      </c>
      <c r="F12180" s="19">
        <v>1</v>
      </c>
      <c r="G12180" s="14"/>
      <c r="H12180" s="19">
        <v>1</v>
      </c>
      <c r="I12180" s="14"/>
      <c r="J12180" t="s" s="11">
        <v>20</v>
      </c>
      <c r="K12180" s="15"/>
      <c r="L12180" t="s" s="16">
        <f>HYPERLINK("http://csr.bu.edu/ftp/asl/asllvd/demos/verify_start_end_handshape_annotations//test_auto_move//signs_mov_separ_signers/Liz_919.mov","MOV")</f>
        <v>21</v>
      </c>
      <c r="M12180" t="s" s="10">
        <v>77</v>
      </c>
      <c r="N12180" s="17">
        <v>18</v>
      </c>
      <c r="O12180" s="18">
        <v>321</v>
      </c>
      <c r="P12180" s="18">
        <v>365</v>
      </c>
      <c r="Q12180" s="15"/>
      <c r="R12180" t="s" s="16">
        <f>HYPERLINK("http://secrets.rutgers.edu:8080/data/asl-ftp/asllvd/demos/verify_start_end_handshape_annotations//test_auto_move//signs_mov_separ_signers/Liz_919.mov","MOV")</f>
        <v>21</v>
      </c>
    </row>
    <row r="12181" s="2" customFormat="1" ht="13.5" customHeight="1">
      <c r="B12181" s="13"/>
      <c r="C12181" t="s" s="9">
        <v>23</v>
      </c>
      <c r="D12181" t="s" s="8">
        <v>4560</v>
      </c>
      <c r="E12181" t="s" s="9">
        <v>4560</v>
      </c>
      <c r="F12181" s="19">
        <v>1</v>
      </c>
      <c r="G12181" s="14"/>
      <c r="H12181" s="19">
        <v>1</v>
      </c>
      <c r="I12181" s="14"/>
      <c r="J12181" t="s" s="11">
        <v>20</v>
      </c>
      <c r="K12181" t="s" s="16">
        <f>HYPERLINK("http://csr.bu.edu/ftp/asl/asllvd/demos/verify_start_end_handshape_annotations//test_auto_move//signs_mov/919_3940_merged.mov","MOV")</f>
        <v>21</v>
      </c>
      <c r="L12181" t="s" s="16">
        <f>HYPERLINK("http://csr.bu.edu/ftp/asl/asllvd/demos/verify_start_end_handshape_annotations//test_auto_move//signs_mov_separ_signers/Tyler_919.mov","MOV")</f>
        <v>21</v>
      </c>
      <c r="M12181" t="s" s="10">
        <v>92</v>
      </c>
      <c r="N12181" s="17">
        <v>22</v>
      </c>
      <c r="O12181" s="18">
        <v>3190</v>
      </c>
      <c r="P12181" s="18">
        <v>3211</v>
      </c>
      <c r="Q12181" t="s" s="16">
        <f>HYPERLINK("http://secrets.rutgers.edu:8080/data/asl-ftp/asllvd/demos/verify_start_end_handshape_annotations//test_auto_move//signs_mov/919_3940_merged.mov","MOV")</f>
        <v>21</v>
      </c>
      <c r="R12181" t="s" s="16">
        <f>HYPERLINK("http://secrets.rutgers.edu:8080/data/asl-ftp/asllvd/demos/verify_start_end_handshape_annotations//test_auto_move//signs_mov_separ_signers/Tyler_919.mov","MOV")</f>
        <v>21</v>
      </c>
    </row>
    <row r="12182" s="2" customFormat="1" ht="13.5" customHeight="1">
      <c r="B12182" s="13"/>
      <c r="C12182" t="s" s="9">
        <v>30</v>
      </c>
      <c r="D12182" t="s" s="8">
        <v>4560</v>
      </c>
      <c r="E12182" t="s" s="9">
        <v>4560</v>
      </c>
      <c r="F12182" s="19">
        <v>1</v>
      </c>
      <c r="G12182" s="14"/>
      <c r="H12182" s="19">
        <v>1</v>
      </c>
      <c r="I12182" s="14"/>
      <c r="J12182" t="s" s="11">
        <v>20</v>
      </c>
      <c r="K12182" s="15"/>
      <c r="L12182" t="s" s="16">
        <f>HYPERLINK("http://csr.bu.edu/ftp/asl/asllvd/demos/verify_start_end_handshape_annotations//test_auto_move//signs_mov_separ_signers/Brady_919.mov","MOV")</f>
        <v>21</v>
      </c>
      <c r="M12182" t="s" s="10">
        <v>31</v>
      </c>
      <c r="N12182" s="17">
        <v>5</v>
      </c>
      <c r="O12182" s="18">
        <v>1615</v>
      </c>
      <c r="P12182" s="18">
        <v>1631</v>
      </c>
      <c r="Q12182" s="15"/>
      <c r="R12182" t="s" s="16">
        <f>HYPERLINK("http://secrets.rutgers.edu:8080/data/asl-ftp/asllvd/demos/verify_start_end_handshape_annotations//test_auto_move//signs_mov_separ_signers/Brady_919.mov","MOV")</f>
        <v>21</v>
      </c>
    </row>
    <row r="12183" s="2" customFormat="1" ht="13.5" customHeight="1">
      <c r="B12183" s="13"/>
      <c r="C12183" t="s" s="9">
        <v>30</v>
      </c>
      <c r="D12183" t="s" s="8">
        <v>4560</v>
      </c>
      <c r="E12183" t="s" s="9">
        <v>4560</v>
      </c>
      <c r="F12183" s="19">
        <v>1</v>
      </c>
      <c r="G12183" s="14"/>
      <c r="H12183" s="19">
        <v>1</v>
      </c>
      <c r="I12183" s="14"/>
      <c r="J12183" t="s" s="11">
        <v>20</v>
      </c>
      <c r="K12183" s="15"/>
      <c r="L12183" t="s" s="16">
        <f>HYPERLINK("http://csr.bu.edu/ftp/asl/asllvd/demos/verify_start_end_handshape_annotations//test_auto_move//signs_mov_separ_signers/Brady_3940.mov","MOV")</f>
        <v>21</v>
      </c>
      <c r="M12183" t="s" s="10">
        <v>31</v>
      </c>
      <c r="N12183" s="17">
        <v>5</v>
      </c>
      <c r="O12183" s="18">
        <v>1740</v>
      </c>
      <c r="P12183" s="18">
        <v>1750</v>
      </c>
      <c r="Q12183" s="15"/>
      <c r="R12183" t="s" s="16">
        <f>HYPERLINK("http://secrets.rutgers.edu:8080/data/asl-ftp/asllvd/demos/verify_start_end_handshape_annotations//test_auto_move//signs_mov_separ_signers/Brady_3940.mov","MOV")</f>
        <v>21</v>
      </c>
    </row>
    <row r="12184" s="2" customFormat="1" ht="13.5" customHeight="1">
      <c r="B12184" t="s" s="8">
        <v>52</v>
      </c>
      <c r="C12184" t="s" s="9">
        <v>53</v>
      </c>
      <c r="D12184" t="s" s="8">
        <v>53</v>
      </c>
      <c r="E12184" t="s" s="9">
        <v>53</v>
      </c>
      <c r="F12184" t="s" s="10">
        <v>53</v>
      </c>
      <c r="G12184" t="s" s="11">
        <v>53</v>
      </c>
      <c r="H12184" t="s" s="10">
        <v>53</v>
      </c>
      <c r="I12184" t="s" s="11">
        <v>53</v>
      </c>
      <c r="J12184" t="s" s="11">
        <v>53</v>
      </c>
      <c r="K12184" t="s" s="12">
        <v>53</v>
      </c>
      <c r="L12184" t="s" s="12">
        <v>53</v>
      </c>
      <c r="M12184" t="s" s="10">
        <v>53</v>
      </c>
      <c r="N12184" t="s" s="11">
        <v>53</v>
      </c>
      <c r="O12184" t="s" s="8">
        <v>53</v>
      </c>
      <c r="P12184" t="s" s="8">
        <v>53</v>
      </c>
      <c r="Q12184" t="s" s="12">
        <v>53</v>
      </c>
      <c r="R12184" t="s" s="12">
        <v>53</v>
      </c>
    </row>
    <row r="12185" s="2" customFormat="1" ht="13.5" customHeight="1">
      <c r="B12185" s="13"/>
      <c r="C12185" t="s" s="9">
        <v>30</v>
      </c>
      <c r="D12185" t="s" s="8">
        <v>4560</v>
      </c>
      <c r="E12185" t="s" s="9">
        <v>4561</v>
      </c>
      <c r="F12185" s="19">
        <v>1</v>
      </c>
      <c r="G12185" s="14"/>
      <c r="H12185" s="19">
        <v>1</v>
      </c>
      <c r="I12185" s="14"/>
      <c r="J12185" t="s" s="11">
        <v>20</v>
      </c>
      <c r="K12185" t="s" s="16">
        <f>HYPERLINK("http://csr.bu.edu/ftp/asl/asllvd/demos/verify_start_end_handshape_annotations//test_auto_move//signs_mov/3941.mov","MOV")</f>
        <v>21</v>
      </c>
      <c r="L12185" t="s" s="16">
        <f>HYPERLINK("http://csr.bu.edu/ftp/asl/asllvd/demos/verify_start_end_handshape_annotations//test_auto_move//signs_mov_separ_signers/Brady_3941.mov","MOV")</f>
        <v>21</v>
      </c>
      <c r="M12185" t="s" s="10">
        <v>31</v>
      </c>
      <c r="N12185" s="17">
        <v>5</v>
      </c>
      <c r="O12185" s="18">
        <v>916</v>
      </c>
      <c r="P12185" s="18">
        <v>927</v>
      </c>
      <c r="Q12185" t="s" s="16">
        <f>HYPERLINK("http://secrets.rutgers.edu:8080/data/asl-ftp/asllvd/demos/verify_start_end_handshape_annotations//test_auto_move//signs_mov/3941.mov","MOV")</f>
        <v>21</v>
      </c>
      <c r="R12185" t="s" s="16">
        <f>HYPERLINK("http://secrets.rutgers.edu:8080/data/asl-ftp/asllvd/demos/verify_start_end_handshape_annotations//test_auto_move//signs_mov_separ_signers/Brady_3941.mov","MOV")</f>
        <v>21</v>
      </c>
    </row>
    <row r="12186" s="2" customFormat="1" ht="13.5" customHeight="1">
      <c r="B12186" t="s" s="8">
        <v>4562</v>
      </c>
      <c r="C12186" t="s" s="9">
        <v>14</v>
      </c>
      <c r="D12186" t="s" s="8">
        <v>14</v>
      </c>
      <c r="E12186" t="s" s="9">
        <v>14</v>
      </c>
      <c r="F12186" t="s" s="10">
        <v>14</v>
      </c>
      <c r="G12186" t="s" s="11">
        <v>14</v>
      </c>
      <c r="H12186" t="s" s="10">
        <v>14</v>
      </c>
      <c r="I12186" t="s" s="11">
        <v>14</v>
      </c>
      <c r="J12186" t="s" s="11">
        <v>14</v>
      </c>
      <c r="K12186" t="s" s="12">
        <v>14</v>
      </c>
      <c r="L12186" t="s" s="12">
        <v>14</v>
      </c>
      <c r="M12186" t="s" s="10">
        <v>14</v>
      </c>
      <c r="N12186" t="s" s="11">
        <v>14</v>
      </c>
      <c r="O12186" t="s" s="8">
        <v>14</v>
      </c>
      <c r="P12186" t="s" s="8">
        <v>14</v>
      </c>
      <c r="Q12186" t="s" s="12">
        <v>14</v>
      </c>
      <c r="R12186" t="s" s="12">
        <v>14</v>
      </c>
    </row>
    <row r="12187" s="2" customFormat="1" ht="13.5" customHeight="1">
      <c r="B12187" s="13"/>
      <c r="C12187" t="s" s="9">
        <v>16</v>
      </c>
      <c r="D12187" t="s" s="8">
        <v>4562</v>
      </c>
      <c r="E12187" t="s" s="9">
        <v>4562</v>
      </c>
      <c r="F12187" s="19">
        <v>1</v>
      </c>
      <c r="G12187" s="17">
        <v>10</v>
      </c>
      <c r="H12187" s="19">
        <v>1</v>
      </c>
      <c r="I12187" s="17">
        <v>10</v>
      </c>
      <c r="J12187" t="s" s="11">
        <v>20</v>
      </c>
      <c r="K12187" s="15"/>
      <c r="L12187" t="s" s="16">
        <f>HYPERLINK("http://csr.bu.edu/ftp/asl/asllvd/demos/verify_start_end_handshape_annotations//test_auto_move//signs_mov_separ_signers/Liz_4641.mov","MOV")</f>
        <v>21</v>
      </c>
      <c r="M12187" t="s" s="10">
        <v>84</v>
      </c>
      <c r="N12187" s="17">
        <v>42</v>
      </c>
      <c r="O12187" s="18">
        <v>2475</v>
      </c>
      <c r="P12187" s="18">
        <v>2500</v>
      </c>
      <c r="Q12187" s="15"/>
      <c r="R12187" t="s" s="16">
        <f>HYPERLINK("http://secrets.rutgers.edu:8080/data/asl-ftp/asllvd/demos/verify_start_end_handshape_annotations//test_auto_move//signs_mov_separ_signers/Liz_4641.mov","MOV")</f>
        <v>21</v>
      </c>
    </row>
    <row r="12188" s="2" customFormat="1" ht="13.5" customHeight="1">
      <c r="B12188" s="13"/>
      <c r="C12188" t="s" s="9">
        <v>16</v>
      </c>
      <c r="D12188" t="s" s="8">
        <v>4562</v>
      </c>
      <c r="E12188" t="s" s="9">
        <v>4562</v>
      </c>
      <c r="F12188" s="19">
        <v>1</v>
      </c>
      <c r="G12188" s="17">
        <v>10</v>
      </c>
      <c r="H12188" s="19">
        <v>1</v>
      </c>
      <c r="I12188" s="17">
        <v>10</v>
      </c>
      <c r="J12188" t="s" s="11">
        <v>20</v>
      </c>
      <c r="K12188" s="15"/>
      <c r="L12188" t="s" s="16">
        <f>HYPERLINK("http://csr.bu.edu/ftp/asl/asllvd/demos/verify_start_end_handshape_annotations//test_auto_move//signs_mov_separ_signers/Liz_15380.mov","MOV")</f>
        <v>21</v>
      </c>
      <c r="M12188" t="s" s="10">
        <v>88</v>
      </c>
      <c r="N12188" s="17">
        <v>48</v>
      </c>
      <c r="O12188" s="18">
        <v>865</v>
      </c>
      <c r="P12188" s="18">
        <v>915</v>
      </c>
      <c r="Q12188" s="15"/>
      <c r="R12188" t="s" s="16">
        <f>HYPERLINK("http://secrets.rutgers.edu:8080/data/asl-ftp/asllvd/demos/verify_start_end_handshape_annotations//test_auto_move//signs_mov_separ_signers/Liz_15380.mov","MOV")</f>
        <v>21</v>
      </c>
    </row>
    <row r="12189" s="2" customFormat="1" ht="13.5" customHeight="1">
      <c r="B12189" s="13"/>
      <c r="C12189" t="s" s="9">
        <v>27</v>
      </c>
      <c r="D12189" t="s" s="8">
        <v>4562</v>
      </c>
      <c r="E12189" t="s" s="9">
        <v>4562</v>
      </c>
      <c r="F12189" s="19">
        <v>1</v>
      </c>
      <c r="G12189" s="17">
        <v>10</v>
      </c>
      <c r="H12189" s="19">
        <v>1</v>
      </c>
      <c r="I12189" s="17">
        <v>10</v>
      </c>
      <c r="J12189" t="s" s="11">
        <v>20</v>
      </c>
      <c r="K12189" t="s" s="16">
        <f>HYPERLINK("http://csr.bu.edu/ftp/asl/asllvd/demos/verify_start_end_handshape_annotations//test_auto_move//signs_mov/4641_15380_merged.mov","MOV")</f>
        <v>21</v>
      </c>
      <c r="L12189" t="s" s="16">
        <f>HYPERLINK("http://csr.bu.edu/ftp/asl/asllvd/demos/verify_start_end_handshape_annotations//test_auto_move//signs_mov_separ_signers/Naomi_4641.mov","MOV")</f>
        <v>21</v>
      </c>
      <c r="M12189" t="s" s="10">
        <v>86</v>
      </c>
      <c r="N12189" s="17">
        <v>42</v>
      </c>
      <c r="O12189" s="18">
        <v>2107</v>
      </c>
      <c r="P12189" s="18">
        <v>2136</v>
      </c>
      <c r="Q12189" t="s" s="16">
        <f>HYPERLINK("http://secrets.rutgers.edu:8080/data/asl-ftp/asllvd/demos/verify_start_end_handshape_annotations//test_auto_move//signs_mov/4641_15380_merged.mov","MOV")</f>
        <v>21</v>
      </c>
      <c r="R12189" t="s" s="16">
        <f>HYPERLINK("http://secrets.rutgers.edu:8080/data/asl-ftp/asllvd/demos/verify_start_end_handshape_annotations//test_auto_move//signs_mov_separ_signers/Naomi_4641.mov","MOV")</f>
        <v>21</v>
      </c>
    </row>
    <row r="12190" s="2" customFormat="1" ht="13.5" customHeight="1">
      <c r="B12190" s="13"/>
      <c r="C12190" t="s" s="9">
        <v>30</v>
      </c>
      <c r="D12190" t="s" s="8">
        <v>4562</v>
      </c>
      <c r="E12190" t="s" s="9">
        <v>4562</v>
      </c>
      <c r="F12190" s="19">
        <v>1</v>
      </c>
      <c r="G12190" s="17">
        <v>10</v>
      </c>
      <c r="H12190" s="19">
        <v>1</v>
      </c>
      <c r="I12190" s="17">
        <v>10</v>
      </c>
      <c r="J12190" t="s" s="11">
        <v>20</v>
      </c>
      <c r="K12190" s="15"/>
      <c r="L12190" t="s" s="16">
        <f>HYPERLINK("http://csr.bu.edu/ftp/asl/asllvd/demos/verify_start_end_handshape_annotations//test_auto_move//signs_mov_separ_signers/Brady_4641.mov","MOV")</f>
        <v>21</v>
      </c>
      <c r="M12190" t="s" s="10">
        <v>39</v>
      </c>
      <c r="N12190" s="17">
        <v>19</v>
      </c>
      <c r="O12190" s="18">
        <v>70</v>
      </c>
      <c r="P12190" s="18">
        <v>85</v>
      </c>
      <c r="Q12190" s="15"/>
      <c r="R12190" t="s" s="16">
        <f>HYPERLINK("http://secrets.rutgers.edu:8080/data/asl-ftp/asllvd/demos/verify_start_end_handshape_annotations//test_auto_move//signs_mov_separ_signers/Brady_4641.mov","MOV")</f>
        <v>21</v>
      </c>
    </row>
    <row r="12191" s="2" customFormat="1" ht="13.5" customHeight="1">
      <c r="B12191" s="13"/>
      <c r="C12191" t="s" s="9">
        <v>41</v>
      </c>
      <c r="D12191" t="s" s="8">
        <v>4562</v>
      </c>
      <c r="E12191" t="s" s="9">
        <v>4562</v>
      </c>
      <c r="F12191" s="19">
        <v>1</v>
      </c>
      <c r="G12191" s="17">
        <v>10</v>
      </c>
      <c r="H12191" s="19">
        <v>1</v>
      </c>
      <c r="I12191" s="17">
        <v>10</v>
      </c>
      <c r="J12191" t="s" s="11">
        <v>20</v>
      </c>
      <c r="K12191" s="15"/>
      <c r="L12191" t="s" s="16">
        <f>HYPERLINK("http://csr.bu.edu/ftp/asl/asllvd/demos/verify_start_end_handshape_annotations//test_auto_move//signs_mov_separ_signers/Lana_4641.mov","MOV")</f>
        <v>21</v>
      </c>
      <c r="M12191" t="s" s="10">
        <v>42</v>
      </c>
      <c r="N12191" s="17">
        <v>9</v>
      </c>
      <c r="O12191" s="18">
        <v>2834</v>
      </c>
      <c r="P12191" s="18">
        <v>2844</v>
      </c>
      <c r="Q12191" s="15"/>
      <c r="R12191" t="s" s="16">
        <f>HYPERLINK("http://secrets.rutgers.edu:8080/data/asl-ftp/asllvd/demos/verify_start_end_handshape_annotations//test_auto_move//signs_mov_separ_signers/Lana_4641.mov","MOV")</f>
        <v>21</v>
      </c>
    </row>
    <row r="12192" s="2" customFormat="1" ht="13.5" customHeight="1">
      <c r="B12192" s="13"/>
      <c r="C12192" t="s" s="9">
        <v>43</v>
      </c>
      <c r="D12192" t="s" s="8">
        <v>4562</v>
      </c>
      <c r="E12192" t="s" s="9">
        <v>4562</v>
      </c>
      <c r="F12192" s="19">
        <v>1</v>
      </c>
      <c r="G12192" s="17">
        <v>10</v>
      </c>
      <c r="H12192" s="19">
        <v>1</v>
      </c>
      <c r="I12192" s="17">
        <v>10</v>
      </c>
      <c r="J12192" t="s" s="11">
        <v>20</v>
      </c>
      <c r="K12192" s="15"/>
      <c r="L12192" t="s" s="16">
        <f>HYPERLINK("http://csr.bu.edu/ftp/asl/asllvd/demos/verify_start_end_handshape_annotations//test_auto_move//signs_mov_separ_signers/Dana_4641.mov","MOV")</f>
        <v>21</v>
      </c>
      <c r="M12192" t="s" s="10">
        <v>44</v>
      </c>
      <c r="N12192" s="17">
        <v>13</v>
      </c>
      <c r="O12192" s="18">
        <v>3251</v>
      </c>
      <c r="P12192" s="18">
        <v>3304</v>
      </c>
      <c r="Q12192" s="15"/>
      <c r="R12192" t="s" s="16">
        <f>HYPERLINK("http://secrets.rutgers.edu:8080/data/asl-ftp/asllvd/demos/verify_start_end_handshape_annotations//test_auto_move//signs_mov_separ_signers/Dana_4641.mov","MOV")</f>
        <v>21</v>
      </c>
    </row>
    <row r="12193" s="2" customFormat="1" ht="13.5" customHeight="1">
      <c r="B12193" t="s" s="8">
        <v>52</v>
      </c>
      <c r="C12193" t="s" s="9">
        <v>53</v>
      </c>
      <c r="D12193" t="s" s="8">
        <v>53</v>
      </c>
      <c r="E12193" t="s" s="9">
        <v>53</v>
      </c>
      <c r="F12193" t="s" s="10">
        <v>53</v>
      </c>
      <c r="G12193" t="s" s="11">
        <v>53</v>
      </c>
      <c r="H12193" t="s" s="10">
        <v>53</v>
      </c>
      <c r="I12193" t="s" s="11">
        <v>53</v>
      </c>
      <c r="J12193" t="s" s="11">
        <v>53</v>
      </c>
      <c r="K12193" t="s" s="12">
        <v>53</v>
      </c>
      <c r="L12193" t="s" s="12">
        <v>53</v>
      </c>
      <c r="M12193" t="s" s="10">
        <v>53</v>
      </c>
      <c r="N12193" t="s" s="11">
        <v>53</v>
      </c>
      <c r="O12193" t="s" s="8">
        <v>53</v>
      </c>
      <c r="P12193" t="s" s="8">
        <v>53</v>
      </c>
      <c r="Q12193" t="s" s="12">
        <v>53</v>
      </c>
      <c r="R12193" t="s" s="12">
        <v>53</v>
      </c>
    </row>
    <row r="12194" s="2" customFormat="1" ht="13.5" customHeight="1">
      <c r="B12194" s="13"/>
      <c r="C12194" t="s" s="9">
        <v>30</v>
      </c>
      <c r="D12194" t="s" s="8">
        <v>4562</v>
      </c>
      <c r="E12194" t="s" s="9">
        <v>4563</v>
      </c>
      <c r="F12194" s="19">
        <v>1</v>
      </c>
      <c r="G12194" s="17">
        <v>1</v>
      </c>
      <c r="H12194" s="19">
        <v>1</v>
      </c>
      <c r="I12194" s="17">
        <v>1</v>
      </c>
      <c r="J12194" t="s" s="11">
        <v>20</v>
      </c>
      <c r="K12194" t="s" s="16">
        <f>HYPERLINK("http://csr.bu.edu/ftp/asl/asllvd/demos/verify_start_end_handshape_annotations//test_auto_move//signs_mov/15635.mov","MOV")</f>
        <v>21</v>
      </c>
      <c r="L12194" t="s" s="16">
        <f>HYPERLINK("http://csr.bu.edu/ftp/asl/asllvd/demos/verify_start_end_handshape_annotations//test_auto_move//signs_mov_separ_signers/Brady_15635.mov","MOV")</f>
        <v>21</v>
      </c>
      <c r="M12194" t="s" s="10">
        <v>40</v>
      </c>
      <c r="N12194" s="17">
        <v>42</v>
      </c>
      <c r="O12194" s="18">
        <v>1053</v>
      </c>
      <c r="P12194" s="18">
        <v>1063</v>
      </c>
      <c r="Q12194" t="s" s="16">
        <f>HYPERLINK("http://secrets.rutgers.edu:8080/data/asl-ftp/asllvd/demos/verify_start_end_handshape_annotations//test_auto_move//signs_mov/15635.mov","MOV")</f>
        <v>21</v>
      </c>
      <c r="R12194" t="s" s="16">
        <f>HYPERLINK("http://secrets.rutgers.edu:8080/data/asl-ftp/asllvd/demos/verify_start_end_handshape_annotations//test_auto_move//signs_mov_separ_signers/Brady_15635.mov","MOV")</f>
        <v>21</v>
      </c>
    </row>
    <row r="12195" s="2" customFormat="1" ht="13.5" customHeight="1">
      <c r="B12195" t="s" s="8">
        <v>4564</v>
      </c>
      <c r="C12195" t="s" s="9">
        <v>14</v>
      </c>
      <c r="D12195" t="s" s="8">
        <v>14</v>
      </c>
      <c r="E12195" t="s" s="9">
        <v>14</v>
      </c>
      <c r="F12195" t="s" s="10">
        <v>14</v>
      </c>
      <c r="G12195" t="s" s="11">
        <v>14</v>
      </c>
      <c r="H12195" t="s" s="10">
        <v>14</v>
      </c>
      <c r="I12195" t="s" s="11">
        <v>14</v>
      </c>
      <c r="J12195" t="s" s="11">
        <v>14</v>
      </c>
      <c r="K12195" t="s" s="12">
        <v>14</v>
      </c>
      <c r="L12195" t="s" s="12">
        <v>14</v>
      </c>
      <c r="M12195" t="s" s="10">
        <v>14</v>
      </c>
      <c r="N12195" t="s" s="11">
        <v>14</v>
      </c>
      <c r="O12195" t="s" s="8">
        <v>14</v>
      </c>
      <c r="P12195" t="s" s="8">
        <v>14</v>
      </c>
      <c r="Q12195" t="s" s="12">
        <v>14</v>
      </c>
      <c r="R12195" t="s" s="12">
        <v>14</v>
      </c>
    </row>
    <row r="12196" s="2" customFormat="1" ht="13.5" customHeight="1">
      <c r="B12196" s="13"/>
      <c r="C12196" t="s" s="9">
        <v>16</v>
      </c>
      <c r="D12196" t="s" s="8">
        <v>4564</v>
      </c>
      <c r="E12196" t="s" s="9">
        <v>4564</v>
      </c>
      <c r="F12196" s="19">
        <v>1</v>
      </c>
      <c r="G12196" s="14"/>
      <c r="H12196" s="19">
        <v>1</v>
      </c>
      <c r="I12196" s="14"/>
      <c r="J12196" t="s" s="11">
        <v>20</v>
      </c>
      <c r="K12196" t="s" s="16">
        <f>HYPERLINK("http://csr.bu.edu/ftp/asl/asllvd/demos/verify_start_end_handshape_annotations//test_auto_move//signs_mov/4650.mov","MOV")</f>
        <v>21</v>
      </c>
      <c r="L12196" t="s" s="16">
        <f>HYPERLINK("http://csr.bu.edu/ftp/asl/asllvd/demos/verify_start_end_handshape_annotations//test_auto_move//signs_mov_separ_signers/Liz_4650.mov","MOV")</f>
        <v>21</v>
      </c>
      <c r="M12196" t="s" s="10">
        <v>77</v>
      </c>
      <c r="N12196" s="17">
        <v>13</v>
      </c>
      <c r="O12196" s="18">
        <v>125</v>
      </c>
      <c r="P12196" s="18">
        <v>180</v>
      </c>
      <c r="Q12196" t="s" s="16">
        <f>HYPERLINK("http://secrets.rutgers.edu:8080/data/asl-ftp/asllvd/demos/verify_start_end_handshape_annotations//test_auto_move//signs_mov/4650.mov","MOV")</f>
        <v>21</v>
      </c>
      <c r="R12196" t="s" s="16">
        <f>HYPERLINK("http://secrets.rutgers.edu:8080/data/asl-ftp/asllvd/demos/verify_start_end_handshape_annotations//test_auto_move//signs_mov_separ_signers/Liz_4650.mov","MOV")</f>
        <v>21</v>
      </c>
    </row>
    <row r="12197" s="2" customFormat="1" ht="13.5" customHeight="1">
      <c r="B12197" s="13"/>
      <c r="C12197" t="s" s="9">
        <v>30</v>
      </c>
      <c r="D12197" t="s" s="8">
        <v>4564</v>
      </c>
      <c r="E12197" t="s" s="9">
        <v>4564</v>
      </c>
      <c r="F12197" s="19">
        <v>1</v>
      </c>
      <c r="G12197" s="14"/>
      <c r="H12197" t="s" s="10">
        <v>268</v>
      </c>
      <c r="I12197" s="14"/>
      <c r="J12197" t="s" s="11">
        <v>20</v>
      </c>
      <c r="K12197" s="15"/>
      <c r="L12197" t="s" s="16">
        <f>HYPERLINK("http://csr.bu.edu/ftp/asl/asllvd/demos/verify_start_end_handshape_annotations//test_auto_move//signs_mov_separ_signers/Brady_4650.mov","MOV")</f>
        <v>21</v>
      </c>
      <c r="M12197" t="s" s="10">
        <v>31</v>
      </c>
      <c r="N12197" s="17">
        <v>4</v>
      </c>
      <c r="O12197" s="18">
        <v>15297</v>
      </c>
      <c r="P12197" s="18">
        <v>15322</v>
      </c>
      <c r="Q12197" s="15"/>
      <c r="R12197" t="s" s="16">
        <f>HYPERLINK("http://secrets.rutgers.edu:8080/data/asl-ftp/asllvd/demos/verify_start_end_handshape_annotations//test_auto_move//signs_mov_separ_signers/Brady_4650.mov","MOV")</f>
        <v>21</v>
      </c>
    </row>
    <row r="12198" s="2" customFormat="1" ht="13.5" customHeight="1">
      <c r="B12198" t="s" s="8">
        <v>4565</v>
      </c>
      <c r="C12198" t="s" s="9">
        <v>14</v>
      </c>
      <c r="D12198" t="s" s="8">
        <v>14</v>
      </c>
      <c r="E12198" t="s" s="9">
        <v>14</v>
      </c>
      <c r="F12198" t="s" s="10">
        <v>14</v>
      </c>
      <c r="G12198" t="s" s="11">
        <v>14</v>
      </c>
      <c r="H12198" t="s" s="10">
        <v>14</v>
      </c>
      <c r="I12198" t="s" s="11">
        <v>14</v>
      </c>
      <c r="J12198" t="s" s="11">
        <v>14</v>
      </c>
      <c r="K12198" t="s" s="12">
        <v>14</v>
      </c>
      <c r="L12198" t="s" s="12">
        <v>14</v>
      </c>
      <c r="M12198" t="s" s="10">
        <v>14</v>
      </c>
      <c r="N12198" t="s" s="11">
        <v>14</v>
      </c>
      <c r="O12198" t="s" s="8">
        <v>14</v>
      </c>
      <c r="P12198" t="s" s="8">
        <v>14</v>
      </c>
      <c r="Q12198" t="s" s="12">
        <v>14</v>
      </c>
      <c r="R12198" t="s" s="12">
        <v>14</v>
      </c>
    </row>
    <row r="12199" s="2" customFormat="1" ht="13.5" customHeight="1">
      <c r="B12199" s="13"/>
      <c r="C12199" t="s" s="9">
        <v>16</v>
      </c>
      <c r="D12199" t="s" s="8">
        <v>4565</v>
      </c>
      <c r="E12199" t="s" s="9">
        <v>4565</v>
      </c>
      <c r="F12199" t="s" s="10">
        <v>282</v>
      </c>
      <c r="G12199" s="14"/>
      <c r="H12199" t="s" s="10">
        <v>63</v>
      </c>
      <c r="I12199" s="14"/>
      <c r="J12199" t="s" s="11">
        <v>20</v>
      </c>
      <c r="K12199" s="15"/>
      <c r="L12199" t="s" s="16">
        <f>HYPERLINK("http://csr.bu.edu/ftp/asl/asllvd/demos/verify_start_end_handshape_annotations//test_auto_move//signs_mov_separ_signers/Liz_927.mov","MOV")</f>
        <v>21</v>
      </c>
      <c r="M12199" t="s" s="10">
        <v>84</v>
      </c>
      <c r="N12199" s="17">
        <v>43</v>
      </c>
      <c r="O12199" s="18">
        <v>1840</v>
      </c>
      <c r="P12199" s="18">
        <v>1860</v>
      </c>
      <c r="Q12199" s="15"/>
      <c r="R12199" t="s" s="16">
        <f>HYPERLINK("http://secrets.rutgers.edu:8080/data/asl-ftp/asllvd/demos/verify_start_end_handshape_annotations//test_auto_move//signs_mov_separ_signers/Liz_927.mov","MOV")</f>
        <v>21</v>
      </c>
    </row>
    <row r="12200" s="2" customFormat="1" ht="13.5" customHeight="1">
      <c r="B12200" s="13"/>
      <c r="C12200" t="s" s="9">
        <v>23</v>
      </c>
      <c r="D12200" t="s" s="8">
        <v>4565</v>
      </c>
      <c r="E12200" t="s" s="9">
        <v>4565</v>
      </c>
      <c r="F12200" t="s" s="10">
        <v>282</v>
      </c>
      <c r="G12200" s="14"/>
      <c r="H12200" t="s" s="10">
        <v>63</v>
      </c>
      <c r="I12200" s="14"/>
      <c r="J12200" t="s" s="11">
        <v>20</v>
      </c>
      <c r="K12200" t="s" s="16">
        <f>HYPERLINK("http://csr.bu.edu/ftp/asl/asllvd/demos/verify_start_end_handshape_annotations//test_auto_move//signs_mov/927.mov","MOV")</f>
        <v>21</v>
      </c>
      <c r="L12200" t="s" s="16">
        <f>HYPERLINK("http://csr.bu.edu/ftp/asl/asllvd/demos/verify_start_end_handshape_annotations//test_auto_move//signs_mov_separ_signers/Tyler_927.mov","MOV")</f>
        <v>21</v>
      </c>
      <c r="M12200" t="s" s="10">
        <v>92</v>
      </c>
      <c r="N12200" s="17">
        <v>23</v>
      </c>
      <c r="O12200" s="18">
        <v>1960</v>
      </c>
      <c r="P12200" s="18">
        <v>1985</v>
      </c>
      <c r="Q12200" t="s" s="16">
        <f>HYPERLINK("http://secrets.rutgers.edu:8080/data/asl-ftp/asllvd/demos/verify_start_end_handshape_annotations//test_auto_move//signs_mov/927.mov","MOV")</f>
        <v>21</v>
      </c>
      <c r="R12200" t="s" s="16">
        <f>HYPERLINK("http://secrets.rutgers.edu:8080/data/asl-ftp/asllvd/demos/verify_start_end_handshape_annotations//test_auto_move//signs_mov_separ_signers/Tyler_927.mov","MOV")</f>
        <v>21</v>
      </c>
    </row>
    <row r="12201" s="2" customFormat="1" ht="13.5" customHeight="1">
      <c r="B12201" s="13"/>
      <c r="C12201" t="s" s="9">
        <v>27</v>
      </c>
      <c r="D12201" t="s" s="8">
        <v>4565</v>
      </c>
      <c r="E12201" t="s" s="9">
        <v>4565</v>
      </c>
      <c r="F12201" t="s" s="10">
        <v>282</v>
      </c>
      <c r="G12201" s="14"/>
      <c r="H12201" t="s" s="10">
        <v>63</v>
      </c>
      <c r="I12201" s="14"/>
      <c r="J12201" t="s" s="11">
        <v>20</v>
      </c>
      <c r="K12201" s="15"/>
      <c r="L12201" t="s" s="16">
        <f>HYPERLINK("http://csr.bu.edu/ftp/asl/asllvd/demos/verify_start_end_handshape_annotations//test_auto_move//signs_mov_separ_signers/Naomi_927.mov","MOV")</f>
        <v>21</v>
      </c>
      <c r="M12201" t="s" s="10">
        <v>86</v>
      </c>
      <c r="N12201" s="17">
        <v>43</v>
      </c>
      <c r="O12201" s="18">
        <v>1970</v>
      </c>
      <c r="P12201" s="18">
        <v>1995</v>
      </c>
      <c r="Q12201" s="15"/>
      <c r="R12201" t="s" s="16">
        <f>HYPERLINK("http://secrets.rutgers.edu:8080/data/asl-ftp/asllvd/demos/verify_start_end_handshape_annotations//test_auto_move//signs_mov_separ_signers/Naomi_927.mov","MOV")</f>
        <v>21</v>
      </c>
    </row>
    <row r="12202" s="2" customFormat="1" ht="13.5" customHeight="1">
      <c r="B12202" s="13"/>
      <c r="C12202" t="s" s="9">
        <v>30</v>
      </c>
      <c r="D12202" t="s" s="8">
        <v>4565</v>
      </c>
      <c r="E12202" t="s" s="9">
        <v>4565</v>
      </c>
      <c r="F12202" t="s" s="10">
        <v>282</v>
      </c>
      <c r="G12202" s="14"/>
      <c r="H12202" t="s" s="10">
        <v>63</v>
      </c>
      <c r="I12202" s="14"/>
      <c r="J12202" t="s" s="11">
        <v>20</v>
      </c>
      <c r="K12202" s="15"/>
      <c r="L12202" t="s" s="16">
        <f>HYPERLINK("http://csr.bu.edu/ftp/asl/asllvd/demos/verify_start_end_handshape_annotations//test_auto_move//signs_mov_separ_signers/Brady_927.mov","MOV")</f>
        <v>21</v>
      </c>
      <c r="M12202" t="s" s="10">
        <v>39</v>
      </c>
      <c r="N12202" s="17">
        <v>19</v>
      </c>
      <c r="O12202" s="18">
        <v>4758</v>
      </c>
      <c r="P12202" s="18">
        <v>4771</v>
      </c>
      <c r="Q12202" s="15"/>
      <c r="R12202" t="s" s="16">
        <f>HYPERLINK("http://secrets.rutgers.edu:8080/data/asl-ftp/asllvd/demos/verify_start_end_handshape_annotations//test_auto_move//signs_mov_separ_signers/Brady_927.mov","MOV")</f>
        <v>21</v>
      </c>
    </row>
    <row r="12203" s="2" customFormat="1" ht="13.5" customHeight="1">
      <c r="B12203" t="s" s="8">
        <v>4566</v>
      </c>
      <c r="C12203" t="s" s="9">
        <v>14</v>
      </c>
      <c r="D12203" t="s" s="8">
        <v>14</v>
      </c>
      <c r="E12203" t="s" s="9">
        <v>14</v>
      </c>
      <c r="F12203" t="s" s="10">
        <v>14</v>
      </c>
      <c r="G12203" t="s" s="11">
        <v>14</v>
      </c>
      <c r="H12203" t="s" s="10">
        <v>14</v>
      </c>
      <c r="I12203" t="s" s="11">
        <v>14</v>
      </c>
      <c r="J12203" t="s" s="11">
        <v>14</v>
      </c>
      <c r="K12203" t="s" s="12">
        <v>14</v>
      </c>
      <c r="L12203" t="s" s="12">
        <v>14</v>
      </c>
      <c r="M12203" t="s" s="10">
        <v>14</v>
      </c>
      <c r="N12203" t="s" s="11">
        <v>14</v>
      </c>
      <c r="O12203" t="s" s="8">
        <v>14</v>
      </c>
      <c r="P12203" t="s" s="8">
        <v>14</v>
      </c>
      <c r="Q12203" t="s" s="12">
        <v>14</v>
      </c>
      <c r="R12203" t="s" s="12">
        <v>14</v>
      </c>
    </row>
    <row r="12204" s="2" customFormat="1" ht="13.5" customHeight="1">
      <c r="B12204" s="13"/>
      <c r="C12204" t="s" s="9">
        <v>16</v>
      </c>
      <c r="D12204" t="s" s="8">
        <v>4566</v>
      </c>
      <c r="E12204" t="s" s="9">
        <v>4566</v>
      </c>
      <c r="F12204" s="19">
        <v>1</v>
      </c>
      <c r="G12204" s="14"/>
      <c r="H12204" t="s" s="10">
        <v>150</v>
      </c>
      <c r="I12204" t="s" s="11">
        <v>73</v>
      </c>
      <c r="J12204" t="s" s="11">
        <v>20</v>
      </c>
      <c r="K12204" s="15"/>
      <c r="L12204" t="s" s="16">
        <f>HYPERLINK("http://csr.bu.edu/ftp/asl/asllvd/demos/verify_start_end_handshape_annotations//test_auto_move//signs_mov_separ_signers/Liz_938.mov","MOV")</f>
        <v>21</v>
      </c>
      <c r="M12204" t="s" s="10">
        <v>84</v>
      </c>
      <c r="N12204" s="17">
        <v>44</v>
      </c>
      <c r="O12204" s="18">
        <v>1991</v>
      </c>
      <c r="P12204" s="18">
        <v>2047</v>
      </c>
      <c r="Q12204" s="15"/>
      <c r="R12204" t="s" s="16">
        <f>HYPERLINK("http://secrets.rutgers.edu:8080/data/asl-ftp/asllvd/demos/verify_start_end_handshape_annotations//test_auto_move//signs_mov_separ_signers/Liz_938.mov","MOV")</f>
        <v>21</v>
      </c>
    </row>
    <row r="12205" s="2" customFormat="1" ht="13.5" customHeight="1">
      <c r="B12205" s="13"/>
      <c r="C12205" t="s" s="9">
        <v>23</v>
      </c>
      <c r="D12205" t="s" s="8">
        <v>4566</v>
      </c>
      <c r="E12205" t="s" s="9">
        <v>4566</v>
      </c>
      <c r="F12205" t="s" s="10">
        <v>25</v>
      </c>
      <c r="G12205" s="14"/>
      <c r="H12205" s="19">
        <v>10</v>
      </c>
      <c r="I12205" t="s" s="11">
        <v>73</v>
      </c>
      <c r="J12205" t="s" s="11">
        <v>20</v>
      </c>
      <c r="K12205" t="s" s="16">
        <f>HYPERLINK("http://csr.bu.edu/ftp/asl/asllvd/demos/verify_start_end_handshape_annotations//test_auto_move//signs_mov/938.mov","MOV")</f>
        <v>21</v>
      </c>
      <c r="L12205" t="s" s="16">
        <f>HYPERLINK("http://csr.bu.edu/ftp/asl/asllvd/demos/verify_start_end_handshape_annotations//test_auto_move//signs_mov_separ_signers/Tyler_938.mov","MOV")</f>
        <v>21</v>
      </c>
      <c r="M12205" t="s" s="10">
        <v>92</v>
      </c>
      <c r="N12205" s="17">
        <v>24</v>
      </c>
      <c r="O12205" s="18">
        <v>3315</v>
      </c>
      <c r="P12205" s="18">
        <v>3337</v>
      </c>
      <c r="Q12205" t="s" s="16">
        <f>HYPERLINK("http://secrets.rutgers.edu:8080/data/asl-ftp/asllvd/demos/verify_start_end_handshape_annotations//test_auto_move//signs_mov/938.mov","MOV")</f>
        <v>21</v>
      </c>
      <c r="R12205" t="s" s="16">
        <f>HYPERLINK("http://secrets.rutgers.edu:8080/data/asl-ftp/asllvd/demos/verify_start_end_handshape_annotations//test_auto_move//signs_mov_separ_signers/Tyler_938.mov","MOV")</f>
        <v>21</v>
      </c>
    </row>
    <row r="12206" s="2" customFormat="1" ht="13.5" customHeight="1">
      <c r="B12206" s="13"/>
      <c r="C12206" t="s" s="9">
        <v>27</v>
      </c>
      <c r="D12206" t="s" s="8">
        <v>4566</v>
      </c>
      <c r="E12206" t="s" s="9">
        <v>4566</v>
      </c>
      <c r="F12206" s="19">
        <v>1</v>
      </c>
      <c r="G12206" t="s" s="11">
        <v>73</v>
      </c>
      <c r="H12206" s="19">
        <v>10</v>
      </c>
      <c r="I12206" t="s" s="11">
        <v>73</v>
      </c>
      <c r="J12206" t="s" s="11">
        <v>20</v>
      </c>
      <c r="K12206" s="15"/>
      <c r="L12206" t="s" s="16">
        <f>HYPERLINK("http://csr.bu.edu/ftp/asl/asllvd/demos/verify_start_end_handshape_annotations//test_auto_move//signs_mov_separ_signers/Naomi_938.mov","MOV")</f>
        <v>21</v>
      </c>
      <c r="M12206" t="s" s="10">
        <v>86</v>
      </c>
      <c r="N12206" s="17">
        <v>44</v>
      </c>
      <c r="O12206" s="18">
        <v>2550</v>
      </c>
      <c r="P12206" s="18">
        <v>2580</v>
      </c>
      <c r="Q12206" s="15"/>
      <c r="R12206" t="s" s="16">
        <f>HYPERLINK("http://secrets.rutgers.edu:8080/data/asl-ftp/asllvd/demos/verify_start_end_handshape_annotations//test_auto_move//signs_mov_separ_signers/Naomi_938.mov","MOV")</f>
        <v>21</v>
      </c>
    </row>
    <row r="12207" s="2" customFormat="1" ht="13.5" customHeight="1">
      <c r="B12207" t="s" s="8">
        <v>4567</v>
      </c>
      <c r="C12207" t="s" s="9">
        <v>14</v>
      </c>
      <c r="D12207" t="s" s="8">
        <v>14</v>
      </c>
      <c r="E12207" t="s" s="9">
        <v>14</v>
      </c>
      <c r="F12207" t="s" s="10">
        <v>14</v>
      </c>
      <c r="G12207" t="s" s="11">
        <v>14</v>
      </c>
      <c r="H12207" t="s" s="10">
        <v>14</v>
      </c>
      <c r="I12207" t="s" s="11">
        <v>14</v>
      </c>
      <c r="J12207" t="s" s="11">
        <v>14</v>
      </c>
      <c r="K12207" t="s" s="12">
        <v>14</v>
      </c>
      <c r="L12207" t="s" s="12">
        <v>14</v>
      </c>
      <c r="M12207" t="s" s="10">
        <v>14</v>
      </c>
      <c r="N12207" t="s" s="11">
        <v>14</v>
      </c>
      <c r="O12207" t="s" s="8">
        <v>14</v>
      </c>
      <c r="P12207" t="s" s="8">
        <v>14</v>
      </c>
      <c r="Q12207" t="s" s="12">
        <v>14</v>
      </c>
      <c r="R12207" t="s" s="12">
        <v>14</v>
      </c>
    </row>
    <row r="12208" s="2" customFormat="1" ht="13.5" customHeight="1">
      <c r="B12208" s="13"/>
      <c r="C12208" t="s" s="9">
        <v>30</v>
      </c>
      <c r="D12208" t="s" s="8">
        <v>4567</v>
      </c>
      <c r="E12208" t="s" s="9">
        <v>4567</v>
      </c>
      <c r="F12208" s="19">
        <v>1</v>
      </c>
      <c r="G12208" t="s" s="11">
        <v>73</v>
      </c>
      <c r="H12208" t="s" s="10">
        <v>68</v>
      </c>
      <c r="I12208" t="s" s="11">
        <v>73</v>
      </c>
      <c r="J12208" t="s" s="11">
        <v>20</v>
      </c>
      <c r="K12208" t="s" s="16">
        <f>HYPERLINK("http://csr.bu.edu/ftp/asl/asllvd/demos/verify_start_end_handshape_annotations//test_auto_move//signs_mov/4730.mov","MOV")</f>
        <v>21</v>
      </c>
      <c r="L12208" t="s" s="16">
        <f>HYPERLINK("http://csr.bu.edu/ftp/asl/asllvd/demos/verify_start_end_handshape_annotations//test_auto_move//signs_mov_separ_signers/Brady_4730.mov","MOV")</f>
        <v>21</v>
      </c>
      <c r="M12208" t="s" s="10">
        <v>39</v>
      </c>
      <c r="N12208" s="17">
        <v>20</v>
      </c>
      <c r="O12208" s="18">
        <v>1280</v>
      </c>
      <c r="P12208" s="18">
        <v>1311</v>
      </c>
      <c r="Q12208" t="s" s="16">
        <f>HYPERLINK("http://secrets.rutgers.edu:8080/data/asl-ftp/asllvd/demos/verify_start_end_handshape_annotations//test_auto_move//signs_mov/4730.mov","MOV")</f>
        <v>21</v>
      </c>
      <c r="R12208" t="s" s="16">
        <f>HYPERLINK("http://secrets.rutgers.edu:8080/data/asl-ftp/asllvd/demos/verify_start_end_handshape_annotations//test_auto_move//signs_mov_separ_signers/Brady_4730.mov","MOV")</f>
        <v>21</v>
      </c>
    </row>
    <row r="12209" s="2" customFormat="1" ht="13.5" customHeight="1">
      <c r="B12209" t="s" s="8">
        <v>4568</v>
      </c>
      <c r="C12209" t="s" s="9">
        <v>14</v>
      </c>
      <c r="D12209" t="s" s="8">
        <v>14</v>
      </c>
      <c r="E12209" t="s" s="9">
        <v>14</v>
      </c>
      <c r="F12209" t="s" s="10">
        <v>14</v>
      </c>
      <c r="G12209" t="s" s="11">
        <v>14</v>
      </c>
      <c r="H12209" t="s" s="10">
        <v>14</v>
      </c>
      <c r="I12209" t="s" s="11">
        <v>14</v>
      </c>
      <c r="J12209" t="s" s="11">
        <v>14</v>
      </c>
      <c r="K12209" t="s" s="12">
        <v>14</v>
      </c>
      <c r="L12209" t="s" s="12">
        <v>14</v>
      </c>
      <c r="M12209" t="s" s="10">
        <v>14</v>
      </c>
      <c r="N12209" t="s" s="11">
        <v>14</v>
      </c>
      <c r="O12209" t="s" s="8">
        <v>14</v>
      </c>
      <c r="P12209" t="s" s="8">
        <v>14</v>
      </c>
      <c r="Q12209" t="s" s="12">
        <v>14</v>
      </c>
      <c r="R12209" t="s" s="12">
        <v>14</v>
      </c>
    </row>
    <row r="12210" s="2" customFormat="1" ht="13.5" customHeight="1">
      <c r="B12210" s="13"/>
      <c r="C12210" t="s" s="9">
        <v>16</v>
      </c>
      <c r="D12210" t="s" s="8">
        <v>4569</v>
      </c>
      <c r="E12210" t="s" s="9">
        <v>4569</v>
      </c>
      <c r="F12210" s="19">
        <v>5</v>
      </c>
      <c r="G12210" s="17">
        <v>5</v>
      </c>
      <c r="H12210" s="19">
        <v>1</v>
      </c>
      <c r="I12210" s="17">
        <v>1</v>
      </c>
      <c r="J12210" t="s" s="11">
        <v>20</v>
      </c>
      <c r="K12210" s="15"/>
      <c r="L12210" t="s" s="16">
        <f>HYPERLINK("http://csr.bu.edu/ftp/asl/asllvd/demos/verify_start_end_handshape_annotations//test_auto_move//signs_mov_separ_signers/Liz_973.mov","MOV")</f>
        <v>21</v>
      </c>
      <c r="M12210" t="s" s="10">
        <v>84</v>
      </c>
      <c r="N12210" s="17">
        <v>48</v>
      </c>
      <c r="O12210" s="18">
        <v>1120</v>
      </c>
      <c r="P12210" s="18">
        <v>1227</v>
      </c>
      <c r="Q12210" s="15"/>
      <c r="R12210" t="s" s="16">
        <f>HYPERLINK("http://secrets.rutgers.edu:8080/data/asl-ftp/asllvd/demos/verify_start_end_handshape_annotations//test_auto_move//signs_mov_separ_signers/Liz_973.mov","MOV")</f>
        <v>21</v>
      </c>
    </row>
    <row r="12211" s="2" customFormat="1" ht="13.5" customHeight="1">
      <c r="B12211" s="13"/>
      <c r="C12211" t="s" s="9">
        <v>23</v>
      </c>
      <c r="D12211" t="s" s="8">
        <v>4569</v>
      </c>
      <c r="E12211" t="s" s="9">
        <v>4569</v>
      </c>
      <c r="F12211" s="19">
        <v>5</v>
      </c>
      <c r="G12211" s="17">
        <v>5</v>
      </c>
      <c r="H12211" s="19">
        <v>1</v>
      </c>
      <c r="I12211" s="17">
        <v>1</v>
      </c>
      <c r="J12211" t="s" s="11">
        <v>20</v>
      </c>
      <c r="K12211" t="s" s="16">
        <f>HYPERLINK("http://csr.bu.edu/ftp/asl/asllvd/demos/verify_start_end_handshape_annotations//test_auto_move//signs_mov/973.mov","MOV")</f>
        <v>21</v>
      </c>
      <c r="L12211" t="s" s="16">
        <f>HYPERLINK("http://csr.bu.edu/ftp/asl/asllvd/demos/verify_start_end_handshape_annotations//test_auto_move//signs_mov_separ_signers/Tyler_973.mov","MOV")</f>
        <v>21</v>
      </c>
      <c r="M12211" t="s" s="10">
        <v>92</v>
      </c>
      <c r="N12211" s="17">
        <v>28</v>
      </c>
      <c r="O12211" s="18">
        <v>897</v>
      </c>
      <c r="P12211" s="18">
        <v>960</v>
      </c>
      <c r="Q12211" t="s" s="16">
        <f>HYPERLINK("http://secrets.rutgers.edu:8080/data/asl-ftp/asllvd/demos/verify_start_end_handshape_annotations//test_auto_move//signs_mov/973.mov","MOV")</f>
        <v>21</v>
      </c>
      <c r="R12211" t="s" s="16">
        <f>HYPERLINK("http://secrets.rutgers.edu:8080/data/asl-ftp/asllvd/demos/verify_start_end_handshape_annotations//test_auto_move//signs_mov_separ_signers/Tyler_973.mov","MOV")</f>
        <v>21</v>
      </c>
    </row>
    <row r="12212" s="2" customFormat="1" ht="13.5" customHeight="1">
      <c r="B12212" s="13"/>
      <c r="C12212" t="s" s="9">
        <v>30</v>
      </c>
      <c r="D12212" t="s" s="8">
        <v>4569</v>
      </c>
      <c r="E12212" t="s" s="9">
        <v>4569</v>
      </c>
      <c r="F12212" s="19">
        <v>5</v>
      </c>
      <c r="G12212" s="17">
        <v>5</v>
      </c>
      <c r="H12212" s="19">
        <v>1</v>
      </c>
      <c r="I12212" s="17">
        <v>1</v>
      </c>
      <c r="J12212" t="s" s="11">
        <v>20</v>
      </c>
      <c r="K12212" s="15"/>
      <c r="L12212" t="s" s="16">
        <f>HYPERLINK("http://csr.bu.edu/ftp/asl/asllvd/demos/verify_start_end_handshape_annotations//test_auto_move//signs_mov_separ_signers/Brady_973.mov","MOV")</f>
        <v>21</v>
      </c>
      <c r="M12212" t="s" s="10">
        <v>39</v>
      </c>
      <c r="N12212" s="17">
        <v>22</v>
      </c>
      <c r="O12212" s="18">
        <v>1357</v>
      </c>
      <c r="P12212" s="18">
        <v>1419</v>
      </c>
      <c r="Q12212" s="15"/>
      <c r="R12212" t="s" s="16">
        <f>HYPERLINK("http://secrets.rutgers.edu:8080/data/asl-ftp/asllvd/demos/verify_start_end_handshape_annotations//test_auto_move//signs_mov_separ_signers/Brady_973.mov","MOV")</f>
        <v>21</v>
      </c>
    </row>
    <row r="12213" s="2" customFormat="1" ht="13.5" customHeight="1">
      <c r="B12213" t="s" s="8">
        <v>4570</v>
      </c>
      <c r="C12213" t="s" s="9">
        <v>14</v>
      </c>
      <c r="D12213" t="s" s="8">
        <v>14</v>
      </c>
      <c r="E12213" t="s" s="9">
        <v>14</v>
      </c>
      <c r="F12213" t="s" s="10">
        <v>14</v>
      </c>
      <c r="G12213" t="s" s="11">
        <v>14</v>
      </c>
      <c r="H12213" t="s" s="10">
        <v>14</v>
      </c>
      <c r="I12213" t="s" s="11">
        <v>14</v>
      </c>
      <c r="J12213" t="s" s="11">
        <v>14</v>
      </c>
      <c r="K12213" t="s" s="12">
        <v>14</v>
      </c>
      <c r="L12213" t="s" s="12">
        <v>14</v>
      </c>
      <c r="M12213" t="s" s="10">
        <v>14</v>
      </c>
      <c r="N12213" t="s" s="11">
        <v>14</v>
      </c>
      <c r="O12213" t="s" s="8">
        <v>14</v>
      </c>
      <c r="P12213" t="s" s="8">
        <v>14</v>
      </c>
      <c r="Q12213" t="s" s="12">
        <v>14</v>
      </c>
      <c r="R12213" t="s" s="12">
        <v>14</v>
      </c>
    </row>
    <row r="12214" s="2" customFormat="1" ht="13.5" customHeight="1">
      <c r="B12214" s="13"/>
      <c r="C12214" t="s" s="9">
        <v>16</v>
      </c>
      <c r="D12214" t="s" s="8">
        <v>4570</v>
      </c>
      <c r="E12214" t="s" s="9">
        <v>4570</v>
      </c>
      <c r="F12214" s="19">
        <v>4</v>
      </c>
      <c r="G12214" s="14"/>
      <c r="H12214" t="s" s="10">
        <v>158</v>
      </c>
      <c r="I12214" s="14"/>
      <c r="J12214" t="s" s="11">
        <v>20</v>
      </c>
      <c r="K12214" s="15"/>
      <c r="L12214" t="s" s="16">
        <f>HYPERLINK("http://csr.bu.edu/ftp/asl/asllvd/demos/verify_start_end_handshape_annotations//test_auto_move//signs_mov_separ_signers/Liz_976.mov","MOV")</f>
        <v>21</v>
      </c>
      <c r="M12214" t="s" s="10">
        <v>84</v>
      </c>
      <c r="N12214" s="17">
        <v>48</v>
      </c>
      <c r="O12214" s="18">
        <v>1881</v>
      </c>
      <c r="P12214" s="18">
        <v>1900</v>
      </c>
      <c r="Q12214" s="15"/>
      <c r="R12214" t="s" s="16">
        <f>HYPERLINK("http://secrets.rutgers.edu:8080/data/asl-ftp/asllvd/demos/verify_start_end_handshape_annotations//test_auto_move//signs_mov_separ_signers/Liz_976.mov","MOV")</f>
        <v>21</v>
      </c>
    </row>
    <row r="12215" s="2" customFormat="1" ht="13.5" customHeight="1">
      <c r="B12215" s="13"/>
      <c r="C12215" t="s" s="9">
        <v>23</v>
      </c>
      <c r="D12215" t="s" s="8">
        <v>4570</v>
      </c>
      <c r="E12215" t="s" s="9">
        <v>4571</v>
      </c>
      <c r="F12215" s="19">
        <v>4</v>
      </c>
      <c r="G12215" s="14"/>
      <c r="H12215" t="s" s="10">
        <v>158</v>
      </c>
      <c r="I12215" s="14"/>
      <c r="J12215" t="s" s="11">
        <v>20</v>
      </c>
      <c r="K12215" t="s" s="16">
        <f>HYPERLINK("http://csr.bu.edu/ftp/asl/asllvd/demos/verify_start_end_handshape_annotations//test_auto_move//signs_mov/976.mov","MOV")</f>
        <v>21</v>
      </c>
      <c r="L12215" t="s" s="16">
        <f>HYPERLINK("http://csr.bu.edu/ftp/asl/asllvd/demos/verify_start_end_handshape_annotations//test_auto_move//signs_mov_separ_signers/Tyler_976.mov","MOV")</f>
        <v>21</v>
      </c>
      <c r="M12215" t="s" s="10">
        <v>92</v>
      </c>
      <c r="N12215" s="17">
        <v>28</v>
      </c>
      <c r="O12215" s="18">
        <v>2100</v>
      </c>
      <c r="P12215" s="18">
        <v>2145</v>
      </c>
      <c r="Q12215" t="s" s="16">
        <f>HYPERLINK("http://secrets.rutgers.edu:8080/data/asl-ftp/asllvd/demos/verify_start_end_handshape_annotations//test_auto_move//signs_mov/976.mov","MOV")</f>
        <v>21</v>
      </c>
      <c r="R12215" t="s" s="16">
        <f>HYPERLINK("http://secrets.rutgers.edu:8080/data/asl-ftp/asllvd/demos/verify_start_end_handshape_annotations//test_auto_move//signs_mov_separ_signers/Tyler_976.mov","MOV")</f>
        <v>21</v>
      </c>
    </row>
    <row r="12216" s="2" customFormat="1" ht="13.5" customHeight="1">
      <c r="B12216" s="13"/>
      <c r="C12216" t="s" s="9">
        <v>27</v>
      </c>
      <c r="D12216" t="s" s="8">
        <v>4570</v>
      </c>
      <c r="E12216" t="s" s="9">
        <v>4570</v>
      </c>
      <c r="F12216" s="19">
        <v>4</v>
      </c>
      <c r="G12216" s="14"/>
      <c r="H12216" t="s" s="10">
        <v>158</v>
      </c>
      <c r="I12216" s="14"/>
      <c r="J12216" t="s" s="11">
        <v>20</v>
      </c>
      <c r="K12216" s="15"/>
      <c r="L12216" t="s" s="16">
        <f>HYPERLINK("http://csr.bu.edu/ftp/asl/asllvd/demos/verify_start_end_handshape_annotations//test_auto_move//signs_mov_separ_signers/Naomi_976.mov","MOV")</f>
        <v>21</v>
      </c>
      <c r="M12216" t="s" s="10">
        <v>86</v>
      </c>
      <c r="N12216" s="17">
        <v>48</v>
      </c>
      <c r="O12216" s="18">
        <v>3110</v>
      </c>
      <c r="P12216" s="18">
        <v>3125</v>
      </c>
      <c r="Q12216" s="15"/>
      <c r="R12216" t="s" s="16">
        <f>HYPERLINK("http://secrets.rutgers.edu:8080/data/asl-ftp/asllvd/demos/verify_start_end_handshape_annotations//test_auto_move//signs_mov_separ_signers/Naomi_976.mov","MOV")</f>
        <v>21</v>
      </c>
    </row>
    <row r="12217" s="2" customFormat="1" ht="13.5" customHeight="1">
      <c r="B12217" s="13"/>
      <c r="C12217" t="s" s="9">
        <v>30</v>
      </c>
      <c r="D12217" t="s" s="8">
        <v>4570</v>
      </c>
      <c r="E12217" t="s" s="9">
        <v>4570</v>
      </c>
      <c r="F12217" s="19">
        <v>4</v>
      </c>
      <c r="G12217" s="14"/>
      <c r="H12217" t="s" s="10">
        <v>283</v>
      </c>
      <c r="I12217" s="14"/>
      <c r="J12217" t="s" s="11">
        <v>20</v>
      </c>
      <c r="K12217" s="15"/>
      <c r="L12217" t="s" s="16">
        <f>HYPERLINK("http://csr.bu.edu/ftp/asl/asllvd/demos/verify_start_end_handshape_annotations//test_auto_move//signs_mov_separ_signers/Brady_976.mov","MOV")</f>
        <v>21</v>
      </c>
      <c r="M12217" t="s" s="10">
        <v>39</v>
      </c>
      <c r="N12217" s="17">
        <v>22</v>
      </c>
      <c r="O12217" s="18">
        <v>2678</v>
      </c>
      <c r="P12217" s="18">
        <v>2693</v>
      </c>
      <c r="Q12217" s="15"/>
      <c r="R12217" t="s" s="16">
        <f>HYPERLINK("http://secrets.rutgers.edu:8080/data/asl-ftp/asllvd/demos/verify_start_end_handshape_annotations//test_auto_move//signs_mov_separ_signers/Brady_976.mov","MOV")</f>
        <v>21</v>
      </c>
    </row>
    <row r="12218" s="2" customFormat="1" ht="13.5" customHeight="1">
      <c r="B12218" t="s" s="8">
        <v>4572</v>
      </c>
      <c r="C12218" t="s" s="9">
        <v>14</v>
      </c>
      <c r="D12218" t="s" s="8">
        <v>14</v>
      </c>
      <c r="E12218" t="s" s="9">
        <v>14</v>
      </c>
      <c r="F12218" t="s" s="10">
        <v>14</v>
      </c>
      <c r="G12218" t="s" s="11">
        <v>14</v>
      </c>
      <c r="H12218" t="s" s="10">
        <v>14</v>
      </c>
      <c r="I12218" t="s" s="11">
        <v>14</v>
      </c>
      <c r="J12218" t="s" s="11">
        <v>14</v>
      </c>
      <c r="K12218" t="s" s="12">
        <v>14</v>
      </c>
      <c r="L12218" t="s" s="12">
        <v>14</v>
      </c>
      <c r="M12218" t="s" s="10">
        <v>14</v>
      </c>
      <c r="N12218" t="s" s="11">
        <v>14</v>
      </c>
      <c r="O12218" t="s" s="8">
        <v>14</v>
      </c>
      <c r="P12218" t="s" s="8">
        <v>14</v>
      </c>
      <c r="Q12218" t="s" s="12">
        <v>14</v>
      </c>
      <c r="R12218" t="s" s="12">
        <v>14</v>
      </c>
    </row>
    <row r="12219" s="2" customFormat="1" ht="13.5" customHeight="1">
      <c r="B12219" s="13"/>
      <c r="C12219" t="s" s="9">
        <v>16</v>
      </c>
      <c r="D12219" t="s" s="8">
        <v>4572</v>
      </c>
      <c r="E12219" t="s" s="9">
        <v>4572</v>
      </c>
      <c r="F12219" t="s" s="10">
        <v>282</v>
      </c>
      <c r="G12219" s="14"/>
      <c r="H12219" t="s" s="10">
        <v>282</v>
      </c>
      <c r="I12219" s="14"/>
      <c r="J12219" t="s" s="11">
        <v>20</v>
      </c>
      <c r="K12219" s="15"/>
      <c r="L12219" t="s" s="16">
        <f>HYPERLINK("http://csr.bu.edu/ftp/asl/asllvd/demos/verify_start_end_handshape_annotations//test_auto_move//signs_mov_separ_signers/Liz_986.mov","MOV")</f>
        <v>21</v>
      </c>
      <c r="M12219" t="s" s="10">
        <v>84</v>
      </c>
      <c r="N12219" s="17">
        <v>49</v>
      </c>
      <c r="O12219" s="18">
        <v>1760</v>
      </c>
      <c r="P12219" s="18">
        <v>1795</v>
      </c>
      <c r="Q12219" s="15"/>
      <c r="R12219" t="s" s="16">
        <f>HYPERLINK("http://secrets.rutgers.edu:8080/data/asl-ftp/asllvd/demos/verify_start_end_handshape_annotations//test_auto_move//signs_mov_separ_signers/Liz_986.mov","MOV")</f>
        <v>21</v>
      </c>
    </row>
    <row r="12220" s="2" customFormat="1" ht="13.5" customHeight="1">
      <c r="B12220" s="13"/>
      <c r="C12220" t="s" s="9">
        <v>23</v>
      </c>
      <c r="D12220" t="s" s="8">
        <v>4572</v>
      </c>
      <c r="E12220" t="s" s="9">
        <v>4572</v>
      </c>
      <c r="F12220" t="s" s="10">
        <v>282</v>
      </c>
      <c r="G12220" s="14"/>
      <c r="H12220" t="s" s="10">
        <v>282</v>
      </c>
      <c r="I12220" s="14"/>
      <c r="J12220" t="s" s="11">
        <v>20</v>
      </c>
      <c r="K12220" s="15"/>
      <c r="L12220" t="s" s="16">
        <f>HYPERLINK("http://csr.bu.edu/ftp/asl/asllvd/demos/verify_start_end_handshape_annotations//test_auto_move//signs_mov_separ_signers/Tyler_986.mov","MOV")</f>
        <v>21</v>
      </c>
      <c r="M12220" t="s" s="10">
        <v>92</v>
      </c>
      <c r="N12220" s="17">
        <v>30</v>
      </c>
      <c r="O12220" s="18">
        <v>1545</v>
      </c>
      <c r="P12220" s="18">
        <v>1567</v>
      </c>
      <c r="Q12220" s="15"/>
      <c r="R12220" t="s" s="16">
        <f>HYPERLINK("http://secrets.rutgers.edu:8080/data/asl-ftp/asllvd/demos/verify_start_end_handshape_annotations//test_auto_move//signs_mov_separ_signers/Tyler_986.mov","MOV")</f>
        <v>21</v>
      </c>
    </row>
    <row r="12221" s="2" customFormat="1" ht="13.5" customHeight="1">
      <c r="B12221" s="13"/>
      <c r="C12221" t="s" s="9">
        <v>27</v>
      </c>
      <c r="D12221" t="s" s="8">
        <v>4572</v>
      </c>
      <c r="E12221" t="s" s="9">
        <v>4572</v>
      </c>
      <c r="F12221" t="s" s="10">
        <v>282</v>
      </c>
      <c r="G12221" s="14"/>
      <c r="H12221" t="s" s="10">
        <v>282</v>
      </c>
      <c r="I12221" s="14"/>
      <c r="J12221" t="s" s="11">
        <v>20</v>
      </c>
      <c r="K12221" t="s" s="16">
        <f>HYPERLINK("http://csr.bu.edu/ftp/asl/asllvd/demos/verify_start_end_handshape_annotations//test_auto_move//signs_mov/986.mov","MOV")</f>
        <v>21</v>
      </c>
      <c r="L12221" t="s" s="16">
        <f>HYPERLINK("http://csr.bu.edu/ftp/asl/asllvd/demos/verify_start_end_handshape_annotations//test_auto_move//signs_mov_separ_signers/Naomi_986.mov","MOV")</f>
        <v>21</v>
      </c>
      <c r="M12221" t="s" s="10">
        <v>86</v>
      </c>
      <c r="N12221" s="17">
        <v>49</v>
      </c>
      <c r="O12221" s="18">
        <v>1341</v>
      </c>
      <c r="P12221" s="18">
        <v>1365</v>
      </c>
      <c r="Q12221" t="s" s="16">
        <f>HYPERLINK("http://secrets.rutgers.edu:8080/data/asl-ftp/asllvd/demos/verify_start_end_handshape_annotations//test_auto_move//signs_mov/986.mov","MOV")</f>
        <v>21</v>
      </c>
      <c r="R12221" t="s" s="16">
        <f>HYPERLINK("http://secrets.rutgers.edu:8080/data/asl-ftp/asllvd/demos/verify_start_end_handshape_annotations//test_auto_move//signs_mov_separ_signers/Naomi_986.mov","MOV")</f>
        <v>21</v>
      </c>
    </row>
    <row r="12222" s="2" customFormat="1" ht="13.5" customHeight="1">
      <c r="B12222" s="13"/>
      <c r="C12222" t="s" s="9">
        <v>30</v>
      </c>
      <c r="D12222" t="s" s="8">
        <v>4572</v>
      </c>
      <c r="E12222" t="s" s="9">
        <v>4572</v>
      </c>
      <c r="F12222" t="s" s="10">
        <v>282</v>
      </c>
      <c r="G12222" s="14"/>
      <c r="H12222" t="s" s="10">
        <v>282</v>
      </c>
      <c r="I12222" s="14"/>
      <c r="J12222" t="s" s="11">
        <v>20</v>
      </c>
      <c r="K12222" s="15"/>
      <c r="L12222" t="s" s="16">
        <f>HYPERLINK("http://csr.bu.edu/ftp/asl/asllvd/demos/verify_start_end_handshape_annotations//test_auto_move//signs_mov_separ_signers/Brady_986.mov","MOV")</f>
        <v>21</v>
      </c>
      <c r="M12222" t="s" s="10">
        <v>39</v>
      </c>
      <c r="N12222" s="17">
        <v>23</v>
      </c>
      <c r="O12222" s="18">
        <v>879</v>
      </c>
      <c r="P12222" s="18">
        <v>891</v>
      </c>
      <c r="Q12222" s="15"/>
      <c r="R12222" t="s" s="16">
        <f>HYPERLINK("http://secrets.rutgers.edu:8080/data/asl-ftp/asllvd/demos/verify_start_end_handshape_annotations//test_auto_move//signs_mov_separ_signers/Brady_986.mov","MOV")</f>
        <v>21</v>
      </c>
    </row>
    <row r="12223" s="2" customFormat="1" ht="13.5" customHeight="1">
      <c r="B12223" s="13"/>
      <c r="C12223" t="s" s="9">
        <v>43</v>
      </c>
      <c r="D12223" t="s" s="8">
        <v>4572</v>
      </c>
      <c r="E12223" t="s" s="9">
        <v>4572</v>
      </c>
      <c r="F12223" t="s" s="10">
        <v>282</v>
      </c>
      <c r="G12223" s="14"/>
      <c r="H12223" t="s" s="10">
        <v>282</v>
      </c>
      <c r="I12223" s="14"/>
      <c r="J12223" t="s" s="11">
        <v>20</v>
      </c>
      <c r="K12223" s="15"/>
      <c r="L12223" t="s" s="16">
        <f>HYPERLINK("http://csr.bu.edu/ftp/asl/asllvd/demos/verify_start_end_handshape_annotations//test_auto_move//signs_mov_separ_signers/Dana_986.mov","MOV")</f>
        <v>21</v>
      </c>
      <c r="M12223" t="s" s="10">
        <v>44</v>
      </c>
      <c r="N12223" s="17">
        <v>15</v>
      </c>
      <c r="O12223" s="18">
        <v>2411</v>
      </c>
      <c r="P12223" s="18">
        <v>2459</v>
      </c>
      <c r="Q12223" s="15"/>
      <c r="R12223" t="s" s="16">
        <f>HYPERLINK("http://secrets.rutgers.edu:8080/data/asl-ftp/asllvd/demos/verify_start_end_handshape_annotations//test_auto_move//signs_mov_separ_signers/Dana_986.mov","MOV")</f>
        <v>21</v>
      </c>
    </row>
    <row r="12224" s="2" customFormat="1" ht="13.5" customHeight="1">
      <c r="B12224" t="s" s="8">
        <v>52</v>
      </c>
      <c r="C12224" t="s" s="9">
        <v>53</v>
      </c>
      <c r="D12224" t="s" s="8">
        <v>53</v>
      </c>
      <c r="E12224" t="s" s="9">
        <v>53</v>
      </c>
      <c r="F12224" t="s" s="10">
        <v>53</v>
      </c>
      <c r="G12224" t="s" s="11">
        <v>53</v>
      </c>
      <c r="H12224" t="s" s="10">
        <v>53</v>
      </c>
      <c r="I12224" t="s" s="11">
        <v>53</v>
      </c>
      <c r="J12224" t="s" s="11">
        <v>53</v>
      </c>
      <c r="K12224" t="s" s="12">
        <v>53</v>
      </c>
      <c r="L12224" t="s" s="12">
        <v>53</v>
      </c>
      <c r="M12224" t="s" s="10">
        <v>53</v>
      </c>
      <c r="N12224" t="s" s="11">
        <v>53</v>
      </c>
      <c r="O12224" t="s" s="8">
        <v>53</v>
      </c>
      <c r="P12224" t="s" s="8">
        <v>53</v>
      </c>
      <c r="Q12224" t="s" s="12">
        <v>53</v>
      </c>
      <c r="R12224" t="s" s="12">
        <v>53</v>
      </c>
    </row>
    <row r="12225" s="2" customFormat="1" ht="13.5" customHeight="1">
      <c r="B12225" s="13"/>
      <c r="C12225" t="s" s="9">
        <v>41</v>
      </c>
      <c r="D12225" t="s" s="8">
        <v>4572</v>
      </c>
      <c r="E12225" t="s" s="9">
        <v>4573</v>
      </c>
      <c r="F12225" t="s" s="10">
        <v>282</v>
      </c>
      <c r="G12225" s="14"/>
      <c r="H12225" t="s" s="10">
        <v>282</v>
      </c>
      <c r="I12225" s="14"/>
      <c r="J12225" t="s" s="11">
        <v>20</v>
      </c>
      <c r="K12225" t="s" s="16">
        <f>HYPERLINK("http://csr.bu.edu/ftp/asl/asllvd/demos/verify_start_end_handshape_annotations//test_auto_move//signs_mov/16204.mov","MOV")</f>
        <v>21</v>
      </c>
      <c r="L12225" t="s" s="16">
        <f>HYPERLINK("http://csr.bu.edu/ftp/asl/asllvd/demos/verify_start_end_handshape_annotations//test_auto_move//signs_mov_separ_signers/Lana_16204.mov","MOV")</f>
        <v>21</v>
      </c>
      <c r="M12225" t="s" s="10">
        <v>42</v>
      </c>
      <c r="N12225" s="17">
        <v>11</v>
      </c>
      <c r="O12225" s="18">
        <v>2476</v>
      </c>
      <c r="P12225" s="18">
        <v>2500</v>
      </c>
      <c r="Q12225" t="s" s="16">
        <f>HYPERLINK("http://secrets.rutgers.edu:8080/data/asl-ftp/asllvd/demos/verify_start_end_handshape_annotations//test_auto_move//signs_mov/16204.mov","MOV")</f>
        <v>21</v>
      </c>
      <c r="R12225" t="s" s="16">
        <f>HYPERLINK("http://secrets.rutgers.edu:8080/data/asl-ftp/asllvd/demos/verify_start_end_handshape_annotations//test_auto_move//signs_mov_separ_signers/Lana_16204.mov","MOV")</f>
        <v>21</v>
      </c>
    </row>
    <row r="12226" s="2" customFormat="1" ht="27.75" customHeight="1">
      <c r="B12226" t="s" s="8">
        <v>4574</v>
      </c>
      <c r="C12226" t="s" s="9">
        <v>14</v>
      </c>
      <c r="D12226" t="s" s="8">
        <v>14</v>
      </c>
      <c r="E12226" t="s" s="9">
        <v>14</v>
      </c>
      <c r="F12226" t="s" s="10">
        <v>14</v>
      </c>
      <c r="G12226" t="s" s="11">
        <v>14</v>
      </c>
      <c r="H12226" t="s" s="10">
        <v>14</v>
      </c>
      <c r="I12226" t="s" s="11">
        <v>14</v>
      </c>
      <c r="J12226" t="s" s="11">
        <v>14</v>
      </c>
      <c r="K12226" t="s" s="12">
        <v>14</v>
      </c>
      <c r="L12226" t="s" s="12">
        <v>14</v>
      </c>
      <c r="M12226" t="s" s="10">
        <v>14</v>
      </c>
      <c r="N12226" t="s" s="11">
        <v>14</v>
      </c>
      <c r="O12226" t="s" s="8">
        <v>14</v>
      </c>
      <c r="P12226" t="s" s="8">
        <v>14</v>
      </c>
      <c r="Q12226" t="s" s="12">
        <v>14</v>
      </c>
      <c r="R12226" t="s" s="12">
        <v>14</v>
      </c>
    </row>
    <row r="12227" s="2" customFormat="1" ht="27.75" customHeight="1">
      <c r="B12227" s="13"/>
      <c r="C12227" t="s" s="9">
        <v>16</v>
      </c>
      <c r="D12227" t="s" s="8">
        <v>4574</v>
      </c>
      <c r="E12227" t="s" s="9">
        <v>4575</v>
      </c>
      <c r="F12227" t="s" s="10">
        <v>68</v>
      </c>
      <c r="G12227" t="s" s="11">
        <v>68</v>
      </c>
      <c r="H12227" t="s" s="10">
        <v>68</v>
      </c>
      <c r="I12227" t="s" s="11">
        <v>68</v>
      </c>
      <c r="J12227" t="s" s="11">
        <v>20</v>
      </c>
      <c r="K12227" t="s" s="16">
        <f>HYPERLINK("http://csr.bu.edu/ftp/asl/asllvd/demos/verify_start_end_handshape_annotations//test_auto_move//signs_mov/1017.mov","MOV")</f>
        <v>21</v>
      </c>
      <c r="L12227" t="s" s="16">
        <f>HYPERLINK("http://csr.bu.edu/ftp/asl/asllvd/demos/verify_start_end_handshape_annotations//test_auto_move//signs_mov_separ_signers/Liz_1017.mov","MOV")</f>
        <v>21</v>
      </c>
      <c r="M12227" t="s" s="10">
        <v>34</v>
      </c>
      <c r="N12227" s="17">
        <v>2</v>
      </c>
      <c r="O12227" s="18">
        <v>2972</v>
      </c>
      <c r="P12227" s="18">
        <v>3047</v>
      </c>
      <c r="Q12227" t="s" s="16">
        <f>HYPERLINK("http://secrets.rutgers.edu:8080/data/asl-ftp/asllvd/demos/verify_start_end_handshape_annotations//test_auto_move//signs_mov/1017.mov","MOV")</f>
        <v>21</v>
      </c>
      <c r="R12227" t="s" s="16">
        <f>HYPERLINK("http://secrets.rutgers.edu:8080/data/asl-ftp/asllvd/demos/verify_start_end_handshape_annotations//test_auto_move//signs_mov_separ_signers/Liz_1017.mov","MOV")</f>
        <v>21</v>
      </c>
    </row>
    <row r="12228" s="2" customFormat="1" ht="13.5" customHeight="1">
      <c r="B12228" t="s" s="8">
        <v>52</v>
      </c>
      <c r="C12228" t="s" s="9">
        <v>53</v>
      </c>
      <c r="D12228" t="s" s="8">
        <v>53</v>
      </c>
      <c r="E12228" t="s" s="9">
        <v>53</v>
      </c>
      <c r="F12228" t="s" s="10">
        <v>53</v>
      </c>
      <c r="G12228" t="s" s="11">
        <v>53</v>
      </c>
      <c r="H12228" t="s" s="10">
        <v>53</v>
      </c>
      <c r="I12228" t="s" s="11">
        <v>53</v>
      </c>
      <c r="J12228" t="s" s="11">
        <v>53</v>
      </c>
      <c r="K12228" t="s" s="12">
        <v>53</v>
      </c>
      <c r="L12228" t="s" s="12">
        <v>53</v>
      </c>
      <c r="M12228" t="s" s="10">
        <v>53</v>
      </c>
      <c r="N12228" t="s" s="11">
        <v>53</v>
      </c>
      <c r="O12228" t="s" s="8">
        <v>53</v>
      </c>
      <c r="P12228" t="s" s="8">
        <v>53</v>
      </c>
      <c r="Q12228" t="s" s="12">
        <v>53</v>
      </c>
      <c r="R12228" t="s" s="12">
        <v>53</v>
      </c>
    </row>
    <row r="12229" s="2" customFormat="1" ht="27.75" customHeight="1">
      <c r="B12229" s="13"/>
      <c r="C12229" t="s" s="9">
        <v>27</v>
      </c>
      <c r="D12229" t="s" s="8">
        <v>4574</v>
      </c>
      <c r="E12229" t="s" s="9">
        <v>4576</v>
      </c>
      <c r="F12229" t="s" s="10">
        <v>65</v>
      </c>
      <c r="G12229" t="s" s="11">
        <v>65</v>
      </c>
      <c r="H12229" t="s" s="10">
        <v>65</v>
      </c>
      <c r="I12229" t="s" s="11">
        <v>65</v>
      </c>
      <c r="J12229" t="s" s="11">
        <v>20</v>
      </c>
      <c r="K12229" t="s" s="16">
        <f>HYPERLINK("http://csr.bu.edu/ftp/asl/asllvd/demos/verify_start_end_handshape_annotations//test_auto_move//signs_mov/16374.mov","MOV")</f>
        <v>21</v>
      </c>
      <c r="L12229" t="s" s="16">
        <f>HYPERLINK("http://csr.bu.edu/ftp/asl/asllvd/demos/verify_start_end_handshape_annotations//test_auto_move//signs_mov_separ_signers/Naomi_16374.mov","MOV")</f>
        <v>21</v>
      </c>
      <c r="M12229" t="s" s="10">
        <v>38</v>
      </c>
      <c r="N12229" s="17">
        <v>2</v>
      </c>
      <c r="O12229" s="18">
        <v>2475</v>
      </c>
      <c r="P12229" s="18">
        <v>2535</v>
      </c>
      <c r="Q12229" t="s" s="16">
        <f>HYPERLINK("http://secrets.rutgers.edu:8080/data/asl-ftp/asllvd/demos/verify_start_end_handshape_annotations//test_auto_move//signs_mov/16374.mov","MOV")</f>
        <v>21</v>
      </c>
      <c r="R12229" t="s" s="16">
        <f>HYPERLINK("http://secrets.rutgers.edu:8080/data/asl-ftp/asllvd/demos/verify_start_end_handshape_annotations//test_auto_move//signs_mov_separ_signers/Naomi_16374.mov","MOV")</f>
        <v>21</v>
      </c>
    </row>
    <row r="12230" s="2" customFormat="1" ht="13.5" customHeight="1">
      <c r="B12230" t="s" s="8">
        <v>4577</v>
      </c>
      <c r="C12230" t="s" s="9">
        <v>14</v>
      </c>
      <c r="D12230" t="s" s="8">
        <v>14</v>
      </c>
      <c r="E12230" t="s" s="9">
        <v>14</v>
      </c>
      <c r="F12230" t="s" s="10">
        <v>14</v>
      </c>
      <c r="G12230" t="s" s="11">
        <v>14</v>
      </c>
      <c r="H12230" t="s" s="10">
        <v>14</v>
      </c>
      <c r="I12230" t="s" s="11">
        <v>14</v>
      </c>
      <c r="J12230" t="s" s="11">
        <v>14</v>
      </c>
      <c r="K12230" t="s" s="12">
        <v>14</v>
      </c>
      <c r="L12230" t="s" s="12">
        <v>14</v>
      </c>
      <c r="M12230" t="s" s="10">
        <v>14</v>
      </c>
      <c r="N12230" t="s" s="11">
        <v>14</v>
      </c>
      <c r="O12230" t="s" s="8">
        <v>14</v>
      </c>
      <c r="P12230" t="s" s="8">
        <v>14</v>
      </c>
      <c r="Q12230" t="s" s="12">
        <v>14</v>
      </c>
      <c r="R12230" t="s" s="12">
        <v>14</v>
      </c>
    </row>
    <row r="12231" s="2" customFormat="1" ht="13.5" customHeight="1">
      <c r="B12231" s="13"/>
      <c r="C12231" t="s" s="9">
        <v>16</v>
      </c>
      <c r="D12231" t="s" s="8">
        <v>4577</v>
      </c>
      <c r="E12231" t="s" s="9">
        <v>4577</v>
      </c>
      <c r="F12231" s="19">
        <v>10</v>
      </c>
      <c r="G12231" t="s" s="11">
        <v>255</v>
      </c>
      <c r="H12231" t="s" s="10">
        <v>255</v>
      </c>
      <c r="I12231" t="s" s="11">
        <v>255</v>
      </c>
      <c r="J12231" t="s" s="11">
        <v>20</v>
      </c>
      <c r="K12231" s="15"/>
      <c r="L12231" t="s" s="16">
        <f>HYPERLINK("http://csr.bu.edu/ftp/asl/asllvd/demos/verify_start_end_handshape_annotations//test_auto_move//signs_mov_separ_signers/Liz_1039.mov","MOV")</f>
        <v>21</v>
      </c>
      <c r="M12231" t="s" s="10">
        <v>34</v>
      </c>
      <c r="N12231" s="17">
        <v>4</v>
      </c>
      <c r="O12231" s="18">
        <v>2625</v>
      </c>
      <c r="P12231" s="18">
        <v>2676</v>
      </c>
      <c r="Q12231" s="15"/>
      <c r="R12231" t="s" s="16">
        <f>HYPERLINK("http://secrets.rutgers.edu:8080/data/asl-ftp/asllvd/demos/verify_start_end_handshape_annotations//test_auto_move//signs_mov_separ_signers/Liz_1039.mov","MOV")</f>
        <v>21</v>
      </c>
    </row>
    <row r="12232" s="2" customFormat="1" ht="13.5" customHeight="1">
      <c r="B12232" s="13"/>
      <c r="C12232" t="s" s="9">
        <v>23</v>
      </c>
      <c r="D12232" t="s" s="8">
        <v>4577</v>
      </c>
      <c r="E12232" t="s" s="9">
        <v>4577</v>
      </c>
      <c r="F12232" s="19">
        <v>10</v>
      </c>
      <c r="G12232" t="s" s="11">
        <v>25</v>
      </c>
      <c r="H12232" t="s" s="10">
        <v>25</v>
      </c>
      <c r="I12232" s="17">
        <v>1</v>
      </c>
      <c r="J12232" t="s" s="11">
        <v>20</v>
      </c>
      <c r="K12232" s="15"/>
      <c r="L12232" t="s" s="16">
        <f>HYPERLINK("http://csr.bu.edu/ftp/asl/asllvd/demos/verify_start_end_handshape_annotations//test_auto_move//signs_mov_separ_signers/Tyler_1039.mov","MOV")</f>
        <v>21</v>
      </c>
      <c r="M12232" t="s" s="10">
        <v>92</v>
      </c>
      <c r="N12232" s="17">
        <v>36</v>
      </c>
      <c r="O12232" s="18">
        <v>2179</v>
      </c>
      <c r="P12232" s="18">
        <v>2212</v>
      </c>
      <c r="Q12232" s="15"/>
      <c r="R12232" t="s" s="16">
        <f>HYPERLINK("http://secrets.rutgers.edu:8080/data/asl-ftp/asllvd/demos/verify_start_end_handshape_annotations//test_auto_move//signs_mov_separ_signers/Tyler_1039.mov","MOV")</f>
        <v>21</v>
      </c>
    </row>
    <row r="12233" s="2" customFormat="1" ht="13.5" customHeight="1">
      <c r="B12233" s="13"/>
      <c r="C12233" t="s" s="9">
        <v>27</v>
      </c>
      <c r="D12233" t="s" s="8">
        <v>4577</v>
      </c>
      <c r="E12233" t="s" s="9">
        <v>4577</v>
      </c>
      <c r="F12233" s="19">
        <v>10</v>
      </c>
      <c r="G12233" t="s" s="11">
        <v>255</v>
      </c>
      <c r="H12233" t="s" s="10">
        <v>255</v>
      </c>
      <c r="I12233" t="s" s="11">
        <v>255</v>
      </c>
      <c r="J12233" t="s" s="11">
        <v>20</v>
      </c>
      <c r="K12233" t="s" s="16">
        <f>HYPERLINK("http://csr.bu.edu/ftp/asl/asllvd/demos/verify_start_end_handshape_annotations//test_auto_move//signs_mov/1039.mov","MOV")</f>
        <v>21</v>
      </c>
      <c r="L12233" t="s" s="16">
        <f>HYPERLINK("http://csr.bu.edu/ftp/asl/asllvd/demos/verify_start_end_handshape_annotations//test_auto_move//signs_mov_separ_signers/Naomi_1039.mov","MOV")</f>
        <v>21</v>
      </c>
      <c r="M12233" t="s" s="10">
        <v>38</v>
      </c>
      <c r="N12233" s="17">
        <v>4</v>
      </c>
      <c r="O12233" s="18">
        <v>3623</v>
      </c>
      <c r="P12233" s="18">
        <v>3669</v>
      </c>
      <c r="Q12233" t="s" s="16">
        <f>HYPERLINK("http://secrets.rutgers.edu:8080/data/asl-ftp/asllvd/demos/verify_start_end_handshape_annotations//test_auto_move//signs_mov/1039.mov","MOV")</f>
        <v>21</v>
      </c>
      <c r="R12233" t="s" s="16">
        <f>HYPERLINK("http://secrets.rutgers.edu:8080/data/asl-ftp/asllvd/demos/verify_start_end_handshape_annotations//test_auto_move//signs_mov_separ_signers/Naomi_1039.mov","MOV")</f>
        <v>21</v>
      </c>
    </row>
    <row r="12234" s="2" customFormat="1" ht="13.5" customHeight="1">
      <c r="B12234" s="13"/>
      <c r="C12234" t="s" s="9">
        <v>30</v>
      </c>
      <c r="D12234" t="s" s="8">
        <v>4577</v>
      </c>
      <c r="E12234" t="s" s="9">
        <v>4577</v>
      </c>
      <c r="F12234" s="19">
        <v>10</v>
      </c>
      <c r="G12234" s="17">
        <v>1</v>
      </c>
      <c r="H12234" s="19">
        <v>1</v>
      </c>
      <c r="I12234" s="17">
        <v>1</v>
      </c>
      <c r="J12234" t="s" s="11">
        <v>20</v>
      </c>
      <c r="K12234" s="15"/>
      <c r="L12234" t="s" s="16">
        <f>HYPERLINK("http://csr.bu.edu/ftp/asl/asllvd/demos/verify_start_end_handshape_annotations//test_auto_move//signs_mov_separ_signers/Brady_1039.mov","MOV")</f>
        <v>21</v>
      </c>
      <c r="M12234" t="s" s="10">
        <v>39</v>
      </c>
      <c r="N12234" s="17">
        <v>26</v>
      </c>
      <c r="O12234" s="18">
        <v>574</v>
      </c>
      <c r="P12234" s="18">
        <v>596</v>
      </c>
      <c r="Q12234" s="15"/>
      <c r="R12234" t="s" s="16">
        <f>HYPERLINK("http://secrets.rutgers.edu:8080/data/asl-ftp/asllvd/demos/verify_start_end_handshape_annotations//test_auto_move//signs_mov_separ_signers/Brady_1039.mov","MOV")</f>
        <v>21</v>
      </c>
    </row>
    <row r="12235" s="2" customFormat="1" ht="13.5" customHeight="1">
      <c r="B12235" s="13"/>
      <c r="C12235" t="s" s="9">
        <v>41</v>
      </c>
      <c r="D12235" t="s" s="8">
        <v>4577</v>
      </c>
      <c r="E12235" t="s" s="9">
        <v>4577</v>
      </c>
      <c r="F12235" s="19">
        <v>10</v>
      </c>
      <c r="G12235" s="17">
        <v>1</v>
      </c>
      <c r="H12235" t="s" s="10">
        <v>255</v>
      </c>
      <c r="I12235" t="s" s="11">
        <v>255</v>
      </c>
      <c r="J12235" t="s" s="11">
        <v>20</v>
      </c>
      <c r="K12235" s="15"/>
      <c r="L12235" t="s" s="16">
        <f>HYPERLINK("http://csr.bu.edu/ftp/asl/asllvd/demos/verify_start_end_handshape_annotations//test_auto_move//signs_mov_separ_signers/Lana_1039.mov","MOV")</f>
        <v>21</v>
      </c>
      <c r="M12235" t="s" s="10">
        <v>42</v>
      </c>
      <c r="N12235" s="17">
        <v>11</v>
      </c>
      <c r="O12235" s="18">
        <v>2615</v>
      </c>
      <c r="P12235" s="18">
        <v>2665</v>
      </c>
      <c r="Q12235" s="15"/>
      <c r="R12235" t="s" s="16">
        <f>HYPERLINK("http://secrets.rutgers.edu:8080/data/asl-ftp/asllvd/demos/verify_start_end_handshape_annotations//test_auto_move//signs_mov_separ_signers/Lana_1039.mov","MOV")</f>
        <v>21</v>
      </c>
    </row>
    <row r="12236" s="2" customFormat="1" ht="13.5" customHeight="1">
      <c r="B12236" s="13"/>
      <c r="C12236" t="s" s="9">
        <v>43</v>
      </c>
      <c r="D12236" t="s" s="8">
        <v>4577</v>
      </c>
      <c r="E12236" t="s" s="9">
        <v>4577</v>
      </c>
      <c r="F12236" s="19">
        <v>10</v>
      </c>
      <c r="G12236" s="14"/>
      <c r="H12236" t="s" s="10">
        <v>25</v>
      </c>
      <c r="I12236" t="s" s="11">
        <v>25</v>
      </c>
      <c r="J12236" t="s" s="11">
        <v>20</v>
      </c>
      <c r="K12236" s="15"/>
      <c r="L12236" t="s" s="16">
        <f>HYPERLINK("http://csr.bu.edu/ftp/asl/asllvd/demos/verify_start_end_handshape_annotations//test_auto_move//signs_mov_separ_signers/Dana_1039.mov","MOV")</f>
        <v>21</v>
      </c>
      <c r="M12236" t="s" s="10">
        <v>44</v>
      </c>
      <c r="N12236" s="17">
        <v>15</v>
      </c>
      <c r="O12236" s="18">
        <v>2540</v>
      </c>
      <c r="P12236" s="18">
        <v>2607</v>
      </c>
      <c r="Q12236" s="15"/>
      <c r="R12236" t="s" s="16">
        <f>HYPERLINK("http://secrets.rutgers.edu:8080/data/asl-ftp/asllvd/demos/verify_start_end_handshape_annotations//test_auto_move//signs_mov_separ_signers/Dana_1039.mov","MOV")</f>
        <v>21</v>
      </c>
    </row>
    <row r="12237" s="2" customFormat="1" ht="13.5" customHeight="1">
      <c r="B12237" t="s" s="8">
        <v>4578</v>
      </c>
      <c r="C12237" t="s" s="9">
        <v>14</v>
      </c>
      <c r="D12237" t="s" s="8">
        <v>14</v>
      </c>
      <c r="E12237" t="s" s="9">
        <v>14</v>
      </c>
      <c r="F12237" t="s" s="10">
        <v>14</v>
      </c>
      <c r="G12237" t="s" s="11">
        <v>14</v>
      </c>
      <c r="H12237" t="s" s="10">
        <v>14</v>
      </c>
      <c r="I12237" t="s" s="11">
        <v>14</v>
      </c>
      <c r="J12237" t="s" s="11">
        <v>14</v>
      </c>
      <c r="K12237" t="s" s="12">
        <v>14</v>
      </c>
      <c r="L12237" t="s" s="12">
        <v>14</v>
      </c>
      <c r="M12237" t="s" s="10">
        <v>14</v>
      </c>
      <c r="N12237" t="s" s="11">
        <v>14</v>
      </c>
      <c r="O12237" t="s" s="8">
        <v>14</v>
      </c>
      <c r="P12237" t="s" s="8">
        <v>14</v>
      </c>
      <c r="Q12237" t="s" s="12">
        <v>14</v>
      </c>
      <c r="R12237" t="s" s="12">
        <v>14</v>
      </c>
    </row>
    <row r="12238" s="2" customFormat="1" ht="13.5" customHeight="1">
      <c r="B12238" s="13"/>
      <c r="C12238" t="s" s="9">
        <v>16</v>
      </c>
      <c r="D12238" t="s" s="8">
        <v>4578</v>
      </c>
      <c r="E12238" t="s" s="9">
        <v>4578</v>
      </c>
      <c r="F12238" t="s" s="10">
        <v>73</v>
      </c>
      <c r="G12238" s="14"/>
      <c r="H12238" s="19">
        <v>25</v>
      </c>
      <c r="I12238" s="14"/>
      <c r="J12238" t="s" s="11">
        <v>20</v>
      </c>
      <c r="K12238" s="15"/>
      <c r="L12238" t="s" s="16">
        <f>HYPERLINK("http://csr.bu.edu/ftp/asl/asllvd/demos/verify_start_end_handshape_annotations//test_auto_move//signs_mov_separ_signers/Liz_1071.mov","MOV")</f>
        <v>21</v>
      </c>
      <c r="M12238" t="s" s="10">
        <v>34</v>
      </c>
      <c r="N12238" s="17">
        <v>9</v>
      </c>
      <c r="O12238" s="18">
        <v>464</v>
      </c>
      <c r="P12238" s="18">
        <v>497</v>
      </c>
      <c r="Q12238" s="15"/>
      <c r="R12238" t="s" s="16">
        <f>HYPERLINK("http://secrets.rutgers.edu:8080/data/asl-ftp/asllvd/demos/verify_start_end_handshape_annotations//test_auto_move//signs_mov_separ_signers/Liz_1071.mov","MOV")</f>
        <v>21</v>
      </c>
    </row>
    <row r="12239" s="2" customFormat="1" ht="13.5" customHeight="1">
      <c r="B12239" s="13"/>
      <c r="C12239" t="s" s="9">
        <v>23</v>
      </c>
      <c r="D12239" t="s" s="8">
        <v>4578</v>
      </c>
      <c r="E12239" t="s" s="9">
        <v>4578</v>
      </c>
      <c r="F12239" t="s" s="10">
        <v>73</v>
      </c>
      <c r="G12239" s="14"/>
      <c r="H12239" s="19">
        <v>25</v>
      </c>
      <c r="I12239" s="14"/>
      <c r="J12239" t="s" s="11">
        <v>20</v>
      </c>
      <c r="K12239" t="s" s="16">
        <f>HYPERLINK("http://csr.bu.edu/ftp/asl/asllvd/demos/verify_start_end_handshape_annotations//test_auto_move//signs_mov/1071.mov","MOV")</f>
        <v>21</v>
      </c>
      <c r="L12239" t="s" s="16">
        <f>HYPERLINK("http://csr.bu.edu/ftp/asl/asllvd/demos/verify_start_end_handshape_annotations//test_auto_move//signs_mov_separ_signers/Tyler_1071.mov","MOV")</f>
        <v>21</v>
      </c>
      <c r="M12239" t="s" s="10">
        <v>92</v>
      </c>
      <c r="N12239" s="17">
        <v>39</v>
      </c>
      <c r="O12239" s="18">
        <v>2475</v>
      </c>
      <c r="P12239" s="18">
        <v>2510</v>
      </c>
      <c r="Q12239" t="s" s="16">
        <f>HYPERLINK("http://secrets.rutgers.edu:8080/data/asl-ftp/asllvd/demos/verify_start_end_handshape_annotations//test_auto_move//signs_mov/1071.mov","MOV")</f>
        <v>21</v>
      </c>
      <c r="R12239" t="s" s="16">
        <f>HYPERLINK("http://secrets.rutgers.edu:8080/data/asl-ftp/asllvd/demos/verify_start_end_handshape_annotations//test_auto_move//signs_mov_separ_signers/Tyler_1071.mov","MOV")</f>
        <v>21</v>
      </c>
    </row>
    <row r="12240" s="2" customFormat="1" ht="13.5" customHeight="1">
      <c r="B12240" s="13"/>
      <c r="C12240" t="s" s="9">
        <v>27</v>
      </c>
      <c r="D12240" t="s" s="8">
        <v>4578</v>
      </c>
      <c r="E12240" t="s" s="9">
        <v>4578</v>
      </c>
      <c r="F12240" t="s" s="10">
        <v>73</v>
      </c>
      <c r="G12240" s="14"/>
      <c r="H12240" s="19">
        <v>25</v>
      </c>
      <c r="I12240" s="14"/>
      <c r="J12240" t="s" s="11">
        <v>20</v>
      </c>
      <c r="K12240" s="15"/>
      <c r="L12240" t="s" s="16">
        <f>HYPERLINK("http://csr.bu.edu/ftp/asl/asllvd/demos/verify_start_end_handshape_annotations//test_auto_move//signs_mov_separ_signers/Naomi_1071.mov","MOV")</f>
        <v>21</v>
      </c>
      <c r="M12240" t="s" s="10">
        <v>38</v>
      </c>
      <c r="N12240" s="17">
        <v>8</v>
      </c>
      <c r="O12240" s="18">
        <v>259</v>
      </c>
      <c r="P12240" s="18">
        <v>282</v>
      </c>
      <c r="Q12240" s="15"/>
      <c r="R12240" t="s" s="16">
        <f>HYPERLINK("http://secrets.rutgers.edu:8080/data/asl-ftp/asllvd/demos/verify_start_end_handshape_annotations//test_auto_move//signs_mov_separ_signers/Naomi_1071.mov","MOV")</f>
        <v>21</v>
      </c>
    </row>
    <row r="12241" s="2" customFormat="1" ht="13.5" customHeight="1">
      <c r="B12241" t="s" s="8">
        <v>4579</v>
      </c>
      <c r="C12241" t="s" s="9">
        <v>14</v>
      </c>
      <c r="D12241" t="s" s="8">
        <v>14</v>
      </c>
      <c r="E12241" t="s" s="9">
        <v>14</v>
      </c>
      <c r="F12241" t="s" s="10">
        <v>14</v>
      </c>
      <c r="G12241" t="s" s="11">
        <v>14</v>
      </c>
      <c r="H12241" t="s" s="10">
        <v>14</v>
      </c>
      <c r="I12241" t="s" s="11">
        <v>14</v>
      </c>
      <c r="J12241" t="s" s="11">
        <v>14</v>
      </c>
      <c r="K12241" t="s" s="12">
        <v>14</v>
      </c>
      <c r="L12241" t="s" s="12">
        <v>14</v>
      </c>
      <c r="M12241" t="s" s="10">
        <v>14</v>
      </c>
      <c r="N12241" t="s" s="11">
        <v>14</v>
      </c>
      <c r="O12241" t="s" s="8">
        <v>14</v>
      </c>
      <c r="P12241" t="s" s="8">
        <v>14</v>
      </c>
      <c r="Q12241" t="s" s="12">
        <v>14</v>
      </c>
      <c r="R12241" t="s" s="12">
        <v>14</v>
      </c>
    </row>
    <row r="12242" s="2" customFormat="1" ht="13.5" customHeight="1">
      <c r="B12242" s="13"/>
      <c r="C12242" t="s" s="9">
        <v>23</v>
      </c>
      <c r="D12242" t="s" s="8">
        <v>4579</v>
      </c>
      <c r="E12242" t="s" s="9">
        <v>4579</v>
      </c>
      <c r="F12242" t="s" s="10">
        <v>73</v>
      </c>
      <c r="G12242" t="s" s="11">
        <v>73</v>
      </c>
      <c r="H12242" t="s" s="10">
        <v>73</v>
      </c>
      <c r="I12242" t="s" s="11">
        <v>73</v>
      </c>
      <c r="J12242" t="s" s="11">
        <v>20</v>
      </c>
      <c r="K12242" t="s" s="16">
        <f>HYPERLINK("http://csr.bu.edu/ftp/asl/asllvd/demos/verify_start_end_handshape_annotations//test_auto_move//signs_mov/1072.mov","MOV")</f>
        <v>21</v>
      </c>
      <c r="L12242" t="s" s="16">
        <f>HYPERLINK("http://csr.bu.edu/ftp/asl/asllvd/demos/verify_start_end_handshape_annotations//test_auto_move//signs_mov_separ_signers/Tyler_1072.mov","MOV")</f>
        <v>21</v>
      </c>
      <c r="M12242" t="s" s="10">
        <v>92</v>
      </c>
      <c r="N12242" s="17">
        <v>40</v>
      </c>
      <c r="O12242" s="18">
        <v>575</v>
      </c>
      <c r="P12242" s="18">
        <v>615</v>
      </c>
      <c r="Q12242" t="s" s="16">
        <f>HYPERLINK("http://secrets.rutgers.edu:8080/data/asl-ftp/asllvd/demos/verify_start_end_handshape_annotations//test_auto_move//signs_mov/1072.mov","MOV")</f>
        <v>21</v>
      </c>
      <c r="R12242" t="s" s="16">
        <f>HYPERLINK("http://secrets.rutgers.edu:8080/data/asl-ftp/asllvd/demos/verify_start_end_handshape_annotations//test_auto_move//signs_mov_separ_signers/Tyler_1072.mov","MOV")</f>
        <v>21</v>
      </c>
    </row>
    <row r="12243" s="2" customFormat="1" ht="13.5" customHeight="1">
      <c r="B12243" s="13"/>
      <c r="C12243" t="s" s="9">
        <v>27</v>
      </c>
      <c r="D12243" t="s" s="8">
        <v>4579</v>
      </c>
      <c r="E12243" t="s" s="9">
        <v>4579</v>
      </c>
      <c r="F12243" t="s" s="10">
        <v>73</v>
      </c>
      <c r="G12243" t="s" s="11">
        <v>73</v>
      </c>
      <c r="H12243" t="s" s="10">
        <v>73</v>
      </c>
      <c r="I12243" t="s" s="11">
        <v>73</v>
      </c>
      <c r="J12243" t="s" s="11">
        <v>20</v>
      </c>
      <c r="K12243" s="15"/>
      <c r="L12243" t="s" s="16">
        <f>HYPERLINK("http://csr.bu.edu/ftp/asl/asllvd/demos/verify_start_end_handshape_annotations//test_auto_move//signs_mov_separ_signers/Naomi_1072.mov","MOV")</f>
        <v>21</v>
      </c>
      <c r="M12243" t="s" s="10">
        <v>38</v>
      </c>
      <c r="N12243" s="17">
        <v>8</v>
      </c>
      <c r="O12243" s="18">
        <v>607</v>
      </c>
      <c r="P12243" s="18">
        <v>649</v>
      </c>
      <c r="Q12243" s="15"/>
      <c r="R12243" t="s" s="16">
        <f>HYPERLINK("http://secrets.rutgers.edu:8080/data/asl-ftp/asllvd/demos/verify_start_end_handshape_annotations//test_auto_move//signs_mov_separ_signers/Naomi_1072.mov","MOV")</f>
        <v>21</v>
      </c>
    </row>
    <row r="12244" s="2" customFormat="1" ht="13.5" customHeight="1">
      <c r="B12244" t="s" s="8">
        <v>52</v>
      </c>
      <c r="C12244" t="s" s="9">
        <v>53</v>
      </c>
      <c r="D12244" t="s" s="8">
        <v>53</v>
      </c>
      <c r="E12244" t="s" s="9">
        <v>53</v>
      </c>
      <c r="F12244" t="s" s="10">
        <v>53</v>
      </c>
      <c r="G12244" t="s" s="11">
        <v>53</v>
      </c>
      <c r="H12244" t="s" s="10">
        <v>53</v>
      </c>
      <c r="I12244" t="s" s="11">
        <v>53</v>
      </c>
      <c r="J12244" t="s" s="11">
        <v>53</v>
      </c>
      <c r="K12244" t="s" s="12">
        <v>53</v>
      </c>
      <c r="L12244" t="s" s="12">
        <v>53</v>
      </c>
      <c r="M12244" t="s" s="10">
        <v>53</v>
      </c>
      <c r="N12244" t="s" s="11">
        <v>53</v>
      </c>
      <c r="O12244" t="s" s="8">
        <v>53</v>
      </c>
      <c r="P12244" t="s" s="8">
        <v>53</v>
      </c>
      <c r="Q12244" t="s" s="12">
        <v>53</v>
      </c>
      <c r="R12244" t="s" s="12">
        <v>53</v>
      </c>
    </row>
    <row r="12245" s="2" customFormat="1" ht="27.75" customHeight="1">
      <c r="B12245" s="13"/>
      <c r="C12245" t="s" s="9">
        <v>16</v>
      </c>
      <c r="D12245" t="s" s="8">
        <v>4579</v>
      </c>
      <c r="E12245" t="s" s="9">
        <v>4580</v>
      </c>
      <c r="F12245" t="s" s="10">
        <v>73</v>
      </c>
      <c r="G12245" t="s" s="11">
        <v>73</v>
      </c>
      <c r="H12245" t="s" s="10">
        <v>73</v>
      </c>
      <c r="I12245" t="s" s="11">
        <v>73</v>
      </c>
      <c r="J12245" t="s" s="11">
        <v>20</v>
      </c>
      <c r="K12245" t="s" s="16">
        <f>HYPERLINK("http://csr.bu.edu/ftp/asl/asllvd/demos/verify_start_end_handshape_annotations//test_auto_move//signs_mov/15081.mov","MOV")</f>
        <v>21</v>
      </c>
      <c r="L12245" t="s" s="16">
        <f>HYPERLINK("http://csr.bu.edu/ftp/asl/asllvd/demos/verify_start_end_handshape_annotations//test_auto_move//signs_mov_separ_signers/Liz_15081.mov","MOV")</f>
        <v>21</v>
      </c>
      <c r="M12245" t="s" s="10">
        <v>34</v>
      </c>
      <c r="N12245" s="17">
        <v>9</v>
      </c>
      <c r="O12245" s="18">
        <v>672</v>
      </c>
      <c r="P12245" s="18">
        <v>710</v>
      </c>
      <c r="Q12245" t="s" s="16">
        <f>HYPERLINK("http://secrets.rutgers.edu:8080/data/asl-ftp/asllvd/demos/verify_start_end_handshape_annotations//test_auto_move//signs_mov/15081.mov","MOV")</f>
        <v>21</v>
      </c>
      <c r="R12245" t="s" s="16">
        <f>HYPERLINK("http://secrets.rutgers.edu:8080/data/asl-ftp/asllvd/demos/verify_start_end_handshape_annotations//test_auto_move//signs_mov_separ_signers/Liz_15081.mov","MOV")</f>
        <v>21</v>
      </c>
    </row>
    <row r="12246" s="2" customFormat="1" ht="13.5" customHeight="1">
      <c r="B12246" t="s" s="8">
        <v>52</v>
      </c>
      <c r="C12246" t="s" s="9">
        <v>53</v>
      </c>
      <c r="D12246" t="s" s="8">
        <v>53</v>
      </c>
      <c r="E12246" t="s" s="9">
        <v>53</v>
      </c>
      <c r="F12246" t="s" s="10">
        <v>53</v>
      </c>
      <c r="G12246" t="s" s="11">
        <v>53</v>
      </c>
      <c r="H12246" t="s" s="10">
        <v>53</v>
      </c>
      <c r="I12246" t="s" s="11">
        <v>53</v>
      </c>
      <c r="J12246" t="s" s="11">
        <v>53</v>
      </c>
      <c r="K12246" t="s" s="12">
        <v>53</v>
      </c>
      <c r="L12246" t="s" s="12">
        <v>53</v>
      </c>
      <c r="M12246" t="s" s="10">
        <v>53</v>
      </c>
      <c r="N12246" t="s" s="11">
        <v>53</v>
      </c>
      <c r="O12246" t="s" s="8">
        <v>53</v>
      </c>
      <c r="P12246" t="s" s="8">
        <v>53</v>
      </c>
      <c r="Q12246" t="s" s="12">
        <v>53</v>
      </c>
      <c r="R12246" t="s" s="12">
        <v>53</v>
      </c>
    </row>
    <row r="12247" s="2" customFormat="1" ht="27.75" customHeight="1">
      <c r="B12247" s="13"/>
      <c r="C12247" t="s" s="9">
        <v>16</v>
      </c>
      <c r="D12247" t="s" s="8">
        <v>4579</v>
      </c>
      <c r="E12247" t="s" s="9">
        <v>4581</v>
      </c>
      <c r="F12247" t="s" s="10">
        <v>73</v>
      </c>
      <c r="G12247" s="14"/>
      <c r="H12247" t="s" s="10">
        <v>73</v>
      </c>
      <c r="I12247" s="14"/>
      <c r="J12247" t="s" s="11">
        <v>20</v>
      </c>
      <c r="K12247" s="15"/>
      <c r="L12247" t="s" s="16">
        <f>HYPERLINK("http://csr.bu.edu/ftp/asl/asllvd/demos/verify_start_end_handshape_annotations//test_auto_move//signs_mov_separ_signers/Liz_16524.mov","MOV")</f>
        <v>21</v>
      </c>
      <c r="M12247" t="s" s="10">
        <v>34</v>
      </c>
      <c r="N12247" s="17">
        <v>9</v>
      </c>
      <c r="O12247" s="18">
        <v>893</v>
      </c>
      <c r="P12247" s="18">
        <v>920</v>
      </c>
      <c r="Q12247" s="15"/>
      <c r="R12247" t="s" s="16">
        <f>HYPERLINK("http://secrets.rutgers.edu:8080/data/asl-ftp/asllvd/demos/verify_start_end_handshape_annotations//test_auto_move//signs_mov_separ_signers/Liz_16524.mov","MOV")</f>
        <v>21</v>
      </c>
    </row>
    <row r="12248" s="2" customFormat="1" ht="27.75" customHeight="1">
      <c r="B12248" s="13"/>
      <c r="C12248" t="s" s="9">
        <v>23</v>
      </c>
      <c r="D12248" t="s" s="8">
        <v>4579</v>
      </c>
      <c r="E12248" t="s" s="9">
        <v>4581</v>
      </c>
      <c r="F12248" t="s" s="10">
        <v>73</v>
      </c>
      <c r="G12248" s="14"/>
      <c r="H12248" t="s" s="10">
        <v>73</v>
      </c>
      <c r="I12248" s="14"/>
      <c r="J12248" t="s" s="11">
        <v>20</v>
      </c>
      <c r="K12248" t="s" s="16">
        <f>HYPERLINK("http://csr.bu.edu/ftp/asl/asllvd/demos/verify_start_end_handshape_annotations//test_auto_move//signs_mov/16524.mov","MOV")</f>
        <v>21</v>
      </c>
      <c r="L12248" t="s" s="16">
        <f>HYPERLINK("http://csr.bu.edu/ftp/asl/asllvd/demos/verify_start_end_handshape_annotations//test_auto_move//signs_mov_separ_signers/Tyler_16524.mov","MOV")</f>
        <v>21</v>
      </c>
      <c r="M12248" t="s" s="10">
        <v>92</v>
      </c>
      <c r="N12248" s="17">
        <v>40</v>
      </c>
      <c r="O12248" s="18">
        <v>818</v>
      </c>
      <c r="P12248" s="18">
        <v>843</v>
      </c>
      <c r="Q12248" t="s" s="16">
        <f>HYPERLINK("http://secrets.rutgers.edu:8080/data/asl-ftp/asllvd/demos/verify_start_end_handshape_annotations//test_auto_move//signs_mov/16524.mov","MOV")</f>
        <v>21</v>
      </c>
      <c r="R12248" t="s" s="16">
        <f>HYPERLINK("http://secrets.rutgers.edu:8080/data/asl-ftp/asllvd/demos/verify_start_end_handshape_annotations//test_auto_move//signs_mov_separ_signers/Tyler_16524.mov","MOV")</f>
        <v>21</v>
      </c>
    </row>
    <row r="12249" s="2" customFormat="1" ht="27.75" customHeight="1">
      <c r="B12249" s="13"/>
      <c r="C12249" t="s" s="9">
        <v>27</v>
      </c>
      <c r="D12249" t="s" s="8">
        <v>4579</v>
      </c>
      <c r="E12249" t="s" s="9">
        <v>4581</v>
      </c>
      <c r="F12249" t="s" s="10">
        <v>73</v>
      </c>
      <c r="G12249" s="14"/>
      <c r="H12249" t="s" s="10">
        <v>73</v>
      </c>
      <c r="I12249" s="14"/>
      <c r="J12249" t="s" s="11">
        <v>20</v>
      </c>
      <c r="K12249" s="15"/>
      <c r="L12249" t="s" s="16">
        <f>HYPERLINK("http://csr.bu.edu/ftp/asl/asllvd/demos/verify_start_end_handshape_annotations//test_auto_move//signs_mov_separ_signers/Naomi_16524.mov","MOV")</f>
        <v>21</v>
      </c>
      <c r="M12249" t="s" s="10">
        <v>38</v>
      </c>
      <c r="N12249" s="17">
        <v>8</v>
      </c>
      <c r="O12249" s="18">
        <v>880</v>
      </c>
      <c r="P12249" s="18">
        <v>914</v>
      </c>
      <c r="Q12249" s="15"/>
      <c r="R12249" t="s" s="16">
        <f>HYPERLINK("http://secrets.rutgers.edu:8080/data/asl-ftp/asllvd/demos/verify_start_end_handshape_annotations//test_auto_move//signs_mov_separ_signers/Naomi_16524.mov","MOV")</f>
        <v>21</v>
      </c>
    </row>
    <row r="12250" s="2" customFormat="1" ht="13.5" customHeight="1">
      <c r="B12250" t="s" s="8">
        <v>4582</v>
      </c>
      <c r="C12250" t="s" s="9">
        <v>14</v>
      </c>
      <c r="D12250" t="s" s="8">
        <v>14</v>
      </c>
      <c r="E12250" t="s" s="9">
        <v>14</v>
      </c>
      <c r="F12250" t="s" s="10">
        <v>14</v>
      </c>
      <c r="G12250" t="s" s="11">
        <v>14</v>
      </c>
      <c r="H12250" t="s" s="10">
        <v>14</v>
      </c>
      <c r="I12250" t="s" s="11">
        <v>14</v>
      </c>
      <c r="J12250" t="s" s="11">
        <v>14</v>
      </c>
      <c r="K12250" t="s" s="12">
        <v>14</v>
      </c>
      <c r="L12250" t="s" s="12">
        <v>14</v>
      </c>
      <c r="M12250" t="s" s="10">
        <v>14</v>
      </c>
      <c r="N12250" t="s" s="11">
        <v>14</v>
      </c>
      <c r="O12250" t="s" s="8">
        <v>14</v>
      </c>
      <c r="P12250" t="s" s="8">
        <v>14</v>
      </c>
      <c r="Q12250" t="s" s="12">
        <v>14</v>
      </c>
      <c r="R12250" t="s" s="12">
        <v>14</v>
      </c>
    </row>
    <row r="12251" s="2" customFormat="1" ht="13.5" customHeight="1">
      <c r="B12251" s="13"/>
      <c r="C12251" t="s" s="9">
        <v>23</v>
      </c>
      <c r="D12251" t="s" s="8">
        <v>4582</v>
      </c>
      <c r="E12251" t="s" s="9">
        <v>4582</v>
      </c>
      <c r="F12251" t="s" s="10">
        <v>73</v>
      </c>
      <c r="G12251" t="s" s="11">
        <v>73</v>
      </c>
      <c r="H12251" t="s" s="10">
        <v>80</v>
      </c>
      <c r="I12251" t="s" s="11">
        <v>80</v>
      </c>
      <c r="J12251" t="s" s="11">
        <v>20</v>
      </c>
      <c r="K12251" t="s" s="16">
        <f>HYPERLINK("http://csr.bu.edu/ftp/asl/asllvd/demos/verify_start_end_handshape_annotations//test_auto_move//signs_mov/1074.mov","MOV")</f>
        <v>21</v>
      </c>
      <c r="L12251" t="s" s="16">
        <f>HYPERLINK("http://csr.bu.edu/ftp/asl/asllvd/demos/verify_start_end_handshape_annotations//test_auto_move//signs_mov_separ_signers/Tyler_1074.mov","MOV")</f>
        <v>21</v>
      </c>
      <c r="M12251" t="s" s="10">
        <v>92</v>
      </c>
      <c r="N12251" s="17">
        <v>40</v>
      </c>
      <c r="O12251" s="18">
        <v>1044</v>
      </c>
      <c r="P12251" s="18">
        <v>1081</v>
      </c>
      <c r="Q12251" t="s" s="16">
        <f>HYPERLINK("http://secrets.rutgers.edu:8080/data/asl-ftp/asllvd/demos/verify_start_end_handshape_annotations//test_auto_move//signs_mov/1074.mov","MOV")</f>
        <v>21</v>
      </c>
      <c r="R12251" t="s" s="16">
        <f>HYPERLINK("http://secrets.rutgers.edu:8080/data/asl-ftp/asllvd/demos/verify_start_end_handshape_annotations//test_auto_move//signs_mov_separ_signers/Tyler_1074.mov","MOV")</f>
        <v>21</v>
      </c>
    </row>
    <row r="12252" s="2" customFormat="1" ht="13.5" customHeight="1">
      <c r="B12252" t="s" s="8">
        <v>52</v>
      </c>
      <c r="C12252" t="s" s="9">
        <v>53</v>
      </c>
      <c r="D12252" t="s" s="8">
        <v>53</v>
      </c>
      <c r="E12252" t="s" s="9">
        <v>53</v>
      </c>
      <c r="F12252" t="s" s="10">
        <v>53</v>
      </c>
      <c r="G12252" t="s" s="11">
        <v>53</v>
      </c>
      <c r="H12252" t="s" s="10">
        <v>53</v>
      </c>
      <c r="I12252" t="s" s="11">
        <v>53</v>
      </c>
      <c r="J12252" t="s" s="11">
        <v>53</v>
      </c>
      <c r="K12252" t="s" s="12">
        <v>53</v>
      </c>
      <c r="L12252" t="s" s="12">
        <v>53</v>
      </c>
      <c r="M12252" t="s" s="10">
        <v>53</v>
      </c>
      <c r="N12252" t="s" s="11">
        <v>53</v>
      </c>
      <c r="O12252" t="s" s="8">
        <v>53</v>
      </c>
      <c r="P12252" t="s" s="8">
        <v>53</v>
      </c>
      <c r="Q12252" t="s" s="12">
        <v>53</v>
      </c>
      <c r="R12252" t="s" s="12">
        <v>53</v>
      </c>
    </row>
    <row r="12253" s="2" customFormat="1" ht="27.75" customHeight="1">
      <c r="B12253" s="13"/>
      <c r="C12253" t="s" s="9">
        <v>16</v>
      </c>
      <c r="D12253" t="s" s="8">
        <v>4582</v>
      </c>
      <c r="E12253" t="s" s="9">
        <v>4583</v>
      </c>
      <c r="F12253" t="s" s="10">
        <v>80</v>
      </c>
      <c r="G12253" t="s" s="11">
        <v>105</v>
      </c>
      <c r="H12253" t="s" s="10">
        <v>80</v>
      </c>
      <c r="I12253" t="s" s="11">
        <v>105</v>
      </c>
      <c r="J12253" t="s" s="11">
        <v>20</v>
      </c>
      <c r="K12253" t="s" s="16">
        <f>HYPERLINK("http://csr.bu.edu/ftp/asl/asllvd/demos/verify_start_end_handshape_annotations//test_auto_move//signs_mov/16525.mov","MOV")</f>
        <v>21</v>
      </c>
      <c r="L12253" t="s" s="16">
        <f>HYPERLINK("http://csr.bu.edu/ftp/asl/asllvd/demos/verify_start_end_handshape_annotations//test_auto_move//signs_mov_separ_signers/Liz_16525.mov","MOV")</f>
        <v>21</v>
      </c>
      <c r="M12253" t="s" s="10">
        <v>34</v>
      </c>
      <c r="N12253" s="17">
        <v>9</v>
      </c>
      <c r="O12253" s="18">
        <v>1107</v>
      </c>
      <c r="P12253" s="18">
        <v>1146</v>
      </c>
      <c r="Q12253" t="s" s="16">
        <f>HYPERLINK("http://secrets.rutgers.edu:8080/data/asl-ftp/asllvd/demos/verify_start_end_handshape_annotations//test_auto_move//signs_mov/16525.mov","MOV")</f>
        <v>21</v>
      </c>
      <c r="R12253" t="s" s="16">
        <f>HYPERLINK("http://secrets.rutgers.edu:8080/data/asl-ftp/asllvd/demos/verify_start_end_handshape_annotations//test_auto_move//signs_mov_separ_signers/Liz_16525.mov","MOV")</f>
        <v>21</v>
      </c>
    </row>
    <row r="12254" s="2" customFormat="1" ht="27.75" customHeight="1">
      <c r="B12254" s="13"/>
      <c r="C12254" t="s" s="9">
        <v>27</v>
      </c>
      <c r="D12254" t="s" s="8">
        <v>4582</v>
      </c>
      <c r="E12254" t="s" s="9">
        <v>4583</v>
      </c>
      <c r="F12254" t="s" s="10">
        <v>80</v>
      </c>
      <c r="G12254" t="s" s="11">
        <v>73</v>
      </c>
      <c r="H12254" t="s" s="10">
        <v>80</v>
      </c>
      <c r="I12254" t="s" s="11">
        <v>73</v>
      </c>
      <c r="J12254" t="s" s="11">
        <v>20</v>
      </c>
      <c r="K12254" s="15"/>
      <c r="L12254" t="s" s="16">
        <f>HYPERLINK("http://csr.bu.edu/ftp/asl/asllvd/demos/verify_start_end_handshape_annotations//test_auto_move//signs_mov_separ_signers/Naomi_16525.mov","MOV")</f>
        <v>21</v>
      </c>
      <c r="M12254" t="s" s="10">
        <v>38</v>
      </c>
      <c r="N12254" s="17">
        <v>8</v>
      </c>
      <c r="O12254" s="18">
        <v>1160</v>
      </c>
      <c r="P12254" s="18">
        <v>1190</v>
      </c>
      <c r="Q12254" s="15"/>
      <c r="R12254" t="s" s="16">
        <f>HYPERLINK("http://secrets.rutgers.edu:8080/data/asl-ftp/asllvd/demos/verify_start_end_handshape_annotations//test_auto_move//signs_mov_separ_signers/Naomi_16525.mov","MOV")</f>
        <v>21</v>
      </c>
    </row>
    <row r="12255" s="2" customFormat="1" ht="13.5" customHeight="1">
      <c r="B12255" t="s" s="8">
        <v>4584</v>
      </c>
      <c r="C12255" t="s" s="9">
        <v>14</v>
      </c>
      <c r="D12255" t="s" s="8">
        <v>14</v>
      </c>
      <c r="E12255" t="s" s="9">
        <v>14</v>
      </c>
      <c r="F12255" t="s" s="10">
        <v>14</v>
      </c>
      <c r="G12255" t="s" s="11">
        <v>14</v>
      </c>
      <c r="H12255" t="s" s="10">
        <v>14</v>
      </c>
      <c r="I12255" t="s" s="11">
        <v>14</v>
      </c>
      <c r="J12255" t="s" s="11">
        <v>14</v>
      </c>
      <c r="K12255" t="s" s="12">
        <v>14</v>
      </c>
      <c r="L12255" t="s" s="12">
        <v>14</v>
      </c>
      <c r="M12255" t="s" s="10">
        <v>14</v>
      </c>
      <c r="N12255" t="s" s="11">
        <v>14</v>
      </c>
      <c r="O12255" t="s" s="8">
        <v>14</v>
      </c>
      <c r="P12255" t="s" s="8">
        <v>14</v>
      </c>
      <c r="Q12255" t="s" s="12">
        <v>14</v>
      </c>
      <c r="R12255" t="s" s="12">
        <v>14</v>
      </c>
    </row>
    <row r="12256" s="2" customFormat="1" ht="13.5" customHeight="1">
      <c r="B12256" s="13"/>
      <c r="C12256" t="s" s="9">
        <v>16</v>
      </c>
      <c r="D12256" t="s" s="8">
        <v>4585</v>
      </c>
      <c r="E12256" t="s" s="9">
        <v>4586</v>
      </c>
      <c r="F12256" t="s" s="10">
        <v>119</v>
      </c>
      <c r="G12256" t="s" s="11">
        <v>119</v>
      </c>
      <c r="H12256" t="s" s="10">
        <v>119</v>
      </c>
      <c r="I12256" t="s" s="11">
        <v>119</v>
      </c>
      <c r="J12256" t="s" s="11">
        <v>20</v>
      </c>
      <c r="K12256" s="15"/>
      <c r="L12256" t="s" s="16">
        <f>HYPERLINK("http://csr.bu.edu/ftp/asl/asllvd/demos/verify_start_end_handshape_annotations//test_auto_move//signs_mov_separ_signers/Liz_1096.mov","MOV")</f>
        <v>21</v>
      </c>
      <c r="M12256" t="s" s="10">
        <v>34</v>
      </c>
      <c r="N12256" s="17">
        <v>12</v>
      </c>
      <c r="O12256" s="18">
        <v>1665</v>
      </c>
      <c r="P12256" s="18">
        <v>1715</v>
      </c>
      <c r="Q12256" s="15"/>
      <c r="R12256" t="s" s="16">
        <f>HYPERLINK("http://secrets.rutgers.edu:8080/data/asl-ftp/asllvd/demos/verify_start_end_handshape_annotations//test_auto_move//signs_mov_separ_signers/Liz_1096.mov","MOV")</f>
        <v>21</v>
      </c>
    </row>
    <row r="12257" s="2" customFormat="1" ht="13.5" customHeight="1">
      <c r="B12257" s="13"/>
      <c r="C12257" t="s" s="9">
        <v>27</v>
      </c>
      <c r="D12257" t="s" s="8">
        <v>4585</v>
      </c>
      <c r="E12257" t="s" s="9">
        <v>4587</v>
      </c>
      <c r="F12257" t="s" s="10">
        <v>119</v>
      </c>
      <c r="G12257" t="s" s="11">
        <v>119</v>
      </c>
      <c r="H12257" t="s" s="10">
        <v>119</v>
      </c>
      <c r="I12257" t="s" s="11">
        <v>119</v>
      </c>
      <c r="J12257" t="s" s="11">
        <v>20</v>
      </c>
      <c r="K12257" t="s" s="16">
        <f>HYPERLINK("http://csr.bu.edu/ftp/asl/asllvd/demos/verify_start_end_handshape_annotations//test_auto_move//signs_mov/1096.mov","MOV")</f>
        <v>21</v>
      </c>
      <c r="L12257" t="s" s="16">
        <f>HYPERLINK("http://csr.bu.edu/ftp/asl/asllvd/demos/verify_start_end_handshape_annotations//test_auto_move//signs_mov_separ_signers/Naomi_1096.mov","MOV")</f>
        <v>21</v>
      </c>
      <c r="M12257" t="s" s="10">
        <v>38</v>
      </c>
      <c r="N12257" s="17">
        <v>10</v>
      </c>
      <c r="O12257" s="18">
        <v>5245</v>
      </c>
      <c r="P12257" s="18">
        <v>5293</v>
      </c>
      <c r="Q12257" t="s" s="16">
        <f>HYPERLINK("http://secrets.rutgers.edu:8080/data/asl-ftp/asllvd/demos/verify_start_end_handshape_annotations//test_auto_move//signs_mov/1096.mov","MOV")</f>
        <v>21</v>
      </c>
      <c r="R12257" t="s" s="16">
        <f>HYPERLINK("http://secrets.rutgers.edu:8080/data/asl-ftp/asllvd/demos/verify_start_end_handshape_annotations//test_auto_move//signs_mov_separ_signers/Naomi_1096.mov","MOV")</f>
        <v>21</v>
      </c>
    </row>
    <row r="12258" s="2" customFormat="1" ht="13.5" customHeight="1">
      <c r="B12258" s="13"/>
      <c r="C12258" t="s" s="9">
        <v>30</v>
      </c>
      <c r="D12258" t="s" s="8">
        <v>4585</v>
      </c>
      <c r="E12258" t="s" s="9">
        <v>4588</v>
      </c>
      <c r="F12258" t="s" s="10">
        <v>119</v>
      </c>
      <c r="G12258" t="s" s="11">
        <v>119</v>
      </c>
      <c r="H12258" t="s" s="10">
        <v>119</v>
      </c>
      <c r="I12258" t="s" s="11">
        <v>119</v>
      </c>
      <c r="J12258" t="s" s="11">
        <v>20</v>
      </c>
      <c r="K12258" s="15"/>
      <c r="L12258" t="s" s="16">
        <f>HYPERLINK("http://csr.bu.edu/ftp/asl/asllvd/demos/verify_start_end_handshape_annotations//test_auto_move//signs_mov_separ_signers/Brady_1096.mov","MOV")</f>
        <v>21</v>
      </c>
      <c r="M12258" t="s" s="10">
        <v>39</v>
      </c>
      <c r="N12258" s="17">
        <v>29</v>
      </c>
      <c r="O12258" s="18">
        <v>4857</v>
      </c>
      <c r="P12258" s="18">
        <v>4900</v>
      </c>
      <c r="Q12258" s="15"/>
      <c r="R12258" t="s" s="16">
        <f>HYPERLINK("http://secrets.rutgers.edu:8080/data/asl-ftp/asllvd/demos/verify_start_end_handshape_annotations//test_auto_move//signs_mov_separ_signers/Brady_1096.mov","MOV")</f>
        <v>21</v>
      </c>
    </row>
    <row r="12259" s="2" customFormat="1" ht="13.5" customHeight="1">
      <c r="B12259" t="s" s="8">
        <v>4589</v>
      </c>
      <c r="C12259" t="s" s="9">
        <v>14</v>
      </c>
      <c r="D12259" t="s" s="8">
        <v>14</v>
      </c>
      <c r="E12259" t="s" s="9">
        <v>14</v>
      </c>
      <c r="F12259" t="s" s="10">
        <v>14</v>
      </c>
      <c r="G12259" t="s" s="11">
        <v>14</v>
      </c>
      <c r="H12259" t="s" s="10">
        <v>14</v>
      </c>
      <c r="I12259" t="s" s="11">
        <v>14</v>
      </c>
      <c r="J12259" t="s" s="11">
        <v>14</v>
      </c>
      <c r="K12259" t="s" s="12">
        <v>14</v>
      </c>
      <c r="L12259" t="s" s="12">
        <v>14</v>
      </c>
      <c r="M12259" t="s" s="10">
        <v>14</v>
      </c>
      <c r="N12259" t="s" s="11">
        <v>14</v>
      </c>
      <c r="O12259" t="s" s="8">
        <v>14</v>
      </c>
      <c r="P12259" t="s" s="8">
        <v>14</v>
      </c>
      <c r="Q12259" t="s" s="12">
        <v>14</v>
      </c>
      <c r="R12259" t="s" s="12">
        <v>14</v>
      </c>
    </row>
    <row r="12260" s="2" customFormat="1" ht="13.5" customHeight="1">
      <c r="B12260" s="13"/>
      <c r="C12260" t="s" s="9">
        <v>23</v>
      </c>
      <c r="D12260" t="s" s="8">
        <v>4589</v>
      </c>
      <c r="E12260" t="s" s="9">
        <v>4590</v>
      </c>
      <c r="F12260" t="s" s="10">
        <v>119</v>
      </c>
      <c r="G12260" t="s" s="11">
        <v>73</v>
      </c>
      <c r="H12260" t="s" s="10">
        <v>119</v>
      </c>
      <c r="I12260" t="s" s="11">
        <v>73</v>
      </c>
      <c r="J12260" t="s" s="11">
        <v>20</v>
      </c>
      <c r="K12260" t="s" s="16">
        <f>HYPERLINK("http://csr.bu.edu/ftp/asl/asllvd/demos/verify_start_end_handshape_annotations//test_auto_move//signs_mov/3026.mov","MOV")</f>
        <v>21</v>
      </c>
      <c r="L12260" t="s" s="16">
        <f>HYPERLINK("http://csr.bu.edu/ftp/asl/asllvd/demos/verify_start_end_handshape_annotations//test_auto_move//signs_mov_separ_signers/Tyler_3026.mov","MOV")</f>
        <v>21</v>
      </c>
      <c r="M12260" t="s" s="10">
        <v>92</v>
      </c>
      <c r="N12260" s="17">
        <v>42</v>
      </c>
      <c r="O12260" s="18">
        <v>2165</v>
      </c>
      <c r="P12260" s="18">
        <v>2220</v>
      </c>
      <c r="Q12260" t="s" s="16">
        <f>HYPERLINK("http://secrets.rutgers.edu:8080/data/asl-ftp/asllvd/demos/verify_start_end_handshape_annotations//test_auto_move//signs_mov/3026.mov","MOV")</f>
        <v>21</v>
      </c>
      <c r="R12260" t="s" s="16">
        <f>HYPERLINK("http://secrets.rutgers.edu:8080/data/asl-ftp/asllvd/demos/verify_start_end_handshape_annotations//test_auto_move//signs_mov_separ_signers/Tyler_3026.mov","MOV")</f>
        <v>21</v>
      </c>
    </row>
    <row r="12261" s="2" customFormat="1" ht="13.5" customHeight="1">
      <c r="B12261" s="13"/>
      <c r="C12261" t="s" s="9">
        <v>30</v>
      </c>
      <c r="D12261" t="s" s="8">
        <v>4589</v>
      </c>
      <c r="E12261" t="s" s="9">
        <v>4590</v>
      </c>
      <c r="F12261" t="s" s="10">
        <v>119</v>
      </c>
      <c r="G12261" t="s" s="11">
        <v>73</v>
      </c>
      <c r="H12261" t="s" s="10">
        <v>119</v>
      </c>
      <c r="I12261" t="s" s="11">
        <v>73</v>
      </c>
      <c r="J12261" t="s" s="11">
        <v>20</v>
      </c>
      <c r="K12261" s="15"/>
      <c r="L12261" t="s" s="16">
        <f>HYPERLINK("http://csr.bu.edu/ftp/asl/asllvd/demos/verify_start_end_handshape_annotations//test_auto_move//signs_mov_separ_signers/Brady_3026.mov","MOV")</f>
        <v>21</v>
      </c>
      <c r="M12261" t="s" s="10">
        <v>39</v>
      </c>
      <c r="N12261" s="17">
        <v>29</v>
      </c>
      <c r="O12261" s="18">
        <v>5087</v>
      </c>
      <c r="P12261" s="18">
        <v>5140</v>
      </c>
      <c r="Q12261" s="15"/>
      <c r="R12261" t="s" s="16">
        <f>HYPERLINK("http://secrets.rutgers.edu:8080/data/asl-ftp/asllvd/demos/verify_start_end_handshape_annotations//test_auto_move//signs_mov_separ_signers/Brady_3026.mov","MOV")</f>
        <v>21</v>
      </c>
    </row>
    <row r="12262" s="2" customFormat="1" ht="13.5" customHeight="1">
      <c r="B12262" t="s" s="8">
        <v>4591</v>
      </c>
      <c r="C12262" t="s" s="9">
        <v>14</v>
      </c>
      <c r="D12262" t="s" s="8">
        <v>14</v>
      </c>
      <c r="E12262" t="s" s="9">
        <v>14</v>
      </c>
      <c r="F12262" t="s" s="10">
        <v>14</v>
      </c>
      <c r="G12262" t="s" s="11">
        <v>14</v>
      </c>
      <c r="H12262" t="s" s="10">
        <v>14</v>
      </c>
      <c r="I12262" t="s" s="11">
        <v>14</v>
      </c>
      <c r="J12262" t="s" s="11">
        <v>14</v>
      </c>
      <c r="K12262" t="s" s="12">
        <v>14</v>
      </c>
      <c r="L12262" t="s" s="12">
        <v>14</v>
      </c>
      <c r="M12262" t="s" s="10">
        <v>14</v>
      </c>
      <c r="N12262" t="s" s="11">
        <v>14</v>
      </c>
      <c r="O12262" t="s" s="8">
        <v>14</v>
      </c>
      <c r="P12262" t="s" s="8">
        <v>14</v>
      </c>
      <c r="Q12262" t="s" s="12">
        <v>14</v>
      </c>
      <c r="R12262" t="s" s="12">
        <v>14</v>
      </c>
    </row>
    <row r="12263" s="2" customFormat="1" ht="13.5" customHeight="1">
      <c r="B12263" s="13"/>
      <c r="C12263" t="s" s="9">
        <v>16</v>
      </c>
      <c r="D12263" t="s" s="8">
        <v>4592</v>
      </c>
      <c r="E12263" t="s" s="9">
        <v>4592</v>
      </c>
      <c r="F12263" t="s" s="10">
        <v>220</v>
      </c>
      <c r="G12263" t="s" s="11">
        <v>220</v>
      </c>
      <c r="H12263" t="s" s="10">
        <v>73</v>
      </c>
      <c r="I12263" t="s" s="11">
        <v>73</v>
      </c>
      <c r="J12263" t="s" s="11">
        <v>20</v>
      </c>
      <c r="K12263" s="15"/>
      <c r="L12263" t="s" s="16">
        <f>HYPERLINK("http://csr.bu.edu/ftp/asl/asllvd/demos/verify_start_end_handshape_annotations//test_auto_move//signs_mov_separ_signers/Liz_1101.mov","MOV")</f>
        <v>21</v>
      </c>
      <c r="M12263" t="s" s="10">
        <v>34</v>
      </c>
      <c r="N12263" s="17">
        <v>13</v>
      </c>
      <c r="O12263" s="18">
        <v>452</v>
      </c>
      <c r="P12263" s="18">
        <v>513</v>
      </c>
      <c r="Q12263" s="15"/>
      <c r="R12263" t="s" s="16">
        <f>HYPERLINK("http://secrets.rutgers.edu:8080/data/asl-ftp/asllvd/demos/verify_start_end_handshape_annotations//test_auto_move//signs_mov_separ_signers/Liz_1101.mov","MOV")</f>
        <v>21</v>
      </c>
    </row>
    <row r="12264" s="2" customFormat="1" ht="13.5" customHeight="1">
      <c r="B12264" s="13"/>
      <c r="C12264" t="s" s="9">
        <v>27</v>
      </c>
      <c r="D12264" t="s" s="8">
        <v>4592</v>
      </c>
      <c r="E12264" t="s" s="9">
        <v>4592</v>
      </c>
      <c r="F12264" t="s" s="10">
        <v>220</v>
      </c>
      <c r="G12264" t="s" s="11">
        <v>220</v>
      </c>
      <c r="H12264" t="s" s="10">
        <v>73</v>
      </c>
      <c r="I12264" t="s" s="11">
        <v>73</v>
      </c>
      <c r="J12264" t="s" s="11">
        <v>20</v>
      </c>
      <c r="K12264" t="s" s="16">
        <f>HYPERLINK("http://csr.bu.edu/ftp/asl/asllvd/demos/verify_start_end_handshape_annotations//test_auto_move//signs_mov/1101.mov","MOV")</f>
        <v>21</v>
      </c>
      <c r="L12264" t="s" s="16">
        <f>HYPERLINK("http://csr.bu.edu/ftp/asl/asllvd/demos/verify_start_end_handshape_annotations//test_auto_move//signs_mov_separ_signers/Naomi_1101.mov","MOV")</f>
        <v>21</v>
      </c>
      <c r="M12264" t="s" s="10">
        <v>38</v>
      </c>
      <c r="N12264" s="17">
        <v>11</v>
      </c>
      <c r="O12264" s="18">
        <v>366</v>
      </c>
      <c r="P12264" s="18">
        <v>412</v>
      </c>
      <c r="Q12264" t="s" s="16">
        <f>HYPERLINK("http://secrets.rutgers.edu:8080/data/asl-ftp/asllvd/demos/verify_start_end_handshape_annotations//test_auto_move//signs_mov/1101.mov","MOV")</f>
        <v>21</v>
      </c>
      <c r="R12264" t="s" s="16">
        <f>HYPERLINK("http://secrets.rutgers.edu:8080/data/asl-ftp/asllvd/demos/verify_start_end_handshape_annotations//test_auto_move//signs_mov_separ_signers/Naomi_1101.mov","MOV")</f>
        <v>21</v>
      </c>
    </row>
    <row r="12265" s="2" customFormat="1" ht="13.5" customHeight="1">
      <c r="B12265" s="13"/>
      <c r="C12265" t="s" s="9">
        <v>30</v>
      </c>
      <c r="D12265" t="s" s="8">
        <v>4592</v>
      </c>
      <c r="E12265" t="s" s="9">
        <v>4592</v>
      </c>
      <c r="F12265" t="s" s="10">
        <v>220</v>
      </c>
      <c r="G12265" t="s" s="11">
        <v>220</v>
      </c>
      <c r="H12265" t="s" s="10">
        <v>73</v>
      </c>
      <c r="I12265" t="s" s="11">
        <v>73</v>
      </c>
      <c r="J12265" t="s" s="11">
        <v>20</v>
      </c>
      <c r="K12265" s="15"/>
      <c r="L12265" t="s" s="16">
        <f>HYPERLINK("http://csr.bu.edu/ftp/asl/asllvd/demos/verify_start_end_handshape_annotations//test_auto_move//signs_mov_separ_signers/Brady_1101.mov","MOV")</f>
        <v>21</v>
      </c>
      <c r="M12265" t="s" s="10">
        <v>39</v>
      </c>
      <c r="N12265" s="17">
        <v>29</v>
      </c>
      <c r="O12265" s="18">
        <v>6333</v>
      </c>
      <c r="P12265" s="18">
        <v>6365</v>
      </c>
      <c r="Q12265" s="15"/>
      <c r="R12265" t="s" s="16">
        <f>HYPERLINK("http://secrets.rutgers.edu:8080/data/asl-ftp/asllvd/demos/verify_start_end_handshape_annotations//test_auto_move//signs_mov_separ_signers/Brady_1101.mov","MOV")</f>
        <v>21</v>
      </c>
    </row>
    <row r="12266" s="2" customFormat="1" ht="13.5" customHeight="1">
      <c r="B12266" t="s" s="8">
        <v>4593</v>
      </c>
      <c r="C12266" t="s" s="9">
        <v>14</v>
      </c>
      <c r="D12266" t="s" s="8">
        <v>14</v>
      </c>
      <c r="E12266" t="s" s="9">
        <v>14</v>
      </c>
      <c r="F12266" t="s" s="10">
        <v>14</v>
      </c>
      <c r="G12266" t="s" s="11">
        <v>14</v>
      </c>
      <c r="H12266" t="s" s="10">
        <v>14</v>
      </c>
      <c r="I12266" t="s" s="11">
        <v>14</v>
      </c>
      <c r="J12266" t="s" s="11">
        <v>14</v>
      </c>
      <c r="K12266" t="s" s="12">
        <v>14</v>
      </c>
      <c r="L12266" t="s" s="12">
        <v>14</v>
      </c>
      <c r="M12266" t="s" s="10">
        <v>14</v>
      </c>
      <c r="N12266" t="s" s="11">
        <v>14</v>
      </c>
      <c r="O12266" t="s" s="8">
        <v>14</v>
      </c>
      <c r="P12266" t="s" s="8">
        <v>14</v>
      </c>
      <c r="Q12266" t="s" s="12">
        <v>14</v>
      </c>
      <c r="R12266" t="s" s="12">
        <v>14</v>
      </c>
    </row>
    <row r="12267" s="2" customFormat="1" ht="13.5" customHeight="1">
      <c r="B12267" s="13"/>
      <c r="C12267" t="s" s="9">
        <v>16</v>
      </c>
      <c r="D12267" t="s" s="8">
        <v>4593</v>
      </c>
      <c r="E12267" t="s" s="9">
        <v>4593</v>
      </c>
      <c r="F12267" t="s" s="10">
        <v>220</v>
      </c>
      <c r="G12267" s="14"/>
      <c r="H12267" t="s" s="10">
        <v>115</v>
      </c>
      <c r="I12267" s="14"/>
      <c r="J12267" t="s" s="11">
        <v>20</v>
      </c>
      <c r="K12267" s="15"/>
      <c r="L12267" t="s" s="16">
        <f>HYPERLINK("http://csr.bu.edu/ftp/asl/asllvd/demos/verify_start_end_handshape_annotations//test_auto_move//signs_mov_separ_signers/Liz_1109.mov","MOV")</f>
        <v>21</v>
      </c>
      <c r="M12267" t="s" s="10">
        <v>34</v>
      </c>
      <c r="N12267" s="17">
        <v>13</v>
      </c>
      <c r="O12267" s="18">
        <v>3275</v>
      </c>
      <c r="P12267" s="18">
        <v>3320</v>
      </c>
      <c r="Q12267" s="15"/>
      <c r="R12267" t="s" s="16">
        <f>HYPERLINK("http://secrets.rutgers.edu:8080/data/asl-ftp/asllvd/demos/verify_start_end_handshape_annotations//test_auto_move//signs_mov_separ_signers/Liz_1109.mov","MOV")</f>
        <v>21</v>
      </c>
    </row>
    <row r="12268" s="2" customFormat="1" ht="13.5" customHeight="1">
      <c r="B12268" s="13"/>
      <c r="C12268" t="s" s="9">
        <v>27</v>
      </c>
      <c r="D12268" t="s" s="8">
        <v>4593</v>
      </c>
      <c r="E12268" t="s" s="9">
        <v>4593</v>
      </c>
      <c r="F12268" t="s" s="10">
        <v>220</v>
      </c>
      <c r="G12268" s="14"/>
      <c r="H12268" t="s" s="10">
        <v>115</v>
      </c>
      <c r="I12268" s="14"/>
      <c r="J12268" t="s" s="11">
        <v>20</v>
      </c>
      <c r="K12268" t="s" s="16">
        <f>HYPERLINK("http://csr.bu.edu/ftp/asl/asllvd/demos/verify_start_end_handshape_annotations//test_auto_move//signs_mov/1109.mov","MOV")</f>
        <v>21</v>
      </c>
      <c r="L12268" t="s" s="16">
        <f>HYPERLINK("http://csr.bu.edu/ftp/asl/asllvd/demos/verify_start_end_handshape_annotations//test_auto_move//signs_mov_separ_signers/Naomi_1109.mov","MOV")</f>
        <v>21</v>
      </c>
      <c r="M12268" t="s" s="10">
        <v>38</v>
      </c>
      <c r="N12268" s="17">
        <v>11</v>
      </c>
      <c r="O12268" s="18">
        <v>3351</v>
      </c>
      <c r="P12268" s="18">
        <v>3385</v>
      </c>
      <c r="Q12268" t="s" s="16">
        <f>HYPERLINK("http://secrets.rutgers.edu:8080/data/asl-ftp/asllvd/demos/verify_start_end_handshape_annotations//test_auto_move//signs_mov/1109.mov","MOV")</f>
        <v>21</v>
      </c>
      <c r="R12268" t="s" s="16">
        <f>HYPERLINK("http://secrets.rutgers.edu:8080/data/asl-ftp/asllvd/demos/verify_start_end_handshape_annotations//test_auto_move//signs_mov_separ_signers/Naomi_1109.mov","MOV")</f>
        <v>21</v>
      </c>
    </row>
    <row r="12269" s="2" customFormat="1" ht="13.5" customHeight="1">
      <c r="B12269" s="13"/>
      <c r="C12269" t="s" s="9">
        <v>30</v>
      </c>
      <c r="D12269" t="s" s="8">
        <v>4593</v>
      </c>
      <c r="E12269" t="s" s="9">
        <v>4593</v>
      </c>
      <c r="F12269" t="s" s="10">
        <v>220</v>
      </c>
      <c r="G12269" s="14"/>
      <c r="H12269" t="s" s="10">
        <v>115</v>
      </c>
      <c r="I12269" s="14"/>
      <c r="J12269" t="s" s="11">
        <v>20</v>
      </c>
      <c r="K12269" s="15"/>
      <c r="L12269" t="s" s="16">
        <f>HYPERLINK("http://csr.bu.edu/ftp/asl/asllvd/demos/verify_start_end_handshape_annotations//test_auto_move//signs_mov_separ_signers/Brady_1109.mov","MOV")</f>
        <v>21</v>
      </c>
      <c r="M12269" t="s" s="10">
        <v>39</v>
      </c>
      <c r="N12269" s="17">
        <v>30</v>
      </c>
      <c r="O12269" s="18">
        <v>3107</v>
      </c>
      <c r="P12269" s="18">
        <v>3120</v>
      </c>
      <c r="Q12269" s="15"/>
      <c r="R12269" t="s" s="16">
        <f>HYPERLINK("http://secrets.rutgers.edu:8080/data/asl-ftp/asllvd/demos/verify_start_end_handshape_annotations//test_auto_move//signs_mov_separ_signers/Brady_1109.mov","MOV")</f>
        <v>21</v>
      </c>
    </row>
    <row r="12270" s="2" customFormat="1" ht="13.5" customHeight="1">
      <c r="B12270" t="s" s="8">
        <v>52</v>
      </c>
      <c r="C12270" t="s" s="9">
        <v>53</v>
      </c>
      <c r="D12270" t="s" s="8">
        <v>53</v>
      </c>
      <c r="E12270" t="s" s="9">
        <v>53</v>
      </c>
      <c r="F12270" t="s" s="10">
        <v>53</v>
      </c>
      <c r="G12270" t="s" s="11">
        <v>53</v>
      </c>
      <c r="H12270" t="s" s="10">
        <v>53</v>
      </c>
      <c r="I12270" t="s" s="11">
        <v>53</v>
      </c>
      <c r="J12270" t="s" s="11">
        <v>53</v>
      </c>
      <c r="K12270" t="s" s="12">
        <v>53</v>
      </c>
      <c r="L12270" t="s" s="12">
        <v>53</v>
      </c>
      <c r="M12270" t="s" s="10">
        <v>53</v>
      </c>
      <c r="N12270" t="s" s="11">
        <v>53</v>
      </c>
      <c r="O12270" t="s" s="8">
        <v>53</v>
      </c>
      <c r="P12270" t="s" s="8">
        <v>53</v>
      </c>
      <c r="Q12270" t="s" s="12">
        <v>53</v>
      </c>
      <c r="R12270" t="s" s="12">
        <v>53</v>
      </c>
    </row>
    <row r="12271" s="2" customFormat="1" ht="13.5" customHeight="1">
      <c r="B12271" s="13"/>
      <c r="C12271" t="s" s="9">
        <v>30</v>
      </c>
      <c r="D12271" t="s" s="8">
        <v>4593</v>
      </c>
      <c r="E12271" t="s" s="9">
        <v>4594</v>
      </c>
      <c r="F12271" t="s" s="10">
        <v>220</v>
      </c>
      <c r="G12271" t="s" s="11">
        <v>220</v>
      </c>
      <c r="H12271" t="s" s="10">
        <v>115</v>
      </c>
      <c r="I12271" t="s" s="11">
        <v>115</v>
      </c>
      <c r="J12271" t="s" s="11">
        <v>20</v>
      </c>
      <c r="K12271" t="s" s="16">
        <f>HYPERLINK("http://csr.bu.edu/ftp/asl/asllvd/demos/verify_start_end_handshape_annotations//test_auto_move//signs_mov/5312.mov","MOV")</f>
        <v>21</v>
      </c>
      <c r="L12271" t="s" s="16">
        <f>HYPERLINK("http://csr.bu.edu/ftp/asl/asllvd/demos/verify_start_end_handshape_annotations//test_auto_move//signs_mov_separ_signers/Brady_5312.mov","MOV")</f>
        <v>21</v>
      </c>
      <c r="M12271" t="s" s="10">
        <v>39</v>
      </c>
      <c r="N12271" s="17">
        <v>30</v>
      </c>
      <c r="O12271" s="18">
        <v>3800</v>
      </c>
      <c r="P12271" s="18">
        <v>3820</v>
      </c>
      <c r="Q12271" t="s" s="16">
        <f>HYPERLINK("http://secrets.rutgers.edu:8080/data/asl-ftp/asllvd/demos/verify_start_end_handshape_annotations//test_auto_move//signs_mov/5312.mov","MOV")</f>
        <v>21</v>
      </c>
      <c r="R12271" t="s" s="16">
        <f>HYPERLINK("http://secrets.rutgers.edu:8080/data/asl-ftp/asllvd/demos/verify_start_end_handshape_annotations//test_auto_move//signs_mov_separ_signers/Brady_5312.mov","MOV")</f>
        <v>21</v>
      </c>
    </row>
    <row r="12272" s="2" customFormat="1" ht="13.5" customHeight="1">
      <c r="B12272" t="s" s="8">
        <v>4595</v>
      </c>
      <c r="C12272" t="s" s="9">
        <v>14</v>
      </c>
      <c r="D12272" t="s" s="8">
        <v>14</v>
      </c>
      <c r="E12272" t="s" s="9">
        <v>14</v>
      </c>
      <c r="F12272" t="s" s="10">
        <v>14</v>
      </c>
      <c r="G12272" t="s" s="11">
        <v>14</v>
      </c>
      <c r="H12272" t="s" s="10">
        <v>14</v>
      </c>
      <c r="I12272" t="s" s="11">
        <v>14</v>
      </c>
      <c r="J12272" t="s" s="11">
        <v>14</v>
      </c>
      <c r="K12272" t="s" s="12">
        <v>14</v>
      </c>
      <c r="L12272" t="s" s="12">
        <v>14</v>
      </c>
      <c r="M12272" t="s" s="10">
        <v>14</v>
      </c>
      <c r="N12272" t="s" s="11">
        <v>14</v>
      </c>
      <c r="O12272" t="s" s="8">
        <v>14</v>
      </c>
      <c r="P12272" t="s" s="8">
        <v>14</v>
      </c>
      <c r="Q12272" t="s" s="12">
        <v>14</v>
      </c>
      <c r="R12272" t="s" s="12">
        <v>14</v>
      </c>
    </row>
    <row r="12273" s="2" customFormat="1" ht="13.5" customHeight="1">
      <c r="B12273" s="13"/>
      <c r="C12273" t="s" s="9">
        <v>16</v>
      </c>
      <c r="D12273" t="s" s="8">
        <v>4595</v>
      </c>
      <c r="E12273" t="s" s="9">
        <v>4595</v>
      </c>
      <c r="F12273" t="s" s="10">
        <v>240</v>
      </c>
      <c r="G12273" s="14"/>
      <c r="H12273" t="s" s="10">
        <v>251</v>
      </c>
      <c r="I12273" s="14"/>
      <c r="J12273" t="s" s="11">
        <v>20</v>
      </c>
      <c r="K12273" s="15"/>
      <c r="L12273" t="s" s="16">
        <f>HYPERLINK("http://csr.bu.edu/ftp/asl/asllvd/demos/verify_start_end_handshape_annotations//test_auto_move//signs_mov_separ_signers/Liz_1113.mov","MOV")</f>
        <v>21</v>
      </c>
      <c r="M12273" t="s" s="10">
        <v>34</v>
      </c>
      <c r="N12273" s="17">
        <v>15</v>
      </c>
      <c r="O12273" s="18">
        <v>825</v>
      </c>
      <c r="P12273" s="18">
        <v>865</v>
      </c>
      <c r="Q12273" s="15"/>
      <c r="R12273" t="s" s="16">
        <f>HYPERLINK("http://secrets.rutgers.edu:8080/data/asl-ftp/asllvd/demos/verify_start_end_handshape_annotations//test_auto_move//signs_mov_separ_signers/Liz_1113.mov","MOV")</f>
        <v>21</v>
      </c>
    </row>
    <row r="12274" s="2" customFormat="1" ht="13.5" customHeight="1">
      <c r="B12274" s="13"/>
      <c r="C12274" t="s" s="9">
        <v>23</v>
      </c>
      <c r="D12274" t="s" s="8">
        <v>4595</v>
      </c>
      <c r="E12274" t="s" s="9">
        <v>4595</v>
      </c>
      <c r="F12274" t="s" s="10">
        <v>240</v>
      </c>
      <c r="G12274" s="14"/>
      <c r="H12274" t="s" s="10">
        <v>251</v>
      </c>
      <c r="I12274" s="14"/>
      <c r="J12274" t="s" s="11">
        <v>20</v>
      </c>
      <c r="K12274" t="s" s="16">
        <f>HYPERLINK("http://csr.bu.edu/ftp/asl/asllvd/demos/verify_start_end_handshape_annotations//test_auto_move//signs_mov/1113.mov","MOV")</f>
        <v>21</v>
      </c>
      <c r="L12274" t="s" s="16">
        <f>HYPERLINK("http://csr.bu.edu/ftp/asl/asllvd/demos/verify_start_end_handshape_annotations//test_auto_move//signs_mov_separ_signers/Tyler_1113.mov","MOV")</f>
        <v>21</v>
      </c>
      <c r="M12274" t="s" s="10">
        <v>92</v>
      </c>
      <c r="N12274" s="17">
        <v>44</v>
      </c>
      <c r="O12274" s="18">
        <v>800</v>
      </c>
      <c r="P12274" s="18">
        <v>825</v>
      </c>
      <c r="Q12274" t="s" s="16">
        <f>HYPERLINK("http://secrets.rutgers.edu:8080/data/asl-ftp/asllvd/demos/verify_start_end_handshape_annotations//test_auto_move//signs_mov/1113.mov","MOV")</f>
        <v>21</v>
      </c>
      <c r="R12274" t="s" s="16">
        <f>HYPERLINK("http://secrets.rutgers.edu:8080/data/asl-ftp/asllvd/demos/verify_start_end_handshape_annotations//test_auto_move//signs_mov_separ_signers/Tyler_1113.mov","MOV")</f>
        <v>21</v>
      </c>
    </row>
    <row r="12275" s="2" customFormat="1" ht="13.5" customHeight="1">
      <c r="B12275" s="13"/>
      <c r="C12275" t="s" s="9">
        <v>27</v>
      </c>
      <c r="D12275" t="s" s="8">
        <v>4595</v>
      </c>
      <c r="E12275" t="s" s="9">
        <v>4595</v>
      </c>
      <c r="F12275" t="s" s="10">
        <v>240</v>
      </c>
      <c r="G12275" s="14"/>
      <c r="H12275" t="s" s="10">
        <v>251</v>
      </c>
      <c r="I12275" s="14"/>
      <c r="J12275" t="s" s="11">
        <v>20</v>
      </c>
      <c r="K12275" s="15"/>
      <c r="L12275" t="s" s="16">
        <f>HYPERLINK("http://csr.bu.edu/ftp/asl/asllvd/demos/verify_start_end_handshape_annotations//test_auto_move//signs_mov_separ_signers/Naomi_1113.mov","MOV")</f>
        <v>21</v>
      </c>
      <c r="M12275" t="s" s="10">
        <v>38</v>
      </c>
      <c r="N12275" s="17">
        <v>12</v>
      </c>
      <c r="O12275" s="18">
        <v>1176</v>
      </c>
      <c r="P12275" s="18">
        <v>1208</v>
      </c>
      <c r="Q12275" s="15"/>
      <c r="R12275" t="s" s="16">
        <f>HYPERLINK("http://secrets.rutgers.edu:8080/data/asl-ftp/asllvd/demos/verify_start_end_handshape_annotations//test_auto_move//signs_mov_separ_signers/Naomi_1113.mov","MOV")</f>
        <v>21</v>
      </c>
    </row>
    <row r="12276" s="2" customFormat="1" ht="13.5" customHeight="1">
      <c r="B12276" s="13"/>
      <c r="C12276" t="s" s="9">
        <v>30</v>
      </c>
      <c r="D12276" t="s" s="8">
        <v>4595</v>
      </c>
      <c r="E12276" t="s" s="9">
        <v>4595</v>
      </c>
      <c r="F12276" t="s" s="10">
        <v>240</v>
      </c>
      <c r="G12276" s="14"/>
      <c r="H12276" t="s" s="10">
        <v>251</v>
      </c>
      <c r="I12276" s="14"/>
      <c r="J12276" t="s" s="11">
        <v>20</v>
      </c>
      <c r="K12276" s="15"/>
      <c r="L12276" t="s" s="16">
        <f>HYPERLINK("http://csr.bu.edu/ftp/asl/asllvd/demos/verify_start_end_handshape_annotations//test_auto_move//signs_mov_separ_signers/Brady_1113.mov","MOV")</f>
        <v>21</v>
      </c>
      <c r="M12276" t="s" s="10">
        <v>39</v>
      </c>
      <c r="N12276" s="17">
        <v>30</v>
      </c>
      <c r="O12276" s="18">
        <v>5005</v>
      </c>
      <c r="P12276" s="18">
        <v>5016</v>
      </c>
      <c r="Q12276" s="15"/>
      <c r="R12276" t="s" s="16">
        <f>HYPERLINK("http://secrets.rutgers.edu:8080/data/asl-ftp/asllvd/demos/verify_start_end_handshape_annotations//test_auto_move//signs_mov_separ_signers/Brady_1113.mov","MOV")</f>
        <v>21</v>
      </c>
    </row>
    <row r="12277" s="2" customFormat="1" ht="13.5" customHeight="1">
      <c r="B12277" t="s" s="8">
        <v>4596</v>
      </c>
      <c r="C12277" t="s" s="9">
        <v>14</v>
      </c>
      <c r="D12277" t="s" s="8">
        <v>14</v>
      </c>
      <c r="E12277" t="s" s="9">
        <v>14</v>
      </c>
      <c r="F12277" t="s" s="10">
        <v>14</v>
      </c>
      <c r="G12277" t="s" s="11">
        <v>14</v>
      </c>
      <c r="H12277" t="s" s="10">
        <v>14</v>
      </c>
      <c r="I12277" t="s" s="11">
        <v>14</v>
      </c>
      <c r="J12277" t="s" s="11">
        <v>14</v>
      </c>
      <c r="K12277" t="s" s="12">
        <v>14</v>
      </c>
      <c r="L12277" t="s" s="12">
        <v>14</v>
      </c>
      <c r="M12277" t="s" s="10">
        <v>14</v>
      </c>
      <c r="N12277" t="s" s="11">
        <v>14</v>
      </c>
      <c r="O12277" t="s" s="8">
        <v>14</v>
      </c>
      <c r="P12277" t="s" s="8">
        <v>14</v>
      </c>
      <c r="Q12277" t="s" s="12">
        <v>14</v>
      </c>
      <c r="R12277" t="s" s="12">
        <v>14</v>
      </c>
    </row>
    <row r="12278" s="2" customFormat="1" ht="13.5" customHeight="1">
      <c r="B12278" s="13"/>
      <c r="C12278" t="s" s="9">
        <v>16</v>
      </c>
      <c r="D12278" t="s" s="8">
        <v>4596</v>
      </c>
      <c r="E12278" t="s" s="9">
        <v>4596</v>
      </c>
      <c r="F12278" s="19">
        <v>1</v>
      </c>
      <c r="G12278" s="14"/>
      <c r="H12278" t="s" s="10">
        <v>229</v>
      </c>
      <c r="I12278" s="14"/>
      <c r="J12278" t="s" s="11">
        <v>20</v>
      </c>
      <c r="K12278" s="15"/>
      <c r="L12278" t="s" s="16">
        <f>HYPERLINK("http://csr.bu.edu/ftp/asl/asllvd/demos/verify_start_end_handshape_annotations//test_auto_move//signs_mov_separ_signers/Liz_1119.mov","MOV")</f>
        <v>21</v>
      </c>
      <c r="M12278" t="s" s="10">
        <v>34</v>
      </c>
      <c r="N12278" s="17">
        <v>15</v>
      </c>
      <c r="O12278" s="18">
        <v>2247</v>
      </c>
      <c r="P12278" s="18">
        <v>2290</v>
      </c>
      <c r="Q12278" s="15"/>
      <c r="R12278" t="s" s="16">
        <f>HYPERLINK("http://secrets.rutgers.edu:8080/data/asl-ftp/asllvd/demos/verify_start_end_handshape_annotations//test_auto_move//signs_mov_separ_signers/Liz_1119.mov","MOV")</f>
        <v>21</v>
      </c>
    </row>
    <row r="12279" s="2" customFormat="1" ht="13.5" customHeight="1">
      <c r="B12279" s="13"/>
      <c r="C12279" t="s" s="9">
        <v>16</v>
      </c>
      <c r="D12279" t="s" s="8">
        <v>4596</v>
      </c>
      <c r="E12279" t="s" s="9">
        <v>4596</v>
      </c>
      <c r="F12279" s="19">
        <v>1</v>
      </c>
      <c r="G12279" s="14"/>
      <c r="H12279" t="s" s="10">
        <v>229</v>
      </c>
      <c r="I12279" s="14"/>
      <c r="J12279" t="s" s="11">
        <v>20</v>
      </c>
      <c r="K12279" s="15"/>
      <c r="L12279" t="s" s="16">
        <f>HYPERLINK("http://csr.bu.edu/ftp/asl/asllvd/demos/verify_start_end_handshape_annotations//test_auto_move//signs_mov_separ_signers/Liz_3704.mov","MOV")</f>
        <v>21</v>
      </c>
      <c r="M12279" t="s" s="10">
        <v>88</v>
      </c>
      <c r="N12279" s="17">
        <v>24</v>
      </c>
      <c r="O12279" s="18">
        <v>2610</v>
      </c>
      <c r="P12279" s="18">
        <v>2650</v>
      </c>
      <c r="Q12279" s="15"/>
      <c r="R12279" t="s" s="16">
        <f>HYPERLINK("http://secrets.rutgers.edu:8080/data/asl-ftp/asllvd/demos/verify_start_end_handshape_annotations//test_auto_move//signs_mov_separ_signers/Liz_3704.mov","MOV")</f>
        <v>21</v>
      </c>
    </row>
    <row r="12280" s="2" customFormat="1" ht="13.5" customHeight="1">
      <c r="B12280" s="13"/>
      <c r="C12280" t="s" s="9">
        <v>23</v>
      </c>
      <c r="D12280" t="s" s="8">
        <v>4596</v>
      </c>
      <c r="E12280" t="s" s="9">
        <v>4596</v>
      </c>
      <c r="F12280" s="19">
        <v>1</v>
      </c>
      <c r="G12280" s="14"/>
      <c r="H12280" t="s" s="10">
        <v>229</v>
      </c>
      <c r="I12280" s="14"/>
      <c r="J12280" t="s" s="11">
        <v>20</v>
      </c>
      <c r="K12280" t="s" s="16">
        <f>HYPERLINK("http://csr.bu.edu/ftp/asl/asllvd/demos/verify_start_end_handshape_annotations//test_auto_move//signs_mov/1119_3704_3890_merged.mov","MOV")</f>
        <v>21</v>
      </c>
      <c r="L12280" t="s" s="16">
        <f>HYPERLINK("http://csr.bu.edu/ftp/asl/asllvd/demos/verify_start_end_handshape_annotations//test_auto_move//signs_mov_separ_signers/Tyler_1119.mov","MOV")</f>
        <v>21</v>
      </c>
      <c r="M12280" t="s" s="10">
        <v>92</v>
      </c>
      <c r="N12280" s="17">
        <v>44</v>
      </c>
      <c r="O12280" s="18">
        <v>4125</v>
      </c>
      <c r="P12280" s="18">
        <v>4150</v>
      </c>
      <c r="Q12280" t="s" s="16">
        <f>HYPERLINK("http://secrets.rutgers.edu:8080/data/asl-ftp/asllvd/demos/verify_start_end_handshape_annotations//test_auto_move//signs_mov/1119_3704_3890_merged.mov","MOV")</f>
        <v>21</v>
      </c>
      <c r="R12280" t="s" s="16">
        <f>HYPERLINK("http://secrets.rutgers.edu:8080/data/asl-ftp/asllvd/demos/verify_start_end_handshape_annotations//test_auto_move//signs_mov_separ_signers/Tyler_1119.mov","MOV")</f>
        <v>21</v>
      </c>
    </row>
    <row r="12281" s="2" customFormat="1" ht="13.5" customHeight="1">
      <c r="B12281" s="13"/>
      <c r="C12281" t="s" s="9">
        <v>30</v>
      </c>
      <c r="D12281" t="s" s="8">
        <v>4596</v>
      </c>
      <c r="E12281" t="s" s="9">
        <v>4596</v>
      </c>
      <c r="F12281" s="19">
        <v>1</v>
      </c>
      <c r="G12281" s="14"/>
      <c r="H12281" t="s" s="10">
        <v>229</v>
      </c>
      <c r="I12281" s="14"/>
      <c r="J12281" t="s" s="11">
        <v>20</v>
      </c>
      <c r="K12281" s="15"/>
      <c r="L12281" t="s" s="16">
        <f>HYPERLINK("http://csr.bu.edu/ftp/asl/asllvd/demos/verify_start_end_handshape_annotations//test_auto_move//signs_mov_separ_signers/Brady_1119.mov","MOV")</f>
        <v>21</v>
      </c>
      <c r="M12281" t="s" s="10">
        <v>39</v>
      </c>
      <c r="N12281" s="17">
        <v>30</v>
      </c>
      <c r="O12281" s="18">
        <v>8634</v>
      </c>
      <c r="P12281" s="18">
        <v>8654</v>
      </c>
      <c r="Q12281" s="15"/>
      <c r="R12281" t="s" s="16">
        <f>HYPERLINK("http://secrets.rutgers.edu:8080/data/asl-ftp/asllvd/demos/verify_start_end_handshape_annotations//test_auto_move//signs_mov_separ_signers/Brady_1119.mov","MOV")</f>
        <v>21</v>
      </c>
    </row>
    <row r="12282" s="2" customFormat="1" ht="13.5" customHeight="1">
      <c r="B12282" s="13"/>
      <c r="C12282" t="s" s="9">
        <v>30</v>
      </c>
      <c r="D12282" t="s" s="8">
        <v>4596</v>
      </c>
      <c r="E12282" t="s" s="9">
        <v>4596</v>
      </c>
      <c r="F12282" s="19">
        <v>1</v>
      </c>
      <c r="G12282" s="14"/>
      <c r="H12282" t="s" s="10">
        <v>229</v>
      </c>
      <c r="I12282" s="14"/>
      <c r="J12282" t="s" s="11">
        <v>20</v>
      </c>
      <c r="K12282" s="15"/>
      <c r="L12282" t="s" s="16">
        <f>HYPERLINK("http://csr.bu.edu/ftp/asl/asllvd/demos/verify_start_end_handshape_annotations//test_auto_move//signs_mov_separ_signers/Brady_3704.mov","MOV")</f>
        <v>21</v>
      </c>
      <c r="M12282" t="s" s="10">
        <v>40</v>
      </c>
      <c r="N12282" s="17">
        <v>19</v>
      </c>
      <c r="O12282" s="18">
        <v>3542</v>
      </c>
      <c r="P12282" s="18">
        <v>3566</v>
      </c>
      <c r="Q12282" s="15"/>
      <c r="R12282" t="s" s="16">
        <f>HYPERLINK("http://secrets.rutgers.edu:8080/data/asl-ftp/asllvd/demos/verify_start_end_handshape_annotations//test_auto_move//signs_mov_separ_signers/Brady_3704.mov","MOV")</f>
        <v>21</v>
      </c>
    </row>
    <row r="12283" s="2" customFormat="1" ht="13.5" customHeight="1">
      <c r="B12283" s="13"/>
      <c r="C12283" t="s" s="9">
        <v>30</v>
      </c>
      <c r="D12283" t="s" s="8">
        <v>4596</v>
      </c>
      <c r="E12283" t="s" s="9">
        <v>4596</v>
      </c>
      <c r="F12283" s="19">
        <v>1</v>
      </c>
      <c r="G12283" s="14"/>
      <c r="H12283" t="s" s="10">
        <v>229</v>
      </c>
      <c r="I12283" s="14"/>
      <c r="J12283" t="s" s="11">
        <v>20</v>
      </c>
      <c r="K12283" s="15"/>
      <c r="L12283" t="s" s="16">
        <f>HYPERLINK("http://csr.bu.edu/ftp/asl/asllvd/demos/verify_start_end_handshape_annotations//test_auto_move//signs_mov_separ_signers/Brady_3890.mov","MOV")</f>
        <v>21</v>
      </c>
      <c r="M12283" t="s" s="10">
        <v>40</v>
      </c>
      <c r="N12283" s="17">
        <v>20</v>
      </c>
      <c r="O12283" s="18">
        <v>190</v>
      </c>
      <c r="P12283" s="18">
        <v>212</v>
      </c>
      <c r="Q12283" s="15"/>
      <c r="R12283" t="s" s="16">
        <f>HYPERLINK("http://secrets.rutgers.edu:8080/data/asl-ftp/asllvd/demos/verify_start_end_handshape_annotations//test_auto_move//signs_mov_separ_signers/Brady_3890.mov","MOV")</f>
        <v>21</v>
      </c>
    </row>
    <row r="12284" s="2" customFormat="1" ht="13.5" customHeight="1">
      <c r="B12284" t="s" s="8">
        <v>52</v>
      </c>
      <c r="C12284" t="s" s="9">
        <v>53</v>
      </c>
      <c r="D12284" t="s" s="8">
        <v>53</v>
      </c>
      <c r="E12284" t="s" s="9">
        <v>53</v>
      </c>
      <c r="F12284" t="s" s="10">
        <v>53</v>
      </c>
      <c r="G12284" t="s" s="11">
        <v>53</v>
      </c>
      <c r="H12284" t="s" s="10">
        <v>53</v>
      </c>
      <c r="I12284" t="s" s="11">
        <v>53</v>
      </c>
      <c r="J12284" t="s" s="11">
        <v>53</v>
      </c>
      <c r="K12284" t="s" s="12">
        <v>53</v>
      </c>
      <c r="L12284" t="s" s="12">
        <v>53</v>
      </c>
      <c r="M12284" t="s" s="10">
        <v>53</v>
      </c>
      <c r="N12284" t="s" s="11">
        <v>53</v>
      </c>
      <c r="O12284" t="s" s="8">
        <v>53</v>
      </c>
      <c r="P12284" t="s" s="8">
        <v>53</v>
      </c>
      <c r="Q12284" t="s" s="12">
        <v>53</v>
      </c>
      <c r="R12284" t="s" s="12">
        <v>53</v>
      </c>
    </row>
    <row r="12285" s="2" customFormat="1" ht="13.5" customHeight="1">
      <c r="B12285" s="13"/>
      <c r="C12285" t="s" s="9">
        <v>16</v>
      </c>
      <c r="D12285" t="s" s="8">
        <v>4596</v>
      </c>
      <c r="E12285" t="s" s="9">
        <v>4597</v>
      </c>
      <c r="F12285" s="19">
        <v>1</v>
      </c>
      <c r="G12285" s="14"/>
      <c r="H12285" t="s" s="10">
        <v>229</v>
      </c>
      <c r="I12285" s="14"/>
      <c r="J12285" t="s" s="11">
        <v>20</v>
      </c>
      <c r="K12285" t="s" s="16">
        <f>HYPERLINK("http://csr.bu.edu/ftp/asl/asllvd/demos/verify_start_end_handshape_annotations//test_auto_move//signs_mov/15183.mov","MOV")</f>
        <v>21</v>
      </c>
      <c r="L12285" t="s" s="16">
        <f>HYPERLINK("http://csr.bu.edu/ftp/asl/asllvd/demos/verify_start_end_handshape_annotations//test_auto_move//signs_mov_separ_signers/Liz_15183.mov","MOV")</f>
        <v>21</v>
      </c>
      <c r="M12285" t="s" s="10">
        <v>88</v>
      </c>
      <c r="N12285" s="17">
        <v>24</v>
      </c>
      <c r="O12285" s="18">
        <v>2821</v>
      </c>
      <c r="P12285" s="18">
        <v>2865</v>
      </c>
      <c r="Q12285" t="s" s="16">
        <f>HYPERLINK("http://secrets.rutgers.edu:8080/data/asl-ftp/asllvd/demos/verify_start_end_handshape_annotations//test_auto_move//signs_mov/15183.mov","MOV")</f>
        <v>21</v>
      </c>
      <c r="R12285" t="s" s="16">
        <f>HYPERLINK("http://secrets.rutgers.edu:8080/data/asl-ftp/asllvd/demos/verify_start_end_handshape_annotations//test_auto_move//signs_mov_separ_signers/Liz_15183.mov","MOV")</f>
        <v>21</v>
      </c>
    </row>
    <row r="12286" s="2" customFormat="1" ht="13.5" customHeight="1">
      <c r="B12286" t="s" s="8">
        <v>4598</v>
      </c>
      <c r="C12286" t="s" s="9">
        <v>14</v>
      </c>
      <c r="D12286" t="s" s="8">
        <v>14</v>
      </c>
      <c r="E12286" t="s" s="9">
        <v>14</v>
      </c>
      <c r="F12286" t="s" s="10">
        <v>14</v>
      </c>
      <c r="G12286" t="s" s="11">
        <v>14</v>
      </c>
      <c r="H12286" t="s" s="10">
        <v>14</v>
      </c>
      <c r="I12286" t="s" s="11">
        <v>14</v>
      </c>
      <c r="J12286" t="s" s="11">
        <v>14</v>
      </c>
      <c r="K12286" t="s" s="12">
        <v>14</v>
      </c>
      <c r="L12286" t="s" s="12">
        <v>14</v>
      </c>
      <c r="M12286" t="s" s="10">
        <v>14</v>
      </c>
      <c r="N12286" t="s" s="11">
        <v>14</v>
      </c>
      <c r="O12286" t="s" s="8">
        <v>14</v>
      </c>
      <c r="P12286" t="s" s="8">
        <v>14</v>
      </c>
      <c r="Q12286" t="s" s="12">
        <v>14</v>
      </c>
      <c r="R12286" t="s" s="12">
        <v>14</v>
      </c>
    </row>
    <row r="12287" s="2" customFormat="1" ht="13.5" customHeight="1">
      <c r="B12287" s="13"/>
      <c r="C12287" t="s" s="9">
        <v>16</v>
      </c>
      <c r="D12287" t="s" s="8">
        <v>4598</v>
      </c>
      <c r="E12287" t="s" s="9">
        <v>4598</v>
      </c>
      <c r="F12287" s="19">
        <v>1</v>
      </c>
      <c r="G12287" s="14"/>
      <c r="H12287" t="s" s="10">
        <v>229</v>
      </c>
      <c r="I12287" s="14"/>
      <c r="J12287" t="s" s="11">
        <v>20</v>
      </c>
      <c r="K12287" t="s" s="16">
        <f>HYPERLINK("http://csr.bu.edu/ftp/asl/asllvd/demos/verify_start_end_handshape_annotations//test_auto_move//signs_mov/16253.mov","MOV")</f>
        <v>21</v>
      </c>
      <c r="L12287" t="s" s="16">
        <f>HYPERLINK("http://csr.bu.edu/ftp/asl/asllvd/demos/verify_start_end_handshape_annotations//test_auto_move//signs_mov_separ_signers/Liz_16253.mov","MOV")</f>
        <v>21</v>
      </c>
      <c r="M12287" t="s" s="10">
        <v>77</v>
      </c>
      <c r="N12287" s="17">
        <v>16</v>
      </c>
      <c r="O12287" s="18">
        <v>1115</v>
      </c>
      <c r="P12287" s="18">
        <v>1157</v>
      </c>
      <c r="Q12287" t="s" s="16">
        <f>HYPERLINK("http://secrets.rutgers.edu:8080/data/asl-ftp/asllvd/demos/verify_start_end_handshape_annotations//test_auto_move//signs_mov/16253.mov","MOV")</f>
        <v>21</v>
      </c>
      <c r="R12287" t="s" s="16">
        <f>HYPERLINK("http://secrets.rutgers.edu:8080/data/asl-ftp/asllvd/demos/verify_start_end_handshape_annotations//test_auto_move//signs_mov_separ_signers/Liz_16253.mov","MOV")</f>
        <v>21</v>
      </c>
    </row>
    <row r="12288" s="2" customFormat="1" ht="13.5" customHeight="1">
      <c r="B12288" s="13"/>
      <c r="C12288" t="s" s="9">
        <v>30</v>
      </c>
      <c r="D12288" t="s" s="8">
        <v>4598</v>
      </c>
      <c r="E12288" t="s" s="9">
        <v>4598</v>
      </c>
      <c r="F12288" s="19">
        <v>1</v>
      </c>
      <c r="G12288" s="14"/>
      <c r="H12288" t="s" s="10">
        <v>229</v>
      </c>
      <c r="I12288" s="14"/>
      <c r="J12288" t="s" s="11">
        <v>20</v>
      </c>
      <c r="K12288" s="15"/>
      <c r="L12288" t="s" s="16">
        <f>HYPERLINK("http://csr.bu.edu/ftp/asl/asllvd/demos/verify_start_end_handshape_annotations//test_auto_move//signs_mov_separ_signers/Brady_16253.mov","MOV")</f>
        <v>21</v>
      </c>
      <c r="M12288" t="s" s="10">
        <v>39</v>
      </c>
      <c r="N12288" s="17">
        <v>30</v>
      </c>
      <c r="O12288" s="18">
        <v>9474</v>
      </c>
      <c r="P12288" s="18">
        <v>9505</v>
      </c>
      <c r="Q12288" s="15"/>
      <c r="R12288" t="s" s="16">
        <f>HYPERLINK("http://secrets.rutgers.edu:8080/data/asl-ftp/asllvd/demos/verify_start_end_handshape_annotations//test_auto_move//signs_mov_separ_signers/Brady_16253.mov","MOV")</f>
        <v>21</v>
      </c>
    </row>
    <row r="12289" s="2" customFormat="1" ht="13.5" customHeight="1">
      <c r="B12289" t="s" s="8">
        <v>4599</v>
      </c>
      <c r="C12289" t="s" s="9">
        <v>14</v>
      </c>
      <c r="D12289" t="s" s="8">
        <v>14</v>
      </c>
      <c r="E12289" t="s" s="9">
        <v>14</v>
      </c>
      <c r="F12289" t="s" s="10">
        <v>14</v>
      </c>
      <c r="G12289" t="s" s="11">
        <v>14</v>
      </c>
      <c r="H12289" t="s" s="10">
        <v>14</v>
      </c>
      <c r="I12289" t="s" s="11">
        <v>14</v>
      </c>
      <c r="J12289" t="s" s="11">
        <v>14</v>
      </c>
      <c r="K12289" t="s" s="12">
        <v>14</v>
      </c>
      <c r="L12289" t="s" s="12">
        <v>14</v>
      </c>
      <c r="M12289" t="s" s="10">
        <v>14</v>
      </c>
      <c r="N12289" t="s" s="11">
        <v>14</v>
      </c>
      <c r="O12289" t="s" s="8">
        <v>14</v>
      </c>
      <c r="P12289" t="s" s="8">
        <v>14</v>
      </c>
      <c r="Q12289" t="s" s="12">
        <v>14</v>
      </c>
      <c r="R12289" t="s" s="12">
        <v>14</v>
      </c>
    </row>
    <row r="12290" s="2" customFormat="1" ht="13.5" customHeight="1">
      <c r="B12290" s="13"/>
      <c r="C12290" t="s" s="9">
        <v>16</v>
      </c>
      <c r="D12290" t="s" s="8">
        <v>4599</v>
      </c>
      <c r="E12290" t="s" s="9">
        <v>4599</v>
      </c>
      <c r="F12290" t="s" s="10">
        <v>63</v>
      </c>
      <c r="G12290" s="14"/>
      <c r="H12290" t="s" s="10">
        <v>63</v>
      </c>
      <c r="I12290" t="s" s="11">
        <v>260</v>
      </c>
      <c r="J12290" t="s" s="11">
        <v>20</v>
      </c>
      <c r="K12290" s="15"/>
      <c r="L12290" t="s" s="16">
        <f>HYPERLINK("http://csr.bu.edu/ftp/asl/asllvd/demos/verify_start_end_handshape_annotations//test_auto_move//signs_mov_separ_signers/Liz_1171.mov","MOV")</f>
        <v>21</v>
      </c>
      <c r="M12290" t="s" s="10">
        <v>34</v>
      </c>
      <c r="N12290" s="17">
        <v>22</v>
      </c>
      <c r="O12290" s="18">
        <v>560</v>
      </c>
      <c r="P12290" s="18">
        <v>611</v>
      </c>
      <c r="Q12290" s="15"/>
      <c r="R12290" t="s" s="16">
        <f>HYPERLINK("http://secrets.rutgers.edu:8080/data/asl-ftp/asllvd/demos/verify_start_end_handshape_annotations//test_auto_move//signs_mov_separ_signers/Liz_1171.mov","MOV")</f>
        <v>21</v>
      </c>
    </row>
    <row r="12291" s="2" customFormat="1" ht="13.5" customHeight="1">
      <c r="B12291" s="13"/>
      <c r="C12291" t="s" s="9">
        <v>23</v>
      </c>
      <c r="D12291" t="s" s="8">
        <v>4599</v>
      </c>
      <c r="E12291" t="s" s="9">
        <v>4599</v>
      </c>
      <c r="F12291" t="s" s="10">
        <v>63</v>
      </c>
      <c r="G12291" s="14"/>
      <c r="H12291" t="s" s="10">
        <v>63</v>
      </c>
      <c r="I12291" t="s" s="11">
        <v>150</v>
      </c>
      <c r="J12291" t="s" s="11">
        <v>20</v>
      </c>
      <c r="K12291" s="15"/>
      <c r="L12291" t="s" s="16">
        <f>HYPERLINK("http://csr.bu.edu/ftp/asl/asllvd/demos/verify_start_end_handshape_annotations//test_auto_move//signs_mov_separ_signers/Tyler_1171.mov","MOV")</f>
        <v>21</v>
      </c>
      <c r="M12291" t="s" s="10">
        <v>92</v>
      </c>
      <c r="N12291" s="17">
        <v>50</v>
      </c>
      <c r="O12291" s="18">
        <v>246</v>
      </c>
      <c r="P12291" s="18">
        <v>280</v>
      </c>
      <c r="Q12291" s="15"/>
      <c r="R12291" t="s" s="16">
        <f>HYPERLINK("http://secrets.rutgers.edu:8080/data/asl-ftp/asllvd/demos/verify_start_end_handshape_annotations//test_auto_move//signs_mov_separ_signers/Tyler_1171.mov","MOV")</f>
        <v>21</v>
      </c>
    </row>
    <row r="12292" s="2" customFormat="1" ht="13.5" customHeight="1">
      <c r="B12292" s="13"/>
      <c r="C12292" t="s" s="9">
        <v>27</v>
      </c>
      <c r="D12292" t="s" s="8">
        <v>4599</v>
      </c>
      <c r="E12292" t="s" s="9">
        <v>4599</v>
      </c>
      <c r="F12292" t="s" s="10">
        <v>63</v>
      </c>
      <c r="G12292" t="s" s="11">
        <v>85</v>
      </c>
      <c r="H12292" t="s" s="10">
        <v>63</v>
      </c>
      <c r="I12292" t="s" s="11">
        <v>85</v>
      </c>
      <c r="J12292" t="s" s="11">
        <v>20</v>
      </c>
      <c r="K12292" t="s" s="16">
        <f>HYPERLINK("http://csr.bu.edu/ftp/asl/asllvd/demos/verify_start_end_handshape_annotations//test_auto_move//signs_mov/1171.mov","MOV")</f>
        <v>21</v>
      </c>
      <c r="L12292" t="s" s="16">
        <f>HYPERLINK("http://csr.bu.edu/ftp/asl/asllvd/demos/verify_start_end_handshape_annotations//test_auto_move//signs_mov_separ_signers/Naomi_1171.mov","MOV")</f>
        <v>21</v>
      </c>
      <c r="M12292" t="s" s="10">
        <v>38</v>
      </c>
      <c r="N12292" s="17">
        <v>18</v>
      </c>
      <c r="O12292" s="18">
        <v>295</v>
      </c>
      <c r="P12292" s="18">
        <v>329</v>
      </c>
      <c r="Q12292" t="s" s="16">
        <f>HYPERLINK("http://secrets.rutgers.edu:8080/data/asl-ftp/asllvd/demos/verify_start_end_handshape_annotations//test_auto_move//signs_mov/1171.mov","MOV")</f>
        <v>21</v>
      </c>
      <c r="R12292" t="s" s="16">
        <f>HYPERLINK("http://secrets.rutgers.edu:8080/data/asl-ftp/asllvd/demos/verify_start_end_handshape_annotations//test_auto_move//signs_mov_separ_signers/Naomi_1171.mov","MOV")</f>
        <v>21</v>
      </c>
    </row>
    <row r="12293" s="2" customFormat="1" ht="13.5" customHeight="1">
      <c r="B12293" s="13"/>
      <c r="C12293" t="s" s="9">
        <v>30</v>
      </c>
      <c r="D12293" t="s" s="8">
        <v>4599</v>
      </c>
      <c r="E12293" t="s" s="9">
        <v>4599</v>
      </c>
      <c r="F12293" t="s" s="10">
        <v>63</v>
      </c>
      <c r="G12293" t="s" s="11">
        <v>260</v>
      </c>
      <c r="H12293" t="s" s="10">
        <v>63</v>
      </c>
      <c r="I12293" t="s" s="11">
        <v>260</v>
      </c>
      <c r="J12293" t="s" s="11">
        <v>20</v>
      </c>
      <c r="K12293" s="15"/>
      <c r="L12293" t="s" s="16">
        <f>HYPERLINK("http://csr.bu.edu/ftp/asl/asllvd/demos/verify_start_end_handshape_annotations//test_auto_move//signs_mov_separ_signers/Brady_1171.mov","MOV")</f>
        <v>21</v>
      </c>
      <c r="M12293" t="s" s="10">
        <v>39</v>
      </c>
      <c r="N12293" s="17">
        <v>34</v>
      </c>
      <c r="O12293" s="18">
        <v>246</v>
      </c>
      <c r="P12293" s="18">
        <v>269</v>
      </c>
      <c r="Q12293" s="15"/>
      <c r="R12293" t="s" s="16">
        <f>HYPERLINK("http://secrets.rutgers.edu:8080/data/asl-ftp/asllvd/demos/verify_start_end_handshape_annotations//test_auto_move//signs_mov_separ_signers/Brady_1171.mov","MOV")</f>
        <v>21</v>
      </c>
    </row>
    <row r="12294" s="2" customFormat="1" ht="13.5" customHeight="1">
      <c r="B12294" s="13"/>
      <c r="C12294" t="s" s="9">
        <v>41</v>
      </c>
      <c r="D12294" t="s" s="8">
        <v>4599</v>
      </c>
      <c r="E12294" t="s" s="9">
        <v>4599</v>
      </c>
      <c r="F12294" t="s" s="10">
        <v>63</v>
      </c>
      <c r="G12294" s="14"/>
      <c r="H12294" t="s" s="10">
        <v>63</v>
      </c>
      <c r="I12294" t="s" s="11">
        <v>150</v>
      </c>
      <c r="J12294" t="s" s="11">
        <v>20</v>
      </c>
      <c r="K12294" s="15"/>
      <c r="L12294" t="s" s="16">
        <f>HYPERLINK("http://csr.bu.edu/ftp/asl/asllvd/demos/verify_start_end_handshape_annotations//test_auto_move//signs_mov_separ_signers/Lana_1171.mov","MOV")</f>
        <v>21</v>
      </c>
      <c r="M12294" t="s" s="10">
        <v>42</v>
      </c>
      <c r="N12294" s="17">
        <v>12</v>
      </c>
      <c r="O12294" s="18">
        <v>2866</v>
      </c>
      <c r="P12294" s="18">
        <v>2912</v>
      </c>
      <c r="Q12294" s="15"/>
      <c r="R12294" t="s" s="16">
        <f>HYPERLINK("http://secrets.rutgers.edu:8080/data/asl-ftp/asllvd/demos/verify_start_end_handshape_annotations//test_auto_move//signs_mov_separ_signers/Lana_1171.mov","MOV")</f>
        <v>21</v>
      </c>
    </row>
    <row r="12295" s="2" customFormat="1" ht="13.5" customHeight="1">
      <c r="B12295" t="s" s="8">
        <v>4600</v>
      </c>
      <c r="C12295" t="s" s="9">
        <v>14</v>
      </c>
      <c r="D12295" t="s" s="8">
        <v>14</v>
      </c>
      <c r="E12295" t="s" s="9">
        <v>14</v>
      </c>
      <c r="F12295" t="s" s="10">
        <v>14</v>
      </c>
      <c r="G12295" t="s" s="11">
        <v>14</v>
      </c>
      <c r="H12295" t="s" s="10">
        <v>14</v>
      </c>
      <c r="I12295" t="s" s="11">
        <v>14</v>
      </c>
      <c r="J12295" t="s" s="11">
        <v>14</v>
      </c>
      <c r="K12295" t="s" s="12">
        <v>14</v>
      </c>
      <c r="L12295" t="s" s="12">
        <v>14</v>
      </c>
      <c r="M12295" t="s" s="10">
        <v>14</v>
      </c>
      <c r="N12295" t="s" s="11">
        <v>14</v>
      </c>
      <c r="O12295" t="s" s="8">
        <v>14</v>
      </c>
      <c r="P12295" t="s" s="8">
        <v>14</v>
      </c>
      <c r="Q12295" t="s" s="12">
        <v>14</v>
      </c>
      <c r="R12295" t="s" s="12">
        <v>14</v>
      </c>
    </row>
    <row r="12296" s="2" customFormat="1" ht="13.5" customHeight="1">
      <c r="B12296" s="13"/>
      <c r="C12296" t="s" s="9">
        <v>16</v>
      </c>
      <c r="D12296" t="s" s="8">
        <v>4600</v>
      </c>
      <c r="E12296" t="s" s="9">
        <v>4600</v>
      </c>
      <c r="F12296" t="s" s="10">
        <v>282</v>
      </c>
      <c r="G12296" s="14"/>
      <c r="H12296" t="s" s="10">
        <v>282</v>
      </c>
      <c r="I12296" s="14"/>
      <c r="J12296" t="s" s="11">
        <v>20</v>
      </c>
      <c r="K12296" t="s" s="16">
        <f>HYPERLINK("http://csr.bu.edu/ftp/asl/asllvd/demos/verify_start_end_handshape_annotations//test_auto_move//signs_mov/1184.mov","MOV")</f>
        <v>21</v>
      </c>
      <c r="L12296" t="s" s="16">
        <f>HYPERLINK("http://csr.bu.edu/ftp/asl/asllvd/demos/verify_start_end_handshape_annotations//test_auto_move//signs_mov_separ_signers/Liz_1184.mov","MOV")</f>
        <v>21</v>
      </c>
      <c r="M12296" t="s" s="10">
        <v>34</v>
      </c>
      <c r="N12296" s="17">
        <v>23</v>
      </c>
      <c r="O12296" s="18">
        <v>1052</v>
      </c>
      <c r="P12296" s="18">
        <v>1090</v>
      </c>
      <c r="Q12296" t="s" s="16">
        <f>HYPERLINK("http://secrets.rutgers.edu:8080/data/asl-ftp/asllvd/demos/verify_start_end_handshape_annotations//test_auto_move//signs_mov/1184.mov","MOV")</f>
        <v>21</v>
      </c>
      <c r="R12296" t="s" s="16">
        <f>HYPERLINK("http://secrets.rutgers.edu:8080/data/asl-ftp/asllvd/demos/verify_start_end_handshape_annotations//test_auto_move//signs_mov_separ_signers/Liz_1184.mov","MOV")</f>
        <v>21</v>
      </c>
    </row>
    <row r="12297" s="2" customFormat="1" ht="13.5" customHeight="1">
      <c r="B12297" s="13"/>
      <c r="C12297" t="s" s="9">
        <v>27</v>
      </c>
      <c r="D12297" t="s" s="8">
        <v>4600</v>
      </c>
      <c r="E12297" t="s" s="9">
        <v>4600</v>
      </c>
      <c r="F12297" t="s" s="10">
        <v>282</v>
      </c>
      <c r="G12297" s="14"/>
      <c r="H12297" t="s" s="10">
        <v>282</v>
      </c>
      <c r="I12297" s="14"/>
      <c r="J12297" t="s" s="11">
        <v>20</v>
      </c>
      <c r="K12297" s="15"/>
      <c r="L12297" t="s" s="16">
        <f>HYPERLINK("http://csr.bu.edu/ftp/asl/asllvd/demos/verify_start_end_handshape_annotations//test_auto_move//signs_mov_separ_signers/Naomi_1184.mov","MOV")</f>
        <v>21</v>
      </c>
      <c r="M12297" t="s" s="10">
        <v>38</v>
      </c>
      <c r="N12297" s="17">
        <v>19</v>
      </c>
      <c r="O12297" s="18">
        <v>1560</v>
      </c>
      <c r="P12297" s="18">
        <v>1633</v>
      </c>
      <c r="Q12297" s="15"/>
      <c r="R12297" t="s" s="16">
        <f>HYPERLINK("http://secrets.rutgers.edu:8080/data/asl-ftp/asllvd/demos/verify_start_end_handshape_annotations//test_auto_move//signs_mov_separ_signers/Naomi_1184.mov","MOV")</f>
        <v>21</v>
      </c>
    </row>
    <row r="12298" s="2" customFormat="1" ht="13.5" customHeight="1">
      <c r="B12298" t="s" s="8">
        <v>52</v>
      </c>
      <c r="C12298" t="s" s="9">
        <v>53</v>
      </c>
      <c r="D12298" t="s" s="8">
        <v>53</v>
      </c>
      <c r="E12298" t="s" s="9">
        <v>53</v>
      </c>
      <c r="F12298" t="s" s="10">
        <v>53</v>
      </c>
      <c r="G12298" t="s" s="11">
        <v>53</v>
      </c>
      <c r="H12298" t="s" s="10">
        <v>53</v>
      </c>
      <c r="I12298" t="s" s="11">
        <v>53</v>
      </c>
      <c r="J12298" t="s" s="11">
        <v>53</v>
      </c>
      <c r="K12298" t="s" s="12">
        <v>53</v>
      </c>
      <c r="L12298" t="s" s="12">
        <v>53</v>
      </c>
      <c r="M12298" t="s" s="10">
        <v>53</v>
      </c>
      <c r="N12298" t="s" s="11">
        <v>53</v>
      </c>
      <c r="O12298" t="s" s="8">
        <v>53</v>
      </c>
      <c r="P12298" t="s" s="8">
        <v>53</v>
      </c>
      <c r="Q12298" t="s" s="12">
        <v>53</v>
      </c>
      <c r="R12298" t="s" s="12">
        <v>53</v>
      </c>
    </row>
    <row r="12299" s="2" customFormat="1" ht="13.5" customHeight="1">
      <c r="B12299" s="13"/>
      <c r="C12299" t="s" s="9">
        <v>23</v>
      </c>
      <c r="D12299" t="s" s="8">
        <v>4600</v>
      </c>
      <c r="E12299" t="s" s="9">
        <v>4601</v>
      </c>
      <c r="F12299" t="s" s="10">
        <v>282</v>
      </c>
      <c r="G12299" t="s" s="11">
        <v>73</v>
      </c>
      <c r="H12299" t="s" s="10">
        <v>282</v>
      </c>
      <c r="I12299" t="s" s="11">
        <v>73</v>
      </c>
      <c r="J12299" t="s" s="11">
        <v>20</v>
      </c>
      <c r="K12299" t="s" s="16">
        <f>HYPERLINK("http://csr.bu.edu/ftp/asl/asllvd/demos/verify_start_end_handshape_annotations//test_auto_move//signs_mov/5217.mov","MOV")</f>
        <v>21</v>
      </c>
      <c r="L12299" t="s" s="16">
        <f>HYPERLINK("http://csr.bu.edu/ftp/asl/asllvd/demos/verify_start_end_handshape_annotations//test_auto_move//signs_mov_separ_signers/Tyler_5217.mov","MOV")</f>
        <v>21</v>
      </c>
      <c r="M12299" t="s" s="10">
        <v>92</v>
      </c>
      <c r="N12299" s="17">
        <v>51</v>
      </c>
      <c r="O12299" s="18">
        <v>1275</v>
      </c>
      <c r="P12299" s="18">
        <v>1310</v>
      </c>
      <c r="Q12299" t="s" s="16">
        <f>HYPERLINK("http://secrets.rutgers.edu:8080/data/asl-ftp/asllvd/demos/verify_start_end_handshape_annotations//test_auto_move//signs_mov/5217.mov","MOV")</f>
        <v>21</v>
      </c>
      <c r="R12299" t="s" s="16">
        <f>HYPERLINK("http://secrets.rutgers.edu:8080/data/asl-ftp/asllvd/demos/verify_start_end_handshape_annotations//test_auto_move//signs_mov_separ_signers/Tyler_5217.mov","MOV")</f>
        <v>21</v>
      </c>
    </row>
    <row r="12300" s="2" customFormat="1" ht="13.5" customHeight="1">
      <c r="B12300" t="s" s="8">
        <v>4602</v>
      </c>
      <c r="C12300" t="s" s="9">
        <v>14</v>
      </c>
      <c r="D12300" t="s" s="8">
        <v>14</v>
      </c>
      <c r="E12300" t="s" s="9">
        <v>14</v>
      </c>
      <c r="F12300" t="s" s="10">
        <v>14</v>
      </c>
      <c r="G12300" t="s" s="11">
        <v>14</v>
      </c>
      <c r="H12300" t="s" s="10">
        <v>14</v>
      </c>
      <c r="I12300" t="s" s="11">
        <v>14</v>
      </c>
      <c r="J12300" t="s" s="11">
        <v>14</v>
      </c>
      <c r="K12300" t="s" s="12">
        <v>14</v>
      </c>
      <c r="L12300" t="s" s="12">
        <v>14</v>
      </c>
      <c r="M12300" t="s" s="10">
        <v>14</v>
      </c>
      <c r="N12300" t="s" s="11">
        <v>14</v>
      </c>
      <c r="O12300" t="s" s="8">
        <v>14</v>
      </c>
      <c r="P12300" t="s" s="8">
        <v>14</v>
      </c>
      <c r="Q12300" t="s" s="12">
        <v>14</v>
      </c>
      <c r="R12300" t="s" s="12">
        <v>14</v>
      </c>
    </row>
    <row r="12301" s="2" customFormat="1" ht="13.5" customHeight="1">
      <c r="B12301" s="13"/>
      <c r="C12301" t="s" s="9">
        <v>16</v>
      </c>
      <c r="D12301" t="s" s="8">
        <v>4602</v>
      </c>
      <c r="E12301" t="s" s="9">
        <v>4603</v>
      </c>
      <c r="F12301" t="s" s="10">
        <v>341</v>
      </c>
      <c r="G12301" t="s" s="11">
        <v>73</v>
      </c>
      <c r="H12301" s="19">
        <v>3</v>
      </c>
      <c r="I12301" t="s" s="11">
        <v>73</v>
      </c>
      <c r="J12301" t="s" s="11">
        <v>20</v>
      </c>
      <c r="K12301" s="15"/>
      <c r="L12301" t="s" s="16">
        <f>HYPERLINK("http://csr.bu.edu/ftp/asl/asllvd/demos/verify_start_end_handshape_annotations//test_auto_move//signs_mov_separ_signers/Liz_1198.mov","MOV")</f>
        <v>21</v>
      </c>
      <c r="M12301" t="s" s="10">
        <v>34</v>
      </c>
      <c r="N12301" s="17">
        <v>24</v>
      </c>
      <c r="O12301" s="18">
        <v>2163</v>
      </c>
      <c r="P12301" s="18">
        <v>2255</v>
      </c>
      <c r="Q12301" s="15"/>
      <c r="R12301" t="s" s="16">
        <f>HYPERLINK("http://secrets.rutgers.edu:8080/data/asl-ftp/asllvd/demos/verify_start_end_handshape_annotations//test_auto_move//signs_mov_separ_signers/Liz_1198.mov","MOV")</f>
        <v>21</v>
      </c>
    </row>
    <row r="12302" s="2" customFormat="1" ht="13.5" customHeight="1">
      <c r="B12302" s="13"/>
      <c r="C12302" t="s" s="9">
        <v>27</v>
      </c>
      <c r="D12302" t="s" s="8">
        <v>4602</v>
      </c>
      <c r="E12302" t="s" s="9">
        <v>4603</v>
      </c>
      <c r="F12302" t="s" s="10">
        <v>341</v>
      </c>
      <c r="G12302" t="s" s="11">
        <v>73</v>
      </c>
      <c r="H12302" t="s" s="10">
        <v>229</v>
      </c>
      <c r="I12302" t="s" s="11">
        <v>73</v>
      </c>
      <c r="J12302" t="s" s="11">
        <v>20</v>
      </c>
      <c r="K12302" t="s" s="16">
        <f>HYPERLINK("http://csr.bu.edu/ftp/asl/asllvd/demos/verify_start_end_handshape_annotations//test_auto_move//signs_mov/1198.mov","MOV")</f>
        <v>21</v>
      </c>
      <c r="L12302" t="s" s="16">
        <f>HYPERLINK("http://csr.bu.edu/ftp/asl/asllvd/demos/verify_start_end_handshape_annotations//test_auto_move//signs_mov_separ_signers/Naomi_1198.mov","MOV")</f>
        <v>21</v>
      </c>
      <c r="M12302" t="s" s="10">
        <v>38</v>
      </c>
      <c r="N12302" s="17">
        <v>20</v>
      </c>
      <c r="O12302" s="18">
        <v>6999</v>
      </c>
      <c r="P12302" s="18">
        <v>7057</v>
      </c>
      <c r="Q12302" t="s" s="16">
        <f>HYPERLINK("http://secrets.rutgers.edu:8080/data/asl-ftp/asllvd/demos/verify_start_end_handshape_annotations//test_auto_move//signs_mov/1198.mov","MOV")</f>
        <v>21</v>
      </c>
      <c r="R12302" t="s" s="16">
        <f>HYPERLINK("http://secrets.rutgers.edu:8080/data/asl-ftp/asllvd/demos/verify_start_end_handshape_annotations//test_auto_move//signs_mov_separ_signers/Naomi_1198.mov","MOV")</f>
        <v>21</v>
      </c>
    </row>
    <row r="12303" s="2" customFormat="1" ht="13.5" customHeight="1">
      <c r="B12303" s="13"/>
      <c r="C12303" t="s" s="9">
        <v>30</v>
      </c>
      <c r="D12303" t="s" s="8">
        <v>4602</v>
      </c>
      <c r="E12303" t="s" s="9">
        <v>4603</v>
      </c>
      <c r="F12303" t="s" s="10">
        <v>341</v>
      </c>
      <c r="G12303" s="14"/>
      <c r="H12303" s="19">
        <v>3</v>
      </c>
      <c r="I12303" t="s" s="11">
        <v>73</v>
      </c>
      <c r="J12303" t="s" s="11">
        <v>20</v>
      </c>
      <c r="K12303" s="15"/>
      <c r="L12303" t="s" s="16">
        <f>HYPERLINK("http://csr.bu.edu/ftp/asl/asllvd/demos/verify_start_end_handshape_annotations//test_auto_move//signs_mov_separ_signers/Brady_1198.mov","MOV")</f>
        <v>21</v>
      </c>
      <c r="M12303" t="s" s="10">
        <v>39</v>
      </c>
      <c r="N12303" s="17">
        <v>56</v>
      </c>
      <c r="O12303" s="18">
        <v>321</v>
      </c>
      <c r="P12303" s="18">
        <v>376</v>
      </c>
      <c r="Q12303" s="15"/>
      <c r="R12303" t="s" s="16">
        <f>HYPERLINK("http://secrets.rutgers.edu:8080/data/asl-ftp/asllvd/demos/verify_start_end_handshape_annotations//test_auto_move//signs_mov_separ_signers/Brady_1198.mov","MOV")</f>
        <v>21</v>
      </c>
    </row>
    <row r="12304" s="2" customFormat="1" ht="13.5" customHeight="1">
      <c r="B12304" t="s" s="8">
        <v>52</v>
      </c>
      <c r="C12304" t="s" s="9">
        <v>53</v>
      </c>
      <c r="D12304" t="s" s="8">
        <v>53</v>
      </c>
      <c r="E12304" t="s" s="9">
        <v>53</v>
      </c>
      <c r="F12304" t="s" s="10">
        <v>53</v>
      </c>
      <c r="G12304" t="s" s="11">
        <v>53</v>
      </c>
      <c r="H12304" t="s" s="10">
        <v>53</v>
      </c>
      <c r="I12304" t="s" s="11">
        <v>53</v>
      </c>
      <c r="J12304" t="s" s="11">
        <v>53</v>
      </c>
      <c r="K12304" t="s" s="12">
        <v>53</v>
      </c>
      <c r="L12304" t="s" s="12">
        <v>53</v>
      </c>
      <c r="M12304" t="s" s="10">
        <v>53</v>
      </c>
      <c r="N12304" t="s" s="11">
        <v>53</v>
      </c>
      <c r="O12304" t="s" s="8">
        <v>53</v>
      </c>
      <c r="P12304" t="s" s="8">
        <v>53</v>
      </c>
      <c r="Q12304" t="s" s="12">
        <v>53</v>
      </c>
      <c r="R12304" t="s" s="12">
        <v>53</v>
      </c>
    </row>
    <row r="12305" s="2" customFormat="1" ht="13.5" customHeight="1">
      <c r="B12305" s="13"/>
      <c r="C12305" t="s" s="9">
        <v>23</v>
      </c>
      <c r="D12305" t="s" s="8">
        <v>4602</v>
      </c>
      <c r="E12305" t="s" s="9">
        <v>4604</v>
      </c>
      <c r="F12305" t="s" s="10">
        <v>341</v>
      </c>
      <c r="G12305" t="s" s="11">
        <v>341</v>
      </c>
      <c r="H12305" s="19">
        <v>3</v>
      </c>
      <c r="I12305" t="s" s="11">
        <v>73</v>
      </c>
      <c r="J12305" t="s" s="11">
        <v>20</v>
      </c>
      <c r="K12305" t="s" s="16">
        <f>HYPERLINK("http://csr.bu.edu/ftp/asl/asllvd/demos/verify_start_end_handshape_annotations//test_auto_move//signs_mov/3682_16526_merged.mov","MOV")</f>
        <v>21</v>
      </c>
      <c r="L12305" t="s" s="16">
        <f>HYPERLINK("http://csr.bu.edu/ftp/asl/asllvd/demos/verify_start_end_handshape_annotations//test_auto_move//signs_mov_separ_signers/Tyler_3682.mov","MOV")</f>
        <v>21</v>
      </c>
      <c r="M12305" t="s" s="10">
        <v>92</v>
      </c>
      <c r="N12305" s="17">
        <v>52</v>
      </c>
      <c r="O12305" s="18">
        <v>3313</v>
      </c>
      <c r="P12305" s="18">
        <v>3368</v>
      </c>
      <c r="Q12305" t="s" s="16">
        <f>HYPERLINK("http://secrets.rutgers.edu:8080/data/asl-ftp/asllvd/demos/verify_start_end_handshape_annotations//test_auto_move//signs_mov/3682_16526_merged.mov","MOV")</f>
        <v>21</v>
      </c>
      <c r="R12305" t="s" s="16">
        <f>HYPERLINK("http://secrets.rutgers.edu:8080/data/asl-ftp/asllvd/demos/verify_start_end_handshape_annotations//test_auto_move//signs_mov_separ_signers/Tyler_3682.mov","MOV")</f>
        <v>21</v>
      </c>
    </row>
    <row r="12306" s="2" customFormat="1" ht="13.5" customHeight="1">
      <c r="B12306" s="13"/>
      <c r="C12306" t="s" s="9">
        <v>23</v>
      </c>
      <c r="D12306" t="s" s="8">
        <v>4602</v>
      </c>
      <c r="E12306" t="s" s="9">
        <v>4605</v>
      </c>
      <c r="F12306" t="s" s="10">
        <v>341</v>
      </c>
      <c r="G12306" t="s" s="11">
        <v>341</v>
      </c>
      <c r="H12306" s="19">
        <v>3</v>
      </c>
      <c r="I12306" t="s" s="11">
        <v>73</v>
      </c>
      <c r="J12306" t="s" s="11">
        <v>20</v>
      </c>
      <c r="K12306" s="15"/>
      <c r="L12306" t="s" s="16">
        <f>HYPERLINK("http://csr.bu.edu/ftp/asl/asllvd/demos/verify_start_end_handshape_annotations//test_auto_move//signs_mov_separ_signers/Tyler_16526.mov","MOV")</f>
        <v>21</v>
      </c>
      <c r="M12306" t="s" s="10">
        <v>47</v>
      </c>
      <c r="N12306" s="17">
        <v>12</v>
      </c>
      <c r="O12306" s="18">
        <v>3387</v>
      </c>
      <c r="P12306" s="18">
        <v>3454</v>
      </c>
      <c r="Q12306" s="15"/>
      <c r="R12306" t="s" s="16">
        <f>HYPERLINK("http://secrets.rutgers.edu:8080/data/asl-ftp/asllvd/demos/verify_start_end_handshape_annotations//test_auto_move//signs_mov_separ_signers/Tyler_16526.mov","MOV")</f>
        <v>21</v>
      </c>
    </row>
    <row r="12307" s="2" customFormat="1" ht="13.5" customHeight="1">
      <c r="B12307" t="s" s="8">
        <v>4606</v>
      </c>
      <c r="C12307" t="s" s="9">
        <v>14</v>
      </c>
      <c r="D12307" t="s" s="8">
        <v>14</v>
      </c>
      <c r="E12307" t="s" s="9">
        <v>14</v>
      </c>
      <c r="F12307" t="s" s="10">
        <v>14</v>
      </c>
      <c r="G12307" t="s" s="11">
        <v>14</v>
      </c>
      <c r="H12307" t="s" s="10">
        <v>14</v>
      </c>
      <c r="I12307" t="s" s="11">
        <v>14</v>
      </c>
      <c r="J12307" t="s" s="11">
        <v>14</v>
      </c>
      <c r="K12307" t="s" s="12">
        <v>14</v>
      </c>
      <c r="L12307" t="s" s="12">
        <v>14</v>
      </c>
      <c r="M12307" t="s" s="10">
        <v>14</v>
      </c>
      <c r="N12307" t="s" s="11">
        <v>14</v>
      </c>
      <c r="O12307" t="s" s="8">
        <v>14</v>
      </c>
      <c r="P12307" t="s" s="8">
        <v>14</v>
      </c>
      <c r="Q12307" t="s" s="12">
        <v>14</v>
      </c>
      <c r="R12307" t="s" s="12">
        <v>14</v>
      </c>
    </row>
    <row r="12308" s="2" customFormat="1" ht="13.5" customHeight="1">
      <c r="B12308" s="13"/>
      <c r="C12308" t="s" s="9">
        <v>16</v>
      </c>
      <c r="D12308" t="s" s="8">
        <v>4606</v>
      </c>
      <c r="E12308" t="s" s="9">
        <v>4606</v>
      </c>
      <c r="F12308" t="s" s="10">
        <v>185</v>
      </c>
      <c r="G12308" s="14"/>
      <c r="H12308" t="s" s="10">
        <v>185</v>
      </c>
      <c r="I12308" s="14"/>
      <c r="J12308" t="s" s="11">
        <v>20</v>
      </c>
      <c r="K12308" s="15"/>
      <c r="L12308" t="s" s="16">
        <f>HYPERLINK("http://csr.bu.edu/ftp/asl/asllvd/demos/verify_start_end_handshape_annotations//test_auto_move//signs_mov_separ_signers/Liz_1214.mov","MOV")</f>
        <v>21</v>
      </c>
      <c r="M12308" t="s" s="10">
        <v>34</v>
      </c>
      <c r="N12308" s="17">
        <v>26</v>
      </c>
      <c r="O12308" s="18">
        <v>1920</v>
      </c>
      <c r="P12308" s="18">
        <v>1970</v>
      </c>
      <c r="Q12308" s="15"/>
      <c r="R12308" t="s" s="16">
        <f>HYPERLINK("http://secrets.rutgers.edu:8080/data/asl-ftp/asllvd/demos/verify_start_end_handshape_annotations//test_auto_move//signs_mov_separ_signers/Liz_1214.mov","MOV")</f>
        <v>21</v>
      </c>
    </row>
    <row r="12309" s="2" customFormat="1" ht="13.5" customHeight="1">
      <c r="B12309" s="13"/>
      <c r="C12309" t="s" s="9">
        <v>27</v>
      </c>
      <c r="D12309" t="s" s="8">
        <v>4606</v>
      </c>
      <c r="E12309" t="s" s="9">
        <v>4606</v>
      </c>
      <c r="F12309" t="s" s="10">
        <v>75</v>
      </c>
      <c r="G12309" s="14"/>
      <c r="H12309" t="s" s="10">
        <v>75</v>
      </c>
      <c r="I12309" s="14"/>
      <c r="J12309" t="s" s="11">
        <v>20</v>
      </c>
      <c r="K12309" t="s" s="16">
        <f>HYPERLINK("http://csr.bu.edu/ftp/asl/asllvd/demos/verify_start_end_handshape_annotations//test_auto_move//signs_mov/1214.mov","MOV")</f>
        <v>21</v>
      </c>
      <c r="L12309" t="s" s="16">
        <f>HYPERLINK("http://csr.bu.edu/ftp/asl/asllvd/demos/verify_start_end_handshape_annotations//test_auto_move//signs_mov_separ_signers/Naomi_1214.mov","MOV")</f>
        <v>21</v>
      </c>
      <c r="M12309" t="s" s="10">
        <v>38</v>
      </c>
      <c r="N12309" s="17">
        <v>22</v>
      </c>
      <c r="O12309" s="18">
        <v>2807</v>
      </c>
      <c r="P12309" s="18">
        <v>2845</v>
      </c>
      <c r="Q12309" t="s" s="16">
        <f>HYPERLINK("http://secrets.rutgers.edu:8080/data/asl-ftp/asllvd/demos/verify_start_end_handshape_annotations//test_auto_move//signs_mov/1214.mov","MOV")</f>
        <v>21</v>
      </c>
      <c r="R12309" t="s" s="16">
        <f>HYPERLINK("http://secrets.rutgers.edu:8080/data/asl-ftp/asllvd/demos/verify_start_end_handshape_annotations//test_auto_move//signs_mov_separ_signers/Naomi_1214.mov","MOV")</f>
        <v>21</v>
      </c>
    </row>
    <row r="12310" s="2" customFormat="1" ht="13.5" customHeight="1">
      <c r="B12310" s="13"/>
      <c r="C12310" t="s" s="9">
        <v>30</v>
      </c>
      <c r="D12310" t="s" s="8">
        <v>4606</v>
      </c>
      <c r="E12310" t="s" s="9">
        <v>4606</v>
      </c>
      <c r="F12310" t="s" s="10">
        <v>185</v>
      </c>
      <c r="G12310" s="14"/>
      <c r="H12310" t="s" s="10">
        <v>185</v>
      </c>
      <c r="I12310" s="14"/>
      <c r="J12310" t="s" s="11">
        <v>20</v>
      </c>
      <c r="K12310" s="15"/>
      <c r="L12310" t="s" s="16">
        <f>HYPERLINK("http://csr.bu.edu/ftp/asl/asllvd/demos/verify_start_end_handshape_annotations//test_auto_move//signs_mov_separ_signers/Brady_1214.mov","MOV")</f>
        <v>21</v>
      </c>
      <c r="M12310" t="s" s="10">
        <v>39</v>
      </c>
      <c r="N12310" s="17">
        <v>37</v>
      </c>
      <c r="O12310" s="18">
        <v>8781</v>
      </c>
      <c r="P12310" s="18">
        <v>8807</v>
      </c>
      <c r="Q12310" s="15"/>
      <c r="R12310" t="s" s="16">
        <f>HYPERLINK("http://secrets.rutgers.edu:8080/data/asl-ftp/asllvd/demos/verify_start_end_handshape_annotations//test_auto_move//signs_mov_separ_signers/Brady_1214.mov","MOV")</f>
        <v>21</v>
      </c>
    </row>
    <row r="12311" s="2" customFormat="1" ht="13.5" customHeight="1">
      <c r="B12311" t="s" s="8">
        <v>4607</v>
      </c>
      <c r="C12311" t="s" s="9">
        <v>14</v>
      </c>
      <c r="D12311" t="s" s="8">
        <v>14</v>
      </c>
      <c r="E12311" t="s" s="9">
        <v>14</v>
      </c>
      <c r="F12311" t="s" s="10">
        <v>14</v>
      </c>
      <c r="G12311" t="s" s="11">
        <v>14</v>
      </c>
      <c r="H12311" t="s" s="10">
        <v>14</v>
      </c>
      <c r="I12311" t="s" s="11">
        <v>14</v>
      </c>
      <c r="J12311" t="s" s="11">
        <v>14</v>
      </c>
      <c r="K12311" t="s" s="12">
        <v>14</v>
      </c>
      <c r="L12311" t="s" s="12">
        <v>14</v>
      </c>
      <c r="M12311" t="s" s="10">
        <v>14</v>
      </c>
      <c r="N12311" t="s" s="11">
        <v>14</v>
      </c>
      <c r="O12311" t="s" s="8">
        <v>14</v>
      </c>
      <c r="P12311" t="s" s="8">
        <v>14</v>
      </c>
      <c r="Q12311" t="s" s="12">
        <v>14</v>
      </c>
      <c r="R12311" t="s" s="12">
        <v>14</v>
      </c>
    </row>
    <row r="12312" s="2" customFormat="1" ht="13.5" customHeight="1">
      <c r="B12312" s="13"/>
      <c r="C12312" t="s" s="9">
        <v>23</v>
      </c>
      <c r="D12312" t="s" s="8">
        <v>4607</v>
      </c>
      <c r="E12312" t="s" s="9">
        <v>4607</v>
      </c>
      <c r="F12312" s="19">
        <v>1</v>
      </c>
      <c r="G12312" t="s" s="11">
        <v>73</v>
      </c>
      <c r="H12312" t="s" s="10">
        <v>229</v>
      </c>
      <c r="I12312" t="s" s="11">
        <v>73</v>
      </c>
      <c r="J12312" t="s" s="11">
        <v>20</v>
      </c>
      <c r="K12312" t="s" s="16">
        <f>HYPERLINK("http://csr.bu.edu/ftp/asl/asllvd/demos/verify_start_end_handshape_annotations//test_auto_move//signs_mov/1267.mov","MOV")</f>
        <v>21</v>
      </c>
      <c r="L12312" t="s" s="16">
        <f>HYPERLINK("http://csr.bu.edu/ftp/asl/asllvd/demos/verify_start_end_handshape_annotations//test_auto_move//signs_mov_separ_signers/Tyler_1267.mov","MOV")</f>
        <v>21</v>
      </c>
      <c r="M12312" t="s" s="10">
        <v>37</v>
      </c>
      <c r="N12312" s="17">
        <v>7</v>
      </c>
      <c r="O12312" s="18">
        <v>2431</v>
      </c>
      <c r="P12312" s="18">
        <v>2467</v>
      </c>
      <c r="Q12312" t="s" s="16">
        <f>HYPERLINK("http://secrets.rutgers.edu:8080/data/asl-ftp/asllvd/demos/verify_start_end_handshape_annotations//test_auto_move//signs_mov/1267.mov","MOV")</f>
        <v>21</v>
      </c>
      <c r="R12312" t="s" s="16">
        <f>HYPERLINK("http://secrets.rutgers.edu:8080/data/asl-ftp/asllvd/demos/verify_start_end_handshape_annotations//test_auto_move//signs_mov_separ_signers/Tyler_1267.mov","MOV")</f>
        <v>21</v>
      </c>
    </row>
    <row r="12313" s="2" customFormat="1" ht="13.5" customHeight="1">
      <c r="B12313" s="13"/>
      <c r="C12313" t="s" s="9">
        <v>27</v>
      </c>
      <c r="D12313" t="s" s="8">
        <v>4607</v>
      </c>
      <c r="E12313" t="s" s="9">
        <v>4607</v>
      </c>
      <c r="F12313" s="19">
        <v>1</v>
      </c>
      <c r="G12313" s="14"/>
      <c r="H12313" t="s" s="10">
        <v>229</v>
      </c>
      <c r="I12313" t="s" s="11">
        <v>73</v>
      </c>
      <c r="J12313" t="s" s="11">
        <v>20</v>
      </c>
      <c r="K12313" s="15"/>
      <c r="L12313" t="s" s="16">
        <f>HYPERLINK("http://csr.bu.edu/ftp/asl/asllvd/demos/verify_start_end_handshape_annotations//test_auto_move//signs_mov_separ_signers/Naomi_1267.mov","MOV")</f>
        <v>21</v>
      </c>
      <c r="M12313" t="s" s="10">
        <v>38</v>
      </c>
      <c r="N12313" s="17">
        <v>27</v>
      </c>
      <c r="O12313" s="18">
        <v>2090</v>
      </c>
      <c r="P12313" s="18">
        <v>2135</v>
      </c>
      <c r="Q12313" s="15"/>
      <c r="R12313" t="s" s="16">
        <f>HYPERLINK("http://secrets.rutgers.edu:8080/data/asl-ftp/asllvd/demos/verify_start_end_handshape_annotations//test_auto_move//signs_mov_separ_signers/Naomi_1267.mov","MOV")</f>
        <v>21</v>
      </c>
    </row>
    <row r="12314" s="2" customFormat="1" ht="13.5" customHeight="1">
      <c r="B12314" t="s" s="8">
        <v>52</v>
      </c>
      <c r="C12314" t="s" s="9">
        <v>53</v>
      </c>
      <c r="D12314" t="s" s="8">
        <v>53</v>
      </c>
      <c r="E12314" t="s" s="9">
        <v>53</v>
      </c>
      <c r="F12314" t="s" s="10">
        <v>53</v>
      </c>
      <c r="G12314" t="s" s="11">
        <v>53</v>
      </c>
      <c r="H12314" t="s" s="10">
        <v>53</v>
      </c>
      <c r="I12314" t="s" s="11">
        <v>53</v>
      </c>
      <c r="J12314" t="s" s="11">
        <v>53</v>
      </c>
      <c r="K12314" t="s" s="12">
        <v>53</v>
      </c>
      <c r="L12314" t="s" s="12">
        <v>53</v>
      </c>
      <c r="M12314" t="s" s="10">
        <v>53</v>
      </c>
      <c r="N12314" t="s" s="11">
        <v>53</v>
      </c>
      <c r="O12314" t="s" s="8">
        <v>53</v>
      </c>
      <c r="P12314" t="s" s="8">
        <v>53</v>
      </c>
      <c r="Q12314" t="s" s="12">
        <v>53</v>
      </c>
      <c r="R12314" t="s" s="12">
        <v>53</v>
      </c>
    </row>
    <row r="12315" s="2" customFormat="1" ht="13.5" customHeight="1">
      <c r="B12315" s="13"/>
      <c r="C12315" t="s" s="9">
        <v>16</v>
      </c>
      <c r="D12315" t="s" s="8">
        <v>4607</v>
      </c>
      <c r="E12315" t="s" s="9">
        <v>4608</v>
      </c>
      <c r="F12315" t="s" s="10">
        <v>229</v>
      </c>
      <c r="G12315" t="s" s="11">
        <v>73</v>
      </c>
      <c r="H12315" t="s" s="10">
        <v>229</v>
      </c>
      <c r="I12315" t="s" s="11">
        <v>73</v>
      </c>
      <c r="J12315" t="s" s="11">
        <v>20</v>
      </c>
      <c r="K12315" t="s" s="16">
        <f>HYPERLINK("http://csr.bu.edu/ftp/asl/asllvd/demos/verify_start_end_handshape_annotations//test_auto_move//signs_mov/16442.mov","MOV")</f>
        <v>21</v>
      </c>
      <c r="L12315" t="s" s="16">
        <f>HYPERLINK("http://csr.bu.edu/ftp/asl/asllvd/demos/verify_start_end_handshape_annotations//test_auto_move//signs_mov_separ_signers/Liz_16442.mov","MOV")</f>
        <v>21</v>
      </c>
      <c r="M12315" t="s" s="10">
        <v>34</v>
      </c>
      <c r="N12315" s="17">
        <v>33</v>
      </c>
      <c r="O12315" s="18">
        <v>797</v>
      </c>
      <c r="P12315" s="18">
        <v>855</v>
      </c>
      <c r="Q12315" t="s" s="16">
        <f>HYPERLINK("http://secrets.rutgers.edu:8080/data/asl-ftp/asllvd/demos/verify_start_end_handshape_annotations//test_auto_move//signs_mov/16442.mov","MOV")</f>
        <v>21</v>
      </c>
      <c r="R12315" t="s" s="16">
        <f>HYPERLINK("http://secrets.rutgers.edu:8080/data/asl-ftp/asllvd/demos/verify_start_end_handshape_annotations//test_auto_move//signs_mov_separ_signers/Liz_16442.mov","MOV")</f>
        <v>21</v>
      </c>
    </row>
    <row r="12316" s="2" customFormat="1" ht="13.5" customHeight="1">
      <c r="B12316" s="13"/>
      <c r="C12316" t="s" s="9">
        <v>30</v>
      </c>
      <c r="D12316" t="s" s="8">
        <v>4607</v>
      </c>
      <c r="E12316" t="s" s="9">
        <v>4608</v>
      </c>
      <c r="F12316" t="s" s="10">
        <v>229</v>
      </c>
      <c r="G12316" t="s" s="11">
        <v>73</v>
      </c>
      <c r="H12316" t="s" s="10">
        <v>229</v>
      </c>
      <c r="I12316" t="s" s="11">
        <v>73</v>
      </c>
      <c r="J12316" t="s" s="11">
        <v>20</v>
      </c>
      <c r="K12316" s="15"/>
      <c r="L12316" t="s" s="16">
        <f>HYPERLINK("http://csr.bu.edu/ftp/asl/asllvd/demos/verify_start_end_handshape_annotations//test_auto_move//signs_mov_separ_signers/Brady_16442.mov","MOV")</f>
        <v>21</v>
      </c>
      <c r="M12316" t="s" s="10">
        <v>39</v>
      </c>
      <c r="N12316" s="17">
        <v>40</v>
      </c>
      <c r="O12316" s="18">
        <v>6902</v>
      </c>
      <c r="P12316" s="18">
        <v>6937</v>
      </c>
      <c r="Q12316" s="15"/>
      <c r="R12316" t="s" s="16">
        <f>HYPERLINK("http://secrets.rutgers.edu:8080/data/asl-ftp/asllvd/demos/verify_start_end_handshape_annotations//test_auto_move//signs_mov_separ_signers/Brady_16442.mov","MOV")</f>
        <v>21</v>
      </c>
    </row>
    <row r="12317" s="2" customFormat="1" ht="13.5" customHeight="1">
      <c r="B12317" t="s" s="8">
        <v>4609</v>
      </c>
      <c r="C12317" t="s" s="9">
        <v>14</v>
      </c>
      <c r="D12317" t="s" s="8">
        <v>14</v>
      </c>
      <c r="E12317" t="s" s="9">
        <v>14</v>
      </c>
      <c r="F12317" t="s" s="10">
        <v>14</v>
      </c>
      <c r="G12317" t="s" s="11">
        <v>14</v>
      </c>
      <c r="H12317" t="s" s="10">
        <v>14</v>
      </c>
      <c r="I12317" t="s" s="11">
        <v>14</v>
      </c>
      <c r="J12317" t="s" s="11">
        <v>14</v>
      </c>
      <c r="K12317" t="s" s="12">
        <v>14</v>
      </c>
      <c r="L12317" t="s" s="12">
        <v>14</v>
      </c>
      <c r="M12317" t="s" s="10">
        <v>14</v>
      </c>
      <c r="N12317" t="s" s="11">
        <v>14</v>
      </c>
      <c r="O12317" t="s" s="8">
        <v>14</v>
      </c>
      <c r="P12317" t="s" s="8">
        <v>14</v>
      </c>
      <c r="Q12317" t="s" s="12">
        <v>14</v>
      </c>
      <c r="R12317" t="s" s="12">
        <v>14</v>
      </c>
    </row>
    <row r="12318" s="2" customFormat="1" ht="13.5" customHeight="1">
      <c r="B12318" s="13"/>
      <c r="C12318" t="s" s="9">
        <v>16</v>
      </c>
      <c r="D12318" t="s" s="8">
        <v>4610</v>
      </c>
      <c r="E12318" t="s" s="9">
        <v>4610</v>
      </c>
      <c r="F12318" t="s" s="10">
        <v>282</v>
      </c>
      <c r="G12318" t="s" s="11">
        <v>282</v>
      </c>
      <c r="H12318" t="s" s="10">
        <v>73</v>
      </c>
      <c r="I12318" t="s" s="11">
        <v>73</v>
      </c>
      <c r="J12318" t="s" s="11">
        <v>20</v>
      </c>
      <c r="K12318" s="15"/>
      <c r="L12318" t="s" s="16">
        <f>HYPERLINK("http://csr.bu.edu/ftp/asl/asllvd/demos/verify_start_end_handshape_annotations//test_auto_move//signs_mov_separ_signers/Liz_1273.mov","MOV")</f>
        <v>21</v>
      </c>
      <c r="M12318" t="s" s="10">
        <v>34</v>
      </c>
      <c r="N12318" s="17">
        <v>34</v>
      </c>
      <c r="O12318" s="18">
        <v>1165</v>
      </c>
      <c r="P12318" s="18">
        <v>1210</v>
      </c>
      <c r="Q12318" s="15"/>
      <c r="R12318" t="s" s="16">
        <f>HYPERLINK("http://secrets.rutgers.edu:8080/data/asl-ftp/asllvd/demos/verify_start_end_handshape_annotations//test_auto_move//signs_mov_separ_signers/Liz_1273.mov","MOV")</f>
        <v>21</v>
      </c>
    </row>
    <row r="12319" s="2" customFormat="1" ht="13.5" customHeight="1">
      <c r="B12319" s="13"/>
      <c r="C12319" t="s" s="9">
        <v>23</v>
      </c>
      <c r="D12319" t="s" s="8">
        <v>4610</v>
      </c>
      <c r="E12319" t="s" s="9">
        <v>4610</v>
      </c>
      <c r="F12319" t="s" s="10">
        <v>282</v>
      </c>
      <c r="G12319" t="s" s="11">
        <v>282</v>
      </c>
      <c r="H12319" t="s" s="10">
        <v>73</v>
      </c>
      <c r="I12319" t="s" s="11">
        <v>73</v>
      </c>
      <c r="J12319" t="s" s="11">
        <v>20</v>
      </c>
      <c r="K12319" t="s" s="16">
        <f>HYPERLINK("http://csr.bu.edu/ftp/asl/asllvd/demos/verify_start_end_handshape_annotations//test_auto_move//signs_mov/1273.mov","MOV")</f>
        <v>21</v>
      </c>
      <c r="L12319" t="s" s="16">
        <f>HYPERLINK("http://csr.bu.edu/ftp/asl/asllvd/demos/verify_start_end_handshape_annotations//test_auto_move//signs_mov_separ_signers/Tyler_1273.mov","MOV")</f>
        <v>21</v>
      </c>
      <c r="M12319" t="s" s="10">
        <v>37</v>
      </c>
      <c r="N12319" s="17">
        <v>8</v>
      </c>
      <c r="O12319" s="18">
        <v>667</v>
      </c>
      <c r="P12319" s="18">
        <v>702</v>
      </c>
      <c r="Q12319" t="s" s="16">
        <f>HYPERLINK("http://secrets.rutgers.edu:8080/data/asl-ftp/asllvd/demos/verify_start_end_handshape_annotations//test_auto_move//signs_mov/1273.mov","MOV")</f>
        <v>21</v>
      </c>
      <c r="R12319" t="s" s="16">
        <f>HYPERLINK("http://secrets.rutgers.edu:8080/data/asl-ftp/asllvd/demos/verify_start_end_handshape_annotations//test_auto_move//signs_mov_separ_signers/Tyler_1273.mov","MOV")</f>
        <v>21</v>
      </c>
    </row>
    <row r="12320" s="2" customFormat="1" ht="13.5" customHeight="1">
      <c r="B12320" s="13"/>
      <c r="C12320" t="s" s="9">
        <v>27</v>
      </c>
      <c r="D12320" t="s" s="8">
        <v>4610</v>
      </c>
      <c r="E12320" t="s" s="9">
        <v>4609</v>
      </c>
      <c r="F12320" t="s" s="10">
        <v>282</v>
      </c>
      <c r="G12320" t="s" s="11">
        <v>282</v>
      </c>
      <c r="H12320" t="s" s="10">
        <v>73</v>
      </c>
      <c r="I12320" t="s" s="11">
        <v>73</v>
      </c>
      <c r="J12320" t="s" s="11">
        <v>20</v>
      </c>
      <c r="K12320" s="15"/>
      <c r="L12320" t="s" s="16">
        <f>HYPERLINK("http://csr.bu.edu/ftp/asl/asllvd/demos/verify_start_end_handshape_annotations//test_auto_move//signs_mov_separ_signers/Naomi_1273.mov","MOV")</f>
        <v>21</v>
      </c>
      <c r="M12320" t="s" s="10">
        <v>38</v>
      </c>
      <c r="N12320" s="17">
        <v>28</v>
      </c>
      <c r="O12320" s="18">
        <v>793</v>
      </c>
      <c r="P12320" s="18">
        <v>829</v>
      </c>
      <c r="Q12320" s="15"/>
      <c r="R12320" t="s" s="16">
        <f>HYPERLINK("http://secrets.rutgers.edu:8080/data/asl-ftp/asllvd/demos/verify_start_end_handshape_annotations//test_auto_move//signs_mov_separ_signers/Naomi_1273.mov","MOV")</f>
        <v>21</v>
      </c>
    </row>
    <row r="12321" s="2" customFormat="1" ht="13.5" customHeight="1">
      <c r="B12321" s="13"/>
      <c r="C12321" t="s" s="9">
        <v>30</v>
      </c>
      <c r="D12321" t="s" s="8">
        <v>4610</v>
      </c>
      <c r="E12321" t="s" s="9">
        <v>4610</v>
      </c>
      <c r="F12321" s="22"/>
      <c r="G12321" s="14"/>
      <c r="H12321" s="22"/>
      <c r="I12321" s="14"/>
      <c r="J12321" t="s" s="11">
        <v>20</v>
      </c>
      <c r="K12321" s="15"/>
      <c r="L12321" t="s" s="16">
        <f>HYPERLINK("http://csr.bu.edu/ftp/asl/asllvd/demos/verify_start_end_handshape_annotations//test_auto_move//signs_mov_separ_signers/Brady_1273.mov","MOV")</f>
        <v>21</v>
      </c>
      <c r="M12321" t="s" s="10">
        <v>39</v>
      </c>
      <c r="N12321" s="17">
        <v>41</v>
      </c>
      <c r="O12321" s="18">
        <v>1944</v>
      </c>
      <c r="P12321" s="18">
        <v>1981</v>
      </c>
      <c r="Q12321" s="15"/>
      <c r="R12321" t="s" s="16">
        <f>HYPERLINK("http://secrets.rutgers.edu:8080/data/asl-ftp/asllvd/demos/verify_start_end_handshape_annotations//test_auto_move//signs_mov_separ_signers/Brady_1273.mov","MOV")</f>
        <v>21</v>
      </c>
    </row>
    <row r="12322" s="2" customFormat="1" ht="13.5" customHeight="1">
      <c r="B12322" t="s" s="8">
        <v>4611</v>
      </c>
      <c r="C12322" t="s" s="9">
        <v>14</v>
      </c>
      <c r="D12322" t="s" s="8">
        <v>14</v>
      </c>
      <c r="E12322" t="s" s="9">
        <v>14</v>
      </c>
      <c r="F12322" t="s" s="10">
        <v>14</v>
      </c>
      <c r="G12322" t="s" s="11">
        <v>14</v>
      </c>
      <c r="H12322" t="s" s="10">
        <v>14</v>
      </c>
      <c r="I12322" t="s" s="11">
        <v>14</v>
      </c>
      <c r="J12322" t="s" s="11">
        <v>14</v>
      </c>
      <c r="K12322" t="s" s="12">
        <v>14</v>
      </c>
      <c r="L12322" t="s" s="12">
        <v>14</v>
      </c>
      <c r="M12322" t="s" s="10">
        <v>14</v>
      </c>
      <c r="N12322" t="s" s="11">
        <v>14</v>
      </c>
      <c r="O12322" t="s" s="8">
        <v>14</v>
      </c>
      <c r="P12322" t="s" s="8">
        <v>14</v>
      </c>
      <c r="Q12322" t="s" s="12">
        <v>14</v>
      </c>
      <c r="R12322" t="s" s="12">
        <v>14</v>
      </c>
    </row>
    <row r="12323" s="2" customFormat="1" ht="13.5" customHeight="1">
      <c r="B12323" s="13"/>
      <c r="C12323" t="s" s="9">
        <v>16</v>
      </c>
      <c r="D12323" t="s" s="8">
        <v>4611</v>
      </c>
      <c r="E12323" t="s" s="9">
        <v>4611</v>
      </c>
      <c r="F12323" t="s" s="10">
        <v>287</v>
      </c>
      <c r="G12323" s="14"/>
      <c r="H12323" t="s" s="10">
        <v>55</v>
      </c>
      <c r="I12323" s="14"/>
      <c r="J12323" t="s" s="11">
        <v>20</v>
      </c>
      <c r="K12323" s="15"/>
      <c r="L12323" t="s" s="16">
        <f>HYPERLINK("http://csr.bu.edu/ftp/asl/asllvd/demos/verify_start_end_handshape_annotations//test_auto_move//signs_mov_separ_signers/Liz_1305.mov","MOV")</f>
        <v>21</v>
      </c>
      <c r="M12323" t="s" s="10">
        <v>34</v>
      </c>
      <c r="N12323" s="17">
        <v>37</v>
      </c>
      <c r="O12323" s="18">
        <v>2185</v>
      </c>
      <c r="P12323" s="18">
        <v>2216</v>
      </c>
      <c r="Q12323" s="15"/>
      <c r="R12323" t="s" s="16">
        <f>HYPERLINK("http://secrets.rutgers.edu:8080/data/asl-ftp/asllvd/demos/verify_start_end_handshape_annotations//test_auto_move//signs_mov_separ_signers/Liz_1305.mov","MOV")</f>
        <v>21</v>
      </c>
    </row>
    <row r="12324" s="2" customFormat="1" ht="13.5" customHeight="1">
      <c r="B12324" s="13"/>
      <c r="C12324" t="s" s="9">
        <v>30</v>
      </c>
      <c r="D12324" t="s" s="8">
        <v>4611</v>
      </c>
      <c r="E12324" t="s" s="9">
        <v>4611</v>
      </c>
      <c r="F12324" t="s" s="10">
        <v>287</v>
      </c>
      <c r="G12324" s="14"/>
      <c r="H12324" t="s" s="10">
        <v>55</v>
      </c>
      <c r="I12324" s="14"/>
      <c r="J12324" t="s" s="11">
        <v>20</v>
      </c>
      <c r="K12324" t="s" s="16">
        <f>HYPERLINK("http://csr.bu.edu/ftp/asl/asllvd/demos/verify_start_end_handshape_annotations//test_auto_move//signs_mov/1305.mov","MOV")</f>
        <v>21</v>
      </c>
      <c r="L12324" t="s" s="16">
        <f>HYPERLINK("http://csr.bu.edu/ftp/asl/asllvd/demos/verify_start_end_handshape_annotations//test_auto_move//signs_mov_separ_signers/Brady_1305.mov","MOV")</f>
        <v>21</v>
      </c>
      <c r="M12324" t="s" s="10">
        <v>39</v>
      </c>
      <c r="N12324" s="17">
        <v>43</v>
      </c>
      <c r="O12324" s="18">
        <v>4192</v>
      </c>
      <c r="P12324" s="18">
        <v>4203</v>
      </c>
      <c r="Q12324" t="s" s="16">
        <f>HYPERLINK("http://secrets.rutgers.edu:8080/data/asl-ftp/asllvd/demos/verify_start_end_handshape_annotations//test_auto_move//signs_mov/1305.mov","MOV")</f>
        <v>21</v>
      </c>
      <c r="R12324" t="s" s="16">
        <f>HYPERLINK("http://secrets.rutgers.edu:8080/data/asl-ftp/asllvd/demos/verify_start_end_handshape_annotations//test_auto_move//signs_mov_separ_signers/Brady_1305.mov","MOV")</f>
        <v>21</v>
      </c>
    </row>
    <row r="12325" s="2" customFormat="1" ht="13.5" customHeight="1">
      <c r="B12325" s="13"/>
      <c r="C12325" t="s" s="9">
        <v>41</v>
      </c>
      <c r="D12325" t="s" s="8">
        <v>4611</v>
      </c>
      <c r="E12325" t="s" s="9">
        <v>4611</v>
      </c>
      <c r="F12325" s="19">
        <v>1</v>
      </c>
      <c r="G12325" s="14"/>
      <c r="H12325" t="s" s="10">
        <v>55</v>
      </c>
      <c r="I12325" s="14"/>
      <c r="J12325" t="s" s="11">
        <v>20</v>
      </c>
      <c r="K12325" s="15"/>
      <c r="L12325" t="s" s="16">
        <f>HYPERLINK("http://csr.bu.edu/ftp/asl/asllvd/demos/verify_start_end_handshape_annotations//test_auto_move//signs_mov_separ_signers/Lana_1305.mov","MOV")</f>
        <v>21</v>
      </c>
      <c r="M12325" t="s" s="10">
        <v>42</v>
      </c>
      <c r="N12325" s="17">
        <v>2</v>
      </c>
      <c r="O12325" s="18">
        <v>1090</v>
      </c>
      <c r="P12325" s="18">
        <v>1103</v>
      </c>
      <c r="Q12325" s="15"/>
      <c r="R12325" t="s" s="16">
        <f>HYPERLINK("http://secrets.rutgers.edu:8080/data/asl-ftp/asllvd/demos/verify_start_end_handshape_annotations//test_auto_move//signs_mov_separ_signers/Lana_1305.mov","MOV")</f>
        <v>21</v>
      </c>
    </row>
    <row r="12326" s="2" customFormat="1" ht="13.5" customHeight="1">
      <c r="B12326" t="s" s="8">
        <v>52</v>
      </c>
      <c r="C12326" t="s" s="9">
        <v>53</v>
      </c>
      <c r="D12326" t="s" s="8">
        <v>53</v>
      </c>
      <c r="E12326" t="s" s="9">
        <v>53</v>
      </c>
      <c r="F12326" t="s" s="10">
        <v>53</v>
      </c>
      <c r="G12326" t="s" s="11">
        <v>53</v>
      </c>
      <c r="H12326" t="s" s="10">
        <v>53</v>
      </c>
      <c r="I12326" t="s" s="11">
        <v>53</v>
      </c>
      <c r="J12326" t="s" s="11">
        <v>53</v>
      </c>
      <c r="K12326" t="s" s="12">
        <v>53</v>
      </c>
      <c r="L12326" t="s" s="12">
        <v>53</v>
      </c>
      <c r="M12326" t="s" s="10">
        <v>53</v>
      </c>
      <c r="N12326" t="s" s="11">
        <v>53</v>
      </c>
      <c r="O12326" t="s" s="8">
        <v>53</v>
      </c>
      <c r="P12326" t="s" s="8">
        <v>53</v>
      </c>
      <c r="Q12326" t="s" s="12">
        <v>53</v>
      </c>
      <c r="R12326" t="s" s="12">
        <v>53</v>
      </c>
    </row>
    <row r="12327" s="2" customFormat="1" ht="13.5" customHeight="1">
      <c r="B12327" s="13"/>
      <c r="C12327" t="s" s="9">
        <v>27</v>
      </c>
      <c r="D12327" t="s" s="8">
        <v>4611</v>
      </c>
      <c r="E12327" t="s" s="9">
        <v>4612</v>
      </c>
      <c r="F12327" t="s" s="10">
        <v>287</v>
      </c>
      <c r="G12327" s="14"/>
      <c r="H12327" t="s" s="10">
        <v>55</v>
      </c>
      <c r="I12327" s="14"/>
      <c r="J12327" t="s" s="11">
        <v>20</v>
      </c>
      <c r="K12327" t="s" s="16">
        <f>HYPERLINK("http://csr.bu.edu/ftp/asl/asllvd/demos/verify_start_end_handshape_annotations//test_auto_move//signs_mov/5360.mov","MOV")</f>
        <v>21</v>
      </c>
      <c r="L12327" t="s" s="16">
        <f>HYPERLINK("http://csr.bu.edu/ftp/asl/asllvd/demos/verify_start_end_handshape_annotations//test_auto_move//signs_mov_separ_signers/Naomi_5360.mov","MOV")</f>
        <v>21</v>
      </c>
      <c r="M12327" t="s" s="10">
        <v>38</v>
      </c>
      <c r="N12327" s="17">
        <v>31</v>
      </c>
      <c r="O12327" s="18">
        <v>1507</v>
      </c>
      <c r="P12327" s="18">
        <v>1522</v>
      </c>
      <c r="Q12327" t="s" s="16">
        <f>HYPERLINK("http://secrets.rutgers.edu:8080/data/asl-ftp/asllvd/demos/verify_start_end_handshape_annotations//test_auto_move//signs_mov/5360.mov","MOV")</f>
        <v>21</v>
      </c>
      <c r="R12327" t="s" s="16">
        <f>HYPERLINK("http://secrets.rutgers.edu:8080/data/asl-ftp/asllvd/demos/verify_start_end_handshape_annotations//test_auto_move//signs_mov_separ_signers/Naomi_5360.mov","MOV")</f>
        <v>21</v>
      </c>
    </row>
    <row r="12328" s="2" customFormat="1" ht="13.5" customHeight="1">
      <c r="B12328" s="13"/>
      <c r="C12328" t="s" s="9">
        <v>43</v>
      </c>
      <c r="D12328" t="s" s="8">
        <v>4611</v>
      </c>
      <c r="E12328" t="s" s="9">
        <v>4612</v>
      </c>
      <c r="F12328" t="s" s="10">
        <v>287</v>
      </c>
      <c r="G12328" s="14"/>
      <c r="H12328" t="s" s="10">
        <v>55</v>
      </c>
      <c r="I12328" s="14"/>
      <c r="J12328" t="s" s="11">
        <v>20</v>
      </c>
      <c r="K12328" s="15"/>
      <c r="L12328" t="s" s="16">
        <f>HYPERLINK("http://csr.bu.edu/ftp/asl/asllvd/demos/verify_start_end_handshape_annotations//test_auto_move//signs_mov_separ_signers/Dana_5360.mov","MOV")</f>
        <v>21</v>
      </c>
      <c r="M12328" t="s" s="10">
        <v>44</v>
      </c>
      <c r="N12328" s="17">
        <v>5</v>
      </c>
      <c r="O12328" s="18">
        <v>1309</v>
      </c>
      <c r="P12328" s="18">
        <v>1361</v>
      </c>
      <c r="Q12328" s="15"/>
      <c r="R12328" t="s" s="16">
        <f>HYPERLINK("http://secrets.rutgers.edu:8080/data/asl-ftp/asllvd/demos/verify_start_end_handshape_annotations//test_auto_move//signs_mov_separ_signers/Dana_5360.mov","MOV")</f>
        <v>21</v>
      </c>
    </row>
    <row r="12329" s="2" customFormat="1" ht="13.5" customHeight="1">
      <c r="B12329" t="s" s="8">
        <v>4613</v>
      </c>
      <c r="C12329" t="s" s="9">
        <v>14</v>
      </c>
      <c r="D12329" t="s" s="8">
        <v>14</v>
      </c>
      <c r="E12329" t="s" s="9">
        <v>14</v>
      </c>
      <c r="F12329" t="s" s="10">
        <v>14</v>
      </c>
      <c r="G12329" t="s" s="11">
        <v>14</v>
      </c>
      <c r="H12329" t="s" s="10">
        <v>14</v>
      </c>
      <c r="I12329" t="s" s="11">
        <v>14</v>
      </c>
      <c r="J12329" t="s" s="11">
        <v>14</v>
      </c>
      <c r="K12329" t="s" s="12">
        <v>14</v>
      </c>
      <c r="L12329" t="s" s="12">
        <v>14</v>
      </c>
      <c r="M12329" t="s" s="10">
        <v>14</v>
      </c>
      <c r="N12329" t="s" s="11">
        <v>14</v>
      </c>
      <c r="O12329" t="s" s="8">
        <v>14</v>
      </c>
      <c r="P12329" t="s" s="8">
        <v>14</v>
      </c>
      <c r="Q12329" t="s" s="12">
        <v>14</v>
      </c>
      <c r="R12329" t="s" s="12">
        <v>14</v>
      </c>
    </row>
    <row r="12330" s="2" customFormat="1" ht="13.5" customHeight="1">
      <c r="B12330" s="13"/>
      <c r="C12330" t="s" s="9">
        <v>16</v>
      </c>
      <c r="D12330" t="s" s="8">
        <v>4613</v>
      </c>
      <c r="E12330" t="s" s="9">
        <v>4613</v>
      </c>
      <c r="F12330" t="s" s="10">
        <v>282</v>
      </c>
      <c r="G12330" t="s" s="11">
        <v>282</v>
      </c>
      <c r="H12330" t="s" s="10">
        <v>73</v>
      </c>
      <c r="I12330" t="s" s="11">
        <v>73</v>
      </c>
      <c r="J12330" t="s" s="11">
        <v>20</v>
      </c>
      <c r="K12330" s="15"/>
      <c r="L12330" t="s" s="16">
        <f>HYPERLINK("http://csr.bu.edu/ftp/asl/asllvd/demos/verify_start_end_handshape_annotations//test_auto_move//signs_mov_separ_signers/Liz_1310.mov","MOV")</f>
        <v>21</v>
      </c>
      <c r="M12330" t="s" s="10">
        <v>34</v>
      </c>
      <c r="N12330" s="17">
        <v>38</v>
      </c>
      <c r="O12330" s="18">
        <v>277</v>
      </c>
      <c r="P12330" s="18">
        <v>330</v>
      </c>
      <c r="Q12330" s="15"/>
      <c r="R12330" t="s" s="16">
        <f>HYPERLINK("http://secrets.rutgers.edu:8080/data/asl-ftp/asllvd/demos/verify_start_end_handshape_annotations//test_auto_move//signs_mov_separ_signers/Liz_1310.mov","MOV")</f>
        <v>21</v>
      </c>
    </row>
    <row r="12331" s="2" customFormat="1" ht="13.5" customHeight="1">
      <c r="B12331" s="13"/>
      <c r="C12331" t="s" s="9">
        <v>27</v>
      </c>
      <c r="D12331" t="s" s="8">
        <v>4613</v>
      </c>
      <c r="E12331" t="s" s="9">
        <v>4613</v>
      </c>
      <c r="F12331" t="s" s="10">
        <v>282</v>
      </c>
      <c r="G12331" t="s" s="11">
        <v>282</v>
      </c>
      <c r="H12331" t="s" s="10">
        <v>73</v>
      </c>
      <c r="I12331" t="s" s="11">
        <v>73</v>
      </c>
      <c r="J12331" t="s" s="11">
        <v>20</v>
      </c>
      <c r="K12331" t="s" s="16">
        <f>HYPERLINK("http://csr.bu.edu/ftp/asl/asllvd/demos/verify_start_end_handshape_annotations//test_auto_move//signs_mov/1310.mov","MOV")</f>
        <v>21</v>
      </c>
      <c r="L12331" t="s" s="16">
        <f>HYPERLINK("http://csr.bu.edu/ftp/asl/asllvd/demos/verify_start_end_handshape_annotations//test_auto_move//signs_mov_separ_signers/Naomi_1310.mov","MOV")</f>
        <v>21</v>
      </c>
      <c r="M12331" t="s" s="10">
        <v>38</v>
      </c>
      <c r="N12331" s="17">
        <v>31</v>
      </c>
      <c r="O12331" s="18">
        <v>4510</v>
      </c>
      <c r="P12331" s="18">
        <v>4555</v>
      </c>
      <c r="Q12331" t="s" s="16">
        <f>HYPERLINK("http://secrets.rutgers.edu:8080/data/asl-ftp/asllvd/demos/verify_start_end_handshape_annotations//test_auto_move//signs_mov/1310.mov","MOV")</f>
        <v>21</v>
      </c>
      <c r="R12331" t="s" s="16">
        <f>HYPERLINK("http://secrets.rutgers.edu:8080/data/asl-ftp/asllvd/demos/verify_start_end_handshape_annotations//test_auto_move//signs_mov_separ_signers/Naomi_1310.mov","MOV")</f>
        <v>21</v>
      </c>
    </row>
    <row r="12332" s="2" customFormat="1" ht="13.5" customHeight="1">
      <c r="B12332" s="13"/>
      <c r="C12332" t="s" s="9">
        <v>30</v>
      </c>
      <c r="D12332" t="s" s="8">
        <v>4613</v>
      </c>
      <c r="E12332" t="s" s="9">
        <v>4613</v>
      </c>
      <c r="F12332" t="s" s="10">
        <v>282</v>
      </c>
      <c r="G12332" t="s" s="11">
        <v>282</v>
      </c>
      <c r="H12332" t="s" s="10">
        <v>73</v>
      </c>
      <c r="I12332" t="s" s="11">
        <v>73</v>
      </c>
      <c r="J12332" t="s" s="11">
        <v>20</v>
      </c>
      <c r="K12332" s="15"/>
      <c r="L12332" t="s" s="16">
        <f>HYPERLINK("http://csr.bu.edu/ftp/asl/asllvd/demos/verify_start_end_handshape_annotations//test_auto_move//signs_mov_separ_signers/Brady_1310.mov","MOV")</f>
        <v>21</v>
      </c>
      <c r="M12332" t="s" s="10">
        <v>39</v>
      </c>
      <c r="N12332" s="17">
        <v>43</v>
      </c>
      <c r="O12332" s="18">
        <v>6654</v>
      </c>
      <c r="P12332" s="18">
        <v>6693</v>
      </c>
      <c r="Q12332" s="15"/>
      <c r="R12332" t="s" s="16">
        <f>HYPERLINK("http://secrets.rutgers.edu:8080/data/asl-ftp/asllvd/demos/verify_start_end_handshape_annotations//test_auto_move//signs_mov_separ_signers/Brady_1310.mov","MOV")</f>
        <v>21</v>
      </c>
    </row>
    <row r="12333" s="2" customFormat="1" ht="13.5" customHeight="1">
      <c r="B12333" t="s" s="8">
        <v>4614</v>
      </c>
      <c r="C12333" t="s" s="9">
        <v>14</v>
      </c>
      <c r="D12333" t="s" s="8">
        <v>14</v>
      </c>
      <c r="E12333" t="s" s="9">
        <v>14</v>
      </c>
      <c r="F12333" t="s" s="10">
        <v>14</v>
      </c>
      <c r="G12333" t="s" s="11">
        <v>14</v>
      </c>
      <c r="H12333" t="s" s="10">
        <v>14</v>
      </c>
      <c r="I12333" t="s" s="11">
        <v>14</v>
      </c>
      <c r="J12333" t="s" s="11">
        <v>14</v>
      </c>
      <c r="K12333" t="s" s="12">
        <v>14</v>
      </c>
      <c r="L12333" t="s" s="12">
        <v>14</v>
      </c>
      <c r="M12333" t="s" s="10">
        <v>14</v>
      </c>
      <c r="N12333" t="s" s="11">
        <v>14</v>
      </c>
      <c r="O12333" t="s" s="8">
        <v>14</v>
      </c>
      <c r="P12333" t="s" s="8">
        <v>14</v>
      </c>
      <c r="Q12333" t="s" s="12">
        <v>14</v>
      </c>
      <c r="R12333" t="s" s="12">
        <v>14</v>
      </c>
    </row>
    <row r="12334" s="2" customFormat="1" ht="13.5" customHeight="1">
      <c r="B12334" s="13"/>
      <c r="C12334" t="s" s="9">
        <v>16</v>
      </c>
      <c r="D12334" t="s" s="8">
        <v>4614</v>
      </c>
      <c r="E12334" t="s" s="9">
        <v>4614</v>
      </c>
      <c r="F12334" t="s" s="10">
        <v>220</v>
      </c>
      <c r="G12334" s="14"/>
      <c r="H12334" t="s" s="10">
        <v>185</v>
      </c>
      <c r="I12334" s="14"/>
      <c r="J12334" t="s" s="11">
        <v>20</v>
      </c>
      <c r="K12334" s="15"/>
      <c r="L12334" t="s" s="16">
        <f>HYPERLINK("http://csr.bu.edu/ftp/asl/asllvd/demos/verify_start_end_handshape_annotations//test_auto_move//signs_mov_separ_signers/Liz_1319.mov","MOV")</f>
        <v>21</v>
      </c>
      <c r="M12334" t="s" s="10">
        <v>34</v>
      </c>
      <c r="N12334" s="17">
        <v>38</v>
      </c>
      <c r="O12334" s="18">
        <v>5480</v>
      </c>
      <c r="P12334" s="18">
        <v>5521</v>
      </c>
      <c r="Q12334" s="15"/>
      <c r="R12334" t="s" s="16">
        <f>HYPERLINK("http://secrets.rutgers.edu:8080/data/asl-ftp/asllvd/demos/verify_start_end_handshape_annotations//test_auto_move//signs_mov_separ_signers/Liz_1319.mov","MOV")</f>
        <v>21</v>
      </c>
    </row>
    <row r="12335" s="2" customFormat="1" ht="13.5" customHeight="1">
      <c r="B12335" s="13"/>
      <c r="C12335" t="s" s="9">
        <v>23</v>
      </c>
      <c r="D12335" t="s" s="8">
        <v>4614</v>
      </c>
      <c r="E12335" t="s" s="9">
        <v>4614</v>
      </c>
      <c r="F12335" t="s" s="10">
        <v>220</v>
      </c>
      <c r="G12335" s="14"/>
      <c r="H12335" t="s" s="10">
        <v>185</v>
      </c>
      <c r="I12335" s="14"/>
      <c r="J12335" t="s" s="11">
        <v>20</v>
      </c>
      <c r="K12335" t="s" s="16">
        <f>HYPERLINK("http://csr.bu.edu/ftp/asl/asllvd/demos/verify_start_end_handshape_annotations//test_auto_move//signs_mov/1319.mov","MOV")</f>
        <v>21</v>
      </c>
      <c r="L12335" t="s" s="16">
        <f>HYPERLINK("http://csr.bu.edu/ftp/asl/asllvd/demos/verify_start_end_handshape_annotations//test_auto_move//signs_mov_separ_signers/Tyler_1319.mov","MOV")</f>
        <v>21</v>
      </c>
      <c r="M12335" t="s" s="10">
        <v>37</v>
      </c>
      <c r="N12335" s="17">
        <v>12</v>
      </c>
      <c r="O12335" s="18">
        <v>2645</v>
      </c>
      <c r="P12335" s="18">
        <v>2656</v>
      </c>
      <c r="Q12335" t="s" s="16">
        <f>HYPERLINK("http://secrets.rutgers.edu:8080/data/asl-ftp/asllvd/demos/verify_start_end_handshape_annotations//test_auto_move//signs_mov/1319.mov","MOV")</f>
        <v>21</v>
      </c>
      <c r="R12335" t="s" s="16">
        <f>HYPERLINK("http://secrets.rutgers.edu:8080/data/asl-ftp/asllvd/demos/verify_start_end_handshape_annotations//test_auto_move//signs_mov_separ_signers/Tyler_1319.mov","MOV")</f>
        <v>21</v>
      </c>
    </row>
    <row r="12336" s="2" customFormat="1" ht="13.5" customHeight="1">
      <c r="B12336" s="13"/>
      <c r="C12336" t="s" s="9">
        <v>27</v>
      </c>
      <c r="D12336" t="s" s="8">
        <v>4614</v>
      </c>
      <c r="E12336" t="s" s="9">
        <v>4614</v>
      </c>
      <c r="F12336" t="s" s="10">
        <v>220</v>
      </c>
      <c r="G12336" s="14"/>
      <c r="H12336" t="s" s="10">
        <v>185</v>
      </c>
      <c r="I12336" s="14"/>
      <c r="J12336" t="s" s="11">
        <v>20</v>
      </c>
      <c r="K12336" s="15"/>
      <c r="L12336" t="s" s="16">
        <f>HYPERLINK("http://csr.bu.edu/ftp/asl/asllvd/demos/verify_start_end_handshape_annotations//test_auto_move//signs_mov_separ_signers/Naomi_1319.mov","MOV")</f>
        <v>21</v>
      </c>
      <c r="M12336" t="s" s="10">
        <v>38</v>
      </c>
      <c r="N12336" s="17">
        <v>32</v>
      </c>
      <c r="O12336" s="18">
        <v>3140</v>
      </c>
      <c r="P12336" s="18">
        <v>3155</v>
      </c>
      <c r="Q12336" s="15"/>
      <c r="R12336" t="s" s="16">
        <f>HYPERLINK("http://secrets.rutgers.edu:8080/data/asl-ftp/asllvd/demos/verify_start_end_handshape_annotations//test_auto_move//signs_mov_separ_signers/Naomi_1319.mov","MOV")</f>
        <v>21</v>
      </c>
    </row>
    <row r="12337" s="2" customFormat="1" ht="13.5" customHeight="1">
      <c r="B12337" s="13"/>
      <c r="C12337" t="s" s="9">
        <v>30</v>
      </c>
      <c r="D12337" t="s" s="8">
        <v>4614</v>
      </c>
      <c r="E12337" t="s" s="9">
        <v>4614</v>
      </c>
      <c r="F12337" t="s" s="10">
        <v>220</v>
      </c>
      <c r="G12337" s="14"/>
      <c r="H12337" t="s" s="10">
        <v>185</v>
      </c>
      <c r="I12337" s="14"/>
      <c r="J12337" t="s" s="11">
        <v>20</v>
      </c>
      <c r="K12337" s="15"/>
      <c r="L12337" t="s" s="16">
        <f>HYPERLINK("http://csr.bu.edu/ftp/asl/asllvd/demos/verify_start_end_handshape_annotations//test_auto_move//signs_mov_separ_signers/Brady_1319.mov","MOV")</f>
        <v>21</v>
      </c>
      <c r="M12337" t="s" s="10">
        <v>39</v>
      </c>
      <c r="N12337" s="17">
        <v>44</v>
      </c>
      <c r="O12337" s="18">
        <v>1487</v>
      </c>
      <c r="P12337" s="18">
        <v>1506</v>
      </c>
      <c r="Q12337" s="15"/>
      <c r="R12337" t="s" s="16">
        <f>HYPERLINK("http://secrets.rutgers.edu:8080/data/asl-ftp/asllvd/demos/verify_start_end_handshape_annotations//test_auto_move//signs_mov_separ_signers/Brady_1319.mov","MOV")</f>
        <v>21</v>
      </c>
    </row>
    <row r="12338" s="2" customFormat="1" ht="13.5" customHeight="1">
      <c r="B12338" t="s" s="8">
        <v>4615</v>
      </c>
      <c r="C12338" t="s" s="9">
        <v>14</v>
      </c>
      <c r="D12338" t="s" s="8">
        <v>14</v>
      </c>
      <c r="E12338" t="s" s="9">
        <v>14</v>
      </c>
      <c r="F12338" t="s" s="10">
        <v>14</v>
      </c>
      <c r="G12338" t="s" s="11">
        <v>14</v>
      </c>
      <c r="H12338" t="s" s="10">
        <v>14</v>
      </c>
      <c r="I12338" t="s" s="11">
        <v>14</v>
      </c>
      <c r="J12338" t="s" s="11">
        <v>14</v>
      </c>
      <c r="K12338" t="s" s="12">
        <v>14</v>
      </c>
      <c r="L12338" t="s" s="12">
        <v>14</v>
      </c>
      <c r="M12338" t="s" s="10">
        <v>14</v>
      </c>
      <c r="N12338" t="s" s="11">
        <v>14</v>
      </c>
      <c r="O12338" t="s" s="8">
        <v>14</v>
      </c>
      <c r="P12338" t="s" s="8">
        <v>14</v>
      </c>
      <c r="Q12338" t="s" s="12">
        <v>14</v>
      </c>
      <c r="R12338" t="s" s="12">
        <v>14</v>
      </c>
    </row>
    <row r="12339" s="2" customFormat="1" ht="13.5" customHeight="1">
      <c r="B12339" s="13"/>
      <c r="C12339" t="s" s="9">
        <v>16</v>
      </c>
      <c r="D12339" t="s" s="8">
        <v>4616</v>
      </c>
      <c r="E12339" t="s" s="9">
        <v>4616</v>
      </c>
      <c r="F12339" t="s" s="10">
        <v>220</v>
      </c>
      <c r="G12339" s="14"/>
      <c r="H12339" t="s" s="10">
        <v>73</v>
      </c>
      <c r="I12339" t="s" s="11">
        <v>73</v>
      </c>
      <c r="J12339" t="s" s="11">
        <v>20</v>
      </c>
      <c r="K12339" s="15"/>
      <c r="L12339" t="s" s="16">
        <f>HYPERLINK("http://csr.bu.edu/ftp/asl/asllvd/demos/verify_start_end_handshape_annotations//test_auto_move//signs_mov_separ_signers/Liz_1336.mov","MOV")</f>
        <v>21</v>
      </c>
      <c r="M12339" t="s" s="10">
        <v>34</v>
      </c>
      <c r="N12339" s="17">
        <v>41</v>
      </c>
      <c r="O12339" s="18">
        <v>2195</v>
      </c>
      <c r="P12339" s="18">
        <v>2270</v>
      </c>
      <c r="Q12339" s="15"/>
      <c r="R12339" t="s" s="16">
        <f>HYPERLINK("http://secrets.rutgers.edu:8080/data/asl-ftp/asllvd/demos/verify_start_end_handshape_annotations//test_auto_move//signs_mov_separ_signers/Liz_1336.mov","MOV")</f>
        <v>21</v>
      </c>
    </row>
    <row r="12340" s="2" customFormat="1" ht="13.5" customHeight="1">
      <c r="B12340" s="13"/>
      <c r="C12340" t="s" s="9">
        <v>23</v>
      </c>
      <c r="D12340" t="s" s="8">
        <v>4616</v>
      </c>
      <c r="E12340" t="s" s="9">
        <v>4616</v>
      </c>
      <c r="F12340" t="s" s="10">
        <v>220</v>
      </c>
      <c r="G12340" s="17">
        <v>5</v>
      </c>
      <c r="H12340" s="19">
        <v>5</v>
      </c>
      <c r="I12340" s="17">
        <v>5</v>
      </c>
      <c r="J12340" t="s" s="11">
        <v>20</v>
      </c>
      <c r="K12340" t="s" s="16">
        <f>HYPERLINK("http://csr.bu.edu/ftp/asl/asllvd/demos/verify_start_end_handshape_annotations//test_auto_move//signs_mov/1336.mov","MOV")</f>
        <v>21</v>
      </c>
      <c r="L12340" t="s" s="16">
        <f>HYPERLINK("http://csr.bu.edu/ftp/asl/asllvd/demos/verify_start_end_handshape_annotations//test_auto_move//signs_mov_separ_signers/Tyler_1336.mov","MOV")</f>
        <v>21</v>
      </c>
      <c r="M12340" t="s" s="10">
        <v>37</v>
      </c>
      <c r="N12340" s="17">
        <v>14</v>
      </c>
      <c r="O12340" s="18">
        <v>1881</v>
      </c>
      <c r="P12340" s="18">
        <v>1955</v>
      </c>
      <c r="Q12340" t="s" s="16">
        <f>HYPERLINK("http://secrets.rutgers.edu:8080/data/asl-ftp/asllvd/demos/verify_start_end_handshape_annotations//test_auto_move//signs_mov/1336.mov","MOV")</f>
        <v>21</v>
      </c>
      <c r="R12340" t="s" s="16">
        <f>HYPERLINK("http://secrets.rutgers.edu:8080/data/asl-ftp/asllvd/demos/verify_start_end_handshape_annotations//test_auto_move//signs_mov_separ_signers/Tyler_1336.mov","MOV")</f>
        <v>21</v>
      </c>
    </row>
    <row r="12341" s="2" customFormat="1" ht="13.5" customHeight="1">
      <c r="B12341" s="13"/>
      <c r="C12341" t="s" s="9">
        <v>27</v>
      </c>
      <c r="D12341" t="s" s="8">
        <v>4616</v>
      </c>
      <c r="E12341" t="s" s="9">
        <v>4615</v>
      </c>
      <c r="F12341" t="s" s="10">
        <v>220</v>
      </c>
      <c r="G12341" t="s" s="11">
        <v>119</v>
      </c>
      <c r="H12341" s="19">
        <v>5</v>
      </c>
      <c r="I12341" s="17">
        <v>5</v>
      </c>
      <c r="J12341" t="s" s="11">
        <v>20</v>
      </c>
      <c r="K12341" s="15"/>
      <c r="L12341" t="s" s="16">
        <f>HYPERLINK("http://csr.bu.edu/ftp/asl/asllvd/demos/verify_start_end_handshape_annotations//test_auto_move//signs_mov_separ_signers/Naomi_1336.mov","MOV")</f>
        <v>21</v>
      </c>
      <c r="M12341" t="s" s="10">
        <v>38</v>
      </c>
      <c r="N12341" s="17">
        <v>34</v>
      </c>
      <c r="O12341" s="18">
        <v>3920</v>
      </c>
      <c r="P12341" s="18">
        <v>4010</v>
      </c>
      <c r="Q12341" s="15"/>
      <c r="R12341" t="s" s="16">
        <f>HYPERLINK("http://secrets.rutgers.edu:8080/data/asl-ftp/asllvd/demos/verify_start_end_handshape_annotations//test_auto_move//signs_mov_separ_signers/Naomi_1336.mov","MOV")</f>
        <v>21</v>
      </c>
    </row>
    <row r="12342" s="2" customFormat="1" ht="13.5" customHeight="1">
      <c r="B12342" s="13"/>
      <c r="C12342" t="s" s="9">
        <v>30</v>
      </c>
      <c r="D12342" t="s" s="8">
        <v>4616</v>
      </c>
      <c r="E12342" t="s" s="9">
        <v>4615</v>
      </c>
      <c r="F12342" t="s" s="10">
        <v>220</v>
      </c>
      <c r="G12342" s="14"/>
      <c r="H12342" s="19">
        <v>5</v>
      </c>
      <c r="I12342" s="17">
        <v>5</v>
      </c>
      <c r="J12342" t="s" s="11">
        <v>20</v>
      </c>
      <c r="K12342" s="15"/>
      <c r="L12342" t="s" s="16">
        <f>HYPERLINK("http://csr.bu.edu/ftp/asl/asllvd/demos/verify_start_end_handshape_annotations//test_auto_move//signs_mov_separ_signers/Brady_1336.mov","MOV")</f>
        <v>21</v>
      </c>
      <c r="M12342" t="s" s="10">
        <v>39</v>
      </c>
      <c r="N12342" s="17">
        <v>45</v>
      </c>
      <c r="O12342" s="18">
        <v>1143</v>
      </c>
      <c r="P12342" s="18">
        <v>1196</v>
      </c>
      <c r="Q12342" s="15"/>
      <c r="R12342" t="s" s="16">
        <f>HYPERLINK("http://secrets.rutgers.edu:8080/data/asl-ftp/asllvd/demos/verify_start_end_handshape_annotations//test_auto_move//signs_mov_separ_signers/Brady_1336.mov","MOV")</f>
        <v>21</v>
      </c>
    </row>
    <row r="12343" s="2" customFormat="1" ht="27.75" customHeight="1">
      <c r="B12343" t="s" s="8">
        <v>4617</v>
      </c>
      <c r="C12343" t="s" s="9">
        <v>14</v>
      </c>
      <c r="D12343" t="s" s="8">
        <v>14</v>
      </c>
      <c r="E12343" t="s" s="9">
        <v>14</v>
      </c>
      <c r="F12343" t="s" s="10">
        <v>14</v>
      </c>
      <c r="G12343" t="s" s="11">
        <v>14</v>
      </c>
      <c r="H12343" t="s" s="10">
        <v>14</v>
      </c>
      <c r="I12343" t="s" s="11">
        <v>14</v>
      </c>
      <c r="J12343" t="s" s="11">
        <v>14</v>
      </c>
      <c r="K12343" t="s" s="12">
        <v>14</v>
      </c>
      <c r="L12343" t="s" s="12">
        <v>14</v>
      </c>
      <c r="M12343" t="s" s="10">
        <v>14</v>
      </c>
      <c r="N12343" t="s" s="11">
        <v>14</v>
      </c>
      <c r="O12343" t="s" s="8">
        <v>14</v>
      </c>
      <c r="P12343" t="s" s="8">
        <v>14</v>
      </c>
      <c r="Q12343" t="s" s="12">
        <v>14</v>
      </c>
      <c r="R12343" t="s" s="12">
        <v>14</v>
      </c>
    </row>
    <row r="12344" s="2" customFormat="1" ht="27.75" customHeight="1">
      <c r="B12344" s="13"/>
      <c r="C12344" t="s" s="9">
        <v>16</v>
      </c>
      <c r="D12344" t="s" s="8">
        <v>4617</v>
      </c>
      <c r="E12344" t="s" s="9">
        <v>4617</v>
      </c>
      <c r="F12344" t="s" s="10">
        <v>73</v>
      </c>
      <c r="G12344" t="s" s="11">
        <v>73</v>
      </c>
      <c r="H12344" t="s" s="10">
        <v>73</v>
      </c>
      <c r="I12344" t="s" s="11">
        <v>73</v>
      </c>
      <c r="J12344" t="s" s="11">
        <v>20</v>
      </c>
      <c r="K12344" t="s" s="16">
        <f>HYPERLINK("http://csr.bu.edu/ftp/asl/asllvd/demos/verify_start_end_handshape_annotations//test_auto_move//signs_mov/1338.mov","MOV")</f>
        <v>21</v>
      </c>
      <c r="L12344" t="s" s="16">
        <f>HYPERLINK("http://csr.bu.edu/ftp/asl/asllvd/demos/verify_start_end_handshape_annotations//test_auto_move//signs_mov_separ_signers/Liz_1338.mov","MOV")</f>
        <v>21</v>
      </c>
      <c r="M12344" t="s" s="10">
        <v>77</v>
      </c>
      <c r="N12344" s="17">
        <v>12</v>
      </c>
      <c r="O12344" s="18">
        <v>735</v>
      </c>
      <c r="P12344" s="18">
        <v>815</v>
      </c>
      <c r="Q12344" t="s" s="16">
        <f>HYPERLINK("http://secrets.rutgers.edu:8080/data/asl-ftp/asllvd/demos/verify_start_end_handshape_annotations//test_auto_move//signs_mov/1338.mov","MOV")</f>
        <v>21</v>
      </c>
      <c r="R12344" t="s" s="16">
        <f>HYPERLINK("http://secrets.rutgers.edu:8080/data/asl-ftp/asllvd/demos/verify_start_end_handshape_annotations//test_auto_move//signs_mov_separ_signers/Liz_1338.mov","MOV")</f>
        <v>21</v>
      </c>
    </row>
    <row r="12345" s="2" customFormat="1" ht="27.75" customHeight="1">
      <c r="B12345" s="13"/>
      <c r="C12345" t="s" s="9">
        <v>30</v>
      </c>
      <c r="D12345" t="s" s="8">
        <v>4617</v>
      </c>
      <c r="E12345" t="s" s="9">
        <v>4617</v>
      </c>
      <c r="F12345" t="s" s="10">
        <v>73</v>
      </c>
      <c r="G12345" t="s" s="11">
        <v>73</v>
      </c>
      <c r="H12345" t="s" s="10">
        <v>73</v>
      </c>
      <c r="I12345" t="s" s="11">
        <v>73</v>
      </c>
      <c r="J12345" t="s" s="11">
        <v>20</v>
      </c>
      <c r="K12345" s="15"/>
      <c r="L12345" t="s" s="16">
        <f>HYPERLINK("http://csr.bu.edu/ftp/asl/asllvd/demos/verify_start_end_handshape_annotations//test_auto_move//signs_mov_separ_signers/Brady_1338.mov","MOV")</f>
        <v>21</v>
      </c>
      <c r="M12345" t="s" s="10">
        <v>39</v>
      </c>
      <c r="N12345" s="17">
        <v>45</v>
      </c>
      <c r="O12345" s="18">
        <v>2333</v>
      </c>
      <c r="P12345" s="18">
        <v>2372</v>
      </c>
      <c r="Q12345" s="15"/>
      <c r="R12345" t="s" s="16">
        <f>HYPERLINK("http://secrets.rutgers.edu:8080/data/asl-ftp/asllvd/demos/verify_start_end_handshape_annotations//test_auto_move//signs_mov_separ_signers/Brady_1338.mov","MOV")</f>
        <v>21</v>
      </c>
    </row>
    <row r="12346" s="2" customFormat="1" ht="27.75" customHeight="1">
      <c r="B12346" t="s" s="8">
        <v>4618</v>
      </c>
      <c r="C12346" t="s" s="9">
        <v>14</v>
      </c>
      <c r="D12346" t="s" s="8">
        <v>14</v>
      </c>
      <c r="E12346" t="s" s="9">
        <v>14</v>
      </c>
      <c r="F12346" t="s" s="10">
        <v>14</v>
      </c>
      <c r="G12346" t="s" s="11">
        <v>14</v>
      </c>
      <c r="H12346" t="s" s="10">
        <v>14</v>
      </c>
      <c r="I12346" t="s" s="11">
        <v>14</v>
      </c>
      <c r="J12346" t="s" s="11">
        <v>14</v>
      </c>
      <c r="K12346" t="s" s="12">
        <v>14</v>
      </c>
      <c r="L12346" t="s" s="12">
        <v>14</v>
      </c>
      <c r="M12346" t="s" s="10">
        <v>14</v>
      </c>
      <c r="N12346" t="s" s="11">
        <v>14</v>
      </c>
      <c r="O12346" t="s" s="8">
        <v>14</v>
      </c>
      <c r="P12346" t="s" s="8">
        <v>14</v>
      </c>
      <c r="Q12346" t="s" s="12">
        <v>14</v>
      </c>
      <c r="R12346" t="s" s="12">
        <v>14</v>
      </c>
    </row>
    <row r="12347" s="2" customFormat="1" ht="27.75" customHeight="1">
      <c r="B12347" s="13"/>
      <c r="C12347" t="s" s="9">
        <v>16</v>
      </c>
      <c r="D12347" t="s" s="8">
        <v>4618</v>
      </c>
      <c r="E12347" t="s" s="9">
        <v>4618</v>
      </c>
      <c r="F12347" t="s" s="10">
        <v>230</v>
      </c>
      <c r="G12347" t="s" s="11">
        <v>240</v>
      </c>
      <c r="H12347" t="s" s="10">
        <v>230</v>
      </c>
      <c r="I12347" t="s" s="11">
        <v>240</v>
      </c>
      <c r="J12347" t="s" s="11">
        <v>20</v>
      </c>
      <c r="K12347" t="s" s="16">
        <f>HYPERLINK("http://csr.bu.edu/ftp/asl/asllvd/demos/verify_start_end_handshape_annotations//test_auto_move//signs_mov/1351.mov","MOV")</f>
        <v>21</v>
      </c>
      <c r="L12347" t="s" s="16">
        <f>HYPERLINK("http://csr.bu.edu/ftp/asl/asllvd/demos/verify_start_end_handshape_annotations//test_auto_move//signs_mov_separ_signers/Liz_1351.mov","MOV")</f>
        <v>21</v>
      </c>
      <c r="M12347" t="s" s="10">
        <v>34</v>
      </c>
      <c r="N12347" s="17">
        <v>43</v>
      </c>
      <c r="O12347" s="18">
        <v>840</v>
      </c>
      <c r="P12347" s="18">
        <v>896</v>
      </c>
      <c r="Q12347" t="s" s="16">
        <f>HYPERLINK("http://secrets.rutgers.edu:8080/data/asl-ftp/asllvd/demos/verify_start_end_handshape_annotations//test_auto_move//signs_mov/1351.mov","MOV")</f>
        <v>21</v>
      </c>
      <c r="R12347" t="s" s="16">
        <f>HYPERLINK("http://secrets.rutgers.edu:8080/data/asl-ftp/asllvd/demos/verify_start_end_handshape_annotations//test_auto_move//signs_mov_separ_signers/Liz_1351.mov","MOV")</f>
        <v>21</v>
      </c>
    </row>
    <row r="12348" s="2" customFormat="1" ht="27.75" customHeight="1">
      <c r="B12348" s="13"/>
      <c r="C12348" t="s" s="9">
        <v>27</v>
      </c>
      <c r="D12348" t="s" s="8">
        <v>4618</v>
      </c>
      <c r="E12348" t="s" s="9">
        <v>4618</v>
      </c>
      <c r="F12348" t="s" s="10">
        <v>230</v>
      </c>
      <c r="G12348" t="s" s="11">
        <v>229</v>
      </c>
      <c r="H12348" t="s" s="10">
        <v>230</v>
      </c>
      <c r="I12348" t="s" s="11">
        <v>229</v>
      </c>
      <c r="J12348" t="s" s="11">
        <v>20</v>
      </c>
      <c r="K12348" s="15"/>
      <c r="L12348" t="s" s="16">
        <f>HYPERLINK("http://csr.bu.edu/ftp/asl/asllvd/demos/verify_start_end_handshape_annotations//test_auto_move//signs_mov_separ_signers/Naomi_1351.mov","MOV")</f>
        <v>21</v>
      </c>
      <c r="M12348" t="s" s="10">
        <v>38</v>
      </c>
      <c r="N12348" s="17">
        <v>36</v>
      </c>
      <c r="O12348" s="18">
        <v>340</v>
      </c>
      <c r="P12348" s="18">
        <v>390</v>
      </c>
      <c r="Q12348" s="15"/>
      <c r="R12348" t="s" s="16">
        <f>HYPERLINK("http://secrets.rutgers.edu:8080/data/asl-ftp/asllvd/demos/verify_start_end_handshape_annotations//test_auto_move//signs_mov_separ_signers/Naomi_1351.mov","MOV")</f>
        <v>21</v>
      </c>
    </row>
    <row r="12349" s="2" customFormat="1" ht="13.5" customHeight="1">
      <c r="B12349" t="s" s="8">
        <v>4619</v>
      </c>
      <c r="C12349" t="s" s="9">
        <v>14</v>
      </c>
      <c r="D12349" t="s" s="8">
        <v>14</v>
      </c>
      <c r="E12349" t="s" s="9">
        <v>14</v>
      </c>
      <c r="F12349" t="s" s="10">
        <v>14</v>
      </c>
      <c r="G12349" t="s" s="11">
        <v>14</v>
      </c>
      <c r="H12349" t="s" s="10">
        <v>14</v>
      </c>
      <c r="I12349" t="s" s="11">
        <v>14</v>
      </c>
      <c r="J12349" t="s" s="11">
        <v>14</v>
      </c>
      <c r="K12349" t="s" s="12">
        <v>14</v>
      </c>
      <c r="L12349" t="s" s="12">
        <v>14</v>
      </c>
      <c r="M12349" t="s" s="10">
        <v>14</v>
      </c>
      <c r="N12349" t="s" s="11">
        <v>14</v>
      </c>
      <c r="O12349" t="s" s="8">
        <v>14</v>
      </c>
      <c r="P12349" t="s" s="8">
        <v>14</v>
      </c>
      <c r="Q12349" t="s" s="12">
        <v>14</v>
      </c>
      <c r="R12349" t="s" s="12">
        <v>14</v>
      </c>
    </row>
    <row r="12350" s="2" customFormat="1" ht="13.5" customHeight="1">
      <c r="B12350" s="13"/>
      <c r="C12350" t="s" s="9">
        <v>16</v>
      </c>
      <c r="D12350" t="s" s="8">
        <v>4619</v>
      </c>
      <c r="E12350" t="s" s="9">
        <v>4619</v>
      </c>
      <c r="F12350" t="s" s="10">
        <v>80</v>
      </c>
      <c r="G12350" s="14"/>
      <c r="H12350" t="s" s="10">
        <v>80</v>
      </c>
      <c r="I12350" t="s" s="11">
        <v>55</v>
      </c>
      <c r="J12350" t="s" s="11">
        <v>20</v>
      </c>
      <c r="K12350" s="15"/>
      <c r="L12350" t="s" s="16">
        <f>HYPERLINK("http://csr.bu.edu/ftp/asl/asllvd/demos/verify_start_end_handshape_annotations//test_auto_move//signs_mov_separ_signers/Liz_1360.mov","MOV")</f>
        <v>21</v>
      </c>
      <c r="M12350" t="s" s="10">
        <v>34</v>
      </c>
      <c r="N12350" s="17">
        <v>44</v>
      </c>
      <c r="O12350" s="18">
        <v>235</v>
      </c>
      <c r="P12350" s="18">
        <v>280</v>
      </c>
      <c r="Q12350" s="15"/>
      <c r="R12350" t="s" s="16">
        <f>HYPERLINK("http://secrets.rutgers.edu:8080/data/asl-ftp/asllvd/demos/verify_start_end_handshape_annotations//test_auto_move//signs_mov_separ_signers/Liz_1360.mov","MOV")</f>
        <v>21</v>
      </c>
    </row>
    <row r="12351" s="2" customFormat="1" ht="13.5" customHeight="1">
      <c r="B12351" s="13"/>
      <c r="C12351" t="s" s="9">
        <v>23</v>
      </c>
      <c r="D12351" t="s" s="8">
        <v>4619</v>
      </c>
      <c r="E12351" t="s" s="9">
        <v>4619</v>
      </c>
      <c r="F12351" t="s" s="10">
        <v>80</v>
      </c>
      <c r="G12351" t="s" s="11">
        <v>105</v>
      </c>
      <c r="H12351" t="s" s="10">
        <v>80</v>
      </c>
      <c r="I12351" t="s" s="11">
        <v>105</v>
      </c>
      <c r="J12351" t="s" s="11">
        <v>20</v>
      </c>
      <c r="K12351" t="s" s="16">
        <f>HYPERLINK("http://csr.bu.edu/ftp/asl/asllvd/demos/verify_start_end_handshape_annotations//test_auto_move//signs_mov/1360.mov","MOV")</f>
        <v>21</v>
      </c>
      <c r="L12351" t="s" s="16">
        <f>HYPERLINK("http://csr.bu.edu/ftp/asl/asllvd/demos/verify_start_end_handshape_annotations//test_auto_move//signs_mov_separ_signers/Tyler_1360.mov","MOV")</f>
        <v>21</v>
      </c>
      <c r="M12351" t="s" s="10">
        <v>37</v>
      </c>
      <c r="N12351" s="17">
        <v>16</v>
      </c>
      <c r="O12351" s="18">
        <v>2625</v>
      </c>
      <c r="P12351" s="18">
        <v>2650</v>
      </c>
      <c r="Q12351" t="s" s="16">
        <f>HYPERLINK("http://secrets.rutgers.edu:8080/data/asl-ftp/asllvd/demos/verify_start_end_handshape_annotations//test_auto_move//signs_mov/1360.mov","MOV")</f>
        <v>21</v>
      </c>
      <c r="R12351" t="s" s="16">
        <f>HYPERLINK("http://secrets.rutgers.edu:8080/data/asl-ftp/asllvd/demos/verify_start_end_handshape_annotations//test_auto_move//signs_mov_separ_signers/Tyler_1360.mov","MOV")</f>
        <v>21</v>
      </c>
    </row>
    <row r="12352" s="2" customFormat="1" ht="13.5" customHeight="1">
      <c r="B12352" s="13"/>
      <c r="C12352" t="s" s="9">
        <v>27</v>
      </c>
      <c r="D12352" t="s" s="8">
        <v>4619</v>
      </c>
      <c r="E12352" t="s" s="9">
        <v>4619</v>
      </c>
      <c r="F12352" t="s" s="10">
        <v>73</v>
      </c>
      <c r="G12352" s="14"/>
      <c r="H12352" t="s" s="10">
        <v>80</v>
      </c>
      <c r="I12352" t="s" s="11">
        <v>55</v>
      </c>
      <c r="J12352" t="s" s="11">
        <v>20</v>
      </c>
      <c r="K12352" s="15"/>
      <c r="L12352" t="s" s="16">
        <f>HYPERLINK("http://csr.bu.edu/ftp/asl/asllvd/demos/verify_start_end_handshape_annotations//test_auto_move//signs_mov_separ_signers/Naomi_1360.mov","MOV")</f>
        <v>21</v>
      </c>
      <c r="M12352" t="s" s="10">
        <v>38</v>
      </c>
      <c r="N12352" s="17">
        <v>36</v>
      </c>
      <c r="O12352" s="18">
        <v>3671</v>
      </c>
      <c r="P12352" s="18">
        <v>3697</v>
      </c>
      <c r="Q12352" s="15"/>
      <c r="R12352" t="s" s="16">
        <f>HYPERLINK("http://secrets.rutgers.edu:8080/data/asl-ftp/asllvd/demos/verify_start_end_handshape_annotations//test_auto_move//signs_mov_separ_signers/Naomi_1360.mov","MOV")</f>
        <v>21</v>
      </c>
    </row>
    <row r="12353" s="2" customFormat="1" ht="13.5" customHeight="1">
      <c r="B12353" s="13"/>
      <c r="C12353" t="s" s="9">
        <v>30</v>
      </c>
      <c r="D12353" t="s" s="8">
        <v>4619</v>
      </c>
      <c r="E12353" t="s" s="9">
        <v>4619</v>
      </c>
      <c r="F12353" t="s" s="10">
        <v>80</v>
      </c>
      <c r="G12353" s="14"/>
      <c r="H12353" t="s" s="10">
        <v>80</v>
      </c>
      <c r="I12353" t="s" s="11">
        <v>105</v>
      </c>
      <c r="J12353" t="s" s="11">
        <v>20</v>
      </c>
      <c r="K12353" s="15"/>
      <c r="L12353" t="s" s="16">
        <f>HYPERLINK("http://csr.bu.edu/ftp/asl/asllvd/demos/verify_start_end_handshape_annotations//test_auto_move//signs_mov_separ_signers/Brady_1360.mov","MOV")</f>
        <v>21</v>
      </c>
      <c r="M12353" t="s" s="10">
        <v>39</v>
      </c>
      <c r="N12353" s="17">
        <v>46</v>
      </c>
      <c r="O12353" s="18">
        <v>5556</v>
      </c>
      <c r="P12353" s="18">
        <v>5582</v>
      </c>
      <c r="Q12353" s="15"/>
      <c r="R12353" t="s" s="16">
        <f>HYPERLINK("http://secrets.rutgers.edu:8080/data/asl-ftp/asllvd/demos/verify_start_end_handshape_annotations//test_auto_move//signs_mov_separ_signers/Brady_1360.mov","MOV")</f>
        <v>21</v>
      </c>
    </row>
    <row r="12354" s="2" customFormat="1" ht="13.5" customHeight="1">
      <c r="B12354" t="s" s="8">
        <v>4620</v>
      </c>
      <c r="C12354" t="s" s="9">
        <v>14</v>
      </c>
      <c r="D12354" t="s" s="8">
        <v>14</v>
      </c>
      <c r="E12354" t="s" s="9">
        <v>14</v>
      </c>
      <c r="F12354" t="s" s="10">
        <v>14</v>
      </c>
      <c r="G12354" t="s" s="11">
        <v>14</v>
      </c>
      <c r="H12354" t="s" s="10">
        <v>14</v>
      </c>
      <c r="I12354" t="s" s="11">
        <v>14</v>
      </c>
      <c r="J12354" t="s" s="11">
        <v>14</v>
      </c>
      <c r="K12354" t="s" s="12">
        <v>14</v>
      </c>
      <c r="L12354" t="s" s="12">
        <v>14</v>
      </c>
      <c r="M12354" t="s" s="10">
        <v>14</v>
      </c>
      <c r="N12354" t="s" s="11">
        <v>14</v>
      </c>
      <c r="O12354" t="s" s="8">
        <v>14</v>
      </c>
      <c r="P12354" t="s" s="8">
        <v>14</v>
      </c>
      <c r="Q12354" t="s" s="12">
        <v>14</v>
      </c>
      <c r="R12354" t="s" s="12">
        <v>14</v>
      </c>
    </row>
    <row r="12355" s="2" customFormat="1" ht="13.5" customHeight="1">
      <c r="B12355" s="13"/>
      <c r="C12355" t="s" s="9">
        <v>16</v>
      </c>
      <c r="D12355" t="s" s="8">
        <v>4620</v>
      </c>
      <c r="E12355" t="s" s="9">
        <v>4620</v>
      </c>
      <c r="F12355" t="s" s="10">
        <v>25</v>
      </c>
      <c r="G12355" t="s" s="11">
        <v>73</v>
      </c>
      <c r="H12355" t="s" s="10">
        <v>73</v>
      </c>
      <c r="I12355" t="s" s="11">
        <v>73</v>
      </c>
      <c r="J12355" t="s" s="11">
        <v>20</v>
      </c>
      <c r="K12355" s="15"/>
      <c r="L12355" t="s" s="16">
        <f>HYPERLINK("http://csr.bu.edu/ftp/asl/asllvd/demos/verify_start_end_handshape_annotations//test_auto_move//signs_mov_separ_signers/Liz_1367.mov","MOV")</f>
        <v>21</v>
      </c>
      <c r="M12355" t="s" s="10">
        <v>34</v>
      </c>
      <c r="N12355" s="17">
        <v>44</v>
      </c>
      <c r="O12355" s="18">
        <v>1905</v>
      </c>
      <c r="P12355" s="18">
        <v>1976</v>
      </c>
      <c r="Q12355" s="15"/>
      <c r="R12355" t="s" s="16">
        <f>HYPERLINK("http://secrets.rutgers.edu:8080/data/asl-ftp/asllvd/demos/verify_start_end_handshape_annotations//test_auto_move//signs_mov_separ_signers/Liz_1367.mov","MOV")</f>
        <v>21</v>
      </c>
    </row>
    <row r="12356" s="2" customFormat="1" ht="13.5" customHeight="1">
      <c r="B12356" s="13"/>
      <c r="C12356" t="s" s="9">
        <v>23</v>
      </c>
      <c r="D12356" t="s" s="8">
        <v>4620</v>
      </c>
      <c r="E12356" t="s" s="9">
        <v>4620</v>
      </c>
      <c r="F12356" t="s" s="10">
        <v>25</v>
      </c>
      <c r="G12356" t="s" s="11">
        <v>73</v>
      </c>
      <c r="H12356" t="s" s="10">
        <v>73</v>
      </c>
      <c r="I12356" t="s" s="11">
        <v>73</v>
      </c>
      <c r="J12356" t="s" s="11">
        <v>20</v>
      </c>
      <c r="K12356" t="s" s="16">
        <f>HYPERLINK("http://csr.bu.edu/ftp/asl/asllvd/demos/verify_start_end_handshape_annotations//test_auto_move//signs_mov/1367.mov","MOV")</f>
        <v>21</v>
      </c>
      <c r="L12356" t="s" s="16">
        <f>HYPERLINK("http://csr.bu.edu/ftp/asl/asllvd/demos/verify_start_end_handshape_annotations//test_auto_move//signs_mov_separ_signers/Tyler_1367.mov","MOV")</f>
        <v>21</v>
      </c>
      <c r="M12356" t="s" s="10">
        <v>37</v>
      </c>
      <c r="N12356" s="17">
        <v>17</v>
      </c>
      <c r="O12356" s="18">
        <v>2023</v>
      </c>
      <c r="P12356" s="18">
        <v>2077</v>
      </c>
      <c r="Q12356" t="s" s="16">
        <f>HYPERLINK("http://secrets.rutgers.edu:8080/data/asl-ftp/asllvd/demos/verify_start_end_handshape_annotations//test_auto_move//signs_mov/1367.mov","MOV")</f>
        <v>21</v>
      </c>
      <c r="R12356" t="s" s="16">
        <f>HYPERLINK("http://secrets.rutgers.edu:8080/data/asl-ftp/asllvd/demos/verify_start_end_handshape_annotations//test_auto_move//signs_mov_separ_signers/Tyler_1367.mov","MOV")</f>
        <v>21</v>
      </c>
    </row>
    <row r="12357" s="2" customFormat="1" ht="13.5" customHeight="1">
      <c r="B12357" s="13"/>
      <c r="C12357" t="s" s="9">
        <v>27</v>
      </c>
      <c r="D12357" t="s" s="8">
        <v>4620</v>
      </c>
      <c r="E12357" t="s" s="9">
        <v>4620</v>
      </c>
      <c r="F12357" t="s" s="10">
        <v>25</v>
      </c>
      <c r="G12357" t="s" s="11">
        <v>73</v>
      </c>
      <c r="H12357" t="s" s="10">
        <v>73</v>
      </c>
      <c r="I12357" t="s" s="11">
        <v>73</v>
      </c>
      <c r="J12357" t="s" s="11">
        <v>20</v>
      </c>
      <c r="K12357" s="15"/>
      <c r="L12357" t="s" s="16">
        <f>HYPERLINK("http://csr.bu.edu/ftp/asl/asllvd/demos/verify_start_end_handshape_annotations//test_auto_move//signs_mov_separ_signers/Naomi_1367.mov","MOV")</f>
        <v>21</v>
      </c>
      <c r="M12357" t="s" s="10">
        <v>38</v>
      </c>
      <c r="N12357" s="17">
        <v>37</v>
      </c>
      <c r="O12357" s="18">
        <v>4067</v>
      </c>
      <c r="P12357" s="18">
        <v>4127</v>
      </c>
      <c r="Q12357" s="15"/>
      <c r="R12357" t="s" s="16">
        <f>HYPERLINK("http://secrets.rutgers.edu:8080/data/asl-ftp/asllvd/demos/verify_start_end_handshape_annotations//test_auto_move//signs_mov_separ_signers/Naomi_1367.mov","MOV")</f>
        <v>21</v>
      </c>
    </row>
    <row r="12358" s="2" customFormat="1" ht="13.5" customHeight="1">
      <c r="B12358" s="13"/>
      <c r="C12358" t="s" s="9">
        <v>30</v>
      </c>
      <c r="D12358" t="s" s="8">
        <v>4620</v>
      </c>
      <c r="E12358" t="s" s="9">
        <v>4620</v>
      </c>
      <c r="F12358" t="s" s="10">
        <v>25</v>
      </c>
      <c r="G12358" t="s" s="11">
        <v>73</v>
      </c>
      <c r="H12358" t="s" s="10">
        <v>73</v>
      </c>
      <c r="I12358" t="s" s="11">
        <v>73</v>
      </c>
      <c r="J12358" t="s" s="11">
        <v>20</v>
      </c>
      <c r="K12358" s="15"/>
      <c r="L12358" t="s" s="16">
        <f>HYPERLINK("http://csr.bu.edu/ftp/asl/asllvd/demos/verify_start_end_handshape_annotations//test_auto_move//signs_mov_separ_signers/Brady_1367.mov","MOV")</f>
        <v>21</v>
      </c>
      <c r="M12358" t="s" s="10">
        <v>39</v>
      </c>
      <c r="N12358" s="17">
        <v>47</v>
      </c>
      <c r="O12358" s="18">
        <v>2686</v>
      </c>
      <c r="P12358" s="18">
        <v>2722</v>
      </c>
      <c r="Q12358" s="15"/>
      <c r="R12358" t="s" s="16">
        <f>HYPERLINK("http://secrets.rutgers.edu:8080/data/asl-ftp/asllvd/demos/verify_start_end_handshape_annotations//test_auto_move//signs_mov_separ_signers/Brady_1367.mov","MOV")</f>
        <v>21</v>
      </c>
    </row>
    <row r="12359" s="2" customFormat="1" ht="13.5" customHeight="1">
      <c r="B12359" t="s" s="8">
        <v>4621</v>
      </c>
      <c r="C12359" t="s" s="9">
        <v>14</v>
      </c>
      <c r="D12359" t="s" s="8">
        <v>14</v>
      </c>
      <c r="E12359" t="s" s="9">
        <v>14</v>
      </c>
      <c r="F12359" t="s" s="10">
        <v>14</v>
      </c>
      <c r="G12359" t="s" s="11">
        <v>14</v>
      </c>
      <c r="H12359" t="s" s="10">
        <v>14</v>
      </c>
      <c r="I12359" t="s" s="11">
        <v>14</v>
      </c>
      <c r="J12359" t="s" s="11">
        <v>14</v>
      </c>
      <c r="K12359" t="s" s="12">
        <v>14</v>
      </c>
      <c r="L12359" t="s" s="12">
        <v>14</v>
      </c>
      <c r="M12359" t="s" s="10">
        <v>14</v>
      </c>
      <c r="N12359" t="s" s="11">
        <v>14</v>
      </c>
      <c r="O12359" t="s" s="8">
        <v>14</v>
      </c>
      <c r="P12359" t="s" s="8">
        <v>14</v>
      </c>
      <c r="Q12359" t="s" s="12">
        <v>14</v>
      </c>
      <c r="R12359" t="s" s="12">
        <v>14</v>
      </c>
    </row>
    <row r="12360" s="2" customFormat="1" ht="13.5" customHeight="1">
      <c r="B12360" s="13"/>
      <c r="C12360" t="s" s="9">
        <v>16</v>
      </c>
      <c r="D12360" t="s" s="8">
        <v>4621</v>
      </c>
      <c r="E12360" t="s" s="9">
        <v>4621</v>
      </c>
      <c r="F12360" t="s" s="10">
        <v>25</v>
      </c>
      <c r="G12360" t="s" s="11">
        <v>73</v>
      </c>
      <c r="H12360" t="s" s="10">
        <v>73</v>
      </c>
      <c r="I12360" t="s" s="11">
        <v>73</v>
      </c>
      <c r="J12360" t="s" s="11">
        <v>20</v>
      </c>
      <c r="K12360" s="15"/>
      <c r="L12360" t="s" s="16">
        <f>HYPERLINK("http://csr.bu.edu/ftp/asl/asllvd/demos/verify_start_end_handshape_annotations//test_auto_move//signs_mov_separ_signers/Liz_1393.mov","MOV")</f>
        <v>21</v>
      </c>
      <c r="M12360" t="s" s="10">
        <v>34</v>
      </c>
      <c r="N12360" s="17">
        <v>48</v>
      </c>
      <c r="O12360" s="18">
        <v>1200</v>
      </c>
      <c r="P12360" s="18">
        <v>1255</v>
      </c>
      <c r="Q12360" s="15"/>
      <c r="R12360" t="s" s="16">
        <f>HYPERLINK("http://secrets.rutgers.edu:8080/data/asl-ftp/asllvd/demos/verify_start_end_handshape_annotations//test_auto_move//signs_mov_separ_signers/Liz_1393.mov","MOV")</f>
        <v>21</v>
      </c>
    </row>
    <row r="12361" s="2" customFormat="1" ht="13.5" customHeight="1">
      <c r="B12361" s="13"/>
      <c r="C12361" t="s" s="9">
        <v>23</v>
      </c>
      <c r="D12361" t="s" s="8">
        <v>4621</v>
      </c>
      <c r="E12361" t="s" s="9">
        <v>4621</v>
      </c>
      <c r="F12361" t="s" s="10">
        <v>25</v>
      </c>
      <c r="G12361" t="s" s="11">
        <v>73</v>
      </c>
      <c r="H12361" t="s" s="10">
        <v>73</v>
      </c>
      <c r="I12361" t="s" s="11">
        <v>73</v>
      </c>
      <c r="J12361" t="s" s="11">
        <v>20</v>
      </c>
      <c r="K12361" t="s" s="16">
        <f>HYPERLINK("http://csr.bu.edu/ftp/asl/asllvd/demos/verify_start_end_handshape_annotations//test_auto_move//signs_mov/1393.mov","MOV")</f>
        <v>21</v>
      </c>
      <c r="L12361" t="s" s="16">
        <f>HYPERLINK("http://csr.bu.edu/ftp/asl/asllvd/demos/verify_start_end_handshape_annotations//test_auto_move//signs_mov_separ_signers/Tyler_1393.mov","MOV")</f>
        <v>21</v>
      </c>
      <c r="M12361" t="s" s="10">
        <v>37</v>
      </c>
      <c r="N12361" s="17">
        <v>20</v>
      </c>
      <c r="O12361" s="18">
        <v>946</v>
      </c>
      <c r="P12361" s="18">
        <v>988</v>
      </c>
      <c r="Q12361" t="s" s="16">
        <f>HYPERLINK("http://secrets.rutgers.edu:8080/data/asl-ftp/asllvd/demos/verify_start_end_handshape_annotations//test_auto_move//signs_mov/1393.mov","MOV")</f>
        <v>21</v>
      </c>
      <c r="R12361" t="s" s="16">
        <f>HYPERLINK("http://secrets.rutgers.edu:8080/data/asl-ftp/asllvd/demos/verify_start_end_handshape_annotations//test_auto_move//signs_mov_separ_signers/Tyler_1393.mov","MOV")</f>
        <v>21</v>
      </c>
    </row>
    <row r="12362" s="2" customFormat="1" ht="13.5" customHeight="1">
      <c r="B12362" s="13"/>
      <c r="C12362" t="s" s="9">
        <v>27</v>
      </c>
      <c r="D12362" t="s" s="8">
        <v>4621</v>
      </c>
      <c r="E12362" t="s" s="9">
        <v>4621</v>
      </c>
      <c r="F12362" t="s" s="10">
        <v>25</v>
      </c>
      <c r="G12362" t="s" s="11">
        <v>73</v>
      </c>
      <c r="H12362" t="s" s="10">
        <v>73</v>
      </c>
      <c r="I12362" t="s" s="11">
        <v>73</v>
      </c>
      <c r="J12362" t="s" s="11">
        <v>20</v>
      </c>
      <c r="K12362" s="15"/>
      <c r="L12362" t="s" s="16">
        <f>HYPERLINK("http://csr.bu.edu/ftp/asl/asllvd/demos/verify_start_end_handshape_annotations//test_auto_move//signs_mov_separ_signers/Naomi_1393.mov","MOV")</f>
        <v>21</v>
      </c>
      <c r="M12362" t="s" s="10">
        <v>48</v>
      </c>
      <c r="N12362" s="17">
        <v>3</v>
      </c>
      <c r="O12362" s="18">
        <v>1252</v>
      </c>
      <c r="P12362" s="18">
        <v>1305</v>
      </c>
      <c r="Q12362" s="15"/>
      <c r="R12362" t="s" s="16">
        <f>HYPERLINK("http://secrets.rutgers.edu:8080/data/asl-ftp/asllvd/demos/verify_start_end_handshape_annotations//test_auto_move//signs_mov_separ_signers/Naomi_1393.mov","MOV")</f>
        <v>21</v>
      </c>
    </row>
    <row r="12363" s="2" customFormat="1" ht="13.5" customHeight="1">
      <c r="B12363" s="13"/>
      <c r="C12363" t="s" s="9">
        <v>30</v>
      </c>
      <c r="D12363" t="s" s="8">
        <v>4621</v>
      </c>
      <c r="E12363" t="s" s="9">
        <v>4621</v>
      </c>
      <c r="F12363" t="s" s="10">
        <v>25</v>
      </c>
      <c r="G12363" s="14"/>
      <c r="H12363" t="s" s="10">
        <v>73</v>
      </c>
      <c r="I12363" t="s" s="11">
        <v>73</v>
      </c>
      <c r="J12363" t="s" s="11">
        <v>20</v>
      </c>
      <c r="K12363" s="15"/>
      <c r="L12363" t="s" s="16">
        <f>HYPERLINK("http://csr.bu.edu/ftp/asl/asllvd/demos/verify_start_end_handshape_annotations//test_auto_move//signs_mov_separ_signers/Brady_1393.mov","MOV")</f>
        <v>21</v>
      </c>
      <c r="M12363" t="s" s="10">
        <v>39</v>
      </c>
      <c r="N12363" s="17">
        <v>48</v>
      </c>
      <c r="O12363" s="18">
        <v>5554</v>
      </c>
      <c r="P12363" s="18">
        <v>5591</v>
      </c>
      <c r="Q12363" s="15"/>
      <c r="R12363" t="s" s="16">
        <f>HYPERLINK("http://secrets.rutgers.edu:8080/data/asl-ftp/asllvd/demos/verify_start_end_handshape_annotations//test_auto_move//signs_mov_separ_signers/Brady_1393.mov","MOV")</f>
        <v>21</v>
      </c>
    </row>
    <row r="12364" s="2" customFormat="1" ht="13.5" customHeight="1">
      <c r="B12364" t="s" s="8">
        <v>4622</v>
      </c>
      <c r="C12364" t="s" s="9">
        <v>14</v>
      </c>
      <c r="D12364" t="s" s="8">
        <v>14</v>
      </c>
      <c r="E12364" t="s" s="9">
        <v>14</v>
      </c>
      <c r="F12364" t="s" s="10">
        <v>14</v>
      </c>
      <c r="G12364" t="s" s="11">
        <v>14</v>
      </c>
      <c r="H12364" t="s" s="10">
        <v>14</v>
      </c>
      <c r="I12364" t="s" s="11">
        <v>14</v>
      </c>
      <c r="J12364" t="s" s="11">
        <v>14</v>
      </c>
      <c r="K12364" t="s" s="12">
        <v>14</v>
      </c>
      <c r="L12364" t="s" s="12">
        <v>14</v>
      </c>
      <c r="M12364" t="s" s="10">
        <v>14</v>
      </c>
      <c r="N12364" t="s" s="11">
        <v>14</v>
      </c>
      <c r="O12364" t="s" s="8">
        <v>14</v>
      </c>
      <c r="P12364" t="s" s="8">
        <v>14</v>
      </c>
      <c r="Q12364" t="s" s="12">
        <v>14</v>
      </c>
      <c r="R12364" t="s" s="12">
        <v>14</v>
      </c>
    </row>
    <row r="12365" s="2" customFormat="1" ht="13.5" customHeight="1">
      <c r="B12365" s="13"/>
      <c r="C12365" t="s" s="9">
        <v>16</v>
      </c>
      <c r="D12365" t="s" s="8">
        <v>4622</v>
      </c>
      <c r="E12365" t="s" s="9">
        <v>4622</v>
      </c>
      <c r="F12365" t="s" s="10">
        <v>277</v>
      </c>
      <c r="G12365" s="14"/>
      <c r="H12365" s="19">
        <v>5</v>
      </c>
      <c r="I12365" s="14"/>
      <c r="J12365" t="s" s="11">
        <v>20</v>
      </c>
      <c r="K12365" s="15"/>
      <c r="L12365" t="s" s="16">
        <f>HYPERLINK("http://csr.bu.edu/ftp/asl/asllvd/demos/verify_start_end_handshape_annotations//test_auto_move//signs_mov_separ_signers/Liz_1409.mov","MOV")</f>
        <v>21</v>
      </c>
      <c r="M12365" t="s" s="10">
        <v>34</v>
      </c>
      <c r="N12365" s="17">
        <v>49</v>
      </c>
      <c r="O12365" s="18">
        <v>3049</v>
      </c>
      <c r="P12365" s="18">
        <v>3101</v>
      </c>
      <c r="Q12365" s="15"/>
      <c r="R12365" t="s" s="16">
        <f>HYPERLINK("http://secrets.rutgers.edu:8080/data/asl-ftp/asllvd/demos/verify_start_end_handshape_annotations//test_auto_move//signs_mov_separ_signers/Liz_1409.mov","MOV")</f>
        <v>21</v>
      </c>
    </row>
    <row r="12366" s="2" customFormat="1" ht="13.5" customHeight="1">
      <c r="B12366" s="13"/>
      <c r="C12366" t="s" s="9">
        <v>23</v>
      </c>
      <c r="D12366" t="s" s="8">
        <v>4622</v>
      </c>
      <c r="E12366" t="s" s="9">
        <v>4623</v>
      </c>
      <c r="F12366" t="s" s="10">
        <v>277</v>
      </c>
      <c r="G12366" t="s" s="11">
        <v>277</v>
      </c>
      <c r="H12366" s="19">
        <v>5</v>
      </c>
      <c r="I12366" s="14"/>
      <c r="J12366" t="s" s="11">
        <v>20</v>
      </c>
      <c r="K12366" t="s" s="16">
        <f>HYPERLINK("http://csr.bu.edu/ftp/asl/asllvd/demos/verify_start_end_handshape_annotations//test_auto_move//signs_mov/1409.mov","MOV")</f>
        <v>21</v>
      </c>
      <c r="L12366" t="s" s="16">
        <f>HYPERLINK("http://csr.bu.edu/ftp/asl/asllvd/demos/verify_start_end_handshape_annotations//test_auto_move//signs_mov_separ_signers/Tyler_1409.mov","MOV")</f>
        <v>21</v>
      </c>
      <c r="M12366" t="s" s="10">
        <v>47</v>
      </c>
      <c r="N12366" s="17">
        <v>1</v>
      </c>
      <c r="O12366" s="18">
        <v>2130</v>
      </c>
      <c r="P12366" s="18">
        <v>2175</v>
      </c>
      <c r="Q12366" t="s" s="16">
        <f>HYPERLINK("http://secrets.rutgers.edu:8080/data/asl-ftp/asllvd/demos/verify_start_end_handshape_annotations//test_auto_move//signs_mov/1409.mov","MOV")</f>
        <v>21</v>
      </c>
      <c r="R12366" t="s" s="16">
        <f>HYPERLINK("http://secrets.rutgers.edu:8080/data/asl-ftp/asllvd/demos/verify_start_end_handshape_annotations//test_auto_move//signs_mov_separ_signers/Tyler_1409.mov","MOV")</f>
        <v>21</v>
      </c>
    </row>
    <row r="12367" s="2" customFormat="1" ht="13.5" customHeight="1">
      <c r="B12367" s="13"/>
      <c r="C12367" t="s" s="9">
        <v>27</v>
      </c>
      <c r="D12367" t="s" s="8">
        <v>4622</v>
      </c>
      <c r="E12367" t="s" s="9">
        <v>4622</v>
      </c>
      <c r="F12367" t="s" s="10">
        <v>277</v>
      </c>
      <c r="G12367" s="14"/>
      <c r="H12367" s="19">
        <v>5</v>
      </c>
      <c r="I12367" s="14"/>
      <c r="J12367" t="s" s="11">
        <v>20</v>
      </c>
      <c r="K12367" s="15"/>
      <c r="L12367" t="s" s="16">
        <f>HYPERLINK("http://csr.bu.edu/ftp/asl/asllvd/demos/verify_start_end_handshape_annotations//test_auto_move//signs_mov_separ_signers/Naomi_1409.mov","MOV")</f>
        <v>21</v>
      </c>
      <c r="M12367" t="s" s="10">
        <v>48</v>
      </c>
      <c r="N12367" s="17">
        <v>4</v>
      </c>
      <c r="O12367" s="18">
        <v>3650</v>
      </c>
      <c r="P12367" s="18">
        <v>3705</v>
      </c>
      <c r="Q12367" s="15"/>
      <c r="R12367" t="s" s="16">
        <f>HYPERLINK("http://secrets.rutgers.edu:8080/data/asl-ftp/asllvd/demos/verify_start_end_handshape_annotations//test_auto_move//signs_mov_separ_signers/Naomi_1409.mov","MOV")</f>
        <v>21</v>
      </c>
    </row>
    <row r="12368" s="2" customFormat="1" ht="13.5" customHeight="1">
      <c r="B12368" t="s" s="8">
        <v>4624</v>
      </c>
      <c r="C12368" t="s" s="9">
        <v>14</v>
      </c>
      <c r="D12368" t="s" s="8">
        <v>14</v>
      </c>
      <c r="E12368" t="s" s="9">
        <v>14</v>
      </c>
      <c r="F12368" t="s" s="10">
        <v>14</v>
      </c>
      <c r="G12368" t="s" s="11">
        <v>14</v>
      </c>
      <c r="H12368" t="s" s="10">
        <v>14</v>
      </c>
      <c r="I12368" t="s" s="11">
        <v>14</v>
      </c>
      <c r="J12368" t="s" s="11">
        <v>14</v>
      </c>
      <c r="K12368" t="s" s="12">
        <v>14</v>
      </c>
      <c r="L12368" t="s" s="12">
        <v>14</v>
      </c>
      <c r="M12368" t="s" s="10">
        <v>14</v>
      </c>
      <c r="N12368" t="s" s="11">
        <v>14</v>
      </c>
      <c r="O12368" t="s" s="8">
        <v>14</v>
      </c>
      <c r="P12368" t="s" s="8">
        <v>14</v>
      </c>
      <c r="Q12368" t="s" s="12">
        <v>14</v>
      </c>
      <c r="R12368" t="s" s="12">
        <v>14</v>
      </c>
    </row>
    <row r="12369" s="2" customFormat="1" ht="13.5" customHeight="1">
      <c r="B12369" s="13"/>
      <c r="C12369" t="s" s="9">
        <v>16</v>
      </c>
      <c r="D12369" t="s" s="8">
        <v>4624</v>
      </c>
      <c r="E12369" t="s" s="9">
        <v>4624</v>
      </c>
      <c r="F12369" t="s" s="10">
        <v>277</v>
      </c>
      <c r="G12369" s="14"/>
      <c r="H12369" t="s" s="10">
        <v>119</v>
      </c>
      <c r="I12369" s="14"/>
      <c r="J12369" t="s" s="11">
        <v>20</v>
      </c>
      <c r="K12369" s="15"/>
      <c r="L12369" t="s" s="16">
        <f>HYPERLINK("http://csr.bu.edu/ftp/asl/asllvd/demos/verify_start_end_handshape_annotations//test_auto_move//signs_mov_separ_signers/Liz_1410.mov","MOV")</f>
        <v>21</v>
      </c>
      <c r="M12369" t="s" s="10">
        <v>34</v>
      </c>
      <c r="N12369" s="17">
        <v>50</v>
      </c>
      <c r="O12369" s="18">
        <v>576</v>
      </c>
      <c r="P12369" s="18">
        <v>663</v>
      </c>
      <c r="Q12369" s="15"/>
      <c r="R12369" t="s" s="16">
        <f>HYPERLINK("http://secrets.rutgers.edu:8080/data/asl-ftp/asllvd/demos/verify_start_end_handshape_annotations//test_auto_move//signs_mov_separ_signers/Liz_1410.mov","MOV")</f>
        <v>21</v>
      </c>
    </row>
    <row r="12370" s="2" customFormat="1" ht="13.5" customHeight="1">
      <c r="B12370" s="13"/>
      <c r="C12370" t="s" s="9">
        <v>23</v>
      </c>
      <c r="D12370" t="s" s="8">
        <v>4624</v>
      </c>
      <c r="E12370" t="s" s="9">
        <v>4625</v>
      </c>
      <c r="F12370" t="s" s="10">
        <v>277</v>
      </c>
      <c r="G12370" s="14"/>
      <c r="H12370" t="s" s="10">
        <v>119</v>
      </c>
      <c r="I12370" s="14"/>
      <c r="J12370" t="s" s="11">
        <v>20</v>
      </c>
      <c r="K12370" t="s" s="16">
        <f>HYPERLINK("http://csr.bu.edu/ftp/asl/asllvd/demos/verify_start_end_handshape_annotations//test_auto_move//signs_mov/1410.mov","MOV")</f>
        <v>21</v>
      </c>
      <c r="L12370" t="s" s="16">
        <f>HYPERLINK("http://csr.bu.edu/ftp/asl/asllvd/demos/verify_start_end_handshape_annotations//test_auto_move//signs_mov_separ_signers/Tyler_1410.mov","MOV")</f>
        <v>21</v>
      </c>
      <c r="M12370" t="s" s="10">
        <v>47</v>
      </c>
      <c r="N12370" s="17">
        <v>1</v>
      </c>
      <c r="O12370" s="18">
        <v>2323</v>
      </c>
      <c r="P12370" s="18">
        <v>2372</v>
      </c>
      <c r="Q12370" t="s" s="16">
        <f>HYPERLINK("http://secrets.rutgers.edu:8080/data/asl-ftp/asllvd/demos/verify_start_end_handshape_annotations//test_auto_move//signs_mov/1410.mov","MOV")</f>
        <v>21</v>
      </c>
      <c r="R12370" t="s" s="16">
        <f>HYPERLINK("http://secrets.rutgers.edu:8080/data/asl-ftp/asllvd/demos/verify_start_end_handshape_annotations//test_auto_move//signs_mov_separ_signers/Tyler_1410.mov","MOV")</f>
        <v>21</v>
      </c>
    </row>
    <row r="12371" s="2" customFormat="1" ht="13.5" customHeight="1">
      <c r="B12371" s="13"/>
      <c r="C12371" t="s" s="9">
        <v>27</v>
      </c>
      <c r="D12371" t="s" s="8">
        <v>4624</v>
      </c>
      <c r="E12371" t="s" s="9">
        <v>4624</v>
      </c>
      <c r="F12371" t="s" s="10">
        <v>277</v>
      </c>
      <c r="G12371" s="14"/>
      <c r="H12371" t="s" s="10">
        <v>119</v>
      </c>
      <c r="I12371" s="14"/>
      <c r="J12371" t="s" s="11">
        <v>20</v>
      </c>
      <c r="K12371" s="15"/>
      <c r="L12371" t="s" s="16">
        <f>HYPERLINK("http://csr.bu.edu/ftp/asl/asllvd/demos/verify_start_end_handshape_annotations//test_auto_move//signs_mov_separ_signers/Naomi_1410.mov","MOV")</f>
        <v>21</v>
      </c>
      <c r="M12371" t="s" s="10">
        <v>48</v>
      </c>
      <c r="N12371" s="17">
        <v>4</v>
      </c>
      <c r="O12371" s="18">
        <v>3935</v>
      </c>
      <c r="P12371" s="18">
        <v>3967</v>
      </c>
      <c r="Q12371" s="15"/>
      <c r="R12371" t="s" s="16">
        <f>HYPERLINK("http://secrets.rutgers.edu:8080/data/asl-ftp/asllvd/demos/verify_start_end_handshape_annotations//test_auto_move//signs_mov_separ_signers/Naomi_1410.mov","MOV")</f>
        <v>21</v>
      </c>
    </row>
    <row r="12372" s="2" customFormat="1" ht="13.5" customHeight="1">
      <c r="B12372" t="s" s="8">
        <v>4626</v>
      </c>
      <c r="C12372" t="s" s="9">
        <v>14</v>
      </c>
      <c r="D12372" t="s" s="8">
        <v>14</v>
      </c>
      <c r="E12372" t="s" s="9">
        <v>14</v>
      </c>
      <c r="F12372" t="s" s="10">
        <v>14</v>
      </c>
      <c r="G12372" t="s" s="11">
        <v>14</v>
      </c>
      <c r="H12372" t="s" s="10">
        <v>14</v>
      </c>
      <c r="I12372" t="s" s="11">
        <v>14</v>
      </c>
      <c r="J12372" t="s" s="11">
        <v>14</v>
      </c>
      <c r="K12372" t="s" s="12">
        <v>14</v>
      </c>
      <c r="L12372" t="s" s="12">
        <v>14</v>
      </c>
      <c r="M12372" t="s" s="10">
        <v>14</v>
      </c>
      <c r="N12372" t="s" s="11">
        <v>14</v>
      </c>
      <c r="O12372" t="s" s="8">
        <v>14</v>
      </c>
      <c r="P12372" t="s" s="8">
        <v>14</v>
      </c>
      <c r="Q12372" t="s" s="12">
        <v>14</v>
      </c>
      <c r="R12372" t="s" s="12">
        <v>14</v>
      </c>
    </row>
    <row r="12373" s="2" customFormat="1" ht="13.5" customHeight="1">
      <c r="B12373" s="13"/>
      <c r="C12373" t="s" s="9">
        <v>16</v>
      </c>
      <c r="D12373" t="s" s="8">
        <v>4627</v>
      </c>
      <c r="E12373" t="s" s="9">
        <v>4627</v>
      </c>
      <c r="F12373" t="s" s="10">
        <v>430</v>
      </c>
      <c r="G12373" s="14"/>
      <c r="H12373" s="19">
        <v>5</v>
      </c>
      <c r="I12373" s="14"/>
      <c r="J12373" t="s" s="11">
        <v>20</v>
      </c>
      <c r="K12373" s="15"/>
      <c r="L12373" t="s" s="16">
        <f>HYPERLINK("http://csr.bu.edu/ftp/asl/asllvd/demos/verify_start_end_handshape_annotations//test_auto_move//signs_mov_separ_signers/Liz_4674.mov","MOV")</f>
        <v>21</v>
      </c>
      <c r="M12373" t="s" s="10">
        <v>84</v>
      </c>
      <c r="N12373" s="17">
        <v>22</v>
      </c>
      <c r="O12373" s="18">
        <v>1104</v>
      </c>
      <c r="P12373" s="18">
        <v>1142</v>
      </c>
      <c r="Q12373" s="15"/>
      <c r="R12373" t="s" s="16">
        <f>HYPERLINK("http://secrets.rutgers.edu:8080/data/asl-ftp/asllvd/demos/verify_start_end_handshape_annotations//test_auto_move//signs_mov_separ_signers/Liz_4674.mov","MOV")</f>
        <v>21</v>
      </c>
    </row>
    <row r="12374" s="2" customFormat="1" ht="13.5" customHeight="1">
      <c r="B12374" s="13"/>
      <c r="C12374" t="s" s="9">
        <v>16</v>
      </c>
      <c r="D12374" t="s" s="8">
        <v>4627</v>
      </c>
      <c r="E12374" t="s" s="9">
        <v>4627</v>
      </c>
      <c r="F12374" t="s" s="10">
        <v>430</v>
      </c>
      <c r="G12374" s="14"/>
      <c r="H12374" s="19">
        <v>5</v>
      </c>
      <c r="I12374" s="14"/>
      <c r="J12374" t="s" s="11">
        <v>20</v>
      </c>
      <c r="K12374" s="15"/>
      <c r="L12374" t="s" s="16">
        <f>HYPERLINK("http://csr.bu.edu/ftp/asl/asllvd/demos/verify_start_end_handshape_annotations//test_auto_move//signs_mov_separ_signers/Liz_15509.mov","MOV")</f>
        <v>21</v>
      </c>
      <c r="M12374" t="s" s="10">
        <v>77</v>
      </c>
      <c r="N12374" s="17">
        <v>27</v>
      </c>
      <c r="O12374" s="18">
        <v>993</v>
      </c>
      <c r="P12374" s="18">
        <v>1050</v>
      </c>
      <c r="Q12374" s="15"/>
      <c r="R12374" t="s" s="16">
        <f>HYPERLINK("http://secrets.rutgers.edu:8080/data/asl-ftp/asllvd/demos/verify_start_end_handshape_annotations//test_auto_move//signs_mov_separ_signers/Liz_15509.mov","MOV")</f>
        <v>21</v>
      </c>
    </row>
    <row r="12375" s="2" customFormat="1" ht="13.5" customHeight="1">
      <c r="B12375" s="13"/>
      <c r="C12375" t="s" s="9">
        <v>23</v>
      </c>
      <c r="D12375" t="s" s="8">
        <v>4627</v>
      </c>
      <c r="E12375" t="s" s="9">
        <v>4627</v>
      </c>
      <c r="F12375" t="s" s="10">
        <v>430</v>
      </c>
      <c r="G12375" s="14"/>
      <c r="H12375" s="19">
        <v>5</v>
      </c>
      <c r="I12375" s="14"/>
      <c r="J12375" t="s" s="11">
        <v>20</v>
      </c>
      <c r="K12375" s="15"/>
      <c r="L12375" t="s" s="16">
        <f>HYPERLINK("http://csr.bu.edu/ftp/asl/asllvd/demos/verify_start_end_handshape_annotations//test_auto_move//signs_mov_separ_signers/Tyler_4674.mov","MOV")</f>
        <v>21</v>
      </c>
      <c r="M12375" t="s" s="10">
        <v>92</v>
      </c>
      <c r="N12375" s="17">
        <v>2</v>
      </c>
      <c r="O12375" s="18">
        <v>1478</v>
      </c>
      <c r="P12375" s="18">
        <v>1508</v>
      </c>
      <c r="Q12375" s="15"/>
      <c r="R12375" t="s" s="16">
        <f>HYPERLINK("http://secrets.rutgers.edu:8080/data/asl-ftp/asllvd/demos/verify_start_end_handshape_annotations//test_auto_move//signs_mov_separ_signers/Tyler_4674.mov","MOV")</f>
        <v>21</v>
      </c>
    </row>
    <row r="12376" s="2" customFormat="1" ht="13.5" customHeight="1">
      <c r="B12376" s="13"/>
      <c r="C12376" t="s" s="9">
        <v>27</v>
      </c>
      <c r="D12376" t="s" s="8">
        <v>4627</v>
      </c>
      <c r="E12376" t="s" s="9">
        <v>4627</v>
      </c>
      <c r="F12376" t="s" s="10">
        <v>430</v>
      </c>
      <c r="G12376" s="14"/>
      <c r="H12376" s="19">
        <v>5</v>
      </c>
      <c r="I12376" s="14"/>
      <c r="J12376" t="s" s="11">
        <v>20</v>
      </c>
      <c r="K12376" t="s" s="16">
        <f>HYPERLINK("http://csr.bu.edu/ftp/asl/asllvd/demos/verify_start_end_handshape_annotations//test_auto_move//signs_mov/4674_15509_merged.mov","MOV")</f>
        <v>21</v>
      </c>
      <c r="L12376" t="s" s="16">
        <f>HYPERLINK("http://csr.bu.edu/ftp/asl/asllvd/demos/verify_start_end_handshape_annotations//test_auto_move//signs_mov_separ_signers/Naomi_4674.mov","MOV")</f>
        <v>21</v>
      </c>
      <c r="M12376" t="s" s="10">
        <v>86</v>
      </c>
      <c r="N12376" s="17">
        <v>22</v>
      </c>
      <c r="O12376" s="18">
        <v>1016</v>
      </c>
      <c r="P12376" s="18">
        <v>1037</v>
      </c>
      <c r="Q12376" t="s" s="16">
        <f>HYPERLINK("http://secrets.rutgers.edu:8080/data/asl-ftp/asllvd/demos/verify_start_end_handshape_annotations//test_auto_move//signs_mov/4674_15509_merged.mov","MOV")</f>
        <v>21</v>
      </c>
      <c r="R12376" t="s" s="16">
        <f>HYPERLINK("http://secrets.rutgers.edu:8080/data/asl-ftp/asllvd/demos/verify_start_end_handshape_annotations//test_auto_move//signs_mov_separ_signers/Naomi_4674.mov","MOV")</f>
        <v>21</v>
      </c>
    </row>
    <row r="12377" s="2" customFormat="1" ht="13.5" customHeight="1">
      <c r="B12377" s="13"/>
      <c r="C12377" t="s" s="9">
        <v>30</v>
      </c>
      <c r="D12377" t="s" s="8">
        <v>4627</v>
      </c>
      <c r="E12377" t="s" s="9">
        <v>4627</v>
      </c>
      <c r="F12377" t="s" s="10">
        <v>430</v>
      </c>
      <c r="G12377" s="14"/>
      <c r="H12377" s="19">
        <v>5</v>
      </c>
      <c r="I12377" s="14"/>
      <c r="J12377" t="s" s="11">
        <v>20</v>
      </c>
      <c r="K12377" s="15"/>
      <c r="L12377" t="s" s="16">
        <f>HYPERLINK("http://csr.bu.edu/ftp/asl/asllvd/demos/verify_start_end_handshape_annotations//test_auto_move//signs_mov_separ_signers/Brady_4674.mov","MOV")</f>
        <v>21</v>
      </c>
      <c r="M12377" t="s" s="10">
        <v>31</v>
      </c>
      <c r="N12377" s="17">
        <v>36</v>
      </c>
      <c r="O12377" s="18">
        <v>1870</v>
      </c>
      <c r="P12377" s="18">
        <v>1885</v>
      </c>
      <c r="Q12377" s="15"/>
      <c r="R12377" t="s" s="16">
        <f>HYPERLINK("http://secrets.rutgers.edu:8080/data/asl-ftp/asllvd/demos/verify_start_end_handshape_annotations//test_auto_move//signs_mov_separ_signers/Brady_4674.mov","MOV")</f>
        <v>21</v>
      </c>
    </row>
    <row r="12378" s="2" customFormat="1" ht="13.5" customHeight="1">
      <c r="B12378" s="13"/>
      <c r="C12378" t="s" s="9">
        <v>30</v>
      </c>
      <c r="D12378" t="s" s="8">
        <v>4627</v>
      </c>
      <c r="E12378" t="s" s="9">
        <v>4627</v>
      </c>
      <c r="F12378" t="s" s="10">
        <v>430</v>
      </c>
      <c r="G12378" s="14"/>
      <c r="H12378" s="19">
        <v>5</v>
      </c>
      <c r="I12378" s="14"/>
      <c r="J12378" t="s" s="11">
        <v>20</v>
      </c>
      <c r="K12378" s="15"/>
      <c r="L12378" t="s" s="16">
        <f>HYPERLINK("http://csr.bu.edu/ftp/asl/asllvd/demos/verify_start_end_handshape_annotations//test_auto_move//signs_mov_separ_signers/Brady_15509.mov","MOV")</f>
        <v>21</v>
      </c>
      <c r="M12378" t="s" s="10">
        <v>31</v>
      </c>
      <c r="N12378" s="17">
        <v>38</v>
      </c>
      <c r="O12378" s="18">
        <v>1704</v>
      </c>
      <c r="P12378" s="18">
        <v>1723</v>
      </c>
      <c r="Q12378" s="15"/>
      <c r="R12378" t="s" s="16">
        <f>HYPERLINK("http://secrets.rutgers.edu:8080/data/asl-ftp/asllvd/demos/verify_start_end_handshape_annotations//test_auto_move//signs_mov_separ_signers/Brady_15509.mov","MOV")</f>
        <v>21</v>
      </c>
    </row>
    <row r="12379" s="2" customFormat="1" ht="13.5" customHeight="1">
      <c r="B12379" s="13"/>
      <c r="C12379" t="s" s="9">
        <v>41</v>
      </c>
      <c r="D12379" t="s" s="8">
        <v>4627</v>
      </c>
      <c r="E12379" t="s" s="9">
        <v>4627</v>
      </c>
      <c r="F12379" t="s" s="10">
        <v>430</v>
      </c>
      <c r="G12379" s="14"/>
      <c r="H12379" s="19">
        <v>5</v>
      </c>
      <c r="I12379" s="14"/>
      <c r="J12379" t="s" s="11">
        <v>20</v>
      </c>
      <c r="K12379" s="15"/>
      <c r="L12379" t="s" s="16">
        <f>HYPERLINK("http://csr.bu.edu/ftp/asl/asllvd/demos/verify_start_end_handshape_annotations//test_auto_move//signs_mov_separ_signers/Lana_4674.mov","MOV")</f>
        <v>21</v>
      </c>
      <c r="M12379" t="s" s="10">
        <v>42</v>
      </c>
      <c r="N12379" s="17">
        <v>7</v>
      </c>
      <c r="O12379" s="18">
        <v>1300</v>
      </c>
      <c r="P12379" s="18">
        <v>1350</v>
      </c>
      <c r="Q12379" s="15"/>
      <c r="R12379" t="s" s="16">
        <f>HYPERLINK("http://secrets.rutgers.edu:8080/data/asl-ftp/asllvd/demos/verify_start_end_handshape_annotations//test_auto_move//signs_mov_separ_signers/Lana_4674.mov","MOV")</f>
        <v>21</v>
      </c>
    </row>
    <row r="12380" s="2" customFormat="1" ht="13.5" customHeight="1">
      <c r="B12380" s="13"/>
      <c r="C12380" t="s" s="9">
        <v>43</v>
      </c>
      <c r="D12380" t="s" s="8">
        <v>4627</v>
      </c>
      <c r="E12380" t="s" s="9">
        <v>4627</v>
      </c>
      <c r="F12380" t="s" s="10">
        <v>430</v>
      </c>
      <c r="G12380" s="14"/>
      <c r="H12380" s="19">
        <v>5</v>
      </c>
      <c r="I12380" s="14"/>
      <c r="J12380" t="s" s="11">
        <v>20</v>
      </c>
      <c r="K12380" s="15"/>
      <c r="L12380" t="s" s="16">
        <f>HYPERLINK("http://csr.bu.edu/ftp/asl/asllvd/demos/verify_start_end_handshape_annotations//test_auto_move//signs_mov_separ_signers/Dana_4674.mov","MOV")</f>
        <v>21</v>
      </c>
      <c r="M12380" t="s" s="10">
        <v>44</v>
      </c>
      <c r="N12380" s="17">
        <v>11</v>
      </c>
      <c r="O12380" s="18">
        <v>1354</v>
      </c>
      <c r="P12380" s="18">
        <v>1414</v>
      </c>
      <c r="Q12380" s="15"/>
      <c r="R12380" t="s" s="16">
        <f>HYPERLINK("http://secrets.rutgers.edu:8080/data/asl-ftp/asllvd/demos/verify_start_end_handshape_annotations//test_auto_move//signs_mov_separ_signers/Dana_4674.mov","MOV")</f>
        <v>21</v>
      </c>
    </row>
    <row r="12381" s="2" customFormat="1" ht="13.5" customHeight="1">
      <c r="B12381" t="s" s="8">
        <v>4628</v>
      </c>
      <c r="C12381" t="s" s="9">
        <v>14</v>
      </c>
      <c r="D12381" t="s" s="8">
        <v>14</v>
      </c>
      <c r="E12381" t="s" s="9">
        <v>14</v>
      </c>
      <c r="F12381" t="s" s="10">
        <v>14</v>
      </c>
      <c r="G12381" t="s" s="11">
        <v>14</v>
      </c>
      <c r="H12381" t="s" s="10">
        <v>14</v>
      </c>
      <c r="I12381" t="s" s="11">
        <v>14</v>
      </c>
      <c r="J12381" t="s" s="11">
        <v>14</v>
      </c>
      <c r="K12381" t="s" s="12">
        <v>14</v>
      </c>
      <c r="L12381" t="s" s="12">
        <v>14</v>
      </c>
      <c r="M12381" t="s" s="10">
        <v>14</v>
      </c>
      <c r="N12381" t="s" s="11">
        <v>14</v>
      </c>
      <c r="O12381" t="s" s="8">
        <v>14</v>
      </c>
      <c r="P12381" t="s" s="8">
        <v>14</v>
      </c>
      <c r="Q12381" t="s" s="12">
        <v>14</v>
      </c>
      <c r="R12381" t="s" s="12">
        <v>14</v>
      </c>
    </row>
    <row r="12382" s="2" customFormat="1" ht="13.5" customHeight="1">
      <c r="B12382" s="13"/>
      <c r="C12382" t="s" s="9">
        <v>16</v>
      </c>
      <c r="D12382" t="s" s="8">
        <v>4628</v>
      </c>
      <c r="E12382" t="s" s="9">
        <v>4628</v>
      </c>
      <c r="F12382" s="19">
        <v>5</v>
      </c>
      <c r="G12382" t="s" s="11">
        <v>73</v>
      </c>
      <c r="H12382" t="s" s="10">
        <v>73</v>
      </c>
      <c r="I12382" t="s" s="11">
        <v>73</v>
      </c>
      <c r="J12382" t="s" s="11">
        <v>20</v>
      </c>
      <c r="K12382" s="15"/>
      <c r="L12382" t="s" s="16">
        <f>HYPERLINK("http://csr.bu.edu/ftp/asl/asllvd/demos/verify_start_end_handshape_annotations//test_auto_move//signs_mov_separ_signers/Liz_1426.mov","MOV")</f>
        <v>21</v>
      </c>
      <c r="M12382" t="s" s="10">
        <v>34</v>
      </c>
      <c r="N12382" s="17">
        <v>51</v>
      </c>
      <c r="O12382" s="18">
        <v>1980</v>
      </c>
      <c r="P12382" s="18">
        <v>2047</v>
      </c>
      <c r="Q12382" s="15"/>
      <c r="R12382" t="s" s="16">
        <f>HYPERLINK("http://secrets.rutgers.edu:8080/data/asl-ftp/asllvd/demos/verify_start_end_handshape_annotations//test_auto_move//signs_mov_separ_signers/Liz_1426.mov","MOV")</f>
        <v>21</v>
      </c>
    </row>
    <row r="12383" s="2" customFormat="1" ht="13.5" customHeight="1">
      <c r="B12383" s="13"/>
      <c r="C12383" t="s" s="9">
        <v>27</v>
      </c>
      <c r="D12383" t="s" s="8">
        <v>4628</v>
      </c>
      <c r="E12383" t="s" s="9">
        <v>4628</v>
      </c>
      <c r="F12383" s="19">
        <v>5</v>
      </c>
      <c r="G12383" t="s" s="11">
        <v>73</v>
      </c>
      <c r="H12383" t="s" s="10">
        <v>73</v>
      </c>
      <c r="I12383" t="s" s="11">
        <v>73</v>
      </c>
      <c r="J12383" t="s" s="11">
        <v>20</v>
      </c>
      <c r="K12383" t="s" s="16">
        <f>HYPERLINK("http://csr.bu.edu/ftp/asl/asllvd/demos/verify_start_end_handshape_annotations//test_auto_move//signs_mov/1426.mov","MOV")</f>
        <v>21</v>
      </c>
      <c r="L12383" t="s" s="16">
        <f>HYPERLINK("http://csr.bu.edu/ftp/asl/asllvd/demos/verify_start_end_handshape_annotations//test_auto_move//signs_mov_separ_signers/Naomi_1426.mov","MOV")</f>
        <v>21</v>
      </c>
      <c r="M12383" t="s" s="10">
        <v>48</v>
      </c>
      <c r="N12383" s="17">
        <v>6</v>
      </c>
      <c r="O12383" s="18">
        <v>2348</v>
      </c>
      <c r="P12383" s="18">
        <v>2414</v>
      </c>
      <c r="Q12383" t="s" s="16">
        <f>HYPERLINK("http://secrets.rutgers.edu:8080/data/asl-ftp/asllvd/demos/verify_start_end_handshape_annotations//test_auto_move//signs_mov/1426.mov","MOV")</f>
        <v>21</v>
      </c>
      <c r="R12383" t="s" s="16">
        <f>HYPERLINK("http://secrets.rutgers.edu:8080/data/asl-ftp/asllvd/demos/verify_start_end_handshape_annotations//test_auto_move//signs_mov_separ_signers/Naomi_1426.mov","MOV")</f>
        <v>21</v>
      </c>
    </row>
    <row r="12384" s="2" customFormat="1" ht="13.5" customHeight="1">
      <c r="B12384" s="13"/>
      <c r="C12384" t="s" s="9">
        <v>30</v>
      </c>
      <c r="D12384" t="s" s="8">
        <v>4628</v>
      </c>
      <c r="E12384" t="s" s="9">
        <v>4628</v>
      </c>
      <c r="F12384" s="19">
        <v>5</v>
      </c>
      <c r="G12384" s="14"/>
      <c r="H12384" t="s" s="10">
        <v>73</v>
      </c>
      <c r="I12384" t="s" s="11">
        <v>73</v>
      </c>
      <c r="J12384" t="s" s="11">
        <v>20</v>
      </c>
      <c r="K12384" s="15"/>
      <c r="L12384" t="s" s="16">
        <f>HYPERLINK("http://csr.bu.edu/ftp/asl/asllvd/demos/verify_start_end_handshape_annotations//test_auto_move//signs_mov_separ_signers/Brady_1426.mov","MOV")</f>
        <v>21</v>
      </c>
      <c r="M12384" t="s" s="10">
        <v>39</v>
      </c>
      <c r="N12384" s="17">
        <v>50</v>
      </c>
      <c r="O12384" s="18">
        <v>3282</v>
      </c>
      <c r="P12384" s="18">
        <v>3340</v>
      </c>
      <c r="Q12384" s="15"/>
      <c r="R12384" t="s" s="16">
        <f>HYPERLINK("http://secrets.rutgers.edu:8080/data/asl-ftp/asllvd/demos/verify_start_end_handshape_annotations//test_auto_move//signs_mov_separ_signers/Brady_1426.mov","MOV")</f>
        <v>21</v>
      </c>
    </row>
    <row r="12385" s="2" customFormat="1" ht="13.5" customHeight="1">
      <c r="B12385" t="s" s="8">
        <v>4629</v>
      </c>
      <c r="C12385" t="s" s="9">
        <v>14</v>
      </c>
      <c r="D12385" t="s" s="8">
        <v>14</v>
      </c>
      <c r="E12385" t="s" s="9">
        <v>14</v>
      </c>
      <c r="F12385" t="s" s="10">
        <v>14</v>
      </c>
      <c r="G12385" t="s" s="11">
        <v>14</v>
      </c>
      <c r="H12385" t="s" s="10">
        <v>14</v>
      </c>
      <c r="I12385" t="s" s="11">
        <v>14</v>
      </c>
      <c r="J12385" t="s" s="11">
        <v>14</v>
      </c>
      <c r="K12385" t="s" s="12">
        <v>14</v>
      </c>
      <c r="L12385" t="s" s="12">
        <v>14</v>
      </c>
      <c r="M12385" t="s" s="10">
        <v>14</v>
      </c>
      <c r="N12385" t="s" s="11">
        <v>14</v>
      </c>
      <c r="O12385" t="s" s="8">
        <v>14</v>
      </c>
      <c r="P12385" t="s" s="8">
        <v>14</v>
      </c>
      <c r="Q12385" t="s" s="12">
        <v>14</v>
      </c>
      <c r="R12385" t="s" s="12">
        <v>14</v>
      </c>
    </row>
    <row r="12386" s="2" customFormat="1" ht="13.5" customHeight="1">
      <c r="B12386" s="13"/>
      <c r="C12386" t="s" s="9">
        <v>23</v>
      </c>
      <c r="D12386" t="s" s="8">
        <v>4630</v>
      </c>
      <c r="E12386" t="s" s="9">
        <v>4630</v>
      </c>
      <c r="F12386" t="s" s="10">
        <v>25</v>
      </c>
      <c r="G12386" t="s" s="11">
        <v>25</v>
      </c>
      <c r="H12386" t="s" s="10">
        <v>73</v>
      </c>
      <c r="I12386" t="s" s="11">
        <v>73</v>
      </c>
      <c r="J12386" t="s" s="11">
        <v>20</v>
      </c>
      <c r="K12386" t="s" s="16">
        <f>HYPERLINK("http://csr.bu.edu/ftp/asl/asllvd/demos/verify_start_end_handshape_annotations//test_auto_move//signs_mov/3028.mov","MOV")</f>
        <v>21</v>
      </c>
      <c r="L12386" t="s" s="16">
        <f>HYPERLINK("http://csr.bu.edu/ftp/asl/asllvd/demos/verify_start_end_handshape_annotations//test_auto_move//signs_mov_separ_signers/Tyler_3028.mov","MOV")</f>
        <v>21</v>
      </c>
      <c r="M12386" t="s" s="10">
        <v>47</v>
      </c>
      <c r="N12386" s="17">
        <v>3</v>
      </c>
      <c r="O12386" s="18">
        <v>1945</v>
      </c>
      <c r="P12386" s="18">
        <v>1993</v>
      </c>
      <c r="Q12386" t="s" s="16">
        <f>HYPERLINK("http://secrets.rutgers.edu:8080/data/asl-ftp/asllvd/demos/verify_start_end_handshape_annotations//test_auto_move//signs_mov/3028.mov","MOV")</f>
        <v>21</v>
      </c>
      <c r="R12386" t="s" s="16">
        <f>HYPERLINK("http://secrets.rutgers.edu:8080/data/asl-ftp/asllvd/demos/verify_start_end_handshape_annotations//test_auto_move//signs_mov_separ_signers/Tyler_3028.mov","MOV")</f>
        <v>21</v>
      </c>
    </row>
    <row r="12387" s="2" customFormat="1" ht="13.5" customHeight="1">
      <c r="B12387" s="13"/>
      <c r="C12387" t="s" s="9">
        <v>30</v>
      </c>
      <c r="D12387" t="s" s="8">
        <v>4630</v>
      </c>
      <c r="E12387" t="s" s="9">
        <v>4630</v>
      </c>
      <c r="F12387" t="s" s="10">
        <v>25</v>
      </c>
      <c r="G12387" t="s" s="11">
        <v>25</v>
      </c>
      <c r="H12387" t="s" s="10">
        <v>73</v>
      </c>
      <c r="I12387" t="s" s="11">
        <v>73</v>
      </c>
      <c r="J12387" t="s" s="11">
        <v>20</v>
      </c>
      <c r="K12387" s="15"/>
      <c r="L12387" t="s" s="16">
        <f>HYPERLINK("http://csr.bu.edu/ftp/asl/asllvd/demos/verify_start_end_handshape_annotations//test_auto_move//signs_mov_separ_signers/Brady_3028.mov","MOV")</f>
        <v>21</v>
      </c>
      <c r="M12387" t="s" s="10">
        <v>39</v>
      </c>
      <c r="N12387" s="17">
        <v>50</v>
      </c>
      <c r="O12387" s="18">
        <v>3574</v>
      </c>
      <c r="P12387" s="18">
        <v>3600</v>
      </c>
      <c r="Q12387" s="15"/>
      <c r="R12387" t="s" s="16">
        <f>HYPERLINK("http://secrets.rutgers.edu:8080/data/asl-ftp/asllvd/demos/verify_start_end_handshape_annotations//test_auto_move//signs_mov_separ_signers/Brady_3028.mov","MOV")</f>
        <v>21</v>
      </c>
    </row>
    <row r="12388" s="2" customFormat="1" ht="27.75" customHeight="1">
      <c r="B12388" t="s" s="8">
        <v>4631</v>
      </c>
      <c r="C12388" t="s" s="9">
        <v>14</v>
      </c>
      <c r="D12388" t="s" s="8">
        <v>14</v>
      </c>
      <c r="E12388" t="s" s="9">
        <v>14</v>
      </c>
      <c r="F12388" t="s" s="10">
        <v>14</v>
      </c>
      <c r="G12388" t="s" s="11">
        <v>14</v>
      </c>
      <c r="H12388" t="s" s="10">
        <v>14</v>
      </c>
      <c r="I12388" t="s" s="11">
        <v>14</v>
      </c>
      <c r="J12388" t="s" s="11">
        <v>14</v>
      </c>
      <c r="K12388" t="s" s="12">
        <v>14</v>
      </c>
      <c r="L12388" t="s" s="12">
        <v>14</v>
      </c>
      <c r="M12388" t="s" s="10">
        <v>14</v>
      </c>
      <c r="N12388" t="s" s="11">
        <v>14</v>
      </c>
      <c r="O12388" t="s" s="8">
        <v>14</v>
      </c>
      <c r="P12388" t="s" s="8">
        <v>14</v>
      </c>
      <c r="Q12388" t="s" s="12">
        <v>14</v>
      </c>
      <c r="R12388" t="s" s="12">
        <v>14</v>
      </c>
    </row>
    <row r="12389" s="2" customFormat="1" ht="27.75" customHeight="1">
      <c r="B12389" s="13"/>
      <c r="C12389" t="s" s="9">
        <v>16</v>
      </c>
      <c r="D12389" t="s" s="8">
        <v>4631</v>
      </c>
      <c r="E12389" t="s" s="9">
        <v>4631</v>
      </c>
      <c r="F12389" t="s" s="10">
        <v>80</v>
      </c>
      <c r="G12389" t="s" s="11">
        <v>73</v>
      </c>
      <c r="H12389" t="s" s="10">
        <v>150</v>
      </c>
      <c r="I12389" t="s" s="11">
        <v>150</v>
      </c>
      <c r="J12389" t="s" s="11">
        <v>20</v>
      </c>
      <c r="K12389" s="15"/>
      <c r="L12389" t="s" s="16">
        <f>HYPERLINK("http://csr.bu.edu/ftp/asl/asllvd/demos/verify_start_end_handshape_annotations//test_auto_move//signs_mov_separ_signers/Liz_1427.mov","MOV")</f>
        <v>21</v>
      </c>
      <c r="M12389" t="s" s="10">
        <v>34</v>
      </c>
      <c r="N12389" s="17">
        <v>51</v>
      </c>
      <c r="O12389" s="18">
        <v>2433</v>
      </c>
      <c r="P12389" s="18">
        <v>2490</v>
      </c>
      <c r="Q12389" s="15"/>
      <c r="R12389" t="s" s="16">
        <f>HYPERLINK("http://secrets.rutgers.edu:8080/data/asl-ftp/asllvd/demos/verify_start_end_handshape_annotations//test_auto_move//signs_mov_separ_signers/Liz_1427.mov","MOV")</f>
        <v>21</v>
      </c>
    </row>
    <row r="12390" s="2" customFormat="1" ht="27.75" customHeight="1">
      <c r="B12390" s="13"/>
      <c r="C12390" t="s" s="9">
        <v>23</v>
      </c>
      <c r="D12390" t="s" s="8">
        <v>4631</v>
      </c>
      <c r="E12390" t="s" s="9">
        <v>4631</v>
      </c>
      <c r="F12390" t="s" s="10">
        <v>80</v>
      </c>
      <c r="G12390" t="s" s="11">
        <v>73</v>
      </c>
      <c r="H12390" t="s" s="10">
        <v>150</v>
      </c>
      <c r="I12390" t="s" s="11">
        <v>150</v>
      </c>
      <c r="J12390" t="s" s="11">
        <v>20</v>
      </c>
      <c r="K12390" t="s" s="16">
        <f>HYPERLINK("http://csr.bu.edu/ftp/asl/asllvd/demos/verify_start_end_handshape_annotations//test_auto_move//signs_mov/1427.mov","MOV")</f>
        <v>21</v>
      </c>
      <c r="L12390" t="s" s="16">
        <f>HYPERLINK("http://csr.bu.edu/ftp/asl/asllvd/demos/verify_start_end_handshape_annotations//test_auto_move//signs_mov_separ_signers/Tyler_1427.mov","MOV")</f>
        <v>21</v>
      </c>
      <c r="M12390" t="s" s="10">
        <v>47</v>
      </c>
      <c r="N12390" s="17">
        <v>3</v>
      </c>
      <c r="O12390" s="18">
        <v>2265</v>
      </c>
      <c r="P12390" s="18">
        <v>2317</v>
      </c>
      <c r="Q12390" t="s" s="16">
        <f>HYPERLINK("http://secrets.rutgers.edu:8080/data/asl-ftp/asllvd/demos/verify_start_end_handshape_annotations//test_auto_move//signs_mov/1427.mov","MOV")</f>
        <v>21</v>
      </c>
      <c r="R12390" t="s" s="16">
        <f>HYPERLINK("http://secrets.rutgers.edu:8080/data/asl-ftp/asllvd/demos/verify_start_end_handshape_annotations//test_auto_move//signs_mov_separ_signers/Tyler_1427.mov","MOV")</f>
        <v>21</v>
      </c>
    </row>
    <row r="12391" s="2" customFormat="1" ht="27.75" customHeight="1">
      <c r="B12391" s="13"/>
      <c r="C12391" t="s" s="9">
        <v>27</v>
      </c>
      <c r="D12391" t="s" s="8">
        <v>4631</v>
      </c>
      <c r="E12391" t="s" s="9">
        <v>4631</v>
      </c>
      <c r="F12391" t="s" s="10">
        <v>80</v>
      </c>
      <c r="G12391" t="s" s="11">
        <v>73</v>
      </c>
      <c r="H12391" t="s" s="10">
        <v>150</v>
      </c>
      <c r="I12391" t="s" s="11">
        <v>150</v>
      </c>
      <c r="J12391" t="s" s="11">
        <v>20</v>
      </c>
      <c r="K12391" s="15"/>
      <c r="L12391" t="s" s="16">
        <f>HYPERLINK("http://csr.bu.edu/ftp/asl/asllvd/demos/verify_start_end_handshape_annotations//test_auto_move//signs_mov_separ_signers/Naomi_1427.mov","MOV")</f>
        <v>21</v>
      </c>
      <c r="M12391" t="s" s="10">
        <v>48</v>
      </c>
      <c r="N12391" s="17">
        <v>6</v>
      </c>
      <c r="O12391" s="18">
        <v>2895</v>
      </c>
      <c r="P12391" s="18">
        <v>2954</v>
      </c>
      <c r="Q12391" s="15"/>
      <c r="R12391" t="s" s="16">
        <f>HYPERLINK("http://secrets.rutgers.edu:8080/data/asl-ftp/asllvd/demos/verify_start_end_handshape_annotations//test_auto_move//signs_mov_separ_signers/Naomi_1427.mov","MOV")</f>
        <v>21</v>
      </c>
    </row>
    <row r="12392" s="2" customFormat="1" ht="27.75" customHeight="1">
      <c r="B12392" s="13"/>
      <c r="C12392" t="s" s="9">
        <v>30</v>
      </c>
      <c r="D12392" t="s" s="8">
        <v>4631</v>
      </c>
      <c r="E12392" t="s" s="9">
        <v>4631</v>
      </c>
      <c r="F12392" t="s" s="10">
        <v>80</v>
      </c>
      <c r="G12392" t="s" s="11">
        <v>150</v>
      </c>
      <c r="H12392" t="s" s="10">
        <v>150</v>
      </c>
      <c r="I12392" t="s" s="11">
        <v>150</v>
      </c>
      <c r="J12392" t="s" s="11">
        <v>20</v>
      </c>
      <c r="K12392" s="15"/>
      <c r="L12392" t="s" s="16">
        <f>HYPERLINK("http://csr.bu.edu/ftp/asl/asllvd/demos/verify_start_end_handshape_annotations//test_auto_move//signs_mov_separ_signers/Brady_1427.mov","MOV")</f>
        <v>21</v>
      </c>
      <c r="M12392" t="s" s="10">
        <v>39</v>
      </c>
      <c r="N12392" s="17">
        <v>50</v>
      </c>
      <c r="O12392" s="18">
        <v>3824</v>
      </c>
      <c r="P12392" s="18">
        <v>3871</v>
      </c>
      <c r="Q12392" s="15"/>
      <c r="R12392" t="s" s="16">
        <f>HYPERLINK("http://secrets.rutgers.edu:8080/data/asl-ftp/asllvd/demos/verify_start_end_handshape_annotations//test_auto_move//signs_mov_separ_signers/Brady_1427.mov","MOV")</f>
        <v>21</v>
      </c>
    </row>
    <row r="12393" s="2" customFormat="1" ht="13.5" customHeight="1">
      <c r="B12393" t="s" s="8">
        <v>4632</v>
      </c>
      <c r="C12393" t="s" s="9">
        <v>14</v>
      </c>
      <c r="D12393" t="s" s="8">
        <v>14</v>
      </c>
      <c r="E12393" t="s" s="9">
        <v>14</v>
      </c>
      <c r="F12393" t="s" s="10">
        <v>14</v>
      </c>
      <c r="G12393" t="s" s="11">
        <v>14</v>
      </c>
      <c r="H12393" t="s" s="10">
        <v>14</v>
      </c>
      <c r="I12393" t="s" s="11">
        <v>14</v>
      </c>
      <c r="J12393" t="s" s="11">
        <v>14</v>
      </c>
      <c r="K12393" t="s" s="12">
        <v>14</v>
      </c>
      <c r="L12393" t="s" s="12">
        <v>14</v>
      </c>
      <c r="M12393" t="s" s="10">
        <v>14</v>
      </c>
      <c r="N12393" t="s" s="11">
        <v>14</v>
      </c>
      <c r="O12393" t="s" s="8">
        <v>14</v>
      </c>
      <c r="P12393" t="s" s="8">
        <v>14</v>
      </c>
      <c r="Q12393" t="s" s="12">
        <v>14</v>
      </c>
      <c r="R12393" t="s" s="12">
        <v>14</v>
      </c>
    </row>
    <row r="12394" s="2" customFormat="1" ht="13.5" customHeight="1">
      <c r="B12394" s="13"/>
      <c r="C12394" t="s" s="9">
        <v>16</v>
      </c>
      <c r="D12394" t="s" s="8">
        <v>4632</v>
      </c>
      <c r="E12394" t="s" s="9">
        <v>4632</v>
      </c>
      <c r="F12394" s="19">
        <v>1</v>
      </c>
      <c r="G12394" t="s" s="11">
        <v>68</v>
      </c>
      <c r="H12394" t="s" s="10">
        <v>68</v>
      </c>
      <c r="I12394" t="s" s="11">
        <v>68</v>
      </c>
      <c r="J12394" t="s" s="11">
        <v>20</v>
      </c>
      <c r="K12394" s="15"/>
      <c r="L12394" t="s" s="16">
        <f>HYPERLINK("http://csr.bu.edu/ftp/asl/asllvd/demos/verify_start_end_handshape_annotations//test_auto_move//signs_mov_separ_signers/Liz_1442.mov","MOV")</f>
        <v>21</v>
      </c>
      <c r="M12394" t="s" s="10">
        <v>34</v>
      </c>
      <c r="N12394" s="17">
        <v>53</v>
      </c>
      <c r="O12394" s="18">
        <v>828</v>
      </c>
      <c r="P12394" s="18">
        <v>892</v>
      </c>
      <c r="Q12394" s="15"/>
      <c r="R12394" t="s" s="16">
        <f>HYPERLINK("http://secrets.rutgers.edu:8080/data/asl-ftp/asllvd/demos/verify_start_end_handshape_annotations//test_auto_move//signs_mov_separ_signers/Liz_1442.mov","MOV")</f>
        <v>21</v>
      </c>
    </row>
    <row r="12395" s="2" customFormat="1" ht="13.5" customHeight="1">
      <c r="B12395" s="13"/>
      <c r="C12395" t="s" s="9">
        <v>27</v>
      </c>
      <c r="D12395" t="s" s="8">
        <v>4632</v>
      </c>
      <c r="E12395" t="s" s="9">
        <v>4632</v>
      </c>
      <c r="F12395" s="19">
        <v>1</v>
      </c>
      <c r="G12395" t="s" s="11">
        <v>68</v>
      </c>
      <c r="H12395" t="s" s="10">
        <v>68</v>
      </c>
      <c r="I12395" t="s" s="11">
        <v>68</v>
      </c>
      <c r="J12395" t="s" s="11">
        <v>20</v>
      </c>
      <c r="K12395" t="s" s="16">
        <f>HYPERLINK("http://csr.bu.edu/ftp/asl/asllvd/demos/verify_start_end_handshape_annotations//test_auto_move//signs_mov/1442.mov","MOV")</f>
        <v>21</v>
      </c>
      <c r="L12395" t="s" s="16">
        <f>HYPERLINK("http://csr.bu.edu/ftp/asl/asllvd/demos/verify_start_end_handshape_annotations//test_auto_move//signs_mov_separ_signers/Naomi_1442.mov","MOV")</f>
        <v>21</v>
      </c>
      <c r="M12395" t="s" s="10">
        <v>48</v>
      </c>
      <c r="N12395" s="17">
        <v>8</v>
      </c>
      <c r="O12395" s="18">
        <v>780</v>
      </c>
      <c r="P12395" s="18">
        <v>824</v>
      </c>
      <c r="Q12395" t="s" s="16">
        <f>HYPERLINK("http://secrets.rutgers.edu:8080/data/asl-ftp/asllvd/demos/verify_start_end_handshape_annotations//test_auto_move//signs_mov/1442.mov","MOV")</f>
        <v>21</v>
      </c>
      <c r="R12395" t="s" s="16">
        <f>HYPERLINK("http://secrets.rutgers.edu:8080/data/asl-ftp/asllvd/demos/verify_start_end_handshape_annotations//test_auto_move//signs_mov_separ_signers/Naomi_1442.mov","MOV")</f>
        <v>21</v>
      </c>
    </row>
    <row r="12396" s="2" customFormat="1" ht="13.5" customHeight="1">
      <c r="B12396" s="13"/>
      <c r="C12396" t="s" s="9">
        <v>30</v>
      </c>
      <c r="D12396" t="s" s="8">
        <v>4632</v>
      </c>
      <c r="E12396" t="s" s="9">
        <v>4632</v>
      </c>
      <c r="F12396" s="19">
        <v>1</v>
      </c>
      <c r="G12396" s="14"/>
      <c r="H12396" t="s" s="10">
        <v>68</v>
      </c>
      <c r="I12396" t="s" s="11">
        <v>68</v>
      </c>
      <c r="J12396" t="s" s="11">
        <v>20</v>
      </c>
      <c r="K12396" s="15"/>
      <c r="L12396" t="s" s="16">
        <f>HYPERLINK("http://csr.bu.edu/ftp/asl/asllvd/demos/verify_start_end_handshape_annotations//test_auto_move//signs_mov_separ_signers/Brady_1442.mov","MOV")</f>
        <v>21</v>
      </c>
      <c r="M12396" t="s" s="10">
        <v>39</v>
      </c>
      <c r="N12396" s="17">
        <v>51</v>
      </c>
      <c r="O12396" s="18">
        <v>3107</v>
      </c>
      <c r="P12396" s="18">
        <v>3139</v>
      </c>
      <c r="Q12396" s="15"/>
      <c r="R12396" t="s" s="16">
        <f>HYPERLINK("http://secrets.rutgers.edu:8080/data/asl-ftp/asllvd/demos/verify_start_end_handshape_annotations//test_auto_move//signs_mov_separ_signers/Brady_1442.mov","MOV")</f>
        <v>21</v>
      </c>
    </row>
    <row r="12397" s="2" customFormat="1" ht="13.5" customHeight="1">
      <c r="B12397" t="s" s="8">
        <v>4633</v>
      </c>
      <c r="C12397" t="s" s="9">
        <v>14</v>
      </c>
      <c r="D12397" t="s" s="8">
        <v>14</v>
      </c>
      <c r="E12397" t="s" s="9">
        <v>14</v>
      </c>
      <c r="F12397" t="s" s="10">
        <v>14</v>
      </c>
      <c r="G12397" t="s" s="11">
        <v>14</v>
      </c>
      <c r="H12397" t="s" s="10">
        <v>14</v>
      </c>
      <c r="I12397" t="s" s="11">
        <v>14</v>
      </c>
      <c r="J12397" t="s" s="11">
        <v>14</v>
      </c>
      <c r="K12397" t="s" s="12">
        <v>14</v>
      </c>
      <c r="L12397" t="s" s="12">
        <v>14</v>
      </c>
      <c r="M12397" t="s" s="10">
        <v>14</v>
      </c>
      <c r="N12397" t="s" s="11">
        <v>14</v>
      </c>
      <c r="O12397" t="s" s="8">
        <v>14</v>
      </c>
      <c r="P12397" t="s" s="8">
        <v>14</v>
      </c>
      <c r="Q12397" t="s" s="12">
        <v>14</v>
      </c>
      <c r="R12397" t="s" s="12">
        <v>14</v>
      </c>
    </row>
    <row r="12398" s="2" customFormat="1" ht="13.5" customHeight="1">
      <c r="B12398" s="13"/>
      <c r="C12398" t="s" s="9">
        <v>16</v>
      </c>
      <c r="D12398" t="s" s="8">
        <v>4633</v>
      </c>
      <c r="E12398" t="s" s="9">
        <v>4633</v>
      </c>
      <c r="F12398" s="19">
        <v>1</v>
      </c>
      <c r="G12398" s="14"/>
      <c r="H12398" t="s" s="10">
        <v>136</v>
      </c>
      <c r="I12398" s="14"/>
      <c r="J12398" t="s" s="11">
        <v>20</v>
      </c>
      <c r="K12398" s="15"/>
      <c r="L12398" t="s" s="16">
        <f>HYPERLINK("http://csr.bu.edu/ftp/asl/asllvd/demos/verify_start_end_handshape_annotations//test_auto_move//signs_mov_separ_signers/Liz_1443.mov","MOV")</f>
        <v>21</v>
      </c>
      <c r="M12398" t="s" s="10">
        <v>34</v>
      </c>
      <c r="N12398" s="17">
        <v>53</v>
      </c>
      <c r="O12398" s="18">
        <v>1121</v>
      </c>
      <c r="P12398" s="18">
        <v>1160</v>
      </c>
      <c r="Q12398" s="15"/>
      <c r="R12398" t="s" s="16">
        <f>HYPERLINK("http://secrets.rutgers.edu:8080/data/asl-ftp/asllvd/demos/verify_start_end_handshape_annotations//test_auto_move//signs_mov_separ_signers/Liz_1443.mov","MOV")</f>
        <v>21</v>
      </c>
    </row>
    <row r="12399" s="2" customFormat="1" ht="13.5" customHeight="1">
      <c r="B12399" s="13"/>
      <c r="C12399" t="s" s="9">
        <v>23</v>
      </c>
      <c r="D12399" t="s" s="8">
        <v>4633</v>
      </c>
      <c r="E12399" t="s" s="9">
        <v>4633</v>
      </c>
      <c r="F12399" s="19">
        <v>1</v>
      </c>
      <c r="G12399" s="14"/>
      <c r="H12399" t="s" s="10">
        <v>136</v>
      </c>
      <c r="I12399" s="14"/>
      <c r="J12399" t="s" s="11">
        <v>20</v>
      </c>
      <c r="K12399" t="s" s="16">
        <f>HYPERLINK("http://csr.bu.edu/ftp/asl/asllvd/demos/verify_start_end_handshape_annotations//test_auto_move//signs_mov/1443.mov","MOV")</f>
        <v>21</v>
      </c>
      <c r="L12399" t="s" s="16">
        <f>HYPERLINK("http://csr.bu.edu/ftp/asl/asllvd/demos/verify_start_end_handshape_annotations//test_auto_move//signs_mov_separ_signers/Tyler_1443.mov","MOV")</f>
        <v>21</v>
      </c>
      <c r="M12399" t="s" s="10">
        <v>47</v>
      </c>
      <c r="N12399" s="17">
        <v>5</v>
      </c>
      <c r="O12399" s="18">
        <v>1610</v>
      </c>
      <c r="P12399" s="18">
        <v>1643</v>
      </c>
      <c r="Q12399" t="s" s="16">
        <f>HYPERLINK("http://secrets.rutgers.edu:8080/data/asl-ftp/asllvd/demos/verify_start_end_handshape_annotations//test_auto_move//signs_mov/1443.mov","MOV")</f>
        <v>21</v>
      </c>
      <c r="R12399" t="s" s="16">
        <f>HYPERLINK("http://secrets.rutgers.edu:8080/data/asl-ftp/asllvd/demos/verify_start_end_handshape_annotations//test_auto_move//signs_mov_separ_signers/Tyler_1443.mov","MOV")</f>
        <v>21</v>
      </c>
    </row>
    <row r="12400" s="2" customFormat="1" ht="13.5" customHeight="1">
      <c r="B12400" s="13"/>
      <c r="C12400" t="s" s="9">
        <v>27</v>
      </c>
      <c r="D12400" t="s" s="8">
        <v>4633</v>
      </c>
      <c r="E12400" t="s" s="9">
        <v>4633</v>
      </c>
      <c r="F12400" t="s" s="10">
        <v>196</v>
      </c>
      <c r="G12400" s="14"/>
      <c r="H12400" t="s" s="10">
        <v>136</v>
      </c>
      <c r="I12400" s="14"/>
      <c r="J12400" t="s" s="11">
        <v>20</v>
      </c>
      <c r="K12400" s="15"/>
      <c r="L12400" t="s" s="16">
        <f>HYPERLINK("http://csr.bu.edu/ftp/asl/asllvd/demos/verify_start_end_handshape_annotations//test_auto_move//signs_mov_separ_signers/Naomi_1443.mov","MOV")</f>
        <v>21</v>
      </c>
      <c r="M12400" t="s" s="10">
        <v>48</v>
      </c>
      <c r="N12400" s="17">
        <v>8</v>
      </c>
      <c r="O12400" s="18">
        <v>1016</v>
      </c>
      <c r="P12400" s="18">
        <v>1028</v>
      </c>
      <c r="Q12400" s="15"/>
      <c r="R12400" t="s" s="16">
        <f>HYPERLINK("http://secrets.rutgers.edu:8080/data/asl-ftp/asllvd/demos/verify_start_end_handshape_annotations//test_auto_move//signs_mov_separ_signers/Naomi_1443.mov","MOV")</f>
        <v>21</v>
      </c>
    </row>
    <row r="12401" s="2" customFormat="1" ht="13.5" customHeight="1">
      <c r="B12401" s="13"/>
      <c r="C12401" t="s" s="9">
        <v>30</v>
      </c>
      <c r="D12401" t="s" s="8">
        <v>4633</v>
      </c>
      <c r="E12401" t="s" s="9">
        <v>4633</v>
      </c>
      <c r="F12401" s="19">
        <v>1</v>
      </c>
      <c r="G12401" s="14"/>
      <c r="H12401" t="s" s="10">
        <v>136</v>
      </c>
      <c r="I12401" s="14"/>
      <c r="J12401" t="s" s="11">
        <v>20</v>
      </c>
      <c r="K12401" s="15"/>
      <c r="L12401" t="s" s="16">
        <f>HYPERLINK("http://csr.bu.edu/ftp/asl/asllvd/demos/verify_start_end_handshape_annotations//test_auto_move//signs_mov_separ_signers/Brady_1443.mov","MOV")</f>
        <v>21</v>
      </c>
      <c r="M12401" t="s" s="10">
        <v>39</v>
      </c>
      <c r="N12401" s="17">
        <v>51</v>
      </c>
      <c r="O12401" s="18">
        <v>3366</v>
      </c>
      <c r="P12401" s="18">
        <v>3394</v>
      </c>
      <c r="Q12401" s="15"/>
      <c r="R12401" t="s" s="16">
        <f>HYPERLINK("http://secrets.rutgers.edu:8080/data/asl-ftp/asllvd/demos/verify_start_end_handshape_annotations//test_auto_move//signs_mov_separ_signers/Brady_1443.mov","MOV")</f>
        <v>21</v>
      </c>
    </row>
    <row r="12402" s="2" customFormat="1" ht="13.5" customHeight="1">
      <c r="B12402" t="s" s="8">
        <v>52</v>
      </c>
      <c r="C12402" t="s" s="9">
        <v>53</v>
      </c>
      <c r="D12402" t="s" s="8">
        <v>53</v>
      </c>
      <c r="E12402" t="s" s="9">
        <v>53</v>
      </c>
      <c r="F12402" t="s" s="10">
        <v>53</v>
      </c>
      <c r="G12402" t="s" s="11">
        <v>53</v>
      </c>
      <c r="H12402" t="s" s="10">
        <v>53</v>
      </c>
      <c r="I12402" t="s" s="11">
        <v>53</v>
      </c>
      <c r="J12402" t="s" s="11">
        <v>53</v>
      </c>
      <c r="K12402" t="s" s="12">
        <v>53</v>
      </c>
      <c r="L12402" t="s" s="12">
        <v>53</v>
      </c>
      <c r="M12402" t="s" s="10">
        <v>53</v>
      </c>
      <c r="N12402" t="s" s="11">
        <v>53</v>
      </c>
      <c r="O12402" t="s" s="8">
        <v>53</v>
      </c>
      <c r="P12402" t="s" s="8">
        <v>53</v>
      </c>
      <c r="Q12402" t="s" s="12">
        <v>53</v>
      </c>
      <c r="R12402" t="s" s="12">
        <v>53</v>
      </c>
    </row>
    <row r="12403" s="2" customFormat="1" ht="13.5" customHeight="1">
      <c r="B12403" s="13"/>
      <c r="C12403" t="s" s="9">
        <v>23</v>
      </c>
      <c r="D12403" t="s" s="8">
        <v>4633</v>
      </c>
      <c r="E12403" t="s" s="9">
        <v>4634</v>
      </c>
      <c r="F12403" s="19">
        <v>5</v>
      </c>
      <c r="G12403" s="14"/>
      <c r="H12403" t="s" s="10">
        <v>136</v>
      </c>
      <c r="I12403" s="14"/>
      <c r="J12403" t="s" s="11">
        <v>20</v>
      </c>
      <c r="K12403" t="s" s="16">
        <f>HYPERLINK("http://csr.bu.edu/ftp/asl/asllvd/demos/verify_start_end_handshape_annotations//test_auto_move//signs_mov/5247.mov","MOV")</f>
        <v>21</v>
      </c>
      <c r="L12403" t="s" s="16">
        <f>HYPERLINK("http://csr.bu.edu/ftp/asl/asllvd/demos/verify_start_end_handshape_annotations//test_auto_move//signs_mov_separ_signers/Tyler_5247.mov","MOV")</f>
        <v>21</v>
      </c>
      <c r="M12403" t="s" s="10">
        <v>47</v>
      </c>
      <c r="N12403" s="17">
        <v>5</v>
      </c>
      <c r="O12403" s="18">
        <v>797</v>
      </c>
      <c r="P12403" s="18">
        <v>844</v>
      </c>
      <c r="Q12403" t="s" s="16">
        <f>HYPERLINK("http://secrets.rutgers.edu:8080/data/asl-ftp/asllvd/demos/verify_start_end_handshape_annotations//test_auto_move//signs_mov/5247.mov","MOV")</f>
        <v>21</v>
      </c>
      <c r="R12403" t="s" s="16">
        <f>HYPERLINK("http://secrets.rutgers.edu:8080/data/asl-ftp/asllvd/demos/verify_start_end_handshape_annotations//test_auto_move//signs_mov_separ_signers/Tyler_5247.mov","MOV")</f>
        <v>21</v>
      </c>
    </row>
    <row r="12404" s="2" customFormat="1" ht="13.5" customHeight="1">
      <c r="B12404" t="s" s="8">
        <v>4635</v>
      </c>
      <c r="C12404" t="s" s="9">
        <v>14</v>
      </c>
      <c r="D12404" t="s" s="8">
        <v>14</v>
      </c>
      <c r="E12404" t="s" s="9">
        <v>14</v>
      </c>
      <c r="F12404" t="s" s="10">
        <v>14</v>
      </c>
      <c r="G12404" t="s" s="11">
        <v>14</v>
      </c>
      <c r="H12404" t="s" s="10">
        <v>14</v>
      </c>
      <c r="I12404" t="s" s="11">
        <v>14</v>
      </c>
      <c r="J12404" t="s" s="11">
        <v>14</v>
      </c>
      <c r="K12404" t="s" s="12">
        <v>14</v>
      </c>
      <c r="L12404" t="s" s="12">
        <v>14</v>
      </c>
      <c r="M12404" t="s" s="10">
        <v>14</v>
      </c>
      <c r="N12404" t="s" s="11">
        <v>14</v>
      </c>
      <c r="O12404" t="s" s="8">
        <v>14</v>
      </c>
      <c r="P12404" t="s" s="8">
        <v>14</v>
      </c>
      <c r="Q12404" t="s" s="12">
        <v>14</v>
      </c>
      <c r="R12404" t="s" s="12">
        <v>14</v>
      </c>
    </row>
    <row r="12405" s="2" customFormat="1" ht="13.5" customHeight="1">
      <c r="B12405" s="13"/>
      <c r="C12405" t="s" s="9">
        <v>16</v>
      </c>
      <c r="D12405" t="s" s="8">
        <v>4635</v>
      </c>
      <c r="E12405" t="s" s="9">
        <v>4635</v>
      </c>
      <c r="F12405" t="s" s="10">
        <v>25</v>
      </c>
      <c r="G12405" s="14"/>
      <c r="H12405" t="s" s="10">
        <v>63</v>
      </c>
      <c r="I12405" s="14"/>
      <c r="J12405" t="s" s="11">
        <v>20</v>
      </c>
      <c r="K12405" s="15"/>
      <c r="L12405" t="s" s="16">
        <f>HYPERLINK("http://csr.bu.edu/ftp/asl/asllvd/demos/verify_start_end_handshape_annotations//test_auto_move//signs_mov_separ_signers/Liz_1452.mov","MOV")</f>
        <v>21</v>
      </c>
      <c r="M12405" t="s" s="10">
        <v>34</v>
      </c>
      <c r="N12405" s="17">
        <v>54</v>
      </c>
      <c r="O12405" s="18">
        <v>816</v>
      </c>
      <c r="P12405" s="18">
        <v>846</v>
      </c>
      <c r="Q12405" s="15"/>
      <c r="R12405" t="s" s="16">
        <f>HYPERLINK("http://secrets.rutgers.edu:8080/data/asl-ftp/asllvd/demos/verify_start_end_handshape_annotations//test_auto_move//signs_mov_separ_signers/Liz_1452.mov","MOV")</f>
        <v>21</v>
      </c>
    </row>
    <row r="12406" s="2" customFormat="1" ht="13.5" customHeight="1">
      <c r="B12406" s="13"/>
      <c r="C12406" t="s" s="9">
        <v>23</v>
      </c>
      <c r="D12406" t="s" s="8">
        <v>4635</v>
      </c>
      <c r="E12406" t="s" s="9">
        <v>4635</v>
      </c>
      <c r="F12406" t="s" s="10">
        <v>25</v>
      </c>
      <c r="G12406" s="14"/>
      <c r="H12406" t="s" s="10">
        <v>63</v>
      </c>
      <c r="I12406" s="14"/>
      <c r="J12406" t="s" s="11">
        <v>20</v>
      </c>
      <c r="K12406" t="s" s="16">
        <f>HYPERLINK("http://csr.bu.edu/ftp/asl/asllvd/demos/verify_start_end_handshape_annotations//test_auto_move//signs_mov/1452.mov","MOV")</f>
        <v>21</v>
      </c>
      <c r="L12406" t="s" s="16">
        <f>HYPERLINK("http://csr.bu.edu/ftp/asl/asllvd/demos/verify_start_end_handshape_annotations//test_auto_move//signs_mov_separ_signers/Tyler_1452.mov","MOV")</f>
        <v>21</v>
      </c>
      <c r="M12406" t="s" s="10">
        <v>47</v>
      </c>
      <c r="N12406" s="17">
        <v>6</v>
      </c>
      <c r="O12406" s="18">
        <v>1177</v>
      </c>
      <c r="P12406" s="18">
        <v>1210</v>
      </c>
      <c r="Q12406" t="s" s="16">
        <f>HYPERLINK("http://secrets.rutgers.edu:8080/data/asl-ftp/asllvd/demos/verify_start_end_handshape_annotations//test_auto_move//signs_mov/1452.mov","MOV")</f>
        <v>21</v>
      </c>
      <c r="R12406" t="s" s="16">
        <f>HYPERLINK("http://secrets.rutgers.edu:8080/data/asl-ftp/asllvd/demos/verify_start_end_handshape_annotations//test_auto_move//signs_mov_separ_signers/Tyler_1452.mov","MOV")</f>
        <v>21</v>
      </c>
    </row>
    <row r="12407" s="2" customFormat="1" ht="13.5" customHeight="1">
      <c r="B12407" s="13"/>
      <c r="C12407" t="s" s="9">
        <v>27</v>
      </c>
      <c r="D12407" t="s" s="8">
        <v>4635</v>
      </c>
      <c r="E12407" t="s" s="9">
        <v>4635</v>
      </c>
      <c r="F12407" t="s" s="10">
        <v>25</v>
      </c>
      <c r="G12407" s="14"/>
      <c r="H12407" t="s" s="10">
        <v>63</v>
      </c>
      <c r="I12407" s="14"/>
      <c r="J12407" t="s" s="11">
        <v>20</v>
      </c>
      <c r="K12407" s="15"/>
      <c r="L12407" t="s" s="16">
        <f>HYPERLINK("http://csr.bu.edu/ftp/asl/asllvd/demos/verify_start_end_handshape_annotations//test_auto_move//signs_mov_separ_signers/Naomi_1452.mov","MOV")</f>
        <v>21</v>
      </c>
      <c r="M12407" t="s" s="10">
        <v>48</v>
      </c>
      <c r="N12407" s="17">
        <v>9</v>
      </c>
      <c r="O12407" s="18">
        <v>875</v>
      </c>
      <c r="P12407" s="18">
        <v>895</v>
      </c>
      <c r="Q12407" s="15"/>
      <c r="R12407" t="s" s="16">
        <f>HYPERLINK("http://secrets.rutgers.edu:8080/data/asl-ftp/asllvd/demos/verify_start_end_handshape_annotations//test_auto_move//signs_mov_separ_signers/Naomi_1452.mov","MOV")</f>
        <v>21</v>
      </c>
    </row>
    <row r="12408" s="2" customFormat="1" ht="13.5" customHeight="1">
      <c r="B12408" t="s" s="8">
        <v>4636</v>
      </c>
      <c r="C12408" t="s" s="9">
        <v>14</v>
      </c>
      <c r="D12408" t="s" s="8">
        <v>14</v>
      </c>
      <c r="E12408" t="s" s="9">
        <v>14</v>
      </c>
      <c r="F12408" t="s" s="10">
        <v>14</v>
      </c>
      <c r="G12408" t="s" s="11">
        <v>14</v>
      </c>
      <c r="H12408" t="s" s="10">
        <v>14</v>
      </c>
      <c r="I12408" t="s" s="11">
        <v>14</v>
      </c>
      <c r="J12408" t="s" s="11">
        <v>14</v>
      </c>
      <c r="K12408" t="s" s="12">
        <v>14</v>
      </c>
      <c r="L12408" t="s" s="12">
        <v>14</v>
      </c>
      <c r="M12408" t="s" s="10">
        <v>14</v>
      </c>
      <c r="N12408" t="s" s="11">
        <v>14</v>
      </c>
      <c r="O12408" t="s" s="8">
        <v>14</v>
      </c>
      <c r="P12408" t="s" s="8">
        <v>14</v>
      </c>
      <c r="Q12408" t="s" s="12">
        <v>14</v>
      </c>
      <c r="R12408" t="s" s="12">
        <v>14</v>
      </c>
    </row>
    <row r="12409" s="2" customFormat="1" ht="13.5" customHeight="1">
      <c r="B12409" s="13"/>
      <c r="C12409" t="s" s="9">
        <v>16</v>
      </c>
      <c r="D12409" t="s" s="8">
        <v>4636</v>
      </c>
      <c r="E12409" t="s" s="9">
        <v>4636</v>
      </c>
      <c r="F12409" t="s" s="10">
        <v>119</v>
      </c>
      <c r="G12409" t="s" s="11">
        <v>109</v>
      </c>
      <c r="H12409" t="s" s="10">
        <v>109</v>
      </c>
      <c r="I12409" t="s" s="11">
        <v>109</v>
      </c>
      <c r="J12409" t="s" s="11">
        <v>20</v>
      </c>
      <c r="K12409" s="15"/>
      <c r="L12409" t="s" s="16">
        <f>HYPERLINK("http://csr.bu.edu/ftp/asl/asllvd/demos/verify_start_end_handshape_annotations//test_auto_move//signs_mov_separ_signers/Liz_4732.mov","MOV")</f>
        <v>21</v>
      </c>
      <c r="M12409" t="s" s="10">
        <v>34</v>
      </c>
      <c r="N12409" s="17">
        <v>55</v>
      </c>
      <c r="O12409" s="18">
        <v>2290</v>
      </c>
      <c r="P12409" s="18">
        <v>2336</v>
      </c>
      <c r="Q12409" s="15"/>
      <c r="R12409" t="s" s="16">
        <f>HYPERLINK("http://secrets.rutgers.edu:8080/data/asl-ftp/asllvd/demos/verify_start_end_handshape_annotations//test_auto_move//signs_mov_separ_signers/Liz_4732.mov","MOV")</f>
        <v>21</v>
      </c>
    </row>
    <row r="12410" s="2" customFormat="1" ht="13.5" customHeight="1">
      <c r="B12410" s="13"/>
      <c r="C12410" t="s" s="9">
        <v>23</v>
      </c>
      <c r="D12410" t="s" s="8">
        <v>4636</v>
      </c>
      <c r="E12410" t="s" s="9">
        <v>4636</v>
      </c>
      <c r="F12410" t="s" s="10">
        <v>119</v>
      </c>
      <c r="G12410" t="s" s="11">
        <v>109</v>
      </c>
      <c r="H12410" t="s" s="10">
        <v>109</v>
      </c>
      <c r="I12410" t="s" s="11">
        <v>109</v>
      </c>
      <c r="J12410" t="s" s="11">
        <v>20</v>
      </c>
      <c r="K12410" s="15"/>
      <c r="L12410" t="s" s="16">
        <f>HYPERLINK("http://csr.bu.edu/ftp/asl/asllvd/demos/verify_start_end_handshape_annotations//test_auto_move//signs_mov_separ_signers/Tyler_4732.mov","MOV")</f>
        <v>21</v>
      </c>
      <c r="M12410" t="s" s="10">
        <v>47</v>
      </c>
      <c r="N12410" s="17">
        <v>7</v>
      </c>
      <c r="O12410" s="18">
        <v>1827</v>
      </c>
      <c r="P12410" s="18">
        <v>1861</v>
      </c>
      <c r="Q12410" s="15"/>
      <c r="R12410" t="s" s="16">
        <f>HYPERLINK("http://secrets.rutgers.edu:8080/data/asl-ftp/asllvd/demos/verify_start_end_handshape_annotations//test_auto_move//signs_mov_separ_signers/Tyler_4732.mov","MOV")</f>
        <v>21</v>
      </c>
    </row>
    <row r="12411" s="2" customFormat="1" ht="13.5" customHeight="1">
      <c r="B12411" s="13"/>
      <c r="C12411" t="s" s="9">
        <v>27</v>
      </c>
      <c r="D12411" t="s" s="8">
        <v>4636</v>
      </c>
      <c r="E12411" t="s" s="9">
        <v>4636</v>
      </c>
      <c r="F12411" t="s" s="10">
        <v>119</v>
      </c>
      <c r="G12411" t="s" s="11">
        <v>73</v>
      </c>
      <c r="H12411" t="s" s="10">
        <v>73</v>
      </c>
      <c r="I12411" t="s" s="11">
        <v>73</v>
      </c>
      <c r="J12411" t="s" s="11">
        <v>20</v>
      </c>
      <c r="K12411" t="s" s="16">
        <f>HYPERLINK("http://csr.bu.edu/ftp/asl/asllvd/demos/verify_start_end_handshape_annotations//test_auto_move//signs_mov/4732.mov","MOV")</f>
        <v>21</v>
      </c>
      <c r="L12411" t="s" s="16">
        <f>HYPERLINK("http://csr.bu.edu/ftp/asl/asllvd/demos/verify_start_end_handshape_annotations//test_auto_move//signs_mov_separ_signers/Naomi_4732.mov","MOV")</f>
        <v>21</v>
      </c>
      <c r="M12411" t="s" s="10">
        <v>48</v>
      </c>
      <c r="N12411" s="17">
        <v>10</v>
      </c>
      <c r="O12411" s="18">
        <v>2869</v>
      </c>
      <c r="P12411" s="18">
        <v>2907</v>
      </c>
      <c r="Q12411" t="s" s="16">
        <f>HYPERLINK("http://secrets.rutgers.edu:8080/data/asl-ftp/asllvd/demos/verify_start_end_handshape_annotations//test_auto_move//signs_mov/4732.mov","MOV")</f>
        <v>21</v>
      </c>
      <c r="R12411" t="s" s="16">
        <f>HYPERLINK("http://secrets.rutgers.edu:8080/data/asl-ftp/asllvd/demos/verify_start_end_handshape_annotations//test_auto_move//signs_mov_separ_signers/Naomi_4732.mov","MOV")</f>
        <v>21</v>
      </c>
    </row>
    <row r="12412" s="2" customFormat="1" ht="13.5" customHeight="1">
      <c r="B12412" s="13"/>
      <c r="C12412" t="s" s="9">
        <v>30</v>
      </c>
      <c r="D12412" t="s" s="8">
        <v>4636</v>
      </c>
      <c r="E12412" t="s" s="9">
        <v>4636</v>
      </c>
      <c r="F12412" t="s" s="10">
        <v>119</v>
      </c>
      <c r="G12412" s="14"/>
      <c r="H12412" t="s" s="10">
        <v>73</v>
      </c>
      <c r="I12412" t="s" s="11">
        <v>73</v>
      </c>
      <c r="J12412" t="s" s="11">
        <v>20</v>
      </c>
      <c r="K12412" s="15"/>
      <c r="L12412" t="s" s="16">
        <f>HYPERLINK("http://csr.bu.edu/ftp/asl/asllvd/demos/verify_start_end_handshape_annotations//test_auto_move//signs_mov_separ_signers/Brady_4732.mov","MOV")</f>
        <v>21</v>
      </c>
      <c r="M12412" t="s" s="10">
        <v>39</v>
      </c>
      <c r="N12412" s="17">
        <v>53</v>
      </c>
      <c r="O12412" s="18">
        <v>295</v>
      </c>
      <c r="P12412" s="18">
        <v>328</v>
      </c>
      <c r="Q12412" s="15"/>
      <c r="R12412" t="s" s="16">
        <f>HYPERLINK("http://secrets.rutgers.edu:8080/data/asl-ftp/asllvd/demos/verify_start_end_handshape_annotations//test_auto_move//signs_mov_separ_signers/Brady_4732.mov","MOV")</f>
        <v>21</v>
      </c>
    </row>
    <row r="12413" s="2" customFormat="1" ht="13.5" customHeight="1">
      <c r="B12413" s="13"/>
      <c r="C12413" t="s" s="9">
        <v>41</v>
      </c>
      <c r="D12413" t="s" s="8">
        <v>4636</v>
      </c>
      <c r="E12413" t="s" s="9">
        <v>4636</v>
      </c>
      <c r="F12413" t="s" s="10">
        <v>119</v>
      </c>
      <c r="G12413" s="14"/>
      <c r="H12413" t="s" s="10">
        <v>55</v>
      </c>
      <c r="I12413" t="s" s="11">
        <v>55</v>
      </c>
      <c r="J12413" t="s" s="11">
        <v>20</v>
      </c>
      <c r="K12413" s="15"/>
      <c r="L12413" t="s" s="16">
        <f>HYPERLINK("http://csr.bu.edu/ftp/asl/asllvd/demos/verify_start_end_handshape_annotations//test_auto_move//signs_mov_separ_signers/Lana_4732.mov","MOV")</f>
        <v>21</v>
      </c>
      <c r="M12413" t="s" s="10">
        <v>42</v>
      </c>
      <c r="N12413" s="17">
        <v>16</v>
      </c>
      <c r="O12413" s="18">
        <v>1534</v>
      </c>
      <c r="P12413" s="18">
        <v>1577</v>
      </c>
      <c r="Q12413" s="15"/>
      <c r="R12413" t="s" s="16">
        <f>HYPERLINK("http://secrets.rutgers.edu:8080/data/asl-ftp/asllvd/demos/verify_start_end_handshape_annotations//test_auto_move//signs_mov_separ_signers/Lana_4732.mov","MOV")</f>
        <v>21</v>
      </c>
    </row>
    <row r="12414" s="2" customFormat="1" ht="13.5" customHeight="1">
      <c r="B12414" s="13"/>
      <c r="C12414" t="s" s="9">
        <v>43</v>
      </c>
      <c r="D12414" t="s" s="8">
        <v>4636</v>
      </c>
      <c r="E12414" t="s" s="9">
        <v>4636</v>
      </c>
      <c r="F12414" t="s" s="10">
        <v>119</v>
      </c>
      <c r="G12414" s="14"/>
      <c r="H12414" t="s" s="10">
        <v>73</v>
      </c>
      <c r="I12414" t="s" s="11">
        <v>73</v>
      </c>
      <c r="J12414" t="s" s="11">
        <v>20</v>
      </c>
      <c r="K12414" s="15"/>
      <c r="L12414" t="s" s="16">
        <f>HYPERLINK("http://csr.bu.edu/ftp/asl/asllvd/demos/verify_start_end_handshape_annotations//test_auto_move//signs_mov_separ_signers/Dana_4732.mov","MOV")</f>
        <v>21</v>
      </c>
      <c r="M12414" t="s" s="10">
        <v>44</v>
      </c>
      <c r="N12414" s="17">
        <v>19</v>
      </c>
      <c r="O12414" s="18">
        <v>1533</v>
      </c>
      <c r="P12414" s="18">
        <v>1595</v>
      </c>
      <c r="Q12414" s="15"/>
      <c r="R12414" t="s" s="16">
        <f>HYPERLINK("http://secrets.rutgers.edu:8080/data/asl-ftp/asllvd/demos/verify_start_end_handshape_annotations//test_auto_move//signs_mov_separ_signers/Dana_4732.mov","MOV")</f>
        <v>21</v>
      </c>
    </row>
    <row r="12415" s="2" customFormat="1" ht="13.5" customHeight="1">
      <c r="B12415" t="s" s="8">
        <v>4637</v>
      </c>
      <c r="C12415" t="s" s="9">
        <v>14</v>
      </c>
      <c r="D12415" t="s" s="8">
        <v>14</v>
      </c>
      <c r="E12415" t="s" s="9">
        <v>14</v>
      </c>
      <c r="F12415" t="s" s="10">
        <v>14</v>
      </c>
      <c r="G12415" t="s" s="11">
        <v>14</v>
      </c>
      <c r="H12415" t="s" s="10">
        <v>14</v>
      </c>
      <c r="I12415" t="s" s="11">
        <v>14</v>
      </c>
      <c r="J12415" t="s" s="11">
        <v>14</v>
      </c>
      <c r="K12415" t="s" s="12">
        <v>14</v>
      </c>
      <c r="L12415" t="s" s="12">
        <v>14</v>
      </c>
      <c r="M12415" t="s" s="10">
        <v>14</v>
      </c>
      <c r="N12415" t="s" s="11">
        <v>14</v>
      </c>
      <c r="O12415" t="s" s="8">
        <v>14</v>
      </c>
      <c r="P12415" t="s" s="8">
        <v>14</v>
      </c>
      <c r="Q12415" t="s" s="12">
        <v>14</v>
      </c>
      <c r="R12415" t="s" s="12">
        <v>14</v>
      </c>
    </row>
    <row r="12416" s="2" customFormat="1" ht="13.5" customHeight="1">
      <c r="B12416" s="13"/>
      <c r="C12416" t="s" s="9">
        <v>16</v>
      </c>
      <c r="D12416" t="s" s="8">
        <v>4637</v>
      </c>
      <c r="E12416" t="s" s="9">
        <v>4637</v>
      </c>
      <c r="F12416" t="s" s="10">
        <v>2233</v>
      </c>
      <c r="G12416" s="14"/>
      <c r="H12416" t="s" s="10">
        <v>406</v>
      </c>
      <c r="I12416" s="14"/>
      <c r="J12416" t="s" s="11">
        <v>20</v>
      </c>
      <c r="K12416" t="s" s="16">
        <f>HYPERLINK("http://csr.bu.edu/ftp/asl/asllvd/demos/verify_start_end_handshape_annotations//test_auto_move//signs_mov/1471.mov","MOV")</f>
        <v>21</v>
      </c>
      <c r="L12416" t="s" s="16">
        <f>HYPERLINK("http://csr.bu.edu/ftp/asl/asllvd/demos/verify_start_end_handshape_annotations//test_auto_move//signs_mov_separ_signers/Liz_1471.mov","MOV")</f>
        <v>21</v>
      </c>
      <c r="M12416" t="s" s="10">
        <v>34</v>
      </c>
      <c r="N12416" s="17">
        <v>56</v>
      </c>
      <c r="O12416" s="18">
        <v>1181</v>
      </c>
      <c r="P12416" s="18">
        <v>1205</v>
      </c>
      <c r="Q12416" t="s" s="16">
        <f>HYPERLINK("http://secrets.rutgers.edu:8080/data/asl-ftp/asllvd/demos/verify_start_end_handshape_annotations//test_auto_move//signs_mov/1471.mov","MOV")</f>
        <v>21</v>
      </c>
      <c r="R12416" t="s" s="16">
        <f>HYPERLINK("http://secrets.rutgers.edu:8080/data/asl-ftp/asllvd/demos/verify_start_end_handshape_annotations//test_auto_move//signs_mov_separ_signers/Liz_1471.mov","MOV")</f>
        <v>21</v>
      </c>
    </row>
    <row r="12417" s="2" customFormat="1" ht="13.5" customHeight="1">
      <c r="B12417" t="s" s="8">
        <v>4638</v>
      </c>
      <c r="C12417" t="s" s="9">
        <v>14</v>
      </c>
      <c r="D12417" t="s" s="8">
        <v>14</v>
      </c>
      <c r="E12417" t="s" s="9">
        <v>14</v>
      </c>
      <c r="F12417" t="s" s="10">
        <v>14</v>
      </c>
      <c r="G12417" t="s" s="11">
        <v>14</v>
      </c>
      <c r="H12417" t="s" s="10">
        <v>14</v>
      </c>
      <c r="I12417" t="s" s="11">
        <v>14</v>
      </c>
      <c r="J12417" t="s" s="11">
        <v>14</v>
      </c>
      <c r="K12417" t="s" s="12">
        <v>14</v>
      </c>
      <c r="L12417" t="s" s="12">
        <v>14</v>
      </c>
      <c r="M12417" t="s" s="10">
        <v>14</v>
      </c>
      <c r="N12417" t="s" s="11">
        <v>14</v>
      </c>
      <c r="O12417" t="s" s="8">
        <v>14</v>
      </c>
      <c r="P12417" t="s" s="8">
        <v>14</v>
      </c>
      <c r="Q12417" t="s" s="12">
        <v>14</v>
      </c>
      <c r="R12417" t="s" s="12">
        <v>14</v>
      </c>
    </row>
    <row r="12418" s="2" customFormat="1" ht="13.5" customHeight="1">
      <c r="B12418" s="13"/>
      <c r="C12418" t="s" s="9">
        <v>16</v>
      </c>
      <c r="D12418" t="s" s="8">
        <v>4638</v>
      </c>
      <c r="E12418" t="s" s="9">
        <v>4638</v>
      </c>
      <c r="F12418" t="s" s="10">
        <v>244</v>
      </c>
      <c r="G12418" t="s" s="11">
        <v>18</v>
      </c>
      <c r="H12418" t="s" s="10">
        <v>18</v>
      </c>
      <c r="I12418" t="s" s="11">
        <v>18</v>
      </c>
      <c r="J12418" t="s" s="11">
        <v>20</v>
      </c>
      <c r="K12418" t="s" s="16">
        <f>HYPERLINK("http://csr.bu.edu/ftp/asl/asllvd/demos/verify_start_end_handshape_annotations//test_auto_move//signs_mov/1487.mov","MOV")</f>
        <v>21</v>
      </c>
      <c r="L12418" t="s" s="16">
        <f>HYPERLINK("http://csr.bu.edu/ftp/asl/asllvd/demos/verify_start_end_handshape_annotations//test_auto_move//signs_mov_separ_signers/Liz_1487.mov","MOV")</f>
        <v>21</v>
      </c>
      <c r="M12418" t="s" s="10">
        <v>34</v>
      </c>
      <c r="N12418" s="17">
        <v>57</v>
      </c>
      <c r="O12418" s="18">
        <v>2570</v>
      </c>
      <c r="P12418" s="18">
        <v>2637</v>
      </c>
      <c r="Q12418" t="s" s="16">
        <f>HYPERLINK("http://secrets.rutgers.edu:8080/data/asl-ftp/asllvd/demos/verify_start_end_handshape_annotations//test_auto_move//signs_mov/1487.mov","MOV")</f>
        <v>21</v>
      </c>
      <c r="R12418" t="s" s="16">
        <f>HYPERLINK("http://secrets.rutgers.edu:8080/data/asl-ftp/asllvd/demos/verify_start_end_handshape_annotations//test_auto_move//signs_mov_separ_signers/Liz_1487.mov","MOV")</f>
        <v>21</v>
      </c>
    </row>
    <row r="12419" s="2" customFormat="1" ht="13.5" customHeight="1">
      <c r="B12419" s="13"/>
      <c r="C12419" t="s" s="9">
        <v>27</v>
      </c>
      <c r="D12419" t="s" s="8">
        <v>4638</v>
      </c>
      <c r="E12419" t="s" s="9">
        <v>4638</v>
      </c>
      <c r="F12419" t="s" s="10">
        <v>73</v>
      </c>
      <c r="G12419" t="s" s="11">
        <v>18</v>
      </c>
      <c r="H12419" t="s" s="10">
        <v>18</v>
      </c>
      <c r="I12419" t="s" s="11">
        <v>18</v>
      </c>
      <c r="J12419" t="s" s="11">
        <v>20</v>
      </c>
      <c r="K12419" s="15"/>
      <c r="L12419" t="s" s="16">
        <f>HYPERLINK("http://csr.bu.edu/ftp/asl/asllvd/demos/verify_start_end_handshape_annotations//test_auto_move//signs_mov_separ_signers/Naomi_1487.mov","MOV")</f>
        <v>21</v>
      </c>
      <c r="M12419" t="s" s="10">
        <v>48</v>
      </c>
      <c r="N12419" s="17">
        <v>12</v>
      </c>
      <c r="O12419" s="18">
        <v>3021</v>
      </c>
      <c r="P12419" s="18">
        <v>3058</v>
      </c>
      <c r="Q12419" s="15"/>
      <c r="R12419" t="s" s="16">
        <f>HYPERLINK("http://secrets.rutgers.edu:8080/data/asl-ftp/asllvd/demos/verify_start_end_handshape_annotations//test_auto_move//signs_mov_separ_signers/Naomi_1487.mov","MOV")</f>
        <v>21</v>
      </c>
    </row>
    <row r="12420" s="2" customFormat="1" ht="13.5" customHeight="1">
      <c r="B12420" t="s" s="8">
        <v>4639</v>
      </c>
      <c r="C12420" t="s" s="9">
        <v>14</v>
      </c>
      <c r="D12420" t="s" s="8">
        <v>14</v>
      </c>
      <c r="E12420" t="s" s="9">
        <v>14</v>
      </c>
      <c r="F12420" t="s" s="10">
        <v>14</v>
      </c>
      <c r="G12420" t="s" s="11">
        <v>14</v>
      </c>
      <c r="H12420" t="s" s="10">
        <v>14</v>
      </c>
      <c r="I12420" t="s" s="11">
        <v>14</v>
      </c>
      <c r="J12420" t="s" s="11">
        <v>14</v>
      </c>
      <c r="K12420" t="s" s="12">
        <v>14</v>
      </c>
      <c r="L12420" t="s" s="12">
        <v>14</v>
      </c>
      <c r="M12420" t="s" s="10">
        <v>14</v>
      </c>
      <c r="N12420" t="s" s="11">
        <v>14</v>
      </c>
      <c r="O12420" t="s" s="8">
        <v>14</v>
      </c>
      <c r="P12420" t="s" s="8">
        <v>14</v>
      </c>
      <c r="Q12420" t="s" s="12">
        <v>14</v>
      </c>
      <c r="R12420" t="s" s="12">
        <v>14</v>
      </c>
    </row>
    <row r="12421" s="2" customFormat="1" ht="13.5" customHeight="1">
      <c r="B12421" s="13"/>
      <c r="C12421" t="s" s="9">
        <v>30</v>
      </c>
      <c r="D12421" t="s" s="8">
        <v>4639</v>
      </c>
      <c r="E12421" t="s" s="9">
        <v>4640</v>
      </c>
      <c r="F12421" t="s" s="10">
        <v>73</v>
      </c>
      <c r="G12421" s="14"/>
      <c r="H12421" t="s" s="10">
        <v>150</v>
      </c>
      <c r="I12421" t="s" s="11">
        <v>150</v>
      </c>
      <c r="J12421" t="s" s="11">
        <v>20</v>
      </c>
      <c r="K12421" t="s" s="16">
        <f>HYPERLINK("http://csr.bu.edu/ftp/asl/asllvd/demos/verify_start_end_handshape_annotations//test_auto_move//signs_mov/1501.mov","MOV")</f>
        <v>21</v>
      </c>
      <c r="L12421" t="s" s="16">
        <f>HYPERLINK("http://csr.bu.edu/ftp/asl/asllvd/demos/verify_start_end_handshape_annotations//test_auto_move//signs_mov_separ_signers/Brady_1501.mov","MOV")</f>
        <v>21</v>
      </c>
      <c r="M12421" t="s" s="10">
        <v>39</v>
      </c>
      <c r="N12421" s="17">
        <v>54</v>
      </c>
      <c r="O12421" s="18">
        <v>7453</v>
      </c>
      <c r="P12421" s="18">
        <v>7500</v>
      </c>
      <c r="Q12421" t="s" s="16">
        <f>HYPERLINK("http://secrets.rutgers.edu:8080/data/asl-ftp/asllvd/demos/verify_start_end_handshape_annotations//test_auto_move//signs_mov/1501.mov","MOV")</f>
        <v>21</v>
      </c>
      <c r="R12421" t="s" s="16">
        <f>HYPERLINK("http://secrets.rutgers.edu:8080/data/asl-ftp/asllvd/demos/verify_start_end_handshape_annotations//test_auto_move//signs_mov_separ_signers/Brady_1501.mov","MOV")</f>
        <v>21</v>
      </c>
    </row>
    <row r="12422" s="2" customFormat="1" ht="13.5" customHeight="1">
      <c r="B12422" t="s" s="8">
        <v>52</v>
      </c>
      <c r="C12422" t="s" s="9">
        <v>53</v>
      </c>
      <c r="D12422" t="s" s="8">
        <v>53</v>
      </c>
      <c r="E12422" t="s" s="9">
        <v>53</v>
      </c>
      <c r="F12422" t="s" s="10">
        <v>53</v>
      </c>
      <c r="G12422" t="s" s="11">
        <v>53</v>
      </c>
      <c r="H12422" t="s" s="10">
        <v>53</v>
      </c>
      <c r="I12422" t="s" s="11">
        <v>53</v>
      </c>
      <c r="J12422" t="s" s="11">
        <v>53</v>
      </c>
      <c r="K12422" t="s" s="12">
        <v>53</v>
      </c>
      <c r="L12422" t="s" s="12">
        <v>53</v>
      </c>
      <c r="M12422" t="s" s="10">
        <v>53</v>
      </c>
      <c r="N12422" t="s" s="11">
        <v>53</v>
      </c>
      <c r="O12422" t="s" s="8">
        <v>53</v>
      </c>
      <c r="P12422" t="s" s="8">
        <v>53</v>
      </c>
      <c r="Q12422" t="s" s="12">
        <v>53</v>
      </c>
      <c r="R12422" t="s" s="12">
        <v>53</v>
      </c>
    </row>
    <row r="12423" s="2" customFormat="1" ht="13.5" customHeight="1">
      <c r="B12423" s="13"/>
      <c r="C12423" t="s" s="9">
        <v>16</v>
      </c>
      <c r="D12423" t="s" s="8">
        <v>4639</v>
      </c>
      <c r="E12423" t="s" s="9">
        <v>4641</v>
      </c>
      <c r="F12423" t="s" s="10">
        <v>73</v>
      </c>
      <c r="G12423" t="s" s="11">
        <v>73</v>
      </c>
      <c r="H12423" t="s" s="10">
        <v>148</v>
      </c>
      <c r="I12423" t="s" s="11">
        <v>148</v>
      </c>
      <c r="J12423" t="s" s="11">
        <v>20</v>
      </c>
      <c r="K12423" t="s" s="16">
        <f>HYPERLINK("http://csr.bu.edu/ftp/asl/asllvd/demos/verify_start_end_handshape_annotations//test_auto_move//signs_mov/5256.mov","MOV")</f>
        <v>21</v>
      </c>
      <c r="L12423" t="s" s="16">
        <f>HYPERLINK("http://csr.bu.edu/ftp/asl/asllvd/demos/verify_start_end_handshape_annotations//test_auto_move//signs_mov_separ_signers/Liz_5256.mov","MOV")</f>
        <v>21</v>
      </c>
      <c r="M12423" t="s" s="10">
        <v>88</v>
      </c>
      <c r="N12423" s="17">
        <v>1</v>
      </c>
      <c r="O12423" s="18">
        <v>560</v>
      </c>
      <c r="P12423" s="18">
        <v>629</v>
      </c>
      <c r="Q12423" t="s" s="16">
        <f>HYPERLINK("http://secrets.rutgers.edu:8080/data/asl-ftp/asllvd/demos/verify_start_end_handshape_annotations//test_auto_move//signs_mov/5256.mov","MOV")</f>
        <v>21</v>
      </c>
      <c r="R12423" t="s" s="16">
        <f>HYPERLINK("http://secrets.rutgers.edu:8080/data/asl-ftp/asllvd/demos/verify_start_end_handshape_annotations//test_auto_move//signs_mov_separ_signers/Liz_5256.mov","MOV")</f>
        <v>21</v>
      </c>
    </row>
    <row r="12424" s="2" customFormat="1" ht="27.75" customHeight="1">
      <c r="B12424" t="s" s="8">
        <v>4642</v>
      </c>
      <c r="C12424" t="s" s="9">
        <v>14</v>
      </c>
      <c r="D12424" t="s" s="8">
        <v>14</v>
      </c>
      <c r="E12424" t="s" s="9">
        <v>14</v>
      </c>
      <c r="F12424" t="s" s="10">
        <v>14</v>
      </c>
      <c r="G12424" t="s" s="11">
        <v>14</v>
      </c>
      <c r="H12424" t="s" s="10">
        <v>14</v>
      </c>
      <c r="I12424" t="s" s="11">
        <v>14</v>
      </c>
      <c r="J12424" t="s" s="11">
        <v>14</v>
      </c>
      <c r="K12424" t="s" s="12">
        <v>14</v>
      </c>
      <c r="L12424" t="s" s="12">
        <v>14</v>
      </c>
      <c r="M12424" t="s" s="10">
        <v>14</v>
      </c>
      <c r="N12424" t="s" s="11">
        <v>14</v>
      </c>
      <c r="O12424" t="s" s="8">
        <v>14</v>
      </c>
      <c r="P12424" t="s" s="8">
        <v>14</v>
      </c>
      <c r="Q12424" t="s" s="12">
        <v>14</v>
      </c>
      <c r="R12424" t="s" s="12">
        <v>14</v>
      </c>
    </row>
    <row r="12425" s="2" customFormat="1" ht="27.75" customHeight="1">
      <c r="B12425" s="13"/>
      <c r="C12425" t="s" s="9">
        <v>23</v>
      </c>
      <c r="D12425" t="s" s="8">
        <v>4642</v>
      </c>
      <c r="E12425" t="s" s="9">
        <v>4642</v>
      </c>
      <c r="F12425" t="s" s="10">
        <v>2233</v>
      </c>
      <c r="G12425" t="s" s="11">
        <v>73</v>
      </c>
      <c r="H12425" t="s" s="10">
        <v>240</v>
      </c>
      <c r="I12425" t="s" s="11">
        <v>73</v>
      </c>
      <c r="J12425" t="s" s="11">
        <v>20</v>
      </c>
      <c r="K12425" t="s" s="16">
        <f>HYPERLINK("http://csr.bu.edu/ftp/asl/asllvd/demos/verify_start_end_handshape_annotations//test_auto_move//signs_mov/1503.mov","MOV")</f>
        <v>21</v>
      </c>
      <c r="L12425" t="s" s="16">
        <f>HYPERLINK("http://csr.bu.edu/ftp/asl/asllvd/demos/verify_start_end_handshape_annotations//test_auto_move//signs_mov_separ_signers/Tyler_1503.mov","MOV")</f>
        <v>21</v>
      </c>
      <c r="M12425" t="s" s="10">
        <v>47</v>
      </c>
      <c r="N12425" s="17">
        <v>11</v>
      </c>
      <c r="O12425" s="18">
        <v>840</v>
      </c>
      <c r="P12425" s="18">
        <v>931</v>
      </c>
      <c r="Q12425" t="s" s="16">
        <f>HYPERLINK("http://secrets.rutgers.edu:8080/data/asl-ftp/asllvd/demos/verify_start_end_handshape_annotations//test_auto_move//signs_mov/1503.mov","MOV")</f>
        <v>21</v>
      </c>
      <c r="R12425" t="s" s="16">
        <f>HYPERLINK("http://secrets.rutgers.edu:8080/data/asl-ftp/asllvd/demos/verify_start_end_handshape_annotations//test_auto_move//signs_mov_separ_signers/Tyler_1503.mov","MOV")</f>
        <v>21</v>
      </c>
    </row>
    <row r="12426" s="2" customFormat="1" ht="27.75" customHeight="1">
      <c r="B12426" t="s" s="8">
        <v>4643</v>
      </c>
      <c r="C12426" t="s" s="9">
        <v>14</v>
      </c>
      <c r="D12426" t="s" s="8">
        <v>14</v>
      </c>
      <c r="E12426" t="s" s="9">
        <v>14</v>
      </c>
      <c r="F12426" t="s" s="10">
        <v>14</v>
      </c>
      <c r="G12426" t="s" s="11">
        <v>14</v>
      </c>
      <c r="H12426" t="s" s="10">
        <v>14</v>
      </c>
      <c r="I12426" t="s" s="11">
        <v>14</v>
      </c>
      <c r="J12426" t="s" s="11">
        <v>14</v>
      </c>
      <c r="K12426" t="s" s="12">
        <v>14</v>
      </c>
      <c r="L12426" t="s" s="12">
        <v>14</v>
      </c>
      <c r="M12426" t="s" s="10">
        <v>14</v>
      </c>
      <c r="N12426" t="s" s="11">
        <v>14</v>
      </c>
      <c r="O12426" t="s" s="8">
        <v>14</v>
      </c>
      <c r="P12426" t="s" s="8">
        <v>14</v>
      </c>
      <c r="Q12426" t="s" s="12">
        <v>14</v>
      </c>
      <c r="R12426" t="s" s="12">
        <v>14</v>
      </c>
    </row>
    <row r="12427" s="2" customFormat="1" ht="27.75" customHeight="1">
      <c r="B12427" s="13"/>
      <c r="C12427" t="s" s="9">
        <v>16</v>
      </c>
      <c r="D12427" t="s" s="8">
        <v>4643</v>
      </c>
      <c r="E12427" t="s" s="9">
        <v>4644</v>
      </c>
      <c r="F12427" t="s" s="10">
        <v>341</v>
      </c>
      <c r="G12427" s="14"/>
      <c r="H12427" t="s" s="10">
        <v>68</v>
      </c>
      <c r="I12427" t="s" s="11">
        <v>68</v>
      </c>
      <c r="J12427" t="s" s="11">
        <v>20</v>
      </c>
      <c r="K12427" t="s" s="16">
        <f>HYPERLINK("http://csr.bu.edu/ftp/asl/asllvd/demos/verify_start_end_handshape_annotations//test_auto_move//signs_mov/1520.mov","MOV")</f>
        <v>21</v>
      </c>
      <c r="L12427" t="s" s="16">
        <f>HYPERLINK("http://csr.bu.edu/ftp/asl/asllvd/demos/verify_start_end_handshape_annotations//test_auto_move//signs_mov_separ_signers/Liz_1520.mov","MOV")</f>
        <v>21</v>
      </c>
      <c r="M12427" t="s" s="10">
        <v>88</v>
      </c>
      <c r="N12427" s="17">
        <v>3</v>
      </c>
      <c r="O12427" s="18">
        <v>315</v>
      </c>
      <c r="P12427" s="18">
        <v>441</v>
      </c>
      <c r="Q12427" t="s" s="16">
        <f>HYPERLINK("http://secrets.rutgers.edu:8080/data/asl-ftp/asllvd/demos/verify_start_end_handshape_annotations//test_auto_move//signs_mov/1520.mov","MOV")</f>
        <v>21</v>
      </c>
      <c r="R12427" t="s" s="16">
        <f>HYPERLINK("http://secrets.rutgers.edu:8080/data/asl-ftp/asllvd/demos/verify_start_end_handshape_annotations//test_auto_move//signs_mov_separ_signers/Liz_1520.mov","MOV")</f>
        <v>21</v>
      </c>
    </row>
    <row r="12428" s="2" customFormat="1" ht="27.75" customHeight="1">
      <c r="B12428" s="13"/>
      <c r="C12428" t="s" s="9">
        <v>30</v>
      </c>
      <c r="D12428" t="s" s="8">
        <v>4643</v>
      </c>
      <c r="E12428" t="s" s="9">
        <v>4645</v>
      </c>
      <c r="F12428" t="s" s="10">
        <v>341</v>
      </c>
      <c r="G12428" s="14"/>
      <c r="H12428" t="s" s="10">
        <v>68</v>
      </c>
      <c r="I12428" t="s" s="11">
        <v>68</v>
      </c>
      <c r="J12428" t="s" s="11">
        <v>20</v>
      </c>
      <c r="K12428" s="15"/>
      <c r="L12428" t="s" s="16">
        <f>HYPERLINK("http://csr.bu.edu/ftp/asl/asllvd/demos/verify_start_end_handshape_annotations//test_auto_move//signs_mov_separ_signers/Brady_1520.mov","MOV")</f>
        <v>21</v>
      </c>
      <c r="M12428" t="s" s="10">
        <v>39</v>
      </c>
      <c r="N12428" s="17">
        <v>56</v>
      </c>
      <c r="O12428" s="18">
        <v>722</v>
      </c>
      <c r="P12428" s="18">
        <v>815</v>
      </c>
      <c r="Q12428" s="15"/>
      <c r="R12428" t="s" s="16">
        <f>HYPERLINK("http://secrets.rutgers.edu:8080/data/asl-ftp/asllvd/demos/verify_start_end_handshape_annotations//test_auto_move//signs_mov_separ_signers/Brady_1520.mov","MOV")</f>
        <v>21</v>
      </c>
    </row>
    <row r="12429" s="2" customFormat="1" ht="13.5" customHeight="1">
      <c r="B12429" t="s" s="8">
        <v>52</v>
      </c>
      <c r="C12429" t="s" s="9">
        <v>53</v>
      </c>
      <c r="D12429" t="s" s="8">
        <v>53</v>
      </c>
      <c r="E12429" t="s" s="9">
        <v>53</v>
      </c>
      <c r="F12429" t="s" s="10">
        <v>53</v>
      </c>
      <c r="G12429" t="s" s="11">
        <v>53</v>
      </c>
      <c r="H12429" t="s" s="10">
        <v>53</v>
      </c>
      <c r="I12429" t="s" s="11">
        <v>53</v>
      </c>
      <c r="J12429" t="s" s="11">
        <v>53</v>
      </c>
      <c r="K12429" t="s" s="12">
        <v>53</v>
      </c>
      <c r="L12429" t="s" s="12">
        <v>53</v>
      </c>
      <c r="M12429" t="s" s="10">
        <v>53</v>
      </c>
      <c r="N12429" t="s" s="11">
        <v>53</v>
      </c>
      <c r="O12429" t="s" s="8">
        <v>53</v>
      </c>
      <c r="P12429" t="s" s="8">
        <v>53</v>
      </c>
      <c r="Q12429" t="s" s="12">
        <v>53</v>
      </c>
      <c r="R12429" t="s" s="12">
        <v>53</v>
      </c>
    </row>
    <row r="12430" s="2" customFormat="1" ht="27.75" customHeight="1">
      <c r="B12430" s="13"/>
      <c r="C12430" t="s" s="9">
        <v>23</v>
      </c>
      <c r="D12430" t="s" s="8">
        <v>4643</v>
      </c>
      <c r="E12430" t="s" s="9">
        <v>4646</v>
      </c>
      <c r="F12430" t="s" s="10">
        <v>341</v>
      </c>
      <c r="G12430" t="s" s="11">
        <v>341</v>
      </c>
      <c r="H12430" t="s" s="10">
        <v>68</v>
      </c>
      <c r="I12430" t="s" s="11">
        <v>68</v>
      </c>
      <c r="J12430" t="s" s="11">
        <v>20</v>
      </c>
      <c r="K12430" t="s" s="16">
        <f>HYPERLINK("http://csr.bu.edu/ftp/asl/asllvd/demos/verify_start_end_handshape_annotations//test_auto_move//signs_mov/15347.mov","MOV")</f>
        <v>21</v>
      </c>
      <c r="L12430" t="s" s="16">
        <f>HYPERLINK("http://csr.bu.edu/ftp/asl/asllvd/demos/verify_start_end_handshape_annotations//test_auto_move//signs_mov_separ_signers/Tyler_15347.mov","MOV")</f>
        <v>21</v>
      </c>
      <c r="M12430" t="s" s="10">
        <v>47</v>
      </c>
      <c r="N12430" s="17">
        <v>12</v>
      </c>
      <c r="O12430" s="18">
        <v>4720</v>
      </c>
      <c r="P12430" s="18">
        <v>4803</v>
      </c>
      <c r="Q12430" t="s" s="16">
        <f>HYPERLINK("http://secrets.rutgers.edu:8080/data/asl-ftp/asllvd/demos/verify_start_end_handshape_annotations//test_auto_move//signs_mov/15347.mov","MOV")</f>
        <v>21</v>
      </c>
      <c r="R12430" t="s" s="16">
        <f>HYPERLINK("http://secrets.rutgers.edu:8080/data/asl-ftp/asllvd/demos/verify_start_end_handshape_annotations//test_auto_move//signs_mov_separ_signers/Tyler_15347.mov","MOV")</f>
        <v>21</v>
      </c>
    </row>
    <row r="12431" s="2" customFormat="1" ht="13.5" customHeight="1">
      <c r="B12431" t="s" s="8">
        <v>4647</v>
      </c>
      <c r="C12431" t="s" s="9">
        <v>14</v>
      </c>
      <c r="D12431" t="s" s="8">
        <v>14</v>
      </c>
      <c r="E12431" t="s" s="9">
        <v>14</v>
      </c>
      <c r="F12431" t="s" s="10">
        <v>14</v>
      </c>
      <c r="G12431" t="s" s="11">
        <v>14</v>
      </c>
      <c r="H12431" t="s" s="10">
        <v>14</v>
      </c>
      <c r="I12431" t="s" s="11">
        <v>14</v>
      </c>
      <c r="J12431" t="s" s="11">
        <v>14</v>
      </c>
      <c r="K12431" t="s" s="12">
        <v>14</v>
      </c>
      <c r="L12431" t="s" s="12">
        <v>14</v>
      </c>
      <c r="M12431" t="s" s="10">
        <v>14</v>
      </c>
      <c r="N12431" t="s" s="11">
        <v>14</v>
      </c>
      <c r="O12431" t="s" s="8">
        <v>14</v>
      </c>
      <c r="P12431" t="s" s="8">
        <v>14</v>
      </c>
      <c r="Q12431" t="s" s="12">
        <v>14</v>
      </c>
      <c r="R12431" t="s" s="12">
        <v>14</v>
      </c>
    </row>
    <row r="12432" s="2" customFormat="1" ht="13.5" customHeight="1">
      <c r="B12432" s="13"/>
      <c r="C12432" t="s" s="9">
        <v>23</v>
      </c>
      <c r="D12432" t="s" s="8">
        <v>4648</v>
      </c>
      <c r="E12432" t="s" s="9">
        <v>4648</v>
      </c>
      <c r="F12432" s="19">
        <v>5</v>
      </c>
      <c r="G12432" s="17">
        <v>5</v>
      </c>
      <c r="H12432" t="s" s="10">
        <v>73</v>
      </c>
      <c r="I12432" t="s" s="11">
        <v>73</v>
      </c>
      <c r="J12432" t="s" s="11">
        <v>20</v>
      </c>
      <c r="K12432" t="s" s="16">
        <f>HYPERLINK("http://csr.bu.edu/ftp/asl/asllvd/demos/verify_start_end_handshape_annotations//test_auto_move//signs_mov/1523.mov","MOV")</f>
        <v>21</v>
      </c>
      <c r="L12432" t="s" s="16">
        <f>HYPERLINK("http://csr.bu.edu/ftp/asl/asllvd/demos/verify_start_end_handshape_annotations//test_auto_move//signs_mov_separ_signers/Tyler_1523.mov","MOV")</f>
        <v>21</v>
      </c>
      <c r="M12432" t="s" s="10">
        <v>47</v>
      </c>
      <c r="N12432" s="17">
        <v>13</v>
      </c>
      <c r="O12432" s="18">
        <v>1853</v>
      </c>
      <c r="P12432" s="18">
        <v>1895</v>
      </c>
      <c r="Q12432" t="s" s="16">
        <f>HYPERLINK("http://secrets.rutgers.edu:8080/data/asl-ftp/asllvd/demos/verify_start_end_handshape_annotations//test_auto_move//signs_mov/1523.mov","MOV")</f>
        <v>21</v>
      </c>
      <c r="R12432" t="s" s="16">
        <f>HYPERLINK("http://secrets.rutgers.edu:8080/data/asl-ftp/asllvd/demos/verify_start_end_handshape_annotations//test_auto_move//signs_mov_separ_signers/Tyler_1523.mov","MOV")</f>
        <v>21</v>
      </c>
    </row>
    <row r="12433" s="2" customFormat="1" ht="13.5" customHeight="1">
      <c r="B12433" s="13"/>
      <c r="C12433" t="s" s="9">
        <v>30</v>
      </c>
      <c r="D12433" t="s" s="8">
        <v>4648</v>
      </c>
      <c r="E12433" t="s" s="9">
        <v>4648</v>
      </c>
      <c r="F12433" t="s" s="10">
        <v>430</v>
      </c>
      <c r="G12433" t="s" s="11">
        <v>430</v>
      </c>
      <c r="H12433" t="s" s="10">
        <v>73</v>
      </c>
      <c r="I12433" t="s" s="11">
        <v>73</v>
      </c>
      <c r="J12433" t="s" s="11">
        <v>20</v>
      </c>
      <c r="K12433" s="15"/>
      <c r="L12433" t="s" s="16">
        <f>HYPERLINK("http://csr.bu.edu/ftp/asl/asllvd/demos/verify_start_end_handshape_annotations//test_auto_move//signs_mov_separ_signers/Brady_1523.mov","MOV")</f>
        <v>21</v>
      </c>
      <c r="M12433" t="s" s="10">
        <v>39</v>
      </c>
      <c r="N12433" s="17">
        <v>56</v>
      </c>
      <c r="O12433" s="18">
        <v>1906</v>
      </c>
      <c r="P12433" s="18">
        <v>1936</v>
      </c>
      <c r="Q12433" s="15"/>
      <c r="R12433" t="s" s="16">
        <f>HYPERLINK("http://secrets.rutgers.edu:8080/data/asl-ftp/asllvd/demos/verify_start_end_handshape_annotations//test_auto_move//signs_mov_separ_signers/Brady_1523.mov","MOV")</f>
        <v>21</v>
      </c>
    </row>
    <row r="12434" s="2" customFormat="1" ht="13.5" customHeight="1">
      <c r="B12434" t="s" s="8">
        <v>4649</v>
      </c>
      <c r="C12434" t="s" s="9">
        <v>14</v>
      </c>
      <c r="D12434" t="s" s="8">
        <v>14</v>
      </c>
      <c r="E12434" t="s" s="9">
        <v>14</v>
      </c>
      <c r="F12434" t="s" s="10">
        <v>14</v>
      </c>
      <c r="G12434" t="s" s="11">
        <v>14</v>
      </c>
      <c r="H12434" t="s" s="10">
        <v>14</v>
      </c>
      <c r="I12434" t="s" s="11">
        <v>14</v>
      </c>
      <c r="J12434" t="s" s="11">
        <v>14</v>
      </c>
      <c r="K12434" t="s" s="12">
        <v>14</v>
      </c>
      <c r="L12434" t="s" s="12">
        <v>14</v>
      </c>
      <c r="M12434" t="s" s="10">
        <v>14</v>
      </c>
      <c r="N12434" t="s" s="11">
        <v>14</v>
      </c>
      <c r="O12434" t="s" s="8">
        <v>14</v>
      </c>
      <c r="P12434" t="s" s="8">
        <v>14</v>
      </c>
      <c r="Q12434" t="s" s="12">
        <v>14</v>
      </c>
      <c r="R12434" t="s" s="12">
        <v>14</v>
      </c>
    </row>
    <row r="12435" s="2" customFormat="1" ht="13.5" customHeight="1">
      <c r="B12435" s="13"/>
      <c r="C12435" t="s" s="9">
        <v>16</v>
      </c>
      <c r="D12435" t="s" s="8">
        <v>4650</v>
      </c>
      <c r="E12435" t="s" s="9">
        <v>4650</v>
      </c>
      <c r="F12435" t="s" s="10">
        <v>73</v>
      </c>
      <c r="G12435" t="s" s="11">
        <v>73</v>
      </c>
      <c r="H12435" t="s" s="10">
        <v>73</v>
      </c>
      <c r="I12435" t="s" s="11">
        <v>73</v>
      </c>
      <c r="J12435" t="s" s="11">
        <v>20</v>
      </c>
      <c r="K12435" t="s" s="16">
        <f>HYPERLINK("http://csr.bu.edu/ftp/asl/asllvd/demos/verify_start_end_handshape_annotations//test_auto_move//signs_mov/1529.mov","MOV")</f>
        <v>21</v>
      </c>
      <c r="L12435" t="s" s="16">
        <f>HYPERLINK("http://csr.bu.edu/ftp/asl/asllvd/demos/verify_start_end_handshape_annotations//test_auto_move//signs_mov_separ_signers/Liz_1529.mov","MOV")</f>
        <v>21</v>
      </c>
      <c r="M12435" t="s" s="10">
        <v>88</v>
      </c>
      <c r="N12435" s="17">
        <v>3</v>
      </c>
      <c r="O12435" s="18">
        <v>4110</v>
      </c>
      <c r="P12435" s="18">
        <v>4191</v>
      </c>
      <c r="Q12435" t="s" s="16">
        <f>HYPERLINK("http://secrets.rutgers.edu:8080/data/asl-ftp/asllvd/demos/verify_start_end_handshape_annotations//test_auto_move//signs_mov/1529.mov","MOV")</f>
        <v>21</v>
      </c>
      <c r="R12435" t="s" s="16">
        <f>HYPERLINK("http://secrets.rutgers.edu:8080/data/asl-ftp/asllvd/demos/verify_start_end_handshape_annotations//test_auto_move//signs_mov_separ_signers/Liz_1529.mov","MOV")</f>
        <v>21</v>
      </c>
    </row>
    <row r="12436" s="2" customFormat="1" ht="13.5" customHeight="1">
      <c r="B12436" s="13"/>
      <c r="C12436" t="s" s="9">
        <v>30</v>
      </c>
      <c r="D12436" t="s" s="8">
        <v>4650</v>
      </c>
      <c r="E12436" t="s" s="9">
        <v>4650</v>
      </c>
      <c r="F12436" t="s" s="10">
        <v>73</v>
      </c>
      <c r="G12436" t="s" s="11">
        <v>73</v>
      </c>
      <c r="H12436" t="s" s="10">
        <v>73</v>
      </c>
      <c r="I12436" t="s" s="11">
        <v>73</v>
      </c>
      <c r="J12436" t="s" s="11">
        <v>20</v>
      </c>
      <c r="K12436" s="15"/>
      <c r="L12436" t="s" s="16">
        <f>HYPERLINK("http://csr.bu.edu/ftp/asl/asllvd/demos/verify_start_end_handshape_annotations//test_auto_move//signs_mov_separ_signers/Brady_1529.mov","MOV")</f>
        <v>21</v>
      </c>
      <c r="M12436" t="s" s="10">
        <v>39</v>
      </c>
      <c r="N12436" s="17">
        <v>56</v>
      </c>
      <c r="O12436" s="18">
        <v>3272</v>
      </c>
      <c r="P12436" s="18">
        <v>3318</v>
      </c>
      <c r="Q12436" s="15"/>
      <c r="R12436" t="s" s="16">
        <f>HYPERLINK("http://secrets.rutgers.edu:8080/data/asl-ftp/asllvd/demos/verify_start_end_handshape_annotations//test_auto_move//signs_mov_separ_signers/Brady_1529.mov","MOV")</f>
        <v>21</v>
      </c>
    </row>
    <row r="12437" s="2" customFormat="1" ht="13.5" customHeight="1">
      <c r="B12437" t="s" s="8">
        <v>4651</v>
      </c>
      <c r="C12437" t="s" s="9">
        <v>14</v>
      </c>
      <c r="D12437" t="s" s="8">
        <v>14</v>
      </c>
      <c r="E12437" t="s" s="9">
        <v>14</v>
      </c>
      <c r="F12437" t="s" s="10">
        <v>14</v>
      </c>
      <c r="G12437" t="s" s="11">
        <v>14</v>
      </c>
      <c r="H12437" t="s" s="10">
        <v>14</v>
      </c>
      <c r="I12437" t="s" s="11">
        <v>14</v>
      </c>
      <c r="J12437" t="s" s="11">
        <v>14</v>
      </c>
      <c r="K12437" t="s" s="12">
        <v>14</v>
      </c>
      <c r="L12437" t="s" s="12">
        <v>14</v>
      </c>
      <c r="M12437" t="s" s="10">
        <v>14</v>
      </c>
      <c r="N12437" t="s" s="11">
        <v>14</v>
      </c>
      <c r="O12437" t="s" s="8">
        <v>14</v>
      </c>
      <c r="P12437" t="s" s="8">
        <v>14</v>
      </c>
      <c r="Q12437" t="s" s="12">
        <v>14</v>
      </c>
      <c r="R12437" t="s" s="12">
        <v>14</v>
      </c>
    </row>
    <row r="12438" s="2" customFormat="1" ht="13.5" customHeight="1">
      <c r="B12438" s="13"/>
      <c r="C12438" t="s" s="9">
        <v>16</v>
      </c>
      <c r="D12438" t="s" s="8">
        <v>4651</v>
      </c>
      <c r="E12438" t="s" s="9">
        <v>4651</v>
      </c>
      <c r="F12438" t="s" s="10">
        <v>80</v>
      </c>
      <c r="G12438" t="s" s="11">
        <v>73</v>
      </c>
      <c r="H12438" t="s" s="10">
        <v>73</v>
      </c>
      <c r="I12438" t="s" s="11">
        <v>73</v>
      </c>
      <c r="J12438" t="s" s="11">
        <v>20</v>
      </c>
      <c r="K12438" t="s" s="16">
        <f>HYPERLINK("http://csr.bu.edu/ftp/asl/asllvd/demos/verify_start_end_handshape_annotations//test_auto_move//signs_mov/1542.mov","MOV")</f>
        <v>21</v>
      </c>
      <c r="L12438" t="s" s="16">
        <f>HYPERLINK("http://csr.bu.edu/ftp/asl/asllvd/demos/verify_start_end_handshape_annotations//test_auto_move//signs_mov_separ_signers/Liz_1542.mov","MOV")</f>
        <v>21</v>
      </c>
      <c r="M12438" t="s" s="10">
        <v>88</v>
      </c>
      <c r="N12438" s="17">
        <v>5</v>
      </c>
      <c r="O12438" s="18">
        <v>962</v>
      </c>
      <c r="P12438" s="18">
        <v>1040</v>
      </c>
      <c r="Q12438" t="s" s="16">
        <f>HYPERLINK("http://secrets.rutgers.edu:8080/data/asl-ftp/asllvd/demos/verify_start_end_handshape_annotations//test_auto_move//signs_mov/1542.mov","MOV")</f>
        <v>21</v>
      </c>
      <c r="R12438" t="s" s="16">
        <f>HYPERLINK("http://secrets.rutgers.edu:8080/data/asl-ftp/asllvd/demos/verify_start_end_handshape_annotations//test_auto_move//signs_mov_separ_signers/Liz_1542.mov","MOV")</f>
        <v>21</v>
      </c>
    </row>
    <row r="12439" s="2" customFormat="1" ht="13.5" customHeight="1">
      <c r="B12439" s="13"/>
      <c r="C12439" t="s" s="9">
        <v>30</v>
      </c>
      <c r="D12439" t="s" s="8">
        <v>4651</v>
      </c>
      <c r="E12439" t="s" s="9">
        <v>4651</v>
      </c>
      <c r="F12439" t="s" s="10">
        <v>80</v>
      </c>
      <c r="G12439" t="s" s="11">
        <v>73</v>
      </c>
      <c r="H12439" t="s" s="10">
        <v>73</v>
      </c>
      <c r="I12439" t="s" s="11">
        <v>73</v>
      </c>
      <c r="J12439" t="s" s="11">
        <v>20</v>
      </c>
      <c r="K12439" s="15"/>
      <c r="L12439" t="s" s="16">
        <f>HYPERLINK("http://csr.bu.edu/ftp/asl/asllvd/demos/verify_start_end_handshape_annotations//test_auto_move//signs_mov_separ_signers/Brady_1542.mov","MOV")</f>
        <v>21</v>
      </c>
      <c r="M12439" t="s" s="10">
        <v>40</v>
      </c>
      <c r="N12439" s="17">
        <v>2</v>
      </c>
      <c r="O12439" s="18">
        <v>2767</v>
      </c>
      <c r="P12439" s="18">
        <v>2823</v>
      </c>
      <c r="Q12439" s="15"/>
      <c r="R12439" t="s" s="16">
        <f>HYPERLINK("http://secrets.rutgers.edu:8080/data/asl-ftp/asllvd/demos/verify_start_end_handshape_annotations//test_auto_move//signs_mov_separ_signers/Brady_1542.mov","MOV")</f>
        <v>21</v>
      </c>
    </row>
    <row r="12440" s="2" customFormat="1" ht="13.5" customHeight="1">
      <c r="B12440" t="s" s="8">
        <v>4652</v>
      </c>
      <c r="C12440" t="s" s="9">
        <v>14</v>
      </c>
      <c r="D12440" t="s" s="8">
        <v>14</v>
      </c>
      <c r="E12440" t="s" s="9">
        <v>14</v>
      </c>
      <c r="F12440" t="s" s="10">
        <v>14</v>
      </c>
      <c r="G12440" t="s" s="11">
        <v>14</v>
      </c>
      <c r="H12440" t="s" s="10">
        <v>14</v>
      </c>
      <c r="I12440" t="s" s="11">
        <v>14</v>
      </c>
      <c r="J12440" t="s" s="11">
        <v>14</v>
      </c>
      <c r="K12440" t="s" s="12">
        <v>14</v>
      </c>
      <c r="L12440" t="s" s="12">
        <v>14</v>
      </c>
      <c r="M12440" t="s" s="10">
        <v>14</v>
      </c>
      <c r="N12440" t="s" s="11">
        <v>14</v>
      </c>
      <c r="O12440" t="s" s="8">
        <v>14</v>
      </c>
      <c r="P12440" t="s" s="8">
        <v>14</v>
      </c>
      <c r="Q12440" t="s" s="12">
        <v>14</v>
      </c>
      <c r="R12440" t="s" s="12">
        <v>14</v>
      </c>
    </row>
    <row r="12441" s="2" customFormat="1" ht="13.5" customHeight="1">
      <c r="B12441" s="13"/>
      <c r="C12441" t="s" s="9">
        <v>23</v>
      </c>
      <c r="D12441" t="s" s="8">
        <v>4652</v>
      </c>
      <c r="E12441" t="s" s="9">
        <v>4652</v>
      </c>
      <c r="F12441" t="s" s="10">
        <v>80</v>
      </c>
      <c r="G12441" t="s" s="11">
        <v>73</v>
      </c>
      <c r="H12441" t="s" s="10">
        <v>73</v>
      </c>
      <c r="I12441" t="s" s="11">
        <v>73</v>
      </c>
      <c r="J12441" t="s" s="11">
        <v>20</v>
      </c>
      <c r="K12441" t="s" s="16">
        <f>HYPERLINK("http://csr.bu.edu/ftp/asl/asllvd/demos/verify_start_end_handshape_annotations//test_auto_move//signs_mov/16563.mov","MOV")</f>
        <v>21</v>
      </c>
      <c r="L12441" t="s" s="16">
        <f>HYPERLINK("http://csr.bu.edu/ftp/asl/asllvd/demos/verify_start_end_handshape_annotations//test_auto_move//signs_mov_separ_signers/Tyler_16563.mov","MOV")</f>
        <v>21</v>
      </c>
      <c r="M12441" t="s" s="10">
        <v>47</v>
      </c>
      <c r="N12441" s="17">
        <v>15</v>
      </c>
      <c r="O12441" s="18">
        <v>498</v>
      </c>
      <c r="P12441" s="18">
        <v>558</v>
      </c>
      <c r="Q12441" t="s" s="16">
        <f>HYPERLINK("http://secrets.rutgers.edu:8080/data/asl-ftp/asllvd/demos/verify_start_end_handshape_annotations//test_auto_move//signs_mov/16563.mov","MOV")</f>
        <v>21</v>
      </c>
      <c r="R12441" t="s" s="16">
        <f>HYPERLINK("http://secrets.rutgers.edu:8080/data/asl-ftp/asllvd/demos/verify_start_end_handshape_annotations//test_auto_move//signs_mov_separ_signers/Tyler_16563.mov","MOV")</f>
        <v>21</v>
      </c>
    </row>
    <row r="12442" s="2" customFormat="1" ht="13.5" customHeight="1">
      <c r="B12442" t="s" s="8">
        <v>4653</v>
      </c>
      <c r="C12442" t="s" s="9">
        <v>14</v>
      </c>
      <c r="D12442" t="s" s="8">
        <v>14</v>
      </c>
      <c r="E12442" t="s" s="9">
        <v>14</v>
      </c>
      <c r="F12442" t="s" s="10">
        <v>14</v>
      </c>
      <c r="G12442" t="s" s="11">
        <v>14</v>
      </c>
      <c r="H12442" t="s" s="10">
        <v>14</v>
      </c>
      <c r="I12442" t="s" s="11">
        <v>14</v>
      </c>
      <c r="J12442" t="s" s="11">
        <v>14</v>
      </c>
      <c r="K12442" t="s" s="12">
        <v>14</v>
      </c>
      <c r="L12442" t="s" s="12">
        <v>14</v>
      </c>
      <c r="M12442" t="s" s="10">
        <v>14</v>
      </c>
      <c r="N12442" t="s" s="11">
        <v>14</v>
      </c>
      <c r="O12442" t="s" s="8">
        <v>14</v>
      </c>
      <c r="P12442" t="s" s="8">
        <v>14</v>
      </c>
      <c r="Q12442" t="s" s="12">
        <v>14</v>
      </c>
      <c r="R12442" t="s" s="12">
        <v>14</v>
      </c>
    </row>
    <row r="12443" s="2" customFormat="1" ht="13.5" customHeight="1">
      <c r="B12443" s="13"/>
      <c r="C12443" t="s" s="9">
        <v>23</v>
      </c>
      <c r="D12443" t="s" s="8">
        <v>4653</v>
      </c>
      <c r="E12443" t="s" s="9">
        <v>4653</v>
      </c>
      <c r="F12443" t="s" s="10">
        <v>185</v>
      </c>
      <c r="G12443" t="s" s="11">
        <v>80</v>
      </c>
      <c r="H12443" t="s" s="10">
        <v>73</v>
      </c>
      <c r="I12443" t="s" s="11">
        <v>80</v>
      </c>
      <c r="J12443" t="s" s="11">
        <v>20</v>
      </c>
      <c r="K12443" t="s" s="16">
        <f>HYPERLINK("http://csr.bu.edu/ftp/asl/asllvd/demos/verify_start_end_handshape_annotations//test_auto_move//signs_mov/1549.mov","MOV")</f>
        <v>21</v>
      </c>
      <c r="L12443" t="s" s="16">
        <f>HYPERLINK("http://csr.bu.edu/ftp/asl/asllvd/demos/verify_start_end_handshape_annotations//test_auto_move//signs_mov_separ_signers/Tyler_1549.mov","MOV")</f>
        <v>21</v>
      </c>
      <c r="M12443" t="s" s="10">
        <v>47</v>
      </c>
      <c r="N12443" s="17">
        <v>15</v>
      </c>
      <c r="O12443" s="18">
        <v>6383</v>
      </c>
      <c r="P12443" s="18">
        <v>6419</v>
      </c>
      <c r="Q12443" t="s" s="16">
        <f>HYPERLINK("http://secrets.rutgers.edu:8080/data/asl-ftp/asllvd/demos/verify_start_end_handshape_annotations//test_auto_move//signs_mov/1549.mov","MOV")</f>
        <v>21</v>
      </c>
      <c r="R12443" t="s" s="16">
        <f>HYPERLINK("http://secrets.rutgers.edu:8080/data/asl-ftp/asllvd/demos/verify_start_end_handshape_annotations//test_auto_move//signs_mov_separ_signers/Tyler_1549.mov","MOV")</f>
        <v>21</v>
      </c>
    </row>
    <row r="12444" s="2" customFormat="1" ht="13.5" customHeight="1">
      <c r="B12444" s="13"/>
      <c r="C12444" t="s" s="9">
        <v>30</v>
      </c>
      <c r="D12444" t="s" s="8">
        <v>4653</v>
      </c>
      <c r="E12444" t="s" s="9">
        <v>4654</v>
      </c>
      <c r="F12444" t="s" s="10">
        <v>185</v>
      </c>
      <c r="G12444" t="s" s="11">
        <v>73</v>
      </c>
      <c r="H12444" t="s" s="10">
        <v>152</v>
      </c>
      <c r="I12444" t="s" s="11">
        <v>73</v>
      </c>
      <c r="J12444" t="s" s="11">
        <v>20</v>
      </c>
      <c r="K12444" s="15"/>
      <c r="L12444" t="s" s="16">
        <f>HYPERLINK("http://csr.bu.edu/ftp/asl/asllvd/demos/verify_start_end_handshape_annotations//test_auto_move//signs_mov_separ_signers/Brady_1549.mov","MOV")</f>
        <v>21</v>
      </c>
      <c r="M12444" t="s" s="10">
        <v>40</v>
      </c>
      <c r="N12444" s="17">
        <v>3</v>
      </c>
      <c r="O12444" s="18">
        <v>688</v>
      </c>
      <c r="P12444" s="18">
        <v>741</v>
      </c>
      <c r="Q12444" s="15"/>
      <c r="R12444" t="s" s="16">
        <f>HYPERLINK("http://secrets.rutgers.edu:8080/data/asl-ftp/asllvd/demos/verify_start_end_handshape_annotations//test_auto_move//signs_mov_separ_signers/Brady_1549.mov","MOV")</f>
        <v>21</v>
      </c>
    </row>
    <row r="12445" s="2" customFormat="1" ht="13.5" customHeight="1">
      <c r="B12445" t="s" s="8">
        <v>52</v>
      </c>
      <c r="C12445" t="s" s="9">
        <v>53</v>
      </c>
      <c r="D12445" t="s" s="8">
        <v>53</v>
      </c>
      <c r="E12445" t="s" s="9">
        <v>53</v>
      </c>
      <c r="F12445" t="s" s="10">
        <v>53</v>
      </c>
      <c r="G12445" t="s" s="11">
        <v>53</v>
      </c>
      <c r="H12445" t="s" s="10">
        <v>53</v>
      </c>
      <c r="I12445" t="s" s="11">
        <v>53</v>
      </c>
      <c r="J12445" t="s" s="11">
        <v>53</v>
      </c>
      <c r="K12445" t="s" s="12">
        <v>53</v>
      </c>
      <c r="L12445" t="s" s="12">
        <v>53</v>
      </c>
      <c r="M12445" t="s" s="10">
        <v>53</v>
      </c>
      <c r="N12445" t="s" s="11">
        <v>53</v>
      </c>
      <c r="O12445" t="s" s="8">
        <v>53</v>
      </c>
      <c r="P12445" t="s" s="8">
        <v>53</v>
      </c>
      <c r="Q12445" t="s" s="12">
        <v>53</v>
      </c>
      <c r="R12445" t="s" s="12">
        <v>53</v>
      </c>
    </row>
    <row r="12446" s="2" customFormat="1" ht="13.5" customHeight="1">
      <c r="B12446" s="13"/>
      <c r="C12446" t="s" s="9">
        <v>16</v>
      </c>
      <c r="D12446" t="s" s="8">
        <v>4653</v>
      </c>
      <c r="E12446" t="s" s="9">
        <v>4655</v>
      </c>
      <c r="F12446" t="s" s="10">
        <v>68</v>
      </c>
      <c r="G12446" t="s" s="11">
        <v>73</v>
      </c>
      <c r="H12446" t="s" s="10">
        <v>152</v>
      </c>
      <c r="I12446" t="s" s="11">
        <v>73</v>
      </c>
      <c r="J12446" t="s" s="11">
        <v>20</v>
      </c>
      <c r="K12446" t="s" s="16">
        <f>HYPERLINK("http://csr.bu.edu/ftp/asl/asllvd/demos/verify_start_end_handshape_annotations//test_auto_move//signs_mov/16527.mov","MOV")</f>
        <v>21</v>
      </c>
      <c r="L12446" t="s" s="16">
        <f>HYPERLINK("http://csr.bu.edu/ftp/asl/asllvd/demos/verify_start_end_handshape_annotations//test_auto_move//signs_mov_separ_signers/Liz_16527.mov","MOV")</f>
        <v>21</v>
      </c>
      <c r="M12446" t="s" s="10">
        <v>88</v>
      </c>
      <c r="N12446" s="17">
        <v>5</v>
      </c>
      <c r="O12446" s="18">
        <v>6445</v>
      </c>
      <c r="P12446" s="18">
        <v>6519</v>
      </c>
      <c r="Q12446" t="s" s="16">
        <f>HYPERLINK("http://secrets.rutgers.edu:8080/data/asl-ftp/asllvd/demos/verify_start_end_handshape_annotations//test_auto_move//signs_mov/16527.mov","MOV")</f>
        <v>21</v>
      </c>
      <c r="R12446" t="s" s="16">
        <f>HYPERLINK("http://secrets.rutgers.edu:8080/data/asl-ftp/asllvd/demos/verify_start_end_handshape_annotations//test_auto_move//signs_mov_separ_signers/Liz_16527.mov","MOV")</f>
        <v>21</v>
      </c>
    </row>
    <row r="12447" s="2" customFormat="1" ht="13.5" customHeight="1">
      <c r="B12447" t="s" s="8">
        <v>4656</v>
      </c>
      <c r="C12447" t="s" s="9">
        <v>14</v>
      </c>
      <c r="D12447" t="s" s="8">
        <v>14</v>
      </c>
      <c r="E12447" t="s" s="9">
        <v>14</v>
      </c>
      <c r="F12447" t="s" s="10">
        <v>14</v>
      </c>
      <c r="G12447" t="s" s="11">
        <v>14</v>
      </c>
      <c r="H12447" t="s" s="10">
        <v>14</v>
      </c>
      <c r="I12447" t="s" s="11">
        <v>14</v>
      </c>
      <c r="J12447" t="s" s="11">
        <v>14</v>
      </c>
      <c r="K12447" t="s" s="12">
        <v>14</v>
      </c>
      <c r="L12447" t="s" s="12">
        <v>14</v>
      </c>
      <c r="M12447" t="s" s="10">
        <v>14</v>
      </c>
      <c r="N12447" t="s" s="11">
        <v>14</v>
      </c>
      <c r="O12447" t="s" s="8">
        <v>14</v>
      </c>
      <c r="P12447" t="s" s="8">
        <v>14</v>
      </c>
      <c r="Q12447" t="s" s="12">
        <v>14</v>
      </c>
      <c r="R12447" t="s" s="12">
        <v>14</v>
      </c>
    </row>
    <row r="12448" s="2" customFormat="1" ht="13.5" customHeight="1">
      <c r="B12448" s="13"/>
      <c r="C12448" t="s" s="9">
        <v>16</v>
      </c>
      <c r="D12448" t="s" s="8">
        <v>4656</v>
      </c>
      <c r="E12448" t="s" s="9">
        <v>4656</v>
      </c>
      <c r="F12448" s="19">
        <v>5</v>
      </c>
      <c r="G12448" t="s" s="11">
        <v>73</v>
      </c>
      <c r="H12448" t="s" s="10">
        <v>25</v>
      </c>
      <c r="I12448" t="s" s="11">
        <v>73</v>
      </c>
      <c r="J12448" t="s" s="11">
        <v>20</v>
      </c>
      <c r="K12448" t="s" s="16">
        <f>HYPERLINK("http://csr.bu.edu/ftp/asl/asllvd/demos/verify_start_end_handshape_annotations//test_auto_move//signs_mov/1588.mov","MOV")</f>
        <v>21</v>
      </c>
      <c r="L12448" t="s" s="16">
        <f>HYPERLINK("http://csr.bu.edu/ftp/asl/asllvd/demos/verify_start_end_handshape_annotations//test_auto_move//signs_mov_separ_signers/Liz_1588.mov","MOV")</f>
        <v>21</v>
      </c>
      <c r="M12448" t="s" s="10">
        <v>88</v>
      </c>
      <c r="N12448" s="17">
        <v>10</v>
      </c>
      <c r="O12448" s="18">
        <v>3762</v>
      </c>
      <c r="P12448" s="18">
        <v>3820</v>
      </c>
      <c r="Q12448" t="s" s="16">
        <f>HYPERLINK("http://secrets.rutgers.edu:8080/data/asl-ftp/asllvd/demos/verify_start_end_handshape_annotations//test_auto_move//signs_mov/1588.mov","MOV")</f>
        <v>21</v>
      </c>
      <c r="R12448" t="s" s="16">
        <f>HYPERLINK("http://secrets.rutgers.edu:8080/data/asl-ftp/asllvd/demos/verify_start_end_handshape_annotations//test_auto_move//signs_mov_separ_signers/Liz_1588.mov","MOV")</f>
        <v>21</v>
      </c>
    </row>
    <row r="12449" s="2" customFormat="1" ht="13.5" customHeight="1">
      <c r="B12449" t="s" s="8">
        <v>52</v>
      </c>
      <c r="C12449" t="s" s="9">
        <v>53</v>
      </c>
      <c r="D12449" t="s" s="8">
        <v>53</v>
      </c>
      <c r="E12449" t="s" s="9">
        <v>53</v>
      </c>
      <c r="F12449" t="s" s="10">
        <v>53</v>
      </c>
      <c r="G12449" t="s" s="11">
        <v>53</v>
      </c>
      <c r="H12449" t="s" s="10">
        <v>53</v>
      </c>
      <c r="I12449" t="s" s="11">
        <v>53</v>
      </c>
      <c r="J12449" t="s" s="11">
        <v>53</v>
      </c>
      <c r="K12449" t="s" s="12">
        <v>53</v>
      </c>
      <c r="L12449" t="s" s="12">
        <v>53</v>
      </c>
      <c r="M12449" t="s" s="10">
        <v>53</v>
      </c>
      <c r="N12449" t="s" s="11">
        <v>53</v>
      </c>
      <c r="O12449" t="s" s="8">
        <v>53</v>
      </c>
      <c r="P12449" t="s" s="8">
        <v>53</v>
      </c>
      <c r="Q12449" t="s" s="12">
        <v>53</v>
      </c>
      <c r="R12449" t="s" s="12">
        <v>53</v>
      </c>
    </row>
    <row r="12450" s="2" customFormat="1" ht="13.5" customHeight="1">
      <c r="B12450" s="13"/>
      <c r="C12450" t="s" s="9">
        <v>23</v>
      </c>
      <c r="D12450" t="s" s="8">
        <v>4656</v>
      </c>
      <c r="E12450" t="s" s="9">
        <v>4657</v>
      </c>
      <c r="F12450" s="19">
        <v>5</v>
      </c>
      <c r="G12450" t="s" s="11">
        <v>73</v>
      </c>
      <c r="H12450" t="s" s="10">
        <v>25</v>
      </c>
      <c r="I12450" t="s" s="11">
        <v>73</v>
      </c>
      <c r="J12450" t="s" s="11">
        <v>20</v>
      </c>
      <c r="K12450" t="s" s="16">
        <f>HYPERLINK("http://csr.bu.edu/ftp/asl/asllvd/demos/verify_start_end_handshape_annotations//test_auto_move//signs_mov/5263.mov","MOV")</f>
        <v>21</v>
      </c>
      <c r="L12450" t="s" s="16">
        <f>HYPERLINK("http://csr.bu.edu/ftp/asl/asllvd/demos/verify_start_end_handshape_annotations//test_auto_move//signs_mov_separ_signers/Tyler_5263.mov","MOV")</f>
        <v>21</v>
      </c>
      <c r="M12450" t="s" s="10">
        <v>47</v>
      </c>
      <c r="N12450" s="17">
        <v>19</v>
      </c>
      <c r="O12450" s="18">
        <v>3915</v>
      </c>
      <c r="P12450" s="18">
        <v>3955</v>
      </c>
      <c r="Q12450" t="s" s="16">
        <f>HYPERLINK("http://secrets.rutgers.edu:8080/data/asl-ftp/asllvd/demos/verify_start_end_handshape_annotations//test_auto_move//signs_mov/5263.mov","MOV")</f>
        <v>21</v>
      </c>
      <c r="R12450" t="s" s="16">
        <f>HYPERLINK("http://secrets.rutgers.edu:8080/data/asl-ftp/asllvd/demos/verify_start_end_handshape_annotations//test_auto_move//signs_mov_separ_signers/Tyler_5263.mov","MOV")</f>
        <v>21</v>
      </c>
    </row>
    <row r="12451" s="2" customFormat="1" ht="13.5" customHeight="1">
      <c r="B12451" t="s" s="8">
        <v>4658</v>
      </c>
      <c r="C12451" t="s" s="9">
        <v>14</v>
      </c>
      <c r="D12451" t="s" s="8">
        <v>14</v>
      </c>
      <c r="E12451" t="s" s="9">
        <v>14</v>
      </c>
      <c r="F12451" t="s" s="10">
        <v>14</v>
      </c>
      <c r="G12451" t="s" s="11">
        <v>14</v>
      </c>
      <c r="H12451" t="s" s="10">
        <v>14</v>
      </c>
      <c r="I12451" t="s" s="11">
        <v>14</v>
      </c>
      <c r="J12451" t="s" s="11">
        <v>14</v>
      </c>
      <c r="K12451" t="s" s="12">
        <v>14</v>
      </c>
      <c r="L12451" t="s" s="12">
        <v>14</v>
      </c>
      <c r="M12451" t="s" s="10">
        <v>14</v>
      </c>
      <c r="N12451" t="s" s="11">
        <v>14</v>
      </c>
      <c r="O12451" t="s" s="8">
        <v>14</v>
      </c>
      <c r="P12451" t="s" s="8">
        <v>14</v>
      </c>
      <c r="Q12451" t="s" s="12">
        <v>14</v>
      </c>
      <c r="R12451" t="s" s="12">
        <v>14</v>
      </c>
    </row>
    <row r="12452" s="2" customFormat="1" ht="13.5" customHeight="1">
      <c r="B12452" s="13"/>
      <c r="C12452" t="s" s="9">
        <v>23</v>
      </c>
      <c r="D12452" t="s" s="8">
        <v>4658</v>
      </c>
      <c r="E12452" t="s" s="9">
        <v>4658</v>
      </c>
      <c r="F12452" s="19">
        <v>1</v>
      </c>
      <c r="G12452" t="s" s="11">
        <v>109</v>
      </c>
      <c r="H12452" t="s" s="10">
        <v>109</v>
      </c>
      <c r="I12452" t="s" s="11">
        <v>109</v>
      </c>
      <c r="J12452" t="s" s="11">
        <v>20</v>
      </c>
      <c r="K12452" t="s" s="16">
        <f>HYPERLINK("http://csr.bu.edu/ftp/asl/asllvd/demos/verify_start_end_handshape_annotations//test_auto_move//signs_mov/1623.mov","MOV")</f>
        <v>21</v>
      </c>
      <c r="L12452" t="s" s="16">
        <f>HYPERLINK("http://csr.bu.edu/ftp/asl/asllvd/demos/verify_start_end_handshape_annotations//test_auto_move//signs_mov_separ_signers/Tyler_1623.mov","MOV")</f>
        <v>21</v>
      </c>
      <c r="M12452" t="s" s="10">
        <v>47</v>
      </c>
      <c r="N12452" s="17">
        <v>23</v>
      </c>
      <c r="O12452" s="18">
        <v>944</v>
      </c>
      <c r="P12452" s="18">
        <v>987</v>
      </c>
      <c r="Q12452" t="s" s="16">
        <f>HYPERLINK("http://secrets.rutgers.edu:8080/data/asl-ftp/asllvd/demos/verify_start_end_handshape_annotations//test_auto_move//signs_mov/1623.mov","MOV")</f>
        <v>21</v>
      </c>
      <c r="R12452" t="s" s="16">
        <f>HYPERLINK("http://secrets.rutgers.edu:8080/data/asl-ftp/asllvd/demos/verify_start_end_handshape_annotations//test_auto_move//signs_mov_separ_signers/Tyler_1623.mov","MOV")</f>
        <v>21</v>
      </c>
    </row>
    <row r="12453" s="2" customFormat="1" ht="13.5" customHeight="1">
      <c r="B12453" t="s" s="8">
        <v>4659</v>
      </c>
      <c r="C12453" t="s" s="9">
        <v>14</v>
      </c>
      <c r="D12453" t="s" s="8">
        <v>14</v>
      </c>
      <c r="E12453" t="s" s="9">
        <v>14</v>
      </c>
      <c r="F12453" t="s" s="10">
        <v>14</v>
      </c>
      <c r="G12453" t="s" s="11">
        <v>14</v>
      </c>
      <c r="H12453" t="s" s="10">
        <v>14</v>
      </c>
      <c r="I12453" t="s" s="11">
        <v>14</v>
      </c>
      <c r="J12453" t="s" s="11">
        <v>14</v>
      </c>
      <c r="K12453" t="s" s="12">
        <v>14</v>
      </c>
      <c r="L12453" t="s" s="12">
        <v>14</v>
      </c>
      <c r="M12453" t="s" s="10">
        <v>14</v>
      </c>
      <c r="N12453" t="s" s="11">
        <v>14</v>
      </c>
      <c r="O12453" t="s" s="8">
        <v>14</v>
      </c>
      <c r="P12453" t="s" s="8">
        <v>14</v>
      </c>
      <c r="Q12453" t="s" s="12">
        <v>14</v>
      </c>
      <c r="R12453" t="s" s="12">
        <v>14</v>
      </c>
    </row>
    <row r="12454" s="2" customFormat="1" ht="13.5" customHeight="1">
      <c r="B12454" s="13"/>
      <c r="C12454" t="s" s="9">
        <v>16</v>
      </c>
      <c r="D12454" t="s" s="8">
        <v>4659</v>
      </c>
      <c r="E12454" t="s" s="9">
        <v>4659</v>
      </c>
      <c r="F12454" t="s" s="10">
        <v>73</v>
      </c>
      <c r="G12454" t="s" s="11">
        <v>73</v>
      </c>
      <c r="H12454" t="s" s="10">
        <v>73</v>
      </c>
      <c r="I12454" t="s" s="11">
        <v>73</v>
      </c>
      <c r="J12454" t="s" s="11">
        <v>20</v>
      </c>
      <c r="K12454" t="s" s="16">
        <f>HYPERLINK("http://csr.bu.edu/ftp/asl/asllvd/demos/verify_start_end_handshape_annotations//test_auto_move//signs_mov/1637.mov","MOV")</f>
        <v>21</v>
      </c>
      <c r="L12454" t="s" s="16">
        <f>HYPERLINK("http://csr.bu.edu/ftp/asl/asllvd/demos/verify_start_end_handshape_annotations//test_auto_move//signs_mov_separ_signers/Liz_1637.mov","MOV")</f>
        <v>21</v>
      </c>
      <c r="M12454" t="s" s="10">
        <v>88</v>
      </c>
      <c r="N12454" s="17">
        <v>16</v>
      </c>
      <c r="O12454" s="18">
        <v>3140</v>
      </c>
      <c r="P12454" s="18">
        <v>3236</v>
      </c>
      <c r="Q12454" t="s" s="16">
        <f>HYPERLINK("http://secrets.rutgers.edu:8080/data/asl-ftp/asllvd/demos/verify_start_end_handshape_annotations//test_auto_move//signs_mov/1637.mov","MOV")</f>
        <v>21</v>
      </c>
      <c r="R12454" t="s" s="16">
        <f>HYPERLINK("http://secrets.rutgers.edu:8080/data/asl-ftp/asllvd/demos/verify_start_end_handshape_annotations//test_auto_move//signs_mov_separ_signers/Liz_1637.mov","MOV")</f>
        <v>21</v>
      </c>
    </row>
    <row r="12455" s="2" customFormat="1" ht="13.5" customHeight="1">
      <c r="B12455" t="s" s="8">
        <v>4660</v>
      </c>
      <c r="C12455" t="s" s="9">
        <v>14</v>
      </c>
      <c r="D12455" t="s" s="8">
        <v>14</v>
      </c>
      <c r="E12455" t="s" s="9">
        <v>14</v>
      </c>
      <c r="F12455" t="s" s="10">
        <v>14</v>
      </c>
      <c r="G12455" t="s" s="11">
        <v>14</v>
      </c>
      <c r="H12455" t="s" s="10">
        <v>14</v>
      </c>
      <c r="I12455" t="s" s="11">
        <v>14</v>
      </c>
      <c r="J12455" t="s" s="11">
        <v>14</v>
      </c>
      <c r="K12455" t="s" s="12">
        <v>14</v>
      </c>
      <c r="L12455" t="s" s="12">
        <v>14</v>
      </c>
      <c r="M12455" t="s" s="10">
        <v>14</v>
      </c>
      <c r="N12455" t="s" s="11">
        <v>14</v>
      </c>
      <c r="O12455" t="s" s="8">
        <v>14</v>
      </c>
      <c r="P12455" t="s" s="8">
        <v>14</v>
      </c>
      <c r="Q12455" t="s" s="12">
        <v>14</v>
      </c>
      <c r="R12455" t="s" s="12">
        <v>14</v>
      </c>
    </row>
    <row r="12456" s="2" customFormat="1" ht="13.5" customHeight="1">
      <c r="B12456" s="13"/>
      <c r="C12456" t="s" s="9">
        <v>16</v>
      </c>
      <c r="D12456" t="s" s="8">
        <v>4660</v>
      </c>
      <c r="E12456" t="s" s="9">
        <v>4660</v>
      </c>
      <c r="F12456" t="s" s="10">
        <v>73</v>
      </c>
      <c r="G12456" t="s" s="11">
        <v>73</v>
      </c>
      <c r="H12456" t="s" s="10">
        <v>386</v>
      </c>
      <c r="I12456" t="s" s="11">
        <v>73</v>
      </c>
      <c r="J12456" t="s" s="11">
        <v>20</v>
      </c>
      <c r="K12456" t="s" s="16">
        <f>HYPERLINK("http://csr.bu.edu/ftp/asl/asllvd/demos/verify_start_end_handshape_annotations//test_auto_move//signs_mov/1652.mov","MOV")</f>
        <v>21</v>
      </c>
      <c r="L12456" t="s" s="16">
        <f>HYPERLINK("http://csr.bu.edu/ftp/asl/asllvd/demos/verify_start_end_handshape_annotations//test_auto_move//signs_mov_separ_signers/Liz_1652.mov","MOV")</f>
        <v>21</v>
      </c>
      <c r="M12456" t="s" s="10">
        <v>88</v>
      </c>
      <c r="N12456" s="17">
        <v>18</v>
      </c>
      <c r="O12456" s="18">
        <v>988</v>
      </c>
      <c r="P12456" s="18">
        <v>1066</v>
      </c>
      <c r="Q12456" t="s" s="16">
        <f>HYPERLINK("http://secrets.rutgers.edu:8080/data/asl-ftp/asllvd/demos/verify_start_end_handshape_annotations//test_auto_move//signs_mov/1652.mov","MOV")</f>
        <v>21</v>
      </c>
      <c r="R12456" t="s" s="16">
        <f>HYPERLINK("http://secrets.rutgers.edu:8080/data/asl-ftp/asllvd/demos/verify_start_end_handshape_annotations//test_auto_move//signs_mov_separ_signers/Liz_1652.mov","MOV")</f>
        <v>21</v>
      </c>
    </row>
    <row r="12457" s="2" customFormat="1" ht="13.5" customHeight="1">
      <c r="B12457" t="s" s="8">
        <v>4661</v>
      </c>
      <c r="C12457" t="s" s="9">
        <v>14</v>
      </c>
      <c r="D12457" t="s" s="8">
        <v>14</v>
      </c>
      <c r="E12457" t="s" s="9">
        <v>14</v>
      </c>
      <c r="F12457" t="s" s="10">
        <v>14</v>
      </c>
      <c r="G12457" t="s" s="11">
        <v>14</v>
      </c>
      <c r="H12457" t="s" s="10">
        <v>14</v>
      </c>
      <c r="I12457" t="s" s="11">
        <v>14</v>
      </c>
      <c r="J12457" t="s" s="11">
        <v>14</v>
      </c>
      <c r="K12457" t="s" s="12">
        <v>14</v>
      </c>
      <c r="L12457" t="s" s="12">
        <v>14</v>
      </c>
      <c r="M12457" t="s" s="10">
        <v>14</v>
      </c>
      <c r="N12457" t="s" s="11">
        <v>14</v>
      </c>
      <c r="O12457" t="s" s="8">
        <v>14</v>
      </c>
      <c r="P12457" t="s" s="8">
        <v>14</v>
      </c>
      <c r="Q12457" t="s" s="12">
        <v>14</v>
      </c>
      <c r="R12457" t="s" s="12">
        <v>14</v>
      </c>
    </row>
    <row r="12458" s="2" customFormat="1" ht="13.5" customHeight="1">
      <c r="B12458" s="13"/>
      <c r="C12458" t="s" s="9">
        <v>16</v>
      </c>
      <c r="D12458" t="s" s="8">
        <v>4661</v>
      </c>
      <c r="E12458" t="s" s="9">
        <v>4661</v>
      </c>
      <c r="F12458" t="s" s="10">
        <v>196</v>
      </c>
      <c r="G12458" s="14"/>
      <c r="H12458" s="19">
        <v>5</v>
      </c>
      <c r="I12458" s="14"/>
      <c r="J12458" t="s" s="11">
        <v>20</v>
      </c>
      <c r="K12458" t="s" s="16">
        <f>HYPERLINK("http://csr.bu.edu/ftp/asl/asllvd/demos/verify_start_end_handshape_annotations//test_auto_move//signs_mov/1662.mov","MOV")</f>
        <v>21</v>
      </c>
      <c r="L12458" t="s" s="16">
        <f>HYPERLINK("http://csr.bu.edu/ftp/asl/asllvd/demos/verify_start_end_handshape_annotations//test_auto_move//signs_mov_separ_signers/Liz_1662.mov","MOV")</f>
        <v>21</v>
      </c>
      <c r="M12458" t="s" s="10">
        <v>88</v>
      </c>
      <c r="N12458" s="17">
        <v>19</v>
      </c>
      <c r="O12458" s="18">
        <v>1467</v>
      </c>
      <c r="P12458" s="18">
        <v>1506</v>
      </c>
      <c r="Q12458" t="s" s="16">
        <f>HYPERLINK("http://secrets.rutgers.edu:8080/data/asl-ftp/asllvd/demos/verify_start_end_handshape_annotations//test_auto_move//signs_mov/1662.mov","MOV")</f>
        <v>21</v>
      </c>
      <c r="R12458" t="s" s="16">
        <f>HYPERLINK("http://secrets.rutgers.edu:8080/data/asl-ftp/asllvd/demos/verify_start_end_handshape_annotations//test_auto_move//signs_mov_separ_signers/Liz_1662.mov","MOV")</f>
        <v>21</v>
      </c>
    </row>
    <row r="12459" s="2" customFormat="1" ht="13.5" customHeight="1">
      <c r="B12459" t="s" s="8">
        <v>4662</v>
      </c>
      <c r="C12459" t="s" s="9">
        <v>14</v>
      </c>
      <c r="D12459" t="s" s="8">
        <v>14</v>
      </c>
      <c r="E12459" t="s" s="9">
        <v>14</v>
      </c>
      <c r="F12459" t="s" s="10">
        <v>14</v>
      </c>
      <c r="G12459" t="s" s="11">
        <v>14</v>
      </c>
      <c r="H12459" t="s" s="10">
        <v>14</v>
      </c>
      <c r="I12459" t="s" s="11">
        <v>14</v>
      </c>
      <c r="J12459" t="s" s="11">
        <v>14</v>
      </c>
      <c r="K12459" t="s" s="12">
        <v>14</v>
      </c>
      <c r="L12459" t="s" s="12">
        <v>14</v>
      </c>
      <c r="M12459" t="s" s="10">
        <v>14</v>
      </c>
      <c r="N12459" t="s" s="11">
        <v>14</v>
      </c>
      <c r="O12459" t="s" s="8">
        <v>14</v>
      </c>
      <c r="P12459" t="s" s="8">
        <v>14</v>
      </c>
      <c r="Q12459" t="s" s="12">
        <v>14</v>
      </c>
      <c r="R12459" t="s" s="12">
        <v>14</v>
      </c>
    </row>
    <row r="12460" s="2" customFormat="1" ht="13.5" customHeight="1">
      <c r="B12460" s="13"/>
      <c r="C12460" t="s" s="9">
        <v>16</v>
      </c>
      <c r="D12460" t="s" s="8">
        <v>4662</v>
      </c>
      <c r="E12460" t="s" s="9">
        <v>4662</v>
      </c>
      <c r="F12460" t="s" s="10">
        <v>73</v>
      </c>
      <c r="G12460" s="14"/>
      <c r="H12460" t="s" s="10">
        <v>255</v>
      </c>
      <c r="I12460" s="14"/>
      <c r="J12460" t="s" s="11">
        <v>20</v>
      </c>
      <c r="K12460" t="s" s="16">
        <f>HYPERLINK("http://csr.bu.edu/ftp/asl/asllvd/demos/verify_start_end_handshape_annotations//test_auto_move//signs_mov/1667.mov","MOV")</f>
        <v>21</v>
      </c>
      <c r="L12460" t="s" s="16">
        <f>HYPERLINK("http://csr.bu.edu/ftp/asl/asllvd/demos/verify_start_end_handshape_annotations//test_auto_move//signs_mov_separ_signers/Liz_1667.mov","MOV")</f>
        <v>21</v>
      </c>
      <c r="M12460" t="s" s="10">
        <v>88</v>
      </c>
      <c r="N12460" s="17">
        <v>19</v>
      </c>
      <c r="O12460" s="18">
        <v>3225</v>
      </c>
      <c r="P12460" s="18">
        <v>3290</v>
      </c>
      <c r="Q12460" t="s" s="16">
        <f>HYPERLINK("http://secrets.rutgers.edu:8080/data/asl-ftp/asllvd/demos/verify_start_end_handshape_annotations//test_auto_move//signs_mov/1667.mov","MOV")</f>
        <v>21</v>
      </c>
      <c r="R12460" t="s" s="16">
        <f>HYPERLINK("http://secrets.rutgers.edu:8080/data/asl-ftp/asllvd/demos/verify_start_end_handshape_annotations//test_auto_move//signs_mov_separ_signers/Liz_1667.mov","MOV")</f>
        <v>21</v>
      </c>
    </row>
    <row r="12461" s="2" customFormat="1" ht="13.5" customHeight="1">
      <c r="B12461" t="s" s="8">
        <v>4663</v>
      </c>
      <c r="C12461" t="s" s="9">
        <v>14</v>
      </c>
      <c r="D12461" t="s" s="8">
        <v>14</v>
      </c>
      <c r="E12461" t="s" s="9">
        <v>14</v>
      </c>
      <c r="F12461" t="s" s="10">
        <v>14</v>
      </c>
      <c r="G12461" t="s" s="11">
        <v>14</v>
      </c>
      <c r="H12461" t="s" s="10">
        <v>14</v>
      </c>
      <c r="I12461" t="s" s="11">
        <v>14</v>
      </c>
      <c r="J12461" t="s" s="11">
        <v>14</v>
      </c>
      <c r="K12461" t="s" s="12">
        <v>14</v>
      </c>
      <c r="L12461" t="s" s="12">
        <v>14</v>
      </c>
      <c r="M12461" t="s" s="10">
        <v>14</v>
      </c>
      <c r="N12461" t="s" s="11">
        <v>14</v>
      </c>
      <c r="O12461" t="s" s="8">
        <v>14</v>
      </c>
      <c r="P12461" t="s" s="8">
        <v>14</v>
      </c>
      <c r="Q12461" t="s" s="12">
        <v>14</v>
      </c>
      <c r="R12461" t="s" s="12">
        <v>14</v>
      </c>
    </row>
    <row r="12462" s="2" customFormat="1" ht="13.5" customHeight="1">
      <c r="B12462" s="13"/>
      <c r="C12462" t="s" s="9">
        <v>16</v>
      </c>
      <c r="D12462" t="s" s="8">
        <v>4663</v>
      </c>
      <c r="E12462" t="s" s="9">
        <v>4663</v>
      </c>
      <c r="F12462" t="s" s="10">
        <v>341</v>
      </c>
      <c r="G12462" s="14"/>
      <c r="H12462" t="s" s="10">
        <v>453</v>
      </c>
      <c r="I12462" s="14"/>
      <c r="J12462" t="s" s="11">
        <v>20</v>
      </c>
      <c r="K12462" s="15"/>
      <c r="L12462" t="s" s="16">
        <f>HYPERLINK("http://csr.bu.edu/ftp/asl/asllvd/demos/verify_start_end_handshape_annotations//test_auto_move//signs_mov_separ_signers/Liz_1669.mov","MOV")</f>
        <v>21</v>
      </c>
      <c r="M12462" t="s" s="10">
        <v>88</v>
      </c>
      <c r="N12462" s="17">
        <v>19</v>
      </c>
      <c r="O12462" s="18">
        <v>3673</v>
      </c>
      <c r="P12462" s="18">
        <v>3705</v>
      </c>
      <c r="Q12462" s="15"/>
      <c r="R12462" t="s" s="16">
        <f>HYPERLINK("http://secrets.rutgers.edu:8080/data/asl-ftp/asllvd/demos/verify_start_end_handshape_annotations//test_auto_move//signs_mov_separ_signers/Liz_1669.mov","MOV")</f>
        <v>21</v>
      </c>
    </row>
    <row r="12463" s="2" customFormat="1" ht="13.5" customHeight="1">
      <c r="B12463" s="13"/>
      <c r="C12463" t="s" s="9">
        <v>41</v>
      </c>
      <c r="D12463" t="s" s="8">
        <v>4663</v>
      </c>
      <c r="E12463" t="s" s="9">
        <v>4663</v>
      </c>
      <c r="F12463" t="s" s="10">
        <v>341</v>
      </c>
      <c r="G12463" s="14"/>
      <c r="H12463" t="s" s="10">
        <v>453</v>
      </c>
      <c r="I12463" s="14"/>
      <c r="J12463" t="s" s="11">
        <v>20</v>
      </c>
      <c r="K12463" t="s" s="16">
        <f>HYPERLINK("http://csr.bu.edu/ftp/asl/asllvd/demos/verify_start_end_handshape_annotations//test_auto_move//signs_mov/1669.mov","MOV")</f>
        <v>21</v>
      </c>
      <c r="L12463" t="s" s="16">
        <f>HYPERLINK("http://csr.bu.edu/ftp/asl/asllvd/demos/verify_start_end_handshape_annotations//test_auto_move//signs_mov_separ_signers/Lana_1669.mov","MOV")</f>
        <v>21</v>
      </c>
      <c r="M12463" t="s" s="10">
        <v>42</v>
      </c>
      <c r="N12463" s="17">
        <v>19</v>
      </c>
      <c r="O12463" s="18">
        <v>1929</v>
      </c>
      <c r="P12463" s="18">
        <v>1933</v>
      </c>
      <c r="Q12463" t="s" s="16">
        <f>HYPERLINK("http://secrets.rutgers.edu:8080/data/asl-ftp/asllvd/demos/verify_start_end_handshape_annotations//test_auto_move//signs_mov/1669.mov","MOV")</f>
        <v>21</v>
      </c>
      <c r="R12463" t="s" s="16">
        <f>HYPERLINK("http://secrets.rutgers.edu:8080/data/asl-ftp/asllvd/demos/verify_start_end_handshape_annotations//test_auto_move//signs_mov_separ_signers/Lana_1669.mov","MOV")</f>
        <v>21</v>
      </c>
    </row>
    <row r="12464" s="2" customFormat="1" ht="13.5" customHeight="1">
      <c r="B12464" s="13"/>
      <c r="C12464" t="s" s="9">
        <v>43</v>
      </c>
      <c r="D12464" t="s" s="8">
        <v>4663</v>
      </c>
      <c r="E12464" t="s" s="9">
        <v>4664</v>
      </c>
      <c r="F12464" t="s" s="10">
        <v>341</v>
      </c>
      <c r="G12464" s="14"/>
      <c r="H12464" t="s" s="10">
        <v>453</v>
      </c>
      <c r="I12464" s="14"/>
      <c r="J12464" t="s" s="11">
        <v>20</v>
      </c>
      <c r="K12464" s="15"/>
      <c r="L12464" t="s" s="16">
        <f>HYPERLINK("http://csr.bu.edu/ftp/asl/asllvd/demos/verify_start_end_handshape_annotations//test_auto_move//signs_mov_separ_signers/Dana_1669.mov","MOV")</f>
        <v>21</v>
      </c>
      <c r="M12464" t="s" s="10">
        <v>44</v>
      </c>
      <c r="N12464" s="17">
        <v>21</v>
      </c>
      <c r="O12464" s="18">
        <v>1838</v>
      </c>
      <c r="P12464" s="18">
        <v>1880</v>
      </c>
      <c r="Q12464" s="15"/>
      <c r="R12464" t="s" s="16">
        <f>HYPERLINK("http://secrets.rutgers.edu:8080/data/asl-ftp/asllvd/demos/verify_start_end_handshape_annotations//test_auto_move//signs_mov_separ_signers/Dana_1669.mov","MOV")</f>
        <v>21</v>
      </c>
    </row>
    <row r="12465" s="2" customFormat="1" ht="13.5" customHeight="1">
      <c r="B12465" t="s" s="8">
        <v>4665</v>
      </c>
      <c r="C12465" t="s" s="9">
        <v>14</v>
      </c>
      <c r="D12465" t="s" s="8">
        <v>14</v>
      </c>
      <c r="E12465" t="s" s="9">
        <v>14</v>
      </c>
      <c r="F12465" t="s" s="10">
        <v>14</v>
      </c>
      <c r="G12465" t="s" s="11">
        <v>14</v>
      </c>
      <c r="H12465" t="s" s="10">
        <v>14</v>
      </c>
      <c r="I12465" t="s" s="11">
        <v>14</v>
      </c>
      <c r="J12465" t="s" s="11">
        <v>14</v>
      </c>
      <c r="K12465" t="s" s="12">
        <v>14</v>
      </c>
      <c r="L12465" t="s" s="12">
        <v>14</v>
      </c>
      <c r="M12465" t="s" s="10">
        <v>14</v>
      </c>
      <c r="N12465" t="s" s="11">
        <v>14</v>
      </c>
      <c r="O12465" t="s" s="8">
        <v>14</v>
      </c>
      <c r="P12465" t="s" s="8">
        <v>14</v>
      </c>
      <c r="Q12465" t="s" s="12">
        <v>14</v>
      </c>
      <c r="R12465" t="s" s="12">
        <v>14</v>
      </c>
    </row>
    <row r="12466" s="2" customFormat="1" ht="13.5" customHeight="1">
      <c r="B12466" s="13"/>
      <c r="C12466" t="s" s="9">
        <v>16</v>
      </c>
      <c r="D12466" t="s" s="8">
        <v>4665</v>
      </c>
      <c r="E12466" t="s" s="9">
        <v>4666</v>
      </c>
      <c r="F12466" s="19">
        <v>1</v>
      </c>
      <c r="G12466" s="17">
        <v>5</v>
      </c>
      <c r="H12466" s="19">
        <v>5</v>
      </c>
      <c r="I12466" s="17">
        <v>5</v>
      </c>
      <c r="J12466" t="s" s="11">
        <v>20</v>
      </c>
      <c r="K12466" t="s" s="16">
        <f>HYPERLINK("http://csr.bu.edu/ftp/asl/asllvd/demos/verify_start_end_handshape_annotations//test_auto_move//signs_mov/1671.mov","MOV")</f>
        <v>21</v>
      </c>
      <c r="L12466" t="s" s="16">
        <f>HYPERLINK("http://csr.bu.edu/ftp/asl/asllvd/demos/verify_start_end_handshape_annotations//test_auto_move//signs_mov_separ_signers/Liz_1671.mov","MOV")</f>
        <v>21</v>
      </c>
      <c r="M12466" t="s" s="10">
        <v>88</v>
      </c>
      <c r="N12466" s="17">
        <v>20</v>
      </c>
      <c r="O12466" s="18">
        <v>522</v>
      </c>
      <c r="P12466" s="18">
        <v>577</v>
      </c>
      <c r="Q12466" t="s" s="16">
        <f>HYPERLINK("http://secrets.rutgers.edu:8080/data/asl-ftp/asllvd/demos/verify_start_end_handshape_annotations//test_auto_move//signs_mov/1671.mov","MOV")</f>
        <v>21</v>
      </c>
      <c r="R12466" t="s" s="16">
        <f>HYPERLINK("http://secrets.rutgers.edu:8080/data/asl-ftp/asllvd/demos/verify_start_end_handshape_annotations//test_auto_move//signs_mov_separ_signers/Liz_1671.mov","MOV")</f>
        <v>21</v>
      </c>
    </row>
    <row r="12467" s="2" customFormat="1" ht="13.5" customHeight="1">
      <c r="B12467" t="s" s="8">
        <v>4667</v>
      </c>
      <c r="C12467" t="s" s="9">
        <v>14</v>
      </c>
      <c r="D12467" t="s" s="8">
        <v>14</v>
      </c>
      <c r="E12467" t="s" s="9">
        <v>14</v>
      </c>
      <c r="F12467" t="s" s="10">
        <v>14</v>
      </c>
      <c r="G12467" t="s" s="11">
        <v>14</v>
      </c>
      <c r="H12467" t="s" s="10">
        <v>14</v>
      </c>
      <c r="I12467" t="s" s="11">
        <v>14</v>
      </c>
      <c r="J12467" t="s" s="11">
        <v>14</v>
      </c>
      <c r="K12467" t="s" s="12">
        <v>14</v>
      </c>
      <c r="L12467" t="s" s="12">
        <v>14</v>
      </c>
      <c r="M12467" t="s" s="10">
        <v>14</v>
      </c>
      <c r="N12467" t="s" s="11">
        <v>14</v>
      </c>
      <c r="O12467" t="s" s="8">
        <v>14</v>
      </c>
      <c r="P12467" t="s" s="8">
        <v>14</v>
      </c>
      <c r="Q12467" t="s" s="12">
        <v>14</v>
      </c>
      <c r="R12467" t="s" s="12">
        <v>14</v>
      </c>
    </row>
    <row r="12468" s="2" customFormat="1" ht="27.75" customHeight="1">
      <c r="B12468" s="13"/>
      <c r="C12468" t="s" s="9">
        <v>16</v>
      </c>
      <c r="D12468" t="s" s="8">
        <v>4668</v>
      </c>
      <c r="E12468" t="s" s="9">
        <v>4668</v>
      </c>
      <c r="F12468" t="s" s="10">
        <v>292</v>
      </c>
      <c r="G12468" t="s" s="11">
        <v>73</v>
      </c>
      <c r="H12468" t="s" s="10">
        <v>158</v>
      </c>
      <c r="I12468" t="s" s="11">
        <v>73</v>
      </c>
      <c r="J12468" t="s" s="11">
        <v>20</v>
      </c>
      <c r="K12468" t="s" s="16">
        <f>HYPERLINK("http://csr.bu.edu/ftp/asl/asllvd/demos/verify_start_end_handshape_annotations//test_auto_move//signs_mov/1683.mov","MOV")</f>
        <v>21</v>
      </c>
      <c r="L12468" t="s" s="16">
        <f>HYPERLINK("http://csr.bu.edu/ftp/asl/asllvd/demos/verify_start_end_handshape_annotations//test_auto_move//signs_mov_separ_signers/Liz_1683.mov","MOV")</f>
        <v>21</v>
      </c>
      <c r="M12468" t="s" s="10">
        <v>88</v>
      </c>
      <c r="N12468" s="17">
        <v>21</v>
      </c>
      <c r="O12468" s="18">
        <v>1134</v>
      </c>
      <c r="P12468" s="18">
        <v>1203</v>
      </c>
      <c r="Q12468" t="s" s="16">
        <f>HYPERLINK("http://secrets.rutgers.edu:8080/data/asl-ftp/asllvd/demos/verify_start_end_handshape_annotations//test_auto_move//signs_mov/1683.mov","MOV")</f>
        <v>21</v>
      </c>
      <c r="R12468" t="s" s="16">
        <f>HYPERLINK("http://secrets.rutgers.edu:8080/data/asl-ftp/asllvd/demos/verify_start_end_handshape_annotations//test_auto_move//signs_mov_separ_signers/Liz_1683.mov","MOV")</f>
        <v>21</v>
      </c>
    </row>
    <row r="12469" s="2" customFormat="1" ht="13.5" customHeight="1">
      <c r="B12469" t="s" s="8">
        <v>4669</v>
      </c>
      <c r="C12469" t="s" s="9">
        <v>14</v>
      </c>
      <c r="D12469" t="s" s="8">
        <v>14</v>
      </c>
      <c r="E12469" t="s" s="9">
        <v>14</v>
      </c>
      <c r="F12469" t="s" s="10">
        <v>14</v>
      </c>
      <c r="G12469" t="s" s="11">
        <v>14</v>
      </c>
      <c r="H12469" t="s" s="10">
        <v>14</v>
      </c>
      <c r="I12469" t="s" s="11">
        <v>14</v>
      </c>
      <c r="J12469" t="s" s="11">
        <v>14</v>
      </c>
      <c r="K12469" t="s" s="12">
        <v>14</v>
      </c>
      <c r="L12469" t="s" s="12">
        <v>14</v>
      </c>
      <c r="M12469" t="s" s="10">
        <v>14</v>
      </c>
      <c r="N12469" t="s" s="11">
        <v>14</v>
      </c>
      <c r="O12469" t="s" s="8">
        <v>14</v>
      </c>
      <c r="P12469" t="s" s="8">
        <v>14</v>
      </c>
      <c r="Q12469" t="s" s="12">
        <v>14</v>
      </c>
      <c r="R12469" t="s" s="12">
        <v>14</v>
      </c>
    </row>
    <row r="12470" s="2" customFormat="1" ht="13.5" customHeight="1">
      <c r="B12470" s="13"/>
      <c r="C12470" t="s" s="9">
        <v>16</v>
      </c>
      <c r="D12470" t="s" s="8">
        <v>4669</v>
      </c>
      <c r="E12470" t="s" s="9">
        <v>4669</v>
      </c>
      <c r="F12470" t="s" s="10">
        <v>158</v>
      </c>
      <c r="G12470" s="14"/>
      <c r="H12470" t="s" s="10">
        <v>220</v>
      </c>
      <c r="I12470" s="14"/>
      <c r="J12470" t="s" s="11">
        <v>20</v>
      </c>
      <c r="K12470" t="s" s="16">
        <f>HYPERLINK("http://csr.bu.edu/ftp/asl/asllvd/demos/verify_start_end_handshape_annotations//test_auto_move//signs_mov/1694.mov","MOV")</f>
        <v>21</v>
      </c>
      <c r="L12470" t="s" s="16">
        <f>HYPERLINK("http://csr.bu.edu/ftp/asl/asllvd/demos/verify_start_end_handshape_annotations//test_auto_move//signs_mov_separ_signers/Liz_1694.mov","MOV")</f>
        <v>21</v>
      </c>
      <c r="M12470" t="s" s="10">
        <v>88</v>
      </c>
      <c r="N12470" s="17">
        <v>22</v>
      </c>
      <c r="O12470" s="18">
        <v>1095</v>
      </c>
      <c r="P12470" s="18">
        <v>1132</v>
      </c>
      <c r="Q12470" t="s" s="16">
        <f>HYPERLINK("http://secrets.rutgers.edu:8080/data/asl-ftp/asllvd/demos/verify_start_end_handshape_annotations//test_auto_move//signs_mov/1694.mov","MOV")</f>
        <v>21</v>
      </c>
      <c r="R12470" t="s" s="16">
        <f>HYPERLINK("http://secrets.rutgers.edu:8080/data/asl-ftp/asllvd/demos/verify_start_end_handshape_annotations//test_auto_move//signs_mov_separ_signers/Liz_1694.mov","MOV")</f>
        <v>21</v>
      </c>
    </row>
    <row r="12471" s="2" customFormat="1" ht="13.5" customHeight="1">
      <c r="B12471" s="13"/>
      <c r="C12471" t="s" s="9">
        <v>30</v>
      </c>
      <c r="D12471" t="s" s="8">
        <v>4669</v>
      </c>
      <c r="E12471" t="s" s="9">
        <v>4669</v>
      </c>
      <c r="F12471" t="s" s="10">
        <v>158</v>
      </c>
      <c r="G12471" s="14"/>
      <c r="H12471" t="s" s="10">
        <v>220</v>
      </c>
      <c r="I12471" s="14"/>
      <c r="J12471" t="s" s="11">
        <v>20</v>
      </c>
      <c r="K12471" s="15"/>
      <c r="L12471" t="s" s="16">
        <f>HYPERLINK("http://csr.bu.edu/ftp/asl/asllvd/demos/verify_start_end_handshape_annotations//test_auto_move//signs_mov_separ_signers/Brady_1694.mov","MOV")</f>
        <v>21</v>
      </c>
      <c r="M12471" t="s" s="10">
        <v>40</v>
      </c>
      <c r="N12471" s="17">
        <v>17</v>
      </c>
      <c r="O12471" s="18">
        <v>2402</v>
      </c>
      <c r="P12471" s="18">
        <v>2410</v>
      </c>
      <c r="Q12471" s="15"/>
      <c r="R12471" t="s" s="16">
        <f>HYPERLINK("http://secrets.rutgers.edu:8080/data/asl-ftp/asllvd/demos/verify_start_end_handshape_annotations//test_auto_move//signs_mov_separ_signers/Brady_1694.mov","MOV")</f>
        <v>21</v>
      </c>
    </row>
    <row r="12472" s="2" customFormat="1" ht="13.5" customHeight="1">
      <c r="B12472" t="s" s="8">
        <v>4670</v>
      </c>
      <c r="C12472" t="s" s="9">
        <v>14</v>
      </c>
      <c r="D12472" t="s" s="8">
        <v>14</v>
      </c>
      <c r="E12472" t="s" s="9">
        <v>14</v>
      </c>
      <c r="F12472" t="s" s="10">
        <v>14</v>
      </c>
      <c r="G12472" t="s" s="11">
        <v>14</v>
      </c>
      <c r="H12472" t="s" s="10">
        <v>14</v>
      </c>
      <c r="I12472" t="s" s="11">
        <v>14</v>
      </c>
      <c r="J12472" t="s" s="11">
        <v>14</v>
      </c>
      <c r="K12472" t="s" s="12">
        <v>14</v>
      </c>
      <c r="L12472" t="s" s="12">
        <v>14</v>
      </c>
      <c r="M12472" t="s" s="10">
        <v>14</v>
      </c>
      <c r="N12472" t="s" s="11">
        <v>14</v>
      </c>
      <c r="O12472" t="s" s="8">
        <v>14</v>
      </c>
      <c r="P12472" t="s" s="8">
        <v>14</v>
      </c>
      <c r="Q12472" t="s" s="12">
        <v>14</v>
      </c>
      <c r="R12472" t="s" s="12">
        <v>14</v>
      </c>
    </row>
    <row r="12473" s="2" customFormat="1" ht="13.5" customHeight="1">
      <c r="B12473" s="13"/>
      <c r="C12473" t="s" s="9">
        <v>16</v>
      </c>
      <c r="D12473" t="s" s="8">
        <v>4670</v>
      </c>
      <c r="E12473" t="s" s="9">
        <v>4670</v>
      </c>
      <c r="F12473" t="s" s="10">
        <v>158</v>
      </c>
      <c r="G12473" s="14"/>
      <c r="H12473" t="s" s="10">
        <v>251</v>
      </c>
      <c r="I12473" s="14"/>
      <c r="J12473" t="s" s="11">
        <v>20</v>
      </c>
      <c r="K12473" t="s" s="16">
        <f>HYPERLINK("http://csr.bu.edu/ftp/asl/asllvd/demos/verify_start_end_handshape_annotations//test_auto_move//signs_mov/1695.mov","MOV")</f>
        <v>21</v>
      </c>
      <c r="L12473" t="s" s="16">
        <f>HYPERLINK("http://csr.bu.edu/ftp/asl/asllvd/demos/verify_start_end_handshape_annotations//test_auto_move//signs_mov_separ_signers/Liz_1695.mov","MOV")</f>
        <v>21</v>
      </c>
      <c r="M12473" t="s" s="10">
        <v>88</v>
      </c>
      <c r="N12473" s="17">
        <v>22</v>
      </c>
      <c r="O12473" s="18">
        <v>1290</v>
      </c>
      <c r="P12473" s="18">
        <v>1340</v>
      </c>
      <c r="Q12473" t="s" s="16">
        <f>HYPERLINK("http://secrets.rutgers.edu:8080/data/asl-ftp/asllvd/demos/verify_start_end_handshape_annotations//test_auto_move//signs_mov/1695.mov","MOV")</f>
        <v>21</v>
      </c>
      <c r="R12473" t="s" s="16">
        <f>HYPERLINK("http://secrets.rutgers.edu:8080/data/asl-ftp/asllvd/demos/verify_start_end_handshape_annotations//test_auto_move//signs_mov_separ_signers/Liz_1695.mov","MOV")</f>
        <v>21</v>
      </c>
    </row>
    <row r="12474" s="2" customFormat="1" ht="13.5" customHeight="1">
      <c r="B12474" s="13"/>
      <c r="C12474" t="s" s="9">
        <v>30</v>
      </c>
      <c r="D12474" t="s" s="8">
        <v>4670</v>
      </c>
      <c r="E12474" t="s" s="9">
        <v>4670</v>
      </c>
      <c r="F12474" t="s" s="10">
        <v>158</v>
      </c>
      <c r="G12474" s="14"/>
      <c r="H12474" t="s" s="10">
        <v>251</v>
      </c>
      <c r="I12474" s="14"/>
      <c r="J12474" t="s" s="11">
        <v>20</v>
      </c>
      <c r="K12474" s="15"/>
      <c r="L12474" t="s" s="16">
        <f>HYPERLINK("http://csr.bu.edu/ftp/asl/asllvd/demos/verify_start_end_handshape_annotations//test_auto_move//signs_mov_separ_signers/Brady_1695.mov","MOV")</f>
        <v>21</v>
      </c>
      <c r="M12474" t="s" s="10">
        <v>40</v>
      </c>
      <c r="N12474" s="17">
        <v>17</v>
      </c>
      <c r="O12474" s="18">
        <v>2600</v>
      </c>
      <c r="P12474" s="18">
        <v>2612</v>
      </c>
      <c r="Q12474" s="15"/>
      <c r="R12474" t="s" s="16">
        <f>HYPERLINK("http://secrets.rutgers.edu:8080/data/asl-ftp/asllvd/demos/verify_start_end_handshape_annotations//test_auto_move//signs_mov_separ_signers/Brady_1695.mov","MOV")</f>
        <v>21</v>
      </c>
    </row>
    <row r="12475" s="2" customFormat="1" ht="13.5" customHeight="1">
      <c r="B12475" t="s" s="8">
        <v>4671</v>
      </c>
      <c r="C12475" t="s" s="9">
        <v>14</v>
      </c>
      <c r="D12475" t="s" s="8">
        <v>14</v>
      </c>
      <c r="E12475" t="s" s="9">
        <v>14</v>
      </c>
      <c r="F12475" t="s" s="10">
        <v>14</v>
      </c>
      <c r="G12475" t="s" s="11">
        <v>14</v>
      </c>
      <c r="H12475" t="s" s="10">
        <v>14</v>
      </c>
      <c r="I12475" t="s" s="11">
        <v>14</v>
      </c>
      <c r="J12475" t="s" s="11">
        <v>14</v>
      </c>
      <c r="K12475" t="s" s="12">
        <v>14</v>
      </c>
      <c r="L12475" t="s" s="12">
        <v>14</v>
      </c>
      <c r="M12475" t="s" s="10">
        <v>14</v>
      </c>
      <c r="N12475" t="s" s="11">
        <v>14</v>
      </c>
      <c r="O12475" t="s" s="8">
        <v>14</v>
      </c>
      <c r="P12475" t="s" s="8">
        <v>14</v>
      </c>
      <c r="Q12475" t="s" s="12">
        <v>14</v>
      </c>
      <c r="R12475" t="s" s="12">
        <v>14</v>
      </c>
    </row>
    <row r="12476" s="2" customFormat="1" ht="13.5" customHeight="1">
      <c r="B12476" s="13"/>
      <c r="C12476" t="s" s="9">
        <v>16</v>
      </c>
      <c r="D12476" t="s" s="8">
        <v>4671</v>
      </c>
      <c r="E12476" t="s" s="9">
        <v>4671</v>
      </c>
      <c r="F12476" t="s" s="10">
        <v>158</v>
      </c>
      <c r="G12476" s="14"/>
      <c r="H12476" t="s" s="10">
        <v>282</v>
      </c>
      <c r="I12476" s="14"/>
      <c r="J12476" t="s" s="11">
        <v>20</v>
      </c>
      <c r="K12476" t="s" s="16">
        <f>HYPERLINK("http://csr.bu.edu/ftp/asl/asllvd/demos/verify_start_end_handshape_annotations//test_auto_move//signs_mov/1702.mov","MOV")</f>
        <v>21</v>
      </c>
      <c r="L12476" t="s" s="16">
        <f>HYPERLINK("http://csr.bu.edu/ftp/asl/asllvd/demos/verify_start_end_handshape_annotations//test_auto_move//signs_mov_separ_signers/Liz_1702.mov","MOV")</f>
        <v>21</v>
      </c>
      <c r="M12476" t="s" s="10">
        <v>88</v>
      </c>
      <c r="N12476" s="17">
        <v>23</v>
      </c>
      <c r="O12476" s="18">
        <v>772</v>
      </c>
      <c r="P12476" s="18">
        <v>800</v>
      </c>
      <c r="Q12476" t="s" s="16">
        <f>HYPERLINK("http://secrets.rutgers.edu:8080/data/asl-ftp/asllvd/demos/verify_start_end_handshape_annotations//test_auto_move//signs_mov/1702.mov","MOV")</f>
        <v>21</v>
      </c>
      <c r="R12476" t="s" s="16">
        <f>HYPERLINK("http://secrets.rutgers.edu:8080/data/asl-ftp/asllvd/demos/verify_start_end_handshape_annotations//test_auto_move//signs_mov_separ_signers/Liz_1702.mov","MOV")</f>
        <v>21</v>
      </c>
    </row>
    <row r="12477" s="2" customFormat="1" ht="13.5" customHeight="1">
      <c r="B12477" s="13"/>
      <c r="C12477" t="s" s="9">
        <v>30</v>
      </c>
      <c r="D12477" t="s" s="8">
        <v>4671</v>
      </c>
      <c r="E12477" t="s" s="9">
        <v>4671</v>
      </c>
      <c r="F12477" t="s" s="10">
        <v>158</v>
      </c>
      <c r="G12477" s="14"/>
      <c r="H12477" t="s" s="10">
        <v>282</v>
      </c>
      <c r="I12477" s="14"/>
      <c r="J12477" t="s" s="11">
        <v>20</v>
      </c>
      <c r="K12477" s="15"/>
      <c r="L12477" t="s" s="16">
        <f>HYPERLINK("http://csr.bu.edu/ftp/asl/asllvd/demos/verify_start_end_handshape_annotations//test_auto_move//signs_mov_separ_signers/Brady_1702.mov","MOV")</f>
        <v>21</v>
      </c>
      <c r="M12477" t="s" s="10">
        <v>40</v>
      </c>
      <c r="N12477" s="17">
        <v>18</v>
      </c>
      <c r="O12477" s="18">
        <v>1496</v>
      </c>
      <c r="P12477" s="18">
        <v>1514</v>
      </c>
      <c r="Q12477" s="15"/>
      <c r="R12477" t="s" s="16">
        <f>HYPERLINK("http://secrets.rutgers.edu:8080/data/asl-ftp/asllvd/demos/verify_start_end_handshape_annotations//test_auto_move//signs_mov_separ_signers/Brady_1702.mov","MOV")</f>
        <v>21</v>
      </c>
    </row>
    <row r="12478" s="2" customFormat="1" ht="13.5" customHeight="1">
      <c r="B12478" t="s" s="8">
        <v>4672</v>
      </c>
      <c r="C12478" t="s" s="9">
        <v>14</v>
      </c>
      <c r="D12478" t="s" s="8">
        <v>14</v>
      </c>
      <c r="E12478" t="s" s="9">
        <v>14</v>
      </c>
      <c r="F12478" t="s" s="10">
        <v>14</v>
      </c>
      <c r="G12478" t="s" s="11">
        <v>14</v>
      </c>
      <c r="H12478" t="s" s="10">
        <v>14</v>
      </c>
      <c r="I12478" t="s" s="11">
        <v>14</v>
      </c>
      <c r="J12478" t="s" s="11">
        <v>14</v>
      </c>
      <c r="K12478" t="s" s="12">
        <v>14</v>
      </c>
      <c r="L12478" t="s" s="12">
        <v>14</v>
      </c>
      <c r="M12478" t="s" s="10">
        <v>14</v>
      </c>
      <c r="N12478" t="s" s="11">
        <v>14</v>
      </c>
      <c r="O12478" t="s" s="8">
        <v>14</v>
      </c>
      <c r="P12478" t="s" s="8">
        <v>14</v>
      </c>
      <c r="Q12478" t="s" s="12">
        <v>14</v>
      </c>
      <c r="R12478" t="s" s="12">
        <v>14</v>
      </c>
    </row>
    <row r="12479" s="2" customFormat="1" ht="13.5" customHeight="1">
      <c r="B12479" s="13"/>
      <c r="C12479" t="s" s="9">
        <v>16</v>
      </c>
      <c r="D12479" t="s" s="8">
        <v>4673</v>
      </c>
      <c r="E12479" t="s" s="9">
        <v>4673</v>
      </c>
      <c r="F12479" t="s" s="10">
        <v>68</v>
      </c>
      <c r="G12479" t="s" s="11">
        <v>73</v>
      </c>
      <c r="H12479" t="s" s="10">
        <v>386</v>
      </c>
      <c r="I12479" t="s" s="11">
        <v>73</v>
      </c>
      <c r="J12479" t="s" s="11">
        <v>20</v>
      </c>
      <c r="K12479" t="s" s="16">
        <f>HYPERLINK("http://csr.bu.edu/ftp/asl/asllvd/demos/verify_start_end_handshape_annotations//test_auto_move//signs_mov/1710.mov","MOV")</f>
        <v>21</v>
      </c>
      <c r="L12479" t="s" s="16">
        <f>HYPERLINK("http://csr.bu.edu/ftp/asl/asllvd/demos/verify_start_end_handshape_annotations//test_auto_move//signs_mov_separ_signers/Liz_1710.mov","MOV")</f>
        <v>21</v>
      </c>
      <c r="M12479" t="s" s="10">
        <v>88</v>
      </c>
      <c r="N12479" s="17">
        <v>24</v>
      </c>
      <c r="O12479" s="18">
        <v>893</v>
      </c>
      <c r="P12479" s="18">
        <v>965</v>
      </c>
      <c r="Q12479" t="s" s="16">
        <f>HYPERLINK("http://secrets.rutgers.edu:8080/data/asl-ftp/asllvd/demos/verify_start_end_handshape_annotations//test_auto_move//signs_mov/1710.mov","MOV")</f>
        <v>21</v>
      </c>
      <c r="R12479" t="s" s="16">
        <f>HYPERLINK("http://secrets.rutgers.edu:8080/data/asl-ftp/asllvd/demos/verify_start_end_handshape_annotations//test_auto_move//signs_mov_separ_signers/Liz_1710.mov","MOV")</f>
        <v>21</v>
      </c>
    </row>
    <row r="12480" s="2" customFormat="1" ht="13.5" customHeight="1">
      <c r="B12480" s="13"/>
      <c r="C12480" t="s" s="9">
        <v>30</v>
      </c>
      <c r="D12480" t="s" s="8">
        <v>4673</v>
      </c>
      <c r="E12480" t="s" s="9">
        <v>4674</v>
      </c>
      <c r="F12480" t="s" s="10">
        <v>185</v>
      </c>
      <c r="G12480" t="s" s="11">
        <v>73</v>
      </c>
      <c r="H12480" t="s" s="10">
        <v>386</v>
      </c>
      <c r="I12480" t="s" s="11">
        <v>73</v>
      </c>
      <c r="J12480" t="s" s="11">
        <v>20</v>
      </c>
      <c r="K12480" s="15"/>
      <c r="L12480" t="s" s="16">
        <f>HYPERLINK("http://csr.bu.edu/ftp/asl/asllvd/demos/verify_start_end_handshape_annotations//test_auto_move//signs_mov_separ_signers/Brady_1710.mov","MOV")</f>
        <v>21</v>
      </c>
      <c r="M12480" t="s" s="10">
        <v>40</v>
      </c>
      <c r="N12480" s="17">
        <v>19</v>
      </c>
      <c r="O12480" s="18">
        <v>970</v>
      </c>
      <c r="P12480" s="18">
        <v>1035</v>
      </c>
      <c r="Q12480" s="15"/>
      <c r="R12480" t="s" s="16">
        <f>HYPERLINK("http://secrets.rutgers.edu:8080/data/asl-ftp/asllvd/demos/verify_start_end_handshape_annotations//test_auto_move//signs_mov_separ_signers/Brady_1710.mov","MOV")</f>
        <v>21</v>
      </c>
    </row>
    <row r="12481" s="2" customFormat="1" ht="13.5" customHeight="1">
      <c r="B12481" t="s" s="8">
        <v>4675</v>
      </c>
      <c r="C12481" t="s" s="9">
        <v>14</v>
      </c>
      <c r="D12481" t="s" s="8">
        <v>14</v>
      </c>
      <c r="E12481" t="s" s="9">
        <v>14</v>
      </c>
      <c r="F12481" t="s" s="10">
        <v>14</v>
      </c>
      <c r="G12481" t="s" s="11">
        <v>14</v>
      </c>
      <c r="H12481" t="s" s="10">
        <v>14</v>
      </c>
      <c r="I12481" t="s" s="11">
        <v>14</v>
      </c>
      <c r="J12481" t="s" s="11">
        <v>14</v>
      </c>
      <c r="K12481" t="s" s="12">
        <v>14</v>
      </c>
      <c r="L12481" t="s" s="12">
        <v>14</v>
      </c>
      <c r="M12481" t="s" s="10">
        <v>14</v>
      </c>
      <c r="N12481" t="s" s="11">
        <v>14</v>
      </c>
      <c r="O12481" t="s" s="8">
        <v>14</v>
      </c>
      <c r="P12481" t="s" s="8">
        <v>14</v>
      </c>
      <c r="Q12481" t="s" s="12">
        <v>14</v>
      </c>
      <c r="R12481" t="s" s="12">
        <v>14</v>
      </c>
    </row>
    <row r="12482" s="2" customFormat="1" ht="13.5" customHeight="1">
      <c r="B12482" s="13"/>
      <c r="C12482" t="s" s="9">
        <v>16</v>
      </c>
      <c r="D12482" t="s" s="8">
        <v>4675</v>
      </c>
      <c r="E12482" t="s" s="9">
        <v>4675</v>
      </c>
      <c r="F12482" s="19">
        <v>1</v>
      </c>
      <c r="G12482" s="14"/>
      <c r="H12482" s="19">
        <v>4</v>
      </c>
      <c r="I12482" s="14"/>
      <c r="J12482" t="s" s="11">
        <v>20</v>
      </c>
      <c r="K12482" s="15"/>
      <c r="L12482" t="s" s="16">
        <f>HYPERLINK("http://csr.bu.edu/ftp/asl/asllvd/demos/verify_start_end_handshape_annotations//test_auto_move//signs_mov_separ_signers/Liz_1715.mov","MOV")</f>
        <v>21</v>
      </c>
      <c r="M12482" t="s" s="10">
        <v>88</v>
      </c>
      <c r="N12482" s="17">
        <v>24</v>
      </c>
      <c r="O12482" s="18">
        <v>2405</v>
      </c>
      <c r="P12482" s="18">
        <v>2450</v>
      </c>
      <c r="Q12482" s="15"/>
      <c r="R12482" t="s" s="16">
        <f>HYPERLINK("http://secrets.rutgers.edu:8080/data/asl-ftp/asllvd/demos/verify_start_end_handshape_annotations//test_auto_move//signs_mov_separ_signers/Liz_1715.mov","MOV")</f>
        <v>21</v>
      </c>
    </row>
    <row r="12483" s="2" customFormat="1" ht="13.5" customHeight="1">
      <c r="B12483" s="13"/>
      <c r="C12483" t="s" s="9">
        <v>30</v>
      </c>
      <c r="D12483" t="s" s="8">
        <v>4675</v>
      </c>
      <c r="E12483" t="s" s="9">
        <v>4675</v>
      </c>
      <c r="F12483" s="19">
        <v>1</v>
      </c>
      <c r="G12483" s="14"/>
      <c r="H12483" s="19">
        <v>4</v>
      </c>
      <c r="I12483" s="14"/>
      <c r="J12483" t="s" s="11">
        <v>20</v>
      </c>
      <c r="K12483" t="s" s="16">
        <f>HYPERLINK("http://csr.bu.edu/ftp/asl/asllvd/demos/verify_start_end_handshape_annotations//test_auto_move//signs_mov/1715_3703_merged.mov","MOV")</f>
        <v>21</v>
      </c>
      <c r="L12483" t="s" s="16">
        <f>HYPERLINK("http://csr.bu.edu/ftp/asl/asllvd/demos/verify_start_end_handshape_annotations//test_auto_move//signs_mov_separ_signers/Brady_1715.mov","MOV")</f>
        <v>21</v>
      </c>
      <c r="M12483" t="s" s="10">
        <v>40</v>
      </c>
      <c r="N12483" s="17">
        <v>19</v>
      </c>
      <c r="O12483" s="18">
        <v>2412</v>
      </c>
      <c r="P12483" s="18">
        <v>2432</v>
      </c>
      <c r="Q12483" t="s" s="16">
        <f>HYPERLINK("http://secrets.rutgers.edu:8080/data/asl-ftp/asllvd/demos/verify_start_end_handshape_annotations//test_auto_move//signs_mov/1715_3703_merged.mov","MOV")</f>
        <v>21</v>
      </c>
      <c r="R12483" t="s" s="16">
        <f>HYPERLINK("http://secrets.rutgers.edu:8080/data/asl-ftp/asllvd/demos/verify_start_end_handshape_annotations//test_auto_move//signs_mov_separ_signers/Brady_1715.mov","MOV")</f>
        <v>21</v>
      </c>
    </row>
    <row r="12484" s="2" customFormat="1" ht="13.5" customHeight="1">
      <c r="B12484" s="13"/>
      <c r="C12484" t="s" s="9">
        <v>30</v>
      </c>
      <c r="D12484" t="s" s="8">
        <v>4675</v>
      </c>
      <c r="E12484" t="s" s="9">
        <v>4675</v>
      </c>
      <c r="F12484" s="19">
        <v>1</v>
      </c>
      <c r="G12484" s="14"/>
      <c r="H12484" s="19">
        <v>4</v>
      </c>
      <c r="I12484" s="14"/>
      <c r="J12484" t="s" s="11">
        <v>20</v>
      </c>
      <c r="K12484" s="15"/>
      <c r="L12484" t="s" s="16">
        <f>HYPERLINK("http://csr.bu.edu/ftp/asl/asllvd/demos/verify_start_end_handshape_annotations//test_auto_move//signs_mov_separ_signers/Brady_3703.mov","MOV")</f>
        <v>21</v>
      </c>
      <c r="M12484" t="s" s="10">
        <v>40</v>
      </c>
      <c r="N12484" s="17">
        <v>19</v>
      </c>
      <c r="O12484" s="18">
        <v>2960</v>
      </c>
      <c r="P12484" s="18">
        <v>2984</v>
      </c>
      <c r="Q12484" s="15"/>
      <c r="R12484" t="s" s="16">
        <f>HYPERLINK("http://secrets.rutgers.edu:8080/data/asl-ftp/asllvd/demos/verify_start_end_handshape_annotations//test_auto_move//signs_mov_separ_signers/Brady_3703.mov","MOV")</f>
        <v>21</v>
      </c>
    </row>
    <row r="12485" s="2" customFormat="1" ht="13.5" customHeight="1">
      <c r="B12485" t="s" s="8">
        <v>52</v>
      </c>
      <c r="C12485" t="s" s="9">
        <v>53</v>
      </c>
      <c r="D12485" t="s" s="8">
        <v>53</v>
      </c>
      <c r="E12485" t="s" s="9">
        <v>53</v>
      </c>
      <c r="F12485" t="s" s="10">
        <v>53</v>
      </c>
      <c r="G12485" t="s" s="11">
        <v>53</v>
      </c>
      <c r="H12485" t="s" s="10">
        <v>53</v>
      </c>
      <c r="I12485" t="s" s="11">
        <v>53</v>
      </c>
      <c r="J12485" t="s" s="11">
        <v>53</v>
      </c>
      <c r="K12485" t="s" s="12">
        <v>53</v>
      </c>
      <c r="L12485" t="s" s="12">
        <v>53</v>
      </c>
      <c r="M12485" t="s" s="10">
        <v>53</v>
      </c>
      <c r="N12485" t="s" s="11">
        <v>53</v>
      </c>
      <c r="O12485" t="s" s="8">
        <v>53</v>
      </c>
      <c r="P12485" t="s" s="8">
        <v>53</v>
      </c>
      <c r="Q12485" t="s" s="12">
        <v>53</v>
      </c>
      <c r="R12485" t="s" s="12">
        <v>53</v>
      </c>
    </row>
    <row r="12486" s="2" customFormat="1" ht="13.5" customHeight="1">
      <c r="B12486" s="13"/>
      <c r="C12486" t="s" s="9">
        <v>16</v>
      </c>
      <c r="D12486" t="s" s="8">
        <v>4675</v>
      </c>
      <c r="E12486" t="s" s="9">
        <v>4676</v>
      </c>
      <c r="F12486" s="19">
        <v>1</v>
      </c>
      <c r="G12486" s="14"/>
      <c r="H12486" s="19">
        <v>4</v>
      </c>
      <c r="I12486" s="14"/>
      <c r="J12486" t="s" s="11">
        <v>20</v>
      </c>
      <c r="K12486" t="s" s="16">
        <f>HYPERLINK("http://csr.bu.edu/ftp/asl/asllvd/demos/verify_start_end_handshape_annotations//test_auto_move//signs_mov/16256.mov","MOV")</f>
        <v>21</v>
      </c>
      <c r="L12486" t="s" s="16">
        <f>HYPERLINK("http://csr.bu.edu/ftp/asl/asllvd/demos/verify_start_end_handshape_annotations//test_auto_move//signs_mov_separ_signers/Liz_16256.mov","MOV")</f>
        <v>21</v>
      </c>
      <c r="M12486" t="s" s="10">
        <v>88</v>
      </c>
      <c r="N12486" s="17">
        <v>24</v>
      </c>
      <c r="O12486" s="18">
        <v>2185</v>
      </c>
      <c r="P12486" s="18">
        <v>2222</v>
      </c>
      <c r="Q12486" t="s" s="16">
        <f>HYPERLINK("http://secrets.rutgers.edu:8080/data/asl-ftp/asllvd/demos/verify_start_end_handshape_annotations//test_auto_move//signs_mov/16256.mov","MOV")</f>
        <v>21</v>
      </c>
      <c r="R12486" t="s" s="16">
        <f>HYPERLINK("http://secrets.rutgers.edu:8080/data/asl-ftp/asllvd/demos/verify_start_end_handshape_annotations//test_auto_move//signs_mov_separ_signers/Liz_16256.mov","MOV")</f>
        <v>21</v>
      </c>
    </row>
    <row r="12487" s="2" customFormat="1" ht="13.5" customHeight="1">
      <c r="B12487" t="s" s="8">
        <v>4677</v>
      </c>
      <c r="C12487" t="s" s="9">
        <v>14</v>
      </c>
      <c r="D12487" t="s" s="8">
        <v>14</v>
      </c>
      <c r="E12487" t="s" s="9">
        <v>14</v>
      </c>
      <c r="F12487" t="s" s="10">
        <v>14</v>
      </c>
      <c r="G12487" t="s" s="11">
        <v>14</v>
      </c>
      <c r="H12487" t="s" s="10">
        <v>14</v>
      </c>
      <c r="I12487" t="s" s="11">
        <v>14</v>
      </c>
      <c r="J12487" t="s" s="11">
        <v>14</v>
      </c>
      <c r="K12487" t="s" s="12">
        <v>14</v>
      </c>
      <c r="L12487" t="s" s="12">
        <v>14</v>
      </c>
      <c r="M12487" t="s" s="10">
        <v>14</v>
      </c>
      <c r="N12487" t="s" s="11">
        <v>14</v>
      </c>
      <c r="O12487" t="s" s="8">
        <v>14</v>
      </c>
      <c r="P12487" t="s" s="8">
        <v>14</v>
      </c>
      <c r="Q12487" t="s" s="12">
        <v>14</v>
      </c>
      <c r="R12487" t="s" s="12">
        <v>14</v>
      </c>
    </row>
    <row r="12488" s="2" customFormat="1" ht="13.5" customHeight="1">
      <c r="B12488" s="13"/>
      <c r="C12488" t="s" s="9">
        <v>30</v>
      </c>
      <c r="D12488" t="s" s="8">
        <v>4677</v>
      </c>
      <c r="E12488" t="s" s="9">
        <v>4678</v>
      </c>
      <c r="F12488" s="19">
        <v>1</v>
      </c>
      <c r="G12488" t="s" s="11">
        <v>119</v>
      </c>
      <c r="H12488" t="s" s="10">
        <v>119</v>
      </c>
      <c r="I12488" t="s" s="11">
        <v>119</v>
      </c>
      <c r="J12488" t="s" s="11">
        <v>20</v>
      </c>
      <c r="K12488" t="s" s="16">
        <f>HYPERLINK("http://csr.bu.edu/ftp/asl/asllvd/demos/verify_start_end_handshape_annotations//test_auto_move//signs_mov/1720.mov","MOV")</f>
        <v>21</v>
      </c>
      <c r="L12488" t="s" s="16">
        <f>HYPERLINK("http://csr.bu.edu/ftp/asl/asllvd/demos/verify_start_end_handshape_annotations//test_auto_move//signs_mov_separ_signers/Brady_1720.mov","MOV")</f>
        <v>21</v>
      </c>
      <c r="M12488" t="s" s="10">
        <v>40</v>
      </c>
      <c r="N12488" s="17">
        <v>20</v>
      </c>
      <c r="O12488" s="18">
        <v>1098</v>
      </c>
      <c r="P12488" s="18">
        <v>1140</v>
      </c>
      <c r="Q12488" t="s" s="16">
        <f>HYPERLINK("http://secrets.rutgers.edu:8080/data/asl-ftp/asllvd/demos/verify_start_end_handshape_annotations//test_auto_move//signs_mov/1720.mov","MOV")</f>
        <v>21</v>
      </c>
      <c r="R12488" t="s" s="16">
        <f>HYPERLINK("http://secrets.rutgers.edu:8080/data/asl-ftp/asllvd/demos/verify_start_end_handshape_annotations//test_auto_move//signs_mov_separ_signers/Brady_1720.mov","MOV")</f>
        <v>21</v>
      </c>
    </row>
    <row r="12489" s="2" customFormat="1" ht="13.5" customHeight="1">
      <c r="B12489" t="s" s="8">
        <v>4679</v>
      </c>
      <c r="C12489" t="s" s="9">
        <v>14</v>
      </c>
      <c r="D12489" t="s" s="8">
        <v>14</v>
      </c>
      <c r="E12489" t="s" s="9">
        <v>14</v>
      </c>
      <c r="F12489" t="s" s="10">
        <v>14</v>
      </c>
      <c r="G12489" t="s" s="11">
        <v>14</v>
      </c>
      <c r="H12489" t="s" s="10">
        <v>14</v>
      </c>
      <c r="I12489" t="s" s="11">
        <v>14</v>
      </c>
      <c r="J12489" t="s" s="11">
        <v>14</v>
      </c>
      <c r="K12489" t="s" s="12">
        <v>14</v>
      </c>
      <c r="L12489" t="s" s="12">
        <v>14</v>
      </c>
      <c r="M12489" t="s" s="10">
        <v>14</v>
      </c>
      <c r="N12489" t="s" s="11">
        <v>14</v>
      </c>
      <c r="O12489" t="s" s="8">
        <v>14</v>
      </c>
      <c r="P12489" t="s" s="8">
        <v>14</v>
      </c>
      <c r="Q12489" t="s" s="12">
        <v>14</v>
      </c>
      <c r="R12489" t="s" s="12">
        <v>14</v>
      </c>
    </row>
    <row r="12490" s="2" customFormat="1" ht="13.5" customHeight="1">
      <c r="B12490" s="13"/>
      <c r="C12490" t="s" s="9">
        <v>16</v>
      </c>
      <c r="D12490" t="s" s="8">
        <v>4679</v>
      </c>
      <c r="E12490" t="s" s="9">
        <v>4680</v>
      </c>
      <c r="F12490" s="19">
        <v>1</v>
      </c>
      <c r="G12490" s="14"/>
      <c r="H12490" t="s" s="10">
        <v>255</v>
      </c>
      <c r="I12490" s="14"/>
      <c r="J12490" t="s" s="11">
        <v>20</v>
      </c>
      <c r="K12490" s="15"/>
      <c r="L12490" t="s" s="16">
        <f>HYPERLINK("http://csr.bu.edu/ftp/asl/asllvd/demos/verify_start_end_handshape_annotations//test_auto_move//signs_mov_separ_signers/Liz_3705.mov","MOV")</f>
        <v>21</v>
      </c>
      <c r="M12490" t="s" s="10">
        <v>88</v>
      </c>
      <c r="N12490" s="17">
        <v>25</v>
      </c>
      <c r="O12490" s="18">
        <v>725</v>
      </c>
      <c r="P12490" s="18">
        <v>755</v>
      </c>
      <c r="Q12490" s="15"/>
      <c r="R12490" t="s" s="16">
        <f>HYPERLINK("http://secrets.rutgers.edu:8080/data/asl-ftp/asllvd/demos/verify_start_end_handshape_annotations//test_auto_move//signs_mov_separ_signers/Liz_3705.mov","MOV")</f>
        <v>21</v>
      </c>
    </row>
    <row r="12491" s="2" customFormat="1" ht="13.5" customHeight="1">
      <c r="B12491" s="13"/>
      <c r="C12491" t="s" s="9">
        <v>30</v>
      </c>
      <c r="D12491" t="s" s="8">
        <v>4679</v>
      </c>
      <c r="E12491" t="s" s="9">
        <v>4680</v>
      </c>
      <c r="F12491" t="s" s="10">
        <v>255</v>
      </c>
      <c r="G12491" s="14"/>
      <c r="H12491" t="s" s="10">
        <v>255</v>
      </c>
      <c r="I12491" s="14"/>
      <c r="J12491" t="s" s="11">
        <v>20</v>
      </c>
      <c r="K12491" t="s" s="16">
        <f>HYPERLINK("http://csr.bu.edu/ftp/asl/asllvd/demos/verify_start_end_handshape_annotations//test_auto_move//signs_mov/3705_5319_5331_merged.mov","MOV")</f>
        <v>21</v>
      </c>
      <c r="L12491" t="s" s="16">
        <f>HYPERLINK("http://csr.bu.edu/ftp/asl/asllvd/demos/verify_start_end_handshape_annotations//test_auto_move//signs_mov_separ_signers/Brady_3705.mov","MOV")</f>
        <v>21</v>
      </c>
      <c r="M12491" t="s" s="10">
        <v>40</v>
      </c>
      <c r="N12491" s="17">
        <v>20</v>
      </c>
      <c r="O12491" s="18">
        <v>1336</v>
      </c>
      <c r="P12491" s="18">
        <v>1390</v>
      </c>
      <c r="Q12491" t="s" s="16">
        <f>HYPERLINK("http://secrets.rutgers.edu:8080/data/asl-ftp/asllvd/demos/verify_start_end_handshape_annotations//test_auto_move//signs_mov/3705_5319_5331_merged.mov","MOV")</f>
        <v>21</v>
      </c>
      <c r="R12491" t="s" s="16">
        <f>HYPERLINK("http://secrets.rutgers.edu:8080/data/asl-ftp/asllvd/demos/verify_start_end_handshape_annotations//test_auto_move//signs_mov_separ_signers/Brady_3705.mov","MOV")</f>
        <v>21</v>
      </c>
    </row>
    <row r="12492" s="2" customFormat="1" ht="13.5" customHeight="1">
      <c r="B12492" s="13"/>
      <c r="C12492" t="s" s="9">
        <v>30</v>
      </c>
      <c r="D12492" t="s" s="8">
        <v>4679</v>
      </c>
      <c r="E12492" t="s" s="9">
        <v>4680</v>
      </c>
      <c r="F12492" s="19">
        <v>1</v>
      </c>
      <c r="G12492" s="14"/>
      <c r="H12492" t="s" s="10">
        <v>255</v>
      </c>
      <c r="I12492" s="14"/>
      <c r="J12492" t="s" s="11">
        <v>20</v>
      </c>
      <c r="K12492" s="15"/>
      <c r="L12492" t="s" s="16">
        <f>HYPERLINK("http://csr.bu.edu/ftp/asl/asllvd/demos/verify_start_end_handshape_annotations//test_auto_move//signs_mov_separ_signers/Brady_5319.mov","MOV")</f>
        <v>21</v>
      </c>
      <c r="M12492" t="s" s="10">
        <v>40</v>
      </c>
      <c r="N12492" s="17">
        <v>20</v>
      </c>
      <c r="O12492" s="18">
        <v>1714</v>
      </c>
      <c r="P12492" s="18">
        <v>1746</v>
      </c>
      <c r="Q12492" s="15"/>
      <c r="R12492" t="s" s="16">
        <f>HYPERLINK("http://secrets.rutgers.edu:8080/data/asl-ftp/asllvd/demos/verify_start_end_handshape_annotations//test_auto_move//signs_mov_separ_signers/Brady_5319.mov","MOV")</f>
        <v>21</v>
      </c>
    </row>
    <row r="12493" s="2" customFormat="1" ht="13.5" customHeight="1">
      <c r="B12493" s="13"/>
      <c r="C12493" t="s" s="9">
        <v>30</v>
      </c>
      <c r="D12493" t="s" s="8">
        <v>4679</v>
      </c>
      <c r="E12493" t="s" s="9">
        <v>4680</v>
      </c>
      <c r="F12493" s="19">
        <v>1</v>
      </c>
      <c r="G12493" s="14"/>
      <c r="H12493" t="s" s="10">
        <v>255</v>
      </c>
      <c r="I12493" s="14"/>
      <c r="J12493" t="s" s="11">
        <v>20</v>
      </c>
      <c r="K12493" s="15"/>
      <c r="L12493" t="s" s="16">
        <f>HYPERLINK("http://csr.bu.edu/ftp/asl/asllvd/demos/verify_start_end_handshape_annotations//test_auto_move//signs_mov_separ_signers/Brady_5331.mov","MOV")</f>
        <v>21</v>
      </c>
      <c r="M12493" t="s" s="10">
        <v>40</v>
      </c>
      <c r="N12493" s="17">
        <v>20</v>
      </c>
      <c r="O12493" s="18">
        <v>2224</v>
      </c>
      <c r="P12493" s="18">
        <v>2262</v>
      </c>
      <c r="Q12493" s="15"/>
      <c r="R12493" t="s" s="16">
        <f>HYPERLINK("http://secrets.rutgers.edu:8080/data/asl-ftp/asllvd/demos/verify_start_end_handshape_annotations//test_auto_move//signs_mov_separ_signers/Brady_5331.mov","MOV")</f>
        <v>21</v>
      </c>
    </row>
    <row r="12494" s="2" customFormat="1" ht="13.5" customHeight="1">
      <c r="B12494" t="s" s="8">
        <v>4681</v>
      </c>
      <c r="C12494" t="s" s="9">
        <v>14</v>
      </c>
      <c r="D12494" t="s" s="8">
        <v>14</v>
      </c>
      <c r="E12494" t="s" s="9">
        <v>14</v>
      </c>
      <c r="F12494" t="s" s="10">
        <v>14</v>
      </c>
      <c r="G12494" t="s" s="11">
        <v>14</v>
      </c>
      <c r="H12494" t="s" s="10">
        <v>14</v>
      </c>
      <c r="I12494" t="s" s="11">
        <v>14</v>
      </c>
      <c r="J12494" t="s" s="11">
        <v>14</v>
      </c>
      <c r="K12494" t="s" s="12">
        <v>14</v>
      </c>
      <c r="L12494" t="s" s="12">
        <v>14</v>
      </c>
      <c r="M12494" t="s" s="10">
        <v>14</v>
      </c>
      <c r="N12494" t="s" s="11">
        <v>14</v>
      </c>
      <c r="O12494" t="s" s="8">
        <v>14</v>
      </c>
      <c r="P12494" t="s" s="8">
        <v>14</v>
      </c>
      <c r="Q12494" t="s" s="12">
        <v>14</v>
      </c>
      <c r="R12494" t="s" s="12">
        <v>14</v>
      </c>
    </row>
    <row r="12495" s="2" customFormat="1" ht="13.5" customHeight="1">
      <c r="B12495" s="13"/>
      <c r="C12495" t="s" s="9">
        <v>16</v>
      </c>
      <c r="D12495" t="s" s="8">
        <v>4681</v>
      </c>
      <c r="E12495" t="s" s="9">
        <v>4681</v>
      </c>
      <c r="F12495" s="19">
        <v>1</v>
      </c>
      <c r="G12495" s="14"/>
      <c r="H12495" s="19">
        <v>3</v>
      </c>
      <c r="I12495" s="14"/>
      <c r="J12495" t="s" s="11">
        <v>20</v>
      </c>
      <c r="K12495" s="15"/>
      <c r="L12495" t="s" s="16">
        <f>HYPERLINK("http://csr.bu.edu/ftp/asl/asllvd/demos/verify_start_end_handshape_annotations//test_auto_move//signs_mov_separ_signers/Liz_1722.mov","MOV")</f>
        <v>21</v>
      </c>
      <c r="M12495" t="s" s="10">
        <v>88</v>
      </c>
      <c r="N12495" s="17">
        <v>25</v>
      </c>
      <c r="O12495" s="18">
        <v>1125</v>
      </c>
      <c r="P12495" s="18">
        <v>1170</v>
      </c>
      <c r="Q12495" s="15"/>
      <c r="R12495" t="s" s="16">
        <f>HYPERLINK("http://secrets.rutgers.edu:8080/data/asl-ftp/asllvd/demos/verify_start_end_handshape_annotations//test_auto_move//signs_mov_separ_signers/Liz_1722.mov","MOV")</f>
        <v>21</v>
      </c>
    </row>
    <row r="12496" s="2" customFormat="1" ht="13.5" customHeight="1">
      <c r="B12496" s="13"/>
      <c r="C12496" t="s" s="9">
        <v>30</v>
      </c>
      <c r="D12496" t="s" s="8">
        <v>4681</v>
      </c>
      <c r="E12496" t="s" s="9">
        <v>4681</v>
      </c>
      <c r="F12496" s="19">
        <v>1</v>
      </c>
      <c r="G12496" s="14"/>
      <c r="H12496" s="19">
        <v>3</v>
      </c>
      <c r="I12496" s="14"/>
      <c r="J12496" t="s" s="11">
        <v>20</v>
      </c>
      <c r="K12496" t="s" s="16">
        <f>HYPERLINK("http://csr.bu.edu/ftp/asl/asllvd/demos/verify_start_end_handshape_annotations//test_auto_move//signs_mov/1722_3706_merged.mov","MOV")</f>
        <v>21</v>
      </c>
      <c r="L12496" t="s" s="16">
        <f>HYPERLINK("http://csr.bu.edu/ftp/asl/asllvd/demos/verify_start_end_handshape_annotations//test_auto_move//signs_mov_separ_signers/Brady_1722.mov","MOV")</f>
        <v>21</v>
      </c>
      <c r="M12496" t="s" s="10">
        <v>40</v>
      </c>
      <c r="N12496" s="17">
        <v>20</v>
      </c>
      <c r="O12496" s="18">
        <v>2828</v>
      </c>
      <c r="P12496" s="18">
        <v>2842</v>
      </c>
      <c r="Q12496" t="s" s="16">
        <f>HYPERLINK("http://secrets.rutgers.edu:8080/data/asl-ftp/asllvd/demos/verify_start_end_handshape_annotations//test_auto_move//signs_mov/1722_3706_merged.mov","MOV")</f>
        <v>21</v>
      </c>
      <c r="R12496" t="s" s="16">
        <f>HYPERLINK("http://secrets.rutgers.edu:8080/data/asl-ftp/asllvd/demos/verify_start_end_handshape_annotations//test_auto_move//signs_mov_separ_signers/Brady_1722.mov","MOV")</f>
        <v>21</v>
      </c>
    </row>
    <row r="12497" s="2" customFormat="1" ht="13.5" customHeight="1">
      <c r="B12497" s="13"/>
      <c r="C12497" t="s" s="9">
        <v>30</v>
      </c>
      <c r="D12497" t="s" s="8">
        <v>4681</v>
      </c>
      <c r="E12497" t="s" s="9">
        <v>4681</v>
      </c>
      <c r="F12497" s="19">
        <v>1</v>
      </c>
      <c r="G12497" s="14"/>
      <c r="H12497" s="19">
        <v>3</v>
      </c>
      <c r="I12497" s="14"/>
      <c r="J12497" t="s" s="11">
        <v>20</v>
      </c>
      <c r="K12497" s="15"/>
      <c r="L12497" t="s" s="16">
        <f>HYPERLINK("http://csr.bu.edu/ftp/asl/asllvd/demos/verify_start_end_handshape_annotations//test_auto_move//signs_mov_separ_signers/Brady_3706.mov","MOV")</f>
        <v>21</v>
      </c>
      <c r="M12497" t="s" s="10">
        <v>40</v>
      </c>
      <c r="N12497" s="17">
        <v>20</v>
      </c>
      <c r="O12497" s="18">
        <v>3072</v>
      </c>
      <c r="P12497" s="18">
        <v>3092</v>
      </c>
      <c r="Q12497" s="15"/>
      <c r="R12497" t="s" s="16">
        <f>HYPERLINK("http://secrets.rutgers.edu:8080/data/asl-ftp/asllvd/demos/verify_start_end_handshape_annotations//test_auto_move//signs_mov_separ_signers/Brady_3706.mov","MOV")</f>
        <v>21</v>
      </c>
    </row>
    <row r="12498" s="2" customFormat="1" ht="13.5" customHeight="1">
      <c r="B12498" t="s" s="8">
        <v>52</v>
      </c>
      <c r="C12498" t="s" s="9">
        <v>53</v>
      </c>
      <c r="D12498" t="s" s="8">
        <v>53</v>
      </c>
      <c r="E12498" t="s" s="9">
        <v>53</v>
      </c>
      <c r="F12498" t="s" s="10">
        <v>53</v>
      </c>
      <c r="G12498" t="s" s="11">
        <v>53</v>
      </c>
      <c r="H12498" t="s" s="10">
        <v>53</v>
      </c>
      <c r="I12498" t="s" s="11">
        <v>53</v>
      </c>
      <c r="J12498" t="s" s="11">
        <v>53</v>
      </c>
      <c r="K12498" t="s" s="12">
        <v>53</v>
      </c>
      <c r="L12498" t="s" s="12">
        <v>53</v>
      </c>
      <c r="M12498" t="s" s="10">
        <v>53</v>
      </c>
      <c r="N12498" t="s" s="11">
        <v>53</v>
      </c>
      <c r="O12498" t="s" s="8">
        <v>53</v>
      </c>
      <c r="P12498" t="s" s="8">
        <v>53</v>
      </c>
      <c r="Q12498" t="s" s="12">
        <v>53</v>
      </c>
      <c r="R12498" t="s" s="12">
        <v>53</v>
      </c>
    </row>
    <row r="12499" s="2" customFormat="1" ht="13.5" customHeight="1">
      <c r="B12499" s="13"/>
      <c r="C12499" t="s" s="9">
        <v>16</v>
      </c>
      <c r="D12499" t="s" s="8">
        <v>4681</v>
      </c>
      <c r="E12499" t="s" s="9">
        <v>4682</v>
      </c>
      <c r="F12499" s="19">
        <v>1</v>
      </c>
      <c r="G12499" s="14"/>
      <c r="H12499" s="19">
        <v>3</v>
      </c>
      <c r="I12499" s="14"/>
      <c r="J12499" t="s" s="11">
        <v>20</v>
      </c>
      <c r="K12499" t="s" s="16">
        <f>HYPERLINK("http://csr.bu.edu/ftp/asl/asllvd/demos/verify_start_end_handshape_annotations//test_auto_move//signs_mov/16257.mov","MOV")</f>
        <v>21</v>
      </c>
      <c r="L12499" t="s" s="16">
        <f>HYPERLINK("http://csr.bu.edu/ftp/asl/asllvd/demos/verify_start_end_handshape_annotations//test_auto_move//signs_mov_separ_signers/Liz_16257.mov","MOV")</f>
        <v>21</v>
      </c>
      <c r="M12499" t="s" s="10">
        <v>88</v>
      </c>
      <c r="N12499" s="17">
        <v>25</v>
      </c>
      <c r="O12499" s="18">
        <v>951</v>
      </c>
      <c r="P12499" s="18">
        <v>985</v>
      </c>
      <c r="Q12499" t="s" s="16">
        <f>HYPERLINK("http://secrets.rutgers.edu:8080/data/asl-ftp/asllvd/demos/verify_start_end_handshape_annotations//test_auto_move//signs_mov/16257.mov","MOV")</f>
        <v>21</v>
      </c>
      <c r="R12499" t="s" s="16">
        <f>HYPERLINK("http://secrets.rutgers.edu:8080/data/asl-ftp/asllvd/demos/verify_start_end_handshape_annotations//test_auto_move//signs_mov_separ_signers/Liz_16257.mov","MOV")</f>
        <v>21</v>
      </c>
    </row>
    <row r="12500" s="2" customFormat="1" ht="13.5" customHeight="1">
      <c r="B12500" t="s" s="8">
        <v>4683</v>
      </c>
      <c r="C12500" t="s" s="9">
        <v>14</v>
      </c>
      <c r="D12500" t="s" s="8">
        <v>14</v>
      </c>
      <c r="E12500" t="s" s="9">
        <v>14</v>
      </c>
      <c r="F12500" t="s" s="10">
        <v>14</v>
      </c>
      <c r="G12500" t="s" s="11">
        <v>14</v>
      </c>
      <c r="H12500" t="s" s="10">
        <v>14</v>
      </c>
      <c r="I12500" t="s" s="11">
        <v>14</v>
      </c>
      <c r="J12500" t="s" s="11">
        <v>14</v>
      </c>
      <c r="K12500" t="s" s="12">
        <v>14</v>
      </c>
      <c r="L12500" t="s" s="12">
        <v>14</v>
      </c>
      <c r="M12500" t="s" s="10">
        <v>14</v>
      </c>
      <c r="N12500" t="s" s="11">
        <v>14</v>
      </c>
      <c r="O12500" t="s" s="8">
        <v>14</v>
      </c>
      <c r="P12500" t="s" s="8">
        <v>14</v>
      </c>
      <c r="Q12500" t="s" s="12">
        <v>14</v>
      </c>
      <c r="R12500" t="s" s="12">
        <v>14</v>
      </c>
    </row>
    <row r="12501" s="2" customFormat="1" ht="13.5" customHeight="1">
      <c r="B12501" s="13"/>
      <c r="C12501" t="s" s="9">
        <v>16</v>
      </c>
      <c r="D12501" t="s" s="8">
        <v>4683</v>
      </c>
      <c r="E12501" t="s" s="9">
        <v>4683</v>
      </c>
      <c r="F12501" s="19">
        <v>1</v>
      </c>
      <c r="G12501" s="14"/>
      <c r="H12501" t="s" s="10">
        <v>80</v>
      </c>
      <c r="I12501" t="s" s="11">
        <v>73</v>
      </c>
      <c r="J12501" t="s" s="11">
        <v>20</v>
      </c>
      <c r="K12501" t="s" s="16">
        <f>HYPERLINK("http://csr.bu.edu/ftp/asl/asllvd/demos/verify_start_end_handshape_annotations//test_auto_move//signs_mov/1724.mov","MOV")</f>
        <v>21</v>
      </c>
      <c r="L12501" t="s" s="16">
        <f>HYPERLINK("http://csr.bu.edu/ftp/asl/asllvd/demos/verify_start_end_handshape_annotations//test_auto_move//signs_mov_separ_signers/Liz_1724.mov","MOV")</f>
        <v>21</v>
      </c>
      <c r="M12501" t="s" s="10">
        <v>88</v>
      </c>
      <c r="N12501" s="17">
        <v>25</v>
      </c>
      <c r="O12501" s="18">
        <v>1340</v>
      </c>
      <c r="P12501" s="18">
        <v>1391</v>
      </c>
      <c r="Q12501" t="s" s="16">
        <f>HYPERLINK("http://secrets.rutgers.edu:8080/data/asl-ftp/asllvd/demos/verify_start_end_handshape_annotations//test_auto_move//signs_mov/1724.mov","MOV")</f>
        <v>21</v>
      </c>
      <c r="R12501" t="s" s="16">
        <f>HYPERLINK("http://secrets.rutgers.edu:8080/data/asl-ftp/asllvd/demos/verify_start_end_handshape_annotations//test_auto_move//signs_mov_separ_signers/Liz_1724.mov","MOV")</f>
        <v>21</v>
      </c>
    </row>
    <row r="12502" s="2" customFormat="1" ht="13.5" customHeight="1">
      <c r="B12502" s="13"/>
      <c r="C12502" t="s" s="9">
        <v>30</v>
      </c>
      <c r="D12502" t="s" s="8">
        <v>4683</v>
      </c>
      <c r="E12502" t="s" s="9">
        <v>4683</v>
      </c>
      <c r="F12502" s="19">
        <v>1</v>
      </c>
      <c r="G12502" t="s" s="11">
        <v>73</v>
      </c>
      <c r="H12502" t="s" s="10">
        <v>80</v>
      </c>
      <c r="I12502" t="s" s="11">
        <v>73</v>
      </c>
      <c r="J12502" t="s" s="11">
        <v>20</v>
      </c>
      <c r="K12502" s="15"/>
      <c r="L12502" t="s" s="16">
        <f>HYPERLINK("http://csr.bu.edu/ftp/asl/asllvd/demos/verify_start_end_handshape_annotations//test_auto_move//signs_mov_separ_signers/Brady_1724.mov","MOV")</f>
        <v>21</v>
      </c>
      <c r="M12502" t="s" s="10">
        <v>40</v>
      </c>
      <c r="N12502" s="17">
        <v>20</v>
      </c>
      <c r="O12502" s="18">
        <v>3488</v>
      </c>
      <c r="P12502" s="18">
        <v>3510</v>
      </c>
      <c r="Q12502" s="15"/>
      <c r="R12502" t="s" s="16">
        <f>HYPERLINK("http://secrets.rutgers.edu:8080/data/asl-ftp/asllvd/demos/verify_start_end_handshape_annotations//test_auto_move//signs_mov_separ_signers/Brady_1724.mov","MOV")</f>
        <v>21</v>
      </c>
    </row>
    <row r="12503" s="2" customFormat="1" ht="13.5" customHeight="1">
      <c r="B12503" t="s" s="8">
        <v>4684</v>
      </c>
      <c r="C12503" t="s" s="9">
        <v>14</v>
      </c>
      <c r="D12503" t="s" s="8">
        <v>14</v>
      </c>
      <c r="E12503" t="s" s="9">
        <v>14</v>
      </c>
      <c r="F12503" t="s" s="10">
        <v>14</v>
      </c>
      <c r="G12503" t="s" s="11">
        <v>14</v>
      </c>
      <c r="H12503" t="s" s="10">
        <v>14</v>
      </c>
      <c r="I12503" t="s" s="11">
        <v>14</v>
      </c>
      <c r="J12503" t="s" s="11">
        <v>14</v>
      </c>
      <c r="K12503" t="s" s="12">
        <v>14</v>
      </c>
      <c r="L12503" t="s" s="12">
        <v>14</v>
      </c>
      <c r="M12503" t="s" s="10">
        <v>14</v>
      </c>
      <c r="N12503" t="s" s="11">
        <v>14</v>
      </c>
      <c r="O12503" t="s" s="8">
        <v>14</v>
      </c>
      <c r="P12503" t="s" s="8">
        <v>14</v>
      </c>
      <c r="Q12503" t="s" s="12">
        <v>14</v>
      </c>
      <c r="R12503" t="s" s="12">
        <v>14</v>
      </c>
    </row>
    <row r="12504" s="2" customFormat="1" ht="13.5" customHeight="1">
      <c r="B12504" s="13"/>
      <c r="C12504" t="s" s="9">
        <v>16</v>
      </c>
      <c r="D12504" t="s" s="8">
        <v>4684</v>
      </c>
      <c r="E12504" t="s" s="9">
        <v>4684</v>
      </c>
      <c r="F12504" s="19">
        <v>1</v>
      </c>
      <c r="G12504" t="s" s="11">
        <v>73</v>
      </c>
      <c r="H12504" t="s" s="10">
        <v>73</v>
      </c>
      <c r="I12504" t="s" s="11">
        <v>73</v>
      </c>
      <c r="J12504" t="s" s="11">
        <v>20</v>
      </c>
      <c r="K12504" t="s" s="16">
        <f>HYPERLINK("http://csr.bu.edu/ftp/asl/asllvd/demos/verify_start_end_handshape_annotations//test_auto_move//signs_mov/1730.mov","MOV")</f>
        <v>21</v>
      </c>
      <c r="L12504" t="s" s="16">
        <f>HYPERLINK("http://csr.bu.edu/ftp/asl/asllvd/demos/verify_start_end_handshape_annotations//test_auto_move//signs_mov_separ_signers/Liz_1730.mov","MOV")</f>
        <v>21</v>
      </c>
      <c r="M12504" t="s" s="10">
        <v>88</v>
      </c>
      <c r="N12504" s="17">
        <v>26</v>
      </c>
      <c r="O12504" s="18">
        <v>345</v>
      </c>
      <c r="P12504" s="18">
        <v>409</v>
      </c>
      <c r="Q12504" t="s" s="16">
        <f>HYPERLINK("http://secrets.rutgers.edu:8080/data/asl-ftp/asllvd/demos/verify_start_end_handshape_annotations//test_auto_move//signs_mov/1730.mov","MOV")</f>
        <v>21</v>
      </c>
      <c r="R12504" t="s" s="16">
        <f>HYPERLINK("http://secrets.rutgers.edu:8080/data/asl-ftp/asllvd/demos/verify_start_end_handshape_annotations//test_auto_move//signs_mov_separ_signers/Liz_1730.mov","MOV")</f>
        <v>21</v>
      </c>
    </row>
    <row r="12505" s="2" customFormat="1" ht="13.5" customHeight="1">
      <c r="B12505" s="13"/>
      <c r="C12505" t="s" s="9">
        <v>30</v>
      </c>
      <c r="D12505" t="s" s="8">
        <v>4684</v>
      </c>
      <c r="E12505" t="s" s="9">
        <v>4684</v>
      </c>
      <c r="F12505" s="19">
        <v>1</v>
      </c>
      <c r="G12505" s="14"/>
      <c r="H12505" t="s" s="10">
        <v>55</v>
      </c>
      <c r="I12505" t="s" s="11">
        <v>55</v>
      </c>
      <c r="J12505" t="s" s="11">
        <v>20</v>
      </c>
      <c r="K12505" s="15"/>
      <c r="L12505" t="s" s="16">
        <f>HYPERLINK("http://csr.bu.edu/ftp/asl/asllvd/demos/verify_start_end_handshape_annotations//test_auto_move//signs_mov_separ_signers/Brady_1730.mov","MOV")</f>
        <v>21</v>
      </c>
      <c r="M12505" t="s" s="10">
        <v>40</v>
      </c>
      <c r="N12505" s="17">
        <v>21</v>
      </c>
      <c r="O12505" s="18">
        <v>713</v>
      </c>
      <c r="P12505" s="18">
        <v>740</v>
      </c>
      <c r="Q12505" s="15"/>
      <c r="R12505" t="s" s="16">
        <f>HYPERLINK("http://secrets.rutgers.edu:8080/data/asl-ftp/asllvd/demos/verify_start_end_handshape_annotations//test_auto_move//signs_mov_separ_signers/Brady_1730.mov","MOV")</f>
        <v>21</v>
      </c>
    </row>
    <row r="12506" s="2" customFormat="1" ht="27.75" customHeight="1">
      <c r="B12506" t="s" s="8">
        <v>4685</v>
      </c>
      <c r="C12506" t="s" s="9">
        <v>14</v>
      </c>
      <c r="D12506" t="s" s="8">
        <v>14</v>
      </c>
      <c r="E12506" t="s" s="9">
        <v>14</v>
      </c>
      <c r="F12506" t="s" s="10">
        <v>14</v>
      </c>
      <c r="G12506" t="s" s="11">
        <v>14</v>
      </c>
      <c r="H12506" t="s" s="10">
        <v>14</v>
      </c>
      <c r="I12506" t="s" s="11">
        <v>14</v>
      </c>
      <c r="J12506" t="s" s="11">
        <v>14</v>
      </c>
      <c r="K12506" t="s" s="12">
        <v>14</v>
      </c>
      <c r="L12506" t="s" s="12">
        <v>14</v>
      </c>
      <c r="M12506" t="s" s="10">
        <v>14</v>
      </c>
      <c r="N12506" t="s" s="11">
        <v>14</v>
      </c>
      <c r="O12506" t="s" s="8">
        <v>14</v>
      </c>
      <c r="P12506" t="s" s="8">
        <v>14</v>
      </c>
      <c r="Q12506" t="s" s="12">
        <v>14</v>
      </c>
      <c r="R12506" t="s" s="12">
        <v>14</v>
      </c>
    </row>
    <row r="12507" s="2" customFormat="1" ht="27.75" customHeight="1">
      <c r="B12507" s="13"/>
      <c r="C12507" t="s" s="9">
        <v>16</v>
      </c>
      <c r="D12507" t="s" s="8">
        <v>4686</v>
      </c>
      <c r="E12507" t="s" s="9">
        <v>4686</v>
      </c>
      <c r="F12507" t="s" s="10">
        <v>73</v>
      </c>
      <c r="G12507" t="s" s="11">
        <v>73</v>
      </c>
      <c r="H12507" t="s" s="10">
        <v>148</v>
      </c>
      <c r="I12507" t="s" s="11">
        <v>148</v>
      </c>
      <c r="J12507" t="s" s="11">
        <v>20</v>
      </c>
      <c r="K12507" t="s" s="16">
        <f>HYPERLINK("http://csr.bu.edu/ftp/asl/asllvd/demos/verify_start_end_handshape_annotations//test_auto_move//signs_mov/1743.mov","MOV")</f>
        <v>21</v>
      </c>
      <c r="L12507" t="s" s="16">
        <f>HYPERLINK("http://csr.bu.edu/ftp/asl/asllvd/demos/verify_start_end_handshape_annotations//test_auto_move//signs_mov_separ_signers/Liz_1743.mov","MOV")</f>
        <v>21</v>
      </c>
      <c r="M12507" t="s" s="10">
        <v>88</v>
      </c>
      <c r="N12507" s="17">
        <v>27</v>
      </c>
      <c r="O12507" s="18">
        <v>2776</v>
      </c>
      <c r="P12507" s="18">
        <v>2859</v>
      </c>
      <c r="Q12507" t="s" s="16">
        <f>HYPERLINK("http://secrets.rutgers.edu:8080/data/asl-ftp/asllvd/demos/verify_start_end_handshape_annotations//test_auto_move//signs_mov/1743.mov","MOV")</f>
        <v>21</v>
      </c>
      <c r="R12507" t="s" s="16">
        <f>HYPERLINK("http://secrets.rutgers.edu:8080/data/asl-ftp/asllvd/demos/verify_start_end_handshape_annotations//test_auto_move//signs_mov_separ_signers/Liz_1743.mov","MOV")</f>
        <v>21</v>
      </c>
    </row>
    <row r="12508" s="2" customFormat="1" ht="13.5" customHeight="1">
      <c r="B12508" t="s" s="8">
        <v>4687</v>
      </c>
      <c r="C12508" t="s" s="9">
        <v>14</v>
      </c>
      <c r="D12508" t="s" s="8">
        <v>14</v>
      </c>
      <c r="E12508" t="s" s="9">
        <v>14</v>
      </c>
      <c r="F12508" t="s" s="10">
        <v>14</v>
      </c>
      <c r="G12508" t="s" s="11">
        <v>14</v>
      </c>
      <c r="H12508" t="s" s="10">
        <v>14</v>
      </c>
      <c r="I12508" t="s" s="11">
        <v>14</v>
      </c>
      <c r="J12508" t="s" s="11">
        <v>14</v>
      </c>
      <c r="K12508" t="s" s="12">
        <v>14</v>
      </c>
      <c r="L12508" t="s" s="12">
        <v>14</v>
      </c>
      <c r="M12508" t="s" s="10">
        <v>14</v>
      </c>
      <c r="N12508" t="s" s="11">
        <v>14</v>
      </c>
      <c r="O12508" t="s" s="8">
        <v>14</v>
      </c>
      <c r="P12508" t="s" s="8">
        <v>14</v>
      </c>
      <c r="Q12508" t="s" s="12">
        <v>14</v>
      </c>
      <c r="R12508" t="s" s="12">
        <v>14</v>
      </c>
    </row>
    <row r="12509" s="2" customFormat="1" ht="13.5" customHeight="1">
      <c r="B12509" s="13"/>
      <c r="C12509" t="s" s="9">
        <v>16</v>
      </c>
      <c r="D12509" t="s" s="8">
        <v>4687</v>
      </c>
      <c r="E12509" t="s" s="9">
        <v>4687</v>
      </c>
      <c r="F12509" t="s" s="10">
        <v>73</v>
      </c>
      <c r="G12509" t="s" s="11">
        <v>73</v>
      </c>
      <c r="H12509" t="s" s="10">
        <v>73</v>
      </c>
      <c r="I12509" t="s" s="11">
        <v>73</v>
      </c>
      <c r="J12509" t="s" s="11">
        <v>20</v>
      </c>
      <c r="K12509" t="s" s="16">
        <f>HYPERLINK("http://csr.bu.edu/ftp/asl/asllvd/demos/verify_start_end_handshape_annotations//test_auto_move//signs_mov/1766.mov","MOV")</f>
        <v>21</v>
      </c>
      <c r="L12509" t="s" s="16">
        <f>HYPERLINK("http://csr.bu.edu/ftp/asl/asllvd/demos/verify_start_end_handshape_annotations//test_auto_move//signs_mov_separ_signers/Liz_1766.mov","MOV")</f>
        <v>21</v>
      </c>
      <c r="M12509" t="s" s="10">
        <v>88</v>
      </c>
      <c r="N12509" s="17">
        <v>29</v>
      </c>
      <c r="O12509" s="18">
        <v>1709</v>
      </c>
      <c r="P12509" s="18">
        <v>1780</v>
      </c>
      <c r="Q12509" t="s" s="16">
        <f>HYPERLINK("http://secrets.rutgers.edu:8080/data/asl-ftp/asllvd/demos/verify_start_end_handshape_annotations//test_auto_move//signs_mov/1766.mov","MOV")</f>
        <v>21</v>
      </c>
      <c r="R12509" t="s" s="16">
        <f>HYPERLINK("http://secrets.rutgers.edu:8080/data/asl-ftp/asllvd/demos/verify_start_end_handshape_annotations//test_auto_move//signs_mov_separ_signers/Liz_1766.mov","MOV")</f>
        <v>21</v>
      </c>
    </row>
    <row r="12510" s="2" customFormat="1" ht="13.5" customHeight="1">
      <c r="B12510" s="13"/>
      <c r="C12510" t="s" s="9">
        <v>30</v>
      </c>
      <c r="D12510" t="s" s="8">
        <v>4687</v>
      </c>
      <c r="E12510" t="s" s="9">
        <v>4687</v>
      </c>
      <c r="F12510" t="s" s="10">
        <v>73</v>
      </c>
      <c r="G12510" t="s" s="11">
        <v>73</v>
      </c>
      <c r="H12510" t="s" s="10">
        <v>73</v>
      </c>
      <c r="I12510" t="s" s="11">
        <v>73</v>
      </c>
      <c r="J12510" t="s" s="11">
        <v>20</v>
      </c>
      <c r="K12510" s="15"/>
      <c r="L12510" t="s" s="16">
        <f>HYPERLINK("http://csr.bu.edu/ftp/asl/asllvd/demos/verify_start_end_handshape_annotations//test_auto_move//signs_mov_separ_signers/Brady_1766.mov","MOV")</f>
        <v>21</v>
      </c>
      <c r="M12510" t="s" s="10">
        <v>40</v>
      </c>
      <c r="N12510" s="17">
        <v>25</v>
      </c>
      <c r="O12510" s="18">
        <v>192</v>
      </c>
      <c r="P12510" s="18">
        <v>227</v>
      </c>
      <c r="Q12510" s="15"/>
      <c r="R12510" t="s" s="16">
        <f>HYPERLINK("http://secrets.rutgers.edu:8080/data/asl-ftp/asllvd/demos/verify_start_end_handshape_annotations//test_auto_move//signs_mov_separ_signers/Brady_1766.mov","MOV")</f>
        <v>21</v>
      </c>
    </row>
    <row r="12511" s="2" customFormat="1" ht="13.5" customHeight="1">
      <c r="B12511" t="s" s="8">
        <v>4688</v>
      </c>
      <c r="C12511" t="s" s="9">
        <v>14</v>
      </c>
      <c r="D12511" t="s" s="8">
        <v>14</v>
      </c>
      <c r="E12511" t="s" s="9">
        <v>14</v>
      </c>
      <c r="F12511" t="s" s="10">
        <v>14</v>
      </c>
      <c r="G12511" t="s" s="11">
        <v>14</v>
      </c>
      <c r="H12511" t="s" s="10">
        <v>14</v>
      </c>
      <c r="I12511" t="s" s="11">
        <v>14</v>
      </c>
      <c r="J12511" t="s" s="11">
        <v>14</v>
      </c>
      <c r="K12511" t="s" s="12">
        <v>14</v>
      </c>
      <c r="L12511" t="s" s="12">
        <v>14</v>
      </c>
      <c r="M12511" t="s" s="10">
        <v>14</v>
      </c>
      <c r="N12511" t="s" s="11">
        <v>14</v>
      </c>
      <c r="O12511" t="s" s="8">
        <v>14</v>
      </c>
      <c r="P12511" t="s" s="8">
        <v>14</v>
      </c>
      <c r="Q12511" t="s" s="12">
        <v>14</v>
      </c>
      <c r="R12511" t="s" s="12">
        <v>14</v>
      </c>
    </row>
    <row r="12512" s="2" customFormat="1" ht="13.5" customHeight="1">
      <c r="B12512" s="13"/>
      <c r="C12512" t="s" s="9">
        <v>16</v>
      </c>
      <c r="D12512" t="s" s="8">
        <v>4688</v>
      </c>
      <c r="E12512" t="s" s="9">
        <v>4688</v>
      </c>
      <c r="F12512" t="s" s="10">
        <v>148</v>
      </c>
      <c r="G12512" s="17">
        <v>5</v>
      </c>
      <c r="H12512" s="19">
        <v>5</v>
      </c>
      <c r="I12512" s="17">
        <v>5</v>
      </c>
      <c r="J12512" t="s" s="11">
        <v>20</v>
      </c>
      <c r="K12512" t="s" s="16">
        <f>HYPERLINK("http://csr.bu.edu/ftp/asl/asllvd/demos/verify_start_end_handshape_annotations//test_auto_move//signs_mov/1767.mov","MOV")</f>
        <v>21</v>
      </c>
      <c r="L12512" t="s" s="16">
        <f>HYPERLINK("http://csr.bu.edu/ftp/asl/asllvd/demos/verify_start_end_handshape_annotations//test_auto_move//signs_mov_separ_signers/Liz_1767.mov","MOV")</f>
        <v>21</v>
      </c>
      <c r="M12512" t="s" s="10">
        <v>88</v>
      </c>
      <c r="N12512" s="17">
        <v>29</v>
      </c>
      <c r="O12512" s="18">
        <v>1950</v>
      </c>
      <c r="P12512" s="18">
        <v>2007</v>
      </c>
      <c r="Q12512" t="s" s="16">
        <f>HYPERLINK("http://secrets.rutgers.edu:8080/data/asl-ftp/asllvd/demos/verify_start_end_handshape_annotations//test_auto_move//signs_mov/1767.mov","MOV")</f>
        <v>21</v>
      </c>
      <c r="R12512" t="s" s="16">
        <f>HYPERLINK("http://secrets.rutgers.edu:8080/data/asl-ftp/asllvd/demos/verify_start_end_handshape_annotations//test_auto_move//signs_mov_separ_signers/Liz_1767.mov","MOV")</f>
        <v>21</v>
      </c>
    </row>
    <row r="12513" s="2" customFormat="1" ht="27.75" customHeight="1">
      <c r="B12513" t="s" s="8">
        <v>4689</v>
      </c>
      <c r="C12513" t="s" s="9">
        <v>14</v>
      </c>
      <c r="D12513" t="s" s="8">
        <v>14</v>
      </c>
      <c r="E12513" t="s" s="9">
        <v>14</v>
      </c>
      <c r="F12513" t="s" s="10">
        <v>14</v>
      </c>
      <c r="G12513" t="s" s="11">
        <v>14</v>
      </c>
      <c r="H12513" t="s" s="10">
        <v>14</v>
      </c>
      <c r="I12513" t="s" s="11">
        <v>14</v>
      </c>
      <c r="J12513" t="s" s="11">
        <v>14</v>
      </c>
      <c r="K12513" t="s" s="12">
        <v>14</v>
      </c>
      <c r="L12513" t="s" s="12">
        <v>14</v>
      </c>
      <c r="M12513" t="s" s="10">
        <v>14</v>
      </c>
      <c r="N12513" t="s" s="11">
        <v>14</v>
      </c>
      <c r="O12513" t="s" s="8">
        <v>14</v>
      </c>
      <c r="P12513" t="s" s="8">
        <v>14</v>
      </c>
      <c r="Q12513" t="s" s="12">
        <v>14</v>
      </c>
      <c r="R12513" t="s" s="12">
        <v>14</v>
      </c>
    </row>
    <row r="12514" s="2" customFormat="1" ht="27.75" customHeight="1">
      <c r="B12514" s="13"/>
      <c r="C12514" t="s" s="9">
        <v>30</v>
      </c>
      <c r="D12514" t="s" s="8">
        <v>4689</v>
      </c>
      <c r="E12514" t="s" s="9">
        <v>4689</v>
      </c>
      <c r="F12514" s="19">
        <v>5</v>
      </c>
      <c r="G12514" s="17">
        <v>5</v>
      </c>
      <c r="H12514" s="19">
        <v>5</v>
      </c>
      <c r="I12514" s="17">
        <v>5</v>
      </c>
      <c r="J12514" t="s" s="11">
        <v>20</v>
      </c>
      <c r="K12514" t="s" s="16">
        <f>HYPERLINK("http://csr.bu.edu/ftp/asl/asllvd/demos/verify_start_end_handshape_annotations//test_auto_move//signs_mov/16445.mov","MOV")</f>
        <v>21</v>
      </c>
      <c r="L12514" t="s" s="16">
        <f>HYPERLINK("http://csr.bu.edu/ftp/asl/asllvd/demos/verify_start_end_handshape_annotations//test_auto_move//signs_mov_separ_signers/Brady_16445.mov","MOV")</f>
        <v>21</v>
      </c>
      <c r="M12514" t="s" s="10">
        <v>40</v>
      </c>
      <c r="N12514" s="17">
        <v>25</v>
      </c>
      <c r="O12514" s="18">
        <v>507</v>
      </c>
      <c r="P12514" s="18">
        <v>553</v>
      </c>
      <c r="Q12514" t="s" s="16">
        <f>HYPERLINK("http://secrets.rutgers.edu:8080/data/asl-ftp/asllvd/demos/verify_start_end_handshape_annotations//test_auto_move//signs_mov/16445.mov","MOV")</f>
        <v>21</v>
      </c>
      <c r="R12514" t="s" s="16">
        <f>HYPERLINK("http://secrets.rutgers.edu:8080/data/asl-ftp/asllvd/demos/verify_start_end_handshape_annotations//test_auto_move//signs_mov_separ_signers/Brady_16445.mov","MOV")</f>
        <v>21</v>
      </c>
    </row>
    <row r="12515" s="2" customFormat="1" ht="13.5" customHeight="1">
      <c r="B12515" t="s" s="8">
        <v>4690</v>
      </c>
      <c r="C12515" t="s" s="9">
        <v>14</v>
      </c>
      <c r="D12515" t="s" s="8">
        <v>14</v>
      </c>
      <c r="E12515" t="s" s="9">
        <v>14</v>
      </c>
      <c r="F12515" t="s" s="10">
        <v>14</v>
      </c>
      <c r="G12515" t="s" s="11">
        <v>14</v>
      </c>
      <c r="H12515" t="s" s="10">
        <v>14</v>
      </c>
      <c r="I12515" t="s" s="11">
        <v>14</v>
      </c>
      <c r="J12515" t="s" s="11">
        <v>14</v>
      </c>
      <c r="K12515" t="s" s="12">
        <v>14</v>
      </c>
      <c r="L12515" t="s" s="12">
        <v>14</v>
      </c>
      <c r="M12515" t="s" s="10">
        <v>14</v>
      </c>
      <c r="N12515" t="s" s="11">
        <v>14</v>
      </c>
      <c r="O12515" t="s" s="8">
        <v>14</v>
      </c>
      <c r="P12515" t="s" s="8">
        <v>14</v>
      </c>
      <c r="Q12515" t="s" s="12">
        <v>14</v>
      </c>
      <c r="R12515" t="s" s="12">
        <v>14</v>
      </c>
    </row>
    <row r="12516" s="2" customFormat="1" ht="13.5" customHeight="1">
      <c r="B12516" s="13"/>
      <c r="C12516" t="s" s="9">
        <v>16</v>
      </c>
      <c r="D12516" t="s" s="8">
        <v>4691</v>
      </c>
      <c r="E12516" t="s" s="9">
        <v>4691</v>
      </c>
      <c r="F12516" t="s" s="10">
        <v>73</v>
      </c>
      <c r="G12516" t="s" s="11">
        <v>73</v>
      </c>
      <c r="H12516" t="s" s="10">
        <v>453</v>
      </c>
      <c r="I12516" t="s" s="11">
        <v>55</v>
      </c>
      <c r="J12516" t="s" s="11">
        <v>20</v>
      </c>
      <c r="K12516" t="s" s="16">
        <f>HYPERLINK("http://csr.bu.edu/ftp/asl/asllvd/demos/verify_start_end_handshape_annotations//test_auto_move//signs_mov/1775.mov","MOV")</f>
        <v>21</v>
      </c>
      <c r="L12516" t="s" s="16">
        <f>HYPERLINK("http://csr.bu.edu/ftp/asl/asllvd/demos/verify_start_end_handshape_annotations//test_auto_move//signs_mov_separ_signers/Liz_1775.mov","MOV")</f>
        <v>21</v>
      </c>
      <c r="M12516" t="s" s="10">
        <v>88</v>
      </c>
      <c r="N12516" s="17">
        <v>30</v>
      </c>
      <c r="O12516" s="18">
        <v>3050</v>
      </c>
      <c r="P12516" s="18">
        <v>3133</v>
      </c>
      <c r="Q12516" t="s" s="16">
        <f>HYPERLINK("http://secrets.rutgers.edu:8080/data/asl-ftp/asllvd/demos/verify_start_end_handshape_annotations//test_auto_move//signs_mov/1775.mov","MOV")</f>
        <v>21</v>
      </c>
      <c r="R12516" t="s" s="16">
        <f>HYPERLINK("http://secrets.rutgers.edu:8080/data/asl-ftp/asllvd/demos/verify_start_end_handshape_annotations//test_auto_move//signs_mov_separ_signers/Liz_1775.mov","MOV")</f>
        <v>21</v>
      </c>
    </row>
    <row r="12517" s="2" customFormat="1" ht="13.5" customHeight="1">
      <c r="B12517" s="13"/>
      <c r="C12517" t="s" s="9">
        <v>30</v>
      </c>
      <c r="D12517" t="s" s="8">
        <v>4691</v>
      </c>
      <c r="E12517" t="s" s="9">
        <v>4691</v>
      </c>
      <c r="F12517" t="s" s="10">
        <v>73</v>
      </c>
      <c r="G12517" t="s" s="11">
        <v>73</v>
      </c>
      <c r="H12517" t="s" s="10">
        <v>453</v>
      </c>
      <c r="I12517" t="s" s="11">
        <v>73</v>
      </c>
      <c r="J12517" t="s" s="11">
        <v>20</v>
      </c>
      <c r="K12517" s="15"/>
      <c r="L12517" t="s" s="16">
        <f>HYPERLINK("http://csr.bu.edu/ftp/asl/asllvd/demos/verify_start_end_handshape_annotations//test_auto_move//signs_mov_separ_signers/Brady_1775.mov","MOV")</f>
        <v>21</v>
      </c>
      <c r="M12517" t="s" s="10">
        <v>40</v>
      </c>
      <c r="N12517" s="17">
        <v>25</v>
      </c>
      <c r="O12517" s="18">
        <v>2070</v>
      </c>
      <c r="P12517" s="18">
        <v>2113</v>
      </c>
      <c r="Q12517" s="15"/>
      <c r="R12517" t="s" s="16">
        <f>HYPERLINK("http://secrets.rutgers.edu:8080/data/asl-ftp/asllvd/demos/verify_start_end_handshape_annotations//test_auto_move//signs_mov_separ_signers/Brady_1775.mov","MOV")</f>
        <v>21</v>
      </c>
    </row>
    <row r="12518" s="2" customFormat="1" ht="13.5" customHeight="1">
      <c r="B12518" t="s" s="8">
        <v>4692</v>
      </c>
      <c r="C12518" t="s" s="9">
        <v>14</v>
      </c>
      <c r="D12518" t="s" s="8">
        <v>14</v>
      </c>
      <c r="E12518" t="s" s="9">
        <v>14</v>
      </c>
      <c r="F12518" t="s" s="10">
        <v>14</v>
      </c>
      <c r="G12518" t="s" s="11">
        <v>14</v>
      </c>
      <c r="H12518" t="s" s="10">
        <v>14</v>
      </c>
      <c r="I12518" t="s" s="11">
        <v>14</v>
      </c>
      <c r="J12518" t="s" s="11">
        <v>14</v>
      </c>
      <c r="K12518" t="s" s="12">
        <v>14</v>
      </c>
      <c r="L12518" t="s" s="12">
        <v>14</v>
      </c>
      <c r="M12518" t="s" s="10">
        <v>14</v>
      </c>
      <c r="N12518" t="s" s="11">
        <v>14</v>
      </c>
      <c r="O12518" t="s" s="8">
        <v>14</v>
      </c>
      <c r="P12518" t="s" s="8">
        <v>14</v>
      </c>
      <c r="Q12518" t="s" s="12">
        <v>14</v>
      </c>
      <c r="R12518" t="s" s="12">
        <v>14</v>
      </c>
    </row>
    <row r="12519" s="2" customFormat="1" ht="13.5" customHeight="1">
      <c r="B12519" s="13"/>
      <c r="C12519" t="s" s="9">
        <v>16</v>
      </c>
      <c r="D12519" t="s" s="8">
        <v>4692</v>
      </c>
      <c r="E12519" t="s" s="9">
        <v>4692</v>
      </c>
      <c r="F12519" s="19">
        <v>5</v>
      </c>
      <c r="G12519" s="14"/>
      <c r="H12519" s="19">
        <v>5</v>
      </c>
      <c r="I12519" s="14"/>
      <c r="J12519" t="s" s="11">
        <v>20</v>
      </c>
      <c r="K12519" s="15"/>
      <c r="L12519" t="s" s="16">
        <f>HYPERLINK("http://csr.bu.edu/ftp/asl/asllvd/demos/verify_start_end_handshape_annotations//test_auto_move//signs_mov_separ_signers/Liz_1783.mov","MOV")</f>
        <v>21</v>
      </c>
      <c r="M12519" t="s" s="10">
        <v>88</v>
      </c>
      <c r="N12519" s="17">
        <v>31</v>
      </c>
      <c r="O12519" s="18">
        <v>900</v>
      </c>
      <c r="P12519" s="18">
        <v>946</v>
      </c>
      <c r="Q12519" s="15"/>
      <c r="R12519" t="s" s="16">
        <f>HYPERLINK("http://secrets.rutgers.edu:8080/data/asl-ftp/asllvd/demos/verify_start_end_handshape_annotations//test_auto_move//signs_mov_separ_signers/Liz_1783.mov","MOV")</f>
        <v>21</v>
      </c>
    </row>
    <row r="12520" s="2" customFormat="1" ht="13.5" customHeight="1">
      <c r="B12520" s="13"/>
      <c r="C12520" t="s" s="9">
        <v>30</v>
      </c>
      <c r="D12520" t="s" s="8">
        <v>4692</v>
      </c>
      <c r="E12520" t="s" s="9">
        <v>4692</v>
      </c>
      <c r="F12520" s="19">
        <v>5</v>
      </c>
      <c r="G12520" s="14"/>
      <c r="H12520" s="19">
        <v>5</v>
      </c>
      <c r="I12520" s="14"/>
      <c r="J12520" t="s" s="11">
        <v>20</v>
      </c>
      <c r="K12520" t="s" s="16">
        <f>HYPERLINK("http://csr.bu.edu/ftp/asl/asllvd/demos/verify_start_end_handshape_annotations//test_auto_move//signs_mov/1783.mov","MOV")</f>
        <v>21</v>
      </c>
      <c r="L12520" t="s" s="16">
        <f>HYPERLINK("http://csr.bu.edu/ftp/asl/asllvd/demos/verify_start_end_handshape_annotations//test_auto_move//signs_mov_separ_signers/Brady_1783.mov","MOV")</f>
        <v>21</v>
      </c>
      <c r="M12520" t="s" s="10">
        <v>40</v>
      </c>
      <c r="N12520" s="17">
        <v>26</v>
      </c>
      <c r="O12520" s="18">
        <v>2091</v>
      </c>
      <c r="P12520" s="18">
        <v>2113</v>
      </c>
      <c r="Q12520" t="s" s="16">
        <f>HYPERLINK("http://secrets.rutgers.edu:8080/data/asl-ftp/asllvd/demos/verify_start_end_handshape_annotations//test_auto_move//signs_mov/1783.mov","MOV")</f>
        <v>21</v>
      </c>
      <c r="R12520" t="s" s="16">
        <f>HYPERLINK("http://secrets.rutgers.edu:8080/data/asl-ftp/asllvd/demos/verify_start_end_handshape_annotations//test_auto_move//signs_mov_separ_signers/Brady_1783.mov","MOV")</f>
        <v>21</v>
      </c>
    </row>
    <row r="12521" s="2" customFormat="1" ht="13.5" customHeight="1">
      <c r="B12521" s="13"/>
      <c r="C12521" t="s" s="9">
        <v>41</v>
      </c>
      <c r="D12521" t="s" s="8">
        <v>4692</v>
      </c>
      <c r="E12521" t="s" s="9">
        <v>4692</v>
      </c>
      <c r="F12521" s="19">
        <v>5</v>
      </c>
      <c r="G12521" s="14"/>
      <c r="H12521" s="19">
        <v>5</v>
      </c>
      <c r="I12521" s="14"/>
      <c r="J12521" t="s" s="11">
        <v>20</v>
      </c>
      <c r="K12521" s="15"/>
      <c r="L12521" t="s" s="16">
        <f>HYPERLINK("http://csr.bu.edu/ftp/asl/asllvd/demos/verify_start_end_handshape_annotations//test_auto_move//signs_mov_separ_signers/Lana_1783.mov","MOV")</f>
        <v>21</v>
      </c>
      <c r="M12521" t="s" s="10">
        <v>42</v>
      </c>
      <c r="N12521" s="17">
        <v>20</v>
      </c>
      <c r="O12521" s="18">
        <v>2366</v>
      </c>
      <c r="P12521" s="18">
        <v>2398</v>
      </c>
      <c r="Q12521" s="15"/>
      <c r="R12521" t="s" s="16">
        <f>HYPERLINK("http://secrets.rutgers.edu:8080/data/asl-ftp/asllvd/demos/verify_start_end_handshape_annotations//test_auto_move//signs_mov_separ_signers/Lana_1783.mov","MOV")</f>
        <v>21</v>
      </c>
    </row>
    <row r="12522" s="2" customFormat="1" ht="13.5" customHeight="1">
      <c r="B12522" s="13"/>
      <c r="C12522" t="s" s="9">
        <v>43</v>
      </c>
      <c r="D12522" t="s" s="8">
        <v>4692</v>
      </c>
      <c r="E12522" t="s" s="9">
        <v>4692</v>
      </c>
      <c r="F12522" s="19">
        <v>5</v>
      </c>
      <c r="G12522" s="14"/>
      <c r="H12522" s="19">
        <v>5</v>
      </c>
      <c r="I12522" s="14"/>
      <c r="J12522" t="s" s="11">
        <v>20</v>
      </c>
      <c r="K12522" s="15"/>
      <c r="L12522" t="s" s="16">
        <f>HYPERLINK("http://csr.bu.edu/ftp/asl/asllvd/demos/verify_start_end_handshape_annotations//test_auto_move//signs_mov_separ_signers/Dana_1783.mov","MOV")</f>
        <v>21</v>
      </c>
      <c r="M12522" t="s" s="10">
        <v>44</v>
      </c>
      <c r="N12522" s="17">
        <v>22</v>
      </c>
      <c r="O12522" s="18">
        <v>2349</v>
      </c>
      <c r="P12522" s="18">
        <v>2399</v>
      </c>
      <c r="Q12522" s="15"/>
      <c r="R12522" t="s" s="16">
        <f>HYPERLINK("http://secrets.rutgers.edu:8080/data/asl-ftp/asllvd/demos/verify_start_end_handshape_annotations//test_auto_move//signs_mov_separ_signers/Dana_1783.mov","MOV")</f>
        <v>21</v>
      </c>
    </row>
    <row r="12523" s="2" customFormat="1" ht="13.5" customHeight="1">
      <c r="B12523" t="s" s="8">
        <v>4693</v>
      </c>
      <c r="C12523" t="s" s="9">
        <v>14</v>
      </c>
      <c r="D12523" t="s" s="8">
        <v>14</v>
      </c>
      <c r="E12523" t="s" s="9">
        <v>14</v>
      </c>
      <c r="F12523" t="s" s="10">
        <v>14</v>
      </c>
      <c r="G12523" t="s" s="11">
        <v>14</v>
      </c>
      <c r="H12523" t="s" s="10">
        <v>14</v>
      </c>
      <c r="I12523" t="s" s="11">
        <v>14</v>
      </c>
      <c r="J12523" t="s" s="11">
        <v>14</v>
      </c>
      <c r="K12523" t="s" s="12">
        <v>14</v>
      </c>
      <c r="L12523" t="s" s="12">
        <v>14</v>
      </c>
      <c r="M12523" t="s" s="10">
        <v>14</v>
      </c>
      <c r="N12523" t="s" s="11">
        <v>14</v>
      </c>
      <c r="O12523" t="s" s="8">
        <v>14</v>
      </c>
      <c r="P12523" t="s" s="8">
        <v>14</v>
      </c>
      <c r="Q12523" t="s" s="12">
        <v>14</v>
      </c>
      <c r="R12523" t="s" s="12">
        <v>14</v>
      </c>
    </row>
    <row r="12524" s="2" customFormat="1" ht="13.5" customHeight="1">
      <c r="B12524" s="13"/>
      <c r="C12524" t="s" s="9">
        <v>16</v>
      </c>
      <c r="D12524" t="s" s="8">
        <v>4693</v>
      </c>
      <c r="E12524" t="s" s="9">
        <v>4693</v>
      </c>
      <c r="F12524" t="s" s="10">
        <v>150</v>
      </c>
      <c r="G12524" t="s" s="11">
        <v>150</v>
      </c>
      <c r="H12524" s="19">
        <v>5</v>
      </c>
      <c r="I12524" s="17">
        <v>5</v>
      </c>
      <c r="J12524" t="s" s="11">
        <v>20</v>
      </c>
      <c r="K12524" t="s" s="16">
        <f>HYPERLINK("http://csr.bu.edu/ftp/asl/asllvd/demos/verify_start_end_handshape_annotations//test_auto_move//signs_mov/1802.mov","MOV")</f>
        <v>21</v>
      </c>
      <c r="L12524" t="s" s="16">
        <f>HYPERLINK("http://csr.bu.edu/ftp/asl/asllvd/demos/verify_start_end_handshape_annotations//test_auto_move//signs_mov_separ_signers/Liz_1802.mov","MOV")</f>
        <v>21</v>
      </c>
      <c r="M12524" t="s" s="10">
        <v>88</v>
      </c>
      <c r="N12524" s="17">
        <v>33</v>
      </c>
      <c r="O12524" s="18">
        <v>797</v>
      </c>
      <c r="P12524" s="18">
        <v>866</v>
      </c>
      <c r="Q12524" t="s" s="16">
        <f>HYPERLINK("http://secrets.rutgers.edu:8080/data/asl-ftp/asllvd/demos/verify_start_end_handshape_annotations//test_auto_move//signs_mov/1802.mov","MOV")</f>
        <v>21</v>
      </c>
      <c r="R12524" t="s" s="16">
        <f>HYPERLINK("http://secrets.rutgers.edu:8080/data/asl-ftp/asllvd/demos/verify_start_end_handshape_annotations//test_auto_move//signs_mov_separ_signers/Liz_1802.mov","MOV")</f>
        <v>21</v>
      </c>
    </row>
    <row r="12525" s="2" customFormat="1" ht="13.5" customHeight="1">
      <c r="B12525" s="13"/>
      <c r="C12525" t="s" s="9">
        <v>30</v>
      </c>
      <c r="D12525" t="s" s="8">
        <v>4693</v>
      </c>
      <c r="E12525" t="s" s="9">
        <v>4693</v>
      </c>
      <c r="F12525" t="s" s="10">
        <v>73</v>
      </c>
      <c r="G12525" t="s" s="11">
        <v>73</v>
      </c>
      <c r="H12525" t="s" s="10">
        <v>73</v>
      </c>
      <c r="I12525" t="s" s="11">
        <v>73</v>
      </c>
      <c r="J12525" t="s" s="11">
        <v>20</v>
      </c>
      <c r="K12525" s="15"/>
      <c r="L12525" t="s" s="16">
        <f>HYPERLINK("http://csr.bu.edu/ftp/asl/asllvd/demos/verify_start_end_handshape_annotations//test_auto_move//signs_mov_separ_signers/Brady_1802.mov","MOV")</f>
        <v>21</v>
      </c>
      <c r="M12525" t="s" s="10">
        <v>40</v>
      </c>
      <c r="N12525" s="17">
        <v>28</v>
      </c>
      <c r="O12525" s="18">
        <v>346</v>
      </c>
      <c r="P12525" s="18">
        <v>392</v>
      </c>
      <c r="Q12525" s="15"/>
      <c r="R12525" t="s" s="16">
        <f>HYPERLINK("http://secrets.rutgers.edu:8080/data/asl-ftp/asllvd/demos/verify_start_end_handshape_annotations//test_auto_move//signs_mov_separ_signers/Brady_1802.mov","MOV")</f>
        <v>21</v>
      </c>
    </row>
    <row r="12526" s="2" customFormat="1" ht="13.5" customHeight="1">
      <c r="B12526" t="s" s="8">
        <v>4694</v>
      </c>
      <c r="C12526" t="s" s="9">
        <v>14</v>
      </c>
      <c r="D12526" t="s" s="8">
        <v>14</v>
      </c>
      <c r="E12526" t="s" s="9">
        <v>14</v>
      </c>
      <c r="F12526" t="s" s="10">
        <v>14</v>
      </c>
      <c r="G12526" t="s" s="11">
        <v>14</v>
      </c>
      <c r="H12526" t="s" s="10">
        <v>14</v>
      </c>
      <c r="I12526" t="s" s="11">
        <v>14</v>
      </c>
      <c r="J12526" t="s" s="11">
        <v>14</v>
      </c>
      <c r="K12526" t="s" s="12">
        <v>14</v>
      </c>
      <c r="L12526" t="s" s="12">
        <v>14</v>
      </c>
      <c r="M12526" t="s" s="10">
        <v>14</v>
      </c>
      <c r="N12526" t="s" s="11">
        <v>14</v>
      </c>
      <c r="O12526" t="s" s="8">
        <v>14</v>
      </c>
      <c r="P12526" t="s" s="8">
        <v>14</v>
      </c>
      <c r="Q12526" t="s" s="12">
        <v>14</v>
      </c>
      <c r="R12526" t="s" s="12">
        <v>14</v>
      </c>
    </row>
    <row r="12527" s="2" customFormat="1" ht="13.5" customHeight="1">
      <c r="B12527" s="13"/>
      <c r="C12527" t="s" s="9">
        <v>16</v>
      </c>
      <c r="D12527" t="s" s="8">
        <v>4694</v>
      </c>
      <c r="E12527" t="s" s="9">
        <v>4695</v>
      </c>
      <c r="F12527" t="s" s="10">
        <v>187</v>
      </c>
      <c r="G12527" t="s" s="11">
        <v>68</v>
      </c>
      <c r="H12527" t="s" s="10">
        <v>68</v>
      </c>
      <c r="I12527" t="s" s="11">
        <v>68</v>
      </c>
      <c r="J12527" t="s" s="11">
        <v>20</v>
      </c>
      <c r="K12527" t="s" s="16">
        <f>HYPERLINK("http://csr.bu.edu/ftp/asl/asllvd/demos/verify_start_end_handshape_annotations//test_auto_move//signs_mov/1811.mov","MOV")</f>
        <v>21</v>
      </c>
      <c r="L12527" t="s" s="16">
        <f>HYPERLINK("http://csr.bu.edu/ftp/asl/asllvd/demos/verify_start_end_handshape_annotations//test_auto_move//signs_mov_separ_signers/Liz_1811.mov","MOV")</f>
        <v>21</v>
      </c>
      <c r="M12527" t="s" s="10">
        <v>88</v>
      </c>
      <c r="N12527" s="17">
        <v>34</v>
      </c>
      <c r="O12527" s="18">
        <v>645</v>
      </c>
      <c r="P12527" s="18">
        <v>710</v>
      </c>
      <c r="Q12527" t="s" s="16">
        <f>HYPERLINK("http://secrets.rutgers.edu:8080/data/asl-ftp/asllvd/demos/verify_start_end_handshape_annotations//test_auto_move//signs_mov/1811.mov","MOV")</f>
        <v>21</v>
      </c>
      <c r="R12527" t="s" s="16">
        <f>HYPERLINK("http://secrets.rutgers.edu:8080/data/asl-ftp/asllvd/demos/verify_start_end_handshape_annotations//test_auto_move//signs_mov_separ_signers/Liz_1811.mov","MOV")</f>
        <v>21</v>
      </c>
    </row>
    <row r="12528" s="2" customFormat="1" ht="13.5" customHeight="1">
      <c r="B12528" t="s" s="8">
        <v>4696</v>
      </c>
      <c r="C12528" t="s" s="9">
        <v>14</v>
      </c>
      <c r="D12528" t="s" s="8">
        <v>14</v>
      </c>
      <c r="E12528" t="s" s="9">
        <v>14</v>
      </c>
      <c r="F12528" t="s" s="10">
        <v>14</v>
      </c>
      <c r="G12528" t="s" s="11">
        <v>14</v>
      </c>
      <c r="H12528" t="s" s="10">
        <v>14</v>
      </c>
      <c r="I12528" t="s" s="11">
        <v>14</v>
      </c>
      <c r="J12528" t="s" s="11">
        <v>14</v>
      </c>
      <c r="K12528" t="s" s="12">
        <v>14</v>
      </c>
      <c r="L12528" t="s" s="12">
        <v>14</v>
      </c>
      <c r="M12528" t="s" s="10">
        <v>14</v>
      </c>
      <c r="N12528" t="s" s="11">
        <v>14</v>
      </c>
      <c r="O12528" t="s" s="8">
        <v>14</v>
      </c>
      <c r="P12528" t="s" s="8">
        <v>14</v>
      </c>
      <c r="Q12528" t="s" s="12">
        <v>14</v>
      </c>
      <c r="R12528" t="s" s="12">
        <v>14</v>
      </c>
    </row>
    <row r="12529" s="2" customFormat="1" ht="13.5" customHeight="1">
      <c r="B12529" s="13"/>
      <c r="C12529" t="s" s="9">
        <v>16</v>
      </c>
      <c r="D12529" t="s" s="8">
        <v>4696</v>
      </c>
      <c r="E12529" t="s" s="9">
        <v>4697</v>
      </c>
      <c r="F12529" t="s" s="10">
        <v>437</v>
      </c>
      <c r="G12529" t="s" s="11">
        <v>55</v>
      </c>
      <c r="H12529" t="s" s="10">
        <v>282</v>
      </c>
      <c r="I12529" t="s" s="11">
        <v>55</v>
      </c>
      <c r="J12529" t="s" s="11">
        <v>20</v>
      </c>
      <c r="K12529" t="s" s="16">
        <f>HYPERLINK("http://csr.bu.edu/ftp/asl/asllvd/demos/verify_start_end_handshape_annotations//test_auto_move//signs_mov/1813.mov","MOV")</f>
        <v>21</v>
      </c>
      <c r="L12529" t="s" s="16">
        <f>HYPERLINK("http://csr.bu.edu/ftp/asl/asllvd/demos/verify_start_end_handshape_annotations//test_auto_move//signs_mov_separ_signers/Liz_1813.mov","MOV")</f>
        <v>21</v>
      </c>
      <c r="M12529" t="s" s="10">
        <v>88</v>
      </c>
      <c r="N12529" s="17">
        <v>34</v>
      </c>
      <c r="O12529" s="18">
        <v>1210</v>
      </c>
      <c r="P12529" s="18">
        <v>1285</v>
      </c>
      <c r="Q12529" t="s" s="16">
        <f>HYPERLINK("http://secrets.rutgers.edu:8080/data/asl-ftp/asllvd/demos/verify_start_end_handshape_annotations//test_auto_move//signs_mov/1813.mov","MOV")</f>
        <v>21</v>
      </c>
      <c r="R12529" t="s" s="16">
        <f>HYPERLINK("http://secrets.rutgers.edu:8080/data/asl-ftp/asllvd/demos/verify_start_end_handshape_annotations//test_auto_move//signs_mov_separ_signers/Liz_1813.mov","MOV")</f>
        <v>21</v>
      </c>
    </row>
    <row r="12530" s="2" customFormat="1" ht="13.5" customHeight="1">
      <c r="B12530" t="s" s="8">
        <v>4698</v>
      </c>
      <c r="C12530" t="s" s="9">
        <v>14</v>
      </c>
      <c r="D12530" t="s" s="8">
        <v>14</v>
      </c>
      <c r="E12530" t="s" s="9">
        <v>14</v>
      </c>
      <c r="F12530" t="s" s="10">
        <v>14</v>
      </c>
      <c r="G12530" t="s" s="11">
        <v>14</v>
      </c>
      <c r="H12530" t="s" s="10">
        <v>14</v>
      </c>
      <c r="I12530" t="s" s="11">
        <v>14</v>
      </c>
      <c r="J12530" t="s" s="11">
        <v>14</v>
      </c>
      <c r="K12530" t="s" s="12">
        <v>14</v>
      </c>
      <c r="L12530" t="s" s="12">
        <v>14</v>
      </c>
      <c r="M12530" t="s" s="10">
        <v>14</v>
      </c>
      <c r="N12530" t="s" s="11">
        <v>14</v>
      </c>
      <c r="O12530" t="s" s="8">
        <v>14</v>
      </c>
      <c r="P12530" t="s" s="8">
        <v>14</v>
      </c>
      <c r="Q12530" t="s" s="12">
        <v>14</v>
      </c>
      <c r="R12530" t="s" s="12">
        <v>14</v>
      </c>
    </row>
    <row r="12531" s="2" customFormat="1" ht="13.5" customHeight="1">
      <c r="B12531" s="13"/>
      <c r="C12531" t="s" s="9">
        <v>16</v>
      </c>
      <c r="D12531" t="s" s="8">
        <v>4698</v>
      </c>
      <c r="E12531" t="s" s="9">
        <v>4698</v>
      </c>
      <c r="F12531" s="19">
        <v>1</v>
      </c>
      <c r="G12531" s="14"/>
      <c r="H12531" s="19">
        <v>1</v>
      </c>
      <c r="I12531" s="14"/>
      <c r="J12531" t="s" s="11">
        <v>20</v>
      </c>
      <c r="K12531" t="s" s="16">
        <f>HYPERLINK("http://csr.bu.edu/ftp/asl/asllvd/demos/verify_start_end_handshape_annotations//test_auto_move//signs_mov/1819.mov","MOV")</f>
        <v>21</v>
      </c>
      <c r="L12531" t="s" s="16">
        <f>HYPERLINK("http://csr.bu.edu/ftp/asl/asllvd/demos/verify_start_end_handshape_annotations//test_auto_move//signs_mov_separ_signers/Liz_1819.mov","MOV")</f>
        <v>21</v>
      </c>
      <c r="M12531" t="s" s="10">
        <v>88</v>
      </c>
      <c r="N12531" s="17">
        <v>34</v>
      </c>
      <c r="O12531" s="18">
        <v>4264</v>
      </c>
      <c r="P12531" s="18">
        <v>4294</v>
      </c>
      <c r="Q12531" t="s" s="16">
        <f>HYPERLINK("http://secrets.rutgers.edu:8080/data/asl-ftp/asllvd/demos/verify_start_end_handshape_annotations//test_auto_move//signs_mov/1819.mov","MOV")</f>
        <v>21</v>
      </c>
      <c r="R12531" t="s" s="16">
        <f>HYPERLINK("http://secrets.rutgers.edu:8080/data/asl-ftp/asllvd/demos/verify_start_end_handshape_annotations//test_auto_move//signs_mov_separ_signers/Liz_1819.mov","MOV")</f>
        <v>21</v>
      </c>
    </row>
    <row r="12532" s="2" customFormat="1" ht="13.5" customHeight="1">
      <c r="B12532" t="s" s="8">
        <v>4699</v>
      </c>
      <c r="C12532" t="s" s="9">
        <v>14</v>
      </c>
      <c r="D12532" t="s" s="8">
        <v>14</v>
      </c>
      <c r="E12532" t="s" s="9">
        <v>14</v>
      </c>
      <c r="F12532" t="s" s="10">
        <v>14</v>
      </c>
      <c r="G12532" t="s" s="11">
        <v>14</v>
      </c>
      <c r="H12532" t="s" s="10">
        <v>14</v>
      </c>
      <c r="I12532" t="s" s="11">
        <v>14</v>
      </c>
      <c r="J12532" t="s" s="11">
        <v>14</v>
      </c>
      <c r="K12532" t="s" s="12">
        <v>14</v>
      </c>
      <c r="L12532" t="s" s="12">
        <v>14</v>
      </c>
      <c r="M12532" t="s" s="10">
        <v>14</v>
      </c>
      <c r="N12532" t="s" s="11">
        <v>14</v>
      </c>
      <c r="O12532" t="s" s="8">
        <v>14</v>
      </c>
      <c r="P12532" t="s" s="8">
        <v>14</v>
      </c>
      <c r="Q12532" t="s" s="12">
        <v>14</v>
      </c>
      <c r="R12532" t="s" s="12">
        <v>14</v>
      </c>
    </row>
    <row r="12533" s="2" customFormat="1" ht="13.5" customHeight="1">
      <c r="B12533" s="13"/>
      <c r="C12533" t="s" s="9">
        <v>16</v>
      </c>
      <c r="D12533" t="s" s="8">
        <v>4699</v>
      </c>
      <c r="E12533" t="s" s="9">
        <v>4699</v>
      </c>
      <c r="F12533" s="19">
        <v>5</v>
      </c>
      <c r="G12533" t="s" s="11">
        <v>260</v>
      </c>
      <c r="H12533" t="s" s="10">
        <v>72</v>
      </c>
      <c r="I12533" t="s" s="11">
        <v>260</v>
      </c>
      <c r="J12533" t="s" s="11">
        <v>20</v>
      </c>
      <c r="K12533" t="s" s="16">
        <f>HYPERLINK("http://csr.bu.edu/ftp/asl/asllvd/demos/verify_start_end_handshape_annotations//test_auto_move//signs_mov/1857.mov","MOV")</f>
        <v>21</v>
      </c>
      <c r="L12533" t="s" s="16">
        <f>HYPERLINK("http://csr.bu.edu/ftp/asl/asllvd/demos/verify_start_end_handshape_annotations//test_auto_move//signs_mov_separ_signers/Liz_1857.mov","MOV")</f>
        <v>21</v>
      </c>
      <c r="M12533" t="s" s="10">
        <v>88</v>
      </c>
      <c r="N12533" s="17">
        <v>38</v>
      </c>
      <c r="O12533" s="18">
        <v>3727</v>
      </c>
      <c r="P12533" s="18">
        <v>3785</v>
      </c>
      <c r="Q12533" t="s" s="16">
        <f>HYPERLINK("http://secrets.rutgers.edu:8080/data/asl-ftp/asllvd/demos/verify_start_end_handshape_annotations//test_auto_move//signs_mov/1857.mov","MOV")</f>
        <v>21</v>
      </c>
      <c r="R12533" t="s" s="16">
        <f>HYPERLINK("http://secrets.rutgers.edu:8080/data/asl-ftp/asllvd/demos/verify_start_end_handshape_annotations//test_auto_move//signs_mov_separ_signers/Liz_1857.mov","MOV")</f>
        <v>21</v>
      </c>
    </row>
    <row r="12534" s="2" customFormat="1" ht="27.75" customHeight="1">
      <c r="B12534" t="s" s="8">
        <v>4700</v>
      </c>
      <c r="C12534" t="s" s="9">
        <v>14</v>
      </c>
      <c r="D12534" t="s" s="8">
        <v>14</v>
      </c>
      <c r="E12534" t="s" s="9">
        <v>14</v>
      </c>
      <c r="F12534" t="s" s="10">
        <v>14</v>
      </c>
      <c r="G12534" t="s" s="11">
        <v>14</v>
      </c>
      <c r="H12534" t="s" s="10">
        <v>14</v>
      </c>
      <c r="I12534" t="s" s="11">
        <v>14</v>
      </c>
      <c r="J12534" t="s" s="11">
        <v>14</v>
      </c>
      <c r="K12534" t="s" s="12">
        <v>14</v>
      </c>
      <c r="L12534" t="s" s="12">
        <v>14</v>
      </c>
      <c r="M12534" t="s" s="10">
        <v>14</v>
      </c>
      <c r="N12534" t="s" s="11">
        <v>14</v>
      </c>
      <c r="O12534" t="s" s="8">
        <v>14</v>
      </c>
      <c r="P12534" t="s" s="8">
        <v>14</v>
      </c>
      <c r="Q12534" t="s" s="12">
        <v>14</v>
      </c>
      <c r="R12534" t="s" s="12">
        <v>14</v>
      </c>
    </row>
    <row r="12535" s="2" customFormat="1" ht="27.75" customHeight="1">
      <c r="B12535" s="13"/>
      <c r="C12535" t="s" s="9">
        <v>16</v>
      </c>
      <c r="D12535" t="s" s="8">
        <v>4701</v>
      </c>
      <c r="E12535" t="s" s="9">
        <v>4701</v>
      </c>
      <c r="F12535" t="s" s="10">
        <v>506</v>
      </c>
      <c r="G12535" s="14"/>
      <c r="H12535" s="19">
        <v>1</v>
      </c>
      <c r="I12535" s="17">
        <v>1</v>
      </c>
      <c r="J12535" t="s" s="11">
        <v>20</v>
      </c>
      <c r="K12535" t="s" s="16">
        <f>HYPERLINK("http://csr.bu.edu/ftp/asl/asllvd/demos/verify_start_end_handshape_annotations//test_auto_move//signs_mov/1874.mov","MOV")</f>
        <v>21</v>
      </c>
      <c r="L12535" t="s" s="16">
        <f>HYPERLINK("http://csr.bu.edu/ftp/asl/asllvd/demos/verify_start_end_handshape_annotations//test_auto_move//signs_mov_separ_signers/Liz_1874.mov","MOV")</f>
        <v>21</v>
      </c>
      <c r="M12535" t="s" s="10">
        <v>88</v>
      </c>
      <c r="N12535" s="17">
        <v>40</v>
      </c>
      <c r="O12535" s="18">
        <v>1841</v>
      </c>
      <c r="P12535" s="18">
        <v>1933</v>
      </c>
      <c r="Q12535" t="s" s="16">
        <f>HYPERLINK("http://secrets.rutgers.edu:8080/data/asl-ftp/asllvd/demos/verify_start_end_handshape_annotations//test_auto_move//signs_mov/1874.mov","MOV")</f>
        <v>21</v>
      </c>
      <c r="R12535" t="s" s="16">
        <f>HYPERLINK("http://secrets.rutgers.edu:8080/data/asl-ftp/asllvd/demos/verify_start_end_handshape_annotations//test_auto_move//signs_mov_separ_signers/Liz_1874.mov","MOV")</f>
        <v>21</v>
      </c>
    </row>
    <row r="12536" s="2" customFormat="1" ht="27.75" customHeight="1">
      <c r="B12536" s="13"/>
      <c r="C12536" t="s" s="9">
        <v>30</v>
      </c>
      <c r="D12536" t="s" s="8">
        <v>4701</v>
      </c>
      <c r="E12536" t="s" s="9">
        <v>4701</v>
      </c>
      <c r="F12536" t="s" s="10">
        <v>506</v>
      </c>
      <c r="G12536" s="14"/>
      <c r="H12536" s="19">
        <v>1</v>
      </c>
      <c r="I12536" s="17">
        <v>1</v>
      </c>
      <c r="J12536" t="s" s="11">
        <v>20</v>
      </c>
      <c r="K12536" s="15"/>
      <c r="L12536" t="s" s="16">
        <f>HYPERLINK("http://csr.bu.edu/ftp/asl/asllvd/demos/verify_start_end_handshape_annotations//test_auto_move//signs_mov_separ_signers/Brady_1874.mov","MOV")</f>
        <v>21</v>
      </c>
      <c r="M12536" t="s" s="10">
        <v>40</v>
      </c>
      <c r="N12536" s="17">
        <v>34</v>
      </c>
      <c r="O12536" s="18">
        <v>1478</v>
      </c>
      <c r="P12536" s="18">
        <v>1544</v>
      </c>
      <c r="Q12536" s="15"/>
      <c r="R12536" t="s" s="16">
        <f>HYPERLINK("http://secrets.rutgers.edu:8080/data/asl-ftp/asllvd/demos/verify_start_end_handshape_annotations//test_auto_move//signs_mov_separ_signers/Brady_1874.mov","MOV")</f>
        <v>21</v>
      </c>
    </row>
    <row r="12537" s="2" customFormat="1" ht="13.5" customHeight="1">
      <c r="B12537" t="s" s="8">
        <v>4702</v>
      </c>
      <c r="C12537" t="s" s="9">
        <v>14</v>
      </c>
      <c r="D12537" t="s" s="8">
        <v>14</v>
      </c>
      <c r="E12537" t="s" s="9">
        <v>14</v>
      </c>
      <c r="F12537" t="s" s="10">
        <v>14</v>
      </c>
      <c r="G12537" t="s" s="11">
        <v>14</v>
      </c>
      <c r="H12537" t="s" s="10">
        <v>14</v>
      </c>
      <c r="I12537" t="s" s="11">
        <v>14</v>
      </c>
      <c r="J12537" t="s" s="11">
        <v>14</v>
      </c>
      <c r="K12537" t="s" s="12">
        <v>14</v>
      </c>
      <c r="L12537" t="s" s="12">
        <v>14</v>
      </c>
      <c r="M12537" t="s" s="10">
        <v>14</v>
      </c>
      <c r="N12537" t="s" s="11">
        <v>14</v>
      </c>
      <c r="O12537" t="s" s="8">
        <v>14</v>
      </c>
      <c r="P12537" t="s" s="8">
        <v>14</v>
      </c>
      <c r="Q12537" t="s" s="12">
        <v>14</v>
      </c>
      <c r="R12537" t="s" s="12">
        <v>14</v>
      </c>
    </row>
    <row r="12538" s="2" customFormat="1" ht="13.5" customHeight="1">
      <c r="B12538" s="13"/>
      <c r="C12538" t="s" s="9">
        <v>16</v>
      </c>
      <c r="D12538" t="s" s="8">
        <v>4702</v>
      </c>
      <c r="E12538" t="s" s="9">
        <v>4702</v>
      </c>
      <c r="F12538" s="19">
        <v>1</v>
      </c>
      <c r="G12538" t="s" s="11">
        <v>73</v>
      </c>
      <c r="H12538" t="s" s="10">
        <v>73</v>
      </c>
      <c r="I12538" t="s" s="11">
        <v>73</v>
      </c>
      <c r="J12538" t="s" s="11">
        <v>20</v>
      </c>
      <c r="K12538" t="s" s="16">
        <f>HYPERLINK("http://csr.bu.edu/ftp/asl/asllvd/demos/verify_start_end_handshape_annotations//test_auto_move//signs_mov/1884.mov","MOV")</f>
        <v>21</v>
      </c>
      <c r="L12538" t="s" s="16">
        <f>HYPERLINK("http://csr.bu.edu/ftp/asl/asllvd/demos/verify_start_end_handshape_annotations//test_auto_move//signs_mov_separ_signers/Liz_1884.mov","MOV")</f>
        <v>21</v>
      </c>
      <c r="M12538" t="s" s="10">
        <v>88</v>
      </c>
      <c r="N12538" s="17">
        <v>41</v>
      </c>
      <c r="O12538" s="18">
        <v>1526</v>
      </c>
      <c r="P12538" s="18">
        <v>1577</v>
      </c>
      <c r="Q12538" t="s" s="16">
        <f>HYPERLINK("http://secrets.rutgers.edu:8080/data/asl-ftp/asllvd/demos/verify_start_end_handshape_annotations//test_auto_move//signs_mov/1884.mov","MOV")</f>
        <v>21</v>
      </c>
      <c r="R12538" t="s" s="16">
        <f>HYPERLINK("http://secrets.rutgers.edu:8080/data/asl-ftp/asllvd/demos/verify_start_end_handshape_annotations//test_auto_move//signs_mov_separ_signers/Liz_1884.mov","MOV")</f>
        <v>21</v>
      </c>
    </row>
    <row r="12539" s="2" customFormat="1" ht="13.5" customHeight="1">
      <c r="B12539" s="13"/>
      <c r="C12539" t="s" s="9">
        <v>30</v>
      </c>
      <c r="D12539" t="s" s="8">
        <v>4702</v>
      </c>
      <c r="E12539" t="s" s="9">
        <v>4702</v>
      </c>
      <c r="F12539" s="19">
        <v>1</v>
      </c>
      <c r="G12539" s="14"/>
      <c r="H12539" t="s" s="10">
        <v>73</v>
      </c>
      <c r="I12539" t="s" s="11">
        <v>73</v>
      </c>
      <c r="J12539" t="s" s="11">
        <v>20</v>
      </c>
      <c r="K12539" s="15"/>
      <c r="L12539" t="s" s="16">
        <f>HYPERLINK("http://csr.bu.edu/ftp/asl/asllvd/demos/verify_start_end_handshape_annotations//test_auto_move//signs_mov_separ_signers/Brady_1884.mov","MOV")</f>
        <v>21</v>
      </c>
      <c r="M12539" t="s" s="10">
        <v>39</v>
      </c>
      <c r="N12539" s="17">
        <v>37</v>
      </c>
      <c r="O12539" s="18">
        <v>6708</v>
      </c>
      <c r="P12539" s="18">
        <v>6739</v>
      </c>
      <c r="Q12539" s="15"/>
      <c r="R12539" t="s" s="16">
        <f>HYPERLINK("http://secrets.rutgers.edu:8080/data/asl-ftp/asllvd/demos/verify_start_end_handshape_annotations//test_auto_move//signs_mov_separ_signers/Brady_1884.mov","MOV")</f>
        <v>21</v>
      </c>
    </row>
    <row r="12540" s="2" customFormat="1" ht="13.5" customHeight="1">
      <c r="B12540" t="s" s="8">
        <v>4703</v>
      </c>
      <c r="C12540" t="s" s="9">
        <v>14</v>
      </c>
      <c r="D12540" t="s" s="8">
        <v>14</v>
      </c>
      <c r="E12540" t="s" s="9">
        <v>14</v>
      </c>
      <c r="F12540" t="s" s="10">
        <v>14</v>
      </c>
      <c r="G12540" t="s" s="11">
        <v>14</v>
      </c>
      <c r="H12540" t="s" s="10">
        <v>14</v>
      </c>
      <c r="I12540" t="s" s="11">
        <v>14</v>
      </c>
      <c r="J12540" t="s" s="11">
        <v>14</v>
      </c>
      <c r="K12540" t="s" s="12">
        <v>14</v>
      </c>
      <c r="L12540" t="s" s="12">
        <v>14</v>
      </c>
      <c r="M12540" t="s" s="10">
        <v>14</v>
      </c>
      <c r="N12540" t="s" s="11">
        <v>14</v>
      </c>
      <c r="O12540" t="s" s="8">
        <v>14</v>
      </c>
      <c r="P12540" t="s" s="8">
        <v>14</v>
      </c>
      <c r="Q12540" t="s" s="12">
        <v>14</v>
      </c>
      <c r="R12540" t="s" s="12">
        <v>14</v>
      </c>
    </row>
    <row r="12541" s="2" customFormat="1" ht="13.5" customHeight="1">
      <c r="B12541" s="13"/>
      <c r="C12541" t="s" s="9">
        <v>16</v>
      </c>
      <c r="D12541" t="s" s="8">
        <v>4703</v>
      </c>
      <c r="E12541" t="s" s="9">
        <v>4703</v>
      </c>
      <c r="F12541" t="s" s="10">
        <v>136</v>
      </c>
      <c r="G12541" t="s" s="11">
        <v>136</v>
      </c>
      <c r="H12541" t="s" s="10">
        <v>73</v>
      </c>
      <c r="I12541" t="s" s="11">
        <v>73</v>
      </c>
      <c r="J12541" t="s" s="11">
        <v>20</v>
      </c>
      <c r="K12541" t="s" s="16">
        <f>HYPERLINK("http://csr.bu.edu/ftp/asl/asllvd/demos/verify_start_end_handshape_annotations//test_auto_move//signs_mov/1889.mov","MOV")</f>
        <v>21</v>
      </c>
      <c r="L12541" t="s" s="16">
        <f>HYPERLINK("http://csr.bu.edu/ftp/asl/asllvd/demos/verify_start_end_handshape_annotations//test_auto_move//signs_mov_separ_signers/Liz_1889.mov","MOV")</f>
        <v>21</v>
      </c>
      <c r="M12541" t="s" s="10">
        <v>88</v>
      </c>
      <c r="N12541" s="17">
        <v>41</v>
      </c>
      <c r="O12541" s="18">
        <v>2775</v>
      </c>
      <c r="P12541" s="18">
        <v>2815</v>
      </c>
      <c r="Q12541" t="s" s="16">
        <f>HYPERLINK("http://secrets.rutgers.edu:8080/data/asl-ftp/asllvd/demos/verify_start_end_handshape_annotations//test_auto_move//signs_mov/1889.mov","MOV")</f>
        <v>21</v>
      </c>
      <c r="R12541" t="s" s="16">
        <f>HYPERLINK("http://secrets.rutgers.edu:8080/data/asl-ftp/asllvd/demos/verify_start_end_handshape_annotations//test_auto_move//signs_mov_separ_signers/Liz_1889.mov","MOV")</f>
        <v>21</v>
      </c>
    </row>
    <row r="12542" s="2" customFormat="1" ht="13.5" customHeight="1">
      <c r="B12542" s="13"/>
      <c r="C12542" t="s" s="9">
        <v>30</v>
      </c>
      <c r="D12542" t="s" s="8">
        <v>4703</v>
      </c>
      <c r="E12542" t="s" s="9">
        <v>4703</v>
      </c>
      <c r="F12542" t="s" s="10">
        <v>136</v>
      </c>
      <c r="G12542" t="s" s="11">
        <v>136</v>
      </c>
      <c r="H12542" t="s" s="10">
        <v>73</v>
      </c>
      <c r="I12542" t="s" s="11">
        <v>73</v>
      </c>
      <c r="J12542" t="s" s="11">
        <v>20</v>
      </c>
      <c r="K12542" s="15"/>
      <c r="L12542" t="s" s="16">
        <f>HYPERLINK("http://csr.bu.edu/ftp/asl/asllvd/demos/verify_start_end_handshape_annotations//test_auto_move//signs_mov_separ_signers/Brady_1889.mov","MOV")</f>
        <v>21</v>
      </c>
      <c r="M12542" t="s" s="10">
        <v>40</v>
      </c>
      <c r="N12542" s="17">
        <v>36</v>
      </c>
      <c r="O12542" s="18">
        <v>130</v>
      </c>
      <c r="P12542" s="18">
        <v>150</v>
      </c>
      <c r="Q12542" s="15"/>
      <c r="R12542" t="s" s="16">
        <f>HYPERLINK("http://secrets.rutgers.edu:8080/data/asl-ftp/asllvd/demos/verify_start_end_handshape_annotations//test_auto_move//signs_mov_separ_signers/Brady_1889.mov","MOV")</f>
        <v>21</v>
      </c>
    </row>
    <row r="12543" s="2" customFormat="1" ht="13.5" customHeight="1">
      <c r="B12543" t="s" s="8">
        <v>4704</v>
      </c>
      <c r="C12543" t="s" s="9">
        <v>14</v>
      </c>
      <c r="D12543" t="s" s="8">
        <v>14</v>
      </c>
      <c r="E12543" t="s" s="9">
        <v>14</v>
      </c>
      <c r="F12543" t="s" s="10">
        <v>14</v>
      </c>
      <c r="G12543" t="s" s="11">
        <v>14</v>
      </c>
      <c r="H12543" t="s" s="10">
        <v>14</v>
      </c>
      <c r="I12543" t="s" s="11">
        <v>14</v>
      </c>
      <c r="J12543" t="s" s="11">
        <v>14</v>
      </c>
      <c r="K12543" t="s" s="12">
        <v>14</v>
      </c>
      <c r="L12543" t="s" s="12">
        <v>14</v>
      </c>
      <c r="M12543" t="s" s="10">
        <v>14</v>
      </c>
      <c r="N12543" t="s" s="11">
        <v>14</v>
      </c>
      <c r="O12543" t="s" s="8">
        <v>14</v>
      </c>
      <c r="P12543" t="s" s="8">
        <v>14</v>
      </c>
      <c r="Q12543" t="s" s="12">
        <v>14</v>
      </c>
      <c r="R12543" t="s" s="12">
        <v>14</v>
      </c>
    </row>
    <row r="12544" s="2" customFormat="1" ht="13.5" customHeight="1">
      <c r="B12544" s="13"/>
      <c r="C12544" t="s" s="9">
        <v>16</v>
      </c>
      <c r="D12544" t="s" s="8">
        <v>4704</v>
      </c>
      <c r="E12544" t="s" s="9">
        <v>4704</v>
      </c>
      <c r="F12544" t="s" s="10">
        <v>136</v>
      </c>
      <c r="G12544" t="s" s="11">
        <v>136</v>
      </c>
      <c r="H12544" t="s" s="10">
        <v>63</v>
      </c>
      <c r="I12544" t="s" s="11">
        <v>63</v>
      </c>
      <c r="J12544" t="s" s="11">
        <v>20</v>
      </c>
      <c r="K12544" t="s" s="16">
        <f>HYPERLINK("http://csr.bu.edu/ftp/asl/asllvd/demos/verify_start_end_handshape_annotations//test_auto_move//signs_mov/1891.mov","MOV")</f>
        <v>21</v>
      </c>
      <c r="L12544" t="s" s="16">
        <f>HYPERLINK("http://csr.bu.edu/ftp/asl/asllvd/demos/verify_start_end_handshape_annotations//test_auto_move//signs_mov_separ_signers/Liz_1891.mov","MOV")</f>
        <v>21</v>
      </c>
      <c r="M12544" t="s" s="10">
        <v>88</v>
      </c>
      <c r="N12544" s="17">
        <v>42</v>
      </c>
      <c r="O12544" s="18">
        <v>602</v>
      </c>
      <c r="P12544" s="18">
        <v>662</v>
      </c>
      <c r="Q12544" t="s" s="16">
        <f>HYPERLINK("http://secrets.rutgers.edu:8080/data/asl-ftp/asllvd/demos/verify_start_end_handshape_annotations//test_auto_move//signs_mov/1891.mov","MOV")</f>
        <v>21</v>
      </c>
      <c r="R12544" t="s" s="16">
        <f>HYPERLINK("http://secrets.rutgers.edu:8080/data/asl-ftp/asllvd/demos/verify_start_end_handshape_annotations//test_auto_move//signs_mov_separ_signers/Liz_1891.mov","MOV")</f>
        <v>21</v>
      </c>
    </row>
    <row r="12545" s="2" customFormat="1" ht="13.5" customHeight="1">
      <c r="B12545" s="13"/>
      <c r="C12545" t="s" s="9">
        <v>30</v>
      </c>
      <c r="D12545" t="s" s="8">
        <v>4704</v>
      </c>
      <c r="E12545" t="s" s="9">
        <v>4704</v>
      </c>
      <c r="F12545" t="s" s="10">
        <v>136</v>
      </c>
      <c r="G12545" t="s" s="11">
        <v>136</v>
      </c>
      <c r="H12545" t="s" s="10">
        <v>63</v>
      </c>
      <c r="I12545" t="s" s="11">
        <v>63</v>
      </c>
      <c r="J12545" t="s" s="11">
        <v>20</v>
      </c>
      <c r="K12545" s="15"/>
      <c r="L12545" t="s" s="16">
        <f>HYPERLINK("http://csr.bu.edu/ftp/asl/asllvd/demos/verify_start_end_handshape_annotations//test_auto_move//signs_mov_separ_signers/Brady_1891.mov","MOV")</f>
        <v>21</v>
      </c>
      <c r="M12545" t="s" s="10">
        <v>40</v>
      </c>
      <c r="N12545" s="17">
        <v>36</v>
      </c>
      <c r="O12545" s="18">
        <v>671</v>
      </c>
      <c r="P12545" s="18">
        <v>690</v>
      </c>
      <c r="Q12545" s="15"/>
      <c r="R12545" t="s" s="16">
        <f>HYPERLINK("http://secrets.rutgers.edu:8080/data/asl-ftp/asllvd/demos/verify_start_end_handshape_annotations//test_auto_move//signs_mov_separ_signers/Brady_1891.mov","MOV")</f>
        <v>21</v>
      </c>
    </row>
    <row r="12546" s="2" customFormat="1" ht="27.75" customHeight="1">
      <c r="B12546" t="s" s="8">
        <v>4705</v>
      </c>
      <c r="C12546" t="s" s="9">
        <v>14</v>
      </c>
      <c r="D12546" t="s" s="8">
        <v>14</v>
      </c>
      <c r="E12546" t="s" s="9">
        <v>14</v>
      </c>
      <c r="F12546" t="s" s="10">
        <v>14</v>
      </c>
      <c r="G12546" t="s" s="11">
        <v>14</v>
      </c>
      <c r="H12546" t="s" s="10">
        <v>14</v>
      </c>
      <c r="I12546" t="s" s="11">
        <v>14</v>
      </c>
      <c r="J12546" t="s" s="11">
        <v>14</v>
      </c>
      <c r="K12546" t="s" s="12">
        <v>14</v>
      </c>
      <c r="L12546" t="s" s="12">
        <v>14</v>
      </c>
      <c r="M12546" t="s" s="10">
        <v>14</v>
      </c>
      <c r="N12546" t="s" s="11">
        <v>14</v>
      </c>
      <c r="O12546" t="s" s="8">
        <v>14</v>
      </c>
      <c r="P12546" t="s" s="8">
        <v>14</v>
      </c>
      <c r="Q12546" t="s" s="12">
        <v>14</v>
      </c>
      <c r="R12546" t="s" s="12">
        <v>14</v>
      </c>
    </row>
    <row r="12547" s="2" customFormat="1" ht="27.75" customHeight="1">
      <c r="B12547" s="13"/>
      <c r="C12547" t="s" s="9">
        <v>16</v>
      </c>
      <c r="D12547" t="s" s="8">
        <v>4705</v>
      </c>
      <c r="E12547" t="s" s="9">
        <v>4705</v>
      </c>
      <c r="F12547" t="s" s="10">
        <v>282</v>
      </c>
      <c r="G12547" t="s" s="11">
        <v>282</v>
      </c>
      <c r="H12547" t="s" s="10">
        <v>282</v>
      </c>
      <c r="I12547" t="s" s="11">
        <v>282</v>
      </c>
      <c r="J12547" t="s" s="11">
        <v>20</v>
      </c>
      <c r="K12547" t="s" s="16">
        <f>HYPERLINK("http://csr.bu.edu/ftp/asl/asllvd/demos/verify_start_end_handshape_annotations//test_auto_move//signs_mov/1909.mov","MOV")</f>
        <v>21</v>
      </c>
      <c r="L12547" t="s" s="16">
        <f>HYPERLINK("http://csr.bu.edu/ftp/asl/asllvd/demos/verify_start_end_handshape_annotations//test_auto_move//signs_mov_separ_signers/Liz_1909.mov","MOV")</f>
        <v>21</v>
      </c>
      <c r="M12547" t="s" s="10">
        <v>88</v>
      </c>
      <c r="N12547" s="17">
        <v>43</v>
      </c>
      <c r="O12547" s="18">
        <v>3587</v>
      </c>
      <c r="P12547" s="18">
        <v>3630</v>
      </c>
      <c r="Q12547" t="s" s="16">
        <f>HYPERLINK("http://secrets.rutgers.edu:8080/data/asl-ftp/asllvd/demos/verify_start_end_handshape_annotations//test_auto_move//signs_mov/1909.mov","MOV")</f>
        <v>21</v>
      </c>
      <c r="R12547" t="s" s="16">
        <f>HYPERLINK("http://secrets.rutgers.edu:8080/data/asl-ftp/asllvd/demos/verify_start_end_handshape_annotations//test_auto_move//signs_mov_separ_signers/Liz_1909.mov","MOV")</f>
        <v>21</v>
      </c>
    </row>
    <row r="12548" s="2" customFormat="1" ht="13.5" customHeight="1">
      <c r="B12548" t="s" s="8">
        <v>4706</v>
      </c>
      <c r="C12548" t="s" s="9">
        <v>14</v>
      </c>
      <c r="D12548" t="s" s="8">
        <v>14</v>
      </c>
      <c r="E12548" t="s" s="9">
        <v>14</v>
      </c>
      <c r="F12548" t="s" s="10">
        <v>14</v>
      </c>
      <c r="G12548" t="s" s="11">
        <v>14</v>
      </c>
      <c r="H12548" t="s" s="10">
        <v>14</v>
      </c>
      <c r="I12548" t="s" s="11">
        <v>14</v>
      </c>
      <c r="J12548" t="s" s="11">
        <v>14</v>
      </c>
      <c r="K12548" t="s" s="12">
        <v>14</v>
      </c>
      <c r="L12548" t="s" s="12">
        <v>14</v>
      </c>
      <c r="M12548" t="s" s="10">
        <v>14</v>
      </c>
      <c r="N12548" t="s" s="11">
        <v>14</v>
      </c>
      <c r="O12548" t="s" s="8">
        <v>14</v>
      </c>
      <c r="P12548" t="s" s="8">
        <v>14</v>
      </c>
      <c r="Q12548" t="s" s="12">
        <v>14</v>
      </c>
      <c r="R12548" t="s" s="12">
        <v>14</v>
      </c>
    </row>
    <row r="12549" s="2" customFormat="1" ht="13.5" customHeight="1">
      <c r="B12549" s="13"/>
      <c r="C12549" t="s" s="9">
        <v>16</v>
      </c>
      <c r="D12549" t="s" s="8">
        <v>4706</v>
      </c>
      <c r="E12549" t="s" s="9">
        <v>4706</v>
      </c>
      <c r="F12549" t="s" s="10">
        <v>220</v>
      </c>
      <c r="G12549" s="14"/>
      <c r="H12549" t="s" s="10">
        <v>158</v>
      </c>
      <c r="I12549" s="14"/>
      <c r="J12549" t="s" s="11">
        <v>20</v>
      </c>
      <c r="K12549" t="s" s="16">
        <f>HYPERLINK("http://csr.bu.edu/ftp/asl/asllvd/demos/verify_start_end_handshape_annotations//test_auto_move//signs_mov/1921.mov","MOV")</f>
        <v>21</v>
      </c>
      <c r="L12549" t="s" s="16">
        <f>HYPERLINK("http://csr.bu.edu/ftp/asl/asllvd/demos/verify_start_end_handshape_annotations//test_auto_move//signs_mov_separ_signers/Liz_1921.mov","MOV")</f>
        <v>21</v>
      </c>
      <c r="M12549" t="s" s="10">
        <v>88</v>
      </c>
      <c r="N12549" s="17">
        <v>45</v>
      </c>
      <c r="O12549" s="18">
        <v>915</v>
      </c>
      <c r="P12549" s="18">
        <v>931</v>
      </c>
      <c r="Q12549" t="s" s="16">
        <f>HYPERLINK("http://secrets.rutgers.edu:8080/data/asl-ftp/asllvd/demos/verify_start_end_handshape_annotations//test_auto_move//signs_mov/1921.mov","MOV")</f>
        <v>21</v>
      </c>
      <c r="R12549" t="s" s="16">
        <f>HYPERLINK("http://secrets.rutgers.edu:8080/data/asl-ftp/asllvd/demos/verify_start_end_handshape_annotations//test_auto_move//signs_mov_separ_signers/Liz_1921.mov","MOV")</f>
        <v>21</v>
      </c>
    </row>
    <row r="12550" s="2" customFormat="1" ht="13.5" customHeight="1">
      <c r="B12550" s="13"/>
      <c r="C12550" t="s" s="9">
        <v>30</v>
      </c>
      <c r="D12550" t="s" s="8">
        <v>4706</v>
      </c>
      <c r="E12550" t="s" s="9">
        <v>4706</v>
      </c>
      <c r="F12550" t="s" s="10">
        <v>220</v>
      </c>
      <c r="G12550" s="14"/>
      <c r="H12550" t="s" s="10">
        <v>158</v>
      </c>
      <c r="I12550" s="14"/>
      <c r="J12550" t="s" s="11">
        <v>20</v>
      </c>
      <c r="K12550" s="15"/>
      <c r="L12550" t="s" s="16">
        <f>HYPERLINK("http://csr.bu.edu/ftp/asl/asllvd/demos/verify_start_end_handshape_annotations//test_auto_move//signs_mov_separ_signers/Brady_1921.mov","MOV")</f>
        <v>21</v>
      </c>
      <c r="M12550" t="s" s="10">
        <v>40</v>
      </c>
      <c r="N12550" s="17">
        <v>39</v>
      </c>
      <c r="O12550" s="18">
        <v>479</v>
      </c>
      <c r="P12550" s="18">
        <v>497</v>
      </c>
      <c r="Q12550" s="15"/>
      <c r="R12550" t="s" s="16">
        <f>HYPERLINK("http://secrets.rutgers.edu:8080/data/asl-ftp/asllvd/demos/verify_start_end_handshape_annotations//test_auto_move//signs_mov_separ_signers/Brady_1921.mov","MOV")</f>
        <v>21</v>
      </c>
    </row>
    <row r="12551" s="2" customFormat="1" ht="13.5" customHeight="1">
      <c r="B12551" t="s" s="8">
        <v>4707</v>
      </c>
      <c r="C12551" t="s" s="9">
        <v>14</v>
      </c>
      <c r="D12551" t="s" s="8">
        <v>14</v>
      </c>
      <c r="E12551" t="s" s="9">
        <v>14</v>
      </c>
      <c r="F12551" t="s" s="10">
        <v>14</v>
      </c>
      <c r="G12551" t="s" s="11">
        <v>14</v>
      </c>
      <c r="H12551" t="s" s="10">
        <v>14</v>
      </c>
      <c r="I12551" t="s" s="11">
        <v>14</v>
      </c>
      <c r="J12551" t="s" s="11">
        <v>14</v>
      </c>
      <c r="K12551" t="s" s="12">
        <v>14</v>
      </c>
      <c r="L12551" t="s" s="12">
        <v>14</v>
      </c>
      <c r="M12551" t="s" s="10">
        <v>14</v>
      </c>
      <c r="N12551" t="s" s="11">
        <v>14</v>
      </c>
      <c r="O12551" t="s" s="8">
        <v>14</v>
      </c>
      <c r="P12551" t="s" s="8">
        <v>14</v>
      </c>
      <c r="Q12551" t="s" s="12">
        <v>14</v>
      </c>
      <c r="R12551" t="s" s="12">
        <v>14</v>
      </c>
    </row>
    <row r="12552" s="2" customFormat="1" ht="13.5" customHeight="1">
      <c r="B12552" s="13"/>
      <c r="C12552" t="s" s="9">
        <v>16</v>
      </c>
      <c r="D12552" t="s" s="8">
        <v>4708</v>
      </c>
      <c r="E12552" t="s" s="9">
        <v>4708</v>
      </c>
      <c r="F12552" t="s" s="10">
        <v>282</v>
      </c>
      <c r="G12552" t="s" s="11">
        <v>73</v>
      </c>
      <c r="H12552" t="s" s="10">
        <v>73</v>
      </c>
      <c r="I12552" t="s" s="11">
        <v>73</v>
      </c>
      <c r="J12552" t="s" s="11">
        <v>20</v>
      </c>
      <c r="K12552" t="s" s="16">
        <f>HYPERLINK("http://csr.bu.edu/ftp/asl/asllvd/demos/verify_start_end_handshape_annotations//test_auto_move//signs_mov/1935.mov","MOV")</f>
        <v>21</v>
      </c>
      <c r="L12552" t="s" s="16">
        <f>HYPERLINK("http://csr.bu.edu/ftp/asl/asllvd/demos/verify_start_end_handshape_annotations//test_auto_move//signs_mov_separ_signers/Liz_1935.mov","MOV")</f>
        <v>21</v>
      </c>
      <c r="M12552" t="s" s="10">
        <v>88</v>
      </c>
      <c r="N12552" s="17">
        <v>46</v>
      </c>
      <c r="O12552" s="18">
        <v>1185</v>
      </c>
      <c r="P12552" s="18">
        <v>1241</v>
      </c>
      <c r="Q12552" t="s" s="16">
        <f>HYPERLINK("http://secrets.rutgers.edu:8080/data/asl-ftp/asllvd/demos/verify_start_end_handshape_annotations//test_auto_move//signs_mov/1935.mov","MOV")</f>
        <v>21</v>
      </c>
      <c r="R12552" t="s" s="16">
        <f>HYPERLINK("http://secrets.rutgers.edu:8080/data/asl-ftp/asllvd/demos/verify_start_end_handshape_annotations//test_auto_move//signs_mov_separ_signers/Liz_1935.mov","MOV")</f>
        <v>21</v>
      </c>
    </row>
    <row r="12553" s="2" customFormat="1" ht="13.5" customHeight="1">
      <c r="B12553" s="13"/>
      <c r="C12553" t="s" s="9">
        <v>30</v>
      </c>
      <c r="D12553" t="s" s="8">
        <v>4708</v>
      </c>
      <c r="E12553" t="s" s="9">
        <v>4708</v>
      </c>
      <c r="F12553" t="s" s="10">
        <v>282</v>
      </c>
      <c r="G12553" s="14"/>
      <c r="H12553" t="s" s="10">
        <v>73</v>
      </c>
      <c r="I12553" t="s" s="11">
        <v>73</v>
      </c>
      <c r="J12553" t="s" s="11">
        <v>20</v>
      </c>
      <c r="K12553" s="15"/>
      <c r="L12553" t="s" s="16">
        <f>HYPERLINK("http://csr.bu.edu/ftp/asl/asllvd/demos/verify_start_end_handshape_annotations//test_auto_move//signs_mov_separ_signers/Brady_1935.mov","MOV")</f>
        <v>21</v>
      </c>
      <c r="M12553" t="s" s="10">
        <v>40</v>
      </c>
      <c r="N12553" s="17">
        <v>40</v>
      </c>
      <c r="O12553" s="18">
        <v>1869</v>
      </c>
      <c r="P12553" s="18">
        <v>1908</v>
      </c>
      <c r="Q12553" s="15"/>
      <c r="R12553" t="s" s="16">
        <f>HYPERLINK("http://secrets.rutgers.edu:8080/data/asl-ftp/asllvd/demos/verify_start_end_handshape_annotations//test_auto_move//signs_mov_separ_signers/Brady_1935.mov","MOV")</f>
        <v>21</v>
      </c>
    </row>
    <row r="12554" s="2" customFormat="1" ht="13.5" customHeight="1">
      <c r="B12554" t="s" s="8">
        <v>4709</v>
      </c>
      <c r="C12554" t="s" s="9">
        <v>14</v>
      </c>
      <c r="D12554" t="s" s="8">
        <v>14</v>
      </c>
      <c r="E12554" t="s" s="9">
        <v>14</v>
      </c>
      <c r="F12554" t="s" s="10">
        <v>14</v>
      </c>
      <c r="G12554" t="s" s="11">
        <v>14</v>
      </c>
      <c r="H12554" t="s" s="10">
        <v>14</v>
      </c>
      <c r="I12554" t="s" s="11">
        <v>14</v>
      </c>
      <c r="J12554" t="s" s="11">
        <v>14</v>
      </c>
      <c r="K12554" t="s" s="12">
        <v>14</v>
      </c>
      <c r="L12554" t="s" s="12">
        <v>14</v>
      </c>
      <c r="M12554" t="s" s="10">
        <v>14</v>
      </c>
      <c r="N12554" t="s" s="11">
        <v>14</v>
      </c>
      <c r="O12554" t="s" s="8">
        <v>14</v>
      </c>
      <c r="P12554" t="s" s="8">
        <v>14</v>
      </c>
      <c r="Q12554" t="s" s="12">
        <v>14</v>
      </c>
      <c r="R12554" t="s" s="12">
        <v>14</v>
      </c>
    </row>
    <row r="12555" s="2" customFormat="1" ht="13.5" customHeight="1">
      <c r="B12555" s="13"/>
      <c r="C12555" t="s" s="9">
        <v>16</v>
      </c>
      <c r="D12555" t="s" s="8">
        <v>4709</v>
      </c>
      <c r="E12555" t="s" s="9">
        <v>4709</v>
      </c>
      <c r="F12555" t="s" s="10">
        <v>80</v>
      </c>
      <c r="G12555" t="s" s="11">
        <v>73</v>
      </c>
      <c r="H12555" t="s" s="10">
        <v>73</v>
      </c>
      <c r="I12555" t="s" s="11">
        <v>73</v>
      </c>
      <c r="J12555" t="s" s="11">
        <v>20</v>
      </c>
      <c r="K12555" t="s" s="16">
        <f>HYPERLINK("http://csr.bu.edu/ftp/asl/asllvd/demos/verify_start_end_handshape_annotations//test_auto_move//signs_mov/1943.mov","MOV")</f>
        <v>21</v>
      </c>
      <c r="L12555" t="s" s="16">
        <f>HYPERLINK("http://csr.bu.edu/ftp/asl/asllvd/demos/verify_start_end_handshape_annotations//test_auto_move//signs_mov_separ_signers/Liz_1943.mov","MOV")</f>
        <v>21</v>
      </c>
      <c r="M12555" t="s" s="10">
        <v>88</v>
      </c>
      <c r="N12555" s="17">
        <v>47</v>
      </c>
      <c r="O12555" s="18">
        <v>1275</v>
      </c>
      <c r="P12555" s="18">
        <v>1331</v>
      </c>
      <c r="Q12555" t="s" s="16">
        <f>HYPERLINK("http://secrets.rutgers.edu:8080/data/asl-ftp/asllvd/demos/verify_start_end_handshape_annotations//test_auto_move//signs_mov/1943.mov","MOV")</f>
        <v>21</v>
      </c>
      <c r="R12555" t="s" s="16">
        <f>HYPERLINK("http://secrets.rutgers.edu:8080/data/asl-ftp/asllvd/demos/verify_start_end_handshape_annotations//test_auto_move//signs_mov_separ_signers/Liz_1943.mov","MOV")</f>
        <v>21</v>
      </c>
    </row>
    <row r="12556" s="2" customFormat="1" ht="13.5" customHeight="1">
      <c r="B12556" s="13"/>
      <c r="C12556" t="s" s="9">
        <v>30</v>
      </c>
      <c r="D12556" t="s" s="8">
        <v>4709</v>
      </c>
      <c r="E12556" t="s" s="9">
        <v>4709</v>
      </c>
      <c r="F12556" t="s" s="10">
        <v>80</v>
      </c>
      <c r="G12556" t="s" s="11">
        <v>73</v>
      </c>
      <c r="H12556" t="s" s="10">
        <v>73</v>
      </c>
      <c r="I12556" t="s" s="11">
        <v>73</v>
      </c>
      <c r="J12556" t="s" s="11">
        <v>20</v>
      </c>
      <c r="K12556" s="15"/>
      <c r="L12556" t="s" s="16">
        <f>HYPERLINK("http://csr.bu.edu/ftp/asl/asllvd/demos/verify_start_end_handshape_annotations//test_auto_move//signs_mov_separ_signers/Brady_1943.mov","MOV")</f>
        <v>21</v>
      </c>
      <c r="M12556" t="s" s="10">
        <v>40</v>
      </c>
      <c r="N12556" s="17">
        <v>41</v>
      </c>
      <c r="O12556" s="18">
        <v>2258</v>
      </c>
      <c r="P12556" s="18">
        <v>2295</v>
      </c>
      <c r="Q12556" s="15"/>
      <c r="R12556" t="s" s="16">
        <f>HYPERLINK("http://secrets.rutgers.edu:8080/data/asl-ftp/asllvd/demos/verify_start_end_handshape_annotations//test_auto_move//signs_mov_separ_signers/Brady_1943.mov","MOV")</f>
        <v>21</v>
      </c>
    </row>
    <row r="12557" s="2" customFormat="1" ht="13.5" customHeight="1">
      <c r="B12557" t="s" s="8">
        <v>52</v>
      </c>
      <c r="C12557" t="s" s="9">
        <v>53</v>
      </c>
      <c r="D12557" t="s" s="8">
        <v>53</v>
      </c>
      <c r="E12557" t="s" s="9">
        <v>53</v>
      </c>
      <c r="F12557" t="s" s="10">
        <v>53</v>
      </c>
      <c r="G12557" t="s" s="11">
        <v>53</v>
      </c>
      <c r="H12557" t="s" s="10">
        <v>53</v>
      </c>
      <c r="I12557" t="s" s="11">
        <v>53</v>
      </c>
      <c r="J12557" t="s" s="11">
        <v>53</v>
      </c>
      <c r="K12557" t="s" s="12">
        <v>53</v>
      </c>
      <c r="L12557" t="s" s="12">
        <v>53</v>
      </c>
      <c r="M12557" t="s" s="10">
        <v>53</v>
      </c>
      <c r="N12557" t="s" s="11">
        <v>53</v>
      </c>
      <c r="O12557" t="s" s="8">
        <v>53</v>
      </c>
      <c r="P12557" t="s" s="8">
        <v>53</v>
      </c>
      <c r="Q12557" t="s" s="12">
        <v>53</v>
      </c>
      <c r="R12557" t="s" s="12">
        <v>53</v>
      </c>
    </row>
    <row r="12558" s="2" customFormat="1" ht="13.5" customHeight="1">
      <c r="B12558" s="13"/>
      <c r="C12558" t="s" s="9">
        <v>16</v>
      </c>
      <c r="D12558" t="s" s="8">
        <v>4709</v>
      </c>
      <c r="E12558" t="s" s="9">
        <v>4710</v>
      </c>
      <c r="F12558" t="s" s="10">
        <v>220</v>
      </c>
      <c r="G12558" t="s" s="11">
        <v>73</v>
      </c>
      <c r="H12558" t="s" s="10">
        <v>73</v>
      </c>
      <c r="I12558" t="s" s="11">
        <v>73</v>
      </c>
      <c r="J12558" t="s" s="11">
        <v>20</v>
      </c>
      <c r="K12558" t="s" s="16">
        <f>HYPERLINK("http://csr.bu.edu/ftp/asl/asllvd/demos/verify_start_end_handshape_annotations//test_auto_move//signs_mov/5365.mov","MOV")</f>
        <v>21</v>
      </c>
      <c r="L12558" t="s" s="16">
        <f>HYPERLINK("http://csr.bu.edu/ftp/asl/asllvd/demos/verify_start_end_handshape_annotations//test_auto_move//signs_mov_separ_signers/Liz_5365.mov","MOV")</f>
        <v>21</v>
      </c>
      <c r="M12558" t="s" s="10">
        <v>88</v>
      </c>
      <c r="N12558" s="17">
        <v>47</v>
      </c>
      <c r="O12558" s="18">
        <v>1510</v>
      </c>
      <c r="P12558" s="18">
        <v>1570</v>
      </c>
      <c r="Q12558" t="s" s="16">
        <f>HYPERLINK("http://secrets.rutgers.edu:8080/data/asl-ftp/asllvd/demos/verify_start_end_handshape_annotations//test_auto_move//signs_mov/5365.mov","MOV")</f>
        <v>21</v>
      </c>
      <c r="R12558" t="s" s="16">
        <f>HYPERLINK("http://secrets.rutgers.edu:8080/data/asl-ftp/asllvd/demos/verify_start_end_handshape_annotations//test_auto_move//signs_mov_separ_signers/Liz_5365.mov","MOV")</f>
        <v>21</v>
      </c>
    </row>
    <row r="12559" s="2" customFormat="1" ht="13.5" customHeight="1">
      <c r="B12559" t="s" s="8">
        <v>4711</v>
      </c>
      <c r="C12559" t="s" s="9">
        <v>14</v>
      </c>
      <c r="D12559" t="s" s="8">
        <v>14</v>
      </c>
      <c r="E12559" t="s" s="9">
        <v>14</v>
      </c>
      <c r="F12559" t="s" s="10">
        <v>14</v>
      </c>
      <c r="G12559" t="s" s="11">
        <v>14</v>
      </c>
      <c r="H12559" t="s" s="10">
        <v>14</v>
      </c>
      <c r="I12559" t="s" s="11">
        <v>14</v>
      </c>
      <c r="J12559" t="s" s="11">
        <v>14</v>
      </c>
      <c r="K12559" t="s" s="12">
        <v>14</v>
      </c>
      <c r="L12559" t="s" s="12">
        <v>14</v>
      </c>
      <c r="M12559" t="s" s="10">
        <v>14</v>
      </c>
      <c r="N12559" t="s" s="11">
        <v>14</v>
      </c>
      <c r="O12559" t="s" s="8">
        <v>14</v>
      </c>
      <c r="P12559" t="s" s="8">
        <v>14</v>
      </c>
      <c r="Q12559" t="s" s="12">
        <v>14</v>
      </c>
      <c r="R12559" t="s" s="12">
        <v>14</v>
      </c>
    </row>
    <row r="12560" s="2" customFormat="1" ht="13.5" customHeight="1">
      <c r="B12560" s="13"/>
      <c r="C12560" t="s" s="9">
        <v>16</v>
      </c>
      <c r="D12560" t="s" s="8">
        <v>4711</v>
      </c>
      <c r="E12560" t="s" s="9">
        <v>4711</v>
      </c>
      <c r="F12560" t="s" s="10">
        <v>25</v>
      </c>
      <c r="G12560" t="s" s="11">
        <v>73</v>
      </c>
      <c r="H12560" t="s" s="10">
        <v>73</v>
      </c>
      <c r="I12560" t="s" s="11">
        <v>73</v>
      </c>
      <c r="J12560" t="s" s="11">
        <v>20</v>
      </c>
      <c r="K12560" t="s" s="16">
        <f>HYPERLINK("http://csr.bu.edu/ftp/asl/asllvd/demos/verify_start_end_handshape_annotations//test_auto_move//signs_mov/1957.mov","MOV")</f>
        <v>21</v>
      </c>
      <c r="L12560" t="s" s="16">
        <f>HYPERLINK("http://csr.bu.edu/ftp/asl/asllvd/demos/verify_start_end_handshape_annotations//test_auto_move//signs_mov_separ_signers/Liz_1957.mov","MOV")</f>
        <v>21</v>
      </c>
      <c r="M12560" t="s" s="10">
        <v>88</v>
      </c>
      <c r="N12560" s="17">
        <v>48</v>
      </c>
      <c r="O12560" s="18">
        <v>2866</v>
      </c>
      <c r="P12560" s="18">
        <v>2915</v>
      </c>
      <c r="Q12560" t="s" s="16">
        <f>HYPERLINK("http://secrets.rutgers.edu:8080/data/asl-ftp/asllvd/demos/verify_start_end_handshape_annotations//test_auto_move//signs_mov/1957.mov","MOV")</f>
        <v>21</v>
      </c>
      <c r="R12560" t="s" s="16">
        <f>HYPERLINK("http://secrets.rutgers.edu:8080/data/asl-ftp/asllvd/demos/verify_start_end_handshape_annotations//test_auto_move//signs_mov_separ_signers/Liz_1957.mov","MOV")</f>
        <v>21</v>
      </c>
    </row>
    <row r="12561" s="2" customFormat="1" ht="13.5" customHeight="1">
      <c r="B12561" s="13"/>
      <c r="C12561" t="s" s="9">
        <v>30</v>
      </c>
      <c r="D12561" t="s" s="8">
        <v>4711</v>
      </c>
      <c r="E12561" t="s" s="9">
        <v>4711</v>
      </c>
      <c r="F12561" t="s" s="10">
        <v>25</v>
      </c>
      <c r="G12561" t="s" s="11">
        <v>73</v>
      </c>
      <c r="H12561" t="s" s="10">
        <v>73</v>
      </c>
      <c r="I12561" t="s" s="11">
        <v>73</v>
      </c>
      <c r="J12561" t="s" s="11">
        <v>20</v>
      </c>
      <c r="K12561" s="15"/>
      <c r="L12561" t="s" s="16">
        <f>HYPERLINK("http://csr.bu.edu/ftp/asl/asllvd/demos/verify_start_end_handshape_annotations//test_auto_move//signs_mov_separ_signers/Brady_1957.mov","MOV")</f>
        <v>21</v>
      </c>
      <c r="M12561" t="s" s="10">
        <v>40</v>
      </c>
      <c r="N12561" s="17">
        <v>42</v>
      </c>
      <c r="O12561" s="18">
        <v>2501</v>
      </c>
      <c r="P12561" s="18">
        <v>2532</v>
      </c>
      <c r="Q12561" s="15"/>
      <c r="R12561" t="s" s="16">
        <f>HYPERLINK("http://secrets.rutgers.edu:8080/data/asl-ftp/asllvd/demos/verify_start_end_handshape_annotations//test_auto_move//signs_mov_separ_signers/Brady_1957.mov","MOV")</f>
        <v>21</v>
      </c>
    </row>
    <row r="12562" s="2" customFormat="1" ht="13.5" customHeight="1">
      <c r="B12562" t="s" s="8">
        <v>4712</v>
      </c>
      <c r="C12562" t="s" s="9">
        <v>14</v>
      </c>
      <c r="D12562" t="s" s="8">
        <v>14</v>
      </c>
      <c r="E12562" t="s" s="9">
        <v>14</v>
      </c>
      <c r="F12562" t="s" s="10">
        <v>14</v>
      </c>
      <c r="G12562" t="s" s="11">
        <v>14</v>
      </c>
      <c r="H12562" t="s" s="10">
        <v>14</v>
      </c>
      <c r="I12562" t="s" s="11">
        <v>14</v>
      </c>
      <c r="J12562" t="s" s="11">
        <v>14</v>
      </c>
      <c r="K12562" t="s" s="12">
        <v>14</v>
      </c>
      <c r="L12562" t="s" s="12">
        <v>14</v>
      </c>
      <c r="M12562" t="s" s="10">
        <v>14</v>
      </c>
      <c r="N12562" t="s" s="11">
        <v>14</v>
      </c>
      <c r="O12562" t="s" s="8">
        <v>14</v>
      </c>
      <c r="P12562" t="s" s="8">
        <v>14</v>
      </c>
      <c r="Q12562" t="s" s="12">
        <v>14</v>
      </c>
      <c r="R12562" t="s" s="12">
        <v>14</v>
      </c>
    </row>
    <row r="12563" s="2" customFormat="1" ht="13.5" customHeight="1">
      <c r="B12563" s="13"/>
      <c r="C12563" t="s" s="9">
        <v>16</v>
      </c>
      <c r="D12563" t="s" s="8">
        <v>4713</v>
      </c>
      <c r="E12563" t="s" s="9">
        <v>4713</v>
      </c>
      <c r="F12563" s="19">
        <v>4</v>
      </c>
      <c r="G12563" s="17">
        <v>4</v>
      </c>
      <c r="H12563" t="s" s="10">
        <v>73</v>
      </c>
      <c r="I12563" t="s" s="11">
        <v>73</v>
      </c>
      <c r="J12563" t="s" s="11">
        <v>20</v>
      </c>
      <c r="K12563" t="s" s="16">
        <f>HYPERLINK("http://csr.bu.edu/ftp/asl/asllvd/demos/verify_start_end_handshape_annotations//test_auto_move//signs_mov/1961.mov","MOV")</f>
        <v>21</v>
      </c>
      <c r="L12563" t="s" s="16">
        <f>HYPERLINK("http://csr.bu.edu/ftp/asl/asllvd/demos/verify_start_end_handshape_annotations//test_auto_move//signs_mov_separ_signers/Liz_1961.mov","MOV")</f>
        <v>21</v>
      </c>
      <c r="M12563" t="s" s="10">
        <v>88</v>
      </c>
      <c r="N12563" s="17">
        <v>49</v>
      </c>
      <c r="O12563" s="18">
        <v>610</v>
      </c>
      <c r="P12563" s="18">
        <v>672</v>
      </c>
      <c r="Q12563" t="s" s="16">
        <f>HYPERLINK("http://secrets.rutgers.edu:8080/data/asl-ftp/asllvd/demos/verify_start_end_handshape_annotations//test_auto_move//signs_mov/1961.mov","MOV")</f>
        <v>21</v>
      </c>
      <c r="R12563" t="s" s="16">
        <f>HYPERLINK("http://secrets.rutgers.edu:8080/data/asl-ftp/asllvd/demos/verify_start_end_handshape_annotations//test_auto_move//signs_mov_separ_signers/Liz_1961.mov","MOV")</f>
        <v>21</v>
      </c>
    </row>
    <row r="12564" s="2" customFormat="1" ht="13.5" customHeight="1">
      <c r="B12564" s="13"/>
      <c r="C12564" t="s" s="9">
        <v>30</v>
      </c>
      <c r="D12564" t="s" s="8">
        <v>4713</v>
      </c>
      <c r="E12564" t="s" s="9">
        <v>4713</v>
      </c>
      <c r="F12564" s="19">
        <v>4</v>
      </c>
      <c r="G12564" s="17">
        <v>4</v>
      </c>
      <c r="H12564" t="s" s="10">
        <v>73</v>
      </c>
      <c r="I12564" t="s" s="11">
        <v>73</v>
      </c>
      <c r="J12564" t="s" s="11">
        <v>20</v>
      </c>
      <c r="K12564" s="15"/>
      <c r="L12564" t="s" s="16">
        <f>HYPERLINK("http://csr.bu.edu/ftp/asl/asllvd/demos/verify_start_end_handshape_annotations//test_auto_move//signs_mov_separ_signers/Brady_1961.mov","MOV")</f>
        <v>21</v>
      </c>
      <c r="M12564" t="s" s="10">
        <v>40</v>
      </c>
      <c r="N12564" s="17">
        <v>43</v>
      </c>
      <c r="O12564" s="18">
        <v>626</v>
      </c>
      <c r="P12564" s="18">
        <v>669</v>
      </c>
      <c r="Q12564" s="15"/>
      <c r="R12564" t="s" s="16">
        <f>HYPERLINK("http://secrets.rutgers.edu:8080/data/asl-ftp/asllvd/demos/verify_start_end_handshape_annotations//test_auto_move//signs_mov_separ_signers/Brady_1961.mov","MOV")</f>
        <v>21</v>
      </c>
    </row>
    <row r="12565" s="2" customFormat="1" ht="13.5" customHeight="1">
      <c r="B12565" t="s" s="8">
        <v>4714</v>
      </c>
      <c r="C12565" t="s" s="9">
        <v>14</v>
      </c>
      <c r="D12565" t="s" s="8">
        <v>14</v>
      </c>
      <c r="E12565" t="s" s="9">
        <v>14</v>
      </c>
      <c r="F12565" t="s" s="10">
        <v>14</v>
      </c>
      <c r="G12565" t="s" s="11">
        <v>14</v>
      </c>
      <c r="H12565" t="s" s="10">
        <v>14</v>
      </c>
      <c r="I12565" t="s" s="11">
        <v>14</v>
      </c>
      <c r="J12565" t="s" s="11">
        <v>14</v>
      </c>
      <c r="K12565" t="s" s="12">
        <v>14</v>
      </c>
      <c r="L12565" t="s" s="12">
        <v>14</v>
      </c>
      <c r="M12565" t="s" s="10">
        <v>14</v>
      </c>
      <c r="N12565" t="s" s="11">
        <v>14</v>
      </c>
      <c r="O12565" t="s" s="8">
        <v>14</v>
      </c>
      <c r="P12565" t="s" s="8">
        <v>14</v>
      </c>
      <c r="Q12565" t="s" s="12">
        <v>14</v>
      </c>
      <c r="R12565" t="s" s="12">
        <v>14</v>
      </c>
    </row>
    <row r="12566" s="2" customFormat="1" ht="13.5" customHeight="1">
      <c r="B12566" s="13"/>
      <c r="C12566" t="s" s="9">
        <v>16</v>
      </c>
      <c r="D12566" t="s" s="8">
        <v>4714</v>
      </c>
      <c r="E12566" t="s" s="9">
        <v>4714</v>
      </c>
      <c r="F12566" t="s" s="10">
        <v>229</v>
      </c>
      <c r="G12566" t="s" s="11">
        <v>109</v>
      </c>
      <c r="H12566" t="s" s="10">
        <v>73</v>
      </c>
      <c r="I12566" t="s" s="11">
        <v>73</v>
      </c>
      <c r="J12566" t="s" s="11">
        <v>20</v>
      </c>
      <c r="K12566" t="s" s="16">
        <f>HYPERLINK("http://csr.bu.edu/ftp/asl/asllvd/demos/verify_start_end_handshape_annotations//test_auto_move//signs_mov/1975.mov","MOV")</f>
        <v>21</v>
      </c>
      <c r="L12566" t="s" s="16">
        <f>HYPERLINK("http://csr.bu.edu/ftp/asl/asllvd/demos/verify_start_end_handshape_annotations//test_auto_move//signs_mov_separ_signers/Liz_1975.mov","MOV")</f>
        <v>21</v>
      </c>
      <c r="M12566" t="s" s="10">
        <v>88</v>
      </c>
      <c r="N12566" s="17">
        <v>50</v>
      </c>
      <c r="O12566" s="18">
        <v>1342</v>
      </c>
      <c r="P12566" s="18">
        <v>1392</v>
      </c>
      <c r="Q12566" t="s" s="16">
        <f>HYPERLINK("http://secrets.rutgers.edu:8080/data/asl-ftp/asllvd/demos/verify_start_end_handshape_annotations//test_auto_move//signs_mov/1975.mov","MOV")</f>
        <v>21</v>
      </c>
      <c r="R12566" t="s" s="16">
        <f>HYPERLINK("http://secrets.rutgers.edu:8080/data/asl-ftp/asllvd/demos/verify_start_end_handshape_annotations//test_auto_move//signs_mov_separ_signers/Liz_1975.mov","MOV")</f>
        <v>21</v>
      </c>
    </row>
    <row r="12567" s="2" customFormat="1" ht="13.5" customHeight="1">
      <c r="B12567" s="13"/>
      <c r="C12567" t="s" s="9">
        <v>30</v>
      </c>
      <c r="D12567" t="s" s="8">
        <v>4714</v>
      </c>
      <c r="E12567" t="s" s="9">
        <v>4714</v>
      </c>
      <c r="F12567" t="s" s="10">
        <v>229</v>
      </c>
      <c r="G12567" t="s" s="11">
        <v>80</v>
      </c>
      <c r="H12567" t="s" s="10">
        <v>73</v>
      </c>
      <c r="I12567" t="s" s="11">
        <v>73</v>
      </c>
      <c r="J12567" t="s" s="11">
        <v>20</v>
      </c>
      <c r="K12567" s="15"/>
      <c r="L12567" t="s" s="16">
        <f>HYPERLINK("http://csr.bu.edu/ftp/asl/asllvd/demos/verify_start_end_handshape_annotations//test_auto_move//signs_mov_separ_signers/Brady_1975.mov","MOV")</f>
        <v>21</v>
      </c>
      <c r="M12567" t="s" s="10">
        <v>40</v>
      </c>
      <c r="N12567" s="17">
        <v>45</v>
      </c>
      <c r="O12567" s="18">
        <v>406</v>
      </c>
      <c r="P12567" s="18">
        <v>439</v>
      </c>
      <c r="Q12567" s="15"/>
      <c r="R12567" t="s" s="16">
        <f>HYPERLINK("http://secrets.rutgers.edu:8080/data/asl-ftp/asllvd/demos/verify_start_end_handshape_annotations//test_auto_move//signs_mov_separ_signers/Brady_1975.mov","MOV")</f>
        <v>21</v>
      </c>
    </row>
    <row r="12568" s="2" customFormat="1" ht="13.5" customHeight="1">
      <c r="B12568" t="s" s="8">
        <v>4715</v>
      </c>
      <c r="C12568" t="s" s="9">
        <v>14</v>
      </c>
      <c r="D12568" t="s" s="8">
        <v>14</v>
      </c>
      <c r="E12568" t="s" s="9">
        <v>14</v>
      </c>
      <c r="F12568" t="s" s="10">
        <v>14</v>
      </c>
      <c r="G12568" t="s" s="11">
        <v>14</v>
      </c>
      <c r="H12568" t="s" s="10">
        <v>14</v>
      </c>
      <c r="I12568" t="s" s="11">
        <v>14</v>
      </c>
      <c r="J12568" t="s" s="11">
        <v>14</v>
      </c>
      <c r="K12568" t="s" s="12">
        <v>14</v>
      </c>
      <c r="L12568" t="s" s="12">
        <v>14</v>
      </c>
      <c r="M12568" t="s" s="10">
        <v>14</v>
      </c>
      <c r="N12568" t="s" s="11">
        <v>14</v>
      </c>
      <c r="O12568" t="s" s="8">
        <v>14</v>
      </c>
      <c r="P12568" t="s" s="8">
        <v>14</v>
      </c>
      <c r="Q12568" t="s" s="12">
        <v>14</v>
      </c>
      <c r="R12568" t="s" s="12">
        <v>14</v>
      </c>
    </row>
    <row r="12569" s="2" customFormat="1" ht="13.5" customHeight="1">
      <c r="B12569" s="13"/>
      <c r="C12569" t="s" s="9">
        <v>16</v>
      </c>
      <c r="D12569" t="s" s="8">
        <v>4716</v>
      </c>
      <c r="E12569" t="s" s="9">
        <v>4716</v>
      </c>
      <c r="F12569" t="s" s="10">
        <v>220</v>
      </c>
      <c r="G12569" t="s" s="11">
        <v>150</v>
      </c>
      <c r="H12569" t="s" s="10">
        <v>73</v>
      </c>
      <c r="I12569" t="s" s="11">
        <v>73</v>
      </c>
      <c r="J12569" t="s" s="11">
        <v>20</v>
      </c>
      <c r="K12569" t="s" s="16">
        <f>HYPERLINK("http://csr.bu.edu/ftp/asl/asllvd/demos/verify_start_end_handshape_annotations//test_auto_move//signs_mov/1981.mov","MOV")</f>
        <v>21</v>
      </c>
      <c r="L12569" t="s" s="16">
        <f>HYPERLINK("http://csr.bu.edu/ftp/asl/asllvd/demos/verify_start_end_handshape_annotations//test_auto_move//signs_mov_separ_signers/Liz_1981.mov","MOV")</f>
        <v>21</v>
      </c>
      <c r="M12569" t="s" s="10">
        <v>88</v>
      </c>
      <c r="N12569" s="17">
        <v>51</v>
      </c>
      <c r="O12569" s="18">
        <v>478</v>
      </c>
      <c r="P12569" s="18">
        <v>524</v>
      </c>
      <c r="Q12569" t="s" s="16">
        <f>HYPERLINK("http://secrets.rutgers.edu:8080/data/asl-ftp/asllvd/demos/verify_start_end_handshape_annotations//test_auto_move//signs_mov/1981.mov","MOV")</f>
        <v>21</v>
      </c>
      <c r="R12569" t="s" s="16">
        <f>HYPERLINK("http://secrets.rutgers.edu:8080/data/asl-ftp/asllvd/demos/verify_start_end_handshape_annotations//test_auto_move//signs_mov_separ_signers/Liz_1981.mov","MOV")</f>
        <v>21</v>
      </c>
    </row>
    <row r="12570" s="2" customFormat="1" ht="13.5" customHeight="1">
      <c r="B12570" s="13"/>
      <c r="C12570" t="s" s="9">
        <v>30</v>
      </c>
      <c r="D12570" t="s" s="8">
        <v>4716</v>
      </c>
      <c r="E12570" t="s" s="9">
        <v>4716</v>
      </c>
      <c r="F12570" t="s" s="10">
        <v>220</v>
      </c>
      <c r="G12570" t="s" s="11">
        <v>63</v>
      </c>
      <c r="H12570" t="s" s="10">
        <v>73</v>
      </c>
      <c r="I12570" t="s" s="11">
        <v>73</v>
      </c>
      <c r="J12570" t="s" s="11">
        <v>20</v>
      </c>
      <c r="K12570" s="15"/>
      <c r="L12570" t="s" s="16">
        <f>HYPERLINK("http://csr.bu.edu/ftp/asl/asllvd/demos/verify_start_end_handshape_annotations//test_auto_move//signs_mov_separ_signers/Brady_1981.mov","MOV")</f>
        <v>21</v>
      </c>
      <c r="M12570" t="s" s="10">
        <v>40</v>
      </c>
      <c r="N12570" s="17">
        <v>45</v>
      </c>
      <c r="O12570" s="18">
        <v>1909</v>
      </c>
      <c r="P12570" s="18">
        <v>1946</v>
      </c>
      <c r="Q12570" s="15"/>
      <c r="R12570" t="s" s="16">
        <f>HYPERLINK("http://secrets.rutgers.edu:8080/data/asl-ftp/asllvd/demos/verify_start_end_handshape_annotations//test_auto_move//signs_mov_separ_signers/Brady_1981.mov","MOV")</f>
        <v>21</v>
      </c>
    </row>
    <row r="12571" s="2" customFormat="1" ht="13.5" customHeight="1">
      <c r="B12571" t="s" s="8">
        <v>4717</v>
      </c>
      <c r="C12571" t="s" s="9">
        <v>14</v>
      </c>
      <c r="D12571" t="s" s="8">
        <v>14</v>
      </c>
      <c r="E12571" t="s" s="9">
        <v>14</v>
      </c>
      <c r="F12571" t="s" s="10">
        <v>14</v>
      </c>
      <c r="G12571" t="s" s="11">
        <v>14</v>
      </c>
      <c r="H12571" t="s" s="10">
        <v>14</v>
      </c>
      <c r="I12571" t="s" s="11">
        <v>14</v>
      </c>
      <c r="J12571" t="s" s="11">
        <v>14</v>
      </c>
      <c r="K12571" t="s" s="12">
        <v>14</v>
      </c>
      <c r="L12571" t="s" s="12">
        <v>14</v>
      </c>
      <c r="M12571" t="s" s="10">
        <v>14</v>
      </c>
      <c r="N12571" t="s" s="11">
        <v>14</v>
      </c>
      <c r="O12571" t="s" s="8">
        <v>14</v>
      </c>
      <c r="P12571" t="s" s="8">
        <v>14</v>
      </c>
      <c r="Q12571" t="s" s="12">
        <v>14</v>
      </c>
      <c r="R12571" t="s" s="12">
        <v>14</v>
      </c>
    </row>
    <row r="12572" s="2" customFormat="1" ht="13.5" customHeight="1">
      <c r="B12572" s="13"/>
      <c r="C12572" t="s" s="9">
        <v>16</v>
      </c>
      <c r="D12572" t="s" s="8">
        <v>4718</v>
      </c>
      <c r="E12572" t="s" s="9">
        <v>4718</v>
      </c>
      <c r="F12572" t="s" s="10">
        <v>73</v>
      </c>
      <c r="G12572" t="s" s="11">
        <v>73</v>
      </c>
      <c r="H12572" t="s" s="10">
        <v>73</v>
      </c>
      <c r="I12572" t="s" s="11">
        <v>73</v>
      </c>
      <c r="J12572" t="s" s="11">
        <v>20</v>
      </c>
      <c r="K12572" t="s" s="16">
        <f>HYPERLINK("http://csr.bu.edu/ftp/asl/asllvd/demos/verify_start_end_handshape_annotations//test_auto_move//signs_mov/1983.mov","MOV")</f>
        <v>21</v>
      </c>
      <c r="L12572" t="s" s="16">
        <f>HYPERLINK("http://csr.bu.edu/ftp/asl/asllvd/demos/verify_start_end_handshape_annotations//test_auto_move//signs_mov_separ_signers/Liz_1983.mov","MOV")</f>
        <v>21</v>
      </c>
      <c r="M12572" t="s" s="10">
        <v>88</v>
      </c>
      <c r="N12572" s="17">
        <v>51</v>
      </c>
      <c r="O12572" s="18">
        <v>881</v>
      </c>
      <c r="P12572" s="18">
        <v>940</v>
      </c>
      <c r="Q12572" t="s" s="16">
        <f>HYPERLINK("http://secrets.rutgers.edu:8080/data/asl-ftp/asllvd/demos/verify_start_end_handshape_annotations//test_auto_move//signs_mov/1983.mov","MOV")</f>
        <v>21</v>
      </c>
      <c r="R12572" t="s" s="16">
        <f>HYPERLINK("http://secrets.rutgers.edu:8080/data/asl-ftp/asllvd/demos/verify_start_end_handshape_annotations//test_auto_move//signs_mov_separ_signers/Liz_1983.mov","MOV")</f>
        <v>21</v>
      </c>
    </row>
    <row r="12573" s="2" customFormat="1" ht="13.5" customHeight="1">
      <c r="B12573" s="13"/>
      <c r="C12573" t="s" s="9">
        <v>30</v>
      </c>
      <c r="D12573" t="s" s="8">
        <v>4718</v>
      </c>
      <c r="E12573" t="s" s="9">
        <v>4718</v>
      </c>
      <c r="F12573" t="s" s="10">
        <v>73</v>
      </c>
      <c r="G12573" t="s" s="11">
        <v>73</v>
      </c>
      <c r="H12573" t="s" s="10">
        <v>73</v>
      </c>
      <c r="I12573" t="s" s="11">
        <v>73</v>
      </c>
      <c r="J12573" t="s" s="11">
        <v>20</v>
      </c>
      <c r="K12573" s="15"/>
      <c r="L12573" t="s" s="16">
        <f>HYPERLINK("http://csr.bu.edu/ftp/asl/asllvd/demos/verify_start_end_handshape_annotations//test_auto_move//signs_mov_separ_signers/Brady_1983.mov","MOV")</f>
        <v>21</v>
      </c>
      <c r="M12573" t="s" s="10">
        <v>40</v>
      </c>
      <c r="N12573" s="17">
        <v>45</v>
      </c>
      <c r="O12573" s="18">
        <v>2481</v>
      </c>
      <c r="P12573" s="18">
        <v>2521</v>
      </c>
      <c r="Q12573" s="15"/>
      <c r="R12573" t="s" s="16">
        <f>HYPERLINK("http://secrets.rutgers.edu:8080/data/asl-ftp/asllvd/demos/verify_start_end_handshape_annotations//test_auto_move//signs_mov_separ_signers/Brady_1983.mov","MOV")</f>
        <v>21</v>
      </c>
    </row>
    <row r="12574" s="2" customFormat="1" ht="13.5" customHeight="1">
      <c r="B12574" t="s" s="8">
        <v>4719</v>
      </c>
      <c r="C12574" t="s" s="9">
        <v>14</v>
      </c>
      <c r="D12574" t="s" s="8">
        <v>14</v>
      </c>
      <c r="E12574" t="s" s="9">
        <v>14</v>
      </c>
      <c r="F12574" t="s" s="10">
        <v>14</v>
      </c>
      <c r="G12574" t="s" s="11">
        <v>14</v>
      </c>
      <c r="H12574" t="s" s="10">
        <v>14</v>
      </c>
      <c r="I12574" t="s" s="11">
        <v>14</v>
      </c>
      <c r="J12574" t="s" s="11">
        <v>14</v>
      </c>
      <c r="K12574" t="s" s="12">
        <v>14</v>
      </c>
      <c r="L12574" t="s" s="12">
        <v>14</v>
      </c>
      <c r="M12574" t="s" s="10">
        <v>14</v>
      </c>
      <c r="N12574" t="s" s="11">
        <v>14</v>
      </c>
      <c r="O12574" t="s" s="8">
        <v>14</v>
      </c>
      <c r="P12574" t="s" s="8">
        <v>14</v>
      </c>
      <c r="Q12574" t="s" s="12">
        <v>14</v>
      </c>
      <c r="R12574" t="s" s="12">
        <v>14</v>
      </c>
    </row>
    <row r="12575" s="2" customFormat="1" ht="13.5" customHeight="1">
      <c r="B12575" s="13"/>
      <c r="C12575" t="s" s="9">
        <v>16</v>
      </c>
      <c r="D12575" t="s" s="8">
        <v>4719</v>
      </c>
      <c r="E12575" t="s" s="9">
        <v>4719</v>
      </c>
      <c r="F12575" t="s" s="10">
        <v>51</v>
      </c>
      <c r="G12575" s="14"/>
      <c r="H12575" s="19">
        <v>25</v>
      </c>
      <c r="I12575" s="14"/>
      <c r="J12575" t="s" s="11">
        <v>20</v>
      </c>
      <c r="K12575" t="s" s="16">
        <f>HYPERLINK("http://csr.bu.edu/ftp/asl/asllvd/demos/verify_start_end_handshape_annotations//test_auto_move//signs_mov/2011.mov","MOV")</f>
        <v>21</v>
      </c>
      <c r="L12575" t="s" s="16">
        <f>HYPERLINK("http://csr.bu.edu/ftp/asl/asllvd/demos/verify_start_end_handshape_annotations//test_auto_move//signs_mov_separ_signers/Liz_2011.mov","MOV")</f>
        <v>21</v>
      </c>
      <c r="M12575" t="s" s="10">
        <v>36</v>
      </c>
      <c r="N12575" s="17">
        <v>4</v>
      </c>
      <c r="O12575" s="18">
        <v>503</v>
      </c>
      <c r="P12575" s="18">
        <v>542</v>
      </c>
      <c r="Q12575" t="s" s="16">
        <f>HYPERLINK("http://secrets.rutgers.edu:8080/data/asl-ftp/asllvd/demos/verify_start_end_handshape_annotations//test_auto_move//signs_mov/2011.mov","MOV")</f>
        <v>21</v>
      </c>
      <c r="R12575" t="s" s="16">
        <f>HYPERLINK("http://secrets.rutgers.edu:8080/data/asl-ftp/asllvd/demos/verify_start_end_handshape_annotations//test_auto_move//signs_mov_separ_signers/Liz_2011.mov","MOV")</f>
        <v>21</v>
      </c>
    </row>
    <row r="12576" s="2" customFormat="1" ht="13.5" customHeight="1">
      <c r="B12576" s="13"/>
      <c r="C12576" t="s" s="9">
        <v>30</v>
      </c>
      <c r="D12576" t="s" s="8">
        <v>4719</v>
      </c>
      <c r="E12576" t="s" s="9">
        <v>4719</v>
      </c>
      <c r="F12576" s="19">
        <v>1</v>
      </c>
      <c r="G12576" s="14"/>
      <c r="H12576" s="19">
        <v>25</v>
      </c>
      <c r="I12576" s="14"/>
      <c r="J12576" t="s" s="11">
        <v>20</v>
      </c>
      <c r="K12576" s="15"/>
      <c r="L12576" t="s" s="16">
        <f>HYPERLINK("http://csr.bu.edu/ftp/asl/asllvd/demos/verify_start_end_handshape_annotations//test_auto_move//signs_mov_separ_signers/Brady_2011.mov","MOV")</f>
        <v>21</v>
      </c>
      <c r="M12576" t="s" s="10">
        <v>40</v>
      </c>
      <c r="N12576" s="17">
        <v>48</v>
      </c>
      <c r="O12576" s="18">
        <v>2152</v>
      </c>
      <c r="P12576" s="18">
        <v>2176</v>
      </c>
      <c r="Q12576" s="15"/>
      <c r="R12576" t="s" s="16">
        <f>HYPERLINK("http://secrets.rutgers.edu:8080/data/asl-ftp/asllvd/demos/verify_start_end_handshape_annotations//test_auto_move//signs_mov_separ_signers/Brady_2011.mov","MOV")</f>
        <v>21</v>
      </c>
    </row>
    <row r="12577" s="2" customFormat="1" ht="13.5" customHeight="1">
      <c r="B12577" t="s" s="8">
        <v>4720</v>
      </c>
      <c r="C12577" t="s" s="9">
        <v>14</v>
      </c>
      <c r="D12577" t="s" s="8">
        <v>14</v>
      </c>
      <c r="E12577" t="s" s="9">
        <v>14</v>
      </c>
      <c r="F12577" t="s" s="10">
        <v>14</v>
      </c>
      <c r="G12577" t="s" s="11">
        <v>14</v>
      </c>
      <c r="H12577" t="s" s="10">
        <v>14</v>
      </c>
      <c r="I12577" t="s" s="11">
        <v>14</v>
      </c>
      <c r="J12577" t="s" s="11">
        <v>14</v>
      </c>
      <c r="K12577" t="s" s="12">
        <v>14</v>
      </c>
      <c r="L12577" t="s" s="12">
        <v>14</v>
      </c>
      <c r="M12577" t="s" s="10">
        <v>14</v>
      </c>
      <c r="N12577" t="s" s="11">
        <v>14</v>
      </c>
      <c r="O12577" t="s" s="8">
        <v>14</v>
      </c>
      <c r="P12577" t="s" s="8">
        <v>14</v>
      </c>
      <c r="Q12577" t="s" s="12">
        <v>14</v>
      </c>
      <c r="R12577" t="s" s="12">
        <v>14</v>
      </c>
    </row>
    <row r="12578" s="2" customFormat="1" ht="13.5" customHeight="1">
      <c r="B12578" s="13"/>
      <c r="C12578" t="s" s="9">
        <v>16</v>
      </c>
      <c r="D12578" t="s" s="8">
        <v>4721</v>
      </c>
      <c r="E12578" t="s" s="9">
        <v>4721</v>
      </c>
      <c r="F12578" t="s" s="10">
        <v>68</v>
      </c>
      <c r="G12578" t="s" s="11">
        <v>73</v>
      </c>
      <c r="H12578" t="s" s="10">
        <v>73</v>
      </c>
      <c r="I12578" t="s" s="11">
        <v>73</v>
      </c>
      <c r="J12578" t="s" s="11">
        <v>20</v>
      </c>
      <c r="K12578" t="s" s="16">
        <f>HYPERLINK("http://csr.bu.edu/ftp/asl/asllvd/demos/verify_start_end_handshape_annotations//test_auto_move//signs_mov/2032.mov","MOV")</f>
        <v>21</v>
      </c>
      <c r="L12578" t="s" s="16">
        <f>HYPERLINK("http://csr.bu.edu/ftp/asl/asllvd/demos/verify_start_end_handshape_annotations//test_auto_move//signs_mov_separ_signers/Liz_2032.mov","MOV")</f>
        <v>21</v>
      </c>
      <c r="M12578" t="s" s="10">
        <v>36</v>
      </c>
      <c r="N12578" s="17">
        <v>6</v>
      </c>
      <c r="O12578" s="18">
        <v>1744</v>
      </c>
      <c r="P12578" s="18">
        <v>1823</v>
      </c>
      <c r="Q12578" t="s" s="16">
        <f>HYPERLINK("http://secrets.rutgers.edu:8080/data/asl-ftp/asllvd/demos/verify_start_end_handshape_annotations//test_auto_move//signs_mov/2032.mov","MOV")</f>
        <v>21</v>
      </c>
      <c r="R12578" t="s" s="16">
        <f>HYPERLINK("http://secrets.rutgers.edu:8080/data/asl-ftp/asllvd/demos/verify_start_end_handshape_annotations//test_auto_move//signs_mov_separ_signers/Liz_2032.mov","MOV")</f>
        <v>21</v>
      </c>
    </row>
    <row r="12579" s="2" customFormat="1" ht="13.5" customHeight="1">
      <c r="B12579" t="s" s="8">
        <v>4722</v>
      </c>
      <c r="C12579" t="s" s="9">
        <v>14</v>
      </c>
      <c r="D12579" t="s" s="8">
        <v>14</v>
      </c>
      <c r="E12579" t="s" s="9">
        <v>14</v>
      </c>
      <c r="F12579" t="s" s="10">
        <v>14</v>
      </c>
      <c r="G12579" t="s" s="11">
        <v>14</v>
      </c>
      <c r="H12579" t="s" s="10">
        <v>14</v>
      </c>
      <c r="I12579" t="s" s="11">
        <v>14</v>
      </c>
      <c r="J12579" t="s" s="11">
        <v>14</v>
      </c>
      <c r="K12579" t="s" s="12">
        <v>14</v>
      </c>
      <c r="L12579" t="s" s="12">
        <v>14</v>
      </c>
      <c r="M12579" t="s" s="10">
        <v>14</v>
      </c>
      <c r="N12579" t="s" s="11">
        <v>14</v>
      </c>
      <c r="O12579" t="s" s="8">
        <v>14</v>
      </c>
      <c r="P12579" t="s" s="8">
        <v>14</v>
      </c>
      <c r="Q12579" t="s" s="12">
        <v>14</v>
      </c>
      <c r="R12579" t="s" s="12">
        <v>14</v>
      </c>
    </row>
    <row r="12580" s="2" customFormat="1" ht="13.5" customHeight="1">
      <c r="B12580" s="13"/>
      <c r="C12580" t="s" s="9">
        <v>16</v>
      </c>
      <c r="D12580" t="s" s="8">
        <v>4723</v>
      </c>
      <c r="E12580" t="s" s="9">
        <v>4723</v>
      </c>
      <c r="F12580" t="s" s="10">
        <v>119</v>
      </c>
      <c r="G12580" t="s" s="11">
        <v>119</v>
      </c>
      <c r="H12580" s="19">
        <v>5</v>
      </c>
      <c r="I12580" t="s" s="11">
        <v>105</v>
      </c>
      <c r="J12580" t="s" s="11">
        <v>20</v>
      </c>
      <c r="K12580" s="15"/>
      <c r="L12580" t="s" s="16">
        <f>HYPERLINK("http://csr.bu.edu/ftp/asl/asllvd/demos/verify_start_end_handshape_annotations//test_auto_move//signs_mov_separ_signers/Liz_2033.mov","MOV")</f>
        <v>21</v>
      </c>
      <c r="M12580" t="s" s="10">
        <v>34</v>
      </c>
      <c r="N12580" s="17">
        <v>43</v>
      </c>
      <c r="O12580" s="18">
        <v>2157</v>
      </c>
      <c r="P12580" s="18">
        <v>2207</v>
      </c>
      <c r="Q12580" s="15"/>
      <c r="R12580" t="s" s="16">
        <f>HYPERLINK("http://secrets.rutgers.edu:8080/data/asl-ftp/asllvd/demos/verify_start_end_handshape_annotations//test_auto_move//signs_mov_separ_signers/Liz_2033.mov","MOV")</f>
        <v>21</v>
      </c>
    </row>
    <row r="12581" s="2" customFormat="1" ht="13.5" customHeight="1">
      <c r="B12581" s="13"/>
      <c r="C12581" t="s" s="9">
        <v>16</v>
      </c>
      <c r="D12581" t="s" s="8">
        <v>4723</v>
      </c>
      <c r="E12581" t="s" s="9">
        <v>4722</v>
      </c>
      <c r="F12581" t="s" s="10">
        <v>119</v>
      </c>
      <c r="G12581" t="s" s="11">
        <v>119</v>
      </c>
      <c r="H12581" s="19">
        <v>5</v>
      </c>
      <c r="I12581" s="17">
        <v>5</v>
      </c>
      <c r="J12581" t="s" s="11">
        <v>20</v>
      </c>
      <c r="K12581" s="15"/>
      <c r="L12581" t="s" s="16">
        <f>HYPERLINK("http://csr.bu.edu/ftp/asl/asllvd/demos/verify_start_end_handshape_annotations//test_auto_move//signs_mov_separ_signers/Liz_3833.mov","MOV")</f>
        <v>21</v>
      </c>
      <c r="M12581" t="s" s="10">
        <v>36</v>
      </c>
      <c r="N12581" s="17">
        <v>6</v>
      </c>
      <c r="O12581" s="18">
        <v>2359</v>
      </c>
      <c r="P12581" s="18">
        <v>2432</v>
      </c>
      <c r="Q12581" s="15"/>
      <c r="R12581" t="s" s="16">
        <f>HYPERLINK("http://secrets.rutgers.edu:8080/data/asl-ftp/asllvd/demos/verify_start_end_handshape_annotations//test_auto_move//signs_mov_separ_signers/Liz_3833.mov","MOV")</f>
        <v>21</v>
      </c>
    </row>
    <row r="12582" s="2" customFormat="1" ht="13.5" customHeight="1">
      <c r="B12582" s="13"/>
      <c r="C12582" t="s" s="9">
        <v>27</v>
      </c>
      <c r="D12582" t="s" s="8">
        <v>4723</v>
      </c>
      <c r="E12582" t="s" s="9">
        <v>4722</v>
      </c>
      <c r="F12582" t="s" s="10">
        <v>119</v>
      </c>
      <c r="G12582" t="s" s="11">
        <v>119</v>
      </c>
      <c r="H12582" s="19">
        <v>5</v>
      </c>
      <c r="I12582" s="17">
        <v>5</v>
      </c>
      <c r="J12582" t="s" s="11">
        <v>20</v>
      </c>
      <c r="K12582" t="s" s="16">
        <f>HYPERLINK("http://csr.bu.edu/ftp/asl/asllvd/demos/verify_start_end_handshape_annotations//test_auto_move//signs_mov/2033_3833_merged.mov","MOV")</f>
        <v>21</v>
      </c>
      <c r="L12582" t="s" s="16">
        <f>HYPERLINK("http://csr.bu.edu/ftp/asl/asllvd/demos/verify_start_end_handshape_annotations//test_auto_move//signs_mov_separ_signers/Naomi_2033.mov","MOV")</f>
        <v>21</v>
      </c>
      <c r="M12582" t="s" s="10">
        <v>38</v>
      </c>
      <c r="N12582" s="17">
        <v>36</v>
      </c>
      <c r="O12582" s="18">
        <v>1461</v>
      </c>
      <c r="P12582" s="18">
        <v>1512</v>
      </c>
      <c r="Q12582" t="s" s="16">
        <f>HYPERLINK("http://secrets.rutgers.edu:8080/data/asl-ftp/asllvd/demos/verify_start_end_handshape_annotations//test_auto_move//signs_mov/2033_3833_merged.mov","MOV")</f>
        <v>21</v>
      </c>
      <c r="R12582" t="s" s="16">
        <f>HYPERLINK("http://secrets.rutgers.edu:8080/data/asl-ftp/asllvd/demos/verify_start_end_handshape_annotations//test_auto_move//signs_mov_separ_signers/Naomi_2033.mov","MOV")</f>
        <v>21</v>
      </c>
    </row>
    <row r="12583" s="2" customFormat="1" ht="13.5" customHeight="1">
      <c r="B12583" s="13"/>
      <c r="C12583" t="s" s="9">
        <v>30</v>
      </c>
      <c r="D12583" t="s" s="8">
        <v>4723</v>
      </c>
      <c r="E12583" t="s" s="9">
        <v>4722</v>
      </c>
      <c r="F12583" t="s" s="10">
        <v>119</v>
      </c>
      <c r="G12583" t="s" s="11">
        <v>119</v>
      </c>
      <c r="H12583" s="19">
        <v>5</v>
      </c>
      <c r="I12583" s="17">
        <v>5</v>
      </c>
      <c r="J12583" t="s" s="11">
        <v>20</v>
      </c>
      <c r="K12583" s="15"/>
      <c r="L12583" t="s" s="16">
        <f>HYPERLINK("http://csr.bu.edu/ftp/asl/asllvd/demos/verify_start_end_handshape_annotations//test_auto_move//signs_mov_separ_signers/Brady_2033.mov","MOV")</f>
        <v>21</v>
      </c>
      <c r="M12583" t="s" s="10">
        <v>39</v>
      </c>
      <c r="N12583" s="17">
        <v>46</v>
      </c>
      <c r="O12583" s="18">
        <v>3249</v>
      </c>
      <c r="P12583" s="18">
        <v>3289</v>
      </c>
      <c r="Q12583" s="15"/>
      <c r="R12583" t="s" s="16">
        <f>HYPERLINK("http://secrets.rutgers.edu:8080/data/asl-ftp/asllvd/demos/verify_start_end_handshape_annotations//test_auto_move//signs_mov_separ_signers/Brady_2033.mov","MOV")</f>
        <v>21</v>
      </c>
    </row>
    <row r="12584" s="2" customFormat="1" ht="13.5" customHeight="1">
      <c r="B12584" s="13"/>
      <c r="C12584" t="s" s="9">
        <v>30</v>
      </c>
      <c r="D12584" t="s" s="8">
        <v>4723</v>
      </c>
      <c r="E12584" t="s" s="9">
        <v>4722</v>
      </c>
      <c r="F12584" t="s" s="10">
        <v>119</v>
      </c>
      <c r="G12584" t="s" s="11">
        <v>119</v>
      </c>
      <c r="H12584" s="19">
        <v>5</v>
      </c>
      <c r="I12584" s="17">
        <v>5</v>
      </c>
      <c r="J12584" t="s" s="11">
        <v>20</v>
      </c>
      <c r="K12584" s="15"/>
      <c r="L12584" t="s" s="16">
        <f>HYPERLINK("http://csr.bu.edu/ftp/asl/asllvd/demos/verify_start_end_handshape_annotations//test_auto_move//signs_mov_separ_signers/Brady_3833.mov","MOV")</f>
        <v>21</v>
      </c>
      <c r="M12584" t="s" s="10">
        <v>40</v>
      </c>
      <c r="N12584" s="17">
        <v>51</v>
      </c>
      <c r="O12584" s="18">
        <v>695</v>
      </c>
      <c r="P12584" s="18">
        <v>739</v>
      </c>
      <c r="Q12584" s="15"/>
      <c r="R12584" t="s" s="16">
        <f>HYPERLINK("http://secrets.rutgers.edu:8080/data/asl-ftp/asllvd/demos/verify_start_end_handshape_annotations//test_auto_move//signs_mov_separ_signers/Brady_3833.mov","MOV")</f>
        <v>21</v>
      </c>
    </row>
    <row r="12585" s="2" customFormat="1" ht="13.5" customHeight="1">
      <c r="B12585" t="s" s="8">
        <v>4724</v>
      </c>
      <c r="C12585" t="s" s="9">
        <v>14</v>
      </c>
      <c r="D12585" t="s" s="8">
        <v>14</v>
      </c>
      <c r="E12585" t="s" s="9">
        <v>14</v>
      </c>
      <c r="F12585" t="s" s="10">
        <v>14</v>
      </c>
      <c r="G12585" t="s" s="11">
        <v>14</v>
      </c>
      <c r="H12585" t="s" s="10">
        <v>14</v>
      </c>
      <c r="I12585" t="s" s="11">
        <v>14</v>
      </c>
      <c r="J12585" t="s" s="11">
        <v>14</v>
      </c>
      <c r="K12585" t="s" s="12">
        <v>14</v>
      </c>
      <c r="L12585" t="s" s="12">
        <v>14</v>
      </c>
      <c r="M12585" t="s" s="10">
        <v>14</v>
      </c>
      <c r="N12585" t="s" s="11">
        <v>14</v>
      </c>
      <c r="O12585" t="s" s="8">
        <v>14</v>
      </c>
      <c r="P12585" t="s" s="8">
        <v>14</v>
      </c>
      <c r="Q12585" t="s" s="12">
        <v>14</v>
      </c>
      <c r="R12585" t="s" s="12">
        <v>14</v>
      </c>
    </row>
    <row r="12586" s="2" customFormat="1" ht="13.5" customHeight="1">
      <c r="B12586" s="13"/>
      <c r="C12586" t="s" s="9">
        <v>16</v>
      </c>
      <c r="D12586" t="s" s="8">
        <v>4724</v>
      </c>
      <c r="E12586" t="s" s="9">
        <v>4725</v>
      </c>
      <c r="F12586" t="s" s="10">
        <v>230</v>
      </c>
      <c r="G12586" t="s" s="11">
        <v>105</v>
      </c>
      <c r="H12586" s="19">
        <v>1</v>
      </c>
      <c r="I12586" t="s" s="11">
        <v>105</v>
      </c>
      <c r="J12586" t="s" s="11">
        <v>20</v>
      </c>
      <c r="K12586" t="s" s="16">
        <f>HYPERLINK("http://csr.bu.edu/ftp/asl/asllvd/demos/verify_start_end_handshape_annotations//test_auto_move//signs_mov/2036.mov","MOV")</f>
        <v>21</v>
      </c>
      <c r="L12586" t="s" s="16">
        <f>HYPERLINK("http://csr.bu.edu/ftp/asl/asllvd/demos/verify_start_end_handshape_annotations//test_auto_move//signs_mov_separ_signers/Liz_2036.mov","MOV")</f>
        <v>21</v>
      </c>
      <c r="M12586" t="s" s="10">
        <v>36</v>
      </c>
      <c r="N12586" s="17">
        <v>6</v>
      </c>
      <c r="O12586" s="18">
        <v>3415</v>
      </c>
      <c r="P12586" s="18">
        <v>3476</v>
      </c>
      <c r="Q12586" t="s" s="16">
        <f>HYPERLINK("http://secrets.rutgers.edu:8080/data/asl-ftp/asllvd/demos/verify_start_end_handshape_annotations//test_auto_move//signs_mov/2036.mov","MOV")</f>
        <v>21</v>
      </c>
      <c r="R12586" t="s" s="16">
        <f>HYPERLINK("http://secrets.rutgers.edu:8080/data/asl-ftp/asllvd/demos/verify_start_end_handshape_annotations//test_auto_move//signs_mov_separ_signers/Liz_2036.mov","MOV")</f>
        <v>21</v>
      </c>
    </row>
    <row r="12587" s="2" customFormat="1" ht="13.5" customHeight="1">
      <c r="B12587" t="s" s="8">
        <v>4726</v>
      </c>
      <c r="C12587" t="s" s="9">
        <v>14</v>
      </c>
      <c r="D12587" t="s" s="8">
        <v>14</v>
      </c>
      <c r="E12587" t="s" s="9">
        <v>14</v>
      </c>
      <c r="F12587" t="s" s="10">
        <v>14</v>
      </c>
      <c r="G12587" t="s" s="11">
        <v>14</v>
      </c>
      <c r="H12587" t="s" s="10">
        <v>14</v>
      </c>
      <c r="I12587" t="s" s="11">
        <v>14</v>
      </c>
      <c r="J12587" t="s" s="11">
        <v>14</v>
      </c>
      <c r="K12587" t="s" s="12">
        <v>14</v>
      </c>
      <c r="L12587" t="s" s="12">
        <v>14</v>
      </c>
      <c r="M12587" t="s" s="10">
        <v>14</v>
      </c>
      <c r="N12587" t="s" s="11">
        <v>14</v>
      </c>
      <c r="O12587" t="s" s="8">
        <v>14</v>
      </c>
      <c r="P12587" t="s" s="8">
        <v>14</v>
      </c>
      <c r="Q12587" t="s" s="12">
        <v>14</v>
      </c>
      <c r="R12587" t="s" s="12">
        <v>14</v>
      </c>
    </row>
    <row r="12588" s="2" customFormat="1" ht="13.5" customHeight="1">
      <c r="B12588" s="13"/>
      <c r="C12588" t="s" s="9">
        <v>16</v>
      </c>
      <c r="D12588" t="s" s="8">
        <v>4726</v>
      </c>
      <c r="E12588" t="s" s="9">
        <v>4726</v>
      </c>
      <c r="F12588" s="19">
        <v>1</v>
      </c>
      <c r="G12588" s="14"/>
      <c r="H12588" t="s" s="10">
        <v>136</v>
      </c>
      <c r="I12588" s="14"/>
      <c r="J12588" t="s" s="11">
        <v>20</v>
      </c>
      <c r="K12588" t="s" s="16">
        <f>HYPERLINK("http://csr.bu.edu/ftp/asl/asllvd/demos/verify_start_end_handshape_annotations//test_auto_move//signs_mov/2049.mov","MOV")</f>
        <v>21</v>
      </c>
      <c r="L12588" t="s" s="16">
        <f>HYPERLINK("http://csr.bu.edu/ftp/asl/asllvd/demos/verify_start_end_handshape_annotations//test_auto_move//signs_mov_separ_signers/Liz_2049.mov","MOV")</f>
        <v>21</v>
      </c>
      <c r="M12588" t="s" s="10">
        <v>36</v>
      </c>
      <c r="N12588" s="17">
        <v>7</v>
      </c>
      <c r="O12588" s="18">
        <v>2435</v>
      </c>
      <c r="P12588" s="18">
        <v>2495</v>
      </c>
      <c r="Q12588" t="s" s="16">
        <f>HYPERLINK("http://secrets.rutgers.edu:8080/data/asl-ftp/asllvd/demos/verify_start_end_handshape_annotations//test_auto_move//signs_mov/2049.mov","MOV")</f>
        <v>21</v>
      </c>
      <c r="R12588" t="s" s="16">
        <f>HYPERLINK("http://secrets.rutgers.edu:8080/data/asl-ftp/asllvd/demos/verify_start_end_handshape_annotations//test_auto_move//signs_mov_separ_signers/Liz_2049.mov","MOV")</f>
        <v>21</v>
      </c>
    </row>
    <row r="12589" s="2" customFormat="1" ht="13.5" customHeight="1">
      <c r="B12589" s="13"/>
      <c r="C12589" t="s" s="9">
        <v>30</v>
      </c>
      <c r="D12589" t="s" s="8">
        <v>4726</v>
      </c>
      <c r="E12589" t="s" s="9">
        <v>4726</v>
      </c>
      <c r="F12589" s="19">
        <v>1</v>
      </c>
      <c r="G12589" s="14"/>
      <c r="H12589" t="s" s="10">
        <v>136</v>
      </c>
      <c r="I12589" s="14"/>
      <c r="J12589" t="s" s="11">
        <v>20</v>
      </c>
      <c r="K12589" s="15"/>
      <c r="L12589" t="s" s="16">
        <f>HYPERLINK("http://csr.bu.edu/ftp/asl/asllvd/demos/verify_start_end_handshape_annotations//test_auto_move//signs_mov_separ_signers/Brady_2049.mov","MOV")</f>
        <v>21</v>
      </c>
      <c r="M12589" t="s" s="10">
        <v>40</v>
      </c>
      <c r="N12589" s="17">
        <v>52</v>
      </c>
      <c r="O12589" s="18">
        <v>2174</v>
      </c>
      <c r="P12589" s="18">
        <v>2217</v>
      </c>
      <c r="Q12589" s="15"/>
      <c r="R12589" t="s" s="16">
        <f>HYPERLINK("http://secrets.rutgers.edu:8080/data/asl-ftp/asllvd/demos/verify_start_end_handshape_annotations//test_auto_move//signs_mov_separ_signers/Brady_2049.mov","MOV")</f>
        <v>21</v>
      </c>
    </row>
    <row r="12590" s="2" customFormat="1" ht="13.5" customHeight="1">
      <c r="B12590" t="s" s="8">
        <v>4727</v>
      </c>
      <c r="C12590" t="s" s="9">
        <v>14</v>
      </c>
      <c r="D12590" t="s" s="8">
        <v>14</v>
      </c>
      <c r="E12590" t="s" s="9">
        <v>14</v>
      </c>
      <c r="F12590" t="s" s="10">
        <v>14</v>
      </c>
      <c r="G12590" t="s" s="11">
        <v>14</v>
      </c>
      <c r="H12590" t="s" s="10">
        <v>14</v>
      </c>
      <c r="I12590" t="s" s="11">
        <v>14</v>
      </c>
      <c r="J12590" t="s" s="11">
        <v>14</v>
      </c>
      <c r="K12590" t="s" s="12">
        <v>14</v>
      </c>
      <c r="L12590" t="s" s="12">
        <v>14</v>
      </c>
      <c r="M12590" t="s" s="10">
        <v>14</v>
      </c>
      <c r="N12590" t="s" s="11">
        <v>14</v>
      </c>
      <c r="O12590" t="s" s="8">
        <v>14</v>
      </c>
      <c r="P12590" t="s" s="8">
        <v>14</v>
      </c>
      <c r="Q12590" t="s" s="12">
        <v>14</v>
      </c>
      <c r="R12590" t="s" s="12">
        <v>14</v>
      </c>
    </row>
    <row r="12591" s="2" customFormat="1" ht="13.5" customHeight="1">
      <c r="B12591" s="13"/>
      <c r="C12591" t="s" s="9">
        <v>16</v>
      </c>
      <c r="D12591" t="s" s="8">
        <v>4727</v>
      </c>
      <c r="E12591" t="s" s="9">
        <v>4727</v>
      </c>
      <c r="F12591" t="s" s="10">
        <v>251</v>
      </c>
      <c r="G12591" s="14"/>
      <c r="H12591" t="s" s="10">
        <v>282</v>
      </c>
      <c r="I12591" s="14"/>
      <c r="J12591" t="s" s="11">
        <v>20</v>
      </c>
      <c r="K12591" t="s" s="16">
        <f>HYPERLINK("http://csr.bu.edu/ftp/asl/asllvd/demos/verify_start_end_handshape_annotations//test_auto_move//signs_mov/2051.mov","MOV")</f>
        <v>21</v>
      </c>
      <c r="L12591" t="s" s="16">
        <f>HYPERLINK("http://csr.bu.edu/ftp/asl/asllvd/demos/verify_start_end_handshape_annotations//test_auto_move//signs_mov_separ_signers/Liz_2051.mov","MOV")</f>
        <v>21</v>
      </c>
      <c r="M12591" t="s" s="10">
        <v>36</v>
      </c>
      <c r="N12591" s="17">
        <v>8</v>
      </c>
      <c r="O12591" s="18">
        <v>562</v>
      </c>
      <c r="P12591" s="18">
        <v>610</v>
      </c>
      <c r="Q12591" t="s" s="16">
        <f>HYPERLINK("http://secrets.rutgers.edu:8080/data/asl-ftp/asllvd/demos/verify_start_end_handshape_annotations//test_auto_move//signs_mov/2051.mov","MOV")</f>
        <v>21</v>
      </c>
      <c r="R12591" t="s" s="16">
        <f>HYPERLINK("http://secrets.rutgers.edu:8080/data/asl-ftp/asllvd/demos/verify_start_end_handshape_annotations//test_auto_move//signs_mov_separ_signers/Liz_2051.mov","MOV")</f>
        <v>21</v>
      </c>
    </row>
    <row r="12592" s="2" customFormat="1" ht="13.5" customHeight="1">
      <c r="B12592" s="13"/>
      <c r="C12592" t="s" s="9">
        <v>30</v>
      </c>
      <c r="D12592" t="s" s="8">
        <v>4727</v>
      </c>
      <c r="E12592" t="s" s="9">
        <v>4727</v>
      </c>
      <c r="F12592" t="s" s="10">
        <v>251</v>
      </c>
      <c r="G12592" s="14"/>
      <c r="H12592" t="s" s="10">
        <v>282</v>
      </c>
      <c r="I12592" s="14"/>
      <c r="J12592" t="s" s="11">
        <v>20</v>
      </c>
      <c r="K12592" s="15"/>
      <c r="L12592" t="s" s="16">
        <f>HYPERLINK("http://csr.bu.edu/ftp/asl/asllvd/demos/verify_start_end_handshape_annotations//test_auto_move//signs_mov_separ_signers/Brady_2051.mov","MOV")</f>
        <v>21</v>
      </c>
      <c r="M12592" t="s" s="10">
        <v>40</v>
      </c>
      <c r="N12592" s="17">
        <v>53</v>
      </c>
      <c r="O12592" s="18">
        <v>131</v>
      </c>
      <c r="P12592" s="18">
        <v>154</v>
      </c>
      <c r="Q12592" s="15"/>
      <c r="R12592" t="s" s="16">
        <f>HYPERLINK("http://secrets.rutgers.edu:8080/data/asl-ftp/asllvd/demos/verify_start_end_handshape_annotations//test_auto_move//signs_mov_separ_signers/Brady_2051.mov","MOV")</f>
        <v>21</v>
      </c>
    </row>
    <row r="12593" s="2" customFormat="1" ht="13.5" customHeight="1">
      <c r="B12593" t="s" s="8">
        <v>4728</v>
      </c>
      <c r="C12593" t="s" s="9">
        <v>14</v>
      </c>
      <c r="D12593" t="s" s="8">
        <v>14</v>
      </c>
      <c r="E12593" t="s" s="9">
        <v>14</v>
      </c>
      <c r="F12593" t="s" s="10">
        <v>14</v>
      </c>
      <c r="G12593" t="s" s="11">
        <v>14</v>
      </c>
      <c r="H12593" t="s" s="10">
        <v>14</v>
      </c>
      <c r="I12593" t="s" s="11">
        <v>14</v>
      </c>
      <c r="J12593" t="s" s="11">
        <v>14</v>
      </c>
      <c r="K12593" t="s" s="12">
        <v>14</v>
      </c>
      <c r="L12593" t="s" s="12">
        <v>14</v>
      </c>
      <c r="M12593" t="s" s="10">
        <v>14</v>
      </c>
      <c r="N12593" t="s" s="11">
        <v>14</v>
      </c>
      <c r="O12593" t="s" s="8">
        <v>14</v>
      </c>
      <c r="P12593" t="s" s="8">
        <v>14</v>
      </c>
      <c r="Q12593" t="s" s="12">
        <v>14</v>
      </c>
      <c r="R12593" t="s" s="12">
        <v>14</v>
      </c>
    </row>
    <row r="12594" s="2" customFormat="1" ht="13.5" customHeight="1">
      <c r="B12594" s="13"/>
      <c r="C12594" t="s" s="9">
        <v>16</v>
      </c>
      <c r="D12594" t="s" s="8">
        <v>4728</v>
      </c>
      <c r="E12594" t="s" s="9">
        <v>4728</v>
      </c>
      <c r="F12594" t="s" s="10">
        <v>251</v>
      </c>
      <c r="G12594" s="14"/>
      <c r="H12594" t="s" s="10">
        <v>55</v>
      </c>
      <c r="I12594" s="14"/>
      <c r="J12594" t="s" s="11">
        <v>20</v>
      </c>
      <c r="K12594" t="s" s="16">
        <f>HYPERLINK("http://csr.bu.edu/ftp/asl/asllvd/demos/verify_start_end_handshape_annotations//test_auto_move//signs_mov/2060.mov","MOV")</f>
        <v>21</v>
      </c>
      <c r="L12594" t="s" s="16">
        <f>HYPERLINK("http://csr.bu.edu/ftp/asl/asllvd/demos/verify_start_end_handshape_annotations//test_auto_move//signs_mov_separ_signers/Liz_2060.mov","MOV")</f>
        <v>21</v>
      </c>
      <c r="M12594" t="s" s="10">
        <v>36</v>
      </c>
      <c r="N12594" s="17">
        <v>9</v>
      </c>
      <c r="O12594" s="18">
        <v>106</v>
      </c>
      <c r="P12594" s="18">
        <v>166</v>
      </c>
      <c r="Q12594" t="s" s="16">
        <f>HYPERLINK("http://secrets.rutgers.edu:8080/data/asl-ftp/asllvd/demos/verify_start_end_handshape_annotations//test_auto_move//signs_mov/2060.mov","MOV")</f>
        <v>21</v>
      </c>
      <c r="R12594" t="s" s="16">
        <f>HYPERLINK("http://secrets.rutgers.edu:8080/data/asl-ftp/asllvd/demos/verify_start_end_handshape_annotations//test_auto_move//signs_mov_separ_signers/Liz_2060.mov","MOV")</f>
        <v>21</v>
      </c>
    </row>
    <row r="12595" s="2" customFormat="1" ht="13.5" customHeight="1">
      <c r="B12595" s="13"/>
      <c r="C12595" t="s" s="9">
        <v>30</v>
      </c>
      <c r="D12595" t="s" s="8">
        <v>4728</v>
      </c>
      <c r="E12595" t="s" s="9">
        <v>4728</v>
      </c>
      <c r="F12595" t="s" s="10">
        <v>251</v>
      </c>
      <c r="G12595" s="14"/>
      <c r="H12595" t="s" s="10">
        <v>55</v>
      </c>
      <c r="I12595" s="14"/>
      <c r="J12595" t="s" s="11">
        <v>20</v>
      </c>
      <c r="K12595" s="15"/>
      <c r="L12595" t="s" s="16">
        <f>HYPERLINK("http://csr.bu.edu/ftp/asl/asllvd/demos/verify_start_end_handshape_annotations//test_auto_move//signs_mov_separ_signers/Brady_2060.mov","MOV")</f>
        <v>21</v>
      </c>
      <c r="M12595" t="s" s="10">
        <v>40</v>
      </c>
      <c r="N12595" s="17">
        <v>53</v>
      </c>
      <c r="O12595" s="18">
        <v>2611</v>
      </c>
      <c r="P12595" s="18">
        <v>2641</v>
      </c>
      <c r="Q12595" s="15"/>
      <c r="R12595" t="s" s="16">
        <f>HYPERLINK("http://secrets.rutgers.edu:8080/data/asl-ftp/asllvd/demos/verify_start_end_handshape_annotations//test_auto_move//signs_mov_separ_signers/Brady_2060.mov","MOV")</f>
        <v>21</v>
      </c>
    </row>
    <row r="12596" s="2" customFormat="1" ht="13.5" customHeight="1">
      <c r="B12596" t="s" s="8">
        <v>4729</v>
      </c>
      <c r="C12596" t="s" s="9">
        <v>14</v>
      </c>
      <c r="D12596" t="s" s="8">
        <v>14</v>
      </c>
      <c r="E12596" t="s" s="9">
        <v>14</v>
      </c>
      <c r="F12596" t="s" s="10">
        <v>14</v>
      </c>
      <c r="G12596" t="s" s="11">
        <v>14</v>
      </c>
      <c r="H12596" t="s" s="10">
        <v>14</v>
      </c>
      <c r="I12596" t="s" s="11">
        <v>14</v>
      </c>
      <c r="J12596" t="s" s="11">
        <v>14</v>
      </c>
      <c r="K12596" t="s" s="12">
        <v>14</v>
      </c>
      <c r="L12596" t="s" s="12">
        <v>14</v>
      </c>
      <c r="M12596" t="s" s="10">
        <v>14</v>
      </c>
      <c r="N12596" t="s" s="11">
        <v>14</v>
      </c>
      <c r="O12596" t="s" s="8">
        <v>14</v>
      </c>
      <c r="P12596" t="s" s="8">
        <v>14</v>
      </c>
      <c r="Q12596" t="s" s="12">
        <v>14</v>
      </c>
      <c r="R12596" t="s" s="12">
        <v>14</v>
      </c>
    </row>
    <row r="12597" s="2" customFormat="1" ht="13.5" customHeight="1">
      <c r="B12597" s="13"/>
      <c r="C12597" t="s" s="9">
        <v>16</v>
      </c>
      <c r="D12597" t="s" s="8">
        <v>4729</v>
      </c>
      <c r="E12597" t="s" s="9">
        <v>4729</v>
      </c>
      <c r="F12597" t="s" s="10">
        <v>251</v>
      </c>
      <c r="G12597" t="s" s="11">
        <v>251</v>
      </c>
      <c r="H12597" t="s" s="10">
        <v>73</v>
      </c>
      <c r="I12597" t="s" s="11">
        <v>73</v>
      </c>
      <c r="J12597" t="s" s="11">
        <v>20</v>
      </c>
      <c r="K12597" t="s" s="16">
        <f>HYPERLINK("http://csr.bu.edu/ftp/asl/asllvd/demos/verify_start_end_handshape_annotations//test_auto_move//signs_mov/2084.mov","MOV")</f>
        <v>21</v>
      </c>
      <c r="L12597" t="s" s="16">
        <f>HYPERLINK("http://csr.bu.edu/ftp/asl/asllvd/demos/verify_start_end_handshape_annotations//test_auto_move//signs_mov_separ_signers/Liz_2084.mov","MOV")</f>
        <v>21</v>
      </c>
      <c r="M12597" t="s" s="10">
        <v>36</v>
      </c>
      <c r="N12597" s="17">
        <v>11</v>
      </c>
      <c r="O12597" s="18">
        <v>1329</v>
      </c>
      <c r="P12597" s="18">
        <v>1378</v>
      </c>
      <c r="Q12597" t="s" s="16">
        <f>HYPERLINK("http://secrets.rutgers.edu:8080/data/asl-ftp/asllvd/demos/verify_start_end_handshape_annotations//test_auto_move//signs_mov/2084.mov","MOV")</f>
        <v>21</v>
      </c>
      <c r="R12597" t="s" s="16">
        <f>HYPERLINK("http://secrets.rutgers.edu:8080/data/asl-ftp/asllvd/demos/verify_start_end_handshape_annotations//test_auto_move//signs_mov_separ_signers/Liz_2084.mov","MOV")</f>
        <v>21</v>
      </c>
    </row>
    <row r="12598" s="2" customFormat="1" ht="13.5" customHeight="1">
      <c r="B12598" t="s" s="8">
        <v>4730</v>
      </c>
      <c r="C12598" t="s" s="9">
        <v>14</v>
      </c>
      <c r="D12598" t="s" s="8">
        <v>14</v>
      </c>
      <c r="E12598" t="s" s="9">
        <v>14</v>
      </c>
      <c r="F12598" t="s" s="10">
        <v>14</v>
      </c>
      <c r="G12598" t="s" s="11">
        <v>14</v>
      </c>
      <c r="H12598" t="s" s="10">
        <v>14</v>
      </c>
      <c r="I12598" t="s" s="11">
        <v>14</v>
      </c>
      <c r="J12598" t="s" s="11">
        <v>14</v>
      </c>
      <c r="K12598" t="s" s="12">
        <v>14</v>
      </c>
      <c r="L12598" t="s" s="12">
        <v>14</v>
      </c>
      <c r="M12598" t="s" s="10">
        <v>14</v>
      </c>
      <c r="N12598" t="s" s="11">
        <v>14</v>
      </c>
      <c r="O12598" t="s" s="8">
        <v>14</v>
      </c>
      <c r="P12598" t="s" s="8">
        <v>14</v>
      </c>
      <c r="Q12598" t="s" s="12">
        <v>14</v>
      </c>
      <c r="R12598" t="s" s="12">
        <v>14</v>
      </c>
    </row>
    <row r="12599" s="2" customFormat="1" ht="13.5" customHeight="1">
      <c r="B12599" s="13"/>
      <c r="C12599" t="s" s="9">
        <v>30</v>
      </c>
      <c r="D12599" t="s" s="8">
        <v>4730</v>
      </c>
      <c r="E12599" t="s" s="9">
        <v>4730</v>
      </c>
      <c r="F12599" s="19">
        <v>1</v>
      </c>
      <c r="G12599" s="17">
        <v>1</v>
      </c>
      <c r="H12599" t="s" s="10">
        <v>73</v>
      </c>
      <c r="I12599" t="s" s="11">
        <v>73</v>
      </c>
      <c r="J12599" t="s" s="11">
        <v>20</v>
      </c>
      <c r="K12599" t="s" s="16">
        <f>HYPERLINK("http://csr.bu.edu/ftp/asl/asllvd/demos/verify_start_end_handshape_annotations//test_auto_move//signs_mov/15348.mov","MOV")</f>
        <v>21</v>
      </c>
      <c r="L12599" t="s" s="16">
        <f>HYPERLINK("http://csr.bu.edu/ftp/asl/asllvd/demos/verify_start_end_handshape_annotations//test_auto_move//signs_mov_separ_signers/Brady_15348.mov","MOV")</f>
        <v>21</v>
      </c>
      <c r="M12599" t="s" s="10">
        <v>40</v>
      </c>
      <c r="N12599" s="17">
        <v>56</v>
      </c>
      <c r="O12599" s="18">
        <v>717</v>
      </c>
      <c r="P12599" s="18">
        <v>743</v>
      </c>
      <c r="Q12599" t="s" s="16">
        <f>HYPERLINK("http://secrets.rutgers.edu:8080/data/asl-ftp/asllvd/demos/verify_start_end_handshape_annotations//test_auto_move//signs_mov/15348.mov","MOV")</f>
        <v>21</v>
      </c>
      <c r="R12599" t="s" s="16">
        <f>HYPERLINK("http://secrets.rutgers.edu:8080/data/asl-ftp/asllvd/demos/verify_start_end_handshape_annotations//test_auto_move//signs_mov_separ_signers/Brady_15348.mov","MOV")</f>
        <v>21</v>
      </c>
    </row>
    <row r="12600" s="2" customFormat="1" ht="13.5" customHeight="1">
      <c r="B12600" t="s" s="8">
        <v>4731</v>
      </c>
      <c r="C12600" t="s" s="9">
        <v>14</v>
      </c>
      <c r="D12600" t="s" s="8">
        <v>14</v>
      </c>
      <c r="E12600" t="s" s="9">
        <v>14</v>
      </c>
      <c r="F12600" t="s" s="10">
        <v>14</v>
      </c>
      <c r="G12600" t="s" s="11">
        <v>14</v>
      </c>
      <c r="H12600" t="s" s="10">
        <v>14</v>
      </c>
      <c r="I12600" t="s" s="11">
        <v>14</v>
      </c>
      <c r="J12600" t="s" s="11">
        <v>14</v>
      </c>
      <c r="K12600" t="s" s="12">
        <v>14</v>
      </c>
      <c r="L12600" t="s" s="12">
        <v>14</v>
      </c>
      <c r="M12600" t="s" s="10">
        <v>14</v>
      </c>
      <c r="N12600" t="s" s="11">
        <v>14</v>
      </c>
      <c r="O12600" t="s" s="8">
        <v>14</v>
      </c>
      <c r="P12600" t="s" s="8">
        <v>14</v>
      </c>
      <c r="Q12600" t="s" s="12">
        <v>14</v>
      </c>
      <c r="R12600" t="s" s="12">
        <v>14</v>
      </c>
    </row>
    <row r="12601" s="2" customFormat="1" ht="13.5" customHeight="1">
      <c r="B12601" s="13"/>
      <c r="C12601" t="s" s="9">
        <v>16</v>
      </c>
      <c r="D12601" t="s" s="8">
        <v>4731</v>
      </c>
      <c r="E12601" t="s" s="9">
        <v>4731</v>
      </c>
      <c r="F12601" t="s" s="10">
        <v>28</v>
      </c>
      <c r="G12601" t="s" s="11">
        <v>73</v>
      </c>
      <c r="H12601" t="s" s="10">
        <v>73</v>
      </c>
      <c r="I12601" t="s" s="11">
        <v>73</v>
      </c>
      <c r="J12601" t="s" s="11">
        <v>20</v>
      </c>
      <c r="K12601" s="15"/>
      <c r="L12601" t="s" s="16">
        <f>HYPERLINK("http://csr.bu.edu/ftp/asl/asllvd/demos/verify_start_end_handshape_annotations//test_auto_move//signs_mov_separ_signers/Liz_2085.mov","MOV")</f>
        <v>21</v>
      </c>
      <c r="M12601" t="s" s="10">
        <v>36</v>
      </c>
      <c r="N12601" s="17">
        <v>11</v>
      </c>
      <c r="O12601" s="18">
        <v>1576</v>
      </c>
      <c r="P12601" s="18">
        <v>1612</v>
      </c>
      <c r="Q12601" s="15"/>
      <c r="R12601" t="s" s="16">
        <f>HYPERLINK("http://secrets.rutgers.edu:8080/data/asl-ftp/asllvd/demos/verify_start_end_handshape_annotations//test_auto_move//signs_mov_separ_signers/Liz_2085.mov","MOV")</f>
        <v>21</v>
      </c>
    </row>
    <row r="12602" s="2" customFormat="1" ht="13.5" customHeight="1">
      <c r="B12602" s="13"/>
      <c r="C12602" t="s" s="9">
        <v>16</v>
      </c>
      <c r="D12602" t="s" s="8">
        <v>4731</v>
      </c>
      <c r="E12602" t="s" s="9">
        <v>4732</v>
      </c>
      <c r="F12602" t="s" s="10">
        <v>65</v>
      </c>
      <c r="G12602" t="s" s="11">
        <v>73</v>
      </c>
      <c r="H12602" t="s" s="10">
        <v>73</v>
      </c>
      <c r="I12602" t="s" s="11">
        <v>73</v>
      </c>
      <c r="J12602" t="s" s="11">
        <v>20</v>
      </c>
      <c r="K12602" t="s" s="16">
        <f>HYPERLINK("http://csr.bu.edu/ftp/asl/asllvd/demos/verify_start_end_handshape_annotations//test_auto_move//signs_mov/2085_3828_merged.mov","MOV")</f>
        <v>21</v>
      </c>
      <c r="L12602" t="s" s="16">
        <f>HYPERLINK("http://csr.bu.edu/ftp/asl/asllvd/demos/verify_start_end_handshape_annotations//test_auto_move//signs_mov_separ_signers/Liz_3828.mov","MOV")</f>
        <v>21</v>
      </c>
      <c r="M12602" t="s" s="10">
        <v>59</v>
      </c>
      <c r="N12602" s="17">
        <v>46</v>
      </c>
      <c r="O12602" s="18">
        <v>1675</v>
      </c>
      <c r="P12602" s="18">
        <v>1730</v>
      </c>
      <c r="Q12602" t="s" s="16">
        <f>HYPERLINK("http://secrets.rutgers.edu:8080/data/asl-ftp/asllvd/demos/verify_start_end_handshape_annotations//test_auto_move//signs_mov/2085_3828_merged.mov","MOV")</f>
        <v>21</v>
      </c>
      <c r="R12602" t="s" s="16">
        <f>HYPERLINK("http://secrets.rutgers.edu:8080/data/asl-ftp/asllvd/demos/verify_start_end_handshape_annotations//test_auto_move//signs_mov_separ_signers/Liz_3828.mov","MOV")</f>
        <v>21</v>
      </c>
    </row>
    <row r="12603" s="2" customFormat="1" ht="13.5" customHeight="1">
      <c r="B12603" s="13"/>
      <c r="C12603" t="s" s="9">
        <v>30</v>
      </c>
      <c r="D12603" t="s" s="8">
        <v>4731</v>
      </c>
      <c r="E12603" t="s" s="9">
        <v>4732</v>
      </c>
      <c r="F12603" t="s" s="10">
        <v>28</v>
      </c>
      <c r="G12603" t="s" s="11">
        <v>73</v>
      </c>
      <c r="H12603" t="s" s="10">
        <v>73</v>
      </c>
      <c r="I12603" t="s" s="11">
        <v>73</v>
      </c>
      <c r="J12603" t="s" s="11">
        <v>20</v>
      </c>
      <c r="K12603" s="15"/>
      <c r="L12603" t="s" s="16">
        <f>HYPERLINK("http://csr.bu.edu/ftp/asl/asllvd/demos/verify_start_end_handshape_annotations//test_auto_move//signs_mov_separ_signers/Brady_2085.mov","MOV")</f>
        <v>21</v>
      </c>
      <c r="M12603" t="s" s="10">
        <v>40</v>
      </c>
      <c r="N12603" s="17">
        <v>56</v>
      </c>
      <c r="O12603" s="18">
        <v>2223</v>
      </c>
      <c r="P12603" s="18">
        <v>2275</v>
      </c>
      <c r="Q12603" s="15"/>
      <c r="R12603" t="s" s="16">
        <f>HYPERLINK("http://secrets.rutgers.edu:8080/data/asl-ftp/asllvd/demos/verify_start_end_handshape_annotations//test_auto_move//signs_mov_separ_signers/Brady_2085.mov","MOV")</f>
        <v>21</v>
      </c>
    </row>
    <row r="12604" s="2" customFormat="1" ht="13.5" customHeight="1">
      <c r="B12604" s="13"/>
      <c r="C12604" t="s" s="9">
        <v>30</v>
      </c>
      <c r="D12604" t="s" s="8">
        <v>4731</v>
      </c>
      <c r="E12604" t="s" s="9">
        <v>4732</v>
      </c>
      <c r="F12604" t="s" s="10">
        <v>28</v>
      </c>
      <c r="G12604" t="s" s="11">
        <v>73</v>
      </c>
      <c r="H12604" t="s" s="10">
        <v>73</v>
      </c>
      <c r="I12604" t="s" s="11">
        <v>73</v>
      </c>
      <c r="J12604" t="s" s="11">
        <v>20</v>
      </c>
      <c r="K12604" s="15"/>
      <c r="L12604" t="s" s="16">
        <f>HYPERLINK("http://csr.bu.edu/ftp/asl/asllvd/demos/verify_start_end_handshape_annotations//test_auto_move//signs_mov_separ_signers/Brady_3828.mov","MOV")</f>
        <v>21</v>
      </c>
      <c r="M12604" t="s" s="10">
        <v>60</v>
      </c>
      <c r="N12604" s="17">
        <v>34</v>
      </c>
      <c r="O12604" s="18">
        <v>2610</v>
      </c>
      <c r="P12604" s="18">
        <v>2650</v>
      </c>
      <c r="Q12604" s="15"/>
      <c r="R12604" t="s" s="16">
        <f>HYPERLINK("http://secrets.rutgers.edu:8080/data/asl-ftp/asllvd/demos/verify_start_end_handshape_annotations//test_auto_move//signs_mov_separ_signers/Brady_3828.mov","MOV")</f>
        <v>21</v>
      </c>
    </row>
    <row r="12605" s="2" customFormat="1" ht="13.5" customHeight="1">
      <c r="B12605" t="s" s="8">
        <v>4733</v>
      </c>
      <c r="C12605" t="s" s="9">
        <v>14</v>
      </c>
      <c r="D12605" t="s" s="8">
        <v>14</v>
      </c>
      <c r="E12605" t="s" s="9">
        <v>14</v>
      </c>
      <c r="F12605" t="s" s="10">
        <v>14</v>
      </c>
      <c r="G12605" t="s" s="11">
        <v>14</v>
      </c>
      <c r="H12605" t="s" s="10">
        <v>14</v>
      </c>
      <c r="I12605" t="s" s="11">
        <v>14</v>
      </c>
      <c r="J12605" t="s" s="11">
        <v>14</v>
      </c>
      <c r="K12605" t="s" s="12">
        <v>14</v>
      </c>
      <c r="L12605" t="s" s="12">
        <v>14</v>
      </c>
      <c r="M12605" t="s" s="10">
        <v>14</v>
      </c>
      <c r="N12605" t="s" s="11">
        <v>14</v>
      </c>
      <c r="O12605" t="s" s="8">
        <v>14</v>
      </c>
      <c r="P12605" t="s" s="8">
        <v>14</v>
      </c>
      <c r="Q12605" t="s" s="12">
        <v>14</v>
      </c>
      <c r="R12605" t="s" s="12">
        <v>14</v>
      </c>
    </row>
    <row r="12606" s="2" customFormat="1" ht="13.5" customHeight="1">
      <c r="B12606" s="13"/>
      <c r="C12606" t="s" s="9">
        <v>16</v>
      </c>
      <c r="D12606" t="s" s="8">
        <v>4733</v>
      </c>
      <c r="E12606" t="s" s="9">
        <v>4733</v>
      </c>
      <c r="F12606" s="19">
        <v>1</v>
      </c>
      <c r="G12606" t="s" s="11">
        <v>73</v>
      </c>
      <c r="H12606" t="s" s="10">
        <v>73</v>
      </c>
      <c r="I12606" t="s" s="11">
        <v>73</v>
      </c>
      <c r="J12606" t="s" s="11">
        <v>20</v>
      </c>
      <c r="K12606" t="s" s="16">
        <f>HYPERLINK("http://csr.bu.edu/ftp/asl/asllvd/demos/verify_start_end_handshape_annotations//test_auto_move//signs_mov/2088.mov","MOV")</f>
        <v>21</v>
      </c>
      <c r="L12606" t="s" s="16">
        <f>HYPERLINK("http://csr.bu.edu/ftp/asl/asllvd/demos/verify_start_end_handshape_annotations//test_auto_move//signs_mov_separ_signers/Liz_2088.mov","MOV")</f>
        <v>21</v>
      </c>
      <c r="M12606" t="s" s="10">
        <v>36</v>
      </c>
      <c r="N12606" s="17">
        <v>11</v>
      </c>
      <c r="O12606" s="18">
        <v>2600</v>
      </c>
      <c r="P12606" s="18">
        <v>2653</v>
      </c>
      <c r="Q12606" t="s" s="16">
        <f>HYPERLINK("http://secrets.rutgers.edu:8080/data/asl-ftp/asllvd/demos/verify_start_end_handshape_annotations//test_auto_move//signs_mov/2088.mov","MOV")</f>
        <v>21</v>
      </c>
      <c r="R12606" t="s" s="16">
        <f>HYPERLINK("http://secrets.rutgers.edu:8080/data/asl-ftp/asllvd/demos/verify_start_end_handshape_annotations//test_auto_move//signs_mov_separ_signers/Liz_2088.mov","MOV")</f>
        <v>21</v>
      </c>
    </row>
    <row r="12607" s="2" customFormat="1" ht="13.5" customHeight="1">
      <c r="B12607" s="13"/>
      <c r="C12607" t="s" s="9">
        <v>30</v>
      </c>
      <c r="D12607" t="s" s="8">
        <v>4733</v>
      </c>
      <c r="E12607" t="s" s="9">
        <v>4733</v>
      </c>
      <c r="F12607" s="19">
        <v>1</v>
      </c>
      <c r="G12607" t="s" s="11">
        <v>73</v>
      </c>
      <c r="H12607" t="s" s="10">
        <v>73</v>
      </c>
      <c r="I12607" t="s" s="11">
        <v>73</v>
      </c>
      <c r="J12607" t="s" s="11">
        <v>20</v>
      </c>
      <c r="K12607" s="15"/>
      <c r="L12607" t="s" s="16">
        <f>HYPERLINK("http://csr.bu.edu/ftp/asl/asllvd/demos/verify_start_end_handshape_annotations//test_auto_move//signs_mov_separ_signers/Brady_2088.mov","MOV")</f>
        <v>21</v>
      </c>
      <c r="M12607" t="s" s="10">
        <v>40</v>
      </c>
      <c r="N12607" s="17">
        <v>56</v>
      </c>
      <c r="O12607" s="18">
        <v>2698</v>
      </c>
      <c r="P12607" s="18">
        <v>2726</v>
      </c>
      <c r="Q12607" s="15"/>
      <c r="R12607" t="s" s="16">
        <f>HYPERLINK("http://secrets.rutgers.edu:8080/data/asl-ftp/asllvd/demos/verify_start_end_handshape_annotations//test_auto_move//signs_mov_separ_signers/Brady_2088.mov","MOV")</f>
        <v>21</v>
      </c>
    </row>
    <row r="12608" s="2" customFormat="1" ht="13.5" customHeight="1">
      <c r="B12608" t="s" s="8">
        <v>52</v>
      </c>
      <c r="C12608" t="s" s="9">
        <v>53</v>
      </c>
      <c r="D12608" t="s" s="8">
        <v>53</v>
      </c>
      <c r="E12608" t="s" s="9">
        <v>53</v>
      </c>
      <c r="F12608" t="s" s="10">
        <v>53</v>
      </c>
      <c r="G12608" t="s" s="11">
        <v>53</v>
      </c>
      <c r="H12608" t="s" s="10">
        <v>53</v>
      </c>
      <c r="I12608" t="s" s="11">
        <v>53</v>
      </c>
      <c r="J12608" t="s" s="11">
        <v>53</v>
      </c>
      <c r="K12608" t="s" s="12">
        <v>53</v>
      </c>
      <c r="L12608" t="s" s="12">
        <v>53</v>
      </c>
      <c r="M12608" t="s" s="10">
        <v>53</v>
      </c>
      <c r="N12608" t="s" s="11">
        <v>53</v>
      </c>
      <c r="O12608" t="s" s="8">
        <v>53</v>
      </c>
      <c r="P12608" t="s" s="8">
        <v>53</v>
      </c>
      <c r="Q12608" t="s" s="12">
        <v>53</v>
      </c>
      <c r="R12608" t="s" s="12">
        <v>53</v>
      </c>
    </row>
    <row r="12609" s="2" customFormat="1" ht="13.5" customHeight="1">
      <c r="B12609" s="13"/>
      <c r="C12609" t="s" s="9">
        <v>16</v>
      </c>
      <c r="D12609" t="s" s="8">
        <v>4733</v>
      </c>
      <c r="E12609" t="s" s="9">
        <v>4734</v>
      </c>
      <c r="F12609" t="s" s="10">
        <v>251</v>
      </c>
      <c r="G12609" t="s" s="11">
        <v>73</v>
      </c>
      <c r="H12609" t="s" s="10">
        <v>73</v>
      </c>
      <c r="I12609" t="s" s="11">
        <v>73</v>
      </c>
      <c r="J12609" t="s" s="11">
        <v>20</v>
      </c>
      <c r="K12609" t="s" s="16">
        <f>HYPERLINK("http://csr.bu.edu/ftp/asl/asllvd/demos/verify_start_end_handshape_annotations//test_auto_move//signs_mov/3741.mov","MOV")</f>
        <v>21</v>
      </c>
      <c r="L12609" t="s" s="16">
        <f>HYPERLINK("http://csr.bu.edu/ftp/asl/asllvd/demos/verify_start_end_handshape_annotations//test_auto_move//signs_mov_separ_signers/Liz_3741.mov","MOV")</f>
        <v>21</v>
      </c>
      <c r="M12609" t="s" s="10">
        <v>36</v>
      </c>
      <c r="N12609" s="17">
        <v>11</v>
      </c>
      <c r="O12609" s="18">
        <v>2330</v>
      </c>
      <c r="P12609" s="18">
        <v>2386</v>
      </c>
      <c r="Q12609" t="s" s="16">
        <f>HYPERLINK("http://secrets.rutgers.edu:8080/data/asl-ftp/asllvd/demos/verify_start_end_handshape_annotations//test_auto_move//signs_mov/3741.mov","MOV")</f>
        <v>21</v>
      </c>
      <c r="R12609" t="s" s="16">
        <f>HYPERLINK("http://secrets.rutgers.edu:8080/data/asl-ftp/asllvd/demos/verify_start_end_handshape_annotations//test_auto_move//signs_mov_separ_signers/Liz_3741.mov","MOV")</f>
        <v>21</v>
      </c>
    </row>
    <row r="12610" s="2" customFormat="1" ht="13.5" customHeight="1">
      <c r="B12610" t="s" s="8">
        <v>4735</v>
      </c>
      <c r="C12610" t="s" s="9">
        <v>14</v>
      </c>
      <c r="D12610" t="s" s="8">
        <v>14</v>
      </c>
      <c r="E12610" t="s" s="9">
        <v>14</v>
      </c>
      <c r="F12610" t="s" s="10">
        <v>14</v>
      </c>
      <c r="G12610" t="s" s="11">
        <v>14</v>
      </c>
      <c r="H12610" t="s" s="10">
        <v>14</v>
      </c>
      <c r="I12610" t="s" s="11">
        <v>14</v>
      </c>
      <c r="J12610" t="s" s="11">
        <v>14</v>
      </c>
      <c r="K12610" t="s" s="12">
        <v>14</v>
      </c>
      <c r="L12610" t="s" s="12">
        <v>14</v>
      </c>
      <c r="M12610" t="s" s="10">
        <v>14</v>
      </c>
      <c r="N12610" t="s" s="11">
        <v>14</v>
      </c>
      <c r="O12610" t="s" s="8">
        <v>14</v>
      </c>
      <c r="P12610" t="s" s="8">
        <v>14</v>
      </c>
      <c r="Q12610" t="s" s="12">
        <v>14</v>
      </c>
      <c r="R12610" t="s" s="12">
        <v>14</v>
      </c>
    </row>
    <row r="12611" s="2" customFormat="1" ht="13.5" customHeight="1">
      <c r="B12611" s="13"/>
      <c r="C12611" t="s" s="9">
        <v>16</v>
      </c>
      <c r="D12611" t="s" s="8">
        <v>4735</v>
      </c>
      <c r="E12611" t="s" s="9">
        <v>4735</v>
      </c>
      <c r="F12611" t="s" s="10">
        <v>251</v>
      </c>
      <c r="G12611" s="14"/>
      <c r="H12611" t="s" s="10">
        <v>251</v>
      </c>
      <c r="I12611" s="14"/>
      <c r="J12611" t="s" s="11">
        <v>20</v>
      </c>
      <c r="K12611" s="15"/>
      <c r="L12611" t="s" s="16">
        <f>HYPERLINK("http://csr.bu.edu/ftp/asl/asllvd/demos/verify_start_end_handshape_annotations//test_auto_move//signs_mov_separ_signers/Liz_2103.mov","MOV")</f>
        <v>21</v>
      </c>
      <c r="M12611" t="s" s="10">
        <v>36</v>
      </c>
      <c r="N12611" s="17">
        <v>13</v>
      </c>
      <c r="O12611" s="18">
        <v>1365</v>
      </c>
      <c r="P12611" s="18">
        <v>1402</v>
      </c>
      <c r="Q12611" s="15"/>
      <c r="R12611" t="s" s="16">
        <f>HYPERLINK("http://secrets.rutgers.edu:8080/data/asl-ftp/asllvd/demos/verify_start_end_handshape_annotations//test_auto_move//signs_mov_separ_signers/Liz_2103.mov","MOV")</f>
        <v>21</v>
      </c>
    </row>
    <row r="12612" s="2" customFormat="1" ht="13.5" customHeight="1">
      <c r="B12612" s="13"/>
      <c r="C12612" t="s" s="9">
        <v>30</v>
      </c>
      <c r="D12612" t="s" s="8">
        <v>4735</v>
      </c>
      <c r="E12612" t="s" s="9">
        <v>4735</v>
      </c>
      <c r="F12612" t="s" s="10">
        <v>251</v>
      </c>
      <c r="G12612" s="14"/>
      <c r="H12612" t="s" s="10">
        <v>251</v>
      </c>
      <c r="I12612" s="14"/>
      <c r="J12612" t="s" s="11">
        <v>20</v>
      </c>
      <c r="K12612" t="s" s="16">
        <f>HYPERLINK("http://csr.bu.edu/ftp/asl/asllvd/demos/verify_start_end_handshape_annotations//test_auto_move//signs_mov/2103.mov","MOV")</f>
        <v>21</v>
      </c>
      <c r="L12612" t="s" s="16">
        <f>HYPERLINK("http://csr.bu.edu/ftp/asl/asllvd/demos/verify_start_end_handshape_annotations//test_auto_move//signs_mov_separ_signers/Brady_2103.mov","MOV")</f>
        <v>21</v>
      </c>
      <c r="M12612" t="s" s="10">
        <v>40</v>
      </c>
      <c r="N12612" s="17">
        <v>58</v>
      </c>
      <c r="O12612" s="18">
        <v>971</v>
      </c>
      <c r="P12612" s="18">
        <v>995</v>
      </c>
      <c r="Q12612" t="s" s="16">
        <f>HYPERLINK("http://secrets.rutgers.edu:8080/data/asl-ftp/asllvd/demos/verify_start_end_handshape_annotations//test_auto_move//signs_mov/2103.mov","MOV")</f>
        <v>21</v>
      </c>
      <c r="R12612" t="s" s="16">
        <f>HYPERLINK("http://secrets.rutgers.edu:8080/data/asl-ftp/asllvd/demos/verify_start_end_handshape_annotations//test_auto_move//signs_mov_separ_signers/Brady_2103.mov","MOV")</f>
        <v>21</v>
      </c>
    </row>
    <row r="12613" s="2" customFormat="1" ht="13.5" customHeight="1">
      <c r="B12613" s="13"/>
      <c r="C12613" t="s" s="9">
        <v>43</v>
      </c>
      <c r="D12613" t="s" s="8">
        <v>4735</v>
      </c>
      <c r="E12613" t="s" s="9">
        <v>4735</v>
      </c>
      <c r="F12613" t="s" s="10">
        <v>251</v>
      </c>
      <c r="G12613" s="14"/>
      <c r="H12613" t="s" s="10">
        <v>251</v>
      </c>
      <c r="I12613" s="14"/>
      <c r="J12613" t="s" s="11">
        <v>20</v>
      </c>
      <c r="K12613" s="15"/>
      <c r="L12613" t="s" s="16">
        <f>HYPERLINK("http://csr.bu.edu/ftp/asl/asllvd/demos/verify_start_end_handshape_annotations//test_auto_move//signs_mov_separ_signers/Dana_2103.mov","MOV")</f>
        <v>21</v>
      </c>
      <c r="M12613" t="s" s="10">
        <v>44</v>
      </c>
      <c r="N12613" s="17">
        <v>25</v>
      </c>
      <c r="O12613" s="18">
        <v>1152</v>
      </c>
      <c r="P12613" s="18">
        <v>1186</v>
      </c>
      <c r="Q12613" s="15"/>
      <c r="R12613" t="s" s="16">
        <f>HYPERLINK("http://secrets.rutgers.edu:8080/data/asl-ftp/asllvd/demos/verify_start_end_handshape_annotations//test_auto_move//signs_mov_separ_signers/Dana_2103.mov","MOV")</f>
        <v>21</v>
      </c>
    </row>
    <row r="12614" s="2" customFormat="1" ht="13.5" customHeight="1">
      <c r="B12614" t="s" s="8">
        <v>4736</v>
      </c>
      <c r="C12614" t="s" s="9">
        <v>14</v>
      </c>
      <c r="D12614" t="s" s="8">
        <v>14</v>
      </c>
      <c r="E12614" t="s" s="9">
        <v>14</v>
      </c>
      <c r="F12614" t="s" s="10">
        <v>14</v>
      </c>
      <c r="G12614" t="s" s="11">
        <v>14</v>
      </c>
      <c r="H12614" t="s" s="10">
        <v>14</v>
      </c>
      <c r="I12614" t="s" s="11">
        <v>14</v>
      </c>
      <c r="J12614" t="s" s="11">
        <v>14</v>
      </c>
      <c r="K12614" t="s" s="12">
        <v>14</v>
      </c>
      <c r="L12614" t="s" s="12">
        <v>14</v>
      </c>
      <c r="M12614" t="s" s="10">
        <v>14</v>
      </c>
      <c r="N12614" t="s" s="11">
        <v>14</v>
      </c>
      <c r="O12614" t="s" s="8">
        <v>14</v>
      </c>
      <c r="P12614" t="s" s="8">
        <v>14</v>
      </c>
      <c r="Q12614" t="s" s="12">
        <v>14</v>
      </c>
      <c r="R12614" t="s" s="12">
        <v>14</v>
      </c>
    </row>
    <row r="12615" s="2" customFormat="1" ht="13.5" customHeight="1">
      <c r="B12615" s="13"/>
      <c r="C12615" t="s" s="9">
        <v>16</v>
      </c>
      <c r="D12615" t="s" s="8">
        <v>4736</v>
      </c>
      <c r="E12615" t="s" s="9">
        <v>4736</v>
      </c>
      <c r="F12615" t="s" s="10">
        <v>229</v>
      </c>
      <c r="G12615" t="s" s="11">
        <v>73</v>
      </c>
      <c r="H12615" t="s" s="10">
        <v>229</v>
      </c>
      <c r="I12615" t="s" s="11">
        <v>73</v>
      </c>
      <c r="J12615" t="s" s="11">
        <v>20</v>
      </c>
      <c r="K12615" t="s" s="16">
        <f>HYPERLINK("http://csr.bu.edu/ftp/asl/asllvd/demos/verify_start_end_handshape_annotations//test_auto_move//signs_mov/2107.mov","MOV")</f>
        <v>21</v>
      </c>
      <c r="L12615" t="s" s="16">
        <f>HYPERLINK("http://csr.bu.edu/ftp/asl/asllvd/demos/verify_start_end_handshape_annotations//test_auto_move//signs_mov_separ_signers/Liz_2107.mov","MOV")</f>
        <v>21</v>
      </c>
      <c r="M12615" t="s" s="10">
        <v>36</v>
      </c>
      <c r="N12615" s="17">
        <v>13</v>
      </c>
      <c r="O12615" s="18">
        <v>2255</v>
      </c>
      <c r="P12615" s="18">
        <v>2318</v>
      </c>
      <c r="Q12615" t="s" s="16">
        <f>HYPERLINK("http://secrets.rutgers.edu:8080/data/asl-ftp/asllvd/demos/verify_start_end_handshape_annotations//test_auto_move//signs_mov/2107.mov","MOV")</f>
        <v>21</v>
      </c>
      <c r="R12615" t="s" s="16">
        <f>HYPERLINK("http://secrets.rutgers.edu:8080/data/asl-ftp/asllvd/demos/verify_start_end_handshape_annotations//test_auto_move//signs_mov_separ_signers/Liz_2107.mov","MOV")</f>
        <v>21</v>
      </c>
    </row>
    <row r="12616" s="2" customFormat="1" ht="13.5" customHeight="1">
      <c r="B12616" s="13"/>
      <c r="C12616" t="s" s="9">
        <v>30</v>
      </c>
      <c r="D12616" t="s" s="8">
        <v>4736</v>
      </c>
      <c r="E12616" t="s" s="9">
        <v>4736</v>
      </c>
      <c r="F12616" t="s" s="10">
        <v>73</v>
      </c>
      <c r="G12616" t="s" s="11">
        <v>229</v>
      </c>
      <c r="H12616" t="s" s="10">
        <v>229</v>
      </c>
      <c r="I12616" t="s" s="11">
        <v>73</v>
      </c>
      <c r="J12616" t="s" s="11">
        <v>20</v>
      </c>
      <c r="K12616" s="15"/>
      <c r="L12616" t="s" s="16">
        <f>HYPERLINK("http://csr.bu.edu/ftp/asl/asllvd/demos/verify_start_end_handshape_annotations//test_auto_move//signs_mov_separ_signers/Brady_2107.mov","MOV")</f>
        <v>21</v>
      </c>
      <c r="M12616" t="s" s="10">
        <v>40</v>
      </c>
      <c r="N12616" s="17">
        <v>58</v>
      </c>
      <c r="O12616" s="18">
        <v>2450</v>
      </c>
      <c r="P12616" s="18">
        <v>2500</v>
      </c>
      <c r="Q12616" s="15"/>
      <c r="R12616" t="s" s="16">
        <f>HYPERLINK("http://secrets.rutgers.edu:8080/data/asl-ftp/asllvd/demos/verify_start_end_handshape_annotations//test_auto_move//signs_mov_separ_signers/Brady_2107.mov","MOV")</f>
        <v>21</v>
      </c>
    </row>
    <row r="12617" s="2" customFormat="1" ht="27.75" customHeight="1">
      <c r="B12617" t="s" s="8">
        <v>4737</v>
      </c>
      <c r="C12617" t="s" s="9">
        <v>14</v>
      </c>
      <c r="D12617" t="s" s="8">
        <v>14</v>
      </c>
      <c r="E12617" t="s" s="9">
        <v>14</v>
      </c>
      <c r="F12617" t="s" s="10">
        <v>14</v>
      </c>
      <c r="G12617" t="s" s="11">
        <v>14</v>
      </c>
      <c r="H12617" t="s" s="10">
        <v>14</v>
      </c>
      <c r="I12617" t="s" s="11">
        <v>14</v>
      </c>
      <c r="J12617" t="s" s="11">
        <v>14</v>
      </c>
      <c r="K12617" t="s" s="12">
        <v>14</v>
      </c>
      <c r="L12617" t="s" s="12">
        <v>14</v>
      </c>
      <c r="M12617" t="s" s="10">
        <v>14</v>
      </c>
      <c r="N12617" t="s" s="11">
        <v>14</v>
      </c>
      <c r="O12617" t="s" s="8">
        <v>14</v>
      </c>
      <c r="P12617" t="s" s="8">
        <v>14</v>
      </c>
      <c r="Q12617" t="s" s="12">
        <v>14</v>
      </c>
      <c r="R12617" t="s" s="12">
        <v>14</v>
      </c>
    </row>
    <row r="12618" s="2" customFormat="1" ht="27.75" customHeight="1">
      <c r="B12618" s="13"/>
      <c r="C12618" t="s" s="9">
        <v>16</v>
      </c>
      <c r="D12618" t="s" s="8">
        <v>4737</v>
      </c>
      <c r="E12618" t="s" s="9">
        <v>4737</v>
      </c>
      <c r="F12618" t="s" s="10">
        <v>229</v>
      </c>
      <c r="G12618" t="s" s="11">
        <v>73</v>
      </c>
      <c r="H12618" t="s" s="10">
        <v>229</v>
      </c>
      <c r="I12618" t="s" s="11">
        <v>73</v>
      </c>
      <c r="J12618" t="s" s="11">
        <v>20</v>
      </c>
      <c r="K12618" t="s" s="16">
        <f>HYPERLINK("http://csr.bu.edu/ftp/asl/asllvd/demos/verify_start_end_handshape_annotations//test_auto_move//signs_mov/2139.mov","MOV")</f>
        <v>21</v>
      </c>
      <c r="L12618" t="s" s="16">
        <f>HYPERLINK("http://csr.bu.edu/ftp/asl/asllvd/demos/verify_start_end_handshape_annotations//test_auto_move//signs_mov_separ_signers/Liz_2139.mov","MOV")</f>
        <v>21</v>
      </c>
      <c r="M12618" t="s" s="10">
        <v>36</v>
      </c>
      <c r="N12618" s="17">
        <v>17</v>
      </c>
      <c r="O12618" s="18">
        <v>2725</v>
      </c>
      <c r="P12618" s="18">
        <v>2797</v>
      </c>
      <c r="Q12618" t="s" s="16">
        <f>HYPERLINK("http://secrets.rutgers.edu:8080/data/asl-ftp/asllvd/demos/verify_start_end_handshape_annotations//test_auto_move//signs_mov/2139.mov","MOV")</f>
        <v>21</v>
      </c>
      <c r="R12618" t="s" s="16">
        <f>HYPERLINK("http://secrets.rutgers.edu:8080/data/asl-ftp/asllvd/demos/verify_start_end_handshape_annotations//test_auto_move//signs_mov_separ_signers/Liz_2139.mov","MOV")</f>
        <v>21</v>
      </c>
    </row>
    <row r="12619" s="2" customFormat="1" ht="13.5" customHeight="1">
      <c r="B12619" t="s" s="8">
        <v>4738</v>
      </c>
      <c r="C12619" t="s" s="9">
        <v>14</v>
      </c>
      <c r="D12619" t="s" s="8">
        <v>14</v>
      </c>
      <c r="E12619" t="s" s="9">
        <v>14</v>
      </c>
      <c r="F12619" t="s" s="10">
        <v>14</v>
      </c>
      <c r="G12619" t="s" s="11">
        <v>14</v>
      </c>
      <c r="H12619" t="s" s="10">
        <v>14</v>
      </c>
      <c r="I12619" t="s" s="11">
        <v>14</v>
      </c>
      <c r="J12619" t="s" s="11">
        <v>14</v>
      </c>
      <c r="K12619" t="s" s="12">
        <v>14</v>
      </c>
      <c r="L12619" t="s" s="12">
        <v>14</v>
      </c>
      <c r="M12619" t="s" s="10">
        <v>14</v>
      </c>
      <c r="N12619" t="s" s="11">
        <v>14</v>
      </c>
      <c r="O12619" t="s" s="8">
        <v>14</v>
      </c>
      <c r="P12619" t="s" s="8">
        <v>14</v>
      </c>
      <c r="Q12619" t="s" s="12">
        <v>14</v>
      </c>
      <c r="R12619" t="s" s="12">
        <v>14</v>
      </c>
    </row>
    <row r="12620" s="2" customFormat="1" ht="13.5" customHeight="1">
      <c r="B12620" s="13"/>
      <c r="C12620" t="s" s="9">
        <v>16</v>
      </c>
      <c r="D12620" t="s" s="8">
        <v>4738</v>
      </c>
      <c r="E12620" t="s" s="9">
        <v>4738</v>
      </c>
      <c r="F12620" t="s" s="10">
        <v>68</v>
      </c>
      <c r="G12620" s="14"/>
      <c r="H12620" t="s" s="10">
        <v>51</v>
      </c>
      <c r="I12620" s="14"/>
      <c r="J12620" t="s" s="11">
        <v>20</v>
      </c>
      <c r="K12620" t="s" s="16">
        <f>HYPERLINK("http://csr.bu.edu/ftp/asl/asllvd/demos/verify_start_end_handshape_annotations//test_auto_move//signs_mov/2176.mov","MOV")</f>
        <v>21</v>
      </c>
      <c r="L12620" t="s" s="16">
        <f>HYPERLINK("http://csr.bu.edu/ftp/asl/asllvd/demos/verify_start_end_handshape_annotations//test_auto_move//signs_mov_separ_signers/Liz_2176.mov","MOV")</f>
        <v>21</v>
      </c>
      <c r="M12620" t="s" s="10">
        <v>36</v>
      </c>
      <c r="N12620" s="17">
        <v>21</v>
      </c>
      <c r="O12620" s="18">
        <v>2325</v>
      </c>
      <c r="P12620" s="18">
        <v>2375</v>
      </c>
      <c r="Q12620" t="s" s="16">
        <f>HYPERLINK("http://secrets.rutgers.edu:8080/data/asl-ftp/asllvd/demos/verify_start_end_handshape_annotations//test_auto_move//signs_mov/2176.mov","MOV")</f>
        <v>21</v>
      </c>
      <c r="R12620" t="s" s="16">
        <f>HYPERLINK("http://secrets.rutgers.edu:8080/data/asl-ftp/asllvd/demos/verify_start_end_handshape_annotations//test_auto_move//signs_mov_separ_signers/Liz_2176.mov","MOV")</f>
        <v>21</v>
      </c>
    </row>
    <row r="12621" s="2" customFormat="1" ht="13.5" customHeight="1">
      <c r="B12621" s="13"/>
      <c r="C12621" t="s" s="9">
        <v>30</v>
      </c>
      <c r="D12621" t="s" s="8">
        <v>4738</v>
      </c>
      <c r="E12621" t="s" s="9">
        <v>4738</v>
      </c>
      <c r="F12621" t="s" s="10">
        <v>68</v>
      </c>
      <c r="G12621" s="14"/>
      <c r="H12621" t="s" s="10">
        <v>51</v>
      </c>
      <c r="I12621" s="14"/>
      <c r="J12621" t="s" s="11">
        <v>20</v>
      </c>
      <c r="K12621" s="15"/>
      <c r="L12621" t="s" s="16">
        <f>HYPERLINK("http://csr.bu.edu/ftp/asl/asllvd/demos/verify_start_end_handshape_annotations//test_auto_move//signs_mov_separ_signers/Brady_2176.mov","MOV")</f>
        <v>21</v>
      </c>
      <c r="M12621" t="s" s="10">
        <v>40</v>
      </c>
      <c r="N12621" s="17">
        <v>72</v>
      </c>
      <c r="O12621" s="18">
        <v>417</v>
      </c>
      <c r="P12621" s="18">
        <v>436</v>
      </c>
      <c r="Q12621" s="15"/>
      <c r="R12621" t="s" s="16">
        <f>HYPERLINK("http://secrets.rutgers.edu:8080/data/asl-ftp/asllvd/demos/verify_start_end_handshape_annotations//test_auto_move//signs_mov_separ_signers/Brady_2176.mov","MOV")</f>
        <v>21</v>
      </c>
    </row>
    <row r="12622" s="2" customFormat="1" ht="13.5" customHeight="1">
      <c r="B12622" t="s" s="8">
        <v>4739</v>
      </c>
      <c r="C12622" t="s" s="9">
        <v>14</v>
      </c>
      <c r="D12622" t="s" s="8">
        <v>14</v>
      </c>
      <c r="E12622" t="s" s="9">
        <v>14</v>
      </c>
      <c r="F12622" t="s" s="10">
        <v>14</v>
      </c>
      <c r="G12622" t="s" s="11">
        <v>14</v>
      </c>
      <c r="H12622" t="s" s="10">
        <v>14</v>
      </c>
      <c r="I12622" t="s" s="11">
        <v>14</v>
      </c>
      <c r="J12622" t="s" s="11">
        <v>14</v>
      </c>
      <c r="K12622" t="s" s="12">
        <v>14</v>
      </c>
      <c r="L12622" t="s" s="12">
        <v>14</v>
      </c>
      <c r="M12622" t="s" s="10">
        <v>14</v>
      </c>
      <c r="N12622" t="s" s="11">
        <v>14</v>
      </c>
      <c r="O12622" t="s" s="8">
        <v>14</v>
      </c>
      <c r="P12622" t="s" s="8">
        <v>14</v>
      </c>
      <c r="Q12622" t="s" s="12">
        <v>14</v>
      </c>
      <c r="R12622" t="s" s="12">
        <v>14</v>
      </c>
    </row>
    <row r="12623" s="2" customFormat="1" ht="13.5" customHeight="1">
      <c r="B12623" s="13"/>
      <c r="C12623" t="s" s="9">
        <v>16</v>
      </c>
      <c r="D12623" t="s" s="8">
        <v>4739</v>
      </c>
      <c r="E12623" t="s" s="9">
        <v>4739</v>
      </c>
      <c r="F12623" t="s" s="10">
        <v>68</v>
      </c>
      <c r="G12623" s="14"/>
      <c r="H12623" t="s" s="10">
        <v>282</v>
      </c>
      <c r="I12623" s="14"/>
      <c r="J12623" t="s" s="11">
        <v>20</v>
      </c>
      <c r="K12623" t="s" s="16">
        <f>HYPERLINK("http://csr.bu.edu/ftp/asl/asllvd/demos/verify_start_end_handshape_annotations//test_auto_move//signs_mov/2177.mov","MOV")</f>
        <v>21</v>
      </c>
      <c r="L12623" t="s" s="16">
        <f>HYPERLINK("http://csr.bu.edu/ftp/asl/asllvd/demos/verify_start_end_handshape_annotations//test_auto_move//signs_mov_separ_signers/Liz_2177.mov","MOV")</f>
        <v>21</v>
      </c>
      <c r="M12623" t="s" s="10">
        <v>36</v>
      </c>
      <c r="N12623" s="17">
        <v>21</v>
      </c>
      <c r="O12623" s="18">
        <v>2565</v>
      </c>
      <c r="P12623" s="18">
        <v>2606</v>
      </c>
      <c r="Q12623" t="s" s="16">
        <f>HYPERLINK("http://secrets.rutgers.edu:8080/data/asl-ftp/asllvd/demos/verify_start_end_handshape_annotations//test_auto_move//signs_mov/2177.mov","MOV")</f>
        <v>21</v>
      </c>
      <c r="R12623" t="s" s="16">
        <f>HYPERLINK("http://secrets.rutgers.edu:8080/data/asl-ftp/asllvd/demos/verify_start_end_handshape_annotations//test_auto_move//signs_mov_separ_signers/Liz_2177.mov","MOV")</f>
        <v>21</v>
      </c>
    </row>
    <row r="12624" s="2" customFormat="1" ht="13.5" customHeight="1">
      <c r="B12624" s="13"/>
      <c r="C12624" t="s" s="9">
        <v>30</v>
      </c>
      <c r="D12624" t="s" s="8">
        <v>4739</v>
      </c>
      <c r="E12624" t="s" s="9">
        <v>4739</v>
      </c>
      <c r="F12624" t="s" s="10">
        <v>68</v>
      </c>
      <c r="G12624" s="14"/>
      <c r="H12624" t="s" s="10">
        <v>282</v>
      </c>
      <c r="I12624" s="14"/>
      <c r="J12624" t="s" s="11">
        <v>20</v>
      </c>
      <c r="K12624" s="15"/>
      <c r="L12624" t="s" s="16">
        <f>HYPERLINK("http://csr.bu.edu/ftp/asl/asllvd/demos/verify_start_end_handshape_annotations//test_auto_move//signs_mov_separ_signers/Brady_2177.mov","MOV")</f>
        <v>21</v>
      </c>
      <c r="M12624" t="s" s="10">
        <v>40</v>
      </c>
      <c r="N12624" s="17">
        <v>72</v>
      </c>
      <c r="O12624" s="18">
        <v>622</v>
      </c>
      <c r="P12624" s="18">
        <v>643</v>
      </c>
      <c r="Q12624" s="15"/>
      <c r="R12624" t="s" s="16">
        <f>HYPERLINK("http://secrets.rutgers.edu:8080/data/asl-ftp/asllvd/demos/verify_start_end_handshape_annotations//test_auto_move//signs_mov_separ_signers/Brady_2177.mov","MOV")</f>
        <v>21</v>
      </c>
    </row>
    <row r="12625" s="2" customFormat="1" ht="13.5" customHeight="1">
      <c r="B12625" t="s" s="8">
        <v>4740</v>
      </c>
      <c r="C12625" t="s" s="9">
        <v>14</v>
      </c>
      <c r="D12625" t="s" s="8">
        <v>14</v>
      </c>
      <c r="E12625" t="s" s="9">
        <v>14</v>
      </c>
      <c r="F12625" t="s" s="10">
        <v>14</v>
      </c>
      <c r="G12625" t="s" s="11">
        <v>14</v>
      </c>
      <c r="H12625" t="s" s="10">
        <v>14</v>
      </c>
      <c r="I12625" t="s" s="11">
        <v>14</v>
      </c>
      <c r="J12625" t="s" s="11">
        <v>14</v>
      </c>
      <c r="K12625" t="s" s="12">
        <v>14</v>
      </c>
      <c r="L12625" t="s" s="12">
        <v>14</v>
      </c>
      <c r="M12625" t="s" s="10">
        <v>14</v>
      </c>
      <c r="N12625" t="s" s="11">
        <v>14</v>
      </c>
      <c r="O12625" t="s" s="8">
        <v>14</v>
      </c>
      <c r="P12625" t="s" s="8">
        <v>14</v>
      </c>
      <c r="Q12625" t="s" s="12">
        <v>14</v>
      </c>
      <c r="R12625" t="s" s="12">
        <v>14</v>
      </c>
    </row>
    <row r="12626" s="2" customFormat="1" ht="13.5" customHeight="1">
      <c r="B12626" s="13"/>
      <c r="C12626" t="s" s="9">
        <v>30</v>
      </c>
      <c r="D12626" t="s" s="8">
        <v>4740</v>
      </c>
      <c r="E12626" t="s" s="9">
        <v>4740</v>
      </c>
      <c r="F12626" t="s" s="10">
        <v>68</v>
      </c>
      <c r="G12626" t="s" s="11">
        <v>68</v>
      </c>
      <c r="H12626" t="s" s="10">
        <v>73</v>
      </c>
      <c r="I12626" t="s" s="11">
        <v>73</v>
      </c>
      <c r="J12626" t="s" s="11">
        <v>20</v>
      </c>
      <c r="K12626" t="s" s="16">
        <f>HYPERLINK("http://csr.bu.edu/ftp/asl/asllvd/demos/verify_start_end_handshape_annotations//test_auto_move//signs_mov/2186.mov","MOV")</f>
        <v>21</v>
      </c>
      <c r="L12626" t="s" s="16">
        <f>HYPERLINK("http://csr.bu.edu/ftp/asl/asllvd/demos/verify_start_end_handshape_annotations//test_auto_move//signs_mov_separ_signers/Brady_2186.mov","MOV")</f>
        <v>21</v>
      </c>
      <c r="M12626" t="s" s="10">
        <v>40</v>
      </c>
      <c r="N12626" s="17">
        <v>72</v>
      </c>
      <c r="O12626" s="18">
        <v>2701</v>
      </c>
      <c r="P12626" s="18">
        <v>2732</v>
      </c>
      <c r="Q12626" t="s" s="16">
        <f>HYPERLINK("http://secrets.rutgers.edu:8080/data/asl-ftp/asllvd/demos/verify_start_end_handshape_annotations//test_auto_move//signs_mov/2186.mov","MOV")</f>
        <v>21</v>
      </c>
      <c r="R12626" t="s" s="16">
        <f>HYPERLINK("http://secrets.rutgers.edu:8080/data/asl-ftp/asllvd/demos/verify_start_end_handshape_annotations//test_auto_move//signs_mov_separ_signers/Brady_2186.mov","MOV")</f>
        <v>21</v>
      </c>
    </row>
    <row r="12627" s="2" customFormat="1" ht="13.5" customHeight="1">
      <c r="B12627" t="s" s="8">
        <v>4741</v>
      </c>
      <c r="C12627" t="s" s="9">
        <v>14</v>
      </c>
      <c r="D12627" t="s" s="8">
        <v>14</v>
      </c>
      <c r="E12627" t="s" s="9">
        <v>14</v>
      </c>
      <c r="F12627" t="s" s="10">
        <v>14</v>
      </c>
      <c r="G12627" t="s" s="11">
        <v>14</v>
      </c>
      <c r="H12627" t="s" s="10">
        <v>14</v>
      </c>
      <c r="I12627" t="s" s="11">
        <v>14</v>
      </c>
      <c r="J12627" t="s" s="11">
        <v>14</v>
      </c>
      <c r="K12627" t="s" s="12">
        <v>14</v>
      </c>
      <c r="L12627" t="s" s="12">
        <v>14</v>
      </c>
      <c r="M12627" t="s" s="10">
        <v>14</v>
      </c>
      <c r="N12627" t="s" s="11">
        <v>14</v>
      </c>
      <c r="O12627" t="s" s="8">
        <v>14</v>
      </c>
      <c r="P12627" t="s" s="8">
        <v>14</v>
      </c>
      <c r="Q12627" t="s" s="12">
        <v>14</v>
      </c>
      <c r="R12627" t="s" s="12">
        <v>14</v>
      </c>
    </row>
    <row r="12628" s="2" customFormat="1" ht="13.5" customHeight="1">
      <c r="B12628" s="13"/>
      <c r="C12628" t="s" s="9">
        <v>16</v>
      </c>
      <c r="D12628" t="s" s="8">
        <v>4741</v>
      </c>
      <c r="E12628" t="s" s="9">
        <v>4741</v>
      </c>
      <c r="F12628" t="s" s="10">
        <v>68</v>
      </c>
      <c r="G12628" t="s" s="11">
        <v>68</v>
      </c>
      <c r="H12628" t="s" s="10">
        <v>73</v>
      </c>
      <c r="I12628" t="s" s="11">
        <v>73</v>
      </c>
      <c r="J12628" t="s" s="11">
        <v>20</v>
      </c>
      <c r="K12628" t="s" s="16">
        <f>HYPERLINK("http://csr.bu.edu/ftp/asl/asllvd/demos/verify_start_end_handshape_annotations//test_auto_move//signs_mov/16567.mov","MOV")</f>
        <v>21</v>
      </c>
      <c r="L12628" t="s" s="16">
        <f>HYPERLINK("http://csr.bu.edu/ftp/asl/asllvd/demos/verify_start_end_handshape_annotations//test_auto_move//signs_mov_separ_signers/Liz_16567.mov","MOV")</f>
        <v>21</v>
      </c>
      <c r="M12628" t="s" s="10">
        <v>36</v>
      </c>
      <c r="N12628" s="17">
        <v>22</v>
      </c>
      <c r="O12628" s="18">
        <v>2620</v>
      </c>
      <c r="P12628" s="18">
        <v>2680</v>
      </c>
      <c r="Q12628" t="s" s="16">
        <f>HYPERLINK("http://secrets.rutgers.edu:8080/data/asl-ftp/asllvd/demos/verify_start_end_handshape_annotations//test_auto_move//signs_mov/16567.mov","MOV")</f>
        <v>21</v>
      </c>
      <c r="R12628" t="s" s="16">
        <f>HYPERLINK("http://secrets.rutgers.edu:8080/data/asl-ftp/asllvd/demos/verify_start_end_handshape_annotations//test_auto_move//signs_mov_separ_signers/Liz_16567.mov","MOV")</f>
        <v>21</v>
      </c>
    </row>
    <row r="12629" s="2" customFormat="1" ht="13.5" customHeight="1">
      <c r="B12629" t="s" s="8">
        <v>4742</v>
      </c>
      <c r="C12629" t="s" s="9">
        <v>14</v>
      </c>
      <c r="D12629" t="s" s="8">
        <v>14</v>
      </c>
      <c r="E12629" t="s" s="9">
        <v>14</v>
      </c>
      <c r="F12629" t="s" s="10">
        <v>14</v>
      </c>
      <c r="G12629" t="s" s="11">
        <v>14</v>
      </c>
      <c r="H12629" t="s" s="10">
        <v>14</v>
      </c>
      <c r="I12629" t="s" s="11">
        <v>14</v>
      </c>
      <c r="J12629" t="s" s="11">
        <v>14</v>
      </c>
      <c r="K12629" t="s" s="12">
        <v>14</v>
      </c>
      <c r="L12629" t="s" s="12">
        <v>14</v>
      </c>
      <c r="M12629" t="s" s="10">
        <v>14</v>
      </c>
      <c r="N12629" t="s" s="11">
        <v>14</v>
      </c>
      <c r="O12629" t="s" s="8">
        <v>14</v>
      </c>
      <c r="P12629" t="s" s="8">
        <v>14</v>
      </c>
      <c r="Q12629" t="s" s="12">
        <v>14</v>
      </c>
      <c r="R12629" t="s" s="12">
        <v>14</v>
      </c>
    </row>
    <row r="12630" s="2" customFormat="1" ht="13.5" customHeight="1">
      <c r="B12630" s="13"/>
      <c r="C12630" t="s" s="9">
        <v>16</v>
      </c>
      <c r="D12630" t="s" s="8">
        <v>4742</v>
      </c>
      <c r="E12630" t="s" s="9">
        <v>4742</v>
      </c>
      <c r="F12630" s="19">
        <v>10</v>
      </c>
      <c r="G12630" s="17">
        <v>10</v>
      </c>
      <c r="H12630" t="s" s="10">
        <v>73</v>
      </c>
      <c r="I12630" t="s" s="11">
        <v>73</v>
      </c>
      <c r="J12630" t="s" s="11">
        <v>20</v>
      </c>
      <c r="K12630" t="s" s="16">
        <f>HYPERLINK("http://csr.bu.edu/ftp/asl/asllvd/demos/verify_start_end_handshape_annotations//test_auto_move//signs_mov/2196.mov","MOV")</f>
        <v>21</v>
      </c>
      <c r="L12630" t="s" s="16">
        <f>HYPERLINK("http://csr.bu.edu/ftp/asl/asllvd/demos/verify_start_end_handshape_annotations//test_auto_move//signs_mov_separ_signers/Liz_2196.mov","MOV")</f>
        <v>21</v>
      </c>
      <c r="M12630" t="s" s="10">
        <v>36</v>
      </c>
      <c r="N12630" s="17">
        <v>23</v>
      </c>
      <c r="O12630" s="18">
        <v>2673</v>
      </c>
      <c r="P12630" s="18">
        <v>2726</v>
      </c>
      <c r="Q12630" t="s" s="16">
        <f>HYPERLINK("http://secrets.rutgers.edu:8080/data/asl-ftp/asllvd/demos/verify_start_end_handshape_annotations//test_auto_move//signs_mov/2196.mov","MOV")</f>
        <v>21</v>
      </c>
      <c r="R12630" t="s" s="16">
        <f>HYPERLINK("http://secrets.rutgers.edu:8080/data/asl-ftp/asllvd/demos/verify_start_end_handshape_annotations//test_auto_move//signs_mov_separ_signers/Liz_2196.mov","MOV")</f>
        <v>21</v>
      </c>
    </row>
    <row r="12631" s="2" customFormat="1" ht="13.5" customHeight="1">
      <c r="B12631" s="13"/>
      <c r="C12631" t="s" s="9">
        <v>30</v>
      </c>
      <c r="D12631" t="s" s="8">
        <v>4742</v>
      </c>
      <c r="E12631" t="s" s="9">
        <v>4742</v>
      </c>
      <c r="F12631" s="19">
        <v>10</v>
      </c>
      <c r="G12631" s="17">
        <v>10</v>
      </c>
      <c r="H12631" t="s" s="10">
        <v>73</v>
      </c>
      <c r="I12631" t="s" s="11">
        <v>73</v>
      </c>
      <c r="J12631" t="s" s="11">
        <v>20</v>
      </c>
      <c r="K12631" s="15"/>
      <c r="L12631" t="s" s="16">
        <f>HYPERLINK("http://csr.bu.edu/ftp/asl/asllvd/demos/verify_start_end_handshape_annotations//test_auto_move//signs_mov_separ_signers/Brady_2196.mov","MOV")</f>
        <v>21</v>
      </c>
      <c r="M12631" t="s" s="10">
        <v>40</v>
      </c>
      <c r="N12631" s="17">
        <v>73</v>
      </c>
      <c r="O12631" s="18">
        <v>2851</v>
      </c>
      <c r="P12631" s="18">
        <v>2892</v>
      </c>
      <c r="Q12631" s="15"/>
      <c r="R12631" t="s" s="16">
        <f>HYPERLINK("http://secrets.rutgers.edu:8080/data/asl-ftp/asllvd/demos/verify_start_end_handshape_annotations//test_auto_move//signs_mov_separ_signers/Brady_2196.mov","MOV")</f>
        <v>21</v>
      </c>
    </row>
    <row r="12632" s="2" customFormat="1" ht="13.5" customHeight="1">
      <c r="B12632" t="s" s="8">
        <v>4743</v>
      </c>
      <c r="C12632" t="s" s="9">
        <v>14</v>
      </c>
      <c r="D12632" t="s" s="8">
        <v>14</v>
      </c>
      <c r="E12632" t="s" s="9">
        <v>14</v>
      </c>
      <c r="F12632" t="s" s="10">
        <v>14</v>
      </c>
      <c r="G12632" t="s" s="11">
        <v>14</v>
      </c>
      <c r="H12632" t="s" s="10">
        <v>14</v>
      </c>
      <c r="I12632" t="s" s="11">
        <v>14</v>
      </c>
      <c r="J12632" t="s" s="11">
        <v>14</v>
      </c>
      <c r="K12632" t="s" s="12">
        <v>14</v>
      </c>
      <c r="L12632" t="s" s="12">
        <v>14</v>
      </c>
      <c r="M12632" t="s" s="10">
        <v>14</v>
      </c>
      <c r="N12632" t="s" s="11">
        <v>14</v>
      </c>
      <c r="O12632" t="s" s="8">
        <v>14</v>
      </c>
      <c r="P12632" t="s" s="8">
        <v>14</v>
      </c>
      <c r="Q12632" t="s" s="12">
        <v>14</v>
      </c>
      <c r="R12632" t="s" s="12">
        <v>14</v>
      </c>
    </row>
    <row r="12633" s="2" customFormat="1" ht="13.5" customHeight="1">
      <c r="B12633" s="13"/>
      <c r="C12633" t="s" s="9">
        <v>16</v>
      </c>
      <c r="D12633" t="s" s="8">
        <v>4743</v>
      </c>
      <c r="E12633" t="s" s="9">
        <v>4743</v>
      </c>
      <c r="F12633" s="19">
        <v>5</v>
      </c>
      <c r="G12633" t="s" s="11">
        <v>55</v>
      </c>
      <c r="H12633" s="19">
        <v>1</v>
      </c>
      <c r="I12633" s="17">
        <v>1</v>
      </c>
      <c r="J12633" t="s" s="11">
        <v>20</v>
      </c>
      <c r="K12633" t="s" s="16">
        <f>HYPERLINK("http://csr.bu.edu/ftp/asl/asllvd/demos/verify_start_end_handshape_annotations//test_auto_move//signs_mov/2206.mov","MOV")</f>
        <v>21</v>
      </c>
      <c r="L12633" t="s" s="16">
        <f>HYPERLINK("http://csr.bu.edu/ftp/asl/asllvd/demos/verify_start_end_handshape_annotations//test_auto_move//signs_mov_separ_signers/Liz_2206.mov","MOV")</f>
        <v>21</v>
      </c>
      <c r="M12633" t="s" s="10">
        <v>36</v>
      </c>
      <c r="N12633" s="17">
        <v>24</v>
      </c>
      <c r="O12633" s="18">
        <v>3265</v>
      </c>
      <c r="P12633" s="18">
        <v>3355</v>
      </c>
      <c r="Q12633" t="s" s="16">
        <f>HYPERLINK("http://secrets.rutgers.edu:8080/data/asl-ftp/asllvd/demos/verify_start_end_handshape_annotations//test_auto_move//signs_mov/2206.mov","MOV")</f>
        <v>21</v>
      </c>
      <c r="R12633" t="s" s="16">
        <f>HYPERLINK("http://secrets.rutgers.edu:8080/data/asl-ftp/asllvd/demos/verify_start_end_handshape_annotations//test_auto_move//signs_mov_separ_signers/Liz_2206.mov","MOV")</f>
        <v>21</v>
      </c>
    </row>
    <row r="12634" s="2" customFormat="1" ht="13.5" customHeight="1">
      <c r="B12634" s="13"/>
      <c r="C12634" t="s" s="9">
        <v>30</v>
      </c>
      <c r="D12634" t="s" s="8">
        <v>4743</v>
      </c>
      <c r="E12634" t="s" s="9">
        <v>4743</v>
      </c>
      <c r="F12634" s="19">
        <v>5</v>
      </c>
      <c r="G12634" t="s" s="11">
        <v>109</v>
      </c>
      <c r="H12634" s="19">
        <v>1</v>
      </c>
      <c r="I12634" s="17">
        <v>1</v>
      </c>
      <c r="J12634" t="s" s="11">
        <v>20</v>
      </c>
      <c r="K12634" s="15"/>
      <c r="L12634" t="s" s="16">
        <f>HYPERLINK("http://csr.bu.edu/ftp/asl/asllvd/demos/verify_start_end_handshape_annotations//test_auto_move//signs_mov_separ_signers/Brady_2206.mov","MOV")</f>
        <v>21</v>
      </c>
      <c r="M12634" t="s" s="10">
        <v>40</v>
      </c>
      <c r="N12634" s="17">
        <v>74</v>
      </c>
      <c r="O12634" s="18">
        <v>2800</v>
      </c>
      <c r="P12634" s="18">
        <v>2862</v>
      </c>
      <c r="Q12634" s="15"/>
      <c r="R12634" t="s" s="16">
        <f>HYPERLINK("http://secrets.rutgers.edu:8080/data/asl-ftp/asllvd/demos/verify_start_end_handshape_annotations//test_auto_move//signs_mov_separ_signers/Brady_2206.mov","MOV")</f>
        <v>21</v>
      </c>
    </row>
    <row r="12635" s="2" customFormat="1" ht="13.5" customHeight="1">
      <c r="B12635" t="s" s="8">
        <v>4744</v>
      </c>
      <c r="C12635" t="s" s="9">
        <v>14</v>
      </c>
      <c r="D12635" t="s" s="8">
        <v>14</v>
      </c>
      <c r="E12635" t="s" s="9">
        <v>14</v>
      </c>
      <c r="F12635" t="s" s="10">
        <v>14</v>
      </c>
      <c r="G12635" t="s" s="11">
        <v>14</v>
      </c>
      <c r="H12635" t="s" s="10">
        <v>14</v>
      </c>
      <c r="I12635" t="s" s="11">
        <v>14</v>
      </c>
      <c r="J12635" t="s" s="11">
        <v>14</v>
      </c>
      <c r="K12635" t="s" s="12">
        <v>14</v>
      </c>
      <c r="L12635" t="s" s="12">
        <v>14</v>
      </c>
      <c r="M12635" t="s" s="10">
        <v>14</v>
      </c>
      <c r="N12635" t="s" s="11">
        <v>14</v>
      </c>
      <c r="O12635" t="s" s="8">
        <v>14</v>
      </c>
      <c r="P12635" t="s" s="8">
        <v>14</v>
      </c>
      <c r="Q12635" t="s" s="12">
        <v>14</v>
      </c>
      <c r="R12635" t="s" s="12">
        <v>14</v>
      </c>
    </row>
    <row r="12636" s="2" customFormat="1" ht="13.5" customHeight="1">
      <c r="B12636" s="13"/>
      <c r="C12636" t="s" s="9">
        <v>16</v>
      </c>
      <c r="D12636" t="s" s="8">
        <v>4744</v>
      </c>
      <c r="E12636" t="s" s="9">
        <v>4744</v>
      </c>
      <c r="F12636" s="19">
        <v>1</v>
      </c>
      <c r="G12636" s="14"/>
      <c r="H12636" s="19">
        <v>5</v>
      </c>
      <c r="I12636" s="17">
        <v>5</v>
      </c>
      <c r="J12636" t="s" s="11">
        <v>20</v>
      </c>
      <c r="K12636" t="s" s="16">
        <f>HYPERLINK("http://csr.bu.edu/ftp/asl/asllvd/demos/verify_start_end_handshape_annotations//test_auto_move//signs_mov/2256.mov","MOV")</f>
        <v>21</v>
      </c>
      <c r="L12636" t="s" s="16">
        <f>HYPERLINK("http://csr.bu.edu/ftp/asl/asllvd/demos/verify_start_end_handshape_annotations//test_auto_move//signs_mov_separ_signers/Liz_2256.mov","MOV")</f>
        <v>21</v>
      </c>
      <c r="M12636" t="s" s="10">
        <v>36</v>
      </c>
      <c r="N12636" s="17">
        <v>29</v>
      </c>
      <c r="O12636" s="18">
        <v>2211</v>
      </c>
      <c r="P12636" s="18">
        <v>2267</v>
      </c>
      <c r="Q12636" t="s" s="16">
        <f>HYPERLINK("http://secrets.rutgers.edu:8080/data/asl-ftp/asllvd/demos/verify_start_end_handshape_annotations//test_auto_move//signs_mov/2256.mov","MOV")</f>
        <v>21</v>
      </c>
      <c r="R12636" t="s" s="16">
        <f>HYPERLINK("http://secrets.rutgers.edu:8080/data/asl-ftp/asllvd/demos/verify_start_end_handshape_annotations//test_auto_move//signs_mov_separ_signers/Liz_2256.mov","MOV")</f>
        <v>21</v>
      </c>
    </row>
    <row r="12637" s="2" customFormat="1" ht="13.5" customHeight="1">
      <c r="B12637" t="s" s="8">
        <v>52</v>
      </c>
      <c r="C12637" t="s" s="9">
        <v>53</v>
      </c>
      <c r="D12637" t="s" s="8">
        <v>53</v>
      </c>
      <c r="E12637" t="s" s="9">
        <v>53</v>
      </c>
      <c r="F12637" t="s" s="10">
        <v>53</v>
      </c>
      <c r="G12637" t="s" s="11">
        <v>53</v>
      </c>
      <c r="H12637" t="s" s="10">
        <v>53</v>
      </c>
      <c r="I12637" t="s" s="11">
        <v>53</v>
      </c>
      <c r="J12637" t="s" s="11">
        <v>53</v>
      </c>
      <c r="K12637" t="s" s="12">
        <v>53</v>
      </c>
      <c r="L12637" t="s" s="12">
        <v>53</v>
      </c>
      <c r="M12637" t="s" s="10">
        <v>53</v>
      </c>
      <c r="N12637" t="s" s="11">
        <v>53</v>
      </c>
      <c r="O12637" t="s" s="8">
        <v>53</v>
      </c>
      <c r="P12637" t="s" s="8">
        <v>53</v>
      </c>
      <c r="Q12637" t="s" s="12">
        <v>53</v>
      </c>
      <c r="R12637" t="s" s="12">
        <v>53</v>
      </c>
    </row>
    <row r="12638" s="2" customFormat="1" ht="13.5" customHeight="1">
      <c r="B12638" s="13"/>
      <c r="C12638" t="s" s="9">
        <v>30</v>
      </c>
      <c r="D12638" t="s" s="8">
        <v>4744</v>
      </c>
      <c r="E12638" t="s" s="9">
        <v>4745</v>
      </c>
      <c r="F12638" s="19">
        <v>1</v>
      </c>
      <c r="G12638" s="17">
        <v>1</v>
      </c>
      <c r="H12638" t="s" s="10">
        <v>72</v>
      </c>
      <c r="I12638" t="s" s="11">
        <v>72</v>
      </c>
      <c r="J12638" t="s" s="11">
        <v>20</v>
      </c>
      <c r="K12638" t="s" s="16">
        <f>HYPERLINK("http://csr.bu.edu/ftp/asl/asllvd/demos/verify_start_end_handshape_annotations//test_auto_move//signs_mov/16452.mov","MOV")</f>
        <v>21</v>
      </c>
      <c r="L12638" t="s" s="16">
        <f>HYPERLINK("http://csr.bu.edu/ftp/asl/asllvd/demos/verify_start_end_handshape_annotations//test_auto_move//signs_mov_separ_signers/Brady_16452.mov","MOV")</f>
        <v>21</v>
      </c>
      <c r="M12638" t="s" s="10">
        <v>40</v>
      </c>
      <c r="N12638" s="17">
        <v>80</v>
      </c>
      <c r="O12638" s="18">
        <v>4221</v>
      </c>
      <c r="P12638" s="18">
        <v>4244</v>
      </c>
      <c r="Q12638" t="s" s="16">
        <f>HYPERLINK("http://secrets.rutgers.edu:8080/data/asl-ftp/asllvd/demos/verify_start_end_handshape_annotations//test_auto_move//signs_mov/16452.mov","MOV")</f>
        <v>21</v>
      </c>
      <c r="R12638" t="s" s="16">
        <f>HYPERLINK("http://secrets.rutgers.edu:8080/data/asl-ftp/asllvd/demos/verify_start_end_handshape_annotations//test_auto_move//signs_mov_separ_signers/Brady_16452.mov","MOV")</f>
        <v>21</v>
      </c>
    </row>
    <row r="12639" s="2" customFormat="1" ht="13.5" customHeight="1">
      <c r="B12639" t="s" s="8">
        <v>4746</v>
      </c>
      <c r="C12639" t="s" s="9">
        <v>14</v>
      </c>
      <c r="D12639" t="s" s="8">
        <v>14</v>
      </c>
      <c r="E12639" t="s" s="9">
        <v>14</v>
      </c>
      <c r="F12639" t="s" s="10">
        <v>14</v>
      </c>
      <c r="G12639" t="s" s="11">
        <v>14</v>
      </c>
      <c r="H12639" t="s" s="10">
        <v>14</v>
      </c>
      <c r="I12639" t="s" s="11">
        <v>14</v>
      </c>
      <c r="J12639" t="s" s="11">
        <v>14</v>
      </c>
      <c r="K12639" t="s" s="12">
        <v>14</v>
      </c>
      <c r="L12639" t="s" s="12">
        <v>14</v>
      </c>
      <c r="M12639" t="s" s="10">
        <v>14</v>
      </c>
      <c r="N12639" t="s" s="11">
        <v>14</v>
      </c>
      <c r="O12639" t="s" s="8">
        <v>14</v>
      </c>
      <c r="P12639" t="s" s="8">
        <v>14</v>
      </c>
      <c r="Q12639" t="s" s="12">
        <v>14</v>
      </c>
      <c r="R12639" t="s" s="12">
        <v>14</v>
      </c>
    </row>
    <row r="12640" s="2" customFormat="1" ht="13.5" customHeight="1">
      <c r="B12640" s="13"/>
      <c r="C12640" t="s" s="9">
        <v>16</v>
      </c>
      <c r="D12640" t="s" s="8">
        <v>4747</v>
      </c>
      <c r="E12640" t="s" s="9">
        <v>4747</v>
      </c>
      <c r="F12640" t="s" s="10">
        <v>73</v>
      </c>
      <c r="G12640" t="s" s="11">
        <v>73</v>
      </c>
      <c r="H12640" t="s" s="10">
        <v>73</v>
      </c>
      <c r="I12640" t="s" s="11">
        <v>73</v>
      </c>
      <c r="J12640" t="s" s="11">
        <v>20</v>
      </c>
      <c r="K12640" t="s" s="16">
        <f>HYPERLINK("http://csr.bu.edu/ftp/asl/asllvd/demos/verify_start_end_handshape_annotations//test_auto_move//signs_mov/2286.mov","MOV")</f>
        <v>21</v>
      </c>
      <c r="L12640" t="s" s="16">
        <f>HYPERLINK("http://csr.bu.edu/ftp/asl/asllvd/demos/verify_start_end_handshape_annotations//test_auto_move//signs_mov_separ_signers/Liz_2286.mov","MOV")</f>
        <v>21</v>
      </c>
      <c r="M12640" t="s" s="10">
        <v>36</v>
      </c>
      <c r="N12640" s="17">
        <v>32</v>
      </c>
      <c r="O12640" s="18">
        <v>2338</v>
      </c>
      <c r="P12640" s="18">
        <v>2398</v>
      </c>
      <c r="Q12640" t="s" s="16">
        <f>HYPERLINK("http://secrets.rutgers.edu:8080/data/asl-ftp/asllvd/demos/verify_start_end_handshape_annotations//test_auto_move//signs_mov/2286.mov","MOV")</f>
        <v>21</v>
      </c>
      <c r="R12640" t="s" s="16">
        <f>HYPERLINK("http://secrets.rutgers.edu:8080/data/asl-ftp/asllvd/demos/verify_start_end_handshape_annotations//test_auto_move//signs_mov_separ_signers/Liz_2286.mov","MOV")</f>
        <v>21</v>
      </c>
    </row>
    <row r="12641" s="2" customFormat="1" ht="13.5" customHeight="1">
      <c r="B12641" t="s" s="8">
        <v>4748</v>
      </c>
      <c r="C12641" t="s" s="9">
        <v>14</v>
      </c>
      <c r="D12641" t="s" s="8">
        <v>14</v>
      </c>
      <c r="E12641" t="s" s="9">
        <v>14</v>
      </c>
      <c r="F12641" t="s" s="10">
        <v>14</v>
      </c>
      <c r="G12641" t="s" s="11">
        <v>14</v>
      </c>
      <c r="H12641" t="s" s="10">
        <v>14</v>
      </c>
      <c r="I12641" t="s" s="11">
        <v>14</v>
      </c>
      <c r="J12641" t="s" s="11">
        <v>14</v>
      </c>
      <c r="K12641" t="s" s="12">
        <v>14</v>
      </c>
      <c r="L12641" t="s" s="12">
        <v>14</v>
      </c>
      <c r="M12641" t="s" s="10">
        <v>14</v>
      </c>
      <c r="N12641" t="s" s="11">
        <v>14</v>
      </c>
      <c r="O12641" t="s" s="8">
        <v>14</v>
      </c>
      <c r="P12641" t="s" s="8">
        <v>14</v>
      </c>
      <c r="Q12641" t="s" s="12">
        <v>14</v>
      </c>
      <c r="R12641" t="s" s="12">
        <v>14</v>
      </c>
    </row>
    <row r="12642" s="2" customFormat="1" ht="13.5" customHeight="1">
      <c r="B12642" s="13"/>
      <c r="C12642" t="s" s="9">
        <v>16</v>
      </c>
      <c r="D12642" t="s" s="8">
        <v>4748</v>
      </c>
      <c r="E12642" t="s" s="9">
        <v>4748</v>
      </c>
      <c r="F12642" s="19">
        <v>10</v>
      </c>
      <c r="G12642" s="14"/>
      <c r="H12642" t="s" s="10">
        <v>25</v>
      </c>
      <c r="I12642" t="s" s="11">
        <v>73</v>
      </c>
      <c r="J12642" t="s" s="11">
        <v>20</v>
      </c>
      <c r="K12642" t="s" s="16">
        <f>HYPERLINK("http://csr.bu.edu/ftp/asl/asllvd/demos/verify_start_end_handshape_annotations//test_auto_move//signs_mov/2291.mov","MOV")</f>
        <v>21</v>
      </c>
      <c r="L12642" t="s" s="16">
        <f>HYPERLINK("http://csr.bu.edu/ftp/asl/asllvd/demos/verify_start_end_handshape_annotations//test_auto_move//signs_mov_separ_signers/Liz_2291.mov","MOV")</f>
        <v>21</v>
      </c>
      <c r="M12642" t="s" s="10">
        <v>36</v>
      </c>
      <c r="N12642" s="17">
        <v>33</v>
      </c>
      <c r="O12642" s="18">
        <v>561</v>
      </c>
      <c r="P12642" s="18">
        <v>624</v>
      </c>
      <c r="Q12642" t="s" s="16">
        <f>HYPERLINK("http://secrets.rutgers.edu:8080/data/asl-ftp/asllvd/demos/verify_start_end_handshape_annotations//test_auto_move//signs_mov/2291.mov","MOV")</f>
        <v>21</v>
      </c>
      <c r="R12642" t="s" s="16">
        <f>HYPERLINK("http://secrets.rutgers.edu:8080/data/asl-ftp/asllvd/demos/verify_start_end_handshape_annotations//test_auto_move//signs_mov_separ_signers/Liz_2291.mov","MOV")</f>
        <v>21</v>
      </c>
    </row>
    <row r="12643" s="2" customFormat="1" ht="27.75" customHeight="1">
      <c r="B12643" t="s" s="8">
        <v>4749</v>
      </c>
      <c r="C12643" t="s" s="9">
        <v>14</v>
      </c>
      <c r="D12643" t="s" s="8">
        <v>14</v>
      </c>
      <c r="E12643" t="s" s="9">
        <v>14</v>
      </c>
      <c r="F12643" t="s" s="10">
        <v>14</v>
      </c>
      <c r="G12643" t="s" s="11">
        <v>14</v>
      </c>
      <c r="H12643" t="s" s="10">
        <v>14</v>
      </c>
      <c r="I12643" t="s" s="11">
        <v>14</v>
      </c>
      <c r="J12643" t="s" s="11">
        <v>14</v>
      </c>
      <c r="K12643" t="s" s="12">
        <v>14</v>
      </c>
      <c r="L12643" t="s" s="12">
        <v>14</v>
      </c>
      <c r="M12643" t="s" s="10">
        <v>14</v>
      </c>
      <c r="N12643" t="s" s="11">
        <v>14</v>
      </c>
      <c r="O12643" t="s" s="8">
        <v>14</v>
      </c>
      <c r="P12643" t="s" s="8">
        <v>14</v>
      </c>
      <c r="Q12643" t="s" s="12">
        <v>14</v>
      </c>
      <c r="R12643" t="s" s="12">
        <v>14</v>
      </c>
    </row>
    <row r="12644" s="2" customFormat="1" ht="27.75" customHeight="1">
      <c r="B12644" s="13"/>
      <c r="C12644" t="s" s="9">
        <v>16</v>
      </c>
      <c r="D12644" t="s" s="8">
        <v>4749</v>
      </c>
      <c r="E12644" t="s" s="9">
        <v>4749</v>
      </c>
      <c r="F12644" t="s" s="10">
        <v>229</v>
      </c>
      <c r="G12644" t="s" s="11">
        <v>73</v>
      </c>
      <c r="H12644" t="s" s="10">
        <v>229</v>
      </c>
      <c r="I12644" t="s" s="11">
        <v>73</v>
      </c>
      <c r="J12644" t="s" s="11">
        <v>20</v>
      </c>
      <c r="K12644" t="s" s="16">
        <f>HYPERLINK("http://csr.bu.edu/ftp/asl/asllvd/demos/verify_start_end_handshape_annotations//test_auto_move//signs_mov/2313.mov","MOV")</f>
        <v>21</v>
      </c>
      <c r="L12644" t="s" s="16">
        <f>HYPERLINK("http://csr.bu.edu/ftp/asl/asllvd/demos/verify_start_end_handshape_annotations//test_auto_move//signs_mov_separ_signers/Liz_2313.mov","MOV")</f>
        <v>21</v>
      </c>
      <c r="M12644" t="s" s="10">
        <v>36</v>
      </c>
      <c r="N12644" s="17">
        <v>35</v>
      </c>
      <c r="O12644" s="18">
        <v>1370</v>
      </c>
      <c r="P12644" s="18">
        <v>1430</v>
      </c>
      <c r="Q12644" t="s" s="16">
        <f>HYPERLINK("http://secrets.rutgers.edu:8080/data/asl-ftp/asllvd/demos/verify_start_end_handshape_annotations//test_auto_move//signs_mov/2313.mov","MOV")</f>
        <v>21</v>
      </c>
      <c r="R12644" t="s" s="16">
        <f>HYPERLINK("http://secrets.rutgers.edu:8080/data/asl-ftp/asllvd/demos/verify_start_end_handshape_annotations//test_auto_move//signs_mov_separ_signers/Liz_2313.mov","MOV")</f>
        <v>21</v>
      </c>
    </row>
    <row r="12645" s="2" customFormat="1" ht="13.5" customHeight="1">
      <c r="B12645" t="s" s="8">
        <v>4750</v>
      </c>
      <c r="C12645" t="s" s="9">
        <v>14</v>
      </c>
      <c r="D12645" t="s" s="8">
        <v>14</v>
      </c>
      <c r="E12645" t="s" s="9">
        <v>14</v>
      </c>
      <c r="F12645" t="s" s="10">
        <v>14</v>
      </c>
      <c r="G12645" t="s" s="11">
        <v>14</v>
      </c>
      <c r="H12645" t="s" s="10">
        <v>14</v>
      </c>
      <c r="I12645" t="s" s="11">
        <v>14</v>
      </c>
      <c r="J12645" t="s" s="11">
        <v>14</v>
      </c>
      <c r="K12645" t="s" s="12">
        <v>14</v>
      </c>
      <c r="L12645" t="s" s="12">
        <v>14</v>
      </c>
      <c r="M12645" t="s" s="10">
        <v>14</v>
      </c>
      <c r="N12645" t="s" s="11">
        <v>14</v>
      </c>
      <c r="O12645" t="s" s="8">
        <v>14</v>
      </c>
      <c r="P12645" t="s" s="8">
        <v>14</v>
      </c>
      <c r="Q12645" t="s" s="12">
        <v>14</v>
      </c>
      <c r="R12645" t="s" s="12">
        <v>14</v>
      </c>
    </row>
    <row r="12646" s="2" customFormat="1" ht="13.5" customHeight="1">
      <c r="B12646" s="13"/>
      <c r="C12646" t="s" s="9">
        <v>30</v>
      </c>
      <c r="D12646" t="s" s="8">
        <v>4750</v>
      </c>
      <c r="E12646" t="s" s="9">
        <v>4750</v>
      </c>
      <c r="F12646" s="19">
        <v>5</v>
      </c>
      <c r="G12646" s="17">
        <v>5</v>
      </c>
      <c r="H12646" t="s" s="10">
        <v>68</v>
      </c>
      <c r="I12646" t="s" s="11">
        <v>68</v>
      </c>
      <c r="J12646" t="s" s="11">
        <v>20</v>
      </c>
      <c r="K12646" t="s" s="16">
        <f>HYPERLINK("http://csr.bu.edu/ftp/asl/asllvd/demos/verify_start_end_handshape_annotations//test_auto_move//signs_mov/2331.mov","MOV")</f>
        <v>21</v>
      </c>
      <c r="L12646" t="s" s="16">
        <f>HYPERLINK("http://csr.bu.edu/ftp/asl/asllvd/demos/verify_start_end_handshape_annotations//test_auto_move//signs_mov_separ_signers/Brady_2331.mov","MOV")</f>
        <v>21</v>
      </c>
      <c r="M12646" t="s" s="10">
        <v>40</v>
      </c>
      <c r="N12646" s="17">
        <v>89</v>
      </c>
      <c r="O12646" s="18">
        <v>1678</v>
      </c>
      <c r="P12646" s="18">
        <v>1710</v>
      </c>
      <c r="Q12646" t="s" s="16">
        <f>HYPERLINK("http://secrets.rutgers.edu:8080/data/asl-ftp/asllvd/demos/verify_start_end_handshape_annotations//test_auto_move//signs_mov/2331.mov","MOV")</f>
        <v>21</v>
      </c>
      <c r="R12646" t="s" s="16">
        <f>HYPERLINK("http://secrets.rutgers.edu:8080/data/asl-ftp/asllvd/demos/verify_start_end_handshape_annotations//test_auto_move//signs_mov_separ_signers/Brady_2331.mov","MOV")</f>
        <v>21</v>
      </c>
    </row>
    <row r="12647" s="2" customFormat="1" ht="13.5" customHeight="1">
      <c r="B12647" t="s" s="8">
        <v>4751</v>
      </c>
      <c r="C12647" t="s" s="9">
        <v>14</v>
      </c>
      <c r="D12647" t="s" s="8">
        <v>14</v>
      </c>
      <c r="E12647" t="s" s="9">
        <v>14</v>
      </c>
      <c r="F12647" t="s" s="10">
        <v>14</v>
      </c>
      <c r="G12647" t="s" s="11">
        <v>14</v>
      </c>
      <c r="H12647" t="s" s="10">
        <v>14</v>
      </c>
      <c r="I12647" t="s" s="11">
        <v>14</v>
      </c>
      <c r="J12647" t="s" s="11">
        <v>14</v>
      </c>
      <c r="K12647" t="s" s="12">
        <v>14</v>
      </c>
      <c r="L12647" t="s" s="12">
        <v>14</v>
      </c>
      <c r="M12647" t="s" s="10">
        <v>14</v>
      </c>
      <c r="N12647" t="s" s="11">
        <v>14</v>
      </c>
      <c r="O12647" t="s" s="8">
        <v>14</v>
      </c>
      <c r="P12647" t="s" s="8">
        <v>14</v>
      </c>
      <c r="Q12647" t="s" s="12">
        <v>14</v>
      </c>
      <c r="R12647" t="s" s="12">
        <v>14</v>
      </c>
    </row>
    <row r="12648" s="2" customFormat="1" ht="13.5" customHeight="1">
      <c r="B12648" s="13"/>
      <c r="C12648" t="s" s="9">
        <v>16</v>
      </c>
      <c r="D12648" t="s" s="8">
        <v>4751</v>
      </c>
      <c r="E12648" t="s" s="9">
        <v>4751</v>
      </c>
      <c r="F12648" t="s" s="10">
        <v>68</v>
      </c>
      <c r="G12648" s="14"/>
      <c r="H12648" t="s" s="10">
        <v>68</v>
      </c>
      <c r="I12648" s="14"/>
      <c r="J12648" t="s" s="11">
        <v>20</v>
      </c>
      <c r="K12648" t="s" s="16">
        <f>HYPERLINK("http://csr.bu.edu/ftp/asl/asllvd/demos/verify_start_end_handshape_annotations//test_auto_move//signs_mov/2334.mov","MOV")</f>
        <v>21</v>
      </c>
      <c r="L12648" t="s" s="16">
        <f>HYPERLINK("http://csr.bu.edu/ftp/asl/asllvd/demos/verify_start_end_handshape_annotations//test_auto_move//signs_mov_separ_signers/Liz_2334.mov","MOV")</f>
        <v>21</v>
      </c>
      <c r="M12648" t="s" s="10">
        <v>36</v>
      </c>
      <c r="N12648" s="17">
        <v>37</v>
      </c>
      <c r="O12648" s="18">
        <v>1521</v>
      </c>
      <c r="P12648" s="18">
        <v>1570</v>
      </c>
      <c r="Q12648" t="s" s="16">
        <f>HYPERLINK("http://secrets.rutgers.edu:8080/data/asl-ftp/asllvd/demos/verify_start_end_handshape_annotations//test_auto_move//signs_mov/2334.mov","MOV")</f>
        <v>21</v>
      </c>
      <c r="R12648" t="s" s="16">
        <f>HYPERLINK("http://secrets.rutgers.edu:8080/data/asl-ftp/asllvd/demos/verify_start_end_handshape_annotations//test_auto_move//signs_mov_separ_signers/Liz_2334.mov","MOV")</f>
        <v>21</v>
      </c>
    </row>
    <row r="12649" s="2" customFormat="1" ht="13.5" customHeight="1">
      <c r="B12649" s="13"/>
      <c r="C12649" t="s" s="9">
        <v>30</v>
      </c>
      <c r="D12649" t="s" s="8">
        <v>4751</v>
      </c>
      <c r="E12649" t="s" s="9">
        <v>4751</v>
      </c>
      <c r="F12649" t="s" s="10">
        <v>68</v>
      </c>
      <c r="G12649" s="14"/>
      <c r="H12649" t="s" s="10">
        <v>68</v>
      </c>
      <c r="I12649" s="14"/>
      <c r="J12649" t="s" s="11">
        <v>20</v>
      </c>
      <c r="K12649" s="15"/>
      <c r="L12649" t="s" s="16">
        <f>HYPERLINK("http://csr.bu.edu/ftp/asl/asllvd/demos/verify_start_end_handshape_annotations//test_auto_move//signs_mov_separ_signers/Brady_2334.mov","MOV")</f>
        <v>21</v>
      </c>
      <c r="M12649" t="s" s="10">
        <v>40</v>
      </c>
      <c r="N12649" s="17">
        <v>89</v>
      </c>
      <c r="O12649" s="18">
        <v>2426</v>
      </c>
      <c r="P12649" s="18">
        <v>2464</v>
      </c>
      <c r="Q12649" s="15"/>
      <c r="R12649" t="s" s="16">
        <f>HYPERLINK("http://secrets.rutgers.edu:8080/data/asl-ftp/asllvd/demos/verify_start_end_handshape_annotations//test_auto_move//signs_mov_separ_signers/Brady_2334.mov","MOV")</f>
        <v>21</v>
      </c>
    </row>
    <row r="12650" s="2" customFormat="1" ht="13.5" customHeight="1">
      <c r="B12650" t="s" s="8">
        <v>4752</v>
      </c>
      <c r="C12650" t="s" s="9">
        <v>14</v>
      </c>
      <c r="D12650" t="s" s="8">
        <v>14</v>
      </c>
      <c r="E12650" t="s" s="9">
        <v>14</v>
      </c>
      <c r="F12650" t="s" s="10">
        <v>14</v>
      </c>
      <c r="G12650" t="s" s="11">
        <v>14</v>
      </c>
      <c r="H12650" t="s" s="10">
        <v>14</v>
      </c>
      <c r="I12650" t="s" s="11">
        <v>14</v>
      </c>
      <c r="J12650" t="s" s="11">
        <v>14</v>
      </c>
      <c r="K12650" t="s" s="12">
        <v>14</v>
      </c>
      <c r="L12650" t="s" s="12">
        <v>14</v>
      </c>
      <c r="M12650" t="s" s="10">
        <v>14</v>
      </c>
      <c r="N12650" t="s" s="11">
        <v>14</v>
      </c>
      <c r="O12650" t="s" s="8">
        <v>14</v>
      </c>
      <c r="P12650" t="s" s="8">
        <v>14</v>
      </c>
      <c r="Q12650" t="s" s="12">
        <v>14</v>
      </c>
      <c r="R12650" t="s" s="12">
        <v>14</v>
      </c>
    </row>
    <row r="12651" s="2" customFormat="1" ht="13.5" customHeight="1">
      <c r="B12651" s="13"/>
      <c r="C12651" t="s" s="9">
        <v>16</v>
      </c>
      <c r="D12651" t="s" s="8">
        <v>4753</v>
      </c>
      <c r="E12651" t="s" s="9">
        <v>4753</v>
      </c>
      <c r="F12651" t="s" s="10">
        <v>68</v>
      </c>
      <c r="G12651" s="14"/>
      <c r="H12651" t="s" s="10">
        <v>63</v>
      </c>
      <c r="I12651" s="14"/>
      <c r="J12651" t="s" s="11">
        <v>20</v>
      </c>
      <c r="K12651" t="s" s="16">
        <f>HYPERLINK("http://csr.bu.edu/ftp/asl/asllvd/demos/verify_start_end_handshape_annotations//test_auto_move//signs_mov/2357.mov","MOV")</f>
        <v>21</v>
      </c>
      <c r="L12651" t="s" s="16">
        <f>HYPERLINK("http://csr.bu.edu/ftp/asl/asllvd/demos/verify_start_end_handshape_annotations//test_auto_move//signs_mov_separ_signers/Liz_2357.mov","MOV")</f>
        <v>21</v>
      </c>
      <c r="M12651" t="s" s="10">
        <v>36</v>
      </c>
      <c r="N12651" s="17">
        <v>39</v>
      </c>
      <c r="O12651" s="18">
        <v>2735</v>
      </c>
      <c r="P12651" s="18">
        <v>2825</v>
      </c>
      <c r="Q12651" t="s" s="16">
        <f>HYPERLINK("http://secrets.rutgers.edu:8080/data/asl-ftp/asllvd/demos/verify_start_end_handshape_annotations//test_auto_move//signs_mov/2357.mov","MOV")</f>
        <v>21</v>
      </c>
      <c r="R12651" t="s" s="16">
        <f>HYPERLINK("http://secrets.rutgers.edu:8080/data/asl-ftp/asllvd/demos/verify_start_end_handshape_annotations//test_auto_move//signs_mov_separ_signers/Liz_2357.mov","MOV")</f>
        <v>21</v>
      </c>
    </row>
    <row r="12652" s="2" customFormat="1" ht="13.5" customHeight="1">
      <c r="B12652" t="s" s="8">
        <v>52</v>
      </c>
      <c r="C12652" t="s" s="9">
        <v>53</v>
      </c>
      <c r="D12652" t="s" s="8">
        <v>53</v>
      </c>
      <c r="E12652" t="s" s="9">
        <v>53</v>
      </c>
      <c r="F12652" t="s" s="10">
        <v>53</v>
      </c>
      <c r="G12652" t="s" s="11">
        <v>53</v>
      </c>
      <c r="H12652" t="s" s="10">
        <v>53</v>
      </c>
      <c r="I12652" t="s" s="11">
        <v>53</v>
      </c>
      <c r="J12652" t="s" s="11">
        <v>53</v>
      </c>
      <c r="K12652" t="s" s="12">
        <v>53</v>
      </c>
      <c r="L12652" t="s" s="12">
        <v>53</v>
      </c>
      <c r="M12652" t="s" s="10">
        <v>53</v>
      </c>
      <c r="N12652" t="s" s="11">
        <v>53</v>
      </c>
      <c r="O12652" t="s" s="8">
        <v>53</v>
      </c>
      <c r="P12652" t="s" s="8">
        <v>53</v>
      </c>
      <c r="Q12652" t="s" s="12">
        <v>53</v>
      </c>
      <c r="R12652" t="s" s="12">
        <v>53</v>
      </c>
    </row>
    <row r="12653" s="2" customFormat="1" ht="13.5" customHeight="1">
      <c r="B12653" s="13"/>
      <c r="C12653" t="s" s="9">
        <v>30</v>
      </c>
      <c r="D12653" t="s" s="8">
        <v>4753</v>
      </c>
      <c r="E12653" t="s" s="9">
        <v>4752</v>
      </c>
      <c r="F12653" t="s" s="10">
        <v>68</v>
      </c>
      <c r="G12653" s="14"/>
      <c r="H12653" t="s" s="10">
        <v>119</v>
      </c>
      <c r="I12653" s="14"/>
      <c r="J12653" t="s" s="11">
        <v>20</v>
      </c>
      <c r="K12653" t="s" s="16">
        <f>HYPERLINK("http://csr.bu.edu/ftp/asl/asllvd/demos/verify_start_end_handshape_annotations//test_auto_move//signs_mov/5441.mov","MOV")</f>
        <v>21</v>
      </c>
      <c r="L12653" t="s" s="16">
        <f>HYPERLINK("http://csr.bu.edu/ftp/asl/asllvd/demos/verify_start_end_handshape_annotations//test_auto_move//signs_mov_separ_signers/Brady_5441.mov","MOV")</f>
        <v>21</v>
      </c>
      <c r="M12653" t="s" s="10">
        <v>40</v>
      </c>
      <c r="N12653" s="17">
        <v>92</v>
      </c>
      <c r="O12653" s="18">
        <v>1216</v>
      </c>
      <c r="P12653" s="18">
        <v>1261</v>
      </c>
      <c r="Q12653" t="s" s="16">
        <f>HYPERLINK("http://secrets.rutgers.edu:8080/data/asl-ftp/asllvd/demos/verify_start_end_handshape_annotations//test_auto_move//signs_mov/5441.mov","MOV")</f>
        <v>21</v>
      </c>
      <c r="R12653" t="s" s="16">
        <f>HYPERLINK("http://secrets.rutgers.edu:8080/data/asl-ftp/asllvd/demos/verify_start_end_handshape_annotations//test_auto_move//signs_mov_separ_signers/Brady_5441.mov","MOV")</f>
        <v>21</v>
      </c>
    </row>
    <row r="12654" s="2" customFormat="1" ht="27.75" customHeight="1">
      <c r="B12654" t="s" s="8">
        <v>4754</v>
      </c>
      <c r="C12654" t="s" s="9">
        <v>14</v>
      </c>
      <c r="D12654" t="s" s="8">
        <v>14</v>
      </c>
      <c r="E12654" t="s" s="9">
        <v>14</v>
      </c>
      <c r="F12654" t="s" s="10">
        <v>14</v>
      </c>
      <c r="G12654" t="s" s="11">
        <v>14</v>
      </c>
      <c r="H12654" t="s" s="10">
        <v>14</v>
      </c>
      <c r="I12654" t="s" s="11">
        <v>14</v>
      </c>
      <c r="J12654" t="s" s="11">
        <v>14</v>
      </c>
      <c r="K12654" t="s" s="12">
        <v>14</v>
      </c>
      <c r="L12654" t="s" s="12">
        <v>14</v>
      </c>
      <c r="M12654" t="s" s="10">
        <v>14</v>
      </c>
      <c r="N12654" t="s" s="11">
        <v>14</v>
      </c>
      <c r="O12654" t="s" s="8">
        <v>14</v>
      </c>
      <c r="P12654" t="s" s="8">
        <v>14</v>
      </c>
      <c r="Q12654" t="s" s="12">
        <v>14</v>
      </c>
      <c r="R12654" t="s" s="12">
        <v>14</v>
      </c>
    </row>
    <row r="12655" s="2" customFormat="1" ht="27.75" customHeight="1">
      <c r="B12655" s="13"/>
      <c r="C12655" t="s" s="9">
        <v>16</v>
      </c>
      <c r="D12655" t="s" s="8">
        <v>4754</v>
      </c>
      <c r="E12655" t="s" s="9">
        <v>4754</v>
      </c>
      <c r="F12655" t="s" s="10">
        <v>68</v>
      </c>
      <c r="G12655" t="s" s="11">
        <v>68</v>
      </c>
      <c r="H12655" s="19">
        <v>1</v>
      </c>
      <c r="I12655" t="s" s="11">
        <v>68</v>
      </c>
      <c r="J12655" t="s" s="11">
        <v>20</v>
      </c>
      <c r="K12655" t="s" s="16">
        <f>HYPERLINK("http://csr.bu.edu/ftp/asl/asllvd/demos/verify_start_end_handshape_annotations//test_auto_move//signs_mov/2367.mov","MOV")</f>
        <v>21</v>
      </c>
      <c r="L12655" t="s" s="16">
        <f>HYPERLINK("http://csr.bu.edu/ftp/asl/asllvd/demos/verify_start_end_handshape_annotations//test_auto_move//signs_mov_separ_signers/Liz_2367.mov","MOV")</f>
        <v>21</v>
      </c>
      <c r="M12655" t="s" s="10">
        <v>36</v>
      </c>
      <c r="N12655" s="17">
        <v>40</v>
      </c>
      <c r="O12655" s="18">
        <v>2068</v>
      </c>
      <c r="P12655" s="18">
        <v>2161</v>
      </c>
      <c r="Q12655" t="s" s="16">
        <f>HYPERLINK("http://secrets.rutgers.edu:8080/data/asl-ftp/asllvd/demos/verify_start_end_handshape_annotations//test_auto_move//signs_mov/2367.mov","MOV")</f>
        <v>21</v>
      </c>
      <c r="R12655" t="s" s="16">
        <f>HYPERLINK("http://secrets.rutgers.edu:8080/data/asl-ftp/asllvd/demos/verify_start_end_handshape_annotations//test_auto_move//signs_mov_separ_signers/Liz_2367.mov","MOV")</f>
        <v>21</v>
      </c>
    </row>
    <row r="12656" s="2" customFormat="1" ht="13.5" customHeight="1">
      <c r="B12656" t="s" s="8">
        <v>4755</v>
      </c>
      <c r="C12656" t="s" s="9">
        <v>14</v>
      </c>
      <c r="D12656" t="s" s="8">
        <v>14</v>
      </c>
      <c r="E12656" t="s" s="9">
        <v>14</v>
      </c>
      <c r="F12656" t="s" s="10">
        <v>14</v>
      </c>
      <c r="G12656" t="s" s="11">
        <v>14</v>
      </c>
      <c r="H12656" t="s" s="10">
        <v>14</v>
      </c>
      <c r="I12656" t="s" s="11">
        <v>14</v>
      </c>
      <c r="J12656" t="s" s="11">
        <v>14</v>
      </c>
      <c r="K12656" t="s" s="12">
        <v>14</v>
      </c>
      <c r="L12656" t="s" s="12">
        <v>14</v>
      </c>
      <c r="M12656" t="s" s="10">
        <v>14</v>
      </c>
      <c r="N12656" t="s" s="11">
        <v>14</v>
      </c>
      <c r="O12656" t="s" s="8">
        <v>14</v>
      </c>
      <c r="P12656" t="s" s="8">
        <v>14</v>
      </c>
      <c r="Q12656" t="s" s="12">
        <v>14</v>
      </c>
      <c r="R12656" t="s" s="12">
        <v>14</v>
      </c>
    </row>
    <row r="12657" s="2" customFormat="1" ht="13.5" customHeight="1">
      <c r="B12657" s="13"/>
      <c r="C12657" t="s" s="9">
        <v>16</v>
      </c>
      <c r="D12657" t="s" s="8">
        <v>4755</v>
      </c>
      <c r="E12657" t="s" s="9">
        <v>4755</v>
      </c>
      <c r="F12657" s="19">
        <v>5</v>
      </c>
      <c r="G12657" t="s" s="11">
        <v>150</v>
      </c>
      <c r="H12657" s="19">
        <v>5</v>
      </c>
      <c r="I12657" t="s" s="11">
        <v>150</v>
      </c>
      <c r="J12657" t="s" s="11">
        <v>20</v>
      </c>
      <c r="K12657" t="s" s="16">
        <f>HYPERLINK("http://csr.bu.edu/ftp/asl/asllvd/demos/verify_start_end_handshape_annotations//test_auto_move//signs_mov/2389_15017_merged.mov","MOV")</f>
        <v>21</v>
      </c>
      <c r="L12657" t="s" s="16">
        <f>HYPERLINK("http://csr.bu.edu/ftp/asl/asllvd/demos/verify_start_end_handshape_annotations//test_auto_move//signs_mov_separ_signers/Liz_2389.mov","MOV")</f>
        <v>21</v>
      </c>
      <c r="M12657" t="s" s="10">
        <v>88</v>
      </c>
      <c r="N12657" s="17">
        <v>38</v>
      </c>
      <c r="O12657" s="18">
        <v>3500</v>
      </c>
      <c r="P12657" s="18">
        <v>3547</v>
      </c>
      <c r="Q12657" t="s" s="16">
        <f>HYPERLINK("http://secrets.rutgers.edu:8080/data/asl-ftp/asllvd/demos/verify_start_end_handshape_annotations//test_auto_move//signs_mov/2389_15017_merged.mov","MOV")</f>
        <v>21</v>
      </c>
      <c r="R12657" t="s" s="16">
        <f>HYPERLINK("http://secrets.rutgers.edu:8080/data/asl-ftp/asllvd/demos/verify_start_end_handshape_annotations//test_auto_move//signs_mov_separ_signers/Liz_2389.mov","MOV")</f>
        <v>21</v>
      </c>
    </row>
    <row r="12658" s="2" customFormat="1" ht="13.5" customHeight="1">
      <c r="B12658" s="13"/>
      <c r="C12658" t="s" s="9">
        <v>16</v>
      </c>
      <c r="D12658" t="s" s="8">
        <v>4755</v>
      </c>
      <c r="E12658" t="s" s="9">
        <v>4755</v>
      </c>
      <c r="F12658" t="s" s="10">
        <v>85</v>
      </c>
      <c r="G12658" t="s" s="11">
        <v>73</v>
      </c>
      <c r="H12658" t="s" s="10">
        <v>85</v>
      </c>
      <c r="I12658" t="s" s="11">
        <v>73</v>
      </c>
      <c r="J12658" t="s" s="11">
        <v>20</v>
      </c>
      <c r="K12658" s="15"/>
      <c r="L12658" t="s" s="16">
        <f>HYPERLINK("http://csr.bu.edu/ftp/asl/asllvd/demos/verify_start_end_handshape_annotations//test_auto_move//signs_mov_separ_signers/Liz_15017.mov","MOV")</f>
        <v>21</v>
      </c>
      <c r="M12658" t="s" s="10">
        <v>36</v>
      </c>
      <c r="N12658" s="17">
        <v>42</v>
      </c>
      <c r="O12658" s="18">
        <v>4995</v>
      </c>
      <c r="P12658" s="18">
        <v>5041</v>
      </c>
      <c r="Q12658" s="15"/>
      <c r="R12658" t="s" s="16">
        <f>HYPERLINK("http://secrets.rutgers.edu:8080/data/asl-ftp/asllvd/demos/verify_start_end_handshape_annotations//test_auto_move//signs_mov_separ_signers/Liz_15017.mov","MOV")</f>
        <v>21</v>
      </c>
    </row>
    <row r="12659" s="2" customFormat="1" ht="13.5" customHeight="1">
      <c r="B12659" t="s" s="8">
        <v>4756</v>
      </c>
      <c r="C12659" t="s" s="9">
        <v>14</v>
      </c>
      <c r="D12659" t="s" s="8">
        <v>14</v>
      </c>
      <c r="E12659" t="s" s="9">
        <v>14</v>
      </c>
      <c r="F12659" t="s" s="10">
        <v>14</v>
      </c>
      <c r="G12659" t="s" s="11">
        <v>14</v>
      </c>
      <c r="H12659" t="s" s="10">
        <v>14</v>
      </c>
      <c r="I12659" t="s" s="11">
        <v>14</v>
      </c>
      <c r="J12659" t="s" s="11">
        <v>14</v>
      </c>
      <c r="K12659" t="s" s="12">
        <v>14</v>
      </c>
      <c r="L12659" t="s" s="12">
        <v>14</v>
      </c>
      <c r="M12659" t="s" s="10">
        <v>14</v>
      </c>
      <c r="N12659" t="s" s="11">
        <v>14</v>
      </c>
      <c r="O12659" t="s" s="8">
        <v>14</v>
      </c>
      <c r="P12659" t="s" s="8">
        <v>14</v>
      </c>
      <c r="Q12659" t="s" s="12">
        <v>14</v>
      </c>
      <c r="R12659" t="s" s="12">
        <v>14</v>
      </c>
    </row>
    <row r="12660" s="2" customFormat="1" ht="13.5" customHeight="1">
      <c r="B12660" s="13"/>
      <c r="C12660" t="s" s="9">
        <v>30</v>
      </c>
      <c r="D12660" t="s" s="8">
        <v>4756</v>
      </c>
      <c r="E12660" t="s" s="9">
        <v>4756</v>
      </c>
      <c r="F12660" t="s" s="10">
        <v>25</v>
      </c>
      <c r="G12660" t="s" s="11">
        <v>25</v>
      </c>
      <c r="H12660" t="s" s="10">
        <v>25</v>
      </c>
      <c r="I12660" t="s" s="11">
        <v>25</v>
      </c>
      <c r="J12660" t="s" s="11">
        <v>20</v>
      </c>
      <c r="K12660" t="s" s="16">
        <f>HYPERLINK("http://csr.bu.edu/ftp/asl/asllvd/demos/verify_start_end_handshape_annotations//test_auto_move//signs_mov/2412.mov","MOV")</f>
        <v>21</v>
      </c>
      <c r="L12660" t="s" s="16">
        <f>HYPERLINK("http://csr.bu.edu/ftp/asl/asllvd/demos/verify_start_end_handshape_annotations//test_auto_move//signs_mov_separ_signers/Brady_2412.mov","MOV")</f>
        <v>21</v>
      </c>
      <c r="M12660" t="s" s="10">
        <v>40</v>
      </c>
      <c r="N12660" s="17">
        <v>97</v>
      </c>
      <c r="O12660" s="18">
        <v>2282</v>
      </c>
      <c r="P12660" s="18">
        <v>2326</v>
      </c>
      <c r="Q12660" t="s" s="16">
        <f>HYPERLINK("http://secrets.rutgers.edu:8080/data/asl-ftp/asllvd/demos/verify_start_end_handshape_annotations//test_auto_move//signs_mov/2412.mov","MOV")</f>
        <v>21</v>
      </c>
      <c r="R12660" t="s" s="16">
        <f>HYPERLINK("http://secrets.rutgers.edu:8080/data/asl-ftp/asllvd/demos/verify_start_end_handshape_annotations//test_auto_move//signs_mov_separ_signers/Brady_2412.mov","MOV")</f>
        <v>21</v>
      </c>
    </row>
    <row r="12661" s="2" customFormat="1" ht="13.5" customHeight="1">
      <c r="B12661" t="s" s="8">
        <v>52</v>
      </c>
      <c r="C12661" t="s" s="9">
        <v>53</v>
      </c>
      <c r="D12661" t="s" s="8">
        <v>53</v>
      </c>
      <c r="E12661" t="s" s="9">
        <v>53</v>
      </c>
      <c r="F12661" t="s" s="10">
        <v>53</v>
      </c>
      <c r="G12661" t="s" s="11">
        <v>53</v>
      </c>
      <c r="H12661" t="s" s="10">
        <v>53</v>
      </c>
      <c r="I12661" t="s" s="11">
        <v>53</v>
      </c>
      <c r="J12661" t="s" s="11">
        <v>53</v>
      </c>
      <c r="K12661" t="s" s="12">
        <v>53</v>
      </c>
      <c r="L12661" t="s" s="12">
        <v>53</v>
      </c>
      <c r="M12661" t="s" s="10">
        <v>53</v>
      </c>
      <c r="N12661" t="s" s="11">
        <v>53</v>
      </c>
      <c r="O12661" t="s" s="8">
        <v>53</v>
      </c>
      <c r="P12661" t="s" s="8">
        <v>53</v>
      </c>
      <c r="Q12661" t="s" s="12">
        <v>53</v>
      </c>
      <c r="R12661" t="s" s="12">
        <v>53</v>
      </c>
    </row>
    <row r="12662" s="2" customFormat="1" ht="13.5" customHeight="1">
      <c r="B12662" s="13"/>
      <c r="C12662" t="s" s="9">
        <v>16</v>
      </c>
      <c r="D12662" t="s" s="8">
        <v>4756</v>
      </c>
      <c r="E12662" t="s" s="9">
        <v>4757</v>
      </c>
      <c r="F12662" t="s" s="10">
        <v>25</v>
      </c>
      <c r="G12662" s="14"/>
      <c r="H12662" t="s" s="10">
        <v>25</v>
      </c>
      <c r="I12662" s="14"/>
      <c r="J12662" t="s" s="11">
        <v>20</v>
      </c>
      <c r="K12662" t="s" s="16">
        <f>HYPERLINK("http://csr.bu.edu/ftp/asl/asllvd/demos/verify_start_end_handshape_annotations//test_auto_move//signs_mov/5442.mov","MOV")</f>
        <v>21</v>
      </c>
      <c r="L12662" t="s" s="16">
        <f>HYPERLINK("http://csr.bu.edu/ftp/asl/asllvd/demos/verify_start_end_handshape_annotations//test_auto_move//signs_mov_separ_signers/Liz_5442.mov","MOV")</f>
        <v>21</v>
      </c>
      <c r="M12662" t="s" s="10">
        <v>36</v>
      </c>
      <c r="N12662" s="17">
        <v>45</v>
      </c>
      <c r="O12662" s="18">
        <v>930</v>
      </c>
      <c r="P12662" s="18">
        <v>996</v>
      </c>
      <c r="Q12662" t="s" s="16">
        <f>HYPERLINK("http://secrets.rutgers.edu:8080/data/asl-ftp/asllvd/demos/verify_start_end_handshape_annotations//test_auto_move//signs_mov/5442.mov","MOV")</f>
        <v>21</v>
      </c>
      <c r="R12662" t="s" s="16">
        <f>HYPERLINK("http://secrets.rutgers.edu:8080/data/asl-ftp/asllvd/demos/verify_start_end_handshape_annotations//test_auto_move//signs_mov_separ_signers/Liz_5442.mov","MOV")</f>
        <v>21</v>
      </c>
    </row>
    <row r="12663" s="2" customFormat="1" ht="13.5" customHeight="1">
      <c r="B12663" t="s" s="8">
        <v>4758</v>
      </c>
      <c r="C12663" t="s" s="9">
        <v>14</v>
      </c>
      <c r="D12663" t="s" s="8">
        <v>14</v>
      </c>
      <c r="E12663" t="s" s="9">
        <v>14</v>
      </c>
      <c r="F12663" t="s" s="10">
        <v>14</v>
      </c>
      <c r="G12663" t="s" s="11">
        <v>14</v>
      </c>
      <c r="H12663" t="s" s="10">
        <v>14</v>
      </c>
      <c r="I12663" t="s" s="11">
        <v>14</v>
      </c>
      <c r="J12663" t="s" s="11">
        <v>14</v>
      </c>
      <c r="K12663" t="s" s="12">
        <v>14</v>
      </c>
      <c r="L12663" t="s" s="12">
        <v>14</v>
      </c>
      <c r="M12663" t="s" s="10">
        <v>14</v>
      </c>
      <c r="N12663" t="s" s="11">
        <v>14</v>
      </c>
      <c r="O12663" t="s" s="8">
        <v>14</v>
      </c>
      <c r="P12663" t="s" s="8">
        <v>14</v>
      </c>
      <c r="Q12663" t="s" s="12">
        <v>14</v>
      </c>
      <c r="R12663" t="s" s="12">
        <v>14</v>
      </c>
    </row>
    <row r="12664" s="2" customFormat="1" ht="13.5" customHeight="1">
      <c r="B12664" s="13"/>
      <c r="C12664" t="s" s="9">
        <v>30</v>
      </c>
      <c r="D12664" t="s" s="8">
        <v>4758</v>
      </c>
      <c r="E12664" t="s" s="9">
        <v>4758</v>
      </c>
      <c r="F12664" t="s" s="10">
        <v>25</v>
      </c>
      <c r="G12664" s="14"/>
      <c r="H12664" t="s" s="10">
        <v>25</v>
      </c>
      <c r="I12664" t="s" s="11">
        <v>25</v>
      </c>
      <c r="J12664" t="s" s="11">
        <v>20</v>
      </c>
      <c r="K12664" t="s" s="16">
        <f>HYPERLINK("http://csr.bu.edu/ftp/asl/asllvd/demos/verify_start_end_handshape_annotations//test_auto_move//signs_mov/4772.mov","MOV")</f>
        <v>21</v>
      </c>
      <c r="L12664" t="s" s="16">
        <f>HYPERLINK("http://csr.bu.edu/ftp/asl/asllvd/demos/verify_start_end_handshape_annotations//test_auto_move//signs_mov_separ_signers/Brady_4772.mov","MOV")</f>
        <v>21</v>
      </c>
      <c r="M12664" t="s" s="10">
        <v>40</v>
      </c>
      <c r="N12664" s="17">
        <v>98</v>
      </c>
      <c r="O12664" s="18">
        <v>422</v>
      </c>
      <c r="P12664" s="18">
        <v>457</v>
      </c>
      <c r="Q12664" t="s" s="16">
        <f>HYPERLINK("http://secrets.rutgers.edu:8080/data/asl-ftp/asllvd/demos/verify_start_end_handshape_annotations//test_auto_move//signs_mov/4772.mov","MOV")</f>
        <v>21</v>
      </c>
      <c r="R12664" t="s" s="16">
        <f>HYPERLINK("http://secrets.rutgers.edu:8080/data/asl-ftp/asllvd/demos/verify_start_end_handshape_annotations//test_auto_move//signs_mov_separ_signers/Brady_4772.mov","MOV")</f>
        <v>21</v>
      </c>
    </row>
    <row r="12665" s="2" customFormat="1" ht="13.5" customHeight="1">
      <c r="B12665" t="s" s="8">
        <v>4759</v>
      </c>
      <c r="C12665" t="s" s="9">
        <v>14</v>
      </c>
      <c r="D12665" t="s" s="8">
        <v>14</v>
      </c>
      <c r="E12665" t="s" s="9">
        <v>14</v>
      </c>
      <c r="F12665" t="s" s="10">
        <v>14</v>
      </c>
      <c r="G12665" t="s" s="11">
        <v>14</v>
      </c>
      <c r="H12665" t="s" s="10">
        <v>14</v>
      </c>
      <c r="I12665" t="s" s="11">
        <v>14</v>
      </c>
      <c r="J12665" t="s" s="11">
        <v>14</v>
      </c>
      <c r="K12665" t="s" s="12">
        <v>14</v>
      </c>
      <c r="L12665" t="s" s="12">
        <v>14</v>
      </c>
      <c r="M12665" t="s" s="10">
        <v>14</v>
      </c>
      <c r="N12665" t="s" s="11">
        <v>14</v>
      </c>
      <c r="O12665" t="s" s="8">
        <v>14</v>
      </c>
      <c r="P12665" t="s" s="8">
        <v>14</v>
      </c>
      <c r="Q12665" t="s" s="12">
        <v>14</v>
      </c>
      <c r="R12665" t="s" s="12">
        <v>14</v>
      </c>
    </row>
    <row r="12666" s="2" customFormat="1" ht="13.5" customHeight="1">
      <c r="B12666" s="13"/>
      <c r="C12666" t="s" s="9">
        <v>16</v>
      </c>
      <c r="D12666" t="s" s="8">
        <v>4760</v>
      </c>
      <c r="E12666" t="s" s="9">
        <v>4760</v>
      </c>
      <c r="F12666" s="19">
        <v>10</v>
      </c>
      <c r="G12666" s="14"/>
      <c r="H12666" s="19">
        <v>5</v>
      </c>
      <c r="I12666" s="14"/>
      <c r="J12666" t="s" s="11">
        <v>20</v>
      </c>
      <c r="K12666" t="s" s="16">
        <f>HYPERLINK("http://csr.bu.edu/ftp/asl/asllvd/demos/verify_start_end_handshape_annotations//test_auto_move//signs_mov/2413.mov","MOV")</f>
        <v>21</v>
      </c>
      <c r="L12666" t="s" s="16">
        <f>HYPERLINK("http://csr.bu.edu/ftp/asl/asllvd/demos/verify_start_end_handshape_annotations//test_auto_move//signs_mov_separ_signers/Liz_2413.mov","MOV")</f>
        <v>21</v>
      </c>
      <c r="M12666" t="s" s="10">
        <v>36</v>
      </c>
      <c r="N12666" s="17">
        <v>45</v>
      </c>
      <c r="O12666" s="18">
        <v>1224</v>
      </c>
      <c r="P12666" s="18">
        <v>1275</v>
      </c>
      <c r="Q12666" t="s" s="16">
        <f>HYPERLINK("http://secrets.rutgers.edu:8080/data/asl-ftp/asllvd/demos/verify_start_end_handshape_annotations//test_auto_move//signs_mov/2413.mov","MOV")</f>
        <v>21</v>
      </c>
      <c r="R12666" t="s" s="16">
        <f>HYPERLINK("http://secrets.rutgers.edu:8080/data/asl-ftp/asllvd/demos/verify_start_end_handshape_annotations//test_auto_move//signs_mov_separ_signers/Liz_2413.mov","MOV")</f>
        <v>21</v>
      </c>
    </row>
    <row r="12667" s="2" customFormat="1" ht="13.5" customHeight="1">
      <c r="B12667" s="13"/>
      <c r="C12667" t="s" s="9">
        <v>30</v>
      </c>
      <c r="D12667" t="s" s="8">
        <v>4760</v>
      </c>
      <c r="E12667" t="s" s="9">
        <v>4760</v>
      </c>
      <c r="F12667" t="s" s="10">
        <v>25</v>
      </c>
      <c r="G12667" s="14"/>
      <c r="H12667" s="19">
        <v>5</v>
      </c>
      <c r="I12667" s="14"/>
      <c r="J12667" t="s" s="11">
        <v>20</v>
      </c>
      <c r="K12667" s="15"/>
      <c r="L12667" t="s" s="16">
        <f>HYPERLINK("http://csr.bu.edu/ftp/asl/asllvd/demos/verify_start_end_handshape_annotations//test_auto_move//signs_mov_separ_signers/Brady_2413.mov","MOV")</f>
        <v>21</v>
      </c>
      <c r="M12667" t="s" s="10">
        <v>40</v>
      </c>
      <c r="N12667" s="17">
        <v>97</v>
      </c>
      <c r="O12667" s="18">
        <v>2515</v>
      </c>
      <c r="P12667" s="18">
        <v>2557</v>
      </c>
      <c r="Q12667" s="15"/>
      <c r="R12667" t="s" s="16">
        <f>HYPERLINK("http://secrets.rutgers.edu:8080/data/asl-ftp/asllvd/demos/verify_start_end_handshape_annotations//test_auto_move//signs_mov_separ_signers/Brady_2413.mov","MOV")</f>
        <v>21</v>
      </c>
    </row>
    <row r="12668" s="2" customFormat="1" ht="13.5" customHeight="1">
      <c r="B12668" t="s" s="8">
        <v>4761</v>
      </c>
      <c r="C12668" t="s" s="9">
        <v>14</v>
      </c>
      <c r="D12668" t="s" s="8">
        <v>14</v>
      </c>
      <c r="E12668" t="s" s="9">
        <v>14</v>
      </c>
      <c r="F12668" t="s" s="10">
        <v>14</v>
      </c>
      <c r="G12668" t="s" s="11">
        <v>14</v>
      </c>
      <c r="H12668" t="s" s="10">
        <v>14</v>
      </c>
      <c r="I12668" t="s" s="11">
        <v>14</v>
      </c>
      <c r="J12668" t="s" s="11">
        <v>14</v>
      </c>
      <c r="K12668" t="s" s="12">
        <v>14</v>
      </c>
      <c r="L12668" t="s" s="12">
        <v>14</v>
      </c>
      <c r="M12668" t="s" s="10">
        <v>14</v>
      </c>
      <c r="N12668" t="s" s="11">
        <v>14</v>
      </c>
      <c r="O12668" t="s" s="8">
        <v>14</v>
      </c>
      <c r="P12668" t="s" s="8">
        <v>14</v>
      </c>
      <c r="Q12668" t="s" s="12">
        <v>14</v>
      </c>
      <c r="R12668" t="s" s="12">
        <v>14</v>
      </c>
    </row>
    <row r="12669" s="2" customFormat="1" ht="13.5" customHeight="1">
      <c r="B12669" s="13"/>
      <c r="C12669" t="s" s="9">
        <v>16</v>
      </c>
      <c r="D12669" t="s" s="8">
        <v>4761</v>
      </c>
      <c r="E12669" t="s" s="9">
        <v>4762</v>
      </c>
      <c r="F12669" t="s" s="10">
        <v>626</v>
      </c>
      <c r="G12669" s="14"/>
      <c r="H12669" s="19">
        <v>5</v>
      </c>
      <c r="I12669" s="14"/>
      <c r="J12669" t="s" s="11">
        <v>20</v>
      </c>
      <c r="K12669" t="s" s="16">
        <f>HYPERLINK("http://csr.bu.edu/ftp/asl/asllvd/demos/verify_start_end_handshape_annotations//test_auto_move//signs_mov/2414.mov","MOV")</f>
        <v>21</v>
      </c>
      <c r="L12669" t="s" s="16">
        <f>HYPERLINK("http://csr.bu.edu/ftp/asl/asllvd/demos/verify_start_end_handshape_annotations//test_auto_move//signs_mov_separ_signers/Liz_2414.mov","MOV")</f>
        <v>21</v>
      </c>
      <c r="M12669" t="s" s="10">
        <v>36</v>
      </c>
      <c r="N12669" s="17">
        <v>45</v>
      </c>
      <c r="O12669" s="18">
        <v>1470</v>
      </c>
      <c r="P12669" s="18">
        <v>1530</v>
      </c>
      <c r="Q12669" t="s" s="16">
        <f>HYPERLINK("http://secrets.rutgers.edu:8080/data/asl-ftp/asllvd/demos/verify_start_end_handshape_annotations//test_auto_move//signs_mov/2414.mov","MOV")</f>
        <v>21</v>
      </c>
      <c r="R12669" t="s" s="16">
        <f>HYPERLINK("http://secrets.rutgers.edu:8080/data/asl-ftp/asllvd/demos/verify_start_end_handshape_annotations//test_auto_move//signs_mov_separ_signers/Liz_2414.mov","MOV")</f>
        <v>21</v>
      </c>
    </row>
    <row r="12670" s="2" customFormat="1" ht="13.5" customHeight="1">
      <c r="B12670" t="s" s="8">
        <v>52</v>
      </c>
      <c r="C12670" t="s" s="9">
        <v>53</v>
      </c>
      <c r="D12670" t="s" s="8">
        <v>53</v>
      </c>
      <c r="E12670" t="s" s="9">
        <v>53</v>
      </c>
      <c r="F12670" t="s" s="10">
        <v>53</v>
      </c>
      <c r="G12670" t="s" s="11">
        <v>53</v>
      </c>
      <c r="H12670" t="s" s="10">
        <v>53</v>
      </c>
      <c r="I12670" t="s" s="11">
        <v>53</v>
      </c>
      <c r="J12670" t="s" s="11">
        <v>53</v>
      </c>
      <c r="K12670" t="s" s="12">
        <v>53</v>
      </c>
      <c r="L12670" t="s" s="12">
        <v>53</v>
      </c>
      <c r="M12670" t="s" s="10">
        <v>53</v>
      </c>
      <c r="N12670" t="s" s="11">
        <v>53</v>
      </c>
      <c r="O12670" t="s" s="8">
        <v>53</v>
      </c>
      <c r="P12670" t="s" s="8">
        <v>53</v>
      </c>
      <c r="Q12670" t="s" s="12">
        <v>53</v>
      </c>
      <c r="R12670" t="s" s="12">
        <v>53</v>
      </c>
    </row>
    <row r="12671" s="2" customFormat="1" ht="13.5" customHeight="1">
      <c r="B12671" s="13"/>
      <c r="C12671" t="s" s="9">
        <v>30</v>
      </c>
      <c r="D12671" t="s" s="8">
        <v>4761</v>
      </c>
      <c r="E12671" t="s" s="9">
        <v>4763</v>
      </c>
      <c r="F12671" t="s" s="10">
        <v>25</v>
      </c>
      <c r="G12671" s="14"/>
      <c r="H12671" s="19">
        <v>5</v>
      </c>
      <c r="I12671" s="14"/>
      <c r="J12671" t="s" s="11">
        <v>20</v>
      </c>
      <c r="K12671" t="s" s="16">
        <f>HYPERLINK("http://csr.bu.edu/ftp/asl/asllvd/demos/verify_start_end_handshape_annotations//test_auto_move//signs_mov/5444.mov","MOV")</f>
        <v>21</v>
      </c>
      <c r="L12671" t="s" s="16">
        <f>HYPERLINK("http://csr.bu.edu/ftp/asl/asllvd/demos/verify_start_end_handshape_annotations//test_auto_move//signs_mov_separ_signers/Brady_5444.mov","MOV")</f>
        <v>21</v>
      </c>
      <c r="M12671" t="s" s="10">
        <v>40</v>
      </c>
      <c r="N12671" s="17">
        <v>97</v>
      </c>
      <c r="O12671" s="18">
        <v>2731</v>
      </c>
      <c r="P12671" s="18">
        <v>2768</v>
      </c>
      <c r="Q12671" t="s" s="16">
        <f>HYPERLINK("http://secrets.rutgers.edu:8080/data/asl-ftp/asllvd/demos/verify_start_end_handshape_annotations//test_auto_move//signs_mov/5444.mov","MOV")</f>
        <v>21</v>
      </c>
      <c r="R12671" t="s" s="16">
        <f>HYPERLINK("http://secrets.rutgers.edu:8080/data/asl-ftp/asllvd/demos/verify_start_end_handshape_annotations//test_auto_move//signs_mov_separ_signers/Brady_5444.mov","MOV")</f>
        <v>21</v>
      </c>
    </row>
    <row r="12672" s="2" customFormat="1" ht="13.5" customHeight="1">
      <c r="B12672" t="s" s="8">
        <v>4764</v>
      </c>
      <c r="C12672" t="s" s="9">
        <v>14</v>
      </c>
      <c r="D12672" t="s" s="8">
        <v>14</v>
      </c>
      <c r="E12672" t="s" s="9">
        <v>14</v>
      </c>
      <c r="F12672" t="s" s="10">
        <v>14</v>
      </c>
      <c r="G12672" t="s" s="11">
        <v>14</v>
      </c>
      <c r="H12672" t="s" s="10">
        <v>14</v>
      </c>
      <c r="I12672" t="s" s="11">
        <v>14</v>
      </c>
      <c r="J12672" t="s" s="11">
        <v>14</v>
      </c>
      <c r="K12672" t="s" s="12">
        <v>14</v>
      </c>
      <c r="L12672" t="s" s="12">
        <v>14</v>
      </c>
      <c r="M12672" t="s" s="10">
        <v>14</v>
      </c>
      <c r="N12672" t="s" s="11">
        <v>14</v>
      </c>
      <c r="O12672" t="s" s="8">
        <v>14</v>
      </c>
      <c r="P12672" t="s" s="8">
        <v>14</v>
      </c>
      <c r="Q12672" t="s" s="12">
        <v>14</v>
      </c>
      <c r="R12672" t="s" s="12">
        <v>14</v>
      </c>
    </row>
    <row r="12673" s="2" customFormat="1" ht="13.5" customHeight="1">
      <c r="B12673" s="13"/>
      <c r="C12673" t="s" s="9">
        <v>16</v>
      </c>
      <c r="D12673" t="s" s="8">
        <v>4764</v>
      </c>
      <c r="E12673" t="s" s="9">
        <v>4764</v>
      </c>
      <c r="F12673" t="s" s="10">
        <v>148</v>
      </c>
      <c r="G12673" t="s" s="11">
        <v>73</v>
      </c>
      <c r="H12673" t="s" s="10">
        <v>73</v>
      </c>
      <c r="I12673" t="s" s="11">
        <v>73</v>
      </c>
      <c r="J12673" t="s" s="11">
        <v>20</v>
      </c>
      <c r="K12673" s="15"/>
      <c r="L12673" t="s" s="16">
        <f>HYPERLINK("http://csr.bu.edu/ftp/asl/asllvd/demos/verify_start_end_handshape_annotations//test_auto_move//signs_mov_separ_signers/Liz_2457.mov","MOV")</f>
        <v>21</v>
      </c>
      <c r="M12673" t="s" s="10">
        <v>36</v>
      </c>
      <c r="N12673" s="17">
        <v>50</v>
      </c>
      <c r="O12673" s="18">
        <v>1681</v>
      </c>
      <c r="P12673" s="18">
        <v>1728</v>
      </c>
      <c r="Q12673" s="15"/>
      <c r="R12673" t="s" s="16">
        <f>HYPERLINK("http://secrets.rutgers.edu:8080/data/asl-ftp/asllvd/demos/verify_start_end_handshape_annotations//test_auto_move//signs_mov_separ_signers/Liz_2457.mov","MOV")</f>
        <v>21</v>
      </c>
    </row>
    <row r="12674" s="2" customFormat="1" ht="13.5" customHeight="1">
      <c r="B12674" s="13"/>
      <c r="C12674" t="s" s="9">
        <v>16</v>
      </c>
      <c r="D12674" t="s" s="8">
        <v>4764</v>
      </c>
      <c r="E12674" t="s" s="9">
        <v>4764</v>
      </c>
      <c r="F12674" t="s" s="10">
        <v>148</v>
      </c>
      <c r="G12674" t="s" s="11">
        <v>73</v>
      </c>
      <c r="H12674" t="s" s="10">
        <v>73</v>
      </c>
      <c r="I12674" t="s" s="11">
        <v>73</v>
      </c>
      <c r="J12674" t="s" s="11">
        <v>20</v>
      </c>
      <c r="K12674" t="s" s="16">
        <f>HYPERLINK("http://csr.bu.edu/ftp/asl/asllvd/demos/verify_start_end_handshape_annotations//test_auto_move//signs_mov/2457_3775_3776_merged.mov","MOV")</f>
        <v>21</v>
      </c>
      <c r="L12674" t="s" s="16">
        <f>HYPERLINK("http://csr.bu.edu/ftp/asl/asllvd/demos/verify_start_end_handshape_annotations//test_auto_move//signs_mov_separ_signers/Liz_3775.mov","MOV")</f>
        <v>21</v>
      </c>
      <c r="M12674" t="s" s="10">
        <v>36</v>
      </c>
      <c r="N12674" s="17">
        <v>50</v>
      </c>
      <c r="O12674" s="18">
        <v>3515</v>
      </c>
      <c r="P12674" s="18">
        <v>3555</v>
      </c>
      <c r="Q12674" t="s" s="16">
        <f>HYPERLINK("http://secrets.rutgers.edu:8080/data/asl-ftp/asllvd/demos/verify_start_end_handshape_annotations//test_auto_move//signs_mov/2457_3775_3776_merged.mov","MOV")</f>
        <v>21</v>
      </c>
      <c r="R12674" t="s" s="16">
        <f>HYPERLINK("http://secrets.rutgers.edu:8080/data/asl-ftp/asllvd/demos/verify_start_end_handshape_annotations//test_auto_move//signs_mov_separ_signers/Liz_3775.mov","MOV")</f>
        <v>21</v>
      </c>
    </row>
    <row r="12675" s="2" customFormat="1" ht="13.5" customHeight="1">
      <c r="B12675" s="13"/>
      <c r="C12675" t="s" s="9">
        <v>16</v>
      </c>
      <c r="D12675" t="s" s="8">
        <v>4764</v>
      </c>
      <c r="E12675" t="s" s="9">
        <v>4764</v>
      </c>
      <c r="F12675" t="s" s="10">
        <v>148</v>
      </c>
      <c r="G12675" t="s" s="11">
        <v>73</v>
      </c>
      <c r="H12675" t="s" s="10">
        <v>73</v>
      </c>
      <c r="I12675" t="s" s="11">
        <v>73</v>
      </c>
      <c r="J12675" t="s" s="11">
        <v>20</v>
      </c>
      <c r="K12675" s="15"/>
      <c r="L12675" t="s" s="16">
        <f>HYPERLINK("http://csr.bu.edu/ftp/asl/asllvd/demos/verify_start_end_handshape_annotations//test_auto_move//signs_mov_separ_signers/Liz_3776.mov","MOV")</f>
        <v>21</v>
      </c>
      <c r="M12675" t="s" s="10">
        <v>36</v>
      </c>
      <c r="N12675" s="17">
        <v>50</v>
      </c>
      <c r="O12675" s="18">
        <v>3668</v>
      </c>
      <c r="P12675" s="18">
        <v>3710</v>
      </c>
      <c r="Q12675" s="15"/>
      <c r="R12675" t="s" s="16">
        <f>HYPERLINK("http://secrets.rutgers.edu:8080/data/asl-ftp/asllvd/demos/verify_start_end_handshape_annotations//test_auto_move//signs_mov_separ_signers/Liz_3776.mov","MOV")</f>
        <v>21</v>
      </c>
    </row>
    <row r="12676" s="2" customFormat="1" ht="27.75" customHeight="1">
      <c r="B12676" t="s" s="8">
        <v>4765</v>
      </c>
      <c r="C12676" t="s" s="9">
        <v>14</v>
      </c>
      <c r="D12676" t="s" s="8">
        <v>14</v>
      </c>
      <c r="E12676" t="s" s="9">
        <v>14</v>
      </c>
      <c r="F12676" t="s" s="10">
        <v>14</v>
      </c>
      <c r="G12676" t="s" s="11">
        <v>14</v>
      </c>
      <c r="H12676" t="s" s="10">
        <v>14</v>
      </c>
      <c r="I12676" t="s" s="11">
        <v>14</v>
      </c>
      <c r="J12676" t="s" s="11">
        <v>14</v>
      </c>
      <c r="K12676" t="s" s="12">
        <v>14</v>
      </c>
      <c r="L12676" t="s" s="12">
        <v>14</v>
      </c>
      <c r="M12676" t="s" s="10">
        <v>14</v>
      </c>
      <c r="N12676" t="s" s="11">
        <v>14</v>
      </c>
      <c r="O12676" t="s" s="8">
        <v>14</v>
      </c>
      <c r="P12676" t="s" s="8">
        <v>14</v>
      </c>
      <c r="Q12676" t="s" s="12">
        <v>14</v>
      </c>
      <c r="R12676" t="s" s="12">
        <v>14</v>
      </c>
    </row>
    <row r="12677" s="2" customFormat="1" ht="27.75" customHeight="1">
      <c r="B12677" s="13"/>
      <c r="C12677" t="s" s="9">
        <v>16</v>
      </c>
      <c r="D12677" t="s" s="8">
        <v>4765</v>
      </c>
      <c r="E12677" t="s" s="9">
        <v>4765</v>
      </c>
      <c r="F12677" t="s" s="10">
        <v>229</v>
      </c>
      <c r="G12677" t="s" s="11">
        <v>55</v>
      </c>
      <c r="H12677" t="s" s="10">
        <v>229</v>
      </c>
      <c r="I12677" t="s" s="11">
        <v>55</v>
      </c>
      <c r="J12677" t="s" s="11">
        <v>20</v>
      </c>
      <c r="K12677" t="s" s="16">
        <f>HYPERLINK("http://csr.bu.edu/ftp/asl/asllvd/demos/verify_start_end_handshape_annotations//test_auto_move//signs_mov/2461.mov","MOV")</f>
        <v>21</v>
      </c>
      <c r="L12677" t="s" s="16">
        <f>HYPERLINK("http://csr.bu.edu/ftp/asl/asllvd/demos/verify_start_end_handshape_annotations//test_auto_move//signs_mov_separ_signers/Liz_2461.mov","MOV")</f>
        <v>21</v>
      </c>
      <c r="M12677" t="s" s="10">
        <v>36</v>
      </c>
      <c r="N12677" s="17">
        <v>51</v>
      </c>
      <c r="O12677" s="18">
        <v>685</v>
      </c>
      <c r="P12677" s="18">
        <v>735</v>
      </c>
      <c r="Q12677" t="s" s="16">
        <f>HYPERLINK("http://secrets.rutgers.edu:8080/data/asl-ftp/asllvd/demos/verify_start_end_handshape_annotations//test_auto_move//signs_mov/2461.mov","MOV")</f>
        <v>21</v>
      </c>
      <c r="R12677" t="s" s="16">
        <f>HYPERLINK("http://secrets.rutgers.edu:8080/data/asl-ftp/asllvd/demos/verify_start_end_handshape_annotations//test_auto_move//signs_mov_separ_signers/Liz_2461.mov","MOV")</f>
        <v>21</v>
      </c>
    </row>
    <row r="12678" s="2" customFormat="1" ht="27.75" customHeight="1">
      <c r="B12678" t="s" s="8">
        <v>4766</v>
      </c>
      <c r="C12678" t="s" s="9">
        <v>14</v>
      </c>
      <c r="D12678" t="s" s="8">
        <v>14</v>
      </c>
      <c r="E12678" t="s" s="9">
        <v>14</v>
      </c>
      <c r="F12678" t="s" s="10">
        <v>14</v>
      </c>
      <c r="G12678" t="s" s="11">
        <v>14</v>
      </c>
      <c r="H12678" t="s" s="10">
        <v>14</v>
      </c>
      <c r="I12678" t="s" s="11">
        <v>14</v>
      </c>
      <c r="J12678" t="s" s="11">
        <v>14</v>
      </c>
      <c r="K12678" t="s" s="12">
        <v>14</v>
      </c>
      <c r="L12678" t="s" s="12">
        <v>14</v>
      </c>
      <c r="M12678" t="s" s="10">
        <v>14</v>
      </c>
      <c r="N12678" t="s" s="11">
        <v>14</v>
      </c>
      <c r="O12678" t="s" s="8">
        <v>14</v>
      </c>
      <c r="P12678" t="s" s="8">
        <v>14</v>
      </c>
      <c r="Q12678" t="s" s="12">
        <v>14</v>
      </c>
      <c r="R12678" t="s" s="12">
        <v>14</v>
      </c>
    </row>
    <row r="12679" s="2" customFormat="1" ht="27.75" customHeight="1">
      <c r="B12679" s="13"/>
      <c r="C12679" t="s" s="9">
        <v>16</v>
      </c>
      <c r="D12679" t="s" s="8">
        <v>4766</v>
      </c>
      <c r="E12679" t="s" s="9">
        <v>4766</v>
      </c>
      <c r="F12679" s="19">
        <v>1</v>
      </c>
      <c r="G12679" s="17">
        <v>1</v>
      </c>
      <c r="H12679" t="s" s="10">
        <v>282</v>
      </c>
      <c r="I12679" s="14"/>
      <c r="J12679" t="s" s="11">
        <v>20</v>
      </c>
      <c r="K12679" t="s" s="16">
        <f>HYPERLINK("http://csr.bu.edu/ftp/asl/asllvd/demos/verify_start_end_handshape_annotations//test_auto_move//signs_mov/2514.mov","MOV")</f>
        <v>21</v>
      </c>
      <c r="L12679" t="s" s="16">
        <f>HYPERLINK("http://csr.bu.edu/ftp/asl/asllvd/demos/verify_start_end_handshape_annotations//test_auto_move//signs_mov_separ_signers/Liz_2514.mov","MOV")</f>
        <v>21</v>
      </c>
      <c r="M12679" t="s" s="10">
        <v>59</v>
      </c>
      <c r="N12679" s="17">
        <v>3</v>
      </c>
      <c r="O12679" s="18">
        <v>1753</v>
      </c>
      <c r="P12679" s="18">
        <v>1809</v>
      </c>
      <c r="Q12679" t="s" s="16">
        <f>HYPERLINK("http://secrets.rutgers.edu:8080/data/asl-ftp/asllvd/demos/verify_start_end_handshape_annotations//test_auto_move//signs_mov/2514.mov","MOV")</f>
        <v>21</v>
      </c>
      <c r="R12679" t="s" s="16">
        <f>HYPERLINK("http://secrets.rutgers.edu:8080/data/asl-ftp/asllvd/demos/verify_start_end_handshape_annotations//test_auto_move//signs_mov_separ_signers/Liz_2514.mov","MOV")</f>
        <v>21</v>
      </c>
    </row>
    <row r="12680" s="2" customFormat="1" ht="13.5" customHeight="1">
      <c r="B12680" t="s" s="8">
        <v>4767</v>
      </c>
      <c r="C12680" t="s" s="9">
        <v>14</v>
      </c>
      <c r="D12680" t="s" s="8">
        <v>14</v>
      </c>
      <c r="E12680" t="s" s="9">
        <v>14</v>
      </c>
      <c r="F12680" t="s" s="10">
        <v>14</v>
      </c>
      <c r="G12680" t="s" s="11">
        <v>14</v>
      </c>
      <c r="H12680" t="s" s="10">
        <v>14</v>
      </c>
      <c r="I12680" t="s" s="11">
        <v>14</v>
      </c>
      <c r="J12680" t="s" s="11">
        <v>14</v>
      </c>
      <c r="K12680" t="s" s="12">
        <v>14</v>
      </c>
      <c r="L12680" t="s" s="12">
        <v>14</v>
      </c>
      <c r="M12680" t="s" s="10">
        <v>14</v>
      </c>
      <c r="N12680" t="s" s="11">
        <v>14</v>
      </c>
      <c r="O12680" t="s" s="8">
        <v>14</v>
      </c>
      <c r="P12680" t="s" s="8">
        <v>14</v>
      </c>
      <c r="Q12680" t="s" s="12">
        <v>14</v>
      </c>
      <c r="R12680" t="s" s="12">
        <v>14</v>
      </c>
    </row>
    <row r="12681" s="2" customFormat="1" ht="13.5" customHeight="1">
      <c r="B12681" s="13"/>
      <c r="C12681" t="s" s="9">
        <v>16</v>
      </c>
      <c r="D12681" t="s" s="8">
        <v>4768</v>
      </c>
      <c r="E12681" t="s" s="9">
        <v>4768</v>
      </c>
      <c r="F12681" t="s" s="10">
        <v>119</v>
      </c>
      <c r="G12681" t="s" s="11">
        <v>119</v>
      </c>
      <c r="H12681" t="s" s="10">
        <v>73</v>
      </c>
      <c r="I12681" t="s" s="11">
        <v>73</v>
      </c>
      <c r="J12681" t="s" s="11">
        <v>20</v>
      </c>
      <c r="K12681" t="s" s="16">
        <f>HYPERLINK("http://csr.bu.edu/ftp/asl/asllvd/demos/verify_start_end_handshape_annotations//test_auto_move//signs_mov/2541.mov","MOV")</f>
        <v>21</v>
      </c>
      <c r="L12681" t="s" s="16">
        <f>HYPERLINK("http://csr.bu.edu/ftp/asl/asllvd/demos/verify_start_end_handshape_annotations//test_auto_move//signs_mov_separ_signers/Liz_2541.mov","MOV")</f>
        <v>21</v>
      </c>
      <c r="M12681" t="s" s="10">
        <v>59</v>
      </c>
      <c r="N12681" s="17">
        <v>6</v>
      </c>
      <c r="O12681" s="18">
        <v>948</v>
      </c>
      <c r="P12681" s="18">
        <v>1008</v>
      </c>
      <c r="Q12681" t="s" s="16">
        <f>HYPERLINK("http://secrets.rutgers.edu:8080/data/asl-ftp/asllvd/demos/verify_start_end_handshape_annotations//test_auto_move//signs_mov/2541.mov","MOV")</f>
        <v>21</v>
      </c>
      <c r="R12681" t="s" s="16">
        <f>HYPERLINK("http://secrets.rutgers.edu:8080/data/asl-ftp/asllvd/demos/verify_start_end_handshape_annotations//test_auto_move//signs_mov_separ_signers/Liz_2541.mov","MOV")</f>
        <v>21</v>
      </c>
    </row>
    <row r="12682" s="2" customFormat="1" ht="13.5" customHeight="1">
      <c r="B12682" s="13"/>
      <c r="C12682" t="s" s="9">
        <v>30</v>
      </c>
      <c r="D12682" t="s" s="8">
        <v>4768</v>
      </c>
      <c r="E12682" t="s" s="9">
        <v>4767</v>
      </c>
      <c r="F12682" t="s" s="10">
        <v>119</v>
      </c>
      <c r="G12682" t="s" s="11">
        <v>119</v>
      </c>
      <c r="H12682" t="s" s="10">
        <v>73</v>
      </c>
      <c r="I12682" t="s" s="11">
        <v>73</v>
      </c>
      <c r="J12682" t="s" s="11">
        <v>20</v>
      </c>
      <c r="K12682" s="15"/>
      <c r="L12682" t="s" s="16">
        <f>HYPERLINK("http://csr.bu.edu/ftp/asl/asllvd/demos/verify_start_end_handshape_annotations//test_auto_move//signs_mov_separ_signers/Brady_2541.mov","MOV")</f>
        <v>21</v>
      </c>
      <c r="M12682" t="s" s="10">
        <v>40</v>
      </c>
      <c r="N12682" s="17">
        <v>110</v>
      </c>
      <c r="O12682" s="18">
        <v>1239</v>
      </c>
      <c r="P12682" s="18">
        <v>1270</v>
      </c>
      <c r="Q12682" s="15"/>
      <c r="R12682" t="s" s="16">
        <f>HYPERLINK("http://secrets.rutgers.edu:8080/data/asl-ftp/asllvd/demos/verify_start_end_handshape_annotations//test_auto_move//signs_mov_separ_signers/Brady_2541.mov","MOV")</f>
        <v>21</v>
      </c>
    </row>
    <row r="12683" s="2" customFormat="1" ht="13.5" customHeight="1">
      <c r="B12683" t="s" s="8">
        <v>4769</v>
      </c>
      <c r="C12683" t="s" s="9">
        <v>14</v>
      </c>
      <c r="D12683" t="s" s="8">
        <v>14</v>
      </c>
      <c r="E12683" t="s" s="9">
        <v>14</v>
      </c>
      <c r="F12683" t="s" s="10">
        <v>14</v>
      </c>
      <c r="G12683" t="s" s="11">
        <v>14</v>
      </c>
      <c r="H12683" t="s" s="10">
        <v>14</v>
      </c>
      <c r="I12683" t="s" s="11">
        <v>14</v>
      </c>
      <c r="J12683" t="s" s="11">
        <v>14</v>
      </c>
      <c r="K12683" t="s" s="12">
        <v>14</v>
      </c>
      <c r="L12683" t="s" s="12">
        <v>14</v>
      </c>
      <c r="M12683" t="s" s="10">
        <v>14</v>
      </c>
      <c r="N12683" t="s" s="11">
        <v>14</v>
      </c>
      <c r="O12683" t="s" s="8">
        <v>14</v>
      </c>
      <c r="P12683" t="s" s="8">
        <v>14</v>
      </c>
      <c r="Q12683" t="s" s="12">
        <v>14</v>
      </c>
      <c r="R12683" t="s" s="12">
        <v>14</v>
      </c>
    </row>
    <row r="12684" s="2" customFormat="1" ht="13.5" customHeight="1">
      <c r="B12684" s="13"/>
      <c r="C12684" t="s" s="9">
        <v>16</v>
      </c>
      <c r="D12684" t="s" s="8">
        <v>4770</v>
      </c>
      <c r="E12684" t="s" s="9">
        <v>4770</v>
      </c>
      <c r="F12684" s="19">
        <v>25</v>
      </c>
      <c r="G12684" s="17">
        <v>5</v>
      </c>
      <c r="H12684" t="s" s="10">
        <v>73</v>
      </c>
      <c r="I12684" t="s" s="11">
        <v>73</v>
      </c>
      <c r="J12684" t="s" s="11">
        <v>20</v>
      </c>
      <c r="K12684" t="s" s="16">
        <f>HYPERLINK("http://csr.bu.edu/ftp/asl/asllvd/demos/verify_start_end_handshape_annotations//test_auto_move//signs_mov/2544.mov","MOV")</f>
        <v>21</v>
      </c>
      <c r="L12684" t="s" s="16">
        <f>HYPERLINK("http://csr.bu.edu/ftp/asl/asllvd/demos/verify_start_end_handshape_annotations//test_auto_move//signs_mov_separ_signers/Liz_2544.mov","MOV")</f>
        <v>21</v>
      </c>
      <c r="M12684" t="s" s="10">
        <v>59</v>
      </c>
      <c r="N12684" s="17">
        <v>6</v>
      </c>
      <c r="O12684" s="18">
        <v>2191</v>
      </c>
      <c r="P12684" s="18">
        <v>2240</v>
      </c>
      <c r="Q12684" t="s" s="16">
        <f>HYPERLINK("http://secrets.rutgers.edu:8080/data/asl-ftp/asllvd/demos/verify_start_end_handshape_annotations//test_auto_move//signs_mov/2544.mov","MOV")</f>
        <v>21</v>
      </c>
      <c r="R12684" t="s" s="16">
        <f>HYPERLINK("http://secrets.rutgers.edu:8080/data/asl-ftp/asllvd/demos/verify_start_end_handshape_annotations//test_auto_move//signs_mov_separ_signers/Liz_2544.mov","MOV")</f>
        <v>21</v>
      </c>
    </row>
    <row r="12685" s="2" customFormat="1" ht="13.5" customHeight="1">
      <c r="B12685" t="s" s="8">
        <v>52</v>
      </c>
      <c r="C12685" t="s" s="9">
        <v>53</v>
      </c>
      <c r="D12685" t="s" s="8">
        <v>53</v>
      </c>
      <c r="E12685" t="s" s="9">
        <v>53</v>
      </c>
      <c r="F12685" t="s" s="10">
        <v>53</v>
      </c>
      <c r="G12685" t="s" s="11">
        <v>53</v>
      </c>
      <c r="H12685" t="s" s="10">
        <v>53</v>
      </c>
      <c r="I12685" t="s" s="11">
        <v>53</v>
      </c>
      <c r="J12685" t="s" s="11">
        <v>53</v>
      </c>
      <c r="K12685" t="s" s="12">
        <v>53</v>
      </c>
      <c r="L12685" t="s" s="12">
        <v>53</v>
      </c>
      <c r="M12685" t="s" s="10">
        <v>53</v>
      </c>
      <c r="N12685" t="s" s="11">
        <v>53</v>
      </c>
      <c r="O12685" t="s" s="8">
        <v>53</v>
      </c>
      <c r="P12685" t="s" s="8">
        <v>53</v>
      </c>
      <c r="Q12685" t="s" s="12">
        <v>53</v>
      </c>
      <c r="R12685" t="s" s="12">
        <v>53</v>
      </c>
    </row>
    <row r="12686" s="2" customFormat="1" ht="27.75" customHeight="1">
      <c r="B12686" s="13"/>
      <c r="C12686" t="s" s="9">
        <v>30</v>
      </c>
      <c r="D12686" t="s" s="8">
        <v>4770</v>
      </c>
      <c r="E12686" t="s" s="9">
        <v>4771</v>
      </c>
      <c r="F12686" s="19">
        <v>25</v>
      </c>
      <c r="G12686" s="17">
        <v>10</v>
      </c>
      <c r="H12686" t="s" s="10">
        <v>73</v>
      </c>
      <c r="I12686" t="s" s="11">
        <v>73</v>
      </c>
      <c r="J12686" t="s" s="11">
        <v>20</v>
      </c>
      <c r="K12686" t="s" s="16">
        <f>HYPERLINK("http://csr.bu.edu/ftp/asl/asllvd/demos/verify_start_end_handshape_annotations//test_auto_move//signs_mov/16469.mov","MOV")</f>
        <v>21</v>
      </c>
      <c r="L12686" t="s" s="16">
        <f>HYPERLINK("http://csr.bu.edu/ftp/asl/asllvd/demos/verify_start_end_handshape_annotations//test_auto_move//signs_mov_separ_signers/Brady_16469.mov","MOV")</f>
        <v>21</v>
      </c>
      <c r="M12686" t="s" s="10">
        <v>40</v>
      </c>
      <c r="N12686" s="17">
        <v>110</v>
      </c>
      <c r="O12686" s="18">
        <v>2648</v>
      </c>
      <c r="P12686" s="18">
        <v>2694</v>
      </c>
      <c r="Q12686" t="s" s="16">
        <f>HYPERLINK("http://secrets.rutgers.edu:8080/data/asl-ftp/asllvd/demos/verify_start_end_handshape_annotations//test_auto_move//signs_mov/16469.mov","MOV")</f>
        <v>21</v>
      </c>
      <c r="R12686" t="s" s="16">
        <f>HYPERLINK("http://secrets.rutgers.edu:8080/data/asl-ftp/asllvd/demos/verify_start_end_handshape_annotations//test_auto_move//signs_mov_separ_signers/Brady_16469.mov","MOV")</f>
        <v>21</v>
      </c>
    </row>
    <row r="12687" s="2" customFormat="1" ht="13.5" customHeight="1">
      <c r="B12687" t="s" s="8">
        <v>4772</v>
      </c>
      <c r="C12687" t="s" s="9">
        <v>14</v>
      </c>
      <c r="D12687" t="s" s="8">
        <v>14</v>
      </c>
      <c r="E12687" t="s" s="9">
        <v>14</v>
      </c>
      <c r="F12687" t="s" s="10">
        <v>14</v>
      </c>
      <c r="G12687" t="s" s="11">
        <v>14</v>
      </c>
      <c r="H12687" t="s" s="10">
        <v>14</v>
      </c>
      <c r="I12687" t="s" s="11">
        <v>14</v>
      </c>
      <c r="J12687" t="s" s="11">
        <v>14</v>
      </c>
      <c r="K12687" t="s" s="12">
        <v>14</v>
      </c>
      <c r="L12687" t="s" s="12">
        <v>14</v>
      </c>
      <c r="M12687" t="s" s="10">
        <v>14</v>
      </c>
      <c r="N12687" t="s" s="11">
        <v>14</v>
      </c>
      <c r="O12687" t="s" s="8">
        <v>14</v>
      </c>
      <c r="P12687" t="s" s="8">
        <v>14</v>
      </c>
      <c r="Q12687" t="s" s="12">
        <v>14</v>
      </c>
      <c r="R12687" t="s" s="12">
        <v>14</v>
      </c>
    </row>
    <row r="12688" s="2" customFormat="1" ht="13.5" customHeight="1">
      <c r="B12688" s="13"/>
      <c r="C12688" t="s" s="9">
        <v>16</v>
      </c>
      <c r="D12688" t="s" s="8">
        <v>4772</v>
      </c>
      <c r="E12688" t="s" s="9">
        <v>4773</v>
      </c>
      <c r="F12688" t="s" s="10">
        <v>386</v>
      </c>
      <c r="G12688" s="14"/>
      <c r="H12688" t="s" s="10">
        <v>229</v>
      </c>
      <c r="I12688" s="14"/>
      <c r="J12688" t="s" s="11">
        <v>20</v>
      </c>
      <c r="K12688" t="s" s="16">
        <f>HYPERLINK("http://csr.bu.edu/ftp/asl/asllvd/demos/verify_start_end_handshape_annotations//test_auto_move//signs_mov/2551.mov","MOV")</f>
        <v>21</v>
      </c>
      <c r="L12688" t="s" s="16">
        <f>HYPERLINK("http://csr.bu.edu/ftp/asl/asllvd/demos/verify_start_end_handshape_annotations//test_auto_move//signs_mov_separ_signers/Liz_2551.mov","MOV")</f>
        <v>21</v>
      </c>
      <c r="M12688" t="s" s="10">
        <v>59</v>
      </c>
      <c r="N12688" s="17">
        <v>7</v>
      </c>
      <c r="O12688" s="18">
        <v>490</v>
      </c>
      <c r="P12688" s="18">
        <v>511</v>
      </c>
      <c r="Q12688" t="s" s="16">
        <f>HYPERLINK("http://secrets.rutgers.edu:8080/data/asl-ftp/asllvd/demos/verify_start_end_handshape_annotations//test_auto_move//signs_mov/2551.mov","MOV")</f>
        <v>21</v>
      </c>
      <c r="R12688" t="s" s="16">
        <f>HYPERLINK("http://secrets.rutgers.edu:8080/data/asl-ftp/asllvd/demos/verify_start_end_handshape_annotations//test_auto_move//signs_mov_separ_signers/Liz_2551.mov","MOV")</f>
        <v>21</v>
      </c>
    </row>
    <row r="12689" s="2" customFormat="1" ht="13.5" customHeight="1">
      <c r="B12689" s="13"/>
      <c r="C12689" t="s" s="9">
        <v>30</v>
      </c>
      <c r="D12689" t="s" s="8">
        <v>4772</v>
      </c>
      <c r="E12689" t="s" s="9">
        <v>4773</v>
      </c>
      <c r="F12689" t="s" s="10">
        <v>386</v>
      </c>
      <c r="G12689" s="14"/>
      <c r="H12689" t="s" s="10">
        <v>229</v>
      </c>
      <c r="I12689" s="14"/>
      <c r="J12689" t="s" s="11">
        <v>20</v>
      </c>
      <c r="K12689" s="15"/>
      <c r="L12689" t="s" s="16">
        <f>HYPERLINK("http://csr.bu.edu/ftp/asl/asllvd/demos/verify_start_end_handshape_annotations//test_auto_move//signs_mov_separ_signers/Brady_2551.mov","MOV")</f>
        <v>21</v>
      </c>
      <c r="M12689" t="s" s="10">
        <v>40</v>
      </c>
      <c r="N12689" s="17">
        <v>111</v>
      </c>
      <c r="O12689" s="18">
        <v>1150</v>
      </c>
      <c r="P12689" s="18">
        <v>1176</v>
      </c>
      <c r="Q12689" s="15"/>
      <c r="R12689" t="s" s="16">
        <f>HYPERLINK("http://secrets.rutgers.edu:8080/data/asl-ftp/asllvd/demos/verify_start_end_handshape_annotations//test_auto_move//signs_mov_separ_signers/Brady_2551.mov","MOV")</f>
        <v>21</v>
      </c>
    </row>
    <row r="12690" s="2" customFormat="1" ht="13.5" customHeight="1">
      <c r="B12690" t="s" s="8">
        <v>4774</v>
      </c>
      <c r="C12690" t="s" s="9">
        <v>14</v>
      </c>
      <c r="D12690" t="s" s="8">
        <v>14</v>
      </c>
      <c r="E12690" t="s" s="9">
        <v>14</v>
      </c>
      <c r="F12690" t="s" s="10">
        <v>14</v>
      </c>
      <c r="G12690" t="s" s="11">
        <v>14</v>
      </c>
      <c r="H12690" t="s" s="10">
        <v>14</v>
      </c>
      <c r="I12690" t="s" s="11">
        <v>14</v>
      </c>
      <c r="J12690" t="s" s="11">
        <v>14</v>
      </c>
      <c r="K12690" t="s" s="12">
        <v>14</v>
      </c>
      <c r="L12690" t="s" s="12">
        <v>14</v>
      </c>
      <c r="M12690" t="s" s="10">
        <v>14</v>
      </c>
      <c r="N12690" t="s" s="11">
        <v>14</v>
      </c>
      <c r="O12690" t="s" s="8">
        <v>14</v>
      </c>
      <c r="P12690" t="s" s="8">
        <v>14</v>
      </c>
      <c r="Q12690" t="s" s="12">
        <v>14</v>
      </c>
      <c r="R12690" t="s" s="12">
        <v>14</v>
      </c>
    </row>
    <row r="12691" s="2" customFormat="1" ht="27.75" customHeight="1">
      <c r="B12691" s="13"/>
      <c r="C12691" t="s" s="9">
        <v>16</v>
      </c>
      <c r="D12691" t="s" s="8">
        <v>4775</v>
      </c>
      <c r="E12691" t="s" s="9">
        <v>4775</v>
      </c>
      <c r="F12691" t="s" s="10">
        <v>73</v>
      </c>
      <c r="G12691" t="s" s="11">
        <v>73</v>
      </c>
      <c r="H12691" t="s" s="10">
        <v>73</v>
      </c>
      <c r="I12691" t="s" s="11">
        <v>73</v>
      </c>
      <c r="J12691" t="s" s="11">
        <v>20</v>
      </c>
      <c r="K12691" t="s" s="16">
        <f>HYPERLINK("http://csr.bu.edu/ftp/asl/asllvd/demos/verify_start_end_handshape_annotations//test_auto_move//signs_mov/2570.mov","MOV")</f>
        <v>21</v>
      </c>
      <c r="L12691" t="s" s="16">
        <f>HYPERLINK("http://csr.bu.edu/ftp/asl/asllvd/demos/verify_start_end_handshape_annotations//test_auto_move//signs_mov_separ_signers/Liz_2570.mov","MOV")</f>
        <v>21</v>
      </c>
      <c r="M12691" t="s" s="10">
        <v>59</v>
      </c>
      <c r="N12691" s="17">
        <v>9</v>
      </c>
      <c r="O12691" s="18">
        <v>400</v>
      </c>
      <c r="P12691" s="18">
        <v>432</v>
      </c>
      <c r="Q12691" t="s" s="16">
        <f>HYPERLINK("http://secrets.rutgers.edu:8080/data/asl-ftp/asllvd/demos/verify_start_end_handshape_annotations//test_auto_move//signs_mov/2570.mov","MOV")</f>
        <v>21</v>
      </c>
      <c r="R12691" t="s" s="16">
        <f>HYPERLINK("http://secrets.rutgers.edu:8080/data/asl-ftp/asllvd/demos/verify_start_end_handshape_annotations//test_auto_move//signs_mov_separ_signers/Liz_2570.mov","MOV")</f>
        <v>21</v>
      </c>
    </row>
    <row r="12692" s="2" customFormat="1" ht="27.75" customHeight="1">
      <c r="B12692" s="13"/>
      <c r="C12692" t="s" s="9">
        <v>30</v>
      </c>
      <c r="D12692" t="s" s="8">
        <v>4775</v>
      </c>
      <c r="E12692" t="s" s="9">
        <v>4775</v>
      </c>
      <c r="F12692" t="s" s="10">
        <v>73</v>
      </c>
      <c r="G12692" t="s" s="11">
        <v>73</v>
      </c>
      <c r="H12692" t="s" s="10">
        <v>73</v>
      </c>
      <c r="I12692" t="s" s="11">
        <v>73</v>
      </c>
      <c r="J12692" t="s" s="11">
        <v>20</v>
      </c>
      <c r="K12692" s="15"/>
      <c r="L12692" t="s" s="16">
        <f>HYPERLINK("http://csr.bu.edu/ftp/asl/asllvd/demos/verify_start_end_handshape_annotations//test_auto_move//signs_mov_separ_signers/Brady_2570.mov","MOV")</f>
        <v>21</v>
      </c>
      <c r="M12692" t="s" s="10">
        <v>40</v>
      </c>
      <c r="N12692" s="17">
        <v>113</v>
      </c>
      <c r="O12692" s="18">
        <v>3858</v>
      </c>
      <c r="P12692" s="18">
        <v>3891</v>
      </c>
      <c r="Q12692" s="15"/>
      <c r="R12692" t="s" s="16">
        <f>HYPERLINK("http://secrets.rutgers.edu:8080/data/asl-ftp/asllvd/demos/verify_start_end_handshape_annotations//test_auto_move//signs_mov_separ_signers/Brady_2570.mov","MOV")</f>
        <v>21</v>
      </c>
    </row>
    <row r="12693" s="2" customFormat="1" ht="13.5" customHeight="1">
      <c r="B12693" t="s" s="8">
        <v>4776</v>
      </c>
      <c r="C12693" t="s" s="9">
        <v>14</v>
      </c>
      <c r="D12693" t="s" s="8">
        <v>14</v>
      </c>
      <c r="E12693" t="s" s="9">
        <v>14</v>
      </c>
      <c r="F12693" t="s" s="10">
        <v>14</v>
      </c>
      <c r="G12693" t="s" s="11">
        <v>14</v>
      </c>
      <c r="H12693" t="s" s="10">
        <v>14</v>
      </c>
      <c r="I12693" t="s" s="11">
        <v>14</v>
      </c>
      <c r="J12693" t="s" s="11">
        <v>14</v>
      </c>
      <c r="K12693" t="s" s="12">
        <v>14</v>
      </c>
      <c r="L12693" t="s" s="12">
        <v>14</v>
      </c>
      <c r="M12693" t="s" s="10">
        <v>14</v>
      </c>
      <c r="N12693" t="s" s="11">
        <v>14</v>
      </c>
      <c r="O12693" t="s" s="8">
        <v>14</v>
      </c>
      <c r="P12693" t="s" s="8">
        <v>14</v>
      </c>
      <c r="Q12693" t="s" s="12">
        <v>14</v>
      </c>
      <c r="R12693" t="s" s="12">
        <v>14</v>
      </c>
    </row>
    <row r="12694" s="2" customFormat="1" ht="13.5" customHeight="1">
      <c r="B12694" s="13"/>
      <c r="C12694" t="s" s="9">
        <v>16</v>
      </c>
      <c r="D12694" t="s" s="8">
        <v>4776</v>
      </c>
      <c r="E12694" t="s" s="9">
        <v>4776</v>
      </c>
      <c r="F12694" s="19">
        <v>3</v>
      </c>
      <c r="G12694" s="14"/>
      <c r="H12694" t="s" s="10">
        <v>119</v>
      </c>
      <c r="I12694" s="14"/>
      <c r="J12694" t="s" s="11">
        <v>20</v>
      </c>
      <c r="K12694" t="s" s="16">
        <f>HYPERLINK("http://csr.bu.edu/ftp/asl/asllvd/demos/verify_start_end_handshape_annotations//test_auto_move//signs_mov/2597.mov","MOV")</f>
        <v>21</v>
      </c>
      <c r="L12694" t="s" s="16">
        <f>HYPERLINK("http://csr.bu.edu/ftp/asl/asllvd/demos/verify_start_end_handshape_annotations//test_auto_move//signs_mov_separ_signers/Liz_2597.mov","MOV")</f>
        <v>21</v>
      </c>
      <c r="M12694" t="s" s="10">
        <v>59</v>
      </c>
      <c r="N12694" s="17">
        <v>11</v>
      </c>
      <c r="O12694" s="18">
        <v>1280</v>
      </c>
      <c r="P12694" s="18">
        <v>1298</v>
      </c>
      <c r="Q12694" t="s" s="16">
        <f>HYPERLINK("http://secrets.rutgers.edu:8080/data/asl-ftp/asllvd/demos/verify_start_end_handshape_annotations//test_auto_move//signs_mov/2597.mov","MOV")</f>
        <v>21</v>
      </c>
      <c r="R12694" t="s" s="16">
        <f>HYPERLINK("http://secrets.rutgers.edu:8080/data/asl-ftp/asllvd/demos/verify_start_end_handshape_annotations//test_auto_move//signs_mov_separ_signers/Liz_2597.mov","MOV")</f>
        <v>21</v>
      </c>
    </row>
    <row r="12695" s="2" customFormat="1" ht="13.5" customHeight="1">
      <c r="B12695" t="s" s="8">
        <v>52</v>
      </c>
      <c r="C12695" t="s" s="9">
        <v>53</v>
      </c>
      <c r="D12695" t="s" s="8">
        <v>53</v>
      </c>
      <c r="E12695" t="s" s="9">
        <v>53</v>
      </c>
      <c r="F12695" t="s" s="10">
        <v>53</v>
      </c>
      <c r="G12695" t="s" s="11">
        <v>53</v>
      </c>
      <c r="H12695" t="s" s="10">
        <v>53</v>
      </c>
      <c r="I12695" t="s" s="11">
        <v>53</v>
      </c>
      <c r="J12695" t="s" s="11">
        <v>53</v>
      </c>
      <c r="K12695" t="s" s="12">
        <v>53</v>
      </c>
      <c r="L12695" t="s" s="12">
        <v>53</v>
      </c>
      <c r="M12695" t="s" s="10">
        <v>53</v>
      </c>
      <c r="N12695" t="s" s="11">
        <v>53</v>
      </c>
      <c r="O12695" t="s" s="8">
        <v>53</v>
      </c>
      <c r="P12695" t="s" s="8">
        <v>53</v>
      </c>
      <c r="Q12695" t="s" s="12">
        <v>53</v>
      </c>
      <c r="R12695" t="s" s="12">
        <v>53</v>
      </c>
    </row>
    <row r="12696" s="2" customFormat="1" ht="13.5" customHeight="1">
      <c r="B12696" s="13"/>
      <c r="C12696" t="s" s="9">
        <v>30</v>
      </c>
      <c r="D12696" t="s" s="8">
        <v>4776</v>
      </c>
      <c r="E12696" t="s" s="9">
        <v>4777</v>
      </c>
      <c r="F12696" s="19">
        <v>3</v>
      </c>
      <c r="G12696" s="14"/>
      <c r="H12696" t="s" s="10">
        <v>453</v>
      </c>
      <c r="I12696" s="14"/>
      <c r="J12696" t="s" s="11">
        <v>20</v>
      </c>
      <c r="K12696" t="s" s="16">
        <f>HYPERLINK("http://csr.bu.edu/ftp/asl/asllvd/demos/verify_start_end_handshape_annotations//test_auto_move//signs_mov/16472.mov","MOV")</f>
        <v>21</v>
      </c>
      <c r="L12696" t="s" s="16">
        <f>HYPERLINK("http://csr.bu.edu/ftp/asl/asllvd/demos/verify_start_end_handshape_annotations//test_auto_move//signs_mov_separ_signers/Brady_16472.mov","MOV")</f>
        <v>21</v>
      </c>
      <c r="M12696" t="s" s="10">
        <v>40</v>
      </c>
      <c r="N12696" s="17">
        <v>115</v>
      </c>
      <c r="O12696" s="18">
        <v>1570</v>
      </c>
      <c r="P12696" s="18">
        <v>1581</v>
      </c>
      <c r="Q12696" t="s" s="16">
        <f>HYPERLINK("http://secrets.rutgers.edu:8080/data/asl-ftp/asllvd/demos/verify_start_end_handshape_annotations//test_auto_move//signs_mov/16472.mov","MOV")</f>
        <v>21</v>
      </c>
      <c r="R12696" t="s" s="16">
        <f>HYPERLINK("http://secrets.rutgers.edu:8080/data/asl-ftp/asllvd/demos/verify_start_end_handshape_annotations//test_auto_move//signs_mov_separ_signers/Brady_16472.mov","MOV")</f>
        <v>21</v>
      </c>
    </row>
    <row r="12697" s="2" customFormat="1" ht="13.5" customHeight="1">
      <c r="B12697" t="s" s="8">
        <v>4778</v>
      </c>
      <c r="C12697" t="s" s="9">
        <v>14</v>
      </c>
      <c r="D12697" t="s" s="8">
        <v>14</v>
      </c>
      <c r="E12697" t="s" s="9">
        <v>14</v>
      </c>
      <c r="F12697" t="s" s="10">
        <v>14</v>
      </c>
      <c r="G12697" t="s" s="11">
        <v>14</v>
      </c>
      <c r="H12697" t="s" s="10">
        <v>14</v>
      </c>
      <c r="I12697" t="s" s="11">
        <v>14</v>
      </c>
      <c r="J12697" t="s" s="11">
        <v>14</v>
      </c>
      <c r="K12697" t="s" s="12">
        <v>14</v>
      </c>
      <c r="L12697" t="s" s="12">
        <v>14</v>
      </c>
      <c r="M12697" t="s" s="10">
        <v>14</v>
      </c>
      <c r="N12697" t="s" s="11">
        <v>14</v>
      </c>
      <c r="O12697" t="s" s="8">
        <v>14</v>
      </c>
      <c r="P12697" t="s" s="8">
        <v>14</v>
      </c>
      <c r="Q12697" t="s" s="12">
        <v>14</v>
      </c>
      <c r="R12697" t="s" s="12">
        <v>14</v>
      </c>
    </row>
    <row r="12698" s="2" customFormat="1" ht="13.5" customHeight="1">
      <c r="B12698" s="13"/>
      <c r="C12698" t="s" s="9">
        <v>16</v>
      </c>
      <c r="D12698" t="s" s="8">
        <v>4778</v>
      </c>
      <c r="E12698" t="s" s="9">
        <v>4778</v>
      </c>
      <c r="F12698" s="19">
        <v>3</v>
      </c>
      <c r="G12698" s="14"/>
      <c r="H12698" s="19">
        <v>4</v>
      </c>
      <c r="I12698" s="14"/>
      <c r="J12698" t="s" s="11">
        <v>20</v>
      </c>
      <c r="K12698" t="s" s="16">
        <f>HYPERLINK("http://csr.bu.edu/ftp/asl/asllvd/demos/verify_start_end_handshape_annotations//test_auto_move//signs_mov/2608.mov","MOV")</f>
        <v>21</v>
      </c>
      <c r="L12698" t="s" s="16">
        <f>HYPERLINK("http://csr.bu.edu/ftp/asl/asllvd/demos/verify_start_end_handshape_annotations//test_auto_move//signs_mov_separ_signers/Liz_2608.mov","MOV")</f>
        <v>21</v>
      </c>
      <c r="M12698" t="s" s="10">
        <v>59</v>
      </c>
      <c r="N12698" s="17">
        <v>15</v>
      </c>
      <c r="O12698" s="18">
        <v>2200</v>
      </c>
      <c r="P12698" s="18">
        <v>2240</v>
      </c>
      <c r="Q12698" t="s" s="16">
        <f>HYPERLINK("http://secrets.rutgers.edu:8080/data/asl-ftp/asllvd/demos/verify_start_end_handshape_annotations//test_auto_move//signs_mov/2608.mov","MOV")</f>
        <v>21</v>
      </c>
      <c r="R12698" t="s" s="16">
        <f>HYPERLINK("http://secrets.rutgers.edu:8080/data/asl-ftp/asllvd/demos/verify_start_end_handshape_annotations//test_auto_move//signs_mov_separ_signers/Liz_2608.mov","MOV")</f>
        <v>21</v>
      </c>
    </row>
    <row r="12699" s="2" customFormat="1" ht="13.5" customHeight="1">
      <c r="B12699" s="13"/>
      <c r="C12699" t="s" s="9">
        <v>30</v>
      </c>
      <c r="D12699" t="s" s="8">
        <v>4778</v>
      </c>
      <c r="E12699" t="s" s="9">
        <v>4778</v>
      </c>
      <c r="F12699" s="19">
        <v>3</v>
      </c>
      <c r="G12699" s="14"/>
      <c r="H12699" s="19">
        <v>4</v>
      </c>
      <c r="I12699" s="14"/>
      <c r="J12699" t="s" s="11">
        <v>20</v>
      </c>
      <c r="K12699" s="15"/>
      <c r="L12699" t="s" s="16">
        <f>HYPERLINK("http://csr.bu.edu/ftp/asl/asllvd/demos/verify_start_end_handshape_annotations//test_auto_move//signs_mov_separ_signers/Brady_2608.mov","MOV")</f>
        <v>21</v>
      </c>
      <c r="M12699" t="s" s="10">
        <v>40</v>
      </c>
      <c r="N12699" s="17">
        <v>117</v>
      </c>
      <c r="O12699" s="18">
        <v>159</v>
      </c>
      <c r="P12699" s="18">
        <v>184</v>
      </c>
      <c r="Q12699" s="15"/>
      <c r="R12699" t="s" s="16">
        <f>HYPERLINK("http://secrets.rutgers.edu:8080/data/asl-ftp/asllvd/demos/verify_start_end_handshape_annotations//test_auto_move//signs_mov_separ_signers/Brady_2608.mov","MOV")</f>
        <v>21</v>
      </c>
    </row>
    <row r="12700" s="2" customFormat="1" ht="13.5" customHeight="1">
      <c r="B12700" t="s" s="8">
        <v>4779</v>
      </c>
      <c r="C12700" t="s" s="9">
        <v>14</v>
      </c>
      <c r="D12700" t="s" s="8">
        <v>14</v>
      </c>
      <c r="E12700" t="s" s="9">
        <v>14</v>
      </c>
      <c r="F12700" t="s" s="10">
        <v>14</v>
      </c>
      <c r="G12700" t="s" s="11">
        <v>14</v>
      </c>
      <c r="H12700" t="s" s="10">
        <v>14</v>
      </c>
      <c r="I12700" t="s" s="11">
        <v>14</v>
      </c>
      <c r="J12700" t="s" s="11">
        <v>14</v>
      </c>
      <c r="K12700" t="s" s="12">
        <v>14</v>
      </c>
      <c r="L12700" t="s" s="12">
        <v>14</v>
      </c>
      <c r="M12700" t="s" s="10">
        <v>14</v>
      </c>
      <c r="N12700" t="s" s="11">
        <v>14</v>
      </c>
      <c r="O12700" t="s" s="8">
        <v>14</v>
      </c>
      <c r="P12700" t="s" s="8">
        <v>14</v>
      </c>
      <c r="Q12700" t="s" s="12">
        <v>14</v>
      </c>
      <c r="R12700" t="s" s="12">
        <v>14</v>
      </c>
    </row>
    <row r="12701" s="2" customFormat="1" ht="13.5" customHeight="1">
      <c r="B12701" s="13"/>
      <c r="C12701" t="s" s="9">
        <v>16</v>
      </c>
      <c r="D12701" t="s" s="8">
        <v>4779</v>
      </c>
      <c r="E12701" t="s" s="9">
        <v>4780</v>
      </c>
      <c r="F12701" s="19">
        <v>1</v>
      </c>
      <c r="G12701" s="14"/>
      <c r="H12701" t="s" s="10">
        <v>68</v>
      </c>
      <c r="I12701" t="s" s="11">
        <v>68</v>
      </c>
      <c r="J12701" t="s" s="11">
        <v>20</v>
      </c>
      <c r="K12701" s="15"/>
      <c r="L12701" t="s" s="16">
        <f>HYPERLINK("http://csr.bu.edu/ftp/asl/asllvd/demos/verify_start_end_handshape_annotations//test_auto_move//signs_mov_separ_signers/Liz_2623.mov","MOV")</f>
        <v>21</v>
      </c>
      <c r="M12701" t="s" s="10">
        <v>34</v>
      </c>
      <c r="N12701" s="17">
        <v>54</v>
      </c>
      <c r="O12701" s="18">
        <v>1821</v>
      </c>
      <c r="P12701" s="18">
        <v>1874</v>
      </c>
      <c r="Q12701" s="15"/>
      <c r="R12701" t="s" s="16">
        <f>HYPERLINK("http://secrets.rutgers.edu:8080/data/asl-ftp/asllvd/demos/verify_start_end_handshape_annotations//test_auto_move//signs_mov_separ_signers/Liz_2623.mov","MOV")</f>
        <v>21</v>
      </c>
    </row>
    <row r="12702" s="2" customFormat="1" ht="13.5" customHeight="1">
      <c r="B12702" s="13"/>
      <c r="C12702" t="s" s="9">
        <v>16</v>
      </c>
      <c r="D12702" t="s" s="8">
        <v>4779</v>
      </c>
      <c r="E12702" t="s" s="9">
        <v>4780</v>
      </c>
      <c r="F12702" s="19">
        <v>1</v>
      </c>
      <c r="G12702" s="14"/>
      <c r="H12702" t="s" s="10">
        <v>68</v>
      </c>
      <c r="I12702" t="s" s="11">
        <v>68</v>
      </c>
      <c r="J12702" t="s" s="11">
        <v>20</v>
      </c>
      <c r="K12702" t="s" s="16">
        <f>HYPERLINK("http://csr.bu.edu/ftp/asl/asllvd/demos/verify_start_end_handshape_annotations//test_auto_move//signs_mov/2623_3834_merged.mov","MOV")</f>
        <v>21</v>
      </c>
      <c r="L12702" t="s" s="16">
        <f>HYPERLINK("http://csr.bu.edu/ftp/asl/asllvd/demos/verify_start_end_handshape_annotations//test_auto_move//signs_mov_separ_signers/Liz_3834.mov","MOV")</f>
        <v>21</v>
      </c>
      <c r="M12702" t="s" s="10">
        <v>59</v>
      </c>
      <c r="N12702" s="17">
        <v>17</v>
      </c>
      <c r="O12702" s="18">
        <v>2258</v>
      </c>
      <c r="P12702" s="18">
        <v>2311</v>
      </c>
      <c r="Q12702" t="s" s="16">
        <f>HYPERLINK("http://secrets.rutgers.edu:8080/data/asl-ftp/asllvd/demos/verify_start_end_handshape_annotations//test_auto_move//signs_mov/2623_3834_merged.mov","MOV")</f>
        <v>21</v>
      </c>
      <c r="R12702" t="s" s="16">
        <f>HYPERLINK("http://secrets.rutgers.edu:8080/data/asl-ftp/asllvd/demos/verify_start_end_handshape_annotations//test_auto_move//signs_mov_separ_signers/Liz_3834.mov","MOV")</f>
        <v>21</v>
      </c>
    </row>
    <row r="12703" s="2" customFormat="1" ht="13.5" customHeight="1">
      <c r="B12703" s="13"/>
      <c r="C12703" t="s" s="9">
        <v>27</v>
      </c>
      <c r="D12703" t="s" s="8">
        <v>4779</v>
      </c>
      <c r="E12703" t="s" s="9">
        <v>4779</v>
      </c>
      <c r="F12703" s="19">
        <v>1</v>
      </c>
      <c r="G12703" s="14"/>
      <c r="H12703" t="s" s="10">
        <v>70</v>
      </c>
      <c r="I12703" t="s" s="11">
        <v>68</v>
      </c>
      <c r="J12703" t="s" s="11">
        <v>20</v>
      </c>
      <c r="K12703" s="15"/>
      <c r="L12703" t="s" s="16">
        <f>HYPERLINK("http://csr.bu.edu/ftp/asl/asllvd/demos/verify_start_end_handshape_annotations//test_auto_move//signs_mov_separ_signers/Naomi_2623.mov","MOV")</f>
        <v>21</v>
      </c>
      <c r="M12703" t="s" s="10">
        <v>48</v>
      </c>
      <c r="N12703" s="17">
        <v>9</v>
      </c>
      <c r="O12703" s="18">
        <v>2481</v>
      </c>
      <c r="P12703" s="18">
        <v>2513</v>
      </c>
      <c r="Q12703" s="15"/>
      <c r="R12703" t="s" s="16">
        <f>HYPERLINK("http://secrets.rutgers.edu:8080/data/asl-ftp/asllvd/demos/verify_start_end_handshape_annotations//test_auto_move//signs_mov_separ_signers/Naomi_2623.mov","MOV")</f>
        <v>21</v>
      </c>
    </row>
    <row r="12704" s="2" customFormat="1" ht="13.5" customHeight="1">
      <c r="B12704" s="13"/>
      <c r="C12704" t="s" s="9">
        <v>30</v>
      </c>
      <c r="D12704" t="s" s="8">
        <v>4779</v>
      </c>
      <c r="E12704" t="s" s="9">
        <v>4781</v>
      </c>
      <c r="F12704" s="19">
        <v>1</v>
      </c>
      <c r="G12704" t="s" s="11">
        <v>68</v>
      </c>
      <c r="H12704" t="s" s="10">
        <v>68</v>
      </c>
      <c r="I12704" t="s" s="11">
        <v>68</v>
      </c>
      <c r="J12704" t="s" s="11">
        <v>20</v>
      </c>
      <c r="K12704" s="15"/>
      <c r="L12704" t="s" s="16">
        <f>HYPERLINK("http://csr.bu.edu/ftp/asl/asllvd/demos/verify_start_end_handshape_annotations//test_auto_move//signs_mov_separ_signers/Brady_2623.mov","MOV")</f>
        <v>21</v>
      </c>
      <c r="M12704" t="s" s="10">
        <v>60</v>
      </c>
      <c r="N12704" s="17">
        <v>5</v>
      </c>
      <c r="O12704" s="18">
        <v>1916</v>
      </c>
      <c r="P12704" s="18">
        <v>1966</v>
      </c>
      <c r="Q12704" s="15"/>
      <c r="R12704" t="s" s="16">
        <f>HYPERLINK("http://secrets.rutgers.edu:8080/data/asl-ftp/asllvd/demos/verify_start_end_handshape_annotations//test_auto_move//signs_mov_separ_signers/Brady_2623.mov","MOV")</f>
        <v>21</v>
      </c>
    </row>
    <row r="12705" s="2" customFormat="1" ht="13.5" customHeight="1">
      <c r="B12705" t="s" s="8">
        <v>4782</v>
      </c>
      <c r="C12705" t="s" s="9">
        <v>14</v>
      </c>
      <c r="D12705" t="s" s="8">
        <v>14</v>
      </c>
      <c r="E12705" t="s" s="9">
        <v>14</v>
      </c>
      <c r="F12705" t="s" s="10">
        <v>14</v>
      </c>
      <c r="G12705" t="s" s="11">
        <v>14</v>
      </c>
      <c r="H12705" t="s" s="10">
        <v>14</v>
      </c>
      <c r="I12705" t="s" s="11">
        <v>14</v>
      </c>
      <c r="J12705" t="s" s="11">
        <v>14</v>
      </c>
      <c r="K12705" t="s" s="12">
        <v>14</v>
      </c>
      <c r="L12705" t="s" s="12">
        <v>14</v>
      </c>
      <c r="M12705" t="s" s="10">
        <v>14</v>
      </c>
      <c r="N12705" t="s" s="11">
        <v>14</v>
      </c>
      <c r="O12705" t="s" s="8">
        <v>14</v>
      </c>
      <c r="P12705" t="s" s="8">
        <v>14</v>
      </c>
      <c r="Q12705" t="s" s="12">
        <v>14</v>
      </c>
      <c r="R12705" t="s" s="12">
        <v>14</v>
      </c>
    </row>
    <row r="12706" s="2" customFormat="1" ht="13.5" customHeight="1">
      <c r="B12706" s="13"/>
      <c r="C12706" t="s" s="9">
        <v>23</v>
      </c>
      <c r="D12706" t="s" s="8">
        <v>4782</v>
      </c>
      <c r="E12706" t="s" s="9">
        <v>4782</v>
      </c>
      <c r="F12706" s="19">
        <v>5</v>
      </c>
      <c r="G12706" s="17">
        <v>5</v>
      </c>
      <c r="H12706" t="s" s="10">
        <v>68</v>
      </c>
      <c r="I12706" t="s" s="11">
        <v>68</v>
      </c>
      <c r="J12706" t="s" s="11">
        <v>20</v>
      </c>
      <c r="K12706" s="15"/>
      <c r="L12706" t="s" s="16">
        <f>HYPERLINK("http://csr.bu.edu/ftp/asl/asllvd/demos/verify_start_end_handshape_annotations//test_auto_move//signs_mov_separ_signers/Tyler_5269.mov","MOV")</f>
        <v>21</v>
      </c>
      <c r="M12706" t="s" s="10">
        <v>47</v>
      </c>
      <c r="N12706" s="17">
        <v>6</v>
      </c>
      <c r="O12706" s="18">
        <v>2759</v>
      </c>
      <c r="P12706" s="18">
        <v>2784</v>
      </c>
      <c r="Q12706" s="15"/>
      <c r="R12706" t="s" s="16">
        <f>HYPERLINK("http://secrets.rutgers.edu:8080/data/asl-ftp/asllvd/demos/verify_start_end_handshape_annotations//test_auto_move//signs_mov_separ_signers/Tyler_5269.mov","MOV")</f>
        <v>21</v>
      </c>
    </row>
    <row r="12707" s="2" customFormat="1" ht="13.5" customHeight="1">
      <c r="B12707" s="13"/>
      <c r="C12707" t="s" s="9">
        <v>30</v>
      </c>
      <c r="D12707" t="s" s="8">
        <v>4782</v>
      </c>
      <c r="E12707" t="s" s="9">
        <v>4782</v>
      </c>
      <c r="F12707" s="19">
        <v>5</v>
      </c>
      <c r="G12707" s="17">
        <v>5</v>
      </c>
      <c r="H12707" t="s" s="10">
        <v>68</v>
      </c>
      <c r="I12707" t="s" s="11">
        <v>68</v>
      </c>
      <c r="J12707" t="s" s="11">
        <v>20</v>
      </c>
      <c r="K12707" t="s" s="16">
        <f>HYPERLINK("http://csr.bu.edu/ftp/asl/asllvd/demos/verify_start_end_handshape_annotations//test_auto_move//signs_mov/5269_16259_merged.mov","MOV")</f>
        <v>21</v>
      </c>
      <c r="L12707" t="s" s="16">
        <f>HYPERLINK("http://csr.bu.edu/ftp/asl/asllvd/demos/verify_start_end_handshape_annotations//test_auto_move//signs_mov_separ_signers/Brady_5269.mov","MOV")</f>
        <v>21</v>
      </c>
      <c r="M12707" t="s" s="10">
        <v>39</v>
      </c>
      <c r="N12707" s="17">
        <v>52</v>
      </c>
      <c r="O12707" s="18">
        <v>5459</v>
      </c>
      <c r="P12707" s="18">
        <v>5480</v>
      </c>
      <c r="Q12707" t="s" s="16">
        <f>HYPERLINK("http://secrets.rutgers.edu:8080/data/asl-ftp/asllvd/demos/verify_start_end_handshape_annotations//test_auto_move//signs_mov/5269_16259_merged.mov","MOV")</f>
        <v>21</v>
      </c>
      <c r="R12707" t="s" s="16">
        <f>HYPERLINK("http://secrets.rutgers.edu:8080/data/asl-ftp/asllvd/demos/verify_start_end_handshape_annotations//test_auto_move//signs_mov_separ_signers/Brady_5269.mov","MOV")</f>
        <v>21</v>
      </c>
    </row>
    <row r="12708" s="2" customFormat="1" ht="13.5" customHeight="1">
      <c r="B12708" s="13"/>
      <c r="C12708" t="s" s="9">
        <v>30</v>
      </c>
      <c r="D12708" t="s" s="8">
        <v>4782</v>
      </c>
      <c r="E12708" t="s" s="9">
        <v>4782</v>
      </c>
      <c r="F12708" s="19">
        <v>5</v>
      </c>
      <c r="G12708" s="17">
        <v>5</v>
      </c>
      <c r="H12708" t="s" s="10">
        <v>68</v>
      </c>
      <c r="I12708" t="s" s="11">
        <v>68</v>
      </c>
      <c r="J12708" t="s" s="11">
        <v>20</v>
      </c>
      <c r="K12708" s="15"/>
      <c r="L12708" t="s" s="16">
        <f>HYPERLINK("http://csr.bu.edu/ftp/asl/asllvd/demos/verify_start_end_handshape_annotations//test_auto_move//signs_mov_separ_signers/Brady_16259.mov","MOV")</f>
        <v>21</v>
      </c>
      <c r="M12708" t="s" s="10">
        <v>39</v>
      </c>
      <c r="N12708" s="17">
        <v>52</v>
      </c>
      <c r="O12708" s="18">
        <v>5783</v>
      </c>
      <c r="P12708" s="18">
        <v>5803</v>
      </c>
      <c r="Q12708" s="15"/>
      <c r="R12708" t="s" s="16">
        <f>HYPERLINK("http://secrets.rutgers.edu:8080/data/asl-ftp/asllvd/demos/verify_start_end_handshape_annotations//test_auto_move//signs_mov_separ_signers/Brady_16259.mov","MOV")</f>
        <v>21</v>
      </c>
    </row>
    <row r="12709" s="2" customFormat="1" ht="13.5" customHeight="1">
      <c r="B12709" s="13"/>
      <c r="C12709" t="s" s="9">
        <v>41</v>
      </c>
      <c r="D12709" t="s" s="8">
        <v>4782</v>
      </c>
      <c r="E12709" t="s" s="9">
        <v>4782</v>
      </c>
      <c r="F12709" s="19">
        <v>5</v>
      </c>
      <c r="G12709" s="17">
        <v>5</v>
      </c>
      <c r="H12709" t="s" s="10">
        <v>68</v>
      </c>
      <c r="I12709" t="s" s="11">
        <v>68</v>
      </c>
      <c r="J12709" t="s" s="11">
        <v>20</v>
      </c>
      <c r="K12709" s="15"/>
      <c r="L12709" t="s" s="16">
        <f>HYPERLINK("http://csr.bu.edu/ftp/asl/asllvd/demos/verify_start_end_handshape_annotations//test_auto_move//signs_mov_separ_signers/Lana_5269.mov","MOV")</f>
        <v>21</v>
      </c>
      <c r="M12709" t="s" s="10">
        <v>42</v>
      </c>
      <c r="N12709" s="17">
        <v>16</v>
      </c>
      <c r="O12709" s="18">
        <v>1402</v>
      </c>
      <c r="P12709" s="18">
        <v>1452</v>
      </c>
      <c r="Q12709" s="15"/>
      <c r="R12709" t="s" s="16">
        <f>HYPERLINK("http://secrets.rutgers.edu:8080/data/asl-ftp/asllvd/demos/verify_start_end_handshape_annotations//test_auto_move//signs_mov_separ_signers/Lana_5269.mov","MOV")</f>
        <v>21</v>
      </c>
    </row>
    <row r="12710" s="2" customFormat="1" ht="13.5" customHeight="1">
      <c r="B12710" t="s" s="8">
        <v>4783</v>
      </c>
      <c r="C12710" t="s" s="9">
        <v>14</v>
      </c>
      <c r="D12710" t="s" s="8">
        <v>14</v>
      </c>
      <c r="E12710" t="s" s="9">
        <v>14</v>
      </c>
      <c r="F12710" t="s" s="10">
        <v>14</v>
      </c>
      <c r="G12710" t="s" s="11">
        <v>14</v>
      </c>
      <c r="H12710" t="s" s="10">
        <v>14</v>
      </c>
      <c r="I12710" t="s" s="11">
        <v>14</v>
      </c>
      <c r="J12710" t="s" s="11">
        <v>14</v>
      </c>
      <c r="K12710" t="s" s="12">
        <v>14</v>
      </c>
      <c r="L12710" t="s" s="12">
        <v>14</v>
      </c>
      <c r="M12710" t="s" s="10">
        <v>14</v>
      </c>
      <c r="N12710" t="s" s="11">
        <v>14</v>
      </c>
      <c r="O12710" t="s" s="8">
        <v>14</v>
      </c>
      <c r="P12710" t="s" s="8">
        <v>14</v>
      </c>
      <c r="Q12710" t="s" s="12">
        <v>14</v>
      </c>
      <c r="R12710" t="s" s="12">
        <v>14</v>
      </c>
    </row>
    <row r="12711" s="2" customFormat="1" ht="13.5" customHeight="1">
      <c r="B12711" s="13"/>
      <c r="C12711" t="s" s="9">
        <v>43</v>
      </c>
      <c r="D12711" t="s" s="8">
        <v>4783</v>
      </c>
      <c r="E12711" t="s" s="9">
        <v>4783</v>
      </c>
      <c r="F12711" t="s" s="10">
        <v>25</v>
      </c>
      <c r="G12711" s="14"/>
      <c r="H12711" t="s" s="10">
        <v>68</v>
      </c>
      <c r="I12711" t="s" s="11">
        <v>68</v>
      </c>
      <c r="J12711" t="s" s="11">
        <v>20</v>
      </c>
      <c r="K12711" t="s" s="16">
        <f>HYPERLINK("http://csr.bu.edu/ftp/asl/asllvd/demos/verify_start_end_handshape_annotations//test_auto_move//signs_mov/16551.mov","MOV")</f>
        <v>21</v>
      </c>
      <c r="L12711" t="s" s="16">
        <f>HYPERLINK("http://csr.bu.edu/ftp/asl/asllvd/demos/verify_start_end_handshape_annotations//test_auto_move//signs_mov_separ_signers/Dana_16551.mov","MOV")</f>
        <v>21</v>
      </c>
      <c r="M12711" t="s" s="10">
        <v>44</v>
      </c>
      <c r="N12711" s="17">
        <v>19</v>
      </c>
      <c r="O12711" s="18">
        <v>1389</v>
      </c>
      <c r="P12711" s="18">
        <v>1444</v>
      </c>
      <c r="Q12711" t="s" s="16">
        <f>HYPERLINK("http://secrets.rutgers.edu:8080/data/asl-ftp/asllvd/demos/verify_start_end_handshape_annotations//test_auto_move//signs_mov/16551.mov","MOV")</f>
        <v>21</v>
      </c>
      <c r="R12711" t="s" s="16">
        <f>HYPERLINK("http://secrets.rutgers.edu:8080/data/asl-ftp/asllvd/demos/verify_start_end_handshape_annotations//test_auto_move//signs_mov_separ_signers/Dana_16551.mov","MOV")</f>
        <v>21</v>
      </c>
    </row>
    <row r="12712" s="2" customFormat="1" ht="13.5" customHeight="1">
      <c r="B12712" t="s" s="8">
        <v>4784</v>
      </c>
      <c r="C12712" t="s" s="9">
        <v>14</v>
      </c>
      <c r="D12712" t="s" s="8">
        <v>14</v>
      </c>
      <c r="E12712" t="s" s="9">
        <v>14</v>
      </c>
      <c r="F12712" t="s" s="10">
        <v>14</v>
      </c>
      <c r="G12712" t="s" s="11">
        <v>14</v>
      </c>
      <c r="H12712" t="s" s="10">
        <v>14</v>
      </c>
      <c r="I12712" t="s" s="11">
        <v>14</v>
      </c>
      <c r="J12712" t="s" s="11">
        <v>14</v>
      </c>
      <c r="K12712" t="s" s="12">
        <v>14</v>
      </c>
      <c r="L12712" t="s" s="12">
        <v>14</v>
      </c>
      <c r="M12712" t="s" s="10">
        <v>14</v>
      </c>
      <c r="N12712" t="s" s="11">
        <v>14</v>
      </c>
      <c r="O12712" t="s" s="8">
        <v>14</v>
      </c>
      <c r="P12712" t="s" s="8">
        <v>14</v>
      </c>
      <c r="Q12712" t="s" s="12">
        <v>14</v>
      </c>
      <c r="R12712" t="s" s="12">
        <v>14</v>
      </c>
    </row>
    <row r="12713" s="2" customFormat="1" ht="13.5" customHeight="1">
      <c r="B12713" s="13"/>
      <c r="C12713" t="s" s="9">
        <v>16</v>
      </c>
      <c r="D12713" t="s" s="8">
        <v>4785</v>
      </c>
      <c r="E12713" t="s" s="9">
        <v>4785</v>
      </c>
      <c r="F12713" t="s" s="10">
        <v>136</v>
      </c>
      <c r="G12713" t="s" s="11">
        <v>136</v>
      </c>
      <c r="H12713" t="s" s="10">
        <v>51</v>
      </c>
      <c r="I12713" t="s" s="11">
        <v>105</v>
      </c>
      <c r="J12713" t="s" s="11">
        <v>20</v>
      </c>
      <c r="K12713" t="s" s="16">
        <f>HYPERLINK("http://csr.bu.edu/ftp/asl/asllvd/demos/verify_start_end_handshape_annotations//test_auto_move//signs_mov/2644.mov","MOV")</f>
        <v>21</v>
      </c>
      <c r="L12713" t="s" s="16">
        <f>HYPERLINK("http://csr.bu.edu/ftp/asl/asllvd/demos/verify_start_end_handshape_annotations//test_auto_move//signs_mov_separ_signers/Liz_2644.mov","MOV")</f>
        <v>21</v>
      </c>
      <c r="M12713" t="s" s="10">
        <v>59</v>
      </c>
      <c r="N12713" s="17">
        <v>19</v>
      </c>
      <c r="O12713" s="18">
        <v>1168</v>
      </c>
      <c r="P12713" s="18">
        <v>1214</v>
      </c>
      <c r="Q12713" t="s" s="16">
        <f>HYPERLINK("http://secrets.rutgers.edu:8080/data/asl-ftp/asllvd/demos/verify_start_end_handshape_annotations//test_auto_move//signs_mov/2644.mov","MOV")</f>
        <v>21</v>
      </c>
      <c r="R12713" t="s" s="16">
        <f>HYPERLINK("http://secrets.rutgers.edu:8080/data/asl-ftp/asllvd/demos/verify_start_end_handshape_annotations//test_auto_move//signs_mov_separ_signers/Liz_2644.mov","MOV")</f>
        <v>21</v>
      </c>
    </row>
    <row r="12714" s="2" customFormat="1" ht="13.5" customHeight="1">
      <c r="B12714" s="13"/>
      <c r="C12714" t="s" s="9">
        <v>30</v>
      </c>
      <c r="D12714" t="s" s="8">
        <v>4785</v>
      </c>
      <c r="E12714" t="s" s="9">
        <v>4785</v>
      </c>
      <c r="F12714" t="s" s="10">
        <v>136</v>
      </c>
      <c r="G12714" t="s" s="11">
        <v>136</v>
      </c>
      <c r="H12714" t="s" s="10">
        <v>51</v>
      </c>
      <c r="I12714" t="s" s="11">
        <v>105</v>
      </c>
      <c r="J12714" t="s" s="11">
        <v>20</v>
      </c>
      <c r="K12714" s="15"/>
      <c r="L12714" t="s" s="16">
        <f>HYPERLINK("http://csr.bu.edu/ftp/asl/asllvd/demos/verify_start_end_handshape_annotations//test_auto_move//signs_mov_separ_signers/Brady_2644.mov","MOV")</f>
        <v>21</v>
      </c>
      <c r="M12714" t="s" s="10">
        <v>60</v>
      </c>
      <c r="N12714" s="17">
        <v>7</v>
      </c>
      <c r="O12714" s="18">
        <v>1574</v>
      </c>
      <c r="P12714" s="18">
        <v>1604</v>
      </c>
      <c r="Q12714" s="15"/>
      <c r="R12714" t="s" s="16">
        <f>HYPERLINK("http://secrets.rutgers.edu:8080/data/asl-ftp/asllvd/demos/verify_start_end_handshape_annotations//test_auto_move//signs_mov_separ_signers/Brady_2644.mov","MOV")</f>
        <v>21</v>
      </c>
    </row>
    <row r="12715" s="2" customFormat="1" ht="13.5" customHeight="1">
      <c r="B12715" t="s" s="8">
        <v>4786</v>
      </c>
      <c r="C12715" t="s" s="9">
        <v>14</v>
      </c>
      <c r="D12715" t="s" s="8">
        <v>14</v>
      </c>
      <c r="E12715" t="s" s="9">
        <v>14</v>
      </c>
      <c r="F12715" t="s" s="10">
        <v>14</v>
      </c>
      <c r="G12715" t="s" s="11">
        <v>14</v>
      </c>
      <c r="H12715" t="s" s="10">
        <v>14</v>
      </c>
      <c r="I12715" t="s" s="11">
        <v>14</v>
      </c>
      <c r="J12715" t="s" s="11">
        <v>14</v>
      </c>
      <c r="K12715" t="s" s="12">
        <v>14</v>
      </c>
      <c r="L12715" t="s" s="12">
        <v>14</v>
      </c>
      <c r="M12715" t="s" s="10">
        <v>14</v>
      </c>
      <c r="N12715" t="s" s="11">
        <v>14</v>
      </c>
      <c r="O12715" t="s" s="8">
        <v>14</v>
      </c>
      <c r="P12715" t="s" s="8">
        <v>14</v>
      </c>
      <c r="Q12715" t="s" s="12">
        <v>14</v>
      </c>
      <c r="R12715" t="s" s="12">
        <v>14</v>
      </c>
    </row>
    <row r="12716" s="2" customFormat="1" ht="13.5" customHeight="1">
      <c r="B12716" s="13"/>
      <c r="C12716" t="s" s="9">
        <v>16</v>
      </c>
      <c r="D12716" t="s" s="8">
        <v>4787</v>
      </c>
      <c r="E12716" t="s" s="9">
        <v>4788</v>
      </c>
      <c r="F12716" t="s" s="10">
        <v>119</v>
      </c>
      <c r="G12716" t="s" s="11">
        <v>109</v>
      </c>
      <c r="H12716" t="s" s="10">
        <v>119</v>
      </c>
      <c r="I12716" t="s" s="11">
        <v>119</v>
      </c>
      <c r="J12716" t="s" s="11">
        <v>20</v>
      </c>
      <c r="K12716" t="s" s="16">
        <f>HYPERLINK("http://csr.bu.edu/ftp/asl/asllvd/demos/verify_start_end_handshape_annotations//test_auto_move//signs_mov/2678.mov","MOV")</f>
        <v>21</v>
      </c>
      <c r="L12716" t="s" s="16">
        <f>HYPERLINK("http://csr.bu.edu/ftp/asl/asllvd/demos/verify_start_end_handshape_annotations//test_auto_move//signs_mov_separ_signers/Liz_2678.mov","MOV")</f>
        <v>21</v>
      </c>
      <c r="M12716" t="s" s="10">
        <v>59</v>
      </c>
      <c r="N12716" s="17">
        <v>22</v>
      </c>
      <c r="O12716" s="18">
        <v>2532</v>
      </c>
      <c r="P12716" s="18">
        <v>2612</v>
      </c>
      <c r="Q12716" t="s" s="16">
        <f>HYPERLINK("http://secrets.rutgers.edu:8080/data/asl-ftp/asllvd/demos/verify_start_end_handshape_annotations//test_auto_move//signs_mov/2678.mov","MOV")</f>
        <v>21</v>
      </c>
      <c r="R12716" t="s" s="16">
        <f>HYPERLINK("http://secrets.rutgers.edu:8080/data/asl-ftp/asllvd/demos/verify_start_end_handshape_annotations//test_auto_move//signs_mov_separ_signers/Liz_2678.mov","MOV")</f>
        <v>21</v>
      </c>
    </row>
    <row r="12717" s="2" customFormat="1" ht="13.5" customHeight="1">
      <c r="B12717" s="13"/>
      <c r="C12717" t="s" s="9">
        <v>30</v>
      </c>
      <c r="D12717" t="s" s="8">
        <v>4787</v>
      </c>
      <c r="E12717" t="s" s="9">
        <v>4788</v>
      </c>
      <c r="F12717" t="s" s="10">
        <v>119</v>
      </c>
      <c r="G12717" t="s" s="11">
        <v>73</v>
      </c>
      <c r="H12717" t="s" s="10">
        <v>119</v>
      </c>
      <c r="I12717" t="s" s="11">
        <v>119</v>
      </c>
      <c r="J12717" t="s" s="11">
        <v>20</v>
      </c>
      <c r="K12717" s="15"/>
      <c r="L12717" t="s" s="16">
        <f>HYPERLINK("http://csr.bu.edu/ftp/asl/asllvd/demos/verify_start_end_handshape_annotations//test_auto_move//signs_mov_separ_signers/Brady_2678.mov","MOV")</f>
        <v>21</v>
      </c>
      <c r="M12717" t="s" s="10">
        <v>60</v>
      </c>
      <c r="N12717" s="17">
        <v>10</v>
      </c>
      <c r="O12717" s="18">
        <v>3320</v>
      </c>
      <c r="P12717" s="18">
        <v>3388</v>
      </c>
      <c r="Q12717" s="15"/>
      <c r="R12717" t="s" s="16">
        <f>HYPERLINK("http://secrets.rutgers.edu:8080/data/asl-ftp/asllvd/demos/verify_start_end_handshape_annotations//test_auto_move//signs_mov_separ_signers/Brady_2678.mov","MOV")</f>
        <v>21</v>
      </c>
    </row>
    <row r="12718" s="2" customFormat="1" ht="13.5" customHeight="1">
      <c r="B12718" t="s" s="8">
        <v>4789</v>
      </c>
      <c r="C12718" t="s" s="9">
        <v>14</v>
      </c>
      <c r="D12718" t="s" s="8">
        <v>14</v>
      </c>
      <c r="E12718" t="s" s="9">
        <v>14</v>
      </c>
      <c r="F12718" t="s" s="10">
        <v>14</v>
      </c>
      <c r="G12718" t="s" s="11">
        <v>14</v>
      </c>
      <c r="H12718" t="s" s="10">
        <v>14</v>
      </c>
      <c r="I12718" t="s" s="11">
        <v>14</v>
      </c>
      <c r="J12718" t="s" s="11">
        <v>14</v>
      </c>
      <c r="K12718" t="s" s="12">
        <v>14</v>
      </c>
      <c r="L12718" t="s" s="12">
        <v>14</v>
      </c>
      <c r="M12718" t="s" s="10">
        <v>14</v>
      </c>
      <c r="N12718" t="s" s="11">
        <v>14</v>
      </c>
      <c r="O12718" t="s" s="8">
        <v>14</v>
      </c>
      <c r="P12718" t="s" s="8">
        <v>14</v>
      </c>
      <c r="Q12718" t="s" s="12">
        <v>14</v>
      </c>
      <c r="R12718" t="s" s="12">
        <v>14</v>
      </c>
    </row>
    <row r="12719" s="2" customFormat="1" ht="13.5" customHeight="1">
      <c r="B12719" s="13"/>
      <c r="C12719" t="s" s="9">
        <v>30</v>
      </c>
      <c r="D12719" t="s" s="8">
        <v>4789</v>
      </c>
      <c r="E12719" t="s" s="9">
        <v>4789</v>
      </c>
      <c r="F12719" s="19">
        <v>25</v>
      </c>
      <c r="G12719" s="14"/>
      <c r="H12719" s="19">
        <v>25</v>
      </c>
      <c r="I12719" s="14"/>
      <c r="J12719" t="s" s="11">
        <v>20</v>
      </c>
      <c r="K12719" t="s" s="16">
        <f>HYPERLINK("http://csr.bu.edu/ftp/asl/asllvd/demos/verify_start_end_handshape_annotations//test_auto_move//signs_mov/2706.mov","MOV")</f>
        <v>21</v>
      </c>
      <c r="L12719" t="s" s="16">
        <f>HYPERLINK("http://csr.bu.edu/ftp/asl/asllvd/demos/verify_start_end_handshape_annotations//test_auto_move//signs_mov_separ_signers/Brady_2706.mov","MOV")</f>
        <v>21</v>
      </c>
      <c r="M12719" t="s" s="10">
        <v>60</v>
      </c>
      <c r="N12719" s="17">
        <v>14</v>
      </c>
      <c r="O12719" s="18">
        <v>127</v>
      </c>
      <c r="P12719" s="18">
        <v>181</v>
      </c>
      <c r="Q12719" t="s" s="16">
        <f>HYPERLINK("http://secrets.rutgers.edu:8080/data/asl-ftp/asllvd/demos/verify_start_end_handshape_annotations//test_auto_move//signs_mov/2706.mov","MOV")</f>
        <v>21</v>
      </c>
      <c r="R12719" t="s" s="16">
        <f>HYPERLINK("http://secrets.rutgers.edu:8080/data/asl-ftp/asllvd/demos/verify_start_end_handshape_annotations//test_auto_move//signs_mov_separ_signers/Brady_2706.mov","MOV")</f>
        <v>21</v>
      </c>
    </row>
    <row r="12720" s="2" customFormat="1" ht="27.75" customHeight="1">
      <c r="B12720" t="s" s="8">
        <v>4790</v>
      </c>
      <c r="C12720" t="s" s="9">
        <v>14</v>
      </c>
      <c r="D12720" t="s" s="8">
        <v>14</v>
      </c>
      <c r="E12720" t="s" s="9">
        <v>14</v>
      </c>
      <c r="F12720" t="s" s="10">
        <v>14</v>
      </c>
      <c r="G12720" t="s" s="11">
        <v>14</v>
      </c>
      <c r="H12720" t="s" s="10">
        <v>14</v>
      </c>
      <c r="I12720" t="s" s="11">
        <v>14</v>
      </c>
      <c r="J12720" t="s" s="11">
        <v>14</v>
      </c>
      <c r="K12720" t="s" s="12">
        <v>14</v>
      </c>
      <c r="L12720" t="s" s="12">
        <v>14</v>
      </c>
      <c r="M12720" t="s" s="10">
        <v>14</v>
      </c>
      <c r="N12720" t="s" s="11">
        <v>14</v>
      </c>
      <c r="O12720" t="s" s="8">
        <v>14</v>
      </c>
      <c r="P12720" t="s" s="8">
        <v>14</v>
      </c>
      <c r="Q12720" t="s" s="12">
        <v>14</v>
      </c>
      <c r="R12720" t="s" s="12">
        <v>14</v>
      </c>
    </row>
    <row r="12721" s="2" customFormat="1" ht="27.75" customHeight="1">
      <c r="B12721" s="13"/>
      <c r="C12721" t="s" s="9">
        <v>16</v>
      </c>
      <c r="D12721" t="s" s="8">
        <v>4790</v>
      </c>
      <c r="E12721" t="s" s="9">
        <v>4790</v>
      </c>
      <c r="F12721" t="s" s="10">
        <v>18</v>
      </c>
      <c r="G12721" s="14"/>
      <c r="H12721" t="s" s="10">
        <v>28</v>
      </c>
      <c r="I12721" s="14"/>
      <c r="J12721" t="s" s="11">
        <v>20</v>
      </c>
      <c r="K12721" t="s" s="16">
        <f>HYPERLINK("http://csr.bu.edu/ftp/asl/asllvd/demos/verify_start_end_handshape_annotations//test_auto_move//signs_mov/2713.mov","MOV")</f>
        <v>21</v>
      </c>
      <c r="L12721" t="s" s="16">
        <f>HYPERLINK("http://csr.bu.edu/ftp/asl/asllvd/demos/verify_start_end_handshape_annotations//test_auto_move//signs_mov_separ_signers/Liz_2713.mov","MOV")</f>
        <v>21</v>
      </c>
      <c r="M12721" t="s" s="10">
        <v>59</v>
      </c>
      <c r="N12721" s="17">
        <v>26</v>
      </c>
      <c r="O12721" s="18">
        <v>2126</v>
      </c>
      <c r="P12721" s="18">
        <v>2160</v>
      </c>
      <c r="Q12721" t="s" s="16">
        <f>HYPERLINK("http://secrets.rutgers.edu:8080/data/asl-ftp/asllvd/demos/verify_start_end_handshape_annotations//test_auto_move//signs_mov/2713.mov","MOV")</f>
        <v>21</v>
      </c>
      <c r="R12721" t="s" s="16">
        <f>HYPERLINK("http://secrets.rutgers.edu:8080/data/asl-ftp/asllvd/demos/verify_start_end_handshape_annotations//test_auto_move//signs_mov_separ_signers/Liz_2713.mov","MOV")</f>
        <v>21</v>
      </c>
    </row>
    <row r="12722" s="2" customFormat="1" ht="13.5" customHeight="1">
      <c r="B12722" t="s" s="8">
        <v>4791</v>
      </c>
      <c r="C12722" t="s" s="9">
        <v>14</v>
      </c>
      <c r="D12722" t="s" s="8">
        <v>14</v>
      </c>
      <c r="E12722" t="s" s="9">
        <v>14</v>
      </c>
      <c r="F12722" t="s" s="10">
        <v>14</v>
      </c>
      <c r="G12722" t="s" s="11">
        <v>14</v>
      </c>
      <c r="H12722" t="s" s="10">
        <v>14</v>
      </c>
      <c r="I12722" t="s" s="11">
        <v>14</v>
      </c>
      <c r="J12722" t="s" s="11">
        <v>14</v>
      </c>
      <c r="K12722" t="s" s="12">
        <v>14</v>
      </c>
      <c r="L12722" t="s" s="12">
        <v>14</v>
      </c>
      <c r="M12722" t="s" s="10">
        <v>14</v>
      </c>
      <c r="N12722" t="s" s="11">
        <v>14</v>
      </c>
      <c r="O12722" t="s" s="8">
        <v>14</v>
      </c>
      <c r="P12722" t="s" s="8">
        <v>14</v>
      </c>
      <c r="Q12722" t="s" s="12">
        <v>14</v>
      </c>
      <c r="R12722" t="s" s="12">
        <v>14</v>
      </c>
    </row>
    <row r="12723" s="2" customFormat="1" ht="13.5" customHeight="1">
      <c r="B12723" s="13"/>
      <c r="C12723" t="s" s="9">
        <v>16</v>
      </c>
      <c r="D12723" t="s" s="8">
        <v>4791</v>
      </c>
      <c r="E12723" t="s" s="9">
        <v>4791</v>
      </c>
      <c r="F12723" t="s" s="10">
        <v>229</v>
      </c>
      <c r="G12723" s="14"/>
      <c r="H12723" t="s" s="10">
        <v>230</v>
      </c>
      <c r="I12723" s="14"/>
      <c r="J12723" t="s" s="11">
        <v>20</v>
      </c>
      <c r="K12723" t="s" s="16">
        <f>HYPERLINK("http://csr.bu.edu/ftp/asl/asllvd/demos/verify_start_end_handshape_annotations//test_auto_move//signs_mov/2715.mov","MOV")</f>
        <v>21</v>
      </c>
      <c r="L12723" t="s" s="16">
        <f>HYPERLINK("http://csr.bu.edu/ftp/asl/asllvd/demos/verify_start_end_handshape_annotations//test_auto_move//signs_mov_separ_signers/Liz_2715.mov","MOV")</f>
        <v>21</v>
      </c>
      <c r="M12723" t="s" s="10">
        <v>59</v>
      </c>
      <c r="N12723" s="17">
        <v>26</v>
      </c>
      <c r="O12723" s="18">
        <v>2625</v>
      </c>
      <c r="P12723" s="18">
        <v>2652</v>
      </c>
      <c r="Q12723" t="s" s="16">
        <f>HYPERLINK("http://secrets.rutgers.edu:8080/data/asl-ftp/asllvd/demos/verify_start_end_handshape_annotations//test_auto_move//signs_mov/2715.mov","MOV")</f>
        <v>21</v>
      </c>
      <c r="R12723" t="s" s="16">
        <f>HYPERLINK("http://secrets.rutgers.edu:8080/data/asl-ftp/asllvd/demos/verify_start_end_handshape_annotations//test_auto_move//signs_mov_separ_signers/Liz_2715.mov","MOV")</f>
        <v>21</v>
      </c>
    </row>
    <row r="12724" s="2" customFormat="1" ht="13.5" customHeight="1">
      <c r="B12724" t="s" s="8">
        <v>4792</v>
      </c>
      <c r="C12724" t="s" s="9">
        <v>14</v>
      </c>
      <c r="D12724" t="s" s="8">
        <v>14</v>
      </c>
      <c r="E12724" t="s" s="9">
        <v>14</v>
      </c>
      <c r="F12724" t="s" s="10">
        <v>14</v>
      </c>
      <c r="G12724" t="s" s="11">
        <v>14</v>
      </c>
      <c r="H12724" t="s" s="10">
        <v>14</v>
      </c>
      <c r="I12724" t="s" s="11">
        <v>14</v>
      </c>
      <c r="J12724" t="s" s="11">
        <v>14</v>
      </c>
      <c r="K12724" t="s" s="12">
        <v>14</v>
      </c>
      <c r="L12724" t="s" s="12">
        <v>14</v>
      </c>
      <c r="M12724" t="s" s="10">
        <v>14</v>
      </c>
      <c r="N12724" t="s" s="11">
        <v>14</v>
      </c>
      <c r="O12724" t="s" s="8">
        <v>14</v>
      </c>
      <c r="P12724" t="s" s="8">
        <v>14</v>
      </c>
      <c r="Q12724" t="s" s="12">
        <v>14</v>
      </c>
      <c r="R12724" t="s" s="12">
        <v>14</v>
      </c>
    </row>
    <row r="12725" s="2" customFormat="1" ht="13.5" customHeight="1">
      <c r="B12725" s="13"/>
      <c r="C12725" t="s" s="9">
        <v>16</v>
      </c>
      <c r="D12725" t="s" s="8">
        <v>4792</v>
      </c>
      <c r="E12725" t="s" s="9">
        <v>4792</v>
      </c>
      <c r="F12725" t="s" s="10">
        <v>240</v>
      </c>
      <c r="G12725" s="14"/>
      <c r="H12725" t="s" s="10">
        <v>68</v>
      </c>
      <c r="I12725" s="14"/>
      <c r="J12725" t="s" s="11">
        <v>20</v>
      </c>
      <c r="K12725" t="s" s="16">
        <f>HYPERLINK("http://csr.bu.edu/ftp/asl/asllvd/demos/verify_start_end_handshape_annotations//test_auto_move//signs_mov/2732.mov","MOV")</f>
        <v>21</v>
      </c>
      <c r="L12725" t="s" s="16">
        <f>HYPERLINK("http://csr.bu.edu/ftp/asl/asllvd/demos/verify_start_end_handshape_annotations//test_auto_move//signs_mov_separ_signers/Liz_2732.mov","MOV")</f>
        <v>21</v>
      </c>
      <c r="M12725" t="s" s="10">
        <v>59</v>
      </c>
      <c r="N12725" s="17">
        <v>28</v>
      </c>
      <c r="O12725" s="18">
        <v>970</v>
      </c>
      <c r="P12725" s="18">
        <v>1020</v>
      </c>
      <c r="Q12725" t="s" s="16">
        <f>HYPERLINK("http://secrets.rutgers.edu:8080/data/asl-ftp/asllvd/demos/verify_start_end_handshape_annotations//test_auto_move//signs_mov/2732.mov","MOV")</f>
        <v>21</v>
      </c>
      <c r="R12725" t="s" s="16">
        <f>HYPERLINK("http://secrets.rutgers.edu:8080/data/asl-ftp/asllvd/demos/verify_start_end_handshape_annotations//test_auto_move//signs_mov_separ_signers/Liz_2732.mov","MOV")</f>
        <v>21</v>
      </c>
    </row>
    <row r="12726" s="2" customFormat="1" ht="13.5" customHeight="1">
      <c r="B12726" s="13"/>
      <c r="C12726" t="s" s="9">
        <v>30</v>
      </c>
      <c r="D12726" t="s" s="8">
        <v>4792</v>
      </c>
      <c r="E12726" t="s" s="9">
        <v>4792</v>
      </c>
      <c r="F12726" t="s" s="10">
        <v>240</v>
      </c>
      <c r="G12726" s="14"/>
      <c r="H12726" t="s" s="10">
        <v>68</v>
      </c>
      <c r="I12726" s="14"/>
      <c r="J12726" t="s" s="11">
        <v>20</v>
      </c>
      <c r="K12726" s="15"/>
      <c r="L12726" t="s" s="16">
        <f>HYPERLINK("http://csr.bu.edu/ftp/asl/asllvd/demos/verify_start_end_handshape_annotations//test_auto_move//signs_mov_separ_signers/Brady_2732.mov","MOV")</f>
        <v>21</v>
      </c>
      <c r="M12726" t="s" s="10">
        <v>60</v>
      </c>
      <c r="N12726" s="17">
        <v>16</v>
      </c>
      <c r="O12726" s="18">
        <v>3455</v>
      </c>
      <c r="P12726" s="18">
        <v>3494</v>
      </c>
      <c r="Q12726" s="15"/>
      <c r="R12726" t="s" s="16">
        <f>HYPERLINK("http://secrets.rutgers.edu:8080/data/asl-ftp/asllvd/demos/verify_start_end_handshape_annotations//test_auto_move//signs_mov_separ_signers/Brady_2732.mov","MOV")</f>
        <v>21</v>
      </c>
    </row>
    <row r="12727" s="2" customFormat="1" ht="13.5" customHeight="1">
      <c r="B12727" t="s" s="8">
        <v>4793</v>
      </c>
      <c r="C12727" t="s" s="9">
        <v>14</v>
      </c>
      <c r="D12727" t="s" s="8">
        <v>14</v>
      </c>
      <c r="E12727" t="s" s="9">
        <v>14</v>
      </c>
      <c r="F12727" t="s" s="10">
        <v>14</v>
      </c>
      <c r="G12727" t="s" s="11">
        <v>14</v>
      </c>
      <c r="H12727" t="s" s="10">
        <v>14</v>
      </c>
      <c r="I12727" t="s" s="11">
        <v>14</v>
      </c>
      <c r="J12727" t="s" s="11">
        <v>14</v>
      </c>
      <c r="K12727" t="s" s="12">
        <v>14</v>
      </c>
      <c r="L12727" t="s" s="12">
        <v>14</v>
      </c>
      <c r="M12727" t="s" s="10">
        <v>14</v>
      </c>
      <c r="N12727" t="s" s="11">
        <v>14</v>
      </c>
      <c r="O12727" t="s" s="8">
        <v>14</v>
      </c>
      <c r="P12727" t="s" s="8">
        <v>14</v>
      </c>
      <c r="Q12727" t="s" s="12">
        <v>14</v>
      </c>
      <c r="R12727" t="s" s="12">
        <v>14</v>
      </c>
    </row>
    <row r="12728" s="2" customFormat="1" ht="13.5" customHeight="1">
      <c r="B12728" s="13"/>
      <c r="C12728" t="s" s="9">
        <v>16</v>
      </c>
      <c r="D12728" t="s" s="8">
        <v>4793</v>
      </c>
      <c r="E12728" t="s" s="9">
        <v>4793</v>
      </c>
      <c r="F12728" t="s" s="10">
        <v>229</v>
      </c>
      <c r="G12728" t="s" s="11">
        <v>229</v>
      </c>
      <c r="H12728" t="s" s="10">
        <v>73</v>
      </c>
      <c r="I12728" t="s" s="11">
        <v>73</v>
      </c>
      <c r="J12728" t="s" s="11">
        <v>20</v>
      </c>
      <c r="K12728" t="s" s="16">
        <f>HYPERLINK("http://csr.bu.edu/ftp/asl/asllvd/demos/verify_start_end_handshape_annotations//test_auto_move//signs_mov/2776.mov","MOV")</f>
        <v>21</v>
      </c>
      <c r="L12728" t="s" s="16">
        <f>HYPERLINK("http://csr.bu.edu/ftp/asl/asllvd/demos/verify_start_end_handshape_annotations//test_auto_move//signs_mov_separ_signers/Liz_2776.mov","MOV")</f>
        <v>21</v>
      </c>
      <c r="M12728" t="s" s="10">
        <v>59</v>
      </c>
      <c r="N12728" s="17">
        <v>32</v>
      </c>
      <c r="O12728" s="18">
        <v>2708</v>
      </c>
      <c r="P12728" s="18">
        <v>2764</v>
      </c>
      <c r="Q12728" t="s" s="16">
        <f>HYPERLINK("http://secrets.rutgers.edu:8080/data/asl-ftp/asllvd/demos/verify_start_end_handshape_annotations//test_auto_move//signs_mov/2776.mov","MOV")</f>
        <v>21</v>
      </c>
      <c r="R12728" t="s" s="16">
        <f>HYPERLINK("http://secrets.rutgers.edu:8080/data/asl-ftp/asllvd/demos/verify_start_end_handshape_annotations//test_auto_move//signs_mov_separ_signers/Liz_2776.mov","MOV")</f>
        <v>21</v>
      </c>
    </row>
    <row r="12729" s="2" customFormat="1" ht="13.5" customHeight="1">
      <c r="B12729" s="13"/>
      <c r="C12729" t="s" s="9">
        <v>30</v>
      </c>
      <c r="D12729" t="s" s="8">
        <v>4793</v>
      </c>
      <c r="E12729" t="s" s="9">
        <v>4793</v>
      </c>
      <c r="F12729" t="s" s="10">
        <v>229</v>
      </c>
      <c r="G12729" t="s" s="11">
        <v>229</v>
      </c>
      <c r="H12729" t="s" s="10">
        <v>73</v>
      </c>
      <c r="I12729" t="s" s="11">
        <v>73</v>
      </c>
      <c r="J12729" t="s" s="11">
        <v>20</v>
      </c>
      <c r="K12729" s="15"/>
      <c r="L12729" t="s" s="16">
        <f>HYPERLINK("http://csr.bu.edu/ftp/asl/asllvd/demos/verify_start_end_handshape_annotations//test_auto_move//signs_mov_separ_signers/Brady_2776.mov","MOV")</f>
        <v>21</v>
      </c>
      <c r="M12729" t="s" s="10">
        <v>60</v>
      </c>
      <c r="N12729" s="17">
        <v>21</v>
      </c>
      <c r="O12729" s="18">
        <v>582</v>
      </c>
      <c r="P12729" s="18">
        <v>615</v>
      </c>
      <c r="Q12729" s="15"/>
      <c r="R12729" t="s" s="16">
        <f>HYPERLINK("http://secrets.rutgers.edu:8080/data/asl-ftp/asllvd/demos/verify_start_end_handshape_annotations//test_auto_move//signs_mov_separ_signers/Brady_2776.mov","MOV")</f>
        <v>21</v>
      </c>
    </row>
    <row r="12730" s="2" customFormat="1" ht="13.5" customHeight="1">
      <c r="B12730" t="s" s="8">
        <v>4794</v>
      </c>
      <c r="C12730" t="s" s="9">
        <v>14</v>
      </c>
      <c r="D12730" t="s" s="8">
        <v>14</v>
      </c>
      <c r="E12730" t="s" s="9">
        <v>14</v>
      </c>
      <c r="F12730" t="s" s="10">
        <v>14</v>
      </c>
      <c r="G12730" t="s" s="11">
        <v>14</v>
      </c>
      <c r="H12730" t="s" s="10">
        <v>14</v>
      </c>
      <c r="I12730" t="s" s="11">
        <v>14</v>
      </c>
      <c r="J12730" t="s" s="11">
        <v>14</v>
      </c>
      <c r="K12730" t="s" s="12">
        <v>14</v>
      </c>
      <c r="L12730" t="s" s="12">
        <v>14</v>
      </c>
      <c r="M12730" t="s" s="10">
        <v>14</v>
      </c>
      <c r="N12730" t="s" s="11">
        <v>14</v>
      </c>
      <c r="O12730" t="s" s="8">
        <v>14</v>
      </c>
      <c r="P12730" t="s" s="8">
        <v>14</v>
      </c>
      <c r="Q12730" t="s" s="12">
        <v>14</v>
      </c>
      <c r="R12730" t="s" s="12">
        <v>14</v>
      </c>
    </row>
    <row r="12731" s="2" customFormat="1" ht="13.5" customHeight="1">
      <c r="B12731" s="13"/>
      <c r="C12731" t="s" s="9">
        <v>16</v>
      </c>
      <c r="D12731" t="s" s="8">
        <v>4794</v>
      </c>
      <c r="E12731" t="s" s="9">
        <v>4794</v>
      </c>
      <c r="F12731" t="s" s="10">
        <v>229</v>
      </c>
      <c r="G12731" s="14"/>
      <c r="H12731" t="s" s="10">
        <v>229</v>
      </c>
      <c r="I12731" s="14"/>
      <c r="J12731" t="s" s="11">
        <v>20</v>
      </c>
      <c r="K12731" t="s" s="16">
        <f>HYPERLINK("http://csr.bu.edu/ftp/asl/asllvd/demos/verify_start_end_handshape_annotations//test_auto_move//signs_mov/2794.mov","MOV")</f>
        <v>21</v>
      </c>
      <c r="L12731" t="s" s="16">
        <f>HYPERLINK("http://csr.bu.edu/ftp/asl/asllvd/demos/verify_start_end_handshape_annotations//test_auto_move//signs_mov_separ_signers/Liz_2794.mov","MOV")</f>
        <v>21</v>
      </c>
      <c r="M12731" t="s" s="10">
        <v>59</v>
      </c>
      <c r="N12731" s="17">
        <v>34</v>
      </c>
      <c r="O12731" s="18">
        <v>1890</v>
      </c>
      <c r="P12731" s="18">
        <v>1945</v>
      </c>
      <c r="Q12731" t="s" s="16">
        <f>HYPERLINK("http://secrets.rutgers.edu:8080/data/asl-ftp/asllvd/demos/verify_start_end_handshape_annotations//test_auto_move//signs_mov/2794.mov","MOV")</f>
        <v>21</v>
      </c>
      <c r="R12731" t="s" s="16">
        <f>HYPERLINK("http://secrets.rutgers.edu:8080/data/asl-ftp/asllvd/demos/verify_start_end_handshape_annotations//test_auto_move//signs_mov_separ_signers/Liz_2794.mov","MOV")</f>
        <v>21</v>
      </c>
    </row>
    <row r="12732" s="2" customFormat="1" ht="13.5" customHeight="1">
      <c r="B12732" t="s" s="8">
        <v>4795</v>
      </c>
      <c r="C12732" t="s" s="9">
        <v>14</v>
      </c>
      <c r="D12732" t="s" s="8">
        <v>14</v>
      </c>
      <c r="E12732" t="s" s="9">
        <v>14</v>
      </c>
      <c r="F12732" t="s" s="10">
        <v>14</v>
      </c>
      <c r="G12732" t="s" s="11">
        <v>14</v>
      </c>
      <c r="H12732" t="s" s="10">
        <v>14</v>
      </c>
      <c r="I12732" t="s" s="11">
        <v>14</v>
      </c>
      <c r="J12732" t="s" s="11">
        <v>14</v>
      </c>
      <c r="K12732" t="s" s="12">
        <v>14</v>
      </c>
      <c r="L12732" t="s" s="12">
        <v>14</v>
      </c>
      <c r="M12732" t="s" s="10">
        <v>14</v>
      </c>
      <c r="N12732" t="s" s="11">
        <v>14</v>
      </c>
      <c r="O12732" t="s" s="8">
        <v>14</v>
      </c>
      <c r="P12732" t="s" s="8">
        <v>14</v>
      </c>
      <c r="Q12732" t="s" s="12">
        <v>14</v>
      </c>
      <c r="R12732" t="s" s="12">
        <v>14</v>
      </c>
    </row>
    <row r="12733" s="2" customFormat="1" ht="13.5" customHeight="1">
      <c r="B12733" s="13"/>
      <c r="C12733" t="s" s="9">
        <v>16</v>
      </c>
      <c r="D12733" t="s" s="8">
        <v>4795</v>
      </c>
      <c r="E12733" t="s" s="9">
        <v>4795</v>
      </c>
      <c r="F12733" t="s" s="10">
        <v>72</v>
      </c>
      <c r="G12733" t="s" s="11">
        <v>72</v>
      </c>
      <c r="H12733" t="s" s="10">
        <v>187</v>
      </c>
      <c r="I12733" t="s" s="11">
        <v>187</v>
      </c>
      <c r="J12733" t="s" s="11">
        <v>20</v>
      </c>
      <c r="K12733" s="15"/>
      <c r="L12733" t="s" s="16">
        <f>HYPERLINK("http://csr.bu.edu/ftp/asl/asllvd/demos/verify_start_end_handshape_annotations//test_auto_move//signs_mov_separ_signers/Liz_4680.mov","MOV")</f>
        <v>21</v>
      </c>
      <c r="M12733" t="s" s="10">
        <v>84</v>
      </c>
      <c r="N12733" s="17">
        <v>22</v>
      </c>
      <c r="O12733" s="18">
        <v>1452</v>
      </c>
      <c r="P12733" s="18">
        <v>1487</v>
      </c>
      <c r="Q12733" s="15"/>
      <c r="R12733" t="s" s="16">
        <f>HYPERLINK("http://secrets.rutgers.edu:8080/data/asl-ftp/asllvd/demos/verify_start_end_handshape_annotations//test_auto_move//signs_mov_separ_signers/Liz_4680.mov","MOV")</f>
        <v>21</v>
      </c>
    </row>
    <row r="12734" s="2" customFormat="1" ht="13.5" customHeight="1">
      <c r="B12734" s="13"/>
      <c r="C12734" t="s" s="9">
        <v>27</v>
      </c>
      <c r="D12734" t="s" s="8">
        <v>4795</v>
      </c>
      <c r="E12734" t="s" s="9">
        <v>4795</v>
      </c>
      <c r="F12734" t="s" s="10">
        <v>72</v>
      </c>
      <c r="G12734" t="s" s="11">
        <v>72</v>
      </c>
      <c r="H12734" s="19">
        <v>5</v>
      </c>
      <c r="I12734" s="17">
        <v>5</v>
      </c>
      <c r="J12734" t="s" s="11">
        <v>20</v>
      </c>
      <c r="K12734" s="15"/>
      <c r="L12734" t="s" s="16">
        <f>HYPERLINK("http://csr.bu.edu/ftp/asl/asllvd/demos/verify_start_end_handshape_annotations//test_auto_move//signs_mov_separ_signers/Naomi_4680.mov","MOV")</f>
        <v>21</v>
      </c>
      <c r="M12734" t="s" s="10">
        <v>86</v>
      </c>
      <c r="N12734" s="17">
        <v>22</v>
      </c>
      <c r="O12734" s="18">
        <v>1400</v>
      </c>
      <c r="P12734" s="18">
        <v>1419</v>
      </c>
      <c r="Q12734" s="15"/>
      <c r="R12734" t="s" s="16">
        <f>HYPERLINK("http://secrets.rutgers.edu:8080/data/asl-ftp/asllvd/demos/verify_start_end_handshape_annotations//test_auto_move//signs_mov_separ_signers/Naomi_4680.mov","MOV")</f>
        <v>21</v>
      </c>
    </row>
    <row r="12735" s="2" customFormat="1" ht="13.5" customHeight="1">
      <c r="B12735" s="13"/>
      <c r="C12735" t="s" s="9">
        <v>30</v>
      </c>
      <c r="D12735" t="s" s="8">
        <v>4795</v>
      </c>
      <c r="E12735" t="s" s="9">
        <v>4795</v>
      </c>
      <c r="F12735" t="s" s="10">
        <v>72</v>
      </c>
      <c r="G12735" t="s" s="11">
        <v>72</v>
      </c>
      <c r="H12735" t="s" s="10">
        <v>72</v>
      </c>
      <c r="I12735" t="s" s="11">
        <v>72</v>
      </c>
      <c r="J12735" t="s" s="11">
        <v>20</v>
      </c>
      <c r="K12735" t="s" s="16">
        <f>HYPERLINK("http://csr.bu.edu/ftp/asl/asllvd/demos/verify_start_end_handshape_annotations//test_auto_move//signs_mov/4680.mov","MOV")</f>
        <v>21</v>
      </c>
      <c r="L12735" t="s" s="16">
        <f>HYPERLINK("http://csr.bu.edu/ftp/asl/asllvd/demos/verify_start_end_handshape_annotations//test_auto_move//signs_mov_separ_signers/Brady_4680.mov","MOV")</f>
        <v>21</v>
      </c>
      <c r="M12735" t="s" s="10">
        <v>39</v>
      </c>
      <c r="N12735" s="17">
        <v>6</v>
      </c>
      <c r="O12735" s="18">
        <v>675</v>
      </c>
      <c r="P12735" s="18">
        <v>689</v>
      </c>
      <c r="Q12735" t="s" s="16">
        <f>HYPERLINK("http://secrets.rutgers.edu:8080/data/asl-ftp/asllvd/demos/verify_start_end_handshape_annotations//test_auto_move//signs_mov/4680.mov","MOV")</f>
        <v>21</v>
      </c>
      <c r="R12735" t="s" s="16">
        <f>HYPERLINK("http://secrets.rutgers.edu:8080/data/asl-ftp/asllvd/demos/verify_start_end_handshape_annotations//test_auto_move//signs_mov_separ_signers/Brady_4680.mov","MOV")</f>
        <v>21</v>
      </c>
    </row>
    <row r="12736" s="2" customFormat="1" ht="13.5" customHeight="1">
      <c r="B12736" s="13"/>
      <c r="C12736" t="s" s="9">
        <v>41</v>
      </c>
      <c r="D12736" t="s" s="8">
        <v>4795</v>
      </c>
      <c r="E12736" t="s" s="9">
        <v>4795</v>
      </c>
      <c r="F12736" s="19">
        <v>5</v>
      </c>
      <c r="G12736" s="17">
        <v>5</v>
      </c>
      <c r="H12736" s="19">
        <v>5</v>
      </c>
      <c r="I12736" s="17">
        <v>5</v>
      </c>
      <c r="J12736" t="s" s="11">
        <v>20</v>
      </c>
      <c r="K12736" s="15"/>
      <c r="L12736" t="s" s="16">
        <f>HYPERLINK("http://csr.bu.edu/ftp/asl/asllvd/demos/verify_start_end_handshape_annotations//test_auto_move//signs_mov_separ_signers/Lana_4680.mov","MOV")</f>
        <v>21</v>
      </c>
      <c r="M12736" t="s" s="10">
        <v>42</v>
      </c>
      <c r="N12736" s="17">
        <v>7</v>
      </c>
      <c r="O12736" s="18">
        <v>2512</v>
      </c>
      <c r="P12736" s="18">
        <v>2553</v>
      </c>
      <c r="Q12736" s="15"/>
      <c r="R12736" t="s" s="16">
        <f>HYPERLINK("http://secrets.rutgers.edu:8080/data/asl-ftp/asllvd/demos/verify_start_end_handshape_annotations//test_auto_move//signs_mov_separ_signers/Lana_4680.mov","MOV")</f>
        <v>21</v>
      </c>
    </row>
    <row r="12737" s="2" customFormat="1" ht="13.5" customHeight="1">
      <c r="B12737" s="13"/>
      <c r="C12737" t="s" s="9">
        <v>43</v>
      </c>
      <c r="D12737" t="s" s="8">
        <v>4795</v>
      </c>
      <c r="E12737" t="s" s="9">
        <v>4795</v>
      </c>
      <c r="F12737" s="19">
        <v>5</v>
      </c>
      <c r="G12737" s="17">
        <v>5</v>
      </c>
      <c r="H12737" s="19">
        <v>5</v>
      </c>
      <c r="I12737" s="17">
        <v>5</v>
      </c>
      <c r="J12737" t="s" s="11">
        <v>20</v>
      </c>
      <c r="K12737" s="15"/>
      <c r="L12737" t="s" s="16">
        <f>HYPERLINK("http://csr.bu.edu/ftp/asl/asllvd/demos/verify_start_end_handshape_annotations//test_auto_move//signs_mov_separ_signers/Dana_4680.mov","MOV")</f>
        <v>21</v>
      </c>
      <c r="M12737" t="s" s="10">
        <v>44</v>
      </c>
      <c r="N12737" s="17">
        <v>11</v>
      </c>
      <c r="O12737" s="18">
        <v>2712</v>
      </c>
      <c r="P12737" s="18">
        <v>2758</v>
      </c>
      <c r="Q12737" s="15"/>
      <c r="R12737" t="s" s="16">
        <f>HYPERLINK("http://secrets.rutgers.edu:8080/data/asl-ftp/asllvd/demos/verify_start_end_handshape_annotations//test_auto_move//signs_mov_separ_signers/Dana_4680.mov","MOV")</f>
        <v>21</v>
      </c>
    </row>
    <row r="12738" s="2" customFormat="1" ht="13.5" customHeight="1">
      <c r="B12738" t="s" s="8">
        <v>52</v>
      </c>
      <c r="C12738" t="s" s="9">
        <v>53</v>
      </c>
      <c r="D12738" t="s" s="8">
        <v>53</v>
      </c>
      <c r="E12738" t="s" s="9">
        <v>53</v>
      </c>
      <c r="F12738" t="s" s="10">
        <v>53</v>
      </c>
      <c r="G12738" t="s" s="11">
        <v>53</v>
      </c>
      <c r="H12738" t="s" s="10">
        <v>53</v>
      </c>
      <c r="I12738" t="s" s="11">
        <v>53</v>
      </c>
      <c r="J12738" t="s" s="11">
        <v>53</v>
      </c>
      <c r="K12738" t="s" s="12">
        <v>53</v>
      </c>
      <c r="L12738" t="s" s="12">
        <v>53</v>
      </c>
      <c r="M12738" t="s" s="10">
        <v>53</v>
      </c>
      <c r="N12738" t="s" s="11">
        <v>53</v>
      </c>
      <c r="O12738" t="s" s="8">
        <v>53</v>
      </c>
      <c r="P12738" t="s" s="8">
        <v>53</v>
      </c>
      <c r="Q12738" t="s" s="12">
        <v>53</v>
      </c>
      <c r="R12738" t="s" s="12">
        <v>53</v>
      </c>
    </row>
    <row r="12739" s="2" customFormat="1" ht="13.5" customHeight="1">
      <c r="B12739" s="13"/>
      <c r="C12739" t="s" s="9">
        <v>23</v>
      </c>
      <c r="D12739" t="s" s="8">
        <v>4795</v>
      </c>
      <c r="E12739" t="s" s="9">
        <v>4796</v>
      </c>
      <c r="F12739" s="19">
        <v>25</v>
      </c>
      <c r="G12739" s="17">
        <v>25</v>
      </c>
      <c r="H12739" s="19">
        <v>25</v>
      </c>
      <c r="I12739" s="17">
        <v>25</v>
      </c>
      <c r="J12739" t="s" s="11">
        <v>20</v>
      </c>
      <c r="K12739" t="s" s="16">
        <f>HYPERLINK("http://csr.bu.edu/ftp/asl/asllvd/demos/verify_start_end_handshape_annotations//test_auto_move//signs_mov/16023.mov","MOV")</f>
        <v>21</v>
      </c>
      <c r="L12739" t="s" s="16">
        <f>HYPERLINK("http://csr.bu.edu/ftp/asl/asllvd/demos/verify_start_end_handshape_annotations//test_auto_move//signs_mov_separ_signers/Tyler_16023.mov","MOV")</f>
        <v>21</v>
      </c>
      <c r="M12739" t="s" s="10">
        <v>92</v>
      </c>
      <c r="N12739" s="17">
        <v>2</v>
      </c>
      <c r="O12739" s="18">
        <v>2022</v>
      </c>
      <c r="P12739" s="18">
        <v>2050</v>
      </c>
      <c r="Q12739" t="s" s="16">
        <f>HYPERLINK("http://secrets.rutgers.edu:8080/data/asl-ftp/asllvd/demos/verify_start_end_handshape_annotations//test_auto_move//signs_mov/16023.mov","MOV")</f>
        <v>21</v>
      </c>
      <c r="R12739" t="s" s="16">
        <f>HYPERLINK("http://secrets.rutgers.edu:8080/data/asl-ftp/asllvd/demos/verify_start_end_handshape_annotations//test_auto_move//signs_mov_separ_signers/Tyler_16023.mov","MOV")</f>
        <v>21</v>
      </c>
    </row>
    <row r="12740" s="2" customFormat="1" ht="13.5" customHeight="1">
      <c r="B12740" t="s" s="8">
        <v>4797</v>
      </c>
      <c r="C12740" t="s" s="9">
        <v>14</v>
      </c>
      <c r="D12740" t="s" s="8">
        <v>14</v>
      </c>
      <c r="E12740" t="s" s="9">
        <v>14</v>
      </c>
      <c r="F12740" t="s" s="10">
        <v>14</v>
      </c>
      <c r="G12740" t="s" s="11">
        <v>14</v>
      </c>
      <c r="H12740" t="s" s="10">
        <v>14</v>
      </c>
      <c r="I12740" t="s" s="11">
        <v>14</v>
      </c>
      <c r="J12740" t="s" s="11">
        <v>14</v>
      </c>
      <c r="K12740" t="s" s="12">
        <v>14</v>
      </c>
      <c r="L12740" t="s" s="12">
        <v>14</v>
      </c>
      <c r="M12740" t="s" s="10">
        <v>14</v>
      </c>
      <c r="N12740" t="s" s="11">
        <v>14</v>
      </c>
      <c r="O12740" t="s" s="8">
        <v>14</v>
      </c>
      <c r="P12740" t="s" s="8">
        <v>14</v>
      </c>
      <c r="Q12740" t="s" s="12">
        <v>14</v>
      </c>
      <c r="R12740" t="s" s="12">
        <v>14</v>
      </c>
    </row>
    <row r="12741" s="2" customFormat="1" ht="13.5" customHeight="1">
      <c r="B12741" s="13"/>
      <c r="C12741" t="s" s="9">
        <v>30</v>
      </c>
      <c r="D12741" t="s" s="8">
        <v>4797</v>
      </c>
      <c r="E12741" t="s" s="9">
        <v>4797</v>
      </c>
      <c r="F12741" t="s" s="10">
        <v>406</v>
      </c>
      <c r="G12741" s="14"/>
      <c r="H12741" t="s" s="10">
        <v>386</v>
      </c>
      <c r="I12741" s="14"/>
      <c r="J12741" t="s" s="11">
        <v>20</v>
      </c>
      <c r="K12741" t="s" s="16">
        <f>HYPERLINK("http://csr.bu.edu/ftp/asl/asllvd/demos/verify_start_end_handshape_annotations//test_auto_move//signs_mov/2804.mov","MOV")</f>
        <v>21</v>
      </c>
      <c r="L12741" t="s" s="16">
        <f>HYPERLINK("http://csr.bu.edu/ftp/asl/asllvd/demos/verify_start_end_handshape_annotations//test_auto_move//signs_mov_separ_signers/Brady_2804.mov","MOV")</f>
        <v>21</v>
      </c>
      <c r="M12741" t="s" s="10">
        <v>60</v>
      </c>
      <c r="N12741" s="17">
        <v>23</v>
      </c>
      <c r="O12741" s="18">
        <v>2124</v>
      </c>
      <c r="P12741" s="18">
        <v>2169</v>
      </c>
      <c r="Q12741" t="s" s="16">
        <f>HYPERLINK("http://secrets.rutgers.edu:8080/data/asl-ftp/asllvd/demos/verify_start_end_handshape_annotations//test_auto_move//signs_mov/2804.mov","MOV")</f>
        <v>21</v>
      </c>
      <c r="R12741" t="s" s="16">
        <f>HYPERLINK("http://secrets.rutgers.edu:8080/data/asl-ftp/asllvd/demos/verify_start_end_handshape_annotations//test_auto_move//signs_mov_separ_signers/Brady_2804.mov","MOV")</f>
        <v>21</v>
      </c>
    </row>
    <row r="12742" s="2" customFormat="1" ht="13.5" customHeight="1">
      <c r="B12742" t="s" s="8">
        <v>4798</v>
      </c>
      <c r="C12742" t="s" s="9">
        <v>14</v>
      </c>
      <c r="D12742" t="s" s="8">
        <v>14</v>
      </c>
      <c r="E12742" t="s" s="9">
        <v>14</v>
      </c>
      <c r="F12742" t="s" s="10">
        <v>14</v>
      </c>
      <c r="G12742" t="s" s="11">
        <v>14</v>
      </c>
      <c r="H12742" t="s" s="10">
        <v>14</v>
      </c>
      <c r="I12742" t="s" s="11">
        <v>14</v>
      </c>
      <c r="J12742" t="s" s="11">
        <v>14</v>
      </c>
      <c r="K12742" t="s" s="12">
        <v>14</v>
      </c>
      <c r="L12742" t="s" s="12">
        <v>14</v>
      </c>
      <c r="M12742" t="s" s="10">
        <v>14</v>
      </c>
      <c r="N12742" t="s" s="11">
        <v>14</v>
      </c>
      <c r="O12742" t="s" s="8">
        <v>14</v>
      </c>
      <c r="P12742" t="s" s="8">
        <v>14</v>
      </c>
      <c r="Q12742" t="s" s="12">
        <v>14</v>
      </c>
      <c r="R12742" t="s" s="12">
        <v>14</v>
      </c>
    </row>
    <row r="12743" s="2" customFormat="1" ht="13.5" customHeight="1">
      <c r="B12743" s="13"/>
      <c r="C12743" t="s" s="9">
        <v>16</v>
      </c>
      <c r="D12743" t="s" s="8">
        <v>4798</v>
      </c>
      <c r="E12743" t="s" s="9">
        <v>4798</v>
      </c>
      <c r="F12743" t="s" s="10">
        <v>406</v>
      </c>
      <c r="G12743" s="14"/>
      <c r="H12743" t="s" s="10">
        <v>185</v>
      </c>
      <c r="I12743" s="14"/>
      <c r="J12743" t="s" s="11">
        <v>20</v>
      </c>
      <c r="K12743" t="s" s="16">
        <f>HYPERLINK("http://csr.bu.edu/ftp/asl/asllvd/demos/verify_start_end_handshape_annotations//test_auto_move//signs_mov/2811.mov","MOV")</f>
        <v>21</v>
      </c>
      <c r="L12743" t="s" s="16">
        <f>HYPERLINK("http://csr.bu.edu/ftp/asl/asllvd/demos/verify_start_end_handshape_annotations//test_auto_move//signs_mov_separ_signers/Liz_2811.mov","MOV")</f>
        <v>21</v>
      </c>
      <c r="M12743" t="s" s="10">
        <v>59</v>
      </c>
      <c r="N12743" s="17">
        <v>36</v>
      </c>
      <c r="O12743" s="18">
        <v>555</v>
      </c>
      <c r="P12743" s="18">
        <v>626</v>
      </c>
      <c r="Q12743" t="s" s="16">
        <f>HYPERLINK("http://secrets.rutgers.edu:8080/data/asl-ftp/asllvd/demos/verify_start_end_handshape_annotations//test_auto_move//signs_mov/2811.mov","MOV")</f>
        <v>21</v>
      </c>
      <c r="R12743" t="s" s="16">
        <f>HYPERLINK("http://secrets.rutgers.edu:8080/data/asl-ftp/asllvd/demos/verify_start_end_handshape_annotations//test_auto_move//signs_mov_separ_signers/Liz_2811.mov","MOV")</f>
        <v>21</v>
      </c>
    </row>
    <row r="12744" s="2" customFormat="1" ht="27.75" customHeight="1">
      <c r="B12744" t="s" s="8">
        <v>4799</v>
      </c>
      <c r="C12744" t="s" s="9">
        <v>14</v>
      </c>
      <c r="D12744" t="s" s="8">
        <v>14</v>
      </c>
      <c r="E12744" t="s" s="9">
        <v>14</v>
      </c>
      <c r="F12744" t="s" s="10">
        <v>14</v>
      </c>
      <c r="G12744" t="s" s="11">
        <v>14</v>
      </c>
      <c r="H12744" t="s" s="10">
        <v>14</v>
      </c>
      <c r="I12744" t="s" s="11">
        <v>14</v>
      </c>
      <c r="J12744" t="s" s="11">
        <v>14</v>
      </c>
      <c r="K12744" t="s" s="12">
        <v>14</v>
      </c>
      <c r="L12744" t="s" s="12">
        <v>14</v>
      </c>
      <c r="M12744" t="s" s="10">
        <v>14</v>
      </c>
      <c r="N12744" t="s" s="11">
        <v>14</v>
      </c>
      <c r="O12744" t="s" s="8">
        <v>14</v>
      </c>
      <c r="P12744" t="s" s="8">
        <v>14</v>
      </c>
      <c r="Q12744" t="s" s="12">
        <v>14</v>
      </c>
      <c r="R12744" t="s" s="12">
        <v>14</v>
      </c>
    </row>
    <row r="12745" s="2" customFormat="1" ht="27.75" customHeight="1">
      <c r="B12745" s="13"/>
      <c r="C12745" t="s" s="9">
        <v>16</v>
      </c>
      <c r="D12745" t="s" s="8">
        <v>4799</v>
      </c>
      <c r="E12745" t="s" s="9">
        <v>4799</v>
      </c>
      <c r="F12745" t="s" s="10">
        <v>72</v>
      </c>
      <c r="G12745" t="s" s="11">
        <v>72</v>
      </c>
      <c r="H12745" t="s" s="10">
        <v>72</v>
      </c>
      <c r="I12745" t="s" s="11">
        <v>72</v>
      </c>
      <c r="J12745" t="s" s="11">
        <v>20</v>
      </c>
      <c r="K12745" t="s" s="16">
        <f>HYPERLINK("http://csr.bu.edu/ftp/asl/asllvd/demos/verify_start_end_handshape_annotations//test_auto_move//signs_mov/2816.mov","MOV")</f>
        <v>21</v>
      </c>
      <c r="L12745" t="s" s="16">
        <f>HYPERLINK("http://csr.bu.edu/ftp/asl/asllvd/demos/verify_start_end_handshape_annotations//test_auto_move//signs_mov_separ_signers/Liz_2816.mov","MOV")</f>
        <v>21</v>
      </c>
      <c r="M12745" t="s" s="10">
        <v>59</v>
      </c>
      <c r="N12745" s="17">
        <v>36</v>
      </c>
      <c r="O12745" s="18">
        <v>1705</v>
      </c>
      <c r="P12745" s="18">
        <v>1755</v>
      </c>
      <c r="Q12745" t="s" s="16">
        <f>HYPERLINK("http://secrets.rutgers.edu:8080/data/asl-ftp/asllvd/demos/verify_start_end_handshape_annotations//test_auto_move//signs_mov/2816.mov","MOV")</f>
        <v>21</v>
      </c>
      <c r="R12745" t="s" s="16">
        <f>HYPERLINK("http://secrets.rutgers.edu:8080/data/asl-ftp/asllvd/demos/verify_start_end_handshape_annotations//test_auto_move//signs_mov_separ_signers/Liz_2816.mov","MOV")</f>
        <v>21</v>
      </c>
    </row>
    <row r="12746" s="2" customFormat="1" ht="13.5" customHeight="1">
      <c r="B12746" t="s" s="8">
        <v>52</v>
      </c>
      <c r="C12746" t="s" s="9">
        <v>53</v>
      </c>
      <c r="D12746" t="s" s="8">
        <v>53</v>
      </c>
      <c r="E12746" t="s" s="9">
        <v>53</v>
      </c>
      <c r="F12746" t="s" s="10">
        <v>53</v>
      </c>
      <c r="G12746" t="s" s="11">
        <v>53</v>
      </c>
      <c r="H12746" t="s" s="10">
        <v>53</v>
      </c>
      <c r="I12746" t="s" s="11">
        <v>53</v>
      </c>
      <c r="J12746" t="s" s="11">
        <v>53</v>
      </c>
      <c r="K12746" t="s" s="12">
        <v>53</v>
      </c>
      <c r="L12746" t="s" s="12">
        <v>53</v>
      </c>
      <c r="M12746" t="s" s="10">
        <v>53</v>
      </c>
      <c r="N12746" t="s" s="11">
        <v>53</v>
      </c>
      <c r="O12746" t="s" s="8">
        <v>53</v>
      </c>
      <c r="P12746" t="s" s="8">
        <v>53</v>
      </c>
      <c r="Q12746" t="s" s="12">
        <v>53</v>
      </c>
      <c r="R12746" t="s" s="12">
        <v>53</v>
      </c>
    </row>
    <row r="12747" s="2" customFormat="1" ht="27.75" customHeight="1">
      <c r="B12747" s="13"/>
      <c r="C12747" t="s" s="9">
        <v>16</v>
      </c>
      <c r="D12747" t="s" s="8">
        <v>4799</v>
      </c>
      <c r="E12747" t="s" s="9">
        <v>4800</v>
      </c>
      <c r="F12747" t="s" s="10">
        <v>18</v>
      </c>
      <c r="G12747" t="s" s="11">
        <v>18</v>
      </c>
      <c r="H12747" t="s" s="10">
        <v>18</v>
      </c>
      <c r="I12747" t="s" s="11">
        <v>18</v>
      </c>
      <c r="J12747" t="s" s="11">
        <v>20</v>
      </c>
      <c r="K12747" t="s" s="16">
        <f>HYPERLINK("http://csr.bu.edu/ftp/asl/asllvd/demos/verify_start_end_handshape_annotations//test_auto_move//signs_mov/15018.mov","MOV")</f>
        <v>21</v>
      </c>
      <c r="L12747" t="s" s="16">
        <f>HYPERLINK("http://csr.bu.edu/ftp/asl/asllvd/demos/verify_start_end_handshape_annotations//test_auto_move//signs_mov_separ_signers/Liz_15018.mov","MOV")</f>
        <v>21</v>
      </c>
      <c r="M12747" t="s" s="10">
        <v>59</v>
      </c>
      <c r="N12747" s="17">
        <v>36</v>
      </c>
      <c r="O12747" s="18">
        <v>2135</v>
      </c>
      <c r="P12747" s="18">
        <v>2190</v>
      </c>
      <c r="Q12747" t="s" s="16">
        <f>HYPERLINK("http://secrets.rutgers.edu:8080/data/asl-ftp/asllvd/demos/verify_start_end_handshape_annotations//test_auto_move//signs_mov/15018.mov","MOV")</f>
        <v>21</v>
      </c>
      <c r="R12747" t="s" s="16">
        <f>HYPERLINK("http://secrets.rutgers.edu:8080/data/asl-ftp/asllvd/demos/verify_start_end_handshape_annotations//test_auto_move//signs_mov_separ_signers/Liz_15018.mov","MOV")</f>
        <v>21</v>
      </c>
    </row>
    <row r="12748" s="2" customFormat="1" ht="13.5" customHeight="1">
      <c r="B12748" t="s" s="8">
        <v>4801</v>
      </c>
      <c r="C12748" t="s" s="9">
        <v>14</v>
      </c>
      <c r="D12748" t="s" s="8">
        <v>14</v>
      </c>
      <c r="E12748" t="s" s="9">
        <v>14</v>
      </c>
      <c r="F12748" t="s" s="10">
        <v>14</v>
      </c>
      <c r="G12748" t="s" s="11">
        <v>14</v>
      </c>
      <c r="H12748" t="s" s="10">
        <v>14</v>
      </c>
      <c r="I12748" t="s" s="11">
        <v>14</v>
      </c>
      <c r="J12748" t="s" s="11">
        <v>14</v>
      </c>
      <c r="K12748" t="s" s="12">
        <v>14</v>
      </c>
      <c r="L12748" t="s" s="12">
        <v>14</v>
      </c>
      <c r="M12748" t="s" s="10">
        <v>14</v>
      </c>
      <c r="N12748" t="s" s="11">
        <v>14</v>
      </c>
      <c r="O12748" t="s" s="8">
        <v>14</v>
      </c>
      <c r="P12748" t="s" s="8">
        <v>14</v>
      </c>
      <c r="Q12748" t="s" s="12">
        <v>14</v>
      </c>
      <c r="R12748" t="s" s="12">
        <v>14</v>
      </c>
    </row>
    <row r="12749" s="2" customFormat="1" ht="13.5" customHeight="1">
      <c r="B12749" s="13"/>
      <c r="C12749" t="s" s="9">
        <v>30</v>
      </c>
      <c r="D12749" t="s" s="8">
        <v>4802</v>
      </c>
      <c r="E12749" t="s" s="9">
        <v>4803</v>
      </c>
      <c r="F12749" t="s" s="10">
        <v>406</v>
      </c>
      <c r="G12749" t="s" s="11">
        <v>55</v>
      </c>
      <c r="H12749" s="19">
        <v>5</v>
      </c>
      <c r="I12749" t="s" s="11">
        <v>55</v>
      </c>
      <c r="J12749" t="s" s="11">
        <v>20</v>
      </c>
      <c r="K12749" t="s" s="16">
        <f>HYPERLINK("http://csr.bu.edu/ftp/asl/asllvd/demos/verify_start_end_handshape_annotations//test_auto_move//signs_mov/4774.mov","MOV")</f>
        <v>21</v>
      </c>
      <c r="L12749" t="s" s="16">
        <f>HYPERLINK("http://csr.bu.edu/ftp/asl/asllvd/demos/verify_start_end_handshape_annotations//test_auto_move//signs_mov_separ_signers/Brady_4774.mov","MOV")</f>
        <v>21</v>
      </c>
      <c r="M12749" t="s" s="10">
        <v>60</v>
      </c>
      <c r="N12749" s="17">
        <v>53</v>
      </c>
      <c r="O12749" s="18">
        <v>3704</v>
      </c>
      <c r="P12749" s="18">
        <v>3783</v>
      </c>
      <c r="Q12749" t="s" s="16">
        <f>HYPERLINK("http://secrets.rutgers.edu:8080/data/asl-ftp/asllvd/demos/verify_start_end_handshape_annotations//test_auto_move//signs_mov/4774.mov","MOV")</f>
        <v>21</v>
      </c>
      <c r="R12749" t="s" s="16">
        <f>HYPERLINK("http://secrets.rutgers.edu:8080/data/asl-ftp/asllvd/demos/verify_start_end_handshape_annotations//test_auto_move//signs_mov_separ_signers/Brady_4774.mov","MOV")</f>
        <v>21</v>
      </c>
    </row>
    <row r="12750" s="2" customFormat="1" ht="27.75" customHeight="1">
      <c r="B12750" t="s" s="8">
        <v>4804</v>
      </c>
      <c r="C12750" t="s" s="9">
        <v>14</v>
      </c>
      <c r="D12750" t="s" s="8">
        <v>14</v>
      </c>
      <c r="E12750" t="s" s="9">
        <v>14</v>
      </c>
      <c r="F12750" t="s" s="10">
        <v>14</v>
      </c>
      <c r="G12750" t="s" s="11">
        <v>14</v>
      </c>
      <c r="H12750" t="s" s="10">
        <v>14</v>
      </c>
      <c r="I12750" t="s" s="11">
        <v>14</v>
      </c>
      <c r="J12750" t="s" s="11">
        <v>14</v>
      </c>
      <c r="K12750" t="s" s="12">
        <v>14</v>
      </c>
      <c r="L12750" t="s" s="12">
        <v>14</v>
      </c>
      <c r="M12750" t="s" s="10">
        <v>14</v>
      </c>
      <c r="N12750" t="s" s="11">
        <v>14</v>
      </c>
      <c r="O12750" t="s" s="8">
        <v>14</v>
      </c>
      <c r="P12750" t="s" s="8">
        <v>14</v>
      </c>
      <c r="Q12750" t="s" s="12">
        <v>14</v>
      </c>
      <c r="R12750" t="s" s="12">
        <v>14</v>
      </c>
    </row>
    <row r="12751" s="2" customFormat="1" ht="27.75" customHeight="1">
      <c r="B12751" s="13"/>
      <c r="C12751" t="s" s="9">
        <v>16</v>
      </c>
      <c r="D12751" t="s" s="8">
        <v>4804</v>
      </c>
      <c r="E12751" t="s" s="9">
        <v>4804</v>
      </c>
      <c r="F12751" t="s" s="10">
        <v>406</v>
      </c>
      <c r="G12751" s="14"/>
      <c r="H12751" t="s" s="10">
        <v>63</v>
      </c>
      <c r="I12751" s="14"/>
      <c r="J12751" t="s" s="11">
        <v>20</v>
      </c>
      <c r="K12751" t="s" s="16">
        <f>HYPERLINK("http://csr.bu.edu/ftp/asl/asllvd/demos/verify_start_end_handshape_annotations//test_auto_move//signs_mov/2820.mov","MOV")</f>
        <v>21</v>
      </c>
      <c r="L12751" t="s" s="16">
        <f>HYPERLINK("http://csr.bu.edu/ftp/asl/asllvd/demos/verify_start_end_handshape_annotations//test_auto_move//signs_mov_separ_signers/Liz_2820.mov","MOV")</f>
        <v>21</v>
      </c>
      <c r="M12751" t="s" s="10">
        <v>59</v>
      </c>
      <c r="N12751" s="17">
        <v>37</v>
      </c>
      <c r="O12751" s="18">
        <v>365</v>
      </c>
      <c r="P12751" s="18">
        <v>436</v>
      </c>
      <c r="Q12751" t="s" s="16">
        <f>HYPERLINK("http://secrets.rutgers.edu:8080/data/asl-ftp/asllvd/demos/verify_start_end_handshape_annotations//test_auto_move//signs_mov/2820.mov","MOV")</f>
        <v>21</v>
      </c>
      <c r="R12751" t="s" s="16">
        <f>HYPERLINK("http://secrets.rutgers.edu:8080/data/asl-ftp/asllvd/demos/verify_start_end_handshape_annotations//test_auto_move//signs_mov_separ_signers/Liz_2820.mov","MOV")</f>
        <v>21</v>
      </c>
    </row>
    <row r="12752" s="2" customFormat="1" ht="13.5" customHeight="1">
      <c r="B12752" t="s" s="8">
        <v>4805</v>
      </c>
      <c r="C12752" t="s" s="9">
        <v>14</v>
      </c>
      <c r="D12752" t="s" s="8">
        <v>14</v>
      </c>
      <c r="E12752" t="s" s="9">
        <v>14</v>
      </c>
      <c r="F12752" t="s" s="10">
        <v>14</v>
      </c>
      <c r="G12752" t="s" s="11">
        <v>14</v>
      </c>
      <c r="H12752" t="s" s="10">
        <v>14</v>
      </c>
      <c r="I12752" t="s" s="11">
        <v>14</v>
      </c>
      <c r="J12752" t="s" s="11">
        <v>14</v>
      </c>
      <c r="K12752" t="s" s="12">
        <v>14</v>
      </c>
      <c r="L12752" t="s" s="12">
        <v>14</v>
      </c>
      <c r="M12752" t="s" s="10">
        <v>14</v>
      </c>
      <c r="N12752" t="s" s="11">
        <v>14</v>
      </c>
      <c r="O12752" t="s" s="8">
        <v>14</v>
      </c>
      <c r="P12752" t="s" s="8">
        <v>14</v>
      </c>
      <c r="Q12752" t="s" s="12">
        <v>14</v>
      </c>
      <c r="R12752" t="s" s="12">
        <v>14</v>
      </c>
    </row>
    <row r="12753" s="2" customFormat="1" ht="13.5" customHeight="1">
      <c r="B12753" s="13"/>
      <c r="C12753" t="s" s="9">
        <v>16</v>
      </c>
      <c r="D12753" t="s" s="8">
        <v>4806</v>
      </c>
      <c r="E12753" t="s" s="9">
        <v>4806</v>
      </c>
      <c r="F12753" t="s" s="10">
        <v>406</v>
      </c>
      <c r="G12753" s="17">
        <v>5</v>
      </c>
      <c r="H12753" s="19">
        <v>5</v>
      </c>
      <c r="I12753" s="17">
        <v>5</v>
      </c>
      <c r="J12753" t="s" s="11">
        <v>20</v>
      </c>
      <c r="K12753" t="s" s="16">
        <f>HYPERLINK("http://csr.bu.edu/ftp/asl/asllvd/demos/verify_start_end_handshape_annotations//test_auto_move//signs_mov/2821.mov","MOV")</f>
        <v>21</v>
      </c>
      <c r="L12753" t="s" s="16">
        <f>HYPERLINK("http://csr.bu.edu/ftp/asl/asllvd/demos/verify_start_end_handshape_annotations//test_auto_move//signs_mov_separ_signers/Liz_2821.mov","MOV")</f>
        <v>21</v>
      </c>
      <c r="M12753" t="s" s="10">
        <v>59</v>
      </c>
      <c r="N12753" s="17">
        <v>37</v>
      </c>
      <c r="O12753" s="18">
        <v>650</v>
      </c>
      <c r="P12753" s="18">
        <v>713</v>
      </c>
      <c r="Q12753" t="s" s="16">
        <f>HYPERLINK("http://secrets.rutgers.edu:8080/data/asl-ftp/asllvd/demos/verify_start_end_handshape_annotations//test_auto_move//signs_mov/2821.mov","MOV")</f>
        <v>21</v>
      </c>
      <c r="R12753" t="s" s="16">
        <f>HYPERLINK("http://secrets.rutgers.edu:8080/data/asl-ftp/asllvd/demos/verify_start_end_handshape_annotations//test_auto_move//signs_mov_separ_signers/Liz_2821.mov","MOV")</f>
        <v>21</v>
      </c>
    </row>
    <row r="12754" s="2" customFormat="1" ht="13.5" customHeight="1">
      <c r="B12754" t="s" s="8">
        <v>4807</v>
      </c>
      <c r="C12754" t="s" s="9">
        <v>14</v>
      </c>
      <c r="D12754" t="s" s="8">
        <v>14</v>
      </c>
      <c r="E12754" t="s" s="9">
        <v>14</v>
      </c>
      <c r="F12754" t="s" s="10">
        <v>14</v>
      </c>
      <c r="G12754" t="s" s="11">
        <v>14</v>
      </c>
      <c r="H12754" t="s" s="10">
        <v>14</v>
      </c>
      <c r="I12754" t="s" s="11">
        <v>14</v>
      </c>
      <c r="J12754" t="s" s="11">
        <v>14</v>
      </c>
      <c r="K12754" t="s" s="12">
        <v>14</v>
      </c>
      <c r="L12754" t="s" s="12">
        <v>14</v>
      </c>
      <c r="M12754" t="s" s="10">
        <v>14</v>
      </c>
      <c r="N12754" t="s" s="11">
        <v>14</v>
      </c>
      <c r="O12754" t="s" s="8">
        <v>14</v>
      </c>
      <c r="P12754" t="s" s="8">
        <v>14</v>
      </c>
      <c r="Q12754" t="s" s="12">
        <v>14</v>
      </c>
      <c r="R12754" t="s" s="12">
        <v>14</v>
      </c>
    </row>
    <row r="12755" s="2" customFormat="1" ht="13.5" customHeight="1">
      <c r="B12755" s="13"/>
      <c r="C12755" t="s" s="9">
        <v>16</v>
      </c>
      <c r="D12755" t="s" s="8">
        <v>4807</v>
      </c>
      <c r="E12755" t="s" s="9">
        <v>4807</v>
      </c>
      <c r="F12755" t="s" s="10">
        <v>185</v>
      </c>
      <c r="G12755" t="s" s="11">
        <v>185</v>
      </c>
      <c r="H12755" t="s" s="10">
        <v>63</v>
      </c>
      <c r="I12755" t="s" s="11">
        <v>185</v>
      </c>
      <c r="J12755" t="s" s="11">
        <v>20</v>
      </c>
      <c r="K12755" t="s" s="16">
        <f>HYPERLINK("http://csr.bu.edu/ftp/asl/asllvd/demos/verify_start_end_handshape_annotations//test_auto_move//signs_mov/2878.mov","MOV")</f>
        <v>21</v>
      </c>
      <c r="L12755" t="s" s="16">
        <f>HYPERLINK("http://csr.bu.edu/ftp/asl/asllvd/demos/verify_start_end_handshape_annotations//test_auto_move//signs_mov_separ_signers/Liz_2878.mov","MOV")</f>
        <v>21</v>
      </c>
      <c r="M12755" t="s" s="10">
        <v>59</v>
      </c>
      <c r="N12755" s="17">
        <v>42</v>
      </c>
      <c r="O12755" s="18">
        <v>3103</v>
      </c>
      <c r="P12755" s="18">
        <v>3189</v>
      </c>
      <c r="Q12755" t="s" s="16">
        <f>HYPERLINK("http://secrets.rutgers.edu:8080/data/asl-ftp/asllvd/demos/verify_start_end_handshape_annotations//test_auto_move//signs_mov/2878.mov","MOV")</f>
        <v>21</v>
      </c>
      <c r="R12755" t="s" s="16">
        <f>HYPERLINK("http://secrets.rutgers.edu:8080/data/asl-ftp/asllvd/demos/verify_start_end_handshape_annotations//test_auto_move//signs_mov_separ_signers/Liz_2878.mov","MOV")</f>
        <v>21</v>
      </c>
    </row>
    <row r="12756" s="2" customFormat="1" ht="13.5" customHeight="1">
      <c r="B12756" t="s" s="8">
        <v>4808</v>
      </c>
      <c r="C12756" t="s" s="9">
        <v>14</v>
      </c>
      <c r="D12756" t="s" s="8">
        <v>14</v>
      </c>
      <c r="E12756" t="s" s="9">
        <v>14</v>
      </c>
      <c r="F12756" t="s" s="10">
        <v>14</v>
      </c>
      <c r="G12756" t="s" s="11">
        <v>14</v>
      </c>
      <c r="H12756" t="s" s="10">
        <v>14</v>
      </c>
      <c r="I12756" t="s" s="11">
        <v>14</v>
      </c>
      <c r="J12756" t="s" s="11">
        <v>14</v>
      </c>
      <c r="K12756" t="s" s="12">
        <v>14</v>
      </c>
      <c r="L12756" t="s" s="12">
        <v>14</v>
      </c>
      <c r="M12756" t="s" s="10">
        <v>14</v>
      </c>
      <c r="N12756" t="s" s="11">
        <v>14</v>
      </c>
      <c r="O12756" t="s" s="8">
        <v>14</v>
      </c>
      <c r="P12756" t="s" s="8">
        <v>14</v>
      </c>
      <c r="Q12756" t="s" s="12">
        <v>14</v>
      </c>
      <c r="R12756" t="s" s="12">
        <v>14</v>
      </c>
    </row>
    <row r="12757" s="2" customFormat="1" ht="13.5" customHeight="1">
      <c r="B12757" s="13"/>
      <c r="C12757" t="s" s="9">
        <v>16</v>
      </c>
      <c r="D12757" t="s" s="8">
        <v>4808</v>
      </c>
      <c r="E12757" t="s" s="9">
        <v>4808</v>
      </c>
      <c r="F12757" t="s" s="10">
        <v>406</v>
      </c>
      <c r="G12757" s="14"/>
      <c r="H12757" t="s" s="10">
        <v>406</v>
      </c>
      <c r="I12757" s="14"/>
      <c r="J12757" t="s" s="11">
        <v>20</v>
      </c>
      <c r="K12757" t="s" s="16">
        <f>HYPERLINK("http://csr.bu.edu/ftp/asl/asllvd/demos/verify_start_end_handshape_annotations//test_auto_move//signs_mov/2905.mov","MOV")</f>
        <v>21</v>
      </c>
      <c r="L12757" t="s" s="16">
        <f>HYPERLINK("http://csr.bu.edu/ftp/asl/asllvd/demos/verify_start_end_handshape_annotations//test_auto_move//signs_mov_separ_signers/Liz_2905.mov","MOV")</f>
        <v>21</v>
      </c>
      <c r="M12757" t="s" s="10">
        <v>59</v>
      </c>
      <c r="N12757" s="17">
        <v>45</v>
      </c>
      <c r="O12757" s="18">
        <v>1615</v>
      </c>
      <c r="P12757" s="18">
        <v>1662</v>
      </c>
      <c r="Q12757" t="s" s="16">
        <f>HYPERLINK("http://secrets.rutgers.edu:8080/data/asl-ftp/asllvd/demos/verify_start_end_handshape_annotations//test_auto_move//signs_mov/2905.mov","MOV")</f>
        <v>21</v>
      </c>
      <c r="R12757" t="s" s="16">
        <f>HYPERLINK("http://secrets.rutgers.edu:8080/data/asl-ftp/asllvd/demos/verify_start_end_handshape_annotations//test_auto_move//signs_mov_separ_signers/Liz_2905.mov","MOV")</f>
        <v>21</v>
      </c>
    </row>
    <row r="12758" s="2" customFormat="1" ht="13.5" customHeight="1">
      <c r="B12758" s="13"/>
      <c r="C12758" t="s" s="9">
        <v>30</v>
      </c>
      <c r="D12758" t="s" s="8">
        <v>4808</v>
      </c>
      <c r="E12758" t="s" s="9">
        <v>4808</v>
      </c>
      <c r="F12758" t="s" s="10">
        <v>406</v>
      </c>
      <c r="G12758" s="14"/>
      <c r="H12758" t="s" s="10">
        <v>406</v>
      </c>
      <c r="I12758" s="14"/>
      <c r="J12758" t="s" s="11">
        <v>20</v>
      </c>
      <c r="K12758" s="15"/>
      <c r="L12758" t="s" s="16">
        <f>HYPERLINK("http://csr.bu.edu/ftp/asl/asllvd/demos/verify_start_end_handshape_annotations//test_auto_move//signs_mov_separ_signers/Brady_2905.mov","MOV")</f>
        <v>21</v>
      </c>
      <c r="M12758" t="s" s="10">
        <v>60</v>
      </c>
      <c r="N12758" s="17">
        <v>33</v>
      </c>
      <c r="O12758" s="18">
        <v>2330</v>
      </c>
      <c r="P12758" s="18">
        <v>2360</v>
      </c>
      <c r="Q12758" s="15"/>
      <c r="R12758" t="s" s="16">
        <f>HYPERLINK("http://secrets.rutgers.edu:8080/data/asl-ftp/asllvd/demos/verify_start_end_handshape_annotations//test_auto_move//signs_mov_separ_signers/Brady_2905.mov","MOV")</f>
        <v>21</v>
      </c>
    </row>
    <row r="12759" s="2" customFormat="1" ht="13.5" customHeight="1">
      <c r="B12759" t="s" s="8">
        <v>4809</v>
      </c>
      <c r="C12759" t="s" s="9">
        <v>14</v>
      </c>
      <c r="D12759" t="s" s="8">
        <v>14</v>
      </c>
      <c r="E12759" t="s" s="9">
        <v>14</v>
      </c>
      <c r="F12759" t="s" s="10">
        <v>14</v>
      </c>
      <c r="G12759" t="s" s="11">
        <v>14</v>
      </c>
      <c r="H12759" t="s" s="10">
        <v>14</v>
      </c>
      <c r="I12759" t="s" s="11">
        <v>14</v>
      </c>
      <c r="J12759" t="s" s="11">
        <v>14</v>
      </c>
      <c r="K12759" t="s" s="12">
        <v>14</v>
      </c>
      <c r="L12759" t="s" s="12">
        <v>14</v>
      </c>
      <c r="M12759" t="s" s="10">
        <v>14</v>
      </c>
      <c r="N12759" t="s" s="11">
        <v>14</v>
      </c>
      <c r="O12759" t="s" s="8">
        <v>14</v>
      </c>
      <c r="P12759" t="s" s="8">
        <v>14</v>
      </c>
      <c r="Q12759" t="s" s="12">
        <v>14</v>
      </c>
      <c r="R12759" t="s" s="12">
        <v>14</v>
      </c>
    </row>
    <row r="12760" s="2" customFormat="1" ht="13.5" customHeight="1">
      <c r="B12760" s="13"/>
      <c r="C12760" t="s" s="9">
        <v>16</v>
      </c>
      <c r="D12760" t="s" s="8">
        <v>4810</v>
      </c>
      <c r="E12760" t="s" s="9">
        <v>4810</v>
      </c>
      <c r="F12760" s="19">
        <v>5</v>
      </c>
      <c r="G12760" s="17">
        <v>5</v>
      </c>
      <c r="H12760" t="s" s="10">
        <v>73</v>
      </c>
      <c r="I12760" t="s" s="11">
        <v>73</v>
      </c>
      <c r="J12760" t="s" s="11">
        <v>20</v>
      </c>
      <c r="K12760" t="s" s="16">
        <f>HYPERLINK("http://csr.bu.edu/ftp/asl/asllvd/demos/verify_start_end_handshape_annotations//test_auto_move//signs_mov/2910.mov","MOV")</f>
        <v>21</v>
      </c>
      <c r="L12760" t="s" s="16">
        <f>HYPERLINK("http://csr.bu.edu/ftp/asl/asllvd/demos/verify_start_end_handshape_annotations//test_auto_move//signs_mov_separ_signers/Liz_2910.mov","MOV")</f>
        <v>21</v>
      </c>
      <c r="M12760" t="s" s="10">
        <v>59</v>
      </c>
      <c r="N12760" s="17">
        <v>46</v>
      </c>
      <c r="O12760" s="18">
        <v>383</v>
      </c>
      <c r="P12760" s="18">
        <v>447</v>
      </c>
      <c r="Q12760" t="s" s="16">
        <f>HYPERLINK("http://secrets.rutgers.edu:8080/data/asl-ftp/asllvd/demos/verify_start_end_handshape_annotations//test_auto_move//signs_mov/2910.mov","MOV")</f>
        <v>21</v>
      </c>
      <c r="R12760" t="s" s="16">
        <f>HYPERLINK("http://secrets.rutgers.edu:8080/data/asl-ftp/asllvd/demos/verify_start_end_handshape_annotations//test_auto_move//signs_mov_separ_signers/Liz_2910.mov","MOV")</f>
        <v>21</v>
      </c>
    </row>
    <row r="12761" s="2" customFormat="1" ht="13.5" customHeight="1">
      <c r="B12761" s="13"/>
      <c r="C12761" t="s" s="9">
        <v>30</v>
      </c>
      <c r="D12761" t="s" s="8">
        <v>4810</v>
      </c>
      <c r="E12761" t="s" s="9">
        <v>4810</v>
      </c>
      <c r="F12761" s="19">
        <v>5</v>
      </c>
      <c r="G12761" s="17">
        <v>5</v>
      </c>
      <c r="H12761" t="s" s="10">
        <v>73</v>
      </c>
      <c r="I12761" t="s" s="11">
        <v>73</v>
      </c>
      <c r="J12761" t="s" s="11">
        <v>20</v>
      </c>
      <c r="K12761" s="15"/>
      <c r="L12761" t="s" s="16">
        <f>HYPERLINK("http://csr.bu.edu/ftp/asl/asllvd/demos/verify_start_end_handshape_annotations//test_auto_move//signs_mov_separ_signers/Brady_2910.mov","MOV")</f>
        <v>21</v>
      </c>
      <c r="M12761" t="s" s="10">
        <v>60</v>
      </c>
      <c r="N12761" s="17">
        <v>34</v>
      </c>
      <c r="O12761" s="18">
        <v>1508</v>
      </c>
      <c r="P12761" s="18">
        <v>1545</v>
      </c>
      <c r="Q12761" s="15"/>
      <c r="R12761" t="s" s="16">
        <f>HYPERLINK("http://secrets.rutgers.edu:8080/data/asl-ftp/asllvd/demos/verify_start_end_handshape_annotations//test_auto_move//signs_mov_separ_signers/Brady_2910.mov","MOV")</f>
        <v>21</v>
      </c>
    </row>
    <row r="12762" s="2" customFormat="1" ht="13.5" customHeight="1">
      <c r="B12762" t="s" s="8">
        <v>4811</v>
      </c>
      <c r="C12762" t="s" s="9">
        <v>14</v>
      </c>
      <c r="D12762" t="s" s="8">
        <v>14</v>
      </c>
      <c r="E12762" t="s" s="9">
        <v>14</v>
      </c>
      <c r="F12762" t="s" s="10">
        <v>14</v>
      </c>
      <c r="G12762" t="s" s="11">
        <v>14</v>
      </c>
      <c r="H12762" t="s" s="10">
        <v>14</v>
      </c>
      <c r="I12762" t="s" s="11">
        <v>14</v>
      </c>
      <c r="J12762" t="s" s="11">
        <v>14</v>
      </c>
      <c r="K12762" t="s" s="12">
        <v>14</v>
      </c>
      <c r="L12762" t="s" s="12">
        <v>14</v>
      </c>
      <c r="M12762" t="s" s="10">
        <v>14</v>
      </c>
      <c r="N12762" t="s" s="11">
        <v>14</v>
      </c>
      <c r="O12762" t="s" s="8">
        <v>14</v>
      </c>
      <c r="P12762" t="s" s="8">
        <v>14</v>
      </c>
      <c r="Q12762" t="s" s="12">
        <v>14</v>
      </c>
      <c r="R12762" t="s" s="12">
        <v>14</v>
      </c>
    </row>
    <row r="12763" s="2" customFormat="1" ht="13.5" customHeight="1">
      <c r="B12763" s="13"/>
      <c r="C12763" t="s" s="9">
        <v>16</v>
      </c>
      <c r="D12763" t="s" s="8">
        <v>4811</v>
      </c>
      <c r="E12763" t="s" s="9">
        <v>4811</v>
      </c>
      <c r="F12763" s="19">
        <v>10</v>
      </c>
      <c r="G12763" s="17">
        <v>10</v>
      </c>
      <c r="H12763" t="s" s="10">
        <v>55</v>
      </c>
      <c r="I12763" s="14"/>
      <c r="J12763" t="s" s="11">
        <v>20</v>
      </c>
      <c r="K12763" s="15"/>
      <c r="L12763" t="s" s="16">
        <f>HYPERLINK("http://csr.bu.edu/ftp/asl/asllvd/demos/verify_start_end_handshape_annotations//test_auto_move//signs_mov_separ_signers/Liz_3004.mov","MOV")</f>
        <v>21</v>
      </c>
      <c r="M12763" t="s" s="10">
        <v>22</v>
      </c>
      <c r="N12763" s="17">
        <v>34</v>
      </c>
      <c r="O12763" s="18">
        <v>1325</v>
      </c>
      <c r="P12763" s="18">
        <v>1390</v>
      </c>
      <c r="Q12763" s="15"/>
      <c r="R12763" t="s" s="16">
        <f>HYPERLINK("http://secrets.rutgers.edu:8080/data/asl-ftp/asllvd/demos/verify_start_end_handshape_annotations//test_auto_move//signs_mov_separ_signers/Liz_3004.mov","MOV")</f>
        <v>21</v>
      </c>
    </row>
    <row r="12764" s="2" customFormat="1" ht="13.5" customHeight="1">
      <c r="B12764" s="13"/>
      <c r="C12764" t="s" s="9">
        <v>27</v>
      </c>
      <c r="D12764" t="s" s="8">
        <v>4811</v>
      </c>
      <c r="E12764" t="s" s="9">
        <v>4811</v>
      </c>
      <c r="F12764" t="s" s="10">
        <v>63</v>
      </c>
      <c r="G12764" t="s" s="11">
        <v>63</v>
      </c>
      <c r="H12764" t="s" s="10">
        <v>55</v>
      </c>
      <c r="I12764" s="14"/>
      <c r="J12764" t="s" s="11">
        <v>20</v>
      </c>
      <c r="K12764" t="s" s="16">
        <f>HYPERLINK("http://csr.bu.edu/ftp/asl/asllvd/demos/verify_start_end_handshape_annotations//test_auto_move//signs_mov/3004.mov","MOV")</f>
        <v>21</v>
      </c>
      <c r="L12764" t="s" s="16">
        <f>HYPERLINK("http://csr.bu.edu/ftp/asl/asllvd/demos/verify_start_end_handshape_annotations//test_auto_move//signs_mov_separ_signers/Naomi_3004.mov","MOV")</f>
        <v>21</v>
      </c>
      <c r="M12764" t="s" s="10">
        <v>29</v>
      </c>
      <c r="N12764" s="17">
        <v>23</v>
      </c>
      <c r="O12764" s="18">
        <v>2458</v>
      </c>
      <c r="P12764" s="18">
        <v>2514</v>
      </c>
      <c r="Q12764" t="s" s="16">
        <f>HYPERLINK("http://secrets.rutgers.edu:8080/data/asl-ftp/asllvd/demos/verify_start_end_handshape_annotations//test_auto_move//signs_mov/3004.mov","MOV")</f>
        <v>21</v>
      </c>
      <c r="R12764" t="s" s="16">
        <f>HYPERLINK("http://secrets.rutgers.edu:8080/data/asl-ftp/asllvd/demos/verify_start_end_handshape_annotations//test_auto_move//signs_mov_separ_signers/Naomi_3004.mov","MOV")</f>
        <v>21</v>
      </c>
    </row>
    <row r="12765" s="2" customFormat="1" ht="13.5" customHeight="1">
      <c r="B12765" s="13"/>
      <c r="C12765" t="s" s="9">
        <v>30</v>
      </c>
      <c r="D12765" t="s" s="8">
        <v>4811</v>
      </c>
      <c r="E12765" t="s" s="9">
        <v>4811</v>
      </c>
      <c r="F12765" s="19">
        <v>10</v>
      </c>
      <c r="G12765" s="17">
        <v>10</v>
      </c>
      <c r="H12765" t="s" s="10">
        <v>55</v>
      </c>
      <c r="I12765" s="17">
        <v>10</v>
      </c>
      <c r="J12765" t="s" s="11">
        <v>20</v>
      </c>
      <c r="K12765" s="15"/>
      <c r="L12765" t="s" s="16">
        <f>HYPERLINK("http://csr.bu.edu/ftp/asl/asllvd/demos/verify_start_end_handshape_annotations//test_auto_move//signs_mov_separ_signers/Brady_3004.mov","MOV")</f>
        <v>21</v>
      </c>
      <c r="M12765" t="s" s="10">
        <v>39</v>
      </c>
      <c r="N12765" s="17">
        <v>2</v>
      </c>
      <c r="O12765" s="18">
        <v>4741</v>
      </c>
      <c r="P12765" s="18">
        <v>4781</v>
      </c>
      <c r="Q12765" s="15"/>
      <c r="R12765" t="s" s="16">
        <f>HYPERLINK("http://secrets.rutgers.edu:8080/data/asl-ftp/asllvd/demos/verify_start_end_handshape_annotations//test_auto_move//signs_mov_separ_signers/Brady_3004.mov","MOV")</f>
        <v>21</v>
      </c>
    </row>
    <row r="12766" s="2" customFormat="1" ht="13.5" customHeight="1">
      <c r="B12766" t="s" s="8">
        <v>52</v>
      </c>
      <c r="C12766" t="s" s="9">
        <v>53</v>
      </c>
      <c r="D12766" t="s" s="8">
        <v>53</v>
      </c>
      <c r="E12766" t="s" s="9">
        <v>53</v>
      </c>
      <c r="F12766" t="s" s="10">
        <v>53</v>
      </c>
      <c r="G12766" t="s" s="11">
        <v>53</v>
      </c>
      <c r="H12766" t="s" s="10">
        <v>53</v>
      </c>
      <c r="I12766" t="s" s="11">
        <v>53</v>
      </c>
      <c r="J12766" t="s" s="11">
        <v>53</v>
      </c>
      <c r="K12766" t="s" s="12">
        <v>53</v>
      </c>
      <c r="L12766" t="s" s="12">
        <v>53</v>
      </c>
      <c r="M12766" t="s" s="10">
        <v>53</v>
      </c>
      <c r="N12766" t="s" s="11">
        <v>53</v>
      </c>
      <c r="O12766" t="s" s="8">
        <v>53</v>
      </c>
      <c r="P12766" t="s" s="8">
        <v>53</v>
      </c>
      <c r="Q12766" t="s" s="12">
        <v>53</v>
      </c>
      <c r="R12766" t="s" s="12">
        <v>53</v>
      </c>
    </row>
    <row r="12767" s="2" customFormat="1" ht="27.75" customHeight="1">
      <c r="B12767" s="13"/>
      <c r="C12767" t="s" s="9">
        <v>23</v>
      </c>
      <c r="D12767" t="s" s="8">
        <v>4811</v>
      </c>
      <c r="E12767" t="s" s="9">
        <v>4812</v>
      </c>
      <c r="F12767" s="19">
        <v>10</v>
      </c>
      <c r="G12767" s="17">
        <v>10</v>
      </c>
      <c r="H12767" t="s" s="10">
        <v>150</v>
      </c>
      <c r="I12767" t="s" s="11">
        <v>150</v>
      </c>
      <c r="J12767" t="s" s="11">
        <v>20</v>
      </c>
      <c r="K12767" t="s" s="16">
        <f>HYPERLINK("http://csr.bu.edu/ftp/asl/asllvd/demos/verify_start_end_handshape_annotations//test_auto_move//signs_mov/5620.mov","MOV")</f>
        <v>21</v>
      </c>
      <c r="L12767" t="s" s="16">
        <f>HYPERLINK("http://csr.bu.edu/ftp/asl/asllvd/demos/verify_start_end_handshape_annotations//test_auto_move//signs_mov_separ_signers/Tyler_5620.mov","MOV")</f>
        <v>21</v>
      </c>
      <c r="M12767" t="s" s="10">
        <v>26</v>
      </c>
      <c r="N12767" s="17">
        <v>22</v>
      </c>
      <c r="O12767" s="18">
        <v>1919</v>
      </c>
      <c r="P12767" s="18">
        <v>1985</v>
      </c>
      <c r="Q12767" t="s" s="16">
        <f>HYPERLINK("http://secrets.rutgers.edu:8080/data/asl-ftp/asllvd/demos/verify_start_end_handshape_annotations//test_auto_move//signs_mov/5620.mov","MOV")</f>
        <v>21</v>
      </c>
      <c r="R12767" t="s" s="16">
        <f>HYPERLINK("http://secrets.rutgers.edu:8080/data/asl-ftp/asllvd/demos/verify_start_end_handshape_annotations//test_auto_move//signs_mov_separ_signers/Tyler_5620.mov","MOV")</f>
        <v>21</v>
      </c>
    </row>
    <row r="12768" s="2" customFormat="1" ht="13.5" customHeight="1">
      <c r="B12768" t="s" s="8">
        <v>4813</v>
      </c>
      <c r="C12768" t="s" s="9">
        <v>14</v>
      </c>
      <c r="D12768" t="s" s="8">
        <v>14</v>
      </c>
      <c r="E12768" t="s" s="9">
        <v>14</v>
      </c>
      <c r="F12768" t="s" s="10">
        <v>14</v>
      </c>
      <c r="G12768" t="s" s="11">
        <v>14</v>
      </c>
      <c r="H12768" t="s" s="10">
        <v>14</v>
      </c>
      <c r="I12768" t="s" s="11">
        <v>14</v>
      </c>
      <c r="J12768" t="s" s="11">
        <v>14</v>
      </c>
      <c r="K12768" t="s" s="12">
        <v>14</v>
      </c>
      <c r="L12768" t="s" s="12">
        <v>14</v>
      </c>
      <c r="M12768" t="s" s="10">
        <v>14</v>
      </c>
      <c r="N12768" t="s" s="11">
        <v>14</v>
      </c>
      <c r="O12768" t="s" s="8">
        <v>14</v>
      </c>
      <c r="P12768" t="s" s="8">
        <v>14</v>
      </c>
      <c r="Q12768" t="s" s="12">
        <v>14</v>
      </c>
      <c r="R12768" t="s" s="12">
        <v>14</v>
      </c>
    </row>
    <row r="12769" s="2" customFormat="1" ht="13.5" customHeight="1">
      <c r="B12769" s="13"/>
      <c r="C12769" t="s" s="9">
        <v>23</v>
      </c>
      <c r="D12769" t="s" s="8">
        <v>4813</v>
      </c>
      <c r="E12769" t="s" s="9">
        <v>4813</v>
      </c>
      <c r="F12769" s="19">
        <v>1</v>
      </c>
      <c r="G12769" t="s" s="11">
        <v>287</v>
      </c>
      <c r="H12769" t="s" s="10">
        <v>158</v>
      </c>
      <c r="I12769" t="s" s="11">
        <v>287</v>
      </c>
      <c r="J12769" t="s" s="11">
        <v>20</v>
      </c>
      <c r="K12769" t="s" s="16">
        <f>HYPERLINK("http://csr.bu.edu/ftp/asl/asllvd/demos/verify_start_end_handshape_annotations//test_auto_move//signs_mov/3005.mov","MOV")</f>
        <v>21</v>
      </c>
      <c r="L12769" t="s" s="16">
        <f>HYPERLINK("http://csr.bu.edu/ftp/asl/asllvd/demos/verify_start_end_handshape_annotations//test_auto_move//signs_mov_separ_signers/Tyler_3005.mov","MOV")</f>
        <v>21</v>
      </c>
      <c r="M12769" t="s" s="10">
        <v>26</v>
      </c>
      <c r="N12769" s="17">
        <v>28</v>
      </c>
      <c r="O12769" s="18">
        <v>453</v>
      </c>
      <c r="P12769" s="18">
        <v>522</v>
      </c>
      <c r="Q12769" t="s" s="16">
        <f>HYPERLINK("http://secrets.rutgers.edu:8080/data/asl-ftp/asllvd/demos/verify_start_end_handshape_annotations//test_auto_move//signs_mov/3005.mov","MOV")</f>
        <v>21</v>
      </c>
      <c r="R12769" t="s" s="16">
        <f>HYPERLINK("http://secrets.rutgers.edu:8080/data/asl-ftp/asllvd/demos/verify_start_end_handshape_annotations//test_auto_move//signs_mov_separ_signers/Tyler_3005.mov","MOV")</f>
        <v>21</v>
      </c>
    </row>
    <row r="12770" s="2" customFormat="1" ht="13.5" customHeight="1">
      <c r="B12770" s="13"/>
      <c r="C12770" t="s" s="9">
        <v>27</v>
      </c>
      <c r="D12770" t="s" s="8">
        <v>4813</v>
      </c>
      <c r="E12770" t="s" s="9">
        <v>4813</v>
      </c>
      <c r="F12770" s="19">
        <v>1</v>
      </c>
      <c r="G12770" t="s" s="11">
        <v>287</v>
      </c>
      <c r="H12770" t="s" s="10">
        <v>158</v>
      </c>
      <c r="I12770" t="s" s="11">
        <v>287</v>
      </c>
      <c r="J12770" t="s" s="11">
        <v>20</v>
      </c>
      <c r="K12770" s="15"/>
      <c r="L12770" t="s" s="16">
        <f>HYPERLINK("http://csr.bu.edu/ftp/asl/asllvd/demos/verify_start_end_handshape_annotations//test_auto_move//signs_mov_separ_signers/Naomi_3005.mov","MOV")</f>
        <v>21</v>
      </c>
      <c r="M12770" t="s" s="10">
        <v>29</v>
      </c>
      <c r="N12770" s="17">
        <v>29</v>
      </c>
      <c r="O12770" s="18">
        <v>620</v>
      </c>
      <c r="P12770" s="18">
        <v>657</v>
      </c>
      <c r="Q12770" s="15"/>
      <c r="R12770" t="s" s="16">
        <f>HYPERLINK("http://secrets.rutgers.edu:8080/data/asl-ftp/asllvd/demos/verify_start_end_handshape_annotations//test_auto_move//signs_mov_separ_signers/Naomi_3005.mov","MOV")</f>
        <v>21</v>
      </c>
    </row>
    <row r="12771" s="2" customFormat="1" ht="13.5" customHeight="1">
      <c r="B12771" t="s" s="8">
        <v>52</v>
      </c>
      <c r="C12771" t="s" s="9">
        <v>53</v>
      </c>
      <c r="D12771" t="s" s="8">
        <v>53</v>
      </c>
      <c r="E12771" t="s" s="9">
        <v>53</v>
      </c>
      <c r="F12771" t="s" s="10">
        <v>53</v>
      </c>
      <c r="G12771" t="s" s="11">
        <v>53</v>
      </c>
      <c r="H12771" t="s" s="10">
        <v>53</v>
      </c>
      <c r="I12771" t="s" s="11">
        <v>53</v>
      </c>
      <c r="J12771" t="s" s="11">
        <v>53</v>
      </c>
      <c r="K12771" t="s" s="12">
        <v>53</v>
      </c>
      <c r="L12771" t="s" s="12">
        <v>53</v>
      </c>
      <c r="M12771" t="s" s="10">
        <v>53</v>
      </c>
      <c r="N12771" t="s" s="11">
        <v>53</v>
      </c>
      <c r="O12771" t="s" s="8">
        <v>53</v>
      </c>
      <c r="P12771" t="s" s="8">
        <v>53</v>
      </c>
      <c r="Q12771" t="s" s="12">
        <v>53</v>
      </c>
      <c r="R12771" t="s" s="12">
        <v>53</v>
      </c>
    </row>
    <row r="12772" s="2" customFormat="1" ht="13.5" customHeight="1">
      <c r="B12772" s="13"/>
      <c r="C12772" t="s" s="9">
        <v>16</v>
      </c>
      <c r="D12772" t="s" s="8">
        <v>4813</v>
      </c>
      <c r="E12772" t="s" s="9">
        <v>4814</v>
      </c>
      <c r="F12772" s="19">
        <v>1</v>
      </c>
      <c r="G12772" s="14"/>
      <c r="H12772" t="s" s="10">
        <v>136</v>
      </c>
      <c r="I12772" s="14"/>
      <c r="J12772" t="s" s="11">
        <v>20</v>
      </c>
      <c r="K12772" t="s" s="16">
        <f>HYPERLINK("http://csr.bu.edu/ftp/asl/asllvd/demos/verify_start_end_handshape_annotations//test_auto_move//signs_mov/5621.mov","MOV")</f>
        <v>21</v>
      </c>
      <c r="L12772" t="s" s="16">
        <f>HYPERLINK("http://csr.bu.edu/ftp/asl/asllvd/demos/verify_start_end_handshape_annotations//test_auto_move//signs_mov_separ_signers/Liz_5621.mov","MOV")</f>
        <v>21</v>
      </c>
      <c r="M12772" t="s" s="10">
        <v>22</v>
      </c>
      <c r="N12772" s="17">
        <v>45</v>
      </c>
      <c r="O12772" s="18">
        <v>285</v>
      </c>
      <c r="P12772" s="18">
        <v>345</v>
      </c>
      <c r="Q12772" t="s" s="16">
        <f>HYPERLINK("http://secrets.rutgers.edu:8080/data/asl-ftp/asllvd/demos/verify_start_end_handshape_annotations//test_auto_move//signs_mov/5621.mov","MOV")</f>
        <v>21</v>
      </c>
      <c r="R12772" t="s" s="16">
        <f>HYPERLINK("http://secrets.rutgers.edu:8080/data/asl-ftp/asllvd/demos/verify_start_end_handshape_annotations//test_auto_move//signs_mov_separ_signers/Liz_5621.mov","MOV")</f>
        <v>21</v>
      </c>
    </row>
    <row r="12773" s="2" customFormat="1" ht="13.5" customHeight="1">
      <c r="B12773" s="13"/>
      <c r="C12773" t="s" s="9">
        <v>30</v>
      </c>
      <c r="D12773" t="s" s="8">
        <v>4813</v>
      </c>
      <c r="E12773" t="s" s="9">
        <v>4814</v>
      </c>
      <c r="F12773" s="19">
        <v>1</v>
      </c>
      <c r="G12773" s="14"/>
      <c r="H12773" t="s" s="10">
        <v>136</v>
      </c>
      <c r="I12773" s="14"/>
      <c r="J12773" t="s" s="11">
        <v>20</v>
      </c>
      <c r="K12773" s="15"/>
      <c r="L12773" t="s" s="16">
        <f>HYPERLINK("http://csr.bu.edu/ftp/asl/asllvd/demos/verify_start_end_handshape_annotations//test_auto_move//signs_mov_separ_signers/Brady_5621.mov","MOV")</f>
        <v>21</v>
      </c>
      <c r="M12773" t="s" s="10">
        <v>39</v>
      </c>
      <c r="N12773" s="17">
        <v>3</v>
      </c>
      <c r="O12773" s="18">
        <v>384</v>
      </c>
      <c r="P12773" s="18">
        <v>423</v>
      </c>
      <c r="Q12773" s="15"/>
      <c r="R12773" t="s" s="16">
        <f>HYPERLINK("http://secrets.rutgers.edu:8080/data/asl-ftp/asllvd/demos/verify_start_end_handshape_annotations//test_auto_move//signs_mov_separ_signers/Brady_5621.mov","MOV")</f>
        <v>21</v>
      </c>
    </row>
    <row r="12774" s="2" customFormat="1" ht="13.5" customHeight="1">
      <c r="B12774" t="s" s="8">
        <v>4815</v>
      </c>
      <c r="C12774" t="s" s="9">
        <v>14</v>
      </c>
      <c r="D12774" t="s" s="8">
        <v>14</v>
      </c>
      <c r="E12774" t="s" s="9">
        <v>14</v>
      </c>
      <c r="F12774" t="s" s="10">
        <v>14</v>
      </c>
      <c r="G12774" t="s" s="11">
        <v>14</v>
      </c>
      <c r="H12774" t="s" s="10">
        <v>14</v>
      </c>
      <c r="I12774" t="s" s="11">
        <v>14</v>
      </c>
      <c r="J12774" t="s" s="11">
        <v>14</v>
      </c>
      <c r="K12774" t="s" s="12">
        <v>14</v>
      </c>
      <c r="L12774" t="s" s="12">
        <v>14</v>
      </c>
      <c r="M12774" t="s" s="10">
        <v>14</v>
      </c>
      <c r="N12774" t="s" s="11">
        <v>14</v>
      </c>
      <c r="O12774" t="s" s="8">
        <v>14</v>
      </c>
      <c r="P12774" t="s" s="8">
        <v>14</v>
      </c>
      <c r="Q12774" t="s" s="12">
        <v>14</v>
      </c>
      <c r="R12774" t="s" s="12">
        <v>14</v>
      </c>
    </row>
    <row r="12775" s="2" customFormat="1" ht="13.5" customHeight="1">
      <c r="B12775" s="13"/>
      <c r="C12775" t="s" s="9">
        <v>16</v>
      </c>
      <c r="D12775" t="s" s="8">
        <v>4815</v>
      </c>
      <c r="E12775" t="s" s="9">
        <v>4815</v>
      </c>
      <c r="F12775" s="19">
        <v>25</v>
      </c>
      <c r="G12775" t="s" s="11">
        <v>73</v>
      </c>
      <c r="H12775" t="s" s="10">
        <v>73</v>
      </c>
      <c r="I12775" t="s" s="11">
        <v>73</v>
      </c>
      <c r="J12775" t="s" s="11">
        <v>20</v>
      </c>
      <c r="K12775" t="s" s="16">
        <f>HYPERLINK("http://csr.bu.edu/ftp/asl/asllvd/demos/verify_start_end_handshape_annotations//test_auto_move//signs_mov/3015.mov","MOV")</f>
        <v>21</v>
      </c>
      <c r="L12775" t="s" s="16">
        <f>HYPERLINK("http://csr.bu.edu/ftp/asl/asllvd/demos/verify_start_end_handshape_annotations//test_auto_move//signs_mov_separ_signers/Liz_3015.mov","MOV")</f>
        <v>21</v>
      </c>
      <c r="M12775" t="s" s="10">
        <v>22</v>
      </c>
      <c r="N12775" s="17">
        <v>76</v>
      </c>
      <c r="O12775" s="18">
        <v>893</v>
      </c>
      <c r="P12775" s="18">
        <v>970</v>
      </c>
      <c r="Q12775" t="s" s="16">
        <f>HYPERLINK("http://secrets.rutgers.edu:8080/data/asl-ftp/asllvd/demos/verify_start_end_handshape_annotations//test_auto_move//signs_mov/3015.mov","MOV")</f>
        <v>21</v>
      </c>
      <c r="R12775" t="s" s="16">
        <f>HYPERLINK("http://secrets.rutgers.edu:8080/data/asl-ftp/asllvd/demos/verify_start_end_handshape_annotations//test_auto_move//signs_mov_separ_signers/Liz_3015.mov","MOV")</f>
        <v>21</v>
      </c>
    </row>
    <row r="12776" s="2" customFormat="1" ht="13.5" customHeight="1">
      <c r="B12776" s="13"/>
      <c r="C12776" t="s" s="9">
        <v>27</v>
      </c>
      <c r="D12776" t="s" s="8">
        <v>4815</v>
      </c>
      <c r="E12776" t="s" s="9">
        <v>4815</v>
      </c>
      <c r="F12776" s="19">
        <v>25</v>
      </c>
      <c r="G12776" t="s" s="11">
        <v>73</v>
      </c>
      <c r="H12776" t="s" s="10">
        <v>73</v>
      </c>
      <c r="I12776" t="s" s="11">
        <v>73</v>
      </c>
      <c r="J12776" t="s" s="11">
        <v>20</v>
      </c>
      <c r="K12776" s="15"/>
      <c r="L12776" t="s" s="16">
        <f>HYPERLINK("http://csr.bu.edu/ftp/asl/asllvd/demos/verify_start_end_handshape_annotations//test_auto_move//signs_mov_separ_signers/Naomi_3015.mov","MOV")</f>
        <v>21</v>
      </c>
      <c r="M12776" t="s" s="10">
        <v>29</v>
      </c>
      <c r="N12776" s="17">
        <v>48</v>
      </c>
      <c r="O12776" s="18">
        <v>1648</v>
      </c>
      <c r="P12776" s="18">
        <v>1702</v>
      </c>
      <c r="Q12776" s="15"/>
      <c r="R12776" t="s" s="16">
        <f>HYPERLINK("http://secrets.rutgers.edu:8080/data/asl-ftp/asllvd/demos/verify_start_end_handshape_annotations//test_auto_move//signs_mov_separ_signers/Naomi_3015.mov","MOV")</f>
        <v>21</v>
      </c>
    </row>
    <row r="12777" s="2" customFormat="1" ht="13.5" customHeight="1">
      <c r="B12777" t="s" s="8">
        <v>4816</v>
      </c>
      <c r="C12777" t="s" s="9">
        <v>14</v>
      </c>
      <c r="D12777" t="s" s="8">
        <v>14</v>
      </c>
      <c r="E12777" t="s" s="9">
        <v>14</v>
      </c>
      <c r="F12777" t="s" s="10">
        <v>14</v>
      </c>
      <c r="G12777" t="s" s="11">
        <v>14</v>
      </c>
      <c r="H12777" t="s" s="10">
        <v>14</v>
      </c>
      <c r="I12777" t="s" s="11">
        <v>14</v>
      </c>
      <c r="J12777" t="s" s="11">
        <v>14</v>
      </c>
      <c r="K12777" t="s" s="12">
        <v>14</v>
      </c>
      <c r="L12777" t="s" s="12">
        <v>14</v>
      </c>
      <c r="M12777" t="s" s="10">
        <v>14</v>
      </c>
      <c r="N12777" t="s" s="11">
        <v>14</v>
      </c>
      <c r="O12777" t="s" s="8">
        <v>14</v>
      </c>
      <c r="P12777" t="s" s="8">
        <v>14</v>
      </c>
      <c r="Q12777" t="s" s="12">
        <v>14</v>
      </c>
      <c r="R12777" t="s" s="12">
        <v>14</v>
      </c>
    </row>
    <row r="12778" s="2" customFormat="1" ht="13.5" customHeight="1">
      <c r="B12778" s="13"/>
      <c r="C12778" t="s" s="9">
        <v>23</v>
      </c>
      <c r="D12778" t="s" s="8">
        <v>4817</v>
      </c>
      <c r="E12778" t="s" s="9">
        <v>4818</v>
      </c>
      <c r="F12778" t="s" s="10">
        <v>185</v>
      </c>
      <c r="G12778" t="s" s="11">
        <v>73</v>
      </c>
      <c r="H12778" s="19">
        <v>1</v>
      </c>
      <c r="I12778" t="s" s="11">
        <v>73</v>
      </c>
      <c r="J12778" t="s" s="11">
        <v>20</v>
      </c>
      <c r="K12778" t="s" s="16">
        <f>HYPERLINK("http://csr.bu.edu/ftp/asl/asllvd/demos/verify_start_end_handshape_annotations//test_auto_move//signs_mov/3022.mov","MOV")</f>
        <v>21</v>
      </c>
      <c r="L12778" t="s" s="16">
        <f>HYPERLINK("http://csr.bu.edu/ftp/asl/asllvd/demos/verify_start_end_handshape_annotations//test_auto_move//signs_mov_separ_signers/Tyler_3022.mov","MOV")</f>
        <v>21</v>
      </c>
      <c r="M12778" t="s" s="10">
        <v>125</v>
      </c>
      <c r="N12778" s="17">
        <v>15</v>
      </c>
      <c r="O12778" s="18">
        <v>1951</v>
      </c>
      <c r="P12778" s="18">
        <v>2016</v>
      </c>
      <c r="Q12778" t="s" s="16">
        <f>HYPERLINK("http://secrets.rutgers.edu:8080/data/asl-ftp/asllvd/demos/verify_start_end_handshape_annotations//test_auto_move//signs_mov/3022.mov","MOV")</f>
        <v>21</v>
      </c>
      <c r="R12778" t="s" s="16">
        <f>HYPERLINK("http://secrets.rutgers.edu:8080/data/asl-ftp/asllvd/demos/verify_start_end_handshape_annotations//test_auto_move//signs_mov_separ_signers/Tyler_3022.mov","MOV")</f>
        <v>21</v>
      </c>
    </row>
    <row r="12779" s="2" customFormat="1" ht="13.5" customHeight="1">
      <c r="B12779" s="13"/>
      <c r="C12779" t="s" s="9">
        <v>30</v>
      </c>
      <c r="D12779" t="s" s="8">
        <v>4817</v>
      </c>
      <c r="E12779" t="s" s="9">
        <v>4819</v>
      </c>
      <c r="F12779" t="s" s="10">
        <v>185</v>
      </c>
      <c r="G12779" t="s" s="11">
        <v>73</v>
      </c>
      <c r="H12779" s="19">
        <v>1</v>
      </c>
      <c r="I12779" t="s" s="11">
        <v>73</v>
      </c>
      <c r="J12779" t="s" s="11">
        <v>20</v>
      </c>
      <c r="K12779" s="15"/>
      <c r="L12779" t="s" s="16">
        <f>HYPERLINK("http://csr.bu.edu/ftp/asl/asllvd/demos/verify_start_end_handshape_annotations//test_auto_move//signs_mov_separ_signers/Brady_3022.mov","MOV")</f>
        <v>21</v>
      </c>
      <c r="M12779" t="s" s="10">
        <v>39</v>
      </c>
      <c r="N12779" s="17">
        <v>4</v>
      </c>
      <c r="O12779" s="18">
        <v>560</v>
      </c>
      <c r="P12779" s="18">
        <v>609</v>
      </c>
      <c r="Q12779" s="15"/>
      <c r="R12779" t="s" s="16">
        <f>HYPERLINK("http://secrets.rutgers.edu:8080/data/asl-ftp/asllvd/demos/verify_start_end_handshape_annotations//test_auto_move//signs_mov_separ_signers/Brady_3022.mov","MOV")</f>
        <v>21</v>
      </c>
    </row>
    <row r="12780" s="2" customFormat="1" ht="13.5" customHeight="1">
      <c r="B12780" t="s" s="8">
        <v>4820</v>
      </c>
      <c r="C12780" t="s" s="9">
        <v>14</v>
      </c>
      <c r="D12780" t="s" s="8">
        <v>14</v>
      </c>
      <c r="E12780" t="s" s="9">
        <v>14</v>
      </c>
      <c r="F12780" t="s" s="10">
        <v>14</v>
      </c>
      <c r="G12780" t="s" s="11">
        <v>14</v>
      </c>
      <c r="H12780" t="s" s="10">
        <v>14</v>
      </c>
      <c r="I12780" t="s" s="11">
        <v>14</v>
      </c>
      <c r="J12780" t="s" s="11">
        <v>14</v>
      </c>
      <c r="K12780" t="s" s="12">
        <v>14</v>
      </c>
      <c r="L12780" t="s" s="12">
        <v>14</v>
      </c>
      <c r="M12780" t="s" s="10">
        <v>14</v>
      </c>
      <c r="N12780" t="s" s="11">
        <v>14</v>
      </c>
      <c r="O12780" t="s" s="8">
        <v>14</v>
      </c>
      <c r="P12780" t="s" s="8">
        <v>14</v>
      </c>
      <c r="Q12780" t="s" s="12">
        <v>14</v>
      </c>
      <c r="R12780" t="s" s="12">
        <v>14</v>
      </c>
    </row>
    <row r="12781" s="2" customFormat="1" ht="13.5" customHeight="1">
      <c r="B12781" s="13"/>
      <c r="C12781" t="s" s="9">
        <v>16</v>
      </c>
      <c r="D12781" t="s" s="8">
        <v>4821</v>
      </c>
      <c r="E12781" t="s" s="9">
        <v>4821</v>
      </c>
      <c r="F12781" t="s" s="10">
        <v>25</v>
      </c>
      <c r="G12781" t="s" s="11">
        <v>73</v>
      </c>
      <c r="H12781" t="s" s="10">
        <v>73</v>
      </c>
      <c r="I12781" t="s" s="11">
        <v>73</v>
      </c>
      <c r="J12781" t="s" s="11">
        <v>20</v>
      </c>
      <c r="K12781" t="s" s="16">
        <f>HYPERLINK("http://csr.bu.edu/ftp/asl/asllvd/demos/verify_start_end_handshape_annotations//test_auto_move//signs_mov/3029.mov","MOV")</f>
        <v>21</v>
      </c>
      <c r="L12781" t="s" s="16">
        <f>HYPERLINK("http://csr.bu.edu/ftp/asl/asllvd/demos/verify_start_end_handshape_annotations//test_auto_move//signs_mov_separ_signers/Liz_3029.mov","MOV")</f>
        <v>21</v>
      </c>
      <c r="M12781" t="s" s="10">
        <v>34</v>
      </c>
      <c r="N12781" s="17">
        <v>55</v>
      </c>
      <c r="O12781" s="18">
        <v>2812</v>
      </c>
      <c r="P12781" s="18">
        <v>2893</v>
      </c>
      <c r="Q12781" t="s" s="16">
        <f>HYPERLINK("http://secrets.rutgers.edu:8080/data/asl-ftp/asllvd/demos/verify_start_end_handshape_annotations//test_auto_move//signs_mov/3029.mov","MOV")</f>
        <v>21</v>
      </c>
      <c r="R12781" t="s" s="16">
        <f>HYPERLINK("http://secrets.rutgers.edu:8080/data/asl-ftp/asllvd/demos/verify_start_end_handshape_annotations//test_auto_move//signs_mov_separ_signers/Liz_3029.mov","MOV")</f>
        <v>21</v>
      </c>
    </row>
    <row r="12782" s="2" customFormat="1" ht="13.5" customHeight="1">
      <c r="B12782" s="13"/>
      <c r="C12782" t="s" s="9">
        <v>27</v>
      </c>
      <c r="D12782" t="s" s="8">
        <v>4821</v>
      </c>
      <c r="E12782" t="s" s="9">
        <v>4821</v>
      </c>
      <c r="F12782" t="s" s="10">
        <v>25</v>
      </c>
      <c r="G12782" t="s" s="11">
        <v>73</v>
      </c>
      <c r="H12782" t="s" s="10">
        <v>73</v>
      </c>
      <c r="I12782" t="s" s="11">
        <v>73</v>
      </c>
      <c r="J12782" t="s" s="11">
        <v>20</v>
      </c>
      <c r="K12782" s="15"/>
      <c r="L12782" t="s" s="16">
        <f>HYPERLINK("http://csr.bu.edu/ftp/asl/asllvd/demos/verify_start_end_handshape_annotations//test_auto_move//signs_mov_separ_signers/Naomi_3029.mov","MOV")</f>
        <v>21</v>
      </c>
      <c r="M12782" t="s" s="10">
        <v>48</v>
      </c>
      <c r="N12782" s="17">
        <v>10</v>
      </c>
      <c r="O12782" s="18">
        <v>3570</v>
      </c>
      <c r="P12782" s="18">
        <v>3626</v>
      </c>
      <c r="Q12782" s="15"/>
      <c r="R12782" t="s" s="16">
        <f>HYPERLINK("http://secrets.rutgers.edu:8080/data/asl-ftp/asllvd/demos/verify_start_end_handshape_annotations//test_auto_move//signs_mov_separ_signers/Naomi_3029.mov","MOV")</f>
        <v>21</v>
      </c>
    </row>
    <row r="12783" s="2" customFormat="1" ht="13.5" customHeight="1">
      <c r="B12783" t="s" s="8">
        <v>4822</v>
      </c>
      <c r="C12783" t="s" s="9">
        <v>14</v>
      </c>
      <c r="D12783" t="s" s="8">
        <v>14</v>
      </c>
      <c r="E12783" t="s" s="9">
        <v>14</v>
      </c>
      <c r="F12783" t="s" s="10">
        <v>14</v>
      </c>
      <c r="G12783" t="s" s="11">
        <v>14</v>
      </c>
      <c r="H12783" t="s" s="10">
        <v>14</v>
      </c>
      <c r="I12783" t="s" s="11">
        <v>14</v>
      </c>
      <c r="J12783" t="s" s="11">
        <v>14</v>
      </c>
      <c r="K12783" t="s" s="12">
        <v>14</v>
      </c>
      <c r="L12783" t="s" s="12">
        <v>14</v>
      </c>
      <c r="M12783" t="s" s="10">
        <v>14</v>
      </c>
      <c r="N12783" t="s" s="11">
        <v>14</v>
      </c>
      <c r="O12783" t="s" s="8">
        <v>14</v>
      </c>
      <c r="P12783" t="s" s="8">
        <v>14</v>
      </c>
      <c r="Q12783" t="s" s="12">
        <v>14</v>
      </c>
      <c r="R12783" t="s" s="12">
        <v>14</v>
      </c>
    </row>
    <row r="12784" s="2" customFormat="1" ht="13.5" customHeight="1">
      <c r="B12784" s="13"/>
      <c r="C12784" t="s" s="9">
        <v>16</v>
      </c>
      <c r="D12784" t="s" s="8">
        <v>4822</v>
      </c>
      <c r="E12784" t="s" s="9">
        <v>4822</v>
      </c>
      <c r="F12784" t="s" s="10">
        <v>229</v>
      </c>
      <c r="G12784" t="s" s="11">
        <v>229</v>
      </c>
      <c r="H12784" t="s" s="10">
        <v>73</v>
      </c>
      <c r="I12784" t="s" s="11">
        <v>73</v>
      </c>
      <c r="J12784" t="s" s="11">
        <v>20</v>
      </c>
      <c r="K12784" s="15"/>
      <c r="L12784" t="s" s="16">
        <f>HYPERLINK("http://csr.bu.edu/ftp/asl/asllvd/demos/verify_start_end_handshape_annotations//test_auto_move//signs_mov_separ_signers/Liz_3031.mov","MOV")</f>
        <v>21</v>
      </c>
      <c r="M12784" t="s" s="10">
        <v>36</v>
      </c>
      <c r="N12784" s="17">
        <v>53</v>
      </c>
      <c r="O12784" s="18">
        <v>2401</v>
      </c>
      <c r="P12784" s="18">
        <v>2453</v>
      </c>
      <c r="Q12784" s="15"/>
      <c r="R12784" t="s" s="16">
        <f>HYPERLINK("http://secrets.rutgers.edu:8080/data/asl-ftp/asllvd/demos/verify_start_end_handshape_annotations//test_auto_move//signs_mov_separ_signers/Liz_3031.mov","MOV")</f>
        <v>21</v>
      </c>
    </row>
    <row r="12785" s="2" customFormat="1" ht="13.5" customHeight="1">
      <c r="B12785" s="13"/>
      <c r="C12785" t="s" s="9">
        <v>23</v>
      </c>
      <c r="D12785" t="s" s="8">
        <v>4822</v>
      </c>
      <c r="E12785" t="s" s="9">
        <v>4822</v>
      </c>
      <c r="F12785" t="s" s="10">
        <v>220</v>
      </c>
      <c r="G12785" t="s" s="11">
        <v>220</v>
      </c>
      <c r="H12785" t="s" s="10">
        <v>73</v>
      </c>
      <c r="I12785" t="s" s="11">
        <v>73</v>
      </c>
      <c r="J12785" t="s" s="11">
        <v>20</v>
      </c>
      <c r="K12785" t="s" s="16">
        <f>HYPERLINK("http://csr.bu.edu/ftp/asl/asllvd/demos/verify_start_end_handshape_annotations//test_auto_move//signs_mov/3031.mov","MOV")</f>
        <v>21</v>
      </c>
      <c r="L12785" t="s" s="16">
        <f>HYPERLINK("http://csr.bu.edu/ftp/asl/asllvd/demos/verify_start_end_handshape_annotations//test_auto_move//signs_mov_separ_signers/Tyler_3031.mov","MOV")</f>
        <v>21</v>
      </c>
      <c r="M12785" t="s" s="10">
        <v>92</v>
      </c>
      <c r="N12785" s="17">
        <v>43</v>
      </c>
      <c r="O12785" s="18">
        <v>310</v>
      </c>
      <c r="P12785" s="18">
        <v>365</v>
      </c>
      <c r="Q12785" t="s" s="16">
        <f>HYPERLINK("http://secrets.rutgers.edu:8080/data/asl-ftp/asllvd/demos/verify_start_end_handshape_annotations//test_auto_move//signs_mov/3031.mov","MOV")</f>
        <v>21</v>
      </c>
      <c r="R12785" t="s" s="16">
        <f>HYPERLINK("http://secrets.rutgers.edu:8080/data/asl-ftp/asllvd/demos/verify_start_end_handshape_annotations//test_auto_move//signs_mov_separ_signers/Tyler_3031.mov","MOV")</f>
        <v>21</v>
      </c>
    </row>
    <row r="12786" s="2" customFormat="1" ht="13.5" customHeight="1">
      <c r="B12786" s="13"/>
      <c r="C12786" t="s" s="9">
        <v>30</v>
      </c>
      <c r="D12786" t="s" s="8">
        <v>4822</v>
      </c>
      <c r="E12786" t="s" s="9">
        <v>4822</v>
      </c>
      <c r="F12786" t="s" s="10">
        <v>220</v>
      </c>
      <c r="G12786" t="s" s="11">
        <v>220</v>
      </c>
      <c r="H12786" t="s" s="10">
        <v>73</v>
      </c>
      <c r="I12786" t="s" s="11">
        <v>73</v>
      </c>
      <c r="J12786" t="s" s="11">
        <v>20</v>
      </c>
      <c r="K12786" s="15"/>
      <c r="L12786" t="s" s="16">
        <f>HYPERLINK("http://csr.bu.edu/ftp/asl/asllvd/demos/verify_start_end_handshape_annotations//test_auto_move//signs_mov_separ_signers/Brady_3031.mov","MOV")</f>
        <v>21</v>
      </c>
      <c r="M12786" t="s" s="10">
        <v>40</v>
      </c>
      <c r="N12786" s="17">
        <v>105</v>
      </c>
      <c r="O12786" s="18">
        <v>1980</v>
      </c>
      <c r="P12786" s="18">
        <v>2014</v>
      </c>
      <c r="Q12786" s="15"/>
      <c r="R12786" t="s" s="16">
        <f>HYPERLINK("http://secrets.rutgers.edu:8080/data/asl-ftp/asllvd/demos/verify_start_end_handshape_annotations//test_auto_move//signs_mov_separ_signers/Brady_3031.mov","MOV")</f>
        <v>21</v>
      </c>
    </row>
    <row r="12787" s="2" customFormat="1" ht="13.5" customHeight="1">
      <c r="B12787" t="s" s="8">
        <v>4823</v>
      </c>
      <c r="C12787" t="s" s="9">
        <v>14</v>
      </c>
      <c r="D12787" t="s" s="8">
        <v>14</v>
      </c>
      <c r="E12787" t="s" s="9">
        <v>14</v>
      </c>
      <c r="F12787" t="s" s="10">
        <v>14</v>
      </c>
      <c r="G12787" t="s" s="11">
        <v>14</v>
      </c>
      <c r="H12787" t="s" s="10">
        <v>14</v>
      </c>
      <c r="I12787" t="s" s="11">
        <v>14</v>
      </c>
      <c r="J12787" t="s" s="11">
        <v>14</v>
      </c>
      <c r="K12787" t="s" s="12">
        <v>14</v>
      </c>
      <c r="L12787" t="s" s="12">
        <v>14</v>
      </c>
      <c r="M12787" t="s" s="10">
        <v>14</v>
      </c>
      <c r="N12787" t="s" s="11">
        <v>14</v>
      </c>
      <c r="O12787" t="s" s="8">
        <v>14</v>
      </c>
      <c r="P12787" t="s" s="8">
        <v>14</v>
      </c>
      <c r="Q12787" t="s" s="12">
        <v>14</v>
      </c>
      <c r="R12787" t="s" s="12">
        <v>14</v>
      </c>
    </row>
    <row r="12788" s="2" customFormat="1" ht="13.5" customHeight="1">
      <c r="B12788" s="13"/>
      <c r="C12788" t="s" s="9">
        <v>23</v>
      </c>
      <c r="D12788" t="s" s="8">
        <v>4823</v>
      </c>
      <c r="E12788" t="s" s="9">
        <v>4823</v>
      </c>
      <c r="F12788" t="s" s="10">
        <v>187</v>
      </c>
      <c r="G12788" s="14"/>
      <c r="H12788" t="s" s="10">
        <v>337</v>
      </c>
      <c r="I12788" s="14"/>
      <c r="J12788" t="s" s="11">
        <v>20</v>
      </c>
      <c r="K12788" t="s" s="16">
        <f>HYPERLINK("http://csr.bu.edu/ftp/asl/asllvd/demos/verify_start_end_handshape_annotations//test_auto_move//signs_mov/3067.mov","MOV")</f>
        <v>21</v>
      </c>
      <c r="L12788" t="s" s="16">
        <f>HYPERLINK("http://csr.bu.edu/ftp/asl/asllvd/demos/verify_start_end_handshape_annotations//test_auto_move//signs_mov_separ_signers/Tyler_3067.mov","MOV")</f>
        <v>21</v>
      </c>
      <c r="M12788" t="s" s="10">
        <v>47</v>
      </c>
      <c r="N12788" s="17">
        <v>7</v>
      </c>
      <c r="O12788" s="18">
        <v>713</v>
      </c>
      <c r="P12788" s="18">
        <v>759</v>
      </c>
      <c r="Q12788" t="s" s="16">
        <f>HYPERLINK("http://secrets.rutgers.edu:8080/data/asl-ftp/asllvd/demos/verify_start_end_handshape_annotations//test_auto_move//signs_mov/3067.mov","MOV")</f>
        <v>21</v>
      </c>
      <c r="R12788" t="s" s="16">
        <f>HYPERLINK("http://secrets.rutgers.edu:8080/data/asl-ftp/asllvd/demos/verify_start_end_handshape_annotations//test_auto_move//signs_mov_separ_signers/Tyler_3067.mov","MOV")</f>
        <v>21</v>
      </c>
    </row>
    <row r="12789" s="2" customFormat="1" ht="13.5" customHeight="1">
      <c r="B12789" s="13"/>
      <c r="C12789" t="s" s="9">
        <v>30</v>
      </c>
      <c r="D12789" t="s" s="8">
        <v>4823</v>
      </c>
      <c r="E12789" t="s" s="9">
        <v>4823</v>
      </c>
      <c r="F12789" t="s" s="10">
        <v>187</v>
      </c>
      <c r="G12789" s="14"/>
      <c r="H12789" t="s" s="10">
        <v>337</v>
      </c>
      <c r="I12789" s="14"/>
      <c r="J12789" t="s" s="11">
        <v>20</v>
      </c>
      <c r="K12789" s="15"/>
      <c r="L12789" t="s" s="16">
        <f>HYPERLINK("http://csr.bu.edu/ftp/asl/asllvd/demos/verify_start_end_handshape_annotations//test_auto_move//signs_mov_separ_signers/Brady_3067.mov","MOV")</f>
        <v>21</v>
      </c>
      <c r="M12789" t="s" s="10">
        <v>39</v>
      </c>
      <c r="N12789" s="17">
        <v>52</v>
      </c>
      <c r="O12789" s="18">
        <v>7561</v>
      </c>
      <c r="P12789" s="18">
        <v>7603</v>
      </c>
      <c r="Q12789" s="15"/>
      <c r="R12789" t="s" s="16">
        <f>HYPERLINK("http://secrets.rutgers.edu:8080/data/asl-ftp/asllvd/demos/verify_start_end_handshape_annotations//test_auto_move//signs_mov_separ_signers/Brady_3067.mov","MOV")</f>
        <v>21</v>
      </c>
    </row>
    <row r="12790" s="2" customFormat="1" ht="13.5" customHeight="1">
      <c r="B12790" t="s" s="8">
        <v>4824</v>
      </c>
      <c r="C12790" t="s" s="9">
        <v>14</v>
      </c>
      <c r="D12790" t="s" s="8">
        <v>14</v>
      </c>
      <c r="E12790" t="s" s="9">
        <v>14</v>
      </c>
      <c r="F12790" t="s" s="10">
        <v>14</v>
      </c>
      <c r="G12790" t="s" s="11">
        <v>14</v>
      </c>
      <c r="H12790" t="s" s="10">
        <v>14</v>
      </c>
      <c r="I12790" t="s" s="11">
        <v>14</v>
      </c>
      <c r="J12790" t="s" s="11">
        <v>14</v>
      </c>
      <c r="K12790" t="s" s="12">
        <v>14</v>
      </c>
      <c r="L12790" t="s" s="12">
        <v>14</v>
      </c>
      <c r="M12790" t="s" s="10">
        <v>14</v>
      </c>
      <c r="N12790" t="s" s="11">
        <v>14</v>
      </c>
      <c r="O12790" t="s" s="8">
        <v>14</v>
      </c>
      <c r="P12790" t="s" s="8">
        <v>14</v>
      </c>
      <c r="Q12790" t="s" s="12">
        <v>14</v>
      </c>
      <c r="R12790" t="s" s="12">
        <v>14</v>
      </c>
    </row>
    <row r="12791" s="2" customFormat="1" ht="13.5" customHeight="1">
      <c r="B12791" s="13"/>
      <c r="C12791" t="s" s="9">
        <v>23</v>
      </c>
      <c r="D12791" t="s" s="8">
        <v>4824</v>
      </c>
      <c r="E12791" t="s" s="9">
        <v>4824</v>
      </c>
      <c r="F12791" t="s" s="10">
        <v>406</v>
      </c>
      <c r="G12791" t="s" s="11">
        <v>63</v>
      </c>
      <c r="H12791" s="19">
        <v>10</v>
      </c>
      <c r="I12791" t="s" s="11">
        <v>63</v>
      </c>
      <c r="J12791" t="s" s="11">
        <v>20</v>
      </c>
      <c r="K12791" t="s" s="16">
        <f>HYPERLINK("http://csr.bu.edu/ftp/asl/asllvd/demos/verify_start_end_handshape_annotations//test_auto_move//signs_mov/3085.mov","MOV")</f>
        <v>21</v>
      </c>
      <c r="L12791" t="s" s="16">
        <f>HYPERLINK("http://csr.bu.edu/ftp/asl/asllvd/demos/verify_start_end_handshape_annotations//test_auto_move//signs_mov_separ_signers/Tyler_3085.mov","MOV")</f>
        <v>21</v>
      </c>
      <c r="M12791" t="s" s="10">
        <v>26</v>
      </c>
      <c r="N12791" s="17">
        <v>43</v>
      </c>
      <c r="O12791" s="18">
        <v>585</v>
      </c>
      <c r="P12791" s="18">
        <v>652</v>
      </c>
      <c r="Q12791" t="s" s="16">
        <f>HYPERLINK("http://secrets.rutgers.edu:8080/data/asl-ftp/asllvd/demos/verify_start_end_handshape_annotations//test_auto_move//signs_mov/3085.mov","MOV")</f>
        <v>21</v>
      </c>
      <c r="R12791" t="s" s="16">
        <f>HYPERLINK("http://secrets.rutgers.edu:8080/data/asl-ftp/asllvd/demos/verify_start_end_handshape_annotations//test_auto_move//signs_mov_separ_signers/Tyler_3085.mov","MOV")</f>
        <v>21</v>
      </c>
    </row>
    <row r="12792" s="2" customFormat="1" ht="13.5" customHeight="1">
      <c r="B12792" t="s" s="8">
        <v>4825</v>
      </c>
      <c r="C12792" t="s" s="9">
        <v>14</v>
      </c>
      <c r="D12792" t="s" s="8">
        <v>14</v>
      </c>
      <c r="E12792" t="s" s="9">
        <v>14</v>
      </c>
      <c r="F12792" t="s" s="10">
        <v>14</v>
      </c>
      <c r="G12792" t="s" s="11">
        <v>14</v>
      </c>
      <c r="H12792" t="s" s="10">
        <v>14</v>
      </c>
      <c r="I12792" t="s" s="11">
        <v>14</v>
      </c>
      <c r="J12792" t="s" s="11">
        <v>14</v>
      </c>
      <c r="K12792" t="s" s="12">
        <v>14</v>
      </c>
      <c r="L12792" t="s" s="12">
        <v>14</v>
      </c>
      <c r="M12792" t="s" s="10">
        <v>14</v>
      </c>
      <c r="N12792" t="s" s="11">
        <v>14</v>
      </c>
      <c r="O12792" t="s" s="8">
        <v>14</v>
      </c>
      <c r="P12792" t="s" s="8">
        <v>14</v>
      </c>
      <c r="Q12792" t="s" s="12">
        <v>14</v>
      </c>
      <c r="R12792" t="s" s="12">
        <v>14</v>
      </c>
    </row>
    <row r="12793" s="2" customFormat="1" ht="13.5" customHeight="1">
      <c r="B12793" s="13"/>
      <c r="C12793" t="s" s="9">
        <v>16</v>
      </c>
      <c r="D12793" t="s" s="8">
        <v>4825</v>
      </c>
      <c r="E12793" t="s" s="9">
        <v>4825</v>
      </c>
      <c r="F12793" t="s" s="10">
        <v>63</v>
      </c>
      <c r="G12793" s="14"/>
      <c r="H12793" t="s" s="10">
        <v>185</v>
      </c>
      <c r="I12793" s="14"/>
      <c r="J12793" t="s" s="11">
        <v>20</v>
      </c>
      <c r="K12793" s="15"/>
      <c r="L12793" t="s" s="16">
        <f>HYPERLINK("http://csr.bu.edu/ftp/asl/asllvd/demos/verify_start_end_handshape_annotations//test_auto_move//signs_mov_separ_signers/Liz_3103.mov","MOV")</f>
        <v>21</v>
      </c>
      <c r="M12793" t="s" s="10">
        <v>22</v>
      </c>
      <c r="N12793" s="17">
        <v>4</v>
      </c>
      <c r="O12793" s="18">
        <v>3285</v>
      </c>
      <c r="P12793" s="18">
        <v>3325</v>
      </c>
      <c r="Q12793" s="15"/>
      <c r="R12793" t="s" s="16">
        <f>HYPERLINK("http://secrets.rutgers.edu:8080/data/asl-ftp/asllvd/demos/verify_start_end_handshape_annotations//test_auto_move//signs_mov_separ_signers/Liz_3103.mov","MOV")</f>
        <v>21</v>
      </c>
    </row>
    <row r="12794" s="2" customFormat="1" ht="13.5" customHeight="1">
      <c r="B12794" s="13"/>
      <c r="C12794" t="s" s="9">
        <v>23</v>
      </c>
      <c r="D12794" t="s" s="8">
        <v>4825</v>
      </c>
      <c r="E12794" t="s" s="9">
        <v>4825</v>
      </c>
      <c r="F12794" t="s" s="10">
        <v>63</v>
      </c>
      <c r="G12794" s="14"/>
      <c r="H12794" t="s" s="10">
        <v>185</v>
      </c>
      <c r="I12794" s="14"/>
      <c r="J12794" t="s" s="11">
        <v>20</v>
      </c>
      <c r="K12794" t="s" s="16">
        <f>HYPERLINK("http://csr.bu.edu/ftp/asl/asllvd/demos/verify_start_end_handshape_annotations//test_auto_move//signs_mov/3103.mov","MOV")</f>
        <v>21</v>
      </c>
      <c r="L12794" t="s" s="16">
        <f>HYPERLINK("http://csr.bu.edu/ftp/asl/asllvd/demos/verify_start_end_handshape_annotations//test_auto_move//signs_mov_separ_signers/Tyler_3103.mov","MOV")</f>
        <v>21</v>
      </c>
      <c r="M12794" t="s" s="10">
        <v>26</v>
      </c>
      <c r="N12794" s="17">
        <v>3</v>
      </c>
      <c r="O12794" s="18">
        <v>1995</v>
      </c>
      <c r="P12794" s="18">
        <v>2035</v>
      </c>
      <c r="Q12794" t="s" s="16">
        <f>HYPERLINK("http://secrets.rutgers.edu:8080/data/asl-ftp/asllvd/demos/verify_start_end_handshape_annotations//test_auto_move//signs_mov/3103.mov","MOV")</f>
        <v>21</v>
      </c>
      <c r="R12794" t="s" s="16">
        <f>HYPERLINK("http://secrets.rutgers.edu:8080/data/asl-ftp/asllvd/demos/verify_start_end_handshape_annotations//test_auto_move//signs_mov_separ_signers/Tyler_3103.mov","MOV")</f>
        <v>21</v>
      </c>
    </row>
    <row r="12795" s="2" customFormat="1" ht="13.5" customHeight="1">
      <c r="B12795" s="13"/>
      <c r="C12795" t="s" s="9">
        <v>27</v>
      </c>
      <c r="D12795" t="s" s="8">
        <v>4825</v>
      </c>
      <c r="E12795" t="s" s="9">
        <v>4825</v>
      </c>
      <c r="F12795" t="s" s="10">
        <v>63</v>
      </c>
      <c r="G12795" s="14"/>
      <c r="H12795" t="s" s="10">
        <v>185</v>
      </c>
      <c r="I12795" s="14"/>
      <c r="J12795" t="s" s="11">
        <v>20</v>
      </c>
      <c r="K12795" s="15"/>
      <c r="L12795" t="s" s="16">
        <f>HYPERLINK("http://csr.bu.edu/ftp/asl/asllvd/demos/verify_start_end_handshape_annotations//test_auto_move//signs_mov_separ_signers/Naomi_3103.mov","MOV")</f>
        <v>21</v>
      </c>
      <c r="M12795" t="s" s="10">
        <v>29</v>
      </c>
      <c r="N12795" s="17">
        <v>3</v>
      </c>
      <c r="O12795" s="18">
        <v>2382</v>
      </c>
      <c r="P12795" s="18">
        <v>2400</v>
      </c>
      <c r="Q12795" s="15"/>
      <c r="R12795" t="s" s="16">
        <f>HYPERLINK("http://secrets.rutgers.edu:8080/data/asl-ftp/asllvd/demos/verify_start_end_handshape_annotations//test_auto_move//signs_mov_separ_signers/Naomi_3103.mov","MOV")</f>
        <v>21</v>
      </c>
    </row>
    <row r="12796" s="2" customFormat="1" ht="13.5" customHeight="1">
      <c r="B12796" s="13"/>
      <c r="C12796" t="s" s="9">
        <v>30</v>
      </c>
      <c r="D12796" t="s" s="8">
        <v>4825</v>
      </c>
      <c r="E12796" t="s" s="9">
        <v>4825</v>
      </c>
      <c r="F12796" t="s" s="10">
        <v>63</v>
      </c>
      <c r="G12796" s="14"/>
      <c r="H12796" t="s" s="10">
        <v>185</v>
      </c>
      <c r="I12796" s="14"/>
      <c r="J12796" t="s" s="11">
        <v>20</v>
      </c>
      <c r="K12796" s="15"/>
      <c r="L12796" t="s" s="16">
        <f>HYPERLINK("http://csr.bu.edu/ftp/asl/asllvd/demos/verify_start_end_handshape_annotations//test_auto_move//signs_mov_separ_signers/Brady_3103.mov","MOV")</f>
        <v>21</v>
      </c>
      <c r="M12796" t="s" s="10">
        <v>60</v>
      </c>
      <c r="N12796" s="17">
        <v>37</v>
      </c>
      <c r="O12796" s="18">
        <v>332</v>
      </c>
      <c r="P12796" s="18">
        <v>353</v>
      </c>
      <c r="Q12796" s="15"/>
      <c r="R12796" t="s" s="16">
        <f>HYPERLINK("http://secrets.rutgers.edu:8080/data/asl-ftp/asllvd/demos/verify_start_end_handshape_annotations//test_auto_move//signs_mov_separ_signers/Brady_3103.mov","MOV")</f>
        <v>21</v>
      </c>
    </row>
    <row r="12797" s="2" customFormat="1" ht="13.5" customHeight="1">
      <c r="B12797" t="s" s="8">
        <v>4826</v>
      </c>
      <c r="C12797" t="s" s="9">
        <v>14</v>
      </c>
      <c r="D12797" t="s" s="8">
        <v>14</v>
      </c>
      <c r="E12797" t="s" s="9">
        <v>14</v>
      </c>
      <c r="F12797" t="s" s="10">
        <v>14</v>
      </c>
      <c r="G12797" t="s" s="11">
        <v>14</v>
      </c>
      <c r="H12797" t="s" s="10">
        <v>14</v>
      </c>
      <c r="I12797" t="s" s="11">
        <v>14</v>
      </c>
      <c r="J12797" t="s" s="11">
        <v>14</v>
      </c>
      <c r="K12797" t="s" s="12">
        <v>14</v>
      </c>
      <c r="L12797" t="s" s="12">
        <v>14</v>
      </c>
      <c r="M12797" t="s" s="10">
        <v>14</v>
      </c>
      <c r="N12797" t="s" s="11">
        <v>14</v>
      </c>
      <c r="O12797" t="s" s="8">
        <v>14</v>
      </c>
      <c r="P12797" t="s" s="8">
        <v>14</v>
      </c>
      <c r="Q12797" t="s" s="12">
        <v>14</v>
      </c>
      <c r="R12797" t="s" s="12">
        <v>14</v>
      </c>
    </row>
    <row r="12798" s="2" customFormat="1" ht="13.5" customHeight="1">
      <c r="B12798" s="13"/>
      <c r="C12798" t="s" s="9">
        <v>23</v>
      </c>
      <c r="D12798" t="s" s="8">
        <v>4826</v>
      </c>
      <c r="E12798" t="s" s="9">
        <v>4826</v>
      </c>
      <c r="F12798" t="s" s="10">
        <v>25</v>
      </c>
      <c r="G12798" s="14"/>
      <c r="H12798" t="s" s="10">
        <v>115</v>
      </c>
      <c r="I12798" s="14"/>
      <c r="J12798" t="s" s="11">
        <v>20</v>
      </c>
      <c r="K12798" t="s" s="16">
        <f>HYPERLINK("http://csr.bu.edu/ftp/asl/asllvd/demos/verify_start_end_handshape_annotations//test_auto_move//signs_mov/3106.mov","MOV")</f>
        <v>21</v>
      </c>
      <c r="L12798" t="s" s="16">
        <f>HYPERLINK("http://csr.bu.edu/ftp/asl/asllvd/demos/verify_start_end_handshape_annotations//test_auto_move//signs_mov_separ_signers/Tyler_3106.mov","MOV")</f>
        <v>21</v>
      </c>
      <c r="M12798" t="s" s="10">
        <v>37</v>
      </c>
      <c r="N12798" s="17">
        <v>16</v>
      </c>
      <c r="O12798" s="18">
        <v>1110</v>
      </c>
      <c r="P12798" s="18">
        <v>1145</v>
      </c>
      <c r="Q12798" t="s" s="16">
        <f>HYPERLINK("http://secrets.rutgers.edu:8080/data/asl-ftp/asllvd/demos/verify_start_end_handshape_annotations//test_auto_move//signs_mov/3106.mov","MOV")</f>
        <v>21</v>
      </c>
      <c r="R12798" t="s" s="16">
        <f>HYPERLINK("http://secrets.rutgers.edu:8080/data/asl-ftp/asllvd/demos/verify_start_end_handshape_annotations//test_auto_move//signs_mov_separ_signers/Tyler_3106.mov","MOV")</f>
        <v>21</v>
      </c>
    </row>
    <row r="12799" s="2" customFormat="1" ht="13.5" customHeight="1">
      <c r="B12799" t="s" s="8">
        <v>4827</v>
      </c>
      <c r="C12799" t="s" s="9">
        <v>14</v>
      </c>
      <c r="D12799" t="s" s="8">
        <v>14</v>
      </c>
      <c r="E12799" t="s" s="9">
        <v>14</v>
      </c>
      <c r="F12799" t="s" s="10">
        <v>14</v>
      </c>
      <c r="G12799" t="s" s="11">
        <v>14</v>
      </c>
      <c r="H12799" t="s" s="10">
        <v>14</v>
      </c>
      <c r="I12799" t="s" s="11">
        <v>14</v>
      </c>
      <c r="J12799" t="s" s="11">
        <v>14</v>
      </c>
      <c r="K12799" t="s" s="12">
        <v>14</v>
      </c>
      <c r="L12799" t="s" s="12">
        <v>14</v>
      </c>
      <c r="M12799" t="s" s="10">
        <v>14</v>
      </c>
      <c r="N12799" t="s" s="11">
        <v>14</v>
      </c>
      <c r="O12799" t="s" s="8">
        <v>14</v>
      </c>
      <c r="P12799" t="s" s="8">
        <v>14</v>
      </c>
      <c r="Q12799" t="s" s="12">
        <v>14</v>
      </c>
      <c r="R12799" t="s" s="12">
        <v>14</v>
      </c>
    </row>
    <row r="12800" s="2" customFormat="1" ht="13.5" customHeight="1">
      <c r="B12800" s="13"/>
      <c r="C12800" t="s" s="9">
        <v>16</v>
      </c>
      <c r="D12800" t="s" s="8">
        <v>4827</v>
      </c>
      <c r="E12800" t="s" s="9">
        <v>4827</v>
      </c>
      <c r="F12800" t="s" s="10">
        <v>406</v>
      </c>
      <c r="G12800" s="14"/>
      <c r="H12800" t="s" s="10">
        <v>18</v>
      </c>
      <c r="I12800" t="s" s="11">
        <v>18</v>
      </c>
      <c r="J12800" t="s" s="11">
        <v>20</v>
      </c>
      <c r="K12800" s="15"/>
      <c r="L12800" t="s" s="16">
        <f>HYPERLINK("http://csr.bu.edu/ftp/asl/asllvd/demos/verify_start_end_handshape_annotations//test_auto_move//signs_mov_separ_signers/Liz_3107.mov","MOV")</f>
        <v>21</v>
      </c>
      <c r="M12800" t="s" s="10">
        <v>34</v>
      </c>
      <c r="N12800" s="17">
        <v>43</v>
      </c>
      <c r="O12800" s="18">
        <v>1785</v>
      </c>
      <c r="P12800" s="18">
        <v>1861</v>
      </c>
      <c r="Q12800" s="15"/>
      <c r="R12800" t="s" s="16">
        <f>HYPERLINK("http://secrets.rutgers.edu:8080/data/asl-ftp/asllvd/demos/verify_start_end_handshape_annotations//test_auto_move//signs_mov_separ_signers/Liz_3107.mov","MOV")</f>
        <v>21</v>
      </c>
    </row>
    <row r="12801" s="2" customFormat="1" ht="13.5" customHeight="1">
      <c r="B12801" s="13"/>
      <c r="C12801" t="s" s="9">
        <v>16</v>
      </c>
      <c r="D12801" t="s" s="8">
        <v>4827</v>
      </c>
      <c r="E12801" t="s" s="9">
        <v>4827</v>
      </c>
      <c r="F12801" t="s" s="10">
        <v>2795</v>
      </c>
      <c r="G12801" t="s" s="11">
        <v>18</v>
      </c>
      <c r="H12801" t="s" s="10">
        <v>18</v>
      </c>
      <c r="I12801" t="s" s="11">
        <v>18</v>
      </c>
      <c r="J12801" t="s" s="11">
        <v>20</v>
      </c>
      <c r="K12801" t="s" s="16">
        <f>HYPERLINK("http://csr.bu.edu/ftp/asl/asllvd/demos/verify_start_end_handshape_annotations//test_auto_move//signs_mov/3107_5679_merged.mov","MOV")</f>
        <v>21</v>
      </c>
      <c r="L12801" t="s" s="16">
        <f>HYPERLINK("http://csr.bu.edu/ftp/asl/asllvd/demos/verify_start_end_handshape_annotations//test_auto_move//signs_mov_separ_signers/Liz_5679.mov","MOV")</f>
        <v>21</v>
      </c>
      <c r="M12801" t="s" s="10">
        <v>88</v>
      </c>
      <c r="N12801" s="17">
        <v>51</v>
      </c>
      <c r="O12801" s="18">
        <v>1742</v>
      </c>
      <c r="P12801" s="18">
        <v>1819</v>
      </c>
      <c r="Q12801" t="s" s="16">
        <f>HYPERLINK("http://secrets.rutgers.edu:8080/data/asl-ftp/asllvd/demos/verify_start_end_handshape_annotations//test_auto_move//signs_mov/3107_5679_merged.mov","MOV")</f>
        <v>21</v>
      </c>
      <c r="R12801" t="s" s="16">
        <f>HYPERLINK("http://secrets.rutgers.edu:8080/data/asl-ftp/asllvd/demos/verify_start_end_handshape_annotations//test_auto_move//signs_mov_separ_signers/Liz_5679.mov","MOV")</f>
        <v>21</v>
      </c>
    </row>
    <row r="12802" s="2" customFormat="1" ht="13.5" customHeight="1">
      <c r="B12802" s="13"/>
      <c r="C12802" t="s" s="9">
        <v>27</v>
      </c>
      <c r="D12802" t="s" s="8">
        <v>4827</v>
      </c>
      <c r="E12802" t="s" s="9">
        <v>4828</v>
      </c>
      <c r="F12802" t="s" s="10">
        <v>406</v>
      </c>
      <c r="G12802" s="14"/>
      <c r="H12802" t="s" s="10">
        <v>292</v>
      </c>
      <c r="I12802" t="s" s="11">
        <v>292</v>
      </c>
      <c r="J12802" t="s" s="11">
        <v>20</v>
      </c>
      <c r="K12802" s="15"/>
      <c r="L12802" t="s" s="16">
        <f>HYPERLINK("http://csr.bu.edu/ftp/asl/asllvd/demos/verify_start_end_handshape_annotations//test_auto_move//signs_mov_separ_signers/Naomi_3107.mov","MOV")</f>
        <v>21</v>
      </c>
      <c r="M12802" t="s" s="10">
        <v>38</v>
      </c>
      <c r="N12802" s="17">
        <v>36</v>
      </c>
      <c r="O12802" s="18">
        <v>1220</v>
      </c>
      <c r="P12802" s="18">
        <v>1272</v>
      </c>
      <c r="Q12802" s="15"/>
      <c r="R12802" t="s" s="16">
        <f>HYPERLINK("http://secrets.rutgers.edu:8080/data/asl-ftp/asllvd/demos/verify_start_end_handshape_annotations//test_auto_move//signs_mov_separ_signers/Naomi_3107.mov","MOV")</f>
        <v>21</v>
      </c>
    </row>
    <row r="12803" s="2" customFormat="1" ht="13.5" customHeight="1">
      <c r="B12803" s="13"/>
      <c r="C12803" t="s" s="9">
        <v>30</v>
      </c>
      <c r="D12803" t="s" s="8">
        <v>4827</v>
      </c>
      <c r="E12803" t="s" s="9">
        <v>4828</v>
      </c>
      <c r="F12803" t="s" s="10">
        <v>406</v>
      </c>
      <c r="G12803" s="14"/>
      <c r="H12803" t="s" s="10">
        <v>18</v>
      </c>
      <c r="I12803" t="s" s="11">
        <v>18</v>
      </c>
      <c r="J12803" t="s" s="11">
        <v>20</v>
      </c>
      <c r="K12803" s="15"/>
      <c r="L12803" t="s" s="16">
        <f>HYPERLINK("http://csr.bu.edu/ftp/asl/asllvd/demos/verify_start_end_handshape_annotations//test_auto_move//signs_mov_separ_signers/Brady_3107.mov","MOV")</f>
        <v>21</v>
      </c>
      <c r="M12803" t="s" s="10">
        <v>39</v>
      </c>
      <c r="N12803" s="17">
        <v>46</v>
      </c>
      <c r="O12803" s="18">
        <v>2737</v>
      </c>
      <c r="P12803" s="18">
        <v>2769</v>
      </c>
      <c r="Q12803" s="15"/>
      <c r="R12803" t="s" s="16">
        <f>HYPERLINK("http://secrets.rutgers.edu:8080/data/asl-ftp/asllvd/demos/verify_start_end_handshape_annotations//test_auto_move//signs_mov_separ_signers/Brady_3107.mov","MOV")</f>
        <v>21</v>
      </c>
    </row>
    <row r="12804" s="2" customFormat="1" ht="13.5" customHeight="1">
      <c r="B12804" t="s" s="8">
        <v>4829</v>
      </c>
      <c r="C12804" t="s" s="9">
        <v>14</v>
      </c>
      <c r="D12804" t="s" s="8">
        <v>14</v>
      </c>
      <c r="E12804" t="s" s="9">
        <v>14</v>
      </c>
      <c r="F12804" t="s" s="10">
        <v>14</v>
      </c>
      <c r="G12804" t="s" s="11">
        <v>14</v>
      </c>
      <c r="H12804" t="s" s="10">
        <v>14</v>
      </c>
      <c r="I12804" t="s" s="11">
        <v>14</v>
      </c>
      <c r="J12804" t="s" s="11">
        <v>14</v>
      </c>
      <c r="K12804" t="s" s="12">
        <v>14</v>
      </c>
      <c r="L12804" t="s" s="12">
        <v>14</v>
      </c>
      <c r="M12804" t="s" s="10">
        <v>14</v>
      </c>
      <c r="N12804" t="s" s="11">
        <v>14</v>
      </c>
      <c r="O12804" t="s" s="8">
        <v>14</v>
      </c>
      <c r="P12804" t="s" s="8">
        <v>14</v>
      </c>
      <c r="Q12804" t="s" s="12">
        <v>14</v>
      </c>
      <c r="R12804" t="s" s="12">
        <v>14</v>
      </c>
    </row>
    <row r="12805" s="2" customFormat="1" ht="13.5" customHeight="1">
      <c r="B12805" s="13"/>
      <c r="C12805" t="s" s="9">
        <v>16</v>
      </c>
      <c r="D12805" t="s" s="8">
        <v>4829</v>
      </c>
      <c r="E12805" t="s" s="9">
        <v>4829</v>
      </c>
      <c r="F12805" t="s" s="10">
        <v>55</v>
      </c>
      <c r="G12805" s="14"/>
      <c r="H12805" t="s" s="10">
        <v>337</v>
      </c>
      <c r="I12805" s="14"/>
      <c r="J12805" t="s" s="11">
        <v>20</v>
      </c>
      <c r="K12805" t="s" s="16">
        <f>HYPERLINK("http://csr.bu.edu/ftp/asl/asllvd/demos/verify_start_end_handshape_annotations//test_auto_move//signs_mov/3115.mov","MOV")</f>
        <v>21</v>
      </c>
      <c r="L12805" t="s" s="16">
        <f>HYPERLINK("http://csr.bu.edu/ftp/asl/asllvd/demos/verify_start_end_handshape_annotations//test_auto_move//signs_mov_separ_signers/Liz_3115.mov","MOV")</f>
        <v>21</v>
      </c>
      <c r="M12805" t="s" s="10">
        <v>77</v>
      </c>
      <c r="N12805" s="17">
        <v>24</v>
      </c>
      <c r="O12805" s="18">
        <v>1140</v>
      </c>
      <c r="P12805" s="18">
        <v>1188</v>
      </c>
      <c r="Q12805" t="s" s="16">
        <f>HYPERLINK("http://secrets.rutgers.edu:8080/data/asl-ftp/asllvd/demos/verify_start_end_handshape_annotations//test_auto_move//signs_mov/3115.mov","MOV")</f>
        <v>21</v>
      </c>
      <c r="R12805" t="s" s="16">
        <f>HYPERLINK("http://secrets.rutgers.edu:8080/data/asl-ftp/asllvd/demos/verify_start_end_handshape_annotations//test_auto_move//signs_mov_separ_signers/Liz_3115.mov","MOV")</f>
        <v>21</v>
      </c>
    </row>
    <row r="12806" s="2" customFormat="1" ht="13.5" customHeight="1">
      <c r="B12806" s="13"/>
      <c r="C12806" t="s" s="9">
        <v>30</v>
      </c>
      <c r="D12806" t="s" s="8">
        <v>4829</v>
      </c>
      <c r="E12806" t="s" s="9">
        <v>4829</v>
      </c>
      <c r="F12806" t="s" s="10">
        <v>55</v>
      </c>
      <c r="G12806" s="14"/>
      <c r="H12806" t="s" s="10">
        <v>626</v>
      </c>
      <c r="I12806" s="14"/>
      <c r="J12806" t="s" s="11">
        <v>20</v>
      </c>
      <c r="K12806" s="15"/>
      <c r="L12806" t="s" s="16">
        <f>HYPERLINK("http://csr.bu.edu/ftp/asl/asllvd/demos/verify_start_end_handshape_annotations//test_auto_move//signs_mov_separ_signers/Brady_3115.mov","MOV")</f>
        <v>21</v>
      </c>
      <c r="M12806" t="s" s="10">
        <v>31</v>
      </c>
      <c r="N12806" s="17">
        <v>16</v>
      </c>
      <c r="O12806" s="18">
        <v>6535</v>
      </c>
      <c r="P12806" s="18">
        <v>6556</v>
      </c>
      <c r="Q12806" s="15"/>
      <c r="R12806" t="s" s="16">
        <f>HYPERLINK("http://secrets.rutgers.edu:8080/data/asl-ftp/asllvd/demos/verify_start_end_handshape_annotations//test_auto_move//signs_mov_separ_signers/Brady_3115.mov","MOV")</f>
        <v>21</v>
      </c>
    </row>
    <row r="12807" s="2" customFormat="1" ht="27.75" customHeight="1">
      <c r="B12807" t="s" s="8">
        <v>4830</v>
      </c>
      <c r="C12807" t="s" s="9">
        <v>14</v>
      </c>
      <c r="D12807" t="s" s="8">
        <v>14</v>
      </c>
      <c r="E12807" t="s" s="9">
        <v>14</v>
      </c>
      <c r="F12807" t="s" s="10">
        <v>14</v>
      </c>
      <c r="G12807" t="s" s="11">
        <v>14</v>
      </c>
      <c r="H12807" t="s" s="10">
        <v>14</v>
      </c>
      <c r="I12807" t="s" s="11">
        <v>14</v>
      </c>
      <c r="J12807" t="s" s="11">
        <v>14</v>
      </c>
      <c r="K12807" t="s" s="12">
        <v>14</v>
      </c>
      <c r="L12807" t="s" s="12">
        <v>14</v>
      </c>
      <c r="M12807" t="s" s="10">
        <v>14</v>
      </c>
      <c r="N12807" t="s" s="11">
        <v>14</v>
      </c>
      <c r="O12807" t="s" s="8">
        <v>14</v>
      </c>
      <c r="P12807" t="s" s="8">
        <v>14</v>
      </c>
      <c r="Q12807" t="s" s="12">
        <v>14</v>
      </c>
      <c r="R12807" t="s" s="12">
        <v>14</v>
      </c>
    </row>
    <row r="12808" s="2" customFormat="1" ht="27.75" customHeight="1">
      <c r="B12808" s="13"/>
      <c r="C12808" t="s" s="9">
        <v>16</v>
      </c>
      <c r="D12808" t="s" s="8">
        <v>4830</v>
      </c>
      <c r="E12808" t="s" s="9">
        <v>4830</v>
      </c>
      <c r="F12808" s="19">
        <v>4</v>
      </c>
      <c r="G12808" s="17">
        <v>4</v>
      </c>
      <c r="H12808" s="19">
        <v>4</v>
      </c>
      <c r="I12808" s="17">
        <v>4</v>
      </c>
      <c r="J12808" t="s" s="11">
        <v>20</v>
      </c>
      <c r="K12808" t="s" s="16">
        <f>HYPERLINK("http://csr.bu.edu/ftp/asl/asllvd/demos/verify_start_end_handshape_annotations//test_auto_move//signs_mov/3130.mov","MOV")</f>
        <v>21</v>
      </c>
      <c r="L12808" t="s" s="16">
        <f>HYPERLINK("http://csr.bu.edu/ftp/asl/asllvd/demos/verify_start_end_handshape_annotations//test_auto_move//signs_mov_separ_signers/Liz_3130.mov","MOV")</f>
        <v>21</v>
      </c>
      <c r="M12808" t="s" s="10">
        <v>88</v>
      </c>
      <c r="N12808" s="17">
        <v>17</v>
      </c>
      <c r="O12808" s="18">
        <v>3465</v>
      </c>
      <c r="P12808" s="18">
        <v>3521</v>
      </c>
      <c r="Q12808" t="s" s="16">
        <f>HYPERLINK("http://secrets.rutgers.edu:8080/data/asl-ftp/asllvd/demos/verify_start_end_handshape_annotations//test_auto_move//signs_mov/3130.mov","MOV")</f>
        <v>21</v>
      </c>
      <c r="R12808" t="s" s="16">
        <f>HYPERLINK("http://secrets.rutgers.edu:8080/data/asl-ftp/asllvd/demos/verify_start_end_handshape_annotations//test_auto_move//signs_mov_separ_signers/Liz_3130.mov","MOV")</f>
        <v>21</v>
      </c>
    </row>
    <row r="12809" s="2" customFormat="1" ht="13.5" customHeight="1">
      <c r="B12809" t="s" s="8">
        <v>4831</v>
      </c>
      <c r="C12809" t="s" s="9">
        <v>14</v>
      </c>
      <c r="D12809" t="s" s="8">
        <v>14</v>
      </c>
      <c r="E12809" t="s" s="9">
        <v>14</v>
      </c>
      <c r="F12809" t="s" s="10">
        <v>14</v>
      </c>
      <c r="G12809" t="s" s="11">
        <v>14</v>
      </c>
      <c r="H12809" t="s" s="10">
        <v>14</v>
      </c>
      <c r="I12809" t="s" s="11">
        <v>14</v>
      </c>
      <c r="J12809" t="s" s="11">
        <v>14</v>
      </c>
      <c r="K12809" t="s" s="12">
        <v>14</v>
      </c>
      <c r="L12809" t="s" s="12">
        <v>14</v>
      </c>
      <c r="M12809" t="s" s="10">
        <v>14</v>
      </c>
      <c r="N12809" t="s" s="11">
        <v>14</v>
      </c>
      <c r="O12809" t="s" s="8">
        <v>14</v>
      </c>
      <c r="P12809" t="s" s="8">
        <v>14</v>
      </c>
      <c r="Q12809" t="s" s="12">
        <v>14</v>
      </c>
      <c r="R12809" t="s" s="12">
        <v>14</v>
      </c>
    </row>
    <row r="12810" s="2" customFormat="1" ht="13.5" customHeight="1">
      <c r="B12810" s="13"/>
      <c r="C12810" t="s" s="9">
        <v>27</v>
      </c>
      <c r="D12810" t="s" s="8">
        <v>4831</v>
      </c>
      <c r="E12810" t="s" s="9">
        <v>4831</v>
      </c>
      <c r="F12810" s="19">
        <v>1</v>
      </c>
      <c r="G12810" t="s" s="11">
        <v>18</v>
      </c>
      <c r="H12810" t="s" s="10">
        <v>18</v>
      </c>
      <c r="I12810" t="s" s="11">
        <v>18</v>
      </c>
      <c r="J12810" t="s" s="11">
        <v>20</v>
      </c>
      <c r="K12810" t="s" s="16">
        <f>HYPERLINK("http://csr.bu.edu/ftp/asl/asllvd/demos/verify_start_end_handshape_annotations//test_auto_move//signs_mov/3193.mov","MOV")</f>
        <v>21</v>
      </c>
      <c r="L12810" t="s" s="16">
        <f>HYPERLINK("http://csr.bu.edu/ftp/asl/asllvd/demos/verify_start_end_handshape_annotations//test_auto_move//signs_mov_separ_signers/Naomi_3193.mov","MOV")</f>
        <v>21</v>
      </c>
      <c r="M12810" t="s" s="10">
        <v>29</v>
      </c>
      <c r="N12810" s="17">
        <v>31</v>
      </c>
      <c r="O12810" s="18">
        <v>1982</v>
      </c>
      <c r="P12810" s="18">
        <v>2016</v>
      </c>
      <c r="Q12810" t="s" s="16">
        <f>HYPERLINK("http://secrets.rutgers.edu:8080/data/asl-ftp/asllvd/demos/verify_start_end_handshape_annotations//test_auto_move//signs_mov/3193.mov","MOV")</f>
        <v>21</v>
      </c>
      <c r="R12810" t="s" s="16">
        <f>HYPERLINK("http://secrets.rutgers.edu:8080/data/asl-ftp/asllvd/demos/verify_start_end_handshape_annotations//test_auto_move//signs_mov_separ_signers/Naomi_3193.mov","MOV")</f>
        <v>21</v>
      </c>
    </row>
    <row r="12811" s="2" customFormat="1" ht="13.5" customHeight="1">
      <c r="B12811" t="s" s="8">
        <v>4832</v>
      </c>
      <c r="C12811" t="s" s="9">
        <v>14</v>
      </c>
      <c r="D12811" t="s" s="8">
        <v>14</v>
      </c>
      <c r="E12811" t="s" s="9">
        <v>14</v>
      </c>
      <c r="F12811" t="s" s="10">
        <v>14</v>
      </c>
      <c r="G12811" t="s" s="11">
        <v>14</v>
      </c>
      <c r="H12811" t="s" s="10">
        <v>14</v>
      </c>
      <c r="I12811" t="s" s="11">
        <v>14</v>
      </c>
      <c r="J12811" t="s" s="11">
        <v>14</v>
      </c>
      <c r="K12811" t="s" s="12">
        <v>14</v>
      </c>
      <c r="L12811" t="s" s="12">
        <v>14</v>
      </c>
      <c r="M12811" t="s" s="10">
        <v>14</v>
      </c>
      <c r="N12811" t="s" s="11">
        <v>14</v>
      </c>
      <c r="O12811" t="s" s="8">
        <v>14</v>
      </c>
      <c r="P12811" t="s" s="8">
        <v>14</v>
      </c>
      <c r="Q12811" t="s" s="12">
        <v>14</v>
      </c>
      <c r="R12811" t="s" s="12">
        <v>14</v>
      </c>
    </row>
    <row r="12812" s="2" customFormat="1" ht="13.5" customHeight="1">
      <c r="B12812" s="13"/>
      <c r="C12812" t="s" s="9">
        <v>16</v>
      </c>
      <c r="D12812" t="s" s="8">
        <v>4832</v>
      </c>
      <c r="E12812" t="s" s="9">
        <v>4832</v>
      </c>
      <c r="F12812" t="s" s="10">
        <v>187</v>
      </c>
      <c r="G12812" t="s" s="11">
        <v>73</v>
      </c>
      <c r="H12812" t="s" s="10">
        <v>187</v>
      </c>
      <c r="I12812" t="s" s="11">
        <v>73</v>
      </c>
      <c r="J12812" t="s" s="11">
        <v>20</v>
      </c>
      <c r="K12812" t="s" s="16">
        <f>HYPERLINK("http://csr.bu.edu/ftp/asl/asllvd/demos/verify_start_end_handshape_annotations//test_auto_move//signs_mov/3211.mov","MOV")</f>
        <v>21</v>
      </c>
      <c r="L12812" t="s" s="16">
        <f>HYPERLINK("http://csr.bu.edu/ftp/asl/asllvd/demos/verify_start_end_handshape_annotations//test_auto_move//signs_mov_separ_signers/Liz_3211.mov","MOV")</f>
        <v>21</v>
      </c>
      <c r="M12812" t="s" s="10">
        <v>36</v>
      </c>
      <c r="N12812" s="17">
        <v>19</v>
      </c>
      <c r="O12812" s="18">
        <v>2845</v>
      </c>
      <c r="P12812" s="18">
        <v>2910</v>
      </c>
      <c r="Q12812" t="s" s="16">
        <f>HYPERLINK("http://secrets.rutgers.edu:8080/data/asl-ftp/asllvd/demos/verify_start_end_handshape_annotations//test_auto_move//signs_mov/3211.mov","MOV")</f>
        <v>21</v>
      </c>
      <c r="R12812" t="s" s="16">
        <f>HYPERLINK("http://secrets.rutgers.edu:8080/data/asl-ftp/asllvd/demos/verify_start_end_handshape_annotations//test_auto_move//signs_mov_separ_signers/Liz_3211.mov","MOV")</f>
        <v>21</v>
      </c>
    </row>
    <row r="12813" s="2" customFormat="1" ht="13.5" customHeight="1">
      <c r="B12813" t="s" s="8">
        <v>4833</v>
      </c>
      <c r="C12813" t="s" s="9">
        <v>14</v>
      </c>
      <c r="D12813" t="s" s="8">
        <v>14</v>
      </c>
      <c r="E12813" t="s" s="9">
        <v>14</v>
      </c>
      <c r="F12813" t="s" s="10">
        <v>14</v>
      </c>
      <c r="G12813" t="s" s="11">
        <v>14</v>
      </c>
      <c r="H12813" t="s" s="10">
        <v>14</v>
      </c>
      <c r="I12813" t="s" s="11">
        <v>14</v>
      </c>
      <c r="J12813" t="s" s="11">
        <v>14</v>
      </c>
      <c r="K12813" t="s" s="12">
        <v>14</v>
      </c>
      <c r="L12813" t="s" s="12">
        <v>14</v>
      </c>
      <c r="M12813" t="s" s="10">
        <v>14</v>
      </c>
      <c r="N12813" t="s" s="11">
        <v>14</v>
      </c>
      <c r="O12813" t="s" s="8">
        <v>14</v>
      </c>
      <c r="P12813" t="s" s="8">
        <v>14</v>
      </c>
      <c r="Q12813" t="s" s="12">
        <v>14</v>
      </c>
      <c r="R12813" t="s" s="12">
        <v>14</v>
      </c>
    </row>
    <row r="12814" s="2" customFormat="1" ht="13.5" customHeight="1">
      <c r="B12814" s="13"/>
      <c r="C12814" t="s" s="9">
        <v>16</v>
      </c>
      <c r="D12814" t="s" s="8">
        <v>4833</v>
      </c>
      <c r="E12814" t="s" s="9">
        <v>4833</v>
      </c>
      <c r="F12814" s="19">
        <v>7</v>
      </c>
      <c r="G12814" s="14"/>
      <c r="H12814" s="19">
        <v>7</v>
      </c>
      <c r="I12814" s="14"/>
      <c r="J12814" t="s" s="11">
        <v>20</v>
      </c>
      <c r="K12814" t="s" s="16">
        <f>HYPERLINK("http://csr.bu.edu/ftp/asl/asllvd/demos/verify_start_end_handshape_annotations//test_auto_move//signs_mov/3225_3539_merged.mov","MOV")</f>
        <v>21</v>
      </c>
      <c r="L12814" t="s" s="16">
        <f>HYPERLINK("http://csr.bu.edu/ftp/asl/asllvd/demos/verify_start_end_handshape_annotations//test_auto_move//signs_mov_separ_signers/Liz_3225.mov","MOV")</f>
        <v>21</v>
      </c>
      <c r="M12814" t="s" s="10">
        <v>77</v>
      </c>
      <c r="N12814" s="17">
        <v>15</v>
      </c>
      <c r="O12814" s="18">
        <v>1070</v>
      </c>
      <c r="P12814" s="18">
        <v>1102</v>
      </c>
      <c r="Q12814" t="s" s="16">
        <f>HYPERLINK("http://secrets.rutgers.edu:8080/data/asl-ftp/asllvd/demos/verify_start_end_handshape_annotations//test_auto_move//signs_mov/3225_3539_merged.mov","MOV")</f>
        <v>21</v>
      </c>
      <c r="R12814" t="s" s="16">
        <f>HYPERLINK("http://secrets.rutgers.edu:8080/data/asl-ftp/asllvd/demos/verify_start_end_handshape_annotations//test_auto_move//signs_mov_separ_signers/Liz_3225.mov","MOV")</f>
        <v>21</v>
      </c>
    </row>
    <row r="12815" s="2" customFormat="1" ht="13.5" customHeight="1">
      <c r="B12815" s="13"/>
      <c r="C12815" t="s" s="9">
        <v>16</v>
      </c>
      <c r="D12815" t="s" s="8">
        <v>4833</v>
      </c>
      <c r="E12815" t="s" s="9">
        <v>4833</v>
      </c>
      <c r="F12815" s="19">
        <v>7</v>
      </c>
      <c r="G12815" s="14"/>
      <c r="H12815" s="19">
        <v>7</v>
      </c>
      <c r="I12815" s="14"/>
      <c r="J12815" t="s" s="11">
        <v>20</v>
      </c>
      <c r="K12815" s="15"/>
      <c r="L12815" t="s" s="16">
        <f>HYPERLINK("http://csr.bu.edu/ftp/asl/asllvd/demos/verify_start_end_handshape_annotations//test_auto_move//signs_mov_separ_signers/Liz_3539.mov","MOV")</f>
        <v>21</v>
      </c>
      <c r="M12815" t="s" s="10">
        <v>77</v>
      </c>
      <c r="N12815" s="17">
        <v>18</v>
      </c>
      <c r="O12815" s="18">
        <v>1250</v>
      </c>
      <c r="P12815" s="18">
        <v>1285</v>
      </c>
      <c r="Q12815" s="15"/>
      <c r="R12815" t="s" s="16">
        <f>HYPERLINK("http://secrets.rutgers.edu:8080/data/asl-ftp/asllvd/demos/verify_start_end_handshape_annotations//test_auto_move//signs_mov_separ_signers/Liz_3539.mov","MOV")</f>
        <v>21</v>
      </c>
    </row>
    <row r="12816" s="2" customFormat="1" ht="13.5" customHeight="1">
      <c r="B12816" t="s" s="8">
        <v>4834</v>
      </c>
      <c r="C12816" t="s" s="9">
        <v>14</v>
      </c>
      <c r="D12816" t="s" s="8">
        <v>14</v>
      </c>
      <c r="E12816" t="s" s="9">
        <v>14</v>
      </c>
      <c r="F12816" t="s" s="10">
        <v>14</v>
      </c>
      <c r="G12816" t="s" s="11">
        <v>14</v>
      </c>
      <c r="H12816" t="s" s="10">
        <v>14</v>
      </c>
      <c r="I12816" t="s" s="11">
        <v>14</v>
      </c>
      <c r="J12816" t="s" s="11">
        <v>14</v>
      </c>
      <c r="K12816" t="s" s="12">
        <v>14</v>
      </c>
      <c r="L12816" t="s" s="12">
        <v>14</v>
      </c>
      <c r="M12816" t="s" s="10">
        <v>14</v>
      </c>
      <c r="N12816" t="s" s="11">
        <v>14</v>
      </c>
      <c r="O12816" t="s" s="8">
        <v>14</v>
      </c>
      <c r="P12816" t="s" s="8">
        <v>14</v>
      </c>
      <c r="Q12816" t="s" s="12">
        <v>14</v>
      </c>
      <c r="R12816" t="s" s="12">
        <v>14</v>
      </c>
    </row>
    <row r="12817" s="2" customFormat="1" ht="13.5" customHeight="1">
      <c r="B12817" s="13"/>
      <c r="C12817" t="s" s="9">
        <v>16</v>
      </c>
      <c r="D12817" t="s" s="8">
        <v>4834</v>
      </c>
      <c r="E12817" t="s" s="9">
        <v>4834</v>
      </c>
      <c r="F12817" t="s" s="10">
        <v>292</v>
      </c>
      <c r="G12817" t="s" s="11">
        <v>292</v>
      </c>
      <c r="H12817" t="s" s="10">
        <v>292</v>
      </c>
      <c r="I12817" t="s" s="11">
        <v>292</v>
      </c>
      <c r="J12817" t="s" s="11">
        <v>20</v>
      </c>
      <c r="K12817" t="s" s="16">
        <f>HYPERLINK("http://csr.bu.edu/ftp/asl/asllvd/demos/verify_start_end_handshape_annotations//test_auto_move//signs_mov/4008.mov","MOV")</f>
        <v>21</v>
      </c>
      <c r="L12817" t="s" s="16">
        <f>HYPERLINK("http://csr.bu.edu/ftp/asl/asllvd/demos/verify_start_end_handshape_annotations//test_auto_move//signs_mov_separ_signers/Liz_4008.mov","MOV")</f>
        <v>21</v>
      </c>
      <c r="M12817" t="s" s="10">
        <v>36</v>
      </c>
      <c r="N12817" s="17">
        <v>49</v>
      </c>
      <c r="O12817" s="18">
        <v>2905</v>
      </c>
      <c r="P12817" s="18">
        <v>2959</v>
      </c>
      <c r="Q12817" t="s" s="16">
        <f>HYPERLINK("http://secrets.rutgers.edu:8080/data/asl-ftp/asllvd/demos/verify_start_end_handshape_annotations//test_auto_move//signs_mov/4008.mov","MOV")</f>
        <v>21</v>
      </c>
      <c r="R12817" t="s" s="16">
        <f>HYPERLINK("http://secrets.rutgers.edu:8080/data/asl-ftp/asllvd/demos/verify_start_end_handshape_annotations//test_auto_move//signs_mov_separ_signers/Liz_4008.mov","MOV")</f>
        <v>21</v>
      </c>
    </row>
    <row r="12818" s="2" customFormat="1" ht="13.5" customHeight="1">
      <c r="B12818" t="s" s="8">
        <v>4835</v>
      </c>
      <c r="C12818" t="s" s="9">
        <v>14</v>
      </c>
      <c r="D12818" t="s" s="8">
        <v>14</v>
      </c>
      <c r="E12818" t="s" s="9">
        <v>14</v>
      </c>
      <c r="F12818" t="s" s="10">
        <v>14</v>
      </c>
      <c r="G12818" t="s" s="11">
        <v>14</v>
      </c>
      <c r="H12818" t="s" s="10">
        <v>14</v>
      </c>
      <c r="I12818" t="s" s="11">
        <v>14</v>
      </c>
      <c r="J12818" t="s" s="11">
        <v>14</v>
      </c>
      <c r="K12818" t="s" s="12">
        <v>14</v>
      </c>
      <c r="L12818" t="s" s="12">
        <v>14</v>
      </c>
      <c r="M12818" t="s" s="10">
        <v>14</v>
      </c>
      <c r="N12818" t="s" s="11">
        <v>14</v>
      </c>
      <c r="O12818" t="s" s="8">
        <v>14</v>
      </c>
      <c r="P12818" t="s" s="8">
        <v>14</v>
      </c>
      <c r="Q12818" t="s" s="12">
        <v>14</v>
      </c>
      <c r="R12818" t="s" s="12">
        <v>14</v>
      </c>
    </row>
    <row r="12819" s="2" customFormat="1" ht="13.5" customHeight="1">
      <c r="B12819" s="13"/>
      <c r="C12819" t="s" s="9">
        <v>16</v>
      </c>
      <c r="D12819" t="s" s="8">
        <v>4836</v>
      </c>
      <c r="E12819" t="s" s="9">
        <v>4836</v>
      </c>
      <c r="F12819" s="19">
        <v>1</v>
      </c>
      <c r="G12819" t="s" s="11">
        <v>68</v>
      </c>
      <c r="H12819" s="19">
        <v>5</v>
      </c>
      <c r="I12819" t="s" s="11">
        <v>68</v>
      </c>
      <c r="J12819" t="s" s="11">
        <v>20</v>
      </c>
      <c r="K12819" t="s" s="16">
        <f>HYPERLINK("http://csr.bu.edu/ftp/asl/asllvd/demos/verify_start_end_handshape_annotations//test_auto_move//signs_mov/4014.mov","MOV")</f>
        <v>21</v>
      </c>
      <c r="L12819" t="s" s="16">
        <f>HYPERLINK("http://csr.bu.edu/ftp/asl/asllvd/demos/verify_start_end_handshape_annotations//test_auto_move//signs_mov_separ_signers/Liz_4014.mov","MOV")</f>
        <v>21</v>
      </c>
      <c r="M12819" t="s" s="10">
        <v>59</v>
      </c>
      <c r="N12819" s="17">
        <v>39</v>
      </c>
      <c r="O12819" s="18">
        <v>1262</v>
      </c>
      <c r="P12819" s="18">
        <v>1299</v>
      </c>
      <c r="Q12819" t="s" s="16">
        <f>HYPERLINK("http://secrets.rutgers.edu:8080/data/asl-ftp/asllvd/demos/verify_start_end_handshape_annotations//test_auto_move//signs_mov/4014.mov","MOV")</f>
        <v>21</v>
      </c>
      <c r="R12819" t="s" s="16">
        <f>HYPERLINK("http://secrets.rutgers.edu:8080/data/asl-ftp/asllvd/demos/verify_start_end_handshape_annotations//test_auto_move//signs_mov_separ_signers/Liz_4014.mov","MOV")</f>
        <v>21</v>
      </c>
    </row>
    <row r="12820" s="2" customFormat="1" ht="13.5" customHeight="1">
      <c r="B12820" t="s" s="8">
        <v>4837</v>
      </c>
      <c r="C12820" t="s" s="9">
        <v>14</v>
      </c>
      <c r="D12820" t="s" s="8">
        <v>14</v>
      </c>
      <c r="E12820" t="s" s="9">
        <v>14</v>
      </c>
      <c r="F12820" t="s" s="10">
        <v>14</v>
      </c>
      <c r="G12820" t="s" s="11">
        <v>14</v>
      </c>
      <c r="H12820" t="s" s="10">
        <v>14</v>
      </c>
      <c r="I12820" t="s" s="11">
        <v>14</v>
      </c>
      <c r="J12820" t="s" s="11">
        <v>14</v>
      </c>
      <c r="K12820" t="s" s="12">
        <v>14</v>
      </c>
      <c r="L12820" t="s" s="12">
        <v>14</v>
      </c>
      <c r="M12820" t="s" s="10">
        <v>14</v>
      </c>
      <c r="N12820" t="s" s="11">
        <v>14</v>
      </c>
      <c r="O12820" t="s" s="8">
        <v>14</v>
      </c>
      <c r="P12820" t="s" s="8">
        <v>14</v>
      </c>
      <c r="Q12820" t="s" s="12">
        <v>14</v>
      </c>
      <c r="R12820" t="s" s="12">
        <v>14</v>
      </c>
    </row>
    <row r="12821" s="2" customFormat="1" ht="13.5" customHeight="1">
      <c r="B12821" s="13"/>
      <c r="C12821" t="s" s="9">
        <v>16</v>
      </c>
      <c r="D12821" t="s" s="8">
        <v>4837</v>
      </c>
      <c r="E12821" t="s" s="9">
        <v>4837</v>
      </c>
      <c r="F12821" s="19">
        <v>5</v>
      </c>
      <c r="G12821" t="s" s="11">
        <v>105</v>
      </c>
      <c r="H12821" s="19">
        <v>5</v>
      </c>
      <c r="I12821" t="s" s="11">
        <v>19</v>
      </c>
      <c r="J12821" t="s" s="11">
        <v>20</v>
      </c>
      <c r="K12821" t="s" s="16">
        <f>HYPERLINK("http://csr.bu.edu/ftp/asl/asllvd/demos/verify_start_end_handshape_annotations//test_auto_move//signs_mov/3869_4027_merged.mov","MOV")</f>
        <v>21</v>
      </c>
      <c r="L12821" t="s" s="16">
        <f>HYPERLINK("http://csr.bu.edu/ftp/asl/asllvd/demos/verify_start_end_handshape_annotations//test_auto_move//signs_mov_separ_signers/Liz_4027.mov","MOV")</f>
        <v>21</v>
      </c>
      <c r="M12821" t="s" s="10">
        <v>77</v>
      </c>
      <c r="N12821" s="17">
        <v>1</v>
      </c>
      <c r="O12821" s="18">
        <v>3266</v>
      </c>
      <c r="P12821" s="18">
        <v>3349</v>
      </c>
      <c r="Q12821" t="s" s="16">
        <f>HYPERLINK("http://secrets.rutgers.edu:8080/data/asl-ftp/asllvd/demos/verify_start_end_handshape_annotations//test_auto_move//signs_mov/3869_4027_merged.mov","MOV")</f>
        <v>21</v>
      </c>
      <c r="R12821" t="s" s="16">
        <f>HYPERLINK("http://secrets.rutgers.edu:8080/data/asl-ftp/asllvd/demos/verify_start_end_handshape_annotations//test_auto_move//signs_mov_separ_signers/Liz_4027.mov","MOV")</f>
        <v>21</v>
      </c>
    </row>
    <row r="12822" s="2" customFormat="1" ht="13.5" customHeight="1">
      <c r="B12822" s="13"/>
      <c r="C12822" t="s" s="9">
        <v>16</v>
      </c>
      <c r="D12822" t="s" s="8">
        <v>4837</v>
      </c>
      <c r="E12822" t="s" s="9">
        <v>4838</v>
      </c>
      <c r="F12822" s="19">
        <v>5</v>
      </c>
      <c r="G12822" t="s" s="11">
        <v>105</v>
      </c>
      <c r="H12822" s="19">
        <v>5</v>
      </c>
      <c r="I12822" t="s" s="11">
        <v>19</v>
      </c>
      <c r="J12822" t="s" s="11">
        <v>20</v>
      </c>
      <c r="K12822" s="15"/>
      <c r="L12822" t="s" s="16">
        <f>HYPERLINK("http://csr.bu.edu/ftp/asl/asllvd/demos/verify_start_end_handshape_annotations//test_auto_move//signs_mov_separ_signers/Liz_3869.mov","MOV")</f>
        <v>21</v>
      </c>
      <c r="M12822" t="s" s="10">
        <v>77</v>
      </c>
      <c r="N12822" s="17">
        <v>1</v>
      </c>
      <c r="O12822" s="18">
        <v>3513</v>
      </c>
      <c r="P12822" s="18">
        <v>3618</v>
      </c>
      <c r="Q12822" s="15"/>
      <c r="R12822" t="s" s="16">
        <f>HYPERLINK("http://secrets.rutgers.edu:8080/data/asl-ftp/asllvd/demos/verify_start_end_handshape_annotations//test_auto_move//signs_mov_separ_signers/Liz_3869.mov","MOV")</f>
        <v>21</v>
      </c>
    </row>
    <row r="12823" s="2" customFormat="1" ht="13.5" customHeight="1">
      <c r="B12823" t="s" s="8">
        <v>52</v>
      </c>
      <c r="C12823" t="s" s="9">
        <v>53</v>
      </c>
      <c r="D12823" t="s" s="8">
        <v>53</v>
      </c>
      <c r="E12823" t="s" s="9">
        <v>53</v>
      </c>
      <c r="F12823" t="s" s="10">
        <v>53</v>
      </c>
      <c r="G12823" t="s" s="11">
        <v>53</v>
      </c>
      <c r="H12823" t="s" s="10">
        <v>53</v>
      </c>
      <c r="I12823" t="s" s="11">
        <v>53</v>
      </c>
      <c r="J12823" t="s" s="11">
        <v>53</v>
      </c>
      <c r="K12823" t="s" s="12">
        <v>53</v>
      </c>
      <c r="L12823" t="s" s="12">
        <v>53</v>
      </c>
      <c r="M12823" t="s" s="10">
        <v>53</v>
      </c>
      <c r="N12823" t="s" s="11">
        <v>53</v>
      </c>
      <c r="O12823" t="s" s="8">
        <v>53</v>
      </c>
      <c r="P12823" t="s" s="8">
        <v>53</v>
      </c>
      <c r="Q12823" t="s" s="12">
        <v>53</v>
      </c>
      <c r="R12823" t="s" s="12">
        <v>53</v>
      </c>
    </row>
    <row r="12824" s="2" customFormat="1" ht="13.5" customHeight="1">
      <c r="B12824" s="13"/>
      <c r="C12824" t="s" s="9">
        <v>30</v>
      </c>
      <c r="D12824" t="s" s="8">
        <v>4837</v>
      </c>
      <c r="E12824" t="s" s="9">
        <v>4839</v>
      </c>
      <c r="F12824" s="19">
        <v>5</v>
      </c>
      <c r="G12824" t="s" s="11">
        <v>105</v>
      </c>
      <c r="H12824" s="19">
        <v>5</v>
      </c>
      <c r="I12824" s="17">
        <v>1</v>
      </c>
      <c r="J12824" t="s" s="11">
        <v>20</v>
      </c>
      <c r="K12824" t="s" s="16">
        <f>HYPERLINK("http://csr.bu.edu/ftp/asl/asllvd/demos/verify_start_end_handshape_annotations//test_auto_move//signs_mov/16154.mov","MOV")</f>
        <v>21</v>
      </c>
      <c r="L12824" t="s" s="16">
        <f>HYPERLINK("http://csr.bu.edu/ftp/asl/asllvd/demos/verify_start_end_handshape_annotations//test_auto_move//signs_mov_separ_signers/Brady_16154.mov","MOV")</f>
        <v>21</v>
      </c>
      <c r="M12824" t="s" s="10">
        <v>31</v>
      </c>
      <c r="N12824" s="17">
        <v>23</v>
      </c>
      <c r="O12824" s="18">
        <v>2633</v>
      </c>
      <c r="P12824" s="18">
        <v>2716</v>
      </c>
      <c r="Q12824" t="s" s="16">
        <f>HYPERLINK("http://secrets.rutgers.edu:8080/data/asl-ftp/asllvd/demos/verify_start_end_handshape_annotations//test_auto_move//signs_mov/16154.mov","MOV")</f>
        <v>21</v>
      </c>
      <c r="R12824" t="s" s="16">
        <f>HYPERLINK("http://secrets.rutgers.edu:8080/data/asl-ftp/asllvd/demos/verify_start_end_handshape_annotations//test_auto_move//signs_mov_separ_signers/Brady_16154.mov","MOV")</f>
        <v>21</v>
      </c>
    </row>
    <row r="12825" s="2" customFormat="1" ht="13.5" customHeight="1">
      <c r="B12825" t="s" s="8">
        <v>4840</v>
      </c>
      <c r="C12825" t="s" s="9">
        <v>14</v>
      </c>
      <c r="D12825" t="s" s="8">
        <v>14</v>
      </c>
      <c r="E12825" t="s" s="9">
        <v>14</v>
      </c>
      <c r="F12825" t="s" s="10">
        <v>14</v>
      </c>
      <c r="G12825" t="s" s="11">
        <v>14</v>
      </c>
      <c r="H12825" t="s" s="10">
        <v>14</v>
      </c>
      <c r="I12825" t="s" s="11">
        <v>14</v>
      </c>
      <c r="J12825" t="s" s="11">
        <v>14</v>
      </c>
      <c r="K12825" t="s" s="12">
        <v>14</v>
      </c>
      <c r="L12825" t="s" s="12">
        <v>14</v>
      </c>
      <c r="M12825" t="s" s="10">
        <v>14</v>
      </c>
      <c r="N12825" t="s" s="11">
        <v>14</v>
      </c>
      <c r="O12825" t="s" s="8">
        <v>14</v>
      </c>
      <c r="P12825" t="s" s="8">
        <v>14</v>
      </c>
      <c r="Q12825" t="s" s="12">
        <v>14</v>
      </c>
      <c r="R12825" t="s" s="12">
        <v>14</v>
      </c>
    </row>
    <row r="12826" s="2" customFormat="1" ht="13.5" customHeight="1">
      <c r="B12826" s="13"/>
      <c r="C12826" t="s" s="9">
        <v>16</v>
      </c>
      <c r="D12826" t="s" s="8">
        <v>4840</v>
      </c>
      <c r="E12826" t="s" s="9">
        <v>4840</v>
      </c>
      <c r="F12826" t="s" s="10">
        <v>185</v>
      </c>
      <c r="G12826" s="14"/>
      <c r="H12826" t="s" s="10">
        <v>185</v>
      </c>
      <c r="I12826" s="14"/>
      <c r="J12826" t="s" s="11">
        <v>20</v>
      </c>
      <c r="K12826" t="s" s="16">
        <f>HYPERLINK("http://csr.bu.edu/ftp/asl/asllvd/demos/verify_start_end_handshape_annotations//test_auto_move//signs_mov/4068.mov","MOV")</f>
        <v>21</v>
      </c>
      <c r="L12826" t="s" s="16">
        <f>HYPERLINK("http://csr.bu.edu/ftp/asl/asllvd/demos/verify_start_end_handshape_annotations//test_auto_move//signs_mov_separ_signers/Liz_4068.mov","MOV")</f>
        <v>21</v>
      </c>
      <c r="M12826" t="s" s="10">
        <v>77</v>
      </c>
      <c r="N12826" s="17">
        <v>9</v>
      </c>
      <c r="O12826" s="18">
        <v>1060</v>
      </c>
      <c r="P12826" s="18">
        <v>1096</v>
      </c>
      <c r="Q12826" t="s" s="16">
        <f>HYPERLINK("http://secrets.rutgers.edu:8080/data/asl-ftp/asllvd/demos/verify_start_end_handshape_annotations//test_auto_move//signs_mov/4068.mov","MOV")</f>
        <v>21</v>
      </c>
      <c r="R12826" t="s" s="16">
        <f>HYPERLINK("http://secrets.rutgers.edu:8080/data/asl-ftp/asllvd/demos/verify_start_end_handshape_annotations//test_auto_move//signs_mov_separ_signers/Liz_4068.mov","MOV")</f>
        <v>21</v>
      </c>
    </row>
    <row r="12827" s="2" customFormat="1" ht="13.5" customHeight="1">
      <c r="B12827" s="13"/>
      <c r="C12827" t="s" s="9">
        <v>30</v>
      </c>
      <c r="D12827" t="s" s="8">
        <v>4840</v>
      </c>
      <c r="E12827" t="s" s="9">
        <v>4840</v>
      </c>
      <c r="F12827" t="s" s="10">
        <v>185</v>
      </c>
      <c r="G12827" s="14"/>
      <c r="H12827" t="s" s="10">
        <v>185</v>
      </c>
      <c r="I12827" s="14"/>
      <c r="J12827" t="s" s="11">
        <v>20</v>
      </c>
      <c r="K12827" s="15"/>
      <c r="L12827" t="s" s="16">
        <f>HYPERLINK("http://csr.bu.edu/ftp/asl/asllvd/demos/verify_start_end_handshape_annotations//test_auto_move//signs_mov_separ_signers/Brady_4068.mov","MOV")</f>
        <v>21</v>
      </c>
      <c r="M12827" t="s" s="10">
        <v>31</v>
      </c>
      <c r="N12827" s="17">
        <v>26</v>
      </c>
      <c r="O12827" s="18">
        <v>2832</v>
      </c>
      <c r="P12827" s="18">
        <v>2848</v>
      </c>
      <c r="Q12827" s="15"/>
      <c r="R12827" t="s" s="16">
        <f>HYPERLINK("http://secrets.rutgers.edu:8080/data/asl-ftp/asllvd/demos/verify_start_end_handshape_annotations//test_auto_move//signs_mov_separ_signers/Brady_4068.mov","MOV")</f>
        <v>21</v>
      </c>
    </row>
    <row r="12828" s="2" customFormat="1" ht="13.5" customHeight="1">
      <c r="B12828" t="s" s="8">
        <v>4841</v>
      </c>
      <c r="C12828" t="s" s="9">
        <v>14</v>
      </c>
      <c r="D12828" t="s" s="8">
        <v>14</v>
      </c>
      <c r="E12828" t="s" s="9">
        <v>14</v>
      </c>
      <c r="F12828" t="s" s="10">
        <v>14</v>
      </c>
      <c r="G12828" t="s" s="11">
        <v>14</v>
      </c>
      <c r="H12828" t="s" s="10">
        <v>14</v>
      </c>
      <c r="I12828" t="s" s="11">
        <v>14</v>
      </c>
      <c r="J12828" t="s" s="11">
        <v>14</v>
      </c>
      <c r="K12828" t="s" s="12">
        <v>14</v>
      </c>
      <c r="L12828" t="s" s="12">
        <v>14</v>
      </c>
      <c r="M12828" t="s" s="10">
        <v>14</v>
      </c>
      <c r="N12828" t="s" s="11">
        <v>14</v>
      </c>
      <c r="O12828" t="s" s="8">
        <v>14</v>
      </c>
      <c r="P12828" t="s" s="8">
        <v>14</v>
      </c>
      <c r="Q12828" t="s" s="12">
        <v>14</v>
      </c>
      <c r="R12828" t="s" s="12">
        <v>14</v>
      </c>
    </row>
    <row r="12829" s="2" customFormat="1" ht="13.5" customHeight="1">
      <c r="B12829" s="13"/>
      <c r="C12829" t="s" s="9">
        <v>16</v>
      </c>
      <c r="D12829" t="s" s="8">
        <v>4841</v>
      </c>
      <c r="E12829" t="s" s="9">
        <v>4841</v>
      </c>
      <c r="F12829" t="s" s="10">
        <v>287</v>
      </c>
      <c r="G12829" s="14"/>
      <c r="H12829" t="s" s="10">
        <v>136</v>
      </c>
      <c r="I12829" s="14"/>
      <c r="J12829" t="s" s="11">
        <v>20</v>
      </c>
      <c r="K12829" t="s" s="16">
        <f>HYPERLINK("http://csr.bu.edu/ftp/asl/asllvd/demos/verify_start_end_handshape_annotations//test_auto_move//signs_mov/4097.mov","MOV")</f>
        <v>21</v>
      </c>
      <c r="L12829" t="s" s="16">
        <f>HYPERLINK("http://csr.bu.edu/ftp/asl/asllvd/demos/verify_start_end_handshape_annotations//test_auto_move//signs_mov_separ_signers/Liz_4097.mov","MOV")</f>
        <v>21</v>
      </c>
      <c r="M12829" t="s" s="10">
        <v>77</v>
      </c>
      <c r="N12829" s="17">
        <v>12</v>
      </c>
      <c r="O12829" s="18">
        <v>2180</v>
      </c>
      <c r="P12829" s="18">
        <v>2250</v>
      </c>
      <c r="Q12829" t="s" s="16">
        <f>HYPERLINK("http://secrets.rutgers.edu:8080/data/asl-ftp/asllvd/demos/verify_start_end_handshape_annotations//test_auto_move//signs_mov/4097.mov","MOV")</f>
        <v>21</v>
      </c>
      <c r="R12829" t="s" s="16">
        <f>HYPERLINK("http://secrets.rutgers.edu:8080/data/asl-ftp/asllvd/demos/verify_start_end_handshape_annotations//test_auto_move//signs_mov_separ_signers/Liz_4097.mov","MOV")</f>
        <v>21</v>
      </c>
    </row>
    <row r="12830" s="2" customFormat="1" ht="13.5" customHeight="1">
      <c r="B12830" s="13"/>
      <c r="C12830" t="s" s="9">
        <v>30</v>
      </c>
      <c r="D12830" t="s" s="8">
        <v>4841</v>
      </c>
      <c r="E12830" t="s" s="9">
        <v>4841</v>
      </c>
      <c r="F12830" t="s" s="10">
        <v>287</v>
      </c>
      <c r="G12830" s="14"/>
      <c r="H12830" t="s" s="10">
        <v>136</v>
      </c>
      <c r="I12830" s="14"/>
      <c r="J12830" t="s" s="11">
        <v>20</v>
      </c>
      <c r="K12830" s="15"/>
      <c r="L12830" t="s" s="16">
        <f>HYPERLINK("http://csr.bu.edu/ftp/asl/asllvd/demos/verify_start_end_handshape_annotations//test_auto_move//signs_mov_separ_signers/Brady_4097.mov","MOV")</f>
        <v>21</v>
      </c>
      <c r="M12830" t="s" s="10">
        <v>39</v>
      </c>
      <c r="N12830" s="17">
        <v>41</v>
      </c>
      <c r="O12830" s="18">
        <v>3878</v>
      </c>
      <c r="P12830" s="18">
        <v>3903</v>
      </c>
      <c r="Q12830" s="15"/>
      <c r="R12830" t="s" s="16">
        <f>HYPERLINK("http://secrets.rutgers.edu:8080/data/asl-ftp/asllvd/demos/verify_start_end_handshape_annotations//test_auto_move//signs_mov_separ_signers/Brady_4097.mov","MOV")</f>
        <v>21</v>
      </c>
    </row>
    <row r="12831" s="2" customFormat="1" ht="13.5" customHeight="1">
      <c r="B12831" t="s" s="8">
        <v>4842</v>
      </c>
      <c r="C12831" t="s" s="9">
        <v>14</v>
      </c>
      <c r="D12831" t="s" s="8">
        <v>14</v>
      </c>
      <c r="E12831" t="s" s="9">
        <v>14</v>
      </c>
      <c r="F12831" t="s" s="10">
        <v>14</v>
      </c>
      <c r="G12831" t="s" s="11">
        <v>14</v>
      </c>
      <c r="H12831" t="s" s="10">
        <v>14</v>
      </c>
      <c r="I12831" t="s" s="11">
        <v>14</v>
      </c>
      <c r="J12831" t="s" s="11">
        <v>14</v>
      </c>
      <c r="K12831" t="s" s="12">
        <v>14</v>
      </c>
      <c r="L12831" t="s" s="12">
        <v>14</v>
      </c>
      <c r="M12831" t="s" s="10">
        <v>14</v>
      </c>
      <c r="N12831" t="s" s="11">
        <v>14</v>
      </c>
      <c r="O12831" t="s" s="8">
        <v>14</v>
      </c>
      <c r="P12831" t="s" s="8">
        <v>14</v>
      </c>
      <c r="Q12831" t="s" s="12">
        <v>14</v>
      </c>
      <c r="R12831" t="s" s="12">
        <v>14</v>
      </c>
    </row>
    <row r="12832" s="2" customFormat="1" ht="13.5" customHeight="1">
      <c r="B12832" s="13"/>
      <c r="C12832" t="s" s="9">
        <v>16</v>
      </c>
      <c r="D12832" t="s" s="8">
        <v>4843</v>
      </c>
      <c r="E12832" t="s" s="9">
        <v>4843</v>
      </c>
      <c r="F12832" t="s" s="10">
        <v>73</v>
      </c>
      <c r="G12832" t="s" s="11">
        <v>73</v>
      </c>
      <c r="H12832" t="s" s="10">
        <v>220</v>
      </c>
      <c r="I12832" t="s" s="11">
        <v>73</v>
      </c>
      <c r="J12832" t="s" s="11">
        <v>20</v>
      </c>
      <c r="K12832" t="s" s="16">
        <f>HYPERLINK("http://csr.bu.edu/ftp/asl/asllvd/demos/verify_start_end_handshape_annotations//test_auto_move//signs_mov/4108.mov","MOV")</f>
        <v>21</v>
      </c>
      <c r="L12832" t="s" s="16">
        <f>HYPERLINK("http://csr.bu.edu/ftp/asl/asllvd/demos/verify_start_end_handshape_annotations//test_auto_move//signs_mov_separ_signers/Liz_4108.mov","MOV")</f>
        <v>21</v>
      </c>
      <c r="M12832" t="s" s="10">
        <v>77</v>
      </c>
      <c r="N12832" s="17">
        <v>15</v>
      </c>
      <c r="O12832" s="18">
        <v>3825</v>
      </c>
      <c r="P12832" s="18">
        <v>3892</v>
      </c>
      <c r="Q12832" t="s" s="16">
        <f>HYPERLINK("http://secrets.rutgers.edu:8080/data/asl-ftp/asllvd/demos/verify_start_end_handshape_annotations//test_auto_move//signs_mov/4108.mov","MOV")</f>
        <v>21</v>
      </c>
      <c r="R12832" t="s" s="16">
        <f>HYPERLINK("http://secrets.rutgers.edu:8080/data/asl-ftp/asllvd/demos/verify_start_end_handshape_annotations//test_auto_move//signs_mov_separ_signers/Liz_4108.mov","MOV")</f>
        <v>21</v>
      </c>
    </row>
    <row r="12833" s="2" customFormat="1" ht="13.5" customHeight="1">
      <c r="B12833" t="s" s="8">
        <v>4844</v>
      </c>
      <c r="C12833" t="s" s="9">
        <v>14</v>
      </c>
      <c r="D12833" t="s" s="8">
        <v>14</v>
      </c>
      <c r="E12833" t="s" s="9">
        <v>14</v>
      </c>
      <c r="F12833" t="s" s="10">
        <v>14</v>
      </c>
      <c r="G12833" t="s" s="11">
        <v>14</v>
      </c>
      <c r="H12833" t="s" s="10">
        <v>14</v>
      </c>
      <c r="I12833" t="s" s="11">
        <v>14</v>
      </c>
      <c r="J12833" t="s" s="11">
        <v>14</v>
      </c>
      <c r="K12833" t="s" s="12">
        <v>14</v>
      </c>
      <c r="L12833" t="s" s="12">
        <v>14</v>
      </c>
      <c r="M12833" t="s" s="10">
        <v>14</v>
      </c>
      <c r="N12833" t="s" s="11">
        <v>14</v>
      </c>
      <c r="O12833" t="s" s="8">
        <v>14</v>
      </c>
      <c r="P12833" t="s" s="8">
        <v>14</v>
      </c>
      <c r="Q12833" t="s" s="12">
        <v>14</v>
      </c>
      <c r="R12833" t="s" s="12">
        <v>14</v>
      </c>
    </row>
    <row r="12834" s="2" customFormat="1" ht="13.5" customHeight="1">
      <c r="B12834" s="13"/>
      <c r="C12834" t="s" s="9">
        <v>30</v>
      </c>
      <c r="D12834" t="s" s="8">
        <v>4845</v>
      </c>
      <c r="E12834" t="s" s="9">
        <v>4845</v>
      </c>
      <c r="F12834" s="19">
        <v>1</v>
      </c>
      <c r="G12834" t="s" s="11">
        <v>73</v>
      </c>
      <c r="H12834" s="19">
        <v>5</v>
      </c>
      <c r="I12834" s="17">
        <v>5</v>
      </c>
      <c r="J12834" t="s" s="11">
        <v>20</v>
      </c>
      <c r="K12834" t="s" s="16">
        <f>HYPERLINK("http://csr.bu.edu/ftp/asl/asllvd/demos/verify_start_end_handshape_annotations//test_auto_move//signs_mov/4110.mov","MOV")</f>
        <v>21</v>
      </c>
      <c r="L12834" t="s" s="16">
        <f>HYPERLINK("http://csr.bu.edu/ftp/asl/asllvd/demos/verify_start_end_handshape_annotations//test_auto_move//signs_mov_separ_signers/Brady_4110.mov","MOV")</f>
        <v>21</v>
      </c>
      <c r="M12834" t="s" s="10">
        <v>40</v>
      </c>
      <c r="N12834" s="17">
        <v>27</v>
      </c>
      <c r="O12834" s="18">
        <v>2996</v>
      </c>
      <c r="P12834" s="18">
        <v>3039</v>
      </c>
      <c r="Q12834" t="s" s="16">
        <f>HYPERLINK("http://secrets.rutgers.edu:8080/data/asl-ftp/asllvd/demos/verify_start_end_handshape_annotations//test_auto_move//signs_mov/4110.mov","MOV")</f>
        <v>21</v>
      </c>
      <c r="R12834" t="s" s="16">
        <f>HYPERLINK("http://secrets.rutgers.edu:8080/data/asl-ftp/asllvd/demos/verify_start_end_handshape_annotations//test_auto_move//signs_mov_separ_signers/Brady_4110.mov","MOV")</f>
        <v>21</v>
      </c>
    </row>
    <row r="12835" s="2" customFormat="1" ht="13.5" customHeight="1">
      <c r="B12835" t="s" s="8">
        <v>52</v>
      </c>
      <c r="C12835" t="s" s="9">
        <v>53</v>
      </c>
      <c r="D12835" t="s" s="8">
        <v>53</v>
      </c>
      <c r="E12835" t="s" s="9">
        <v>53</v>
      </c>
      <c r="F12835" t="s" s="10">
        <v>53</v>
      </c>
      <c r="G12835" t="s" s="11">
        <v>53</v>
      </c>
      <c r="H12835" t="s" s="10">
        <v>53</v>
      </c>
      <c r="I12835" t="s" s="11">
        <v>53</v>
      </c>
      <c r="J12835" t="s" s="11">
        <v>53</v>
      </c>
      <c r="K12835" t="s" s="12">
        <v>53</v>
      </c>
      <c r="L12835" t="s" s="12">
        <v>53</v>
      </c>
      <c r="M12835" t="s" s="10">
        <v>53</v>
      </c>
      <c r="N12835" t="s" s="11">
        <v>53</v>
      </c>
      <c r="O12835" t="s" s="8">
        <v>53</v>
      </c>
      <c r="P12835" t="s" s="8">
        <v>53</v>
      </c>
      <c r="Q12835" t="s" s="12">
        <v>53</v>
      </c>
      <c r="R12835" t="s" s="12">
        <v>53</v>
      </c>
    </row>
    <row r="12836" s="2" customFormat="1" ht="13.5" customHeight="1">
      <c r="B12836" s="13"/>
      <c r="C12836" t="s" s="9">
        <v>16</v>
      </c>
      <c r="D12836" t="s" s="8">
        <v>4845</v>
      </c>
      <c r="E12836" t="s" s="9">
        <v>4846</v>
      </c>
      <c r="F12836" t="s" s="10">
        <v>220</v>
      </c>
      <c r="G12836" t="s" s="11">
        <v>73</v>
      </c>
      <c r="H12836" s="19">
        <v>5</v>
      </c>
      <c r="I12836" s="17">
        <v>5</v>
      </c>
      <c r="J12836" t="s" s="11">
        <v>20</v>
      </c>
      <c r="K12836" t="s" s="16">
        <f>HYPERLINK("http://csr.bu.edu/ftp/asl/asllvd/demos/verify_start_end_handshape_annotations//test_auto_move//signs_mov/15111.mov","MOV")</f>
        <v>21</v>
      </c>
      <c r="L12836" t="s" s="16">
        <f>HYPERLINK("http://csr.bu.edu/ftp/asl/asllvd/demos/verify_start_end_handshape_annotations//test_auto_move//signs_mov_separ_signers/Liz_15111.mov","MOV")</f>
        <v>21</v>
      </c>
      <c r="M12836" t="s" s="10">
        <v>77</v>
      </c>
      <c r="N12836" s="17">
        <v>15</v>
      </c>
      <c r="O12836" s="18">
        <v>1828</v>
      </c>
      <c r="P12836" s="18">
        <v>1881</v>
      </c>
      <c r="Q12836" t="s" s="16">
        <f>HYPERLINK("http://secrets.rutgers.edu:8080/data/asl-ftp/asllvd/demos/verify_start_end_handshape_annotations//test_auto_move//signs_mov/15111.mov","MOV")</f>
        <v>21</v>
      </c>
      <c r="R12836" t="s" s="16">
        <f>HYPERLINK("http://secrets.rutgers.edu:8080/data/asl-ftp/asllvd/demos/verify_start_end_handshape_annotations//test_auto_move//signs_mov_separ_signers/Liz_15111.mov","MOV")</f>
        <v>21</v>
      </c>
    </row>
    <row r="12837" s="2" customFormat="1" ht="13.5" customHeight="1">
      <c r="B12837" t="s" s="8">
        <v>4847</v>
      </c>
      <c r="C12837" t="s" s="9">
        <v>14</v>
      </c>
      <c r="D12837" t="s" s="8">
        <v>14</v>
      </c>
      <c r="E12837" t="s" s="9">
        <v>14</v>
      </c>
      <c r="F12837" t="s" s="10">
        <v>14</v>
      </c>
      <c r="G12837" t="s" s="11">
        <v>14</v>
      </c>
      <c r="H12837" t="s" s="10">
        <v>14</v>
      </c>
      <c r="I12837" t="s" s="11">
        <v>14</v>
      </c>
      <c r="J12837" t="s" s="11">
        <v>14</v>
      </c>
      <c r="K12837" t="s" s="12">
        <v>14</v>
      </c>
      <c r="L12837" t="s" s="12">
        <v>14</v>
      </c>
      <c r="M12837" t="s" s="10">
        <v>14</v>
      </c>
      <c r="N12837" t="s" s="11">
        <v>14</v>
      </c>
      <c r="O12837" t="s" s="8">
        <v>14</v>
      </c>
      <c r="P12837" t="s" s="8">
        <v>14</v>
      </c>
      <c r="Q12837" t="s" s="12">
        <v>14</v>
      </c>
      <c r="R12837" t="s" s="12">
        <v>14</v>
      </c>
    </row>
    <row r="12838" s="2" customFormat="1" ht="13.5" customHeight="1">
      <c r="B12838" s="13"/>
      <c r="C12838" t="s" s="9">
        <v>16</v>
      </c>
      <c r="D12838" t="s" s="8">
        <v>4847</v>
      </c>
      <c r="E12838" t="s" s="9">
        <v>4847</v>
      </c>
      <c r="F12838" s="19">
        <v>4</v>
      </c>
      <c r="G12838" t="s" s="11">
        <v>73</v>
      </c>
      <c r="H12838" s="19">
        <v>4</v>
      </c>
      <c r="I12838" t="s" s="11">
        <v>73</v>
      </c>
      <c r="J12838" t="s" s="11">
        <v>20</v>
      </c>
      <c r="K12838" t="s" s="16">
        <f>HYPERLINK("http://csr.bu.edu/ftp/asl/asllvd/demos/verify_start_end_handshape_annotations//test_auto_move//signs_mov/4127.mov","MOV")</f>
        <v>21</v>
      </c>
      <c r="L12838" t="s" s="16">
        <f>HYPERLINK("http://csr.bu.edu/ftp/asl/asllvd/demos/verify_start_end_handshape_annotations//test_auto_move//signs_mov_separ_signers/Liz_4127.mov","MOV")</f>
        <v>21</v>
      </c>
      <c r="M12838" t="s" s="10">
        <v>77</v>
      </c>
      <c r="N12838" s="17">
        <v>16</v>
      </c>
      <c r="O12838" s="18">
        <v>447</v>
      </c>
      <c r="P12838" s="18">
        <v>480</v>
      </c>
      <c r="Q12838" t="s" s="16">
        <f>HYPERLINK("http://secrets.rutgers.edu:8080/data/asl-ftp/asllvd/demos/verify_start_end_handshape_annotations//test_auto_move//signs_mov/4127.mov","MOV")</f>
        <v>21</v>
      </c>
      <c r="R12838" t="s" s="16">
        <f>HYPERLINK("http://secrets.rutgers.edu:8080/data/asl-ftp/asllvd/demos/verify_start_end_handshape_annotations//test_auto_move//signs_mov_separ_signers/Liz_4127.mov","MOV")</f>
        <v>21</v>
      </c>
    </row>
    <row r="12839" s="2" customFormat="1" ht="13.5" customHeight="1">
      <c r="B12839" s="13"/>
      <c r="C12839" t="s" s="9">
        <v>30</v>
      </c>
      <c r="D12839" t="s" s="8">
        <v>4847</v>
      </c>
      <c r="E12839" t="s" s="9">
        <v>4847</v>
      </c>
      <c r="F12839" s="19">
        <v>4</v>
      </c>
      <c r="G12839" t="s" s="11">
        <v>73</v>
      </c>
      <c r="H12839" s="19">
        <v>4</v>
      </c>
      <c r="I12839" t="s" s="11">
        <v>73</v>
      </c>
      <c r="J12839" t="s" s="11">
        <v>20</v>
      </c>
      <c r="K12839" s="15"/>
      <c r="L12839" t="s" s="16">
        <f>HYPERLINK("http://csr.bu.edu/ftp/asl/asllvd/demos/verify_start_end_handshape_annotations//test_auto_move//signs_mov_separ_signers/Brady_4127.mov","MOV")</f>
        <v>21</v>
      </c>
      <c r="M12839" t="s" s="10">
        <v>40</v>
      </c>
      <c r="N12839" s="17">
        <v>48</v>
      </c>
      <c r="O12839" s="18">
        <v>1673</v>
      </c>
      <c r="P12839" s="18">
        <v>1695</v>
      </c>
      <c r="Q12839" s="15"/>
      <c r="R12839" t="s" s="16">
        <f>HYPERLINK("http://secrets.rutgers.edu:8080/data/asl-ftp/asllvd/demos/verify_start_end_handshape_annotations//test_auto_move//signs_mov_separ_signers/Brady_4127.mov","MOV")</f>
        <v>21</v>
      </c>
    </row>
    <row r="12840" s="2" customFormat="1" ht="13.5" customHeight="1">
      <c r="B12840" t="s" s="8">
        <v>4848</v>
      </c>
      <c r="C12840" t="s" s="9">
        <v>14</v>
      </c>
      <c r="D12840" t="s" s="8">
        <v>14</v>
      </c>
      <c r="E12840" t="s" s="9">
        <v>14</v>
      </c>
      <c r="F12840" t="s" s="10">
        <v>14</v>
      </c>
      <c r="G12840" t="s" s="11">
        <v>14</v>
      </c>
      <c r="H12840" t="s" s="10">
        <v>14</v>
      </c>
      <c r="I12840" t="s" s="11">
        <v>14</v>
      </c>
      <c r="J12840" t="s" s="11">
        <v>14</v>
      </c>
      <c r="K12840" t="s" s="12">
        <v>14</v>
      </c>
      <c r="L12840" t="s" s="12">
        <v>14</v>
      </c>
      <c r="M12840" t="s" s="10">
        <v>14</v>
      </c>
      <c r="N12840" t="s" s="11">
        <v>14</v>
      </c>
      <c r="O12840" t="s" s="8">
        <v>14</v>
      </c>
      <c r="P12840" t="s" s="8">
        <v>14</v>
      </c>
      <c r="Q12840" t="s" s="12">
        <v>14</v>
      </c>
      <c r="R12840" t="s" s="12">
        <v>14</v>
      </c>
    </row>
    <row r="12841" s="2" customFormat="1" ht="13.5" customHeight="1">
      <c r="B12841" s="13"/>
      <c r="C12841" t="s" s="9">
        <v>16</v>
      </c>
      <c r="D12841" t="s" s="8">
        <v>4848</v>
      </c>
      <c r="E12841" t="s" s="9">
        <v>4848</v>
      </c>
      <c r="F12841" s="19">
        <v>5</v>
      </c>
      <c r="G12841" t="s" s="11">
        <v>73</v>
      </c>
      <c r="H12841" s="19">
        <v>5</v>
      </c>
      <c r="I12841" t="s" s="11">
        <v>73</v>
      </c>
      <c r="J12841" t="s" s="11">
        <v>20</v>
      </c>
      <c r="K12841" t="s" s="16">
        <f>HYPERLINK("http://csr.bu.edu/ftp/asl/asllvd/demos/verify_start_end_handshape_annotations//test_auto_move//signs_mov/4128.mov","MOV")</f>
        <v>21</v>
      </c>
      <c r="L12841" t="s" s="16">
        <f>HYPERLINK("http://csr.bu.edu/ftp/asl/asllvd/demos/verify_start_end_handshape_annotations//test_auto_move//signs_mov_separ_signers/Liz_4128.mov","MOV")</f>
        <v>21</v>
      </c>
      <c r="M12841" t="s" s="10">
        <v>77</v>
      </c>
      <c r="N12841" s="17">
        <v>16</v>
      </c>
      <c r="O12841" s="18">
        <v>595</v>
      </c>
      <c r="P12841" s="18">
        <v>630</v>
      </c>
      <c r="Q12841" t="s" s="16">
        <f>HYPERLINK("http://secrets.rutgers.edu:8080/data/asl-ftp/asllvd/demos/verify_start_end_handshape_annotations//test_auto_move//signs_mov/4128.mov","MOV")</f>
        <v>21</v>
      </c>
      <c r="R12841" t="s" s="16">
        <f>HYPERLINK("http://secrets.rutgers.edu:8080/data/asl-ftp/asllvd/demos/verify_start_end_handshape_annotations//test_auto_move//signs_mov_separ_signers/Liz_4128.mov","MOV")</f>
        <v>21</v>
      </c>
    </row>
    <row r="12842" s="2" customFormat="1" ht="13.5" customHeight="1">
      <c r="B12842" s="13"/>
      <c r="C12842" t="s" s="9">
        <v>30</v>
      </c>
      <c r="D12842" t="s" s="8">
        <v>4848</v>
      </c>
      <c r="E12842" t="s" s="9">
        <v>4848</v>
      </c>
      <c r="F12842" s="19">
        <v>5</v>
      </c>
      <c r="G12842" t="s" s="11">
        <v>73</v>
      </c>
      <c r="H12842" s="19">
        <v>5</v>
      </c>
      <c r="I12842" t="s" s="11">
        <v>73</v>
      </c>
      <c r="J12842" t="s" s="11">
        <v>20</v>
      </c>
      <c r="K12842" s="15"/>
      <c r="L12842" t="s" s="16">
        <f>HYPERLINK("http://csr.bu.edu/ftp/asl/asllvd/demos/verify_start_end_handshape_annotations//test_auto_move//signs_mov_separ_signers/Brady_4128.mov","MOV")</f>
        <v>21</v>
      </c>
      <c r="M12842" t="s" s="10">
        <v>40</v>
      </c>
      <c r="N12842" s="17">
        <v>49</v>
      </c>
      <c r="O12842" s="18">
        <v>695</v>
      </c>
      <c r="P12842" s="18">
        <v>720</v>
      </c>
      <c r="Q12842" s="15"/>
      <c r="R12842" t="s" s="16">
        <f>HYPERLINK("http://secrets.rutgers.edu:8080/data/asl-ftp/asllvd/demos/verify_start_end_handshape_annotations//test_auto_move//signs_mov_separ_signers/Brady_4128.mov","MOV")</f>
        <v>21</v>
      </c>
    </row>
    <row r="12843" s="2" customFormat="1" ht="13.5" customHeight="1">
      <c r="B12843" t="s" s="8">
        <v>4849</v>
      </c>
      <c r="C12843" t="s" s="9">
        <v>14</v>
      </c>
      <c r="D12843" t="s" s="8">
        <v>14</v>
      </c>
      <c r="E12843" t="s" s="9">
        <v>14</v>
      </c>
      <c r="F12843" t="s" s="10">
        <v>14</v>
      </c>
      <c r="G12843" t="s" s="11">
        <v>14</v>
      </c>
      <c r="H12843" t="s" s="10">
        <v>14</v>
      </c>
      <c r="I12843" t="s" s="11">
        <v>14</v>
      </c>
      <c r="J12843" t="s" s="11">
        <v>14</v>
      </c>
      <c r="K12843" t="s" s="12">
        <v>14</v>
      </c>
      <c r="L12843" t="s" s="12">
        <v>14</v>
      </c>
      <c r="M12843" t="s" s="10">
        <v>14</v>
      </c>
      <c r="N12843" t="s" s="11">
        <v>14</v>
      </c>
      <c r="O12843" t="s" s="8">
        <v>14</v>
      </c>
      <c r="P12843" t="s" s="8">
        <v>14</v>
      </c>
      <c r="Q12843" t="s" s="12">
        <v>14</v>
      </c>
      <c r="R12843" t="s" s="12">
        <v>14</v>
      </c>
    </row>
    <row r="12844" s="2" customFormat="1" ht="13.5" customHeight="1">
      <c r="B12844" s="13"/>
      <c r="C12844" t="s" s="9">
        <v>16</v>
      </c>
      <c r="D12844" t="s" s="8">
        <v>4849</v>
      </c>
      <c r="E12844" t="s" s="9">
        <v>4849</v>
      </c>
      <c r="F12844" s="19">
        <v>3</v>
      </c>
      <c r="G12844" t="s" s="11">
        <v>73</v>
      </c>
      <c r="H12844" s="19">
        <v>3</v>
      </c>
      <c r="I12844" t="s" s="11">
        <v>73</v>
      </c>
      <c r="J12844" t="s" s="11">
        <v>20</v>
      </c>
      <c r="K12844" t="s" s="16">
        <f>HYPERLINK("http://csr.bu.edu/ftp/asl/asllvd/demos/verify_start_end_handshape_annotations//test_auto_move//signs_mov/4130.mov","MOV")</f>
        <v>21</v>
      </c>
      <c r="L12844" t="s" s="16">
        <f>HYPERLINK("http://csr.bu.edu/ftp/asl/asllvd/demos/verify_start_end_handshape_annotations//test_auto_move//signs_mov_separ_signers/Liz_4130.mov","MOV")</f>
        <v>21</v>
      </c>
      <c r="M12844" t="s" s="10">
        <v>77</v>
      </c>
      <c r="N12844" s="17">
        <v>16</v>
      </c>
      <c r="O12844" s="18">
        <v>165</v>
      </c>
      <c r="P12844" s="18">
        <v>207</v>
      </c>
      <c r="Q12844" t="s" s="16">
        <f>HYPERLINK("http://secrets.rutgers.edu:8080/data/asl-ftp/asllvd/demos/verify_start_end_handshape_annotations//test_auto_move//signs_mov/4130.mov","MOV")</f>
        <v>21</v>
      </c>
      <c r="R12844" t="s" s="16">
        <f>HYPERLINK("http://secrets.rutgers.edu:8080/data/asl-ftp/asllvd/demos/verify_start_end_handshape_annotations//test_auto_move//signs_mov_separ_signers/Liz_4130.mov","MOV")</f>
        <v>21</v>
      </c>
    </row>
    <row r="12845" s="2" customFormat="1" ht="13.5" customHeight="1">
      <c r="B12845" s="13"/>
      <c r="C12845" t="s" s="9">
        <v>30</v>
      </c>
      <c r="D12845" t="s" s="8">
        <v>4849</v>
      </c>
      <c r="E12845" t="s" s="9">
        <v>4849</v>
      </c>
      <c r="F12845" s="19">
        <v>3</v>
      </c>
      <c r="G12845" t="s" s="11">
        <v>73</v>
      </c>
      <c r="H12845" s="19">
        <v>3</v>
      </c>
      <c r="I12845" t="s" s="11">
        <v>73</v>
      </c>
      <c r="J12845" t="s" s="11">
        <v>20</v>
      </c>
      <c r="K12845" s="15"/>
      <c r="L12845" t="s" s="16">
        <f>HYPERLINK("http://csr.bu.edu/ftp/asl/asllvd/demos/verify_start_end_handshape_annotations//test_auto_move//signs_mov_separ_signers/Brady_4130.mov","MOV")</f>
        <v>21</v>
      </c>
      <c r="M12845" t="s" s="10">
        <v>60</v>
      </c>
      <c r="N12845" s="17">
        <v>11</v>
      </c>
      <c r="O12845" s="18">
        <v>2717</v>
      </c>
      <c r="P12845" s="18">
        <v>2745</v>
      </c>
      <c r="Q12845" s="15"/>
      <c r="R12845" t="s" s="16">
        <f>HYPERLINK("http://secrets.rutgers.edu:8080/data/asl-ftp/asllvd/demos/verify_start_end_handshape_annotations//test_auto_move//signs_mov_separ_signers/Brady_4130.mov","MOV")</f>
        <v>21</v>
      </c>
    </row>
    <row r="12846" s="2" customFormat="1" ht="13.5" customHeight="1">
      <c r="B12846" t="s" s="8">
        <v>4850</v>
      </c>
      <c r="C12846" t="s" s="9">
        <v>14</v>
      </c>
      <c r="D12846" t="s" s="8">
        <v>14</v>
      </c>
      <c r="E12846" t="s" s="9">
        <v>14</v>
      </c>
      <c r="F12846" t="s" s="10">
        <v>14</v>
      </c>
      <c r="G12846" t="s" s="11">
        <v>14</v>
      </c>
      <c r="H12846" t="s" s="10">
        <v>14</v>
      </c>
      <c r="I12846" t="s" s="11">
        <v>14</v>
      </c>
      <c r="J12846" t="s" s="11">
        <v>14</v>
      </c>
      <c r="K12846" t="s" s="12">
        <v>14</v>
      </c>
      <c r="L12846" t="s" s="12">
        <v>14</v>
      </c>
      <c r="M12846" t="s" s="10">
        <v>14</v>
      </c>
      <c r="N12846" t="s" s="11">
        <v>14</v>
      </c>
      <c r="O12846" t="s" s="8">
        <v>14</v>
      </c>
      <c r="P12846" t="s" s="8">
        <v>14</v>
      </c>
      <c r="Q12846" t="s" s="12">
        <v>14</v>
      </c>
      <c r="R12846" t="s" s="12">
        <v>14</v>
      </c>
    </row>
    <row r="12847" s="2" customFormat="1" ht="13.5" customHeight="1">
      <c r="B12847" s="13"/>
      <c r="C12847" t="s" s="9">
        <v>16</v>
      </c>
      <c r="D12847" t="s" s="8">
        <v>4850</v>
      </c>
      <c r="E12847" t="s" s="9">
        <v>4850</v>
      </c>
      <c r="F12847" s="19">
        <v>3</v>
      </c>
      <c r="G12847" s="14"/>
      <c r="H12847" t="s" s="10">
        <v>373</v>
      </c>
      <c r="I12847" s="14"/>
      <c r="J12847" t="s" s="11">
        <v>20</v>
      </c>
      <c r="K12847" t="s" s="16">
        <f>HYPERLINK("http://csr.bu.edu/ftp/asl/asllvd/demos/verify_start_end_handshape_annotations//test_auto_move//signs_mov/4137.mov","MOV")</f>
        <v>21</v>
      </c>
      <c r="L12847" t="s" s="16">
        <f>HYPERLINK("http://csr.bu.edu/ftp/asl/asllvd/demos/verify_start_end_handshape_annotations//test_auto_move//signs_mov_separ_signers/Liz_4137.mov","MOV")</f>
        <v>21</v>
      </c>
      <c r="M12847" t="s" s="10">
        <v>77</v>
      </c>
      <c r="N12847" s="17">
        <v>16</v>
      </c>
      <c r="O12847" s="18">
        <v>766</v>
      </c>
      <c r="P12847" s="18">
        <v>790</v>
      </c>
      <c r="Q12847" t="s" s="16">
        <f>HYPERLINK("http://secrets.rutgers.edu:8080/data/asl-ftp/asllvd/demos/verify_start_end_handshape_annotations//test_auto_move//signs_mov/4137.mov","MOV")</f>
        <v>21</v>
      </c>
      <c r="R12847" t="s" s="16">
        <f>HYPERLINK("http://secrets.rutgers.edu:8080/data/asl-ftp/asllvd/demos/verify_start_end_handshape_annotations//test_auto_move//signs_mov_separ_signers/Liz_4137.mov","MOV")</f>
        <v>21</v>
      </c>
    </row>
    <row r="12848" s="2" customFormat="1" ht="13.5" customHeight="1">
      <c r="B12848" s="13"/>
      <c r="C12848" t="s" s="9">
        <v>30</v>
      </c>
      <c r="D12848" t="s" s="8">
        <v>4850</v>
      </c>
      <c r="E12848" t="s" s="9">
        <v>4850</v>
      </c>
      <c r="F12848" s="19">
        <v>3</v>
      </c>
      <c r="G12848" s="14"/>
      <c r="H12848" t="s" s="10">
        <v>373</v>
      </c>
      <c r="I12848" s="14"/>
      <c r="J12848" t="s" s="11">
        <v>20</v>
      </c>
      <c r="K12848" s="15"/>
      <c r="L12848" t="s" s="16">
        <f>HYPERLINK("http://csr.bu.edu/ftp/asl/asllvd/demos/verify_start_end_handshape_annotations//test_auto_move//signs_mov_separ_signers/Brady_4137.mov","MOV")</f>
        <v>21</v>
      </c>
      <c r="M12848" t="s" s="10">
        <v>40</v>
      </c>
      <c r="N12848" s="17">
        <v>116</v>
      </c>
      <c r="O12848" s="18">
        <v>2419</v>
      </c>
      <c r="P12848" s="18">
        <v>2447</v>
      </c>
      <c r="Q12848" s="15"/>
      <c r="R12848" t="s" s="16">
        <f>HYPERLINK("http://secrets.rutgers.edu:8080/data/asl-ftp/asllvd/demos/verify_start_end_handshape_annotations//test_auto_move//signs_mov_separ_signers/Brady_4137.mov","MOV")</f>
        <v>21</v>
      </c>
    </row>
    <row r="12849" s="2" customFormat="1" ht="13.5" customHeight="1">
      <c r="B12849" t="s" s="8">
        <v>4851</v>
      </c>
      <c r="C12849" t="s" s="9">
        <v>14</v>
      </c>
      <c r="D12849" t="s" s="8">
        <v>14</v>
      </c>
      <c r="E12849" t="s" s="9">
        <v>14</v>
      </c>
      <c r="F12849" t="s" s="10">
        <v>14</v>
      </c>
      <c r="G12849" t="s" s="11">
        <v>14</v>
      </c>
      <c r="H12849" t="s" s="10">
        <v>14</v>
      </c>
      <c r="I12849" t="s" s="11">
        <v>14</v>
      </c>
      <c r="J12849" t="s" s="11">
        <v>14</v>
      </c>
      <c r="K12849" t="s" s="12">
        <v>14</v>
      </c>
      <c r="L12849" t="s" s="12">
        <v>14</v>
      </c>
      <c r="M12849" t="s" s="10">
        <v>14</v>
      </c>
      <c r="N12849" t="s" s="11">
        <v>14</v>
      </c>
      <c r="O12849" t="s" s="8">
        <v>14</v>
      </c>
      <c r="P12849" t="s" s="8">
        <v>14</v>
      </c>
      <c r="Q12849" t="s" s="12">
        <v>14</v>
      </c>
      <c r="R12849" t="s" s="12">
        <v>14</v>
      </c>
    </row>
    <row r="12850" s="2" customFormat="1" ht="13.5" customHeight="1">
      <c r="B12850" s="13"/>
      <c r="C12850" t="s" s="9">
        <v>16</v>
      </c>
      <c r="D12850" t="s" s="8">
        <v>4851</v>
      </c>
      <c r="E12850" t="s" s="9">
        <v>4851</v>
      </c>
      <c r="F12850" t="s" s="10">
        <v>282</v>
      </c>
      <c r="G12850" t="s" s="11">
        <v>73</v>
      </c>
      <c r="H12850" s="19">
        <v>1</v>
      </c>
      <c r="I12850" t="s" s="11">
        <v>73</v>
      </c>
      <c r="J12850" t="s" s="11">
        <v>20</v>
      </c>
      <c r="K12850" t="s" s="16">
        <f>HYPERLINK("http://csr.bu.edu/ftp/asl/asllvd/demos/verify_start_end_handshape_annotations//test_auto_move//signs_mov/4148.mov","MOV")</f>
        <v>21</v>
      </c>
      <c r="L12850" t="s" s="16">
        <f>HYPERLINK("http://csr.bu.edu/ftp/asl/asllvd/demos/verify_start_end_handshape_annotations//test_auto_move//signs_mov_separ_signers/Liz_4148.mov","MOV")</f>
        <v>21</v>
      </c>
      <c r="M12850" t="s" s="10">
        <v>77</v>
      </c>
      <c r="N12850" s="17">
        <v>16</v>
      </c>
      <c r="O12850" s="18">
        <v>5400</v>
      </c>
      <c r="P12850" s="18">
        <v>5459</v>
      </c>
      <c r="Q12850" t="s" s="16">
        <f>HYPERLINK("http://secrets.rutgers.edu:8080/data/asl-ftp/asllvd/demos/verify_start_end_handshape_annotations//test_auto_move//signs_mov/4148.mov","MOV")</f>
        <v>21</v>
      </c>
      <c r="R12850" t="s" s="16">
        <f>HYPERLINK("http://secrets.rutgers.edu:8080/data/asl-ftp/asllvd/demos/verify_start_end_handshape_annotations//test_auto_move//signs_mov_separ_signers/Liz_4148.mov","MOV")</f>
        <v>21</v>
      </c>
    </row>
    <row r="12851" s="2" customFormat="1" ht="13.5" customHeight="1">
      <c r="B12851" t="s" s="8">
        <v>4852</v>
      </c>
      <c r="C12851" t="s" s="9">
        <v>14</v>
      </c>
      <c r="D12851" t="s" s="8">
        <v>14</v>
      </c>
      <c r="E12851" t="s" s="9">
        <v>14</v>
      </c>
      <c r="F12851" t="s" s="10">
        <v>14</v>
      </c>
      <c r="G12851" t="s" s="11">
        <v>14</v>
      </c>
      <c r="H12851" t="s" s="10">
        <v>14</v>
      </c>
      <c r="I12851" t="s" s="11">
        <v>14</v>
      </c>
      <c r="J12851" t="s" s="11">
        <v>14</v>
      </c>
      <c r="K12851" t="s" s="12">
        <v>14</v>
      </c>
      <c r="L12851" t="s" s="12">
        <v>14</v>
      </c>
      <c r="M12851" t="s" s="10">
        <v>14</v>
      </c>
      <c r="N12851" t="s" s="11">
        <v>14</v>
      </c>
      <c r="O12851" t="s" s="8">
        <v>14</v>
      </c>
      <c r="P12851" t="s" s="8">
        <v>14</v>
      </c>
      <c r="Q12851" t="s" s="12">
        <v>14</v>
      </c>
      <c r="R12851" t="s" s="12">
        <v>14</v>
      </c>
    </row>
    <row r="12852" s="2" customFormat="1" ht="13.5" customHeight="1">
      <c r="B12852" s="13"/>
      <c r="C12852" t="s" s="9">
        <v>16</v>
      </c>
      <c r="D12852" t="s" s="8">
        <v>4852</v>
      </c>
      <c r="E12852" t="s" s="9">
        <v>4852</v>
      </c>
      <c r="F12852" s="19">
        <v>3</v>
      </c>
      <c r="G12852" s="14"/>
      <c r="H12852" s="19">
        <v>3</v>
      </c>
      <c r="I12852" s="14"/>
      <c r="J12852" t="s" s="11">
        <v>20</v>
      </c>
      <c r="K12852" t="s" s="16">
        <f>HYPERLINK("http://csr.bu.edu/ftp/asl/asllvd/demos/verify_start_end_handshape_annotations//test_auto_move//signs_mov/4169.mov","MOV")</f>
        <v>21</v>
      </c>
      <c r="L12852" t="s" s="16">
        <f>HYPERLINK("http://csr.bu.edu/ftp/asl/asllvd/demos/verify_start_end_handshape_annotations//test_auto_move//signs_mov_separ_signers/Liz_4169.mov","MOV")</f>
        <v>21</v>
      </c>
      <c r="M12852" t="s" s="10">
        <v>77</v>
      </c>
      <c r="N12852" s="17">
        <v>19</v>
      </c>
      <c r="O12852" s="18">
        <v>295</v>
      </c>
      <c r="P12852" s="18">
        <v>325</v>
      </c>
      <c r="Q12852" t="s" s="16">
        <f>HYPERLINK("http://secrets.rutgers.edu:8080/data/asl-ftp/asllvd/demos/verify_start_end_handshape_annotations//test_auto_move//signs_mov/4169.mov","MOV")</f>
        <v>21</v>
      </c>
      <c r="R12852" t="s" s="16">
        <f>HYPERLINK("http://secrets.rutgers.edu:8080/data/asl-ftp/asllvd/demos/verify_start_end_handshape_annotations//test_auto_move//signs_mov_separ_signers/Liz_4169.mov","MOV")</f>
        <v>21</v>
      </c>
    </row>
    <row r="12853" s="2" customFormat="1" ht="13.5" customHeight="1">
      <c r="B12853" s="13"/>
      <c r="C12853" t="s" s="9">
        <v>30</v>
      </c>
      <c r="D12853" t="s" s="8">
        <v>4852</v>
      </c>
      <c r="E12853" t="s" s="9">
        <v>4852</v>
      </c>
      <c r="F12853" s="19">
        <v>3</v>
      </c>
      <c r="G12853" s="14"/>
      <c r="H12853" s="19">
        <v>3</v>
      </c>
      <c r="I12853" s="14"/>
      <c r="J12853" t="s" s="11">
        <v>20</v>
      </c>
      <c r="K12853" s="15"/>
      <c r="L12853" t="s" s="16">
        <f>HYPERLINK("http://csr.bu.edu/ftp/asl/asllvd/demos/verify_start_end_handshape_annotations//test_auto_move//signs_mov_separ_signers/Brady_4169.mov","MOV")</f>
        <v>21</v>
      </c>
      <c r="M12853" t="s" s="10">
        <v>31</v>
      </c>
      <c r="N12853" s="17">
        <v>31</v>
      </c>
      <c r="O12853" s="18">
        <v>11660</v>
      </c>
      <c r="P12853" s="18">
        <v>11684</v>
      </c>
      <c r="Q12853" s="15"/>
      <c r="R12853" t="s" s="16">
        <f>HYPERLINK("http://secrets.rutgers.edu:8080/data/asl-ftp/asllvd/demos/verify_start_end_handshape_annotations//test_auto_move//signs_mov_separ_signers/Brady_4169.mov","MOV")</f>
        <v>21</v>
      </c>
    </row>
    <row r="12854" s="2" customFormat="1" ht="13.5" customHeight="1">
      <c r="B12854" t="s" s="8">
        <v>4853</v>
      </c>
      <c r="C12854" t="s" s="9">
        <v>14</v>
      </c>
      <c r="D12854" t="s" s="8">
        <v>14</v>
      </c>
      <c r="E12854" t="s" s="9">
        <v>14</v>
      </c>
      <c r="F12854" t="s" s="10">
        <v>14</v>
      </c>
      <c r="G12854" t="s" s="11">
        <v>14</v>
      </c>
      <c r="H12854" t="s" s="10">
        <v>14</v>
      </c>
      <c r="I12854" t="s" s="11">
        <v>14</v>
      </c>
      <c r="J12854" t="s" s="11">
        <v>14</v>
      </c>
      <c r="K12854" t="s" s="12">
        <v>14</v>
      </c>
      <c r="L12854" t="s" s="12">
        <v>14</v>
      </c>
      <c r="M12854" t="s" s="10">
        <v>14</v>
      </c>
      <c r="N12854" t="s" s="11">
        <v>14</v>
      </c>
      <c r="O12854" t="s" s="8">
        <v>14</v>
      </c>
      <c r="P12854" t="s" s="8">
        <v>14</v>
      </c>
      <c r="Q12854" t="s" s="12">
        <v>14</v>
      </c>
      <c r="R12854" t="s" s="12">
        <v>14</v>
      </c>
    </row>
    <row r="12855" s="2" customFormat="1" ht="13.5" customHeight="1">
      <c r="B12855" s="13"/>
      <c r="C12855" t="s" s="9">
        <v>30</v>
      </c>
      <c r="D12855" t="s" s="8">
        <v>4853</v>
      </c>
      <c r="E12855" t="s" s="9">
        <v>4853</v>
      </c>
      <c r="F12855" s="19">
        <v>8</v>
      </c>
      <c r="G12855" s="14"/>
      <c r="H12855" s="19">
        <v>8</v>
      </c>
      <c r="I12855" s="14"/>
      <c r="J12855" t="s" s="11">
        <v>20</v>
      </c>
      <c r="K12855" t="s" s="16">
        <f>HYPERLINK("http://csr.bu.edu/ftp/asl/asllvd/demos/verify_start_end_handshape_annotations//test_auto_move//signs_mov/4170.mov","MOV")</f>
        <v>21</v>
      </c>
      <c r="L12855" t="s" s="16">
        <f>HYPERLINK("http://csr.bu.edu/ftp/asl/asllvd/demos/verify_start_end_handshape_annotations//test_auto_move//signs_mov_separ_signers/Brady_4170.mov","MOV")</f>
        <v>21</v>
      </c>
      <c r="M12855" t="s" s="10">
        <v>39</v>
      </c>
      <c r="N12855" s="17">
        <v>10</v>
      </c>
      <c r="O12855" s="18">
        <v>8038</v>
      </c>
      <c r="P12855" s="18">
        <v>8053</v>
      </c>
      <c r="Q12855" t="s" s="16">
        <f>HYPERLINK("http://secrets.rutgers.edu:8080/data/asl-ftp/asllvd/demos/verify_start_end_handshape_annotations//test_auto_move//signs_mov/4170.mov","MOV")</f>
        <v>21</v>
      </c>
      <c r="R12855" t="s" s="16">
        <f>HYPERLINK("http://secrets.rutgers.edu:8080/data/asl-ftp/asllvd/demos/verify_start_end_handshape_annotations//test_auto_move//signs_mov_separ_signers/Brady_4170.mov","MOV")</f>
        <v>21</v>
      </c>
    </row>
    <row r="12856" s="2" customFormat="1" ht="13.5" customHeight="1">
      <c r="B12856" t="s" s="8">
        <v>52</v>
      </c>
      <c r="C12856" t="s" s="9">
        <v>53</v>
      </c>
      <c r="D12856" t="s" s="8">
        <v>53</v>
      </c>
      <c r="E12856" t="s" s="9">
        <v>53</v>
      </c>
      <c r="F12856" t="s" s="10">
        <v>53</v>
      </c>
      <c r="G12856" t="s" s="11">
        <v>53</v>
      </c>
      <c r="H12856" t="s" s="10">
        <v>53</v>
      </c>
      <c r="I12856" t="s" s="11">
        <v>53</v>
      </c>
      <c r="J12856" t="s" s="11">
        <v>53</v>
      </c>
      <c r="K12856" t="s" s="12">
        <v>53</v>
      </c>
      <c r="L12856" t="s" s="12">
        <v>53</v>
      </c>
      <c r="M12856" t="s" s="10">
        <v>53</v>
      </c>
      <c r="N12856" t="s" s="11">
        <v>53</v>
      </c>
      <c r="O12856" t="s" s="8">
        <v>53</v>
      </c>
      <c r="P12856" t="s" s="8">
        <v>53</v>
      </c>
      <c r="Q12856" t="s" s="12">
        <v>53</v>
      </c>
      <c r="R12856" t="s" s="12">
        <v>53</v>
      </c>
    </row>
    <row r="12857" s="2" customFormat="1" ht="13.5" customHeight="1">
      <c r="B12857" s="13"/>
      <c r="C12857" t="s" s="9">
        <v>16</v>
      </c>
      <c r="D12857" t="s" s="8">
        <v>4853</v>
      </c>
      <c r="E12857" t="s" s="9">
        <v>4854</v>
      </c>
      <c r="F12857" s="19">
        <v>8</v>
      </c>
      <c r="G12857" s="14"/>
      <c r="H12857" s="19">
        <v>8</v>
      </c>
      <c r="I12857" s="14"/>
      <c r="J12857" t="s" s="11">
        <v>20</v>
      </c>
      <c r="K12857" t="s" s="16">
        <f>HYPERLINK("http://csr.bu.edu/ftp/asl/asllvd/demos/verify_start_end_handshape_annotations//test_auto_move//signs_mov/16352.mov","MOV")</f>
        <v>21</v>
      </c>
      <c r="L12857" t="s" s="16">
        <f>HYPERLINK("http://csr.bu.edu/ftp/asl/asllvd/demos/verify_start_end_handshape_annotations//test_auto_move//signs_mov_separ_signers/Liz_16352.mov","MOV")</f>
        <v>21</v>
      </c>
      <c r="M12857" t="s" s="10">
        <v>77</v>
      </c>
      <c r="N12857" s="17">
        <v>19</v>
      </c>
      <c r="O12857" s="18">
        <v>1312</v>
      </c>
      <c r="P12857" s="18">
        <v>1352</v>
      </c>
      <c r="Q12857" t="s" s="16">
        <f>HYPERLINK("http://secrets.rutgers.edu:8080/data/asl-ftp/asllvd/demos/verify_start_end_handshape_annotations//test_auto_move//signs_mov/16352.mov","MOV")</f>
        <v>21</v>
      </c>
      <c r="R12857" t="s" s="16">
        <f>HYPERLINK("http://secrets.rutgers.edu:8080/data/asl-ftp/asllvd/demos/verify_start_end_handshape_annotations//test_auto_move//signs_mov_separ_signers/Liz_16352.mov","MOV")</f>
        <v>21</v>
      </c>
    </row>
    <row r="12858" s="2" customFormat="1" ht="13.5" customHeight="1">
      <c r="B12858" t="s" s="8">
        <v>4855</v>
      </c>
      <c r="C12858" t="s" s="9">
        <v>14</v>
      </c>
      <c r="D12858" t="s" s="8">
        <v>14</v>
      </c>
      <c r="E12858" t="s" s="9">
        <v>14</v>
      </c>
      <c r="F12858" t="s" s="10">
        <v>14</v>
      </c>
      <c r="G12858" t="s" s="11">
        <v>14</v>
      </c>
      <c r="H12858" t="s" s="10">
        <v>14</v>
      </c>
      <c r="I12858" t="s" s="11">
        <v>14</v>
      </c>
      <c r="J12858" t="s" s="11">
        <v>14</v>
      </c>
      <c r="K12858" t="s" s="12">
        <v>14</v>
      </c>
      <c r="L12858" t="s" s="12">
        <v>14</v>
      </c>
      <c r="M12858" t="s" s="10">
        <v>14</v>
      </c>
      <c r="N12858" t="s" s="11">
        <v>14</v>
      </c>
      <c r="O12858" t="s" s="8">
        <v>14</v>
      </c>
      <c r="P12858" t="s" s="8">
        <v>14</v>
      </c>
      <c r="Q12858" t="s" s="12">
        <v>14</v>
      </c>
      <c r="R12858" t="s" s="12">
        <v>14</v>
      </c>
    </row>
    <row r="12859" s="2" customFormat="1" ht="13.5" customHeight="1">
      <c r="B12859" s="13"/>
      <c r="C12859" t="s" s="9">
        <v>16</v>
      </c>
      <c r="D12859" t="s" s="8">
        <v>4855</v>
      </c>
      <c r="E12859" t="s" s="9">
        <v>4855</v>
      </c>
      <c r="F12859" s="19">
        <v>8</v>
      </c>
      <c r="G12859" s="14"/>
      <c r="H12859" t="s" s="10">
        <v>282</v>
      </c>
      <c r="I12859" s="14"/>
      <c r="J12859" t="s" s="11">
        <v>20</v>
      </c>
      <c r="K12859" t="s" s="16">
        <f>HYPERLINK("http://csr.bu.edu/ftp/asl/asllvd/demos/verify_start_end_handshape_annotations//test_auto_move//signs_mov/4171.mov","MOV")</f>
        <v>21</v>
      </c>
      <c r="L12859" t="s" s="16">
        <f>HYPERLINK("http://csr.bu.edu/ftp/asl/asllvd/demos/verify_start_end_handshape_annotations//test_auto_move//signs_mov_separ_signers/Liz_4171.mov","MOV")</f>
        <v>21</v>
      </c>
      <c r="M12859" t="s" s="10">
        <v>77</v>
      </c>
      <c r="N12859" s="17">
        <v>19</v>
      </c>
      <c r="O12859" s="18">
        <v>2542</v>
      </c>
      <c r="P12859" s="18">
        <v>2590</v>
      </c>
      <c r="Q12859" t="s" s="16">
        <f>HYPERLINK("http://secrets.rutgers.edu:8080/data/asl-ftp/asllvd/demos/verify_start_end_handshape_annotations//test_auto_move//signs_mov/4171.mov","MOV")</f>
        <v>21</v>
      </c>
      <c r="R12859" t="s" s="16">
        <f>HYPERLINK("http://secrets.rutgers.edu:8080/data/asl-ftp/asllvd/demos/verify_start_end_handshape_annotations//test_auto_move//signs_mov_separ_signers/Liz_4171.mov","MOV")</f>
        <v>21</v>
      </c>
    </row>
    <row r="12860" s="2" customFormat="1" ht="13.5" customHeight="1">
      <c r="B12860" s="13"/>
      <c r="C12860" t="s" s="9">
        <v>30</v>
      </c>
      <c r="D12860" t="s" s="8">
        <v>4855</v>
      </c>
      <c r="E12860" t="s" s="9">
        <v>4855</v>
      </c>
      <c r="F12860" s="19">
        <v>8</v>
      </c>
      <c r="G12860" s="14"/>
      <c r="H12860" s="19">
        <v>6</v>
      </c>
      <c r="I12860" s="14"/>
      <c r="J12860" t="s" s="11">
        <v>20</v>
      </c>
      <c r="K12860" s="15"/>
      <c r="L12860" t="s" s="16">
        <f>HYPERLINK("http://csr.bu.edu/ftp/asl/asllvd/demos/verify_start_end_handshape_annotations//test_auto_move//signs_mov_separ_signers/Brady_4171.mov","MOV")</f>
        <v>21</v>
      </c>
      <c r="M12860" t="s" s="10">
        <v>39</v>
      </c>
      <c r="N12860" s="17">
        <v>10</v>
      </c>
      <c r="O12860" s="18">
        <v>8260</v>
      </c>
      <c r="P12860" s="18">
        <v>8280</v>
      </c>
      <c r="Q12860" s="15"/>
      <c r="R12860" t="s" s="16">
        <f>HYPERLINK("http://secrets.rutgers.edu:8080/data/asl-ftp/asllvd/demos/verify_start_end_handshape_annotations//test_auto_move//signs_mov_separ_signers/Brady_4171.mov","MOV")</f>
        <v>21</v>
      </c>
    </row>
    <row r="12861" s="2" customFormat="1" ht="13.5" customHeight="1">
      <c r="B12861" t="s" s="8">
        <v>4856</v>
      </c>
      <c r="C12861" t="s" s="9">
        <v>14</v>
      </c>
      <c r="D12861" t="s" s="8">
        <v>14</v>
      </c>
      <c r="E12861" t="s" s="9">
        <v>14</v>
      </c>
      <c r="F12861" t="s" s="10">
        <v>14</v>
      </c>
      <c r="G12861" t="s" s="11">
        <v>14</v>
      </c>
      <c r="H12861" t="s" s="10">
        <v>14</v>
      </c>
      <c r="I12861" t="s" s="11">
        <v>14</v>
      </c>
      <c r="J12861" t="s" s="11">
        <v>14</v>
      </c>
      <c r="K12861" t="s" s="12">
        <v>14</v>
      </c>
      <c r="L12861" t="s" s="12">
        <v>14</v>
      </c>
      <c r="M12861" t="s" s="10">
        <v>14</v>
      </c>
      <c r="N12861" t="s" s="11">
        <v>14</v>
      </c>
      <c r="O12861" t="s" s="8">
        <v>14</v>
      </c>
      <c r="P12861" t="s" s="8">
        <v>14</v>
      </c>
      <c r="Q12861" t="s" s="12">
        <v>14</v>
      </c>
      <c r="R12861" t="s" s="12">
        <v>14</v>
      </c>
    </row>
    <row r="12862" s="2" customFormat="1" ht="13.5" customHeight="1">
      <c r="B12862" s="13"/>
      <c r="C12862" t="s" s="9">
        <v>16</v>
      </c>
      <c r="D12862" t="s" s="8">
        <v>4856</v>
      </c>
      <c r="E12862" t="s" s="9">
        <v>4856</v>
      </c>
      <c r="F12862" s="19">
        <v>5</v>
      </c>
      <c r="G12862" s="14"/>
      <c r="H12862" s="19">
        <v>5</v>
      </c>
      <c r="I12862" s="14"/>
      <c r="J12862" t="s" s="11">
        <v>20</v>
      </c>
      <c r="K12862" t="s" s="16">
        <f>HYPERLINK("http://csr.bu.edu/ftp/asl/asllvd/demos/verify_start_end_handshape_annotations//test_auto_move//signs_mov/4172.mov","MOV")</f>
        <v>21</v>
      </c>
      <c r="L12862" t="s" s="16">
        <f>HYPERLINK("http://csr.bu.edu/ftp/asl/asllvd/demos/verify_start_end_handshape_annotations//test_auto_move//signs_mov_separ_signers/Liz_4172.mov","MOV")</f>
        <v>21</v>
      </c>
      <c r="M12862" t="s" s="10">
        <v>77</v>
      </c>
      <c r="N12862" s="17">
        <v>19</v>
      </c>
      <c r="O12862" s="18">
        <v>885</v>
      </c>
      <c r="P12862" s="18">
        <v>930</v>
      </c>
      <c r="Q12862" t="s" s="16">
        <f>HYPERLINK("http://secrets.rutgers.edu:8080/data/asl-ftp/asllvd/demos/verify_start_end_handshape_annotations//test_auto_move//signs_mov/4172.mov","MOV")</f>
        <v>21</v>
      </c>
      <c r="R12862" t="s" s="16">
        <f>HYPERLINK("http://secrets.rutgers.edu:8080/data/asl-ftp/asllvd/demos/verify_start_end_handshape_annotations//test_auto_move//signs_mov_separ_signers/Liz_4172.mov","MOV")</f>
        <v>21</v>
      </c>
    </row>
    <row r="12863" s="2" customFormat="1" ht="13.5" customHeight="1">
      <c r="B12863" s="13"/>
      <c r="C12863" t="s" s="9">
        <v>30</v>
      </c>
      <c r="D12863" t="s" s="8">
        <v>4856</v>
      </c>
      <c r="E12863" t="s" s="9">
        <v>4856</v>
      </c>
      <c r="F12863" s="19">
        <v>5</v>
      </c>
      <c r="G12863" s="14"/>
      <c r="H12863" s="19">
        <v>5</v>
      </c>
      <c r="I12863" s="14"/>
      <c r="J12863" t="s" s="11">
        <v>20</v>
      </c>
      <c r="K12863" s="15"/>
      <c r="L12863" t="s" s="16">
        <f>HYPERLINK("http://csr.bu.edu/ftp/asl/asllvd/demos/verify_start_end_handshape_annotations//test_auto_move//signs_mov_separ_signers/Brady_4172.mov","MOV")</f>
        <v>21</v>
      </c>
      <c r="M12863" t="s" s="10">
        <v>39</v>
      </c>
      <c r="N12863" s="17">
        <v>17</v>
      </c>
      <c r="O12863" s="18">
        <v>5855</v>
      </c>
      <c r="P12863" s="18">
        <v>5881</v>
      </c>
      <c r="Q12863" s="15"/>
      <c r="R12863" t="s" s="16">
        <f>HYPERLINK("http://secrets.rutgers.edu:8080/data/asl-ftp/asllvd/demos/verify_start_end_handshape_annotations//test_auto_move//signs_mov_separ_signers/Brady_4172.mov","MOV")</f>
        <v>21</v>
      </c>
    </row>
    <row r="12864" s="2" customFormat="1" ht="13.5" customHeight="1">
      <c r="B12864" t="s" s="8">
        <v>4857</v>
      </c>
      <c r="C12864" t="s" s="9">
        <v>14</v>
      </c>
      <c r="D12864" t="s" s="8">
        <v>14</v>
      </c>
      <c r="E12864" t="s" s="9">
        <v>14</v>
      </c>
      <c r="F12864" t="s" s="10">
        <v>14</v>
      </c>
      <c r="G12864" t="s" s="11">
        <v>14</v>
      </c>
      <c r="H12864" t="s" s="10">
        <v>14</v>
      </c>
      <c r="I12864" t="s" s="11">
        <v>14</v>
      </c>
      <c r="J12864" t="s" s="11">
        <v>14</v>
      </c>
      <c r="K12864" t="s" s="12">
        <v>14</v>
      </c>
      <c r="L12864" t="s" s="12">
        <v>14</v>
      </c>
      <c r="M12864" t="s" s="10">
        <v>14</v>
      </c>
      <c r="N12864" t="s" s="11">
        <v>14</v>
      </c>
      <c r="O12864" t="s" s="8">
        <v>14</v>
      </c>
      <c r="P12864" t="s" s="8">
        <v>14</v>
      </c>
      <c r="Q12864" t="s" s="12">
        <v>14</v>
      </c>
      <c r="R12864" t="s" s="12">
        <v>14</v>
      </c>
    </row>
    <row r="12865" s="2" customFormat="1" ht="13.5" customHeight="1">
      <c r="B12865" s="13"/>
      <c r="C12865" t="s" s="9">
        <v>16</v>
      </c>
      <c r="D12865" t="s" s="8">
        <v>4857</v>
      </c>
      <c r="E12865" t="s" s="9">
        <v>4857</v>
      </c>
      <c r="F12865" s="19">
        <v>4</v>
      </c>
      <c r="G12865" s="14"/>
      <c r="H12865" s="19">
        <v>4</v>
      </c>
      <c r="I12865" s="14"/>
      <c r="J12865" t="s" s="11">
        <v>20</v>
      </c>
      <c r="K12865" t="s" s="16">
        <f>HYPERLINK("http://csr.bu.edu/ftp/asl/asllvd/demos/verify_start_end_handshape_annotations//test_auto_move//signs_mov/4173.mov","MOV")</f>
        <v>21</v>
      </c>
      <c r="L12865" t="s" s="16">
        <f>HYPERLINK("http://csr.bu.edu/ftp/asl/asllvd/demos/verify_start_end_handshape_annotations//test_auto_move//signs_mov_separ_signers/Liz_4173.mov","MOV")</f>
        <v>21</v>
      </c>
      <c r="M12865" t="s" s="10">
        <v>77</v>
      </c>
      <c r="N12865" s="17">
        <v>19</v>
      </c>
      <c r="O12865" s="18">
        <v>740</v>
      </c>
      <c r="P12865" s="18">
        <v>780</v>
      </c>
      <c r="Q12865" t="s" s="16">
        <f>HYPERLINK("http://secrets.rutgers.edu:8080/data/asl-ftp/asllvd/demos/verify_start_end_handshape_annotations//test_auto_move//signs_mov/4173.mov","MOV")</f>
        <v>21</v>
      </c>
      <c r="R12865" t="s" s="16">
        <f>HYPERLINK("http://secrets.rutgers.edu:8080/data/asl-ftp/asllvd/demos/verify_start_end_handshape_annotations//test_auto_move//signs_mov_separ_signers/Liz_4173.mov","MOV")</f>
        <v>21</v>
      </c>
    </row>
    <row r="12866" s="2" customFormat="1" ht="13.5" customHeight="1">
      <c r="B12866" s="13"/>
      <c r="C12866" t="s" s="9">
        <v>30</v>
      </c>
      <c r="D12866" t="s" s="8">
        <v>4857</v>
      </c>
      <c r="E12866" t="s" s="9">
        <v>4857</v>
      </c>
      <c r="F12866" s="19">
        <v>4</v>
      </c>
      <c r="G12866" s="14"/>
      <c r="H12866" s="19">
        <v>4</v>
      </c>
      <c r="I12866" s="14"/>
      <c r="J12866" t="s" s="11">
        <v>20</v>
      </c>
      <c r="K12866" s="15"/>
      <c r="L12866" t="s" s="16">
        <f>HYPERLINK("http://csr.bu.edu/ftp/asl/asllvd/demos/verify_start_end_handshape_annotations//test_auto_move//signs_mov_separ_signers/Brady_4173.mov","MOV")</f>
        <v>21</v>
      </c>
      <c r="M12866" t="s" s="10">
        <v>39</v>
      </c>
      <c r="N12866" s="17">
        <v>22</v>
      </c>
      <c r="O12866" s="18">
        <v>2893</v>
      </c>
      <c r="P12866" s="18">
        <v>2914</v>
      </c>
      <c r="Q12866" s="15"/>
      <c r="R12866" t="s" s="16">
        <f>HYPERLINK("http://secrets.rutgers.edu:8080/data/asl-ftp/asllvd/demos/verify_start_end_handshape_annotations//test_auto_move//signs_mov_separ_signers/Brady_4173.mov","MOV")</f>
        <v>21</v>
      </c>
    </row>
    <row r="12867" s="2" customFormat="1" ht="13.5" customHeight="1">
      <c r="B12867" t="s" s="8">
        <v>4858</v>
      </c>
      <c r="C12867" t="s" s="9">
        <v>14</v>
      </c>
      <c r="D12867" t="s" s="8">
        <v>14</v>
      </c>
      <c r="E12867" t="s" s="9">
        <v>14</v>
      </c>
      <c r="F12867" t="s" s="10">
        <v>14</v>
      </c>
      <c r="G12867" t="s" s="11">
        <v>14</v>
      </c>
      <c r="H12867" t="s" s="10">
        <v>14</v>
      </c>
      <c r="I12867" t="s" s="11">
        <v>14</v>
      </c>
      <c r="J12867" t="s" s="11">
        <v>14</v>
      </c>
      <c r="K12867" t="s" s="12">
        <v>14</v>
      </c>
      <c r="L12867" t="s" s="12">
        <v>14</v>
      </c>
      <c r="M12867" t="s" s="10">
        <v>14</v>
      </c>
      <c r="N12867" t="s" s="11">
        <v>14</v>
      </c>
      <c r="O12867" t="s" s="8">
        <v>14</v>
      </c>
      <c r="P12867" t="s" s="8">
        <v>14</v>
      </c>
      <c r="Q12867" t="s" s="12">
        <v>14</v>
      </c>
      <c r="R12867" t="s" s="12">
        <v>14</v>
      </c>
    </row>
    <row r="12868" s="2" customFormat="1" ht="13.5" customHeight="1">
      <c r="B12868" s="13"/>
      <c r="C12868" t="s" s="9">
        <v>16</v>
      </c>
      <c r="D12868" t="s" s="8">
        <v>4858</v>
      </c>
      <c r="E12868" t="s" s="9">
        <v>4858</v>
      </c>
      <c r="F12868" t="s" s="10">
        <v>282</v>
      </c>
      <c r="G12868" s="14"/>
      <c r="H12868" s="19">
        <v>8</v>
      </c>
      <c r="I12868" s="14"/>
      <c r="J12868" t="s" s="11">
        <v>20</v>
      </c>
      <c r="K12868" t="s" s="16">
        <f>HYPERLINK("http://csr.bu.edu/ftp/asl/asllvd/demos/verify_start_end_handshape_annotations//test_auto_move//signs_mov/4176.mov","MOV")</f>
        <v>21</v>
      </c>
      <c r="L12868" t="s" s="16">
        <f>HYPERLINK("http://csr.bu.edu/ftp/asl/asllvd/demos/verify_start_end_handshape_annotations//test_auto_move//signs_mov_separ_signers/Liz_4176.mov","MOV")</f>
        <v>21</v>
      </c>
      <c r="M12868" t="s" s="10">
        <v>77</v>
      </c>
      <c r="N12868" s="17">
        <v>19</v>
      </c>
      <c r="O12868" s="18">
        <v>2840</v>
      </c>
      <c r="P12868" s="18">
        <v>2895</v>
      </c>
      <c r="Q12868" t="s" s="16">
        <f>HYPERLINK("http://secrets.rutgers.edu:8080/data/asl-ftp/asllvd/demos/verify_start_end_handshape_annotations//test_auto_move//signs_mov/4176.mov","MOV")</f>
        <v>21</v>
      </c>
      <c r="R12868" t="s" s="16">
        <f>HYPERLINK("http://secrets.rutgers.edu:8080/data/asl-ftp/asllvd/demos/verify_start_end_handshape_annotations//test_auto_move//signs_mov_separ_signers/Liz_4176.mov","MOV")</f>
        <v>21</v>
      </c>
    </row>
    <row r="12869" s="2" customFormat="1" ht="13.5" customHeight="1">
      <c r="B12869" t="s" s="8">
        <v>4859</v>
      </c>
      <c r="C12869" t="s" s="9">
        <v>14</v>
      </c>
      <c r="D12869" t="s" s="8">
        <v>14</v>
      </c>
      <c r="E12869" t="s" s="9">
        <v>14</v>
      </c>
      <c r="F12869" t="s" s="10">
        <v>14</v>
      </c>
      <c r="G12869" t="s" s="11">
        <v>14</v>
      </c>
      <c r="H12869" t="s" s="10">
        <v>14</v>
      </c>
      <c r="I12869" t="s" s="11">
        <v>14</v>
      </c>
      <c r="J12869" t="s" s="11">
        <v>14</v>
      </c>
      <c r="K12869" t="s" s="12">
        <v>14</v>
      </c>
      <c r="L12869" t="s" s="12">
        <v>14</v>
      </c>
      <c r="M12869" t="s" s="10">
        <v>14</v>
      </c>
      <c r="N12869" t="s" s="11">
        <v>14</v>
      </c>
      <c r="O12869" t="s" s="8">
        <v>14</v>
      </c>
      <c r="P12869" t="s" s="8">
        <v>14</v>
      </c>
      <c r="Q12869" t="s" s="12">
        <v>14</v>
      </c>
      <c r="R12869" t="s" s="12">
        <v>14</v>
      </c>
    </row>
    <row r="12870" s="2" customFormat="1" ht="13.5" customHeight="1">
      <c r="B12870" s="13"/>
      <c r="C12870" t="s" s="9">
        <v>16</v>
      </c>
      <c r="D12870" t="s" s="8">
        <v>4859</v>
      </c>
      <c r="E12870" t="s" s="9">
        <v>4859</v>
      </c>
      <c r="F12870" t="s" s="10">
        <v>282</v>
      </c>
      <c r="G12870" s="14"/>
      <c r="H12870" t="s" s="10">
        <v>282</v>
      </c>
      <c r="I12870" s="14"/>
      <c r="J12870" t="s" s="11">
        <v>20</v>
      </c>
      <c r="K12870" t="s" s="16">
        <f>HYPERLINK("http://csr.bu.edu/ftp/asl/asllvd/demos/verify_start_end_handshape_annotations//test_auto_move//signs_mov/4177.mov","MOV")</f>
        <v>21</v>
      </c>
      <c r="L12870" t="s" s="16">
        <f>HYPERLINK("http://csr.bu.edu/ftp/asl/asllvd/demos/verify_start_end_handshape_annotations//test_auto_move//signs_mov_separ_signers/Liz_4177.mov","MOV")</f>
        <v>21</v>
      </c>
      <c r="M12870" t="s" s="10">
        <v>77</v>
      </c>
      <c r="N12870" s="17">
        <v>19</v>
      </c>
      <c r="O12870" s="18">
        <v>1447</v>
      </c>
      <c r="P12870" s="18">
        <v>1465</v>
      </c>
      <c r="Q12870" t="s" s="16">
        <f>HYPERLINK("http://secrets.rutgers.edu:8080/data/asl-ftp/asllvd/demos/verify_start_end_handshape_annotations//test_auto_move//signs_mov/4177.mov","MOV")</f>
        <v>21</v>
      </c>
      <c r="R12870" t="s" s="16">
        <f>HYPERLINK("http://secrets.rutgers.edu:8080/data/asl-ftp/asllvd/demos/verify_start_end_handshape_annotations//test_auto_move//signs_mov_separ_signers/Liz_4177.mov","MOV")</f>
        <v>21</v>
      </c>
    </row>
    <row r="12871" s="2" customFormat="1" ht="13.5" customHeight="1">
      <c r="B12871" t="s" s="8">
        <v>4860</v>
      </c>
      <c r="C12871" t="s" s="9">
        <v>14</v>
      </c>
      <c r="D12871" t="s" s="8">
        <v>14</v>
      </c>
      <c r="E12871" t="s" s="9">
        <v>14</v>
      </c>
      <c r="F12871" t="s" s="10">
        <v>14</v>
      </c>
      <c r="G12871" t="s" s="11">
        <v>14</v>
      </c>
      <c r="H12871" t="s" s="10">
        <v>14</v>
      </c>
      <c r="I12871" t="s" s="11">
        <v>14</v>
      </c>
      <c r="J12871" t="s" s="11">
        <v>14</v>
      </c>
      <c r="K12871" t="s" s="12">
        <v>14</v>
      </c>
      <c r="L12871" t="s" s="12">
        <v>14</v>
      </c>
      <c r="M12871" t="s" s="10">
        <v>14</v>
      </c>
      <c r="N12871" t="s" s="11">
        <v>14</v>
      </c>
      <c r="O12871" t="s" s="8">
        <v>14</v>
      </c>
      <c r="P12871" t="s" s="8">
        <v>14</v>
      </c>
      <c r="Q12871" t="s" s="12">
        <v>14</v>
      </c>
      <c r="R12871" t="s" s="12">
        <v>14</v>
      </c>
    </row>
    <row r="12872" s="2" customFormat="1" ht="13.5" customHeight="1">
      <c r="B12872" s="13"/>
      <c r="C12872" t="s" s="9">
        <v>16</v>
      </c>
      <c r="D12872" t="s" s="8">
        <v>4860</v>
      </c>
      <c r="E12872" t="s" s="9">
        <v>4860</v>
      </c>
      <c r="F12872" t="s" s="10">
        <v>282</v>
      </c>
      <c r="G12872" s="14"/>
      <c r="H12872" s="19">
        <v>7</v>
      </c>
      <c r="I12872" s="14"/>
      <c r="J12872" t="s" s="11">
        <v>20</v>
      </c>
      <c r="K12872" t="s" s="16">
        <f>HYPERLINK("http://csr.bu.edu/ftp/asl/asllvd/demos/verify_start_end_handshape_annotations//test_auto_move//signs_mov/4178.mov","MOV")</f>
        <v>21</v>
      </c>
      <c r="L12872" t="s" s="16">
        <f>HYPERLINK("http://csr.bu.edu/ftp/asl/asllvd/demos/verify_start_end_handshape_annotations//test_auto_move//signs_mov_separ_signers/Liz_4178.mov","MOV")</f>
        <v>21</v>
      </c>
      <c r="M12872" t="s" s="10">
        <v>77</v>
      </c>
      <c r="N12872" s="17">
        <v>19</v>
      </c>
      <c r="O12872" s="18">
        <v>2696</v>
      </c>
      <c r="P12872" s="18">
        <v>2745</v>
      </c>
      <c r="Q12872" t="s" s="16">
        <f>HYPERLINK("http://secrets.rutgers.edu:8080/data/asl-ftp/asllvd/demos/verify_start_end_handshape_annotations//test_auto_move//signs_mov/4178.mov","MOV")</f>
        <v>21</v>
      </c>
      <c r="R12872" t="s" s="16">
        <f>HYPERLINK("http://secrets.rutgers.edu:8080/data/asl-ftp/asllvd/demos/verify_start_end_handshape_annotations//test_auto_move//signs_mov_separ_signers/Liz_4178.mov","MOV")</f>
        <v>21</v>
      </c>
    </row>
    <row r="12873" s="2" customFormat="1" ht="13.5" customHeight="1">
      <c r="B12873" t="s" s="8">
        <v>4861</v>
      </c>
      <c r="C12873" t="s" s="9">
        <v>14</v>
      </c>
      <c r="D12873" t="s" s="8">
        <v>14</v>
      </c>
      <c r="E12873" t="s" s="9">
        <v>14</v>
      </c>
      <c r="F12873" t="s" s="10">
        <v>14</v>
      </c>
      <c r="G12873" t="s" s="11">
        <v>14</v>
      </c>
      <c r="H12873" t="s" s="10">
        <v>14</v>
      </c>
      <c r="I12873" t="s" s="11">
        <v>14</v>
      </c>
      <c r="J12873" t="s" s="11">
        <v>14</v>
      </c>
      <c r="K12873" t="s" s="12">
        <v>14</v>
      </c>
      <c r="L12873" t="s" s="12">
        <v>14</v>
      </c>
      <c r="M12873" t="s" s="10">
        <v>14</v>
      </c>
      <c r="N12873" t="s" s="11">
        <v>14</v>
      </c>
      <c r="O12873" t="s" s="8">
        <v>14</v>
      </c>
      <c r="P12873" t="s" s="8">
        <v>14</v>
      </c>
      <c r="Q12873" t="s" s="12">
        <v>14</v>
      </c>
      <c r="R12873" t="s" s="12">
        <v>14</v>
      </c>
    </row>
    <row r="12874" s="2" customFormat="1" ht="13.5" customHeight="1">
      <c r="B12874" s="13"/>
      <c r="C12874" t="s" s="9">
        <v>16</v>
      </c>
      <c r="D12874" t="s" s="8">
        <v>4861</v>
      </c>
      <c r="E12874" t="s" s="9">
        <v>4861</v>
      </c>
      <c r="F12874" s="19">
        <v>7</v>
      </c>
      <c r="G12874" s="14"/>
      <c r="H12874" s="19">
        <v>8</v>
      </c>
      <c r="I12874" s="14"/>
      <c r="J12874" t="s" s="11">
        <v>20</v>
      </c>
      <c r="K12874" t="s" s="16">
        <f>HYPERLINK("http://csr.bu.edu/ftp/asl/asllvd/demos/verify_start_end_handshape_annotations//test_auto_move//signs_mov/4179.mov","MOV")</f>
        <v>21</v>
      </c>
      <c r="L12874" t="s" s="16">
        <f>HYPERLINK("http://csr.bu.edu/ftp/asl/asllvd/demos/verify_start_end_handshape_annotations//test_auto_move//signs_mov_separ_signers/Liz_4179.mov","MOV")</f>
        <v>21</v>
      </c>
      <c r="M12874" t="s" s="10">
        <v>77</v>
      </c>
      <c r="N12874" s="17">
        <v>19</v>
      </c>
      <c r="O12874" s="18">
        <v>2230</v>
      </c>
      <c r="P12874" s="18">
        <v>2297</v>
      </c>
      <c r="Q12874" t="s" s="16">
        <f>HYPERLINK("http://secrets.rutgers.edu:8080/data/asl-ftp/asllvd/demos/verify_start_end_handshape_annotations//test_auto_move//signs_mov/4179.mov","MOV")</f>
        <v>21</v>
      </c>
      <c r="R12874" t="s" s="16">
        <f>HYPERLINK("http://secrets.rutgers.edu:8080/data/asl-ftp/asllvd/demos/verify_start_end_handshape_annotations//test_auto_move//signs_mov_separ_signers/Liz_4179.mov","MOV")</f>
        <v>21</v>
      </c>
    </row>
    <row r="12875" s="2" customFormat="1" ht="13.5" customHeight="1">
      <c r="B12875" s="13"/>
      <c r="C12875" t="s" s="9">
        <v>30</v>
      </c>
      <c r="D12875" t="s" s="8">
        <v>4861</v>
      </c>
      <c r="E12875" t="s" s="9">
        <v>4861</v>
      </c>
      <c r="F12875" s="19">
        <v>7</v>
      </c>
      <c r="G12875" s="14"/>
      <c r="H12875" s="19">
        <v>8</v>
      </c>
      <c r="I12875" s="14"/>
      <c r="J12875" t="s" s="11">
        <v>20</v>
      </c>
      <c r="K12875" s="15"/>
      <c r="L12875" t="s" s="16">
        <f>HYPERLINK("http://csr.bu.edu/ftp/asl/asllvd/demos/verify_start_end_handshape_annotations//test_auto_move//signs_mov_separ_signers/Brady_4179.mov","MOV")</f>
        <v>21</v>
      </c>
      <c r="M12875" t="s" s="10">
        <v>40</v>
      </c>
      <c r="N12875" s="17">
        <v>78</v>
      </c>
      <c r="O12875" s="18">
        <v>554</v>
      </c>
      <c r="P12875" s="18">
        <v>570</v>
      </c>
      <c r="Q12875" s="15"/>
      <c r="R12875" t="s" s="16">
        <f>HYPERLINK("http://secrets.rutgers.edu:8080/data/asl-ftp/asllvd/demos/verify_start_end_handshape_annotations//test_auto_move//signs_mov_separ_signers/Brady_4179.mov","MOV")</f>
        <v>21</v>
      </c>
    </row>
    <row r="12876" s="2" customFormat="1" ht="13.5" customHeight="1">
      <c r="B12876" t="s" s="8">
        <v>4862</v>
      </c>
      <c r="C12876" t="s" s="9">
        <v>14</v>
      </c>
      <c r="D12876" t="s" s="8">
        <v>14</v>
      </c>
      <c r="E12876" t="s" s="9">
        <v>14</v>
      </c>
      <c r="F12876" t="s" s="10">
        <v>14</v>
      </c>
      <c r="G12876" t="s" s="11">
        <v>14</v>
      </c>
      <c r="H12876" t="s" s="10">
        <v>14</v>
      </c>
      <c r="I12876" t="s" s="11">
        <v>14</v>
      </c>
      <c r="J12876" t="s" s="11">
        <v>14</v>
      </c>
      <c r="K12876" t="s" s="12">
        <v>14</v>
      </c>
      <c r="L12876" t="s" s="12">
        <v>14</v>
      </c>
      <c r="M12876" t="s" s="10">
        <v>14</v>
      </c>
      <c r="N12876" t="s" s="11">
        <v>14</v>
      </c>
      <c r="O12876" t="s" s="8">
        <v>14</v>
      </c>
      <c r="P12876" t="s" s="8">
        <v>14</v>
      </c>
      <c r="Q12876" t="s" s="12">
        <v>14</v>
      </c>
      <c r="R12876" t="s" s="12">
        <v>14</v>
      </c>
    </row>
    <row r="12877" s="2" customFormat="1" ht="13.5" customHeight="1">
      <c r="B12877" s="13"/>
      <c r="C12877" t="s" s="9">
        <v>16</v>
      </c>
      <c r="D12877" t="s" s="8">
        <v>4862</v>
      </c>
      <c r="E12877" t="s" s="9">
        <v>4862</v>
      </c>
      <c r="F12877" s="19">
        <v>7</v>
      </c>
      <c r="G12877" s="14"/>
      <c r="H12877" t="s" s="10">
        <v>282</v>
      </c>
      <c r="I12877" s="14"/>
      <c r="J12877" t="s" s="11">
        <v>20</v>
      </c>
      <c r="K12877" t="s" s="16">
        <f>HYPERLINK("http://csr.bu.edu/ftp/asl/asllvd/demos/verify_start_end_handshape_annotations//test_auto_move//signs_mov/4180.mov","MOV")</f>
        <v>21</v>
      </c>
      <c r="L12877" t="s" s="16">
        <f>HYPERLINK("http://csr.bu.edu/ftp/asl/asllvd/demos/verify_start_end_handshape_annotations//test_auto_move//signs_mov_separ_signers/Liz_4180.mov","MOV")</f>
        <v>21</v>
      </c>
      <c r="M12877" t="s" s="10">
        <v>77</v>
      </c>
      <c r="N12877" s="17">
        <v>19</v>
      </c>
      <c r="O12877" s="18">
        <v>2385</v>
      </c>
      <c r="P12877" s="18">
        <v>2441</v>
      </c>
      <c r="Q12877" t="s" s="16">
        <f>HYPERLINK("http://secrets.rutgers.edu:8080/data/asl-ftp/asllvd/demos/verify_start_end_handshape_annotations//test_auto_move//signs_mov/4180.mov","MOV")</f>
        <v>21</v>
      </c>
      <c r="R12877" t="s" s="16">
        <f>HYPERLINK("http://secrets.rutgers.edu:8080/data/asl-ftp/asllvd/demos/verify_start_end_handshape_annotations//test_auto_move//signs_mov_separ_signers/Liz_4180.mov","MOV")</f>
        <v>21</v>
      </c>
    </row>
    <row r="12878" s="2" customFormat="1" ht="13.5" customHeight="1">
      <c r="B12878" s="13"/>
      <c r="C12878" t="s" s="9">
        <v>30</v>
      </c>
      <c r="D12878" t="s" s="8">
        <v>4862</v>
      </c>
      <c r="E12878" t="s" s="9">
        <v>4862</v>
      </c>
      <c r="F12878" s="19">
        <v>7</v>
      </c>
      <c r="G12878" s="14"/>
      <c r="H12878" t="s" s="10">
        <v>282</v>
      </c>
      <c r="I12878" s="14"/>
      <c r="J12878" t="s" s="11">
        <v>20</v>
      </c>
      <c r="K12878" s="15"/>
      <c r="L12878" t="s" s="16">
        <f>HYPERLINK("http://csr.bu.edu/ftp/asl/asllvd/demos/verify_start_end_handshape_annotations//test_auto_move//signs_mov_separ_signers/Brady_4180.mov","MOV")</f>
        <v>21</v>
      </c>
      <c r="M12878" t="s" s="10">
        <v>40</v>
      </c>
      <c r="N12878" s="17">
        <v>78</v>
      </c>
      <c r="O12878" s="18">
        <v>804</v>
      </c>
      <c r="P12878" s="18">
        <v>823</v>
      </c>
      <c r="Q12878" s="15"/>
      <c r="R12878" t="s" s="16">
        <f>HYPERLINK("http://secrets.rutgers.edu:8080/data/asl-ftp/asllvd/demos/verify_start_end_handshape_annotations//test_auto_move//signs_mov_separ_signers/Brady_4180.mov","MOV")</f>
        <v>21</v>
      </c>
    </row>
    <row r="12879" s="2" customFormat="1" ht="13.5" customHeight="1">
      <c r="B12879" t="s" s="8">
        <v>4863</v>
      </c>
      <c r="C12879" t="s" s="9">
        <v>14</v>
      </c>
      <c r="D12879" t="s" s="8">
        <v>14</v>
      </c>
      <c r="E12879" t="s" s="9">
        <v>14</v>
      </c>
      <c r="F12879" t="s" s="10">
        <v>14</v>
      </c>
      <c r="G12879" t="s" s="11">
        <v>14</v>
      </c>
      <c r="H12879" t="s" s="10">
        <v>14</v>
      </c>
      <c r="I12879" t="s" s="11">
        <v>14</v>
      </c>
      <c r="J12879" t="s" s="11">
        <v>14</v>
      </c>
      <c r="K12879" t="s" s="12">
        <v>14</v>
      </c>
      <c r="L12879" t="s" s="12">
        <v>14</v>
      </c>
      <c r="M12879" t="s" s="10">
        <v>14</v>
      </c>
      <c r="N12879" t="s" s="11">
        <v>14</v>
      </c>
      <c r="O12879" t="s" s="8">
        <v>14</v>
      </c>
      <c r="P12879" t="s" s="8">
        <v>14</v>
      </c>
      <c r="Q12879" t="s" s="12">
        <v>14</v>
      </c>
      <c r="R12879" t="s" s="12">
        <v>14</v>
      </c>
    </row>
    <row r="12880" s="2" customFormat="1" ht="13.5" customHeight="1">
      <c r="B12880" s="13"/>
      <c r="C12880" t="s" s="9">
        <v>16</v>
      </c>
      <c r="D12880" t="s" s="8">
        <v>4863</v>
      </c>
      <c r="E12880" t="s" s="9">
        <v>4863</v>
      </c>
      <c r="F12880" s="19">
        <v>7</v>
      </c>
      <c r="G12880" s="14"/>
      <c r="H12880" s="19">
        <v>7</v>
      </c>
      <c r="I12880" s="14"/>
      <c r="J12880" t="s" s="11">
        <v>20</v>
      </c>
      <c r="K12880" t="s" s="16">
        <f>HYPERLINK("http://csr.bu.edu/ftp/asl/asllvd/demos/verify_start_end_handshape_annotations//test_auto_move//signs_mov/4181.mov","MOV")</f>
        <v>21</v>
      </c>
      <c r="L12880" t="s" s="16">
        <f>HYPERLINK("http://csr.bu.edu/ftp/asl/asllvd/demos/verify_start_end_handshape_annotations//test_auto_move//signs_mov_separ_signers/Liz_4181.mov","MOV")</f>
        <v>21</v>
      </c>
      <c r="M12880" t="s" s="10">
        <v>77</v>
      </c>
      <c r="N12880" s="17">
        <v>19</v>
      </c>
      <c r="O12880" s="18">
        <v>1190</v>
      </c>
      <c r="P12880" s="18">
        <v>1232</v>
      </c>
      <c r="Q12880" t="s" s="16">
        <f>HYPERLINK("http://secrets.rutgers.edu:8080/data/asl-ftp/asllvd/demos/verify_start_end_handshape_annotations//test_auto_move//signs_mov/4181.mov","MOV")</f>
        <v>21</v>
      </c>
      <c r="R12880" t="s" s="16">
        <f>HYPERLINK("http://secrets.rutgers.edu:8080/data/asl-ftp/asllvd/demos/verify_start_end_handshape_annotations//test_auto_move//signs_mov_separ_signers/Liz_4181.mov","MOV")</f>
        <v>21</v>
      </c>
    </row>
    <row r="12881" s="2" customFormat="1" ht="13.5" customHeight="1">
      <c r="B12881" t="s" s="8">
        <v>52</v>
      </c>
      <c r="C12881" t="s" s="9">
        <v>53</v>
      </c>
      <c r="D12881" t="s" s="8">
        <v>53</v>
      </c>
      <c r="E12881" t="s" s="9">
        <v>53</v>
      </c>
      <c r="F12881" t="s" s="10">
        <v>53</v>
      </c>
      <c r="G12881" t="s" s="11">
        <v>53</v>
      </c>
      <c r="H12881" t="s" s="10">
        <v>53</v>
      </c>
      <c r="I12881" t="s" s="11">
        <v>53</v>
      </c>
      <c r="J12881" t="s" s="11">
        <v>53</v>
      </c>
      <c r="K12881" t="s" s="12">
        <v>53</v>
      </c>
      <c r="L12881" t="s" s="12">
        <v>53</v>
      </c>
      <c r="M12881" t="s" s="10">
        <v>53</v>
      </c>
      <c r="N12881" t="s" s="11">
        <v>53</v>
      </c>
      <c r="O12881" t="s" s="8">
        <v>53</v>
      </c>
      <c r="P12881" t="s" s="8">
        <v>53</v>
      </c>
      <c r="Q12881" t="s" s="12">
        <v>53</v>
      </c>
      <c r="R12881" t="s" s="12">
        <v>53</v>
      </c>
    </row>
    <row r="12882" s="2" customFormat="1" ht="13.5" customHeight="1">
      <c r="B12882" s="13"/>
      <c r="C12882" t="s" s="9">
        <v>30</v>
      </c>
      <c r="D12882" t="s" s="8">
        <v>4863</v>
      </c>
      <c r="E12882" t="s" s="9">
        <v>4864</v>
      </c>
      <c r="F12882" s="19">
        <v>7</v>
      </c>
      <c r="G12882" s="14"/>
      <c r="H12882" s="19">
        <v>7</v>
      </c>
      <c r="I12882" s="14"/>
      <c r="J12882" t="s" s="11">
        <v>20</v>
      </c>
      <c r="K12882" t="s" s="16">
        <f>HYPERLINK("http://csr.bu.edu/ftp/asl/asllvd/demos/verify_start_end_handshape_annotations//test_auto_move//signs_mov/16484.mov","MOV")</f>
        <v>21</v>
      </c>
      <c r="L12882" t="s" s="16">
        <f>HYPERLINK("http://csr.bu.edu/ftp/asl/asllvd/demos/verify_start_end_handshape_annotations//test_auto_move//signs_mov_separ_signers/Brady_16484.mov","MOV")</f>
        <v>21</v>
      </c>
      <c r="M12882" t="s" s="10">
        <v>40</v>
      </c>
      <c r="N12882" s="17">
        <v>78</v>
      </c>
      <c r="O12882" s="18">
        <v>1022</v>
      </c>
      <c r="P12882" s="18">
        <v>1044</v>
      </c>
      <c r="Q12882" t="s" s="16">
        <f>HYPERLINK("http://secrets.rutgers.edu:8080/data/asl-ftp/asllvd/demos/verify_start_end_handshape_annotations//test_auto_move//signs_mov/16484.mov","MOV")</f>
        <v>21</v>
      </c>
      <c r="R12882" t="s" s="16">
        <f>HYPERLINK("http://secrets.rutgers.edu:8080/data/asl-ftp/asllvd/demos/verify_start_end_handshape_annotations//test_auto_move//signs_mov_separ_signers/Brady_16484.mov","MOV")</f>
        <v>21</v>
      </c>
    </row>
    <row r="12883" s="2" customFormat="1" ht="13.5" customHeight="1">
      <c r="B12883" t="s" s="8">
        <v>4865</v>
      </c>
      <c r="C12883" t="s" s="9">
        <v>14</v>
      </c>
      <c r="D12883" t="s" s="8">
        <v>14</v>
      </c>
      <c r="E12883" t="s" s="9">
        <v>14</v>
      </c>
      <c r="F12883" t="s" s="10">
        <v>14</v>
      </c>
      <c r="G12883" t="s" s="11">
        <v>14</v>
      </c>
      <c r="H12883" t="s" s="10">
        <v>14</v>
      </c>
      <c r="I12883" t="s" s="11">
        <v>14</v>
      </c>
      <c r="J12883" t="s" s="11">
        <v>14</v>
      </c>
      <c r="K12883" t="s" s="12">
        <v>14</v>
      </c>
      <c r="L12883" t="s" s="12">
        <v>14</v>
      </c>
      <c r="M12883" t="s" s="10">
        <v>14</v>
      </c>
      <c r="N12883" t="s" s="11">
        <v>14</v>
      </c>
      <c r="O12883" t="s" s="8">
        <v>14</v>
      </c>
      <c r="P12883" t="s" s="8">
        <v>14</v>
      </c>
      <c r="Q12883" t="s" s="12">
        <v>14</v>
      </c>
      <c r="R12883" t="s" s="12">
        <v>14</v>
      </c>
    </row>
    <row r="12884" s="2" customFormat="1" ht="13.5" customHeight="1">
      <c r="B12884" s="13"/>
      <c r="C12884" t="s" s="9">
        <v>30</v>
      </c>
      <c r="D12884" t="s" s="8">
        <v>4865</v>
      </c>
      <c r="E12884" t="s" s="9">
        <v>4865</v>
      </c>
      <c r="F12884" s="19">
        <v>7</v>
      </c>
      <c r="G12884" s="14"/>
      <c r="H12884" s="19">
        <v>6</v>
      </c>
      <c r="I12884" s="14"/>
      <c r="J12884" t="s" s="11">
        <v>20</v>
      </c>
      <c r="K12884" t="s" s="16">
        <f>HYPERLINK("http://csr.bu.edu/ftp/asl/asllvd/demos/verify_start_end_handshape_annotations//test_auto_move//signs_mov/4182.mov","MOV")</f>
        <v>21</v>
      </c>
      <c r="L12884" t="s" s="16">
        <f>HYPERLINK("http://csr.bu.edu/ftp/asl/asllvd/demos/verify_start_end_handshape_annotations//test_auto_move//signs_mov_separ_signers/Brady_4182.mov","MOV")</f>
        <v>21</v>
      </c>
      <c r="M12884" t="s" s="10">
        <v>40</v>
      </c>
      <c r="N12884" s="17">
        <v>78</v>
      </c>
      <c r="O12884" s="18">
        <v>1272</v>
      </c>
      <c r="P12884" s="18">
        <v>1290</v>
      </c>
      <c r="Q12884" t="s" s="16">
        <f>HYPERLINK("http://secrets.rutgers.edu:8080/data/asl-ftp/asllvd/demos/verify_start_end_handshape_annotations//test_auto_move//signs_mov/4182.mov","MOV")</f>
        <v>21</v>
      </c>
      <c r="R12884" t="s" s="16">
        <f>HYPERLINK("http://secrets.rutgers.edu:8080/data/asl-ftp/asllvd/demos/verify_start_end_handshape_annotations//test_auto_move//signs_mov_separ_signers/Brady_4182.mov","MOV")</f>
        <v>21</v>
      </c>
    </row>
    <row r="12885" s="2" customFormat="1" ht="13.5" customHeight="1">
      <c r="B12885" t="s" s="8">
        <v>52</v>
      </c>
      <c r="C12885" t="s" s="9">
        <v>53</v>
      </c>
      <c r="D12885" t="s" s="8">
        <v>53</v>
      </c>
      <c r="E12885" t="s" s="9">
        <v>53</v>
      </c>
      <c r="F12885" t="s" s="10">
        <v>53</v>
      </c>
      <c r="G12885" t="s" s="11">
        <v>53</v>
      </c>
      <c r="H12885" t="s" s="10">
        <v>53</v>
      </c>
      <c r="I12885" t="s" s="11">
        <v>53</v>
      </c>
      <c r="J12885" t="s" s="11">
        <v>53</v>
      </c>
      <c r="K12885" t="s" s="12">
        <v>53</v>
      </c>
      <c r="L12885" t="s" s="12">
        <v>53</v>
      </c>
      <c r="M12885" t="s" s="10">
        <v>53</v>
      </c>
      <c r="N12885" t="s" s="11">
        <v>53</v>
      </c>
      <c r="O12885" t="s" s="8">
        <v>53</v>
      </c>
      <c r="P12885" t="s" s="8">
        <v>53</v>
      </c>
      <c r="Q12885" t="s" s="12">
        <v>53</v>
      </c>
      <c r="R12885" t="s" s="12">
        <v>53</v>
      </c>
    </row>
    <row r="12886" s="2" customFormat="1" ht="13.5" customHeight="1">
      <c r="B12886" s="13"/>
      <c r="C12886" t="s" s="9">
        <v>16</v>
      </c>
      <c r="D12886" t="s" s="8">
        <v>4865</v>
      </c>
      <c r="E12886" t="s" s="9">
        <v>4866</v>
      </c>
      <c r="F12886" s="19">
        <v>7</v>
      </c>
      <c r="G12886" s="14"/>
      <c r="H12886" s="19">
        <v>6</v>
      </c>
      <c r="I12886" s="14"/>
      <c r="J12886" t="s" s="11">
        <v>20</v>
      </c>
      <c r="K12886" t="s" s="16">
        <f>HYPERLINK("http://csr.bu.edu/ftp/asl/asllvd/demos/verify_start_end_handshape_annotations//test_auto_move//signs_mov/16485.mov","MOV")</f>
        <v>21</v>
      </c>
      <c r="L12886" t="s" s="16">
        <f>HYPERLINK("http://csr.bu.edu/ftp/asl/asllvd/demos/verify_start_end_handshape_annotations//test_auto_move//signs_mov_separ_signers/Liz_16485.mov","MOV")</f>
        <v>21</v>
      </c>
      <c r="M12886" t="s" s="10">
        <v>77</v>
      </c>
      <c r="N12886" s="17">
        <v>19</v>
      </c>
      <c r="O12886" s="18">
        <v>2047</v>
      </c>
      <c r="P12886" s="18">
        <v>2117</v>
      </c>
      <c r="Q12886" t="s" s="16">
        <f>HYPERLINK("http://secrets.rutgers.edu:8080/data/asl-ftp/asllvd/demos/verify_start_end_handshape_annotations//test_auto_move//signs_mov/16485.mov","MOV")</f>
        <v>21</v>
      </c>
      <c r="R12886" t="s" s="16">
        <f>HYPERLINK("http://secrets.rutgers.edu:8080/data/asl-ftp/asllvd/demos/verify_start_end_handshape_annotations//test_auto_move//signs_mov_separ_signers/Liz_16485.mov","MOV")</f>
        <v>21</v>
      </c>
    </row>
    <row r="12887" s="2" customFormat="1" ht="13.5" customHeight="1">
      <c r="B12887" t="s" s="8">
        <v>4867</v>
      </c>
      <c r="C12887" t="s" s="9">
        <v>14</v>
      </c>
      <c r="D12887" t="s" s="8">
        <v>14</v>
      </c>
      <c r="E12887" t="s" s="9">
        <v>14</v>
      </c>
      <c r="F12887" t="s" s="10">
        <v>14</v>
      </c>
      <c r="G12887" t="s" s="11">
        <v>14</v>
      </c>
      <c r="H12887" t="s" s="10">
        <v>14</v>
      </c>
      <c r="I12887" t="s" s="11">
        <v>14</v>
      </c>
      <c r="J12887" t="s" s="11">
        <v>14</v>
      </c>
      <c r="K12887" t="s" s="12">
        <v>14</v>
      </c>
      <c r="L12887" t="s" s="12">
        <v>14</v>
      </c>
      <c r="M12887" t="s" s="10">
        <v>14</v>
      </c>
      <c r="N12887" t="s" s="11">
        <v>14</v>
      </c>
      <c r="O12887" t="s" s="8">
        <v>14</v>
      </c>
      <c r="P12887" t="s" s="8">
        <v>14</v>
      </c>
      <c r="Q12887" t="s" s="12">
        <v>14</v>
      </c>
      <c r="R12887" t="s" s="12">
        <v>14</v>
      </c>
    </row>
    <row r="12888" s="2" customFormat="1" ht="13.5" customHeight="1">
      <c r="B12888" s="13"/>
      <c r="C12888" t="s" s="9">
        <v>16</v>
      </c>
      <c r="D12888" t="s" s="8">
        <v>4867</v>
      </c>
      <c r="E12888" t="s" s="9">
        <v>4867</v>
      </c>
      <c r="F12888" s="19">
        <v>6</v>
      </c>
      <c r="G12888" s="14"/>
      <c r="H12888" s="19">
        <v>8</v>
      </c>
      <c r="I12888" s="14"/>
      <c r="J12888" t="s" s="11">
        <v>20</v>
      </c>
      <c r="K12888" t="s" s="16">
        <f>HYPERLINK("http://csr.bu.edu/ftp/asl/asllvd/demos/verify_start_end_handshape_annotations//test_auto_move//signs_mov/4183.mov","MOV")</f>
        <v>21</v>
      </c>
      <c r="L12888" t="s" s="16">
        <f>HYPERLINK("http://csr.bu.edu/ftp/asl/asllvd/demos/verify_start_end_handshape_annotations//test_auto_move//signs_mov_separ_signers/Liz_4183.mov","MOV")</f>
        <v>21</v>
      </c>
      <c r="M12888" t="s" s="10">
        <v>77</v>
      </c>
      <c r="N12888" s="17">
        <v>19</v>
      </c>
      <c r="O12888" s="18">
        <v>1745</v>
      </c>
      <c r="P12888" s="18">
        <v>1805</v>
      </c>
      <c r="Q12888" t="s" s="16">
        <f>HYPERLINK("http://secrets.rutgers.edu:8080/data/asl-ftp/asllvd/demos/verify_start_end_handshape_annotations//test_auto_move//signs_mov/4183.mov","MOV")</f>
        <v>21</v>
      </c>
      <c r="R12888" t="s" s="16">
        <f>HYPERLINK("http://secrets.rutgers.edu:8080/data/asl-ftp/asllvd/demos/verify_start_end_handshape_annotations//test_auto_move//signs_mov_separ_signers/Liz_4183.mov","MOV")</f>
        <v>21</v>
      </c>
    </row>
    <row r="12889" s="2" customFormat="1" ht="13.5" customHeight="1">
      <c r="B12889" s="13"/>
      <c r="C12889" t="s" s="9">
        <v>30</v>
      </c>
      <c r="D12889" t="s" s="8">
        <v>4867</v>
      </c>
      <c r="E12889" t="s" s="9">
        <v>4867</v>
      </c>
      <c r="F12889" s="19">
        <v>6</v>
      </c>
      <c r="G12889" s="14"/>
      <c r="H12889" s="19">
        <v>8</v>
      </c>
      <c r="I12889" s="14"/>
      <c r="J12889" t="s" s="11">
        <v>20</v>
      </c>
      <c r="K12889" s="15"/>
      <c r="L12889" t="s" s="16">
        <f>HYPERLINK("http://csr.bu.edu/ftp/asl/asllvd/demos/verify_start_end_handshape_annotations//test_auto_move//signs_mov_separ_signers/Brady_4183.mov","MOV")</f>
        <v>21</v>
      </c>
      <c r="M12889" t="s" s="10">
        <v>40</v>
      </c>
      <c r="N12889" s="17">
        <v>85</v>
      </c>
      <c r="O12889" s="18">
        <v>783</v>
      </c>
      <c r="P12889" s="18">
        <v>804</v>
      </c>
      <c r="Q12889" s="15"/>
      <c r="R12889" t="s" s="16">
        <f>HYPERLINK("http://secrets.rutgers.edu:8080/data/asl-ftp/asllvd/demos/verify_start_end_handshape_annotations//test_auto_move//signs_mov_separ_signers/Brady_4183.mov","MOV")</f>
        <v>21</v>
      </c>
    </row>
    <row r="12890" s="2" customFormat="1" ht="13.5" customHeight="1">
      <c r="B12890" t="s" s="8">
        <v>4868</v>
      </c>
      <c r="C12890" t="s" s="9">
        <v>14</v>
      </c>
      <c r="D12890" t="s" s="8">
        <v>14</v>
      </c>
      <c r="E12890" t="s" s="9">
        <v>14</v>
      </c>
      <c r="F12890" t="s" s="10">
        <v>14</v>
      </c>
      <c r="G12890" t="s" s="11">
        <v>14</v>
      </c>
      <c r="H12890" t="s" s="10">
        <v>14</v>
      </c>
      <c r="I12890" t="s" s="11">
        <v>14</v>
      </c>
      <c r="J12890" t="s" s="11">
        <v>14</v>
      </c>
      <c r="K12890" t="s" s="12">
        <v>14</v>
      </c>
      <c r="L12890" t="s" s="12">
        <v>14</v>
      </c>
      <c r="M12890" t="s" s="10">
        <v>14</v>
      </c>
      <c r="N12890" t="s" s="11">
        <v>14</v>
      </c>
      <c r="O12890" t="s" s="8">
        <v>14</v>
      </c>
      <c r="P12890" t="s" s="8">
        <v>14</v>
      </c>
      <c r="Q12890" t="s" s="12">
        <v>14</v>
      </c>
      <c r="R12890" t="s" s="12">
        <v>14</v>
      </c>
    </row>
    <row r="12891" s="2" customFormat="1" ht="13.5" customHeight="1">
      <c r="B12891" s="13"/>
      <c r="C12891" t="s" s="9">
        <v>16</v>
      </c>
      <c r="D12891" t="s" s="8">
        <v>4868</v>
      </c>
      <c r="E12891" t="s" s="9">
        <v>4868</v>
      </c>
      <c r="F12891" s="19">
        <v>6</v>
      </c>
      <c r="G12891" s="14"/>
      <c r="H12891" t="s" s="10">
        <v>282</v>
      </c>
      <c r="I12891" s="14"/>
      <c r="J12891" t="s" s="11">
        <v>20</v>
      </c>
      <c r="K12891" t="s" s="16">
        <f>HYPERLINK("http://csr.bu.edu/ftp/asl/asllvd/demos/verify_start_end_handshape_annotations//test_auto_move//signs_mov/4184.mov","MOV")</f>
        <v>21</v>
      </c>
      <c r="L12891" t="s" s="16">
        <f>HYPERLINK("http://csr.bu.edu/ftp/asl/asllvd/demos/verify_start_end_handshape_annotations//test_auto_move//signs_mov_separ_signers/Liz_4184.mov","MOV")</f>
        <v>21</v>
      </c>
      <c r="M12891" t="s" s="10">
        <v>77</v>
      </c>
      <c r="N12891" s="17">
        <v>19</v>
      </c>
      <c r="O12891" s="18">
        <v>1887</v>
      </c>
      <c r="P12891" s="18">
        <v>1935</v>
      </c>
      <c r="Q12891" t="s" s="16">
        <f>HYPERLINK("http://secrets.rutgers.edu:8080/data/asl-ftp/asllvd/demos/verify_start_end_handshape_annotations//test_auto_move//signs_mov/4184.mov","MOV")</f>
        <v>21</v>
      </c>
      <c r="R12891" t="s" s="16">
        <f>HYPERLINK("http://secrets.rutgers.edu:8080/data/asl-ftp/asllvd/demos/verify_start_end_handshape_annotations//test_auto_move//signs_mov_separ_signers/Liz_4184.mov","MOV")</f>
        <v>21</v>
      </c>
    </row>
    <row r="12892" s="2" customFormat="1" ht="13.5" customHeight="1">
      <c r="B12892" s="13"/>
      <c r="C12892" t="s" s="9">
        <v>30</v>
      </c>
      <c r="D12892" t="s" s="8">
        <v>4868</v>
      </c>
      <c r="E12892" t="s" s="9">
        <v>4868</v>
      </c>
      <c r="F12892" s="19">
        <v>6</v>
      </c>
      <c r="G12892" s="14"/>
      <c r="H12892" t="s" s="10">
        <v>282</v>
      </c>
      <c r="I12892" s="14"/>
      <c r="J12892" t="s" s="11">
        <v>20</v>
      </c>
      <c r="K12892" s="15"/>
      <c r="L12892" t="s" s="16">
        <f>HYPERLINK("http://csr.bu.edu/ftp/asl/asllvd/demos/verify_start_end_handshape_annotations//test_auto_move//signs_mov_separ_signers/Brady_4184.mov","MOV")</f>
        <v>21</v>
      </c>
      <c r="M12892" t="s" s="10">
        <v>40</v>
      </c>
      <c r="N12892" s="17">
        <v>85</v>
      </c>
      <c r="O12892" s="18">
        <v>1056</v>
      </c>
      <c r="P12892" s="18">
        <v>1076</v>
      </c>
      <c r="Q12892" s="15"/>
      <c r="R12892" t="s" s="16">
        <f>HYPERLINK("http://secrets.rutgers.edu:8080/data/asl-ftp/asllvd/demos/verify_start_end_handshape_annotations//test_auto_move//signs_mov_separ_signers/Brady_4184.mov","MOV")</f>
        <v>21</v>
      </c>
    </row>
    <row r="12893" s="2" customFormat="1" ht="13.5" customHeight="1">
      <c r="B12893" t="s" s="8">
        <v>4869</v>
      </c>
      <c r="C12893" t="s" s="9">
        <v>14</v>
      </c>
      <c r="D12893" t="s" s="8">
        <v>14</v>
      </c>
      <c r="E12893" t="s" s="9">
        <v>14</v>
      </c>
      <c r="F12893" t="s" s="10">
        <v>14</v>
      </c>
      <c r="G12893" t="s" s="11">
        <v>14</v>
      </c>
      <c r="H12893" t="s" s="10">
        <v>14</v>
      </c>
      <c r="I12893" t="s" s="11">
        <v>14</v>
      </c>
      <c r="J12893" t="s" s="11">
        <v>14</v>
      </c>
      <c r="K12893" t="s" s="12">
        <v>14</v>
      </c>
      <c r="L12893" t="s" s="12">
        <v>14</v>
      </c>
      <c r="M12893" t="s" s="10">
        <v>14</v>
      </c>
      <c r="N12893" t="s" s="11">
        <v>14</v>
      </c>
      <c r="O12893" t="s" s="8">
        <v>14</v>
      </c>
      <c r="P12893" t="s" s="8">
        <v>14</v>
      </c>
      <c r="Q12893" t="s" s="12">
        <v>14</v>
      </c>
      <c r="R12893" t="s" s="12">
        <v>14</v>
      </c>
    </row>
    <row r="12894" s="2" customFormat="1" ht="13.5" customHeight="1">
      <c r="B12894" s="13"/>
      <c r="C12894" t="s" s="9">
        <v>16</v>
      </c>
      <c r="D12894" t="s" s="8">
        <v>4869</v>
      </c>
      <c r="E12894" t="s" s="9">
        <v>4869</v>
      </c>
      <c r="F12894" s="19">
        <v>6</v>
      </c>
      <c r="G12894" s="14"/>
      <c r="H12894" s="19">
        <v>7</v>
      </c>
      <c r="I12894" s="14"/>
      <c r="J12894" t="s" s="11">
        <v>20</v>
      </c>
      <c r="K12894" t="s" s="16">
        <f>HYPERLINK("http://csr.bu.edu/ftp/asl/asllvd/demos/verify_start_end_handshape_annotations//test_auto_move//signs_mov/4185.mov","MOV")</f>
        <v>21</v>
      </c>
      <c r="L12894" t="s" s="16">
        <f>HYPERLINK("http://csr.bu.edu/ftp/asl/asllvd/demos/verify_start_end_handshape_annotations//test_auto_move//signs_mov_separ_signers/Liz_4185.mov","MOV")</f>
        <v>21</v>
      </c>
      <c r="M12894" t="s" s="10">
        <v>77</v>
      </c>
      <c r="N12894" s="17">
        <v>19</v>
      </c>
      <c r="O12894" s="18">
        <v>1585</v>
      </c>
      <c r="P12894" s="18">
        <v>1635</v>
      </c>
      <c r="Q12894" t="s" s="16">
        <f>HYPERLINK("http://secrets.rutgers.edu:8080/data/asl-ftp/asllvd/demos/verify_start_end_handshape_annotations//test_auto_move//signs_mov/4185.mov","MOV")</f>
        <v>21</v>
      </c>
      <c r="R12894" t="s" s="16">
        <f>HYPERLINK("http://secrets.rutgers.edu:8080/data/asl-ftp/asllvd/demos/verify_start_end_handshape_annotations//test_auto_move//signs_mov_separ_signers/Liz_4185.mov","MOV")</f>
        <v>21</v>
      </c>
    </row>
    <row r="12895" s="2" customFormat="1" ht="13.5" customHeight="1">
      <c r="B12895" s="13"/>
      <c r="C12895" t="s" s="9">
        <v>30</v>
      </c>
      <c r="D12895" t="s" s="8">
        <v>4869</v>
      </c>
      <c r="E12895" t="s" s="9">
        <v>4869</v>
      </c>
      <c r="F12895" s="19">
        <v>6</v>
      </c>
      <c r="G12895" s="14"/>
      <c r="H12895" s="19">
        <v>7</v>
      </c>
      <c r="I12895" s="14"/>
      <c r="J12895" t="s" s="11">
        <v>20</v>
      </c>
      <c r="K12895" s="15"/>
      <c r="L12895" t="s" s="16">
        <f>HYPERLINK("http://csr.bu.edu/ftp/asl/asllvd/demos/verify_start_end_handshape_annotations//test_auto_move//signs_mov_separ_signers/Brady_4185.mov","MOV")</f>
        <v>21</v>
      </c>
      <c r="M12895" t="s" s="10">
        <v>40</v>
      </c>
      <c r="N12895" s="17">
        <v>85</v>
      </c>
      <c r="O12895" s="18">
        <v>1356</v>
      </c>
      <c r="P12895" s="18">
        <v>1373</v>
      </c>
      <c r="Q12895" s="15"/>
      <c r="R12895" t="s" s="16">
        <f>HYPERLINK("http://secrets.rutgers.edu:8080/data/asl-ftp/asllvd/demos/verify_start_end_handshape_annotations//test_auto_move//signs_mov_separ_signers/Brady_4185.mov","MOV")</f>
        <v>21</v>
      </c>
    </row>
    <row r="12896" s="2" customFormat="1" ht="13.5" customHeight="1">
      <c r="B12896" t="s" s="8">
        <v>4870</v>
      </c>
      <c r="C12896" t="s" s="9">
        <v>14</v>
      </c>
      <c r="D12896" t="s" s="8">
        <v>14</v>
      </c>
      <c r="E12896" t="s" s="9">
        <v>14</v>
      </c>
      <c r="F12896" t="s" s="10">
        <v>14</v>
      </c>
      <c r="G12896" t="s" s="11">
        <v>14</v>
      </c>
      <c r="H12896" t="s" s="10">
        <v>14</v>
      </c>
      <c r="I12896" t="s" s="11">
        <v>14</v>
      </c>
      <c r="J12896" t="s" s="11">
        <v>14</v>
      </c>
      <c r="K12896" t="s" s="12">
        <v>14</v>
      </c>
      <c r="L12896" t="s" s="12">
        <v>14</v>
      </c>
      <c r="M12896" t="s" s="10">
        <v>14</v>
      </c>
      <c r="N12896" t="s" s="11">
        <v>14</v>
      </c>
      <c r="O12896" t="s" s="8">
        <v>14</v>
      </c>
      <c r="P12896" t="s" s="8">
        <v>14</v>
      </c>
      <c r="Q12896" t="s" s="12">
        <v>14</v>
      </c>
      <c r="R12896" t="s" s="12">
        <v>14</v>
      </c>
    </row>
    <row r="12897" s="2" customFormat="1" ht="13.5" customHeight="1">
      <c r="B12897" s="13"/>
      <c r="C12897" t="s" s="9">
        <v>30</v>
      </c>
      <c r="D12897" t="s" s="8">
        <v>4870</v>
      </c>
      <c r="E12897" t="s" s="9">
        <v>4870</v>
      </c>
      <c r="F12897" s="19">
        <v>6</v>
      </c>
      <c r="G12897" s="14"/>
      <c r="H12897" s="19">
        <v>6</v>
      </c>
      <c r="I12897" s="14"/>
      <c r="J12897" t="s" s="11">
        <v>20</v>
      </c>
      <c r="K12897" t="s" s="16">
        <f>HYPERLINK("http://csr.bu.edu/ftp/asl/asllvd/demos/verify_start_end_handshape_annotations//test_auto_move//signs_mov/4186.mov","MOV")</f>
        <v>21</v>
      </c>
      <c r="L12897" t="s" s="16">
        <f>HYPERLINK("http://csr.bu.edu/ftp/asl/asllvd/demos/verify_start_end_handshape_annotations//test_auto_move//signs_mov_separ_signers/Brady_4186.mov","MOV")</f>
        <v>21</v>
      </c>
      <c r="M12897" t="s" s="10">
        <v>40</v>
      </c>
      <c r="N12897" s="17">
        <v>85</v>
      </c>
      <c r="O12897" s="18">
        <v>1576</v>
      </c>
      <c r="P12897" s="18">
        <v>1598</v>
      </c>
      <c r="Q12897" t="s" s="16">
        <f>HYPERLINK("http://secrets.rutgers.edu:8080/data/asl-ftp/asllvd/demos/verify_start_end_handshape_annotations//test_auto_move//signs_mov/4186.mov","MOV")</f>
        <v>21</v>
      </c>
      <c r="R12897" t="s" s="16">
        <f>HYPERLINK("http://secrets.rutgers.edu:8080/data/asl-ftp/asllvd/demos/verify_start_end_handshape_annotations//test_auto_move//signs_mov_separ_signers/Brady_4186.mov","MOV")</f>
        <v>21</v>
      </c>
    </row>
    <row r="12898" s="2" customFormat="1" ht="13.5" customHeight="1">
      <c r="B12898" t="s" s="8">
        <v>52</v>
      </c>
      <c r="C12898" t="s" s="9">
        <v>53</v>
      </c>
      <c r="D12898" t="s" s="8">
        <v>53</v>
      </c>
      <c r="E12898" t="s" s="9">
        <v>53</v>
      </c>
      <c r="F12898" t="s" s="10">
        <v>53</v>
      </c>
      <c r="G12898" t="s" s="11">
        <v>53</v>
      </c>
      <c r="H12898" t="s" s="10">
        <v>53</v>
      </c>
      <c r="I12898" t="s" s="11">
        <v>53</v>
      </c>
      <c r="J12898" t="s" s="11">
        <v>53</v>
      </c>
      <c r="K12898" t="s" s="12">
        <v>53</v>
      </c>
      <c r="L12898" t="s" s="12">
        <v>53</v>
      </c>
      <c r="M12898" t="s" s="10">
        <v>53</v>
      </c>
      <c r="N12898" t="s" s="11">
        <v>53</v>
      </c>
      <c r="O12898" t="s" s="8">
        <v>53</v>
      </c>
      <c r="P12898" t="s" s="8">
        <v>53</v>
      </c>
      <c r="Q12898" t="s" s="12">
        <v>53</v>
      </c>
      <c r="R12898" t="s" s="12">
        <v>53</v>
      </c>
    </row>
    <row r="12899" s="2" customFormat="1" ht="13.5" customHeight="1">
      <c r="B12899" s="13"/>
      <c r="C12899" t="s" s="9">
        <v>16</v>
      </c>
      <c r="D12899" t="s" s="8">
        <v>4870</v>
      </c>
      <c r="E12899" t="s" s="9">
        <v>4871</v>
      </c>
      <c r="F12899" s="19">
        <v>6</v>
      </c>
      <c r="G12899" s="14"/>
      <c r="H12899" s="19">
        <v>6</v>
      </c>
      <c r="I12899" s="14"/>
      <c r="J12899" t="s" s="11">
        <v>20</v>
      </c>
      <c r="K12899" t="s" s="16">
        <f>HYPERLINK("http://csr.bu.edu/ftp/asl/asllvd/demos/verify_start_end_handshape_annotations//test_auto_move//signs_mov/16486.mov","MOV")</f>
        <v>21</v>
      </c>
      <c r="L12899" t="s" s="16">
        <f>HYPERLINK("http://csr.bu.edu/ftp/asl/asllvd/demos/verify_start_end_handshape_annotations//test_auto_move//signs_mov_separ_signers/Liz_16486.mov","MOV")</f>
        <v>21</v>
      </c>
      <c r="M12899" t="s" s="10">
        <v>77</v>
      </c>
      <c r="N12899" s="17">
        <v>19</v>
      </c>
      <c r="O12899" s="18">
        <v>1055</v>
      </c>
      <c r="P12899" s="18">
        <v>1100</v>
      </c>
      <c r="Q12899" t="s" s="16">
        <f>HYPERLINK("http://secrets.rutgers.edu:8080/data/asl-ftp/asllvd/demos/verify_start_end_handshape_annotations//test_auto_move//signs_mov/16486.mov","MOV")</f>
        <v>21</v>
      </c>
      <c r="R12899" t="s" s="16">
        <f>HYPERLINK("http://secrets.rutgers.edu:8080/data/asl-ftp/asllvd/demos/verify_start_end_handshape_annotations//test_auto_move//signs_mov_separ_signers/Liz_16486.mov","MOV")</f>
        <v>21</v>
      </c>
    </row>
    <row r="12900" s="2" customFormat="1" ht="13.5" customHeight="1">
      <c r="B12900" t="s" s="8">
        <v>4872</v>
      </c>
      <c r="C12900" t="s" s="9">
        <v>14</v>
      </c>
      <c r="D12900" t="s" s="8">
        <v>14</v>
      </c>
      <c r="E12900" t="s" s="9">
        <v>14</v>
      </c>
      <c r="F12900" t="s" s="10">
        <v>14</v>
      </c>
      <c r="G12900" t="s" s="11">
        <v>14</v>
      </c>
      <c r="H12900" t="s" s="10">
        <v>14</v>
      </c>
      <c r="I12900" t="s" s="11">
        <v>14</v>
      </c>
      <c r="J12900" t="s" s="11">
        <v>14</v>
      </c>
      <c r="K12900" t="s" s="12">
        <v>14</v>
      </c>
      <c r="L12900" t="s" s="12">
        <v>14</v>
      </c>
      <c r="M12900" t="s" s="10">
        <v>14</v>
      </c>
      <c r="N12900" t="s" s="11">
        <v>14</v>
      </c>
      <c r="O12900" t="s" s="8">
        <v>14</v>
      </c>
      <c r="P12900" t="s" s="8">
        <v>14</v>
      </c>
      <c r="Q12900" t="s" s="12">
        <v>14</v>
      </c>
      <c r="R12900" t="s" s="12">
        <v>14</v>
      </c>
    </row>
    <row r="12901" s="2" customFormat="1" ht="13.5" customHeight="1">
      <c r="B12901" s="13"/>
      <c r="C12901" t="s" s="9">
        <v>30</v>
      </c>
      <c r="D12901" t="s" s="8">
        <v>4872</v>
      </c>
      <c r="E12901" t="s" s="9">
        <v>4872</v>
      </c>
      <c r="F12901" t="s" s="10">
        <v>229</v>
      </c>
      <c r="G12901" s="14"/>
      <c r="H12901" t="s" s="10">
        <v>229</v>
      </c>
      <c r="I12901" s="14"/>
      <c r="J12901" t="s" s="11">
        <v>20</v>
      </c>
      <c r="K12901" t="s" s="16">
        <f>HYPERLINK("http://csr.bu.edu/ftp/asl/asllvd/demos/verify_start_end_handshape_annotations//test_auto_move//signs_mov/4187.mov","MOV")</f>
        <v>21</v>
      </c>
      <c r="L12901" t="s" s="16">
        <f>HYPERLINK("http://csr.bu.edu/ftp/asl/asllvd/demos/verify_start_end_handshape_annotations//test_auto_move//signs_mov_separ_signers/Brady_4187.mov","MOV")</f>
        <v>21</v>
      </c>
      <c r="M12901" t="s" s="10">
        <v>40</v>
      </c>
      <c r="N12901" s="17">
        <v>94</v>
      </c>
      <c r="O12901" s="18">
        <v>2867</v>
      </c>
      <c r="P12901" s="18">
        <v>2892</v>
      </c>
      <c r="Q12901" t="s" s="16">
        <f>HYPERLINK("http://secrets.rutgers.edu:8080/data/asl-ftp/asllvd/demos/verify_start_end_handshape_annotations//test_auto_move//signs_mov/4187.mov","MOV")</f>
        <v>21</v>
      </c>
      <c r="R12901" t="s" s="16">
        <f>HYPERLINK("http://secrets.rutgers.edu:8080/data/asl-ftp/asllvd/demos/verify_start_end_handshape_annotations//test_auto_move//signs_mov_separ_signers/Brady_4187.mov","MOV")</f>
        <v>21</v>
      </c>
    </row>
    <row r="12902" s="2" customFormat="1" ht="13.5" customHeight="1">
      <c r="B12902" t="s" s="8">
        <v>52</v>
      </c>
      <c r="C12902" t="s" s="9">
        <v>53</v>
      </c>
      <c r="D12902" t="s" s="8">
        <v>53</v>
      </c>
      <c r="E12902" t="s" s="9">
        <v>53</v>
      </c>
      <c r="F12902" t="s" s="10">
        <v>53</v>
      </c>
      <c r="G12902" t="s" s="11">
        <v>53</v>
      </c>
      <c r="H12902" t="s" s="10">
        <v>53</v>
      </c>
      <c r="I12902" t="s" s="11">
        <v>53</v>
      </c>
      <c r="J12902" t="s" s="11">
        <v>53</v>
      </c>
      <c r="K12902" t="s" s="12">
        <v>53</v>
      </c>
      <c r="L12902" t="s" s="12">
        <v>53</v>
      </c>
      <c r="M12902" t="s" s="10">
        <v>53</v>
      </c>
      <c r="N12902" t="s" s="11">
        <v>53</v>
      </c>
      <c r="O12902" t="s" s="8">
        <v>53</v>
      </c>
      <c r="P12902" t="s" s="8">
        <v>53</v>
      </c>
      <c r="Q12902" t="s" s="12">
        <v>53</v>
      </c>
      <c r="R12902" t="s" s="12">
        <v>53</v>
      </c>
    </row>
    <row r="12903" s="2" customFormat="1" ht="13.5" customHeight="1">
      <c r="B12903" s="13"/>
      <c r="C12903" t="s" s="9">
        <v>16</v>
      </c>
      <c r="D12903" t="s" s="8">
        <v>4872</v>
      </c>
      <c r="E12903" t="s" s="9">
        <v>4873</v>
      </c>
      <c r="F12903" t="s" s="10">
        <v>229</v>
      </c>
      <c r="G12903" s="14"/>
      <c r="H12903" t="s" s="10">
        <v>229</v>
      </c>
      <c r="I12903" s="14"/>
      <c r="J12903" t="s" s="11">
        <v>20</v>
      </c>
      <c r="K12903" t="s" s="16">
        <f>HYPERLINK("http://csr.bu.edu/ftp/asl/asllvd/demos/verify_start_end_handshape_annotations//test_auto_move//signs_mov/15410.mov","MOV")</f>
        <v>21</v>
      </c>
      <c r="L12903" t="s" s="16">
        <f>HYPERLINK("http://csr.bu.edu/ftp/asl/asllvd/demos/verify_start_end_handshape_annotations//test_auto_move//signs_mov_separ_signers/Liz_15410.mov","MOV")</f>
        <v>21</v>
      </c>
      <c r="M12903" t="s" s="10">
        <v>77</v>
      </c>
      <c r="N12903" s="17">
        <v>19</v>
      </c>
      <c r="O12903" s="18">
        <v>160</v>
      </c>
      <c r="P12903" s="18">
        <v>190</v>
      </c>
      <c r="Q12903" t="s" s="16">
        <f>HYPERLINK("http://secrets.rutgers.edu:8080/data/asl-ftp/asllvd/demos/verify_start_end_handshape_annotations//test_auto_move//signs_mov/15410.mov","MOV")</f>
        <v>21</v>
      </c>
      <c r="R12903" t="s" s="16">
        <f>HYPERLINK("http://secrets.rutgers.edu:8080/data/asl-ftp/asllvd/demos/verify_start_end_handshape_annotations//test_auto_move//signs_mov_separ_signers/Liz_15410.mov","MOV")</f>
        <v>21</v>
      </c>
    </row>
    <row r="12904" s="2" customFormat="1" ht="13.5" customHeight="1">
      <c r="B12904" t="s" s="8">
        <v>4874</v>
      </c>
      <c r="C12904" t="s" s="9">
        <v>14</v>
      </c>
      <c r="D12904" t="s" s="8">
        <v>14</v>
      </c>
      <c r="E12904" t="s" s="9">
        <v>14</v>
      </c>
      <c r="F12904" t="s" s="10">
        <v>14</v>
      </c>
      <c r="G12904" t="s" s="11">
        <v>14</v>
      </c>
      <c r="H12904" t="s" s="10">
        <v>14</v>
      </c>
      <c r="I12904" t="s" s="11">
        <v>14</v>
      </c>
      <c r="J12904" t="s" s="11">
        <v>14</v>
      </c>
      <c r="K12904" t="s" s="12">
        <v>14</v>
      </c>
      <c r="L12904" t="s" s="12">
        <v>14</v>
      </c>
      <c r="M12904" t="s" s="10">
        <v>14</v>
      </c>
      <c r="N12904" t="s" s="11">
        <v>14</v>
      </c>
      <c r="O12904" t="s" s="8">
        <v>14</v>
      </c>
      <c r="P12904" t="s" s="8">
        <v>14</v>
      </c>
      <c r="Q12904" t="s" s="12">
        <v>14</v>
      </c>
      <c r="R12904" t="s" s="12">
        <v>14</v>
      </c>
    </row>
    <row r="12905" s="2" customFormat="1" ht="13.5" customHeight="1">
      <c r="B12905" s="13"/>
      <c r="C12905" t="s" s="9">
        <v>16</v>
      </c>
      <c r="D12905" t="s" s="8">
        <v>4874</v>
      </c>
      <c r="E12905" t="s" s="9">
        <v>4874</v>
      </c>
      <c r="F12905" s="19">
        <v>3</v>
      </c>
      <c r="G12905" s="14"/>
      <c r="H12905" s="19">
        <v>3</v>
      </c>
      <c r="I12905" s="14"/>
      <c r="J12905" t="s" s="11">
        <v>20</v>
      </c>
      <c r="K12905" t="s" s="16">
        <f>HYPERLINK("http://csr.bu.edu/ftp/asl/asllvd/demos/verify_start_end_handshape_annotations//test_auto_move//signs_mov/4189.mov","MOV")</f>
        <v>21</v>
      </c>
      <c r="L12905" t="s" s="16">
        <f>HYPERLINK("http://csr.bu.edu/ftp/asl/asllvd/demos/verify_start_end_handshape_annotations//test_auto_move//signs_mov_separ_signers/Liz_4189.mov","MOV")</f>
        <v>21</v>
      </c>
      <c r="M12905" t="s" s="10">
        <v>77</v>
      </c>
      <c r="N12905" s="17">
        <v>19</v>
      </c>
      <c r="O12905" s="18">
        <v>595</v>
      </c>
      <c r="P12905" s="18">
        <v>640</v>
      </c>
      <c r="Q12905" t="s" s="16">
        <f>HYPERLINK("http://secrets.rutgers.edu:8080/data/asl-ftp/asllvd/demos/verify_start_end_handshape_annotations//test_auto_move//signs_mov/4189.mov","MOV")</f>
        <v>21</v>
      </c>
      <c r="R12905" t="s" s="16">
        <f>HYPERLINK("http://secrets.rutgers.edu:8080/data/asl-ftp/asllvd/demos/verify_start_end_handshape_annotations//test_auto_move//signs_mov_separ_signers/Liz_4189.mov","MOV")</f>
        <v>21</v>
      </c>
    </row>
    <row r="12906" s="2" customFormat="1" ht="13.5" customHeight="1">
      <c r="B12906" s="13"/>
      <c r="C12906" t="s" s="9">
        <v>30</v>
      </c>
      <c r="D12906" t="s" s="8">
        <v>4874</v>
      </c>
      <c r="E12906" t="s" s="9">
        <v>4874</v>
      </c>
      <c r="F12906" s="19">
        <v>3</v>
      </c>
      <c r="G12906" s="14"/>
      <c r="H12906" s="19">
        <v>3</v>
      </c>
      <c r="I12906" s="14"/>
      <c r="J12906" t="s" s="11">
        <v>20</v>
      </c>
      <c r="K12906" s="15"/>
      <c r="L12906" t="s" s="16">
        <f>HYPERLINK("http://csr.bu.edu/ftp/asl/asllvd/demos/verify_start_end_handshape_annotations//test_auto_move//signs_mov_separ_signers/Brady_4189.mov","MOV")</f>
        <v>21</v>
      </c>
      <c r="M12906" t="s" s="10">
        <v>40</v>
      </c>
      <c r="N12906" s="17">
        <v>115</v>
      </c>
      <c r="O12906" s="18">
        <v>1774</v>
      </c>
      <c r="P12906" s="18">
        <v>1798</v>
      </c>
      <c r="Q12906" s="15"/>
      <c r="R12906" t="s" s="16">
        <f>HYPERLINK("http://secrets.rutgers.edu:8080/data/asl-ftp/asllvd/demos/verify_start_end_handshape_annotations//test_auto_move//signs_mov_separ_signers/Brady_4189.mov","MOV")</f>
        <v>21</v>
      </c>
    </row>
    <row r="12907" s="2" customFormat="1" ht="13.5" customHeight="1">
      <c r="B12907" t="s" s="8">
        <v>4875</v>
      </c>
      <c r="C12907" t="s" s="9">
        <v>14</v>
      </c>
      <c r="D12907" t="s" s="8">
        <v>14</v>
      </c>
      <c r="E12907" t="s" s="9">
        <v>14</v>
      </c>
      <c r="F12907" t="s" s="10">
        <v>14</v>
      </c>
      <c r="G12907" t="s" s="11">
        <v>14</v>
      </c>
      <c r="H12907" t="s" s="10">
        <v>14</v>
      </c>
      <c r="I12907" t="s" s="11">
        <v>14</v>
      </c>
      <c r="J12907" t="s" s="11">
        <v>14</v>
      </c>
      <c r="K12907" t="s" s="12">
        <v>14</v>
      </c>
      <c r="L12907" t="s" s="12">
        <v>14</v>
      </c>
      <c r="M12907" t="s" s="10">
        <v>14</v>
      </c>
      <c r="N12907" t="s" s="11">
        <v>14</v>
      </c>
      <c r="O12907" t="s" s="8">
        <v>14</v>
      </c>
      <c r="P12907" t="s" s="8">
        <v>14</v>
      </c>
      <c r="Q12907" t="s" s="12">
        <v>14</v>
      </c>
      <c r="R12907" t="s" s="12">
        <v>14</v>
      </c>
    </row>
    <row r="12908" s="2" customFormat="1" ht="13.5" customHeight="1">
      <c r="B12908" s="13"/>
      <c r="C12908" t="s" s="9">
        <v>16</v>
      </c>
      <c r="D12908" t="s" s="8">
        <v>4875</v>
      </c>
      <c r="E12908" t="s" s="9">
        <v>4876</v>
      </c>
      <c r="F12908" s="19">
        <v>3</v>
      </c>
      <c r="G12908" s="14"/>
      <c r="H12908" s="19">
        <v>3</v>
      </c>
      <c r="I12908" s="14"/>
      <c r="J12908" t="s" s="11">
        <v>20</v>
      </c>
      <c r="K12908" t="s" s="16">
        <f>HYPERLINK("http://csr.bu.edu/ftp/asl/asllvd/demos/verify_start_end_handshape_annotations//test_auto_move//signs_mov/4190.mov","MOV")</f>
        <v>21</v>
      </c>
      <c r="L12908" t="s" s="16">
        <f>HYPERLINK("http://csr.bu.edu/ftp/asl/asllvd/demos/verify_start_end_handshape_annotations//test_auto_move//signs_mov_separ_signers/Liz_4190.mov","MOV")</f>
        <v>21</v>
      </c>
      <c r="M12908" t="s" s="10">
        <v>77</v>
      </c>
      <c r="N12908" s="17">
        <v>19</v>
      </c>
      <c r="O12908" s="18">
        <v>457</v>
      </c>
      <c r="P12908" s="18">
        <v>501</v>
      </c>
      <c r="Q12908" t="s" s="16">
        <f>HYPERLINK("http://secrets.rutgers.edu:8080/data/asl-ftp/asllvd/demos/verify_start_end_handshape_annotations//test_auto_move//signs_mov/4190.mov","MOV")</f>
        <v>21</v>
      </c>
      <c r="R12908" t="s" s="16">
        <f>HYPERLINK("http://secrets.rutgers.edu:8080/data/asl-ftp/asllvd/demos/verify_start_end_handshape_annotations//test_auto_move//signs_mov_separ_signers/Liz_4190.mov","MOV")</f>
        <v>21</v>
      </c>
    </row>
    <row r="12909" s="2" customFormat="1" ht="13.5" customHeight="1">
      <c r="B12909" s="13"/>
      <c r="C12909" t="s" s="9">
        <v>30</v>
      </c>
      <c r="D12909" t="s" s="8">
        <v>4875</v>
      </c>
      <c r="E12909" t="s" s="9">
        <v>4876</v>
      </c>
      <c r="F12909" s="19">
        <v>3</v>
      </c>
      <c r="G12909" s="14"/>
      <c r="H12909" s="19">
        <v>3</v>
      </c>
      <c r="I12909" s="14"/>
      <c r="J12909" t="s" s="11">
        <v>20</v>
      </c>
      <c r="K12909" s="15"/>
      <c r="L12909" t="s" s="16">
        <f>HYPERLINK("http://csr.bu.edu/ftp/asl/asllvd/demos/verify_start_end_handshape_annotations//test_auto_move//signs_mov_separ_signers/Brady_4190.mov","MOV")</f>
        <v>21</v>
      </c>
      <c r="M12909" t="s" s="10">
        <v>60</v>
      </c>
      <c r="N12909" s="17">
        <v>13</v>
      </c>
      <c r="O12909" s="18">
        <v>3217</v>
      </c>
      <c r="P12909" s="18">
        <v>3260</v>
      </c>
      <c r="Q12909" s="15"/>
      <c r="R12909" t="s" s="16">
        <f>HYPERLINK("http://secrets.rutgers.edu:8080/data/asl-ftp/asllvd/demos/verify_start_end_handshape_annotations//test_auto_move//signs_mov_separ_signers/Brady_4190.mov","MOV")</f>
        <v>21</v>
      </c>
    </row>
    <row r="12910" s="2" customFormat="1" ht="13.5" customHeight="1">
      <c r="B12910" t="s" s="8">
        <v>4877</v>
      </c>
      <c r="C12910" t="s" s="9">
        <v>14</v>
      </c>
      <c r="D12910" t="s" s="8">
        <v>14</v>
      </c>
      <c r="E12910" t="s" s="9">
        <v>14</v>
      </c>
      <c r="F12910" t="s" s="10">
        <v>14</v>
      </c>
      <c r="G12910" t="s" s="11">
        <v>14</v>
      </c>
      <c r="H12910" t="s" s="10">
        <v>14</v>
      </c>
      <c r="I12910" t="s" s="11">
        <v>14</v>
      </c>
      <c r="J12910" t="s" s="11">
        <v>14</v>
      </c>
      <c r="K12910" t="s" s="12">
        <v>14</v>
      </c>
      <c r="L12910" t="s" s="12">
        <v>14</v>
      </c>
      <c r="M12910" t="s" s="10">
        <v>14</v>
      </c>
      <c r="N12910" t="s" s="11">
        <v>14</v>
      </c>
      <c r="O12910" t="s" s="8">
        <v>14</v>
      </c>
      <c r="P12910" t="s" s="8">
        <v>14</v>
      </c>
      <c r="Q12910" t="s" s="12">
        <v>14</v>
      </c>
      <c r="R12910" t="s" s="12">
        <v>14</v>
      </c>
    </row>
    <row r="12911" s="2" customFormat="1" ht="13.5" customHeight="1">
      <c r="B12911" s="13"/>
      <c r="C12911" t="s" s="9">
        <v>16</v>
      </c>
      <c r="D12911" t="s" s="8">
        <v>4878</v>
      </c>
      <c r="E12911" t="s" s="9">
        <v>4878</v>
      </c>
      <c r="F12911" t="s" s="10">
        <v>68</v>
      </c>
      <c r="G12911" s="14"/>
      <c r="H12911" s="19">
        <v>1</v>
      </c>
      <c r="I12911" s="14"/>
      <c r="J12911" t="s" s="11">
        <v>20</v>
      </c>
      <c r="K12911" t="s" s="16">
        <f>HYPERLINK("http://csr.bu.edu/ftp/asl/asllvd/demos/verify_start_end_handshape_annotations//test_auto_move//signs_mov/4192.mov","MOV")</f>
        <v>21</v>
      </c>
      <c r="L12911" t="s" s="16">
        <f>HYPERLINK("http://csr.bu.edu/ftp/asl/asllvd/demos/verify_start_end_handshape_annotations//test_auto_move//signs_mov_separ_signers/Liz_4192.mov","MOV")</f>
        <v>21</v>
      </c>
      <c r="M12911" t="s" s="10">
        <v>77</v>
      </c>
      <c r="N12911" s="17">
        <v>17</v>
      </c>
      <c r="O12911" s="18">
        <v>4725</v>
      </c>
      <c r="P12911" s="18">
        <v>4780</v>
      </c>
      <c r="Q12911" t="s" s="16">
        <f>HYPERLINK("http://secrets.rutgers.edu:8080/data/asl-ftp/asllvd/demos/verify_start_end_handshape_annotations//test_auto_move//signs_mov/4192.mov","MOV")</f>
        <v>21</v>
      </c>
      <c r="R12911" t="s" s="16">
        <f>HYPERLINK("http://secrets.rutgers.edu:8080/data/asl-ftp/asllvd/demos/verify_start_end_handshape_annotations//test_auto_move//signs_mov_separ_signers/Liz_4192.mov","MOV")</f>
        <v>21</v>
      </c>
    </row>
    <row r="12912" s="2" customFormat="1" ht="13.5" customHeight="1">
      <c r="B12912" t="s" s="8">
        <v>4879</v>
      </c>
      <c r="C12912" t="s" s="9">
        <v>14</v>
      </c>
      <c r="D12912" t="s" s="8">
        <v>14</v>
      </c>
      <c r="E12912" t="s" s="9">
        <v>14</v>
      </c>
      <c r="F12912" t="s" s="10">
        <v>14</v>
      </c>
      <c r="G12912" t="s" s="11">
        <v>14</v>
      </c>
      <c r="H12912" t="s" s="10">
        <v>14</v>
      </c>
      <c r="I12912" t="s" s="11">
        <v>14</v>
      </c>
      <c r="J12912" t="s" s="11">
        <v>14</v>
      </c>
      <c r="K12912" t="s" s="12">
        <v>14</v>
      </c>
      <c r="L12912" t="s" s="12">
        <v>14</v>
      </c>
      <c r="M12912" t="s" s="10">
        <v>14</v>
      </c>
      <c r="N12912" t="s" s="11">
        <v>14</v>
      </c>
      <c r="O12912" t="s" s="8">
        <v>14</v>
      </c>
      <c r="P12912" t="s" s="8">
        <v>14</v>
      </c>
      <c r="Q12912" t="s" s="12">
        <v>14</v>
      </c>
      <c r="R12912" t="s" s="12">
        <v>14</v>
      </c>
    </row>
    <row r="12913" s="2" customFormat="1" ht="13.5" customHeight="1">
      <c r="B12913" s="13"/>
      <c r="C12913" t="s" s="9">
        <v>30</v>
      </c>
      <c r="D12913" t="s" s="8">
        <v>4879</v>
      </c>
      <c r="E12913" t="s" s="9">
        <v>4879</v>
      </c>
      <c r="F12913" s="19">
        <v>1</v>
      </c>
      <c r="G12913" s="14"/>
      <c r="H12913" s="19">
        <v>1</v>
      </c>
      <c r="I12913" s="14"/>
      <c r="J12913" t="s" s="11">
        <v>20</v>
      </c>
      <c r="K12913" t="s" s="16">
        <f>HYPERLINK("http://csr.bu.edu/ftp/asl/asllvd/demos/verify_start_end_handshape_annotations//test_auto_move//signs_mov/15001.mov","MOV")</f>
        <v>21</v>
      </c>
      <c r="L12913" t="s" s="16">
        <f>HYPERLINK("http://csr.bu.edu/ftp/asl/asllvd/demos/verify_start_end_handshape_annotations//test_auto_move//signs_mov_separ_signers/Brady_15001.mov","MOV")</f>
        <v>21</v>
      </c>
      <c r="M12913" t="s" s="10">
        <v>31</v>
      </c>
      <c r="N12913" s="17">
        <v>4</v>
      </c>
      <c r="O12913" s="18">
        <v>4585</v>
      </c>
      <c r="P12913" s="18">
        <v>4600</v>
      </c>
      <c r="Q12913" t="s" s="16">
        <f>HYPERLINK("http://secrets.rutgers.edu:8080/data/asl-ftp/asllvd/demos/verify_start_end_handshape_annotations//test_auto_move//signs_mov/15001.mov","MOV")</f>
        <v>21</v>
      </c>
      <c r="R12913" t="s" s="16">
        <f>HYPERLINK("http://secrets.rutgers.edu:8080/data/asl-ftp/asllvd/demos/verify_start_end_handshape_annotations//test_auto_move//signs_mov_separ_signers/Brady_15001.mov","MOV")</f>
        <v>21</v>
      </c>
    </row>
    <row r="12914" s="2" customFormat="1" ht="13.5" customHeight="1">
      <c r="B12914" t="s" s="8">
        <v>4880</v>
      </c>
      <c r="C12914" t="s" s="9">
        <v>14</v>
      </c>
      <c r="D12914" t="s" s="8">
        <v>14</v>
      </c>
      <c r="E12914" t="s" s="9">
        <v>14</v>
      </c>
      <c r="F12914" t="s" s="10">
        <v>14</v>
      </c>
      <c r="G12914" t="s" s="11">
        <v>14</v>
      </c>
      <c r="H12914" t="s" s="10">
        <v>14</v>
      </c>
      <c r="I12914" t="s" s="11">
        <v>14</v>
      </c>
      <c r="J12914" t="s" s="11">
        <v>14</v>
      </c>
      <c r="K12914" t="s" s="12">
        <v>14</v>
      </c>
      <c r="L12914" t="s" s="12">
        <v>14</v>
      </c>
      <c r="M12914" t="s" s="10">
        <v>14</v>
      </c>
      <c r="N12914" t="s" s="11">
        <v>14</v>
      </c>
      <c r="O12914" t="s" s="8">
        <v>14</v>
      </c>
      <c r="P12914" t="s" s="8">
        <v>14</v>
      </c>
      <c r="Q12914" t="s" s="12">
        <v>14</v>
      </c>
      <c r="R12914" t="s" s="12">
        <v>14</v>
      </c>
    </row>
    <row r="12915" s="2" customFormat="1" ht="13.5" customHeight="1">
      <c r="B12915" s="13"/>
      <c r="C12915" t="s" s="9">
        <v>16</v>
      </c>
      <c r="D12915" t="s" s="8">
        <v>4881</v>
      </c>
      <c r="E12915" t="s" s="9">
        <v>4881</v>
      </c>
      <c r="F12915" t="s" s="10">
        <v>68</v>
      </c>
      <c r="G12915" s="14"/>
      <c r="H12915" t="s" s="10">
        <v>229</v>
      </c>
      <c r="I12915" s="14"/>
      <c r="J12915" t="s" s="11">
        <v>20</v>
      </c>
      <c r="K12915" t="s" s="16">
        <f>HYPERLINK("http://csr.bu.edu/ftp/asl/asllvd/demos/verify_start_end_handshape_annotations//test_auto_move//signs_mov/4194.mov","MOV")</f>
        <v>21</v>
      </c>
      <c r="L12915" t="s" s="16">
        <f>HYPERLINK("http://csr.bu.edu/ftp/asl/asllvd/demos/verify_start_end_handshape_annotations//test_auto_move//signs_mov_separ_signers/Liz_4194.mov","MOV")</f>
        <v>21</v>
      </c>
      <c r="M12915" t="s" s="10">
        <v>77</v>
      </c>
      <c r="N12915" s="17">
        <v>17</v>
      </c>
      <c r="O12915" s="18">
        <v>4858</v>
      </c>
      <c r="P12915" s="18">
        <v>4913</v>
      </c>
      <c r="Q12915" t="s" s="16">
        <f>HYPERLINK("http://secrets.rutgers.edu:8080/data/asl-ftp/asllvd/demos/verify_start_end_handshape_annotations//test_auto_move//signs_mov/4194.mov","MOV")</f>
        <v>21</v>
      </c>
      <c r="R12915" t="s" s="16">
        <f>HYPERLINK("http://secrets.rutgers.edu:8080/data/asl-ftp/asllvd/demos/verify_start_end_handshape_annotations//test_auto_move//signs_mov_separ_signers/Liz_4194.mov","MOV")</f>
        <v>21</v>
      </c>
    </row>
    <row r="12916" s="2" customFormat="1" ht="13.5" customHeight="1">
      <c r="B12916" t="s" s="8">
        <v>4882</v>
      </c>
      <c r="C12916" t="s" s="9">
        <v>14</v>
      </c>
      <c r="D12916" t="s" s="8">
        <v>14</v>
      </c>
      <c r="E12916" t="s" s="9">
        <v>14</v>
      </c>
      <c r="F12916" t="s" s="10">
        <v>14</v>
      </c>
      <c r="G12916" t="s" s="11">
        <v>14</v>
      </c>
      <c r="H12916" t="s" s="10">
        <v>14</v>
      </c>
      <c r="I12916" t="s" s="11">
        <v>14</v>
      </c>
      <c r="J12916" t="s" s="11">
        <v>14</v>
      </c>
      <c r="K12916" t="s" s="12">
        <v>14</v>
      </c>
      <c r="L12916" t="s" s="12">
        <v>14</v>
      </c>
      <c r="M12916" t="s" s="10">
        <v>14</v>
      </c>
      <c r="N12916" t="s" s="11">
        <v>14</v>
      </c>
      <c r="O12916" t="s" s="8">
        <v>14</v>
      </c>
      <c r="P12916" t="s" s="8">
        <v>14</v>
      </c>
      <c r="Q12916" t="s" s="12">
        <v>14</v>
      </c>
      <c r="R12916" t="s" s="12">
        <v>14</v>
      </c>
    </row>
    <row r="12917" s="2" customFormat="1" ht="13.5" customHeight="1">
      <c r="B12917" s="13"/>
      <c r="C12917" t="s" s="9">
        <v>30</v>
      </c>
      <c r="D12917" t="s" s="8">
        <v>4882</v>
      </c>
      <c r="E12917" t="s" s="9">
        <v>4882</v>
      </c>
      <c r="F12917" t="s" s="10">
        <v>229</v>
      </c>
      <c r="G12917" s="14"/>
      <c r="H12917" t="s" s="10">
        <v>229</v>
      </c>
      <c r="I12917" s="14"/>
      <c r="J12917" t="s" s="11">
        <v>20</v>
      </c>
      <c r="K12917" t="s" s="16">
        <f>HYPERLINK("http://csr.bu.edu/ftp/asl/asllvd/demos/verify_start_end_handshape_annotations//test_auto_move//signs_mov/15002.mov","MOV")</f>
        <v>21</v>
      </c>
      <c r="L12917" t="s" s="16">
        <f>HYPERLINK("http://csr.bu.edu/ftp/asl/asllvd/demos/verify_start_end_handshape_annotations//test_auto_move//signs_mov_separ_signers/Brady_15002.mov","MOV")</f>
        <v>21</v>
      </c>
      <c r="M12917" t="s" s="10">
        <v>31</v>
      </c>
      <c r="N12917" s="17">
        <v>5</v>
      </c>
      <c r="O12917" s="18">
        <v>4895</v>
      </c>
      <c r="P12917" s="18">
        <v>4909</v>
      </c>
      <c r="Q12917" t="s" s="16">
        <f>HYPERLINK("http://secrets.rutgers.edu:8080/data/asl-ftp/asllvd/demos/verify_start_end_handshape_annotations//test_auto_move//signs_mov/15002.mov","MOV")</f>
        <v>21</v>
      </c>
      <c r="R12917" t="s" s="16">
        <f>HYPERLINK("http://secrets.rutgers.edu:8080/data/asl-ftp/asllvd/demos/verify_start_end_handshape_annotations//test_auto_move//signs_mov_separ_signers/Brady_15002.mov","MOV")</f>
        <v>21</v>
      </c>
    </row>
    <row r="12918" s="2" customFormat="1" ht="13.5" customHeight="1">
      <c r="B12918" t="s" s="8">
        <v>4883</v>
      </c>
      <c r="C12918" t="s" s="9">
        <v>14</v>
      </c>
      <c r="D12918" t="s" s="8">
        <v>14</v>
      </c>
      <c r="E12918" t="s" s="9">
        <v>14</v>
      </c>
      <c r="F12918" t="s" s="10">
        <v>14</v>
      </c>
      <c r="G12918" t="s" s="11">
        <v>14</v>
      </c>
      <c r="H12918" t="s" s="10">
        <v>14</v>
      </c>
      <c r="I12918" t="s" s="11">
        <v>14</v>
      </c>
      <c r="J12918" t="s" s="11">
        <v>14</v>
      </c>
      <c r="K12918" t="s" s="12">
        <v>14</v>
      </c>
      <c r="L12918" t="s" s="12">
        <v>14</v>
      </c>
      <c r="M12918" t="s" s="10">
        <v>14</v>
      </c>
      <c r="N12918" t="s" s="11">
        <v>14</v>
      </c>
      <c r="O12918" t="s" s="8">
        <v>14</v>
      </c>
      <c r="P12918" t="s" s="8">
        <v>14</v>
      </c>
      <c r="Q12918" t="s" s="12">
        <v>14</v>
      </c>
      <c r="R12918" t="s" s="12">
        <v>14</v>
      </c>
    </row>
    <row r="12919" s="2" customFormat="1" ht="13.5" customHeight="1">
      <c r="B12919" s="13"/>
      <c r="C12919" t="s" s="9">
        <v>16</v>
      </c>
      <c r="D12919" t="s" s="8">
        <v>4884</v>
      </c>
      <c r="E12919" t="s" s="9">
        <v>4884</v>
      </c>
      <c r="F12919" t="s" s="10">
        <v>68</v>
      </c>
      <c r="G12919" s="14"/>
      <c r="H12919" s="19">
        <v>3</v>
      </c>
      <c r="I12919" s="14"/>
      <c r="J12919" t="s" s="11">
        <v>20</v>
      </c>
      <c r="K12919" t="s" s="16">
        <f>HYPERLINK("http://csr.bu.edu/ftp/asl/asllvd/demos/verify_start_end_handshape_annotations//test_auto_move//signs_mov/4196.mov","MOV")</f>
        <v>21</v>
      </c>
      <c r="L12919" t="s" s="16">
        <f>HYPERLINK("http://csr.bu.edu/ftp/asl/asllvd/demos/verify_start_end_handshape_annotations//test_auto_move//signs_mov_separ_signers/Liz_4196.mov","MOV")</f>
        <v>21</v>
      </c>
      <c r="M12919" t="s" s="10">
        <v>77</v>
      </c>
      <c r="N12919" s="17">
        <v>17</v>
      </c>
      <c r="O12919" s="18">
        <v>5018</v>
      </c>
      <c r="P12919" s="18">
        <v>5072</v>
      </c>
      <c r="Q12919" t="s" s="16">
        <f>HYPERLINK("http://secrets.rutgers.edu:8080/data/asl-ftp/asllvd/demos/verify_start_end_handshape_annotations//test_auto_move//signs_mov/4196.mov","MOV")</f>
        <v>21</v>
      </c>
      <c r="R12919" t="s" s="16">
        <f>HYPERLINK("http://secrets.rutgers.edu:8080/data/asl-ftp/asllvd/demos/verify_start_end_handshape_annotations//test_auto_move//signs_mov_separ_signers/Liz_4196.mov","MOV")</f>
        <v>21</v>
      </c>
    </row>
    <row r="12920" s="2" customFormat="1" ht="13.5" customHeight="1">
      <c r="B12920" t="s" s="8">
        <v>4885</v>
      </c>
      <c r="C12920" t="s" s="9">
        <v>14</v>
      </c>
      <c r="D12920" t="s" s="8">
        <v>14</v>
      </c>
      <c r="E12920" t="s" s="9">
        <v>14</v>
      </c>
      <c r="F12920" t="s" s="10">
        <v>14</v>
      </c>
      <c r="G12920" t="s" s="11">
        <v>14</v>
      </c>
      <c r="H12920" t="s" s="10">
        <v>14</v>
      </c>
      <c r="I12920" t="s" s="11">
        <v>14</v>
      </c>
      <c r="J12920" t="s" s="11">
        <v>14</v>
      </c>
      <c r="K12920" t="s" s="12">
        <v>14</v>
      </c>
      <c r="L12920" t="s" s="12">
        <v>14</v>
      </c>
      <c r="M12920" t="s" s="10">
        <v>14</v>
      </c>
      <c r="N12920" t="s" s="11">
        <v>14</v>
      </c>
      <c r="O12920" t="s" s="8">
        <v>14</v>
      </c>
      <c r="P12920" t="s" s="8">
        <v>14</v>
      </c>
      <c r="Q12920" t="s" s="12">
        <v>14</v>
      </c>
      <c r="R12920" t="s" s="12">
        <v>14</v>
      </c>
    </row>
    <row r="12921" s="2" customFormat="1" ht="13.5" customHeight="1">
      <c r="B12921" s="13"/>
      <c r="C12921" t="s" s="9">
        <v>16</v>
      </c>
      <c r="D12921" t="s" s="8">
        <v>4886</v>
      </c>
      <c r="E12921" t="s" s="9">
        <v>4886</v>
      </c>
      <c r="F12921" t="s" s="10">
        <v>68</v>
      </c>
      <c r="G12921" s="14"/>
      <c r="H12921" s="19">
        <v>4</v>
      </c>
      <c r="I12921" s="14"/>
      <c r="J12921" t="s" s="11">
        <v>20</v>
      </c>
      <c r="K12921" t="s" s="16">
        <f>HYPERLINK("http://csr.bu.edu/ftp/asl/asllvd/demos/verify_start_end_handshape_annotations//test_auto_move//signs_mov/4198.mov","MOV")</f>
        <v>21</v>
      </c>
      <c r="L12921" t="s" s="16">
        <f>HYPERLINK("http://csr.bu.edu/ftp/asl/asllvd/demos/verify_start_end_handshape_annotations//test_auto_move//signs_mov_separ_signers/Liz_4198.mov","MOV")</f>
        <v>21</v>
      </c>
      <c r="M12921" t="s" s="10">
        <v>77</v>
      </c>
      <c r="N12921" s="17">
        <v>17</v>
      </c>
      <c r="O12921" s="18">
        <v>5171</v>
      </c>
      <c r="P12921" s="18">
        <v>5227</v>
      </c>
      <c r="Q12921" t="s" s="16">
        <f>HYPERLINK("http://secrets.rutgers.edu:8080/data/asl-ftp/asllvd/demos/verify_start_end_handshape_annotations//test_auto_move//signs_mov/4198.mov","MOV")</f>
        <v>21</v>
      </c>
      <c r="R12921" t="s" s="16">
        <f>HYPERLINK("http://secrets.rutgers.edu:8080/data/asl-ftp/asllvd/demos/verify_start_end_handshape_annotations//test_auto_move//signs_mov_separ_signers/Liz_4198.mov","MOV")</f>
        <v>21</v>
      </c>
    </row>
    <row r="12922" s="2" customFormat="1" ht="13.5" customHeight="1">
      <c r="B12922" t="s" s="8">
        <v>4887</v>
      </c>
      <c r="C12922" t="s" s="9">
        <v>14</v>
      </c>
      <c r="D12922" t="s" s="8">
        <v>14</v>
      </c>
      <c r="E12922" t="s" s="9">
        <v>14</v>
      </c>
      <c r="F12922" t="s" s="10">
        <v>14</v>
      </c>
      <c r="G12922" t="s" s="11">
        <v>14</v>
      </c>
      <c r="H12922" t="s" s="10">
        <v>14</v>
      </c>
      <c r="I12922" t="s" s="11">
        <v>14</v>
      </c>
      <c r="J12922" t="s" s="11">
        <v>14</v>
      </c>
      <c r="K12922" t="s" s="12">
        <v>14</v>
      </c>
      <c r="L12922" t="s" s="12">
        <v>14</v>
      </c>
      <c r="M12922" t="s" s="10">
        <v>14</v>
      </c>
      <c r="N12922" t="s" s="11">
        <v>14</v>
      </c>
      <c r="O12922" t="s" s="8">
        <v>14</v>
      </c>
      <c r="P12922" t="s" s="8">
        <v>14</v>
      </c>
      <c r="Q12922" t="s" s="12">
        <v>14</v>
      </c>
      <c r="R12922" t="s" s="12">
        <v>14</v>
      </c>
    </row>
    <row r="12923" s="2" customFormat="1" ht="13.5" customHeight="1">
      <c r="B12923" s="13"/>
      <c r="C12923" t="s" s="9">
        <v>30</v>
      </c>
      <c r="D12923" t="s" s="8">
        <v>4887</v>
      </c>
      <c r="E12923" t="s" s="9">
        <v>4887</v>
      </c>
      <c r="F12923" s="19">
        <v>4</v>
      </c>
      <c r="G12923" s="14"/>
      <c r="H12923" s="19">
        <v>4</v>
      </c>
      <c r="I12923" s="14"/>
      <c r="J12923" t="s" s="11">
        <v>20</v>
      </c>
      <c r="K12923" t="s" s="16">
        <f>HYPERLINK("http://csr.bu.edu/ftp/asl/asllvd/demos/verify_start_end_handshape_annotations//test_auto_move//signs_mov/15003.mov","MOV")</f>
        <v>21</v>
      </c>
      <c r="L12923" t="s" s="16">
        <f>HYPERLINK("http://csr.bu.edu/ftp/asl/asllvd/demos/verify_start_end_handshape_annotations//test_auto_move//signs_mov_separ_signers/Brady_15003.mov","MOV")</f>
        <v>21</v>
      </c>
      <c r="M12923" t="s" s="10">
        <v>31</v>
      </c>
      <c r="N12923" s="17">
        <v>5</v>
      </c>
      <c r="O12923" s="18">
        <v>9456</v>
      </c>
      <c r="P12923" s="18">
        <v>9472</v>
      </c>
      <c r="Q12923" t="s" s="16">
        <f>HYPERLINK("http://secrets.rutgers.edu:8080/data/asl-ftp/asllvd/demos/verify_start_end_handshape_annotations//test_auto_move//signs_mov/15003.mov","MOV")</f>
        <v>21</v>
      </c>
      <c r="R12923" t="s" s="16">
        <f>HYPERLINK("http://secrets.rutgers.edu:8080/data/asl-ftp/asllvd/demos/verify_start_end_handshape_annotations//test_auto_move//signs_mov_separ_signers/Brady_15003.mov","MOV")</f>
        <v>21</v>
      </c>
    </row>
    <row r="12924" s="2" customFormat="1" ht="13.5" customHeight="1">
      <c r="B12924" t="s" s="8">
        <v>4888</v>
      </c>
      <c r="C12924" t="s" s="9">
        <v>14</v>
      </c>
      <c r="D12924" t="s" s="8">
        <v>14</v>
      </c>
      <c r="E12924" t="s" s="9">
        <v>14</v>
      </c>
      <c r="F12924" t="s" s="10">
        <v>14</v>
      </c>
      <c r="G12924" t="s" s="11">
        <v>14</v>
      </c>
      <c r="H12924" t="s" s="10">
        <v>14</v>
      </c>
      <c r="I12924" t="s" s="11">
        <v>14</v>
      </c>
      <c r="J12924" t="s" s="11">
        <v>14</v>
      </c>
      <c r="K12924" t="s" s="12">
        <v>14</v>
      </c>
      <c r="L12924" t="s" s="12">
        <v>14</v>
      </c>
      <c r="M12924" t="s" s="10">
        <v>14</v>
      </c>
      <c r="N12924" t="s" s="11">
        <v>14</v>
      </c>
      <c r="O12924" t="s" s="8">
        <v>14</v>
      </c>
      <c r="P12924" t="s" s="8">
        <v>14</v>
      </c>
      <c r="Q12924" t="s" s="12">
        <v>14</v>
      </c>
      <c r="R12924" t="s" s="12">
        <v>14</v>
      </c>
    </row>
    <row r="12925" s="2" customFormat="1" ht="13.5" customHeight="1">
      <c r="B12925" s="13"/>
      <c r="C12925" t="s" s="9">
        <v>16</v>
      </c>
      <c r="D12925" t="s" s="8">
        <v>4889</v>
      </c>
      <c r="E12925" t="s" s="9">
        <v>4889</v>
      </c>
      <c r="F12925" t="s" s="10">
        <v>68</v>
      </c>
      <c r="G12925" s="14"/>
      <c r="H12925" s="19">
        <v>5</v>
      </c>
      <c r="I12925" s="14"/>
      <c r="J12925" t="s" s="11">
        <v>20</v>
      </c>
      <c r="K12925" t="s" s="16">
        <f>HYPERLINK("http://csr.bu.edu/ftp/asl/asllvd/demos/verify_start_end_handshape_annotations//test_auto_move//signs_mov/4200.mov","MOV")</f>
        <v>21</v>
      </c>
      <c r="L12925" t="s" s="16">
        <f>HYPERLINK("http://csr.bu.edu/ftp/asl/asllvd/demos/verify_start_end_handshape_annotations//test_auto_move//signs_mov_separ_signers/Liz_4200.mov","MOV")</f>
        <v>21</v>
      </c>
      <c r="M12925" t="s" s="10">
        <v>77</v>
      </c>
      <c r="N12925" s="17">
        <v>17</v>
      </c>
      <c r="O12925" s="18">
        <v>5325</v>
      </c>
      <c r="P12925" s="18">
        <v>5404</v>
      </c>
      <c r="Q12925" t="s" s="16">
        <f>HYPERLINK("http://secrets.rutgers.edu:8080/data/asl-ftp/asllvd/demos/verify_start_end_handshape_annotations//test_auto_move//signs_mov/4200.mov","MOV")</f>
        <v>21</v>
      </c>
      <c r="R12925" t="s" s="16">
        <f>HYPERLINK("http://secrets.rutgers.edu:8080/data/asl-ftp/asllvd/demos/verify_start_end_handshape_annotations//test_auto_move//signs_mov_separ_signers/Liz_4200.mov","MOV")</f>
        <v>21</v>
      </c>
    </row>
    <row r="12926" s="2" customFormat="1" ht="13.5" customHeight="1">
      <c r="B12926" t="s" s="8">
        <v>4890</v>
      </c>
      <c r="C12926" t="s" s="9">
        <v>14</v>
      </c>
      <c r="D12926" t="s" s="8">
        <v>14</v>
      </c>
      <c r="E12926" t="s" s="9">
        <v>14</v>
      </c>
      <c r="F12926" t="s" s="10">
        <v>14</v>
      </c>
      <c r="G12926" t="s" s="11">
        <v>14</v>
      </c>
      <c r="H12926" t="s" s="10">
        <v>14</v>
      </c>
      <c r="I12926" t="s" s="11">
        <v>14</v>
      </c>
      <c r="J12926" t="s" s="11">
        <v>14</v>
      </c>
      <c r="K12926" t="s" s="12">
        <v>14</v>
      </c>
      <c r="L12926" t="s" s="12">
        <v>14</v>
      </c>
      <c r="M12926" t="s" s="10">
        <v>14</v>
      </c>
      <c r="N12926" t="s" s="11">
        <v>14</v>
      </c>
      <c r="O12926" t="s" s="8">
        <v>14</v>
      </c>
      <c r="P12926" t="s" s="8">
        <v>14</v>
      </c>
      <c r="Q12926" t="s" s="12">
        <v>14</v>
      </c>
      <c r="R12926" t="s" s="12">
        <v>14</v>
      </c>
    </row>
    <row r="12927" s="2" customFormat="1" ht="13.5" customHeight="1">
      <c r="B12927" s="13"/>
      <c r="C12927" t="s" s="9">
        <v>30</v>
      </c>
      <c r="D12927" t="s" s="8">
        <v>4890</v>
      </c>
      <c r="E12927" t="s" s="9">
        <v>4890</v>
      </c>
      <c r="F12927" s="19">
        <v>5</v>
      </c>
      <c r="G12927" s="14"/>
      <c r="H12927" s="19">
        <v>5</v>
      </c>
      <c r="I12927" s="14"/>
      <c r="J12927" t="s" s="11">
        <v>20</v>
      </c>
      <c r="K12927" t="s" s="16">
        <f>HYPERLINK("http://csr.bu.edu/ftp/asl/asllvd/demos/verify_start_end_handshape_annotations//test_auto_move//signs_mov/15004.mov","MOV")</f>
        <v>21</v>
      </c>
      <c r="L12927" t="s" s="16">
        <f>HYPERLINK("http://csr.bu.edu/ftp/asl/asllvd/demos/verify_start_end_handshape_annotations//test_auto_move//signs_mov_separ_signers/Brady_15004.mov","MOV")</f>
        <v>21</v>
      </c>
      <c r="M12927" t="s" s="10">
        <v>31</v>
      </c>
      <c r="N12927" s="17">
        <v>5</v>
      </c>
      <c r="O12927" s="18">
        <v>10948</v>
      </c>
      <c r="P12927" s="18">
        <v>10966</v>
      </c>
      <c r="Q12927" t="s" s="16">
        <f>HYPERLINK("http://secrets.rutgers.edu:8080/data/asl-ftp/asllvd/demos/verify_start_end_handshape_annotations//test_auto_move//signs_mov/15004.mov","MOV")</f>
        <v>21</v>
      </c>
      <c r="R12927" t="s" s="16">
        <f>HYPERLINK("http://secrets.rutgers.edu:8080/data/asl-ftp/asllvd/demos/verify_start_end_handshape_annotations//test_auto_move//signs_mov_separ_signers/Brady_15004.mov","MOV")</f>
        <v>21</v>
      </c>
    </row>
    <row r="12928" s="2" customFormat="1" ht="13.5" customHeight="1">
      <c r="B12928" t="s" s="8">
        <v>4891</v>
      </c>
      <c r="C12928" t="s" s="9">
        <v>14</v>
      </c>
      <c r="D12928" t="s" s="8">
        <v>14</v>
      </c>
      <c r="E12928" t="s" s="9">
        <v>14</v>
      </c>
      <c r="F12928" t="s" s="10">
        <v>14</v>
      </c>
      <c r="G12928" t="s" s="11">
        <v>14</v>
      </c>
      <c r="H12928" t="s" s="10">
        <v>14</v>
      </c>
      <c r="I12928" t="s" s="11">
        <v>14</v>
      </c>
      <c r="J12928" t="s" s="11">
        <v>14</v>
      </c>
      <c r="K12928" t="s" s="12">
        <v>14</v>
      </c>
      <c r="L12928" t="s" s="12">
        <v>14</v>
      </c>
      <c r="M12928" t="s" s="10">
        <v>14</v>
      </c>
      <c r="N12928" t="s" s="11">
        <v>14</v>
      </c>
      <c r="O12928" t="s" s="8">
        <v>14</v>
      </c>
      <c r="P12928" t="s" s="8">
        <v>14</v>
      </c>
      <c r="Q12928" t="s" s="12">
        <v>14</v>
      </c>
      <c r="R12928" t="s" s="12">
        <v>14</v>
      </c>
    </row>
    <row r="12929" s="2" customFormat="1" ht="13.5" customHeight="1">
      <c r="B12929" s="13"/>
      <c r="C12929" t="s" s="9">
        <v>16</v>
      </c>
      <c r="D12929" t="s" s="8">
        <v>4891</v>
      </c>
      <c r="E12929" t="s" s="9">
        <v>4892</v>
      </c>
      <c r="F12929" t="s" s="10">
        <v>341</v>
      </c>
      <c r="G12929" s="14"/>
      <c r="H12929" s="19">
        <v>10</v>
      </c>
      <c r="I12929" s="14"/>
      <c r="J12929" t="s" s="11">
        <v>20</v>
      </c>
      <c r="K12929" t="s" s="16">
        <f>HYPERLINK("http://csr.bu.edu/ftp/asl/asllvd/demos/verify_start_end_handshape_annotations//test_auto_move//signs_mov/4209.mov","MOV")</f>
        <v>21</v>
      </c>
      <c r="L12929" t="s" s="16">
        <f>HYPERLINK("http://csr.bu.edu/ftp/asl/asllvd/demos/verify_start_end_handshape_annotations//test_auto_move//signs_mov_separ_signers/Liz_4209.mov","MOV")</f>
        <v>21</v>
      </c>
      <c r="M12929" t="s" s="10">
        <v>77</v>
      </c>
      <c r="N12929" s="17">
        <v>20</v>
      </c>
      <c r="O12929" s="18">
        <v>255</v>
      </c>
      <c r="P12929" s="18">
        <v>300</v>
      </c>
      <c r="Q12929" t="s" s="16">
        <f>HYPERLINK("http://secrets.rutgers.edu:8080/data/asl-ftp/asllvd/demos/verify_start_end_handshape_annotations//test_auto_move//signs_mov/4209.mov","MOV")</f>
        <v>21</v>
      </c>
      <c r="R12929" t="s" s="16">
        <f>HYPERLINK("http://secrets.rutgers.edu:8080/data/asl-ftp/asllvd/demos/verify_start_end_handshape_annotations//test_auto_move//signs_mov_separ_signers/Liz_4209.mov","MOV")</f>
        <v>21</v>
      </c>
    </row>
    <row r="12930" s="2" customFormat="1" ht="13.5" customHeight="1">
      <c r="B12930" s="13"/>
      <c r="C12930" t="s" s="9">
        <v>30</v>
      </c>
      <c r="D12930" t="s" s="8">
        <v>4891</v>
      </c>
      <c r="E12930" t="s" s="9">
        <v>4893</v>
      </c>
      <c r="F12930" t="s" s="10">
        <v>341</v>
      </c>
      <c r="G12930" s="14"/>
      <c r="H12930" s="19">
        <v>10</v>
      </c>
      <c r="I12930" s="14"/>
      <c r="J12930" t="s" s="11">
        <v>20</v>
      </c>
      <c r="K12930" s="15"/>
      <c r="L12930" t="s" s="16">
        <f>HYPERLINK("http://csr.bu.edu/ftp/asl/asllvd/demos/verify_start_end_handshape_annotations//test_auto_move//signs_mov_separ_signers/Brady_4209.mov","MOV")</f>
        <v>21</v>
      </c>
      <c r="M12930" t="s" s="10">
        <v>39</v>
      </c>
      <c r="N12930" s="17">
        <v>30</v>
      </c>
      <c r="O12930" s="18">
        <v>5273</v>
      </c>
      <c r="P12930" s="18">
        <v>5293</v>
      </c>
      <c r="Q12930" s="15"/>
      <c r="R12930" t="s" s="16">
        <f>HYPERLINK("http://secrets.rutgers.edu:8080/data/asl-ftp/asllvd/demos/verify_start_end_handshape_annotations//test_auto_move//signs_mov_separ_signers/Brady_4209.mov","MOV")</f>
        <v>21</v>
      </c>
    </row>
    <row r="12931" s="2" customFormat="1" ht="13.5" customHeight="1">
      <c r="B12931" t="s" s="8">
        <v>4894</v>
      </c>
      <c r="C12931" t="s" s="9">
        <v>14</v>
      </c>
      <c r="D12931" t="s" s="8">
        <v>14</v>
      </c>
      <c r="E12931" t="s" s="9">
        <v>14</v>
      </c>
      <c r="F12931" t="s" s="10">
        <v>14</v>
      </c>
      <c r="G12931" t="s" s="11">
        <v>14</v>
      </c>
      <c r="H12931" t="s" s="10">
        <v>14</v>
      </c>
      <c r="I12931" t="s" s="11">
        <v>14</v>
      </c>
      <c r="J12931" t="s" s="11">
        <v>14</v>
      </c>
      <c r="K12931" t="s" s="12">
        <v>14</v>
      </c>
      <c r="L12931" t="s" s="12">
        <v>14</v>
      </c>
      <c r="M12931" t="s" s="10">
        <v>14</v>
      </c>
      <c r="N12931" t="s" s="11">
        <v>14</v>
      </c>
      <c r="O12931" t="s" s="8">
        <v>14</v>
      </c>
      <c r="P12931" t="s" s="8">
        <v>14</v>
      </c>
      <c r="Q12931" t="s" s="12">
        <v>14</v>
      </c>
      <c r="R12931" t="s" s="12">
        <v>14</v>
      </c>
    </row>
    <row r="12932" s="2" customFormat="1" ht="13.5" customHeight="1">
      <c r="B12932" s="13"/>
      <c r="C12932" t="s" s="9">
        <v>16</v>
      </c>
      <c r="D12932" t="s" s="8">
        <v>4895</v>
      </c>
      <c r="E12932" t="s" s="9">
        <v>4895</v>
      </c>
      <c r="F12932" t="s" s="10">
        <v>68</v>
      </c>
      <c r="G12932" s="14"/>
      <c r="H12932" t="s" s="10">
        <v>282</v>
      </c>
      <c r="I12932" s="14"/>
      <c r="J12932" t="s" s="11">
        <v>20</v>
      </c>
      <c r="K12932" t="s" s="16">
        <f>HYPERLINK("http://csr.bu.edu/ftp/asl/asllvd/demos/verify_start_end_handshape_annotations//test_auto_move//signs_mov/4246.mov","MOV")</f>
        <v>21</v>
      </c>
      <c r="L12932" t="s" s="16">
        <f>HYPERLINK("http://csr.bu.edu/ftp/asl/asllvd/demos/verify_start_end_handshape_annotations//test_auto_move//signs_mov_separ_signers/Liz_4246.mov","MOV")</f>
        <v>21</v>
      </c>
      <c r="M12932" t="s" s="10">
        <v>77</v>
      </c>
      <c r="N12932" s="17">
        <v>21</v>
      </c>
      <c r="O12932" s="18">
        <v>1349</v>
      </c>
      <c r="P12932" s="18">
        <v>1413</v>
      </c>
      <c r="Q12932" t="s" s="16">
        <f>HYPERLINK("http://secrets.rutgers.edu:8080/data/asl-ftp/asllvd/demos/verify_start_end_handshape_annotations//test_auto_move//signs_mov/4246.mov","MOV")</f>
        <v>21</v>
      </c>
      <c r="R12932" t="s" s="16">
        <f>HYPERLINK("http://secrets.rutgers.edu:8080/data/asl-ftp/asllvd/demos/verify_start_end_handshape_annotations//test_auto_move//signs_mov_separ_signers/Liz_4246.mov","MOV")</f>
        <v>21</v>
      </c>
    </row>
    <row r="12933" s="2" customFormat="1" ht="13.5" customHeight="1">
      <c r="B12933" s="13"/>
      <c r="C12933" t="s" s="9">
        <v>30</v>
      </c>
      <c r="D12933" t="s" s="8">
        <v>4895</v>
      </c>
      <c r="E12933" t="s" s="9">
        <v>4895</v>
      </c>
      <c r="F12933" t="s" s="10">
        <v>68</v>
      </c>
      <c r="G12933" s="14"/>
      <c r="H12933" t="s" s="10">
        <v>282</v>
      </c>
      <c r="I12933" s="14"/>
      <c r="J12933" t="s" s="11">
        <v>20</v>
      </c>
      <c r="K12933" s="15"/>
      <c r="L12933" t="s" s="16">
        <f>HYPERLINK("http://csr.bu.edu/ftp/asl/asllvd/demos/verify_start_end_handshape_annotations//test_auto_move//signs_mov_separ_signers/Brady_4246.mov","MOV")</f>
        <v>21</v>
      </c>
      <c r="M12933" t="s" s="10">
        <v>40</v>
      </c>
      <c r="N12933" s="17">
        <v>19</v>
      </c>
      <c r="O12933" s="18">
        <v>567</v>
      </c>
      <c r="P12933" s="18">
        <v>605</v>
      </c>
      <c r="Q12933" s="15"/>
      <c r="R12933" t="s" s="16">
        <f>HYPERLINK("http://secrets.rutgers.edu:8080/data/asl-ftp/asllvd/demos/verify_start_end_handshape_annotations//test_auto_move//signs_mov_separ_signers/Brady_4246.mov","MOV")</f>
        <v>21</v>
      </c>
    </row>
    <row r="12934" s="2" customFormat="1" ht="13.5" customHeight="1">
      <c r="B12934" t="s" s="8">
        <v>4896</v>
      </c>
      <c r="C12934" t="s" s="9">
        <v>14</v>
      </c>
      <c r="D12934" t="s" s="8">
        <v>14</v>
      </c>
      <c r="E12934" t="s" s="9">
        <v>14</v>
      </c>
      <c r="F12934" t="s" s="10">
        <v>14</v>
      </c>
      <c r="G12934" t="s" s="11">
        <v>14</v>
      </c>
      <c r="H12934" t="s" s="10">
        <v>14</v>
      </c>
      <c r="I12934" t="s" s="11">
        <v>14</v>
      </c>
      <c r="J12934" t="s" s="11">
        <v>14</v>
      </c>
      <c r="K12934" t="s" s="12">
        <v>14</v>
      </c>
      <c r="L12934" t="s" s="12">
        <v>14</v>
      </c>
      <c r="M12934" t="s" s="10">
        <v>14</v>
      </c>
      <c r="N12934" t="s" s="11">
        <v>14</v>
      </c>
      <c r="O12934" t="s" s="8">
        <v>14</v>
      </c>
      <c r="P12934" t="s" s="8">
        <v>14</v>
      </c>
      <c r="Q12934" t="s" s="12">
        <v>14</v>
      </c>
      <c r="R12934" t="s" s="12">
        <v>14</v>
      </c>
    </row>
    <row r="12935" s="2" customFormat="1" ht="13.5" customHeight="1">
      <c r="B12935" s="13"/>
      <c r="C12935" t="s" s="9">
        <v>16</v>
      </c>
      <c r="D12935" t="s" s="8">
        <v>4896</v>
      </c>
      <c r="E12935" t="s" s="9">
        <v>4896</v>
      </c>
      <c r="F12935" t="s" s="10">
        <v>158</v>
      </c>
      <c r="G12935" s="14"/>
      <c r="H12935" t="s" s="10">
        <v>51</v>
      </c>
      <c r="I12935" s="14"/>
      <c r="J12935" t="s" s="11">
        <v>20</v>
      </c>
      <c r="K12935" t="s" s="16">
        <f>HYPERLINK("http://csr.bu.edu/ftp/asl/asllvd/demos/verify_start_end_handshape_annotations//test_auto_move//signs_mov/4247.mov","MOV")</f>
        <v>21</v>
      </c>
      <c r="L12935" t="s" s="16">
        <f>HYPERLINK("http://csr.bu.edu/ftp/asl/asllvd/demos/verify_start_end_handshape_annotations//test_auto_move//signs_mov_separ_signers/Liz_4247.mov","MOV")</f>
        <v>21</v>
      </c>
      <c r="M12935" t="s" s="10">
        <v>77</v>
      </c>
      <c r="N12935" s="17">
        <v>21</v>
      </c>
      <c r="O12935" s="18">
        <v>1502</v>
      </c>
      <c r="P12935" s="18">
        <v>1541</v>
      </c>
      <c r="Q12935" t="s" s="16">
        <f>HYPERLINK("http://secrets.rutgers.edu:8080/data/asl-ftp/asllvd/demos/verify_start_end_handshape_annotations//test_auto_move//signs_mov/4247.mov","MOV")</f>
        <v>21</v>
      </c>
      <c r="R12935" t="s" s="16">
        <f>HYPERLINK("http://secrets.rutgers.edu:8080/data/asl-ftp/asllvd/demos/verify_start_end_handshape_annotations//test_auto_move//signs_mov_separ_signers/Liz_4247.mov","MOV")</f>
        <v>21</v>
      </c>
    </row>
    <row r="12936" s="2" customFormat="1" ht="13.5" customHeight="1">
      <c r="B12936" s="13"/>
      <c r="C12936" t="s" s="9">
        <v>30</v>
      </c>
      <c r="D12936" t="s" s="8">
        <v>4896</v>
      </c>
      <c r="E12936" t="s" s="9">
        <v>4896</v>
      </c>
      <c r="F12936" t="s" s="10">
        <v>158</v>
      </c>
      <c r="G12936" s="14"/>
      <c r="H12936" t="s" s="10">
        <v>51</v>
      </c>
      <c r="I12936" s="14"/>
      <c r="J12936" t="s" s="11">
        <v>20</v>
      </c>
      <c r="K12936" s="15"/>
      <c r="L12936" t="s" s="16">
        <f>HYPERLINK("http://csr.bu.edu/ftp/asl/asllvd/demos/verify_start_end_handshape_annotations//test_auto_move//signs_mov_separ_signers/Brady_4247.mov","MOV")</f>
        <v>21</v>
      </c>
      <c r="M12936" t="s" s="10">
        <v>40</v>
      </c>
      <c r="N12936" s="17">
        <v>23</v>
      </c>
      <c r="O12936" s="18">
        <v>3836</v>
      </c>
      <c r="P12936" s="18">
        <v>3854</v>
      </c>
      <c r="Q12936" s="15"/>
      <c r="R12936" t="s" s="16">
        <f>HYPERLINK("http://secrets.rutgers.edu:8080/data/asl-ftp/asllvd/demos/verify_start_end_handshape_annotations//test_auto_move//signs_mov_separ_signers/Brady_4247.mov","MOV")</f>
        <v>21</v>
      </c>
    </row>
    <row r="12937" s="2" customFormat="1" ht="13.5" customHeight="1">
      <c r="B12937" t="s" s="8">
        <v>4897</v>
      </c>
      <c r="C12937" t="s" s="9">
        <v>14</v>
      </c>
      <c r="D12937" t="s" s="8">
        <v>14</v>
      </c>
      <c r="E12937" t="s" s="9">
        <v>14</v>
      </c>
      <c r="F12937" t="s" s="10">
        <v>14</v>
      </c>
      <c r="G12937" t="s" s="11">
        <v>14</v>
      </c>
      <c r="H12937" t="s" s="10">
        <v>14</v>
      </c>
      <c r="I12937" t="s" s="11">
        <v>14</v>
      </c>
      <c r="J12937" t="s" s="11">
        <v>14</v>
      </c>
      <c r="K12937" t="s" s="12">
        <v>14</v>
      </c>
      <c r="L12937" t="s" s="12">
        <v>14</v>
      </c>
      <c r="M12937" t="s" s="10">
        <v>14</v>
      </c>
      <c r="N12937" t="s" s="11">
        <v>14</v>
      </c>
      <c r="O12937" t="s" s="8">
        <v>14</v>
      </c>
      <c r="P12937" t="s" s="8">
        <v>14</v>
      </c>
      <c r="Q12937" t="s" s="12">
        <v>14</v>
      </c>
      <c r="R12937" t="s" s="12">
        <v>14</v>
      </c>
    </row>
    <row r="12938" s="2" customFormat="1" ht="13.5" customHeight="1">
      <c r="B12938" s="13"/>
      <c r="C12938" t="s" s="9">
        <v>16</v>
      </c>
      <c r="D12938" t="s" s="8">
        <v>4898</v>
      </c>
      <c r="E12938" t="s" s="9">
        <v>4899</v>
      </c>
      <c r="F12938" t="s" s="10">
        <v>337</v>
      </c>
      <c r="G12938" s="14"/>
      <c r="H12938" t="s" s="10">
        <v>28</v>
      </c>
      <c r="I12938" t="s" s="11">
        <v>73</v>
      </c>
      <c r="J12938" t="s" s="11">
        <v>20</v>
      </c>
      <c r="K12938" t="s" s="16">
        <f>HYPERLINK("http://csr.bu.edu/ftp/asl/asllvd/demos/verify_start_end_handshape_annotations//test_auto_move//signs_mov/4276.mov","MOV")</f>
        <v>21</v>
      </c>
      <c r="L12938" t="s" s="16">
        <f>HYPERLINK("http://csr.bu.edu/ftp/asl/asllvd/demos/verify_start_end_handshape_annotations//test_auto_move//signs_mov_separ_signers/Liz_4276.mov","MOV")</f>
        <v>21</v>
      </c>
      <c r="M12938" t="s" s="10">
        <v>77</v>
      </c>
      <c r="N12938" s="17">
        <v>26</v>
      </c>
      <c r="O12938" s="18">
        <v>607</v>
      </c>
      <c r="P12938" s="18">
        <v>667</v>
      </c>
      <c r="Q12938" t="s" s="16">
        <f>HYPERLINK("http://secrets.rutgers.edu:8080/data/asl-ftp/asllvd/demos/verify_start_end_handshape_annotations//test_auto_move//signs_mov/4276.mov","MOV")</f>
        <v>21</v>
      </c>
      <c r="R12938" t="s" s="16">
        <f>HYPERLINK("http://secrets.rutgers.edu:8080/data/asl-ftp/asllvd/demos/verify_start_end_handshape_annotations//test_auto_move//signs_mov_separ_signers/Liz_4276.mov","MOV")</f>
        <v>21</v>
      </c>
    </row>
    <row r="12939" s="2" customFormat="1" ht="13.5" customHeight="1">
      <c r="B12939" s="13"/>
      <c r="C12939" t="s" s="9">
        <v>30</v>
      </c>
      <c r="D12939" t="s" s="8">
        <v>4898</v>
      </c>
      <c r="E12939" t="s" s="9">
        <v>4900</v>
      </c>
      <c r="F12939" t="s" s="10">
        <v>25</v>
      </c>
      <c r="G12939" s="14"/>
      <c r="H12939" t="s" s="10">
        <v>28</v>
      </c>
      <c r="I12939" t="s" s="11">
        <v>73</v>
      </c>
      <c r="J12939" t="s" s="11">
        <v>20</v>
      </c>
      <c r="K12939" s="15"/>
      <c r="L12939" t="s" s="16">
        <f>HYPERLINK("http://csr.bu.edu/ftp/asl/asllvd/demos/verify_start_end_handshape_annotations//test_auto_move//signs_mov_separ_signers/Brady_4276.mov","MOV")</f>
        <v>21</v>
      </c>
      <c r="M12939" t="s" s="10">
        <v>31</v>
      </c>
      <c r="N12939" s="17">
        <v>27</v>
      </c>
      <c r="O12939" s="18">
        <v>6646</v>
      </c>
      <c r="P12939" s="18">
        <v>6677</v>
      </c>
      <c r="Q12939" s="15"/>
      <c r="R12939" t="s" s="16">
        <f>HYPERLINK("http://secrets.rutgers.edu:8080/data/asl-ftp/asllvd/demos/verify_start_end_handshape_annotations//test_auto_move//signs_mov_separ_signers/Brady_4276.mov","MOV")</f>
        <v>21</v>
      </c>
    </row>
    <row r="12940" s="2" customFormat="1" ht="13.5" customHeight="1">
      <c r="B12940" t="s" s="8">
        <v>4901</v>
      </c>
      <c r="C12940" t="s" s="9">
        <v>14</v>
      </c>
      <c r="D12940" t="s" s="8">
        <v>14</v>
      </c>
      <c r="E12940" t="s" s="9">
        <v>14</v>
      </c>
      <c r="F12940" t="s" s="10">
        <v>14</v>
      </c>
      <c r="G12940" t="s" s="11">
        <v>14</v>
      </c>
      <c r="H12940" t="s" s="10">
        <v>14</v>
      </c>
      <c r="I12940" t="s" s="11">
        <v>14</v>
      </c>
      <c r="J12940" t="s" s="11">
        <v>14</v>
      </c>
      <c r="K12940" t="s" s="12">
        <v>14</v>
      </c>
      <c r="L12940" t="s" s="12">
        <v>14</v>
      </c>
      <c r="M12940" t="s" s="10">
        <v>14</v>
      </c>
      <c r="N12940" t="s" s="11">
        <v>14</v>
      </c>
      <c r="O12940" t="s" s="8">
        <v>14</v>
      </c>
      <c r="P12940" t="s" s="8">
        <v>14</v>
      </c>
      <c r="Q12940" t="s" s="12">
        <v>14</v>
      </c>
      <c r="R12940" t="s" s="12">
        <v>14</v>
      </c>
    </row>
    <row r="12941" s="2" customFormat="1" ht="13.5" customHeight="1">
      <c r="B12941" s="13"/>
      <c r="C12941" t="s" s="9">
        <v>16</v>
      </c>
      <c r="D12941" t="s" s="8">
        <v>4901</v>
      </c>
      <c r="E12941" t="s" s="9">
        <v>4901</v>
      </c>
      <c r="F12941" s="19">
        <v>1</v>
      </c>
      <c r="G12941" s="14"/>
      <c r="H12941" t="s" s="10">
        <v>68</v>
      </c>
      <c r="I12941" t="s" s="11">
        <v>68</v>
      </c>
      <c r="J12941" t="s" s="11">
        <v>20</v>
      </c>
      <c r="K12941" t="s" s="16">
        <f>HYPERLINK("http://csr.bu.edu/ftp/asl/asllvd/demos/verify_start_end_handshape_annotations//test_auto_move//signs_mov/4281.mov","MOV")</f>
        <v>21</v>
      </c>
      <c r="L12941" t="s" s="16">
        <f>HYPERLINK("http://csr.bu.edu/ftp/asl/asllvd/demos/verify_start_end_handshape_annotations//test_auto_move//signs_mov_separ_signers/Liz_4281.mov","MOV")</f>
        <v>21</v>
      </c>
      <c r="M12941" t="s" s="10">
        <v>77</v>
      </c>
      <c r="N12941" s="17">
        <v>26</v>
      </c>
      <c r="O12941" s="18">
        <v>1731</v>
      </c>
      <c r="P12941" s="18">
        <v>1786</v>
      </c>
      <c r="Q12941" t="s" s="16">
        <f>HYPERLINK("http://secrets.rutgers.edu:8080/data/asl-ftp/asllvd/demos/verify_start_end_handshape_annotations//test_auto_move//signs_mov/4281.mov","MOV")</f>
        <v>21</v>
      </c>
      <c r="R12941" t="s" s="16">
        <f>HYPERLINK("http://secrets.rutgers.edu:8080/data/asl-ftp/asllvd/demos/verify_start_end_handshape_annotations//test_auto_move//signs_mov_separ_signers/Liz_4281.mov","MOV")</f>
        <v>21</v>
      </c>
    </row>
    <row r="12942" s="2" customFormat="1" ht="13.5" customHeight="1">
      <c r="B12942" t="s" s="8">
        <v>4902</v>
      </c>
      <c r="C12942" t="s" s="9">
        <v>14</v>
      </c>
      <c r="D12942" t="s" s="8">
        <v>14</v>
      </c>
      <c r="E12942" t="s" s="9">
        <v>14</v>
      </c>
      <c r="F12942" t="s" s="10">
        <v>14</v>
      </c>
      <c r="G12942" t="s" s="11">
        <v>14</v>
      </c>
      <c r="H12942" t="s" s="10">
        <v>14</v>
      </c>
      <c r="I12942" t="s" s="11">
        <v>14</v>
      </c>
      <c r="J12942" t="s" s="11">
        <v>14</v>
      </c>
      <c r="K12942" t="s" s="12">
        <v>14</v>
      </c>
      <c r="L12942" t="s" s="12">
        <v>14</v>
      </c>
      <c r="M12942" t="s" s="10">
        <v>14</v>
      </c>
      <c r="N12942" t="s" s="11">
        <v>14</v>
      </c>
      <c r="O12942" t="s" s="8">
        <v>14</v>
      </c>
      <c r="P12942" t="s" s="8">
        <v>14</v>
      </c>
      <c r="Q12942" t="s" s="12">
        <v>14</v>
      </c>
      <c r="R12942" t="s" s="12">
        <v>14</v>
      </c>
    </row>
    <row r="12943" s="2" customFormat="1" ht="13.5" customHeight="1">
      <c r="B12943" s="13"/>
      <c r="C12943" t="s" s="9">
        <v>16</v>
      </c>
      <c r="D12943" t="s" s="8">
        <v>4902</v>
      </c>
      <c r="E12943" t="s" s="9">
        <v>4902</v>
      </c>
      <c r="F12943" s="19">
        <v>1</v>
      </c>
      <c r="G12943" s="14"/>
      <c r="H12943" t="s" s="10">
        <v>282</v>
      </c>
      <c r="I12943" t="s" s="11">
        <v>282</v>
      </c>
      <c r="J12943" t="s" s="11">
        <v>20</v>
      </c>
      <c r="K12943" t="s" s="16">
        <f>HYPERLINK("http://csr.bu.edu/ftp/asl/asllvd/demos/verify_start_end_handshape_annotations//test_auto_move//signs_mov/4297.mov","MOV")</f>
        <v>21</v>
      </c>
      <c r="L12943" t="s" s="16">
        <f>HYPERLINK("http://csr.bu.edu/ftp/asl/asllvd/demos/verify_start_end_handshape_annotations//test_auto_move//signs_mov_separ_signers/Liz_4297.mov","MOV")</f>
        <v>21</v>
      </c>
      <c r="M12943" t="s" s="10">
        <v>77</v>
      </c>
      <c r="N12943" s="17">
        <v>27</v>
      </c>
      <c r="O12943" s="18">
        <v>1910</v>
      </c>
      <c r="P12943" s="18">
        <v>1976</v>
      </c>
      <c r="Q12943" t="s" s="16">
        <f>HYPERLINK("http://secrets.rutgers.edu:8080/data/asl-ftp/asllvd/demos/verify_start_end_handshape_annotations//test_auto_move//signs_mov/4297.mov","MOV")</f>
        <v>21</v>
      </c>
      <c r="R12943" t="s" s="16">
        <f>HYPERLINK("http://secrets.rutgers.edu:8080/data/asl-ftp/asllvd/demos/verify_start_end_handshape_annotations//test_auto_move//signs_mov_separ_signers/Liz_4297.mov","MOV")</f>
        <v>21</v>
      </c>
    </row>
    <row r="12944" s="2" customFormat="1" ht="13.5" customHeight="1">
      <c r="B12944" s="13"/>
      <c r="C12944" t="s" s="9">
        <v>30</v>
      </c>
      <c r="D12944" t="s" s="8">
        <v>4902</v>
      </c>
      <c r="E12944" t="s" s="9">
        <v>4903</v>
      </c>
      <c r="F12944" s="19">
        <v>1</v>
      </c>
      <c r="G12944" t="s" s="11">
        <v>282</v>
      </c>
      <c r="H12944" t="s" s="10">
        <v>282</v>
      </c>
      <c r="I12944" t="s" s="11">
        <v>282</v>
      </c>
      <c r="J12944" t="s" s="11">
        <v>20</v>
      </c>
      <c r="K12944" s="15"/>
      <c r="L12944" t="s" s="16">
        <f>HYPERLINK("http://csr.bu.edu/ftp/asl/asllvd/demos/verify_start_end_handshape_annotations//test_auto_move//signs_mov_separ_signers/Brady_4297.mov","MOV")</f>
        <v>21</v>
      </c>
      <c r="M12944" t="s" s="10">
        <v>39</v>
      </c>
      <c r="N12944" s="17">
        <v>15</v>
      </c>
      <c r="O12944" s="18">
        <v>7331</v>
      </c>
      <c r="P12944" s="18">
        <v>7361</v>
      </c>
      <c r="Q12944" s="15"/>
      <c r="R12944" t="s" s="16">
        <f>HYPERLINK("http://secrets.rutgers.edu:8080/data/asl-ftp/asllvd/demos/verify_start_end_handshape_annotations//test_auto_move//signs_mov_separ_signers/Brady_4297.mov","MOV")</f>
        <v>21</v>
      </c>
    </row>
    <row r="12945" s="2" customFormat="1" ht="13.5" customHeight="1">
      <c r="B12945" t="s" s="8">
        <v>4904</v>
      </c>
      <c r="C12945" t="s" s="9">
        <v>14</v>
      </c>
      <c r="D12945" t="s" s="8">
        <v>14</v>
      </c>
      <c r="E12945" t="s" s="9">
        <v>14</v>
      </c>
      <c r="F12945" t="s" s="10">
        <v>14</v>
      </c>
      <c r="G12945" t="s" s="11">
        <v>14</v>
      </c>
      <c r="H12945" t="s" s="10">
        <v>14</v>
      </c>
      <c r="I12945" t="s" s="11">
        <v>14</v>
      </c>
      <c r="J12945" t="s" s="11">
        <v>14</v>
      </c>
      <c r="K12945" t="s" s="12">
        <v>14</v>
      </c>
      <c r="L12945" t="s" s="12">
        <v>14</v>
      </c>
      <c r="M12945" t="s" s="10">
        <v>14</v>
      </c>
      <c r="N12945" t="s" s="11">
        <v>14</v>
      </c>
      <c r="O12945" t="s" s="8">
        <v>14</v>
      </c>
      <c r="P12945" t="s" s="8">
        <v>14</v>
      </c>
      <c r="Q12945" t="s" s="12">
        <v>14</v>
      </c>
      <c r="R12945" t="s" s="12">
        <v>14</v>
      </c>
    </row>
    <row r="12946" s="2" customFormat="1" ht="13.5" customHeight="1">
      <c r="B12946" s="13"/>
      <c r="C12946" t="s" s="9">
        <v>30</v>
      </c>
      <c r="D12946" t="s" s="8">
        <v>4904</v>
      </c>
      <c r="E12946" t="s" s="9">
        <v>4904</v>
      </c>
      <c r="F12946" t="s" s="10">
        <v>337</v>
      </c>
      <c r="G12946" s="14"/>
      <c r="H12946" t="s" s="10">
        <v>136</v>
      </c>
      <c r="I12946" s="14"/>
      <c r="J12946" t="s" s="11">
        <v>20</v>
      </c>
      <c r="K12946" t="s" s="16">
        <f>HYPERLINK("http://csr.bu.edu/ftp/asl/asllvd/demos/verify_start_end_handshape_annotations//test_auto_move//signs_mov/4342.mov","MOV")</f>
        <v>21</v>
      </c>
      <c r="L12946" t="s" s="16">
        <f>HYPERLINK("http://csr.bu.edu/ftp/asl/asllvd/demos/verify_start_end_handshape_annotations//test_auto_move//signs_mov_separ_signers/Brady_4342.mov","MOV")</f>
        <v>21</v>
      </c>
      <c r="M12946" t="s" s="10">
        <v>39</v>
      </c>
      <c r="N12946" s="17">
        <v>28</v>
      </c>
      <c r="O12946" s="18">
        <v>10180</v>
      </c>
      <c r="P12946" s="18">
        <v>10225</v>
      </c>
      <c r="Q12946" t="s" s="16">
        <f>HYPERLINK("http://secrets.rutgers.edu:8080/data/asl-ftp/asllvd/demos/verify_start_end_handshape_annotations//test_auto_move//signs_mov/4342.mov","MOV")</f>
        <v>21</v>
      </c>
      <c r="R12946" t="s" s="16">
        <f>HYPERLINK("http://secrets.rutgers.edu:8080/data/asl-ftp/asllvd/demos/verify_start_end_handshape_annotations//test_auto_move//signs_mov_separ_signers/Brady_4342.mov","MOV")</f>
        <v>21</v>
      </c>
    </row>
    <row r="12947" s="2" customFormat="1" ht="13.5" customHeight="1">
      <c r="B12947" t="s" s="8">
        <v>4905</v>
      </c>
      <c r="C12947" t="s" s="9">
        <v>14</v>
      </c>
      <c r="D12947" t="s" s="8">
        <v>14</v>
      </c>
      <c r="E12947" t="s" s="9">
        <v>14</v>
      </c>
      <c r="F12947" t="s" s="10">
        <v>14</v>
      </c>
      <c r="G12947" t="s" s="11">
        <v>14</v>
      </c>
      <c r="H12947" t="s" s="10">
        <v>14</v>
      </c>
      <c r="I12947" t="s" s="11">
        <v>14</v>
      </c>
      <c r="J12947" t="s" s="11">
        <v>14</v>
      </c>
      <c r="K12947" t="s" s="12">
        <v>14</v>
      </c>
      <c r="L12947" t="s" s="12">
        <v>14</v>
      </c>
      <c r="M12947" t="s" s="10">
        <v>14</v>
      </c>
      <c r="N12947" t="s" s="11">
        <v>14</v>
      </c>
      <c r="O12947" t="s" s="8">
        <v>14</v>
      </c>
      <c r="P12947" t="s" s="8">
        <v>14</v>
      </c>
      <c r="Q12947" t="s" s="12">
        <v>14</v>
      </c>
      <c r="R12947" t="s" s="12">
        <v>14</v>
      </c>
    </row>
    <row r="12948" s="2" customFormat="1" ht="13.5" customHeight="1">
      <c r="B12948" s="13"/>
      <c r="C12948" t="s" s="9">
        <v>16</v>
      </c>
      <c r="D12948" t="s" s="8">
        <v>4905</v>
      </c>
      <c r="E12948" t="s" s="9">
        <v>4905</v>
      </c>
      <c r="F12948" t="s" s="10">
        <v>287</v>
      </c>
      <c r="G12948" t="s" s="11">
        <v>255</v>
      </c>
      <c r="H12948" t="s" s="10">
        <v>255</v>
      </c>
      <c r="I12948" t="s" s="11">
        <v>255</v>
      </c>
      <c r="J12948" t="s" s="11">
        <v>20</v>
      </c>
      <c r="K12948" t="s" s="16">
        <f>HYPERLINK("http://csr.bu.edu/ftp/asl/asllvd/demos/verify_start_end_handshape_annotations//test_auto_move//signs_mov/4352.mov","MOV")</f>
        <v>21</v>
      </c>
      <c r="L12948" t="s" s="16">
        <f>HYPERLINK("http://csr.bu.edu/ftp/asl/asllvd/demos/verify_start_end_handshape_annotations//test_auto_move//signs_mov_separ_signers/Liz_4352.mov","MOV")</f>
        <v>21</v>
      </c>
      <c r="M12948" t="s" s="10">
        <v>77</v>
      </c>
      <c r="N12948" s="17">
        <v>30</v>
      </c>
      <c r="O12948" s="18">
        <v>1896</v>
      </c>
      <c r="P12948" s="18">
        <v>2000</v>
      </c>
      <c r="Q12948" t="s" s="16">
        <f>HYPERLINK("http://secrets.rutgers.edu:8080/data/asl-ftp/asllvd/demos/verify_start_end_handshape_annotations//test_auto_move//signs_mov/4352.mov","MOV")</f>
        <v>21</v>
      </c>
      <c r="R12948" t="s" s="16">
        <f>HYPERLINK("http://secrets.rutgers.edu:8080/data/asl-ftp/asllvd/demos/verify_start_end_handshape_annotations//test_auto_move//signs_mov_separ_signers/Liz_4352.mov","MOV")</f>
        <v>21</v>
      </c>
    </row>
    <row r="12949" s="2" customFormat="1" ht="13.5" customHeight="1">
      <c r="B12949" t="s" s="8">
        <v>4906</v>
      </c>
      <c r="C12949" t="s" s="9">
        <v>14</v>
      </c>
      <c r="D12949" t="s" s="8">
        <v>14</v>
      </c>
      <c r="E12949" t="s" s="9">
        <v>14</v>
      </c>
      <c r="F12949" t="s" s="10">
        <v>14</v>
      </c>
      <c r="G12949" t="s" s="11">
        <v>14</v>
      </c>
      <c r="H12949" t="s" s="10">
        <v>14</v>
      </c>
      <c r="I12949" t="s" s="11">
        <v>14</v>
      </c>
      <c r="J12949" t="s" s="11">
        <v>14</v>
      </c>
      <c r="K12949" t="s" s="12">
        <v>14</v>
      </c>
      <c r="L12949" t="s" s="12">
        <v>14</v>
      </c>
      <c r="M12949" t="s" s="10">
        <v>14</v>
      </c>
      <c r="N12949" t="s" s="11">
        <v>14</v>
      </c>
      <c r="O12949" t="s" s="8">
        <v>14</v>
      </c>
      <c r="P12949" t="s" s="8">
        <v>14</v>
      </c>
      <c r="Q12949" t="s" s="12">
        <v>14</v>
      </c>
      <c r="R12949" t="s" s="12">
        <v>14</v>
      </c>
    </row>
    <row r="12950" s="2" customFormat="1" ht="13.5" customHeight="1">
      <c r="B12950" s="13"/>
      <c r="C12950" t="s" s="9">
        <v>16</v>
      </c>
      <c r="D12950" t="s" s="8">
        <v>4906</v>
      </c>
      <c r="E12950" t="s" s="9">
        <v>4906</v>
      </c>
      <c r="F12950" s="19">
        <v>10</v>
      </c>
      <c r="G12950" t="s" s="11">
        <v>73</v>
      </c>
      <c r="H12950" t="s" s="10">
        <v>73</v>
      </c>
      <c r="I12950" t="s" s="11">
        <v>73</v>
      </c>
      <c r="J12950" t="s" s="11">
        <v>20</v>
      </c>
      <c r="K12950" t="s" s="16">
        <f>HYPERLINK("http://csr.bu.edu/ftp/asl/asllvd/demos/verify_start_end_handshape_annotations//test_auto_move//signs_mov/4366.mov","MOV")</f>
        <v>21</v>
      </c>
      <c r="L12950" t="s" s="16">
        <f>HYPERLINK("http://csr.bu.edu/ftp/asl/asllvd/demos/verify_start_end_handshape_annotations//test_auto_move//signs_mov_separ_signers/Liz_4366.mov","MOV")</f>
        <v>21</v>
      </c>
      <c r="M12950" t="s" s="10">
        <v>77</v>
      </c>
      <c r="N12950" s="17">
        <v>31</v>
      </c>
      <c r="O12950" s="18">
        <v>1059</v>
      </c>
      <c r="P12950" s="18">
        <v>1138</v>
      </c>
      <c r="Q12950" t="s" s="16">
        <f>HYPERLINK("http://secrets.rutgers.edu:8080/data/asl-ftp/asllvd/demos/verify_start_end_handshape_annotations//test_auto_move//signs_mov/4366.mov","MOV")</f>
        <v>21</v>
      </c>
      <c r="R12950" t="s" s="16">
        <f>HYPERLINK("http://secrets.rutgers.edu:8080/data/asl-ftp/asllvd/demos/verify_start_end_handshape_annotations//test_auto_move//signs_mov_separ_signers/Liz_4366.mov","MOV")</f>
        <v>21</v>
      </c>
    </row>
    <row r="12951" s="2" customFormat="1" ht="13.5" customHeight="1">
      <c r="B12951" s="13"/>
      <c r="C12951" t="s" s="9">
        <v>30</v>
      </c>
      <c r="D12951" t="s" s="8">
        <v>4906</v>
      </c>
      <c r="E12951" t="s" s="9">
        <v>4906</v>
      </c>
      <c r="F12951" s="19">
        <v>10</v>
      </c>
      <c r="G12951" t="s" s="11">
        <v>73</v>
      </c>
      <c r="H12951" t="s" s="10">
        <v>73</v>
      </c>
      <c r="I12951" t="s" s="11">
        <v>73</v>
      </c>
      <c r="J12951" t="s" s="11">
        <v>20</v>
      </c>
      <c r="K12951" s="15"/>
      <c r="L12951" t="s" s="16">
        <f>HYPERLINK("http://csr.bu.edu/ftp/asl/asllvd/demos/verify_start_end_handshape_annotations//test_auto_move//signs_mov_separ_signers/Brady_4366.mov","MOV")</f>
        <v>21</v>
      </c>
      <c r="M12951" t="s" s="10">
        <v>39</v>
      </c>
      <c r="N12951" s="17">
        <v>47</v>
      </c>
      <c r="O12951" s="18">
        <v>3469</v>
      </c>
      <c r="P12951" s="18">
        <v>3502</v>
      </c>
      <c r="Q12951" s="15"/>
      <c r="R12951" t="s" s="16">
        <f>HYPERLINK("http://secrets.rutgers.edu:8080/data/asl-ftp/asllvd/demos/verify_start_end_handshape_annotations//test_auto_move//signs_mov_separ_signers/Brady_4366.mov","MOV")</f>
        <v>21</v>
      </c>
    </row>
    <row r="12952" s="2" customFormat="1" ht="13.5" customHeight="1">
      <c r="B12952" t="s" s="8">
        <v>4907</v>
      </c>
      <c r="C12952" t="s" s="9">
        <v>14</v>
      </c>
      <c r="D12952" t="s" s="8">
        <v>14</v>
      </c>
      <c r="E12952" t="s" s="9">
        <v>14</v>
      </c>
      <c r="F12952" t="s" s="10">
        <v>14</v>
      </c>
      <c r="G12952" t="s" s="11">
        <v>14</v>
      </c>
      <c r="H12952" t="s" s="10">
        <v>14</v>
      </c>
      <c r="I12952" t="s" s="11">
        <v>14</v>
      </c>
      <c r="J12952" t="s" s="11">
        <v>14</v>
      </c>
      <c r="K12952" t="s" s="12">
        <v>14</v>
      </c>
      <c r="L12952" t="s" s="12">
        <v>14</v>
      </c>
      <c r="M12952" t="s" s="10">
        <v>14</v>
      </c>
      <c r="N12952" t="s" s="11">
        <v>14</v>
      </c>
      <c r="O12952" t="s" s="8">
        <v>14</v>
      </c>
      <c r="P12952" t="s" s="8">
        <v>14</v>
      </c>
      <c r="Q12952" t="s" s="12">
        <v>14</v>
      </c>
      <c r="R12952" t="s" s="12">
        <v>14</v>
      </c>
    </row>
    <row r="12953" s="2" customFormat="1" ht="13.5" customHeight="1">
      <c r="B12953" s="13"/>
      <c r="C12953" t="s" s="9">
        <v>16</v>
      </c>
      <c r="D12953" t="s" s="8">
        <v>4907</v>
      </c>
      <c r="E12953" t="s" s="9">
        <v>4907</v>
      </c>
      <c r="F12953" t="s" s="10">
        <v>80</v>
      </c>
      <c r="G12953" t="s" s="11">
        <v>73</v>
      </c>
      <c r="H12953" t="s" s="10">
        <v>19</v>
      </c>
      <c r="I12953" t="s" s="11">
        <v>19</v>
      </c>
      <c r="J12953" t="s" s="11">
        <v>20</v>
      </c>
      <c r="K12953" t="s" s="16">
        <f>HYPERLINK("http://csr.bu.edu/ftp/asl/asllvd/demos/verify_start_end_handshape_annotations//test_auto_move//signs_mov/4379.mov","MOV")</f>
        <v>21</v>
      </c>
      <c r="L12953" t="s" s="16">
        <f>HYPERLINK("http://csr.bu.edu/ftp/asl/asllvd/demos/verify_start_end_handshape_annotations//test_auto_move//signs_mov_separ_signers/Liz_4379.mov","MOV")</f>
        <v>21</v>
      </c>
      <c r="M12953" t="s" s="10">
        <v>77</v>
      </c>
      <c r="N12953" s="17">
        <v>6</v>
      </c>
      <c r="O12953" s="18">
        <v>609</v>
      </c>
      <c r="P12953" s="18">
        <v>692</v>
      </c>
      <c r="Q12953" t="s" s="16">
        <f>HYPERLINK("http://secrets.rutgers.edu:8080/data/asl-ftp/asllvd/demos/verify_start_end_handshape_annotations//test_auto_move//signs_mov/4379.mov","MOV")</f>
        <v>21</v>
      </c>
      <c r="R12953" t="s" s="16">
        <f>HYPERLINK("http://secrets.rutgers.edu:8080/data/asl-ftp/asllvd/demos/verify_start_end_handshape_annotations//test_auto_move//signs_mov_separ_signers/Liz_4379.mov","MOV")</f>
        <v>21</v>
      </c>
    </row>
    <row r="12954" s="2" customFormat="1" ht="13.5" customHeight="1">
      <c r="B12954" s="13"/>
      <c r="C12954" t="s" s="9">
        <v>30</v>
      </c>
      <c r="D12954" t="s" s="8">
        <v>4907</v>
      </c>
      <c r="E12954" t="s" s="9">
        <v>4907</v>
      </c>
      <c r="F12954" t="s" s="10">
        <v>80</v>
      </c>
      <c r="G12954" t="s" s="11">
        <v>73</v>
      </c>
      <c r="H12954" t="s" s="10">
        <v>19</v>
      </c>
      <c r="I12954" t="s" s="11">
        <v>19</v>
      </c>
      <c r="J12954" t="s" s="11">
        <v>20</v>
      </c>
      <c r="K12954" s="15"/>
      <c r="L12954" t="s" s="16">
        <f>HYPERLINK("http://csr.bu.edu/ftp/asl/asllvd/demos/verify_start_end_handshape_annotations//test_auto_move//signs_mov_separ_signers/Brady_4379.mov","MOV")</f>
        <v>21</v>
      </c>
      <c r="M12954" t="s" s="10">
        <v>31</v>
      </c>
      <c r="N12954" s="17">
        <v>9</v>
      </c>
      <c r="O12954" s="18">
        <v>11854</v>
      </c>
      <c r="P12954" s="18">
        <v>11900</v>
      </c>
      <c r="Q12954" s="15"/>
      <c r="R12954" t="s" s="16">
        <f>HYPERLINK("http://secrets.rutgers.edu:8080/data/asl-ftp/asllvd/demos/verify_start_end_handshape_annotations//test_auto_move//signs_mov_separ_signers/Brady_4379.mov","MOV")</f>
        <v>21</v>
      </c>
    </row>
    <row r="12955" s="2" customFormat="1" ht="13.5" customHeight="1">
      <c r="B12955" t="s" s="8">
        <v>4908</v>
      </c>
      <c r="C12955" t="s" s="9">
        <v>14</v>
      </c>
      <c r="D12955" t="s" s="8">
        <v>14</v>
      </c>
      <c r="E12955" t="s" s="9">
        <v>14</v>
      </c>
      <c r="F12955" t="s" s="10">
        <v>14</v>
      </c>
      <c r="G12955" t="s" s="11">
        <v>14</v>
      </c>
      <c r="H12955" t="s" s="10">
        <v>14</v>
      </c>
      <c r="I12955" t="s" s="11">
        <v>14</v>
      </c>
      <c r="J12955" t="s" s="11">
        <v>14</v>
      </c>
      <c r="K12955" t="s" s="12">
        <v>14</v>
      </c>
      <c r="L12955" t="s" s="12">
        <v>14</v>
      </c>
      <c r="M12955" t="s" s="10">
        <v>14</v>
      </c>
      <c r="N12955" t="s" s="11">
        <v>14</v>
      </c>
      <c r="O12955" t="s" s="8">
        <v>14</v>
      </c>
      <c r="P12955" t="s" s="8">
        <v>14</v>
      </c>
      <c r="Q12955" t="s" s="12">
        <v>14</v>
      </c>
      <c r="R12955" t="s" s="12">
        <v>14</v>
      </c>
    </row>
    <row r="12956" s="2" customFormat="1" ht="13.5" customHeight="1">
      <c r="B12956" s="13"/>
      <c r="C12956" t="s" s="9">
        <v>16</v>
      </c>
      <c r="D12956" t="s" s="8">
        <v>4909</v>
      </c>
      <c r="E12956" t="s" s="9">
        <v>4909</v>
      </c>
      <c r="F12956" t="s" s="10">
        <v>68</v>
      </c>
      <c r="G12956" t="s" s="11">
        <v>68</v>
      </c>
      <c r="H12956" t="s" s="10">
        <v>73</v>
      </c>
      <c r="I12956" t="s" s="11">
        <v>73</v>
      </c>
      <c r="J12956" t="s" s="11">
        <v>20</v>
      </c>
      <c r="K12956" t="s" s="16">
        <f>HYPERLINK("http://csr.bu.edu/ftp/asl/asllvd/demos/verify_start_end_handshape_annotations//test_auto_move//signs_mov/4382.mov","MOV")</f>
        <v>21</v>
      </c>
      <c r="L12956" t="s" s="16">
        <f>HYPERLINK("http://csr.bu.edu/ftp/asl/asllvd/demos/verify_start_end_handshape_annotations//test_auto_move//signs_mov_separ_signers/Liz_4382.mov","MOV")</f>
        <v>21</v>
      </c>
      <c r="M12956" t="s" s="10">
        <v>77</v>
      </c>
      <c r="N12956" s="17">
        <v>6</v>
      </c>
      <c r="O12956" s="18">
        <v>1137</v>
      </c>
      <c r="P12956" s="18">
        <v>1207</v>
      </c>
      <c r="Q12956" t="s" s="16">
        <f>HYPERLINK("http://secrets.rutgers.edu:8080/data/asl-ftp/asllvd/demos/verify_start_end_handshape_annotations//test_auto_move//signs_mov/4382.mov","MOV")</f>
        <v>21</v>
      </c>
      <c r="R12956" t="s" s="16">
        <f>HYPERLINK("http://secrets.rutgers.edu:8080/data/asl-ftp/asllvd/demos/verify_start_end_handshape_annotations//test_auto_move//signs_mov_separ_signers/Liz_4382.mov","MOV")</f>
        <v>21</v>
      </c>
    </row>
    <row r="12957" s="2" customFormat="1" ht="13.5" customHeight="1">
      <c r="B12957" t="s" s="8">
        <v>4910</v>
      </c>
      <c r="C12957" t="s" s="9">
        <v>14</v>
      </c>
      <c r="D12957" t="s" s="8">
        <v>14</v>
      </c>
      <c r="E12957" t="s" s="9">
        <v>14</v>
      </c>
      <c r="F12957" t="s" s="10">
        <v>14</v>
      </c>
      <c r="G12957" t="s" s="11">
        <v>14</v>
      </c>
      <c r="H12957" t="s" s="10">
        <v>14</v>
      </c>
      <c r="I12957" t="s" s="11">
        <v>14</v>
      </c>
      <c r="J12957" t="s" s="11">
        <v>14</v>
      </c>
      <c r="K12957" t="s" s="12">
        <v>14</v>
      </c>
      <c r="L12957" t="s" s="12">
        <v>14</v>
      </c>
      <c r="M12957" t="s" s="10">
        <v>14</v>
      </c>
      <c r="N12957" t="s" s="11">
        <v>14</v>
      </c>
      <c r="O12957" t="s" s="8">
        <v>14</v>
      </c>
      <c r="P12957" t="s" s="8">
        <v>14</v>
      </c>
      <c r="Q12957" t="s" s="12">
        <v>14</v>
      </c>
      <c r="R12957" t="s" s="12">
        <v>14</v>
      </c>
    </row>
    <row r="12958" s="2" customFormat="1" ht="13.5" customHeight="1">
      <c r="B12958" s="13"/>
      <c r="C12958" t="s" s="9">
        <v>16</v>
      </c>
      <c r="D12958" t="s" s="8">
        <v>4910</v>
      </c>
      <c r="E12958" t="s" s="9">
        <v>4910</v>
      </c>
      <c r="F12958" t="s" s="10">
        <v>73</v>
      </c>
      <c r="G12958" t="s" s="11">
        <v>73</v>
      </c>
      <c r="H12958" t="s" s="10">
        <v>73</v>
      </c>
      <c r="I12958" t="s" s="11">
        <v>73</v>
      </c>
      <c r="J12958" t="s" s="11">
        <v>20</v>
      </c>
      <c r="K12958" s="15"/>
      <c r="L12958" t="s" s="16">
        <f>HYPERLINK("http://csr.bu.edu/ftp/asl/asllvd/demos/verify_start_end_handshape_annotations//test_auto_move//signs_mov_separ_signers/Liz_4395.mov","MOV")</f>
        <v>21</v>
      </c>
      <c r="M12958" t="s" s="10">
        <v>77</v>
      </c>
      <c r="N12958" s="17">
        <v>7</v>
      </c>
      <c r="O12958" s="18">
        <v>1965</v>
      </c>
      <c r="P12958" s="18">
        <v>2043</v>
      </c>
      <c r="Q12958" s="15"/>
      <c r="R12958" t="s" s="16">
        <f>HYPERLINK("http://secrets.rutgers.edu:8080/data/asl-ftp/asllvd/demos/verify_start_end_handshape_annotations//test_auto_move//signs_mov_separ_signers/Liz_4395.mov","MOV")</f>
        <v>21</v>
      </c>
    </row>
    <row r="12959" s="2" customFormat="1" ht="13.5" customHeight="1">
      <c r="B12959" s="13"/>
      <c r="C12959" t="s" s="9">
        <v>30</v>
      </c>
      <c r="D12959" t="s" s="8">
        <v>4910</v>
      </c>
      <c r="E12959" t="s" s="9">
        <v>4910</v>
      </c>
      <c r="F12959" t="s" s="10">
        <v>73</v>
      </c>
      <c r="G12959" t="s" s="11">
        <v>73</v>
      </c>
      <c r="H12959" t="s" s="10">
        <v>73</v>
      </c>
      <c r="I12959" t="s" s="11">
        <v>73</v>
      </c>
      <c r="J12959" t="s" s="11">
        <v>20</v>
      </c>
      <c r="K12959" t="s" s="16">
        <f>HYPERLINK("http://csr.bu.edu/ftp/asl/asllvd/demos/verify_start_end_handshape_annotations//test_auto_move//signs_mov/4395_16400_merged.mov","MOV")</f>
        <v>21</v>
      </c>
      <c r="L12959" t="s" s="16">
        <f>HYPERLINK("http://csr.bu.edu/ftp/asl/asllvd/demos/verify_start_end_handshape_annotations//test_auto_move//signs_mov_separ_signers/Brady_4395.mov","MOV")</f>
        <v>21</v>
      </c>
      <c r="M12959" t="s" s="10">
        <v>40</v>
      </c>
      <c r="N12959" s="17">
        <v>26</v>
      </c>
      <c r="O12959" s="18">
        <v>5238</v>
      </c>
      <c r="P12959" s="18">
        <v>5278</v>
      </c>
      <c r="Q12959" t="s" s="16">
        <f>HYPERLINK("http://secrets.rutgers.edu:8080/data/asl-ftp/asllvd/demos/verify_start_end_handshape_annotations//test_auto_move//signs_mov/4395_16400_merged.mov","MOV")</f>
        <v>21</v>
      </c>
      <c r="R12959" t="s" s="16">
        <f>HYPERLINK("http://secrets.rutgers.edu:8080/data/asl-ftp/asllvd/demos/verify_start_end_handshape_annotations//test_auto_move//signs_mov_separ_signers/Brady_4395.mov","MOV")</f>
        <v>21</v>
      </c>
    </row>
    <row r="12960" s="2" customFormat="1" ht="13.5" customHeight="1">
      <c r="B12960" s="13"/>
      <c r="C12960" t="s" s="9">
        <v>30</v>
      </c>
      <c r="D12960" t="s" s="8">
        <v>4910</v>
      </c>
      <c r="E12960" t="s" s="9">
        <v>4910</v>
      </c>
      <c r="F12960" t="s" s="10">
        <v>73</v>
      </c>
      <c r="G12960" t="s" s="11">
        <v>73</v>
      </c>
      <c r="H12960" t="s" s="10">
        <v>73</v>
      </c>
      <c r="I12960" t="s" s="11">
        <v>73</v>
      </c>
      <c r="J12960" t="s" s="11">
        <v>20</v>
      </c>
      <c r="K12960" s="15"/>
      <c r="L12960" t="s" s="16">
        <f>HYPERLINK("http://csr.bu.edu/ftp/asl/asllvd/demos/verify_start_end_handshape_annotations//test_auto_move//signs_mov_separ_signers/Brady_16400.mov","MOV")</f>
        <v>21</v>
      </c>
      <c r="M12960" t="s" s="10">
        <v>40</v>
      </c>
      <c r="N12960" s="17">
        <v>83</v>
      </c>
      <c r="O12960" s="18">
        <v>2734</v>
      </c>
      <c r="P12960" s="18">
        <v>2771</v>
      </c>
      <c r="Q12960" s="15"/>
      <c r="R12960" t="s" s="16">
        <f>HYPERLINK("http://secrets.rutgers.edu:8080/data/asl-ftp/asllvd/demos/verify_start_end_handshape_annotations//test_auto_move//signs_mov_separ_signers/Brady_16400.mov","MOV")</f>
        <v>21</v>
      </c>
    </row>
    <row r="12961" s="2" customFormat="1" ht="13.5" customHeight="1">
      <c r="B12961" t="s" s="8">
        <v>4911</v>
      </c>
      <c r="C12961" t="s" s="9">
        <v>14</v>
      </c>
      <c r="D12961" t="s" s="8">
        <v>14</v>
      </c>
      <c r="E12961" t="s" s="9">
        <v>14</v>
      </c>
      <c r="F12961" t="s" s="10">
        <v>14</v>
      </c>
      <c r="G12961" t="s" s="11">
        <v>14</v>
      </c>
      <c r="H12961" t="s" s="10">
        <v>14</v>
      </c>
      <c r="I12961" t="s" s="11">
        <v>14</v>
      </c>
      <c r="J12961" t="s" s="11">
        <v>14</v>
      </c>
      <c r="K12961" t="s" s="12">
        <v>14</v>
      </c>
      <c r="L12961" t="s" s="12">
        <v>14</v>
      </c>
      <c r="M12961" t="s" s="10">
        <v>14</v>
      </c>
      <c r="N12961" t="s" s="11">
        <v>14</v>
      </c>
      <c r="O12961" t="s" s="8">
        <v>14</v>
      </c>
      <c r="P12961" t="s" s="8">
        <v>14</v>
      </c>
      <c r="Q12961" t="s" s="12">
        <v>14</v>
      </c>
      <c r="R12961" t="s" s="12">
        <v>14</v>
      </c>
    </row>
    <row r="12962" s="2" customFormat="1" ht="13.5" customHeight="1">
      <c r="B12962" s="13"/>
      <c r="C12962" t="s" s="9">
        <v>16</v>
      </c>
      <c r="D12962" t="s" s="8">
        <v>4911</v>
      </c>
      <c r="E12962" t="s" s="9">
        <v>4911</v>
      </c>
      <c r="F12962" t="s" s="10">
        <v>68</v>
      </c>
      <c r="G12962" t="s" s="11">
        <v>68</v>
      </c>
      <c r="H12962" t="s" s="10">
        <v>55</v>
      </c>
      <c r="I12962" t="s" s="11">
        <v>55</v>
      </c>
      <c r="J12962" t="s" s="11">
        <v>20</v>
      </c>
      <c r="K12962" t="s" s="16">
        <f>HYPERLINK("http://csr.bu.edu/ftp/asl/asllvd/demos/verify_start_end_handshape_annotations//test_auto_move//signs_mov/4405.mov","MOV")</f>
        <v>21</v>
      </c>
      <c r="L12962" t="s" s="16">
        <f>HYPERLINK("http://csr.bu.edu/ftp/asl/asllvd/demos/verify_start_end_handshape_annotations//test_auto_move//signs_mov_separ_signers/Liz_4405.mov","MOV")</f>
        <v>21</v>
      </c>
      <c r="M12962" t="s" s="10">
        <v>77</v>
      </c>
      <c r="N12962" s="17">
        <v>7</v>
      </c>
      <c r="O12962" s="18">
        <v>2975</v>
      </c>
      <c r="P12962" s="18">
        <v>3055</v>
      </c>
      <c r="Q12962" t="s" s="16">
        <f>HYPERLINK("http://secrets.rutgers.edu:8080/data/asl-ftp/asllvd/demos/verify_start_end_handshape_annotations//test_auto_move//signs_mov/4405.mov","MOV")</f>
        <v>21</v>
      </c>
      <c r="R12962" t="s" s="16">
        <f>HYPERLINK("http://secrets.rutgers.edu:8080/data/asl-ftp/asllvd/demos/verify_start_end_handshape_annotations//test_auto_move//signs_mov_separ_signers/Liz_4405.mov","MOV")</f>
        <v>21</v>
      </c>
    </row>
    <row r="12963" s="2" customFormat="1" ht="13.5" customHeight="1">
      <c r="B12963" s="13"/>
      <c r="C12963" t="s" s="9">
        <v>30</v>
      </c>
      <c r="D12963" t="s" s="8">
        <v>4911</v>
      </c>
      <c r="E12963" t="s" s="9">
        <v>4911</v>
      </c>
      <c r="F12963" t="s" s="10">
        <v>68</v>
      </c>
      <c r="G12963" t="s" s="11">
        <v>68</v>
      </c>
      <c r="H12963" t="s" s="10">
        <v>55</v>
      </c>
      <c r="I12963" t="s" s="11">
        <v>55</v>
      </c>
      <c r="J12963" t="s" s="11">
        <v>20</v>
      </c>
      <c r="K12963" s="15"/>
      <c r="L12963" t="s" s="16">
        <f>HYPERLINK("http://csr.bu.edu/ftp/asl/asllvd/demos/verify_start_end_handshape_annotations//test_auto_move//signs_mov_separ_signers/Brady_4405.mov","MOV")</f>
        <v>21</v>
      </c>
      <c r="M12963" t="s" s="10">
        <v>39</v>
      </c>
      <c r="N12963" s="17">
        <v>23</v>
      </c>
      <c r="O12963" s="18">
        <v>2275</v>
      </c>
      <c r="P12963" s="18">
        <v>2318</v>
      </c>
      <c r="Q12963" s="15"/>
      <c r="R12963" t="s" s="16">
        <f>HYPERLINK("http://secrets.rutgers.edu:8080/data/asl-ftp/asllvd/demos/verify_start_end_handshape_annotations//test_auto_move//signs_mov_separ_signers/Brady_4405.mov","MOV")</f>
        <v>21</v>
      </c>
    </row>
    <row r="12964" s="2" customFormat="1" ht="27.75" customHeight="1">
      <c r="B12964" t="s" s="8">
        <v>4912</v>
      </c>
      <c r="C12964" t="s" s="9">
        <v>14</v>
      </c>
      <c r="D12964" t="s" s="8">
        <v>14</v>
      </c>
      <c r="E12964" t="s" s="9">
        <v>14</v>
      </c>
      <c r="F12964" t="s" s="10">
        <v>14</v>
      </c>
      <c r="G12964" t="s" s="11">
        <v>14</v>
      </c>
      <c r="H12964" t="s" s="10">
        <v>14</v>
      </c>
      <c r="I12964" t="s" s="11">
        <v>14</v>
      </c>
      <c r="J12964" t="s" s="11">
        <v>14</v>
      </c>
      <c r="K12964" t="s" s="12">
        <v>14</v>
      </c>
      <c r="L12964" t="s" s="12">
        <v>14</v>
      </c>
      <c r="M12964" t="s" s="10">
        <v>14</v>
      </c>
      <c r="N12964" t="s" s="11">
        <v>14</v>
      </c>
      <c r="O12964" t="s" s="8">
        <v>14</v>
      </c>
      <c r="P12964" t="s" s="8">
        <v>14</v>
      </c>
      <c r="Q12964" t="s" s="12">
        <v>14</v>
      </c>
      <c r="R12964" t="s" s="12">
        <v>14</v>
      </c>
    </row>
    <row r="12965" s="2" customFormat="1" ht="27.75" customHeight="1">
      <c r="B12965" s="13"/>
      <c r="C12965" t="s" s="9">
        <v>16</v>
      </c>
      <c r="D12965" t="s" s="8">
        <v>4912</v>
      </c>
      <c r="E12965" t="s" s="9">
        <v>4912</v>
      </c>
      <c r="F12965" s="22"/>
      <c r="G12965" s="14"/>
      <c r="H12965" s="22"/>
      <c r="I12965" s="14"/>
      <c r="J12965" t="s" s="11">
        <v>20</v>
      </c>
      <c r="K12965" t="s" s="16">
        <f>HYPERLINK("http://csr.bu.edu/ftp/asl/asllvd/demos/verify_start_end_handshape_annotations//test_auto_move//signs_mov/4416.mov","MOV")</f>
        <v>21</v>
      </c>
      <c r="L12965" t="s" s="16">
        <f>HYPERLINK("http://csr.bu.edu/ftp/asl/asllvd/demos/verify_start_end_handshape_annotations//test_auto_move//signs_mov_separ_signers/Liz_4416.mov","MOV")</f>
        <v>21</v>
      </c>
      <c r="M12965" t="s" s="10">
        <v>77</v>
      </c>
      <c r="N12965" s="17">
        <v>9</v>
      </c>
      <c r="O12965" s="18">
        <v>312</v>
      </c>
      <c r="P12965" s="18">
        <v>397</v>
      </c>
      <c r="Q12965" t="s" s="16">
        <f>HYPERLINK("http://secrets.rutgers.edu:8080/data/asl-ftp/asllvd/demos/verify_start_end_handshape_annotations//test_auto_move//signs_mov/4416.mov","MOV")</f>
        <v>21</v>
      </c>
      <c r="R12965" t="s" s="16">
        <f>HYPERLINK("http://secrets.rutgers.edu:8080/data/asl-ftp/asllvd/demos/verify_start_end_handshape_annotations//test_auto_move//signs_mov_separ_signers/Liz_4416.mov","MOV")</f>
        <v>21</v>
      </c>
    </row>
    <row r="12966" s="2" customFormat="1" ht="13.5" customHeight="1">
      <c r="B12966" t="s" s="8">
        <v>4913</v>
      </c>
      <c r="C12966" t="s" s="9">
        <v>14</v>
      </c>
      <c r="D12966" t="s" s="8">
        <v>14</v>
      </c>
      <c r="E12966" t="s" s="9">
        <v>14</v>
      </c>
      <c r="F12966" t="s" s="10">
        <v>14</v>
      </c>
      <c r="G12966" t="s" s="11">
        <v>14</v>
      </c>
      <c r="H12966" t="s" s="10">
        <v>14</v>
      </c>
      <c r="I12966" t="s" s="11">
        <v>14</v>
      </c>
      <c r="J12966" t="s" s="11">
        <v>14</v>
      </c>
      <c r="K12966" t="s" s="12">
        <v>14</v>
      </c>
      <c r="L12966" t="s" s="12">
        <v>14</v>
      </c>
      <c r="M12966" t="s" s="10">
        <v>14</v>
      </c>
      <c r="N12966" t="s" s="11">
        <v>14</v>
      </c>
      <c r="O12966" t="s" s="8">
        <v>14</v>
      </c>
      <c r="P12966" t="s" s="8">
        <v>14</v>
      </c>
      <c r="Q12966" t="s" s="12">
        <v>14</v>
      </c>
      <c r="R12966" t="s" s="12">
        <v>14</v>
      </c>
    </row>
    <row r="12967" s="2" customFormat="1" ht="13.5" customHeight="1">
      <c r="B12967" s="13"/>
      <c r="C12967" t="s" s="9">
        <v>16</v>
      </c>
      <c r="D12967" t="s" s="8">
        <v>4914</v>
      </c>
      <c r="E12967" t="s" s="9">
        <v>4914</v>
      </c>
      <c r="F12967" t="s" s="10">
        <v>196</v>
      </c>
      <c r="G12967" s="14"/>
      <c r="H12967" t="s" s="10">
        <v>73</v>
      </c>
      <c r="I12967" t="s" s="11">
        <v>73</v>
      </c>
      <c r="J12967" t="s" s="11">
        <v>20</v>
      </c>
      <c r="K12967" s="15"/>
      <c r="L12967" t="s" s="16">
        <f>HYPERLINK("http://csr.bu.edu/ftp/asl/asllvd/demos/verify_start_end_handshape_annotations//test_auto_move//signs_mov_separ_signers/Liz_4419.mov","MOV")</f>
        <v>21</v>
      </c>
      <c r="M12967" t="s" s="10">
        <v>88</v>
      </c>
      <c r="N12967" s="17">
        <v>39</v>
      </c>
      <c r="O12967" s="18">
        <v>509</v>
      </c>
      <c r="P12967" s="18">
        <v>570</v>
      </c>
      <c r="Q12967" s="15"/>
      <c r="R12967" t="s" s="16">
        <f>HYPERLINK("http://secrets.rutgers.edu:8080/data/asl-ftp/asllvd/demos/verify_start_end_handshape_annotations//test_auto_move//signs_mov_separ_signers/Liz_4419.mov","MOV")</f>
        <v>21</v>
      </c>
    </row>
    <row r="12968" s="2" customFormat="1" ht="13.5" customHeight="1">
      <c r="B12968" s="13"/>
      <c r="C12968" t="s" s="9">
        <v>16</v>
      </c>
      <c r="D12968" t="s" s="8">
        <v>4914</v>
      </c>
      <c r="E12968" t="s" s="9">
        <v>4914</v>
      </c>
      <c r="F12968" t="s" s="10">
        <v>196</v>
      </c>
      <c r="G12968" t="s" s="11">
        <v>73</v>
      </c>
      <c r="H12968" t="s" s="10">
        <v>73</v>
      </c>
      <c r="I12968" t="s" s="11">
        <v>73</v>
      </c>
      <c r="J12968" t="s" s="11">
        <v>20</v>
      </c>
      <c r="K12968" t="s" s="16">
        <f>HYPERLINK("http://csr.bu.edu/ftp/asl/asllvd/demos/verify_start_end_handshape_annotations//test_auto_move//signs_mov/3917_4419_merged.mov","MOV")</f>
        <v>21</v>
      </c>
      <c r="L12968" t="s" s="16">
        <f>HYPERLINK("http://csr.bu.edu/ftp/asl/asllvd/demos/verify_start_end_handshape_annotations//test_auto_move//signs_mov_separ_signers/Liz_3917.mov","MOV")</f>
        <v>21</v>
      </c>
      <c r="M12968" t="s" s="10">
        <v>77</v>
      </c>
      <c r="N12968" s="17">
        <v>8</v>
      </c>
      <c r="O12968" s="18">
        <v>1740</v>
      </c>
      <c r="P12968" s="18">
        <v>1804</v>
      </c>
      <c r="Q12968" t="s" s="16">
        <f>HYPERLINK("http://secrets.rutgers.edu:8080/data/asl-ftp/asllvd/demos/verify_start_end_handshape_annotations//test_auto_move//signs_mov/3917_4419_merged.mov","MOV")</f>
        <v>21</v>
      </c>
      <c r="R12968" t="s" s="16">
        <f>HYPERLINK("http://secrets.rutgers.edu:8080/data/asl-ftp/asllvd/demos/verify_start_end_handshape_annotations//test_auto_move//signs_mov_separ_signers/Liz_3917.mov","MOV")</f>
        <v>21</v>
      </c>
    </row>
    <row r="12969" s="2" customFormat="1" ht="13.5" customHeight="1">
      <c r="B12969" s="13"/>
      <c r="C12969" t="s" s="9">
        <v>30</v>
      </c>
      <c r="D12969" t="s" s="8">
        <v>4914</v>
      </c>
      <c r="E12969" t="s" s="9">
        <v>4914</v>
      </c>
      <c r="F12969" t="s" s="10">
        <v>197</v>
      </c>
      <c r="G12969" s="14"/>
      <c r="H12969" t="s" s="10">
        <v>73</v>
      </c>
      <c r="I12969" t="s" s="11">
        <v>73</v>
      </c>
      <c r="J12969" t="s" s="11">
        <v>20</v>
      </c>
      <c r="K12969" s="15"/>
      <c r="L12969" t="s" s="16">
        <f>HYPERLINK("http://csr.bu.edu/ftp/asl/asllvd/demos/verify_start_end_handshape_annotations//test_auto_move//signs_mov_separ_signers/Brady_4419.mov","MOV")</f>
        <v>21</v>
      </c>
      <c r="M12969" t="s" s="10">
        <v>39</v>
      </c>
      <c r="N12969" s="17">
        <v>2</v>
      </c>
      <c r="O12969" s="18">
        <v>1671</v>
      </c>
      <c r="P12969" s="18">
        <v>1705</v>
      </c>
      <c r="Q12969" s="15"/>
      <c r="R12969" t="s" s="16">
        <f>HYPERLINK("http://secrets.rutgers.edu:8080/data/asl-ftp/asllvd/demos/verify_start_end_handshape_annotations//test_auto_move//signs_mov_separ_signers/Brady_4419.mov","MOV")</f>
        <v>21</v>
      </c>
    </row>
    <row r="12970" s="2" customFormat="1" ht="13.5" customHeight="1">
      <c r="B12970" s="13"/>
      <c r="C12970" t="s" s="9">
        <v>30</v>
      </c>
      <c r="D12970" t="s" s="8">
        <v>4914</v>
      </c>
      <c r="E12970" t="s" s="9">
        <v>4914</v>
      </c>
      <c r="F12970" t="s" s="10">
        <v>197</v>
      </c>
      <c r="G12970" t="s" s="11">
        <v>73</v>
      </c>
      <c r="H12970" t="s" s="10">
        <v>73</v>
      </c>
      <c r="I12970" t="s" s="11">
        <v>73</v>
      </c>
      <c r="J12970" t="s" s="11">
        <v>20</v>
      </c>
      <c r="K12970" s="15"/>
      <c r="L12970" t="s" s="16">
        <f>HYPERLINK("http://csr.bu.edu/ftp/asl/asllvd/demos/verify_start_end_handshape_annotations//test_auto_move//signs_mov_separ_signers/Brady_3917.mov","MOV")</f>
        <v>21</v>
      </c>
      <c r="M12970" t="s" s="10">
        <v>40</v>
      </c>
      <c r="N12970" s="17">
        <v>33</v>
      </c>
      <c r="O12970" s="18">
        <v>725</v>
      </c>
      <c r="P12970" s="18">
        <v>771</v>
      </c>
      <c r="Q12970" s="15"/>
      <c r="R12970" t="s" s="16">
        <f>HYPERLINK("http://secrets.rutgers.edu:8080/data/asl-ftp/asllvd/demos/verify_start_end_handshape_annotations//test_auto_move//signs_mov_separ_signers/Brady_3917.mov","MOV")</f>
        <v>21</v>
      </c>
    </row>
    <row r="12971" s="2" customFormat="1" ht="13.5" customHeight="1">
      <c r="B12971" t="s" s="8">
        <v>4915</v>
      </c>
      <c r="C12971" t="s" s="9">
        <v>14</v>
      </c>
      <c r="D12971" t="s" s="8">
        <v>14</v>
      </c>
      <c r="E12971" t="s" s="9">
        <v>14</v>
      </c>
      <c r="F12971" t="s" s="10">
        <v>14</v>
      </c>
      <c r="G12971" t="s" s="11">
        <v>14</v>
      </c>
      <c r="H12971" t="s" s="10">
        <v>14</v>
      </c>
      <c r="I12971" t="s" s="11">
        <v>14</v>
      </c>
      <c r="J12971" t="s" s="11">
        <v>14</v>
      </c>
      <c r="K12971" t="s" s="12">
        <v>14</v>
      </c>
      <c r="L12971" t="s" s="12">
        <v>14</v>
      </c>
      <c r="M12971" t="s" s="10">
        <v>14</v>
      </c>
      <c r="N12971" t="s" s="11">
        <v>14</v>
      </c>
      <c r="O12971" t="s" s="8">
        <v>14</v>
      </c>
      <c r="P12971" t="s" s="8">
        <v>14</v>
      </c>
      <c r="Q12971" t="s" s="12">
        <v>14</v>
      </c>
      <c r="R12971" t="s" s="12">
        <v>14</v>
      </c>
    </row>
    <row r="12972" s="2" customFormat="1" ht="13.5" customHeight="1">
      <c r="B12972" s="13"/>
      <c r="C12972" t="s" s="9">
        <v>16</v>
      </c>
      <c r="D12972" t="s" s="8">
        <v>4915</v>
      </c>
      <c r="E12972" t="s" s="9">
        <v>4916</v>
      </c>
      <c r="F12972" t="s" s="10">
        <v>136</v>
      </c>
      <c r="G12972" t="s" s="11">
        <v>68</v>
      </c>
      <c r="H12972" t="s" s="10">
        <v>136</v>
      </c>
      <c r="I12972" t="s" s="11">
        <v>68</v>
      </c>
      <c r="J12972" t="s" s="11">
        <v>20</v>
      </c>
      <c r="K12972" t="s" s="16">
        <f>HYPERLINK("http://csr.bu.edu/ftp/asl/asllvd/demos/verify_start_end_handshape_annotations//test_auto_move//signs_mov/4435.mov","MOV")</f>
        <v>21</v>
      </c>
      <c r="L12972" t="s" s="16">
        <f>HYPERLINK("http://csr.bu.edu/ftp/asl/asllvd/demos/verify_start_end_handshape_annotations//test_auto_move//signs_mov_separ_signers/Liz_4435.mov","MOV")</f>
        <v>21</v>
      </c>
      <c r="M12972" t="s" s="10">
        <v>88</v>
      </c>
      <c r="N12972" s="17">
        <v>34</v>
      </c>
      <c r="O12972" s="18">
        <v>375</v>
      </c>
      <c r="P12972" s="18">
        <v>461</v>
      </c>
      <c r="Q12972" t="s" s="16">
        <f>HYPERLINK("http://secrets.rutgers.edu:8080/data/asl-ftp/asllvd/demos/verify_start_end_handshape_annotations//test_auto_move//signs_mov/4435.mov","MOV")</f>
        <v>21</v>
      </c>
      <c r="R12972" t="s" s="16">
        <f>HYPERLINK("http://secrets.rutgers.edu:8080/data/asl-ftp/asllvd/demos/verify_start_end_handshape_annotations//test_auto_move//signs_mov_separ_signers/Liz_4435.mov","MOV")</f>
        <v>21</v>
      </c>
    </row>
    <row r="12973" s="2" customFormat="1" ht="13.5" customHeight="1">
      <c r="B12973" t="s" s="8">
        <v>4917</v>
      </c>
      <c r="C12973" t="s" s="9">
        <v>14</v>
      </c>
      <c r="D12973" t="s" s="8">
        <v>14</v>
      </c>
      <c r="E12973" t="s" s="9">
        <v>14</v>
      </c>
      <c r="F12973" t="s" s="10">
        <v>14</v>
      </c>
      <c r="G12973" t="s" s="11">
        <v>14</v>
      </c>
      <c r="H12973" t="s" s="10">
        <v>14</v>
      </c>
      <c r="I12973" t="s" s="11">
        <v>14</v>
      </c>
      <c r="J12973" t="s" s="11">
        <v>14</v>
      </c>
      <c r="K12973" t="s" s="12">
        <v>14</v>
      </c>
      <c r="L12973" t="s" s="12">
        <v>14</v>
      </c>
      <c r="M12973" t="s" s="10">
        <v>14</v>
      </c>
      <c r="N12973" t="s" s="11">
        <v>14</v>
      </c>
      <c r="O12973" t="s" s="8">
        <v>14</v>
      </c>
      <c r="P12973" t="s" s="8">
        <v>14</v>
      </c>
      <c r="Q12973" t="s" s="12">
        <v>14</v>
      </c>
      <c r="R12973" t="s" s="12">
        <v>14</v>
      </c>
    </row>
    <row r="12974" s="2" customFormat="1" ht="13.5" customHeight="1">
      <c r="B12974" s="13"/>
      <c r="C12974" t="s" s="9">
        <v>16</v>
      </c>
      <c r="D12974" t="s" s="8">
        <v>4917</v>
      </c>
      <c r="E12974" t="s" s="9">
        <v>4918</v>
      </c>
      <c r="F12974" t="s" s="10">
        <v>185</v>
      </c>
      <c r="G12974" t="s" s="11">
        <v>73</v>
      </c>
      <c r="H12974" t="s" s="10">
        <v>185</v>
      </c>
      <c r="I12974" t="s" s="11">
        <v>73</v>
      </c>
      <c r="J12974" t="s" s="11">
        <v>20</v>
      </c>
      <c r="K12974" t="s" s="16">
        <f>HYPERLINK("http://csr.bu.edu/ftp/asl/asllvd/demos/verify_start_end_handshape_annotations//test_auto_move//signs_mov/4439.mov","MOV")</f>
        <v>21</v>
      </c>
      <c r="L12974" t="s" s="16">
        <f>HYPERLINK("http://csr.bu.edu/ftp/asl/asllvd/demos/verify_start_end_handshape_annotations//test_auto_move//signs_mov_separ_signers/Liz_4439.mov","MOV")</f>
        <v>21</v>
      </c>
      <c r="M12974" t="s" s="10">
        <v>88</v>
      </c>
      <c r="N12974" s="17">
        <v>45</v>
      </c>
      <c r="O12974" s="18">
        <v>3070</v>
      </c>
      <c r="P12974" s="18">
        <v>3118</v>
      </c>
      <c r="Q12974" t="s" s="16">
        <f>HYPERLINK("http://secrets.rutgers.edu:8080/data/asl-ftp/asllvd/demos/verify_start_end_handshape_annotations//test_auto_move//signs_mov/4439.mov","MOV")</f>
        <v>21</v>
      </c>
      <c r="R12974" t="s" s="16">
        <f>HYPERLINK("http://secrets.rutgers.edu:8080/data/asl-ftp/asllvd/demos/verify_start_end_handshape_annotations//test_auto_move//signs_mov_separ_signers/Liz_4439.mov","MOV")</f>
        <v>21</v>
      </c>
    </row>
    <row r="12975" s="2" customFormat="1" ht="13.5" customHeight="1">
      <c r="B12975" t="s" s="8">
        <v>4919</v>
      </c>
      <c r="C12975" t="s" s="9">
        <v>14</v>
      </c>
      <c r="D12975" t="s" s="8">
        <v>14</v>
      </c>
      <c r="E12975" t="s" s="9">
        <v>14</v>
      </c>
      <c r="F12975" t="s" s="10">
        <v>14</v>
      </c>
      <c r="G12975" t="s" s="11">
        <v>14</v>
      </c>
      <c r="H12975" t="s" s="10">
        <v>14</v>
      </c>
      <c r="I12975" t="s" s="11">
        <v>14</v>
      </c>
      <c r="J12975" t="s" s="11">
        <v>14</v>
      </c>
      <c r="K12975" t="s" s="12">
        <v>14</v>
      </c>
      <c r="L12975" t="s" s="12">
        <v>14</v>
      </c>
      <c r="M12975" t="s" s="10">
        <v>14</v>
      </c>
      <c r="N12975" t="s" s="11">
        <v>14</v>
      </c>
      <c r="O12975" t="s" s="8">
        <v>14</v>
      </c>
      <c r="P12975" t="s" s="8">
        <v>14</v>
      </c>
      <c r="Q12975" t="s" s="12">
        <v>14</v>
      </c>
      <c r="R12975" t="s" s="12">
        <v>14</v>
      </c>
    </row>
    <row r="12976" s="2" customFormat="1" ht="13.5" customHeight="1">
      <c r="B12976" s="13"/>
      <c r="C12976" t="s" s="9">
        <v>16</v>
      </c>
      <c r="D12976" t="s" s="8">
        <v>4919</v>
      </c>
      <c r="E12976" t="s" s="9">
        <v>4919</v>
      </c>
      <c r="F12976" t="s" s="10">
        <v>386</v>
      </c>
      <c r="G12976" s="14"/>
      <c r="H12976" t="s" s="10">
        <v>136</v>
      </c>
      <c r="I12976" s="14"/>
      <c r="J12976" t="s" s="11">
        <v>20</v>
      </c>
      <c r="K12976" t="s" s="16">
        <f>HYPERLINK("http://csr.bu.edu/ftp/asl/asllvd/demos/verify_start_end_handshape_annotations//test_auto_move//signs_mov/4538.mov","MOV")</f>
        <v>21</v>
      </c>
      <c r="L12976" t="s" s="16">
        <f>HYPERLINK("http://csr.bu.edu/ftp/asl/asllvd/demos/verify_start_end_handshape_annotations//test_auto_move//signs_mov_separ_signers/Liz_4538.mov","MOV")</f>
        <v>21</v>
      </c>
      <c r="M12976" t="s" s="10">
        <v>59</v>
      </c>
      <c r="N12976" s="17">
        <v>24</v>
      </c>
      <c r="O12976" s="18">
        <v>1022</v>
      </c>
      <c r="P12976" s="18">
        <v>1054</v>
      </c>
      <c r="Q12976" t="s" s="16">
        <f>HYPERLINK("http://secrets.rutgers.edu:8080/data/asl-ftp/asllvd/demos/verify_start_end_handshape_annotations//test_auto_move//signs_mov/4538.mov","MOV")</f>
        <v>21</v>
      </c>
      <c r="R12976" t="s" s="16">
        <f>HYPERLINK("http://secrets.rutgers.edu:8080/data/asl-ftp/asllvd/demos/verify_start_end_handshape_annotations//test_auto_move//signs_mov_separ_signers/Liz_4538.mov","MOV")</f>
        <v>21</v>
      </c>
    </row>
    <row r="12977" s="2" customFormat="1" ht="13.5" customHeight="1">
      <c r="B12977" s="13"/>
      <c r="C12977" t="s" s="9">
        <v>30</v>
      </c>
      <c r="D12977" t="s" s="8">
        <v>4919</v>
      </c>
      <c r="E12977" t="s" s="9">
        <v>4919</v>
      </c>
      <c r="F12977" t="s" s="10">
        <v>386</v>
      </c>
      <c r="G12977" s="14"/>
      <c r="H12977" t="s" s="10">
        <v>136</v>
      </c>
      <c r="I12977" s="14"/>
      <c r="J12977" t="s" s="11">
        <v>20</v>
      </c>
      <c r="K12977" s="15"/>
      <c r="L12977" t="s" s="16">
        <f>HYPERLINK("http://csr.bu.edu/ftp/asl/asllvd/demos/verify_start_end_handshape_annotations//test_auto_move//signs_mov_separ_signers/Brady_4538.mov","MOV")</f>
        <v>21</v>
      </c>
      <c r="M12977" t="s" s="10">
        <v>60</v>
      </c>
      <c r="N12977" s="17">
        <v>12</v>
      </c>
      <c r="O12977" s="18">
        <v>2338</v>
      </c>
      <c r="P12977" s="18">
        <v>2362</v>
      </c>
      <c r="Q12977" s="15"/>
      <c r="R12977" t="s" s="16">
        <f>HYPERLINK("http://secrets.rutgers.edu:8080/data/asl-ftp/asllvd/demos/verify_start_end_handshape_annotations//test_auto_move//signs_mov_separ_signers/Brady_4538.mov","MOV")</f>
        <v>21</v>
      </c>
    </row>
    <row r="12978" s="2" customFormat="1" ht="13.5" customHeight="1">
      <c r="B12978" t="s" s="8">
        <v>4920</v>
      </c>
      <c r="C12978" t="s" s="9">
        <v>14</v>
      </c>
      <c r="D12978" t="s" s="8">
        <v>14</v>
      </c>
      <c r="E12978" t="s" s="9">
        <v>14</v>
      </c>
      <c r="F12978" t="s" s="10">
        <v>14</v>
      </c>
      <c r="G12978" t="s" s="11">
        <v>14</v>
      </c>
      <c r="H12978" t="s" s="10">
        <v>14</v>
      </c>
      <c r="I12978" t="s" s="11">
        <v>14</v>
      </c>
      <c r="J12978" t="s" s="11">
        <v>14</v>
      </c>
      <c r="K12978" t="s" s="12">
        <v>14</v>
      </c>
      <c r="L12978" t="s" s="12">
        <v>14</v>
      </c>
      <c r="M12978" t="s" s="10">
        <v>14</v>
      </c>
      <c r="N12978" t="s" s="11">
        <v>14</v>
      </c>
      <c r="O12978" t="s" s="8">
        <v>14</v>
      </c>
      <c r="P12978" t="s" s="8">
        <v>14</v>
      </c>
      <c r="Q12978" t="s" s="12">
        <v>14</v>
      </c>
      <c r="R12978" t="s" s="12">
        <v>14</v>
      </c>
    </row>
    <row r="12979" s="2" customFormat="1" ht="13.5" customHeight="1">
      <c r="B12979" s="13"/>
      <c r="C12979" t="s" s="9">
        <v>16</v>
      </c>
      <c r="D12979" t="s" s="8">
        <v>4921</v>
      </c>
      <c r="E12979" t="s" s="9">
        <v>4921</v>
      </c>
      <c r="F12979" t="s" s="10">
        <v>341</v>
      </c>
      <c r="G12979" t="s" s="11">
        <v>341</v>
      </c>
      <c r="H12979" t="s" s="10">
        <v>148</v>
      </c>
      <c r="I12979" t="s" s="11">
        <v>148</v>
      </c>
      <c r="J12979" t="s" s="11">
        <v>20</v>
      </c>
      <c r="K12979" t="s" s="16">
        <f>HYPERLINK("http://csr.bu.edu/ftp/asl/asllvd/demos/verify_start_end_handshape_annotations//test_auto_move//signs_mov/4545.mov","MOV")</f>
        <v>21</v>
      </c>
      <c r="L12979" t="s" s="16">
        <f>HYPERLINK("http://csr.bu.edu/ftp/asl/asllvd/demos/verify_start_end_handshape_annotations//test_auto_move//signs_mov_separ_signers/Liz_4545.mov","MOV")</f>
        <v>21</v>
      </c>
      <c r="M12979" t="s" s="10">
        <v>59</v>
      </c>
      <c r="N12979" s="17">
        <v>39</v>
      </c>
      <c r="O12979" s="18">
        <v>1497</v>
      </c>
      <c r="P12979" s="18">
        <v>1532</v>
      </c>
      <c r="Q12979" t="s" s="16">
        <f>HYPERLINK("http://secrets.rutgers.edu:8080/data/asl-ftp/asllvd/demos/verify_start_end_handshape_annotations//test_auto_move//signs_mov/4545.mov","MOV")</f>
        <v>21</v>
      </c>
      <c r="R12979" t="s" s="16">
        <f>HYPERLINK("http://secrets.rutgers.edu:8080/data/asl-ftp/asllvd/demos/verify_start_end_handshape_annotations//test_auto_move//signs_mov_separ_signers/Liz_4545.mov","MOV")</f>
        <v>21</v>
      </c>
    </row>
    <row r="12980" s="2" customFormat="1" ht="13.5" customHeight="1">
      <c r="B12980" t="s" s="8">
        <v>4922</v>
      </c>
      <c r="C12980" t="s" s="9">
        <v>14</v>
      </c>
      <c r="D12980" t="s" s="8">
        <v>14</v>
      </c>
      <c r="E12980" t="s" s="9">
        <v>14</v>
      </c>
      <c r="F12980" t="s" s="10">
        <v>14</v>
      </c>
      <c r="G12980" t="s" s="11">
        <v>14</v>
      </c>
      <c r="H12980" t="s" s="10">
        <v>14</v>
      </c>
      <c r="I12980" t="s" s="11">
        <v>14</v>
      </c>
      <c r="J12980" t="s" s="11">
        <v>14</v>
      </c>
      <c r="K12980" t="s" s="12">
        <v>14</v>
      </c>
      <c r="L12980" t="s" s="12">
        <v>14</v>
      </c>
      <c r="M12980" t="s" s="10">
        <v>14</v>
      </c>
      <c r="N12980" t="s" s="11">
        <v>14</v>
      </c>
      <c r="O12980" t="s" s="8">
        <v>14</v>
      </c>
      <c r="P12980" t="s" s="8">
        <v>14</v>
      </c>
      <c r="Q12980" t="s" s="12">
        <v>14</v>
      </c>
      <c r="R12980" t="s" s="12">
        <v>14</v>
      </c>
    </row>
    <row r="12981" s="2" customFormat="1" ht="13.5" customHeight="1">
      <c r="B12981" s="13"/>
      <c r="C12981" t="s" s="9">
        <v>16</v>
      </c>
      <c r="D12981" t="s" s="8">
        <v>4922</v>
      </c>
      <c r="E12981" t="s" s="9">
        <v>4922</v>
      </c>
      <c r="F12981" s="19">
        <v>25</v>
      </c>
      <c r="G12981" s="14"/>
      <c r="H12981" t="s" s="10">
        <v>158</v>
      </c>
      <c r="I12981" t="s" s="11">
        <v>158</v>
      </c>
      <c r="J12981" t="s" s="11">
        <v>20</v>
      </c>
      <c r="K12981" t="s" s="16">
        <f>HYPERLINK("http://csr.bu.edu/ftp/asl/asllvd/demos/verify_start_end_handshape_annotations//test_auto_move//signs_mov/4547.mov","MOV")</f>
        <v>21</v>
      </c>
      <c r="L12981" t="s" s="16">
        <f>HYPERLINK("http://csr.bu.edu/ftp/asl/asllvd/demos/verify_start_end_handshape_annotations//test_auto_move//signs_mov_separ_signers/Liz_4547.mov","MOV")</f>
        <v>21</v>
      </c>
      <c r="M12981" t="s" s="10">
        <v>77</v>
      </c>
      <c r="N12981" s="17">
        <v>6</v>
      </c>
      <c r="O12981" s="18">
        <v>2031</v>
      </c>
      <c r="P12981" s="18">
        <v>2105</v>
      </c>
      <c r="Q12981" t="s" s="16">
        <f>HYPERLINK("http://secrets.rutgers.edu:8080/data/asl-ftp/asllvd/demos/verify_start_end_handshape_annotations//test_auto_move//signs_mov/4547.mov","MOV")</f>
        <v>21</v>
      </c>
      <c r="R12981" t="s" s="16">
        <f>HYPERLINK("http://secrets.rutgers.edu:8080/data/asl-ftp/asllvd/demos/verify_start_end_handshape_annotations//test_auto_move//signs_mov_separ_signers/Liz_4547.mov","MOV")</f>
        <v>21</v>
      </c>
    </row>
    <row r="12982" s="2" customFormat="1" ht="13.5" customHeight="1">
      <c r="B12982" s="13"/>
      <c r="C12982" t="s" s="9">
        <v>30</v>
      </c>
      <c r="D12982" t="s" s="8">
        <v>4922</v>
      </c>
      <c r="E12982" t="s" s="9">
        <v>4922</v>
      </c>
      <c r="F12982" s="19">
        <v>25</v>
      </c>
      <c r="G12982" t="s" s="11">
        <v>158</v>
      </c>
      <c r="H12982" t="s" s="10">
        <v>158</v>
      </c>
      <c r="I12982" t="s" s="11">
        <v>158</v>
      </c>
      <c r="J12982" t="s" s="11">
        <v>20</v>
      </c>
      <c r="K12982" s="15"/>
      <c r="L12982" t="s" s="16">
        <f>HYPERLINK("http://csr.bu.edu/ftp/asl/asllvd/demos/verify_start_end_handshape_annotations//test_auto_move//signs_mov_separ_signers/Brady_4547.mov","MOV")</f>
        <v>21</v>
      </c>
      <c r="M12982" t="s" s="10">
        <v>31</v>
      </c>
      <c r="N12982" s="17">
        <v>12</v>
      </c>
      <c r="O12982" s="18">
        <v>5244</v>
      </c>
      <c r="P12982" s="18">
        <v>5268</v>
      </c>
      <c r="Q12982" s="15"/>
      <c r="R12982" t="s" s="16">
        <f>HYPERLINK("http://secrets.rutgers.edu:8080/data/asl-ftp/asllvd/demos/verify_start_end_handshape_annotations//test_auto_move//signs_mov_separ_signers/Brady_4547.mov","MOV")</f>
        <v>21</v>
      </c>
    </row>
    <row r="12983" s="2" customFormat="1" ht="13.5" customHeight="1">
      <c r="B12983" t="s" s="8">
        <v>4923</v>
      </c>
      <c r="C12983" t="s" s="9">
        <v>14</v>
      </c>
      <c r="D12983" t="s" s="8">
        <v>14</v>
      </c>
      <c r="E12983" t="s" s="9">
        <v>14</v>
      </c>
      <c r="F12983" t="s" s="10">
        <v>14</v>
      </c>
      <c r="G12983" t="s" s="11">
        <v>14</v>
      </c>
      <c r="H12983" t="s" s="10">
        <v>14</v>
      </c>
      <c r="I12983" t="s" s="11">
        <v>14</v>
      </c>
      <c r="J12983" t="s" s="11">
        <v>14</v>
      </c>
      <c r="K12983" t="s" s="12">
        <v>14</v>
      </c>
      <c r="L12983" t="s" s="12">
        <v>14</v>
      </c>
      <c r="M12983" t="s" s="10">
        <v>14</v>
      </c>
      <c r="N12983" t="s" s="11">
        <v>14</v>
      </c>
      <c r="O12983" t="s" s="8">
        <v>14</v>
      </c>
      <c r="P12983" t="s" s="8">
        <v>14</v>
      </c>
      <c r="Q12983" t="s" s="12">
        <v>14</v>
      </c>
      <c r="R12983" t="s" s="12">
        <v>14</v>
      </c>
    </row>
    <row r="12984" s="2" customFormat="1" ht="13.5" customHeight="1">
      <c r="B12984" s="13"/>
      <c r="C12984" t="s" s="9">
        <v>16</v>
      </c>
      <c r="D12984" t="s" s="8">
        <v>4923</v>
      </c>
      <c r="E12984" t="s" s="9">
        <v>4923</v>
      </c>
      <c r="F12984" t="s" s="10">
        <v>185</v>
      </c>
      <c r="G12984" t="s" s="11">
        <v>185</v>
      </c>
      <c r="H12984" t="s" s="10">
        <v>73</v>
      </c>
      <c r="I12984" t="s" s="11">
        <v>73</v>
      </c>
      <c r="J12984" t="s" s="11">
        <v>20</v>
      </c>
      <c r="K12984" s="15"/>
      <c r="L12984" t="s" s="16">
        <f>HYPERLINK("http://csr.bu.edu/ftp/asl/asllvd/demos/verify_start_end_handshape_annotations//test_auto_move//signs_mov_separ_signers/Liz_4548.mov","MOV")</f>
        <v>21</v>
      </c>
      <c r="M12984" t="s" s="10">
        <v>22</v>
      </c>
      <c r="N12984" s="17">
        <v>78</v>
      </c>
      <c r="O12984" s="18">
        <v>700</v>
      </c>
      <c r="P12984" s="18">
        <v>755</v>
      </c>
      <c r="Q12984" s="15"/>
      <c r="R12984" t="s" s="16">
        <f>HYPERLINK("http://secrets.rutgers.edu:8080/data/asl-ftp/asllvd/demos/verify_start_end_handshape_annotations//test_auto_move//signs_mov_separ_signers/Liz_4548.mov","MOV")</f>
        <v>21</v>
      </c>
    </row>
    <row r="12985" s="2" customFormat="1" ht="13.5" customHeight="1">
      <c r="B12985" s="13"/>
      <c r="C12985" t="s" s="9">
        <v>23</v>
      </c>
      <c r="D12985" t="s" s="8">
        <v>4923</v>
      </c>
      <c r="E12985" t="s" s="9">
        <v>4923</v>
      </c>
      <c r="F12985" t="s" s="10">
        <v>185</v>
      </c>
      <c r="G12985" t="s" s="11">
        <v>185</v>
      </c>
      <c r="H12985" t="s" s="10">
        <v>73</v>
      </c>
      <c r="I12985" t="s" s="11">
        <v>73</v>
      </c>
      <c r="J12985" t="s" s="11">
        <v>20</v>
      </c>
      <c r="K12985" t="s" s="16">
        <f>HYPERLINK("http://csr.bu.edu/ftp/asl/asllvd/demos/verify_start_end_handshape_annotations//test_auto_move//signs_mov/4548.mov","MOV")</f>
        <v>21</v>
      </c>
      <c r="L12985" t="s" s="16">
        <f>HYPERLINK("http://csr.bu.edu/ftp/asl/asllvd/demos/verify_start_end_handshape_annotations//test_auto_move//signs_mov_separ_signers/Tyler_4548.mov","MOV")</f>
        <v>21</v>
      </c>
      <c r="M12985" t="s" s="10">
        <v>26</v>
      </c>
      <c r="N12985" s="17">
        <v>47</v>
      </c>
      <c r="O12985" s="18">
        <v>1405</v>
      </c>
      <c r="P12985" s="18">
        <v>1447</v>
      </c>
      <c r="Q12985" t="s" s="16">
        <f>HYPERLINK("http://secrets.rutgers.edu:8080/data/asl-ftp/asllvd/demos/verify_start_end_handshape_annotations//test_auto_move//signs_mov/4548.mov","MOV")</f>
        <v>21</v>
      </c>
      <c r="R12985" t="s" s="16">
        <f>HYPERLINK("http://secrets.rutgers.edu:8080/data/asl-ftp/asllvd/demos/verify_start_end_handshape_annotations//test_auto_move//signs_mov_separ_signers/Tyler_4548.mov","MOV")</f>
        <v>21</v>
      </c>
    </row>
    <row r="12986" s="2" customFormat="1" ht="13.5" customHeight="1">
      <c r="B12986" s="13"/>
      <c r="C12986" t="s" s="9">
        <v>27</v>
      </c>
      <c r="D12986" t="s" s="8">
        <v>4923</v>
      </c>
      <c r="E12986" t="s" s="9">
        <v>4923</v>
      </c>
      <c r="F12986" t="s" s="10">
        <v>75</v>
      </c>
      <c r="G12986" t="s" s="11">
        <v>75</v>
      </c>
      <c r="H12986" t="s" s="10">
        <v>73</v>
      </c>
      <c r="I12986" t="s" s="11">
        <v>73</v>
      </c>
      <c r="J12986" t="s" s="11">
        <v>20</v>
      </c>
      <c r="K12986" s="15"/>
      <c r="L12986" t="s" s="16">
        <f>HYPERLINK("http://csr.bu.edu/ftp/asl/asllvd/demos/verify_start_end_handshape_annotations//test_auto_move//signs_mov_separ_signers/Naomi_4548.mov","MOV")</f>
        <v>21</v>
      </c>
      <c r="M12986" t="s" s="10">
        <v>29</v>
      </c>
      <c r="N12986" s="17">
        <v>49</v>
      </c>
      <c r="O12986" s="18">
        <v>2271</v>
      </c>
      <c r="P12986" s="18">
        <v>2325</v>
      </c>
      <c r="Q12986" s="15"/>
      <c r="R12986" t="s" s="16">
        <f>HYPERLINK("http://secrets.rutgers.edu:8080/data/asl-ftp/asllvd/demos/verify_start_end_handshape_annotations//test_auto_move//signs_mov_separ_signers/Naomi_4548.mov","MOV")</f>
        <v>21</v>
      </c>
    </row>
    <row r="12987" s="2" customFormat="1" ht="13.5" customHeight="1">
      <c r="B12987" s="13"/>
      <c r="C12987" t="s" s="9">
        <v>30</v>
      </c>
      <c r="D12987" t="s" s="8">
        <v>4923</v>
      </c>
      <c r="E12987" t="s" s="9">
        <v>4923</v>
      </c>
      <c r="F12987" t="s" s="10">
        <v>150</v>
      </c>
      <c r="G12987" t="s" s="11">
        <v>150</v>
      </c>
      <c r="H12987" t="s" s="10">
        <v>73</v>
      </c>
      <c r="I12987" t="s" s="11">
        <v>73</v>
      </c>
      <c r="J12987" t="s" s="11">
        <v>20</v>
      </c>
      <c r="K12987" s="15"/>
      <c r="L12987" t="s" s="16">
        <f>HYPERLINK("http://csr.bu.edu/ftp/asl/asllvd/demos/verify_start_end_handshape_annotations//test_auto_move//signs_mov_separ_signers/Brady_4548.mov","MOV")</f>
        <v>21</v>
      </c>
      <c r="M12987" t="s" s="10">
        <v>39</v>
      </c>
      <c r="N12987" s="17">
        <v>3</v>
      </c>
      <c r="O12987" s="18">
        <v>8520</v>
      </c>
      <c r="P12987" s="18">
        <v>8540</v>
      </c>
      <c r="Q12987" s="15"/>
      <c r="R12987" t="s" s="16">
        <f>HYPERLINK("http://secrets.rutgers.edu:8080/data/asl-ftp/asllvd/demos/verify_start_end_handshape_annotations//test_auto_move//signs_mov_separ_signers/Brady_4548.mov","MOV")</f>
        <v>21</v>
      </c>
    </row>
    <row r="12988" s="2" customFormat="1" ht="13.5" customHeight="1">
      <c r="B12988" t="s" s="8">
        <v>4924</v>
      </c>
      <c r="C12988" t="s" s="9">
        <v>14</v>
      </c>
      <c r="D12988" t="s" s="8">
        <v>14</v>
      </c>
      <c r="E12988" t="s" s="9">
        <v>14</v>
      </c>
      <c r="F12988" t="s" s="10">
        <v>14</v>
      </c>
      <c r="G12988" t="s" s="11">
        <v>14</v>
      </c>
      <c r="H12988" t="s" s="10">
        <v>14</v>
      </c>
      <c r="I12988" t="s" s="11">
        <v>14</v>
      </c>
      <c r="J12988" t="s" s="11">
        <v>14</v>
      </c>
      <c r="K12988" t="s" s="12">
        <v>14</v>
      </c>
      <c r="L12988" t="s" s="12">
        <v>14</v>
      </c>
      <c r="M12988" t="s" s="10">
        <v>14</v>
      </c>
      <c r="N12988" t="s" s="11">
        <v>14</v>
      </c>
      <c r="O12988" t="s" s="8">
        <v>14</v>
      </c>
      <c r="P12988" t="s" s="8">
        <v>14</v>
      </c>
      <c r="Q12988" t="s" s="12">
        <v>14</v>
      </c>
      <c r="R12988" t="s" s="12">
        <v>14</v>
      </c>
    </row>
    <row r="12989" s="2" customFormat="1" ht="13.5" customHeight="1">
      <c r="B12989" s="13"/>
      <c r="C12989" t="s" s="9">
        <v>16</v>
      </c>
      <c r="D12989" t="s" s="8">
        <v>4925</v>
      </c>
      <c r="E12989" t="s" s="9">
        <v>4925</v>
      </c>
      <c r="F12989" t="s" s="10">
        <v>51</v>
      </c>
      <c r="G12989" t="s" s="11">
        <v>73</v>
      </c>
      <c r="H12989" t="s" s="10">
        <v>73</v>
      </c>
      <c r="I12989" t="s" s="11">
        <v>73</v>
      </c>
      <c r="J12989" t="s" s="11">
        <v>20</v>
      </c>
      <c r="K12989" s="15"/>
      <c r="L12989" t="s" s="16">
        <f>HYPERLINK("http://csr.bu.edu/ftp/asl/asllvd/demos/verify_start_end_handshape_annotations//test_auto_move//signs_mov_separ_signers/Liz_4549.mov","MOV")</f>
        <v>21</v>
      </c>
      <c r="M12989" t="s" s="10">
        <v>84</v>
      </c>
      <c r="N12989" s="17">
        <v>18</v>
      </c>
      <c r="O12989" s="18">
        <v>305</v>
      </c>
      <c r="P12989" s="18">
        <v>376</v>
      </c>
      <c r="Q12989" s="15"/>
      <c r="R12989" t="s" s="16">
        <f>HYPERLINK("http://secrets.rutgers.edu:8080/data/asl-ftp/asllvd/demos/verify_start_end_handshape_annotations//test_auto_move//signs_mov_separ_signers/Liz_4549.mov","MOV")</f>
        <v>21</v>
      </c>
    </row>
    <row r="12990" s="2" customFormat="1" ht="13.5" customHeight="1">
      <c r="B12990" s="13"/>
      <c r="C12990" t="s" s="9">
        <v>23</v>
      </c>
      <c r="D12990" t="s" s="8">
        <v>4925</v>
      </c>
      <c r="E12990" t="s" s="9">
        <v>4925</v>
      </c>
      <c r="F12990" t="s" s="10">
        <v>51</v>
      </c>
      <c r="G12990" t="s" s="11">
        <v>73</v>
      </c>
      <c r="H12990" t="s" s="10">
        <v>80</v>
      </c>
      <c r="I12990" t="s" s="11">
        <v>80</v>
      </c>
      <c r="J12990" t="s" s="11">
        <v>20</v>
      </c>
      <c r="K12990" t="s" s="16">
        <f>HYPERLINK("http://csr.bu.edu/ftp/asl/asllvd/demos/verify_start_end_handshape_annotations//test_auto_move//signs_mov/4549.mov","MOV")</f>
        <v>21</v>
      </c>
      <c r="L12990" t="s" s="16">
        <f>HYPERLINK("http://csr.bu.edu/ftp/asl/asllvd/demos/verify_start_end_handshape_annotations//test_auto_move//signs_mov_separ_signers/Tyler_4549.mov","MOV")</f>
        <v>21</v>
      </c>
      <c r="M12990" t="s" s="10">
        <v>125</v>
      </c>
      <c r="N12990" s="17">
        <v>16</v>
      </c>
      <c r="O12990" s="18">
        <v>2703</v>
      </c>
      <c r="P12990" s="18">
        <v>2759</v>
      </c>
      <c r="Q12990" t="s" s="16">
        <f>HYPERLINK("http://secrets.rutgers.edu:8080/data/asl-ftp/asllvd/demos/verify_start_end_handshape_annotations//test_auto_move//signs_mov/4549.mov","MOV")</f>
        <v>21</v>
      </c>
      <c r="R12990" t="s" s="16">
        <f>HYPERLINK("http://secrets.rutgers.edu:8080/data/asl-ftp/asllvd/demos/verify_start_end_handshape_annotations//test_auto_move//signs_mov_separ_signers/Tyler_4549.mov","MOV")</f>
        <v>21</v>
      </c>
    </row>
    <row r="12991" s="2" customFormat="1" ht="13.5" customHeight="1">
      <c r="B12991" s="13"/>
      <c r="C12991" t="s" s="9">
        <v>30</v>
      </c>
      <c r="D12991" t="s" s="8">
        <v>4925</v>
      </c>
      <c r="E12991" t="s" s="9">
        <v>4925</v>
      </c>
      <c r="F12991" t="s" s="10">
        <v>51</v>
      </c>
      <c r="G12991" t="s" s="11">
        <v>73</v>
      </c>
      <c r="H12991" t="s" s="10">
        <v>73</v>
      </c>
      <c r="I12991" t="s" s="11">
        <v>73</v>
      </c>
      <c r="J12991" t="s" s="11">
        <v>20</v>
      </c>
      <c r="K12991" s="15"/>
      <c r="L12991" t="s" s="16">
        <f>HYPERLINK("http://csr.bu.edu/ftp/asl/asllvd/demos/verify_start_end_handshape_annotations//test_auto_move//signs_mov_separ_signers/Brady_4549.mov","MOV")</f>
        <v>21</v>
      </c>
      <c r="M12991" t="s" s="10">
        <v>39</v>
      </c>
      <c r="N12991" s="17">
        <v>5</v>
      </c>
      <c r="O12991" s="18">
        <v>1357</v>
      </c>
      <c r="P12991" s="18">
        <v>1388</v>
      </c>
      <c r="Q12991" s="15"/>
      <c r="R12991" t="s" s="16">
        <f>HYPERLINK("http://secrets.rutgers.edu:8080/data/asl-ftp/asllvd/demos/verify_start_end_handshape_annotations//test_auto_move//signs_mov_separ_signers/Brady_4549.mov","MOV")</f>
        <v>21</v>
      </c>
    </row>
    <row r="12992" s="2" customFormat="1" ht="13.5" customHeight="1">
      <c r="B12992" t="s" s="8">
        <v>4926</v>
      </c>
      <c r="C12992" t="s" s="9">
        <v>14</v>
      </c>
      <c r="D12992" t="s" s="8">
        <v>14</v>
      </c>
      <c r="E12992" t="s" s="9">
        <v>14</v>
      </c>
      <c r="F12992" t="s" s="10">
        <v>14</v>
      </c>
      <c r="G12992" t="s" s="11">
        <v>14</v>
      </c>
      <c r="H12992" t="s" s="10">
        <v>14</v>
      </c>
      <c r="I12992" t="s" s="11">
        <v>14</v>
      </c>
      <c r="J12992" t="s" s="11">
        <v>14</v>
      </c>
      <c r="K12992" t="s" s="12">
        <v>14</v>
      </c>
      <c r="L12992" t="s" s="12">
        <v>14</v>
      </c>
      <c r="M12992" t="s" s="10">
        <v>14</v>
      </c>
      <c r="N12992" t="s" s="11">
        <v>14</v>
      </c>
      <c r="O12992" t="s" s="8">
        <v>14</v>
      </c>
      <c r="P12992" t="s" s="8">
        <v>14</v>
      </c>
      <c r="Q12992" t="s" s="12">
        <v>14</v>
      </c>
      <c r="R12992" t="s" s="12">
        <v>14</v>
      </c>
    </row>
    <row r="12993" s="2" customFormat="1" ht="13.5" customHeight="1">
      <c r="B12993" s="13"/>
      <c r="C12993" t="s" s="9">
        <v>16</v>
      </c>
      <c r="D12993" t="s" s="8">
        <v>4926</v>
      </c>
      <c r="E12993" t="s" s="9">
        <v>4926</v>
      </c>
      <c r="F12993" s="19">
        <v>10</v>
      </c>
      <c r="G12993" s="17">
        <v>10</v>
      </c>
      <c r="H12993" s="19">
        <v>1</v>
      </c>
      <c r="I12993" s="17">
        <v>10</v>
      </c>
      <c r="J12993" t="s" s="11">
        <v>20</v>
      </c>
      <c r="K12993" s="15"/>
      <c r="L12993" t="s" s="16">
        <f>HYPERLINK("http://csr.bu.edu/ftp/asl/asllvd/demos/verify_start_end_handshape_annotations//test_auto_move//signs_mov_separ_signers/Liz_4550.mov","MOV")</f>
        <v>21</v>
      </c>
      <c r="M12993" t="s" s="10">
        <v>84</v>
      </c>
      <c r="N12993" s="17">
        <v>34</v>
      </c>
      <c r="O12993" s="18">
        <v>2805</v>
      </c>
      <c r="P12993" s="18">
        <v>2860</v>
      </c>
      <c r="Q12993" s="15"/>
      <c r="R12993" t="s" s="16">
        <f>HYPERLINK("http://secrets.rutgers.edu:8080/data/asl-ftp/asllvd/demos/verify_start_end_handshape_annotations//test_auto_move//signs_mov_separ_signers/Liz_4550.mov","MOV")</f>
        <v>21</v>
      </c>
    </row>
    <row r="12994" s="2" customFormat="1" ht="13.5" customHeight="1">
      <c r="B12994" s="13"/>
      <c r="C12994" t="s" s="9">
        <v>27</v>
      </c>
      <c r="D12994" t="s" s="8">
        <v>4926</v>
      </c>
      <c r="E12994" t="s" s="9">
        <v>4926</v>
      </c>
      <c r="F12994" s="19">
        <v>10</v>
      </c>
      <c r="G12994" s="17">
        <v>10</v>
      </c>
      <c r="H12994" s="19">
        <v>1</v>
      </c>
      <c r="I12994" s="17">
        <v>10</v>
      </c>
      <c r="J12994" t="s" s="11">
        <v>20</v>
      </c>
      <c r="K12994" t="s" s="16">
        <f>HYPERLINK("http://csr.bu.edu/ftp/asl/asllvd/demos/verify_start_end_handshape_annotations//test_auto_move//signs_mov/4550.mov","MOV")</f>
        <v>21</v>
      </c>
      <c r="L12994" t="s" s="16">
        <f>HYPERLINK("http://csr.bu.edu/ftp/asl/asllvd/demos/verify_start_end_handshape_annotations//test_auto_move//signs_mov_separ_signers/Naomi_4550.mov","MOV")</f>
        <v>21</v>
      </c>
      <c r="M12994" t="s" s="10">
        <v>86</v>
      </c>
      <c r="N12994" s="17">
        <v>34</v>
      </c>
      <c r="O12994" s="18">
        <v>1820</v>
      </c>
      <c r="P12994" s="18">
        <v>1848</v>
      </c>
      <c r="Q12994" t="s" s="16">
        <f>HYPERLINK("http://secrets.rutgers.edu:8080/data/asl-ftp/asllvd/demos/verify_start_end_handshape_annotations//test_auto_move//signs_mov/4550.mov","MOV")</f>
        <v>21</v>
      </c>
      <c r="R12994" t="s" s="16">
        <f>HYPERLINK("http://secrets.rutgers.edu:8080/data/asl-ftp/asllvd/demos/verify_start_end_handshape_annotations//test_auto_move//signs_mov_separ_signers/Naomi_4550.mov","MOV")</f>
        <v>21</v>
      </c>
    </row>
    <row r="12995" s="2" customFormat="1" ht="13.5" customHeight="1">
      <c r="B12995" s="13"/>
      <c r="C12995" t="s" s="9">
        <v>30</v>
      </c>
      <c r="D12995" t="s" s="8">
        <v>4926</v>
      </c>
      <c r="E12995" t="s" s="9">
        <v>4926</v>
      </c>
      <c r="F12995" s="19">
        <v>10</v>
      </c>
      <c r="G12995" s="17">
        <v>10</v>
      </c>
      <c r="H12995" s="19">
        <v>1</v>
      </c>
      <c r="I12995" s="17">
        <v>10</v>
      </c>
      <c r="J12995" t="s" s="11">
        <v>20</v>
      </c>
      <c r="K12995" s="15"/>
      <c r="L12995" t="s" s="16">
        <f>HYPERLINK("http://csr.bu.edu/ftp/asl/asllvd/demos/verify_start_end_handshape_annotations//test_auto_move//signs_mov_separ_signers/Brady_4550.mov","MOV")</f>
        <v>21</v>
      </c>
      <c r="M12995" t="s" s="10">
        <v>39</v>
      </c>
      <c r="N12995" s="17">
        <v>13</v>
      </c>
      <c r="O12995" s="18">
        <v>5208</v>
      </c>
      <c r="P12995" s="18">
        <v>5232</v>
      </c>
      <c r="Q12995" s="15"/>
      <c r="R12995" t="s" s="16">
        <f>HYPERLINK("http://secrets.rutgers.edu:8080/data/asl-ftp/asllvd/demos/verify_start_end_handshape_annotations//test_auto_move//signs_mov_separ_signers/Brady_4550.mov","MOV")</f>
        <v>21</v>
      </c>
    </row>
    <row r="12996" s="2" customFormat="1" ht="13.5" customHeight="1">
      <c r="B12996" t="s" s="8">
        <v>52</v>
      </c>
      <c r="C12996" t="s" s="9">
        <v>53</v>
      </c>
      <c r="D12996" t="s" s="8">
        <v>53</v>
      </c>
      <c r="E12996" t="s" s="9">
        <v>53</v>
      </c>
      <c r="F12996" t="s" s="10">
        <v>53</v>
      </c>
      <c r="G12996" t="s" s="11">
        <v>53</v>
      </c>
      <c r="H12996" t="s" s="10">
        <v>53</v>
      </c>
      <c r="I12996" t="s" s="11">
        <v>53</v>
      </c>
      <c r="J12996" t="s" s="11">
        <v>53</v>
      </c>
      <c r="K12996" t="s" s="12">
        <v>53</v>
      </c>
      <c r="L12996" t="s" s="12">
        <v>53</v>
      </c>
      <c r="M12996" t="s" s="10">
        <v>53</v>
      </c>
      <c r="N12996" t="s" s="11">
        <v>53</v>
      </c>
      <c r="O12996" t="s" s="8">
        <v>53</v>
      </c>
      <c r="P12996" t="s" s="8">
        <v>53</v>
      </c>
      <c r="Q12996" t="s" s="12">
        <v>53</v>
      </c>
      <c r="R12996" t="s" s="12">
        <v>53</v>
      </c>
    </row>
    <row r="12997" s="2" customFormat="1" ht="13.5" customHeight="1">
      <c r="B12997" s="13"/>
      <c r="C12997" t="s" s="9">
        <v>16</v>
      </c>
      <c r="D12997" t="s" s="8">
        <v>4926</v>
      </c>
      <c r="E12997" t="s" s="9">
        <v>4927</v>
      </c>
      <c r="F12997" s="19">
        <v>10</v>
      </c>
      <c r="G12997" s="17">
        <v>10</v>
      </c>
      <c r="H12997" s="19">
        <v>1</v>
      </c>
      <c r="I12997" s="14"/>
      <c r="J12997" t="s" s="11">
        <v>20</v>
      </c>
      <c r="K12997" s="15"/>
      <c r="L12997" t="s" s="16">
        <f>HYPERLINK("http://csr.bu.edu/ftp/asl/asllvd/demos/verify_start_end_handshape_annotations//test_auto_move//signs_mov_separ_signers/Liz_5483.mov","MOV")</f>
        <v>21</v>
      </c>
      <c r="M12997" t="s" s="10">
        <v>84</v>
      </c>
      <c r="N12997" s="17">
        <v>34</v>
      </c>
      <c r="O12997" s="18">
        <v>3131</v>
      </c>
      <c r="P12997" s="18">
        <v>3195</v>
      </c>
      <c r="Q12997" s="15"/>
      <c r="R12997" t="s" s="16">
        <f>HYPERLINK("http://secrets.rutgers.edu:8080/data/asl-ftp/asllvd/demos/verify_start_end_handshape_annotations//test_auto_move//signs_mov_separ_signers/Liz_5483.mov","MOV")</f>
        <v>21</v>
      </c>
    </row>
    <row r="12998" s="2" customFormat="1" ht="13.5" customHeight="1">
      <c r="B12998" s="13"/>
      <c r="C12998" t="s" s="9">
        <v>27</v>
      </c>
      <c r="D12998" t="s" s="8">
        <v>4926</v>
      </c>
      <c r="E12998" t="s" s="9">
        <v>4927</v>
      </c>
      <c r="F12998" s="19">
        <v>10</v>
      </c>
      <c r="G12998" s="17">
        <v>10</v>
      </c>
      <c r="H12998" s="19">
        <v>1</v>
      </c>
      <c r="I12998" s="14"/>
      <c r="J12998" t="s" s="11">
        <v>20</v>
      </c>
      <c r="K12998" t="s" s="16">
        <f>HYPERLINK("http://csr.bu.edu/ftp/asl/asllvd/demos/verify_start_end_handshape_annotations//test_auto_move//signs_mov/5483.mov","MOV")</f>
        <v>21</v>
      </c>
      <c r="L12998" t="s" s="16">
        <f>HYPERLINK("http://csr.bu.edu/ftp/asl/asllvd/demos/verify_start_end_handshape_annotations//test_auto_move//signs_mov_separ_signers/Naomi_5483.mov","MOV")</f>
        <v>21</v>
      </c>
      <c r="M12998" t="s" s="10">
        <v>86</v>
      </c>
      <c r="N12998" s="17">
        <v>34</v>
      </c>
      <c r="O12998" s="18">
        <v>2125</v>
      </c>
      <c r="P12998" s="18">
        <v>2166</v>
      </c>
      <c r="Q12998" t="s" s="16">
        <f>HYPERLINK("http://secrets.rutgers.edu:8080/data/asl-ftp/asllvd/demos/verify_start_end_handshape_annotations//test_auto_move//signs_mov/5483.mov","MOV")</f>
        <v>21</v>
      </c>
      <c r="R12998" t="s" s="16">
        <f>HYPERLINK("http://secrets.rutgers.edu:8080/data/asl-ftp/asllvd/demos/verify_start_end_handshape_annotations//test_auto_move//signs_mov_separ_signers/Naomi_5483.mov","MOV")</f>
        <v>21</v>
      </c>
    </row>
    <row r="12999" s="2" customFormat="1" ht="13.5" customHeight="1">
      <c r="B12999" s="13"/>
      <c r="C12999" t="s" s="9">
        <v>30</v>
      </c>
      <c r="D12999" t="s" s="8">
        <v>4926</v>
      </c>
      <c r="E12999" t="s" s="9">
        <v>4927</v>
      </c>
      <c r="F12999" s="19">
        <v>10</v>
      </c>
      <c r="G12999" s="17">
        <v>10</v>
      </c>
      <c r="H12999" s="19">
        <v>1</v>
      </c>
      <c r="I12999" s="14"/>
      <c r="J12999" t="s" s="11">
        <v>20</v>
      </c>
      <c r="K12999" s="15"/>
      <c r="L12999" t="s" s="16">
        <f>HYPERLINK("http://csr.bu.edu/ftp/asl/asllvd/demos/verify_start_end_handshape_annotations//test_auto_move//signs_mov_separ_signers/Brady_5483.mov","MOV")</f>
        <v>21</v>
      </c>
      <c r="M12999" t="s" s="10">
        <v>39</v>
      </c>
      <c r="N12999" s="17">
        <v>14</v>
      </c>
      <c r="O12999" s="18">
        <v>175</v>
      </c>
      <c r="P12999" s="18">
        <v>213</v>
      </c>
      <c r="Q12999" s="15"/>
      <c r="R12999" t="s" s="16">
        <f>HYPERLINK("http://secrets.rutgers.edu:8080/data/asl-ftp/asllvd/demos/verify_start_end_handshape_annotations//test_auto_move//signs_mov_separ_signers/Brady_5483.mov","MOV")</f>
        <v>21</v>
      </c>
    </row>
    <row r="13000" s="2" customFormat="1" ht="13.5" customHeight="1">
      <c r="B13000" t="s" s="8">
        <v>4928</v>
      </c>
      <c r="C13000" t="s" s="9">
        <v>14</v>
      </c>
      <c r="D13000" t="s" s="8">
        <v>14</v>
      </c>
      <c r="E13000" t="s" s="9">
        <v>14</v>
      </c>
      <c r="F13000" t="s" s="10">
        <v>14</v>
      </c>
      <c r="G13000" t="s" s="11">
        <v>14</v>
      </c>
      <c r="H13000" t="s" s="10">
        <v>14</v>
      </c>
      <c r="I13000" t="s" s="11">
        <v>14</v>
      </c>
      <c r="J13000" t="s" s="11">
        <v>14</v>
      </c>
      <c r="K13000" t="s" s="12">
        <v>14</v>
      </c>
      <c r="L13000" t="s" s="12">
        <v>14</v>
      </c>
      <c r="M13000" t="s" s="10">
        <v>14</v>
      </c>
      <c r="N13000" t="s" s="11">
        <v>14</v>
      </c>
      <c r="O13000" t="s" s="8">
        <v>14</v>
      </c>
      <c r="P13000" t="s" s="8">
        <v>14</v>
      </c>
      <c r="Q13000" t="s" s="12">
        <v>14</v>
      </c>
      <c r="R13000" t="s" s="12">
        <v>14</v>
      </c>
    </row>
    <row r="13001" s="2" customFormat="1" ht="13.5" customHeight="1">
      <c r="B13001" s="13"/>
      <c r="C13001" t="s" s="9">
        <v>16</v>
      </c>
      <c r="D13001" t="s" s="8">
        <v>4928</v>
      </c>
      <c r="E13001" t="s" s="9">
        <v>4928</v>
      </c>
      <c r="F13001" t="s" s="10">
        <v>63</v>
      </c>
      <c r="G13001" s="14"/>
      <c r="H13001" s="19">
        <v>1</v>
      </c>
      <c r="I13001" s="14"/>
      <c r="J13001" t="s" s="11">
        <v>20</v>
      </c>
      <c r="K13001" s="15"/>
      <c r="L13001" t="s" s="16">
        <f>HYPERLINK("http://csr.bu.edu/ftp/asl/asllvd/demos/verify_start_end_handshape_annotations//test_auto_move//signs_mov_separ_signers/Liz_5750.mov","MOV")</f>
        <v>21</v>
      </c>
      <c r="M13001" t="s" s="10">
        <v>22</v>
      </c>
      <c r="N13001" s="17">
        <v>15</v>
      </c>
      <c r="O13001" s="18">
        <v>1309</v>
      </c>
      <c r="P13001" s="18">
        <v>1345</v>
      </c>
      <c r="Q13001" s="15"/>
      <c r="R13001" t="s" s="16">
        <f>HYPERLINK("http://secrets.rutgers.edu:8080/data/asl-ftp/asllvd/demos/verify_start_end_handshape_annotations//test_auto_move//signs_mov_separ_signers/Liz_5750.mov","MOV")</f>
        <v>21</v>
      </c>
    </row>
    <row r="13002" s="2" customFormat="1" ht="13.5" customHeight="1">
      <c r="B13002" s="13"/>
      <c r="C13002" t="s" s="9">
        <v>23</v>
      </c>
      <c r="D13002" t="s" s="8">
        <v>4928</v>
      </c>
      <c r="E13002" t="s" s="9">
        <v>4928</v>
      </c>
      <c r="F13002" t="s" s="10">
        <v>63</v>
      </c>
      <c r="G13002" s="14"/>
      <c r="H13002" s="19">
        <v>1</v>
      </c>
      <c r="I13002" s="14"/>
      <c r="J13002" t="s" s="11">
        <v>20</v>
      </c>
      <c r="K13002" s="15"/>
      <c r="L13002" t="s" s="16">
        <f>HYPERLINK("http://csr.bu.edu/ftp/asl/asllvd/demos/verify_start_end_handshape_annotations//test_auto_move//signs_mov_separ_signers/Tyler_5750.mov","MOV")</f>
        <v>21</v>
      </c>
      <c r="M13002" t="s" s="10">
        <v>26</v>
      </c>
      <c r="N13002" s="17">
        <v>12</v>
      </c>
      <c r="O13002" s="18">
        <v>505</v>
      </c>
      <c r="P13002" s="18">
        <v>531</v>
      </c>
      <c r="Q13002" s="15"/>
      <c r="R13002" t="s" s="16">
        <f>HYPERLINK("http://secrets.rutgers.edu:8080/data/asl-ftp/asllvd/demos/verify_start_end_handshape_annotations//test_auto_move//signs_mov_separ_signers/Tyler_5750.mov","MOV")</f>
        <v>21</v>
      </c>
    </row>
    <row r="13003" s="2" customFormat="1" ht="13.5" customHeight="1">
      <c r="B13003" s="13"/>
      <c r="C13003" t="s" s="9">
        <v>23</v>
      </c>
      <c r="D13003" t="s" s="8">
        <v>4928</v>
      </c>
      <c r="E13003" t="s" s="9">
        <v>4928</v>
      </c>
      <c r="F13003" t="s" s="10">
        <v>63</v>
      </c>
      <c r="G13003" s="14"/>
      <c r="H13003" s="19">
        <v>1</v>
      </c>
      <c r="I13003" s="14"/>
      <c r="J13003" t="s" s="11">
        <v>20</v>
      </c>
      <c r="K13003" t="s" s="16">
        <f>HYPERLINK("http://csr.bu.edu/ftp/asl/asllvd/demos/verify_start_end_handshape_annotations//test_auto_move//signs_mov/5750_15070_merged.mov","MOV")</f>
        <v>21</v>
      </c>
      <c r="L13003" t="s" s="16">
        <f>HYPERLINK("http://csr.bu.edu/ftp/asl/asllvd/demos/verify_start_end_handshape_annotations//test_auto_move//signs_mov_separ_signers/Tyler_15070.mov","MOV")</f>
        <v>21</v>
      </c>
      <c r="M13003" t="s" s="10">
        <v>92</v>
      </c>
      <c r="N13003" s="17">
        <v>14</v>
      </c>
      <c r="O13003" s="18">
        <v>2025</v>
      </c>
      <c r="P13003" s="18">
        <v>2061</v>
      </c>
      <c r="Q13003" t="s" s="16">
        <f>HYPERLINK("http://secrets.rutgers.edu:8080/data/asl-ftp/asllvd/demos/verify_start_end_handshape_annotations//test_auto_move//signs_mov/5750_15070_merged.mov","MOV")</f>
        <v>21</v>
      </c>
      <c r="R13003" t="s" s="16">
        <f>HYPERLINK("http://secrets.rutgers.edu:8080/data/asl-ftp/asllvd/demos/verify_start_end_handshape_annotations//test_auto_move//signs_mov_separ_signers/Tyler_15070.mov","MOV")</f>
        <v>21</v>
      </c>
    </row>
    <row r="13004" s="2" customFormat="1" ht="13.5" customHeight="1">
      <c r="B13004" s="13"/>
      <c r="C13004" t="s" s="9">
        <v>27</v>
      </c>
      <c r="D13004" t="s" s="8">
        <v>4928</v>
      </c>
      <c r="E13004" t="s" s="9">
        <v>4928</v>
      </c>
      <c r="F13004" t="s" s="10">
        <v>63</v>
      </c>
      <c r="G13004" s="14"/>
      <c r="H13004" s="19">
        <v>1</v>
      </c>
      <c r="I13004" s="14"/>
      <c r="J13004" t="s" s="11">
        <v>20</v>
      </c>
      <c r="K13004" s="15"/>
      <c r="L13004" t="s" s="16">
        <f>HYPERLINK("http://csr.bu.edu/ftp/asl/asllvd/demos/verify_start_end_handshape_annotations//test_auto_move//signs_mov_separ_signers/Naomi_5750.mov","MOV")</f>
        <v>21</v>
      </c>
      <c r="M13004" t="s" s="10">
        <v>29</v>
      </c>
      <c r="N13004" s="17">
        <v>12</v>
      </c>
      <c r="O13004" s="18">
        <v>205</v>
      </c>
      <c r="P13004" s="18">
        <v>232</v>
      </c>
      <c r="Q13004" s="15"/>
      <c r="R13004" t="s" s="16">
        <f>HYPERLINK("http://secrets.rutgers.edu:8080/data/asl-ftp/asllvd/demos/verify_start_end_handshape_annotations//test_auto_move//signs_mov_separ_signers/Naomi_5750.mov","MOV")</f>
        <v>21</v>
      </c>
    </row>
    <row r="13005" s="2" customFormat="1" ht="13.5" customHeight="1">
      <c r="B13005" s="13"/>
      <c r="C13005" t="s" s="9">
        <v>30</v>
      </c>
      <c r="D13005" t="s" s="8">
        <v>4928</v>
      </c>
      <c r="E13005" t="s" s="9">
        <v>4928</v>
      </c>
      <c r="F13005" t="s" s="10">
        <v>63</v>
      </c>
      <c r="G13005" s="14"/>
      <c r="H13005" s="19">
        <v>1</v>
      </c>
      <c r="I13005" s="14"/>
      <c r="J13005" t="s" s="11">
        <v>20</v>
      </c>
      <c r="K13005" s="15"/>
      <c r="L13005" t="s" s="16">
        <f>HYPERLINK("http://csr.bu.edu/ftp/asl/asllvd/demos/verify_start_end_handshape_annotations//test_auto_move//signs_mov_separ_signers/Brady_5750.mov","MOV")</f>
        <v>21</v>
      </c>
      <c r="M13005" t="s" s="10">
        <v>39</v>
      </c>
      <c r="N13005" s="17">
        <v>2</v>
      </c>
      <c r="O13005" s="18">
        <v>2228</v>
      </c>
      <c r="P13005" s="18">
        <v>2252</v>
      </c>
      <c r="Q13005" s="15"/>
      <c r="R13005" t="s" s="16">
        <f>HYPERLINK("http://secrets.rutgers.edu:8080/data/asl-ftp/asllvd/demos/verify_start_end_handshape_annotations//test_auto_move//signs_mov_separ_signers/Brady_5750.mov","MOV")</f>
        <v>21</v>
      </c>
    </row>
    <row r="13006" s="2" customFormat="1" ht="13.5" customHeight="1">
      <c r="B13006" t="s" s="8">
        <v>4929</v>
      </c>
      <c r="C13006" t="s" s="9">
        <v>14</v>
      </c>
      <c r="D13006" t="s" s="8">
        <v>14</v>
      </c>
      <c r="E13006" t="s" s="9">
        <v>14</v>
      </c>
      <c r="F13006" t="s" s="10">
        <v>14</v>
      </c>
      <c r="G13006" t="s" s="11">
        <v>14</v>
      </c>
      <c r="H13006" t="s" s="10">
        <v>14</v>
      </c>
      <c r="I13006" t="s" s="11">
        <v>14</v>
      </c>
      <c r="J13006" t="s" s="11">
        <v>14</v>
      </c>
      <c r="K13006" t="s" s="12">
        <v>14</v>
      </c>
      <c r="L13006" t="s" s="12">
        <v>14</v>
      </c>
      <c r="M13006" t="s" s="10">
        <v>14</v>
      </c>
      <c r="N13006" t="s" s="11">
        <v>14</v>
      </c>
      <c r="O13006" t="s" s="8">
        <v>14</v>
      </c>
      <c r="P13006" t="s" s="8">
        <v>14</v>
      </c>
      <c r="Q13006" t="s" s="12">
        <v>14</v>
      </c>
      <c r="R13006" t="s" s="12">
        <v>14</v>
      </c>
    </row>
    <row r="13007" s="2" customFormat="1" ht="13.5" customHeight="1">
      <c r="B13007" s="13"/>
      <c r="C13007" t="s" s="9">
        <v>16</v>
      </c>
      <c r="D13007" t="s" s="8">
        <v>4929</v>
      </c>
      <c r="E13007" t="s" s="9">
        <v>4929</v>
      </c>
      <c r="F13007" t="s" s="10">
        <v>626</v>
      </c>
      <c r="G13007" s="14"/>
      <c r="H13007" t="s" s="10">
        <v>25</v>
      </c>
      <c r="I13007" s="17">
        <v>1</v>
      </c>
      <c r="J13007" t="s" s="11">
        <v>20</v>
      </c>
      <c r="K13007" t="s" s="16">
        <f>HYPERLINK("http://csr.bu.edu/ftp/asl/asllvd/demos/verify_start_end_handshape_annotations//test_auto_move//signs_mov/4589.mov","MOV")</f>
        <v>21</v>
      </c>
      <c r="L13007" t="s" s="16">
        <f>HYPERLINK("http://csr.bu.edu/ftp/asl/asllvd/demos/verify_start_end_handshape_annotations//test_auto_move//signs_mov_separ_signers/Liz_4589.mov","MOV")</f>
        <v>21</v>
      </c>
      <c r="M13007" t="s" s="10">
        <v>36</v>
      </c>
      <c r="N13007" s="17">
        <v>45</v>
      </c>
      <c r="O13007" s="18">
        <v>2776</v>
      </c>
      <c r="P13007" s="18">
        <v>2847</v>
      </c>
      <c r="Q13007" t="s" s="16">
        <f>HYPERLINK("http://secrets.rutgers.edu:8080/data/asl-ftp/asllvd/demos/verify_start_end_handshape_annotations//test_auto_move//signs_mov/4589.mov","MOV")</f>
        <v>21</v>
      </c>
      <c r="R13007" t="s" s="16">
        <f>HYPERLINK("http://secrets.rutgers.edu:8080/data/asl-ftp/asllvd/demos/verify_start_end_handshape_annotations//test_auto_move//signs_mov_separ_signers/Liz_4589.mov","MOV")</f>
        <v>21</v>
      </c>
    </row>
    <row r="13008" s="2" customFormat="1" ht="27.75" customHeight="1">
      <c r="B13008" t="s" s="8">
        <v>4930</v>
      </c>
      <c r="C13008" t="s" s="9">
        <v>14</v>
      </c>
      <c r="D13008" t="s" s="8">
        <v>14</v>
      </c>
      <c r="E13008" t="s" s="9">
        <v>14</v>
      </c>
      <c r="F13008" t="s" s="10">
        <v>14</v>
      </c>
      <c r="G13008" t="s" s="11">
        <v>14</v>
      </c>
      <c r="H13008" t="s" s="10">
        <v>14</v>
      </c>
      <c r="I13008" t="s" s="11">
        <v>14</v>
      </c>
      <c r="J13008" t="s" s="11">
        <v>14</v>
      </c>
      <c r="K13008" t="s" s="12">
        <v>14</v>
      </c>
      <c r="L13008" t="s" s="12">
        <v>14</v>
      </c>
      <c r="M13008" t="s" s="10">
        <v>14</v>
      </c>
      <c r="N13008" t="s" s="11">
        <v>14</v>
      </c>
      <c r="O13008" t="s" s="8">
        <v>14</v>
      </c>
      <c r="P13008" t="s" s="8">
        <v>14</v>
      </c>
      <c r="Q13008" t="s" s="12">
        <v>14</v>
      </c>
      <c r="R13008" t="s" s="12">
        <v>14</v>
      </c>
    </row>
    <row r="13009" s="2" customFormat="1" ht="27.75" customHeight="1">
      <c r="B13009" s="13"/>
      <c r="C13009" t="s" s="9">
        <v>16</v>
      </c>
      <c r="D13009" t="s" s="8">
        <v>4930</v>
      </c>
      <c r="E13009" t="s" s="9">
        <v>4930</v>
      </c>
      <c r="F13009" t="s" s="10">
        <v>68</v>
      </c>
      <c r="G13009" t="s" s="11">
        <v>68</v>
      </c>
      <c r="H13009" t="s" s="10">
        <v>72</v>
      </c>
      <c r="I13009" t="s" s="11">
        <v>72</v>
      </c>
      <c r="J13009" t="s" s="11">
        <v>20</v>
      </c>
      <c r="K13009" s="15"/>
      <c r="L13009" t="s" s="16">
        <f>HYPERLINK("http://csr.bu.edu/ftp/asl/asllvd/demos/verify_start_end_handshape_annotations//test_auto_move//signs_mov_separ_signers/Liz_4594.mov","MOV")</f>
        <v>21</v>
      </c>
      <c r="M13009" t="s" s="10">
        <v>22</v>
      </c>
      <c r="N13009" s="17">
        <v>65</v>
      </c>
      <c r="O13009" s="18">
        <v>535</v>
      </c>
      <c r="P13009" s="18">
        <v>613</v>
      </c>
      <c r="Q13009" s="15"/>
      <c r="R13009" t="s" s="16">
        <f>HYPERLINK("http://secrets.rutgers.edu:8080/data/asl-ftp/asllvd/demos/verify_start_end_handshape_annotations//test_auto_move//signs_mov_separ_signers/Liz_4594.mov","MOV")</f>
        <v>21</v>
      </c>
    </row>
    <row r="13010" s="2" customFormat="1" ht="27.75" customHeight="1">
      <c r="B13010" s="13"/>
      <c r="C13010" t="s" s="9">
        <v>23</v>
      </c>
      <c r="D13010" t="s" s="8">
        <v>4930</v>
      </c>
      <c r="E13010" t="s" s="9">
        <v>4930</v>
      </c>
      <c r="F13010" t="s" s="10">
        <v>68</v>
      </c>
      <c r="G13010" t="s" s="11">
        <v>68</v>
      </c>
      <c r="H13010" t="s" s="10">
        <v>150</v>
      </c>
      <c r="I13010" t="s" s="11">
        <v>150</v>
      </c>
      <c r="J13010" t="s" s="11">
        <v>20</v>
      </c>
      <c r="K13010" t="s" s="16">
        <f>HYPERLINK("http://csr.bu.edu/ftp/asl/asllvd/demos/verify_start_end_handshape_annotations//test_auto_move//signs_mov/4594.mov","MOV")</f>
        <v>21</v>
      </c>
      <c r="L13010" t="s" s="16">
        <f>HYPERLINK("http://csr.bu.edu/ftp/asl/asllvd/demos/verify_start_end_handshape_annotations//test_auto_move//signs_mov_separ_signers/Tyler_4594.mov","MOV")</f>
        <v>21</v>
      </c>
      <c r="M13010" t="s" s="10">
        <v>26</v>
      </c>
      <c r="N13010" s="17">
        <v>40</v>
      </c>
      <c r="O13010" s="18">
        <v>2873</v>
      </c>
      <c r="P13010" s="18">
        <v>2945</v>
      </c>
      <c r="Q13010" t="s" s="16">
        <f>HYPERLINK("http://secrets.rutgers.edu:8080/data/asl-ftp/asllvd/demos/verify_start_end_handshape_annotations//test_auto_move//signs_mov/4594.mov","MOV")</f>
        <v>21</v>
      </c>
      <c r="R13010" t="s" s="16">
        <f>HYPERLINK("http://secrets.rutgers.edu:8080/data/asl-ftp/asllvd/demos/verify_start_end_handshape_annotations//test_auto_move//signs_mov_separ_signers/Tyler_4594.mov","MOV")</f>
        <v>21</v>
      </c>
    </row>
    <row r="13011" s="2" customFormat="1" ht="27.75" customHeight="1">
      <c r="B13011" s="13"/>
      <c r="C13011" t="s" s="9">
        <v>30</v>
      </c>
      <c r="D13011" t="s" s="8">
        <v>4930</v>
      </c>
      <c r="E13011" t="s" s="9">
        <v>4931</v>
      </c>
      <c r="F13011" t="s" s="10">
        <v>68</v>
      </c>
      <c r="G13011" t="s" s="11">
        <v>68</v>
      </c>
      <c r="H13011" t="s" s="10">
        <v>150</v>
      </c>
      <c r="I13011" t="s" s="11">
        <v>150</v>
      </c>
      <c r="J13011" t="s" s="11">
        <v>20</v>
      </c>
      <c r="K13011" s="15"/>
      <c r="L13011" t="s" s="16">
        <f>HYPERLINK("http://csr.bu.edu/ftp/asl/asllvd/demos/verify_start_end_handshape_annotations//test_auto_move//signs_mov_separ_signers/Brady_4594.mov","MOV")</f>
        <v>21</v>
      </c>
      <c r="M13011" t="s" s="10">
        <v>31</v>
      </c>
      <c r="N13011" s="17">
        <v>25</v>
      </c>
      <c r="O13011" s="18">
        <v>13718</v>
      </c>
      <c r="P13011" s="18">
        <v>13755</v>
      </c>
      <c r="Q13011" s="15"/>
      <c r="R13011" t="s" s="16">
        <f>HYPERLINK("http://secrets.rutgers.edu:8080/data/asl-ftp/asllvd/demos/verify_start_end_handshape_annotations//test_auto_move//signs_mov_separ_signers/Brady_4594.mov","MOV")</f>
        <v>21</v>
      </c>
    </row>
    <row r="13012" s="2" customFormat="1" ht="13.5" customHeight="1">
      <c r="B13012" t="s" s="8">
        <v>52</v>
      </c>
      <c r="C13012" t="s" s="9">
        <v>53</v>
      </c>
      <c r="D13012" t="s" s="8">
        <v>53</v>
      </c>
      <c r="E13012" t="s" s="9">
        <v>53</v>
      </c>
      <c r="F13012" t="s" s="10">
        <v>53</v>
      </c>
      <c r="G13012" t="s" s="11">
        <v>53</v>
      </c>
      <c r="H13012" t="s" s="10">
        <v>53</v>
      </c>
      <c r="I13012" t="s" s="11">
        <v>53</v>
      </c>
      <c r="J13012" t="s" s="11">
        <v>53</v>
      </c>
      <c r="K13012" t="s" s="12">
        <v>53</v>
      </c>
      <c r="L13012" t="s" s="12">
        <v>53</v>
      </c>
      <c r="M13012" t="s" s="10">
        <v>53</v>
      </c>
      <c r="N13012" t="s" s="11">
        <v>53</v>
      </c>
      <c r="O13012" t="s" s="8">
        <v>53</v>
      </c>
      <c r="P13012" t="s" s="8">
        <v>53</v>
      </c>
      <c r="Q13012" t="s" s="12">
        <v>53</v>
      </c>
      <c r="R13012" t="s" s="12">
        <v>53</v>
      </c>
    </row>
    <row r="13013" s="2" customFormat="1" ht="27.75" customHeight="1">
      <c r="B13013" s="13"/>
      <c r="C13013" t="s" s="9">
        <v>27</v>
      </c>
      <c r="D13013" t="s" s="8">
        <v>4930</v>
      </c>
      <c r="E13013" t="s" s="9">
        <v>4930</v>
      </c>
      <c r="F13013" t="s" s="10">
        <v>68</v>
      </c>
      <c r="G13013" t="s" s="11">
        <v>68</v>
      </c>
      <c r="H13013" t="s" s="10">
        <v>260</v>
      </c>
      <c r="I13013" t="s" s="11">
        <v>260</v>
      </c>
      <c r="J13013" t="s" s="11">
        <v>20</v>
      </c>
      <c r="K13013" t="s" s="16">
        <f>HYPERLINK("http://csr.bu.edu/ftp/asl/asllvd/demos/verify_start_end_handshape_annotations//test_auto_move//signs_mov/15006.mov","MOV")</f>
        <v>21</v>
      </c>
      <c r="L13013" t="s" s="16">
        <f>HYPERLINK("http://csr.bu.edu/ftp/asl/asllvd/demos/verify_start_end_handshape_annotations//test_auto_move//signs_mov_separ_signers/Naomi_15006.mov","MOV")</f>
        <v>21</v>
      </c>
      <c r="M13013" t="s" s="10">
        <v>29</v>
      </c>
      <c r="N13013" s="17">
        <v>41</v>
      </c>
      <c r="O13013" s="18">
        <v>3574</v>
      </c>
      <c r="P13013" s="18">
        <v>3635</v>
      </c>
      <c r="Q13013" t="s" s="16">
        <f>HYPERLINK("http://secrets.rutgers.edu:8080/data/asl-ftp/asllvd/demos/verify_start_end_handshape_annotations//test_auto_move//signs_mov/15006.mov","MOV")</f>
        <v>21</v>
      </c>
      <c r="R13013" t="s" s="16">
        <f>HYPERLINK("http://secrets.rutgers.edu:8080/data/asl-ftp/asllvd/demos/verify_start_end_handshape_annotations//test_auto_move//signs_mov_separ_signers/Naomi_15006.mov","MOV")</f>
        <v>21</v>
      </c>
    </row>
    <row r="13014" s="2" customFormat="1" ht="13.5" customHeight="1">
      <c r="B13014" t="s" s="8">
        <v>4932</v>
      </c>
      <c r="C13014" t="s" s="9">
        <v>14</v>
      </c>
      <c r="D13014" t="s" s="8">
        <v>14</v>
      </c>
      <c r="E13014" t="s" s="9">
        <v>14</v>
      </c>
      <c r="F13014" t="s" s="10">
        <v>14</v>
      </c>
      <c r="G13014" t="s" s="11">
        <v>14</v>
      </c>
      <c r="H13014" t="s" s="10">
        <v>14</v>
      </c>
      <c r="I13014" t="s" s="11">
        <v>14</v>
      </c>
      <c r="J13014" t="s" s="11">
        <v>14</v>
      </c>
      <c r="K13014" t="s" s="12">
        <v>14</v>
      </c>
      <c r="L13014" t="s" s="12">
        <v>14</v>
      </c>
      <c r="M13014" t="s" s="10">
        <v>14</v>
      </c>
      <c r="N13014" t="s" s="11">
        <v>14</v>
      </c>
      <c r="O13014" t="s" s="8">
        <v>14</v>
      </c>
      <c r="P13014" t="s" s="8">
        <v>14</v>
      </c>
      <c r="Q13014" t="s" s="12">
        <v>14</v>
      </c>
      <c r="R13014" t="s" s="12">
        <v>14</v>
      </c>
    </row>
    <row r="13015" s="2" customFormat="1" ht="13.5" customHeight="1">
      <c r="B13015" s="13"/>
      <c r="C13015" t="s" s="9">
        <v>16</v>
      </c>
      <c r="D13015" t="s" s="8">
        <v>4932</v>
      </c>
      <c r="E13015" t="s" s="9">
        <v>4932</v>
      </c>
      <c r="F13015" s="19">
        <v>25</v>
      </c>
      <c r="G13015" s="14"/>
      <c r="H13015" t="s" s="10">
        <v>63</v>
      </c>
      <c r="I13015" t="s" s="11">
        <v>73</v>
      </c>
      <c r="J13015" t="s" s="11">
        <v>20</v>
      </c>
      <c r="K13015" s="15"/>
      <c r="L13015" t="s" s="16">
        <f>HYPERLINK("http://csr.bu.edu/ftp/asl/asllvd/demos/verify_start_end_handshape_annotations//test_auto_move//signs_mov_separ_signers/Liz_4603.mov","MOV")</f>
        <v>21</v>
      </c>
      <c r="M13015" t="s" s="10">
        <v>34</v>
      </c>
      <c r="N13015" s="17">
        <v>20</v>
      </c>
      <c r="O13015" s="18">
        <v>884</v>
      </c>
      <c r="P13015" s="18">
        <v>933</v>
      </c>
      <c r="Q13015" s="15"/>
      <c r="R13015" t="s" s="16">
        <f>HYPERLINK("http://secrets.rutgers.edu:8080/data/asl-ftp/asllvd/demos/verify_start_end_handshape_annotations//test_auto_move//signs_mov_separ_signers/Liz_4603.mov","MOV")</f>
        <v>21</v>
      </c>
    </row>
    <row r="13016" s="2" customFormat="1" ht="13.5" customHeight="1">
      <c r="B13016" s="13"/>
      <c r="C13016" t="s" s="9">
        <v>23</v>
      </c>
      <c r="D13016" t="s" s="8">
        <v>4932</v>
      </c>
      <c r="E13016" t="s" s="9">
        <v>4932</v>
      </c>
      <c r="F13016" s="19">
        <v>25</v>
      </c>
      <c r="G13016" s="14"/>
      <c r="H13016" t="s" s="10">
        <v>68</v>
      </c>
      <c r="I13016" t="s" s="11">
        <v>73</v>
      </c>
      <c r="J13016" t="s" s="11">
        <v>20</v>
      </c>
      <c r="K13016" s="15"/>
      <c r="L13016" t="s" s="16">
        <f>HYPERLINK("http://csr.bu.edu/ftp/asl/asllvd/demos/verify_start_end_handshape_annotations//test_auto_move//signs_mov_separ_signers/Tyler_4603.mov","MOV")</f>
        <v>21</v>
      </c>
      <c r="M13016" t="s" s="10">
        <v>92</v>
      </c>
      <c r="N13016" s="17">
        <v>48</v>
      </c>
      <c r="O13016" s="18">
        <v>460</v>
      </c>
      <c r="P13016" s="18">
        <v>485</v>
      </c>
      <c r="Q13016" s="15"/>
      <c r="R13016" t="s" s="16">
        <f>HYPERLINK("http://secrets.rutgers.edu:8080/data/asl-ftp/asllvd/demos/verify_start_end_handshape_annotations//test_auto_move//signs_mov_separ_signers/Tyler_4603.mov","MOV")</f>
        <v>21</v>
      </c>
    </row>
    <row r="13017" s="2" customFormat="1" ht="13.5" customHeight="1">
      <c r="B13017" s="13"/>
      <c r="C13017" t="s" s="9">
        <v>30</v>
      </c>
      <c r="D13017" t="s" s="8">
        <v>4932</v>
      </c>
      <c r="E13017" t="s" s="9">
        <v>4932</v>
      </c>
      <c r="F13017" s="19">
        <v>25</v>
      </c>
      <c r="G13017" s="14"/>
      <c r="H13017" t="s" s="10">
        <v>68</v>
      </c>
      <c r="I13017" t="s" s="11">
        <v>73</v>
      </c>
      <c r="J13017" t="s" s="11">
        <v>20</v>
      </c>
      <c r="K13017" t="s" s="16">
        <f>HYPERLINK("http://csr.bu.edu/ftp/asl/asllvd/demos/verify_start_end_handshape_annotations//test_auto_move//signs_mov/4603_15093_merged.mov","MOV")</f>
        <v>21</v>
      </c>
      <c r="L13017" t="s" s="16">
        <f>HYPERLINK("http://csr.bu.edu/ftp/asl/asllvd/demos/verify_start_end_handshape_annotations//test_auto_move//signs_mov_separ_signers/Brady_4603.mov","MOV")</f>
        <v>21</v>
      </c>
      <c r="M13017" t="s" s="10">
        <v>39</v>
      </c>
      <c r="N13017" s="17">
        <v>33</v>
      </c>
      <c r="O13017" s="18">
        <v>548</v>
      </c>
      <c r="P13017" s="18">
        <v>574</v>
      </c>
      <c r="Q13017" t="s" s="16">
        <f>HYPERLINK("http://secrets.rutgers.edu:8080/data/asl-ftp/asllvd/demos/verify_start_end_handshape_annotations//test_auto_move//signs_mov/4603_15093_merged.mov","MOV")</f>
        <v>21</v>
      </c>
      <c r="R13017" t="s" s="16">
        <f>HYPERLINK("http://secrets.rutgers.edu:8080/data/asl-ftp/asllvd/demos/verify_start_end_handshape_annotations//test_auto_move//signs_mov_separ_signers/Brady_4603.mov","MOV")</f>
        <v>21</v>
      </c>
    </row>
    <row r="13018" s="2" customFormat="1" ht="13.5" customHeight="1">
      <c r="B13018" s="13"/>
      <c r="C13018" t="s" s="9">
        <v>30</v>
      </c>
      <c r="D13018" t="s" s="8">
        <v>4932</v>
      </c>
      <c r="E13018" t="s" s="9">
        <v>4932</v>
      </c>
      <c r="F13018" s="19">
        <v>25</v>
      </c>
      <c r="G13018" s="14"/>
      <c r="H13018" t="s" s="10">
        <v>68</v>
      </c>
      <c r="I13018" t="s" s="11">
        <v>73</v>
      </c>
      <c r="J13018" t="s" s="11">
        <v>20</v>
      </c>
      <c r="K13018" s="15"/>
      <c r="L13018" t="s" s="16">
        <f>HYPERLINK("http://csr.bu.edu/ftp/asl/asllvd/demos/verify_start_end_handshape_annotations//test_auto_move//signs_mov_separ_signers/Brady_15093.mov","MOV")</f>
        <v>21</v>
      </c>
      <c r="M13018" t="s" s="10">
        <v>60</v>
      </c>
      <c r="N13018" s="17">
        <v>44</v>
      </c>
      <c r="O13018" s="18">
        <v>1775</v>
      </c>
      <c r="P13018" s="18">
        <v>1801</v>
      </c>
      <c r="Q13018" s="15"/>
      <c r="R13018" t="s" s="16">
        <f>HYPERLINK("http://secrets.rutgers.edu:8080/data/asl-ftp/asllvd/demos/verify_start_end_handshape_annotations//test_auto_move//signs_mov_separ_signers/Brady_15093.mov","MOV")</f>
        <v>21</v>
      </c>
    </row>
    <row r="13019" s="2" customFormat="1" ht="13.5" customHeight="1">
      <c r="B13019" s="13"/>
      <c r="C13019" t="s" s="9">
        <v>41</v>
      </c>
      <c r="D13019" t="s" s="8">
        <v>4932</v>
      </c>
      <c r="E13019" t="s" s="9">
        <v>4932</v>
      </c>
      <c r="F13019" s="19">
        <v>25</v>
      </c>
      <c r="G13019" s="14"/>
      <c r="H13019" t="s" s="10">
        <v>68</v>
      </c>
      <c r="I13019" t="s" s="11">
        <v>73</v>
      </c>
      <c r="J13019" t="s" s="11">
        <v>20</v>
      </c>
      <c r="K13019" s="15"/>
      <c r="L13019" t="s" s="16">
        <f>HYPERLINK("http://csr.bu.edu/ftp/asl/asllvd/demos/verify_start_end_handshape_annotations//test_auto_move//signs_mov_separ_signers/Lana_4603.mov","MOV")</f>
        <v>21</v>
      </c>
      <c r="M13019" t="s" s="10">
        <v>42</v>
      </c>
      <c r="N13019" s="17">
        <v>12</v>
      </c>
      <c r="O13019" s="18">
        <v>2223</v>
      </c>
      <c r="P13019" s="18">
        <v>2277</v>
      </c>
      <c r="Q13019" s="15"/>
      <c r="R13019" t="s" s="16">
        <f>HYPERLINK("http://secrets.rutgers.edu:8080/data/asl-ftp/asllvd/demos/verify_start_end_handshape_annotations//test_auto_move//signs_mov_separ_signers/Lana_4603.mov","MOV")</f>
        <v>21</v>
      </c>
    </row>
    <row r="13020" s="2" customFormat="1" ht="13.5" customHeight="1">
      <c r="B13020" s="13"/>
      <c r="C13020" t="s" s="9">
        <v>43</v>
      </c>
      <c r="D13020" t="s" s="8">
        <v>4932</v>
      </c>
      <c r="E13020" t="s" s="9">
        <v>4932</v>
      </c>
      <c r="F13020" s="19">
        <v>25</v>
      </c>
      <c r="G13020" s="14"/>
      <c r="H13020" t="s" s="10">
        <v>63</v>
      </c>
      <c r="I13020" t="s" s="11">
        <v>150</v>
      </c>
      <c r="J13020" t="s" s="11">
        <v>20</v>
      </c>
      <c r="K13020" s="15"/>
      <c r="L13020" t="s" s="16">
        <f>HYPERLINK("http://csr.bu.edu/ftp/asl/asllvd/demos/verify_start_end_handshape_annotations//test_auto_move//signs_mov_separ_signers/Dana_4603.mov","MOV")</f>
        <v>21</v>
      </c>
      <c r="M13020" t="s" s="10">
        <v>44</v>
      </c>
      <c r="N13020" s="17">
        <v>16</v>
      </c>
      <c r="O13020" s="18">
        <v>2115</v>
      </c>
      <c r="P13020" s="18">
        <v>2167</v>
      </c>
      <c r="Q13020" s="15"/>
      <c r="R13020" t="s" s="16">
        <f>HYPERLINK("http://secrets.rutgers.edu:8080/data/asl-ftp/asllvd/demos/verify_start_end_handshape_annotations//test_auto_move//signs_mov_separ_signers/Dana_4603.mov","MOV")</f>
        <v>21</v>
      </c>
    </row>
    <row r="13021" s="2" customFormat="1" ht="13.5" customHeight="1">
      <c r="B13021" t="s" s="8">
        <v>4933</v>
      </c>
      <c r="C13021" t="s" s="9">
        <v>14</v>
      </c>
      <c r="D13021" t="s" s="8">
        <v>14</v>
      </c>
      <c r="E13021" t="s" s="9">
        <v>14</v>
      </c>
      <c r="F13021" t="s" s="10">
        <v>14</v>
      </c>
      <c r="G13021" t="s" s="11">
        <v>14</v>
      </c>
      <c r="H13021" t="s" s="10">
        <v>14</v>
      </c>
      <c r="I13021" t="s" s="11">
        <v>14</v>
      </c>
      <c r="J13021" t="s" s="11">
        <v>14</v>
      </c>
      <c r="K13021" t="s" s="12">
        <v>14</v>
      </c>
      <c r="L13021" t="s" s="12">
        <v>14</v>
      </c>
      <c r="M13021" t="s" s="10">
        <v>14</v>
      </c>
      <c r="N13021" t="s" s="11">
        <v>14</v>
      </c>
      <c r="O13021" t="s" s="8">
        <v>14</v>
      </c>
      <c r="P13021" t="s" s="8">
        <v>14</v>
      </c>
      <c r="Q13021" t="s" s="12">
        <v>14</v>
      </c>
      <c r="R13021" t="s" s="12">
        <v>14</v>
      </c>
    </row>
    <row r="13022" s="2" customFormat="1" ht="13.5" customHeight="1">
      <c r="B13022" s="13"/>
      <c r="C13022" t="s" s="9">
        <v>23</v>
      </c>
      <c r="D13022" t="s" s="8">
        <v>4933</v>
      </c>
      <c r="E13022" t="s" s="9">
        <v>4933</v>
      </c>
      <c r="F13022" s="19">
        <v>5</v>
      </c>
      <c r="G13022" s="17">
        <v>5</v>
      </c>
      <c r="H13022" s="19">
        <v>5</v>
      </c>
      <c r="I13022" s="17">
        <v>5</v>
      </c>
      <c r="J13022" t="s" s="11">
        <v>20</v>
      </c>
      <c r="K13022" t="s" s="16">
        <f>HYPERLINK("http://csr.bu.edu/ftp/asl/asllvd/demos/verify_start_end_handshape_annotations//test_auto_move//signs_mov/4624.mov","MOV")</f>
        <v>21</v>
      </c>
      <c r="L13022" t="s" s="16">
        <f>HYPERLINK("http://csr.bu.edu/ftp/asl/asllvd/demos/verify_start_end_handshape_annotations//test_auto_move//signs_mov_separ_signers/Tyler_4624.mov","MOV")</f>
        <v>21</v>
      </c>
      <c r="M13022" t="s" s="10">
        <v>92</v>
      </c>
      <c r="N13022" s="17">
        <v>52</v>
      </c>
      <c r="O13022" s="18">
        <v>2820</v>
      </c>
      <c r="P13022" s="18">
        <v>2860</v>
      </c>
      <c r="Q13022" t="s" s="16">
        <f>HYPERLINK("http://secrets.rutgers.edu:8080/data/asl-ftp/asllvd/demos/verify_start_end_handshape_annotations//test_auto_move//signs_mov/4624.mov","MOV")</f>
        <v>21</v>
      </c>
      <c r="R13022" t="s" s="16">
        <f>HYPERLINK("http://secrets.rutgers.edu:8080/data/asl-ftp/asllvd/demos/verify_start_end_handshape_annotations//test_auto_move//signs_mov_separ_signers/Tyler_4624.mov","MOV")</f>
        <v>21</v>
      </c>
    </row>
    <row r="13023" s="2" customFormat="1" ht="13.5" customHeight="1">
      <c r="B13023" t="s" s="8">
        <v>4934</v>
      </c>
      <c r="C13023" t="s" s="9">
        <v>14</v>
      </c>
      <c r="D13023" t="s" s="8">
        <v>14</v>
      </c>
      <c r="E13023" t="s" s="9">
        <v>14</v>
      </c>
      <c r="F13023" t="s" s="10">
        <v>14</v>
      </c>
      <c r="G13023" t="s" s="11">
        <v>14</v>
      </c>
      <c r="H13023" t="s" s="10">
        <v>14</v>
      </c>
      <c r="I13023" t="s" s="11">
        <v>14</v>
      </c>
      <c r="J13023" t="s" s="11">
        <v>14</v>
      </c>
      <c r="K13023" t="s" s="12">
        <v>14</v>
      </c>
      <c r="L13023" t="s" s="12">
        <v>14</v>
      </c>
      <c r="M13023" t="s" s="10">
        <v>14</v>
      </c>
      <c r="N13023" t="s" s="11">
        <v>14</v>
      </c>
      <c r="O13023" t="s" s="8">
        <v>14</v>
      </c>
      <c r="P13023" t="s" s="8">
        <v>14</v>
      </c>
      <c r="Q13023" t="s" s="12">
        <v>14</v>
      </c>
      <c r="R13023" t="s" s="12">
        <v>14</v>
      </c>
    </row>
    <row r="13024" s="2" customFormat="1" ht="13.5" customHeight="1">
      <c r="B13024" s="13"/>
      <c r="C13024" t="s" s="9">
        <v>16</v>
      </c>
      <c r="D13024" t="s" s="8">
        <v>4934</v>
      </c>
      <c r="E13024" t="s" s="9">
        <v>4934</v>
      </c>
      <c r="F13024" s="19">
        <v>3</v>
      </c>
      <c r="G13024" s="17">
        <v>3</v>
      </c>
      <c r="H13024" s="19">
        <v>3</v>
      </c>
      <c r="I13024" s="17">
        <v>3</v>
      </c>
      <c r="J13024" t="s" s="11">
        <v>20</v>
      </c>
      <c r="K13024" t="s" s="16">
        <f>HYPERLINK("http://csr.bu.edu/ftp/asl/asllvd/demos/verify_start_end_handshape_annotations//test_auto_move//signs_mov/4643.mov","MOV")</f>
        <v>21</v>
      </c>
      <c r="L13024" t="s" s="16">
        <f>HYPERLINK("http://csr.bu.edu/ftp/asl/asllvd/demos/verify_start_end_handshape_annotations//test_auto_move//signs_mov_separ_signers/Liz_4643.mov","MOV")</f>
        <v>21</v>
      </c>
      <c r="M13024" t="s" s="10">
        <v>59</v>
      </c>
      <c r="N13024" s="17">
        <v>11</v>
      </c>
      <c r="O13024" s="18">
        <v>550</v>
      </c>
      <c r="P13024" s="18">
        <v>585</v>
      </c>
      <c r="Q13024" t="s" s="16">
        <f>HYPERLINK("http://secrets.rutgers.edu:8080/data/asl-ftp/asllvd/demos/verify_start_end_handshape_annotations//test_auto_move//signs_mov/4643.mov","MOV")</f>
        <v>21</v>
      </c>
      <c r="R13024" t="s" s="16">
        <f>HYPERLINK("http://secrets.rutgers.edu:8080/data/asl-ftp/asllvd/demos/verify_start_end_handshape_annotations//test_auto_move//signs_mov_separ_signers/Liz_4643.mov","MOV")</f>
        <v>21</v>
      </c>
    </row>
    <row r="13025" s="2" customFormat="1" ht="13.5" customHeight="1">
      <c r="B13025" s="13"/>
      <c r="C13025" t="s" s="9">
        <v>30</v>
      </c>
      <c r="D13025" t="s" s="8">
        <v>4934</v>
      </c>
      <c r="E13025" t="s" s="9">
        <v>4934</v>
      </c>
      <c r="F13025" s="19">
        <v>3</v>
      </c>
      <c r="G13025" s="17">
        <v>3</v>
      </c>
      <c r="H13025" s="19">
        <v>3</v>
      </c>
      <c r="I13025" s="17">
        <v>3</v>
      </c>
      <c r="J13025" t="s" s="11">
        <v>20</v>
      </c>
      <c r="K13025" s="15"/>
      <c r="L13025" t="s" s="16">
        <f>HYPERLINK("http://csr.bu.edu/ftp/asl/asllvd/demos/verify_start_end_handshape_annotations//test_auto_move//signs_mov_separ_signers/Brady_4643.mov","MOV")</f>
        <v>21</v>
      </c>
      <c r="M13025" t="s" s="10">
        <v>40</v>
      </c>
      <c r="N13025" s="17">
        <v>115</v>
      </c>
      <c r="O13025" s="18">
        <v>906</v>
      </c>
      <c r="P13025" s="18">
        <v>927</v>
      </c>
      <c r="Q13025" s="15"/>
      <c r="R13025" t="s" s="16">
        <f>HYPERLINK("http://secrets.rutgers.edu:8080/data/asl-ftp/asllvd/demos/verify_start_end_handshape_annotations//test_auto_move//signs_mov_separ_signers/Brady_4643.mov","MOV")</f>
        <v>21</v>
      </c>
    </row>
    <row r="13026" s="2" customFormat="1" ht="13.5" customHeight="1">
      <c r="B13026" t="s" s="8">
        <v>4935</v>
      </c>
      <c r="C13026" t="s" s="9">
        <v>14</v>
      </c>
      <c r="D13026" t="s" s="8">
        <v>14</v>
      </c>
      <c r="E13026" t="s" s="9">
        <v>14</v>
      </c>
      <c r="F13026" t="s" s="10">
        <v>14</v>
      </c>
      <c r="G13026" t="s" s="11">
        <v>14</v>
      </c>
      <c r="H13026" t="s" s="10">
        <v>14</v>
      </c>
      <c r="I13026" t="s" s="11">
        <v>14</v>
      </c>
      <c r="J13026" t="s" s="11">
        <v>14</v>
      </c>
      <c r="K13026" t="s" s="12">
        <v>14</v>
      </c>
      <c r="L13026" t="s" s="12">
        <v>14</v>
      </c>
      <c r="M13026" t="s" s="10">
        <v>14</v>
      </c>
      <c r="N13026" t="s" s="11">
        <v>14</v>
      </c>
      <c r="O13026" t="s" s="8">
        <v>14</v>
      </c>
      <c r="P13026" t="s" s="8">
        <v>14</v>
      </c>
      <c r="Q13026" t="s" s="12">
        <v>14</v>
      </c>
      <c r="R13026" t="s" s="12">
        <v>14</v>
      </c>
    </row>
    <row r="13027" s="2" customFormat="1" ht="13.5" customHeight="1">
      <c r="B13027" s="13"/>
      <c r="C13027" t="s" s="9">
        <v>30</v>
      </c>
      <c r="D13027" t="s" s="8">
        <v>4936</v>
      </c>
      <c r="E13027" t="s" s="9">
        <v>4936</v>
      </c>
      <c r="F13027" t="s" s="10">
        <v>229</v>
      </c>
      <c r="G13027" t="s" s="11">
        <v>25</v>
      </c>
      <c r="H13027" t="s" s="10">
        <v>229</v>
      </c>
      <c r="I13027" t="s" s="11">
        <v>25</v>
      </c>
      <c r="J13027" t="s" s="11">
        <v>20</v>
      </c>
      <c r="K13027" t="s" s="16">
        <f>HYPERLINK("http://csr.bu.edu/ftp/asl/asllvd/demos/verify_start_end_handshape_annotations//test_auto_move//signs_mov/4644.mov","MOV")</f>
        <v>21</v>
      </c>
      <c r="L13027" t="s" s="16">
        <f>HYPERLINK("http://csr.bu.edu/ftp/asl/asllvd/demos/verify_start_end_handshape_annotations//test_auto_move//signs_mov_separ_signers/Brady_4644.mov","MOV")</f>
        <v>21</v>
      </c>
      <c r="M13027" t="s" s="10">
        <v>40</v>
      </c>
      <c r="N13027" s="17">
        <v>75</v>
      </c>
      <c r="O13027" s="18">
        <v>1861</v>
      </c>
      <c r="P13027" s="18">
        <v>1874</v>
      </c>
      <c r="Q13027" t="s" s="16">
        <f>HYPERLINK("http://secrets.rutgers.edu:8080/data/asl-ftp/asllvd/demos/verify_start_end_handshape_annotations//test_auto_move//signs_mov/4644.mov","MOV")</f>
        <v>21</v>
      </c>
      <c r="R13027" t="s" s="16">
        <f>HYPERLINK("http://secrets.rutgers.edu:8080/data/asl-ftp/asllvd/demos/verify_start_end_handshape_annotations//test_auto_move//signs_mov_separ_signers/Brady_4644.mov","MOV")</f>
        <v>21</v>
      </c>
    </row>
    <row r="13028" s="2" customFormat="1" ht="13.5" customHeight="1">
      <c r="B13028" t="s" s="8">
        <v>4937</v>
      </c>
      <c r="C13028" t="s" s="9">
        <v>14</v>
      </c>
      <c r="D13028" t="s" s="8">
        <v>14</v>
      </c>
      <c r="E13028" t="s" s="9">
        <v>14</v>
      </c>
      <c r="F13028" t="s" s="10">
        <v>14</v>
      </c>
      <c r="G13028" t="s" s="11">
        <v>14</v>
      </c>
      <c r="H13028" t="s" s="10">
        <v>14</v>
      </c>
      <c r="I13028" t="s" s="11">
        <v>14</v>
      </c>
      <c r="J13028" t="s" s="11">
        <v>14</v>
      </c>
      <c r="K13028" t="s" s="12">
        <v>14</v>
      </c>
      <c r="L13028" t="s" s="12">
        <v>14</v>
      </c>
      <c r="M13028" t="s" s="10">
        <v>14</v>
      </c>
      <c r="N13028" t="s" s="11">
        <v>14</v>
      </c>
      <c r="O13028" t="s" s="8">
        <v>14</v>
      </c>
      <c r="P13028" t="s" s="8">
        <v>14</v>
      </c>
      <c r="Q13028" t="s" s="12">
        <v>14</v>
      </c>
      <c r="R13028" t="s" s="12">
        <v>14</v>
      </c>
    </row>
    <row r="13029" s="2" customFormat="1" ht="13.5" customHeight="1">
      <c r="B13029" s="13"/>
      <c r="C13029" t="s" s="9">
        <v>16</v>
      </c>
      <c r="D13029" t="s" s="8">
        <v>4937</v>
      </c>
      <c r="E13029" t="s" s="9">
        <v>4937</v>
      </c>
      <c r="F13029" t="s" s="10">
        <v>229</v>
      </c>
      <c r="G13029" s="14"/>
      <c r="H13029" t="s" s="10">
        <v>229</v>
      </c>
      <c r="I13029" s="14"/>
      <c r="J13029" t="s" s="11">
        <v>20</v>
      </c>
      <c r="K13029" t="s" s="16">
        <f>HYPERLINK("http://csr.bu.edu/ftp/asl/asllvd/demos/verify_start_end_handshape_annotations//test_auto_move//signs_mov/4645.mov","MOV")</f>
        <v>21</v>
      </c>
      <c r="L13029" t="s" s="16">
        <f>HYPERLINK("http://csr.bu.edu/ftp/asl/asllvd/demos/verify_start_end_handshape_annotations//test_auto_move//signs_mov_separ_signers/Liz_4645.mov","MOV")</f>
        <v>21</v>
      </c>
      <c r="M13029" t="s" s="10">
        <v>77</v>
      </c>
      <c r="N13029" s="17">
        <v>13</v>
      </c>
      <c r="O13029" s="18">
        <v>266</v>
      </c>
      <c r="P13029" s="18">
        <v>315</v>
      </c>
      <c r="Q13029" t="s" s="16">
        <f>HYPERLINK("http://secrets.rutgers.edu:8080/data/asl-ftp/asllvd/demos/verify_start_end_handshape_annotations//test_auto_move//signs_mov/4645.mov","MOV")</f>
        <v>21</v>
      </c>
      <c r="R13029" t="s" s="16">
        <f>HYPERLINK("http://secrets.rutgers.edu:8080/data/asl-ftp/asllvd/demos/verify_start_end_handshape_annotations//test_auto_move//signs_mov_separ_signers/Liz_4645.mov","MOV")</f>
        <v>21</v>
      </c>
    </row>
    <row r="13030" s="2" customFormat="1" ht="13.5" customHeight="1">
      <c r="B13030" t="s" s="8">
        <v>4938</v>
      </c>
      <c r="C13030" t="s" s="9">
        <v>14</v>
      </c>
      <c r="D13030" t="s" s="8">
        <v>14</v>
      </c>
      <c r="E13030" t="s" s="9">
        <v>14</v>
      </c>
      <c r="F13030" t="s" s="10">
        <v>14</v>
      </c>
      <c r="G13030" t="s" s="11">
        <v>14</v>
      </c>
      <c r="H13030" t="s" s="10">
        <v>14</v>
      </c>
      <c r="I13030" t="s" s="11">
        <v>14</v>
      </c>
      <c r="J13030" t="s" s="11">
        <v>14</v>
      </c>
      <c r="K13030" t="s" s="12">
        <v>14</v>
      </c>
      <c r="L13030" t="s" s="12">
        <v>14</v>
      </c>
      <c r="M13030" t="s" s="10">
        <v>14</v>
      </c>
      <c r="N13030" t="s" s="11">
        <v>14</v>
      </c>
      <c r="O13030" t="s" s="8">
        <v>14</v>
      </c>
      <c r="P13030" t="s" s="8">
        <v>14</v>
      </c>
      <c r="Q13030" t="s" s="12">
        <v>14</v>
      </c>
      <c r="R13030" t="s" s="12">
        <v>14</v>
      </c>
    </row>
    <row r="13031" s="2" customFormat="1" ht="13.5" customHeight="1">
      <c r="B13031" s="13"/>
      <c r="C13031" t="s" s="9">
        <v>16</v>
      </c>
      <c r="D13031" t="s" s="8">
        <v>4938</v>
      </c>
      <c r="E13031" t="s" s="9">
        <v>4938</v>
      </c>
      <c r="F13031" s="19">
        <v>4</v>
      </c>
      <c r="G13031" s="14"/>
      <c r="H13031" s="19">
        <v>4</v>
      </c>
      <c r="I13031" s="14"/>
      <c r="J13031" t="s" s="11">
        <v>20</v>
      </c>
      <c r="K13031" t="s" s="16">
        <f>HYPERLINK("http://csr.bu.edu/ftp/asl/asllvd/demos/verify_start_end_handshape_annotations//test_auto_move//signs_mov/4646.mov","MOV")</f>
        <v>21</v>
      </c>
      <c r="L13031" t="s" s="16">
        <f>HYPERLINK("http://csr.bu.edu/ftp/asl/asllvd/demos/verify_start_end_handshape_annotations//test_auto_move//signs_mov_separ_signers/Liz_4646.mov","MOV")</f>
        <v>21</v>
      </c>
      <c r="M13031" t="s" s="10">
        <v>77</v>
      </c>
      <c r="N13031" s="17">
        <v>13</v>
      </c>
      <c r="O13031" s="18">
        <v>560</v>
      </c>
      <c r="P13031" s="18">
        <v>610</v>
      </c>
      <c r="Q13031" t="s" s="16">
        <f>HYPERLINK("http://secrets.rutgers.edu:8080/data/asl-ftp/asllvd/demos/verify_start_end_handshape_annotations//test_auto_move//signs_mov/4646.mov","MOV")</f>
        <v>21</v>
      </c>
      <c r="R13031" t="s" s="16">
        <f>HYPERLINK("http://secrets.rutgers.edu:8080/data/asl-ftp/asllvd/demos/verify_start_end_handshape_annotations//test_auto_move//signs_mov_separ_signers/Liz_4646.mov","MOV")</f>
        <v>21</v>
      </c>
    </row>
    <row r="13032" s="2" customFormat="1" ht="13.5" customHeight="1">
      <c r="B13032" t="s" s="8">
        <v>4939</v>
      </c>
      <c r="C13032" t="s" s="9">
        <v>14</v>
      </c>
      <c r="D13032" t="s" s="8">
        <v>14</v>
      </c>
      <c r="E13032" t="s" s="9">
        <v>14</v>
      </c>
      <c r="F13032" t="s" s="10">
        <v>14</v>
      </c>
      <c r="G13032" t="s" s="11">
        <v>14</v>
      </c>
      <c r="H13032" t="s" s="10">
        <v>14</v>
      </c>
      <c r="I13032" t="s" s="11">
        <v>14</v>
      </c>
      <c r="J13032" t="s" s="11">
        <v>14</v>
      </c>
      <c r="K13032" t="s" s="12">
        <v>14</v>
      </c>
      <c r="L13032" t="s" s="12">
        <v>14</v>
      </c>
      <c r="M13032" t="s" s="10">
        <v>14</v>
      </c>
      <c r="N13032" t="s" s="11">
        <v>14</v>
      </c>
      <c r="O13032" t="s" s="8">
        <v>14</v>
      </c>
      <c r="P13032" t="s" s="8">
        <v>14</v>
      </c>
      <c r="Q13032" t="s" s="12">
        <v>14</v>
      </c>
      <c r="R13032" t="s" s="12">
        <v>14</v>
      </c>
    </row>
    <row r="13033" s="2" customFormat="1" ht="13.5" customHeight="1">
      <c r="B13033" s="13"/>
      <c r="C13033" t="s" s="9">
        <v>16</v>
      </c>
      <c r="D13033" t="s" s="8">
        <v>4939</v>
      </c>
      <c r="E13033" t="s" s="9">
        <v>4939</v>
      </c>
      <c r="F13033" s="19">
        <v>3</v>
      </c>
      <c r="G13033" s="14"/>
      <c r="H13033" s="19">
        <v>3</v>
      </c>
      <c r="I13033" s="14"/>
      <c r="J13033" t="s" s="11">
        <v>20</v>
      </c>
      <c r="K13033" t="s" s="16">
        <f>HYPERLINK("http://csr.bu.edu/ftp/asl/asllvd/demos/verify_start_end_handshape_annotations//test_auto_move//signs_mov/4647.mov","MOV")</f>
        <v>21</v>
      </c>
      <c r="L13033" t="s" s="16">
        <f>HYPERLINK("http://csr.bu.edu/ftp/asl/asllvd/demos/verify_start_end_handshape_annotations//test_auto_move//signs_mov_separ_signers/Liz_4647.mov","MOV")</f>
        <v>21</v>
      </c>
      <c r="M13033" t="s" s="10">
        <v>77</v>
      </c>
      <c r="N13033" s="17">
        <v>13</v>
      </c>
      <c r="O13033" s="18">
        <v>406</v>
      </c>
      <c r="P13033" s="18">
        <v>450</v>
      </c>
      <c r="Q13033" t="s" s="16">
        <f>HYPERLINK("http://secrets.rutgers.edu:8080/data/asl-ftp/asllvd/demos/verify_start_end_handshape_annotations//test_auto_move//signs_mov/4647.mov","MOV")</f>
        <v>21</v>
      </c>
      <c r="R13033" t="s" s="16">
        <f>HYPERLINK("http://secrets.rutgers.edu:8080/data/asl-ftp/asllvd/demos/verify_start_end_handshape_annotations//test_auto_move//signs_mov_separ_signers/Liz_4647.mov","MOV")</f>
        <v>21</v>
      </c>
    </row>
    <row r="13034" s="2" customFormat="1" ht="13.5" customHeight="1">
      <c r="B13034" t="s" s="8">
        <v>52</v>
      </c>
      <c r="C13034" t="s" s="9">
        <v>53</v>
      </c>
      <c r="D13034" t="s" s="8">
        <v>53</v>
      </c>
      <c r="E13034" t="s" s="9">
        <v>53</v>
      </c>
      <c r="F13034" t="s" s="10">
        <v>53</v>
      </c>
      <c r="G13034" t="s" s="11">
        <v>53</v>
      </c>
      <c r="H13034" t="s" s="10">
        <v>53</v>
      </c>
      <c r="I13034" t="s" s="11">
        <v>53</v>
      </c>
      <c r="J13034" t="s" s="11">
        <v>53</v>
      </c>
      <c r="K13034" t="s" s="12">
        <v>53</v>
      </c>
      <c r="L13034" t="s" s="12">
        <v>53</v>
      </c>
      <c r="M13034" t="s" s="10">
        <v>53</v>
      </c>
      <c r="N13034" t="s" s="11">
        <v>53</v>
      </c>
      <c r="O13034" t="s" s="8">
        <v>53</v>
      </c>
      <c r="P13034" t="s" s="8">
        <v>53</v>
      </c>
      <c r="Q13034" t="s" s="12">
        <v>53</v>
      </c>
      <c r="R13034" t="s" s="12">
        <v>53</v>
      </c>
    </row>
    <row r="13035" s="2" customFormat="1" ht="13.5" customHeight="1">
      <c r="B13035" s="13"/>
      <c r="C13035" t="s" s="9">
        <v>30</v>
      </c>
      <c r="D13035" t="s" s="8">
        <v>4939</v>
      </c>
      <c r="E13035" t="s" s="9">
        <v>4940</v>
      </c>
      <c r="F13035" s="19">
        <v>3</v>
      </c>
      <c r="G13035" s="14"/>
      <c r="H13035" s="19">
        <v>3</v>
      </c>
      <c r="I13035" s="14"/>
      <c r="J13035" t="s" s="11">
        <v>20</v>
      </c>
      <c r="K13035" t="s" s="16">
        <f>HYPERLINK("http://csr.bu.edu/ftp/asl/asllvd/demos/verify_start_end_handshape_annotations//test_auto_move//signs_mov/16488.mov","MOV")</f>
        <v>21</v>
      </c>
      <c r="L13035" t="s" s="16">
        <f>HYPERLINK("http://csr.bu.edu/ftp/asl/asllvd/demos/verify_start_end_handshape_annotations//test_auto_move//signs_mov_separ_signers/Brady_16488.mov","MOV")</f>
        <v>21</v>
      </c>
      <c r="M13035" t="s" s="10">
        <v>31</v>
      </c>
      <c r="N13035" s="17">
        <v>5</v>
      </c>
      <c r="O13035" s="18">
        <v>8634</v>
      </c>
      <c r="P13035" s="18">
        <v>8656</v>
      </c>
      <c r="Q13035" t="s" s="16">
        <f>HYPERLINK("http://secrets.rutgers.edu:8080/data/asl-ftp/asllvd/demos/verify_start_end_handshape_annotations//test_auto_move//signs_mov/16488.mov","MOV")</f>
        <v>21</v>
      </c>
      <c r="R13035" t="s" s="16">
        <f>HYPERLINK("http://secrets.rutgers.edu:8080/data/asl-ftp/asllvd/demos/verify_start_end_handshape_annotations//test_auto_move//signs_mov_separ_signers/Brady_16488.mov","MOV")</f>
        <v>21</v>
      </c>
    </row>
    <row r="13036" s="2" customFormat="1" ht="13.5" customHeight="1">
      <c r="B13036" t="s" s="8">
        <v>4941</v>
      </c>
      <c r="C13036" t="s" s="9">
        <v>14</v>
      </c>
      <c r="D13036" t="s" s="8">
        <v>14</v>
      </c>
      <c r="E13036" t="s" s="9">
        <v>14</v>
      </c>
      <c r="F13036" t="s" s="10">
        <v>14</v>
      </c>
      <c r="G13036" t="s" s="11">
        <v>14</v>
      </c>
      <c r="H13036" t="s" s="10">
        <v>14</v>
      </c>
      <c r="I13036" t="s" s="11">
        <v>14</v>
      </c>
      <c r="J13036" t="s" s="11">
        <v>14</v>
      </c>
      <c r="K13036" t="s" s="12">
        <v>14</v>
      </c>
      <c r="L13036" t="s" s="12">
        <v>14</v>
      </c>
      <c r="M13036" t="s" s="10">
        <v>14</v>
      </c>
      <c r="N13036" t="s" s="11">
        <v>14</v>
      </c>
      <c r="O13036" t="s" s="8">
        <v>14</v>
      </c>
      <c r="P13036" t="s" s="8">
        <v>14</v>
      </c>
      <c r="Q13036" t="s" s="12">
        <v>14</v>
      </c>
      <c r="R13036" t="s" s="12">
        <v>14</v>
      </c>
    </row>
    <row r="13037" s="2" customFormat="1" ht="13.5" customHeight="1">
      <c r="B13037" s="13"/>
      <c r="C13037" t="s" s="9">
        <v>16</v>
      </c>
      <c r="D13037" t="s" s="8">
        <v>4941</v>
      </c>
      <c r="E13037" t="s" s="9">
        <v>4941</v>
      </c>
      <c r="F13037" t="s" s="10">
        <v>63</v>
      </c>
      <c r="G13037" s="14"/>
      <c r="H13037" s="19">
        <v>5</v>
      </c>
      <c r="I13037" s="14"/>
      <c r="J13037" t="s" s="11">
        <v>20</v>
      </c>
      <c r="K13037" s="15"/>
      <c r="L13037" t="s" s="16">
        <f>HYPERLINK("http://csr.bu.edu/ftp/asl/asllvd/demos/verify_start_end_handshape_annotations//test_auto_move//signs_mov_separ_signers/Liz_4663.mov","MOV")</f>
        <v>21</v>
      </c>
      <c r="M13037" t="s" s="10">
        <v>22</v>
      </c>
      <c r="N13037" s="17">
        <v>15</v>
      </c>
      <c r="O13037" s="18">
        <v>1493</v>
      </c>
      <c r="P13037" s="18">
        <v>1532</v>
      </c>
      <c r="Q13037" s="15"/>
      <c r="R13037" t="s" s="16">
        <f>HYPERLINK("http://secrets.rutgers.edu:8080/data/asl-ftp/asllvd/demos/verify_start_end_handshape_annotations//test_auto_move//signs_mov_separ_signers/Liz_4663.mov","MOV")</f>
        <v>21</v>
      </c>
    </row>
    <row r="13038" s="2" customFormat="1" ht="13.5" customHeight="1">
      <c r="B13038" s="13"/>
      <c r="C13038" t="s" s="9">
        <v>23</v>
      </c>
      <c r="D13038" t="s" s="8">
        <v>4941</v>
      </c>
      <c r="E13038" t="s" s="9">
        <v>4941</v>
      </c>
      <c r="F13038" t="s" s="10">
        <v>63</v>
      </c>
      <c r="G13038" s="14"/>
      <c r="H13038" s="19">
        <v>5</v>
      </c>
      <c r="I13038" s="14"/>
      <c r="J13038" t="s" s="11">
        <v>20</v>
      </c>
      <c r="K13038" t="s" s="16">
        <f>HYPERLINK("http://csr.bu.edu/ftp/asl/asllvd/demos/verify_start_end_handshape_annotations//test_auto_move//signs_mov/4663.mov","MOV")</f>
        <v>21</v>
      </c>
      <c r="L13038" t="s" s="16">
        <f>HYPERLINK("http://csr.bu.edu/ftp/asl/asllvd/demos/verify_start_end_handshape_annotations//test_auto_move//signs_mov_separ_signers/Tyler_4663.mov","MOV")</f>
        <v>21</v>
      </c>
      <c r="M13038" t="s" s="10">
        <v>26</v>
      </c>
      <c r="N13038" s="17">
        <v>12</v>
      </c>
      <c r="O13038" s="18">
        <v>725</v>
      </c>
      <c r="P13038" s="18">
        <v>750</v>
      </c>
      <c r="Q13038" t="s" s="16">
        <f>HYPERLINK("http://secrets.rutgers.edu:8080/data/asl-ftp/asllvd/demos/verify_start_end_handshape_annotations//test_auto_move//signs_mov/4663.mov","MOV")</f>
        <v>21</v>
      </c>
      <c r="R13038" t="s" s="16">
        <f>HYPERLINK("http://secrets.rutgers.edu:8080/data/asl-ftp/asllvd/demos/verify_start_end_handshape_annotations//test_auto_move//signs_mov_separ_signers/Tyler_4663.mov","MOV")</f>
        <v>21</v>
      </c>
    </row>
    <row r="13039" s="2" customFormat="1" ht="13.5" customHeight="1">
      <c r="B13039" s="13"/>
      <c r="C13039" t="s" s="9">
        <v>27</v>
      </c>
      <c r="D13039" t="s" s="8">
        <v>4941</v>
      </c>
      <c r="E13039" t="s" s="9">
        <v>4941</v>
      </c>
      <c r="F13039" t="s" s="10">
        <v>63</v>
      </c>
      <c r="G13039" s="14"/>
      <c r="H13039" t="s" s="10">
        <v>73</v>
      </c>
      <c r="I13039" s="14"/>
      <c r="J13039" t="s" s="11">
        <v>20</v>
      </c>
      <c r="K13039" s="15"/>
      <c r="L13039" t="s" s="16">
        <f>HYPERLINK("http://csr.bu.edu/ftp/asl/asllvd/demos/verify_start_end_handshape_annotations//test_auto_move//signs_mov_separ_signers/Naomi_4663.mov","MOV")</f>
        <v>21</v>
      </c>
      <c r="M13039" t="s" s="10">
        <v>29</v>
      </c>
      <c r="N13039" s="17">
        <v>12</v>
      </c>
      <c r="O13039" s="18">
        <v>430</v>
      </c>
      <c r="P13039" s="18">
        <v>455</v>
      </c>
      <c r="Q13039" s="15"/>
      <c r="R13039" t="s" s="16">
        <f>HYPERLINK("http://secrets.rutgers.edu:8080/data/asl-ftp/asllvd/demos/verify_start_end_handshape_annotations//test_auto_move//signs_mov_separ_signers/Naomi_4663.mov","MOV")</f>
        <v>21</v>
      </c>
    </row>
    <row r="13040" s="2" customFormat="1" ht="13.5" customHeight="1">
      <c r="B13040" s="13"/>
      <c r="C13040" t="s" s="9">
        <v>30</v>
      </c>
      <c r="D13040" t="s" s="8">
        <v>4941</v>
      </c>
      <c r="E13040" t="s" s="9">
        <v>4941</v>
      </c>
      <c r="F13040" t="s" s="10">
        <v>63</v>
      </c>
      <c r="G13040" s="14"/>
      <c r="H13040" s="19">
        <v>5</v>
      </c>
      <c r="I13040" s="14"/>
      <c r="J13040" t="s" s="11">
        <v>20</v>
      </c>
      <c r="K13040" s="15"/>
      <c r="L13040" t="s" s="16">
        <f>HYPERLINK("http://csr.bu.edu/ftp/asl/asllvd/demos/verify_start_end_handshape_annotations//test_auto_move//signs_mov_separ_signers/Brady_4663.mov","MOV")</f>
        <v>21</v>
      </c>
      <c r="M13040" t="s" s="10">
        <v>39</v>
      </c>
      <c r="N13040" s="17">
        <v>2</v>
      </c>
      <c r="O13040" s="18">
        <v>2435</v>
      </c>
      <c r="P13040" s="18">
        <v>2461</v>
      </c>
      <c r="Q13040" s="15"/>
      <c r="R13040" t="s" s="16">
        <f>HYPERLINK("http://secrets.rutgers.edu:8080/data/asl-ftp/asllvd/demos/verify_start_end_handshape_annotations//test_auto_move//signs_mov_separ_signers/Brady_4663.mov","MOV")</f>
        <v>21</v>
      </c>
    </row>
    <row r="13041" s="2" customFormat="1" ht="13.5" customHeight="1">
      <c r="B13041" t="s" s="8">
        <v>4942</v>
      </c>
      <c r="C13041" t="s" s="9">
        <v>14</v>
      </c>
      <c r="D13041" t="s" s="8">
        <v>14</v>
      </c>
      <c r="E13041" t="s" s="9">
        <v>14</v>
      </c>
      <c r="F13041" t="s" s="10">
        <v>14</v>
      </c>
      <c r="G13041" t="s" s="11">
        <v>14</v>
      </c>
      <c r="H13041" t="s" s="10">
        <v>14</v>
      </c>
      <c r="I13041" t="s" s="11">
        <v>14</v>
      </c>
      <c r="J13041" t="s" s="11">
        <v>14</v>
      </c>
      <c r="K13041" t="s" s="12">
        <v>14</v>
      </c>
      <c r="L13041" t="s" s="12">
        <v>14</v>
      </c>
      <c r="M13041" t="s" s="10">
        <v>14</v>
      </c>
      <c r="N13041" t="s" s="11">
        <v>14</v>
      </c>
      <c r="O13041" t="s" s="8">
        <v>14</v>
      </c>
      <c r="P13041" t="s" s="8">
        <v>14</v>
      </c>
      <c r="Q13041" t="s" s="12">
        <v>14</v>
      </c>
      <c r="R13041" t="s" s="12">
        <v>14</v>
      </c>
    </row>
    <row r="13042" s="2" customFormat="1" ht="13.5" customHeight="1">
      <c r="B13042" s="13"/>
      <c r="C13042" t="s" s="9">
        <v>16</v>
      </c>
      <c r="D13042" t="s" s="8">
        <v>4943</v>
      </c>
      <c r="E13042" t="s" s="9">
        <v>4943</v>
      </c>
      <c r="F13042" t="s" s="10">
        <v>63</v>
      </c>
      <c r="G13042" t="s" s="11">
        <v>63</v>
      </c>
      <c r="H13042" s="19">
        <v>5</v>
      </c>
      <c r="I13042" s="17">
        <v>5</v>
      </c>
      <c r="J13042" t="s" s="11">
        <v>20</v>
      </c>
      <c r="K13042" s="15"/>
      <c r="L13042" t="s" s="16">
        <f>HYPERLINK("http://csr.bu.edu/ftp/asl/asllvd/demos/verify_start_end_handshape_annotations//test_auto_move//signs_mov_separ_signers/Liz_15641.mov","MOV")</f>
        <v>21</v>
      </c>
      <c r="M13042" t="s" s="10">
        <v>84</v>
      </c>
      <c r="N13042" s="17">
        <v>35</v>
      </c>
      <c r="O13042" s="18">
        <v>259</v>
      </c>
      <c r="P13042" s="18">
        <v>305</v>
      </c>
      <c r="Q13042" s="15"/>
      <c r="R13042" t="s" s="16">
        <f>HYPERLINK("http://secrets.rutgers.edu:8080/data/asl-ftp/asllvd/demos/verify_start_end_handshape_annotations//test_auto_move//signs_mov_separ_signers/Liz_15641.mov","MOV")</f>
        <v>21</v>
      </c>
    </row>
    <row r="13043" s="2" customFormat="1" ht="13.5" customHeight="1">
      <c r="B13043" s="13"/>
      <c r="C13043" t="s" s="9">
        <v>23</v>
      </c>
      <c r="D13043" t="s" s="8">
        <v>4943</v>
      </c>
      <c r="E13043" t="s" s="9">
        <v>4943</v>
      </c>
      <c r="F13043" t="s" s="10">
        <v>63</v>
      </c>
      <c r="G13043" t="s" s="11">
        <v>63</v>
      </c>
      <c r="H13043" s="19">
        <v>5</v>
      </c>
      <c r="I13043" s="17">
        <v>5</v>
      </c>
      <c r="J13043" t="s" s="11">
        <v>20</v>
      </c>
      <c r="K13043" s="15"/>
      <c r="L13043" t="s" s="16">
        <f>HYPERLINK("http://csr.bu.edu/ftp/asl/asllvd/demos/verify_start_end_handshape_annotations//test_auto_move//signs_mov_separ_signers/Tyler_15641.mov","MOV")</f>
        <v>21</v>
      </c>
      <c r="M13043" t="s" s="10">
        <v>92</v>
      </c>
      <c r="N13043" s="17">
        <v>14</v>
      </c>
      <c r="O13043" s="18">
        <v>2622</v>
      </c>
      <c r="P13043" s="18">
        <v>2654</v>
      </c>
      <c r="Q13043" s="15"/>
      <c r="R13043" t="s" s="16">
        <f>HYPERLINK("http://secrets.rutgers.edu:8080/data/asl-ftp/asllvd/demos/verify_start_end_handshape_annotations//test_auto_move//signs_mov_separ_signers/Tyler_15641.mov","MOV")</f>
        <v>21</v>
      </c>
    </row>
    <row r="13044" s="2" customFormat="1" ht="13.5" customHeight="1">
      <c r="B13044" s="13"/>
      <c r="C13044" t="s" s="9">
        <v>27</v>
      </c>
      <c r="D13044" t="s" s="8">
        <v>4943</v>
      </c>
      <c r="E13044" t="s" s="9">
        <v>4943</v>
      </c>
      <c r="F13044" t="s" s="10">
        <v>63</v>
      </c>
      <c r="G13044" t="s" s="11">
        <v>63</v>
      </c>
      <c r="H13044" t="s" s="10">
        <v>73</v>
      </c>
      <c r="I13044" t="s" s="11">
        <v>73</v>
      </c>
      <c r="J13044" t="s" s="11">
        <v>20</v>
      </c>
      <c r="K13044" t="s" s="16">
        <f>HYPERLINK("http://csr.bu.edu/ftp/asl/asllvd/demos/verify_start_end_handshape_annotations//test_auto_move//signs_mov/15641_15678_merged.mov","MOV")</f>
        <v>21</v>
      </c>
      <c r="L13044" t="s" s="16">
        <f>HYPERLINK("http://csr.bu.edu/ftp/asl/asllvd/demos/verify_start_end_handshape_annotations//test_auto_move//signs_mov_separ_signers/Naomi_15641.mov","MOV")</f>
        <v>21</v>
      </c>
      <c r="M13044" t="s" s="10">
        <v>86</v>
      </c>
      <c r="N13044" s="17">
        <v>34</v>
      </c>
      <c r="O13044" s="18">
        <v>2364</v>
      </c>
      <c r="P13044" s="18">
        <v>2405</v>
      </c>
      <c r="Q13044" t="s" s="16">
        <f>HYPERLINK("http://secrets.rutgers.edu:8080/data/asl-ftp/asllvd/demos/verify_start_end_handshape_annotations//test_auto_move//signs_mov/15641_15678_merged.mov","MOV")</f>
        <v>21</v>
      </c>
      <c r="R13044" t="s" s="16">
        <f>HYPERLINK("http://secrets.rutgers.edu:8080/data/asl-ftp/asllvd/demos/verify_start_end_handshape_annotations//test_auto_move//signs_mov_separ_signers/Naomi_15641.mov","MOV")</f>
        <v>21</v>
      </c>
    </row>
    <row r="13045" s="2" customFormat="1" ht="13.5" customHeight="1">
      <c r="B13045" s="13"/>
      <c r="C13045" t="s" s="9">
        <v>30</v>
      </c>
      <c r="D13045" t="s" s="8">
        <v>4943</v>
      </c>
      <c r="E13045" t="s" s="9">
        <v>4943</v>
      </c>
      <c r="F13045" s="19">
        <v>10</v>
      </c>
      <c r="G13045" s="17">
        <v>10</v>
      </c>
      <c r="H13045" s="19">
        <v>5</v>
      </c>
      <c r="I13045" s="17">
        <v>5</v>
      </c>
      <c r="J13045" t="s" s="11">
        <v>20</v>
      </c>
      <c r="K13045" s="15"/>
      <c r="L13045" t="s" s="16">
        <f>HYPERLINK("http://csr.bu.edu/ftp/asl/asllvd/demos/verify_start_end_handshape_annotations//test_auto_move//signs_mov_separ_signers/Brady_15641.mov","MOV")</f>
        <v>21</v>
      </c>
      <c r="M13045" t="s" s="10">
        <v>39</v>
      </c>
      <c r="N13045" s="17">
        <v>14</v>
      </c>
      <c r="O13045" s="18">
        <v>469</v>
      </c>
      <c r="P13045" s="18">
        <v>497</v>
      </c>
      <c r="Q13045" s="15"/>
      <c r="R13045" t="s" s="16">
        <f>HYPERLINK("http://secrets.rutgers.edu:8080/data/asl-ftp/asllvd/demos/verify_start_end_handshape_annotations//test_auto_move//signs_mov_separ_signers/Brady_15641.mov","MOV")</f>
        <v>21</v>
      </c>
    </row>
    <row r="13046" s="2" customFormat="1" ht="13.5" customHeight="1">
      <c r="B13046" s="13"/>
      <c r="C13046" t="s" s="9">
        <v>30</v>
      </c>
      <c r="D13046" t="s" s="8">
        <v>4943</v>
      </c>
      <c r="E13046" t="s" s="9">
        <v>4943</v>
      </c>
      <c r="F13046" s="19">
        <v>10</v>
      </c>
      <c r="G13046" s="17">
        <v>10</v>
      </c>
      <c r="H13046" s="19">
        <v>5</v>
      </c>
      <c r="I13046" s="17">
        <v>5</v>
      </c>
      <c r="J13046" t="s" s="11">
        <v>20</v>
      </c>
      <c r="K13046" s="15"/>
      <c r="L13046" t="s" s="16">
        <f>HYPERLINK("http://csr.bu.edu/ftp/asl/asllvd/demos/verify_start_end_handshape_annotations//test_auto_move//signs_mov_separ_signers/Brady_15678.mov","MOV")</f>
        <v>21</v>
      </c>
      <c r="M13046" t="s" s="10">
        <v>60</v>
      </c>
      <c r="N13046" s="17">
        <v>42</v>
      </c>
      <c r="O13046" s="18">
        <v>1795</v>
      </c>
      <c r="P13046" s="18">
        <v>1827</v>
      </c>
      <c r="Q13046" s="15"/>
      <c r="R13046" t="s" s="16">
        <f>HYPERLINK("http://secrets.rutgers.edu:8080/data/asl-ftp/asllvd/demos/verify_start_end_handshape_annotations//test_auto_move//signs_mov_separ_signers/Brady_15678.mov","MOV")</f>
        <v>21</v>
      </c>
    </row>
    <row r="13047" s="2" customFormat="1" ht="13.5" customHeight="1">
      <c r="B13047" t="s" s="8">
        <v>4944</v>
      </c>
      <c r="C13047" t="s" s="9">
        <v>14</v>
      </c>
      <c r="D13047" t="s" s="8">
        <v>14</v>
      </c>
      <c r="E13047" t="s" s="9">
        <v>14</v>
      </c>
      <c r="F13047" t="s" s="10">
        <v>14</v>
      </c>
      <c r="G13047" t="s" s="11">
        <v>14</v>
      </c>
      <c r="H13047" t="s" s="10">
        <v>14</v>
      </c>
      <c r="I13047" t="s" s="11">
        <v>14</v>
      </c>
      <c r="J13047" t="s" s="11">
        <v>14</v>
      </c>
      <c r="K13047" t="s" s="12">
        <v>14</v>
      </c>
      <c r="L13047" t="s" s="12">
        <v>14</v>
      </c>
      <c r="M13047" t="s" s="10">
        <v>14</v>
      </c>
      <c r="N13047" t="s" s="11">
        <v>14</v>
      </c>
      <c r="O13047" t="s" s="8">
        <v>14</v>
      </c>
      <c r="P13047" t="s" s="8">
        <v>14</v>
      </c>
      <c r="Q13047" t="s" s="12">
        <v>14</v>
      </c>
      <c r="R13047" t="s" s="12">
        <v>14</v>
      </c>
    </row>
    <row r="13048" s="2" customFormat="1" ht="13.5" customHeight="1">
      <c r="B13048" s="13"/>
      <c r="C13048" t="s" s="9">
        <v>16</v>
      </c>
      <c r="D13048" t="s" s="8">
        <v>4945</v>
      </c>
      <c r="E13048" t="s" s="9">
        <v>4945</v>
      </c>
      <c r="F13048" s="19">
        <v>1</v>
      </c>
      <c r="G13048" s="14"/>
      <c r="H13048" t="s" s="10">
        <v>136</v>
      </c>
      <c r="I13048" s="14"/>
      <c r="J13048" t="s" s="11">
        <v>20</v>
      </c>
      <c r="K13048" t="s" s="16">
        <f>HYPERLINK("http://csr.bu.edu/ftp/asl/asllvd/demos/verify_start_end_handshape_annotations//test_auto_move//signs_mov/4668.mov","MOV")</f>
        <v>21</v>
      </c>
      <c r="L13048" t="s" s="16">
        <f>HYPERLINK("http://csr.bu.edu/ftp/asl/asllvd/demos/verify_start_end_handshape_annotations//test_auto_move//signs_mov_separ_signers/Liz_4668.mov","MOV")</f>
        <v>21</v>
      </c>
      <c r="M13048" t="s" s="10">
        <v>84</v>
      </c>
      <c r="N13048" s="17">
        <v>47</v>
      </c>
      <c r="O13048" s="18">
        <v>1925</v>
      </c>
      <c r="P13048" s="18">
        <v>1985</v>
      </c>
      <c r="Q13048" t="s" s="16">
        <f>HYPERLINK("http://secrets.rutgers.edu:8080/data/asl-ftp/asllvd/demos/verify_start_end_handshape_annotations//test_auto_move//signs_mov/4668.mov","MOV")</f>
        <v>21</v>
      </c>
      <c r="R13048" t="s" s="16">
        <f>HYPERLINK("http://secrets.rutgers.edu:8080/data/asl-ftp/asllvd/demos/verify_start_end_handshape_annotations//test_auto_move//signs_mov_separ_signers/Liz_4668.mov","MOV")</f>
        <v>21</v>
      </c>
    </row>
    <row r="13049" s="2" customFormat="1" ht="13.5" customHeight="1">
      <c r="B13049" t="s" s="8">
        <v>4946</v>
      </c>
      <c r="C13049" t="s" s="9">
        <v>14</v>
      </c>
      <c r="D13049" t="s" s="8">
        <v>14</v>
      </c>
      <c r="E13049" t="s" s="9">
        <v>14</v>
      </c>
      <c r="F13049" t="s" s="10">
        <v>14</v>
      </c>
      <c r="G13049" t="s" s="11">
        <v>14</v>
      </c>
      <c r="H13049" t="s" s="10">
        <v>14</v>
      </c>
      <c r="I13049" t="s" s="11">
        <v>14</v>
      </c>
      <c r="J13049" t="s" s="11">
        <v>14</v>
      </c>
      <c r="K13049" t="s" s="12">
        <v>14</v>
      </c>
      <c r="L13049" t="s" s="12">
        <v>14</v>
      </c>
      <c r="M13049" t="s" s="10">
        <v>14</v>
      </c>
      <c r="N13049" t="s" s="11">
        <v>14</v>
      </c>
      <c r="O13049" t="s" s="8">
        <v>14</v>
      </c>
      <c r="P13049" t="s" s="8">
        <v>14</v>
      </c>
      <c r="Q13049" t="s" s="12">
        <v>14</v>
      </c>
      <c r="R13049" t="s" s="12">
        <v>14</v>
      </c>
    </row>
    <row r="13050" s="2" customFormat="1" ht="13.5" customHeight="1">
      <c r="B13050" s="13"/>
      <c r="C13050" t="s" s="9">
        <v>16</v>
      </c>
      <c r="D13050" t="s" s="8">
        <v>4946</v>
      </c>
      <c r="E13050" t="s" s="9">
        <v>4947</v>
      </c>
      <c r="F13050" s="19">
        <v>10</v>
      </c>
      <c r="G13050" s="17">
        <v>10</v>
      </c>
      <c r="H13050" t="s" s="10">
        <v>72</v>
      </c>
      <c r="I13050" t="s" s="11">
        <v>72</v>
      </c>
      <c r="J13050" t="s" s="11">
        <v>20</v>
      </c>
      <c r="K13050" t="s" s="16">
        <f>HYPERLINK("http://csr.bu.edu/ftp/asl/asllvd/demos/verify_start_end_handshape_annotations//test_auto_move//signs_mov/4671.mov","MOV")</f>
        <v>21</v>
      </c>
      <c r="L13050" t="s" s="16">
        <f>HYPERLINK("http://csr.bu.edu/ftp/asl/asllvd/demos/verify_start_end_handshape_annotations//test_auto_move//signs_mov_separ_signers/Liz_4671.mov","MOV")</f>
        <v>21</v>
      </c>
      <c r="M13050" t="s" s="10">
        <v>59</v>
      </c>
      <c r="N13050" s="17">
        <v>43</v>
      </c>
      <c r="O13050" s="18">
        <v>1623</v>
      </c>
      <c r="P13050" s="18">
        <v>1657</v>
      </c>
      <c r="Q13050" t="s" s="16">
        <f>HYPERLINK("http://secrets.rutgers.edu:8080/data/asl-ftp/asllvd/demos/verify_start_end_handshape_annotations//test_auto_move//signs_mov/4671.mov","MOV")</f>
        <v>21</v>
      </c>
      <c r="R13050" t="s" s="16">
        <f>HYPERLINK("http://secrets.rutgers.edu:8080/data/asl-ftp/asllvd/demos/verify_start_end_handshape_annotations//test_auto_move//signs_mov_separ_signers/Liz_4671.mov","MOV")</f>
        <v>21</v>
      </c>
    </row>
    <row r="13051" s="2" customFormat="1" ht="13.5" customHeight="1">
      <c r="B13051" s="13"/>
      <c r="C13051" t="s" s="9">
        <v>30</v>
      </c>
      <c r="D13051" t="s" s="8">
        <v>4946</v>
      </c>
      <c r="E13051" t="s" s="9">
        <v>4947</v>
      </c>
      <c r="F13051" t="s" s="10">
        <v>63</v>
      </c>
      <c r="G13051" t="s" s="11">
        <v>63</v>
      </c>
      <c r="H13051" s="19">
        <v>5</v>
      </c>
      <c r="I13051" s="17">
        <v>5</v>
      </c>
      <c r="J13051" t="s" s="11">
        <v>20</v>
      </c>
      <c r="K13051" s="15"/>
      <c r="L13051" t="s" s="16">
        <f>HYPERLINK("http://csr.bu.edu/ftp/asl/asllvd/demos/verify_start_end_handshape_annotations//test_auto_move//signs_mov_separ_signers/Brady_4671.mov","MOV")</f>
        <v>21</v>
      </c>
      <c r="M13051" t="s" s="10">
        <v>60</v>
      </c>
      <c r="N13051" s="17">
        <v>32</v>
      </c>
      <c r="O13051" s="18">
        <v>125</v>
      </c>
      <c r="P13051" s="18">
        <v>148</v>
      </c>
      <c r="Q13051" s="15"/>
      <c r="R13051" t="s" s="16">
        <f>HYPERLINK("http://secrets.rutgers.edu:8080/data/asl-ftp/asllvd/demos/verify_start_end_handshape_annotations//test_auto_move//signs_mov_separ_signers/Brady_4671.mov","MOV")</f>
        <v>21</v>
      </c>
    </row>
    <row r="13052" s="2" customFormat="1" ht="13.5" customHeight="1">
      <c r="B13052" t="s" s="8">
        <v>52</v>
      </c>
      <c r="C13052" t="s" s="9">
        <v>53</v>
      </c>
      <c r="D13052" t="s" s="8">
        <v>53</v>
      </c>
      <c r="E13052" t="s" s="9">
        <v>53</v>
      </c>
      <c r="F13052" t="s" s="10">
        <v>53</v>
      </c>
      <c r="G13052" t="s" s="11">
        <v>53</v>
      </c>
      <c r="H13052" t="s" s="10">
        <v>53</v>
      </c>
      <c r="I13052" t="s" s="11">
        <v>53</v>
      </c>
      <c r="J13052" t="s" s="11">
        <v>53</v>
      </c>
      <c r="K13052" t="s" s="12">
        <v>53</v>
      </c>
      <c r="L13052" t="s" s="12">
        <v>53</v>
      </c>
      <c r="M13052" t="s" s="10">
        <v>53</v>
      </c>
      <c r="N13052" t="s" s="11">
        <v>53</v>
      </c>
      <c r="O13052" t="s" s="8">
        <v>53</v>
      </c>
      <c r="P13052" t="s" s="8">
        <v>53</v>
      </c>
      <c r="Q13052" t="s" s="12">
        <v>53</v>
      </c>
      <c r="R13052" t="s" s="12">
        <v>53</v>
      </c>
    </row>
    <row r="13053" s="2" customFormat="1" ht="13.5" customHeight="1">
      <c r="B13053" s="13"/>
      <c r="C13053" t="s" s="9">
        <v>16</v>
      </c>
      <c r="D13053" t="s" s="8">
        <v>4946</v>
      </c>
      <c r="E13053" t="s" s="9">
        <v>4946</v>
      </c>
      <c r="F13053" t="s" s="10">
        <v>63</v>
      </c>
      <c r="G13053" t="s" s="11">
        <v>63</v>
      </c>
      <c r="H13053" s="19">
        <v>5</v>
      </c>
      <c r="I13053" s="17">
        <v>5</v>
      </c>
      <c r="J13053" t="s" s="11">
        <v>20</v>
      </c>
      <c r="K13053" t="s" s="16">
        <f>HYPERLINK("http://csr.bu.edu/ftp/asl/asllvd/demos/verify_start_end_handshape_annotations//test_auto_move//signs_mov/15508.mov","MOV")</f>
        <v>21</v>
      </c>
      <c r="L13053" t="s" s="16">
        <f>HYPERLINK("http://csr.bu.edu/ftp/asl/asllvd/demos/verify_start_end_handshape_annotations//test_auto_move//signs_mov_separ_signers/Liz_15508.mov","MOV")</f>
        <v>21</v>
      </c>
      <c r="M13053" t="s" s="10">
        <v>59</v>
      </c>
      <c r="N13053" s="17">
        <v>44</v>
      </c>
      <c r="O13053" s="18">
        <v>326</v>
      </c>
      <c r="P13053" s="18">
        <v>354</v>
      </c>
      <c r="Q13053" t="s" s="16">
        <f>HYPERLINK("http://secrets.rutgers.edu:8080/data/asl-ftp/asllvd/demos/verify_start_end_handshape_annotations//test_auto_move//signs_mov/15508.mov","MOV")</f>
        <v>21</v>
      </c>
      <c r="R13053" t="s" s="16">
        <f>HYPERLINK("http://secrets.rutgers.edu:8080/data/asl-ftp/asllvd/demos/verify_start_end_handshape_annotations//test_auto_move//signs_mov_separ_signers/Liz_15508.mov","MOV")</f>
        <v>21</v>
      </c>
    </row>
    <row r="13054" s="2" customFormat="1" ht="13.5" customHeight="1">
      <c r="B13054" t="s" s="8">
        <v>4948</v>
      </c>
      <c r="C13054" t="s" s="9">
        <v>14</v>
      </c>
      <c r="D13054" t="s" s="8">
        <v>14</v>
      </c>
      <c r="E13054" t="s" s="9">
        <v>14</v>
      </c>
      <c r="F13054" t="s" s="10">
        <v>14</v>
      </c>
      <c r="G13054" t="s" s="11">
        <v>14</v>
      </c>
      <c r="H13054" t="s" s="10">
        <v>14</v>
      </c>
      <c r="I13054" t="s" s="11">
        <v>14</v>
      </c>
      <c r="J13054" t="s" s="11">
        <v>14</v>
      </c>
      <c r="K13054" t="s" s="12">
        <v>14</v>
      </c>
      <c r="L13054" t="s" s="12">
        <v>14</v>
      </c>
      <c r="M13054" t="s" s="10">
        <v>14</v>
      </c>
      <c r="N13054" t="s" s="11">
        <v>14</v>
      </c>
      <c r="O13054" t="s" s="8">
        <v>14</v>
      </c>
      <c r="P13054" t="s" s="8">
        <v>14</v>
      </c>
      <c r="Q13054" t="s" s="12">
        <v>14</v>
      </c>
      <c r="R13054" t="s" s="12">
        <v>14</v>
      </c>
    </row>
    <row r="13055" s="2" customFormat="1" ht="13.5" customHeight="1">
      <c r="B13055" s="13"/>
      <c r="C13055" t="s" s="9">
        <v>16</v>
      </c>
      <c r="D13055" t="s" s="8">
        <v>4948</v>
      </c>
      <c r="E13055" t="s" s="9">
        <v>4948</v>
      </c>
      <c r="F13055" s="19">
        <v>25</v>
      </c>
      <c r="G13055" s="14"/>
      <c r="H13055" t="s" s="10">
        <v>119</v>
      </c>
      <c r="I13055" t="s" s="11">
        <v>55</v>
      </c>
      <c r="J13055" t="s" s="11">
        <v>20</v>
      </c>
      <c r="K13055" t="s" s="16">
        <f>HYPERLINK("http://csr.bu.edu/ftp/asl/asllvd/demos/verify_start_end_handshape_annotations//test_auto_move//signs_mov/4678.mov","MOV")</f>
        <v>21</v>
      </c>
      <c r="L13055" t="s" s="16">
        <f>HYPERLINK("http://csr.bu.edu/ftp/asl/asllvd/demos/verify_start_end_handshape_annotations//test_auto_move//signs_mov_separ_signers/Liz_4678.mov","MOV")</f>
        <v>21</v>
      </c>
      <c r="M13055" t="s" s="10">
        <v>77</v>
      </c>
      <c r="N13055" s="17">
        <v>24</v>
      </c>
      <c r="O13055" s="18">
        <v>1667</v>
      </c>
      <c r="P13055" s="18">
        <v>1703</v>
      </c>
      <c r="Q13055" t="s" s="16">
        <f>HYPERLINK("http://secrets.rutgers.edu:8080/data/asl-ftp/asllvd/demos/verify_start_end_handshape_annotations//test_auto_move//signs_mov/4678.mov","MOV")</f>
        <v>21</v>
      </c>
      <c r="R13055" t="s" s="16">
        <f>HYPERLINK("http://secrets.rutgers.edu:8080/data/asl-ftp/asllvd/demos/verify_start_end_handshape_annotations//test_auto_move//signs_mov_separ_signers/Liz_4678.mov","MOV")</f>
        <v>21</v>
      </c>
    </row>
    <row r="13056" s="2" customFormat="1" ht="13.5" customHeight="1">
      <c r="B13056" s="13"/>
      <c r="C13056" t="s" s="9">
        <v>30</v>
      </c>
      <c r="D13056" t="s" s="8">
        <v>4948</v>
      </c>
      <c r="E13056" t="s" s="9">
        <v>4948</v>
      </c>
      <c r="F13056" s="19">
        <v>25</v>
      </c>
      <c r="G13056" t="s" s="11">
        <v>152</v>
      </c>
      <c r="H13056" t="s" s="10">
        <v>119</v>
      </c>
      <c r="I13056" t="s" s="11">
        <v>152</v>
      </c>
      <c r="J13056" t="s" s="11">
        <v>20</v>
      </c>
      <c r="K13056" s="15"/>
      <c r="L13056" t="s" s="16">
        <f>HYPERLINK("http://csr.bu.edu/ftp/asl/asllvd/demos/verify_start_end_handshape_annotations//test_auto_move//signs_mov_separ_signers/Brady_4678.mov","MOV")</f>
        <v>21</v>
      </c>
      <c r="M13056" t="s" s="10">
        <v>31</v>
      </c>
      <c r="N13056" s="17">
        <v>19</v>
      </c>
      <c r="O13056" s="18">
        <v>1562</v>
      </c>
      <c r="P13056" s="18">
        <v>1598</v>
      </c>
      <c r="Q13056" s="15"/>
      <c r="R13056" t="s" s="16">
        <f>HYPERLINK("http://secrets.rutgers.edu:8080/data/asl-ftp/asllvd/demos/verify_start_end_handshape_annotations//test_auto_move//signs_mov_separ_signers/Brady_4678.mov","MOV")</f>
        <v>21</v>
      </c>
    </row>
    <row r="13057" s="2" customFormat="1" ht="13.5" customHeight="1">
      <c r="B13057" t="s" s="8">
        <v>4949</v>
      </c>
      <c r="C13057" t="s" s="9">
        <v>14</v>
      </c>
      <c r="D13057" t="s" s="8">
        <v>14</v>
      </c>
      <c r="E13057" t="s" s="9">
        <v>14</v>
      </c>
      <c r="F13057" t="s" s="10">
        <v>14</v>
      </c>
      <c r="G13057" t="s" s="11">
        <v>14</v>
      </c>
      <c r="H13057" t="s" s="10">
        <v>14</v>
      </c>
      <c r="I13057" t="s" s="11">
        <v>14</v>
      </c>
      <c r="J13057" t="s" s="11">
        <v>14</v>
      </c>
      <c r="K13057" t="s" s="12">
        <v>14</v>
      </c>
      <c r="L13057" t="s" s="12">
        <v>14</v>
      </c>
      <c r="M13057" t="s" s="10">
        <v>14</v>
      </c>
      <c r="N13057" t="s" s="11">
        <v>14</v>
      </c>
      <c r="O13057" t="s" s="8">
        <v>14</v>
      </c>
      <c r="P13057" t="s" s="8">
        <v>14</v>
      </c>
      <c r="Q13057" t="s" s="12">
        <v>14</v>
      </c>
      <c r="R13057" t="s" s="12">
        <v>14</v>
      </c>
    </row>
    <row r="13058" s="2" customFormat="1" ht="13.5" customHeight="1">
      <c r="B13058" s="13"/>
      <c r="C13058" t="s" s="9">
        <v>16</v>
      </c>
      <c r="D13058" t="s" s="8">
        <v>4950</v>
      </c>
      <c r="E13058" t="s" s="9">
        <v>4950</v>
      </c>
      <c r="F13058" t="s" s="10">
        <v>255</v>
      </c>
      <c r="G13058" t="s" s="11">
        <v>105</v>
      </c>
      <c r="H13058" t="s" s="10">
        <v>51</v>
      </c>
      <c r="I13058" t="s" s="11">
        <v>105</v>
      </c>
      <c r="J13058" t="s" s="11">
        <v>20</v>
      </c>
      <c r="K13058" t="s" s="16">
        <f>HYPERLINK("http://csr.bu.edu/ftp/asl/asllvd/demos/verify_start_end_handshape_annotations//test_auto_move//signs_mov/4683.mov","MOV")</f>
        <v>21</v>
      </c>
      <c r="L13058" t="s" s="16">
        <f>HYPERLINK("http://csr.bu.edu/ftp/asl/asllvd/demos/verify_start_end_handshape_annotations//test_auto_move//signs_mov_separ_signers/Liz_4683.mov","MOV")</f>
        <v>21</v>
      </c>
      <c r="M13058" t="s" s="10">
        <v>22</v>
      </c>
      <c r="N13058" s="17">
        <v>20</v>
      </c>
      <c r="O13058" s="18">
        <v>1065</v>
      </c>
      <c r="P13058" s="18">
        <v>1125</v>
      </c>
      <c r="Q13058" t="s" s="16">
        <f>HYPERLINK("http://secrets.rutgers.edu:8080/data/asl-ftp/asllvd/demos/verify_start_end_handshape_annotations//test_auto_move//signs_mov/4683.mov","MOV")</f>
        <v>21</v>
      </c>
      <c r="R13058" t="s" s="16">
        <f>HYPERLINK("http://secrets.rutgers.edu:8080/data/asl-ftp/asllvd/demos/verify_start_end_handshape_annotations//test_auto_move//signs_mov_separ_signers/Liz_4683.mov","MOV")</f>
        <v>21</v>
      </c>
    </row>
    <row r="13059" s="2" customFormat="1" ht="13.5" customHeight="1">
      <c r="B13059" s="13"/>
      <c r="C13059" t="s" s="9">
        <v>30</v>
      </c>
      <c r="D13059" t="s" s="8">
        <v>4950</v>
      </c>
      <c r="E13059" t="s" s="9">
        <v>4951</v>
      </c>
      <c r="F13059" t="s" s="10">
        <v>255</v>
      </c>
      <c r="G13059" t="s" s="11">
        <v>105</v>
      </c>
      <c r="H13059" t="s" s="10">
        <v>51</v>
      </c>
      <c r="I13059" t="s" s="11">
        <v>105</v>
      </c>
      <c r="J13059" t="s" s="11">
        <v>20</v>
      </c>
      <c r="K13059" s="15"/>
      <c r="L13059" t="s" s="16">
        <f>HYPERLINK("http://csr.bu.edu/ftp/asl/asllvd/demos/verify_start_end_handshape_annotations//test_auto_move//signs_mov_separ_signers/Brady_4683.mov","MOV")</f>
        <v>21</v>
      </c>
      <c r="M13059" t="s" s="10">
        <v>31</v>
      </c>
      <c r="N13059" s="17">
        <v>12</v>
      </c>
      <c r="O13059" s="18">
        <v>10852</v>
      </c>
      <c r="P13059" s="18">
        <v>10901</v>
      </c>
      <c r="Q13059" s="15"/>
      <c r="R13059" t="s" s="16">
        <f>HYPERLINK("http://secrets.rutgers.edu:8080/data/asl-ftp/asllvd/demos/verify_start_end_handshape_annotations//test_auto_move//signs_mov_separ_signers/Brady_4683.mov","MOV")</f>
        <v>21</v>
      </c>
    </row>
    <row r="13060" s="2" customFormat="1" ht="13.5" customHeight="1">
      <c r="B13060" t="s" s="8">
        <v>4952</v>
      </c>
      <c r="C13060" t="s" s="9">
        <v>14</v>
      </c>
      <c r="D13060" t="s" s="8">
        <v>14</v>
      </c>
      <c r="E13060" t="s" s="9">
        <v>14</v>
      </c>
      <c r="F13060" t="s" s="10">
        <v>14</v>
      </c>
      <c r="G13060" t="s" s="11">
        <v>14</v>
      </c>
      <c r="H13060" t="s" s="10">
        <v>14</v>
      </c>
      <c r="I13060" t="s" s="11">
        <v>14</v>
      </c>
      <c r="J13060" t="s" s="11">
        <v>14</v>
      </c>
      <c r="K13060" t="s" s="12">
        <v>14</v>
      </c>
      <c r="L13060" t="s" s="12">
        <v>14</v>
      </c>
      <c r="M13060" t="s" s="10">
        <v>14</v>
      </c>
      <c r="N13060" t="s" s="11">
        <v>14</v>
      </c>
      <c r="O13060" t="s" s="8">
        <v>14</v>
      </c>
      <c r="P13060" t="s" s="8">
        <v>14</v>
      </c>
      <c r="Q13060" t="s" s="12">
        <v>14</v>
      </c>
      <c r="R13060" t="s" s="12">
        <v>14</v>
      </c>
    </row>
    <row r="13061" s="2" customFormat="1" ht="13.5" customHeight="1">
      <c r="B13061" s="13"/>
      <c r="C13061" t="s" s="9">
        <v>16</v>
      </c>
      <c r="D13061" t="s" s="8">
        <v>4952</v>
      </c>
      <c r="E13061" t="s" s="9">
        <v>4952</v>
      </c>
      <c r="F13061" t="s" s="10">
        <v>282</v>
      </c>
      <c r="G13061" t="s" s="11">
        <v>282</v>
      </c>
      <c r="H13061" s="19">
        <v>5</v>
      </c>
      <c r="I13061" s="17">
        <v>5</v>
      </c>
      <c r="J13061" t="s" s="11">
        <v>20</v>
      </c>
      <c r="K13061" t="s" s="16">
        <f>HYPERLINK("http://csr.bu.edu/ftp/asl/asllvd/demos/verify_start_end_handshape_annotations//test_auto_move//signs_mov/4713.mov","MOV")</f>
        <v>21</v>
      </c>
      <c r="L13061" t="s" s="16">
        <f>HYPERLINK("http://csr.bu.edu/ftp/asl/asllvd/demos/verify_start_end_handshape_annotations//test_auto_move//signs_mov_separ_signers/Liz_4713.mov","MOV")</f>
        <v>21</v>
      </c>
      <c r="M13061" t="s" s="10">
        <v>59</v>
      </c>
      <c r="N13061" s="17">
        <v>45</v>
      </c>
      <c r="O13061" s="18">
        <v>1386</v>
      </c>
      <c r="P13061" s="18">
        <v>1413</v>
      </c>
      <c r="Q13061" t="s" s="16">
        <f>HYPERLINK("http://secrets.rutgers.edu:8080/data/asl-ftp/asllvd/demos/verify_start_end_handshape_annotations//test_auto_move//signs_mov/4713.mov","MOV")</f>
        <v>21</v>
      </c>
      <c r="R13061" t="s" s="16">
        <f>HYPERLINK("http://secrets.rutgers.edu:8080/data/asl-ftp/asllvd/demos/verify_start_end_handshape_annotations//test_auto_move//signs_mov_separ_signers/Liz_4713.mov","MOV")</f>
        <v>21</v>
      </c>
    </row>
    <row r="13062" s="2" customFormat="1" ht="13.5" customHeight="1">
      <c r="B13062" s="13"/>
      <c r="C13062" t="s" s="9">
        <v>30</v>
      </c>
      <c r="D13062" t="s" s="8">
        <v>4952</v>
      </c>
      <c r="E13062" t="s" s="9">
        <v>4952</v>
      </c>
      <c r="F13062" t="s" s="10">
        <v>282</v>
      </c>
      <c r="G13062" t="s" s="11">
        <v>282</v>
      </c>
      <c r="H13062" s="19">
        <v>5</v>
      </c>
      <c r="I13062" s="17">
        <v>5</v>
      </c>
      <c r="J13062" t="s" s="11">
        <v>20</v>
      </c>
      <c r="K13062" s="15"/>
      <c r="L13062" t="s" s="16">
        <f>HYPERLINK("http://csr.bu.edu/ftp/asl/asllvd/demos/verify_start_end_handshape_annotations//test_auto_move//signs_mov_separ_signers/Brady_4713.mov","MOV")</f>
        <v>21</v>
      </c>
      <c r="M13062" t="s" s="10">
        <v>60</v>
      </c>
      <c r="N13062" s="17">
        <v>33</v>
      </c>
      <c r="O13062" s="18">
        <v>2050</v>
      </c>
      <c r="P13062" s="18">
        <v>2081</v>
      </c>
      <c r="Q13062" s="15"/>
      <c r="R13062" t="s" s="16">
        <f>HYPERLINK("http://secrets.rutgers.edu:8080/data/asl-ftp/asllvd/demos/verify_start_end_handshape_annotations//test_auto_move//signs_mov_separ_signers/Brady_4713.mov","MOV")</f>
        <v>21</v>
      </c>
    </row>
    <row r="13063" s="2" customFormat="1" ht="13.5" customHeight="1">
      <c r="B13063" t="s" s="8">
        <v>4953</v>
      </c>
      <c r="C13063" t="s" s="9">
        <v>14</v>
      </c>
      <c r="D13063" t="s" s="8">
        <v>14</v>
      </c>
      <c r="E13063" t="s" s="9">
        <v>14</v>
      </c>
      <c r="F13063" t="s" s="10">
        <v>14</v>
      </c>
      <c r="G13063" t="s" s="11">
        <v>14</v>
      </c>
      <c r="H13063" t="s" s="10">
        <v>14</v>
      </c>
      <c r="I13063" t="s" s="11">
        <v>14</v>
      </c>
      <c r="J13063" t="s" s="11">
        <v>14</v>
      </c>
      <c r="K13063" t="s" s="12">
        <v>14</v>
      </c>
      <c r="L13063" t="s" s="12">
        <v>14</v>
      </c>
      <c r="M13063" t="s" s="10">
        <v>14</v>
      </c>
      <c r="N13063" t="s" s="11">
        <v>14</v>
      </c>
      <c r="O13063" t="s" s="8">
        <v>14</v>
      </c>
      <c r="P13063" t="s" s="8">
        <v>14</v>
      </c>
      <c r="Q13063" t="s" s="12">
        <v>14</v>
      </c>
      <c r="R13063" t="s" s="12">
        <v>14</v>
      </c>
    </row>
    <row r="13064" s="2" customFormat="1" ht="13.5" customHeight="1">
      <c r="B13064" s="13"/>
      <c r="C13064" t="s" s="9">
        <v>30</v>
      </c>
      <c r="D13064" t="s" s="8">
        <v>4953</v>
      </c>
      <c r="E13064" t="s" s="9">
        <v>4953</v>
      </c>
      <c r="F13064" t="s" s="10">
        <v>287</v>
      </c>
      <c r="G13064" s="17">
        <v>1</v>
      </c>
      <c r="H13064" t="s" s="10">
        <v>73</v>
      </c>
      <c r="I13064" s="17">
        <v>1</v>
      </c>
      <c r="J13064" t="s" s="11">
        <v>20</v>
      </c>
      <c r="K13064" t="s" s="16">
        <f>HYPERLINK("http://csr.bu.edu/ftp/asl/asllvd/demos/verify_start_end_handshape_annotations//test_auto_move//signs_mov/4746.mov","MOV")</f>
        <v>21</v>
      </c>
      <c r="L13064" t="s" s="16">
        <f>HYPERLINK("http://csr.bu.edu/ftp/asl/asllvd/demos/verify_start_end_handshape_annotations//test_auto_move//signs_mov_separ_signers/Brady_4746.mov","MOV")</f>
        <v>21</v>
      </c>
      <c r="M13064" t="s" s="10">
        <v>39</v>
      </c>
      <c r="N13064" s="17">
        <v>42</v>
      </c>
      <c r="O13064" s="18">
        <v>10709</v>
      </c>
      <c r="P13064" s="18">
        <v>10751</v>
      </c>
      <c r="Q13064" t="s" s="16">
        <f>HYPERLINK("http://secrets.rutgers.edu:8080/data/asl-ftp/asllvd/demos/verify_start_end_handshape_annotations//test_auto_move//signs_mov/4746.mov","MOV")</f>
        <v>21</v>
      </c>
      <c r="R13064" t="s" s="16">
        <f>HYPERLINK("http://secrets.rutgers.edu:8080/data/asl-ftp/asllvd/demos/verify_start_end_handshape_annotations//test_auto_move//signs_mov_separ_signers/Brady_4746.mov","MOV")</f>
        <v>21</v>
      </c>
    </row>
    <row r="13065" s="2" customFormat="1" ht="13.5" customHeight="1">
      <c r="B13065" t="s" s="8">
        <v>4954</v>
      </c>
      <c r="C13065" t="s" s="9">
        <v>14</v>
      </c>
      <c r="D13065" t="s" s="8">
        <v>14</v>
      </c>
      <c r="E13065" t="s" s="9">
        <v>14</v>
      </c>
      <c r="F13065" t="s" s="10">
        <v>14</v>
      </c>
      <c r="G13065" t="s" s="11">
        <v>14</v>
      </c>
      <c r="H13065" t="s" s="10">
        <v>14</v>
      </c>
      <c r="I13065" t="s" s="11">
        <v>14</v>
      </c>
      <c r="J13065" t="s" s="11">
        <v>14</v>
      </c>
      <c r="K13065" t="s" s="12">
        <v>14</v>
      </c>
      <c r="L13065" t="s" s="12">
        <v>14</v>
      </c>
      <c r="M13065" t="s" s="10">
        <v>14</v>
      </c>
      <c r="N13065" t="s" s="11">
        <v>14</v>
      </c>
      <c r="O13065" t="s" s="8">
        <v>14</v>
      </c>
      <c r="P13065" t="s" s="8">
        <v>14</v>
      </c>
      <c r="Q13065" t="s" s="12">
        <v>14</v>
      </c>
      <c r="R13065" t="s" s="12">
        <v>14</v>
      </c>
    </row>
    <row r="13066" s="2" customFormat="1" ht="13.5" customHeight="1">
      <c r="B13066" s="13"/>
      <c r="C13066" t="s" s="9">
        <v>16</v>
      </c>
      <c r="D13066" t="s" s="8">
        <v>4955</v>
      </c>
      <c r="E13066" t="s" s="9">
        <v>4955</v>
      </c>
      <c r="F13066" t="s" s="10">
        <v>73</v>
      </c>
      <c r="G13066" s="14"/>
      <c r="H13066" s="19">
        <v>10</v>
      </c>
      <c r="I13066" s="14"/>
      <c r="J13066" t="s" s="11">
        <v>20</v>
      </c>
      <c r="K13066" t="s" s="16">
        <f>HYPERLINK("http://csr.bu.edu/ftp/asl/asllvd/demos/verify_start_end_handshape_annotations//test_auto_move//signs_mov/4770.mov","MOV")</f>
        <v>21</v>
      </c>
      <c r="L13066" t="s" s="16">
        <f>HYPERLINK("http://csr.bu.edu/ftp/asl/asllvd/demos/verify_start_end_handshape_annotations//test_auto_move//signs_mov_separ_signers/Liz_4770.mov","MOV")</f>
        <v>21</v>
      </c>
      <c r="M13066" t="s" s="10">
        <v>88</v>
      </c>
      <c r="N13066" s="17">
        <v>46</v>
      </c>
      <c r="O13066" s="18">
        <v>2685</v>
      </c>
      <c r="P13066" s="18">
        <v>2725</v>
      </c>
      <c r="Q13066" t="s" s="16">
        <f>HYPERLINK("http://secrets.rutgers.edu:8080/data/asl-ftp/asllvd/demos/verify_start_end_handshape_annotations//test_auto_move//signs_mov/4770.mov","MOV")</f>
        <v>21</v>
      </c>
      <c r="R13066" t="s" s="16">
        <f>HYPERLINK("http://secrets.rutgers.edu:8080/data/asl-ftp/asllvd/demos/verify_start_end_handshape_annotations//test_auto_move//signs_mov_separ_signers/Liz_4770.mov","MOV")</f>
        <v>21</v>
      </c>
    </row>
    <row r="13067" s="2" customFormat="1" ht="13.5" customHeight="1">
      <c r="B13067" t="s" s="8">
        <v>4956</v>
      </c>
      <c r="C13067" t="s" s="9">
        <v>14</v>
      </c>
      <c r="D13067" t="s" s="8">
        <v>14</v>
      </c>
      <c r="E13067" t="s" s="9">
        <v>14</v>
      </c>
      <c r="F13067" t="s" s="10">
        <v>14</v>
      </c>
      <c r="G13067" t="s" s="11">
        <v>14</v>
      </c>
      <c r="H13067" t="s" s="10">
        <v>14</v>
      </c>
      <c r="I13067" t="s" s="11">
        <v>14</v>
      </c>
      <c r="J13067" t="s" s="11">
        <v>14</v>
      </c>
      <c r="K13067" t="s" s="12">
        <v>14</v>
      </c>
      <c r="L13067" t="s" s="12">
        <v>14</v>
      </c>
      <c r="M13067" t="s" s="10">
        <v>14</v>
      </c>
      <c r="N13067" t="s" s="11">
        <v>14</v>
      </c>
      <c r="O13067" t="s" s="8">
        <v>14</v>
      </c>
      <c r="P13067" t="s" s="8">
        <v>14</v>
      </c>
      <c r="Q13067" t="s" s="12">
        <v>14</v>
      </c>
      <c r="R13067" t="s" s="12">
        <v>14</v>
      </c>
    </row>
    <row r="13068" s="2" customFormat="1" ht="13.5" customHeight="1">
      <c r="B13068" s="13"/>
      <c r="C13068" t="s" s="9">
        <v>30</v>
      </c>
      <c r="D13068" t="s" s="8">
        <v>4956</v>
      </c>
      <c r="E13068" t="s" s="9">
        <v>4956</v>
      </c>
      <c r="F13068" s="19">
        <v>8</v>
      </c>
      <c r="G13068" s="14"/>
      <c r="H13068" s="19">
        <v>8</v>
      </c>
      <c r="I13068" s="14"/>
      <c r="J13068" t="s" s="11">
        <v>20</v>
      </c>
      <c r="K13068" s="15"/>
      <c r="L13068" t="s" s="16">
        <f>HYPERLINK("http://csr.bu.edu/ftp/asl/asllvd/demos/verify_start_end_handshape_annotations//test_auto_move//signs_mov_separ_signers/Brady_6162.mov","MOV")</f>
        <v>21</v>
      </c>
      <c r="M13068" t="s" s="10">
        <v>31</v>
      </c>
      <c r="N13068" s="17">
        <v>6</v>
      </c>
      <c r="O13068" s="18">
        <v>3862</v>
      </c>
      <c r="P13068" s="18">
        <v>3880</v>
      </c>
      <c r="Q13068" s="15"/>
      <c r="R13068" t="s" s="16">
        <f>HYPERLINK("http://secrets.rutgers.edu:8080/data/asl-ftp/asllvd/demos/verify_start_end_handshape_annotations//test_auto_move//signs_mov_separ_signers/Brady_6162.mov","MOV")</f>
        <v>21</v>
      </c>
    </row>
    <row r="13069" s="2" customFormat="1" ht="13.5" customHeight="1">
      <c r="B13069" s="13"/>
      <c r="C13069" t="s" s="9">
        <v>30</v>
      </c>
      <c r="D13069" t="s" s="8">
        <v>4956</v>
      </c>
      <c r="E13069" t="s" s="9">
        <v>4957</v>
      </c>
      <c r="F13069" s="19">
        <v>8</v>
      </c>
      <c r="G13069" s="14"/>
      <c r="H13069" s="19">
        <v>8</v>
      </c>
      <c r="I13069" s="14"/>
      <c r="J13069" t="s" s="11">
        <v>20</v>
      </c>
      <c r="K13069" t="s" s="16">
        <f>HYPERLINK("http://csr.bu.edu/ftp/asl/asllvd/demos/verify_start_end_handshape_annotations//test_auto_move//signs_mov/3863_5051_6162_merged.mov","MOV")</f>
        <v>21</v>
      </c>
      <c r="L13069" t="s" s="16">
        <f>HYPERLINK("http://csr.bu.edu/ftp/asl/asllvd/demos/verify_start_end_handshape_annotations//test_auto_move//signs_mov_separ_signers/Brady_3863.mov","MOV")</f>
        <v>21</v>
      </c>
      <c r="M13069" t="s" s="10">
        <v>31</v>
      </c>
      <c r="N13069" s="17">
        <v>6</v>
      </c>
      <c r="O13069" s="18">
        <v>4876</v>
      </c>
      <c r="P13069" s="18">
        <v>4891</v>
      </c>
      <c r="Q13069" t="s" s="16">
        <f>HYPERLINK("http://secrets.rutgers.edu:8080/data/asl-ftp/asllvd/demos/verify_start_end_handshape_annotations//test_auto_move//signs_mov/3863_5051_6162_merged.mov","MOV")</f>
        <v>21</v>
      </c>
      <c r="R13069" t="s" s="16">
        <f>HYPERLINK("http://secrets.rutgers.edu:8080/data/asl-ftp/asllvd/demos/verify_start_end_handshape_annotations//test_auto_move//signs_mov_separ_signers/Brady_3863.mov","MOV")</f>
        <v>21</v>
      </c>
    </row>
    <row r="13070" s="2" customFormat="1" ht="13.5" customHeight="1">
      <c r="B13070" s="13"/>
      <c r="C13070" t="s" s="9">
        <v>30</v>
      </c>
      <c r="D13070" t="s" s="8">
        <v>4956</v>
      </c>
      <c r="E13070" t="s" s="9">
        <v>4956</v>
      </c>
      <c r="F13070" s="19">
        <v>8</v>
      </c>
      <c r="G13070" s="14"/>
      <c r="H13070" s="19">
        <v>8</v>
      </c>
      <c r="I13070" s="14"/>
      <c r="J13070" t="s" s="11">
        <v>20</v>
      </c>
      <c r="K13070" s="15"/>
      <c r="L13070" t="s" s="16">
        <f>HYPERLINK("http://csr.bu.edu/ftp/asl/asllvd/demos/verify_start_end_handshape_annotations//test_auto_move//signs_mov_separ_signers/Brady_5051.mov","MOV")</f>
        <v>21</v>
      </c>
      <c r="M13070" t="s" s="10">
        <v>31</v>
      </c>
      <c r="N13070" s="17">
        <v>6</v>
      </c>
      <c r="O13070" s="18">
        <v>5265</v>
      </c>
      <c r="P13070" s="18">
        <v>5294</v>
      </c>
      <c r="Q13070" s="15"/>
      <c r="R13070" t="s" s="16">
        <f>HYPERLINK("http://secrets.rutgers.edu:8080/data/asl-ftp/asllvd/demos/verify_start_end_handshape_annotations//test_auto_move//signs_mov_separ_signers/Brady_5051.mov","MOV")</f>
        <v>21</v>
      </c>
    </row>
    <row r="13071" s="2" customFormat="1" ht="13.5" customHeight="1">
      <c r="B13071" t="s" s="8">
        <v>4958</v>
      </c>
      <c r="C13071" t="s" s="9">
        <v>14</v>
      </c>
      <c r="D13071" t="s" s="8">
        <v>14</v>
      </c>
      <c r="E13071" t="s" s="9">
        <v>14</v>
      </c>
      <c r="F13071" t="s" s="10">
        <v>14</v>
      </c>
      <c r="G13071" t="s" s="11">
        <v>14</v>
      </c>
      <c r="H13071" t="s" s="10">
        <v>14</v>
      </c>
      <c r="I13071" t="s" s="11">
        <v>14</v>
      </c>
      <c r="J13071" t="s" s="11">
        <v>14</v>
      </c>
      <c r="K13071" t="s" s="12">
        <v>14</v>
      </c>
      <c r="L13071" t="s" s="12">
        <v>14</v>
      </c>
      <c r="M13071" t="s" s="10">
        <v>14</v>
      </c>
      <c r="N13071" t="s" s="11">
        <v>14</v>
      </c>
      <c r="O13071" t="s" s="8">
        <v>14</v>
      </c>
      <c r="P13071" t="s" s="8">
        <v>14</v>
      </c>
      <c r="Q13071" t="s" s="12">
        <v>14</v>
      </c>
      <c r="R13071" t="s" s="12">
        <v>14</v>
      </c>
    </row>
    <row r="13072" s="2" customFormat="1" ht="13.5" customHeight="1">
      <c r="B13072" s="13"/>
      <c r="C13072" t="s" s="9">
        <v>16</v>
      </c>
      <c r="D13072" t="s" s="8">
        <v>4958</v>
      </c>
      <c r="E13072" t="s" s="9">
        <v>4958</v>
      </c>
      <c r="F13072" s="19">
        <v>8</v>
      </c>
      <c r="G13072" s="14"/>
      <c r="H13072" s="19">
        <v>8</v>
      </c>
      <c r="I13072" s="14"/>
      <c r="J13072" t="s" s="11">
        <v>20</v>
      </c>
      <c r="K13072" t="s" s="16">
        <f>HYPERLINK("http://csr.bu.edu/ftp/asl/asllvd/demos/verify_start_end_handshape_annotations//test_auto_move//signs_mov/5292.mov","MOV")</f>
        <v>21</v>
      </c>
      <c r="L13072" t="s" s="16">
        <f>HYPERLINK("http://csr.bu.edu/ftp/asl/asllvd/demos/verify_start_end_handshape_annotations//test_auto_move//signs_mov_separ_signers/Liz_5292.mov","MOV")</f>
        <v>21</v>
      </c>
      <c r="M13072" t="s" s="10">
        <v>77</v>
      </c>
      <c r="N13072" s="17">
        <v>15</v>
      </c>
      <c r="O13072" s="18">
        <v>1215</v>
      </c>
      <c r="P13072" s="18">
        <v>1255</v>
      </c>
      <c r="Q13072" t="s" s="16">
        <f>HYPERLINK("http://secrets.rutgers.edu:8080/data/asl-ftp/asllvd/demos/verify_start_end_handshape_annotations//test_auto_move//signs_mov/5292.mov","MOV")</f>
        <v>21</v>
      </c>
      <c r="R13072" t="s" s="16">
        <f>HYPERLINK("http://secrets.rutgers.edu:8080/data/asl-ftp/asllvd/demos/verify_start_end_handshape_annotations//test_auto_move//signs_mov_separ_signers/Liz_5292.mov","MOV")</f>
        <v>21</v>
      </c>
    </row>
    <row r="13073" s="2" customFormat="1" ht="13.5" customHeight="1">
      <c r="B13073" t="s" s="8">
        <v>4959</v>
      </c>
      <c r="C13073" t="s" s="9">
        <v>14</v>
      </c>
      <c r="D13073" t="s" s="8">
        <v>14</v>
      </c>
      <c r="E13073" t="s" s="9">
        <v>14</v>
      </c>
      <c r="F13073" t="s" s="10">
        <v>14</v>
      </c>
      <c r="G13073" t="s" s="11">
        <v>14</v>
      </c>
      <c r="H13073" t="s" s="10">
        <v>14</v>
      </c>
      <c r="I13073" t="s" s="11">
        <v>14</v>
      </c>
      <c r="J13073" t="s" s="11">
        <v>14</v>
      </c>
      <c r="K13073" t="s" s="12">
        <v>14</v>
      </c>
      <c r="L13073" t="s" s="12">
        <v>14</v>
      </c>
      <c r="M13073" t="s" s="10">
        <v>14</v>
      </c>
      <c r="N13073" t="s" s="11">
        <v>14</v>
      </c>
      <c r="O13073" t="s" s="8">
        <v>14</v>
      </c>
      <c r="P13073" t="s" s="8">
        <v>14</v>
      </c>
      <c r="Q13073" t="s" s="12">
        <v>14</v>
      </c>
      <c r="R13073" t="s" s="12">
        <v>14</v>
      </c>
    </row>
    <row r="13074" s="2" customFormat="1" ht="13.5" customHeight="1">
      <c r="B13074" s="13"/>
      <c r="C13074" t="s" s="9">
        <v>16</v>
      </c>
      <c r="D13074" t="s" s="8">
        <v>4959</v>
      </c>
      <c r="E13074" t="s" s="9">
        <v>4959</v>
      </c>
      <c r="F13074" t="s" s="10">
        <v>282</v>
      </c>
      <c r="G13074" s="14"/>
      <c r="H13074" t="s" s="10">
        <v>282</v>
      </c>
      <c r="I13074" s="14"/>
      <c r="J13074" t="s" s="11">
        <v>20</v>
      </c>
      <c r="K13074" s="15"/>
      <c r="L13074" t="s" s="16">
        <f>HYPERLINK("http://csr.bu.edu/ftp/asl/asllvd/demos/verify_start_end_handshape_annotations//test_auto_move//signs_mov_separ_signers/Liz_6166.mov","MOV")</f>
        <v>21</v>
      </c>
      <c r="M13074" t="s" s="10">
        <v>77</v>
      </c>
      <c r="N13074" s="17">
        <v>15</v>
      </c>
      <c r="O13074" s="18">
        <v>1373</v>
      </c>
      <c r="P13074" s="18">
        <v>1400</v>
      </c>
      <c r="Q13074" s="15"/>
      <c r="R13074" t="s" s="16">
        <f>HYPERLINK("http://secrets.rutgers.edu:8080/data/asl-ftp/asllvd/demos/verify_start_end_handshape_annotations//test_auto_move//signs_mov_separ_signers/Liz_6166.mov","MOV")</f>
        <v>21</v>
      </c>
    </row>
    <row r="13075" s="2" customFormat="1" ht="13.5" customHeight="1">
      <c r="B13075" s="13"/>
      <c r="C13075" t="s" s="9">
        <v>16</v>
      </c>
      <c r="D13075" t="s" s="8">
        <v>4959</v>
      </c>
      <c r="E13075" t="s" s="9">
        <v>4959</v>
      </c>
      <c r="F13075" t="s" s="10">
        <v>282</v>
      </c>
      <c r="G13075" s="14"/>
      <c r="H13075" t="s" s="10">
        <v>282</v>
      </c>
      <c r="I13075" s="14"/>
      <c r="J13075" t="s" s="11">
        <v>20</v>
      </c>
      <c r="K13075" t="s" s="16">
        <f>HYPERLINK("http://csr.bu.edu/ftp/asl/asllvd/demos/verify_start_end_handshape_annotations//test_auto_move//signs_mov/3864_6166_merged.mov","MOV")</f>
        <v>21</v>
      </c>
      <c r="L13075" t="s" s="16">
        <f>HYPERLINK("http://csr.bu.edu/ftp/asl/asllvd/demos/verify_start_end_handshape_annotations//test_auto_move//signs_mov_separ_signers/Liz_3864.mov","MOV")</f>
        <v>21</v>
      </c>
      <c r="M13075" t="s" s="10">
        <v>77</v>
      </c>
      <c r="N13075" s="17">
        <v>18</v>
      </c>
      <c r="O13075" s="18">
        <v>1531</v>
      </c>
      <c r="P13075" s="18">
        <v>1560</v>
      </c>
      <c r="Q13075" t="s" s="16">
        <f>HYPERLINK("http://secrets.rutgers.edu:8080/data/asl-ftp/asllvd/demos/verify_start_end_handshape_annotations//test_auto_move//signs_mov/3864_6166_merged.mov","MOV")</f>
        <v>21</v>
      </c>
      <c r="R13075" t="s" s="16">
        <f>HYPERLINK("http://secrets.rutgers.edu:8080/data/asl-ftp/asllvd/demos/verify_start_end_handshape_annotations//test_auto_move//signs_mov_separ_signers/Liz_3864.mov","MOV")</f>
        <v>21</v>
      </c>
    </row>
    <row r="13076" s="2" customFormat="1" ht="13.5" customHeight="1">
      <c r="B13076" s="13"/>
      <c r="C13076" t="s" s="9">
        <v>30</v>
      </c>
      <c r="D13076" t="s" s="8">
        <v>4959</v>
      </c>
      <c r="E13076" t="s" s="9">
        <v>4959</v>
      </c>
      <c r="F13076" t="s" s="10">
        <v>282</v>
      </c>
      <c r="G13076" s="14"/>
      <c r="H13076" t="s" s="10">
        <v>282</v>
      </c>
      <c r="I13076" s="14"/>
      <c r="J13076" t="s" s="11">
        <v>20</v>
      </c>
      <c r="K13076" s="15"/>
      <c r="L13076" t="s" s="16">
        <f>HYPERLINK("http://csr.bu.edu/ftp/asl/asllvd/demos/verify_start_end_handshape_annotations//test_auto_move//signs_mov_separ_signers/Brady_6166.mov","MOV")</f>
        <v>21</v>
      </c>
      <c r="M13076" t="s" s="10">
        <v>31</v>
      </c>
      <c r="N13076" s="17">
        <v>6</v>
      </c>
      <c r="O13076" s="18">
        <v>6350</v>
      </c>
      <c r="P13076" s="18">
        <v>6362</v>
      </c>
      <c r="Q13076" s="15"/>
      <c r="R13076" t="s" s="16">
        <f>HYPERLINK("http://secrets.rutgers.edu:8080/data/asl-ftp/asllvd/demos/verify_start_end_handshape_annotations//test_auto_move//signs_mov_separ_signers/Brady_6166.mov","MOV")</f>
        <v>21</v>
      </c>
    </row>
    <row r="13077" s="2" customFormat="1" ht="13.5" customHeight="1">
      <c r="B13077" s="13"/>
      <c r="C13077" t="s" s="9">
        <v>30</v>
      </c>
      <c r="D13077" t="s" s="8">
        <v>4959</v>
      </c>
      <c r="E13077" t="s" s="9">
        <v>4959</v>
      </c>
      <c r="F13077" t="s" s="10">
        <v>282</v>
      </c>
      <c r="G13077" s="14"/>
      <c r="H13077" t="s" s="10">
        <v>282</v>
      </c>
      <c r="I13077" s="14"/>
      <c r="J13077" t="s" s="11">
        <v>20</v>
      </c>
      <c r="K13077" s="15"/>
      <c r="L13077" t="s" s="16">
        <f>HYPERLINK("http://csr.bu.edu/ftp/asl/asllvd/demos/verify_start_end_handshape_annotations//test_auto_move//signs_mov_separ_signers/Brady_3864.mov","MOV")</f>
        <v>21</v>
      </c>
      <c r="M13077" t="s" s="10">
        <v>31</v>
      </c>
      <c r="N13077" s="17">
        <v>6</v>
      </c>
      <c r="O13077" s="18">
        <v>6664</v>
      </c>
      <c r="P13077" s="18">
        <v>6675</v>
      </c>
      <c r="Q13077" s="15"/>
      <c r="R13077" t="s" s="16">
        <f>HYPERLINK("http://secrets.rutgers.edu:8080/data/asl-ftp/asllvd/demos/verify_start_end_handshape_annotations//test_auto_move//signs_mov_separ_signers/Brady_3864.mov","MOV")</f>
        <v>21</v>
      </c>
    </row>
    <row r="13078" s="2" customFormat="1" ht="13.5" customHeight="1">
      <c r="B13078" t="s" s="8">
        <v>4960</v>
      </c>
      <c r="C13078" t="s" s="9">
        <v>14</v>
      </c>
      <c r="D13078" t="s" s="8">
        <v>14</v>
      </c>
      <c r="E13078" t="s" s="9">
        <v>14</v>
      </c>
      <c r="F13078" t="s" s="10">
        <v>14</v>
      </c>
      <c r="G13078" t="s" s="11">
        <v>14</v>
      </c>
      <c r="H13078" t="s" s="10">
        <v>14</v>
      </c>
      <c r="I13078" t="s" s="11">
        <v>14</v>
      </c>
      <c r="J13078" t="s" s="11">
        <v>14</v>
      </c>
      <c r="K13078" t="s" s="12">
        <v>14</v>
      </c>
      <c r="L13078" t="s" s="12">
        <v>14</v>
      </c>
      <c r="M13078" t="s" s="10">
        <v>14</v>
      </c>
      <c r="N13078" t="s" s="11">
        <v>14</v>
      </c>
      <c r="O13078" t="s" s="8">
        <v>14</v>
      </c>
      <c r="P13078" t="s" s="8">
        <v>14</v>
      </c>
      <c r="Q13078" t="s" s="12">
        <v>14</v>
      </c>
      <c r="R13078" t="s" s="12">
        <v>14</v>
      </c>
    </row>
    <row r="13079" s="2" customFormat="1" ht="13.5" customHeight="1">
      <c r="B13079" s="13"/>
      <c r="C13079" t="s" s="9">
        <v>16</v>
      </c>
      <c r="D13079" t="s" s="8">
        <v>4960</v>
      </c>
      <c r="E13079" t="s" s="9">
        <v>4960</v>
      </c>
      <c r="F13079" s="19">
        <v>6</v>
      </c>
      <c r="G13079" s="14"/>
      <c r="H13079" s="19">
        <v>6</v>
      </c>
      <c r="I13079" s="14"/>
      <c r="J13079" t="s" s="11">
        <v>20</v>
      </c>
      <c r="K13079" s="15"/>
      <c r="L13079" t="s" s="16">
        <f>HYPERLINK("http://csr.bu.edu/ftp/asl/asllvd/demos/verify_start_end_handshape_annotations//test_auto_move//signs_mov_separ_signers/Liz_6167.mov","MOV")</f>
        <v>21</v>
      </c>
      <c r="M13079" t="s" s="10">
        <v>77</v>
      </c>
      <c r="N13079" s="17">
        <v>15</v>
      </c>
      <c r="O13079" s="18">
        <v>930</v>
      </c>
      <c r="P13079" s="18">
        <v>965</v>
      </c>
      <c r="Q13079" s="15"/>
      <c r="R13079" t="s" s="16">
        <f>HYPERLINK("http://secrets.rutgers.edu:8080/data/asl-ftp/asllvd/demos/verify_start_end_handshape_annotations//test_auto_move//signs_mov_separ_signers/Liz_6167.mov","MOV")</f>
        <v>21</v>
      </c>
    </row>
    <row r="13080" s="2" customFormat="1" ht="13.5" customHeight="1">
      <c r="B13080" s="13"/>
      <c r="C13080" t="s" s="9">
        <v>16</v>
      </c>
      <c r="D13080" t="s" s="8">
        <v>4960</v>
      </c>
      <c r="E13080" t="s" s="9">
        <v>4960</v>
      </c>
      <c r="F13080" s="19">
        <v>6</v>
      </c>
      <c r="G13080" s="14"/>
      <c r="H13080" s="19">
        <v>6</v>
      </c>
      <c r="I13080" s="14"/>
      <c r="J13080" t="s" s="11">
        <v>20</v>
      </c>
      <c r="K13080" t="s" s="16">
        <f>HYPERLINK("http://csr.bu.edu/ftp/asl/asllvd/demos/verify_start_end_handshape_annotations//test_auto_move//signs_mov/3862_6167_merged.mov","MOV")</f>
        <v>21</v>
      </c>
      <c r="L13080" t="s" s="16">
        <f>HYPERLINK("http://csr.bu.edu/ftp/asl/asllvd/demos/verify_start_end_handshape_annotations//test_auto_move//signs_mov_separ_signers/Liz_3862.mov","MOV")</f>
        <v>21</v>
      </c>
      <c r="M13080" t="s" s="10">
        <v>77</v>
      </c>
      <c r="N13080" s="17">
        <v>18</v>
      </c>
      <c r="O13080" s="18">
        <v>1118</v>
      </c>
      <c r="P13080" s="18">
        <v>1155</v>
      </c>
      <c r="Q13080" t="s" s="16">
        <f>HYPERLINK("http://secrets.rutgers.edu:8080/data/asl-ftp/asllvd/demos/verify_start_end_handshape_annotations//test_auto_move//signs_mov/3862_6167_merged.mov","MOV")</f>
        <v>21</v>
      </c>
      <c r="R13080" t="s" s="16">
        <f>HYPERLINK("http://secrets.rutgers.edu:8080/data/asl-ftp/asllvd/demos/verify_start_end_handshape_annotations//test_auto_move//signs_mov_separ_signers/Liz_3862.mov","MOV")</f>
        <v>21</v>
      </c>
    </row>
    <row r="13081" s="2" customFormat="1" ht="13.5" customHeight="1">
      <c r="B13081" s="13"/>
      <c r="C13081" t="s" s="9">
        <v>30</v>
      </c>
      <c r="D13081" t="s" s="8">
        <v>4960</v>
      </c>
      <c r="E13081" t="s" s="9">
        <v>4960</v>
      </c>
      <c r="F13081" s="19">
        <v>6</v>
      </c>
      <c r="G13081" s="14"/>
      <c r="H13081" s="19">
        <v>6</v>
      </c>
      <c r="I13081" s="14"/>
      <c r="J13081" t="s" s="11">
        <v>20</v>
      </c>
      <c r="K13081" s="15"/>
      <c r="L13081" t="s" s="16">
        <f>HYPERLINK("http://csr.bu.edu/ftp/asl/asllvd/demos/verify_start_end_handshape_annotations//test_auto_move//signs_mov_separ_signers/Brady_6167.mov","MOV")</f>
        <v>21</v>
      </c>
      <c r="M13081" t="s" s="10">
        <v>31</v>
      </c>
      <c r="N13081" s="17">
        <v>6</v>
      </c>
      <c r="O13081" s="18">
        <v>1599</v>
      </c>
      <c r="P13081" s="18">
        <v>1611</v>
      </c>
      <c r="Q13081" s="15"/>
      <c r="R13081" t="s" s="16">
        <f>HYPERLINK("http://secrets.rutgers.edu:8080/data/asl-ftp/asllvd/demos/verify_start_end_handshape_annotations//test_auto_move//signs_mov_separ_signers/Brady_6167.mov","MOV")</f>
        <v>21</v>
      </c>
    </row>
    <row r="13082" s="2" customFormat="1" ht="13.5" customHeight="1">
      <c r="B13082" s="13"/>
      <c r="C13082" t="s" s="9">
        <v>30</v>
      </c>
      <c r="D13082" t="s" s="8">
        <v>4960</v>
      </c>
      <c r="E13082" t="s" s="9">
        <v>4960</v>
      </c>
      <c r="F13082" s="19">
        <v>6</v>
      </c>
      <c r="G13082" s="14"/>
      <c r="H13082" s="19">
        <v>6</v>
      </c>
      <c r="I13082" s="14"/>
      <c r="J13082" t="s" s="11">
        <v>20</v>
      </c>
      <c r="K13082" s="15"/>
      <c r="L13082" t="s" s="16">
        <f>HYPERLINK("http://csr.bu.edu/ftp/asl/asllvd/demos/verify_start_end_handshape_annotations//test_auto_move//signs_mov_separ_signers/Brady_3862.mov","MOV")</f>
        <v>21</v>
      </c>
      <c r="M13082" t="s" s="10">
        <v>31</v>
      </c>
      <c r="N13082" s="17">
        <v>6</v>
      </c>
      <c r="O13082" s="18">
        <v>1951</v>
      </c>
      <c r="P13082" s="18">
        <v>1961</v>
      </c>
      <c r="Q13082" s="15"/>
      <c r="R13082" t="s" s="16">
        <f>HYPERLINK("http://secrets.rutgers.edu:8080/data/asl-ftp/asllvd/demos/verify_start_end_handshape_annotations//test_auto_move//signs_mov_separ_signers/Brady_3862.mov","MOV")</f>
        <v>21</v>
      </c>
    </row>
    <row r="13083" s="2" customFormat="1" ht="13.5" customHeight="1">
      <c r="B13083" t="s" s="8">
        <v>4961</v>
      </c>
      <c r="C13083" t="s" s="9">
        <v>14</v>
      </c>
      <c r="D13083" t="s" s="8">
        <v>14</v>
      </c>
      <c r="E13083" t="s" s="9">
        <v>14</v>
      </c>
      <c r="F13083" t="s" s="10">
        <v>14</v>
      </c>
      <c r="G13083" t="s" s="11">
        <v>14</v>
      </c>
      <c r="H13083" t="s" s="10">
        <v>14</v>
      </c>
      <c r="I13083" t="s" s="11">
        <v>14</v>
      </c>
      <c r="J13083" t="s" s="11">
        <v>14</v>
      </c>
      <c r="K13083" t="s" s="12">
        <v>14</v>
      </c>
      <c r="L13083" t="s" s="12">
        <v>14</v>
      </c>
      <c r="M13083" t="s" s="10">
        <v>14</v>
      </c>
      <c r="N13083" t="s" s="11">
        <v>14</v>
      </c>
      <c r="O13083" t="s" s="8">
        <v>14</v>
      </c>
      <c r="P13083" t="s" s="8">
        <v>14</v>
      </c>
      <c r="Q13083" t="s" s="12">
        <v>14</v>
      </c>
      <c r="R13083" t="s" s="12">
        <v>14</v>
      </c>
    </row>
    <row r="13084" s="2" customFormat="1" ht="13.5" customHeight="1">
      <c r="B13084" s="13"/>
      <c r="C13084" t="s" s="9">
        <v>16</v>
      </c>
      <c r="D13084" t="s" s="8">
        <v>4961</v>
      </c>
      <c r="E13084" t="s" s="9">
        <v>4961</v>
      </c>
      <c r="F13084" t="s" s="10">
        <v>229</v>
      </c>
      <c r="G13084" s="14"/>
      <c r="H13084" t="s" s="10">
        <v>229</v>
      </c>
      <c r="I13084" s="14"/>
      <c r="J13084" t="s" s="11">
        <v>20</v>
      </c>
      <c r="K13084" s="15"/>
      <c r="L13084" t="s" s="16">
        <f>HYPERLINK("http://csr.bu.edu/ftp/asl/asllvd/demos/verify_start_end_handshape_annotations//test_auto_move//signs_mov_separ_signers/Liz_6312.mov","MOV")</f>
        <v>21</v>
      </c>
      <c r="M13084" t="s" s="10">
        <v>77</v>
      </c>
      <c r="N13084" s="17">
        <v>15</v>
      </c>
      <c r="O13084" s="18">
        <v>380</v>
      </c>
      <c r="P13084" s="18">
        <v>420</v>
      </c>
      <c r="Q13084" s="15"/>
      <c r="R13084" t="s" s="16">
        <f>HYPERLINK("http://secrets.rutgers.edu:8080/data/asl-ftp/asllvd/demos/verify_start_end_handshape_annotations//test_auto_move//signs_mov_separ_signers/Liz_6312.mov","MOV")</f>
        <v>21</v>
      </c>
    </row>
    <row r="13085" s="2" customFormat="1" ht="13.5" customHeight="1">
      <c r="B13085" s="13"/>
      <c r="C13085" t="s" s="9">
        <v>16</v>
      </c>
      <c r="D13085" t="s" s="8">
        <v>4961</v>
      </c>
      <c r="E13085" t="s" s="9">
        <v>4961</v>
      </c>
      <c r="F13085" t="s" s="10">
        <v>229</v>
      </c>
      <c r="G13085" s="14"/>
      <c r="H13085" t="s" s="10">
        <v>229</v>
      </c>
      <c r="I13085" s="14"/>
      <c r="J13085" t="s" s="11">
        <v>20</v>
      </c>
      <c r="K13085" s="15"/>
      <c r="L13085" t="s" s="16">
        <f>HYPERLINK("http://csr.bu.edu/ftp/asl/asllvd/demos/verify_start_end_handshape_annotations//test_auto_move//signs_mov_separ_signers/Liz_3859.mov","MOV")</f>
        <v>21</v>
      </c>
      <c r="M13085" t="s" s="10">
        <v>77</v>
      </c>
      <c r="N13085" s="17">
        <v>18</v>
      </c>
      <c r="O13085" s="18">
        <v>470</v>
      </c>
      <c r="P13085" s="18">
        <v>510</v>
      </c>
      <c r="Q13085" s="15"/>
      <c r="R13085" t="s" s="16">
        <f>HYPERLINK("http://secrets.rutgers.edu:8080/data/asl-ftp/asllvd/demos/verify_start_end_handshape_annotations//test_auto_move//signs_mov_separ_signers/Liz_3859.mov","MOV")</f>
        <v>21</v>
      </c>
    </row>
    <row r="13086" s="2" customFormat="1" ht="13.5" customHeight="1">
      <c r="B13086" s="13"/>
      <c r="C13086" t="s" s="9">
        <v>30</v>
      </c>
      <c r="D13086" t="s" s="8">
        <v>4961</v>
      </c>
      <c r="E13086" t="s" s="9">
        <v>4961</v>
      </c>
      <c r="F13086" t="s" s="10">
        <v>229</v>
      </c>
      <c r="G13086" s="14"/>
      <c r="H13086" t="s" s="10">
        <v>229</v>
      </c>
      <c r="I13086" s="14"/>
      <c r="J13086" t="s" s="11">
        <v>20</v>
      </c>
      <c r="K13086" t="s" s="16">
        <f>HYPERLINK("http://csr.bu.edu/ftp/asl/asllvd/demos/verify_start_end_handshape_annotations//test_auto_move//signs_mov/3859_3944_6312_merged.mov","MOV")</f>
        <v>21</v>
      </c>
      <c r="L13086" t="s" s="16">
        <f>HYPERLINK("http://csr.bu.edu/ftp/asl/asllvd/demos/verify_start_end_handshape_annotations//test_auto_move//signs_mov_separ_signers/Brady_6312.mov","MOV")</f>
        <v>21</v>
      </c>
      <c r="M13086" t="s" s="10">
        <v>31</v>
      </c>
      <c r="N13086" s="17">
        <v>5</v>
      </c>
      <c r="O13086" s="18">
        <v>2305</v>
      </c>
      <c r="P13086" s="18">
        <v>2318</v>
      </c>
      <c r="Q13086" t="s" s="16">
        <f>HYPERLINK("http://secrets.rutgers.edu:8080/data/asl-ftp/asllvd/demos/verify_start_end_handshape_annotations//test_auto_move//signs_mov/3859_3944_6312_merged.mov","MOV")</f>
        <v>21</v>
      </c>
      <c r="R13086" t="s" s="16">
        <f>HYPERLINK("http://secrets.rutgers.edu:8080/data/asl-ftp/asllvd/demos/verify_start_end_handshape_annotations//test_auto_move//signs_mov_separ_signers/Brady_6312.mov","MOV")</f>
        <v>21</v>
      </c>
    </row>
    <row r="13087" s="2" customFormat="1" ht="13.5" customHeight="1">
      <c r="B13087" s="13"/>
      <c r="C13087" t="s" s="9">
        <v>30</v>
      </c>
      <c r="D13087" t="s" s="8">
        <v>4961</v>
      </c>
      <c r="E13087" t="s" s="9">
        <v>4961</v>
      </c>
      <c r="F13087" t="s" s="10">
        <v>229</v>
      </c>
      <c r="G13087" s="14"/>
      <c r="H13087" t="s" s="10">
        <v>229</v>
      </c>
      <c r="I13087" s="14"/>
      <c r="J13087" t="s" s="11">
        <v>20</v>
      </c>
      <c r="K13087" s="15"/>
      <c r="L13087" t="s" s="16">
        <f>HYPERLINK("http://csr.bu.edu/ftp/asl/asllvd/demos/verify_start_end_handshape_annotations//test_auto_move//signs_mov_separ_signers/Brady_3859.mov","MOV")</f>
        <v>21</v>
      </c>
      <c r="M13087" t="s" s="10">
        <v>31</v>
      </c>
      <c r="N13087" s="17">
        <v>5</v>
      </c>
      <c r="O13087" s="18">
        <v>2505</v>
      </c>
      <c r="P13087" s="18">
        <v>2532</v>
      </c>
      <c r="Q13087" s="15"/>
      <c r="R13087" t="s" s="16">
        <f>HYPERLINK("http://secrets.rutgers.edu:8080/data/asl-ftp/asllvd/demos/verify_start_end_handshape_annotations//test_auto_move//signs_mov_separ_signers/Brady_3859.mov","MOV")</f>
        <v>21</v>
      </c>
    </row>
    <row r="13088" s="2" customFormat="1" ht="13.5" customHeight="1">
      <c r="B13088" s="13"/>
      <c r="C13088" t="s" s="9">
        <v>30</v>
      </c>
      <c r="D13088" t="s" s="8">
        <v>4961</v>
      </c>
      <c r="E13088" t="s" s="9">
        <v>4961</v>
      </c>
      <c r="F13088" t="s" s="10">
        <v>229</v>
      </c>
      <c r="G13088" s="14"/>
      <c r="H13088" t="s" s="10">
        <v>229</v>
      </c>
      <c r="I13088" s="14"/>
      <c r="J13088" t="s" s="11">
        <v>20</v>
      </c>
      <c r="K13088" s="15"/>
      <c r="L13088" t="s" s="16">
        <f>HYPERLINK("http://csr.bu.edu/ftp/asl/asllvd/demos/verify_start_end_handshape_annotations//test_auto_move//signs_mov_separ_signers/Brady_3944.mov","MOV")</f>
        <v>21</v>
      </c>
      <c r="M13088" t="s" s="10">
        <v>31</v>
      </c>
      <c r="N13088" s="17">
        <v>5</v>
      </c>
      <c r="O13088" s="18">
        <v>5479</v>
      </c>
      <c r="P13088" s="18">
        <v>5486</v>
      </c>
      <c r="Q13088" s="15"/>
      <c r="R13088" t="s" s="16">
        <f>HYPERLINK("http://secrets.rutgers.edu:8080/data/asl-ftp/asllvd/demos/verify_start_end_handshape_annotations//test_auto_move//signs_mov_separ_signers/Brady_3944.mov","MOV")</f>
        <v>21</v>
      </c>
    </row>
    <row r="13089" s="2" customFormat="1" ht="13.5" customHeight="1">
      <c r="B13089" t="s" s="8">
        <v>52</v>
      </c>
      <c r="C13089" t="s" s="9">
        <v>53</v>
      </c>
      <c r="D13089" t="s" s="8">
        <v>53</v>
      </c>
      <c r="E13089" t="s" s="9">
        <v>53</v>
      </c>
      <c r="F13089" t="s" s="10">
        <v>53</v>
      </c>
      <c r="G13089" t="s" s="11">
        <v>53</v>
      </c>
      <c r="H13089" t="s" s="10">
        <v>53</v>
      </c>
      <c r="I13089" t="s" s="11">
        <v>53</v>
      </c>
      <c r="J13089" t="s" s="11">
        <v>53</v>
      </c>
      <c r="K13089" t="s" s="12">
        <v>53</v>
      </c>
      <c r="L13089" t="s" s="12">
        <v>53</v>
      </c>
      <c r="M13089" t="s" s="10">
        <v>53</v>
      </c>
      <c r="N13089" t="s" s="11">
        <v>53</v>
      </c>
      <c r="O13089" t="s" s="8">
        <v>53</v>
      </c>
      <c r="P13089" t="s" s="8">
        <v>53</v>
      </c>
      <c r="Q13089" t="s" s="12">
        <v>53</v>
      </c>
      <c r="R13089" t="s" s="12">
        <v>53</v>
      </c>
    </row>
    <row r="13090" s="2" customFormat="1" ht="13.5" customHeight="1">
      <c r="B13090" s="13"/>
      <c r="C13090" t="s" s="9">
        <v>30</v>
      </c>
      <c r="D13090" t="s" s="8">
        <v>4961</v>
      </c>
      <c r="E13090" t="s" s="9">
        <v>4962</v>
      </c>
      <c r="F13090" t="s" s="10">
        <v>229</v>
      </c>
      <c r="G13090" s="14"/>
      <c r="H13090" t="s" s="10">
        <v>229</v>
      </c>
      <c r="I13090" s="14"/>
      <c r="J13090" t="s" s="11">
        <v>20</v>
      </c>
      <c r="K13090" t="s" s="16">
        <f>HYPERLINK("http://csr.bu.edu/ftp/asl/asllvd/demos/verify_start_end_handshape_annotations//test_auto_move//signs_mov/3945_3946_merged.mov","MOV")</f>
        <v>21</v>
      </c>
      <c r="L13090" t="s" s="16">
        <f>HYPERLINK("http://csr.bu.edu/ftp/asl/asllvd/demos/verify_start_end_handshape_annotations//test_auto_move//signs_mov_separ_signers/Brady_3945.mov","MOV")</f>
        <v>21</v>
      </c>
      <c r="M13090" t="s" s="10">
        <v>31</v>
      </c>
      <c r="N13090" s="17">
        <v>5</v>
      </c>
      <c r="O13090" s="18">
        <v>2811</v>
      </c>
      <c r="P13090" s="18">
        <v>2891</v>
      </c>
      <c r="Q13090" t="s" s="16">
        <f>HYPERLINK("http://secrets.rutgers.edu:8080/data/asl-ftp/asllvd/demos/verify_start_end_handshape_annotations//test_auto_move//signs_mov/3945_3946_merged.mov","MOV")</f>
        <v>21</v>
      </c>
      <c r="R13090" t="s" s="16">
        <f>HYPERLINK("http://secrets.rutgers.edu:8080/data/asl-ftp/asllvd/demos/verify_start_end_handshape_annotations//test_auto_move//signs_mov_separ_signers/Brady_3945.mov","MOV")</f>
        <v>21</v>
      </c>
    </row>
    <row r="13091" s="2" customFormat="1" ht="13.5" customHeight="1">
      <c r="B13091" s="13"/>
      <c r="C13091" t="s" s="9">
        <v>30</v>
      </c>
      <c r="D13091" t="s" s="8">
        <v>4961</v>
      </c>
      <c r="E13091" t="s" s="9">
        <v>4962</v>
      </c>
      <c r="F13091" t="s" s="10">
        <v>220</v>
      </c>
      <c r="G13091" s="14"/>
      <c r="H13091" t="s" s="10">
        <v>220</v>
      </c>
      <c r="I13091" s="14"/>
      <c r="J13091" t="s" s="11">
        <v>20</v>
      </c>
      <c r="K13091" s="15"/>
      <c r="L13091" t="s" s="16">
        <f>HYPERLINK("http://csr.bu.edu/ftp/asl/asllvd/demos/verify_start_end_handshape_annotations//test_auto_move//signs_mov_separ_signers/Brady_3946.mov","MOV")</f>
        <v>21</v>
      </c>
      <c r="M13091" t="s" s="10">
        <v>31</v>
      </c>
      <c r="N13091" s="17">
        <v>5</v>
      </c>
      <c r="O13091" s="18">
        <v>8921</v>
      </c>
      <c r="P13091" s="18">
        <v>8954</v>
      </c>
      <c r="Q13091" s="15"/>
      <c r="R13091" t="s" s="16">
        <f>HYPERLINK("http://secrets.rutgers.edu:8080/data/asl-ftp/asllvd/demos/verify_start_end_handshape_annotations//test_auto_move//signs_mov_separ_signers/Brady_3946.mov","MOV")</f>
        <v>21</v>
      </c>
    </row>
    <row r="13092" s="2" customFormat="1" ht="13.5" customHeight="1">
      <c r="B13092" t="s" s="8">
        <v>52</v>
      </c>
      <c r="C13092" t="s" s="9">
        <v>53</v>
      </c>
      <c r="D13092" t="s" s="8">
        <v>53</v>
      </c>
      <c r="E13092" t="s" s="9">
        <v>53</v>
      </c>
      <c r="F13092" t="s" s="10">
        <v>53</v>
      </c>
      <c r="G13092" t="s" s="11">
        <v>53</v>
      </c>
      <c r="H13092" t="s" s="10">
        <v>53</v>
      </c>
      <c r="I13092" t="s" s="11">
        <v>53</v>
      </c>
      <c r="J13092" t="s" s="11">
        <v>53</v>
      </c>
      <c r="K13092" t="s" s="12">
        <v>53</v>
      </c>
      <c r="L13092" t="s" s="12">
        <v>53</v>
      </c>
      <c r="M13092" t="s" s="10">
        <v>53</v>
      </c>
      <c r="N13092" t="s" s="11">
        <v>53</v>
      </c>
      <c r="O13092" t="s" s="8">
        <v>53</v>
      </c>
      <c r="P13092" t="s" s="8">
        <v>53</v>
      </c>
      <c r="Q13092" t="s" s="12">
        <v>53</v>
      </c>
      <c r="R13092" t="s" s="12">
        <v>53</v>
      </c>
    </row>
    <row r="13093" s="2" customFormat="1" ht="13.5" customHeight="1">
      <c r="B13093" s="13"/>
      <c r="C13093" t="s" s="9">
        <v>30</v>
      </c>
      <c r="D13093" t="s" s="8">
        <v>4961</v>
      </c>
      <c r="E13093" t="s" s="9">
        <v>4963</v>
      </c>
      <c r="F13093" t="s" s="10">
        <v>220</v>
      </c>
      <c r="G13093" s="14"/>
      <c r="H13093" t="s" s="10">
        <v>220</v>
      </c>
      <c r="I13093" s="14"/>
      <c r="J13093" t="s" s="11">
        <v>20</v>
      </c>
      <c r="K13093" t="s" s="16">
        <f>HYPERLINK("http://csr.bu.edu/ftp/asl/asllvd/demos/verify_start_end_handshape_annotations//test_auto_move//signs_mov/5681.mov","MOV")</f>
        <v>21</v>
      </c>
      <c r="L13093" t="s" s="16">
        <f>HYPERLINK("http://csr.bu.edu/ftp/asl/asllvd/demos/verify_start_end_handshape_annotations//test_auto_move//signs_mov_separ_signers/Brady_5681.mov","MOV")</f>
        <v>21</v>
      </c>
      <c r="M13093" t="s" s="10">
        <v>31</v>
      </c>
      <c r="N13093" s="17">
        <v>5</v>
      </c>
      <c r="O13093" s="18">
        <v>5818</v>
      </c>
      <c r="P13093" s="18">
        <v>5835</v>
      </c>
      <c r="Q13093" t="s" s="16">
        <f>HYPERLINK("http://secrets.rutgers.edu:8080/data/asl-ftp/asllvd/demos/verify_start_end_handshape_annotations//test_auto_move//signs_mov/5681.mov","MOV")</f>
        <v>21</v>
      </c>
      <c r="R13093" t="s" s="16">
        <f>HYPERLINK("http://secrets.rutgers.edu:8080/data/asl-ftp/asllvd/demos/verify_start_end_handshape_annotations//test_auto_move//signs_mov_separ_signers/Brady_5681.mov","MOV")</f>
        <v>21</v>
      </c>
    </row>
    <row r="13094" s="2" customFormat="1" ht="13.5" customHeight="1">
      <c r="B13094" t="s" s="8">
        <v>4964</v>
      </c>
      <c r="C13094" t="s" s="9">
        <v>14</v>
      </c>
      <c r="D13094" t="s" s="8">
        <v>14</v>
      </c>
      <c r="E13094" t="s" s="9">
        <v>14</v>
      </c>
      <c r="F13094" t="s" s="10">
        <v>14</v>
      </c>
      <c r="G13094" t="s" s="11">
        <v>14</v>
      </c>
      <c r="H13094" t="s" s="10">
        <v>14</v>
      </c>
      <c r="I13094" t="s" s="11">
        <v>14</v>
      </c>
      <c r="J13094" t="s" s="11">
        <v>14</v>
      </c>
      <c r="K13094" t="s" s="12">
        <v>14</v>
      </c>
      <c r="L13094" t="s" s="12">
        <v>14</v>
      </c>
      <c r="M13094" t="s" s="10">
        <v>14</v>
      </c>
      <c r="N13094" t="s" s="11">
        <v>14</v>
      </c>
      <c r="O13094" t="s" s="8">
        <v>14</v>
      </c>
      <c r="P13094" t="s" s="8">
        <v>14</v>
      </c>
      <c r="Q13094" t="s" s="12">
        <v>14</v>
      </c>
      <c r="R13094" t="s" s="12">
        <v>14</v>
      </c>
    </row>
    <row r="13095" s="2" customFormat="1" ht="13.5" customHeight="1">
      <c r="B13095" s="13"/>
      <c r="C13095" t="s" s="9">
        <v>16</v>
      </c>
      <c r="D13095" t="s" s="8">
        <v>4964</v>
      </c>
      <c r="E13095" t="s" s="9">
        <v>4964</v>
      </c>
      <c r="F13095" s="19">
        <v>4</v>
      </c>
      <c r="G13095" s="14"/>
      <c r="H13095" s="19">
        <v>4</v>
      </c>
      <c r="I13095" s="14"/>
      <c r="J13095" t="s" s="11">
        <v>20</v>
      </c>
      <c r="K13095" s="15"/>
      <c r="L13095" t="s" s="16">
        <f>HYPERLINK("http://csr.bu.edu/ftp/asl/asllvd/demos/verify_start_end_handshape_annotations//test_auto_move//signs_mov_separ_signers/Liz_6313.mov","MOV")</f>
        <v>21</v>
      </c>
      <c r="M13095" t="s" s="10">
        <v>77</v>
      </c>
      <c r="N13095" s="17">
        <v>15</v>
      </c>
      <c r="O13095" s="18">
        <v>655</v>
      </c>
      <c r="P13095" s="18">
        <v>692</v>
      </c>
      <c r="Q13095" s="15"/>
      <c r="R13095" t="s" s="16">
        <f>HYPERLINK("http://secrets.rutgers.edu:8080/data/asl-ftp/asllvd/demos/verify_start_end_handshape_annotations//test_auto_move//signs_mov_separ_signers/Liz_6313.mov","MOV")</f>
        <v>21</v>
      </c>
    </row>
    <row r="13096" s="2" customFormat="1" ht="13.5" customHeight="1">
      <c r="B13096" s="13"/>
      <c r="C13096" t="s" s="9">
        <v>16</v>
      </c>
      <c r="D13096" t="s" s="8">
        <v>4964</v>
      </c>
      <c r="E13096" t="s" s="9">
        <v>4965</v>
      </c>
      <c r="F13096" s="19">
        <v>4</v>
      </c>
      <c r="G13096" s="14"/>
      <c r="H13096" s="19">
        <v>4</v>
      </c>
      <c r="I13096" s="14"/>
      <c r="J13096" t="s" s="11">
        <v>20</v>
      </c>
      <c r="K13096" t="s" s="16">
        <f>HYPERLINK("http://csr.bu.edu/ftp/asl/asllvd/demos/verify_start_end_handshape_annotations//test_auto_move//signs_mov/3861_6313_merged.mov","MOV")</f>
        <v>21</v>
      </c>
      <c r="L13096" t="s" s="16">
        <f>HYPERLINK("http://csr.bu.edu/ftp/asl/asllvd/demos/verify_start_end_handshape_annotations//test_auto_move//signs_mov_separ_signers/Liz_3861.mov","MOV")</f>
        <v>21</v>
      </c>
      <c r="M13096" t="s" s="10">
        <v>77</v>
      </c>
      <c r="N13096" s="17">
        <v>18</v>
      </c>
      <c r="O13096" s="18">
        <v>750</v>
      </c>
      <c r="P13096" s="18">
        <v>787</v>
      </c>
      <c r="Q13096" t="s" s="16">
        <f>HYPERLINK("http://secrets.rutgers.edu:8080/data/asl-ftp/asllvd/demos/verify_start_end_handshape_annotations//test_auto_move//signs_mov/3861_6313_merged.mov","MOV")</f>
        <v>21</v>
      </c>
      <c r="R13096" t="s" s="16">
        <f>HYPERLINK("http://secrets.rutgers.edu:8080/data/asl-ftp/asllvd/demos/verify_start_end_handshape_annotations//test_auto_move//signs_mov_separ_signers/Liz_3861.mov","MOV")</f>
        <v>21</v>
      </c>
    </row>
    <row r="13097" s="2" customFormat="1" ht="13.5" customHeight="1">
      <c r="B13097" s="13"/>
      <c r="C13097" t="s" s="9">
        <v>30</v>
      </c>
      <c r="D13097" t="s" s="8">
        <v>4964</v>
      </c>
      <c r="E13097" t="s" s="9">
        <v>4965</v>
      </c>
      <c r="F13097" s="19">
        <v>4</v>
      </c>
      <c r="G13097" s="14"/>
      <c r="H13097" s="19">
        <v>4</v>
      </c>
      <c r="I13097" s="14"/>
      <c r="J13097" t="s" s="11">
        <v>20</v>
      </c>
      <c r="K13097" s="15"/>
      <c r="L13097" t="s" s="16">
        <f>HYPERLINK("http://csr.bu.edu/ftp/asl/asllvd/demos/verify_start_end_handshape_annotations//test_auto_move//signs_mov_separ_signers/Brady_6313.mov","MOV")</f>
        <v>21</v>
      </c>
      <c r="M13097" t="s" s="10">
        <v>31</v>
      </c>
      <c r="N13097" s="17">
        <v>5</v>
      </c>
      <c r="O13097" s="18">
        <v>10221</v>
      </c>
      <c r="P13097" s="18">
        <v>10226</v>
      </c>
      <c r="Q13097" s="15"/>
      <c r="R13097" t="s" s="16">
        <f>HYPERLINK("http://secrets.rutgers.edu:8080/data/asl-ftp/asllvd/demos/verify_start_end_handshape_annotations//test_auto_move//signs_mov_separ_signers/Brady_6313.mov","MOV")</f>
        <v>21</v>
      </c>
    </row>
    <row r="13098" s="2" customFormat="1" ht="13.5" customHeight="1">
      <c r="B13098" t="s" s="8">
        <v>52</v>
      </c>
      <c r="C13098" t="s" s="9">
        <v>53</v>
      </c>
      <c r="D13098" t="s" s="8">
        <v>53</v>
      </c>
      <c r="E13098" t="s" s="9">
        <v>53</v>
      </c>
      <c r="F13098" t="s" s="10">
        <v>53</v>
      </c>
      <c r="G13098" t="s" s="11">
        <v>53</v>
      </c>
      <c r="H13098" t="s" s="10">
        <v>53</v>
      </c>
      <c r="I13098" t="s" s="11">
        <v>53</v>
      </c>
      <c r="J13098" t="s" s="11">
        <v>53</v>
      </c>
      <c r="K13098" t="s" s="12">
        <v>53</v>
      </c>
      <c r="L13098" t="s" s="12">
        <v>53</v>
      </c>
      <c r="M13098" t="s" s="10">
        <v>53</v>
      </c>
      <c r="N13098" t="s" s="11">
        <v>53</v>
      </c>
      <c r="O13098" t="s" s="8">
        <v>53</v>
      </c>
      <c r="P13098" t="s" s="8">
        <v>53</v>
      </c>
      <c r="Q13098" t="s" s="12">
        <v>53</v>
      </c>
      <c r="R13098" t="s" s="12">
        <v>53</v>
      </c>
    </row>
    <row r="13099" s="2" customFormat="1" ht="13.5" customHeight="1">
      <c r="B13099" s="13"/>
      <c r="C13099" t="s" s="9">
        <v>30</v>
      </c>
      <c r="D13099" t="s" s="8">
        <v>4964</v>
      </c>
      <c r="E13099" t="s" s="9">
        <v>4966</v>
      </c>
      <c r="F13099" s="19">
        <v>4</v>
      </c>
      <c r="G13099" s="14"/>
      <c r="H13099" s="19">
        <v>4</v>
      </c>
      <c r="I13099" s="14"/>
      <c r="J13099" t="s" s="11">
        <v>20</v>
      </c>
      <c r="K13099" t="s" s="16">
        <f>HYPERLINK("http://csr.bu.edu/ftp/asl/asllvd/demos/verify_start_end_handshape_annotations//test_auto_move//signs_mov/5627.mov","MOV")</f>
        <v>21</v>
      </c>
      <c r="L13099" t="s" s="16">
        <f>HYPERLINK("http://csr.bu.edu/ftp/asl/asllvd/demos/verify_start_end_handshape_annotations//test_auto_move//signs_mov_separ_signers/Brady_5627.mov","MOV")</f>
        <v>21</v>
      </c>
      <c r="M13099" t="s" s="10">
        <v>31</v>
      </c>
      <c r="N13099" s="17">
        <v>5</v>
      </c>
      <c r="O13099" s="18">
        <v>9710</v>
      </c>
      <c r="P13099" s="18">
        <v>9729</v>
      </c>
      <c r="Q13099" t="s" s="16">
        <f>HYPERLINK("http://secrets.rutgers.edu:8080/data/asl-ftp/asllvd/demos/verify_start_end_handshape_annotations//test_auto_move//signs_mov/5627.mov","MOV")</f>
        <v>21</v>
      </c>
      <c r="R13099" t="s" s="16">
        <f>HYPERLINK("http://secrets.rutgers.edu:8080/data/asl-ftp/asllvd/demos/verify_start_end_handshape_annotations//test_auto_move//signs_mov_separ_signers/Brady_5627.mov","MOV")</f>
        <v>21</v>
      </c>
    </row>
    <row r="13100" s="2" customFormat="1" ht="13.5" customHeight="1">
      <c r="B13100" t="s" s="8">
        <v>4967</v>
      </c>
      <c r="C13100" t="s" s="9">
        <v>14</v>
      </c>
      <c r="D13100" t="s" s="8">
        <v>14</v>
      </c>
      <c r="E13100" t="s" s="9">
        <v>14</v>
      </c>
      <c r="F13100" t="s" s="10">
        <v>14</v>
      </c>
      <c r="G13100" t="s" s="11">
        <v>14</v>
      </c>
      <c r="H13100" t="s" s="10">
        <v>14</v>
      </c>
      <c r="I13100" t="s" s="11">
        <v>14</v>
      </c>
      <c r="J13100" t="s" s="11">
        <v>14</v>
      </c>
      <c r="K13100" t="s" s="12">
        <v>14</v>
      </c>
      <c r="L13100" t="s" s="12">
        <v>14</v>
      </c>
      <c r="M13100" t="s" s="10">
        <v>14</v>
      </c>
      <c r="N13100" t="s" s="11">
        <v>14</v>
      </c>
      <c r="O13100" t="s" s="8">
        <v>14</v>
      </c>
      <c r="P13100" t="s" s="8">
        <v>14</v>
      </c>
      <c r="Q13100" t="s" s="12">
        <v>14</v>
      </c>
      <c r="R13100" t="s" s="12">
        <v>14</v>
      </c>
    </row>
    <row r="13101" s="2" customFormat="1" ht="13.5" customHeight="1">
      <c r="B13101" s="13"/>
      <c r="C13101" t="s" s="9">
        <v>16</v>
      </c>
      <c r="D13101" t="s" s="8">
        <v>4967</v>
      </c>
      <c r="E13101" t="s" s="9">
        <v>4967</v>
      </c>
      <c r="F13101" t="s" s="10">
        <v>63</v>
      </c>
      <c r="G13101" t="s" s="11">
        <v>63</v>
      </c>
      <c r="H13101" t="s" s="10">
        <v>73</v>
      </c>
      <c r="I13101" t="s" s="11">
        <v>73</v>
      </c>
      <c r="J13101" t="s" s="11">
        <v>20</v>
      </c>
      <c r="K13101" s="15"/>
      <c r="L13101" t="s" s="16">
        <f>HYPERLINK("http://csr.bu.edu/ftp/asl/asllvd/demos/verify_start_end_handshape_annotations//test_auto_move//signs_mov_separ_signers/Liz_6340.mov","MOV")</f>
        <v>21</v>
      </c>
      <c r="M13101" t="s" s="10">
        <v>22</v>
      </c>
      <c r="N13101" s="17">
        <v>6</v>
      </c>
      <c r="O13101" s="18">
        <v>2199</v>
      </c>
      <c r="P13101" s="18">
        <v>2266</v>
      </c>
      <c r="Q13101" s="15"/>
      <c r="R13101" t="s" s="16">
        <f>HYPERLINK("http://secrets.rutgers.edu:8080/data/asl-ftp/asllvd/demos/verify_start_end_handshape_annotations//test_auto_move//signs_mov_separ_signers/Liz_6340.mov","MOV")</f>
        <v>21</v>
      </c>
    </row>
    <row r="13102" s="2" customFormat="1" ht="13.5" customHeight="1">
      <c r="B13102" s="13"/>
      <c r="C13102" t="s" s="9">
        <v>23</v>
      </c>
      <c r="D13102" t="s" s="8">
        <v>4967</v>
      </c>
      <c r="E13102" t="s" s="9">
        <v>4967</v>
      </c>
      <c r="F13102" s="19">
        <v>10</v>
      </c>
      <c r="G13102" s="17">
        <v>10</v>
      </c>
      <c r="H13102" t="s" s="10">
        <v>73</v>
      </c>
      <c r="I13102" t="s" s="11">
        <v>73</v>
      </c>
      <c r="J13102" t="s" s="11">
        <v>20</v>
      </c>
      <c r="K13102" s="15"/>
      <c r="L13102" t="s" s="16">
        <f>HYPERLINK("http://csr.bu.edu/ftp/asl/asllvd/demos/verify_start_end_handshape_annotations//test_auto_move//signs_mov_separ_signers/Tyler_6340.mov","MOV")</f>
        <v>21</v>
      </c>
      <c r="M13102" t="s" s="10">
        <v>26</v>
      </c>
      <c r="N13102" s="17">
        <v>6</v>
      </c>
      <c r="O13102" s="18">
        <v>4528</v>
      </c>
      <c r="P13102" s="18">
        <v>4577</v>
      </c>
      <c r="Q13102" s="15"/>
      <c r="R13102" t="s" s="16">
        <f>HYPERLINK("http://secrets.rutgers.edu:8080/data/asl-ftp/asllvd/demos/verify_start_end_handshape_annotations//test_auto_move//signs_mov_separ_signers/Tyler_6340.mov","MOV")</f>
        <v>21</v>
      </c>
    </row>
    <row r="13103" s="2" customFormat="1" ht="13.5" customHeight="1">
      <c r="B13103" s="13"/>
      <c r="C13103" t="s" s="9">
        <v>27</v>
      </c>
      <c r="D13103" t="s" s="8">
        <v>4967</v>
      </c>
      <c r="E13103" t="s" s="9">
        <v>4967</v>
      </c>
      <c r="F13103" t="s" s="10">
        <v>63</v>
      </c>
      <c r="G13103" t="s" s="11">
        <v>63</v>
      </c>
      <c r="H13103" t="s" s="10">
        <v>73</v>
      </c>
      <c r="I13103" t="s" s="11">
        <v>73</v>
      </c>
      <c r="J13103" t="s" s="11">
        <v>20</v>
      </c>
      <c r="K13103" t="s" s="16">
        <f>HYPERLINK("http://csr.bu.edu/ftp/asl/asllvd/demos/verify_start_end_handshape_annotations//test_auto_move//signs_mov/5378_6340_merged.mov","MOV")</f>
        <v>21</v>
      </c>
      <c r="L13103" t="s" s="16">
        <f>HYPERLINK("http://csr.bu.edu/ftp/asl/asllvd/demos/verify_start_end_handshape_annotations//test_auto_move//signs_mov_separ_signers/Naomi_6340.mov","MOV")</f>
        <v>21</v>
      </c>
      <c r="M13103" t="s" s="10">
        <v>29</v>
      </c>
      <c r="N13103" s="17">
        <v>5</v>
      </c>
      <c r="O13103" s="18">
        <v>1055</v>
      </c>
      <c r="P13103" s="18">
        <v>1107</v>
      </c>
      <c r="Q13103" t="s" s="16">
        <f>HYPERLINK("http://secrets.rutgers.edu:8080/data/asl-ftp/asllvd/demos/verify_start_end_handshape_annotations//test_auto_move//signs_mov/5378_6340_merged.mov","MOV")</f>
        <v>21</v>
      </c>
      <c r="R13103" t="s" s="16">
        <f>HYPERLINK("http://secrets.rutgers.edu:8080/data/asl-ftp/asllvd/demos/verify_start_end_handshape_annotations//test_auto_move//signs_mov_separ_signers/Naomi_6340.mov","MOV")</f>
        <v>21</v>
      </c>
    </row>
    <row r="13104" s="2" customFormat="1" ht="13.5" customHeight="1">
      <c r="B13104" s="13"/>
      <c r="C13104" t="s" s="9">
        <v>30</v>
      </c>
      <c r="D13104" t="s" s="8">
        <v>4967</v>
      </c>
      <c r="E13104" t="s" s="9">
        <v>4967</v>
      </c>
      <c r="F13104" t="s" s="10">
        <v>63</v>
      </c>
      <c r="G13104" t="s" s="11">
        <v>63</v>
      </c>
      <c r="H13104" t="s" s="10">
        <v>73</v>
      </c>
      <c r="I13104" t="s" s="11">
        <v>73</v>
      </c>
      <c r="J13104" t="s" s="11">
        <v>20</v>
      </c>
      <c r="K13104" s="15"/>
      <c r="L13104" t="s" s="16">
        <f>HYPERLINK("http://csr.bu.edu/ftp/asl/asllvd/demos/verify_start_end_handshape_annotations//test_auto_move//signs_mov_separ_signers/Brady_6340.mov","MOV")</f>
        <v>21</v>
      </c>
      <c r="M13104" t="s" s="10">
        <v>31</v>
      </c>
      <c r="N13104" s="17">
        <v>15</v>
      </c>
      <c r="O13104" s="18">
        <v>3122</v>
      </c>
      <c r="P13104" s="18">
        <v>3156</v>
      </c>
      <c r="Q13104" s="15"/>
      <c r="R13104" t="s" s="16">
        <f>HYPERLINK("http://secrets.rutgers.edu:8080/data/asl-ftp/asllvd/demos/verify_start_end_handshape_annotations//test_auto_move//signs_mov_separ_signers/Brady_6340.mov","MOV")</f>
        <v>21</v>
      </c>
    </row>
    <row r="13105" s="2" customFormat="1" ht="13.5" customHeight="1">
      <c r="B13105" s="13"/>
      <c r="C13105" t="s" s="9">
        <v>30</v>
      </c>
      <c r="D13105" t="s" s="8">
        <v>4967</v>
      </c>
      <c r="E13105" t="s" s="9">
        <v>4968</v>
      </c>
      <c r="F13105" s="19">
        <v>10</v>
      </c>
      <c r="G13105" s="17">
        <v>10</v>
      </c>
      <c r="H13105" t="s" s="10">
        <v>73</v>
      </c>
      <c r="I13105" t="s" s="11">
        <v>73</v>
      </c>
      <c r="J13105" t="s" s="11">
        <v>20</v>
      </c>
      <c r="K13105" s="15"/>
      <c r="L13105" t="s" s="16">
        <f>HYPERLINK("http://csr.bu.edu/ftp/asl/asllvd/demos/verify_start_end_handshape_annotations//test_auto_move//signs_mov_separ_signers/Brady_5378.mov","MOV")</f>
        <v>21</v>
      </c>
      <c r="M13105" t="s" s="10">
        <v>39</v>
      </c>
      <c r="N13105" s="17">
        <v>2</v>
      </c>
      <c r="O13105" s="18">
        <v>200</v>
      </c>
      <c r="P13105" s="18">
        <v>229</v>
      </c>
      <c r="Q13105" s="15"/>
      <c r="R13105" t="s" s="16">
        <f>HYPERLINK("http://secrets.rutgers.edu:8080/data/asl-ftp/asllvd/demos/verify_start_end_handshape_annotations//test_auto_move//signs_mov_separ_signers/Brady_5378.mov","MOV")</f>
        <v>21</v>
      </c>
    </row>
    <row r="13106" s="2" customFormat="1" ht="13.5" customHeight="1">
      <c r="B13106" t="s" s="8">
        <v>4969</v>
      </c>
      <c r="C13106" t="s" s="9">
        <v>14</v>
      </c>
      <c r="D13106" t="s" s="8">
        <v>14</v>
      </c>
      <c r="E13106" t="s" s="9">
        <v>14</v>
      </c>
      <c r="F13106" t="s" s="10">
        <v>14</v>
      </c>
      <c r="G13106" t="s" s="11">
        <v>14</v>
      </c>
      <c r="H13106" t="s" s="10">
        <v>14</v>
      </c>
      <c r="I13106" t="s" s="11">
        <v>14</v>
      </c>
      <c r="J13106" t="s" s="11">
        <v>14</v>
      </c>
      <c r="K13106" t="s" s="12">
        <v>14</v>
      </c>
      <c r="L13106" t="s" s="12">
        <v>14</v>
      </c>
      <c r="M13106" t="s" s="10">
        <v>14</v>
      </c>
      <c r="N13106" t="s" s="11">
        <v>14</v>
      </c>
      <c r="O13106" t="s" s="8">
        <v>14</v>
      </c>
      <c r="P13106" t="s" s="8">
        <v>14</v>
      </c>
      <c r="Q13106" t="s" s="12">
        <v>14</v>
      </c>
      <c r="R13106" t="s" s="12">
        <v>14</v>
      </c>
    </row>
    <row r="13107" s="2" customFormat="1" ht="13.5" customHeight="1">
      <c r="B13107" s="13"/>
      <c r="C13107" t="s" s="9">
        <v>16</v>
      </c>
      <c r="D13107" t="s" s="8">
        <v>4969</v>
      </c>
      <c r="E13107" t="s" s="9">
        <v>4969</v>
      </c>
      <c r="F13107" t="s" s="10">
        <v>220</v>
      </c>
      <c r="G13107" t="s" s="11">
        <v>220</v>
      </c>
      <c r="H13107" t="s" s="10">
        <v>75</v>
      </c>
      <c r="I13107" t="s" s="11">
        <v>75</v>
      </c>
      <c r="J13107" t="s" s="11">
        <v>20</v>
      </c>
      <c r="K13107" s="15"/>
      <c r="L13107" t="s" s="16">
        <f>HYPERLINK("http://csr.bu.edu/ftp/asl/asllvd/demos/verify_start_end_handshape_annotations//test_auto_move//signs_mov_separ_signers/Liz_6351.mov","MOV")</f>
        <v>21</v>
      </c>
      <c r="M13107" t="s" s="10">
        <v>22</v>
      </c>
      <c r="N13107" s="17">
        <v>25</v>
      </c>
      <c r="O13107" s="18">
        <v>720</v>
      </c>
      <c r="P13107" s="18">
        <v>787</v>
      </c>
      <c r="Q13107" s="15"/>
      <c r="R13107" t="s" s="16">
        <f>HYPERLINK("http://secrets.rutgers.edu:8080/data/asl-ftp/asllvd/demos/verify_start_end_handshape_annotations//test_auto_move//signs_mov_separ_signers/Liz_6351.mov","MOV")</f>
        <v>21</v>
      </c>
    </row>
    <row r="13108" s="2" customFormat="1" ht="13.5" customHeight="1">
      <c r="B13108" s="13"/>
      <c r="C13108" t="s" s="9">
        <v>27</v>
      </c>
      <c r="D13108" t="s" s="8">
        <v>4969</v>
      </c>
      <c r="E13108" t="s" s="9">
        <v>4969</v>
      </c>
      <c r="F13108" t="s" s="10">
        <v>220</v>
      </c>
      <c r="G13108" t="s" s="11">
        <v>220</v>
      </c>
      <c r="H13108" t="s" s="10">
        <v>75</v>
      </c>
      <c r="I13108" t="s" s="11">
        <v>75</v>
      </c>
      <c r="J13108" t="s" s="11">
        <v>20</v>
      </c>
      <c r="K13108" t="s" s="16">
        <f>HYPERLINK("http://csr.bu.edu/ftp/asl/asllvd/demos/verify_start_end_handshape_annotations//test_auto_move//signs_mov/6351.mov","MOV")</f>
        <v>21</v>
      </c>
      <c r="L13108" t="s" s="16">
        <f>HYPERLINK("http://csr.bu.edu/ftp/asl/asllvd/demos/verify_start_end_handshape_annotations//test_auto_move//signs_mov_separ_signers/Naomi_6351.mov","MOV")</f>
        <v>21</v>
      </c>
      <c r="M13108" t="s" s="10">
        <v>29</v>
      </c>
      <c r="N13108" s="17">
        <v>16</v>
      </c>
      <c r="O13108" s="18">
        <v>4166</v>
      </c>
      <c r="P13108" s="18">
        <v>4208</v>
      </c>
      <c r="Q13108" t="s" s="16">
        <f>HYPERLINK("http://secrets.rutgers.edu:8080/data/asl-ftp/asllvd/demos/verify_start_end_handshape_annotations//test_auto_move//signs_mov/6351.mov","MOV")</f>
        <v>21</v>
      </c>
      <c r="R13108" t="s" s="16">
        <f>HYPERLINK("http://secrets.rutgers.edu:8080/data/asl-ftp/asllvd/demos/verify_start_end_handshape_annotations//test_auto_move//signs_mov_separ_signers/Naomi_6351.mov","MOV")</f>
        <v>21</v>
      </c>
    </row>
    <row r="13109" s="2" customFormat="1" ht="13.5" customHeight="1">
      <c r="B13109" s="13"/>
      <c r="C13109" t="s" s="9">
        <v>30</v>
      </c>
      <c r="D13109" t="s" s="8">
        <v>4969</v>
      </c>
      <c r="E13109" t="s" s="9">
        <v>4969</v>
      </c>
      <c r="F13109" t="s" s="10">
        <v>220</v>
      </c>
      <c r="G13109" t="s" s="11">
        <v>220</v>
      </c>
      <c r="H13109" t="s" s="10">
        <v>75</v>
      </c>
      <c r="I13109" t="s" s="11">
        <v>75</v>
      </c>
      <c r="J13109" t="s" s="11">
        <v>20</v>
      </c>
      <c r="K13109" s="15"/>
      <c r="L13109" t="s" s="16">
        <f>HYPERLINK("http://csr.bu.edu/ftp/asl/asllvd/demos/verify_start_end_handshape_annotations//test_auto_move//signs_mov_separ_signers/Brady_6351.mov","MOV")</f>
        <v>21</v>
      </c>
      <c r="M13109" t="s" s="10">
        <v>39</v>
      </c>
      <c r="N13109" s="17">
        <v>2</v>
      </c>
      <c r="O13109" s="18">
        <v>3158</v>
      </c>
      <c r="P13109" s="18">
        <v>3209</v>
      </c>
      <c r="Q13109" s="15"/>
      <c r="R13109" t="s" s="16">
        <f>HYPERLINK("http://secrets.rutgers.edu:8080/data/asl-ftp/asllvd/demos/verify_start_end_handshape_annotations//test_auto_move//signs_mov_separ_signers/Brady_6351.mov","MOV")</f>
        <v>21</v>
      </c>
    </row>
    <row r="13110" s="2" customFormat="1" ht="13.5" customHeight="1">
      <c r="B13110" t="s" s="8">
        <v>4970</v>
      </c>
      <c r="C13110" t="s" s="9">
        <v>14</v>
      </c>
      <c r="D13110" t="s" s="8">
        <v>14</v>
      </c>
      <c r="E13110" t="s" s="9">
        <v>14</v>
      </c>
      <c r="F13110" t="s" s="10">
        <v>14</v>
      </c>
      <c r="G13110" t="s" s="11">
        <v>14</v>
      </c>
      <c r="H13110" t="s" s="10">
        <v>14</v>
      </c>
      <c r="I13110" t="s" s="11">
        <v>14</v>
      </c>
      <c r="J13110" t="s" s="11">
        <v>14</v>
      </c>
      <c r="K13110" t="s" s="12">
        <v>14</v>
      </c>
      <c r="L13110" t="s" s="12">
        <v>14</v>
      </c>
      <c r="M13110" t="s" s="10">
        <v>14</v>
      </c>
      <c r="N13110" t="s" s="11">
        <v>14</v>
      </c>
      <c r="O13110" t="s" s="8">
        <v>14</v>
      </c>
      <c r="P13110" t="s" s="8">
        <v>14</v>
      </c>
      <c r="Q13110" t="s" s="12">
        <v>14</v>
      </c>
      <c r="R13110" t="s" s="12">
        <v>14</v>
      </c>
    </row>
    <row r="13111" s="2" customFormat="1" ht="13.5" customHeight="1">
      <c r="B13111" s="13"/>
      <c r="C13111" t="s" s="9">
        <v>16</v>
      </c>
      <c r="D13111" t="s" s="8">
        <v>4970</v>
      </c>
      <c r="E13111" t="s" s="9">
        <v>4970</v>
      </c>
      <c r="F13111" t="s" s="10">
        <v>25</v>
      </c>
      <c r="G13111" s="14"/>
      <c r="H13111" s="19">
        <v>5</v>
      </c>
      <c r="I13111" s="14"/>
      <c r="J13111" t="s" s="11">
        <v>20</v>
      </c>
      <c r="K13111" t="s" s="16">
        <f>HYPERLINK("http://csr.bu.edu/ftp/asl/asllvd/demos/verify_start_end_handshape_annotations//test_auto_move//signs_mov/6358.mov","MOV")</f>
        <v>21</v>
      </c>
      <c r="L13111" t="s" s="16">
        <f>HYPERLINK("http://csr.bu.edu/ftp/asl/asllvd/demos/verify_start_end_handshape_annotations//test_auto_move//signs_mov_separ_signers/Liz_6358.mov","MOV")</f>
        <v>21</v>
      </c>
      <c r="M13111" t="s" s="10">
        <v>22</v>
      </c>
      <c r="N13111" s="17">
        <v>48</v>
      </c>
      <c r="O13111" s="18">
        <v>1370</v>
      </c>
      <c r="P13111" s="18">
        <v>1445</v>
      </c>
      <c r="Q13111" t="s" s="16">
        <f>HYPERLINK("http://secrets.rutgers.edu:8080/data/asl-ftp/asllvd/demos/verify_start_end_handshape_annotations//test_auto_move//signs_mov/6358.mov","MOV")</f>
        <v>21</v>
      </c>
      <c r="R13111" t="s" s="16">
        <f>HYPERLINK("http://secrets.rutgers.edu:8080/data/asl-ftp/asllvd/demos/verify_start_end_handshape_annotations//test_auto_move//signs_mov_separ_signers/Liz_6358.mov","MOV")</f>
        <v>21</v>
      </c>
    </row>
    <row r="13112" s="2" customFormat="1" ht="13.5" customHeight="1">
      <c r="B13112" s="13"/>
      <c r="C13112" t="s" s="9">
        <v>30</v>
      </c>
      <c r="D13112" t="s" s="8">
        <v>4970</v>
      </c>
      <c r="E13112" t="s" s="9">
        <v>4971</v>
      </c>
      <c r="F13112" s="19">
        <v>1</v>
      </c>
      <c r="G13112" s="17">
        <v>5</v>
      </c>
      <c r="H13112" s="19">
        <v>5</v>
      </c>
      <c r="I13112" s="17">
        <v>5</v>
      </c>
      <c r="J13112" t="s" s="11">
        <v>20</v>
      </c>
      <c r="K13112" s="15"/>
      <c r="L13112" t="s" s="16">
        <f>HYPERLINK("http://csr.bu.edu/ftp/asl/asllvd/demos/verify_start_end_handshape_annotations//test_auto_move//signs_mov_separ_signers/Brady_6358.mov","MOV")</f>
        <v>21</v>
      </c>
      <c r="M13112" t="s" s="10">
        <v>39</v>
      </c>
      <c r="N13112" s="17">
        <v>3</v>
      </c>
      <c r="O13112" s="18">
        <v>1820</v>
      </c>
      <c r="P13112" s="18">
        <v>1880</v>
      </c>
      <c r="Q13112" s="15"/>
      <c r="R13112" t="s" s="16">
        <f>HYPERLINK("http://secrets.rutgers.edu:8080/data/asl-ftp/asllvd/demos/verify_start_end_handshape_annotations//test_auto_move//signs_mov_separ_signers/Brady_6358.mov","MOV")</f>
        <v>21</v>
      </c>
    </row>
    <row r="13113" s="2" customFormat="1" ht="13.5" customHeight="1">
      <c r="B13113" t="s" s="8">
        <v>4972</v>
      </c>
      <c r="C13113" t="s" s="9">
        <v>14</v>
      </c>
      <c r="D13113" t="s" s="8">
        <v>14</v>
      </c>
      <c r="E13113" t="s" s="9">
        <v>14</v>
      </c>
      <c r="F13113" t="s" s="10">
        <v>14</v>
      </c>
      <c r="G13113" t="s" s="11">
        <v>14</v>
      </c>
      <c r="H13113" t="s" s="10">
        <v>14</v>
      </c>
      <c r="I13113" t="s" s="11">
        <v>14</v>
      </c>
      <c r="J13113" t="s" s="11">
        <v>14</v>
      </c>
      <c r="K13113" t="s" s="12">
        <v>14</v>
      </c>
      <c r="L13113" t="s" s="12">
        <v>14</v>
      </c>
      <c r="M13113" t="s" s="10">
        <v>14</v>
      </c>
      <c r="N13113" t="s" s="11">
        <v>14</v>
      </c>
      <c r="O13113" t="s" s="8">
        <v>14</v>
      </c>
      <c r="P13113" t="s" s="8">
        <v>14</v>
      </c>
      <c r="Q13113" t="s" s="12">
        <v>14</v>
      </c>
      <c r="R13113" t="s" s="12">
        <v>14</v>
      </c>
    </row>
    <row r="13114" s="2" customFormat="1" ht="13.5" customHeight="1">
      <c r="B13114" s="13"/>
      <c r="C13114" t="s" s="9">
        <v>23</v>
      </c>
      <c r="D13114" t="s" s="8">
        <v>4972</v>
      </c>
      <c r="E13114" t="s" s="9">
        <v>4972</v>
      </c>
      <c r="F13114" t="s" s="10">
        <v>55</v>
      </c>
      <c r="G13114" t="s" s="11">
        <v>55</v>
      </c>
      <c r="H13114" s="19">
        <v>1</v>
      </c>
      <c r="I13114" s="17">
        <v>1</v>
      </c>
      <c r="J13114" t="s" s="11">
        <v>20</v>
      </c>
      <c r="K13114" t="s" s="16">
        <f>HYPERLINK("http://csr.bu.edu/ftp/asl/asllvd/demos/verify_start_end_handshape_annotations//test_auto_move//signs_mov/6366.mov","MOV")</f>
        <v>21</v>
      </c>
      <c r="L13114" t="s" s="16">
        <f>HYPERLINK("http://csr.bu.edu/ftp/asl/asllvd/demos/verify_start_end_handshape_annotations//test_auto_move//signs_mov_separ_signers/Tyler_6366.mov","MOV")</f>
        <v>21</v>
      </c>
      <c r="M13114" t="s" s="10">
        <v>125</v>
      </c>
      <c r="N13114" s="17">
        <v>10</v>
      </c>
      <c r="O13114" s="18">
        <v>655</v>
      </c>
      <c r="P13114" s="18">
        <v>733</v>
      </c>
      <c r="Q13114" t="s" s="16">
        <f>HYPERLINK("http://secrets.rutgers.edu:8080/data/asl-ftp/asllvd/demos/verify_start_end_handshape_annotations//test_auto_move//signs_mov/6366.mov","MOV")</f>
        <v>21</v>
      </c>
      <c r="R13114" t="s" s="16">
        <f>HYPERLINK("http://secrets.rutgers.edu:8080/data/asl-ftp/asllvd/demos/verify_start_end_handshape_annotations//test_auto_move//signs_mov_separ_signers/Tyler_6366.mov","MOV")</f>
        <v>21</v>
      </c>
    </row>
    <row r="13115" s="2" customFormat="1" ht="13.5" customHeight="1">
      <c r="B13115" t="s" s="8">
        <v>52</v>
      </c>
      <c r="C13115" t="s" s="9">
        <v>53</v>
      </c>
      <c r="D13115" t="s" s="8">
        <v>53</v>
      </c>
      <c r="E13115" t="s" s="9">
        <v>53</v>
      </c>
      <c r="F13115" t="s" s="10">
        <v>53</v>
      </c>
      <c r="G13115" t="s" s="11">
        <v>53</v>
      </c>
      <c r="H13115" t="s" s="10">
        <v>53</v>
      </c>
      <c r="I13115" t="s" s="11">
        <v>53</v>
      </c>
      <c r="J13115" t="s" s="11">
        <v>53</v>
      </c>
      <c r="K13115" t="s" s="12">
        <v>53</v>
      </c>
      <c r="L13115" t="s" s="12">
        <v>53</v>
      </c>
      <c r="M13115" t="s" s="10">
        <v>53</v>
      </c>
      <c r="N13115" t="s" s="11">
        <v>53</v>
      </c>
      <c r="O13115" t="s" s="8">
        <v>53</v>
      </c>
      <c r="P13115" t="s" s="8">
        <v>53</v>
      </c>
      <c r="Q13115" t="s" s="12">
        <v>53</v>
      </c>
      <c r="R13115" t="s" s="12">
        <v>53</v>
      </c>
    </row>
    <row r="13116" s="2" customFormat="1" ht="13.5" customHeight="1">
      <c r="B13116" s="13"/>
      <c r="C13116" t="s" s="9">
        <v>30</v>
      </c>
      <c r="D13116" t="s" s="8">
        <v>4972</v>
      </c>
      <c r="E13116" t="s" s="9">
        <v>4973</v>
      </c>
      <c r="F13116" s="19">
        <v>1</v>
      </c>
      <c r="G13116" s="17">
        <v>1</v>
      </c>
      <c r="H13116" t="s" s="10">
        <v>55</v>
      </c>
      <c r="I13116" t="s" s="11">
        <v>55</v>
      </c>
      <c r="J13116" t="s" s="11">
        <v>20</v>
      </c>
      <c r="K13116" t="s" s="16">
        <f>HYPERLINK("http://csr.bu.edu/ftp/asl/asllvd/demos/verify_start_end_handshape_annotations//test_auto_move//signs_mov/5874.mov","MOV")</f>
        <v>21</v>
      </c>
      <c r="L13116" t="s" s="16">
        <f>HYPERLINK("http://csr.bu.edu/ftp/asl/asllvd/demos/verify_start_end_handshape_annotations//test_auto_move//signs_mov_separ_signers/Brady_5874.mov","MOV")</f>
        <v>21</v>
      </c>
      <c r="M13116" t="s" s="10">
        <v>39</v>
      </c>
      <c r="N13116" s="17">
        <v>3</v>
      </c>
      <c r="O13116" s="18">
        <v>10992</v>
      </c>
      <c r="P13116" s="18">
        <v>11046</v>
      </c>
      <c r="Q13116" t="s" s="16">
        <f>HYPERLINK("http://secrets.rutgers.edu:8080/data/asl-ftp/asllvd/demos/verify_start_end_handshape_annotations//test_auto_move//signs_mov/5874.mov","MOV")</f>
        <v>21</v>
      </c>
      <c r="R13116" t="s" s="16">
        <f>HYPERLINK("http://secrets.rutgers.edu:8080/data/asl-ftp/asllvd/demos/verify_start_end_handshape_annotations//test_auto_move//signs_mov_separ_signers/Brady_5874.mov","MOV")</f>
        <v>21</v>
      </c>
    </row>
    <row r="13117" s="2" customFormat="1" ht="13.5" customHeight="1">
      <c r="B13117" t="s" s="8">
        <v>4974</v>
      </c>
      <c r="C13117" t="s" s="9">
        <v>14</v>
      </c>
      <c r="D13117" t="s" s="8">
        <v>14</v>
      </c>
      <c r="E13117" t="s" s="9">
        <v>14</v>
      </c>
      <c r="F13117" t="s" s="10">
        <v>14</v>
      </c>
      <c r="G13117" t="s" s="11">
        <v>14</v>
      </c>
      <c r="H13117" t="s" s="10">
        <v>14</v>
      </c>
      <c r="I13117" t="s" s="11">
        <v>14</v>
      </c>
      <c r="J13117" t="s" s="11">
        <v>14</v>
      </c>
      <c r="K13117" t="s" s="12">
        <v>14</v>
      </c>
      <c r="L13117" t="s" s="12">
        <v>14</v>
      </c>
      <c r="M13117" t="s" s="10">
        <v>14</v>
      </c>
      <c r="N13117" t="s" s="11">
        <v>14</v>
      </c>
      <c r="O13117" t="s" s="8">
        <v>14</v>
      </c>
      <c r="P13117" t="s" s="8">
        <v>14</v>
      </c>
      <c r="Q13117" t="s" s="12">
        <v>14</v>
      </c>
      <c r="R13117" t="s" s="12">
        <v>14</v>
      </c>
    </row>
    <row r="13118" s="2" customFormat="1" ht="13.5" customHeight="1">
      <c r="B13118" s="13"/>
      <c r="C13118" t="s" s="9">
        <v>23</v>
      </c>
      <c r="D13118" t="s" s="8">
        <v>4974</v>
      </c>
      <c r="E13118" t="s" s="9">
        <v>4974</v>
      </c>
      <c r="F13118" t="s" s="10">
        <v>63</v>
      </c>
      <c r="G13118" s="14"/>
      <c r="H13118" t="s" s="10">
        <v>25</v>
      </c>
      <c r="I13118" t="s" s="11">
        <v>73</v>
      </c>
      <c r="J13118" t="s" s="11">
        <v>20</v>
      </c>
      <c r="K13118" t="s" s="16">
        <f>HYPERLINK("http://csr.bu.edu/ftp/asl/asllvd/demos/verify_start_end_handshape_annotations//test_auto_move//signs_mov/6370.mov","MOV")</f>
        <v>21</v>
      </c>
      <c r="L13118" t="s" s="16">
        <f>HYPERLINK("http://csr.bu.edu/ftp/asl/asllvd/demos/verify_start_end_handshape_annotations//test_auto_move//signs_mov_separ_signers/Tyler_6370.mov","MOV")</f>
        <v>21</v>
      </c>
      <c r="M13118" t="s" s="10">
        <v>26</v>
      </c>
      <c r="N13118" s="17">
        <v>35</v>
      </c>
      <c r="O13118" s="18">
        <v>1562</v>
      </c>
      <c r="P13118" s="18">
        <v>1612</v>
      </c>
      <c r="Q13118" t="s" s="16">
        <f>HYPERLINK("http://secrets.rutgers.edu:8080/data/asl-ftp/asllvd/demos/verify_start_end_handshape_annotations//test_auto_move//signs_mov/6370.mov","MOV")</f>
        <v>21</v>
      </c>
      <c r="R13118" t="s" s="16">
        <f>HYPERLINK("http://secrets.rutgers.edu:8080/data/asl-ftp/asllvd/demos/verify_start_end_handshape_annotations//test_auto_move//signs_mov_separ_signers/Tyler_6370.mov","MOV")</f>
        <v>21</v>
      </c>
    </row>
    <row r="13119" s="2" customFormat="1" ht="13.5" customHeight="1">
      <c r="B13119" s="13"/>
      <c r="C13119" t="s" s="9">
        <v>27</v>
      </c>
      <c r="D13119" t="s" s="8">
        <v>4974</v>
      </c>
      <c r="E13119" t="s" s="9">
        <v>4974</v>
      </c>
      <c r="F13119" t="s" s="10">
        <v>63</v>
      </c>
      <c r="G13119" s="14"/>
      <c r="H13119" t="s" s="10">
        <v>25</v>
      </c>
      <c r="I13119" t="s" s="11">
        <v>73</v>
      </c>
      <c r="J13119" t="s" s="11">
        <v>20</v>
      </c>
      <c r="K13119" s="15"/>
      <c r="L13119" t="s" s="16">
        <f>HYPERLINK("http://csr.bu.edu/ftp/asl/asllvd/demos/verify_start_end_handshape_annotations//test_auto_move//signs_mov_separ_signers/Naomi_6370.mov","MOV")</f>
        <v>21</v>
      </c>
      <c r="M13119" t="s" s="10">
        <v>29</v>
      </c>
      <c r="N13119" s="17">
        <v>36</v>
      </c>
      <c r="O13119" s="18">
        <v>1535</v>
      </c>
      <c r="P13119" s="18">
        <v>1597</v>
      </c>
      <c r="Q13119" s="15"/>
      <c r="R13119" t="s" s="16">
        <f>HYPERLINK("http://secrets.rutgers.edu:8080/data/asl-ftp/asllvd/demos/verify_start_end_handshape_annotations//test_auto_move//signs_mov_separ_signers/Naomi_6370.mov","MOV")</f>
        <v>21</v>
      </c>
    </row>
    <row r="13120" s="2" customFormat="1" ht="13.5" customHeight="1">
      <c r="B13120" t="s" s="8">
        <v>52</v>
      </c>
      <c r="C13120" t="s" s="9">
        <v>53</v>
      </c>
      <c r="D13120" t="s" s="8">
        <v>53</v>
      </c>
      <c r="E13120" t="s" s="9">
        <v>53</v>
      </c>
      <c r="F13120" t="s" s="10">
        <v>53</v>
      </c>
      <c r="G13120" t="s" s="11">
        <v>53</v>
      </c>
      <c r="H13120" t="s" s="10">
        <v>53</v>
      </c>
      <c r="I13120" t="s" s="11">
        <v>53</v>
      </c>
      <c r="J13120" t="s" s="11">
        <v>53</v>
      </c>
      <c r="K13120" t="s" s="12">
        <v>53</v>
      </c>
      <c r="L13120" t="s" s="12">
        <v>53</v>
      </c>
      <c r="M13120" t="s" s="10">
        <v>53</v>
      </c>
      <c r="N13120" t="s" s="11">
        <v>53</v>
      </c>
      <c r="O13120" t="s" s="8">
        <v>53</v>
      </c>
      <c r="P13120" t="s" s="8">
        <v>53</v>
      </c>
      <c r="Q13120" t="s" s="12">
        <v>53</v>
      </c>
      <c r="R13120" t="s" s="12">
        <v>53</v>
      </c>
    </row>
    <row r="13121" s="2" customFormat="1" ht="13.5" customHeight="1">
      <c r="B13121" s="13"/>
      <c r="C13121" t="s" s="9">
        <v>30</v>
      </c>
      <c r="D13121" t="s" s="8">
        <v>4974</v>
      </c>
      <c r="E13121" t="s" s="9">
        <v>4975</v>
      </c>
      <c r="F13121" t="s" s="10">
        <v>25</v>
      </c>
      <c r="G13121" t="s" s="11">
        <v>25</v>
      </c>
      <c r="H13121" t="s" s="10">
        <v>25</v>
      </c>
      <c r="I13121" t="s" s="11">
        <v>73</v>
      </c>
      <c r="J13121" t="s" s="11">
        <v>20</v>
      </c>
      <c r="K13121" t="s" s="16">
        <f>HYPERLINK("http://csr.bu.edu/ftp/asl/asllvd/demos/verify_start_end_handshape_annotations//test_auto_move//signs_mov/5875.mov","MOV")</f>
        <v>21</v>
      </c>
      <c r="L13121" t="s" s="16">
        <f>HYPERLINK("http://csr.bu.edu/ftp/asl/asllvd/demos/verify_start_end_handshape_annotations//test_auto_move//signs_mov_separ_signers/Brady_5875.mov","MOV")</f>
        <v>21</v>
      </c>
      <c r="M13121" t="s" s="10">
        <v>39</v>
      </c>
      <c r="N13121" s="17">
        <v>3</v>
      </c>
      <c r="O13121" s="18">
        <v>3588</v>
      </c>
      <c r="P13121" s="18">
        <v>3622</v>
      </c>
      <c r="Q13121" t="s" s="16">
        <f>HYPERLINK("http://secrets.rutgers.edu:8080/data/asl-ftp/asllvd/demos/verify_start_end_handshape_annotations//test_auto_move//signs_mov/5875.mov","MOV")</f>
        <v>21</v>
      </c>
      <c r="R13121" t="s" s="16">
        <f>HYPERLINK("http://secrets.rutgers.edu:8080/data/asl-ftp/asllvd/demos/verify_start_end_handshape_annotations//test_auto_move//signs_mov_separ_signers/Brady_5875.mov","MOV")</f>
        <v>21</v>
      </c>
    </row>
    <row r="13122" s="2" customFormat="1" ht="13.5" customHeight="1">
      <c r="B13122" t="s" s="8">
        <v>4976</v>
      </c>
      <c r="C13122" t="s" s="9">
        <v>14</v>
      </c>
      <c r="D13122" t="s" s="8">
        <v>14</v>
      </c>
      <c r="E13122" t="s" s="9">
        <v>14</v>
      </c>
      <c r="F13122" t="s" s="10">
        <v>14</v>
      </c>
      <c r="G13122" t="s" s="11">
        <v>14</v>
      </c>
      <c r="H13122" t="s" s="10">
        <v>14</v>
      </c>
      <c r="I13122" t="s" s="11">
        <v>14</v>
      </c>
      <c r="J13122" t="s" s="11">
        <v>14</v>
      </c>
      <c r="K13122" t="s" s="12">
        <v>14</v>
      </c>
      <c r="L13122" t="s" s="12">
        <v>14</v>
      </c>
      <c r="M13122" t="s" s="10">
        <v>14</v>
      </c>
      <c r="N13122" t="s" s="11">
        <v>14</v>
      </c>
      <c r="O13122" t="s" s="8">
        <v>14</v>
      </c>
      <c r="P13122" t="s" s="8">
        <v>14</v>
      </c>
      <c r="Q13122" t="s" s="12">
        <v>14</v>
      </c>
      <c r="R13122" t="s" s="12">
        <v>14</v>
      </c>
    </row>
    <row r="13123" s="2" customFormat="1" ht="13.5" customHeight="1">
      <c r="B13123" s="13"/>
      <c r="C13123" t="s" s="9">
        <v>23</v>
      </c>
      <c r="D13123" t="s" s="8">
        <v>4976</v>
      </c>
      <c r="E13123" t="s" s="9">
        <v>4976</v>
      </c>
      <c r="F13123" s="19">
        <v>5</v>
      </c>
      <c r="G13123" s="14"/>
      <c r="H13123" t="s" s="10">
        <v>28</v>
      </c>
      <c r="I13123" s="14"/>
      <c r="J13123" t="s" s="11">
        <v>20</v>
      </c>
      <c r="K13123" t="s" s="16">
        <f>HYPERLINK("http://csr.bu.edu/ftp/asl/asllvd/demos/verify_start_end_handshape_annotations//test_auto_move//signs_mov/6371.mov","MOV")</f>
        <v>21</v>
      </c>
      <c r="L13123" t="s" s="16">
        <f>HYPERLINK("http://csr.bu.edu/ftp/asl/asllvd/demos/verify_start_end_handshape_annotations//test_auto_move//signs_mov_separ_signers/Tyler_6371.mov","MOV")</f>
        <v>21</v>
      </c>
      <c r="M13123" t="s" s="10">
        <v>26</v>
      </c>
      <c r="N13123" s="17">
        <v>42</v>
      </c>
      <c r="O13123" s="18">
        <v>3050</v>
      </c>
      <c r="P13123" s="18">
        <v>3117</v>
      </c>
      <c r="Q13123" t="s" s="16">
        <f>HYPERLINK("http://secrets.rutgers.edu:8080/data/asl-ftp/asllvd/demos/verify_start_end_handshape_annotations//test_auto_move//signs_mov/6371.mov","MOV")</f>
        <v>21</v>
      </c>
      <c r="R13123" t="s" s="16">
        <f>HYPERLINK("http://secrets.rutgers.edu:8080/data/asl-ftp/asllvd/demos/verify_start_end_handshape_annotations//test_auto_move//signs_mov_separ_signers/Tyler_6371.mov","MOV")</f>
        <v>21</v>
      </c>
    </row>
    <row r="13124" s="2" customFormat="1" ht="13.5" customHeight="1">
      <c r="B13124" s="13"/>
      <c r="C13124" t="s" s="9">
        <v>30</v>
      </c>
      <c r="D13124" t="s" s="8">
        <v>4976</v>
      </c>
      <c r="E13124" t="s" s="9">
        <v>4976</v>
      </c>
      <c r="F13124" t="s" s="10">
        <v>73</v>
      </c>
      <c r="G13124" t="s" s="11">
        <v>28</v>
      </c>
      <c r="H13124" t="s" s="10">
        <v>28</v>
      </c>
      <c r="I13124" t="s" s="11">
        <v>28</v>
      </c>
      <c r="J13124" t="s" s="11">
        <v>20</v>
      </c>
      <c r="K13124" s="15"/>
      <c r="L13124" t="s" s="16">
        <f>HYPERLINK("http://csr.bu.edu/ftp/asl/asllvd/demos/verify_start_end_handshape_annotations//test_auto_move//signs_mov_separ_signers/Brady_6371.mov","MOV")</f>
        <v>21</v>
      </c>
      <c r="M13124" t="s" s="10">
        <v>39</v>
      </c>
      <c r="N13124" s="17">
        <v>3</v>
      </c>
      <c r="O13124" s="18">
        <v>5988</v>
      </c>
      <c r="P13124" s="18">
        <v>6041</v>
      </c>
      <c r="Q13124" s="15"/>
      <c r="R13124" t="s" s="16">
        <f>HYPERLINK("http://secrets.rutgers.edu:8080/data/asl-ftp/asllvd/demos/verify_start_end_handshape_annotations//test_auto_move//signs_mov_separ_signers/Brady_6371.mov","MOV")</f>
        <v>21</v>
      </c>
    </row>
    <row r="13125" s="2" customFormat="1" ht="13.5" customHeight="1">
      <c r="B13125" t="s" s="8">
        <v>4977</v>
      </c>
      <c r="C13125" t="s" s="9">
        <v>14</v>
      </c>
      <c r="D13125" t="s" s="8">
        <v>14</v>
      </c>
      <c r="E13125" t="s" s="9">
        <v>14</v>
      </c>
      <c r="F13125" t="s" s="10">
        <v>14</v>
      </c>
      <c r="G13125" t="s" s="11">
        <v>14</v>
      </c>
      <c r="H13125" t="s" s="10">
        <v>14</v>
      </c>
      <c r="I13125" t="s" s="11">
        <v>14</v>
      </c>
      <c r="J13125" t="s" s="11">
        <v>14</v>
      </c>
      <c r="K13125" t="s" s="12">
        <v>14</v>
      </c>
      <c r="L13125" t="s" s="12">
        <v>14</v>
      </c>
      <c r="M13125" t="s" s="10">
        <v>14</v>
      </c>
      <c r="N13125" t="s" s="11">
        <v>14</v>
      </c>
      <c r="O13125" t="s" s="8">
        <v>14</v>
      </c>
      <c r="P13125" t="s" s="8">
        <v>14</v>
      </c>
      <c r="Q13125" t="s" s="12">
        <v>14</v>
      </c>
      <c r="R13125" t="s" s="12">
        <v>14</v>
      </c>
    </row>
    <row r="13126" s="2" customFormat="1" ht="13.5" customHeight="1">
      <c r="B13126" s="13"/>
      <c r="C13126" t="s" s="9">
        <v>30</v>
      </c>
      <c r="D13126" t="s" s="8">
        <v>4978</v>
      </c>
      <c r="E13126" t="s" s="9">
        <v>4979</v>
      </c>
      <c r="F13126" s="19">
        <v>1</v>
      </c>
      <c r="G13126" s="14"/>
      <c r="H13126" t="s" s="10">
        <v>115</v>
      </c>
      <c r="I13126" s="14"/>
      <c r="J13126" t="s" s="11">
        <v>20</v>
      </c>
      <c r="K13126" t="s" s="16">
        <f>HYPERLINK("http://csr.bu.edu/ftp/asl/asllvd/demos/verify_start_end_handshape_annotations//test_auto_move//signs_mov/6372.mov","MOV")</f>
        <v>21</v>
      </c>
      <c r="L13126" t="s" s="16">
        <f>HYPERLINK("http://csr.bu.edu/ftp/asl/asllvd/demos/verify_start_end_handshape_annotations//test_auto_move//signs_mov_separ_signers/Brady_6372.mov","MOV")</f>
        <v>21</v>
      </c>
      <c r="M13126" t="s" s="10">
        <v>39</v>
      </c>
      <c r="N13126" s="17">
        <v>3</v>
      </c>
      <c r="O13126" s="18">
        <v>4298</v>
      </c>
      <c r="P13126" s="18">
        <v>4336</v>
      </c>
      <c r="Q13126" t="s" s="16">
        <f>HYPERLINK("http://secrets.rutgers.edu:8080/data/asl-ftp/asllvd/demos/verify_start_end_handshape_annotations//test_auto_move//signs_mov/6372.mov","MOV")</f>
        <v>21</v>
      </c>
      <c r="R13126" t="s" s="16">
        <f>HYPERLINK("http://secrets.rutgers.edu:8080/data/asl-ftp/asllvd/demos/verify_start_end_handshape_annotations//test_auto_move//signs_mov_separ_signers/Brady_6372.mov","MOV")</f>
        <v>21</v>
      </c>
    </row>
    <row r="13127" s="2" customFormat="1" ht="13.5" customHeight="1">
      <c r="B13127" t="s" s="8">
        <v>52</v>
      </c>
      <c r="C13127" t="s" s="9">
        <v>53</v>
      </c>
      <c r="D13127" t="s" s="8">
        <v>53</v>
      </c>
      <c r="E13127" t="s" s="9">
        <v>53</v>
      </c>
      <c r="F13127" t="s" s="10">
        <v>53</v>
      </c>
      <c r="G13127" t="s" s="11">
        <v>53</v>
      </c>
      <c r="H13127" t="s" s="10">
        <v>53</v>
      </c>
      <c r="I13127" t="s" s="11">
        <v>53</v>
      </c>
      <c r="J13127" t="s" s="11">
        <v>53</v>
      </c>
      <c r="K13127" t="s" s="12">
        <v>53</v>
      </c>
      <c r="L13127" t="s" s="12">
        <v>53</v>
      </c>
      <c r="M13127" t="s" s="10">
        <v>53</v>
      </c>
      <c r="N13127" t="s" s="11">
        <v>53</v>
      </c>
      <c r="O13127" t="s" s="8">
        <v>53</v>
      </c>
      <c r="P13127" t="s" s="8">
        <v>53</v>
      </c>
      <c r="Q13127" t="s" s="12">
        <v>53</v>
      </c>
      <c r="R13127" t="s" s="12">
        <v>53</v>
      </c>
    </row>
    <row r="13128" s="2" customFormat="1" ht="13.5" customHeight="1">
      <c r="B13128" s="13"/>
      <c r="C13128" t="s" s="9">
        <v>23</v>
      </c>
      <c r="D13128" t="s" s="8">
        <v>4978</v>
      </c>
      <c r="E13128" t="s" s="9">
        <v>4980</v>
      </c>
      <c r="F13128" s="19">
        <v>1</v>
      </c>
      <c r="G13128" t="s" s="11">
        <v>282</v>
      </c>
      <c r="H13128" t="s" s="10">
        <v>282</v>
      </c>
      <c r="I13128" t="s" s="11">
        <v>282</v>
      </c>
      <c r="J13128" t="s" s="11">
        <v>20</v>
      </c>
      <c r="K13128" t="s" s="16">
        <f>HYPERLINK("http://csr.bu.edu/ftp/asl/asllvd/demos/verify_start_end_handshape_annotations//test_auto_move//signs_mov/5629.mov","MOV")</f>
        <v>21</v>
      </c>
      <c r="L13128" t="s" s="16">
        <f>HYPERLINK("http://csr.bu.edu/ftp/asl/asllvd/demos/verify_start_end_handshape_annotations//test_auto_move//signs_mov_separ_signers/Tyler_5629.mov","MOV")</f>
        <v>21</v>
      </c>
      <c r="M13128" t="s" s="10">
        <v>26</v>
      </c>
      <c r="N13128" s="17">
        <v>39</v>
      </c>
      <c r="O13128" s="18">
        <v>1542</v>
      </c>
      <c r="P13128" s="18">
        <v>1637</v>
      </c>
      <c r="Q13128" t="s" s="16">
        <f>HYPERLINK("http://secrets.rutgers.edu:8080/data/asl-ftp/asllvd/demos/verify_start_end_handshape_annotations//test_auto_move//signs_mov/5629.mov","MOV")</f>
        <v>21</v>
      </c>
      <c r="R13128" t="s" s="16">
        <f>HYPERLINK("http://secrets.rutgers.edu:8080/data/asl-ftp/asllvd/demos/verify_start_end_handshape_annotations//test_auto_move//signs_mov_separ_signers/Tyler_5629.mov","MOV")</f>
        <v>21</v>
      </c>
    </row>
    <row r="13129" s="2" customFormat="1" ht="13.5" customHeight="1">
      <c r="B13129" t="s" s="8">
        <v>52</v>
      </c>
      <c r="C13129" t="s" s="9">
        <v>53</v>
      </c>
      <c r="D13129" t="s" s="8">
        <v>53</v>
      </c>
      <c r="E13129" t="s" s="9">
        <v>53</v>
      </c>
      <c r="F13129" t="s" s="10">
        <v>53</v>
      </c>
      <c r="G13129" t="s" s="11">
        <v>53</v>
      </c>
      <c r="H13129" t="s" s="10">
        <v>53</v>
      </c>
      <c r="I13129" t="s" s="11">
        <v>53</v>
      </c>
      <c r="J13129" t="s" s="11">
        <v>53</v>
      </c>
      <c r="K13129" t="s" s="12">
        <v>53</v>
      </c>
      <c r="L13129" t="s" s="12">
        <v>53</v>
      </c>
      <c r="M13129" t="s" s="10">
        <v>53</v>
      </c>
      <c r="N13129" t="s" s="11">
        <v>53</v>
      </c>
      <c r="O13129" t="s" s="8">
        <v>53</v>
      </c>
      <c r="P13129" t="s" s="8">
        <v>53</v>
      </c>
      <c r="Q13129" t="s" s="12">
        <v>53</v>
      </c>
      <c r="R13129" t="s" s="12">
        <v>53</v>
      </c>
    </row>
    <row r="13130" s="2" customFormat="1" ht="13.5" customHeight="1">
      <c r="B13130" s="13"/>
      <c r="C13130" t="s" s="9">
        <v>16</v>
      </c>
      <c r="D13130" t="s" s="8">
        <v>4978</v>
      </c>
      <c r="E13130" t="s" s="9">
        <v>4978</v>
      </c>
      <c r="F13130" t="s" s="10">
        <v>341</v>
      </c>
      <c r="G13130" s="14"/>
      <c r="H13130" t="s" s="10">
        <v>282</v>
      </c>
      <c r="I13130" t="s" s="11">
        <v>68</v>
      </c>
      <c r="J13130" t="s" s="11">
        <v>20</v>
      </c>
      <c r="K13130" t="s" s="16">
        <f>HYPERLINK("http://csr.bu.edu/ftp/asl/asllvd/demos/verify_start_end_handshape_annotations//test_auto_move//signs_mov/5674.mov","MOV")</f>
        <v>21</v>
      </c>
      <c r="L13130" t="s" s="16">
        <f>HYPERLINK("http://csr.bu.edu/ftp/asl/asllvd/demos/verify_start_end_handshape_annotations//test_auto_move//signs_mov_separ_signers/Liz_5674.mov","MOV")</f>
        <v>21</v>
      </c>
      <c r="M13130" t="s" s="10">
        <v>22</v>
      </c>
      <c r="N13130" s="17">
        <v>63</v>
      </c>
      <c r="O13130" s="18">
        <v>713</v>
      </c>
      <c r="P13130" s="18">
        <v>803</v>
      </c>
      <c r="Q13130" t="s" s="16">
        <f>HYPERLINK("http://secrets.rutgers.edu:8080/data/asl-ftp/asllvd/demos/verify_start_end_handshape_annotations//test_auto_move//signs_mov/5674.mov","MOV")</f>
        <v>21</v>
      </c>
      <c r="R13130" t="s" s="16">
        <f>HYPERLINK("http://secrets.rutgers.edu:8080/data/asl-ftp/asllvd/demos/verify_start_end_handshape_annotations//test_auto_move//signs_mov_separ_signers/Liz_5674.mov","MOV")</f>
        <v>21</v>
      </c>
    </row>
    <row r="13131" s="2" customFormat="1" ht="13.5" customHeight="1">
      <c r="B13131" s="13"/>
      <c r="C13131" t="s" s="9">
        <v>27</v>
      </c>
      <c r="D13131" t="s" s="8">
        <v>4978</v>
      </c>
      <c r="E13131" t="s" s="9">
        <v>4978</v>
      </c>
      <c r="F13131" t="s" s="10">
        <v>341</v>
      </c>
      <c r="G13131" t="s" s="11">
        <v>282</v>
      </c>
      <c r="H13131" t="s" s="10">
        <v>282</v>
      </c>
      <c r="I13131" t="s" s="11">
        <v>282</v>
      </c>
      <c r="J13131" t="s" s="11">
        <v>20</v>
      </c>
      <c r="K13131" s="15"/>
      <c r="L13131" t="s" s="16">
        <f>HYPERLINK("http://csr.bu.edu/ftp/asl/asllvd/demos/verify_start_end_handshape_annotations//test_auto_move//signs_mov_separ_signers/Naomi_5674.mov","MOV")</f>
        <v>21</v>
      </c>
      <c r="M13131" t="s" s="10">
        <v>29</v>
      </c>
      <c r="N13131" s="17">
        <v>40</v>
      </c>
      <c r="O13131" s="18">
        <v>2987</v>
      </c>
      <c r="P13131" s="18">
        <v>3044</v>
      </c>
      <c r="Q13131" s="15"/>
      <c r="R13131" t="s" s="16">
        <f>HYPERLINK("http://secrets.rutgers.edu:8080/data/asl-ftp/asllvd/demos/verify_start_end_handshape_annotations//test_auto_move//signs_mov_separ_signers/Naomi_5674.mov","MOV")</f>
        <v>21</v>
      </c>
    </row>
    <row r="13132" s="2" customFormat="1" ht="13.5" customHeight="1">
      <c r="B13132" t="s" s="8">
        <v>4981</v>
      </c>
      <c r="C13132" t="s" s="9">
        <v>14</v>
      </c>
      <c r="D13132" t="s" s="8">
        <v>14</v>
      </c>
      <c r="E13132" t="s" s="9">
        <v>14</v>
      </c>
      <c r="F13132" t="s" s="10">
        <v>14</v>
      </c>
      <c r="G13132" t="s" s="11">
        <v>14</v>
      </c>
      <c r="H13132" t="s" s="10">
        <v>14</v>
      </c>
      <c r="I13132" t="s" s="11">
        <v>14</v>
      </c>
      <c r="J13132" t="s" s="11">
        <v>14</v>
      </c>
      <c r="K13132" t="s" s="12">
        <v>14</v>
      </c>
      <c r="L13132" t="s" s="12">
        <v>14</v>
      </c>
      <c r="M13132" t="s" s="10">
        <v>14</v>
      </c>
      <c r="N13132" t="s" s="11">
        <v>14</v>
      </c>
      <c r="O13132" t="s" s="8">
        <v>14</v>
      </c>
      <c r="P13132" t="s" s="8">
        <v>14</v>
      </c>
      <c r="Q13132" t="s" s="12">
        <v>14</v>
      </c>
      <c r="R13132" t="s" s="12">
        <v>14</v>
      </c>
    </row>
    <row r="13133" s="2" customFormat="1" ht="13.5" customHeight="1">
      <c r="B13133" s="13"/>
      <c r="C13133" t="s" s="9">
        <v>23</v>
      </c>
      <c r="D13133" t="s" s="8">
        <v>4981</v>
      </c>
      <c r="E13133" t="s" s="9">
        <v>4981</v>
      </c>
      <c r="F13133" t="s" s="10">
        <v>55</v>
      </c>
      <c r="G13133" s="14"/>
      <c r="H13133" t="s" s="10">
        <v>158</v>
      </c>
      <c r="I13133" t="s" s="11">
        <v>287</v>
      </c>
      <c r="J13133" t="s" s="11">
        <v>20</v>
      </c>
      <c r="K13133" t="s" s="16">
        <f>HYPERLINK("http://csr.bu.edu/ftp/asl/asllvd/demos/verify_start_end_handshape_annotations//test_auto_move//signs_mov/6381.mov","MOV")</f>
        <v>21</v>
      </c>
      <c r="L13133" t="s" s="16">
        <f>HYPERLINK("http://csr.bu.edu/ftp/asl/asllvd/demos/verify_start_end_handshape_annotations//test_auto_move//signs_mov_separ_signers/Tyler_6381.mov","MOV")</f>
        <v>21</v>
      </c>
      <c r="M13133" t="s" s="10">
        <v>26</v>
      </c>
      <c r="N13133" s="17">
        <v>30</v>
      </c>
      <c r="O13133" s="18">
        <v>1432</v>
      </c>
      <c r="P13133" s="18">
        <v>1482</v>
      </c>
      <c r="Q13133" t="s" s="16">
        <f>HYPERLINK("http://secrets.rutgers.edu:8080/data/asl-ftp/asllvd/demos/verify_start_end_handshape_annotations//test_auto_move//signs_mov/6381.mov","MOV")</f>
        <v>21</v>
      </c>
      <c r="R13133" t="s" s="16">
        <f>HYPERLINK("http://secrets.rutgers.edu:8080/data/asl-ftp/asllvd/demos/verify_start_end_handshape_annotations//test_auto_move//signs_mov_separ_signers/Tyler_6381.mov","MOV")</f>
        <v>21</v>
      </c>
    </row>
    <row r="13134" s="2" customFormat="1" ht="13.5" customHeight="1">
      <c r="B13134" s="13"/>
      <c r="C13134" t="s" s="9">
        <v>27</v>
      </c>
      <c r="D13134" t="s" s="8">
        <v>4981</v>
      </c>
      <c r="E13134" t="s" s="9">
        <v>4981</v>
      </c>
      <c r="F13134" t="s" s="10">
        <v>55</v>
      </c>
      <c r="G13134" s="14"/>
      <c r="H13134" t="s" s="10">
        <v>158</v>
      </c>
      <c r="I13134" t="s" s="11">
        <v>287</v>
      </c>
      <c r="J13134" t="s" s="11">
        <v>20</v>
      </c>
      <c r="K13134" s="15"/>
      <c r="L13134" t="s" s="16">
        <f>HYPERLINK("http://csr.bu.edu/ftp/asl/asllvd/demos/verify_start_end_handshape_annotations//test_auto_move//signs_mov_separ_signers/Naomi_6381.mov","MOV")</f>
        <v>21</v>
      </c>
      <c r="M13134" t="s" s="10">
        <v>29</v>
      </c>
      <c r="N13134" s="17">
        <v>31</v>
      </c>
      <c r="O13134" s="18">
        <v>1595</v>
      </c>
      <c r="P13134" s="18">
        <v>1631</v>
      </c>
      <c r="Q13134" s="15"/>
      <c r="R13134" t="s" s="16">
        <f>HYPERLINK("http://secrets.rutgers.edu:8080/data/asl-ftp/asllvd/demos/verify_start_end_handshape_annotations//test_auto_move//signs_mov_separ_signers/Naomi_6381.mov","MOV")</f>
        <v>21</v>
      </c>
    </row>
    <row r="13135" s="2" customFormat="1" ht="13.5" customHeight="1">
      <c r="B13135" t="s" s="8">
        <v>52</v>
      </c>
      <c r="C13135" t="s" s="9">
        <v>53</v>
      </c>
      <c r="D13135" t="s" s="8">
        <v>53</v>
      </c>
      <c r="E13135" t="s" s="9">
        <v>53</v>
      </c>
      <c r="F13135" t="s" s="10">
        <v>53</v>
      </c>
      <c r="G13135" t="s" s="11">
        <v>53</v>
      </c>
      <c r="H13135" t="s" s="10">
        <v>53</v>
      </c>
      <c r="I13135" t="s" s="11">
        <v>53</v>
      </c>
      <c r="J13135" t="s" s="11">
        <v>53</v>
      </c>
      <c r="K13135" t="s" s="12">
        <v>53</v>
      </c>
      <c r="L13135" t="s" s="12">
        <v>53</v>
      </c>
      <c r="M13135" t="s" s="10">
        <v>53</v>
      </c>
      <c r="N13135" t="s" s="11">
        <v>53</v>
      </c>
      <c r="O13135" t="s" s="8">
        <v>53</v>
      </c>
      <c r="P13135" t="s" s="8">
        <v>53</v>
      </c>
      <c r="Q13135" t="s" s="12">
        <v>53</v>
      </c>
      <c r="R13135" t="s" s="12">
        <v>53</v>
      </c>
    </row>
    <row r="13136" s="2" customFormat="1" ht="13.5" customHeight="1">
      <c r="B13136" s="13"/>
      <c r="C13136" t="s" s="9">
        <v>16</v>
      </c>
      <c r="D13136" t="s" s="8">
        <v>4981</v>
      </c>
      <c r="E13136" t="s" s="9">
        <v>4982</v>
      </c>
      <c r="F13136" t="s" s="10">
        <v>55</v>
      </c>
      <c r="G13136" s="14"/>
      <c r="H13136" t="s" s="10">
        <v>136</v>
      </c>
      <c r="I13136" s="14"/>
      <c r="J13136" t="s" s="11">
        <v>20</v>
      </c>
      <c r="K13136" t="s" s="16">
        <f>HYPERLINK("http://csr.bu.edu/ftp/asl/asllvd/demos/verify_start_end_handshape_annotations//test_auto_move//signs_mov/5556.mov","MOV")</f>
        <v>21</v>
      </c>
      <c r="L13136" t="s" s="16">
        <f>HYPERLINK("http://csr.bu.edu/ftp/asl/asllvd/demos/verify_start_end_handshape_annotations//test_auto_move//signs_mov_separ_signers/Liz_5556.mov","MOV")</f>
        <v>21</v>
      </c>
      <c r="M13136" t="s" s="10">
        <v>22</v>
      </c>
      <c r="N13136" s="17">
        <v>48</v>
      </c>
      <c r="O13136" s="18">
        <v>1083</v>
      </c>
      <c r="P13136" s="18">
        <v>1138</v>
      </c>
      <c r="Q13136" t="s" s="16">
        <f>HYPERLINK("http://secrets.rutgers.edu:8080/data/asl-ftp/asllvd/demos/verify_start_end_handshape_annotations//test_auto_move//signs_mov/5556.mov","MOV")</f>
        <v>21</v>
      </c>
      <c r="R13136" t="s" s="16">
        <f>HYPERLINK("http://secrets.rutgers.edu:8080/data/asl-ftp/asllvd/demos/verify_start_end_handshape_annotations//test_auto_move//signs_mov_separ_signers/Liz_5556.mov","MOV")</f>
        <v>21</v>
      </c>
    </row>
    <row r="13137" s="2" customFormat="1" ht="13.5" customHeight="1">
      <c r="B13137" s="13"/>
      <c r="C13137" t="s" s="9">
        <v>30</v>
      </c>
      <c r="D13137" t="s" s="8">
        <v>4981</v>
      </c>
      <c r="E13137" t="s" s="9">
        <v>4982</v>
      </c>
      <c r="F13137" t="s" s="10">
        <v>55</v>
      </c>
      <c r="G13137" s="14"/>
      <c r="H13137" t="s" s="10">
        <v>136</v>
      </c>
      <c r="I13137" s="14"/>
      <c r="J13137" t="s" s="11">
        <v>20</v>
      </c>
      <c r="K13137" s="15"/>
      <c r="L13137" t="s" s="16">
        <f>HYPERLINK("http://csr.bu.edu/ftp/asl/asllvd/demos/verify_start_end_handshape_annotations//test_auto_move//signs_mov_separ_signers/Brady_5556.mov","MOV")</f>
        <v>21</v>
      </c>
      <c r="M13137" t="s" s="10">
        <v>39</v>
      </c>
      <c r="N13137" s="17">
        <v>3</v>
      </c>
      <c r="O13137" s="18">
        <v>1455</v>
      </c>
      <c r="P13137" s="18">
        <v>1494</v>
      </c>
      <c r="Q13137" s="15"/>
      <c r="R13137" t="s" s="16">
        <f>HYPERLINK("http://secrets.rutgers.edu:8080/data/asl-ftp/asllvd/demos/verify_start_end_handshape_annotations//test_auto_move//signs_mov_separ_signers/Brady_5556.mov","MOV")</f>
        <v>21</v>
      </c>
    </row>
    <row r="13138" s="2" customFormat="1" ht="13.5" customHeight="1">
      <c r="B13138" t="s" s="8">
        <v>4983</v>
      </c>
      <c r="C13138" t="s" s="9">
        <v>14</v>
      </c>
      <c r="D13138" t="s" s="8">
        <v>14</v>
      </c>
      <c r="E13138" t="s" s="9">
        <v>14</v>
      </c>
      <c r="F13138" t="s" s="10">
        <v>14</v>
      </c>
      <c r="G13138" t="s" s="11">
        <v>14</v>
      </c>
      <c r="H13138" t="s" s="10">
        <v>14</v>
      </c>
      <c r="I13138" t="s" s="11">
        <v>14</v>
      </c>
      <c r="J13138" t="s" s="11">
        <v>14</v>
      </c>
      <c r="K13138" t="s" s="12">
        <v>14</v>
      </c>
      <c r="L13138" t="s" s="12">
        <v>14</v>
      </c>
      <c r="M13138" t="s" s="10">
        <v>14</v>
      </c>
      <c r="N13138" t="s" s="11">
        <v>14</v>
      </c>
      <c r="O13138" t="s" s="8">
        <v>14</v>
      </c>
      <c r="P13138" t="s" s="8">
        <v>14</v>
      </c>
      <c r="Q13138" t="s" s="12">
        <v>14</v>
      </c>
      <c r="R13138" t="s" s="12">
        <v>14</v>
      </c>
    </row>
    <row r="13139" s="2" customFormat="1" ht="13.5" customHeight="1">
      <c r="B13139" s="13"/>
      <c r="C13139" t="s" s="9">
        <v>30</v>
      </c>
      <c r="D13139" t="s" s="8">
        <v>4983</v>
      </c>
      <c r="E13139" t="s" s="9">
        <v>4983</v>
      </c>
      <c r="F13139" s="19">
        <v>10</v>
      </c>
      <c r="G13139" t="s" s="11">
        <v>260</v>
      </c>
      <c r="H13139" t="s" s="10">
        <v>260</v>
      </c>
      <c r="I13139" t="s" s="11">
        <v>260</v>
      </c>
      <c r="J13139" t="s" s="11">
        <v>20</v>
      </c>
      <c r="K13139" t="s" s="16">
        <f>HYPERLINK("http://csr.bu.edu/ftp/asl/asllvd/demos/verify_start_end_handshape_annotations//test_auto_move//signs_mov/6471.mov","MOV")</f>
        <v>21</v>
      </c>
      <c r="L13139" t="s" s="16">
        <f>HYPERLINK("http://csr.bu.edu/ftp/asl/asllvd/demos/verify_start_end_handshape_annotations//test_auto_move//signs_mov_separ_signers/Brady_6471.mov","MOV")</f>
        <v>21</v>
      </c>
      <c r="M13139" t="s" s="10">
        <v>39</v>
      </c>
      <c r="N13139" s="17">
        <v>5</v>
      </c>
      <c r="O13139" s="18">
        <v>2364</v>
      </c>
      <c r="P13139" s="18">
        <v>2386</v>
      </c>
      <c r="Q13139" t="s" s="16">
        <f>HYPERLINK("http://secrets.rutgers.edu:8080/data/asl-ftp/asllvd/demos/verify_start_end_handshape_annotations//test_auto_move//signs_mov/6471.mov","MOV")</f>
        <v>21</v>
      </c>
      <c r="R13139" t="s" s="16">
        <f>HYPERLINK("http://secrets.rutgers.edu:8080/data/asl-ftp/asllvd/demos/verify_start_end_handshape_annotations//test_auto_move//signs_mov_separ_signers/Brady_6471.mov","MOV")</f>
        <v>21</v>
      </c>
    </row>
    <row r="13140" s="2" customFormat="1" ht="13.5" customHeight="1">
      <c r="B13140" t="s" s="8">
        <v>4984</v>
      </c>
      <c r="C13140" t="s" s="9">
        <v>14</v>
      </c>
      <c r="D13140" t="s" s="8">
        <v>14</v>
      </c>
      <c r="E13140" t="s" s="9">
        <v>14</v>
      </c>
      <c r="F13140" t="s" s="10">
        <v>14</v>
      </c>
      <c r="G13140" t="s" s="11">
        <v>14</v>
      </c>
      <c r="H13140" t="s" s="10">
        <v>14</v>
      </c>
      <c r="I13140" t="s" s="11">
        <v>14</v>
      </c>
      <c r="J13140" t="s" s="11">
        <v>14</v>
      </c>
      <c r="K13140" t="s" s="12">
        <v>14</v>
      </c>
      <c r="L13140" t="s" s="12">
        <v>14</v>
      </c>
      <c r="M13140" t="s" s="10">
        <v>14</v>
      </c>
      <c r="N13140" t="s" s="11">
        <v>14</v>
      </c>
      <c r="O13140" t="s" s="8">
        <v>14</v>
      </c>
      <c r="P13140" t="s" s="8">
        <v>14</v>
      </c>
      <c r="Q13140" t="s" s="12">
        <v>14</v>
      </c>
      <c r="R13140" t="s" s="12">
        <v>14</v>
      </c>
    </row>
    <row r="13141" s="2" customFormat="1" ht="13.5" customHeight="1">
      <c r="B13141" s="13"/>
      <c r="C13141" t="s" s="9">
        <v>16</v>
      </c>
      <c r="D13141" t="s" s="8">
        <v>4984</v>
      </c>
      <c r="E13141" t="s" s="9">
        <v>4984</v>
      </c>
      <c r="F13141" s="19">
        <v>5</v>
      </c>
      <c r="G13141" t="s" s="11">
        <v>73</v>
      </c>
      <c r="H13141" t="s" s="10">
        <v>25</v>
      </c>
      <c r="I13141" t="s" s="11">
        <v>73</v>
      </c>
      <c r="J13141" t="s" s="11">
        <v>20</v>
      </c>
      <c r="K13141" t="s" s="16">
        <f>HYPERLINK("http://csr.bu.edu/ftp/asl/asllvd/demos/verify_start_end_handshape_annotations//test_auto_move//signs_mov/6693.mov","MOV")</f>
        <v>21</v>
      </c>
      <c r="L13141" t="s" s="16">
        <f>HYPERLINK("http://csr.bu.edu/ftp/asl/asllvd/demos/verify_start_end_handshape_annotations//test_auto_move//signs_mov_separ_signers/Liz_6693.mov","MOV")</f>
        <v>21</v>
      </c>
      <c r="M13141" t="s" s="10">
        <v>84</v>
      </c>
      <c r="N13141" s="17">
        <v>39</v>
      </c>
      <c r="O13141" s="18">
        <v>1067</v>
      </c>
      <c r="P13141" s="18">
        <v>1131</v>
      </c>
      <c r="Q13141" t="s" s="16">
        <f>HYPERLINK("http://secrets.rutgers.edu:8080/data/asl-ftp/asllvd/demos/verify_start_end_handshape_annotations//test_auto_move//signs_mov/6693.mov","MOV")</f>
        <v>21</v>
      </c>
      <c r="R13141" t="s" s="16">
        <f>HYPERLINK("http://secrets.rutgers.edu:8080/data/asl-ftp/asllvd/demos/verify_start_end_handshape_annotations//test_auto_move//signs_mov_separ_signers/Liz_6693.mov","MOV")</f>
        <v>21</v>
      </c>
    </row>
    <row r="13142" s="2" customFormat="1" ht="13.5" customHeight="1">
      <c r="B13142" s="13"/>
      <c r="C13142" t="s" s="9">
        <v>27</v>
      </c>
      <c r="D13142" t="s" s="8">
        <v>4984</v>
      </c>
      <c r="E13142" t="s" s="9">
        <v>4984</v>
      </c>
      <c r="F13142" s="19">
        <v>5</v>
      </c>
      <c r="G13142" t="s" s="11">
        <v>73</v>
      </c>
      <c r="H13142" t="s" s="10">
        <v>25</v>
      </c>
      <c r="I13142" t="s" s="11">
        <v>73</v>
      </c>
      <c r="J13142" t="s" s="11">
        <v>20</v>
      </c>
      <c r="K13142" s="15"/>
      <c r="L13142" t="s" s="16">
        <f>HYPERLINK("http://csr.bu.edu/ftp/asl/asllvd/demos/verify_start_end_handshape_annotations//test_auto_move//signs_mov_separ_signers/Naomi_6693.mov","MOV")</f>
        <v>21</v>
      </c>
      <c r="M13142" t="s" s="10">
        <v>86</v>
      </c>
      <c r="N13142" s="17">
        <v>39</v>
      </c>
      <c r="O13142" s="18">
        <v>887</v>
      </c>
      <c r="P13142" s="18">
        <v>933</v>
      </c>
      <c r="Q13142" s="15"/>
      <c r="R13142" t="s" s="16">
        <f>HYPERLINK("http://secrets.rutgers.edu:8080/data/asl-ftp/asllvd/demos/verify_start_end_handshape_annotations//test_auto_move//signs_mov_separ_signers/Naomi_6693.mov","MOV")</f>
        <v>21</v>
      </c>
    </row>
    <row r="13143" s="2" customFormat="1" ht="13.5" customHeight="1">
      <c r="B13143" t="s" s="8">
        <v>52</v>
      </c>
      <c r="C13143" t="s" s="9">
        <v>53</v>
      </c>
      <c r="D13143" t="s" s="8">
        <v>53</v>
      </c>
      <c r="E13143" t="s" s="9">
        <v>53</v>
      </c>
      <c r="F13143" t="s" s="10">
        <v>53</v>
      </c>
      <c r="G13143" t="s" s="11">
        <v>53</v>
      </c>
      <c r="H13143" t="s" s="10">
        <v>53</v>
      </c>
      <c r="I13143" t="s" s="11">
        <v>53</v>
      </c>
      <c r="J13143" t="s" s="11">
        <v>53</v>
      </c>
      <c r="K13143" t="s" s="12">
        <v>53</v>
      </c>
      <c r="L13143" t="s" s="12">
        <v>53</v>
      </c>
      <c r="M13143" t="s" s="10">
        <v>53</v>
      </c>
      <c r="N13143" t="s" s="11">
        <v>53</v>
      </c>
      <c r="O13143" t="s" s="8">
        <v>53</v>
      </c>
      <c r="P13143" t="s" s="8">
        <v>53</v>
      </c>
      <c r="Q13143" t="s" s="12">
        <v>53</v>
      </c>
      <c r="R13143" t="s" s="12">
        <v>53</v>
      </c>
    </row>
    <row r="13144" s="2" customFormat="1" ht="13.5" customHeight="1">
      <c r="B13144" s="13"/>
      <c r="C13144" t="s" s="9">
        <v>30</v>
      </c>
      <c r="D13144" t="s" s="8">
        <v>4984</v>
      </c>
      <c r="E13144" t="s" s="9">
        <v>4985</v>
      </c>
      <c r="F13144" s="19">
        <v>5</v>
      </c>
      <c r="G13144" t="s" s="11">
        <v>244</v>
      </c>
      <c r="H13144" t="s" s="10">
        <v>25</v>
      </c>
      <c r="I13144" t="s" s="11">
        <v>73</v>
      </c>
      <c r="J13144" t="s" s="11">
        <v>20</v>
      </c>
      <c r="K13144" t="s" s="16">
        <f>HYPERLINK("http://csr.bu.edu/ftp/asl/asllvd/demos/verify_start_end_handshape_annotations//test_auto_move//signs_mov/5883.mov","MOV")</f>
        <v>21</v>
      </c>
      <c r="L13144" t="s" s="16">
        <f>HYPERLINK("http://csr.bu.edu/ftp/asl/asllvd/demos/verify_start_end_handshape_annotations//test_auto_move//signs_mov_separ_signers/Brady_5883.mov","MOV")</f>
        <v>21</v>
      </c>
      <c r="M13144" t="s" s="10">
        <v>39</v>
      </c>
      <c r="N13144" s="17">
        <v>16</v>
      </c>
      <c r="O13144" s="18">
        <v>5984</v>
      </c>
      <c r="P13144" s="18">
        <v>6024</v>
      </c>
      <c r="Q13144" t="s" s="16">
        <f>HYPERLINK("http://secrets.rutgers.edu:8080/data/asl-ftp/asllvd/demos/verify_start_end_handshape_annotations//test_auto_move//signs_mov/5883.mov","MOV")</f>
        <v>21</v>
      </c>
      <c r="R13144" t="s" s="16">
        <f>HYPERLINK("http://secrets.rutgers.edu:8080/data/asl-ftp/asllvd/demos/verify_start_end_handshape_annotations//test_auto_move//signs_mov_separ_signers/Brady_5883.mov","MOV")</f>
        <v>21</v>
      </c>
    </row>
    <row r="13145" s="2" customFormat="1" ht="13.5" customHeight="1">
      <c r="B13145" t="s" s="8">
        <v>52</v>
      </c>
      <c r="C13145" t="s" s="9">
        <v>53</v>
      </c>
      <c r="D13145" t="s" s="8">
        <v>53</v>
      </c>
      <c r="E13145" t="s" s="9">
        <v>53</v>
      </c>
      <c r="F13145" t="s" s="10">
        <v>53</v>
      </c>
      <c r="G13145" t="s" s="11">
        <v>53</v>
      </c>
      <c r="H13145" t="s" s="10">
        <v>53</v>
      </c>
      <c r="I13145" t="s" s="11">
        <v>53</v>
      </c>
      <c r="J13145" t="s" s="11">
        <v>53</v>
      </c>
      <c r="K13145" t="s" s="12">
        <v>53</v>
      </c>
      <c r="L13145" t="s" s="12">
        <v>53</v>
      </c>
      <c r="M13145" t="s" s="10">
        <v>53</v>
      </c>
      <c r="N13145" t="s" s="11">
        <v>53</v>
      </c>
      <c r="O13145" t="s" s="8">
        <v>53</v>
      </c>
      <c r="P13145" t="s" s="8">
        <v>53</v>
      </c>
      <c r="Q13145" t="s" s="12">
        <v>53</v>
      </c>
      <c r="R13145" t="s" s="12">
        <v>53</v>
      </c>
    </row>
    <row r="13146" s="2" customFormat="1" ht="13.5" customHeight="1">
      <c r="B13146" s="13"/>
      <c r="C13146" t="s" s="9">
        <v>23</v>
      </c>
      <c r="D13146" t="s" s="8">
        <v>4984</v>
      </c>
      <c r="E13146" t="s" s="9">
        <v>4986</v>
      </c>
      <c r="F13146" s="19">
        <v>5</v>
      </c>
      <c r="G13146" t="s" s="11">
        <v>73</v>
      </c>
      <c r="H13146" t="s" s="10">
        <v>25</v>
      </c>
      <c r="I13146" t="s" s="11">
        <v>73</v>
      </c>
      <c r="J13146" t="s" s="11">
        <v>20</v>
      </c>
      <c r="K13146" t="s" s="16">
        <f>HYPERLINK("http://csr.bu.edu/ftp/asl/asllvd/demos/verify_start_end_handshape_annotations//test_auto_move//signs_mov/5884.mov","MOV")</f>
        <v>21</v>
      </c>
      <c r="L13146" t="s" s="16">
        <f>HYPERLINK("http://csr.bu.edu/ftp/asl/asllvd/demos/verify_start_end_handshape_annotations//test_auto_move//signs_mov_separ_signers/Tyler_5884.mov","MOV")</f>
        <v>21</v>
      </c>
      <c r="M13146" t="s" s="10">
        <v>92</v>
      </c>
      <c r="N13146" s="17">
        <v>19</v>
      </c>
      <c r="O13146" s="18">
        <v>2250</v>
      </c>
      <c r="P13146" s="18">
        <v>2286</v>
      </c>
      <c r="Q13146" t="s" s="16">
        <f>HYPERLINK("http://secrets.rutgers.edu:8080/data/asl-ftp/asllvd/demos/verify_start_end_handshape_annotations//test_auto_move//signs_mov/5884.mov","MOV")</f>
        <v>21</v>
      </c>
      <c r="R13146" t="s" s="16">
        <f>HYPERLINK("http://secrets.rutgers.edu:8080/data/asl-ftp/asllvd/demos/verify_start_end_handshape_annotations//test_auto_move//signs_mov_separ_signers/Tyler_5884.mov","MOV")</f>
        <v>21</v>
      </c>
    </row>
    <row r="13147" s="2" customFormat="1" ht="13.5" customHeight="1">
      <c r="B13147" t="s" s="8">
        <v>4987</v>
      </c>
      <c r="C13147" t="s" s="9">
        <v>14</v>
      </c>
      <c r="D13147" t="s" s="8">
        <v>14</v>
      </c>
      <c r="E13147" t="s" s="9">
        <v>14</v>
      </c>
      <c r="F13147" t="s" s="10">
        <v>14</v>
      </c>
      <c r="G13147" t="s" s="11">
        <v>14</v>
      </c>
      <c r="H13147" t="s" s="10">
        <v>14</v>
      </c>
      <c r="I13147" t="s" s="11">
        <v>14</v>
      </c>
      <c r="J13147" t="s" s="11">
        <v>14</v>
      </c>
      <c r="K13147" t="s" s="12">
        <v>14</v>
      </c>
      <c r="L13147" t="s" s="12">
        <v>14</v>
      </c>
      <c r="M13147" t="s" s="10">
        <v>14</v>
      </c>
      <c r="N13147" t="s" s="11">
        <v>14</v>
      </c>
      <c r="O13147" t="s" s="8">
        <v>14</v>
      </c>
      <c r="P13147" t="s" s="8">
        <v>14</v>
      </c>
      <c r="Q13147" t="s" s="12">
        <v>14</v>
      </c>
      <c r="R13147" t="s" s="12">
        <v>14</v>
      </c>
    </row>
    <row r="13148" s="2" customFormat="1" ht="13.5" customHeight="1">
      <c r="B13148" s="13"/>
      <c r="C13148" t="s" s="9">
        <v>30</v>
      </c>
      <c r="D13148" t="s" s="8">
        <v>4987</v>
      </c>
      <c r="E13148" t="s" s="9">
        <v>4987</v>
      </c>
      <c r="F13148" s="19">
        <v>5</v>
      </c>
      <c r="G13148" t="s" s="11">
        <v>73</v>
      </c>
      <c r="H13148" t="s" s="10">
        <v>73</v>
      </c>
      <c r="I13148" t="s" s="11">
        <v>73</v>
      </c>
      <c r="J13148" t="s" s="11">
        <v>20</v>
      </c>
      <c r="K13148" t="s" s="16">
        <f>HYPERLINK("http://csr.bu.edu/ftp/asl/asllvd/demos/verify_start_end_handshape_annotations//test_auto_move//signs_mov/5792_6723_merged.mov","MOV")</f>
        <v>21</v>
      </c>
      <c r="L13148" t="s" s="16">
        <f>HYPERLINK("http://csr.bu.edu/ftp/asl/asllvd/demos/verify_start_end_handshape_annotations//test_auto_move//signs_mov_separ_signers/Brady_6723.mov","MOV")</f>
        <v>21</v>
      </c>
      <c r="M13148" t="s" s="10">
        <v>31</v>
      </c>
      <c r="N13148" s="17">
        <v>25</v>
      </c>
      <c r="O13148" s="18">
        <v>20826</v>
      </c>
      <c r="P13148" s="18">
        <v>20866</v>
      </c>
      <c r="Q13148" t="s" s="16">
        <f>HYPERLINK("http://secrets.rutgers.edu:8080/data/asl-ftp/asllvd/demos/verify_start_end_handshape_annotations//test_auto_move//signs_mov/5792_6723_merged.mov","MOV")</f>
        <v>21</v>
      </c>
      <c r="R13148" t="s" s="16">
        <f>HYPERLINK("http://secrets.rutgers.edu:8080/data/asl-ftp/asllvd/demos/verify_start_end_handshape_annotations//test_auto_move//signs_mov_separ_signers/Brady_6723.mov","MOV")</f>
        <v>21</v>
      </c>
    </row>
    <row r="13149" s="2" customFormat="1" ht="13.5" customHeight="1">
      <c r="B13149" s="13"/>
      <c r="C13149" t="s" s="9">
        <v>30</v>
      </c>
      <c r="D13149" t="s" s="8">
        <v>4987</v>
      </c>
      <c r="E13149" t="s" s="9">
        <v>4987</v>
      </c>
      <c r="F13149" s="19">
        <v>5</v>
      </c>
      <c r="G13149" t="s" s="11">
        <v>73</v>
      </c>
      <c r="H13149" t="s" s="10">
        <v>73</v>
      </c>
      <c r="I13149" t="s" s="11">
        <v>73</v>
      </c>
      <c r="J13149" t="s" s="11">
        <v>20</v>
      </c>
      <c r="K13149" s="15"/>
      <c r="L13149" t="s" s="16">
        <f>HYPERLINK("http://csr.bu.edu/ftp/asl/asllvd/demos/verify_start_end_handshape_annotations//test_auto_move//signs_mov_separ_signers/Brady_5792.mov","MOV")</f>
        <v>21</v>
      </c>
      <c r="M13149" t="s" s="10">
        <v>60</v>
      </c>
      <c r="N13149" s="17">
        <v>39</v>
      </c>
      <c r="O13149" s="18">
        <v>2674</v>
      </c>
      <c r="P13149" s="18">
        <v>2715</v>
      </c>
      <c r="Q13149" s="15"/>
      <c r="R13149" t="s" s="16">
        <f>HYPERLINK("http://secrets.rutgers.edu:8080/data/asl-ftp/asllvd/demos/verify_start_end_handshape_annotations//test_auto_move//signs_mov_separ_signers/Brady_5792.mov","MOV")</f>
        <v>21</v>
      </c>
    </row>
    <row r="13150" s="2" customFormat="1" ht="13.5" customHeight="1">
      <c r="B13150" t="s" s="8">
        <v>4988</v>
      </c>
      <c r="C13150" t="s" s="9">
        <v>14</v>
      </c>
      <c r="D13150" t="s" s="8">
        <v>14</v>
      </c>
      <c r="E13150" t="s" s="9">
        <v>14</v>
      </c>
      <c r="F13150" t="s" s="10">
        <v>14</v>
      </c>
      <c r="G13150" t="s" s="11">
        <v>14</v>
      </c>
      <c r="H13150" t="s" s="10">
        <v>14</v>
      </c>
      <c r="I13150" t="s" s="11">
        <v>14</v>
      </c>
      <c r="J13150" t="s" s="11">
        <v>14</v>
      </c>
      <c r="K13150" t="s" s="12">
        <v>14</v>
      </c>
      <c r="L13150" t="s" s="12">
        <v>14</v>
      </c>
      <c r="M13150" t="s" s="10">
        <v>14</v>
      </c>
      <c r="N13150" t="s" s="11">
        <v>14</v>
      </c>
      <c r="O13150" t="s" s="8">
        <v>14</v>
      </c>
      <c r="P13150" t="s" s="8">
        <v>14</v>
      </c>
      <c r="Q13150" t="s" s="12">
        <v>14</v>
      </c>
      <c r="R13150" t="s" s="12">
        <v>14</v>
      </c>
    </row>
    <row r="13151" s="2" customFormat="1" ht="13.5" customHeight="1">
      <c r="B13151" s="13"/>
      <c r="C13151" t="s" s="9">
        <v>16</v>
      </c>
      <c r="D13151" t="s" s="8">
        <v>4988</v>
      </c>
      <c r="E13151" t="s" s="9">
        <v>4988</v>
      </c>
      <c r="F13151" s="19">
        <v>5</v>
      </c>
      <c r="G13151" s="14"/>
      <c r="H13151" s="19">
        <v>5</v>
      </c>
      <c r="I13151" s="17">
        <v>5</v>
      </c>
      <c r="J13151" t="s" s="11">
        <v>20</v>
      </c>
      <c r="K13151" s="15"/>
      <c r="L13151" t="s" s="16">
        <f>HYPERLINK("http://csr.bu.edu/ftp/asl/asllvd/demos/verify_start_end_handshape_annotations//test_auto_move//signs_mov_separ_signers/Liz_6941.mov","MOV")</f>
        <v>21</v>
      </c>
      <c r="M13151" t="s" s="10">
        <v>84</v>
      </c>
      <c r="N13151" s="17">
        <v>45</v>
      </c>
      <c r="O13151" s="18">
        <v>591</v>
      </c>
      <c r="P13151" s="18">
        <v>647</v>
      </c>
      <c r="Q13151" s="15"/>
      <c r="R13151" t="s" s="16">
        <f>HYPERLINK("http://secrets.rutgers.edu:8080/data/asl-ftp/asllvd/demos/verify_start_end_handshape_annotations//test_auto_move//signs_mov_separ_signers/Liz_6941.mov","MOV")</f>
        <v>21</v>
      </c>
    </row>
    <row r="13152" s="2" customFormat="1" ht="13.5" customHeight="1">
      <c r="B13152" s="13"/>
      <c r="C13152" t="s" s="9">
        <v>27</v>
      </c>
      <c r="D13152" t="s" s="8">
        <v>4988</v>
      </c>
      <c r="E13152" t="s" s="9">
        <v>4988</v>
      </c>
      <c r="F13152" t="s" s="10">
        <v>406</v>
      </c>
      <c r="G13152" s="14"/>
      <c r="H13152" t="s" s="10">
        <v>73</v>
      </c>
      <c r="I13152" t="s" s="11">
        <v>73</v>
      </c>
      <c r="J13152" t="s" s="11">
        <v>20</v>
      </c>
      <c r="K13152" t="s" s="16">
        <f>HYPERLINK("http://csr.bu.edu/ftp/asl/asllvd/demos/verify_start_end_handshape_annotations//test_auto_move//signs_mov/6941.mov","MOV")</f>
        <v>21</v>
      </c>
      <c r="L13152" t="s" s="16">
        <f>HYPERLINK("http://csr.bu.edu/ftp/asl/asllvd/demos/verify_start_end_handshape_annotations//test_auto_move//signs_mov_separ_signers/Naomi_6941.mov","MOV")</f>
        <v>21</v>
      </c>
      <c r="M13152" t="s" s="10">
        <v>86</v>
      </c>
      <c r="N13152" s="17">
        <v>45</v>
      </c>
      <c r="O13152" s="18">
        <v>505</v>
      </c>
      <c r="P13152" s="18">
        <v>550</v>
      </c>
      <c r="Q13152" t="s" s="16">
        <f>HYPERLINK("http://secrets.rutgers.edu:8080/data/asl-ftp/asllvd/demos/verify_start_end_handshape_annotations//test_auto_move//signs_mov/6941.mov","MOV")</f>
        <v>21</v>
      </c>
      <c r="R13152" t="s" s="16">
        <f>HYPERLINK("http://secrets.rutgers.edu:8080/data/asl-ftp/asllvd/demos/verify_start_end_handshape_annotations//test_auto_move//signs_mov_separ_signers/Naomi_6941.mov","MOV")</f>
        <v>21</v>
      </c>
    </row>
    <row r="13153" s="2" customFormat="1" ht="13.5" customHeight="1">
      <c r="B13153" s="13"/>
      <c r="C13153" t="s" s="9">
        <v>30</v>
      </c>
      <c r="D13153" t="s" s="8">
        <v>4988</v>
      </c>
      <c r="E13153" t="s" s="9">
        <v>4988</v>
      </c>
      <c r="F13153" t="s" s="10">
        <v>406</v>
      </c>
      <c r="G13153" s="17">
        <v>5</v>
      </c>
      <c r="H13153" s="19">
        <v>5</v>
      </c>
      <c r="I13153" s="17">
        <v>5</v>
      </c>
      <c r="J13153" t="s" s="11">
        <v>20</v>
      </c>
      <c r="K13153" s="15"/>
      <c r="L13153" t="s" s="16">
        <f>HYPERLINK("http://csr.bu.edu/ftp/asl/asllvd/demos/verify_start_end_handshape_annotations//test_auto_move//signs_mov_separ_signers/Brady_6941.mov","MOV")</f>
        <v>21</v>
      </c>
      <c r="M13153" t="s" s="10">
        <v>39</v>
      </c>
      <c r="N13153" s="17">
        <v>20</v>
      </c>
      <c r="O13153" s="18">
        <v>2689</v>
      </c>
      <c r="P13153" s="18">
        <v>2729</v>
      </c>
      <c r="Q13153" s="15"/>
      <c r="R13153" t="s" s="16">
        <f>HYPERLINK("http://secrets.rutgers.edu:8080/data/asl-ftp/asllvd/demos/verify_start_end_handshape_annotations//test_auto_move//signs_mov_separ_signers/Brady_6941.mov","MOV")</f>
        <v>21</v>
      </c>
    </row>
    <row r="13154" s="2" customFormat="1" ht="27.75" customHeight="1">
      <c r="B13154" t="s" s="8">
        <v>4989</v>
      </c>
      <c r="C13154" t="s" s="9">
        <v>14</v>
      </c>
      <c r="D13154" t="s" s="8">
        <v>14</v>
      </c>
      <c r="E13154" t="s" s="9">
        <v>14</v>
      </c>
      <c r="F13154" t="s" s="10">
        <v>14</v>
      </c>
      <c r="G13154" t="s" s="11">
        <v>14</v>
      </c>
      <c r="H13154" t="s" s="10">
        <v>14</v>
      </c>
      <c r="I13154" t="s" s="11">
        <v>14</v>
      </c>
      <c r="J13154" t="s" s="11">
        <v>14</v>
      </c>
      <c r="K13154" t="s" s="12">
        <v>14</v>
      </c>
      <c r="L13154" t="s" s="12">
        <v>14</v>
      </c>
      <c r="M13154" t="s" s="10">
        <v>14</v>
      </c>
      <c r="N13154" t="s" s="11">
        <v>14</v>
      </c>
      <c r="O13154" t="s" s="8">
        <v>14</v>
      </c>
      <c r="P13154" t="s" s="8">
        <v>14</v>
      </c>
      <c r="Q13154" t="s" s="12">
        <v>14</v>
      </c>
      <c r="R13154" t="s" s="12">
        <v>14</v>
      </c>
    </row>
    <row r="13155" s="2" customFormat="1" ht="27.75" customHeight="1">
      <c r="B13155" s="13"/>
      <c r="C13155" t="s" s="9">
        <v>16</v>
      </c>
      <c r="D13155" t="s" s="8">
        <v>4990</v>
      </c>
      <c r="E13155" t="s" s="9">
        <v>4990</v>
      </c>
      <c r="F13155" s="19">
        <v>10</v>
      </c>
      <c r="G13155" s="14"/>
      <c r="H13155" t="s" s="10">
        <v>72</v>
      </c>
      <c r="I13155" t="s" s="11">
        <v>72</v>
      </c>
      <c r="J13155" t="s" s="11">
        <v>20</v>
      </c>
      <c r="K13155" s="15"/>
      <c r="L13155" t="s" s="16">
        <f>HYPERLINK("http://csr.bu.edu/ftp/asl/asllvd/demos/verify_start_end_handshape_annotations//test_auto_move//signs_mov_separ_signers/Liz_7204.mov","MOV")</f>
        <v>21</v>
      </c>
      <c r="M13155" t="s" s="10">
        <v>34</v>
      </c>
      <c r="N13155" s="17">
        <v>2</v>
      </c>
      <c r="O13155" s="18">
        <v>1940</v>
      </c>
      <c r="P13155" s="18">
        <v>2008</v>
      </c>
      <c r="Q13155" s="15"/>
      <c r="R13155" t="s" s="16">
        <f>HYPERLINK("http://secrets.rutgers.edu:8080/data/asl-ftp/asllvd/demos/verify_start_end_handshape_annotations//test_auto_move//signs_mov_separ_signers/Liz_7204.mov","MOV")</f>
        <v>21</v>
      </c>
    </row>
    <row r="13156" s="2" customFormat="1" ht="27.75" customHeight="1">
      <c r="B13156" s="13"/>
      <c r="C13156" t="s" s="9">
        <v>30</v>
      </c>
      <c r="D13156" t="s" s="8">
        <v>4990</v>
      </c>
      <c r="E13156" t="s" s="9">
        <v>4991</v>
      </c>
      <c r="F13156" t="s" s="10">
        <v>68</v>
      </c>
      <c r="G13156" t="s" s="11">
        <v>185</v>
      </c>
      <c r="H13156" t="s" s="10">
        <v>185</v>
      </c>
      <c r="I13156" t="s" s="11">
        <v>185</v>
      </c>
      <c r="J13156" t="s" s="11">
        <v>20</v>
      </c>
      <c r="K13156" t="s" s="16">
        <f>HYPERLINK("http://csr.bu.edu/ftp/asl/asllvd/demos/verify_start_end_handshape_annotations//test_auto_move//signs_mov/5035_7204_merged.mov","MOV")</f>
        <v>21</v>
      </c>
      <c r="L13156" t="s" s="16">
        <f>HYPERLINK("http://csr.bu.edu/ftp/asl/asllvd/demos/verify_start_end_handshape_annotations//test_auto_move//signs_mov_separ_signers/Brady_7204.mov","MOV")</f>
        <v>21</v>
      </c>
      <c r="M13156" t="s" s="10">
        <v>39</v>
      </c>
      <c r="N13156" s="17">
        <v>24</v>
      </c>
      <c r="O13156" s="18">
        <v>6698</v>
      </c>
      <c r="P13156" s="18">
        <v>6769</v>
      </c>
      <c r="Q13156" t="s" s="16">
        <f>HYPERLINK("http://secrets.rutgers.edu:8080/data/asl-ftp/asllvd/demos/verify_start_end_handshape_annotations//test_auto_move//signs_mov/5035_7204_merged.mov","MOV")</f>
        <v>21</v>
      </c>
      <c r="R13156" t="s" s="16">
        <f>HYPERLINK("http://secrets.rutgers.edu:8080/data/asl-ftp/asllvd/demos/verify_start_end_handshape_annotations//test_auto_move//signs_mov_separ_signers/Brady_7204.mov","MOV")</f>
        <v>21</v>
      </c>
    </row>
    <row r="13157" s="2" customFormat="1" ht="27.75" customHeight="1">
      <c r="B13157" s="13"/>
      <c r="C13157" t="s" s="9">
        <v>30</v>
      </c>
      <c r="D13157" t="s" s="8">
        <v>4990</v>
      </c>
      <c r="E13157" t="s" s="9">
        <v>4991</v>
      </c>
      <c r="F13157" t="s" s="10">
        <v>68</v>
      </c>
      <c r="G13157" t="s" s="11">
        <v>185</v>
      </c>
      <c r="H13157" t="s" s="10">
        <v>185</v>
      </c>
      <c r="I13157" t="s" s="11">
        <v>185</v>
      </c>
      <c r="J13157" t="s" s="11">
        <v>20</v>
      </c>
      <c r="K13157" s="15"/>
      <c r="L13157" t="s" s="16">
        <f>HYPERLINK("http://csr.bu.edu/ftp/asl/asllvd/demos/verify_start_end_handshape_annotations//test_auto_move//signs_mov_separ_signers/Brady_5035.mov","MOV")</f>
        <v>21</v>
      </c>
      <c r="M13157" t="s" s="10">
        <v>39</v>
      </c>
      <c r="N13157" s="17">
        <v>24</v>
      </c>
      <c r="O13157" s="18">
        <v>6874</v>
      </c>
      <c r="P13157" s="18">
        <v>6943</v>
      </c>
      <c r="Q13157" s="15"/>
      <c r="R13157" t="s" s="16">
        <f>HYPERLINK("http://secrets.rutgers.edu:8080/data/asl-ftp/asllvd/demos/verify_start_end_handshape_annotations//test_auto_move//signs_mov_separ_signers/Brady_5035.mov","MOV")</f>
        <v>21</v>
      </c>
    </row>
    <row r="13158" s="2" customFormat="1" ht="13.5" customHeight="1">
      <c r="B13158" t="s" s="8">
        <v>4992</v>
      </c>
      <c r="C13158" t="s" s="9">
        <v>14</v>
      </c>
      <c r="D13158" t="s" s="8">
        <v>14</v>
      </c>
      <c r="E13158" t="s" s="9">
        <v>14</v>
      </c>
      <c r="F13158" t="s" s="10">
        <v>14</v>
      </c>
      <c r="G13158" t="s" s="11">
        <v>14</v>
      </c>
      <c r="H13158" t="s" s="10">
        <v>14</v>
      </c>
      <c r="I13158" t="s" s="11">
        <v>14</v>
      </c>
      <c r="J13158" t="s" s="11">
        <v>14</v>
      </c>
      <c r="K13158" t="s" s="12">
        <v>14</v>
      </c>
      <c r="L13158" t="s" s="12">
        <v>14</v>
      </c>
      <c r="M13158" t="s" s="10">
        <v>14</v>
      </c>
      <c r="N13158" t="s" s="11">
        <v>14</v>
      </c>
      <c r="O13158" t="s" s="8">
        <v>14</v>
      </c>
      <c r="P13158" t="s" s="8">
        <v>14</v>
      </c>
      <c r="Q13158" t="s" s="12">
        <v>14</v>
      </c>
      <c r="R13158" t="s" s="12">
        <v>14</v>
      </c>
    </row>
    <row r="13159" s="2" customFormat="1" ht="13.5" customHeight="1">
      <c r="B13159" s="13"/>
      <c r="C13159" t="s" s="9">
        <v>23</v>
      </c>
      <c r="D13159" t="s" s="8">
        <v>4992</v>
      </c>
      <c r="E13159" t="s" s="9">
        <v>4992</v>
      </c>
      <c r="F13159" s="19">
        <v>25</v>
      </c>
      <c r="G13159" t="s" s="11">
        <v>73</v>
      </c>
      <c r="H13159" t="s" s="10">
        <v>406</v>
      </c>
      <c r="I13159" s="14"/>
      <c r="J13159" t="s" s="11">
        <v>20</v>
      </c>
      <c r="K13159" t="s" s="16">
        <f>HYPERLINK("http://csr.bu.edu/ftp/asl/asllvd/demos/verify_start_end_handshape_annotations//test_auto_move//signs_mov/7293.mov","MOV")</f>
        <v>21</v>
      </c>
      <c r="L13159" t="s" s="16">
        <f>HYPERLINK("http://csr.bu.edu/ftp/asl/asllvd/demos/verify_start_end_handshape_annotations//test_auto_move//signs_mov_separ_signers/Tyler_7293.mov","MOV")</f>
        <v>21</v>
      </c>
      <c r="M13159" t="s" s="10">
        <v>47</v>
      </c>
      <c r="N13159" s="17">
        <v>8</v>
      </c>
      <c r="O13159" s="18">
        <v>657</v>
      </c>
      <c r="P13159" s="18">
        <v>701</v>
      </c>
      <c r="Q13159" t="s" s="16">
        <f>HYPERLINK("http://secrets.rutgers.edu:8080/data/asl-ftp/asllvd/demos/verify_start_end_handshape_annotations//test_auto_move//signs_mov/7293.mov","MOV")</f>
        <v>21</v>
      </c>
      <c r="R13159" t="s" s="16">
        <f>HYPERLINK("http://secrets.rutgers.edu:8080/data/asl-ftp/asllvd/demos/verify_start_end_handshape_annotations//test_auto_move//signs_mov_separ_signers/Tyler_7293.mov","MOV")</f>
        <v>21</v>
      </c>
    </row>
    <row r="13160" s="2" customFormat="1" ht="13.5" customHeight="1">
      <c r="B13160" s="13"/>
      <c r="C13160" t="s" s="9">
        <v>30</v>
      </c>
      <c r="D13160" t="s" s="8">
        <v>4992</v>
      </c>
      <c r="E13160" t="s" s="9">
        <v>4992</v>
      </c>
      <c r="F13160" s="19">
        <v>25</v>
      </c>
      <c r="G13160" t="s" s="11">
        <v>73</v>
      </c>
      <c r="H13160" t="s" s="10">
        <v>406</v>
      </c>
      <c r="I13160" s="14"/>
      <c r="J13160" t="s" s="11">
        <v>20</v>
      </c>
      <c r="K13160" s="15"/>
      <c r="L13160" t="s" s="16">
        <f>HYPERLINK("http://csr.bu.edu/ftp/asl/asllvd/demos/verify_start_end_handshape_annotations//test_auto_move//signs_mov_separ_signers/Brady_7293.mov","MOV")</f>
        <v>21</v>
      </c>
      <c r="M13160" t="s" s="10">
        <v>39</v>
      </c>
      <c r="N13160" s="17">
        <v>53</v>
      </c>
      <c r="O13160" s="18">
        <v>2881</v>
      </c>
      <c r="P13160" s="18">
        <v>2914</v>
      </c>
      <c r="Q13160" s="15"/>
      <c r="R13160" t="s" s="16">
        <f>HYPERLINK("http://secrets.rutgers.edu:8080/data/asl-ftp/asllvd/demos/verify_start_end_handshape_annotations//test_auto_move//signs_mov_separ_signers/Brady_7293.mov","MOV")</f>
        <v>21</v>
      </c>
    </row>
    <row r="13161" s="2" customFormat="1" ht="13.5" customHeight="1">
      <c r="B13161" t="s" s="8">
        <v>4993</v>
      </c>
      <c r="C13161" t="s" s="9">
        <v>14</v>
      </c>
      <c r="D13161" t="s" s="8">
        <v>14</v>
      </c>
      <c r="E13161" t="s" s="9">
        <v>14</v>
      </c>
      <c r="F13161" t="s" s="10">
        <v>14</v>
      </c>
      <c r="G13161" t="s" s="11">
        <v>14</v>
      </c>
      <c r="H13161" t="s" s="10">
        <v>14</v>
      </c>
      <c r="I13161" t="s" s="11">
        <v>14</v>
      </c>
      <c r="J13161" t="s" s="11">
        <v>14</v>
      </c>
      <c r="K13161" t="s" s="12">
        <v>14</v>
      </c>
      <c r="L13161" t="s" s="12">
        <v>14</v>
      </c>
      <c r="M13161" t="s" s="10">
        <v>14</v>
      </c>
      <c r="N13161" t="s" s="11">
        <v>14</v>
      </c>
      <c r="O13161" t="s" s="8">
        <v>14</v>
      </c>
      <c r="P13161" t="s" s="8">
        <v>14</v>
      </c>
      <c r="Q13161" t="s" s="12">
        <v>14</v>
      </c>
      <c r="R13161" t="s" s="12">
        <v>14</v>
      </c>
    </row>
    <row r="13162" s="2" customFormat="1" ht="13.5" customHeight="1">
      <c r="B13162" s="13"/>
      <c r="C13162" t="s" s="9">
        <v>16</v>
      </c>
      <c r="D13162" t="s" s="8">
        <v>4993</v>
      </c>
      <c r="E13162" t="s" s="9">
        <v>4993</v>
      </c>
      <c r="F13162" s="19">
        <v>1</v>
      </c>
      <c r="G13162" t="s" s="11">
        <v>73</v>
      </c>
      <c r="H13162" t="s" s="10">
        <v>73</v>
      </c>
      <c r="I13162" t="s" s="11">
        <v>73</v>
      </c>
      <c r="J13162" t="s" s="11">
        <v>20</v>
      </c>
      <c r="K13162" t="s" s="16">
        <f>HYPERLINK("http://csr.bu.edu/ftp/asl/asllvd/demos/verify_start_end_handshape_annotations//test_auto_move//signs_mov/7310.mov","MOV")</f>
        <v>21</v>
      </c>
      <c r="L13162" t="s" s="16">
        <f>HYPERLINK("http://csr.bu.edu/ftp/asl/asllvd/demos/verify_start_end_handshape_annotations//test_auto_move//signs_mov_separ_signers/Liz_7310.mov","MOV")</f>
        <v>21</v>
      </c>
      <c r="M13162" t="s" s="10">
        <v>34</v>
      </c>
      <c r="N13162" s="17">
        <v>10</v>
      </c>
      <c r="O13162" s="18">
        <v>107</v>
      </c>
      <c r="P13162" s="18">
        <v>180</v>
      </c>
      <c r="Q13162" t="s" s="16">
        <f>HYPERLINK("http://secrets.rutgers.edu:8080/data/asl-ftp/asllvd/demos/verify_start_end_handshape_annotations//test_auto_move//signs_mov/7310.mov","MOV")</f>
        <v>21</v>
      </c>
      <c r="R13162" t="s" s="16">
        <f>HYPERLINK("http://secrets.rutgers.edu:8080/data/asl-ftp/asllvd/demos/verify_start_end_handshape_annotations//test_auto_move//signs_mov_separ_signers/Liz_7310.mov","MOV")</f>
        <v>21</v>
      </c>
    </row>
    <row r="13163" s="2" customFormat="1" ht="13.5" customHeight="1">
      <c r="B13163" s="13"/>
      <c r="C13163" t="s" s="9">
        <v>30</v>
      </c>
      <c r="D13163" t="s" s="8">
        <v>4993</v>
      </c>
      <c r="E13163" t="s" s="9">
        <v>4993</v>
      </c>
      <c r="F13163" s="19">
        <v>1</v>
      </c>
      <c r="G13163" t="s" s="11">
        <v>73</v>
      </c>
      <c r="H13163" t="s" s="10">
        <v>73</v>
      </c>
      <c r="I13163" t="s" s="11">
        <v>73</v>
      </c>
      <c r="J13163" t="s" s="11">
        <v>20</v>
      </c>
      <c r="K13163" s="15"/>
      <c r="L13163" t="s" s="16">
        <f>HYPERLINK("http://csr.bu.edu/ftp/asl/asllvd/demos/verify_start_end_handshape_annotations//test_auto_move//signs_mov_separ_signers/Brady_7310.mov","MOV")</f>
        <v>21</v>
      </c>
      <c r="M13163" t="s" s="10">
        <v>39</v>
      </c>
      <c r="N13163" s="17">
        <v>28</v>
      </c>
      <c r="O13163" s="18">
        <v>2287</v>
      </c>
      <c r="P13163" s="18">
        <v>2331</v>
      </c>
      <c r="Q13163" s="15"/>
      <c r="R13163" t="s" s="16">
        <f>HYPERLINK("http://secrets.rutgers.edu:8080/data/asl-ftp/asllvd/demos/verify_start_end_handshape_annotations//test_auto_move//signs_mov_separ_signers/Brady_7310.mov","MOV")</f>
        <v>21</v>
      </c>
    </row>
    <row r="13164" s="2" customFormat="1" ht="27.75" customHeight="1">
      <c r="B13164" t="s" s="8">
        <v>4994</v>
      </c>
      <c r="C13164" t="s" s="9">
        <v>14</v>
      </c>
      <c r="D13164" t="s" s="8">
        <v>14</v>
      </c>
      <c r="E13164" t="s" s="9">
        <v>14</v>
      </c>
      <c r="F13164" t="s" s="10">
        <v>14</v>
      </c>
      <c r="G13164" t="s" s="11">
        <v>14</v>
      </c>
      <c r="H13164" t="s" s="10">
        <v>14</v>
      </c>
      <c r="I13164" t="s" s="11">
        <v>14</v>
      </c>
      <c r="J13164" t="s" s="11">
        <v>14</v>
      </c>
      <c r="K13164" t="s" s="12">
        <v>14</v>
      </c>
      <c r="L13164" t="s" s="12">
        <v>14</v>
      </c>
      <c r="M13164" t="s" s="10">
        <v>14</v>
      </c>
      <c r="N13164" t="s" s="11">
        <v>14</v>
      </c>
      <c r="O13164" t="s" s="8">
        <v>14</v>
      </c>
      <c r="P13164" t="s" s="8">
        <v>14</v>
      </c>
      <c r="Q13164" t="s" s="12">
        <v>14</v>
      </c>
      <c r="R13164" t="s" s="12">
        <v>14</v>
      </c>
    </row>
    <row r="13165" s="2" customFormat="1" ht="27.75" customHeight="1">
      <c r="B13165" s="13"/>
      <c r="C13165" t="s" s="9">
        <v>30</v>
      </c>
      <c r="D13165" t="s" s="8">
        <v>4995</v>
      </c>
      <c r="E13165" t="s" s="9">
        <v>4995</v>
      </c>
      <c r="F13165" s="19">
        <v>3</v>
      </c>
      <c r="G13165" t="s" s="11">
        <v>73</v>
      </c>
      <c r="H13165" s="19">
        <v>1</v>
      </c>
      <c r="I13165" t="s" s="11">
        <v>73</v>
      </c>
      <c r="J13165" t="s" s="11">
        <v>20</v>
      </c>
      <c r="K13165" t="s" s="16">
        <f>HYPERLINK("http://csr.bu.edu/ftp/asl/asllvd/demos/verify_start_end_handshape_annotations//test_auto_move//signs_mov/7382.mov","MOV")</f>
        <v>21</v>
      </c>
      <c r="L13165" t="s" s="16">
        <f>HYPERLINK("http://csr.bu.edu/ftp/asl/asllvd/demos/verify_start_end_handshape_annotations//test_auto_move//signs_mov_separ_signers/Brady_7382.mov","MOV")</f>
        <v>21</v>
      </c>
      <c r="M13165" t="s" s="10">
        <v>39</v>
      </c>
      <c r="N13165" s="17">
        <v>56</v>
      </c>
      <c r="O13165" s="18">
        <v>2951</v>
      </c>
      <c r="P13165" s="18">
        <v>3024</v>
      </c>
      <c r="Q13165" t="s" s="16">
        <f>HYPERLINK("http://secrets.rutgers.edu:8080/data/asl-ftp/asllvd/demos/verify_start_end_handshape_annotations//test_auto_move//signs_mov/7382.mov","MOV")</f>
        <v>21</v>
      </c>
      <c r="R13165" t="s" s="16">
        <f>HYPERLINK("http://secrets.rutgers.edu:8080/data/asl-ftp/asllvd/demos/verify_start_end_handshape_annotations//test_auto_move//signs_mov_separ_signers/Brady_7382.mov","MOV")</f>
        <v>21</v>
      </c>
    </row>
    <row r="13166" s="2" customFormat="1" ht="13.5" customHeight="1">
      <c r="B13166" t="s" s="8">
        <v>4996</v>
      </c>
      <c r="C13166" t="s" s="9">
        <v>14</v>
      </c>
      <c r="D13166" t="s" s="8">
        <v>14</v>
      </c>
      <c r="E13166" t="s" s="9">
        <v>14</v>
      </c>
      <c r="F13166" t="s" s="10">
        <v>14</v>
      </c>
      <c r="G13166" t="s" s="11">
        <v>14</v>
      </c>
      <c r="H13166" t="s" s="10">
        <v>14</v>
      </c>
      <c r="I13166" t="s" s="11">
        <v>14</v>
      </c>
      <c r="J13166" t="s" s="11">
        <v>14</v>
      </c>
      <c r="K13166" t="s" s="12">
        <v>14</v>
      </c>
      <c r="L13166" t="s" s="12">
        <v>14</v>
      </c>
      <c r="M13166" t="s" s="10">
        <v>14</v>
      </c>
      <c r="N13166" t="s" s="11">
        <v>14</v>
      </c>
      <c r="O13166" t="s" s="8">
        <v>14</v>
      </c>
      <c r="P13166" t="s" s="8">
        <v>14</v>
      </c>
      <c r="Q13166" t="s" s="12">
        <v>14</v>
      </c>
      <c r="R13166" t="s" s="12">
        <v>14</v>
      </c>
    </row>
    <row r="13167" s="2" customFormat="1" ht="13.5" customHeight="1">
      <c r="B13167" s="13"/>
      <c r="C13167" t="s" s="9">
        <v>23</v>
      </c>
      <c r="D13167" t="s" s="8">
        <v>4996</v>
      </c>
      <c r="E13167" t="s" s="9">
        <v>4996</v>
      </c>
      <c r="F13167" s="19">
        <v>1</v>
      </c>
      <c r="G13167" t="s" s="11">
        <v>73</v>
      </c>
      <c r="H13167" s="19">
        <v>1</v>
      </c>
      <c r="I13167" t="s" s="11">
        <v>73</v>
      </c>
      <c r="J13167" t="s" s="11">
        <v>20</v>
      </c>
      <c r="K13167" t="s" s="16">
        <f>HYPERLINK("http://csr.bu.edu/ftp/asl/asllvd/demos/verify_start_end_handshape_annotations//test_auto_move//signs_mov/16327.mov","MOV")</f>
        <v>21</v>
      </c>
      <c r="L13167" t="s" s="16">
        <f>HYPERLINK("http://csr.bu.edu/ftp/asl/asllvd/demos/verify_start_end_handshape_annotations//test_auto_move//signs_mov_separ_signers/Tyler_16327.mov","MOV")</f>
        <v>21</v>
      </c>
      <c r="M13167" t="s" s="10">
        <v>47</v>
      </c>
      <c r="N13167" s="17">
        <v>13</v>
      </c>
      <c r="O13167" s="18">
        <v>3245</v>
      </c>
      <c r="P13167" s="18">
        <v>3295</v>
      </c>
      <c r="Q13167" t="s" s="16">
        <f>HYPERLINK("http://secrets.rutgers.edu:8080/data/asl-ftp/asllvd/demos/verify_start_end_handshape_annotations//test_auto_move//signs_mov/16327.mov","MOV")</f>
        <v>21</v>
      </c>
      <c r="R13167" t="s" s="16">
        <f>HYPERLINK("http://secrets.rutgers.edu:8080/data/asl-ftp/asllvd/demos/verify_start_end_handshape_annotations//test_auto_move//signs_mov_separ_signers/Tyler_16327.mov","MOV")</f>
        <v>21</v>
      </c>
    </row>
    <row r="13168" s="2" customFormat="1" ht="27.75" customHeight="1">
      <c r="B13168" t="s" s="8">
        <v>4997</v>
      </c>
      <c r="C13168" t="s" s="9">
        <v>14</v>
      </c>
      <c r="D13168" t="s" s="8">
        <v>14</v>
      </c>
      <c r="E13168" t="s" s="9">
        <v>14</v>
      </c>
      <c r="F13168" t="s" s="10">
        <v>14</v>
      </c>
      <c r="G13168" t="s" s="11">
        <v>14</v>
      </c>
      <c r="H13168" t="s" s="10">
        <v>14</v>
      </c>
      <c r="I13168" t="s" s="11">
        <v>14</v>
      </c>
      <c r="J13168" t="s" s="11">
        <v>14</v>
      </c>
      <c r="K13168" t="s" s="12">
        <v>14</v>
      </c>
      <c r="L13168" t="s" s="12">
        <v>14</v>
      </c>
      <c r="M13168" t="s" s="10">
        <v>14</v>
      </c>
      <c r="N13168" t="s" s="11">
        <v>14</v>
      </c>
      <c r="O13168" t="s" s="8">
        <v>14</v>
      </c>
      <c r="P13168" t="s" s="8">
        <v>14</v>
      </c>
      <c r="Q13168" t="s" s="12">
        <v>14</v>
      </c>
      <c r="R13168" t="s" s="12">
        <v>14</v>
      </c>
    </row>
    <row r="13169" s="2" customFormat="1" ht="27.75" customHeight="1">
      <c r="B13169" s="13"/>
      <c r="C13169" t="s" s="9">
        <v>23</v>
      </c>
      <c r="D13169" t="s" s="8">
        <v>4998</v>
      </c>
      <c r="E13169" t="s" s="9">
        <v>4999</v>
      </c>
      <c r="F13169" s="19">
        <v>4</v>
      </c>
      <c r="G13169" s="17">
        <v>4</v>
      </c>
      <c r="H13169" t="s" s="10">
        <v>55</v>
      </c>
      <c r="I13169" t="s" s="11">
        <v>55</v>
      </c>
      <c r="J13169" t="s" s="11">
        <v>20</v>
      </c>
      <c r="K13169" t="s" s="16">
        <f>HYPERLINK("http://csr.bu.edu/ftp/asl/asllvd/demos/verify_start_end_handshape_annotations//test_auto_move//signs_mov/7388.mov","MOV")</f>
        <v>21</v>
      </c>
      <c r="L13169" t="s" s="16">
        <f>HYPERLINK("http://csr.bu.edu/ftp/asl/asllvd/demos/verify_start_end_handshape_annotations//test_auto_move//signs_mov_separ_signers/Tyler_7388.mov","MOV")</f>
        <v>21</v>
      </c>
      <c r="M13169" t="s" s="10">
        <v>47</v>
      </c>
      <c r="N13169" s="17">
        <v>13</v>
      </c>
      <c r="O13169" s="18">
        <v>1160</v>
      </c>
      <c r="P13169" s="18">
        <v>1245</v>
      </c>
      <c r="Q13169" t="s" s="16">
        <f>HYPERLINK("http://secrets.rutgers.edu:8080/data/asl-ftp/asllvd/demos/verify_start_end_handshape_annotations//test_auto_move//signs_mov/7388.mov","MOV")</f>
        <v>21</v>
      </c>
      <c r="R13169" t="s" s="16">
        <f>HYPERLINK("http://secrets.rutgers.edu:8080/data/asl-ftp/asllvd/demos/verify_start_end_handshape_annotations//test_auto_move//signs_mov_separ_signers/Tyler_7388.mov","MOV")</f>
        <v>21</v>
      </c>
    </row>
    <row r="13170" s="2" customFormat="1" ht="27.75" customHeight="1">
      <c r="B13170" s="13"/>
      <c r="C13170" t="s" s="9">
        <v>30</v>
      </c>
      <c r="D13170" t="s" s="8">
        <v>4998</v>
      </c>
      <c r="E13170" t="s" s="9">
        <v>4999</v>
      </c>
      <c r="F13170" s="19">
        <v>4</v>
      </c>
      <c r="G13170" s="17">
        <v>4</v>
      </c>
      <c r="H13170" t="s" s="10">
        <v>80</v>
      </c>
      <c r="I13170" t="s" s="11">
        <v>80</v>
      </c>
      <c r="J13170" t="s" s="11">
        <v>20</v>
      </c>
      <c r="K13170" s="15"/>
      <c r="L13170" t="s" s="16">
        <f>HYPERLINK("http://csr.bu.edu/ftp/asl/asllvd/demos/verify_start_end_handshape_annotations//test_auto_move//signs_mov_separ_signers/Brady_7388.mov","MOV")</f>
        <v>21</v>
      </c>
      <c r="M13170" t="s" s="10">
        <v>39</v>
      </c>
      <c r="N13170" s="17">
        <v>56</v>
      </c>
      <c r="O13170" s="18">
        <v>1363</v>
      </c>
      <c r="P13170" s="18">
        <v>1409</v>
      </c>
      <c r="Q13170" s="15"/>
      <c r="R13170" t="s" s="16">
        <f>HYPERLINK("http://secrets.rutgers.edu:8080/data/asl-ftp/asllvd/demos/verify_start_end_handshape_annotations//test_auto_move//signs_mov_separ_signers/Brady_7388.mov","MOV")</f>
        <v>21</v>
      </c>
    </row>
    <row r="13171" s="2" customFormat="1" ht="13.5" customHeight="1">
      <c r="B13171" t="s" s="8">
        <v>5000</v>
      </c>
      <c r="C13171" t="s" s="9">
        <v>14</v>
      </c>
      <c r="D13171" t="s" s="8">
        <v>14</v>
      </c>
      <c r="E13171" t="s" s="9">
        <v>14</v>
      </c>
      <c r="F13171" t="s" s="10">
        <v>14</v>
      </c>
      <c r="G13171" t="s" s="11">
        <v>14</v>
      </c>
      <c r="H13171" t="s" s="10">
        <v>14</v>
      </c>
      <c r="I13171" t="s" s="11">
        <v>14</v>
      </c>
      <c r="J13171" t="s" s="11">
        <v>14</v>
      </c>
      <c r="K13171" t="s" s="12">
        <v>14</v>
      </c>
      <c r="L13171" t="s" s="12">
        <v>14</v>
      </c>
      <c r="M13171" t="s" s="10">
        <v>14</v>
      </c>
      <c r="N13171" t="s" s="11">
        <v>14</v>
      </c>
      <c r="O13171" t="s" s="8">
        <v>14</v>
      </c>
      <c r="P13171" t="s" s="8">
        <v>14</v>
      </c>
      <c r="Q13171" t="s" s="12">
        <v>14</v>
      </c>
      <c r="R13171" t="s" s="12">
        <v>14</v>
      </c>
    </row>
    <row r="13172" s="2" customFormat="1" ht="13.5" customHeight="1">
      <c r="B13172" s="13"/>
      <c r="C13172" t="s" s="9">
        <v>23</v>
      </c>
      <c r="D13172" t="s" s="8">
        <v>5001</v>
      </c>
      <c r="E13172" t="s" s="9">
        <v>5001</v>
      </c>
      <c r="F13172" s="19">
        <v>3</v>
      </c>
      <c r="G13172" t="s" s="11">
        <v>73</v>
      </c>
      <c r="H13172" t="s" s="10">
        <v>255</v>
      </c>
      <c r="I13172" s="14"/>
      <c r="J13172" t="s" s="11">
        <v>20</v>
      </c>
      <c r="K13172" t="s" s="16">
        <f>HYPERLINK("http://csr.bu.edu/ftp/asl/asllvd/demos/verify_start_end_handshape_annotations//test_auto_move//signs_mov/7391.mov","MOV")</f>
        <v>21</v>
      </c>
      <c r="L13172" t="s" s="16">
        <f>HYPERLINK("http://csr.bu.edu/ftp/asl/asllvd/demos/verify_start_end_handshape_annotations//test_auto_move//signs_mov_separ_signers/Tyler_7391.mov","MOV")</f>
        <v>21</v>
      </c>
      <c r="M13172" t="s" s="10">
        <v>47</v>
      </c>
      <c r="N13172" s="17">
        <v>13</v>
      </c>
      <c r="O13172" s="18">
        <v>2878</v>
      </c>
      <c r="P13172" s="18">
        <v>2928</v>
      </c>
      <c r="Q13172" t="s" s="16">
        <f>HYPERLINK("http://secrets.rutgers.edu:8080/data/asl-ftp/asllvd/demos/verify_start_end_handshape_annotations//test_auto_move//signs_mov/7391.mov","MOV")</f>
        <v>21</v>
      </c>
      <c r="R13172" t="s" s="16">
        <f>HYPERLINK("http://secrets.rutgers.edu:8080/data/asl-ftp/asllvd/demos/verify_start_end_handshape_annotations//test_auto_move//signs_mov_separ_signers/Tyler_7391.mov","MOV")</f>
        <v>21</v>
      </c>
    </row>
    <row r="13173" s="2" customFormat="1" ht="13.5" customHeight="1">
      <c r="B13173" s="13"/>
      <c r="C13173" t="s" s="9">
        <v>30</v>
      </c>
      <c r="D13173" t="s" s="8">
        <v>5001</v>
      </c>
      <c r="E13173" t="s" s="9">
        <v>5002</v>
      </c>
      <c r="F13173" s="19">
        <v>3</v>
      </c>
      <c r="G13173" t="s" s="11">
        <v>73</v>
      </c>
      <c r="H13173" s="19">
        <v>1</v>
      </c>
      <c r="I13173" s="14"/>
      <c r="J13173" t="s" s="11">
        <v>20</v>
      </c>
      <c r="K13173" s="15"/>
      <c r="L13173" t="s" s="16">
        <f>HYPERLINK("http://csr.bu.edu/ftp/asl/asllvd/demos/verify_start_end_handshape_annotations//test_auto_move//signs_mov_separ_signers/Brady_7391.mov","MOV")</f>
        <v>21</v>
      </c>
      <c r="M13173" t="s" s="10">
        <v>39</v>
      </c>
      <c r="N13173" s="17">
        <v>56</v>
      </c>
      <c r="O13173" s="18">
        <v>2621</v>
      </c>
      <c r="P13173" s="18">
        <v>2673</v>
      </c>
      <c r="Q13173" s="15"/>
      <c r="R13173" t="s" s="16">
        <f>HYPERLINK("http://secrets.rutgers.edu:8080/data/asl-ftp/asllvd/demos/verify_start_end_handshape_annotations//test_auto_move//signs_mov_separ_signers/Brady_7391.mov","MOV")</f>
        <v>21</v>
      </c>
    </row>
    <row r="13174" s="2" customFormat="1" ht="13.5" customHeight="1">
      <c r="B13174" t="s" s="8">
        <v>5003</v>
      </c>
      <c r="C13174" t="s" s="9">
        <v>14</v>
      </c>
      <c r="D13174" t="s" s="8">
        <v>14</v>
      </c>
      <c r="E13174" t="s" s="9">
        <v>14</v>
      </c>
      <c r="F13174" t="s" s="10">
        <v>14</v>
      </c>
      <c r="G13174" t="s" s="11">
        <v>14</v>
      </c>
      <c r="H13174" t="s" s="10">
        <v>14</v>
      </c>
      <c r="I13174" t="s" s="11">
        <v>14</v>
      </c>
      <c r="J13174" t="s" s="11">
        <v>14</v>
      </c>
      <c r="K13174" t="s" s="12">
        <v>14</v>
      </c>
      <c r="L13174" t="s" s="12">
        <v>14</v>
      </c>
      <c r="M13174" t="s" s="10">
        <v>14</v>
      </c>
      <c r="N13174" t="s" s="11">
        <v>14</v>
      </c>
      <c r="O13174" t="s" s="8">
        <v>14</v>
      </c>
      <c r="P13174" t="s" s="8">
        <v>14</v>
      </c>
      <c r="Q13174" t="s" s="12">
        <v>14</v>
      </c>
      <c r="R13174" t="s" s="12">
        <v>14</v>
      </c>
    </row>
    <row r="13175" s="2" customFormat="1" ht="13.5" customHeight="1">
      <c r="B13175" s="13"/>
      <c r="C13175" t="s" s="9">
        <v>23</v>
      </c>
      <c r="D13175" t="s" s="8">
        <v>5003</v>
      </c>
      <c r="E13175" t="s" s="9">
        <v>5003</v>
      </c>
      <c r="F13175" t="s" s="10">
        <v>73</v>
      </c>
      <c r="G13175" s="14"/>
      <c r="H13175" t="s" s="10">
        <v>68</v>
      </c>
      <c r="I13175" t="s" s="11">
        <v>68</v>
      </c>
      <c r="J13175" t="s" s="11">
        <v>20</v>
      </c>
      <c r="K13175" t="s" s="16">
        <f>HYPERLINK("http://csr.bu.edu/ftp/asl/asllvd/demos/verify_start_end_handshape_annotations//test_auto_move//signs_mov/7452.mov","MOV")</f>
        <v>21</v>
      </c>
      <c r="L13175" t="s" s="16">
        <f>HYPERLINK("http://csr.bu.edu/ftp/asl/asllvd/demos/verify_start_end_handshape_annotations//test_auto_move//signs_mov_separ_signers/Tyler_7452.mov","MOV")</f>
        <v>21</v>
      </c>
      <c r="M13175" t="s" s="10">
        <v>37</v>
      </c>
      <c r="N13175" s="17">
        <v>17</v>
      </c>
      <c r="O13175" s="18">
        <v>471</v>
      </c>
      <c r="P13175" s="18">
        <v>515</v>
      </c>
      <c r="Q13175" t="s" s="16">
        <f>HYPERLINK("http://secrets.rutgers.edu:8080/data/asl-ftp/asllvd/demos/verify_start_end_handshape_annotations//test_auto_move//signs_mov/7452.mov","MOV")</f>
        <v>21</v>
      </c>
      <c r="R13175" t="s" s="16">
        <f>HYPERLINK("http://secrets.rutgers.edu:8080/data/asl-ftp/asllvd/demos/verify_start_end_handshape_annotations//test_auto_move//signs_mov_separ_signers/Tyler_7452.mov","MOV")</f>
        <v>21</v>
      </c>
    </row>
    <row r="13176" s="2" customFormat="1" ht="13.5" customHeight="1">
      <c r="B13176" s="13"/>
      <c r="C13176" t="s" s="9">
        <v>30</v>
      </c>
      <c r="D13176" t="s" s="8">
        <v>5003</v>
      </c>
      <c r="E13176" t="s" s="9">
        <v>5003</v>
      </c>
      <c r="F13176" t="s" s="10">
        <v>73</v>
      </c>
      <c r="G13176" s="14"/>
      <c r="H13176" t="s" s="10">
        <v>68</v>
      </c>
      <c r="I13176" t="s" s="11">
        <v>68</v>
      </c>
      <c r="J13176" t="s" s="11">
        <v>20</v>
      </c>
      <c r="K13176" s="15"/>
      <c r="L13176" t="s" s="16">
        <f>HYPERLINK("http://csr.bu.edu/ftp/asl/asllvd/demos/verify_start_end_handshape_annotations//test_auto_move//signs_mov_separ_signers/Brady_7452.mov","MOV")</f>
        <v>21</v>
      </c>
      <c r="M13176" t="s" s="10">
        <v>39</v>
      </c>
      <c r="N13176" s="17">
        <v>47</v>
      </c>
      <c r="O13176" s="18">
        <v>772</v>
      </c>
      <c r="P13176" s="18">
        <v>812</v>
      </c>
      <c r="Q13176" s="15"/>
      <c r="R13176" t="s" s="16">
        <f>HYPERLINK("http://secrets.rutgers.edu:8080/data/asl-ftp/asllvd/demos/verify_start_end_handshape_annotations//test_auto_move//signs_mov_separ_signers/Brady_7452.mov","MOV")</f>
        <v>21</v>
      </c>
    </row>
    <row r="13177" s="2" customFormat="1" ht="13.5" customHeight="1">
      <c r="B13177" t="s" s="8">
        <v>5004</v>
      </c>
      <c r="C13177" t="s" s="9">
        <v>14</v>
      </c>
      <c r="D13177" t="s" s="8">
        <v>14</v>
      </c>
      <c r="E13177" t="s" s="9">
        <v>14</v>
      </c>
      <c r="F13177" t="s" s="10">
        <v>14</v>
      </c>
      <c r="G13177" t="s" s="11">
        <v>14</v>
      </c>
      <c r="H13177" t="s" s="10">
        <v>14</v>
      </c>
      <c r="I13177" t="s" s="11">
        <v>14</v>
      </c>
      <c r="J13177" t="s" s="11">
        <v>14</v>
      </c>
      <c r="K13177" t="s" s="12">
        <v>14</v>
      </c>
      <c r="L13177" t="s" s="12">
        <v>14</v>
      </c>
      <c r="M13177" t="s" s="10">
        <v>14</v>
      </c>
      <c r="N13177" t="s" s="11">
        <v>14</v>
      </c>
      <c r="O13177" t="s" s="8">
        <v>14</v>
      </c>
      <c r="P13177" t="s" s="8">
        <v>14</v>
      </c>
      <c r="Q13177" t="s" s="12">
        <v>14</v>
      </c>
      <c r="R13177" t="s" s="12">
        <v>14</v>
      </c>
    </row>
    <row r="13178" s="2" customFormat="1" ht="13.5" customHeight="1">
      <c r="B13178" s="13"/>
      <c r="C13178" t="s" s="9">
        <v>30</v>
      </c>
      <c r="D13178" t="s" s="8">
        <v>5004</v>
      </c>
      <c r="E13178" t="s" s="9">
        <v>5004</v>
      </c>
      <c r="F13178" s="19">
        <v>25</v>
      </c>
      <c r="G13178" t="s" s="11">
        <v>72</v>
      </c>
      <c r="H13178" t="s" s="10">
        <v>68</v>
      </c>
      <c r="I13178" t="s" s="11">
        <v>68</v>
      </c>
      <c r="J13178" t="s" s="11">
        <v>20</v>
      </c>
      <c r="K13178" t="s" s="16">
        <f>HYPERLINK("http://csr.bu.edu/ftp/asl/asllvd/demos/verify_start_end_handshape_annotations//test_auto_move//signs_mov/7495.mov","MOV")</f>
        <v>21</v>
      </c>
      <c r="L13178" t="s" s="16">
        <f>HYPERLINK("http://csr.bu.edu/ftp/asl/asllvd/demos/verify_start_end_handshape_annotations//test_auto_move//signs_mov_separ_signers/Brady_7495.mov","MOV")</f>
        <v>21</v>
      </c>
      <c r="M13178" t="s" s="10">
        <v>39</v>
      </c>
      <c r="N13178" s="17">
        <v>29</v>
      </c>
      <c r="O13178" s="18">
        <v>3572</v>
      </c>
      <c r="P13178" s="18">
        <v>3614</v>
      </c>
      <c r="Q13178" t="s" s="16">
        <f>HYPERLINK("http://secrets.rutgers.edu:8080/data/asl-ftp/asllvd/demos/verify_start_end_handshape_annotations//test_auto_move//signs_mov/7495.mov","MOV")</f>
        <v>21</v>
      </c>
      <c r="R13178" t="s" s="16">
        <f>HYPERLINK("http://secrets.rutgers.edu:8080/data/asl-ftp/asllvd/demos/verify_start_end_handshape_annotations//test_auto_move//signs_mov_separ_signers/Brady_7495.mov","MOV")</f>
        <v>21</v>
      </c>
    </row>
    <row r="13179" s="2" customFormat="1" ht="13.5" customHeight="1">
      <c r="B13179" t="s" s="8">
        <v>5005</v>
      </c>
      <c r="C13179" t="s" s="9">
        <v>14</v>
      </c>
      <c r="D13179" t="s" s="8">
        <v>14</v>
      </c>
      <c r="E13179" t="s" s="9">
        <v>14</v>
      </c>
      <c r="F13179" t="s" s="10">
        <v>14</v>
      </c>
      <c r="G13179" t="s" s="11">
        <v>14</v>
      </c>
      <c r="H13179" t="s" s="10">
        <v>14</v>
      </c>
      <c r="I13179" t="s" s="11">
        <v>14</v>
      </c>
      <c r="J13179" t="s" s="11">
        <v>14</v>
      </c>
      <c r="K13179" t="s" s="12">
        <v>14</v>
      </c>
      <c r="L13179" t="s" s="12">
        <v>14</v>
      </c>
      <c r="M13179" t="s" s="10">
        <v>14</v>
      </c>
      <c r="N13179" t="s" s="11">
        <v>14</v>
      </c>
      <c r="O13179" t="s" s="8">
        <v>14</v>
      </c>
      <c r="P13179" t="s" s="8">
        <v>14</v>
      </c>
      <c r="Q13179" t="s" s="12">
        <v>14</v>
      </c>
      <c r="R13179" t="s" s="12">
        <v>14</v>
      </c>
    </row>
    <row r="13180" s="2" customFormat="1" ht="13.5" customHeight="1">
      <c r="B13180" s="13"/>
      <c r="C13180" t="s" s="9">
        <v>16</v>
      </c>
      <c r="D13180" t="s" s="8">
        <v>5005</v>
      </c>
      <c r="E13180" t="s" s="9">
        <v>5005</v>
      </c>
      <c r="F13180" t="s" s="10">
        <v>25</v>
      </c>
      <c r="G13180" s="14"/>
      <c r="H13180" t="s" s="10">
        <v>55</v>
      </c>
      <c r="I13180" s="14"/>
      <c r="J13180" t="s" s="11">
        <v>20</v>
      </c>
      <c r="K13180" t="s" s="16">
        <f>HYPERLINK("http://csr.bu.edu/ftp/asl/asllvd/demos/verify_start_end_handshape_annotations//test_auto_move//signs_mov/7514.mov","MOV")</f>
        <v>21</v>
      </c>
      <c r="L13180" t="s" s="16">
        <f>HYPERLINK("http://csr.bu.edu/ftp/asl/asllvd/demos/verify_start_end_handshape_annotations//test_auto_move//signs_mov_separ_signers/Liz_7514.mov","MOV")</f>
        <v>21</v>
      </c>
      <c r="M13180" t="s" s="10">
        <v>77</v>
      </c>
      <c r="N13180" s="17">
        <v>31</v>
      </c>
      <c r="O13180" s="18">
        <v>501</v>
      </c>
      <c r="P13180" s="18">
        <v>535</v>
      </c>
      <c r="Q13180" t="s" s="16">
        <f>HYPERLINK("http://secrets.rutgers.edu:8080/data/asl-ftp/asllvd/demos/verify_start_end_handshape_annotations//test_auto_move//signs_mov/7514.mov","MOV")</f>
        <v>21</v>
      </c>
      <c r="R13180" t="s" s="16">
        <f>HYPERLINK("http://secrets.rutgers.edu:8080/data/asl-ftp/asllvd/demos/verify_start_end_handshape_annotations//test_auto_move//signs_mov_separ_signers/Liz_7514.mov","MOV")</f>
        <v>21</v>
      </c>
    </row>
    <row r="13181" s="2" customFormat="1" ht="13.5" customHeight="1">
      <c r="B13181" s="13"/>
      <c r="C13181" t="s" s="9">
        <v>30</v>
      </c>
      <c r="D13181" t="s" s="8">
        <v>5005</v>
      </c>
      <c r="E13181" t="s" s="9">
        <v>5005</v>
      </c>
      <c r="F13181" t="s" s="10">
        <v>25</v>
      </c>
      <c r="G13181" s="14"/>
      <c r="H13181" t="s" s="10">
        <v>152</v>
      </c>
      <c r="I13181" s="14"/>
      <c r="J13181" t="s" s="11">
        <v>20</v>
      </c>
      <c r="K13181" s="15"/>
      <c r="L13181" t="s" s="16">
        <f>HYPERLINK("http://csr.bu.edu/ftp/asl/asllvd/demos/verify_start_end_handshape_annotations//test_auto_move//signs_mov_separ_signers/Brady_7514.mov","MOV")</f>
        <v>21</v>
      </c>
      <c r="M13181" t="s" s="10">
        <v>39</v>
      </c>
      <c r="N13181" s="17">
        <v>46</v>
      </c>
      <c r="O13181" s="18">
        <v>300</v>
      </c>
      <c r="P13181" s="18">
        <v>317</v>
      </c>
      <c r="Q13181" s="15"/>
      <c r="R13181" t="s" s="16">
        <f>HYPERLINK("http://secrets.rutgers.edu:8080/data/asl-ftp/asllvd/demos/verify_start_end_handshape_annotations//test_auto_move//signs_mov_separ_signers/Brady_7514.mov","MOV")</f>
        <v>21</v>
      </c>
    </row>
    <row r="13182" s="2" customFormat="1" ht="27.75" customHeight="1">
      <c r="B13182" t="s" s="8">
        <v>4618</v>
      </c>
      <c r="C13182" t="s" s="9">
        <v>14</v>
      </c>
      <c r="D13182" t="s" s="8">
        <v>14</v>
      </c>
      <c r="E13182" t="s" s="9">
        <v>14</v>
      </c>
      <c r="F13182" t="s" s="10">
        <v>14</v>
      </c>
      <c r="G13182" t="s" s="11">
        <v>14</v>
      </c>
      <c r="H13182" t="s" s="10">
        <v>14</v>
      </c>
      <c r="I13182" t="s" s="11">
        <v>14</v>
      </c>
      <c r="J13182" t="s" s="11">
        <v>14</v>
      </c>
      <c r="K13182" t="s" s="12">
        <v>14</v>
      </c>
      <c r="L13182" t="s" s="12">
        <v>14</v>
      </c>
      <c r="M13182" t="s" s="10">
        <v>14</v>
      </c>
      <c r="N13182" t="s" s="11">
        <v>14</v>
      </c>
      <c r="O13182" t="s" s="8">
        <v>14</v>
      </c>
      <c r="P13182" t="s" s="8">
        <v>14</v>
      </c>
      <c r="Q13182" t="s" s="12">
        <v>14</v>
      </c>
      <c r="R13182" t="s" s="12">
        <v>14</v>
      </c>
    </row>
    <row r="13183" s="2" customFormat="1" ht="27.75" customHeight="1">
      <c r="B13183" s="13"/>
      <c r="C13183" t="s" s="9">
        <v>30</v>
      </c>
      <c r="D13183" t="s" s="8">
        <v>4618</v>
      </c>
      <c r="E13183" t="s" s="9">
        <v>4618</v>
      </c>
      <c r="F13183" t="s" s="10">
        <v>230</v>
      </c>
      <c r="G13183" t="s" s="11">
        <v>240</v>
      </c>
      <c r="H13183" t="s" s="10">
        <v>230</v>
      </c>
      <c r="I13183" t="s" s="11">
        <v>240</v>
      </c>
      <c r="J13183" t="s" s="11">
        <v>20</v>
      </c>
      <c r="K13183" t="s" s="16">
        <f>HYPERLINK("http://csr.bu.edu/ftp/asl/asllvd/demos/verify_start_end_handshape_annotations//test_auto_move//signs_mov/7521.mov","MOV")</f>
        <v>21</v>
      </c>
      <c r="L13183" t="s" s="16">
        <f>HYPERLINK("http://csr.bu.edu/ftp/asl/asllvd/demos/verify_start_end_handshape_annotations//test_auto_move//signs_mov_separ_signers/Brady_7521.mov","MOV")</f>
        <v>21</v>
      </c>
      <c r="M13183" t="s" s="10">
        <v>39</v>
      </c>
      <c r="N13183" s="17">
        <v>46</v>
      </c>
      <c r="O13183" s="18">
        <v>1555</v>
      </c>
      <c r="P13183" s="18">
        <v>1591</v>
      </c>
      <c r="Q13183" t="s" s="16">
        <f>HYPERLINK("http://secrets.rutgers.edu:8080/data/asl-ftp/asllvd/demos/verify_start_end_handshape_annotations//test_auto_move//signs_mov/7521.mov","MOV")</f>
        <v>21</v>
      </c>
      <c r="R13183" t="s" s="16">
        <f>HYPERLINK("http://secrets.rutgers.edu:8080/data/asl-ftp/asllvd/demos/verify_start_end_handshape_annotations//test_auto_move//signs_mov_separ_signers/Brady_7521.mov","MOV")</f>
        <v>21</v>
      </c>
    </row>
    <row r="13184" s="2" customFormat="1" ht="13.5" customHeight="1">
      <c r="B13184" t="s" s="8">
        <v>5006</v>
      </c>
      <c r="C13184" t="s" s="9">
        <v>14</v>
      </c>
      <c r="D13184" t="s" s="8">
        <v>14</v>
      </c>
      <c r="E13184" t="s" s="9">
        <v>14</v>
      </c>
      <c r="F13184" t="s" s="10">
        <v>14</v>
      </c>
      <c r="G13184" t="s" s="11">
        <v>14</v>
      </c>
      <c r="H13184" t="s" s="10">
        <v>14</v>
      </c>
      <c r="I13184" t="s" s="11">
        <v>14</v>
      </c>
      <c r="J13184" t="s" s="11">
        <v>14</v>
      </c>
      <c r="K13184" t="s" s="12">
        <v>14</v>
      </c>
      <c r="L13184" t="s" s="12">
        <v>14</v>
      </c>
      <c r="M13184" t="s" s="10">
        <v>14</v>
      </c>
      <c r="N13184" t="s" s="11">
        <v>14</v>
      </c>
      <c r="O13184" t="s" s="8">
        <v>14</v>
      </c>
      <c r="P13184" t="s" s="8">
        <v>14</v>
      </c>
      <c r="Q13184" t="s" s="12">
        <v>14</v>
      </c>
      <c r="R13184" t="s" s="12">
        <v>14</v>
      </c>
    </row>
    <row r="13185" s="2" customFormat="1" ht="13.5" customHeight="1">
      <c r="B13185" s="13"/>
      <c r="C13185" t="s" s="9">
        <v>23</v>
      </c>
      <c r="D13185" t="s" s="8">
        <v>5007</v>
      </c>
      <c r="E13185" t="s" s="9">
        <v>5007</v>
      </c>
      <c r="F13185" t="s" s="10">
        <v>119</v>
      </c>
      <c r="G13185" t="s" s="11">
        <v>244</v>
      </c>
      <c r="H13185" s="19">
        <v>10</v>
      </c>
      <c r="I13185" t="s" s="11">
        <v>73</v>
      </c>
      <c r="J13185" t="s" s="11">
        <v>20</v>
      </c>
      <c r="K13185" t="s" s="16">
        <f>HYPERLINK("http://csr.bu.edu/ftp/asl/asllvd/demos/verify_start_end_handshape_annotations//test_auto_move//signs_mov/7617.mov","MOV")</f>
        <v>21</v>
      </c>
      <c r="L13185" t="s" s="16">
        <f>HYPERLINK("http://csr.bu.edu/ftp/asl/asllvd/demos/verify_start_end_handshape_annotations//test_auto_move//signs_mov_separ_signers/Tyler_7617.mov","MOV")</f>
        <v>21</v>
      </c>
      <c r="M13185" t="s" s="10">
        <v>92</v>
      </c>
      <c r="N13185" s="17">
        <v>46</v>
      </c>
      <c r="O13185" s="18">
        <v>3381</v>
      </c>
      <c r="P13185" s="18">
        <v>3447</v>
      </c>
      <c r="Q13185" t="s" s="16">
        <f>HYPERLINK("http://secrets.rutgers.edu:8080/data/asl-ftp/asllvd/demos/verify_start_end_handshape_annotations//test_auto_move//signs_mov/7617.mov","MOV")</f>
        <v>21</v>
      </c>
      <c r="R13185" t="s" s="16">
        <f>HYPERLINK("http://secrets.rutgers.edu:8080/data/asl-ftp/asllvd/demos/verify_start_end_handshape_annotations//test_auto_move//signs_mov_separ_signers/Tyler_7617.mov","MOV")</f>
        <v>21</v>
      </c>
    </row>
    <row r="13186" s="2" customFormat="1" ht="13.5" customHeight="1">
      <c r="B13186" s="13"/>
      <c r="C13186" t="s" s="9">
        <v>30</v>
      </c>
      <c r="D13186" t="s" s="8">
        <v>5007</v>
      </c>
      <c r="E13186" t="s" s="9">
        <v>5008</v>
      </c>
      <c r="F13186" t="s" s="10">
        <v>119</v>
      </c>
      <c r="G13186" t="s" s="11">
        <v>185</v>
      </c>
      <c r="H13186" s="19">
        <v>10</v>
      </c>
      <c r="I13186" t="s" s="11">
        <v>73</v>
      </c>
      <c r="J13186" t="s" s="11">
        <v>20</v>
      </c>
      <c r="K13186" s="15"/>
      <c r="L13186" t="s" s="16">
        <f>HYPERLINK("http://csr.bu.edu/ftp/asl/asllvd/demos/verify_start_end_handshape_annotations//test_auto_move//signs_mov_separ_signers/Brady_7617.mov","MOV")</f>
        <v>21</v>
      </c>
      <c r="M13186" t="s" s="10">
        <v>39</v>
      </c>
      <c r="N13186" s="17">
        <v>32</v>
      </c>
      <c r="O13186" s="18">
        <v>2266</v>
      </c>
      <c r="P13186" s="18">
        <v>2343</v>
      </c>
      <c r="Q13186" s="15"/>
      <c r="R13186" t="s" s="16">
        <f>HYPERLINK("http://secrets.rutgers.edu:8080/data/asl-ftp/asllvd/demos/verify_start_end_handshape_annotations//test_auto_move//signs_mov_separ_signers/Brady_7617.mov","MOV")</f>
        <v>21</v>
      </c>
    </row>
    <row r="13187" s="2" customFormat="1" ht="13.5" customHeight="1">
      <c r="B13187" t="s" s="8">
        <v>5009</v>
      </c>
      <c r="C13187" t="s" s="9">
        <v>14</v>
      </c>
      <c r="D13187" t="s" s="8">
        <v>14</v>
      </c>
      <c r="E13187" t="s" s="9">
        <v>14</v>
      </c>
      <c r="F13187" t="s" s="10">
        <v>14</v>
      </c>
      <c r="G13187" t="s" s="11">
        <v>14</v>
      </c>
      <c r="H13187" t="s" s="10">
        <v>14</v>
      </c>
      <c r="I13187" t="s" s="11">
        <v>14</v>
      </c>
      <c r="J13187" t="s" s="11">
        <v>14</v>
      </c>
      <c r="K13187" t="s" s="12">
        <v>14</v>
      </c>
      <c r="L13187" t="s" s="12">
        <v>14</v>
      </c>
      <c r="M13187" t="s" s="10">
        <v>14</v>
      </c>
      <c r="N13187" t="s" s="11">
        <v>14</v>
      </c>
      <c r="O13187" t="s" s="8">
        <v>14</v>
      </c>
      <c r="P13187" t="s" s="8">
        <v>14</v>
      </c>
      <c r="Q13187" t="s" s="12">
        <v>14</v>
      </c>
      <c r="R13187" t="s" s="12">
        <v>14</v>
      </c>
    </row>
    <row r="13188" s="2" customFormat="1" ht="13.5" customHeight="1">
      <c r="B13188" s="13"/>
      <c r="C13188" t="s" s="9">
        <v>27</v>
      </c>
      <c r="D13188" t="s" s="8">
        <v>5009</v>
      </c>
      <c r="E13188" t="s" s="9">
        <v>5010</v>
      </c>
      <c r="F13188" s="19">
        <v>1</v>
      </c>
      <c r="G13188" s="14"/>
      <c r="H13188" t="s" s="10">
        <v>287</v>
      </c>
      <c r="I13188" t="s" s="11">
        <v>287</v>
      </c>
      <c r="J13188" t="s" s="11">
        <v>20</v>
      </c>
      <c r="K13188" t="s" s="16">
        <f>HYPERLINK("http://csr.bu.edu/ftp/asl/asllvd/demos/verify_start_end_handshape_annotations//test_auto_move//signs_mov/7644.mov","MOV")</f>
        <v>21</v>
      </c>
      <c r="L13188" t="s" s="16">
        <f>HYPERLINK("http://csr.bu.edu/ftp/asl/asllvd/demos/verify_start_end_handshape_annotations//test_auto_move//signs_mov_separ_signers/Naomi_7644.mov","MOV")</f>
        <v>21</v>
      </c>
      <c r="M13188" t="s" s="10">
        <v>38</v>
      </c>
      <c r="N13188" s="17">
        <v>29</v>
      </c>
      <c r="O13188" s="18">
        <v>4390</v>
      </c>
      <c r="P13188" s="18">
        <v>4431</v>
      </c>
      <c r="Q13188" t="s" s="16">
        <f>HYPERLINK("http://secrets.rutgers.edu:8080/data/asl-ftp/asllvd/demos/verify_start_end_handshape_annotations//test_auto_move//signs_mov/7644.mov","MOV")</f>
        <v>21</v>
      </c>
      <c r="R13188" t="s" s="16">
        <f>HYPERLINK("http://secrets.rutgers.edu:8080/data/asl-ftp/asllvd/demos/verify_start_end_handshape_annotations//test_auto_move//signs_mov_separ_signers/Naomi_7644.mov","MOV")</f>
        <v>21</v>
      </c>
    </row>
    <row r="13189" s="2" customFormat="1" ht="13.5" customHeight="1">
      <c r="B13189" s="13"/>
      <c r="C13189" t="s" s="9">
        <v>30</v>
      </c>
      <c r="D13189" t="s" s="8">
        <v>5009</v>
      </c>
      <c r="E13189" t="s" s="9">
        <v>5011</v>
      </c>
      <c r="F13189" t="s" s="10">
        <v>287</v>
      </c>
      <c r="G13189" t="s" s="11">
        <v>287</v>
      </c>
      <c r="H13189" t="s" s="10">
        <v>287</v>
      </c>
      <c r="I13189" t="s" s="11">
        <v>287</v>
      </c>
      <c r="J13189" t="s" s="11">
        <v>20</v>
      </c>
      <c r="K13189" s="15"/>
      <c r="L13189" t="s" s="16">
        <f>HYPERLINK("http://csr.bu.edu/ftp/asl/asllvd/demos/verify_start_end_handshape_annotations//test_auto_move//signs_mov_separ_signers/Brady_7644.mov","MOV")</f>
        <v>21</v>
      </c>
      <c r="M13189" t="s" s="10">
        <v>39</v>
      </c>
      <c r="N13189" s="17">
        <v>42</v>
      </c>
      <c r="O13189" s="18">
        <v>2785</v>
      </c>
      <c r="P13189" s="18">
        <v>2826</v>
      </c>
      <c r="Q13189" s="15"/>
      <c r="R13189" t="s" s="16">
        <f>HYPERLINK("http://secrets.rutgers.edu:8080/data/asl-ftp/asllvd/demos/verify_start_end_handshape_annotations//test_auto_move//signs_mov_separ_signers/Brady_7644.mov","MOV")</f>
        <v>21</v>
      </c>
    </row>
    <row r="13190" s="2" customFormat="1" ht="13.5" customHeight="1">
      <c r="B13190" t="s" s="8">
        <v>5012</v>
      </c>
      <c r="C13190" t="s" s="9">
        <v>14</v>
      </c>
      <c r="D13190" t="s" s="8">
        <v>14</v>
      </c>
      <c r="E13190" t="s" s="9">
        <v>14</v>
      </c>
      <c r="F13190" t="s" s="10">
        <v>14</v>
      </c>
      <c r="G13190" t="s" s="11">
        <v>14</v>
      </c>
      <c r="H13190" t="s" s="10">
        <v>14</v>
      </c>
      <c r="I13190" t="s" s="11">
        <v>14</v>
      </c>
      <c r="J13190" t="s" s="11">
        <v>14</v>
      </c>
      <c r="K13190" t="s" s="12">
        <v>14</v>
      </c>
      <c r="L13190" t="s" s="12">
        <v>14</v>
      </c>
      <c r="M13190" t="s" s="10">
        <v>14</v>
      </c>
      <c r="N13190" t="s" s="11">
        <v>14</v>
      </c>
      <c r="O13190" t="s" s="8">
        <v>14</v>
      </c>
      <c r="P13190" t="s" s="8">
        <v>14</v>
      </c>
      <c r="Q13190" t="s" s="12">
        <v>14</v>
      </c>
      <c r="R13190" t="s" s="12">
        <v>14</v>
      </c>
    </row>
    <row r="13191" s="2" customFormat="1" ht="13.5" customHeight="1">
      <c r="B13191" s="13"/>
      <c r="C13191" t="s" s="9">
        <v>16</v>
      </c>
      <c r="D13191" t="s" s="8">
        <v>5012</v>
      </c>
      <c r="E13191" t="s" s="9">
        <v>5012</v>
      </c>
      <c r="F13191" t="s" s="10">
        <v>757</v>
      </c>
      <c r="G13191" s="14"/>
      <c r="H13191" t="s" s="10">
        <v>283</v>
      </c>
      <c r="I13191" s="14"/>
      <c r="J13191" t="s" s="11">
        <v>20</v>
      </c>
      <c r="K13191" t="s" s="16">
        <f>HYPERLINK("http://csr.bu.edu/ftp/asl/asllvd/demos/verify_start_end_handshape_annotations//test_auto_move//signs_mov/7662.mov","MOV")</f>
        <v>21</v>
      </c>
      <c r="L13191" t="s" s="16">
        <f>HYPERLINK("http://csr.bu.edu/ftp/asl/asllvd/demos/verify_start_end_handshape_annotations//test_auto_move//signs_mov_separ_signers/Liz_7662.mov","MOV")</f>
        <v>21</v>
      </c>
      <c r="M13191" t="s" s="10">
        <v>88</v>
      </c>
      <c r="N13191" s="17">
        <v>1</v>
      </c>
      <c r="O13191" s="18">
        <v>2370</v>
      </c>
      <c r="P13191" s="18">
        <v>2397</v>
      </c>
      <c r="Q13191" t="s" s="16">
        <f>HYPERLINK("http://secrets.rutgers.edu:8080/data/asl-ftp/asllvd/demos/verify_start_end_handshape_annotations//test_auto_move//signs_mov/7662.mov","MOV")</f>
        <v>21</v>
      </c>
      <c r="R13191" t="s" s="16">
        <f>HYPERLINK("http://secrets.rutgers.edu:8080/data/asl-ftp/asllvd/demos/verify_start_end_handshape_annotations//test_auto_move//signs_mov_separ_signers/Liz_7662.mov","MOV")</f>
        <v>21</v>
      </c>
    </row>
    <row r="13192" s="2" customFormat="1" ht="13.5" customHeight="1">
      <c r="B13192" s="13"/>
      <c r="C13192" t="s" s="9">
        <v>30</v>
      </c>
      <c r="D13192" t="s" s="8">
        <v>5012</v>
      </c>
      <c r="E13192" t="s" s="9">
        <v>5012</v>
      </c>
      <c r="F13192" t="s" s="10">
        <v>2233</v>
      </c>
      <c r="G13192" s="14"/>
      <c r="H13192" t="s" s="10">
        <v>158</v>
      </c>
      <c r="I13192" s="14"/>
      <c r="J13192" t="s" s="11">
        <v>20</v>
      </c>
      <c r="K13192" s="15"/>
      <c r="L13192" t="s" s="16">
        <f>HYPERLINK("http://csr.bu.edu/ftp/asl/asllvd/demos/verify_start_end_handshape_annotations//test_auto_move//signs_mov_separ_signers/Brady_7662.mov","MOV")</f>
        <v>21</v>
      </c>
      <c r="M13192" t="s" s="10">
        <v>39</v>
      </c>
      <c r="N13192" s="17">
        <v>55</v>
      </c>
      <c r="O13192" s="18">
        <v>3095</v>
      </c>
      <c r="P13192" s="18">
        <v>3121</v>
      </c>
      <c r="Q13192" s="15"/>
      <c r="R13192" t="s" s="16">
        <f>HYPERLINK("http://secrets.rutgers.edu:8080/data/asl-ftp/asllvd/demos/verify_start_end_handshape_annotations//test_auto_move//signs_mov_separ_signers/Brady_7662.mov","MOV")</f>
        <v>21</v>
      </c>
    </row>
    <row r="13193" s="2" customFormat="1" ht="13.5" customHeight="1">
      <c r="B13193" t="s" s="8">
        <v>5013</v>
      </c>
      <c r="C13193" t="s" s="9">
        <v>14</v>
      </c>
      <c r="D13193" t="s" s="8">
        <v>14</v>
      </c>
      <c r="E13193" t="s" s="9">
        <v>14</v>
      </c>
      <c r="F13193" t="s" s="10">
        <v>14</v>
      </c>
      <c r="G13193" t="s" s="11">
        <v>14</v>
      </c>
      <c r="H13193" t="s" s="10">
        <v>14</v>
      </c>
      <c r="I13193" t="s" s="11">
        <v>14</v>
      </c>
      <c r="J13193" t="s" s="11">
        <v>14</v>
      </c>
      <c r="K13193" t="s" s="12">
        <v>14</v>
      </c>
      <c r="L13193" t="s" s="12">
        <v>14</v>
      </c>
      <c r="M13193" t="s" s="10">
        <v>14</v>
      </c>
      <c r="N13193" t="s" s="11">
        <v>14</v>
      </c>
      <c r="O13193" t="s" s="8">
        <v>14</v>
      </c>
      <c r="P13193" t="s" s="8">
        <v>14</v>
      </c>
      <c r="Q13193" t="s" s="12">
        <v>14</v>
      </c>
      <c r="R13193" t="s" s="12">
        <v>14</v>
      </c>
    </row>
    <row r="13194" s="2" customFormat="1" ht="13.5" customHeight="1">
      <c r="B13194" s="13"/>
      <c r="C13194" t="s" s="9">
        <v>16</v>
      </c>
      <c r="D13194" t="s" s="8">
        <v>5013</v>
      </c>
      <c r="E13194" t="s" s="9">
        <v>5013</v>
      </c>
      <c r="F13194" s="19">
        <v>1</v>
      </c>
      <c r="G13194" t="s" s="11">
        <v>73</v>
      </c>
      <c r="H13194" t="s" s="10">
        <v>73</v>
      </c>
      <c r="I13194" t="s" s="11">
        <v>73</v>
      </c>
      <c r="J13194" t="s" s="11">
        <v>20</v>
      </c>
      <c r="K13194" s="15"/>
      <c r="L13194" t="s" s="16">
        <f>HYPERLINK("http://csr.bu.edu/ftp/asl/asllvd/demos/verify_start_end_handshape_annotations//test_auto_move//signs_mov_separ_signers/Liz_7748.mov","MOV")</f>
        <v>21</v>
      </c>
      <c r="M13194" t="s" s="10">
        <v>34</v>
      </c>
      <c r="N13194" s="17">
        <v>16</v>
      </c>
      <c r="O13194" s="18">
        <v>2612</v>
      </c>
      <c r="P13194" s="18">
        <v>2661</v>
      </c>
      <c r="Q13194" s="15"/>
      <c r="R13194" t="s" s="16">
        <f>HYPERLINK("http://secrets.rutgers.edu:8080/data/asl-ftp/asllvd/demos/verify_start_end_handshape_annotations//test_auto_move//signs_mov_separ_signers/Liz_7748.mov","MOV")</f>
        <v>21</v>
      </c>
    </row>
    <row r="13195" s="2" customFormat="1" ht="13.5" customHeight="1">
      <c r="B13195" s="13"/>
      <c r="C13195" t="s" s="9">
        <v>27</v>
      </c>
      <c r="D13195" t="s" s="8">
        <v>5013</v>
      </c>
      <c r="E13195" t="s" s="9">
        <v>5013</v>
      </c>
      <c r="F13195" s="19">
        <v>1</v>
      </c>
      <c r="G13195" t="s" s="11">
        <v>73</v>
      </c>
      <c r="H13195" t="s" s="10">
        <v>73</v>
      </c>
      <c r="I13195" t="s" s="11">
        <v>73</v>
      </c>
      <c r="J13195" t="s" s="11">
        <v>20</v>
      </c>
      <c r="K13195" t="s" s="16">
        <f>HYPERLINK("http://csr.bu.edu/ftp/asl/asllvd/demos/verify_start_end_handshape_annotations//test_auto_move//signs_mov/7748.mov","MOV")</f>
        <v>21</v>
      </c>
      <c r="L13195" t="s" s="16">
        <f>HYPERLINK("http://csr.bu.edu/ftp/asl/asllvd/demos/verify_start_end_handshape_annotations//test_auto_move//signs_mov_separ_signers/Naomi_7748.mov","MOV")</f>
        <v>21</v>
      </c>
      <c r="M13195" t="s" s="10">
        <v>38</v>
      </c>
      <c r="N13195" s="17">
        <v>13</v>
      </c>
      <c r="O13195" s="18">
        <v>7242</v>
      </c>
      <c r="P13195" s="18">
        <v>7297</v>
      </c>
      <c r="Q13195" t="s" s="16">
        <f>HYPERLINK("http://secrets.rutgers.edu:8080/data/asl-ftp/asllvd/demos/verify_start_end_handshape_annotations//test_auto_move//signs_mov/7748.mov","MOV")</f>
        <v>21</v>
      </c>
      <c r="R13195" t="s" s="16">
        <f>HYPERLINK("http://secrets.rutgers.edu:8080/data/asl-ftp/asllvd/demos/verify_start_end_handshape_annotations//test_auto_move//signs_mov_separ_signers/Naomi_7748.mov","MOV")</f>
        <v>21</v>
      </c>
    </row>
    <row r="13196" s="2" customFormat="1" ht="13.5" customHeight="1">
      <c r="B13196" s="13"/>
      <c r="C13196" t="s" s="9">
        <v>30</v>
      </c>
      <c r="D13196" t="s" s="8">
        <v>5013</v>
      </c>
      <c r="E13196" t="s" s="9">
        <v>5013</v>
      </c>
      <c r="F13196" s="19">
        <v>1</v>
      </c>
      <c r="G13196" t="s" s="11">
        <v>73</v>
      </c>
      <c r="H13196" t="s" s="10">
        <v>73</v>
      </c>
      <c r="I13196" t="s" s="11">
        <v>73</v>
      </c>
      <c r="J13196" t="s" s="11">
        <v>20</v>
      </c>
      <c r="K13196" s="15"/>
      <c r="L13196" t="s" s="16">
        <f>HYPERLINK("http://csr.bu.edu/ftp/asl/asllvd/demos/verify_start_end_handshape_annotations//test_auto_move//signs_mov_separ_signers/Brady_7748.mov","MOV")</f>
        <v>21</v>
      </c>
      <c r="M13196" t="s" s="10">
        <v>39</v>
      </c>
      <c r="N13196" s="17">
        <v>31</v>
      </c>
      <c r="O13196" s="18">
        <v>5332</v>
      </c>
      <c r="P13196" s="18">
        <v>5373</v>
      </c>
      <c r="Q13196" s="15"/>
      <c r="R13196" t="s" s="16">
        <f>HYPERLINK("http://secrets.rutgers.edu:8080/data/asl-ftp/asllvd/demos/verify_start_end_handshape_annotations//test_auto_move//signs_mov_separ_signers/Brady_7748.mov","MOV")</f>
        <v>21</v>
      </c>
    </row>
    <row r="13197" s="2" customFormat="1" ht="13.5" customHeight="1">
      <c r="B13197" t="s" s="8">
        <v>5014</v>
      </c>
      <c r="C13197" t="s" s="9">
        <v>14</v>
      </c>
      <c r="D13197" t="s" s="8">
        <v>14</v>
      </c>
      <c r="E13197" t="s" s="9">
        <v>14</v>
      </c>
      <c r="F13197" t="s" s="10">
        <v>14</v>
      </c>
      <c r="G13197" t="s" s="11">
        <v>14</v>
      </c>
      <c r="H13197" t="s" s="10">
        <v>14</v>
      </c>
      <c r="I13197" t="s" s="11">
        <v>14</v>
      </c>
      <c r="J13197" t="s" s="11">
        <v>14</v>
      </c>
      <c r="K13197" t="s" s="12">
        <v>14</v>
      </c>
      <c r="L13197" t="s" s="12">
        <v>14</v>
      </c>
      <c r="M13197" t="s" s="10">
        <v>14</v>
      </c>
      <c r="N13197" t="s" s="11">
        <v>14</v>
      </c>
      <c r="O13197" t="s" s="8">
        <v>14</v>
      </c>
      <c r="P13197" t="s" s="8">
        <v>14</v>
      </c>
      <c r="Q13197" t="s" s="12">
        <v>14</v>
      </c>
      <c r="R13197" t="s" s="12">
        <v>14</v>
      </c>
    </row>
    <row r="13198" s="2" customFormat="1" ht="13.5" customHeight="1">
      <c r="B13198" s="13"/>
      <c r="C13198" t="s" s="9">
        <v>16</v>
      </c>
      <c r="D13198" t="s" s="8">
        <v>5014</v>
      </c>
      <c r="E13198" t="s" s="9">
        <v>5014</v>
      </c>
      <c r="F13198" s="19">
        <v>1</v>
      </c>
      <c r="G13198" t="s" s="11">
        <v>73</v>
      </c>
      <c r="H13198" t="s" s="10">
        <v>80</v>
      </c>
      <c r="I13198" t="s" s="11">
        <v>73</v>
      </c>
      <c r="J13198" t="s" s="11">
        <v>20</v>
      </c>
      <c r="K13198" s="15"/>
      <c r="L13198" t="s" s="16">
        <f>HYPERLINK("http://csr.bu.edu/ftp/asl/asllvd/demos/verify_start_end_handshape_annotations//test_auto_move//signs_mov_separ_signers/Liz_7863.mov","MOV")</f>
        <v>21</v>
      </c>
      <c r="M13198" t="s" s="10">
        <v>88</v>
      </c>
      <c r="N13198" s="17">
        <v>24</v>
      </c>
      <c r="O13198" s="18">
        <v>3260</v>
      </c>
      <c r="P13198" s="18">
        <v>3304</v>
      </c>
      <c r="Q13198" s="15"/>
      <c r="R13198" t="s" s="16">
        <f>HYPERLINK("http://secrets.rutgers.edu:8080/data/asl-ftp/asllvd/demos/verify_start_end_handshape_annotations//test_auto_move//signs_mov_separ_signers/Liz_7863.mov","MOV")</f>
        <v>21</v>
      </c>
    </row>
    <row r="13199" s="2" customFormat="1" ht="13.5" customHeight="1">
      <c r="B13199" s="13"/>
      <c r="C13199" t="s" s="9">
        <v>30</v>
      </c>
      <c r="D13199" t="s" s="8">
        <v>5014</v>
      </c>
      <c r="E13199" t="s" s="9">
        <v>5014</v>
      </c>
      <c r="F13199" s="19">
        <v>1</v>
      </c>
      <c r="G13199" s="14"/>
      <c r="H13199" t="s" s="10">
        <v>80</v>
      </c>
      <c r="I13199" t="s" s="11">
        <v>73</v>
      </c>
      <c r="J13199" t="s" s="11">
        <v>20</v>
      </c>
      <c r="K13199" t="s" s="16">
        <f>HYPERLINK("http://csr.bu.edu/ftp/asl/asllvd/demos/verify_start_end_handshape_annotations//test_auto_move//signs_mov/5801_7863_15506_merged.mov","MOV")</f>
        <v>21</v>
      </c>
      <c r="L13199" t="s" s="16">
        <f>HYPERLINK("http://csr.bu.edu/ftp/asl/asllvd/demos/verify_start_end_handshape_annotations//test_auto_move//signs_mov_separ_signers/Brady_7863.mov","MOV")</f>
        <v>21</v>
      </c>
      <c r="M13199" t="s" s="10">
        <v>40</v>
      </c>
      <c r="N13199" s="17">
        <v>20</v>
      </c>
      <c r="O13199" s="18">
        <v>510</v>
      </c>
      <c r="P13199" s="18">
        <v>552</v>
      </c>
      <c r="Q13199" t="s" s="16">
        <f>HYPERLINK("http://secrets.rutgers.edu:8080/data/asl-ftp/asllvd/demos/verify_start_end_handshape_annotations//test_auto_move//signs_mov/5801_7863_15506_merged.mov","MOV")</f>
        <v>21</v>
      </c>
      <c r="R13199" t="s" s="16">
        <f>HYPERLINK("http://secrets.rutgers.edu:8080/data/asl-ftp/asllvd/demos/verify_start_end_handshape_annotations//test_auto_move//signs_mov_separ_signers/Brady_7863.mov","MOV")</f>
        <v>21</v>
      </c>
    </row>
    <row r="13200" s="2" customFormat="1" ht="13.5" customHeight="1">
      <c r="B13200" s="13"/>
      <c r="C13200" t="s" s="9">
        <v>30</v>
      </c>
      <c r="D13200" t="s" s="8">
        <v>5014</v>
      </c>
      <c r="E13200" t="s" s="9">
        <v>5014</v>
      </c>
      <c r="F13200" s="19">
        <v>1</v>
      </c>
      <c r="G13200" t="s" s="11">
        <v>73</v>
      </c>
      <c r="H13200" t="s" s="10">
        <v>80</v>
      </c>
      <c r="I13200" t="s" s="11">
        <v>73</v>
      </c>
      <c r="J13200" t="s" s="11">
        <v>20</v>
      </c>
      <c r="K13200" s="15"/>
      <c r="L13200" t="s" s="16">
        <f>HYPERLINK("http://csr.bu.edu/ftp/asl/asllvd/demos/verify_start_end_handshape_annotations//test_auto_move//signs_mov_separ_signers/Brady_5801.mov","MOV")</f>
        <v>21</v>
      </c>
      <c r="M13200" t="s" s="10">
        <v>60</v>
      </c>
      <c r="N13200" s="17">
        <v>48</v>
      </c>
      <c r="O13200" s="18">
        <v>3360</v>
      </c>
      <c r="P13200" s="18">
        <v>3397</v>
      </c>
      <c r="Q13200" s="15"/>
      <c r="R13200" t="s" s="16">
        <f>HYPERLINK("http://secrets.rutgers.edu:8080/data/asl-ftp/asllvd/demos/verify_start_end_handshape_annotations//test_auto_move//signs_mov_separ_signers/Brady_5801.mov","MOV")</f>
        <v>21</v>
      </c>
    </row>
    <row r="13201" s="2" customFormat="1" ht="13.5" customHeight="1">
      <c r="B13201" s="13"/>
      <c r="C13201" t="s" s="9">
        <v>30</v>
      </c>
      <c r="D13201" t="s" s="8">
        <v>5014</v>
      </c>
      <c r="E13201" t="s" s="9">
        <v>5014</v>
      </c>
      <c r="F13201" s="19">
        <v>1</v>
      </c>
      <c r="G13201" t="s" s="11">
        <v>73</v>
      </c>
      <c r="H13201" t="s" s="10">
        <v>80</v>
      </c>
      <c r="I13201" t="s" s="11">
        <v>73</v>
      </c>
      <c r="J13201" t="s" s="11">
        <v>20</v>
      </c>
      <c r="K13201" s="15"/>
      <c r="L13201" t="s" s="16">
        <f>HYPERLINK("http://csr.bu.edu/ftp/asl/asllvd/demos/verify_start_end_handshape_annotations//test_auto_move//signs_mov_separ_signers/Brady_15506.mov","MOV")</f>
        <v>21</v>
      </c>
      <c r="M13201" t="s" s="10">
        <v>60</v>
      </c>
      <c r="N13201" s="17">
        <v>48</v>
      </c>
      <c r="O13201" s="18">
        <v>3755</v>
      </c>
      <c r="P13201" s="18">
        <v>3796</v>
      </c>
      <c r="Q13201" s="15"/>
      <c r="R13201" t="s" s="16">
        <f>HYPERLINK("http://secrets.rutgers.edu:8080/data/asl-ftp/asllvd/demos/verify_start_end_handshape_annotations//test_auto_move//signs_mov_separ_signers/Brady_15506.mov","MOV")</f>
        <v>21</v>
      </c>
    </row>
    <row r="13202" s="2" customFormat="1" ht="13.5" customHeight="1">
      <c r="B13202" t="s" s="8">
        <v>5015</v>
      </c>
      <c r="C13202" t="s" s="9">
        <v>14</v>
      </c>
      <c r="D13202" t="s" s="8">
        <v>14</v>
      </c>
      <c r="E13202" t="s" s="9">
        <v>14</v>
      </c>
      <c r="F13202" t="s" s="10">
        <v>14</v>
      </c>
      <c r="G13202" t="s" s="11">
        <v>14</v>
      </c>
      <c r="H13202" t="s" s="10">
        <v>14</v>
      </c>
      <c r="I13202" t="s" s="11">
        <v>14</v>
      </c>
      <c r="J13202" t="s" s="11">
        <v>14</v>
      </c>
      <c r="K13202" t="s" s="12">
        <v>14</v>
      </c>
      <c r="L13202" t="s" s="12">
        <v>14</v>
      </c>
      <c r="M13202" t="s" s="10">
        <v>14</v>
      </c>
      <c r="N13202" t="s" s="11">
        <v>14</v>
      </c>
      <c r="O13202" t="s" s="8">
        <v>14</v>
      </c>
      <c r="P13202" t="s" s="8">
        <v>14</v>
      </c>
      <c r="Q13202" t="s" s="12">
        <v>14</v>
      </c>
      <c r="R13202" t="s" s="12">
        <v>14</v>
      </c>
    </row>
    <row r="13203" s="2" customFormat="1" ht="13.5" customHeight="1">
      <c r="B13203" s="13"/>
      <c r="C13203" t="s" s="9">
        <v>30</v>
      </c>
      <c r="D13203" t="s" s="8">
        <v>5016</v>
      </c>
      <c r="E13203" t="s" s="9">
        <v>5016</v>
      </c>
      <c r="F13203" t="s" s="10">
        <v>73</v>
      </c>
      <c r="G13203" s="14"/>
      <c r="H13203" t="s" s="10">
        <v>68</v>
      </c>
      <c r="I13203" t="s" s="11">
        <v>68</v>
      </c>
      <c r="J13203" t="s" s="11">
        <v>20</v>
      </c>
      <c r="K13203" t="s" s="16">
        <f>HYPERLINK("http://csr.bu.edu/ftp/asl/asllvd/demos/verify_start_end_handshape_annotations//test_auto_move//signs_mov/5760_8354_merged.mov","MOV")</f>
        <v>21</v>
      </c>
      <c r="L13203" t="s" s="16">
        <f>HYPERLINK("http://csr.bu.edu/ftp/asl/asllvd/demos/verify_start_end_handshape_annotations//test_auto_move//signs_mov_separ_signers/Brady_8354.mov","MOV")</f>
        <v>21</v>
      </c>
      <c r="M13203" t="s" s="10">
        <v>40</v>
      </c>
      <c r="N13203" s="17">
        <v>69</v>
      </c>
      <c r="O13203" s="18">
        <v>678</v>
      </c>
      <c r="P13203" s="18">
        <v>750</v>
      </c>
      <c r="Q13203" t="s" s="16">
        <f>HYPERLINK("http://secrets.rutgers.edu:8080/data/asl-ftp/asllvd/demos/verify_start_end_handshape_annotations//test_auto_move//signs_mov/5760_8354_merged.mov","MOV")</f>
        <v>21</v>
      </c>
      <c r="R13203" t="s" s="16">
        <f>HYPERLINK("http://secrets.rutgers.edu:8080/data/asl-ftp/asllvd/demos/verify_start_end_handshape_annotations//test_auto_move//signs_mov_separ_signers/Brady_8354.mov","MOV")</f>
        <v>21</v>
      </c>
    </row>
    <row r="13204" s="2" customFormat="1" ht="13.5" customHeight="1">
      <c r="B13204" s="13"/>
      <c r="C13204" t="s" s="9">
        <v>30</v>
      </c>
      <c r="D13204" t="s" s="8">
        <v>5016</v>
      </c>
      <c r="E13204" t="s" s="9">
        <v>5016</v>
      </c>
      <c r="F13204" t="s" s="10">
        <v>73</v>
      </c>
      <c r="G13204" t="s" s="11">
        <v>73</v>
      </c>
      <c r="H13204" t="s" s="10">
        <v>68</v>
      </c>
      <c r="I13204" t="s" s="11">
        <v>68</v>
      </c>
      <c r="J13204" t="s" s="11">
        <v>20</v>
      </c>
      <c r="K13204" s="15"/>
      <c r="L13204" t="s" s="16">
        <f>HYPERLINK("http://csr.bu.edu/ftp/asl/asllvd/demos/verify_start_end_handshape_annotations//test_auto_move//signs_mov_separ_signers/Brady_5760.mov","MOV")</f>
        <v>21</v>
      </c>
      <c r="M13204" t="s" s="10">
        <v>60</v>
      </c>
      <c r="N13204" s="17">
        <v>51</v>
      </c>
      <c r="O13204" s="18">
        <v>1916</v>
      </c>
      <c r="P13204" s="18">
        <v>1995</v>
      </c>
      <c r="Q13204" s="15"/>
      <c r="R13204" t="s" s="16">
        <f>HYPERLINK("http://secrets.rutgers.edu:8080/data/asl-ftp/asllvd/demos/verify_start_end_handshape_annotations//test_auto_move//signs_mov_separ_signers/Brady_5760.mov","MOV")</f>
        <v>21</v>
      </c>
    </row>
    <row r="13205" s="2" customFormat="1" ht="13.5" customHeight="1">
      <c r="B13205" t="s" s="8">
        <v>5017</v>
      </c>
      <c r="C13205" t="s" s="9">
        <v>14</v>
      </c>
      <c r="D13205" t="s" s="8">
        <v>14</v>
      </c>
      <c r="E13205" t="s" s="9">
        <v>14</v>
      </c>
      <c r="F13205" t="s" s="10">
        <v>14</v>
      </c>
      <c r="G13205" t="s" s="11">
        <v>14</v>
      </c>
      <c r="H13205" t="s" s="10">
        <v>14</v>
      </c>
      <c r="I13205" t="s" s="11">
        <v>14</v>
      </c>
      <c r="J13205" t="s" s="11">
        <v>14</v>
      </c>
      <c r="K13205" t="s" s="12">
        <v>14</v>
      </c>
      <c r="L13205" t="s" s="12">
        <v>14</v>
      </c>
      <c r="M13205" t="s" s="10">
        <v>14</v>
      </c>
      <c r="N13205" t="s" s="11">
        <v>14</v>
      </c>
      <c r="O13205" t="s" s="8">
        <v>14</v>
      </c>
      <c r="P13205" t="s" s="8">
        <v>14</v>
      </c>
      <c r="Q13205" t="s" s="12">
        <v>14</v>
      </c>
      <c r="R13205" t="s" s="12">
        <v>14</v>
      </c>
    </row>
    <row r="13206" s="2" customFormat="1" ht="13.5" customHeight="1">
      <c r="B13206" s="13"/>
      <c r="C13206" t="s" s="9">
        <v>16</v>
      </c>
      <c r="D13206" t="s" s="8">
        <v>5017</v>
      </c>
      <c r="E13206" t="s" s="9">
        <v>5017</v>
      </c>
      <c r="F13206" t="s" s="10">
        <v>73</v>
      </c>
      <c r="G13206" t="s" s="11">
        <v>73</v>
      </c>
      <c r="H13206" t="s" s="10">
        <v>73</v>
      </c>
      <c r="I13206" t="s" s="11">
        <v>73</v>
      </c>
      <c r="J13206" t="s" s="11">
        <v>20</v>
      </c>
      <c r="K13206" s="15"/>
      <c r="L13206" t="s" s="16">
        <f>HYPERLINK("http://csr.bu.edu/ftp/asl/asllvd/demos/verify_start_end_handshape_annotations//test_auto_move//signs_mov_separ_signers/Liz_8410.mov","MOV")</f>
        <v>21</v>
      </c>
      <c r="M13206" t="s" s="10">
        <v>36</v>
      </c>
      <c r="N13206" s="17">
        <v>27</v>
      </c>
      <c r="O13206" s="18">
        <v>236</v>
      </c>
      <c r="P13206" s="18">
        <v>286</v>
      </c>
      <c r="Q13206" s="15"/>
      <c r="R13206" t="s" s="16">
        <f>HYPERLINK("http://secrets.rutgers.edu:8080/data/asl-ftp/asllvd/demos/verify_start_end_handshape_annotations//test_auto_move//signs_mov_separ_signers/Liz_8410.mov","MOV")</f>
        <v>21</v>
      </c>
    </row>
    <row r="13207" s="2" customFormat="1" ht="13.5" customHeight="1">
      <c r="B13207" s="13"/>
      <c r="C13207" t="s" s="9">
        <v>16</v>
      </c>
      <c r="D13207" t="s" s="8">
        <v>5017</v>
      </c>
      <c r="E13207" t="s" s="9">
        <v>5017</v>
      </c>
      <c r="F13207" t="s" s="10">
        <v>73</v>
      </c>
      <c r="G13207" t="s" s="11">
        <v>73</v>
      </c>
      <c r="H13207" t="s" s="10">
        <v>73</v>
      </c>
      <c r="I13207" t="s" s="11">
        <v>73</v>
      </c>
      <c r="J13207" t="s" s="11">
        <v>20</v>
      </c>
      <c r="K13207" t="s" s="16">
        <f>HYPERLINK("http://csr.bu.edu/ftp/asl/asllvd/demos/verify_start_end_handshape_annotations//test_auto_move//signs_mov/5410_8410_merged.mov","MOV")</f>
        <v>21</v>
      </c>
      <c r="L13207" t="s" s="16">
        <f>HYPERLINK("http://csr.bu.edu/ftp/asl/asllvd/demos/verify_start_end_handshape_annotations//test_auto_move//signs_mov_separ_signers/Liz_5410.mov","MOV")</f>
        <v>21</v>
      </c>
      <c r="M13207" t="s" s="10">
        <v>59</v>
      </c>
      <c r="N13207" s="17">
        <v>34</v>
      </c>
      <c r="O13207" s="18">
        <v>1471</v>
      </c>
      <c r="P13207" s="18">
        <v>1522</v>
      </c>
      <c r="Q13207" t="s" s="16">
        <f>HYPERLINK("http://secrets.rutgers.edu:8080/data/asl-ftp/asllvd/demos/verify_start_end_handshape_annotations//test_auto_move//signs_mov/5410_8410_merged.mov","MOV")</f>
        <v>21</v>
      </c>
      <c r="R13207" t="s" s="16">
        <f>HYPERLINK("http://secrets.rutgers.edu:8080/data/asl-ftp/asllvd/demos/verify_start_end_handshape_annotations//test_auto_move//signs_mov_separ_signers/Liz_5410.mov","MOV")</f>
        <v>21</v>
      </c>
    </row>
    <row r="13208" s="2" customFormat="1" ht="13.5" customHeight="1">
      <c r="B13208" s="13"/>
      <c r="C13208" t="s" s="9">
        <v>30</v>
      </c>
      <c r="D13208" t="s" s="8">
        <v>5017</v>
      </c>
      <c r="E13208" t="s" s="9">
        <v>5017</v>
      </c>
      <c r="F13208" t="s" s="10">
        <v>73</v>
      </c>
      <c r="G13208" t="s" s="11">
        <v>73</v>
      </c>
      <c r="H13208" t="s" s="10">
        <v>73</v>
      </c>
      <c r="I13208" t="s" s="11">
        <v>73</v>
      </c>
      <c r="J13208" t="s" s="11">
        <v>20</v>
      </c>
      <c r="K13208" s="15"/>
      <c r="L13208" t="s" s="16">
        <f>HYPERLINK("http://csr.bu.edu/ftp/asl/asllvd/demos/verify_start_end_handshape_annotations//test_auto_move//signs_mov_separ_signers/Brady_8410.mov","MOV")</f>
        <v>21</v>
      </c>
      <c r="M13208" t="s" s="10">
        <v>40</v>
      </c>
      <c r="N13208" s="17">
        <v>77</v>
      </c>
      <c r="O13208" s="18">
        <v>1202</v>
      </c>
      <c r="P13208" s="18">
        <v>1239</v>
      </c>
      <c r="Q13208" s="15"/>
      <c r="R13208" t="s" s="16">
        <f>HYPERLINK("http://secrets.rutgers.edu:8080/data/asl-ftp/asllvd/demos/verify_start_end_handshape_annotations//test_auto_move//signs_mov_separ_signers/Brady_8410.mov","MOV")</f>
        <v>21</v>
      </c>
    </row>
    <row r="13209" s="2" customFormat="1" ht="13.5" customHeight="1">
      <c r="B13209" t="s" s="8">
        <v>5018</v>
      </c>
      <c r="C13209" t="s" s="9">
        <v>14</v>
      </c>
      <c r="D13209" t="s" s="8">
        <v>14</v>
      </c>
      <c r="E13209" t="s" s="9">
        <v>14</v>
      </c>
      <c r="F13209" t="s" s="10">
        <v>14</v>
      </c>
      <c r="G13209" t="s" s="11">
        <v>14</v>
      </c>
      <c r="H13209" t="s" s="10">
        <v>14</v>
      </c>
      <c r="I13209" t="s" s="11">
        <v>14</v>
      </c>
      <c r="J13209" t="s" s="11">
        <v>14</v>
      </c>
      <c r="K13209" t="s" s="12">
        <v>14</v>
      </c>
      <c r="L13209" t="s" s="12">
        <v>14</v>
      </c>
      <c r="M13209" t="s" s="10">
        <v>14</v>
      </c>
      <c r="N13209" t="s" s="11">
        <v>14</v>
      </c>
      <c r="O13209" t="s" s="8">
        <v>14</v>
      </c>
      <c r="P13209" t="s" s="8">
        <v>14</v>
      </c>
      <c r="Q13209" t="s" s="12">
        <v>14</v>
      </c>
      <c r="R13209" t="s" s="12">
        <v>14</v>
      </c>
    </row>
    <row r="13210" s="2" customFormat="1" ht="13.5" customHeight="1">
      <c r="B13210" s="13"/>
      <c r="C13210" t="s" s="9">
        <v>30</v>
      </c>
      <c r="D13210" t="s" s="8">
        <v>5018</v>
      </c>
      <c r="E13210" t="s" s="9">
        <v>5018</v>
      </c>
      <c r="F13210" s="19">
        <v>1</v>
      </c>
      <c r="G13210" s="17">
        <v>1</v>
      </c>
      <c r="H13210" t="s" s="10">
        <v>25</v>
      </c>
      <c r="I13210" t="s" s="11">
        <v>25</v>
      </c>
      <c r="J13210" t="s" s="11">
        <v>20</v>
      </c>
      <c r="K13210" t="s" s="16">
        <f>HYPERLINK("http://csr.bu.edu/ftp/asl/asllvd/demos/verify_start_end_handshape_annotations//test_auto_move//signs_mov/8520.mov","MOV")</f>
        <v>21</v>
      </c>
      <c r="L13210" t="s" s="16">
        <f>HYPERLINK("http://csr.bu.edu/ftp/asl/asllvd/demos/verify_start_end_handshape_annotations//test_auto_move//signs_mov_separ_signers/Brady_8520.mov","MOV")</f>
        <v>21</v>
      </c>
      <c r="M13210" t="s" s="10">
        <v>40</v>
      </c>
      <c r="N13210" s="17">
        <v>82</v>
      </c>
      <c r="O13210" s="18">
        <v>2358</v>
      </c>
      <c r="P13210" s="18">
        <v>2386</v>
      </c>
      <c r="Q13210" t="s" s="16">
        <f>HYPERLINK("http://secrets.rutgers.edu:8080/data/asl-ftp/asllvd/demos/verify_start_end_handshape_annotations//test_auto_move//signs_mov/8520.mov","MOV")</f>
        <v>21</v>
      </c>
      <c r="R13210" t="s" s="16">
        <f>HYPERLINK("http://secrets.rutgers.edu:8080/data/asl-ftp/asllvd/demos/verify_start_end_handshape_annotations//test_auto_move//signs_mov_separ_signers/Brady_8520.mov","MOV")</f>
        <v>21</v>
      </c>
    </row>
    <row r="13211" s="2" customFormat="1" ht="13.5" customHeight="1">
      <c r="B13211" t="s" s="8">
        <v>5019</v>
      </c>
      <c r="C13211" t="s" s="9">
        <v>14</v>
      </c>
      <c r="D13211" t="s" s="8">
        <v>14</v>
      </c>
      <c r="E13211" t="s" s="9">
        <v>14</v>
      </c>
      <c r="F13211" t="s" s="10">
        <v>14</v>
      </c>
      <c r="G13211" t="s" s="11">
        <v>14</v>
      </c>
      <c r="H13211" t="s" s="10">
        <v>14</v>
      </c>
      <c r="I13211" t="s" s="11">
        <v>14</v>
      </c>
      <c r="J13211" t="s" s="11">
        <v>14</v>
      </c>
      <c r="K13211" t="s" s="12">
        <v>14</v>
      </c>
      <c r="L13211" t="s" s="12">
        <v>14</v>
      </c>
      <c r="M13211" t="s" s="10">
        <v>14</v>
      </c>
      <c r="N13211" t="s" s="11">
        <v>14</v>
      </c>
      <c r="O13211" t="s" s="8">
        <v>14</v>
      </c>
      <c r="P13211" t="s" s="8">
        <v>14</v>
      </c>
      <c r="Q13211" t="s" s="12">
        <v>14</v>
      </c>
      <c r="R13211" t="s" s="12">
        <v>14</v>
      </c>
    </row>
    <row r="13212" s="2" customFormat="1" ht="13.5" customHeight="1">
      <c r="B13212" s="13"/>
      <c r="C13212" t="s" s="9">
        <v>16</v>
      </c>
      <c r="D13212" t="s" s="8">
        <v>5019</v>
      </c>
      <c r="E13212" t="s" s="9">
        <v>5019</v>
      </c>
      <c r="F13212" s="19">
        <v>3</v>
      </c>
      <c r="G13212" s="14"/>
      <c r="H13212" s="19">
        <v>3</v>
      </c>
      <c r="I13212" s="14"/>
      <c r="J13212" t="s" s="11">
        <v>20</v>
      </c>
      <c r="K13212" s="15"/>
      <c r="L13212" t="s" s="16">
        <f>HYPERLINK("http://csr.bu.edu/ftp/asl/asllvd/demos/verify_start_end_handshape_annotations//test_auto_move//signs_mov_separ_signers/Liz_8657.mov","MOV")</f>
        <v>21</v>
      </c>
      <c r="M13212" t="s" s="10">
        <v>59</v>
      </c>
      <c r="N13212" s="17">
        <v>11</v>
      </c>
      <c r="O13212" s="18">
        <v>767</v>
      </c>
      <c r="P13212" s="18">
        <v>802</v>
      </c>
      <c r="Q13212" s="15"/>
      <c r="R13212" t="s" s="16">
        <f>HYPERLINK("http://secrets.rutgers.edu:8080/data/asl-ftp/asllvd/demos/verify_start_end_handshape_annotations//test_auto_move//signs_mov_separ_signers/Liz_8657.mov","MOV")</f>
        <v>21</v>
      </c>
    </row>
    <row r="13213" s="2" customFormat="1" ht="13.5" customHeight="1">
      <c r="B13213" s="13"/>
      <c r="C13213" t="s" s="9">
        <v>16</v>
      </c>
      <c r="D13213" t="s" s="8">
        <v>5019</v>
      </c>
      <c r="E13213" t="s" s="9">
        <v>5019</v>
      </c>
      <c r="F13213" s="19">
        <v>3</v>
      </c>
      <c r="G13213" s="14"/>
      <c r="H13213" s="19">
        <v>3</v>
      </c>
      <c r="I13213" s="14"/>
      <c r="J13213" t="s" s="11">
        <v>20</v>
      </c>
      <c r="K13213" s="15"/>
      <c r="L13213" t="s" s="16">
        <f>HYPERLINK("http://csr.bu.edu/ftp/asl/asllvd/demos/verify_start_end_handshape_annotations//test_auto_move//signs_mov_separ_signers/Liz_5493.mov","MOV")</f>
        <v>21</v>
      </c>
      <c r="M13213" t="s" s="10">
        <v>77</v>
      </c>
      <c r="N13213" s="17">
        <v>15</v>
      </c>
      <c r="O13213" s="18">
        <v>517</v>
      </c>
      <c r="P13213" s="18">
        <v>550</v>
      </c>
      <c r="Q13213" s="15"/>
      <c r="R13213" t="s" s="16">
        <f>HYPERLINK("http://secrets.rutgers.edu:8080/data/asl-ftp/asllvd/demos/verify_start_end_handshape_annotations//test_auto_move//signs_mov_separ_signers/Liz_5493.mov","MOV")</f>
        <v>21</v>
      </c>
    </row>
    <row r="13214" s="2" customFormat="1" ht="13.5" customHeight="1">
      <c r="B13214" s="13"/>
      <c r="C13214" t="s" s="9">
        <v>16</v>
      </c>
      <c r="D13214" t="s" s="8">
        <v>5019</v>
      </c>
      <c r="E13214" t="s" s="9">
        <v>5019</v>
      </c>
      <c r="F13214" s="19">
        <v>3</v>
      </c>
      <c r="G13214" s="14"/>
      <c r="H13214" s="19">
        <v>3</v>
      </c>
      <c r="I13214" s="14"/>
      <c r="J13214" t="s" s="11">
        <v>20</v>
      </c>
      <c r="K13214" t="s" s="16">
        <f>HYPERLINK("http://csr.bu.edu/ftp/asl/asllvd/demos/verify_start_end_handshape_annotations//test_auto_move//signs_mov/5493_5509_8657_merged.mov","MOV")</f>
        <v>21</v>
      </c>
      <c r="L13214" t="s" s="16">
        <f>HYPERLINK("http://csr.bu.edu/ftp/asl/asllvd/demos/verify_start_end_handshape_annotations//test_auto_move//signs_mov_separ_signers/Liz_5509.mov","MOV")</f>
        <v>21</v>
      </c>
      <c r="M13214" t="s" s="10">
        <v>77</v>
      </c>
      <c r="N13214" s="17">
        <v>18</v>
      </c>
      <c r="O13214" s="18">
        <v>610</v>
      </c>
      <c r="P13214" s="18">
        <v>640</v>
      </c>
      <c r="Q13214" t="s" s="16">
        <f>HYPERLINK("http://secrets.rutgers.edu:8080/data/asl-ftp/asllvd/demos/verify_start_end_handshape_annotations//test_auto_move//signs_mov/5493_5509_8657_merged.mov","MOV")</f>
        <v>21</v>
      </c>
      <c r="R13214" t="s" s="16">
        <f>HYPERLINK("http://secrets.rutgers.edu:8080/data/asl-ftp/asllvd/demos/verify_start_end_handshape_annotations//test_auto_move//signs_mov_separ_signers/Liz_5509.mov","MOV")</f>
        <v>21</v>
      </c>
    </row>
    <row r="13215" s="2" customFormat="1" ht="13.5" customHeight="1">
      <c r="B13215" s="13"/>
      <c r="C13215" t="s" s="9">
        <v>30</v>
      </c>
      <c r="D13215" t="s" s="8">
        <v>5019</v>
      </c>
      <c r="E13215" t="s" s="9">
        <v>5019</v>
      </c>
      <c r="F13215" s="19">
        <v>3</v>
      </c>
      <c r="G13215" s="14"/>
      <c r="H13215" s="19">
        <v>3</v>
      </c>
      <c r="I13215" s="14"/>
      <c r="J13215" t="s" s="11">
        <v>20</v>
      </c>
      <c r="K13215" s="15"/>
      <c r="L13215" t="s" s="16">
        <f>HYPERLINK("http://csr.bu.edu/ftp/asl/asllvd/demos/verify_start_end_handshape_annotations//test_auto_move//signs_mov_separ_signers/Brady_8657.mov","MOV")</f>
        <v>21</v>
      </c>
      <c r="M13215" t="s" s="10">
        <v>31</v>
      </c>
      <c r="N13215" s="17">
        <v>5</v>
      </c>
      <c r="O13215" s="18">
        <v>7272</v>
      </c>
      <c r="P13215" s="18">
        <v>7295</v>
      </c>
      <c r="Q13215" s="15"/>
      <c r="R13215" t="s" s="16">
        <f>HYPERLINK("http://secrets.rutgers.edu:8080/data/asl-ftp/asllvd/demos/verify_start_end_handshape_annotations//test_auto_move//signs_mov_separ_signers/Brady_8657.mov","MOV")</f>
        <v>21</v>
      </c>
    </row>
    <row r="13216" s="2" customFormat="1" ht="13.5" customHeight="1">
      <c r="B13216" s="13"/>
      <c r="C13216" t="s" s="9">
        <v>30</v>
      </c>
      <c r="D13216" t="s" s="8">
        <v>5019</v>
      </c>
      <c r="E13216" t="s" s="9">
        <v>5019</v>
      </c>
      <c r="F13216" s="19">
        <v>3</v>
      </c>
      <c r="G13216" s="14"/>
      <c r="H13216" s="19">
        <v>3</v>
      </c>
      <c r="I13216" s="14"/>
      <c r="J13216" t="s" s="11">
        <v>20</v>
      </c>
      <c r="K13216" s="15"/>
      <c r="L13216" t="s" s="16">
        <f>HYPERLINK("http://csr.bu.edu/ftp/asl/asllvd/demos/verify_start_end_handshape_annotations//test_auto_move//signs_mov_separ_signers/Brady_5493.mov","MOV")</f>
        <v>21</v>
      </c>
      <c r="M13216" t="s" s="10">
        <v>40</v>
      </c>
      <c r="N13216" s="17">
        <v>115</v>
      </c>
      <c r="O13216" s="18">
        <v>1129</v>
      </c>
      <c r="P13216" s="18">
        <v>1151</v>
      </c>
      <c r="Q13216" s="15"/>
      <c r="R13216" t="s" s="16">
        <f>HYPERLINK("http://secrets.rutgers.edu:8080/data/asl-ftp/asllvd/demos/verify_start_end_handshape_annotations//test_auto_move//signs_mov_separ_signers/Brady_5493.mov","MOV")</f>
        <v>21</v>
      </c>
    </row>
    <row r="13217" s="2" customFormat="1" ht="13.5" customHeight="1">
      <c r="B13217" t="s" s="8">
        <v>5020</v>
      </c>
      <c r="C13217" t="s" s="9">
        <v>14</v>
      </c>
      <c r="D13217" t="s" s="8">
        <v>14</v>
      </c>
      <c r="E13217" t="s" s="9">
        <v>14</v>
      </c>
      <c r="F13217" t="s" s="10">
        <v>14</v>
      </c>
      <c r="G13217" t="s" s="11">
        <v>14</v>
      </c>
      <c r="H13217" t="s" s="10">
        <v>14</v>
      </c>
      <c r="I13217" t="s" s="11">
        <v>14</v>
      </c>
      <c r="J13217" t="s" s="11">
        <v>14</v>
      </c>
      <c r="K13217" t="s" s="12">
        <v>14</v>
      </c>
      <c r="L13217" t="s" s="12">
        <v>14</v>
      </c>
      <c r="M13217" t="s" s="10">
        <v>14</v>
      </c>
      <c r="N13217" t="s" s="11">
        <v>14</v>
      </c>
      <c r="O13217" t="s" s="8">
        <v>14</v>
      </c>
      <c r="P13217" t="s" s="8">
        <v>14</v>
      </c>
      <c r="Q13217" t="s" s="12">
        <v>14</v>
      </c>
      <c r="R13217" t="s" s="12">
        <v>14</v>
      </c>
    </row>
    <row r="13218" s="2" customFormat="1" ht="13.5" customHeight="1">
      <c r="B13218" s="13"/>
      <c r="C13218" t="s" s="9">
        <v>16</v>
      </c>
      <c r="D13218" t="s" s="8">
        <v>5021</v>
      </c>
      <c r="E13218" t="s" s="9">
        <v>5021</v>
      </c>
      <c r="F13218" t="s" s="10">
        <v>148</v>
      </c>
      <c r="G13218" s="14"/>
      <c r="H13218" s="19">
        <v>5</v>
      </c>
      <c r="I13218" s="14"/>
      <c r="J13218" t="s" s="11">
        <v>20</v>
      </c>
      <c r="K13218" s="15"/>
      <c r="L13218" t="s" s="16">
        <f>HYPERLINK("http://csr.bu.edu/ftp/asl/asllvd/demos/verify_start_end_handshape_annotations//test_auto_move//signs_mov_separ_signers/Liz_8876.mov","MOV")</f>
        <v>21</v>
      </c>
      <c r="M13218" t="s" s="10">
        <v>88</v>
      </c>
      <c r="N13218" s="17">
        <v>29</v>
      </c>
      <c r="O13218" s="18">
        <v>2673</v>
      </c>
      <c r="P13218" s="18">
        <v>2715</v>
      </c>
      <c r="Q13218" s="15"/>
      <c r="R13218" t="s" s="16">
        <f>HYPERLINK("http://secrets.rutgers.edu:8080/data/asl-ftp/asllvd/demos/verify_start_end_handshape_annotations//test_auto_move//signs_mov_separ_signers/Liz_8876.mov","MOV")</f>
        <v>21</v>
      </c>
    </row>
    <row r="13219" s="2" customFormat="1" ht="13.5" customHeight="1">
      <c r="B13219" s="13"/>
      <c r="C13219" t="s" s="9">
        <v>16</v>
      </c>
      <c r="D13219" t="s" s="8">
        <v>5021</v>
      </c>
      <c r="E13219" t="s" s="9">
        <v>5021</v>
      </c>
      <c r="F13219" s="19">
        <v>5</v>
      </c>
      <c r="G13219" s="14"/>
      <c r="H13219" s="19">
        <v>5</v>
      </c>
      <c r="I13219" s="14"/>
      <c r="J13219" t="s" s="11">
        <v>20</v>
      </c>
      <c r="K13219" s="15"/>
      <c r="L13219" t="s" s="16">
        <f>HYPERLINK("http://csr.bu.edu/ftp/asl/asllvd/demos/verify_start_end_handshape_annotations//test_auto_move//signs_mov_separ_signers/Liz_15734.mov","MOV")</f>
        <v>21</v>
      </c>
      <c r="M13219" t="s" s="10">
        <v>59</v>
      </c>
      <c r="N13219" s="17">
        <v>41</v>
      </c>
      <c r="O13219" s="18">
        <v>1861</v>
      </c>
      <c r="P13219" s="18">
        <v>1894</v>
      </c>
      <c r="Q13219" s="15"/>
      <c r="R13219" t="s" s="16">
        <f>HYPERLINK("http://secrets.rutgers.edu:8080/data/asl-ftp/asllvd/demos/verify_start_end_handshape_annotations//test_auto_move//signs_mov_separ_signers/Liz_15734.mov","MOV")</f>
        <v>21</v>
      </c>
    </row>
    <row r="13220" s="2" customFormat="1" ht="13.5" customHeight="1">
      <c r="B13220" s="13"/>
      <c r="C13220" t="s" s="9">
        <v>30</v>
      </c>
      <c r="D13220" t="s" s="8">
        <v>5021</v>
      </c>
      <c r="E13220" t="s" s="9">
        <v>5021</v>
      </c>
      <c r="F13220" t="s" s="10">
        <v>119</v>
      </c>
      <c r="G13220" s="14"/>
      <c r="H13220" s="19">
        <v>5</v>
      </c>
      <c r="I13220" s="14"/>
      <c r="J13220" t="s" s="11">
        <v>20</v>
      </c>
      <c r="K13220" t="s" s="16">
        <f>HYPERLINK("http://csr.bu.edu/ftp/asl/asllvd/demos/verify_start_end_handshape_annotations//test_auto_move//signs_mov/8876_15734_15740_merged.mov","MOV")</f>
        <v>21</v>
      </c>
      <c r="L13220" t="s" s="16">
        <f>HYPERLINK("http://csr.bu.edu/ftp/asl/asllvd/demos/verify_start_end_handshape_annotations//test_auto_move//signs_mov_separ_signers/Brady_8876.mov","MOV")</f>
        <v>21</v>
      </c>
      <c r="M13220" t="s" s="10">
        <v>40</v>
      </c>
      <c r="N13220" s="17">
        <v>25</v>
      </c>
      <c r="O13220" s="18">
        <v>1053</v>
      </c>
      <c r="P13220" s="18">
        <v>1078</v>
      </c>
      <c r="Q13220" t="s" s="16">
        <f>HYPERLINK("http://secrets.rutgers.edu:8080/data/asl-ftp/asllvd/demos/verify_start_end_handshape_annotations//test_auto_move//signs_mov/8876_15734_15740_merged.mov","MOV")</f>
        <v>21</v>
      </c>
      <c r="R13220" t="s" s="16">
        <f>HYPERLINK("http://secrets.rutgers.edu:8080/data/asl-ftp/asllvd/demos/verify_start_end_handshape_annotations//test_auto_move//signs_mov_separ_signers/Brady_8876.mov","MOV")</f>
        <v>21</v>
      </c>
    </row>
    <row r="13221" s="2" customFormat="1" ht="13.5" customHeight="1">
      <c r="B13221" s="13"/>
      <c r="C13221" t="s" s="9">
        <v>30</v>
      </c>
      <c r="D13221" t="s" s="8">
        <v>5021</v>
      </c>
      <c r="E13221" t="s" s="9">
        <v>5021</v>
      </c>
      <c r="F13221" t="s" s="10">
        <v>119</v>
      </c>
      <c r="G13221" s="14"/>
      <c r="H13221" s="19">
        <v>5</v>
      </c>
      <c r="I13221" s="14"/>
      <c r="J13221" t="s" s="11">
        <v>20</v>
      </c>
      <c r="K13221" s="15"/>
      <c r="L13221" t="s" s="16">
        <f>HYPERLINK("http://csr.bu.edu/ftp/asl/asllvd/demos/verify_start_end_handshape_annotations//test_auto_move//signs_mov_separ_signers/Brady_15734.mov","MOV")</f>
        <v>21</v>
      </c>
      <c r="M13221" t="s" s="10">
        <v>60</v>
      </c>
      <c r="N13221" s="17">
        <v>29</v>
      </c>
      <c r="O13221" s="18">
        <v>2417</v>
      </c>
      <c r="P13221" s="18">
        <v>2440</v>
      </c>
      <c r="Q13221" s="15"/>
      <c r="R13221" t="s" s="16">
        <f>HYPERLINK("http://secrets.rutgers.edu:8080/data/asl-ftp/asllvd/demos/verify_start_end_handshape_annotations//test_auto_move//signs_mov_separ_signers/Brady_15734.mov","MOV")</f>
        <v>21</v>
      </c>
    </row>
    <row r="13222" s="2" customFormat="1" ht="13.5" customHeight="1">
      <c r="B13222" s="13"/>
      <c r="C13222" t="s" s="9">
        <v>30</v>
      </c>
      <c r="D13222" t="s" s="8">
        <v>5021</v>
      </c>
      <c r="E13222" t="s" s="9">
        <v>5021</v>
      </c>
      <c r="F13222" t="s" s="10">
        <v>148</v>
      </c>
      <c r="G13222" s="14"/>
      <c r="H13222" s="19">
        <v>5</v>
      </c>
      <c r="I13222" s="14"/>
      <c r="J13222" t="s" s="11">
        <v>20</v>
      </c>
      <c r="K13222" s="15"/>
      <c r="L13222" t="s" s="16">
        <f>HYPERLINK("http://csr.bu.edu/ftp/asl/asllvd/demos/verify_start_end_handshape_annotations//test_auto_move//signs_mov_separ_signers/Brady_15740.mov","MOV")</f>
        <v>21</v>
      </c>
      <c r="M13222" t="s" s="10">
        <v>60</v>
      </c>
      <c r="N13222" s="17">
        <v>57</v>
      </c>
      <c r="O13222" s="18">
        <v>3734</v>
      </c>
      <c r="P13222" s="18">
        <v>3760</v>
      </c>
      <c r="Q13222" s="15"/>
      <c r="R13222" t="s" s="16">
        <f>HYPERLINK("http://secrets.rutgers.edu:8080/data/asl-ftp/asllvd/demos/verify_start_end_handshape_annotations//test_auto_move//signs_mov_separ_signers/Brady_15740.mov","MOV")</f>
        <v>21</v>
      </c>
    </row>
    <row r="13223" s="2" customFormat="1" ht="13.5" customHeight="1">
      <c r="B13223" t="s" s="8">
        <v>5022</v>
      </c>
      <c r="C13223" t="s" s="9">
        <v>14</v>
      </c>
      <c r="D13223" t="s" s="8">
        <v>14</v>
      </c>
      <c r="E13223" t="s" s="9">
        <v>14</v>
      </c>
      <c r="F13223" t="s" s="10">
        <v>14</v>
      </c>
      <c r="G13223" t="s" s="11">
        <v>14</v>
      </c>
      <c r="H13223" t="s" s="10">
        <v>14</v>
      </c>
      <c r="I13223" t="s" s="11">
        <v>14</v>
      </c>
      <c r="J13223" t="s" s="11">
        <v>14</v>
      </c>
      <c r="K13223" t="s" s="12">
        <v>14</v>
      </c>
      <c r="L13223" t="s" s="12">
        <v>14</v>
      </c>
      <c r="M13223" t="s" s="10">
        <v>14</v>
      </c>
      <c r="N13223" t="s" s="11">
        <v>14</v>
      </c>
      <c r="O13223" t="s" s="8">
        <v>14</v>
      </c>
      <c r="P13223" t="s" s="8">
        <v>14</v>
      </c>
      <c r="Q13223" t="s" s="12">
        <v>14</v>
      </c>
      <c r="R13223" t="s" s="12">
        <v>14</v>
      </c>
    </row>
    <row r="13224" s="2" customFormat="1" ht="13.5" customHeight="1">
      <c r="B13224" s="13"/>
      <c r="C13224" t="s" s="9">
        <v>30</v>
      </c>
      <c r="D13224" t="s" s="8">
        <v>5022</v>
      </c>
      <c r="E13224" t="s" s="9">
        <v>5022</v>
      </c>
      <c r="F13224" t="s" s="10">
        <v>268</v>
      </c>
      <c r="G13224" t="s" s="11">
        <v>268</v>
      </c>
      <c r="H13224" t="s" s="10">
        <v>68</v>
      </c>
      <c r="I13224" t="s" s="11">
        <v>68</v>
      </c>
      <c r="J13224" t="s" s="11">
        <v>20</v>
      </c>
      <c r="K13224" t="s" s="16">
        <f>HYPERLINK("http://csr.bu.edu/ftp/asl/asllvd/demos/verify_start_end_handshape_annotations//test_auto_move//signs_mov/8998.mov","MOV")</f>
        <v>21</v>
      </c>
      <c r="L13224" t="s" s="16">
        <f>HYPERLINK("http://csr.bu.edu/ftp/asl/asllvd/demos/verify_start_end_handshape_annotations//test_auto_move//signs_mov_separ_signers/Brady_8998.mov","MOV")</f>
        <v>21</v>
      </c>
      <c r="M13224" t="s" s="10">
        <v>60</v>
      </c>
      <c r="N13224" s="17">
        <v>28</v>
      </c>
      <c r="O13224" s="18">
        <v>1447</v>
      </c>
      <c r="P13224" s="18">
        <v>1501</v>
      </c>
      <c r="Q13224" t="s" s="16">
        <f>HYPERLINK("http://secrets.rutgers.edu:8080/data/asl-ftp/asllvd/demos/verify_start_end_handshape_annotations//test_auto_move//signs_mov/8998.mov","MOV")</f>
        <v>21</v>
      </c>
      <c r="R13224" t="s" s="16">
        <f>HYPERLINK("http://secrets.rutgers.edu:8080/data/asl-ftp/asllvd/demos/verify_start_end_handshape_annotations//test_auto_move//signs_mov_separ_signers/Brady_8998.mov","MOV")</f>
        <v>21</v>
      </c>
    </row>
    <row r="13225" s="2" customFormat="1" ht="13.5" customHeight="1">
      <c r="B13225" t="s" s="8">
        <v>5023</v>
      </c>
      <c r="C13225" t="s" s="9">
        <v>14</v>
      </c>
      <c r="D13225" t="s" s="8">
        <v>14</v>
      </c>
      <c r="E13225" t="s" s="9">
        <v>14</v>
      </c>
      <c r="F13225" t="s" s="10">
        <v>14</v>
      </c>
      <c r="G13225" t="s" s="11">
        <v>14</v>
      </c>
      <c r="H13225" t="s" s="10">
        <v>14</v>
      </c>
      <c r="I13225" t="s" s="11">
        <v>14</v>
      </c>
      <c r="J13225" t="s" s="11">
        <v>14</v>
      </c>
      <c r="K13225" t="s" s="12">
        <v>14</v>
      </c>
      <c r="L13225" t="s" s="12">
        <v>14</v>
      </c>
      <c r="M13225" t="s" s="10">
        <v>14</v>
      </c>
      <c r="N13225" t="s" s="11">
        <v>14</v>
      </c>
      <c r="O13225" t="s" s="8">
        <v>14</v>
      </c>
      <c r="P13225" t="s" s="8">
        <v>14</v>
      </c>
      <c r="Q13225" t="s" s="12">
        <v>14</v>
      </c>
      <c r="R13225" t="s" s="12">
        <v>14</v>
      </c>
    </row>
    <row r="13226" s="2" customFormat="1" ht="13.5" customHeight="1">
      <c r="B13226" s="13"/>
      <c r="C13226" t="s" s="9">
        <v>30</v>
      </c>
      <c r="D13226" t="s" s="8">
        <v>5023</v>
      </c>
      <c r="E13226" t="s" s="9">
        <v>5023</v>
      </c>
      <c r="F13226" t="s" s="10">
        <v>337</v>
      </c>
      <c r="G13226" t="s" s="11">
        <v>337</v>
      </c>
      <c r="H13226" s="19">
        <v>1</v>
      </c>
      <c r="I13226" s="17">
        <v>1</v>
      </c>
      <c r="J13226" t="s" s="11">
        <v>20</v>
      </c>
      <c r="K13226" t="s" s="16">
        <f>HYPERLINK("http://csr.bu.edu/ftp/asl/asllvd/demos/verify_start_end_handshape_annotations//test_auto_move//signs_mov/9003.mov","MOV")</f>
        <v>21</v>
      </c>
      <c r="L13226" t="s" s="16">
        <f>HYPERLINK("http://csr.bu.edu/ftp/asl/asllvd/demos/verify_start_end_handshape_annotations//test_auto_move//signs_mov_separ_signers/Brady_9003.mov","MOV")</f>
        <v>21</v>
      </c>
      <c r="M13226" t="s" s="10">
        <v>60</v>
      </c>
      <c r="N13226" s="17">
        <v>28</v>
      </c>
      <c r="O13226" s="18">
        <v>678</v>
      </c>
      <c r="P13226" s="18">
        <v>708</v>
      </c>
      <c r="Q13226" t="s" s="16">
        <f>HYPERLINK("http://secrets.rutgers.edu:8080/data/asl-ftp/asllvd/demos/verify_start_end_handshape_annotations//test_auto_move//signs_mov/9003.mov","MOV")</f>
        <v>21</v>
      </c>
      <c r="R13226" t="s" s="16">
        <f>HYPERLINK("http://secrets.rutgers.edu:8080/data/asl-ftp/asllvd/demos/verify_start_end_handshape_annotations//test_auto_move//signs_mov_separ_signers/Brady_9003.mov","MOV")</f>
        <v>21</v>
      </c>
    </row>
    <row r="13227" s="2" customFormat="1" ht="13.5" customHeight="1">
      <c r="B13227" t="s" s="8">
        <v>5024</v>
      </c>
      <c r="C13227" t="s" s="9">
        <v>14</v>
      </c>
      <c r="D13227" t="s" s="8">
        <v>14</v>
      </c>
      <c r="E13227" t="s" s="9">
        <v>14</v>
      </c>
      <c r="F13227" t="s" s="10">
        <v>14</v>
      </c>
      <c r="G13227" t="s" s="11">
        <v>14</v>
      </c>
      <c r="H13227" t="s" s="10">
        <v>14</v>
      </c>
      <c r="I13227" t="s" s="11">
        <v>14</v>
      </c>
      <c r="J13227" t="s" s="11">
        <v>14</v>
      </c>
      <c r="K13227" t="s" s="12">
        <v>14</v>
      </c>
      <c r="L13227" t="s" s="12">
        <v>14</v>
      </c>
      <c r="M13227" t="s" s="10">
        <v>14</v>
      </c>
      <c r="N13227" t="s" s="11">
        <v>14</v>
      </c>
      <c r="O13227" t="s" s="8">
        <v>14</v>
      </c>
      <c r="P13227" t="s" s="8">
        <v>14</v>
      </c>
      <c r="Q13227" t="s" s="12">
        <v>14</v>
      </c>
      <c r="R13227" t="s" s="12">
        <v>14</v>
      </c>
    </row>
    <row r="13228" s="2" customFormat="1" ht="13.5" customHeight="1">
      <c r="B13228" s="13"/>
      <c r="C13228" t="s" s="9">
        <v>41</v>
      </c>
      <c r="D13228" t="s" s="8">
        <v>5024</v>
      </c>
      <c r="E13228" t="s" s="9">
        <v>5024</v>
      </c>
      <c r="F13228" t="s" s="10">
        <v>185</v>
      </c>
      <c r="G13228" s="14"/>
      <c r="H13228" t="s" s="10">
        <v>55</v>
      </c>
      <c r="I13228" s="14"/>
      <c r="J13228" t="s" s="11">
        <v>20</v>
      </c>
      <c r="K13228" t="s" s="16">
        <f>HYPERLINK("http://csr.bu.edu/ftp/asl/asllvd/demos/verify_start_end_handshape_annotations//test_auto_move//signs_mov/11088.mov","MOV")</f>
        <v>21</v>
      </c>
      <c r="L13228" t="s" s="16">
        <f>HYPERLINK("http://csr.bu.edu/ftp/asl/asllvd/demos/verify_start_end_handshape_annotations//test_auto_move//signs_mov_separ_signers/Lana_11088.mov","MOV")</f>
        <v>21</v>
      </c>
      <c r="M13228" t="s" s="10">
        <v>42</v>
      </c>
      <c r="N13228" s="17">
        <v>2</v>
      </c>
      <c r="O13228" s="18">
        <v>660</v>
      </c>
      <c r="P13228" s="18">
        <v>680</v>
      </c>
      <c r="Q13228" t="s" s="16">
        <f>HYPERLINK("http://secrets.rutgers.edu:8080/data/asl-ftp/asllvd/demos/verify_start_end_handshape_annotations//test_auto_move//signs_mov/11088.mov","MOV")</f>
        <v>21</v>
      </c>
      <c r="R13228" t="s" s="16">
        <f>HYPERLINK("http://secrets.rutgers.edu:8080/data/asl-ftp/asllvd/demos/verify_start_end_handshape_annotations//test_auto_move//signs_mov_separ_signers/Lana_11088.mov","MOV")</f>
        <v>21</v>
      </c>
    </row>
    <row r="13229" s="2" customFormat="1" ht="13.5" customHeight="1">
      <c r="B13229" s="13"/>
      <c r="C13229" t="s" s="9">
        <v>43</v>
      </c>
      <c r="D13229" t="s" s="8">
        <v>5024</v>
      </c>
      <c r="E13229" t="s" s="9">
        <v>5024</v>
      </c>
      <c r="F13229" t="s" s="10">
        <v>185</v>
      </c>
      <c r="G13229" s="14"/>
      <c r="H13229" t="s" s="10">
        <v>55</v>
      </c>
      <c r="I13229" s="14"/>
      <c r="J13229" t="s" s="11">
        <v>20</v>
      </c>
      <c r="K13229" s="15"/>
      <c r="L13229" t="s" s="16">
        <f>HYPERLINK("http://csr.bu.edu/ftp/asl/asllvd/demos/verify_start_end_handshape_annotations//test_auto_move//signs_mov_separ_signers/Dana_11088.mov","MOV")</f>
        <v>21</v>
      </c>
      <c r="M13229" t="s" s="10">
        <v>44</v>
      </c>
      <c r="N13229" s="17">
        <v>5</v>
      </c>
      <c r="O13229" s="18">
        <v>809</v>
      </c>
      <c r="P13229" s="18">
        <v>842</v>
      </c>
      <c r="Q13229" s="15"/>
      <c r="R13229" t="s" s="16">
        <f>HYPERLINK("http://secrets.rutgers.edu:8080/data/asl-ftp/asllvd/demos/verify_start_end_handshape_annotations//test_auto_move//signs_mov_separ_signers/Dana_11088.mov","MOV")</f>
        <v>21</v>
      </c>
    </row>
    <row r="13230" s="2" customFormat="1" ht="13.5" customHeight="1">
      <c r="B13230" t="s" s="8">
        <v>5025</v>
      </c>
      <c r="C13230" t="s" s="9">
        <v>14</v>
      </c>
      <c r="D13230" t="s" s="8">
        <v>14</v>
      </c>
      <c r="E13230" t="s" s="9">
        <v>14</v>
      </c>
      <c r="F13230" t="s" s="10">
        <v>14</v>
      </c>
      <c r="G13230" t="s" s="11">
        <v>14</v>
      </c>
      <c r="H13230" t="s" s="10">
        <v>14</v>
      </c>
      <c r="I13230" t="s" s="11">
        <v>14</v>
      </c>
      <c r="J13230" t="s" s="11">
        <v>14</v>
      </c>
      <c r="K13230" t="s" s="12">
        <v>14</v>
      </c>
      <c r="L13230" t="s" s="12">
        <v>14</v>
      </c>
      <c r="M13230" t="s" s="10">
        <v>14</v>
      </c>
      <c r="N13230" t="s" s="11">
        <v>14</v>
      </c>
      <c r="O13230" t="s" s="8">
        <v>14</v>
      </c>
      <c r="P13230" t="s" s="8">
        <v>14</v>
      </c>
      <c r="Q13230" t="s" s="12">
        <v>14</v>
      </c>
      <c r="R13230" t="s" s="12">
        <v>14</v>
      </c>
    </row>
    <row r="13231" s="2" customFormat="1" ht="13.5" customHeight="1">
      <c r="B13231" s="13"/>
      <c r="C13231" t="s" s="9">
        <v>41</v>
      </c>
      <c r="D13231" t="s" s="8">
        <v>5025</v>
      </c>
      <c r="E13231" t="s" s="9">
        <v>5025</v>
      </c>
      <c r="F13231" t="s" s="10">
        <v>73</v>
      </c>
      <c r="G13231" s="14"/>
      <c r="H13231" t="s" s="10">
        <v>73</v>
      </c>
      <c r="I13231" t="s" s="11">
        <v>68</v>
      </c>
      <c r="J13231" t="s" s="11">
        <v>20</v>
      </c>
      <c r="K13231" t="s" s="16">
        <f>HYPERLINK("http://csr.bu.edu/ftp/asl/asllvd/demos/verify_start_end_handshape_annotations//test_auto_move//signs_mov/11275.mov","MOV")</f>
        <v>21</v>
      </c>
      <c r="L13231" t="s" s="16">
        <f>HYPERLINK("http://csr.bu.edu/ftp/asl/asllvd/demos/verify_start_end_handshape_annotations//test_auto_move//signs_mov_separ_signers/Lana_11275.mov","MOV")</f>
        <v>21</v>
      </c>
      <c r="M13231" t="s" s="10">
        <v>42</v>
      </c>
      <c r="N13231" s="17">
        <v>12</v>
      </c>
      <c r="O13231" s="18">
        <v>578</v>
      </c>
      <c r="P13231" s="18">
        <v>602</v>
      </c>
      <c r="Q13231" t="s" s="16">
        <f>HYPERLINK("http://secrets.rutgers.edu:8080/data/asl-ftp/asllvd/demos/verify_start_end_handshape_annotations//test_auto_move//signs_mov/11275.mov","MOV")</f>
        <v>21</v>
      </c>
      <c r="R13231" t="s" s="16">
        <f>HYPERLINK("http://secrets.rutgers.edu:8080/data/asl-ftp/asllvd/demos/verify_start_end_handshape_annotations//test_auto_move//signs_mov_separ_signers/Lana_11275.mov","MOV")</f>
        <v>21</v>
      </c>
    </row>
    <row r="13232" s="2" customFormat="1" ht="13.5" customHeight="1">
      <c r="B13232" s="13"/>
      <c r="C13232" t="s" s="9">
        <v>43</v>
      </c>
      <c r="D13232" t="s" s="8">
        <v>5025</v>
      </c>
      <c r="E13232" t="s" s="9">
        <v>5025</v>
      </c>
      <c r="F13232" t="s" s="10">
        <v>73</v>
      </c>
      <c r="G13232" s="14"/>
      <c r="H13232" t="s" s="10">
        <v>73</v>
      </c>
      <c r="I13232" t="s" s="11">
        <v>68</v>
      </c>
      <c r="J13232" t="s" s="11">
        <v>20</v>
      </c>
      <c r="K13232" s="15"/>
      <c r="L13232" t="s" s="16">
        <f>HYPERLINK("http://csr.bu.edu/ftp/asl/asllvd/demos/verify_start_end_handshape_annotations//test_auto_move//signs_mov_separ_signers/Dana_11275.mov","MOV")</f>
        <v>21</v>
      </c>
      <c r="M13232" t="s" s="10">
        <v>44</v>
      </c>
      <c r="N13232" s="17">
        <v>16</v>
      </c>
      <c r="O13232" s="18">
        <v>440</v>
      </c>
      <c r="P13232" s="18">
        <v>489</v>
      </c>
      <c r="Q13232" s="15"/>
      <c r="R13232" t="s" s="16">
        <f>HYPERLINK("http://secrets.rutgers.edu:8080/data/asl-ftp/asllvd/demos/verify_start_end_handshape_annotations//test_auto_move//signs_mov_separ_signers/Dana_11275.mov","MOV")</f>
        <v>21</v>
      </c>
    </row>
    <row r="13233" s="2" customFormat="1" ht="13.5" customHeight="1">
      <c r="B13233" t="s" s="8">
        <v>5026</v>
      </c>
      <c r="C13233" t="s" s="9">
        <v>14</v>
      </c>
      <c r="D13233" t="s" s="8">
        <v>14</v>
      </c>
      <c r="E13233" t="s" s="9">
        <v>14</v>
      </c>
      <c r="F13233" t="s" s="10">
        <v>14</v>
      </c>
      <c r="G13233" t="s" s="11">
        <v>14</v>
      </c>
      <c r="H13233" t="s" s="10">
        <v>14</v>
      </c>
      <c r="I13233" t="s" s="11">
        <v>14</v>
      </c>
      <c r="J13233" t="s" s="11">
        <v>14</v>
      </c>
      <c r="K13233" t="s" s="12">
        <v>14</v>
      </c>
      <c r="L13233" t="s" s="12">
        <v>14</v>
      </c>
      <c r="M13233" t="s" s="10">
        <v>14</v>
      </c>
      <c r="N13233" t="s" s="11">
        <v>14</v>
      </c>
      <c r="O13233" t="s" s="8">
        <v>14</v>
      </c>
      <c r="P13233" t="s" s="8">
        <v>14</v>
      </c>
      <c r="Q13233" t="s" s="12">
        <v>14</v>
      </c>
      <c r="R13233" t="s" s="12">
        <v>14</v>
      </c>
    </row>
    <row r="13234" s="2" customFormat="1" ht="13.5" customHeight="1">
      <c r="B13234" s="13"/>
      <c r="C13234" t="s" s="9">
        <v>41</v>
      </c>
      <c r="D13234" t="s" s="8">
        <v>5026</v>
      </c>
      <c r="E13234" t="s" s="9">
        <v>5026</v>
      </c>
      <c r="F13234" t="s" s="10">
        <v>406</v>
      </c>
      <c r="G13234" t="s" s="11">
        <v>73</v>
      </c>
      <c r="H13234" t="s" s="10">
        <v>73</v>
      </c>
      <c r="I13234" t="s" s="11">
        <v>73</v>
      </c>
      <c r="J13234" t="s" s="11">
        <v>20</v>
      </c>
      <c r="K13234" t="s" s="16">
        <f>HYPERLINK("http://csr.bu.edu/ftp/asl/asllvd/demos/verify_start_end_handshape_annotations//test_auto_move//signs_mov/11378.mov","MOV")</f>
        <v>21</v>
      </c>
      <c r="L13234" t="s" s="16">
        <f>HYPERLINK("http://csr.bu.edu/ftp/asl/asllvd/demos/verify_start_end_handshape_annotations//test_auto_move//signs_mov_separ_signers/Lana_11378.mov","MOV")</f>
        <v>21</v>
      </c>
      <c r="M13234" t="s" s="10">
        <v>42</v>
      </c>
      <c r="N13234" s="17">
        <v>24</v>
      </c>
      <c r="O13234" s="18">
        <v>434</v>
      </c>
      <c r="P13234" s="18">
        <v>494</v>
      </c>
      <c r="Q13234" t="s" s="16">
        <f>HYPERLINK("http://secrets.rutgers.edu:8080/data/asl-ftp/asllvd/demos/verify_start_end_handshape_annotations//test_auto_move//signs_mov/11378.mov","MOV")</f>
        <v>21</v>
      </c>
      <c r="R13234" t="s" s="16">
        <f>HYPERLINK("http://secrets.rutgers.edu:8080/data/asl-ftp/asllvd/demos/verify_start_end_handshape_annotations//test_auto_move//signs_mov_separ_signers/Lana_11378.mov","MOV")</f>
        <v>21</v>
      </c>
    </row>
    <row r="13235" s="2" customFormat="1" ht="13.5" customHeight="1">
      <c r="B13235" t="s" s="8">
        <v>52</v>
      </c>
      <c r="C13235" t="s" s="9">
        <v>53</v>
      </c>
      <c r="D13235" t="s" s="8">
        <v>53</v>
      </c>
      <c r="E13235" t="s" s="9">
        <v>53</v>
      </c>
      <c r="F13235" t="s" s="10">
        <v>53</v>
      </c>
      <c r="G13235" t="s" s="11">
        <v>53</v>
      </c>
      <c r="H13235" t="s" s="10">
        <v>53</v>
      </c>
      <c r="I13235" t="s" s="11">
        <v>53</v>
      </c>
      <c r="J13235" t="s" s="11">
        <v>53</v>
      </c>
      <c r="K13235" t="s" s="12">
        <v>53</v>
      </c>
      <c r="L13235" t="s" s="12">
        <v>53</v>
      </c>
      <c r="M13235" t="s" s="10">
        <v>53</v>
      </c>
      <c r="N13235" t="s" s="11">
        <v>53</v>
      </c>
      <c r="O13235" t="s" s="8">
        <v>53</v>
      </c>
      <c r="P13235" t="s" s="8">
        <v>53</v>
      </c>
      <c r="Q13235" t="s" s="12">
        <v>53</v>
      </c>
      <c r="R13235" t="s" s="12">
        <v>53</v>
      </c>
    </row>
    <row r="13236" s="2" customFormat="1" ht="13.5" customHeight="1">
      <c r="B13236" s="23"/>
      <c r="C13236" t="s" s="24">
        <v>23</v>
      </c>
      <c r="D13236" t="s" s="25">
        <v>5026</v>
      </c>
      <c r="E13236" t="s" s="24">
        <v>5027</v>
      </c>
      <c r="F13236" s="26">
        <v>4</v>
      </c>
      <c r="G13236" t="s" s="27">
        <v>152</v>
      </c>
      <c r="H13236" t="s" s="28">
        <v>152</v>
      </c>
      <c r="I13236" t="s" s="27">
        <v>152</v>
      </c>
      <c r="J13236" t="s" s="27">
        <v>20</v>
      </c>
      <c r="K13236" t="s" s="29">
        <f>HYPERLINK("http://csr.bu.edu/ftp/asl/asllvd/demos/verify_start_end_handshape_annotations//test_auto_move//signs_mov/15298.mov","MOV")</f>
        <v>21</v>
      </c>
      <c r="L13236" t="s" s="29">
        <f>HYPERLINK("http://csr.bu.edu/ftp/asl/asllvd/demos/verify_start_end_handshape_annotations//test_auto_move//signs_mov_separ_signers/Tyler_15298.mov","MOV")</f>
        <v>21</v>
      </c>
      <c r="M13236" t="s" s="28">
        <v>125</v>
      </c>
      <c r="N13236" s="30">
        <v>8</v>
      </c>
      <c r="O13236" s="31">
        <v>4323</v>
      </c>
      <c r="P13236" s="31">
        <v>4380</v>
      </c>
      <c r="Q13236" t="s" s="29">
        <f>HYPERLINK("http://secrets.rutgers.edu:8080/data/asl-ftp/asllvd/demos/verify_start_end_handshape_annotations//test_auto_move//signs_mov/15298.mov","MOV")</f>
        <v>21</v>
      </c>
      <c r="R13236" t="s" s="29">
        <f>HYPERLINK("http://secrets.rutgers.edu:8080/data/asl-ftp/asllvd/demos/verify_start_end_handshape_annotations//test_auto_move//signs_mov_separ_signers/Tyler_15298.mov","MOV")</f>
        <v>21</v>
      </c>
    </row>
  </sheetData>
  <hyperlinks>
    <hyperlink ref="L4" r:id="rId1" location="" tooltip="" display=""/>
    <hyperlink ref="R4" r:id="rId2" location="" tooltip="" display=""/>
    <hyperlink ref="K5" r:id="rId3" location="" tooltip="" display=""/>
    <hyperlink ref="L5" r:id="rId4" location="" tooltip="" display=""/>
    <hyperlink ref="Q5" r:id="rId5" location="" tooltip="" display=""/>
    <hyperlink ref="R5" r:id="rId6" location="" tooltip="" display=""/>
    <hyperlink ref="L6" r:id="rId7" location="" tooltip="" display=""/>
    <hyperlink ref="R6" r:id="rId8" location="" tooltip="" display=""/>
    <hyperlink ref="L7" r:id="rId9" location="" tooltip="" display=""/>
    <hyperlink ref="R7" r:id="rId10" location="" tooltip="" display=""/>
    <hyperlink ref="L9" r:id="rId11" location="" tooltip="" display=""/>
    <hyperlink ref="R9" r:id="rId12" location="" tooltip="" display=""/>
    <hyperlink ref="L10" r:id="rId13" location="" tooltip="" display=""/>
    <hyperlink ref="R10" r:id="rId14" location="" tooltip="" display=""/>
    <hyperlink ref="L11" r:id="rId15" location="" tooltip="" display=""/>
    <hyperlink ref="R11" r:id="rId16" location="" tooltip="" display=""/>
    <hyperlink ref="K12" r:id="rId17" location="" tooltip="" display=""/>
    <hyperlink ref="L12" r:id="rId18" location="" tooltip="" display=""/>
    <hyperlink ref="Q12" r:id="rId19" location="" tooltip="" display=""/>
    <hyperlink ref="R12" r:id="rId20" location="" tooltip="" display=""/>
    <hyperlink ref="L13" r:id="rId21" location="" tooltip="" display=""/>
    <hyperlink ref="R13" r:id="rId22" location="" tooltip="" display=""/>
    <hyperlink ref="L14" r:id="rId23" location="" tooltip="" display=""/>
    <hyperlink ref="R14" r:id="rId24" location="" tooltip="" display=""/>
    <hyperlink ref="L15" r:id="rId25" location="" tooltip="" display=""/>
    <hyperlink ref="R15" r:id="rId26" location="" tooltip="" display=""/>
    <hyperlink ref="L16" r:id="rId27" location="" tooltip="" display=""/>
    <hyperlink ref="R16" r:id="rId28" location="" tooltip="" display=""/>
    <hyperlink ref="L18" r:id="rId29" location="" tooltip="" display=""/>
    <hyperlink ref="R18" r:id="rId30" location="" tooltip="" display=""/>
    <hyperlink ref="K19" r:id="rId31" location="" tooltip="" display=""/>
    <hyperlink ref="L19" r:id="rId32" location="" tooltip="" display=""/>
    <hyperlink ref="Q19" r:id="rId33" location="" tooltip="" display=""/>
    <hyperlink ref="R19" r:id="rId34" location="" tooltip="" display=""/>
    <hyperlink ref="L20" r:id="rId35" location="" tooltip="" display=""/>
    <hyperlink ref="R20" r:id="rId36" location="" tooltip="" display=""/>
    <hyperlink ref="L21" r:id="rId37" location="" tooltip="" display=""/>
    <hyperlink ref="R21" r:id="rId38" location="" tooltip="" display=""/>
    <hyperlink ref="K23" r:id="rId39" location="" tooltip="" display=""/>
    <hyperlink ref="L23" r:id="rId40" location="" tooltip="" display=""/>
    <hyperlink ref="Q23" r:id="rId41" location="" tooltip="" display=""/>
    <hyperlink ref="R23" r:id="rId42" location="" tooltip="" display=""/>
    <hyperlink ref="L24" r:id="rId43" location="" tooltip="" display=""/>
    <hyperlink ref="R24" r:id="rId44" location="" tooltip="" display=""/>
    <hyperlink ref="K26" r:id="rId45" location="" tooltip="" display=""/>
    <hyperlink ref="L26" r:id="rId46" location="" tooltip="" display=""/>
    <hyperlink ref="Q26" r:id="rId47" location="" tooltip="" display=""/>
    <hyperlink ref="R26" r:id="rId48" location="" tooltip="" display=""/>
    <hyperlink ref="L28" r:id="rId49" location="" tooltip="" display=""/>
    <hyperlink ref="R28" r:id="rId50" location="" tooltip="" display=""/>
    <hyperlink ref="K29" r:id="rId51" location="" tooltip="" display=""/>
    <hyperlink ref="L29" r:id="rId52" location="" tooltip="" display=""/>
    <hyperlink ref="Q29" r:id="rId53" location="" tooltip="" display=""/>
    <hyperlink ref="R29" r:id="rId54" location="" tooltip="" display=""/>
    <hyperlink ref="L30" r:id="rId55" location="" tooltip="" display=""/>
    <hyperlink ref="R30" r:id="rId56" location="" tooltip="" display=""/>
    <hyperlink ref="L31" r:id="rId57" location="" tooltip="" display=""/>
    <hyperlink ref="R31" r:id="rId58" location="" tooltip="" display=""/>
    <hyperlink ref="K33" r:id="rId59" location="" tooltip="" display=""/>
    <hyperlink ref="L33" r:id="rId60" location="" tooltip="" display=""/>
    <hyperlink ref="Q33" r:id="rId61" location="" tooltip="" display=""/>
    <hyperlink ref="R33" r:id="rId62" location="" tooltip="" display=""/>
    <hyperlink ref="L35" r:id="rId63" location="" tooltip="" display=""/>
    <hyperlink ref="R35" r:id="rId64" location="" tooltip="" display=""/>
    <hyperlink ref="K36" r:id="rId65" location="" tooltip="" display=""/>
    <hyperlink ref="L36" r:id="rId66" location="" tooltip="" display=""/>
    <hyperlink ref="Q36" r:id="rId67" location="" tooltip="" display=""/>
    <hyperlink ref="R36" r:id="rId68" location="" tooltip="" display=""/>
    <hyperlink ref="L37" r:id="rId69" location="" tooltip="" display=""/>
    <hyperlink ref="R37" r:id="rId70" location="" tooltip="" display=""/>
    <hyperlink ref="L38" r:id="rId71" location="" tooltip="" display=""/>
    <hyperlink ref="R38" r:id="rId72" location="" tooltip="" display=""/>
    <hyperlink ref="K40" r:id="rId73" location="" tooltip="" display=""/>
    <hyperlink ref="L40" r:id="rId74" location="" tooltip="" display=""/>
    <hyperlink ref="Q40" r:id="rId75" location="" tooltip="" display=""/>
    <hyperlink ref="R40" r:id="rId76" location="" tooltip="" display=""/>
    <hyperlink ref="L41" r:id="rId77" location="" tooltip="" display=""/>
    <hyperlink ref="R41" r:id="rId78" location="" tooltip="" display=""/>
    <hyperlink ref="L43" r:id="rId79" location="" tooltip="" display=""/>
    <hyperlink ref="R43" r:id="rId80" location="" tooltip="" display=""/>
    <hyperlink ref="L44" r:id="rId81" location="" tooltip="" display=""/>
    <hyperlink ref="R44" r:id="rId82" location="" tooltip="" display=""/>
    <hyperlink ref="K45" r:id="rId83" location="" tooltip="" display=""/>
    <hyperlink ref="L45" r:id="rId84" location="" tooltip="" display=""/>
    <hyperlink ref="Q45" r:id="rId85" location="" tooltip="" display=""/>
    <hyperlink ref="R45" r:id="rId86" location="" tooltip="" display=""/>
    <hyperlink ref="L46" r:id="rId87" location="" tooltip="" display=""/>
    <hyperlink ref="R46" r:id="rId88" location="" tooltip="" display=""/>
    <hyperlink ref="L47" r:id="rId89" location="" tooltip="" display=""/>
    <hyperlink ref="R47" r:id="rId90" location="" tooltip="" display=""/>
    <hyperlink ref="K49" r:id="rId91" location="" tooltip="" display=""/>
    <hyperlink ref="L49" r:id="rId92" location="" tooltip="" display=""/>
    <hyperlink ref="Q49" r:id="rId93" location="" tooltip="" display=""/>
    <hyperlink ref="R49" r:id="rId94" location="" tooltip="" display=""/>
    <hyperlink ref="L51" r:id="rId95" location="" tooltip="" display=""/>
    <hyperlink ref="R51" r:id="rId96" location="" tooltip="" display=""/>
    <hyperlink ref="K52" r:id="rId97" location="" tooltip="" display=""/>
    <hyperlink ref="L52" r:id="rId98" location="" tooltip="" display=""/>
    <hyperlink ref="Q52" r:id="rId99" location="" tooltip="" display=""/>
    <hyperlink ref="R52" r:id="rId100" location="" tooltip="" display=""/>
    <hyperlink ref="L53" r:id="rId101" location="" tooltip="" display=""/>
    <hyperlink ref="R53" r:id="rId102" location="" tooltip="" display=""/>
    <hyperlink ref="L54" r:id="rId103" location="" tooltip="" display=""/>
    <hyperlink ref="R54" r:id="rId104" location="" tooltip="" display=""/>
    <hyperlink ref="L56" r:id="rId105" location="" tooltip="" display=""/>
    <hyperlink ref="R56" r:id="rId106" location="" tooltip="" display=""/>
    <hyperlink ref="K57" r:id="rId107" location="" tooltip="" display=""/>
    <hyperlink ref="L57" r:id="rId108" location="" tooltip="" display=""/>
    <hyperlink ref="Q57" r:id="rId109" location="" tooltip="" display=""/>
    <hyperlink ref="R57" r:id="rId110" location="" tooltip="" display=""/>
    <hyperlink ref="L58" r:id="rId111" location="" tooltip="" display=""/>
    <hyperlink ref="R58" r:id="rId112" location="" tooltip="" display=""/>
    <hyperlink ref="L59" r:id="rId113" location="" tooltip="" display=""/>
    <hyperlink ref="R59" r:id="rId114" location="" tooltip="" display=""/>
    <hyperlink ref="L61" r:id="rId115" location="" tooltip="" display=""/>
    <hyperlink ref="R61" r:id="rId116" location="" tooltip="" display=""/>
    <hyperlink ref="K62" r:id="rId117" location="" tooltip="" display=""/>
    <hyperlink ref="L62" r:id="rId118" location="" tooltip="" display=""/>
    <hyperlink ref="Q62" r:id="rId119" location="" tooltip="" display=""/>
    <hyperlink ref="R62" r:id="rId120" location="" tooltip="" display=""/>
    <hyperlink ref="L63" r:id="rId121" location="" tooltip="" display=""/>
    <hyperlink ref="R63" r:id="rId122" location="" tooltip="" display=""/>
    <hyperlink ref="K65" r:id="rId123" location="" tooltip="" display=""/>
    <hyperlink ref="L65" r:id="rId124" location="" tooltip="" display=""/>
    <hyperlink ref="Q65" r:id="rId125" location="" tooltip="" display=""/>
    <hyperlink ref="R65" r:id="rId126" location="" tooltip="" display=""/>
    <hyperlink ref="K67" r:id="rId127" location="" tooltip="" display=""/>
    <hyperlink ref="L67" r:id="rId128" location="" tooltip="" display=""/>
    <hyperlink ref="Q67" r:id="rId129" location="" tooltip="" display=""/>
    <hyperlink ref="R67" r:id="rId130" location="" tooltip="" display=""/>
    <hyperlink ref="K69" r:id="rId131" location="" tooltip="" display=""/>
    <hyperlink ref="L69" r:id="rId132" location="" tooltip="" display=""/>
    <hyperlink ref="Q69" r:id="rId133" location="" tooltip="" display=""/>
    <hyperlink ref="R69" r:id="rId134" location="" tooltip="" display=""/>
    <hyperlink ref="K71" r:id="rId135" location="" tooltip="" display=""/>
    <hyperlink ref="L71" r:id="rId136" location="" tooltip="" display=""/>
    <hyperlink ref="Q71" r:id="rId137" location="" tooltip="" display=""/>
    <hyperlink ref="R71" r:id="rId138" location="" tooltip="" display=""/>
    <hyperlink ref="K73" r:id="rId139" location="" tooltip="" display=""/>
    <hyperlink ref="L73" r:id="rId140" location="" tooltip="" display=""/>
    <hyperlink ref="Q73" r:id="rId141" location="" tooltip="" display=""/>
    <hyperlink ref="R73" r:id="rId142" location="" tooltip="" display=""/>
    <hyperlink ref="K75" r:id="rId143" location="" tooltip="" display=""/>
    <hyperlink ref="L75" r:id="rId144" location="" tooltip="" display=""/>
    <hyperlink ref="Q75" r:id="rId145" location="" tooltip="" display=""/>
    <hyperlink ref="R75" r:id="rId146" location="" tooltip="" display=""/>
    <hyperlink ref="K77" r:id="rId147" location="" tooltip="" display=""/>
    <hyperlink ref="L77" r:id="rId148" location="" tooltip="" display=""/>
    <hyperlink ref="Q77" r:id="rId149" location="" tooltip="" display=""/>
    <hyperlink ref="R77" r:id="rId150" location="" tooltip="" display=""/>
    <hyperlink ref="K79" r:id="rId151" location="" tooltip="" display=""/>
    <hyperlink ref="L79" r:id="rId152" location="" tooltip="" display=""/>
    <hyperlink ref="Q79" r:id="rId153" location="" tooltip="" display=""/>
    <hyperlink ref="R79" r:id="rId154" location="" tooltip="" display=""/>
    <hyperlink ref="L80" r:id="rId155" location="" tooltip="" display=""/>
    <hyperlink ref="R80" r:id="rId156" location="" tooltip="" display=""/>
    <hyperlink ref="L82" r:id="rId157" location="" tooltip="" display=""/>
    <hyperlink ref="R82" r:id="rId158" location="" tooltip="" display=""/>
    <hyperlink ref="K83" r:id="rId159" location="" tooltip="" display=""/>
    <hyperlink ref="L83" r:id="rId160" location="" tooltip="" display=""/>
    <hyperlink ref="Q83" r:id="rId161" location="" tooltip="" display=""/>
    <hyperlink ref="R83" r:id="rId162" location="" tooltip="" display=""/>
    <hyperlink ref="L84" r:id="rId163" location="" tooltip="" display=""/>
    <hyperlink ref="R84" r:id="rId164" location="" tooltip="" display=""/>
    <hyperlink ref="L85" r:id="rId165" location="" tooltip="" display=""/>
    <hyperlink ref="R85" r:id="rId166" location="" tooltip="" display=""/>
    <hyperlink ref="K87" r:id="rId167" location="" tooltip="" display=""/>
    <hyperlink ref="L87" r:id="rId168" location="" tooltip="" display=""/>
    <hyperlink ref="Q87" r:id="rId169" location="" tooltip="" display=""/>
    <hyperlink ref="R87" r:id="rId170" location="" tooltip="" display=""/>
    <hyperlink ref="L88" r:id="rId171" location="" tooltip="" display=""/>
    <hyperlink ref="R88" r:id="rId172" location="" tooltip="" display=""/>
    <hyperlink ref="L90" r:id="rId173" location="" tooltip="" display=""/>
    <hyperlink ref="R90" r:id="rId174" location="" tooltip="" display=""/>
    <hyperlink ref="K91" r:id="rId175" location="" tooltip="" display=""/>
    <hyperlink ref="L91" r:id="rId176" location="" tooltip="" display=""/>
    <hyperlink ref="Q91" r:id="rId177" location="" tooltip="" display=""/>
    <hyperlink ref="R91" r:id="rId178" location="" tooltip="" display=""/>
    <hyperlink ref="L92" r:id="rId179" location="" tooltip="" display=""/>
    <hyperlink ref="R92" r:id="rId180" location="" tooltip="" display=""/>
    <hyperlink ref="K94" r:id="rId181" location="" tooltip="" display=""/>
    <hyperlink ref="L94" r:id="rId182" location="" tooltip="" display=""/>
    <hyperlink ref="Q94" r:id="rId183" location="" tooltip="" display=""/>
    <hyperlink ref="R94" r:id="rId184" location="" tooltip="" display=""/>
    <hyperlink ref="L96" r:id="rId185" location="" tooltip="" display=""/>
    <hyperlink ref="R96" r:id="rId186" location="" tooltip="" display=""/>
    <hyperlink ref="K97" r:id="rId187" location="" tooltip="" display=""/>
    <hyperlink ref="L97" r:id="rId188" location="" tooltip="" display=""/>
    <hyperlink ref="Q97" r:id="rId189" location="" tooltip="" display=""/>
    <hyperlink ref="R97" r:id="rId190" location="" tooltip="" display=""/>
    <hyperlink ref="L98" r:id="rId191" location="" tooltip="" display=""/>
    <hyperlink ref="R98" r:id="rId192" location="" tooltip="" display=""/>
    <hyperlink ref="L99" r:id="rId193" location="" tooltip="" display=""/>
    <hyperlink ref="R99" r:id="rId194" location="" tooltip="" display=""/>
    <hyperlink ref="L101" r:id="rId195" location="" tooltip="" display=""/>
    <hyperlink ref="R101" r:id="rId196" location="" tooltip="" display=""/>
    <hyperlink ref="K102" r:id="rId197" location="" tooltip="" display=""/>
    <hyperlink ref="L102" r:id="rId198" location="" tooltip="" display=""/>
    <hyperlink ref="Q102" r:id="rId199" location="" tooltip="" display=""/>
    <hyperlink ref="R102" r:id="rId200" location="" tooltip="" display=""/>
    <hyperlink ref="L103" r:id="rId201" location="" tooltip="" display=""/>
    <hyperlink ref="R103" r:id="rId202" location="" tooltip="" display=""/>
    <hyperlink ref="L105" r:id="rId203" location="" tooltip="" display=""/>
    <hyperlink ref="R105" r:id="rId204" location="" tooltip="" display=""/>
    <hyperlink ref="K106" r:id="rId205" location="" tooltip="" display=""/>
    <hyperlink ref="L106" r:id="rId206" location="" tooltip="" display=""/>
    <hyperlink ref="Q106" r:id="rId207" location="" tooltip="" display=""/>
    <hyperlink ref="R106" r:id="rId208" location="" tooltip="" display=""/>
    <hyperlink ref="L107" r:id="rId209" location="" tooltip="" display=""/>
    <hyperlink ref="R107" r:id="rId210" location="" tooltip="" display=""/>
    <hyperlink ref="K109" r:id="rId211" location="" tooltip="" display=""/>
    <hyperlink ref="L109" r:id="rId212" location="" tooltip="" display=""/>
    <hyperlink ref="Q109" r:id="rId213" location="" tooltip="" display=""/>
    <hyperlink ref="R109" r:id="rId214" location="" tooltip="" display=""/>
    <hyperlink ref="L110" r:id="rId215" location="" tooltip="" display=""/>
    <hyperlink ref="R110" r:id="rId216" location="" tooltip="" display=""/>
    <hyperlink ref="K112" r:id="rId217" location="" tooltip="" display=""/>
    <hyperlink ref="L112" r:id="rId218" location="" tooltip="" display=""/>
    <hyperlink ref="Q112" r:id="rId219" location="" tooltip="" display=""/>
    <hyperlink ref="R112" r:id="rId220" location="" tooltip="" display=""/>
    <hyperlink ref="L113" r:id="rId221" location="" tooltip="" display=""/>
    <hyperlink ref="R113" r:id="rId222" location="" tooltip="" display=""/>
    <hyperlink ref="K115" r:id="rId223" location="" tooltip="" display=""/>
    <hyperlink ref="L115" r:id="rId224" location="" tooltip="" display=""/>
    <hyperlink ref="Q115" r:id="rId225" location="" tooltip="" display=""/>
    <hyperlink ref="R115" r:id="rId226" location="" tooltip="" display=""/>
    <hyperlink ref="L116" r:id="rId227" location="" tooltip="" display=""/>
    <hyperlink ref="R116" r:id="rId228" location="" tooltip="" display=""/>
    <hyperlink ref="K118" r:id="rId229" location="" tooltip="" display=""/>
    <hyperlink ref="L118" r:id="rId230" location="" tooltip="" display=""/>
    <hyperlink ref="Q118" r:id="rId231" location="" tooltip="" display=""/>
    <hyperlink ref="R118" r:id="rId232" location="" tooltip="" display=""/>
    <hyperlink ref="L120" r:id="rId233" location="" tooltip="" display=""/>
    <hyperlink ref="R120" r:id="rId234" location="" tooltip="" display=""/>
    <hyperlink ref="L121" r:id="rId235" location="" tooltip="" display=""/>
    <hyperlink ref="R121" r:id="rId236" location="" tooltip="" display=""/>
    <hyperlink ref="K122" r:id="rId237" location="" tooltip="" display=""/>
    <hyperlink ref="L122" r:id="rId238" location="" tooltip="" display=""/>
    <hyperlink ref="Q122" r:id="rId239" location="" tooltip="" display=""/>
    <hyperlink ref="R122" r:id="rId240" location="" tooltip="" display=""/>
    <hyperlink ref="L123" r:id="rId241" location="" tooltip="" display=""/>
    <hyperlink ref="R123" r:id="rId242" location="" tooltip="" display=""/>
    <hyperlink ref="L124" r:id="rId243" location="" tooltip="" display=""/>
    <hyperlink ref="R124" r:id="rId244" location="" tooltip="" display=""/>
    <hyperlink ref="K126" r:id="rId245" location="" tooltip="" display=""/>
    <hyperlink ref="L126" r:id="rId246" location="" tooltip="" display=""/>
    <hyperlink ref="Q126" r:id="rId247" location="" tooltip="" display=""/>
    <hyperlink ref="R126" r:id="rId248" location="" tooltip="" display=""/>
    <hyperlink ref="L127" r:id="rId249" location="" tooltip="" display=""/>
    <hyperlink ref="R127" r:id="rId250" location="" tooltip="" display=""/>
    <hyperlink ref="L129" r:id="rId251" location="" tooltip="" display=""/>
    <hyperlink ref="R129" r:id="rId252" location="" tooltip="" display=""/>
    <hyperlink ref="K130" r:id="rId253" location="" tooltip="" display=""/>
    <hyperlink ref="L130" r:id="rId254" location="" tooltip="" display=""/>
    <hyperlink ref="Q130" r:id="rId255" location="" tooltip="" display=""/>
    <hyperlink ref="R130" r:id="rId256" location="" tooltip="" display=""/>
    <hyperlink ref="L131" r:id="rId257" location="" tooltip="" display=""/>
    <hyperlink ref="R131" r:id="rId258" location="" tooltip="" display=""/>
    <hyperlink ref="L133" r:id="rId259" location="" tooltip="" display=""/>
    <hyperlink ref="R133" r:id="rId260" location="" tooltip="" display=""/>
    <hyperlink ref="K134" r:id="rId261" location="" tooltip="" display=""/>
    <hyperlink ref="L134" r:id="rId262" location="" tooltip="" display=""/>
    <hyperlink ref="Q134" r:id="rId263" location="" tooltip="" display=""/>
    <hyperlink ref="R134" r:id="rId264" location="" tooltip="" display=""/>
    <hyperlink ref="L135" r:id="rId265" location="" tooltip="" display=""/>
    <hyperlink ref="R135" r:id="rId266" location="" tooltip="" display=""/>
    <hyperlink ref="K137" r:id="rId267" location="" tooltip="" display=""/>
    <hyperlink ref="L137" r:id="rId268" location="" tooltip="" display=""/>
    <hyperlink ref="Q137" r:id="rId269" location="" tooltip="" display=""/>
    <hyperlink ref="R137" r:id="rId270" location="" tooltip="" display=""/>
    <hyperlink ref="L138" r:id="rId271" location="" tooltip="" display=""/>
    <hyperlink ref="R138" r:id="rId272" location="" tooltip="" display=""/>
    <hyperlink ref="L140" r:id="rId273" location="" tooltip="" display=""/>
    <hyperlink ref="R140" r:id="rId274" location="" tooltip="" display=""/>
    <hyperlink ref="K141" r:id="rId275" location="" tooltip="" display=""/>
    <hyperlink ref="L141" r:id="rId276" location="" tooltip="" display=""/>
    <hyperlink ref="Q141" r:id="rId277" location="" tooltip="" display=""/>
    <hyperlink ref="R141" r:id="rId278" location="" tooltip="" display=""/>
    <hyperlink ref="L142" r:id="rId279" location="" tooltip="" display=""/>
    <hyperlink ref="R142" r:id="rId280" location="" tooltip="" display=""/>
    <hyperlink ref="L143" r:id="rId281" location="" tooltip="" display=""/>
    <hyperlink ref="R143" r:id="rId282" location="" tooltip="" display=""/>
    <hyperlink ref="K145" r:id="rId283" location="" tooltip="" display=""/>
    <hyperlink ref="L145" r:id="rId284" location="" tooltip="" display=""/>
    <hyperlink ref="Q145" r:id="rId285" location="" tooltip="" display=""/>
    <hyperlink ref="R145" r:id="rId286" location="" tooltip="" display=""/>
    <hyperlink ref="L146" r:id="rId287" location="" tooltip="" display=""/>
    <hyperlink ref="R146" r:id="rId288" location="" tooltip="" display=""/>
    <hyperlink ref="L148" r:id="rId289" location="" tooltip="" display=""/>
    <hyperlink ref="R148" r:id="rId290" location="" tooltip="" display=""/>
    <hyperlink ref="K149" r:id="rId291" location="" tooltip="" display=""/>
    <hyperlink ref="L149" r:id="rId292" location="" tooltip="" display=""/>
    <hyperlink ref="Q149" r:id="rId293" location="" tooltip="" display=""/>
    <hyperlink ref="R149" r:id="rId294" location="" tooltip="" display=""/>
    <hyperlink ref="L150" r:id="rId295" location="" tooltip="" display=""/>
    <hyperlink ref="R150" r:id="rId296" location="" tooltip="" display=""/>
    <hyperlink ref="L151" r:id="rId297" location="" tooltip="" display=""/>
    <hyperlink ref="R151" r:id="rId298" location="" tooltip="" display=""/>
    <hyperlink ref="L153" r:id="rId299" location="" tooltip="" display=""/>
    <hyperlink ref="R153" r:id="rId300" location="" tooltip="" display=""/>
    <hyperlink ref="L154" r:id="rId301" location="" tooltip="" display=""/>
    <hyperlink ref="R154" r:id="rId302" location="" tooltip="" display=""/>
    <hyperlink ref="K155" r:id="rId303" location="" tooltip="" display=""/>
    <hyperlink ref="L155" r:id="rId304" location="" tooltip="" display=""/>
    <hyperlink ref="Q155" r:id="rId305" location="" tooltip="" display=""/>
    <hyperlink ref="R155" r:id="rId306" location="" tooltip="" display=""/>
    <hyperlink ref="L156" r:id="rId307" location="" tooltip="" display=""/>
    <hyperlink ref="R156" r:id="rId308" location="" tooltip="" display=""/>
    <hyperlink ref="L157" r:id="rId309" location="" tooltip="" display=""/>
    <hyperlink ref="R157" r:id="rId310" location="" tooltip="" display=""/>
    <hyperlink ref="K159" r:id="rId311" location="" tooltip="" display=""/>
    <hyperlink ref="L159" r:id="rId312" location="" tooltip="" display=""/>
    <hyperlink ref="Q159" r:id="rId313" location="" tooltip="" display=""/>
    <hyperlink ref="R159" r:id="rId314" location="" tooltip="" display=""/>
    <hyperlink ref="L160" r:id="rId315" location="" tooltip="" display=""/>
    <hyperlink ref="R160" r:id="rId316" location="" tooltip="" display=""/>
    <hyperlink ref="L162" r:id="rId317" location="" tooltip="" display=""/>
    <hyperlink ref="R162" r:id="rId318" location="" tooltip="" display=""/>
    <hyperlink ref="K163" r:id="rId319" location="" tooltip="" display=""/>
    <hyperlink ref="L163" r:id="rId320" location="" tooltip="" display=""/>
    <hyperlink ref="Q163" r:id="rId321" location="" tooltip="" display=""/>
    <hyperlink ref="R163" r:id="rId322" location="" tooltip="" display=""/>
    <hyperlink ref="L164" r:id="rId323" location="" tooltip="" display=""/>
    <hyperlink ref="R164" r:id="rId324" location="" tooltip="" display=""/>
    <hyperlink ref="L165" r:id="rId325" location="" tooltip="" display=""/>
    <hyperlink ref="R165" r:id="rId326" location="" tooltip="" display=""/>
    <hyperlink ref="K167" r:id="rId327" location="" tooltip="" display=""/>
    <hyperlink ref="L167" r:id="rId328" location="" tooltip="" display=""/>
    <hyperlink ref="Q167" r:id="rId329" location="" tooltip="" display=""/>
    <hyperlink ref="R167" r:id="rId330" location="" tooltip="" display=""/>
    <hyperlink ref="L169" r:id="rId331" location="" tooltip="" display=""/>
    <hyperlink ref="R169" r:id="rId332" location="" tooltip="" display=""/>
    <hyperlink ref="K170" r:id="rId333" location="" tooltip="" display=""/>
    <hyperlink ref="L170" r:id="rId334" location="" tooltip="" display=""/>
    <hyperlink ref="Q170" r:id="rId335" location="" tooltip="" display=""/>
    <hyperlink ref="R170" r:id="rId336" location="" tooltip="" display=""/>
    <hyperlink ref="L171" r:id="rId337" location="" tooltip="" display=""/>
    <hyperlink ref="R171" r:id="rId338" location="" tooltip="" display=""/>
    <hyperlink ref="L172" r:id="rId339" location="" tooltip="" display=""/>
    <hyperlink ref="R172" r:id="rId340" location="" tooltip="" display=""/>
    <hyperlink ref="K174" r:id="rId341" location="" tooltip="" display=""/>
    <hyperlink ref="L174" r:id="rId342" location="" tooltip="" display=""/>
    <hyperlink ref="Q174" r:id="rId343" location="" tooltip="" display=""/>
    <hyperlink ref="R174" r:id="rId344" location="" tooltip="" display=""/>
    <hyperlink ref="L175" r:id="rId345" location="" tooltip="" display=""/>
    <hyperlink ref="R175" r:id="rId346" location="" tooltip="" display=""/>
    <hyperlink ref="L177" r:id="rId347" location="" tooltip="" display=""/>
    <hyperlink ref="R177" r:id="rId348" location="" tooltip="" display=""/>
    <hyperlink ref="L178" r:id="rId349" location="" tooltip="" display=""/>
    <hyperlink ref="R178" r:id="rId350" location="" tooltip="" display=""/>
    <hyperlink ref="K179" r:id="rId351" location="" tooltip="" display=""/>
    <hyperlink ref="L179" r:id="rId352" location="" tooltip="" display=""/>
    <hyperlink ref="Q179" r:id="rId353" location="" tooltip="" display=""/>
    <hyperlink ref="R179" r:id="rId354" location="" tooltip="" display=""/>
    <hyperlink ref="L180" r:id="rId355" location="" tooltip="" display=""/>
    <hyperlink ref="R180" r:id="rId356" location="" tooltip="" display=""/>
    <hyperlink ref="L181" r:id="rId357" location="" tooltip="" display=""/>
    <hyperlink ref="R181" r:id="rId358" location="" tooltip="" display=""/>
    <hyperlink ref="L183" r:id="rId359" location="" tooltip="" display=""/>
    <hyperlink ref="R183" r:id="rId360" location="" tooltip="" display=""/>
    <hyperlink ref="K184" r:id="rId361" location="" tooltip="" display=""/>
    <hyperlink ref="L184" r:id="rId362" location="" tooltip="" display=""/>
    <hyperlink ref="Q184" r:id="rId363" location="" tooltip="" display=""/>
    <hyperlink ref="R184" r:id="rId364" location="" tooltip="" display=""/>
    <hyperlink ref="L185" r:id="rId365" location="" tooltip="" display=""/>
    <hyperlink ref="R185" r:id="rId366" location="" tooltip="" display=""/>
    <hyperlink ref="K187" r:id="rId367" location="" tooltip="" display=""/>
    <hyperlink ref="L187" r:id="rId368" location="" tooltip="" display=""/>
    <hyperlink ref="Q187" r:id="rId369" location="" tooltip="" display=""/>
    <hyperlink ref="R187" r:id="rId370" location="" tooltip="" display=""/>
    <hyperlink ref="L189" r:id="rId371" location="" tooltip="" display=""/>
    <hyperlink ref="R189" r:id="rId372" location="" tooltip="" display=""/>
    <hyperlink ref="L190" r:id="rId373" location="" tooltip="" display=""/>
    <hyperlink ref="R190" r:id="rId374" location="" tooltip="" display=""/>
    <hyperlink ref="L191" r:id="rId375" location="" tooltip="" display=""/>
    <hyperlink ref="R191" r:id="rId376" location="" tooltip="" display=""/>
    <hyperlink ref="K192" r:id="rId377" location="" tooltip="" display=""/>
    <hyperlink ref="L192" r:id="rId378" location="" tooltip="" display=""/>
    <hyperlink ref="Q192" r:id="rId379" location="" tooltip="" display=""/>
    <hyperlink ref="R192" r:id="rId380" location="" tooltip="" display=""/>
    <hyperlink ref="L193" r:id="rId381" location="" tooltip="" display=""/>
    <hyperlink ref="R193" r:id="rId382" location="" tooltip="" display=""/>
    <hyperlink ref="L194" r:id="rId383" location="" tooltip="" display=""/>
    <hyperlink ref="R194" r:id="rId384" location="" tooltip="" display=""/>
    <hyperlink ref="L195" r:id="rId385" location="" tooltip="" display=""/>
    <hyperlink ref="R195" r:id="rId386" location="" tooltip="" display=""/>
    <hyperlink ref="L196" r:id="rId387" location="" tooltip="" display=""/>
    <hyperlink ref="R196" r:id="rId388" location="" tooltip="" display=""/>
    <hyperlink ref="K198" r:id="rId389" location="" tooltip="" display=""/>
    <hyperlink ref="L198" r:id="rId390" location="" tooltip="" display=""/>
    <hyperlink ref="Q198" r:id="rId391" location="" tooltip="" display=""/>
    <hyperlink ref="R198" r:id="rId392" location="" tooltip="" display=""/>
    <hyperlink ref="L199" r:id="rId393" location="" tooltip="" display=""/>
    <hyperlink ref="R199" r:id="rId394" location="" tooltip="" display=""/>
    <hyperlink ref="L201" r:id="rId395" location="" tooltip="" display=""/>
    <hyperlink ref="R201" r:id="rId396" location="" tooltip="" display=""/>
    <hyperlink ref="L202" r:id="rId397" location="" tooltip="" display=""/>
    <hyperlink ref="R202" r:id="rId398" location="" tooltip="" display=""/>
    <hyperlink ref="L203" r:id="rId399" location="" tooltip="" display=""/>
    <hyperlink ref="R203" r:id="rId400" location="" tooltip="" display=""/>
    <hyperlink ref="K204" r:id="rId401" location="" tooltip="" display=""/>
    <hyperlink ref="L204" r:id="rId402" location="" tooltip="" display=""/>
    <hyperlink ref="Q204" r:id="rId403" location="" tooltip="" display=""/>
    <hyperlink ref="R204" r:id="rId404" location="" tooltip="" display=""/>
    <hyperlink ref="L205" r:id="rId405" location="" tooltip="" display=""/>
    <hyperlink ref="R205" r:id="rId406" location="" tooltip="" display=""/>
    <hyperlink ref="L206" r:id="rId407" location="" tooltip="" display=""/>
    <hyperlink ref="R206" r:id="rId408" location="" tooltip="" display=""/>
    <hyperlink ref="L207" r:id="rId409" location="" tooltip="" display=""/>
    <hyperlink ref="R207" r:id="rId410" location="" tooltip="" display=""/>
    <hyperlink ref="L208" r:id="rId411" location="" tooltip="" display=""/>
    <hyperlink ref="R208" r:id="rId412" location="" tooltip="" display=""/>
    <hyperlink ref="L210" r:id="rId413" location="" tooltip="" display=""/>
    <hyperlink ref="R210" r:id="rId414" location="" tooltip="" display=""/>
    <hyperlink ref="L211" r:id="rId415" location="" tooltip="" display=""/>
    <hyperlink ref="R211" r:id="rId416" location="" tooltip="" display=""/>
    <hyperlink ref="L212" r:id="rId417" location="" tooltip="" display=""/>
    <hyperlink ref="R212" r:id="rId418" location="" tooltip="" display=""/>
    <hyperlink ref="K213" r:id="rId419" location="" tooltip="" display=""/>
    <hyperlink ref="L213" r:id="rId420" location="" tooltip="" display=""/>
    <hyperlink ref="Q213" r:id="rId421" location="" tooltip="" display=""/>
    <hyperlink ref="R213" r:id="rId422" location="" tooltip="" display=""/>
    <hyperlink ref="L214" r:id="rId423" location="" tooltip="" display=""/>
    <hyperlink ref="R214" r:id="rId424" location="" tooltip="" display=""/>
    <hyperlink ref="L215" r:id="rId425" location="" tooltip="" display=""/>
    <hyperlink ref="R215" r:id="rId426" location="" tooltip="" display=""/>
    <hyperlink ref="L216" r:id="rId427" location="" tooltip="" display=""/>
    <hyperlink ref="R216" r:id="rId428" location="" tooltip="" display=""/>
    <hyperlink ref="L217" r:id="rId429" location="" tooltip="" display=""/>
    <hyperlink ref="R217" r:id="rId430" location="" tooltip="" display=""/>
    <hyperlink ref="L219" r:id="rId431" location="" tooltip="" display=""/>
    <hyperlink ref="R219" r:id="rId432" location="" tooltip="" display=""/>
    <hyperlink ref="L220" r:id="rId433" location="" tooltip="" display=""/>
    <hyperlink ref="R220" r:id="rId434" location="" tooltip="" display=""/>
    <hyperlink ref="K221" r:id="rId435" location="" tooltip="" display=""/>
    <hyperlink ref="L221" r:id="rId436" location="" tooltip="" display=""/>
    <hyperlink ref="Q221" r:id="rId437" location="" tooltip="" display=""/>
    <hyperlink ref="R221" r:id="rId438" location="" tooltip="" display=""/>
    <hyperlink ref="L222" r:id="rId439" location="" tooltip="" display=""/>
    <hyperlink ref="R222" r:id="rId440" location="" tooltip="" display=""/>
    <hyperlink ref="L223" r:id="rId441" location="" tooltip="" display=""/>
    <hyperlink ref="R223" r:id="rId442" location="" tooltip="" display=""/>
    <hyperlink ref="L225" r:id="rId443" location="" tooltip="" display=""/>
    <hyperlink ref="R225" r:id="rId444" location="" tooltip="" display=""/>
    <hyperlink ref="K226" r:id="rId445" location="" tooltip="" display=""/>
    <hyperlink ref="L226" r:id="rId446" location="" tooltip="" display=""/>
    <hyperlink ref="Q226" r:id="rId447" location="" tooltip="" display=""/>
    <hyperlink ref="R226" r:id="rId448" location="" tooltip="" display=""/>
    <hyperlink ref="L227" r:id="rId449" location="" tooltip="" display=""/>
    <hyperlink ref="R227" r:id="rId450" location="" tooltip="" display=""/>
    <hyperlink ref="L228" r:id="rId451" location="" tooltip="" display=""/>
    <hyperlink ref="R228" r:id="rId452" location="" tooltip="" display=""/>
    <hyperlink ref="L230" r:id="rId453" location="" tooltip="" display=""/>
    <hyperlink ref="R230" r:id="rId454" location="" tooltip="" display=""/>
    <hyperlink ref="K231" r:id="rId455" location="" tooltip="" display=""/>
    <hyperlink ref="L231" r:id="rId456" location="" tooltip="" display=""/>
    <hyperlink ref="Q231" r:id="rId457" location="" tooltip="" display=""/>
    <hyperlink ref="R231" r:id="rId458" location="" tooltip="" display=""/>
    <hyperlink ref="L232" r:id="rId459" location="" tooltip="" display=""/>
    <hyperlink ref="R232" r:id="rId460" location="" tooltip="" display=""/>
    <hyperlink ref="L233" r:id="rId461" location="" tooltip="" display=""/>
    <hyperlink ref="R233" r:id="rId462" location="" tooltip="" display=""/>
    <hyperlink ref="L235" r:id="rId463" location="" tooltip="" display=""/>
    <hyperlink ref="R235" r:id="rId464" location="" tooltip="" display=""/>
    <hyperlink ref="K236" r:id="rId465" location="" tooltip="" display=""/>
    <hyperlink ref="L236" r:id="rId466" location="" tooltip="" display=""/>
    <hyperlink ref="Q236" r:id="rId467" location="" tooltip="" display=""/>
    <hyperlink ref="R236" r:id="rId468" location="" tooltip="" display=""/>
    <hyperlink ref="L237" r:id="rId469" location="" tooltip="" display=""/>
    <hyperlink ref="R237" r:id="rId470" location="" tooltip="" display=""/>
    <hyperlink ref="L239" r:id="rId471" location="" tooltip="" display=""/>
    <hyperlink ref="R239" r:id="rId472" location="" tooltip="" display=""/>
    <hyperlink ref="L240" r:id="rId473" location="" tooltip="" display=""/>
    <hyperlink ref="R240" r:id="rId474" location="" tooltip="" display=""/>
    <hyperlink ref="L241" r:id="rId475" location="" tooltip="" display=""/>
    <hyperlink ref="R241" r:id="rId476" location="" tooltip="" display=""/>
    <hyperlink ref="L242" r:id="rId477" location="" tooltip="" display=""/>
    <hyperlink ref="R242" r:id="rId478" location="" tooltip="" display=""/>
    <hyperlink ref="K243" r:id="rId479" location="" tooltip="" display=""/>
    <hyperlink ref="L243" r:id="rId480" location="" tooltip="" display=""/>
    <hyperlink ref="Q243" r:id="rId481" location="" tooltip="" display=""/>
    <hyperlink ref="R243" r:id="rId482" location="" tooltip="" display=""/>
    <hyperlink ref="L244" r:id="rId483" location="" tooltip="" display=""/>
    <hyperlink ref="R244" r:id="rId484" location="" tooltip="" display=""/>
    <hyperlink ref="L245" r:id="rId485" location="" tooltip="" display=""/>
    <hyperlink ref="R245" r:id="rId486" location="" tooltip="" display=""/>
    <hyperlink ref="L246" r:id="rId487" location="" tooltip="" display=""/>
    <hyperlink ref="R246" r:id="rId488" location="" tooltip="" display=""/>
    <hyperlink ref="L247" r:id="rId489" location="" tooltip="" display=""/>
    <hyperlink ref="R247" r:id="rId490" location="" tooltip="" display=""/>
    <hyperlink ref="K249" r:id="rId491" location="" tooltip="" display=""/>
    <hyperlink ref="L249" r:id="rId492" location="" tooltip="" display=""/>
    <hyperlink ref="Q249" r:id="rId493" location="" tooltip="" display=""/>
    <hyperlink ref="R249" r:id="rId494" location="" tooltip="" display=""/>
    <hyperlink ref="L250" r:id="rId495" location="" tooltip="" display=""/>
    <hyperlink ref="R250" r:id="rId496" location="" tooltip="" display=""/>
    <hyperlink ref="K252" r:id="rId497" location="" tooltip="" display=""/>
    <hyperlink ref="L252" r:id="rId498" location="" tooltip="" display=""/>
    <hyperlink ref="Q252" r:id="rId499" location="" tooltip="" display=""/>
    <hyperlink ref="R252" r:id="rId500" location="" tooltip="" display=""/>
    <hyperlink ref="L254" r:id="rId501" location="" tooltip="" display=""/>
    <hyperlink ref="R254" r:id="rId502" location="" tooltip="" display=""/>
    <hyperlink ref="L255" r:id="rId503" location="" tooltip="" display=""/>
    <hyperlink ref="R255" r:id="rId504" location="" tooltip="" display=""/>
    <hyperlink ref="L256" r:id="rId505" location="" tooltip="" display=""/>
    <hyperlink ref="R256" r:id="rId506" location="" tooltip="" display=""/>
    <hyperlink ref="L257" r:id="rId507" location="" tooltip="" display=""/>
    <hyperlink ref="R257" r:id="rId508" location="" tooltip="" display=""/>
    <hyperlink ref="K258" r:id="rId509" location="" tooltip="" display=""/>
    <hyperlink ref="L258" r:id="rId510" location="" tooltip="" display=""/>
    <hyperlink ref="Q258" r:id="rId511" location="" tooltip="" display=""/>
    <hyperlink ref="R258" r:id="rId512" location="" tooltip="" display=""/>
    <hyperlink ref="L259" r:id="rId513" location="" tooltip="" display=""/>
    <hyperlink ref="R259" r:id="rId514" location="" tooltip="" display=""/>
    <hyperlink ref="L260" r:id="rId515" location="" tooltip="" display=""/>
    <hyperlink ref="R260" r:id="rId516" location="" tooltip="" display=""/>
    <hyperlink ref="L261" r:id="rId517" location="" tooltip="" display=""/>
    <hyperlink ref="R261" r:id="rId518" location="" tooltip="" display=""/>
    <hyperlink ref="L262" r:id="rId519" location="" tooltip="" display=""/>
    <hyperlink ref="R262" r:id="rId520" location="" tooltip="" display=""/>
    <hyperlink ref="L264" r:id="rId521" location="" tooltip="" display=""/>
    <hyperlink ref="R264" r:id="rId522" location="" tooltip="" display=""/>
    <hyperlink ref="K265" r:id="rId523" location="" tooltip="" display=""/>
    <hyperlink ref="L265" r:id="rId524" location="" tooltip="" display=""/>
    <hyperlink ref="Q265" r:id="rId525" location="" tooltip="" display=""/>
    <hyperlink ref="R265" r:id="rId526" location="" tooltip="" display=""/>
    <hyperlink ref="L266" r:id="rId527" location="" tooltip="" display=""/>
    <hyperlink ref="R266" r:id="rId528" location="" tooltip="" display=""/>
    <hyperlink ref="L268" r:id="rId529" location="" tooltip="" display=""/>
    <hyperlink ref="R268" r:id="rId530" location="" tooltip="" display=""/>
    <hyperlink ref="K269" r:id="rId531" location="" tooltip="" display=""/>
    <hyperlink ref="L269" r:id="rId532" location="" tooltip="" display=""/>
    <hyperlink ref="Q269" r:id="rId533" location="" tooltip="" display=""/>
    <hyperlink ref="R269" r:id="rId534" location="" tooltip="" display=""/>
    <hyperlink ref="L270" r:id="rId535" location="" tooltip="" display=""/>
    <hyperlink ref="R270" r:id="rId536" location="" tooltip="" display=""/>
    <hyperlink ref="L272" r:id="rId537" location="" tooltip="" display=""/>
    <hyperlink ref="R272" r:id="rId538" location="" tooltip="" display=""/>
    <hyperlink ref="L273" r:id="rId539" location="" tooltip="" display=""/>
    <hyperlink ref="R273" r:id="rId540" location="" tooltip="" display=""/>
    <hyperlink ref="L274" r:id="rId541" location="" tooltip="" display=""/>
    <hyperlink ref="R274" r:id="rId542" location="" tooltip="" display=""/>
    <hyperlink ref="L275" r:id="rId543" location="" tooltip="" display=""/>
    <hyperlink ref="R275" r:id="rId544" location="" tooltip="" display=""/>
    <hyperlink ref="K276" r:id="rId545" location="" tooltip="" display=""/>
    <hyperlink ref="L276" r:id="rId546" location="" tooltip="" display=""/>
    <hyperlink ref="Q276" r:id="rId547" location="" tooltip="" display=""/>
    <hyperlink ref="R276" r:id="rId548" location="" tooltip="" display=""/>
    <hyperlink ref="L277" r:id="rId549" location="" tooltip="" display=""/>
    <hyperlink ref="R277" r:id="rId550" location="" tooltip="" display=""/>
    <hyperlink ref="L278" r:id="rId551" location="" tooltip="" display=""/>
    <hyperlink ref="R278" r:id="rId552" location="" tooltip="" display=""/>
    <hyperlink ref="L279" r:id="rId553" location="" tooltip="" display=""/>
    <hyperlink ref="R279" r:id="rId554" location="" tooltip="" display=""/>
    <hyperlink ref="L280" r:id="rId555" location="" tooltip="" display=""/>
    <hyperlink ref="R280" r:id="rId556" location="" tooltip="" display=""/>
    <hyperlink ref="L282" r:id="rId557" location="" tooltip="" display=""/>
    <hyperlink ref="R282" r:id="rId558" location="" tooltip="" display=""/>
    <hyperlink ref="K283" r:id="rId559" location="" tooltip="" display=""/>
    <hyperlink ref="L283" r:id="rId560" location="" tooltip="" display=""/>
    <hyperlink ref="Q283" r:id="rId561" location="" tooltip="" display=""/>
    <hyperlink ref="R283" r:id="rId562" location="" tooltip="" display=""/>
    <hyperlink ref="L284" r:id="rId563" location="" tooltip="" display=""/>
    <hyperlink ref="R284" r:id="rId564" location="" tooltip="" display=""/>
    <hyperlink ref="L285" r:id="rId565" location="" tooltip="" display=""/>
    <hyperlink ref="R285" r:id="rId566" location="" tooltip="" display=""/>
    <hyperlink ref="K287" r:id="rId567" location="" tooltip="" display=""/>
    <hyperlink ref="L287" r:id="rId568" location="" tooltip="" display=""/>
    <hyperlink ref="Q287" r:id="rId569" location="" tooltip="" display=""/>
    <hyperlink ref="R287" r:id="rId570" location="" tooltip="" display=""/>
    <hyperlink ref="L288" r:id="rId571" location="" tooltip="" display=""/>
    <hyperlink ref="R288" r:id="rId572" location="" tooltip="" display=""/>
    <hyperlink ref="L290" r:id="rId573" location="" tooltip="" display=""/>
    <hyperlink ref="R290" r:id="rId574" location="" tooltip="" display=""/>
    <hyperlink ref="L291" r:id="rId575" location="" tooltip="" display=""/>
    <hyperlink ref="R291" r:id="rId576" location="" tooltip="" display=""/>
    <hyperlink ref="K292" r:id="rId577" location="" tooltip="" display=""/>
    <hyperlink ref="L292" r:id="rId578" location="" tooltip="" display=""/>
    <hyperlink ref="Q292" r:id="rId579" location="" tooltip="" display=""/>
    <hyperlink ref="R292" r:id="rId580" location="" tooltip="" display=""/>
    <hyperlink ref="L293" r:id="rId581" location="" tooltip="" display=""/>
    <hyperlink ref="R293" r:id="rId582" location="" tooltip="" display=""/>
    <hyperlink ref="L294" r:id="rId583" location="" tooltip="" display=""/>
    <hyperlink ref="R294" r:id="rId584" location="" tooltip="" display=""/>
    <hyperlink ref="K296" r:id="rId585" location="" tooltip="" display=""/>
    <hyperlink ref="L296" r:id="rId586" location="" tooltip="" display=""/>
    <hyperlink ref="Q296" r:id="rId587" location="" tooltip="" display=""/>
    <hyperlink ref="R296" r:id="rId588" location="" tooltip="" display=""/>
    <hyperlink ref="L297" r:id="rId589" location="" tooltip="" display=""/>
    <hyperlink ref="R297" r:id="rId590" location="" tooltip="" display=""/>
    <hyperlink ref="K299" r:id="rId591" location="" tooltip="" display=""/>
    <hyperlink ref="L299" r:id="rId592" location="" tooltip="" display=""/>
    <hyperlink ref="Q299" r:id="rId593" location="" tooltip="" display=""/>
    <hyperlink ref="R299" r:id="rId594" location="" tooltip="" display=""/>
    <hyperlink ref="L301" r:id="rId595" location="" tooltip="" display=""/>
    <hyperlink ref="R301" r:id="rId596" location="" tooltip="" display=""/>
    <hyperlink ref="L302" r:id="rId597" location="" tooltip="" display=""/>
    <hyperlink ref="R302" r:id="rId598" location="" tooltip="" display=""/>
    <hyperlink ref="L303" r:id="rId599" location="" tooltip="" display=""/>
    <hyperlink ref="R303" r:id="rId600" location="" tooltip="" display=""/>
    <hyperlink ref="L304" r:id="rId601" location="" tooltip="" display=""/>
    <hyperlink ref="R304" r:id="rId602" location="" tooltip="" display=""/>
    <hyperlink ref="L305" r:id="rId603" location="" tooltip="" display=""/>
    <hyperlink ref="R305" r:id="rId604" location="" tooltip="" display=""/>
    <hyperlink ref="K306" r:id="rId605" location="" tooltip="" display=""/>
    <hyperlink ref="L306" r:id="rId606" location="" tooltip="" display=""/>
    <hyperlink ref="Q306" r:id="rId607" location="" tooltip="" display=""/>
    <hyperlink ref="R306" r:id="rId608" location="" tooltip="" display=""/>
    <hyperlink ref="L307" r:id="rId609" location="" tooltip="" display=""/>
    <hyperlink ref="R307" r:id="rId610" location="" tooltip="" display=""/>
    <hyperlink ref="L308" r:id="rId611" location="" tooltip="" display=""/>
    <hyperlink ref="R308" r:id="rId612" location="" tooltip="" display=""/>
    <hyperlink ref="L309" r:id="rId613" location="" tooltip="" display=""/>
    <hyperlink ref="R309" r:id="rId614" location="" tooltip="" display=""/>
    <hyperlink ref="L310" r:id="rId615" location="" tooltip="" display=""/>
    <hyperlink ref="R310" r:id="rId616" location="" tooltip="" display=""/>
    <hyperlink ref="L311" r:id="rId617" location="" tooltip="" display=""/>
    <hyperlink ref="R311" r:id="rId618" location="" tooltip="" display=""/>
    <hyperlink ref="L313" r:id="rId619" location="" tooltip="" display=""/>
    <hyperlink ref="R313" r:id="rId620" location="" tooltip="" display=""/>
    <hyperlink ref="K314" r:id="rId621" location="" tooltip="" display=""/>
    <hyperlink ref="L314" r:id="rId622" location="" tooltip="" display=""/>
    <hyperlink ref="Q314" r:id="rId623" location="" tooltip="" display=""/>
    <hyperlink ref="R314" r:id="rId624" location="" tooltip="" display=""/>
    <hyperlink ref="L315" r:id="rId625" location="" tooltip="" display=""/>
    <hyperlink ref="R315" r:id="rId626" location="" tooltip="" display=""/>
    <hyperlink ref="K317" r:id="rId627" location="" tooltip="" display=""/>
    <hyperlink ref="L317" r:id="rId628" location="" tooltip="" display=""/>
    <hyperlink ref="Q317" r:id="rId629" location="" tooltip="" display=""/>
    <hyperlink ref="R317" r:id="rId630" location="" tooltip="" display=""/>
    <hyperlink ref="L319" r:id="rId631" location="" tooltip="" display=""/>
    <hyperlink ref="R319" r:id="rId632" location="" tooltip="" display=""/>
    <hyperlink ref="K320" r:id="rId633" location="" tooltip="" display=""/>
    <hyperlink ref="L320" r:id="rId634" location="" tooltip="" display=""/>
    <hyperlink ref="Q320" r:id="rId635" location="" tooltip="" display=""/>
    <hyperlink ref="R320" r:id="rId636" location="" tooltip="" display=""/>
    <hyperlink ref="L321" r:id="rId637" location="" tooltip="" display=""/>
    <hyperlink ref="R321" r:id="rId638" location="" tooltip="" display=""/>
    <hyperlink ref="L322" r:id="rId639" location="" tooltip="" display=""/>
    <hyperlink ref="R322" r:id="rId640" location="" tooltip="" display=""/>
    <hyperlink ref="K324" r:id="rId641" location="" tooltip="" display=""/>
    <hyperlink ref="L324" r:id="rId642" location="" tooltip="" display=""/>
    <hyperlink ref="Q324" r:id="rId643" location="" tooltip="" display=""/>
    <hyperlink ref="R324" r:id="rId644" location="" tooltip="" display=""/>
    <hyperlink ref="L325" r:id="rId645" location="" tooltip="" display=""/>
    <hyperlink ref="R325" r:id="rId646" location="" tooltip="" display=""/>
    <hyperlink ref="K327" r:id="rId647" location="" tooltip="" display=""/>
    <hyperlink ref="L327" r:id="rId648" location="" tooltip="" display=""/>
    <hyperlink ref="Q327" r:id="rId649" location="" tooltip="" display=""/>
    <hyperlink ref="R327" r:id="rId650" location="" tooltip="" display=""/>
    <hyperlink ref="L328" r:id="rId651" location="" tooltip="" display=""/>
    <hyperlink ref="R328" r:id="rId652" location="" tooltip="" display=""/>
    <hyperlink ref="L330" r:id="rId653" location="" tooltip="" display=""/>
    <hyperlink ref="R330" r:id="rId654" location="" tooltip="" display=""/>
    <hyperlink ref="K331" r:id="rId655" location="" tooltip="" display=""/>
    <hyperlink ref="L331" r:id="rId656" location="" tooltip="" display=""/>
    <hyperlink ref="Q331" r:id="rId657" location="" tooltip="" display=""/>
    <hyperlink ref="R331" r:id="rId658" location="" tooltip="" display=""/>
    <hyperlink ref="L332" r:id="rId659" location="" tooltip="" display=""/>
    <hyperlink ref="R332" r:id="rId660" location="" tooltip="" display=""/>
    <hyperlink ref="L333" r:id="rId661" location="" tooltip="" display=""/>
    <hyperlink ref="R333" r:id="rId662" location="" tooltip="" display=""/>
    <hyperlink ref="K335" r:id="rId663" location="" tooltip="" display=""/>
    <hyperlink ref="L335" r:id="rId664" location="" tooltip="" display=""/>
    <hyperlink ref="Q335" r:id="rId665" location="" tooltip="" display=""/>
    <hyperlink ref="R335" r:id="rId666" location="" tooltip="" display=""/>
    <hyperlink ref="L336" r:id="rId667" location="" tooltip="" display=""/>
    <hyperlink ref="R336" r:id="rId668" location="" tooltip="" display=""/>
    <hyperlink ref="K338" r:id="rId669" location="" tooltip="" display=""/>
    <hyperlink ref="L338" r:id="rId670" location="" tooltip="" display=""/>
    <hyperlink ref="Q338" r:id="rId671" location="" tooltip="" display=""/>
    <hyperlink ref="R338" r:id="rId672" location="" tooltip="" display=""/>
    <hyperlink ref="L339" r:id="rId673" location="" tooltip="" display=""/>
    <hyperlink ref="R339" r:id="rId674" location="" tooltip="" display=""/>
    <hyperlink ref="L341" r:id="rId675" location="" tooltip="" display=""/>
    <hyperlink ref="R341" r:id="rId676" location="" tooltip="" display=""/>
    <hyperlink ref="K342" r:id="rId677" location="" tooltip="" display=""/>
    <hyperlink ref="L342" r:id="rId678" location="" tooltip="" display=""/>
    <hyperlink ref="Q342" r:id="rId679" location="" tooltip="" display=""/>
    <hyperlink ref="R342" r:id="rId680" location="" tooltip="" display=""/>
    <hyperlink ref="L343" r:id="rId681" location="" tooltip="" display=""/>
    <hyperlink ref="R343" r:id="rId682" location="" tooltip="" display=""/>
    <hyperlink ref="K345" r:id="rId683" location="" tooltip="" display=""/>
    <hyperlink ref="L345" r:id="rId684" location="" tooltip="" display=""/>
    <hyperlink ref="Q345" r:id="rId685" location="" tooltip="" display=""/>
    <hyperlink ref="R345" r:id="rId686" location="" tooltip="" display=""/>
    <hyperlink ref="L346" r:id="rId687" location="" tooltip="" display=""/>
    <hyperlink ref="R346" r:id="rId688" location="" tooltip="" display=""/>
    <hyperlink ref="K348" r:id="rId689" location="" tooltip="" display=""/>
    <hyperlink ref="L348" r:id="rId690" location="" tooltip="" display=""/>
    <hyperlink ref="Q348" r:id="rId691" location="" tooltip="" display=""/>
    <hyperlink ref="R348" r:id="rId692" location="" tooltip="" display=""/>
    <hyperlink ref="K350" r:id="rId693" location="" tooltip="" display=""/>
    <hyperlink ref="L350" r:id="rId694" location="" tooltip="" display=""/>
    <hyperlink ref="Q350" r:id="rId695" location="" tooltip="" display=""/>
    <hyperlink ref="R350" r:id="rId696" location="" tooltip="" display=""/>
    <hyperlink ref="L352" r:id="rId697" location="" tooltip="" display=""/>
    <hyperlink ref="R352" r:id="rId698" location="" tooltip="" display=""/>
    <hyperlink ref="L353" r:id="rId699" location="" tooltip="" display=""/>
    <hyperlink ref="R353" r:id="rId700" location="" tooltip="" display=""/>
    <hyperlink ref="L354" r:id="rId701" location="" tooltip="" display=""/>
    <hyperlink ref="R354" r:id="rId702" location="" tooltip="" display=""/>
    <hyperlink ref="K355" r:id="rId703" location="" tooltip="" display=""/>
    <hyperlink ref="L355" r:id="rId704" location="" tooltip="" display=""/>
    <hyperlink ref="Q355" r:id="rId705" location="" tooltip="" display=""/>
    <hyperlink ref="R355" r:id="rId706" location="" tooltip="" display=""/>
    <hyperlink ref="L356" r:id="rId707" location="" tooltip="" display=""/>
    <hyperlink ref="R356" r:id="rId708" location="" tooltip="" display=""/>
    <hyperlink ref="L357" r:id="rId709" location="" tooltip="" display=""/>
    <hyperlink ref="R357" r:id="rId710" location="" tooltip="" display=""/>
    <hyperlink ref="L358" r:id="rId711" location="" tooltip="" display=""/>
    <hyperlink ref="R358" r:id="rId712" location="" tooltip="" display=""/>
    <hyperlink ref="L359" r:id="rId713" location="" tooltip="" display=""/>
    <hyperlink ref="R359" r:id="rId714" location="" tooltip="" display=""/>
    <hyperlink ref="L361" r:id="rId715" location="" tooltip="" display=""/>
    <hyperlink ref="R361" r:id="rId716" location="" tooltip="" display=""/>
    <hyperlink ref="L362" r:id="rId717" location="" tooltip="" display=""/>
    <hyperlink ref="R362" r:id="rId718" location="" tooltip="" display=""/>
    <hyperlink ref="L363" r:id="rId719" location="" tooltip="" display=""/>
    <hyperlink ref="R363" r:id="rId720" location="" tooltip="" display=""/>
    <hyperlink ref="K364" r:id="rId721" location="" tooltip="" display=""/>
    <hyperlink ref="L364" r:id="rId722" location="" tooltip="" display=""/>
    <hyperlink ref="Q364" r:id="rId723" location="" tooltip="" display=""/>
    <hyperlink ref="R364" r:id="rId724" location="" tooltip="" display=""/>
    <hyperlink ref="L365" r:id="rId725" location="" tooltip="" display=""/>
    <hyperlink ref="R365" r:id="rId726" location="" tooltip="" display=""/>
    <hyperlink ref="L366" r:id="rId727" location="" tooltip="" display=""/>
    <hyperlink ref="R366" r:id="rId728" location="" tooltip="" display=""/>
    <hyperlink ref="L367" r:id="rId729" location="" tooltip="" display=""/>
    <hyperlink ref="R367" r:id="rId730" location="" tooltip="" display=""/>
    <hyperlink ref="L369" r:id="rId731" location="" tooltip="" display=""/>
    <hyperlink ref="R369" r:id="rId732" location="" tooltip="" display=""/>
    <hyperlink ref="L370" r:id="rId733" location="" tooltip="" display=""/>
    <hyperlink ref="R370" r:id="rId734" location="" tooltip="" display=""/>
    <hyperlink ref="K371" r:id="rId735" location="" tooltip="" display=""/>
    <hyperlink ref="L371" r:id="rId736" location="" tooltip="" display=""/>
    <hyperlink ref="Q371" r:id="rId737" location="" tooltip="" display=""/>
    <hyperlink ref="R371" r:id="rId738" location="" tooltip="" display=""/>
    <hyperlink ref="L372" r:id="rId739" location="" tooltip="" display=""/>
    <hyperlink ref="R372" r:id="rId740" location="" tooltip="" display=""/>
    <hyperlink ref="L373" r:id="rId741" location="" tooltip="" display=""/>
    <hyperlink ref="R373" r:id="rId742" location="" tooltip="" display=""/>
    <hyperlink ref="L374" r:id="rId743" location="" tooltip="" display=""/>
    <hyperlink ref="R374" r:id="rId744" location="" tooltip="" display=""/>
    <hyperlink ref="L376" r:id="rId745" location="" tooltip="" display=""/>
    <hyperlink ref="R376" r:id="rId746" location="" tooltip="" display=""/>
    <hyperlink ref="K377" r:id="rId747" location="" tooltip="" display=""/>
    <hyperlink ref="L377" r:id="rId748" location="" tooltip="" display=""/>
    <hyperlink ref="Q377" r:id="rId749" location="" tooltip="" display=""/>
    <hyperlink ref="R377" r:id="rId750" location="" tooltip="" display=""/>
    <hyperlink ref="L378" r:id="rId751" location="" tooltip="" display=""/>
    <hyperlink ref="R378" r:id="rId752" location="" tooltip="" display=""/>
    <hyperlink ref="L379" r:id="rId753" location="" tooltip="" display=""/>
    <hyperlink ref="R379" r:id="rId754" location="" tooltip="" display=""/>
    <hyperlink ref="L381" r:id="rId755" location="" tooltip="" display=""/>
    <hyperlink ref="R381" r:id="rId756" location="" tooltip="" display=""/>
    <hyperlink ref="L382" r:id="rId757" location="" tooltip="" display=""/>
    <hyperlink ref="R382" r:id="rId758" location="" tooltip="" display=""/>
    <hyperlink ref="K383" r:id="rId759" location="" tooltip="" display=""/>
    <hyperlink ref="L383" r:id="rId760" location="" tooltip="" display=""/>
    <hyperlink ref="Q383" r:id="rId761" location="" tooltip="" display=""/>
    <hyperlink ref="R383" r:id="rId762" location="" tooltip="" display=""/>
    <hyperlink ref="L384" r:id="rId763" location="" tooltip="" display=""/>
    <hyperlink ref="R384" r:id="rId764" location="" tooltip="" display=""/>
    <hyperlink ref="L385" r:id="rId765" location="" tooltip="" display=""/>
    <hyperlink ref="R385" r:id="rId766" location="" tooltip="" display=""/>
    <hyperlink ref="L387" r:id="rId767" location="" tooltip="" display=""/>
    <hyperlink ref="R387" r:id="rId768" location="" tooltip="" display=""/>
    <hyperlink ref="L388" r:id="rId769" location="" tooltip="" display=""/>
    <hyperlink ref="R388" r:id="rId770" location="" tooltip="" display=""/>
    <hyperlink ref="K389" r:id="rId771" location="" tooltip="" display=""/>
    <hyperlink ref="L389" r:id="rId772" location="" tooltip="" display=""/>
    <hyperlink ref="Q389" r:id="rId773" location="" tooltip="" display=""/>
    <hyperlink ref="R389" r:id="rId774" location="" tooltip="" display=""/>
    <hyperlink ref="L390" r:id="rId775" location="" tooltip="" display=""/>
    <hyperlink ref="R390" r:id="rId776" location="" tooltip="" display=""/>
    <hyperlink ref="L391" r:id="rId777" location="" tooltip="" display=""/>
    <hyperlink ref="R391" r:id="rId778" location="" tooltip="" display=""/>
    <hyperlink ref="L392" r:id="rId779" location="" tooltip="" display=""/>
    <hyperlink ref="R392" r:id="rId780" location="" tooltip="" display=""/>
    <hyperlink ref="L394" r:id="rId781" location="" tooltip="" display=""/>
    <hyperlink ref="R394" r:id="rId782" location="" tooltip="" display=""/>
    <hyperlink ref="L395" r:id="rId783" location="" tooltip="" display=""/>
    <hyperlink ref="R395" r:id="rId784" location="" tooltip="" display=""/>
    <hyperlink ref="K396" r:id="rId785" location="" tooltip="" display=""/>
    <hyperlink ref="L396" r:id="rId786" location="" tooltip="" display=""/>
    <hyperlink ref="Q396" r:id="rId787" location="" tooltip="" display=""/>
    <hyperlink ref="R396" r:id="rId788" location="" tooltip="" display=""/>
    <hyperlink ref="L397" r:id="rId789" location="" tooltip="" display=""/>
    <hyperlink ref="R397" r:id="rId790" location="" tooltip="" display=""/>
    <hyperlink ref="L398" r:id="rId791" location="" tooltip="" display=""/>
    <hyperlink ref="R398" r:id="rId792" location="" tooltip="" display=""/>
    <hyperlink ref="K400" r:id="rId793" location="" tooltip="" display=""/>
    <hyperlink ref="L400" r:id="rId794" location="" tooltip="" display=""/>
    <hyperlink ref="Q400" r:id="rId795" location="" tooltip="" display=""/>
    <hyperlink ref="R400" r:id="rId796" location="" tooltip="" display=""/>
    <hyperlink ref="L402" r:id="rId797" location="" tooltip="" display=""/>
    <hyperlink ref="R402" r:id="rId798" location="" tooltip="" display=""/>
    <hyperlink ref="K403" r:id="rId799" location="" tooltip="" display=""/>
    <hyperlink ref="L403" r:id="rId800" location="" tooltip="" display=""/>
    <hyperlink ref="Q403" r:id="rId801" location="" tooltip="" display=""/>
    <hyperlink ref="R403" r:id="rId802" location="" tooltip="" display=""/>
    <hyperlink ref="L404" r:id="rId803" location="" tooltip="" display=""/>
    <hyperlink ref="R404" r:id="rId804" location="" tooltip="" display=""/>
    <hyperlink ref="L405" r:id="rId805" location="" tooltip="" display=""/>
    <hyperlink ref="R405" r:id="rId806" location="" tooltip="" display=""/>
    <hyperlink ref="L407" r:id="rId807" location="" tooltip="" display=""/>
    <hyperlink ref="R407" r:id="rId808" location="" tooltip="" display=""/>
    <hyperlink ref="L408" r:id="rId809" location="" tooltip="" display=""/>
    <hyperlink ref="R408" r:id="rId810" location="" tooltip="" display=""/>
    <hyperlink ref="K409" r:id="rId811" location="" tooltip="" display=""/>
    <hyperlink ref="L409" r:id="rId812" location="" tooltip="" display=""/>
    <hyperlink ref="Q409" r:id="rId813" location="" tooltip="" display=""/>
    <hyperlink ref="R409" r:id="rId814" location="" tooltip="" display=""/>
    <hyperlink ref="L410" r:id="rId815" location="" tooltip="" display=""/>
    <hyperlink ref="R410" r:id="rId816" location="" tooltip="" display=""/>
    <hyperlink ref="L411" r:id="rId817" location="" tooltip="" display=""/>
    <hyperlink ref="R411" r:id="rId818" location="" tooltip="" display=""/>
    <hyperlink ref="L413" r:id="rId819" location="" tooltip="" display=""/>
    <hyperlink ref="R413" r:id="rId820" location="" tooltip="" display=""/>
    <hyperlink ref="L414" r:id="rId821" location="" tooltip="" display=""/>
    <hyperlink ref="R414" r:id="rId822" location="" tooltip="" display=""/>
    <hyperlink ref="K415" r:id="rId823" location="" tooltip="" display=""/>
    <hyperlink ref="L415" r:id="rId824" location="" tooltip="" display=""/>
    <hyperlink ref="Q415" r:id="rId825" location="" tooltip="" display=""/>
    <hyperlink ref="R415" r:id="rId826" location="" tooltip="" display=""/>
    <hyperlink ref="L416" r:id="rId827" location="" tooltip="" display=""/>
    <hyperlink ref="R416" r:id="rId828" location="" tooltip="" display=""/>
    <hyperlink ref="L417" r:id="rId829" location="" tooltip="" display=""/>
    <hyperlink ref="R417" r:id="rId830" location="" tooltip="" display=""/>
    <hyperlink ref="L418" r:id="rId831" location="" tooltip="" display=""/>
    <hyperlink ref="R418" r:id="rId832" location="" tooltip="" display=""/>
    <hyperlink ref="L420" r:id="rId833" location="" tooltip="" display=""/>
    <hyperlink ref="R420" r:id="rId834" location="" tooltip="" display=""/>
    <hyperlink ref="K421" r:id="rId835" location="" tooltip="" display=""/>
    <hyperlink ref="L421" r:id="rId836" location="" tooltip="" display=""/>
    <hyperlink ref="Q421" r:id="rId837" location="" tooltip="" display=""/>
    <hyperlink ref="R421" r:id="rId838" location="" tooltip="" display=""/>
    <hyperlink ref="L422" r:id="rId839" location="" tooltip="" display=""/>
    <hyperlink ref="R422" r:id="rId840" location="" tooltip="" display=""/>
    <hyperlink ref="L423" r:id="rId841" location="" tooltip="" display=""/>
    <hyperlink ref="R423" r:id="rId842" location="" tooltip="" display=""/>
    <hyperlink ref="L425" r:id="rId843" location="" tooltip="" display=""/>
    <hyperlink ref="R425" r:id="rId844" location="" tooltip="" display=""/>
    <hyperlink ref="L426" r:id="rId845" location="" tooltip="" display=""/>
    <hyperlink ref="R426" r:id="rId846" location="" tooltip="" display=""/>
    <hyperlink ref="L427" r:id="rId847" location="" tooltip="" display=""/>
    <hyperlink ref="R427" r:id="rId848" location="" tooltip="" display=""/>
    <hyperlink ref="K428" r:id="rId849" location="" tooltip="" display=""/>
    <hyperlink ref="L428" r:id="rId850" location="" tooltip="" display=""/>
    <hyperlink ref="Q428" r:id="rId851" location="" tooltip="" display=""/>
    <hyperlink ref="R428" r:id="rId852" location="" tooltip="" display=""/>
    <hyperlink ref="L429" r:id="rId853" location="" tooltip="" display=""/>
    <hyperlink ref="R429" r:id="rId854" location="" tooltip="" display=""/>
    <hyperlink ref="L430" r:id="rId855" location="" tooltip="" display=""/>
    <hyperlink ref="R430" r:id="rId856" location="" tooltip="" display=""/>
    <hyperlink ref="L431" r:id="rId857" location="" tooltip="" display=""/>
    <hyperlink ref="R431" r:id="rId858" location="" tooltip="" display=""/>
    <hyperlink ref="L432" r:id="rId859" location="" tooltip="" display=""/>
    <hyperlink ref="R432" r:id="rId860" location="" tooltip="" display=""/>
    <hyperlink ref="L434" r:id="rId861" location="" tooltip="" display=""/>
    <hyperlink ref="R434" r:id="rId862" location="" tooltip="" display=""/>
    <hyperlink ref="L435" r:id="rId863" location="" tooltip="" display=""/>
    <hyperlink ref="R435" r:id="rId864" location="" tooltip="" display=""/>
    <hyperlink ref="K436" r:id="rId865" location="" tooltip="" display=""/>
    <hyperlink ref="L436" r:id="rId866" location="" tooltip="" display=""/>
    <hyperlink ref="Q436" r:id="rId867" location="" tooltip="" display=""/>
    <hyperlink ref="R436" r:id="rId868" location="" tooltip="" display=""/>
    <hyperlink ref="L437" r:id="rId869" location="" tooltip="" display=""/>
    <hyperlink ref="R437" r:id="rId870" location="" tooltip="" display=""/>
    <hyperlink ref="L438" r:id="rId871" location="" tooltip="" display=""/>
    <hyperlink ref="R438" r:id="rId872" location="" tooltip="" display=""/>
    <hyperlink ref="L439" r:id="rId873" location="" tooltip="" display=""/>
    <hyperlink ref="R439" r:id="rId874" location="" tooltip="" display=""/>
    <hyperlink ref="L441" r:id="rId875" location="" tooltip="" display=""/>
    <hyperlink ref="R441" r:id="rId876" location="" tooltip="" display=""/>
    <hyperlink ref="L442" r:id="rId877" location="" tooltip="" display=""/>
    <hyperlink ref="R442" r:id="rId878" location="" tooltip="" display=""/>
    <hyperlink ref="L443" r:id="rId879" location="" tooltip="" display=""/>
    <hyperlink ref="R443" r:id="rId880" location="" tooltip="" display=""/>
    <hyperlink ref="L444" r:id="rId881" location="" tooltip="" display=""/>
    <hyperlink ref="R444" r:id="rId882" location="" tooltip="" display=""/>
    <hyperlink ref="K445" r:id="rId883" location="" tooltip="" display=""/>
    <hyperlink ref="L445" r:id="rId884" location="" tooltip="" display=""/>
    <hyperlink ref="Q445" r:id="rId885" location="" tooltip="" display=""/>
    <hyperlink ref="R445" r:id="rId886" location="" tooltip="" display=""/>
    <hyperlink ref="L446" r:id="rId887" location="" tooltip="" display=""/>
    <hyperlink ref="R446" r:id="rId888" location="" tooltip="" display=""/>
    <hyperlink ref="L447" r:id="rId889" location="" tooltip="" display=""/>
    <hyperlink ref="R447" r:id="rId890" location="" tooltip="" display=""/>
    <hyperlink ref="L448" r:id="rId891" location="" tooltip="" display=""/>
    <hyperlink ref="R448" r:id="rId892" location="" tooltip="" display=""/>
    <hyperlink ref="L449" r:id="rId893" location="" tooltip="" display=""/>
    <hyperlink ref="R449" r:id="rId894" location="" tooltip="" display=""/>
    <hyperlink ref="L451" r:id="rId895" location="" tooltip="" display=""/>
    <hyperlink ref="R451" r:id="rId896" location="" tooltip="" display=""/>
    <hyperlink ref="K452" r:id="rId897" location="" tooltip="" display=""/>
    <hyperlink ref="L452" r:id="rId898" location="" tooltip="" display=""/>
    <hyperlink ref="Q452" r:id="rId899" location="" tooltip="" display=""/>
    <hyperlink ref="R452" r:id="rId900" location="" tooltip="" display=""/>
    <hyperlink ref="L453" r:id="rId901" location="" tooltip="" display=""/>
    <hyperlink ref="R453" r:id="rId902" location="" tooltip="" display=""/>
    <hyperlink ref="L454" r:id="rId903" location="" tooltip="" display=""/>
    <hyperlink ref="R454" r:id="rId904" location="" tooltip="" display=""/>
    <hyperlink ref="K456" r:id="rId905" location="" tooltip="" display=""/>
    <hyperlink ref="L456" r:id="rId906" location="" tooltip="" display=""/>
    <hyperlink ref="Q456" r:id="rId907" location="" tooltip="" display=""/>
    <hyperlink ref="R456" r:id="rId908" location="" tooltip="" display=""/>
    <hyperlink ref="K458" r:id="rId909" location="" tooltip="" display=""/>
    <hyperlink ref="L458" r:id="rId910" location="" tooltip="" display=""/>
    <hyperlink ref="Q458" r:id="rId911" location="" tooltip="" display=""/>
    <hyperlink ref="R458" r:id="rId912" location="" tooltip="" display=""/>
    <hyperlink ref="L460" r:id="rId913" location="" tooltip="" display=""/>
    <hyperlink ref="R460" r:id="rId914" location="" tooltip="" display=""/>
    <hyperlink ref="K461" r:id="rId915" location="" tooltip="" display=""/>
    <hyperlink ref="L461" r:id="rId916" location="" tooltip="" display=""/>
    <hyperlink ref="Q461" r:id="rId917" location="" tooltip="" display=""/>
    <hyperlink ref="R461" r:id="rId918" location="" tooltip="" display=""/>
    <hyperlink ref="L462" r:id="rId919" location="" tooltip="" display=""/>
    <hyperlink ref="R462" r:id="rId920" location="" tooltip="" display=""/>
    <hyperlink ref="K464" r:id="rId921" location="" tooltip="" display=""/>
    <hyperlink ref="L464" r:id="rId922" location="" tooltip="" display=""/>
    <hyperlink ref="Q464" r:id="rId923" location="" tooltip="" display=""/>
    <hyperlink ref="R464" r:id="rId924" location="" tooltip="" display=""/>
    <hyperlink ref="L465" r:id="rId925" location="" tooltip="" display=""/>
    <hyperlink ref="R465" r:id="rId926" location="" tooltip="" display=""/>
    <hyperlink ref="K467" r:id="rId927" location="" tooltip="" display=""/>
    <hyperlink ref="L467" r:id="rId928" location="" tooltip="" display=""/>
    <hyperlink ref="Q467" r:id="rId929" location="" tooltip="" display=""/>
    <hyperlink ref="R467" r:id="rId930" location="" tooltip="" display=""/>
    <hyperlink ref="K469" r:id="rId931" location="" tooltip="" display=""/>
    <hyperlink ref="L469" r:id="rId932" location="" tooltip="" display=""/>
    <hyperlink ref="Q469" r:id="rId933" location="" tooltip="" display=""/>
    <hyperlink ref="R469" r:id="rId934" location="" tooltip="" display=""/>
    <hyperlink ref="L471" r:id="rId935" location="" tooltip="" display=""/>
    <hyperlink ref="R471" r:id="rId936" location="" tooltip="" display=""/>
    <hyperlink ref="L472" r:id="rId937" location="" tooltip="" display=""/>
    <hyperlink ref="R472" r:id="rId938" location="" tooltip="" display=""/>
    <hyperlink ref="K473" r:id="rId939" location="" tooltip="" display=""/>
    <hyperlink ref="L473" r:id="rId940" location="" tooltip="" display=""/>
    <hyperlink ref="Q473" r:id="rId941" location="" tooltip="" display=""/>
    <hyperlink ref="R473" r:id="rId942" location="" tooltip="" display=""/>
    <hyperlink ref="L474" r:id="rId943" location="" tooltip="" display=""/>
    <hyperlink ref="R474" r:id="rId944" location="" tooltip="" display=""/>
    <hyperlink ref="L475" r:id="rId945" location="" tooltip="" display=""/>
    <hyperlink ref="R475" r:id="rId946" location="" tooltip="" display=""/>
    <hyperlink ref="L476" r:id="rId947" location="" tooltip="" display=""/>
    <hyperlink ref="R476" r:id="rId948" location="" tooltip="" display=""/>
    <hyperlink ref="L478" r:id="rId949" location="" tooltip="" display=""/>
    <hyperlink ref="R478" r:id="rId950" location="" tooltip="" display=""/>
    <hyperlink ref="K479" r:id="rId951" location="" tooltip="" display=""/>
    <hyperlink ref="L479" r:id="rId952" location="" tooltip="" display=""/>
    <hyperlink ref="Q479" r:id="rId953" location="" tooltip="" display=""/>
    <hyperlink ref="R479" r:id="rId954" location="" tooltip="" display=""/>
    <hyperlink ref="L480" r:id="rId955" location="" tooltip="" display=""/>
    <hyperlink ref="R480" r:id="rId956" location="" tooltip="" display=""/>
    <hyperlink ref="K482" r:id="rId957" location="" tooltip="" display=""/>
    <hyperlink ref="L482" r:id="rId958" location="" tooltip="" display=""/>
    <hyperlink ref="Q482" r:id="rId959" location="" tooltip="" display=""/>
    <hyperlink ref="R482" r:id="rId960" location="" tooltip="" display=""/>
    <hyperlink ref="L483" r:id="rId961" location="" tooltip="" display=""/>
    <hyperlink ref="R483" r:id="rId962" location="" tooltip="" display=""/>
    <hyperlink ref="K485" r:id="rId963" location="" tooltip="" display=""/>
    <hyperlink ref="L485" r:id="rId964" location="" tooltip="" display=""/>
    <hyperlink ref="Q485" r:id="rId965" location="" tooltip="" display=""/>
    <hyperlink ref="R485" r:id="rId966" location="" tooltip="" display=""/>
    <hyperlink ref="L486" r:id="rId967" location="" tooltip="" display=""/>
    <hyperlink ref="R486" r:id="rId968" location="" tooltip="" display=""/>
    <hyperlink ref="L488" r:id="rId969" location="" tooltip="" display=""/>
    <hyperlink ref="R488" r:id="rId970" location="" tooltip="" display=""/>
    <hyperlink ref="L489" r:id="rId971" location="" tooltip="" display=""/>
    <hyperlink ref="R489" r:id="rId972" location="" tooltip="" display=""/>
    <hyperlink ref="K490" r:id="rId973" location="" tooltip="" display=""/>
    <hyperlink ref="L490" r:id="rId974" location="" tooltip="" display=""/>
    <hyperlink ref="Q490" r:id="rId975" location="" tooltip="" display=""/>
    <hyperlink ref="R490" r:id="rId976" location="" tooltip="" display=""/>
    <hyperlink ref="L491" r:id="rId977" location="" tooltip="" display=""/>
    <hyperlink ref="R491" r:id="rId978" location="" tooltip="" display=""/>
    <hyperlink ref="L492" r:id="rId979" location="" tooltip="" display=""/>
    <hyperlink ref="R492" r:id="rId980" location="" tooltip="" display=""/>
    <hyperlink ref="L494" r:id="rId981" location="" tooltip="" display=""/>
    <hyperlink ref="R494" r:id="rId982" location="" tooltip="" display=""/>
    <hyperlink ref="K495" r:id="rId983" location="" tooltip="" display=""/>
    <hyperlink ref="L495" r:id="rId984" location="" tooltip="" display=""/>
    <hyperlink ref="Q495" r:id="rId985" location="" tooltip="" display=""/>
    <hyperlink ref="R495" r:id="rId986" location="" tooltip="" display=""/>
    <hyperlink ref="L496" r:id="rId987" location="" tooltip="" display=""/>
    <hyperlink ref="R496" r:id="rId988" location="" tooltip="" display=""/>
    <hyperlink ref="L497" r:id="rId989" location="" tooltip="" display=""/>
    <hyperlink ref="R497" r:id="rId990" location="" tooltip="" display=""/>
    <hyperlink ref="L499" r:id="rId991" location="" tooltip="" display=""/>
    <hyperlink ref="R499" r:id="rId992" location="" tooltip="" display=""/>
    <hyperlink ref="L500" r:id="rId993" location="" tooltip="" display=""/>
    <hyperlink ref="R500" r:id="rId994" location="" tooltip="" display=""/>
    <hyperlink ref="L501" r:id="rId995" location="" tooltip="" display=""/>
    <hyperlink ref="R501" r:id="rId996" location="" tooltip="" display=""/>
    <hyperlink ref="L502" r:id="rId997" location="" tooltip="" display=""/>
    <hyperlink ref="R502" r:id="rId998" location="" tooltip="" display=""/>
    <hyperlink ref="L503" r:id="rId999" location="" tooltip="" display=""/>
    <hyperlink ref="R503" r:id="rId1000" location="" tooltip="" display=""/>
    <hyperlink ref="K504" r:id="rId1001" location="" tooltip="" display=""/>
    <hyperlink ref="L504" r:id="rId1002" location="" tooltip="" display=""/>
    <hyperlink ref="Q504" r:id="rId1003" location="" tooltip="" display=""/>
    <hyperlink ref="R504" r:id="rId1004" location="" tooltip="" display=""/>
    <hyperlink ref="L505" r:id="rId1005" location="" tooltip="" display=""/>
    <hyperlink ref="R505" r:id="rId1006" location="" tooltip="" display=""/>
    <hyperlink ref="L506" r:id="rId1007" location="" tooltip="" display=""/>
    <hyperlink ref="R506" r:id="rId1008" location="" tooltip="" display=""/>
    <hyperlink ref="L507" r:id="rId1009" location="" tooltip="" display=""/>
    <hyperlink ref="R507" r:id="rId1010" location="" tooltip="" display=""/>
    <hyperlink ref="L508" r:id="rId1011" location="" tooltip="" display=""/>
    <hyperlink ref="R508" r:id="rId1012" location="" tooltip="" display=""/>
    <hyperlink ref="L509" r:id="rId1013" location="" tooltip="" display=""/>
    <hyperlink ref="R509" r:id="rId1014" location="" tooltip="" display=""/>
    <hyperlink ref="K511" r:id="rId1015" location="" tooltip="" display=""/>
    <hyperlink ref="L511" r:id="rId1016" location="" tooltip="" display=""/>
    <hyperlink ref="Q511" r:id="rId1017" location="" tooltip="" display=""/>
    <hyperlink ref="R511" r:id="rId1018" location="" tooltip="" display=""/>
    <hyperlink ref="L512" r:id="rId1019" location="" tooltip="" display=""/>
    <hyperlink ref="R512" r:id="rId1020" location="" tooltip="" display=""/>
    <hyperlink ref="K514" r:id="rId1021" location="" tooltip="" display=""/>
    <hyperlink ref="L514" r:id="rId1022" location="" tooltip="" display=""/>
    <hyperlink ref="Q514" r:id="rId1023" location="" tooltip="" display=""/>
    <hyperlink ref="R514" r:id="rId1024" location="" tooltip="" display=""/>
    <hyperlink ref="L516" r:id="rId1025" location="" tooltip="" display=""/>
    <hyperlink ref="R516" r:id="rId1026" location="" tooltip="" display=""/>
    <hyperlink ref="L517" r:id="rId1027" location="" tooltip="" display=""/>
    <hyperlink ref="R517" r:id="rId1028" location="" tooltip="" display=""/>
    <hyperlink ref="K518" r:id="rId1029" location="" tooltip="" display=""/>
    <hyperlink ref="L518" r:id="rId1030" location="" tooltip="" display=""/>
    <hyperlink ref="Q518" r:id="rId1031" location="" tooltip="" display=""/>
    <hyperlink ref="R518" r:id="rId1032" location="" tooltip="" display=""/>
    <hyperlink ref="L519" r:id="rId1033" location="" tooltip="" display=""/>
    <hyperlink ref="R519" r:id="rId1034" location="" tooltip="" display=""/>
    <hyperlink ref="L520" r:id="rId1035" location="" tooltip="" display=""/>
    <hyperlink ref="R520" r:id="rId1036" location="" tooltip="" display=""/>
    <hyperlink ref="L521" r:id="rId1037" location="" tooltip="" display=""/>
    <hyperlink ref="R521" r:id="rId1038" location="" tooltip="" display=""/>
    <hyperlink ref="L523" r:id="rId1039" location="" tooltip="" display=""/>
    <hyperlink ref="R523" r:id="rId1040" location="" tooltip="" display=""/>
    <hyperlink ref="K524" r:id="rId1041" location="" tooltip="" display=""/>
    <hyperlink ref="L524" r:id="rId1042" location="" tooltip="" display=""/>
    <hyperlink ref="Q524" r:id="rId1043" location="" tooltip="" display=""/>
    <hyperlink ref="R524" r:id="rId1044" location="" tooltip="" display=""/>
    <hyperlink ref="L525" r:id="rId1045" location="" tooltip="" display=""/>
    <hyperlink ref="R525" r:id="rId1046" location="" tooltip="" display=""/>
    <hyperlink ref="L526" r:id="rId1047" location="" tooltip="" display=""/>
    <hyperlink ref="R526" r:id="rId1048" location="" tooltip="" display=""/>
    <hyperlink ref="L528" r:id="rId1049" location="" tooltip="" display=""/>
    <hyperlink ref="R528" r:id="rId1050" location="" tooltip="" display=""/>
    <hyperlink ref="L529" r:id="rId1051" location="" tooltip="" display=""/>
    <hyperlink ref="R529" r:id="rId1052" location="" tooltip="" display=""/>
    <hyperlink ref="K530" r:id="rId1053" location="" tooltip="" display=""/>
    <hyperlink ref="L530" r:id="rId1054" location="" tooltip="" display=""/>
    <hyperlink ref="Q530" r:id="rId1055" location="" tooltip="" display=""/>
    <hyperlink ref="R530" r:id="rId1056" location="" tooltip="" display=""/>
    <hyperlink ref="L531" r:id="rId1057" location="" tooltip="" display=""/>
    <hyperlink ref="R531" r:id="rId1058" location="" tooltip="" display=""/>
    <hyperlink ref="L532" r:id="rId1059" location="" tooltip="" display=""/>
    <hyperlink ref="R532" r:id="rId1060" location="" tooltip="" display=""/>
    <hyperlink ref="K534" r:id="rId1061" location="" tooltip="" display=""/>
    <hyperlink ref="L534" r:id="rId1062" location="" tooltip="" display=""/>
    <hyperlink ref="Q534" r:id="rId1063" location="" tooltip="" display=""/>
    <hyperlink ref="R534" r:id="rId1064" location="" tooltip="" display=""/>
    <hyperlink ref="L536" r:id="rId1065" location="" tooltip="" display=""/>
    <hyperlink ref="R536" r:id="rId1066" location="" tooltip="" display=""/>
    <hyperlink ref="L537" r:id="rId1067" location="" tooltip="" display=""/>
    <hyperlink ref="R537" r:id="rId1068" location="" tooltip="" display=""/>
    <hyperlink ref="K538" r:id="rId1069" location="" tooltip="" display=""/>
    <hyperlink ref="L538" r:id="rId1070" location="" tooltip="" display=""/>
    <hyperlink ref="Q538" r:id="rId1071" location="" tooltip="" display=""/>
    <hyperlink ref="R538" r:id="rId1072" location="" tooltip="" display=""/>
    <hyperlink ref="L539" r:id="rId1073" location="" tooltip="" display=""/>
    <hyperlink ref="R539" r:id="rId1074" location="" tooltip="" display=""/>
    <hyperlink ref="L540" r:id="rId1075" location="" tooltip="" display=""/>
    <hyperlink ref="R540" r:id="rId1076" location="" tooltip="" display=""/>
    <hyperlink ref="L541" r:id="rId1077" location="" tooltip="" display=""/>
    <hyperlink ref="R541" r:id="rId1078" location="" tooltip="" display=""/>
    <hyperlink ref="L543" r:id="rId1079" location="" tooltip="" display=""/>
    <hyperlink ref="R543" r:id="rId1080" location="" tooltip="" display=""/>
    <hyperlink ref="K544" r:id="rId1081" location="" tooltip="" display=""/>
    <hyperlink ref="L544" r:id="rId1082" location="" tooltip="" display=""/>
    <hyperlink ref="Q544" r:id="rId1083" location="" tooltip="" display=""/>
    <hyperlink ref="R544" r:id="rId1084" location="" tooltip="" display=""/>
    <hyperlink ref="L545" r:id="rId1085" location="" tooltip="" display=""/>
    <hyperlink ref="R545" r:id="rId1086" location="" tooltip="" display=""/>
    <hyperlink ref="L546" r:id="rId1087" location="" tooltip="" display=""/>
    <hyperlink ref="R546" r:id="rId1088" location="" tooltip="" display=""/>
    <hyperlink ref="L548" r:id="rId1089" location="" tooltip="" display=""/>
    <hyperlink ref="R548" r:id="rId1090" location="" tooltip="" display=""/>
    <hyperlink ref="L549" r:id="rId1091" location="" tooltip="" display=""/>
    <hyperlink ref="R549" r:id="rId1092" location="" tooltip="" display=""/>
    <hyperlink ref="L550" r:id="rId1093" location="" tooltip="" display=""/>
    <hyperlink ref="R550" r:id="rId1094" location="" tooltip="" display=""/>
    <hyperlink ref="K551" r:id="rId1095" location="" tooltip="" display=""/>
    <hyperlink ref="L551" r:id="rId1096" location="" tooltip="" display=""/>
    <hyperlink ref="Q551" r:id="rId1097" location="" tooltip="" display=""/>
    <hyperlink ref="R551" r:id="rId1098" location="" tooltip="" display=""/>
    <hyperlink ref="L552" r:id="rId1099" location="" tooltip="" display=""/>
    <hyperlink ref="R552" r:id="rId1100" location="" tooltip="" display=""/>
    <hyperlink ref="L553" r:id="rId1101" location="" tooltip="" display=""/>
    <hyperlink ref="R553" r:id="rId1102" location="" tooltip="" display=""/>
    <hyperlink ref="L554" r:id="rId1103" location="" tooltip="" display=""/>
    <hyperlink ref="R554" r:id="rId1104" location="" tooltip="" display=""/>
    <hyperlink ref="L555" r:id="rId1105" location="" tooltip="" display=""/>
    <hyperlink ref="R555" r:id="rId1106" location="" tooltip="" display=""/>
    <hyperlink ref="K557" r:id="rId1107" location="" tooltip="" display=""/>
    <hyperlink ref="L557" r:id="rId1108" location="" tooltip="" display=""/>
    <hyperlink ref="Q557" r:id="rId1109" location="" tooltip="" display=""/>
    <hyperlink ref="R557" r:id="rId1110" location="" tooltip="" display=""/>
    <hyperlink ref="K559" r:id="rId1111" location="" tooltip="" display=""/>
    <hyperlink ref="L559" r:id="rId1112" location="" tooltip="" display=""/>
    <hyperlink ref="Q559" r:id="rId1113" location="" tooltip="" display=""/>
    <hyperlink ref="R559" r:id="rId1114" location="" tooltip="" display=""/>
    <hyperlink ref="L560" r:id="rId1115" location="" tooltip="" display=""/>
    <hyperlink ref="R560" r:id="rId1116" location="" tooltip="" display=""/>
    <hyperlink ref="K562" r:id="rId1117" location="" tooltip="" display=""/>
    <hyperlink ref="L562" r:id="rId1118" location="" tooltip="" display=""/>
    <hyperlink ref="Q562" r:id="rId1119" location="" tooltip="" display=""/>
    <hyperlink ref="R562" r:id="rId1120" location="" tooltip="" display=""/>
    <hyperlink ref="L563" r:id="rId1121" location="" tooltip="" display=""/>
    <hyperlink ref="R563" r:id="rId1122" location="" tooltip="" display=""/>
    <hyperlink ref="L565" r:id="rId1123" location="" tooltip="" display=""/>
    <hyperlink ref="R565" r:id="rId1124" location="" tooltip="" display=""/>
    <hyperlink ref="K566" r:id="rId1125" location="" tooltip="" display=""/>
    <hyperlink ref="L566" r:id="rId1126" location="" tooltip="" display=""/>
    <hyperlink ref="Q566" r:id="rId1127" location="" tooltip="" display=""/>
    <hyperlink ref="R566" r:id="rId1128" location="" tooltip="" display=""/>
    <hyperlink ref="L567" r:id="rId1129" location="" tooltip="" display=""/>
    <hyperlink ref="R567" r:id="rId1130" location="" tooltip="" display=""/>
    <hyperlink ref="K569" r:id="rId1131" location="" tooltip="" display=""/>
    <hyperlink ref="L569" r:id="rId1132" location="" tooltip="" display=""/>
    <hyperlink ref="Q569" r:id="rId1133" location="" tooltip="" display=""/>
    <hyperlink ref="R569" r:id="rId1134" location="" tooltip="" display=""/>
    <hyperlink ref="L571" r:id="rId1135" location="" tooltip="" display=""/>
    <hyperlink ref="R571" r:id="rId1136" location="" tooltip="" display=""/>
    <hyperlink ref="L572" r:id="rId1137" location="" tooltip="" display=""/>
    <hyperlink ref="R572" r:id="rId1138" location="" tooltip="" display=""/>
    <hyperlink ref="L573" r:id="rId1139" location="" tooltip="" display=""/>
    <hyperlink ref="R573" r:id="rId1140" location="" tooltip="" display=""/>
    <hyperlink ref="K574" r:id="rId1141" location="" tooltip="" display=""/>
    <hyperlink ref="L574" r:id="rId1142" location="" tooltip="" display=""/>
    <hyperlink ref="Q574" r:id="rId1143" location="" tooltip="" display=""/>
    <hyperlink ref="R574" r:id="rId1144" location="" tooltip="" display=""/>
    <hyperlink ref="L575" r:id="rId1145" location="" tooltip="" display=""/>
    <hyperlink ref="R575" r:id="rId1146" location="" tooltip="" display=""/>
    <hyperlink ref="L576" r:id="rId1147" location="" tooltip="" display=""/>
    <hyperlink ref="R576" r:id="rId1148" location="" tooltip="" display=""/>
    <hyperlink ref="L577" r:id="rId1149" location="" tooltip="" display=""/>
    <hyperlink ref="R577" r:id="rId1150" location="" tooltip="" display=""/>
    <hyperlink ref="K579" r:id="rId1151" location="" tooltip="" display=""/>
    <hyperlink ref="L579" r:id="rId1152" location="" tooltip="" display=""/>
    <hyperlink ref="Q579" r:id="rId1153" location="" tooltip="" display=""/>
    <hyperlink ref="R579" r:id="rId1154" location="" tooltip="" display=""/>
    <hyperlink ref="L580" r:id="rId1155" location="" tooltip="" display=""/>
    <hyperlink ref="R580" r:id="rId1156" location="" tooltip="" display=""/>
    <hyperlink ref="K582" r:id="rId1157" location="" tooltip="" display=""/>
    <hyperlink ref="L582" r:id="rId1158" location="" tooltip="" display=""/>
    <hyperlink ref="Q582" r:id="rId1159" location="" tooltip="" display=""/>
    <hyperlink ref="R582" r:id="rId1160" location="" tooltip="" display=""/>
    <hyperlink ref="L583" r:id="rId1161" location="" tooltip="" display=""/>
    <hyperlink ref="R583" r:id="rId1162" location="" tooltip="" display=""/>
    <hyperlink ref="K585" r:id="rId1163" location="" tooltip="" display=""/>
    <hyperlink ref="L585" r:id="rId1164" location="" tooltip="" display=""/>
    <hyperlink ref="Q585" r:id="rId1165" location="" tooltip="" display=""/>
    <hyperlink ref="R585" r:id="rId1166" location="" tooltip="" display=""/>
    <hyperlink ref="K587" r:id="rId1167" location="" tooltip="" display=""/>
    <hyperlink ref="L587" r:id="rId1168" location="" tooltip="" display=""/>
    <hyperlink ref="Q587" r:id="rId1169" location="" tooltip="" display=""/>
    <hyperlink ref="R587" r:id="rId1170" location="" tooltip="" display=""/>
    <hyperlink ref="K589" r:id="rId1171" location="" tooltip="" display=""/>
    <hyperlink ref="L589" r:id="rId1172" location="" tooltip="" display=""/>
    <hyperlink ref="Q589" r:id="rId1173" location="" tooltip="" display=""/>
    <hyperlink ref="R589" r:id="rId1174" location="" tooltip="" display=""/>
    <hyperlink ref="K591" r:id="rId1175" location="" tooltip="" display=""/>
    <hyperlink ref="L591" r:id="rId1176" location="" tooltip="" display=""/>
    <hyperlink ref="Q591" r:id="rId1177" location="" tooltip="" display=""/>
    <hyperlink ref="R591" r:id="rId1178" location="" tooltip="" display=""/>
    <hyperlink ref="K593" r:id="rId1179" location="" tooltip="" display=""/>
    <hyperlink ref="L593" r:id="rId1180" location="" tooltip="" display=""/>
    <hyperlink ref="Q593" r:id="rId1181" location="" tooltip="" display=""/>
    <hyperlink ref="R593" r:id="rId1182" location="" tooltip="" display=""/>
    <hyperlink ref="K595" r:id="rId1183" location="" tooltip="" display=""/>
    <hyperlink ref="L595" r:id="rId1184" location="" tooltip="" display=""/>
    <hyperlink ref="Q595" r:id="rId1185" location="" tooltip="" display=""/>
    <hyperlink ref="R595" r:id="rId1186" location="" tooltip="" display=""/>
    <hyperlink ref="L597" r:id="rId1187" location="" tooltip="" display=""/>
    <hyperlink ref="R597" r:id="rId1188" location="" tooltip="" display=""/>
    <hyperlink ref="L598" r:id="rId1189" location="" tooltip="" display=""/>
    <hyperlink ref="R598" r:id="rId1190" location="" tooltip="" display=""/>
    <hyperlink ref="L599" r:id="rId1191" location="" tooltip="" display=""/>
    <hyperlink ref="R599" r:id="rId1192" location="" tooltip="" display=""/>
    <hyperlink ref="L600" r:id="rId1193" location="" tooltip="" display=""/>
    <hyperlink ref="R600" r:id="rId1194" location="" tooltip="" display=""/>
    <hyperlink ref="L601" r:id="rId1195" location="" tooltip="" display=""/>
    <hyperlink ref="R601" r:id="rId1196" location="" tooltip="" display=""/>
    <hyperlink ref="K602" r:id="rId1197" location="" tooltip="" display=""/>
    <hyperlink ref="L602" r:id="rId1198" location="" tooltip="" display=""/>
    <hyperlink ref="Q602" r:id="rId1199" location="" tooltip="" display=""/>
    <hyperlink ref="R602" r:id="rId1200" location="" tooltip="" display=""/>
    <hyperlink ref="L603" r:id="rId1201" location="" tooltip="" display=""/>
    <hyperlink ref="R603" r:id="rId1202" location="" tooltip="" display=""/>
    <hyperlink ref="L604" r:id="rId1203" location="" tooltip="" display=""/>
    <hyperlink ref="R604" r:id="rId1204" location="" tooltip="" display=""/>
    <hyperlink ref="L605" r:id="rId1205" location="" tooltip="" display=""/>
    <hyperlink ref="R605" r:id="rId1206" location="" tooltip="" display=""/>
    <hyperlink ref="L606" r:id="rId1207" location="" tooltip="" display=""/>
    <hyperlink ref="R606" r:id="rId1208" location="" tooltip="" display=""/>
    <hyperlink ref="L607" r:id="rId1209" location="" tooltip="" display=""/>
    <hyperlink ref="R607" r:id="rId1210" location="" tooltip="" display=""/>
    <hyperlink ref="L608" r:id="rId1211" location="" tooltip="" display=""/>
    <hyperlink ref="R608" r:id="rId1212" location="" tooltip="" display=""/>
    <hyperlink ref="L610" r:id="rId1213" location="" tooltip="" display=""/>
    <hyperlink ref="R610" r:id="rId1214" location="" tooltip="" display=""/>
    <hyperlink ref="K611" r:id="rId1215" location="" tooltip="" display=""/>
    <hyperlink ref="L611" r:id="rId1216" location="" tooltip="" display=""/>
    <hyperlink ref="Q611" r:id="rId1217" location="" tooltip="" display=""/>
    <hyperlink ref="R611" r:id="rId1218" location="" tooltip="" display=""/>
    <hyperlink ref="L612" r:id="rId1219" location="" tooltip="" display=""/>
    <hyperlink ref="R612" r:id="rId1220" location="" tooltip="" display=""/>
    <hyperlink ref="L614" r:id="rId1221" location="" tooltip="" display=""/>
    <hyperlink ref="R614" r:id="rId1222" location="" tooltip="" display=""/>
    <hyperlink ref="L615" r:id="rId1223" location="" tooltip="" display=""/>
    <hyperlink ref="R615" r:id="rId1224" location="" tooltip="" display=""/>
    <hyperlink ref="L616" r:id="rId1225" location="" tooltip="" display=""/>
    <hyperlink ref="R616" r:id="rId1226" location="" tooltip="" display=""/>
    <hyperlink ref="K617" r:id="rId1227" location="" tooltip="" display=""/>
    <hyperlink ref="L617" r:id="rId1228" location="" tooltip="" display=""/>
    <hyperlink ref="Q617" r:id="rId1229" location="" tooltip="" display=""/>
    <hyperlink ref="R617" r:id="rId1230" location="" tooltip="" display=""/>
    <hyperlink ref="L618" r:id="rId1231" location="" tooltip="" display=""/>
    <hyperlink ref="R618" r:id="rId1232" location="" tooltip="" display=""/>
    <hyperlink ref="L619" r:id="rId1233" location="" tooltip="" display=""/>
    <hyperlink ref="R619" r:id="rId1234" location="" tooltip="" display=""/>
    <hyperlink ref="L620" r:id="rId1235" location="" tooltip="" display=""/>
    <hyperlink ref="R620" r:id="rId1236" location="" tooltip="" display=""/>
    <hyperlink ref="L621" r:id="rId1237" location="" tooltip="" display=""/>
    <hyperlink ref="R621" r:id="rId1238" location="" tooltip="" display=""/>
    <hyperlink ref="L623" r:id="rId1239" location="" tooltip="" display=""/>
    <hyperlink ref="R623" r:id="rId1240" location="" tooltip="" display=""/>
    <hyperlink ref="L624" r:id="rId1241" location="" tooltip="" display=""/>
    <hyperlink ref="R624" r:id="rId1242" location="" tooltip="" display=""/>
    <hyperlink ref="L625" r:id="rId1243" location="" tooltip="" display=""/>
    <hyperlink ref="R625" r:id="rId1244" location="" tooltip="" display=""/>
    <hyperlink ref="K626" r:id="rId1245" location="" tooltip="" display=""/>
    <hyperlink ref="L626" r:id="rId1246" location="" tooltip="" display=""/>
    <hyperlink ref="Q626" r:id="rId1247" location="" tooltip="" display=""/>
    <hyperlink ref="R626" r:id="rId1248" location="" tooltip="" display=""/>
    <hyperlink ref="L627" r:id="rId1249" location="" tooltip="" display=""/>
    <hyperlink ref="R627" r:id="rId1250" location="" tooltip="" display=""/>
    <hyperlink ref="L628" r:id="rId1251" location="" tooltip="" display=""/>
    <hyperlink ref="R628" r:id="rId1252" location="" tooltip="" display=""/>
    <hyperlink ref="L629" r:id="rId1253" location="" tooltip="" display=""/>
    <hyperlink ref="R629" r:id="rId1254" location="" tooltip="" display=""/>
    <hyperlink ref="L630" r:id="rId1255" location="" tooltip="" display=""/>
    <hyperlink ref="R630" r:id="rId1256" location="" tooltip="" display=""/>
    <hyperlink ref="L632" r:id="rId1257" location="" tooltip="" display=""/>
    <hyperlink ref="R632" r:id="rId1258" location="" tooltip="" display=""/>
    <hyperlink ref="L633" r:id="rId1259" location="" tooltip="" display=""/>
    <hyperlink ref="R633" r:id="rId1260" location="" tooltip="" display=""/>
    <hyperlink ref="K634" r:id="rId1261" location="" tooltip="" display=""/>
    <hyperlink ref="L634" r:id="rId1262" location="" tooltip="" display=""/>
    <hyperlink ref="Q634" r:id="rId1263" location="" tooltip="" display=""/>
    <hyperlink ref="R634" r:id="rId1264" location="" tooltip="" display=""/>
    <hyperlink ref="L635" r:id="rId1265" location="" tooltip="" display=""/>
    <hyperlink ref="R635" r:id="rId1266" location="" tooltip="" display=""/>
    <hyperlink ref="L636" r:id="rId1267" location="" tooltip="" display=""/>
    <hyperlink ref="R636" r:id="rId1268" location="" tooltip="" display=""/>
    <hyperlink ref="L638" r:id="rId1269" location="" tooltip="" display=""/>
    <hyperlink ref="R638" r:id="rId1270" location="" tooltip="" display=""/>
    <hyperlink ref="K639" r:id="rId1271" location="" tooltip="" display=""/>
    <hyperlink ref="L639" r:id="rId1272" location="" tooltip="" display=""/>
    <hyperlink ref="Q639" r:id="rId1273" location="" tooltip="" display=""/>
    <hyperlink ref="R639" r:id="rId1274" location="" tooltip="" display=""/>
    <hyperlink ref="L640" r:id="rId1275" location="" tooltip="" display=""/>
    <hyperlink ref="R640" r:id="rId1276" location="" tooltip="" display=""/>
    <hyperlink ref="L642" r:id="rId1277" location="" tooltip="" display=""/>
    <hyperlink ref="R642" r:id="rId1278" location="" tooltip="" display=""/>
    <hyperlink ref="L643" r:id="rId1279" location="" tooltip="" display=""/>
    <hyperlink ref="R643" r:id="rId1280" location="" tooltip="" display=""/>
    <hyperlink ref="K644" r:id="rId1281" location="" tooltip="" display=""/>
    <hyperlink ref="L644" r:id="rId1282" location="" tooltip="" display=""/>
    <hyperlink ref="Q644" r:id="rId1283" location="" tooltip="" display=""/>
    <hyperlink ref="R644" r:id="rId1284" location="" tooltip="" display=""/>
    <hyperlink ref="L645" r:id="rId1285" location="" tooltip="" display=""/>
    <hyperlink ref="R645" r:id="rId1286" location="" tooltip="" display=""/>
    <hyperlink ref="L646" r:id="rId1287" location="" tooltip="" display=""/>
    <hyperlink ref="R646" r:id="rId1288" location="" tooltip="" display=""/>
    <hyperlink ref="K648" r:id="rId1289" location="" tooltip="" display=""/>
    <hyperlink ref="L648" r:id="rId1290" location="" tooltip="" display=""/>
    <hyperlink ref="Q648" r:id="rId1291" location="" tooltip="" display=""/>
    <hyperlink ref="R648" r:id="rId1292" location="" tooltip="" display=""/>
    <hyperlink ref="L649" r:id="rId1293" location="" tooltip="" display=""/>
    <hyperlink ref="R649" r:id="rId1294" location="" tooltip="" display=""/>
    <hyperlink ref="L651" r:id="rId1295" location="" tooltip="" display=""/>
    <hyperlink ref="R651" r:id="rId1296" location="" tooltip="" display=""/>
    <hyperlink ref="K652" r:id="rId1297" location="" tooltip="" display=""/>
    <hyperlink ref="L652" r:id="rId1298" location="" tooltip="" display=""/>
    <hyperlink ref="Q652" r:id="rId1299" location="" tooltip="" display=""/>
    <hyperlink ref="R652" r:id="rId1300" location="" tooltip="" display=""/>
    <hyperlink ref="L653" r:id="rId1301" location="" tooltip="" display=""/>
    <hyperlink ref="R653" r:id="rId1302" location="" tooltip="" display=""/>
    <hyperlink ref="K655" r:id="rId1303" location="" tooltip="" display=""/>
    <hyperlink ref="L655" r:id="rId1304" location="" tooltip="" display=""/>
    <hyperlink ref="Q655" r:id="rId1305" location="" tooltip="" display=""/>
    <hyperlink ref="R655" r:id="rId1306" location="" tooltip="" display=""/>
    <hyperlink ref="K657" r:id="rId1307" location="" tooltip="" display=""/>
    <hyperlink ref="L657" r:id="rId1308" location="" tooltip="" display=""/>
    <hyperlink ref="Q657" r:id="rId1309" location="" tooltip="" display=""/>
    <hyperlink ref="R657" r:id="rId1310" location="" tooltip="" display=""/>
    <hyperlink ref="L659" r:id="rId1311" location="" tooltip="" display=""/>
    <hyperlink ref="R659" r:id="rId1312" location="" tooltip="" display=""/>
    <hyperlink ref="K660" r:id="rId1313" location="" tooltip="" display=""/>
    <hyperlink ref="L660" r:id="rId1314" location="" tooltip="" display=""/>
    <hyperlink ref="Q660" r:id="rId1315" location="" tooltip="" display=""/>
    <hyperlink ref="R660" r:id="rId1316" location="" tooltip="" display=""/>
    <hyperlink ref="L661" r:id="rId1317" location="" tooltip="" display=""/>
    <hyperlink ref="R661" r:id="rId1318" location="" tooltip="" display=""/>
    <hyperlink ref="K663" r:id="rId1319" location="" tooltip="" display=""/>
    <hyperlink ref="L663" r:id="rId1320" location="" tooltip="" display=""/>
    <hyperlink ref="Q663" r:id="rId1321" location="" tooltip="" display=""/>
    <hyperlink ref="R663" r:id="rId1322" location="" tooltip="" display=""/>
    <hyperlink ref="L664" r:id="rId1323" location="" tooltip="" display=""/>
    <hyperlink ref="R664" r:id="rId1324" location="" tooltip="" display=""/>
    <hyperlink ref="L666" r:id="rId1325" location="" tooltip="" display=""/>
    <hyperlink ref="R666" r:id="rId1326" location="" tooltip="" display=""/>
    <hyperlink ref="L667" r:id="rId1327" location="" tooltip="" display=""/>
    <hyperlink ref="R667" r:id="rId1328" location="" tooltip="" display=""/>
    <hyperlink ref="K668" r:id="rId1329" location="" tooltip="" display=""/>
    <hyperlink ref="L668" r:id="rId1330" location="" tooltip="" display=""/>
    <hyperlink ref="Q668" r:id="rId1331" location="" tooltip="" display=""/>
    <hyperlink ref="R668" r:id="rId1332" location="" tooltip="" display=""/>
    <hyperlink ref="L669" r:id="rId1333" location="" tooltip="" display=""/>
    <hyperlink ref="R669" r:id="rId1334" location="" tooltip="" display=""/>
    <hyperlink ref="L670" r:id="rId1335" location="" tooltip="" display=""/>
    <hyperlink ref="R670" r:id="rId1336" location="" tooltip="" display=""/>
    <hyperlink ref="L671" r:id="rId1337" location="" tooltip="" display=""/>
    <hyperlink ref="R671" r:id="rId1338" location="" tooltip="" display=""/>
    <hyperlink ref="L673" r:id="rId1339" location="" tooltip="" display=""/>
    <hyperlink ref="R673" r:id="rId1340" location="" tooltip="" display=""/>
    <hyperlink ref="L674" r:id="rId1341" location="" tooltip="" display=""/>
    <hyperlink ref="R674" r:id="rId1342" location="" tooltip="" display=""/>
    <hyperlink ref="L675" r:id="rId1343" location="" tooltip="" display=""/>
    <hyperlink ref="R675" r:id="rId1344" location="" tooltip="" display=""/>
    <hyperlink ref="K676" r:id="rId1345" location="" tooltip="" display=""/>
    <hyperlink ref="L676" r:id="rId1346" location="" tooltip="" display=""/>
    <hyperlink ref="Q676" r:id="rId1347" location="" tooltip="" display=""/>
    <hyperlink ref="R676" r:id="rId1348" location="" tooltip="" display=""/>
    <hyperlink ref="L677" r:id="rId1349" location="" tooltip="" display=""/>
    <hyperlink ref="R677" r:id="rId1350" location="" tooltip="" display=""/>
    <hyperlink ref="L678" r:id="rId1351" location="" tooltip="" display=""/>
    <hyperlink ref="R678" r:id="rId1352" location="" tooltip="" display=""/>
    <hyperlink ref="L679" r:id="rId1353" location="" tooltip="" display=""/>
    <hyperlink ref="R679" r:id="rId1354" location="" tooltip="" display=""/>
    <hyperlink ref="K681" r:id="rId1355" location="" tooltip="" display=""/>
    <hyperlink ref="L681" r:id="rId1356" location="" tooltip="" display=""/>
    <hyperlink ref="Q681" r:id="rId1357" location="" tooltip="" display=""/>
    <hyperlink ref="R681" r:id="rId1358" location="" tooltip="" display=""/>
    <hyperlink ref="L682" r:id="rId1359" location="" tooltip="" display=""/>
    <hyperlink ref="R682" r:id="rId1360" location="" tooltip="" display=""/>
    <hyperlink ref="K684" r:id="rId1361" location="" tooltip="" display=""/>
    <hyperlink ref="L684" r:id="rId1362" location="" tooltip="" display=""/>
    <hyperlink ref="Q684" r:id="rId1363" location="" tooltip="" display=""/>
    <hyperlink ref="R684" r:id="rId1364" location="" tooltip="" display=""/>
    <hyperlink ref="L686" r:id="rId1365" location="" tooltip="" display=""/>
    <hyperlink ref="R686" r:id="rId1366" location="" tooltip="" display=""/>
    <hyperlink ref="K687" r:id="rId1367" location="" tooltip="" display=""/>
    <hyperlink ref="L687" r:id="rId1368" location="" tooltip="" display=""/>
    <hyperlink ref="Q687" r:id="rId1369" location="" tooltip="" display=""/>
    <hyperlink ref="R687" r:id="rId1370" location="" tooltip="" display=""/>
    <hyperlink ref="L688" r:id="rId1371" location="" tooltip="" display=""/>
    <hyperlink ref="R688" r:id="rId1372" location="" tooltip="" display=""/>
    <hyperlink ref="L689" r:id="rId1373" location="" tooltip="" display=""/>
    <hyperlink ref="R689" r:id="rId1374" location="" tooltip="" display=""/>
    <hyperlink ref="L691" r:id="rId1375" location="" tooltip="" display=""/>
    <hyperlink ref="R691" r:id="rId1376" location="" tooltip="" display=""/>
    <hyperlink ref="K692" r:id="rId1377" location="" tooltip="" display=""/>
    <hyperlink ref="L692" r:id="rId1378" location="" tooltip="" display=""/>
    <hyperlink ref="Q692" r:id="rId1379" location="" tooltip="" display=""/>
    <hyperlink ref="R692" r:id="rId1380" location="" tooltip="" display=""/>
    <hyperlink ref="L693" r:id="rId1381" location="" tooltip="" display=""/>
    <hyperlink ref="R693" r:id="rId1382" location="" tooltip="" display=""/>
    <hyperlink ref="L694" r:id="rId1383" location="" tooltip="" display=""/>
    <hyperlink ref="R694" r:id="rId1384" location="" tooltip="" display=""/>
    <hyperlink ref="K696" r:id="rId1385" location="" tooltip="" display=""/>
    <hyperlink ref="L696" r:id="rId1386" location="" tooltip="" display=""/>
    <hyperlink ref="Q696" r:id="rId1387" location="" tooltip="" display=""/>
    <hyperlink ref="R696" r:id="rId1388" location="" tooltip="" display=""/>
    <hyperlink ref="K698" r:id="rId1389" location="" tooltip="" display=""/>
    <hyperlink ref="L698" r:id="rId1390" location="" tooltip="" display=""/>
    <hyperlink ref="Q698" r:id="rId1391" location="" tooltip="" display=""/>
    <hyperlink ref="R698" r:id="rId1392" location="" tooltip="" display=""/>
    <hyperlink ref="L699" r:id="rId1393" location="" tooltip="" display=""/>
    <hyperlink ref="R699" r:id="rId1394" location="" tooltip="" display=""/>
    <hyperlink ref="K701" r:id="rId1395" location="" tooltip="" display=""/>
    <hyperlink ref="L701" r:id="rId1396" location="" tooltip="" display=""/>
    <hyperlink ref="Q701" r:id="rId1397" location="" tooltip="" display=""/>
    <hyperlink ref="R701" r:id="rId1398" location="" tooltip="" display=""/>
    <hyperlink ref="L702" r:id="rId1399" location="" tooltip="" display=""/>
    <hyperlink ref="R702" r:id="rId1400" location="" tooltip="" display=""/>
    <hyperlink ref="L704" r:id="rId1401" location="" tooltip="" display=""/>
    <hyperlink ref="R704" r:id="rId1402" location="" tooltip="" display=""/>
    <hyperlink ref="K705" r:id="rId1403" location="" tooltip="" display=""/>
    <hyperlink ref="L705" r:id="rId1404" location="" tooltip="" display=""/>
    <hyperlink ref="Q705" r:id="rId1405" location="" tooltip="" display=""/>
    <hyperlink ref="R705" r:id="rId1406" location="" tooltip="" display=""/>
    <hyperlink ref="L706" r:id="rId1407" location="" tooltip="" display=""/>
    <hyperlink ref="R706" r:id="rId1408" location="" tooltip="" display=""/>
    <hyperlink ref="L708" r:id="rId1409" location="" tooltip="" display=""/>
    <hyperlink ref="R708" r:id="rId1410" location="" tooltip="" display=""/>
    <hyperlink ref="K709" r:id="rId1411" location="" tooltip="" display=""/>
    <hyperlink ref="L709" r:id="rId1412" location="" tooltip="" display=""/>
    <hyperlink ref="Q709" r:id="rId1413" location="" tooltip="" display=""/>
    <hyperlink ref="R709" r:id="rId1414" location="" tooltip="" display=""/>
    <hyperlink ref="L710" r:id="rId1415" location="" tooltip="" display=""/>
    <hyperlink ref="R710" r:id="rId1416" location="" tooltip="" display=""/>
    <hyperlink ref="L711" r:id="rId1417" location="" tooltip="" display=""/>
    <hyperlink ref="R711" r:id="rId1418" location="" tooltip="" display=""/>
    <hyperlink ref="K713" r:id="rId1419" location="" tooltip="" display=""/>
    <hyperlink ref="L713" r:id="rId1420" location="" tooltip="" display=""/>
    <hyperlink ref="Q713" r:id="rId1421" location="" tooltip="" display=""/>
    <hyperlink ref="R713" r:id="rId1422" location="" tooltip="" display=""/>
    <hyperlink ref="L715" r:id="rId1423" location="" tooltip="" display=""/>
    <hyperlink ref="R715" r:id="rId1424" location="" tooltip="" display=""/>
    <hyperlink ref="K716" r:id="rId1425" location="" tooltip="" display=""/>
    <hyperlink ref="L716" r:id="rId1426" location="" tooltip="" display=""/>
    <hyperlink ref="Q716" r:id="rId1427" location="" tooltip="" display=""/>
    <hyperlink ref="R716" r:id="rId1428" location="" tooltip="" display=""/>
    <hyperlink ref="L717" r:id="rId1429" location="" tooltip="" display=""/>
    <hyperlink ref="R717" r:id="rId1430" location="" tooltip="" display=""/>
    <hyperlink ref="K719" r:id="rId1431" location="" tooltip="" display=""/>
    <hyperlink ref="L719" r:id="rId1432" location="" tooltip="" display=""/>
    <hyperlink ref="Q719" r:id="rId1433" location="" tooltip="" display=""/>
    <hyperlink ref="R719" r:id="rId1434" location="" tooltip="" display=""/>
    <hyperlink ref="L721" r:id="rId1435" location="" tooltip="" display=""/>
    <hyperlink ref="R721" r:id="rId1436" location="" tooltip="" display=""/>
    <hyperlink ref="K722" r:id="rId1437" location="" tooltip="" display=""/>
    <hyperlink ref="L722" r:id="rId1438" location="" tooltip="" display=""/>
    <hyperlink ref="Q722" r:id="rId1439" location="" tooltip="" display=""/>
    <hyperlink ref="R722" r:id="rId1440" location="" tooltip="" display=""/>
    <hyperlink ref="L723" r:id="rId1441" location="" tooltip="" display=""/>
    <hyperlink ref="R723" r:id="rId1442" location="" tooltip="" display=""/>
    <hyperlink ref="L725" r:id="rId1443" location="" tooltip="" display=""/>
    <hyperlink ref="R725" r:id="rId1444" location="" tooltip="" display=""/>
    <hyperlink ref="K726" r:id="rId1445" location="" tooltip="" display=""/>
    <hyperlink ref="L726" r:id="rId1446" location="" tooltip="" display=""/>
    <hyperlink ref="Q726" r:id="rId1447" location="" tooltip="" display=""/>
    <hyperlink ref="R726" r:id="rId1448" location="" tooltip="" display=""/>
    <hyperlink ref="L727" r:id="rId1449" location="" tooltip="" display=""/>
    <hyperlink ref="R727" r:id="rId1450" location="" tooltip="" display=""/>
    <hyperlink ref="L728" r:id="rId1451" location="" tooltip="" display=""/>
    <hyperlink ref="R728" r:id="rId1452" location="" tooltip="" display=""/>
    <hyperlink ref="K730" r:id="rId1453" location="" tooltip="" display=""/>
    <hyperlink ref="L730" r:id="rId1454" location="" tooltip="" display=""/>
    <hyperlink ref="Q730" r:id="rId1455" location="" tooltip="" display=""/>
    <hyperlink ref="R730" r:id="rId1456" location="" tooltip="" display=""/>
    <hyperlink ref="L731" r:id="rId1457" location="" tooltip="" display=""/>
    <hyperlink ref="R731" r:id="rId1458" location="" tooltip="" display=""/>
    <hyperlink ref="L733" r:id="rId1459" location="" tooltip="" display=""/>
    <hyperlink ref="R733" r:id="rId1460" location="" tooltip="" display=""/>
    <hyperlink ref="K734" r:id="rId1461" location="" tooltip="" display=""/>
    <hyperlink ref="L734" r:id="rId1462" location="" tooltip="" display=""/>
    <hyperlink ref="Q734" r:id="rId1463" location="" tooltip="" display=""/>
    <hyperlink ref="R734" r:id="rId1464" location="" tooltip="" display=""/>
    <hyperlink ref="L735" r:id="rId1465" location="" tooltip="" display=""/>
    <hyperlink ref="R735" r:id="rId1466" location="" tooltip="" display=""/>
    <hyperlink ref="L736" r:id="rId1467" location="" tooltip="" display=""/>
    <hyperlink ref="R736" r:id="rId1468" location="" tooltip="" display=""/>
    <hyperlink ref="K738" r:id="rId1469" location="" tooltip="" display=""/>
    <hyperlink ref="L738" r:id="rId1470" location="" tooltip="" display=""/>
    <hyperlink ref="Q738" r:id="rId1471" location="" tooltip="" display=""/>
    <hyperlink ref="R738" r:id="rId1472" location="" tooltip="" display=""/>
    <hyperlink ref="L739" r:id="rId1473" location="" tooltip="" display=""/>
    <hyperlink ref="R739" r:id="rId1474" location="" tooltip="" display=""/>
    <hyperlink ref="K741" r:id="rId1475" location="" tooltip="" display=""/>
    <hyperlink ref="L741" r:id="rId1476" location="" tooltip="" display=""/>
    <hyperlink ref="Q741" r:id="rId1477" location="" tooltip="" display=""/>
    <hyperlink ref="R741" r:id="rId1478" location="" tooltip="" display=""/>
    <hyperlink ref="K743" r:id="rId1479" location="" tooltip="" display=""/>
    <hyperlink ref="L743" r:id="rId1480" location="" tooltip="" display=""/>
    <hyperlink ref="Q743" r:id="rId1481" location="" tooltip="" display=""/>
    <hyperlink ref="R743" r:id="rId1482" location="" tooltip="" display=""/>
    <hyperlink ref="K745" r:id="rId1483" location="" tooltip="" display=""/>
    <hyperlink ref="L745" r:id="rId1484" location="" tooltip="" display=""/>
    <hyperlink ref="Q745" r:id="rId1485" location="" tooltip="" display=""/>
    <hyperlink ref="R745" r:id="rId1486" location="" tooltip="" display=""/>
    <hyperlink ref="L747" r:id="rId1487" location="" tooltip="" display=""/>
    <hyperlink ref="R747" r:id="rId1488" location="" tooltip="" display=""/>
    <hyperlink ref="L748" r:id="rId1489" location="" tooltip="" display=""/>
    <hyperlink ref="R748" r:id="rId1490" location="" tooltip="" display=""/>
    <hyperlink ref="K749" r:id="rId1491" location="" tooltip="" display=""/>
    <hyperlink ref="L749" r:id="rId1492" location="" tooltip="" display=""/>
    <hyperlink ref="Q749" r:id="rId1493" location="" tooltip="" display=""/>
    <hyperlink ref="R749" r:id="rId1494" location="" tooltip="" display=""/>
    <hyperlink ref="L750" r:id="rId1495" location="" tooltip="" display=""/>
    <hyperlink ref="R750" r:id="rId1496" location="" tooltip="" display=""/>
    <hyperlink ref="L751" r:id="rId1497" location="" tooltip="" display=""/>
    <hyperlink ref="R751" r:id="rId1498" location="" tooltip="" display=""/>
    <hyperlink ref="L752" r:id="rId1499" location="" tooltip="" display=""/>
    <hyperlink ref="R752" r:id="rId1500" location="" tooltip="" display=""/>
    <hyperlink ref="K754" r:id="rId1501" location="" tooltip="" display=""/>
    <hyperlink ref="L754" r:id="rId1502" location="" tooltip="" display=""/>
    <hyperlink ref="Q754" r:id="rId1503" location="" tooltip="" display=""/>
    <hyperlink ref="R754" r:id="rId1504" location="" tooltip="" display=""/>
    <hyperlink ref="L755" r:id="rId1505" location="" tooltip="" display=""/>
    <hyperlink ref="R755" r:id="rId1506" location="" tooltip="" display=""/>
    <hyperlink ref="L757" r:id="rId1507" location="" tooltip="" display=""/>
    <hyperlink ref="R757" r:id="rId1508" location="" tooltip="" display=""/>
    <hyperlink ref="L758" r:id="rId1509" location="" tooltip="" display=""/>
    <hyperlink ref="R758" r:id="rId1510" location="" tooltip="" display=""/>
    <hyperlink ref="K759" r:id="rId1511" location="" tooltip="" display=""/>
    <hyperlink ref="L759" r:id="rId1512" location="" tooltip="" display=""/>
    <hyperlink ref="Q759" r:id="rId1513" location="" tooltip="" display=""/>
    <hyperlink ref="R759" r:id="rId1514" location="" tooltip="" display=""/>
    <hyperlink ref="L760" r:id="rId1515" location="" tooltip="" display=""/>
    <hyperlink ref="R760" r:id="rId1516" location="" tooltip="" display=""/>
    <hyperlink ref="L761" r:id="rId1517" location="" tooltip="" display=""/>
    <hyperlink ref="R761" r:id="rId1518" location="" tooltip="" display=""/>
    <hyperlink ref="L762" r:id="rId1519" location="" tooltip="" display=""/>
    <hyperlink ref="R762" r:id="rId1520" location="" tooltip="" display=""/>
    <hyperlink ref="L764" r:id="rId1521" location="" tooltip="" display=""/>
    <hyperlink ref="R764" r:id="rId1522" location="" tooltip="" display=""/>
    <hyperlink ref="K765" r:id="rId1523" location="" tooltip="" display=""/>
    <hyperlink ref="L765" r:id="rId1524" location="" tooltip="" display=""/>
    <hyperlink ref="Q765" r:id="rId1525" location="" tooltip="" display=""/>
    <hyperlink ref="R765" r:id="rId1526" location="" tooltip="" display=""/>
    <hyperlink ref="L766" r:id="rId1527" location="" tooltip="" display=""/>
    <hyperlink ref="R766" r:id="rId1528" location="" tooltip="" display=""/>
    <hyperlink ref="L767" r:id="rId1529" location="" tooltip="" display=""/>
    <hyperlink ref="R767" r:id="rId1530" location="" tooltip="" display=""/>
    <hyperlink ref="L769" r:id="rId1531" location="" tooltip="" display=""/>
    <hyperlink ref="R769" r:id="rId1532" location="" tooltip="" display=""/>
    <hyperlink ref="K770" r:id="rId1533" location="" tooltip="" display=""/>
    <hyperlink ref="L770" r:id="rId1534" location="" tooltip="" display=""/>
    <hyperlink ref="Q770" r:id="rId1535" location="" tooltip="" display=""/>
    <hyperlink ref="R770" r:id="rId1536" location="" tooltip="" display=""/>
    <hyperlink ref="L771" r:id="rId1537" location="" tooltip="" display=""/>
    <hyperlink ref="R771" r:id="rId1538" location="" tooltip="" display=""/>
    <hyperlink ref="L772" r:id="rId1539" location="" tooltip="" display=""/>
    <hyperlink ref="R772" r:id="rId1540" location="" tooltip="" display=""/>
    <hyperlink ref="L774" r:id="rId1541" location="" tooltip="" display=""/>
    <hyperlink ref="R774" r:id="rId1542" location="" tooltip="" display=""/>
    <hyperlink ref="K775" r:id="rId1543" location="" tooltip="" display=""/>
    <hyperlink ref="L775" r:id="rId1544" location="" tooltip="" display=""/>
    <hyperlink ref="Q775" r:id="rId1545" location="" tooltip="" display=""/>
    <hyperlink ref="R775" r:id="rId1546" location="" tooltip="" display=""/>
    <hyperlink ref="L776" r:id="rId1547" location="" tooltip="" display=""/>
    <hyperlink ref="R776" r:id="rId1548" location="" tooltip="" display=""/>
    <hyperlink ref="L777" r:id="rId1549" location="" tooltip="" display=""/>
    <hyperlink ref="R777" r:id="rId1550" location="" tooltip="" display=""/>
    <hyperlink ref="L779" r:id="rId1551" location="" tooltip="" display=""/>
    <hyperlink ref="R779" r:id="rId1552" location="" tooltip="" display=""/>
    <hyperlink ref="L780" r:id="rId1553" location="" tooltip="" display=""/>
    <hyperlink ref="R780" r:id="rId1554" location="" tooltip="" display=""/>
    <hyperlink ref="K781" r:id="rId1555" location="" tooltip="" display=""/>
    <hyperlink ref="L781" r:id="rId1556" location="" tooltip="" display=""/>
    <hyperlink ref="Q781" r:id="rId1557" location="" tooltip="" display=""/>
    <hyperlink ref="R781" r:id="rId1558" location="" tooltip="" display=""/>
    <hyperlink ref="L782" r:id="rId1559" location="" tooltip="" display=""/>
    <hyperlink ref="R782" r:id="rId1560" location="" tooltip="" display=""/>
    <hyperlink ref="L783" r:id="rId1561" location="" tooltip="" display=""/>
    <hyperlink ref="R783" r:id="rId1562" location="" tooltip="" display=""/>
    <hyperlink ref="L784" r:id="rId1563" location="" tooltip="" display=""/>
    <hyperlink ref="R784" r:id="rId1564" location="" tooltip="" display=""/>
    <hyperlink ref="L786" r:id="rId1565" location="" tooltip="" display=""/>
    <hyperlink ref="R786" r:id="rId1566" location="" tooltip="" display=""/>
    <hyperlink ref="L787" r:id="rId1567" location="" tooltip="" display=""/>
    <hyperlink ref="R787" r:id="rId1568" location="" tooltip="" display=""/>
    <hyperlink ref="K788" r:id="rId1569" location="" tooltip="" display=""/>
    <hyperlink ref="L788" r:id="rId1570" location="" tooltip="" display=""/>
    <hyperlink ref="Q788" r:id="rId1571" location="" tooltip="" display=""/>
    <hyperlink ref="R788" r:id="rId1572" location="" tooltip="" display=""/>
    <hyperlink ref="L789" r:id="rId1573" location="" tooltip="" display=""/>
    <hyperlink ref="R789" r:id="rId1574" location="" tooltip="" display=""/>
    <hyperlink ref="L790" r:id="rId1575" location="" tooltip="" display=""/>
    <hyperlink ref="R790" r:id="rId1576" location="" tooltip="" display=""/>
    <hyperlink ref="L791" r:id="rId1577" location="" tooltip="" display=""/>
    <hyperlink ref="R791" r:id="rId1578" location="" tooltip="" display=""/>
    <hyperlink ref="L793" r:id="rId1579" location="" tooltip="" display=""/>
    <hyperlink ref="R793" r:id="rId1580" location="" tooltip="" display=""/>
    <hyperlink ref="K794" r:id="rId1581" location="" tooltip="" display=""/>
    <hyperlink ref="L794" r:id="rId1582" location="" tooltip="" display=""/>
    <hyperlink ref="Q794" r:id="rId1583" location="" tooltip="" display=""/>
    <hyperlink ref="R794" r:id="rId1584" location="" tooltip="" display=""/>
    <hyperlink ref="L795" r:id="rId1585" location="" tooltip="" display=""/>
    <hyperlink ref="R795" r:id="rId1586" location="" tooltip="" display=""/>
    <hyperlink ref="L796" r:id="rId1587" location="" tooltip="" display=""/>
    <hyperlink ref="R796" r:id="rId1588" location="" tooltip="" display=""/>
    <hyperlink ref="K798" r:id="rId1589" location="" tooltip="" display=""/>
    <hyperlink ref="L798" r:id="rId1590" location="" tooltip="" display=""/>
    <hyperlink ref="Q798" r:id="rId1591" location="" tooltip="" display=""/>
    <hyperlink ref="R798" r:id="rId1592" location="" tooltip="" display=""/>
    <hyperlink ref="L799" r:id="rId1593" location="" tooltip="" display=""/>
    <hyperlink ref="R799" r:id="rId1594" location="" tooltip="" display=""/>
    <hyperlink ref="K801" r:id="rId1595" location="" tooltip="" display=""/>
    <hyperlink ref="L801" r:id="rId1596" location="" tooltip="" display=""/>
    <hyperlink ref="Q801" r:id="rId1597" location="" tooltip="" display=""/>
    <hyperlink ref="R801" r:id="rId1598" location="" tooltip="" display=""/>
    <hyperlink ref="K803" r:id="rId1599" location="" tooltip="" display=""/>
    <hyperlink ref="L803" r:id="rId1600" location="" tooltip="" display=""/>
    <hyperlink ref="Q803" r:id="rId1601" location="" tooltip="" display=""/>
    <hyperlink ref="R803" r:id="rId1602" location="" tooltip="" display=""/>
    <hyperlink ref="L804" r:id="rId1603" location="" tooltip="" display=""/>
    <hyperlink ref="R804" r:id="rId1604" location="" tooltip="" display=""/>
    <hyperlink ref="K806" r:id="rId1605" location="" tooltip="" display=""/>
    <hyperlink ref="L806" r:id="rId1606" location="" tooltip="" display=""/>
    <hyperlink ref="Q806" r:id="rId1607" location="" tooltip="" display=""/>
    <hyperlink ref="R806" r:id="rId1608" location="" tooltip="" display=""/>
    <hyperlink ref="K808" r:id="rId1609" location="" tooltip="" display=""/>
    <hyperlink ref="L808" r:id="rId1610" location="" tooltip="" display=""/>
    <hyperlink ref="Q808" r:id="rId1611" location="" tooltip="" display=""/>
    <hyperlink ref="R808" r:id="rId1612" location="" tooltip="" display=""/>
    <hyperlink ref="K810" r:id="rId1613" location="" tooltip="" display=""/>
    <hyperlink ref="L810" r:id="rId1614" location="" tooltip="" display=""/>
    <hyperlink ref="Q810" r:id="rId1615" location="" tooltip="" display=""/>
    <hyperlink ref="R810" r:id="rId1616" location="" tooltip="" display=""/>
    <hyperlink ref="K812" r:id="rId1617" location="" tooltip="" display=""/>
    <hyperlink ref="L812" r:id="rId1618" location="" tooltip="" display=""/>
    <hyperlink ref="Q812" r:id="rId1619" location="" tooltip="" display=""/>
    <hyperlink ref="R812" r:id="rId1620" location="" tooltip="" display=""/>
    <hyperlink ref="L813" r:id="rId1621" location="" tooltip="" display=""/>
    <hyperlink ref="R813" r:id="rId1622" location="" tooltip="" display=""/>
    <hyperlink ref="K815" r:id="rId1623" location="" tooltip="" display=""/>
    <hyperlink ref="L815" r:id="rId1624" location="" tooltip="" display=""/>
    <hyperlink ref="Q815" r:id="rId1625" location="" tooltip="" display=""/>
    <hyperlink ref="R815" r:id="rId1626" location="" tooltip="" display=""/>
    <hyperlink ref="K817" r:id="rId1627" location="" tooltip="" display=""/>
    <hyperlink ref="L817" r:id="rId1628" location="" tooltip="" display=""/>
    <hyperlink ref="Q817" r:id="rId1629" location="" tooltip="" display=""/>
    <hyperlink ref="R817" r:id="rId1630" location="" tooltip="" display=""/>
    <hyperlink ref="L819" r:id="rId1631" location="" tooltip="" display=""/>
    <hyperlink ref="R819" r:id="rId1632" location="" tooltip="" display=""/>
    <hyperlink ref="K820" r:id="rId1633" location="" tooltip="" display=""/>
    <hyperlink ref="L820" r:id="rId1634" location="" tooltip="" display=""/>
    <hyperlink ref="Q820" r:id="rId1635" location="" tooltip="" display=""/>
    <hyperlink ref="R820" r:id="rId1636" location="" tooltip="" display=""/>
    <hyperlink ref="L821" r:id="rId1637" location="" tooltip="" display=""/>
    <hyperlink ref="R821" r:id="rId1638" location="" tooltip="" display=""/>
    <hyperlink ref="K823" r:id="rId1639" location="" tooltip="" display=""/>
    <hyperlink ref="L823" r:id="rId1640" location="" tooltip="" display=""/>
    <hyperlink ref="Q823" r:id="rId1641" location="" tooltip="" display=""/>
    <hyperlink ref="R823" r:id="rId1642" location="" tooltip="" display=""/>
    <hyperlink ref="L825" r:id="rId1643" location="" tooltip="" display=""/>
    <hyperlink ref="R825" r:id="rId1644" location="" tooltip="" display=""/>
    <hyperlink ref="K826" r:id="rId1645" location="" tooltip="" display=""/>
    <hyperlink ref="L826" r:id="rId1646" location="" tooltip="" display=""/>
    <hyperlink ref="Q826" r:id="rId1647" location="" tooltip="" display=""/>
    <hyperlink ref="R826" r:id="rId1648" location="" tooltip="" display=""/>
    <hyperlink ref="L827" r:id="rId1649" location="" tooltip="" display=""/>
    <hyperlink ref="R827" r:id="rId1650" location="" tooltip="" display=""/>
    <hyperlink ref="L828" r:id="rId1651" location="" tooltip="" display=""/>
    <hyperlink ref="R828" r:id="rId1652" location="" tooltip="" display=""/>
    <hyperlink ref="L830" r:id="rId1653" location="" tooltip="" display=""/>
    <hyperlink ref="R830" r:id="rId1654" location="" tooltip="" display=""/>
    <hyperlink ref="K831" r:id="rId1655" location="" tooltip="" display=""/>
    <hyperlink ref="L831" r:id="rId1656" location="" tooltip="" display=""/>
    <hyperlink ref="Q831" r:id="rId1657" location="" tooltip="" display=""/>
    <hyperlink ref="R831" r:id="rId1658" location="" tooltip="" display=""/>
    <hyperlink ref="L832" r:id="rId1659" location="" tooltip="" display=""/>
    <hyperlink ref="R832" r:id="rId1660" location="" tooltip="" display=""/>
    <hyperlink ref="L833" r:id="rId1661" location="" tooltip="" display=""/>
    <hyperlink ref="R833" r:id="rId1662" location="" tooltip="" display=""/>
    <hyperlink ref="L835" r:id="rId1663" location="" tooltip="" display=""/>
    <hyperlink ref="R835" r:id="rId1664" location="" tooltip="" display=""/>
    <hyperlink ref="L836" r:id="rId1665" location="" tooltip="" display=""/>
    <hyperlink ref="R836" r:id="rId1666" location="" tooltip="" display=""/>
    <hyperlink ref="K837" r:id="rId1667" location="" tooltip="" display=""/>
    <hyperlink ref="L837" r:id="rId1668" location="" tooltip="" display=""/>
    <hyperlink ref="Q837" r:id="rId1669" location="" tooltip="" display=""/>
    <hyperlink ref="R837" r:id="rId1670" location="" tooltip="" display=""/>
    <hyperlink ref="L838" r:id="rId1671" location="" tooltip="" display=""/>
    <hyperlink ref="R838" r:id="rId1672" location="" tooltip="" display=""/>
    <hyperlink ref="L839" r:id="rId1673" location="" tooltip="" display=""/>
    <hyperlink ref="R839" r:id="rId1674" location="" tooltip="" display=""/>
    <hyperlink ref="L841" r:id="rId1675" location="" tooltip="" display=""/>
    <hyperlink ref="R841" r:id="rId1676" location="" tooltip="" display=""/>
    <hyperlink ref="L842" r:id="rId1677" location="" tooltip="" display=""/>
    <hyperlink ref="R842" r:id="rId1678" location="" tooltip="" display=""/>
    <hyperlink ref="K843" r:id="rId1679" location="" tooltip="" display=""/>
    <hyperlink ref="L843" r:id="rId1680" location="" tooltip="" display=""/>
    <hyperlink ref="Q843" r:id="rId1681" location="" tooltip="" display=""/>
    <hyperlink ref="R843" r:id="rId1682" location="" tooltip="" display=""/>
    <hyperlink ref="L844" r:id="rId1683" location="" tooltip="" display=""/>
    <hyperlink ref="R844" r:id="rId1684" location="" tooltip="" display=""/>
    <hyperlink ref="L845" r:id="rId1685" location="" tooltip="" display=""/>
    <hyperlink ref="R845" r:id="rId1686" location="" tooltip="" display=""/>
    <hyperlink ref="L846" r:id="rId1687" location="" tooltip="" display=""/>
    <hyperlink ref="R846" r:id="rId1688" location="" tooltip="" display=""/>
    <hyperlink ref="L848" r:id="rId1689" location="" tooltip="" display=""/>
    <hyperlink ref="R848" r:id="rId1690" location="" tooltip="" display=""/>
    <hyperlink ref="K849" r:id="rId1691" location="" tooltip="" display=""/>
    <hyperlink ref="L849" r:id="rId1692" location="" tooltip="" display=""/>
    <hyperlink ref="Q849" r:id="rId1693" location="" tooltip="" display=""/>
    <hyperlink ref="R849" r:id="rId1694" location="" tooltip="" display=""/>
    <hyperlink ref="L850" r:id="rId1695" location="" tooltip="" display=""/>
    <hyperlink ref="R850" r:id="rId1696" location="" tooltip="" display=""/>
    <hyperlink ref="L851" r:id="rId1697" location="" tooltip="" display=""/>
    <hyperlink ref="R851" r:id="rId1698" location="" tooltip="" display=""/>
    <hyperlink ref="K853" r:id="rId1699" location="" tooltip="" display=""/>
    <hyperlink ref="L853" r:id="rId1700" location="" tooltip="" display=""/>
    <hyperlink ref="Q853" r:id="rId1701" location="" tooltip="" display=""/>
    <hyperlink ref="R853" r:id="rId1702" location="" tooltip="" display=""/>
    <hyperlink ref="L855" r:id="rId1703" location="" tooltip="" display=""/>
    <hyperlink ref="R855" r:id="rId1704" location="" tooltip="" display=""/>
    <hyperlink ref="K856" r:id="rId1705" location="" tooltip="" display=""/>
    <hyperlink ref="L856" r:id="rId1706" location="" tooltip="" display=""/>
    <hyperlink ref="Q856" r:id="rId1707" location="" tooltip="" display=""/>
    <hyperlink ref="R856" r:id="rId1708" location="" tooltip="" display=""/>
    <hyperlink ref="L857" r:id="rId1709" location="" tooltip="" display=""/>
    <hyperlink ref="R857" r:id="rId1710" location="" tooltip="" display=""/>
    <hyperlink ref="L858" r:id="rId1711" location="" tooltip="" display=""/>
    <hyperlink ref="R858" r:id="rId1712" location="" tooltip="" display=""/>
    <hyperlink ref="L860" r:id="rId1713" location="" tooltip="" display=""/>
    <hyperlink ref="R860" r:id="rId1714" location="" tooltip="" display=""/>
    <hyperlink ref="L861" r:id="rId1715" location="" tooltip="" display=""/>
    <hyperlink ref="R861" r:id="rId1716" location="" tooltip="" display=""/>
    <hyperlink ref="L862" r:id="rId1717" location="" tooltip="" display=""/>
    <hyperlink ref="R862" r:id="rId1718" location="" tooltip="" display=""/>
    <hyperlink ref="K863" r:id="rId1719" location="" tooltip="" display=""/>
    <hyperlink ref="L863" r:id="rId1720" location="" tooltip="" display=""/>
    <hyperlink ref="Q863" r:id="rId1721" location="" tooltip="" display=""/>
    <hyperlink ref="R863" r:id="rId1722" location="" tooltip="" display=""/>
    <hyperlink ref="L864" r:id="rId1723" location="" tooltip="" display=""/>
    <hyperlink ref="R864" r:id="rId1724" location="" tooltip="" display=""/>
    <hyperlink ref="L865" r:id="rId1725" location="" tooltip="" display=""/>
    <hyperlink ref="R865" r:id="rId1726" location="" tooltip="" display=""/>
    <hyperlink ref="L866" r:id="rId1727" location="" tooltip="" display=""/>
    <hyperlink ref="R866" r:id="rId1728" location="" tooltip="" display=""/>
    <hyperlink ref="K868" r:id="rId1729" location="" tooltip="" display=""/>
    <hyperlink ref="L868" r:id="rId1730" location="" tooltip="" display=""/>
    <hyperlink ref="Q868" r:id="rId1731" location="" tooltip="" display=""/>
    <hyperlink ref="R868" r:id="rId1732" location="" tooltip="" display=""/>
    <hyperlink ref="L869" r:id="rId1733" location="" tooltip="" display=""/>
    <hyperlink ref="R869" r:id="rId1734" location="" tooltip="" display=""/>
    <hyperlink ref="K871" r:id="rId1735" location="" tooltip="" display=""/>
    <hyperlink ref="L871" r:id="rId1736" location="" tooltip="" display=""/>
    <hyperlink ref="Q871" r:id="rId1737" location="" tooltip="" display=""/>
    <hyperlink ref="R871" r:id="rId1738" location="" tooltip="" display=""/>
    <hyperlink ref="K873" r:id="rId1739" location="" tooltip="" display=""/>
    <hyperlink ref="L873" r:id="rId1740" location="" tooltip="" display=""/>
    <hyperlink ref="Q873" r:id="rId1741" location="" tooltip="" display=""/>
    <hyperlink ref="R873" r:id="rId1742" location="" tooltip="" display=""/>
    <hyperlink ref="L874" r:id="rId1743" location="" tooltip="" display=""/>
    <hyperlink ref="R874" r:id="rId1744" location="" tooltip="" display=""/>
    <hyperlink ref="K876" r:id="rId1745" location="" tooltip="" display=""/>
    <hyperlink ref="L876" r:id="rId1746" location="" tooltip="" display=""/>
    <hyperlink ref="Q876" r:id="rId1747" location="" tooltip="" display=""/>
    <hyperlink ref="R876" r:id="rId1748" location="" tooltip="" display=""/>
    <hyperlink ref="L877" r:id="rId1749" location="" tooltip="" display=""/>
    <hyperlink ref="R877" r:id="rId1750" location="" tooltip="" display=""/>
    <hyperlink ref="K879" r:id="rId1751" location="" tooltip="" display=""/>
    <hyperlink ref="L879" r:id="rId1752" location="" tooltip="" display=""/>
    <hyperlink ref="Q879" r:id="rId1753" location="" tooltip="" display=""/>
    <hyperlink ref="R879" r:id="rId1754" location="" tooltip="" display=""/>
    <hyperlink ref="L881" r:id="rId1755" location="" tooltip="" display=""/>
    <hyperlink ref="R881" r:id="rId1756" location="" tooltip="" display=""/>
    <hyperlink ref="K882" r:id="rId1757" location="" tooltip="" display=""/>
    <hyperlink ref="L882" r:id="rId1758" location="" tooltip="" display=""/>
    <hyperlink ref="Q882" r:id="rId1759" location="" tooltip="" display=""/>
    <hyperlink ref="R882" r:id="rId1760" location="" tooltip="" display=""/>
    <hyperlink ref="L883" r:id="rId1761" location="" tooltip="" display=""/>
    <hyperlink ref="R883" r:id="rId1762" location="" tooltip="" display=""/>
    <hyperlink ref="K885" r:id="rId1763" location="" tooltip="" display=""/>
    <hyperlink ref="L885" r:id="rId1764" location="" tooltip="" display=""/>
    <hyperlink ref="Q885" r:id="rId1765" location="" tooltip="" display=""/>
    <hyperlink ref="R885" r:id="rId1766" location="" tooltip="" display=""/>
    <hyperlink ref="L887" r:id="rId1767" location="" tooltip="" display=""/>
    <hyperlink ref="R887" r:id="rId1768" location="" tooltip="" display=""/>
    <hyperlink ref="L888" r:id="rId1769" location="" tooltip="" display=""/>
    <hyperlink ref="R888" r:id="rId1770" location="" tooltip="" display=""/>
    <hyperlink ref="K889" r:id="rId1771" location="" tooltip="" display=""/>
    <hyperlink ref="L889" r:id="rId1772" location="" tooltip="" display=""/>
    <hyperlink ref="Q889" r:id="rId1773" location="" tooltip="" display=""/>
    <hyperlink ref="R889" r:id="rId1774" location="" tooltip="" display=""/>
    <hyperlink ref="L890" r:id="rId1775" location="" tooltip="" display=""/>
    <hyperlink ref="R890" r:id="rId1776" location="" tooltip="" display=""/>
    <hyperlink ref="L891" r:id="rId1777" location="" tooltip="" display=""/>
    <hyperlink ref="R891" r:id="rId1778" location="" tooltip="" display=""/>
    <hyperlink ref="K893" r:id="rId1779" location="" tooltip="" display=""/>
    <hyperlink ref="L893" r:id="rId1780" location="" tooltip="" display=""/>
    <hyperlink ref="Q893" r:id="rId1781" location="" tooltip="" display=""/>
    <hyperlink ref="R893" r:id="rId1782" location="" tooltip="" display=""/>
    <hyperlink ref="K895" r:id="rId1783" location="" tooltip="" display=""/>
    <hyperlink ref="L895" r:id="rId1784" location="" tooltip="" display=""/>
    <hyperlink ref="Q895" r:id="rId1785" location="" tooltip="" display=""/>
    <hyperlink ref="R895" r:id="rId1786" location="" tooltip="" display=""/>
    <hyperlink ref="L896" r:id="rId1787" location="" tooltip="" display=""/>
    <hyperlink ref="R896" r:id="rId1788" location="" tooltip="" display=""/>
    <hyperlink ref="L898" r:id="rId1789" location="" tooltip="" display=""/>
    <hyperlink ref="R898" r:id="rId1790" location="" tooltip="" display=""/>
    <hyperlink ref="K899" r:id="rId1791" location="" tooltip="" display=""/>
    <hyperlink ref="L899" r:id="rId1792" location="" tooltip="" display=""/>
    <hyperlink ref="Q899" r:id="rId1793" location="" tooltip="" display=""/>
    <hyperlink ref="R899" r:id="rId1794" location="" tooltip="" display=""/>
    <hyperlink ref="L900" r:id="rId1795" location="" tooltip="" display=""/>
    <hyperlink ref="R900" r:id="rId1796" location="" tooltip="" display=""/>
    <hyperlink ref="L902" r:id="rId1797" location="" tooltip="" display=""/>
    <hyperlink ref="R902" r:id="rId1798" location="" tooltip="" display=""/>
    <hyperlink ref="K903" r:id="rId1799" location="" tooltip="" display=""/>
    <hyperlink ref="L903" r:id="rId1800" location="" tooltip="" display=""/>
    <hyperlink ref="Q903" r:id="rId1801" location="" tooltip="" display=""/>
    <hyperlink ref="R903" r:id="rId1802" location="" tooltip="" display=""/>
    <hyperlink ref="L904" r:id="rId1803" location="" tooltip="" display=""/>
    <hyperlink ref="R904" r:id="rId1804" location="" tooltip="" display=""/>
    <hyperlink ref="L905" r:id="rId1805" location="" tooltip="" display=""/>
    <hyperlink ref="R905" r:id="rId1806" location="" tooltip="" display=""/>
    <hyperlink ref="K907" r:id="rId1807" location="" tooltip="" display=""/>
    <hyperlink ref="L907" r:id="rId1808" location="" tooltip="" display=""/>
    <hyperlink ref="Q907" r:id="rId1809" location="" tooltip="" display=""/>
    <hyperlink ref="R907" r:id="rId1810" location="" tooltip="" display=""/>
    <hyperlink ref="L908" r:id="rId1811" location="" tooltip="" display=""/>
    <hyperlink ref="R908" r:id="rId1812" location="" tooltip="" display=""/>
    <hyperlink ref="K910" r:id="rId1813" location="" tooltip="" display=""/>
    <hyperlink ref="L910" r:id="rId1814" location="" tooltip="" display=""/>
    <hyperlink ref="Q910" r:id="rId1815" location="" tooltip="" display=""/>
    <hyperlink ref="R910" r:id="rId1816" location="" tooltip="" display=""/>
    <hyperlink ref="K912" r:id="rId1817" location="" tooltip="" display=""/>
    <hyperlink ref="L912" r:id="rId1818" location="" tooltip="" display=""/>
    <hyperlink ref="Q912" r:id="rId1819" location="" tooltip="" display=""/>
    <hyperlink ref="R912" r:id="rId1820" location="" tooltip="" display=""/>
    <hyperlink ref="L914" r:id="rId1821" location="" tooltip="" display=""/>
    <hyperlink ref="R914" r:id="rId1822" location="" tooltip="" display=""/>
    <hyperlink ref="K915" r:id="rId1823" location="" tooltip="" display=""/>
    <hyperlink ref="L915" r:id="rId1824" location="" tooltip="" display=""/>
    <hyperlink ref="Q915" r:id="rId1825" location="" tooltip="" display=""/>
    <hyperlink ref="R915" r:id="rId1826" location="" tooltip="" display=""/>
    <hyperlink ref="L916" r:id="rId1827" location="" tooltip="" display=""/>
    <hyperlink ref="R916" r:id="rId1828" location="" tooltip="" display=""/>
    <hyperlink ref="L917" r:id="rId1829" location="" tooltip="" display=""/>
    <hyperlink ref="R917" r:id="rId1830" location="" tooltip="" display=""/>
    <hyperlink ref="K919" r:id="rId1831" location="" tooltip="" display=""/>
    <hyperlink ref="L919" r:id="rId1832" location="" tooltip="" display=""/>
    <hyperlink ref="Q919" r:id="rId1833" location="" tooltip="" display=""/>
    <hyperlink ref="R919" r:id="rId1834" location="" tooltip="" display=""/>
    <hyperlink ref="L920" r:id="rId1835" location="" tooltip="" display=""/>
    <hyperlink ref="R920" r:id="rId1836" location="" tooltip="" display=""/>
    <hyperlink ref="K922" r:id="rId1837" location="" tooltip="" display=""/>
    <hyperlink ref="L922" r:id="rId1838" location="" tooltip="" display=""/>
    <hyperlink ref="Q922" r:id="rId1839" location="" tooltip="" display=""/>
    <hyperlink ref="R922" r:id="rId1840" location="" tooltip="" display=""/>
    <hyperlink ref="L923" r:id="rId1841" location="" tooltip="" display=""/>
    <hyperlink ref="R923" r:id="rId1842" location="" tooltip="" display=""/>
    <hyperlink ref="L925" r:id="rId1843" location="" tooltip="" display=""/>
    <hyperlink ref="R925" r:id="rId1844" location="" tooltip="" display=""/>
    <hyperlink ref="K926" r:id="rId1845" location="" tooltip="" display=""/>
    <hyperlink ref="L926" r:id="rId1846" location="" tooltip="" display=""/>
    <hyperlink ref="Q926" r:id="rId1847" location="" tooltip="" display=""/>
    <hyperlink ref="R926" r:id="rId1848" location="" tooltip="" display=""/>
    <hyperlink ref="L927" r:id="rId1849" location="" tooltip="" display=""/>
    <hyperlink ref="R927" r:id="rId1850" location="" tooltip="" display=""/>
    <hyperlink ref="K929" r:id="rId1851" location="" tooltip="" display=""/>
    <hyperlink ref="L929" r:id="rId1852" location="" tooltip="" display=""/>
    <hyperlink ref="Q929" r:id="rId1853" location="" tooltip="" display=""/>
    <hyperlink ref="R929" r:id="rId1854" location="" tooltip="" display=""/>
    <hyperlink ref="L930" r:id="rId1855" location="" tooltip="" display=""/>
    <hyperlink ref="R930" r:id="rId1856" location="" tooltip="" display=""/>
    <hyperlink ref="L932" r:id="rId1857" location="" tooltip="" display=""/>
    <hyperlink ref="R932" r:id="rId1858" location="" tooltip="" display=""/>
    <hyperlink ref="L933" r:id="rId1859" location="" tooltip="" display=""/>
    <hyperlink ref="R933" r:id="rId1860" location="" tooltip="" display=""/>
    <hyperlink ref="K934" r:id="rId1861" location="" tooltip="" display=""/>
    <hyperlink ref="L934" r:id="rId1862" location="" tooltip="" display=""/>
    <hyperlink ref="Q934" r:id="rId1863" location="" tooltip="" display=""/>
    <hyperlink ref="R934" r:id="rId1864" location="" tooltip="" display=""/>
    <hyperlink ref="L935" r:id="rId1865" location="" tooltip="" display=""/>
    <hyperlink ref="R935" r:id="rId1866" location="" tooltip="" display=""/>
    <hyperlink ref="L936" r:id="rId1867" location="" tooltip="" display=""/>
    <hyperlink ref="R936" r:id="rId1868" location="" tooltip="" display=""/>
    <hyperlink ref="L937" r:id="rId1869" location="" tooltip="" display=""/>
    <hyperlink ref="R937" r:id="rId1870" location="" tooltip="" display=""/>
    <hyperlink ref="K939" r:id="rId1871" location="" tooltip="" display=""/>
    <hyperlink ref="L939" r:id="rId1872" location="" tooltip="" display=""/>
    <hyperlink ref="Q939" r:id="rId1873" location="" tooltip="" display=""/>
    <hyperlink ref="R939" r:id="rId1874" location="" tooltip="" display=""/>
    <hyperlink ref="K941" r:id="rId1875" location="" tooltip="" display=""/>
    <hyperlink ref="L941" r:id="rId1876" location="" tooltip="" display=""/>
    <hyperlink ref="Q941" r:id="rId1877" location="" tooltip="" display=""/>
    <hyperlink ref="R941" r:id="rId1878" location="" tooltip="" display=""/>
    <hyperlink ref="L943" r:id="rId1879" location="" tooltip="" display=""/>
    <hyperlink ref="R943" r:id="rId1880" location="" tooltip="" display=""/>
    <hyperlink ref="L944" r:id="rId1881" location="" tooltip="" display=""/>
    <hyperlink ref="R944" r:id="rId1882" location="" tooltip="" display=""/>
    <hyperlink ref="K945" r:id="rId1883" location="" tooltip="" display=""/>
    <hyperlink ref="L945" r:id="rId1884" location="" tooltip="" display=""/>
    <hyperlink ref="Q945" r:id="rId1885" location="" tooltip="" display=""/>
    <hyperlink ref="R945" r:id="rId1886" location="" tooltip="" display=""/>
    <hyperlink ref="L946" r:id="rId1887" location="" tooltip="" display=""/>
    <hyperlink ref="R946" r:id="rId1888" location="" tooltip="" display=""/>
    <hyperlink ref="L947" r:id="rId1889" location="" tooltip="" display=""/>
    <hyperlink ref="R947" r:id="rId1890" location="" tooltip="" display=""/>
    <hyperlink ref="K949" r:id="rId1891" location="" tooltip="" display=""/>
    <hyperlink ref="L949" r:id="rId1892" location="" tooltip="" display=""/>
    <hyperlink ref="Q949" r:id="rId1893" location="" tooltip="" display=""/>
    <hyperlink ref="R949" r:id="rId1894" location="" tooltip="" display=""/>
    <hyperlink ref="L951" r:id="rId1895" location="" tooltip="" display=""/>
    <hyperlink ref="R951" r:id="rId1896" location="" tooltip="" display=""/>
    <hyperlink ref="L952" r:id="rId1897" location="" tooltip="" display=""/>
    <hyperlink ref="R952" r:id="rId1898" location="" tooltip="" display=""/>
    <hyperlink ref="K953" r:id="rId1899" location="" tooltip="" display=""/>
    <hyperlink ref="L953" r:id="rId1900" location="" tooltip="" display=""/>
    <hyperlink ref="Q953" r:id="rId1901" location="" tooltip="" display=""/>
    <hyperlink ref="R953" r:id="rId1902" location="" tooltip="" display=""/>
    <hyperlink ref="L954" r:id="rId1903" location="" tooltip="" display=""/>
    <hyperlink ref="R954" r:id="rId1904" location="" tooltip="" display=""/>
    <hyperlink ref="L955" r:id="rId1905" location="" tooltip="" display=""/>
    <hyperlink ref="R955" r:id="rId1906" location="" tooltip="" display=""/>
    <hyperlink ref="L956" r:id="rId1907" location="" tooltip="" display=""/>
    <hyperlink ref="R956" r:id="rId1908" location="" tooltip="" display=""/>
    <hyperlink ref="K958" r:id="rId1909" location="" tooltip="" display=""/>
    <hyperlink ref="L958" r:id="rId1910" location="" tooltip="" display=""/>
    <hyperlink ref="Q958" r:id="rId1911" location="" tooltip="" display=""/>
    <hyperlink ref="R958" r:id="rId1912" location="" tooltip="" display=""/>
    <hyperlink ref="L959" r:id="rId1913" location="" tooltip="" display=""/>
    <hyperlink ref="R959" r:id="rId1914" location="" tooltip="" display=""/>
    <hyperlink ref="L961" r:id="rId1915" location="" tooltip="" display=""/>
    <hyperlink ref="R961" r:id="rId1916" location="" tooltip="" display=""/>
    <hyperlink ref="L962" r:id="rId1917" location="" tooltip="" display=""/>
    <hyperlink ref="R962" r:id="rId1918" location="" tooltip="" display=""/>
    <hyperlink ref="L963" r:id="rId1919" location="" tooltip="" display=""/>
    <hyperlink ref="R963" r:id="rId1920" location="" tooltip="" display=""/>
    <hyperlink ref="K964" r:id="rId1921" location="" tooltip="" display=""/>
    <hyperlink ref="L964" r:id="rId1922" location="" tooltip="" display=""/>
    <hyperlink ref="Q964" r:id="rId1923" location="" tooltip="" display=""/>
    <hyperlink ref="R964" r:id="rId1924" location="" tooltip="" display=""/>
    <hyperlink ref="L965" r:id="rId1925" location="" tooltip="" display=""/>
    <hyperlink ref="R965" r:id="rId1926" location="" tooltip="" display=""/>
    <hyperlink ref="L966" r:id="rId1927" location="" tooltip="" display=""/>
    <hyperlink ref="R966" r:id="rId1928" location="" tooltip="" display=""/>
    <hyperlink ref="L967" r:id="rId1929" location="" tooltip="" display=""/>
    <hyperlink ref="R967" r:id="rId1930" location="" tooltip="" display=""/>
    <hyperlink ref="L969" r:id="rId1931" location="" tooltip="" display=""/>
    <hyperlink ref="R969" r:id="rId1932" location="" tooltip="" display=""/>
    <hyperlink ref="K970" r:id="rId1933" location="" tooltip="" display=""/>
    <hyperlink ref="L970" r:id="rId1934" location="" tooltip="" display=""/>
    <hyperlink ref="Q970" r:id="rId1935" location="" tooltip="" display=""/>
    <hyperlink ref="R970" r:id="rId1936" location="" tooltip="" display=""/>
    <hyperlink ref="L971" r:id="rId1937" location="" tooltip="" display=""/>
    <hyperlink ref="R971" r:id="rId1938" location="" tooltip="" display=""/>
    <hyperlink ref="K973" r:id="rId1939" location="" tooltip="" display=""/>
    <hyperlink ref="L973" r:id="rId1940" location="" tooltip="" display=""/>
    <hyperlink ref="Q973" r:id="rId1941" location="" tooltip="" display=""/>
    <hyperlink ref="R973" r:id="rId1942" location="" tooltip="" display=""/>
    <hyperlink ref="L974" r:id="rId1943" location="" tooltip="" display=""/>
    <hyperlink ref="R974" r:id="rId1944" location="" tooltip="" display=""/>
    <hyperlink ref="K976" r:id="rId1945" location="" tooltip="" display=""/>
    <hyperlink ref="L976" r:id="rId1946" location="" tooltip="" display=""/>
    <hyperlink ref="Q976" r:id="rId1947" location="" tooltip="" display=""/>
    <hyperlink ref="R976" r:id="rId1948" location="" tooltip="" display=""/>
    <hyperlink ref="K978" r:id="rId1949" location="" tooltip="" display=""/>
    <hyperlink ref="L978" r:id="rId1950" location="" tooltip="" display=""/>
    <hyperlink ref="Q978" r:id="rId1951" location="" tooltip="" display=""/>
    <hyperlink ref="R978" r:id="rId1952" location="" tooltip="" display=""/>
    <hyperlink ref="L979" r:id="rId1953" location="" tooltip="" display=""/>
    <hyperlink ref="R979" r:id="rId1954" location="" tooltip="" display=""/>
    <hyperlink ref="K981" r:id="rId1955" location="" tooltip="" display=""/>
    <hyperlink ref="L981" r:id="rId1956" location="" tooltip="" display=""/>
    <hyperlink ref="Q981" r:id="rId1957" location="" tooltip="" display=""/>
    <hyperlink ref="R981" r:id="rId1958" location="" tooltip="" display=""/>
    <hyperlink ref="L982" r:id="rId1959" location="" tooltip="" display=""/>
    <hyperlink ref="R982" r:id="rId1960" location="" tooltip="" display=""/>
    <hyperlink ref="L984" r:id="rId1961" location="" tooltip="" display=""/>
    <hyperlink ref="R984" r:id="rId1962" location="" tooltip="" display=""/>
    <hyperlink ref="K985" r:id="rId1963" location="" tooltip="" display=""/>
    <hyperlink ref="L985" r:id="rId1964" location="" tooltip="" display=""/>
    <hyperlink ref="Q985" r:id="rId1965" location="" tooltip="" display=""/>
    <hyperlink ref="R985" r:id="rId1966" location="" tooltip="" display=""/>
    <hyperlink ref="L986" r:id="rId1967" location="" tooltip="" display=""/>
    <hyperlink ref="R986" r:id="rId1968" location="" tooltip="" display=""/>
    <hyperlink ref="L987" r:id="rId1969" location="" tooltip="" display=""/>
    <hyperlink ref="R987" r:id="rId1970" location="" tooltip="" display=""/>
    <hyperlink ref="L989" r:id="rId1971" location="" tooltip="" display=""/>
    <hyperlink ref="R989" r:id="rId1972" location="" tooltip="" display=""/>
    <hyperlink ref="L990" r:id="rId1973" location="" tooltip="" display=""/>
    <hyperlink ref="R990" r:id="rId1974" location="" tooltip="" display=""/>
    <hyperlink ref="K991" r:id="rId1975" location="" tooltip="" display=""/>
    <hyperlink ref="L991" r:id="rId1976" location="" tooltip="" display=""/>
    <hyperlink ref="Q991" r:id="rId1977" location="" tooltip="" display=""/>
    <hyperlink ref="R991" r:id="rId1978" location="" tooltip="" display=""/>
    <hyperlink ref="L992" r:id="rId1979" location="" tooltip="" display=""/>
    <hyperlink ref="R992" r:id="rId1980" location="" tooltip="" display=""/>
    <hyperlink ref="L993" r:id="rId1981" location="" tooltip="" display=""/>
    <hyperlink ref="R993" r:id="rId1982" location="" tooltip="" display=""/>
    <hyperlink ref="K995" r:id="rId1983" location="" tooltip="" display=""/>
    <hyperlink ref="L995" r:id="rId1984" location="" tooltip="" display=""/>
    <hyperlink ref="Q995" r:id="rId1985" location="" tooltip="" display=""/>
    <hyperlink ref="R995" r:id="rId1986" location="" tooltip="" display=""/>
    <hyperlink ref="L996" r:id="rId1987" location="" tooltip="" display=""/>
    <hyperlink ref="R996" r:id="rId1988" location="" tooltip="" display=""/>
    <hyperlink ref="K998" r:id="rId1989" location="" tooltip="" display=""/>
    <hyperlink ref="L998" r:id="rId1990" location="" tooltip="" display=""/>
    <hyperlink ref="Q998" r:id="rId1991" location="" tooltip="" display=""/>
    <hyperlink ref="R998" r:id="rId1992" location="" tooltip="" display=""/>
    <hyperlink ref="L999" r:id="rId1993" location="" tooltip="" display=""/>
    <hyperlink ref="R999" r:id="rId1994" location="" tooltip="" display=""/>
    <hyperlink ref="K1001" r:id="rId1995" location="" tooltip="" display=""/>
    <hyperlink ref="L1001" r:id="rId1996" location="" tooltip="" display=""/>
    <hyperlink ref="Q1001" r:id="rId1997" location="" tooltip="" display=""/>
    <hyperlink ref="R1001" r:id="rId1998" location="" tooltip="" display=""/>
    <hyperlink ref="L1002" r:id="rId1999" location="" tooltip="" display=""/>
    <hyperlink ref="R1002" r:id="rId2000" location="" tooltip="" display=""/>
    <hyperlink ref="L1004" r:id="rId2001" location="" tooltip="" display=""/>
    <hyperlink ref="R1004" r:id="rId2002" location="" tooltip="" display=""/>
    <hyperlink ref="L1005" r:id="rId2003" location="" tooltip="" display=""/>
    <hyperlink ref="R1005" r:id="rId2004" location="" tooltip="" display=""/>
    <hyperlink ref="L1006" r:id="rId2005" location="" tooltip="" display=""/>
    <hyperlink ref="R1006" r:id="rId2006" location="" tooltip="" display=""/>
    <hyperlink ref="K1007" r:id="rId2007" location="" tooltip="" display=""/>
    <hyperlink ref="L1007" r:id="rId2008" location="" tooltip="" display=""/>
    <hyperlink ref="Q1007" r:id="rId2009" location="" tooltip="" display=""/>
    <hyperlink ref="R1007" r:id="rId2010" location="" tooltip="" display=""/>
    <hyperlink ref="L1008" r:id="rId2011" location="" tooltip="" display=""/>
    <hyperlink ref="R1008" r:id="rId2012" location="" tooltip="" display=""/>
    <hyperlink ref="L1009" r:id="rId2013" location="" tooltip="" display=""/>
    <hyperlink ref="R1009" r:id="rId2014" location="" tooltip="" display=""/>
    <hyperlink ref="L1010" r:id="rId2015" location="" tooltip="" display=""/>
    <hyperlink ref="R1010" r:id="rId2016" location="" tooltip="" display=""/>
    <hyperlink ref="L1012" r:id="rId2017" location="" tooltip="" display=""/>
    <hyperlink ref="R1012" r:id="rId2018" location="" tooltip="" display=""/>
    <hyperlink ref="K1013" r:id="rId2019" location="" tooltip="" display=""/>
    <hyperlink ref="L1013" r:id="rId2020" location="" tooltip="" display=""/>
    <hyperlink ref="Q1013" r:id="rId2021" location="" tooltip="" display=""/>
    <hyperlink ref="R1013" r:id="rId2022" location="" tooltip="" display=""/>
    <hyperlink ref="L1014" r:id="rId2023" location="" tooltip="" display=""/>
    <hyperlink ref="R1014" r:id="rId2024" location="" tooltip="" display=""/>
    <hyperlink ref="L1015" r:id="rId2025" location="" tooltip="" display=""/>
    <hyperlink ref="R1015" r:id="rId2026" location="" tooltip="" display=""/>
    <hyperlink ref="L1017" r:id="rId2027" location="" tooltip="" display=""/>
    <hyperlink ref="R1017" r:id="rId2028" location="" tooltip="" display=""/>
    <hyperlink ref="K1018" r:id="rId2029" location="" tooltip="" display=""/>
    <hyperlink ref="L1018" r:id="rId2030" location="" tooltip="" display=""/>
    <hyperlink ref="Q1018" r:id="rId2031" location="" tooltip="" display=""/>
    <hyperlink ref="R1018" r:id="rId2032" location="" tooltip="" display=""/>
    <hyperlink ref="L1019" r:id="rId2033" location="" tooltip="" display=""/>
    <hyperlink ref="R1019" r:id="rId2034" location="" tooltip="" display=""/>
    <hyperlink ref="L1020" r:id="rId2035" location="" tooltip="" display=""/>
    <hyperlink ref="R1020" r:id="rId2036" location="" tooltip="" display=""/>
    <hyperlink ref="K1022" r:id="rId2037" location="" tooltip="" display=""/>
    <hyperlink ref="L1022" r:id="rId2038" location="" tooltip="" display=""/>
    <hyperlink ref="Q1022" r:id="rId2039" location="" tooltip="" display=""/>
    <hyperlink ref="R1022" r:id="rId2040" location="" tooltip="" display=""/>
    <hyperlink ref="L1023" r:id="rId2041" location="" tooltip="" display=""/>
    <hyperlink ref="R1023" r:id="rId2042" location="" tooltip="" display=""/>
    <hyperlink ref="L1025" r:id="rId2043" location="" tooltip="" display=""/>
    <hyperlink ref="R1025" r:id="rId2044" location="" tooltip="" display=""/>
    <hyperlink ref="K1026" r:id="rId2045" location="" tooltip="" display=""/>
    <hyperlink ref="L1026" r:id="rId2046" location="" tooltip="" display=""/>
    <hyperlink ref="Q1026" r:id="rId2047" location="" tooltip="" display=""/>
    <hyperlink ref="R1026" r:id="rId2048" location="" tooltip="" display=""/>
    <hyperlink ref="L1027" r:id="rId2049" location="" tooltip="" display=""/>
    <hyperlink ref="R1027" r:id="rId2050" location="" tooltip="" display=""/>
    <hyperlink ref="L1028" r:id="rId2051" location="" tooltip="" display=""/>
    <hyperlink ref="R1028" r:id="rId2052" location="" tooltip="" display=""/>
    <hyperlink ref="K1030" r:id="rId2053" location="" tooltip="" display=""/>
    <hyperlink ref="L1030" r:id="rId2054" location="" tooltip="" display=""/>
    <hyperlink ref="Q1030" r:id="rId2055" location="" tooltip="" display=""/>
    <hyperlink ref="R1030" r:id="rId2056" location="" tooltip="" display=""/>
    <hyperlink ref="L1031" r:id="rId2057" location="" tooltip="" display=""/>
    <hyperlink ref="R1031" r:id="rId2058" location="" tooltip="" display=""/>
    <hyperlink ref="K1033" r:id="rId2059" location="" tooltip="" display=""/>
    <hyperlink ref="L1033" r:id="rId2060" location="" tooltip="" display=""/>
    <hyperlink ref="Q1033" r:id="rId2061" location="" tooltip="" display=""/>
    <hyperlink ref="R1033" r:id="rId2062" location="" tooltip="" display=""/>
    <hyperlink ref="L1034" r:id="rId2063" location="" tooltip="" display=""/>
    <hyperlink ref="R1034" r:id="rId2064" location="" tooltip="" display=""/>
    <hyperlink ref="K1036" r:id="rId2065" location="" tooltip="" display=""/>
    <hyperlink ref="L1036" r:id="rId2066" location="" tooltip="" display=""/>
    <hyperlink ref="Q1036" r:id="rId2067" location="" tooltip="" display=""/>
    <hyperlink ref="R1036" r:id="rId2068" location="" tooltip="" display=""/>
    <hyperlink ref="L1037" r:id="rId2069" location="" tooltip="" display=""/>
    <hyperlink ref="R1037" r:id="rId2070" location="" tooltip="" display=""/>
    <hyperlink ref="K1039" r:id="rId2071" location="" tooltip="" display=""/>
    <hyperlink ref="L1039" r:id="rId2072" location="" tooltip="" display=""/>
    <hyperlink ref="Q1039" r:id="rId2073" location="" tooltip="" display=""/>
    <hyperlink ref="R1039" r:id="rId2074" location="" tooltip="" display=""/>
    <hyperlink ref="L1040" r:id="rId2075" location="" tooltip="" display=""/>
    <hyperlink ref="R1040" r:id="rId2076" location="" tooltip="" display=""/>
    <hyperlink ref="K1042" r:id="rId2077" location="" tooltip="" display=""/>
    <hyperlink ref="L1042" r:id="rId2078" location="" tooltip="" display=""/>
    <hyperlink ref="Q1042" r:id="rId2079" location="" tooltip="" display=""/>
    <hyperlink ref="R1042" r:id="rId2080" location="" tooltip="" display=""/>
    <hyperlink ref="K1044" r:id="rId2081" location="" tooltip="" display=""/>
    <hyperlink ref="L1044" r:id="rId2082" location="" tooltip="" display=""/>
    <hyperlink ref="Q1044" r:id="rId2083" location="" tooltip="" display=""/>
    <hyperlink ref="R1044" r:id="rId2084" location="" tooltip="" display=""/>
    <hyperlink ref="L1045" r:id="rId2085" location="" tooltip="" display=""/>
    <hyperlink ref="R1045" r:id="rId2086" location="" tooltip="" display=""/>
    <hyperlink ref="K1047" r:id="rId2087" location="" tooltip="" display=""/>
    <hyperlink ref="L1047" r:id="rId2088" location="" tooltip="" display=""/>
    <hyperlink ref="Q1047" r:id="rId2089" location="" tooltip="" display=""/>
    <hyperlink ref="R1047" r:id="rId2090" location="" tooltip="" display=""/>
    <hyperlink ref="L1048" r:id="rId2091" location="" tooltip="" display=""/>
    <hyperlink ref="R1048" r:id="rId2092" location="" tooltip="" display=""/>
    <hyperlink ref="L1050" r:id="rId2093" location="" tooltip="" display=""/>
    <hyperlink ref="R1050" r:id="rId2094" location="" tooltip="" display=""/>
    <hyperlink ref="L1051" r:id="rId2095" location="" tooltip="" display=""/>
    <hyperlink ref="R1051" r:id="rId2096" location="" tooltip="" display=""/>
    <hyperlink ref="L1052" r:id="rId2097" location="" tooltip="" display=""/>
    <hyperlink ref="R1052" r:id="rId2098" location="" tooltip="" display=""/>
    <hyperlink ref="K1053" r:id="rId2099" location="" tooltip="" display=""/>
    <hyperlink ref="L1053" r:id="rId2100" location="" tooltip="" display=""/>
    <hyperlink ref="Q1053" r:id="rId2101" location="" tooltip="" display=""/>
    <hyperlink ref="R1053" r:id="rId2102" location="" tooltip="" display=""/>
    <hyperlink ref="L1054" r:id="rId2103" location="" tooltip="" display=""/>
    <hyperlink ref="R1054" r:id="rId2104" location="" tooltip="" display=""/>
    <hyperlink ref="L1055" r:id="rId2105" location="" tooltip="" display=""/>
    <hyperlink ref="R1055" r:id="rId2106" location="" tooltip="" display=""/>
    <hyperlink ref="L1056" r:id="rId2107" location="" tooltip="" display=""/>
    <hyperlink ref="R1056" r:id="rId2108" location="" tooltip="" display=""/>
    <hyperlink ref="K1058" r:id="rId2109" location="" tooltip="" display=""/>
    <hyperlink ref="L1058" r:id="rId2110" location="" tooltip="" display=""/>
    <hyperlink ref="Q1058" r:id="rId2111" location="" tooltip="" display=""/>
    <hyperlink ref="R1058" r:id="rId2112" location="" tooltip="" display=""/>
    <hyperlink ref="L1060" r:id="rId2113" location="" tooltip="" display=""/>
    <hyperlink ref="R1060" r:id="rId2114" location="" tooltip="" display=""/>
    <hyperlink ref="L1061" r:id="rId2115" location="" tooltip="" display=""/>
    <hyperlink ref="R1061" r:id="rId2116" location="" tooltip="" display=""/>
    <hyperlink ref="L1062" r:id="rId2117" location="" tooltip="" display=""/>
    <hyperlink ref="R1062" r:id="rId2118" location="" tooltip="" display=""/>
    <hyperlink ref="L1063" r:id="rId2119" location="" tooltip="" display=""/>
    <hyperlink ref="R1063" r:id="rId2120" location="" tooltip="" display=""/>
    <hyperlink ref="K1064" r:id="rId2121" location="" tooltip="" display=""/>
    <hyperlink ref="L1064" r:id="rId2122" location="" tooltip="" display=""/>
    <hyperlink ref="Q1064" r:id="rId2123" location="" tooltip="" display=""/>
    <hyperlink ref="R1064" r:id="rId2124" location="" tooltip="" display=""/>
    <hyperlink ref="L1065" r:id="rId2125" location="" tooltip="" display=""/>
    <hyperlink ref="R1065" r:id="rId2126" location="" tooltip="" display=""/>
    <hyperlink ref="L1066" r:id="rId2127" location="" tooltip="" display=""/>
    <hyperlink ref="R1066" r:id="rId2128" location="" tooltip="" display=""/>
    <hyperlink ref="L1067" r:id="rId2129" location="" tooltip="" display=""/>
    <hyperlink ref="R1067" r:id="rId2130" location="" tooltip="" display=""/>
    <hyperlink ref="L1068" r:id="rId2131" location="" tooltip="" display=""/>
    <hyperlink ref="R1068" r:id="rId2132" location="" tooltip="" display=""/>
    <hyperlink ref="L1070" r:id="rId2133" location="" tooltip="" display=""/>
    <hyperlink ref="R1070" r:id="rId2134" location="" tooltip="" display=""/>
    <hyperlink ref="L1071" r:id="rId2135" location="" tooltip="" display=""/>
    <hyperlink ref="R1071" r:id="rId2136" location="" tooltip="" display=""/>
    <hyperlink ref="K1072" r:id="rId2137" location="" tooltip="" display=""/>
    <hyperlink ref="L1072" r:id="rId2138" location="" tooltip="" display=""/>
    <hyperlink ref="Q1072" r:id="rId2139" location="" tooltip="" display=""/>
    <hyperlink ref="R1072" r:id="rId2140" location="" tooltip="" display=""/>
    <hyperlink ref="L1073" r:id="rId2141" location="" tooltip="" display=""/>
    <hyperlink ref="R1073" r:id="rId2142" location="" tooltip="" display=""/>
    <hyperlink ref="L1074" r:id="rId2143" location="" tooltip="" display=""/>
    <hyperlink ref="R1074" r:id="rId2144" location="" tooltip="" display=""/>
    <hyperlink ref="L1075" r:id="rId2145" location="" tooltip="" display=""/>
    <hyperlink ref="R1075" r:id="rId2146" location="" tooltip="" display=""/>
    <hyperlink ref="K1077" r:id="rId2147" location="" tooltip="" display=""/>
    <hyperlink ref="L1077" r:id="rId2148" location="" tooltip="" display=""/>
    <hyperlink ref="Q1077" r:id="rId2149" location="" tooltip="" display=""/>
    <hyperlink ref="R1077" r:id="rId2150" location="" tooltip="" display=""/>
    <hyperlink ref="K1079" r:id="rId2151" location="" tooltip="" display=""/>
    <hyperlink ref="L1079" r:id="rId2152" location="" tooltip="" display=""/>
    <hyperlink ref="Q1079" r:id="rId2153" location="" tooltip="" display=""/>
    <hyperlink ref="R1079" r:id="rId2154" location="" tooltip="" display=""/>
    <hyperlink ref="L1081" r:id="rId2155" location="" tooltip="" display=""/>
    <hyperlink ref="R1081" r:id="rId2156" location="" tooltip="" display=""/>
    <hyperlink ref="L1082" r:id="rId2157" location="" tooltip="" display=""/>
    <hyperlink ref="R1082" r:id="rId2158" location="" tooltip="" display=""/>
    <hyperlink ref="K1083" r:id="rId2159" location="" tooltip="" display=""/>
    <hyperlink ref="L1083" r:id="rId2160" location="" tooltip="" display=""/>
    <hyperlink ref="Q1083" r:id="rId2161" location="" tooltip="" display=""/>
    <hyperlink ref="R1083" r:id="rId2162" location="" tooltip="" display=""/>
    <hyperlink ref="L1084" r:id="rId2163" location="" tooltip="" display=""/>
    <hyperlink ref="R1084" r:id="rId2164" location="" tooltip="" display=""/>
    <hyperlink ref="L1085" r:id="rId2165" location="" tooltip="" display=""/>
    <hyperlink ref="R1085" r:id="rId2166" location="" tooltip="" display=""/>
    <hyperlink ref="L1086" r:id="rId2167" location="" tooltip="" display=""/>
    <hyperlink ref="R1086" r:id="rId2168" location="" tooltip="" display=""/>
    <hyperlink ref="L1088" r:id="rId2169" location="" tooltip="" display=""/>
    <hyperlink ref="R1088" r:id="rId2170" location="" tooltip="" display=""/>
    <hyperlink ref="K1089" r:id="rId2171" location="" tooltip="" display=""/>
    <hyperlink ref="L1089" r:id="rId2172" location="" tooltip="" display=""/>
    <hyperlink ref="Q1089" r:id="rId2173" location="" tooltip="" display=""/>
    <hyperlink ref="R1089" r:id="rId2174" location="" tooltip="" display=""/>
    <hyperlink ref="L1090" r:id="rId2175" location="" tooltip="" display=""/>
    <hyperlink ref="R1090" r:id="rId2176" location="" tooltip="" display=""/>
    <hyperlink ref="L1092" r:id="rId2177" location="" tooltip="" display=""/>
    <hyperlink ref="R1092" r:id="rId2178" location="" tooltip="" display=""/>
    <hyperlink ref="K1093" r:id="rId2179" location="" tooltip="" display=""/>
    <hyperlink ref="L1093" r:id="rId2180" location="" tooltip="" display=""/>
    <hyperlink ref="Q1093" r:id="rId2181" location="" tooltip="" display=""/>
    <hyperlink ref="R1093" r:id="rId2182" location="" tooltip="" display=""/>
    <hyperlink ref="L1094" r:id="rId2183" location="" tooltip="" display=""/>
    <hyperlink ref="R1094" r:id="rId2184" location="" tooltip="" display=""/>
    <hyperlink ref="L1095" r:id="rId2185" location="" tooltip="" display=""/>
    <hyperlink ref="R1095" r:id="rId2186" location="" tooltip="" display=""/>
    <hyperlink ref="L1097" r:id="rId2187" location="" tooltip="" display=""/>
    <hyperlink ref="R1097" r:id="rId2188" location="" tooltip="" display=""/>
    <hyperlink ref="K1098" r:id="rId2189" location="" tooltip="" display=""/>
    <hyperlink ref="L1098" r:id="rId2190" location="" tooltip="" display=""/>
    <hyperlink ref="Q1098" r:id="rId2191" location="" tooltip="" display=""/>
    <hyperlink ref="R1098" r:id="rId2192" location="" tooltip="" display=""/>
    <hyperlink ref="L1099" r:id="rId2193" location="" tooltip="" display=""/>
    <hyperlink ref="R1099" r:id="rId2194" location="" tooltip="" display=""/>
    <hyperlink ref="L1100" r:id="rId2195" location="" tooltip="" display=""/>
    <hyperlink ref="R1100" r:id="rId2196" location="" tooltip="" display=""/>
    <hyperlink ref="L1102" r:id="rId2197" location="" tooltip="" display=""/>
    <hyperlink ref="R1102" r:id="rId2198" location="" tooltip="" display=""/>
    <hyperlink ref="L1103" r:id="rId2199" location="" tooltip="" display=""/>
    <hyperlink ref="R1103" r:id="rId2200" location="" tooltip="" display=""/>
    <hyperlink ref="K1104" r:id="rId2201" location="" tooltip="" display=""/>
    <hyperlink ref="L1104" r:id="rId2202" location="" tooltip="" display=""/>
    <hyperlink ref="Q1104" r:id="rId2203" location="" tooltip="" display=""/>
    <hyperlink ref="R1104" r:id="rId2204" location="" tooltip="" display=""/>
    <hyperlink ref="L1105" r:id="rId2205" location="" tooltip="" display=""/>
    <hyperlink ref="R1105" r:id="rId2206" location="" tooltip="" display=""/>
    <hyperlink ref="L1106" r:id="rId2207" location="" tooltip="" display=""/>
    <hyperlink ref="R1106" r:id="rId2208" location="" tooltip="" display=""/>
    <hyperlink ref="L1108" r:id="rId2209" location="" tooltip="" display=""/>
    <hyperlink ref="R1108" r:id="rId2210" location="" tooltip="" display=""/>
    <hyperlink ref="K1109" r:id="rId2211" location="" tooltip="" display=""/>
    <hyperlink ref="L1109" r:id="rId2212" location="" tooltip="" display=""/>
    <hyperlink ref="Q1109" r:id="rId2213" location="" tooltip="" display=""/>
    <hyperlink ref="R1109" r:id="rId2214" location="" tooltip="" display=""/>
    <hyperlink ref="L1110" r:id="rId2215" location="" tooltip="" display=""/>
    <hyperlink ref="R1110" r:id="rId2216" location="" tooltip="" display=""/>
    <hyperlink ref="L1112" r:id="rId2217" location="" tooltip="" display=""/>
    <hyperlink ref="R1112" r:id="rId2218" location="" tooltip="" display=""/>
    <hyperlink ref="L1113" r:id="rId2219" location="" tooltip="" display=""/>
    <hyperlink ref="R1113" r:id="rId2220" location="" tooltip="" display=""/>
    <hyperlink ref="K1114" r:id="rId2221" location="" tooltip="" display=""/>
    <hyperlink ref="L1114" r:id="rId2222" location="" tooltip="" display=""/>
    <hyperlink ref="Q1114" r:id="rId2223" location="" tooltip="" display=""/>
    <hyperlink ref="R1114" r:id="rId2224" location="" tooltip="" display=""/>
    <hyperlink ref="L1115" r:id="rId2225" location="" tooltip="" display=""/>
    <hyperlink ref="R1115" r:id="rId2226" location="" tooltip="" display=""/>
    <hyperlink ref="L1116" r:id="rId2227" location="" tooltip="" display=""/>
    <hyperlink ref="R1116" r:id="rId2228" location="" tooltip="" display=""/>
    <hyperlink ref="L1117" r:id="rId2229" location="" tooltip="" display=""/>
    <hyperlink ref="R1117" r:id="rId2230" location="" tooltip="" display=""/>
    <hyperlink ref="K1119" r:id="rId2231" location="" tooltip="" display=""/>
    <hyperlink ref="L1119" r:id="rId2232" location="" tooltip="" display=""/>
    <hyperlink ref="Q1119" r:id="rId2233" location="" tooltip="" display=""/>
    <hyperlink ref="R1119" r:id="rId2234" location="" tooltip="" display=""/>
    <hyperlink ref="K1121" r:id="rId2235" location="" tooltip="" display=""/>
    <hyperlink ref="L1121" r:id="rId2236" location="" tooltip="" display=""/>
    <hyperlink ref="Q1121" r:id="rId2237" location="" tooltip="" display=""/>
    <hyperlink ref="R1121" r:id="rId2238" location="" tooltip="" display=""/>
    <hyperlink ref="L1122" r:id="rId2239" location="" tooltip="" display=""/>
    <hyperlink ref="R1122" r:id="rId2240" location="" tooltip="" display=""/>
    <hyperlink ref="L1124" r:id="rId2241" location="" tooltip="" display=""/>
    <hyperlink ref="R1124" r:id="rId2242" location="" tooltip="" display=""/>
    <hyperlink ref="L1125" r:id="rId2243" location="" tooltip="" display=""/>
    <hyperlink ref="R1125" r:id="rId2244" location="" tooltip="" display=""/>
    <hyperlink ref="L1126" r:id="rId2245" location="" tooltip="" display=""/>
    <hyperlink ref="R1126" r:id="rId2246" location="" tooltip="" display=""/>
    <hyperlink ref="K1127" r:id="rId2247" location="" tooltip="" display=""/>
    <hyperlink ref="L1127" r:id="rId2248" location="" tooltip="" display=""/>
    <hyperlink ref="Q1127" r:id="rId2249" location="" tooltip="" display=""/>
    <hyperlink ref="R1127" r:id="rId2250" location="" tooltip="" display=""/>
    <hyperlink ref="L1128" r:id="rId2251" location="" tooltip="" display=""/>
    <hyperlink ref="R1128" r:id="rId2252" location="" tooltip="" display=""/>
    <hyperlink ref="L1129" r:id="rId2253" location="" tooltip="" display=""/>
    <hyperlink ref="R1129" r:id="rId2254" location="" tooltip="" display=""/>
    <hyperlink ref="L1130" r:id="rId2255" location="" tooltip="" display=""/>
    <hyperlink ref="R1130" r:id="rId2256" location="" tooltip="" display=""/>
    <hyperlink ref="L1131" r:id="rId2257" location="" tooltip="" display=""/>
    <hyperlink ref="R1131" r:id="rId2258" location="" tooltip="" display=""/>
    <hyperlink ref="K1133" r:id="rId2259" location="" tooltip="" display=""/>
    <hyperlink ref="L1133" r:id="rId2260" location="" tooltip="" display=""/>
    <hyperlink ref="Q1133" r:id="rId2261" location="" tooltip="" display=""/>
    <hyperlink ref="R1133" r:id="rId2262" location="" tooltip="" display=""/>
    <hyperlink ref="K1135" r:id="rId2263" location="" tooltip="" display=""/>
    <hyperlink ref="L1135" r:id="rId2264" location="" tooltip="" display=""/>
    <hyperlink ref="Q1135" r:id="rId2265" location="" tooltip="" display=""/>
    <hyperlink ref="R1135" r:id="rId2266" location="" tooltip="" display=""/>
    <hyperlink ref="L1136" r:id="rId2267" location="" tooltip="" display=""/>
    <hyperlink ref="R1136" r:id="rId2268" location="" tooltip="" display=""/>
    <hyperlink ref="L1138" r:id="rId2269" location="" tooltip="" display=""/>
    <hyperlink ref="R1138" r:id="rId2270" location="" tooltip="" display=""/>
    <hyperlink ref="L1139" r:id="rId2271" location="" tooltip="" display=""/>
    <hyperlink ref="R1139" r:id="rId2272" location="" tooltip="" display=""/>
    <hyperlink ref="L1140" r:id="rId2273" location="" tooltip="" display=""/>
    <hyperlink ref="R1140" r:id="rId2274" location="" tooltip="" display=""/>
    <hyperlink ref="K1141" r:id="rId2275" location="" tooltip="" display=""/>
    <hyperlink ref="L1141" r:id="rId2276" location="" tooltip="" display=""/>
    <hyperlink ref="Q1141" r:id="rId2277" location="" tooltip="" display=""/>
    <hyperlink ref="R1141" r:id="rId2278" location="" tooltip="" display=""/>
    <hyperlink ref="L1142" r:id="rId2279" location="" tooltip="" display=""/>
    <hyperlink ref="R1142" r:id="rId2280" location="" tooltip="" display=""/>
    <hyperlink ref="L1143" r:id="rId2281" location="" tooltip="" display=""/>
    <hyperlink ref="R1143" r:id="rId2282" location="" tooltip="" display=""/>
    <hyperlink ref="L1144" r:id="rId2283" location="" tooltip="" display=""/>
    <hyperlink ref="R1144" r:id="rId2284" location="" tooltip="" display=""/>
    <hyperlink ref="L1145" r:id="rId2285" location="" tooltip="" display=""/>
    <hyperlink ref="R1145" r:id="rId2286" location="" tooltip="" display=""/>
    <hyperlink ref="K1147" r:id="rId2287" location="" tooltip="" display=""/>
    <hyperlink ref="L1147" r:id="rId2288" location="" tooltip="" display=""/>
    <hyperlink ref="Q1147" r:id="rId2289" location="" tooltip="" display=""/>
    <hyperlink ref="R1147" r:id="rId2290" location="" tooltip="" display=""/>
    <hyperlink ref="L1148" r:id="rId2291" location="" tooltip="" display=""/>
    <hyperlink ref="R1148" r:id="rId2292" location="" tooltip="" display=""/>
    <hyperlink ref="L1150" r:id="rId2293" location="" tooltip="" display=""/>
    <hyperlink ref="R1150" r:id="rId2294" location="" tooltip="" display=""/>
    <hyperlink ref="K1151" r:id="rId2295" location="" tooltip="" display=""/>
    <hyperlink ref="L1151" r:id="rId2296" location="" tooltip="" display=""/>
    <hyperlink ref="Q1151" r:id="rId2297" location="" tooltip="" display=""/>
    <hyperlink ref="R1151" r:id="rId2298" location="" tooltip="" display=""/>
    <hyperlink ref="L1152" r:id="rId2299" location="" tooltip="" display=""/>
    <hyperlink ref="R1152" r:id="rId2300" location="" tooltip="" display=""/>
    <hyperlink ref="L1153" r:id="rId2301" location="" tooltip="" display=""/>
    <hyperlink ref="R1153" r:id="rId2302" location="" tooltip="" display=""/>
    <hyperlink ref="L1155" r:id="rId2303" location="" tooltip="" display=""/>
    <hyperlink ref="R1155" r:id="rId2304" location="" tooltip="" display=""/>
    <hyperlink ref="L1156" r:id="rId2305" location="" tooltip="" display=""/>
    <hyperlink ref="R1156" r:id="rId2306" location="" tooltip="" display=""/>
    <hyperlink ref="K1157" r:id="rId2307" location="" tooltip="" display=""/>
    <hyperlink ref="L1157" r:id="rId2308" location="" tooltip="" display=""/>
    <hyperlink ref="Q1157" r:id="rId2309" location="" tooltip="" display=""/>
    <hyperlink ref="R1157" r:id="rId2310" location="" tooltip="" display=""/>
    <hyperlink ref="L1158" r:id="rId2311" location="" tooltip="" display=""/>
    <hyperlink ref="R1158" r:id="rId2312" location="" tooltip="" display=""/>
    <hyperlink ref="L1159" r:id="rId2313" location="" tooltip="" display=""/>
    <hyperlink ref="R1159" r:id="rId2314" location="" tooltip="" display=""/>
    <hyperlink ref="L1160" r:id="rId2315" location="" tooltip="" display=""/>
    <hyperlink ref="R1160" r:id="rId2316" location="" tooltip="" display=""/>
    <hyperlink ref="L1162" r:id="rId2317" location="" tooltip="" display=""/>
    <hyperlink ref="R1162" r:id="rId2318" location="" tooltip="" display=""/>
    <hyperlink ref="K1163" r:id="rId2319" location="" tooltip="" display=""/>
    <hyperlink ref="L1163" r:id="rId2320" location="" tooltip="" display=""/>
    <hyperlink ref="Q1163" r:id="rId2321" location="" tooltip="" display=""/>
    <hyperlink ref="R1163" r:id="rId2322" location="" tooltip="" display=""/>
    <hyperlink ref="L1164" r:id="rId2323" location="" tooltip="" display=""/>
    <hyperlink ref="R1164" r:id="rId2324" location="" tooltip="" display=""/>
    <hyperlink ref="L1165" r:id="rId2325" location="" tooltip="" display=""/>
    <hyperlink ref="R1165" r:id="rId2326" location="" tooltip="" display=""/>
    <hyperlink ref="K1167" r:id="rId2327" location="" tooltip="" display=""/>
    <hyperlink ref="L1167" r:id="rId2328" location="" tooltip="" display=""/>
    <hyperlink ref="Q1167" r:id="rId2329" location="" tooltip="" display=""/>
    <hyperlink ref="R1167" r:id="rId2330" location="" tooltip="" display=""/>
    <hyperlink ref="L1169" r:id="rId2331" location="" tooltip="" display=""/>
    <hyperlink ref="R1169" r:id="rId2332" location="" tooltip="" display=""/>
    <hyperlink ref="L1170" r:id="rId2333" location="" tooltip="" display=""/>
    <hyperlink ref="R1170" r:id="rId2334" location="" tooltip="" display=""/>
    <hyperlink ref="K1171" r:id="rId2335" location="" tooltip="" display=""/>
    <hyperlink ref="L1171" r:id="rId2336" location="" tooltip="" display=""/>
    <hyperlink ref="Q1171" r:id="rId2337" location="" tooltip="" display=""/>
    <hyperlink ref="R1171" r:id="rId2338" location="" tooltip="" display=""/>
    <hyperlink ref="L1172" r:id="rId2339" location="" tooltip="" display=""/>
    <hyperlink ref="R1172" r:id="rId2340" location="" tooltip="" display=""/>
    <hyperlink ref="L1173" r:id="rId2341" location="" tooltip="" display=""/>
    <hyperlink ref="R1173" r:id="rId2342" location="" tooltip="" display=""/>
    <hyperlink ref="L1175" r:id="rId2343" location="" tooltip="" display=""/>
    <hyperlink ref="R1175" r:id="rId2344" location="" tooltip="" display=""/>
    <hyperlink ref="K1176" r:id="rId2345" location="" tooltip="" display=""/>
    <hyperlink ref="L1176" r:id="rId2346" location="" tooltip="" display=""/>
    <hyperlink ref="Q1176" r:id="rId2347" location="" tooltip="" display=""/>
    <hyperlink ref="R1176" r:id="rId2348" location="" tooltip="" display=""/>
    <hyperlink ref="L1177" r:id="rId2349" location="" tooltip="" display=""/>
    <hyperlink ref="R1177" r:id="rId2350" location="" tooltip="" display=""/>
    <hyperlink ref="L1179" r:id="rId2351" location="" tooltip="" display=""/>
    <hyperlink ref="R1179" r:id="rId2352" location="" tooltip="" display=""/>
    <hyperlink ref="K1180" r:id="rId2353" location="" tooltip="" display=""/>
    <hyperlink ref="L1180" r:id="rId2354" location="" tooltip="" display=""/>
    <hyperlink ref="Q1180" r:id="rId2355" location="" tooltip="" display=""/>
    <hyperlink ref="R1180" r:id="rId2356" location="" tooltip="" display=""/>
    <hyperlink ref="L1181" r:id="rId2357" location="" tooltip="" display=""/>
    <hyperlink ref="R1181" r:id="rId2358" location="" tooltip="" display=""/>
    <hyperlink ref="K1183" r:id="rId2359" location="" tooltip="" display=""/>
    <hyperlink ref="L1183" r:id="rId2360" location="" tooltip="" display=""/>
    <hyperlink ref="Q1183" r:id="rId2361" location="" tooltip="" display=""/>
    <hyperlink ref="R1183" r:id="rId2362" location="" tooltip="" display=""/>
    <hyperlink ref="K1185" r:id="rId2363" location="" tooltip="" display=""/>
    <hyperlink ref="L1185" r:id="rId2364" location="" tooltip="" display=""/>
    <hyperlink ref="Q1185" r:id="rId2365" location="" tooltip="" display=""/>
    <hyperlink ref="R1185" r:id="rId2366" location="" tooltip="" display=""/>
    <hyperlink ref="L1186" r:id="rId2367" location="" tooltip="" display=""/>
    <hyperlink ref="R1186" r:id="rId2368" location="" tooltip="" display=""/>
    <hyperlink ref="L1188" r:id="rId2369" location="" tooltip="" display=""/>
    <hyperlink ref="R1188" r:id="rId2370" location="" tooltip="" display=""/>
    <hyperlink ref="K1189" r:id="rId2371" location="" tooltip="" display=""/>
    <hyperlink ref="L1189" r:id="rId2372" location="" tooltip="" display=""/>
    <hyperlink ref="Q1189" r:id="rId2373" location="" tooltip="" display=""/>
    <hyperlink ref="R1189" r:id="rId2374" location="" tooltip="" display=""/>
    <hyperlink ref="L1190" r:id="rId2375" location="" tooltip="" display=""/>
    <hyperlink ref="R1190" r:id="rId2376" location="" tooltip="" display=""/>
    <hyperlink ref="L1191" r:id="rId2377" location="" tooltip="" display=""/>
    <hyperlink ref="R1191" r:id="rId2378" location="" tooltip="" display=""/>
    <hyperlink ref="L1193" r:id="rId2379" location="" tooltip="" display=""/>
    <hyperlink ref="R1193" r:id="rId2380" location="" tooltip="" display=""/>
    <hyperlink ref="L1194" r:id="rId2381" location="" tooltip="" display=""/>
    <hyperlink ref="R1194" r:id="rId2382" location="" tooltip="" display=""/>
    <hyperlink ref="K1195" r:id="rId2383" location="" tooltip="" display=""/>
    <hyperlink ref="L1195" r:id="rId2384" location="" tooltip="" display=""/>
    <hyperlink ref="Q1195" r:id="rId2385" location="" tooltip="" display=""/>
    <hyperlink ref="R1195" r:id="rId2386" location="" tooltip="" display=""/>
    <hyperlink ref="L1196" r:id="rId2387" location="" tooltip="" display=""/>
    <hyperlink ref="R1196" r:id="rId2388" location="" tooltip="" display=""/>
    <hyperlink ref="L1197" r:id="rId2389" location="" tooltip="" display=""/>
    <hyperlink ref="R1197" r:id="rId2390" location="" tooltip="" display=""/>
    <hyperlink ref="K1199" r:id="rId2391" location="" tooltip="" display=""/>
    <hyperlink ref="L1199" r:id="rId2392" location="" tooltip="" display=""/>
    <hyperlink ref="Q1199" r:id="rId2393" location="" tooltip="" display=""/>
    <hyperlink ref="R1199" r:id="rId2394" location="" tooltip="" display=""/>
    <hyperlink ref="L1200" r:id="rId2395" location="" tooltip="" display=""/>
    <hyperlink ref="R1200" r:id="rId2396" location="" tooltip="" display=""/>
    <hyperlink ref="L1202" r:id="rId2397" location="" tooltip="" display=""/>
    <hyperlink ref="R1202" r:id="rId2398" location="" tooltip="" display=""/>
    <hyperlink ref="K1203" r:id="rId2399" location="" tooltip="" display=""/>
    <hyperlink ref="L1203" r:id="rId2400" location="" tooltip="" display=""/>
    <hyperlink ref="Q1203" r:id="rId2401" location="" tooltip="" display=""/>
    <hyperlink ref="R1203" r:id="rId2402" location="" tooltip="" display=""/>
    <hyperlink ref="L1204" r:id="rId2403" location="" tooltip="" display=""/>
    <hyperlink ref="R1204" r:id="rId2404" location="" tooltip="" display=""/>
    <hyperlink ref="L1205" r:id="rId2405" location="" tooltip="" display=""/>
    <hyperlink ref="R1205" r:id="rId2406" location="" tooltip="" display=""/>
    <hyperlink ref="K1207" r:id="rId2407" location="" tooltip="" display=""/>
    <hyperlink ref="L1207" r:id="rId2408" location="" tooltip="" display=""/>
    <hyperlink ref="Q1207" r:id="rId2409" location="" tooltip="" display=""/>
    <hyperlink ref="R1207" r:id="rId2410" location="" tooltip="" display=""/>
    <hyperlink ref="L1209" r:id="rId2411" location="" tooltip="" display=""/>
    <hyperlink ref="R1209" r:id="rId2412" location="" tooltip="" display=""/>
    <hyperlink ref="L1210" r:id="rId2413" location="" tooltip="" display=""/>
    <hyperlink ref="R1210" r:id="rId2414" location="" tooltip="" display=""/>
    <hyperlink ref="K1211" r:id="rId2415" location="" tooltip="" display=""/>
    <hyperlink ref="L1211" r:id="rId2416" location="" tooltip="" display=""/>
    <hyperlink ref="Q1211" r:id="rId2417" location="" tooltip="" display=""/>
    <hyperlink ref="R1211" r:id="rId2418" location="" tooltip="" display=""/>
    <hyperlink ref="L1212" r:id="rId2419" location="" tooltip="" display=""/>
    <hyperlink ref="R1212" r:id="rId2420" location="" tooltip="" display=""/>
    <hyperlink ref="L1213" r:id="rId2421" location="" tooltip="" display=""/>
    <hyperlink ref="R1213" r:id="rId2422" location="" tooltip="" display=""/>
    <hyperlink ref="L1214" r:id="rId2423" location="" tooltip="" display=""/>
    <hyperlink ref="R1214" r:id="rId2424" location="" tooltip="" display=""/>
    <hyperlink ref="L1216" r:id="rId2425" location="" tooltip="" display=""/>
    <hyperlink ref="R1216" r:id="rId2426" location="" tooltip="" display=""/>
    <hyperlink ref="K1217" r:id="rId2427" location="" tooltip="" display=""/>
    <hyperlink ref="L1217" r:id="rId2428" location="" tooltip="" display=""/>
    <hyperlink ref="Q1217" r:id="rId2429" location="" tooltip="" display=""/>
    <hyperlink ref="R1217" r:id="rId2430" location="" tooltip="" display=""/>
    <hyperlink ref="L1218" r:id="rId2431" location="" tooltip="" display=""/>
    <hyperlink ref="R1218" r:id="rId2432" location="" tooltip="" display=""/>
    <hyperlink ref="L1219" r:id="rId2433" location="" tooltip="" display=""/>
    <hyperlink ref="R1219" r:id="rId2434" location="" tooltip="" display=""/>
    <hyperlink ref="L1221" r:id="rId2435" location="" tooltip="" display=""/>
    <hyperlink ref="R1221" r:id="rId2436" location="" tooltip="" display=""/>
    <hyperlink ref="K1222" r:id="rId2437" location="" tooltip="" display=""/>
    <hyperlink ref="L1222" r:id="rId2438" location="" tooltip="" display=""/>
    <hyperlink ref="Q1222" r:id="rId2439" location="" tooltip="" display=""/>
    <hyperlink ref="R1222" r:id="rId2440" location="" tooltip="" display=""/>
    <hyperlink ref="L1223" r:id="rId2441" location="" tooltip="" display=""/>
    <hyperlink ref="R1223" r:id="rId2442" location="" tooltip="" display=""/>
    <hyperlink ref="L1224" r:id="rId2443" location="" tooltip="" display=""/>
    <hyperlink ref="R1224" r:id="rId2444" location="" tooltip="" display=""/>
    <hyperlink ref="L1226" r:id="rId2445" location="" tooltip="" display=""/>
    <hyperlink ref="R1226" r:id="rId2446" location="" tooltip="" display=""/>
    <hyperlink ref="K1227" r:id="rId2447" location="" tooltip="" display=""/>
    <hyperlink ref="L1227" r:id="rId2448" location="" tooltip="" display=""/>
    <hyperlink ref="Q1227" r:id="rId2449" location="" tooltip="" display=""/>
    <hyperlink ref="R1227" r:id="rId2450" location="" tooltip="" display=""/>
    <hyperlink ref="L1228" r:id="rId2451" location="" tooltip="" display=""/>
    <hyperlink ref="R1228" r:id="rId2452" location="" tooltip="" display=""/>
    <hyperlink ref="L1229" r:id="rId2453" location="" tooltip="" display=""/>
    <hyperlink ref="R1229" r:id="rId2454" location="" tooltip="" display=""/>
    <hyperlink ref="L1231" r:id="rId2455" location="" tooltip="" display=""/>
    <hyperlink ref="R1231" r:id="rId2456" location="" tooltip="" display=""/>
    <hyperlink ref="K1232" r:id="rId2457" location="" tooltip="" display=""/>
    <hyperlink ref="L1232" r:id="rId2458" location="" tooltip="" display=""/>
    <hyperlink ref="Q1232" r:id="rId2459" location="" tooltip="" display=""/>
    <hyperlink ref="R1232" r:id="rId2460" location="" tooltip="" display=""/>
    <hyperlink ref="L1233" r:id="rId2461" location="" tooltip="" display=""/>
    <hyperlink ref="R1233" r:id="rId2462" location="" tooltip="" display=""/>
    <hyperlink ref="L1234" r:id="rId2463" location="" tooltip="" display=""/>
    <hyperlink ref="R1234" r:id="rId2464" location="" tooltip="" display=""/>
    <hyperlink ref="L1236" r:id="rId2465" location="" tooltip="" display=""/>
    <hyperlink ref="R1236" r:id="rId2466" location="" tooltip="" display=""/>
    <hyperlink ref="K1237" r:id="rId2467" location="" tooltip="" display=""/>
    <hyperlink ref="L1237" r:id="rId2468" location="" tooltip="" display=""/>
    <hyperlink ref="Q1237" r:id="rId2469" location="" tooltip="" display=""/>
    <hyperlink ref="R1237" r:id="rId2470" location="" tooltip="" display=""/>
    <hyperlink ref="L1238" r:id="rId2471" location="" tooltip="" display=""/>
    <hyperlink ref="R1238" r:id="rId2472" location="" tooltip="" display=""/>
    <hyperlink ref="K1240" r:id="rId2473" location="" tooltip="" display=""/>
    <hyperlink ref="L1240" r:id="rId2474" location="" tooltip="" display=""/>
    <hyperlink ref="Q1240" r:id="rId2475" location="" tooltip="" display=""/>
    <hyperlink ref="R1240" r:id="rId2476" location="" tooltip="" display=""/>
    <hyperlink ref="L1242" r:id="rId2477" location="" tooltip="" display=""/>
    <hyperlink ref="R1242" r:id="rId2478" location="" tooltip="" display=""/>
    <hyperlink ref="L1243" r:id="rId2479" location="" tooltip="" display=""/>
    <hyperlink ref="R1243" r:id="rId2480" location="" tooltip="" display=""/>
    <hyperlink ref="L1244" r:id="rId2481" location="" tooltip="" display=""/>
    <hyperlink ref="R1244" r:id="rId2482" location="" tooltip="" display=""/>
    <hyperlink ref="K1245" r:id="rId2483" location="" tooltip="" display=""/>
    <hyperlink ref="L1245" r:id="rId2484" location="" tooltip="" display=""/>
    <hyperlink ref="Q1245" r:id="rId2485" location="" tooltip="" display=""/>
    <hyperlink ref="R1245" r:id="rId2486" location="" tooltip="" display=""/>
    <hyperlink ref="L1246" r:id="rId2487" location="" tooltip="" display=""/>
    <hyperlink ref="R1246" r:id="rId2488" location="" tooltip="" display=""/>
    <hyperlink ref="L1247" r:id="rId2489" location="" tooltip="" display=""/>
    <hyperlink ref="R1247" r:id="rId2490" location="" tooltip="" display=""/>
    <hyperlink ref="L1248" r:id="rId2491" location="" tooltip="" display=""/>
    <hyperlink ref="R1248" r:id="rId2492" location="" tooltip="" display=""/>
    <hyperlink ref="K1250" r:id="rId2493" location="" tooltip="" display=""/>
    <hyperlink ref="L1250" r:id="rId2494" location="" tooltip="" display=""/>
    <hyperlink ref="Q1250" r:id="rId2495" location="" tooltip="" display=""/>
    <hyperlink ref="R1250" r:id="rId2496" location="" tooltip="" display=""/>
    <hyperlink ref="L1252" r:id="rId2497" location="" tooltip="" display=""/>
    <hyperlink ref="R1252" r:id="rId2498" location="" tooltip="" display=""/>
    <hyperlink ref="K1253" r:id="rId2499" location="" tooltip="" display=""/>
    <hyperlink ref="L1253" r:id="rId2500" location="" tooltip="" display=""/>
    <hyperlink ref="Q1253" r:id="rId2501" location="" tooltip="" display=""/>
    <hyperlink ref="R1253" r:id="rId2502" location="" tooltip="" display=""/>
    <hyperlink ref="L1254" r:id="rId2503" location="" tooltip="" display=""/>
    <hyperlink ref="R1254" r:id="rId2504" location="" tooltip="" display=""/>
    <hyperlink ref="L1256" r:id="rId2505" location="" tooltip="" display=""/>
    <hyperlink ref="R1256" r:id="rId2506" location="" tooltip="" display=""/>
    <hyperlink ref="L1257" r:id="rId2507" location="" tooltip="" display=""/>
    <hyperlink ref="R1257" r:id="rId2508" location="" tooltip="" display=""/>
    <hyperlink ref="L1258" r:id="rId2509" location="" tooltip="" display=""/>
    <hyperlink ref="R1258" r:id="rId2510" location="" tooltip="" display=""/>
    <hyperlink ref="K1259" r:id="rId2511" location="" tooltip="" display=""/>
    <hyperlink ref="L1259" r:id="rId2512" location="" tooltip="" display=""/>
    <hyperlink ref="Q1259" r:id="rId2513" location="" tooltip="" display=""/>
    <hyperlink ref="R1259" r:id="rId2514" location="" tooltip="" display=""/>
    <hyperlink ref="L1260" r:id="rId2515" location="" tooltip="" display=""/>
    <hyperlink ref="R1260" r:id="rId2516" location="" tooltip="" display=""/>
    <hyperlink ref="L1261" r:id="rId2517" location="" tooltip="" display=""/>
    <hyperlink ref="R1261" r:id="rId2518" location="" tooltip="" display=""/>
    <hyperlink ref="L1262" r:id="rId2519" location="" tooltip="" display=""/>
    <hyperlink ref="R1262" r:id="rId2520" location="" tooltip="" display=""/>
    <hyperlink ref="L1263" r:id="rId2521" location="" tooltip="" display=""/>
    <hyperlink ref="R1263" r:id="rId2522" location="" tooltip="" display=""/>
    <hyperlink ref="L1265" r:id="rId2523" location="" tooltip="" display=""/>
    <hyperlink ref="R1265" r:id="rId2524" location="" tooltip="" display=""/>
    <hyperlink ref="K1266" r:id="rId2525" location="" tooltip="" display=""/>
    <hyperlink ref="L1266" r:id="rId2526" location="" tooltip="" display=""/>
    <hyperlink ref="Q1266" r:id="rId2527" location="" tooltip="" display=""/>
    <hyperlink ref="R1266" r:id="rId2528" location="" tooltip="" display=""/>
    <hyperlink ref="L1267" r:id="rId2529" location="" tooltip="" display=""/>
    <hyperlink ref="R1267" r:id="rId2530" location="" tooltip="" display=""/>
    <hyperlink ref="K1269" r:id="rId2531" location="" tooltip="" display=""/>
    <hyperlink ref="L1269" r:id="rId2532" location="" tooltip="" display=""/>
    <hyperlink ref="Q1269" r:id="rId2533" location="" tooltip="" display=""/>
    <hyperlink ref="R1269" r:id="rId2534" location="" tooltip="" display=""/>
    <hyperlink ref="L1271" r:id="rId2535" location="" tooltip="" display=""/>
    <hyperlink ref="R1271" r:id="rId2536" location="" tooltip="" display=""/>
    <hyperlink ref="K1272" r:id="rId2537" location="" tooltip="" display=""/>
    <hyperlink ref="L1272" r:id="rId2538" location="" tooltip="" display=""/>
    <hyperlink ref="Q1272" r:id="rId2539" location="" tooltip="" display=""/>
    <hyperlink ref="R1272" r:id="rId2540" location="" tooltip="" display=""/>
    <hyperlink ref="L1273" r:id="rId2541" location="" tooltip="" display=""/>
    <hyperlink ref="R1273" r:id="rId2542" location="" tooltip="" display=""/>
    <hyperlink ref="L1274" r:id="rId2543" location="" tooltip="" display=""/>
    <hyperlink ref="R1274" r:id="rId2544" location="" tooltip="" display=""/>
    <hyperlink ref="K1276" r:id="rId2545" location="" tooltip="" display=""/>
    <hyperlink ref="L1276" r:id="rId2546" location="" tooltip="" display=""/>
    <hyperlink ref="Q1276" r:id="rId2547" location="" tooltip="" display=""/>
    <hyperlink ref="R1276" r:id="rId2548" location="" tooltip="" display=""/>
    <hyperlink ref="L1278" r:id="rId2549" location="" tooltip="" display=""/>
    <hyperlink ref="R1278" r:id="rId2550" location="" tooltip="" display=""/>
    <hyperlink ref="K1279" r:id="rId2551" location="" tooltip="" display=""/>
    <hyperlink ref="L1279" r:id="rId2552" location="" tooltip="" display=""/>
    <hyperlink ref="Q1279" r:id="rId2553" location="" tooltip="" display=""/>
    <hyperlink ref="R1279" r:id="rId2554" location="" tooltip="" display=""/>
    <hyperlink ref="L1280" r:id="rId2555" location="" tooltip="" display=""/>
    <hyperlink ref="R1280" r:id="rId2556" location="" tooltip="" display=""/>
    <hyperlink ref="L1281" r:id="rId2557" location="" tooltip="" display=""/>
    <hyperlink ref="R1281" r:id="rId2558" location="" tooltip="" display=""/>
    <hyperlink ref="K1283" r:id="rId2559" location="" tooltip="" display=""/>
    <hyperlink ref="L1283" r:id="rId2560" location="" tooltip="" display=""/>
    <hyperlink ref="Q1283" r:id="rId2561" location="" tooltip="" display=""/>
    <hyperlink ref="R1283" r:id="rId2562" location="" tooltip="" display=""/>
    <hyperlink ref="L1284" r:id="rId2563" location="" tooltip="" display=""/>
    <hyperlink ref="R1284" r:id="rId2564" location="" tooltip="" display=""/>
    <hyperlink ref="L1286" r:id="rId2565" location="" tooltip="" display=""/>
    <hyperlink ref="R1286" r:id="rId2566" location="" tooltip="" display=""/>
    <hyperlink ref="K1287" r:id="rId2567" location="" tooltip="" display=""/>
    <hyperlink ref="L1287" r:id="rId2568" location="" tooltip="" display=""/>
    <hyperlink ref="Q1287" r:id="rId2569" location="" tooltip="" display=""/>
    <hyperlink ref="R1287" r:id="rId2570" location="" tooltip="" display=""/>
    <hyperlink ref="L1288" r:id="rId2571" location="" tooltip="" display=""/>
    <hyperlink ref="R1288" r:id="rId2572" location="" tooltip="" display=""/>
    <hyperlink ref="L1289" r:id="rId2573" location="" tooltip="" display=""/>
    <hyperlink ref="R1289" r:id="rId2574" location="" tooltip="" display=""/>
    <hyperlink ref="L1291" r:id="rId2575" location="" tooltip="" display=""/>
    <hyperlink ref="R1291" r:id="rId2576" location="" tooltip="" display=""/>
    <hyperlink ref="K1292" r:id="rId2577" location="" tooltip="" display=""/>
    <hyperlink ref="L1292" r:id="rId2578" location="" tooltip="" display=""/>
    <hyperlink ref="Q1292" r:id="rId2579" location="" tooltip="" display=""/>
    <hyperlink ref="R1292" r:id="rId2580" location="" tooltip="" display=""/>
    <hyperlink ref="L1293" r:id="rId2581" location="" tooltip="" display=""/>
    <hyperlink ref="R1293" r:id="rId2582" location="" tooltip="" display=""/>
    <hyperlink ref="L1294" r:id="rId2583" location="" tooltip="" display=""/>
    <hyperlink ref="R1294" r:id="rId2584" location="" tooltip="" display=""/>
    <hyperlink ref="K1296" r:id="rId2585" location="" tooltip="" display=""/>
    <hyperlink ref="L1296" r:id="rId2586" location="" tooltip="" display=""/>
    <hyperlink ref="Q1296" r:id="rId2587" location="" tooltip="" display=""/>
    <hyperlink ref="R1296" r:id="rId2588" location="" tooltip="" display=""/>
    <hyperlink ref="L1297" r:id="rId2589" location="" tooltip="" display=""/>
    <hyperlink ref="R1297" r:id="rId2590" location="" tooltip="" display=""/>
    <hyperlink ref="L1299" r:id="rId2591" location="" tooltip="" display=""/>
    <hyperlink ref="R1299" r:id="rId2592" location="" tooltip="" display=""/>
    <hyperlink ref="K1300" r:id="rId2593" location="" tooltip="" display=""/>
    <hyperlink ref="L1300" r:id="rId2594" location="" tooltip="" display=""/>
    <hyperlink ref="Q1300" r:id="rId2595" location="" tooltip="" display=""/>
    <hyperlink ref="R1300" r:id="rId2596" location="" tooltip="" display=""/>
    <hyperlink ref="L1301" r:id="rId2597" location="" tooltip="" display=""/>
    <hyperlink ref="R1301" r:id="rId2598" location="" tooltip="" display=""/>
    <hyperlink ref="L1302" r:id="rId2599" location="" tooltip="" display=""/>
    <hyperlink ref="R1302" r:id="rId2600" location="" tooltip="" display=""/>
    <hyperlink ref="K1304" r:id="rId2601" location="" tooltip="" display=""/>
    <hyperlink ref="L1304" r:id="rId2602" location="" tooltip="" display=""/>
    <hyperlink ref="Q1304" r:id="rId2603" location="" tooltip="" display=""/>
    <hyperlink ref="R1304" r:id="rId2604" location="" tooltip="" display=""/>
    <hyperlink ref="L1305" r:id="rId2605" location="" tooltip="" display=""/>
    <hyperlink ref="R1305" r:id="rId2606" location="" tooltip="" display=""/>
    <hyperlink ref="K1307" r:id="rId2607" location="" tooltip="" display=""/>
    <hyperlink ref="L1307" r:id="rId2608" location="" tooltip="" display=""/>
    <hyperlink ref="Q1307" r:id="rId2609" location="" tooltip="" display=""/>
    <hyperlink ref="R1307" r:id="rId2610" location="" tooltip="" display=""/>
    <hyperlink ref="K1309" r:id="rId2611" location="" tooltip="" display=""/>
    <hyperlink ref="L1309" r:id="rId2612" location="" tooltip="" display=""/>
    <hyperlink ref="Q1309" r:id="rId2613" location="" tooltip="" display=""/>
    <hyperlink ref="R1309" r:id="rId2614" location="" tooltip="" display=""/>
    <hyperlink ref="L1310" r:id="rId2615" location="" tooltip="" display=""/>
    <hyperlink ref="R1310" r:id="rId2616" location="" tooltip="" display=""/>
    <hyperlink ref="L1312" r:id="rId2617" location="" tooltip="" display=""/>
    <hyperlink ref="R1312" r:id="rId2618" location="" tooltip="" display=""/>
    <hyperlink ref="L1313" r:id="rId2619" location="" tooltip="" display=""/>
    <hyperlink ref="R1313" r:id="rId2620" location="" tooltip="" display=""/>
    <hyperlink ref="K1314" r:id="rId2621" location="" tooltip="" display=""/>
    <hyperlink ref="L1314" r:id="rId2622" location="" tooltip="" display=""/>
    <hyperlink ref="Q1314" r:id="rId2623" location="" tooltip="" display=""/>
    <hyperlink ref="R1314" r:id="rId2624" location="" tooltip="" display=""/>
    <hyperlink ref="L1315" r:id="rId2625" location="" tooltip="" display=""/>
    <hyperlink ref="R1315" r:id="rId2626" location="" tooltip="" display=""/>
    <hyperlink ref="L1316" r:id="rId2627" location="" tooltip="" display=""/>
    <hyperlink ref="R1316" r:id="rId2628" location="" tooltip="" display=""/>
    <hyperlink ref="L1317" r:id="rId2629" location="" tooltip="" display=""/>
    <hyperlink ref="R1317" r:id="rId2630" location="" tooltip="" display=""/>
    <hyperlink ref="L1319" r:id="rId2631" location="" tooltip="" display=""/>
    <hyperlink ref="R1319" r:id="rId2632" location="" tooltip="" display=""/>
    <hyperlink ref="K1320" r:id="rId2633" location="" tooltip="" display=""/>
    <hyperlink ref="L1320" r:id="rId2634" location="" tooltip="" display=""/>
    <hyperlink ref="Q1320" r:id="rId2635" location="" tooltip="" display=""/>
    <hyperlink ref="R1320" r:id="rId2636" location="" tooltip="" display=""/>
    <hyperlink ref="L1321" r:id="rId2637" location="" tooltip="" display=""/>
    <hyperlink ref="R1321" r:id="rId2638" location="" tooltip="" display=""/>
    <hyperlink ref="L1322" r:id="rId2639" location="" tooltip="" display=""/>
    <hyperlink ref="R1322" r:id="rId2640" location="" tooltip="" display=""/>
    <hyperlink ref="K1324" r:id="rId2641" location="" tooltip="" display=""/>
    <hyperlink ref="L1324" r:id="rId2642" location="" tooltip="" display=""/>
    <hyperlink ref="Q1324" r:id="rId2643" location="" tooltip="" display=""/>
    <hyperlink ref="R1324" r:id="rId2644" location="" tooltip="" display=""/>
    <hyperlink ref="K1326" r:id="rId2645" location="" tooltip="" display=""/>
    <hyperlink ref="L1326" r:id="rId2646" location="" tooltip="" display=""/>
    <hyperlink ref="Q1326" r:id="rId2647" location="" tooltip="" display=""/>
    <hyperlink ref="R1326" r:id="rId2648" location="" tooltip="" display=""/>
    <hyperlink ref="L1328" r:id="rId2649" location="" tooltip="" display=""/>
    <hyperlink ref="R1328" r:id="rId2650" location="" tooltip="" display=""/>
    <hyperlink ref="L1329" r:id="rId2651" location="" tooltip="" display=""/>
    <hyperlink ref="R1329" r:id="rId2652" location="" tooltip="" display=""/>
    <hyperlink ref="K1330" r:id="rId2653" location="" tooltip="" display=""/>
    <hyperlink ref="L1330" r:id="rId2654" location="" tooltip="" display=""/>
    <hyperlink ref="Q1330" r:id="rId2655" location="" tooltip="" display=""/>
    <hyperlink ref="R1330" r:id="rId2656" location="" tooltip="" display=""/>
    <hyperlink ref="L1331" r:id="rId2657" location="" tooltip="" display=""/>
    <hyperlink ref="R1331" r:id="rId2658" location="" tooltip="" display=""/>
    <hyperlink ref="L1332" r:id="rId2659" location="" tooltip="" display=""/>
    <hyperlink ref="R1332" r:id="rId2660" location="" tooltip="" display=""/>
    <hyperlink ref="L1334" r:id="rId2661" location="" tooltip="" display=""/>
    <hyperlink ref="R1334" r:id="rId2662" location="" tooltip="" display=""/>
    <hyperlink ref="L1335" r:id="rId2663" location="" tooltip="" display=""/>
    <hyperlink ref="R1335" r:id="rId2664" location="" tooltip="" display=""/>
    <hyperlink ref="K1336" r:id="rId2665" location="" tooltip="" display=""/>
    <hyperlink ref="L1336" r:id="rId2666" location="" tooltip="" display=""/>
    <hyperlink ref="Q1336" r:id="rId2667" location="" tooltip="" display=""/>
    <hyperlink ref="R1336" r:id="rId2668" location="" tooltip="" display=""/>
    <hyperlink ref="L1337" r:id="rId2669" location="" tooltip="" display=""/>
    <hyperlink ref="R1337" r:id="rId2670" location="" tooltip="" display=""/>
    <hyperlink ref="L1338" r:id="rId2671" location="" tooltip="" display=""/>
    <hyperlink ref="R1338" r:id="rId2672" location="" tooltip="" display=""/>
    <hyperlink ref="L1339" r:id="rId2673" location="" tooltip="" display=""/>
    <hyperlink ref="R1339" r:id="rId2674" location="" tooltip="" display=""/>
    <hyperlink ref="K1341" r:id="rId2675" location="" tooltip="" display=""/>
    <hyperlink ref="L1341" r:id="rId2676" location="" tooltip="" display=""/>
    <hyperlink ref="Q1341" r:id="rId2677" location="" tooltip="" display=""/>
    <hyperlink ref="R1341" r:id="rId2678" location="" tooltip="" display=""/>
    <hyperlink ref="L1343" r:id="rId2679" location="" tooltip="" display=""/>
    <hyperlink ref="R1343" r:id="rId2680" location="" tooltip="" display=""/>
    <hyperlink ref="L1344" r:id="rId2681" location="" tooltip="" display=""/>
    <hyperlink ref="R1344" r:id="rId2682" location="" tooltip="" display=""/>
    <hyperlink ref="L1345" r:id="rId2683" location="" tooltip="" display=""/>
    <hyperlink ref="R1345" r:id="rId2684" location="" tooltip="" display=""/>
    <hyperlink ref="L1346" r:id="rId2685" location="" tooltip="" display=""/>
    <hyperlink ref="R1346" r:id="rId2686" location="" tooltip="" display=""/>
    <hyperlink ref="K1347" r:id="rId2687" location="" tooltip="" display=""/>
    <hyperlink ref="L1347" r:id="rId2688" location="" tooltip="" display=""/>
    <hyperlink ref="Q1347" r:id="rId2689" location="" tooltip="" display=""/>
    <hyperlink ref="R1347" r:id="rId2690" location="" tooltip="" display=""/>
    <hyperlink ref="L1348" r:id="rId2691" location="" tooltip="" display=""/>
    <hyperlink ref="R1348" r:id="rId2692" location="" tooltip="" display=""/>
    <hyperlink ref="L1349" r:id="rId2693" location="" tooltip="" display=""/>
    <hyperlink ref="R1349" r:id="rId2694" location="" tooltip="" display=""/>
    <hyperlink ref="L1350" r:id="rId2695" location="" tooltip="" display=""/>
    <hyperlink ref="R1350" r:id="rId2696" location="" tooltip="" display=""/>
    <hyperlink ref="L1351" r:id="rId2697" location="" tooltip="" display=""/>
    <hyperlink ref="R1351" r:id="rId2698" location="" tooltip="" display=""/>
    <hyperlink ref="L1352" r:id="rId2699" location="" tooltip="" display=""/>
    <hyperlink ref="R1352" r:id="rId2700" location="" tooltip="" display=""/>
    <hyperlink ref="L1354" r:id="rId2701" location="" tooltip="" display=""/>
    <hyperlink ref="R1354" r:id="rId2702" location="" tooltip="" display=""/>
    <hyperlink ref="K1355" r:id="rId2703" location="" tooltip="" display=""/>
    <hyperlink ref="L1355" r:id="rId2704" location="" tooltip="" display=""/>
    <hyperlink ref="Q1355" r:id="rId2705" location="" tooltip="" display=""/>
    <hyperlink ref="R1355" r:id="rId2706" location="" tooltip="" display=""/>
    <hyperlink ref="L1356" r:id="rId2707" location="" tooltip="" display=""/>
    <hyperlink ref="R1356" r:id="rId2708" location="" tooltip="" display=""/>
    <hyperlink ref="L1357" r:id="rId2709" location="" tooltip="" display=""/>
    <hyperlink ref="R1357" r:id="rId2710" location="" tooltip="" display=""/>
    <hyperlink ref="L1359" r:id="rId2711" location="" tooltip="" display=""/>
    <hyperlink ref="R1359" r:id="rId2712" location="" tooltip="" display=""/>
    <hyperlink ref="L1360" r:id="rId2713" location="" tooltip="" display=""/>
    <hyperlink ref="R1360" r:id="rId2714" location="" tooltip="" display=""/>
    <hyperlink ref="L1361" r:id="rId2715" location="" tooltip="" display=""/>
    <hyperlink ref="R1361" r:id="rId2716" location="" tooltip="" display=""/>
    <hyperlink ref="L1362" r:id="rId2717" location="" tooltip="" display=""/>
    <hyperlink ref="R1362" r:id="rId2718" location="" tooltip="" display=""/>
    <hyperlink ref="K1363" r:id="rId2719" location="" tooltip="" display=""/>
    <hyperlink ref="L1363" r:id="rId2720" location="" tooltip="" display=""/>
    <hyperlink ref="Q1363" r:id="rId2721" location="" tooltip="" display=""/>
    <hyperlink ref="R1363" r:id="rId2722" location="" tooltip="" display=""/>
    <hyperlink ref="L1364" r:id="rId2723" location="" tooltip="" display=""/>
    <hyperlink ref="R1364" r:id="rId2724" location="" tooltip="" display=""/>
    <hyperlink ref="L1365" r:id="rId2725" location="" tooltip="" display=""/>
    <hyperlink ref="R1365" r:id="rId2726" location="" tooltip="" display=""/>
    <hyperlink ref="L1366" r:id="rId2727" location="" tooltip="" display=""/>
    <hyperlink ref="R1366" r:id="rId2728" location="" tooltip="" display=""/>
    <hyperlink ref="L1367" r:id="rId2729" location="" tooltip="" display=""/>
    <hyperlink ref="R1367" r:id="rId2730" location="" tooltip="" display=""/>
    <hyperlink ref="L1369" r:id="rId2731" location="" tooltip="" display=""/>
    <hyperlink ref="R1369" r:id="rId2732" location="" tooltip="" display=""/>
    <hyperlink ref="K1370" r:id="rId2733" location="" tooltip="" display=""/>
    <hyperlink ref="L1370" r:id="rId2734" location="" tooltip="" display=""/>
    <hyperlink ref="Q1370" r:id="rId2735" location="" tooltip="" display=""/>
    <hyperlink ref="R1370" r:id="rId2736" location="" tooltip="" display=""/>
    <hyperlink ref="L1371" r:id="rId2737" location="" tooltip="" display=""/>
    <hyperlink ref="R1371" r:id="rId2738" location="" tooltip="" display=""/>
    <hyperlink ref="L1372" r:id="rId2739" location="" tooltip="" display=""/>
    <hyperlink ref="R1372" r:id="rId2740" location="" tooltip="" display=""/>
    <hyperlink ref="L1374" r:id="rId2741" location="" tooltip="" display=""/>
    <hyperlink ref="R1374" r:id="rId2742" location="" tooltip="" display=""/>
    <hyperlink ref="K1375" r:id="rId2743" location="" tooltip="" display=""/>
    <hyperlink ref="L1375" r:id="rId2744" location="" tooltip="" display=""/>
    <hyperlink ref="Q1375" r:id="rId2745" location="" tooltip="" display=""/>
    <hyperlink ref="R1375" r:id="rId2746" location="" tooltip="" display=""/>
    <hyperlink ref="L1376" r:id="rId2747" location="" tooltip="" display=""/>
    <hyperlink ref="R1376" r:id="rId2748" location="" tooltip="" display=""/>
    <hyperlink ref="L1377" r:id="rId2749" location="" tooltip="" display=""/>
    <hyperlink ref="R1377" r:id="rId2750" location="" tooltip="" display=""/>
    <hyperlink ref="K1379" r:id="rId2751" location="" tooltip="" display=""/>
    <hyperlink ref="L1379" r:id="rId2752" location="" tooltip="" display=""/>
    <hyperlink ref="Q1379" r:id="rId2753" location="" tooltip="" display=""/>
    <hyperlink ref="R1379" r:id="rId2754" location="" tooltip="" display=""/>
    <hyperlink ref="L1380" r:id="rId2755" location="" tooltip="" display=""/>
    <hyperlink ref="R1380" r:id="rId2756" location="" tooltip="" display=""/>
    <hyperlink ref="K1382" r:id="rId2757" location="" tooltip="" display=""/>
    <hyperlink ref="L1382" r:id="rId2758" location="" tooltip="" display=""/>
    <hyperlink ref="Q1382" r:id="rId2759" location="" tooltip="" display=""/>
    <hyperlink ref="R1382" r:id="rId2760" location="" tooltip="" display=""/>
    <hyperlink ref="L1383" r:id="rId2761" location="" tooltip="" display=""/>
    <hyperlink ref="R1383" r:id="rId2762" location="" tooltip="" display=""/>
    <hyperlink ref="L1385" r:id="rId2763" location="" tooltip="" display=""/>
    <hyperlink ref="R1385" r:id="rId2764" location="" tooltip="" display=""/>
    <hyperlink ref="K1386" r:id="rId2765" location="" tooltip="" display=""/>
    <hyperlink ref="L1386" r:id="rId2766" location="" tooltip="" display=""/>
    <hyperlink ref="Q1386" r:id="rId2767" location="" tooltip="" display=""/>
    <hyperlink ref="R1386" r:id="rId2768" location="" tooltip="" display=""/>
    <hyperlink ref="L1387" r:id="rId2769" location="" tooltip="" display=""/>
    <hyperlink ref="R1387" r:id="rId2770" location="" tooltip="" display=""/>
    <hyperlink ref="L1389" r:id="rId2771" location="" tooltip="" display=""/>
    <hyperlink ref="R1389" r:id="rId2772" location="" tooltip="" display=""/>
    <hyperlink ref="K1390" r:id="rId2773" location="" tooltip="" display=""/>
    <hyperlink ref="L1390" r:id="rId2774" location="" tooltip="" display=""/>
    <hyperlink ref="Q1390" r:id="rId2775" location="" tooltip="" display=""/>
    <hyperlink ref="R1390" r:id="rId2776" location="" tooltip="" display=""/>
    <hyperlink ref="L1391" r:id="rId2777" location="" tooltip="" display=""/>
    <hyperlink ref="R1391" r:id="rId2778" location="" tooltip="" display=""/>
    <hyperlink ref="K1393" r:id="rId2779" location="" tooltip="" display=""/>
    <hyperlink ref="L1393" r:id="rId2780" location="" tooltip="" display=""/>
    <hyperlink ref="Q1393" r:id="rId2781" location="" tooltip="" display=""/>
    <hyperlink ref="R1393" r:id="rId2782" location="" tooltip="" display=""/>
    <hyperlink ref="K1395" r:id="rId2783" location="" tooltip="" display=""/>
    <hyperlink ref="L1395" r:id="rId2784" location="" tooltip="" display=""/>
    <hyperlink ref="Q1395" r:id="rId2785" location="" tooltip="" display=""/>
    <hyperlink ref="R1395" r:id="rId2786" location="" tooltip="" display=""/>
    <hyperlink ref="L1396" r:id="rId2787" location="" tooltip="" display=""/>
    <hyperlink ref="R1396" r:id="rId2788" location="" tooltip="" display=""/>
    <hyperlink ref="K1398" r:id="rId2789" location="" tooltip="" display=""/>
    <hyperlink ref="L1398" r:id="rId2790" location="" tooltip="" display=""/>
    <hyperlink ref="Q1398" r:id="rId2791" location="" tooltip="" display=""/>
    <hyperlink ref="R1398" r:id="rId2792" location="" tooltip="" display=""/>
    <hyperlink ref="L1400" r:id="rId2793" location="" tooltip="" display=""/>
    <hyperlink ref="R1400" r:id="rId2794" location="" tooltip="" display=""/>
    <hyperlink ref="L1401" r:id="rId2795" location="" tooltip="" display=""/>
    <hyperlink ref="R1401" r:id="rId2796" location="" tooltip="" display=""/>
    <hyperlink ref="L1402" r:id="rId2797" location="" tooltip="" display=""/>
    <hyperlink ref="R1402" r:id="rId2798" location="" tooltip="" display=""/>
    <hyperlink ref="L1403" r:id="rId2799" location="" tooltip="" display=""/>
    <hyperlink ref="R1403" r:id="rId2800" location="" tooltip="" display=""/>
    <hyperlink ref="K1404" r:id="rId2801" location="" tooltip="" display=""/>
    <hyperlink ref="L1404" r:id="rId2802" location="" tooltip="" display=""/>
    <hyperlink ref="Q1404" r:id="rId2803" location="" tooltip="" display=""/>
    <hyperlink ref="R1404" r:id="rId2804" location="" tooltip="" display=""/>
    <hyperlink ref="L1405" r:id="rId2805" location="" tooltip="" display=""/>
    <hyperlink ref="R1405" r:id="rId2806" location="" tooltip="" display=""/>
    <hyperlink ref="L1406" r:id="rId2807" location="" tooltip="" display=""/>
    <hyperlink ref="R1406" r:id="rId2808" location="" tooltip="" display=""/>
    <hyperlink ref="L1407" r:id="rId2809" location="" tooltip="" display=""/>
    <hyperlink ref="R1407" r:id="rId2810" location="" tooltip="" display=""/>
    <hyperlink ref="L1408" r:id="rId2811" location="" tooltip="" display=""/>
    <hyperlink ref="R1408" r:id="rId2812" location="" tooltip="" display=""/>
    <hyperlink ref="L1409" r:id="rId2813" location="" tooltip="" display=""/>
    <hyperlink ref="R1409" r:id="rId2814" location="" tooltip="" display=""/>
    <hyperlink ref="L1411" r:id="rId2815" location="" tooltip="" display=""/>
    <hyperlink ref="R1411" r:id="rId2816" location="" tooltip="" display=""/>
    <hyperlink ref="L1412" r:id="rId2817" location="" tooltip="" display=""/>
    <hyperlink ref="R1412" r:id="rId2818" location="" tooltip="" display=""/>
    <hyperlink ref="L1413" r:id="rId2819" location="" tooltip="" display=""/>
    <hyperlink ref="R1413" r:id="rId2820" location="" tooltip="" display=""/>
    <hyperlink ref="K1414" r:id="rId2821" location="" tooltip="" display=""/>
    <hyperlink ref="L1414" r:id="rId2822" location="" tooltip="" display=""/>
    <hyperlink ref="Q1414" r:id="rId2823" location="" tooltip="" display=""/>
    <hyperlink ref="R1414" r:id="rId2824" location="" tooltip="" display=""/>
    <hyperlink ref="L1415" r:id="rId2825" location="" tooltip="" display=""/>
    <hyperlink ref="R1415" r:id="rId2826" location="" tooltip="" display=""/>
    <hyperlink ref="L1416" r:id="rId2827" location="" tooltip="" display=""/>
    <hyperlink ref="R1416" r:id="rId2828" location="" tooltip="" display=""/>
    <hyperlink ref="L1417" r:id="rId2829" location="" tooltip="" display=""/>
    <hyperlink ref="R1417" r:id="rId2830" location="" tooltip="" display=""/>
    <hyperlink ref="K1419" r:id="rId2831" location="" tooltip="" display=""/>
    <hyperlink ref="L1419" r:id="rId2832" location="" tooltip="" display=""/>
    <hyperlink ref="Q1419" r:id="rId2833" location="" tooltip="" display=""/>
    <hyperlink ref="R1419" r:id="rId2834" location="" tooltip="" display=""/>
    <hyperlink ref="L1420" r:id="rId2835" location="" tooltip="" display=""/>
    <hyperlink ref="R1420" r:id="rId2836" location="" tooltip="" display=""/>
    <hyperlink ref="K1422" r:id="rId2837" location="" tooltip="" display=""/>
    <hyperlink ref="L1422" r:id="rId2838" location="" tooltip="" display=""/>
    <hyperlink ref="Q1422" r:id="rId2839" location="" tooltip="" display=""/>
    <hyperlink ref="R1422" r:id="rId2840" location="" tooltip="" display=""/>
    <hyperlink ref="L1423" r:id="rId2841" location="" tooltip="" display=""/>
    <hyperlink ref="R1423" r:id="rId2842" location="" tooltip="" display=""/>
    <hyperlink ref="K1425" r:id="rId2843" location="" tooltip="" display=""/>
    <hyperlink ref="L1425" r:id="rId2844" location="" tooltip="" display=""/>
    <hyperlink ref="Q1425" r:id="rId2845" location="" tooltip="" display=""/>
    <hyperlink ref="R1425" r:id="rId2846" location="" tooltip="" display=""/>
    <hyperlink ref="L1426" r:id="rId2847" location="" tooltip="" display=""/>
    <hyperlink ref="R1426" r:id="rId2848" location="" tooltip="" display=""/>
    <hyperlink ref="K1428" r:id="rId2849" location="" tooltip="" display=""/>
    <hyperlink ref="L1428" r:id="rId2850" location="" tooltip="" display=""/>
    <hyperlink ref="Q1428" r:id="rId2851" location="" tooltip="" display=""/>
    <hyperlink ref="R1428" r:id="rId2852" location="" tooltip="" display=""/>
    <hyperlink ref="L1430" r:id="rId2853" location="" tooltip="" display=""/>
    <hyperlink ref="R1430" r:id="rId2854" location="" tooltip="" display=""/>
    <hyperlink ref="K1431" r:id="rId2855" location="" tooltip="" display=""/>
    <hyperlink ref="L1431" r:id="rId2856" location="" tooltip="" display=""/>
    <hyperlink ref="Q1431" r:id="rId2857" location="" tooltip="" display=""/>
    <hyperlink ref="R1431" r:id="rId2858" location="" tooltip="" display=""/>
    <hyperlink ref="L1432" r:id="rId2859" location="" tooltip="" display=""/>
    <hyperlink ref="R1432" r:id="rId2860" location="" tooltip="" display=""/>
    <hyperlink ref="L1434" r:id="rId2861" location="" tooltip="" display=""/>
    <hyperlink ref="R1434" r:id="rId2862" location="" tooltip="" display=""/>
    <hyperlink ref="K1435" r:id="rId2863" location="" tooltip="" display=""/>
    <hyperlink ref="L1435" r:id="rId2864" location="" tooltip="" display=""/>
    <hyperlink ref="Q1435" r:id="rId2865" location="" tooltip="" display=""/>
    <hyperlink ref="R1435" r:id="rId2866" location="" tooltip="" display=""/>
    <hyperlink ref="L1436" r:id="rId2867" location="" tooltip="" display=""/>
    <hyperlink ref="R1436" r:id="rId2868" location="" tooltip="" display=""/>
    <hyperlink ref="L1437" r:id="rId2869" location="" tooltip="" display=""/>
    <hyperlink ref="R1437" r:id="rId2870" location="" tooltip="" display=""/>
    <hyperlink ref="K1439" r:id="rId2871" location="" tooltip="" display=""/>
    <hyperlink ref="L1439" r:id="rId2872" location="" tooltip="" display=""/>
    <hyperlink ref="Q1439" r:id="rId2873" location="" tooltip="" display=""/>
    <hyperlink ref="R1439" r:id="rId2874" location="" tooltip="" display=""/>
    <hyperlink ref="L1440" r:id="rId2875" location="" tooltip="" display=""/>
    <hyperlink ref="R1440" r:id="rId2876" location="" tooltip="" display=""/>
    <hyperlink ref="L1442" r:id="rId2877" location="" tooltip="" display=""/>
    <hyperlink ref="R1442" r:id="rId2878" location="" tooltip="" display=""/>
    <hyperlink ref="K1443" r:id="rId2879" location="" tooltip="" display=""/>
    <hyperlink ref="L1443" r:id="rId2880" location="" tooltip="" display=""/>
    <hyperlink ref="Q1443" r:id="rId2881" location="" tooltip="" display=""/>
    <hyperlink ref="R1443" r:id="rId2882" location="" tooltip="" display=""/>
    <hyperlink ref="L1444" r:id="rId2883" location="" tooltip="" display=""/>
    <hyperlink ref="R1444" r:id="rId2884" location="" tooltip="" display=""/>
    <hyperlink ref="L1446" r:id="rId2885" location="" tooltip="" display=""/>
    <hyperlink ref="R1446" r:id="rId2886" location="" tooltip="" display=""/>
    <hyperlink ref="K1447" r:id="rId2887" location="" tooltip="" display=""/>
    <hyperlink ref="L1447" r:id="rId2888" location="" tooltip="" display=""/>
    <hyperlink ref="Q1447" r:id="rId2889" location="" tooltip="" display=""/>
    <hyperlink ref="R1447" r:id="rId2890" location="" tooltip="" display=""/>
    <hyperlink ref="L1448" r:id="rId2891" location="" tooltip="" display=""/>
    <hyperlink ref="R1448" r:id="rId2892" location="" tooltip="" display=""/>
    <hyperlink ref="L1449" r:id="rId2893" location="" tooltip="" display=""/>
    <hyperlink ref="R1449" r:id="rId2894" location="" tooltip="" display=""/>
    <hyperlink ref="L1451" r:id="rId2895" location="" tooltip="" display=""/>
    <hyperlink ref="R1451" r:id="rId2896" location="" tooltip="" display=""/>
    <hyperlink ref="L1452" r:id="rId2897" location="" tooltip="" display=""/>
    <hyperlink ref="R1452" r:id="rId2898" location="" tooltip="" display=""/>
    <hyperlink ref="K1453" r:id="rId2899" location="" tooltip="" display=""/>
    <hyperlink ref="L1453" r:id="rId2900" location="" tooltip="" display=""/>
    <hyperlink ref="Q1453" r:id="rId2901" location="" tooltip="" display=""/>
    <hyperlink ref="R1453" r:id="rId2902" location="" tooltip="" display=""/>
    <hyperlink ref="L1454" r:id="rId2903" location="" tooltip="" display=""/>
    <hyperlink ref="R1454" r:id="rId2904" location="" tooltip="" display=""/>
    <hyperlink ref="L1455" r:id="rId2905" location="" tooltip="" display=""/>
    <hyperlink ref="R1455" r:id="rId2906" location="" tooltip="" display=""/>
    <hyperlink ref="L1456" r:id="rId2907" location="" tooltip="" display=""/>
    <hyperlink ref="R1456" r:id="rId2908" location="" tooltip="" display=""/>
    <hyperlink ref="L1458" r:id="rId2909" location="" tooltip="" display=""/>
    <hyperlink ref="R1458" r:id="rId2910" location="" tooltip="" display=""/>
    <hyperlink ref="L1459" r:id="rId2911" location="" tooltip="" display=""/>
    <hyperlink ref="R1459" r:id="rId2912" location="" tooltip="" display=""/>
    <hyperlink ref="K1460" r:id="rId2913" location="" tooltip="" display=""/>
    <hyperlink ref="L1460" r:id="rId2914" location="" tooltip="" display=""/>
    <hyperlink ref="Q1460" r:id="rId2915" location="" tooltip="" display=""/>
    <hyperlink ref="R1460" r:id="rId2916" location="" tooltip="" display=""/>
    <hyperlink ref="L1461" r:id="rId2917" location="" tooltip="" display=""/>
    <hyperlink ref="R1461" r:id="rId2918" location="" tooltip="" display=""/>
    <hyperlink ref="L1462" r:id="rId2919" location="" tooltip="" display=""/>
    <hyperlink ref="R1462" r:id="rId2920" location="" tooltip="" display=""/>
    <hyperlink ref="L1463" r:id="rId2921" location="" tooltip="" display=""/>
    <hyperlink ref="R1463" r:id="rId2922" location="" tooltip="" display=""/>
    <hyperlink ref="L1465" r:id="rId2923" location="" tooltip="" display=""/>
    <hyperlink ref="R1465" r:id="rId2924" location="" tooltip="" display=""/>
    <hyperlink ref="K1466" r:id="rId2925" location="" tooltip="" display=""/>
    <hyperlink ref="L1466" r:id="rId2926" location="" tooltip="" display=""/>
    <hyperlink ref="Q1466" r:id="rId2927" location="" tooltip="" display=""/>
    <hyperlink ref="R1466" r:id="rId2928" location="" tooltip="" display=""/>
    <hyperlink ref="L1467" r:id="rId2929" location="" tooltip="" display=""/>
    <hyperlink ref="R1467" r:id="rId2930" location="" tooltip="" display=""/>
    <hyperlink ref="L1468" r:id="rId2931" location="" tooltip="" display=""/>
    <hyperlink ref="R1468" r:id="rId2932" location="" tooltip="" display=""/>
    <hyperlink ref="L1470" r:id="rId2933" location="" tooltip="" display=""/>
    <hyperlink ref="R1470" r:id="rId2934" location="" tooltip="" display=""/>
    <hyperlink ref="K1471" r:id="rId2935" location="" tooltip="" display=""/>
    <hyperlink ref="L1471" r:id="rId2936" location="" tooltip="" display=""/>
    <hyperlink ref="Q1471" r:id="rId2937" location="" tooltip="" display=""/>
    <hyperlink ref="R1471" r:id="rId2938" location="" tooltip="" display=""/>
    <hyperlink ref="L1472" r:id="rId2939" location="" tooltip="" display=""/>
    <hyperlink ref="R1472" r:id="rId2940" location="" tooltip="" display=""/>
    <hyperlink ref="L1473" r:id="rId2941" location="" tooltip="" display=""/>
    <hyperlink ref="R1473" r:id="rId2942" location="" tooltip="" display=""/>
    <hyperlink ref="L1475" r:id="rId2943" location="" tooltip="" display=""/>
    <hyperlink ref="R1475" r:id="rId2944" location="" tooltip="" display=""/>
    <hyperlink ref="L1476" r:id="rId2945" location="" tooltip="" display=""/>
    <hyperlink ref="R1476" r:id="rId2946" location="" tooltip="" display=""/>
    <hyperlink ref="K1477" r:id="rId2947" location="" tooltip="" display=""/>
    <hyperlink ref="L1477" r:id="rId2948" location="" tooltip="" display=""/>
    <hyperlink ref="Q1477" r:id="rId2949" location="" tooltip="" display=""/>
    <hyperlink ref="R1477" r:id="rId2950" location="" tooltip="" display=""/>
    <hyperlink ref="L1478" r:id="rId2951" location="" tooltip="" display=""/>
    <hyperlink ref="R1478" r:id="rId2952" location="" tooltip="" display=""/>
    <hyperlink ref="L1479" r:id="rId2953" location="" tooltip="" display=""/>
    <hyperlink ref="R1479" r:id="rId2954" location="" tooltip="" display=""/>
    <hyperlink ref="L1480" r:id="rId2955" location="" tooltip="" display=""/>
    <hyperlink ref="R1480" r:id="rId2956" location="" tooltip="" display=""/>
    <hyperlink ref="K1482" r:id="rId2957" location="" tooltip="" display=""/>
    <hyperlink ref="L1482" r:id="rId2958" location="" tooltip="" display=""/>
    <hyperlink ref="Q1482" r:id="rId2959" location="" tooltip="" display=""/>
    <hyperlink ref="R1482" r:id="rId2960" location="" tooltip="" display=""/>
    <hyperlink ref="K1484" r:id="rId2961" location="" tooltip="" display=""/>
    <hyperlink ref="L1484" r:id="rId2962" location="" tooltip="" display=""/>
    <hyperlink ref="Q1484" r:id="rId2963" location="" tooltip="" display=""/>
    <hyperlink ref="R1484" r:id="rId2964" location="" tooltip="" display=""/>
    <hyperlink ref="L1485" r:id="rId2965" location="" tooltip="" display=""/>
    <hyperlink ref="R1485" r:id="rId2966" location="" tooltip="" display=""/>
    <hyperlink ref="K1487" r:id="rId2967" location="" tooltip="" display=""/>
    <hyperlink ref="L1487" r:id="rId2968" location="" tooltip="" display=""/>
    <hyperlink ref="Q1487" r:id="rId2969" location="" tooltip="" display=""/>
    <hyperlink ref="R1487" r:id="rId2970" location="" tooltip="" display=""/>
    <hyperlink ref="L1488" r:id="rId2971" location="" tooltip="" display=""/>
    <hyperlink ref="R1488" r:id="rId2972" location="" tooltip="" display=""/>
    <hyperlink ref="L1490" r:id="rId2973" location="" tooltip="" display=""/>
    <hyperlink ref="R1490" r:id="rId2974" location="" tooltip="" display=""/>
    <hyperlink ref="K1491" r:id="rId2975" location="" tooltip="" display=""/>
    <hyperlink ref="L1491" r:id="rId2976" location="" tooltip="" display=""/>
    <hyperlink ref="Q1491" r:id="rId2977" location="" tooltip="" display=""/>
    <hyperlink ref="R1491" r:id="rId2978" location="" tooltip="" display=""/>
    <hyperlink ref="L1492" r:id="rId2979" location="" tooltip="" display=""/>
    <hyperlink ref="R1492" r:id="rId2980" location="" tooltip="" display=""/>
    <hyperlink ref="L1493" r:id="rId2981" location="" tooltip="" display=""/>
    <hyperlink ref="R1493" r:id="rId2982" location="" tooltip="" display=""/>
    <hyperlink ref="L1495" r:id="rId2983" location="" tooltip="" display=""/>
    <hyperlink ref="R1495" r:id="rId2984" location="" tooltip="" display=""/>
    <hyperlink ref="L1496" r:id="rId2985" location="" tooltip="" display=""/>
    <hyperlink ref="R1496" r:id="rId2986" location="" tooltip="" display=""/>
    <hyperlink ref="K1497" r:id="rId2987" location="" tooltip="" display=""/>
    <hyperlink ref="L1497" r:id="rId2988" location="" tooltip="" display=""/>
    <hyperlink ref="Q1497" r:id="rId2989" location="" tooltip="" display=""/>
    <hyperlink ref="R1497" r:id="rId2990" location="" tooltip="" display=""/>
    <hyperlink ref="L1498" r:id="rId2991" location="" tooltip="" display=""/>
    <hyperlink ref="R1498" r:id="rId2992" location="" tooltip="" display=""/>
    <hyperlink ref="L1499" r:id="rId2993" location="" tooltip="" display=""/>
    <hyperlink ref="R1499" r:id="rId2994" location="" tooltip="" display=""/>
    <hyperlink ref="K1501" r:id="rId2995" location="" tooltip="" display=""/>
    <hyperlink ref="L1501" r:id="rId2996" location="" tooltip="" display=""/>
    <hyperlink ref="Q1501" r:id="rId2997" location="" tooltip="" display=""/>
    <hyperlink ref="R1501" r:id="rId2998" location="" tooltip="" display=""/>
    <hyperlink ref="K1503" r:id="rId2999" location="" tooltip="" display=""/>
    <hyperlink ref="L1503" r:id="rId3000" location="" tooltip="" display=""/>
    <hyperlink ref="Q1503" r:id="rId3001" location="" tooltip="" display=""/>
    <hyperlink ref="R1503" r:id="rId3002" location="" tooltip="" display=""/>
    <hyperlink ref="L1505" r:id="rId3003" location="" tooltip="" display=""/>
    <hyperlink ref="R1505" r:id="rId3004" location="" tooltip="" display=""/>
    <hyperlink ref="K1506" r:id="rId3005" location="" tooltip="" display=""/>
    <hyperlink ref="L1506" r:id="rId3006" location="" tooltip="" display=""/>
    <hyperlink ref="Q1506" r:id="rId3007" location="" tooltip="" display=""/>
    <hyperlink ref="R1506" r:id="rId3008" location="" tooltip="" display=""/>
    <hyperlink ref="L1507" r:id="rId3009" location="" tooltip="" display=""/>
    <hyperlink ref="R1507" r:id="rId3010" location="" tooltip="" display=""/>
    <hyperlink ref="L1509" r:id="rId3011" location="" tooltip="" display=""/>
    <hyperlink ref="R1509" r:id="rId3012" location="" tooltip="" display=""/>
    <hyperlink ref="L1510" r:id="rId3013" location="" tooltip="" display=""/>
    <hyperlink ref="R1510" r:id="rId3014" location="" tooltip="" display=""/>
    <hyperlink ref="K1511" r:id="rId3015" location="" tooltip="" display=""/>
    <hyperlink ref="L1511" r:id="rId3016" location="" tooltip="" display=""/>
    <hyperlink ref="Q1511" r:id="rId3017" location="" tooltip="" display=""/>
    <hyperlink ref="R1511" r:id="rId3018" location="" tooltip="" display=""/>
    <hyperlink ref="L1512" r:id="rId3019" location="" tooltip="" display=""/>
    <hyperlink ref="R1512" r:id="rId3020" location="" tooltip="" display=""/>
    <hyperlink ref="L1513" r:id="rId3021" location="" tooltip="" display=""/>
    <hyperlink ref="R1513" r:id="rId3022" location="" tooltip="" display=""/>
    <hyperlink ref="L1515" r:id="rId3023" location="" tooltip="" display=""/>
    <hyperlink ref="R1515" r:id="rId3024" location="" tooltip="" display=""/>
    <hyperlink ref="K1516" r:id="rId3025" location="" tooltip="" display=""/>
    <hyperlink ref="L1516" r:id="rId3026" location="" tooltip="" display=""/>
    <hyperlink ref="Q1516" r:id="rId3027" location="" tooltip="" display=""/>
    <hyperlink ref="R1516" r:id="rId3028" location="" tooltip="" display=""/>
    <hyperlink ref="L1517" r:id="rId3029" location="" tooltip="" display=""/>
    <hyperlink ref="R1517" r:id="rId3030" location="" tooltip="" display=""/>
    <hyperlink ref="L1518" r:id="rId3031" location="" tooltip="" display=""/>
    <hyperlink ref="R1518" r:id="rId3032" location="" tooltip="" display=""/>
    <hyperlink ref="K1520" r:id="rId3033" location="" tooltip="" display=""/>
    <hyperlink ref="L1520" r:id="rId3034" location="" tooltip="" display=""/>
    <hyperlink ref="Q1520" r:id="rId3035" location="" tooltip="" display=""/>
    <hyperlink ref="R1520" r:id="rId3036" location="" tooltip="" display=""/>
    <hyperlink ref="L1521" r:id="rId3037" location="" tooltip="" display=""/>
    <hyperlink ref="R1521" r:id="rId3038" location="" tooltip="" display=""/>
    <hyperlink ref="L1523" r:id="rId3039" location="" tooltip="" display=""/>
    <hyperlink ref="R1523" r:id="rId3040" location="" tooltip="" display=""/>
    <hyperlink ref="L1524" r:id="rId3041" location="" tooltip="" display=""/>
    <hyperlink ref="R1524" r:id="rId3042" location="" tooltip="" display=""/>
    <hyperlink ref="K1525" r:id="rId3043" location="" tooltip="" display=""/>
    <hyperlink ref="L1525" r:id="rId3044" location="" tooltip="" display=""/>
    <hyperlink ref="Q1525" r:id="rId3045" location="" tooltip="" display=""/>
    <hyperlink ref="R1525" r:id="rId3046" location="" tooltip="" display=""/>
    <hyperlink ref="L1526" r:id="rId3047" location="" tooltip="" display=""/>
    <hyperlink ref="R1526" r:id="rId3048" location="" tooltip="" display=""/>
    <hyperlink ref="L1527" r:id="rId3049" location="" tooltip="" display=""/>
    <hyperlink ref="R1527" r:id="rId3050" location="" tooltip="" display=""/>
    <hyperlink ref="L1529" r:id="rId3051" location="" tooltip="" display=""/>
    <hyperlink ref="R1529" r:id="rId3052" location="" tooltip="" display=""/>
    <hyperlink ref="K1530" r:id="rId3053" location="" tooltip="" display=""/>
    <hyperlink ref="L1530" r:id="rId3054" location="" tooltip="" display=""/>
    <hyperlink ref="Q1530" r:id="rId3055" location="" tooltip="" display=""/>
    <hyperlink ref="R1530" r:id="rId3056" location="" tooltip="" display=""/>
    <hyperlink ref="L1531" r:id="rId3057" location="" tooltip="" display=""/>
    <hyperlink ref="R1531" r:id="rId3058" location="" tooltip="" display=""/>
    <hyperlink ref="L1532" r:id="rId3059" location="" tooltip="" display=""/>
    <hyperlink ref="R1532" r:id="rId3060" location="" tooltip="" display=""/>
    <hyperlink ref="K1534" r:id="rId3061" location="" tooltip="" display=""/>
    <hyperlink ref="L1534" r:id="rId3062" location="" tooltip="" display=""/>
    <hyperlink ref="Q1534" r:id="rId3063" location="" tooltip="" display=""/>
    <hyperlink ref="R1534" r:id="rId3064" location="" tooltip="" display=""/>
    <hyperlink ref="L1535" r:id="rId3065" location="" tooltip="" display=""/>
    <hyperlink ref="R1535" r:id="rId3066" location="" tooltip="" display=""/>
    <hyperlink ref="L1537" r:id="rId3067" location="" tooltip="" display=""/>
    <hyperlink ref="R1537" r:id="rId3068" location="" tooltip="" display=""/>
    <hyperlink ref="L1538" r:id="rId3069" location="" tooltip="" display=""/>
    <hyperlink ref="R1538" r:id="rId3070" location="" tooltip="" display=""/>
    <hyperlink ref="K1539" r:id="rId3071" location="" tooltip="" display=""/>
    <hyperlink ref="L1539" r:id="rId3072" location="" tooltip="" display=""/>
    <hyperlink ref="Q1539" r:id="rId3073" location="" tooltip="" display=""/>
    <hyperlink ref="R1539" r:id="rId3074" location="" tooltip="" display=""/>
    <hyperlink ref="L1540" r:id="rId3075" location="" tooltip="" display=""/>
    <hyperlink ref="R1540" r:id="rId3076" location="" tooltip="" display=""/>
    <hyperlink ref="L1541" r:id="rId3077" location="" tooltip="" display=""/>
    <hyperlink ref="R1541" r:id="rId3078" location="" tooltip="" display=""/>
    <hyperlink ref="L1543" r:id="rId3079" location="" tooltip="" display=""/>
    <hyperlink ref="R1543" r:id="rId3080" location="" tooltip="" display=""/>
    <hyperlink ref="L1544" r:id="rId3081" location="" tooltip="" display=""/>
    <hyperlink ref="R1544" r:id="rId3082" location="" tooltip="" display=""/>
    <hyperlink ref="K1545" r:id="rId3083" location="" tooltip="" display=""/>
    <hyperlink ref="L1545" r:id="rId3084" location="" tooltip="" display=""/>
    <hyperlink ref="Q1545" r:id="rId3085" location="" tooltip="" display=""/>
    <hyperlink ref="R1545" r:id="rId3086" location="" tooltip="" display=""/>
    <hyperlink ref="L1546" r:id="rId3087" location="" tooltip="" display=""/>
    <hyperlink ref="R1546" r:id="rId3088" location="" tooltip="" display=""/>
    <hyperlink ref="L1547" r:id="rId3089" location="" tooltip="" display=""/>
    <hyperlink ref="R1547" r:id="rId3090" location="" tooltip="" display=""/>
    <hyperlink ref="L1548" r:id="rId3091" location="" tooltip="" display=""/>
    <hyperlink ref="R1548" r:id="rId3092" location="" tooltip="" display=""/>
    <hyperlink ref="L1550" r:id="rId3093" location="" tooltip="" display=""/>
    <hyperlink ref="R1550" r:id="rId3094" location="" tooltip="" display=""/>
    <hyperlink ref="L1551" r:id="rId3095" location="" tooltip="" display=""/>
    <hyperlink ref="R1551" r:id="rId3096" location="" tooltip="" display=""/>
    <hyperlink ref="K1552" r:id="rId3097" location="" tooltip="" display=""/>
    <hyperlink ref="L1552" r:id="rId3098" location="" tooltip="" display=""/>
    <hyperlink ref="Q1552" r:id="rId3099" location="" tooltip="" display=""/>
    <hyperlink ref="R1552" r:id="rId3100" location="" tooltip="" display=""/>
    <hyperlink ref="L1553" r:id="rId3101" location="" tooltip="" display=""/>
    <hyperlink ref="R1553" r:id="rId3102" location="" tooltip="" display=""/>
    <hyperlink ref="L1554" r:id="rId3103" location="" tooltip="" display=""/>
    <hyperlink ref="R1554" r:id="rId3104" location="" tooltip="" display=""/>
    <hyperlink ref="L1555" r:id="rId3105" location="" tooltip="" display=""/>
    <hyperlink ref="R1555" r:id="rId3106" location="" tooltip="" display=""/>
    <hyperlink ref="K1557" r:id="rId3107" location="" tooltip="" display=""/>
    <hyperlink ref="L1557" r:id="rId3108" location="" tooltip="" display=""/>
    <hyperlink ref="Q1557" r:id="rId3109" location="" tooltip="" display=""/>
    <hyperlink ref="R1557" r:id="rId3110" location="" tooltip="" display=""/>
    <hyperlink ref="L1558" r:id="rId3111" location="" tooltip="" display=""/>
    <hyperlink ref="R1558" r:id="rId3112" location="" tooltip="" display=""/>
    <hyperlink ref="K1560" r:id="rId3113" location="" tooltip="" display=""/>
    <hyperlink ref="L1560" r:id="rId3114" location="" tooltip="" display=""/>
    <hyperlink ref="Q1560" r:id="rId3115" location="" tooltip="" display=""/>
    <hyperlink ref="R1560" r:id="rId3116" location="" tooltip="" display=""/>
    <hyperlink ref="K1562" r:id="rId3117" location="" tooltip="" display=""/>
    <hyperlink ref="L1562" r:id="rId3118" location="" tooltip="" display=""/>
    <hyperlink ref="Q1562" r:id="rId3119" location="" tooltip="" display=""/>
    <hyperlink ref="R1562" r:id="rId3120" location="" tooltip="" display=""/>
    <hyperlink ref="L1564" r:id="rId3121" location="" tooltip="" display=""/>
    <hyperlink ref="R1564" r:id="rId3122" location="" tooltip="" display=""/>
    <hyperlink ref="K1565" r:id="rId3123" location="" tooltip="" display=""/>
    <hyperlink ref="L1565" r:id="rId3124" location="" tooltip="" display=""/>
    <hyperlink ref="Q1565" r:id="rId3125" location="" tooltip="" display=""/>
    <hyperlink ref="R1565" r:id="rId3126" location="" tooltip="" display=""/>
    <hyperlink ref="L1566" r:id="rId3127" location="" tooltip="" display=""/>
    <hyperlink ref="R1566" r:id="rId3128" location="" tooltip="" display=""/>
    <hyperlink ref="L1567" r:id="rId3129" location="" tooltip="" display=""/>
    <hyperlink ref="R1567" r:id="rId3130" location="" tooltip="" display=""/>
    <hyperlink ref="L1569" r:id="rId3131" location="" tooltip="" display=""/>
    <hyperlink ref="R1569" r:id="rId3132" location="" tooltip="" display=""/>
    <hyperlink ref="L1570" r:id="rId3133" location="" tooltip="" display=""/>
    <hyperlink ref="R1570" r:id="rId3134" location="" tooltip="" display=""/>
    <hyperlink ref="K1571" r:id="rId3135" location="" tooltip="" display=""/>
    <hyperlink ref="L1571" r:id="rId3136" location="" tooltip="" display=""/>
    <hyperlink ref="Q1571" r:id="rId3137" location="" tooltip="" display=""/>
    <hyperlink ref="R1571" r:id="rId3138" location="" tooltip="" display=""/>
    <hyperlink ref="L1572" r:id="rId3139" location="" tooltip="" display=""/>
    <hyperlink ref="R1572" r:id="rId3140" location="" tooltip="" display=""/>
    <hyperlink ref="L1573" r:id="rId3141" location="" tooltip="" display=""/>
    <hyperlink ref="R1573" r:id="rId3142" location="" tooltip="" display=""/>
    <hyperlink ref="L1574" r:id="rId3143" location="" tooltip="" display=""/>
    <hyperlink ref="R1574" r:id="rId3144" location="" tooltip="" display=""/>
    <hyperlink ref="L1576" r:id="rId3145" location="" tooltip="" display=""/>
    <hyperlink ref="R1576" r:id="rId3146" location="" tooltip="" display=""/>
    <hyperlink ref="L1577" r:id="rId3147" location="" tooltip="" display=""/>
    <hyperlink ref="R1577" r:id="rId3148" location="" tooltip="" display=""/>
    <hyperlink ref="L1578" r:id="rId3149" location="" tooltip="" display=""/>
    <hyperlink ref="R1578" r:id="rId3150" location="" tooltip="" display=""/>
    <hyperlink ref="K1579" r:id="rId3151" location="" tooltip="" display=""/>
    <hyperlink ref="L1579" r:id="rId3152" location="" tooltip="" display=""/>
    <hyperlink ref="Q1579" r:id="rId3153" location="" tooltip="" display=""/>
    <hyperlink ref="R1579" r:id="rId3154" location="" tooltip="" display=""/>
    <hyperlink ref="L1580" r:id="rId3155" location="" tooltip="" display=""/>
    <hyperlink ref="R1580" r:id="rId3156" location="" tooltip="" display=""/>
    <hyperlink ref="L1581" r:id="rId3157" location="" tooltip="" display=""/>
    <hyperlink ref="R1581" r:id="rId3158" location="" tooltip="" display=""/>
    <hyperlink ref="L1582" r:id="rId3159" location="" tooltip="" display=""/>
    <hyperlink ref="R1582" r:id="rId3160" location="" tooltip="" display=""/>
    <hyperlink ref="K1584" r:id="rId3161" location="" tooltip="" display=""/>
    <hyperlink ref="L1584" r:id="rId3162" location="" tooltip="" display=""/>
    <hyperlink ref="Q1584" r:id="rId3163" location="" tooltip="" display=""/>
    <hyperlink ref="R1584" r:id="rId3164" location="" tooltip="" display=""/>
    <hyperlink ref="L1585" r:id="rId3165" location="" tooltip="" display=""/>
    <hyperlink ref="R1585" r:id="rId3166" location="" tooltip="" display=""/>
    <hyperlink ref="L1587" r:id="rId3167" location="" tooltip="" display=""/>
    <hyperlink ref="R1587" r:id="rId3168" location="" tooltip="" display=""/>
    <hyperlink ref="L1588" r:id="rId3169" location="" tooltip="" display=""/>
    <hyperlink ref="R1588" r:id="rId3170" location="" tooltip="" display=""/>
    <hyperlink ref="K1589" r:id="rId3171" location="" tooltip="" display=""/>
    <hyperlink ref="L1589" r:id="rId3172" location="" tooltip="" display=""/>
    <hyperlink ref="Q1589" r:id="rId3173" location="" tooltip="" display=""/>
    <hyperlink ref="R1589" r:id="rId3174" location="" tooltip="" display=""/>
    <hyperlink ref="L1590" r:id="rId3175" location="" tooltip="" display=""/>
    <hyperlink ref="R1590" r:id="rId3176" location="" tooltip="" display=""/>
    <hyperlink ref="L1591" r:id="rId3177" location="" tooltip="" display=""/>
    <hyperlink ref="R1591" r:id="rId3178" location="" tooltip="" display=""/>
    <hyperlink ref="K1593" r:id="rId3179" location="" tooltip="" display=""/>
    <hyperlink ref="L1593" r:id="rId3180" location="" tooltip="" display=""/>
    <hyperlink ref="Q1593" r:id="rId3181" location="" tooltip="" display=""/>
    <hyperlink ref="R1593" r:id="rId3182" location="" tooltip="" display=""/>
    <hyperlink ref="L1594" r:id="rId3183" location="" tooltip="" display=""/>
    <hyperlink ref="R1594" r:id="rId3184" location="" tooltip="" display=""/>
    <hyperlink ref="K1596" r:id="rId3185" location="" tooltip="" display=""/>
    <hyperlink ref="L1596" r:id="rId3186" location="" tooltip="" display=""/>
    <hyperlink ref="Q1596" r:id="rId3187" location="" tooltip="" display=""/>
    <hyperlink ref="R1596" r:id="rId3188" location="" tooltip="" display=""/>
    <hyperlink ref="L1597" r:id="rId3189" location="" tooltip="" display=""/>
    <hyperlink ref="R1597" r:id="rId3190" location="" tooltip="" display=""/>
    <hyperlink ref="L1599" r:id="rId3191" location="" tooltip="" display=""/>
    <hyperlink ref="R1599" r:id="rId3192" location="" tooltip="" display=""/>
    <hyperlink ref="K1600" r:id="rId3193" location="" tooltip="" display=""/>
    <hyperlink ref="L1600" r:id="rId3194" location="" tooltip="" display=""/>
    <hyperlink ref="Q1600" r:id="rId3195" location="" tooltip="" display=""/>
    <hyperlink ref="R1600" r:id="rId3196" location="" tooltip="" display=""/>
    <hyperlink ref="L1601" r:id="rId3197" location="" tooltip="" display=""/>
    <hyperlink ref="R1601" r:id="rId3198" location="" tooltip="" display=""/>
    <hyperlink ref="K1603" r:id="rId3199" location="" tooltip="" display=""/>
    <hyperlink ref="L1603" r:id="rId3200" location="" tooltip="" display=""/>
    <hyperlink ref="Q1603" r:id="rId3201" location="" tooltip="" display=""/>
    <hyperlink ref="R1603" r:id="rId3202" location="" tooltip="" display=""/>
    <hyperlink ref="L1605" r:id="rId3203" location="" tooltip="" display=""/>
    <hyperlink ref="R1605" r:id="rId3204" location="" tooltip="" display=""/>
    <hyperlink ref="K1606" r:id="rId3205" location="" tooltip="" display=""/>
    <hyperlink ref="L1606" r:id="rId3206" location="" tooltip="" display=""/>
    <hyperlink ref="Q1606" r:id="rId3207" location="" tooltip="" display=""/>
    <hyperlink ref="R1606" r:id="rId3208" location="" tooltip="" display=""/>
    <hyperlink ref="L1607" r:id="rId3209" location="" tooltip="" display=""/>
    <hyperlink ref="R1607" r:id="rId3210" location="" tooltip="" display=""/>
    <hyperlink ref="L1609" r:id="rId3211" location="" tooltip="" display=""/>
    <hyperlink ref="R1609" r:id="rId3212" location="" tooltip="" display=""/>
    <hyperlink ref="K1610" r:id="rId3213" location="" tooltip="" display=""/>
    <hyperlink ref="L1610" r:id="rId3214" location="" tooltip="" display=""/>
    <hyperlink ref="Q1610" r:id="rId3215" location="" tooltip="" display=""/>
    <hyperlink ref="R1610" r:id="rId3216" location="" tooltip="" display=""/>
    <hyperlink ref="L1611" r:id="rId3217" location="" tooltip="" display=""/>
    <hyperlink ref="R1611" r:id="rId3218" location="" tooltip="" display=""/>
    <hyperlink ref="L1612" r:id="rId3219" location="" tooltip="" display=""/>
    <hyperlink ref="R1612" r:id="rId3220" location="" tooltip="" display=""/>
    <hyperlink ref="L1614" r:id="rId3221" location="" tooltip="" display=""/>
    <hyperlink ref="R1614" r:id="rId3222" location="" tooltip="" display=""/>
    <hyperlink ref="K1615" r:id="rId3223" location="" tooltip="" display=""/>
    <hyperlink ref="L1615" r:id="rId3224" location="" tooltip="" display=""/>
    <hyperlink ref="Q1615" r:id="rId3225" location="" tooltip="" display=""/>
    <hyperlink ref="R1615" r:id="rId3226" location="" tooltip="" display=""/>
    <hyperlink ref="L1616" r:id="rId3227" location="" tooltip="" display=""/>
    <hyperlink ref="R1616" r:id="rId3228" location="" tooltip="" display=""/>
    <hyperlink ref="L1617" r:id="rId3229" location="" tooltip="" display=""/>
    <hyperlink ref="R1617" r:id="rId3230" location="" tooltip="" display=""/>
    <hyperlink ref="K1619" r:id="rId3231" location="" tooltip="" display=""/>
    <hyperlink ref="L1619" r:id="rId3232" location="" tooltip="" display=""/>
    <hyperlink ref="Q1619" r:id="rId3233" location="" tooltip="" display=""/>
    <hyperlink ref="R1619" r:id="rId3234" location="" tooltip="" display=""/>
    <hyperlink ref="L1620" r:id="rId3235" location="" tooltip="" display=""/>
    <hyperlink ref="R1620" r:id="rId3236" location="" tooltip="" display=""/>
    <hyperlink ref="K1622" r:id="rId3237" location="" tooltip="" display=""/>
    <hyperlink ref="L1622" r:id="rId3238" location="" tooltip="" display=""/>
    <hyperlink ref="Q1622" r:id="rId3239" location="" tooltip="" display=""/>
    <hyperlink ref="R1622" r:id="rId3240" location="" tooltip="" display=""/>
    <hyperlink ref="L1623" r:id="rId3241" location="" tooltip="" display=""/>
    <hyperlink ref="R1623" r:id="rId3242" location="" tooltip="" display=""/>
    <hyperlink ref="K1625" r:id="rId3243" location="" tooltip="" display=""/>
    <hyperlink ref="L1625" r:id="rId3244" location="" tooltip="" display=""/>
    <hyperlink ref="Q1625" r:id="rId3245" location="" tooltip="" display=""/>
    <hyperlink ref="R1625" r:id="rId3246" location="" tooltip="" display=""/>
    <hyperlink ref="K1627" r:id="rId3247" location="" tooltip="" display=""/>
    <hyperlink ref="L1627" r:id="rId3248" location="" tooltip="" display=""/>
    <hyperlink ref="Q1627" r:id="rId3249" location="" tooltip="" display=""/>
    <hyperlink ref="R1627" r:id="rId3250" location="" tooltip="" display=""/>
    <hyperlink ref="L1629" r:id="rId3251" location="" tooltip="" display=""/>
    <hyperlink ref="R1629" r:id="rId3252" location="" tooltip="" display=""/>
    <hyperlink ref="K1630" r:id="rId3253" location="" tooltip="" display=""/>
    <hyperlink ref="L1630" r:id="rId3254" location="" tooltip="" display=""/>
    <hyperlink ref="Q1630" r:id="rId3255" location="" tooltip="" display=""/>
    <hyperlink ref="R1630" r:id="rId3256" location="" tooltip="" display=""/>
    <hyperlink ref="L1631" r:id="rId3257" location="" tooltip="" display=""/>
    <hyperlink ref="R1631" r:id="rId3258" location="" tooltip="" display=""/>
    <hyperlink ref="K1633" r:id="rId3259" location="" tooltip="" display=""/>
    <hyperlink ref="L1633" r:id="rId3260" location="" tooltip="" display=""/>
    <hyperlink ref="Q1633" r:id="rId3261" location="" tooltip="" display=""/>
    <hyperlink ref="R1633" r:id="rId3262" location="" tooltip="" display=""/>
    <hyperlink ref="L1635" r:id="rId3263" location="" tooltip="" display=""/>
    <hyperlink ref="R1635" r:id="rId3264" location="" tooltip="" display=""/>
    <hyperlink ref="L1636" r:id="rId3265" location="" tooltip="" display=""/>
    <hyperlink ref="R1636" r:id="rId3266" location="" tooltip="" display=""/>
    <hyperlink ref="K1637" r:id="rId3267" location="" tooltip="" display=""/>
    <hyperlink ref="L1637" r:id="rId3268" location="" tooltip="" display=""/>
    <hyperlink ref="Q1637" r:id="rId3269" location="" tooltip="" display=""/>
    <hyperlink ref="R1637" r:id="rId3270" location="" tooltip="" display=""/>
    <hyperlink ref="L1638" r:id="rId3271" location="" tooltip="" display=""/>
    <hyperlink ref="R1638" r:id="rId3272" location="" tooltip="" display=""/>
    <hyperlink ref="L1639" r:id="rId3273" location="" tooltip="" display=""/>
    <hyperlink ref="R1639" r:id="rId3274" location="" tooltip="" display=""/>
    <hyperlink ref="L1641" r:id="rId3275" location="" tooltip="" display=""/>
    <hyperlink ref="R1641" r:id="rId3276" location="" tooltip="" display=""/>
    <hyperlink ref="K1642" r:id="rId3277" location="" tooltip="" display=""/>
    <hyperlink ref="L1642" r:id="rId3278" location="" tooltip="" display=""/>
    <hyperlink ref="Q1642" r:id="rId3279" location="" tooltip="" display=""/>
    <hyperlink ref="R1642" r:id="rId3280" location="" tooltip="" display=""/>
    <hyperlink ref="L1643" r:id="rId3281" location="" tooltip="" display=""/>
    <hyperlink ref="R1643" r:id="rId3282" location="" tooltip="" display=""/>
    <hyperlink ref="L1644" r:id="rId3283" location="" tooltip="" display=""/>
    <hyperlink ref="R1644" r:id="rId3284" location="" tooltip="" display=""/>
    <hyperlink ref="K1646" r:id="rId3285" location="" tooltip="" display=""/>
    <hyperlink ref="L1646" r:id="rId3286" location="" tooltip="" display=""/>
    <hyperlink ref="Q1646" r:id="rId3287" location="" tooltip="" display=""/>
    <hyperlink ref="R1646" r:id="rId3288" location="" tooltip="" display=""/>
    <hyperlink ref="L1648" r:id="rId3289" location="" tooltip="" display=""/>
    <hyperlink ref="R1648" r:id="rId3290" location="" tooltip="" display=""/>
    <hyperlink ref="K1649" r:id="rId3291" location="" tooltip="" display=""/>
    <hyperlink ref="L1649" r:id="rId3292" location="" tooltip="" display=""/>
    <hyperlink ref="Q1649" r:id="rId3293" location="" tooltip="" display=""/>
    <hyperlink ref="R1649" r:id="rId3294" location="" tooltip="" display=""/>
    <hyperlink ref="L1650" r:id="rId3295" location="" tooltip="" display=""/>
    <hyperlink ref="R1650" r:id="rId3296" location="" tooltip="" display=""/>
    <hyperlink ref="L1651" r:id="rId3297" location="" tooltip="" display=""/>
    <hyperlink ref="R1651" r:id="rId3298" location="" tooltip="" display=""/>
    <hyperlink ref="L1653" r:id="rId3299" location="" tooltip="" display=""/>
    <hyperlink ref="R1653" r:id="rId3300" location="" tooltip="" display=""/>
    <hyperlink ref="K1654" r:id="rId3301" location="" tooltip="" display=""/>
    <hyperlink ref="L1654" r:id="rId3302" location="" tooltip="" display=""/>
    <hyperlink ref="Q1654" r:id="rId3303" location="" tooltip="" display=""/>
    <hyperlink ref="R1654" r:id="rId3304" location="" tooltip="" display=""/>
    <hyperlink ref="L1655" r:id="rId3305" location="" tooltip="" display=""/>
    <hyperlink ref="R1655" r:id="rId3306" location="" tooltip="" display=""/>
    <hyperlink ref="L1656" r:id="rId3307" location="" tooltip="" display=""/>
    <hyperlink ref="R1656" r:id="rId3308" location="" tooltip="" display=""/>
    <hyperlink ref="L1658" r:id="rId3309" location="" tooltip="" display=""/>
    <hyperlink ref="R1658" r:id="rId3310" location="" tooltip="" display=""/>
    <hyperlink ref="K1659" r:id="rId3311" location="" tooltip="" display=""/>
    <hyperlink ref="L1659" r:id="rId3312" location="" tooltip="" display=""/>
    <hyperlink ref="Q1659" r:id="rId3313" location="" tooltip="" display=""/>
    <hyperlink ref="R1659" r:id="rId3314" location="" tooltip="" display=""/>
    <hyperlink ref="L1660" r:id="rId3315" location="" tooltip="" display=""/>
    <hyperlink ref="R1660" r:id="rId3316" location="" tooltip="" display=""/>
    <hyperlink ref="L1661" r:id="rId3317" location="" tooltip="" display=""/>
    <hyperlink ref="R1661" r:id="rId3318" location="" tooltip="" display=""/>
    <hyperlink ref="L1663" r:id="rId3319" location="" tooltip="" display=""/>
    <hyperlink ref="R1663" r:id="rId3320" location="" tooltip="" display=""/>
    <hyperlink ref="K1664" r:id="rId3321" location="" tooltip="" display=""/>
    <hyperlink ref="L1664" r:id="rId3322" location="" tooltip="" display=""/>
    <hyperlink ref="Q1664" r:id="rId3323" location="" tooltip="" display=""/>
    <hyperlink ref="R1664" r:id="rId3324" location="" tooltip="" display=""/>
    <hyperlink ref="L1665" r:id="rId3325" location="" tooltip="" display=""/>
    <hyperlink ref="R1665" r:id="rId3326" location="" tooltip="" display=""/>
    <hyperlink ref="L1667" r:id="rId3327" location="" tooltip="" display=""/>
    <hyperlink ref="R1667" r:id="rId3328" location="" tooltip="" display=""/>
    <hyperlink ref="K1668" r:id="rId3329" location="" tooltip="" display=""/>
    <hyperlink ref="L1668" r:id="rId3330" location="" tooltip="" display=""/>
    <hyperlink ref="Q1668" r:id="rId3331" location="" tooltip="" display=""/>
    <hyperlink ref="R1668" r:id="rId3332" location="" tooltip="" display=""/>
    <hyperlink ref="L1669" r:id="rId3333" location="" tooltip="" display=""/>
    <hyperlink ref="R1669" r:id="rId3334" location="" tooltip="" display=""/>
    <hyperlink ref="L1671" r:id="rId3335" location="" tooltip="" display=""/>
    <hyperlink ref="R1671" r:id="rId3336" location="" tooltip="" display=""/>
    <hyperlink ref="K1672" r:id="rId3337" location="" tooltip="" display=""/>
    <hyperlink ref="L1672" r:id="rId3338" location="" tooltip="" display=""/>
    <hyperlink ref="Q1672" r:id="rId3339" location="" tooltip="" display=""/>
    <hyperlink ref="R1672" r:id="rId3340" location="" tooltip="" display=""/>
    <hyperlink ref="L1673" r:id="rId3341" location="" tooltip="" display=""/>
    <hyperlink ref="R1673" r:id="rId3342" location="" tooltip="" display=""/>
    <hyperlink ref="L1675" r:id="rId3343" location="" tooltip="" display=""/>
    <hyperlink ref="R1675" r:id="rId3344" location="" tooltip="" display=""/>
    <hyperlink ref="K1676" r:id="rId3345" location="" tooltip="" display=""/>
    <hyperlink ref="L1676" r:id="rId3346" location="" tooltip="" display=""/>
    <hyperlink ref="Q1676" r:id="rId3347" location="" tooltip="" display=""/>
    <hyperlink ref="R1676" r:id="rId3348" location="" tooltip="" display=""/>
    <hyperlink ref="L1677" r:id="rId3349" location="" tooltip="" display=""/>
    <hyperlink ref="R1677" r:id="rId3350" location="" tooltip="" display=""/>
    <hyperlink ref="L1679" r:id="rId3351" location="" tooltip="" display=""/>
    <hyperlink ref="R1679" r:id="rId3352" location="" tooltip="" display=""/>
    <hyperlink ref="K1680" r:id="rId3353" location="" tooltip="" display=""/>
    <hyperlink ref="L1680" r:id="rId3354" location="" tooltip="" display=""/>
    <hyperlink ref="Q1680" r:id="rId3355" location="" tooltip="" display=""/>
    <hyperlink ref="R1680" r:id="rId3356" location="" tooltip="" display=""/>
    <hyperlink ref="L1681" r:id="rId3357" location="" tooltip="" display=""/>
    <hyperlink ref="R1681" r:id="rId3358" location="" tooltip="" display=""/>
    <hyperlink ref="L1682" r:id="rId3359" location="" tooltip="" display=""/>
    <hyperlink ref="R1682" r:id="rId3360" location="" tooltip="" display=""/>
    <hyperlink ref="K1684" r:id="rId3361" location="" tooltip="" display=""/>
    <hyperlink ref="L1684" r:id="rId3362" location="" tooltip="" display=""/>
    <hyperlink ref="Q1684" r:id="rId3363" location="" tooltip="" display=""/>
    <hyperlink ref="R1684" r:id="rId3364" location="" tooltip="" display=""/>
    <hyperlink ref="L1686" r:id="rId3365" location="" tooltip="" display=""/>
    <hyperlink ref="R1686" r:id="rId3366" location="" tooltip="" display=""/>
    <hyperlink ref="L1687" r:id="rId3367" location="" tooltip="" display=""/>
    <hyperlink ref="R1687" r:id="rId3368" location="" tooltip="" display=""/>
    <hyperlink ref="L1688" r:id="rId3369" location="" tooltip="" display=""/>
    <hyperlink ref="R1688" r:id="rId3370" location="" tooltip="" display=""/>
    <hyperlink ref="K1689" r:id="rId3371" location="" tooltip="" display=""/>
    <hyperlink ref="L1689" r:id="rId3372" location="" tooltip="" display=""/>
    <hyperlink ref="Q1689" r:id="rId3373" location="" tooltip="" display=""/>
    <hyperlink ref="R1689" r:id="rId3374" location="" tooltip="" display=""/>
    <hyperlink ref="L1690" r:id="rId3375" location="" tooltip="" display=""/>
    <hyperlink ref="R1690" r:id="rId3376" location="" tooltip="" display=""/>
    <hyperlink ref="L1691" r:id="rId3377" location="" tooltip="" display=""/>
    <hyperlink ref="R1691" r:id="rId3378" location="" tooltip="" display=""/>
    <hyperlink ref="L1692" r:id="rId3379" location="" tooltip="" display=""/>
    <hyperlink ref="R1692" r:id="rId3380" location="" tooltip="" display=""/>
    <hyperlink ref="L1693" r:id="rId3381" location="" tooltip="" display=""/>
    <hyperlink ref="R1693" r:id="rId3382" location="" tooltip="" display=""/>
    <hyperlink ref="L1695" r:id="rId3383" location="" tooltip="" display=""/>
    <hyperlink ref="R1695" r:id="rId3384" location="" tooltip="" display=""/>
    <hyperlink ref="K1696" r:id="rId3385" location="" tooltip="" display=""/>
    <hyperlink ref="L1696" r:id="rId3386" location="" tooltip="" display=""/>
    <hyperlink ref="Q1696" r:id="rId3387" location="" tooltip="" display=""/>
    <hyperlink ref="R1696" r:id="rId3388" location="" tooltip="" display=""/>
    <hyperlink ref="L1697" r:id="rId3389" location="" tooltip="" display=""/>
    <hyperlink ref="R1697" r:id="rId3390" location="" tooltip="" display=""/>
    <hyperlink ref="L1698" r:id="rId3391" location="" tooltip="" display=""/>
    <hyperlink ref="R1698" r:id="rId3392" location="" tooltip="" display=""/>
    <hyperlink ref="L1700" r:id="rId3393" location="" tooltip="" display=""/>
    <hyperlink ref="R1700" r:id="rId3394" location="" tooltip="" display=""/>
    <hyperlink ref="K1701" r:id="rId3395" location="" tooltip="" display=""/>
    <hyperlink ref="L1701" r:id="rId3396" location="" tooltip="" display=""/>
    <hyperlink ref="Q1701" r:id="rId3397" location="" tooltip="" display=""/>
    <hyperlink ref="R1701" r:id="rId3398" location="" tooltip="" display=""/>
    <hyperlink ref="L1702" r:id="rId3399" location="" tooltip="" display=""/>
    <hyperlink ref="R1702" r:id="rId3400" location="" tooltip="" display=""/>
    <hyperlink ref="L1703" r:id="rId3401" location="" tooltip="" display=""/>
    <hyperlink ref="R1703" r:id="rId3402" location="" tooltip="" display=""/>
    <hyperlink ref="L1705" r:id="rId3403" location="" tooltip="" display=""/>
    <hyperlink ref="R1705" r:id="rId3404" location="" tooltip="" display=""/>
    <hyperlink ref="L1706" r:id="rId3405" location="" tooltip="" display=""/>
    <hyperlink ref="R1706" r:id="rId3406" location="" tooltip="" display=""/>
    <hyperlink ref="L1707" r:id="rId3407" location="" tooltip="" display=""/>
    <hyperlink ref="R1707" r:id="rId3408" location="" tooltip="" display=""/>
    <hyperlink ref="L1708" r:id="rId3409" location="" tooltip="" display=""/>
    <hyperlink ref="R1708" r:id="rId3410" location="" tooltip="" display=""/>
    <hyperlink ref="L1709" r:id="rId3411" location="" tooltip="" display=""/>
    <hyperlink ref="R1709" r:id="rId3412" location="" tooltip="" display=""/>
    <hyperlink ref="L1710" r:id="rId3413" location="" tooltip="" display=""/>
    <hyperlink ref="R1710" r:id="rId3414" location="" tooltip="" display=""/>
    <hyperlink ref="L1711" r:id="rId3415" location="" tooltip="" display=""/>
    <hyperlink ref="R1711" r:id="rId3416" location="" tooltip="" display=""/>
    <hyperlink ref="K1712" r:id="rId3417" location="" tooltip="" display=""/>
    <hyperlink ref="L1712" r:id="rId3418" location="" tooltip="" display=""/>
    <hyperlink ref="Q1712" r:id="rId3419" location="" tooltip="" display=""/>
    <hyperlink ref="R1712" r:id="rId3420" location="" tooltip="" display=""/>
    <hyperlink ref="L1713" r:id="rId3421" location="" tooltip="" display=""/>
    <hyperlink ref="R1713" r:id="rId3422" location="" tooltip="" display=""/>
    <hyperlink ref="L1714" r:id="rId3423" location="" tooltip="" display=""/>
    <hyperlink ref="R1714" r:id="rId3424" location="" tooltip="" display=""/>
    <hyperlink ref="L1715" r:id="rId3425" location="" tooltip="" display=""/>
    <hyperlink ref="R1715" r:id="rId3426" location="" tooltip="" display=""/>
    <hyperlink ref="L1716" r:id="rId3427" location="" tooltip="" display=""/>
    <hyperlink ref="R1716" r:id="rId3428" location="" tooltip="" display=""/>
    <hyperlink ref="L1717" r:id="rId3429" location="" tooltip="" display=""/>
    <hyperlink ref="R1717" r:id="rId3430" location="" tooltip="" display=""/>
    <hyperlink ref="L1718" r:id="rId3431" location="" tooltip="" display=""/>
    <hyperlink ref="R1718" r:id="rId3432" location="" tooltip="" display=""/>
    <hyperlink ref="L1719" r:id="rId3433" location="" tooltip="" display=""/>
    <hyperlink ref="R1719" r:id="rId3434" location="" tooltip="" display=""/>
    <hyperlink ref="K1721" r:id="rId3435" location="" tooltip="" display=""/>
    <hyperlink ref="L1721" r:id="rId3436" location="" tooltip="" display=""/>
    <hyperlink ref="Q1721" r:id="rId3437" location="" tooltip="" display=""/>
    <hyperlink ref="R1721" r:id="rId3438" location="" tooltip="" display=""/>
    <hyperlink ref="L1722" r:id="rId3439" location="" tooltip="" display=""/>
    <hyperlink ref="R1722" r:id="rId3440" location="" tooltip="" display=""/>
    <hyperlink ref="L1724" r:id="rId3441" location="" tooltip="" display=""/>
    <hyperlink ref="R1724" r:id="rId3442" location="" tooltip="" display=""/>
    <hyperlink ref="K1725" r:id="rId3443" location="" tooltip="" display=""/>
    <hyperlink ref="L1725" r:id="rId3444" location="" tooltip="" display=""/>
    <hyperlink ref="Q1725" r:id="rId3445" location="" tooltip="" display=""/>
    <hyperlink ref="R1725" r:id="rId3446" location="" tooltip="" display=""/>
    <hyperlink ref="L1726" r:id="rId3447" location="" tooltip="" display=""/>
    <hyperlink ref="R1726" r:id="rId3448" location="" tooltip="" display=""/>
    <hyperlink ref="L1727" r:id="rId3449" location="" tooltip="" display=""/>
    <hyperlink ref="R1727" r:id="rId3450" location="" tooltip="" display=""/>
    <hyperlink ref="L1729" r:id="rId3451" location="" tooltip="" display=""/>
    <hyperlink ref="R1729" r:id="rId3452" location="" tooltip="" display=""/>
    <hyperlink ref="K1730" r:id="rId3453" location="" tooltip="" display=""/>
    <hyperlink ref="L1730" r:id="rId3454" location="" tooltip="" display=""/>
    <hyperlink ref="Q1730" r:id="rId3455" location="" tooltip="" display=""/>
    <hyperlink ref="R1730" r:id="rId3456" location="" tooltip="" display=""/>
    <hyperlink ref="L1731" r:id="rId3457" location="" tooltip="" display=""/>
    <hyperlink ref="R1731" r:id="rId3458" location="" tooltip="" display=""/>
    <hyperlink ref="L1732" r:id="rId3459" location="" tooltip="" display=""/>
    <hyperlink ref="R1732" r:id="rId3460" location="" tooltip="" display=""/>
    <hyperlink ref="L1734" r:id="rId3461" location="" tooltip="" display=""/>
    <hyperlink ref="R1734" r:id="rId3462" location="" tooltip="" display=""/>
    <hyperlink ref="L1735" r:id="rId3463" location="" tooltip="" display=""/>
    <hyperlink ref="R1735" r:id="rId3464" location="" tooltip="" display=""/>
    <hyperlink ref="L1736" r:id="rId3465" location="" tooltip="" display=""/>
    <hyperlink ref="R1736" r:id="rId3466" location="" tooltip="" display=""/>
    <hyperlink ref="K1737" r:id="rId3467" location="" tooltip="" display=""/>
    <hyperlink ref="L1737" r:id="rId3468" location="" tooltip="" display=""/>
    <hyperlink ref="Q1737" r:id="rId3469" location="" tooltip="" display=""/>
    <hyperlink ref="R1737" r:id="rId3470" location="" tooltip="" display=""/>
    <hyperlink ref="L1738" r:id="rId3471" location="" tooltip="" display=""/>
    <hyperlink ref="R1738" r:id="rId3472" location="" tooltip="" display=""/>
    <hyperlink ref="L1739" r:id="rId3473" location="" tooltip="" display=""/>
    <hyperlink ref="R1739" r:id="rId3474" location="" tooltip="" display=""/>
    <hyperlink ref="L1740" r:id="rId3475" location="" tooltip="" display=""/>
    <hyperlink ref="R1740" r:id="rId3476" location="" tooltip="" display=""/>
    <hyperlink ref="L1741" r:id="rId3477" location="" tooltip="" display=""/>
    <hyperlink ref="R1741" r:id="rId3478" location="" tooltip="" display=""/>
    <hyperlink ref="L1743" r:id="rId3479" location="" tooltip="" display=""/>
    <hyperlink ref="R1743" r:id="rId3480" location="" tooltip="" display=""/>
    <hyperlink ref="L1744" r:id="rId3481" location="" tooltip="" display=""/>
    <hyperlink ref="R1744" r:id="rId3482" location="" tooltip="" display=""/>
    <hyperlink ref="K1745" r:id="rId3483" location="" tooltip="" display=""/>
    <hyperlink ref="L1745" r:id="rId3484" location="" tooltip="" display=""/>
    <hyperlink ref="Q1745" r:id="rId3485" location="" tooltip="" display=""/>
    <hyperlink ref="R1745" r:id="rId3486" location="" tooltip="" display=""/>
    <hyperlink ref="L1746" r:id="rId3487" location="" tooltip="" display=""/>
    <hyperlink ref="R1746" r:id="rId3488" location="" tooltip="" display=""/>
    <hyperlink ref="L1747" r:id="rId3489" location="" tooltip="" display=""/>
    <hyperlink ref="R1747" r:id="rId3490" location="" tooltip="" display=""/>
    <hyperlink ref="L1748" r:id="rId3491" location="" tooltip="" display=""/>
    <hyperlink ref="R1748" r:id="rId3492" location="" tooltip="" display=""/>
    <hyperlink ref="L1750" r:id="rId3493" location="" tooltip="" display=""/>
    <hyperlink ref="R1750" r:id="rId3494" location="" tooltip="" display=""/>
    <hyperlink ref="L1751" r:id="rId3495" location="" tooltip="" display=""/>
    <hyperlink ref="R1751" r:id="rId3496" location="" tooltip="" display=""/>
    <hyperlink ref="L1752" r:id="rId3497" location="" tooltip="" display=""/>
    <hyperlink ref="R1752" r:id="rId3498" location="" tooltip="" display=""/>
    <hyperlink ref="L1753" r:id="rId3499" location="" tooltip="" display=""/>
    <hyperlink ref="R1753" r:id="rId3500" location="" tooltip="" display=""/>
    <hyperlink ref="K1754" r:id="rId3501" location="" tooltip="" display=""/>
    <hyperlink ref="L1754" r:id="rId3502" location="" tooltip="" display=""/>
    <hyperlink ref="Q1754" r:id="rId3503" location="" tooltip="" display=""/>
    <hyperlink ref="R1754" r:id="rId3504" location="" tooltip="" display=""/>
    <hyperlink ref="L1755" r:id="rId3505" location="" tooltip="" display=""/>
    <hyperlink ref="R1755" r:id="rId3506" location="" tooltip="" display=""/>
    <hyperlink ref="L1756" r:id="rId3507" location="" tooltip="" display=""/>
    <hyperlink ref="R1756" r:id="rId3508" location="" tooltip="" display=""/>
    <hyperlink ref="L1757" r:id="rId3509" location="" tooltip="" display=""/>
    <hyperlink ref="R1757" r:id="rId3510" location="" tooltip="" display=""/>
    <hyperlink ref="L1758" r:id="rId3511" location="" tooltip="" display=""/>
    <hyperlink ref="R1758" r:id="rId3512" location="" tooltip="" display=""/>
    <hyperlink ref="L1759" r:id="rId3513" location="" tooltip="" display=""/>
    <hyperlink ref="R1759" r:id="rId3514" location="" tooltip="" display=""/>
    <hyperlink ref="K1761" r:id="rId3515" location="" tooltip="" display=""/>
    <hyperlink ref="L1761" r:id="rId3516" location="" tooltip="" display=""/>
    <hyperlink ref="Q1761" r:id="rId3517" location="" tooltip="" display=""/>
    <hyperlink ref="R1761" r:id="rId3518" location="" tooltip="" display=""/>
    <hyperlink ref="L1762" r:id="rId3519" location="" tooltip="" display=""/>
    <hyperlink ref="R1762" r:id="rId3520" location="" tooltip="" display=""/>
    <hyperlink ref="L1764" r:id="rId3521" location="" tooltip="" display=""/>
    <hyperlink ref="R1764" r:id="rId3522" location="" tooltip="" display=""/>
    <hyperlink ref="K1765" r:id="rId3523" location="" tooltip="" display=""/>
    <hyperlink ref="L1765" r:id="rId3524" location="" tooltip="" display=""/>
    <hyperlink ref="Q1765" r:id="rId3525" location="" tooltip="" display=""/>
    <hyperlink ref="R1765" r:id="rId3526" location="" tooltip="" display=""/>
    <hyperlink ref="L1766" r:id="rId3527" location="" tooltip="" display=""/>
    <hyperlink ref="R1766" r:id="rId3528" location="" tooltip="" display=""/>
    <hyperlink ref="L1767" r:id="rId3529" location="" tooltip="" display=""/>
    <hyperlink ref="R1767" r:id="rId3530" location="" tooltip="" display=""/>
    <hyperlink ref="K1769" r:id="rId3531" location="" tooltip="" display=""/>
    <hyperlink ref="L1769" r:id="rId3532" location="" tooltip="" display=""/>
    <hyperlink ref="Q1769" r:id="rId3533" location="" tooltip="" display=""/>
    <hyperlink ref="R1769" r:id="rId3534" location="" tooltip="" display=""/>
    <hyperlink ref="L1770" r:id="rId3535" location="" tooltip="" display=""/>
    <hyperlink ref="R1770" r:id="rId3536" location="" tooltip="" display=""/>
    <hyperlink ref="L1772" r:id="rId3537" location="" tooltip="" display=""/>
    <hyperlink ref="R1772" r:id="rId3538" location="" tooltip="" display=""/>
    <hyperlink ref="K1773" r:id="rId3539" location="" tooltip="" display=""/>
    <hyperlink ref="L1773" r:id="rId3540" location="" tooltip="" display=""/>
    <hyperlink ref="Q1773" r:id="rId3541" location="" tooltip="" display=""/>
    <hyperlink ref="R1773" r:id="rId3542" location="" tooltip="" display=""/>
    <hyperlink ref="L1774" r:id="rId3543" location="" tooltip="" display=""/>
    <hyperlink ref="R1774" r:id="rId3544" location="" tooltip="" display=""/>
    <hyperlink ref="L1775" r:id="rId3545" location="" tooltip="" display=""/>
    <hyperlink ref="R1775" r:id="rId3546" location="" tooltip="" display=""/>
    <hyperlink ref="L1777" r:id="rId3547" location="" tooltip="" display=""/>
    <hyperlink ref="R1777" r:id="rId3548" location="" tooltip="" display=""/>
    <hyperlink ref="L1778" r:id="rId3549" location="" tooltip="" display=""/>
    <hyperlink ref="R1778" r:id="rId3550" location="" tooltip="" display=""/>
    <hyperlink ref="K1779" r:id="rId3551" location="" tooltip="" display=""/>
    <hyperlink ref="L1779" r:id="rId3552" location="" tooltip="" display=""/>
    <hyperlink ref="Q1779" r:id="rId3553" location="" tooltip="" display=""/>
    <hyperlink ref="R1779" r:id="rId3554" location="" tooltip="" display=""/>
    <hyperlink ref="L1780" r:id="rId3555" location="" tooltip="" display=""/>
    <hyperlink ref="R1780" r:id="rId3556" location="" tooltip="" display=""/>
    <hyperlink ref="L1781" r:id="rId3557" location="" tooltip="" display=""/>
    <hyperlink ref="R1781" r:id="rId3558" location="" tooltip="" display=""/>
    <hyperlink ref="L1782" r:id="rId3559" location="" tooltip="" display=""/>
    <hyperlink ref="R1782" r:id="rId3560" location="" tooltip="" display=""/>
    <hyperlink ref="K1784" r:id="rId3561" location="" tooltip="" display=""/>
    <hyperlink ref="L1784" r:id="rId3562" location="" tooltip="" display=""/>
    <hyperlink ref="Q1784" r:id="rId3563" location="" tooltip="" display=""/>
    <hyperlink ref="R1784" r:id="rId3564" location="" tooltip="" display=""/>
    <hyperlink ref="L1786" r:id="rId3565" location="" tooltip="" display=""/>
    <hyperlink ref="R1786" r:id="rId3566" location="" tooltip="" display=""/>
    <hyperlink ref="L1787" r:id="rId3567" location="" tooltip="" display=""/>
    <hyperlink ref="R1787" r:id="rId3568" location="" tooltip="" display=""/>
    <hyperlink ref="L1788" r:id="rId3569" location="" tooltip="" display=""/>
    <hyperlink ref="R1788" r:id="rId3570" location="" tooltip="" display=""/>
    <hyperlink ref="K1789" r:id="rId3571" location="" tooltip="" display=""/>
    <hyperlink ref="L1789" r:id="rId3572" location="" tooltip="" display=""/>
    <hyperlink ref="Q1789" r:id="rId3573" location="" tooltip="" display=""/>
    <hyperlink ref="R1789" r:id="rId3574" location="" tooltip="" display=""/>
    <hyperlink ref="L1790" r:id="rId3575" location="" tooltip="" display=""/>
    <hyperlink ref="R1790" r:id="rId3576" location="" tooltip="" display=""/>
    <hyperlink ref="L1791" r:id="rId3577" location="" tooltip="" display=""/>
    <hyperlink ref="R1791" r:id="rId3578" location="" tooltip="" display=""/>
    <hyperlink ref="L1792" r:id="rId3579" location="" tooltip="" display=""/>
    <hyperlink ref="R1792" r:id="rId3580" location="" tooltip="" display=""/>
    <hyperlink ref="L1793" r:id="rId3581" location="" tooltip="" display=""/>
    <hyperlink ref="R1793" r:id="rId3582" location="" tooltip="" display=""/>
    <hyperlink ref="L1795" r:id="rId3583" location="" tooltip="" display=""/>
    <hyperlink ref="R1795" r:id="rId3584" location="" tooltip="" display=""/>
    <hyperlink ref="K1796" r:id="rId3585" location="" tooltip="" display=""/>
    <hyperlink ref="L1796" r:id="rId3586" location="" tooltip="" display=""/>
    <hyperlink ref="Q1796" r:id="rId3587" location="" tooltip="" display=""/>
    <hyperlink ref="R1796" r:id="rId3588" location="" tooltip="" display=""/>
    <hyperlink ref="L1797" r:id="rId3589" location="" tooltip="" display=""/>
    <hyperlink ref="R1797" r:id="rId3590" location="" tooltip="" display=""/>
    <hyperlink ref="L1798" r:id="rId3591" location="" tooltip="" display=""/>
    <hyperlink ref="R1798" r:id="rId3592" location="" tooltip="" display=""/>
    <hyperlink ref="K1800" r:id="rId3593" location="" tooltip="" display=""/>
    <hyperlink ref="L1800" r:id="rId3594" location="" tooltip="" display=""/>
    <hyperlink ref="Q1800" r:id="rId3595" location="" tooltip="" display=""/>
    <hyperlink ref="R1800" r:id="rId3596" location="" tooltip="" display=""/>
    <hyperlink ref="K1802" r:id="rId3597" location="" tooltip="" display=""/>
    <hyperlink ref="L1802" r:id="rId3598" location="" tooltip="" display=""/>
    <hyperlink ref="Q1802" r:id="rId3599" location="" tooltip="" display=""/>
    <hyperlink ref="R1802" r:id="rId3600" location="" tooltip="" display=""/>
    <hyperlink ref="K1804" r:id="rId3601" location="" tooltip="" display=""/>
    <hyperlink ref="L1804" r:id="rId3602" location="" tooltip="" display=""/>
    <hyperlink ref="Q1804" r:id="rId3603" location="" tooltip="" display=""/>
    <hyperlink ref="R1804" r:id="rId3604" location="" tooltip="" display=""/>
    <hyperlink ref="K1806" r:id="rId3605" location="" tooltip="" display=""/>
    <hyperlink ref="L1806" r:id="rId3606" location="" tooltip="" display=""/>
    <hyperlink ref="Q1806" r:id="rId3607" location="" tooltip="" display=""/>
    <hyperlink ref="R1806" r:id="rId3608" location="" tooltip="" display=""/>
    <hyperlink ref="L1807" r:id="rId3609" location="" tooltip="" display=""/>
    <hyperlink ref="R1807" r:id="rId3610" location="" tooltip="" display=""/>
    <hyperlink ref="K1809" r:id="rId3611" location="" tooltip="" display=""/>
    <hyperlink ref="L1809" r:id="rId3612" location="" tooltip="" display=""/>
    <hyperlink ref="Q1809" r:id="rId3613" location="" tooltip="" display=""/>
    <hyperlink ref="R1809" r:id="rId3614" location="" tooltip="" display=""/>
    <hyperlink ref="K1811" r:id="rId3615" location="" tooltip="" display=""/>
    <hyperlink ref="L1811" r:id="rId3616" location="" tooltip="" display=""/>
    <hyperlink ref="Q1811" r:id="rId3617" location="" tooltip="" display=""/>
    <hyperlink ref="R1811" r:id="rId3618" location="" tooltip="" display=""/>
    <hyperlink ref="L1812" r:id="rId3619" location="" tooltip="" display=""/>
    <hyperlink ref="R1812" r:id="rId3620" location="" tooltip="" display=""/>
    <hyperlink ref="K1814" r:id="rId3621" location="" tooltip="" display=""/>
    <hyperlink ref="L1814" r:id="rId3622" location="" tooltip="" display=""/>
    <hyperlink ref="Q1814" r:id="rId3623" location="" tooltip="" display=""/>
    <hyperlink ref="R1814" r:id="rId3624" location="" tooltip="" display=""/>
    <hyperlink ref="K1816" r:id="rId3625" location="" tooltip="" display=""/>
    <hyperlink ref="L1816" r:id="rId3626" location="" tooltip="" display=""/>
    <hyperlink ref="Q1816" r:id="rId3627" location="" tooltip="" display=""/>
    <hyperlink ref="R1816" r:id="rId3628" location="" tooltip="" display=""/>
    <hyperlink ref="L1818" r:id="rId3629" location="" tooltip="" display=""/>
    <hyperlink ref="R1818" r:id="rId3630" location="" tooltip="" display=""/>
    <hyperlink ref="K1819" r:id="rId3631" location="" tooltip="" display=""/>
    <hyperlink ref="L1819" r:id="rId3632" location="" tooltip="" display=""/>
    <hyperlink ref="Q1819" r:id="rId3633" location="" tooltip="" display=""/>
    <hyperlink ref="R1819" r:id="rId3634" location="" tooltip="" display=""/>
    <hyperlink ref="L1820" r:id="rId3635" location="" tooltip="" display=""/>
    <hyperlink ref="R1820" r:id="rId3636" location="" tooltip="" display=""/>
    <hyperlink ref="L1821" r:id="rId3637" location="" tooltip="" display=""/>
    <hyperlink ref="R1821" r:id="rId3638" location="" tooltip="" display=""/>
    <hyperlink ref="L1823" r:id="rId3639" location="" tooltip="" display=""/>
    <hyperlink ref="R1823" r:id="rId3640" location="" tooltip="" display=""/>
    <hyperlink ref="K1824" r:id="rId3641" location="" tooltip="" display=""/>
    <hyperlink ref="L1824" r:id="rId3642" location="" tooltip="" display=""/>
    <hyperlink ref="Q1824" r:id="rId3643" location="" tooltip="" display=""/>
    <hyperlink ref="R1824" r:id="rId3644" location="" tooltip="" display=""/>
    <hyperlink ref="L1825" r:id="rId3645" location="" tooltip="" display=""/>
    <hyperlink ref="R1825" r:id="rId3646" location="" tooltip="" display=""/>
    <hyperlink ref="K1827" r:id="rId3647" location="" tooltip="" display=""/>
    <hyperlink ref="L1827" r:id="rId3648" location="" tooltip="" display=""/>
    <hyperlink ref="Q1827" r:id="rId3649" location="" tooltip="" display=""/>
    <hyperlink ref="R1827" r:id="rId3650" location="" tooltip="" display=""/>
    <hyperlink ref="K1829" r:id="rId3651" location="" tooltip="" display=""/>
    <hyperlink ref="L1829" r:id="rId3652" location="" tooltip="" display=""/>
    <hyperlink ref="Q1829" r:id="rId3653" location="" tooltip="" display=""/>
    <hyperlink ref="R1829" r:id="rId3654" location="" tooltip="" display=""/>
    <hyperlink ref="K1831" r:id="rId3655" location="" tooltip="" display=""/>
    <hyperlink ref="L1831" r:id="rId3656" location="" tooltip="" display=""/>
    <hyperlink ref="Q1831" r:id="rId3657" location="" tooltip="" display=""/>
    <hyperlink ref="R1831" r:id="rId3658" location="" tooltip="" display=""/>
    <hyperlink ref="K1833" r:id="rId3659" location="" tooltip="" display=""/>
    <hyperlink ref="L1833" r:id="rId3660" location="" tooltip="" display=""/>
    <hyperlink ref="Q1833" r:id="rId3661" location="" tooltip="" display=""/>
    <hyperlink ref="R1833" r:id="rId3662" location="" tooltip="" display=""/>
    <hyperlink ref="K1835" r:id="rId3663" location="" tooltip="" display=""/>
    <hyperlink ref="L1835" r:id="rId3664" location="" tooltip="" display=""/>
    <hyperlink ref="Q1835" r:id="rId3665" location="" tooltip="" display=""/>
    <hyperlink ref="R1835" r:id="rId3666" location="" tooltip="" display=""/>
    <hyperlink ref="L1836" r:id="rId3667" location="" tooltip="" display=""/>
    <hyperlink ref="R1836" r:id="rId3668" location="" tooltip="" display=""/>
    <hyperlink ref="K1838" r:id="rId3669" location="" tooltip="" display=""/>
    <hyperlink ref="L1838" r:id="rId3670" location="" tooltip="" display=""/>
    <hyperlink ref="Q1838" r:id="rId3671" location="" tooltip="" display=""/>
    <hyperlink ref="R1838" r:id="rId3672" location="" tooltip="" display=""/>
    <hyperlink ref="L1839" r:id="rId3673" location="" tooltip="" display=""/>
    <hyperlink ref="R1839" r:id="rId3674" location="" tooltip="" display=""/>
    <hyperlink ref="L1841" r:id="rId3675" location="" tooltip="" display=""/>
    <hyperlink ref="R1841" r:id="rId3676" location="" tooltip="" display=""/>
    <hyperlink ref="L1842" r:id="rId3677" location="" tooltip="" display=""/>
    <hyperlink ref="R1842" r:id="rId3678" location="" tooltip="" display=""/>
    <hyperlink ref="K1843" r:id="rId3679" location="" tooltip="" display=""/>
    <hyperlink ref="L1843" r:id="rId3680" location="" tooltip="" display=""/>
    <hyperlink ref="Q1843" r:id="rId3681" location="" tooltip="" display=""/>
    <hyperlink ref="R1843" r:id="rId3682" location="" tooltip="" display=""/>
    <hyperlink ref="L1844" r:id="rId3683" location="" tooltip="" display=""/>
    <hyperlink ref="R1844" r:id="rId3684" location="" tooltip="" display=""/>
    <hyperlink ref="L1845" r:id="rId3685" location="" tooltip="" display=""/>
    <hyperlink ref="R1845" r:id="rId3686" location="" tooltip="" display=""/>
    <hyperlink ref="L1846" r:id="rId3687" location="" tooltip="" display=""/>
    <hyperlink ref="R1846" r:id="rId3688" location="" tooltip="" display=""/>
    <hyperlink ref="L1848" r:id="rId3689" location="" tooltip="" display=""/>
    <hyperlink ref="R1848" r:id="rId3690" location="" tooltip="" display=""/>
    <hyperlink ref="K1849" r:id="rId3691" location="" tooltip="" display=""/>
    <hyperlink ref="L1849" r:id="rId3692" location="" tooltip="" display=""/>
    <hyperlink ref="Q1849" r:id="rId3693" location="" tooltip="" display=""/>
    <hyperlink ref="R1849" r:id="rId3694" location="" tooltip="" display=""/>
    <hyperlink ref="L1850" r:id="rId3695" location="" tooltip="" display=""/>
    <hyperlink ref="R1850" r:id="rId3696" location="" tooltip="" display=""/>
    <hyperlink ref="L1852" r:id="rId3697" location="" tooltip="" display=""/>
    <hyperlink ref="R1852" r:id="rId3698" location="" tooltip="" display=""/>
    <hyperlink ref="K1853" r:id="rId3699" location="" tooltip="" display=""/>
    <hyperlink ref="L1853" r:id="rId3700" location="" tooltip="" display=""/>
    <hyperlink ref="Q1853" r:id="rId3701" location="" tooltip="" display=""/>
    <hyperlink ref="R1853" r:id="rId3702" location="" tooltip="" display=""/>
    <hyperlink ref="L1854" r:id="rId3703" location="" tooltip="" display=""/>
    <hyperlink ref="R1854" r:id="rId3704" location="" tooltip="" display=""/>
    <hyperlink ref="L1856" r:id="rId3705" location="" tooltip="" display=""/>
    <hyperlink ref="R1856" r:id="rId3706" location="" tooltip="" display=""/>
    <hyperlink ref="K1857" r:id="rId3707" location="" tooltip="" display=""/>
    <hyperlink ref="L1857" r:id="rId3708" location="" tooltip="" display=""/>
    <hyperlink ref="Q1857" r:id="rId3709" location="" tooltip="" display=""/>
    <hyperlink ref="R1857" r:id="rId3710" location="" tooltip="" display=""/>
    <hyperlink ref="L1858" r:id="rId3711" location="" tooltip="" display=""/>
    <hyperlink ref="R1858" r:id="rId3712" location="" tooltip="" display=""/>
    <hyperlink ref="L1860" r:id="rId3713" location="" tooltip="" display=""/>
    <hyperlink ref="R1860" r:id="rId3714" location="" tooltip="" display=""/>
    <hyperlink ref="K1861" r:id="rId3715" location="" tooltip="" display=""/>
    <hyperlink ref="L1861" r:id="rId3716" location="" tooltip="" display=""/>
    <hyperlink ref="Q1861" r:id="rId3717" location="" tooltip="" display=""/>
    <hyperlink ref="R1861" r:id="rId3718" location="" tooltip="" display=""/>
    <hyperlink ref="L1862" r:id="rId3719" location="" tooltip="" display=""/>
    <hyperlink ref="R1862" r:id="rId3720" location="" tooltip="" display=""/>
    <hyperlink ref="L1863" r:id="rId3721" location="" tooltip="" display=""/>
    <hyperlink ref="R1863" r:id="rId3722" location="" tooltip="" display=""/>
    <hyperlink ref="L1865" r:id="rId3723" location="" tooltip="" display=""/>
    <hyperlink ref="R1865" r:id="rId3724" location="" tooltip="" display=""/>
    <hyperlink ref="L1866" r:id="rId3725" location="" tooltip="" display=""/>
    <hyperlink ref="R1866" r:id="rId3726" location="" tooltip="" display=""/>
    <hyperlink ref="K1867" r:id="rId3727" location="" tooltip="" display=""/>
    <hyperlink ref="L1867" r:id="rId3728" location="" tooltip="" display=""/>
    <hyperlink ref="Q1867" r:id="rId3729" location="" tooltip="" display=""/>
    <hyperlink ref="R1867" r:id="rId3730" location="" tooltip="" display=""/>
    <hyperlink ref="L1868" r:id="rId3731" location="" tooltip="" display=""/>
    <hyperlink ref="R1868" r:id="rId3732" location="" tooltip="" display=""/>
    <hyperlink ref="L1869" r:id="rId3733" location="" tooltip="" display=""/>
    <hyperlink ref="R1869" r:id="rId3734" location="" tooltip="" display=""/>
    <hyperlink ref="K1871" r:id="rId3735" location="" tooltip="" display=""/>
    <hyperlink ref="L1871" r:id="rId3736" location="" tooltip="" display=""/>
    <hyperlink ref="Q1871" r:id="rId3737" location="" tooltip="" display=""/>
    <hyperlink ref="R1871" r:id="rId3738" location="" tooltip="" display=""/>
    <hyperlink ref="K1873" r:id="rId3739" location="" tooltip="" display=""/>
    <hyperlink ref="L1873" r:id="rId3740" location="" tooltip="" display=""/>
    <hyperlink ref="Q1873" r:id="rId3741" location="" tooltip="" display=""/>
    <hyperlink ref="R1873" r:id="rId3742" location="" tooltip="" display=""/>
    <hyperlink ref="L1874" r:id="rId3743" location="" tooltip="" display=""/>
    <hyperlink ref="R1874" r:id="rId3744" location="" tooltip="" display=""/>
    <hyperlink ref="L1876" r:id="rId3745" location="" tooltip="" display=""/>
    <hyperlink ref="R1876" r:id="rId3746" location="" tooltip="" display=""/>
    <hyperlink ref="L1877" r:id="rId3747" location="" tooltip="" display=""/>
    <hyperlink ref="R1877" r:id="rId3748" location="" tooltip="" display=""/>
    <hyperlink ref="K1878" r:id="rId3749" location="" tooltip="" display=""/>
    <hyperlink ref="L1878" r:id="rId3750" location="" tooltip="" display=""/>
    <hyperlink ref="Q1878" r:id="rId3751" location="" tooltip="" display=""/>
    <hyperlink ref="R1878" r:id="rId3752" location="" tooltip="" display=""/>
    <hyperlink ref="L1879" r:id="rId3753" location="" tooltip="" display=""/>
    <hyperlink ref="R1879" r:id="rId3754" location="" tooltip="" display=""/>
    <hyperlink ref="L1880" r:id="rId3755" location="" tooltip="" display=""/>
    <hyperlink ref="R1880" r:id="rId3756" location="" tooltip="" display=""/>
    <hyperlink ref="L1881" r:id="rId3757" location="" tooltip="" display=""/>
    <hyperlink ref="R1881" r:id="rId3758" location="" tooltip="" display=""/>
    <hyperlink ref="L1883" r:id="rId3759" location="" tooltip="" display=""/>
    <hyperlink ref="R1883" r:id="rId3760" location="" tooltip="" display=""/>
    <hyperlink ref="K1884" r:id="rId3761" location="" tooltip="" display=""/>
    <hyperlink ref="L1884" r:id="rId3762" location="" tooltip="" display=""/>
    <hyperlink ref="Q1884" r:id="rId3763" location="" tooltip="" display=""/>
    <hyperlink ref="R1884" r:id="rId3764" location="" tooltip="" display=""/>
    <hyperlink ref="L1885" r:id="rId3765" location="" tooltip="" display=""/>
    <hyperlink ref="R1885" r:id="rId3766" location="" tooltip="" display=""/>
    <hyperlink ref="L1886" r:id="rId3767" location="" tooltip="" display=""/>
    <hyperlink ref="R1886" r:id="rId3768" location="" tooltip="" display=""/>
    <hyperlink ref="K1888" r:id="rId3769" location="" tooltip="" display=""/>
    <hyperlink ref="L1888" r:id="rId3770" location="" tooltip="" display=""/>
    <hyperlink ref="Q1888" r:id="rId3771" location="" tooltip="" display=""/>
    <hyperlink ref="R1888" r:id="rId3772" location="" tooltip="" display=""/>
    <hyperlink ref="K1890" r:id="rId3773" location="" tooltip="" display=""/>
    <hyperlink ref="L1890" r:id="rId3774" location="" tooltip="" display=""/>
    <hyperlink ref="Q1890" r:id="rId3775" location="" tooltip="" display=""/>
    <hyperlink ref="R1890" r:id="rId3776" location="" tooltip="" display=""/>
    <hyperlink ref="L1891" r:id="rId3777" location="" tooltip="" display=""/>
    <hyperlink ref="R1891" r:id="rId3778" location="" tooltip="" display=""/>
    <hyperlink ref="L1893" r:id="rId3779" location="" tooltip="" display=""/>
    <hyperlink ref="R1893" r:id="rId3780" location="" tooltip="" display=""/>
    <hyperlink ref="L1894" r:id="rId3781" location="" tooltip="" display=""/>
    <hyperlink ref="R1894" r:id="rId3782" location="" tooltip="" display=""/>
    <hyperlink ref="L1895" r:id="rId3783" location="" tooltip="" display=""/>
    <hyperlink ref="R1895" r:id="rId3784" location="" tooltip="" display=""/>
    <hyperlink ref="K1896" r:id="rId3785" location="" tooltip="" display=""/>
    <hyperlink ref="L1896" r:id="rId3786" location="" tooltip="" display=""/>
    <hyperlink ref="Q1896" r:id="rId3787" location="" tooltip="" display=""/>
    <hyperlink ref="R1896" r:id="rId3788" location="" tooltip="" display=""/>
    <hyperlink ref="L1897" r:id="rId3789" location="" tooltip="" display=""/>
    <hyperlink ref="R1897" r:id="rId3790" location="" tooltip="" display=""/>
    <hyperlink ref="L1898" r:id="rId3791" location="" tooltip="" display=""/>
    <hyperlink ref="R1898" r:id="rId3792" location="" tooltip="" display=""/>
    <hyperlink ref="L1899" r:id="rId3793" location="" tooltip="" display=""/>
    <hyperlink ref="R1899" r:id="rId3794" location="" tooltip="" display=""/>
    <hyperlink ref="L1900" r:id="rId3795" location="" tooltip="" display=""/>
    <hyperlink ref="R1900" r:id="rId3796" location="" tooltip="" display=""/>
    <hyperlink ref="L1902" r:id="rId3797" location="" tooltip="" display=""/>
    <hyperlink ref="R1902" r:id="rId3798" location="" tooltip="" display=""/>
    <hyperlink ref="K1903" r:id="rId3799" location="" tooltip="" display=""/>
    <hyperlink ref="L1903" r:id="rId3800" location="" tooltip="" display=""/>
    <hyperlink ref="Q1903" r:id="rId3801" location="" tooltip="" display=""/>
    <hyperlink ref="R1903" r:id="rId3802" location="" tooltip="" display=""/>
    <hyperlink ref="L1904" r:id="rId3803" location="" tooltip="" display=""/>
    <hyperlink ref="R1904" r:id="rId3804" location="" tooltip="" display=""/>
    <hyperlink ref="L1906" r:id="rId3805" location="" tooltip="" display=""/>
    <hyperlink ref="R1906" r:id="rId3806" location="" tooltip="" display=""/>
    <hyperlink ref="K1907" r:id="rId3807" location="" tooltip="" display=""/>
    <hyperlink ref="L1907" r:id="rId3808" location="" tooltip="" display=""/>
    <hyperlink ref="Q1907" r:id="rId3809" location="" tooltip="" display=""/>
    <hyperlink ref="R1907" r:id="rId3810" location="" tooltip="" display=""/>
    <hyperlink ref="L1908" r:id="rId3811" location="" tooltip="" display=""/>
    <hyperlink ref="R1908" r:id="rId3812" location="" tooltip="" display=""/>
    <hyperlink ref="L1909" r:id="rId3813" location="" tooltip="" display=""/>
    <hyperlink ref="R1909" r:id="rId3814" location="" tooltip="" display=""/>
    <hyperlink ref="L1911" r:id="rId3815" location="" tooltip="" display=""/>
    <hyperlink ref="R1911" r:id="rId3816" location="" tooltip="" display=""/>
    <hyperlink ref="L1912" r:id="rId3817" location="" tooltip="" display=""/>
    <hyperlink ref="R1912" r:id="rId3818" location="" tooltip="" display=""/>
    <hyperlink ref="L1913" r:id="rId3819" location="" tooltip="" display=""/>
    <hyperlink ref="R1913" r:id="rId3820" location="" tooltip="" display=""/>
    <hyperlink ref="K1914" r:id="rId3821" location="" tooltip="" display=""/>
    <hyperlink ref="L1914" r:id="rId3822" location="" tooltip="" display=""/>
    <hyperlink ref="Q1914" r:id="rId3823" location="" tooltip="" display=""/>
    <hyperlink ref="R1914" r:id="rId3824" location="" tooltip="" display=""/>
    <hyperlink ref="L1915" r:id="rId3825" location="" tooltip="" display=""/>
    <hyperlink ref="R1915" r:id="rId3826" location="" tooltip="" display=""/>
    <hyperlink ref="L1916" r:id="rId3827" location="" tooltip="" display=""/>
    <hyperlink ref="R1916" r:id="rId3828" location="" tooltip="" display=""/>
    <hyperlink ref="L1917" r:id="rId3829" location="" tooltip="" display=""/>
    <hyperlink ref="R1917" r:id="rId3830" location="" tooltip="" display=""/>
    <hyperlink ref="L1918" r:id="rId3831" location="" tooltip="" display=""/>
    <hyperlink ref="R1918" r:id="rId3832" location="" tooltip="" display=""/>
    <hyperlink ref="L1920" r:id="rId3833" location="" tooltip="" display=""/>
    <hyperlink ref="R1920" r:id="rId3834" location="" tooltip="" display=""/>
    <hyperlink ref="L1921" r:id="rId3835" location="" tooltip="" display=""/>
    <hyperlink ref="R1921" r:id="rId3836" location="" tooltip="" display=""/>
    <hyperlink ref="K1922" r:id="rId3837" location="" tooltip="" display=""/>
    <hyperlink ref="L1922" r:id="rId3838" location="" tooltip="" display=""/>
    <hyperlink ref="Q1922" r:id="rId3839" location="" tooltip="" display=""/>
    <hyperlink ref="R1922" r:id="rId3840" location="" tooltip="" display=""/>
    <hyperlink ref="L1923" r:id="rId3841" location="" tooltip="" display=""/>
    <hyperlink ref="R1923" r:id="rId3842" location="" tooltip="" display=""/>
    <hyperlink ref="L1924" r:id="rId3843" location="" tooltip="" display=""/>
    <hyperlink ref="R1924" r:id="rId3844" location="" tooltip="" display=""/>
    <hyperlink ref="L1925" r:id="rId3845" location="" tooltip="" display=""/>
    <hyperlink ref="R1925" r:id="rId3846" location="" tooltip="" display=""/>
    <hyperlink ref="L1927" r:id="rId3847" location="" tooltip="" display=""/>
    <hyperlink ref="R1927" r:id="rId3848" location="" tooltip="" display=""/>
    <hyperlink ref="L1928" r:id="rId3849" location="" tooltip="" display=""/>
    <hyperlink ref="R1928" r:id="rId3850" location="" tooltip="" display=""/>
    <hyperlink ref="K1929" r:id="rId3851" location="" tooltip="" display=""/>
    <hyperlink ref="L1929" r:id="rId3852" location="" tooltip="" display=""/>
    <hyperlink ref="Q1929" r:id="rId3853" location="" tooltip="" display=""/>
    <hyperlink ref="R1929" r:id="rId3854" location="" tooltip="" display=""/>
    <hyperlink ref="L1930" r:id="rId3855" location="" tooltip="" display=""/>
    <hyperlink ref="R1930" r:id="rId3856" location="" tooltip="" display=""/>
    <hyperlink ref="L1931" r:id="rId3857" location="" tooltip="" display=""/>
    <hyperlink ref="R1931" r:id="rId3858" location="" tooltip="" display=""/>
    <hyperlink ref="L1932" r:id="rId3859" location="" tooltip="" display=""/>
    <hyperlink ref="R1932" r:id="rId3860" location="" tooltip="" display=""/>
    <hyperlink ref="L1934" r:id="rId3861" location="" tooltip="" display=""/>
    <hyperlink ref="R1934" r:id="rId3862" location="" tooltip="" display=""/>
    <hyperlink ref="K1935" r:id="rId3863" location="" tooltip="" display=""/>
    <hyperlink ref="L1935" r:id="rId3864" location="" tooltip="" display=""/>
    <hyperlink ref="Q1935" r:id="rId3865" location="" tooltip="" display=""/>
    <hyperlink ref="R1935" r:id="rId3866" location="" tooltip="" display=""/>
    <hyperlink ref="L1936" r:id="rId3867" location="" tooltip="" display=""/>
    <hyperlink ref="R1936" r:id="rId3868" location="" tooltip="" display=""/>
    <hyperlink ref="L1937" r:id="rId3869" location="" tooltip="" display=""/>
    <hyperlink ref="R1937" r:id="rId3870" location="" tooltip="" display=""/>
    <hyperlink ref="K1939" r:id="rId3871" location="" tooltip="" display=""/>
    <hyperlink ref="L1939" r:id="rId3872" location="" tooltip="" display=""/>
    <hyperlink ref="Q1939" r:id="rId3873" location="" tooltip="" display=""/>
    <hyperlink ref="R1939" r:id="rId3874" location="" tooltip="" display=""/>
    <hyperlink ref="K1941" r:id="rId3875" location="" tooltip="" display=""/>
    <hyperlink ref="L1941" r:id="rId3876" location="" tooltip="" display=""/>
    <hyperlink ref="Q1941" r:id="rId3877" location="" tooltip="" display=""/>
    <hyperlink ref="R1941" r:id="rId3878" location="" tooltip="" display=""/>
    <hyperlink ref="L1942" r:id="rId3879" location="" tooltip="" display=""/>
    <hyperlink ref="R1942" r:id="rId3880" location="" tooltip="" display=""/>
    <hyperlink ref="K1944" r:id="rId3881" location="" tooltip="" display=""/>
    <hyperlink ref="L1944" r:id="rId3882" location="" tooltip="" display=""/>
    <hyperlink ref="Q1944" r:id="rId3883" location="" tooltip="" display=""/>
    <hyperlink ref="R1944" r:id="rId3884" location="" tooltip="" display=""/>
    <hyperlink ref="L1946" r:id="rId3885" location="" tooltip="" display=""/>
    <hyperlink ref="R1946" r:id="rId3886" location="" tooltip="" display=""/>
    <hyperlink ref="K1947" r:id="rId3887" location="" tooltip="" display=""/>
    <hyperlink ref="L1947" r:id="rId3888" location="" tooltip="" display=""/>
    <hyperlink ref="Q1947" r:id="rId3889" location="" tooltip="" display=""/>
    <hyperlink ref="R1947" r:id="rId3890" location="" tooltip="" display=""/>
    <hyperlink ref="L1948" r:id="rId3891" location="" tooltip="" display=""/>
    <hyperlink ref="R1948" r:id="rId3892" location="" tooltip="" display=""/>
    <hyperlink ref="L1949" r:id="rId3893" location="" tooltip="" display=""/>
    <hyperlink ref="R1949" r:id="rId3894" location="" tooltip="" display=""/>
    <hyperlink ref="L1951" r:id="rId3895" location="" tooltip="" display=""/>
    <hyperlink ref="R1951" r:id="rId3896" location="" tooltip="" display=""/>
    <hyperlink ref="K1952" r:id="rId3897" location="" tooltip="" display=""/>
    <hyperlink ref="L1952" r:id="rId3898" location="" tooltip="" display=""/>
    <hyperlink ref="Q1952" r:id="rId3899" location="" tooltip="" display=""/>
    <hyperlink ref="R1952" r:id="rId3900" location="" tooltip="" display=""/>
    <hyperlink ref="L1953" r:id="rId3901" location="" tooltip="" display=""/>
    <hyperlink ref="R1953" r:id="rId3902" location="" tooltip="" display=""/>
    <hyperlink ref="L1954" r:id="rId3903" location="" tooltip="" display=""/>
    <hyperlink ref="R1954" r:id="rId3904" location="" tooltip="" display=""/>
    <hyperlink ref="L1956" r:id="rId3905" location="" tooltip="" display=""/>
    <hyperlink ref="R1956" r:id="rId3906" location="" tooltip="" display=""/>
    <hyperlink ref="K1957" r:id="rId3907" location="" tooltip="" display=""/>
    <hyperlink ref="L1957" r:id="rId3908" location="" tooltip="" display=""/>
    <hyperlink ref="Q1957" r:id="rId3909" location="" tooltip="" display=""/>
    <hyperlink ref="R1957" r:id="rId3910" location="" tooltip="" display=""/>
    <hyperlink ref="L1958" r:id="rId3911" location="" tooltip="" display=""/>
    <hyperlink ref="R1958" r:id="rId3912" location="" tooltip="" display=""/>
    <hyperlink ref="K1960" r:id="rId3913" location="" tooltip="" display=""/>
    <hyperlink ref="L1960" r:id="rId3914" location="" tooltip="" display=""/>
    <hyperlink ref="Q1960" r:id="rId3915" location="" tooltip="" display=""/>
    <hyperlink ref="R1960" r:id="rId3916" location="" tooltip="" display=""/>
    <hyperlink ref="K1962" r:id="rId3917" location="" tooltip="" display=""/>
    <hyperlink ref="L1962" r:id="rId3918" location="" tooltip="" display=""/>
    <hyperlink ref="Q1962" r:id="rId3919" location="" tooltip="" display=""/>
    <hyperlink ref="R1962" r:id="rId3920" location="" tooltip="" display=""/>
    <hyperlink ref="L1963" r:id="rId3921" location="" tooltip="" display=""/>
    <hyperlink ref="R1963" r:id="rId3922" location="" tooltip="" display=""/>
    <hyperlink ref="L1965" r:id="rId3923" location="" tooltip="" display=""/>
    <hyperlink ref="R1965" r:id="rId3924" location="" tooltip="" display=""/>
    <hyperlink ref="K1966" r:id="rId3925" location="" tooltip="" display=""/>
    <hyperlink ref="L1966" r:id="rId3926" location="" tooltip="" display=""/>
    <hyperlink ref="Q1966" r:id="rId3927" location="" tooltip="" display=""/>
    <hyperlink ref="R1966" r:id="rId3928" location="" tooltip="" display=""/>
    <hyperlink ref="L1967" r:id="rId3929" location="" tooltip="" display=""/>
    <hyperlink ref="R1967" r:id="rId3930" location="" tooltip="" display=""/>
    <hyperlink ref="K1969" r:id="rId3931" location="" tooltip="" display=""/>
    <hyperlink ref="L1969" r:id="rId3932" location="" tooltip="" display=""/>
    <hyperlink ref="Q1969" r:id="rId3933" location="" tooltip="" display=""/>
    <hyperlink ref="R1969" r:id="rId3934" location="" tooltip="" display=""/>
    <hyperlink ref="L1971" r:id="rId3935" location="" tooltip="" display=""/>
    <hyperlink ref="R1971" r:id="rId3936" location="" tooltip="" display=""/>
    <hyperlink ref="L1972" r:id="rId3937" location="" tooltip="" display=""/>
    <hyperlink ref="R1972" r:id="rId3938" location="" tooltip="" display=""/>
    <hyperlink ref="K1973" r:id="rId3939" location="" tooltip="" display=""/>
    <hyperlink ref="L1973" r:id="rId3940" location="" tooltip="" display=""/>
    <hyperlink ref="Q1973" r:id="rId3941" location="" tooltip="" display=""/>
    <hyperlink ref="R1973" r:id="rId3942" location="" tooltip="" display=""/>
    <hyperlink ref="L1974" r:id="rId3943" location="" tooltip="" display=""/>
    <hyperlink ref="R1974" r:id="rId3944" location="" tooltip="" display=""/>
    <hyperlink ref="L1975" r:id="rId3945" location="" tooltip="" display=""/>
    <hyperlink ref="R1975" r:id="rId3946" location="" tooltip="" display=""/>
    <hyperlink ref="L1976" r:id="rId3947" location="" tooltip="" display=""/>
    <hyperlink ref="R1976" r:id="rId3948" location="" tooltip="" display=""/>
    <hyperlink ref="K1978" r:id="rId3949" location="" tooltip="" display=""/>
    <hyperlink ref="L1978" r:id="rId3950" location="" tooltip="" display=""/>
    <hyperlink ref="Q1978" r:id="rId3951" location="" tooltip="" display=""/>
    <hyperlink ref="R1978" r:id="rId3952" location="" tooltip="" display=""/>
    <hyperlink ref="L1979" r:id="rId3953" location="" tooltip="" display=""/>
    <hyperlink ref="R1979" r:id="rId3954" location="" tooltip="" display=""/>
    <hyperlink ref="L1981" r:id="rId3955" location="" tooltip="" display=""/>
    <hyperlink ref="R1981" r:id="rId3956" location="" tooltip="" display=""/>
    <hyperlink ref="L1982" r:id="rId3957" location="" tooltip="" display=""/>
    <hyperlink ref="R1982" r:id="rId3958" location="" tooltip="" display=""/>
    <hyperlink ref="K1983" r:id="rId3959" location="" tooltip="" display=""/>
    <hyperlink ref="L1983" r:id="rId3960" location="" tooltip="" display=""/>
    <hyperlink ref="Q1983" r:id="rId3961" location="" tooltip="" display=""/>
    <hyperlink ref="R1983" r:id="rId3962" location="" tooltip="" display=""/>
    <hyperlink ref="L1984" r:id="rId3963" location="" tooltip="" display=""/>
    <hyperlink ref="R1984" r:id="rId3964" location="" tooltip="" display=""/>
    <hyperlink ref="L1985" r:id="rId3965" location="" tooltip="" display=""/>
    <hyperlink ref="R1985" r:id="rId3966" location="" tooltip="" display=""/>
    <hyperlink ref="L1986" r:id="rId3967" location="" tooltip="" display=""/>
    <hyperlink ref="R1986" r:id="rId3968" location="" tooltip="" display=""/>
    <hyperlink ref="L1988" r:id="rId3969" location="" tooltip="" display=""/>
    <hyperlink ref="R1988" r:id="rId3970" location="" tooltip="" display=""/>
    <hyperlink ref="L1989" r:id="rId3971" location="" tooltip="" display=""/>
    <hyperlink ref="R1989" r:id="rId3972" location="" tooltip="" display=""/>
    <hyperlink ref="K1990" r:id="rId3973" location="" tooltip="" display=""/>
    <hyperlink ref="L1990" r:id="rId3974" location="" tooltip="" display=""/>
    <hyperlink ref="Q1990" r:id="rId3975" location="" tooltip="" display=""/>
    <hyperlink ref="R1990" r:id="rId3976" location="" tooltip="" display=""/>
    <hyperlink ref="L1991" r:id="rId3977" location="" tooltip="" display=""/>
    <hyperlink ref="R1991" r:id="rId3978" location="" tooltip="" display=""/>
    <hyperlink ref="L1992" r:id="rId3979" location="" tooltip="" display=""/>
    <hyperlink ref="R1992" r:id="rId3980" location="" tooltip="" display=""/>
    <hyperlink ref="K1994" r:id="rId3981" location="" tooltip="" display=""/>
    <hyperlink ref="L1994" r:id="rId3982" location="" tooltip="" display=""/>
    <hyperlink ref="Q1994" r:id="rId3983" location="" tooltip="" display=""/>
    <hyperlink ref="R1994" r:id="rId3984" location="" tooltip="" display=""/>
    <hyperlink ref="L1995" r:id="rId3985" location="" tooltip="" display=""/>
    <hyperlink ref="R1995" r:id="rId3986" location="" tooltip="" display=""/>
    <hyperlink ref="K1997" r:id="rId3987" location="" tooltip="" display=""/>
    <hyperlink ref="L1997" r:id="rId3988" location="" tooltip="" display=""/>
    <hyperlink ref="Q1997" r:id="rId3989" location="" tooltip="" display=""/>
    <hyperlink ref="R1997" r:id="rId3990" location="" tooltip="" display=""/>
    <hyperlink ref="L1999" r:id="rId3991" location="" tooltip="" display=""/>
    <hyperlink ref="R1999" r:id="rId3992" location="" tooltip="" display=""/>
    <hyperlink ref="K2000" r:id="rId3993" location="" tooltip="" display=""/>
    <hyperlink ref="L2000" r:id="rId3994" location="" tooltip="" display=""/>
    <hyperlink ref="Q2000" r:id="rId3995" location="" tooltip="" display=""/>
    <hyperlink ref="R2000" r:id="rId3996" location="" tooltip="" display=""/>
    <hyperlink ref="L2001" r:id="rId3997" location="" tooltip="" display=""/>
    <hyperlink ref="R2001" r:id="rId3998" location="" tooltip="" display=""/>
    <hyperlink ref="L2002" r:id="rId3999" location="" tooltip="" display=""/>
    <hyperlink ref="R2002" r:id="rId4000" location="" tooltip="" display=""/>
    <hyperlink ref="L2004" r:id="rId4001" location="" tooltip="" display=""/>
    <hyperlink ref="R2004" r:id="rId4002" location="" tooltip="" display=""/>
    <hyperlink ref="K2005" r:id="rId4003" location="" tooltip="" display=""/>
    <hyperlink ref="L2005" r:id="rId4004" location="" tooltip="" display=""/>
    <hyperlink ref="Q2005" r:id="rId4005" location="" tooltip="" display=""/>
    <hyperlink ref="R2005" r:id="rId4006" location="" tooltip="" display=""/>
    <hyperlink ref="L2006" r:id="rId4007" location="" tooltip="" display=""/>
    <hyperlink ref="R2006" r:id="rId4008" location="" tooltip="" display=""/>
    <hyperlink ref="L2007" r:id="rId4009" location="" tooltip="" display=""/>
    <hyperlink ref="R2007" r:id="rId4010" location="" tooltip="" display=""/>
    <hyperlink ref="K2009" r:id="rId4011" location="" tooltip="" display=""/>
    <hyperlink ref="L2009" r:id="rId4012" location="" tooltip="" display=""/>
    <hyperlink ref="Q2009" r:id="rId4013" location="" tooltip="" display=""/>
    <hyperlink ref="R2009" r:id="rId4014" location="" tooltip="" display=""/>
    <hyperlink ref="L2011" r:id="rId4015" location="" tooltip="" display=""/>
    <hyperlink ref="R2011" r:id="rId4016" location="" tooltip="" display=""/>
    <hyperlink ref="K2012" r:id="rId4017" location="" tooltip="" display=""/>
    <hyperlink ref="L2012" r:id="rId4018" location="" tooltip="" display=""/>
    <hyperlink ref="Q2012" r:id="rId4019" location="" tooltip="" display=""/>
    <hyperlink ref="R2012" r:id="rId4020" location="" tooltip="" display=""/>
    <hyperlink ref="L2013" r:id="rId4021" location="" tooltip="" display=""/>
    <hyperlink ref="R2013" r:id="rId4022" location="" tooltip="" display=""/>
    <hyperlink ref="K2015" r:id="rId4023" location="" tooltip="" display=""/>
    <hyperlink ref="L2015" r:id="rId4024" location="" tooltip="" display=""/>
    <hyperlink ref="Q2015" r:id="rId4025" location="" tooltip="" display=""/>
    <hyperlink ref="R2015" r:id="rId4026" location="" tooltip="" display=""/>
    <hyperlink ref="K2017" r:id="rId4027" location="" tooltip="" display=""/>
    <hyperlink ref="L2017" r:id="rId4028" location="" tooltip="" display=""/>
    <hyperlink ref="Q2017" r:id="rId4029" location="" tooltip="" display=""/>
    <hyperlink ref="R2017" r:id="rId4030" location="" tooltip="" display=""/>
    <hyperlink ref="K2019" r:id="rId4031" location="" tooltip="" display=""/>
    <hyperlink ref="L2019" r:id="rId4032" location="" tooltip="" display=""/>
    <hyperlink ref="Q2019" r:id="rId4033" location="" tooltip="" display=""/>
    <hyperlink ref="R2019" r:id="rId4034" location="" tooltip="" display=""/>
    <hyperlink ref="L2021" r:id="rId4035" location="" tooltip="" display=""/>
    <hyperlink ref="R2021" r:id="rId4036" location="" tooltip="" display=""/>
    <hyperlink ref="K2022" r:id="rId4037" location="" tooltip="" display=""/>
    <hyperlink ref="L2022" r:id="rId4038" location="" tooltip="" display=""/>
    <hyperlink ref="Q2022" r:id="rId4039" location="" tooltip="" display=""/>
    <hyperlink ref="R2022" r:id="rId4040" location="" tooltip="" display=""/>
    <hyperlink ref="L2023" r:id="rId4041" location="" tooltip="" display=""/>
    <hyperlink ref="R2023" r:id="rId4042" location="" tooltip="" display=""/>
    <hyperlink ref="L2025" r:id="rId4043" location="" tooltip="" display=""/>
    <hyperlink ref="R2025" r:id="rId4044" location="" tooltip="" display=""/>
    <hyperlink ref="L2026" r:id="rId4045" location="" tooltip="" display=""/>
    <hyperlink ref="R2026" r:id="rId4046" location="" tooltip="" display=""/>
    <hyperlink ref="K2027" r:id="rId4047" location="" tooltip="" display=""/>
    <hyperlink ref="L2027" r:id="rId4048" location="" tooltip="" display=""/>
    <hyperlink ref="Q2027" r:id="rId4049" location="" tooltip="" display=""/>
    <hyperlink ref="R2027" r:id="rId4050" location="" tooltip="" display=""/>
    <hyperlink ref="L2028" r:id="rId4051" location="" tooltip="" display=""/>
    <hyperlink ref="R2028" r:id="rId4052" location="" tooltip="" display=""/>
    <hyperlink ref="L2029" r:id="rId4053" location="" tooltip="" display=""/>
    <hyperlink ref="R2029" r:id="rId4054" location="" tooltip="" display=""/>
    <hyperlink ref="K2031" r:id="rId4055" location="" tooltip="" display=""/>
    <hyperlink ref="L2031" r:id="rId4056" location="" tooltip="" display=""/>
    <hyperlink ref="Q2031" r:id="rId4057" location="" tooltip="" display=""/>
    <hyperlink ref="R2031" r:id="rId4058" location="" tooltip="" display=""/>
    <hyperlink ref="L2032" r:id="rId4059" location="" tooltip="" display=""/>
    <hyperlink ref="R2032" r:id="rId4060" location="" tooltip="" display=""/>
    <hyperlink ref="L2034" r:id="rId4061" location="" tooltip="" display=""/>
    <hyperlink ref="R2034" r:id="rId4062" location="" tooltip="" display=""/>
    <hyperlink ref="L2035" r:id="rId4063" location="" tooltip="" display=""/>
    <hyperlink ref="R2035" r:id="rId4064" location="" tooltip="" display=""/>
    <hyperlink ref="K2036" r:id="rId4065" location="" tooltip="" display=""/>
    <hyperlink ref="L2036" r:id="rId4066" location="" tooltip="" display=""/>
    <hyperlink ref="Q2036" r:id="rId4067" location="" tooltip="" display=""/>
    <hyperlink ref="R2036" r:id="rId4068" location="" tooltip="" display=""/>
    <hyperlink ref="L2037" r:id="rId4069" location="" tooltip="" display=""/>
    <hyperlink ref="R2037" r:id="rId4070" location="" tooltip="" display=""/>
    <hyperlink ref="L2038" r:id="rId4071" location="" tooltip="" display=""/>
    <hyperlink ref="R2038" r:id="rId4072" location="" tooltip="" display=""/>
    <hyperlink ref="L2039" r:id="rId4073" location="" tooltip="" display=""/>
    <hyperlink ref="R2039" r:id="rId4074" location="" tooltip="" display=""/>
    <hyperlink ref="K2041" r:id="rId4075" location="" tooltip="" display=""/>
    <hyperlink ref="L2041" r:id="rId4076" location="" tooltip="" display=""/>
    <hyperlink ref="Q2041" r:id="rId4077" location="" tooltip="" display=""/>
    <hyperlink ref="R2041" r:id="rId4078" location="" tooltip="" display=""/>
    <hyperlink ref="L2042" r:id="rId4079" location="" tooltip="" display=""/>
    <hyperlink ref="R2042" r:id="rId4080" location="" tooltip="" display=""/>
    <hyperlink ref="K2044" r:id="rId4081" location="" tooltip="" display=""/>
    <hyperlink ref="L2044" r:id="rId4082" location="" tooltip="" display=""/>
    <hyperlink ref="Q2044" r:id="rId4083" location="" tooltip="" display=""/>
    <hyperlink ref="R2044" r:id="rId4084" location="" tooltip="" display=""/>
    <hyperlink ref="L2046" r:id="rId4085" location="" tooltip="" display=""/>
    <hyperlink ref="R2046" r:id="rId4086" location="" tooltip="" display=""/>
    <hyperlink ref="K2047" r:id="rId4087" location="" tooltip="" display=""/>
    <hyperlink ref="L2047" r:id="rId4088" location="" tooltip="" display=""/>
    <hyperlink ref="Q2047" r:id="rId4089" location="" tooltip="" display=""/>
    <hyperlink ref="R2047" r:id="rId4090" location="" tooltip="" display=""/>
    <hyperlink ref="L2048" r:id="rId4091" location="" tooltip="" display=""/>
    <hyperlink ref="R2048" r:id="rId4092" location="" tooltip="" display=""/>
    <hyperlink ref="L2049" r:id="rId4093" location="" tooltip="" display=""/>
    <hyperlink ref="R2049" r:id="rId4094" location="" tooltip="" display=""/>
    <hyperlink ref="L2051" r:id="rId4095" location="" tooltip="" display=""/>
    <hyperlink ref="R2051" r:id="rId4096" location="" tooltip="" display=""/>
    <hyperlink ref="L2052" r:id="rId4097" location="" tooltip="" display=""/>
    <hyperlink ref="R2052" r:id="rId4098" location="" tooltip="" display=""/>
    <hyperlink ref="K2053" r:id="rId4099" location="" tooltip="" display=""/>
    <hyperlink ref="L2053" r:id="rId4100" location="" tooltip="" display=""/>
    <hyperlink ref="Q2053" r:id="rId4101" location="" tooltip="" display=""/>
    <hyperlink ref="R2053" r:id="rId4102" location="" tooltip="" display=""/>
    <hyperlink ref="L2054" r:id="rId4103" location="" tooltip="" display=""/>
    <hyperlink ref="R2054" r:id="rId4104" location="" tooltip="" display=""/>
    <hyperlink ref="L2055" r:id="rId4105" location="" tooltip="" display=""/>
    <hyperlink ref="R2055" r:id="rId4106" location="" tooltip="" display=""/>
    <hyperlink ref="L2056" r:id="rId4107" location="" tooltip="" display=""/>
    <hyperlink ref="R2056" r:id="rId4108" location="" tooltip="" display=""/>
    <hyperlink ref="K2058" r:id="rId4109" location="" tooltip="" display=""/>
    <hyperlink ref="L2058" r:id="rId4110" location="" tooltip="" display=""/>
    <hyperlink ref="Q2058" r:id="rId4111" location="" tooltip="" display=""/>
    <hyperlink ref="R2058" r:id="rId4112" location="" tooltip="" display=""/>
    <hyperlink ref="K2060" r:id="rId4113" location="" tooltip="" display=""/>
    <hyperlink ref="L2060" r:id="rId4114" location="" tooltip="" display=""/>
    <hyperlink ref="Q2060" r:id="rId4115" location="" tooltip="" display=""/>
    <hyperlink ref="R2060" r:id="rId4116" location="" tooltip="" display=""/>
    <hyperlink ref="K2062" r:id="rId4117" location="" tooltip="" display=""/>
    <hyperlink ref="L2062" r:id="rId4118" location="" tooltip="" display=""/>
    <hyperlink ref="Q2062" r:id="rId4119" location="" tooltip="" display=""/>
    <hyperlink ref="R2062" r:id="rId4120" location="" tooltip="" display=""/>
    <hyperlink ref="L2063" r:id="rId4121" location="" tooltip="" display=""/>
    <hyperlink ref="R2063" r:id="rId4122" location="" tooltip="" display=""/>
    <hyperlink ref="L2065" r:id="rId4123" location="" tooltip="" display=""/>
    <hyperlink ref="R2065" r:id="rId4124" location="" tooltip="" display=""/>
    <hyperlink ref="K2066" r:id="rId4125" location="" tooltip="" display=""/>
    <hyperlink ref="L2066" r:id="rId4126" location="" tooltip="" display=""/>
    <hyperlink ref="Q2066" r:id="rId4127" location="" tooltip="" display=""/>
    <hyperlink ref="R2066" r:id="rId4128" location="" tooltip="" display=""/>
    <hyperlink ref="L2067" r:id="rId4129" location="" tooltip="" display=""/>
    <hyperlink ref="R2067" r:id="rId4130" location="" tooltip="" display=""/>
    <hyperlink ref="L2068" r:id="rId4131" location="" tooltip="" display=""/>
    <hyperlink ref="R2068" r:id="rId4132" location="" tooltip="" display=""/>
    <hyperlink ref="L2070" r:id="rId4133" location="" tooltip="" display=""/>
    <hyperlink ref="R2070" r:id="rId4134" location="" tooltip="" display=""/>
    <hyperlink ref="K2071" r:id="rId4135" location="" tooltip="" display=""/>
    <hyperlink ref="L2071" r:id="rId4136" location="" tooltip="" display=""/>
    <hyperlink ref="Q2071" r:id="rId4137" location="" tooltip="" display=""/>
    <hyperlink ref="R2071" r:id="rId4138" location="" tooltip="" display=""/>
    <hyperlink ref="L2072" r:id="rId4139" location="" tooltip="" display=""/>
    <hyperlink ref="R2072" r:id="rId4140" location="" tooltip="" display=""/>
    <hyperlink ref="L2073" r:id="rId4141" location="" tooltip="" display=""/>
    <hyperlink ref="R2073" r:id="rId4142" location="" tooltip="" display=""/>
    <hyperlink ref="L2075" r:id="rId4143" location="" tooltip="" display=""/>
    <hyperlink ref="R2075" r:id="rId4144" location="" tooltip="" display=""/>
    <hyperlink ref="K2076" r:id="rId4145" location="" tooltip="" display=""/>
    <hyperlink ref="L2076" r:id="rId4146" location="" tooltip="" display=""/>
    <hyperlink ref="Q2076" r:id="rId4147" location="" tooltip="" display=""/>
    <hyperlink ref="R2076" r:id="rId4148" location="" tooltip="" display=""/>
    <hyperlink ref="L2077" r:id="rId4149" location="" tooltip="" display=""/>
    <hyperlink ref="R2077" r:id="rId4150" location="" tooltip="" display=""/>
    <hyperlink ref="L2078" r:id="rId4151" location="" tooltip="" display=""/>
    <hyperlink ref="R2078" r:id="rId4152" location="" tooltip="" display=""/>
    <hyperlink ref="K2080" r:id="rId4153" location="" tooltip="" display=""/>
    <hyperlink ref="L2080" r:id="rId4154" location="" tooltip="" display=""/>
    <hyperlink ref="Q2080" r:id="rId4155" location="" tooltip="" display=""/>
    <hyperlink ref="R2080" r:id="rId4156" location="" tooltip="" display=""/>
    <hyperlink ref="K2082" r:id="rId4157" location="" tooltip="" display=""/>
    <hyperlink ref="L2082" r:id="rId4158" location="" tooltip="" display=""/>
    <hyperlink ref="Q2082" r:id="rId4159" location="" tooltip="" display=""/>
    <hyperlink ref="R2082" r:id="rId4160" location="" tooltip="" display=""/>
    <hyperlink ref="L2083" r:id="rId4161" location="" tooltip="" display=""/>
    <hyperlink ref="R2083" r:id="rId4162" location="" tooltip="" display=""/>
    <hyperlink ref="L2085" r:id="rId4163" location="" tooltip="" display=""/>
    <hyperlink ref="R2085" r:id="rId4164" location="" tooltip="" display=""/>
    <hyperlink ref="K2086" r:id="rId4165" location="" tooltip="" display=""/>
    <hyperlink ref="L2086" r:id="rId4166" location="" tooltip="" display=""/>
    <hyperlink ref="Q2086" r:id="rId4167" location="" tooltip="" display=""/>
    <hyperlink ref="R2086" r:id="rId4168" location="" tooltip="" display=""/>
    <hyperlink ref="L2087" r:id="rId4169" location="" tooltip="" display=""/>
    <hyperlink ref="R2087" r:id="rId4170" location="" tooltip="" display=""/>
    <hyperlink ref="L2088" r:id="rId4171" location="" tooltip="" display=""/>
    <hyperlink ref="R2088" r:id="rId4172" location="" tooltip="" display=""/>
    <hyperlink ref="K2090" r:id="rId4173" location="" tooltip="" display=""/>
    <hyperlink ref="L2090" r:id="rId4174" location="" tooltip="" display=""/>
    <hyperlink ref="Q2090" r:id="rId4175" location="" tooltip="" display=""/>
    <hyperlink ref="R2090" r:id="rId4176" location="" tooltip="" display=""/>
    <hyperlink ref="K2092" r:id="rId4177" location="" tooltip="" display=""/>
    <hyperlink ref="L2092" r:id="rId4178" location="" tooltip="" display=""/>
    <hyperlink ref="Q2092" r:id="rId4179" location="" tooltip="" display=""/>
    <hyperlink ref="R2092" r:id="rId4180" location="" tooltip="" display=""/>
    <hyperlink ref="L2093" r:id="rId4181" location="" tooltip="" display=""/>
    <hyperlink ref="R2093" r:id="rId4182" location="" tooltip="" display=""/>
    <hyperlink ref="L2095" r:id="rId4183" location="" tooltip="" display=""/>
    <hyperlink ref="R2095" r:id="rId4184" location="" tooltip="" display=""/>
    <hyperlink ref="K2096" r:id="rId4185" location="" tooltip="" display=""/>
    <hyperlink ref="L2096" r:id="rId4186" location="" tooltip="" display=""/>
    <hyperlink ref="Q2096" r:id="rId4187" location="" tooltip="" display=""/>
    <hyperlink ref="R2096" r:id="rId4188" location="" tooltip="" display=""/>
    <hyperlink ref="L2097" r:id="rId4189" location="" tooltip="" display=""/>
    <hyperlink ref="R2097" r:id="rId4190" location="" tooltip="" display=""/>
    <hyperlink ref="L2098" r:id="rId4191" location="" tooltip="" display=""/>
    <hyperlink ref="R2098" r:id="rId4192" location="" tooltip="" display=""/>
    <hyperlink ref="K2100" r:id="rId4193" location="" tooltip="" display=""/>
    <hyperlink ref="L2100" r:id="rId4194" location="" tooltip="" display=""/>
    <hyperlink ref="Q2100" r:id="rId4195" location="" tooltip="" display=""/>
    <hyperlink ref="R2100" r:id="rId4196" location="" tooltip="" display=""/>
    <hyperlink ref="K2102" r:id="rId4197" location="" tooltip="" display=""/>
    <hyperlink ref="L2102" r:id="rId4198" location="" tooltip="" display=""/>
    <hyperlink ref="Q2102" r:id="rId4199" location="" tooltip="" display=""/>
    <hyperlink ref="R2102" r:id="rId4200" location="" tooltip="" display=""/>
    <hyperlink ref="L2104" r:id="rId4201" location="" tooltip="" display=""/>
    <hyperlink ref="R2104" r:id="rId4202" location="" tooltip="" display=""/>
    <hyperlink ref="L2105" r:id="rId4203" location="" tooltip="" display=""/>
    <hyperlink ref="R2105" r:id="rId4204" location="" tooltip="" display=""/>
    <hyperlink ref="K2106" r:id="rId4205" location="" tooltip="" display=""/>
    <hyperlink ref="L2106" r:id="rId4206" location="" tooltip="" display=""/>
    <hyperlink ref="Q2106" r:id="rId4207" location="" tooltip="" display=""/>
    <hyperlink ref="R2106" r:id="rId4208" location="" tooltip="" display=""/>
    <hyperlink ref="L2107" r:id="rId4209" location="" tooltip="" display=""/>
    <hyperlink ref="R2107" r:id="rId4210" location="" tooltip="" display=""/>
    <hyperlink ref="L2108" r:id="rId4211" location="" tooltip="" display=""/>
    <hyperlink ref="R2108" r:id="rId4212" location="" tooltip="" display=""/>
    <hyperlink ref="L2109" r:id="rId4213" location="" tooltip="" display=""/>
    <hyperlink ref="R2109" r:id="rId4214" location="" tooltip="" display=""/>
    <hyperlink ref="K2111" r:id="rId4215" location="" tooltip="" display=""/>
    <hyperlink ref="L2111" r:id="rId4216" location="" tooltip="" display=""/>
    <hyperlink ref="Q2111" r:id="rId4217" location="" tooltip="" display=""/>
    <hyperlink ref="R2111" r:id="rId4218" location="" tooltip="" display=""/>
    <hyperlink ref="L2112" r:id="rId4219" location="" tooltip="" display=""/>
    <hyperlink ref="R2112" r:id="rId4220" location="" tooltip="" display=""/>
    <hyperlink ref="K2114" r:id="rId4221" location="" tooltip="" display=""/>
    <hyperlink ref="L2114" r:id="rId4222" location="" tooltip="" display=""/>
    <hyperlink ref="Q2114" r:id="rId4223" location="" tooltip="" display=""/>
    <hyperlink ref="R2114" r:id="rId4224" location="" tooltip="" display=""/>
    <hyperlink ref="L2115" r:id="rId4225" location="" tooltip="" display=""/>
    <hyperlink ref="R2115" r:id="rId4226" location="" tooltip="" display=""/>
    <hyperlink ref="L2117" r:id="rId4227" location="" tooltip="" display=""/>
    <hyperlink ref="R2117" r:id="rId4228" location="" tooltip="" display=""/>
    <hyperlink ref="K2118" r:id="rId4229" location="" tooltip="" display=""/>
    <hyperlink ref="L2118" r:id="rId4230" location="" tooltip="" display=""/>
    <hyperlink ref="Q2118" r:id="rId4231" location="" tooltip="" display=""/>
    <hyperlink ref="R2118" r:id="rId4232" location="" tooltip="" display=""/>
    <hyperlink ref="L2119" r:id="rId4233" location="" tooltip="" display=""/>
    <hyperlink ref="R2119" r:id="rId4234" location="" tooltip="" display=""/>
    <hyperlink ref="L2120" r:id="rId4235" location="" tooltip="" display=""/>
    <hyperlink ref="R2120" r:id="rId4236" location="" tooltip="" display=""/>
    <hyperlink ref="K2122" r:id="rId4237" location="" tooltip="" display=""/>
    <hyperlink ref="L2122" r:id="rId4238" location="" tooltip="" display=""/>
    <hyperlink ref="Q2122" r:id="rId4239" location="" tooltip="" display=""/>
    <hyperlink ref="R2122" r:id="rId4240" location="" tooltip="" display=""/>
    <hyperlink ref="L2123" r:id="rId4241" location="" tooltip="" display=""/>
    <hyperlink ref="R2123" r:id="rId4242" location="" tooltip="" display=""/>
    <hyperlink ref="K2125" r:id="rId4243" location="" tooltip="" display=""/>
    <hyperlink ref="L2125" r:id="rId4244" location="" tooltip="" display=""/>
    <hyperlink ref="Q2125" r:id="rId4245" location="" tooltip="" display=""/>
    <hyperlink ref="R2125" r:id="rId4246" location="" tooltip="" display=""/>
    <hyperlink ref="L2126" r:id="rId4247" location="" tooltip="" display=""/>
    <hyperlink ref="R2126" r:id="rId4248" location="" tooltip="" display=""/>
    <hyperlink ref="L2128" r:id="rId4249" location="" tooltip="" display=""/>
    <hyperlink ref="R2128" r:id="rId4250" location="" tooltip="" display=""/>
    <hyperlink ref="K2129" r:id="rId4251" location="" tooltip="" display=""/>
    <hyperlink ref="L2129" r:id="rId4252" location="" tooltip="" display=""/>
    <hyperlink ref="Q2129" r:id="rId4253" location="" tooltip="" display=""/>
    <hyperlink ref="R2129" r:id="rId4254" location="" tooltip="" display=""/>
    <hyperlink ref="L2130" r:id="rId4255" location="" tooltip="" display=""/>
    <hyperlink ref="R2130" r:id="rId4256" location="" tooltip="" display=""/>
    <hyperlink ref="L2131" r:id="rId4257" location="" tooltip="" display=""/>
    <hyperlink ref="R2131" r:id="rId4258" location="" tooltip="" display=""/>
    <hyperlink ref="L2133" r:id="rId4259" location="" tooltip="" display=""/>
    <hyperlink ref="R2133" r:id="rId4260" location="" tooltip="" display=""/>
    <hyperlink ref="K2134" r:id="rId4261" location="" tooltip="" display=""/>
    <hyperlink ref="L2134" r:id="rId4262" location="" tooltip="" display=""/>
    <hyperlink ref="Q2134" r:id="rId4263" location="" tooltip="" display=""/>
    <hyperlink ref="R2134" r:id="rId4264" location="" tooltip="" display=""/>
    <hyperlink ref="L2135" r:id="rId4265" location="" tooltip="" display=""/>
    <hyperlink ref="R2135" r:id="rId4266" location="" tooltip="" display=""/>
    <hyperlink ref="L2137" r:id="rId4267" location="" tooltip="" display=""/>
    <hyperlink ref="R2137" r:id="rId4268" location="" tooltip="" display=""/>
    <hyperlink ref="K2138" r:id="rId4269" location="" tooltip="" display=""/>
    <hyperlink ref="L2138" r:id="rId4270" location="" tooltip="" display=""/>
    <hyperlink ref="Q2138" r:id="rId4271" location="" tooltip="" display=""/>
    <hyperlink ref="R2138" r:id="rId4272" location="" tooltip="" display=""/>
    <hyperlink ref="L2139" r:id="rId4273" location="" tooltip="" display=""/>
    <hyperlink ref="R2139" r:id="rId4274" location="" tooltip="" display=""/>
    <hyperlink ref="L2141" r:id="rId4275" location="" tooltip="" display=""/>
    <hyperlink ref="R2141" r:id="rId4276" location="" tooltip="" display=""/>
    <hyperlink ref="L2142" r:id="rId4277" location="" tooltip="" display=""/>
    <hyperlink ref="R2142" r:id="rId4278" location="" tooltip="" display=""/>
    <hyperlink ref="L2143" r:id="rId4279" location="" tooltip="" display=""/>
    <hyperlink ref="R2143" r:id="rId4280" location="" tooltip="" display=""/>
    <hyperlink ref="L2144" r:id="rId4281" location="" tooltip="" display=""/>
    <hyperlink ref="R2144" r:id="rId4282" location="" tooltip="" display=""/>
    <hyperlink ref="K2145" r:id="rId4283" location="" tooltip="" display=""/>
    <hyperlink ref="L2145" r:id="rId4284" location="" tooltip="" display=""/>
    <hyperlink ref="Q2145" r:id="rId4285" location="" tooltip="" display=""/>
    <hyperlink ref="R2145" r:id="rId4286" location="" tooltip="" display=""/>
    <hyperlink ref="L2146" r:id="rId4287" location="" tooltip="" display=""/>
    <hyperlink ref="R2146" r:id="rId4288" location="" tooltip="" display=""/>
    <hyperlink ref="L2147" r:id="rId4289" location="" tooltip="" display=""/>
    <hyperlink ref="R2147" r:id="rId4290" location="" tooltip="" display=""/>
    <hyperlink ref="L2148" r:id="rId4291" location="" tooltip="" display=""/>
    <hyperlink ref="R2148" r:id="rId4292" location="" tooltip="" display=""/>
    <hyperlink ref="L2149" r:id="rId4293" location="" tooltip="" display=""/>
    <hyperlink ref="R2149" r:id="rId4294" location="" tooltip="" display=""/>
    <hyperlink ref="L2151" r:id="rId4295" location="" tooltip="" display=""/>
    <hyperlink ref="R2151" r:id="rId4296" location="" tooltip="" display=""/>
    <hyperlink ref="L2152" r:id="rId4297" location="" tooltip="" display=""/>
    <hyperlink ref="R2152" r:id="rId4298" location="" tooltip="" display=""/>
    <hyperlink ref="L2153" r:id="rId4299" location="" tooltip="" display=""/>
    <hyperlink ref="R2153" r:id="rId4300" location="" tooltip="" display=""/>
    <hyperlink ref="L2154" r:id="rId4301" location="" tooltip="" display=""/>
    <hyperlink ref="R2154" r:id="rId4302" location="" tooltip="" display=""/>
    <hyperlink ref="L2155" r:id="rId4303" location="" tooltip="" display=""/>
    <hyperlink ref="R2155" r:id="rId4304" location="" tooltip="" display=""/>
    <hyperlink ref="K2156" r:id="rId4305" location="" tooltip="" display=""/>
    <hyperlink ref="L2156" r:id="rId4306" location="" tooltip="" display=""/>
    <hyperlink ref="Q2156" r:id="rId4307" location="" tooltip="" display=""/>
    <hyperlink ref="R2156" r:id="rId4308" location="" tooltip="" display=""/>
    <hyperlink ref="L2157" r:id="rId4309" location="" tooltip="" display=""/>
    <hyperlink ref="R2157" r:id="rId4310" location="" tooltip="" display=""/>
    <hyperlink ref="L2158" r:id="rId4311" location="" tooltip="" display=""/>
    <hyperlink ref="R2158" r:id="rId4312" location="" tooltip="" display=""/>
    <hyperlink ref="L2159" r:id="rId4313" location="" tooltip="" display=""/>
    <hyperlink ref="R2159" r:id="rId4314" location="" tooltip="" display=""/>
    <hyperlink ref="L2160" r:id="rId4315" location="" tooltip="" display=""/>
    <hyperlink ref="R2160" r:id="rId4316" location="" tooltip="" display=""/>
    <hyperlink ref="L2161" r:id="rId4317" location="" tooltip="" display=""/>
    <hyperlink ref="R2161" r:id="rId4318" location="" tooltip="" display=""/>
    <hyperlink ref="L2163" r:id="rId4319" location="" tooltip="" display=""/>
    <hyperlink ref="R2163" r:id="rId4320" location="" tooltip="" display=""/>
    <hyperlink ref="K2164" r:id="rId4321" location="" tooltip="" display=""/>
    <hyperlink ref="L2164" r:id="rId4322" location="" tooltip="" display=""/>
    <hyperlink ref="Q2164" r:id="rId4323" location="" tooltip="" display=""/>
    <hyperlink ref="R2164" r:id="rId4324" location="" tooltip="" display=""/>
    <hyperlink ref="L2165" r:id="rId4325" location="" tooltip="" display=""/>
    <hyperlink ref="R2165" r:id="rId4326" location="" tooltip="" display=""/>
    <hyperlink ref="L2166" r:id="rId4327" location="" tooltip="" display=""/>
    <hyperlink ref="R2166" r:id="rId4328" location="" tooltip="" display=""/>
    <hyperlink ref="K2168" r:id="rId4329" location="" tooltip="" display=""/>
    <hyperlink ref="L2168" r:id="rId4330" location="" tooltip="" display=""/>
    <hyperlink ref="Q2168" r:id="rId4331" location="" tooltip="" display=""/>
    <hyperlink ref="R2168" r:id="rId4332" location="" tooltip="" display=""/>
    <hyperlink ref="L2169" r:id="rId4333" location="" tooltip="" display=""/>
    <hyperlink ref="R2169" r:id="rId4334" location="" tooltip="" display=""/>
    <hyperlink ref="K2171" r:id="rId4335" location="" tooltip="" display=""/>
    <hyperlink ref="L2171" r:id="rId4336" location="" tooltip="" display=""/>
    <hyperlink ref="Q2171" r:id="rId4337" location="" tooltip="" display=""/>
    <hyperlink ref="R2171" r:id="rId4338" location="" tooltip="" display=""/>
    <hyperlink ref="L2173" r:id="rId4339" location="" tooltip="" display=""/>
    <hyperlink ref="R2173" r:id="rId4340" location="" tooltip="" display=""/>
    <hyperlink ref="L2174" r:id="rId4341" location="" tooltip="" display=""/>
    <hyperlink ref="R2174" r:id="rId4342" location="" tooltip="" display=""/>
    <hyperlink ref="L2175" r:id="rId4343" location="" tooltip="" display=""/>
    <hyperlink ref="R2175" r:id="rId4344" location="" tooltip="" display=""/>
    <hyperlink ref="K2176" r:id="rId4345" location="" tooltip="" display=""/>
    <hyperlink ref="L2176" r:id="rId4346" location="" tooltip="" display=""/>
    <hyperlink ref="Q2176" r:id="rId4347" location="" tooltip="" display=""/>
    <hyperlink ref="R2176" r:id="rId4348" location="" tooltip="" display=""/>
    <hyperlink ref="L2177" r:id="rId4349" location="" tooltip="" display=""/>
    <hyperlink ref="R2177" r:id="rId4350" location="" tooltip="" display=""/>
    <hyperlink ref="L2178" r:id="rId4351" location="" tooltip="" display=""/>
    <hyperlink ref="R2178" r:id="rId4352" location="" tooltip="" display=""/>
    <hyperlink ref="L2179" r:id="rId4353" location="" tooltip="" display=""/>
    <hyperlink ref="R2179" r:id="rId4354" location="" tooltip="" display=""/>
    <hyperlink ref="L2181" r:id="rId4355" location="" tooltip="" display=""/>
    <hyperlink ref="R2181" r:id="rId4356" location="" tooltip="" display=""/>
    <hyperlink ref="L2182" r:id="rId4357" location="" tooltip="" display=""/>
    <hyperlink ref="R2182" r:id="rId4358" location="" tooltip="" display=""/>
    <hyperlink ref="L2183" r:id="rId4359" location="" tooltip="" display=""/>
    <hyperlink ref="R2183" r:id="rId4360" location="" tooltip="" display=""/>
    <hyperlink ref="K2184" r:id="rId4361" location="" tooltip="" display=""/>
    <hyperlink ref="L2184" r:id="rId4362" location="" tooltip="" display=""/>
    <hyperlink ref="Q2184" r:id="rId4363" location="" tooltip="" display=""/>
    <hyperlink ref="R2184" r:id="rId4364" location="" tooltip="" display=""/>
    <hyperlink ref="L2185" r:id="rId4365" location="" tooltip="" display=""/>
    <hyperlink ref="R2185" r:id="rId4366" location="" tooltip="" display=""/>
    <hyperlink ref="L2186" r:id="rId4367" location="" tooltip="" display=""/>
    <hyperlink ref="R2186" r:id="rId4368" location="" tooltip="" display=""/>
    <hyperlink ref="L2187" r:id="rId4369" location="" tooltip="" display=""/>
    <hyperlink ref="R2187" r:id="rId4370" location="" tooltip="" display=""/>
    <hyperlink ref="L2189" r:id="rId4371" location="" tooltip="" display=""/>
    <hyperlink ref="R2189" r:id="rId4372" location="" tooltip="" display=""/>
    <hyperlink ref="K2190" r:id="rId4373" location="" tooltip="" display=""/>
    <hyperlink ref="L2190" r:id="rId4374" location="" tooltip="" display=""/>
    <hyperlink ref="Q2190" r:id="rId4375" location="" tooltip="" display=""/>
    <hyperlink ref="R2190" r:id="rId4376" location="" tooltip="" display=""/>
    <hyperlink ref="L2191" r:id="rId4377" location="" tooltip="" display=""/>
    <hyperlink ref="R2191" r:id="rId4378" location="" tooltip="" display=""/>
    <hyperlink ref="L2192" r:id="rId4379" location="" tooltip="" display=""/>
    <hyperlink ref="R2192" r:id="rId4380" location="" tooltip="" display=""/>
    <hyperlink ref="K2194" r:id="rId4381" location="" tooltip="" display=""/>
    <hyperlink ref="L2194" r:id="rId4382" location="" tooltip="" display=""/>
    <hyperlink ref="Q2194" r:id="rId4383" location="" tooltip="" display=""/>
    <hyperlink ref="R2194" r:id="rId4384" location="" tooltip="" display=""/>
    <hyperlink ref="L2195" r:id="rId4385" location="" tooltip="" display=""/>
    <hyperlink ref="R2195" r:id="rId4386" location="" tooltip="" display=""/>
    <hyperlink ref="L2197" r:id="rId4387" location="" tooltip="" display=""/>
    <hyperlink ref="R2197" r:id="rId4388" location="" tooltip="" display=""/>
    <hyperlink ref="K2198" r:id="rId4389" location="" tooltip="" display=""/>
    <hyperlink ref="L2198" r:id="rId4390" location="" tooltip="" display=""/>
    <hyperlink ref="Q2198" r:id="rId4391" location="" tooltip="" display=""/>
    <hyperlink ref="R2198" r:id="rId4392" location="" tooltip="" display=""/>
    <hyperlink ref="L2199" r:id="rId4393" location="" tooltip="" display=""/>
    <hyperlink ref="R2199" r:id="rId4394" location="" tooltip="" display=""/>
    <hyperlink ref="L2200" r:id="rId4395" location="" tooltip="" display=""/>
    <hyperlink ref="R2200" r:id="rId4396" location="" tooltip="" display=""/>
    <hyperlink ref="L2202" r:id="rId4397" location="" tooltip="" display=""/>
    <hyperlink ref="R2202" r:id="rId4398" location="" tooltip="" display=""/>
    <hyperlink ref="K2203" r:id="rId4399" location="" tooltip="" display=""/>
    <hyperlink ref="L2203" r:id="rId4400" location="" tooltip="" display=""/>
    <hyperlink ref="Q2203" r:id="rId4401" location="" tooltip="" display=""/>
    <hyperlink ref="R2203" r:id="rId4402" location="" tooltip="" display=""/>
    <hyperlink ref="L2204" r:id="rId4403" location="" tooltip="" display=""/>
    <hyperlink ref="R2204" r:id="rId4404" location="" tooltip="" display=""/>
    <hyperlink ref="L2205" r:id="rId4405" location="" tooltip="" display=""/>
    <hyperlink ref="R2205" r:id="rId4406" location="" tooltip="" display=""/>
    <hyperlink ref="K2207" r:id="rId4407" location="" tooltip="" display=""/>
    <hyperlink ref="L2207" r:id="rId4408" location="" tooltip="" display=""/>
    <hyperlink ref="Q2207" r:id="rId4409" location="" tooltip="" display=""/>
    <hyperlink ref="R2207" r:id="rId4410" location="" tooltip="" display=""/>
    <hyperlink ref="K2209" r:id="rId4411" location="" tooltip="" display=""/>
    <hyperlink ref="L2209" r:id="rId4412" location="" tooltip="" display=""/>
    <hyperlink ref="Q2209" r:id="rId4413" location="" tooltip="" display=""/>
    <hyperlink ref="R2209" r:id="rId4414" location="" tooltip="" display=""/>
    <hyperlink ref="K2211" r:id="rId4415" location="" tooltip="" display=""/>
    <hyperlink ref="L2211" r:id="rId4416" location="" tooltip="" display=""/>
    <hyperlink ref="Q2211" r:id="rId4417" location="" tooltip="" display=""/>
    <hyperlink ref="R2211" r:id="rId4418" location="" tooltip="" display=""/>
    <hyperlink ref="K2213" r:id="rId4419" location="" tooltip="" display=""/>
    <hyperlink ref="L2213" r:id="rId4420" location="" tooltip="" display=""/>
    <hyperlink ref="Q2213" r:id="rId4421" location="" tooltip="" display=""/>
    <hyperlink ref="R2213" r:id="rId4422" location="" tooltip="" display=""/>
    <hyperlink ref="L2215" r:id="rId4423" location="" tooltip="" display=""/>
    <hyperlink ref="R2215" r:id="rId4424" location="" tooltip="" display=""/>
    <hyperlink ref="K2216" r:id="rId4425" location="" tooltip="" display=""/>
    <hyperlink ref="L2216" r:id="rId4426" location="" tooltip="" display=""/>
    <hyperlink ref="Q2216" r:id="rId4427" location="" tooltip="" display=""/>
    <hyperlink ref="R2216" r:id="rId4428" location="" tooltip="" display=""/>
    <hyperlink ref="L2217" r:id="rId4429" location="" tooltip="" display=""/>
    <hyperlink ref="R2217" r:id="rId4430" location="" tooltip="" display=""/>
    <hyperlink ref="L2219" r:id="rId4431" location="" tooltip="" display=""/>
    <hyperlink ref="R2219" r:id="rId4432" location="" tooltip="" display=""/>
    <hyperlink ref="L2220" r:id="rId4433" location="" tooltip="" display=""/>
    <hyperlink ref="R2220" r:id="rId4434" location="" tooltip="" display=""/>
    <hyperlink ref="L2221" r:id="rId4435" location="" tooltip="" display=""/>
    <hyperlink ref="R2221" r:id="rId4436" location="" tooltip="" display=""/>
    <hyperlink ref="K2222" r:id="rId4437" location="" tooltip="" display=""/>
    <hyperlink ref="L2222" r:id="rId4438" location="" tooltip="" display=""/>
    <hyperlink ref="Q2222" r:id="rId4439" location="" tooltip="" display=""/>
    <hyperlink ref="R2222" r:id="rId4440" location="" tooltip="" display=""/>
    <hyperlink ref="L2223" r:id="rId4441" location="" tooltip="" display=""/>
    <hyperlink ref="R2223" r:id="rId4442" location="" tooltip="" display=""/>
    <hyperlink ref="L2224" r:id="rId4443" location="" tooltip="" display=""/>
    <hyperlink ref="R2224" r:id="rId4444" location="" tooltip="" display=""/>
    <hyperlink ref="L2225" r:id="rId4445" location="" tooltip="" display=""/>
    <hyperlink ref="R2225" r:id="rId4446" location="" tooltip="" display=""/>
    <hyperlink ref="L2226" r:id="rId4447" location="" tooltip="" display=""/>
    <hyperlink ref="R2226" r:id="rId4448" location="" tooltip="" display=""/>
    <hyperlink ref="K2228" r:id="rId4449" location="" tooltip="" display=""/>
    <hyperlink ref="L2228" r:id="rId4450" location="" tooltip="" display=""/>
    <hyperlink ref="Q2228" r:id="rId4451" location="" tooltip="" display=""/>
    <hyperlink ref="R2228" r:id="rId4452" location="" tooltip="" display=""/>
    <hyperlink ref="L2230" r:id="rId4453" location="" tooltip="" display=""/>
    <hyperlink ref="R2230" r:id="rId4454" location="" tooltip="" display=""/>
    <hyperlink ref="K2231" r:id="rId4455" location="" tooltip="" display=""/>
    <hyperlink ref="L2231" r:id="rId4456" location="" tooltip="" display=""/>
    <hyperlink ref="Q2231" r:id="rId4457" location="" tooltip="" display=""/>
    <hyperlink ref="R2231" r:id="rId4458" location="" tooltip="" display=""/>
    <hyperlink ref="L2232" r:id="rId4459" location="" tooltip="" display=""/>
    <hyperlink ref="R2232" r:id="rId4460" location="" tooltip="" display=""/>
    <hyperlink ref="L2233" r:id="rId4461" location="" tooltip="" display=""/>
    <hyperlink ref="R2233" r:id="rId4462" location="" tooltip="" display=""/>
    <hyperlink ref="L2235" r:id="rId4463" location="" tooltip="" display=""/>
    <hyperlink ref="R2235" r:id="rId4464" location="" tooltip="" display=""/>
    <hyperlink ref="K2236" r:id="rId4465" location="" tooltip="" display=""/>
    <hyperlink ref="L2236" r:id="rId4466" location="" tooltip="" display=""/>
    <hyperlink ref="Q2236" r:id="rId4467" location="" tooltip="" display=""/>
    <hyperlink ref="R2236" r:id="rId4468" location="" tooltip="" display=""/>
    <hyperlink ref="L2237" r:id="rId4469" location="" tooltip="" display=""/>
    <hyperlink ref="R2237" r:id="rId4470" location="" tooltip="" display=""/>
    <hyperlink ref="L2238" r:id="rId4471" location="" tooltip="" display=""/>
    <hyperlink ref="R2238" r:id="rId4472" location="" tooltip="" display=""/>
    <hyperlink ref="K2240" r:id="rId4473" location="" tooltip="" display=""/>
    <hyperlink ref="L2240" r:id="rId4474" location="" tooltip="" display=""/>
    <hyperlink ref="Q2240" r:id="rId4475" location="" tooltip="" display=""/>
    <hyperlink ref="R2240" r:id="rId4476" location="" tooltip="" display=""/>
    <hyperlink ref="L2242" r:id="rId4477" location="" tooltip="" display=""/>
    <hyperlink ref="R2242" r:id="rId4478" location="" tooltip="" display=""/>
    <hyperlink ref="K2243" r:id="rId4479" location="" tooltip="" display=""/>
    <hyperlink ref="L2243" r:id="rId4480" location="" tooltip="" display=""/>
    <hyperlink ref="Q2243" r:id="rId4481" location="" tooltip="" display=""/>
    <hyperlink ref="R2243" r:id="rId4482" location="" tooltip="" display=""/>
    <hyperlink ref="L2244" r:id="rId4483" location="" tooltip="" display=""/>
    <hyperlink ref="R2244" r:id="rId4484" location="" tooltip="" display=""/>
    <hyperlink ref="L2245" r:id="rId4485" location="" tooltip="" display=""/>
    <hyperlink ref="R2245" r:id="rId4486" location="" tooltip="" display=""/>
    <hyperlink ref="L2247" r:id="rId4487" location="" tooltip="" display=""/>
    <hyperlink ref="R2247" r:id="rId4488" location="" tooltip="" display=""/>
    <hyperlink ref="L2248" r:id="rId4489" location="" tooltip="" display=""/>
    <hyperlink ref="R2248" r:id="rId4490" location="" tooltip="" display=""/>
    <hyperlink ref="L2249" r:id="rId4491" location="" tooltip="" display=""/>
    <hyperlink ref="R2249" r:id="rId4492" location="" tooltip="" display=""/>
    <hyperlink ref="L2250" r:id="rId4493" location="" tooltip="" display=""/>
    <hyperlink ref="R2250" r:id="rId4494" location="" tooltip="" display=""/>
    <hyperlink ref="L2251" r:id="rId4495" location="" tooltip="" display=""/>
    <hyperlink ref="R2251" r:id="rId4496" location="" tooltip="" display=""/>
    <hyperlink ref="L2252" r:id="rId4497" location="" tooltip="" display=""/>
    <hyperlink ref="R2252" r:id="rId4498" location="" tooltip="" display=""/>
    <hyperlink ref="L2253" r:id="rId4499" location="" tooltip="" display=""/>
    <hyperlink ref="R2253" r:id="rId4500" location="" tooltip="" display=""/>
    <hyperlink ref="L2254" r:id="rId4501" location="" tooltip="" display=""/>
    <hyperlink ref="R2254" r:id="rId4502" location="" tooltip="" display=""/>
    <hyperlink ref="L2255" r:id="rId4503" location="" tooltip="" display=""/>
    <hyperlink ref="R2255" r:id="rId4504" location="" tooltip="" display=""/>
    <hyperlink ref="K2256" r:id="rId4505" location="" tooltip="" display=""/>
    <hyperlink ref="L2256" r:id="rId4506" location="" tooltip="" display=""/>
    <hyperlink ref="Q2256" r:id="rId4507" location="" tooltip="" display=""/>
    <hyperlink ref="R2256" r:id="rId4508" location="" tooltip="" display=""/>
    <hyperlink ref="L2257" r:id="rId4509" location="" tooltip="" display=""/>
    <hyperlink ref="R2257" r:id="rId4510" location="" tooltip="" display=""/>
    <hyperlink ref="L2258" r:id="rId4511" location="" tooltip="" display=""/>
    <hyperlink ref="R2258" r:id="rId4512" location="" tooltip="" display=""/>
    <hyperlink ref="L2259" r:id="rId4513" location="" tooltip="" display=""/>
    <hyperlink ref="R2259" r:id="rId4514" location="" tooltip="" display=""/>
    <hyperlink ref="L2260" r:id="rId4515" location="" tooltip="" display=""/>
    <hyperlink ref="R2260" r:id="rId4516" location="" tooltip="" display=""/>
    <hyperlink ref="L2261" r:id="rId4517" location="" tooltip="" display=""/>
    <hyperlink ref="R2261" r:id="rId4518" location="" tooltip="" display=""/>
    <hyperlink ref="L2262" r:id="rId4519" location="" tooltip="" display=""/>
    <hyperlink ref="R2262" r:id="rId4520" location="" tooltip="" display=""/>
    <hyperlink ref="L2263" r:id="rId4521" location="" tooltip="" display=""/>
    <hyperlink ref="R2263" r:id="rId4522" location="" tooltip="" display=""/>
    <hyperlink ref="L2264" r:id="rId4523" location="" tooltip="" display=""/>
    <hyperlink ref="R2264" r:id="rId4524" location="" tooltip="" display=""/>
    <hyperlink ref="L2265" r:id="rId4525" location="" tooltip="" display=""/>
    <hyperlink ref="R2265" r:id="rId4526" location="" tooltip="" display=""/>
    <hyperlink ref="K2267" r:id="rId4527" location="" tooltip="" display=""/>
    <hyperlink ref="L2267" r:id="rId4528" location="" tooltip="" display=""/>
    <hyperlink ref="Q2267" r:id="rId4529" location="" tooltip="" display=""/>
    <hyperlink ref="R2267" r:id="rId4530" location="" tooltip="" display=""/>
    <hyperlink ref="L2268" r:id="rId4531" location="" tooltip="" display=""/>
    <hyperlink ref="R2268" r:id="rId4532" location="" tooltip="" display=""/>
    <hyperlink ref="L2270" r:id="rId4533" location="" tooltip="" display=""/>
    <hyperlink ref="R2270" r:id="rId4534" location="" tooltip="" display=""/>
    <hyperlink ref="L2271" r:id="rId4535" location="" tooltip="" display=""/>
    <hyperlink ref="R2271" r:id="rId4536" location="" tooltip="" display=""/>
    <hyperlink ref="K2272" r:id="rId4537" location="" tooltip="" display=""/>
    <hyperlink ref="L2272" r:id="rId4538" location="" tooltip="" display=""/>
    <hyperlink ref="Q2272" r:id="rId4539" location="" tooltip="" display=""/>
    <hyperlink ref="R2272" r:id="rId4540" location="" tooltip="" display=""/>
    <hyperlink ref="L2273" r:id="rId4541" location="" tooltip="" display=""/>
    <hyperlink ref="R2273" r:id="rId4542" location="" tooltip="" display=""/>
    <hyperlink ref="L2274" r:id="rId4543" location="" tooltip="" display=""/>
    <hyperlink ref="R2274" r:id="rId4544" location="" tooltip="" display=""/>
    <hyperlink ref="L2275" r:id="rId4545" location="" tooltip="" display=""/>
    <hyperlink ref="R2275" r:id="rId4546" location="" tooltip="" display=""/>
    <hyperlink ref="L2277" r:id="rId4547" location="" tooltip="" display=""/>
    <hyperlink ref="R2277" r:id="rId4548" location="" tooltip="" display=""/>
    <hyperlink ref="K2278" r:id="rId4549" location="" tooltip="" display=""/>
    <hyperlink ref="L2278" r:id="rId4550" location="" tooltip="" display=""/>
    <hyperlink ref="Q2278" r:id="rId4551" location="" tooltip="" display=""/>
    <hyperlink ref="R2278" r:id="rId4552" location="" tooltip="" display=""/>
    <hyperlink ref="L2279" r:id="rId4553" location="" tooltip="" display=""/>
    <hyperlink ref="R2279" r:id="rId4554" location="" tooltip="" display=""/>
    <hyperlink ref="L2281" r:id="rId4555" location="" tooltip="" display=""/>
    <hyperlink ref="R2281" r:id="rId4556" location="" tooltip="" display=""/>
    <hyperlink ref="K2282" r:id="rId4557" location="" tooltip="" display=""/>
    <hyperlink ref="L2282" r:id="rId4558" location="" tooltip="" display=""/>
    <hyperlink ref="Q2282" r:id="rId4559" location="" tooltip="" display=""/>
    <hyperlink ref="R2282" r:id="rId4560" location="" tooltip="" display=""/>
    <hyperlink ref="L2283" r:id="rId4561" location="" tooltip="" display=""/>
    <hyperlink ref="R2283" r:id="rId4562" location="" tooltip="" display=""/>
    <hyperlink ref="K2285" r:id="rId4563" location="" tooltip="" display=""/>
    <hyperlink ref="L2285" r:id="rId4564" location="" tooltip="" display=""/>
    <hyperlink ref="Q2285" r:id="rId4565" location="" tooltip="" display=""/>
    <hyperlink ref="R2285" r:id="rId4566" location="" tooltip="" display=""/>
    <hyperlink ref="L2287" r:id="rId4567" location="" tooltip="" display=""/>
    <hyperlink ref="R2287" r:id="rId4568" location="" tooltip="" display=""/>
    <hyperlink ref="L2288" r:id="rId4569" location="" tooltip="" display=""/>
    <hyperlink ref="R2288" r:id="rId4570" location="" tooltip="" display=""/>
    <hyperlink ref="K2289" r:id="rId4571" location="" tooltip="" display=""/>
    <hyperlink ref="L2289" r:id="rId4572" location="" tooltip="" display=""/>
    <hyperlink ref="Q2289" r:id="rId4573" location="" tooltip="" display=""/>
    <hyperlink ref="R2289" r:id="rId4574" location="" tooltip="" display=""/>
    <hyperlink ref="L2290" r:id="rId4575" location="" tooltip="" display=""/>
    <hyperlink ref="R2290" r:id="rId4576" location="" tooltip="" display=""/>
    <hyperlink ref="L2291" r:id="rId4577" location="" tooltip="" display=""/>
    <hyperlink ref="R2291" r:id="rId4578" location="" tooltip="" display=""/>
    <hyperlink ref="K2293" r:id="rId4579" location="" tooltip="" display=""/>
    <hyperlink ref="L2293" r:id="rId4580" location="" tooltip="" display=""/>
    <hyperlink ref="Q2293" r:id="rId4581" location="" tooltip="" display=""/>
    <hyperlink ref="R2293" r:id="rId4582" location="" tooltip="" display=""/>
    <hyperlink ref="L2295" r:id="rId4583" location="" tooltip="" display=""/>
    <hyperlink ref="R2295" r:id="rId4584" location="" tooltip="" display=""/>
    <hyperlink ref="L2296" r:id="rId4585" location="" tooltip="" display=""/>
    <hyperlink ref="R2296" r:id="rId4586" location="" tooltip="" display=""/>
    <hyperlink ref="L2297" r:id="rId4587" location="" tooltip="" display=""/>
    <hyperlink ref="R2297" r:id="rId4588" location="" tooltip="" display=""/>
    <hyperlink ref="K2298" r:id="rId4589" location="" tooltip="" display=""/>
    <hyperlink ref="L2298" r:id="rId4590" location="" tooltip="" display=""/>
    <hyperlink ref="Q2298" r:id="rId4591" location="" tooltip="" display=""/>
    <hyperlink ref="R2298" r:id="rId4592" location="" tooltip="" display=""/>
    <hyperlink ref="L2299" r:id="rId4593" location="" tooltip="" display=""/>
    <hyperlink ref="R2299" r:id="rId4594" location="" tooltip="" display=""/>
    <hyperlink ref="L2300" r:id="rId4595" location="" tooltip="" display=""/>
    <hyperlink ref="R2300" r:id="rId4596" location="" tooltip="" display=""/>
    <hyperlink ref="L2301" r:id="rId4597" location="" tooltip="" display=""/>
    <hyperlink ref="R2301" r:id="rId4598" location="" tooltip="" display=""/>
    <hyperlink ref="L2302" r:id="rId4599" location="" tooltip="" display=""/>
    <hyperlink ref="R2302" r:id="rId4600" location="" tooltip="" display=""/>
    <hyperlink ref="L2304" r:id="rId4601" location="" tooltip="" display=""/>
    <hyperlink ref="R2304" r:id="rId4602" location="" tooltip="" display=""/>
    <hyperlink ref="L2305" r:id="rId4603" location="" tooltip="" display=""/>
    <hyperlink ref="R2305" r:id="rId4604" location="" tooltip="" display=""/>
    <hyperlink ref="L2306" r:id="rId4605" location="" tooltip="" display=""/>
    <hyperlink ref="R2306" r:id="rId4606" location="" tooltip="" display=""/>
    <hyperlink ref="L2307" r:id="rId4607" location="" tooltip="" display=""/>
    <hyperlink ref="R2307" r:id="rId4608" location="" tooltip="" display=""/>
    <hyperlink ref="K2308" r:id="rId4609" location="" tooltip="" display=""/>
    <hyperlink ref="L2308" r:id="rId4610" location="" tooltip="" display=""/>
    <hyperlink ref="Q2308" r:id="rId4611" location="" tooltip="" display=""/>
    <hyperlink ref="R2308" r:id="rId4612" location="" tooltip="" display=""/>
    <hyperlink ref="L2309" r:id="rId4613" location="" tooltip="" display=""/>
    <hyperlink ref="R2309" r:id="rId4614" location="" tooltip="" display=""/>
    <hyperlink ref="L2310" r:id="rId4615" location="" tooltip="" display=""/>
    <hyperlink ref="R2310" r:id="rId4616" location="" tooltip="" display=""/>
    <hyperlink ref="L2311" r:id="rId4617" location="" tooltip="" display=""/>
    <hyperlink ref="R2311" r:id="rId4618" location="" tooltip="" display=""/>
    <hyperlink ref="L2312" r:id="rId4619" location="" tooltip="" display=""/>
    <hyperlink ref="R2312" r:id="rId4620" location="" tooltip="" display=""/>
    <hyperlink ref="L2313" r:id="rId4621" location="" tooltip="" display=""/>
    <hyperlink ref="R2313" r:id="rId4622" location="" tooltip="" display=""/>
    <hyperlink ref="L2315" r:id="rId4623" location="" tooltip="" display=""/>
    <hyperlink ref="R2315" r:id="rId4624" location="" tooltip="" display=""/>
    <hyperlink ref="K2316" r:id="rId4625" location="" tooltip="" display=""/>
    <hyperlink ref="L2316" r:id="rId4626" location="" tooltip="" display=""/>
    <hyperlink ref="Q2316" r:id="rId4627" location="" tooltip="" display=""/>
    <hyperlink ref="R2316" r:id="rId4628" location="" tooltip="" display=""/>
    <hyperlink ref="L2317" r:id="rId4629" location="" tooltip="" display=""/>
    <hyperlink ref="R2317" r:id="rId4630" location="" tooltip="" display=""/>
    <hyperlink ref="L2318" r:id="rId4631" location="" tooltip="" display=""/>
    <hyperlink ref="R2318" r:id="rId4632" location="" tooltip="" display=""/>
    <hyperlink ref="L2320" r:id="rId4633" location="" tooltip="" display=""/>
    <hyperlink ref="R2320" r:id="rId4634" location="" tooltip="" display=""/>
    <hyperlink ref="K2321" r:id="rId4635" location="" tooltip="" display=""/>
    <hyperlink ref="L2321" r:id="rId4636" location="" tooltip="" display=""/>
    <hyperlink ref="Q2321" r:id="rId4637" location="" tooltip="" display=""/>
    <hyperlink ref="R2321" r:id="rId4638" location="" tooltip="" display=""/>
    <hyperlink ref="L2322" r:id="rId4639" location="" tooltip="" display=""/>
    <hyperlink ref="R2322" r:id="rId4640" location="" tooltip="" display=""/>
    <hyperlink ref="L2323" r:id="rId4641" location="" tooltip="" display=""/>
    <hyperlink ref="R2323" r:id="rId4642" location="" tooltip="" display=""/>
    <hyperlink ref="L2325" r:id="rId4643" location="" tooltip="" display=""/>
    <hyperlink ref="R2325" r:id="rId4644" location="" tooltip="" display=""/>
    <hyperlink ref="K2326" r:id="rId4645" location="" tooltip="" display=""/>
    <hyperlink ref="L2326" r:id="rId4646" location="" tooltip="" display=""/>
    <hyperlink ref="Q2326" r:id="rId4647" location="" tooltip="" display=""/>
    <hyperlink ref="R2326" r:id="rId4648" location="" tooltip="" display=""/>
    <hyperlink ref="L2327" r:id="rId4649" location="" tooltip="" display=""/>
    <hyperlink ref="R2327" r:id="rId4650" location="" tooltip="" display=""/>
    <hyperlink ref="L2328" r:id="rId4651" location="" tooltip="" display=""/>
    <hyperlink ref="R2328" r:id="rId4652" location="" tooltip="" display=""/>
    <hyperlink ref="K2330" r:id="rId4653" location="" tooltip="" display=""/>
    <hyperlink ref="L2330" r:id="rId4654" location="" tooltip="" display=""/>
    <hyperlink ref="Q2330" r:id="rId4655" location="" tooltip="" display=""/>
    <hyperlink ref="R2330" r:id="rId4656" location="" tooltip="" display=""/>
    <hyperlink ref="K2332" r:id="rId4657" location="" tooltip="" display=""/>
    <hyperlink ref="L2332" r:id="rId4658" location="" tooltip="" display=""/>
    <hyperlink ref="Q2332" r:id="rId4659" location="" tooltip="" display=""/>
    <hyperlink ref="R2332" r:id="rId4660" location="" tooltip="" display=""/>
    <hyperlink ref="L2334" r:id="rId4661" location="" tooltip="" display=""/>
    <hyperlink ref="R2334" r:id="rId4662" location="" tooltip="" display=""/>
    <hyperlink ref="K2335" r:id="rId4663" location="" tooltip="" display=""/>
    <hyperlink ref="L2335" r:id="rId4664" location="" tooltip="" display=""/>
    <hyperlink ref="Q2335" r:id="rId4665" location="" tooltip="" display=""/>
    <hyperlink ref="R2335" r:id="rId4666" location="" tooltip="" display=""/>
    <hyperlink ref="L2336" r:id="rId4667" location="" tooltip="" display=""/>
    <hyperlink ref="R2336" r:id="rId4668" location="" tooltip="" display=""/>
    <hyperlink ref="K2338" r:id="rId4669" location="" tooltip="" display=""/>
    <hyperlink ref="L2338" r:id="rId4670" location="" tooltip="" display=""/>
    <hyperlink ref="Q2338" r:id="rId4671" location="" tooltip="" display=""/>
    <hyperlink ref="R2338" r:id="rId4672" location="" tooltip="" display=""/>
    <hyperlink ref="L2339" r:id="rId4673" location="" tooltip="" display=""/>
    <hyperlink ref="R2339" r:id="rId4674" location="" tooltip="" display=""/>
    <hyperlink ref="L2341" r:id="rId4675" location="" tooltip="" display=""/>
    <hyperlink ref="R2341" r:id="rId4676" location="" tooltip="" display=""/>
    <hyperlink ref="L2342" r:id="rId4677" location="" tooltip="" display=""/>
    <hyperlink ref="R2342" r:id="rId4678" location="" tooltip="" display=""/>
    <hyperlink ref="L2343" r:id="rId4679" location="" tooltip="" display=""/>
    <hyperlink ref="R2343" r:id="rId4680" location="" tooltip="" display=""/>
    <hyperlink ref="K2344" r:id="rId4681" location="" tooltip="" display=""/>
    <hyperlink ref="L2344" r:id="rId4682" location="" tooltip="" display=""/>
    <hyperlink ref="Q2344" r:id="rId4683" location="" tooltip="" display=""/>
    <hyperlink ref="R2344" r:id="rId4684" location="" tooltip="" display=""/>
    <hyperlink ref="L2345" r:id="rId4685" location="" tooltip="" display=""/>
    <hyperlink ref="R2345" r:id="rId4686" location="" tooltip="" display=""/>
    <hyperlink ref="L2346" r:id="rId4687" location="" tooltip="" display=""/>
    <hyperlink ref="R2346" r:id="rId4688" location="" tooltip="" display=""/>
    <hyperlink ref="L2347" r:id="rId4689" location="" tooltip="" display=""/>
    <hyperlink ref="R2347" r:id="rId4690" location="" tooltip="" display=""/>
    <hyperlink ref="L2349" r:id="rId4691" location="" tooltip="" display=""/>
    <hyperlink ref="R2349" r:id="rId4692" location="" tooltip="" display=""/>
    <hyperlink ref="K2350" r:id="rId4693" location="" tooltip="" display=""/>
    <hyperlink ref="L2350" r:id="rId4694" location="" tooltip="" display=""/>
    <hyperlink ref="Q2350" r:id="rId4695" location="" tooltip="" display=""/>
    <hyperlink ref="R2350" r:id="rId4696" location="" tooltip="" display=""/>
    <hyperlink ref="L2351" r:id="rId4697" location="" tooltip="" display=""/>
    <hyperlink ref="R2351" r:id="rId4698" location="" tooltip="" display=""/>
    <hyperlink ref="L2352" r:id="rId4699" location="" tooltip="" display=""/>
    <hyperlink ref="R2352" r:id="rId4700" location="" tooltip="" display=""/>
    <hyperlink ref="L2354" r:id="rId4701" location="" tooltip="" display=""/>
    <hyperlink ref="R2354" r:id="rId4702" location="" tooltip="" display=""/>
    <hyperlink ref="L2355" r:id="rId4703" location="" tooltip="" display=""/>
    <hyperlink ref="R2355" r:id="rId4704" location="" tooltip="" display=""/>
    <hyperlink ref="K2356" r:id="rId4705" location="" tooltip="" display=""/>
    <hyperlink ref="L2356" r:id="rId4706" location="" tooltip="" display=""/>
    <hyperlink ref="Q2356" r:id="rId4707" location="" tooltip="" display=""/>
    <hyperlink ref="R2356" r:id="rId4708" location="" tooltip="" display=""/>
    <hyperlink ref="L2357" r:id="rId4709" location="" tooltip="" display=""/>
    <hyperlink ref="R2357" r:id="rId4710" location="" tooltip="" display=""/>
    <hyperlink ref="L2358" r:id="rId4711" location="" tooltip="" display=""/>
    <hyperlink ref="R2358" r:id="rId4712" location="" tooltip="" display=""/>
    <hyperlink ref="L2360" r:id="rId4713" location="" tooltip="" display=""/>
    <hyperlink ref="R2360" r:id="rId4714" location="" tooltip="" display=""/>
    <hyperlink ref="K2361" r:id="rId4715" location="" tooltip="" display=""/>
    <hyperlink ref="L2361" r:id="rId4716" location="" tooltip="" display=""/>
    <hyperlink ref="Q2361" r:id="rId4717" location="" tooltip="" display=""/>
    <hyperlink ref="R2361" r:id="rId4718" location="" tooltip="" display=""/>
    <hyperlink ref="L2362" r:id="rId4719" location="" tooltip="" display=""/>
    <hyperlink ref="R2362" r:id="rId4720" location="" tooltip="" display=""/>
    <hyperlink ref="L2363" r:id="rId4721" location="" tooltip="" display=""/>
    <hyperlink ref="R2363" r:id="rId4722" location="" tooltip="" display=""/>
    <hyperlink ref="L2365" r:id="rId4723" location="" tooltip="" display=""/>
    <hyperlink ref="R2365" r:id="rId4724" location="" tooltip="" display=""/>
    <hyperlink ref="K2366" r:id="rId4725" location="" tooltip="" display=""/>
    <hyperlink ref="L2366" r:id="rId4726" location="" tooltip="" display=""/>
    <hyperlink ref="Q2366" r:id="rId4727" location="" tooltip="" display=""/>
    <hyperlink ref="R2366" r:id="rId4728" location="" tooltip="" display=""/>
    <hyperlink ref="L2367" r:id="rId4729" location="" tooltip="" display=""/>
    <hyperlink ref="R2367" r:id="rId4730" location="" tooltip="" display=""/>
    <hyperlink ref="L2368" r:id="rId4731" location="" tooltip="" display=""/>
    <hyperlink ref="R2368" r:id="rId4732" location="" tooltip="" display=""/>
    <hyperlink ref="L2370" r:id="rId4733" location="" tooltip="" display=""/>
    <hyperlink ref="R2370" r:id="rId4734" location="" tooltip="" display=""/>
    <hyperlink ref="K2371" r:id="rId4735" location="" tooltip="" display=""/>
    <hyperlink ref="L2371" r:id="rId4736" location="" tooltip="" display=""/>
    <hyperlink ref="Q2371" r:id="rId4737" location="" tooltip="" display=""/>
    <hyperlink ref="R2371" r:id="rId4738" location="" tooltip="" display=""/>
    <hyperlink ref="L2372" r:id="rId4739" location="" tooltip="" display=""/>
    <hyperlink ref="R2372" r:id="rId4740" location="" tooltip="" display=""/>
    <hyperlink ref="L2374" r:id="rId4741" location="" tooltip="" display=""/>
    <hyperlink ref="R2374" r:id="rId4742" location="" tooltip="" display=""/>
    <hyperlink ref="L2375" r:id="rId4743" location="" tooltip="" display=""/>
    <hyperlink ref="R2375" r:id="rId4744" location="" tooltip="" display=""/>
    <hyperlink ref="K2376" r:id="rId4745" location="" tooltip="" display=""/>
    <hyperlink ref="L2376" r:id="rId4746" location="" tooltip="" display=""/>
    <hyperlink ref="Q2376" r:id="rId4747" location="" tooltip="" display=""/>
    <hyperlink ref="R2376" r:id="rId4748" location="" tooltip="" display=""/>
    <hyperlink ref="L2377" r:id="rId4749" location="" tooltip="" display=""/>
    <hyperlink ref="R2377" r:id="rId4750" location="" tooltip="" display=""/>
    <hyperlink ref="L2378" r:id="rId4751" location="" tooltip="" display=""/>
    <hyperlink ref="R2378" r:id="rId4752" location="" tooltip="" display=""/>
    <hyperlink ref="L2379" r:id="rId4753" location="" tooltip="" display=""/>
    <hyperlink ref="R2379" r:id="rId4754" location="" tooltip="" display=""/>
    <hyperlink ref="K2381" r:id="rId4755" location="" tooltip="" display=""/>
    <hyperlink ref="L2381" r:id="rId4756" location="" tooltip="" display=""/>
    <hyperlink ref="Q2381" r:id="rId4757" location="" tooltip="" display=""/>
    <hyperlink ref="R2381" r:id="rId4758" location="" tooltip="" display=""/>
    <hyperlink ref="K2383" r:id="rId4759" location="" tooltip="" display=""/>
    <hyperlink ref="L2383" r:id="rId4760" location="" tooltip="" display=""/>
    <hyperlink ref="Q2383" r:id="rId4761" location="" tooltip="" display=""/>
    <hyperlink ref="R2383" r:id="rId4762" location="" tooltip="" display=""/>
    <hyperlink ref="L2384" r:id="rId4763" location="" tooltip="" display=""/>
    <hyperlink ref="R2384" r:id="rId4764" location="" tooltip="" display=""/>
    <hyperlink ref="L2386" r:id="rId4765" location="" tooltip="" display=""/>
    <hyperlink ref="R2386" r:id="rId4766" location="" tooltip="" display=""/>
    <hyperlink ref="K2387" r:id="rId4767" location="" tooltip="" display=""/>
    <hyperlink ref="L2387" r:id="rId4768" location="" tooltip="" display=""/>
    <hyperlink ref="Q2387" r:id="rId4769" location="" tooltip="" display=""/>
    <hyperlink ref="R2387" r:id="rId4770" location="" tooltip="" display=""/>
    <hyperlink ref="L2388" r:id="rId4771" location="" tooltip="" display=""/>
    <hyperlink ref="R2388" r:id="rId4772" location="" tooltip="" display=""/>
    <hyperlink ref="L2390" r:id="rId4773" location="" tooltip="" display=""/>
    <hyperlink ref="R2390" r:id="rId4774" location="" tooltip="" display=""/>
    <hyperlink ref="L2391" r:id="rId4775" location="" tooltip="" display=""/>
    <hyperlink ref="R2391" r:id="rId4776" location="" tooltip="" display=""/>
    <hyperlink ref="L2392" r:id="rId4777" location="" tooltip="" display=""/>
    <hyperlink ref="R2392" r:id="rId4778" location="" tooltip="" display=""/>
    <hyperlink ref="K2393" r:id="rId4779" location="" tooltip="" display=""/>
    <hyperlink ref="L2393" r:id="rId4780" location="" tooltip="" display=""/>
    <hyperlink ref="Q2393" r:id="rId4781" location="" tooltip="" display=""/>
    <hyperlink ref="R2393" r:id="rId4782" location="" tooltip="" display=""/>
    <hyperlink ref="L2394" r:id="rId4783" location="" tooltip="" display=""/>
    <hyperlink ref="R2394" r:id="rId4784" location="" tooltip="" display=""/>
    <hyperlink ref="L2395" r:id="rId4785" location="" tooltip="" display=""/>
    <hyperlink ref="R2395" r:id="rId4786" location="" tooltip="" display=""/>
    <hyperlink ref="L2396" r:id="rId4787" location="" tooltip="" display=""/>
    <hyperlink ref="R2396" r:id="rId4788" location="" tooltip="" display=""/>
    <hyperlink ref="K2398" r:id="rId4789" location="" tooltip="" display=""/>
    <hyperlink ref="L2398" r:id="rId4790" location="" tooltip="" display=""/>
    <hyperlink ref="Q2398" r:id="rId4791" location="" tooltip="" display=""/>
    <hyperlink ref="R2398" r:id="rId4792" location="" tooltip="" display=""/>
    <hyperlink ref="L2399" r:id="rId4793" location="" tooltip="" display=""/>
    <hyperlink ref="R2399" r:id="rId4794" location="" tooltip="" display=""/>
    <hyperlink ref="K2401" r:id="rId4795" location="" tooltip="" display=""/>
    <hyperlink ref="L2401" r:id="rId4796" location="" tooltip="" display=""/>
    <hyperlink ref="Q2401" r:id="rId4797" location="" tooltip="" display=""/>
    <hyperlink ref="R2401" r:id="rId4798" location="" tooltip="" display=""/>
    <hyperlink ref="L2403" r:id="rId4799" location="" tooltip="" display=""/>
    <hyperlink ref="R2403" r:id="rId4800" location="" tooltip="" display=""/>
    <hyperlink ref="K2404" r:id="rId4801" location="" tooltip="" display=""/>
    <hyperlink ref="L2404" r:id="rId4802" location="" tooltip="" display=""/>
    <hyperlink ref="Q2404" r:id="rId4803" location="" tooltip="" display=""/>
    <hyperlink ref="R2404" r:id="rId4804" location="" tooltip="" display=""/>
    <hyperlink ref="L2405" r:id="rId4805" location="" tooltip="" display=""/>
    <hyperlink ref="R2405" r:id="rId4806" location="" tooltip="" display=""/>
    <hyperlink ref="L2406" r:id="rId4807" location="" tooltip="" display=""/>
    <hyperlink ref="R2406" r:id="rId4808" location="" tooltip="" display=""/>
    <hyperlink ref="K2408" r:id="rId4809" location="" tooltip="" display=""/>
    <hyperlink ref="L2408" r:id="rId4810" location="" tooltip="" display=""/>
    <hyperlink ref="Q2408" r:id="rId4811" location="" tooltip="" display=""/>
    <hyperlink ref="R2408" r:id="rId4812" location="" tooltip="" display=""/>
    <hyperlink ref="L2409" r:id="rId4813" location="" tooltip="" display=""/>
    <hyperlink ref="R2409" r:id="rId4814" location="" tooltip="" display=""/>
    <hyperlink ref="L2411" r:id="rId4815" location="" tooltip="" display=""/>
    <hyperlink ref="R2411" r:id="rId4816" location="" tooltip="" display=""/>
    <hyperlink ref="K2412" r:id="rId4817" location="" tooltip="" display=""/>
    <hyperlink ref="L2412" r:id="rId4818" location="" tooltip="" display=""/>
    <hyperlink ref="Q2412" r:id="rId4819" location="" tooltip="" display=""/>
    <hyperlink ref="R2412" r:id="rId4820" location="" tooltip="" display=""/>
    <hyperlink ref="L2413" r:id="rId4821" location="" tooltip="" display=""/>
    <hyperlink ref="R2413" r:id="rId4822" location="" tooltip="" display=""/>
    <hyperlink ref="K2415" r:id="rId4823" location="" tooltip="" display=""/>
    <hyperlink ref="L2415" r:id="rId4824" location="" tooltip="" display=""/>
    <hyperlink ref="Q2415" r:id="rId4825" location="" tooltip="" display=""/>
    <hyperlink ref="R2415" r:id="rId4826" location="" tooltip="" display=""/>
    <hyperlink ref="K2417" r:id="rId4827" location="" tooltip="" display=""/>
    <hyperlink ref="L2417" r:id="rId4828" location="" tooltip="" display=""/>
    <hyperlink ref="Q2417" r:id="rId4829" location="" tooltip="" display=""/>
    <hyperlink ref="R2417" r:id="rId4830" location="" tooltip="" display=""/>
    <hyperlink ref="L2419" r:id="rId4831" location="" tooltip="" display=""/>
    <hyperlink ref="R2419" r:id="rId4832" location="" tooltip="" display=""/>
    <hyperlink ref="L2420" r:id="rId4833" location="" tooltip="" display=""/>
    <hyperlink ref="R2420" r:id="rId4834" location="" tooltip="" display=""/>
    <hyperlink ref="K2421" r:id="rId4835" location="" tooltip="" display=""/>
    <hyperlink ref="L2421" r:id="rId4836" location="" tooltip="" display=""/>
    <hyperlink ref="Q2421" r:id="rId4837" location="" tooltip="" display=""/>
    <hyperlink ref="R2421" r:id="rId4838" location="" tooltip="" display=""/>
    <hyperlink ref="L2422" r:id="rId4839" location="" tooltip="" display=""/>
    <hyperlink ref="R2422" r:id="rId4840" location="" tooltip="" display=""/>
    <hyperlink ref="L2423" r:id="rId4841" location="" tooltip="" display=""/>
    <hyperlink ref="R2423" r:id="rId4842" location="" tooltip="" display=""/>
    <hyperlink ref="L2425" r:id="rId4843" location="" tooltip="" display=""/>
    <hyperlink ref="R2425" r:id="rId4844" location="" tooltip="" display=""/>
    <hyperlink ref="L2426" r:id="rId4845" location="" tooltip="" display=""/>
    <hyperlink ref="R2426" r:id="rId4846" location="" tooltip="" display=""/>
    <hyperlink ref="L2427" r:id="rId4847" location="" tooltip="" display=""/>
    <hyperlink ref="R2427" r:id="rId4848" location="" tooltip="" display=""/>
    <hyperlink ref="K2428" r:id="rId4849" location="" tooltip="" display=""/>
    <hyperlink ref="L2428" r:id="rId4850" location="" tooltip="" display=""/>
    <hyperlink ref="Q2428" r:id="rId4851" location="" tooltip="" display=""/>
    <hyperlink ref="R2428" r:id="rId4852" location="" tooltip="" display=""/>
    <hyperlink ref="L2429" r:id="rId4853" location="" tooltip="" display=""/>
    <hyperlink ref="R2429" r:id="rId4854" location="" tooltip="" display=""/>
    <hyperlink ref="L2430" r:id="rId4855" location="" tooltip="" display=""/>
    <hyperlink ref="R2430" r:id="rId4856" location="" tooltip="" display=""/>
    <hyperlink ref="L2431" r:id="rId4857" location="" tooltip="" display=""/>
    <hyperlink ref="R2431" r:id="rId4858" location="" tooltip="" display=""/>
    <hyperlink ref="L2432" r:id="rId4859" location="" tooltip="" display=""/>
    <hyperlink ref="R2432" r:id="rId4860" location="" tooltip="" display=""/>
    <hyperlink ref="K2434" r:id="rId4861" location="" tooltip="" display=""/>
    <hyperlink ref="L2434" r:id="rId4862" location="" tooltip="" display=""/>
    <hyperlink ref="Q2434" r:id="rId4863" location="" tooltip="" display=""/>
    <hyperlink ref="R2434" r:id="rId4864" location="" tooltip="" display=""/>
    <hyperlink ref="L2435" r:id="rId4865" location="" tooltip="" display=""/>
    <hyperlink ref="R2435" r:id="rId4866" location="" tooltip="" display=""/>
    <hyperlink ref="K2437" r:id="rId4867" location="" tooltip="" display=""/>
    <hyperlink ref="L2437" r:id="rId4868" location="" tooltip="" display=""/>
    <hyperlink ref="Q2437" r:id="rId4869" location="" tooltip="" display=""/>
    <hyperlink ref="R2437" r:id="rId4870" location="" tooltip="" display=""/>
    <hyperlink ref="L2438" r:id="rId4871" location="" tooltip="" display=""/>
    <hyperlink ref="R2438" r:id="rId4872" location="" tooltip="" display=""/>
    <hyperlink ref="K2440" r:id="rId4873" location="" tooltip="" display=""/>
    <hyperlink ref="L2440" r:id="rId4874" location="" tooltip="" display=""/>
    <hyperlink ref="Q2440" r:id="rId4875" location="" tooltip="" display=""/>
    <hyperlink ref="R2440" r:id="rId4876" location="" tooltip="" display=""/>
    <hyperlink ref="L2441" r:id="rId4877" location="" tooltip="" display=""/>
    <hyperlink ref="R2441" r:id="rId4878" location="" tooltip="" display=""/>
    <hyperlink ref="K2443" r:id="rId4879" location="" tooltip="" display=""/>
    <hyperlink ref="L2443" r:id="rId4880" location="" tooltip="" display=""/>
    <hyperlink ref="Q2443" r:id="rId4881" location="" tooltip="" display=""/>
    <hyperlink ref="R2443" r:id="rId4882" location="" tooltip="" display=""/>
    <hyperlink ref="K2445" r:id="rId4883" location="" tooltip="" display=""/>
    <hyperlink ref="L2445" r:id="rId4884" location="" tooltip="" display=""/>
    <hyperlink ref="Q2445" r:id="rId4885" location="" tooltip="" display=""/>
    <hyperlink ref="R2445" r:id="rId4886" location="" tooltip="" display=""/>
    <hyperlink ref="K2447" r:id="rId4887" location="" tooltip="" display=""/>
    <hyperlink ref="L2447" r:id="rId4888" location="" tooltip="" display=""/>
    <hyperlink ref="Q2447" r:id="rId4889" location="" tooltip="" display=""/>
    <hyperlink ref="R2447" r:id="rId4890" location="" tooltip="" display=""/>
    <hyperlink ref="K2449" r:id="rId4891" location="" tooltip="" display=""/>
    <hyperlink ref="L2449" r:id="rId4892" location="" tooltip="" display=""/>
    <hyperlink ref="Q2449" r:id="rId4893" location="" tooltip="" display=""/>
    <hyperlink ref="R2449" r:id="rId4894" location="" tooltip="" display=""/>
    <hyperlink ref="L2451" r:id="rId4895" location="" tooltip="" display=""/>
    <hyperlink ref="R2451" r:id="rId4896" location="" tooltip="" display=""/>
    <hyperlink ref="K2452" r:id="rId4897" location="" tooltip="" display=""/>
    <hyperlink ref="L2452" r:id="rId4898" location="" tooltip="" display=""/>
    <hyperlink ref="Q2452" r:id="rId4899" location="" tooltip="" display=""/>
    <hyperlink ref="R2452" r:id="rId4900" location="" tooltip="" display=""/>
    <hyperlink ref="L2453" r:id="rId4901" location="" tooltip="" display=""/>
    <hyperlink ref="R2453" r:id="rId4902" location="" tooltip="" display=""/>
    <hyperlink ref="K2455" r:id="rId4903" location="" tooltip="" display=""/>
    <hyperlink ref="L2455" r:id="rId4904" location="" tooltip="" display=""/>
    <hyperlink ref="Q2455" r:id="rId4905" location="" tooltip="" display=""/>
    <hyperlink ref="R2455" r:id="rId4906" location="" tooltip="" display=""/>
    <hyperlink ref="L2456" r:id="rId4907" location="" tooltip="" display=""/>
    <hyperlink ref="R2456" r:id="rId4908" location="" tooltip="" display=""/>
    <hyperlink ref="L2458" r:id="rId4909" location="" tooltip="" display=""/>
    <hyperlink ref="R2458" r:id="rId4910" location="" tooltip="" display=""/>
    <hyperlink ref="K2459" r:id="rId4911" location="" tooltip="" display=""/>
    <hyperlink ref="L2459" r:id="rId4912" location="" tooltip="" display=""/>
    <hyperlink ref="Q2459" r:id="rId4913" location="" tooltip="" display=""/>
    <hyperlink ref="R2459" r:id="rId4914" location="" tooltip="" display=""/>
    <hyperlink ref="L2460" r:id="rId4915" location="" tooltip="" display=""/>
    <hyperlink ref="R2460" r:id="rId4916" location="" tooltip="" display=""/>
    <hyperlink ref="K2462" r:id="rId4917" location="" tooltip="" display=""/>
    <hyperlink ref="L2462" r:id="rId4918" location="" tooltip="" display=""/>
    <hyperlink ref="Q2462" r:id="rId4919" location="" tooltip="" display=""/>
    <hyperlink ref="R2462" r:id="rId4920" location="" tooltip="" display=""/>
    <hyperlink ref="L2464" r:id="rId4921" location="" tooltip="" display=""/>
    <hyperlink ref="R2464" r:id="rId4922" location="" tooltip="" display=""/>
    <hyperlink ref="K2465" r:id="rId4923" location="" tooltip="" display=""/>
    <hyperlink ref="L2465" r:id="rId4924" location="" tooltip="" display=""/>
    <hyperlink ref="Q2465" r:id="rId4925" location="" tooltip="" display=""/>
    <hyperlink ref="R2465" r:id="rId4926" location="" tooltip="" display=""/>
    <hyperlink ref="L2466" r:id="rId4927" location="" tooltip="" display=""/>
    <hyperlink ref="R2466" r:id="rId4928" location="" tooltip="" display=""/>
    <hyperlink ref="L2467" r:id="rId4929" location="" tooltip="" display=""/>
    <hyperlink ref="R2467" r:id="rId4930" location="" tooltip="" display=""/>
    <hyperlink ref="K2469" r:id="rId4931" location="" tooltip="" display=""/>
    <hyperlink ref="L2469" r:id="rId4932" location="" tooltip="" display=""/>
    <hyperlink ref="Q2469" r:id="rId4933" location="" tooltip="" display=""/>
    <hyperlink ref="R2469" r:id="rId4934" location="" tooltip="" display=""/>
    <hyperlink ref="L2470" r:id="rId4935" location="" tooltip="" display=""/>
    <hyperlink ref="R2470" r:id="rId4936" location="" tooltip="" display=""/>
    <hyperlink ref="L2472" r:id="rId4937" location="" tooltip="" display=""/>
    <hyperlink ref="R2472" r:id="rId4938" location="" tooltip="" display=""/>
    <hyperlink ref="K2473" r:id="rId4939" location="" tooltip="" display=""/>
    <hyperlink ref="L2473" r:id="rId4940" location="" tooltip="" display=""/>
    <hyperlink ref="Q2473" r:id="rId4941" location="" tooltip="" display=""/>
    <hyperlink ref="R2473" r:id="rId4942" location="" tooltip="" display=""/>
    <hyperlink ref="L2474" r:id="rId4943" location="" tooltip="" display=""/>
    <hyperlink ref="R2474" r:id="rId4944" location="" tooltip="" display=""/>
    <hyperlink ref="L2475" r:id="rId4945" location="" tooltip="" display=""/>
    <hyperlink ref="R2475" r:id="rId4946" location="" tooltip="" display=""/>
    <hyperlink ref="L2477" r:id="rId4947" location="" tooltip="" display=""/>
    <hyperlink ref="R2477" r:id="rId4948" location="" tooltip="" display=""/>
    <hyperlink ref="L2478" r:id="rId4949" location="" tooltip="" display=""/>
    <hyperlink ref="R2478" r:id="rId4950" location="" tooltip="" display=""/>
    <hyperlink ref="L2479" r:id="rId4951" location="" tooltip="" display=""/>
    <hyperlink ref="R2479" r:id="rId4952" location="" tooltip="" display=""/>
    <hyperlink ref="K2480" r:id="rId4953" location="" tooltip="" display=""/>
    <hyperlink ref="L2480" r:id="rId4954" location="" tooltip="" display=""/>
    <hyperlink ref="Q2480" r:id="rId4955" location="" tooltip="" display=""/>
    <hyperlink ref="R2480" r:id="rId4956" location="" tooltip="" display=""/>
    <hyperlink ref="L2481" r:id="rId4957" location="" tooltip="" display=""/>
    <hyperlink ref="R2481" r:id="rId4958" location="" tooltip="" display=""/>
    <hyperlink ref="L2482" r:id="rId4959" location="" tooltip="" display=""/>
    <hyperlink ref="R2482" r:id="rId4960" location="" tooltip="" display=""/>
    <hyperlink ref="L2483" r:id="rId4961" location="" tooltip="" display=""/>
    <hyperlink ref="R2483" r:id="rId4962" location="" tooltip="" display=""/>
    <hyperlink ref="L2484" r:id="rId4963" location="" tooltip="" display=""/>
    <hyperlink ref="R2484" r:id="rId4964" location="" tooltip="" display=""/>
    <hyperlink ref="L2486" r:id="rId4965" location="" tooltip="" display=""/>
    <hyperlink ref="R2486" r:id="rId4966" location="" tooltip="" display=""/>
    <hyperlink ref="K2487" r:id="rId4967" location="" tooltip="" display=""/>
    <hyperlink ref="L2487" r:id="rId4968" location="" tooltip="" display=""/>
    <hyperlink ref="Q2487" r:id="rId4969" location="" tooltip="" display=""/>
    <hyperlink ref="R2487" r:id="rId4970" location="" tooltip="" display=""/>
    <hyperlink ref="L2488" r:id="rId4971" location="" tooltip="" display=""/>
    <hyperlink ref="R2488" r:id="rId4972" location="" tooltip="" display=""/>
    <hyperlink ref="L2489" r:id="rId4973" location="" tooltip="" display=""/>
    <hyperlink ref="R2489" r:id="rId4974" location="" tooltip="" display=""/>
    <hyperlink ref="L2491" r:id="rId4975" location="" tooltip="" display=""/>
    <hyperlink ref="R2491" r:id="rId4976" location="" tooltip="" display=""/>
    <hyperlink ref="K2492" r:id="rId4977" location="" tooltip="" display=""/>
    <hyperlink ref="L2492" r:id="rId4978" location="" tooltip="" display=""/>
    <hyperlink ref="Q2492" r:id="rId4979" location="" tooltip="" display=""/>
    <hyperlink ref="R2492" r:id="rId4980" location="" tooltip="" display=""/>
    <hyperlink ref="L2493" r:id="rId4981" location="" tooltip="" display=""/>
    <hyperlink ref="R2493" r:id="rId4982" location="" tooltip="" display=""/>
    <hyperlink ref="L2494" r:id="rId4983" location="" tooltip="" display=""/>
    <hyperlink ref="R2494" r:id="rId4984" location="" tooltip="" display=""/>
    <hyperlink ref="K2496" r:id="rId4985" location="" tooltip="" display=""/>
    <hyperlink ref="L2496" r:id="rId4986" location="" tooltip="" display=""/>
    <hyperlink ref="Q2496" r:id="rId4987" location="" tooltip="" display=""/>
    <hyperlink ref="R2496" r:id="rId4988" location="" tooltip="" display=""/>
    <hyperlink ref="K2498" r:id="rId4989" location="" tooltip="" display=""/>
    <hyperlink ref="L2498" r:id="rId4990" location="" tooltip="" display=""/>
    <hyperlink ref="Q2498" r:id="rId4991" location="" tooltip="" display=""/>
    <hyperlink ref="R2498" r:id="rId4992" location="" tooltip="" display=""/>
    <hyperlink ref="L2499" r:id="rId4993" location="" tooltip="" display=""/>
    <hyperlink ref="R2499" r:id="rId4994" location="" tooltip="" display=""/>
    <hyperlink ref="L2501" r:id="rId4995" location="" tooltip="" display=""/>
    <hyperlink ref="R2501" r:id="rId4996" location="" tooltip="" display=""/>
    <hyperlink ref="L2502" r:id="rId4997" location="" tooltip="" display=""/>
    <hyperlink ref="R2502" r:id="rId4998" location="" tooltip="" display=""/>
    <hyperlink ref="K2503" r:id="rId4999" location="" tooltip="" display=""/>
    <hyperlink ref="L2503" r:id="rId5000" location="" tooltip="" display=""/>
    <hyperlink ref="Q2503" r:id="rId5001" location="" tooltip="" display=""/>
    <hyperlink ref="R2503" r:id="rId5002" location="" tooltip="" display=""/>
    <hyperlink ref="L2504" r:id="rId5003" location="" tooltip="" display=""/>
    <hyperlink ref="R2504" r:id="rId5004" location="" tooltip="" display=""/>
    <hyperlink ref="L2505" r:id="rId5005" location="" tooltip="" display=""/>
    <hyperlink ref="R2505" r:id="rId5006" location="" tooltip="" display=""/>
    <hyperlink ref="L2507" r:id="rId5007" location="" tooltip="" display=""/>
    <hyperlink ref="R2507" r:id="rId5008" location="" tooltip="" display=""/>
    <hyperlink ref="L2508" r:id="rId5009" location="" tooltip="" display=""/>
    <hyperlink ref="R2508" r:id="rId5010" location="" tooltip="" display=""/>
    <hyperlink ref="L2509" r:id="rId5011" location="" tooltip="" display=""/>
    <hyperlink ref="R2509" r:id="rId5012" location="" tooltip="" display=""/>
    <hyperlink ref="L2510" r:id="rId5013" location="" tooltip="" display=""/>
    <hyperlink ref="R2510" r:id="rId5014" location="" tooltip="" display=""/>
    <hyperlink ref="K2511" r:id="rId5015" location="" tooltip="" display=""/>
    <hyperlink ref="L2511" r:id="rId5016" location="" tooltip="" display=""/>
    <hyperlink ref="Q2511" r:id="rId5017" location="" tooltip="" display=""/>
    <hyperlink ref="R2511" r:id="rId5018" location="" tooltip="" display=""/>
    <hyperlink ref="L2512" r:id="rId5019" location="" tooltip="" display=""/>
    <hyperlink ref="R2512" r:id="rId5020" location="" tooltip="" display=""/>
    <hyperlink ref="L2513" r:id="rId5021" location="" tooltip="" display=""/>
    <hyperlink ref="R2513" r:id="rId5022" location="" tooltip="" display=""/>
    <hyperlink ref="L2514" r:id="rId5023" location="" tooltip="" display=""/>
    <hyperlink ref="R2514" r:id="rId5024" location="" tooltip="" display=""/>
    <hyperlink ref="L2515" r:id="rId5025" location="" tooltip="" display=""/>
    <hyperlink ref="R2515" r:id="rId5026" location="" tooltip="" display=""/>
    <hyperlink ref="L2516" r:id="rId5027" location="" tooltip="" display=""/>
    <hyperlink ref="R2516" r:id="rId5028" location="" tooltip="" display=""/>
    <hyperlink ref="L2518" r:id="rId5029" location="" tooltip="" display=""/>
    <hyperlink ref="R2518" r:id="rId5030" location="" tooltip="" display=""/>
    <hyperlink ref="L2519" r:id="rId5031" location="" tooltip="" display=""/>
    <hyperlink ref="R2519" r:id="rId5032" location="" tooltip="" display=""/>
    <hyperlink ref="K2520" r:id="rId5033" location="" tooltip="" display=""/>
    <hyperlink ref="L2520" r:id="rId5034" location="" tooltip="" display=""/>
    <hyperlink ref="Q2520" r:id="rId5035" location="" tooltip="" display=""/>
    <hyperlink ref="R2520" r:id="rId5036" location="" tooltip="" display=""/>
    <hyperlink ref="L2521" r:id="rId5037" location="" tooltip="" display=""/>
    <hyperlink ref="R2521" r:id="rId5038" location="" tooltip="" display=""/>
    <hyperlink ref="L2522" r:id="rId5039" location="" tooltip="" display=""/>
    <hyperlink ref="R2522" r:id="rId5040" location="" tooltip="" display=""/>
    <hyperlink ref="L2523" r:id="rId5041" location="" tooltip="" display=""/>
    <hyperlink ref="R2523" r:id="rId5042" location="" tooltip="" display=""/>
    <hyperlink ref="L2525" r:id="rId5043" location="" tooltip="" display=""/>
    <hyperlink ref="R2525" r:id="rId5044" location="" tooltip="" display=""/>
    <hyperlink ref="K2526" r:id="rId5045" location="" tooltip="" display=""/>
    <hyperlink ref="L2526" r:id="rId5046" location="" tooltip="" display=""/>
    <hyperlink ref="Q2526" r:id="rId5047" location="" tooltip="" display=""/>
    <hyperlink ref="R2526" r:id="rId5048" location="" tooltip="" display=""/>
    <hyperlink ref="L2527" r:id="rId5049" location="" tooltip="" display=""/>
    <hyperlink ref="R2527" r:id="rId5050" location="" tooltip="" display=""/>
    <hyperlink ref="L2528" r:id="rId5051" location="" tooltip="" display=""/>
    <hyperlink ref="R2528" r:id="rId5052" location="" tooltip="" display=""/>
    <hyperlink ref="L2530" r:id="rId5053" location="" tooltip="" display=""/>
    <hyperlink ref="R2530" r:id="rId5054" location="" tooltip="" display=""/>
    <hyperlink ref="L2531" r:id="rId5055" location="" tooltip="" display=""/>
    <hyperlink ref="R2531" r:id="rId5056" location="" tooltip="" display=""/>
    <hyperlink ref="L2532" r:id="rId5057" location="" tooltip="" display=""/>
    <hyperlink ref="R2532" r:id="rId5058" location="" tooltip="" display=""/>
    <hyperlink ref="K2533" r:id="rId5059" location="" tooltip="" display=""/>
    <hyperlink ref="L2533" r:id="rId5060" location="" tooltip="" display=""/>
    <hyperlink ref="Q2533" r:id="rId5061" location="" tooltip="" display=""/>
    <hyperlink ref="R2533" r:id="rId5062" location="" tooltip="" display=""/>
    <hyperlink ref="L2534" r:id="rId5063" location="" tooltip="" display=""/>
    <hyperlink ref="R2534" r:id="rId5064" location="" tooltip="" display=""/>
    <hyperlink ref="L2535" r:id="rId5065" location="" tooltip="" display=""/>
    <hyperlink ref="R2535" r:id="rId5066" location="" tooltip="" display=""/>
    <hyperlink ref="L2536" r:id="rId5067" location="" tooltip="" display=""/>
    <hyperlink ref="R2536" r:id="rId5068" location="" tooltip="" display=""/>
    <hyperlink ref="L2537" r:id="rId5069" location="" tooltip="" display=""/>
    <hyperlink ref="R2537" r:id="rId5070" location="" tooltip="" display=""/>
    <hyperlink ref="L2539" r:id="rId5071" location="" tooltip="" display=""/>
    <hyperlink ref="R2539" r:id="rId5072" location="" tooltip="" display=""/>
    <hyperlink ref="K2540" r:id="rId5073" location="" tooltip="" display=""/>
    <hyperlink ref="L2540" r:id="rId5074" location="" tooltip="" display=""/>
    <hyperlink ref="Q2540" r:id="rId5075" location="" tooltip="" display=""/>
    <hyperlink ref="R2540" r:id="rId5076" location="" tooltip="" display=""/>
    <hyperlink ref="L2541" r:id="rId5077" location="" tooltip="" display=""/>
    <hyperlink ref="R2541" r:id="rId5078" location="" tooltip="" display=""/>
    <hyperlink ref="L2542" r:id="rId5079" location="" tooltip="" display=""/>
    <hyperlink ref="R2542" r:id="rId5080" location="" tooltip="" display=""/>
    <hyperlink ref="L2544" r:id="rId5081" location="" tooltip="" display=""/>
    <hyperlink ref="R2544" r:id="rId5082" location="" tooltip="" display=""/>
    <hyperlink ref="K2545" r:id="rId5083" location="" tooltip="" display=""/>
    <hyperlink ref="L2545" r:id="rId5084" location="" tooltip="" display=""/>
    <hyperlink ref="Q2545" r:id="rId5085" location="" tooltip="" display=""/>
    <hyperlink ref="R2545" r:id="rId5086" location="" tooltip="" display=""/>
    <hyperlink ref="L2546" r:id="rId5087" location="" tooltip="" display=""/>
    <hyperlink ref="R2546" r:id="rId5088" location="" tooltip="" display=""/>
    <hyperlink ref="K2548" r:id="rId5089" location="" tooltip="" display=""/>
    <hyperlink ref="L2548" r:id="rId5090" location="" tooltip="" display=""/>
    <hyperlink ref="Q2548" r:id="rId5091" location="" tooltip="" display=""/>
    <hyperlink ref="R2548" r:id="rId5092" location="" tooltip="" display=""/>
    <hyperlink ref="K2550" r:id="rId5093" location="" tooltip="" display=""/>
    <hyperlink ref="L2550" r:id="rId5094" location="" tooltip="" display=""/>
    <hyperlink ref="Q2550" r:id="rId5095" location="" tooltip="" display=""/>
    <hyperlink ref="R2550" r:id="rId5096" location="" tooltip="" display=""/>
    <hyperlink ref="L2551" r:id="rId5097" location="" tooltip="" display=""/>
    <hyperlink ref="R2551" r:id="rId5098" location="" tooltip="" display=""/>
    <hyperlink ref="K2553" r:id="rId5099" location="" tooltip="" display=""/>
    <hyperlink ref="L2553" r:id="rId5100" location="" tooltip="" display=""/>
    <hyperlink ref="Q2553" r:id="rId5101" location="" tooltip="" display=""/>
    <hyperlink ref="R2553" r:id="rId5102" location="" tooltip="" display=""/>
    <hyperlink ref="K2555" r:id="rId5103" location="" tooltip="" display=""/>
    <hyperlink ref="L2555" r:id="rId5104" location="" tooltip="" display=""/>
    <hyperlink ref="Q2555" r:id="rId5105" location="" tooltip="" display=""/>
    <hyperlink ref="R2555" r:id="rId5106" location="" tooltip="" display=""/>
    <hyperlink ref="L2557" r:id="rId5107" location="" tooltip="" display=""/>
    <hyperlink ref="R2557" r:id="rId5108" location="" tooltip="" display=""/>
    <hyperlink ref="L2558" r:id="rId5109" location="" tooltip="" display=""/>
    <hyperlink ref="R2558" r:id="rId5110" location="" tooltip="" display=""/>
    <hyperlink ref="L2559" r:id="rId5111" location="" tooltip="" display=""/>
    <hyperlink ref="R2559" r:id="rId5112" location="" tooltip="" display=""/>
    <hyperlink ref="L2560" r:id="rId5113" location="" tooltip="" display=""/>
    <hyperlink ref="R2560" r:id="rId5114" location="" tooltip="" display=""/>
    <hyperlink ref="K2561" r:id="rId5115" location="" tooltip="" display=""/>
    <hyperlink ref="L2561" r:id="rId5116" location="" tooltip="" display=""/>
    <hyperlink ref="Q2561" r:id="rId5117" location="" tooltip="" display=""/>
    <hyperlink ref="R2561" r:id="rId5118" location="" tooltip="" display=""/>
    <hyperlink ref="L2562" r:id="rId5119" location="" tooltip="" display=""/>
    <hyperlink ref="R2562" r:id="rId5120" location="" tooltip="" display=""/>
    <hyperlink ref="L2563" r:id="rId5121" location="" tooltip="" display=""/>
    <hyperlink ref="R2563" r:id="rId5122" location="" tooltip="" display=""/>
    <hyperlink ref="L2564" r:id="rId5123" location="" tooltip="" display=""/>
    <hyperlink ref="R2564" r:id="rId5124" location="" tooltip="" display=""/>
    <hyperlink ref="L2565" r:id="rId5125" location="" tooltip="" display=""/>
    <hyperlink ref="R2565" r:id="rId5126" location="" tooltip="" display=""/>
    <hyperlink ref="L2567" r:id="rId5127" location="" tooltip="" display=""/>
    <hyperlink ref="R2567" r:id="rId5128" location="" tooltip="" display=""/>
    <hyperlink ref="K2568" r:id="rId5129" location="" tooltip="" display=""/>
    <hyperlink ref="L2568" r:id="rId5130" location="" tooltip="" display=""/>
    <hyperlink ref="Q2568" r:id="rId5131" location="" tooltip="" display=""/>
    <hyperlink ref="R2568" r:id="rId5132" location="" tooltip="" display=""/>
    <hyperlink ref="L2569" r:id="rId5133" location="" tooltip="" display=""/>
    <hyperlink ref="R2569" r:id="rId5134" location="" tooltip="" display=""/>
    <hyperlink ref="L2570" r:id="rId5135" location="" tooltip="" display=""/>
    <hyperlink ref="R2570" r:id="rId5136" location="" tooltip="" display=""/>
    <hyperlink ref="L2572" r:id="rId5137" location="" tooltip="" display=""/>
    <hyperlink ref="R2572" r:id="rId5138" location="" tooltip="" display=""/>
    <hyperlink ref="K2573" r:id="rId5139" location="" tooltip="" display=""/>
    <hyperlink ref="L2573" r:id="rId5140" location="" tooltip="" display=""/>
    <hyperlink ref="Q2573" r:id="rId5141" location="" tooltip="" display=""/>
    <hyperlink ref="R2573" r:id="rId5142" location="" tooltip="" display=""/>
    <hyperlink ref="L2574" r:id="rId5143" location="" tooltip="" display=""/>
    <hyperlink ref="R2574" r:id="rId5144" location="" tooltip="" display=""/>
    <hyperlink ref="L2576" r:id="rId5145" location="" tooltip="" display=""/>
    <hyperlink ref="R2576" r:id="rId5146" location="" tooltip="" display=""/>
    <hyperlink ref="L2577" r:id="rId5147" location="" tooltip="" display=""/>
    <hyperlink ref="R2577" r:id="rId5148" location="" tooltip="" display=""/>
    <hyperlink ref="L2578" r:id="rId5149" location="" tooltip="" display=""/>
    <hyperlink ref="R2578" r:id="rId5150" location="" tooltip="" display=""/>
    <hyperlink ref="L2579" r:id="rId5151" location="" tooltip="" display=""/>
    <hyperlink ref="R2579" r:id="rId5152" location="" tooltip="" display=""/>
    <hyperlink ref="L2580" r:id="rId5153" location="" tooltip="" display=""/>
    <hyperlink ref="R2580" r:id="rId5154" location="" tooltip="" display=""/>
    <hyperlink ref="K2581" r:id="rId5155" location="" tooltip="" display=""/>
    <hyperlink ref="L2581" r:id="rId5156" location="" tooltip="" display=""/>
    <hyperlink ref="Q2581" r:id="rId5157" location="" tooltip="" display=""/>
    <hyperlink ref="R2581" r:id="rId5158" location="" tooltip="" display=""/>
    <hyperlink ref="L2582" r:id="rId5159" location="" tooltip="" display=""/>
    <hyperlink ref="R2582" r:id="rId5160" location="" tooltip="" display=""/>
    <hyperlink ref="L2583" r:id="rId5161" location="" tooltip="" display=""/>
    <hyperlink ref="R2583" r:id="rId5162" location="" tooltip="" display=""/>
    <hyperlink ref="L2584" r:id="rId5163" location="" tooltip="" display=""/>
    <hyperlink ref="R2584" r:id="rId5164" location="" tooltip="" display=""/>
    <hyperlink ref="L2585" r:id="rId5165" location="" tooltip="" display=""/>
    <hyperlink ref="R2585" r:id="rId5166" location="" tooltip="" display=""/>
    <hyperlink ref="L2586" r:id="rId5167" location="" tooltip="" display=""/>
    <hyperlink ref="R2586" r:id="rId5168" location="" tooltip="" display=""/>
    <hyperlink ref="L2587" r:id="rId5169" location="" tooltip="" display=""/>
    <hyperlink ref="R2587" r:id="rId5170" location="" tooltip="" display=""/>
    <hyperlink ref="L2589" r:id="rId5171" location="" tooltip="" display=""/>
    <hyperlink ref="R2589" r:id="rId5172" location="" tooltip="" display=""/>
    <hyperlink ref="K2590" r:id="rId5173" location="" tooltip="" display=""/>
    <hyperlink ref="L2590" r:id="rId5174" location="" tooltip="" display=""/>
    <hyperlink ref="Q2590" r:id="rId5175" location="" tooltip="" display=""/>
    <hyperlink ref="R2590" r:id="rId5176" location="" tooltip="" display=""/>
    <hyperlink ref="L2591" r:id="rId5177" location="" tooltip="" display=""/>
    <hyperlink ref="R2591" r:id="rId5178" location="" tooltip="" display=""/>
    <hyperlink ref="L2592" r:id="rId5179" location="" tooltip="" display=""/>
    <hyperlink ref="R2592" r:id="rId5180" location="" tooltip="" display=""/>
    <hyperlink ref="L2594" r:id="rId5181" location="" tooltip="" display=""/>
    <hyperlink ref="R2594" r:id="rId5182" location="" tooltip="" display=""/>
    <hyperlink ref="K2595" r:id="rId5183" location="" tooltip="" display=""/>
    <hyperlink ref="L2595" r:id="rId5184" location="" tooltip="" display=""/>
    <hyperlink ref="Q2595" r:id="rId5185" location="" tooltip="" display=""/>
    <hyperlink ref="R2595" r:id="rId5186" location="" tooltip="" display=""/>
    <hyperlink ref="L2596" r:id="rId5187" location="" tooltip="" display=""/>
    <hyperlink ref="R2596" r:id="rId5188" location="" tooltip="" display=""/>
    <hyperlink ref="K2598" r:id="rId5189" location="" tooltip="" display=""/>
    <hyperlink ref="L2598" r:id="rId5190" location="" tooltip="" display=""/>
    <hyperlink ref="Q2598" r:id="rId5191" location="" tooltip="" display=""/>
    <hyperlink ref="R2598" r:id="rId5192" location="" tooltip="" display=""/>
    <hyperlink ref="L2599" r:id="rId5193" location="" tooltip="" display=""/>
    <hyperlink ref="R2599" r:id="rId5194" location="" tooltip="" display=""/>
    <hyperlink ref="L2601" r:id="rId5195" location="" tooltip="" display=""/>
    <hyperlink ref="R2601" r:id="rId5196" location="" tooltip="" display=""/>
    <hyperlink ref="L2602" r:id="rId5197" location="" tooltip="" display=""/>
    <hyperlink ref="R2602" r:id="rId5198" location="" tooltip="" display=""/>
    <hyperlink ref="K2603" r:id="rId5199" location="" tooltip="" display=""/>
    <hyperlink ref="L2603" r:id="rId5200" location="" tooltip="" display=""/>
    <hyperlink ref="Q2603" r:id="rId5201" location="" tooltip="" display=""/>
    <hyperlink ref="R2603" r:id="rId5202" location="" tooltip="" display=""/>
    <hyperlink ref="L2604" r:id="rId5203" location="" tooltip="" display=""/>
    <hyperlink ref="R2604" r:id="rId5204" location="" tooltip="" display=""/>
    <hyperlink ref="L2605" r:id="rId5205" location="" tooltip="" display=""/>
    <hyperlink ref="R2605" r:id="rId5206" location="" tooltip="" display=""/>
    <hyperlink ref="L2606" r:id="rId5207" location="" tooltip="" display=""/>
    <hyperlink ref="R2606" r:id="rId5208" location="" tooltip="" display=""/>
    <hyperlink ref="K2608" r:id="rId5209" location="" tooltip="" display=""/>
    <hyperlink ref="L2608" r:id="rId5210" location="" tooltip="" display=""/>
    <hyperlink ref="Q2608" r:id="rId5211" location="" tooltip="" display=""/>
    <hyperlink ref="R2608" r:id="rId5212" location="" tooltip="" display=""/>
    <hyperlink ref="L2609" r:id="rId5213" location="" tooltip="" display=""/>
    <hyperlink ref="R2609" r:id="rId5214" location="" tooltip="" display=""/>
    <hyperlink ref="L2611" r:id="rId5215" location="" tooltip="" display=""/>
    <hyperlink ref="R2611" r:id="rId5216" location="" tooltip="" display=""/>
    <hyperlink ref="L2612" r:id="rId5217" location="" tooltip="" display=""/>
    <hyperlink ref="R2612" r:id="rId5218" location="" tooltip="" display=""/>
    <hyperlink ref="L2613" r:id="rId5219" location="" tooltip="" display=""/>
    <hyperlink ref="R2613" r:id="rId5220" location="" tooltip="" display=""/>
    <hyperlink ref="K2614" r:id="rId5221" location="" tooltip="" display=""/>
    <hyperlink ref="L2614" r:id="rId5222" location="" tooltip="" display=""/>
    <hyperlink ref="Q2614" r:id="rId5223" location="" tooltip="" display=""/>
    <hyperlink ref="R2614" r:id="rId5224" location="" tooltip="" display=""/>
    <hyperlink ref="L2615" r:id="rId5225" location="" tooltip="" display=""/>
    <hyperlink ref="R2615" r:id="rId5226" location="" tooltip="" display=""/>
    <hyperlink ref="L2616" r:id="rId5227" location="" tooltip="" display=""/>
    <hyperlink ref="R2616" r:id="rId5228" location="" tooltip="" display=""/>
    <hyperlink ref="L2617" r:id="rId5229" location="" tooltip="" display=""/>
    <hyperlink ref="R2617" r:id="rId5230" location="" tooltip="" display=""/>
    <hyperlink ref="L2619" r:id="rId5231" location="" tooltip="" display=""/>
    <hyperlink ref="R2619" r:id="rId5232" location="" tooltip="" display=""/>
    <hyperlink ref="L2620" r:id="rId5233" location="" tooltip="" display=""/>
    <hyperlink ref="R2620" r:id="rId5234" location="" tooltip="" display=""/>
    <hyperlink ref="K2621" r:id="rId5235" location="" tooltip="" display=""/>
    <hyperlink ref="L2621" r:id="rId5236" location="" tooltip="" display=""/>
    <hyperlink ref="Q2621" r:id="rId5237" location="" tooltip="" display=""/>
    <hyperlink ref="R2621" r:id="rId5238" location="" tooltip="" display=""/>
    <hyperlink ref="L2622" r:id="rId5239" location="" tooltip="" display=""/>
    <hyperlink ref="R2622" r:id="rId5240" location="" tooltip="" display=""/>
    <hyperlink ref="L2623" r:id="rId5241" location="" tooltip="" display=""/>
    <hyperlink ref="R2623" r:id="rId5242" location="" tooltip="" display=""/>
    <hyperlink ref="K2625" r:id="rId5243" location="" tooltip="" display=""/>
    <hyperlink ref="L2625" r:id="rId5244" location="" tooltip="" display=""/>
    <hyperlink ref="Q2625" r:id="rId5245" location="" tooltip="" display=""/>
    <hyperlink ref="R2625" r:id="rId5246" location="" tooltip="" display=""/>
    <hyperlink ref="L2627" r:id="rId5247" location="" tooltip="" display=""/>
    <hyperlink ref="R2627" r:id="rId5248" location="" tooltip="" display=""/>
    <hyperlink ref="L2628" r:id="rId5249" location="" tooltip="" display=""/>
    <hyperlink ref="R2628" r:id="rId5250" location="" tooltip="" display=""/>
    <hyperlink ref="L2629" r:id="rId5251" location="" tooltip="" display=""/>
    <hyperlink ref="R2629" r:id="rId5252" location="" tooltip="" display=""/>
    <hyperlink ref="K2630" r:id="rId5253" location="" tooltip="" display=""/>
    <hyperlink ref="L2630" r:id="rId5254" location="" tooltip="" display=""/>
    <hyperlink ref="Q2630" r:id="rId5255" location="" tooltip="" display=""/>
    <hyperlink ref="R2630" r:id="rId5256" location="" tooltip="" display=""/>
    <hyperlink ref="L2631" r:id="rId5257" location="" tooltip="" display=""/>
    <hyperlink ref="R2631" r:id="rId5258" location="" tooltip="" display=""/>
    <hyperlink ref="L2632" r:id="rId5259" location="" tooltip="" display=""/>
    <hyperlink ref="R2632" r:id="rId5260" location="" tooltip="" display=""/>
    <hyperlink ref="L2633" r:id="rId5261" location="" tooltip="" display=""/>
    <hyperlink ref="R2633" r:id="rId5262" location="" tooltip="" display=""/>
    <hyperlink ref="K2635" r:id="rId5263" location="" tooltip="" display=""/>
    <hyperlink ref="L2635" r:id="rId5264" location="" tooltip="" display=""/>
    <hyperlink ref="Q2635" r:id="rId5265" location="" tooltip="" display=""/>
    <hyperlink ref="R2635" r:id="rId5266" location="" tooltip="" display=""/>
    <hyperlink ref="L2636" r:id="rId5267" location="" tooltip="" display=""/>
    <hyperlink ref="R2636" r:id="rId5268" location="" tooltip="" display=""/>
    <hyperlink ref="L2638" r:id="rId5269" location="" tooltip="" display=""/>
    <hyperlink ref="R2638" r:id="rId5270" location="" tooltip="" display=""/>
    <hyperlink ref="K2639" r:id="rId5271" location="" tooltip="" display=""/>
    <hyperlink ref="L2639" r:id="rId5272" location="" tooltip="" display=""/>
    <hyperlink ref="Q2639" r:id="rId5273" location="" tooltip="" display=""/>
    <hyperlink ref="R2639" r:id="rId5274" location="" tooltip="" display=""/>
    <hyperlink ref="L2640" r:id="rId5275" location="" tooltip="" display=""/>
    <hyperlink ref="R2640" r:id="rId5276" location="" tooltip="" display=""/>
    <hyperlink ref="L2642" r:id="rId5277" location="" tooltip="" display=""/>
    <hyperlink ref="R2642" r:id="rId5278" location="" tooltip="" display=""/>
    <hyperlink ref="L2643" r:id="rId5279" location="" tooltip="" display=""/>
    <hyperlink ref="R2643" r:id="rId5280" location="" tooltip="" display=""/>
    <hyperlink ref="L2644" r:id="rId5281" location="" tooltip="" display=""/>
    <hyperlink ref="R2644" r:id="rId5282" location="" tooltip="" display=""/>
    <hyperlink ref="L2645" r:id="rId5283" location="" tooltip="" display=""/>
    <hyperlink ref="R2645" r:id="rId5284" location="" tooltip="" display=""/>
    <hyperlink ref="K2646" r:id="rId5285" location="" tooltip="" display=""/>
    <hyperlink ref="L2646" r:id="rId5286" location="" tooltip="" display=""/>
    <hyperlink ref="Q2646" r:id="rId5287" location="" tooltip="" display=""/>
    <hyperlink ref="R2646" r:id="rId5288" location="" tooltip="" display=""/>
    <hyperlink ref="L2647" r:id="rId5289" location="" tooltip="" display=""/>
    <hyperlink ref="R2647" r:id="rId5290" location="" tooltip="" display=""/>
    <hyperlink ref="L2648" r:id="rId5291" location="" tooltip="" display=""/>
    <hyperlink ref="R2648" r:id="rId5292" location="" tooltip="" display=""/>
    <hyperlink ref="L2649" r:id="rId5293" location="" tooltip="" display=""/>
    <hyperlink ref="R2649" r:id="rId5294" location="" tooltip="" display=""/>
    <hyperlink ref="L2650" r:id="rId5295" location="" tooltip="" display=""/>
    <hyperlink ref="R2650" r:id="rId5296" location="" tooltip="" display=""/>
    <hyperlink ref="L2652" r:id="rId5297" location="" tooltip="" display=""/>
    <hyperlink ref="R2652" r:id="rId5298" location="" tooltip="" display=""/>
    <hyperlink ref="K2653" r:id="rId5299" location="" tooltip="" display=""/>
    <hyperlink ref="L2653" r:id="rId5300" location="" tooltip="" display=""/>
    <hyperlink ref="Q2653" r:id="rId5301" location="" tooltip="" display=""/>
    <hyperlink ref="R2653" r:id="rId5302" location="" tooltip="" display=""/>
    <hyperlink ref="L2654" r:id="rId5303" location="" tooltip="" display=""/>
    <hyperlink ref="R2654" r:id="rId5304" location="" tooltip="" display=""/>
    <hyperlink ref="L2655" r:id="rId5305" location="" tooltip="" display=""/>
    <hyperlink ref="R2655" r:id="rId5306" location="" tooltip="" display=""/>
    <hyperlink ref="K2657" r:id="rId5307" location="" tooltip="" display=""/>
    <hyperlink ref="L2657" r:id="rId5308" location="" tooltip="" display=""/>
    <hyperlink ref="Q2657" r:id="rId5309" location="" tooltip="" display=""/>
    <hyperlink ref="R2657" r:id="rId5310" location="" tooltip="" display=""/>
    <hyperlink ref="L2659" r:id="rId5311" location="" tooltip="" display=""/>
    <hyperlink ref="R2659" r:id="rId5312" location="" tooltip="" display=""/>
    <hyperlink ref="K2660" r:id="rId5313" location="" tooltip="" display=""/>
    <hyperlink ref="L2660" r:id="rId5314" location="" tooltip="" display=""/>
    <hyperlink ref="Q2660" r:id="rId5315" location="" tooltip="" display=""/>
    <hyperlink ref="R2660" r:id="rId5316" location="" tooltip="" display=""/>
    <hyperlink ref="L2661" r:id="rId5317" location="" tooltip="" display=""/>
    <hyperlink ref="R2661" r:id="rId5318" location="" tooltip="" display=""/>
    <hyperlink ref="L2662" r:id="rId5319" location="" tooltip="" display=""/>
    <hyperlink ref="R2662" r:id="rId5320" location="" tooltip="" display=""/>
    <hyperlink ref="L2664" r:id="rId5321" location="" tooltip="" display=""/>
    <hyperlink ref="R2664" r:id="rId5322" location="" tooltip="" display=""/>
    <hyperlink ref="L2665" r:id="rId5323" location="" tooltip="" display=""/>
    <hyperlink ref="R2665" r:id="rId5324" location="" tooltip="" display=""/>
    <hyperlink ref="K2666" r:id="rId5325" location="" tooltip="" display=""/>
    <hyperlink ref="L2666" r:id="rId5326" location="" tooltip="" display=""/>
    <hyperlink ref="Q2666" r:id="rId5327" location="" tooltip="" display=""/>
    <hyperlink ref="R2666" r:id="rId5328" location="" tooltip="" display=""/>
    <hyperlink ref="L2667" r:id="rId5329" location="" tooltip="" display=""/>
    <hyperlink ref="R2667" r:id="rId5330" location="" tooltip="" display=""/>
    <hyperlink ref="L2668" r:id="rId5331" location="" tooltip="" display=""/>
    <hyperlink ref="R2668" r:id="rId5332" location="" tooltip="" display=""/>
    <hyperlink ref="L2669" r:id="rId5333" location="" tooltip="" display=""/>
    <hyperlink ref="R2669" r:id="rId5334" location="" tooltip="" display=""/>
    <hyperlink ref="L2671" r:id="rId5335" location="" tooltip="" display=""/>
    <hyperlink ref="R2671" r:id="rId5336" location="" tooltip="" display=""/>
    <hyperlink ref="L2672" r:id="rId5337" location="" tooltip="" display=""/>
    <hyperlink ref="R2672" r:id="rId5338" location="" tooltip="" display=""/>
    <hyperlink ref="K2673" r:id="rId5339" location="" tooltip="" display=""/>
    <hyperlink ref="L2673" r:id="rId5340" location="" tooltip="" display=""/>
    <hyperlink ref="Q2673" r:id="rId5341" location="" tooltip="" display=""/>
    <hyperlink ref="R2673" r:id="rId5342" location="" tooltip="" display=""/>
    <hyperlink ref="L2674" r:id="rId5343" location="" tooltip="" display=""/>
    <hyperlink ref="R2674" r:id="rId5344" location="" tooltip="" display=""/>
    <hyperlink ref="L2675" r:id="rId5345" location="" tooltip="" display=""/>
    <hyperlink ref="R2675" r:id="rId5346" location="" tooltip="" display=""/>
    <hyperlink ref="L2677" r:id="rId5347" location="" tooltip="" display=""/>
    <hyperlink ref="R2677" r:id="rId5348" location="" tooltip="" display=""/>
    <hyperlink ref="K2678" r:id="rId5349" location="" tooltip="" display=""/>
    <hyperlink ref="L2678" r:id="rId5350" location="" tooltip="" display=""/>
    <hyperlink ref="Q2678" r:id="rId5351" location="" tooltip="" display=""/>
    <hyperlink ref="R2678" r:id="rId5352" location="" tooltip="" display=""/>
    <hyperlink ref="L2679" r:id="rId5353" location="" tooltip="" display=""/>
    <hyperlink ref="R2679" r:id="rId5354" location="" tooltip="" display=""/>
    <hyperlink ref="L2680" r:id="rId5355" location="" tooltip="" display=""/>
    <hyperlink ref="R2680" r:id="rId5356" location="" tooltip="" display=""/>
    <hyperlink ref="L2682" r:id="rId5357" location="" tooltip="" display=""/>
    <hyperlink ref="R2682" r:id="rId5358" location="" tooltip="" display=""/>
    <hyperlink ref="K2683" r:id="rId5359" location="" tooltip="" display=""/>
    <hyperlink ref="L2683" r:id="rId5360" location="" tooltip="" display=""/>
    <hyperlink ref="Q2683" r:id="rId5361" location="" tooltip="" display=""/>
    <hyperlink ref="R2683" r:id="rId5362" location="" tooltip="" display=""/>
    <hyperlink ref="L2684" r:id="rId5363" location="" tooltip="" display=""/>
    <hyperlink ref="R2684" r:id="rId5364" location="" tooltip="" display=""/>
    <hyperlink ref="L2685" r:id="rId5365" location="" tooltip="" display=""/>
    <hyperlink ref="R2685" r:id="rId5366" location="" tooltip="" display=""/>
    <hyperlink ref="L2687" r:id="rId5367" location="" tooltip="" display=""/>
    <hyperlink ref="R2687" r:id="rId5368" location="" tooltip="" display=""/>
    <hyperlink ref="K2688" r:id="rId5369" location="" tooltip="" display=""/>
    <hyperlink ref="L2688" r:id="rId5370" location="" tooltip="" display=""/>
    <hyperlink ref="Q2688" r:id="rId5371" location="" tooltip="" display=""/>
    <hyperlink ref="R2688" r:id="rId5372" location="" tooltip="" display=""/>
    <hyperlink ref="L2689" r:id="rId5373" location="" tooltip="" display=""/>
    <hyperlink ref="R2689" r:id="rId5374" location="" tooltip="" display=""/>
    <hyperlink ref="L2690" r:id="rId5375" location="" tooltip="" display=""/>
    <hyperlink ref="R2690" r:id="rId5376" location="" tooltip="" display=""/>
    <hyperlink ref="L2692" r:id="rId5377" location="" tooltip="" display=""/>
    <hyperlink ref="R2692" r:id="rId5378" location="" tooltip="" display=""/>
    <hyperlink ref="K2693" r:id="rId5379" location="" tooltip="" display=""/>
    <hyperlink ref="L2693" r:id="rId5380" location="" tooltip="" display=""/>
    <hyperlink ref="Q2693" r:id="rId5381" location="" tooltip="" display=""/>
    <hyperlink ref="R2693" r:id="rId5382" location="" tooltip="" display=""/>
    <hyperlink ref="L2694" r:id="rId5383" location="" tooltip="" display=""/>
    <hyperlink ref="R2694" r:id="rId5384" location="" tooltip="" display=""/>
    <hyperlink ref="L2695" r:id="rId5385" location="" tooltip="" display=""/>
    <hyperlink ref="R2695" r:id="rId5386" location="" tooltip="" display=""/>
    <hyperlink ref="L2697" r:id="rId5387" location="" tooltip="" display=""/>
    <hyperlink ref="R2697" r:id="rId5388" location="" tooltip="" display=""/>
    <hyperlink ref="K2698" r:id="rId5389" location="" tooltip="" display=""/>
    <hyperlink ref="L2698" r:id="rId5390" location="" tooltip="" display=""/>
    <hyperlink ref="Q2698" r:id="rId5391" location="" tooltip="" display=""/>
    <hyperlink ref="R2698" r:id="rId5392" location="" tooltip="" display=""/>
    <hyperlink ref="L2699" r:id="rId5393" location="" tooltip="" display=""/>
    <hyperlink ref="R2699" r:id="rId5394" location="" tooltip="" display=""/>
    <hyperlink ref="K2701" r:id="rId5395" location="" tooltip="" display=""/>
    <hyperlink ref="L2701" r:id="rId5396" location="" tooltip="" display=""/>
    <hyperlink ref="Q2701" r:id="rId5397" location="" tooltip="" display=""/>
    <hyperlink ref="R2701" r:id="rId5398" location="" tooltip="" display=""/>
    <hyperlink ref="L2702" r:id="rId5399" location="" tooltip="" display=""/>
    <hyperlink ref="R2702" r:id="rId5400" location="" tooltip="" display=""/>
    <hyperlink ref="K2704" r:id="rId5401" location="" tooltip="" display=""/>
    <hyperlink ref="L2704" r:id="rId5402" location="" tooltip="" display=""/>
    <hyperlink ref="Q2704" r:id="rId5403" location="" tooltip="" display=""/>
    <hyperlink ref="R2704" r:id="rId5404" location="" tooltip="" display=""/>
    <hyperlink ref="L2705" r:id="rId5405" location="" tooltip="" display=""/>
    <hyperlink ref="R2705" r:id="rId5406" location="" tooltip="" display=""/>
    <hyperlink ref="L2707" r:id="rId5407" location="" tooltip="" display=""/>
    <hyperlink ref="R2707" r:id="rId5408" location="" tooltip="" display=""/>
    <hyperlink ref="K2708" r:id="rId5409" location="" tooltip="" display=""/>
    <hyperlink ref="L2708" r:id="rId5410" location="" tooltip="" display=""/>
    <hyperlink ref="Q2708" r:id="rId5411" location="" tooltip="" display=""/>
    <hyperlink ref="R2708" r:id="rId5412" location="" tooltip="" display=""/>
    <hyperlink ref="L2709" r:id="rId5413" location="" tooltip="" display=""/>
    <hyperlink ref="R2709" r:id="rId5414" location="" tooltip="" display=""/>
    <hyperlink ref="L2710" r:id="rId5415" location="" tooltip="" display=""/>
    <hyperlink ref="R2710" r:id="rId5416" location="" tooltip="" display=""/>
    <hyperlink ref="L2712" r:id="rId5417" location="" tooltip="" display=""/>
    <hyperlink ref="R2712" r:id="rId5418" location="" tooltip="" display=""/>
    <hyperlink ref="L2713" r:id="rId5419" location="" tooltip="" display=""/>
    <hyperlink ref="R2713" r:id="rId5420" location="" tooltip="" display=""/>
    <hyperlink ref="L2714" r:id="rId5421" location="" tooltip="" display=""/>
    <hyperlink ref="R2714" r:id="rId5422" location="" tooltip="" display=""/>
    <hyperlink ref="K2715" r:id="rId5423" location="" tooltip="" display=""/>
    <hyperlink ref="L2715" r:id="rId5424" location="" tooltip="" display=""/>
    <hyperlink ref="Q2715" r:id="rId5425" location="" tooltip="" display=""/>
    <hyperlink ref="R2715" r:id="rId5426" location="" tooltip="" display=""/>
    <hyperlink ref="L2716" r:id="rId5427" location="" tooltip="" display=""/>
    <hyperlink ref="R2716" r:id="rId5428" location="" tooltip="" display=""/>
    <hyperlink ref="L2717" r:id="rId5429" location="" tooltip="" display=""/>
    <hyperlink ref="R2717" r:id="rId5430" location="" tooltip="" display=""/>
    <hyperlink ref="L2718" r:id="rId5431" location="" tooltip="" display=""/>
    <hyperlink ref="R2718" r:id="rId5432" location="" tooltip="" display=""/>
    <hyperlink ref="K2720" r:id="rId5433" location="" tooltip="" display=""/>
    <hyperlink ref="L2720" r:id="rId5434" location="" tooltip="" display=""/>
    <hyperlink ref="Q2720" r:id="rId5435" location="" tooltip="" display=""/>
    <hyperlink ref="R2720" r:id="rId5436" location="" tooltip="" display=""/>
    <hyperlink ref="L2722" r:id="rId5437" location="" tooltip="" display=""/>
    <hyperlink ref="R2722" r:id="rId5438" location="" tooltip="" display=""/>
    <hyperlink ref="L2723" r:id="rId5439" location="" tooltip="" display=""/>
    <hyperlink ref="R2723" r:id="rId5440" location="" tooltip="" display=""/>
    <hyperlink ref="K2724" r:id="rId5441" location="" tooltip="" display=""/>
    <hyperlink ref="L2724" r:id="rId5442" location="" tooltip="" display=""/>
    <hyperlink ref="Q2724" r:id="rId5443" location="" tooltip="" display=""/>
    <hyperlink ref="R2724" r:id="rId5444" location="" tooltip="" display=""/>
    <hyperlink ref="L2725" r:id="rId5445" location="" tooltip="" display=""/>
    <hyperlink ref="R2725" r:id="rId5446" location="" tooltip="" display=""/>
    <hyperlink ref="L2726" r:id="rId5447" location="" tooltip="" display=""/>
    <hyperlink ref="R2726" r:id="rId5448" location="" tooltip="" display=""/>
    <hyperlink ref="L2728" r:id="rId5449" location="" tooltip="" display=""/>
    <hyperlink ref="R2728" r:id="rId5450" location="" tooltip="" display=""/>
    <hyperlink ref="K2729" r:id="rId5451" location="" tooltip="" display=""/>
    <hyperlink ref="L2729" r:id="rId5452" location="" tooltip="" display=""/>
    <hyperlink ref="Q2729" r:id="rId5453" location="" tooltip="" display=""/>
    <hyperlink ref="R2729" r:id="rId5454" location="" tooltip="" display=""/>
    <hyperlink ref="L2730" r:id="rId5455" location="" tooltip="" display=""/>
    <hyperlink ref="R2730" r:id="rId5456" location="" tooltip="" display=""/>
    <hyperlink ref="L2732" r:id="rId5457" location="" tooltip="" display=""/>
    <hyperlink ref="R2732" r:id="rId5458" location="" tooltip="" display=""/>
    <hyperlink ref="K2733" r:id="rId5459" location="" tooltip="" display=""/>
    <hyperlink ref="L2733" r:id="rId5460" location="" tooltip="" display=""/>
    <hyperlink ref="Q2733" r:id="rId5461" location="" tooltip="" display=""/>
    <hyperlink ref="R2733" r:id="rId5462" location="" tooltip="" display=""/>
    <hyperlink ref="L2734" r:id="rId5463" location="" tooltip="" display=""/>
    <hyperlink ref="R2734" r:id="rId5464" location="" tooltip="" display=""/>
    <hyperlink ref="K2736" r:id="rId5465" location="" tooltip="" display=""/>
    <hyperlink ref="L2736" r:id="rId5466" location="" tooltip="" display=""/>
    <hyperlink ref="Q2736" r:id="rId5467" location="" tooltip="" display=""/>
    <hyperlink ref="R2736" r:id="rId5468" location="" tooltip="" display=""/>
    <hyperlink ref="L2737" r:id="rId5469" location="" tooltip="" display=""/>
    <hyperlink ref="R2737" r:id="rId5470" location="" tooltip="" display=""/>
    <hyperlink ref="K2739" r:id="rId5471" location="" tooltip="" display=""/>
    <hyperlink ref="L2739" r:id="rId5472" location="" tooltip="" display=""/>
    <hyperlink ref="Q2739" r:id="rId5473" location="" tooltip="" display=""/>
    <hyperlink ref="R2739" r:id="rId5474" location="" tooltip="" display=""/>
    <hyperlink ref="L2740" r:id="rId5475" location="" tooltip="" display=""/>
    <hyperlink ref="R2740" r:id="rId5476" location="" tooltip="" display=""/>
    <hyperlink ref="K2742" r:id="rId5477" location="" tooltip="" display=""/>
    <hyperlink ref="L2742" r:id="rId5478" location="" tooltip="" display=""/>
    <hyperlink ref="Q2742" r:id="rId5479" location="" tooltip="" display=""/>
    <hyperlink ref="R2742" r:id="rId5480" location="" tooltip="" display=""/>
    <hyperlink ref="L2743" r:id="rId5481" location="" tooltip="" display=""/>
    <hyperlink ref="R2743" r:id="rId5482" location="" tooltip="" display=""/>
    <hyperlink ref="L2745" r:id="rId5483" location="" tooltip="" display=""/>
    <hyperlink ref="R2745" r:id="rId5484" location="" tooltip="" display=""/>
    <hyperlink ref="K2746" r:id="rId5485" location="" tooltip="" display=""/>
    <hyperlink ref="L2746" r:id="rId5486" location="" tooltip="" display=""/>
    <hyperlink ref="Q2746" r:id="rId5487" location="" tooltip="" display=""/>
    <hyperlink ref="R2746" r:id="rId5488" location="" tooltip="" display=""/>
    <hyperlink ref="L2747" r:id="rId5489" location="" tooltip="" display=""/>
    <hyperlink ref="R2747" r:id="rId5490" location="" tooltip="" display=""/>
    <hyperlink ref="L2749" r:id="rId5491" location="" tooltip="" display=""/>
    <hyperlink ref="R2749" r:id="rId5492" location="" tooltip="" display=""/>
    <hyperlink ref="K2750" r:id="rId5493" location="" tooltip="" display=""/>
    <hyperlink ref="L2750" r:id="rId5494" location="" tooltip="" display=""/>
    <hyperlink ref="Q2750" r:id="rId5495" location="" tooltip="" display=""/>
    <hyperlink ref="R2750" r:id="rId5496" location="" tooltip="" display=""/>
    <hyperlink ref="L2751" r:id="rId5497" location="" tooltip="" display=""/>
    <hyperlink ref="R2751" r:id="rId5498" location="" tooltip="" display=""/>
    <hyperlink ref="L2752" r:id="rId5499" location="" tooltip="" display=""/>
    <hyperlink ref="R2752" r:id="rId5500" location="" tooltip="" display=""/>
    <hyperlink ref="K2754" r:id="rId5501" location="" tooltip="" display=""/>
    <hyperlink ref="L2754" r:id="rId5502" location="" tooltip="" display=""/>
    <hyperlink ref="Q2754" r:id="rId5503" location="" tooltip="" display=""/>
    <hyperlink ref="R2754" r:id="rId5504" location="" tooltip="" display=""/>
    <hyperlink ref="L2755" r:id="rId5505" location="" tooltip="" display=""/>
    <hyperlink ref="R2755" r:id="rId5506" location="" tooltip="" display=""/>
    <hyperlink ref="L2757" r:id="rId5507" location="" tooltip="" display=""/>
    <hyperlink ref="R2757" r:id="rId5508" location="" tooltip="" display=""/>
    <hyperlink ref="K2758" r:id="rId5509" location="" tooltip="" display=""/>
    <hyperlink ref="L2758" r:id="rId5510" location="" tooltip="" display=""/>
    <hyperlink ref="Q2758" r:id="rId5511" location="" tooltip="" display=""/>
    <hyperlink ref="R2758" r:id="rId5512" location="" tooltip="" display=""/>
    <hyperlink ref="L2759" r:id="rId5513" location="" tooltip="" display=""/>
    <hyperlink ref="R2759" r:id="rId5514" location="" tooltip="" display=""/>
    <hyperlink ref="L2760" r:id="rId5515" location="" tooltip="" display=""/>
    <hyperlink ref="R2760" r:id="rId5516" location="" tooltip="" display=""/>
    <hyperlink ref="L2762" r:id="rId5517" location="" tooltip="" display=""/>
    <hyperlink ref="R2762" r:id="rId5518" location="" tooltip="" display=""/>
    <hyperlink ref="K2763" r:id="rId5519" location="" tooltip="" display=""/>
    <hyperlink ref="L2763" r:id="rId5520" location="" tooltip="" display=""/>
    <hyperlink ref="Q2763" r:id="rId5521" location="" tooltip="" display=""/>
    <hyperlink ref="R2763" r:id="rId5522" location="" tooltip="" display=""/>
    <hyperlink ref="L2764" r:id="rId5523" location="" tooltip="" display=""/>
    <hyperlink ref="R2764" r:id="rId5524" location="" tooltip="" display=""/>
    <hyperlink ref="L2766" r:id="rId5525" location="" tooltip="" display=""/>
    <hyperlink ref="R2766" r:id="rId5526" location="" tooltip="" display=""/>
    <hyperlink ref="L2767" r:id="rId5527" location="" tooltip="" display=""/>
    <hyperlink ref="R2767" r:id="rId5528" location="" tooltip="" display=""/>
    <hyperlink ref="K2768" r:id="rId5529" location="" tooltip="" display=""/>
    <hyperlink ref="L2768" r:id="rId5530" location="" tooltip="" display=""/>
    <hyperlink ref="Q2768" r:id="rId5531" location="" tooltip="" display=""/>
    <hyperlink ref="R2768" r:id="rId5532" location="" tooltip="" display=""/>
    <hyperlink ref="L2769" r:id="rId5533" location="" tooltip="" display=""/>
    <hyperlink ref="R2769" r:id="rId5534" location="" tooltip="" display=""/>
    <hyperlink ref="L2770" r:id="rId5535" location="" tooltip="" display=""/>
    <hyperlink ref="R2770" r:id="rId5536" location="" tooltip="" display=""/>
    <hyperlink ref="L2771" r:id="rId5537" location="" tooltip="" display=""/>
    <hyperlink ref="R2771" r:id="rId5538" location="" tooltip="" display=""/>
    <hyperlink ref="L2773" r:id="rId5539" location="" tooltip="" display=""/>
    <hyperlink ref="R2773" r:id="rId5540" location="" tooltip="" display=""/>
    <hyperlink ref="L2774" r:id="rId5541" location="" tooltip="" display=""/>
    <hyperlink ref="R2774" r:id="rId5542" location="" tooltip="" display=""/>
    <hyperlink ref="L2775" r:id="rId5543" location="" tooltip="" display=""/>
    <hyperlink ref="R2775" r:id="rId5544" location="" tooltip="" display=""/>
    <hyperlink ref="L2776" r:id="rId5545" location="" tooltip="" display=""/>
    <hyperlink ref="R2776" r:id="rId5546" location="" tooltip="" display=""/>
    <hyperlink ref="K2777" r:id="rId5547" location="" tooltip="" display=""/>
    <hyperlink ref="L2777" r:id="rId5548" location="" tooltip="" display=""/>
    <hyperlink ref="Q2777" r:id="rId5549" location="" tooltip="" display=""/>
    <hyperlink ref="R2777" r:id="rId5550" location="" tooltip="" display=""/>
    <hyperlink ref="L2778" r:id="rId5551" location="" tooltip="" display=""/>
    <hyperlink ref="R2778" r:id="rId5552" location="" tooltip="" display=""/>
    <hyperlink ref="L2779" r:id="rId5553" location="" tooltip="" display=""/>
    <hyperlink ref="R2779" r:id="rId5554" location="" tooltip="" display=""/>
    <hyperlink ref="L2780" r:id="rId5555" location="" tooltip="" display=""/>
    <hyperlink ref="R2780" r:id="rId5556" location="" tooltip="" display=""/>
    <hyperlink ref="L2781" r:id="rId5557" location="" tooltip="" display=""/>
    <hyperlink ref="R2781" r:id="rId5558" location="" tooltip="" display=""/>
    <hyperlink ref="L2782" r:id="rId5559" location="" tooltip="" display=""/>
    <hyperlink ref="R2782" r:id="rId5560" location="" tooltip="" display=""/>
    <hyperlink ref="L2784" r:id="rId5561" location="" tooltip="" display=""/>
    <hyperlink ref="R2784" r:id="rId5562" location="" tooltip="" display=""/>
    <hyperlink ref="K2785" r:id="rId5563" location="" tooltip="" display=""/>
    <hyperlink ref="L2785" r:id="rId5564" location="" tooltip="" display=""/>
    <hyperlink ref="Q2785" r:id="rId5565" location="" tooltip="" display=""/>
    <hyperlink ref="R2785" r:id="rId5566" location="" tooltip="" display=""/>
    <hyperlink ref="L2786" r:id="rId5567" location="" tooltip="" display=""/>
    <hyperlink ref="R2786" r:id="rId5568" location="" tooltip="" display=""/>
    <hyperlink ref="L2787" r:id="rId5569" location="" tooltip="" display=""/>
    <hyperlink ref="R2787" r:id="rId5570" location="" tooltip="" display=""/>
    <hyperlink ref="K2789" r:id="rId5571" location="" tooltip="" display=""/>
    <hyperlink ref="L2789" r:id="rId5572" location="" tooltip="" display=""/>
    <hyperlink ref="Q2789" r:id="rId5573" location="" tooltip="" display=""/>
    <hyperlink ref="R2789" r:id="rId5574" location="" tooltip="" display=""/>
    <hyperlink ref="L2790" r:id="rId5575" location="" tooltip="" display=""/>
    <hyperlink ref="R2790" r:id="rId5576" location="" tooltip="" display=""/>
    <hyperlink ref="L2792" r:id="rId5577" location="" tooltip="" display=""/>
    <hyperlink ref="R2792" r:id="rId5578" location="" tooltip="" display=""/>
    <hyperlink ref="K2793" r:id="rId5579" location="" tooltip="" display=""/>
    <hyperlink ref="L2793" r:id="rId5580" location="" tooltip="" display=""/>
    <hyperlink ref="Q2793" r:id="rId5581" location="" tooltip="" display=""/>
    <hyperlink ref="R2793" r:id="rId5582" location="" tooltip="" display=""/>
    <hyperlink ref="L2794" r:id="rId5583" location="" tooltip="" display=""/>
    <hyperlink ref="R2794" r:id="rId5584" location="" tooltip="" display=""/>
    <hyperlink ref="K2796" r:id="rId5585" location="" tooltip="" display=""/>
    <hyperlink ref="L2796" r:id="rId5586" location="" tooltip="" display=""/>
    <hyperlink ref="Q2796" r:id="rId5587" location="" tooltip="" display=""/>
    <hyperlink ref="R2796" r:id="rId5588" location="" tooltip="" display=""/>
    <hyperlink ref="K2798" r:id="rId5589" location="" tooltip="" display=""/>
    <hyperlink ref="L2798" r:id="rId5590" location="" tooltip="" display=""/>
    <hyperlink ref="Q2798" r:id="rId5591" location="" tooltip="" display=""/>
    <hyperlink ref="R2798" r:id="rId5592" location="" tooltip="" display=""/>
    <hyperlink ref="K2800" r:id="rId5593" location="" tooltip="" display=""/>
    <hyperlink ref="L2800" r:id="rId5594" location="" tooltip="" display=""/>
    <hyperlink ref="Q2800" r:id="rId5595" location="" tooltip="" display=""/>
    <hyperlink ref="R2800" r:id="rId5596" location="" tooltip="" display=""/>
    <hyperlink ref="K2802" r:id="rId5597" location="" tooltip="" display=""/>
    <hyperlink ref="L2802" r:id="rId5598" location="" tooltip="" display=""/>
    <hyperlink ref="Q2802" r:id="rId5599" location="" tooltip="" display=""/>
    <hyperlink ref="R2802" r:id="rId5600" location="" tooltip="" display=""/>
    <hyperlink ref="L2804" r:id="rId5601" location="" tooltip="" display=""/>
    <hyperlink ref="R2804" r:id="rId5602" location="" tooltip="" display=""/>
    <hyperlink ref="K2805" r:id="rId5603" location="" tooltip="" display=""/>
    <hyperlink ref="L2805" r:id="rId5604" location="" tooltip="" display=""/>
    <hyperlink ref="Q2805" r:id="rId5605" location="" tooltip="" display=""/>
    <hyperlink ref="R2805" r:id="rId5606" location="" tooltip="" display=""/>
    <hyperlink ref="L2806" r:id="rId5607" location="" tooltip="" display=""/>
    <hyperlink ref="R2806" r:id="rId5608" location="" tooltip="" display=""/>
    <hyperlink ref="K2808" r:id="rId5609" location="" tooltip="" display=""/>
    <hyperlink ref="L2808" r:id="rId5610" location="" tooltip="" display=""/>
    <hyperlink ref="Q2808" r:id="rId5611" location="" tooltip="" display=""/>
    <hyperlink ref="R2808" r:id="rId5612" location="" tooltip="" display=""/>
    <hyperlink ref="L2810" r:id="rId5613" location="" tooltip="" display=""/>
    <hyperlink ref="R2810" r:id="rId5614" location="" tooltip="" display=""/>
    <hyperlink ref="K2811" r:id="rId5615" location="" tooltip="" display=""/>
    <hyperlink ref="L2811" r:id="rId5616" location="" tooltip="" display=""/>
    <hyperlink ref="Q2811" r:id="rId5617" location="" tooltip="" display=""/>
    <hyperlink ref="R2811" r:id="rId5618" location="" tooltip="" display=""/>
    <hyperlink ref="L2812" r:id="rId5619" location="" tooltip="" display=""/>
    <hyperlink ref="R2812" r:id="rId5620" location="" tooltip="" display=""/>
    <hyperlink ref="L2813" r:id="rId5621" location="" tooltip="" display=""/>
    <hyperlink ref="R2813" r:id="rId5622" location="" tooltip="" display=""/>
    <hyperlink ref="L2815" r:id="rId5623" location="" tooltip="" display=""/>
    <hyperlink ref="R2815" r:id="rId5624" location="" tooltip="" display=""/>
    <hyperlink ref="K2816" r:id="rId5625" location="" tooltip="" display=""/>
    <hyperlink ref="L2816" r:id="rId5626" location="" tooltip="" display=""/>
    <hyperlink ref="Q2816" r:id="rId5627" location="" tooltip="" display=""/>
    <hyperlink ref="R2816" r:id="rId5628" location="" tooltip="" display=""/>
    <hyperlink ref="L2817" r:id="rId5629" location="" tooltip="" display=""/>
    <hyperlink ref="R2817" r:id="rId5630" location="" tooltip="" display=""/>
    <hyperlink ref="L2818" r:id="rId5631" location="" tooltip="" display=""/>
    <hyperlink ref="R2818" r:id="rId5632" location="" tooltip="" display=""/>
    <hyperlink ref="L2820" r:id="rId5633" location="" tooltip="" display=""/>
    <hyperlink ref="R2820" r:id="rId5634" location="" tooltip="" display=""/>
    <hyperlink ref="K2821" r:id="rId5635" location="" tooltip="" display=""/>
    <hyperlink ref="L2821" r:id="rId5636" location="" tooltip="" display=""/>
    <hyperlink ref="Q2821" r:id="rId5637" location="" tooltip="" display=""/>
    <hyperlink ref="R2821" r:id="rId5638" location="" tooltip="" display=""/>
    <hyperlink ref="L2822" r:id="rId5639" location="" tooltip="" display=""/>
    <hyperlink ref="R2822" r:id="rId5640" location="" tooltip="" display=""/>
    <hyperlink ref="L2823" r:id="rId5641" location="" tooltip="" display=""/>
    <hyperlink ref="R2823" r:id="rId5642" location="" tooltip="" display=""/>
    <hyperlink ref="L2825" r:id="rId5643" location="" tooltip="" display=""/>
    <hyperlink ref="R2825" r:id="rId5644" location="" tooltip="" display=""/>
    <hyperlink ref="K2826" r:id="rId5645" location="" tooltip="" display=""/>
    <hyperlink ref="L2826" r:id="rId5646" location="" tooltip="" display=""/>
    <hyperlink ref="Q2826" r:id="rId5647" location="" tooltip="" display=""/>
    <hyperlink ref="R2826" r:id="rId5648" location="" tooltip="" display=""/>
    <hyperlink ref="L2827" r:id="rId5649" location="" tooltip="" display=""/>
    <hyperlink ref="R2827" r:id="rId5650" location="" tooltip="" display=""/>
    <hyperlink ref="K2829" r:id="rId5651" location="" tooltip="" display=""/>
    <hyperlink ref="L2829" r:id="rId5652" location="" tooltip="" display=""/>
    <hyperlink ref="Q2829" r:id="rId5653" location="" tooltip="" display=""/>
    <hyperlink ref="R2829" r:id="rId5654" location="" tooltip="" display=""/>
    <hyperlink ref="L2831" r:id="rId5655" location="" tooltip="" display=""/>
    <hyperlink ref="R2831" r:id="rId5656" location="" tooltip="" display=""/>
    <hyperlink ref="K2832" r:id="rId5657" location="" tooltip="" display=""/>
    <hyperlink ref="L2832" r:id="rId5658" location="" tooltip="" display=""/>
    <hyperlink ref="Q2832" r:id="rId5659" location="" tooltip="" display=""/>
    <hyperlink ref="R2832" r:id="rId5660" location="" tooltip="" display=""/>
    <hyperlink ref="L2833" r:id="rId5661" location="" tooltip="" display=""/>
    <hyperlink ref="R2833" r:id="rId5662" location="" tooltip="" display=""/>
    <hyperlink ref="L2834" r:id="rId5663" location="" tooltip="" display=""/>
    <hyperlink ref="R2834" r:id="rId5664" location="" tooltip="" display=""/>
    <hyperlink ref="L2836" r:id="rId5665" location="" tooltip="" display=""/>
    <hyperlink ref="R2836" r:id="rId5666" location="" tooltip="" display=""/>
    <hyperlink ref="K2837" r:id="rId5667" location="" tooltip="" display=""/>
    <hyperlink ref="L2837" r:id="rId5668" location="" tooltip="" display=""/>
    <hyperlink ref="Q2837" r:id="rId5669" location="" tooltip="" display=""/>
    <hyperlink ref="R2837" r:id="rId5670" location="" tooltip="" display=""/>
    <hyperlink ref="L2838" r:id="rId5671" location="" tooltip="" display=""/>
    <hyperlink ref="R2838" r:id="rId5672" location="" tooltip="" display=""/>
    <hyperlink ref="K2840" r:id="rId5673" location="" tooltip="" display=""/>
    <hyperlink ref="L2840" r:id="rId5674" location="" tooltip="" display=""/>
    <hyperlink ref="Q2840" r:id="rId5675" location="" tooltip="" display=""/>
    <hyperlink ref="R2840" r:id="rId5676" location="" tooltip="" display=""/>
    <hyperlink ref="L2841" r:id="rId5677" location="" tooltip="" display=""/>
    <hyperlink ref="R2841" r:id="rId5678" location="" tooltip="" display=""/>
    <hyperlink ref="L2843" r:id="rId5679" location="" tooltip="" display=""/>
    <hyperlink ref="R2843" r:id="rId5680" location="" tooltip="" display=""/>
    <hyperlink ref="L2844" r:id="rId5681" location="" tooltip="" display=""/>
    <hyperlink ref="R2844" r:id="rId5682" location="" tooltip="" display=""/>
    <hyperlink ref="K2845" r:id="rId5683" location="" tooltip="" display=""/>
    <hyperlink ref="L2845" r:id="rId5684" location="" tooltip="" display=""/>
    <hyperlink ref="Q2845" r:id="rId5685" location="" tooltip="" display=""/>
    <hyperlink ref="R2845" r:id="rId5686" location="" tooltip="" display=""/>
    <hyperlink ref="L2846" r:id="rId5687" location="" tooltip="" display=""/>
    <hyperlink ref="R2846" r:id="rId5688" location="" tooltip="" display=""/>
    <hyperlink ref="L2847" r:id="rId5689" location="" tooltip="" display=""/>
    <hyperlink ref="R2847" r:id="rId5690" location="" tooltip="" display=""/>
    <hyperlink ref="L2848" r:id="rId5691" location="" tooltip="" display=""/>
    <hyperlink ref="R2848" r:id="rId5692" location="" tooltip="" display=""/>
    <hyperlink ref="L2850" r:id="rId5693" location="" tooltip="" display=""/>
    <hyperlink ref="R2850" r:id="rId5694" location="" tooltip="" display=""/>
    <hyperlink ref="L2851" r:id="rId5695" location="" tooltip="" display=""/>
    <hyperlink ref="R2851" r:id="rId5696" location="" tooltip="" display=""/>
    <hyperlink ref="L2852" r:id="rId5697" location="" tooltip="" display=""/>
    <hyperlink ref="R2852" r:id="rId5698" location="" tooltip="" display=""/>
    <hyperlink ref="L2853" r:id="rId5699" location="" tooltip="" display=""/>
    <hyperlink ref="R2853" r:id="rId5700" location="" tooltip="" display=""/>
    <hyperlink ref="L2854" r:id="rId5701" location="" tooltip="" display=""/>
    <hyperlink ref="R2854" r:id="rId5702" location="" tooltip="" display=""/>
    <hyperlink ref="K2855" r:id="rId5703" location="" tooltip="" display=""/>
    <hyperlink ref="L2855" r:id="rId5704" location="" tooltip="" display=""/>
    <hyperlink ref="Q2855" r:id="rId5705" location="" tooltip="" display=""/>
    <hyperlink ref="R2855" r:id="rId5706" location="" tooltip="" display=""/>
    <hyperlink ref="L2856" r:id="rId5707" location="" tooltip="" display=""/>
    <hyperlink ref="R2856" r:id="rId5708" location="" tooltip="" display=""/>
    <hyperlink ref="L2857" r:id="rId5709" location="" tooltip="" display=""/>
    <hyperlink ref="R2857" r:id="rId5710" location="" tooltip="" display=""/>
    <hyperlink ref="L2858" r:id="rId5711" location="" tooltip="" display=""/>
    <hyperlink ref="R2858" r:id="rId5712" location="" tooltip="" display=""/>
    <hyperlink ref="L2859" r:id="rId5713" location="" tooltip="" display=""/>
    <hyperlink ref="R2859" r:id="rId5714" location="" tooltip="" display=""/>
    <hyperlink ref="L2860" r:id="rId5715" location="" tooltip="" display=""/>
    <hyperlink ref="R2860" r:id="rId5716" location="" tooltip="" display=""/>
    <hyperlink ref="L2862" r:id="rId5717" location="" tooltip="" display=""/>
    <hyperlink ref="R2862" r:id="rId5718" location="" tooltip="" display=""/>
    <hyperlink ref="K2863" r:id="rId5719" location="" tooltip="" display=""/>
    <hyperlink ref="L2863" r:id="rId5720" location="" tooltip="" display=""/>
    <hyperlink ref="Q2863" r:id="rId5721" location="" tooltip="" display=""/>
    <hyperlink ref="R2863" r:id="rId5722" location="" tooltip="" display=""/>
    <hyperlink ref="L2864" r:id="rId5723" location="" tooltip="" display=""/>
    <hyperlink ref="R2864" r:id="rId5724" location="" tooltip="" display=""/>
    <hyperlink ref="L2866" r:id="rId5725" location="" tooltip="" display=""/>
    <hyperlink ref="R2866" r:id="rId5726" location="" tooltip="" display=""/>
    <hyperlink ref="L2867" r:id="rId5727" location="" tooltip="" display=""/>
    <hyperlink ref="R2867" r:id="rId5728" location="" tooltip="" display=""/>
    <hyperlink ref="L2868" r:id="rId5729" location="" tooltip="" display=""/>
    <hyperlink ref="R2868" r:id="rId5730" location="" tooltip="" display=""/>
    <hyperlink ref="K2869" r:id="rId5731" location="" tooltip="" display=""/>
    <hyperlink ref="L2869" r:id="rId5732" location="" tooltip="" display=""/>
    <hyperlink ref="Q2869" r:id="rId5733" location="" tooltip="" display=""/>
    <hyperlink ref="R2869" r:id="rId5734" location="" tooltip="" display=""/>
    <hyperlink ref="L2870" r:id="rId5735" location="" tooltip="" display=""/>
    <hyperlink ref="R2870" r:id="rId5736" location="" tooltip="" display=""/>
    <hyperlink ref="L2871" r:id="rId5737" location="" tooltip="" display=""/>
    <hyperlink ref="R2871" r:id="rId5738" location="" tooltip="" display=""/>
    <hyperlink ref="L2872" r:id="rId5739" location="" tooltip="" display=""/>
    <hyperlink ref="R2872" r:id="rId5740" location="" tooltip="" display=""/>
    <hyperlink ref="L2873" r:id="rId5741" location="" tooltip="" display=""/>
    <hyperlink ref="R2873" r:id="rId5742" location="" tooltip="" display=""/>
    <hyperlink ref="L2875" r:id="rId5743" location="" tooltip="" display=""/>
    <hyperlink ref="R2875" r:id="rId5744" location="" tooltip="" display=""/>
    <hyperlink ref="L2876" r:id="rId5745" location="" tooltip="" display=""/>
    <hyperlink ref="R2876" r:id="rId5746" location="" tooltip="" display=""/>
    <hyperlink ref="K2877" r:id="rId5747" location="" tooltip="" display=""/>
    <hyperlink ref="L2877" r:id="rId5748" location="" tooltip="" display=""/>
    <hyperlink ref="Q2877" r:id="rId5749" location="" tooltip="" display=""/>
    <hyperlink ref="R2877" r:id="rId5750" location="" tooltip="" display=""/>
    <hyperlink ref="L2878" r:id="rId5751" location="" tooltip="" display=""/>
    <hyperlink ref="R2878" r:id="rId5752" location="" tooltip="" display=""/>
    <hyperlink ref="L2879" r:id="rId5753" location="" tooltip="" display=""/>
    <hyperlink ref="R2879" r:id="rId5754" location="" tooltip="" display=""/>
    <hyperlink ref="L2881" r:id="rId5755" location="" tooltip="" display=""/>
    <hyperlink ref="R2881" r:id="rId5756" location="" tooltip="" display=""/>
    <hyperlink ref="K2882" r:id="rId5757" location="" tooltip="" display=""/>
    <hyperlink ref="L2882" r:id="rId5758" location="" tooltip="" display=""/>
    <hyperlink ref="Q2882" r:id="rId5759" location="" tooltip="" display=""/>
    <hyperlink ref="R2882" r:id="rId5760" location="" tooltip="" display=""/>
    <hyperlink ref="L2883" r:id="rId5761" location="" tooltip="" display=""/>
    <hyperlink ref="R2883" r:id="rId5762" location="" tooltip="" display=""/>
    <hyperlink ref="L2884" r:id="rId5763" location="" tooltip="" display=""/>
    <hyperlink ref="R2884" r:id="rId5764" location="" tooltip="" display=""/>
    <hyperlink ref="L2886" r:id="rId5765" location="" tooltip="" display=""/>
    <hyperlink ref="R2886" r:id="rId5766" location="" tooltip="" display=""/>
    <hyperlink ref="K2887" r:id="rId5767" location="" tooltip="" display=""/>
    <hyperlink ref="L2887" r:id="rId5768" location="" tooltip="" display=""/>
    <hyperlink ref="Q2887" r:id="rId5769" location="" tooltip="" display=""/>
    <hyperlink ref="R2887" r:id="rId5770" location="" tooltip="" display=""/>
    <hyperlink ref="L2888" r:id="rId5771" location="" tooltip="" display=""/>
    <hyperlink ref="R2888" r:id="rId5772" location="" tooltip="" display=""/>
    <hyperlink ref="L2890" r:id="rId5773" location="" tooltip="" display=""/>
    <hyperlink ref="R2890" r:id="rId5774" location="" tooltip="" display=""/>
    <hyperlink ref="L2891" r:id="rId5775" location="" tooltip="" display=""/>
    <hyperlink ref="R2891" r:id="rId5776" location="" tooltip="" display=""/>
    <hyperlink ref="L2892" r:id="rId5777" location="" tooltip="" display=""/>
    <hyperlink ref="R2892" r:id="rId5778" location="" tooltip="" display=""/>
    <hyperlink ref="L2893" r:id="rId5779" location="" tooltip="" display=""/>
    <hyperlink ref="R2893" r:id="rId5780" location="" tooltip="" display=""/>
    <hyperlink ref="K2894" r:id="rId5781" location="" tooltip="" display=""/>
    <hyperlink ref="L2894" r:id="rId5782" location="" tooltip="" display=""/>
    <hyperlink ref="Q2894" r:id="rId5783" location="" tooltip="" display=""/>
    <hyperlink ref="R2894" r:id="rId5784" location="" tooltip="" display=""/>
    <hyperlink ref="L2895" r:id="rId5785" location="" tooltip="" display=""/>
    <hyperlink ref="R2895" r:id="rId5786" location="" tooltip="" display=""/>
    <hyperlink ref="L2896" r:id="rId5787" location="" tooltip="" display=""/>
    <hyperlink ref="R2896" r:id="rId5788" location="" tooltip="" display=""/>
    <hyperlink ref="L2897" r:id="rId5789" location="" tooltip="" display=""/>
    <hyperlink ref="R2897" r:id="rId5790" location="" tooltip="" display=""/>
    <hyperlink ref="L2898" r:id="rId5791" location="" tooltip="" display=""/>
    <hyperlink ref="R2898" r:id="rId5792" location="" tooltip="" display=""/>
    <hyperlink ref="L2899" r:id="rId5793" location="" tooltip="" display=""/>
    <hyperlink ref="R2899" r:id="rId5794" location="" tooltip="" display=""/>
    <hyperlink ref="L2901" r:id="rId5795" location="" tooltip="" display=""/>
    <hyperlink ref="R2901" r:id="rId5796" location="" tooltip="" display=""/>
    <hyperlink ref="K2902" r:id="rId5797" location="" tooltip="" display=""/>
    <hyperlink ref="L2902" r:id="rId5798" location="" tooltip="" display=""/>
    <hyperlink ref="Q2902" r:id="rId5799" location="" tooltip="" display=""/>
    <hyperlink ref="R2902" r:id="rId5800" location="" tooltip="" display=""/>
    <hyperlink ref="L2903" r:id="rId5801" location="" tooltip="" display=""/>
    <hyperlink ref="R2903" r:id="rId5802" location="" tooltip="" display=""/>
    <hyperlink ref="L2904" r:id="rId5803" location="" tooltip="" display=""/>
    <hyperlink ref="R2904" r:id="rId5804" location="" tooltip="" display=""/>
    <hyperlink ref="L2906" r:id="rId5805" location="" tooltip="" display=""/>
    <hyperlink ref="R2906" r:id="rId5806" location="" tooltip="" display=""/>
    <hyperlink ref="K2907" r:id="rId5807" location="" tooltip="" display=""/>
    <hyperlink ref="L2907" r:id="rId5808" location="" tooltip="" display=""/>
    <hyperlink ref="Q2907" r:id="rId5809" location="" tooltip="" display=""/>
    <hyperlink ref="R2907" r:id="rId5810" location="" tooltip="" display=""/>
    <hyperlink ref="L2908" r:id="rId5811" location="" tooltip="" display=""/>
    <hyperlink ref="R2908" r:id="rId5812" location="" tooltip="" display=""/>
    <hyperlink ref="L2910" r:id="rId5813" location="" tooltip="" display=""/>
    <hyperlink ref="R2910" r:id="rId5814" location="" tooltip="" display=""/>
    <hyperlink ref="K2911" r:id="rId5815" location="" tooltip="" display=""/>
    <hyperlink ref="L2911" r:id="rId5816" location="" tooltip="" display=""/>
    <hyperlink ref="Q2911" r:id="rId5817" location="" tooltip="" display=""/>
    <hyperlink ref="R2911" r:id="rId5818" location="" tooltip="" display=""/>
    <hyperlink ref="L2912" r:id="rId5819" location="" tooltip="" display=""/>
    <hyperlink ref="R2912" r:id="rId5820" location="" tooltip="" display=""/>
    <hyperlink ref="K2914" r:id="rId5821" location="" tooltip="" display=""/>
    <hyperlink ref="L2914" r:id="rId5822" location="" tooltip="" display=""/>
    <hyperlink ref="Q2914" r:id="rId5823" location="" tooltip="" display=""/>
    <hyperlink ref="R2914" r:id="rId5824" location="" tooltip="" display=""/>
    <hyperlink ref="L2915" r:id="rId5825" location="" tooltip="" display=""/>
    <hyperlink ref="R2915" r:id="rId5826" location="" tooltip="" display=""/>
    <hyperlink ref="K2917" r:id="rId5827" location="" tooltip="" display=""/>
    <hyperlink ref="L2917" r:id="rId5828" location="" tooltip="" display=""/>
    <hyperlink ref="Q2917" r:id="rId5829" location="" tooltip="" display=""/>
    <hyperlink ref="R2917" r:id="rId5830" location="" tooltip="" display=""/>
    <hyperlink ref="L2918" r:id="rId5831" location="" tooltip="" display=""/>
    <hyperlink ref="R2918" r:id="rId5832" location="" tooltip="" display=""/>
    <hyperlink ref="L2920" r:id="rId5833" location="" tooltip="" display=""/>
    <hyperlink ref="R2920" r:id="rId5834" location="" tooltip="" display=""/>
    <hyperlink ref="L2921" r:id="rId5835" location="" tooltip="" display=""/>
    <hyperlink ref="R2921" r:id="rId5836" location="" tooltip="" display=""/>
    <hyperlink ref="L2922" r:id="rId5837" location="" tooltip="" display=""/>
    <hyperlink ref="R2922" r:id="rId5838" location="" tooltip="" display=""/>
    <hyperlink ref="K2923" r:id="rId5839" location="" tooltip="" display=""/>
    <hyperlink ref="L2923" r:id="rId5840" location="" tooltip="" display=""/>
    <hyperlink ref="Q2923" r:id="rId5841" location="" tooltip="" display=""/>
    <hyperlink ref="R2923" r:id="rId5842" location="" tooltip="" display=""/>
    <hyperlink ref="L2924" r:id="rId5843" location="" tooltip="" display=""/>
    <hyperlink ref="R2924" r:id="rId5844" location="" tooltip="" display=""/>
    <hyperlink ref="L2925" r:id="rId5845" location="" tooltip="" display=""/>
    <hyperlink ref="R2925" r:id="rId5846" location="" tooltip="" display=""/>
    <hyperlink ref="L2926" r:id="rId5847" location="" tooltip="" display=""/>
    <hyperlink ref="R2926" r:id="rId5848" location="" tooltip="" display=""/>
    <hyperlink ref="L2928" r:id="rId5849" location="" tooltip="" display=""/>
    <hyperlink ref="R2928" r:id="rId5850" location="" tooltip="" display=""/>
    <hyperlink ref="L2929" r:id="rId5851" location="" tooltip="" display=""/>
    <hyperlink ref="R2929" r:id="rId5852" location="" tooltip="" display=""/>
    <hyperlink ref="L2930" r:id="rId5853" location="" tooltip="" display=""/>
    <hyperlink ref="R2930" r:id="rId5854" location="" tooltip="" display=""/>
    <hyperlink ref="K2931" r:id="rId5855" location="" tooltip="" display=""/>
    <hyperlink ref="L2931" r:id="rId5856" location="" tooltip="" display=""/>
    <hyperlink ref="Q2931" r:id="rId5857" location="" tooltip="" display=""/>
    <hyperlink ref="R2931" r:id="rId5858" location="" tooltip="" display=""/>
    <hyperlink ref="L2932" r:id="rId5859" location="" tooltip="" display=""/>
    <hyperlink ref="R2932" r:id="rId5860" location="" tooltip="" display=""/>
    <hyperlink ref="L2933" r:id="rId5861" location="" tooltip="" display=""/>
    <hyperlink ref="R2933" r:id="rId5862" location="" tooltip="" display=""/>
    <hyperlink ref="L2934" r:id="rId5863" location="" tooltip="" display=""/>
    <hyperlink ref="R2934" r:id="rId5864" location="" tooltip="" display=""/>
    <hyperlink ref="L2935" r:id="rId5865" location="" tooltip="" display=""/>
    <hyperlink ref="R2935" r:id="rId5866" location="" tooltip="" display=""/>
    <hyperlink ref="K2937" r:id="rId5867" location="" tooltip="" display=""/>
    <hyperlink ref="L2937" r:id="rId5868" location="" tooltip="" display=""/>
    <hyperlink ref="Q2937" r:id="rId5869" location="" tooltip="" display=""/>
    <hyperlink ref="R2937" r:id="rId5870" location="" tooltip="" display=""/>
    <hyperlink ref="L2938" r:id="rId5871" location="" tooltip="" display=""/>
    <hyperlink ref="R2938" r:id="rId5872" location="" tooltip="" display=""/>
    <hyperlink ref="L2940" r:id="rId5873" location="" tooltip="" display=""/>
    <hyperlink ref="R2940" r:id="rId5874" location="" tooltip="" display=""/>
    <hyperlink ref="L2941" r:id="rId5875" location="" tooltip="" display=""/>
    <hyperlink ref="R2941" r:id="rId5876" location="" tooltip="" display=""/>
    <hyperlink ref="L2942" r:id="rId5877" location="" tooltip="" display=""/>
    <hyperlink ref="R2942" r:id="rId5878" location="" tooltip="" display=""/>
    <hyperlink ref="K2943" r:id="rId5879" location="" tooltip="" display=""/>
    <hyperlink ref="L2943" r:id="rId5880" location="" tooltip="" display=""/>
    <hyperlink ref="Q2943" r:id="rId5881" location="" tooltip="" display=""/>
    <hyperlink ref="R2943" r:id="rId5882" location="" tooltip="" display=""/>
    <hyperlink ref="L2944" r:id="rId5883" location="" tooltip="" display=""/>
    <hyperlink ref="R2944" r:id="rId5884" location="" tooltip="" display=""/>
    <hyperlink ref="L2945" r:id="rId5885" location="" tooltip="" display=""/>
    <hyperlink ref="R2945" r:id="rId5886" location="" tooltip="" display=""/>
    <hyperlink ref="L2946" r:id="rId5887" location="" tooltip="" display=""/>
    <hyperlink ref="R2946" r:id="rId5888" location="" tooltip="" display=""/>
    <hyperlink ref="L2947" r:id="rId5889" location="" tooltip="" display=""/>
    <hyperlink ref="R2947" r:id="rId5890" location="" tooltip="" display=""/>
    <hyperlink ref="L2949" r:id="rId5891" location="" tooltip="" display=""/>
    <hyperlink ref="R2949" r:id="rId5892" location="" tooltip="" display=""/>
    <hyperlink ref="L2950" r:id="rId5893" location="" tooltip="" display=""/>
    <hyperlink ref="R2950" r:id="rId5894" location="" tooltip="" display=""/>
    <hyperlink ref="L2951" r:id="rId5895" location="" tooltip="" display=""/>
    <hyperlink ref="R2951" r:id="rId5896" location="" tooltip="" display=""/>
    <hyperlink ref="L2952" r:id="rId5897" location="" tooltip="" display=""/>
    <hyperlink ref="R2952" r:id="rId5898" location="" tooltip="" display=""/>
    <hyperlink ref="K2953" r:id="rId5899" location="" tooltip="" display=""/>
    <hyperlink ref="L2953" r:id="rId5900" location="" tooltip="" display=""/>
    <hyperlink ref="Q2953" r:id="rId5901" location="" tooltip="" display=""/>
    <hyperlink ref="R2953" r:id="rId5902" location="" tooltip="" display=""/>
    <hyperlink ref="L2954" r:id="rId5903" location="" tooltip="" display=""/>
    <hyperlink ref="R2954" r:id="rId5904" location="" tooltip="" display=""/>
    <hyperlink ref="L2955" r:id="rId5905" location="" tooltip="" display=""/>
    <hyperlink ref="R2955" r:id="rId5906" location="" tooltip="" display=""/>
    <hyperlink ref="L2956" r:id="rId5907" location="" tooltip="" display=""/>
    <hyperlink ref="R2956" r:id="rId5908" location="" tooltip="" display=""/>
    <hyperlink ref="L2957" r:id="rId5909" location="" tooltip="" display=""/>
    <hyperlink ref="R2957" r:id="rId5910" location="" tooltip="" display=""/>
    <hyperlink ref="L2959" r:id="rId5911" location="" tooltip="" display=""/>
    <hyperlink ref="R2959" r:id="rId5912" location="" tooltip="" display=""/>
    <hyperlink ref="K2960" r:id="rId5913" location="" tooltip="" display=""/>
    <hyperlink ref="L2960" r:id="rId5914" location="" tooltip="" display=""/>
    <hyperlink ref="Q2960" r:id="rId5915" location="" tooltip="" display=""/>
    <hyperlink ref="R2960" r:id="rId5916" location="" tooltip="" display=""/>
    <hyperlink ref="L2961" r:id="rId5917" location="" tooltip="" display=""/>
    <hyperlink ref="R2961" r:id="rId5918" location="" tooltip="" display=""/>
    <hyperlink ref="L2962" r:id="rId5919" location="" tooltip="" display=""/>
    <hyperlink ref="R2962" r:id="rId5920" location="" tooltip="" display=""/>
    <hyperlink ref="K2964" r:id="rId5921" location="" tooltip="" display=""/>
    <hyperlink ref="L2964" r:id="rId5922" location="" tooltip="" display=""/>
    <hyperlink ref="Q2964" r:id="rId5923" location="" tooltip="" display=""/>
    <hyperlink ref="R2964" r:id="rId5924" location="" tooltip="" display=""/>
    <hyperlink ref="L2965" r:id="rId5925" location="" tooltip="" display=""/>
    <hyperlink ref="R2965" r:id="rId5926" location="" tooltip="" display=""/>
    <hyperlink ref="K2967" r:id="rId5927" location="" tooltip="" display=""/>
    <hyperlink ref="L2967" r:id="rId5928" location="" tooltip="" display=""/>
    <hyperlink ref="Q2967" r:id="rId5929" location="" tooltip="" display=""/>
    <hyperlink ref="R2967" r:id="rId5930" location="" tooltip="" display=""/>
    <hyperlink ref="L2968" r:id="rId5931" location="" tooltip="" display=""/>
    <hyperlink ref="R2968" r:id="rId5932" location="" tooltip="" display=""/>
    <hyperlink ref="L2970" r:id="rId5933" location="" tooltip="" display=""/>
    <hyperlink ref="R2970" r:id="rId5934" location="" tooltip="" display=""/>
    <hyperlink ref="K2971" r:id="rId5935" location="" tooltip="" display=""/>
    <hyperlink ref="L2971" r:id="rId5936" location="" tooltip="" display=""/>
    <hyperlink ref="Q2971" r:id="rId5937" location="" tooltip="" display=""/>
    <hyperlink ref="R2971" r:id="rId5938" location="" tooltip="" display=""/>
    <hyperlink ref="L2972" r:id="rId5939" location="" tooltip="" display=""/>
    <hyperlink ref="R2972" r:id="rId5940" location="" tooltip="" display=""/>
    <hyperlink ref="L2974" r:id="rId5941" location="" tooltip="" display=""/>
    <hyperlink ref="R2974" r:id="rId5942" location="" tooltip="" display=""/>
    <hyperlink ref="K2975" r:id="rId5943" location="" tooltip="" display=""/>
    <hyperlink ref="L2975" r:id="rId5944" location="" tooltip="" display=""/>
    <hyperlink ref="Q2975" r:id="rId5945" location="" tooltip="" display=""/>
    <hyperlink ref="R2975" r:id="rId5946" location="" tooltip="" display=""/>
    <hyperlink ref="L2976" r:id="rId5947" location="" tooltip="" display=""/>
    <hyperlink ref="R2976" r:id="rId5948" location="" tooltip="" display=""/>
    <hyperlink ref="L2978" r:id="rId5949" location="" tooltip="" display=""/>
    <hyperlink ref="R2978" r:id="rId5950" location="" tooltip="" display=""/>
    <hyperlink ref="K2979" r:id="rId5951" location="" tooltip="" display=""/>
    <hyperlink ref="L2979" r:id="rId5952" location="" tooltip="" display=""/>
    <hyperlink ref="Q2979" r:id="rId5953" location="" tooltip="" display=""/>
    <hyperlink ref="R2979" r:id="rId5954" location="" tooltip="" display=""/>
    <hyperlink ref="L2980" r:id="rId5955" location="" tooltip="" display=""/>
    <hyperlink ref="R2980" r:id="rId5956" location="" tooltip="" display=""/>
    <hyperlink ref="K2982" r:id="rId5957" location="" tooltip="" display=""/>
    <hyperlink ref="L2982" r:id="rId5958" location="" tooltip="" display=""/>
    <hyperlink ref="Q2982" r:id="rId5959" location="" tooltip="" display=""/>
    <hyperlink ref="R2982" r:id="rId5960" location="" tooltip="" display=""/>
    <hyperlink ref="L2984" r:id="rId5961" location="" tooltip="" display=""/>
    <hyperlink ref="R2984" r:id="rId5962" location="" tooltip="" display=""/>
    <hyperlink ref="L2985" r:id="rId5963" location="" tooltip="" display=""/>
    <hyperlink ref="R2985" r:id="rId5964" location="" tooltip="" display=""/>
    <hyperlink ref="K2986" r:id="rId5965" location="" tooltip="" display=""/>
    <hyperlink ref="L2986" r:id="rId5966" location="" tooltip="" display=""/>
    <hyperlink ref="Q2986" r:id="rId5967" location="" tooltip="" display=""/>
    <hyperlink ref="R2986" r:id="rId5968" location="" tooltip="" display=""/>
    <hyperlink ref="L2987" r:id="rId5969" location="" tooltip="" display=""/>
    <hyperlink ref="R2987" r:id="rId5970" location="" tooltip="" display=""/>
    <hyperlink ref="L2988" r:id="rId5971" location="" tooltip="" display=""/>
    <hyperlink ref="R2988" r:id="rId5972" location="" tooltip="" display=""/>
    <hyperlink ref="L2990" r:id="rId5973" location="" tooltip="" display=""/>
    <hyperlink ref="R2990" r:id="rId5974" location="" tooltip="" display=""/>
    <hyperlink ref="L2991" r:id="rId5975" location="" tooltip="" display=""/>
    <hyperlink ref="R2991" r:id="rId5976" location="" tooltip="" display=""/>
    <hyperlink ref="K2992" r:id="rId5977" location="" tooltip="" display=""/>
    <hyperlink ref="L2992" r:id="rId5978" location="" tooltip="" display=""/>
    <hyperlink ref="Q2992" r:id="rId5979" location="" tooltip="" display=""/>
    <hyperlink ref="R2992" r:id="rId5980" location="" tooltip="" display=""/>
    <hyperlink ref="L2993" r:id="rId5981" location="" tooltip="" display=""/>
    <hyperlink ref="R2993" r:id="rId5982" location="" tooltip="" display=""/>
    <hyperlink ref="L2994" r:id="rId5983" location="" tooltip="" display=""/>
    <hyperlink ref="R2994" r:id="rId5984" location="" tooltip="" display=""/>
    <hyperlink ref="K2996" r:id="rId5985" location="" tooltip="" display=""/>
    <hyperlink ref="L2996" r:id="rId5986" location="" tooltip="" display=""/>
    <hyperlink ref="Q2996" r:id="rId5987" location="" tooltip="" display=""/>
    <hyperlink ref="R2996" r:id="rId5988" location="" tooltip="" display=""/>
    <hyperlink ref="L2997" r:id="rId5989" location="" tooltip="" display=""/>
    <hyperlink ref="R2997" r:id="rId5990" location="" tooltip="" display=""/>
    <hyperlink ref="K2999" r:id="rId5991" location="" tooltip="" display=""/>
    <hyperlink ref="L2999" r:id="rId5992" location="" tooltip="" display=""/>
    <hyperlink ref="Q2999" r:id="rId5993" location="" tooltip="" display=""/>
    <hyperlink ref="R2999" r:id="rId5994" location="" tooltip="" display=""/>
    <hyperlink ref="L3000" r:id="rId5995" location="" tooltip="" display=""/>
    <hyperlink ref="R3000" r:id="rId5996" location="" tooltip="" display=""/>
    <hyperlink ref="K3002" r:id="rId5997" location="" tooltip="" display=""/>
    <hyperlink ref="L3002" r:id="rId5998" location="" tooltip="" display=""/>
    <hyperlink ref="Q3002" r:id="rId5999" location="" tooltip="" display=""/>
    <hyperlink ref="R3002" r:id="rId6000" location="" tooltip="" display=""/>
    <hyperlink ref="K3004" r:id="rId6001" location="" tooltip="" display=""/>
    <hyperlink ref="L3004" r:id="rId6002" location="" tooltip="" display=""/>
    <hyperlink ref="Q3004" r:id="rId6003" location="" tooltip="" display=""/>
    <hyperlink ref="R3004" r:id="rId6004" location="" tooltip="" display=""/>
    <hyperlink ref="L3006" r:id="rId6005" location="" tooltip="" display=""/>
    <hyperlink ref="R3006" r:id="rId6006" location="" tooltip="" display=""/>
    <hyperlink ref="K3007" r:id="rId6007" location="" tooltip="" display=""/>
    <hyperlink ref="L3007" r:id="rId6008" location="" tooltip="" display=""/>
    <hyperlink ref="Q3007" r:id="rId6009" location="" tooltip="" display=""/>
    <hyperlink ref="R3007" r:id="rId6010" location="" tooltip="" display=""/>
    <hyperlink ref="L3008" r:id="rId6011" location="" tooltip="" display=""/>
    <hyperlink ref="R3008" r:id="rId6012" location="" tooltip="" display=""/>
    <hyperlink ref="L3009" r:id="rId6013" location="" tooltip="" display=""/>
    <hyperlink ref="R3009" r:id="rId6014" location="" tooltip="" display=""/>
    <hyperlink ref="K3011" r:id="rId6015" location="" tooltip="" display=""/>
    <hyperlink ref="L3011" r:id="rId6016" location="" tooltip="" display=""/>
    <hyperlink ref="Q3011" r:id="rId6017" location="" tooltip="" display=""/>
    <hyperlink ref="R3011" r:id="rId6018" location="" tooltip="" display=""/>
    <hyperlink ref="L3013" r:id="rId6019" location="" tooltip="" display=""/>
    <hyperlink ref="R3013" r:id="rId6020" location="" tooltip="" display=""/>
    <hyperlink ref="K3014" r:id="rId6021" location="" tooltip="" display=""/>
    <hyperlink ref="L3014" r:id="rId6022" location="" tooltip="" display=""/>
    <hyperlink ref="Q3014" r:id="rId6023" location="" tooltip="" display=""/>
    <hyperlink ref="R3014" r:id="rId6024" location="" tooltip="" display=""/>
    <hyperlink ref="L3015" r:id="rId6025" location="" tooltip="" display=""/>
    <hyperlink ref="R3015" r:id="rId6026" location="" tooltip="" display=""/>
    <hyperlink ref="L3016" r:id="rId6027" location="" tooltip="" display=""/>
    <hyperlink ref="R3016" r:id="rId6028" location="" tooltip="" display=""/>
    <hyperlink ref="L3018" r:id="rId6029" location="" tooltip="" display=""/>
    <hyperlink ref="R3018" r:id="rId6030" location="" tooltip="" display=""/>
    <hyperlink ref="K3019" r:id="rId6031" location="" tooltip="" display=""/>
    <hyperlink ref="L3019" r:id="rId6032" location="" tooltip="" display=""/>
    <hyperlink ref="Q3019" r:id="rId6033" location="" tooltip="" display=""/>
    <hyperlink ref="R3019" r:id="rId6034" location="" tooltip="" display=""/>
    <hyperlink ref="L3020" r:id="rId6035" location="" tooltip="" display=""/>
    <hyperlink ref="R3020" r:id="rId6036" location="" tooltip="" display=""/>
    <hyperlink ref="L3021" r:id="rId6037" location="" tooltip="" display=""/>
    <hyperlink ref="R3021" r:id="rId6038" location="" tooltip="" display=""/>
    <hyperlink ref="K3023" r:id="rId6039" location="" tooltip="" display=""/>
    <hyperlink ref="L3023" r:id="rId6040" location="" tooltip="" display=""/>
    <hyperlink ref="Q3023" r:id="rId6041" location="" tooltip="" display=""/>
    <hyperlink ref="R3023" r:id="rId6042" location="" tooltip="" display=""/>
    <hyperlink ref="L3024" r:id="rId6043" location="" tooltip="" display=""/>
    <hyperlink ref="R3024" r:id="rId6044" location="" tooltip="" display=""/>
    <hyperlink ref="K3026" r:id="rId6045" location="" tooltip="" display=""/>
    <hyperlink ref="L3026" r:id="rId6046" location="" tooltip="" display=""/>
    <hyperlink ref="Q3026" r:id="rId6047" location="" tooltip="" display=""/>
    <hyperlink ref="R3026" r:id="rId6048" location="" tooltip="" display=""/>
    <hyperlink ref="L3028" r:id="rId6049" location="" tooltip="" display=""/>
    <hyperlink ref="R3028" r:id="rId6050" location="" tooltip="" display=""/>
    <hyperlink ref="K3029" r:id="rId6051" location="" tooltip="" display=""/>
    <hyperlink ref="L3029" r:id="rId6052" location="" tooltip="" display=""/>
    <hyperlink ref="Q3029" r:id="rId6053" location="" tooltip="" display=""/>
    <hyperlink ref="R3029" r:id="rId6054" location="" tooltip="" display=""/>
    <hyperlink ref="L3030" r:id="rId6055" location="" tooltip="" display=""/>
    <hyperlink ref="R3030" r:id="rId6056" location="" tooltip="" display=""/>
    <hyperlink ref="K3032" r:id="rId6057" location="" tooltip="" display=""/>
    <hyperlink ref="L3032" r:id="rId6058" location="" tooltip="" display=""/>
    <hyperlink ref="Q3032" r:id="rId6059" location="" tooltip="" display=""/>
    <hyperlink ref="R3032" r:id="rId6060" location="" tooltip="" display=""/>
    <hyperlink ref="L3034" r:id="rId6061" location="" tooltip="" display=""/>
    <hyperlink ref="R3034" r:id="rId6062" location="" tooltip="" display=""/>
    <hyperlink ref="K3035" r:id="rId6063" location="" tooltip="" display=""/>
    <hyperlink ref="L3035" r:id="rId6064" location="" tooltip="" display=""/>
    <hyperlink ref="Q3035" r:id="rId6065" location="" tooltip="" display=""/>
    <hyperlink ref="R3035" r:id="rId6066" location="" tooltip="" display=""/>
    <hyperlink ref="L3036" r:id="rId6067" location="" tooltip="" display=""/>
    <hyperlink ref="R3036" r:id="rId6068" location="" tooltip="" display=""/>
    <hyperlink ref="L3038" r:id="rId6069" location="" tooltip="" display=""/>
    <hyperlink ref="R3038" r:id="rId6070" location="" tooltip="" display=""/>
    <hyperlink ref="K3039" r:id="rId6071" location="" tooltip="" display=""/>
    <hyperlink ref="L3039" r:id="rId6072" location="" tooltip="" display=""/>
    <hyperlink ref="Q3039" r:id="rId6073" location="" tooltip="" display=""/>
    <hyperlink ref="R3039" r:id="rId6074" location="" tooltip="" display=""/>
    <hyperlink ref="L3040" r:id="rId6075" location="" tooltip="" display=""/>
    <hyperlink ref="R3040" r:id="rId6076" location="" tooltip="" display=""/>
    <hyperlink ref="L3042" r:id="rId6077" location="" tooltip="" display=""/>
    <hyperlink ref="R3042" r:id="rId6078" location="" tooltip="" display=""/>
    <hyperlink ref="K3043" r:id="rId6079" location="" tooltip="" display=""/>
    <hyperlink ref="L3043" r:id="rId6080" location="" tooltip="" display=""/>
    <hyperlink ref="Q3043" r:id="rId6081" location="" tooltip="" display=""/>
    <hyperlink ref="R3043" r:id="rId6082" location="" tooltip="" display=""/>
    <hyperlink ref="L3044" r:id="rId6083" location="" tooltip="" display=""/>
    <hyperlink ref="R3044" r:id="rId6084" location="" tooltip="" display=""/>
    <hyperlink ref="L3045" r:id="rId6085" location="" tooltip="" display=""/>
    <hyperlink ref="R3045" r:id="rId6086" location="" tooltip="" display=""/>
    <hyperlink ref="K3047" r:id="rId6087" location="" tooltip="" display=""/>
    <hyperlink ref="L3047" r:id="rId6088" location="" tooltip="" display=""/>
    <hyperlink ref="Q3047" r:id="rId6089" location="" tooltip="" display=""/>
    <hyperlink ref="R3047" r:id="rId6090" location="" tooltip="" display=""/>
    <hyperlink ref="L3048" r:id="rId6091" location="" tooltip="" display=""/>
    <hyperlink ref="R3048" r:id="rId6092" location="" tooltip="" display=""/>
    <hyperlink ref="L3050" r:id="rId6093" location="" tooltip="" display=""/>
    <hyperlink ref="R3050" r:id="rId6094" location="" tooltip="" display=""/>
    <hyperlink ref="L3051" r:id="rId6095" location="" tooltip="" display=""/>
    <hyperlink ref="R3051" r:id="rId6096" location="" tooltip="" display=""/>
    <hyperlink ref="K3052" r:id="rId6097" location="" tooltip="" display=""/>
    <hyperlink ref="L3052" r:id="rId6098" location="" tooltip="" display=""/>
    <hyperlink ref="Q3052" r:id="rId6099" location="" tooltip="" display=""/>
    <hyperlink ref="R3052" r:id="rId6100" location="" tooltip="" display=""/>
    <hyperlink ref="L3053" r:id="rId6101" location="" tooltip="" display=""/>
    <hyperlink ref="R3053" r:id="rId6102" location="" tooltip="" display=""/>
    <hyperlink ref="L3054" r:id="rId6103" location="" tooltip="" display=""/>
    <hyperlink ref="R3054" r:id="rId6104" location="" tooltip="" display=""/>
    <hyperlink ref="L3055" r:id="rId6105" location="" tooltip="" display=""/>
    <hyperlink ref="R3055" r:id="rId6106" location="" tooltip="" display=""/>
    <hyperlink ref="K3057" r:id="rId6107" location="" tooltip="" display=""/>
    <hyperlink ref="L3057" r:id="rId6108" location="" tooltip="" display=""/>
    <hyperlink ref="Q3057" r:id="rId6109" location="" tooltip="" display=""/>
    <hyperlink ref="R3057" r:id="rId6110" location="" tooltip="" display=""/>
    <hyperlink ref="L3059" r:id="rId6111" location="" tooltip="" display=""/>
    <hyperlink ref="R3059" r:id="rId6112" location="" tooltip="" display=""/>
    <hyperlink ref="K3060" r:id="rId6113" location="" tooltip="" display=""/>
    <hyperlink ref="L3060" r:id="rId6114" location="" tooltip="" display=""/>
    <hyperlink ref="Q3060" r:id="rId6115" location="" tooltip="" display=""/>
    <hyperlink ref="R3060" r:id="rId6116" location="" tooltip="" display=""/>
    <hyperlink ref="L3061" r:id="rId6117" location="" tooltip="" display=""/>
    <hyperlink ref="R3061" r:id="rId6118" location="" tooltip="" display=""/>
    <hyperlink ref="L3062" r:id="rId6119" location="" tooltip="" display=""/>
    <hyperlink ref="R3062" r:id="rId6120" location="" tooltip="" display=""/>
    <hyperlink ref="K3064" r:id="rId6121" location="" tooltip="" display=""/>
    <hyperlink ref="L3064" r:id="rId6122" location="" tooltip="" display=""/>
    <hyperlink ref="Q3064" r:id="rId6123" location="" tooltip="" display=""/>
    <hyperlink ref="R3064" r:id="rId6124" location="" tooltip="" display=""/>
    <hyperlink ref="K3066" r:id="rId6125" location="" tooltip="" display=""/>
    <hyperlink ref="L3066" r:id="rId6126" location="" tooltip="" display=""/>
    <hyperlink ref="Q3066" r:id="rId6127" location="" tooltip="" display=""/>
    <hyperlink ref="R3066" r:id="rId6128" location="" tooltip="" display=""/>
    <hyperlink ref="L3068" r:id="rId6129" location="" tooltip="" display=""/>
    <hyperlink ref="R3068" r:id="rId6130" location="" tooltip="" display=""/>
    <hyperlink ref="K3069" r:id="rId6131" location="" tooltip="" display=""/>
    <hyperlink ref="L3069" r:id="rId6132" location="" tooltip="" display=""/>
    <hyperlink ref="Q3069" r:id="rId6133" location="" tooltip="" display=""/>
    <hyperlink ref="R3069" r:id="rId6134" location="" tooltip="" display=""/>
    <hyperlink ref="L3070" r:id="rId6135" location="" tooltip="" display=""/>
    <hyperlink ref="R3070" r:id="rId6136" location="" tooltip="" display=""/>
    <hyperlink ref="L3071" r:id="rId6137" location="" tooltip="" display=""/>
    <hyperlink ref="R3071" r:id="rId6138" location="" tooltip="" display=""/>
    <hyperlink ref="L3073" r:id="rId6139" location="" tooltip="" display=""/>
    <hyperlink ref="R3073" r:id="rId6140" location="" tooltip="" display=""/>
    <hyperlink ref="L3074" r:id="rId6141" location="" tooltip="" display=""/>
    <hyperlink ref="R3074" r:id="rId6142" location="" tooltip="" display=""/>
    <hyperlink ref="K3075" r:id="rId6143" location="" tooltip="" display=""/>
    <hyperlink ref="L3075" r:id="rId6144" location="" tooltip="" display=""/>
    <hyperlink ref="Q3075" r:id="rId6145" location="" tooltip="" display=""/>
    <hyperlink ref="R3075" r:id="rId6146" location="" tooltip="" display=""/>
    <hyperlink ref="L3076" r:id="rId6147" location="" tooltip="" display=""/>
    <hyperlink ref="R3076" r:id="rId6148" location="" tooltip="" display=""/>
    <hyperlink ref="L3077" r:id="rId6149" location="" tooltip="" display=""/>
    <hyperlink ref="R3077" r:id="rId6150" location="" tooltip="" display=""/>
    <hyperlink ref="L3078" r:id="rId6151" location="" tooltip="" display=""/>
    <hyperlink ref="R3078" r:id="rId6152" location="" tooltip="" display=""/>
    <hyperlink ref="L3080" r:id="rId6153" location="" tooltip="" display=""/>
    <hyperlink ref="R3080" r:id="rId6154" location="" tooltip="" display=""/>
    <hyperlink ref="L3081" r:id="rId6155" location="" tooltip="" display=""/>
    <hyperlink ref="R3081" r:id="rId6156" location="" tooltip="" display=""/>
    <hyperlink ref="L3082" r:id="rId6157" location="" tooltip="" display=""/>
    <hyperlink ref="R3082" r:id="rId6158" location="" tooltip="" display=""/>
    <hyperlink ref="K3083" r:id="rId6159" location="" tooltip="" display=""/>
    <hyperlink ref="L3083" r:id="rId6160" location="" tooltip="" display=""/>
    <hyperlink ref="Q3083" r:id="rId6161" location="" tooltip="" display=""/>
    <hyperlink ref="R3083" r:id="rId6162" location="" tooltip="" display=""/>
    <hyperlink ref="L3084" r:id="rId6163" location="" tooltip="" display=""/>
    <hyperlink ref="R3084" r:id="rId6164" location="" tooltip="" display=""/>
    <hyperlink ref="L3085" r:id="rId6165" location="" tooltip="" display=""/>
    <hyperlink ref="R3085" r:id="rId6166" location="" tooltip="" display=""/>
    <hyperlink ref="L3086" r:id="rId6167" location="" tooltip="" display=""/>
    <hyperlink ref="R3086" r:id="rId6168" location="" tooltip="" display=""/>
    <hyperlink ref="L3088" r:id="rId6169" location="" tooltip="" display=""/>
    <hyperlink ref="R3088" r:id="rId6170" location="" tooltip="" display=""/>
    <hyperlink ref="L3089" r:id="rId6171" location="" tooltip="" display=""/>
    <hyperlink ref="R3089" r:id="rId6172" location="" tooltip="" display=""/>
    <hyperlink ref="K3090" r:id="rId6173" location="" tooltip="" display=""/>
    <hyperlink ref="L3090" r:id="rId6174" location="" tooltip="" display=""/>
    <hyperlink ref="Q3090" r:id="rId6175" location="" tooltip="" display=""/>
    <hyperlink ref="R3090" r:id="rId6176" location="" tooltip="" display=""/>
    <hyperlink ref="L3091" r:id="rId6177" location="" tooltip="" display=""/>
    <hyperlink ref="R3091" r:id="rId6178" location="" tooltip="" display=""/>
    <hyperlink ref="L3092" r:id="rId6179" location="" tooltip="" display=""/>
    <hyperlink ref="R3092" r:id="rId6180" location="" tooltip="" display=""/>
    <hyperlink ref="L3094" r:id="rId6181" location="" tooltip="" display=""/>
    <hyperlink ref="R3094" r:id="rId6182" location="" tooltip="" display=""/>
    <hyperlink ref="L3095" r:id="rId6183" location="" tooltip="" display=""/>
    <hyperlink ref="R3095" r:id="rId6184" location="" tooltip="" display=""/>
    <hyperlink ref="K3096" r:id="rId6185" location="" tooltip="" display=""/>
    <hyperlink ref="L3096" r:id="rId6186" location="" tooltip="" display=""/>
    <hyperlink ref="Q3096" r:id="rId6187" location="" tooltip="" display=""/>
    <hyperlink ref="R3096" r:id="rId6188" location="" tooltip="" display=""/>
    <hyperlink ref="L3097" r:id="rId6189" location="" tooltip="" display=""/>
    <hyperlink ref="R3097" r:id="rId6190" location="" tooltip="" display=""/>
    <hyperlink ref="L3098" r:id="rId6191" location="" tooltip="" display=""/>
    <hyperlink ref="R3098" r:id="rId6192" location="" tooltip="" display=""/>
    <hyperlink ref="L3099" r:id="rId6193" location="" tooltip="" display=""/>
    <hyperlink ref="R3099" r:id="rId6194" location="" tooltip="" display=""/>
    <hyperlink ref="L3101" r:id="rId6195" location="" tooltip="" display=""/>
    <hyperlink ref="R3101" r:id="rId6196" location="" tooltip="" display=""/>
    <hyperlink ref="L3102" r:id="rId6197" location="" tooltip="" display=""/>
    <hyperlink ref="R3102" r:id="rId6198" location="" tooltip="" display=""/>
    <hyperlink ref="L3103" r:id="rId6199" location="" tooltip="" display=""/>
    <hyperlink ref="R3103" r:id="rId6200" location="" tooltip="" display=""/>
    <hyperlink ref="K3104" r:id="rId6201" location="" tooltip="" display=""/>
    <hyperlink ref="L3104" r:id="rId6202" location="" tooltip="" display=""/>
    <hyperlink ref="Q3104" r:id="rId6203" location="" tooltip="" display=""/>
    <hyperlink ref="R3104" r:id="rId6204" location="" tooltip="" display=""/>
    <hyperlink ref="L3105" r:id="rId6205" location="" tooltip="" display=""/>
    <hyperlink ref="R3105" r:id="rId6206" location="" tooltip="" display=""/>
    <hyperlink ref="L3106" r:id="rId6207" location="" tooltip="" display=""/>
    <hyperlink ref="R3106" r:id="rId6208" location="" tooltip="" display=""/>
    <hyperlink ref="L3107" r:id="rId6209" location="" tooltip="" display=""/>
    <hyperlink ref="R3107" r:id="rId6210" location="" tooltip="" display=""/>
    <hyperlink ref="L3108" r:id="rId6211" location="" tooltip="" display=""/>
    <hyperlink ref="R3108" r:id="rId6212" location="" tooltip="" display=""/>
    <hyperlink ref="K3110" r:id="rId6213" location="" tooltip="" display=""/>
    <hyperlink ref="L3110" r:id="rId6214" location="" tooltip="" display=""/>
    <hyperlink ref="Q3110" r:id="rId6215" location="" tooltip="" display=""/>
    <hyperlink ref="R3110" r:id="rId6216" location="" tooltip="" display=""/>
    <hyperlink ref="L3111" r:id="rId6217" location="" tooltip="" display=""/>
    <hyperlink ref="R3111" r:id="rId6218" location="" tooltip="" display=""/>
    <hyperlink ref="K3113" r:id="rId6219" location="" tooltip="" display=""/>
    <hyperlink ref="L3113" r:id="rId6220" location="" tooltip="" display=""/>
    <hyperlink ref="Q3113" r:id="rId6221" location="" tooltip="" display=""/>
    <hyperlink ref="R3113" r:id="rId6222" location="" tooltip="" display=""/>
    <hyperlink ref="L3115" r:id="rId6223" location="" tooltip="" display=""/>
    <hyperlink ref="R3115" r:id="rId6224" location="" tooltip="" display=""/>
    <hyperlink ref="K3116" r:id="rId6225" location="" tooltip="" display=""/>
    <hyperlink ref="L3116" r:id="rId6226" location="" tooltip="" display=""/>
    <hyperlink ref="Q3116" r:id="rId6227" location="" tooltip="" display=""/>
    <hyperlink ref="R3116" r:id="rId6228" location="" tooltip="" display=""/>
    <hyperlink ref="L3117" r:id="rId6229" location="" tooltip="" display=""/>
    <hyperlink ref="R3117" r:id="rId6230" location="" tooltip="" display=""/>
    <hyperlink ref="L3118" r:id="rId6231" location="" tooltip="" display=""/>
    <hyperlink ref="R3118" r:id="rId6232" location="" tooltip="" display=""/>
    <hyperlink ref="L3120" r:id="rId6233" location="" tooltip="" display=""/>
    <hyperlink ref="R3120" r:id="rId6234" location="" tooltip="" display=""/>
    <hyperlink ref="K3121" r:id="rId6235" location="" tooltip="" display=""/>
    <hyperlink ref="L3121" r:id="rId6236" location="" tooltip="" display=""/>
    <hyperlink ref="Q3121" r:id="rId6237" location="" tooltip="" display=""/>
    <hyperlink ref="R3121" r:id="rId6238" location="" tooltip="" display=""/>
    <hyperlink ref="L3122" r:id="rId6239" location="" tooltip="" display=""/>
    <hyperlink ref="R3122" r:id="rId6240" location="" tooltip="" display=""/>
    <hyperlink ref="L3123" r:id="rId6241" location="" tooltip="" display=""/>
    <hyperlink ref="R3123" r:id="rId6242" location="" tooltip="" display=""/>
    <hyperlink ref="L3125" r:id="rId6243" location="" tooltip="" display=""/>
    <hyperlink ref="R3125" r:id="rId6244" location="" tooltip="" display=""/>
    <hyperlink ref="K3126" r:id="rId6245" location="" tooltip="" display=""/>
    <hyperlink ref="L3126" r:id="rId6246" location="" tooltip="" display=""/>
    <hyperlink ref="Q3126" r:id="rId6247" location="" tooltip="" display=""/>
    <hyperlink ref="R3126" r:id="rId6248" location="" tooltip="" display=""/>
    <hyperlink ref="L3127" r:id="rId6249" location="" tooltip="" display=""/>
    <hyperlink ref="R3127" r:id="rId6250" location="" tooltip="" display=""/>
    <hyperlink ref="L3128" r:id="rId6251" location="" tooltip="" display=""/>
    <hyperlink ref="R3128" r:id="rId6252" location="" tooltip="" display=""/>
    <hyperlink ref="L3130" r:id="rId6253" location="" tooltip="" display=""/>
    <hyperlink ref="R3130" r:id="rId6254" location="" tooltip="" display=""/>
    <hyperlink ref="K3131" r:id="rId6255" location="" tooltip="" display=""/>
    <hyperlink ref="L3131" r:id="rId6256" location="" tooltip="" display=""/>
    <hyperlink ref="Q3131" r:id="rId6257" location="" tooltip="" display=""/>
    <hyperlink ref="R3131" r:id="rId6258" location="" tooltip="" display=""/>
    <hyperlink ref="L3132" r:id="rId6259" location="" tooltip="" display=""/>
    <hyperlink ref="R3132" r:id="rId6260" location="" tooltip="" display=""/>
    <hyperlink ref="K3134" r:id="rId6261" location="" tooltip="" display=""/>
    <hyperlink ref="L3134" r:id="rId6262" location="" tooltip="" display=""/>
    <hyperlink ref="Q3134" r:id="rId6263" location="" tooltip="" display=""/>
    <hyperlink ref="R3134" r:id="rId6264" location="" tooltip="" display=""/>
    <hyperlink ref="L3136" r:id="rId6265" location="" tooltip="" display=""/>
    <hyperlink ref="R3136" r:id="rId6266" location="" tooltip="" display=""/>
    <hyperlink ref="K3137" r:id="rId6267" location="" tooltip="" display=""/>
    <hyperlink ref="L3137" r:id="rId6268" location="" tooltip="" display=""/>
    <hyperlink ref="Q3137" r:id="rId6269" location="" tooltip="" display=""/>
    <hyperlink ref="R3137" r:id="rId6270" location="" tooltip="" display=""/>
    <hyperlink ref="L3138" r:id="rId6271" location="" tooltip="" display=""/>
    <hyperlink ref="R3138" r:id="rId6272" location="" tooltip="" display=""/>
    <hyperlink ref="K3140" r:id="rId6273" location="" tooltip="" display=""/>
    <hyperlink ref="L3140" r:id="rId6274" location="" tooltip="" display=""/>
    <hyperlink ref="Q3140" r:id="rId6275" location="" tooltip="" display=""/>
    <hyperlink ref="R3140" r:id="rId6276" location="" tooltip="" display=""/>
    <hyperlink ref="L3141" r:id="rId6277" location="" tooltip="" display=""/>
    <hyperlink ref="R3141" r:id="rId6278" location="" tooltip="" display=""/>
    <hyperlink ref="K3143" r:id="rId6279" location="" tooltip="" display=""/>
    <hyperlink ref="L3143" r:id="rId6280" location="" tooltip="" display=""/>
    <hyperlink ref="Q3143" r:id="rId6281" location="" tooltip="" display=""/>
    <hyperlink ref="R3143" r:id="rId6282" location="" tooltip="" display=""/>
    <hyperlink ref="L3145" r:id="rId6283" location="" tooltip="" display=""/>
    <hyperlink ref="R3145" r:id="rId6284" location="" tooltip="" display=""/>
    <hyperlink ref="L3146" r:id="rId6285" location="" tooltip="" display=""/>
    <hyperlink ref="R3146" r:id="rId6286" location="" tooltip="" display=""/>
    <hyperlink ref="K3147" r:id="rId6287" location="" tooltip="" display=""/>
    <hyperlink ref="L3147" r:id="rId6288" location="" tooltip="" display=""/>
    <hyperlink ref="Q3147" r:id="rId6289" location="" tooltip="" display=""/>
    <hyperlink ref="R3147" r:id="rId6290" location="" tooltip="" display=""/>
    <hyperlink ref="L3148" r:id="rId6291" location="" tooltip="" display=""/>
    <hyperlink ref="R3148" r:id="rId6292" location="" tooltip="" display=""/>
    <hyperlink ref="L3149" r:id="rId6293" location="" tooltip="" display=""/>
    <hyperlink ref="R3149" r:id="rId6294" location="" tooltip="" display=""/>
    <hyperlink ref="L3151" r:id="rId6295" location="" tooltip="" display=""/>
    <hyperlink ref="R3151" r:id="rId6296" location="" tooltip="" display=""/>
    <hyperlink ref="K3152" r:id="rId6297" location="" tooltip="" display=""/>
    <hyperlink ref="L3152" r:id="rId6298" location="" tooltip="" display=""/>
    <hyperlink ref="Q3152" r:id="rId6299" location="" tooltip="" display=""/>
    <hyperlink ref="R3152" r:id="rId6300" location="" tooltip="" display=""/>
    <hyperlink ref="L3153" r:id="rId6301" location="" tooltip="" display=""/>
    <hyperlink ref="R3153" r:id="rId6302" location="" tooltip="" display=""/>
    <hyperlink ref="L3155" r:id="rId6303" location="" tooltip="" display=""/>
    <hyperlink ref="R3155" r:id="rId6304" location="" tooltip="" display=""/>
    <hyperlink ref="L3156" r:id="rId6305" location="" tooltip="" display=""/>
    <hyperlink ref="R3156" r:id="rId6306" location="" tooltip="" display=""/>
    <hyperlink ref="K3157" r:id="rId6307" location="" tooltip="" display=""/>
    <hyperlink ref="L3157" r:id="rId6308" location="" tooltip="" display=""/>
    <hyperlink ref="Q3157" r:id="rId6309" location="" tooltip="" display=""/>
    <hyperlink ref="R3157" r:id="rId6310" location="" tooltip="" display=""/>
    <hyperlink ref="L3158" r:id="rId6311" location="" tooltip="" display=""/>
    <hyperlink ref="R3158" r:id="rId6312" location="" tooltip="" display=""/>
    <hyperlink ref="L3159" r:id="rId6313" location="" tooltip="" display=""/>
    <hyperlink ref="R3159" r:id="rId6314" location="" tooltip="" display=""/>
    <hyperlink ref="L3160" r:id="rId6315" location="" tooltip="" display=""/>
    <hyperlink ref="R3160" r:id="rId6316" location="" tooltip="" display=""/>
    <hyperlink ref="L3162" r:id="rId6317" location="" tooltip="" display=""/>
    <hyperlink ref="R3162" r:id="rId6318" location="" tooltip="" display=""/>
    <hyperlink ref="K3163" r:id="rId6319" location="" tooltip="" display=""/>
    <hyperlink ref="L3163" r:id="rId6320" location="" tooltip="" display=""/>
    <hyperlink ref="Q3163" r:id="rId6321" location="" tooltip="" display=""/>
    <hyperlink ref="R3163" r:id="rId6322" location="" tooltip="" display=""/>
    <hyperlink ref="L3164" r:id="rId6323" location="" tooltip="" display=""/>
    <hyperlink ref="R3164" r:id="rId6324" location="" tooltip="" display=""/>
    <hyperlink ref="K3166" r:id="rId6325" location="" tooltip="" display=""/>
    <hyperlink ref="L3166" r:id="rId6326" location="" tooltip="" display=""/>
    <hyperlink ref="Q3166" r:id="rId6327" location="" tooltip="" display=""/>
    <hyperlink ref="R3166" r:id="rId6328" location="" tooltip="" display=""/>
    <hyperlink ref="L3167" r:id="rId6329" location="" tooltip="" display=""/>
    <hyperlink ref="R3167" r:id="rId6330" location="" tooltip="" display=""/>
    <hyperlink ref="L3169" r:id="rId6331" location="" tooltip="" display=""/>
    <hyperlink ref="R3169" r:id="rId6332" location="" tooltip="" display=""/>
    <hyperlink ref="K3170" r:id="rId6333" location="" tooltip="" display=""/>
    <hyperlink ref="L3170" r:id="rId6334" location="" tooltip="" display=""/>
    <hyperlink ref="Q3170" r:id="rId6335" location="" tooltip="" display=""/>
    <hyperlink ref="R3170" r:id="rId6336" location="" tooltip="" display=""/>
    <hyperlink ref="L3171" r:id="rId6337" location="" tooltip="" display=""/>
    <hyperlink ref="R3171" r:id="rId6338" location="" tooltip="" display=""/>
    <hyperlink ref="L3172" r:id="rId6339" location="" tooltip="" display=""/>
    <hyperlink ref="R3172" r:id="rId6340" location="" tooltip="" display=""/>
    <hyperlink ref="L3174" r:id="rId6341" location="" tooltip="" display=""/>
    <hyperlink ref="R3174" r:id="rId6342" location="" tooltip="" display=""/>
    <hyperlink ref="L3175" r:id="rId6343" location="" tooltip="" display=""/>
    <hyperlink ref="R3175" r:id="rId6344" location="" tooltip="" display=""/>
    <hyperlink ref="K3176" r:id="rId6345" location="" tooltip="" display=""/>
    <hyperlink ref="L3176" r:id="rId6346" location="" tooltip="" display=""/>
    <hyperlink ref="Q3176" r:id="rId6347" location="" tooltip="" display=""/>
    <hyperlink ref="R3176" r:id="rId6348" location="" tooltip="" display=""/>
    <hyperlink ref="L3177" r:id="rId6349" location="" tooltip="" display=""/>
    <hyperlink ref="R3177" r:id="rId6350" location="" tooltip="" display=""/>
    <hyperlink ref="L3178" r:id="rId6351" location="" tooltip="" display=""/>
    <hyperlink ref="R3178" r:id="rId6352" location="" tooltip="" display=""/>
    <hyperlink ref="L3180" r:id="rId6353" location="" tooltip="" display=""/>
    <hyperlink ref="R3180" r:id="rId6354" location="" tooltip="" display=""/>
    <hyperlink ref="K3181" r:id="rId6355" location="" tooltip="" display=""/>
    <hyperlink ref="L3181" r:id="rId6356" location="" tooltip="" display=""/>
    <hyperlink ref="Q3181" r:id="rId6357" location="" tooltip="" display=""/>
    <hyperlink ref="R3181" r:id="rId6358" location="" tooltip="" display=""/>
    <hyperlink ref="L3182" r:id="rId6359" location="" tooltip="" display=""/>
    <hyperlink ref="R3182" r:id="rId6360" location="" tooltip="" display=""/>
    <hyperlink ref="L3183" r:id="rId6361" location="" tooltip="" display=""/>
    <hyperlink ref="R3183" r:id="rId6362" location="" tooltip="" display=""/>
    <hyperlink ref="L3185" r:id="rId6363" location="" tooltip="" display=""/>
    <hyperlink ref="R3185" r:id="rId6364" location="" tooltip="" display=""/>
    <hyperlink ref="L3186" r:id="rId6365" location="" tooltip="" display=""/>
    <hyperlink ref="R3186" r:id="rId6366" location="" tooltip="" display=""/>
    <hyperlink ref="L3187" r:id="rId6367" location="" tooltip="" display=""/>
    <hyperlink ref="R3187" r:id="rId6368" location="" tooltip="" display=""/>
    <hyperlink ref="K3188" r:id="rId6369" location="" tooltip="" display=""/>
    <hyperlink ref="L3188" r:id="rId6370" location="" tooltip="" display=""/>
    <hyperlink ref="Q3188" r:id="rId6371" location="" tooltip="" display=""/>
    <hyperlink ref="R3188" r:id="rId6372" location="" tooltip="" display=""/>
    <hyperlink ref="L3189" r:id="rId6373" location="" tooltip="" display=""/>
    <hyperlink ref="R3189" r:id="rId6374" location="" tooltip="" display=""/>
    <hyperlink ref="L3190" r:id="rId6375" location="" tooltip="" display=""/>
    <hyperlink ref="R3190" r:id="rId6376" location="" tooltip="" display=""/>
    <hyperlink ref="L3191" r:id="rId6377" location="" tooltip="" display=""/>
    <hyperlink ref="R3191" r:id="rId6378" location="" tooltip="" display=""/>
    <hyperlink ref="L3193" r:id="rId6379" location="" tooltip="" display=""/>
    <hyperlink ref="R3193" r:id="rId6380" location="" tooltip="" display=""/>
    <hyperlink ref="L3194" r:id="rId6381" location="" tooltip="" display=""/>
    <hyperlink ref="R3194" r:id="rId6382" location="" tooltip="" display=""/>
    <hyperlink ref="K3195" r:id="rId6383" location="" tooltip="" display=""/>
    <hyperlink ref="L3195" r:id="rId6384" location="" tooltip="" display=""/>
    <hyperlink ref="Q3195" r:id="rId6385" location="" tooltip="" display=""/>
    <hyperlink ref="R3195" r:id="rId6386" location="" tooltip="" display=""/>
    <hyperlink ref="L3196" r:id="rId6387" location="" tooltip="" display=""/>
    <hyperlink ref="R3196" r:id="rId6388" location="" tooltip="" display=""/>
    <hyperlink ref="L3197" r:id="rId6389" location="" tooltip="" display=""/>
    <hyperlink ref="R3197" r:id="rId6390" location="" tooltip="" display=""/>
    <hyperlink ref="L3199" r:id="rId6391" location="" tooltip="" display=""/>
    <hyperlink ref="R3199" r:id="rId6392" location="" tooltip="" display=""/>
    <hyperlink ref="L3200" r:id="rId6393" location="" tooltip="" display=""/>
    <hyperlink ref="R3200" r:id="rId6394" location="" tooltip="" display=""/>
    <hyperlink ref="K3201" r:id="rId6395" location="" tooltip="" display=""/>
    <hyperlink ref="L3201" r:id="rId6396" location="" tooltip="" display=""/>
    <hyperlink ref="Q3201" r:id="rId6397" location="" tooltip="" display=""/>
    <hyperlink ref="R3201" r:id="rId6398" location="" tooltip="" display=""/>
    <hyperlink ref="L3202" r:id="rId6399" location="" tooltip="" display=""/>
    <hyperlink ref="R3202" r:id="rId6400" location="" tooltip="" display=""/>
    <hyperlink ref="L3203" r:id="rId6401" location="" tooltip="" display=""/>
    <hyperlink ref="R3203" r:id="rId6402" location="" tooltip="" display=""/>
    <hyperlink ref="L3204" r:id="rId6403" location="" tooltip="" display=""/>
    <hyperlink ref="R3204" r:id="rId6404" location="" tooltip="" display=""/>
    <hyperlink ref="L3206" r:id="rId6405" location="" tooltip="" display=""/>
    <hyperlink ref="R3206" r:id="rId6406" location="" tooltip="" display=""/>
    <hyperlink ref="L3207" r:id="rId6407" location="" tooltip="" display=""/>
    <hyperlink ref="R3207" r:id="rId6408" location="" tooltip="" display=""/>
    <hyperlink ref="K3208" r:id="rId6409" location="" tooltip="" display=""/>
    <hyperlink ref="L3208" r:id="rId6410" location="" tooltip="" display=""/>
    <hyperlink ref="Q3208" r:id="rId6411" location="" tooltip="" display=""/>
    <hyperlink ref="R3208" r:id="rId6412" location="" tooltip="" display=""/>
    <hyperlink ref="L3209" r:id="rId6413" location="" tooltip="" display=""/>
    <hyperlink ref="R3209" r:id="rId6414" location="" tooltip="" display=""/>
    <hyperlink ref="L3210" r:id="rId6415" location="" tooltip="" display=""/>
    <hyperlink ref="R3210" r:id="rId6416" location="" tooltip="" display=""/>
    <hyperlink ref="K3212" r:id="rId6417" location="" tooltip="" display=""/>
    <hyperlink ref="L3212" r:id="rId6418" location="" tooltip="" display=""/>
    <hyperlink ref="Q3212" r:id="rId6419" location="" tooltip="" display=""/>
    <hyperlink ref="R3212" r:id="rId6420" location="" tooltip="" display=""/>
    <hyperlink ref="L3213" r:id="rId6421" location="" tooltip="" display=""/>
    <hyperlink ref="R3213" r:id="rId6422" location="" tooltip="" display=""/>
    <hyperlink ref="K3215" r:id="rId6423" location="" tooltip="" display=""/>
    <hyperlink ref="L3215" r:id="rId6424" location="" tooltip="" display=""/>
    <hyperlink ref="Q3215" r:id="rId6425" location="" tooltip="" display=""/>
    <hyperlink ref="R3215" r:id="rId6426" location="" tooltip="" display=""/>
    <hyperlink ref="L3217" r:id="rId6427" location="" tooltip="" display=""/>
    <hyperlink ref="R3217" r:id="rId6428" location="" tooltip="" display=""/>
    <hyperlink ref="L3218" r:id="rId6429" location="" tooltip="" display=""/>
    <hyperlink ref="R3218" r:id="rId6430" location="" tooltip="" display=""/>
    <hyperlink ref="K3219" r:id="rId6431" location="" tooltip="" display=""/>
    <hyperlink ref="L3219" r:id="rId6432" location="" tooltip="" display=""/>
    <hyperlink ref="Q3219" r:id="rId6433" location="" tooltip="" display=""/>
    <hyperlink ref="R3219" r:id="rId6434" location="" tooltip="" display=""/>
    <hyperlink ref="L3220" r:id="rId6435" location="" tooltip="" display=""/>
    <hyperlink ref="R3220" r:id="rId6436" location="" tooltip="" display=""/>
    <hyperlink ref="L3221" r:id="rId6437" location="" tooltip="" display=""/>
    <hyperlink ref="R3221" r:id="rId6438" location="" tooltip="" display=""/>
    <hyperlink ref="L3223" r:id="rId6439" location="" tooltip="" display=""/>
    <hyperlink ref="R3223" r:id="rId6440" location="" tooltip="" display=""/>
    <hyperlink ref="L3224" r:id="rId6441" location="" tooltip="" display=""/>
    <hyperlink ref="R3224" r:id="rId6442" location="" tooltip="" display=""/>
    <hyperlink ref="K3225" r:id="rId6443" location="" tooltip="" display=""/>
    <hyperlink ref="L3225" r:id="rId6444" location="" tooltip="" display=""/>
    <hyperlink ref="Q3225" r:id="rId6445" location="" tooltip="" display=""/>
    <hyperlink ref="R3225" r:id="rId6446" location="" tooltip="" display=""/>
    <hyperlink ref="L3226" r:id="rId6447" location="" tooltip="" display=""/>
    <hyperlink ref="R3226" r:id="rId6448" location="" tooltip="" display=""/>
    <hyperlink ref="L3227" r:id="rId6449" location="" tooltip="" display=""/>
    <hyperlink ref="R3227" r:id="rId6450" location="" tooltip="" display=""/>
    <hyperlink ref="L3229" r:id="rId6451" location="" tooltip="" display=""/>
    <hyperlink ref="R3229" r:id="rId6452" location="" tooltip="" display=""/>
    <hyperlink ref="K3230" r:id="rId6453" location="" tooltip="" display=""/>
    <hyperlink ref="L3230" r:id="rId6454" location="" tooltip="" display=""/>
    <hyperlink ref="Q3230" r:id="rId6455" location="" tooltip="" display=""/>
    <hyperlink ref="R3230" r:id="rId6456" location="" tooltip="" display=""/>
    <hyperlink ref="L3231" r:id="rId6457" location="" tooltip="" display=""/>
    <hyperlink ref="R3231" r:id="rId6458" location="" tooltip="" display=""/>
    <hyperlink ref="L3232" r:id="rId6459" location="" tooltip="" display=""/>
    <hyperlink ref="R3232" r:id="rId6460" location="" tooltip="" display=""/>
    <hyperlink ref="L3234" r:id="rId6461" location="" tooltip="" display=""/>
    <hyperlink ref="R3234" r:id="rId6462" location="" tooltip="" display=""/>
    <hyperlink ref="K3235" r:id="rId6463" location="" tooltip="" display=""/>
    <hyperlink ref="L3235" r:id="rId6464" location="" tooltip="" display=""/>
    <hyperlink ref="Q3235" r:id="rId6465" location="" tooltip="" display=""/>
    <hyperlink ref="R3235" r:id="rId6466" location="" tooltip="" display=""/>
    <hyperlink ref="L3236" r:id="rId6467" location="" tooltip="" display=""/>
    <hyperlink ref="R3236" r:id="rId6468" location="" tooltip="" display=""/>
    <hyperlink ref="L3237" r:id="rId6469" location="" tooltip="" display=""/>
    <hyperlink ref="R3237" r:id="rId6470" location="" tooltip="" display=""/>
    <hyperlink ref="L3239" r:id="rId6471" location="" tooltip="" display=""/>
    <hyperlink ref="R3239" r:id="rId6472" location="" tooltip="" display=""/>
    <hyperlink ref="L3240" r:id="rId6473" location="" tooltip="" display=""/>
    <hyperlink ref="R3240" r:id="rId6474" location="" tooltip="" display=""/>
    <hyperlink ref="L3241" r:id="rId6475" location="" tooltip="" display=""/>
    <hyperlink ref="R3241" r:id="rId6476" location="" tooltip="" display=""/>
    <hyperlink ref="L3242" r:id="rId6477" location="" tooltip="" display=""/>
    <hyperlink ref="R3242" r:id="rId6478" location="" tooltip="" display=""/>
    <hyperlink ref="K3243" r:id="rId6479" location="" tooltip="" display=""/>
    <hyperlink ref="L3243" r:id="rId6480" location="" tooltip="" display=""/>
    <hyperlink ref="Q3243" r:id="rId6481" location="" tooltip="" display=""/>
    <hyperlink ref="R3243" r:id="rId6482" location="" tooltip="" display=""/>
    <hyperlink ref="L3244" r:id="rId6483" location="" tooltip="" display=""/>
    <hyperlink ref="R3244" r:id="rId6484" location="" tooltip="" display=""/>
    <hyperlink ref="L3245" r:id="rId6485" location="" tooltip="" display=""/>
    <hyperlink ref="R3245" r:id="rId6486" location="" tooltip="" display=""/>
    <hyperlink ref="L3246" r:id="rId6487" location="" tooltip="" display=""/>
    <hyperlink ref="R3246" r:id="rId6488" location="" tooltip="" display=""/>
    <hyperlink ref="L3247" r:id="rId6489" location="" tooltip="" display=""/>
    <hyperlink ref="R3247" r:id="rId6490" location="" tooltip="" display=""/>
    <hyperlink ref="L3248" r:id="rId6491" location="" tooltip="" display=""/>
    <hyperlink ref="R3248" r:id="rId6492" location="" tooltip="" display=""/>
    <hyperlink ref="K3250" r:id="rId6493" location="" tooltip="" display=""/>
    <hyperlink ref="L3250" r:id="rId6494" location="" tooltip="" display=""/>
    <hyperlink ref="Q3250" r:id="rId6495" location="" tooltip="" display=""/>
    <hyperlink ref="R3250" r:id="rId6496" location="" tooltip="" display=""/>
    <hyperlink ref="L3251" r:id="rId6497" location="" tooltip="" display=""/>
    <hyperlink ref="R3251" r:id="rId6498" location="" tooltip="" display=""/>
    <hyperlink ref="L3253" r:id="rId6499" location="" tooltip="" display=""/>
    <hyperlink ref="R3253" r:id="rId6500" location="" tooltip="" display=""/>
    <hyperlink ref="K3254" r:id="rId6501" location="" tooltip="" display=""/>
    <hyperlink ref="L3254" r:id="rId6502" location="" tooltip="" display=""/>
    <hyperlink ref="Q3254" r:id="rId6503" location="" tooltip="" display=""/>
    <hyperlink ref="R3254" r:id="rId6504" location="" tooltip="" display=""/>
    <hyperlink ref="L3255" r:id="rId6505" location="" tooltip="" display=""/>
    <hyperlink ref="R3255" r:id="rId6506" location="" tooltip="" display=""/>
    <hyperlink ref="K3257" r:id="rId6507" location="" tooltip="" display=""/>
    <hyperlink ref="L3257" r:id="rId6508" location="" tooltip="" display=""/>
    <hyperlink ref="Q3257" r:id="rId6509" location="" tooltip="" display=""/>
    <hyperlink ref="R3257" r:id="rId6510" location="" tooltip="" display=""/>
    <hyperlink ref="K3259" r:id="rId6511" location="" tooltip="" display=""/>
    <hyperlink ref="L3259" r:id="rId6512" location="" tooltip="" display=""/>
    <hyperlink ref="Q3259" r:id="rId6513" location="" tooltip="" display=""/>
    <hyperlink ref="R3259" r:id="rId6514" location="" tooltip="" display=""/>
    <hyperlink ref="L3260" r:id="rId6515" location="" tooltip="" display=""/>
    <hyperlink ref="R3260" r:id="rId6516" location="" tooltip="" display=""/>
    <hyperlink ref="K3262" r:id="rId6517" location="" tooltip="" display=""/>
    <hyperlink ref="L3262" r:id="rId6518" location="" tooltip="" display=""/>
    <hyperlink ref="Q3262" r:id="rId6519" location="" tooltip="" display=""/>
    <hyperlink ref="R3262" r:id="rId6520" location="" tooltip="" display=""/>
    <hyperlink ref="L3263" r:id="rId6521" location="" tooltip="" display=""/>
    <hyperlink ref="R3263" r:id="rId6522" location="" tooltip="" display=""/>
    <hyperlink ref="K3265" r:id="rId6523" location="" tooltip="" display=""/>
    <hyperlink ref="L3265" r:id="rId6524" location="" tooltip="" display=""/>
    <hyperlink ref="Q3265" r:id="rId6525" location="" tooltip="" display=""/>
    <hyperlink ref="R3265" r:id="rId6526" location="" tooltip="" display=""/>
    <hyperlink ref="L3266" r:id="rId6527" location="" tooltip="" display=""/>
    <hyperlink ref="R3266" r:id="rId6528" location="" tooltip="" display=""/>
    <hyperlink ref="L3268" r:id="rId6529" location="" tooltip="" display=""/>
    <hyperlink ref="R3268" r:id="rId6530" location="" tooltip="" display=""/>
    <hyperlink ref="L3269" r:id="rId6531" location="" tooltip="" display=""/>
    <hyperlink ref="R3269" r:id="rId6532" location="" tooltip="" display=""/>
    <hyperlink ref="K3270" r:id="rId6533" location="" tooltip="" display=""/>
    <hyperlink ref="L3270" r:id="rId6534" location="" tooltip="" display=""/>
    <hyperlink ref="Q3270" r:id="rId6535" location="" tooltip="" display=""/>
    <hyperlink ref="R3270" r:id="rId6536" location="" tooltip="" display=""/>
    <hyperlink ref="L3271" r:id="rId6537" location="" tooltip="" display=""/>
    <hyperlink ref="R3271" r:id="rId6538" location="" tooltip="" display=""/>
    <hyperlink ref="L3272" r:id="rId6539" location="" tooltip="" display=""/>
    <hyperlink ref="R3272" r:id="rId6540" location="" tooltip="" display=""/>
    <hyperlink ref="L3273" r:id="rId6541" location="" tooltip="" display=""/>
    <hyperlink ref="R3273" r:id="rId6542" location="" tooltip="" display=""/>
    <hyperlink ref="L3275" r:id="rId6543" location="" tooltip="" display=""/>
    <hyperlink ref="R3275" r:id="rId6544" location="" tooltip="" display=""/>
    <hyperlink ref="L3276" r:id="rId6545" location="" tooltip="" display=""/>
    <hyperlink ref="R3276" r:id="rId6546" location="" tooltip="" display=""/>
    <hyperlink ref="L3277" r:id="rId6547" location="" tooltip="" display=""/>
    <hyperlink ref="R3277" r:id="rId6548" location="" tooltip="" display=""/>
    <hyperlink ref="L3278" r:id="rId6549" location="" tooltip="" display=""/>
    <hyperlink ref="R3278" r:id="rId6550" location="" tooltip="" display=""/>
    <hyperlink ref="L3279" r:id="rId6551" location="" tooltip="" display=""/>
    <hyperlink ref="R3279" r:id="rId6552" location="" tooltip="" display=""/>
    <hyperlink ref="L3280" r:id="rId6553" location="" tooltip="" display=""/>
    <hyperlink ref="R3280" r:id="rId6554" location="" tooltip="" display=""/>
    <hyperlink ref="L3281" r:id="rId6555" location="" tooltip="" display=""/>
    <hyperlink ref="R3281" r:id="rId6556" location="" tooltip="" display=""/>
    <hyperlink ref="K3282" r:id="rId6557" location="" tooltip="" display=""/>
    <hyperlink ref="L3282" r:id="rId6558" location="" tooltip="" display=""/>
    <hyperlink ref="Q3282" r:id="rId6559" location="" tooltip="" display=""/>
    <hyperlink ref="R3282" r:id="rId6560" location="" tooltip="" display=""/>
    <hyperlink ref="L3283" r:id="rId6561" location="" tooltip="" display=""/>
    <hyperlink ref="R3283" r:id="rId6562" location="" tooltip="" display=""/>
    <hyperlink ref="L3284" r:id="rId6563" location="" tooltip="" display=""/>
    <hyperlink ref="R3284" r:id="rId6564" location="" tooltip="" display=""/>
    <hyperlink ref="L3285" r:id="rId6565" location="" tooltip="" display=""/>
    <hyperlink ref="R3285" r:id="rId6566" location="" tooltip="" display=""/>
    <hyperlink ref="L3286" r:id="rId6567" location="" tooltip="" display=""/>
    <hyperlink ref="R3286" r:id="rId6568" location="" tooltip="" display=""/>
    <hyperlink ref="L3287" r:id="rId6569" location="" tooltip="" display=""/>
    <hyperlink ref="R3287" r:id="rId6570" location="" tooltip="" display=""/>
    <hyperlink ref="L3288" r:id="rId6571" location="" tooltip="" display=""/>
    <hyperlink ref="R3288" r:id="rId6572" location="" tooltip="" display=""/>
    <hyperlink ref="L3289" r:id="rId6573" location="" tooltip="" display=""/>
    <hyperlink ref="R3289" r:id="rId6574" location="" tooltip="" display=""/>
    <hyperlink ref="L3290" r:id="rId6575" location="" tooltip="" display=""/>
    <hyperlink ref="R3290" r:id="rId6576" location="" tooltip="" display=""/>
    <hyperlink ref="L3292" r:id="rId6577" location="" tooltip="" display=""/>
    <hyperlink ref="R3292" r:id="rId6578" location="" tooltip="" display=""/>
    <hyperlink ref="L3293" r:id="rId6579" location="" tooltip="" display=""/>
    <hyperlink ref="R3293" r:id="rId6580" location="" tooltip="" display=""/>
    <hyperlink ref="L3294" r:id="rId6581" location="" tooltip="" display=""/>
    <hyperlink ref="R3294" r:id="rId6582" location="" tooltip="" display=""/>
    <hyperlink ref="L3295" r:id="rId6583" location="" tooltip="" display=""/>
    <hyperlink ref="R3295" r:id="rId6584" location="" tooltip="" display=""/>
    <hyperlink ref="K3296" r:id="rId6585" location="" tooltip="" display=""/>
    <hyperlink ref="L3296" r:id="rId6586" location="" tooltip="" display=""/>
    <hyperlink ref="Q3296" r:id="rId6587" location="" tooltip="" display=""/>
    <hyperlink ref="R3296" r:id="rId6588" location="" tooltip="" display=""/>
    <hyperlink ref="L3297" r:id="rId6589" location="" tooltip="" display=""/>
    <hyperlink ref="R3297" r:id="rId6590" location="" tooltip="" display=""/>
    <hyperlink ref="L3298" r:id="rId6591" location="" tooltip="" display=""/>
    <hyperlink ref="R3298" r:id="rId6592" location="" tooltip="" display=""/>
    <hyperlink ref="L3299" r:id="rId6593" location="" tooltip="" display=""/>
    <hyperlink ref="R3299" r:id="rId6594" location="" tooltip="" display=""/>
    <hyperlink ref="L3300" r:id="rId6595" location="" tooltip="" display=""/>
    <hyperlink ref="R3300" r:id="rId6596" location="" tooltip="" display=""/>
    <hyperlink ref="L3302" r:id="rId6597" location="" tooltip="" display=""/>
    <hyperlink ref="R3302" r:id="rId6598" location="" tooltip="" display=""/>
    <hyperlink ref="L3303" r:id="rId6599" location="" tooltip="" display=""/>
    <hyperlink ref="R3303" r:id="rId6600" location="" tooltip="" display=""/>
    <hyperlink ref="K3304" r:id="rId6601" location="" tooltip="" display=""/>
    <hyperlink ref="L3304" r:id="rId6602" location="" tooltip="" display=""/>
    <hyperlink ref="Q3304" r:id="rId6603" location="" tooltip="" display=""/>
    <hyperlink ref="R3304" r:id="rId6604" location="" tooltip="" display=""/>
    <hyperlink ref="L3305" r:id="rId6605" location="" tooltip="" display=""/>
    <hyperlink ref="R3305" r:id="rId6606" location="" tooltip="" display=""/>
    <hyperlink ref="L3306" r:id="rId6607" location="" tooltip="" display=""/>
    <hyperlink ref="R3306" r:id="rId6608" location="" tooltip="" display=""/>
    <hyperlink ref="L3307" r:id="rId6609" location="" tooltip="" display=""/>
    <hyperlink ref="R3307" r:id="rId6610" location="" tooltip="" display=""/>
    <hyperlink ref="L3309" r:id="rId6611" location="" tooltip="" display=""/>
    <hyperlink ref="R3309" r:id="rId6612" location="" tooltip="" display=""/>
    <hyperlink ref="K3310" r:id="rId6613" location="" tooltip="" display=""/>
    <hyperlink ref="L3310" r:id="rId6614" location="" tooltip="" display=""/>
    <hyperlink ref="Q3310" r:id="rId6615" location="" tooltip="" display=""/>
    <hyperlink ref="R3310" r:id="rId6616" location="" tooltip="" display=""/>
    <hyperlink ref="L3311" r:id="rId6617" location="" tooltip="" display=""/>
    <hyperlink ref="R3311" r:id="rId6618" location="" tooltip="" display=""/>
    <hyperlink ref="L3313" r:id="rId6619" location="" tooltip="" display=""/>
    <hyperlink ref="R3313" r:id="rId6620" location="" tooltip="" display=""/>
    <hyperlink ref="K3314" r:id="rId6621" location="" tooltip="" display=""/>
    <hyperlink ref="L3314" r:id="rId6622" location="" tooltip="" display=""/>
    <hyperlink ref="Q3314" r:id="rId6623" location="" tooltip="" display=""/>
    <hyperlink ref="R3314" r:id="rId6624" location="" tooltip="" display=""/>
    <hyperlink ref="L3315" r:id="rId6625" location="" tooltip="" display=""/>
    <hyperlink ref="R3315" r:id="rId6626" location="" tooltip="" display=""/>
    <hyperlink ref="K3317" r:id="rId6627" location="" tooltip="" display=""/>
    <hyperlink ref="L3317" r:id="rId6628" location="" tooltip="" display=""/>
    <hyperlink ref="Q3317" r:id="rId6629" location="" tooltip="" display=""/>
    <hyperlink ref="R3317" r:id="rId6630" location="" tooltip="" display=""/>
    <hyperlink ref="L3319" r:id="rId6631" location="" tooltip="" display=""/>
    <hyperlink ref="R3319" r:id="rId6632" location="" tooltip="" display=""/>
    <hyperlink ref="K3320" r:id="rId6633" location="" tooltip="" display=""/>
    <hyperlink ref="L3320" r:id="rId6634" location="" tooltip="" display=""/>
    <hyperlink ref="Q3320" r:id="rId6635" location="" tooltip="" display=""/>
    <hyperlink ref="R3320" r:id="rId6636" location="" tooltip="" display=""/>
    <hyperlink ref="L3321" r:id="rId6637" location="" tooltip="" display=""/>
    <hyperlink ref="R3321" r:id="rId6638" location="" tooltip="" display=""/>
    <hyperlink ref="K3323" r:id="rId6639" location="" tooltip="" display=""/>
    <hyperlink ref="L3323" r:id="rId6640" location="" tooltip="" display=""/>
    <hyperlink ref="Q3323" r:id="rId6641" location="" tooltip="" display=""/>
    <hyperlink ref="R3323" r:id="rId6642" location="" tooltip="" display=""/>
    <hyperlink ref="L3324" r:id="rId6643" location="" tooltip="" display=""/>
    <hyperlink ref="R3324" r:id="rId6644" location="" tooltip="" display=""/>
    <hyperlink ref="L3326" r:id="rId6645" location="" tooltip="" display=""/>
    <hyperlink ref="R3326" r:id="rId6646" location="" tooltip="" display=""/>
    <hyperlink ref="K3327" r:id="rId6647" location="" tooltip="" display=""/>
    <hyperlink ref="L3327" r:id="rId6648" location="" tooltip="" display=""/>
    <hyperlink ref="Q3327" r:id="rId6649" location="" tooltip="" display=""/>
    <hyperlink ref="R3327" r:id="rId6650" location="" tooltip="" display=""/>
    <hyperlink ref="L3328" r:id="rId6651" location="" tooltip="" display=""/>
    <hyperlink ref="R3328" r:id="rId6652" location="" tooltip="" display=""/>
    <hyperlink ref="L3329" r:id="rId6653" location="" tooltip="" display=""/>
    <hyperlink ref="R3329" r:id="rId6654" location="" tooltip="" display=""/>
    <hyperlink ref="L3331" r:id="rId6655" location="" tooltip="" display=""/>
    <hyperlink ref="R3331" r:id="rId6656" location="" tooltip="" display=""/>
    <hyperlink ref="K3332" r:id="rId6657" location="" tooltip="" display=""/>
    <hyperlink ref="L3332" r:id="rId6658" location="" tooltip="" display=""/>
    <hyperlink ref="Q3332" r:id="rId6659" location="" tooltip="" display=""/>
    <hyperlink ref="R3332" r:id="rId6660" location="" tooltip="" display=""/>
    <hyperlink ref="L3333" r:id="rId6661" location="" tooltip="" display=""/>
    <hyperlink ref="R3333" r:id="rId6662" location="" tooltip="" display=""/>
    <hyperlink ref="K3335" r:id="rId6663" location="" tooltip="" display=""/>
    <hyperlink ref="L3335" r:id="rId6664" location="" tooltip="" display=""/>
    <hyperlink ref="Q3335" r:id="rId6665" location="" tooltip="" display=""/>
    <hyperlink ref="R3335" r:id="rId6666" location="" tooltip="" display=""/>
    <hyperlink ref="L3337" r:id="rId6667" location="" tooltip="" display=""/>
    <hyperlink ref="R3337" r:id="rId6668" location="" tooltip="" display=""/>
    <hyperlink ref="L3338" r:id="rId6669" location="" tooltip="" display=""/>
    <hyperlink ref="R3338" r:id="rId6670" location="" tooltip="" display=""/>
    <hyperlink ref="K3339" r:id="rId6671" location="" tooltip="" display=""/>
    <hyperlink ref="L3339" r:id="rId6672" location="" tooltip="" display=""/>
    <hyperlink ref="Q3339" r:id="rId6673" location="" tooltip="" display=""/>
    <hyperlink ref="R3339" r:id="rId6674" location="" tooltip="" display=""/>
    <hyperlink ref="L3340" r:id="rId6675" location="" tooltip="" display=""/>
    <hyperlink ref="R3340" r:id="rId6676" location="" tooltip="" display=""/>
    <hyperlink ref="L3341" r:id="rId6677" location="" tooltip="" display=""/>
    <hyperlink ref="R3341" r:id="rId6678" location="" tooltip="" display=""/>
    <hyperlink ref="L3342" r:id="rId6679" location="" tooltip="" display=""/>
    <hyperlink ref="R3342" r:id="rId6680" location="" tooltip="" display=""/>
    <hyperlink ref="L3344" r:id="rId6681" location="" tooltip="" display=""/>
    <hyperlink ref="R3344" r:id="rId6682" location="" tooltip="" display=""/>
    <hyperlink ref="K3345" r:id="rId6683" location="" tooltip="" display=""/>
    <hyperlink ref="L3345" r:id="rId6684" location="" tooltip="" display=""/>
    <hyperlink ref="Q3345" r:id="rId6685" location="" tooltip="" display=""/>
    <hyperlink ref="R3345" r:id="rId6686" location="" tooltip="" display=""/>
    <hyperlink ref="L3346" r:id="rId6687" location="" tooltip="" display=""/>
    <hyperlink ref="R3346" r:id="rId6688" location="" tooltip="" display=""/>
    <hyperlink ref="L3347" r:id="rId6689" location="" tooltip="" display=""/>
    <hyperlink ref="R3347" r:id="rId6690" location="" tooltip="" display=""/>
    <hyperlink ref="L3349" r:id="rId6691" location="" tooltip="" display=""/>
    <hyperlink ref="R3349" r:id="rId6692" location="" tooltip="" display=""/>
    <hyperlink ref="K3350" r:id="rId6693" location="" tooltip="" display=""/>
    <hyperlink ref="L3350" r:id="rId6694" location="" tooltip="" display=""/>
    <hyperlink ref="Q3350" r:id="rId6695" location="" tooltip="" display=""/>
    <hyperlink ref="R3350" r:id="rId6696" location="" tooltip="" display=""/>
    <hyperlink ref="L3351" r:id="rId6697" location="" tooltip="" display=""/>
    <hyperlink ref="R3351" r:id="rId6698" location="" tooltip="" display=""/>
    <hyperlink ref="L3352" r:id="rId6699" location="" tooltip="" display=""/>
    <hyperlink ref="R3352" r:id="rId6700" location="" tooltip="" display=""/>
    <hyperlink ref="L3354" r:id="rId6701" location="" tooltip="" display=""/>
    <hyperlink ref="R3354" r:id="rId6702" location="" tooltip="" display=""/>
    <hyperlink ref="L3355" r:id="rId6703" location="" tooltip="" display=""/>
    <hyperlink ref="R3355" r:id="rId6704" location="" tooltip="" display=""/>
    <hyperlink ref="L3356" r:id="rId6705" location="" tooltip="" display=""/>
    <hyperlink ref="R3356" r:id="rId6706" location="" tooltip="" display=""/>
    <hyperlink ref="L3357" r:id="rId6707" location="" tooltip="" display=""/>
    <hyperlink ref="R3357" r:id="rId6708" location="" tooltip="" display=""/>
    <hyperlink ref="K3358" r:id="rId6709" location="" tooltip="" display=""/>
    <hyperlink ref="L3358" r:id="rId6710" location="" tooltip="" display=""/>
    <hyperlink ref="Q3358" r:id="rId6711" location="" tooltip="" display=""/>
    <hyperlink ref="R3358" r:id="rId6712" location="" tooltip="" display=""/>
    <hyperlink ref="L3359" r:id="rId6713" location="" tooltip="" display=""/>
    <hyperlink ref="R3359" r:id="rId6714" location="" tooltip="" display=""/>
    <hyperlink ref="L3360" r:id="rId6715" location="" tooltip="" display=""/>
    <hyperlink ref="R3360" r:id="rId6716" location="" tooltip="" display=""/>
    <hyperlink ref="L3361" r:id="rId6717" location="" tooltip="" display=""/>
    <hyperlink ref="R3361" r:id="rId6718" location="" tooltip="" display=""/>
    <hyperlink ref="L3362" r:id="rId6719" location="" tooltip="" display=""/>
    <hyperlink ref="R3362" r:id="rId6720" location="" tooltip="" display=""/>
    <hyperlink ref="L3364" r:id="rId6721" location="" tooltip="" display=""/>
    <hyperlink ref="R3364" r:id="rId6722" location="" tooltip="" display=""/>
    <hyperlink ref="L3365" r:id="rId6723" location="" tooltip="" display=""/>
    <hyperlink ref="R3365" r:id="rId6724" location="" tooltip="" display=""/>
    <hyperlink ref="K3366" r:id="rId6725" location="" tooltip="" display=""/>
    <hyperlink ref="L3366" r:id="rId6726" location="" tooltip="" display=""/>
    <hyperlink ref="Q3366" r:id="rId6727" location="" tooltip="" display=""/>
    <hyperlink ref="R3366" r:id="rId6728" location="" tooltip="" display=""/>
    <hyperlink ref="L3367" r:id="rId6729" location="" tooltip="" display=""/>
    <hyperlink ref="R3367" r:id="rId6730" location="" tooltip="" display=""/>
    <hyperlink ref="L3368" r:id="rId6731" location="" tooltip="" display=""/>
    <hyperlink ref="R3368" r:id="rId6732" location="" tooltip="" display=""/>
    <hyperlink ref="L3369" r:id="rId6733" location="" tooltip="" display=""/>
    <hyperlink ref="R3369" r:id="rId6734" location="" tooltip="" display=""/>
    <hyperlink ref="L3371" r:id="rId6735" location="" tooltip="" display=""/>
    <hyperlink ref="R3371" r:id="rId6736" location="" tooltip="" display=""/>
    <hyperlink ref="K3372" r:id="rId6737" location="" tooltip="" display=""/>
    <hyperlink ref="L3372" r:id="rId6738" location="" tooltip="" display=""/>
    <hyperlink ref="Q3372" r:id="rId6739" location="" tooltip="" display=""/>
    <hyperlink ref="R3372" r:id="rId6740" location="" tooltip="" display=""/>
    <hyperlink ref="L3373" r:id="rId6741" location="" tooltip="" display=""/>
    <hyperlink ref="R3373" r:id="rId6742" location="" tooltip="" display=""/>
    <hyperlink ref="K3375" r:id="rId6743" location="" tooltip="" display=""/>
    <hyperlink ref="L3375" r:id="rId6744" location="" tooltip="" display=""/>
    <hyperlink ref="Q3375" r:id="rId6745" location="" tooltip="" display=""/>
    <hyperlink ref="R3375" r:id="rId6746" location="" tooltip="" display=""/>
    <hyperlink ref="L3377" r:id="rId6747" location="" tooltip="" display=""/>
    <hyperlink ref="R3377" r:id="rId6748" location="" tooltip="" display=""/>
    <hyperlink ref="L3378" r:id="rId6749" location="" tooltip="" display=""/>
    <hyperlink ref="R3378" r:id="rId6750" location="" tooltip="" display=""/>
    <hyperlink ref="L3379" r:id="rId6751" location="" tooltip="" display=""/>
    <hyperlink ref="R3379" r:id="rId6752" location="" tooltip="" display=""/>
    <hyperlink ref="K3380" r:id="rId6753" location="" tooltip="" display=""/>
    <hyperlink ref="L3380" r:id="rId6754" location="" tooltip="" display=""/>
    <hyperlink ref="Q3380" r:id="rId6755" location="" tooltip="" display=""/>
    <hyperlink ref="R3380" r:id="rId6756" location="" tooltip="" display=""/>
    <hyperlink ref="L3381" r:id="rId6757" location="" tooltip="" display=""/>
    <hyperlink ref="R3381" r:id="rId6758" location="" tooltip="" display=""/>
    <hyperlink ref="L3382" r:id="rId6759" location="" tooltip="" display=""/>
    <hyperlink ref="R3382" r:id="rId6760" location="" tooltip="" display=""/>
    <hyperlink ref="L3383" r:id="rId6761" location="" tooltip="" display=""/>
    <hyperlink ref="R3383" r:id="rId6762" location="" tooltip="" display=""/>
    <hyperlink ref="L3384" r:id="rId6763" location="" tooltip="" display=""/>
    <hyperlink ref="R3384" r:id="rId6764" location="" tooltip="" display=""/>
    <hyperlink ref="K3386" r:id="rId6765" location="" tooltip="" display=""/>
    <hyperlink ref="L3386" r:id="rId6766" location="" tooltip="" display=""/>
    <hyperlink ref="Q3386" r:id="rId6767" location="" tooltip="" display=""/>
    <hyperlink ref="R3386" r:id="rId6768" location="" tooltip="" display=""/>
    <hyperlink ref="L3387" r:id="rId6769" location="" tooltip="" display=""/>
    <hyperlink ref="R3387" r:id="rId6770" location="" tooltip="" display=""/>
    <hyperlink ref="L3389" r:id="rId6771" location="" tooltip="" display=""/>
    <hyperlink ref="R3389" r:id="rId6772" location="" tooltip="" display=""/>
    <hyperlink ref="K3390" r:id="rId6773" location="" tooltip="" display=""/>
    <hyperlink ref="L3390" r:id="rId6774" location="" tooltip="" display=""/>
    <hyperlink ref="Q3390" r:id="rId6775" location="" tooltip="" display=""/>
    <hyperlink ref="R3390" r:id="rId6776" location="" tooltip="" display=""/>
    <hyperlink ref="L3391" r:id="rId6777" location="" tooltip="" display=""/>
    <hyperlink ref="R3391" r:id="rId6778" location="" tooltip="" display=""/>
    <hyperlink ref="L3392" r:id="rId6779" location="" tooltip="" display=""/>
    <hyperlink ref="R3392" r:id="rId6780" location="" tooltip="" display=""/>
    <hyperlink ref="K3394" r:id="rId6781" location="" tooltip="" display=""/>
    <hyperlink ref="L3394" r:id="rId6782" location="" tooltip="" display=""/>
    <hyperlink ref="Q3394" r:id="rId6783" location="" tooltip="" display=""/>
    <hyperlink ref="R3394" r:id="rId6784" location="" tooltip="" display=""/>
    <hyperlink ref="L3395" r:id="rId6785" location="" tooltip="" display=""/>
    <hyperlink ref="R3395" r:id="rId6786" location="" tooltip="" display=""/>
    <hyperlink ref="L3397" r:id="rId6787" location="" tooltip="" display=""/>
    <hyperlink ref="R3397" r:id="rId6788" location="" tooltip="" display=""/>
    <hyperlink ref="K3398" r:id="rId6789" location="" tooltip="" display=""/>
    <hyperlink ref="L3398" r:id="rId6790" location="" tooltip="" display=""/>
    <hyperlink ref="Q3398" r:id="rId6791" location="" tooltip="" display=""/>
    <hyperlink ref="R3398" r:id="rId6792" location="" tooltip="" display=""/>
    <hyperlink ref="L3399" r:id="rId6793" location="" tooltip="" display=""/>
    <hyperlink ref="R3399" r:id="rId6794" location="" tooltip="" display=""/>
    <hyperlink ref="L3400" r:id="rId6795" location="" tooltip="" display=""/>
    <hyperlink ref="R3400" r:id="rId6796" location="" tooltip="" display=""/>
    <hyperlink ref="L3402" r:id="rId6797" location="" tooltip="" display=""/>
    <hyperlink ref="R3402" r:id="rId6798" location="" tooltip="" display=""/>
    <hyperlink ref="K3403" r:id="rId6799" location="" tooltip="" display=""/>
    <hyperlink ref="L3403" r:id="rId6800" location="" tooltip="" display=""/>
    <hyperlink ref="Q3403" r:id="rId6801" location="" tooltip="" display=""/>
    <hyperlink ref="R3403" r:id="rId6802" location="" tooltip="" display=""/>
    <hyperlink ref="L3404" r:id="rId6803" location="" tooltip="" display=""/>
    <hyperlink ref="R3404" r:id="rId6804" location="" tooltip="" display=""/>
    <hyperlink ref="L3406" r:id="rId6805" location="" tooltip="" display=""/>
    <hyperlink ref="R3406" r:id="rId6806" location="" tooltip="" display=""/>
    <hyperlink ref="K3407" r:id="rId6807" location="" tooltip="" display=""/>
    <hyperlink ref="L3407" r:id="rId6808" location="" tooltip="" display=""/>
    <hyperlink ref="Q3407" r:id="rId6809" location="" tooltip="" display=""/>
    <hyperlink ref="R3407" r:id="rId6810" location="" tooltip="" display=""/>
    <hyperlink ref="L3408" r:id="rId6811" location="" tooltip="" display=""/>
    <hyperlink ref="R3408" r:id="rId6812" location="" tooltip="" display=""/>
    <hyperlink ref="L3409" r:id="rId6813" location="" tooltip="" display=""/>
    <hyperlink ref="R3409" r:id="rId6814" location="" tooltip="" display=""/>
    <hyperlink ref="K3411" r:id="rId6815" location="" tooltip="" display=""/>
    <hyperlink ref="L3411" r:id="rId6816" location="" tooltip="" display=""/>
    <hyperlink ref="Q3411" r:id="rId6817" location="" tooltip="" display=""/>
    <hyperlink ref="R3411" r:id="rId6818" location="" tooltip="" display=""/>
    <hyperlink ref="K3413" r:id="rId6819" location="" tooltip="" display=""/>
    <hyperlink ref="L3413" r:id="rId6820" location="" tooltip="" display=""/>
    <hyperlink ref="Q3413" r:id="rId6821" location="" tooltip="" display=""/>
    <hyperlink ref="R3413" r:id="rId6822" location="" tooltip="" display=""/>
    <hyperlink ref="L3415" r:id="rId6823" location="" tooltip="" display=""/>
    <hyperlink ref="R3415" r:id="rId6824" location="" tooltip="" display=""/>
    <hyperlink ref="K3416" r:id="rId6825" location="" tooltip="" display=""/>
    <hyperlink ref="L3416" r:id="rId6826" location="" tooltip="" display=""/>
    <hyperlink ref="Q3416" r:id="rId6827" location="" tooltip="" display=""/>
    <hyperlink ref="R3416" r:id="rId6828" location="" tooltip="" display=""/>
    <hyperlink ref="L3417" r:id="rId6829" location="" tooltip="" display=""/>
    <hyperlink ref="R3417" r:id="rId6830" location="" tooltip="" display=""/>
    <hyperlink ref="L3419" r:id="rId6831" location="" tooltip="" display=""/>
    <hyperlink ref="R3419" r:id="rId6832" location="" tooltip="" display=""/>
    <hyperlink ref="K3420" r:id="rId6833" location="" tooltip="" display=""/>
    <hyperlink ref="L3420" r:id="rId6834" location="" tooltip="" display=""/>
    <hyperlink ref="Q3420" r:id="rId6835" location="" tooltip="" display=""/>
    <hyperlink ref="R3420" r:id="rId6836" location="" tooltip="" display=""/>
    <hyperlink ref="L3421" r:id="rId6837" location="" tooltip="" display=""/>
    <hyperlink ref="R3421" r:id="rId6838" location="" tooltip="" display=""/>
    <hyperlink ref="K3423" r:id="rId6839" location="" tooltip="" display=""/>
    <hyperlink ref="L3423" r:id="rId6840" location="" tooltip="" display=""/>
    <hyperlink ref="Q3423" r:id="rId6841" location="" tooltip="" display=""/>
    <hyperlink ref="R3423" r:id="rId6842" location="" tooltip="" display=""/>
    <hyperlink ref="L3425" r:id="rId6843" location="" tooltip="" display=""/>
    <hyperlink ref="R3425" r:id="rId6844" location="" tooltip="" display=""/>
    <hyperlink ref="L3426" r:id="rId6845" location="" tooltip="" display=""/>
    <hyperlink ref="R3426" r:id="rId6846" location="" tooltip="" display=""/>
    <hyperlink ref="L3427" r:id="rId6847" location="" tooltip="" display=""/>
    <hyperlink ref="R3427" r:id="rId6848" location="" tooltip="" display=""/>
    <hyperlink ref="K3428" r:id="rId6849" location="" tooltip="" display=""/>
    <hyperlink ref="L3428" r:id="rId6850" location="" tooltip="" display=""/>
    <hyperlink ref="Q3428" r:id="rId6851" location="" tooltip="" display=""/>
    <hyperlink ref="R3428" r:id="rId6852" location="" tooltip="" display=""/>
    <hyperlink ref="L3429" r:id="rId6853" location="" tooltip="" display=""/>
    <hyperlink ref="R3429" r:id="rId6854" location="" tooltip="" display=""/>
    <hyperlink ref="L3430" r:id="rId6855" location="" tooltip="" display=""/>
    <hyperlink ref="R3430" r:id="rId6856" location="" tooltip="" display=""/>
    <hyperlink ref="L3431" r:id="rId6857" location="" tooltip="" display=""/>
    <hyperlink ref="R3431" r:id="rId6858" location="" tooltip="" display=""/>
    <hyperlink ref="L3432" r:id="rId6859" location="" tooltip="" display=""/>
    <hyperlink ref="R3432" r:id="rId6860" location="" tooltip="" display=""/>
    <hyperlink ref="K3434" r:id="rId6861" location="" tooltip="" display=""/>
    <hyperlink ref="L3434" r:id="rId6862" location="" tooltip="" display=""/>
    <hyperlink ref="Q3434" r:id="rId6863" location="" tooltip="" display=""/>
    <hyperlink ref="R3434" r:id="rId6864" location="" tooltip="" display=""/>
    <hyperlink ref="L3435" r:id="rId6865" location="" tooltip="" display=""/>
    <hyperlink ref="R3435" r:id="rId6866" location="" tooltip="" display=""/>
    <hyperlink ref="K3437" r:id="rId6867" location="" tooltip="" display=""/>
    <hyperlink ref="L3437" r:id="rId6868" location="" tooltip="" display=""/>
    <hyperlink ref="Q3437" r:id="rId6869" location="" tooltip="" display=""/>
    <hyperlink ref="R3437" r:id="rId6870" location="" tooltip="" display=""/>
    <hyperlink ref="L3438" r:id="rId6871" location="" tooltip="" display=""/>
    <hyperlink ref="R3438" r:id="rId6872" location="" tooltip="" display=""/>
    <hyperlink ref="L3440" r:id="rId6873" location="" tooltip="" display=""/>
    <hyperlink ref="R3440" r:id="rId6874" location="" tooltip="" display=""/>
    <hyperlink ref="K3441" r:id="rId6875" location="" tooltip="" display=""/>
    <hyperlink ref="L3441" r:id="rId6876" location="" tooltip="" display=""/>
    <hyperlink ref="Q3441" r:id="rId6877" location="" tooltip="" display=""/>
    <hyperlink ref="R3441" r:id="rId6878" location="" tooltip="" display=""/>
    <hyperlink ref="L3442" r:id="rId6879" location="" tooltip="" display=""/>
    <hyperlink ref="R3442" r:id="rId6880" location="" tooltip="" display=""/>
    <hyperlink ref="L3443" r:id="rId6881" location="" tooltip="" display=""/>
    <hyperlink ref="R3443" r:id="rId6882" location="" tooltip="" display=""/>
    <hyperlink ref="L3445" r:id="rId6883" location="" tooltip="" display=""/>
    <hyperlink ref="R3445" r:id="rId6884" location="" tooltip="" display=""/>
    <hyperlink ref="L3446" r:id="rId6885" location="" tooltip="" display=""/>
    <hyperlink ref="R3446" r:id="rId6886" location="" tooltip="" display=""/>
    <hyperlink ref="K3447" r:id="rId6887" location="" tooltip="" display=""/>
    <hyperlink ref="L3447" r:id="rId6888" location="" tooltip="" display=""/>
    <hyperlink ref="Q3447" r:id="rId6889" location="" tooltip="" display=""/>
    <hyperlink ref="R3447" r:id="rId6890" location="" tooltip="" display=""/>
    <hyperlink ref="L3448" r:id="rId6891" location="" tooltip="" display=""/>
    <hyperlink ref="R3448" r:id="rId6892" location="" tooltip="" display=""/>
    <hyperlink ref="L3449" r:id="rId6893" location="" tooltip="" display=""/>
    <hyperlink ref="R3449" r:id="rId6894" location="" tooltip="" display=""/>
    <hyperlink ref="L3450" r:id="rId6895" location="" tooltip="" display=""/>
    <hyperlink ref="R3450" r:id="rId6896" location="" tooltip="" display=""/>
    <hyperlink ref="K3452" r:id="rId6897" location="" tooltip="" display=""/>
    <hyperlink ref="L3452" r:id="rId6898" location="" tooltip="" display=""/>
    <hyperlink ref="Q3452" r:id="rId6899" location="" tooltip="" display=""/>
    <hyperlink ref="R3452" r:id="rId6900" location="" tooltip="" display=""/>
    <hyperlink ref="L3454" r:id="rId6901" location="" tooltip="" display=""/>
    <hyperlink ref="R3454" r:id="rId6902" location="" tooltip="" display=""/>
    <hyperlink ref="K3455" r:id="rId6903" location="" tooltip="" display=""/>
    <hyperlink ref="L3455" r:id="rId6904" location="" tooltip="" display=""/>
    <hyperlink ref="Q3455" r:id="rId6905" location="" tooltip="" display=""/>
    <hyperlink ref="R3455" r:id="rId6906" location="" tooltip="" display=""/>
    <hyperlink ref="L3456" r:id="rId6907" location="" tooltip="" display=""/>
    <hyperlink ref="R3456" r:id="rId6908" location="" tooltip="" display=""/>
    <hyperlink ref="L3458" r:id="rId6909" location="" tooltip="" display=""/>
    <hyperlink ref="R3458" r:id="rId6910" location="" tooltip="" display=""/>
    <hyperlink ref="L3459" r:id="rId6911" location="" tooltip="" display=""/>
    <hyperlink ref="R3459" r:id="rId6912" location="" tooltip="" display=""/>
    <hyperlink ref="L3460" r:id="rId6913" location="" tooltip="" display=""/>
    <hyperlink ref="R3460" r:id="rId6914" location="" tooltip="" display=""/>
    <hyperlink ref="L3461" r:id="rId6915" location="" tooltip="" display=""/>
    <hyperlink ref="R3461" r:id="rId6916" location="" tooltip="" display=""/>
    <hyperlink ref="K3462" r:id="rId6917" location="" tooltip="" display=""/>
    <hyperlink ref="L3462" r:id="rId6918" location="" tooltip="" display=""/>
    <hyperlink ref="Q3462" r:id="rId6919" location="" tooltip="" display=""/>
    <hyperlink ref="R3462" r:id="rId6920" location="" tooltip="" display=""/>
    <hyperlink ref="L3463" r:id="rId6921" location="" tooltip="" display=""/>
    <hyperlink ref="R3463" r:id="rId6922" location="" tooltip="" display=""/>
    <hyperlink ref="L3464" r:id="rId6923" location="" tooltip="" display=""/>
    <hyperlink ref="R3464" r:id="rId6924" location="" tooltip="" display=""/>
    <hyperlink ref="L3465" r:id="rId6925" location="" tooltip="" display=""/>
    <hyperlink ref="R3465" r:id="rId6926" location="" tooltip="" display=""/>
    <hyperlink ref="L3466" r:id="rId6927" location="" tooltip="" display=""/>
    <hyperlink ref="R3466" r:id="rId6928" location="" tooltip="" display=""/>
    <hyperlink ref="L3468" r:id="rId6929" location="" tooltip="" display=""/>
    <hyperlink ref="R3468" r:id="rId6930" location="" tooltip="" display=""/>
    <hyperlink ref="K3469" r:id="rId6931" location="" tooltip="" display=""/>
    <hyperlink ref="L3469" r:id="rId6932" location="" tooltip="" display=""/>
    <hyperlink ref="Q3469" r:id="rId6933" location="" tooltip="" display=""/>
    <hyperlink ref="R3469" r:id="rId6934" location="" tooltip="" display=""/>
    <hyperlink ref="L3470" r:id="rId6935" location="" tooltip="" display=""/>
    <hyperlink ref="R3470" r:id="rId6936" location="" tooltip="" display=""/>
    <hyperlink ref="K3472" r:id="rId6937" location="" tooltip="" display=""/>
    <hyperlink ref="L3472" r:id="rId6938" location="" tooltip="" display=""/>
    <hyperlink ref="Q3472" r:id="rId6939" location="" tooltip="" display=""/>
    <hyperlink ref="R3472" r:id="rId6940" location="" tooltip="" display=""/>
    <hyperlink ref="L3474" r:id="rId6941" location="" tooltip="" display=""/>
    <hyperlink ref="R3474" r:id="rId6942" location="" tooltip="" display=""/>
    <hyperlink ref="K3475" r:id="rId6943" location="" tooltip="" display=""/>
    <hyperlink ref="L3475" r:id="rId6944" location="" tooltip="" display=""/>
    <hyperlink ref="Q3475" r:id="rId6945" location="" tooltip="" display=""/>
    <hyperlink ref="R3475" r:id="rId6946" location="" tooltip="" display=""/>
    <hyperlink ref="L3476" r:id="rId6947" location="" tooltip="" display=""/>
    <hyperlink ref="R3476" r:id="rId6948" location="" tooltip="" display=""/>
    <hyperlink ref="L3477" r:id="rId6949" location="" tooltip="" display=""/>
    <hyperlink ref="R3477" r:id="rId6950" location="" tooltip="" display=""/>
    <hyperlink ref="L3479" r:id="rId6951" location="" tooltip="" display=""/>
    <hyperlink ref="R3479" r:id="rId6952" location="" tooltip="" display=""/>
    <hyperlink ref="K3480" r:id="rId6953" location="" tooltip="" display=""/>
    <hyperlink ref="L3480" r:id="rId6954" location="" tooltip="" display=""/>
    <hyperlink ref="Q3480" r:id="rId6955" location="" tooltip="" display=""/>
    <hyperlink ref="R3480" r:id="rId6956" location="" tooltip="" display=""/>
    <hyperlink ref="L3481" r:id="rId6957" location="" tooltip="" display=""/>
    <hyperlink ref="R3481" r:id="rId6958" location="" tooltip="" display=""/>
    <hyperlink ref="L3483" r:id="rId6959" location="" tooltip="" display=""/>
    <hyperlink ref="R3483" r:id="rId6960" location="" tooltip="" display=""/>
    <hyperlink ref="K3484" r:id="rId6961" location="" tooltip="" display=""/>
    <hyperlink ref="L3484" r:id="rId6962" location="" tooltip="" display=""/>
    <hyperlink ref="Q3484" r:id="rId6963" location="" tooltip="" display=""/>
    <hyperlink ref="R3484" r:id="rId6964" location="" tooltip="" display=""/>
    <hyperlink ref="L3485" r:id="rId6965" location="" tooltip="" display=""/>
    <hyperlink ref="R3485" r:id="rId6966" location="" tooltip="" display=""/>
    <hyperlink ref="L3486" r:id="rId6967" location="" tooltip="" display=""/>
    <hyperlink ref="R3486" r:id="rId6968" location="" tooltip="" display=""/>
    <hyperlink ref="L3488" r:id="rId6969" location="" tooltip="" display=""/>
    <hyperlink ref="R3488" r:id="rId6970" location="" tooltip="" display=""/>
    <hyperlink ref="K3489" r:id="rId6971" location="" tooltip="" display=""/>
    <hyperlink ref="L3489" r:id="rId6972" location="" tooltip="" display=""/>
    <hyperlink ref="Q3489" r:id="rId6973" location="" tooltip="" display=""/>
    <hyperlink ref="R3489" r:id="rId6974" location="" tooltip="" display=""/>
    <hyperlink ref="L3490" r:id="rId6975" location="" tooltip="" display=""/>
    <hyperlink ref="R3490" r:id="rId6976" location="" tooltip="" display=""/>
    <hyperlink ref="K3492" r:id="rId6977" location="" tooltip="" display=""/>
    <hyperlink ref="L3492" r:id="rId6978" location="" tooltip="" display=""/>
    <hyperlink ref="Q3492" r:id="rId6979" location="" tooltip="" display=""/>
    <hyperlink ref="R3492" r:id="rId6980" location="" tooltip="" display=""/>
    <hyperlink ref="L3494" r:id="rId6981" location="" tooltip="" display=""/>
    <hyperlink ref="R3494" r:id="rId6982" location="" tooltip="" display=""/>
    <hyperlink ref="L3495" r:id="rId6983" location="" tooltip="" display=""/>
    <hyperlink ref="R3495" r:id="rId6984" location="" tooltip="" display=""/>
    <hyperlink ref="K3496" r:id="rId6985" location="" tooltip="" display=""/>
    <hyperlink ref="L3496" r:id="rId6986" location="" tooltip="" display=""/>
    <hyperlink ref="Q3496" r:id="rId6987" location="" tooltip="" display=""/>
    <hyperlink ref="R3496" r:id="rId6988" location="" tooltip="" display=""/>
    <hyperlink ref="L3497" r:id="rId6989" location="" tooltip="" display=""/>
    <hyperlink ref="R3497" r:id="rId6990" location="" tooltip="" display=""/>
    <hyperlink ref="L3498" r:id="rId6991" location="" tooltip="" display=""/>
    <hyperlink ref="R3498" r:id="rId6992" location="" tooltip="" display=""/>
    <hyperlink ref="L3499" r:id="rId6993" location="" tooltip="" display=""/>
    <hyperlink ref="R3499" r:id="rId6994" location="" tooltip="" display=""/>
    <hyperlink ref="K3501" r:id="rId6995" location="" tooltip="" display=""/>
    <hyperlink ref="L3501" r:id="rId6996" location="" tooltip="" display=""/>
    <hyperlink ref="Q3501" r:id="rId6997" location="" tooltip="" display=""/>
    <hyperlink ref="R3501" r:id="rId6998" location="" tooltip="" display=""/>
    <hyperlink ref="L3503" r:id="rId6999" location="" tooltip="" display=""/>
    <hyperlink ref="R3503" r:id="rId7000" location="" tooltip="" display=""/>
    <hyperlink ref="K3504" r:id="rId7001" location="" tooltip="" display=""/>
    <hyperlink ref="L3504" r:id="rId7002" location="" tooltip="" display=""/>
    <hyperlink ref="Q3504" r:id="rId7003" location="" tooltip="" display=""/>
    <hyperlink ref="R3504" r:id="rId7004" location="" tooltip="" display=""/>
    <hyperlink ref="L3505" r:id="rId7005" location="" tooltip="" display=""/>
    <hyperlink ref="R3505" r:id="rId7006" location="" tooltip="" display=""/>
    <hyperlink ref="L3506" r:id="rId7007" location="" tooltip="" display=""/>
    <hyperlink ref="R3506" r:id="rId7008" location="" tooltip="" display=""/>
    <hyperlink ref="L3508" r:id="rId7009" location="" tooltip="" display=""/>
    <hyperlink ref="R3508" r:id="rId7010" location="" tooltip="" display=""/>
    <hyperlink ref="K3509" r:id="rId7011" location="" tooltip="" display=""/>
    <hyperlink ref="L3509" r:id="rId7012" location="" tooltip="" display=""/>
    <hyperlink ref="Q3509" r:id="rId7013" location="" tooltip="" display=""/>
    <hyperlink ref="R3509" r:id="rId7014" location="" tooltip="" display=""/>
    <hyperlink ref="L3510" r:id="rId7015" location="" tooltip="" display=""/>
    <hyperlink ref="R3510" r:id="rId7016" location="" tooltip="" display=""/>
    <hyperlink ref="L3511" r:id="rId7017" location="" tooltip="" display=""/>
    <hyperlink ref="R3511" r:id="rId7018" location="" tooltip="" display=""/>
    <hyperlink ref="L3513" r:id="rId7019" location="" tooltip="" display=""/>
    <hyperlink ref="R3513" r:id="rId7020" location="" tooltip="" display=""/>
    <hyperlink ref="L3514" r:id="rId7021" location="" tooltip="" display=""/>
    <hyperlink ref="R3514" r:id="rId7022" location="" tooltip="" display=""/>
    <hyperlink ref="K3515" r:id="rId7023" location="" tooltip="" display=""/>
    <hyperlink ref="L3515" r:id="rId7024" location="" tooltip="" display=""/>
    <hyperlink ref="Q3515" r:id="rId7025" location="" tooltip="" display=""/>
    <hyperlink ref="R3515" r:id="rId7026" location="" tooltip="" display=""/>
    <hyperlink ref="L3516" r:id="rId7027" location="" tooltip="" display=""/>
    <hyperlink ref="R3516" r:id="rId7028" location="" tooltip="" display=""/>
    <hyperlink ref="L3517" r:id="rId7029" location="" tooltip="" display=""/>
    <hyperlink ref="R3517" r:id="rId7030" location="" tooltip="" display=""/>
    <hyperlink ref="K3519" r:id="rId7031" location="" tooltip="" display=""/>
    <hyperlink ref="L3519" r:id="rId7032" location="" tooltip="" display=""/>
    <hyperlink ref="Q3519" r:id="rId7033" location="" tooltip="" display=""/>
    <hyperlink ref="R3519" r:id="rId7034" location="" tooltip="" display=""/>
    <hyperlink ref="L3520" r:id="rId7035" location="" tooltip="" display=""/>
    <hyperlink ref="R3520" r:id="rId7036" location="" tooltip="" display=""/>
    <hyperlink ref="L3522" r:id="rId7037" location="" tooltip="" display=""/>
    <hyperlink ref="R3522" r:id="rId7038" location="" tooltip="" display=""/>
    <hyperlink ref="L3523" r:id="rId7039" location="" tooltip="" display=""/>
    <hyperlink ref="R3523" r:id="rId7040" location="" tooltip="" display=""/>
    <hyperlink ref="K3524" r:id="rId7041" location="" tooltip="" display=""/>
    <hyperlink ref="L3524" r:id="rId7042" location="" tooltip="" display=""/>
    <hyperlink ref="Q3524" r:id="rId7043" location="" tooltip="" display=""/>
    <hyperlink ref="R3524" r:id="rId7044" location="" tooltip="" display=""/>
    <hyperlink ref="L3525" r:id="rId7045" location="" tooltip="" display=""/>
    <hyperlink ref="R3525" r:id="rId7046" location="" tooltip="" display=""/>
    <hyperlink ref="L3526" r:id="rId7047" location="" tooltip="" display=""/>
    <hyperlink ref="R3526" r:id="rId7048" location="" tooltip="" display=""/>
    <hyperlink ref="L3527" r:id="rId7049" location="" tooltip="" display=""/>
    <hyperlink ref="R3527" r:id="rId7050" location="" tooltip="" display=""/>
    <hyperlink ref="K3529" r:id="rId7051" location="" tooltip="" display=""/>
    <hyperlink ref="L3529" r:id="rId7052" location="" tooltip="" display=""/>
    <hyperlink ref="Q3529" r:id="rId7053" location="" tooltip="" display=""/>
    <hyperlink ref="R3529" r:id="rId7054" location="" tooltip="" display=""/>
    <hyperlink ref="L3531" r:id="rId7055" location="" tooltip="" display=""/>
    <hyperlink ref="R3531" r:id="rId7056" location="" tooltip="" display=""/>
    <hyperlink ref="K3532" r:id="rId7057" location="" tooltip="" display=""/>
    <hyperlink ref="L3532" r:id="rId7058" location="" tooltip="" display=""/>
    <hyperlink ref="Q3532" r:id="rId7059" location="" tooltip="" display=""/>
    <hyperlink ref="R3532" r:id="rId7060" location="" tooltip="" display=""/>
    <hyperlink ref="L3533" r:id="rId7061" location="" tooltip="" display=""/>
    <hyperlink ref="R3533" r:id="rId7062" location="" tooltip="" display=""/>
    <hyperlink ref="L3534" r:id="rId7063" location="" tooltip="" display=""/>
    <hyperlink ref="R3534" r:id="rId7064" location="" tooltip="" display=""/>
    <hyperlink ref="K3536" r:id="rId7065" location="" tooltip="" display=""/>
    <hyperlink ref="L3536" r:id="rId7066" location="" tooltip="" display=""/>
    <hyperlink ref="Q3536" r:id="rId7067" location="" tooltip="" display=""/>
    <hyperlink ref="R3536" r:id="rId7068" location="" tooltip="" display=""/>
    <hyperlink ref="L3537" r:id="rId7069" location="" tooltip="" display=""/>
    <hyperlink ref="R3537" r:id="rId7070" location="" tooltip="" display=""/>
    <hyperlink ref="L3539" r:id="rId7071" location="" tooltip="" display=""/>
    <hyperlink ref="R3539" r:id="rId7072" location="" tooltip="" display=""/>
    <hyperlink ref="L3540" r:id="rId7073" location="" tooltip="" display=""/>
    <hyperlink ref="R3540" r:id="rId7074" location="" tooltip="" display=""/>
    <hyperlink ref="L3541" r:id="rId7075" location="" tooltip="" display=""/>
    <hyperlink ref="R3541" r:id="rId7076" location="" tooltip="" display=""/>
    <hyperlink ref="L3542" r:id="rId7077" location="" tooltip="" display=""/>
    <hyperlink ref="R3542" r:id="rId7078" location="" tooltip="" display=""/>
    <hyperlink ref="K3543" r:id="rId7079" location="" tooltip="" display=""/>
    <hyperlink ref="L3543" r:id="rId7080" location="" tooltip="" display=""/>
    <hyperlink ref="Q3543" r:id="rId7081" location="" tooltip="" display=""/>
    <hyperlink ref="R3543" r:id="rId7082" location="" tooltip="" display=""/>
    <hyperlink ref="L3544" r:id="rId7083" location="" tooltip="" display=""/>
    <hyperlink ref="R3544" r:id="rId7084" location="" tooltip="" display=""/>
    <hyperlink ref="L3545" r:id="rId7085" location="" tooltip="" display=""/>
    <hyperlink ref="R3545" r:id="rId7086" location="" tooltip="" display=""/>
    <hyperlink ref="L3546" r:id="rId7087" location="" tooltip="" display=""/>
    <hyperlink ref="R3546" r:id="rId7088" location="" tooltip="" display=""/>
    <hyperlink ref="L3547" r:id="rId7089" location="" tooltip="" display=""/>
    <hyperlink ref="R3547" r:id="rId7090" location="" tooltip="" display=""/>
    <hyperlink ref="L3549" r:id="rId7091" location="" tooltip="" display=""/>
    <hyperlink ref="R3549" r:id="rId7092" location="" tooltip="" display=""/>
    <hyperlink ref="K3550" r:id="rId7093" location="" tooltip="" display=""/>
    <hyperlink ref="L3550" r:id="rId7094" location="" tooltip="" display=""/>
    <hyperlink ref="Q3550" r:id="rId7095" location="" tooltip="" display=""/>
    <hyperlink ref="R3550" r:id="rId7096" location="" tooltip="" display=""/>
    <hyperlink ref="L3551" r:id="rId7097" location="" tooltip="" display=""/>
    <hyperlink ref="R3551" r:id="rId7098" location="" tooltip="" display=""/>
    <hyperlink ref="L3553" r:id="rId7099" location="" tooltip="" display=""/>
    <hyperlink ref="R3553" r:id="rId7100" location="" tooltip="" display=""/>
    <hyperlink ref="K3554" r:id="rId7101" location="" tooltip="" display=""/>
    <hyperlink ref="L3554" r:id="rId7102" location="" tooltip="" display=""/>
    <hyperlink ref="Q3554" r:id="rId7103" location="" tooltip="" display=""/>
    <hyperlink ref="R3554" r:id="rId7104" location="" tooltip="" display=""/>
    <hyperlink ref="L3555" r:id="rId7105" location="" tooltip="" display=""/>
    <hyperlink ref="R3555" r:id="rId7106" location="" tooltip="" display=""/>
    <hyperlink ref="L3556" r:id="rId7107" location="" tooltip="" display=""/>
    <hyperlink ref="R3556" r:id="rId7108" location="" tooltip="" display=""/>
    <hyperlink ref="K3558" r:id="rId7109" location="" tooltip="" display=""/>
    <hyperlink ref="L3558" r:id="rId7110" location="" tooltip="" display=""/>
    <hyperlink ref="Q3558" r:id="rId7111" location="" tooltip="" display=""/>
    <hyperlink ref="R3558" r:id="rId7112" location="" tooltip="" display=""/>
    <hyperlink ref="L3559" r:id="rId7113" location="" tooltip="" display=""/>
    <hyperlink ref="R3559" r:id="rId7114" location="" tooltip="" display=""/>
    <hyperlink ref="L3561" r:id="rId7115" location="" tooltip="" display=""/>
    <hyperlink ref="R3561" r:id="rId7116" location="" tooltip="" display=""/>
    <hyperlink ref="L3562" r:id="rId7117" location="" tooltip="" display=""/>
    <hyperlink ref="R3562" r:id="rId7118" location="" tooltip="" display=""/>
    <hyperlink ref="L3563" r:id="rId7119" location="" tooltip="" display=""/>
    <hyperlink ref="R3563" r:id="rId7120" location="" tooltip="" display=""/>
    <hyperlink ref="K3564" r:id="rId7121" location="" tooltip="" display=""/>
    <hyperlink ref="L3564" r:id="rId7122" location="" tooltip="" display=""/>
    <hyperlink ref="Q3564" r:id="rId7123" location="" tooltip="" display=""/>
    <hyperlink ref="R3564" r:id="rId7124" location="" tooltip="" display=""/>
    <hyperlink ref="L3565" r:id="rId7125" location="" tooltip="" display=""/>
    <hyperlink ref="R3565" r:id="rId7126" location="" tooltip="" display=""/>
    <hyperlink ref="L3566" r:id="rId7127" location="" tooltip="" display=""/>
    <hyperlink ref="R3566" r:id="rId7128" location="" tooltip="" display=""/>
    <hyperlink ref="L3567" r:id="rId7129" location="" tooltip="" display=""/>
    <hyperlink ref="R3567" r:id="rId7130" location="" tooltip="" display=""/>
    <hyperlink ref="L3569" r:id="rId7131" location="" tooltip="" display=""/>
    <hyperlink ref="R3569" r:id="rId7132" location="" tooltip="" display=""/>
    <hyperlink ref="L3570" r:id="rId7133" location="" tooltip="" display=""/>
    <hyperlink ref="R3570" r:id="rId7134" location="" tooltip="" display=""/>
    <hyperlink ref="L3571" r:id="rId7135" location="" tooltip="" display=""/>
    <hyperlink ref="R3571" r:id="rId7136" location="" tooltip="" display=""/>
    <hyperlink ref="L3572" r:id="rId7137" location="" tooltip="" display=""/>
    <hyperlink ref="R3572" r:id="rId7138" location="" tooltip="" display=""/>
    <hyperlink ref="K3573" r:id="rId7139" location="" tooltip="" display=""/>
    <hyperlink ref="L3573" r:id="rId7140" location="" tooltip="" display=""/>
    <hyperlink ref="Q3573" r:id="rId7141" location="" tooltip="" display=""/>
    <hyperlink ref="R3573" r:id="rId7142" location="" tooltip="" display=""/>
    <hyperlink ref="L3574" r:id="rId7143" location="" tooltip="" display=""/>
    <hyperlink ref="R3574" r:id="rId7144" location="" tooltip="" display=""/>
    <hyperlink ref="L3575" r:id="rId7145" location="" tooltip="" display=""/>
    <hyperlink ref="R3575" r:id="rId7146" location="" tooltip="" display=""/>
    <hyperlink ref="L3576" r:id="rId7147" location="" tooltip="" display=""/>
    <hyperlink ref="R3576" r:id="rId7148" location="" tooltip="" display=""/>
    <hyperlink ref="L3577" r:id="rId7149" location="" tooltip="" display=""/>
    <hyperlink ref="R3577" r:id="rId7150" location="" tooltip="" display=""/>
    <hyperlink ref="K3579" r:id="rId7151" location="" tooltip="" display=""/>
    <hyperlink ref="L3579" r:id="rId7152" location="" tooltip="" display=""/>
    <hyperlink ref="Q3579" r:id="rId7153" location="" tooltip="" display=""/>
    <hyperlink ref="R3579" r:id="rId7154" location="" tooltip="" display=""/>
    <hyperlink ref="L3580" r:id="rId7155" location="" tooltip="" display=""/>
    <hyperlink ref="R3580" r:id="rId7156" location="" tooltip="" display=""/>
    <hyperlink ref="K3582" r:id="rId7157" location="" tooltip="" display=""/>
    <hyperlink ref="L3582" r:id="rId7158" location="" tooltip="" display=""/>
    <hyperlink ref="Q3582" r:id="rId7159" location="" tooltip="" display=""/>
    <hyperlink ref="R3582" r:id="rId7160" location="" tooltip="" display=""/>
    <hyperlink ref="K3584" r:id="rId7161" location="" tooltip="" display=""/>
    <hyperlink ref="L3584" r:id="rId7162" location="" tooltip="" display=""/>
    <hyperlink ref="Q3584" r:id="rId7163" location="" tooltip="" display=""/>
    <hyperlink ref="R3584" r:id="rId7164" location="" tooltip="" display=""/>
    <hyperlink ref="L3585" r:id="rId7165" location="" tooltip="" display=""/>
    <hyperlink ref="R3585" r:id="rId7166" location="" tooltip="" display=""/>
    <hyperlink ref="L3587" r:id="rId7167" location="" tooltip="" display=""/>
    <hyperlink ref="R3587" r:id="rId7168" location="" tooltip="" display=""/>
    <hyperlink ref="K3588" r:id="rId7169" location="" tooltip="" display=""/>
    <hyperlink ref="L3588" r:id="rId7170" location="" tooltip="" display=""/>
    <hyperlink ref="Q3588" r:id="rId7171" location="" tooltip="" display=""/>
    <hyperlink ref="R3588" r:id="rId7172" location="" tooltip="" display=""/>
    <hyperlink ref="L3589" r:id="rId7173" location="" tooltip="" display=""/>
    <hyperlink ref="R3589" r:id="rId7174" location="" tooltip="" display=""/>
    <hyperlink ref="L3591" r:id="rId7175" location="" tooltip="" display=""/>
    <hyperlink ref="R3591" r:id="rId7176" location="" tooltip="" display=""/>
    <hyperlink ref="K3592" r:id="rId7177" location="" tooltip="" display=""/>
    <hyperlink ref="L3592" r:id="rId7178" location="" tooltip="" display=""/>
    <hyperlink ref="Q3592" r:id="rId7179" location="" tooltip="" display=""/>
    <hyperlink ref="R3592" r:id="rId7180" location="" tooltip="" display=""/>
    <hyperlink ref="L3593" r:id="rId7181" location="" tooltip="" display=""/>
    <hyperlink ref="R3593" r:id="rId7182" location="" tooltip="" display=""/>
    <hyperlink ref="L3595" r:id="rId7183" location="" tooltip="" display=""/>
    <hyperlink ref="R3595" r:id="rId7184" location="" tooltip="" display=""/>
    <hyperlink ref="K3596" r:id="rId7185" location="" tooltip="" display=""/>
    <hyperlink ref="L3596" r:id="rId7186" location="" tooltip="" display=""/>
    <hyperlink ref="Q3596" r:id="rId7187" location="" tooltip="" display=""/>
    <hyperlink ref="R3596" r:id="rId7188" location="" tooltip="" display=""/>
    <hyperlink ref="L3597" r:id="rId7189" location="" tooltip="" display=""/>
    <hyperlink ref="R3597" r:id="rId7190" location="" tooltip="" display=""/>
    <hyperlink ref="K3599" r:id="rId7191" location="" tooltip="" display=""/>
    <hyperlink ref="L3599" r:id="rId7192" location="" tooltip="" display=""/>
    <hyperlink ref="Q3599" r:id="rId7193" location="" tooltip="" display=""/>
    <hyperlink ref="R3599" r:id="rId7194" location="" tooltip="" display=""/>
    <hyperlink ref="K3601" r:id="rId7195" location="" tooltip="" display=""/>
    <hyperlink ref="L3601" r:id="rId7196" location="" tooltip="" display=""/>
    <hyperlink ref="Q3601" r:id="rId7197" location="" tooltip="" display=""/>
    <hyperlink ref="R3601" r:id="rId7198" location="" tooltip="" display=""/>
    <hyperlink ref="K3603" r:id="rId7199" location="" tooltip="" display=""/>
    <hyperlink ref="L3603" r:id="rId7200" location="" tooltip="" display=""/>
    <hyperlink ref="Q3603" r:id="rId7201" location="" tooltip="" display=""/>
    <hyperlink ref="R3603" r:id="rId7202" location="" tooltip="" display=""/>
    <hyperlink ref="K3605" r:id="rId7203" location="" tooltip="" display=""/>
    <hyperlink ref="L3605" r:id="rId7204" location="" tooltip="" display=""/>
    <hyperlink ref="Q3605" r:id="rId7205" location="" tooltip="" display=""/>
    <hyperlink ref="R3605" r:id="rId7206" location="" tooltip="" display=""/>
    <hyperlink ref="L3606" r:id="rId7207" location="" tooltip="" display=""/>
    <hyperlink ref="R3606" r:id="rId7208" location="" tooltip="" display=""/>
    <hyperlink ref="L3608" r:id="rId7209" location="" tooltip="" display=""/>
    <hyperlink ref="R3608" r:id="rId7210" location="" tooltip="" display=""/>
    <hyperlink ref="K3609" r:id="rId7211" location="" tooltip="" display=""/>
    <hyperlink ref="L3609" r:id="rId7212" location="" tooltip="" display=""/>
    <hyperlink ref="Q3609" r:id="rId7213" location="" tooltip="" display=""/>
    <hyperlink ref="R3609" r:id="rId7214" location="" tooltip="" display=""/>
    <hyperlink ref="L3610" r:id="rId7215" location="" tooltip="" display=""/>
    <hyperlink ref="R3610" r:id="rId7216" location="" tooltip="" display=""/>
    <hyperlink ref="K3612" r:id="rId7217" location="" tooltip="" display=""/>
    <hyperlink ref="L3612" r:id="rId7218" location="" tooltip="" display=""/>
    <hyperlink ref="Q3612" r:id="rId7219" location="" tooltip="" display=""/>
    <hyperlink ref="R3612" r:id="rId7220" location="" tooltip="" display=""/>
    <hyperlink ref="L3613" r:id="rId7221" location="" tooltip="" display=""/>
    <hyperlink ref="R3613" r:id="rId7222" location="" tooltip="" display=""/>
    <hyperlink ref="L3615" r:id="rId7223" location="" tooltip="" display=""/>
    <hyperlink ref="R3615" r:id="rId7224" location="" tooltip="" display=""/>
    <hyperlink ref="L3616" r:id="rId7225" location="" tooltip="" display=""/>
    <hyperlink ref="R3616" r:id="rId7226" location="" tooltip="" display=""/>
    <hyperlink ref="K3617" r:id="rId7227" location="" tooltip="" display=""/>
    <hyperlink ref="L3617" r:id="rId7228" location="" tooltip="" display=""/>
    <hyperlink ref="Q3617" r:id="rId7229" location="" tooltip="" display=""/>
    <hyperlink ref="R3617" r:id="rId7230" location="" tooltip="" display=""/>
    <hyperlink ref="L3618" r:id="rId7231" location="" tooltip="" display=""/>
    <hyperlink ref="R3618" r:id="rId7232" location="" tooltip="" display=""/>
    <hyperlink ref="L3619" r:id="rId7233" location="" tooltip="" display=""/>
    <hyperlink ref="R3619" r:id="rId7234" location="" tooltip="" display=""/>
    <hyperlink ref="L3621" r:id="rId7235" location="" tooltip="" display=""/>
    <hyperlink ref="R3621" r:id="rId7236" location="" tooltip="" display=""/>
    <hyperlink ref="K3622" r:id="rId7237" location="" tooltip="" display=""/>
    <hyperlink ref="L3622" r:id="rId7238" location="" tooltip="" display=""/>
    <hyperlink ref="Q3622" r:id="rId7239" location="" tooltip="" display=""/>
    <hyperlink ref="R3622" r:id="rId7240" location="" tooltip="" display=""/>
    <hyperlink ref="L3623" r:id="rId7241" location="" tooltip="" display=""/>
    <hyperlink ref="R3623" r:id="rId7242" location="" tooltip="" display=""/>
    <hyperlink ref="L3624" r:id="rId7243" location="" tooltip="" display=""/>
    <hyperlink ref="R3624" r:id="rId7244" location="" tooltip="" display=""/>
    <hyperlink ref="L3626" r:id="rId7245" location="" tooltip="" display=""/>
    <hyperlink ref="R3626" r:id="rId7246" location="" tooltip="" display=""/>
    <hyperlink ref="K3627" r:id="rId7247" location="" tooltip="" display=""/>
    <hyperlink ref="L3627" r:id="rId7248" location="" tooltip="" display=""/>
    <hyperlink ref="Q3627" r:id="rId7249" location="" tooltip="" display=""/>
    <hyperlink ref="R3627" r:id="rId7250" location="" tooltip="" display=""/>
    <hyperlink ref="L3628" r:id="rId7251" location="" tooltip="" display=""/>
    <hyperlink ref="R3628" r:id="rId7252" location="" tooltip="" display=""/>
    <hyperlink ref="L3629" r:id="rId7253" location="" tooltip="" display=""/>
    <hyperlink ref="R3629" r:id="rId7254" location="" tooltip="" display=""/>
    <hyperlink ref="L3631" r:id="rId7255" location="" tooltip="" display=""/>
    <hyperlink ref="R3631" r:id="rId7256" location="" tooltip="" display=""/>
    <hyperlink ref="L3632" r:id="rId7257" location="" tooltip="" display=""/>
    <hyperlink ref="R3632" r:id="rId7258" location="" tooltip="" display=""/>
    <hyperlink ref="K3633" r:id="rId7259" location="" tooltip="" display=""/>
    <hyperlink ref="L3633" r:id="rId7260" location="" tooltip="" display=""/>
    <hyperlink ref="Q3633" r:id="rId7261" location="" tooltip="" display=""/>
    <hyperlink ref="R3633" r:id="rId7262" location="" tooltip="" display=""/>
    <hyperlink ref="L3634" r:id="rId7263" location="" tooltip="" display=""/>
    <hyperlink ref="R3634" r:id="rId7264" location="" tooltip="" display=""/>
    <hyperlink ref="L3635" r:id="rId7265" location="" tooltip="" display=""/>
    <hyperlink ref="R3635" r:id="rId7266" location="" tooltip="" display=""/>
    <hyperlink ref="L3636" r:id="rId7267" location="" tooltip="" display=""/>
    <hyperlink ref="R3636" r:id="rId7268" location="" tooltip="" display=""/>
    <hyperlink ref="L3638" r:id="rId7269" location="" tooltip="" display=""/>
    <hyperlink ref="R3638" r:id="rId7270" location="" tooltip="" display=""/>
    <hyperlink ref="L3639" r:id="rId7271" location="" tooltip="" display=""/>
    <hyperlink ref="R3639" r:id="rId7272" location="" tooltip="" display=""/>
    <hyperlink ref="K3640" r:id="rId7273" location="" tooltip="" display=""/>
    <hyperlink ref="L3640" r:id="rId7274" location="" tooltip="" display=""/>
    <hyperlink ref="Q3640" r:id="rId7275" location="" tooltip="" display=""/>
    <hyperlink ref="R3640" r:id="rId7276" location="" tooltip="" display=""/>
    <hyperlink ref="L3641" r:id="rId7277" location="" tooltip="" display=""/>
    <hyperlink ref="R3641" r:id="rId7278" location="" tooltip="" display=""/>
    <hyperlink ref="L3642" r:id="rId7279" location="" tooltip="" display=""/>
    <hyperlink ref="R3642" r:id="rId7280" location="" tooltip="" display=""/>
    <hyperlink ref="L3643" r:id="rId7281" location="" tooltip="" display=""/>
    <hyperlink ref="R3643" r:id="rId7282" location="" tooltip="" display=""/>
    <hyperlink ref="L3645" r:id="rId7283" location="" tooltip="" display=""/>
    <hyperlink ref="R3645" r:id="rId7284" location="" tooltip="" display=""/>
    <hyperlink ref="L3646" r:id="rId7285" location="" tooltip="" display=""/>
    <hyperlink ref="R3646" r:id="rId7286" location="" tooltip="" display=""/>
    <hyperlink ref="L3647" r:id="rId7287" location="" tooltip="" display=""/>
    <hyperlink ref="R3647" r:id="rId7288" location="" tooltip="" display=""/>
    <hyperlink ref="K3648" r:id="rId7289" location="" tooltip="" display=""/>
    <hyperlink ref="L3648" r:id="rId7290" location="" tooltip="" display=""/>
    <hyperlink ref="Q3648" r:id="rId7291" location="" tooltip="" display=""/>
    <hyperlink ref="R3648" r:id="rId7292" location="" tooltip="" display=""/>
    <hyperlink ref="L3649" r:id="rId7293" location="" tooltip="" display=""/>
    <hyperlink ref="R3649" r:id="rId7294" location="" tooltip="" display=""/>
    <hyperlink ref="L3650" r:id="rId7295" location="" tooltip="" display=""/>
    <hyperlink ref="R3650" r:id="rId7296" location="" tooltip="" display=""/>
    <hyperlink ref="L3651" r:id="rId7297" location="" tooltip="" display=""/>
    <hyperlink ref="R3651" r:id="rId7298" location="" tooltip="" display=""/>
    <hyperlink ref="L3653" r:id="rId7299" location="" tooltip="" display=""/>
    <hyperlink ref="R3653" r:id="rId7300" location="" tooltip="" display=""/>
    <hyperlink ref="L3654" r:id="rId7301" location="" tooltip="" display=""/>
    <hyperlink ref="R3654" r:id="rId7302" location="" tooltip="" display=""/>
    <hyperlink ref="L3655" r:id="rId7303" location="" tooltip="" display=""/>
    <hyperlink ref="R3655" r:id="rId7304" location="" tooltip="" display=""/>
    <hyperlink ref="K3656" r:id="rId7305" location="" tooltip="" display=""/>
    <hyperlink ref="L3656" r:id="rId7306" location="" tooltip="" display=""/>
    <hyperlink ref="Q3656" r:id="rId7307" location="" tooltip="" display=""/>
    <hyperlink ref="R3656" r:id="rId7308" location="" tooltip="" display=""/>
    <hyperlink ref="L3657" r:id="rId7309" location="" tooltip="" display=""/>
    <hyperlink ref="R3657" r:id="rId7310" location="" tooltip="" display=""/>
    <hyperlink ref="L3658" r:id="rId7311" location="" tooltip="" display=""/>
    <hyperlink ref="R3658" r:id="rId7312" location="" tooltip="" display=""/>
    <hyperlink ref="L3659" r:id="rId7313" location="" tooltip="" display=""/>
    <hyperlink ref="R3659" r:id="rId7314" location="" tooltip="" display=""/>
    <hyperlink ref="K3661" r:id="rId7315" location="" tooltip="" display=""/>
    <hyperlink ref="L3661" r:id="rId7316" location="" tooltip="" display=""/>
    <hyperlink ref="Q3661" r:id="rId7317" location="" tooltip="" display=""/>
    <hyperlink ref="R3661" r:id="rId7318" location="" tooltip="" display=""/>
    <hyperlink ref="L3663" r:id="rId7319" location="" tooltip="" display=""/>
    <hyperlink ref="R3663" r:id="rId7320" location="" tooltip="" display=""/>
    <hyperlink ref="K3664" r:id="rId7321" location="" tooltip="" display=""/>
    <hyperlink ref="L3664" r:id="rId7322" location="" tooltip="" display=""/>
    <hyperlink ref="Q3664" r:id="rId7323" location="" tooltip="" display=""/>
    <hyperlink ref="R3664" r:id="rId7324" location="" tooltip="" display=""/>
    <hyperlink ref="L3665" r:id="rId7325" location="" tooltip="" display=""/>
    <hyperlink ref="R3665" r:id="rId7326" location="" tooltip="" display=""/>
    <hyperlink ref="L3666" r:id="rId7327" location="" tooltip="" display=""/>
    <hyperlink ref="R3666" r:id="rId7328" location="" tooltip="" display=""/>
    <hyperlink ref="L3668" r:id="rId7329" location="" tooltip="" display=""/>
    <hyperlink ref="R3668" r:id="rId7330" location="" tooltip="" display=""/>
    <hyperlink ref="K3669" r:id="rId7331" location="" tooltip="" display=""/>
    <hyperlink ref="L3669" r:id="rId7332" location="" tooltip="" display=""/>
    <hyperlink ref="Q3669" r:id="rId7333" location="" tooltip="" display=""/>
    <hyperlink ref="R3669" r:id="rId7334" location="" tooltip="" display=""/>
    <hyperlink ref="L3670" r:id="rId7335" location="" tooltip="" display=""/>
    <hyperlink ref="R3670" r:id="rId7336" location="" tooltip="" display=""/>
    <hyperlink ref="L3671" r:id="rId7337" location="" tooltip="" display=""/>
    <hyperlink ref="R3671" r:id="rId7338" location="" tooltip="" display=""/>
    <hyperlink ref="K3673" r:id="rId7339" location="" tooltip="" display=""/>
    <hyperlink ref="L3673" r:id="rId7340" location="" tooltip="" display=""/>
    <hyperlink ref="Q3673" r:id="rId7341" location="" tooltip="" display=""/>
    <hyperlink ref="R3673" r:id="rId7342" location="" tooltip="" display=""/>
    <hyperlink ref="K3675" r:id="rId7343" location="" tooltip="" display=""/>
    <hyperlink ref="L3675" r:id="rId7344" location="" tooltip="" display=""/>
    <hyperlink ref="Q3675" r:id="rId7345" location="" tooltip="" display=""/>
    <hyperlink ref="R3675" r:id="rId7346" location="" tooltip="" display=""/>
    <hyperlink ref="L3676" r:id="rId7347" location="" tooltip="" display=""/>
    <hyperlink ref="R3676" r:id="rId7348" location="" tooltip="" display=""/>
    <hyperlink ref="K3678" r:id="rId7349" location="" tooltip="" display=""/>
    <hyperlink ref="L3678" r:id="rId7350" location="" tooltip="" display=""/>
    <hyperlink ref="Q3678" r:id="rId7351" location="" tooltip="" display=""/>
    <hyperlink ref="R3678" r:id="rId7352" location="" tooltip="" display=""/>
    <hyperlink ref="L3680" r:id="rId7353" location="" tooltip="" display=""/>
    <hyperlink ref="R3680" r:id="rId7354" location="" tooltip="" display=""/>
    <hyperlink ref="L3681" r:id="rId7355" location="" tooltip="" display=""/>
    <hyperlink ref="R3681" r:id="rId7356" location="" tooltip="" display=""/>
    <hyperlink ref="L3682" r:id="rId7357" location="" tooltip="" display=""/>
    <hyperlink ref="R3682" r:id="rId7358" location="" tooltip="" display=""/>
    <hyperlink ref="K3683" r:id="rId7359" location="" tooltip="" display=""/>
    <hyperlink ref="L3683" r:id="rId7360" location="" tooltip="" display=""/>
    <hyperlink ref="Q3683" r:id="rId7361" location="" tooltip="" display=""/>
    <hyperlink ref="R3683" r:id="rId7362" location="" tooltip="" display=""/>
    <hyperlink ref="L3684" r:id="rId7363" location="" tooltip="" display=""/>
    <hyperlink ref="R3684" r:id="rId7364" location="" tooltip="" display=""/>
    <hyperlink ref="L3685" r:id="rId7365" location="" tooltip="" display=""/>
    <hyperlink ref="R3685" r:id="rId7366" location="" tooltip="" display=""/>
    <hyperlink ref="L3686" r:id="rId7367" location="" tooltip="" display=""/>
    <hyperlink ref="R3686" r:id="rId7368" location="" tooltip="" display=""/>
    <hyperlink ref="L3687" r:id="rId7369" location="" tooltip="" display=""/>
    <hyperlink ref="R3687" r:id="rId7370" location="" tooltip="" display=""/>
    <hyperlink ref="L3689" r:id="rId7371" location="" tooltip="" display=""/>
    <hyperlink ref="R3689" r:id="rId7372" location="" tooltip="" display=""/>
    <hyperlink ref="K3690" r:id="rId7373" location="" tooltip="" display=""/>
    <hyperlink ref="L3690" r:id="rId7374" location="" tooltip="" display=""/>
    <hyperlink ref="Q3690" r:id="rId7375" location="" tooltip="" display=""/>
    <hyperlink ref="R3690" r:id="rId7376" location="" tooltip="" display=""/>
    <hyperlink ref="L3691" r:id="rId7377" location="" tooltip="" display=""/>
    <hyperlink ref="R3691" r:id="rId7378" location="" tooltip="" display=""/>
    <hyperlink ref="L3693" r:id="rId7379" location="" tooltip="" display=""/>
    <hyperlink ref="R3693" r:id="rId7380" location="" tooltip="" display=""/>
    <hyperlink ref="K3694" r:id="rId7381" location="" tooltip="" display=""/>
    <hyperlink ref="L3694" r:id="rId7382" location="" tooltip="" display=""/>
    <hyperlink ref="Q3694" r:id="rId7383" location="" tooltip="" display=""/>
    <hyperlink ref="R3694" r:id="rId7384" location="" tooltip="" display=""/>
    <hyperlink ref="L3695" r:id="rId7385" location="" tooltip="" display=""/>
    <hyperlink ref="R3695" r:id="rId7386" location="" tooltip="" display=""/>
    <hyperlink ref="L3696" r:id="rId7387" location="" tooltip="" display=""/>
    <hyperlink ref="R3696" r:id="rId7388" location="" tooltip="" display=""/>
    <hyperlink ref="K3698" r:id="rId7389" location="" tooltip="" display=""/>
    <hyperlink ref="L3698" r:id="rId7390" location="" tooltip="" display=""/>
    <hyperlink ref="Q3698" r:id="rId7391" location="" tooltip="" display=""/>
    <hyperlink ref="R3698" r:id="rId7392" location="" tooltip="" display=""/>
    <hyperlink ref="L3699" r:id="rId7393" location="" tooltip="" display=""/>
    <hyperlink ref="R3699" r:id="rId7394" location="" tooltip="" display=""/>
    <hyperlink ref="L3701" r:id="rId7395" location="" tooltip="" display=""/>
    <hyperlink ref="R3701" r:id="rId7396" location="" tooltip="" display=""/>
    <hyperlink ref="L3702" r:id="rId7397" location="" tooltip="" display=""/>
    <hyperlink ref="R3702" r:id="rId7398" location="" tooltip="" display=""/>
    <hyperlink ref="K3703" r:id="rId7399" location="" tooltip="" display=""/>
    <hyperlink ref="L3703" r:id="rId7400" location="" tooltip="" display=""/>
    <hyperlink ref="Q3703" r:id="rId7401" location="" tooltip="" display=""/>
    <hyperlink ref="R3703" r:id="rId7402" location="" tooltip="" display=""/>
    <hyperlink ref="L3704" r:id="rId7403" location="" tooltip="" display=""/>
    <hyperlink ref="R3704" r:id="rId7404" location="" tooltip="" display=""/>
    <hyperlink ref="L3705" r:id="rId7405" location="" tooltip="" display=""/>
    <hyperlink ref="R3705" r:id="rId7406" location="" tooltip="" display=""/>
    <hyperlink ref="L3706" r:id="rId7407" location="" tooltip="" display=""/>
    <hyperlink ref="R3706" r:id="rId7408" location="" tooltip="" display=""/>
    <hyperlink ref="K3708" r:id="rId7409" location="" tooltip="" display=""/>
    <hyperlink ref="L3708" r:id="rId7410" location="" tooltip="" display=""/>
    <hyperlink ref="Q3708" r:id="rId7411" location="" tooltip="" display=""/>
    <hyperlink ref="R3708" r:id="rId7412" location="" tooltip="" display=""/>
    <hyperlink ref="L3710" r:id="rId7413" location="" tooltip="" display=""/>
    <hyperlink ref="R3710" r:id="rId7414" location="" tooltip="" display=""/>
    <hyperlink ref="K3711" r:id="rId7415" location="" tooltip="" display=""/>
    <hyperlink ref="L3711" r:id="rId7416" location="" tooltip="" display=""/>
    <hyperlink ref="Q3711" r:id="rId7417" location="" tooltip="" display=""/>
    <hyperlink ref="R3711" r:id="rId7418" location="" tooltip="" display=""/>
    <hyperlink ref="L3712" r:id="rId7419" location="" tooltip="" display=""/>
    <hyperlink ref="R3712" r:id="rId7420" location="" tooltip="" display=""/>
    <hyperlink ref="L3714" r:id="rId7421" location="" tooltip="" display=""/>
    <hyperlink ref="R3714" r:id="rId7422" location="" tooltip="" display=""/>
    <hyperlink ref="K3715" r:id="rId7423" location="" tooltip="" display=""/>
    <hyperlink ref="L3715" r:id="rId7424" location="" tooltip="" display=""/>
    <hyperlink ref="Q3715" r:id="rId7425" location="" tooltip="" display=""/>
    <hyperlink ref="R3715" r:id="rId7426" location="" tooltip="" display=""/>
    <hyperlink ref="L3716" r:id="rId7427" location="" tooltip="" display=""/>
    <hyperlink ref="R3716" r:id="rId7428" location="" tooltip="" display=""/>
    <hyperlink ref="L3717" r:id="rId7429" location="" tooltip="" display=""/>
    <hyperlink ref="R3717" r:id="rId7430" location="" tooltip="" display=""/>
    <hyperlink ref="L3719" r:id="rId7431" location="" tooltip="" display=""/>
    <hyperlink ref="R3719" r:id="rId7432" location="" tooltip="" display=""/>
    <hyperlink ref="L3720" r:id="rId7433" location="" tooltip="" display=""/>
    <hyperlink ref="R3720" r:id="rId7434" location="" tooltip="" display=""/>
    <hyperlink ref="K3721" r:id="rId7435" location="" tooltip="" display=""/>
    <hyperlink ref="L3721" r:id="rId7436" location="" tooltip="" display=""/>
    <hyperlink ref="Q3721" r:id="rId7437" location="" tooltip="" display=""/>
    <hyperlink ref="R3721" r:id="rId7438" location="" tooltip="" display=""/>
    <hyperlink ref="L3722" r:id="rId7439" location="" tooltip="" display=""/>
    <hyperlink ref="R3722" r:id="rId7440" location="" tooltip="" display=""/>
    <hyperlink ref="L3723" r:id="rId7441" location="" tooltip="" display=""/>
    <hyperlink ref="R3723" r:id="rId7442" location="" tooltip="" display=""/>
    <hyperlink ref="K3725" r:id="rId7443" location="" tooltip="" display=""/>
    <hyperlink ref="L3725" r:id="rId7444" location="" tooltip="" display=""/>
    <hyperlink ref="Q3725" r:id="rId7445" location="" tooltip="" display=""/>
    <hyperlink ref="R3725" r:id="rId7446" location="" tooltip="" display=""/>
    <hyperlink ref="L3727" r:id="rId7447" location="" tooltip="" display=""/>
    <hyperlink ref="R3727" r:id="rId7448" location="" tooltip="" display=""/>
    <hyperlink ref="K3728" r:id="rId7449" location="" tooltip="" display=""/>
    <hyperlink ref="L3728" r:id="rId7450" location="" tooltip="" display=""/>
    <hyperlink ref="Q3728" r:id="rId7451" location="" tooltip="" display=""/>
    <hyperlink ref="R3728" r:id="rId7452" location="" tooltip="" display=""/>
    <hyperlink ref="L3729" r:id="rId7453" location="" tooltip="" display=""/>
    <hyperlink ref="R3729" r:id="rId7454" location="" tooltip="" display=""/>
    <hyperlink ref="K3731" r:id="rId7455" location="" tooltip="" display=""/>
    <hyperlink ref="L3731" r:id="rId7456" location="" tooltip="" display=""/>
    <hyperlink ref="Q3731" r:id="rId7457" location="" tooltip="" display=""/>
    <hyperlink ref="R3731" r:id="rId7458" location="" tooltip="" display=""/>
    <hyperlink ref="L3732" r:id="rId7459" location="" tooltip="" display=""/>
    <hyperlink ref="R3732" r:id="rId7460" location="" tooltip="" display=""/>
    <hyperlink ref="L3734" r:id="rId7461" location="" tooltip="" display=""/>
    <hyperlink ref="R3734" r:id="rId7462" location="" tooltip="" display=""/>
    <hyperlink ref="L3735" r:id="rId7463" location="" tooltip="" display=""/>
    <hyperlink ref="R3735" r:id="rId7464" location="" tooltip="" display=""/>
    <hyperlink ref="L3736" r:id="rId7465" location="" tooltip="" display=""/>
    <hyperlink ref="R3736" r:id="rId7466" location="" tooltip="" display=""/>
    <hyperlink ref="K3737" r:id="rId7467" location="" tooltip="" display=""/>
    <hyperlink ref="L3737" r:id="rId7468" location="" tooltip="" display=""/>
    <hyperlink ref="Q3737" r:id="rId7469" location="" tooltip="" display=""/>
    <hyperlink ref="R3737" r:id="rId7470" location="" tooltip="" display=""/>
    <hyperlink ref="L3738" r:id="rId7471" location="" tooltip="" display=""/>
    <hyperlink ref="R3738" r:id="rId7472" location="" tooltip="" display=""/>
    <hyperlink ref="L3739" r:id="rId7473" location="" tooltip="" display=""/>
    <hyperlink ref="R3739" r:id="rId7474" location="" tooltip="" display=""/>
    <hyperlink ref="L3740" r:id="rId7475" location="" tooltip="" display=""/>
    <hyperlink ref="R3740" r:id="rId7476" location="" tooltip="" display=""/>
    <hyperlink ref="K3742" r:id="rId7477" location="" tooltip="" display=""/>
    <hyperlink ref="L3742" r:id="rId7478" location="" tooltip="" display=""/>
    <hyperlink ref="Q3742" r:id="rId7479" location="" tooltip="" display=""/>
    <hyperlink ref="R3742" r:id="rId7480" location="" tooltip="" display=""/>
    <hyperlink ref="L3743" r:id="rId7481" location="" tooltip="" display=""/>
    <hyperlink ref="R3743" r:id="rId7482" location="" tooltip="" display=""/>
    <hyperlink ref="L3745" r:id="rId7483" location="" tooltip="" display=""/>
    <hyperlink ref="R3745" r:id="rId7484" location="" tooltip="" display=""/>
    <hyperlink ref="K3746" r:id="rId7485" location="" tooltip="" display=""/>
    <hyperlink ref="L3746" r:id="rId7486" location="" tooltip="" display=""/>
    <hyperlink ref="Q3746" r:id="rId7487" location="" tooltip="" display=""/>
    <hyperlink ref="R3746" r:id="rId7488" location="" tooltip="" display=""/>
    <hyperlink ref="L3747" r:id="rId7489" location="" tooltip="" display=""/>
    <hyperlink ref="R3747" r:id="rId7490" location="" tooltip="" display=""/>
    <hyperlink ref="K3749" r:id="rId7491" location="" tooltip="" display=""/>
    <hyperlink ref="L3749" r:id="rId7492" location="" tooltip="" display=""/>
    <hyperlink ref="Q3749" r:id="rId7493" location="" tooltip="" display=""/>
    <hyperlink ref="R3749" r:id="rId7494" location="" tooltip="" display=""/>
    <hyperlink ref="L3750" r:id="rId7495" location="" tooltip="" display=""/>
    <hyperlink ref="R3750" r:id="rId7496" location="" tooltip="" display=""/>
    <hyperlink ref="K3752" r:id="rId7497" location="" tooltip="" display=""/>
    <hyperlink ref="L3752" r:id="rId7498" location="" tooltip="" display=""/>
    <hyperlink ref="Q3752" r:id="rId7499" location="" tooltip="" display=""/>
    <hyperlink ref="R3752" r:id="rId7500" location="" tooltip="" display=""/>
    <hyperlink ref="L3753" r:id="rId7501" location="" tooltip="" display=""/>
    <hyperlink ref="R3753" r:id="rId7502" location="" tooltip="" display=""/>
    <hyperlink ref="K3755" r:id="rId7503" location="" tooltip="" display=""/>
    <hyperlink ref="L3755" r:id="rId7504" location="" tooltip="" display=""/>
    <hyperlink ref="Q3755" r:id="rId7505" location="" tooltip="" display=""/>
    <hyperlink ref="R3755" r:id="rId7506" location="" tooltip="" display=""/>
    <hyperlink ref="K3757" r:id="rId7507" location="" tooltip="" display=""/>
    <hyperlink ref="L3757" r:id="rId7508" location="" tooltip="" display=""/>
    <hyperlink ref="Q3757" r:id="rId7509" location="" tooltip="" display=""/>
    <hyperlink ref="R3757" r:id="rId7510" location="" tooltip="" display=""/>
    <hyperlink ref="K3759" r:id="rId7511" location="" tooltip="" display=""/>
    <hyperlink ref="L3759" r:id="rId7512" location="" tooltip="" display=""/>
    <hyperlink ref="Q3759" r:id="rId7513" location="" tooltip="" display=""/>
    <hyperlink ref="R3759" r:id="rId7514" location="" tooltip="" display=""/>
    <hyperlink ref="L3761" r:id="rId7515" location="" tooltip="" display=""/>
    <hyperlink ref="R3761" r:id="rId7516" location="" tooltip="" display=""/>
    <hyperlink ref="K3762" r:id="rId7517" location="" tooltip="" display=""/>
    <hyperlink ref="L3762" r:id="rId7518" location="" tooltip="" display=""/>
    <hyperlink ref="Q3762" r:id="rId7519" location="" tooltip="" display=""/>
    <hyperlink ref="R3762" r:id="rId7520" location="" tooltip="" display=""/>
    <hyperlink ref="L3763" r:id="rId7521" location="" tooltip="" display=""/>
    <hyperlink ref="R3763" r:id="rId7522" location="" tooltip="" display=""/>
    <hyperlink ref="L3765" r:id="rId7523" location="" tooltip="" display=""/>
    <hyperlink ref="R3765" r:id="rId7524" location="" tooltip="" display=""/>
    <hyperlink ref="K3766" r:id="rId7525" location="" tooltip="" display=""/>
    <hyperlink ref="L3766" r:id="rId7526" location="" tooltip="" display=""/>
    <hyperlink ref="Q3766" r:id="rId7527" location="" tooltip="" display=""/>
    <hyperlink ref="R3766" r:id="rId7528" location="" tooltip="" display=""/>
    <hyperlink ref="L3767" r:id="rId7529" location="" tooltip="" display=""/>
    <hyperlink ref="R3767" r:id="rId7530" location="" tooltip="" display=""/>
    <hyperlink ref="L3768" r:id="rId7531" location="" tooltip="" display=""/>
    <hyperlink ref="R3768" r:id="rId7532" location="" tooltip="" display=""/>
    <hyperlink ref="L3770" r:id="rId7533" location="" tooltip="" display=""/>
    <hyperlink ref="R3770" r:id="rId7534" location="" tooltip="" display=""/>
    <hyperlink ref="K3771" r:id="rId7535" location="" tooltip="" display=""/>
    <hyperlink ref="L3771" r:id="rId7536" location="" tooltip="" display=""/>
    <hyperlink ref="Q3771" r:id="rId7537" location="" tooltip="" display=""/>
    <hyperlink ref="R3771" r:id="rId7538" location="" tooltip="" display=""/>
    <hyperlink ref="L3772" r:id="rId7539" location="" tooltip="" display=""/>
    <hyperlink ref="R3772" r:id="rId7540" location="" tooltip="" display=""/>
    <hyperlink ref="L3773" r:id="rId7541" location="" tooltip="" display=""/>
    <hyperlink ref="R3773" r:id="rId7542" location="" tooltip="" display=""/>
    <hyperlink ref="K3775" r:id="rId7543" location="" tooltip="" display=""/>
    <hyperlink ref="L3775" r:id="rId7544" location="" tooltip="" display=""/>
    <hyperlink ref="Q3775" r:id="rId7545" location="" tooltip="" display=""/>
    <hyperlink ref="R3775" r:id="rId7546" location="" tooltip="" display=""/>
    <hyperlink ref="L3776" r:id="rId7547" location="" tooltip="" display=""/>
    <hyperlink ref="R3776" r:id="rId7548" location="" tooltip="" display=""/>
    <hyperlink ref="K3778" r:id="rId7549" location="" tooltip="" display=""/>
    <hyperlink ref="L3778" r:id="rId7550" location="" tooltip="" display=""/>
    <hyperlink ref="Q3778" r:id="rId7551" location="" tooltip="" display=""/>
    <hyperlink ref="R3778" r:id="rId7552" location="" tooltip="" display=""/>
    <hyperlink ref="L3779" r:id="rId7553" location="" tooltip="" display=""/>
    <hyperlink ref="R3779" r:id="rId7554" location="" tooltip="" display=""/>
    <hyperlink ref="L3781" r:id="rId7555" location="" tooltip="" display=""/>
    <hyperlink ref="R3781" r:id="rId7556" location="" tooltip="" display=""/>
    <hyperlink ref="L3782" r:id="rId7557" location="" tooltip="" display=""/>
    <hyperlink ref="R3782" r:id="rId7558" location="" tooltip="" display=""/>
    <hyperlink ref="K3783" r:id="rId7559" location="" tooltip="" display=""/>
    <hyperlink ref="L3783" r:id="rId7560" location="" tooltip="" display=""/>
    <hyperlink ref="Q3783" r:id="rId7561" location="" tooltip="" display=""/>
    <hyperlink ref="R3783" r:id="rId7562" location="" tooltip="" display=""/>
    <hyperlink ref="L3784" r:id="rId7563" location="" tooltip="" display=""/>
    <hyperlink ref="R3784" r:id="rId7564" location="" tooltip="" display=""/>
    <hyperlink ref="L3785" r:id="rId7565" location="" tooltip="" display=""/>
    <hyperlink ref="R3785" r:id="rId7566" location="" tooltip="" display=""/>
    <hyperlink ref="L3786" r:id="rId7567" location="" tooltip="" display=""/>
    <hyperlink ref="R3786" r:id="rId7568" location="" tooltip="" display=""/>
    <hyperlink ref="L3788" r:id="rId7569" location="" tooltip="" display=""/>
    <hyperlink ref="R3788" r:id="rId7570" location="" tooltip="" display=""/>
    <hyperlink ref="K3789" r:id="rId7571" location="" tooltip="" display=""/>
    <hyperlink ref="L3789" r:id="rId7572" location="" tooltip="" display=""/>
    <hyperlink ref="Q3789" r:id="rId7573" location="" tooltip="" display=""/>
    <hyperlink ref="R3789" r:id="rId7574" location="" tooltip="" display=""/>
    <hyperlink ref="L3790" r:id="rId7575" location="" tooltip="" display=""/>
    <hyperlink ref="R3790" r:id="rId7576" location="" tooltip="" display=""/>
    <hyperlink ref="K3792" r:id="rId7577" location="" tooltip="" display=""/>
    <hyperlink ref="L3792" r:id="rId7578" location="" tooltip="" display=""/>
    <hyperlink ref="Q3792" r:id="rId7579" location="" tooltip="" display=""/>
    <hyperlink ref="R3792" r:id="rId7580" location="" tooltip="" display=""/>
    <hyperlink ref="L3794" r:id="rId7581" location="" tooltip="" display=""/>
    <hyperlink ref="R3794" r:id="rId7582" location="" tooltip="" display=""/>
    <hyperlink ref="L3795" r:id="rId7583" location="" tooltip="" display=""/>
    <hyperlink ref="R3795" r:id="rId7584" location="" tooltip="" display=""/>
    <hyperlink ref="L3796" r:id="rId7585" location="" tooltip="" display=""/>
    <hyperlink ref="R3796" r:id="rId7586" location="" tooltip="" display=""/>
    <hyperlink ref="K3797" r:id="rId7587" location="" tooltip="" display=""/>
    <hyperlink ref="L3797" r:id="rId7588" location="" tooltip="" display=""/>
    <hyperlink ref="Q3797" r:id="rId7589" location="" tooltip="" display=""/>
    <hyperlink ref="R3797" r:id="rId7590" location="" tooltip="" display=""/>
    <hyperlink ref="L3798" r:id="rId7591" location="" tooltip="" display=""/>
    <hyperlink ref="R3798" r:id="rId7592" location="" tooltip="" display=""/>
    <hyperlink ref="L3799" r:id="rId7593" location="" tooltip="" display=""/>
    <hyperlink ref="R3799" r:id="rId7594" location="" tooltip="" display=""/>
    <hyperlink ref="L3800" r:id="rId7595" location="" tooltip="" display=""/>
    <hyperlink ref="R3800" r:id="rId7596" location="" tooltip="" display=""/>
    <hyperlink ref="L3802" r:id="rId7597" location="" tooltip="" display=""/>
    <hyperlink ref="R3802" r:id="rId7598" location="" tooltip="" display=""/>
    <hyperlink ref="K3803" r:id="rId7599" location="" tooltip="" display=""/>
    <hyperlink ref="L3803" r:id="rId7600" location="" tooltip="" display=""/>
    <hyperlink ref="Q3803" r:id="rId7601" location="" tooltip="" display=""/>
    <hyperlink ref="R3803" r:id="rId7602" location="" tooltip="" display=""/>
    <hyperlink ref="L3804" r:id="rId7603" location="" tooltip="" display=""/>
    <hyperlink ref="R3804" r:id="rId7604" location="" tooltip="" display=""/>
    <hyperlink ref="L3806" r:id="rId7605" location="" tooltip="" display=""/>
    <hyperlink ref="R3806" r:id="rId7606" location="" tooltip="" display=""/>
    <hyperlink ref="L3807" r:id="rId7607" location="" tooltip="" display=""/>
    <hyperlink ref="R3807" r:id="rId7608" location="" tooltip="" display=""/>
    <hyperlink ref="L3808" r:id="rId7609" location="" tooltip="" display=""/>
    <hyperlink ref="R3808" r:id="rId7610" location="" tooltip="" display=""/>
    <hyperlink ref="K3809" r:id="rId7611" location="" tooltip="" display=""/>
    <hyperlink ref="L3809" r:id="rId7612" location="" tooltip="" display=""/>
    <hyperlink ref="Q3809" r:id="rId7613" location="" tooltip="" display=""/>
    <hyperlink ref="R3809" r:id="rId7614" location="" tooltip="" display=""/>
    <hyperlink ref="L3810" r:id="rId7615" location="" tooltip="" display=""/>
    <hyperlink ref="R3810" r:id="rId7616" location="" tooltip="" display=""/>
    <hyperlink ref="L3811" r:id="rId7617" location="" tooltip="" display=""/>
    <hyperlink ref="R3811" r:id="rId7618" location="" tooltip="" display=""/>
    <hyperlink ref="L3812" r:id="rId7619" location="" tooltip="" display=""/>
    <hyperlink ref="R3812" r:id="rId7620" location="" tooltip="" display=""/>
    <hyperlink ref="L3813" r:id="rId7621" location="" tooltip="" display=""/>
    <hyperlink ref="R3813" r:id="rId7622" location="" tooltip="" display=""/>
    <hyperlink ref="L3815" r:id="rId7623" location="" tooltip="" display=""/>
    <hyperlink ref="R3815" r:id="rId7624" location="" tooltip="" display=""/>
    <hyperlink ref="L3816" r:id="rId7625" location="" tooltip="" display=""/>
    <hyperlink ref="R3816" r:id="rId7626" location="" tooltip="" display=""/>
    <hyperlink ref="K3817" r:id="rId7627" location="" tooltip="" display=""/>
    <hyperlink ref="L3817" r:id="rId7628" location="" tooltip="" display=""/>
    <hyperlink ref="Q3817" r:id="rId7629" location="" tooltip="" display=""/>
    <hyperlink ref="R3817" r:id="rId7630" location="" tooltip="" display=""/>
    <hyperlink ref="L3818" r:id="rId7631" location="" tooltip="" display=""/>
    <hyperlink ref="R3818" r:id="rId7632" location="" tooltip="" display=""/>
    <hyperlink ref="L3819" r:id="rId7633" location="" tooltip="" display=""/>
    <hyperlink ref="R3819" r:id="rId7634" location="" tooltip="" display=""/>
    <hyperlink ref="L3820" r:id="rId7635" location="" tooltip="" display=""/>
    <hyperlink ref="R3820" r:id="rId7636" location="" tooltip="" display=""/>
    <hyperlink ref="L3822" r:id="rId7637" location="" tooltip="" display=""/>
    <hyperlink ref="R3822" r:id="rId7638" location="" tooltip="" display=""/>
    <hyperlink ref="K3823" r:id="rId7639" location="" tooltip="" display=""/>
    <hyperlink ref="L3823" r:id="rId7640" location="" tooltip="" display=""/>
    <hyperlink ref="Q3823" r:id="rId7641" location="" tooltip="" display=""/>
    <hyperlink ref="R3823" r:id="rId7642" location="" tooltip="" display=""/>
    <hyperlink ref="L3824" r:id="rId7643" location="" tooltip="" display=""/>
    <hyperlink ref="R3824" r:id="rId7644" location="" tooltip="" display=""/>
    <hyperlink ref="L3825" r:id="rId7645" location="" tooltip="" display=""/>
    <hyperlink ref="R3825" r:id="rId7646" location="" tooltip="" display=""/>
    <hyperlink ref="L3827" r:id="rId7647" location="" tooltip="" display=""/>
    <hyperlink ref="R3827" r:id="rId7648" location="" tooltip="" display=""/>
    <hyperlink ref="L3828" r:id="rId7649" location="" tooltip="" display=""/>
    <hyperlink ref="R3828" r:id="rId7650" location="" tooltip="" display=""/>
    <hyperlink ref="L3829" r:id="rId7651" location="" tooltip="" display=""/>
    <hyperlink ref="R3829" r:id="rId7652" location="" tooltip="" display=""/>
    <hyperlink ref="K3830" r:id="rId7653" location="" tooltip="" display=""/>
    <hyperlink ref="L3830" r:id="rId7654" location="" tooltip="" display=""/>
    <hyperlink ref="Q3830" r:id="rId7655" location="" tooltip="" display=""/>
    <hyperlink ref="R3830" r:id="rId7656" location="" tooltip="" display=""/>
    <hyperlink ref="L3831" r:id="rId7657" location="" tooltip="" display=""/>
    <hyperlink ref="R3831" r:id="rId7658" location="" tooltip="" display=""/>
    <hyperlink ref="L3832" r:id="rId7659" location="" tooltip="" display=""/>
    <hyperlink ref="R3832" r:id="rId7660" location="" tooltip="" display=""/>
    <hyperlink ref="L3833" r:id="rId7661" location="" tooltip="" display=""/>
    <hyperlink ref="R3833" r:id="rId7662" location="" tooltip="" display=""/>
    <hyperlink ref="L3834" r:id="rId7663" location="" tooltip="" display=""/>
    <hyperlink ref="R3834" r:id="rId7664" location="" tooltip="" display=""/>
    <hyperlink ref="L3836" r:id="rId7665" location="" tooltip="" display=""/>
    <hyperlink ref="R3836" r:id="rId7666" location="" tooltip="" display=""/>
    <hyperlink ref="K3837" r:id="rId7667" location="" tooltip="" display=""/>
    <hyperlink ref="L3837" r:id="rId7668" location="" tooltip="" display=""/>
    <hyperlink ref="Q3837" r:id="rId7669" location="" tooltip="" display=""/>
    <hyperlink ref="R3837" r:id="rId7670" location="" tooltip="" display=""/>
    <hyperlink ref="L3838" r:id="rId7671" location="" tooltip="" display=""/>
    <hyperlink ref="R3838" r:id="rId7672" location="" tooltip="" display=""/>
    <hyperlink ref="L3839" r:id="rId7673" location="" tooltip="" display=""/>
    <hyperlink ref="R3839" r:id="rId7674" location="" tooltip="" display=""/>
    <hyperlink ref="L3841" r:id="rId7675" location="" tooltip="" display=""/>
    <hyperlink ref="R3841" r:id="rId7676" location="" tooltip="" display=""/>
    <hyperlink ref="K3842" r:id="rId7677" location="" tooltip="" display=""/>
    <hyperlink ref="L3842" r:id="rId7678" location="" tooltip="" display=""/>
    <hyperlink ref="Q3842" r:id="rId7679" location="" tooltip="" display=""/>
    <hyperlink ref="R3842" r:id="rId7680" location="" tooltip="" display=""/>
    <hyperlink ref="L3843" r:id="rId7681" location="" tooltip="" display=""/>
    <hyperlink ref="R3843" r:id="rId7682" location="" tooltip="" display=""/>
    <hyperlink ref="K3845" r:id="rId7683" location="" tooltip="" display=""/>
    <hyperlink ref="L3845" r:id="rId7684" location="" tooltip="" display=""/>
    <hyperlink ref="Q3845" r:id="rId7685" location="" tooltip="" display=""/>
    <hyperlink ref="R3845" r:id="rId7686" location="" tooltip="" display=""/>
    <hyperlink ref="L3847" r:id="rId7687" location="" tooltip="" display=""/>
    <hyperlink ref="R3847" r:id="rId7688" location="" tooltip="" display=""/>
    <hyperlink ref="K3848" r:id="rId7689" location="" tooltip="" display=""/>
    <hyperlink ref="L3848" r:id="rId7690" location="" tooltip="" display=""/>
    <hyperlink ref="Q3848" r:id="rId7691" location="" tooltip="" display=""/>
    <hyperlink ref="R3848" r:id="rId7692" location="" tooltip="" display=""/>
    <hyperlink ref="L3849" r:id="rId7693" location="" tooltip="" display=""/>
    <hyperlink ref="R3849" r:id="rId7694" location="" tooltip="" display=""/>
    <hyperlink ref="L3851" r:id="rId7695" location="" tooltip="" display=""/>
    <hyperlink ref="R3851" r:id="rId7696" location="" tooltip="" display=""/>
    <hyperlink ref="L3852" r:id="rId7697" location="" tooltip="" display=""/>
    <hyperlink ref="R3852" r:id="rId7698" location="" tooltip="" display=""/>
    <hyperlink ref="K3853" r:id="rId7699" location="" tooltip="" display=""/>
    <hyperlink ref="L3853" r:id="rId7700" location="" tooltip="" display=""/>
    <hyperlink ref="Q3853" r:id="rId7701" location="" tooltip="" display=""/>
    <hyperlink ref="R3853" r:id="rId7702" location="" tooltip="" display=""/>
    <hyperlink ref="L3854" r:id="rId7703" location="" tooltip="" display=""/>
    <hyperlink ref="R3854" r:id="rId7704" location="" tooltip="" display=""/>
    <hyperlink ref="L3855" r:id="rId7705" location="" tooltip="" display=""/>
    <hyperlink ref="R3855" r:id="rId7706" location="" tooltip="" display=""/>
    <hyperlink ref="K3857" r:id="rId7707" location="" tooltip="" display=""/>
    <hyperlink ref="L3857" r:id="rId7708" location="" tooltip="" display=""/>
    <hyperlink ref="Q3857" r:id="rId7709" location="" tooltip="" display=""/>
    <hyperlink ref="R3857" r:id="rId7710" location="" tooltip="" display=""/>
    <hyperlink ref="L3859" r:id="rId7711" location="" tooltip="" display=""/>
    <hyperlink ref="R3859" r:id="rId7712" location="" tooltip="" display=""/>
    <hyperlink ref="K3860" r:id="rId7713" location="" tooltip="" display=""/>
    <hyperlink ref="L3860" r:id="rId7714" location="" tooltip="" display=""/>
    <hyperlink ref="Q3860" r:id="rId7715" location="" tooltip="" display=""/>
    <hyperlink ref="R3860" r:id="rId7716" location="" tooltip="" display=""/>
    <hyperlink ref="L3861" r:id="rId7717" location="" tooltip="" display=""/>
    <hyperlink ref="R3861" r:id="rId7718" location="" tooltip="" display=""/>
    <hyperlink ref="L3863" r:id="rId7719" location="" tooltip="" display=""/>
    <hyperlink ref="R3863" r:id="rId7720" location="" tooltip="" display=""/>
    <hyperlink ref="L3864" r:id="rId7721" location="" tooltip="" display=""/>
    <hyperlink ref="R3864" r:id="rId7722" location="" tooltip="" display=""/>
    <hyperlink ref="K3865" r:id="rId7723" location="" tooltip="" display=""/>
    <hyperlink ref="L3865" r:id="rId7724" location="" tooltip="" display=""/>
    <hyperlink ref="Q3865" r:id="rId7725" location="" tooltip="" display=""/>
    <hyperlink ref="R3865" r:id="rId7726" location="" tooltip="" display=""/>
    <hyperlink ref="L3866" r:id="rId7727" location="" tooltip="" display=""/>
    <hyperlink ref="R3866" r:id="rId7728" location="" tooltip="" display=""/>
    <hyperlink ref="L3867" r:id="rId7729" location="" tooltip="" display=""/>
    <hyperlink ref="R3867" r:id="rId7730" location="" tooltip="" display=""/>
    <hyperlink ref="L3868" r:id="rId7731" location="" tooltip="" display=""/>
    <hyperlink ref="R3868" r:id="rId7732" location="" tooltip="" display=""/>
    <hyperlink ref="K3870" r:id="rId7733" location="" tooltip="" display=""/>
    <hyperlink ref="L3870" r:id="rId7734" location="" tooltip="" display=""/>
    <hyperlink ref="Q3870" r:id="rId7735" location="" tooltip="" display=""/>
    <hyperlink ref="R3870" r:id="rId7736" location="" tooltip="" display=""/>
    <hyperlink ref="L3871" r:id="rId7737" location="" tooltip="" display=""/>
    <hyperlink ref="R3871" r:id="rId7738" location="" tooltip="" display=""/>
    <hyperlink ref="L3873" r:id="rId7739" location="" tooltip="" display=""/>
    <hyperlink ref="R3873" r:id="rId7740" location="" tooltip="" display=""/>
    <hyperlink ref="K3874" r:id="rId7741" location="" tooltip="" display=""/>
    <hyperlink ref="L3874" r:id="rId7742" location="" tooltip="" display=""/>
    <hyperlink ref="Q3874" r:id="rId7743" location="" tooltip="" display=""/>
    <hyperlink ref="R3874" r:id="rId7744" location="" tooltip="" display=""/>
    <hyperlink ref="L3875" r:id="rId7745" location="" tooltip="" display=""/>
    <hyperlink ref="R3875" r:id="rId7746" location="" tooltip="" display=""/>
    <hyperlink ref="L3877" r:id="rId7747" location="" tooltip="" display=""/>
    <hyperlink ref="R3877" r:id="rId7748" location="" tooltip="" display=""/>
    <hyperlink ref="L3878" r:id="rId7749" location="" tooltip="" display=""/>
    <hyperlink ref="R3878" r:id="rId7750" location="" tooltip="" display=""/>
    <hyperlink ref="K3879" r:id="rId7751" location="" tooltip="" display=""/>
    <hyperlink ref="L3879" r:id="rId7752" location="" tooltip="" display=""/>
    <hyperlink ref="Q3879" r:id="rId7753" location="" tooltip="" display=""/>
    <hyperlink ref="R3879" r:id="rId7754" location="" tooltip="" display=""/>
    <hyperlink ref="L3880" r:id="rId7755" location="" tooltip="" display=""/>
    <hyperlink ref="R3880" r:id="rId7756" location="" tooltip="" display=""/>
    <hyperlink ref="L3881" r:id="rId7757" location="" tooltip="" display=""/>
    <hyperlink ref="R3881" r:id="rId7758" location="" tooltip="" display=""/>
    <hyperlink ref="L3882" r:id="rId7759" location="" tooltip="" display=""/>
    <hyperlink ref="R3882" r:id="rId7760" location="" tooltip="" display=""/>
    <hyperlink ref="K3884" r:id="rId7761" location="" tooltip="" display=""/>
    <hyperlink ref="L3884" r:id="rId7762" location="" tooltip="" display=""/>
    <hyperlink ref="Q3884" r:id="rId7763" location="" tooltip="" display=""/>
    <hyperlink ref="R3884" r:id="rId7764" location="" tooltip="" display=""/>
    <hyperlink ref="K3886" r:id="rId7765" location="" tooltip="" display=""/>
    <hyperlink ref="L3886" r:id="rId7766" location="" tooltip="" display=""/>
    <hyperlink ref="Q3886" r:id="rId7767" location="" tooltip="" display=""/>
    <hyperlink ref="R3886" r:id="rId7768" location="" tooltip="" display=""/>
    <hyperlink ref="K3888" r:id="rId7769" location="" tooltip="" display=""/>
    <hyperlink ref="L3888" r:id="rId7770" location="" tooltip="" display=""/>
    <hyperlink ref="Q3888" r:id="rId7771" location="" tooltip="" display=""/>
    <hyperlink ref="R3888" r:id="rId7772" location="" tooltip="" display=""/>
    <hyperlink ref="L3889" r:id="rId7773" location="" tooltip="" display=""/>
    <hyperlink ref="R3889" r:id="rId7774" location="" tooltip="" display=""/>
    <hyperlink ref="K3891" r:id="rId7775" location="" tooltip="" display=""/>
    <hyperlink ref="L3891" r:id="rId7776" location="" tooltip="" display=""/>
    <hyperlink ref="Q3891" r:id="rId7777" location="" tooltip="" display=""/>
    <hyperlink ref="R3891" r:id="rId7778" location="" tooltip="" display=""/>
    <hyperlink ref="L3893" r:id="rId7779" location="" tooltip="" display=""/>
    <hyperlink ref="R3893" r:id="rId7780" location="" tooltip="" display=""/>
    <hyperlink ref="L3894" r:id="rId7781" location="" tooltip="" display=""/>
    <hyperlink ref="R3894" r:id="rId7782" location="" tooltip="" display=""/>
    <hyperlink ref="L3895" r:id="rId7783" location="" tooltip="" display=""/>
    <hyperlink ref="R3895" r:id="rId7784" location="" tooltip="" display=""/>
    <hyperlink ref="K3896" r:id="rId7785" location="" tooltip="" display=""/>
    <hyperlink ref="L3896" r:id="rId7786" location="" tooltip="" display=""/>
    <hyperlink ref="Q3896" r:id="rId7787" location="" tooltip="" display=""/>
    <hyperlink ref="R3896" r:id="rId7788" location="" tooltip="" display=""/>
    <hyperlink ref="L3897" r:id="rId7789" location="" tooltip="" display=""/>
    <hyperlink ref="R3897" r:id="rId7790" location="" tooltip="" display=""/>
    <hyperlink ref="L3898" r:id="rId7791" location="" tooltip="" display=""/>
    <hyperlink ref="R3898" r:id="rId7792" location="" tooltip="" display=""/>
    <hyperlink ref="L3899" r:id="rId7793" location="" tooltip="" display=""/>
    <hyperlink ref="R3899" r:id="rId7794" location="" tooltip="" display=""/>
    <hyperlink ref="L3901" r:id="rId7795" location="" tooltip="" display=""/>
    <hyperlink ref="R3901" r:id="rId7796" location="" tooltip="" display=""/>
    <hyperlink ref="K3902" r:id="rId7797" location="" tooltip="" display=""/>
    <hyperlink ref="L3902" r:id="rId7798" location="" tooltip="" display=""/>
    <hyperlink ref="Q3902" r:id="rId7799" location="" tooltip="" display=""/>
    <hyperlink ref="R3902" r:id="rId7800" location="" tooltip="" display=""/>
    <hyperlink ref="L3903" r:id="rId7801" location="" tooltip="" display=""/>
    <hyperlink ref="R3903" r:id="rId7802" location="" tooltip="" display=""/>
    <hyperlink ref="L3904" r:id="rId7803" location="" tooltip="" display=""/>
    <hyperlink ref="R3904" r:id="rId7804" location="" tooltip="" display=""/>
    <hyperlink ref="L3906" r:id="rId7805" location="" tooltip="" display=""/>
    <hyperlink ref="R3906" r:id="rId7806" location="" tooltip="" display=""/>
    <hyperlink ref="K3907" r:id="rId7807" location="" tooltip="" display=""/>
    <hyperlink ref="L3907" r:id="rId7808" location="" tooltip="" display=""/>
    <hyperlink ref="Q3907" r:id="rId7809" location="" tooltip="" display=""/>
    <hyperlink ref="R3907" r:id="rId7810" location="" tooltip="" display=""/>
    <hyperlink ref="L3908" r:id="rId7811" location="" tooltip="" display=""/>
    <hyperlink ref="R3908" r:id="rId7812" location="" tooltip="" display=""/>
    <hyperlink ref="L3909" r:id="rId7813" location="" tooltip="" display=""/>
    <hyperlink ref="R3909" r:id="rId7814" location="" tooltip="" display=""/>
    <hyperlink ref="L3911" r:id="rId7815" location="" tooltip="" display=""/>
    <hyperlink ref="R3911" r:id="rId7816" location="" tooltip="" display=""/>
    <hyperlink ref="L3912" r:id="rId7817" location="" tooltip="" display=""/>
    <hyperlink ref="R3912" r:id="rId7818" location="" tooltip="" display=""/>
    <hyperlink ref="K3913" r:id="rId7819" location="" tooltip="" display=""/>
    <hyperlink ref="L3913" r:id="rId7820" location="" tooltip="" display=""/>
    <hyperlink ref="Q3913" r:id="rId7821" location="" tooltip="" display=""/>
    <hyperlink ref="R3913" r:id="rId7822" location="" tooltip="" display=""/>
    <hyperlink ref="L3914" r:id="rId7823" location="" tooltip="" display=""/>
    <hyperlink ref="R3914" r:id="rId7824" location="" tooltip="" display=""/>
    <hyperlink ref="L3915" r:id="rId7825" location="" tooltip="" display=""/>
    <hyperlink ref="R3915" r:id="rId7826" location="" tooltip="" display=""/>
    <hyperlink ref="L3916" r:id="rId7827" location="" tooltip="" display=""/>
    <hyperlink ref="R3916" r:id="rId7828" location="" tooltip="" display=""/>
    <hyperlink ref="L3918" r:id="rId7829" location="" tooltip="" display=""/>
    <hyperlink ref="R3918" r:id="rId7830" location="" tooltip="" display=""/>
    <hyperlink ref="K3919" r:id="rId7831" location="" tooltip="" display=""/>
    <hyperlink ref="L3919" r:id="rId7832" location="" tooltip="" display=""/>
    <hyperlink ref="Q3919" r:id="rId7833" location="" tooltip="" display=""/>
    <hyperlink ref="R3919" r:id="rId7834" location="" tooltip="" display=""/>
    <hyperlink ref="L3920" r:id="rId7835" location="" tooltip="" display=""/>
    <hyperlink ref="R3920" r:id="rId7836" location="" tooltip="" display=""/>
    <hyperlink ref="L3921" r:id="rId7837" location="" tooltip="" display=""/>
    <hyperlink ref="R3921" r:id="rId7838" location="" tooltip="" display=""/>
    <hyperlink ref="L3923" r:id="rId7839" location="" tooltip="" display=""/>
    <hyperlink ref="R3923" r:id="rId7840" location="" tooltip="" display=""/>
    <hyperlink ref="L3924" r:id="rId7841" location="" tooltip="" display=""/>
    <hyperlink ref="R3924" r:id="rId7842" location="" tooltip="" display=""/>
    <hyperlink ref="K3925" r:id="rId7843" location="" tooltip="" display=""/>
    <hyperlink ref="L3925" r:id="rId7844" location="" tooltip="" display=""/>
    <hyperlink ref="Q3925" r:id="rId7845" location="" tooltip="" display=""/>
    <hyperlink ref="R3925" r:id="rId7846" location="" tooltip="" display=""/>
    <hyperlink ref="L3926" r:id="rId7847" location="" tooltip="" display=""/>
    <hyperlink ref="R3926" r:id="rId7848" location="" tooltip="" display=""/>
    <hyperlink ref="L3927" r:id="rId7849" location="" tooltip="" display=""/>
    <hyperlink ref="R3927" r:id="rId7850" location="" tooltip="" display=""/>
    <hyperlink ref="L3929" r:id="rId7851" location="" tooltip="" display=""/>
    <hyperlink ref="R3929" r:id="rId7852" location="" tooltip="" display=""/>
    <hyperlink ref="K3930" r:id="rId7853" location="" tooltip="" display=""/>
    <hyperlink ref="L3930" r:id="rId7854" location="" tooltip="" display=""/>
    <hyperlink ref="Q3930" r:id="rId7855" location="" tooltip="" display=""/>
    <hyperlink ref="R3930" r:id="rId7856" location="" tooltip="" display=""/>
    <hyperlink ref="L3931" r:id="rId7857" location="" tooltip="" display=""/>
    <hyperlink ref="R3931" r:id="rId7858" location="" tooltip="" display=""/>
    <hyperlink ref="L3933" r:id="rId7859" location="" tooltip="" display=""/>
    <hyperlink ref="R3933" r:id="rId7860" location="" tooltip="" display=""/>
    <hyperlink ref="K3934" r:id="rId7861" location="" tooltip="" display=""/>
    <hyperlink ref="L3934" r:id="rId7862" location="" tooltip="" display=""/>
    <hyperlink ref="Q3934" r:id="rId7863" location="" tooltip="" display=""/>
    <hyperlink ref="R3934" r:id="rId7864" location="" tooltip="" display=""/>
    <hyperlink ref="L3935" r:id="rId7865" location="" tooltip="" display=""/>
    <hyperlink ref="R3935" r:id="rId7866" location="" tooltip="" display=""/>
    <hyperlink ref="L3936" r:id="rId7867" location="" tooltip="" display=""/>
    <hyperlink ref="R3936" r:id="rId7868" location="" tooltip="" display=""/>
    <hyperlink ref="L3938" r:id="rId7869" location="" tooltip="" display=""/>
    <hyperlink ref="R3938" r:id="rId7870" location="" tooltip="" display=""/>
    <hyperlink ref="K3939" r:id="rId7871" location="" tooltip="" display=""/>
    <hyperlink ref="L3939" r:id="rId7872" location="" tooltip="" display=""/>
    <hyperlink ref="Q3939" r:id="rId7873" location="" tooltip="" display=""/>
    <hyperlink ref="R3939" r:id="rId7874" location="" tooltip="" display=""/>
    <hyperlink ref="L3940" r:id="rId7875" location="" tooltip="" display=""/>
    <hyperlink ref="R3940" r:id="rId7876" location="" tooltip="" display=""/>
    <hyperlink ref="L3942" r:id="rId7877" location="" tooltip="" display=""/>
    <hyperlink ref="R3942" r:id="rId7878" location="" tooltip="" display=""/>
    <hyperlink ref="K3943" r:id="rId7879" location="" tooltip="" display=""/>
    <hyperlink ref="L3943" r:id="rId7880" location="" tooltip="" display=""/>
    <hyperlink ref="Q3943" r:id="rId7881" location="" tooltip="" display=""/>
    <hyperlink ref="R3943" r:id="rId7882" location="" tooltip="" display=""/>
    <hyperlink ref="L3944" r:id="rId7883" location="" tooltip="" display=""/>
    <hyperlink ref="R3944" r:id="rId7884" location="" tooltip="" display=""/>
    <hyperlink ref="L3945" r:id="rId7885" location="" tooltip="" display=""/>
    <hyperlink ref="R3945" r:id="rId7886" location="" tooltip="" display=""/>
    <hyperlink ref="L3947" r:id="rId7887" location="" tooltip="" display=""/>
    <hyperlink ref="R3947" r:id="rId7888" location="" tooltip="" display=""/>
    <hyperlink ref="K3948" r:id="rId7889" location="" tooltip="" display=""/>
    <hyperlink ref="L3948" r:id="rId7890" location="" tooltip="" display=""/>
    <hyperlink ref="Q3948" r:id="rId7891" location="" tooltip="" display=""/>
    <hyperlink ref="R3948" r:id="rId7892" location="" tooltip="" display=""/>
    <hyperlink ref="L3949" r:id="rId7893" location="" tooltip="" display=""/>
    <hyperlink ref="R3949" r:id="rId7894" location="" tooltip="" display=""/>
    <hyperlink ref="L3950" r:id="rId7895" location="" tooltip="" display=""/>
    <hyperlink ref="R3950" r:id="rId7896" location="" tooltip="" display=""/>
    <hyperlink ref="L3952" r:id="rId7897" location="" tooltip="" display=""/>
    <hyperlink ref="R3952" r:id="rId7898" location="" tooltip="" display=""/>
    <hyperlink ref="K3953" r:id="rId7899" location="" tooltip="" display=""/>
    <hyperlink ref="L3953" r:id="rId7900" location="" tooltip="" display=""/>
    <hyperlink ref="Q3953" r:id="rId7901" location="" tooltip="" display=""/>
    <hyperlink ref="R3953" r:id="rId7902" location="" tooltip="" display=""/>
    <hyperlink ref="L3954" r:id="rId7903" location="" tooltip="" display=""/>
    <hyperlink ref="R3954" r:id="rId7904" location="" tooltip="" display=""/>
    <hyperlink ref="L3955" r:id="rId7905" location="" tooltip="" display=""/>
    <hyperlink ref="R3955" r:id="rId7906" location="" tooltip="" display=""/>
    <hyperlink ref="L3957" r:id="rId7907" location="" tooltip="" display=""/>
    <hyperlink ref="R3957" r:id="rId7908" location="" tooltip="" display=""/>
    <hyperlink ref="K3958" r:id="rId7909" location="" tooltip="" display=""/>
    <hyperlink ref="L3958" r:id="rId7910" location="" tooltip="" display=""/>
    <hyperlink ref="Q3958" r:id="rId7911" location="" tooltip="" display=""/>
    <hyperlink ref="R3958" r:id="rId7912" location="" tooltip="" display=""/>
    <hyperlink ref="L3959" r:id="rId7913" location="" tooltip="" display=""/>
    <hyperlink ref="R3959" r:id="rId7914" location="" tooltip="" display=""/>
    <hyperlink ref="L3960" r:id="rId7915" location="" tooltip="" display=""/>
    <hyperlink ref="R3960" r:id="rId7916" location="" tooltip="" display=""/>
    <hyperlink ref="L3962" r:id="rId7917" location="" tooltip="" display=""/>
    <hyperlink ref="R3962" r:id="rId7918" location="" tooltip="" display=""/>
    <hyperlink ref="K3963" r:id="rId7919" location="" tooltip="" display=""/>
    <hyperlink ref="L3963" r:id="rId7920" location="" tooltip="" display=""/>
    <hyperlink ref="Q3963" r:id="rId7921" location="" tooltip="" display=""/>
    <hyperlink ref="R3963" r:id="rId7922" location="" tooltip="" display=""/>
    <hyperlink ref="L3964" r:id="rId7923" location="" tooltip="" display=""/>
    <hyperlink ref="R3964" r:id="rId7924" location="" tooltip="" display=""/>
    <hyperlink ref="L3965" r:id="rId7925" location="" tooltip="" display=""/>
    <hyperlink ref="R3965" r:id="rId7926" location="" tooltip="" display=""/>
    <hyperlink ref="L3967" r:id="rId7927" location="" tooltip="" display=""/>
    <hyperlink ref="R3967" r:id="rId7928" location="" tooltip="" display=""/>
    <hyperlink ref="L3968" r:id="rId7929" location="" tooltip="" display=""/>
    <hyperlink ref="R3968" r:id="rId7930" location="" tooltip="" display=""/>
    <hyperlink ref="L3969" r:id="rId7931" location="" tooltip="" display=""/>
    <hyperlink ref="R3969" r:id="rId7932" location="" tooltip="" display=""/>
    <hyperlink ref="K3970" r:id="rId7933" location="" tooltip="" display=""/>
    <hyperlink ref="L3970" r:id="rId7934" location="" tooltip="" display=""/>
    <hyperlink ref="Q3970" r:id="rId7935" location="" tooltip="" display=""/>
    <hyperlink ref="R3970" r:id="rId7936" location="" tooltip="" display=""/>
    <hyperlink ref="L3971" r:id="rId7937" location="" tooltip="" display=""/>
    <hyperlink ref="R3971" r:id="rId7938" location="" tooltip="" display=""/>
    <hyperlink ref="L3972" r:id="rId7939" location="" tooltip="" display=""/>
    <hyperlink ref="R3972" r:id="rId7940" location="" tooltip="" display=""/>
    <hyperlink ref="L3973" r:id="rId7941" location="" tooltip="" display=""/>
    <hyperlink ref="R3973" r:id="rId7942" location="" tooltip="" display=""/>
    <hyperlink ref="L3975" r:id="rId7943" location="" tooltip="" display=""/>
    <hyperlink ref="R3975" r:id="rId7944" location="" tooltip="" display=""/>
    <hyperlink ref="K3976" r:id="rId7945" location="" tooltip="" display=""/>
    <hyperlink ref="L3976" r:id="rId7946" location="" tooltip="" display=""/>
    <hyperlink ref="Q3976" r:id="rId7947" location="" tooltip="" display=""/>
    <hyperlink ref="R3976" r:id="rId7948" location="" tooltip="" display=""/>
    <hyperlink ref="L3977" r:id="rId7949" location="" tooltip="" display=""/>
    <hyperlink ref="R3977" r:id="rId7950" location="" tooltip="" display=""/>
    <hyperlink ref="L3978" r:id="rId7951" location="" tooltip="" display=""/>
    <hyperlink ref="R3978" r:id="rId7952" location="" tooltip="" display=""/>
    <hyperlink ref="L3980" r:id="rId7953" location="" tooltip="" display=""/>
    <hyperlink ref="R3980" r:id="rId7954" location="" tooltip="" display=""/>
    <hyperlink ref="L3981" r:id="rId7955" location="" tooltip="" display=""/>
    <hyperlink ref="R3981" r:id="rId7956" location="" tooltip="" display=""/>
    <hyperlink ref="K3982" r:id="rId7957" location="" tooltip="" display=""/>
    <hyperlink ref="L3982" r:id="rId7958" location="" tooltip="" display=""/>
    <hyperlink ref="Q3982" r:id="rId7959" location="" tooltip="" display=""/>
    <hyperlink ref="R3982" r:id="rId7960" location="" tooltip="" display=""/>
    <hyperlink ref="L3983" r:id="rId7961" location="" tooltip="" display=""/>
    <hyperlink ref="R3983" r:id="rId7962" location="" tooltip="" display=""/>
    <hyperlink ref="L3984" r:id="rId7963" location="" tooltip="" display=""/>
    <hyperlink ref="R3984" r:id="rId7964" location="" tooltip="" display=""/>
    <hyperlink ref="L3986" r:id="rId7965" location="" tooltip="" display=""/>
    <hyperlink ref="R3986" r:id="rId7966" location="" tooltip="" display=""/>
    <hyperlink ref="K3987" r:id="rId7967" location="" tooltip="" display=""/>
    <hyperlink ref="L3987" r:id="rId7968" location="" tooltip="" display=""/>
    <hyperlink ref="Q3987" r:id="rId7969" location="" tooltip="" display=""/>
    <hyperlink ref="R3987" r:id="rId7970" location="" tooltip="" display=""/>
    <hyperlink ref="L3988" r:id="rId7971" location="" tooltip="" display=""/>
    <hyperlink ref="R3988" r:id="rId7972" location="" tooltip="" display=""/>
    <hyperlink ref="L3989" r:id="rId7973" location="" tooltip="" display=""/>
    <hyperlink ref="R3989" r:id="rId7974" location="" tooltip="" display=""/>
    <hyperlink ref="L3991" r:id="rId7975" location="" tooltip="" display=""/>
    <hyperlink ref="R3991" r:id="rId7976" location="" tooltip="" display=""/>
    <hyperlink ref="K3992" r:id="rId7977" location="" tooltip="" display=""/>
    <hyperlink ref="L3992" r:id="rId7978" location="" tooltip="" display=""/>
    <hyperlink ref="Q3992" r:id="rId7979" location="" tooltip="" display=""/>
    <hyperlink ref="R3992" r:id="rId7980" location="" tooltip="" display=""/>
    <hyperlink ref="L3993" r:id="rId7981" location="" tooltip="" display=""/>
    <hyperlink ref="R3993" r:id="rId7982" location="" tooltip="" display=""/>
    <hyperlink ref="L3994" r:id="rId7983" location="" tooltip="" display=""/>
    <hyperlink ref="R3994" r:id="rId7984" location="" tooltip="" display=""/>
    <hyperlink ref="K3996" r:id="rId7985" location="" tooltip="" display=""/>
    <hyperlink ref="L3996" r:id="rId7986" location="" tooltip="" display=""/>
    <hyperlink ref="Q3996" r:id="rId7987" location="" tooltip="" display=""/>
    <hyperlink ref="R3996" r:id="rId7988" location="" tooltip="" display=""/>
    <hyperlink ref="K3998" r:id="rId7989" location="" tooltip="" display=""/>
    <hyperlink ref="L3998" r:id="rId7990" location="" tooltip="" display=""/>
    <hyperlink ref="Q3998" r:id="rId7991" location="" tooltip="" display=""/>
    <hyperlink ref="R3998" r:id="rId7992" location="" tooltip="" display=""/>
    <hyperlink ref="L4000" r:id="rId7993" location="" tooltip="" display=""/>
    <hyperlink ref="R4000" r:id="rId7994" location="" tooltip="" display=""/>
    <hyperlink ref="K4001" r:id="rId7995" location="" tooltip="" display=""/>
    <hyperlink ref="L4001" r:id="rId7996" location="" tooltip="" display=""/>
    <hyperlink ref="Q4001" r:id="rId7997" location="" tooltip="" display=""/>
    <hyperlink ref="R4001" r:id="rId7998" location="" tooltip="" display=""/>
    <hyperlink ref="L4002" r:id="rId7999" location="" tooltip="" display=""/>
    <hyperlink ref="R4002" r:id="rId8000" location="" tooltip="" display=""/>
    <hyperlink ref="K4004" r:id="rId8001" location="" tooltip="" display=""/>
    <hyperlink ref="L4004" r:id="rId8002" location="" tooltip="" display=""/>
    <hyperlink ref="Q4004" r:id="rId8003" location="" tooltip="" display=""/>
    <hyperlink ref="R4004" r:id="rId8004" location="" tooltip="" display=""/>
    <hyperlink ref="L4006" r:id="rId8005" location="" tooltip="" display=""/>
    <hyperlink ref="R4006" r:id="rId8006" location="" tooltip="" display=""/>
    <hyperlink ref="L4007" r:id="rId8007" location="" tooltip="" display=""/>
    <hyperlink ref="R4007" r:id="rId8008" location="" tooltip="" display=""/>
    <hyperlink ref="K4008" r:id="rId8009" location="" tooltip="" display=""/>
    <hyperlink ref="L4008" r:id="rId8010" location="" tooltip="" display=""/>
    <hyperlink ref="Q4008" r:id="rId8011" location="" tooltip="" display=""/>
    <hyperlink ref="R4008" r:id="rId8012" location="" tooltip="" display=""/>
    <hyperlink ref="L4009" r:id="rId8013" location="" tooltip="" display=""/>
    <hyperlink ref="R4009" r:id="rId8014" location="" tooltip="" display=""/>
    <hyperlink ref="L4010" r:id="rId8015" location="" tooltip="" display=""/>
    <hyperlink ref="R4010" r:id="rId8016" location="" tooltip="" display=""/>
    <hyperlink ref="L4011" r:id="rId8017" location="" tooltip="" display=""/>
    <hyperlink ref="R4011" r:id="rId8018" location="" tooltip="" display=""/>
    <hyperlink ref="L4013" r:id="rId8019" location="" tooltip="" display=""/>
    <hyperlink ref="R4013" r:id="rId8020" location="" tooltip="" display=""/>
    <hyperlink ref="K4014" r:id="rId8021" location="" tooltip="" display=""/>
    <hyperlink ref="L4014" r:id="rId8022" location="" tooltip="" display=""/>
    <hyperlink ref="Q4014" r:id="rId8023" location="" tooltip="" display=""/>
    <hyperlink ref="R4014" r:id="rId8024" location="" tooltip="" display=""/>
    <hyperlink ref="L4015" r:id="rId8025" location="" tooltip="" display=""/>
    <hyperlink ref="R4015" r:id="rId8026" location="" tooltip="" display=""/>
    <hyperlink ref="L4016" r:id="rId8027" location="" tooltip="" display=""/>
    <hyperlink ref="R4016" r:id="rId8028" location="" tooltip="" display=""/>
    <hyperlink ref="L4018" r:id="rId8029" location="" tooltip="" display=""/>
    <hyperlink ref="R4018" r:id="rId8030" location="" tooltip="" display=""/>
    <hyperlink ref="L4019" r:id="rId8031" location="" tooltip="" display=""/>
    <hyperlink ref="R4019" r:id="rId8032" location="" tooltip="" display=""/>
    <hyperlink ref="L4020" r:id="rId8033" location="" tooltip="" display=""/>
    <hyperlink ref="R4020" r:id="rId8034" location="" tooltip="" display=""/>
    <hyperlink ref="K4021" r:id="rId8035" location="" tooltip="" display=""/>
    <hyperlink ref="L4021" r:id="rId8036" location="" tooltip="" display=""/>
    <hyperlink ref="Q4021" r:id="rId8037" location="" tooltip="" display=""/>
    <hyperlink ref="R4021" r:id="rId8038" location="" tooltip="" display=""/>
    <hyperlink ref="L4022" r:id="rId8039" location="" tooltip="" display=""/>
    <hyperlink ref="R4022" r:id="rId8040" location="" tooltip="" display=""/>
    <hyperlink ref="L4023" r:id="rId8041" location="" tooltip="" display=""/>
    <hyperlink ref="R4023" r:id="rId8042" location="" tooltip="" display=""/>
    <hyperlink ref="L4024" r:id="rId8043" location="" tooltip="" display=""/>
    <hyperlink ref="R4024" r:id="rId8044" location="" tooltip="" display=""/>
    <hyperlink ref="K4026" r:id="rId8045" location="" tooltip="" display=""/>
    <hyperlink ref="L4026" r:id="rId8046" location="" tooltip="" display=""/>
    <hyperlink ref="Q4026" r:id="rId8047" location="" tooltip="" display=""/>
    <hyperlink ref="R4026" r:id="rId8048" location="" tooltip="" display=""/>
    <hyperlink ref="L4028" r:id="rId8049" location="" tooltip="" display=""/>
    <hyperlink ref="R4028" r:id="rId8050" location="" tooltip="" display=""/>
    <hyperlink ref="L4029" r:id="rId8051" location="" tooltip="" display=""/>
    <hyperlink ref="R4029" r:id="rId8052" location="" tooltip="" display=""/>
    <hyperlink ref="K4030" r:id="rId8053" location="" tooltip="" display=""/>
    <hyperlink ref="L4030" r:id="rId8054" location="" tooltip="" display=""/>
    <hyperlink ref="Q4030" r:id="rId8055" location="" tooltip="" display=""/>
    <hyperlink ref="R4030" r:id="rId8056" location="" tooltip="" display=""/>
    <hyperlink ref="L4031" r:id="rId8057" location="" tooltip="" display=""/>
    <hyperlink ref="R4031" r:id="rId8058" location="" tooltip="" display=""/>
    <hyperlink ref="L4032" r:id="rId8059" location="" tooltip="" display=""/>
    <hyperlink ref="R4032" r:id="rId8060" location="" tooltip="" display=""/>
    <hyperlink ref="L4033" r:id="rId8061" location="" tooltip="" display=""/>
    <hyperlink ref="R4033" r:id="rId8062" location="" tooltip="" display=""/>
    <hyperlink ref="K4035" r:id="rId8063" location="" tooltip="" display=""/>
    <hyperlink ref="L4035" r:id="rId8064" location="" tooltip="" display=""/>
    <hyperlink ref="Q4035" r:id="rId8065" location="" tooltip="" display=""/>
    <hyperlink ref="R4035" r:id="rId8066" location="" tooltip="" display=""/>
    <hyperlink ref="L4036" r:id="rId8067" location="" tooltip="" display=""/>
    <hyperlink ref="R4036" r:id="rId8068" location="" tooltip="" display=""/>
    <hyperlink ref="K4038" r:id="rId8069" location="" tooltip="" display=""/>
    <hyperlink ref="L4038" r:id="rId8070" location="" tooltip="" display=""/>
    <hyperlink ref="Q4038" r:id="rId8071" location="" tooltip="" display=""/>
    <hyperlink ref="R4038" r:id="rId8072" location="" tooltip="" display=""/>
    <hyperlink ref="L4039" r:id="rId8073" location="" tooltip="" display=""/>
    <hyperlink ref="R4039" r:id="rId8074" location="" tooltip="" display=""/>
    <hyperlink ref="K4041" r:id="rId8075" location="" tooltip="" display=""/>
    <hyperlink ref="L4041" r:id="rId8076" location="" tooltip="" display=""/>
    <hyperlink ref="Q4041" r:id="rId8077" location="" tooltip="" display=""/>
    <hyperlink ref="R4041" r:id="rId8078" location="" tooltip="" display=""/>
    <hyperlink ref="L4042" r:id="rId8079" location="" tooltip="" display=""/>
    <hyperlink ref="R4042" r:id="rId8080" location="" tooltip="" display=""/>
    <hyperlink ref="K4044" r:id="rId8081" location="" tooltip="" display=""/>
    <hyperlink ref="L4044" r:id="rId8082" location="" tooltip="" display=""/>
    <hyperlink ref="Q4044" r:id="rId8083" location="" tooltip="" display=""/>
    <hyperlink ref="R4044" r:id="rId8084" location="" tooltip="" display=""/>
    <hyperlink ref="L4045" r:id="rId8085" location="" tooltip="" display=""/>
    <hyperlink ref="R4045" r:id="rId8086" location="" tooltip="" display=""/>
    <hyperlink ref="L4047" r:id="rId8087" location="" tooltip="" display=""/>
    <hyperlink ref="R4047" r:id="rId8088" location="" tooltip="" display=""/>
    <hyperlink ref="K4048" r:id="rId8089" location="" tooltip="" display=""/>
    <hyperlink ref="L4048" r:id="rId8090" location="" tooltip="" display=""/>
    <hyperlink ref="Q4048" r:id="rId8091" location="" tooltip="" display=""/>
    <hyperlink ref="R4048" r:id="rId8092" location="" tooltip="" display=""/>
    <hyperlink ref="L4049" r:id="rId8093" location="" tooltip="" display=""/>
    <hyperlink ref="R4049" r:id="rId8094" location="" tooltip="" display=""/>
    <hyperlink ref="L4050" r:id="rId8095" location="" tooltip="" display=""/>
    <hyperlink ref="R4050" r:id="rId8096" location="" tooltip="" display=""/>
    <hyperlink ref="L4052" r:id="rId8097" location="" tooltip="" display=""/>
    <hyperlink ref="R4052" r:id="rId8098" location="" tooltip="" display=""/>
    <hyperlink ref="K4053" r:id="rId8099" location="" tooltip="" display=""/>
    <hyperlink ref="L4053" r:id="rId8100" location="" tooltip="" display=""/>
    <hyperlink ref="Q4053" r:id="rId8101" location="" tooltip="" display=""/>
    <hyperlink ref="R4053" r:id="rId8102" location="" tooltip="" display=""/>
    <hyperlink ref="L4054" r:id="rId8103" location="" tooltip="" display=""/>
    <hyperlink ref="R4054" r:id="rId8104" location="" tooltip="" display=""/>
    <hyperlink ref="L4055" r:id="rId8105" location="" tooltip="" display=""/>
    <hyperlink ref="R4055" r:id="rId8106" location="" tooltip="" display=""/>
    <hyperlink ref="L4057" r:id="rId8107" location="" tooltip="" display=""/>
    <hyperlink ref="R4057" r:id="rId8108" location="" tooltip="" display=""/>
    <hyperlink ref="L4058" r:id="rId8109" location="" tooltip="" display=""/>
    <hyperlink ref="R4058" r:id="rId8110" location="" tooltip="" display=""/>
    <hyperlink ref="K4059" r:id="rId8111" location="" tooltip="" display=""/>
    <hyperlink ref="L4059" r:id="rId8112" location="" tooltip="" display=""/>
    <hyperlink ref="Q4059" r:id="rId8113" location="" tooltip="" display=""/>
    <hyperlink ref="R4059" r:id="rId8114" location="" tooltip="" display=""/>
    <hyperlink ref="L4060" r:id="rId8115" location="" tooltip="" display=""/>
    <hyperlink ref="R4060" r:id="rId8116" location="" tooltip="" display=""/>
    <hyperlink ref="L4061" r:id="rId8117" location="" tooltip="" display=""/>
    <hyperlink ref="R4061" r:id="rId8118" location="" tooltip="" display=""/>
    <hyperlink ref="K4063" r:id="rId8119" location="" tooltip="" display=""/>
    <hyperlink ref="L4063" r:id="rId8120" location="" tooltip="" display=""/>
    <hyperlink ref="Q4063" r:id="rId8121" location="" tooltip="" display=""/>
    <hyperlink ref="R4063" r:id="rId8122" location="" tooltip="" display=""/>
    <hyperlink ref="L4064" r:id="rId8123" location="" tooltip="" display=""/>
    <hyperlink ref="R4064" r:id="rId8124" location="" tooltip="" display=""/>
    <hyperlink ref="L4066" r:id="rId8125" location="" tooltip="" display=""/>
    <hyperlink ref="R4066" r:id="rId8126" location="" tooltip="" display=""/>
    <hyperlink ref="K4067" r:id="rId8127" location="" tooltip="" display=""/>
    <hyperlink ref="L4067" r:id="rId8128" location="" tooltip="" display=""/>
    <hyperlink ref="Q4067" r:id="rId8129" location="" tooltip="" display=""/>
    <hyperlink ref="R4067" r:id="rId8130" location="" tooltip="" display=""/>
    <hyperlink ref="L4068" r:id="rId8131" location="" tooltip="" display=""/>
    <hyperlink ref="R4068" r:id="rId8132" location="" tooltip="" display=""/>
    <hyperlink ref="L4069" r:id="rId8133" location="" tooltip="" display=""/>
    <hyperlink ref="R4069" r:id="rId8134" location="" tooltip="" display=""/>
    <hyperlink ref="K4071" r:id="rId8135" location="" tooltip="" display=""/>
    <hyperlink ref="L4071" r:id="rId8136" location="" tooltip="" display=""/>
    <hyperlink ref="Q4071" r:id="rId8137" location="" tooltip="" display=""/>
    <hyperlink ref="R4071" r:id="rId8138" location="" tooltip="" display=""/>
    <hyperlink ref="L4072" r:id="rId8139" location="" tooltip="" display=""/>
    <hyperlink ref="R4072" r:id="rId8140" location="" tooltip="" display=""/>
    <hyperlink ref="L4074" r:id="rId8141" location="" tooltip="" display=""/>
    <hyperlink ref="R4074" r:id="rId8142" location="" tooltip="" display=""/>
    <hyperlink ref="K4075" r:id="rId8143" location="" tooltip="" display=""/>
    <hyperlink ref="L4075" r:id="rId8144" location="" tooltip="" display=""/>
    <hyperlink ref="Q4075" r:id="rId8145" location="" tooltip="" display=""/>
    <hyperlink ref="R4075" r:id="rId8146" location="" tooltip="" display=""/>
    <hyperlink ref="L4076" r:id="rId8147" location="" tooltip="" display=""/>
    <hyperlink ref="R4076" r:id="rId8148" location="" tooltip="" display=""/>
    <hyperlink ref="K4078" r:id="rId8149" location="" tooltip="" display=""/>
    <hyperlink ref="L4078" r:id="rId8150" location="" tooltip="" display=""/>
    <hyperlink ref="Q4078" r:id="rId8151" location="" tooltip="" display=""/>
    <hyperlink ref="R4078" r:id="rId8152" location="" tooltip="" display=""/>
    <hyperlink ref="L4079" r:id="rId8153" location="" tooltip="" display=""/>
    <hyperlink ref="R4079" r:id="rId8154" location="" tooltip="" display=""/>
    <hyperlink ref="K4081" r:id="rId8155" location="" tooltip="" display=""/>
    <hyperlink ref="L4081" r:id="rId8156" location="" tooltip="" display=""/>
    <hyperlink ref="Q4081" r:id="rId8157" location="" tooltip="" display=""/>
    <hyperlink ref="R4081" r:id="rId8158" location="" tooltip="" display=""/>
    <hyperlink ref="K4083" r:id="rId8159" location="" tooltip="" display=""/>
    <hyperlink ref="L4083" r:id="rId8160" location="" tooltip="" display=""/>
    <hyperlink ref="Q4083" r:id="rId8161" location="" tooltip="" display=""/>
    <hyperlink ref="R4083" r:id="rId8162" location="" tooltip="" display=""/>
    <hyperlink ref="K4085" r:id="rId8163" location="" tooltip="" display=""/>
    <hyperlink ref="L4085" r:id="rId8164" location="" tooltip="" display=""/>
    <hyperlink ref="Q4085" r:id="rId8165" location="" tooltip="" display=""/>
    <hyperlink ref="R4085" r:id="rId8166" location="" tooltip="" display=""/>
    <hyperlink ref="L4087" r:id="rId8167" location="" tooltip="" display=""/>
    <hyperlink ref="R4087" r:id="rId8168" location="" tooltip="" display=""/>
    <hyperlink ref="K4088" r:id="rId8169" location="" tooltip="" display=""/>
    <hyperlink ref="L4088" r:id="rId8170" location="" tooltip="" display=""/>
    <hyperlink ref="Q4088" r:id="rId8171" location="" tooltip="" display=""/>
    <hyperlink ref="R4088" r:id="rId8172" location="" tooltip="" display=""/>
    <hyperlink ref="L4089" r:id="rId8173" location="" tooltip="" display=""/>
    <hyperlink ref="R4089" r:id="rId8174" location="" tooltip="" display=""/>
    <hyperlink ref="L4090" r:id="rId8175" location="" tooltip="" display=""/>
    <hyperlink ref="R4090" r:id="rId8176" location="" tooltip="" display=""/>
    <hyperlink ref="L4092" r:id="rId8177" location="" tooltip="" display=""/>
    <hyperlink ref="R4092" r:id="rId8178" location="" tooltip="" display=""/>
    <hyperlink ref="K4093" r:id="rId8179" location="" tooltip="" display=""/>
    <hyperlink ref="L4093" r:id="rId8180" location="" tooltip="" display=""/>
    <hyperlink ref="Q4093" r:id="rId8181" location="" tooltip="" display=""/>
    <hyperlink ref="R4093" r:id="rId8182" location="" tooltip="" display=""/>
    <hyperlink ref="L4094" r:id="rId8183" location="" tooltip="" display=""/>
    <hyperlink ref="R4094" r:id="rId8184" location="" tooltip="" display=""/>
    <hyperlink ref="L4096" r:id="rId8185" location="" tooltip="" display=""/>
    <hyperlink ref="R4096" r:id="rId8186" location="" tooltip="" display=""/>
    <hyperlink ref="K4097" r:id="rId8187" location="" tooltip="" display=""/>
    <hyperlink ref="L4097" r:id="rId8188" location="" tooltip="" display=""/>
    <hyperlink ref="Q4097" r:id="rId8189" location="" tooltip="" display=""/>
    <hyperlink ref="R4097" r:id="rId8190" location="" tooltip="" display=""/>
    <hyperlink ref="L4098" r:id="rId8191" location="" tooltip="" display=""/>
    <hyperlink ref="R4098" r:id="rId8192" location="" tooltip="" display=""/>
    <hyperlink ref="L4100" r:id="rId8193" location="" tooltip="" display=""/>
    <hyperlink ref="R4100" r:id="rId8194" location="" tooltip="" display=""/>
    <hyperlink ref="K4101" r:id="rId8195" location="" tooltip="" display=""/>
    <hyperlink ref="L4101" r:id="rId8196" location="" tooltip="" display=""/>
    <hyperlink ref="Q4101" r:id="rId8197" location="" tooltip="" display=""/>
    <hyperlink ref="R4101" r:id="rId8198" location="" tooltip="" display=""/>
    <hyperlink ref="L4102" r:id="rId8199" location="" tooltip="" display=""/>
    <hyperlink ref="R4102" r:id="rId8200" location="" tooltip="" display=""/>
    <hyperlink ref="L4104" r:id="rId8201" location="" tooltip="" display=""/>
    <hyperlink ref="R4104" r:id="rId8202" location="" tooltip="" display=""/>
    <hyperlink ref="K4105" r:id="rId8203" location="" tooltip="" display=""/>
    <hyperlink ref="L4105" r:id="rId8204" location="" tooltip="" display=""/>
    <hyperlink ref="Q4105" r:id="rId8205" location="" tooltip="" display=""/>
    <hyperlink ref="R4105" r:id="rId8206" location="" tooltip="" display=""/>
    <hyperlink ref="L4106" r:id="rId8207" location="" tooltip="" display=""/>
    <hyperlink ref="R4106" r:id="rId8208" location="" tooltip="" display=""/>
    <hyperlink ref="L4108" r:id="rId8209" location="" tooltip="" display=""/>
    <hyperlink ref="R4108" r:id="rId8210" location="" tooltip="" display=""/>
    <hyperlink ref="K4109" r:id="rId8211" location="" tooltip="" display=""/>
    <hyperlink ref="L4109" r:id="rId8212" location="" tooltip="" display=""/>
    <hyperlink ref="Q4109" r:id="rId8213" location="" tooltip="" display=""/>
    <hyperlink ref="R4109" r:id="rId8214" location="" tooltip="" display=""/>
    <hyperlink ref="L4110" r:id="rId8215" location="" tooltip="" display=""/>
    <hyperlink ref="R4110" r:id="rId8216" location="" tooltip="" display=""/>
    <hyperlink ref="L4111" r:id="rId8217" location="" tooltip="" display=""/>
    <hyperlink ref="R4111" r:id="rId8218" location="" tooltip="" display=""/>
    <hyperlink ref="L4113" r:id="rId8219" location="" tooltip="" display=""/>
    <hyperlink ref="R4113" r:id="rId8220" location="" tooltip="" display=""/>
    <hyperlink ref="K4114" r:id="rId8221" location="" tooltip="" display=""/>
    <hyperlink ref="L4114" r:id="rId8222" location="" tooltip="" display=""/>
    <hyperlink ref="Q4114" r:id="rId8223" location="" tooltip="" display=""/>
    <hyperlink ref="R4114" r:id="rId8224" location="" tooltip="" display=""/>
    <hyperlink ref="L4115" r:id="rId8225" location="" tooltip="" display=""/>
    <hyperlink ref="R4115" r:id="rId8226" location="" tooltip="" display=""/>
    <hyperlink ref="L4116" r:id="rId8227" location="" tooltip="" display=""/>
    <hyperlink ref="R4116" r:id="rId8228" location="" tooltip="" display=""/>
    <hyperlink ref="L4118" r:id="rId8229" location="" tooltip="" display=""/>
    <hyperlink ref="R4118" r:id="rId8230" location="" tooltip="" display=""/>
    <hyperlink ref="K4119" r:id="rId8231" location="" tooltip="" display=""/>
    <hyperlink ref="L4119" r:id="rId8232" location="" tooltip="" display=""/>
    <hyperlink ref="Q4119" r:id="rId8233" location="" tooltip="" display=""/>
    <hyperlink ref="R4119" r:id="rId8234" location="" tooltip="" display=""/>
    <hyperlink ref="L4120" r:id="rId8235" location="" tooltip="" display=""/>
    <hyperlink ref="R4120" r:id="rId8236" location="" tooltip="" display=""/>
    <hyperlink ref="L4121" r:id="rId8237" location="" tooltip="" display=""/>
    <hyperlink ref="R4121" r:id="rId8238" location="" tooltip="" display=""/>
    <hyperlink ref="K4123" r:id="rId8239" location="" tooltip="" display=""/>
    <hyperlink ref="L4123" r:id="rId8240" location="" tooltip="" display=""/>
    <hyperlink ref="Q4123" r:id="rId8241" location="" tooltip="" display=""/>
    <hyperlink ref="R4123" r:id="rId8242" location="" tooltip="" display=""/>
    <hyperlink ref="L4124" r:id="rId8243" location="" tooltip="" display=""/>
    <hyperlink ref="R4124" r:id="rId8244" location="" tooltip="" display=""/>
    <hyperlink ref="L4126" r:id="rId8245" location="" tooltip="" display=""/>
    <hyperlink ref="R4126" r:id="rId8246" location="" tooltip="" display=""/>
    <hyperlink ref="K4127" r:id="rId8247" location="" tooltip="" display=""/>
    <hyperlink ref="L4127" r:id="rId8248" location="" tooltip="" display=""/>
    <hyperlink ref="Q4127" r:id="rId8249" location="" tooltip="" display=""/>
    <hyperlink ref="R4127" r:id="rId8250" location="" tooltip="" display=""/>
    <hyperlink ref="L4128" r:id="rId8251" location="" tooltip="" display=""/>
    <hyperlink ref="R4128" r:id="rId8252" location="" tooltip="" display=""/>
    <hyperlink ref="L4129" r:id="rId8253" location="" tooltip="" display=""/>
    <hyperlink ref="R4129" r:id="rId8254" location="" tooltip="" display=""/>
    <hyperlink ref="K4131" r:id="rId8255" location="" tooltip="" display=""/>
    <hyperlink ref="L4131" r:id="rId8256" location="" tooltip="" display=""/>
    <hyperlink ref="Q4131" r:id="rId8257" location="" tooltip="" display=""/>
    <hyperlink ref="R4131" r:id="rId8258" location="" tooltip="" display=""/>
    <hyperlink ref="L4132" r:id="rId8259" location="" tooltip="" display=""/>
    <hyperlink ref="R4132" r:id="rId8260" location="" tooltip="" display=""/>
    <hyperlink ref="K4134" r:id="rId8261" location="" tooltip="" display=""/>
    <hyperlink ref="L4134" r:id="rId8262" location="" tooltip="" display=""/>
    <hyperlink ref="Q4134" r:id="rId8263" location="" tooltip="" display=""/>
    <hyperlink ref="R4134" r:id="rId8264" location="" tooltip="" display=""/>
    <hyperlink ref="L4136" r:id="rId8265" location="" tooltip="" display=""/>
    <hyperlink ref="R4136" r:id="rId8266" location="" tooltip="" display=""/>
    <hyperlink ref="K4137" r:id="rId8267" location="" tooltip="" display=""/>
    <hyperlink ref="L4137" r:id="rId8268" location="" tooltip="" display=""/>
    <hyperlink ref="Q4137" r:id="rId8269" location="" tooltip="" display=""/>
    <hyperlink ref="R4137" r:id="rId8270" location="" tooltip="" display=""/>
    <hyperlink ref="L4138" r:id="rId8271" location="" tooltip="" display=""/>
    <hyperlink ref="R4138" r:id="rId8272" location="" tooltip="" display=""/>
    <hyperlink ref="K4140" r:id="rId8273" location="" tooltip="" display=""/>
    <hyperlink ref="L4140" r:id="rId8274" location="" tooltip="" display=""/>
    <hyperlink ref="Q4140" r:id="rId8275" location="" tooltip="" display=""/>
    <hyperlink ref="R4140" r:id="rId8276" location="" tooltip="" display=""/>
    <hyperlink ref="K4142" r:id="rId8277" location="" tooltip="" display=""/>
    <hyperlink ref="L4142" r:id="rId8278" location="" tooltip="" display=""/>
    <hyperlink ref="Q4142" r:id="rId8279" location="" tooltip="" display=""/>
    <hyperlink ref="R4142" r:id="rId8280" location="" tooltip="" display=""/>
    <hyperlink ref="L4144" r:id="rId8281" location="" tooltip="" display=""/>
    <hyperlink ref="R4144" r:id="rId8282" location="" tooltip="" display=""/>
    <hyperlink ref="L4145" r:id="rId8283" location="" tooltip="" display=""/>
    <hyperlink ref="R4145" r:id="rId8284" location="" tooltip="" display=""/>
    <hyperlink ref="K4146" r:id="rId8285" location="" tooltip="" display=""/>
    <hyperlink ref="L4146" r:id="rId8286" location="" tooltip="" display=""/>
    <hyperlink ref="Q4146" r:id="rId8287" location="" tooltip="" display=""/>
    <hyperlink ref="R4146" r:id="rId8288" location="" tooltip="" display=""/>
    <hyperlink ref="L4147" r:id="rId8289" location="" tooltip="" display=""/>
    <hyperlink ref="R4147" r:id="rId8290" location="" tooltip="" display=""/>
    <hyperlink ref="L4148" r:id="rId8291" location="" tooltip="" display=""/>
    <hyperlink ref="R4148" r:id="rId8292" location="" tooltip="" display=""/>
    <hyperlink ref="L4149" r:id="rId8293" location="" tooltip="" display=""/>
    <hyperlink ref="R4149" r:id="rId8294" location="" tooltip="" display=""/>
    <hyperlink ref="K4151" r:id="rId8295" location="" tooltip="" display=""/>
    <hyperlink ref="L4151" r:id="rId8296" location="" tooltip="" display=""/>
    <hyperlink ref="Q4151" r:id="rId8297" location="" tooltip="" display=""/>
    <hyperlink ref="R4151" r:id="rId8298" location="" tooltip="" display=""/>
    <hyperlink ref="K4153" r:id="rId8299" location="" tooltip="" display=""/>
    <hyperlink ref="L4153" r:id="rId8300" location="" tooltip="" display=""/>
    <hyperlink ref="Q4153" r:id="rId8301" location="" tooltip="" display=""/>
    <hyperlink ref="R4153" r:id="rId8302" location="" tooltip="" display=""/>
    <hyperlink ref="K4155" r:id="rId8303" location="" tooltip="" display=""/>
    <hyperlink ref="L4155" r:id="rId8304" location="" tooltip="" display=""/>
    <hyperlink ref="Q4155" r:id="rId8305" location="" tooltip="" display=""/>
    <hyperlink ref="R4155" r:id="rId8306" location="" tooltip="" display=""/>
    <hyperlink ref="L4157" r:id="rId8307" location="" tooltip="" display=""/>
    <hyperlink ref="R4157" r:id="rId8308" location="" tooltip="" display=""/>
    <hyperlink ref="L4158" r:id="rId8309" location="" tooltip="" display=""/>
    <hyperlink ref="R4158" r:id="rId8310" location="" tooltip="" display=""/>
    <hyperlink ref="K4159" r:id="rId8311" location="" tooltip="" display=""/>
    <hyperlink ref="L4159" r:id="rId8312" location="" tooltip="" display=""/>
    <hyperlink ref="Q4159" r:id="rId8313" location="" tooltip="" display=""/>
    <hyperlink ref="R4159" r:id="rId8314" location="" tooltip="" display=""/>
    <hyperlink ref="L4160" r:id="rId8315" location="" tooltip="" display=""/>
    <hyperlink ref="R4160" r:id="rId8316" location="" tooltip="" display=""/>
    <hyperlink ref="L4161" r:id="rId8317" location="" tooltip="" display=""/>
    <hyperlink ref="R4161" r:id="rId8318" location="" tooltip="" display=""/>
    <hyperlink ref="L4163" r:id="rId8319" location="" tooltip="" display=""/>
    <hyperlink ref="R4163" r:id="rId8320" location="" tooltip="" display=""/>
    <hyperlink ref="L4164" r:id="rId8321" location="" tooltip="" display=""/>
    <hyperlink ref="R4164" r:id="rId8322" location="" tooltip="" display=""/>
    <hyperlink ref="K4165" r:id="rId8323" location="" tooltip="" display=""/>
    <hyperlink ref="L4165" r:id="rId8324" location="" tooltip="" display=""/>
    <hyperlink ref="Q4165" r:id="rId8325" location="" tooltip="" display=""/>
    <hyperlink ref="R4165" r:id="rId8326" location="" tooltip="" display=""/>
    <hyperlink ref="L4166" r:id="rId8327" location="" tooltip="" display=""/>
    <hyperlink ref="R4166" r:id="rId8328" location="" tooltip="" display=""/>
    <hyperlink ref="L4167" r:id="rId8329" location="" tooltip="" display=""/>
    <hyperlink ref="R4167" r:id="rId8330" location="" tooltip="" display=""/>
    <hyperlink ref="L4168" r:id="rId8331" location="" tooltip="" display=""/>
    <hyperlink ref="R4168" r:id="rId8332" location="" tooltip="" display=""/>
    <hyperlink ref="L4170" r:id="rId8333" location="" tooltip="" display=""/>
    <hyperlink ref="R4170" r:id="rId8334" location="" tooltip="" display=""/>
    <hyperlink ref="L4171" r:id="rId8335" location="" tooltip="" display=""/>
    <hyperlink ref="R4171" r:id="rId8336" location="" tooltip="" display=""/>
    <hyperlink ref="L4172" r:id="rId8337" location="" tooltip="" display=""/>
    <hyperlink ref="R4172" r:id="rId8338" location="" tooltip="" display=""/>
    <hyperlink ref="K4173" r:id="rId8339" location="" tooltip="" display=""/>
    <hyperlink ref="L4173" r:id="rId8340" location="" tooltip="" display=""/>
    <hyperlink ref="Q4173" r:id="rId8341" location="" tooltip="" display=""/>
    <hyperlink ref="R4173" r:id="rId8342" location="" tooltip="" display=""/>
    <hyperlink ref="L4174" r:id="rId8343" location="" tooltip="" display=""/>
    <hyperlink ref="R4174" r:id="rId8344" location="" tooltip="" display=""/>
    <hyperlink ref="L4175" r:id="rId8345" location="" tooltip="" display=""/>
    <hyperlink ref="R4175" r:id="rId8346" location="" tooltip="" display=""/>
    <hyperlink ref="L4176" r:id="rId8347" location="" tooltip="" display=""/>
    <hyperlink ref="R4176" r:id="rId8348" location="" tooltip="" display=""/>
    <hyperlink ref="K4178" r:id="rId8349" location="" tooltip="" display=""/>
    <hyperlink ref="L4178" r:id="rId8350" location="" tooltip="" display=""/>
    <hyperlink ref="Q4178" r:id="rId8351" location="" tooltip="" display=""/>
    <hyperlink ref="R4178" r:id="rId8352" location="" tooltip="" display=""/>
    <hyperlink ref="L4180" r:id="rId8353" location="" tooltip="" display=""/>
    <hyperlink ref="R4180" r:id="rId8354" location="" tooltip="" display=""/>
    <hyperlink ref="L4181" r:id="rId8355" location="" tooltip="" display=""/>
    <hyperlink ref="R4181" r:id="rId8356" location="" tooltip="" display=""/>
    <hyperlink ref="L4182" r:id="rId8357" location="" tooltip="" display=""/>
    <hyperlink ref="R4182" r:id="rId8358" location="" tooltip="" display=""/>
    <hyperlink ref="K4183" r:id="rId8359" location="" tooltip="" display=""/>
    <hyperlink ref="L4183" r:id="rId8360" location="" tooltip="" display=""/>
    <hyperlink ref="Q4183" r:id="rId8361" location="" tooltip="" display=""/>
    <hyperlink ref="R4183" r:id="rId8362" location="" tooltip="" display=""/>
    <hyperlink ref="L4184" r:id="rId8363" location="" tooltip="" display=""/>
    <hyperlink ref="R4184" r:id="rId8364" location="" tooltip="" display=""/>
    <hyperlink ref="L4185" r:id="rId8365" location="" tooltip="" display=""/>
    <hyperlink ref="R4185" r:id="rId8366" location="" tooltip="" display=""/>
    <hyperlink ref="L4186" r:id="rId8367" location="" tooltip="" display=""/>
    <hyperlink ref="R4186" r:id="rId8368" location="" tooltip="" display=""/>
    <hyperlink ref="L4188" r:id="rId8369" location="" tooltip="" display=""/>
    <hyperlink ref="R4188" r:id="rId8370" location="" tooltip="" display=""/>
    <hyperlink ref="K4189" r:id="rId8371" location="" tooltip="" display=""/>
    <hyperlink ref="L4189" r:id="rId8372" location="" tooltip="" display=""/>
    <hyperlink ref="Q4189" r:id="rId8373" location="" tooltip="" display=""/>
    <hyperlink ref="R4189" r:id="rId8374" location="" tooltip="" display=""/>
    <hyperlink ref="L4190" r:id="rId8375" location="" tooltip="" display=""/>
    <hyperlink ref="R4190" r:id="rId8376" location="" tooltip="" display=""/>
    <hyperlink ref="K4192" r:id="rId8377" location="" tooltip="" display=""/>
    <hyperlink ref="L4192" r:id="rId8378" location="" tooltip="" display=""/>
    <hyperlink ref="Q4192" r:id="rId8379" location="" tooltip="" display=""/>
    <hyperlink ref="R4192" r:id="rId8380" location="" tooltip="" display=""/>
    <hyperlink ref="L4193" r:id="rId8381" location="" tooltip="" display=""/>
    <hyperlink ref="R4193" r:id="rId8382" location="" tooltip="" display=""/>
    <hyperlink ref="L4195" r:id="rId8383" location="" tooltip="" display=""/>
    <hyperlink ref="R4195" r:id="rId8384" location="" tooltip="" display=""/>
    <hyperlink ref="L4196" r:id="rId8385" location="" tooltip="" display=""/>
    <hyperlink ref="R4196" r:id="rId8386" location="" tooltip="" display=""/>
    <hyperlink ref="K4197" r:id="rId8387" location="" tooltip="" display=""/>
    <hyperlink ref="L4197" r:id="rId8388" location="" tooltip="" display=""/>
    <hyperlink ref="Q4197" r:id="rId8389" location="" tooltip="" display=""/>
    <hyperlink ref="R4197" r:id="rId8390" location="" tooltip="" display=""/>
    <hyperlink ref="L4198" r:id="rId8391" location="" tooltip="" display=""/>
    <hyperlink ref="R4198" r:id="rId8392" location="" tooltip="" display=""/>
    <hyperlink ref="L4199" r:id="rId8393" location="" tooltip="" display=""/>
    <hyperlink ref="R4199" r:id="rId8394" location="" tooltip="" display=""/>
    <hyperlink ref="L4200" r:id="rId8395" location="" tooltip="" display=""/>
    <hyperlink ref="R4200" r:id="rId8396" location="" tooltip="" display=""/>
    <hyperlink ref="K4202" r:id="rId8397" location="" tooltip="" display=""/>
    <hyperlink ref="L4202" r:id="rId8398" location="" tooltip="" display=""/>
    <hyperlink ref="Q4202" r:id="rId8399" location="" tooltip="" display=""/>
    <hyperlink ref="R4202" r:id="rId8400" location="" tooltip="" display=""/>
    <hyperlink ref="L4203" r:id="rId8401" location="" tooltip="" display=""/>
    <hyperlink ref="R4203" r:id="rId8402" location="" tooltip="" display=""/>
    <hyperlink ref="L4205" r:id="rId8403" location="" tooltip="" display=""/>
    <hyperlink ref="R4205" r:id="rId8404" location="" tooltip="" display=""/>
    <hyperlink ref="L4206" r:id="rId8405" location="" tooltip="" display=""/>
    <hyperlink ref="R4206" r:id="rId8406" location="" tooltip="" display=""/>
    <hyperlink ref="K4207" r:id="rId8407" location="" tooltip="" display=""/>
    <hyperlink ref="L4207" r:id="rId8408" location="" tooltip="" display=""/>
    <hyperlink ref="Q4207" r:id="rId8409" location="" tooltip="" display=""/>
    <hyperlink ref="R4207" r:id="rId8410" location="" tooltip="" display=""/>
    <hyperlink ref="L4208" r:id="rId8411" location="" tooltip="" display=""/>
    <hyperlink ref="R4208" r:id="rId8412" location="" tooltip="" display=""/>
    <hyperlink ref="L4209" r:id="rId8413" location="" tooltip="" display=""/>
    <hyperlink ref="R4209" r:id="rId8414" location="" tooltip="" display=""/>
    <hyperlink ref="L4210" r:id="rId8415" location="" tooltip="" display=""/>
    <hyperlink ref="R4210" r:id="rId8416" location="" tooltip="" display=""/>
    <hyperlink ref="K4212" r:id="rId8417" location="" tooltip="" display=""/>
    <hyperlink ref="L4212" r:id="rId8418" location="" tooltip="" display=""/>
    <hyperlink ref="Q4212" r:id="rId8419" location="" tooltip="" display=""/>
    <hyperlink ref="R4212" r:id="rId8420" location="" tooltip="" display=""/>
    <hyperlink ref="L4213" r:id="rId8421" location="" tooltip="" display=""/>
    <hyperlink ref="R4213" r:id="rId8422" location="" tooltip="" display=""/>
    <hyperlink ref="L4215" r:id="rId8423" location="" tooltip="" display=""/>
    <hyperlink ref="R4215" r:id="rId8424" location="" tooltip="" display=""/>
    <hyperlink ref="L4216" r:id="rId8425" location="" tooltip="" display=""/>
    <hyperlink ref="R4216" r:id="rId8426" location="" tooltip="" display=""/>
    <hyperlink ref="K4217" r:id="rId8427" location="" tooltip="" display=""/>
    <hyperlink ref="L4217" r:id="rId8428" location="" tooltip="" display=""/>
    <hyperlink ref="Q4217" r:id="rId8429" location="" tooltip="" display=""/>
    <hyperlink ref="R4217" r:id="rId8430" location="" tooltip="" display=""/>
    <hyperlink ref="L4218" r:id="rId8431" location="" tooltip="" display=""/>
    <hyperlink ref="R4218" r:id="rId8432" location="" tooltip="" display=""/>
    <hyperlink ref="L4219" r:id="rId8433" location="" tooltip="" display=""/>
    <hyperlink ref="R4219" r:id="rId8434" location="" tooltip="" display=""/>
    <hyperlink ref="L4220" r:id="rId8435" location="" tooltip="" display=""/>
    <hyperlink ref="R4220" r:id="rId8436" location="" tooltip="" display=""/>
    <hyperlink ref="K4222" r:id="rId8437" location="" tooltip="" display=""/>
    <hyperlink ref="L4222" r:id="rId8438" location="" tooltip="" display=""/>
    <hyperlink ref="Q4222" r:id="rId8439" location="" tooltip="" display=""/>
    <hyperlink ref="R4222" r:id="rId8440" location="" tooltip="" display=""/>
    <hyperlink ref="L4223" r:id="rId8441" location="" tooltip="" display=""/>
    <hyperlink ref="R4223" r:id="rId8442" location="" tooltip="" display=""/>
    <hyperlink ref="K4225" r:id="rId8443" location="" tooltip="" display=""/>
    <hyperlink ref="L4225" r:id="rId8444" location="" tooltip="" display=""/>
    <hyperlink ref="Q4225" r:id="rId8445" location="" tooltip="" display=""/>
    <hyperlink ref="R4225" r:id="rId8446" location="" tooltip="" display=""/>
    <hyperlink ref="L4226" r:id="rId8447" location="" tooltip="" display=""/>
    <hyperlink ref="R4226" r:id="rId8448" location="" tooltip="" display=""/>
    <hyperlink ref="K4228" r:id="rId8449" location="" tooltip="" display=""/>
    <hyperlink ref="L4228" r:id="rId8450" location="" tooltip="" display=""/>
    <hyperlink ref="Q4228" r:id="rId8451" location="" tooltip="" display=""/>
    <hyperlink ref="R4228" r:id="rId8452" location="" tooltip="" display=""/>
    <hyperlink ref="L4229" r:id="rId8453" location="" tooltip="" display=""/>
    <hyperlink ref="R4229" r:id="rId8454" location="" tooltip="" display=""/>
    <hyperlink ref="L4231" r:id="rId8455" location="" tooltip="" display=""/>
    <hyperlink ref="R4231" r:id="rId8456" location="" tooltip="" display=""/>
    <hyperlink ref="K4232" r:id="rId8457" location="" tooltip="" display=""/>
    <hyperlink ref="L4232" r:id="rId8458" location="" tooltip="" display=""/>
    <hyperlink ref="Q4232" r:id="rId8459" location="" tooltip="" display=""/>
    <hyperlink ref="R4232" r:id="rId8460" location="" tooltip="" display=""/>
    <hyperlink ref="L4233" r:id="rId8461" location="" tooltip="" display=""/>
    <hyperlink ref="R4233" r:id="rId8462" location="" tooltip="" display=""/>
    <hyperlink ref="L4234" r:id="rId8463" location="" tooltip="" display=""/>
    <hyperlink ref="R4234" r:id="rId8464" location="" tooltip="" display=""/>
    <hyperlink ref="L4236" r:id="rId8465" location="" tooltip="" display=""/>
    <hyperlink ref="R4236" r:id="rId8466" location="" tooltip="" display=""/>
    <hyperlink ref="K4237" r:id="rId8467" location="" tooltip="" display=""/>
    <hyperlink ref="L4237" r:id="rId8468" location="" tooltip="" display=""/>
    <hyperlink ref="Q4237" r:id="rId8469" location="" tooltip="" display=""/>
    <hyperlink ref="R4237" r:id="rId8470" location="" tooltip="" display=""/>
    <hyperlink ref="L4238" r:id="rId8471" location="" tooltip="" display=""/>
    <hyperlink ref="R4238" r:id="rId8472" location="" tooltip="" display=""/>
    <hyperlink ref="L4239" r:id="rId8473" location="" tooltip="" display=""/>
    <hyperlink ref="R4239" r:id="rId8474" location="" tooltip="" display=""/>
    <hyperlink ref="L4241" r:id="rId8475" location="" tooltip="" display=""/>
    <hyperlink ref="R4241" r:id="rId8476" location="" tooltip="" display=""/>
    <hyperlink ref="L4242" r:id="rId8477" location="" tooltip="" display=""/>
    <hyperlink ref="R4242" r:id="rId8478" location="" tooltip="" display=""/>
    <hyperlink ref="L4243" r:id="rId8479" location="" tooltip="" display=""/>
    <hyperlink ref="R4243" r:id="rId8480" location="" tooltip="" display=""/>
    <hyperlink ref="K4244" r:id="rId8481" location="" tooltip="" display=""/>
    <hyperlink ref="L4244" r:id="rId8482" location="" tooltip="" display=""/>
    <hyperlink ref="Q4244" r:id="rId8483" location="" tooltip="" display=""/>
    <hyperlink ref="R4244" r:id="rId8484" location="" tooltip="" display=""/>
    <hyperlink ref="L4245" r:id="rId8485" location="" tooltip="" display=""/>
    <hyperlink ref="R4245" r:id="rId8486" location="" tooltip="" display=""/>
    <hyperlink ref="L4246" r:id="rId8487" location="" tooltip="" display=""/>
    <hyperlink ref="R4246" r:id="rId8488" location="" tooltip="" display=""/>
    <hyperlink ref="L4247" r:id="rId8489" location="" tooltip="" display=""/>
    <hyperlink ref="R4247" r:id="rId8490" location="" tooltip="" display=""/>
    <hyperlink ref="L4249" r:id="rId8491" location="" tooltip="" display=""/>
    <hyperlink ref="R4249" r:id="rId8492" location="" tooltip="" display=""/>
    <hyperlink ref="K4250" r:id="rId8493" location="" tooltip="" display=""/>
    <hyperlink ref="L4250" r:id="rId8494" location="" tooltip="" display=""/>
    <hyperlink ref="Q4250" r:id="rId8495" location="" tooltip="" display=""/>
    <hyperlink ref="R4250" r:id="rId8496" location="" tooltip="" display=""/>
    <hyperlink ref="L4251" r:id="rId8497" location="" tooltip="" display=""/>
    <hyperlink ref="R4251" r:id="rId8498" location="" tooltip="" display=""/>
    <hyperlink ref="L4253" r:id="rId8499" location="" tooltip="" display=""/>
    <hyperlink ref="R4253" r:id="rId8500" location="" tooltip="" display=""/>
    <hyperlink ref="L4254" r:id="rId8501" location="" tooltip="" display=""/>
    <hyperlink ref="R4254" r:id="rId8502" location="" tooltip="" display=""/>
    <hyperlink ref="K4255" r:id="rId8503" location="" tooltip="" display=""/>
    <hyperlink ref="L4255" r:id="rId8504" location="" tooltip="" display=""/>
    <hyperlink ref="Q4255" r:id="rId8505" location="" tooltip="" display=""/>
    <hyperlink ref="R4255" r:id="rId8506" location="" tooltip="" display=""/>
    <hyperlink ref="L4256" r:id="rId8507" location="" tooltip="" display=""/>
    <hyperlink ref="R4256" r:id="rId8508" location="" tooltip="" display=""/>
    <hyperlink ref="L4257" r:id="rId8509" location="" tooltip="" display=""/>
    <hyperlink ref="R4257" r:id="rId8510" location="" tooltip="" display=""/>
    <hyperlink ref="L4258" r:id="rId8511" location="" tooltip="" display=""/>
    <hyperlink ref="R4258" r:id="rId8512" location="" tooltip="" display=""/>
    <hyperlink ref="K4260" r:id="rId8513" location="" tooltip="" display=""/>
    <hyperlink ref="L4260" r:id="rId8514" location="" tooltip="" display=""/>
    <hyperlink ref="Q4260" r:id="rId8515" location="" tooltip="" display=""/>
    <hyperlink ref="R4260" r:id="rId8516" location="" tooltip="" display=""/>
    <hyperlink ref="L4261" r:id="rId8517" location="" tooltip="" display=""/>
    <hyperlink ref="R4261" r:id="rId8518" location="" tooltip="" display=""/>
    <hyperlink ref="L4263" r:id="rId8519" location="" tooltip="" display=""/>
    <hyperlink ref="R4263" r:id="rId8520" location="" tooltip="" display=""/>
    <hyperlink ref="L4264" r:id="rId8521" location="" tooltip="" display=""/>
    <hyperlink ref="R4264" r:id="rId8522" location="" tooltip="" display=""/>
    <hyperlink ref="K4265" r:id="rId8523" location="" tooltip="" display=""/>
    <hyperlink ref="L4265" r:id="rId8524" location="" tooltip="" display=""/>
    <hyperlink ref="Q4265" r:id="rId8525" location="" tooltip="" display=""/>
    <hyperlink ref="R4265" r:id="rId8526" location="" tooltip="" display=""/>
    <hyperlink ref="L4266" r:id="rId8527" location="" tooltip="" display=""/>
    <hyperlink ref="R4266" r:id="rId8528" location="" tooltip="" display=""/>
    <hyperlink ref="L4267" r:id="rId8529" location="" tooltip="" display=""/>
    <hyperlink ref="R4267" r:id="rId8530" location="" tooltip="" display=""/>
    <hyperlink ref="L4269" r:id="rId8531" location="" tooltip="" display=""/>
    <hyperlink ref="R4269" r:id="rId8532" location="" tooltip="" display=""/>
    <hyperlink ref="K4270" r:id="rId8533" location="" tooltip="" display=""/>
    <hyperlink ref="L4270" r:id="rId8534" location="" tooltip="" display=""/>
    <hyperlink ref="Q4270" r:id="rId8535" location="" tooltip="" display=""/>
    <hyperlink ref="R4270" r:id="rId8536" location="" tooltip="" display=""/>
    <hyperlink ref="L4271" r:id="rId8537" location="" tooltip="" display=""/>
    <hyperlink ref="R4271" r:id="rId8538" location="" tooltip="" display=""/>
    <hyperlink ref="L4272" r:id="rId8539" location="" tooltip="" display=""/>
    <hyperlink ref="R4272" r:id="rId8540" location="" tooltip="" display=""/>
    <hyperlink ref="L4274" r:id="rId8541" location="" tooltip="" display=""/>
    <hyperlink ref="R4274" r:id="rId8542" location="" tooltip="" display=""/>
    <hyperlink ref="K4275" r:id="rId8543" location="" tooltip="" display=""/>
    <hyperlink ref="L4275" r:id="rId8544" location="" tooltip="" display=""/>
    <hyperlink ref="Q4275" r:id="rId8545" location="" tooltip="" display=""/>
    <hyperlink ref="R4275" r:id="rId8546" location="" tooltip="" display=""/>
    <hyperlink ref="L4276" r:id="rId8547" location="" tooltip="" display=""/>
    <hyperlink ref="R4276" r:id="rId8548" location="" tooltip="" display=""/>
    <hyperlink ref="L4277" r:id="rId8549" location="" tooltip="" display=""/>
    <hyperlink ref="R4277" r:id="rId8550" location="" tooltip="" display=""/>
    <hyperlink ref="L4279" r:id="rId8551" location="" tooltip="" display=""/>
    <hyperlink ref="R4279" r:id="rId8552" location="" tooltip="" display=""/>
    <hyperlink ref="K4280" r:id="rId8553" location="" tooltip="" display=""/>
    <hyperlink ref="L4280" r:id="rId8554" location="" tooltip="" display=""/>
    <hyperlink ref="Q4280" r:id="rId8555" location="" tooltip="" display=""/>
    <hyperlink ref="R4280" r:id="rId8556" location="" tooltip="" display=""/>
    <hyperlink ref="L4281" r:id="rId8557" location="" tooltip="" display=""/>
    <hyperlink ref="R4281" r:id="rId8558" location="" tooltip="" display=""/>
    <hyperlink ref="K4283" r:id="rId8559" location="" tooltip="" display=""/>
    <hyperlink ref="L4283" r:id="rId8560" location="" tooltip="" display=""/>
    <hyperlink ref="Q4283" r:id="rId8561" location="" tooltip="" display=""/>
    <hyperlink ref="R4283" r:id="rId8562" location="" tooltip="" display=""/>
    <hyperlink ref="L4285" r:id="rId8563" location="" tooltip="" display=""/>
    <hyperlink ref="R4285" r:id="rId8564" location="" tooltip="" display=""/>
    <hyperlink ref="L4286" r:id="rId8565" location="" tooltip="" display=""/>
    <hyperlink ref="R4286" r:id="rId8566" location="" tooltip="" display=""/>
    <hyperlink ref="L4287" r:id="rId8567" location="" tooltip="" display=""/>
    <hyperlink ref="R4287" r:id="rId8568" location="" tooltip="" display=""/>
    <hyperlink ref="L4288" r:id="rId8569" location="" tooltip="" display=""/>
    <hyperlink ref="R4288" r:id="rId8570" location="" tooltip="" display=""/>
    <hyperlink ref="K4289" r:id="rId8571" location="" tooltip="" display=""/>
    <hyperlink ref="L4289" r:id="rId8572" location="" tooltip="" display=""/>
    <hyperlink ref="Q4289" r:id="rId8573" location="" tooltip="" display=""/>
    <hyperlink ref="R4289" r:id="rId8574" location="" tooltip="" display=""/>
    <hyperlink ref="L4290" r:id="rId8575" location="" tooltip="" display=""/>
    <hyperlink ref="R4290" r:id="rId8576" location="" tooltip="" display=""/>
    <hyperlink ref="L4291" r:id="rId8577" location="" tooltip="" display=""/>
    <hyperlink ref="R4291" r:id="rId8578" location="" tooltip="" display=""/>
    <hyperlink ref="L4292" r:id="rId8579" location="" tooltip="" display=""/>
    <hyperlink ref="R4292" r:id="rId8580" location="" tooltip="" display=""/>
    <hyperlink ref="L4293" r:id="rId8581" location="" tooltip="" display=""/>
    <hyperlink ref="R4293" r:id="rId8582" location="" tooltip="" display=""/>
    <hyperlink ref="L4294" r:id="rId8583" location="" tooltip="" display=""/>
    <hyperlink ref="R4294" r:id="rId8584" location="" tooltip="" display=""/>
    <hyperlink ref="L4296" r:id="rId8585" location="" tooltip="" display=""/>
    <hyperlink ref="R4296" r:id="rId8586" location="" tooltip="" display=""/>
    <hyperlink ref="K4297" r:id="rId8587" location="" tooltip="" display=""/>
    <hyperlink ref="L4297" r:id="rId8588" location="" tooltip="" display=""/>
    <hyperlink ref="Q4297" r:id="rId8589" location="" tooltip="" display=""/>
    <hyperlink ref="R4297" r:id="rId8590" location="" tooltip="" display=""/>
    <hyperlink ref="L4298" r:id="rId8591" location="" tooltip="" display=""/>
    <hyperlink ref="R4298" r:id="rId8592" location="" tooltip="" display=""/>
    <hyperlink ref="K4300" r:id="rId8593" location="" tooltip="" display=""/>
    <hyperlink ref="L4300" r:id="rId8594" location="" tooltip="" display=""/>
    <hyperlink ref="Q4300" r:id="rId8595" location="" tooltip="" display=""/>
    <hyperlink ref="R4300" r:id="rId8596" location="" tooltip="" display=""/>
    <hyperlink ref="L4301" r:id="rId8597" location="" tooltip="" display=""/>
    <hyperlink ref="R4301" r:id="rId8598" location="" tooltip="" display=""/>
    <hyperlink ref="K4303" r:id="rId8599" location="" tooltip="" display=""/>
    <hyperlink ref="L4303" r:id="rId8600" location="" tooltip="" display=""/>
    <hyperlink ref="Q4303" r:id="rId8601" location="" tooltip="" display=""/>
    <hyperlink ref="R4303" r:id="rId8602" location="" tooltip="" display=""/>
    <hyperlink ref="L4305" r:id="rId8603" location="" tooltip="" display=""/>
    <hyperlink ref="R4305" r:id="rId8604" location="" tooltip="" display=""/>
    <hyperlink ref="L4306" r:id="rId8605" location="" tooltip="" display=""/>
    <hyperlink ref="R4306" r:id="rId8606" location="" tooltip="" display=""/>
    <hyperlink ref="K4307" r:id="rId8607" location="" tooltip="" display=""/>
    <hyperlink ref="L4307" r:id="rId8608" location="" tooltip="" display=""/>
    <hyperlink ref="Q4307" r:id="rId8609" location="" tooltip="" display=""/>
    <hyperlink ref="R4307" r:id="rId8610" location="" tooltip="" display=""/>
    <hyperlink ref="L4308" r:id="rId8611" location="" tooltip="" display=""/>
    <hyperlink ref="R4308" r:id="rId8612" location="" tooltip="" display=""/>
    <hyperlink ref="L4309" r:id="rId8613" location="" tooltip="" display=""/>
    <hyperlink ref="R4309" r:id="rId8614" location="" tooltip="" display=""/>
    <hyperlink ref="K4311" r:id="rId8615" location="" tooltip="" display=""/>
    <hyperlink ref="L4311" r:id="rId8616" location="" tooltip="" display=""/>
    <hyperlink ref="Q4311" r:id="rId8617" location="" tooltip="" display=""/>
    <hyperlink ref="R4311" r:id="rId8618" location="" tooltip="" display=""/>
    <hyperlink ref="L4312" r:id="rId8619" location="" tooltip="" display=""/>
    <hyperlink ref="R4312" r:id="rId8620" location="" tooltip="" display=""/>
    <hyperlink ref="L4314" r:id="rId8621" location="" tooltip="" display=""/>
    <hyperlink ref="R4314" r:id="rId8622" location="" tooltip="" display=""/>
    <hyperlink ref="K4315" r:id="rId8623" location="" tooltip="" display=""/>
    <hyperlink ref="L4315" r:id="rId8624" location="" tooltip="" display=""/>
    <hyperlink ref="Q4315" r:id="rId8625" location="" tooltip="" display=""/>
    <hyperlink ref="R4315" r:id="rId8626" location="" tooltip="" display=""/>
    <hyperlink ref="L4316" r:id="rId8627" location="" tooltip="" display=""/>
    <hyperlink ref="R4316" r:id="rId8628" location="" tooltip="" display=""/>
    <hyperlink ref="K4318" r:id="rId8629" location="" tooltip="" display=""/>
    <hyperlink ref="L4318" r:id="rId8630" location="" tooltip="" display=""/>
    <hyperlink ref="Q4318" r:id="rId8631" location="" tooltip="" display=""/>
    <hyperlink ref="R4318" r:id="rId8632" location="" tooltip="" display=""/>
    <hyperlink ref="L4319" r:id="rId8633" location="" tooltip="" display=""/>
    <hyperlink ref="R4319" r:id="rId8634" location="" tooltip="" display=""/>
    <hyperlink ref="L4321" r:id="rId8635" location="" tooltip="" display=""/>
    <hyperlink ref="R4321" r:id="rId8636" location="" tooltip="" display=""/>
    <hyperlink ref="K4322" r:id="rId8637" location="" tooltip="" display=""/>
    <hyperlink ref="L4322" r:id="rId8638" location="" tooltip="" display=""/>
    <hyperlink ref="Q4322" r:id="rId8639" location="" tooltip="" display=""/>
    <hyperlink ref="R4322" r:id="rId8640" location="" tooltip="" display=""/>
    <hyperlink ref="L4323" r:id="rId8641" location="" tooltip="" display=""/>
    <hyperlink ref="R4323" r:id="rId8642" location="" tooltip="" display=""/>
    <hyperlink ref="L4325" r:id="rId8643" location="" tooltip="" display=""/>
    <hyperlink ref="R4325" r:id="rId8644" location="" tooltip="" display=""/>
    <hyperlink ref="L4326" r:id="rId8645" location="" tooltip="" display=""/>
    <hyperlink ref="R4326" r:id="rId8646" location="" tooltip="" display=""/>
    <hyperlink ref="K4327" r:id="rId8647" location="" tooltip="" display=""/>
    <hyperlink ref="L4327" r:id="rId8648" location="" tooltip="" display=""/>
    <hyperlink ref="Q4327" r:id="rId8649" location="" tooltip="" display=""/>
    <hyperlink ref="R4327" r:id="rId8650" location="" tooltip="" display=""/>
    <hyperlink ref="L4328" r:id="rId8651" location="" tooltip="" display=""/>
    <hyperlink ref="R4328" r:id="rId8652" location="" tooltip="" display=""/>
    <hyperlink ref="L4329" r:id="rId8653" location="" tooltip="" display=""/>
    <hyperlink ref="R4329" r:id="rId8654" location="" tooltip="" display=""/>
    <hyperlink ref="L4331" r:id="rId8655" location="" tooltip="" display=""/>
    <hyperlink ref="R4331" r:id="rId8656" location="" tooltip="" display=""/>
    <hyperlink ref="K4332" r:id="rId8657" location="" tooltip="" display=""/>
    <hyperlink ref="L4332" r:id="rId8658" location="" tooltip="" display=""/>
    <hyperlink ref="Q4332" r:id="rId8659" location="" tooltip="" display=""/>
    <hyperlink ref="R4332" r:id="rId8660" location="" tooltip="" display=""/>
    <hyperlink ref="L4333" r:id="rId8661" location="" tooltip="" display=""/>
    <hyperlink ref="R4333" r:id="rId8662" location="" tooltip="" display=""/>
    <hyperlink ref="L4334" r:id="rId8663" location="" tooltip="" display=""/>
    <hyperlink ref="R4334" r:id="rId8664" location="" tooltip="" display=""/>
    <hyperlink ref="K4336" r:id="rId8665" location="" tooltip="" display=""/>
    <hyperlink ref="L4336" r:id="rId8666" location="" tooltip="" display=""/>
    <hyperlink ref="Q4336" r:id="rId8667" location="" tooltip="" display=""/>
    <hyperlink ref="R4336" r:id="rId8668" location="" tooltip="" display=""/>
    <hyperlink ref="L4337" r:id="rId8669" location="" tooltip="" display=""/>
    <hyperlink ref="R4337" r:id="rId8670" location="" tooltip="" display=""/>
    <hyperlink ref="L4339" r:id="rId8671" location="" tooltip="" display=""/>
    <hyperlink ref="R4339" r:id="rId8672" location="" tooltip="" display=""/>
    <hyperlink ref="K4340" r:id="rId8673" location="" tooltip="" display=""/>
    <hyperlink ref="L4340" r:id="rId8674" location="" tooltip="" display=""/>
    <hyperlink ref="Q4340" r:id="rId8675" location="" tooltip="" display=""/>
    <hyperlink ref="R4340" r:id="rId8676" location="" tooltip="" display=""/>
    <hyperlink ref="L4341" r:id="rId8677" location="" tooltip="" display=""/>
    <hyperlink ref="R4341" r:id="rId8678" location="" tooltip="" display=""/>
    <hyperlink ref="L4342" r:id="rId8679" location="" tooltip="" display=""/>
    <hyperlink ref="R4342" r:id="rId8680" location="" tooltip="" display=""/>
    <hyperlink ref="K4344" r:id="rId8681" location="" tooltip="" display=""/>
    <hyperlink ref="L4344" r:id="rId8682" location="" tooltip="" display=""/>
    <hyperlink ref="Q4344" r:id="rId8683" location="" tooltip="" display=""/>
    <hyperlink ref="R4344" r:id="rId8684" location="" tooltip="" display=""/>
    <hyperlink ref="L4345" r:id="rId8685" location="" tooltip="" display=""/>
    <hyperlink ref="R4345" r:id="rId8686" location="" tooltip="" display=""/>
    <hyperlink ref="L4347" r:id="rId8687" location="" tooltip="" display=""/>
    <hyperlink ref="R4347" r:id="rId8688" location="" tooltip="" display=""/>
    <hyperlink ref="K4348" r:id="rId8689" location="" tooltip="" display=""/>
    <hyperlink ref="L4348" r:id="rId8690" location="" tooltip="" display=""/>
    <hyperlink ref="Q4348" r:id="rId8691" location="" tooltip="" display=""/>
    <hyperlink ref="R4348" r:id="rId8692" location="" tooltip="" display=""/>
    <hyperlink ref="L4349" r:id="rId8693" location="" tooltip="" display=""/>
    <hyperlink ref="R4349" r:id="rId8694" location="" tooltip="" display=""/>
    <hyperlink ref="K4351" r:id="rId8695" location="" tooltip="" display=""/>
    <hyperlink ref="L4351" r:id="rId8696" location="" tooltip="" display=""/>
    <hyperlink ref="Q4351" r:id="rId8697" location="" tooltip="" display=""/>
    <hyperlink ref="R4351" r:id="rId8698" location="" tooltip="" display=""/>
    <hyperlink ref="L4352" r:id="rId8699" location="" tooltip="" display=""/>
    <hyperlink ref="R4352" r:id="rId8700" location="" tooltip="" display=""/>
    <hyperlink ref="K4354" r:id="rId8701" location="" tooltip="" display=""/>
    <hyperlink ref="L4354" r:id="rId8702" location="" tooltip="" display=""/>
    <hyperlink ref="Q4354" r:id="rId8703" location="" tooltip="" display=""/>
    <hyperlink ref="R4354" r:id="rId8704" location="" tooltip="" display=""/>
    <hyperlink ref="L4355" r:id="rId8705" location="" tooltip="" display=""/>
    <hyperlink ref="R4355" r:id="rId8706" location="" tooltip="" display=""/>
    <hyperlink ref="L4357" r:id="rId8707" location="" tooltip="" display=""/>
    <hyperlink ref="R4357" r:id="rId8708" location="" tooltip="" display=""/>
    <hyperlink ref="K4358" r:id="rId8709" location="" tooltip="" display=""/>
    <hyperlink ref="L4358" r:id="rId8710" location="" tooltip="" display=""/>
    <hyperlink ref="Q4358" r:id="rId8711" location="" tooltip="" display=""/>
    <hyperlink ref="R4358" r:id="rId8712" location="" tooltip="" display=""/>
    <hyperlink ref="L4359" r:id="rId8713" location="" tooltip="" display=""/>
    <hyperlink ref="R4359" r:id="rId8714" location="" tooltip="" display=""/>
    <hyperlink ref="L4360" r:id="rId8715" location="" tooltip="" display=""/>
    <hyperlink ref="R4360" r:id="rId8716" location="" tooltip="" display=""/>
    <hyperlink ref="L4362" r:id="rId8717" location="" tooltip="" display=""/>
    <hyperlink ref="R4362" r:id="rId8718" location="" tooltip="" display=""/>
    <hyperlink ref="K4363" r:id="rId8719" location="" tooltip="" display=""/>
    <hyperlink ref="L4363" r:id="rId8720" location="" tooltip="" display=""/>
    <hyperlink ref="Q4363" r:id="rId8721" location="" tooltip="" display=""/>
    <hyperlink ref="R4363" r:id="rId8722" location="" tooltip="" display=""/>
    <hyperlink ref="L4364" r:id="rId8723" location="" tooltip="" display=""/>
    <hyperlink ref="R4364" r:id="rId8724" location="" tooltip="" display=""/>
    <hyperlink ref="K4366" r:id="rId8725" location="" tooltip="" display=""/>
    <hyperlink ref="L4366" r:id="rId8726" location="" tooltip="" display=""/>
    <hyperlink ref="Q4366" r:id="rId8727" location="" tooltip="" display=""/>
    <hyperlink ref="R4366" r:id="rId8728" location="" tooltip="" display=""/>
    <hyperlink ref="L4368" r:id="rId8729" location="" tooltip="" display=""/>
    <hyperlink ref="R4368" r:id="rId8730" location="" tooltip="" display=""/>
    <hyperlink ref="K4369" r:id="rId8731" location="" tooltip="" display=""/>
    <hyperlink ref="L4369" r:id="rId8732" location="" tooltip="" display=""/>
    <hyperlink ref="Q4369" r:id="rId8733" location="" tooltip="" display=""/>
    <hyperlink ref="R4369" r:id="rId8734" location="" tooltip="" display=""/>
    <hyperlink ref="L4370" r:id="rId8735" location="" tooltip="" display=""/>
    <hyperlink ref="R4370" r:id="rId8736" location="" tooltip="" display=""/>
    <hyperlink ref="L4371" r:id="rId8737" location="" tooltip="" display=""/>
    <hyperlink ref="R4371" r:id="rId8738" location="" tooltip="" display=""/>
    <hyperlink ref="K4373" r:id="rId8739" location="" tooltip="" display=""/>
    <hyperlink ref="L4373" r:id="rId8740" location="" tooltip="" display=""/>
    <hyperlink ref="Q4373" r:id="rId8741" location="" tooltip="" display=""/>
    <hyperlink ref="R4373" r:id="rId8742" location="" tooltip="" display=""/>
    <hyperlink ref="L4374" r:id="rId8743" location="" tooltip="" display=""/>
    <hyperlink ref="R4374" r:id="rId8744" location="" tooltip="" display=""/>
    <hyperlink ref="K4376" r:id="rId8745" location="" tooltip="" display=""/>
    <hyperlink ref="L4376" r:id="rId8746" location="" tooltip="" display=""/>
    <hyperlink ref="Q4376" r:id="rId8747" location="" tooltip="" display=""/>
    <hyperlink ref="R4376" r:id="rId8748" location="" tooltip="" display=""/>
    <hyperlink ref="L4377" r:id="rId8749" location="" tooltip="" display=""/>
    <hyperlink ref="R4377" r:id="rId8750" location="" tooltip="" display=""/>
    <hyperlink ref="L4379" r:id="rId8751" location="" tooltip="" display=""/>
    <hyperlink ref="R4379" r:id="rId8752" location="" tooltip="" display=""/>
    <hyperlink ref="K4380" r:id="rId8753" location="" tooltip="" display=""/>
    <hyperlink ref="L4380" r:id="rId8754" location="" tooltip="" display=""/>
    <hyperlink ref="Q4380" r:id="rId8755" location="" tooltip="" display=""/>
    <hyperlink ref="R4380" r:id="rId8756" location="" tooltip="" display=""/>
    <hyperlink ref="L4381" r:id="rId8757" location="" tooltip="" display=""/>
    <hyperlink ref="R4381" r:id="rId8758" location="" tooltip="" display=""/>
    <hyperlink ref="K4383" r:id="rId8759" location="" tooltip="" display=""/>
    <hyperlink ref="L4383" r:id="rId8760" location="" tooltip="" display=""/>
    <hyperlink ref="Q4383" r:id="rId8761" location="" tooltip="" display=""/>
    <hyperlink ref="R4383" r:id="rId8762" location="" tooltip="" display=""/>
    <hyperlink ref="K4385" r:id="rId8763" location="" tooltip="" display=""/>
    <hyperlink ref="L4385" r:id="rId8764" location="" tooltip="" display=""/>
    <hyperlink ref="Q4385" r:id="rId8765" location="" tooltip="" display=""/>
    <hyperlink ref="R4385" r:id="rId8766" location="" tooltip="" display=""/>
    <hyperlink ref="L4386" r:id="rId8767" location="" tooltip="" display=""/>
    <hyperlink ref="R4386" r:id="rId8768" location="" tooltip="" display=""/>
    <hyperlink ref="K4388" r:id="rId8769" location="" tooltip="" display=""/>
    <hyperlink ref="L4388" r:id="rId8770" location="" tooltip="" display=""/>
    <hyperlink ref="Q4388" r:id="rId8771" location="" tooltip="" display=""/>
    <hyperlink ref="R4388" r:id="rId8772" location="" tooltip="" display=""/>
    <hyperlink ref="L4390" r:id="rId8773" location="" tooltip="" display=""/>
    <hyperlink ref="R4390" r:id="rId8774" location="" tooltip="" display=""/>
    <hyperlink ref="K4391" r:id="rId8775" location="" tooltip="" display=""/>
    <hyperlink ref="L4391" r:id="rId8776" location="" tooltip="" display=""/>
    <hyperlink ref="Q4391" r:id="rId8777" location="" tooltip="" display=""/>
    <hyperlink ref="R4391" r:id="rId8778" location="" tooltip="" display=""/>
    <hyperlink ref="L4392" r:id="rId8779" location="" tooltip="" display=""/>
    <hyperlink ref="R4392" r:id="rId8780" location="" tooltip="" display=""/>
    <hyperlink ref="L4393" r:id="rId8781" location="" tooltip="" display=""/>
    <hyperlink ref="R4393" r:id="rId8782" location="" tooltip="" display=""/>
    <hyperlink ref="K4395" r:id="rId8783" location="" tooltip="" display=""/>
    <hyperlink ref="L4395" r:id="rId8784" location="" tooltip="" display=""/>
    <hyperlink ref="Q4395" r:id="rId8785" location="" tooltip="" display=""/>
    <hyperlink ref="R4395" r:id="rId8786" location="" tooltip="" display=""/>
    <hyperlink ref="K4397" r:id="rId8787" location="" tooltip="" display=""/>
    <hyperlink ref="L4397" r:id="rId8788" location="" tooltip="" display=""/>
    <hyperlink ref="Q4397" r:id="rId8789" location="" tooltip="" display=""/>
    <hyperlink ref="R4397" r:id="rId8790" location="" tooltip="" display=""/>
    <hyperlink ref="L4398" r:id="rId8791" location="" tooltip="" display=""/>
    <hyperlink ref="R4398" r:id="rId8792" location="" tooltip="" display=""/>
    <hyperlink ref="L4400" r:id="rId8793" location="" tooltip="" display=""/>
    <hyperlink ref="R4400" r:id="rId8794" location="" tooltip="" display=""/>
    <hyperlink ref="L4401" r:id="rId8795" location="" tooltip="" display=""/>
    <hyperlink ref="R4401" r:id="rId8796" location="" tooltip="" display=""/>
    <hyperlink ref="K4402" r:id="rId8797" location="" tooltip="" display=""/>
    <hyperlink ref="L4402" r:id="rId8798" location="" tooltip="" display=""/>
    <hyperlink ref="Q4402" r:id="rId8799" location="" tooltip="" display=""/>
    <hyperlink ref="R4402" r:id="rId8800" location="" tooltip="" display=""/>
    <hyperlink ref="L4403" r:id="rId8801" location="" tooltip="" display=""/>
    <hyperlink ref="R4403" r:id="rId8802" location="" tooltip="" display=""/>
    <hyperlink ref="L4404" r:id="rId8803" location="" tooltip="" display=""/>
    <hyperlink ref="R4404" r:id="rId8804" location="" tooltip="" display=""/>
    <hyperlink ref="K4406" r:id="rId8805" location="" tooltip="" display=""/>
    <hyperlink ref="L4406" r:id="rId8806" location="" tooltip="" display=""/>
    <hyperlink ref="Q4406" r:id="rId8807" location="" tooltip="" display=""/>
    <hyperlink ref="R4406" r:id="rId8808" location="" tooltip="" display=""/>
    <hyperlink ref="L4407" r:id="rId8809" location="" tooltip="" display=""/>
    <hyperlink ref="R4407" r:id="rId8810" location="" tooltip="" display=""/>
    <hyperlink ref="L4409" r:id="rId8811" location="" tooltip="" display=""/>
    <hyperlink ref="R4409" r:id="rId8812" location="" tooltip="" display=""/>
    <hyperlink ref="L4410" r:id="rId8813" location="" tooltip="" display=""/>
    <hyperlink ref="R4410" r:id="rId8814" location="" tooltip="" display=""/>
    <hyperlink ref="K4411" r:id="rId8815" location="" tooltip="" display=""/>
    <hyperlink ref="L4411" r:id="rId8816" location="" tooltip="" display=""/>
    <hyperlink ref="Q4411" r:id="rId8817" location="" tooltip="" display=""/>
    <hyperlink ref="R4411" r:id="rId8818" location="" tooltip="" display=""/>
    <hyperlink ref="L4412" r:id="rId8819" location="" tooltip="" display=""/>
    <hyperlink ref="R4412" r:id="rId8820" location="" tooltip="" display=""/>
    <hyperlink ref="L4413" r:id="rId8821" location="" tooltip="" display=""/>
    <hyperlink ref="R4413" r:id="rId8822" location="" tooltip="" display=""/>
    <hyperlink ref="L4414" r:id="rId8823" location="" tooltip="" display=""/>
    <hyperlink ref="R4414" r:id="rId8824" location="" tooltip="" display=""/>
    <hyperlink ref="L4416" r:id="rId8825" location="" tooltip="" display=""/>
    <hyperlink ref="R4416" r:id="rId8826" location="" tooltip="" display=""/>
    <hyperlink ref="K4417" r:id="rId8827" location="" tooltip="" display=""/>
    <hyperlink ref="L4417" r:id="rId8828" location="" tooltip="" display=""/>
    <hyperlink ref="Q4417" r:id="rId8829" location="" tooltip="" display=""/>
    <hyperlink ref="R4417" r:id="rId8830" location="" tooltip="" display=""/>
    <hyperlink ref="L4418" r:id="rId8831" location="" tooltip="" display=""/>
    <hyperlink ref="R4418" r:id="rId8832" location="" tooltip="" display=""/>
    <hyperlink ref="K4420" r:id="rId8833" location="" tooltip="" display=""/>
    <hyperlink ref="L4420" r:id="rId8834" location="" tooltip="" display=""/>
    <hyperlink ref="Q4420" r:id="rId8835" location="" tooltip="" display=""/>
    <hyperlink ref="R4420" r:id="rId8836" location="" tooltip="" display=""/>
    <hyperlink ref="L4422" r:id="rId8837" location="" tooltip="" display=""/>
    <hyperlink ref="R4422" r:id="rId8838" location="" tooltip="" display=""/>
    <hyperlink ref="K4423" r:id="rId8839" location="" tooltip="" display=""/>
    <hyperlink ref="L4423" r:id="rId8840" location="" tooltip="" display=""/>
    <hyperlink ref="Q4423" r:id="rId8841" location="" tooltip="" display=""/>
    <hyperlink ref="R4423" r:id="rId8842" location="" tooltip="" display=""/>
    <hyperlink ref="L4424" r:id="rId8843" location="" tooltip="" display=""/>
    <hyperlink ref="R4424" r:id="rId8844" location="" tooltip="" display=""/>
    <hyperlink ref="K4426" r:id="rId8845" location="" tooltip="" display=""/>
    <hyperlink ref="L4426" r:id="rId8846" location="" tooltip="" display=""/>
    <hyperlink ref="Q4426" r:id="rId8847" location="" tooltip="" display=""/>
    <hyperlink ref="R4426" r:id="rId8848" location="" tooltip="" display=""/>
    <hyperlink ref="L4427" r:id="rId8849" location="" tooltip="" display=""/>
    <hyperlink ref="R4427" r:id="rId8850" location="" tooltip="" display=""/>
    <hyperlink ref="K4429" r:id="rId8851" location="" tooltip="" display=""/>
    <hyperlink ref="L4429" r:id="rId8852" location="" tooltip="" display=""/>
    <hyperlink ref="Q4429" r:id="rId8853" location="" tooltip="" display=""/>
    <hyperlink ref="R4429" r:id="rId8854" location="" tooltip="" display=""/>
    <hyperlink ref="L4430" r:id="rId8855" location="" tooltip="" display=""/>
    <hyperlink ref="R4430" r:id="rId8856" location="" tooltip="" display=""/>
    <hyperlink ref="K4432" r:id="rId8857" location="" tooltip="" display=""/>
    <hyperlink ref="L4432" r:id="rId8858" location="" tooltip="" display=""/>
    <hyperlink ref="Q4432" r:id="rId8859" location="" tooltip="" display=""/>
    <hyperlink ref="R4432" r:id="rId8860" location="" tooltip="" display=""/>
    <hyperlink ref="L4434" r:id="rId8861" location="" tooltip="" display=""/>
    <hyperlink ref="R4434" r:id="rId8862" location="" tooltip="" display=""/>
    <hyperlink ref="L4435" r:id="rId8863" location="" tooltip="" display=""/>
    <hyperlink ref="R4435" r:id="rId8864" location="" tooltip="" display=""/>
    <hyperlink ref="L4436" r:id="rId8865" location="" tooltip="" display=""/>
    <hyperlink ref="R4436" r:id="rId8866" location="" tooltip="" display=""/>
    <hyperlink ref="K4437" r:id="rId8867" location="" tooltip="" display=""/>
    <hyperlink ref="L4437" r:id="rId8868" location="" tooltip="" display=""/>
    <hyperlink ref="Q4437" r:id="rId8869" location="" tooltip="" display=""/>
    <hyperlink ref="R4437" r:id="rId8870" location="" tooltip="" display=""/>
    <hyperlink ref="L4438" r:id="rId8871" location="" tooltip="" display=""/>
    <hyperlink ref="R4438" r:id="rId8872" location="" tooltip="" display=""/>
    <hyperlink ref="L4439" r:id="rId8873" location="" tooltip="" display=""/>
    <hyperlink ref="R4439" r:id="rId8874" location="" tooltip="" display=""/>
    <hyperlink ref="L4440" r:id="rId8875" location="" tooltip="" display=""/>
    <hyperlink ref="R4440" r:id="rId8876" location="" tooltip="" display=""/>
    <hyperlink ref="L4442" r:id="rId8877" location="" tooltip="" display=""/>
    <hyperlink ref="R4442" r:id="rId8878" location="" tooltip="" display=""/>
    <hyperlink ref="K4443" r:id="rId8879" location="" tooltip="" display=""/>
    <hyperlink ref="L4443" r:id="rId8880" location="" tooltip="" display=""/>
    <hyperlink ref="Q4443" r:id="rId8881" location="" tooltip="" display=""/>
    <hyperlink ref="R4443" r:id="rId8882" location="" tooltip="" display=""/>
    <hyperlink ref="L4444" r:id="rId8883" location="" tooltip="" display=""/>
    <hyperlink ref="R4444" r:id="rId8884" location="" tooltip="" display=""/>
    <hyperlink ref="L4446" r:id="rId8885" location="" tooltip="" display=""/>
    <hyperlink ref="R4446" r:id="rId8886" location="" tooltip="" display=""/>
    <hyperlink ref="K4447" r:id="rId8887" location="" tooltip="" display=""/>
    <hyperlink ref="L4447" r:id="rId8888" location="" tooltip="" display=""/>
    <hyperlink ref="Q4447" r:id="rId8889" location="" tooltip="" display=""/>
    <hyperlink ref="R4447" r:id="rId8890" location="" tooltip="" display=""/>
    <hyperlink ref="L4448" r:id="rId8891" location="" tooltip="" display=""/>
    <hyperlink ref="R4448" r:id="rId8892" location="" tooltip="" display=""/>
    <hyperlink ref="K4450" r:id="rId8893" location="" tooltip="" display=""/>
    <hyperlink ref="L4450" r:id="rId8894" location="" tooltip="" display=""/>
    <hyperlink ref="Q4450" r:id="rId8895" location="" tooltip="" display=""/>
    <hyperlink ref="R4450" r:id="rId8896" location="" tooltip="" display=""/>
    <hyperlink ref="K4452" r:id="rId8897" location="" tooltip="" display=""/>
    <hyperlink ref="L4452" r:id="rId8898" location="" tooltip="" display=""/>
    <hyperlink ref="Q4452" r:id="rId8899" location="" tooltip="" display=""/>
    <hyperlink ref="R4452" r:id="rId8900" location="" tooltip="" display=""/>
    <hyperlink ref="L4454" r:id="rId8901" location="" tooltip="" display=""/>
    <hyperlink ref="R4454" r:id="rId8902" location="" tooltip="" display=""/>
    <hyperlink ref="K4455" r:id="rId8903" location="" tooltip="" display=""/>
    <hyperlink ref="L4455" r:id="rId8904" location="" tooltip="" display=""/>
    <hyperlink ref="Q4455" r:id="rId8905" location="" tooltip="" display=""/>
    <hyperlink ref="R4455" r:id="rId8906" location="" tooltip="" display=""/>
    <hyperlink ref="L4456" r:id="rId8907" location="" tooltip="" display=""/>
    <hyperlink ref="R4456" r:id="rId8908" location="" tooltip="" display=""/>
    <hyperlink ref="L4457" r:id="rId8909" location="" tooltip="" display=""/>
    <hyperlink ref="R4457" r:id="rId8910" location="" tooltip="" display=""/>
    <hyperlink ref="L4459" r:id="rId8911" location="" tooltip="" display=""/>
    <hyperlink ref="R4459" r:id="rId8912" location="" tooltip="" display=""/>
    <hyperlink ref="L4460" r:id="rId8913" location="" tooltip="" display=""/>
    <hyperlink ref="R4460" r:id="rId8914" location="" tooltip="" display=""/>
    <hyperlink ref="K4461" r:id="rId8915" location="" tooltip="" display=""/>
    <hyperlink ref="L4461" r:id="rId8916" location="" tooltip="" display=""/>
    <hyperlink ref="Q4461" r:id="rId8917" location="" tooltip="" display=""/>
    <hyperlink ref="R4461" r:id="rId8918" location="" tooltip="" display=""/>
    <hyperlink ref="L4462" r:id="rId8919" location="" tooltip="" display=""/>
    <hyperlink ref="R4462" r:id="rId8920" location="" tooltip="" display=""/>
    <hyperlink ref="L4463" r:id="rId8921" location="" tooltip="" display=""/>
    <hyperlink ref="R4463" r:id="rId8922" location="" tooltip="" display=""/>
    <hyperlink ref="L4464" r:id="rId8923" location="" tooltip="" display=""/>
    <hyperlink ref="R4464" r:id="rId8924" location="" tooltip="" display=""/>
    <hyperlink ref="L4466" r:id="rId8925" location="" tooltip="" display=""/>
    <hyperlink ref="R4466" r:id="rId8926" location="" tooltip="" display=""/>
    <hyperlink ref="K4467" r:id="rId8927" location="" tooltip="" display=""/>
    <hyperlink ref="L4467" r:id="rId8928" location="" tooltip="" display=""/>
    <hyperlink ref="Q4467" r:id="rId8929" location="" tooltip="" display=""/>
    <hyperlink ref="R4467" r:id="rId8930" location="" tooltip="" display=""/>
    <hyperlink ref="L4468" r:id="rId8931" location="" tooltip="" display=""/>
    <hyperlink ref="R4468" r:id="rId8932" location="" tooltip="" display=""/>
    <hyperlink ref="L4469" r:id="rId8933" location="" tooltip="" display=""/>
    <hyperlink ref="R4469" r:id="rId8934" location="" tooltip="" display=""/>
    <hyperlink ref="K4471" r:id="rId8935" location="" tooltip="" display=""/>
    <hyperlink ref="L4471" r:id="rId8936" location="" tooltip="" display=""/>
    <hyperlink ref="Q4471" r:id="rId8937" location="" tooltip="" display=""/>
    <hyperlink ref="R4471" r:id="rId8938" location="" tooltip="" display=""/>
    <hyperlink ref="L4472" r:id="rId8939" location="" tooltip="" display=""/>
    <hyperlink ref="R4472" r:id="rId8940" location="" tooltip="" display=""/>
    <hyperlink ref="L4474" r:id="rId8941" location="" tooltip="" display=""/>
    <hyperlink ref="R4474" r:id="rId8942" location="" tooltip="" display=""/>
    <hyperlink ref="K4475" r:id="rId8943" location="" tooltip="" display=""/>
    <hyperlink ref="L4475" r:id="rId8944" location="" tooltip="" display=""/>
    <hyperlink ref="Q4475" r:id="rId8945" location="" tooltip="" display=""/>
    <hyperlink ref="R4475" r:id="rId8946" location="" tooltip="" display=""/>
    <hyperlink ref="L4476" r:id="rId8947" location="" tooltip="" display=""/>
    <hyperlink ref="R4476" r:id="rId8948" location="" tooltip="" display=""/>
    <hyperlink ref="L4477" r:id="rId8949" location="" tooltip="" display=""/>
    <hyperlink ref="R4477" r:id="rId8950" location="" tooltip="" display=""/>
    <hyperlink ref="K4479" r:id="rId8951" location="" tooltip="" display=""/>
    <hyperlink ref="L4479" r:id="rId8952" location="" tooltip="" display=""/>
    <hyperlink ref="Q4479" r:id="rId8953" location="" tooltip="" display=""/>
    <hyperlink ref="R4479" r:id="rId8954" location="" tooltip="" display=""/>
    <hyperlink ref="K4481" r:id="rId8955" location="" tooltip="" display=""/>
    <hyperlink ref="L4481" r:id="rId8956" location="" tooltip="" display=""/>
    <hyperlink ref="Q4481" r:id="rId8957" location="" tooltip="" display=""/>
    <hyperlink ref="R4481" r:id="rId8958" location="" tooltip="" display=""/>
    <hyperlink ref="L4483" r:id="rId8959" location="" tooltip="" display=""/>
    <hyperlink ref="R4483" r:id="rId8960" location="" tooltip="" display=""/>
    <hyperlink ref="K4484" r:id="rId8961" location="" tooltip="" display=""/>
    <hyperlink ref="L4484" r:id="rId8962" location="" tooltip="" display=""/>
    <hyperlink ref="Q4484" r:id="rId8963" location="" tooltip="" display=""/>
    <hyperlink ref="R4484" r:id="rId8964" location="" tooltip="" display=""/>
    <hyperlink ref="L4485" r:id="rId8965" location="" tooltip="" display=""/>
    <hyperlink ref="R4485" r:id="rId8966" location="" tooltip="" display=""/>
    <hyperlink ref="L4486" r:id="rId8967" location="" tooltip="" display=""/>
    <hyperlink ref="R4486" r:id="rId8968" location="" tooltip="" display=""/>
    <hyperlink ref="L4488" r:id="rId8969" location="" tooltip="" display=""/>
    <hyperlink ref="R4488" r:id="rId8970" location="" tooltip="" display=""/>
    <hyperlink ref="K4489" r:id="rId8971" location="" tooltip="" display=""/>
    <hyperlink ref="L4489" r:id="rId8972" location="" tooltip="" display=""/>
    <hyperlink ref="Q4489" r:id="rId8973" location="" tooltip="" display=""/>
    <hyperlink ref="R4489" r:id="rId8974" location="" tooltip="" display=""/>
    <hyperlink ref="L4490" r:id="rId8975" location="" tooltip="" display=""/>
    <hyperlink ref="R4490" r:id="rId8976" location="" tooltip="" display=""/>
    <hyperlink ref="L4492" r:id="rId8977" location="" tooltip="" display=""/>
    <hyperlink ref="R4492" r:id="rId8978" location="" tooltip="" display=""/>
    <hyperlink ref="L4493" r:id="rId8979" location="" tooltip="" display=""/>
    <hyperlink ref="R4493" r:id="rId8980" location="" tooltip="" display=""/>
    <hyperlink ref="L4494" r:id="rId8981" location="" tooltip="" display=""/>
    <hyperlink ref="R4494" r:id="rId8982" location="" tooltip="" display=""/>
    <hyperlink ref="K4495" r:id="rId8983" location="" tooltip="" display=""/>
    <hyperlink ref="L4495" r:id="rId8984" location="" tooltip="" display=""/>
    <hyperlink ref="Q4495" r:id="rId8985" location="" tooltip="" display=""/>
    <hyperlink ref="R4495" r:id="rId8986" location="" tooltip="" display=""/>
    <hyperlink ref="L4496" r:id="rId8987" location="" tooltip="" display=""/>
    <hyperlink ref="R4496" r:id="rId8988" location="" tooltip="" display=""/>
    <hyperlink ref="L4497" r:id="rId8989" location="" tooltip="" display=""/>
    <hyperlink ref="R4497" r:id="rId8990" location="" tooltip="" display=""/>
    <hyperlink ref="L4498" r:id="rId8991" location="" tooltip="" display=""/>
    <hyperlink ref="R4498" r:id="rId8992" location="" tooltip="" display=""/>
    <hyperlink ref="L4500" r:id="rId8993" location="" tooltip="" display=""/>
    <hyperlink ref="R4500" r:id="rId8994" location="" tooltip="" display=""/>
    <hyperlink ref="K4501" r:id="rId8995" location="" tooltip="" display=""/>
    <hyperlink ref="L4501" r:id="rId8996" location="" tooltip="" display=""/>
    <hyperlink ref="Q4501" r:id="rId8997" location="" tooltip="" display=""/>
    <hyperlink ref="R4501" r:id="rId8998" location="" tooltip="" display=""/>
    <hyperlink ref="L4502" r:id="rId8999" location="" tooltip="" display=""/>
    <hyperlink ref="R4502" r:id="rId9000" location="" tooltip="" display=""/>
    <hyperlink ref="K4504" r:id="rId9001" location="" tooltip="" display=""/>
    <hyperlink ref="L4504" r:id="rId9002" location="" tooltip="" display=""/>
    <hyperlink ref="Q4504" r:id="rId9003" location="" tooltip="" display=""/>
    <hyperlink ref="R4504" r:id="rId9004" location="" tooltip="" display=""/>
    <hyperlink ref="K4506" r:id="rId9005" location="" tooltip="" display=""/>
    <hyperlink ref="L4506" r:id="rId9006" location="" tooltip="" display=""/>
    <hyperlink ref="Q4506" r:id="rId9007" location="" tooltip="" display=""/>
    <hyperlink ref="R4506" r:id="rId9008" location="" tooltip="" display=""/>
    <hyperlink ref="L4507" r:id="rId9009" location="" tooltip="" display=""/>
    <hyperlink ref="R4507" r:id="rId9010" location="" tooltip="" display=""/>
    <hyperlink ref="K4509" r:id="rId9011" location="" tooltip="" display=""/>
    <hyperlink ref="L4509" r:id="rId9012" location="" tooltip="" display=""/>
    <hyperlink ref="Q4509" r:id="rId9013" location="" tooltip="" display=""/>
    <hyperlink ref="R4509" r:id="rId9014" location="" tooltip="" display=""/>
    <hyperlink ref="L4511" r:id="rId9015" location="" tooltip="" display=""/>
    <hyperlink ref="R4511" r:id="rId9016" location="" tooltip="" display=""/>
    <hyperlink ref="K4512" r:id="rId9017" location="" tooltip="" display=""/>
    <hyperlink ref="L4512" r:id="rId9018" location="" tooltip="" display=""/>
    <hyperlink ref="Q4512" r:id="rId9019" location="" tooltip="" display=""/>
    <hyperlink ref="R4512" r:id="rId9020" location="" tooltip="" display=""/>
    <hyperlink ref="L4513" r:id="rId9021" location="" tooltip="" display=""/>
    <hyperlink ref="R4513" r:id="rId9022" location="" tooltip="" display=""/>
    <hyperlink ref="K4515" r:id="rId9023" location="" tooltip="" display=""/>
    <hyperlink ref="L4515" r:id="rId9024" location="" tooltip="" display=""/>
    <hyperlink ref="Q4515" r:id="rId9025" location="" tooltip="" display=""/>
    <hyperlink ref="R4515" r:id="rId9026" location="" tooltip="" display=""/>
    <hyperlink ref="L4517" r:id="rId9027" location="" tooltip="" display=""/>
    <hyperlink ref="R4517" r:id="rId9028" location="" tooltip="" display=""/>
    <hyperlink ref="L4518" r:id="rId9029" location="" tooltip="" display=""/>
    <hyperlink ref="R4518" r:id="rId9030" location="" tooltip="" display=""/>
    <hyperlink ref="K4519" r:id="rId9031" location="" tooltip="" display=""/>
    <hyperlink ref="L4519" r:id="rId9032" location="" tooltip="" display=""/>
    <hyperlink ref="Q4519" r:id="rId9033" location="" tooltip="" display=""/>
    <hyperlink ref="R4519" r:id="rId9034" location="" tooltip="" display=""/>
    <hyperlink ref="L4520" r:id="rId9035" location="" tooltip="" display=""/>
    <hyperlink ref="R4520" r:id="rId9036" location="" tooltip="" display=""/>
    <hyperlink ref="L4521" r:id="rId9037" location="" tooltip="" display=""/>
    <hyperlink ref="R4521" r:id="rId9038" location="" tooltip="" display=""/>
    <hyperlink ref="L4522" r:id="rId9039" location="" tooltip="" display=""/>
    <hyperlink ref="R4522" r:id="rId9040" location="" tooltip="" display=""/>
    <hyperlink ref="L4524" r:id="rId9041" location="" tooltip="" display=""/>
    <hyperlink ref="R4524" r:id="rId9042" location="" tooltip="" display=""/>
    <hyperlink ref="K4525" r:id="rId9043" location="" tooltip="" display=""/>
    <hyperlink ref="L4525" r:id="rId9044" location="" tooltip="" display=""/>
    <hyperlink ref="Q4525" r:id="rId9045" location="" tooltip="" display=""/>
    <hyperlink ref="R4525" r:id="rId9046" location="" tooltip="" display=""/>
    <hyperlink ref="L4526" r:id="rId9047" location="" tooltip="" display=""/>
    <hyperlink ref="R4526" r:id="rId9048" location="" tooltip="" display=""/>
    <hyperlink ref="L4528" r:id="rId9049" location="" tooltip="" display=""/>
    <hyperlink ref="R4528" r:id="rId9050" location="" tooltip="" display=""/>
    <hyperlink ref="K4529" r:id="rId9051" location="" tooltip="" display=""/>
    <hyperlink ref="L4529" r:id="rId9052" location="" tooltip="" display=""/>
    <hyperlink ref="Q4529" r:id="rId9053" location="" tooltip="" display=""/>
    <hyperlink ref="R4529" r:id="rId9054" location="" tooltip="" display=""/>
    <hyperlink ref="L4530" r:id="rId9055" location="" tooltip="" display=""/>
    <hyperlink ref="R4530" r:id="rId9056" location="" tooltip="" display=""/>
    <hyperlink ref="L4531" r:id="rId9057" location="" tooltip="" display=""/>
    <hyperlink ref="R4531" r:id="rId9058" location="" tooltip="" display=""/>
    <hyperlink ref="K4533" r:id="rId9059" location="" tooltip="" display=""/>
    <hyperlink ref="L4533" r:id="rId9060" location="" tooltip="" display=""/>
    <hyperlink ref="Q4533" r:id="rId9061" location="" tooltip="" display=""/>
    <hyperlink ref="R4533" r:id="rId9062" location="" tooltip="" display=""/>
    <hyperlink ref="L4534" r:id="rId9063" location="" tooltip="" display=""/>
    <hyperlink ref="R4534" r:id="rId9064" location="" tooltip="" display=""/>
    <hyperlink ref="K4536" r:id="rId9065" location="" tooltip="" display=""/>
    <hyperlink ref="L4536" r:id="rId9066" location="" tooltip="" display=""/>
    <hyperlink ref="Q4536" r:id="rId9067" location="" tooltip="" display=""/>
    <hyperlink ref="R4536" r:id="rId9068" location="" tooltip="" display=""/>
    <hyperlink ref="L4537" r:id="rId9069" location="" tooltip="" display=""/>
    <hyperlink ref="R4537" r:id="rId9070" location="" tooltip="" display=""/>
    <hyperlink ref="K4539" r:id="rId9071" location="" tooltip="" display=""/>
    <hyperlink ref="L4539" r:id="rId9072" location="" tooltip="" display=""/>
    <hyperlink ref="Q4539" r:id="rId9073" location="" tooltip="" display=""/>
    <hyperlink ref="R4539" r:id="rId9074" location="" tooltip="" display=""/>
    <hyperlink ref="K4541" r:id="rId9075" location="" tooltip="" display=""/>
    <hyperlink ref="L4541" r:id="rId9076" location="" tooltip="" display=""/>
    <hyperlink ref="Q4541" r:id="rId9077" location="" tooltip="" display=""/>
    <hyperlink ref="R4541" r:id="rId9078" location="" tooltip="" display=""/>
    <hyperlink ref="L4543" r:id="rId9079" location="" tooltip="" display=""/>
    <hyperlink ref="R4543" r:id="rId9080" location="" tooltip="" display=""/>
    <hyperlink ref="K4544" r:id="rId9081" location="" tooltip="" display=""/>
    <hyperlink ref="L4544" r:id="rId9082" location="" tooltip="" display=""/>
    <hyperlink ref="Q4544" r:id="rId9083" location="" tooltip="" display=""/>
    <hyperlink ref="R4544" r:id="rId9084" location="" tooltip="" display=""/>
    <hyperlink ref="L4545" r:id="rId9085" location="" tooltip="" display=""/>
    <hyperlink ref="R4545" r:id="rId9086" location="" tooltip="" display=""/>
    <hyperlink ref="K4547" r:id="rId9087" location="" tooltip="" display=""/>
    <hyperlink ref="L4547" r:id="rId9088" location="" tooltip="" display=""/>
    <hyperlink ref="Q4547" r:id="rId9089" location="" tooltip="" display=""/>
    <hyperlink ref="R4547" r:id="rId9090" location="" tooltip="" display=""/>
    <hyperlink ref="L4549" r:id="rId9091" location="" tooltip="" display=""/>
    <hyperlink ref="R4549" r:id="rId9092" location="" tooltip="" display=""/>
    <hyperlink ref="K4550" r:id="rId9093" location="" tooltip="" display=""/>
    <hyperlink ref="L4550" r:id="rId9094" location="" tooltip="" display=""/>
    <hyperlink ref="Q4550" r:id="rId9095" location="" tooltip="" display=""/>
    <hyperlink ref="R4550" r:id="rId9096" location="" tooltip="" display=""/>
    <hyperlink ref="L4551" r:id="rId9097" location="" tooltip="" display=""/>
    <hyperlink ref="R4551" r:id="rId9098" location="" tooltip="" display=""/>
    <hyperlink ref="L4552" r:id="rId9099" location="" tooltip="" display=""/>
    <hyperlink ref="R4552" r:id="rId9100" location="" tooltip="" display=""/>
    <hyperlink ref="L4554" r:id="rId9101" location="" tooltip="" display=""/>
    <hyperlink ref="R4554" r:id="rId9102" location="" tooltip="" display=""/>
    <hyperlink ref="K4555" r:id="rId9103" location="" tooltip="" display=""/>
    <hyperlink ref="L4555" r:id="rId9104" location="" tooltip="" display=""/>
    <hyperlink ref="Q4555" r:id="rId9105" location="" tooltip="" display=""/>
    <hyperlink ref="R4555" r:id="rId9106" location="" tooltip="" display=""/>
    <hyperlink ref="L4556" r:id="rId9107" location="" tooltip="" display=""/>
    <hyperlink ref="R4556" r:id="rId9108" location="" tooltip="" display=""/>
    <hyperlink ref="L4557" r:id="rId9109" location="" tooltip="" display=""/>
    <hyperlink ref="R4557" r:id="rId9110" location="" tooltip="" display=""/>
    <hyperlink ref="K4559" r:id="rId9111" location="" tooltip="" display=""/>
    <hyperlink ref="L4559" r:id="rId9112" location="" tooltip="" display=""/>
    <hyperlink ref="Q4559" r:id="rId9113" location="" tooltip="" display=""/>
    <hyperlink ref="R4559" r:id="rId9114" location="" tooltip="" display=""/>
    <hyperlink ref="L4560" r:id="rId9115" location="" tooltip="" display=""/>
    <hyperlink ref="R4560" r:id="rId9116" location="" tooltip="" display=""/>
    <hyperlink ref="L4562" r:id="rId9117" location="" tooltip="" display=""/>
    <hyperlink ref="R4562" r:id="rId9118" location="" tooltip="" display=""/>
    <hyperlink ref="K4563" r:id="rId9119" location="" tooltip="" display=""/>
    <hyperlink ref="L4563" r:id="rId9120" location="" tooltip="" display=""/>
    <hyperlink ref="Q4563" r:id="rId9121" location="" tooltip="" display=""/>
    <hyperlink ref="R4563" r:id="rId9122" location="" tooltip="" display=""/>
    <hyperlink ref="L4564" r:id="rId9123" location="" tooltip="" display=""/>
    <hyperlink ref="R4564" r:id="rId9124" location="" tooltip="" display=""/>
    <hyperlink ref="L4566" r:id="rId9125" location="" tooltip="" display=""/>
    <hyperlink ref="R4566" r:id="rId9126" location="" tooltip="" display=""/>
    <hyperlink ref="L4567" r:id="rId9127" location="" tooltip="" display=""/>
    <hyperlink ref="R4567" r:id="rId9128" location="" tooltip="" display=""/>
    <hyperlink ref="K4568" r:id="rId9129" location="" tooltip="" display=""/>
    <hyperlink ref="L4568" r:id="rId9130" location="" tooltip="" display=""/>
    <hyperlink ref="Q4568" r:id="rId9131" location="" tooltip="" display=""/>
    <hyperlink ref="R4568" r:id="rId9132" location="" tooltip="" display=""/>
    <hyperlink ref="L4569" r:id="rId9133" location="" tooltip="" display=""/>
    <hyperlink ref="R4569" r:id="rId9134" location="" tooltip="" display=""/>
    <hyperlink ref="L4570" r:id="rId9135" location="" tooltip="" display=""/>
    <hyperlink ref="R4570" r:id="rId9136" location="" tooltip="" display=""/>
    <hyperlink ref="K4572" r:id="rId9137" location="" tooltip="" display=""/>
    <hyperlink ref="L4572" r:id="rId9138" location="" tooltip="" display=""/>
    <hyperlink ref="Q4572" r:id="rId9139" location="" tooltip="" display=""/>
    <hyperlink ref="R4572" r:id="rId9140" location="" tooltip="" display=""/>
    <hyperlink ref="K4574" r:id="rId9141" location="" tooltip="" display=""/>
    <hyperlink ref="L4574" r:id="rId9142" location="" tooltip="" display=""/>
    <hyperlink ref="Q4574" r:id="rId9143" location="" tooltip="" display=""/>
    <hyperlink ref="R4574" r:id="rId9144" location="" tooltip="" display=""/>
    <hyperlink ref="L4576" r:id="rId9145" location="" tooltip="" display=""/>
    <hyperlink ref="R4576" r:id="rId9146" location="" tooltip="" display=""/>
    <hyperlink ref="K4577" r:id="rId9147" location="" tooltip="" display=""/>
    <hyperlink ref="L4577" r:id="rId9148" location="" tooltip="" display=""/>
    <hyperlink ref="Q4577" r:id="rId9149" location="" tooltip="" display=""/>
    <hyperlink ref="R4577" r:id="rId9150" location="" tooltip="" display=""/>
    <hyperlink ref="L4578" r:id="rId9151" location="" tooltip="" display=""/>
    <hyperlink ref="R4578" r:id="rId9152" location="" tooltip="" display=""/>
    <hyperlink ref="K4580" r:id="rId9153" location="" tooltip="" display=""/>
    <hyperlink ref="L4580" r:id="rId9154" location="" tooltip="" display=""/>
    <hyperlink ref="Q4580" r:id="rId9155" location="" tooltip="" display=""/>
    <hyperlink ref="R4580" r:id="rId9156" location="" tooltip="" display=""/>
    <hyperlink ref="L4582" r:id="rId9157" location="" tooltip="" display=""/>
    <hyperlink ref="R4582" r:id="rId9158" location="" tooltip="" display=""/>
    <hyperlink ref="K4583" r:id="rId9159" location="" tooltip="" display=""/>
    <hyperlink ref="L4583" r:id="rId9160" location="" tooltip="" display=""/>
    <hyperlink ref="Q4583" r:id="rId9161" location="" tooltip="" display=""/>
    <hyperlink ref="R4583" r:id="rId9162" location="" tooltip="" display=""/>
    <hyperlink ref="L4584" r:id="rId9163" location="" tooltip="" display=""/>
    <hyperlink ref="R4584" r:id="rId9164" location="" tooltip="" display=""/>
    <hyperlink ref="L4586" r:id="rId9165" location="" tooltip="" display=""/>
    <hyperlink ref="R4586" r:id="rId9166" location="" tooltip="" display=""/>
    <hyperlink ref="L4587" r:id="rId9167" location="" tooltip="" display=""/>
    <hyperlink ref="R4587" r:id="rId9168" location="" tooltip="" display=""/>
    <hyperlink ref="K4588" r:id="rId9169" location="" tooltip="" display=""/>
    <hyperlink ref="L4588" r:id="rId9170" location="" tooltip="" display=""/>
    <hyperlink ref="Q4588" r:id="rId9171" location="" tooltip="" display=""/>
    <hyperlink ref="R4588" r:id="rId9172" location="" tooltip="" display=""/>
    <hyperlink ref="L4589" r:id="rId9173" location="" tooltip="" display=""/>
    <hyperlink ref="R4589" r:id="rId9174" location="" tooltip="" display=""/>
    <hyperlink ref="L4590" r:id="rId9175" location="" tooltip="" display=""/>
    <hyperlink ref="R4590" r:id="rId9176" location="" tooltip="" display=""/>
    <hyperlink ref="L4591" r:id="rId9177" location="" tooltip="" display=""/>
    <hyperlink ref="R4591" r:id="rId9178" location="" tooltip="" display=""/>
    <hyperlink ref="L4593" r:id="rId9179" location="" tooltip="" display=""/>
    <hyperlink ref="R4593" r:id="rId9180" location="" tooltip="" display=""/>
    <hyperlink ref="K4594" r:id="rId9181" location="" tooltip="" display=""/>
    <hyperlink ref="L4594" r:id="rId9182" location="" tooltip="" display=""/>
    <hyperlink ref="Q4594" r:id="rId9183" location="" tooltip="" display=""/>
    <hyperlink ref="R4594" r:id="rId9184" location="" tooltip="" display=""/>
    <hyperlink ref="L4595" r:id="rId9185" location="" tooltip="" display=""/>
    <hyperlink ref="R4595" r:id="rId9186" location="" tooltip="" display=""/>
    <hyperlink ref="L4596" r:id="rId9187" location="" tooltip="" display=""/>
    <hyperlink ref="R4596" r:id="rId9188" location="" tooltip="" display=""/>
    <hyperlink ref="L4598" r:id="rId9189" location="" tooltip="" display=""/>
    <hyperlink ref="R4598" r:id="rId9190" location="" tooltip="" display=""/>
    <hyperlink ref="L4599" r:id="rId9191" location="" tooltip="" display=""/>
    <hyperlink ref="R4599" r:id="rId9192" location="" tooltip="" display=""/>
    <hyperlink ref="K4600" r:id="rId9193" location="" tooltip="" display=""/>
    <hyperlink ref="L4600" r:id="rId9194" location="" tooltip="" display=""/>
    <hyperlink ref="Q4600" r:id="rId9195" location="" tooltip="" display=""/>
    <hyperlink ref="R4600" r:id="rId9196" location="" tooltip="" display=""/>
    <hyperlink ref="L4601" r:id="rId9197" location="" tooltip="" display=""/>
    <hyperlink ref="R4601" r:id="rId9198" location="" tooltip="" display=""/>
    <hyperlink ref="L4602" r:id="rId9199" location="" tooltip="" display=""/>
    <hyperlink ref="R4602" r:id="rId9200" location="" tooltip="" display=""/>
    <hyperlink ref="L4603" r:id="rId9201" location="" tooltip="" display=""/>
    <hyperlink ref="R4603" r:id="rId9202" location="" tooltip="" display=""/>
    <hyperlink ref="L4605" r:id="rId9203" location="" tooltip="" display=""/>
    <hyperlink ref="R4605" r:id="rId9204" location="" tooltip="" display=""/>
    <hyperlink ref="K4606" r:id="rId9205" location="" tooltip="" display=""/>
    <hyperlink ref="L4606" r:id="rId9206" location="" tooltip="" display=""/>
    <hyperlink ref="Q4606" r:id="rId9207" location="" tooltip="" display=""/>
    <hyperlink ref="R4606" r:id="rId9208" location="" tooltip="" display=""/>
    <hyperlink ref="L4607" r:id="rId9209" location="" tooltip="" display=""/>
    <hyperlink ref="R4607" r:id="rId9210" location="" tooltip="" display=""/>
    <hyperlink ref="L4609" r:id="rId9211" location="" tooltip="" display=""/>
    <hyperlink ref="R4609" r:id="rId9212" location="" tooltip="" display=""/>
    <hyperlink ref="K4610" r:id="rId9213" location="" tooltip="" display=""/>
    <hyperlink ref="L4610" r:id="rId9214" location="" tooltip="" display=""/>
    <hyperlink ref="Q4610" r:id="rId9215" location="" tooltip="" display=""/>
    <hyperlink ref="R4610" r:id="rId9216" location="" tooltip="" display=""/>
    <hyperlink ref="L4611" r:id="rId9217" location="" tooltip="" display=""/>
    <hyperlink ref="R4611" r:id="rId9218" location="" tooltip="" display=""/>
    <hyperlink ref="K4613" r:id="rId9219" location="" tooltip="" display=""/>
    <hyperlink ref="L4613" r:id="rId9220" location="" tooltip="" display=""/>
    <hyperlink ref="Q4613" r:id="rId9221" location="" tooltip="" display=""/>
    <hyperlink ref="R4613" r:id="rId9222" location="" tooltip="" display=""/>
    <hyperlink ref="K4615" r:id="rId9223" location="" tooltip="" display=""/>
    <hyperlink ref="L4615" r:id="rId9224" location="" tooltip="" display=""/>
    <hyperlink ref="Q4615" r:id="rId9225" location="" tooltip="" display=""/>
    <hyperlink ref="R4615" r:id="rId9226" location="" tooltip="" display=""/>
    <hyperlink ref="L4616" r:id="rId9227" location="" tooltip="" display=""/>
    <hyperlink ref="R4616" r:id="rId9228" location="" tooltip="" display=""/>
    <hyperlink ref="K4618" r:id="rId9229" location="" tooltip="" display=""/>
    <hyperlink ref="L4618" r:id="rId9230" location="" tooltip="" display=""/>
    <hyperlink ref="Q4618" r:id="rId9231" location="" tooltip="" display=""/>
    <hyperlink ref="R4618" r:id="rId9232" location="" tooltip="" display=""/>
    <hyperlink ref="L4620" r:id="rId9233" location="" tooltip="" display=""/>
    <hyperlink ref="R4620" r:id="rId9234" location="" tooltip="" display=""/>
    <hyperlink ref="L4621" r:id="rId9235" location="" tooltip="" display=""/>
    <hyperlink ref="R4621" r:id="rId9236" location="" tooltip="" display=""/>
    <hyperlink ref="K4622" r:id="rId9237" location="" tooltip="" display=""/>
    <hyperlink ref="L4622" r:id="rId9238" location="" tooltip="" display=""/>
    <hyperlink ref="Q4622" r:id="rId9239" location="" tooltip="" display=""/>
    <hyperlink ref="R4622" r:id="rId9240" location="" tooltip="" display=""/>
    <hyperlink ref="L4623" r:id="rId9241" location="" tooltip="" display=""/>
    <hyperlink ref="R4623" r:id="rId9242" location="" tooltip="" display=""/>
    <hyperlink ref="L4624" r:id="rId9243" location="" tooltip="" display=""/>
    <hyperlink ref="R4624" r:id="rId9244" location="" tooltip="" display=""/>
    <hyperlink ref="L4625" r:id="rId9245" location="" tooltip="" display=""/>
    <hyperlink ref="R4625" r:id="rId9246" location="" tooltip="" display=""/>
    <hyperlink ref="L4627" r:id="rId9247" location="" tooltip="" display=""/>
    <hyperlink ref="R4627" r:id="rId9248" location="" tooltip="" display=""/>
    <hyperlink ref="K4628" r:id="rId9249" location="" tooltip="" display=""/>
    <hyperlink ref="L4628" r:id="rId9250" location="" tooltip="" display=""/>
    <hyperlink ref="Q4628" r:id="rId9251" location="" tooltip="" display=""/>
    <hyperlink ref="R4628" r:id="rId9252" location="" tooltip="" display=""/>
    <hyperlink ref="L4629" r:id="rId9253" location="" tooltip="" display=""/>
    <hyperlink ref="R4629" r:id="rId9254" location="" tooltip="" display=""/>
    <hyperlink ref="L4630" r:id="rId9255" location="" tooltip="" display=""/>
    <hyperlink ref="R4630" r:id="rId9256" location="" tooltip="" display=""/>
    <hyperlink ref="L4632" r:id="rId9257" location="" tooltip="" display=""/>
    <hyperlink ref="R4632" r:id="rId9258" location="" tooltip="" display=""/>
    <hyperlink ref="L4633" r:id="rId9259" location="" tooltip="" display=""/>
    <hyperlink ref="R4633" r:id="rId9260" location="" tooltip="" display=""/>
    <hyperlink ref="K4634" r:id="rId9261" location="" tooltip="" display=""/>
    <hyperlink ref="L4634" r:id="rId9262" location="" tooltip="" display=""/>
    <hyperlink ref="Q4634" r:id="rId9263" location="" tooltip="" display=""/>
    <hyperlink ref="R4634" r:id="rId9264" location="" tooltip="" display=""/>
    <hyperlink ref="L4635" r:id="rId9265" location="" tooltip="" display=""/>
    <hyperlink ref="R4635" r:id="rId9266" location="" tooltip="" display=""/>
    <hyperlink ref="L4636" r:id="rId9267" location="" tooltip="" display=""/>
    <hyperlink ref="R4636" r:id="rId9268" location="" tooltip="" display=""/>
    <hyperlink ref="L4637" r:id="rId9269" location="" tooltip="" display=""/>
    <hyperlink ref="R4637" r:id="rId9270" location="" tooltip="" display=""/>
    <hyperlink ref="L4639" r:id="rId9271" location="" tooltip="" display=""/>
    <hyperlink ref="R4639" r:id="rId9272" location="" tooltip="" display=""/>
    <hyperlink ref="K4640" r:id="rId9273" location="" tooltip="" display=""/>
    <hyperlink ref="L4640" r:id="rId9274" location="" tooltip="" display=""/>
    <hyperlink ref="Q4640" r:id="rId9275" location="" tooltip="" display=""/>
    <hyperlink ref="R4640" r:id="rId9276" location="" tooltip="" display=""/>
    <hyperlink ref="L4641" r:id="rId9277" location="" tooltip="" display=""/>
    <hyperlink ref="R4641" r:id="rId9278" location="" tooltip="" display=""/>
    <hyperlink ref="K4643" r:id="rId9279" location="" tooltip="" display=""/>
    <hyperlink ref="L4643" r:id="rId9280" location="" tooltip="" display=""/>
    <hyperlink ref="Q4643" r:id="rId9281" location="" tooltip="" display=""/>
    <hyperlink ref="R4643" r:id="rId9282" location="" tooltip="" display=""/>
    <hyperlink ref="L4644" r:id="rId9283" location="" tooltip="" display=""/>
    <hyperlink ref="R4644" r:id="rId9284" location="" tooltip="" display=""/>
    <hyperlink ref="K4646" r:id="rId9285" location="" tooltip="" display=""/>
    <hyperlink ref="L4646" r:id="rId9286" location="" tooltip="" display=""/>
    <hyperlink ref="Q4646" r:id="rId9287" location="" tooltip="" display=""/>
    <hyperlink ref="R4646" r:id="rId9288" location="" tooltip="" display=""/>
    <hyperlink ref="L4647" r:id="rId9289" location="" tooltip="" display=""/>
    <hyperlink ref="R4647" r:id="rId9290" location="" tooltip="" display=""/>
    <hyperlink ref="K4649" r:id="rId9291" location="" tooltip="" display=""/>
    <hyperlink ref="L4649" r:id="rId9292" location="" tooltip="" display=""/>
    <hyperlink ref="Q4649" r:id="rId9293" location="" tooltip="" display=""/>
    <hyperlink ref="R4649" r:id="rId9294" location="" tooltip="" display=""/>
    <hyperlink ref="L4650" r:id="rId9295" location="" tooltip="" display=""/>
    <hyperlink ref="R4650" r:id="rId9296" location="" tooltip="" display=""/>
    <hyperlink ref="L4652" r:id="rId9297" location="" tooltip="" display=""/>
    <hyperlink ref="R4652" r:id="rId9298" location="" tooltip="" display=""/>
    <hyperlink ref="K4653" r:id="rId9299" location="" tooltip="" display=""/>
    <hyperlink ref="L4653" r:id="rId9300" location="" tooltip="" display=""/>
    <hyperlink ref="Q4653" r:id="rId9301" location="" tooltip="" display=""/>
    <hyperlink ref="R4653" r:id="rId9302" location="" tooltip="" display=""/>
    <hyperlink ref="L4654" r:id="rId9303" location="" tooltip="" display=""/>
    <hyperlink ref="R4654" r:id="rId9304" location="" tooltip="" display=""/>
    <hyperlink ref="L4655" r:id="rId9305" location="" tooltip="" display=""/>
    <hyperlink ref="R4655" r:id="rId9306" location="" tooltip="" display=""/>
    <hyperlink ref="L4657" r:id="rId9307" location="" tooltip="" display=""/>
    <hyperlink ref="R4657" r:id="rId9308" location="" tooltip="" display=""/>
    <hyperlink ref="K4658" r:id="rId9309" location="" tooltip="" display=""/>
    <hyperlink ref="L4658" r:id="rId9310" location="" tooltip="" display=""/>
    <hyperlink ref="Q4658" r:id="rId9311" location="" tooltip="" display=""/>
    <hyperlink ref="R4658" r:id="rId9312" location="" tooltip="" display=""/>
    <hyperlink ref="L4659" r:id="rId9313" location="" tooltip="" display=""/>
    <hyperlink ref="R4659" r:id="rId9314" location="" tooltip="" display=""/>
    <hyperlink ref="L4660" r:id="rId9315" location="" tooltip="" display=""/>
    <hyperlink ref="R4660" r:id="rId9316" location="" tooltip="" display=""/>
    <hyperlink ref="K4662" r:id="rId9317" location="" tooltip="" display=""/>
    <hyperlink ref="L4662" r:id="rId9318" location="" tooltip="" display=""/>
    <hyperlink ref="Q4662" r:id="rId9319" location="" tooltip="" display=""/>
    <hyperlink ref="R4662" r:id="rId9320" location="" tooltip="" display=""/>
    <hyperlink ref="K4664" r:id="rId9321" location="" tooltip="" display=""/>
    <hyperlink ref="L4664" r:id="rId9322" location="" tooltip="" display=""/>
    <hyperlink ref="Q4664" r:id="rId9323" location="" tooltip="" display=""/>
    <hyperlink ref="R4664" r:id="rId9324" location="" tooltip="" display=""/>
    <hyperlink ref="L4665" r:id="rId9325" location="" tooltip="" display=""/>
    <hyperlink ref="R4665" r:id="rId9326" location="" tooltip="" display=""/>
    <hyperlink ref="K4667" r:id="rId9327" location="" tooltip="" display=""/>
    <hyperlink ref="L4667" r:id="rId9328" location="" tooltip="" display=""/>
    <hyperlink ref="Q4667" r:id="rId9329" location="" tooltip="" display=""/>
    <hyperlink ref="R4667" r:id="rId9330" location="" tooltip="" display=""/>
    <hyperlink ref="L4669" r:id="rId9331" location="" tooltip="" display=""/>
    <hyperlink ref="R4669" r:id="rId9332" location="" tooltip="" display=""/>
    <hyperlink ref="K4670" r:id="rId9333" location="" tooltip="" display=""/>
    <hyperlink ref="L4670" r:id="rId9334" location="" tooltip="" display=""/>
    <hyperlink ref="Q4670" r:id="rId9335" location="" tooltip="" display=""/>
    <hyperlink ref="R4670" r:id="rId9336" location="" tooltip="" display=""/>
    <hyperlink ref="L4671" r:id="rId9337" location="" tooltip="" display=""/>
    <hyperlink ref="R4671" r:id="rId9338" location="" tooltip="" display=""/>
    <hyperlink ref="L4672" r:id="rId9339" location="" tooltip="" display=""/>
    <hyperlink ref="R4672" r:id="rId9340" location="" tooltip="" display=""/>
    <hyperlink ref="L4674" r:id="rId9341" location="" tooltip="" display=""/>
    <hyperlink ref="R4674" r:id="rId9342" location="" tooltip="" display=""/>
    <hyperlink ref="K4675" r:id="rId9343" location="" tooltip="" display=""/>
    <hyperlink ref="L4675" r:id="rId9344" location="" tooltip="" display=""/>
    <hyperlink ref="Q4675" r:id="rId9345" location="" tooltip="" display=""/>
    <hyperlink ref="R4675" r:id="rId9346" location="" tooltip="" display=""/>
    <hyperlink ref="L4676" r:id="rId9347" location="" tooltip="" display=""/>
    <hyperlink ref="R4676" r:id="rId9348" location="" tooltip="" display=""/>
    <hyperlink ref="L4677" r:id="rId9349" location="" tooltip="" display=""/>
    <hyperlink ref="R4677" r:id="rId9350" location="" tooltip="" display=""/>
    <hyperlink ref="L4679" r:id="rId9351" location="" tooltip="" display=""/>
    <hyperlink ref="R4679" r:id="rId9352" location="" tooltip="" display=""/>
    <hyperlink ref="K4680" r:id="rId9353" location="" tooltip="" display=""/>
    <hyperlink ref="L4680" r:id="rId9354" location="" tooltip="" display=""/>
    <hyperlink ref="Q4680" r:id="rId9355" location="" tooltip="" display=""/>
    <hyperlink ref="R4680" r:id="rId9356" location="" tooltip="" display=""/>
    <hyperlink ref="L4681" r:id="rId9357" location="" tooltip="" display=""/>
    <hyperlink ref="R4681" r:id="rId9358" location="" tooltip="" display=""/>
    <hyperlink ref="K4683" r:id="rId9359" location="" tooltip="" display=""/>
    <hyperlink ref="L4683" r:id="rId9360" location="" tooltip="" display=""/>
    <hyperlink ref="Q4683" r:id="rId9361" location="" tooltip="" display=""/>
    <hyperlink ref="R4683" r:id="rId9362" location="" tooltip="" display=""/>
    <hyperlink ref="L4684" r:id="rId9363" location="" tooltip="" display=""/>
    <hyperlink ref="R4684" r:id="rId9364" location="" tooltip="" display=""/>
    <hyperlink ref="L4686" r:id="rId9365" location="" tooltip="" display=""/>
    <hyperlink ref="R4686" r:id="rId9366" location="" tooltip="" display=""/>
    <hyperlink ref="K4687" r:id="rId9367" location="" tooltip="" display=""/>
    <hyperlink ref="L4687" r:id="rId9368" location="" tooltip="" display=""/>
    <hyperlink ref="Q4687" r:id="rId9369" location="" tooltip="" display=""/>
    <hyperlink ref="R4687" r:id="rId9370" location="" tooltip="" display=""/>
    <hyperlink ref="L4688" r:id="rId9371" location="" tooltip="" display=""/>
    <hyperlink ref="R4688" r:id="rId9372" location="" tooltip="" display=""/>
    <hyperlink ref="L4689" r:id="rId9373" location="" tooltip="" display=""/>
    <hyperlink ref="R4689" r:id="rId9374" location="" tooltip="" display=""/>
    <hyperlink ref="L4691" r:id="rId9375" location="" tooltip="" display=""/>
    <hyperlink ref="R4691" r:id="rId9376" location="" tooltip="" display=""/>
    <hyperlink ref="L4692" r:id="rId9377" location="" tooltip="" display=""/>
    <hyperlink ref="R4692" r:id="rId9378" location="" tooltip="" display=""/>
    <hyperlink ref="L4693" r:id="rId9379" location="" tooltip="" display=""/>
    <hyperlink ref="R4693" r:id="rId9380" location="" tooltip="" display=""/>
    <hyperlink ref="K4694" r:id="rId9381" location="" tooltip="" display=""/>
    <hyperlink ref="L4694" r:id="rId9382" location="" tooltip="" display=""/>
    <hyperlink ref="Q4694" r:id="rId9383" location="" tooltip="" display=""/>
    <hyperlink ref="R4694" r:id="rId9384" location="" tooltip="" display=""/>
    <hyperlink ref="L4695" r:id="rId9385" location="" tooltip="" display=""/>
    <hyperlink ref="R4695" r:id="rId9386" location="" tooltip="" display=""/>
    <hyperlink ref="L4696" r:id="rId9387" location="" tooltip="" display=""/>
    <hyperlink ref="R4696" r:id="rId9388" location="" tooltip="" display=""/>
    <hyperlink ref="L4697" r:id="rId9389" location="" tooltip="" display=""/>
    <hyperlink ref="R4697" r:id="rId9390" location="" tooltip="" display=""/>
    <hyperlink ref="K4699" r:id="rId9391" location="" tooltip="" display=""/>
    <hyperlink ref="L4699" r:id="rId9392" location="" tooltip="" display=""/>
    <hyperlink ref="Q4699" r:id="rId9393" location="" tooltip="" display=""/>
    <hyperlink ref="R4699" r:id="rId9394" location="" tooltip="" display=""/>
    <hyperlink ref="L4700" r:id="rId9395" location="" tooltip="" display=""/>
    <hyperlink ref="R4700" r:id="rId9396" location="" tooltip="" display=""/>
    <hyperlink ref="L4702" r:id="rId9397" location="" tooltip="" display=""/>
    <hyperlink ref="R4702" r:id="rId9398" location="" tooltip="" display=""/>
    <hyperlink ref="K4703" r:id="rId9399" location="" tooltip="" display=""/>
    <hyperlink ref="L4703" r:id="rId9400" location="" tooltip="" display=""/>
    <hyperlink ref="Q4703" r:id="rId9401" location="" tooltip="" display=""/>
    <hyperlink ref="R4703" r:id="rId9402" location="" tooltip="" display=""/>
    <hyperlink ref="L4704" r:id="rId9403" location="" tooltip="" display=""/>
    <hyperlink ref="R4704" r:id="rId9404" location="" tooltip="" display=""/>
    <hyperlink ref="K4706" r:id="rId9405" location="" tooltip="" display=""/>
    <hyperlink ref="L4706" r:id="rId9406" location="" tooltip="" display=""/>
    <hyperlink ref="Q4706" r:id="rId9407" location="" tooltip="" display=""/>
    <hyperlink ref="R4706" r:id="rId9408" location="" tooltip="" display=""/>
    <hyperlink ref="L4708" r:id="rId9409" location="" tooltip="" display=""/>
    <hyperlink ref="R4708" r:id="rId9410" location="" tooltip="" display=""/>
    <hyperlink ref="K4709" r:id="rId9411" location="" tooltip="" display=""/>
    <hyperlink ref="L4709" r:id="rId9412" location="" tooltip="" display=""/>
    <hyperlink ref="Q4709" r:id="rId9413" location="" tooltip="" display=""/>
    <hyperlink ref="R4709" r:id="rId9414" location="" tooltip="" display=""/>
    <hyperlink ref="L4710" r:id="rId9415" location="" tooltip="" display=""/>
    <hyperlink ref="R4710" r:id="rId9416" location="" tooltip="" display=""/>
    <hyperlink ref="L4712" r:id="rId9417" location="" tooltip="" display=""/>
    <hyperlink ref="R4712" r:id="rId9418" location="" tooltip="" display=""/>
    <hyperlink ref="K4713" r:id="rId9419" location="" tooltip="" display=""/>
    <hyperlink ref="L4713" r:id="rId9420" location="" tooltip="" display=""/>
    <hyperlink ref="Q4713" r:id="rId9421" location="" tooltip="" display=""/>
    <hyperlink ref="R4713" r:id="rId9422" location="" tooltip="" display=""/>
    <hyperlink ref="L4714" r:id="rId9423" location="" tooltip="" display=""/>
    <hyperlink ref="R4714" r:id="rId9424" location="" tooltip="" display=""/>
    <hyperlink ref="K4716" r:id="rId9425" location="" tooltip="" display=""/>
    <hyperlink ref="L4716" r:id="rId9426" location="" tooltip="" display=""/>
    <hyperlink ref="Q4716" r:id="rId9427" location="" tooltip="" display=""/>
    <hyperlink ref="R4716" r:id="rId9428" location="" tooltip="" display=""/>
    <hyperlink ref="L4718" r:id="rId9429" location="" tooltip="" display=""/>
    <hyperlink ref="R4718" r:id="rId9430" location="" tooltip="" display=""/>
    <hyperlink ref="L4719" r:id="rId9431" location="" tooltip="" display=""/>
    <hyperlink ref="R4719" r:id="rId9432" location="" tooltip="" display=""/>
    <hyperlink ref="L4720" r:id="rId9433" location="" tooltip="" display=""/>
    <hyperlink ref="R4720" r:id="rId9434" location="" tooltip="" display=""/>
    <hyperlink ref="K4721" r:id="rId9435" location="" tooltip="" display=""/>
    <hyperlink ref="L4721" r:id="rId9436" location="" tooltip="" display=""/>
    <hyperlink ref="Q4721" r:id="rId9437" location="" tooltip="" display=""/>
    <hyperlink ref="R4721" r:id="rId9438" location="" tooltip="" display=""/>
    <hyperlink ref="L4722" r:id="rId9439" location="" tooltip="" display=""/>
    <hyperlink ref="R4722" r:id="rId9440" location="" tooltip="" display=""/>
    <hyperlink ref="L4723" r:id="rId9441" location="" tooltip="" display=""/>
    <hyperlink ref="R4723" r:id="rId9442" location="" tooltip="" display=""/>
    <hyperlink ref="L4724" r:id="rId9443" location="" tooltip="" display=""/>
    <hyperlink ref="R4724" r:id="rId9444" location="" tooltip="" display=""/>
    <hyperlink ref="K4726" r:id="rId9445" location="" tooltip="" display=""/>
    <hyperlink ref="L4726" r:id="rId9446" location="" tooltip="" display=""/>
    <hyperlink ref="Q4726" r:id="rId9447" location="" tooltip="" display=""/>
    <hyperlink ref="R4726" r:id="rId9448" location="" tooltip="" display=""/>
    <hyperlink ref="L4728" r:id="rId9449" location="" tooltip="" display=""/>
    <hyperlink ref="R4728" r:id="rId9450" location="" tooltip="" display=""/>
    <hyperlink ref="K4729" r:id="rId9451" location="" tooltip="" display=""/>
    <hyperlink ref="L4729" r:id="rId9452" location="" tooltip="" display=""/>
    <hyperlink ref="Q4729" r:id="rId9453" location="" tooltip="" display=""/>
    <hyperlink ref="R4729" r:id="rId9454" location="" tooltip="" display=""/>
    <hyperlink ref="L4730" r:id="rId9455" location="" tooltip="" display=""/>
    <hyperlink ref="R4730" r:id="rId9456" location="" tooltip="" display=""/>
    <hyperlink ref="K4732" r:id="rId9457" location="" tooltip="" display=""/>
    <hyperlink ref="L4732" r:id="rId9458" location="" tooltip="" display=""/>
    <hyperlink ref="Q4732" r:id="rId9459" location="" tooltip="" display=""/>
    <hyperlink ref="R4732" r:id="rId9460" location="" tooltip="" display=""/>
    <hyperlink ref="L4733" r:id="rId9461" location="" tooltip="" display=""/>
    <hyperlink ref="R4733" r:id="rId9462" location="" tooltip="" display=""/>
    <hyperlink ref="L4735" r:id="rId9463" location="" tooltip="" display=""/>
    <hyperlink ref="R4735" r:id="rId9464" location="" tooltip="" display=""/>
    <hyperlink ref="K4736" r:id="rId9465" location="" tooltip="" display=""/>
    <hyperlink ref="L4736" r:id="rId9466" location="" tooltip="" display=""/>
    <hyperlink ref="Q4736" r:id="rId9467" location="" tooltip="" display=""/>
    <hyperlink ref="R4736" r:id="rId9468" location="" tooltip="" display=""/>
    <hyperlink ref="L4737" r:id="rId9469" location="" tooltip="" display=""/>
    <hyperlink ref="R4737" r:id="rId9470" location="" tooltip="" display=""/>
    <hyperlink ref="L4738" r:id="rId9471" location="" tooltip="" display=""/>
    <hyperlink ref="R4738" r:id="rId9472" location="" tooltip="" display=""/>
    <hyperlink ref="L4740" r:id="rId9473" location="" tooltip="" display=""/>
    <hyperlink ref="R4740" r:id="rId9474" location="" tooltip="" display=""/>
    <hyperlink ref="L4741" r:id="rId9475" location="" tooltip="" display=""/>
    <hyperlink ref="R4741" r:id="rId9476" location="" tooltip="" display=""/>
    <hyperlink ref="K4742" r:id="rId9477" location="" tooltip="" display=""/>
    <hyperlink ref="L4742" r:id="rId9478" location="" tooltip="" display=""/>
    <hyperlink ref="Q4742" r:id="rId9479" location="" tooltip="" display=""/>
    <hyperlink ref="R4742" r:id="rId9480" location="" tooltip="" display=""/>
    <hyperlink ref="L4743" r:id="rId9481" location="" tooltip="" display=""/>
    <hyperlink ref="R4743" r:id="rId9482" location="" tooltip="" display=""/>
    <hyperlink ref="L4744" r:id="rId9483" location="" tooltip="" display=""/>
    <hyperlink ref="R4744" r:id="rId9484" location="" tooltip="" display=""/>
    <hyperlink ref="L4745" r:id="rId9485" location="" tooltip="" display=""/>
    <hyperlink ref="R4745" r:id="rId9486" location="" tooltip="" display=""/>
    <hyperlink ref="L4747" r:id="rId9487" location="" tooltip="" display=""/>
    <hyperlink ref="R4747" r:id="rId9488" location="" tooltip="" display=""/>
    <hyperlink ref="K4748" r:id="rId9489" location="" tooltip="" display=""/>
    <hyperlink ref="L4748" r:id="rId9490" location="" tooltip="" display=""/>
    <hyperlink ref="Q4748" r:id="rId9491" location="" tooltip="" display=""/>
    <hyperlink ref="R4748" r:id="rId9492" location="" tooltip="" display=""/>
    <hyperlink ref="L4749" r:id="rId9493" location="" tooltip="" display=""/>
    <hyperlink ref="R4749" r:id="rId9494" location="" tooltip="" display=""/>
    <hyperlink ref="L4750" r:id="rId9495" location="" tooltip="" display=""/>
    <hyperlink ref="R4750" r:id="rId9496" location="" tooltip="" display=""/>
    <hyperlink ref="L4752" r:id="rId9497" location="" tooltip="" display=""/>
    <hyperlink ref="R4752" r:id="rId9498" location="" tooltip="" display=""/>
    <hyperlink ref="L4753" r:id="rId9499" location="" tooltip="" display=""/>
    <hyperlink ref="R4753" r:id="rId9500" location="" tooltip="" display=""/>
    <hyperlink ref="K4754" r:id="rId9501" location="" tooltip="" display=""/>
    <hyperlink ref="L4754" r:id="rId9502" location="" tooltip="" display=""/>
    <hyperlink ref="Q4754" r:id="rId9503" location="" tooltip="" display=""/>
    <hyperlink ref="R4754" r:id="rId9504" location="" tooltip="" display=""/>
    <hyperlink ref="L4755" r:id="rId9505" location="" tooltip="" display=""/>
    <hyperlink ref="R4755" r:id="rId9506" location="" tooltip="" display=""/>
    <hyperlink ref="L4756" r:id="rId9507" location="" tooltip="" display=""/>
    <hyperlink ref="R4756" r:id="rId9508" location="" tooltip="" display=""/>
    <hyperlink ref="K4758" r:id="rId9509" location="" tooltip="" display=""/>
    <hyperlink ref="L4758" r:id="rId9510" location="" tooltip="" display=""/>
    <hyperlink ref="Q4758" r:id="rId9511" location="" tooltip="" display=""/>
    <hyperlink ref="R4758" r:id="rId9512" location="" tooltip="" display=""/>
    <hyperlink ref="L4759" r:id="rId9513" location="" tooltip="" display=""/>
    <hyperlink ref="R4759" r:id="rId9514" location="" tooltip="" display=""/>
    <hyperlink ref="K4761" r:id="rId9515" location="" tooltip="" display=""/>
    <hyperlink ref="L4761" r:id="rId9516" location="" tooltip="" display=""/>
    <hyperlink ref="Q4761" r:id="rId9517" location="" tooltip="" display=""/>
    <hyperlink ref="R4761" r:id="rId9518" location="" tooltip="" display=""/>
    <hyperlink ref="L4762" r:id="rId9519" location="" tooltip="" display=""/>
    <hyperlink ref="R4762" r:id="rId9520" location="" tooltip="" display=""/>
    <hyperlink ref="L4764" r:id="rId9521" location="" tooltip="" display=""/>
    <hyperlink ref="R4764" r:id="rId9522" location="" tooltip="" display=""/>
    <hyperlink ref="K4765" r:id="rId9523" location="" tooltip="" display=""/>
    <hyperlink ref="L4765" r:id="rId9524" location="" tooltip="" display=""/>
    <hyperlink ref="Q4765" r:id="rId9525" location="" tooltip="" display=""/>
    <hyperlink ref="R4765" r:id="rId9526" location="" tooltip="" display=""/>
    <hyperlink ref="L4766" r:id="rId9527" location="" tooltip="" display=""/>
    <hyperlink ref="R4766" r:id="rId9528" location="" tooltip="" display=""/>
    <hyperlink ref="L4767" r:id="rId9529" location="" tooltip="" display=""/>
    <hyperlink ref="R4767" r:id="rId9530" location="" tooltip="" display=""/>
    <hyperlink ref="L4769" r:id="rId9531" location="" tooltip="" display=""/>
    <hyperlink ref="R4769" r:id="rId9532" location="" tooltip="" display=""/>
    <hyperlink ref="K4770" r:id="rId9533" location="" tooltip="" display=""/>
    <hyperlink ref="L4770" r:id="rId9534" location="" tooltip="" display=""/>
    <hyperlink ref="Q4770" r:id="rId9535" location="" tooltip="" display=""/>
    <hyperlink ref="R4770" r:id="rId9536" location="" tooltip="" display=""/>
    <hyperlink ref="L4771" r:id="rId9537" location="" tooltip="" display=""/>
    <hyperlink ref="R4771" r:id="rId9538" location="" tooltip="" display=""/>
    <hyperlink ref="K4773" r:id="rId9539" location="" tooltip="" display=""/>
    <hyperlink ref="L4773" r:id="rId9540" location="" tooltip="" display=""/>
    <hyperlink ref="Q4773" r:id="rId9541" location="" tooltip="" display=""/>
    <hyperlink ref="R4773" r:id="rId9542" location="" tooltip="" display=""/>
    <hyperlink ref="L4775" r:id="rId9543" location="" tooltip="" display=""/>
    <hyperlink ref="R4775" r:id="rId9544" location="" tooltip="" display=""/>
    <hyperlink ref="K4776" r:id="rId9545" location="" tooltip="" display=""/>
    <hyperlink ref="L4776" r:id="rId9546" location="" tooltip="" display=""/>
    <hyperlink ref="Q4776" r:id="rId9547" location="" tooltip="" display=""/>
    <hyperlink ref="R4776" r:id="rId9548" location="" tooltip="" display=""/>
    <hyperlink ref="L4777" r:id="rId9549" location="" tooltip="" display=""/>
    <hyperlink ref="R4777" r:id="rId9550" location="" tooltip="" display=""/>
    <hyperlink ref="L4779" r:id="rId9551" location="" tooltip="" display=""/>
    <hyperlink ref="R4779" r:id="rId9552" location="" tooltip="" display=""/>
    <hyperlink ref="K4780" r:id="rId9553" location="" tooltip="" display=""/>
    <hyperlink ref="L4780" r:id="rId9554" location="" tooltip="" display=""/>
    <hyperlink ref="Q4780" r:id="rId9555" location="" tooltip="" display=""/>
    <hyperlink ref="R4780" r:id="rId9556" location="" tooltip="" display=""/>
    <hyperlink ref="L4781" r:id="rId9557" location="" tooltip="" display=""/>
    <hyperlink ref="R4781" r:id="rId9558" location="" tooltip="" display=""/>
    <hyperlink ref="L4783" r:id="rId9559" location="" tooltip="" display=""/>
    <hyperlink ref="R4783" r:id="rId9560" location="" tooltip="" display=""/>
    <hyperlink ref="K4784" r:id="rId9561" location="" tooltip="" display=""/>
    <hyperlink ref="L4784" r:id="rId9562" location="" tooltip="" display=""/>
    <hyperlink ref="Q4784" r:id="rId9563" location="" tooltip="" display=""/>
    <hyperlink ref="R4784" r:id="rId9564" location="" tooltip="" display=""/>
    <hyperlink ref="L4785" r:id="rId9565" location="" tooltip="" display=""/>
    <hyperlink ref="R4785" r:id="rId9566" location="" tooltip="" display=""/>
    <hyperlink ref="K4787" r:id="rId9567" location="" tooltip="" display=""/>
    <hyperlink ref="L4787" r:id="rId9568" location="" tooltip="" display=""/>
    <hyperlink ref="Q4787" r:id="rId9569" location="" tooltip="" display=""/>
    <hyperlink ref="R4787" r:id="rId9570" location="" tooltip="" display=""/>
    <hyperlink ref="L4788" r:id="rId9571" location="" tooltip="" display=""/>
    <hyperlink ref="R4788" r:id="rId9572" location="" tooltip="" display=""/>
    <hyperlink ref="L4790" r:id="rId9573" location="" tooltip="" display=""/>
    <hyperlink ref="R4790" r:id="rId9574" location="" tooltip="" display=""/>
    <hyperlink ref="L4791" r:id="rId9575" location="" tooltip="" display=""/>
    <hyperlink ref="R4791" r:id="rId9576" location="" tooltip="" display=""/>
    <hyperlink ref="K4792" r:id="rId9577" location="" tooltip="" display=""/>
    <hyperlink ref="L4792" r:id="rId9578" location="" tooltip="" display=""/>
    <hyperlink ref="Q4792" r:id="rId9579" location="" tooltip="" display=""/>
    <hyperlink ref="R4792" r:id="rId9580" location="" tooltip="" display=""/>
    <hyperlink ref="L4793" r:id="rId9581" location="" tooltip="" display=""/>
    <hyperlink ref="R4793" r:id="rId9582" location="" tooltip="" display=""/>
    <hyperlink ref="L4794" r:id="rId9583" location="" tooltip="" display=""/>
    <hyperlink ref="R4794" r:id="rId9584" location="" tooltip="" display=""/>
    <hyperlink ref="L4796" r:id="rId9585" location="" tooltip="" display=""/>
    <hyperlink ref="R4796" r:id="rId9586" location="" tooltip="" display=""/>
    <hyperlink ref="K4797" r:id="rId9587" location="" tooltip="" display=""/>
    <hyperlink ref="L4797" r:id="rId9588" location="" tooltip="" display=""/>
    <hyperlink ref="Q4797" r:id="rId9589" location="" tooltip="" display=""/>
    <hyperlink ref="R4797" r:id="rId9590" location="" tooltip="" display=""/>
    <hyperlink ref="L4798" r:id="rId9591" location="" tooltip="" display=""/>
    <hyperlink ref="R4798" r:id="rId9592" location="" tooltip="" display=""/>
    <hyperlink ref="L4800" r:id="rId9593" location="" tooltip="" display=""/>
    <hyperlink ref="R4800" r:id="rId9594" location="" tooltip="" display=""/>
    <hyperlink ref="L4801" r:id="rId9595" location="" tooltip="" display=""/>
    <hyperlink ref="R4801" r:id="rId9596" location="" tooltip="" display=""/>
    <hyperlink ref="L4802" r:id="rId9597" location="" tooltip="" display=""/>
    <hyperlink ref="R4802" r:id="rId9598" location="" tooltip="" display=""/>
    <hyperlink ref="K4803" r:id="rId9599" location="" tooltip="" display=""/>
    <hyperlink ref="L4803" r:id="rId9600" location="" tooltip="" display=""/>
    <hyperlink ref="Q4803" r:id="rId9601" location="" tooltip="" display=""/>
    <hyperlink ref="R4803" r:id="rId9602" location="" tooltip="" display=""/>
    <hyperlink ref="L4804" r:id="rId9603" location="" tooltip="" display=""/>
    <hyperlink ref="R4804" r:id="rId9604" location="" tooltip="" display=""/>
    <hyperlink ref="L4805" r:id="rId9605" location="" tooltip="" display=""/>
    <hyperlink ref="R4805" r:id="rId9606" location="" tooltip="" display=""/>
    <hyperlink ref="L4806" r:id="rId9607" location="" tooltip="" display=""/>
    <hyperlink ref="R4806" r:id="rId9608" location="" tooltip="" display=""/>
    <hyperlink ref="L4808" r:id="rId9609" location="" tooltip="" display=""/>
    <hyperlink ref="R4808" r:id="rId9610" location="" tooltip="" display=""/>
    <hyperlink ref="L4809" r:id="rId9611" location="" tooltip="" display=""/>
    <hyperlink ref="R4809" r:id="rId9612" location="" tooltip="" display=""/>
    <hyperlink ref="K4810" r:id="rId9613" location="" tooltip="" display=""/>
    <hyperlink ref="L4810" r:id="rId9614" location="" tooltip="" display=""/>
    <hyperlink ref="Q4810" r:id="rId9615" location="" tooltip="" display=""/>
    <hyperlink ref="R4810" r:id="rId9616" location="" tooltip="" display=""/>
    <hyperlink ref="L4811" r:id="rId9617" location="" tooltip="" display=""/>
    <hyperlink ref="R4811" r:id="rId9618" location="" tooltip="" display=""/>
    <hyperlink ref="L4812" r:id="rId9619" location="" tooltip="" display=""/>
    <hyperlink ref="R4812" r:id="rId9620" location="" tooltip="" display=""/>
    <hyperlink ref="L4813" r:id="rId9621" location="" tooltip="" display=""/>
    <hyperlink ref="R4813" r:id="rId9622" location="" tooltip="" display=""/>
    <hyperlink ref="L4815" r:id="rId9623" location="" tooltip="" display=""/>
    <hyperlink ref="R4815" r:id="rId9624" location="" tooltip="" display=""/>
    <hyperlink ref="L4816" r:id="rId9625" location="" tooltip="" display=""/>
    <hyperlink ref="R4816" r:id="rId9626" location="" tooltip="" display=""/>
    <hyperlink ref="K4817" r:id="rId9627" location="" tooltip="" display=""/>
    <hyperlink ref="L4817" r:id="rId9628" location="" tooltip="" display=""/>
    <hyperlink ref="Q4817" r:id="rId9629" location="" tooltip="" display=""/>
    <hyperlink ref="R4817" r:id="rId9630" location="" tooltip="" display=""/>
    <hyperlink ref="L4818" r:id="rId9631" location="" tooltip="" display=""/>
    <hyperlink ref="R4818" r:id="rId9632" location="" tooltip="" display=""/>
    <hyperlink ref="L4819" r:id="rId9633" location="" tooltip="" display=""/>
    <hyperlink ref="R4819" r:id="rId9634" location="" tooltip="" display=""/>
    <hyperlink ref="L4820" r:id="rId9635" location="" tooltip="" display=""/>
    <hyperlink ref="R4820" r:id="rId9636" location="" tooltip="" display=""/>
    <hyperlink ref="K4822" r:id="rId9637" location="" tooltip="" display=""/>
    <hyperlink ref="L4822" r:id="rId9638" location="" tooltip="" display=""/>
    <hyperlink ref="Q4822" r:id="rId9639" location="" tooltip="" display=""/>
    <hyperlink ref="R4822" r:id="rId9640" location="" tooltip="" display=""/>
    <hyperlink ref="L4823" r:id="rId9641" location="" tooltip="" display=""/>
    <hyperlink ref="R4823" r:id="rId9642" location="" tooltip="" display=""/>
    <hyperlink ref="L4825" r:id="rId9643" location="" tooltip="" display=""/>
    <hyperlink ref="R4825" r:id="rId9644" location="" tooltip="" display=""/>
    <hyperlink ref="K4826" r:id="rId9645" location="" tooltip="" display=""/>
    <hyperlink ref="L4826" r:id="rId9646" location="" tooltip="" display=""/>
    <hyperlink ref="Q4826" r:id="rId9647" location="" tooltip="" display=""/>
    <hyperlink ref="R4826" r:id="rId9648" location="" tooltip="" display=""/>
    <hyperlink ref="L4827" r:id="rId9649" location="" tooltip="" display=""/>
    <hyperlink ref="R4827" r:id="rId9650" location="" tooltip="" display=""/>
    <hyperlink ref="L4828" r:id="rId9651" location="" tooltip="" display=""/>
    <hyperlink ref="R4828" r:id="rId9652" location="" tooltip="" display=""/>
    <hyperlink ref="L4830" r:id="rId9653" location="" tooltip="" display=""/>
    <hyperlink ref="R4830" r:id="rId9654" location="" tooltip="" display=""/>
    <hyperlink ref="K4831" r:id="rId9655" location="" tooltip="" display=""/>
    <hyperlink ref="L4831" r:id="rId9656" location="" tooltip="" display=""/>
    <hyperlink ref="Q4831" r:id="rId9657" location="" tooltip="" display=""/>
    <hyperlink ref="R4831" r:id="rId9658" location="" tooltip="" display=""/>
    <hyperlink ref="L4832" r:id="rId9659" location="" tooltip="" display=""/>
    <hyperlink ref="R4832" r:id="rId9660" location="" tooltip="" display=""/>
    <hyperlink ref="L4834" r:id="rId9661" location="" tooltip="" display=""/>
    <hyperlink ref="R4834" r:id="rId9662" location="" tooltip="" display=""/>
    <hyperlink ref="K4835" r:id="rId9663" location="" tooltip="" display=""/>
    <hyperlink ref="L4835" r:id="rId9664" location="" tooltip="" display=""/>
    <hyperlink ref="Q4835" r:id="rId9665" location="" tooltip="" display=""/>
    <hyperlink ref="R4835" r:id="rId9666" location="" tooltip="" display=""/>
    <hyperlink ref="L4836" r:id="rId9667" location="" tooltip="" display=""/>
    <hyperlink ref="R4836" r:id="rId9668" location="" tooltip="" display=""/>
    <hyperlink ref="L4837" r:id="rId9669" location="" tooltip="" display=""/>
    <hyperlink ref="R4837" r:id="rId9670" location="" tooltip="" display=""/>
    <hyperlink ref="K4839" r:id="rId9671" location="" tooltip="" display=""/>
    <hyperlink ref="L4839" r:id="rId9672" location="" tooltip="" display=""/>
    <hyperlink ref="Q4839" r:id="rId9673" location="" tooltip="" display=""/>
    <hyperlink ref="R4839" r:id="rId9674" location="" tooltip="" display=""/>
    <hyperlink ref="K4841" r:id="rId9675" location="" tooltip="" display=""/>
    <hyperlink ref="L4841" r:id="rId9676" location="" tooltip="" display=""/>
    <hyperlink ref="Q4841" r:id="rId9677" location="" tooltip="" display=""/>
    <hyperlink ref="R4841" r:id="rId9678" location="" tooltip="" display=""/>
    <hyperlink ref="L4842" r:id="rId9679" location="" tooltip="" display=""/>
    <hyperlink ref="R4842" r:id="rId9680" location="" tooltip="" display=""/>
    <hyperlink ref="K4844" r:id="rId9681" location="" tooltip="" display=""/>
    <hyperlink ref="L4844" r:id="rId9682" location="" tooltip="" display=""/>
    <hyperlink ref="Q4844" r:id="rId9683" location="" tooltip="" display=""/>
    <hyperlink ref="R4844" r:id="rId9684" location="" tooltip="" display=""/>
    <hyperlink ref="L4846" r:id="rId9685" location="" tooltip="" display=""/>
    <hyperlink ref="R4846" r:id="rId9686" location="" tooltip="" display=""/>
    <hyperlink ref="K4847" r:id="rId9687" location="" tooltip="" display=""/>
    <hyperlink ref="L4847" r:id="rId9688" location="" tooltip="" display=""/>
    <hyperlink ref="Q4847" r:id="rId9689" location="" tooltip="" display=""/>
    <hyperlink ref="R4847" r:id="rId9690" location="" tooltip="" display=""/>
    <hyperlink ref="L4848" r:id="rId9691" location="" tooltip="" display=""/>
    <hyperlink ref="R4848" r:id="rId9692" location="" tooltip="" display=""/>
    <hyperlink ref="L4849" r:id="rId9693" location="" tooltip="" display=""/>
    <hyperlink ref="R4849" r:id="rId9694" location="" tooltip="" display=""/>
    <hyperlink ref="K4851" r:id="rId9695" location="" tooltip="" display=""/>
    <hyperlink ref="L4851" r:id="rId9696" location="" tooltip="" display=""/>
    <hyperlink ref="Q4851" r:id="rId9697" location="" tooltip="" display=""/>
    <hyperlink ref="R4851" r:id="rId9698" location="" tooltip="" display=""/>
    <hyperlink ref="L4853" r:id="rId9699" location="" tooltip="" display=""/>
    <hyperlink ref="R4853" r:id="rId9700" location="" tooltip="" display=""/>
    <hyperlink ref="K4854" r:id="rId9701" location="" tooltip="" display=""/>
    <hyperlink ref="L4854" r:id="rId9702" location="" tooltip="" display=""/>
    <hyperlink ref="Q4854" r:id="rId9703" location="" tooltip="" display=""/>
    <hyperlink ref="R4854" r:id="rId9704" location="" tooltip="" display=""/>
    <hyperlink ref="L4855" r:id="rId9705" location="" tooltip="" display=""/>
    <hyperlink ref="R4855" r:id="rId9706" location="" tooltip="" display=""/>
    <hyperlink ref="K4857" r:id="rId9707" location="" tooltip="" display=""/>
    <hyperlink ref="L4857" r:id="rId9708" location="" tooltip="" display=""/>
    <hyperlink ref="Q4857" r:id="rId9709" location="" tooltip="" display=""/>
    <hyperlink ref="R4857" r:id="rId9710" location="" tooltip="" display=""/>
    <hyperlink ref="L4858" r:id="rId9711" location="" tooltip="" display=""/>
    <hyperlink ref="R4858" r:id="rId9712" location="" tooltip="" display=""/>
    <hyperlink ref="K4860" r:id="rId9713" location="" tooltip="" display=""/>
    <hyperlink ref="L4860" r:id="rId9714" location="" tooltip="" display=""/>
    <hyperlink ref="Q4860" r:id="rId9715" location="" tooltip="" display=""/>
    <hyperlink ref="R4860" r:id="rId9716" location="" tooltip="" display=""/>
    <hyperlink ref="K4862" r:id="rId9717" location="" tooltip="" display=""/>
    <hyperlink ref="L4862" r:id="rId9718" location="" tooltip="" display=""/>
    <hyperlink ref="Q4862" r:id="rId9719" location="" tooltip="" display=""/>
    <hyperlink ref="R4862" r:id="rId9720" location="" tooltip="" display=""/>
    <hyperlink ref="K4864" r:id="rId9721" location="" tooltip="" display=""/>
    <hyperlink ref="L4864" r:id="rId9722" location="" tooltip="" display=""/>
    <hyperlink ref="Q4864" r:id="rId9723" location="" tooltip="" display=""/>
    <hyperlink ref="R4864" r:id="rId9724" location="" tooltip="" display=""/>
    <hyperlink ref="L4865" r:id="rId9725" location="" tooltip="" display=""/>
    <hyperlink ref="R4865" r:id="rId9726" location="" tooltip="" display=""/>
    <hyperlink ref="K4867" r:id="rId9727" location="" tooltip="" display=""/>
    <hyperlink ref="L4867" r:id="rId9728" location="" tooltip="" display=""/>
    <hyperlink ref="Q4867" r:id="rId9729" location="" tooltip="" display=""/>
    <hyperlink ref="R4867" r:id="rId9730" location="" tooltip="" display=""/>
    <hyperlink ref="L4868" r:id="rId9731" location="" tooltip="" display=""/>
    <hyperlink ref="R4868" r:id="rId9732" location="" tooltip="" display=""/>
    <hyperlink ref="K4870" r:id="rId9733" location="" tooltip="" display=""/>
    <hyperlink ref="L4870" r:id="rId9734" location="" tooltip="" display=""/>
    <hyperlink ref="Q4870" r:id="rId9735" location="" tooltip="" display=""/>
    <hyperlink ref="R4870" r:id="rId9736" location="" tooltip="" display=""/>
    <hyperlink ref="K4872" r:id="rId9737" location="" tooltip="" display=""/>
    <hyperlink ref="L4872" r:id="rId9738" location="" tooltip="" display=""/>
    <hyperlink ref="Q4872" r:id="rId9739" location="" tooltip="" display=""/>
    <hyperlink ref="R4872" r:id="rId9740" location="" tooltip="" display=""/>
    <hyperlink ref="L4873" r:id="rId9741" location="" tooltip="" display=""/>
    <hyperlink ref="R4873" r:id="rId9742" location="" tooltip="" display=""/>
    <hyperlink ref="L4875" r:id="rId9743" location="" tooltip="" display=""/>
    <hyperlink ref="R4875" r:id="rId9744" location="" tooltip="" display=""/>
    <hyperlink ref="K4876" r:id="rId9745" location="" tooltip="" display=""/>
    <hyperlink ref="L4876" r:id="rId9746" location="" tooltip="" display=""/>
    <hyperlink ref="Q4876" r:id="rId9747" location="" tooltip="" display=""/>
    <hyperlink ref="R4876" r:id="rId9748" location="" tooltip="" display=""/>
    <hyperlink ref="L4877" r:id="rId9749" location="" tooltip="" display=""/>
    <hyperlink ref="R4877" r:id="rId9750" location="" tooltip="" display=""/>
    <hyperlink ref="L4878" r:id="rId9751" location="" tooltip="" display=""/>
    <hyperlink ref="R4878" r:id="rId9752" location="" tooltip="" display=""/>
    <hyperlink ref="K4880" r:id="rId9753" location="" tooltip="" display=""/>
    <hyperlink ref="L4880" r:id="rId9754" location="" tooltip="" display=""/>
    <hyperlink ref="Q4880" r:id="rId9755" location="" tooltip="" display=""/>
    <hyperlink ref="R4880" r:id="rId9756" location="" tooltip="" display=""/>
    <hyperlink ref="L4881" r:id="rId9757" location="" tooltip="" display=""/>
    <hyperlink ref="R4881" r:id="rId9758" location="" tooltip="" display=""/>
    <hyperlink ref="L4883" r:id="rId9759" location="" tooltip="" display=""/>
    <hyperlink ref="R4883" r:id="rId9760" location="" tooltip="" display=""/>
    <hyperlink ref="L4884" r:id="rId9761" location="" tooltip="" display=""/>
    <hyperlink ref="R4884" r:id="rId9762" location="" tooltip="" display=""/>
    <hyperlink ref="L4885" r:id="rId9763" location="" tooltip="" display=""/>
    <hyperlink ref="R4885" r:id="rId9764" location="" tooltip="" display=""/>
    <hyperlink ref="K4886" r:id="rId9765" location="" tooltip="" display=""/>
    <hyperlink ref="L4886" r:id="rId9766" location="" tooltip="" display=""/>
    <hyperlink ref="Q4886" r:id="rId9767" location="" tooltip="" display=""/>
    <hyperlink ref="R4886" r:id="rId9768" location="" tooltip="" display=""/>
    <hyperlink ref="L4887" r:id="rId9769" location="" tooltip="" display=""/>
    <hyperlink ref="R4887" r:id="rId9770" location="" tooltip="" display=""/>
    <hyperlink ref="L4888" r:id="rId9771" location="" tooltip="" display=""/>
    <hyperlink ref="R4888" r:id="rId9772" location="" tooltip="" display=""/>
    <hyperlink ref="L4889" r:id="rId9773" location="" tooltip="" display=""/>
    <hyperlink ref="R4889" r:id="rId9774" location="" tooltip="" display=""/>
    <hyperlink ref="L4890" r:id="rId9775" location="" tooltip="" display=""/>
    <hyperlink ref="R4890" r:id="rId9776" location="" tooltip="" display=""/>
    <hyperlink ref="L4892" r:id="rId9777" location="" tooltip="" display=""/>
    <hyperlink ref="R4892" r:id="rId9778" location="" tooltip="" display=""/>
    <hyperlink ref="K4893" r:id="rId9779" location="" tooltip="" display=""/>
    <hyperlink ref="L4893" r:id="rId9780" location="" tooltip="" display=""/>
    <hyperlink ref="Q4893" r:id="rId9781" location="" tooltip="" display=""/>
    <hyperlink ref="R4893" r:id="rId9782" location="" tooltip="" display=""/>
    <hyperlink ref="L4894" r:id="rId9783" location="" tooltip="" display=""/>
    <hyperlink ref="R4894" r:id="rId9784" location="" tooltip="" display=""/>
    <hyperlink ref="L4896" r:id="rId9785" location="" tooltip="" display=""/>
    <hyperlink ref="R4896" r:id="rId9786" location="" tooltip="" display=""/>
    <hyperlink ref="K4897" r:id="rId9787" location="" tooltip="" display=""/>
    <hyperlink ref="L4897" r:id="rId9788" location="" tooltip="" display=""/>
    <hyperlink ref="Q4897" r:id="rId9789" location="" tooltip="" display=""/>
    <hyperlink ref="R4897" r:id="rId9790" location="" tooltip="" display=""/>
    <hyperlink ref="L4898" r:id="rId9791" location="" tooltip="" display=""/>
    <hyperlink ref="R4898" r:id="rId9792" location="" tooltip="" display=""/>
    <hyperlink ref="L4899" r:id="rId9793" location="" tooltip="" display=""/>
    <hyperlink ref="R4899" r:id="rId9794" location="" tooltip="" display=""/>
    <hyperlink ref="L4901" r:id="rId9795" location="" tooltip="" display=""/>
    <hyperlink ref="R4901" r:id="rId9796" location="" tooltip="" display=""/>
    <hyperlink ref="K4902" r:id="rId9797" location="" tooltip="" display=""/>
    <hyperlink ref="L4902" r:id="rId9798" location="" tooltip="" display=""/>
    <hyperlink ref="Q4902" r:id="rId9799" location="" tooltip="" display=""/>
    <hyperlink ref="R4902" r:id="rId9800" location="" tooltip="" display=""/>
    <hyperlink ref="L4903" r:id="rId9801" location="" tooltip="" display=""/>
    <hyperlink ref="R4903" r:id="rId9802" location="" tooltip="" display=""/>
    <hyperlink ref="L4904" r:id="rId9803" location="" tooltip="" display=""/>
    <hyperlink ref="R4904" r:id="rId9804" location="" tooltip="" display=""/>
    <hyperlink ref="L4906" r:id="rId9805" location="" tooltip="" display=""/>
    <hyperlink ref="R4906" r:id="rId9806" location="" tooltip="" display=""/>
    <hyperlink ref="L4907" r:id="rId9807" location="" tooltip="" display=""/>
    <hyperlink ref="R4907" r:id="rId9808" location="" tooltip="" display=""/>
    <hyperlink ref="K4908" r:id="rId9809" location="" tooltip="" display=""/>
    <hyperlink ref="L4908" r:id="rId9810" location="" tooltip="" display=""/>
    <hyperlink ref="Q4908" r:id="rId9811" location="" tooltip="" display=""/>
    <hyperlink ref="R4908" r:id="rId9812" location="" tooltip="" display=""/>
    <hyperlink ref="L4909" r:id="rId9813" location="" tooltip="" display=""/>
    <hyperlink ref="R4909" r:id="rId9814" location="" tooltip="" display=""/>
    <hyperlink ref="L4910" r:id="rId9815" location="" tooltip="" display=""/>
    <hyperlink ref="R4910" r:id="rId9816" location="" tooltip="" display=""/>
    <hyperlink ref="L4911" r:id="rId9817" location="" tooltip="" display=""/>
    <hyperlink ref="R4911" r:id="rId9818" location="" tooltip="" display=""/>
    <hyperlink ref="K4913" r:id="rId9819" location="" tooltip="" display=""/>
    <hyperlink ref="L4913" r:id="rId9820" location="" tooltip="" display=""/>
    <hyperlink ref="Q4913" r:id="rId9821" location="" tooltip="" display=""/>
    <hyperlink ref="R4913" r:id="rId9822" location="" tooltip="" display=""/>
    <hyperlink ref="L4914" r:id="rId9823" location="" tooltip="" display=""/>
    <hyperlink ref="R4914" r:id="rId9824" location="" tooltip="" display=""/>
    <hyperlink ref="L4916" r:id="rId9825" location="" tooltip="" display=""/>
    <hyperlink ref="R4916" r:id="rId9826" location="" tooltip="" display=""/>
    <hyperlink ref="L4917" r:id="rId9827" location="" tooltip="" display=""/>
    <hyperlink ref="R4917" r:id="rId9828" location="" tooltip="" display=""/>
    <hyperlink ref="K4918" r:id="rId9829" location="" tooltip="" display=""/>
    <hyperlink ref="L4918" r:id="rId9830" location="" tooltip="" display=""/>
    <hyperlink ref="Q4918" r:id="rId9831" location="" tooltip="" display=""/>
    <hyperlink ref="R4918" r:id="rId9832" location="" tooltip="" display=""/>
    <hyperlink ref="L4919" r:id="rId9833" location="" tooltip="" display=""/>
    <hyperlink ref="R4919" r:id="rId9834" location="" tooltip="" display=""/>
    <hyperlink ref="L4920" r:id="rId9835" location="" tooltip="" display=""/>
    <hyperlink ref="R4920" r:id="rId9836" location="" tooltip="" display=""/>
    <hyperlink ref="L4921" r:id="rId9837" location="" tooltip="" display=""/>
    <hyperlink ref="R4921" r:id="rId9838" location="" tooltip="" display=""/>
    <hyperlink ref="L4923" r:id="rId9839" location="" tooltip="" display=""/>
    <hyperlink ref="R4923" r:id="rId9840" location="" tooltip="" display=""/>
    <hyperlink ref="L4924" r:id="rId9841" location="" tooltip="" display=""/>
    <hyperlink ref="R4924" r:id="rId9842" location="" tooltip="" display=""/>
    <hyperlink ref="K4925" r:id="rId9843" location="" tooltip="" display=""/>
    <hyperlink ref="L4925" r:id="rId9844" location="" tooltip="" display=""/>
    <hyperlink ref="Q4925" r:id="rId9845" location="" tooltip="" display=""/>
    <hyperlink ref="R4925" r:id="rId9846" location="" tooltip="" display=""/>
    <hyperlink ref="L4926" r:id="rId9847" location="" tooltip="" display=""/>
    <hyperlink ref="R4926" r:id="rId9848" location="" tooltip="" display=""/>
    <hyperlink ref="L4927" r:id="rId9849" location="" tooltip="" display=""/>
    <hyperlink ref="R4927" r:id="rId9850" location="" tooltip="" display=""/>
    <hyperlink ref="K4929" r:id="rId9851" location="" tooltip="" display=""/>
    <hyperlink ref="L4929" r:id="rId9852" location="" tooltip="" display=""/>
    <hyperlink ref="Q4929" r:id="rId9853" location="" tooltip="" display=""/>
    <hyperlink ref="R4929" r:id="rId9854" location="" tooltip="" display=""/>
    <hyperlink ref="L4930" r:id="rId9855" location="" tooltip="" display=""/>
    <hyperlink ref="R4930" r:id="rId9856" location="" tooltip="" display=""/>
    <hyperlink ref="L4932" r:id="rId9857" location="" tooltip="" display=""/>
    <hyperlink ref="R4932" r:id="rId9858" location="" tooltip="" display=""/>
    <hyperlink ref="L4933" r:id="rId9859" location="" tooltip="" display=""/>
    <hyperlink ref="R4933" r:id="rId9860" location="" tooltip="" display=""/>
    <hyperlink ref="K4934" r:id="rId9861" location="" tooltip="" display=""/>
    <hyperlink ref="L4934" r:id="rId9862" location="" tooltip="" display=""/>
    <hyperlink ref="Q4934" r:id="rId9863" location="" tooltip="" display=""/>
    <hyperlink ref="R4934" r:id="rId9864" location="" tooltip="" display=""/>
    <hyperlink ref="L4935" r:id="rId9865" location="" tooltip="" display=""/>
    <hyperlink ref="R4935" r:id="rId9866" location="" tooltip="" display=""/>
    <hyperlink ref="L4936" r:id="rId9867" location="" tooltip="" display=""/>
    <hyperlink ref="R4936" r:id="rId9868" location="" tooltip="" display=""/>
    <hyperlink ref="L4937" r:id="rId9869" location="" tooltip="" display=""/>
    <hyperlink ref="R4937" r:id="rId9870" location="" tooltip="" display=""/>
    <hyperlink ref="L4939" r:id="rId9871" location="" tooltip="" display=""/>
    <hyperlink ref="R4939" r:id="rId9872" location="" tooltip="" display=""/>
    <hyperlink ref="L4940" r:id="rId9873" location="" tooltip="" display=""/>
    <hyperlink ref="R4940" r:id="rId9874" location="" tooltip="" display=""/>
    <hyperlink ref="K4941" r:id="rId9875" location="" tooltip="" display=""/>
    <hyperlink ref="L4941" r:id="rId9876" location="" tooltip="" display=""/>
    <hyperlink ref="Q4941" r:id="rId9877" location="" tooltip="" display=""/>
    <hyperlink ref="R4941" r:id="rId9878" location="" tooltip="" display=""/>
    <hyperlink ref="L4942" r:id="rId9879" location="" tooltip="" display=""/>
    <hyperlink ref="R4942" r:id="rId9880" location="" tooltip="" display=""/>
    <hyperlink ref="L4943" r:id="rId9881" location="" tooltip="" display=""/>
    <hyperlink ref="R4943" r:id="rId9882" location="" tooltip="" display=""/>
    <hyperlink ref="L4944" r:id="rId9883" location="" tooltip="" display=""/>
    <hyperlink ref="R4944" r:id="rId9884" location="" tooltip="" display=""/>
    <hyperlink ref="L4946" r:id="rId9885" location="" tooltip="" display=""/>
    <hyperlink ref="R4946" r:id="rId9886" location="" tooltip="" display=""/>
    <hyperlink ref="K4947" r:id="rId9887" location="" tooltip="" display=""/>
    <hyperlink ref="L4947" r:id="rId9888" location="" tooltip="" display=""/>
    <hyperlink ref="Q4947" r:id="rId9889" location="" tooltip="" display=""/>
    <hyperlink ref="R4947" r:id="rId9890" location="" tooltip="" display=""/>
    <hyperlink ref="L4948" r:id="rId9891" location="" tooltip="" display=""/>
    <hyperlink ref="R4948" r:id="rId9892" location="" tooltip="" display=""/>
    <hyperlink ref="L4949" r:id="rId9893" location="" tooltip="" display=""/>
    <hyperlink ref="R4949" r:id="rId9894" location="" tooltip="" display=""/>
    <hyperlink ref="L4951" r:id="rId9895" location="" tooltip="" display=""/>
    <hyperlink ref="R4951" r:id="rId9896" location="" tooltip="" display=""/>
    <hyperlink ref="L4952" r:id="rId9897" location="" tooltip="" display=""/>
    <hyperlink ref="R4952" r:id="rId9898" location="" tooltip="" display=""/>
    <hyperlink ref="K4953" r:id="rId9899" location="" tooltip="" display=""/>
    <hyperlink ref="L4953" r:id="rId9900" location="" tooltip="" display=""/>
    <hyperlink ref="Q4953" r:id="rId9901" location="" tooltip="" display=""/>
    <hyperlink ref="R4953" r:id="rId9902" location="" tooltip="" display=""/>
    <hyperlink ref="L4954" r:id="rId9903" location="" tooltip="" display=""/>
    <hyperlink ref="R4954" r:id="rId9904" location="" tooltip="" display=""/>
    <hyperlink ref="L4955" r:id="rId9905" location="" tooltip="" display=""/>
    <hyperlink ref="R4955" r:id="rId9906" location="" tooltip="" display=""/>
    <hyperlink ref="L4956" r:id="rId9907" location="" tooltip="" display=""/>
    <hyperlink ref="R4956" r:id="rId9908" location="" tooltip="" display=""/>
    <hyperlink ref="L4958" r:id="rId9909" location="" tooltip="" display=""/>
    <hyperlink ref="R4958" r:id="rId9910" location="" tooltip="" display=""/>
    <hyperlink ref="L4959" r:id="rId9911" location="" tooltip="" display=""/>
    <hyperlink ref="R4959" r:id="rId9912" location="" tooltip="" display=""/>
    <hyperlink ref="K4960" r:id="rId9913" location="" tooltip="" display=""/>
    <hyperlink ref="L4960" r:id="rId9914" location="" tooltip="" display=""/>
    <hyperlink ref="Q4960" r:id="rId9915" location="" tooltip="" display=""/>
    <hyperlink ref="R4960" r:id="rId9916" location="" tooltip="" display=""/>
    <hyperlink ref="L4961" r:id="rId9917" location="" tooltip="" display=""/>
    <hyperlink ref="R4961" r:id="rId9918" location="" tooltip="" display=""/>
    <hyperlink ref="L4962" r:id="rId9919" location="" tooltip="" display=""/>
    <hyperlink ref="R4962" r:id="rId9920" location="" tooltip="" display=""/>
    <hyperlink ref="L4963" r:id="rId9921" location="" tooltip="" display=""/>
    <hyperlink ref="R4963" r:id="rId9922" location="" tooltip="" display=""/>
    <hyperlink ref="L4965" r:id="rId9923" location="" tooltip="" display=""/>
    <hyperlink ref="R4965" r:id="rId9924" location="" tooltip="" display=""/>
    <hyperlink ref="K4966" r:id="rId9925" location="" tooltip="" display=""/>
    <hyperlink ref="L4966" r:id="rId9926" location="" tooltip="" display=""/>
    <hyperlink ref="Q4966" r:id="rId9927" location="" tooltip="" display=""/>
    <hyperlink ref="R4966" r:id="rId9928" location="" tooltip="" display=""/>
    <hyperlink ref="L4967" r:id="rId9929" location="" tooltip="" display=""/>
    <hyperlink ref="R4967" r:id="rId9930" location="" tooltip="" display=""/>
    <hyperlink ref="K4969" r:id="rId9931" location="" tooltip="" display=""/>
    <hyperlink ref="L4969" r:id="rId9932" location="" tooltip="" display=""/>
    <hyperlink ref="Q4969" r:id="rId9933" location="" tooltip="" display=""/>
    <hyperlink ref="R4969" r:id="rId9934" location="" tooltip="" display=""/>
    <hyperlink ref="L4971" r:id="rId9935" location="" tooltip="" display=""/>
    <hyperlink ref="R4971" r:id="rId9936" location="" tooltip="" display=""/>
    <hyperlink ref="L4972" r:id="rId9937" location="" tooltip="" display=""/>
    <hyperlink ref="R4972" r:id="rId9938" location="" tooltip="" display=""/>
    <hyperlink ref="K4973" r:id="rId9939" location="" tooltip="" display=""/>
    <hyperlink ref="L4973" r:id="rId9940" location="" tooltip="" display=""/>
    <hyperlink ref="Q4973" r:id="rId9941" location="" tooltip="" display=""/>
    <hyperlink ref="R4973" r:id="rId9942" location="" tooltip="" display=""/>
    <hyperlink ref="L4974" r:id="rId9943" location="" tooltip="" display=""/>
    <hyperlink ref="R4974" r:id="rId9944" location="" tooltip="" display=""/>
    <hyperlink ref="L4975" r:id="rId9945" location="" tooltip="" display=""/>
    <hyperlink ref="R4975" r:id="rId9946" location="" tooltip="" display=""/>
    <hyperlink ref="L4976" r:id="rId9947" location="" tooltip="" display=""/>
    <hyperlink ref="R4976" r:id="rId9948" location="" tooltip="" display=""/>
    <hyperlink ref="L4978" r:id="rId9949" location="" tooltip="" display=""/>
    <hyperlink ref="R4978" r:id="rId9950" location="" tooltip="" display=""/>
    <hyperlink ref="K4979" r:id="rId9951" location="" tooltip="" display=""/>
    <hyperlink ref="L4979" r:id="rId9952" location="" tooltip="" display=""/>
    <hyperlink ref="Q4979" r:id="rId9953" location="" tooltip="" display=""/>
    <hyperlink ref="R4979" r:id="rId9954" location="" tooltip="" display=""/>
    <hyperlink ref="L4980" r:id="rId9955" location="" tooltip="" display=""/>
    <hyperlink ref="R4980" r:id="rId9956" location="" tooltip="" display=""/>
    <hyperlink ref="L4981" r:id="rId9957" location="" tooltip="" display=""/>
    <hyperlink ref="R4981" r:id="rId9958" location="" tooltip="" display=""/>
    <hyperlink ref="L4983" r:id="rId9959" location="" tooltip="" display=""/>
    <hyperlink ref="R4983" r:id="rId9960" location="" tooltip="" display=""/>
    <hyperlink ref="K4984" r:id="rId9961" location="" tooltip="" display=""/>
    <hyperlink ref="L4984" r:id="rId9962" location="" tooltip="" display=""/>
    <hyperlink ref="Q4984" r:id="rId9963" location="" tooltip="" display=""/>
    <hyperlink ref="R4984" r:id="rId9964" location="" tooltip="" display=""/>
    <hyperlink ref="L4985" r:id="rId9965" location="" tooltip="" display=""/>
    <hyperlink ref="R4985" r:id="rId9966" location="" tooltip="" display=""/>
    <hyperlink ref="L4986" r:id="rId9967" location="" tooltip="" display=""/>
    <hyperlink ref="R4986" r:id="rId9968" location="" tooltip="" display=""/>
    <hyperlink ref="L4988" r:id="rId9969" location="" tooltip="" display=""/>
    <hyperlink ref="R4988" r:id="rId9970" location="" tooltip="" display=""/>
    <hyperlink ref="K4989" r:id="rId9971" location="" tooltip="" display=""/>
    <hyperlink ref="L4989" r:id="rId9972" location="" tooltip="" display=""/>
    <hyperlink ref="Q4989" r:id="rId9973" location="" tooltip="" display=""/>
    <hyperlink ref="R4989" r:id="rId9974" location="" tooltip="" display=""/>
    <hyperlink ref="L4990" r:id="rId9975" location="" tooltip="" display=""/>
    <hyperlink ref="R4990" r:id="rId9976" location="" tooltip="" display=""/>
    <hyperlink ref="K4992" r:id="rId9977" location="" tooltip="" display=""/>
    <hyperlink ref="L4992" r:id="rId9978" location="" tooltip="" display=""/>
    <hyperlink ref="Q4992" r:id="rId9979" location="" tooltip="" display=""/>
    <hyperlink ref="R4992" r:id="rId9980" location="" tooltip="" display=""/>
    <hyperlink ref="K4994" r:id="rId9981" location="" tooltip="" display=""/>
    <hyperlink ref="L4994" r:id="rId9982" location="" tooltip="" display=""/>
    <hyperlink ref="Q4994" r:id="rId9983" location="" tooltip="" display=""/>
    <hyperlink ref="R4994" r:id="rId9984" location="" tooltip="" display=""/>
    <hyperlink ref="L4995" r:id="rId9985" location="" tooltip="" display=""/>
    <hyperlink ref="R4995" r:id="rId9986" location="" tooltip="" display=""/>
    <hyperlink ref="L4997" r:id="rId9987" location="" tooltip="" display=""/>
    <hyperlink ref="R4997" r:id="rId9988" location="" tooltip="" display=""/>
    <hyperlink ref="L4998" r:id="rId9989" location="" tooltip="" display=""/>
    <hyperlink ref="R4998" r:id="rId9990" location="" tooltip="" display=""/>
    <hyperlink ref="K4999" r:id="rId9991" location="" tooltip="" display=""/>
    <hyperlink ref="L4999" r:id="rId9992" location="" tooltip="" display=""/>
    <hyperlink ref="Q4999" r:id="rId9993" location="" tooltip="" display=""/>
    <hyperlink ref="R4999" r:id="rId9994" location="" tooltip="" display=""/>
    <hyperlink ref="L5000" r:id="rId9995" location="" tooltip="" display=""/>
    <hyperlink ref="R5000" r:id="rId9996" location="" tooltip="" display=""/>
    <hyperlink ref="L5001" r:id="rId9997" location="" tooltip="" display=""/>
    <hyperlink ref="R5001" r:id="rId9998" location="" tooltip="" display=""/>
    <hyperlink ref="L5002" r:id="rId9999" location="" tooltip="" display=""/>
    <hyperlink ref="R5002" r:id="rId10000" location="" tooltip="" display=""/>
    <hyperlink ref="L5004" r:id="rId10001" location="" tooltip="" display=""/>
    <hyperlink ref="R5004" r:id="rId10002" location="" tooltip="" display=""/>
    <hyperlink ref="L5005" r:id="rId10003" location="" tooltip="" display=""/>
    <hyperlink ref="R5005" r:id="rId10004" location="" tooltip="" display=""/>
    <hyperlink ref="L5006" r:id="rId10005" location="" tooltip="" display=""/>
    <hyperlink ref="R5006" r:id="rId10006" location="" tooltip="" display=""/>
    <hyperlink ref="L5007" r:id="rId10007" location="" tooltip="" display=""/>
    <hyperlink ref="R5007" r:id="rId10008" location="" tooltip="" display=""/>
    <hyperlink ref="K5008" r:id="rId10009" location="" tooltip="" display=""/>
    <hyperlink ref="L5008" r:id="rId10010" location="" tooltip="" display=""/>
    <hyperlink ref="Q5008" r:id="rId10011" location="" tooltip="" display=""/>
    <hyperlink ref="R5008" r:id="rId10012" location="" tooltip="" display=""/>
    <hyperlink ref="L5009" r:id="rId10013" location="" tooltip="" display=""/>
    <hyperlink ref="R5009" r:id="rId10014" location="" tooltip="" display=""/>
    <hyperlink ref="L5010" r:id="rId10015" location="" tooltip="" display=""/>
    <hyperlink ref="R5010" r:id="rId10016" location="" tooltip="" display=""/>
    <hyperlink ref="L5011" r:id="rId10017" location="" tooltip="" display=""/>
    <hyperlink ref="R5011" r:id="rId10018" location="" tooltip="" display=""/>
    <hyperlink ref="L5012" r:id="rId10019" location="" tooltip="" display=""/>
    <hyperlink ref="R5012" r:id="rId10020" location="" tooltip="" display=""/>
    <hyperlink ref="L5014" r:id="rId10021" location="" tooltip="" display=""/>
    <hyperlink ref="R5014" r:id="rId10022" location="" tooltip="" display=""/>
    <hyperlink ref="L5015" r:id="rId10023" location="" tooltip="" display=""/>
    <hyperlink ref="R5015" r:id="rId10024" location="" tooltip="" display=""/>
    <hyperlink ref="K5016" r:id="rId10025" location="" tooltip="" display=""/>
    <hyperlink ref="L5016" r:id="rId10026" location="" tooltip="" display=""/>
    <hyperlink ref="Q5016" r:id="rId10027" location="" tooltip="" display=""/>
    <hyperlink ref="R5016" r:id="rId10028" location="" tooltip="" display=""/>
    <hyperlink ref="L5017" r:id="rId10029" location="" tooltip="" display=""/>
    <hyperlink ref="R5017" r:id="rId10030" location="" tooltip="" display=""/>
    <hyperlink ref="L5018" r:id="rId10031" location="" tooltip="" display=""/>
    <hyperlink ref="R5018" r:id="rId10032" location="" tooltip="" display=""/>
    <hyperlink ref="L5020" r:id="rId10033" location="" tooltip="" display=""/>
    <hyperlink ref="R5020" r:id="rId10034" location="" tooltip="" display=""/>
    <hyperlink ref="K5021" r:id="rId10035" location="" tooltip="" display=""/>
    <hyperlink ref="L5021" r:id="rId10036" location="" tooltip="" display=""/>
    <hyperlink ref="Q5021" r:id="rId10037" location="" tooltip="" display=""/>
    <hyperlink ref="R5021" r:id="rId10038" location="" tooltip="" display=""/>
    <hyperlink ref="L5022" r:id="rId10039" location="" tooltip="" display=""/>
    <hyperlink ref="R5022" r:id="rId10040" location="" tooltip="" display=""/>
    <hyperlink ref="L5024" r:id="rId10041" location="" tooltip="" display=""/>
    <hyperlink ref="R5024" r:id="rId10042" location="" tooltip="" display=""/>
    <hyperlink ref="L5025" r:id="rId10043" location="" tooltip="" display=""/>
    <hyperlink ref="R5025" r:id="rId10044" location="" tooltip="" display=""/>
    <hyperlink ref="L5026" r:id="rId10045" location="" tooltip="" display=""/>
    <hyperlink ref="R5026" r:id="rId10046" location="" tooltip="" display=""/>
    <hyperlink ref="K5027" r:id="rId10047" location="" tooltip="" display=""/>
    <hyperlink ref="L5027" r:id="rId10048" location="" tooltip="" display=""/>
    <hyperlink ref="Q5027" r:id="rId10049" location="" tooltip="" display=""/>
    <hyperlink ref="R5027" r:id="rId10050" location="" tooltip="" display=""/>
    <hyperlink ref="L5028" r:id="rId10051" location="" tooltip="" display=""/>
    <hyperlink ref="R5028" r:id="rId10052" location="" tooltip="" display=""/>
    <hyperlink ref="L5029" r:id="rId10053" location="" tooltip="" display=""/>
    <hyperlink ref="R5029" r:id="rId10054" location="" tooltip="" display=""/>
    <hyperlink ref="L5030" r:id="rId10055" location="" tooltip="" display=""/>
    <hyperlink ref="R5030" r:id="rId10056" location="" tooltip="" display=""/>
    <hyperlink ref="L5031" r:id="rId10057" location="" tooltip="" display=""/>
    <hyperlink ref="R5031" r:id="rId10058" location="" tooltip="" display=""/>
    <hyperlink ref="L5033" r:id="rId10059" location="" tooltip="" display=""/>
    <hyperlink ref="R5033" r:id="rId10060" location="" tooltip="" display=""/>
    <hyperlink ref="K5034" r:id="rId10061" location="" tooltip="" display=""/>
    <hyperlink ref="L5034" r:id="rId10062" location="" tooltip="" display=""/>
    <hyperlink ref="Q5034" r:id="rId10063" location="" tooltip="" display=""/>
    <hyperlink ref="R5034" r:id="rId10064" location="" tooltip="" display=""/>
    <hyperlink ref="L5035" r:id="rId10065" location="" tooltip="" display=""/>
    <hyperlink ref="R5035" r:id="rId10066" location="" tooltip="" display=""/>
    <hyperlink ref="L5037" r:id="rId10067" location="" tooltip="" display=""/>
    <hyperlink ref="R5037" r:id="rId10068" location="" tooltip="" display=""/>
    <hyperlink ref="L5038" r:id="rId10069" location="" tooltip="" display=""/>
    <hyperlink ref="R5038" r:id="rId10070" location="" tooltip="" display=""/>
    <hyperlink ref="L5039" r:id="rId10071" location="" tooltip="" display=""/>
    <hyperlink ref="R5039" r:id="rId10072" location="" tooltip="" display=""/>
    <hyperlink ref="K5040" r:id="rId10073" location="" tooltip="" display=""/>
    <hyperlink ref="L5040" r:id="rId10074" location="" tooltip="" display=""/>
    <hyperlink ref="Q5040" r:id="rId10075" location="" tooltip="" display=""/>
    <hyperlink ref="R5040" r:id="rId10076" location="" tooltip="" display=""/>
    <hyperlink ref="L5041" r:id="rId10077" location="" tooltip="" display=""/>
    <hyperlink ref="R5041" r:id="rId10078" location="" tooltip="" display=""/>
    <hyperlink ref="L5042" r:id="rId10079" location="" tooltip="" display=""/>
    <hyperlink ref="R5042" r:id="rId10080" location="" tooltip="" display=""/>
    <hyperlink ref="L5043" r:id="rId10081" location="" tooltip="" display=""/>
    <hyperlink ref="R5043" r:id="rId10082" location="" tooltip="" display=""/>
    <hyperlink ref="L5045" r:id="rId10083" location="" tooltip="" display=""/>
    <hyperlink ref="R5045" r:id="rId10084" location="" tooltip="" display=""/>
    <hyperlink ref="K5046" r:id="rId10085" location="" tooltip="" display=""/>
    <hyperlink ref="L5046" r:id="rId10086" location="" tooltip="" display=""/>
    <hyperlink ref="Q5046" r:id="rId10087" location="" tooltip="" display=""/>
    <hyperlink ref="R5046" r:id="rId10088" location="" tooltip="" display=""/>
    <hyperlink ref="L5047" r:id="rId10089" location="" tooltip="" display=""/>
    <hyperlink ref="R5047" r:id="rId10090" location="" tooltip="" display=""/>
    <hyperlink ref="K5049" r:id="rId10091" location="" tooltip="" display=""/>
    <hyperlink ref="L5049" r:id="rId10092" location="" tooltip="" display=""/>
    <hyperlink ref="Q5049" r:id="rId10093" location="" tooltip="" display=""/>
    <hyperlink ref="R5049" r:id="rId10094" location="" tooltip="" display=""/>
    <hyperlink ref="K5051" r:id="rId10095" location="" tooltip="" display=""/>
    <hyperlink ref="L5051" r:id="rId10096" location="" tooltip="" display=""/>
    <hyperlink ref="Q5051" r:id="rId10097" location="" tooltip="" display=""/>
    <hyperlink ref="R5051" r:id="rId10098" location="" tooltip="" display=""/>
    <hyperlink ref="L5052" r:id="rId10099" location="" tooltip="" display=""/>
    <hyperlink ref="R5052" r:id="rId10100" location="" tooltip="" display=""/>
    <hyperlink ref="K5054" r:id="rId10101" location="" tooltip="" display=""/>
    <hyperlink ref="L5054" r:id="rId10102" location="" tooltip="" display=""/>
    <hyperlink ref="Q5054" r:id="rId10103" location="" tooltip="" display=""/>
    <hyperlink ref="R5054" r:id="rId10104" location="" tooltip="" display=""/>
    <hyperlink ref="L5055" r:id="rId10105" location="" tooltip="" display=""/>
    <hyperlink ref="R5055" r:id="rId10106" location="" tooltip="" display=""/>
    <hyperlink ref="K5057" r:id="rId10107" location="" tooltip="" display=""/>
    <hyperlink ref="L5057" r:id="rId10108" location="" tooltip="" display=""/>
    <hyperlink ref="Q5057" r:id="rId10109" location="" tooltip="" display=""/>
    <hyperlink ref="R5057" r:id="rId10110" location="" tooltip="" display=""/>
    <hyperlink ref="K5059" r:id="rId10111" location="" tooltip="" display=""/>
    <hyperlink ref="L5059" r:id="rId10112" location="" tooltip="" display=""/>
    <hyperlink ref="Q5059" r:id="rId10113" location="" tooltip="" display=""/>
    <hyperlink ref="R5059" r:id="rId10114" location="" tooltip="" display=""/>
    <hyperlink ref="L5060" r:id="rId10115" location="" tooltip="" display=""/>
    <hyperlink ref="R5060" r:id="rId10116" location="" tooltip="" display=""/>
    <hyperlink ref="K5062" r:id="rId10117" location="" tooltip="" display=""/>
    <hyperlink ref="L5062" r:id="rId10118" location="" tooltip="" display=""/>
    <hyperlink ref="Q5062" r:id="rId10119" location="" tooltip="" display=""/>
    <hyperlink ref="R5062" r:id="rId10120" location="" tooltip="" display=""/>
    <hyperlink ref="L5063" r:id="rId10121" location="" tooltip="" display=""/>
    <hyperlink ref="R5063" r:id="rId10122" location="" tooltip="" display=""/>
    <hyperlink ref="K5065" r:id="rId10123" location="" tooltip="" display=""/>
    <hyperlink ref="L5065" r:id="rId10124" location="" tooltip="" display=""/>
    <hyperlink ref="Q5065" r:id="rId10125" location="" tooltip="" display=""/>
    <hyperlink ref="R5065" r:id="rId10126" location="" tooltip="" display=""/>
    <hyperlink ref="L5066" r:id="rId10127" location="" tooltip="" display=""/>
    <hyperlink ref="R5066" r:id="rId10128" location="" tooltip="" display=""/>
    <hyperlink ref="K5068" r:id="rId10129" location="" tooltip="" display=""/>
    <hyperlink ref="L5068" r:id="rId10130" location="" tooltip="" display=""/>
    <hyperlink ref="Q5068" r:id="rId10131" location="" tooltip="" display=""/>
    <hyperlink ref="R5068" r:id="rId10132" location="" tooltip="" display=""/>
    <hyperlink ref="L5069" r:id="rId10133" location="" tooltip="" display=""/>
    <hyperlink ref="R5069" r:id="rId10134" location="" tooltip="" display=""/>
    <hyperlink ref="K5071" r:id="rId10135" location="" tooltip="" display=""/>
    <hyperlink ref="L5071" r:id="rId10136" location="" tooltip="" display=""/>
    <hyperlink ref="Q5071" r:id="rId10137" location="" tooltip="" display=""/>
    <hyperlink ref="R5071" r:id="rId10138" location="" tooltip="" display=""/>
    <hyperlink ref="L5073" r:id="rId10139" location="" tooltip="" display=""/>
    <hyperlink ref="R5073" r:id="rId10140" location="" tooltip="" display=""/>
    <hyperlink ref="K5074" r:id="rId10141" location="" tooltip="" display=""/>
    <hyperlink ref="L5074" r:id="rId10142" location="" tooltip="" display=""/>
    <hyperlink ref="Q5074" r:id="rId10143" location="" tooltip="" display=""/>
    <hyperlink ref="R5074" r:id="rId10144" location="" tooltip="" display=""/>
    <hyperlink ref="L5075" r:id="rId10145" location="" tooltip="" display=""/>
    <hyperlink ref="R5075" r:id="rId10146" location="" tooltip="" display=""/>
    <hyperlink ref="L5076" r:id="rId10147" location="" tooltip="" display=""/>
    <hyperlink ref="R5076" r:id="rId10148" location="" tooltip="" display=""/>
    <hyperlink ref="K5078" r:id="rId10149" location="" tooltip="" display=""/>
    <hyperlink ref="L5078" r:id="rId10150" location="" tooltip="" display=""/>
    <hyperlink ref="Q5078" r:id="rId10151" location="" tooltip="" display=""/>
    <hyperlink ref="R5078" r:id="rId10152" location="" tooltip="" display=""/>
    <hyperlink ref="K5080" r:id="rId10153" location="" tooltip="" display=""/>
    <hyperlink ref="L5080" r:id="rId10154" location="" tooltip="" display=""/>
    <hyperlink ref="Q5080" r:id="rId10155" location="" tooltip="" display=""/>
    <hyperlink ref="R5080" r:id="rId10156" location="" tooltip="" display=""/>
    <hyperlink ref="K5082" r:id="rId10157" location="" tooltip="" display=""/>
    <hyperlink ref="L5082" r:id="rId10158" location="" tooltip="" display=""/>
    <hyperlink ref="Q5082" r:id="rId10159" location="" tooltip="" display=""/>
    <hyperlink ref="R5082" r:id="rId10160" location="" tooltip="" display=""/>
    <hyperlink ref="L5083" r:id="rId10161" location="" tooltip="" display=""/>
    <hyperlink ref="R5083" r:id="rId10162" location="" tooltip="" display=""/>
    <hyperlink ref="K5085" r:id="rId10163" location="" tooltip="" display=""/>
    <hyperlink ref="L5085" r:id="rId10164" location="" tooltip="" display=""/>
    <hyperlink ref="Q5085" r:id="rId10165" location="" tooltip="" display=""/>
    <hyperlink ref="R5085" r:id="rId10166" location="" tooltip="" display=""/>
    <hyperlink ref="L5086" r:id="rId10167" location="" tooltip="" display=""/>
    <hyperlink ref="R5086" r:id="rId10168" location="" tooltip="" display=""/>
    <hyperlink ref="K5088" r:id="rId10169" location="" tooltip="" display=""/>
    <hyperlink ref="L5088" r:id="rId10170" location="" tooltip="" display=""/>
    <hyperlink ref="Q5088" r:id="rId10171" location="" tooltip="" display=""/>
    <hyperlink ref="R5088" r:id="rId10172" location="" tooltip="" display=""/>
    <hyperlink ref="L5090" r:id="rId10173" location="" tooltip="" display=""/>
    <hyperlink ref="R5090" r:id="rId10174" location="" tooltip="" display=""/>
    <hyperlink ref="K5091" r:id="rId10175" location="" tooltip="" display=""/>
    <hyperlink ref="L5091" r:id="rId10176" location="" tooltip="" display=""/>
    <hyperlink ref="Q5091" r:id="rId10177" location="" tooltip="" display=""/>
    <hyperlink ref="R5091" r:id="rId10178" location="" tooltip="" display=""/>
    <hyperlink ref="L5092" r:id="rId10179" location="" tooltip="" display=""/>
    <hyperlink ref="R5092" r:id="rId10180" location="" tooltip="" display=""/>
    <hyperlink ref="L5094" r:id="rId10181" location="" tooltip="" display=""/>
    <hyperlink ref="R5094" r:id="rId10182" location="" tooltip="" display=""/>
    <hyperlink ref="K5095" r:id="rId10183" location="" tooltip="" display=""/>
    <hyperlink ref="L5095" r:id="rId10184" location="" tooltip="" display=""/>
    <hyperlink ref="Q5095" r:id="rId10185" location="" tooltip="" display=""/>
    <hyperlink ref="R5095" r:id="rId10186" location="" tooltip="" display=""/>
    <hyperlink ref="L5096" r:id="rId10187" location="" tooltip="" display=""/>
    <hyperlink ref="R5096" r:id="rId10188" location="" tooltip="" display=""/>
    <hyperlink ref="L5097" r:id="rId10189" location="" tooltip="" display=""/>
    <hyperlink ref="R5097" r:id="rId10190" location="" tooltip="" display=""/>
    <hyperlink ref="K5099" r:id="rId10191" location="" tooltip="" display=""/>
    <hyperlink ref="L5099" r:id="rId10192" location="" tooltip="" display=""/>
    <hyperlink ref="Q5099" r:id="rId10193" location="" tooltip="" display=""/>
    <hyperlink ref="R5099" r:id="rId10194" location="" tooltip="" display=""/>
    <hyperlink ref="K5101" r:id="rId10195" location="" tooltip="" display=""/>
    <hyperlink ref="L5101" r:id="rId10196" location="" tooltip="" display=""/>
    <hyperlink ref="Q5101" r:id="rId10197" location="" tooltip="" display=""/>
    <hyperlink ref="R5101" r:id="rId10198" location="" tooltip="" display=""/>
    <hyperlink ref="L5102" r:id="rId10199" location="" tooltip="" display=""/>
    <hyperlink ref="R5102" r:id="rId10200" location="" tooltip="" display=""/>
    <hyperlink ref="L5104" r:id="rId10201" location="" tooltip="" display=""/>
    <hyperlink ref="R5104" r:id="rId10202" location="" tooltip="" display=""/>
    <hyperlink ref="K5105" r:id="rId10203" location="" tooltip="" display=""/>
    <hyperlink ref="L5105" r:id="rId10204" location="" tooltip="" display=""/>
    <hyperlink ref="Q5105" r:id="rId10205" location="" tooltip="" display=""/>
    <hyperlink ref="R5105" r:id="rId10206" location="" tooltip="" display=""/>
    <hyperlink ref="L5106" r:id="rId10207" location="" tooltip="" display=""/>
    <hyperlink ref="R5106" r:id="rId10208" location="" tooltip="" display=""/>
    <hyperlink ref="L5107" r:id="rId10209" location="" tooltip="" display=""/>
    <hyperlink ref="R5107" r:id="rId10210" location="" tooltip="" display=""/>
    <hyperlink ref="K5109" r:id="rId10211" location="" tooltip="" display=""/>
    <hyperlink ref="L5109" r:id="rId10212" location="" tooltip="" display=""/>
    <hyperlink ref="Q5109" r:id="rId10213" location="" tooltip="" display=""/>
    <hyperlink ref="R5109" r:id="rId10214" location="" tooltip="" display=""/>
    <hyperlink ref="L5110" r:id="rId10215" location="" tooltip="" display=""/>
    <hyperlink ref="R5110" r:id="rId10216" location="" tooltip="" display=""/>
    <hyperlink ref="L5112" r:id="rId10217" location="" tooltip="" display=""/>
    <hyperlink ref="R5112" r:id="rId10218" location="" tooltip="" display=""/>
    <hyperlink ref="L5113" r:id="rId10219" location="" tooltip="" display=""/>
    <hyperlink ref="R5113" r:id="rId10220" location="" tooltip="" display=""/>
    <hyperlink ref="L5114" r:id="rId10221" location="" tooltip="" display=""/>
    <hyperlink ref="R5114" r:id="rId10222" location="" tooltip="" display=""/>
    <hyperlink ref="K5115" r:id="rId10223" location="" tooltip="" display=""/>
    <hyperlink ref="L5115" r:id="rId10224" location="" tooltip="" display=""/>
    <hyperlink ref="Q5115" r:id="rId10225" location="" tooltip="" display=""/>
    <hyperlink ref="R5115" r:id="rId10226" location="" tooltip="" display=""/>
    <hyperlink ref="L5116" r:id="rId10227" location="" tooltip="" display=""/>
    <hyperlink ref="R5116" r:id="rId10228" location="" tooltip="" display=""/>
    <hyperlink ref="L5117" r:id="rId10229" location="" tooltip="" display=""/>
    <hyperlink ref="R5117" r:id="rId10230" location="" tooltip="" display=""/>
    <hyperlink ref="L5118" r:id="rId10231" location="" tooltip="" display=""/>
    <hyperlink ref="R5118" r:id="rId10232" location="" tooltip="" display=""/>
    <hyperlink ref="L5119" r:id="rId10233" location="" tooltip="" display=""/>
    <hyperlink ref="R5119" r:id="rId10234" location="" tooltip="" display=""/>
    <hyperlink ref="L5121" r:id="rId10235" location="" tooltip="" display=""/>
    <hyperlink ref="R5121" r:id="rId10236" location="" tooltip="" display=""/>
    <hyperlink ref="K5122" r:id="rId10237" location="" tooltip="" display=""/>
    <hyperlink ref="L5122" r:id="rId10238" location="" tooltip="" display=""/>
    <hyperlink ref="Q5122" r:id="rId10239" location="" tooltip="" display=""/>
    <hyperlink ref="R5122" r:id="rId10240" location="" tooltip="" display=""/>
    <hyperlink ref="L5123" r:id="rId10241" location="" tooltip="" display=""/>
    <hyperlink ref="R5123" r:id="rId10242" location="" tooltip="" display=""/>
    <hyperlink ref="K5125" r:id="rId10243" location="" tooltip="" display=""/>
    <hyperlink ref="L5125" r:id="rId10244" location="" tooltip="" display=""/>
    <hyperlink ref="Q5125" r:id="rId10245" location="" tooltip="" display=""/>
    <hyperlink ref="R5125" r:id="rId10246" location="" tooltip="" display=""/>
    <hyperlink ref="L5127" r:id="rId10247" location="" tooltip="" display=""/>
    <hyperlink ref="R5127" r:id="rId10248" location="" tooltip="" display=""/>
    <hyperlink ref="K5128" r:id="rId10249" location="" tooltip="" display=""/>
    <hyperlink ref="L5128" r:id="rId10250" location="" tooltip="" display=""/>
    <hyperlink ref="Q5128" r:id="rId10251" location="" tooltip="" display=""/>
    <hyperlink ref="R5128" r:id="rId10252" location="" tooltip="" display=""/>
    <hyperlink ref="L5129" r:id="rId10253" location="" tooltip="" display=""/>
    <hyperlink ref="R5129" r:id="rId10254" location="" tooltip="" display=""/>
    <hyperlink ref="L5130" r:id="rId10255" location="" tooltip="" display=""/>
    <hyperlink ref="R5130" r:id="rId10256" location="" tooltip="" display=""/>
    <hyperlink ref="L5132" r:id="rId10257" location="" tooltip="" display=""/>
    <hyperlink ref="R5132" r:id="rId10258" location="" tooltip="" display=""/>
    <hyperlink ref="L5133" r:id="rId10259" location="" tooltip="" display=""/>
    <hyperlink ref="R5133" r:id="rId10260" location="" tooltip="" display=""/>
    <hyperlink ref="K5134" r:id="rId10261" location="" tooltip="" display=""/>
    <hyperlink ref="L5134" r:id="rId10262" location="" tooltip="" display=""/>
    <hyperlink ref="Q5134" r:id="rId10263" location="" tooltip="" display=""/>
    <hyperlink ref="R5134" r:id="rId10264" location="" tooltip="" display=""/>
    <hyperlink ref="L5135" r:id="rId10265" location="" tooltip="" display=""/>
    <hyperlink ref="R5135" r:id="rId10266" location="" tooltip="" display=""/>
    <hyperlink ref="L5136" r:id="rId10267" location="" tooltip="" display=""/>
    <hyperlink ref="R5136" r:id="rId10268" location="" tooltip="" display=""/>
    <hyperlink ref="L5138" r:id="rId10269" location="" tooltip="" display=""/>
    <hyperlink ref="R5138" r:id="rId10270" location="" tooltip="" display=""/>
    <hyperlink ref="K5139" r:id="rId10271" location="" tooltip="" display=""/>
    <hyperlink ref="L5139" r:id="rId10272" location="" tooltip="" display=""/>
    <hyperlink ref="Q5139" r:id="rId10273" location="" tooltip="" display=""/>
    <hyperlink ref="R5139" r:id="rId10274" location="" tooltip="" display=""/>
    <hyperlink ref="L5140" r:id="rId10275" location="" tooltip="" display=""/>
    <hyperlink ref="R5140" r:id="rId10276" location="" tooltip="" display=""/>
    <hyperlink ref="L5141" r:id="rId10277" location="" tooltip="" display=""/>
    <hyperlink ref="R5141" r:id="rId10278" location="" tooltip="" display=""/>
    <hyperlink ref="L5143" r:id="rId10279" location="" tooltip="" display=""/>
    <hyperlink ref="R5143" r:id="rId10280" location="" tooltip="" display=""/>
    <hyperlink ref="L5144" r:id="rId10281" location="" tooltip="" display=""/>
    <hyperlink ref="R5144" r:id="rId10282" location="" tooltip="" display=""/>
    <hyperlink ref="L5145" r:id="rId10283" location="" tooltip="" display=""/>
    <hyperlink ref="R5145" r:id="rId10284" location="" tooltip="" display=""/>
    <hyperlink ref="K5146" r:id="rId10285" location="" tooltip="" display=""/>
    <hyperlink ref="L5146" r:id="rId10286" location="" tooltip="" display=""/>
    <hyperlink ref="Q5146" r:id="rId10287" location="" tooltip="" display=""/>
    <hyperlink ref="R5146" r:id="rId10288" location="" tooltip="" display=""/>
    <hyperlink ref="L5147" r:id="rId10289" location="" tooltip="" display=""/>
    <hyperlink ref="R5147" r:id="rId10290" location="" tooltip="" display=""/>
    <hyperlink ref="L5148" r:id="rId10291" location="" tooltip="" display=""/>
    <hyperlink ref="R5148" r:id="rId10292" location="" tooltip="" display=""/>
    <hyperlink ref="L5149" r:id="rId10293" location="" tooltip="" display=""/>
    <hyperlink ref="R5149" r:id="rId10294" location="" tooltip="" display=""/>
    <hyperlink ref="K5151" r:id="rId10295" location="" tooltip="" display=""/>
    <hyperlink ref="L5151" r:id="rId10296" location="" tooltip="" display=""/>
    <hyperlink ref="Q5151" r:id="rId10297" location="" tooltip="" display=""/>
    <hyperlink ref="R5151" r:id="rId10298" location="" tooltip="" display=""/>
    <hyperlink ref="L5153" r:id="rId10299" location="" tooltip="" display=""/>
    <hyperlink ref="R5153" r:id="rId10300" location="" tooltip="" display=""/>
    <hyperlink ref="L5154" r:id="rId10301" location="" tooltip="" display=""/>
    <hyperlink ref="R5154" r:id="rId10302" location="" tooltip="" display=""/>
    <hyperlink ref="L5155" r:id="rId10303" location="" tooltip="" display=""/>
    <hyperlink ref="R5155" r:id="rId10304" location="" tooltip="" display=""/>
    <hyperlink ref="K5156" r:id="rId10305" location="" tooltip="" display=""/>
    <hyperlink ref="L5156" r:id="rId10306" location="" tooltip="" display=""/>
    <hyperlink ref="Q5156" r:id="rId10307" location="" tooltip="" display=""/>
    <hyperlink ref="R5156" r:id="rId10308" location="" tooltip="" display=""/>
    <hyperlink ref="L5157" r:id="rId10309" location="" tooltip="" display=""/>
    <hyperlink ref="R5157" r:id="rId10310" location="" tooltip="" display=""/>
    <hyperlink ref="L5158" r:id="rId10311" location="" tooltip="" display=""/>
    <hyperlink ref="R5158" r:id="rId10312" location="" tooltip="" display=""/>
    <hyperlink ref="L5159" r:id="rId10313" location="" tooltip="" display=""/>
    <hyperlink ref="R5159" r:id="rId10314" location="" tooltip="" display=""/>
    <hyperlink ref="L5161" r:id="rId10315" location="" tooltip="" display=""/>
    <hyperlink ref="R5161" r:id="rId10316" location="" tooltip="" display=""/>
    <hyperlink ref="L5162" r:id="rId10317" location="" tooltip="" display=""/>
    <hyperlink ref="R5162" r:id="rId10318" location="" tooltip="" display=""/>
    <hyperlink ref="K5163" r:id="rId10319" location="" tooltip="" display=""/>
    <hyperlink ref="L5163" r:id="rId10320" location="" tooltip="" display=""/>
    <hyperlink ref="Q5163" r:id="rId10321" location="" tooltip="" display=""/>
    <hyperlink ref="R5163" r:id="rId10322" location="" tooltip="" display=""/>
    <hyperlink ref="L5164" r:id="rId10323" location="" tooltip="" display=""/>
    <hyperlink ref="R5164" r:id="rId10324" location="" tooltip="" display=""/>
    <hyperlink ref="L5165" r:id="rId10325" location="" tooltip="" display=""/>
    <hyperlink ref="R5165" r:id="rId10326" location="" tooltip="" display=""/>
    <hyperlink ref="L5166" r:id="rId10327" location="" tooltip="" display=""/>
    <hyperlink ref="R5166" r:id="rId10328" location="" tooltip="" display=""/>
    <hyperlink ref="L5168" r:id="rId10329" location="" tooltip="" display=""/>
    <hyperlink ref="R5168" r:id="rId10330" location="" tooltip="" display=""/>
    <hyperlink ref="L5169" r:id="rId10331" location="" tooltip="" display=""/>
    <hyperlink ref="R5169" r:id="rId10332" location="" tooltip="" display=""/>
    <hyperlink ref="K5170" r:id="rId10333" location="" tooltip="" display=""/>
    <hyperlink ref="L5170" r:id="rId10334" location="" tooltip="" display=""/>
    <hyperlink ref="Q5170" r:id="rId10335" location="" tooltip="" display=""/>
    <hyperlink ref="R5170" r:id="rId10336" location="" tooltip="" display=""/>
    <hyperlink ref="L5171" r:id="rId10337" location="" tooltip="" display=""/>
    <hyperlink ref="R5171" r:id="rId10338" location="" tooltip="" display=""/>
    <hyperlink ref="L5172" r:id="rId10339" location="" tooltip="" display=""/>
    <hyperlink ref="R5172" r:id="rId10340" location="" tooltip="" display=""/>
    <hyperlink ref="L5173" r:id="rId10341" location="" tooltip="" display=""/>
    <hyperlink ref="R5173" r:id="rId10342" location="" tooltip="" display=""/>
    <hyperlink ref="L5175" r:id="rId10343" location="" tooltip="" display=""/>
    <hyperlink ref="R5175" r:id="rId10344" location="" tooltip="" display=""/>
    <hyperlink ref="L5176" r:id="rId10345" location="" tooltip="" display=""/>
    <hyperlink ref="R5176" r:id="rId10346" location="" tooltip="" display=""/>
    <hyperlink ref="L5177" r:id="rId10347" location="" tooltip="" display=""/>
    <hyperlink ref="R5177" r:id="rId10348" location="" tooltip="" display=""/>
    <hyperlink ref="L5178" r:id="rId10349" location="" tooltip="" display=""/>
    <hyperlink ref="R5178" r:id="rId10350" location="" tooltip="" display=""/>
    <hyperlink ref="L5179" r:id="rId10351" location="" tooltip="" display=""/>
    <hyperlink ref="R5179" r:id="rId10352" location="" tooltip="" display=""/>
    <hyperlink ref="K5180" r:id="rId10353" location="" tooltip="" display=""/>
    <hyperlink ref="L5180" r:id="rId10354" location="" tooltip="" display=""/>
    <hyperlink ref="Q5180" r:id="rId10355" location="" tooltip="" display=""/>
    <hyperlink ref="R5180" r:id="rId10356" location="" tooltip="" display=""/>
    <hyperlink ref="L5181" r:id="rId10357" location="" tooltip="" display=""/>
    <hyperlink ref="R5181" r:id="rId10358" location="" tooltip="" display=""/>
    <hyperlink ref="L5182" r:id="rId10359" location="" tooltip="" display=""/>
    <hyperlink ref="R5182" r:id="rId10360" location="" tooltip="" display=""/>
    <hyperlink ref="L5183" r:id="rId10361" location="" tooltip="" display=""/>
    <hyperlink ref="R5183" r:id="rId10362" location="" tooltip="" display=""/>
    <hyperlink ref="L5184" r:id="rId10363" location="" tooltip="" display=""/>
    <hyperlink ref="R5184" r:id="rId10364" location="" tooltip="" display=""/>
    <hyperlink ref="L5185" r:id="rId10365" location="" tooltip="" display=""/>
    <hyperlink ref="R5185" r:id="rId10366" location="" tooltip="" display=""/>
    <hyperlink ref="L5187" r:id="rId10367" location="" tooltip="" display=""/>
    <hyperlink ref="R5187" r:id="rId10368" location="" tooltip="" display=""/>
    <hyperlink ref="L5188" r:id="rId10369" location="" tooltip="" display=""/>
    <hyperlink ref="R5188" r:id="rId10370" location="" tooltip="" display=""/>
    <hyperlink ref="K5189" r:id="rId10371" location="" tooltip="" display=""/>
    <hyperlink ref="L5189" r:id="rId10372" location="" tooltip="" display=""/>
    <hyperlink ref="Q5189" r:id="rId10373" location="" tooltip="" display=""/>
    <hyperlink ref="R5189" r:id="rId10374" location="" tooltip="" display=""/>
    <hyperlink ref="L5190" r:id="rId10375" location="" tooltip="" display=""/>
    <hyperlink ref="R5190" r:id="rId10376" location="" tooltip="" display=""/>
    <hyperlink ref="L5191" r:id="rId10377" location="" tooltip="" display=""/>
    <hyperlink ref="R5191" r:id="rId10378" location="" tooltip="" display=""/>
    <hyperlink ref="K5193" r:id="rId10379" location="" tooltip="" display=""/>
    <hyperlink ref="L5193" r:id="rId10380" location="" tooltip="" display=""/>
    <hyperlink ref="Q5193" r:id="rId10381" location="" tooltip="" display=""/>
    <hyperlink ref="R5193" r:id="rId10382" location="" tooltip="" display=""/>
    <hyperlink ref="L5194" r:id="rId10383" location="" tooltip="" display=""/>
    <hyperlink ref="R5194" r:id="rId10384" location="" tooltip="" display=""/>
    <hyperlink ref="K5196" r:id="rId10385" location="" tooltip="" display=""/>
    <hyperlink ref="L5196" r:id="rId10386" location="" tooltip="" display=""/>
    <hyperlink ref="Q5196" r:id="rId10387" location="" tooltip="" display=""/>
    <hyperlink ref="R5196" r:id="rId10388" location="" tooltip="" display=""/>
    <hyperlink ref="L5197" r:id="rId10389" location="" tooltip="" display=""/>
    <hyperlink ref="R5197" r:id="rId10390" location="" tooltip="" display=""/>
    <hyperlink ref="K5199" r:id="rId10391" location="" tooltip="" display=""/>
    <hyperlink ref="L5199" r:id="rId10392" location="" tooltip="" display=""/>
    <hyperlink ref="Q5199" r:id="rId10393" location="" tooltip="" display=""/>
    <hyperlink ref="R5199" r:id="rId10394" location="" tooltip="" display=""/>
    <hyperlink ref="L5200" r:id="rId10395" location="" tooltip="" display=""/>
    <hyperlink ref="R5200" r:id="rId10396" location="" tooltip="" display=""/>
    <hyperlink ref="K5202" r:id="rId10397" location="" tooltip="" display=""/>
    <hyperlink ref="L5202" r:id="rId10398" location="" tooltip="" display=""/>
    <hyperlink ref="Q5202" r:id="rId10399" location="" tooltip="" display=""/>
    <hyperlink ref="R5202" r:id="rId10400" location="" tooltip="" display=""/>
    <hyperlink ref="L5204" r:id="rId10401" location="" tooltip="" display=""/>
    <hyperlink ref="R5204" r:id="rId10402" location="" tooltip="" display=""/>
    <hyperlink ref="L5205" r:id="rId10403" location="" tooltip="" display=""/>
    <hyperlink ref="R5205" r:id="rId10404" location="" tooltip="" display=""/>
    <hyperlink ref="K5206" r:id="rId10405" location="" tooltip="" display=""/>
    <hyperlink ref="L5206" r:id="rId10406" location="" tooltip="" display=""/>
    <hyperlink ref="Q5206" r:id="rId10407" location="" tooltip="" display=""/>
    <hyperlink ref="R5206" r:id="rId10408" location="" tooltip="" display=""/>
    <hyperlink ref="L5207" r:id="rId10409" location="" tooltip="" display=""/>
    <hyperlink ref="R5207" r:id="rId10410" location="" tooltip="" display=""/>
    <hyperlink ref="L5208" r:id="rId10411" location="" tooltip="" display=""/>
    <hyperlink ref="R5208" r:id="rId10412" location="" tooltip="" display=""/>
    <hyperlink ref="L5209" r:id="rId10413" location="" tooltip="" display=""/>
    <hyperlink ref="R5209" r:id="rId10414" location="" tooltip="" display=""/>
    <hyperlink ref="L5211" r:id="rId10415" location="" tooltip="" display=""/>
    <hyperlink ref="R5211" r:id="rId10416" location="" tooltip="" display=""/>
    <hyperlink ref="K5212" r:id="rId10417" location="" tooltip="" display=""/>
    <hyperlink ref="L5212" r:id="rId10418" location="" tooltip="" display=""/>
    <hyperlink ref="Q5212" r:id="rId10419" location="" tooltip="" display=""/>
    <hyperlink ref="R5212" r:id="rId10420" location="" tooltip="" display=""/>
    <hyperlink ref="L5213" r:id="rId10421" location="" tooltip="" display=""/>
    <hyperlink ref="R5213" r:id="rId10422" location="" tooltip="" display=""/>
    <hyperlink ref="L5214" r:id="rId10423" location="" tooltip="" display=""/>
    <hyperlink ref="R5214" r:id="rId10424" location="" tooltip="" display=""/>
    <hyperlink ref="L5216" r:id="rId10425" location="" tooltip="" display=""/>
    <hyperlink ref="R5216" r:id="rId10426" location="" tooltip="" display=""/>
    <hyperlink ref="K5217" r:id="rId10427" location="" tooltip="" display=""/>
    <hyperlink ref="L5217" r:id="rId10428" location="" tooltip="" display=""/>
    <hyperlink ref="Q5217" r:id="rId10429" location="" tooltip="" display=""/>
    <hyperlink ref="R5217" r:id="rId10430" location="" tooltip="" display=""/>
    <hyperlink ref="L5218" r:id="rId10431" location="" tooltip="" display=""/>
    <hyperlink ref="R5218" r:id="rId10432" location="" tooltip="" display=""/>
    <hyperlink ref="L5219" r:id="rId10433" location="" tooltip="" display=""/>
    <hyperlink ref="R5219" r:id="rId10434" location="" tooltip="" display=""/>
    <hyperlink ref="L5221" r:id="rId10435" location="" tooltip="" display=""/>
    <hyperlink ref="R5221" r:id="rId10436" location="" tooltip="" display=""/>
    <hyperlink ref="K5222" r:id="rId10437" location="" tooltip="" display=""/>
    <hyperlink ref="L5222" r:id="rId10438" location="" tooltip="" display=""/>
    <hyperlink ref="Q5222" r:id="rId10439" location="" tooltip="" display=""/>
    <hyperlink ref="R5222" r:id="rId10440" location="" tooltip="" display=""/>
    <hyperlink ref="L5223" r:id="rId10441" location="" tooltip="" display=""/>
    <hyperlink ref="R5223" r:id="rId10442" location="" tooltip="" display=""/>
    <hyperlink ref="L5224" r:id="rId10443" location="" tooltip="" display=""/>
    <hyperlink ref="R5224" r:id="rId10444" location="" tooltip="" display=""/>
    <hyperlink ref="L5226" r:id="rId10445" location="" tooltip="" display=""/>
    <hyperlink ref="R5226" r:id="rId10446" location="" tooltip="" display=""/>
    <hyperlink ref="L5227" r:id="rId10447" location="" tooltip="" display=""/>
    <hyperlink ref="R5227" r:id="rId10448" location="" tooltip="" display=""/>
    <hyperlink ref="K5228" r:id="rId10449" location="" tooltip="" display=""/>
    <hyperlink ref="L5228" r:id="rId10450" location="" tooltip="" display=""/>
    <hyperlink ref="Q5228" r:id="rId10451" location="" tooltip="" display=""/>
    <hyperlink ref="R5228" r:id="rId10452" location="" tooltip="" display=""/>
    <hyperlink ref="L5229" r:id="rId10453" location="" tooltip="" display=""/>
    <hyperlink ref="R5229" r:id="rId10454" location="" tooltip="" display=""/>
    <hyperlink ref="L5230" r:id="rId10455" location="" tooltip="" display=""/>
    <hyperlink ref="R5230" r:id="rId10456" location="" tooltip="" display=""/>
    <hyperlink ref="L5231" r:id="rId10457" location="" tooltip="" display=""/>
    <hyperlink ref="R5231" r:id="rId10458" location="" tooltip="" display=""/>
    <hyperlink ref="K5233" r:id="rId10459" location="" tooltip="" display=""/>
    <hyperlink ref="L5233" r:id="rId10460" location="" tooltip="" display=""/>
    <hyperlink ref="Q5233" r:id="rId10461" location="" tooltip="" display=""/>
    <hyperlink ref="R5233" r:id="rId10462" location="" tooltip="" display=""/>
    <hyperlink ref="K5235" r:id="rId10463" location="" tooltip="" display=""/>
    <hyperlink ref="L5235" r:id="rId10464" location="" tooltip="" display=""/>
    <hyperlink ref="Q5235" r:id="rId10465" location="" tooltip="" display=""/>
    <hyperlink ref="R5235" r:id="rId10466" location="" tooltip="" display=""/>
    <hyperlink ref="K5237" r:id="rId10467" location="" tooltip="" display=""/>
    <hyperlink ref="L5237" r:id="rId10468" location="" tooltip="" display=""/>
    <hyperlink ref="Q5237" r:id="rId10469" location="" tooltip="" display=""/>
    <hyperlink ref="R5237" r:id="rId10470" location="" tooltip="" display=""/>
    <hyperlink ref="K5239" r:id="rId10471" location="" tooltip="" display=""/>
    <hyperlink ref="L5239" r:id="rId10472" location="" tooltip="" display=""/>
    <hyperlink ref="Q5239" r:id="rId10473" location="" tooltip="" display=""/>
    <hyperlink ref="R5239" r:id="rId10474" location="" tooltip="" display=""/>
    <hyperlink ref="L5240" r:id="rId10475" location="" tooltip="" display=""/>
    <hyperlink ref="R5240" r:id="rId10476" location="" tooltip="" display=""/>
    <hyperlink ref="L5242" r:id="rId10477" location="" tooltip="" display=""/>
    <hyperlink ref="R5242" r:id="rId10478" location="" tooltip="" display=""/>
    <hyperlink ref="K5243" r:id="rId10479" location="" tooltip="" display=""/>
    <hyperlink ref="L5243" r:id="rId10480" location="" tooltip="" display=""/>
    <hyperlink ref="Q5243" r:id="rId10481" location="" tooltip="" display=""/>
    <hyperlink ref="R5243" r:id="rId10482" location="" tooltip="" display=""/>
    <hyperlink ref="L5244" r:id="rId10483" location="" tooltip="" display=""/>
    <hyperlink ref="R5244" r:id="rId10484" location="" tooltip="" display=""/>
    <hyperlink ref="L5245" r:id="rId10485" location="" tooltip="" display=""/>
    <hyperlink ref="R5245" r:id="rId10486" location="" tooltip="" display=""/>
    <hyperlink ref="L5247" r:id="rId10487" location="" tooltip="" display=""/>
    <hyperlink ref="R5247" r:id="rId10488" location="" tooltip="" display=""/>
    <hyperlink ref="L5248" r:id="rId10489" location="" tooltip="" display=""/>
    <hyperlink ref="R5248" r:id="rId10490" location="" tooltip="" display=""/>
    <hyperlink ref="L5249" r:id="rId10491" location="" tooltip="" display=""/>
    <hyperlink ref="R5249" r:id="rId10492" location="" tooltip="" display=""/>
    <hyperlink ref="K5250" r:id="rId10493" location="" tooltip="" display=""/>
    <hyperlink ref="L5250" r:id="rId10494" location="" tooltip="" display=""/>
    <hyperlink ref="Q5250" r:id="rId10495" location="" tooltip="" display=""/>
    <hyperlink ref="R5250" r:id="rId10496" location="" tooltip="" display=""/>
    <hyperlink ref="L5251" r:id="rId10497" location="" tooltip="" display=""/>
    <hyperlink ref="R5251" r:id="rId10498" location="" tooltip="" display=""/>
    <hyperlink ref="L5252" r:id="rId10499" location="" tooltip="" display=""/>
    <hyperlink ref="R5252" r:id="rId10500" location="" tooltip="" display=""/>
    <hyperlink ref="L5253" r:id="rId10501" location="" tooltip="" display=""/>
    <hyperlink ref="R5253" r:id="rId10502" location="" tooltip="" display=""/>
    <hyperlink ref="L5254" r:id="rId10503" location="" tooltip="" display=""/>
    <hyperlink ref="R5254" r:id="rId10504" location="" tooltip="" display=""/>
    <hyperlink ref="K5256" r:id="rId10505" location="" tooltip="" display=""/>
    <hyperlink ref="L5256" r:id="rId10506" location="" tooltip="" display=""/>
    <hyperlink ref="Q5256" r:id="rId10507" location="" tooltip="" display=""/>
    <hyperlink ref="R5256" r:id="rId10508" location="" tooltip="" display=""/>
    <hyperlink ref="L5258" r:id="rId10509" location="" tooltip="" display=""/>
    <hyperlink ref="R5258" r:id="rId10510" location="" tooltip="" display=""/>
    <hyperlink ref="K5259" r:id="rId10511" location="" tooltip="" display=""/>
    <hyperlink ref="L5259" r:id="rId10512" location="" tooltip="" display=""/>
    <hyperlink ref="Q5259" r:id="rId10513" location="" tooltip="" display=""/>
    <hyperlink ref="R5259" r:id="rId10514" location="" tooltip="" display=""/>
    <hyperlink ref="L5260" r:id="rId10515" location="" tooltip="" display=""/>
    <hyperlink ref="R5260" r:id="rId10516" location="" tooltip="" display=""/>
    <hyperlink ref="L5262" r:id="rId10517" location="" tooltip="" display=""/>
    <hyperlink ref="R5262" r:id="rId10518" location="" tooltip="" display=""/>
    <hyperlink ref="K5263" r:id="rId10519" location="" tooltip="" display=""/>
    <hyperlink ref="L5263" r:id="rId10520" location="" tooltip="" display=""/>
    <hyperlink ref="Q5263" r:id="rId10521" location="" tooltip="" display=""/>
    <hyperlink ref="R5263" r:id="rId10522" location="" tooltip="" display=""/>
    <hyperlink ref="L5264" r:id="rId10523" location="" tooltip="" display=""/>
    <hyperlink ref="R5264" r:id="rId10524" location="" tooltip="" display=""/>
    <hyperlink ref="L5266" r:id="rId10525" location="" tooltip="" display=""/>
    <hyperlink ref="R5266" r:id="rId10526" location="" tooltip="" display=""/>
    <hyperlink ref="K5267" r:id="rId10527" location="" tooltip="" display=""/>
    <hyperlink ref="L5267" r:id="rId10528" location="" tooltip="" display=""/>
    <hyperlink ref="Q5267" r:id="rId10529" location="" tooltip="" display=""/>
    <hyperlink ref="R5267" r:id="rId10530" location="" tooltip="" display=""/>
    <hyperlink ref="L5268" r:id="rId10531" location="" tooltip="" display=""/>
    <hyperlink ref="R5268" r:id="rId10532" location="" tooltip="" display=""/>
    <hyperlink ref="K5270" r:id="rId10533" location="" tooltip="" display=""/>
    <hyperlink ref="L5270" r:id="rId10534" location="" tooltip="" display=""/>
    <hyperlink ref="Q5270" r:id="rId10535" location="" tooltip="" display=""/>
    <hyperlink ref="R5270" r:id="rId10536" location="" tooltip="" display=""/>
    <hyperlink ref="L5271" r:id="rId10537" location="" tooltip="" display=""/>
    <hyperlink ref="R5271" r:id="rId10538" location="" tooltip="" display=""/>
    <hyperlink ref="K5273" r:id="rId10539" location="" tooltip="" display=""/>
    <hyperlink ref="L5273" r:id="rId10540" location="" tooltip="" display=""/>
    <hyperlink ref="Q5273" r:id="rId10541" location="" tooltip="" display=""/>
    <hyperlink ref="R5273" r:id="rId10542" location="" tooltip="" display=""/>
    <hyperlink ref="L5274" r:id="rId10543" location="" tooltip="" display=""/>
    <hyperlink ref="R5274" r:id="rId10544" location="" tooltip="" display=""/>
    <hyperlink ref="L5276" r:id="rId10545" location="" tooltip="" display=""/>
    <hyperlink ref="R5276" r:id="rId10546" location="" tooltip="" display=""/>
    <hyperlink ref="L5277" r:id="rId10547" location="" tooltip="" display=""/>
    <hyperlink ref="R5277" r:id="rId10548" location="" tooltip="" display=""/>
    <hyperlink ref="L5278" r:id="rId10549" location="" tooltip="" display=""/>
    <hyperlink ref="R5278" r:id="rId10550" location="" tooltip="" display=""/>
    <hyperlink ref="K5279" r:id="rId10551" location="" tooltip="" display=""/>
    <hyperlink ref="L5279" r:id="rId10552" location="" tooltip="" display=""/>
    <hyperlink ref="Q5279" r:id="rId10553" location="" tooltip="" display=""/>
    <hyperlink ref="R5279" r:id="rId10554" location="" tooltip="" display=""/>
    <hyperlink ref="L5280" r:id="rId10555" location="" tooltip="" display=""/>
    <hyperlink ref="R5280" r:id="rId10556" location="" tooltip="" display=""/>
    <hyperlink ref="L5281" r:id="rId10557" location="" tooltip="" display=""/>
    <hyperlink ref="R5281" r:id="rId10558" location="" tooltip="" display=""/>
    <hyperlink ref="L5282" r:id="rId10559" location="" tooltip="" display=""/>
    <hyperlink ref="R5282" r:id="rId10560" location="" tooltip="" display=""/>
    <hyperlink ref="L5283" r:id="rId10561" location="" tooltip="" display=""/>
    <hyperlink ref="R5283" r:id="rId10562" location="" tooltip="" display=""/>
    <hyperlink ref="K5285" r:id="rId10563" location="" tooltip="" display=""/>
    <hyperlink ref="L5285" r:id="rId10564" location="" tooltip="" display=""/>
    <hyperlink ref="Q5285" r:id="rId10565" location="" tooltip="" display=""/>
    <hyperlink ref="R5285" r:id="rId10566" location="" tooltip="" display=""/>
    <hyperlink ref="L5286" r:id="rId10567" location="" tooltip="" display=""/>
    <hyperlink ref="R5286" r:id="rId10568" location="" tooltip="" display=""/>
    <hyperlink ref="K5288" r:id="rId10569" location="" tooltip="" display=""/>
    <hyperlink ref="L5288" r:id="rId10570" location="" tooltip="" display=""/>
    <hyperlink ref="Q5288" r:id="rId10571" location="" tooltip="" display=""/>
    <hyperlink ref="R5288" r:id="rId10572" location="" tooltip="" display=""/>
    <hyperlink ref="K5290" r:id="rId10573" location="" tooltip="" display=""/>
    <hyperlink ref="L5290" r:id="rId10574" location="" tooltip="" display=""/>
    <hyperlink ref="Q5290" r:id="rId10575" location="" tooltip="" display=""/>
    <hyperlink ref="R5290" r:id="rId10576" location="" tooltip="" display=""/>
    <hyperlink ref="L5291" r:id="rId10577" location="" tooltip="" display=""/>
    <hyperlink ref="R5291" r:id="rId10578" location="" tooltip="" display=""/>
    <hyperlink ref="K5293" r:id="rId10579" location="" tooltip="" display=""/>
    <hyperlink ref="L5293" r:id="rId10580" location="" tooltip="" display=""/>
    <hyperlink ref="Q5293" r:id="rId10581" location="" tooltip="" display=""/>
    <hyperlink ref="R5293" r:id="rId10582" location="" tooltip="" display=""/>
    <hyperlink ref="L5294" r:id="rId10583" location="" tooltip="" display=""/>
    <hyperlink ref="R5294" r:id="rId10584" location="" tooltip="" display=""/>
    <hyperlink ref="L5296" r:id="rId10585" location="" tooltip="" display=""/>
    <hyperlink ref="R5296" r:id="rId10586" location="" tooltip="" display=""/>
    <hyperlink ref="K5297" r:id="rId10587" location="" tooltip="" display=""/>
    <hyperlink ref="L5297" r:id="rId10588" location="" tooltip="" display=""/>
    <hyperlink ref="Q5297" r:id="rId10589" location="" tooltip="" display=""/>
    <hyperlink ref="R5297" r:id="rId10590" location="" tooltip="" display=""/>
    <hyperlink ref="L5298" r:id="rId10591" location="" tooltip="" display=""/>
    <hyperlink ref="R5298" r:id="rId10592" location="" tooltip="" display=""/>
    <hyperlink ref="L5299" r:id="rId10593" location="" tooltip="" display=""/>
    <hyperlink ref="R5299" r:id="rId10594" location="" tooltip="" display=""/>
    <hyperlink ref="K5301" r:id="rId10595" location="" tooltip="" display=""/>
    <hyperlink ref="L5301" r:id="rId10596" location="" tooltip="" display=""/>
    <hyperlink ref="Q5301" r:id="rId10597" location="" tooltip="" display=""/>
    <hyperlink ref="R5301" r:id="rId10598" location="" tooltip="" display=""/>
    <hyperlink ref="L5302" r:id="rId10599" location="" tooltip="" display=""/>
    <hyperlink ref="R5302" r:id="rId10600" location="" tooltip="" display=""/>
    <hyperlink ref="L5304" r:id="rId10601" location="" tooltip="" display=""/>
    <hyperlink ref="R5304" r:id="rId10602" location="" tooltip="" display=""/>
    <hyperlink ref="L5305" r:id="rId10603" location="" tooltip="" display=""/>
    <hyperlink ref="R5305" r:id="rId10604" location="" tooltip="" display=""/>
    <hyperlink ref="K5306" r:id="rId10605" location="" tooltip="" display=""/>
    <hyperlink ref="L5306" r:id="rId10606" location="" tooltip="" display=""/>
    <hyperlink ref="Q5306" r:id="rId10607" location="" tooltip="" display=""/>
    <hyperlink ref="R5306" r:id="rId10608" location="" tooltip="" display=""/>
    <hyperlink ref="L5307" r:id="rId10609" location="" tooltip="" display=""/>
    <hyperlink ref="R5307" r:id="rId10610" location="" tooltip="" display=""/>
    <hyperlink ref="L5308" r:id="rId10611" location="" tooltip="" display=""/>
    <hyperlink ref="R5308" r:id="rId10612" location="" tooltip="" display=""/>
    <hyperlink ref="L5309" r:id="rId10613" location="" tooltip="" display=""/>
    <hyperlink ref="R5309" r:id="rId10614" location="" tooltip="" display=""/>
    <hyperlink ref="L5311" r:id="rId10615" location="" tooltip="" display=""/>
    <hyperlink ref="R5311" r:id="rId10616" location="" tooltip="" display=""/>
    <hyperlink ref="K5312" r:id="rId10617" location="" tooltip="" display=""/>
    <hyperlink ref="L5312" r:id="rId10618" location="" tooltip="" display=""/>
    <hyperlink ref="Q5312" r:id="rId10619" location="" tooltip="" display=""/>
    <hyperlink ref="R5312" r:id="rId10620" location="" tooltip="" display=""/>
    <hyperlink ref="L5313" r:id="rId10621" location="" tooltip="" display=""/>
    <hyperlink ref="R5313" r:id="rId10622" location="" tooltip="" display=""/>
    <hyperlink ref="L5315" r:id="rId10623" location="" tooltip="" display=""/>
    <hyperlink ref="R5315" r:id="rId10624" location="" tooltip="" display=""/>
    <hyperlink ref="L5316" r:id="rId10625" location="" tooltip="" display=""/>
    <hyperlink ref="R5316" r:id="rId10626" location="" tooltip="" display=""/>
    <hyperlink ref="K5317" r:id="rId10627" location="" tooltip="" display=""/>
    <hyperlink ref="L5317" r:id="rId10628" location="" tooltip="" display=""/>
    <hyperlink ref="Q5317" r:id="rId10629" location="" tooltip="" display=""/>
    <hyperlink ref="R5317" r:id="rId10630" location="" tooltip="" display=""/>
    <hyperlink ref="L5318" r:id="rId10631" location="" tooltip="" display=""/>
    <hyperlink ref="R5318" r:id="rId10632" location="" tooltip="" display=""/>
    <hyperlink ref="L5319" r:id="rId10633" location="" tooltip="" display=""/>
    <hyperlink ref="R5319" r:id="rId10634" location="" tooltip="" display=""/>
    <hyperlink ref="L5320" r:id="rId10635" location="" tooltip="" display=""/>
    <hyperlink ref="R5320" r:id="rId10636" location="" tooltip="" display=""/>
    <hyperlink ref="K5322" r:id="rId10637" location="" tooltip="" display=""/>
    <hyperlink ref="L5322" r:id="rId10638" location="" tooltip="" display=""/>
    <hyperlink ref="Q5322" r:id="rId10639" location="" tooltip="" display=""/>
    <hyperlink ref="R5322" r:id="rId10640" location="" tooltip="" display=""/>
    <hyperlink ref="L5323" r:id="rId10641" location="" tooltip="" display=""/>
    <hyperlink ref="R5323" r:id="rId10642" location="" tooltip="" display=""/>
    <hyperlink ref="K5325" r:id="rId10643" location="" tooltip="" display=""/>
    <hyperlink ref="L5325" r:id="rId10644" location="" tooltip="" display=""/>
    <hyperlink ref="Q5325" r:id="rId10645" location="" tooltip="" display=""/>
    <hyperlink ref="R5325" r:id="rId10646" location="" tooltip="" display=""/>
    <hyperlink ref="L5326" r:id="rId10647" location="" tooltip="" display=""/>
    <hyperlink ref="R5326" r:id="rId10648" location="" tooltip="" display=""/>
    <hyperlink ref="L5328" r:id="rId10649" location="" tooltip="" display=""/>
    <hyperlink ref="R5328" r:id="rId10650" location="" tooltip="" display=""/>
    <hyperlink ref="L5329" r:id="rId10651" location="" tooltip="" display=""/>
    <hyperlink ref="R5329" r:id="rId10652" location="" tooltip="" display=""/>
    <hyperlink ref="L5330" r:id="rId10653" location="" tooltip="" display=""/>
    <hyperlink ref="R5330" r:id="rId10654" location="" tooltip="" display=""/>
    <hyperlink ref="K5331" r:id="rId10655" location="" tooltip="" display=""/>
    <hyperlink ref="L5331" r:id="rId10656" location="" tooltip="" display=""/>
    <hyperlink ref="Q5331" r:id="rId10657" location="" tooltip="" display=""/>
    <hyperlink ref="R5331" r:id="rId10658" location="" tooltip="" display=""/>
    <hyperlink ref="L5332" r:id="rId10659" location="" tooltip="" display=""/>
    <hyperlink ref="R5332" r:id="rId10660" location="" tooltip="" display=""/>
    <hyperlink ref="L5333" r:id="rId10661" location="" tooltip="" display=""/>
    <hyperlink ref="R5333" r:id="rId10662" location="" tooltip="" display=""/>
    <hyperlink ref="L5334" r:id="rId10663" location="" tooltip="" display=""/>
    <hyperlink ref="R5334" r:id="rId10664" location="" tooltip="" display=""/>
    <hyperlink ref="L5336" r:id="rId10665" location="" tooltip="" display=""/>
    <hyperlink ref="R5336" r:id="rId10666" location="" tooltip="" display=""/>
    <hyperlink ref="K5337" r:id="rId10667" location="" tooltip="" display=""/>
    <hyperlink ref="L5337" r:id="rId10668" location="" tooltip="" display=""/>
    <hyperlink ref="Q5337" r:id="rId10669" location="" tooltip="" display=""/>
    <hyperlink ref="R5337" r:id="rId10670" location="" tooltip="" display=""/>
    <hyperlink ref="L5338" r:id="rId10671" location="" tooltip="" display=""/>
    <hyperlink ref="R5338" r:id="rId10672" location="" tooltip="" display=""/>
    <hyperlink ref="L5339" r:id="rId10673" location="" tooltip="" display=""/>
    <hyperlink ref="R5339" r:id="rId10674" location="" tooltip="" display=""/>
    <hyperlink ref="L5341" r:id="rId10675" location="" tooltip="" display=""/>
    <hyperlink ref="R5341" r:id="rId10676" location="" tooltip="" display=""/>
    <hyperlink ref="K5342" r:id="rId10677" location="" tooltip="" display=""/>
    <hyperlink ref="L5342" r:id="rId10678" location="" tooltip="" display=""/>
    <hyperlink ref="Q5342" r:id="rId10679" location="" tooltip="" display=""/>
    <hyperlink ref="R5342" r:id="rId10680" location="" tooltip="" display=""/>
    <hyperlink ref="L5343" r:id="rId10681" location="" tooltip="" display=""/>
    <hyperlink ref="R5343" r:id="rId10682" location="" tooltip="" display=""/>
    <hyperlink ref="K5345" r:id="rId10683" location="" tooltip="" display=""/>
    <hyperlink ref="L5345" r:id="rId10684" location="" tooltip="" display=""/>
    <hyperlink ref="Q5345" r:id="rId10685" location="" tooltip="" display=""/>
    <hyperlink ref="R5345" r:id="rId10686" location="" tooltip="" display=""/>
    <hyperlink ref="L5346" r:id="rId10687" location="" tooltip="" display=""/>
    <hyperlink ref="R5346" r:id="rId10688" location="" tooltip="" display=""/>
    <hyperlink ref="L5348" r:id="rId10689" location="" tooltip="" display=""/>
    <hyperlink ref="R5348" r:id="rId10690" location="" tooltip="" display=""/>
    <hyperlink ref="K5349" r:id="rId10691" location="" tooltip="" display=""/>
    <hyperlink ref="L5349" r:id="rId10692" location="" tooltip="" display=""/>
    <hyperlink ref="Q5349" r:id="rId10693" location="" tooltip="" display=""/>
    <hyperlink ref="R5349" r:id="rId10694" location="" tooltip="" display=""/>
    <hyperlink ref="L5350" r:id="rId10695" location="" tooltip="" display=""/>
    <hyperlink ref="R5350" r:id="rId10696" location="" tooltip="" display=""/>
    <hyperlink ref="K5352" r:id="rId10697" location="" tooltip="" display=""/>
    <hyperlink ref="L5352" r:id="rId10698" location="" tooltip="" display=""/>
    <hyperlink ref="Q5352" r:id="rId10699" location="" tooltip="" display=""/>
    <hyperlink ref="R5352" r:id="rId10700" location="" tooltip="" display=""/>
    <hyperlink ref="L5353" r:id="rId10701" location="" tooltip="" display=""/>
    <hyperlink ref="R5353" r:id="rId10702" location="" tooltip="" display=""/>
    <hyperlink ref="K5355" r:id="rId10703" location="" tooltip="" display=""/>
    <hyperlink ref="L5355" r:id="rId10704" location="" tooltip="" display=""/>
    <hyperlink ref="Q5355" r:id="rId10705" location="" tooltip="" display=""/>
    <hyperlink ref="R5355" r:id="rId10706" location="" tooltip="" display=""/>
    <hyperlink ref="K5357" r:id="rId10707" location="" tooltip="" display=""/>
    <hyperlink ref="L5357" r:id="rId10708" location="" tooltip="" display=""/>
    <hyperlink ref="Q5357" r:id="rId10709" location="" tooltip="" display=""/>
    <hyperlink ref="R5357" r:id="rId10710" location="" tooltip="" display=""/>
    <hyperlink ref="K5359" r:id="rId10711" location="" tooltip="" display=""/>
    <hyperlink ref="L5359" r:id="rId10712" location="" tooltip="" display=""/>
    <hyperlink ref="Q5359" r:id="rId10713" location="" tooltip="" display=""/>
    <hyperlink ref="R5359" r:id="rId10714" location="" tooltip="" display=""/>
    <hyperlink ref="L5360" r:id="rId10715" location="" tooltip="" display=""/>
    <hyperlink ref="R5360" r:id="rId10716" location="" tooltip="" display=""/>
    <hyperlink ref="K5362" r:id="rId10717" location="" tooltip="" display=""/>
    <hyperlink ref="L5362" r:id="rId10718" location="" tooltip="" display=""/>
    <hyperlink ref="Q5362" r:id="rId10719" location="" tooltip="" display=""/>
    <hyperlink ref="R5362" r:id="rId10720" location="" tooltip="" display=""/>
    <hyperlink ref="L5363" r:id="rId10721" location="" tooltip="" display=""/>
    <hyperlink ref="R5363" r:id="rId10722" location="" tooltip="" display=""/>
    <hyperlink ref="L5365" r:id="rId10723" location="" tooltip="" display=""/>
    <hyperlink ref="R5365" r:id="rId10724" location="" tooltip="" display=""/>
    <hyperlink ref="K5366" r:id="rId10725" location="" tooltip="" display=""/>
    <hyperlink ref="L5366" r:id="rId10726" location="" tooltip="" display=""/>
    <hyperlink ref="Q5366" r:id="rId10727" location="" tooltip="" display=""/>
    <hyperlink ref="R5366" r:id="rId10728" location="" tooltip="" display=""/>
    <hyperlink ref="L5367" r:id="rId10729" location="" tooltip="" display=""/>
    <hyperlink ref="R5367" r:id="rId10730" location="" tooltip="" display=""/>
    <hyperlink ref="K5369" r:id="rId10731" location="" tooltip="" display=""/>
    <hyperlink ref="L5369" r:id="rId10732" location="" tooltip="" display=""/>
    <hyperlink ref="Q5369" r:id="rId10733" location="" tooltip="" display=""/>
    <hyperlink ref="R5369" r:id="rId10734" location="" tooltip="" display=""/>
    <hyperlink ref="L5370" r:id="rId10735" location="" tooltip="" display=""/>
    <hyperlink ref="R5370" r:id="rId10736" location="" tooltip="" display=""/>
    <hyperlink ref="L5372" r:id="rId10737" location="" tooltip="" display=""/>
    <hyperlink ref="R5372" r:id="rId10738" location="" tooltip="" display=""/>
    <hyperlink ref="L5373" r:id="rId10739" location="" tooltip="" display=""/>
    <hyperlink ref="R5373" r:id="rId10740" location="" tooltip="" display=""/>
    <hyperlink ref="K5374" r:id="rId10741" location="" tooltip="" display=""/>
    <hyperlink ref="L5374" r:id="rId10742" location="" tooltip="" display=""/>
    <hyperlink ref="Q5374" r:id="rId10743" location="" tooltip="" display=""/>
    <hyperlink ref="R5374" r:id="rId10744" location="" tooltip="" display=""/>
    <hyperlink ref="L5375" r:id="rId10745" location="" tooltip="" display=""/>
    <hyperlink ref="R5375" r:id="rId10746" location="" tooltip="" display=""/>
    <hyperlink ref="L5376" r:id="rId10747" location="" tooltip="" display=""/>
    <hyperlink ref="R5376" r:id="rId10748" location="" tooltip="" display=""/>
    <hyperlink ref="L5378" r:id="rId10749" location="" tooltip="" display=""/>
    <hyperlink ref="R5378" r:id="rId10750" location="" tooltip="" display=""/>
    <hyperlink ref="K5379" r:id="rId10751" location="" tooltip="" display=""/>
    <hyperlink ref="L5379" r:id="rId10752" location="" tooltip="" display=""/>
    <hyperlink ref="Q5379" r:id="rId10753" location="" tooltip="" display=""/>
    <hyperlink ref="R5379" r:id="rId10754" location="" tooltip="" display=""/>
    <hyperlink ref="L5380" r:id="rId10755" location="" tooltip="" display=""/>
    <hyperlink ref="R5380" r:id="rId10756" location="" tooltip="" display=""/>
    <hyperlink ref="L5381" r:id="rId10757" location="" tooltip="" display=""/>
    <hyperlink ref="R5381" r:id="rId10758" location="" tooltip="" display=""/>
    <hyperlink ref="L5383" r:id="rId10759" location="" tooltip="" display=""/>
    <hyperlink ref="R5383" r:id="rId10760" location="" tooltip="" display=""/>
    <hyperlink ref="L5384" r:id="rId10761" location="" tooltip="" display=""/>
    <hyperlink ref="R5384" r:id="rId10762" location="" tooltip="" display=""/>
    <hyperlink ref="L5385" r:id="rId10763" location="" tooltip="" display=""/>
    <hyperlink ref="R5385" r:id="rId10764" location="" tooltip="" display=""/>
    <hyperlink ref="K5386" r:id="rId10765" location="" tooltip="" display=""/>
    <hyperlink ref="L5386" r:id="rId10766" location="" tooltip="" display=""/>
    <hyperlink ref="Q5386" r:id="rId10767" location="" tooltip="" display=""/>
    <hyperlink ref="R5386" r:id="rId10768" location="" tooltip="" display=""/>
    <hyperlink ref="L5387" r:id="rId10769" location="" tooltip="" display=""/>
    <hyperlink ref="R5387" r:id="rId10770" location="" tooltip="" display=""/>
    <hyperlink ref="L5388" r:id="rId10771" location="" tooltip="" display=""/>
    <hyperlink ref="R5388" r:id="rId10772" location="" tooltip="" display=""/>
    <hyperlink ref="L5389" r:id="rId10773" location="" tooltip="" display=""/>
    <hyperlink ref="R5389" r:id="rId10774" location="" tooltip="" display=""/>
    <hyperlink ref="L5390" r:id="rId10775" location="" tooltip="" display=""/>
    <hyperlink ref="R5390" r:id="rId10776" location="" tooltip="" display=""/>
    <hyperlink ref="K5392" r:id="rId10777" location="" tooltip="" display=""/>
    <hyperlink ref="L5392" r:id="rId10778" location="" tooltip="" display=""/>
    <hyperlink ref="Q5392" r:id="rId10779" location="" tooltip="" display=""/>
    <hyperlink ref="R5392" r:id="rId10780" location="" tooltip="" display=""/>
    <hyperlink ref="L5393" r:id="rId10781" location="" tooltip="" display=""/>
    <hyperlink ref="R5393" r:id="rId10782" location="" tooltip="" display=""/>
    <hyperlink ref="L5395" r:id="rId10783" location="" tooltip="" display=""/>
    <hyperlink ref="R5395" r:id="rId10784" location="" tooltip="" display=""/>
    <hyperlink ref="K5396" r:id="rId10785" location="" tooltip="" display=""/>
    <hyperlink ref="L5396" r:id="rId10786" location="" tooltip="" display=""/>
    <hyperlink ref="Q5396" r:id="rId10787" location="" tooltip="" display=""/>
    <hyperlink ref="R5396" r:id="rId10788" location="" tooltip="" display=""/>
    <hyperlink ref="L5397" r:id="rId10789" location="" tooltip="" display=""/>
    <hyperlink ref="R5397" r:id="rId10790" location="" tooltip="" display=""/>
    <hyperlink ref="K5399" r:id="rId10791" location="" tooltip="" display=""/>
    <hyperlink ref="L5399" r:id="rId10792" location="" tooltip="" display=""/>
    <hyperlink ref="Q5399" r:id="rId10793" location="" tooltip="" display=""/>
    <hyperlink ref="R5399" r:id="rId10794" location="" tooltip="" display=""/>
    <hyperlink ref="L5400" r:id="rId10795" location="" tooltip="" display=""/>
    <hyperlink ref="R5400" r:id="rId10796" location="" tooltip="" display=""/>
    <hyperlink ref="K5402" r:id="rId10797" location="" tooltip="" display=""/>
    <hyperlink ref="L5402" r:id="rId10798" location="" tooltip="" display=""/>
    <hyperlink ref="Q5402" r:id="rId10799" location="" tooltip="" display=""/>
    <hyperlink ref="R5402" r:id="rId10800" location="" tooltip="" display=""/>
    <hyperlink ref="L5404" r:id="rId10801" location="" tooltip="" display=""/>
    <hyperlink ref="R5404" r:id="rId10802" location="" tooltip="" display=""/>
    <hyperlink ref="L5405" r:id="rId10803" location="" tooltip="" display=""/>
    <hyperlink ref="R5405" r:id="rId10804" location="" tooltip="" display=""/>
    <hyperlink ref="L5406" r:id="rId10805" location="" tooltip="" display=""/>
    <hyperlink ref="R5406" r:id="rId10806" location="" tooltip="" display=""/>
    <hyperlink ref="K5407" r:id="rId10807" location="" tooltip="" display=""/>
    <hyperlink ref="L5407" r:id="rId10808" location="" tooltip="" display=""/>
    <hyperlink ref="Q5407" r:id="rId10809" location="" tooltip="" display=""/>
    <hyperlink ref="R5407" r:id="rId10810" location="" tooltip="" display=""/>
    <hyperlink ref="L5408" r:id="rId10811" location="" tooltip="" display=""/>
    <hyperlink ref="R5408" r:id="rId10812" location="" tooltip="" display=""/>
    <hyperlink ref="L5409" r:id="rId10813" location="" tooltip="" display=""/>
    <hyperlink ref="R5409" r:id="rId10814" location="" tooltip="" display=""/>
    <hyperlink ref="L5410" r:id="rId10815" location="" tooltip="" display=""/>
    <hyperlink ref="R5410" r:id="rId10816" location="" tooltip="" display=""/>
    <hyperlink ref="L5412" r:id="rId10817" location="" tooltip="" display=""/>
    <hyperlink ref="R5412" r:id="rId10818" location="" tooltip="" display=""/>
    <hyperlink ref="K5413" r:id="rId10819" location="" tooltip="" display=""/>
    <hyperlink ref="L5413" r:id="rId10820" location="" tooltip="" display=""/>
    <hyperlink ref="Q5413" r:id="rId10821" location="" tooltip="" display=""/>
    <hyperlink ref="R5413" r:id="rId10822" location="" tooltip="" display=""/>
    <hyperlink ref="L5414" r:id="rId10823" location="" tooltip="" display=""/>
    <hyperlink ref="R5414" r:id="rId10824" location="" tooltip="" display=""/>
    <hyperlink ref="K5416" r:id="rId10825" location="" tooltip="" display=""/>
    <hyperlink ref="L5416" r:id="rId10826" location="" tooltip="" display=""/>
    <hyperlink ref="Q5416" r:id="rId10827" location="" tooltip="" display=""/>
    <hyperlink ref="R5416" r:id="rId10828" location="" tooltip="" display=""/>
    <hyperlink ref="K5418" r:id="rId10829" location="" tooltip="" display=""/>
    <hyperlink ref="L5418" r:id="rId10830" location="" tooltip="" display=""/>
    <hyperlink ref="Q5418" r:id="rId10831" location="" tooltip="" display=""/>
    <hyperlink ref="R5418" r:id="rId10832" location="" tooltip="" display=""/>
    <hyperlink ref="L5419" r:id="rId10833" location="" tooltip="" display=""/>
    <hyperlink ref="R5419" r:id="rId10834" location="" tooltip="" display=""/>
    <hyperlink ref="K5421" r:id="rId10835" location="" tooltip="" display=""/>
    <hyperlink ref="L5421" r:id="rId10836" location="" tooltip="" display=""/>
    <hyperlink ref="Q5421" r:id="rId10837" location="" tooltip="" display=""/>
    <hyperlink ref="R5421" r:id="rId10838" location="" tooltip="" display=""/>
    <hyperlink ref="K5423" r:id="rId10839" location="" tooltip="" display=""/>
    <hyperlink ref="L5423" r:id="rId10840" location="" tooltip="" display=""/>
    <hyperlink ref="Q5423" r:id="rId10841" location="" tooltip="" display=""/>
    <hyperlink ref="R5423" r:id="rId10842" location="" tooltip="" display=""/>
    <hyperlink ref="K5425" r:id="rId10843" location="" tooltip="" display=""/>
    <hyperlink ref="L5425" r:id="rId10844" location="" tooltip="" display=""/>
    <hyperlink ref="Q5425" r:id="rId10845" location="" tooltip="" display=""/>
    <hyperlink ref="R5425" r:id="rId10846" location="" tooltip="" display=""/>
    <hyperlink ref="L5427" r:id="rId10847" location="" tooltip="" display=""/>
    <hyperlink ref="R5427" r:id="rId10848" location="" tooltip="" display=""/>
    <hyperlink ref="L5428" r:id="rId10849" location="" tooltip="" display=""/>
    <hyperlink ref="R5428" r:id="rId10850" location="" tooltip="" display=""/>
    <hyperlink ref="K5429" r:id="rId10851" location="" tooltip="" display=""/>
    <hyperlink ref="L5429" r:id="rId10852" location="" tooltip="" display=""/>
    <hyperlink ref="Q5429" r:id="rId10853" location="" tooltip="" display=""/>
    <hyperlink ref="R5429" r:id="rId10854" location="" tooltip="" display=""/>
    <hyperlink ref="L5430" r:id="rId10855" location="" tooltip="" display=""/>
    <hyperlink ref="R5430" r:id="rId10856" location="" tooltip="" display=""/>
    <hyperlink ref="L5431" r:id="rId10857" location="" tooltip="" display=""/>
    <hyperlink ref="R5431" r:id="rId10858" location="" tooltip="" display=""/>
    <hyperlink ref="L5433" r:id="rId10859" location="" tooltip="" display=""/>
    <hyperlink ref="R5433" r:id="rId10860" location="" tooltip="" display=""/>
    <hyperlink ref="K5434" r:id="rId10861" location="" tooltip="" display=""/>
    <hyperlink ref="L5434" r:id="rId10862" location="" tooltip="" display=""/>
    <hyperlink ref="Q5434" r:id="rId10863" location="" tooltip="" display=""/>
    <hyperlink ref="R5434" r:id="rId10864" location="" tooltip="" display=""/>
    <hyperlink ref="L5435" r:id="rId10865" location="" tooltip="" display=""/>
    <hyperlink ref="R5435" r:id="rId10866" location="" tooltip="" display=""/>
    <hyperlink ref="L5437" r:id="rId10867" location="" tooltip="" display=""/>
    <hyperlink ref="R5437" r:id="rId10868" location="" tooltip="" display=""/>
    <hyperlink ref="K5438" r:id="rId10869" location="" tooltip="" display=""/>
    <hyperlink ref="L5438" r:id="rId10870" location="" tooltip="" display=""/>
    <hyperlink ref="Q5438" r:id="rId10871" location="" tooltip="" display=""/>
    <hyperlink ref="R5438" r:id="rId10872" location="" tooltip="" display=""/>
    <hyperlink ref="L5439" r:id="rId10873" location="" tooltip="" display=""/>
    <hyperlink ref="R5439" r:id="rId10874" location="" tooltip="" display=""/>
    <hyperlink ref="K5441" r:id="rId10875" location="" tooltip="" display=""/>
    <hyperlink ref="L5441" r:id="rId10876" location="" tooltip="" display=""/>
    <hyperlink ref="Q5441" r:id="rId10877" location="" tooltip="" display=""/>
    <hyperlink ref="R5441" r:id="rId10878" location="" tooltip="" display=""/>
    <hyperlink ref="L5443" r:id="rId10879" location="" tooltip="" display=""/>
    <hyperlink ref="R5443" r:id="rId10880" location="" tooltip="" display=""/>
    <hyperlink ref="K5444" r:id="rId10881" location="" tooltip="" display=""/>
    <hyperlink ref="L5444" r:id="rId10882" location="" tooltip="" display=""/>
    <hyperlink ref="Q5444" r:id="rId10883" location="" tooltip="" display=""/>
    <hyperlink ref="R5444" r:id="rId10884" location="" tooltip="" display=""/>
    <hyperlink ref="L5445" r:id="rId10885" location="" tooltip="" display=""/>
    <hyperlink ref="R5445" r:id="rId10886" location="" tooltip="" display=""/>
    <hyperlink ref="L5446" r:id="rId10887" location="" tooltip="" display=""/>
    <hyperlink ref="R5446" r:id="rId10888" location="" tooltip="" display=""/>
    <hyperlink ref="L5448" r:id="rId10889" location="" tooltip="" display=""/>
    <hyperlink ref="R5448" r:id="rId10890" location="" tooltip="" display=""/>
    <hyperlink ref="K5449" r:id="rId10891" location="" tooltip="" display=""/>
    <hyperlink ref="L5449" r:id="rId10892" location="" tooltip="" display=""/>
    <hyperlink ref="Q5449" r:id="rId10893" location="" tooltip="" display=""/>
    <hyperlink ref="R5449" r:id="rId10894" location="" tooltip="" display=""/>
    <hyperlink ref="L5450" r:id="rId10895" location="" tooltip="" display=""/>
    <hyperlink ref="R5450" r:id="rId10896" location="" tooltip="" display=""/>
    <hyperlink ref="L5451" r:id="rId10897" location="" tooltip="" display=""/>
    <hyperlink ref="R5451" r:id="rId10898" location="" tooltip="" display=""/>
    <hyperlink ref="L5453" r:id="rId10899" location="" tooltip="" display=""/>
    <hyperlink ref="R5453" r:id="rId10900" location="" tooltip="" display=""/>
    <hyperlink ref="L5454" r:id="rId10901" location="" tooltip="" display=""/>
    <hyperlink ref="R5454" r:id="rId10902" location="" tooltip="" display=""/>
    <hyperlink ref="K5455" r:id="rId10903" location="" tooltip="" display=""/>
    <hyperlink ref="L5455" r:id="rId10904" location="" tooltip="" display=""/>
    <hyperlink ref="Q5455" r:id="rId10905" location="" tooltip="" display=""/>
    <hyperlink ref="R5455" r:id="rId10906" location="" tooltip="" display=""/>
    <hyperlink ref="L5456" r:id="rId10907" location="" tooltip="" display=""/>
    <hyperlink ref="R5456" r:id="rId10908" location="" tooltip="" display=""/>
    <hyperlink ref="L5457" r:id="rId10909" location="" tooltip="" display=""/>
    <hyperlink ref="R5457" r:id="rId10910" location="" tooltip="" display=""/>
    <hyperlink ref="L5458" r:id="rId10911" location="" tooltip="" display=""/>
    <hyperlink ref="R5458" r:id="rId10912" location="" tooltip="" display=""/>
    <hyperlink ref="L5460" r:id="rId10913" location="" tooltip="" display=""/>
    <hyperlink ref="R5460" r:id="rId10914" location="" tooltip="" display=""/>
    <hyperlink ref="K5461" r:id="rId10915" location="" tooltip="" display=""/>
    <hyperlink ref="L5461" r:id="rId10916" location="" tooltip="" display=""/>
    <hyperlink ref="Q5461" r:id="rId10917" location="" tooltip="" display=""/>
    <hyperlink ref="R5461" r:id="rId10918" location="" tooltip="" display=""/>
    <hyperlink ref="L5462" r:id="rId10919" location="" tooltip="" display=""/>
    <hyperlink ref="R5462" r:id="rId10920" location="" tooltip="" display=""/>
    <hyperlink ref="L5463" r:id="rId10921" location="" tooltip="" display=""/>
    <hyperlink ref="R5463" r:id="rId10922" location="" tooltip="" display=""/>
    <hyperlink ref="K5465" r:id="rId10923" location="" tooltip="" display=""/>
    <hyperlink ref="L5465" r:id="rId10924" location="" tooltip="" display=""/>
    <hyperlink ref="Q5465" r:id="rId10925" location="" tooltip="" display=""/>
    <hyperlink ref="R5465" r:id="rId10926" location="" tooltip="" display=""/>
    <hyperlink ref="L5466" r:id="rId10927" location="" tooltip="" display=""/>
    <hyperlink ref="R5466" r:id="rId10928" location="" tooltip="" display=""/>
    <hyperlink ref="K5468" r:id="rId10929" location="" tooltip="" display=""/>
    <hyperlink ref="L5468" r:id="rId10930" location="" tooltip="" display=""/>
    <hyperlink ref="Q5468" r:id="rId10931" location="" tooltip="" display=""/>
    <hyperlink ref="R5468" r:id="rId10932" location="" tooltip="" display=""/>
    <hyperlink ref="L5470" r:id="rId10933" location="" tooltip="" display=""/>
    <hyperlink ref="R5470" r:id="rId10934" location="" tooltip="" display=""/>
    <hyperlink ref="L5471" r:id="rId10935" location="" tooltip="" display=""/>
    <hyperlink ref="R5471" r:id="rId10936" location="" tooltip="" display=""/>
    <hyperlink ref="L5472" r:id="rId10937" location="" tooltip="" display=""/>
    <hyperlink ref="R5472" r:id="rId10938" location="" tooltip="" display=""/>
    <hyperlink ref="K5473" r:id="rId10939" location="" tooltip="" display=""/>
    <hyperlink ref="L5473" r:id="rId10940" location="" tooltip="" display=""/>
    <hyperlink ref="Q5473" r:id="rId10941" location="" tooltip="" display=""/>
    <hyperlink ref="R5473" r:id="rId10942" location="" tooltip="" display=""/>
    <hyperlink ref="L5474" r:id="rId10943" location="" tooltip="" display=""/>
    <hyperlink ref="R5474" r:id="rId10944" location="" tooltip="" display=""/>
    <hyperlink ref="L5475" r:id="rId10945" location="" tooltip="" display=""/>
    <hyperlink ref="R5475" r:id="rId10946" location="" tooltip="" display=""/>
    <hyperlink ref="L5476" r:id="rId10947" location="" tooltip="" display=""/>
    <hyperlink ref="R5476" r:id="rId10948" location="" tooltip="" display=""/>
    <hyperlink ref="L5477" r:id="rId10949" location="" tooltip="" display=""/>
    <hyperlink ref="R5477" r:id="rId10950" location="" tooltip="" display=""/>
    <hyperlink ref="L5479" r:id="rId10951" location="" tooltip="" display=""/>
    <hyperlink ref="R5479" r:id="rId10952" location="" tooltip="" display=""/>
    <hyperlink ref="K5480" r:id="rId10953" location="" tooltip="" display=""/>
    <hyperlink ref="L5480" r:id="rId10954" location="" tooltip="" display=""/>
    <hyperlink ref="Q5480" r:id="rId10955" location="" tooltip="" display=""/>
    <hyperlink ref="R5480" r:id="rId10956" location="" tooltip="" display=""/>
    <hyperlink ref="L5481" r:id="rId10957" location="" tooltip="" display=""/>
    <hyperlink ref="R5481" r:id="rId10958" location="" tooltip="" display=""/>
    <hyperlink ref="L5482" r:id="rId10959" location="" tooltip="" display=""/>
    <hyperlink ref="R5482" r:id="rId10960" location="" tooltip="" display=""/>
    <hyperlink ref="K5484" r:id="rId10961" location="" tooltip="" display=""/>
    <hyperlink ref="L5484" r:id="rId10962" location="" tooltip="" display=""/>
    <hyperlink ref="Q5484" r:id="rId10963" location="" tooltip="" display=""/>
    <hyperlink ref="R5484" r:id="rId10964" location="" tooltip="" display=""/>
    <hyperlink ref="L5486" r:id="rId10965" location="" tooltip="" display=""/>
    <hyperlink ref="R5486" r:id="rId10966" location="" tooltip="" display=""/>
    <hyperlink ref="L5487" r:id="rId10967" location="" tooltip="" display=""/>
    <hyperlink ref="R5487" r:id="rId10968" location="" tooltip="" display=""/>
    <hyperlink ref="K5488" r:id="rId10969" location="" tooltip="" display=""/>
    <hyperlink ref="L5488" r:id="rId10970" location="" tooltip="" display=""/>
    <hyperlink ref="Q5488" r:id="rId10971" location="" tooltip="" display=""/>
    <hyperlink ref="R5488" r:id="rId10972" location="" tooltip="" display=""/>
    <hyperlink ref="L5489" r:id="rId10973" location="" tooltip="" display=""/>
    <hyperlink ref="R5489" r:id="rId10974" location="" tooltip="" display=""/>
    <hyperlink ref="L5490" r:id="rId10975" location="" tooltip="" display=""/>
    <hyperlink ref="R5490" r:id="rId10976" location="" tooltip="" display=""/>
    <hyperlink ref="K5492" r:id="rId10977" location="" tooltip="" display=""/>
    <hyperlink ref="L5492" r:id="rId10978" location="" tooltip="" display=""/>
    <hyperlink ref="Q5492" r:id="rId10979" location="" tooltip="" display=""/>
    <hyperlink ref="R5492" r:id="rId10980" location="" tooltip="" display=""/>
    <hyperlink ref="L5493" r:id="rId10981" location="" tooltip="" display=""/>
    <hyperlink ref="R5493" r:id="rId10982" location="" tooltip="" display=""/>
    <hyperlink ref="K5495" r:id="rId10983" location="" tooltip="" display=""/>
    <hyperlink ref="L5495" r:id="rId10984" location="" tooltip="" display=""/>
    <hyperlink ref="Q5495" r:id="rId10985" location="" tooltip="" display=""/>
    <hyperlink ref="R5495" r:id="rId10986" location="" tooltip="" display=""/>
    <hyperlink ref="L5496" r:id="rId10987" location="" tooltip="" display=""/>
    <hyperlink ref="R5496" r:id="rId10988" location="" tooltip="" display=""/>
    <hyperlink ref="L5498" r:id="rId10989" location="" tooltip="" display=""/>
    <hyperlink ref="R5498" r:id="rId10990" location="" tooltip="" display=""/>
    <hyperlink ref="K5499" r:id="rId10991" location="" tooltip="" display=""/>
    <hyperlink ref="L5499" r:id="rId10992" location="" tooltip="" display=""/>
    <hyperlink ref="Q5499" r:id="rId10993" location="" tooltip="" display=""/>
    <hyperlink ref="R5499" r:id="rId10994" location="" tooltip="" display=""/>
    <hyperlink ref="L5500" r:id="rId10995" location="" tooltip="" display=""/>
    <hyperlink ref="R5500" r:id="rId10996" location="" tooltip="" display=""/>
    <hyperlink ref="K5502" r:id="rId10997" location="" tooltip="" display=""/>
    <hyperlink ref="L5502" r:id="rId10998" location="" tooltip="" display=""/>
    <hyperlink ref="Q5502" r:id="rId10999" location="" tooltip="" display=""/>
    <hyperlink ref="R5502" r:id="rId11000" location="" tooltip="" display=""/>
    <hyperlink ref="K5504" r:id="rId11001" location="" tooltip="" display=""/>
    <hyperlink ref="L5504" r:id="rId11002" location="" tooltip="" display=""/>
    <hyperlink ref="Q5504" r:id="rId11003" location="" tooltip="" display=""/>
    <hyperlink ref="R5504" r:id="rId11004" location="" tooltip="" display=""/>
    <hyperlink ref="L5505" r:id="rId11005" location="" tooltip="" display=""/>
    <hyperlink ref="R5505" r:id="rId11006" location="" tooltip="" display=""/>
    <hyperlink ref="K5507" r:id="rId11007" location="" tooltip="" display=""/>
    <hyperlink ref="L5507" r:id="rId11008" location="" tooltip="" display=""/>
    <hyperlink ref="Q5507" r:id="rId11009" location="" tooltip="" display=""/>
    <hyperlink ref="R5507" r:id="rId11010" location="" tooltip="" display=""/>
    <hyperlink ref="L5508" r:id="rId11011" location="" tooltip="" display=""/>
    <hyperlink ref="R5508" r:id="rId11012" location="" tooltip="" display=""/>
    <hyperlink ref="K5510" r:id="rId11013" location="" tooltip="" display=""/>
    <hyperlink ref="L5510" r:id="rId11014" location="" tooltip="" display=""/>
    <hyperlink ref="Q5510" r:id="rId11015" location="" tooltip="" display=""/>
    <hyperlink ref="R5510" r:id="rId11016" location="" tooltip="" display=""/>
    <hyperlink ref="L5511" r:id="rId11017" location="" tooltip="" display=""/>
    <hyperlink ref="R5511" r:id="rId11018" location="" tooltip="" display=""/>
    <hyperlink ref="K5513" r:id="rId11019" location="" tooltip="" display=""/>
    <hyperlink ref="L5513" r:id="rId11020" location="" tooltip="" display=""/>
    <hyperlink ref="Q5513" r:id="rId11021" location="" tooltip="" display=""/>
    <hyperlink ref="R5513" r:id="rId11022" location="" tooltip="" display=""/>
    <hyperlink ref="L5514" r:id="rId11023" location="" tooltip="" display=""/>
    <hyperlink ref="R5514" r:id="rId11024" location="" tooltip="" display=""/>
    <hyperlink ref="L5516" r:id="rId11025" location="" tooltip="" display=""/>
    <hyperlink ref="R5516" r:id="rId11026" location="" tooltip="" display=""/>
    <hyperlink ref="K5517" r:id="rId11027" location="" tooltip="" display=""/>
    <hyperlink ref="L5517" r:id="rId11028" location="" tooltip="" display=""/>
    <hyperlink ref="Q5517" r:id="rId11029" location="" tooltip="" display=""/>
    <hyperlink ref="R5517" r:id="rId11030" location="" tooltip="" display=""/>
    <hyperlink ref="L5518" r:id="rId11031" location="" tooltip="" display=""/>
    <hyperlink ref="R5518" r:id="rId11032" location="" tooltip="" display=""/>
    <hyperlink ref="L5519" r:id="rId11033" location="" tooltip="" display=""/>
    <hyperlink ref="R5519" r:id="rId11034" location="" tooltip="" display=""/>
    <hyperlink ref="L5521" r:id="rId11035" location="" tooltip="" display=""/>
    <hyperlink ref="R5521" r:id="rId11036" location="" tooltip="" display=""/>
    <hyperlink ref="L5522" r:id="rId11037" location="" tooltip="" display=""/>
    <hyperlink ref="R5522" r:id="rId11038" location="" tooltip="" display=""/>
    <hyperlink ref="K5523" r:id="rId11039" location="" tooltip="" display=""/>
    <hyperlink ref="L5523" r:id="rId11040" location="" tooltip="" display=""/>
    <hyperlink ref="Q5523" r:id="rId11041" location="" tooltip="" display=""/>
    <hyperlink ref="R5523" r:id="rId11042" location="" tooltip="" display=""/>
    <hyperlink ref="L5524" r:id="rId11043" location="" tooltip="" display=""/>
    <hyperlink ref="R5524" r:id="rId11044" location="" tooltip="" display=""/>
    <hyperlink ref="L5525" r:id="rId11045" location="" tooltip="" display=""/>
    <hyperlink ref="R5525" r:id="rId11046" location="" tooltip="" display=""/>
    <hyperlink ref="K5527" r:id="rId11047" location="" tooltip="" display=""/>
    <hyperlink ref="L5527" r:id="rId11048" location="" tooltip="" display=""/>
    <hyperlink ref="Q5527" r:id="rId11049" location="" tooltip="" display=""/>
    <hyperlink ref="R5527" r:id="rId11050" location="" tooltip="" display=""/>
    <hyperlink ref="K5529" r:id="rId11051" location="" tooltip="" display=""/>
    <hyperlink ref="L5529" r:id="rId11052" location="" tooltip="" display=""/>
    <hyperlink ref="Q5529" r:id="rId11053" location="" tooltip="" display=""/>
    <hyperlink ref="R5529" r:id="rId11054" location="" tooltip="" display=""/>
    <hyperlink ref="K5531" r:id="rId11055" location="" tooltip="" display=""/>
    <hyperlink ref="L5531" r:id="rId11056" location="" tooltip="" display=""/>
    <hyperlink ref="Q5531" r:id="rId11057" location="" tooltip="" display=""/>
    <hyperlink ref="R5531" r:id="rId11058" location="" tooltip="" display=""/>
    <hyperlink ref="K5533" r:id="rId11059" location="" tooltip="" display=""/>
    <hyperlink ref="L5533" r:id="rId11060" location="" tooltip="" display=""/>
    <hyperlink ref="Q5533" r:id="rId11061" location="" tooltip="" display=""/>
    <hyperlink ref="R5533" r:id="rId11062" location="" tooltip="" display=""/>
    <hyperlink ref="L5534" r:id="rId11063" location="" tooltip="" display=""/>
    <hyperlink ref="R5534" r:id="rId11064" location="" tooltip="" display=""/>
    <hyperlink ref="L5536" r:id="rId11065" location="" tooltip="" display=""/>
    <hyperlink ref="R5536" r:id="rId11066" location="" tooltip="" display=""/>
    <hyperlink ref="K5537" r:id="rId11067" location="" tooltip="" display=""/>
    <hyperlink ref="L5537" r:id="rId11068" location="" tooltip="" display=""/>
    <hyperlink ref="Q5537" r:id="rId11069" location="" tooltip="" display=""/>
    <hyperlink ref="R5537" r:id="rId11070" location="" tooltip="" display=""/>
    <hyperlink ref="L5538" r:id="rId11071" location="" tooltip="" display=""/>
    <hyperlink ref="R5538" r:id="rId11072" location="" tooltip="" display=""/>
    <hyperlink ref="L5539" r:id="rId11073" location="" tooltip="" display=""/>
    <hyperlink ref="R5539" r:id="rId11074" location="" tooltip="" display=""/>
    <hyperlink ref="L5541" r:id="rId11075" location="" tooltip="" display=""/>
    <hyperlink ref="R5541" r:id="rId11076" location="" tooltip="" display=""/>
    <hyperlink ref="L5542" r:id="rId11077" location="" tooltip="" display=""/>
    <hyperlink ref="R5542" r:id="rId11078" location="" tooltip="" display=""/>
    <hyperlink ref="L5543" r:id="rId11079" location="" tooltip="" display=""/>
    <hyperlink ref="R5543" r:id="rId11080" location="" tooltip="" display=""/>
    <hyperlink ref="K5544" r:id="rId11081" location="" tooltip="" display=""/>
    <hyperlink ref="L5544" r:id="rId11082" location="" tooltip="" display=""/>
    <hyperlink ref="Q5544" r:id="rId11083" location="" tooltip="" display=""/>
    <hyperlink ref="R5544" r:id="rId11084" location="" tooltip="" display=""/>
    <hyperlink ref="L5545" r:id="rId11085" location="" tooltip="" display=""/>
    <hyperlink ref="R5545" r:id="rId11086" location="" tooltip="" display=""/>
    <hyperlink ref="L5546" r:id="rId11087" location="" tooltip="" display=""/>
    <hyperlink ref="R5546" r:id="rId11088" location="" tooltip="" display=""/>
    <hyperlink ref="L5547" r:id="rId11089" location="" tooltip="" display=""/>
    <hyperlink ref="R5547" r:id="rId11090" location="" tooltip="" display=""/>
    <hyperlink ref="K5549" r:id="rId11091" location="" tooltip="" display=""/>
    <hyperlink ref="L5549" r:id="rId11092" location="" tooltip="" display=""/>
    <hyperlink ref="Q5549" r:id="rId11093" location="" tooltip="" display=""/>
    <hyperlink ref="R5549" r:id="rId11094" location="" tooltip="" display=""/>
    <hyperlink ref="L5550" r:id="rId11095" location="" tooltip="" display=""/>
    <hyperlink ref="R5550" r:id="rId11096" location="" tooltip="" display=""/>
    <hyperlink ref="L5552" r:id="rId11097" location="" tooltip="" display=""/>
    <hyperlink ref="R5552" r:id="rId11098" location="" tooltip="" display=""/>
    <hyperlink ref="K5553" r:id="rId11099" location="" tooltip="" display=""/>
    <hyperlink ref="L5553" r:id="rId11100" location="" tooltip="" display=""/>
    <hyperlink ref="Q5553" r:id="rId11101" location="" tooltip="" display=""/>
    <hyperlink ref="R5553" r:id="rId11102" location="" tooltip="" display=""/>
    <hyperlink ref="L5554" r:id="rId11103" location="" tooltip="" display=""/>
    <hyperlink ref="R5554" r:id="rId11104" location="" tooltip="" display=""/>
    <hyperlink ref="K5556" r:id="rId11105" location="" tooltip="" display=""/>
    <hyperlink ref="L5556" r:id="rId11106" location="" tooltip="" display=""/>
    <hyperlink ref="Q5556" r:id="rId11107" location="" tooltip="" display=""/>
    <hyperlink ref="R5556" r:id="rId11108" location="" tooltip="" display=""/>
    <hyperlink ref="K5558" r:id="rId11109" location="" tooltip="" display=""/>
    <hyperlink ref="L5558" r:id="rId11110" location="" tooltip="" display=""/>
    <hyperlink ref="Q5558" r:id="rId11111" location="" tooltip="" display=""/>
    <hyperlink ref="R5558" r:id="rId11112" location="" tooltip="" display=""/>
    <hyperlink ref="L5559" r:id="rId11113" location="" tooltip="" display=""/>
    <hyperlink ref="R5559" r:id="rId11114" location="" tooltip="" display=""/>
    <hyperlink ref="L5561" r:id="rId11115" location="" tooltip="" display=""/>
    <hyperlink ref="R5561" r:id="rId11116" location="" tooltip="" display=""/>
    <hyperlink ref="L5562" r:id="rId11117" location="" tooltip="" display=""/>
    <hyperlink ref="R5562" r:id="rId11118" location="" tooltip="" display=""/>
    <hyperlink ref="L5563" r:id="rId11119" location="" tooltip="" display=""/>
    <hyperlink ref="R5563" r:id="rId11120" location="" tooltip="" display=""/>
    <hyperlink ref="K5564" r:id="rId11121" location="" tooltip="" display=""/>
    <hyperlink ref="L5564" r:id="rId11122" location="" tooltip="" display=""/>
    <hyperlink ref="Q5564" r:id="rId11123" location="" tooltip="" display=""/>
    <hyperlink ref="R5564" r:id="rId11124" location="" tooltip="" display=""/>
    <hyperlink ref="L5565" r:id="rId11125" location="" tooltip="" display=""/>
    <hyperlink ref="R5565" r:id="rId11126" location="" tooltip="" display=""/>
    <hyperlink ref="L5566" r:id="rId11127" location="" tooltip="" display=""/>
    <hyperlink ref="R5566" r:id="rId11128" location="" tooltip="" display=""/>
    <hyperlink ref="L5567" r:id="rId11129" location="" tooltip="" display=""/>
    <hyperlink ref="R5567" r:id="rId11130" location="" tooltip="" display=""/>
    <hyperlink ref="L5569" r:id="rId11131" location="" tooltip="" display=""/>
    <hyperlink ref="R5569" r:id="rId11132" location="" tooltip="" display=""/>
    <hyperlink ref="K5570" r:id="rId11133" location="" tooltip="" display=""/>
    <hyperlink ref="L5570" r:id="rId11134" location="" tooltip="" display=""/>
    <hyperlink ref="Q5570" r:id="rId11135" location="" tooltip="" display=""/>
    <hyperlink ref="R5570" r:id="rId11136" location="" tooltip="" display=""/>
    <hyperlink ref="L5571" r:id="rId11137" location="" tooltip="" display=""/>
    <hyperlink ref="R5571" r:id="rId11138" location="" tooltip="" display=""/>
    <hyperlink ref="L5572" r:id="rId11139" location="" tooltip="" display=""/>
    <hyperlink ref="R5572" r:id="rId11140" location="" tooltip="" display=""/>
    <hyperlink ref="L5574" r:id="rId11141" location="" tooltip="" display=""/>
    <hyperlink ref="R5574" r:id="rId11142" location="" tooltip="" display=""/>
    <hyperlink ref="K5575" r:id="rId11143" location="" tooltip="" display=""/>
    <hyperlink ref="L5575" r:id="rId11144" location="" tooltip="" display=""/>
    <hyperlink ref="Q5575" r:id="rId11145" location="" tooltip="" display=""/>
    <hyperlink ref="R5575" r:id="rId11146" location="" tooltip="" display=""/>
    <hyperlink ref="L5576" r:id="rId11147" location="" tooltip="" display=""/>
    <hyperlink ref="R5576" r:id="rId11148" location="" tooltip="" display=""/>
    <hyperlink ref="K5578" r:id="rId11149" location="" tooltip="" display=""/>
    <hyperlink ref="L5578" r:id="rId11150" location="" tooltip="" display=""/>
    <hyperlink ref="Q5578" r:id="rId11151" location="" tooltip="" display=""/>
    <hyperlink ref="R5578" r:id="rId11152" location="" tooltip="" display=""/>
    <hyperlink ref="K5580" r:id="rId11153" location="" tooltip="" display=""/>
    <hyperlink ref="L5580" r:id="rId11154" location="" tooltip="" display=""/>
    <hyperlink ref="Q5580" r:id="rId11155" location="" tooltip="" display=""/>
    <hyperlink ref="R5580" r:id="rId11156" location="" tooltip="" display=""/>
    <hyperlink ref="L5582" r:id="rId11157" location="" tooltip="" display=""/>
    <hyperlink ref="R5582" r:id="rId11158" location="" tooltip="" display=""/>
    <hyperlink ref="K5583" r:id="rId11159" location="" tooltip="" display=""/>
    <hyperlink ref="L5583" r:id="rId11160" location="" tooltip="" display=""/>
    <hyperlink ref="Q5583" r:id="rId11161" location="" tooltip="" display=""/>
    <hyperlink ref="R5583" r:id="rId11162" location="" tooltip="" display=""/>
    <hyperlink ref="L5584" r:id="rId11163" location="" tooltip="" display=""/>
    <hyperlink ref="R5584" r:id="rId11164" location="" tooltip="" display=""/>
    <hyperlink ref="L5585" r:id="rId11165" location="" tooltip="" display=""/>
    <hyperlink ref="R5585" r:id="rId11166" location="" tooltip="" display=""/>
    <hyperlink ref="K5587" r:id="rId11167" location="" tooltip="" display=""/>
    <hyperlink ref="L5587" r:id="rId11168" location="" tooltip="" display=""/>
    <hyperlink ref="Q5587" r:id="rId11169" location="" tooltip="" display=""/>
    <hyperlink ref="R5587" r:id="rId11170" location="" tooltip="" display=""/>
    <hyperlink ref="L5588" r:id="rId11171" location="" tooltip="" display=""/>
    <hyperlink ref="R5588" r:id="rId11172" location="" tooltip="" display=""/>
    <hyperlink ref="L5590" r:id="rId11173" location="" tooltip="" display=""/>
    <hyperlink ref="R5590" r:id="rId11174" location="" tooltip="" display=""/>
    <hyperlink ref="K5591" r:id="rId11175" location="" tooltip="" display=""/>
    <hyperlink ref="L5591" r:id="rId11176" location="" tooltip="" display=""/>
    <hyperlink ref="Q5591" r:id="rId11177" location="" tooltip="" display=""/>
    <hyperlink ref="R5591" r:id="rId11178" location="" tooltip="" display=""/>
    <hyperlink ref="L5592" r:id="rId11179" location="" tooltip="" display=""/>
    <hyperlink ref="R5592" r:id="rId11180" location="" tooltip="" display=""/>
    <hyperlink ref="L5593" r:id="rId11181" location="" tooltip="" display=""/>
    <hyperlink ref="R5593" r:id="rId11182" location="" tooltip="" display=""/>
    <hyperlink ref="L5595" r:id="rId11183" location="" tooltip="" display=""/>
    <hyperlink ref="R5595" r:id="rId11184" location="" tooltip="" display=""/>
    <hyperlink ref="K5596" r:id="rId11185" location="" tooltip="" display=""/>
    <hyperlink ref="L5596" r:id="rId11186" location="" tooltip="" display=""/>
    <hyperlink ref="Q5596" r:id="rId11187" location="" tooltip="" display=""/>
    <hyperlink ref="R5596" r:id="rId11188" location="" tooltip="" display=""/>
    <hyperlink ref="L5597" r:id="rId11189" location="" tooltip="" display=""/>
    <hyperlink ref="R5597" r:id="rId11190" location="" tooltip="" display=""/>
    <hyperlink ref="L5599" r:id="rId11191" location="" tooltip="" display=""/>
    <hyperlink ref="R5599" r:id="rId11192" location="" tooltip="" display=""/>
    <hyperlink ref="L5600" r:id="rId11193" location="" tooltip="" display=""/>
    <hyperlink ref="R5600" r:id="rId11194" location="" tooltip="" display=""/>
    <hyperlink ref="K5601" r:id="rId11195" location="" tooltip="" display=""/>
    <hyperlink ref="L5601" r:id="rId11196" location="" tooltip="" display=""/>
    <hyperlink ref="Q5601" r:id="rId11197" location="" tooltip="" display=""/>
    <hyperlink ref="R5601" r:id="rId11198" location="" tooltip="" display=""/>
    <hyperlink ref="L5602" r:id="rId11199" location="" tooltip="" display=""/>
    <hyperlink ref="R5602" r:id="rId11200" location="" tooltip="" display=""/>
    <hyperlink ref="L5603" r:id="rId11201" location="" tooltip="" display=""/>
    <hyperlink ref="R5603" r:id="rId11202" location="" tooltip="" display=""/>
    <hyperlink ref="L5605" r:id="rId11203" location="" tooltip="" display=""/>
    <hyperlink ref="R5605" r:id="rId11204" location="" tooltip="" display=""/>
    <hyperlink ref="L5606" r:id="rId11205" location="" tooltip="" display=""/>
    <hyperlink ref="R5606" r:id="rId11206" location="" tooltip="" display=""/>
    <hyperlink ref="K5607" r:id="rId11207" location="" tooltip="" display=""/>
    <hyperlink ref="L5607" r:id="rId11208" location="" tooltip="" display=""/>
    <hyperlink ref="Q5607" r:id="rId11209" location="" tooltip="" display=""/>
    <hyperlink ref="R5607" r:id="rId11210" location="" tooltip="" display=""/>
    <hyperlink ref="L5608" r:id="rId11211" location="" tooltip="" display=""/>
    <hyperlink ref="R5608" r:id="rId11212" location="" tooltip="" display=""/>
    <hyperlink ref="L5609" r:id="rId11213" location="" tooltip="" display=""/>
    <hyperlink ref="R5609" r:id="rId11214" location="" tooltip="" display=""/>
    <hyperlink ref="K5611" r:id="rId11215" location="" tooltip="" display=""/>
    <hyperlink ref="L5611" r:id="rId11216" location="" tooltip="" display=""/>
    <hyperlink ref="Q5611" r:id="rId11217" location="" tooltip="" display=""/>
    <hyperlink ref="R5611" r:id="rId11218" location="" tooltip="" display=""/>
    <hyperlink ref="L5612" r:id="rId11219" location="" tooltip="" display=""/>
    <hyperlink ref="R5612" r:id="rId11220" location="" tooltip="" display=""/>
    <hyperlink ref="K5614" r:id="rId11221" location="" tooltip="" display=""/>
    <hyperlink ref="L5614" r:id="rId11222" location="" tooltip="" display=""/>
    <hyperlink ref="Q5614" r:id="rId11223" location="" tooltip="" display=""/>
    <hyperlink ref="R5614" r:id="rId11224" location="" tooltip="" display=""/>
    <hyperlink ref="K5616" r:id="rId11225" location="" tooltip="" display=""/>
    <hyperlink ref="L5616" r:id="rId11226" location="" tooltip="" display=""/>
    <hyperlink ref="Q5616" r:id="rId11227" location="" tooltip="" display=""/>
    <hyperlink ref="R5616" r:id="rId11228" location="" tooltip="" display=""/>
    <hyperlink ref="L5617" r:id="rId11229" location="" tooltip="" display=""/>
    <hyperlink ref="R5617" r:id="rId11230" location="" tooltip="" display=""/>
    <hyperlink ref="L5619" r:id="rId11231" location="" tooltip="" display=""/>
    <hyperlink ref="R5619" r:id="rId11232" location="" tooltip="" display=""/>
    <hyperlink ref="K5620" r:id="rId11233" location="" tooltip="" display=""/>
    <hyperlink ref="L5620" r:id="rId11234" location="" tooltip="" display=""/>
    <hyperlink ref="Q5620" r:id="rId11235" location="" tooltip="" display=""/>
    <hyperlink ref="R5620" r:id="rId11236" location="" tooltip="" display=""/>
    <hyperlink ref="L5621" r:id="rId11237" location="" tooltip="" display=""/>
    <hyperlink ref="R5621" r:id="rId11238" location="" tooltip="" display=""/>
    <hyperlink ref="L5622" r:id="rId11239" location="" tooltip="" display=""/>
    <hyperlink ref="R5622" r:id="rId11240" location="" tooltip="" display=""/>
    <hyperlink ref="L5624" r:id="rId11241" location="" tooltip="" display=""/>
    <hyperlink ref="R5624" r:id="rId11242" location="" tooltip="" display=""/>
    <hyperlink ref="K5625" r:id="rId11243" location="" tooltip="" display=""/>
    <hyperlink ref="L5625" r:id="rId11244" location="" tooltip="" display=""/>
    <hyperlink ref="Q5625" r:id="rId11245" location="" tooltip="" display=""/>
    <hyperlink ref="R5625" r:id="rId11246" location="" tooltip="" display=""/>
    <hyperlink ref="L5626" r:id="rId11247" location="" tooltip="" display=""/>
    <hyperlink ref="R5626" r:id="rId11248" location="" tooltip="" display=""/>
    <hyperlink ref="L5628" r:id="rId11249" location="" tooltip="" display=""/>
    <hyperlink ref="R5628" r:id="rId11250" location="" tooltip="" display=""/>
    <hyperlink ref="K5629" r:id="rId11251" location="" tooltip="" display=""/>
    <hyperlink ref="L5629" r:id="rId11252" location="" tooltip="" display=""/>
    <hyperlink ref="Q5629" r:id="rId11253" location="" tooltip="" display=""/>
    <hyperlink ref="R5629" r:id="rId11254" location="" tooltip="" display=""/>
    <hyperlink ref="L5630" r:id="rId11255" location="" tooltip="" display=""/>
    <hyperlink ref="R5630" r:id="rId11256" location="" tooltip="" display=""/>
    <hyperlink ref="L5632" r:id="rId11257" location="" tooltip="" display=""/>
    <hyperlink ref="R5632" r:id="rId11258" location="" tooltip="" display=""/>
    <hyperlink ref="K5633" r:id="rId11259" location="" tooltip="" display=""/>
    <hyperlink ref="L5633" r:id="rId11260" location="" tooltip="" display=""/>
    <hyperlink ref="Q5633" r:id="rId11261" location="" tooltip="" display=""/>
    <hyperlink ref="R5633" r:id="rId11262" location="" tooltip="" display=""/>
    <hyperlink ref="L5634" r:id="rId11263" location="" tooltip="" display=""/>
    <hyperlink ref="R5634" r:id="rId11264" location="" tooltip="" display=""/>
    <hyperlink ref="L5636" r:id="rId11265" location="" tooltip="" display=""/>
    <hyperlink ref="R5636" r:id="rId11266" location="" tooltip="" display=""/>
    <hyperlink ref="K5637" r:id="rId11267" location="" tooltip="" display=""/>
    <hyperlink ref="L5637" r:id="rId11268" location="" tooltip="" display=""/>
    <hyperlink ref="Q5637" r:id="rId11269" location="" tooltip="" display=""/>
    <hyperlink ref="R5637" r:id="rId11270" location="" tooltip="" display=""/>
    <hyperlink ref="L5638" r:id="rId11271" location="" tooltip="" display=""/>
    <hyperlink ref="R5638" r:id="rId11272" location="" tooltip="" display=""/>
    <hyperlink ref="L5640" r:id="rId11273" location="" tooltip="" display=""/>
    <hyperlink ref="R5640" r:id="rId11274" location="" tooltip="" display=""/>
    <hyperlink ref="L5641" r:id="rId11275" location="" tooltip="" display=""/>
    <hyperlink ref="R5641" r:id="rId11276" location="" tooltip="" display=""/>
    <hyperlink ref="K5642" r:id="rId11277" location="" tooltip="" display=""/>
    <hyperlink ref="L5642" r:id="rId11278" location="" tooltip="" display=""/>
    <hyperlink ref="Q5642" r:id="rId11279" location="" tooltip="" display=""/>
    <hyperlink ref="R5642" r:id="rId11280" location="" tooltip="" display=""/>
    <hyperlink ref="L5643" r:id="rId11281" location="" tooltip="" display=""/>
    <hyperlink ref="R5643" r:id="rId11282" location="" tooltip="" display=""/>
    <hyperlink ref="L5644" r:id="rId11283" location="" tooltip="" display=""/>
    <hyperlink ref="R5644" r:id="rId11284" location="" tooltip="" display=""/>
    <hyperlink ref="L5646" r:id="rId11285" location="" tooltip="" display=""/>
    <hyperlink ref="R5646" r:id="rId11286" location="" tooltip="" display=""/>
    <hyperlink ref="L5647" r:id="rId11287" location="" tooltip="" display=""/>
    <hyperlink ref="R5647" r:id="rId11288" location="" tooltip="" display=""/>
    <hyperlink ref="K5648" r:id="rId11289" location="" tooltip="" display=""/>
    <hyperlink ref="L5648" r:id="rId11290" location="" tooltip="" display=""/>
    <hyperlink ref="Q5648" r:id="rId11291" location="" tooltip="" display=""/>
    <hyperlink ref="R5648" r:id="rId11292" location="" tooltip="" display=""/>
    <hyperlink ref="L5649" r:id="rId11293" location="" tooltip="" display=""/>
    <hyperlink ref="R5649" r:id="rId11294" location="" tooltip="" display=""/>
    <hyperlink ref="L5650" r:id="rId11295" location="" tooltip="" display=""/>
    <hyperlink ref="R5650" r:id="rId11296" location="" tooltip="" display=""/>
    <hyperlink ref="L5652" r:id="rId11297" location="" tooltip="" display=""/>
    <hyperlink ref="R5652" r:id="rId11298" location="" tooltip="" display=""/>
    <hyperlink ref="K5653" r:id="rId11299" location="" tooltip="" display=""/>
    <hyperlink ref="L5653" r:id="rId11300" location="" tooltip="" display=""/>
    <hyperlink ref="Q5653" r:id="rId11301" location="" tooltip="" display=""/>
    <hyperlink ref="R5653" r:id="rId11302" location="" tooltip="" display=""/>
    <hyperlink ref="L5654" r:id="rId11303" location="" tooltip="" display=""/>
    <hyperlink ref="R5654" r:id="rId11304" location="" tooltip="" display=""/>
    <hyperlink ref="L5655" r:id="rId11305" location="" tooltip="" display=""/>
    <hyperlink ref="R5655" r:id="rId11306" location="" tooltip="" display=""/>
    <hyperlink ref="K5657" r:id="rId11307" location="" tooltip="" display=""/>
    <hyperlink ref="L5657" r:id="rId11308" location="" tooltip="" display=""/>
    <hyperlink ref="Q5657" r:id="rId11309" location="" tooltip="" display=""/>
    <hyperlink ref="R5657" r:id="rId11310" location="" tooltip="" display=""/>
    <hyperlink ref="L5658" r:id="rId11311" location="" tooltip="" display=""/>
    <hyperlink ref="R5658" r:id="rId11312" location="" tooltip="" display=""/>
    <hyperlink ref="L5660" r:id="rId11313" location="" tooltip="" display=""/>
    <hyperlink ref="R5660" r:id="rId11314" location="" tooltip="" display=""/>
    <hyperlink ref="K5661" r:id="rId11315" location="" tooltip="" display=""/>
    <hyperlink ref="L5661" r:id="rId11316" location="" tooltip="" display=""/>
    <hyperlink ref="Q5661" r:id="rId11317" location="" tooltip="" display=""/>
    <hyperlink ref="R5661" r:id="rId11318" location="" tooltip="" display=""/>
    <hyperlink ref="L5662" r:id="rId11319" location="" tooltip="" display=""/>
    <hyperlink ref="R5662" r:id="rId11320" location="" tooltip="" display=""/>
    <hyperlink ref="L5664" r:id="rId11321" location="" tooltip="" display=""/>
    <hyperlink ref="R5664" r:id="rId11322" location="" tooltip="" display=""/>
    <hyperlink ref="K5665" r:id="rId11323" location="" tooltip="" display=""/>
    <hyperlink ref="L5665" r:id="rId11324" location="" tooltip="" display=""/>
    <hyperlink ref="Q5665" r:id="rId11325" location="" tooltip="" display=""/>
    <hyperlink ref="R5665" r:id="rId11326" location="" tooltip="" display=""/>
    <hyperlink ref="L5666" r:id="rId11327" location="" tooltip="" display=""/>
    <hyperlink ref="R5666" r:id="rId11328" location="" tooltip="" display=""/>
    <hyperlink ref="L5667" r:id="rId11329" location="" tooltip="" display=""/>
    <hyperlink ref="R5667" r:id="rId11330" location="" tooltip="" display=""/>
    <hyperlink ref="K5669" r:id="rId11331" location="" tooltip="" display=""/>
    <hyperlink ref="L5669" r:id="rId11332" location="" tooltip="" display=""/>
    <hyperlink ref="Q5669" r:id="rId11333" location="" tooltip="" display=""/>
    <hyperlink ref="R5669" r:id="rId11334" location="" tooltip="" display=""/>
    <hyperlink ref="L5670" r:id="rId11335" location="" tooltip="" display=""/>
    <hyperlink ref="R5670" r:id="rId11336" location="" tooltip="" display=""/>
    <hyperlink ref="K5672" r:id="rId11337" location="" tooltip="" display=""/>
    <hyperlink ref="L5672" r:id="rId11338" location="" tooltip="" display=""/>
    <hyperlink ref="Q5672" r:id="rId11339" location="" tooltip="" display=""/>
    <hyperlink ref="R5672" r:id="rId11340" location="" tooltip="" display=""/>
    <hyperlink ref="L5673" r:id="rId11341" location="" tooltip="" display=""/>
    <hyperlink ref="R5673" r:id="rId11342" location="" tooltip="" display=""/>
    <hyperlink ref="K5675" r:id="rId11343" location="" tooltip="" display=""/>
    <hyperlink ref="L5675" r:id="rId11344" location="" tooltip="" display=""/>
    <hyperlink ref="Q5675" r:id="rId11345" location="" tooltip="" display=""/>
    <hyperlink ref="R5675" r:id="rId11346" location="" tooltip="" display=""/>
    <hyperlink ref="K5677" r:id="rId11347" location="" tooltip="" display=""/>
    <hyperlink ref="L5677" r:id="rId11348" location="" tooltip="" display=""/>
    <hyperlink ref="Q5677" r:id="rId11349" location="" tooltip="" display=""/>
    <hyperlink ref="R5677" r:id="rId11350" location="" tooltip="" display=""/>
    <hyperlink ref="L5678" r:id="rId11351" location="" tooltip="" display=""/>
    <hyperlink ref="R5678" r:id="rId11352" location="" tooltip="" display=""/>
    <hyperlink ref="L5680" r:id="rId11353" location="" tooltip="" display=""/>
    <hyperlink ref="R5680" r:id="rId11354" location="" tooltip="" display=""/>
    <hyperlink ref="K5681" r:id="rId11355" location="" tooltip="" display=""/>
    <hyperlink ref="L5681" r:id="rId11356" location="" tooltip="" display=""/>
    <hyperlink ref="Q5681" r:id="rId11357" location="" tooltip="" display=""/>
    <hyperlink ref="R5681" r:id="rId11358" location="" tooltip="" display=""/>
    <hyperlink ref="L5682" r:id="rId11359" location="" tooltip="" display=""/>
    <hyperlink ref="R5682" r:id="rId11360" location="" tooltip="" display=""/>
    <hyperlink ref="L5684" r:id="rId11361" location="" tooltip="" display=""/>
    <hyperlink ref="R5684" r:id="rId11362" location="" tooltip="" display=""/>
    <hyperlink ref="K5685" r:id="rId11363" location="" tooltip="" display=""/>
    <hyperlink ref="L5685" r:id="rId11364" location="" tooltip="" display=""/>
    <hyperlink ref="Q5685" r:id="rId11365" location="" tooltip="" display=""/>
    <hyperlink ref="R5685" r:id="rId11366" location="" tooltip="" display=""/>
    <hyperlink ref="L5686" r:id="rId11367" location="" tooltip="" display=""/>
    <hyperlink ref="R5686" r:id="rId11368" location="" tooltip="" display=""/>
    <hyperlink ref="L5687" r:id="rId11369" location="" tooltip="" display=""/>
    <hyperlink ref="R5687" r:id="rId11370" location="" tooltip="" display=""/>
    <hyperlink ref="L5689" r:id="rId11371" location="" tooltip="" display=""/>
    <hyperlink ref="R5689" r:id="rId11372" location="" tooltip="" display=""/>
    <hyperlink ref="K5690" r:id="rId11373" location="" tooltip="" display=""/>
    <hyperlink ref="L5690" r:id="rId11374" location="" tooltip="" display=""/>
    <hyperlink ref="Q5690" r:id="rId11375" location="" tooltip="" display=""/>
    <hyperlink ref="R5690" r:id="rId11376" location="" tooltip="" display=""/>
    <hyperlink ref="L5691" r:id="rId11377" location="" tooltip="" display=""/>
    <hyperlink ref="R5691" r:id="rId11378" location="" tooltip="" display=""/>
    <hyperlink ref="L5692" r:id="rId11379" location="" tooltip="" display=""/>
    <hyperlink ref="R5692" r:id="rId11380" location="" tooltip="" display=""/>
    <hyperlink ref="L5694" r:id="rId11381" location="" tooltip="" display=""/>
    <hyperlink ref="R5694" r:id="rId11382" location="" tooltip="" display=""/>
    <hyperlink ref="K5695" r:id="rId11383" location="" tooltip="" display=""/>
    <hyperlink ref="L5695" r:id="rId11384" location="" tooltip="" display=""/>
    <hyperlink ref="Q5695" r:id="rId11385" location="" tooltip="" display=""/>
    <hyperlink ref="R5695" r:id="rId11386" location="" tooltip="" display=""/>
    <hyperlink ref="L5696" r:id="rId11387" location="" tooltip="" display=""/>
    <hyperlink ref="R5696" r:id="rId11388" location="" tooltip="" display=""/>
    <hyperlink ref="L5698" r:id="rId11389" location="" tooltip="" display=""/>
    <hyperlink ref="R5698" r:id="rId11390" location="" tooltip="" display=""/>
    <hyperlink ref="K5699" r:id="rId11391" location="" tooltip="" display=""/>
    <hyperlink ref="L5699" r:id="rId11392" location="" tooltip="" display=""/>
    <hyperlink ref="Q5699" r:id="rId11393" location="" tooltip="" display=""/>
    <hyperlink ref="R5699" r:id="rId11394" location="" tooltip="" display=""/>
    <hyperlink ref="L5700" r:id="rId11395" location="" tooltip="" display=""/>
    <hyperlink ref="R5700" r:id="rId11396" location="" tooltip="" display=""/>
    <hyperlink ref="L5701" r:id="rId11397" location="" tooltip="" display=""/>
    <hyperlink ref="R5701" r:id="rId11398" location="" tooltip="" display=""/>
    <hyperlink ref="K5703" r:id="rId11399" location="" tooltip="" display=""/>
    <hyperlink ref="L5703" r:id="rId11400" location="" tooltip="" display=""/>
    <hyperlink ref="Q5703" r:id="rId11401" location="" tooltip="" display=""/>
    <hyperlink ref="R5703" r:id="rId11402" location="" tooltip="" display=""/>
    <hyperlink ref="L5705" r:id="rId11403" location="" tooltip="" display=""/>
    <hyperlink ref="R5705" r:id="rId11404" location="" tooltip="" display=""/>
    <hyperlink ref="K5706" r:id="rId11405" location="" tooltip="" display=""/>
    <hyperlink ref="L5706" r:id="rId11406" location="" tooltip="" display=""/>
    <hyperlink ref="Q5706" r:id="rId11407" location="" tooltip="" display=""/>
    <hyperlink ref="R5706" r:id="rId11408" location="" tooltip="" display=""/>
    <hyperlink ref="L5707" r:id="rId11409" location="" tooltip="" display=""/>
    <hyperlink ref="R5707" r:id="rId11410" location="" tooltip="" display=""/>
    <hyperlink ref="K5709" r:id="rId11411" location="" tooltip="" display=""/>
    <hyperlink ref="L5709" r:id="rId11412" location="" tooltip="" display=""/>
    <hyperlink ref="Q5709" r:id="rId11413" location="" tooltip="" display=""/>
    <hyperlink ref="R5709" r:id="rId11414" location="" tooltip="" display=""/>
    <hyperlink ref="L5710" r:id="rId11415" location="" tooltip="" display=""/>
    <hyperlink ref="R5710" r:id="rId11416" location="" tooltip="" display=""/>
    <hyperlink ref="L5712" r:id="rId11417" location="" tooltip="" display=""/>
    <hyperlink ref="R5712" r:id="rId11418" location="" tooltip="" display=""/>
    <hyperlink ref="L5713" r:id="rId11419" location="" tooltip="" display=""/>
    <hyperlink ref="R5713" r:id="rId11420" location="" tooltip="" display=""/>
    <hyperlink ref="L5714" r:id="rId11421" location="" tooltip="" display=""/>
    <hyperlink ref="R5714" r:id="rId11422" location="" tooltip="" display=""/>
    <hyperlink ref="L5715" r:id="rId11423" location="" tooltip="" display=""/>
    <hyperlink ref="R5715" r:id="rId11424" location="" tooltip="" display=""/>
    <hyperlink ref="K5716" r:id="rId11425" location="" tooltip="" display=""/>
    <hyperlink ref="L5716" r:id="rId11426" location="" tooltip="" display=""/>
    <hyperlink ref="Q5716" r:id="rId11427" location="" tooltip="" display=""/>
    <hyperlink ref="R5716" r:id="rId11428" location="" tooltip="" display=""/>
    <hyperlink ref="L5717" r:id="rId11429" location="" tooltip="" display=""/>
    <hyperlink ref="R5717" r:id="rId11430" location="" tooltip="" display=""/>
    <hyperlink ref="L5718" r:id="rId11431" location="" tooltip="" display=""/>
    <hyperlink ref="R5718" r:id="rId11432" location="" tooltip="" display=""/>
    <hyperlink ref="L5719" r:id="rId11433" location="" tooltip="" display=""/>
    <hyperlink ref="R5719" r:id="rId11434" location="" tooltip="" display=""/>
    <hyperlink ref="L5720" r:id="rId11435" location="" tooltip="" display=""/>
    <hyperlink ref="R5720" r:id="rId11436" location="" tooltip="" display=""/>
    <hyperlink ref="L5721" r:id="rId11437" location="" tooltip="" display=""/>
    <hyperlink ref="R5721" r:id="rId11438" location="" tooltip="" display=""/>
    <hyperlink ref="K5723" r:id="rId11439" location="" tooltip="" display=""/>
    <hyperlink ref="L5723" r:id="rId11440" location="" tooltip="" display=""/>
    <hyperlink ref="Q5723" r:id="rId11441" location="" tooltip="" display=""/>
    <hyperlink ref="R5723" r:id="rId11442" location="" tooltip="" display=""/>
    <hyperlink ref="L5724" r:id="rId11443" location="" tooltip="" display=""/>
    <hyperlink ref="R5724" r:id="rId11444" location="" tooltip="" display=""/>
    <hyperlink ref="L5726" r:id="rId11445" location="" tooltip="" display=""/>
    <hyperlink ref="R5726" r:id="rId11446" location="" tooltip="" display=""/>
    <hyperlink ref="K5727" r:id="rId11447" location="" tooltip="" display=""/>
    <hyperlink ref="L5727" r:id="rId11448" location="" tooltip="" display=""/>
    <hyperlink ref="Q5727" r:id="rId11449" location="" tooltip="" display=""/>
    <hyperlink ref="R5727" r:id="rId11450" location="" tooltip="" display=""/>
    <hyperlink ref="L5728" r:id="rId11451" location="" tooltip="" display=""/>
    <hyperlink ref="R5728" r:id="rId11452" location="" tooltip="" display=""/>
    <hyperlink ref="L5729" r:id="rId11453" location="" tooltip="" display=""/>
    <hyperlink ref="R5729" r:id="rId11454" location="" tooltip="" display=""/>
    <hyperlink ref="L5731" r:id="rId11455" location="" tooltip="" display=""/>
    <hyperlink ref="R5731" r:id="rId11456" location="" tooltip="" display=""/>
    <hyperlink ref="K5732" r:id="rId11457" location="" tooltip="" display=""/>
    <hyperlink ref="L5732" r:id="rId11458" location="" tooltip="" display=""/>
    <hyperlink ref="Q5732" r:id="rId11459" location="" tooltip="" display=""/>
    <hyperlink ref="R5732" r:id="rId11460" location="" tooltip="" display=""/>
    <hyperlink ref="L5733" r:id="rId11461" location="" tooltip="" display=""/>
    <hyperlink ref="R5733" r:id="rId11462" location="" tooltip="" display=""/>
    <hyperlink ref="L5734" r:id="rId11463" location="" tooltip="" display=""/>
    <hyperlink ref="R5734" r:id="rId11464" location="" tooltip="" display=""/>
    <hyperlink ref="L5736" r:id="rId11465" location="" tooltip="" display=""/>
    <hyperlink ref="R5736" r:id="rId11466" location="" tooltip="" display=""/>
    <hyperlink ref="K5737" r:id="rId11467" location="" tooltip="" display=""/>
    <hyperlink ref="L5737" r:id="rId11468" location="" tooltip="" display=""/>
    <hyperlink ref="Q5737" r:id="rId11469" location="" tooltip="" display=""/>
    <hyperlink ref="R5737" r:id="rId11470" location="" tooltip="" display=""/>
    <hyperlink ref="L5738" r:id="rId11471" location="" tooltip="" display=""/>
    <hyperlink ref="R5738" r:id="rId11472" location="" tooltip="" display=""/>
    <hyperlink ref="L5739" r:id="rId11473" location="" tooltip="" display=""/>
    <hyperlink ref="R5739" r:id="rId11474" location="" tooltip="" display=""/>
    <hyperlink ref="L5741" r:id="rId11475" location="" tooltip="" display=""/>
    <hyperlink ref="R5741" r:id="rId11476" location="" tooltip="" display=""/>
    <hyperlink ref="L5742" r:id="rId11477" location="" tooltip="" display=""/>
    <hyperlink ref="R5742" r:id="rId11478" location="" tooltip="" display=""/>
    <hyperlink ref="L5743" r:id="rId11479" location="" tooltip="" display=""/>
    <hyperlink ref="R5743" r:id="rId11480" location="" tooltip="" display=""/>
    <hyperlink ref="L5744" r:id="rId11481" location="" tooltip="" display=""/>
    <hyperlink ref="R5744" r:id="rId11482" location="" tooltip="" display=""/>
    <hyperlink ref="K5745" r:id="rId11483" location="" tooltip="" display=""/>
    <hyperlink ref="L5745" r:id="rId11484" location="" tooltip="" display=""/>
    <hyperlink ref="Q5745" r:id="rId11485" location="" tooltip="" display=""/>
    <hyperlink ref="R5745" r:id="rId11486" location="" tooltip="" display=""/>
    <hyperlink ref="L5746" r:id="rId11487" location="" tooltip="" display=""/>
    <hyperlink ref="R5746" r:id="rId11488" location="" tooltip="" display=""/>
    <hyperlink ref="L5747" r:id="rId11489" location="" tooltip="" display=""/>
    <hyperlink ref="R5747" r:id="rId11490" location="" tooltip="" display=""/>
    <hyperlink ref="L5748" r:id="rId11491" location="" tooltip="" display=""/>
    <hyperlink ref="R5748" r:id="rId11492" location="" tooltip="" display=""/>
    <hyperlink ref="L5749" r:id="rId11493" location="" tooltip="" display=""/>
    <hyperlink ref="R5749" r:id="rId11494" location="" tooltip="" display=""/>
    <hyperlink ref="L5750" r:id="rId11495" location="" tooltip="" display=""/>
    <hyperlink ref="R5750" r:id="rId11496" location="" tooltip="" display=""/>
    <hyperlink ref="L5752" r:id="rId11497" location="" tooltip="" display=""/>
    <hyperlink ref="R5752" r:id="rId11498" location="" tooltip="" display=""/>
    <hyperlink ref="K5753" r:id="rId11499" location="" tooltip="" display=""/>
    <hyperlink ref="L5753" r:id="rId11500" location="" tooltip="" display=""/>
    <hyperlink ref="Q5753" r:id="rId11501" location="" tooltip="" display=""/>
    <hyperlink ref="R5753" r:id="rId11502" location="" tooltip="" display=""/>
    <hyperlink ref="L5754" r:id="rId11503" location="" tooltip="" display=""/>
    <hyperlink ref="R5754" r:id="rId11504" location="" tooltip="" display=""/>
    <hyperlink ref="L5756" r:id="rId11505" location="" tooltip="" display=""/>
    <hyperlink ref="R5756" r:id="rId11506" location="" tooltip="" display=""/>
    <hyperlink ref="L5757" r:id="rId11507" location="" tooltip="" display=""/>
    <hyperlink ref="R5757" r:id="rId11508" location="" tooltip="" display=""/>
    <hyperlink ref="L5758" r:id="rId11509" location="" tooltip="" display=""/>
    <hyperlink ref="R5758" r:id="rId11510" location="" tooltip="" display=""/>
    <hyperlink ref="K5759" r:id="rId11511" location="" tooltip="" display=""/>
    <hyperlink ref="L5759" r:id="rId11512" location="" tooltip="" display=""/>
    <hyperlink ref="Q5759" r:id="rId11513" location="" tooltip="" display=""/>
    <hyperlink ref="R5759" r:id="rId11514" location="" tooltip="" display=""/>
    <hyperlink ref="L5760" r:id="rId11515" location="" tooltip="" display=""/>
    <hyperlink ref="R5760" r:id="rId11516" location="" tooltip="" display=""/>
    <hyperlink ref="L5761" r:id="rId11517" location="" tooltip="" display=""/>
    <hyperlink ref="R5761" r:id="rId11518" location="" tooltip="" display=""/>
    <hyperlink ref="L5762" r:id="rId11519" location="" tooltip="" display=""/>
    <hyperlink ref="R5762" r:id="rId11520" location="" tooltip="" display=""/>
    <hyperlink ref="L5764" r:id="rId11521" location="" tooltip="" display=""/>
    <hyperlink ref="R5764" r:id="rId11522" location="" tooltip="" display=""/>
    <hyperlink ref="L5765" r:id="rId11523" location="" tooltip="" display=""/>
    <hyperlink ref="R5765" r:id="rId11524" location="" tooltip="" display=""/>
    <hyperlink ref="L5766" r:id="rId11525" location="" tooltip="" display=""/>
    <hyperlink ref="R5766" r:id="rId11526" location="" tooltip="" display=""/>
    <hyperlink ref="L5767" r:id="rId11527" location="" tooltip="" display=""/>
    <hyperlink ref="R5767" r:id="rId11528" location="" tooltip="" display=""/>
    <hyperlink ref="K5768" r:id="rId11529" location="" tooltip="" display=""/>
    <hyperlink ref="L5768" r:id="rId11530" location="" tooltip="" display=""/>
    <hyperlink ref="Q5768" r:id="rId11531" location="" tooltip="" display=""/>
    <hyperlink ref="R5768" r:id="rId11532" location="" tooltip="" display=""/>
    <hyperlink ref="L5769" r:id="rId11533" location="" tooltip="" display=""/>
    <hyperlink ref="R5769" r:id="rId11534" location="" tooltip="" display=""/>
    <hyperlink ref="L5770" r:id="rId11535" location="" tooltip="" display=""/>
    <hyperlink ref="R5770" r:id="rId11536" location="" tooltip="" display=""/>
    <hyperlink ref="L5771" r:id="rId11537" location="" tooltip="" display=""/>
    <hyperlink ref="R5771" r:id="rId11538" location="" tooltip="" display=""/>
    <hyperlink ref="L5772" r:id="rId11539" location="" tooltip="" display=""/>
    <hyperlink ref="R5772" r:id="rId11540" location="" tooltip="" display=""/>
    <hyperlink ref="L5773" r:id="rId11541" location="" tooltip="" display=""/>
    <hyperlink ref="R5773" r:id="rId11542" location="" tooltip="" display=""/>
    <hyperlink ref="L5775" r:id="rId11543" location="" tooltip="" display=""/>
    <hyperlink ref="R5775" r:id="rId11544" location="" tooltip="" display=""/>
    <hyperlink ref="K5776" r:id="rId11545" location="" tooltip="" display=""/>
    <hyperlink ref="L5776" r:id="rId11546" location="" tooltip="" display=""/>
    <hyperlink ref="Q5776" r:id="rId11547" location="" tooltip="" display=""/>
    <hyperlink ref="R5776" r:id="rId11548" location="" tooltip="" display=""/>
    <hyperlink ref="L5777" r:id="rId11549" location="" tooltip="" display=""/>
    <hyperlink ref="R5777" r:id="rId11550" location="" tooltip="" display=""/>
    <hyperlink ref="L5778" r:id="rId11551" location="" tooltip="" display=""/>
    <hyperlink ref="R5778" r:id="rId11552" location="" tooltip="" display=""/>
    <hyperlink ref="K5780" r:id="rId11553" location="" tooltip="" display=""/>
    <hyperlink ref="L5780" r:id="rId11554" location="" tooltip="" display=""/>
    <hyperlink ref="Q5780" r:id="rId11555" location="" tooltip="" display=""/>
    <hyperlink ref="R5780" r:id="rId11556" location="" tooltip="" display=""/>
    <hyperlink ref="L5781" r:id="rId11557" location="" tooltip="" display=""/>
    <hyperlink ref="R5781" r:id="rId11558" location="" tooltip="" display=""/>
    <hyperlink ref="K5783" r:id="rId11559" location="" tooltip="" display=""/>
    <hyperlink ref="L5783" r:id="rId11560" location="" tooltip="" display=""/>
    <hyperlink ref="Q5783" r:id="rId11561" location="" tooltip="" display=""/>
    <hyperlink ref="R5783" r:id="rId11562" location="" tooltip="" display=""/>
    <hyperlink ref="L5784" r:id="rId11563" location="" tooltip="" display=""/>
    <hyperlink ref="R5784" r:id="rId11564" location="" tooltip="" display=""/>
    <hyperlink ref="K5786" r:id="rId11565" location="" tooltip="" display=""/>
    <hyperlink ref="L5786" r:id="rId11566" location="" tooltip="" display=""/>
    <hyperlink ref="Q5786" r:id="rId11567" location="" tooltip="" display=""/>
    <hyperlink ref="R5786" r:id="rId11568" location="" tooltip="" display=""/>
    <hyperlink ref="L5788" r:id="rId11569" location="" tooltip="" display=""/>
    <hyperlink ref="R5788" r:id="rId11570" location="" tooltip="" display=""/>
    <hyperlink ref="K5789" r:id="rId11571" location="" tooltip="" display=""/>
    <hyperlink ref="L5789" r:id="rId11572" location="" tooltip="" display=""/>
    <hyperlink ref="Q5789" r:id="rId11573" location="" tooltip="" display=""/>
    <hyperlink ref="R5789" r:id="rId11574" location="" tooltip="" display=""/>
    <hyperlink ref="L5790" r:id="rId11575" location="" tooltip="" display=""/>
    <hyperlink ref="R5790" r:id="rId11576" location="" tooltip="" display=""/>
    <hyperlink ref="L5792" r:id="rId11577" location="" tooltip="" display=""/>
    <hyperlink ref="R5792" r:id="rId11578" location="" tooltip="" display=""/>
    <hyperlink ref="L5793" r:id="rId11579" location="" tooltip="" display=""/>
    <hyperlink ref="R5793" r:id="rId11580" location="" tooltip="" display=""/>
    <hyperlink ref="L5794" r:id="rId11581" location="" tooltip="" display=""/>
    <hyperlink ref="R5794" r:id="rId11582" location="" tooltip="" display=""/>
    <hyperlink ref="K5795" r:id="rId11583" location="" tooltip="" display=""/>
    <hyperlink ref="L5795" r:id="rId11584" location="" tooltip="" display=""/>
    <hyperlink ref="Q5795" r:id="rId11585" location="" tooltip="" display=""/>
    <hyperlink ref="R5795" r:id="rId11586" location="" tooltip="" display=""/>
    <hyperlink ref="L5796" r:id="rId11587" location="" tooltip="" display=""/>
    <hyperlink ref="R5796" r:id="rId11588" location="" tooltip="" display=""/>
    <hyperlink ref="L5797" r:id="rId11589" location="" tooltip="" display=""/>
    <hyperlink ref="R5797" r:id="rId11590" location="" tooltip="" display=""/>
    <hyperlink ref="L5798" r:id="rId11591" location="" tooltip="" display=""/>
    <hyperlink ref="R5798" r:id="rId11592" location="" tooltip="" display=""/>
    <hyperlink ref="L5799" r:id="rId11593" location="" tooltip="" display=""/>
    <hyperlink ref="R5799" r:id="rId11594" location="" tooltip="" display=""/>
    <hyperlink ref="L5801" r:id="rId11595" location="" tooltip="" display=""/>
    <hyperlink ref="R5801" r:id="rId11596" location="" tooltip="" display=""/>
    <hyperlink ref="K5802" r:id="rId11597" location="" tooltip="" display=""/>
    <hyperlink ref="L5802" r:id="rId11598" location="" tooltip="" display=""/>
    <hyperlink ref="Q5802" r:id="rId11599" location="" tooltip="" display=""/>
    <hyperlink ref="R5802" r:id="rId11600" location="" tooltip="" display=""/>
    <hyperlink ref="L5803" r:id="rId11601" location="" tooltip="" display=""/>
    <hyperlink ref="R5803" r:id="rId11602" location="" tooltip="" display=""/>
    <hyperlink ref="L5804" r:id="rId11603" location="" tooltip="" display=""/>
    <hyperlink ref="R5804" r:id="rId11604" location="" tooltip="" display=""/>
    <hyperlink ref="L5806" r:id="rId11605" location="" tooltip="" display=""/>
    <hyperlink ref="R5806" r:id="rId11606" location="" tooltip="" display=""/>
    <hyperlink ref="K5807" r:id="rId11607" location="" tooltip="" display=""/>
    <hyperlink ref="L5807" r:id="rId11608" location="" tooltip="" display=""/>
    <hyperlink ref="Q5807" r:id="rId11609" location="" tooltip="" display=""/>
    <hyperlink ref="R5807" r:id="rId11610" location="" tooltip="" display=""/>
    <hyperlink ref="L5808" r:id="rId11611" location="" tooltip="" display=""/>
    <hyperlink ref="R5808" r:id="rId11612" location="" tooltip="" display=""/>
    <hyperlink ref="L5809" r:id="rId11613" location="" tooltip="" display=""/>
    <hyperlink ref="R5809" r:id="rId11614" location="" tooltip="" display=""/>
    <hyperlink ref="L5811" r:id="rId11615" location="" tooltip="" display=""/>
    <hyperlink ref="R5811" r:id="rId11616" location="" tooltip="" display=""/>
    <hyperlink ref="L5812" r:id="rId11617" location="" tooltip="" display=""/>
    <hyperlink ref="R5812" r:id="rId11618" location="" tooltip="" display=""/>
    <hyperlink ref="L5813" r:id="rId11619" location="" tooltip="" display=""/>
    <hyperlink ref="R5813" r:id="rId11620" location="" tooltip="" display=""/>
    <hyperlink ref="K5814" r:id="rId11621" location="" tooltip="" display=""/>
    <hyperlink ref="L5814" r:id="rId11622" location="" tooltip="" display=""/>
    <hyperlink ref="Q5814" r:id="rId11623" location="" tooltip="" display=""/>
    <hyperlink ref="R5814" r:id="rId11624" location="" tooltip="" display=""/>
    <hyperlink ref="L5815" r:id="rId11625" location="" tooltip="" display=""/>
    <hyperlink ref="R5815" r:id="rId11626" location="" tooltip="" display=""/>
    <hyperlink ref="L5816" r:id="rId11627" location="" tooltip="" display=""/>
    <hyperlink ref="R5816" r:id="rId11628" location="" tooltip="" display=""/>
    <hyperlink ref="L5817" r:id="rId11629" location="" tooltip="" display=""/>
    <hyperlink ref="R5817" r:id="rId11630" location="" tooltip="" display=""/>
    <hyperlink ref="L5819" r:id="rId11631" location="" tooltip="" display=""/>
    <hyperlink ref="R5819" r:id="rId11632" location="" tooltip="" display=""/>
    <hyperlink ref="K5820" r:id="rId11633" location="" tooltip="" display=""/>
    <hyperlink ref="L5820" r:id="rId11634" location="" tooltip="" display=""/>
    <hyperlink ref="Q5820" r:id="rId11635" location="" tooltip="" display=""/>
    <hyperlink ref="R5820" r:id="rId11636" location="" tooltip="" display=""/>
    <hyperlink ref="L5821" r:id="rId11637" location="" tooltip="" display=""/>
    <hyperlink ref="R5821" r:id="rId11638" location="" tooltip="" display=""/>
    <hyperlink ref="L5822" r:id="rId11639" location="" tooltip="" display=""/>
    <hyperlink ref="R5822" r:id="rId11640" location="" tooltip="" display=""/>
    <hyperlink ref="L5824" r:id="rId11641" location="" tooltip="" display=""/>
    <hyperlink ref="R5824" r:id="rId11642" location="" tooltip="" display=""/>
    <hyperlink ref="K5825" r:id="rId11643" location="" tooltip="" display=""/>
    <hyperlink ref="L5825" r:id="rId11644" location="" tooltip="" display=""/>
    <hyperlink ref="Q5825" r:id="rId11645" location="" tooltip="" display=""/>
    <hyperlink ref="R5825" r:id="rId11646" location="" tooltip="" display=""/>
    <hyperlink ref="L5826" r:id="rId11647" location="" tooltip="" display=""/>
    <hyperlink ref="R5826" r:id="rId11648" location="" tooltip="" display=""/>
    <hyperlink ref="L5827" r:id="rId11649" location="" tooltip="" display=""/>
    <hyperlink ref="R5827" r:id="rId11650" location="" tooltip="" display=""/>
    <hyperlink ref="L5829" r:id="rId11651" location="" tooltip="" display=""/>
    <hyperlink ref="R5829" r:id="rId11652" location="" tooltip="" display=""/>
    <hyperlink ref="K5830" r:id="rId11653" location="" tooltip="" display=""/>
    <hyperlink ref="L5830" r:id="rId11654" location="" tooltip="" display=""/>
    <hyperlink ref="Q5830" r:id="rId11655" location="" tooltip="" display=""/>
    <hyperlink ref="R5830" r:id="rId11656" location="" tooltip="" display=""/>
    <hyperlink ref="L5831" r:id="rId11657" location="" tooltip="" display=""/>
    <hyperlink ref="R5831" r:id="rId11658" location="" tooltip="" display=""/>
    <hyperlink ref="L5832" r:id="rId11659" location="" tooltip="" display=""/>
    <hyperlink ref="R5832" r:id="rId11660" location="" tooltip="" display=""/>
    <hyperlink ref="L5834" r:id="rId11661" location="" tooltip="" display=""/>
    <hyperlink ref="R5834" r:id="rId11662" location="" tooltip="" display=""/>
    <hyperlink ref="K5835" r:id="rId11663" location="" tooltip="" display=""/>
    <hyperlink ref="L5835" r:id="rId11664" location="" tooltip="" display=""/>
    <hyperlink ref="Q5835" r:id="rId11665" location="" tooltip="" display=""/>
    <hyperlink ref="R5835" r:id="rId11666" location="" tooltip="" display=""/>
    <hyperlink ref="L5836" r:id="rId11667" location="" tooltip="" display=""/>
    <hyperlink ref="R5836" r:id="rId11668" location="" tooltip="" display=""/>
    <hyperlink ref="K5838" r:id="rId11669" location="" tooltip="" display=""/>
    <hyperlink ref="L5838" r:id="rId11670" location="" tooltip="" display=""/>
    <hyperlink ref="Q5838" r:id="rId11671" location="" tooltip="" display=""/>
    <hyperlink ref="R5838" r:id="rId11672" location="" tooltip="" display=""/>
    <hyperlink ref="L5840" r:id="rId11673" location="" tooltip="" display=""/>
    <hyperlink ref="R5840" r:id="rId11674" location="" tooltip="" display=""/>
    <hyperlink ref="L5841" r:id="rId11675" location="" tooltip="" display=""/>
    <hyperlink ref="R5841" r:id="rId11676" location="" tooltip="" display=""/>
    <hyperlink ref="K5842" r:id="rId11677" location="" tooltip="" display=""/>
    <hyperlink ref="L5842" r:id="rId11678" location="" tooltip="" display=""/>
    <hyperlink ref="Q5842" r:id="rId11679" location="" tooltip="" display=""/>
    <hyperlink ref="R5842" r:id="rId11680" location="" tooltip="" display=""/>
    <hyperlink ref="L5843" r:id="rId11681" location="" tooltip="" display=""/>
    <hyperlink ref="R5843" r:id="rId11682" location="" tooltip="" display=""/>
    <hyperlink ref="L5844" r:id="rId11683" location="" tooltip="" display=""/>
    <hyperlink ref="R5844" r:id="rId11684" location="" tooltip="" display=""/>
    <hyperlink ref="L5846" r:id="rId11685" location="" tooltip="" display=""/>
    <hyperlink ref="R5846" r:id="rId11686" location="" tooltip="" display=""/>
    <hyperlink ref="L5847" r:id="rId11687" location="" tooltip="" display=""/>
    <hyperlink ref="R5847" r:id="rId11688" location="" tooltip="" display=""/>
    <hyperlink ref="K5848" r:id="rId11689" location="" tooltip="" display=""/>
    <hyperlink ref="L5848" r:id="rId11690" location="" tooltip="" display=""/>
    <hyperlink ref="Q5848" r:id="rId11691" location="" tooltip="" display=""/>
    <hyperlink ref="R5848" r:id="rId11692" location="" tooltip="" display=""/>
    <hyperlink ref="L5849" r:id="rId11693" location="" tooltip="" display=""/>
    <hyperlink ref="R5849" r:id="rId11694" location="" tooltip="" display=""/>
    <hyperlink ref="L5850" r:id="rId11695" location="" tooltip="" display=""/>
    <hyperlink ref="R5850" r:id="rId11696" location="" tooltip="" display=""/>
    <hyperlink ref="L5852" r:id="rId11697" location="" tooltip="" display=""/>
    <hyperlink ref="R5852" r:id="rId11698" location="" tooltip="" display=""/>
    <hyperlink ref="K5853" r:id="rId11699" location="" tooltip="" display=""/>
    <hyperlink ref="L5853" r:id="rId11700" location="" tooltip="" display=""/>
    <hyperlink ref="Q5853" r:id="rId11701" location="" tooltip="" display=""/>
    <hyperlink ref="R5853" r:id="rId11702" location="" tooltip="" display=""/>
    <hyperlink ref="L5854" r:id="rId11703" location="" tooltip="" display=""/>
    <hyperlink ref="R5854" r:id="rId11704" location="" tooltip="" display=""/>
    <hyperlink ref="L5855" r:id="rId11705" location="" tooltip="" display=""/>
    <hyperlink ref="R5855" r:id="rId11706" location="" tooltip="" display=""/>
    <hyperlink ref="L5857" r:id="rId11707" location="" tooltip="" display=""/>
    <hyperlink ref="R5857" r:id="rId11708" location="" tooltip="" display=""/>
    <hyperlink ref="K5858" r:id="rId11709" location="" tooltip="" display=""/>
    <hyperlink ref="L5858" r:id="rId11710" location="" tooltip="" display=""/>
    <hyperlink ref="Q5858" r:id="rId11711" location="" tooltip="" display=""/>
    <hyperlink ref="R5858" r:id="rId11712" location="" tooltip="" display=""/>
    <hyperlink ref="L5859" r:id="rId11713" location="" tooltip="" display=""/>
    <hyperlink ref="R5859" r:id="rId11714" location="" tooltip="" display=""/>
    <hyperlink ref="L5860" r:id="rId11715" location="" tooltip="" display=""/>
    <hyperlink ref="R5860" r:id="rId11716" location="" tooltip="" display=""/>
    <hyperlink ref="L5862" r:id="rId11717" location="" tooltip="" display=""/>
    <hyperlink ref="R5862" r:id="rId11718" location="" tooltip="" display=""/>
    <hyperlink ref="L5863" r:id="rId11719" location="" tooltip="" display=""/>
    <hyperlink ref="R5863" r:id="rId11720" location="" tooltip="" display=""/>
    <hyperlink ref="K5864" r:id="rId11721" location="" tooltip="" display=""/>
    <hyperlink ref="L5864" r:id="rId11722" location="" tooltip="" display=""/>
    <hyperlink ref="Q5864" r:id="rId11723" location="" tooltip="" display=""/>
    <hyperlink ref="R5864" r:id="rId11724" location="" tooltip="" display=""/>
    <hyperlink ref="L5865" r:id="rId11725" location="" tooltip="" display=""/>
    <hyperlink ref="R5865" r:id="rId11726" location="" tooltip="" display=""/>
    <hyperlink ref="L5866" r:id="rId11727" location="" tooltip="" display=""/>
    <hyperlink ref="R5866" r:id="rId11728" location="" tooltip="" display=""/>
    <hyperlink ref="L5868" r:id="rId11729" location="" tooltip="" display=""/>
    <hyperlink ref="R5868" r:id="rId11730" location="" tooltip="" display=""/>
    <hyperlink ref="K5869" r:id="rId11731" location="" tooltip="" display=""/>
    <hyperlink ref="L5869" r:id="rId11732" location="" tooltip="" display=""/>
    <hyperlink ref="Q5869" r:id="rId11733" location="" tooltip="" display=""/>
    <hyperlink ref="R5869" r:id="rId11734" location="" tooltip="" display=""/>
    <hyperlink ref="L5870" r:id="rId11735" location="" tooltip="" display=""/>
    <hyperlink ref="R5870" r:id="rId11736" location="" tooltip="" display=""/>
    <hyperlink ref="K5872" r:id="rId11737" location="" tooltip="" display=""/>
    <hyperlink ref="L5872" r:id="rId11738" location="" tooltip="" display=""/>
    <hyperlink ref="Q5872" r:id="rId11739" location="" tooltip="" display=""/>
    <hyperlink ref="R5872" r:id="rId11740" location="" tooltip="" display=""/>
    <hyperlink ref="L5874" r:id="rId11741" location="" tooltip="" display=""/>
    <hyperlink ref="R5874" r:id="rId11742" location="" tooltip="" display=""/>
    <hyperlink ref="K5875" r:id="rId11743" location="" tooltip="" display=""/>
    <hyperlink ref="L5875" r:id="rId11744" location="" tooltip="" display=""/>
    <hyperlink ref="Q5875" r:id="rId11745" location="" tooltip="" display=""/>
    <hyperlink ref="R5875" r:id="rId11746" location="" tooltip="" display=""/>
    <hyperlink ref="L5876" r:id="rId11747" location="" tooltip="" display=""/>
    <hyperlink ref="R5876" r:id="rId11748" location="" tooltip="" display=""/>
    <hyperlink ref="K5878" r:id="rId11749" location="" tooltip="" display=""/>
    <hyperlink ref="L5878" r:id="rId11750" location="" tooltip="" display=""/>
    <hyperlink ref="Q5878" r:id="rId11751" location="" tooltip="" display=""/>
    <hyperlink ref="R5878" r:id="rId11752" location="" tooltip="" display=""/>
    <hyperlink ref="L5880" r:id="rId11753" location="" tooltip="" display=""/>
    <hyperlink ref="R5880" r:id="rId11754" location="" tooltip="" display=""/>
    <hyperlink ref="K5881" r:id="rId11755" location="" tooltip="" display=""/>
    <hyperlink ref="L5881" r:id="rId11756" location="" tooltip="" display=""/>
    <hyperlink ref="Q5881" r:id="rId11757" location="" tooltip="" display=""/>
    <hyperlink ref="R5881" r:id="rId11758" location="" tooltip="" display=""/>
    <hyperlink ref="L5882" r:id="rId11759" location="" tooltip="" display=""/>
    <hyperlink ref="R5882" r:id="rId11760" location="" tooltip="" display=""/>
    <hyperlink ref="L5884" r:id="rId11761" location="" tooltip="" display=""/>
    <hyperlink ref="R5884" r:id="rId11762" location="" tooltip="" display=""/>
    <hyperlink ref="K5885" r:id="rId11763" location="" tooltip="" display=""/>
    <hyperlink ref="L5885" r:id="rId11764" location="" tooltip="" display=""/>
    <hyperlink ref="Q5885" r:id="rId11765" location="" tooltip="" display=""/>
    <hyperlink ref="R5885" r:id="rId11766" location="" tooltip="" display=""/>
    <hyperlink ref="L5886" r:id="rId11767" location="" tooltip="" display=""/>
    <hyperlink ref="R5886" r:id="rId11768" location="" tooltip="" display=""/>
    <hyperlink ref="L5887" r:id="rId11769" location="" tooltip="" display=""/>
    <hyperlink ref="R5887" r:id="rId11770" location="" tooltip="" display=""/>
    <hyperlink ref="K5889" r:id="rId11771" location="" tooltip="" display=""/>
    <hyperlink ref="L5889" r:id="rId11772" location="" tooltip="" display=""/>
    <hyperlink ref="Q5889" r:id="rId11773" location="" tooltip="" display=""/>
    <hyperlink ref="R5889" r:id="rId11774" location="" tooltip="" display=""/>
    <hyperlink ref="L5891" r:id="rId11775" location="" tooltip="" display=""/>
    <hyperlink ref="R5891" r:id="rId11776" location="" tooltip="" display=""/>
    <hyperlink ref="K5892" r:id="rId11777" location="" tooltip="" display=""/>
    <hyperlink ref="L5892" r:id="rId11778" location="" tooltip="" display=""/>
    <hyperlink ref="Q5892" r:id="rId11779" location="" tooltip="" display=""/>
    <hyperlink ref="R5892" r:id="rId11780" location="" tooltip="" display=""/>
    <hyperlink ref="L5893" r:id="rId11781" location="" tooltip="" display=""/>
    <hyperlink ref="R5893" r:id="rId11782" location="" tooltip="" display=""/>
    <hyperlink ref="L5895" r:id="rId11783" location="" tooltip="" display=""/>
    <hyperlink ref="R5895" r:id="rId11784" location="" tooltip="" display=""/>
    <hyperlink ref="K5896" r:id="rId11785" location="" tooltip="" display=""/>
    <hyperlink ref="L5896" r:id="rId11786" location="" tooltip="" display=""/>
    <hyperlink ref="Q5896" r:id="rId11787" location="" tooltip="" display=""/>
    <hyperlink ref="R5896" r:id="rId11788" location="" tooltip="" display=""/>
    <hyperlink ref="L5897" r:id="rId11789" location="" tooltip="" display=""/>
    <hyperlink ref="R5897" r:id="rId11790" location="" tooltip="" display=""/>
    <hyperlink ref="L5898" r:id="rId11791" location="" tooltip="" display=""/>
    <hyperlink ref="R5898" r:id="rId11792" location="" tooltip="" display=""/>
    <hyperlink ref="K5900" r:id="rId11793" location="" tooltip="" display=""/>
    <hyperlink ref="L5900" r:id="rId11794" location="" tooltip="" display=""/>
    <hyperlink ref="Q5900" r:id="rId11795" location="" tooltip="" display=""/>
    <hyperlink ref="R5900" r:id="rId11796" location="" tooltip="" display=""/>
    <hyperlink ref="K5902" r:id="rId11797" location="" tooltip="" display=""/>
    <hyperlink ref="L5902" r:id="rId11798" location="" tooltip="" display=""/>
    <hyperlink ref="Q5902" r:id="rId11799" location="" tooltip="" display=""/>
    <hyperlink ref="R5902" r:id="rId11800" location="" tooltip="" display=""/>
    <hyperlink ref="L5903" r:id="rId11801" location="" tooltip="" display=""/>
    <hyperlink ref="R5903" r:id="rId11802" location="" tooltip="" display=""/>
    <hyperlink ref="K5905" r:id="rId11803" location="" tooltip="" display=""/>
    <hyperlink ref="L5905" r:id="rId11804" location="" tooltip="" display=""/>
    <hyperlink ref="Q5905" r:id="rId11805" location="" tooltip="" display=""/>
    <hyperlink ref="R5905" r:id="rId11806" location="" tooltip="" display=""/>
    <hyperlink ref="L5907" r:id="rId11807" location="" tooltip="" display=""/>
    <hyperlink ref="R5907" r:id="rId11808" location="" tooltip="" display=""/>
    <hyperlink ref="K5908" r:id="rId11809" location="" tooltip="" display=""/>
    <hyperlink ref="L5908" r:id="rId11810" location="" tooltip="" display=""/>
    <hyperlink ref="Q5908" r:id="rId11811" location="" tooltip="" display=""/>
    <hyperlink ref="R5908" r:id="rId11812" location="" tooltip="" display=""/>
    <hyperlink ref="L5909" r:id="rId11813" location="" tooltip="" display=""/>
    <hyperlink ref="R5909" r:id="rId11814" location="" tooltip="" display=""/>
    <hyperlink ref="L5910" r:id="rId11815" location="" tooltip="" display=""/>
    <hyperlink ref="R5910" r:id="rId11816" location="" tooltip="" display=""/>
    <hyperlink ref="L5912" r:id="rId11817" location="" tooltip="" display=""/>
    <hyperlink ref="R5912" r:id="rId11818" location="" tooltip="" display=""/>
    <hyperlink ref="L5913" r:id="rId11819" location="" tooltip="" display=""/>
    <hyperlink ref="R5913" r:id="rId11820" location="" tooltip="" display=""/>
    <hyperlink ref="L5914" r:id="rId11821" location="" tooltip="" display=""/>
    <hyperlink ref="R5914" r:id="rId11822" location="" tooltip="" display=""/>
    <hyperlink ref="K5915" r:id="rId11823" location="" tooltip="" display=""/>
    <hyperlink ref="L5915" r:id="rId11824" location="" tooltip="" display=""/>
    <hyperlink ref="Q5915" r:id="rId11825" location="" tooltip="" display=""/>
    <hyperlink ref="R5915" r:id="rId11826" location="" tooltip="" display=""/>
    <hyperlink ref="L5916" r:id="rId11827" location="" tooltip="" display=""/>
    <hyperlink ref="R5916" r:id="rId11828" location="" tooltip="" display=""/>
    <hyperlink ref="L5917" r:id="rId11829" location="" tooltip="" display=""/>
    <hyperlink ref="R5917" r:id="rId11830" location="" tooltip="" display=""/>
    <hyperlink ref="L5918" r:id="rId11831" location="" tooltip="" display=""/>
    <hyperlink ref="R5918" r:id="rId11832" location="" tooltip="" display=""/>
    <hyperlink ref="L5919" r:id="rId11833" location="" tooltip="" display=""/>
    <hyperlink ref="R5919" r:id="rId11834" location="" tooltip="" display=""/>
    <hyperlink ref="K5921" r:id="rId11835" location="" tooltip="" display=""/>
    <hyperlink ref="L5921" r:id="rId11836" location="" tooltip="" display=""/>
    <hyperlink ref="Q5921" r:id="rId11837" location="" tooltip="" display=""/>
    <hyperlink ref="R5921" r:id="rId11838" location="" tooltip="" display=""/>
    <hyperlink ref="L5922" r:id="rId11839" location="" tooltip="" display=""/>
    <hyperlink ref="R5922" r:id="rId11840" location="" tooltip="" display=""/>
    <hyperlink ref="L5924" r:id="rId11841" location="" tooltip="" display=""/>
    <hyperlink ref="R5924" r:id="rId11842" location="" tooltip="" display=""/>
    <hyperlink ref="L5925" r:id="rId11843" location="" tooltip="" display=""/>
    <hyperlink ref="R5925" r:id="rId11844" location="" tooltip="" display=""/>
    <hyperlink ref="K5926" r:id="rId11845" location="" tooltip="" display=""/>
    <hyperlink ref="L5926" r:id="rId11846" location="" tooltip="" display=""/>
    <hyperlink ref="Q5926" r:id="rId11847" location="" tooltip="" display=""/>
    <hyperlink ref="R5926" r:id="rId11848" location="" tooltip="" display=""/>
    <hyperlink ref="L5927" r:id="rId11849" location="" tooltip="" display=""/>
    <hyperlink ref="R5927" r:id="rId11850" location="" tooltip="" display=""/>
    <hyperlink ref="L5928" r:id="rId11851" location="" tooltip="" display=""/>
    <hyperlink ref="R5928" r:id="rId11852" location="" tooltip="" display=""/>
    <hyperlink ref="L5930" r:id="rId11853" location="" tooltip="" display=""/>
    <hyperlink ref="R5930" r:id="rId11854" location="" tooltip="" display=""/>
    <hyperlink ref="L5931" r:id="rId11855" location="" tooltip="" display=""/>
    <hyperlink ref="R5931" r:id="rId11856" location="" tooltip="" display=""/>
    <hyperlink ref="K5932" r:id="rId11857" location="" tooltip="" display=""/>
    <hyperlink ref="L5932" r:id="rId11858" location="" tooltip="" display=""/>
    <hyperlink ref="Q5932" r:id="rId11859" location="" tooltip="" display=""/>
    <hyperlink ref="R5932" r:id="rId11860" location="" tooltip="" display=""/>
    <hyperlink ref="L5933" r:id="rId11861" location="" tooltip="" display=""/>
    <hyperlink ref="R5933" r:id="rId11862" location="" tooltip="" display=""/>
    <hyperlink ref="L5934" r:id="rId11863" location="" tooltip="" display=""/>
    <hyperlink ref="R5934" r:id="rId11864" location="" tooltip="" display=""/>
    <hyperlink ref="L5936" r:id="rId11865" location="" tooltip="" display=""/>
    <hyperlink ref="R5936" r:id="rId11866" location="" tooltip="" display=""/>
    <hyperlink ref="K5937" r:id="rId11867" location="" tooltip="" display=""/>
    <hyperlink ref="L5937" r:id="rId11868" location="" tooltip="" display=""/>
    <hyperlink ref="Q5937" r:id="rId11869" location="" tooltip="" display=""/>
    <hyperlink ref="R5937" r:id="rId11870" location="" tooltip="" display=""/>
    <hyperlink ref="L5938" r:id="rId11871" location="" tooltip="" display=""/>
    <hyperlink ref="R5938" r:id="rId11872" location="" tooltip="" display=""/>
    <hyperlink ref="L5940" r:id="rId11873" location="" tooltip="" display=""/>
    <hyperlink ref="R5940" r:id="rId11874" location="" tooltip="" display=""/>
    <hyperlink ref="K5941" r:id="rId11875" location="" tooltip="" display=""/>
    <hyperlink ref="L5941" r:id="rId11876" location="" tooltip="" display=""/>
    <hyperlink ref="Q5941" r:id="rId11877" location="" tooltip="" display=""/>
    <hyperlink ref="R5941" r:id="rId11878" location="" tooltip="" display=""/>
    <hyperlink ref="L5942" r:id="rId11879" location="" tooltip="" display=""/>
    <hyperlink ref="R5942" r:id="rId11880" location="" tooltip="" display=""/>
    <hyperlink ref="L5944" r:id="rId11881" location="" tooltip="" display=""/>
    <hyperlink ref="R5944" r:id="rId11882" location="" tooltip="" display=""/>
    <hyperlink ref="K5945" r:id="rId11883" location="" tooltip="" display=""/>
    <hyperlink ref="L5945" r:id="rId11884" location="" tooltip="" display=""/>
    <hyperlink ref="Q5945" r:id="rId11885" location="" tooltip="" display=""/>
    <hyperlink ref="R5945" r:id="rId11886" location="" tooltip="" display=""/>
    <hyperlink ref="L5946" r:id="rId11887" location="" tooltip="" display=""/>
    <hyperlink ref="R5946" r:id="rId11888" location="" tooltip="" display=""/>
    <hyperlink ref="L5947" r:id="rId11889" location="" tooltip="" display=""/>
    <hyperlink ref="R5947" r:id="rId11890" location="" tooltip="" display=""/>
    <hyperlink ref="L5949" r:id="rId11891" location="" tooltip="" display=""/>
    <hyperlink ref="R5949" r:id="rId11892" location="" tooltip="" display=""/>
    <hyperlink ref="K5950" r:id="rId11893" location="" tooltip="" display=""/>
    <hyperlink ref="L5950" r:id="rId11894" location="" tooltip="" display=""/>
    <hyperlink ref="Q5950" r:id="rId11895" location="" tooltip="" display=""/>
    <hyperlink ref="R5950" r:id="rId11896" location="" tooltip="" display=""/>
    <hyperlink ref="L5951" r:id="rId11897" location="" tooltip="" display=""/>
    <hyperlink ref="R5951" r:id="rId11898" location="" tooltip="" display=""/>
    <hyperlink ref="L5952" r:id="rId11899" location="" tooltip="" display=""/>
    <hyperlink ref="R5952" r:id="rId11900" location="" tooltip="" display=""/>
    <hyperlink ref="L5954" r:id="rId11901" location="" tooltip="" display=""/>
    <hyperlink ref="R5954" r:id="rId11902" location="" tooltip="" display=""/>
    <hyperlink ref="K5955" r:id="rId11903" location="" tooltip="" display=""/>
    <hyperlink ref="L5955" r:id="rId11904" location="" tooltip="" display=""/>
    <hyperlink ref="Q5955" r:id="rId11905" location="" tooltip="" display=""/>
    <hyperlink ref="R5955" r:id="rId11906" location="" tooltip="" display=""/>
    <hyperlink ref="L5956" r:id="rId11907" location="" tooltip="" display=""/>
    <hyperlink ref="R5956" r:id="rId11908" location="" tooltip="" display=""/>
    <hyperlink ref="L5957" r:id="rId11909" location="" tooltip="" display=""/>
    <hyperlink ref="R5957" r:id="rId11910" location="" tooltip="" display=""/>
    <hyperlink ref="L5959" r:id="rId11911" location="" tooltip="" display=""/>
    <hyperlink ref="R5959" r:id="rId11912" location="" tooltip="" display=""/>
    <hyperlink ref="K5960" r:id="rId11913" location="" tooltip="" display=""/>
    <hyperlink ref="L5960" r:id="rId11914" location="" tooltip="" display=""/>
    <hyperlink ref="Q5960" r:id="rId11915" location="" tooltip="" display=""/>
    <hyperlink ref="R5960" r:id="rId11916" location="" tooltip="" display=""/>
    <hyperlink ref="L5961" r:id="rId11917" location="" tooltip="" display=""/>
    <hyperlink ref="R5961" r:id="rId11918" location="" tooltip="" display=""/>
    <hyperlink ref="L5962" r:id="rId11919" location="" tooltip="" display=""/>
    <hyperlink ref="R5962" r:id="rId11920" location="" tooltip="" display=""/>
    <hyperlink ref="L5964" r:id="rId11921" location="" tooltip="" display=""/>
    <hyperlink ref="R5964" r:id="rId11922" location="" tooltip="" display=""/>
    <hyperlink ref="K5965" r:id="rId11923" location="" tooltip="" display=""/>
    <hyperlink ref="L5965" r:id="rId11924" location="" tooltip="" display=""/>
    <hyperlink ref="Q5965" r:id="rId11925" location="" tooltip="" display=""/>
    <hyperlink ref="R5965" r:id="rId11926" location="" tooltip="" display=""/>
    <hyperlink ref="L5966" r:id="rId11927" location="" tooltip="" display=""/>
    <hyperlink ref="R5966" r:id="rId11928" location="" tooltip="" display=""/>
    <hyperlink ref="K5968" r:id="rId11929" location="" tooltip="" display=""/>
    <hyperlink ref="L5968" r:id="rId11930" location="" tooltip="" display=""/>
    <hyperlink ref="Q5968" r:id="rId11931" location="" tooltip="" display=""/>
    <hyperlink ref="R5968" r:id="rId11932" location="" tooltip="" display=""/>
    <hyperlink ref="K5970" r:id="rId11933" location="" tooltip="" display=""/>
    <hyperlink ref="L5970" r:id="rId11934" location="" tooltip="" display=""/>
    <hyperlink ref="Q5970" r:id="rId11935" location="" tooltip="" display=""/>
    <hyperlink ref="R5970" r:id="rId11936" location="" tooltip="" display=""/>
    <hyperlink ref="L5971" r:id="rId11937" location="" tooltip="" display=""/>
    <hyperlink ref="R5971" r:id="rId11938" location="" tooltip="" display=""/>
    <hyperlink ref="L5973" r:id="rId11939" location="" tooltip="" display=""/>
    <hyperlink ref="R5973" r:id="rId11940" location="" tooltip="" display=""/>
    <hyperlink ref="L5974" r:id="rId11941" location="" tooltip="" display=""/>
    <hyperlink ref="R5974" r:id="rId11942" location="" tooltip="" display=""/>
    <hyperlink ref="K5975" r:id="rId11943" location="" tooltip="" display=""/>
    <hyperlink ref="L5975" r:id="rId11944" location="" tooltip="" display=""/>
    <hyperlink ref="Q5975" r:id="rId11945" location="" tooltip="" display=""/>
    <hyperlink ref="R5975" r:id="rId11946" location="" tooltip="" display=""/>
    <hyperlink ref="L5976" r:id="rId11947" location="" tooltip="" display=""/>
    <hyperlink ref="R5976" r:id="rId11948" location="" tooltip="" display=""/>
    <hyperlink ref="L5977" r:id="rId11949" location="" tooltip="" display=""/>
    <hyperlink ref="R5977" r:id="rId11950" location="" tooltip="" display=""/>
    <hyperlink ref="K5979" r:id="rId11951" location="" tooltip="" display=""/>
    <hyperlink ref="L5979" r:id="rId11952" location="" tooltip="" display=""/>
    <hyperlink ref="Q5979" r:id="rId11953" location="" tooltip="" display=""/>
    <hyperlink ref="R5979" r:id="rId11954" location="" tooltip="" display=""/>
    <hyperlink ref="L5980" r:id="rId11955" location="" tooltip="" display=""/>
    <hyperlink ref="R5980" r:id="rId11956" location="" tooltip="" display=""/>
    <hyperlink ref="K5982" r:id="rId11957" location="" tooltip="" display=""/>
    <hyperlink ref="L5982" r:id="rId11958" location="" tooltip="" display=""/>
    <hyperlink ref="Q5982" r:id="rId11959" location="" tooltip="" display=""/>
    <hyperlink ref="R5982" r:id="rId11960" location="" tooltip="" display=""/>
    <hyperlink ref="L5984" r:id="rId11961" location="" tooltip="" display=""/>
    <hyperlink ref="R5984" r:id="rId11962" location="" tooltip="" display=""/>
    <hyperlink ref="L5985" r:id="rId11963" location="" tooltip="" display=""/>
    <hyperlink ref="R5985" r:id="rId11964" location="" tooltip="" display=""/>
    <hyperlink ref="L5986" r:id="rId11965" location="" tooltip="" display=""/>
    <hyperlink ref="R5986" r:id="rId11966" location="" tooltip="" display=""/>
    <hyperlink ref="K5987" r:id="rId11967" location="" tooltip="" display=""/>
    <hyperlink ref="L5987" r:id="rId11968" location="" tooltip="" display=""/>
    <hyperlink ref="Q5987" r:id="rId11969" location="" tooltip="" display=""/>
    <hyperlink ref="R5987" r:id="rId11970" location="" tooltip="" display=""/>
    <hyperlink ref="L5988" r:id="rId11971" location="" tooltip="" display=""/>
    <hyperlink ref="R5988" r:id="rId11972" location="" tooltip="" display=""/>
    <hyperlink ref="L5989" r:id="rId11973" location="" tooltip="" display=""/>
    <hyperlink ref="R5989" r:id="rId11974" location="" tooltip="" display=""/>
    <hyperlink ref="L5990" r:id="rId11975" location="" tooltip="" display=""/>
    <hyperlink ref="R5990" r:id="rId11976" location="" tooltip="" display=""/>
    <hyperlink ref="L5991" r:id="rId11977" location="" tooltip="" display=""/>
    <hyperlink ref="R5991" r:id="rId11978" location="" tooltip="" display=""/>
    <hyperlink ref="L5993" r:id="rId11979" location="" tooltip="" display=""/>
    <hyperlink ref="R5993" r:id="rId11980" location="" tooltip="" display=""/>
    <hyperlink ref="K5994" r:id="rId11981" location="" tooltip="" display=""/>
    <hyperlink ref="L5994" r:id="rId11982" location="" tooltip="" display=""/>
    <hyperlink ref="Q5994" r:id="rId11983" location="" tooltip="" display=""/>
    <hyperlink ref="R5994" r:id="rId11984" location="" tooltip="" display=""/>
    <hyperlink ref="L5995" r:id="rId11985" location="" tooltip="" display=""/>
    <hyperlink ref="R5995" r:id="rId11986" location="" tooltip="" display=""/>
    <hyperlink ref="K5997" r:id="rId11987" location="" tooltip="" display=""/>
    <hyperlink ref="L5997" r:id="rId11988" location="" tooltip="" display=""/>
    <hyperlink ref="Q5997" r:id="rId11989" location="" tooltip="" display=""/>
    <hyperlink ref="R5997" r:id="rId11990" location="" tooltip="" display=""/>
    <hyperlink ref="K5999" r:id="rId11991" location="" tooltip="" display=""/>
    <hyperlink ref="L5999" r:id="rId11992" location="" tooltip="" display=""/>
    <hyperlink ref="Q5999" r:id="rId11993" location="" tooltip="" display=""/>
    <hyperlink ref="R5999" r:id="rId11994" location="" tooltip="" display=""/>
    <hyperlink ref="L6001" r:id="rId11995" location="" tooltip="" display=""/>
    <hyperlink ref="R6001" r:id="rId11996" location="" tooltip="" display=""/>
    <hyperlink ref="K6002" r:id="rId11997" location="" tooltip="" display=""/>
    <hyperlink ref="L6002" r:id="rId11998" location="" tooltip="" display=""/>
    <hyperlink ref="Q6002" r:id="rId11999" location="" tooltip="" display=""/>
    <hyperlink ref="R6002" r:id="rId12000" location="" tooltip="" display=""/>
    <hyperlink ref="L6003" r:id="rId12001" location="" tooltip="" display=""/>
    <hyperlink ref="R6003" r:id="rId12002" location="" tooltip="" display=""/>
    <hyperlink ref="L6004" r:id="rId12003" location="" tooltip="" display=""/>
    <hyperlink ref="R6004" r:id="rId12004" location="" tooltip="" display=""/>
    <hyperlink ref="L6006" r:id="rId12005" location="" tooltip="" display=""/>
    <hyperlink ref="R6006" r:id="rId12006" location="" tooltip="" display=""/>
    <hyperlink ref="L6007" r:id="rId12007" location="" tooltip="" display=""/>
    <hyperlink ref="R6007" r:id="rId12008" location="" tooltip="" display=""/>
    <hyperlink ref="K6008" r:id="rId12009" location="" tooltip="" display=""/>
    <hyperlink ref="L6008" r:id="rId12010" location="" tooltip="" display=""/>
    <hyperlink ref="Q6008" r:id="rId12011" location="" tooltip="" display=""/>
    <hyperlink ref="R6008" r:id="rId12012" location="" tooltip="" display=""/>
    <hyperlink ref="L6009" r:id="rId12013" location="" tooltip="" display=""/>
    <hyperlink ref="R6009" r:id="rId12014" location="" tooltip="" display=""/>
    <hyperlink ref="L6010" r:id="rId12015" location="" tooltip="" display=""/>
    <hyperlink ref="R6010" r:id="rId12016" location="" tooltip="" display=""/>
    <hyperlink ref="L6011" r:id="rId12017" location="" tooltip="" display=""/>
    <hyperlink ref="R6011" r:id="rId12018" location="" tooltip="" display=""/>
    <hyperlink ref="L6013" r:id="rId12019" location="" tooltip="" display=""/>
    <hyperlink ref="R6013" r:id="rId12020" location="" tooltip="" display=""/>
    <hyperlink ref="K6014" r:id="rId12021" location="" tooltip="" display=""/>
    <hyperlink ref="L6014" r:id="rId12022" location="" tooltip="" display=""/>
    <hyperlink ref="Q6014" r:id="rId12023" location="" tooltip="" display=""/>
    <hyperlink ref="R6014" r:id="rId12024" location="" tooltip="" display=""/>
    <hyperlink ref="L6015" r:id="rId12025" location="" tooltip="" display=""/>
    <hyperlink ref="R6015" r:id="rId12026" location="" tooltip="" display=""/>
    <hyperlink ref="L6016" r:id="rId12027" location="" tooltip="" display=""/>
    <hyperlink ref="R6016" r:id="rId12028" location="" tooltip="" display=""/>
    <hyperlink ref="L6018" r:id="rId12029" location="" tooltip="" display=""/>
    <hyperlink ref="R6018" r:id="rId12030" location="" tooltip="" display=""/>
    <hyperlink ref="K6019" r:id="rId12031" location="" tooltip="" display=""/>
    <hyperlink ref="L6019" r:id="rId12032" location="" tooltip="" display=""/>
    <hyperlink ref="Q6019" r:id="rId12033" location="" tooltip="" display=""/>
    <hyperlink ref="R6019" r:id="rId12034" location="" tooltip="" display=""/>
    <hyperlink ref="L6020" r:id="rId12035" location="" tooltip="" display=""/>
    <hyperlink ref="R6020" r:id="rId12036" location="" tooltip="" display=""/>
    <hyperlink ref="K6022" r:id="rId12037" location="" tooltip="" display=""/>
    <hyperlink ref="L6022" r:id="rId12038" location="" tooltip="" display=""/>
    <hyperlink ref="Q6022" r:id="rId12039" location="" tooltip="" display=""/>
    <hyperlink ref="R6022" r:id="rId12040" location="" tooltip="" display=""/>
    <hyperlink ref="L6023" r:id="rId12041" location="" tooltip="" display=""/>
    <hyperlink ref="R6023" r:id="rId12042" location="" tooltip="" display=""/>
    <hyperlink ref="K6025" r:id="rId12043" location="" tooltip="" display=""/>
    <hyperlink ref="L6025" r:id="rId12044" location="" tooltip="" display=""/>
    <hyperlink ref="Q6025" r:id="rId12045" location="" tooltip="" display=""/>
    <hyperlink ref="R6025" r:id="rId12046" location="" tooltip="" display=""/>
    <hyperlink ref="L6026" r:id="rId12047" location="" tooltip="" display=""/>
    <hyperlink ref="R6026" r:id="rId12048" location="" tooltip="" display=""/>
    <hyperlink ref="K6028" r:id="rId12049" location="" tooltip="" display=""/>
    <hyperlink ref="L6028" r:id="rId12050" location="" tooltip="" display=""/>
    <hyperlink ref="Q6028" r:id="rId12051" location="" tooltip="" display=""/>
    <hyperlink ref="R6028" r:id="rId12052" location="" tooltip="" display=""/>
    <hyperlink ref="L6030" r:id="rId12053" location="" tooltip="" display=""/>
    <hyperlink ref="R6030" r:id="rId12054" location="" tooltip="" display=""/>
    <hyperlink ref="K6031" r:id="rId12055" location="" tooltip="" display=""/>
    <hyperlink ref="L6031" r:id="rId12056" location="" tooltip="" display=""/>
    <hyperlink ref="Q6031" r:id="rId12057" location="" tooltip="" display=""/>
    <hyperlink ref="R6031" r:id="rId12058" location="" tooltip="" display=""/>
    <hyperlink ref="L6032" r:id="rId12059" location="" tooltip="" display=""/>
    <hyperlink ref="R6032" r:id="rId12060" location="" tooltip="" display=""/>
    <hyperlink ref="L6033" r:id="rId12061" location="" tooltip="" display=""/>
    <hyperlink ref="R6033" r:id="rId12062" location="" tooltip="" display=""/>
    <hyperlink ref="L6035" r:id="rId12063" location="" tooltip="" display=""/>
    <hyperlink ref="R6035" r:id="rId12064" location="" tooltip="" display=""/>
    <hyperlink ref="K6036" r:id="rId12065" location="" tooltip="" display=""/>
    <hyperlink ref="L6036" r:id="rId12066" location="" tooltip="" display=""/>
    <hyperlink ref="Q6036" r:id="rId12067" location="" tooltip="" display=""/>
    <hyperlink ref="R6036" r:id="rId12068" location="" tooltip="" display=""/>
    <hyperlink ref="L6037" r:id="rId12069" location="" tooltip="" display=""/>
    <hyperlink ref="R6037" r:id="rId12070" location="" tooltip="" display=""/>
    <hyperlink ref="L6038" r:id="rId12071" location="" tooltip="" display=""/>
    <hyperlink ref="R6038" r:id="rId12072" location="" tooltip="" display=""/>
    <hyperlink ref="L6040" r:id="rId12073" location="" tooltip="" display=""/>
    <hyperlink ref="R6040" r:id="rId12074" location="" tooltip="" display=""/>
    <hyperlink ref="L6041" r:id="rId12075" location="" tooltip="" display=""/>
    <hyperlink ref="R6041" r:id="rId12076" location="" tooltip="" display=""/>
    <hyperlink ref="K6042" r:id="rId12077" location="" tooltip="" display=""/>
    <hyperlink ref="L6042" r:id="rId12078" location="" tooltip="" display=""/>
    <hyperlink ref="Q6042" r:id="rId12079" location="" tooltip="" display=""/>
    <hyperlink ref="R6042" r:id="rId12080" location="" tooltip="" display=""/>
    <hyperlink ref="L6043" r:id="rId12081" location="" tooltip="" display=""/>
    <hyperlink ref="R6043" r:id="rId12082" location="" tooltip="" display=""/>
    <hyperlink ref="L6044" r:id="rId12083" location="" tooltip="" display=""/>
    <hyperlink ref="R6044" r:id="rId12084" location="" tooltip="" display=""/>
    <hyperlink ref="L6045" r:id="rId12085" location="" tooltip="" display=""/>
    <hyperlink ref="R6045" r:id="rId12086" location="" tooltip="" display=""/>
    <hyperlink ref="L6047" r:id="rId12087" location="" tooltip="" display=""/>
    <hyperlink ref="R6047" r:id="rId12088" location="" tooltip="" display=""/>
    <hyperlink ref="K6048" r:id="rId12089" location="" tooltip="" display=""/>
    <hyperlink ref="L6048" r:id="rId12090" location="" tooltip="" display=""/>
    <hyperlink ref="Q6048" r:id="rId12091" location="" tooltip="" display=""/>
    <hyperlink ref="R6048" r:id="rId12092" location="" tooltip="" display=""/>
    <hyperlink ref="L6049" r:id="rId12093" location="" tooltip="" display=""/>
    <hyperlink ref="R6049" r:id="rId12094" location="" tooltip="" display=""/>
    <hyperlink ref="L6050" r:id="rId12095" location="" tooltip="" display=""/>
    <hyperlink ref="R6050" r:id="rId12096" location="" tooltip="" display=""/>
    <hyperlink ref="L6052" r:id="rId12097" location="" tooltip="" display=""/>
    <hyperlink ref="R6052" r:id="rId12098" location="" tooltip="" display=""/>
    <hyperlink ref="L6053" r:id="rId12099" location="" tooltip="" display=""/>
    <hyperlink ref="R6053" r:id="rId12100" location="" tooltip="" display=""/>
    <hyperlink ref="K6054" r:id="rId12101" location="" tooltip="" display=""/>
    <hyperlink ref="L6054" r:id="rId12102" location="" tooltip="" display=""/>
    <hyperlink ref="Q6054" r:id="rId12103" location="" tooltip="" display=""/>
    <hyperlink ref="R6054" r:id="rId12104" location="" tooltip="" display=""/>
    <hyperlink ref="L6055" r:id="rId12105" location="" tooltip="" display=""/>
    <hyperlink ref="R6055" r:id="rId12106" location="" tooltip="" display=""/>
    <hyperlink ref="L6056" r:id="rId12107" location="" tooltip="" display=""/>
    <hyperlink ref="R6056" r:id="rId12108" location="" tooltip="" display=""/>
    <hyperlink ref="K6058" r:id="rId12109" location="" tooltip="" display=""/>
    <hyperlink ref="L6058" r:id="rId12110" location="" tooltip="" display=""/>
    <hyperlink ref="Q6058" r:id="rId12111" location="" tooltip="" display=""/>
    <hyperlink ref="R6058" r:id="rId12112" location="" tooltip="" display=""/>
    <hyperlink ref="L6060" r:id="rId12113" location="" tooltip="" display=""/>
    <hyperlink ref="R6060" r:id="rId12114" location="" tooltip="" display=""/>
    <hyperlink ref="K6061" r:id="rId12115" location="" tooltip="" display=""/>
    <hyperlink ref="L6061" r:id="rId12116" location="" tooltip="" display=""/>
    <hyperlink ref="Q6061" r:id="rId12117" location="" tooltip="" display=""/>
    <hyperlink ref="R6061" r:id="rId12118" location="" tooltip="" display=""/>
    <hyperlink ref="L6062" r:id="rId12119" location="" tooltip="" display=""/>
    <hyperlink ref="R6062" r:id="rId12120" location="" tooltip="" display=""/>
    <hyperlink ref="L6063" r:id="rId12121" location="" tooltip="" display=""/>
    <hyperlink ref="R6063" r:id="rId12122" location="" tooltip="" display=""/>
    <hyperlink ref="L6065" r:id="rId12123" location="" tooltip="" display=""/>
    <hyperlink ref="R6065" r:id="rId12124" location="" tooltip="" display=""/>
    <hyperlink ref="K6066" r:id="rId12125" location="" tooltip="" display=""/>
    <hyperlink ref="L6066" r:id="rId12126" location="" tooltip="" display=""/>
    <hyperlink ref="Q6066" r:id="rId12127" location="" tooltip="" display=""/>
    <hyperlink ref="R6066" r:id="rId12128" location="" tooltip="" display=""/>
    <hyperlink ref="L6067" r:id="rId12129" location="" tooltip="" display=""/>
    <hyperlink ref="R6067" r:id="rId12130" location="" tooltip="" display=""/>
    <hyperlink ref="L6069" r:id="rId12131" location="" tooltip="" display=""/>
    <hyperlink ref="R6069" r:id="rId12132" location="" tooltip="" display=""/>
    <hyperlink ref="K6070" r:id="rId12133" location="" tooltip="" display=""/>
    <hyperlink ref="L6070" r:id="rId12134" location="" tooltip="" display=""/>
    <hyperlink ref="Q6070" r:id="rId12135" location="" tooltip="" display=""/>
    <hyperlink ref="R6070" r:id="rId12136" location="" tooltip="" display=""/>
    <hyperlink ref="L6071" r:id="rId12137" location="" tooltip="" display=""/>
    <hyperlink ref="R6071" r:id="rId12138" location="" tooltip="" display=""/>
    <hyperlink ref="L6073" r:id="rId12139" location="" tooltip="" display=""/>
    <hyperlink ref="R6073" r:id="rId12140" location="" tooltip="" display=""/>
    <hyperlink ref="K6074" r:id="rId12141" location="" tooltip="" display=""/>
    <hyperlink ref="L6074" r:id="rId12142" location="" tooltip="" display=""/>
    <hyperlink ref="Q6074" r:id="rId12143" location="" tooltip="" display=""/>
    <hyperlink ref="R6074" r:id="rId12144" location="" tooltip="" display=""/>
    <hyperlink ref="L6075" r:id="rId12145" location="" tooltip="" display=""/>
    <hyperlink ref="R6075" r:id="rId12146" location="" tooltip="" display=""/>
    <hyperlink ref="L6076" r:id="rId12147" location="" tooltip="" display=""/>
    <hyperlink ref="R6076" r:id="rId12148" location="" tooltip="" display=""/>
    <hyperlink ref="L6078" r:id="rId12149" location="" tooltip="" display=""/>
    <hyperlink ref="R6078" r:id="rId12150" location="" tooltip="" display=""/>
    <hyperlink ref="K6079" r:id="rId12151" location="" tooltip="" display=""/>
    <hyperlink ref="L6079" r:id="rId12152" location="" tooltip="" display=""/>
    <hyperlink ref="Q6079" r:id="rId12153" location="" tooltip="" display=""/>
    <hyperlink ref="R6079" r:id="rId12154" location="" tooltip="" display=""/>
    <hyperlink ref="L6080" r:id="rId12155" location="" tooltip="" display=""/>
    <hyperlink ref="R6080" r:id="rId12156" location="" tooltip="" display=""/>
    <hyperlink ref="L6081" r:id="rId12157" location="" tooltip="" display=""/>
    <hyperlink ref="R6081" r:id="rId12158" location="" tooltip="" display=""/>
    <hyperlink ref="K6083" r:id="rId12159" location="" tooltip="" display=""/>
    <hyperlink ref="L6083" r:id="rId12160" location="" tooltip="" display=""/>
    <hyperlink ref="Q6083" r:id="rId12161" location="" tooltip="" display=""/>
    <hyperlink ref="R6083" r:id="rId12162" location="" tooltip="" display=""/>
    <hyperlink ref="L6084" r:id="rId12163" location="" tooltip="" display=""/>
    <hyperlink ref="R6084" r:id="rId12164" location="" tooltip="" display=""/>
    <hyperlink ref="K6086" r:id="rId12165" location="" tooltip="" display=""/>
    <hyperlink ref="L6086" r:id="rId12166" location="" tooltip="" display=""/>
    <hyperlink ref="Q6086" r:id="rId12167" location="" tooltip="" display=""/>
    <hyperlink ref="R6086" r:id="rId12168" location="" tooltip="" display=""/>
    <hyperlink ref="L6087" r:id="rId12169" location="" tooltip="" display=""/>
    <hyperlink ref="R6087" r:id="rId12170" location="" tooltip="" display=""/>
    <hyperlink ref="K6089" r:id="rId12171" location="" tooltip="" display=""/>
    <hyperlink ref="L6089" r:id="rId12172" location="" tooltip="" display=""/>
    <hyperlink ref="Q6089" r:id="rId12173" location="" tooltip="" display=""/>
    <hyperlink ref="R6089" r:id="rId12174" location="" tooltip="" display=""/>
    <hyperlink ref="L6090" r:id="rId12175" location="" tooltip="" display=""/>
    <hyperlink ref="R6090" r:id="rId12176" location="" tooltip="" display=""/>
    <hyperlink ref="L6092" r:id="rId12177" location="" tooltip="" display=""/>
    <hyperlink ref="R6092" r:id="rId12178" location="" tooltip="" display=""/>
    <hyperlink ref="K6093" r:id="rId12179" location="" tooltip="" display=""/>
    <hyperlink ref="L6093" r:id="rId12180" location="" tooltip="" display=""/>
    <hyperlink ref="Q6093" r:id="rId12181" location="" tooltip="" display=""/>
    <hyperlink ref="R6093" r:id="rId12182" location="" tooltip="" display=""/>
    <hyperlink ref="L6094" r:id="rId12183" location="" tooltip="" display=""/>
    <hyperlink ref="R6094" r:id="rId12184" location="" tooltip="" display=""/>
    <hyperlink ref="L6095" r:id="rId12185" location="" tooltip="" display=""/>
    <hyperlink ref="R6095" r:id="rId12186" location="" tooltip="" display=""/>
    <hyperlink ref="L6097" r:id="rId12187" location="" tooltip="" display=""/>
    <hyperlink ref="R6097" r:id="rId12188" location="" tooltip="" display=""/>
    <hyperlink ref="K6098" r:id="rId12189" location="" tooltip="" display=""/>
    <hyperlink ref="L6098" r:id="rId12190" location="" tooltip="" display=""/>
    <hyperlink ref="Q6098" r:id="rId12191" location="" tooltip="" display=""/>
    <hyperlink ref="R6098" r:id="rId12192" location="" tooltip="" display=""/>
    <hyperlink ref="L6099" r:id="rId12193" location="" tooltip="" display=""/>
    <hyperlink ref="R6099" r:id="rId12194" location="" tooltip="" display=""/>
    <hyperlink ref="K6101" r:id="rId12195" location="" tooltip="" display=""/>
    <hyperlink ref="L6101" r:id="rId12196" location="" tooltip="" display=""/>
    <hyperlink ref="Q6101" r:id="rId12197" location="" tooltip="" display=""/>
    <hyperlink ref="R6101" r:id="rId12198" location="" tooltip="" display=""/>
    <hyperlink ref="L6102" r:id="rId12199" location="" tooltip="" display=""/>
    <hyperlink ref="R6102" r:id="rId12200" location="" tooltip="" display=""/>
    <hyperlink ref="K6104" r:id="rId12201" location="" tooltip="" display=""/>
    <hyperlink ref="L6104" r:id="rId12202" location="" tooltip="" display=""/>
    <hyperlink ref="Q6104" r:id="rId12203" location="" tooltip="" display=""/>
    <hyperlink ref="R6104" r:id="rId12204" location="" tooltip="" display=""/>
    <hyperlink ref="L6105" r:id="rId12205" location="" tooltip="" display=""/>
    <hyperlink ref="R6105" r:id="rId12206" location="" tooltip="" display=""/>
    <hyperlink ref="L6107" r:id="rId12207" location="" tooltip="" display=""/>
    <hyperlink ref="R6107" r:id="rId12208" location="" tooltip="" display=""/>
    <hyperlink ref="K6108" r:id="rId12209" location="" tooltip="" display=""/>
    <hyperlink ref="L6108" r:id="rId12210" location="" tooltip="" display=""/>
    <hyperlink ref="Q6108" r:id="rId12211" location="" tooltip="" display=""/>
    <hyperlink ref="R6108" r:id="rId12212" location="" tooltip="" display=""/>
    <hyperlink ref="L6109" r:id="rId12213" location="" tooltip="" display=""/>
    <hyperlink ref="R6109" r:id="rId12214" location="" tooltip="" display=""/>
    <hyperlink ref="L6110" r:id="rId12215" location="" tooltip="" display=""/>
    <hyperlink ref="R6110" r:id="rId12216" location="" tooltip="" display=""/>
    <hyperlink ref="L6112" r:id="rId12217" location="" tooltip="" display=""/>
    <hyperlink ref="R6112" r:id="rId12218" location="" tooltip="" display=""/>
    <hyperlink ref="K6113" r:id="rId12219" location="" tooltip="" display=""/>
    <hyperlink ref="L6113" r:id="rId12220" location="" tooltip="" display=""/>
    <hyperlink ref="Q6113" r:id="rId12221" location="" tooltip="" display=""/>
    <hyperlink ref="R6113" r:id="rId12222" location="" tooltip="" display=""/>
    <hyperlink ref="L6114" r:id="rId12223" location="" tooltip="" display=""/>
    <hyperlink ref="R6114" r:id="rId12224" location="" tooltip="" display=""/>
    <hyperlink ref="L6115" r:id="rId12225" location="" tooltip="" display=""/>
    <hyperlink ref="R6115" r:id="rId12226" location="" tooltip="" display=""/>
    <hyperlink ref="K6117" r:id="rId12227" location="" tooltip="" display=""/>
    <hyperlink ref="L6117" r:id="rId12228" location="" tooltip="" display=""/>
    <hyperlink ref="Q6117" r:id="rId12229" location="" tooltip="" display=""/>
    <hyperlink ref="R6117" r:id="rId12230" location="" tooltip="" display=""/>
    <hyperlink ref="L6118" r:id="rId12231" location="" tooltip="" display=""/>
    <hyperlink ref="R6118" r:id="rId12232" location="" tooltip="" display=""/>
    <hyperlink ref="L6120" r:id="rId12233" location="" tooltip="" display=""/>
    <hyperlink ref="R6120" r:id="rId12234" location="" tooltip="" display=""/>
    <hyperlink ref="K6121" r:id="rId12235" location="" tooltip="" display=""/>
    <hyperlink ref="L6121" r:id="rId12236" location="" tooltip="" display=""/>
    <hyperlink ref="Q6121" r:id="rId12237" location="" tooltip="" display=""/>
    <hyperlink ref="R6121" r:id="rId12238" location="" tooltip="" display=""/>
    <hyperlink ref="L6122" r:id="rId12239" location="" tooltip="" display=""/>
    <hyperlink ref="R6122" r:id="rId12240" location="" tooltip="" display=""/>
    <hyperlink ref="L6124" r:id="rId12241" location="" tooltip="" display=""/>
    <hyperlink ref="R6124" r:id="rId12242" location="" tooltip="" display=""/>
    <hyperlink ref="K6125" r:id="rId12243" location="" tooltip="" display=""/>
    <hyperlink ref="L6125" r:id="rId12244" location="" tooltip="" display=""/>
    <hyperlink ref="Q6125" r:id="rId12245" location="" tooltip="" display=""/>
    <hyperlink ref="R6125" r:id="rId12246" location="" tooltip="" display=""/>
    <hyperlink ref="L6126" r:id="rId12247" location="" tooltip="" display=""/>
    <hyperlink ref="R6126" r:id="rId12248" location="" tooltip="" display=""/>
    <hyperlink ref="L6127" r:id="rId12249" location="" tooltip="" display=""/>
    <hyperlink ref="R6127" r:id="rId12250" location="" tooltip="" display=""/>
    <hyperlink ref="K6129" r:id="rId12251" location="" tooltip="" display=""/>
    <hyperlink ref="L6129" r:id="rId12252" location="" tooltip="" display=""/>
    <hyperlink ref="Q6129" r:id="rId12253" location="" tooltip="" display=""/>
    <hyperlink ref="R6129" r:id="rId12254" location="" tooltip="" display=""/>
    <hyperlink ref="L6131" r:id="rId12255" location="" tooltip="" display=""/>
    <hyperlink ref="R6131" r:id="rId12256" location="" tooltip="" display=""/>
    <hyperlink ref="K6132" r:id="rId12257" location="" tooltip="" display=""/>
    <hyperlink ref="L6132" r:id="rId12258" location="" tooltip="" display=""/>
    <hyperlink ref="Q6132" r:id="rId12259" location="" tooltip="" display=""/>
    <hyperlink ref="R6132" r:id="rId12260" location="" tooltip="" display=""/>
    <hyperlink ref="L6133" r:id="rId12261" location="" tooltip="" display=""/>
    <hyperlink ref="R6133" r:id="rId12262" location="" tooltip="" display=""/>
    <hyperlink ref="L6134" r:id="rId12263" location="" tooltip="" display=""/>
    <hyperlink ref="R6134" r:id="rId12264" location="" tooltip="" display=""/>
    <hyperlink ref="L6136" r:id="rId12265" location="" tooltip="" display=""/>
    <hyperlink ref="R6136" r:id="rId12266" location="" tooltip="" display=""/>
    <hyperlink ref="K6137" r:id="rId12267" location="" tooltip="" display=""/>
    <hyperlink ref="L6137" r:id="rId12268" location="" tooltip="" display=""/>
    <hyperlink ref="Q6137" r:id="rId12269" location="" tooltip="" display=""/>
    <hyperlink ref="R6137" r:id="rId12270" location="" tooltip="" display=""/>
    <hyperlink ref="L6138" r:id="rId12271" location="" tooltip="" display=""/>
    <hyperlink ref="R6138" r:id="rId12272" location="" tooltip="" display=""/>
    <hyperlink ref="K6140" r:id="rId12273" location="" tooltip="" display=""/>
    <hyperlink ref="L6140" r:id="rId12274" location="" tooltip="" display=""/>
    <hyperlink ref="Q6140" r:id="rId12275" location="" tooltip="" display=""/>
    <hyperlink ref="R6140" r:id="rId12276" location="" tooltip="" display=""/>
    <hyperlink ref="L6142" r:id="rId12277" location="" tooltip="" display=""/>
    <hyperlink ref="R6142" r:id="rId12278" location="" tooltip="" display=""/>
    <hyperlink ref="K6143" r:id="rId12279" location="" tooltip="" display=""/>
    <hyperlink ref="L6143" r:id="rId12280" location="" tooltip="" display=""/>
    <hyperlink ref="Q6143" r:id="rId12281" location="" tooltip="" display=""/>
    <hyperlink ref="R6143" r:id="rId12282" location="" tooltip="" display=""/>
    <hyperlink ref="L6144" r:id="rId12283" location="" tooltip="" display=""/>
    <hyperlink ref="R6144" r:id="rId12284" location="" tooltip="" display=""/>
    <hyperlink ref="L6145" r:id="rId12285" location="" tooltip="" display=""/>
    <hyperlink ref="R6145" r:id="rId12286" location="" tooltip="" display=""/>
    <hyperlink ref="L6147" r:id="rId12287" location="" tooltip="" display=""/>
    <hyperlink ref="R6147" r:id="rId12288" location="" tooltip="" display=""/>
    <hyperlink ref="K6148" r:id="rId12289" location="" tooltip="" display=""/>
    <hyperlink ref="L6148" r:id="rId12290" location="" tooltip="" display=""/>
    <hyperlink ref="Q6148" r:id="rId12291" location="" tooltip="" display=""/>
    <hyperlink ref="R6148" r:id="rId12292" location="" tooltip="" display=""/>
    <hyperlink ref="L6149" r:id="rId12293" location="" tooltip="" display=""/>
    <hyperlink ref="R6149" r:id="rId12294" location="" tooltip="" display=""/>
    <hyperlink ref="K6151" r:id="rId12295" location="" tooltip="" display=""/>
    <hyperlink ref="L6151" r:id="rId12296" location="" tooltip="" display=""/>
    <hyperlink ref="Q6151" r:id="rId12297" location="" tooltip="" display=""/>
    <hyperlink ref="R6151" r:id="rId12298" location="" tooltip="" display=""/>
    <hyperlink ref="L6153" r:id="rId12299" location="" tooltip="" display=""/>
    <hyperlink ref="R6153" r:id="rId12300" location="" tooltip="" display=""/>
    <hyperlink ref="L6154" r:id="rId12301" location="" tooltip="" display=""/>
    <hyperlink ref="R6154" r:id="rId12302" location="" tooltip="" display=""/>
    <hyperlink ref="L6155" r:id="rId12303" location="" tooltip="" display=""/>
    <hyperlink ref="R6155" r:id="rId12304" location="" tooltip="" display=""/>
    <hyperlink ref="K6156" r:id="rId12305" location="" tooltip="" display=""/>
    <hyperlink ref="L6156" r:id="rId12306" location="" tooltip="" display=""/>
    <hyperlink ref="Q6156" r:id="rId12307" location="" tooltip="" display=""/>
    <hyperlink ref="R6156" r:id="rId12308" location="" tooltip="" display=""/>
    <hyperlink ref="L6157" r:id="rId12309" location="" tooltip="" display=""/>
    <hyperlink ref="R6157" r:id="rId12310" location="" tooltip="" display=""/>
    <hyperlink ref="L6158" r:id="rId12311" location="" tooltip="" display=""/>
    <hyperlink ref="R6158" r:id="rId12312" location="" tooltip="" display=""/>
    <hyperlink ref="L6159" r:id="rId12313" location="" tooltip="" display=""/>
    <hyperlink ref="R6159" r:id="rId12314" location="" tooltip="" display=""/>
    <hyperlink ref="L6161" r:id="rId12315" location="" tooltip="" display=""/>
    <hyperlink ref="R6161" r:id="rId12316" location="" tooltip="" display=""/>
    <hyperlink ref="L6162" r:id="rId12317" location="" tooltip="" display=""/>
    <hyperlink ref="R6162" r:id="rId12318" location="" tooltip="" display=""/>
    <hyperlink ref="L6163" r:id="rId12319" location="" tooltip="" display=""/>
    <hyperlink ref="R6163" r:id="rId12320" location="" tooltip="" display=""/>
    <hyperlink ref="K6164" r:id="rId12321" location="" tooltip="" display=""/>
    <hyperlink ref="L6164" r:id="rId12322" location="" tooltip="" display=""/>
    <hyperlink ref="Q6164" r:id="rId12323" location="" tooltip="" display=""/>
    <hyperlink ref="R6164" r:id="rId12324" location="" tooltip="" display=""/>
    <hyperlink ref="L6165" r:id="rId12325" location="" tooltip="" display=""/>
    <hyperlink ref="R6165" r:id="rId12326" location="" tooltip="" display=""/>
    <hyperlink ref="L6166" r:id="rId12327" location="" tooltip="" display=""/>
    <hyperlink ref="R6166" r:id="rId12328" location="" tooltip="" display=""/>
    <hyperlink ref="L6167" r:id="rId12329" location="" tooltip="" display=""/>
    <hyperlink ref="R6167" r:id="rId12330" location="" tooltip="" display=""/>
    <hyperlink ref="L6169" r:id="rId12331" location="" tooltip="" display=""/>
    <hyperlink ref="R6169" r:id="rId12332" location="" tooltip="" display=""/>
    <hyperlink ref="K6170" r:id="rId12333" location="" tooltip="" display=""/>
    <hyperlink ref="L6170" r:id="rId12334" location="" tooltip="" display=""/>
    <hyperlink ref="Q6170" r:id="rId12335" location="" tooltip="" display=""/>
    <hyperlink ref="R6170" r:id="rId12336" location="" tooltip="" display=""/>
    <hyperlink ref="L6171" r:id="rId12337" location="" tooltip="" display=""/>
    <hyperlink ref="R6171" r:id="rId12338" location="" tooltip="" display=""/>
    <hyperlink ref="K6173" r:id="rId12339" location="" tooltip="" display=""/>
    <hyperlink ref="L6173" r:id="rId12340" location="" tooltip="" display=""/>
    <hyperlink ref="Q6173" r:id="rId12341" location="" tooltip="" display=""/>
    <hyperlink ref="R6173" r:id="rId12342" location="" tooltip="" display=""/>
    <hyperlink ref="L6174" r:id="rId12343" location="" tooltip="" display=""/>
    <hyperlink ref="R6174" r:id="rId12344" location="" tooltip="" display=""/>
    <hyperlink ref="L6176" r:id="rId12345" location="" tooltip="" display=""/>
    <hyperlink ref="R6176" r:id="rId12346" location="" tooltip="" display=""/>
    <hyperlink ref="K6177" r:id="rId12347" location="" tooltip="" display=""/>
    <hyperlink ref="L6177" r:id="rId12348" location="" tooltip="" display=""/>
    <hyperlink ref="Q6177" r:id="rId12349" location="" tooltip="" display=""/>
    <hyperlink ref="R6177" r:id="rId12350" location="" tooltip="" display=""/>
    <hyperlink ref="L6178" r:id="rId12351" location="" tooltip="" display=""/>
    <hyperlink ref="R6178" r:id="rId12352" location="" tooltip="" display=""/>
    <hyperlink ref="L6179" r:id="rId12353" location="" tooltip="" display=""/>
    <hyperlink ref="R6179" r:id="rId12354" location="" tooltip="" display=""/>
    <hyperlink ref="L6181" r:id="rId12355" location="" tooltip="" display=""/>
    <hyperlink ref="R6181" r:id="rId12356" location="" tooltip="" display=""/>
    <hyperlink ref="K6182" r:id="rId12357" location="" tooltip="" display=""/>
    <hyperlink ref="L6182" r:id="rId12358" location="" tooltip="" display=""/>
    <hyperlink ref="Q6182" r:id="rId12359" location="" tooltip="" display=""/>
    <hyperlink ref="R6182" r:id="rId12360" location="" tooltip="" display=""/>
    <hyperlink ref="L6183" r:id="rId12361" location="" tooltip="" display=""/>
    <hyperlink ref="R6183" r:id="rId12362" location="" tooltip="" display=""/>
    <hyperlink ref="L6184" r:id="rId12363" location="" tooltip="" display=""/>
    <hyperlink ref="R6184" r:id="rId12364" location="" tooltip="" display=""/>
    <hyperlink ref="L6186" r:id="rId12365" location="" tooltip="" display=""/>
    <hyperlink ref="R6186" r:id="rId12366" location="" tooltip="" display=""/>
    <hyperlink ref="K6187" r:id="rId12367" location="" tooltip="" display=""/>
    <hyperlink ref="L6187" r:id="rId12368" location="" tooltip="" display=""/>
    <hyperlink ref="Q6187" r:id="rId12369" location="" tooltip="" display=""/>
    <hyperlink ref="R6187" r:id="rId12370" location="" tooltip="" display=""/>
    <hyperlink ref="L6188" r:id="rId12371" location="" tooltip="" display=""/>
    <hyperlink ref="R6188" r:id="rId12372" location="" tooltip="" display=""/>
    <hyperlink ref="L6189" r:id="rId12373" location="" tooltip="" display=""/>
    <hyperlink ref="R6189" r:id="rId12374" location="" tooltip="" display=""/>
    <hyperlink ref="K6191" r:id="rId12375" location="" tooltip="" display=""/>
    <hyperlink ref="L6191" r:id="rId12376" location="" tooltip="" display=""/>
    <hyperlink ref="Q6191" r:id="rId12377" location="" tooltip="" display=""/>
    <hyperlink ref="R6191" r:id="rId12378" location="" tooltip="" display=""/>
    <hyperlink ref="L6193" r:id="rId12379" location="" tooltip="" display=""/>
    <hyperlink ref="R6193" r:id="rId12380" location="" tooltip="" display=""/>
    <hyperlink ref="K6194" r:id="rId12381" location="" tooltip="" display=""/>
    <hyperlink ref="L6194" r:id="rId12382" location="" tooltip="" display=""/>
    <hyperlink ref="Q6194" r:id="rId12383" location="" tooltip="" display=""/>
    <hyperlink ref="R6194" r:id="rId12384" location="" tooltip="" display=""/>
    <hyperlink ref="L6195" r:id="rId12385" location="" tooltip="" display=""/>
    <hyperlink ref="R6195" r:id="rId12386" location="" tooltip="" display=""/>
    <hyperlink ref="K6197" r:id="rId12387" location="" tooltip="" display=""/>
    <hyperlink ref="L6197" r:id="rId12388" location="" tooltip="" display=""/>
    <hyperlink ref="Q6197" r:id="rId12389" location="" tooltip="" display=""/>
    <hyperlink ref="R6197" r:id="rId12390" location="" tooltip="" display=""/>
    <hyperlink ref="K6199" r:id="rId12391" location="" tooltip="" display=""/>
    <hyperlink ref="L6199" r:id="rId12392" location="" tooltip="" display=""/>
    <hyperlink ref="Q6199" r:id="rId12393" location="" tooltip="" display=""/>
    <hyperlink ref="R6199" r:id="rId12394" location="" tooltip="" display=""/>
    <hyperlink ref="L6200" r:id="rId12395" location="" tooltip="" display=""/>
    <hyperlink ref="R6200" r:id="rId12396" location="" tooltip="" display=""/>
    <hyperlink ref="L6202" r:id="rId12397" location="" tooltip="" display=""/>
    <hyperlink ref="R6202" r:id="rId12398" location="" tooltip="" display=""/>
    <hyperlink ref="K6203" r:id="rId12399" location="" tooltip="" display=""/>
    <hyperlink ref="L6203" r:id="rId12400" location="" tooltip="" display=""/>
    <hyperlink ref="Q6203" r:id="rId12401" location="" tooltip="" display=""/>
    <hyperlink ref="R6203" r:id="rId12402" location="" tooltip="" display=""/>
    <hyperlink ref="L6204" r:id="rId12403" location="" tooltip="" display=""/>
    <hyperlink ref="R6204" r:id="rId12404" location="" tooltip="" display=""/>
    <hyperlink ref="L6205" r:id="rId12405" location="" tooltip="" display=""/>
    <hyperlink ref="R6205" r:id="rId12406" location="" tooltip="" display=""/>
    <hyperlink ref="L6207" r:id="rId12407" location="" tooltip="" display=""/>
    <hyperlink ref="R6207" r:id="rId12408" location="" tooltip="" display=""/>
    <hyperlink ref="K6208" r:id="rId12409" location="" tooltip="" display=""/>
    <hyperlink ref="L6208" r:id="rId12410" location="" tooltip="" display=""/>
    <hyperlink ref="Q6208" r:id="rId12411" location="" tooltip="" display=""/>
    <hyperlink ref="R6208" r:id="rId12412" location="" tooltip="" display=""/>
    <hyperlink ref="L6209" r:id="rId12413" location="" tooltip="" display=""/>
    <hyperlink ref="R6209" r:id="rId12414" location="" tooltip="" display=""/>
    <hyperlink ref="L6210" r:id="rId12415" location="" tooltip="" display=""/>
    <hyperlink ref="R6210" r:id="rId12416" location="" tooltip="" display=""/>
    <hyperlink ref="L6212" r:id="rId12417" location="" tooltip="" display=""/>
    <hyperlink ref="R6212" r:id="rId12418" location="" tooltip="" display=""/>
    <hyperlink ref="K6213" r:id="rId12419" location="" tooltip="" display=""/>
    <hyperlink ref="L6213" r:id="rId12420" location="" tooltip="" display=""/>
    <hyperlink ref="Q6213" r:id="rId12421" location="" tooltip="" display=""/>
    <hyperlink ref="R6213" r:id="rId12422" location="" tooltip="" display=""/>
    <hyperlink ref="L6214" r:id="rId12423" location="" tooltip="" display=""/>
    <hyperlink ref="R6214" r:id="rId12424" location="" tooltip="" display=""/>
    <hyperlink ref="L6215" r:id="rId12425" location="" tooltip="" display=""/>
    <hyperlink ref="R6215" r:id="rId12426" location="" tooltip="" display=""/>
    <hyperlink ref="L6217" r:id="rId12427" location="" tooltip="" display=""/>
    <hyperlink ref="R6217" r:id="rId12428" location="" tooltip="" display=""/>
    <hyperlink ref="K6218" r:id="rId12429" location="" tooltip="" display=""/>
    <hyperlink ref="L6218" r:id="rId12430" location="" tooltip="" display=""/>
    <hyperlink ref="Q6218" r:id="rId12431" location="" tooltip="" display=""/>
    <hyperlink ref="R6218" r:id="rId12432" location="" tooltip="" display=""/>
    <hyperlink ref="L6219" r:id="rId12433" location="" tooltip="" display=""/>
    <hyperlink ref="R6219" r:id="rId12434" location="" tooltip="" display=""/>
    <hyperlink ref="L6220" r:id="rId12435" location="" tooltip="" display=""/>
    <hyperlink ref="R6220" r:id="rId12436" location="" tooltip="" display=""/>
    <hyperlink ref="K6222" r:id="rId12437" location="" tooltip="" display=""/>
    <hyperlink ref="L6222" r:id="rId12438" location="" tooltip="" display=""/>
    <hyperlink ref="Q6222" r:id="rId12439" location="" tooltip="" display=""/>
    <hyperlink ref="R6222" r:id="rId12440" location="" tooltip="" display=""/>
    <hyperlink ref="L6224" r:id="rId12441" location="" tooltip="" display=""/>
    <hyperlink ref="R6224" r:id="rId12442" location="" tooltip="" display=""/>
    <hyperlink ref="L6225" r:id="rId12443" location="" tooltip="" display=""/>
    <hyperlink ref="R6225" r:id="rId12444" location="" tooltip="" display=""/>
    <hyperlink ref="K6226" r:id="rId12445" location="" tooltip="" display=""/>
    <hyperlink ref="L6226" r:id="rId12446" location="" tooltip="" display=""/>
    <hyperlink ref="Q6226" r:id="rId12447" location="" tooltip="" display=""/>
    <hyperlink ref="R6226" r:id="rId12448" location="" tooltip="" display=""/>
    <hyperlink ref="L6227" r:id="rId12449" location="" tooltip="" display=""/>
    <hyperlink ref="R6227" r:id="rId12450" location="" tooltip="" display=""/>
    <hyperlink ref="L6228" r:id="rId12451" location="" tooltip="" display=""/>
    <hyperlink ref="R6228" r:id="rId12452" location="" tooltip="" display=""/>
    <hyperlink ref="L6229" r:id="rId12453" location="" tooltip="" display=""/>
    <hyperlink ref="R6229" r:id="rId12454" location="" tooltip="" display=""/>
    <hyperlink ref="L6231" r:id="rId12455" location="" tooltip="" display=""/>
    <hyperlink ref="R6231" r:id="rId12456" location="" tooltip="" display=""/>
    <hyperlink ref="K6232" r:id="rId12457" location="" tooltip="" display=""/>
    <hyperlink ref="L6232" r:id="rId12458" location="" tooltip="" display=""/>
    <hyperlink ref="Q6232" r:id="rId12459" location="" tooltip="" display=""/>
    <hyperlink ref="R6232" r:id="rId12460" location="" tooltip="" display=""/>
    <hyperlink ref="L6233" r:id="rId12461" location="" tooltip="" display=""/>
    <hyperlink ref="R6233" r:id="rId12462" location="" tooltip="" display=""/>
    <hyperlink ref="L6234" r:id="rId12463" location="" tooltip="" display=""/>
    <hyperlink ref="R6234" r:id="rId12464" location="" tooltip="" display=""/>
    <hyperlink ref="L6236" r:id="rId12465" location="" tooltip="" display=""/>
    <hyperlink ref="R6236" r:id="rId12466" location="" tooltip="" display=""/>
    <hyperlink ref="L6237" r:id="rId12467" location="" tooltip="" display=""/>
    <hyperlink ref="R6237" r:id="rId12468" location="" tooltip="" display=""/>
    <hyperlink ref="K6238" r:id="rId12469" location="" tooltip="" display=""/>
    <hyperlink ref="L6238" r:id="rId12470" location="" tooltip="" display=""/>
    <hyperlink ref="Q6238" r:id="rId12471" location="" tooltip="" display=""/>
    <hyperlink ref="R6238" r:id="rId12472" location="" tooltip="" display=""/>
    <hyperlink ref="L6239" r:id="rId12473" location="" tooltip="" display=""/>
    <hyperlink ref="R6239" r:id="rId12474" location="" tooltip="" display=""/>
    <hyperlink ref="L6240" r:id="rId12475" location="" tooltip="" display=""/>
    <hyperlink ref="R6240" r:id="rId12476" location="" tooltip="" display=""/>
    <hyperlink ref="L6241" r:id="rId12477" location="" tooltip="" display=""/>
    <hyperlink ref="R6241" r:id="rId12478" location="" tooltip="" display=""/>
    <hyperlink ref="K6243" r:id="rId12479" location="" tooltip="" display=""/>
    <hyperlink ref="L6243" r:id="rId12480" location="" tooltip="" display=""/>
    <hyperlink ref="Q6243" r:id="rId12481" location="" tooltip="" display=""/>
    <hyperlink ref="R6243" r:id="rId12482" location="" tooltip="" display=""/>
    <hyperlink ref="L6244" r:id="rId12483" location="" tooltip="" display=""/>
    <hyperlink ref="R6244" r:id="rId12484" location="" tooltip="" display=""/>
    <hyperlink ref="L6246" r:id="rId12485" location="" tooltip="" display=""/>
    <hyperlink ref="R6246" r:id="rId12486" location="" tooltip="" display=""/>
    <hyperlink ref="K6247" r:id="rId12487" location="" tooltip="" display=""/>
    <hyperlink ref="L6247" r:id="rId12488" location="" tooltip="" display=""/>
    <hyperlink ref="Q6247" r:id="rId12489" location="" tooltip="" display=""/>
    <hyperlink ref="R6247" r:id="rId12490" location="" tooltip="" display=""/>
    <hyperlink ref="L6248" r:id="rId12491" location="" tooltip="" display=""/>
    <hyperlink ref="R6248" r:id="rId12492" location="" tooltip="" display=""/>
    <hyperlink ref="L6249" r:id="rId12493" location="" tooltip="" display=""/>
    <hyperlink ref="R6249" r:id="rId12494" location="" tooltip="" display=""/>
    <hyperlink ref="L6251" r:id="rId12495" location="" tooltip="" display=""/>
    <hyperlink ref="R6251" r:id="rId12496" location="" tooltip="" display=""/>
    <hyperlink ref="K6252" r:id="rId12497" location="" tooltip="" display=""/>
    <hyperlink ref="L6252" r:id="rId12498" location="" tooltip="" display=""/>
    <hyperlink ref="Q6252" r:id="rId12499" location="" tooltip="" display=""/>
    <hyperlink ref="R6252" r:id="rId12500" location="" tooltip="" display=""/>
    <hyperlink ref="L6253" r:id="rId12501" location="" tooltip="" display=""/>
    <hyperlink ref="R6253" r:id="rId12502" location="" tooltip="" display=""/>
    <hyperlink ref="L6254" r:id="rId12503" location="" tooltip="" display=""/>
    <hyperlink ref="R6254" r:id="rId12504" location="" tooltip="" display=""/>
    <hyperlink ref="K6256" r:id="rId12505" location="" tooltip="" display=""/>
    <hyperlink ref="L6256" r:id="rId12506" location="" tooltip="" display=""/>
    <hyperlink ref="Q6256" r:id="rId12507" location="" tooltip="" display=""/>
    <hyperlink ref="R6256" r:id="rId12508" location="" tooltip="" display=""/>
    <hyperlink ref="L6258" r:id="rId12509" location="" tooltip="" display=""/>
    <hyperlink ref="R6258" r:id="rId12510" location="" tooltip="" display=""/>
    <hyperlink ref="L6259" r:id="rId12511" location="" tooltip="" display=""/>
    <hyperlink ref="R6259" r:id="rId12512" location="" tooltip="" display=""/>
    <hyperlink ref="K6260" r:id="rId12513" location="" tooltip="" display=""/>
    <hyperlink ref="L6260" r:id="rId12514" location="" tooltip="" display=""/>
    <hyperlink ref="Q6260" r:id="rId12515" location="" tooltip="" display=""/>
    <hyperlink ref="R6260" r:id="rId12516" location="" tooltip="" display=""/>
    <hyperlink ref="L6261" r:id="rId12517" location="" tooltip="" display=""/>
    <hyperlink ref="R6261" r:id="rId12518" location="" tooltip="" display=""/>
    <hyperlink ref="L6262" r:id="rId12519" location="" tooltip="" display=""/>
    <hyperlink ref="R6262" r:id="rId12520" location="" tooltip="" display=""/>
    <hyperlink ref="L6263" r:id="rId12521" location="" tooltip="" display=""/>
    <hyperlink ref="R6263" r:id="rId12522" location="" tooltip="" display=""/>
    <hyperlink ref="L6265" r:id="rId12523" location="" tooltip="" display=""/>
    <hyperlink ref="R6265" r:id="rId12524" location="" tooltip="" display=""/>
    <hyperlink ref="L6266" r:id="rId12525" location="" tooltip="" display=""/>
    <hyperlink ref="R6266" r:id="rId12526" location="" tooltip="" display=""/>
    <hyperlink ref="K6267" r:id="rId12527" location="" tooltip="" display=""/>
    <hyperlink ref="L6267" r:id="rId12528" location="" tooltip="" display=""/>
    <hyperlink ref="Q6267" r:id="rId12529" location="" tooltip="" display=""/>
    <hyperlink ref="R6267" r:id="rId12530" location="" tooltip="" display=""/>
    <hyperlink ref="L6268" r:id="rId12531" location="" tooltip="" display=""/>
    <hyperlink ref="R6268" r:id="rId12532" location="" tooltip="" display=""/>
    <hyperlink ref="L6269" r:id="rId12533" location="" tooltip="" display=""/>
    <hyperlink ref="R6269" r:id="rId12534" location="" tooltip="" display=""/>
    <hyperlink ref="L6270" r:id="rId12535" location="" tooltip="" display=""/>
    <hyperlink ref="R6270" r:id="rId12536" location="" tooltip="" display=""/>
    <hyperlink ref="L6272" r:id="rId12537" location="" tooltip="" display=""/>
    <hyperlink ref="R6272" r:id="rId12538" location="" tooltip="" display=""/>
    <hyperlink ref="L6273" r:id="rId12539" location="" tooltip="" display=""/>
    <hyperlink ref="R6273" r:id="rId12540" location="" tooltip="" display=""/>
    <hyperlink ref="K6274" r:id="rId12541" location="" tooltip="" display=""/>
    <hyperlink ref="L6274" r:id="rId12542" location="" tooltip="" display=""/>
    <hyperlink ref="Q6274" r:id="rId12543" location="" tooltip="" display=""/>
    <hyperlink ref="R6274" r:id="rId12544" location="" tooltip="" display=""/>
    <hyperlink ref="L6275" r:id="rId12545" location="" tooltip="" display=""/>
    <hyperlink ref="R6275" r:id="rId12546" location="" tooltip="" display=""/>
    <hyperlink ref="L6276" r:id="rId12547" location="" tooltip="" display=""/>
    <hyperlink ref="R6276" r:id="rId12548" location="" tooltip="" display=""/>
    <hyperlink ref="L6277" r:id="rId12549" location="" tooltip="" display=""/>
    <hyperlink ref="R6277" r:id="rId12550" location="" tooltip="" display=""/>
    <hyperlink ref="L6279" r:id="rId12551" location="" tooltip="" display=""/>
    <hyperlink ref="R6279" r:id="rId12552" location="" tooltip="" display=""/>
    <hyperlink ref="K6280" r:id="rId12553" location="" tooltip="" display=""/>
    <hyperlink ref="L6280" r:id="rId12554" location="" tooltip="" display=""/>
    <hyperlink ref="Q6280" r:id="rId12555" location="" tooltip="" display=""/>
    <hyperlink ref="R6280" r:id="rId12556" location="" tooltip="" display=""/>
    <hyperlink ref="L6281" r:id="rId12557" location="" tooltip="" display=""/>
    <hyperlink ref="R6281" r:id="rId12558" location="" tooltip="" display=""/>
    <hyperlink ref="L6282" r:id="rId12559" location="" tooltip="" display=""/>
    <hyperlink ref="R6282" r:id="rId12560" location="" tooltip="" display=""/>
    <hyperlink ref="L6284" r:id="rId12561" location="" tooltip="" display=""/>
    <hyperlink ref="R6284" r:id="rId12562" location="" tooltip="" display=""/>
    <hyperlink ref="K6285" r:id="rId12563" location="" tooltip="" display=""/>
    <hyperlink ref="L6285" r:id="rId12564" location="" tooltip="" display=""/>
    <hyperlink ref="Q6285" r:id="rId12565" location="" tooltip="" display=""/>
    <hyperlink ref="R6285" r:id="rId12566" location="" tooltip="" display=""/>
    <hyperlink ref="L6286" r:id="rId12567" location="" tooltip="" display=""/>
    <hyperlink ref="R6286" r:id="rId12568" location="" tooltip="" display=""/>
    <hyperlink ref="L6287" r:id="rId12569" location="" tooltip="" display=""/>
    <hyperlink ref="R6287" r:id="rId12570" location="" tooltip="" display=""/>
    <hyperlink ref="L6289" r:id="rId12571" location="" tooltip="" display=""/>
    <hyperlink ref="R6289" r:id="rId12572" location="" tooltip="" display=""/>
    <hyperlink ref="L6290" r:id="rId12573" location="" tooltip="" display=""/>
    <hyperlink ref="R6290" r:id="rId12574" location="" tooltip="" display=""/>
    <hyperlink ref="L6291" r:id="rId12575" location="" tooltip="" display=""/>
    <hyperlink ref="R6291" r:id="rId12576" location="" tooltip="" display=""/>
    <hyperlink ref="L6292" r:id="rId12577" location="" tooltip="" display=""/>
    <hyperlink ref="R6292" r:id="rId12578" location="" tooltip="" display=""/>
    <hyperlink ref="K6293" r:id="rId12579" location="" tooltip="" display=""/>
    <hyperlink ref="L6293" r:id="rId12580" location="" tooltip="" display=""/>
    <hyperlink ref="Q6293" r:id="rId12581" location="" tooltip="" display=""/>
    <hyperlink ref="R6293" r:id="rId12582" location="" tooltip="" display=""/>
    <hyperlink ref="L6294" r:id="rId12583" location="" tooltip="" display=""/>
    <hyperlink ref="R6294" r:id="rId12584" location="" tooltip="" display=""/>
    <hyperlink ref="L6295" r:id="rId12585" location="" tooltip="" display=""/>
    <hyperlink ref="R6295" r:id="rId12586" location="" tooltip="" display=""/>
    <hyperlink ref="L6296" r:id="rId12587" location="" tooltip="" display=""/>
    <hyperlink ref="R6296" r:id="rId12588" location="" tooltip="" display=""/>
    <hyperlink ref="L6297" r:id="rId12589" location="" tooltip="" display=""/>
    <hyperlink ref="R6297" r:id="rId12590" location="" tooltip="" display=""/>
    <hyperlink ref="L6299" r:id="rId12591" location="" tooltip="" display=""/>
    <hyperlink ref="R6299" r:id="rId12592" location="" tooltip="" display=""/>
    <hyperlink ref="L6300" r:id="rId12593" location="" tooltip="" display=""/>
    <hyperlink ref="R6300" r:id="rId12594" location="" tooltip="" display=""/>
    <hyperlink ref="K6301" r:id="rId12595" location="" tooltip="" display=""/>
    <hyperlink ref="L6301" r:id="rId12596" location="" tooltip="" display=""/>
    <hyperlink ref="Q6301" r:id="rId12597" location="" tooltip="" display=""/>
    <hyperlink ref="R6301" r:id="rId12598" location="" tooltip="" display=""/>
    <hyperlink ref="L6302" r:id="rId12599" location="" tooltip="" display=""/>
    <hyperlink ref="R6302" r:id="rId12600" location="" tooltip="" display=""/>
    <hyperlink ref="L6303" r:id="rId12601" location="" tooltip="" display=""/>
    <hyperlink ref="R6303" r:id="rId12602" location="" tooltip="" display=""/>
    <hyperlink ref="L6305" r:id="rId12603" location="" tooltip="" display=""/>
    <hyperlink ref="R6305" r:id="rId12604" location="" tooltip="" display=""/>
    <hyperlink ref="K6306" r:id="rId12605" location="" tooltip="" display=""/>
    <hyperlink ref="L6306" r:id="rId12606" location="" tooltip="" display=""/>
    <hyperlink ref="Q6306" r:id="rId12607" location="" tooltip="" display=""/>
    <hyperlink ref="R6306" r:id="rId12608" location="" tooltip="" display=""/>
    <hyperlink ref="L6307" r:id="rId12609" location="" tooltip="" display=""/>
    <hyperlink ref="R6307" r:id="rId12610" location="" tooltip="" display=""/>
    <hyperlink ref="L6308" r:id="rId12611" location="" tooltip="" display=""/>
    <hyperlink ref="R6308" r:id="rId12612" location="" tooltip="" display=""/>
    <hyperlink ref="L6310" r:id="rId12613" location="" tooltip="" display=""/>
    <hyperlink ref="R6310" r:id="rId12614" location="" tooltip="" display=""/>
    <hyperlink ref="K6311" r:id="rId12615" location="" tooltip="" display=""/>
    <hyperlink ref="L6311" r:id="rId12616" location="" tooltip="" display=""/>
    <hyperlink ref="Q6311" r:id="rId12617" location="" tooltip="" display=""/>
    <hyperlink ref="R6311" r:id="rId12618" location="" tooltip="" display=""/>
    <hyperlink ref="L6312" r:id="rId12619" location="" tooltip="" display=""/>
    <hyperlink ref="R6312" r:id="rId12620" location="" tooltip="" display=""/>
    <hyperlink ref="L6313" r:id="rId12621" location="" tooltip="" display=""/>
    <hyperlink ref="R6313" r:id="rId12622" location="" tooltip="" display=""/>
    <hyperlink ref="K6315" r:id="rId12623" location="" tooltip="" display=""/>
    <hyperlink ref="L6315" r:id="rId12624" location="" tooltip="" display=""/>
    <hyperlink ref="Q6315" r:id="rId12625" location="" tooltip="" display=""/>
    <hyperlink ref="R6315" r:id="rId12626" location="" tooltip="" display=""/>
    <hyperlink ref="L6316" r:id="rId12627" location="" tooltip="" display=""/>
    <hyperlink ref="R6316" r:id="rId12628" location="" tooltip="" display=""/>
    <hyperlink ref="K6318" r:id="rId12629" location="" tooltip="" display=""/>
    <hyperlink ref="L6318" r:id="rId12630" location="" tooltip="" display=""/>
    <hyperlink ref="Q6318" r:id="rId12631" location="" tooltip="" display=""/>
    <hyperlink ref="R6318" r:id="rId12632" location="" tooltip="" display=""/>
    <hyperlink ref="L6320" r:id="rId12633" location="" tooltip="" display=""/>
    <hyperlink ref="R6320" r:id="rId12634" location="" tooltip="" display=""/>
    <hyperlink ref="K6321" r:id="rId12635" location="" tooltip="" display=""/>
    <hyperlink ref="L6321" r:id="rId12636" location="" tooltip="" display=""/>
    <hyperlink ref="Q6321" r:id="rId12637" location="" tooltip="" display=""/>
    <hyperlink ref="R6321" r:id="rId12638" location="" tooltip="" display=""/>
    <hyperlink ref="L6322" r:id="rId12639" location="" tooltip="" display=""/>
    <hyperlink ref="R6322" r:id="rId12640" location="" tooltip="" display=""/>
    <hyperlink ref="L6324" r:id="rId12641" location="" tooltip="" display=""/>
    <hyperlink ref="R6324" r:id="rId12642" location="" tooltip="" display=""/>
    <hyperlink ref="K6325" r:id="rId12643" location="" tooltip="" display=""/>
    <hyperlink ref="L6325" r:id="rId12644" location="" tooltip="" display=""/>
    <hyperlink ref="Q6325" r:id="rId12645" location="" tooltip="" display=""/>
    <hyperlink ref="R6325" r:id="rId12646" location="" tooltip="" display=""/>
    <hyperlink ref="L6326" r:id="rId12647" location="" tooltip="" display=""/>
    <hyperlink ref="R6326" r:id="rId12648" location="" tooltip="" display=""/>
    <hyperlink ref="K6328" r:id="rId12649" location="" tooltip="" display=""/>
    <hyperlink ref="L6328" r:id="rId12650" location="" tooltip="" display=""/>
    <hyperlink ref="Q6328" r:id="rId12651" location="" tooltip="" display=""/>
    <hyperlink ref="R6328" r:id="rId12652" location="" tooltip="" display=""/>
    <hyperlink ref="L6330" r:id="rId12653" location="" tooltip="" display=""/>
    <hyperlink ref="R6330" r:id="rId12654" location="" tooltip="" display=""/>
    <hyperlink ref="L6331" r:id="rId12655" location="" tooltip="" display=""/>
    <hyperlink ref="R6331" r:id="rId12656" location="" tooltip="" display=""/>
    <hyperlink ref="L6332" r:id="rId12657" location="" tooltip="" display=""/>
    <hyperlink ref="R6332" r:id="rId12658" location="" tooltip="" display=""/>
    <hyperlink ref="K6333" r:id="rId12659" location="" tooltip="" display=""/>
    <hyperlink ref="L6333" r:id="rId12660" location="" tooltip="" display=""/>
    <hyperlink ref="Q6333" r:id="rId12661" location="" tooltip="" display=""/>
    <hyperlink ref="R6333" r:id="rId12662" location="" tooltip="" display=""/>
    <hyperlink ref="L6334" r:id="rId12663" location="" tooltip="" display=""/>
    <hyperlink ref="R6334" r:id="rId12664" location="" tooltip="" display=""/>
    <hyperlink ref="L6335" r:id="rId12665" location="" tooltip="" display=""/>
    <hyperlink ref="R6335" r:id="rId12666" location="" tooltip="" display=""/>
    <hyperlink ref="L6336" r:id="rId12667" location="" tooltip="" display=""/>
    <hyperlink ref="R6336" r:id="rId12668" location="" tooltip="" display=""/>
    <hyperlink ref="L6338" r:id="rId12669" location="" tooltip="" display=""/>
    <hyperlink ref="R6338" r:id="rId12670" location="" tooltip="" display=""/>
    <hyperlink ref="K6339" r:id="rId12671" location="" tooltip="" display=""/>
    <hyperlink ref="L6339" r:id="rId12672" location="" tooltip="" display=""/>
    <hyperlink ref="Q6339" r:id="rId12673" location="" tooltip="" display=""/>
    <hyperlink ref="R6339" r:id="rId12674" location="" tooltip="" display=""/>
    <hyperlink ref="L6340" r:id="rId12675" location="" tooltip="" display=""/>
    <hyperlink ref="R6340" r:id="rId12676" location="" tooltip="" display=""/>
    <hyperlink ref="L6341" r:id="rId12677" location="" tooltip="" display=""/>
    <hyperlink ref="R6341" r:id="rId12678" location="" tooltip="" display=""/>
    <hyperlink ref="K6343" r:id="rId12679" location="" tooltip="" display=""/>
    <hyperlink ref="L6343" r:id="rId12680" location="" tooltip="" display=""/>
    <hyperlink ref="Q6343" r:id="rId12681" location="" tooltip="" display=""/>
    <hyperlink ref="R6343" r:id="rId12682" location="" tooltip="" display=""/>
    <hyperlink ref="L6344" r:id="rId12683" location="" tooltip="" display=""/>
    <hyperlink ref="R6344" r:id="rId12684" location="" tooltip="" display=""/>
    <hyperlink ref="K6346" r:id="rId12685" location="" tooltip="" display=""/>
    <hyperlink ref="L6346" r:id="rId12686" location="" tooltip="" display=""/>
    <hyperlink ref="Q6346" r:id="rId12687" location="" tooltip="" display=""/>
    <hyperlink ref="R6346" r:id="rId12688" location="" tooltip="" display=""/>
    <hyperlink ref="L6348" r:id="rId12689" location="" tooltip="" display=""/>
    <hyperlink ref="R6348" r:id="rId12690" location="" tooltip="" display=""/>
    <hyperlink ref="K6349" r:id="rId12691" location="" tooltip="" display=""/>
    <hyperlink ref="L6349" r:id="rId12692" location="" tooltip="" display=""/>
    <hyperlink ref="Q6349" r:id="rId12693" location="" tooltip="" display=""/>
    <hyperlink ref="R6349" r:id="rId12694" location="" tooltip="" display=""/>
    <hyperlink ref="L6350" r:id="rId12695" location="" tooltip="" display=""/>
    <hyperlink ref="R6350" r:id="rId12696" location="" tooltip="" display=""/>
    <hyperlink ref="L6352" r:id="rId12697" location="" tooltip="" display=""/>
    <hyperlink ref="R6352" r:id="rId12698" location="" tooltip="" display=""/>
    <hyperlink ref="L6353" r:id="rId12699" location="" tooltip="" display=""/>
    <hyperlink ref="R6353" r:id="rId12700" location="" tooltip="" display=""/>
    <hyperlink ref="K6354" r:id="rId12701" location="" tooltip="" display=""/>
    <hyperlink ref="L6354" r:id="rId12702" location="" tooltip="" display=""/>
    <hyperlink ref="Q6354" r:id="rId12703" location="" tooltip="" display=""/>
    <hyperlink ref="R6354" r:id="rId12704" location="" tooltip="" display=""/>
    <hyperlink ref="L6355" r:id="rId12705" location="" tooltip="" display=""/>
    <hyperlink ref="R6355" r:id="rId12706" location="" tooltip="" display=""/>
    <hyperlink ref="L6356" r:id="rId12707" location="" tooltip="" display=""/>
    <hyperlink ref="R6356" r:id="rId12708" location="" tooltip="" display=""/>
    <hyperlink ref="L6357" r:id="rId12709" location="" tooltip="" display=""/>
    <hyperlink ref="R6357" r:id="rId12710" location="" tooltip="" display=""/>
    <hyperlink ref="L6359" r:id="rId12711" location="" tooltip="" display=""/>
    <hyperlink ref="R6359" r:id="rId12712" location="" tooltip="" display=""/>
    <hyperlink ref="K6360" r:id="rId12713" location="" tooltip="" display=""/>
    <hyperlink ref="L6360" r:id="rId12714" location="" tooltip="" display=""/>
    <hyperlink ref="Q6360" r:id="rId12715" location="" tooltip="" display=""/>
    <hyperlink ref="R6360" r:id="rId12716" location="" tooltip="" display=""/>
    <hyperlink ref="L6361" r:id="rId12717" location="" tooltip="" display=""/>
    <hyperlink ref="R6361" r:id="rId12718" location="" tooltip="" display=""/>
    <hyperlink ref="L6363" r:id="rId12719" location="" tooltip="" display=""/>
    <hyperlink ref="R6363" r:id="rId12720" location="" tooltip="" display=""/>
    <hyperlink ref="K6364" r:id="rId12721" location="" tooltip="" display=""/>
    <hyperlink ref="L6364" r:id="rId12722" location="" tooltip="" display=""/>
    <hyperlink ref="Q6364" r:id="rId12723" location="" tooltip="" display=""/>
    <hyperlink ref="R6364" r:id="rId12724" location="" tooltip="" display=""/>
    <hyperlink ref="L6365" r:id="rId12725" location="" tooltip="" display=""/>
    <hyperlink ref="R6365" r:id="rId12726" location="" tooltip="" display=""/>
    <hyperlink ref="L6367" r:id="rId12727" location="" tooltip="" display=""/>
    <hyperlink ref="R6367" r:id="rId12728" location="" tooltip="" display=""/>
    <hyperlink ref="K6368" r:id="rId12729" location="" tooltip="" display=""/>
    <hyperlink ref="L6368" r:id="rId12730" location="" tooltip="" display=""/>
    <hyperlink ref="Q6368" r:id="rId12731" location="" tooltip="" display=""/>
    <hyperlink ref="R6368" r:id="rId12732" location="" tooltip="" display=""/>
    <hyperlink ref="L6369" r:id="rId12733" location="" tooltip="" display=""/>
    <hyperlink ref="R6369" r:id="rId12734" location="" tooltip="" display=""/>
    <hyperlink ref="L6371" r:id="rId12735" location="" tooltip="" display=""/>
    <hyperlink ref="R6371" r:id="rId12736" location="" tooltip="" display=""/>
    <hyperlink ref="K6372" r:id="rId12737" location="" tooltip="" display=""/>
    <hyperlink ref="L6372" r:id="rId12738" location="" tooltip="" display=""/>
    <hyperlink ref="Q6372" r:id="rId12739" location="" tooltip="" display=""/>
    <hyperlink ref="R6372" r:id="rId12740" location="" tooltip="" display=""/>
    <hyperlink ref="L6373" r:id="rId12741" location="" tooltip="" display=""/>
    <hyperlink ref="R6373" r:id="rId12742" location="" tooltip="" display=""/>
    <hyperlink ref="L6375" r:id="rId12743" location="" tooltip="" display=""/>
    <hyperlink ref="R6375" r:id="rId12744" location="" tooltip="" display=""/>
    <hyperlink ref="K6376" r:id="rId12745" location="" tooltip="" display=""/>
    <hyperlink ref="L6376" r:id="rId12746" location="" tooltip="" display=""/>
    <hyperlink ref="Q6376" r:id="rId12747" location="" tooltip="" display=""/>
    <hyperlink ref="R6376" r:id="rId12748" location="" tooltip="" display=""/>
    <hyperlink ref="L6377" r:id="rId12749" location="" tooltip="" display=""/>
    <hyperlink ref="R6377" r:id="rId12750" location="" tooltip="" display=""/>
    <hyperlink ref="L6379" r:id="rId12751" location="" tooltip="" display=""/>
    <hyperlink ref="R6379" r:id="rId12752" location="" tooltip="" display=""/>
    <hyperlink ref="K6380" r:id="rId12753" location="" tooltip="" display=""/>
    <hyperlink ref="L6380" r:id="rId12754" location="" tooltip="" display=""/>
    <hyperlink ref="Q6380" r:id="rId12755" location="" tooltip="" display=""/>
    <hyperlink ref="R6380" r:id="rId12756" location="" tooltip="" display=""/>
    <hyperlink ref="L6381" r:id="rId12757" location="" tooltip="" display=""/>
    <hyperlink ref="R6381" r:id="rId12758" location="" tooltip="" display=""/>
    <hyperlink ref="L6383" r:id="rId12759" location="" tooltip="" display=""/>
    <hyperlink ref="R6383" r:id="rId12760" location="" tooltip="" display=""/>
    <hyperlink ref="L6384" r:id="rId12761" location="" tooltip="" display=""/>
    <hyperlink ref="R6384" r:id="rId12762" location="" tooltip="" display=""/>
    <hyperlink ref="K6385" r:id="rId12763" location="" tooltip="" display=""/>
    <hyperlink ref="L6385" r:id="rId12764" location="" tooltip="" display=""/>
    <hyperlink ref="Q6385" r:id="rId12765" location="" tooltip="" display=""/>
    <hyperlink ref="R6385" r:id="rId12766" location="" tooltip="" display=""/>
    <hyperlink ref="L6386" r:id="rId12767" location="" tooltip="" display=""/>
    <hyperlink ref="R6386" r:id="rId12768" location="" tooltip="" display=""/>
    <hyperlink ref="L6387" r:id="rId12769" location="" tooltip="" display=""/>
    <hyperlink ref="R6387" r:id="rId12770" location="" tooltip="" display=""/>
    <hyperlink ref="L6389" r:id="rId12771" location="" tooltip="" display=""/>
    <hyperlink ref="R6389" r:id="rId12772" location="" tooltip="" display=""/>
    <hyperlink ref="K6390" r:id="rId12773" location="" tooltip="" display=""/>
    <hyperlink ref="L6390" r:id="rId12774" location="" tooltip="" display=""/>
    <hyperlink ref="Q6390" r:id="rId12775" location="" tooltip="" display=""/>
    <hyperlink ref="R6390" r:id="rId12776" location="" tooltip="" display=""/>
    <hyperlink ref="L6391" r:id="rId12777" location="" tooltip="" display=""/>
    <hyperlink ref="R6391" r:id="rId12778" location="" tooltip="" display=""/>
    <hyperlink ref="L6393" r:id="rId12779" location="" tooltip="" display=""/>
    <hyperlink ref="R6393" r:id="rId12780" location="" tooltip="" display=""/>
    <hyperlink ref="K6394" r:id="rId12781" location="" tooltip="" display=""/>
    <hyperlink ref="L6394" r:id="rId12782" location="" tooltip="" display=""/>
    <hyperlink ref="Q6394" r:id="rId12783" location="" tooltip="" display=""/>
    <hyperlink ref="R6394" r:id="rId12784" location="" tooltip="" display=""/>
    <hyperlink ref="L6395" r:id="rId12785" location="" tooltip="" display=""/>
    <hyperlink ref="R6395" r:id="rId12786" location="" tooltip="" display=""/>
    <hyperlink ref="L6396" r:id="rId12787" location="" tooltip="" display=""/>
    <hyperlink ref="R6396" r:id="rId12788" location="" tooltip="" display=""/>
    <hyperlink ref="L6398" r:id="rId12789" location="" tooltip="" display=""/>
    <hyperlink ref="R6398" r:id="rId12790" location="" tooltip="" display=""/>
    <hyperlink ref="L6399" r:id="rId12791" location="" tooltip="" display=""/>
    <hyperlink ref="R6399" r:id="rId12792" location="" tooltip="" display=""/>
    <hyperlink ref="K6400" r:id="rId12793" location="" tooltip="" display=""/>
    <hyperlink ref="L6400" r:id="rId12794" location="" tooltip="" display=""/>
    <hyperlink ref="Q6400" r:id="rId12795" location="" tooltip="" display=""/>
    <hyperlink ref="R6400" r:id="rId12796" location="" tooltip="" display=""/>
    <hyperlink ref="L6401" r:id="rId12797" location="" tooltip="" display=""/>
    <hyperlink ref="R6401" r:id="rId12798" location="" tooltip="" display=""/>
    <hyperlink ref="L6402" r:id="rId12799" location="" tooltip="" display=""/>
    <hyperlink ref="R6402" r:id="rId12800" location="" tooltip="" display=""/>
    <hyperlink ref="L6403" r:id="rId12801" location="" tooltip="" display=""/>
    <hyperlink ref="R6403" r:id="rId12802" location="" tooltip="" display=""/>
    <hyperlink ref="K6405" r:id="rId12803" location="" tooltip="" display=""/>
    <hyperlink ref="L6405" r:id="rId12804" location="" tooltip="" display=""/>
    <hyperlink ref="Q6405" r:id="rId12805" location="" tooltip="" display=""/>
    <hyperlink ref="R6405" r:id="rId12806" location="" tooltip="" display=""/>
    <hyperlink ref="K6407" r:id="rId12807" location="" tooltip="" display=""/>
    <hyperlink ref="L6407" r:id="rId12808" location="" tooltip="" display=""/>
    <hyperlink ref="Q6407" r:id="rId12809" location="" tooltip="" display=""/>
    <hyperlink ref="R6407" r:id="rId12810" location="" tooltip="" display=""/>
    <hyperlink ref="L6408" r:id="rId12811" location="" tooltip="" display=""/>
    <hyperlink ref="R6408" r:id="rId12812" location="" tooltip="" display=""/>
    <hyperlink ref="K6410" r:id="rId12813" location="" tooltip="" display=""/>
    <hyperlink ref="L6410" r:id="rId12814" location="" tooltip="" display=""/>
    <hyperlink ref="Q6410" r:id="rId12815" location="" tooltip="" display=""/>
    <hyperlink ref="R6410" r:id="rId12816" location="" tooltip="" display=""/>
    <hyperlink ref="K6412" r:id="rId12817" location="" tooltip="" display=""/>
    <hyperlink ref="L6412" r:id="rId12818" location="" tooltip="" display=""/>
    <hyperlink ref="Q6412" r:id="rId12819" location="" tooltip="" display=""/>
    <hyperlink ref="R6412" r:id="rId12820" location="" tooltip="" display=""/>
    <hyperlink ref="L6413" r:id="rId12821" location="" tooltip="" display=""/>
    <hyperlink ref="R6413" r:id="rId12822" location="" tooltip="" display=""/>
    <hyperlink ref="L6415" r:id="rId12823" location="" tooltip="" display=""/>
    <hyperlink ref="R6415" r:id="rId12824" location="" tooltip="" display=""/>
    <hyperlink ref="K6416" r:id="rId12825" location="" tooltip="" display=""/>
    <hyperlink ref="L6416" r:id="rId12826" location="" tooltip="" display=""/>
    <hyperlink ref="Q6416" r:id="rId12827" location="" tooltip="" display=""/>
    <hyperlink ref="R6416" r:id="rId12828" location="" tooltip="" display=""/>
    <hyperlink ref="L6417" r:id="rId12829" location="" tooltip="" display=""/>
    <hyperlink ref="R6417" r:id="rId12830" location="" tooltip="" display=""/>
    <hyperlink ref="L6418" r:id="rId12831" location="" tooltip="" display=""/>
    <hyperlink ref="R6418" r:id="rId12832" location="" tooltip="" display=""/>
    <hyperlink ref="L6420" r:id="rId12833" location="" tooltip="" display=""/>
    <hyperlink ref="R6420" r:id="rId12834" location="" tooltip="" display=""/>
    <hyperlink ref="L6421" r:id="rId12835" location="" tooltip="" display=""/>
    <hyperlink ref="R6421" r:id="rId12836" location="" tooltip="" display=""/>
    <hyperlink ref="L6422" r:id="rId12837" location="" tooltip="" display=""/>
    <hyperlink ref="R6422" r:id="rId12838" location="" tooltip="" display=""/>
    <hyperlink ref="K6423" r:id="rId12839" location="" tooltip="" display=""/>
    <hyperlink ref="L6423" r:id="rId12840" location="" tooltip="" display=""/>
    <hyperlink ref="Q6423" r:id="rId12841" location="" tooltip="" display=""/>
    <hyperlink ref="R6423" r:id="rId12842" location="" tooltip="" display=""/>
    <hyperlink ref="L6424" r:id="rId12843" location="" tooltip="" display=""/>
    <hyperlink ref="R6424" r:id="rId12844" location="" tooltip="" display=""/>
    <hyperlink ref="L6425" r:id="rId12845" location="" tooltip="" display=""/>
    <hyperlink ref="R6425" r:id="rId12846" location="" tooltip="" display=""/>
    <hyperlink ref="L6426" r:id="rId12847" location="" tooltip="" display=""/>
    <hyperlink ref="R6426" r:id="rId12848" location="" tooltip="" display=""/>
    <hyperlink ref="L6427" r:id="rId12849" location="" tooltip="" display=""/>
    <hyperlink ref="R6427" r:id="rId12850" location="" tooltip="" display=""/>
    <hyperlink ref="K6429" r:id="rId12851" location="" tooltip="" display=""/>
    <hyperlink ref="L6429" r:id="rId12852" location="" tooltip="" display=""/>
    <hyperlink ref="Q6429" r:id="rId12853" location="" tooltip="" display=""/>
    <hyperlink ref="R6429" r:id="rId12854" location="" tooltip="" display=""/>
    <hyperlink ref="L6430" r:id="rId12855" location="" tooltip="" display=""/>
    <hyperlink ref="R6430" r:id="rId12856" location="" tooltip="" display=""/>
    <hyperlink ref="K6432" r:id="rId12857" location="" tooltip="" display=""/>
    <hyperlink ref="L6432" r:id="rId12858" location="" tooltip="" display=""/>
    <hyperlink ref="Q6432" r:id="rId12859" location="" tooltip="" display=""/>
    <hyperlink ref="R6432" r:id="rId12860" location="" tooltip="" display=""/>
    <hyperlink ref="L6433" r:id="rId12861" location="" tooltip="" display=""/>
    <hyperlink ref="R6433" r:id="rId12862" location="" tooltip="" display=""/>
    <hyperlink ref="L6435" r:id="rId12863" location="" tooltip="" display=""/>
    <hyperlink ref="R6435" r:id="rId12864" location="" tooltip="" display=""/>
    <hyperlink ref="L6436" r:id="rId12865" location="" tooltip="" display=""/>
    <hyperlink ref="R6436" r:id="rId12866" location="" tooltip="" display=""/>
    <hyperlink ref="K6437" r:id="rId12867" location="" tooltip="" display=""/>
    <hyperlink ref="L6437" r:id="rId12868" location="" tooltip="" display=""/>
    <hyperlink ref="Q6437" r:id="rId12869" location="" tooltip="" display=""/>
    <hyperlink ref="R6437" r:id="rId12870" location="" tooltip="" display=""/>
    <hyperlink ref="L6438" r:id="rId12871" location="" tooltip="" display=""/>
    <hyperlink ref="R6438" r:id="rId12872" location="" tooltip="" display=""/>
    <hyperlink ref="L6439" r:id="rId12873" location="" tooltip="" display=""/>
    <hyperlink ref="R6439" r:id="rId12874" location="" tooltip="" display=""/>
    <hyperlink ref="L6441" r:id="rId12875" location="" tooltip="" display=""/>
    <hyperlink ref="R6441" r:id="rId12876" location="" tooltip="" display=""/>
    <hyperlink ref="K6442" r:id="rId12877" location="" tooltip="" display=""/>
    <hyperlink ref="L6442" r:id="rId12878" location="" tooltip="" display=""/>
    <hyperlink ref="Q6442" r:id="rId12879" location="" tooltip="" display=""/>
    <hyperlink ref="R6442" r:id="rId12880" location="" tooltip="" display=""/>
    <hyperlink ref="L6443" r:id="rId12881" location="" tooltip="" display=""/>
    <hyperlink ref="R6443" r:id="rId12882" location="" tooltip="" display=""/>
    <hyperlink ref="K6445" r:id="rId12883" location="" tooltip="" display=""/>
    <hyperlink ref="L6445" r:id="rId12884" location="" tooltip="" display=""/>
    <hyperlink ref="Q6445" r:id="rId12885" location="" tooltip="" display=""/>
    <hyperlink ref="R6445" r:id="rId12886" location="" tooltip="" display=""/>
    <hyperlink ref="K6447" r:id="rId12887" location="" tooltip="" display=""/>
    <hyperlink ref="L6447" r:id="rId12888" location="" tooltip="" display=""/>
    <hyperlink ref="Q6447" r:id="rId12889" location="" tooltip="" display=""/>
    <hyperlink ref="R6447" r:id="rId12890" location="" tooltip="" display=""/>
    <hyperlink ref="L6448" r:id="rId12891" location="" tooltip="" display=""/>
    <hyperlink ref="R6448" r:id="rId12892" location="" tooltip="" display=""/>
    <hyperlink ref="L6450" r:id="rId12893" location="" tooltip="" display=""/>
    <hyperlink ref="R6450" r:id="rId12894" location="" tooltip="" display=""/>
    <hyperlink ref="K6451" r:id="rId12895" location="" tooltip="" display=""/>
    <hyperlink ref="L6451" r:id="rId12896" location="" tooltip="" display=""/>
    <hyperlink ref="Q6451" r:id="rId12897" location="" tooltip="" display=""/>
    <hyperlink ref="R6451" r:id="rId12898" location="" tooltip="" display=""/>
    <hyperlink ref="L6452" r:id="rId12899" location="" tooltip="" display=""/>
    <hyperlink ref="R6452" r:id="rId12900" location="" tooltip="" display=""/>
    <hyperlink ref="L6454" r:id="rId12901" location="" tooltip="" display=""/>
    <hyperlink ref="R6454" r:id="rId12902" location="" tooltip="" display=""/>
    <hyperlink ref="K6455" r:id="rId12903" location="" tooltip="" display=""/>
    <hyperlink ref="L6455" r:id="rId12904" location="" tooltip="" display=""/>
    <hyperlink ref="Q6455" r:id="rId12905" location="" tooltip="" display=""/>
    <hyperlink ref="R6455" r:id="rId12906" location="" tooltip="" display=""/>
    <hyperlink ref="L6456" r:id="rId12907" location="" tooltip="" display=""/>
    <hyperlink ref="R6456" r:id="rId12908" location="" tooltip="" display=""/>
    <hyperlink ref="K6458" r:id="rId12909" location="" tooltip="" display=""/>
    <hyperlink ref="L6458" r:id="rId12910" location="" tooltip="" display=""/>
    <hyperlink ref="Q6458" r:id="rId12911" location="" tooltip="" display=""/>
    <hyperlink ref="R6458" r:id="rId12912" location="" tooltip="" display=""/>
    <hyperlink ref="L6460" r:id="rId12913" location="" tooltip="" display=""/>
    <hyperlink ref="R6460" r:id="rId12914" location="" tooltip="" display=""/>
    <hyperlink ref="K6461" r:id="rId12915" location="" tooltip="" display=""/>
    <hyperlink ref="L6461" r:id="rId12916" location="" tooltip="" display=""/>
    <hyperlink ref="Q6461" r:id="rId12917" location="" tooltip="" display=""/>
    <hyperlink ref="R6461" r:id="rId12918" location="" tooltip="" display=""/>
    <hyperlink ref="L6462" r:id="rId12919" location="" tooltip="" display=""/>
    <hyperlink ref="R6462" r:id="rId12920" location="" tooltip="" display=""/>
    <hyperlink ref="L6463" r:id="rId12921" location="" tooltip="" display=""/>
    <hyperlink ref="R6463" r:id="rId12922" location="" tooltip="" display=""/>
    <hyperlink ref="L6465" r:id="rId12923" location="" tooltip="" display=""/>
    <hyperlink ref="R6465" r:id="rId12924" location="" tooltip="" display=""/>
    <hyperlink ref="K6466" r:id="rId12925" location="" tooltip="" display=""/>
    <hyperlink ref="L6466" r:id="rId12926" location="" tooltip="" display=""/>
    <hyperlink ref="Q6466" r:id="rId12927" location="" tooltip="" display=""/>
    <hyperlink ref="R6466" r:id="rId12928" location="" tooltip="" display=""/>
    <hyperlink ref="L6467" r:id="rId12929" location="" tooltip="" display=""/>
    <hyperlink ref="R6467" r:id="rId12930" location="" tooltip="" display=""/>
    <hyperlink ref="L6468" r:id="rId12931" location="" tooltip="" display=""/>
    <hyperlink ref="R6468" r:id="rId12932" location="" tooltip="" display=""/>
    <hyperlink ref="L6470" r:id="rId12933" location="" tooltip="" display=""/>
    <hyperlink ref="R6470" r:id="rId12934" location="" tooltip="" display=""/>
    <hyperlink ref="L6471" r:id="rId12935" location="" tooltip="" display=""/>
    <hyperlink ref="R6471" r:id="rId12936" location="" tooltip="" display=""/>
    <hyperlink ref="K6472" r:id="rId12937" location="" tooltip="" display=""/>
    <hyperlink ref="L6472" r:id="rId12938" location="" tooltip="" display=""/>
    <hyperlink ref="Q6472" r:id="rId12939" location="" tooltip="" display=""/>
    <hyperlink ref="R6472" r:id="rId12940" location="" tooltip="" display=""/>
    <hyperlink ref="L6473" r:id="rId12941" location="" tooltip="" display=""/>
    <hyperlink ref="R6473" r:id="rId12942" location="" tooltip="" display=""/>
    <hyperlink ref="L6474" r:id="rId12943" location="" tooltip="" display=""/>
    <hyperlink ref="R6474" r:id="rId12944" location="" tooltip="" display=""/>
    <hyperlink ref="L6476" r:id="rId12945" location="" tooltip="" display=""/>
    <hyperlink ref="R6476" r:id="rId12946" location="" tooltip="" display=""/>
    <hyperlink ref="K6477" r:id="rId12947" location="" tooltip="" display=""/>
    <hyperlink ref="L6477" r:id="rId12948" location="" tooltip="" display=""/>
    <hyperlink ref="Q6477" r:id="rId12949" location="" tooltip="" display=""/>
    <hyperlink ref="R6477" r:id="rId12950" location="" tooltip="" display=""/>
    <hyperlink ref="L6478" r:id="rId12951" location="" tooltip="" display=""/>
    <hyperlink ref="R6478" r:id="rId12952" location="" tooltip="" display=""/>
    <hyperlink ref="L6480" r:id="rId12953" location="" tooltip="" display=""/>
    <hyperlink ref="R6480" r:id="rId12954" location="" tooltip="" display=""/>
    <hyperlink ref="K6481" r:id="rId12955" location="" tooltip="" display=""/>
    <hyperlink ref="L6481" r:id="rId12956" location="" tooltip="" display=""/>
    <hyperlink ref="Q6481" r:id="rId12957" location="" tooltip="" display=""/>
    <hyperlink ref="R6481" r:id="rId12958" location="" tooltip="" display=""/>
    <hyperlink ref="L6482" r:id="rId12959" location="" tooltip="" display=""/>
    <hyperlink ref="R6482" r:id="rId12960" location="" tooltip="" display=""/>
    <hyperlink ref="K6484" r:id="rId12961" location="" tooltip="" display=""/>
    <hyperlink ref="L6484" r:id="rId12962" location="" tooltip="" display=""/>
    <hyperlink ref="Q6484" r:id="rId12963" location="" tooltip="" display=""/>
    <hyperlink ref="R6484" r:id="rId12964" location="" tooltip="" display=""/>
    <hyperlink ref="L6486" r:id="rId12965" location="" tooltip="" display=""/>
    <hyperlink ref="R6486" r:id="rId12966" location="" tooltip="" display=""/>
    <hyperlink ref="K6487" r:id="rId12967" location="" tooltip="" display=""/>
    <hyperlink ref="L6487" r:id="rId12968" location="" tooltip="" display=""/>
    <hyperlink ref="Q6487" r:id="rId12969" location="" tooltip="" display=""/>
    <hyperlink ref="R6487" r:id="rId12970" location="" tooltip="" display=""/>
    <hyperlink ref="L6488" r:id="rId12971" location="" tooltip="" display=""/>
    <hyperlink ref="R6488" r:id="rId12972" location="" tooltip="" display=""/>
    <hyperlink ref="K6490" r:id="rId12973" location="" tooltip="" display=""/>
    <hyperlink ref="L6490" r:id="rId12974" location="" tooltip="" display=""/>
    <hyperlink ref="Q6490" r:id="rId12975" location="" tooltip="" display=""/>
    <hyperlink ref="R6490" r:id="rId12976" location="" tooltip="" display=""/>
    <hyperlink ref="L6492" r:id="rId12977" location="" tooltip="" display=""/>
    <hyperlink ref="R6492" r:id="rId12978" location="" tooltip="" display=""/>
    <hyperlink ref="K6493" r:id="rId12979" location="" tooltip="" display=""/>
    <hyperlink ref="L6493" r:id="rId12980" location="" tooltip="" display=""/>
    <hyperlink ref="Q6493" r:id="rId12981" location="" tooltip="" display=""/>
    <hyperlink ref="R6493" r:id="rId12982" location="" tooltip="" display=""/>
    <hyperlink ref="L6494" r:id="rId12983" location="" tooltip="" display=""/>
    <hyperlink ref="R6494" r:id="rId12984" location="" tooltip="" display=""/>
    <hyperlink ref="K6496" r:id="rId12985" location="" tooltip="" display=""/>
    <hyperlink ref="L6496" r:id="rId12986" location="" tooltip="" display=""/>
    <hyperlink ref="Q6496" r:id="rId12987" location="" tooltip="" display=""/>
    <hyperlink ref="R6496" r:id="rId12988" location="" tooltip="" display=""/>
    <hyperlink ref="L6498" r:id="rId12989" location="" tooltip="" display=""/>
    <hyperlink ref="R6498" r:id="rId12990" location="" tooltip="" display=""/>
    <hyperlink ref="K6499" r:id="rId12991" location="" tooltip="" display=""/>
    <hyperlink ref="L6499" r:id="rId12992" location="" tooltip="" display=""/>
    <hyperlink ref="Q6499" r:id="rId12993" location="" tooltip="" display=""/>
    <hyperlink ref="R6499" r:id="rId12994" location="" tooltip="" display=""/>
    <hyperlink ref="L6500" r:id="rId12995" location="" tooltip="" display=""/>
    <hyperlink ref="R6500" r:id="rId12996" location="" tooltip="" display=""/>
    <hyperlink ref="K6502" r:id="rId12997" location="" tooltip="" display=""/>
    <hyperlink ref="L6502" r:id="rId12998" location="" tooltip="" display=""/>
    <hyperlink ref="Q6502" r:id="rId12999" location="" tooltip="" display=""/>
    <hyperlink ref="R6502" r:id="rId13000" location="" tooltip="" display=""/>
    <hyperlink ref="L6504" r:id="rId13001" location="" tooltip="" display=""/>
    <hyperlink ref="R6504" r:id="rId13002" location="" tooltip="" display=""/>
    <hyperlink ref="K6505" r:id="rId13003" location="" tooltip="" display=""/>
    <hyperlink ref="L6505" r:id="rId13004" location="" tooltip="" display=""/>
    <hyperlink ref="Q6505" r:id="rId13005" location="" tooltip="" display=""/>
    <hyperlink ref="R6505" r:id="rId13006" location="" tooltip="" display=""/>
    <hyperlink ref="L6506" r:id="rId13007" location="" tooltip="" display=""/>
    <hyperlink ref="R6506" r:id="rId13008" location="" tooltip="" display=""/>
    <hyperlink ref="L6507" r:id="rId13009" location="" tooltip="" display=""/>
    <hyperlink ref="R6507" r:id="rId13010" location="" tooltip="" display=""/>
    <hyperlink ref="L6509" r:id="rId13011" location="" tooltip="" display=""/>
    <hyperlink ref="R6509" r:id="rId13012" location="" tooltip="" display=""/>
    <hyperlink ref="K6510" r:id="rId13013" location="" tooltip="" display=""/>
    <hyperlink ref="L6510" r:id="rId13014" location="" tooltip="" display=""/>
    <hyperlink ref="Q6510" r:id="rId13015" location="" tooltip="" display=""/>
    <hyperlink ref="R6510" r:id="rId13016" location="" tooltip="" display=""/>
    <hyperlink ref="L6511" r:id="rId13017" location="" tooltip="" display=""/>
    <hyperlink ref="R6511" r:id="rId13018" location="" tooltip="" display=""/>
    <hyperlink ref="L6512" r:id="rId13019" location="" tooltip="" display=""/>
    <hyperlink ref="R6512" r:id="rId13020" location="" tooltip="" display=""/>
    <hyperlink ref="L6514" r:id="rId13021" location="" tooltip="" display=""/>
    <hyperlink ref="R6514" r:id="rId13022" location="" tooltip="" display=""/>
    <hyperlink ref="L6515" r:id="rId13023" location="" tooltip="" display=""/>
    <hyperlink ref="R6515" r:id="rId13024" location="" tooltip="" display=""/>
    <hyperlink ref="L6516" r:id="rId13025" location="" tooltip="" display=""/>
    <hyperlink ref="R6516" r:id="rId13026" location="" tooltip="" display=""/>
    <hyperlink ref="L6517" r:id="rId13027" location="" tooltip="" display=""/>
    <hyperlink ref="R6517" r:id="rId13028" location="" tooltip="" display=""/>
    <hyperlink ref="L6518" r:id="rId13029" location="" tooltip="" display=""/>
    <hyperlink ref="R6518" r:id="rId13030" location="" tooltip="" display=""/>
    <hyperlink ref="L6519" r:id="rId13031" location="" tooltip="" display=""/>
    <hyperlink ref="R6519" r:id="rId13032" location="" tooltip="" display=""/>
    <hyperlink ref="K6520" r:id="rId13033" location="" tooltip="" display=""/>
    <hyperlink ref="L6520" r:id="rId13034" location="" tooltip="" display=""/>
    <hyperlink ref="Q6520" r:id="rId13035" location="" tooltip="" display=""/>
    <hyperlink ref="R6520" r:id="rId13036" location="" tooltip="" display=""/>
    <hyperlink ref="L6521" r:id="rId13037" location="" tooltip="" display=""/>
    <hyperlink ref="R6521" r:id="rId13038" location="" tooltip="" display=""/>
    <hyperlink ref="L6522" r:id="rId13039" location="" tooltip="" display=""/>
    <hyperlink ref="R6522" r:id="rId13040" location="" tooltip="" display=""/>
    <hyperlink ref="L6523" r:id="rId13041" location="" tooltip="" display=""/>
    <hyperlink ref="R6523" r:id="rId13042" location="" tooltip="" display=""/>
    <hyperlink ref="L6524" r:id="rId13043" location="" tooltip="" display=""/>
    <hyperlink ref="R6524" r:id="rId13044" location="" tooltip="" display=""/>
    <hyperlink ref="L6525" r:id="rId13045" location="" tooltip="" display=""/>
    <hyperlink ref="R6525" r:id="rId13046" location="" tooltip="" display=""/>
    <hyperlink ref="L6526" r:id="rId13047" location="" tooltip="" display=""/>
    <hyperlink ref="R6526" r:id="rId13048" location="" tooltip="" display=""/>
    <hyperlink ref="L6528" r:id="rId13049" location="" tooltip="" display=""/>
    <hyperlink ref="R6528" r:id="rId13050" location="" tooltip="" display=""/>
    <hyperlink ref="L6529" r:id="rId13051" location="" tooltip="" display=""/>
    <hyperlink ref="R6529" r:id="rId13052" location="" tooltip="" display=""/>
    <hyperlink ref="K6530" r:id="rId13053" location="" tooltip="" display=""/>
    <hyperlink ref="L6530" r:id="rId13054" location="" tooltip="" display=""/>
    <hyperlink ref="Q6530" r:id="rId13055" location="" tooltip="" display=""/>
    <hyperlink ref="R6530" r:id="rId13056" location="" tooltip="" display=""/>
    <hyperlink ref="L6531" r:id="rId13057" location="" tooltip="" display=""/>
    <hyperlink ref="R6531" r:id="rId13058" location="" tooltip="" display=""/>
    <hyperlink ref="L6532" r:id="rId13059" location="" tooltip="" display=""/>
    <hyperlink ref="R6532" r:id="rId13060" location="" tooltip="" display=""/>
    <hyperlink ref="L6533" r:id="rId13061" location="" tooltip="" display=""/>
    <hyperlink ref="R6533" r:id="rId13062" location="" tooltip="" display=""/>
    <hyperlink ref="L6535" r:id="rId13063" location="" tooltip="" display=""/>
    <hyperlink ref="R6535" r:id="rId13064" location="" tooltip="" display=""/>
    <hyperlink ref="L6536" r:id="rId13065" location="" tooltip="" display=""/>
    <hyperlink ref="R6536" r:id="rId13066" location="" tooltip="" display=""/>
    <hyperlink ref="L6537" r:id="rId13067" location="" tooltip="" display=""/>
    <hyperlink ref="R6537" r:id="rId13068" location="" tooltip="" display=""/>
    <hyperlink ref="K6538" r:id="rId13069" location="" tooltip="" display=""/>
    <hyperlink ref="L6538" r:id="rId13070" location="" tooltip="" display=""/>
    <hyperlink ref="Q6538" r:id="rId13071" location="" tooltip="" display=""/>
    <hyperlink ref="R6538" r:id="rId13072" location="" tooltip="" display=""/>
    <hyperlink ref="L6539" r:id="rId13073" location="" tooltip="" display=""/>
    <hyperlink ref="R6539" r:id="rId13074" location="" tooltip="" display=""/>
    <hyperlink ref="L6540" r:id="rId13075" location="" tooltip="" display=""/>
    <hyperlink ref="R6540" r:id="rId13076" location="" tooltip="" display=""/>
    <hyperlink ref="L6541" r:id="rId13077" location="" tooltip="" display=""/>
    <hyperlink ref="R6541" r:id="rId13078" location="" tooltip="" display=""/>
    <hyperlink ref="L6542" r:id="rId13079" location="" tooltip="" display=""/>
    <hyperlink ref="R6542" r:id="rId13080" location="" tooltip="" display=""/>
    <hyperlink ref="K6544" r:id="rId13081" location="" tooltip="" display=""/>
    <hyperlink ref="L6544" r:id="rId13082" location="" tooltip="" display=""/>
    <hyperlink ref="Q6544" r:id="rId13083" location="" tooltip="" display=""/>
    <hyperlink ref="R6544" r:id="rId13084" location="" tooltip="" display=""/>
    <hyperlink ref="L6545" r:id="rId13085" location="" tooltip="" display=""/>
    <hyperlink ref="R6545" r:id="rId13086" location="" tooltip="" display=""/>
    <hyperlink ref="L6547" r:id="rId13087" location="" tooltip="" display=""/>
    <hyperlink ref="R6547" r:id="rId13088" location="" tooltip="" display=""/>
    <hyperlink ref="L6548" r:id="rId13089" location="" tooltip="" display=""/>
    <hyperlink ref="R6548" r:id="rId13090" location="" tooltip="" display=""/>
    <hyperlink ref="K6549" r:id="rId13091" location="" tooltip="" display=""/>
    <hyperlink ref="L6549" r:id="rId13092" location="" tooltip="" display=""/>
    <hyperlink ref="Q6549" r:id="rId13093" location="" tooltip="" display=""/>
    <hyperlink ref="R6549" r:id="rId13094" location="" tooltip="" display=""/>
    <hyperlink ref="L6550" r:id="rId13095" location="" tooltip="" display=""/>
    <hyperlink ref="R6550" r:id="rId13096" location="" tooltip="" display=""/>
    <hyperlink ref="L6551" r:id="rId13097" location="" tooltip="" display=""/>
    <hyperlink ref="R6551" r:id="rId13098" location="" tooltip="" display=""/>
    <hyperlink ref="K6553" r:id="rId13099" location="" tooltip="" display=""/>
    <hyperlink ref="L6553" r:id="rId13100" location="" tooltip="" display=""/>
    <hyperlink ref="Q6553" r:id="rId13101" location="" tooltip="" display=""/>
    <hyperlink ref="R6553" r:id="rId13102" location="" tooltip="" display=""/>
    <hyperlink ref="L6554" r:id="rId13103" location="" tooltip="" display=""/>
    <hyperlink ref="R6554" r:id="rId13104" location="" tooltip="" display=""/>
    <hyperlink ref="L6556" r:id="rId13105" location="" tooltip="" display=""/>
    <hyperlink ref="R6556" r:id="rId13106" location="" tooltip="" display=""/>
    <hyperlink ref="L6557" r:id="rId13107" location="" tooltip="" display=""/>
    <hyperlink ref="R6557" r:id="rId13108" location="" tooltip="" display=""/>
    <hyperlink ref="K6558" r:id="rId13109" location="" tooltip="" display=""/>
    <hyperlink ref="L6558" r:id="rId13110" location="" tooltip="" display=""/>
    <hyperlink ref="Q6558" r:id="rId13111" location="" tooltip="" display=""/>
    <hyperlink ref="R6558" r:id="rId13112" location="" tooltip="" display=""/>
    <hyperlink ref="L6559" r:id="rId13113" location="" tooltip="" display=""/>
    <hyperlink ref="R6559" r:id="rId13114" location="" tooltip="" display=""/>
    <hyperlink ref="L6560" r:id="rId13115" location="" tooltip="" display=""/>
    <hyperlink ref="R6560" r:id="rId13116" location="" tooltip="" display=""/>
    <hyperlink ref="L6562" r:id="rId13117" location="" tooltip="" display=""/>
    <hyperlink ref="R6562" r:id="rId13118" location="" tooltip="" display=""/>
    <hyperlink ref="K6563" r:id="rId13119" location="" tooltip="" display=""/>
    <hyperlink ref="L6563" r:id="rId13120" location="" tooltip="" display=""/>
    <hyperlink ref="Q6563" r:id="rId13121" location="" tooltip="" display=""/>
    <hyperlink ref="R6563" r:id="rId13122" location="" tooltip="" display=""/>
    <hyperlink ref="L6564" r:id="rId13123" location="" tooltip="" display=""/>
    <hyperlink ref="R6564" r:id="rId13124" location="" tooltip="" display=""/>
    <hyperlink ref="L6565" r:id="rId13125" location="" tooltip="" display=""/>
    <hyperlink ref="R6565" r:id="rId13126" location="" tooltip="" display=""/>
    <hyperlink ref="K6567" r:id="rId13127" location="" tooltip="" display=""/>
    <hyperlink ref="L6567" r:id="rId13128" location="" tooltip="" display=""/>
    <hyperlink ref="Q6567" r:id="rId13129" location="" tooltip="" display=""/>
    <hyperlink ref="R6567" r:id="rId13130" location="" tooltip="" display=""/>
    <hyperlink ref="L6568" r:id="rId13131" location="" tooltip="" display=""/>
    <hyperlink ref="R6568" r:id="rId13132" location="" tooltip="" display=""/>
    <hyperlink ref="K6570" r:id="rId13133" location="" tooltip="" display=""/>
    <hyperlink ref="L6570" r:id="rId13134" location="" tooltip="" display=""/>
    <hyperlink ref="Q6570" r:id="rId13135" location="" tooltip="" display=""/>
    <hyperlink ref="R6570" r:id="rId13136" location="" tooltip="" display=""/>
    <hyperlink ref="K6572" r:id="rId13137" location="" tooltip="" display=""/>
    <hyperlink ref="L6572" r:id="rId13138" location="" tooltip="" display=""/>
    <hyperlink ref="Q6572" r:id="rId13139" location="" tooltip="" display=""/>
    <hyperlink ref="R6572" r:id="rId13140" location="" tooltip="" display=""/>
    <hyperlink ref="L6574" r:id="rId13141" location="" tooltip="" display=""/>
    <hyperlink ref="R6574" r:id="rId13142" location="" tooltip="" display=""/>
    <hyperlink ref="K6575" r:id="rId13143" location="" tooltip="" display=""/>
    <hyperlink ref="L6575" r:id="rId13144" location="" tooltip="" display=""/>
    <hyperlink ref="Q6575" r:id="rId13145" location="" tooltip="" display=""/>
    <hyperlink ref="R6575" r:id="rId13146" location="" tooltip="" display=""/>
    <hyperlink ref="L6576" r:id="rId13147" location="" tooltip="" display=""/>
    <hyperlink ref="R6576" r:id="rId13148" location="" tooltip="" display=""/>
    <hyperlink ref="K6578" r:id="rId13149" location="" tooltip="" display=""/>
    <hyperlink ref="L6578" r:id="rId13150" location="" tooltip="" display=""/>
    <hyperlink ref="Q6578" r:id="rId13151" location="" tooltip="" display=""/>
    <hyperlink ref="R6578" r:id="rId13152" location="" tooltip="" display=""/>
    <hyperlink ref="K6580" r:id="rId13153" location="" tooltip="" display=""/>
    <hyperlink ref="L6580" r:id="rId13154" location="" tooltip="" display=""/>
    <hyperlink ref="Q6580" r:id="rId13155" location="" tooltip="" display=""/>
    <hyperlink ref="R6580" r:id="rId13156" location="" tooltip="" display=""/>
    <hyperlink ref="L6582" r:id="rId13157" location="" tooltip="" display=""/>
    <hyperlink ref="R6582" r:id="rId13158" location="" tooltip="" display=""/>
    <hyperlink ref="K6583" r:id="rId13159" location="" tooltip="" display=""/>
    <hyperlink ref="L6583" r:id="rId13160" location="" tooltip="" display=""/>
    <hyperlink ref="Q6583" r:id="rId13161" location="" tooltip="" display=""/>
    <hyperlink ref="R6583" r:id="rId13162" location="" tooltip="" display=""/>
    <hyperlink ref="L6584" r:id="rId13163" location="" tooltip="" display=""/>
    <hyperlink ref="R6584" r:id="rId13164" location="" tooltip="" display=""/>
    <hyperlink ref="L6585" r:id="rId13165" location="" tooltip="" display=""/>
    <hyperlink ref="R6585" r:id="rId13166" location="" tooltip="" display=""/>
    <hyperlink ref="K6587" r:id="rId13167" location="" tooltip="" display=""/>
    <hyperlink ref="L6587" r:id="rId13168" location="" tooltip="" display=""/>
    <hyperlink ref="Q6587" r:id="rId13169" location="" tooltip="" display=""/>
    <hyperlink ref="R6587" r:id="rId13170" location="" tooltip="" display=""/>
    <hyperlink ref="K6589" r:id="rId13171" location="" tooltip="" display=""/>
    <hyperlink ref="L6589" r:id="rId13172" location="" tooltip="" display=""/>
    <hyperlink ref="Q6589" r:id="rId13173" location="" tooltip="" display=""/>
    <hyperlink ref="R6589" r:id="rId13174" location="" tooltip="" display=""/>
    <hyperlink ref="K6591" r:id="rId13175" location="" tooltip="" display=""/>
    <hyperlink ref="L6591" r:id="rId13176" location="" tooltip="" display=""/>
    <hyperlink ref="Q6591" r:id="rId13177" location="" tooltip="" display=""/>
    <hyperlink ref="R6591" r:id="rId13178" location="" tooltip="" display=""/>
    <hyperlink ref="L6592" r:id="rId13179" location="" tooltip="" display=""/>
    <hyperlink ref="R6592" r:id="rId13180" location="" tooltip="" display=""/>
    <hyperlink ref="L6594" r:id="rId13181" location="" tooltip="" display=""/>
    <hyperlink ref="R6594" r:id="rId13182" location="" tooltip="" display=""/>
    <hyperlink ref="K6595" r:id="rId13183" location="" tooltip="" display=""/>
    <hyperlink ref="L6595" r:id="rId13184" location="" tooltip="" display=""/>
    <hyperlink ref="Q6595" r:id="rId13185" location="" tooltip="" display=""/>
    <hyperlink ref="R6595" r:id="rId13186" location="" tooltip="" display=""/>
    <hyperlink ref="L6596" r:id="rId13187" location="" tooltip="" display=""/>
    <hyperlink ref="R6596" r:id="rId13188" location="" tooltip="" display=""/>
    <hyperlink ref="L6597" r:id="rId13189" location="" tooltip="" display=""/>
    <hyperlink ref="R6597" r:id="rId13190" location="" tooltip="" display=""/>
    <hyperlink ref="L6599" r:id="rId13191" location="" tooltip="" display=""/>
    <hyperlink ref="R6599" r:id="rId13192" location="" tooltip="" display=""/>
    <hyperlink ref="L6600" r:id="rId13193" location="" tooltip="" display=""/>
    <hyperlink ref="R6600" r:id="rId13194" location="" tooltip="" display=""/>
    <hyperlink ref="K6601" r:id="rId13195" location="" tooltip="" display=""/>
    <hyperlink ref="L6601" r:id="rId13196" location="" tooltip="" display=""/>
    <hyperlink ref="Q6601" r:id="rId13197" location="" tooltip="" display=""/>
    <hyperlink ref="R6601" r:id="rId13198" location="" tooltip="" display=""/>
    <hyperlink ref="L6602" r:id="rId13199" location="" tooltip="" display=""/>
    <hyperlink ref="R6602" r:id="rId13200" location="" tooltip="" display=""/>
    <hyperlink ref="L6603" r:id="rId13201" location="" tooltip="" display=""/>
    <hyperlink ref="R6603" r:id="rId13202" location="" tooltip="" display=""/>
    <hyperlink ref="L6604" r:id="rId13203" location="" tooltip="" display=""/>
    <hyperlink ref="R6604" r:id="rId13204" location="" tooltip="" display=""/>
    <hyperlink ref="L6606" r:id="rId13205" location="" tooltip="" display=""/>
    <hyperlink ref="R6606" r:id="rId13206" location="" tooltip="" display=""/>
    <hyperlink ref="L6607" r:id="rId13207" location="" tooltip="" display=""/>
    <hyperlink ref="R6607" r:id="rId13208" location="" tooltip="" display=""/>
    <hyperlink ref="K6608" r:id="rId13209" location="" tooltip="" display=""/>
    <hyperlink ref="L6608" r:id="rId13210" location="" tooltip="" display=""/>
    <hyperlink ref="Q6608" r:id="rId13211" location="" tooltip="" display=""/>
    <hyperlink ref="R6608" r:id="rId13212" location="" tooltip="" display=""/>
    <hyperlink ref="L6609" r:id="rId13213" location="" tooltip="" display=""/>
    <hyperlink ref="R6609" r:id="rId13214" location="" tooltip="" display=""/>
    <hyperlink ref="L6610" r:id="rId13215" location="" tooltip="" display=""/>
    <hyperlink ref="R6610" r:id="rId13216" location="" tooltip="" display=""/>
    <hyperlink ref="L6611" r:id="rId13217" location="" tooltip="" display=""/>
    <hyperlink ref="R6611" r:id="rId13218" location="" tooltip="" display=""/>
    <hyperlink ref="L6613" r:id="rId13219" location="" tooltip="" display=""/>
    <hyperlink ref="R6613" r:id="rId13220" location="" tooltip="" display=""/>
    <hyperlink ref="K6614" r:id="rId13221" location="" tooltip="" display=""/>
    <hyperlink ref="L6614" r:id="rId13222" location="" tooltip="" display=""/>
    <hyperlink ref="Q6614" r:id="rId13223" location="" tooltip="" display=""/>
    <hyperlink ref="R6614" r:id="rId13224" location="" tooltip="" display=""/>
    <hyperlink ref="L6615" r:id="rId13225" location="" tooltip="" display=""/>
    <hyperlink ref="R6615" r:id="rId13226" location="" tooltip="" display=""/>
    <hyperlink ref="K6617" r:id="rId13227" location="" tooltip="" display=""/>
    <hyperlink ref="L6617" r:id="rId13228" location="" tooltip="" display=""/>
    <hyperlink ref="Q6617" r:id="rId13229" location="" tooltip="" display=""/>
    <hyperlink ref="R6617" r:id="rId13230" location="" tooltip="" display=""/>
    <hyperlink ref="L6618" r:id="rId13231" location="" tooltip="" display=""/>
    <hyperlink ref="R6618" r:id="rId13232" location="" tooltip="" display=""/>
    <hyperlink ref="L6620" r:id="rId13233" location="" tooltip="" display=""/>
    <hyperlink ref="R6620" r:id="rId13234" location="" tooltip="" display=""/>
    <hyperlink ref="K6621" r:id="rId13235" location="" tooltip="" display=""/>
    <hyperlink ref="L6621" r:id="rId13236" location="" tooltip="" display=""/>
    <hyperlink ref="Q6621" r:id="rId13237" location="" tooltip="" display=""/>
    <hyperlink ref="R6621" r:id="rId13238" location="" tooltip="" display=""/>
    <hyperlink ref="L6622" r:id="rId13239" location="" tooltip="" display=""/>
    <hyperlink ref="R6622" r:id="rId13240" location="" tooltip="" display=""/>
    <hyperlink ref="K6624" r:id="rId13241" location="" tooltip="" display=""/>
    <hyperlink ref="L6624" r:id="rId13242" location="" tooltip="" display=""/>
    <hyperlink ref="Q6624" r:id="rId13243" location="" tooltip="" display=""/>
    <hyperlink ref="R6624" r:id="rId13244" location="" tooltip="" display=""/>
    <hyperlink ref="L6626" r:id="rId13245" location="" tooltip="" display=""/>
    <hyperlink ref="R6626" r:id="rId13246" location="" tooltip="" display=""/>
    <hyperlink ref="L6627" r:id="rId13247" location="" tooltip="" display=""/>
    <hyperlink ref="R6627" r:id="rId13248" location="" tooltip="" display=""/>
    <hyperlink ref="K6628" r:id="rId13249" location="" tooltip="" display=""/>
    <hyperlink ref="L6628" r:id="rId13250" location="" tooltip="" display=""/>
    <hyperlink ref="Q6628" r:id="rId13251" location="" tooltip="" display=""/>
    <hyperlink ref="R6628" r:id="rId13252" location="" tooltip="" display=""/>
    <hyperlink ref="L6629" r:id="rId13253" location="" tooltip="" display=""/>
    <hyperlink ref="R6629" r:id="rId13254" location="" tooltip="" display=""/>
    <hyperlink ref="L6630" r:id="rId13255" location="" tooltip="" display=""/>
    <hyperlink ref="R6630" r:id="rId13256" location="" tooltip="" display=""/>
    <hyperlink ref="K6632" r:id="rId13257" location="" tooltip="" display=""/>
    <hyperlink ref="L6632" r:id="rId13258" location="" tooltip="" display=""/>
    <hyperlink ref="Q6632" r:id="rId13259" location="" tooltip="" display=""/>
    <hyperlink ref="R6632" r:id="rId13260" location="" tooltip="" display=""/>
    <hyperlink ref="L6634" r:id="rId13261" location="" tooltip="" display=""/>
    <hyperlink ref="R6634" r:id="rId13262" location="" tooltip="" display=""/>
    <hyperlink ref="L6635" r:id="rId13263" location="" tooltip="" display=""/>
    <hyperlink ref="R6635" r:id="rId13264" location="" tooltip="" display=""/>
    <hyperlink ref="K6636" r:id="rId13265" location="" tooltip="" display=""/>
    <hyperlink ref="L6636" r:id="rId13266" location="" tooltip="" display=""/>
    <hyperlink ref="Q6636" r:id="rId13267" location="" tooltip="" display=""/>
    <hyperlink ref="R6636" r:id="rId13268" location="" tooltip="" display=""/>
    <hyperlink ref="L6637" r:id="rId13269" location="" tooltip="" display=""/>
    <hyperlink ref="R6637" r:id="rId13270" location="" tooltip="" display=""/>
    <hyperlink ref="L6638" r:id="rId13271" location="" tooltip="" display=""/>
    <hyperlink ref="R6638" r:id="rId13272" location="" tooltip="" display=""/>
    <hyperlink ref="L6639" r:id="rId13273" location="" tooltip="" display=""/>
    <hyperlink ref="R6639" r:id="rId13274" location="" tooltip="" display=""/>
    <hyperlink ref="K6641" r:id="rId13275" location="" tooltip="" display=""/>
    <hyperlink ref="L6641" r:id="rId13276" location="" tooltip="" display=""/>
    <hyperlink ref="Q6641" r:id="rId13277" location="" tooltip="" display=""/>
    <hyperlink ref="R6641" r:id="rId13278" location="" tooltip="" display=""/>
    <hyperlink ref="L6642" r:id="rId13279" location="" tooltip="" display=""/>
    <hyperlink ref="R6642" r:id="rId13280" location="" tooltip="" display=""/>
    <hyperlink ref="L6644" r:id="rId13281" location="" tooltip="" display=""/>
    <hyperlink ref="R6644" r:id="rId13282" location="" tooltip="" display=""/>
    <hyperlink ref="L6645" r:id="rId13283" location="" tooltip="" display=""/>
    <hyperlink ref="R6645" r:id="rId13284" location="" tooltip="" display=""/>
    <hyperlink ref="K6646" r:id="rId13285" location="" tooltip="" display=""/>
    <hyperlink ref="L6646" r:id="rId13286" location="" tooltip="" display=""/>
    <hyperlink ref="Q6646" r:id="rId13287" location="" tooltip="" display=""/>
    <hyperlink ref="R6646" r:id="rId13288" location="" tooltip="" display=""/>
    <hyperlink ref="L6647" r:id="rId13289" location="" tooltip="" display=""/>
    <hyperlink ref="R6647" r:id="rId13290" location="" tooltip="" display=""/>
    <hyperlink ref="L6648" r:id="rId13291" location="" tooltip="" display=""/>
    <hyperlink ref="R6648" r:id="rId13292" location="" tooltip="" display=""/>
    <hyperlink ref="K6650" r:id="rId13293" location="" tooltip="" display=""/>
    <hyperlink ref="L6650" r:id="rId13294" location="" tooltip="" display=""/>
    <hyperlink ref="Q6650" r:id="rId13295" location="" tooltip="" display=""/>
    <hyperlink ref="R6650" r:id="rId13296" location="" tooltip="" display=""/>
    <hyperlink ref="L6652" r:id="rId13297" location="" tooltip="" display=""/>
    <hyperlink ref="R6652" r:id="rId13298" location="" tooltip="" display=""/>
    <hyperlink ref="K6653" r:id="rId13299" location="" tooltip="" display=""/>
    <hyperlink ref="L6653" r:id="rId13300" location="" tooltip="" display=""/>
    <hyperlink ref="Q6653" r:id="rId13301" location="" tooltip="" display=""/>
    <hyperlink ref="R6653" r:id="rId13302" location="" tooltip="" display=""/>
    <hyperlink ref="L6654" r:id="rId13303" location="" tooltip="" display=""/>
    <hyperlink ref="R6654" r:id="rId13304" location="" tooltip="" display=""/>
    <hyperlink ref="L6655" r:id="rId13305" location="" tooltip="" display=""/>
    <hyperlink ref="R6655" r:id="rId13306" location="" tooltip="" display=""/>
    <hyperlink ref="L6657" r:id="rId13307" location="" tooltip="" display=""/>
    <hyperlink ref="R6657" r:id="rId13308" location="" tooltip="" display=""/>
    <hyperlink ref="K6658" r:id="rId13309" location="" tooltip="" display=""/>
    <hyperlink ref="L6658" r:id="rId13310" location="" tooltip="" display=""/>
    <hyperlink ref="Q6658" r:id="rId13311" location="" tooltip="" display=""/>
    <hyperlink ref="R6658" r:id="rId13312" location="" tooltip="" display=""/>
    <hyperlink ref="L6659" r:id="rId13313" location="" tooltip="" display=""/>
    <hyperlink ref="R6659" r:id="rId13314" location="" tooltip="" display=""/>
    <hyperlink ref="L6661" r:id="rId13315" location="" tooltip="" display=""/>
    <hyperlink ref="R6661" r:id="rId13316" location="" tooltip="" display=""/>
    <hyperlink ref="K6662" r:id="rId13317" location="" tooltip="" display=""/>
    <hyperlink ref="L6662" r:id="rId13318" location="" tooltip="" display=""/>
    <hyperlink ref="Q6662" r:id="rId13319" location="" tooltip="" display=""/>
    <hyperlink ref="R6662" r:id="rId13320" location="" tooltip="" display=""/>
    <hyperlink ref="L6663" r:id="rId13321" location="" tooltip="" display=""/>
    <hyperlink ref="R6663" r:id="rId13322" location="" tooltip="" display=""/>
    <hyperlink ref="L6665" r:id="rId13323" location="" tooltip="" display=""/>
    <hyperlink ref="R6665" r:id="rId13324" location="" tooltip="" display=""/>
    <hyperlink ref="L6666" r:id="rId13325" location="" tooltip="" display=""/>
    <hyperlink ref="R6666" r:id="rId13326" location="" tooltip="" display=""/>
    <hyperlink ref="K6667" r:id="rId13327" location="" tooltip="" display=""/>
    <hyperlink ref="L6667" r:id="rId13328" location="" tooltip="" display=""/>
    <hyperlink ref="Q6667" r:id="rId13329" location="" tooltip="" display=""/>
    <hyperlink ref="R6667" r:id="rId13330" location="" tooltip="" display=""/>
    <hyperlink ref="L6668" r:id="rId13331" location="" tooltip="" display=""/>
    <hyperlink ref="R6668" r:id="rId13332" location="" tooltip="" display=""/>
    <hyperlink ref="L6669" r:id="rId13333" location="" tooltip="" display=""/>
    <hyperlink ref="R6669" r:id="rId13334" location="" tooltip="" display=""/>
    <hyperlink ref="L6670" r:id="rId13335" location="" tooltip="" display=""/>
    <hyperlink ref="R6670" r:id="rId13336" location="" tooltip="" display=""/>
    <hyperlink ref="L6672" r:id="rId13337" location="" tooltip="" display=""/>
    <hyperlink ref="R6672" r:id="rId13338" location="" tooltip="" display=""/>
    <hyperlink ref="K6673" r:id="rId13339" location="" tooltip="" display=""/>
    <hyperlink ref="L6673" r:id="rId13340" location="" tooltip="" display=""/>
    <hyperlink ref="Q6673" r:id="rId13341" location="" tooltip="" display=""/>
    <hyperlink ref="R6673" r:id="rId13342" location="" tooltip="" display=""/>
    <hyperlink ref="L6674" r:id="rId13343" location="" tooltip="" display=""/>
    <hyperlink ref="R6674" r:id="rId13344" location="" tooltip="" display=""/>
    <hyperlink ref="L6676" r:id="rId13345" location="" tooltip="" display=""/>
    <hyperlink ref="R6676" r:id="rId13346" location="" tooltip="" display=""/>
    <hyperlink ref="K6677" r:id="rId13347" location="" tooltip="" display=""/>
    <hyperlink ref="L6677" r:id="rId13348" location="" tooltip="" display=""/>
    <hyperlink ref="Q6677" r:id="rId13349" location="" tooltip="" display=""/>
    <hyperlink ref="R6677" r:id="rId13350" location="" tooltip="" display=""/>
    <hyperlink ref="L6678" r:id="rId13351" location="" tooltip="" display=""/>
    <hyperlink ref="R6678" r:id="rId13352" location="" tooltip="" display=""/>
    <hyperlink ref="L6679" r:id="rId13353" location="" tooltip="" display=""/>
    <hyperlink ref="R6679" r:id="rId13354" location="" tooltip="" display=""/>
    <hyperlink ref="L6681" r:id="rId13355" location="" tooltip="" display=""/>
    <hyperlink ref="R6681" r:id="rId13356" location="" tooltip="" display=""/>
    <hyperlink ref="K6682" r:id="rId13357" location="" tooltip="" display=""/>
    <hyperlink ref="L6682" r:id="rId13358" location="" tooltip="" display=""/>
    <hyperlink ref="Q6682" r:id="rId13359" location="" tooltip="" display=""/>
    <hyperlink ref="R6682" r:id="rId13360" location="" tooltip="" display=""/>
    <hyperlink ref="L6683" r:id="rId13361" location="" tooltip="" display=""/>
    <hyperlink ref="R6683" r:id="rId13362" location="" tooltip="" display=""/>
    <hyperlink ref="L6684" r:id="rId13363" location="" tooltip="" display=""/>
    <hyperlink ref="R6684" r:id="rId13364" location="" tooltip="" display=""/>
    <hyperlink ref="L6686" r:id="rId13365" location="" tooltip="" display=""/>
    <hyperlink ref="R6686" r:id="rId13366" location="" tooltip="" display=""/>
    <hyperlink ref="L6687" r:id="rId13367" location="" tooltip="" display=""/>
    <hyperlink ref="R6687" r:id="rId13368" location="" tooltip="" display=""/>
    <hyperlink ref="L6688" r:id="rId13369" location="" tooltip="" display=""/>
    <hyperlink ref="R6688" r:id="rId13370" location="" tooltip="" display=""/>
    <hyperlink ref="L6689" r:id="rId13371" location="" tooltip="" display=""/>
    <hyperlink ref="R6689" r:id="rId13372" location="" tooltip="" display=""/>
    <hyperlink ref="K6690" r:id="rId13373" location="" tooltip="" display=""/>
    <hyperlink ref="L6690" r:id="rId13374" location="" tooltip="" display=""/>
    <hyperlink ref="Q6690" r:id="rId13375" location="" tooltip="" display=""/>
    <hyperlink ref="R6690" r:id="rId13376" location="" tooltip="" display=""/>
    <hyperlink ref="L6691" r:id="rId13377" location="" tooltip="" display=""/>
    <hyperlink ref="R6691" r:id="rId13378" location="" tooltip="" display=""/>
    <hyperlink ref="L6692" r:id="rId13379" location="" tooltip="" display=""/>
    <hyperlink ref="R6692" r:id="rId13380" location="" tooltip="" display=""/>
    <hyperlink ref="L6693" r:id="rId13381" location="" tooltip="" display=""/>
    <hyperlink ref="R6693" r:id="rId13382" location="" tooltip="" display=""/>
    <hyperlink ref="L6694" r:id="rId13383" location="" tooltip="" display=""/>
    <hyperlink ref="R6694" r:id="rId13384" location="" tooltip="" display=""/>
    <hyperlink ref="L6695" r:id="rId13385" location="" tooltip="" display=""/>
    <hyperlink ref="R6695" r:id="rId13386" location="" tooltip="" display=""/>
    <hyperlink ref="K6697" r:id="rId13387" location="" tooltip="" display=""/>
    <hyperlink ref="L6697" r:id="rId13388" location="" tooltip="" display=""/>
    <hyperlink ref="Q6697" r:id="rId13389" location="" tooltip="" display=""/>
    <hyperlink ref="R6697" r:id="rId13390" location="" tooltip="" display=""/>
    <hyperlink ref="L6698" r:id="rId13391" location="" tooltip="" display=""/>
    <hyperlink ref="R6698" r:id="rId13392" location="" tooltip="" display=""/>
    <hyperlink ref="K6700" r:id="rId13393" location="" tooltip="" display=""/>
    <hyperlink ref="L6700" r:id="rId13394" location="" tooltip="" display=""/>
    <hyperlink ref="Q6700" r:id="rId13395" location="" tooltip="" display=""/>
    <hyperlink ref="R6700" r:id="rId13396" location="" tooltip="" display=""/>
    <hyperlink ref="L6702" r:id="rId13397" location="" tooltip="" display=""/>
    <hyperlink ref="R6702" r:id="rId13398" location="" tooltip="" display=""/>
    <hyperlink ref="K6703" r:id="rId13399" location="" tooltip="" display=""/>
    <hyperlink ref="L6703" r:id="rId13400" location="" tooltip="" display=""/>
    <hyperlink ref="Q6703" r:id="rId13401" location="" tooltip="" display=""/>
    <hyperlink ref="R6703" r:id="rId13402" location="" tooltip="" display=""/>
    <hyperlink ref="L6704" r:id="rId13403" location="" tooltip="" display=""/>
    <hyperlink ref="R6704" r:id="rId13404" location="" tooltip="" display=""/>
    <hyperlink ref="K6706" r:id="rId13405" location="" tooltip="" display=""/>
    <hyperlink ref="L6706" r:id="rId13406" location="" tooltip="" display=""/>
    <hyperlink ref="Q6706" r:id="rId13407" location="" tooltip="" display=""/>
    <hyperlink ref="R6706" r:id="rId13408" location="" tooltip="" display=""/>
    <hyperlink ref="K6708" r:id="rId13409" location="" tooltip="" display=""/>
    <hyperlink ref="L6708" r:id="rId13410" location="" tooltip="" display=""/>
    <hyperlink ref="Q6708" r:id="rId13411" location="" tooltip="" display=""/>
    <hyperlink ref="R6708" r:id="rId13412" location="" tooltip="" display=""/>
    <hyperlink ref="L6709" r:id="rId13413" location="" tooltip="" display=""/>
    <hyperlink ref="R6709" r:id="rId13414" location="" tooltip="" display=""/>
    <hyperlink ref="K6711" r:id="rId13415" location="" tooltip="" display=""/>
    <hyperlink ref="L6711" r:id="rId13416" location="" tooltip="" display=""/>
    <hyperlink ref="Q6711" r:id="rId13417" location="" tooltip="" display=""/>
    <hyperlink ref="R6711" r:id="rId13418" location="" tooltip="" display=""/>
    <hyperlink ref="L6712" r:id="rId13419" location="" tooltip="" display=""/>
    <hyperlink ref="R6712" r:id="rId13420" location="" tooltip="" display=""/>
    <hyperlink ref="K6714" r:id="rId13421" location="" tooltip="" display=""/>
    <hyperlink ref="L6714" r:id="rId13422" location="" tooltip="" display=""/>
    <hyperlink ref="Q6714" r:id="rId13423" location="" tooltip="" display=""/>
    <hyperlink ref="R6714" r:id="rId13424" location="" tooltip="" display=""/>
    <hyperlink ref="L6715" r:id="rId13425" location="" tooltip="" display=""/>
    <hyperlink ref="R6715" r:id="rId13426" location="" tooltip="" display=""/>
    <hyperlink ref="L6717" r:id="rId13427" location="" tooltip="" display=""/>
    <hyperlink ref="R6717" r:id="rId13428" location="" tooltip="" display=""/>
    <hyperlink ref="K6718" r:id="rId13429" location="" tooltip="" display=""/>
    <hyperlink ref="L6718" r:id="rId13430" location="" tooltip="" display=""/>
    <hyperlink ref="Q6718" r:id="rId13431" location="" tooltip="" display=""/>
    <hyperlink ref="R6718" r:id="rId13432" location="" tooltip="" display=""/>
    <hyperlink ref="L6719" r:id="rId13433" location="" tooltip="" display=""/>
    <hyperlink ref="R6719" r:id="rId13434" location="" tooltip="" display=""/>
    <hyperlink ref="L6721" r:id="rId13435" location="" tooltip="" display=""/>
    <hyperlink ref="R6721" r:id="rId13436" location="" tooltip="" display=""/>
    <hyperlink ref="K6722" r:id="rId13437" location="" tooltip="" display=""/>
    <hyperlink ref="L6722" r:id="rId13438" location="" tooltip="" display=""/>
    <hyperlink ref="Q6722" r:id="rId13439" location="" tooltip="" display=""/>
    <hyperlink ref="R6722" r:id="rId13440" location="" tooltip="" display=""/>
    <hyperlink ref="L6723" r:id="rId13441" location="" tooltip="" display=""/>
    <hyperlink ref="R6723" r:id="rId13442" location="" tooltip="" display=""/>
    <hyperlink ref="L6725" r:id="rId13443" location="" tooltip="" display=""/>
    <hyperlink ref="R6725" r:id="rId13444" location="" tooltip="" display=""/>
    <hyperlink ref="K6726" r:id="rId13445" location="" tooltip="" display=""/>
    <hyperlink ref="L6726" r:id="rId13446" location="" tooltip="" display=""/>
    <hyperlink ref="Q6726" r:id="rId13447" location="" tooltip="" display=""/>
    <hyperlink ref="R6726" r:id="rId13448" location="" tooltip="" display=""/>
    <hyperlink ref="L6727" r:id="rId13449" location="" tooltip="" display=""/>
    <hyperlink ref="R6727" r:id="rId13450" location="" tooltip="" display=""/>
    <hyperlink ref="K6729" r:id="rId13451" location="" tooltip="" display=""/>
    <hyperlink ref="L6729" r:id="rId13452" location="" tooltip="" display=""/>
    <hyperlink ref="Q6729" r:id="rId13453" location="" tooltip="" display=""/>
    <hyperlink ref="R6729" r:id="rId13454" location="" tooltip="" display=""/>
    <hyperlink ref="K6731" r:id="rId13455" location="" tooltip="" display=""/>
    <hyperlink ref="L6731" r:id="rId13456" location="" tooltip="" display=""/>
    <hyperlink ref="Q6731" r:id="rId13457" location="" tooltip="" display=""/>
    <hyperlink ref="R6731" r:id="rId13458" location="" tooltip="" display=""/>
    <hyperlink ref="K6733" r:id="rId13459" location="" tooltip="" display=""/>
    <hyperlink ref="L6733" r:id="rId13460" location="" tooltip="" display=""/>
    <hyperlink ref="Q6733" r:id="rId13461" location="" tooltip="" display=""/>
    <hyperlink ref="R6733" r:id="rId13462" location="" tooltip="" display=""/>
    <hyperlink ref="L6734" r:id="rId13463" location="" tooltip="" display=""/>
    <hyperlink ref="R6734" r:id="rId13464" location="" tooltip="" display=""/>
    <hyperlink ref="L6736" r:id="rId13465" location="" tooltip="" display=""/>
    <hyperlink ref="R6736" r:id="rId13466" location="" tooltip="" display=""/>
    <hyperlink ref="K6737" r:id="rId13467" location="" tooltip="" display=""/>
    <hyperlink ref="L6737" r:id="rId13468" location="" tooltip="" display=""/>
    <hyperlink ref="Q6737" r:id="rId13469" location="" tooltip="" display=""/>
    <hyperlink ref="R6737" r:id="rId13470" location="" tooltip="" display=""/>
    <hyperlink ref="L6738" r:id="rId13471" location="" tooltip="" display=""/>
    <hyperlink ref="R6738" r:id="rId13472" location="" tooltip="" display=""/>
    <hyperlink ref="L6739" r:id="rId13473" location="" tooltip="" display=""/>
    <hyperlink ref="R6739" r:id="rId13474" location="" tooltip="" display=""/>
    <hyperlink ref="K6741" r:id="rId13475" location="" tooltip="" display=""/>
    <hyperlink ref="L6741" r:id="rId13476" location="" tooltip="" display=""/>
    <hyperlink ref="Q6741" r:id="rId13477" location="" tooltip="" display=""/>
    <hyperlink ref="R6741" r:id="rId13478" location="" tooltip="" display=""/>
    <hyperlink ref="L6742" r:id="rId13479" location="" tooltip="" display=""/>
    <hyperlink ref="R6742" r:id="rId13480" location="" tooltip="" display=""/>
    <hyperlink ref="K6744" r:id="rId13481" location="" tooltip="" display=""/>
    <hyperlink ref="L6744" r:id="rId13482" location="" tooltip="" display=""/>
    <hyperlink ref="Q6744" r:id="rId13483" location="" tooltip="" display=""/>
    <hyperlink ref="R6744" r:id="rId13484" location="" tooltip="" display=""/>
    <hyperlink ref="K6746" r:id="rId13485" location="" tooltip="" display=""/>
    <hyperlink ref="L6746" r:id="rId13486" location="" tooltip="" display=""/>
    <hyperlink ref="Q6746" r:id="rId13487" location="" tooltip="" display=""/>
    <hyperlink ref="R6746" r:id="rId13488" location="" tooltip="" display=""/>
    <hyperlink ref="L6748" r:id="rId13489" location="" tooltip="" display=""/>
    <hyperlink ref="R6748" r:id="rId13490" location="" tooltip="" display=""/>
    <hyperlink ref="K6749" r:id="rId13491" location="" tooltip="" display=""/>
    <hyperlink ref="L6749" r:id="rId13492" location="" tooltip="" display=""/>
    <hyperlink ref="Q6749" r:id="rId13493" location="" tooltip="" display=""/>
    <hyperlink ref="R6749" r:id="rId13494" location="" tooltip="" display=""/>
    <hyperlink ref="L6750" r:id="rId13495" location="" tooltip="" display=""/>
    <hyperlink ref="R6750" r:id="rId13496" location="" tooltip="" display=""/>
    <hyperlink ref="L6752" r:id="rId13497" location="" tooltip="" display=""/>
    <hyperlink ref="R6752" r:id="rId13498" location="" tooltip="" display=""/>
    <hyperlink ref="K6753" r:id="rId13499" location="" tooltip="" display=""/>
    <hyperlink ref="L6753" r:id="rId13500" location="" tooltip="" display=""/>
    <hyperlink ref="Q6753" r:id="rId13501" location="" tooltip="" display=""/>
    <hyperlink ref="R6753" r:id="rId13502" location="" tooltip="" display=""/>
    <hyperlink ref="L6754" r:id="rId13503" location="" tooltip="" display=""/>
    <hyperlink ref="R6754" r:id="rId13504" location="" tooltip="" display=""/>
    <hyperlink ref="L6755" r:id="rId13505" location="" tooltip="" display=""/>
    <hyperlink ref="R6755" r:id="rId13506" location="" tooltip="" display=""/>
    <hyperlink ref="L6757" r:id="rId13507" location="" tooltip="" display=""/>
    <hyperlink ref="R6757" r:id="rId13508" location="" tooltip="" display=""/>
    <hyperlink ref="L6758" r:id="rId13509" location="" tooltip="" display=""/>
    <hyperlink ref="R6758" r:id="rId13510" location="" tooltip="" display=""/>
    <hyperlink ref="K6759" r:id="rId13511" location="" tooltip="" display=""/>
    <hyperlink ref="L6759" r:id="rId13512" location="" tooltip="" display=""/>
    <hyperlink ref="Q6759" r:id="rId13513" location="" tooltip="" display=""/>
    <hyperlink ref="R6759" r:id="rId13514" location="" tooltip="" display=""/>
    <hyperlink ref="L6760" r:id="rId13515" location="" tooltip="" display=""/>
    <hyperlink ref="R6760" r:id="rId13516" location="" tooltip="" display=""/>
    <hyperlink ref="L6761" r:id="rId13517" location="" tooltip="" display=""/>
    <hyperlink ref="R6761" r:id="rId13518" location="" tooltip="" display=""/>
    <hyperlink ref="L6762" r:id="rId13519" location="" tooltip="" display=""/>
    <hyperlink ref="R6762" r:id="rId13520" location="" tooltip="" display=""/>
    <hyperlink ref="L6764" r:id="rId13521" location="" tooltip="" display=""/>
    <hyperlink ref="R6764" r:id="rId13522" location="" tooltip="" display=""/>
    <hyperlink ref="L6765" r:id="rId13523" location="" tooltip="" display=""/>
    <hyperlink ref="R6765" r:id="rId13524" location="" tooltip="" display=""/>
    <hyperlink ref="K6766" r:id="rId13525" location="" tooltip="" display=""/>
    <hyperlink ref="L6766" r:id="rId13526" location="" tooltip="" display=""/>
    <hyperlink ref="Q6766" r:id="rId13527" location="" tooltip="" display=""/>
    <hyperlink ref="R6766" r:id="rId13528" location="" tooltip="" display=""/>
    <hyperlink ref="L6767" r:id="rId13529" location="" tooltip="" display=""/>
    <hyperlink ref="R6767" r:id="rId13530" location="" tooltip="" display=""/>
    <hyperlink ref="L6768" r:id="rId13531" location="" tooltip="" display=""/>
    <hyperlink ref="R6768" r:id="rId13532" location="" tooltip="" display=""/>
    <hyperlink ref="L6770" r:id="rId13533" location="" tooltip="" display=""/>
    <hyperlink ref="R6770" r:id="rId13534" location="" tooltip="" display=""/>
    <hyperlink ref="K6771" r:id="rId13535" location="" tooltip="" display=""/>
    <hyperlink ref="L6771" r:id="rId13536" location="" tooltip="" display=""/>
    <hyperlink ref="Q6771" r:id="rId13537" location="" tooltip="" display=""/>
    <hyperlink ref="R6771" r:id="rId13538" location="" tooltip="" display=""/>
    <hyperlink ref="L6772" r:id="rId13539" location="" tooltip="" display=""/>
    <hyperlink ref="R6772" r:id="rId13540" location="" tooltip="" display=""/>
    <hyperlink ref="L6774" r:id="rId13541" location="" tooltip="" display=""/>
    <hyperlink ref="R6774" r:id="rId13542" location="" tooltip="" display=""/>
    <hyperlink ref="K6775" r:id="rId13543" location="" tooltip="" display=""/>
    <hyperlink ref="L6775" r:id="rId13544" location="" tooltip="" display=""/>
    <hyperlink ref="Q6775" r:id="rId13545" location="" tooltip="" display=""/>
    <hyperlink ref="R6775" r:id="rId13546" location="" tooltip="" display=""/>
    <hyperlink ref="L6776" r:id="rId13547" location="" tooltip="" display=""/>
    <hyperlink ref="R6776" r:id="rId13548" location="" tooltip="" display=""/>
    <hyperlink ref="L6778" r:id="rId13549" location="" tooltip="" display=""/>
    <hyperlink ref="R6778" r:id="rId13550" location="" tooltip="" display=""/>
    <hyperlink ref="L6779" r:id="rId13551" location="" tooltip="" display=""/>
    <hyperlink ref="R6779" r:id="rId13552" location="" tooltip="" display=""/>
    <hyperlink ref="K6780" r:id="rId13553" location="" tooltip="" display=""/>
    <hyperlink ref="L6780" r:id="rId13554" location="" tooltip="" display=""/>
    <hyperlink ref="Q6780" r:id="rId13555" location="" tooltip="" display=""/>
    <hyperlink ref="R6780" r:id="rId13556" location="" tooltip="" display=""/>
    <hyperlink ref="L6781" r:id="rId13557" location="" tooltip="" display=""/>
    <hyperlink ref="R6781" r:id="rId13558" location="" tooltip="" display=""/>
    <hyperlink ref="L6782" r:id="rId13559" location="" tooltip="" display=""/>
    <hyperlink ref="R6782" r:id="rId13560" location="" tooltip="" display=""/>
    <hyperlink ref="L6783" r:id="rId13561" location="" tooltip="" display=""/>
    <hyperlink ref="R6783" r:id="rId13562" location="" tooltip="" display=""/>
    <hyperlink ref="L6785" r:id="rId13563" location="" tooltip="" display=""/>
    <hyperlink ref="R6785" r:id="rId13564" location="" tooltip="" display=""/>
    <hyperlink ref="L6786" r:id="rId13565" location="" tooltip="" display=""/>
    <hyperlink ref="R6786" r:id="rId13566" location="" tooltip="" display=""/>
    <hyperlink ref="K6787" r:id="rId13567" location="" tooltip="" display=""/>
    <hyperlink ref="L6787" r:id="rId13568" location="" tooltip="" display=""/>
    <hyperlink ref="Q6787" r:id="rId13569" location="" tooltip="" display=""/>
    <hyperlink ref="R6787" r:id="rId13570" location="" tooltip="" display=""/>
    <hyperlink ref="L6788" r:id="rId13571" location="" tooltip="" display=""/>
    <hyperlink ref="R6788" r:id="rId13572" location="" tooltip="" display=""/>
    <hyperlink ref="L6789" r:id="rId13573" location="" tooltip="" display=""/>
    <hyperlink ref="R6789" r:id="rId13574" location="" tooltip="" display=""/>
    <hyperlink ref="K6791" r:id="rId13575" location="" tooltip="" display=""/>
    <hyperlink ref="L6791" r:id="rId13576" location="" tooltip="" display=""/>
    <hyperlink ref="Q6791" r:id="rId13577" location="" tooltip="" display=""/>
    <hyperlink ref="R6791" r:id="rId13578" location="" tooltip="" display=""/>
    <hyperlink ref="L6793" r:id="rId13579" location="" tooltip="" display=""/>
    <hyperlink ref="R6793" r:id="rId13580" location="" tooltip="" display=""/>
    <hyperlink ref="L6794" r:id="rId13581" location="" tooltip="" display=""/>
    <hyperlink ref="R6794" r:id="rId13582" location="" tooltip="" display=""/>
    <hyperlink ref="K6795" r:id="rId13583" location="" tooltip="" display=""/>
    <hyperlink ref="L6795" r:id="rId13584" location="" tooltip="" display=""/>
    <hyperlink ref="Q6795" r:id="rId13585" location="" tooltip="" display=""/>
    <hyperlink ref="R6795" r:id="rId13586" location="" tooltip="" display=""/>
    <hyperlink ref="L6796" r:id="rId13587" location="" tooltip="" display=""/>
    <hyperlink ref="R6796" r:id="rId13588" location="" tooltip="" display=""/>
    <hyperlink ref="L6797" r:id="rId13589" location="" tooltip="" display=""/>
    <hyperlink ref="R6797" r:id="rId13590" location="" tooltip="" display=""/>
    <hyperlink ref="K6799" r:id="rId13591" location="" tooltip="" display=""/>
    <hyperlink ref="L6799" r:id="rId13592" location="" tooltip="" display=""/>
    <hyperlink ref="Q6799" r:id="rId13593" location="" tooltip="" display=""/>
    <hyperlink ref="R6799" r:id="rId13594" location="" tooltip="" display=""/>
    <hyperlink ref="L6801" r:id="rId13595" location="" tooltip="" display=""/>
    <hyperlink ref="R6801" r:id="rId13596" location="" tooltip="" display=""/>
    <hyperlink ref="K6802" r:id="rId13597" location="" tooltip="" display=""/>
    <hyperlink ref="L6802" r:id="rId13598" location="" tooltip="" display=""/>
    <hyperlink ref="Q6802" r:id="rId13599" location="" tooltip="" display=""/>
    <hyperlink ref="R6802" r:id="rId13600" location="" tooltip="" display=""/>
    <hyperlink ref="L6803" r:id="rId13601" location="" tooltip="" display=""/>
    <hyperlink ref="R6803" r:id="rId13602" location="" tooltip="" display=""/>
    <hyperlink ref="L6805" r:id="rId13603" location="" tooltip="" display=""/>
    <hyperlink ref="R6805" r:id="rId13604" location="" tooltip="" display=""/>
    <hyperlink ref="K6806" r:id="rId13605" location="" tooltip="" display=""/>
    <hyperlink ref="L6806" r:id="rId13606" location="" tooltip="" display=""/>
    <hyperlink ref="Q6806" r:id="rId13607" location="" tooltip="" display=""/>
    <hyperlink ref="R6806" r:id="rId13608" location="" tooltip="" display=""/>
    <hyperlink ref="L6807" r:id="rId13609" location="" tooltip="" display=""/>
    <hyperlink ref="R6807" r:id="rId13610" location="" tooltip="" display=""/>
    <hyperlink ref="K6809" r:id="rId13611" location="" tooltip="" display=""/>
    <hyperlink ref="L6809" r:id="rId13612" location="" tooltip="" display=""/>
    <hyperlink ref="Q6809" r:id="rId13613" location="" tooltip="" display=""/>
    <hyperlink ref="R6809" r:id="rId13614" location="" tooltip="" display=""/>
    <hyperlink ref="L6810" r:id="rId13615" location="" tooltip="" display=""/>
    <hyperlink ref="R6810" r:id="rId13616" location="" tooltip="" display=""/>
    <hyperlink ref="K6812" r:id="rId13617" location="" tooltip="" display=""/>
    <hyperlink ref="L6812" r:id="rId13618" location="" tooltip="" display=""/>
    <hyperlink ref="Q6812" r:id="rId13619" location="" tooltip="" display=""/>
    <hyperlink ref="R6812" r:id="rId13620" location="" tooltip="" display=""/>
    <hyperlink ref="L6813" r:id="rId13621" location="" tooltip="" display=""/>
    <hyperlink ref="R6813" r:id="rId13622" location="" tooltip="" display=""/>
    <hyperlink ref="L6815" r:id="rId13623" location="" tooltip="" display=""/>
    <hyperlink ref="R6815" r:id="rId13624" location="" tooltip="" display=""/>
    <hyperlink ref="K6816" r:id="rId13625" location="" tooltip="" display=""/>
    <hyperlink ref="L6816" r:id="rId13626" location="" tooltip="" display=""/>
    <hyperlink ref="Q6816" r:id="rId13627" location="" tooltip="" display=""/>
    <hyperlink ref="R6816" r:id="rId13628" location="" tooltip="" display=""/>
    <hyperlink ref="L6817" r:id="rId13629" location="" tooltip="" display=""/>
    <hyperlink ref="R6817" r:id="rId13630" location="" tooltip="" display=""/>
    <hyperlink ref="K6819" r:id="rId13631" location="" tooltip="" display=""/>
    <hyperlink ref="L6819" r:id="rId13632" location="" tooltip="" display=""/>
    <hyperlink ref="Q6819" r:id="rId13633" location="" tooltip="" display=""/>
    <hyperlink ref="R6819" r:id="rId13634" location="" tooltip="" display=""/>
    <hyperlink ref="L6820" r:id="rId13635" location="" tooltip="" display=""/>
    <hyperlink ref="R6820" r:id="rId13636" location="" tooltip="" display=""/>
    <hyperlink ref="K6822" r:id="rId13637" location="" tooltip="" display=""/>
    <hyperlink ref="L6822" r:id="rId13638" location="" tooltip="" display=""/>
    <hyperlink ref="Q6822" r:id="rId13639" location="" tooltip="" display=""/>
    <hyperlink ref="R6822" r:id="rId13640" location="" tooltip="" display=""/>
    <hyperlink ref="L6824" r:id="rId13641" location="" tooltip="" display=""/>
    <hyperlink ref="R6824" r:id="rId13642" location="" tooltip="" display=""/>
    <hyperlink ref="L6825" r:id="rId13643" location="" tooltip="" display=""/>
    <hyperlink ref="R6825" r:id="rId13644" location="" tooltip="" display=""/>
    <hyperlink ref="K6826" r:id="rId13645" location="" tooltip="" display=""/>
    <hyperlink ref="L6826" r:id="rId13646" location="" tooltip="" display=""/>
    <hyperlink ref="Q6826" r:id="rId13647" location="" tooltip="" display=""/>
    <hyperlink ref="R6826" r:id="rId13648" location="" tooltip="" display=""/>
    <hyperlink ref="L6827" r:id="rId13649" location="" tooltip="" display=""/>
    <hyperlink ref="R6827" r:id="rId13650" location="" tooltip="" display=""/>
    <hyperlink ref="L6828" r:id="rId13651" location="" tooltip="" display=""/>
    <hyperlink ref="R6828" r:id="rId13652" location="" tooltip="" display=""/>
    <hyperlink ref="K6830" r:id="rId13653" location="" tooltip="" display=""/>
    <hyperlink ref="L6830" r:id="rId13654" location="" tooltip="" display=""/>
    <hyperlink ref="Q6830" r:id="rId13655" location="" tooltip="" display=""/>
    <hyperlink ref="R6830" r:id="rId13656" location="" tooltip="" display=""/>
    <hyperlink ref="K6832" r:id="rId13657" location="" tooltip="" display=""/>
    <hyperlink ref="L6832" r:id="rId13658" location="" tooltip="" display=""/>
    <hyperlink ref="Q6832" r:id="rId13659" location="" tooltip="" display=""/>
    <hyperlink ref="R6832" r:id="rId13660" location="" tooltip="" display=""/>
    <hyperlink ref="L6833" r:id="rId13661" location="" tooltip="" display=""/>
    <hyperlink ref="R6833" r:id="rId13662" location="" tooltip="" display=""/>
    <hyperlink ref="L6835" r:id="rId13663" location="" tooltip="" display=""/>
    <hyperlink ref="R6835" r:id="rId13664" location="" tooltip="" display=""/>
    <hyperlink ref="L6836" r:id="rId13665" location="" tooltip="" display=""/>
    <hyperlink ref="R6836" r:id="rId13666" location="" tooltip="" display=""/>
    <hyperlink ref="K6837" r:id="rId13667" location="" tooltip="" display=""/>
    <hyperlink ref="L6837" r:id="rId13668" location="" tooltip="" display=""/>
    <hyperlink ref="Q6837" r:id="rId13669" location="" tooltip="" display=""/>
    <hyperlink ref="R6837" r:id="rId13670" location="" tooltip="" display=""/>
    <hyperlink ref="L6838" r:id="rId13671" location="" tooltip="" display=""/>
    <hyperlink ref="R6838" r:id="rId13672" location="" tooltip="" display=""/>
    <hyperlink ref="L6839" r:id="rId13673" location="" tooltip="" display=""/>
    <hyperlink ref="R6839" r:id="rId13674" location="" tooltip="" display=""/>
    <hyperlink ref="L6841" r:id="rId13675" location="" tooltip="" display=""/>
    <hyperlink ref="R6841" r:id="rId13676" location="" tooltip="" display=""/>
    <hyperlink ref="K6842" r:id="rId13677" location="" tooltip="" display=""/>
    <hyperlink ref="L6842" r:id="rId13678" location="" tooltip="" display=""/>
    <hyperlink ref="Q6842" r:id="rId13679" location="" tooltip="" display=""/>
    <hyperlink ref="R6842" r:id="rId13680" location="" tooltip="" display=""/>
    <hyperlink ref="L6843" r:id="rId13681" location="" tooltip="" display=""/>
    <hyperlink ref="R6843" r:id="rId13682" location="" tooltip="" display=""/>
    <hyperlink ref="K6845" r:id="rId13683" location="" tooltip="" display=""/>
    <hyperlink ref="L6845" r:id="rId13684" location="" tooltip="" display=""/>
    <hyperlink ref="Q6845" r:id="rId13685" location="" tooltip="" display=""/>
    <hyperlink ref="R6845" r:id="rId13686" location="" tooltip="" display=""/>
    <hyperlink ref="L6846" r:id="rId13687" location="" tooltip="" display=""/>
    <hyperlink ref="R6846" r:id="rId13688" location="" tooltip="" display=""/>
    <hyperlink ref="L6848" r:id="rId13689" location="" tooltip="" display=""/>
    <hyperlink ref="R6848" r:id="rId13690" location="" tooltip="" display=""/>
    <hyperlink ref="L6849" r:id="rId13691" location="" tooltip="" display=""/>
    <hyperlink ref="R6849" r:id="rId13692" location="" tooltip="" display=""/>
    <hyperlink ref="K6850" r:id="rId13693" location="" tooltip="" display=""/>
    <hyperlink ref="L6850" r:id="rId13694" location="" tooltip="" display=""/>
    <hyperlink ref="Q6850" r:id="rId13695" location="" tooltip="" display=""/>
    <hyperlink ref="R6850" r:id="rId13696" location="" tooltip="" display=""/>
    <hyperlink ref="L6851" r:id="rId13697" location="" tooltip="" display=""/>
    <hyperlink ref="R6851" r:id="rId13698" location="" tooltip="" display=""/>
    <hyperlink ref="L6852" r:id="rId13699" location="" tooltip="" display=""/>
    <hyperlink ref="R6852" r:id="rId13700" location="" tooltip="" display=""/>
    <hyperlink ref="K6854" r:id="rId13701" location="" tooltip="" display=""/>
    <hyperlink ref="L6854" r:id="rId13702" location="" tooltip="" display=""/>
    <hyperlink ref="Q6854" r:id="rId13703" location="" tooltip="" display=""/>
    <hyperlink ref="R6854" r:id="rId13704" location="" tooltip="" display=""/>
    <hyperlink ref="L6855" r:id="rId13705" location="" tooltip="" display=""/>
    <hyperlink ref="R6855" r:id="rId13706" location="" tooltip="" display=""/>
    <hyperlink ref="K6857" r:id="rId13707" location="" tooltip="" display=""/>
    <hyperlink ref="L6857" r:id="rId13708" location="" tooltip="" display=""/>
    <hyperlink ref="Q6857" r:id="rId13709" location="" tooltip="" display=""/>
    <hyperlink ref="R6857" r:id="rId13710" location="" tooltip="" display=""/>
    <hyperlink ref="L6859" r:id="rId13711" location="" tooltip="" display=""/>
    <hyperlink ref="R6859" r:id="rId13712" location="" tooltip="" display=""/>
    <hyperlink ref="K6860" r:id="rId13713" location="" tooltip="" display=""/>
    <hyperlink ref="L6860" r:id="rId13714" location="" tooltip="" display=""/>
    <hyperlink ref="Q6860" r:id="rId13715" location="" tooltip="" display=""/>
    <hyperlink ref="R6860" r:id="rId13716" location="" tooltip="" display=""/>
    <hyperlink ref="L6861" r:id="rId13717" location="" tooltip="" display=""/>
    <hyperlink ref="R6861" r:id="rId13718" location="" tooltip="" display=""/>
    <hyperlink ref="K6863" r:id="rId13719" location="" tooltip="" display=""/>
    <hyperlink ref="L6863" r:id="rId13720" location="" tooltip="" display=""/>
    <hyperlink ref="Q6863" r:id="rId13721" location="" tooltip="" display=""/>
    <hyperlink ref="R6863" r:id="rId13722" location="" tooltip="" display=""/>
    <hyperlink ref="K6865" r:id="rId13723" location="" tooltip="" display=""/>
    <hyperlink ref="L6865" r:id="rId13724" location="" tooltip="" display=""/>
    <hyperlink ref="Q6865" r:id="rId13725" location="" tooltip="" display=""/>
    <hyperlink ref="R6865" r:id="rId13726" location="" tooltip="" display=""/>
    <hyperlink ref="L6866" r:id="rId13727" location="" tooltip="" display=""/>
    <hyperlink ref="R6866" r:id="rId13728" location="" tooltip="" display=""/>
    <hyperlink ref="L6868" r:id="rId13729" location="" tooltip="" display=""/>
    <hyperlink ref="R6868" r:id="rId13730" location="" tooltip="" display=""/>
    <hyperlink ref="K6869" r:id="rId13731" location="" tooltip="" display=""/>
    <hyperlink ref="L6869" r:id="rId13732" location="" tooltip="" display=""/>
    <hyperlink ref="Q6869" r:id="rId13733" location="" tooltip="" display=""/>
    <hyperlink ref="R6869" r:id="rId13734" location="" tooltip="" display=""/>
    <hyperlink ref="L6870" r:id="rId13735" location="" tooltip="" display=""/>
    <hyperlink ref="R6870" r:id="rId13736" location="" tooltip="" display=""/>
    <hyperlink ref="K6872" r:id="rId13737" location="" tooltip="" display=""/>
    <hyperlink ref="L6872" r:id="rId13738" location="" tooltip="" display=""/>
    <hyperlink ref="Q6872" r:id="rId13739" location="" tooltip="" display=""/>
    <hyperlink ref="R6872" r:id="rId13740" location="" tooltip="" display=""/>
    <hyperlink ref="L6874" r:id="rId13741" location="" tooltip="" display=""/>
    <hyperlink ref="R6874" r:id="rId13742" location="" tooltip="" display=""/>
    <hyperlink ref="K6875" r:id="rId13743" location="" tooltip="" display=""/>
    <hyperlink ref="L6875" r:id="rId13744" location="" tooltip="" display=""/>
    <hyperlink ref="Q6875" r:id="rId13745" location="" tooltip="" display=""/>
    <hyperlink ref="R6875" r:id="rId13746" location="" tooltip="" display=""/>
    <hyperlink ref="L6876" r:id="rId13747" location="" tooltip="" display=""/>
    <hyperlink ref="R6876" r:id="rId13748" location="" tooltip="" display=""/>
    <hyperlink ref="L6878" r:id="rId13749" location="" tooltip="" display=""/>
    <hyperlink ref="R6878" r:id="rId13750" location="" tooltip="" display=""/>
    <hyperlink ref="L6879" r:id="rId13751" location="" tooltip="" display=""/>
    <hyperlink ref="R6879" r:id="rId13752" location="" tooltip="" display=""/>
    <hyperlink ref="K6880" r:id="rId13753" location="" tooltip="" display=""/>
    <hyperlink ref="L6880" r:id="rId13754" location="" tooltip="" display=""/>
    <hyperlink ref="Q6880" r:id="rId13755" location="" tooltip="" display=""/>
    <hyperlink ref="R6880" r:id="rId13756" location="" tooltip="" display=""/>
    <hyperlink ref="L6881" r:id="rId13757" location="" tooltip="" display=""/>
    <hyperlink ref="R6881" r:id="rId13758" location="" tooltip="" display=""/>
    <hyperlink ref="L6882" r:id="rId13759" location="" tooltip="" display=""/>
    <hyperlink ref="R6882" r:id="rId13760" location="" tooltip="" display=""/>
    <hyperlink ref="L6884" r:id="rId13761" location="" tooltip="" display=""/>
    <hyperlink ref="R6884" r:id="rId13762" location="" tooltip="" display=""/>
    <hyperlink ref="K6885" r:id="rId13763" location="" tooltip="" display=""/>
    <hyperlink ref="L6885" r:id="rId13764" location="" tooltip="" display=""/>
    <hyperlink ref="Q6885" r:id="rId13765" location="" tooltip="" display=""/>
    <hyperlink ref="R6885" r:id="rId13766" location="" tooltip="" display=""/>
    <hyperlink ref="L6886" r:id="rId13767" location="" tooltip="" display=""/>
    <hyperlink ref="R6886" r:id="rId13768" location="" tooltip="" display=""/>
    <hyperlink ref="K6888" r:id="rId13769" location="" tooltip="" display=""/>
    <hyperlink ref="L6888" r:id="rId13770" location="" tooltip="" display=""/>
    <hyperlink ref="Q6888" r:id="rId13771" location="" tooltip="" display=""/>
    <hyperlink ref="R6888" r:id="rId13772" location="" tooltip="" display=""/>
    <hyperlink ref="L6889" r:id="rId13773" location="" tooltip="" display=""/>
    <hyperlink ref="R6889" r:id="rId13774" location="" tooltip="" display=""/>
    <hyperlink ref="L6891" r:id="rId13775" location="" tooltip="" display=""/>
    <hyperlink ref="R6891" r:id="rId13776" location="" tooltip="" display=""/>
    <hyperlink ref="K6892" r:id="rId13777" location="" tooltip="" display=""/>
    <hyperlink ref="L6892" r:id="rId13778" location="" tooltip="" display=""/>
    <hyperlink ref="Q6892" r:id="rId13779" location="" tooltip="" display=""/>
    <hyperlink ref="R6892" r:id="rId13780" location="" tooltip="" display=""/>
    <hyperlink ref="L6893" r:id="rId13781" location="" tooltip="" display=""/>
    <hyperlink ref="R6893" r:id="rId13782" location="" tooltip="" display=""/>
    <hyperlink ref="K6895" r:id="rId13783" location="" tooltip="" display=""/>
    <hyperlink ref="L6895" r:id="rId13784" location="" tooltip="" display=""/>
    <hyperlink ref="Q6895" r:id="rId13785" location="" tooltip="" display=""/>
    <hyperlink ref="R6895" r:id="rId13786" location="" tooltip="" display=""/>
    <hyperlink ref="L6896" r:id="rId13787" location="" tooltip="" display=""/>
    <hyperlink ref="R6896" r:id="rId13788" location="" tooltip="" display=""/>
    <hyperlink ref="K6898" r:id="rId13789" location="" tooltip="" display=""/>
    <hyperlink ref="L6898" r:id="rId13790" location="" tooltip="" display=""/>
    <hyperlink ref="Q6898" r:id="rId13791" location="" tooltip="" display=""/>
    <hyperlink ref="R6898" r:id="rId13792" location="" tooltip="" display=""/>
    <hyperlink ref="L6899" r:id="rId13793" location="" tooltip="" display=""/>
    <hyperlink ref="R6899" r:id="rId13794" location="" tooltip="" display=""/>
    <hyperlink ref="L6901" r:id="rId13795" location="" tooltip="" display=""/>
    <hyperlink ref="R6901" r:id="rId13796" location="" tooltip="" display=""/>
    <hyperlink ref="L6902" r:id="rId13797" location="" tooltip="" display=""/>
    <hyperlink ref="R6902" r:id="rId13798" location="" tooltip="" display=""/>
    <hyperlink ref="K6903" r:id="rId13799" location="" tooltip="" display=""/>
    <hyperlink ref="L6903" r:id="rId13800" location="" tooltip="" display=""/>
    <hyperlink ref="Q6903" r:id="rId13801" location="" tooltip="" display=""/>
    <hyperlink ref="R6903" r:id="rId13802" location="" tooltip="" display=""/>
    <hyperlink ref="L6904" r:id="rId13803" location="" tooltip="" display=""/>
    <hyperlink ref="R6904" r:id="rId13804" location="" tooltip="" display=""/>
    <hyperlink ref="L6905" r:id="rId13805" location="" tooltip="" display=""/>
    <hyperlink ref="R6905" r:id="rId13806" location="" tooltip="" display=""/>
    <hyperlink ref="L6906" r:id="rId13807" location="" tooltip="" display=""/>
    <hyperlink ref="R6906" r:id="rId13808" location="" tooltip="" display=""/>
    <hyperlink ref="L6908" r:id="rId13809" location="" tooltip="" display=""/>
    <hyperlink ref="R6908" r:id="rId13810" location="" tooltip="" display=""/>
    <hyperlink ref="K6909" r:id="rId13811" location="" tooltip="" display=""/>
    <hyperlink ref="L6909" r:id="rId13812" location="" tooltip="" display=""/>
    <hyperlink ref="Q6909" r:id="rId13813" location="" tooltip="" display=""/>
    <hyperlink ref="R6909" r:id="rId13814" location="" tooltip="" display=""/>
    <hyperlink ref="L6910" r:id="rId13815" location="" tooltip="" display=""/>
    <hyperlink ref="R6910" r:id="rId13816" location="" tooltip="" display=""/>
    <hyperlink ref="K6912" r:id="rId13817" location="" tooltip="" display=""/>
    <hyperlink ref="L6912" r:id="rId13818" location="" tooltip="" display=""/>
    <hyperlink ref="Q6912" r:id="rId13819" location="" tooltip="" display=""/>
    <hyperlink ref="R6912" r:id="rId13820" location="" tooltip="" display=""/>
    <hyperlink ref="L6913" r:id="rId13821" location="" tooltip="" display=""/>
    <hyperlink ref="R6913" r:id="rId13822" location="" tooltip="" display=""/>
    <hyperlink ref="L6915" r:id="rId13823" location="" tooltip="" display=""/>
    <hyperlink ref="R6915" r:id="rId13824" location="" tooltip="" display=""/>
    <hyperlink ref="K6916" r:id="rId13825" location="" tooltip="" display=""/>
    <hyperlink ref="L6916" r:id="rId13826" location="" tooltip="" display=""/>
    <hyperlink ref="Q6916" r:id="rId13827" location="" tooltip="" display=""/>
    <hyperlink ref="R6916" r:id="rId13828" location="" tooltip="" display=""/>
    <hyperlink ref="L6917" r:id="rId13829" location="" tooltip="" display=""/>
    <hyperlink ref="R6917" r:id="rId13830" location="" tooltip="" display=""/>
    <hyperlink ref="L6918" r:id="rId13831" location="" tooltip="" display=""/>
    <hyperlink ref="R6918" r:id="rId13832" location="" tooltip="" display=""/>
    <hyperlink ref="L6920" r:id="rId13833" location="" tooltip="" display=""/>
    <hyperlink ref="R6920" r:id="rId13834" location="" tooltip="" display=""/>
    <hyperlink ref="K6921" r:id="rId13835" location="" tooltip="" display=""/>
    <hyperlink ref="L6921" r:id="rId13836" location="" tooltip="" display=""/>
    <hyperlink ref="Q6921" r:id="rId13837" location="" tooltip="" display=""/>
    <hyperlink ref="R6921" r:id="rId13838" location="" tooltip="" display=""/>
    <hyperlink ref="L6922" r:id="rId13839" location="" tooltip="" display=""/>
    <hyperlink ref="R6922" r:id="rId13840" location="" tooltip="" display=""/>
    <hyperlink ref="L6924" r:id="rId13841" location="" tooltip="" display=""/>
    <hyperlink ref="R6924" r:id="rId13842" location="" tooltip="" display=""/>
    <hyperlink ref="K6925" r:id="rId13843" location="" tooltip="" display=""/>
    <hyperlink ref="L6925" r:id="rId13844" location="" tooltip="" display=""/>
    <hyperlink ref="Q6925" r:id="rId13845" location="" tooltip="" display=""/>
    <hyperlink ref="R6925" r:id="rId13846" location="" tooltip="" display=""/>
    <hyperlink ref="L6926" r:id="rId13847" location="" tooltip="" display=""/>
    <hyperlink ref="R6926" r:id="rId13848" location="" tooltip="" display=""/>
    <hyperlink ref="K6928" r:id="rId13849" location="" tooltip="" display=""/>
    <hyperlink ref="L6928" r:id="rId13850" location="" tooltip="" display=""/>
    <hyperlink ref="Q6928" r:id="rId13851" location="" tooltip="" display=""/>
    <hyperlink ref="R6928" r:id="rId13852" location="" tooltip="" display=""/>
    <hyperlink ref="L6930" r:id="rId13853" location="" tooltip="" display=""/>
    <hyperlink ref="R6930" r:id="rId13854" location="" tooltip="" display=""/>
    <hyperlink ref="L6931" r:id="rId13855" location="" tooltip="" display=""/>
    <hyperlink ref="R6931" r:id="rId13856" location="" tooltip="" display=""/>
    <hyperlink ref="K6932" r:id="rId13857" location="" tooltip="" display=""/>
    <hyperlink ref="L6932" r:id="rId13858" location="" tooltip="" display=""/>
    <hyperlink ref="Q6932" r:id="rId13859" location="" tooltip="" display=""/>
    <hyperlink ref="R6932" r:id="rId13860" location="" tooltip="" display=""/>
    <hyperlink ref="L6933" r:id="rId13861" location="" tooltip="" display=""/>
    <hyperlink ref="R6933" r:id="rId13862" location="" tooltip="" display=""/>
    <hyperlink ref="L6934" r:id="rId13863" location="" tooltip="" display=""/>
    <hyperlink ref="R6934" r:id="rId13864" location="" tooltip="" display=""/>
    <hyperlink ref="L6936" r:id="rId13865" location="" tooltip="" display=""/>
    <hyperlink ref="R6936" r:id="rId13866" location="" tooltip="" display=""/>
    <hyperlink ref="K6937" r:id="rId13867" location="" tooltip="" display=""/>
    <hyperlink ref="L6937" r:id="rId13868" location="" tooltip="" display=""/>
    <hyperlink ref="Q6937" r:id="rId13869" location="" tooltip="" display=""/>
    <hyperlink ref="R6937" r:id="rId13870" location="" tooltip="" display=""/>
    <hyperlink ref="L6938" r:id="rId13871" location="" tooltip="" display=""/>
    <hyperlink ref="R6938" r:id="rId13872" location="" tooltip="" display=""/>
    <hyperlink ref="L6940" r:id="rId13873" location="" tooltip="" display=""/>
    <hyperlink ref="R6940" r:id="rId13874" location="" tooltip="" display=""/>
    <hyperlink ref="K6941" r:id="rId13875" location="" tooltip="" display=""/>
    <hyperlink ref="L6941" r:id="rId13876" location="" tooltip="" display=""/>
    <hyperlink ref="Q6941" r:id="rId13877" location="" tooltip="" display=""/>
    <hyperlink ref="R6941" r:id="rId13878" location="" tooltip="" display=""/>
    <hyperlink ref="L6942" r:id="rId13879" location="" tooltip="" display=""/>
    <hyperlink ref="R6942" r:id="rId13880" location="" tooltip="" display=""/>
    <hyperlink ref="L6943" r:id="rId13881" location="" tooltip="" display=""/>
    <hyperlink ref="R6943" r:id="rId13882" location="" tooltip="" display=""/>
    <hyperlink ref="K6945" r:id="rId13883" location="" tooltip="" display=""/>
    <hyperlink ref="L6945" r:id="rId13884" location="" tooltip="" display=""/>
    <hyperlink ref="Q6945" r:id="rId13885" location="" tooltip="" display=""/>
    <hyperlink ref="R6945" r:id="rId13886" location="" tooltip="" display=""/>
    <hyperlink ref="L6946" r:id="rId13887" location="" tooltip="" display=""/>
    <hyperlink ref="R6946" r:id="rId13888" location="" tooltip="" display=""/>
    <hyperlink ref="K6948" r:id="rId13889" location="" tooltip="" display=""/>
    <hyperlink ref="L6948" r:id="rId13890" location="" tooltip="" display=""/>
    <hyperlink ref="Q6948" r:id="rId13891" location="" tooltip="" display=""/>
    <hyperlink ref="R6948" r:id="rId13892" location="" tooltip="" display=""/>
    <hyperlink ref="L6949" r:id="rId13893" location="" tooltip="" display=""/>
    <hyperlink ref="R6949" r:id="rId13894" location="" tooltip="" display=""/>
    <hyperlink ref="L6951" r:id="rId13895" location="" tooltip="" display=""/>
    <hyperlink ref="R6951" r:id="rId13896" location="" tooltip="" display=""/>
    <hyperlink ref="L6952" r:id="rId13897" location="" tooltip="" display=""/>
    <hyperlink ref="R6952" r:id="rId13898" location="" tooltip="" display=""/>
    <hyperlink ref="K6953" r:id="rId13899" location="" tooltip="" display=""/>
    <hyperlink ref="L6953" r:id="rId13900" location="" tooltip="" display=""/>
    <hyperlink ref="Q6953" r:id="rId13901" location="" tooltip="" display=""/>
    <hyperlink ref="R6953" r:id="rId13902" location="" tooltip="" display=""/>
    <hyperlink ref="L6954" r:id="rId13903" location="" tooltip="" display=""/>
    <hyperlink ref="R6954" r:id="rId13904" location="" tooltip="" display=""/>
    <hyperlink ref="L6955" r:id="rId13905" location="" tooltip="" display=""/>
    <hyperlink ref="R6955" r:id="rId13906" location="" tooltip="" display=""/>
    <hyperlink ref="L6957" r:id="rId13907" location="" tooltip="" display=""/>
    <hyperlink ref="R6957" r:id="rId13908" location="" tooltip="" display=""/>
    <hyperlink ref="K6958" r:id="rId13909" location="" tooltip="" display=""/>
    <hyperlink ref="L6958" r:id="rId13910" location="" tooltip="" display=""/>
    <hyperlink ref="Q6958" r:id="rId13911" location="" tooltip="" display=""/>
    <hyperlink ref="R6958" r:id="rId13912" location="" tooltip="" display=""/>
    <hyperlink ref="L6959" r:id="rId13913" location="" tooltip="" display=""/>
    <hyperlink ref="R6959" r:id="rId13914" location="" tooltip="" display=""/>
    <hyperlink ref="L6960" r:id="rId13915" location="" tooltip="" display=""/>
    <hyperlink ref="R6960" r:id="rId13916" location="" tooltip="" display=""/>
    <hyperlink ref="L6962" r:id="rId13917" location="" tooltip="" display=""/>
    <hyperlink ref="R6962" r:id="rId13918" location="" tooltip="" display=""/>
    <hyperlink ref="K6963" r:id="rId13919" location="" tooltip="" display=""/>
    <hyperlink ref="L6963" r:id="rId13920" location="" tooltip="" display=""/>
    <hyperlink ref="Q6963" r:id="rId13921" location="" tooltip="" display=""/>
    <hyperlink ref="R6963" r:id="rId13922" location="" tooltip="" display=""/>
    <hyperlink ref="L6964" r:id="rId13923" location="" tooltip="" display=""/>
    <hyperlink ref="R6964" r:id="rId13924" location="" tooltip="" display=""/>
    <hyperlink ref="K6966" r:id="rId13925" location="" tooltip="" display=""/>
    <hyperlink ref="L6966" r:id="rId13926" location="" tooltip="" display=""/>
    <hyperlink ref="Q6966" r:id="rId13927" location="" tooltip="" display=""/>
    <hyperlink ref="R6966" r:id="rId13928" location="" tooltip="" display=""/>
    <hyperlink ref="L6968" r:id="rId13929" location="" tooltip="" display=""/>
    <hyperlink ref="R6968" r:id="rId13930" location="" tooltip="" display=""/>
    <hyperlink ref="L6969" r:id="rId13931" location="" tooltip="" display=""/>
    <hyperlink ref="R6969" r:id="rId13932" location="" tooltip="" display=""/>
    <hyperlink ref="L6970" r:id="rId13933" location="" tooltip="" display=""/>
    <hyperlink ref="R6970" r:id="rId13934" location="" tooltip="" display=""/>
    <hyperlink ref="K6971" r:id="rId13935" location="" tooltip="" display=""/>
    <hyperlink ref="L6971" r:id="rId13936" location="" tooltip="" display=""/>
    <hyperlink ref="Q6971" r:id="rId13937" location="" tooltip="" display=""/>
    <hyperlink ref="R6971" r:id="rId13938" location="" tooltip="" display=""/>
    <hyperlink ref="L6972" r:id="rId13939" location="" tooltip="" display=""/>
    <hyperlink ref="R6972" r:id="rId13940" location="" tooltip="" display=""/>
    <hyperlink ref="L6973" r:id="rId13941" location="" tooltip="" display=""/>
    <hyperlink ref="R6973" r:id="rId13942" location="" tooltip="" display=""/>
    <hyperlink ref="L6974" r:id="rId13943" location="" tooltip="" display=""/>
    <hyperlink ref="R6974" r:id="rId13944" location="" tooltip="" display=""/>
    <hyperlink ref="L6975" r:id="rId13945" location="" tooltip="" display=""/>
    <hyperlink ref="R6975" r:id="rId13946" location="" tooltip="" display=""/>
    <hyperlink ref="L6977" r:id="rId13947" location="" tooltip="" display=""/>
    <hyperlink ref="R6977" r:id="rId13948" location="" tooltip="" display=""/>
    <hyperlink ref="L6978" r:id="rId13949" location="" tooltip="" display=""/>
    <hyperlink ref="R6978" r:id="rId13950" location="" tooltip="" display=""/>
    <hyperlink ref="K6979" r:id="rId13951" location="" tooltip="" display=""/>
    <hyperlink ref="L6979" r:id="rId13952" location="" tooltip="" display=""/>
    <hyperlink ref="Q6979" r:id="rId13953" location="" tooltip="" display=""/>
    <hyperlink ref="R6979" r:id="rId13954" location="" tooltip="" display=""/>
    <hyperlink ref="L6980" r:id="rId13955" location="" tooltip="" display=""/>
    <hyperlink ref="R6980" r:id="rId13956" location="" tooltip="" display=""/>
    <hyperlink ref="L6981" r:id="rId13957" location="" tooltip="" display=""/>
    <hyperlink ref="R6981" r:id="rId13958" location="" tooltip="" display=""/>
    <hyperlink ref="K6983" r:id="rId13959" location="" tooltip="" display=""/>
    <hyperlink ref="L6983" r:id="rId13960" location="" tooltip="" display=""/>
    <hyperlink ref="Q6983" r:id="rId13961" location="" tooltip="" display=""/>
    <hyperlink ref="R6983" r:id="rId13962" location="" tooltip="" display=""/>
    <hyperlink ref="L6985" r:id="rId13963" location="" tooltip="" display=""/>
    <hyperlink ref="R6985" r:id="rId13964" location="" tooltip="" display=""/>
    <hyperlink ref="K6986" r:id="rId13965" location="" tooltip="" display=""/>
    <hyperlink ref="L6986" r:id="rId13966" location="" tooltip="" display=""/>
    <hyperlink ref="Q6986" r:id="rId13967" location="" tooltip="" display=""/>
    <hyperlink ref="R6986" r:id="rId13968" location="" tooltip="" display=""/>
    <hyperlink ref="L6987" r:id="rId13969" location="" tooltip="" display=""/>
    <hyperlink ref="R6987" r:id="rId13970" location="" tooltip="" display=""/>
    <hyperlink ref="L6989" r:id="rId13971" location="" tooltip="" display=""/>
    <hyperlink ref="R6989" r:id="rId13972" location="" tooltip="" display=""/>
    <hyperlink ref="K6990" r:id="rId13973" location="" tooltip="" display=""/>
    <hyperlink ref="L6990" r:id="rId13974" location="" tooltip="" display=""/>
    <hyperlink ref="Q6990" r:id="rId13975" location="" tooltip="" display=""/>
    <hyperlink ref="R6990" r:id="rId13976" location="" tooltip="" display=""/>
    <hyperlink ref="L6991" r:id="rId13977" location="" tooltip="" display=""/>
    <hyperlink ref="R6991" r:id="rId13978" location="" tooltip="" display=""/>
    <hyperlink ref="L6993" r:id="rId13979" location="" tooltip="" display=""/>
    <hyperlink ref="R6993" r:id="rId13980" location="" tooltip="" display=""/>
    <hyperlink ref="K6994" r:id="rId13981" location="" tooltip="" display=""/>
    <hyperlink ref="L6994" r:id="rId13982" location="" tooltip="" display=""/>
    <hyperlink ref="Q6994" r:id="rId13983" location="" tooltip="" display=""/>
    <hyperlink ref="R6994" r:id="rId13984" location="" tooltip="" display=""/>
    <hyperlink ref="L6995" r:id="rId13985" location="" tooltip="" display=""/>
    <hyperlink ref="R6995" r:id="rId13986" location="" tooltip="" display=""/>
    <hyperlink ref="L6997" r:id="rId13987" location="" tooltip="" display=""/>
    <hyperlink ref="R6997" r:id="rId13988" location="" tooltip="" display=""/>
    <hyperlink ref="L6998" r:id="rId13989" location="" tooltip="" display=""/>
    <hyperlink ref="R6998" r:id="rId13990" location="" tooltip="" display=""/>
    <hyperlink ref="K6999" r:id="rId13991" location="" tooltip="" display=""/>
    <hyperlink ref="L6999" r:id="rId13992" location="" tooltip="" display=""/>
    <hyperlink ref="Q6999" r:id="rId13993" location="" tooltip="" display=""/>
    <hyperlink ref="R6999" r:id="rId13994" location="" tooltip="" display=""/>
    <hyperlink ref="L7000" r:id="rId13995" location="" tooltip="" display=""/>
    <hyperlink ref="R7000" r:id="rId13996" location="" tooltip="" display=""/>
    <hyperlink ref="L7001" r:id="rId13997" location="" tooltip="" display=""/>
    <hyperlink ref="R7001" r:id="rId13998" location="" tooltip="" display=""/>
    <hyperlink ref="K7003" r:id="rId13999" location="" tooltip="" display=""/>
    <hyperlink ref="L7003" r:id="rId14000" location="" tooltip="" display=""/>
    <hyperlink ref="Q7003" r:id="rId14001" location="" tooltip="" display=""/>
    <hyperlink ref="R7003" r:id="rId14002" location="" tooltip="" display=""/>
    <hyperlink ref="L7004" r:id="rId14003" location="" tooltip="" display=""/>
    <hyperlink ref="R7004" r:id="rId14004" location="" tooltip="" display=""/>
    <hyperlink ref="L7006" r:id="rId14005" location="" tooltip="" display=""/>
    <hyperlink ref="R7006" r:id="rId14006" location="" tooltip="" display=""/>
    <hyperlink ref="K7007" r:id="rId14007" location="" tooltip="" display=""/>
    <hyperlink ref="L7007" r:id="rId14008" location="" tooltip="" display=""/>
    <hyperlink ref="Q7007" r:id="rId14009" location="" tooltip="" display=""/>
    <hyperlink ref="R7007" r:id="rId14010" location="" tooltip="" display=""/>
    <hyperlink ref="L7008" r:id="rId14011" location="" tooltip="" display=""/>
    <hyperlink ref="R7008" r:id="rId14012" location="" tooltip="" display=""/>
    <hyperlink ref="L7009" r:id="rId14013" location="" tooltip="" display=""/>
    <hyperlink ref="R7009" r:id="rId14014" location="" tooltip="" display=""/>
    <hyperlink ref="K7011" r:id="rId14015" location="" tooltip="" display=""/>
    <hyperlink ref="L7011" r:id="rId14016" location="" tooltip="" display=""/>
    <hyperlink ref="Q7011" r:id="rId14017" location="" tooltip="" display=""/>
    <hyperlink ref="R7011" r:id="rId14018" location="" tooltip="" display=""/>
    <hyperlink ref="L7013" r:id="rId14019" location="" tooltip="" display=""/>
    <hyperlink ref="R7013" r:id="rId14020" location="" tooltip="" display=""/>
    <hyperlink ref="L7014" r:id="rId14021" location="" tooltip="" display=""/>
    <hyperlink ref="R7014" r:id="rId14022" location="" tooltip="" display=""/>
    <hyperlink ref="K7015" r:id="rId14023" location="" tooltip="" display=""/>
    <hyperlink ref="L7015" r:id="rId14024" location="" tooltip="" display=""/>
    <hyperlink ref="Q7015" r:id="rId14025" location="" tooltip="" display=""/>
    <hyperlink ref="R7015" r:id="rId14026" location="" tooltip="" display=""/>
    <hyperlink ref="L7016" r:id="rId14027" location="" tooltip="" display=""/>
    <hyperlink ref="R7016" r:id="rId14028" location="" tooltip="" display=""/>
    <hyperlink ref="L7017" r:id="rId14029" location="" tooltip="" display=""/>
    <hyperlink ref="R7017" r:id="rId14030" location="" tooltip="" display=""/>
    <hyperlink ref="K7019" r:id="rId14031" location="" tooltip="" display=""/>
    <hyperlink ref="L7019" r:id="rId14032" location="" tooltip="" display=""/>
    <hyperlink ref="Q7019" r:id="rId14033" location="" tooltip="" display=""/>
    <hyperlink ref="R7019" r:id="rId14034" location="" tooltip="" display=""/>
    <hyperlink ref="L7020" r:id="rId14035" location="" tooltip="" display=""/>
    <hyperlink ref="R7020" r:id="rId14036" location="" tooltip="" display=""/>
    <hyperlink ref="L7022" r:id="rId14037" location="" tooltip="" display=""/>
    <hyperlink ref="R7022" r:id="rId14038" location="" tooltip="" display=""/>
    <hyperlink ref="L7023" r:id="rId14039" location="" tooltip="" display=""/>
    <hyperlink ref="R7023" r:id="rId14040" location="" tooltip="" display=""/>
    <hyperlink ref="K7024" r:id="rId14041" location="" tooltip="" display=""/>
    <hyperlink ref="L7024" r:id="rId14042" location="" tooltip="" display=""/>
    <hyperlink ref="Q7024" r:id="rId14043" location="" tooltip="" display=""/>
    <hyperlink ref="R7024" r:id="rId14044" location="" tooltip="" display=""/>
    <hyperlink ref="L7025" r:id="rId14045" location="" tooltip="" display=""/>
    <hyperlink ref="R7025" r:id="rId14046" location="" tooltip="" display=""/>
    <hyperlink ref="L7026" r:id="rId14047" location="" tooltip="" display=""/>
    <hyperlink ref="R7026" r:id="rId14048" location="" tooltip="" display=""/>
    <hyperlink ref="L7028" r:id="rId14049" location="" tooltip="" display=""/>
    <hyperlink ref="R7028" r:id="rId14050" location="" tooltip="" display=""/>
    <hyperlink ref="K7029" r:id="rId14051" location="" tooltip="" display=""/>
    <hyperlink ref="L7029" r:id="rId14052" location="" tooltip="" display=""/>
    <hyperlink ref="Q7029" r:id="rId14053" location="" tooltip="" display=""/>
    <hyperlink ref="R7029" r:id="rId14054" location="" tooltip="" display=""/>
    <hyperlink ref="L7030" r:id="rId14055" location="" tooltip="" display=""/>
    <hyperlink ref="R7030" r:id="rId14056" location="" tooltip="" display=""/>
    <hyperlink ref="K7032" r:id="rId14057" location="" tooltip="" display=""/>
    <hyperlink ref="L7032" r:id="rId14058" location="" tooltip="" display=""/>
    <hyperlink ref="Q7032" r:id="rId14059" location="" tooltip="" display=""/>
    <hyperlink ref="R7032" r:id="rId14060" location="" tooltip="" display=""/>
    <hyperlink ref="L7033" r:id="rId14061" location="" tooltip="" display=""/>
    <hyperlink ref="R7033" r:id="rId14062" location="" tooltip="" display=""/>
    <hyperlink ref="L7035" r:id="rId14063" location="" tooltip="" display=""/>
    <hyperlink ref="R7035" r:id="rId14064" location="" tooltip="" display=""/>
    <hyperlink ref="K7036" r:id="rId14065" location="" tooltip="" display=""/>
    <hyperlink ref="L7036" r:id="rId14066" location="" tooltip="" display=""/>
    <hyperlink ref="Q7036" r:id="rId14067" location="" tooltip="" display=""/>
    <hyperlink ref="R7036" r:id="rId14068" location="" tooltip="" display=""/>
    <hyperlink ref="L7037" r:id="rId14069" location="" tooltip="" display=""/>
    <hyperlink ref="R7037" r:id="rId14070" location="" tooltip="" display=""/>
    <hyperlink ref="L7038" r:id="rId14071" location="" tooltip="" display=""/>
    <hyperlink ref="R7038" r:id="rId14072" location="" tooltip="" display=""/>
    <hyperlink ref="K7040" r:id="rId14073" location="" tooltip="" display=""/>
    <hyperlink ref="L7040" r:id="rId14074" location="" tooltip="" display=""/>
    <hyperlink ref="Q7040" r:id="rId14075" location="" tooltip="" display=""/>
    <hyperlink ref="R7040" r:id="rId14076" location="" tooltip="" display=""/>
    <hyperlink ref="L7041" r:id="rId14077" location="" tooltip="" display=""/>
    <hyperlink ref="R7041" r:id="rId14078" location="" tooltip="" display=""/>
    <hyperlink ref="K7043" r:id="rId14079" location="" tooltip="" display=""/>
    <hyperlink ref="L7043" r:id="rId14080" location="" tooltip="" display=""/>
    <hyperlink ref="Q7043" r:id="rId14081" location="" tooltip="" display=""/>
    <hyperlink ref="R7043" r:id="rId14082" location="" tooltip="" display=""/>
    <hyperlink ref="K7045" r:id="rId14083" location="" tooltip="" display=""/>
    <hyperlink ref="L7045" r:id="rId14084" location="" tooltip="" display=""/>
    <hyperlink ref="Q7045" r:id="rId14085" location="" tooltip="" display=""/>
    <hyperlink ref="R7045" r:id="rId14086" location="" tooltip="" display=""/>
    <hyperlink ref="L7046" r:id="rId14087" location="" tooltip="" display=""/>
    <hyperlink ref="R7046" r:id="rId14088" location="" tooltip="" display=""/>
    <hyperlink ref="K7048" r:id="rId14089" location="" tooltip="" display=""/>
    <hyperlink ref="L7048" r:id="rId14090" location="" tooltip="" display=""/>
    <hyperlink ref="Q7048" r:id="rId14091" location="" tooltip="" display=""/>
    <hyperlink ref="R7048" r:id="rId14092" location="" tooltip="" display=""/>
    <hyperlink ref="L7050" r:id="rId14093" location="" tooltip="" display=""/>
    <hyperlink ref="R7050" r:id="rId14094" location="" tooltip="" display=""/>
    <hyperlink ref="K7051" r:id="rId14095" location="" tooltip="" display=""/>
    <hyperlink ref="L7051" r:id="rId14096" location="" tooltip="" display=""/>
    <hyperlink ref="Q7051" r:id="rId14097" location="" tooltip="" display=""/>
    <hyperlink ref="R7051" r:id="rId14098" location="" tooltip="" display=""/>
    <hyperlink ref="L7052" r:id="rId14099" location="" tooltip="" display=""/>
    <hyperlink ref="R7052" r:id="rId14100" location="" tooltip="" display=""/>
    <hyperlink ref="K7054" r:id="rId14101" location="" tooltip="" display=""/>
    <hyperlink ref="L7054" r:id="rId14102" location="" tooltip="" display=""/>
    <hyperlink ref="Q7054" r:id="rId14103" location="" tooltip="" display=""/>
    <hyperlink ref="R7054" r:id="rId14104" location="" tooltip="" display=""/>
    <hyperlink ref="K7056" r:id="rId14105" location="" tooltip="" display=""/>
    <hyperlink ref="L7056" r:id="rId14106" location="" tooltip="" display=""/>
    <hyperlink ref="Q7056" r:id="rId14107" location="" tooltip="" display=""/>
    <hyperlink ref="R7056" r:id="rId14108" location="" tooltip="" display=""/>
    <hyperlink ref="L7058" r:id="rId14109" location="" tooltip="" display=""/>
    <hyperlink ref="R7058" r:id="rId14110" location="" tooltip="" display=""/>
    <hyperlink ref="K7059" r:id="rId14111" location="" tooltip="" display=""/>
    <hyperlink ref="L7059" r:id="rId14112" location="" tooltip="" display=""/>
    <hyperlink ref="Q7059" r:id="rId14113" location="" tooltip="" display=""/>
    <hyperlink ref="R7059" r:id="rId14114" location="" tooltip="" display=""/>
    <hyperlink ref="L7060" r:id="rId14115" location="" tooltip="" display=""/>
    <hyperlink ref="R7060" r:id="rId14116" location="" tooltip="" display=""/>
    <hyperlink ref="L7061" r:id="rId14117" location="" tooltip="" display=""/>
    <hyperlink ref="R7061" r:id="rId14118" location="" tooltip="" display=""/>
    <hyperlink ref="L7063" r:id="rId14119" location="" tooltip="" display=""/>
    <hyperlink ref="R7063" r:id="rId14120" location="" tooltip="" display=""/>
    <hyperlink ref="K7064" r:id="rId14121" location="" tooltip="" display=""/>
    <hyperlink ref="L7064" r:id="rId14122" location="" tooltip="" display=""/>
    <hyperlink ref="Q7064" r:id="rId14123" location="" tooltip="" display=""/>
    <hyperlink ref="R7064" r:id="rId14124" location="" tooltip="" display=""/>
    <hyperlink ref="L7065" r:id="rId14125" location="" tooltip="" display=""/>
    <hyperlink ref="R7065" r:id="rId14126" location="" tooltip="" display=""/>
    <hyperlink ref="L7066" r:id="rId14127" location="" tooltip="" display=""/>
    <hyperlink ref="R7066" r:id="rId14128" location="" tooltip="" display=""/>
    <hyperlink ref="L7068" r:id="rId14129" location="" tooltip="" display=""/>
    <hyperlink ref="R7068" r:id="rId14130" location="" tooltip="" display=""/>
    <hyperlink ref="K7069" r:id="rId14131" location="" tooltip="" display=""/>
    <hyperlink ref="L7069" r:id="rId14132" location="" tooltip="" display=""/>
    <hyperlink ref="Q7069" r:id="rId14133" location="" tooltip="" display=""/>
    <hyperlink ref="R7069" r:id="rId14134" location="" tooltip="" display=""/>
    <hyperlink ref="L7070" r:id="rId14135" location="" tooltip="" display=""/>
    <hyperlink ref="R7070" r:id="rId14136" location="" tooltip="" display=""/>
    <hyperlink ref="K7072" r:id="rId14137" location="" tooltip="" display=""/>
    <hyperlink ref="L7072" r:id="rId14138" location="" tooltip="" display=""/>
    <hyperlink ref="Q7072" r:id="rId14139" location="" tooltip="" display=""/>
    <hyperlink ref="R7072" r:id="rId14140" location="" tooltip="" display=""/>
    <hyperlink ref="L7073" r:id="rId14141" location="" tooltip="" display=""/>
    <hyperlink ref="R7073" r:id="rId14142" location="" tooltip="" display=""/>
    <hyperlink ref="K7075" r:id="rId14143" location="" tooltip="" display=""/>
    <hyperlink ref="L7075" r:id="rId14144" location="" tooltip="" display=""/>
    <hyperlink ref="Q7075" r:id="rId14145" location="" tooltip="" display=""/>
    <hyperlink ref="R7075" r:id="rId14146" location="" tooltip="" display=""/>
    <hyperlink ref="L7076" r:id="rId14147" location="" tooltip="" display=""/>
    <hyperlink ref="R7076" r:id="rId14148" location="" tooltip="" display=""/>
    <hyperlink ref="K7078" r:id="rId14149" location="" tooltip="" display=""/>
    <hyperlink ref="L7078" r:id="rId14150" location="" tooltip="" display=""/>
    <hyperlink ref="Q7078" r:id="rId14151" location="" tooltip="" display=""/>
    <hyperlink ref="R7078" r:id="rId14152" location="" tooltip="" display=""/>
    <hyperlink ref="L7079" r:id="rId14153" location="" tooltip="" display=""/>
    <hyperlink ref="R7079" r:id="rId14154" location="" tooltip="" display=""/>
    <hyperlink ref="K7081" r:id="rId14155" location="" tooltip="" display=""/>
    <hyperlink ref="L7081" r:id="rId14156" location="" tooltip="" display=""/>
    <hyperlink ref="Q7081" r:id="rId14157" location="" tooltip="" display=""/>
    <hyperlink ref="R7081" r:id="rId14158" location="" tooltip="" display=""/>
    <hyperlink ref="L7082" r:id="rId14159" location="" tooltip="" display=""/>
    <hyperlink ref="R7082" r:id="rId14160" location="" tooltip="" display=""/>
    <hyperlink ref="L7084" r:id="rId14161" location="" tooltip="" display=""/>
    <hyperlink ref="R7084" r:id="rId14162" location="" tooltip="" display=""/>
    <hyperlink ref="K7085" r:id="rId14163" location="" tooltip="" display=""/>
    <hyperlink ref="L7085" r:id="rId14164" location="" tooltip="" display=""/>
    <hyperlink ref="Q7085" r:id="rId14165" location="" tooltip="" display=""/>
    <hyperlink ref="R7085" r:id="rId14166" location="" tooltip="" display=""/>
    <hyperlink ref="L7086" r:id="rId14167" location="" tooltip="" display=""/>
    <hyperlink ref="R7086" r:id="rId14168" location="" tooltip="" display=""/>
    <hyperlink ref="K7088" r:id="rId14169" location="" tooltip="" display=""/>
    <hyperlink ref="L7088" r:id="rId14170" location="" tooltip="" display=""/>
    <hyperlink ref="Q7088" r:id="rId14171" location="" tooltip="" display=""/>
    <hyperlink ref="R7088" r:id="rId14172" location="" tooltip="" display=""/>
    <hyperlink ref="K7090" r:id="rId14173" location="" tooltip="" display=""/>
    <hyperlink ref="L7090" r:id="rId14174" location="" tooltip="" display=""/>
    <hyperlink ref="Q7090" r:id="rId14175" location="" tooltip="" display=""/>
    <hyperlink ref="R7090" r:id="rId14176" location="" tooltip="" display=""/>
    <hyperlink ref="K7092" r:id="rId14177" location="" tooltip="" display=""/>
    <hyperlink ref="L7092" r:id="rId14178" location="" tooltip="" display=""/>
    <hyperlink ref="Q7092" r:id="rId14179" location="" tooltip="" display=""/>
    <hyperlink ref="R7092" r:id="rId14180" location="" tooltip="" display=""/>
    <hyperlink ref="L7094" r:id="rId14181" location="" tooltip="" display=""/>
    <hyperlink ref="R7094" r:id="rId14182" location="" tooltip="" display=""/>
    <hyperlink ref="K7095" r:id="rId14183" location="" tooltip="" display=""/>
    <hyperlink ref="L7095" r:id="rId14184" location="" tooltip="" display=""/>
    <hyperlink ref="Q7095" r:id="rId14185" location="" tooltip="" display=""/>
    <hyperlink ref="R7095" r:id="rId14186" location="" tooltip="" display=""/>
    <hyperlink ref="L7096" r:id="rId14187" location="" tooltip="" display=""/>
    <hyperlink ref="R7096" r:id="rId14188" location="" tooltip="" display=""/>
    <hyperlink ref="K7098" r:id="rId14189" location="" tooltip="" display=""/>
    <hyperlink ref="L7098" r:id="rId14190" location="" tooltip="" display=""/>
    <hyperlink ref="Q7098" r:id="rId14191" location="" tooltip="" display=""/>
    <hyperlink ref="R7098" r:id="rId14192" location="" tooltip="" display=""/>
    <hyperlink ref="L7100" r:id="rId14193" location="" tooltip="" display=""/>
    <hyperlink ref="R7100" r:id="rId14194" location="" tooltip="" display=""/>
    <hyperlink ref="K7101" r:id="rId14195" location="" tooltip="" display=""/>
    <hyperlink ref="L7101" r:id="rId14196" location="" tooltip="" display=""/>
    <hyperlink ref="Q7101" r:id="rId14197" location="" tooltip="" display=""/>
    <hyperlink ref="R7101" r:id="rId14198" location="" tooltip="" display=""/>
    <hyperlink ref="L7102" r:id="rId14199" location="" tooltip="" display=""/>
    <hyperlink ref="R7102" r:id="rId14200" location="" tooltip="" display=""/>
    <hyperlink ref="L7103" r:id="rId14201" location="" tooltip="" display=""/>
    <hyperlink ref="R7103" r:id="rId14202" location="" tooltip="" display=""/>
    <hyperlink ref="L7105" r:id="rId14203" location="" tooltip="" display=""/>
    <hyperlink ref="R7105" r:id="rId14204" location="" tooltip="" display=""/>
    <hyperlink ref="L7106" r:id="rId14205" location="" tooltip="" display=""/>
    <hyperlink ref="R7106" r:id="rId14206" location="" tooltip="" display=""/>
    <hyperlink ref="K7107" r:id="rId14207" location="" tooltip="" display=""/>
    <hyperlink ref="L7107" r:id="rId14208" location="" tooltip="" display=""/>
    <hyperlink ref="Q7107" r:id="rId14209" location="" tooltip="" display=""/>
    <hyperlink ref="R7107" r:id="rId14210" location="" tooltip="" display=""/>
    <hyperlink ref="L7108" r:id="rId14211" location="" tooltip="" display=""/>
    <hyperlink ref="R7108" r:id="rId14212" location="" tooltip="" display=""/>
    <hyperlink ref="L7109" r:id="rId14213" location="" tooltip="" display=""/>
    <hyperlink ref="R7109" r:id="rId14214" location="" tooltip="" display=""/>
    <hyperlink ref="K7111" r:id="rId14215" location="" tooltip="" display=""/>
    <hyperlink ref="L7111" r:id="rId14216" location="" tooltip="" display=""/>
    <hyperlink ref="Q7111" r:id="rId14217" location="" tooltip="" display=""/>
    <hyperlink ref="R7111" r:id="rId14218" location="" tooltip="" display=""/>
    <hyperlink ref="K7113" r:id="rId14219" location="" tooltip="" display=""/>
    <hyperlink ref="L7113" r:id="rId14220" location="" tooltip="" display=""/>
    <hyperlink ref="Q7113" r:id="rId14221" location="" tooltip="" display=""/>
    <hyperlink ref="R7113" r:id="rId14222" location="" tooltip="" display=""/>
    <hyperlink ref="K7115" r:id="rId14223" location="" tooltip="" display=""/>
    <hyperlink ref="L7115" r:id="rId14224" location="" tooltip="" display=""/>
    <hyperlink ref="Q7115" r:id="rId14225" location="" tooltip="" display=""/>
    <hyperlink ref="R7115" r:id="rId14226" location="" tooltip="" display=""/>
    <hyperlink ref="L7116" r:id="rId14227" location="" tooltip="" display=""/>
    <hyperlink ref="R7116" r:id="rId14228" location="" tooltip="" display=""/>
    <hyperlink ref="K7118" r:id="rId14229" location="" tooltip="" display=""/>
    <hyperlink ref="L7118" r:id="rId14230" location="" tooltip="" display=""/>
    <hyperlink ref="Q7118" r:id="rId14231" location="" tooltip="" display=""/>
    <hyperlink ref="R7118" r:id="rId14232" location="" tooltip="" display=""/>
    <hyperlink ref="L7120" r:id="rId14233" location="" tooltip="" display=""/>
    <hyperlink ref="R7120" r:id="rId14234" location="" tooltip="" display=""/>
    <hyperlink ref="K7121" r:id="rId14235" location="" tooltip="" display=""/>
    <hyperlink ref="L7121" r:id="rId14236" location="" tooltip="" display=""/>
    <hyperlink ref="Q7121" r:id="rId14237" location="" tooltip="" display=""/>
    <hyperlink ref="R7121" r:id="rId14238" location="" tooltip="" display=""/>
    <hyperlink ref="L7122" r:id="rId14239" location="" tooltip="" display=""/>
    <hyperlink ref="R7122" r:id="rId14240" location="" tooltip="" display=""/>
    <hyperlink ref="L7123" r:id="rId14241" location="" tooltip="" display=""/>
    <hyperlink ref="R7123" r:id="rId14242" location="" tooltip="" display=""/>
    <hyperlink ref="L7125" r:id="rId14243" location="" tooltip="" display=""/>
    <hyperlink ref="R7125" r:id="rId14244" location="" tooltip="" display=""/>
    <hyperlink ref="K7126" r:id="rId14245" location="" tooltip="" display=""/>
    <hyperlink ref="L7126" r:id="rId14246" location="" tooltip="" display=""/>
    <hyperlink ref="Q7126" r:id="rId14247" location="" tooltip="" display=""/>
    <hyperlink ref="R7126" r:id="rId14248" location="" tooltip="" display=""/>
    <hyperlink ref="L7127" r:id="rId14249" location="" tooltip="" display=""/>
    <hyperlink ref="R7127" r:id="rId14250" location="" tooltip="" display=""/>
    <hyperlink ref="L7128" r:id="rId14251" location="" tooltip="" display=""/>
    <hyperlink ref="R7128" r:id="rId14252" location="" tooltip="" display=""/>
    <hyperlink ref="K7130" r:id="rId14253" location="" tooltip="" display=""/>
    <hyperlink ref="L7130" r:id="rId14254" location="" tooltip="" display=""/>
    <hyperlink ref="Q7130" r:id="rId14255" location="" tooltip="" display=""/>
    <hyperlink ref="R7130" r:id="rId14256" location="" tooltip="" display=""/>
    <hyperlink ref="L7131" r:id="rId14257" location="" tooltip="" display=""/>
    <hyperlink ref="R7131" r:id="rId14258" location="" tooltip="" display=""/>
    <hyperlink ref="K7133" r:id="rId14259" location="" tooltip="" display=""/>
    <hyperlink ref="L7133" r:id="rId14260" location="" tooltip="" display=""/>
    <hyperlink ref="Q7133" r:id="rId14261" location="" tooltip="" display=""/>
    <hyperlink ref="R7133" r:id="rId14262" location="" tooltip="" display=""/>
    <hyperlink ref="K7135" r:id="rId14263" location="" tooltip="" display=""/>
    <hyperlink ref="L7135" r:id="rId14264" location="" tooltip="" display=""/>
    <hyperlink ref="Q7135" r:id="rId14265" location="" tooltip="" display=""/>
    <hyperlink ref="R7135" r:id="rId14266" location="" tooltip="" display=""/>
    <hyperlink ref="L7136" r:id="rId14267" location="" tooltip="" display=""/>
    <hyperlink ref="R7136" r:id="rId14268" location="" tooltip="" display=""/>
    <hyperlink ref="K7138" r:id="rId14269" location="" tooltip="" display=""/>
    <hyperlink ref="L7138" r:id="rId14270" location="" tooltip="" display=""/>
    <hyperlink ref="Q7138" r:id="rId14271" location="" tooltip="" display=""/>
    <hyperlink ref="R7138" r:id="rId14272" location="" tooltip="" display=""/>
    <hyperlink ref="L7139" r:id="rId14273" location="" tooltip="" display=""/>
    <hyperlink ref="R7139" r:id="rId14274" location="" tooltip="" display=""/>
    <hyperlink ref="K7141" r:id="rId14275" location="" tooltip="" display=""/>
    <hyperlink ref="L7141" r:id="rId14276" location="" tooltip="" display=""/>
    <hyperlink ref="Q7141" r:id="rId14277" location="" tooltip="" display=""/>
    <hyperlink ref="R7141" r:id="rId14278" location="" tooltip="" display=""/>
    <hyperlink ref="L7142" r:id="rId14279" location="" tooltip="" display=""/>
    <hyperlink ref="R7142" r:id="rId14280" location="" tooltip="" display=""/>
    <hyperlink ref="K7144" r:id="rId14281" location="" tooltip="" display=""/>
    <hyperlink ref="L7144" r:id="rId14282" location="" tooltip="" display=""/>
    <hyperlink ref="Q7144" r:id="rId14283" location="" tooltip="" display=""/>
    <hyperlink ref="R7144" r:id="rId14284" location="" tooltip="" display=""/>
    <hyperlink ref="L7146" r:id="rId14285" location="" tooltip="" display=""/>
    <hyperlink ref="R7146" r:id="rId14286" location="" tooltip="" display=""/>
    <hyperlink ref="L7147" r:id="rId14287" location="" tooltip="" display=""/>
    <hyperlink ref="R7147" r:id="rId14288" location="" tooltip="" display=""/>
    <hyperlink ref="L7148" r:id="rId14289" location="" tooltip="" display=""/>
    <hyperlink ref="R7148" r:id="rId14290" location="" tooltip="" display=""/>
    <hyperlink ref="L7149" r:id="rId14291" location="" tooltip="" display=""/>
    <hyperlink ref="R7149" r:id="rId14292" location="" tooltip="" display=""/>
    <hyperlink ref="K7150" r:id="rId14293" location="" tooltip="" display=""/>
    <hyperlink ref="L7150" r:id="rId14294" location="" tooltip="" display=""/>
    <hyperlink ref="Q7150" r:id="rId14295" location="" tooltip="" display=""/>
    <hyperlink ref="R7150" r:id="rId14296" location="" tooltip="" display=""/>
    <hyperlink ref="L7151" r:id="rId14297" location="" tooltip="" display=""/>
    <hyperlink ref="R7151" r:id="rId14298" location="" tooltip="" display=""/>
    <hyperlink ref="L7152" r:id="rId14299" location="" tooltip="" display=""/>
    <hyperlink ref="R7152" r:id="rId14300" location="" tooltip="" display=""/>
    <hyperlink ref="L7153" r:id="rId14301" location="" tooltip="" display=""/>
    <hyperlink ref="R7153" r:id="rId14302" location="" tooltip="" display=""/>
    <hyperlink ref="L7154" r:id="rId14303" location="" tooltip="" display=""/>
    <hyperlink ref="R7154" r:id="rId14304" location="" tooltip="" display=""/>
    <hyperlink ref="K7156" r:id="rId14305" location="" tooltip="" display=""/>
    <hyperlink ref="L7156" r:id="rId14306" location="" tooltip="" display=""/>
    <hyperlink ref="Q7156" r:id="rId14307" location="" tooltip="" display=""/>
    <hyperlink ref="R7156" r:id="rId14308" location="" tooltip="" display=""/>
    <hyperlink ref="L7157" r:id="rId14309" location="" tooltip="" display=""/>
    <hyperlink ref="R7157" r:id="rId14310" location="" tooltip="" display=""/>
    <hyperlink ref="K7159" r:id="rId14311" location="" tooltip="" display=""/>
    <hyperlink ref="L7159" r:id="rId14312" location="" tooltip="" display=""/>
    <hyperlink ref="Q7159" r:id="rId14313" location="" tooltip="" display=""/>
    <hyperlink ref="R7159" r:id="rId14314" location="" tooltip="" display=""/>
    <hyperlink ref="L7160" r:id="rId14315" location="" tooltip="" display=""/>
    <hyperlink ref="R7160" r:id="rId14316" location="" tooltip="" display=""/>
    <hyperlink ref="K7162" r:id="rId14317" location="" tooltip="" display=""/>
    <hyperlink ref="L7162" r:id="rId14318" location="" tooltip="" display=""/>
    <hyperlink ref="Q7162" r:id="rId14319" location="" tooltip="" display=""/>
    <hyperlink ref="R7162" r:id="rId14320" location="" tooltip="" display=""/>
    <hyperlink ref="K7164" r:id="rId14321" location="" tooltip="" display=""/>
    <hyperlink ref="L7164" r:id="rId14322" location="" tooltip="" display=""/>
    <hyperlink ref="Q7164" r:id="rId14323" location="" tooltip="" display=""/>
    <hyperlink ref="R7164" r:id="rId14324" location="" tooltip="" display=""/>
    <hyperlink ref="K7166" r:id="rId14325" location="" tooltip="" display=""/>
    <hyperlink ref="L7166" r:id="rId14326" location="" tooltip="" display=""/>
    <hyperlink ref="Q7166" r:id="rId14327" location="" tooltip="" display=""/>
    <hyperlink ref="R7166" r:id="rId14328" location="" tooltip="" display=""/>
    <hyperlink ref="K7168" r:id="rId14329" location="" tooltip="" display=""/>
    <hyperlink ref="L7168" r:id="rId14330" location="" tooltip="" display=""/>
    <hyperlink ref="Q7168" r:id="rId14331" location="" tooltip="" display=""/>
    <hyperlink ref="R7168" r:id="rId14332" location="" tooltip="" display=""/>
    <hyperlink ref="K7170" r:id="rId14333" location="" tooltip="" display=""/>
    <hyperlink ref="L7170" r:id="rId14334" location="" tooltip="" display=""/>
    <hyperlink ref="Q7170" r:id="rId14335" location="" tooltip="" display=""/>
    <hyperlink ref="R7170" r:id="rId14336" location="" tooltip="" display=""/>
    <hyperlink ref="K7172" r:id="rId14337" location="" tooltip="" display=""/>
    <hyperlink ref="L7172" r:id="rId14338" location="" tooltip="" display=""/>
    <hyperlink ref="Q7172" r:id="rId14339" location="" tooltip="" display=""/>
    <hyperlink ref="R7172" r:id="rId14340" location="" tooltip="" display=""/>
    <hyperlink ref="K7174" r:id="rId14341" location="" tooltip="" display=""/>
    <hyperlink ref="L7174" r:id="rId14342" location="" tooltip="" display=""/>
    <hyperlink ref="Q7174" r:id="rId14343" location="" tooltip="" display=""/>
    <hyperlink ref="R7174" r:id="rId14344" location="" tooltip="" display=""/>
    <hyperlink ref="L7175" r:id="rId14345" location="" tooltip="" display=""/>
    <hyperlink ref="R7175" r:id="rId14346" location="" tooltip="" display=""/>
    <hyperlink ref="L7177" r:id="rId14347" location="" tooltip="" display=""/>
    <hyperlink ref="R7177" r:id="rId14348" location="" tooltip="" display=""/>
    <hyperlink ref="K7178" r:id="rId14349" location="" tooltip="" display=""/>
    <hyperlink ref="L7178" r:id="rId14350" location="" tooltip="" display=""/>
    <hyperlink ref="Q7178" r:id="rId14351" location="" tooltip="" display=""/>
    <hyperlink ref="R7178" r:id="rId14352" location="" tooltip="" display=""/>
    <hyperlink ref="L7179" r:id="rId14353" location="" tooltip="" display=""/>
    <hyperlink ref="R7179" r:id="rId14354" location="" tooltip="" display=""/>
    <hyperlink ref="L7181" r:id="rId14355" location="" tooltip="" display=""/>
    <hyperlink ref="R7181" r:id="rId14356" location="" tooltip="" display=""/>
    <hyperlink ref="K7182" r:id="rId14357" location="" tooltip="" display=""/>
    <hyperlink ref="L7182" r:id="rId14358" location="" tooltip="" display=""/>
    <hyperlink ref="Q7182" r:id="rId14359" location="" tooltip="" display=""/>
    <hyperlink ref="R7182" r:id="rId14360" location="" tooltip="" display=""/>
    <hyperlink ref="L7183" r:id="rId14361" location="" tooltip="" display=""/>
    <hyperlink ref="R7183" r:id="rId14362" location="" tooltip="" display=""/>
    <hyperlink ref="K7185" r:id="rId14363" location="" tooltip="" display=""/>
    <hyperlink ref="L7185" r:id="rId14364" location="" tooltip="" display=""/>
    <hyperlink ref="Q7185" r:id="rId14365" location="" tooltip="" display=""/>
    <hyperlink ref="R7185" r:id="rId14366" location="" tooltip="" display=""/>
    <hyperlink ref="L7187" r:id="rId14367" location="" tooltip="" display=""/>
    <hyperlink ref="R7187" r:id="rId14368" location="" tooltip="" display=""/>
    <hyperlink ref="K7188" r:id="rId14369" location="" tooltip="" display=""/>
    <hyperlink ref="L7188" r:id="rId14370" location="" tooltip="" display=""/>
    <hyperlink ref="Q7188" r:id="rId14371" location="" tooltip="" display=""/>
    <hyperlink ref="R7188" r:id="rId14372" location="" tooltip="" display=""/>
    <hyperlink ref="L7189" r:id="rId14373" location="" tooltip="" display=""/>
    <hyperlink ref="R7189" r:id="rId14374" location="" tooltip="" display=""/>
    <hyperlink ref="L7191" r:id="rId14375" location="" tooltip="" display=""/>
    <hyperlink ref="R7191" r:id="rId14376" location="" tooltip="" display=""/>
    <hyperlink ref="K7192" r:id="rId14377" location="" tooltip="" display=""/>
    <hyperlink ref="L7192" r:id="rId14378" location="" tooltip="" display=""/>
    <hyperlink ref="Q7192" r:id="rId14379" location="" tooltip="" display=""/>
    <hyperlink ref="R7192" r:id="rId14380" location="" tooltip="" display=""/>
    <hyperlink ref="L7193" r:id="rId14381" location="" tooltip="" display=""/>
    <hyperlink ref="R7193" r:id="rId14382" location="" tooltip="" display=""/>
    <hyperlink ref="K7195" r:id="rId14383" location="" tooltip="" display=""/>
    <hyperlink ref="L7195" r:id="rId14384" location="" tooltip="" display=""/>
    <hyperlink ref="Q7195" r:id="rId14385" location="" tooltip="" display=""/>
    <hyperlink ref="R7195" r:id="rId14386" location="" tooltip="" display=""/>
    <hyperlink ref="K7197" r:id="rId14387" location="" tooltip="" display=""/>
    <hyperlink ref="L7197" r:id="rId14388" location="" tooltip="" display=""/>
    <hyperlink ref="Q7197" r:id="rId14389" location="" tooltip="" display=""/>
    <hyperlink ref="R7197" r:id="rId14390" location="" tooltip="" display=""/>
    <hyperlink ref="K7199" r:id="rId14391" location="" tooltip="" display=""/>
    <hyperlink ref="L7199" r:id="rId14392" location="" tooltip="" display=""/>
    <hyperlink ref="Q7199" r:id="rId14393" location="" tooltip="" display=""/>
    <hyperlink ref="R7199" r:id="rId14394" location="" tooltip="" display=""/>
    <hyperlink ref="L7200" r:id="rId14395" location="" tooltip="" display=""/>
    <hyperlink ref="R7200" r:id="rId14396" location="" tooltip="" display=""/>
    <hyperlink ref="K7202" r:id="rId14397" location="" tooltip="" display=""/>
    <hyperlink ref="L7202" r:id="rId14398" location="" tooltip="" display=""/>
    <hyperlink ref="Q7202" r:id="rId14399" location="" tooltip="" display=""/>
    <hyperlink ref="R7202" r:id="rId14400" location="" tooltip="" display=""/>
    <hyperlink ref="K7204" r:id="rId14401" location="" tooltip="" display=""/>
    <hyperlink ref="L7204" r:id="rId14402" location="" tooltip="" display=""/>
    <hyperlink ref="Q7204" r:id="rId14403" location="" tooltip="" display=""/>
    <hyperlink ref="R7204" r:id="rId14404" location="" tooltip="" display=""/>
    <hyperlink ref="K7206" r:id="rId14405" location="" tooltip="" display=""/>
    <hyperlink ref="L7206" r:id="rId14406" location="" tooltip="" display=""/>
    <hyperlink ref="Q7206" r:id="rId14407" location="" tooltip="" display=""/>
    <hyperlink ref="R7206" r:id="rId14408" location="" tooltip="" display=""/>
    <hyperlink ref="K7208" r:id="rId14409" location="" tooltip="" display=""/>
    <hyperlink ref="L7208" r:id="rId14410" location="" tooltip="" display=""/>
    <hyperlink ref="Q7208" r:id="rId14411" location="" tooltip="" display=""/>
    <hyperlink ref="R7208" r:id="rId14412" location="" tooltip="" display=""/>
    <hyperlink ref="K7210" r:id="rId14413" location="" tooltip="" display=""/>
    <hyperlink ref="L7210" r:id="rId14414" location="" tooltip="" display=""/>
    <hyperlink ref="Q7210" r:id="rId14415" location="" tooltip="" display=""/>
    <hyperlink ref="R7210" r:id="rId14416" location="" tooltip="" display=""/>
    <hyperlink ref="L7212" r:id="rId14417" location="" tooltip="" display=""/>
    <hyperlink ref="R7212" r:id="rId14418" location="" tooltip="" display=""/>
    <hyperlink ref="K7213" r:id="rId14419" location="" tooltip="" display=""/>
    <hyperlink ref="L7213" r:id="rId14420" location="" tooltip="" display=""/>
    <hyperlink ref="Q7213" r:id="rId14421" location="" tooltip="" display=""/>
    <hyperlink ref="R7213" r:id="rId14422" location="" tooltip="" display=""/>
    <hyperlink ref="L7214" r:id="rId14423" location="" tooltip="" display=""/>
    <hyperlink ref="R7214" r:id="rId14424" location="" tooltip="" display=""/>
    <hyperlink ref="K7216" r:id="rId14425" location="" tooltip="" display=""/>
    <hyperlink ref="L7216" r:id="rId14426" location="" tooltip="" display=""/>
    <hyperlink ref="Q7216" r:id="rId14427" location="" tooltip="" display=""/>
    <hyperlink ref="R7216" r:id="rId14428" location="" tooltip="" display=""/>
    <hyperlink ref="K7218" r:id="rId14429" location="" tooltip="" display=""/>
    <hyperlink ref="L7218" r:id="rId14430" location="" tooltip="" display=""/>
    <hyperlink ref="Q7218" r:id="rId14431" location="" tooltip="" display=""/>
    <hyperlink ref="R7218" r:id="rId14432" location="" tooltip="" display=""/>
    <hyperlink ref="K7220" r:id="rId14433" location="" tooltip="" display=""/>
    <hyperlink ref="L7220" r:id="rId14434" location="" tooltip="" display=""/>
    <hyperlink ref="Q7220" r:id="rId14435" location="" tooltip="" display=""/>
    <hyperlink ref="R7220" r:id="rId14436" location="" tooltip="" display=""/>
    <hyperlink ref="K7222" r:id="rId14437" location="" tooltip="" display=""/>
    <hyperlink ref="L7222" r:id="rId14438" location="" tooltip="" display=""/>
    <hyperlink ref="Q7222" r:id="rId14439" location="" tooltip="" display=""/>
    <hyperlink ref="R7222" r:id="rId14440" location="" tooltip="" display=""/>
    <hyperlink ref="L7224" r:id="rId14441" location="" tooltip="" display=""/>
    <hyperlink ref="R7224" r:id="rId14442" location="" tooltip="" display=""/>
    <hyperlink ref="K7225" r:id="rId14443" location="" tooltip="" display=""/>
    <hyperlink ref="L7225" r:id="rId14444" location="" tooltip="" display=""/>
    <hyperlink ref="Q7225" r:id="rId14445" location="" tooltip="" display=""/>
    <hyperlink ref="R7225" r:id="rId14446" location="" tooltip="" display=""/>
    <hyperlink ref="L7226" r:id="rId14447" location="" tooltip="" display=""/>
    <hyperlink ref="R7226" r:id="rId14448" location="" tooltip="" display=""/>
    <hyperlink ref="K7228" r:id="rId14449" location="" tooltip="" display=""/>
    <hyperlink ref="L7228" r:id="rId14450" location="" tooltip="" display=""/>
    <hyperlink ref="Q7228" r:id="rId14451" location="" tooltip="" display=""/>
    <hyperlink ref="R7228" r:id="rId14452" location="" tooltip="" display=""/>
    <hyperlink ref="K7230" r:id="rId14453" location="" tooltip="" display=""/>
    <hyperlink ref="L7230" r:id="rId14454" location="" tooltip="" display=""/>
    <hyperlink ref="Q7230" r:id="rId14455" location="" tooltip="" display=""/>
    <hyperlink ref="R7230" r:id="rId14456" location="" tooltip="" display=""/>
    <hyperlink ref="L7231" r:id="rId14457" location="" tooltip="" display=""/>
    <hyperlink ref="R7231" r:id="rId14458" location="" tooltip="" display=""/>
    <hyperlink ref="L7233" r:id="rId14459" location="" tooltip="" display=""/>
    <hyperlink ref="R7233" r:id="rId14460" location="" tooltip="" display=""/>
    <hyperlink ref="K7234" r:id="rId14461" location="" tooltip="" display=""/>
    <hyperlink ref="L7234" r:id="rId14462" location="" tooltip="" display=""/>
    <hyperlink ref="Q7234" r:id="rId14463" location="" tooltip="" display=""/>
    <hyperlink ref="R7234" r:id="rId14464" location="" tooltip="" display=""/>
    <hyperlink ref="L7235" r:id="rId14465" location="" tooltip="" display=""/>
    <hyperlink ref="R7235" r:id="rId14466" location="" tooltip="" display=""/>
    <hyperlink ref="L7236" r:id="rId14467" location="" tooltip="" display=""/>
    <hyperlink ref="R7236" r:id="rId14468" location="" tooltip="" display=""/>
    <hyperlink ref="K7238" r:id="rId14469" location="" tooltip="" display=""/>
    <hyperlink ref="L7238" r:id="rId14470" location="" tooltip="" display=""/>
    <hyperlink ref="Q7238" r:id="rId14471" location="" tooltip="" display=""/>
    <hyperlink ref="R7238" r:id="rId14472" location="" tooltip="" display=""/>
    <hyperlink ref="L7240" r:id="rId14473" location="" tooltip="" display=""/>
    <hyperlink ref="R7240" r:id="rId14474" location="" tooltip="" display=""/>
    <hyperlink ref="K7241" r:id="rId14475" location="" tooltip="" display=""/>
    <hyperlink ref="L7241" r:id="rId14476" location="" tooltip="" display=""/>
    <hyperlink ref="Q7241" r:id="rId14477" location="" tooltip="" display=""/>
    <hyperlink ref="R7241" r:id="rId14478" location="" tooltip="" display=""/>
    <hyperlink ref="L7242" r:id="rId14479" location="" tooltip="" display=""/>
    <hyperlink ref="R7242" r:id="rId14480" location="" tooltip="" display=""/>
    <hyperlink ref="K7244" r:id="rId14481" location="" tooltip="" display=""/>
    <hyperlink ref="L7244" r:id="rId14482" location="" tooltip="" display=""/>
    <hyperlink ref="Q7244" r:id="rId14483" location="" tooltip="" display=""/>
    <hyperlink ref="R7244" r:id="rId14484" location="" tooltip="" display=""/>
    <hyperlink ref="K7246" r:id="rId14485" location="" tooltip="" display=""/>
    <hyperlink ref="L7246" r:id="rId14486" location="" tooltip="" display=""/>
    <hyperlink ref="Q7246" r:id="rId14487" location="" tooltip="" display=""/>
    <hyperlink ref="R7246" r:id="rId14488" location="" tooltip="" display=""/>
    <hyperlink ref="L7248" r:id="rId14489" location="" tooltip="" display=""/>
    <hyperlink ref="R7248" r:id="rId14490" location="" tooltip="" display=""/>
    <hyperlink ref="K7249" r:id="rId14491" location="" tooltip="" display=""/>
    <hyperlink ref="L7249" r:id="rId14492" location="" tooltip="" display=""/>
    <hyperlink ref="Q7249" r:id="rId14493" location="" tooltip="" display=""/>
    <hyperlink ref="R7249" r:id="rId14494" location="" tooltip="" display=""/>
    <hyperlink ref="L7250" r:id="rId14495" location="" tooltip="" display=""/>
    <hyperlink ref="R7250" r:id="rId14496" location="" tooltip="" display=""/>
    <hyperlink ref="L7251" r:id="rId14497" location="" tooltip="" display=""/>
    <hyperlink ref="R7251" r:id="rId14498" location="" tooltip="" display=""/>
    <hyperlink ref="L7253" r:id="rId14499" location="" tooltip="" display=""/>
    <hyperlink ref="R7253" r:id="rId14500" location="" tooltip="" display=""/>
    <hyperlink ref="K7254" r:id="rId14501" location="" tooltip="" display=""/>
    <hyperlink ref="L7254" r:id="rId14502" location="" tooltip="" display=""/>
    <hyperlink ref="Q7254" r:id="rId14503" location="" tooltip="" display=""/>
    <hyperlink ref="R7254" r:id="rId14504" location="" tooltip="" display=""/>
    <hyperlink ref="L7255" r:id="rId14505" location="" tooltip="" display=""/>
    <hyperlink ref="R7255" r:id="rId14506" location="" tooltip="" display=""/>
    <hyperlink ref="K7257" r:id="rId14507" location="" tooltip="" display=""/>
    <hyperlink ref="L7257" r:id="rId14508" location="" tooltip="" display=""/>
    <hyperlink ref="Q7257" r:id="rId14509" location="" tooltip="" display=""/>
    <hyperlink ref="R7257" r:id="rId14510" location="" tooltip="" display=""/>
    <hyperlink ref="L7259" r:id="rId14511" location="" tooltip="" display=""/>
    <hyperlink ref="R7259" r:id="rId14512" location="" tooltip="" display=""/>
    <hyperlink ref="L7260" r:id="rId14513" location="" tooltip="" display=""/>
    <hyperlink ref="R7260" r:id="rId14514" location="" tooltip="" display=""/>
    <hyperlink ref="K7261" r:id="rId14515" location="" tooltip="" display=""/>
    <hyperlink ref="L7261" r:id="rId14516" location="" tooltip="" display=""/>
    <hyperlink ref="Q7261" r:id="rId14517" location="" tooltip="" display=""/>
    <hyperlink ref="R7261" r:id="rId14518" location="" tooltip="" display=""/>
    <hyperlink ref="L7262" r:id="rId14519" location="" tooltip="" display=""/>
    <hyperlink ref="R7262" r:id="rId14520" location="" tooltip="" display=""/>
    <hyperlink ref="L7263" r:id="rId14521" location="" tooltip="" display=""/>
    <hyperlink ref="R7263" r:id="rId14522" location="" tooltip="" display=""/>
    <hyperlink ref="L7264" r:id="rId14523" location="" tooltip="" display=""/>
    <hyperlink ref="R7264" r:id="rId14524" location="" tooltip="" display=""/>
    <hyperlink ref="K7266" r:id="rId14525" location="" tooltip="" display=""/>
    <hyperlink ref="L7266" r:id="rId14526" location="" tooltip="" display=""/>
    <hyperlink ref="Q7266" r:id="rId14527" location="" tooltip="" display=""/>
    <hyperlink ref="R7266" r:id="rId14528" location="" tooltip="" display=""/>
    <hyperlink ref="L7267" r:id="rId14529" location="" tooltip="" display=""/>
    <hyperlink ref="R7267" r:id="rId14530" location="" tooltip="" display=""/>
    <hyperlink ref="K7269" r:id="rId14531" location="" tooltip="" display=""/>
    <hyperlink ref="L7269" r:id="rId14532" location="" tooltip="" display=""/>
    <hyperlink ref="Q7269" r:id="rId14533" location="" tooltip="" display=""/>
    <hyperlink ref="R7269" r:id="rId14534" location="" tooltip="" display=""/>
    <hyperlink ref="L7270" r:id="rId14535" location="" tooltip="" display=""/>
    <hyperlink ref="R7270" r:id="rId14536" location="" tooltip="" display=""/>
    <hyperlink ref="L7272" r:id="rId14537" location="" tooltip="" display=""/>
    <hyperlink ref="R7272" r:id="rId14538" location="" tooltip="" display=""/>
    <hyperlink ref="L7273" r:id="rId14539" location="" tooltip="" display=""/>
    <hyperlink ref="R7273" r:id="rId14540" location="" tooltip="" display=""/>
    <hyperlink ref="K7274" r:id="rId14541" location="" tooltip="" display=""/>
    <hyperlink ref="L7274" r:id="rId14542" location="" tooltip="" display=""/>
    <hyperlink ref="Q7274" r:id="rId14543" location="" tooltip="" display=""/>
    <hyperlink ref="R7274" r:id="rId14544" location="" tooltip="" display=""/>
    <hyperlink ref="L7275" r:id="rId14545" location="" tooltip="" display=""/>
    <hyperlink ref="R7275" r:id="rId14546" location="" tooltip="" display=""/>
    <hyperlink ref="L7276" r:id="rId14547" location="" tooltip="" display=""/>
    <hyperlink ref="R7276" r:id="rId14548" location="" tooltip="" display=""/>
    <hyperlink ref="L7278" r:id="rId14549" location="" tooltip="" display=""/>
    <hyperlink ref="R7278" r:id="rId14550" location="" tooltip="" display=""/>
    <hyperlink ref="L7279" r:id="rId14551" location="" tooltip="" display=""/>
    <hyperlink ref="R7279" r:id="rId14552" location="" tooltip="" display=""/>
    <hyperlink ref="K7280" r:id="rId14553" location="" tooltip="" display=""/>
    <hyperlink ref="L7280" r:id="rId14554" location="" tooltip="" display=""/>
    <hyperlink ref="Q7280" r:id="rId14555" location="" tooltip="" display=""/>
    <hyperlink ref="R7280" r:id="rId14556" location="" tooltip="" display=""/>
    <hyperlink ref="L7281" r:id="rId14557" location="" tooltip="" display=""/>
    <hyperlink ref="R7281" r:id="rId14558" location="" tooltip="" display=""/>
    <hyperlink ref="L7282" r:id="rId14559" location="" tooltip="" display=""/>
    <hyperlink ref="R7282" r:id="rId14560" location="" tooltip="" display=""/>
    <hyperlink ref="K7284" r:id="rId14561" location="" tooltip="" display=""/>
    <hyperlink ref="L7284" r:id="rId14562" location="" tooltip="" display=""/>
    <hyperlink ref="Q7284" r:id="rId14563" location="" tooltip="" display=""/>
    <hyperlink ref="R7284" r:id="rId14564" location="" tooltip="" display=""/>
    <hyperlink ref="L7285" r:id="rId14565" location="" tooltip="" display=""/>
    <hyperlink ref="R7285" r:id="rId14566" location="" tooltip="" display=""/>
    <hyperlink ref="L7287" r:id="rId14567" location="" tooltip="" display=""/>
    <hyperlink ref="R7287" r:id="rId14568" location="" tooltip="" display=""/>
    <hyperlink ref="K7288" r:id="rId14569" location="" tooltip="" display=""/>
    <hyperlink ref="L7288" r:id="rId14570" location="" tooltip="" display=""/>
    <hyperlink ref="Q7288" r:id="rId14571" location="" tooltip="" display=""/>
    <hyperlink ref="R7288" r:id="rId14572" location="" tooltip="" display=""/>
    <hyperlink ref="L7289" r:id="rId14573" location="" tooltip="" display=""/>
    <hyperlink ref="R7289" r:id="rId14574" location="" tooltip="" display=""/>
    <hyperlink ref="L7290" r:id="rId14575" location="" tooltip="" display=""/>
    <hyperlink ref="R7290" r:id="rId14576" location="" tooltip="" display=""/>
    <hyperlink ref="K7292" r:id="rId14577" location="" tooltip="" display=""/>
    <hyperlink ref="L7292" r:id="rId14578" location="" tooltip="" display=""/>
    <hyperlink ref="Q7292" r:id="rId14579" location="" tooltip="" display=""/>
    <hyperlink ref="R7292" r:id="rId14580" location="" tooltip="" display=""/>
    <hyperlink ref="L7293" r:id="rId14581" location="" tooltip="" display=""/>
    <hyperlink ref="R7293" r:id="rId14582" location="" tooltip="" display=""/>
    <hyperlink ref="K7295" r:id="rId14583" location="" tooltip="" display=""/>
    <hyperlink ref="L7295" r:id="rId14584" location="" tooltip="" display=""/>
    <hyperlink ref="Q7295" r:id="rId14585" location="" tooltip="" display=""/>
    <hyperlink ref="R7295" r:id="rId14586" location="" tooltip="" display=""/>
    <hyperlink ref="L7296" r:id="rId14587" location="" tooltip="" display=""/>
    <hyperlink ref="R7296" r:id="rId14588" location="" tooltip="" display=""/>
    <hyperlink ref="K7298" r:id="rId14589" location="" tooltip="" display=""/>
    <hyperlink ref="L7298" r:id="rId14590" location="" tooltip="" display=""/>
    <hyperlink ref="Q7298" r:id="rId14591" location="" tooltip="" display=""/>
    <hyperlink ref="R7298" r:id="rId14592" location="" tooltip="" display=""/>
    <hyperlink ref="L7299" r:id="rId14593" location="" tooltip="" display=""/>
    <hyperlink ref="R7299" r:id="rId14594" location="" tooltip="" display=""/>
    <hyperlink ref="K7301" r:id="rId14595" location="" tooltip="" display=""/>
    <hyperlink ref="L7301" r:id="rId14596" location="" tooltip="" display=""/>
    <hyperlink ref="Q7301" r:id="rId14597" location="" tooltip="" display=""/>
    <hyperlink ref="R7301" r:id="rId14598" location="" tooltip="" display=""/>
    <hyperlink ref="L7302" r:id="rId14599" location="" tooltip="" display=""/>
    <hyperlink ref="R7302" r:id="rId14600" location="" tooltip="" display=""/>
    <hyperlink ref="K7304" r:id="rId14601" location="" tooltip="" display=""/>
    <hyperlink ref="L7304" r:id="rId14602" location="" tooltip="" display=""/>
    <hyperlink ref="Q7304" r:id="rId14603" location="" tooltip="" display=""/>
    <hyperlink ref="R7304" r:id="rId14604" location="" tooltip="" display=""/>
    <hyperlink ref="L7305" r:id="rId14605" location="" tooltip="" display=""/>
    <hyperlink ref="R7305" r:id="rId14606" location="" tooltip="" display=""/>
    <hyperlink ref="K7307" r:id="rId14607" location="" tooltip="" display=""/>
    <hyperlink ref="L7307" r:id="rId14608" location="" tooltip="" display=""/>
    <hyperlink ref="Q7307" r:id="rId14609" location="" tooltip="" display=""/>
    <hyperlink ref="R7307" r:id="rId14610" location="" tooltip="" display=""/>
    <hyperlink ref="L7308" r:id="rId14611" location="" tooltip="" display=""/>
    <hyperlink ref="R7308" r:id="rId14612" location="" tooltip="" display=""/>
    <hyperlink ref="L7310" r:id="rId14613" location="" tooltip="" display=""/>
    <hyperlink ref="R7310" r:id="rId14614" location="" tooltip="" display=""/>
    <hyperlink ref="L7311" r:id="rId14615" location="" tooltip="" display=""/>
    <hyperlink ref="R7311" r:id="rId14616" location="" tooltip="" display=""/>
    <hyperlink ref="K7312" r:id="rId14617" location="" tooltip="" display=""/>
    <hyperlink ref="L7312" r:id="rId14618" location="" tooltip="" display=""/>
    <hyperlink ref="Q7312" r:id="rId14619" location="" tooltip="" display=""/>
    <hyperlink ref="R7312" r:id="rId14620" location="" tooltip="" display=""/>
    <hyperlink ref="L7313" r:id="rId14621" location="" tooltip="" display=""/>
    <hyperlink ref="R7313" r:id="rId14622" location="" tooltip="" display=""/>
    <hyperlink ref="L7314" r:id="rId14623" location="" tooltip="" display=""/>
    <hyperlink ref="R7314" r:id="rId14624" location="" tooltip="" display=""/>
    <hyperlink ref="K7316" r:id="rId14625" location="" tooltip="" display=""/>
    <hyperlink ref="L7316" r:id="rId14626" location="" tooltip="" display=""/>
    <hyperlink ref="Q7316" r:id="rId14627" location="" tooltip="" display=""/>
    <hyperlink ref="R7316" r:id="rId14628" location="" tooltip="" display=""/>
    <hyperlink ref="K7318" r:id="rId14629" location="" tooltip="" display=""/>
    <hyperlink ref="L7318" r:id="rId14630" location="" tooltip="" display=""/>
    <hyperlink ref="Q7318" r:id="rId14631" location="" tooltip="" display=""/>
    <hyperlink ref="R7318" r:id="rId14632" location="" tooltip="" display=""/>
    <hyperlink ref="L7319" r:id="rId14633" location="" tooltip="" display=""/>
    <hyperlink ref="R7319" r:id="rId14634" location="" tooltip="" display=""/>
    <hyperlink ref="K7321" r:id="rId14635" location="" tooltip="" display=""/>
    <hyperlink ref="L7321" r:id="rId14636" location="" tooltip="" display=""/>
    <hyperlink ref="Q7321" r:id="rId14637" location="" tooltip="" display=""/>
    <hyperlink ref="R7321" r:id="rId14638" location="" tooltip="" display=""/>
    <hyperlink ref="L7322" r:id="rId14639" location="" tooltip="" display=""/>
    <hyperlink ref="R7322" r:id="rId14640" location="" tooltip="" display=""/>
    <hyperlink ref="L7324" r:id="rId14641" location="" tooltip="" display=""/>
    <hyperlink ref="R7324" r:id="rId14642" location="" tooltip="" display=""/>
    <hyperlink ref="K7325" r:id="rId14643" location="" tooltip="" display=""/>
    <hyperlink ref="L7325" r:id="rId14644" location="" tooltip="" display=""/>
    <hyperlink ref="Q7325" r:id="rId14645" location="" tooltip="" display=""/>
    <hyperlink ref="R7325" r:id="rId14646" location="" tooltip="" display=""/>
    <hyperlink ref="L7326" r:id="rId14647" location="" tooltip="" display=""/>
    <hyperlink ref="R7326" r:id="rId14648" location="" tooltip="" display=""/>
    <hyperlink ref="L7327" r:id="rId14649" location="" tooltip="" display=""/>
    <hyperlink ref="R7327" r:id="rId14650" location="" tooltip="" display=""/>
    <hyperlink ref="L7329" r:id="rId14651" location="" tooltip="" display=""/>
    <hyperlink ref="R7329" r:id="rId14652" location="" tooltip="" display=""/>
    <hyperlink ref="K7330" r:id="rId14653" location="" tooltip="" display=""/>
    <hyperlink ref="L7330" r:id="rId14654" location="" tooltip="" display=""/>
    <hyperlink ref="Q7330" r:id="rId14655" location="" tooltip="" display=""/>
    <hyperlink ref="R7330" r:id="rId14656" location="" tooltip="" display=""/>
    <hyperlink ref="L7331" r:id="rId14657" location="" tooltip="" display=""/>
    <hyperlink ref="R7331" r:id="rId14658" location="" tooltip="" display=""/>
    <hyperlink ref="L7332" r:id="rId14659" location="" tooltip="" display=""/>
    <hyperlink ref="R7332" r:id="rId14660" location="" tooltip="" display=""/>
    <hyperlink ref="K7334" r:id="rId14661" location="" tooltip="" display=""/>
    <hyperlink ref="L7334" r:id="rId14662" location="" tooltip="" display=""/>
    <hyperlink ref="Q7334" r:id="rId14663" location="" tooltip="" display=""/>
    <hyperlink ref="R7334" r:id="rId14664" location="" tooltip="" display=""/>
    <hyperlink ref="L7335" r:id="rId14665" location="" tooltip="" display=""/>
    <hyperlink ref="R7335" r:id="rId14666" location="" tooltip="" display=""/>
    <hyperlink ref="L7337" r:id="rId14667" location="" tooltip="" display=""/>
    <hyperlink ref="R7337" r:id="rId14668" location="" tooltip="" display=""/>
    <hyperlink ref="K7338" r:id="rId14669" location="" tooltip="" display=""/>
    <hyperlink ref="L7338" r:id="rId14670" location="" tooltip="" display=""/>
    <hyperlink ref="Q7338" r:id="rId14671" location="" tooltip="" display=""/>
    <hyperlink ref="R7338" r:id="rId14672" location="" tooltip="" display=""/>
    <hyperlink ref="L7339" r:id="rId14673" location="" tooltip="" display=""/>
    <hyperlink ref="R7339" r:id="rId14674" location="" tooltip="" display=""/>
    <hyperlink ref="L7340" r:id="rId14675" location="" tooltip="" display=""/>
    <hyperlink ref="R7340" r:id="rId14676" location="" tooltip="" display=""/>
    <hyperlink ref="K7342" r:id="rId14677" location="" tooltip="" display=""/>
    <hyperlink ref="L7342" r:id="rId14678" location="" tooltip="" display=""/>
    <hyperlink ref="Q7342" r:id="rId14679" location="" tooltip="" display=""/>
    <hyperlink ref="R7342" r:id="rId14680" location="" tooltip="" display=""/>
    <hyperlink ref="L7343" r:id="rId14681" location="" tooltip="" display=""/>
    <hyperlink ref="R7343" r:id="rId14682" location="" tooltip="" display=""/>
    <hyperlink ref="L7345" r:id="rId14683" location="" tooltip="" display=""/>
    <hyperlink ref="R7345" r:id="rId14684" location="" tooltip="" display=""/>
    <hyperlink ref="K7346" r:id="rId14685" location="" tooltip="" display=""/>
    <hyperlink ref="L7346" r:id="rId14686" location="" tooltip="" display=""/>
    <hyperlink ref="Q7346" r:id="rId14687" location="" tooltip="" display=""/>
    <hyperlink ref="R7346" r:id="rId14688" location="" tooltip="" display=""/>
    <hyperlink ref="L7347" r:id="rId14689" location="" tooltip="" display=""/>
    <hyperlink ref="R7347" r:id="rId14690" location="" tooltip="" display=""/>
    <hyperlink ref="K7349" r:id="rId14691" location="" tooltip="" display=""/>
    <hyperlink ref="L7349" r:id="rId14692" location="" tooltip="" display=""/>
    <hyperlink ref="Q7349" r:id="rId14693" location="" tooltip="" display=""/>
    <hyperlink ref="R7349" r:id="rId14694" location="" tooltip="" display=""/>
    <hyperlink ref="L7350" r:id="rId14695" location="" tooltip="" display=""/>
    <hyperlink ref="R7350" r:id="rId14696" location="" tooltip="" display=""/>
    <hyperlink ref="K7352" r:id="rId14697" location="" tooltip="" display=""/>
    <hyperlink ref="L7352" r:id="rId14698" location="" tooltip="" display=""/>
    <hyperlink ref="Q7352" r:id="rId14699" location="" tooltip="" display=""/>
    <hyperlink ref="R7352" r:id="rId14700" location="" tooltip="" display=""/>
    <hyperlink ref="L7353" r:id="rId14701" location="" tooltip="" display=""/>
    <hyperlink ref="R7353" r:id="rId14702" location="" tooltip="" display=""/>
    <hyperlink ref="K7355" r:id="rId14703" location="" tooltip="" display=""/>
    <hyperlink ref="L7355" r:id="rId14704" location="" tooltip="" display=""/>
    <hyperlink ref="Q7355" r:id="rId14705" location="" tooltip="" display=""/>
    <hyperlink ref="R7355" r:id="rId14706" location="" tooltip="" display=""/>
    <hyperlink ref="K7357" r:id="rId14707" location="" tooltip="" display=""/>
    <hyperlink ref="L7357" r:id="rId14708" location="" tooltip="" display=""/>
    <hyperlink ref="Q7357" r:id="rId14709" location="" tooltip="" display=""/>
    <hyperlink ref="R7357" r:id="rId14710" location="" tooltip="" display=""/>
    <hyperlink ref="K7359" r:id="rId14711" location="" tooltip="" display=""/>
    <hyperlink ref="L7359" r:id="rId14712" location="" tooltip="" display=""/>
    <hyperlink ref="Q7359" r:id="rId14713" location="" tooltip="" display=""/>
    <hyperlink ref="R7359" r:id="rId14714" location="" tooltip="" display=""/>
    <hyperlink ref="L7360" r:id="rId14715" location="" tooltip="" display=""/>
    <hyperlink ref="R7360" r:id="rId14716" location="" tooltip="" display=""/>
    <hyperlink ref="K7362" r:id="rId14717" location="" tooltip="" display=""/>
    <hyperlink ref="L7362" r:id="rId14718" location="" tooltip="" display=""/>
    <hyperlink ref="Q7362" r:id="rId14719" location="" tooltip="" display=""/>
    <hyperlink ref="R7362" r:id="rId14720" location="" tooltip="" display=""/>
    <hyperlink ref="L7363" r:id="rId14721" location="" tooltip="" display=""/>
    <hyperlink ref="R7363" r:id="rId14722" location="" tooltip="" display=""/>
    <hyperlink ref="K7365" r:id="rId14723" location="" tooltip="" display=""/>
    <hyperlink ref="L7365" r:id="rId14724" location="" tooltip="" display=""/>
    <hyperlink ref="Q7365" r:id="rId14725" location="" tooltip="" display=""/>
    <hyperlink ref="R7365" r:id="rId14726" location="" tooltip="" display=""/>
    <hyperlink ref="L7366" r:id="rId14727" location="" tooltip="" display=""/>
    <hyperlink ref="R7366" r:id="rId14728" location="" tooltip="" display=""/>
    <hyperlink ref="L7368" r:id="rId14729" location="" tooltip="" display=""/>
    <hyperlink ref="R7368" r:id="rId14730" location="" tooltip="" display=""/>
    <hyperlink ref="K7369" r:id="rId14731" location="" tooltip="" display=""/>
    <hyperlink ref="L7369" r:id="rId14732" location="" tooltip="" display=""/>
    <hyperlink ref="Q7369" r:id="rId14733" location="" tooltip="" display=""/>
    <hyperlink ref="R7369" r:id="rId14734" location="" tooltip="" display=""/>
    <hyperlink ref="L7370" r:id="rId14735" location="" tooltip="" display=""/>
    <hyperlink ref="R7370" r:id="rId14736" location="" tooltip="" display=""/>
    <hyperlink ref="L7371" r:id="rId14737" location="" tooltip="" display=""/>
    <hyperlink ref="R7371" r:id="rId14738" location="" tooltip="" display=""/>
    <hyperlink ref="L7373" r:id="rId14739" location="" tooltip="" display=""/>
    <hyperlink ref="R7373" r:id="rId14740" location="" tooltip="" display=""/>
    <hyperlink ref="K7374" r:id="rId14741" location="" tooltip="" display=""/>
    <hyperlink ref="L7374" r:id="rId14742" location="" tooltip="" display=""/>
    <hyperlink ref="Q7374" r:id="rId14743" location="" tooltip="" display=""/>
    <hyperlink ref="R7374" r:id="rId14744" location="" tooltip="" display=""/>
    <hyperlink ref="L7375" r:id="rId14745" location="" tooltip="" display=""/>
    <hyperlink ref="R7375" r:id="rId14746" location="" tooltip="" display=""/>
    <hyperlink ref="L7376" r:id="rId14747" location="" tooltip="" display=""/>
    <hyperlink ref="R7376" r:id="rId14748" location="" tooltip="" display=""/>
    <hyperlink ref="K7378" r:id="rId14749" location="" tooltip="" display=""/>
    <hyperlink ref="L7378" r:id="rId14750" location="" tooltip="" display=""/>
    <hyperlink ref="Q7378" r:id="rId14751" location="" tooltip="" display=""/>
    <hyperlink ref="R7378" r:id="rId14752" location="" tooltip="" display=""/>
    <hyperlink ref="K7380" r:id="rId14753" location="" tooltip="" display=""/>
    <hyperlink ref="L7380" r:id="rId14754" location="" tooltip="" display=""/>
    <hyperlink ref="Q7380" r:id="rId14755" location="" tooltip="" display=""/>
    <hyperlink ref="R7380" r:id="rId14756" location="" tooltip="" display=""/>
    <hyperlink ref="L7381" r:id="rId14757" location="" tooltip="" display=""/>
    <hyperlink ref="R7381" r:id="rId14758" location="" tooltip="" display=""/>
    <hyperlink ref="K7383" r:id="rId14759" location="" tooltip="" display=""/>
    <hyperlink ref="L7383" r:id="rId14760" location="" tooltip="" display=""/>
    <hyperlink ref="Q7383" r:id="rId14761" location="" tooltip="" display=""/>
    <hyperlink ref="R7383" r:id="rId14762" location="" tooltip="" display=""/>
    <hyperlink ref="K7385" r:id="rId14763" location="" tooltip="" display=""/>
    <hyperlink ref="L7385" r:id="rId14764" location="" tooltip="" display=""/>
    <hyperlink ref="Q7385" r:id="rId14765" location="" tooltip="" display=""/>
    <hyperlink ref="R7385" r:id="rId14766" location="" tooltip="" display=""/>
    <hyperlink ref="K7387" r:id="rId14767" location="" tooltip="" display=""/>
    <hyperlink ref="L7387" r:id="rId14768" location="" tooltip="" display=""/>
    <hyperlink ref="Q7387" r:id="rId14769" location="" tooltip="" display=""/>
    <hyperlink ref="R7387" r:id="rId14770" location="" tooltip="" display=""/>
    <hyperlink ref="L7388" r:id="rId14771" location="" tooltip="" display=""/>
    <hyperlink ref="R7388" r:id="rId14772" location="" tooltip="" display=""/>
    <hyperlink ref="L7390" r:id="rId14773" location="" tooltip="" display=""/>
    <hyperlink ref="R7390" r:id="rId14774" location="" tooltip="" display=""/>
    <hyperlink ref="L7391" r:id="rId14775" location="" tooltip="" display=""/>
    <hyperlink ref="R7391" r:id="rId14776" location="" tooltip="" display=""/>
    <hyperlink ref="K7392" r:id="rId14777" location="" tooltip="" display=""/>
    <hyperlink ref="L7392" r:id="rId14778" location="" tooltip="" display=""/>
    <hyperlink ref="Q7392" r:id="rId14779" location="" tooltip="" display=""/>
    <hyperlink ref="R7392" r:id="rId14780" location="" tooltip="" display=""/>
    <hyperlink ref="L7393" r:id="rId14781" location="" tooltip="" display=""/>
    <hyperlink ref="R7393" r:id="rId14782" location="" tooltip="" display=""/>
    <hyperlink ref="L7394" r:id="rId14783" location="" tooltip="" display=""/>
    <hyperlink ref="R7394" r:id="rId14784" location="" tooltip="" display=""/>
    <hyperlink ref="L7395" r:id="rId14785" location="" tooltip="" display=""/>
    <hyperlink ref="R7395" r:id="rId14786" location="" tooltip="" display=""/>
    <hyperlink ref="K7397" r:id="rId14787" location="" tooltip="" display=""/>
    <hyperlink ref="L7397" r:id="rId14788" location="" tooltip="" display=""/>
    <hyperlink ref="Q7397" r:id="rId14789" location="" tooltip="" display=""/>
    <hyperlink ref="R7397" r:id="rId14790" location="" tooltip="" display=""/>
    <hyperlink ref="L7398" r:id="rId14791" location="" tooltip="" display=""/>
    <hyperlink ref="R7398" r:id="rId14792" location="" tooltip="" display=""/>
    <hyperlink ref="K7400" r:id="rId14793" location="" tooltip="" display=""/>
    <hyperlink ref="L7400" r:id="rId14794" location="" tooltip="" display=""/>
    <hyperlink ref="Q7400" r:id="rId14795" location="" tooltip="" display=""/>
    <hyperlink ref="R7400" r:id="rId14796" location="" tooltip="" display=""/>
    <hyperlink ref="L7401" r:id="rId14797" location="" tooltip="" display=""/>
    <hyperlink ref="R7401" r:id="rId14798" location="" tooltip="" display=""/>
    <hyperlink ref="K7403" r:id="rId14799" location="" tooltip="" display=""/>
    <hyperlink ref="L7403" r:id="rId14800" location="" tooltip="" display=""/>
    <hyperlink ref="Q7403" r:id="rId14801" location="" tooltip="" display=""/>
    <hyperlink ref="R7403" r:id="rId14802" location="" tooltip="" display=""/>
    <hyperlink ref="K7405" r:id="rId14803" location="" tooltip="" display=""/>
    <hyperlink ref="L7405" r:id="rId14804" location="" tooltip="" display=""/>
    <hyperlink ref="Q7405" r:id="rId14805" location="" tooltip="" display=""/>
    <hyperlink ref="R7405" r:id="rId14806" location="" tooltip="" display=""/>
    <hyperlink ref="L7406" r:id="rId14807" location="" tooltip="" display=""/>
    <hyperlink ref="R7406" r:id="rId14808" location="" tooltip="" display=""/>
    <hyperlink ref="K7408" r:id="rId14809" location="" tooltip="" display=""/>
    <hyperlink ref="L7408" r:id="rId14810" location="" tooltip="" display=""/>
    <hyperlink ref="Q7408" r:id="rId14811" location="" tooltip="" display=""/>
    <hyperlink ref="R7408" r:id="rId14812" location="" tooltip="" display=""/>
    <hyperlink ref="L7409" r:id="rId14813" location="" tooltip="" display=""/>
    <hyperlink ref="R7409" r:id="rId14814" location="" tooltip="" display=""/>
    <hyperlink ref="L7411" r:id="rId14815" location="" tooltip="" display=""/>
    <hyperlink ref="R7411" r:id="rId14816" location="" tooltip="" display=""/>
    <hyperlink ref="K7412" r:id="rId14817" location="" tooltip="" display=""/>
    <hyperlink ref="L7412" r:id="rId14818" location="" tooltip="" display=""/>
    <hyperlink ref="Q7412" r:id="rId14819" location="" tooltip="" display=""/>
    <hyperlink ref="R7412" r:id="rId14820" location="" tooltip="" display=""/>
    <hyperlink ref="L7413" r:id="rId14821" location="" tooltip="" display=""/>
    <hyperlink ref="R7413" r:id="rId14822" location="" tooltip="" display=""/>
    <hyperlink ref="L7414" r:id="rId14823" location="" tooltip="" display=""/>
    <hyperlink ref="R7414" r:id="rId14824" location="" tooltip="" display=""/>
    <hyperlink ref="K7416" r:id="rId14825" location="" tooltip="" display=""/>
    <hyperlink ref="L7416" r:id="rId14826" location="" tooltip="" display=""/>
    <hyperlink ref="Q7416" r:id="rId14827" location="" tooltip="" display=""/>
    <hyperlink ref="R7416" r:id="rId14828" location="" tooltip="" display=""/>
    <hyperlink ref="L7417" r:id="rId14829" location="" tooltip="" display=""/>
    <hyperlink ref="R7417" r:id="rId14830" location="" tooltip="" display=""/>
    <hyperlink ref="K7419" r:id="rId14831" location="" tooltip="" display=""/>
    <hyperlink ref="L7419" r:id="rId14832" location="" tooltip="" display=""/>
    <hyperlink ref="Q7419" r:id="rId14833" location="" tooltip="" display=""/>
    <hyperlink ref="R7419" r:id="rId14834" location="" tooltip="" display=""/>
    <hyperlink ref="L7420" r:id="rId14835" location="" tooltip="" display=""/>
    <hyperlink ref="R7420" r:id="rId14836" location="" tooltip="" display=""/>
    <hyperlink ref="K7422" r:id="rId14837" location="" tooltip="" display=""/>
    <hyperlink ref="L7422" r:id="rId14838" location="" tooltip="" display=""/>
    <hyperlink ref="Q7422" r:id="rId14839" location="" tooltip="" display=""/>
    <hyperlink ref="R7422" r:id="rId14840" location="" tooltip="" display=""/>
    <hyperlink ref="L7423" r:id="rId14841" location="" tooltip="" display=""/>
    <hyperlink ref="R7423" r:id="rId14842" location="" tooltip="" display=""/>
    <hyperlink ref="L7425" r:id="rId14843" location="" tooltip="" display=""/>
    <hyperlink ref="R7425" r:id="rId14844" location="" tooltip="" display=""/>
    <hyperlink ref="L7426" r:id="rId14845" location="" tooltip="" display=""/>
    <hyperlink ref="R7426" r:id="rId14846" location="" tooltip="" display=""/>
    <hyperlink ref="K7427" r:id="rId14847" location="" tooltip="" display=""/>
    <hyperlink ref="L7427" r:id="rId14848" location="" tooltip="" display=""/>
    <hyperlink ref="Q7427" r:id="rId14849" location="" tooltip="" display=""/>
    <hyperlink ref="R7427" r:id="rId14850" location="" tooltip="" display=""/>
    <hyperlink ref="L7428" r:id="rId14851" location="" tooltip="" display=""/>
    <hyperlink ref="R7428" r:id="rId14852" location="" tooltip="" display=""/>
    <hyperlink ref="L7429" r:id="rId14853" location="" tooltip="" display=""/>
    <hyperlink ref="R7429" r:id="rId14854" location="" tooltip="" display=""/>
    <hyperlink ref="L7430" r:id="rId14855" location="" tooltip="" display=""/>
    <hyperlink ref="R7430" r:id="rId14856" location="" tooltip="" display=""/>
    <hyperlink ref="K7432" r:id="rId14857" location="" tooltip="" display=""/>
    <hyperlink ref="L7432" r:id="rId14858" location="" tooltip="" display=""/>
    <hyperlink ref="Q7432" r:id="rId14859" location="" tooltip="" display=""/>
    <hyperlink ref="R7432" r:id="rId14860" location="" tooltip="" display=""/>
    <hyperlink ref="L7433" r:id="rId14861" location="" tooltip="" display=""/>
    <hyperlink ref="R7433" r:id="rId14862" location="" tooltip="" display=""/>
    <hyperlink ref="K7435" r:id="rId14863" location="" tooltip="" display=""/>
    <hyperlink ref="L7435" r:id="rId14864" location="" tooltip="" display=""/>
    <hyperlink ref="Q7435" r:id="rId14865" location="" tooltip="" display=""/>
    <hyperlink ref="R7435" r:id="rId14866" location="" tooltip="" display=""/>
    <hyperlink ref="L7436" r:id="rId14867" location="" tooltip="" display=""/>
    <hyperlink ref="R7436" r:id="rId14868" location="" tooltip="" display=""/>
    <hyperlink ref="K7438" r:id="rId14869" location="" tooltip="" display=""/>
    <hyperlink ref="L7438" r:id="rId14870" location="" tooltip="" display=""/>
    <hyperlink ref="Q7438" r:id="rId14871" location="" tooltip="" display=""/>
    <hyperlink ref="R7438" r:id="rId14872" location="" tooltip="" display=""/>
    <hyperlink ref="K7440" r:id="rId14873" location="" tooltip="" display=""/>
    <hyperlink ref="L7440" r:id="rId14874" location="" tooltip="" display=""/>
    <hyperlink ref="Q7440" r:id="rId14875" location="" tooltip="" display=""/>
    <hyperlink ref="R7440" r:id="rId14876" location="" tooltip="" display=""/>
    <hyperlink ref="K7442" r:id="rId14877" location="" tooltip="" display=""/>
    <hyperlink ref="L7442" r:id="rId14878" location="" tooltip="" display=""/>
    <hyperlink ref="Q7442" r:id="rId14879" location="" tooltip="" display=""/>
    <hyperlink ref="R7442" r:id="rId14880" location="" tooltip="" display=""/>
    <hyperlink ref="L7443" r:id="rId14881" location="" tooltip="" display=""/>
    <hyperlink ref="R7443" r:id="rId14882" location="" tooltip="" display=""/>
    <hyperlink ref="K7445" r:id="rId14883" location="" tooltip="" display=""/>
    <hyperlink ref="L7445" r:id="rId14884" location="" tooltip="" display=""/>
    <hyperlink ref="Q7445" r:id="rId14885" location="" tooltip="" display=""/>
    <hyperlink ref="R7445" r:id="rId14886" location="" tooltip="" display=""/>
    <hyperlink ref="K7447" r:id="rId14887" location="" tooltip="" display=""/>
    <hyperlink ref="L7447" r:id="rId14888" location="" tooltip="" display=""/>
    <hyperlink ref="Q7447" r:id="rId14889" location="" tooltip="" display=""/>
    <hyperlink ref="R7447" r:id="rId14890" location="" tooltip="" display=""/>
    <hyperlink ref="L7449" r:id="rId14891" location="" tooltip="" display=""/>
    <hyperlink ref="R7449" r:id="rId14892" location="" tooltip="" display=""/>
    <hyperlink ref="K7450" r:id="rId14893" location="" tooltip="" display=""/>
    <hyperlink ref="L7450" r:id="rId14894" location="" tooltip="" display=""/>
    <hyperlink ref="Q7450" r:id="rId14895" location="" tooltip="" display=""/>
    <hyperlink ref="R7450" r:id="rId14896" location="" tooltip="" display=""/>
    <hyperlink ref="L7451" r:id="rId14897" location="" tooltip="" display=""/>
    <hyperlink ref="R7451" r:id="rId14898" location="" tooltip="" display=""/>
    <hyperlink ref="L7452" r:id="rId14899" location="" tooltip="" display=""/>
    <hyperlink ref="R7452" r:id="rId14900" location="" tooltip="" display=""/>
    <hyperlink ref="K7454" r:id="rId14901" location="" tooltip="" display=""/>
    <hyperlink ref="L7454" r:id="rId14902" location="" tooltip="" display=""/>
    <hyperlink ref="Q7454" r:id="rId14903" location="" tooltip="" display=""/>
    <hyperlink ref="R7454" r:id="rId14904" location="" tooltip="" display=""/>
    <hyperlink ref="L7455" r:id="rId14905" location="" tooltip="" display=""/>
    <hyperlink ref="R7455" r:id="rId14906" location="" tooltip="" display=""/>
    <hyperlink ref="K7457" r:id="rId14907" location="" tooltip="" display=""/>
    <hyperlink ref="L7457" r:id="rId14908" location="" tooltip="" display=""/>
    <hyperlink ref="Q7457" r:id="rId14909" location="" tooltip="" display=""/>
    <hyperlink ref="R7457" r:id="rId14910" location="" tooltip="" display=""/>
    <hyperlink ref="K7459" r:id="rId14911" location="" tooltip="" display=""/>
    <hyperlink ref="L7459" r:id="rId14912" location="" tooltip="" display=""/>
    <hyperlink ref="Q7459" r:id="rId14913" location="" tooltip="" display=""/>
    <hyperlink ref="R7459" r:id="rId14914" location="" tooltip="" display=""/>
    <hyperlink ref="K7461" r:id="rId14915" location="" tooltip="" display=""/>
    <hyperlink ref="L7461" r:id="rId14916" location="" tooltip="" display=""/>
    <hyperlink ref="Q7461" r:id="rId14917" location="" tooltip="" display=""/>
    <hyperlink ref="R7461" r:id="rId14918" location="" tooltip="" display=""/>
    <hyperlink ref="L7462" r:id="rId14919" location="" tooltip="" display=""/>
    <hyperlink ref="R7462" r:id="rId14920" location="" tooltip="" display=""/>
    <hyperlink ref="K7464" r:id="rId14921" location="" tooltip="" display=""/>
    <hyperlink ref="L7464" r:id="rId14922" location="" tooltip="" display=""/>
    <hyperlink ref="Q7464" r:id="rId14923" location="" tooltip="" display=""/>
    <hyperlink ref="R7464" r:id="rId14924" location="" tooltip="" display=""/>
    <hyperlink ref="L7465" r:id="rId14925" location="" tooltip="" display=""/>
    <hyperlink ref="R7465" r:id="rId14926" location="" tooltip="" display=""/>
    <hyperlink ref="K7467" r:id="rId14927" location="" tooltip="" display=""/>
    <hyperlink ref="L7467" r:id="rId14928" location="" tooltip="" display=""/>
    <hyperlink ref="Q7467" r:id="rId14929" location="" tooltip="" display=""/>
    <hyperlink ref="R7467" r:id="rId14930" location="" tooltip="" display=""/>
    <hyperlink ref="L7469" r:id="rId14931" location="" tooltip="" display=""/>
    <hyperlink ref="R7469" r:id="rId14932" location="" tooltip="" display=""/>
    <hyperlink ref="K7470" r:id="rId14933" location="" tooltip="" display=""/>
    <hyperlink ref="L7470" r:id="rId14934" location="" tooltip="" display=""/>
    <hyperlink ref="Q7470" r:id="rId14935" location="" tooltip="" display=""/>
    <hyperlink ref="R7470" r:id="rId14936" location="" tooltip="" display=""/>
    <hyperlink ref="L7471" r:id="rId14937" location="" tooltip="" display=""/>
    <hyperlink ref="R7471" r:id="rId14938" location="" tooltip="" display=""/>
    <hyperlink ref="K7473" r:id="rId14939" location="" tooltip="" display=""/>
    <hyperlink ref="L7473" r:id="rId14940" location="" tooltip="" display=""/>
    <hyperlink ref="Q7473" r:id="rId14941" location="" tooltip="" display=""/>
    <hyperlink ref="R7473" r:id="rId14942" location="" tooltip="" display=""/>
    <hyperlink ref="K7475" r:id="rId14943" location="" tooltip="" display=""/>
    <hyperlink ref="L7475" r:id="rId14944" location="" tooltip="" display=""/>
    <hyperlink ref="Q7475" r:id="rId14945" location="" tooltip="" display=""/>
    <hyperlink ref="R7475" r:id="rId14946" location="" tooltip="" display=""/>
    <hyperlink ref="L7476" r:id="rId14947" location="" tooltip="" display=""/>
    <hyperlink ref="R7476" r:id="rId14948" location="" tooltip="" display=""/>
    <hyperlink ref="K7478" r:id="rId14949" location="" tooltip="" display=""/>
    <hyperlink ref="L7478" r:id="rId14950" location="" tooltip="" display=""/>
    <hyperlink ref="Q7478" r:id="rId14951" location="" tooltip="" display=""/>
    <hyperlink ref="R7478" r:id="rId14952" location="" tooltip="" display=""/>
    <hyperlink ref="L7479" r:id="rId14953" location="" tooltip="" display=""/>
    <hyperlink ref="R7479" r:id="rId14954" location="" tooltip="" display=""/>
    <hyperlink ref="K7481" r:id="rId14955" location="" tooltip="" display=""/>
    <hyperlink ref="L7481" r:id="rId14956" location="" tooltip="" display=""/>
    <hyperlink ref="Q7481" r:id="rId14957" location="" tooltip="" display=""/>
    <hyperlink ref="R7481" r:id="rId14958" location="" tooltip="" display=""/>
    <hyperlink ref="L7482" r:id="rId14959" location="" tooltip="" display=""/>
    <hyperlink ref="R7482" r:id="rId14960" location="" tooltip="" display=""/>
    <hyperlink ref="K7484" r:id="rId14961" location="" tooltip="" display=""/>
    <hyperlink ref="L7484" r:id="rId14962" location="" tooltip="" display=""/>
    <hyperlink ref="Q7484" r:id="rId14963" location="" tooltip="" display=""/>
    <hyperlink ref="R7484" r:id="rId14964" location="" tooltip="" display=""/>
    <hyperlink ref="L7485" r:id="rId14965" location="" tooltip="" display=""/>
    <hyperlink ref="R7485" r:id="rId14966" location="" tooltip="" display=""/>
    <hyperlink ref="K7487" r:id="rId14967" location="" tooltip="" display=""/>
    <hyperlink ref="L7487" r:id="rId14968" location="" tooltip="" display=""/>
    <hyperlink ref="Q7487" r:id="rId14969" location="" tooltip="" display=""/>
    <hyperlink ref="R7487" r:id="rId14970" location="" tooltip="" display=""/>
    <hyperlink ref="L7488" r:id="rId14971" location="" tooltip="" display=""/>
    <hyperlink ref="R7488" r:id="rId14972" location="" tooltip="" display=""/>
    <hyperlink ref="L7490" r:id="rId14973" location="" tooltip="" display=""/>
    <hyperlink ref="R7490" r:id="rId14974" location="" tooltip="" display=""/>
    <hyperlink ref="K7491" r:id="rId14975" location="" tooltip="" display=""/>
    <hyperlink ref="L7491" r:id="rId14976" location="" tooltip="" display=""/>
    <hyperlink ref="Q7491" r:id="rId14977" location="" tooltip="" display=""/>
    <hyperlink ref="R7491" r:id="rId14978" location="" tooltip="" display=""/>
    <hyperlink ref="L7492" r:id="rId14979" location="" tooltip="" display=""/>
    <hyperlink ref="R7492" r:id="rId14980" location="" tooltip="" display=""/>
    <hyperlink ref="L7493" r:id="rId14981" location="" tooltip="" display=""/>
    <hyperlink ref="R7493" r:id="rId14982" location="" tooltip="" display=""/>
    <hyperlink ref="L7495" r:id="rId14983" location="" tooltip="" display=""/>
    <hyperlink ref="R7495" r:id="rId14984" location="" tooltip="" display=""/>
    <hyperlink ref="K7496" r:id="rId14985" location="" tooltip="" display=""/>
    <hyperlink ref="L7496" r:id="rId14986" location="" tooltip="" display=""/>
    <hyperlink ref="Q7496" r:id="rId14987" location="" tooltip="" display=""/>
    <hyperlink ref="R7496" r:id="rId14988" location="" tooltip="" display=""/>
    <hyperlink ref="L7497" r:id="rId14989" location="" tooltip="" display=""/>
    <hyperlink ref="R7497" r:id="rId14990" location="" tooltip="" display=""/>
    <hyperlink ref="L7498" r:id="rId14991" location="" tooltip="" display=""/>
    <hyperlink ref="R7498" r:id="rId14992" location="" tooltip="" display=""/>
    <hyperlink ref="K7500" r:id="rId14993" location="" tooltip="" display=""/>
    <hyperlink ref="L7500" r:id="rId14994" location="" tooltip="" display=""/>
    <hyperlink ref="Q7500" r:id="rId14995" location="" tooltip="" display=""/>
    <hyperlink ref="R7500" r:id="rId14996" location="" tooltip="" display=""/>
    <hyperlink ref="K7502" r:id="rId14997" location="" tooltip="" display=""/>
    <hyperlink ref="L7502" r:id="rId14998" location="" tooltip="" display=""/>
    <hyperlink ref="Q7502" r:id="rId14999" location="" tooltip="" display=""/>
    <hyperlink ref="R7502" r:id="rId15000" location="" tooltip="" display=""/>
    <hyperlink ref="K7504" r:id="rId15001" location="" tooltip="" display=""/>
    <hyperlink ref="L7504" r:id="rId15002" location="" tooltip="" display=""/>
    <hyperlink ref="Q7504" r:id="rId15003" location="" tooltip="" display=""/>
    <hyperlink ref="R7504" r:id="rId15004" location="" tooltip="" display=""/>
    <hyperlink ref="L7506" r:id="rId15005" location="" tooltip="" display=""/>
    <hyperlink ref="R7506" r:id="rId15006" location="" tooltip="" display=""/>
    <hyperlink ref="K7507" r:id="rId15007" location="" tooltip="" display=""/>
    <hyperlink ref="L7507" r:id="rId15008" location="" tooltip="" display=""/>
    <hyperlink ref="Q7507" r:id="rId15009" location="" tooltip="" display=""/>
    <hyperlink ref="R7507" r:id="rId15010" location="" tooltip="" display=""/>
    <hyperlink ref="L7508" r:id="rId15011" location="" tooltip="" display=""/>
    <hyperlink ref="R7508" r:id="rId15012" location="" tooltip="" display=""/>
    <hyperlink ref="K7510" r:id="rId15013" location="" tooltip="" display=""/>
    <hyperlink ref="L7510" r:id="rId15014" location="" tooltip="" display=""/>
    <hyperlink ref="Q7510" r:id="rId15015" location="" tooltip="" display=""/>
    <hyperlink ref="R7510" r:id="rId15016" location="" tooltip="" display=""/>
    <hyperlink ref="K7512" r:id="rId15017" location="" tooltip="" display=""/>
    <hyperlink ref="L7512" r:id="rId15018" location="" tooltip="" display=""/>
    <hyperlink ref="Q7512" r:id="rId15019" location="" tooltip="" display=""/>
    <hyperlink ref="R7512" r:id="rId15020" location="" tooltip="" display=""/>
    <hyperlink ref="L7513" r:id="rId15021" location="" tooltip="" display=""/>
    <hyperlink ref="R7513" r:id="rId15022" location="" tooltip="" display=""/>
    <hyperlink ref="K7515" r:id="rId15023" location="" tooltip="" display=""/>
    <hyperlink ref="L7515" r:id="rId15024" location="" tooltip="" display=""/>
    <hyperlink ref="Q7515" r:id="rId15025" location="" tooltip="" display=""/>
    <hyperlink ref="R7515" r:id="rId15026" location="" tooltip="" display=""/>
    <hyperlink ref="L7516" r:id="rId15027" location="" tooltip="" display=""/>
    <hyperlink ref="R7516" r:id="rId15028" location="" tooltip="" display=""/>
    <hyperlink ref="K7518" r:id="rId15029" location="" tooltip="" display=""/>
    <hyperlink ref="L7518" r:id="rId15030" location="" tooltip="" display=""/>
    <hyperlink ref="Q7518" r:id="rId15031" location="" tooltip="" display=""/>
    <hyperlink ref="R7518" r:id="rId15032" location="" tooltip="" display=""/>
    <hyperlink ref="L7519" r:id="rId15033" location="" tooltip="" display=""/>
    <hyperlink ref="R7519" r:id="rId15034" location="" tooltip="" display=""/>
    <hyperlink ref="K7521" r:id="rId15035" location="" tooltip="" display=""/>
    <hyperlink ref="L7521" r:id="rId15036" location="" tooltip="" display=""/>
    <hyperlink ref="Q7521" r:id="rId15037" location="" tooltip="" display=""/>
    <hyperlink ref="R7521" r:id="rId15038" location="" tooltip="" display=""/>
    <hyperlink ref="L7522" r:id="rId15039" location="" tooltip="" display=""/>
    <hyperlink ref="R7522" r:id="rId15040" location="" tooltip="" display=""/>
    <hyperlink ref="K7524" r:id="rId15041" location="" tooltip="" display=""/>
    <hyperlink ref="L7524" r:id="rId15042" location="" tooltip="" display=""/>
    <hyperlink ref="Q7524" r:id="rId15043" location="" tooltip="" display=""/>
    <hyperlink ref="R7524" r:id="rId15044" location="" tooltip="" display=""/>
    <hyperlink ref="L7525" r:id="rId15045" location="" tooltip="" display=""/>
    <hyperlink ref="R7525" r:id="rId15046" location="" tooltip="" display=""/>
    <hyperlink ref="K7527" r:id="rId15047" location="" tooltip="" display=""/>
    <hyperlink ref="L7527" r:id="rId15048" location="" tooltip="" display=""/>
    <hyperlink ref="Q7527" r:id="rId15049" location="" tooltip="" display=""/>
    <hyperlink ref="R7527" r:id="rId15050" location="" tooltip="" display=""/>
    <hyperlink ref="L7528" r:id="rId15051" location="" tooltip="" display=""/>
    <hyperlink ref="R7528" r:id="rId15052" location="" tooltip="" display=""/>
    <hyperlink ref="K7530" r:id="rId15053" location="" tooltip="" display=""/>
    <hyperlink ref="L7530" r:id="rId15054" location="" tooltip="" display=""/>
    <hyperlink ref="Q7530" r:id="rId15055" location="" tooltip="" display=""/>
    <hyperlink ref="R7530" r:id="rId15056" location="" tooltip="" display=""/>
    <hyperlink ref="L7531" r:id="rId15057" location="" tooltip="" display=""/>
    <hyperlink ref="R7531" r:id="rId15058" location="" tooltip="" display=""/>
    <hyperlink ref="K7533" r:id="rId15059" location="" tooltip="" display=""/>
    <hyperlink ref="L7533" r:id="rId15060" location="" tooltip="" display=""/>
    <hyperlink ref="Q7533" r:id="rId15061" location="" tooltip="" display=""/>
    <hyperlink ref="R7533" r:id="rId15062" location="" tooltip="" display=""/>
    <hyperlink ref="K7535" r:id="rId15063" location="" tooltip="" display=""/>
    <hyperlink ref="L7535" r:id="rId15064" location="" tooltip="" display=""/>
    <hyperlink ref="Q7535" r:id="rId15065" location="" tooltip="" display=""/>
    <hyperlink ref="R7535" r:id="rId15066" location="" tooltip="" display=""/>
    <hyperlink ref="K7537" r:id="rId15067" location="" tooltip="" display=""/>
    <hyperlink ref="L7537" r:id="rId15068" location="" tooltip="" display=""/>
    <hyperlink ref="Q7537" r:id="rId15069" location="" tooltip="" display=""/>
    <hyperlink ref="R7537" r:id="rId15070" location="" tooltip="" display=""/>
    <hyperlink ref="K7539" r:id="rId15071" location="" tooltip="" display=""/>
    <hyperlink ref="L7539" r:id="rId15072" location="" tooltip="" display=""/>
    <hyperlink ref="Q7539" r:id="rId15073" location="" tooltip="" display=""/>
    <hyperlink ref="R7539" r:id="rId15074" location="" tooltip="" display=""/>
    <hyperlink ref="L7541" r:id="rId15075" location="" tooltip="" display=""/>
    <hyperlink ref="R7541" r:id="rId15076" location="" tooltip="" display=""/>
    <hyperlink ref="K7542" r:id="rId15077" location="" tooltip="" display=""/>
    <hyperlink ref="L7542" r:id="rId15078" location="" tooltip="" display=""/>
    <hyperlink ref="Q7542" r:id="rId15079" location="" tooltip="" display=""/>
    <hyperlink ref="R7542" r:id="rId15080" location="" tooltip="" display=""/>
    <hyperlink ref="L7543" r:id="rId15081" location="" tooltip="" display=""/>
    <hyperlink ref="R7543" r:id="rId15082" location="" tooltip="" display=""/>
    <hyperlink ref="L7544" r:id="rId15083" location="" tooltip="" display=""/>
    <hyperlink ref="R7544" r:id="rId15084" location="" tooltip="" display=""/>
    <hyperlink ref="K7546" r:id="rId15085" location="" tooltip="" display=""/>
    <hyperlink ref="L7546" r:id="rId15086" location="" tooltip="" display=""/>
    <hyperlink ref="Q7546" r:id="rId15087" location="" tooltip="" display=""/>
    <hyperlink ref="R7546" r:id="rId15088" location="" tooltip="" display=""/>
    <hyperlink ref="K7548" r:id="rId15089" location="" tooltip="" display=""/>
    <hyperlink ref="L7548" r:id="rId15090" location="" tooltip="" display=""/>
    <hyperlink ref="Q7548" r:id="rId15091" location="" tooltip="" display=""/>
    <hyperlink ref="R7548" r:id="rId15092" location="" tooltip="" display=""/>
    <hyperlink ref="L7549" r:id="rId15093" location="" tooltip="" display=""/>
    <hyperlink ref="R7549" r:id="rId15094" location="" tooltip="" display=""/>
    <hyperlink ref="L7551" r:id="rId15095" location="" tooltip="" display=""/>
    <hyperlink ref="R7551" r:id="rId15096" location="" tooltip="" display=""/>
    <hyperlink ref="L7552" r:id="rId15097" location="" tooltip="" display=""/>
    <hyperlink ref="R7552" r:id="rId15098" location="" tooltip="" display=""/>
    <hyperlink ref="K7553" r:id="rId15099" location="" tooltip="" display=""/>
    <hyperlink ref="L7553" r:id="rId15100" location="" tooltip="" display=""/>
    <hyperlink ref="Q7553" r:id="rId15101" location="" tooltip="" display=""/>
    <hyperlink ref="R7553" r:id="rId15102" location="" tooltip="" display=""/>
    <hyperlink ref="L7554" r:id="rId15103" location="" tooltip="" display=""/>
    <hyperlink ref="R7554" r:id="rId15104" location="" tooltip="" display=""/>
    <hyperlink ref="L7555" r:id="rId15105" location="" tooltip="" display=""/>
    <hyperlink ref="R7555" r:id="rId15106" location="" tooltip="" display=""/>
    <hyperlink ref="L7556" r:id="rId15107" location="" tooltip="" display=""/>
    <hyperlink ref="R7556" r:id="rId15108" location="" tooltip="" display=""/>
    <hyperlink ref="K7558" r:id="rId15109" location="" tooltip="" display=""/>
    <hyperlink ref="L7558" r:id="rId15110" location="" tooltip="" display=""/>
    <hyperlink ref="Q7558" r:id="rId15111" location="" tooltip="" display=""/>
    <hyperlink ref="R7558" r:id="rId15112" location="" tooltip="" display=""/>
    <hyperlink ref="L7559" r:id="rId15113" location="" tooltip="" display=""/>
    <hyperlink ref="R7559" r:id="rId15114" location="" tooltip="" display=""/>
    <hyperlink ref="K7561" r:id="rId15115" location="" tooltip="" display=""/>
    <hyperlink ref="L7561" r:id="rId15116" location="" tooltip="" display=""/>
    <hyperlink ref="Q7561" r:id="rId15117" location="" tooltip="" display=""/>
    <hyperlink ref="R7561" r:id="rId15118" location="" tooltip="" display=""/>
    <hyperlink ref="K7563" r:id="rId15119" location="" tooltip="" display=""/>
    <hyperlink ref="L7563" r:id="rId15120" location="" tooltip="" display=""/>
    <hyperlink ref="Q7563" r:id="rId15121" location="" tooltip="" display=""/>
    <hyperlink ref="R7563" r:id="rId15122" location="" tooltip="" display=""/>
    <hyperlink ref="K7565" r:id="rId15123" location="" tooltip="" display=""/>
    <hyperlink ref="L7565" r:id="rId15124" location="" tooltip="" display=""/>
    <hyperlink ref="Q7565" r:id="rId15125" location="" tooltip="" display=""/>
    <hyperlink ref="R7565" r:id="rId15126" location="" tooltip="" display=""/>
    <hyperlink ref="L7566" r:id="rId15127" location="" tooltip="" display=""/>
    <hyperlink ref="R7566" r:id="rId15128" location="" tooltip="" display=""/>
    <hyperlink ref="L7568" r:id="rId15129" location="" tooltip="" display=""/>
    <hyperlink ref="R7568" r:id="rId15130" location="" tooltip="" display=""/>
    <hyperlink ref="K7569" r:id="rId15131" location="" tooltip="" display=""/>
    <hyperlink ref="L7569" r:id="rId15132" location="" tooltip="" display=""/>
    <hyperlink ref="Q7569" r:id="rId15133" location="" tooltip="" display=""/>
    <hyperlink ref="R7569" r:id="rId15134" location="" tooltip="" display=""/>
    <hyperlink ref="L7570" r:id="rId15135" location="" tooltip="" display=""/>
    <hyperlink ref="R7570" r:id="rId15136" location="" tooltip="" display=""/>
    <hyperlink ref="L7571" r:id="rId15137" location="" tooltip="" display=""/>
    <hyperlink ref="R7571" r:id="rId15138" location="" tooltip="" display=""/>
    <hyperlink ref="L7573" r:id="rId15139" location="" tooltip="" display=""/>
    <hyperlink ref="R7573" r:id="rId15140" location="" tooltip="" display=""/>
    <hyperlink ref="K7574" r:id="rId15141" location="" tooltip="" display=""/>
    <hyperlink ref="L7574" r:id="rId15142" location="" tooltip="" display=""/>
    <hyperlink ref="Q7574" r:id="rId15143" location="" tooltip="" display=""/>
    <hyperlink ref="R7574" r:id="rId15144" location="" tooltip="" display=""/>
    <hyperlink ref="L7575" r:id="rId15145" location="" tooltip="" display=""/>
    <hyperlink ref="R7575" r:id="rId15146" location="" tooltip="" display=""/>
    <hyperlink ref="L7576" r:id="rId15147" location="" tooltip="" display=""/>
    <hyperlink ref="R7576" r:id="rId15148" location="" tooltip="" display=""/>
    <hyperlink ref="L7578" r:id="rId15149" location="" tooltip="" display=""/>
    <hyperlink ref="R7578" r:id="rId15150" location="" tooltip="" display=""/>
    <hyperlink ref="K7579" r:id="rId15151" location="" tooltip="" display=""/>
    <hyperlink ref="L7579" r:id="rId15152" location="" tooltip="" display=""/>
    <hyperlink ref="Q7579" r:id="rId15153" location="" tooltip="" display=""/>
    <hyperlink ref="R7579" r:id="rId15154" location="" tooltip="" display=""/>
    <hyperlink ref="L7580" r:id="rId15155" location="" tooltip="" display=""/>
    <hyperlink ref="R7580" r:id="rId15156" location="" tooltip="" display=""/>
    <hyperlink ref="K7582" r:id="rId15157" location="" tooltip="" display=""/>
    <hyperlink ref="L7582" r:id="rId15158" location="" tooltip="" display=""/>
    <hyperlink ref="Q7582" r:id="rId15159" location="" tooltip="" display=""/>
    <hyperlink ref="R7582" r:id="rId15160" location="" tooltip="" display=""/>
    <hyperlink ref="L7583" r:id="rId15161" location="" tooltip="" display=""/>
    <hyperlink ref="R7583" r:id="rId15162" location="" tooltip="" display=""/>
    <hyperlink ref="K7585" r:id="rId15163" location="" tooltip="" display=""/>
    <hyperlink ref="L7585" r:id="rId15164" location="" tooltip="" display=""/>
    <hyperlink ref="Q7585" r:id="rId15165" location="" tooltip="" display=""/>
    <hyperlink ref="R7585" r:id="rId15166" location="" tooltip="" display=""/>
    <hyperlink ref="L7586" r:id="rId15167" location="" tooltip="" display=""/>
    <hyperlink ref="R7586" r:id="rId15168" location="" tooltip="" display=""/>
    <hyperlink ref="K7588" r:id="rId15169" location="" tooltip="" display=""/>
    <hyperlink ref="L7588" r:id="rId15170" location="" tooltip="" display=""/>
    <hyperlink ref="Q7588" r:id="rId15171" location="" tooltip="" display=""/>
    <hyperlink ref="R7588" r:id="rId15172" location="" tooltip="" display=""/>
    <hyperlink ref="L7589" r:id="rId15173" location="" tooltip="" display=""/>
    <hyperlink ref="R7589" r:id="rId15174" location="" tooltip="" display=""/>
    <hyperlink ref="K7591" r:id="rId15175" location="" tooltip="" display=""/>
    <hyperlink ref="L7591" r:id="rId15176" location="" tooltip="" display=""/>
    <hyperlink ref="Q7591" r:id="rId15177" location="" tooltip="" display=""/>
    <hyperlink ref="R7591" r:id="rId15178" location="" tooltip="" display=""/>
    <hyperlink ref="L7592" r:id="rId15179" location="" tooltip="" display=""/>
    <hyperlink ref="R7592" r:id="rId15180" location="" tooltip="" display=""/>
    <hyperlink ref="L7594" r:id="rId15181" location="" tooltip="" display=""/>
    <hyperlink ref="R7594" r:id="rId15182" location="" tooltip="" display=""/>
    <hyperlink ref="L7595" r:id="rId15183" location="" tooltip="" display=""/>
    <hyperlink ref="R7595" r:id="rId15184" location="" tooltip="" display=""/>
    <hyperlink ref="K7596" r:id="rId15185" location="" tooltip="" display=""/>
    <hyperlink ref="L7596" r:id="rId15186" location="" tooltip="" display=""/>
    <hyperlink ref="Q7596" r:id="rId15187" location="" tooltip="" display=""/>
    <hyperlink ref="R7596" r:id="rId15188" location="" tooltip="" display=""/>
    <hyperlink ref="L7597" r:id="rId15189" location="" tooltip="" display=""/>
    <hyperlink ref="R7597" r:id="rId15190" location="" tooltip="" display=""/>
    <hyperlink ref="L7598" r:id="rId15191" location="" tooltip="" display=""/>
    <hyperlink ref="R7598" r:id="rId15192" location="" tooltip="" display=""/>
    <hyperlink ref="L7600" r:id="rId15193" location="" tooltip="" display=""/>
    <hyperlink ref="R7600" r:id="rId15194" location="" tooltip="" display=""/>
    <hyperlink ref="L7601" r:id="rId15195" location="" tooltip="" display=""/>
    <hyperlink ref="R7601" r:id="rId15196" location="" tooltip="" display=""/>
    <hyperlink ref="K7602" r:id="rId15197" location="" tooltip="" display=""/>
    <hyperlink ref="L7602" r:id="rId15198" location="" tooltip="" display=""/>
    <hyperlink ref="Q7602" r:id="rId15199" location="" tooltip="" display=""/>
    <hyperlink ref="R7602" r:id="rId15200" location="" tooltip="" display=""/>
    <hyperlink ref="L7603" r:id="rId15201" location="" tooltip="" display=""/>
    <hyperlink ref="R7603" r:id="rId15202" location="" tooltip="" display=""/>
    <hyperlink ref="L7604" r:id="rId15203" location="" tooltip="" display=""/>
    <hyperlink ref="R7604" r:id="rId15204" location="" tooltip="" display=""/>
    <hyperlink ref="L7605" r:id="rId15205" location="" tooltip="" display=""/>
    <hyperlink ref="R7605" r:id="rId15206" location="" tooltip="" display=""/>
    <hyperlink ref="K7607" r:id="rId15207" location="" tooltip="" display=""/>
    <hyperlink ref="L7607" r:id="rId15208" location="" tooltip="" display=""/>
    <hyperlink ref="Q7607" r:id="rId15209" location="" tooltip="" display=""/>
    <hyperlink ref="R7607" r:id="rId15210" location="" tooltip="" display=""/>
    <hyperlink ref="L7608" r:id="rId15211" location="" tooltip="" display=""/>
    <hyperlink ref="R7608" r:id="rId15212" location="" tooltip="" display=""/>
    <hyperlink ref="K7610" r:id="rId15213" location="" tooltip="" display=""/>
    <hyperlink ref="L7610" r:id="rId15214" location="" tooltip="" display=""/>
    <hyperlink ref="Q7610" r:id="rId15215" location="" tooltip="" display=""/>
    <hyperlink ref="R7610" r:id="rId15216" location="" tooltip="" display=""/>
    <hyperlink ref="L7611" r:id="rId15217" location="" tooltip="" display=""/>
    <hyperlink ref="R7611" r:id="rId15218" location="" tooltip="" display=""/>
    <hyperlink ref="K7613" r:id="rId15219" location="" tooltip="" display=""/>
    <hyperlink ref="L7613" r:id="rId15220" location="" tooltip="" display=""/>
    <hyperlink ref="Q7613" r:id="rId15221" location="" tooltip="" display=""/>
    <hyperlink ref="R7613" r:id="rId15222" location="" tooltip="" display=""/>
    <hyperlink ref="L7614" r:id="rId15223" location="" tooltip="" display=""/>
    <hyperlink ref="R7614" r:id="rId15224" location="" tooltip="" display=""/>
    <hyperlink ref="L7616" r:id="rId15225" location="" tooltip="" display=""/>
    <hyperlink ref="R7616" r:id="rId15226" location="" tooltip="" display=""/>
    <hyperlink ref="L7617" r:id="rId15227" location="" tooltip="" display=""/>
    <hyperlink ref="R7617" r:id="rId15228" location="" tooltip="" display=""/>
    <hyperlink ref="K7618" r:id="rId15229" location="" tooltip="" display=""/>
    <hyperlink ref="L7618" r:id="rId15230" location="" tooltip="" display=""/>
    <hyperlink ref="Q7618" r:id="rId15231" location="" tooltip="" display=""/>
    <hyperlink ref="R7618" r:id="rId15232" location="" tooltip="" display=""/>
    <hyperlink ref="L7619" r:id="rId15233" location="" tooltip="" display=""/>
    <hyperlink ref="R7619" r:id="rId15234" location="" tooltip="" display=""/>
    <hyperlink ref="L7620" r:id="rId15235" location="" tooltip="" display=""/>
    <hyperlink ref="R7620" r:id="rId15236" location="" tooltip="" display=""/>
    <hyperlink ref="K7622" r:id="rId15237" location="" tooltip="" display=""/>
    <hyperlink ref="L7622" r:id="rId15238" location="" tooltip="" display=""/>
    <hyperlink ref="Q7622" r:id="rId15239" location="" tooltip="" display=""/>
    <hyperlink ref="R7622" r:id="rId15240" location="" tooltip="" display=""/>
    <hyperlink ref="L7623" r:id="rId15241" location="" tooltip="" display=""/>
    <hyperlink ref="R7623" r:id="rId15242" location="" tooltip="" display=""/>
    <hyperlink ref="K7625" r:id="rId15243" location="" tooltip="" display=""/>
    <hyperlink ref="L7625" r:id="rId15244" location="" tooltip="" display=""/>
    <hyperlink ref="Q7625" r:id="rId15245" location="" tooltip="" display=""/>
    <hyperlink ref="R7625" r:id="rId15246" location="" tooltip="" display=""/>
    <hyperlink ref="K7627" r:id="rId15247" location="" tooltip="" display=""/>
    <hyperlink ref="L7627" r:id="rId15248" location="" tooltip="" display=""/>
    <hyperlink ref="Q7627" r:id="rId15249" location="" tooltip="" display=""/>
    <hyperlink ref="R7627" r:id="rId15250" location="" tooltip="" display=""/>
    <hyperlink ref="L7629" r:id="rId15251" location="" tooltip="" display=""/>
    <hyperlink ref="R7629" r:id="rId15252" location="" tooltip="" display=""/>
    <hyperlink ref="L7630" r:id="rId15253" location="" tooltip="" display=""/>
    <hyperlink ref="R7630" r:id="rId15254" location="" tooltip="" display=""/>
    <hyperlink ref="K7631" r:id="rId15255" location="" tooltip="" display=""/>
    <hyperlink ref="L7631" r:id="rId15256" location="" tooltip="" display=""/>
    <hyperlink ref="Q7631" r:id="rId15257" location="" tooltip="" display=""/>
    <hyperlink ref="R7631" r:id="rId15258" location="" tooltip="" display=""/>
    <hyperlink ref="L7632" r:id="rId15259" location="" tooltip="" display=""/>
    <hyperlink ref="R7632" r:id="rId15260" location="" tooltip="" display=""/>
    <hyperlink ref="L7633" r:id="rId15261" location="" tooltip="" display=""/>
    <hyperlink ref="R7633" r:id="rId15262" location="" tooltip="" display=""/>
    <hyperlink ref="L7634" r:id="rId15263" location="" tooltip="" display=""/>
    <hyperlink ref="R7634" r:id="rId15264" location="" tooltip="" display=""/>
    <hyperlink ref="L7636" r:id="rId15265" location="" tooltip="" display=""/>
    <hyperlink ref="R7636" r:id="rId15266" location="" tooltip="" display=""/>
    <hyperlink ref="K7637" r:id="rId15267" location="" tooltip="" display=""/>
    <hyperlink ref="L7637" r:id="rId15268" location="" tooltip="" display=""/>
    <hyperlink ref="Q7637" r:id="rId15269" location="" tooltip="" display=""/>
    <hyperlink ref="R7637" r:id="rId15270" location="" tooltip="" display=""/>
    <hyperlink ref="L7638" r:id="rId15271" location="" tooltip="" display=""/>
    <hyperlink ref="R7638" r:id="rId15272" location="" tooltip="" display=""/>
    <hyperlink ref="L7639" r:id="rId15273" location="" tooltip="" display=""/>
    <hyperlink ref="R7639" r:id="rId15274" location="" tooltip="" display=""/>
    <hyperlink ref="K7641" r:id="rId15275" location="" tooltip="" display=""/>
    <hyperlink ref="L7641" r:id="rId15276" location="" tooltip="" display=""/>
    <hyperlink ref="Q7641" r:id="rId15277" location="" tooltip="" display=""/>
    <hyperlink ref="R7641" r:id="rId15278" location="" tooltip="" display=""/>
    <hyperlink ref="K7643" r:id="rId15279" location="" tooltip="" display=""/>
    <hyperlink ref="L7643" r:id="rId15280" location="" tooltip="" display=""/>
    <hyperlink ref="Q7643" r:id="rId15281" location="" tooltip="" display=""/>
    <hyperlink ref="R7643" r:id="rId15282" location="" tooltip="" display=""/>
    <hyperlink ref="K7645" r:id="rId15283" location="" tooltip="" display=""/>
    <hyperlink ref="L7645" r:id="rId15284" location="" tooltip="" display=""/>
    <hyperlink ref="Q7645" r:id="rId15285" location="" tooltip="" display=""/>
    <hyperlink ref="R7645" r:id="rId15286" location="" tooltip="" display=""/>
    <hyperlink ref="L7647" r:id="rId15287" location="" tooltip="" display=""/>
    <hyperlink ref="R7647" r:id="rId15288" location="" tooltip="" display=""/>
    <hyperlink ref="K7648" r:id="rId15289" location="" tooltip="" display=""/>
    <hyperlink ref="L7648" r:id="rId15290" location="" tooltip="" display=""/>
    <hyperlink ref="Q7648" r:id="rId15291" location="" tooltip="" display=""/>
    <hyperlink ref="R7648" r:id="rId15292" location="" tooltip="" display=""/>
    <hyperlink ref="L7649" r:id="rId15293" location="" tooltip="" display=""/>
    <hyperlink ref="R7649" r:id="rId15294" location="" tooltip="" display=""/>
    <hyperlink ref="L7650" r:id="rId15295" location="" tooltip="" display=""/>
    <hyperlink ref="R7650" r:id="rId15296" location="" tooltip="" display=""/>
    <hyperlink ref="L7652" r:id="rId15297" location="" tooltip="" display=""/>
    <hyperlink ref="R7652" r:id="rId15298" location="" tooltip="" display=""/>
    <hyperlink ref="L7653" r:id="rId15299" location="" tooltip="" display=""/>
    <hyperlink ref="R7653" r:id="rId15300" location="" tooltip="" display=""/>
    <hyperlink ref="K7654" r:id="rId15301" location="" tooltip="" display=""/>
    <hyperlink ref="L7654" r:id="rId15302" location="" tooltip="" display=""/>
    <hyperlink ref="Q7654" r:id="rId15303" location="" tooltip="" display=""/>
    <hyperlink ref="R7654" r:id="rId15304" location="" tooltip="" display=""/>
    <hyperlink ref="L7655" r:id="rId15305" location="" tooltip="" display=""/>
    <hyperlink ref="R7655" r:id="rId15306" location="" tooltip="" display=""/>
    <hyperlink ref="L7656" r:id="rId15307" location="" tooltip="" display=""/>
    <hyperlink ref="R7656" r:id="rId15308" location="" tooltip="" display=""/>
    <hyperlink ref="L7657" r:id="rId15309" location="" tooltip="" display=""/>
    <hyperlink ref="R7657" r:id="rId15310" location="" tooltip="" display=""/>
    <hyperlink ref="L7659" r:id="rId15311" location="" tooltip="" display=""/>
    <hyperlink ref="R7659" r:id="rId15312" location="" tooltip="" display=""/>
    <hyperlink ref="K7660" r:id="rId15313" location="" tooltip="" display=""/>
    <hyperlink ref="L7660" r:id="rId15314" location="" tooltip="" display=""/>
    <hyperlink ref="Q7660" r:id="rId15315" location="" tooltip="" display=""/>
    <hyperlink ref="R7660" r:id="rId15316" location="" tooltip="" display=""/>
    <hyperlink ref="L7661" r:id="rId15317" location="" tooltip="" display=""/>
    <hyperlink ref="R7661" r:id="rId15318" location="" tooltip="" display=""/>
    <hyperlink ref="L7662" r:id="rId15319" location="" tooltip="" display=""/>
    <hyperlink ref="R7662" r:id="rId15320" location="" tooltip="" display=""/>
    <hyperlink ref="K7664" r:id="rId15321" location="" tooltip="" display=""/>
    <hyperlink ref="L7664" r:id="rId15322" location="" tooltip="" display=""/>
    <hyperlink ref="Q7664" r:id="rId15323" location="" tooltip="" display=""/>
    <hyperlink ref="R7664" r:id="rId15324" location="" tooltip="" display=""/>
    <hyperlink ref="L7666" r:id="rId15325" location="" tooltip="" display=""/>
    <hyperlink ref="R7666" r:id="rId15326" location="" tooltip="" display=""/>
    <hyperlink ref="K7667" r:id="rId15327" location="" tooltip="" display=""/>
    <hyperlink ref="L7667" r:id="rId15328" location="" tooltip="" display=""/>
    <hyperlink ref="Q7667" r:id="rId15329" location="" tooltip="" display=""/>
    <hyperlink ref="R7667" r:id="rId15330" location="" tooltip="" display=""/>
    <hyperlink ref="L7668" r:id="rId15331" location="" tooltip="" display=""/>
    <hyperlink ref="R7668" r:id="rId15332" location="" tooltip="" display=""/>
    <hyperlink ref="L7669" r:id="rId15333" location="" tooltip="" display=""/>
    <hyperlink ref="R7669" r:id="rId15334" location="" tooltip="" display=""/>
    <hyperlink ref="K7671" r:id="rId15335" location="" tooltip="" display=""/>
    <hyperlink ref="L7671" r:id="rId15336" location="" tooltip="" display=""/>
    <hyperlink ref="Q7671" r:id="rId15337" location="" tooltip="" display=""/>
    <hyperlink ref="R7671" r:id="rId15338" location="" tooltip="" display=""/>
    <hyperlink ref="K7673" r:id="rId15339" location="" tooltip="" display=""/>
    <hyperlink ref="L7673" r:id="rId15340" location="" tooltip="" display=""/>
    <hyperlink ref="Q7673" r:id="rId15341" location="" tooltip="" display=""/>
    <hyperlink ref="R7673" r:id="rId15342" location="" tooltip="" display=""/>
    <hyperlink ref="K7675" r:id="rId15343" location="" tooltip="" display=""/>
    <hyperlink ref="L7675" r:id="rId15344" location="" tooltip="" display=""/>
    <hyperlink ref="Q7675" r:id="rId15345" location="" tooltip="" display=""/>
    <hyperlink ref="R7675" r:id="rId15346" location="" tooltip="" display=""/>
    <hyperlink ref="L7676" r:id="rId15347" location="" tooltip="" display=""/>
    <hyperlink ref="R7676" r:id="rId15348" location="" tooltip="" display=""/>
    <hyperlink ref="K7678" r:id="rId15349" location="" tooltip="" display=""/>
    <hyperlink ref="L7678" r:id="rId15350" location="" tooltip="" display=""/>
    <hyperlink ref="Q7678" r:id="rId15351" location="" tooltip="" display=""/>
    <hyperlink ref="R7678" r:id="rId15352" location="" tooltip="" display=""/>
    <hyperlink ref="L7679" r:id="rId15353" location="" tooltip="" display=""/>
    <hyperlink ref="R7679" r:id="rId15354" location="" tooltip="" display=""/>
    <hyperlink ref="L7681" r:id="rId15355" location="" tooltip="" display=""/>
    <hyperlink ref="R7681" r:id="rId15356" location="" tooltip="" display=""/>
    <hyperlink ref="K7682" r:id="rId15357" location="" tooltip="" display=""/>
    <hyperlink ref="L7682" r:id="rId15358" location="" tooltip="" display=""/>
    <hyperlink ref="Q7682" r:id="rId15359" location="" tooltip="" display=""/>
    <hyperlink ref="R7682" r:id="rId15360" location="" tooltip="" display=""/>
    <hyperlink ref="L7683" r:id="rId15361" location="" tooltip="" display=""/>
    <hyperlink ref="R7683" r:id="rId15362" location="" tooltip="" display=""/>
    <hyperlink ref="L7684" r:id="rId15363" location="" tooltip="" display=""/>
    <hyperlink ref="R7684" r:id="rId15364" location="" tooltip="" display=""/>
    <hyperlink ref="K7686" r:id="rId15365" location="" tooltip="" display=""/>
    <hyperlink ref="L7686" r:id="rId15366" location="" tooltip="" display=""/>
    <hyperlink ref="Q7686" r:id="rId15367" location="" tooltip="" display=""/>
    <hyperlink ref="R7686" r:id="rId15368" location="" tooltip="" display=""/>
    <hyperlink ref="L7687" r:id="rId15369" location="" tooltip="" display=""/>
    <hyperlink ref="R7687" r:id="rId15370" location="" tooltip="" display=""/>
    <hyperlink ref="K7689" r:id="rId15371" location="" tooltip="" display=""/>
    <hyperlink ref="L7689" r:id="rId15372" location="" tooltip="" display=""/>
    <hyperlink ref="Q7689" r:id="rId15373" location="" tooltip="" display=""/>
    <hyperlink ref="R7689" r:id="rId15374" location="" tooltip="" display=""/>
    <hyperlink ref="L7690" r:id="rId15375" location="" tooltip="" display=""/>
    <hyperlink ref="R7690" r:id="rId15376" location="" tooltip="" display=""/>
    <hyperlink ref="K7692" r:id="rId15377" location="" tooltip="" display=""/>
    <hyperlink ref="L7692" r:id="rId15378" location="" tooltip="" display=""/>
    <hyperlink ref="Q7692" r:id="rId15379" location="" tooltip="" display=""/>
    <hyperlink ref="R7692" r:id="rId15380" location="" tooltip="" display=""/>
    <hyperlink ref="L7693" r:id="rId15381" location="" tooltip="" display=""/>
    <hyperlink ref="R7693" r:id="rId15382" location="" tooltip="" display=""/>
    <hyperlink ref="L7695" r:id="rId15383" location="" tooltip="" display=""/>
    <hyperlink ref="R7695" r:id="rId15384" location="" tooltip="" display=""/>
    <hyperlink ref="K7696" r:id="rId15385" location="" tooltip="" display=""/>
    <hyperlink ref="L7696" r:id="rId15386" location="" tooltip="" display=""/>
    <hyperlink ref="Q7696" r:id="rId15387" location="" tooltip="" display=""/>
    <hyperlink ref="R7696" r:id="rId15388" location="" tooltip="" display=""/>
    <hyperlink ref="L7697" r:id="rId15389" location="" tooltip="" display=""/>
    <hyperlink ref="R7697" r:id="rId15390" location="" tooltip="" display=""/>
    <hyperlink ref="L7698" r:id="rId15391" location="" tooltip="" display=""/>
    <hyperlink ref="R7698" r:id="rId15392" location="" tooltip="" display=""/>
    <hyperlink ref="L7700" r:id="rId15393" location="" tooltip="" display=""/>
    <hyperlink ref="R7700" r:id="rId15394" location="" tooltip="" display=""/>
    <hyperlink ref="L7701" r:id="rId15395" location="" tooltip="" display=""/>
    <hyperlink ref="R7701" r:id="rId15396" location="" tooltip="" display=""/>
    <hyperlink ref="K7702" r:id="rId15397" location="" tooltip="" display=""/>
    <hyperlink ref="L7702" r:id="rId15398" location="" tooltip="" display=""/>
    <hyperlink ref="Q7702" r:id="rId15399" location="" tooltip="" display=""/>
    <hyperlink ref="R7702" r:id="rId15400" location="" tooltip="" display=""/>
    <hyperlink ref="L7703" r:id="rId15401" location="" tooltip="" display=""/>
    <hyperlink ref="R7703" r:id="rId15402" location="" tooltip="" display=""/>
    <hyperlink ref="L7704" r:id="rId15403" location="" tooltip="" display=""/>
    <hyperlink ref="R7704" r:id="rId15404" location="" tooltip="" display=""/>
    <hyperlink ref="L7705" r:id="rId15405" location="" tooltip="" display=""/>
    <hyperlink ref="R7705" r:id="rId15406" location="" tooltip="" display=""/>
    <hyperlink ref="L7707" r:id="rId15407" location="" tooltip="" display=""/>
    <hyperlink ref="R7707" r:id="rId15408" location="" tooltip="" display=""/>
    <hyperlink ref="L7708" r:id="rId15409" location="" tooltip="" display=""/>
    <hyperlink ref="R7708" r:id="rId15410" location="" tooltip="" display=""/>
    <hyperlink ref="L7709" r:id="rId15411" location="" tooltip="" display=""/>
    <hyperlink ref="R7709" r:id="rId15412" location="" tooltip="" display=""/>
    <hyperlink ref="K7710" r:id="rId15413" location="" tooltip="" display=""/>
    <hyperlink ref="L7710" r:id="rId15414" location="" tooltip="" display=""/>
    <hyperlink ref="Q7710" r:id="rId15415" location="" tooltip="" display=""/>
    <hyperlink ref="R7710" r:id="rId15416" location="" tooltip="" display=""/>
    <hyperlink ref="L7711" r:id="rId15417" location="" tooltip="" display=""/>
    <hyperlink ref="R7711" r:id="rId15418" location="" tooltip="" display=""/>
    <hyperlink ref="L7712" r:id="rId15419" location="" tooltip="" display=""/>
    <hyperlink ref="R7712" r:id="rId15420" location="" tooltip="" display=""/>
    <hyperlink ref="L7713" r:id="rId15421" location="" tooltip="" display=""/>
    <hyperlink ref="R7713" r:id="rId15422" location="" tooltip="" display=""/>
    <hyperlink ref="K7715" r:id="rId15423" location="" tooltip="" display=""/>
    <hyperlink ref="L7715" r:id="rId15424" location="" tooltip="" display=""/>
    <hyperlink ref="Q7715" r:id="rId15425" location="" tooltip="" display=""/>
    <hyperlink ref="R7715" r:id="rId15426" location="" tooltip="" display=""/>
    <hyperlink ref="L7717" r:id="rId15427" location="" tooltip="" display=""/>
    <hyperlink ref="R7717" r:id="rId15428" location="" tooltip="" display=""/>
    <hyperlink ref="K7718" r:id="rId15429" location="" tooltip="" display=""/>
    <hyperlink ref="L7718" r:id="rId15430" location="" tooltip="" display=""/>
    <hyperlink ref="Q7718" r:id="rId15431" location="" tooltip="" display=""/>
    <hyperlink ref="R7718" r:id="rId15432" location="" tooltip="" display=""/>
    <hyperlink ref="L7719" r:id="rId15433" location="" tooltip="" display=""/>
    <hyperlink ref="R7719" r:id="rId15434" location="" tooltip="" display=""/>
    <hyperlink ref="L7720" r:id="rId15435" location="" tooltip="" display=""/>
    <hyperlink ref="R7720" r:id="rId15436" location="" tooltip="" display=""/>
    <hyperlink ref="L7722" r:id="rId15437" location="" tooltip="" display=""/>
    <hyperlink ref="R7722" r:id="rId15438" location="" tooltip="" display=""/>
    <hyperlink ref="L7723" r:id="rId15439" location="" tooltip="" display=""/>
    <hyperlink ref="R7723" r:id="rId15440" location="" tooltip="" display=""/>
    <hyperlink ref="K7724" r:id="rId15441" location="" tooltip="" display=""/>
    <hyperlink ref="L7724" r:id="rId15442" location="" tooltip="" display=""/>
    <hyperlink ref="Q7724" r:id="rId15443" location="" tooltip="" display=""/>
    <hyperlink ref="R7724" r:id="rId15444" location="" tooltip="" display=""/>
    <hyperlink ref="L7725" r:id="rId15445" location="" tooltip="" display=""/>
    <hyperlink ref="R7725" r:id="rId15446" location="" tooltip="" display=""/>
    <hyperlink ref="L7726" r:id="rId15447" location="" tooltip="" display=""/>
    <hyperlink ref="R7726" r:id="rId15448" location="" tooltip="" display=""/>
    <hyperlink ref="K7728" r:id="rId15449" location="" tooltip="" display=""/>
    <hyperlink ref="L7728" r:id="rId15450" location="" tooltip="" display=""/>
    <hyperlink ref="Q7728" r:id="rId15451" location="" tooltip="" display=""/>
    <hyperlink ref="R7728" r:id="rId15452" location="" tooltip="" display=""/>
    <hyperlink ref="L7729" r:id="rId15453" location="" tooltip="" display=""/>
    <hyperlink ref="R7729" r:id="rId15454" location="" tooltip="" display=""/>
    <hyperlink ref="K7731" r:id="rId15455" location="" tooltip="" display=""/>
    <hyperlink ref="L7731" r:id="rId15456" location="" tooltip="" display=""/>
    <hyperlink ref="Q7731" r:id="rId15457" location="" tooltip="" display=""/>
    <hyperlink ref="R7731" r:id="rId15458" location="" tooltip="" display=""/>
    <hyperlink ref="L7732" r:id="rId15459" location="" tooltip="" display=""/>
    <hyperlink ref="R7732" r:id="rId15460" location="" tooltip="" display=""/>
    <hyperlink ref="K7734" r:id="rId15461" location="" tooltip="" display=""/>
    <hyperlink ref="L7734" r:id="rId15462" location="" tooltip="" display=""/>
    <hyperlink ref="Q7734" r:id="rId15463" location="" tooltip="" display=""/>
    <hyperlink ref="R7734" r:id="rId15464" location="" tooltip="" display=""/>
    <hyperlink ref="L7735" r:id="rId15465" location="" tooltip="" display=""/>
    <hyperlink ref="R7735" r:id="rId15466" location="" tooltip="" display=""/>
    <hyperlink ref="K7737" r:id="rId15467" location="" tooltip="" display=""/>
    <hyperlink ref="L7737" r:id="rId15468" location="" tooltip="" display=""/>
    <hyperlink ref="Q7737" r:id="rId15469" location="" tooltip="" display=""/>
    <hyperlink ref="R7737" r:id="rId15470" location="" tooltip="" display=""/>
    <hyperlink ref="L7738" r:id="rId15471" location="" tooltip="" display=""/>
    <hyperlink ref="R7738" r:id="rId15472" location="" tooltip="" display=""/>
    <hyperlink ref="L7740" r:id="rId15473" location="" tooltip="" display=""/>
    <hyperlink ref="R7740" r:id="rId15474" location="" tooltip="" display=""/>
    <hyperlink ref="K7741" r:id="rId15475" location="" tooltip="" display=""/>
    <hyperlink ref="L7741" r:id="rId15476" location="" tooltip="" display=""/>
    <hyperlink ref="Q7741" r:id="rId15477" location="" tooltip="" display=""/>
    <hyperlink ref="R7741" r:id="rId15478" location="" tooltip="" display=""/>
    <hyperlink ref="L7742" r:id="rId15479" location="" tooltip="" display=""/>
    <hyperlink ref="R7742" r:id="rId15480" location="" tooltip="" display=""/>
    <hyperlink ref="L7743" r:id="rId15481" location="" tooltip="" display=""/>
    <hyperlink ref="R7743" r:id="rId15482" location="" tooltip="" display=""/>
    <hyperlink ref="K7745" r:id="rId15483" location="" tooltip="" display=""/>
    <hyperlink ref="L7745" r:id="rId15484" location="" tooltip="" display=""/>
    <hyperlink ref="Q7745" r:id="rId15485" location="" tooltip="" display=""/>
    <hyperlink ref="R7745" r:id="rId15486" location="" tooltip="" display=""/>
    <hyperlink ref="L7746" r:id="rId15487" location="" tooltip="" display=""/>
    <hyperlink ref="R7746" r:id="rId15488" location="" tooltip="" display=""/>
    <hyperlink ref="L7748" r:id="rId15489" location="" tooltip="" display=""/>
    <hyperlink ref="R7748" r:id="rId15490" location="" tooltip="" display=""/>
    <hyperlink ref="K7749" r:id="rId15491" location="" tooltip="" display=""/>
    <hyperlink ref="L7749" r:id="rId15492" location="" tooltip="" display=""/>
    <hyperlink ref="Q7749" r:id="rId15493" location="" tooltip="" display=""/>
    <hyperlink ref="R7749" r:id="rId15494" location="" tooltip="" display=""/>
    <hyperlink ref="L7750" r:id="rId15495" location="" tooltip="" display=""/>
    <hyperlink ref="R7750" r:id="rId15496" location="" tooltip="" display=""/>
    <hyperlink ref="L7751" r:id="rId15497" location="" tooltip="" display=""/>
    <hyperlink ref="R7751" r:id="rId15498" location="" tooltip="" display=""/>
    <hyperlink ref="L7753" r:id="rId15499" location="" tooltip="" display=""/>
    <hyperlink ref="R7753" r:id="rId15500" location="" tooltip="" display=""/>
    <hyperlink ref="K7754" r:id="rId15501" location="" tooltip="" display=""/>
    <hyperlink ref="L7754" r:id="rId15502" location="" tooltip="" display=""/>
    <hyperlink ref="Q7754" r:id="rId15503" location="" tooltip="" display=""/>
    <hyperlink ref="R7754" r:id="rId15504" location="" tooltip="" display=""/>
    <hyperlink ref="L7755" r:id="rId15505" location="" tooltip="" display=""/>
    <hyperlink ref="R7755" r:id="rId15506" location="" tooltip="" display=""/>
    <hyperlink ref="L7756" r:id="rId15507" location="" tooltip="" display=""/>
    <hyperlink ref="R7756" r:id="rId15508" location="" tooltip="" display=""/>
    <hyperlink ref="K7758" r:id="rId15509" location="" tooltip="" display=""/>
    <hyperlink ref="L7758" r:id="rId15510" location="" tooltip="" display=""/>
    <hyperlink ref="Q7758" r:id="rId15511" location="" tooltip="" display=""/>
    <hyperlink ref="R7758" r:id="rId15512" location="" tooltip="" display=""/>
    <hyperlink ref="L7759" r:id="rId15513" location="" tooltip="" display=""/>
    <hyperlink ref="R7759" r:id="rId15514" location="" tooltip="" display=""/>
    <hyperlink ref="K7761" r:id="rId15515" location="" tooltip="" display=""/>
    <hyperlink ref="L7761" r:id="rId15516" location="" tooltip="" display=""/>
    <hyperlink ref="Q7761" r:id="rId15517" location="" tooltip="" display=""/>
    <hyperlink ref="R7761" r:id="rId15518" location="" tooltip="" display=""/>
    <hyperlink ref="L7762" r:id="rId15519" location="" tooltip="" display=""/>
    <hyperlink ref="R7762" r:id="rId15520" location="" tooltip="" display=""/>
    <hyperlink ref="K7764" r:id="rId15521" location="" tooltip="" display=""/>
    <hyperlink ref="L7764" r:id="rId15522" location="" tooltip="" display=""/>
    <hyperlink ref="Q7764" r:id="rId15523" location="" tooltip="" display=""/>
    <hyperlink ref="R7764" r:id="rId15524" location="" tooltip="" display=""/>
    <hyperlink ref="K7766" r:id="rId15525" location="" tooltip="" display=""/>
    <hyperlink ref="L7766" r:id="rId15526" location="" tooltip="" display=""/>
    <hyperlink ref="Q7766" r:id="rId15527" location="" tooltip="" display=""/>
    <hyperlink ref="R7766" r:id="rId15528" location="" tooltip="" display=""/>
    <hyperlink ref="L7768" r:id="rId15529" location="" tooltip="" display=""/>
    <hyperlink ref="R7768" r:id="rId15530" location="" tooltip="" display=""/>
    <hyperlink ref="L7769" r:id="rId15531" location="" tooltip="" display=""/>
    <hyperlink ref="R7769" r:id="rId15532" location="" tooltip="" display=""/>
    <hyperlink ref="K7770" r:id="rId15533" location="" tooltip="" display=""/>
    <hyperlink ref="L7770" r:id="rId15534" location="" tooltip="" display=""/>
    <hyperlink ref="Q7770" r:id="rId15535" location="" tooltip="" display=""/>
    <hyperlink ref="R7770" r:id="rId15536" location="" tooltip="" display=""/>
    <hyperlink ref="L7771" r:id="rId15537" location="" tooltip="" display=""/>
    <hyperlink ref="R7771" r:id="rId15538" location="" tooltip="" display=""/>
    <hyperlink ref="L7772" r:id="rId15539" location="" tooltip="" display=""/>
    <hyperlink ref="R7772" r:id="rId15540" location="" tooltip="" display=""/>
    <hyperlink ref="L7773" r:id="rId15541" location="" tooltip="" display=""/>
    <hyperlink ref="R7773" r:id="rId15542" location="" tooltip="" display=""/>
    <hyperlink ref="K7775" r:id="rId15543" location="" tooltip="" display=""/>
    <hyperlink ref="L7775" r:id="rId15544" location="" tooltip="" display=""/>
    <hyperlink ref="Q7775" r:id="rId15545" location="" tooltip="" display=""/>
    <hyperlink ref="R7775" r:id="rId15546" location="" tooltip="" display=""/>
    <hyperlink ref="L7777" r:id="rId15547" location="" tooltip="" display=""/>
    <hyperlink ref="R7777" r:id="rId15548" location="" tooltip="" display=""/>
    <hyperlink ref="K7778" r:id="rId15549" location="" tooltip="" display=""/>
    <hyperlink ref="L7778" r:id="rId15550" location="" tooltip="" display=""/>
    <hyperlink ref="Q7778" r:id="rId15551" location="" tooltip="" display=""/>
    <hyperlink ref="R7778" r:id="rId15552" location="" tooltip="" display=""/>
    <hyperlink ref="L7779" r:id="rId15553" location="" tooltip="" display=""/>
    <hyperlink ref="R7779" r:id="rId15554" location="" tooltip="" display=""/>
    <hyperlink ref="K7781" r:id="rId15555" location="" tooltip="" display=""/>
    <hyperlink ref="L7781" r:id="rId15556" location="" tooltip="" display=""/>
    <hyperlink ref="Q7781" r:id="rId15557" location="" tooltip="" display=""/>
    <hyperlink ref="R7781" r:id="rId15558" location="" tooltip="" display=""/>
    <hyperlink ref="L7782" r:id="rId15559" location="" tooltip="" display=""/>
    <hyperlink ref="R7782" r:id="rId15560" location="" tooltip="" display=""/>
    <hyperlink ref="K7784" r:id="rId15561" location="" tooltip="" display=""/>
    <hyperlink ref="L7784" r:id="rId15562" location="" tooltip="" display=""/>
    <hyperlink ref="Q7784" r:id="rId15563" location="" tooltip="" display=""/>
    <hyperlink ref="R7784" r:id="rId15564" location="" tooltip="" display=""/>
    <hyperlink ref="K7786" r:id="rId15565" location="" tooltip="" display=""/>
    <hyperlink ref="L7786" r:id="rId15566" location="" tooltip="" display=""/>
    <hyperlink ref="Q7786" r:id="rId15567" location="" tooltip="" display=""/>
    <hyperlink ref="R7786" r:id="rId15568" location="" tooltip="" display=""/>
    <hyperlink ref="K7788" r:id="rId15569" location="" tooltip="" display=""/>
    <hyperlink ref="L7788" r:id="rId15570" location="" tooltip="" display=""/>
    <hyperlink ref="Q7788" r:id="rId15571" location="" tooltip="" display=""/>
    <hyperlink ref="R7788" r:id="rId15572" location="" tooltip="" display=""/>
    <hyperlink ref="L7789" r:id="rId15573" location="" tooltip="" display=""/>
    <hyperlink ref="R7789" r:id="rId15574" location="" tooltip="" display=""/>
    <hyperlink ref="K7791" r:id="rId15575" location="" tooltip="" display=""/>
    <hyperlink ref="L7791" r:id="rId15576" location="" tooltip="" display=""/>
    <hyperlink ref="Q7791" r:id="rId15577" location="" tooltip="" display=""/>
    <hyperlink ref="R7791" r:id="rId15578" location="" tooltip="" display=""/>
    <hyperlink ref="L7792" r:id="rId15579" location="" tooltip="" display=""/>
    <hyperlink ref="R7792" r:id="rId15580" location="" tooltip="" display=""/>
    <hyperlink ref="K7794" r:id="rId15581" location="" tooltip="" display=""/>
    <hyperlink ref="L7794" r:id="rId15582" location="" tooltip="" display=""/>
    <hyperlink ref="Q7794" r:id="rId15583" location="" tooltip="" display=""/>
    <hyperlink ref="R7794" r:id="rId15584" location="" tooltip="" display=""/>
    <hyperlink ref="L7795" r:id="rId15585" location="" tooltip="" display=""/>
    <hyperlink ref="R7795" r:id="rId15586" location="" tooltip="" display=""/>
    <hyperlink ref="K7797" r:id="rId15587" location="" tooltip="" display=""/>
    <hyperlink ref="L7797" r:id="rId15588" location="" tooltip="" display=""/>
    <hyperlink ref="Q7797" r:id="rId15589" location="" tooltip="" display=""/>
    <hyperlink ref="R7797" r:id="rId15590" location="" tooltip="" display=""/>
    <hyperlink ref="K7799" r:id="rId15591" location="" tooltip="" display=""/>
    <hyperlink ref="L7799" r:id="rId15592" location="" tooltip="" display=""/>
    <hyperlink ref="Q7799" r:id="rId15593" location="" tooltip="" display=""/>
    <hyperlink ref="R7799" r:id="rId15594" location="" tooltip="" display=""/>
    <hyperlink ref="L7801" r:id="rId15595" location="" tooltip="" display=""/>
    <hyperlink ref="R7801" r:id="rId15596" location="" tooltip="" display=""/>
    <hyperlink ref="K7802" r:id="rId15597" location="" tooltip="" display=""/>
    <hyperlink ref="L7802" r:id="rId15598" location="" tooltip="" display=""/>
    <hyperlink ref="Q7802" r:id="rId15599" location="" tooltip="" display=""/>
    <hyperlink ref="R7802" r:id="rId15600" location="" tooltip="" display=""/>
    <hyperlink ref="L7803" r:id="rId15601" location="" tooltip="" display=""/>
    <hyperlink ref="R7803" r:id="rId15602" location="" tooltip="" display=""/>
    <hyperlink ref="K7805" r:id="rId15603" location="" tooltip="" display=""/>
    <hyperlink ref="L7805" r:id="rId15604" location="" tooltip="" display=""/>
    <hyperlink ref="Q7805" r:id="rId15605" location="" tooltip="" display=""/>
    <hyperlink ref="R7805" r:id="rId15606" location="" tooltip="" display=""/>
    <hyperlink ref="L7806" r:id="rId15607" location="" tooltip="" display=""/>
    <hyperlink ref="R7806" r:id="rId15608" location="" tooltip="" display=""/>
    <hyperlink ref="L7808" r:id="rId15609" location="" tooltip="" display=""/>
    <hyperlink ref="R7808" r:id="rId15610" location="" tooltip="" display=""/>
    <hyperlink ref="K7809" r:id="rId15611" location="" tooltip="" display=""/>
    <hyperlink ref="L7809" r:id="rId15612" location="" tooltip="" display=""/>
    <hyperlink ref="Q7809" r:id="rId15613" location="" tooltip="" display=""/>
    <hyperlink ref="R7809" r:id="rId15614" location="" tooltip="" display=""/>
    <hyperlink ref="L7810" r:id="rId15615" location="" tooltip="" display=""/>
    <hyperlink ref="R7810" r:id="rId15616" location="" tooltip="" display=""/>
    <hyperlink ref="L7812" r:id="rId15617" location="" tooltip="" display=""/>
    <hyperlink ref="R7812" r:id="rId15618" location="" tooltip="" display=""/>
    <hyperlink ref="K7813" r:id="rId15619" location="" tooltip="" display=""/>
    <hyperlink ref="L7813" r:id="rId15620" location="" tooltip="" display=""/>
    <hyperlink ref="Q7813" r:id="rId15621" location="" tooltip="" display=""/>
    <hyperlink ref="R7813" r:id="rId15622" location="" tooltip="" display=""/>
    <hyperlink ref="L7814" r:id="rId15623" location="" tooltip="" display=""/>
    <hyperlink ref="R7814" r:id="rId15624" location="" tooltip="" display=""/>
    <hyperlink ref="L7815" r:id="rId15625" location="" tooltip="" display=""/>
    <hyperlink ref="R7815" r:id="rId15626" location="" tooltip="" display=""/>
    <hyperlink ref="K7817" r:id="rId15627" location="" tooltip="" display=""/>
    <hyperlink ref="L7817" r:id="rId15628" location="" tooltip="" display=""/>
    <hyperlink ref="Q7817" r:id="rId15629" location="" tooltip="" display=""/>
    <hyperlink ref="R7817" r:id="rId15630" location="" tooltip="" display=""/>
    <hyperlink ref="L7818" r:id="rId15631" location="" tooltip="" display=""/>
    <hyperlink ref="R7818" r:id="rId15632" location="" tooltip="" display=""/>
    <hyperlink ref="K7820" r:id="rId15633" location="" tooltip="" display=""/>
    <hyperlink ref="L7820" r:id="rId15634" location="" tooltip="" display=""/>
    <hyperlink ref="Q7820" r:id="rId15635" location="" tooltip="" display=""/>
    <hyperlink ref="R7820" r:id="rId15636" location="" tooltip="" display=""/>
    <hyperlink ref="L7821" r:id="rId15637" location="" tooltip="" display=""/>
    <hyperlink ref="R7821" r:id="rId15638" location="" tooltip="" display=""/>
    <hyperlink ref="K7823" r:id="rId15639" location="" tooltip="" display=""/>
    <hyperlink ref="L7823" r:id="rId15640" location="" tooltip="" display=""/>
    <hyperlink ref="Q7823" r:id="rId15641" location="" tooltip="" display=""/>
    <hyperlink ref="R7823" r:id="rId15642" location="" tooltip="" display=""/>
    <hyperlink ref="L7824" r:id="rId15643" location="" tooltip="" display=""/>
    <hyperlink ref="R7824" r:id="rId15644" location="" tooltip="" display=""/>
    <hyperlink ref="K7826" r:id="rId15645" location="" tooltip="" display=""/>
    <hyperlink ref="L7826" r:id="rId15646" location="" tooltip="" display=""/>
    <hyperlink ref="Q7826" r:id="rId15647" location="" tooltip="" display=""/>
    <hyperlink ref="R7826" r:id="rId15648" location="" tooltip="" display=""/>
    <hyperlink ref="K7828" r:id="rId15649" location="" tooltip="" display=""/>
    <hyperlink ref="L7828" r:id="rId15650" location="" tooltip="" display=""/>
    <hyperlink ref="Q7828" r:id="rId15651" location="" tooltip="" display=""/>
    <hyperlink ref="R7828" r:id="rId15652" location="" tooltip="" display=""/>
    <hyperlink ref="L7829" r:id="rId15653" location="" tooltip="" display=""/>
    <hyperlink ref="R7829" r:id="rId15654" location="" tooltip="" display=""/>
    <hyperlink ref="K7831" r:id="rId15655" location="" tooltip="" display=""/>
    <hyperlink ref="L7831" r:id="rId15656" location="" tooltip="" display=""/>
    <hyperlink ref="Q7831" r:id="rId15657" location="" tooltip="" display=""/>
    <hyperlink ref="R7831" r:id="rId15658" location="" tooltip="" display=""/>
    <hyperlink ref="K7833" r:id="rId15659" location="" tooltip="" display=""/>
    <hyperlink ref="L7833" r:id="rId15660" location="" tooltip="" display=""/>
    <hyperlink ref="Q7833" r:id="rId15661" location="" tooltip="" display=""/>
    <hyperlink ref="R7833" r:id="rId15662" location="" tooltip="" display=""/>
    <hyperlink ref="L7834" r:id="rId15663" location="" tooltip="" display=""/>
    <hyperlink ref="R7834" r:id="rId15664" location="" tooltip="" display=""/>
    <hyperlink ref="L7836" r:id="rId15665" location="" tooltip="" display=""/>
    <hyperlink ref="R7836" r:id="rId15666" location="" tooltip="" display=""/>
    <hyperlink ref="K7837" r:id="rId15667" location="" tooltip="" display=""/>
    <hyperlink ref="L7837" r:id="rId15668" location="" tooltip="" display=""/>
    <hyperlink ref="Q7837" r:id="rId15669" location="" tooltip="" display=""/>
    <hyperlink ref="R7837" r:id="rId15670" location="" tooltip="" display=""/>
    <hyperlink ref="L7838" r:id="rId15671" location="" tooltip="" display=""/>
    <hyperlink ref="R7838" r:id="rId15672" location="" tooltip="" display=""/>
    <hyperlink ref="L7840" r:id="rId15673" location="" tooltip="" display=""/>
    <hyperlink ref="R7840" r:id="rId15674" location="" tooltip="" display=""/>
    <hyperlink ref="K7841" r:id="rId15675" location="" tooltip="" display=""/>
    <hyperlink ref="L7841" r:id="rId15676" location="" tooltip="" display=""/>
    <hyperlink ref="Q7841" r:id="rId15677" location="" tooltip="" display=""/>
    <hyperlink ref="R7841" r:id="rId15678" location="" tooltip="" display=""/>
    <hyperlink ref="L7842" r:id="rId15679" location="" tooltip="" display=""/>
    <hyperlink ref="R7842" r:id="rId15680" location="" tooltip="" display=""/>
    <hyperlink ref="K7844" r:id="rId15681" location="" tooltip="" display=""/>
    <hyperlink ref="L7844" r:id="rId15682" location="" tooltip="" display=""/>
    <hyperlink ref="Q7844" r:id="rId15683" location="" tooltip="" display=""/>
    <hyperlink ref="R7844" r:id="rId15684" location="" tooltip="" display=""/>
    <hyperlink ref="L7845" r:id="rId15685" location="" tooltip="" display=""/>
    <hyperlink ref="R7845" r:id="rId15686" location="" tooltip="" display=""/>
    <hyperlink ref="K7847" r:id="rId15687" location="" tooltip="" display=""/>
    <hyperlink ref="L7847" r:id="rId15688" location="" tooltip="" display=""/>
    <hyperlink ref="Q7847" r:id="rId15689" location="" tooltip="" display=""/>
    <hyperlink ref="R7847" r:id="rId15690" location="" tooltip="" display=""/>
    <hyperlink ref="L7848" r:id="rId15691" location="" tooltip="" display=""/>
    <hyperlink ref="R7848" r:id="rId15692" location="" tooltip="" display=""/>
    <hyperlink ref="K7850" r:id="rId15693" location="" tooltip="" display=""/>
    <hyperlink ref="L7850" r:id="rId15694" location="" tooltip="" display=""/>
    <hyperlink ref="Q7850" r:id="rId15695" location="" tooltip="" display=""/>
    <hyperlink ref="R7850" r:id="rId15696" location="" tooltip="" display=""/>
    <hyperlink ref="L7851" r:id="rId15697" location="" tooltip="" display=""/>
    <hyperlink ref="R7851" r:id="rId15698" location="" tooltip="" display=""/>
    <hyperlink ref="K7853" r:id="rId15699" location="" tooltip="" display=""/>
    <hyperlink ref="L7853" r:id="rId15700" location="" tooltip="" display=""/>
    <hyperlink ref="Q7853" r:id="rId15701" location="" tooltip="" display=""/>
    <hyperlink ref="R7853" r:id="rId15702" location="" tooltip="" display=""/>
    <hyperlink ref="L7854" r:id="rId15703" location="" tooltip="" display=""/>
    <hyperlink ref="R7854" r:id="rId15704" location="" tooltip="" display=""/>
    <hyperlink ref="K7856" r:id="rId15705" location="" tooltip="" display=""/>
    <hyperlink ref="L7856" r:id="rId15706" location="" tooltip="" display=""/>
    <hyperlink ref="Q7856" r:id="rId15707" location="" tooltip="" display=""/>
    <hyperlink ref="R7856" r:id="rId15708" location="" tooltip="" display=""/>
    <hyperlink ref="K7858" r:id="rId15709" location="" tooltip="" display=""/>
    <hyperlink ref="L7858" r:id="rId15710" location="" tooltip="" display=""/>
    <hyperlink ref="Q7858" r:id="rId15711" location="" tooltip="" display=""/>
    <hyperlink ref="R7858" r:id="rId15712" location="" tooltip="" display=""/>
    <hyperlink ref="L7860" r:id="rId15713" location="" tooltip="" display=""/>
    <hyperlink ref="R7860" r:id="rId15714" location="" tooltip="" display=""/>
    <hyperlink ref="K7861" r:id="rId15715" location="" tooltip="" display=""/>
    <hyperlink ref="L7861" r:id="rId15716" location="" tooltip="" display=""/>
    <hyperlink ref="Q7861" r:id="rId15717" location="" tooltip="" display=""/>
    <hyperlink ref="R7861" r:id="rId15718" location="" tooltip="" display=""/>
    <hyperlink ref="L7862" r:id="rId15719" location="" tooltip="" display=""/>
    <hyperlink ref="R7862" r:id="rId15720" location="" tooltip="" display=""/>
    <hyperlink ref="K7864" r:id="rId15721" location="" tooltip="" display=""/>
    <hyperlink ref="L7864" r:id="rId15722" location="" tooltip="" display=""/>
    <hyperlink ref="Q7864" r:id="rId15723" location="" tooltip="" display=""/>
    <hyperlink ref="R7864" r:id="rId15724" location="" tooltip="" display=""/>
    <hyperlink ref="L7865" r:id="rId15725" location="" tooltip="" display=""/>
    <hyperlink ref="R7865" r:id="rId15726" location="" tooltip="" display=""/>
    <hyperlink ref="K7867" r:id="rId15727" location="" tooltip="" display=""/>
    <hyperlink ref="L7867" r:id="rId15728" location="" tooltip="" display=""/>
    <hyperlink ref="Q7867" r:id="rId15729" location="" tooltip="" display=""/>
    <hyperlink ref="R7867" r:id="rId15730" location="" tooltip="" display=""/>
    <hyperlink ref="L7868" r:id="rId15731" location="" tooltip="" display=""/>
    <hyperlink ref="R7868" r:id="rId15732" location="" tooltip="" display=""/>
    <hyperlink ref="L7870" r:id="rId15733" location="" tooltip="" display=""/>
    <hyperlink ref="R7870" r:id="rId15734" location="" tooltip="" display=""/>
    <hyperlink ref="K7871" r:id="rId15735" location="" tooltip="" display=""/>
    <hyperlink ref="L7871" r:id="rId15736" location="" tooltip="" display=""/>
    <hyperlink ref="Q7871" r:id="rId15737" location="" tooltip="" display=""/>
    <hyperlink ref="R7871" r:id="rId15738" location="" tooltip="" display=""/>
    <hyperlink ref="L7872" r:id="rId15739" location="" tooltip="" display=""/>
    <hyperlink ref="R7872" r:id="rId15740" location="" tooltip="" display=""/>
    <hyperlink ref="L7873" r:id="rId15741" location="" tooltip="" display=""/>
    <hyperlink ref="R7873" r:id="rId15742" location="" tooltip="" display=""/>
    <hyperlink ref="K7875" r:id="rId15743" location="" tooltip="" display=""/>
    <hyperlink ref="L7875" r:id="rId15744" location="" tooltip="" display=""/>
    <hyperlink ref="Q7875" r:id="rId15745" location="" tooltip="" display=""/>
    <hyperlink ref="R7875" r:id="rId15746" location="" tooltip="" display=""/>
    <hyperlink ref="L7876" r:id="rId15747" location="" tooltip="" display=""/>
    <hyperlink ref="R7876" r:id="rId15748" location="" tooltip="" display=""/>
    <hyperlink ref="K7878" r:id="rId15749" location="" tooltip="" display=""/>
    <hyperlink ref="L7878" r:id="rId15750" location="" tooltip="" display=""/>
    <hyperlink ref="Q7878" r:id="rId15751" location="" tooltip="" display=""/>
    <hyperlink ref="R7878" r:id="rId15752" location="" tooltip="" display=""/>
    <hyperlink ref="L7879" r:id="rId15753" location="" tooltip="" display=""/>
    <hyperlink ref="R7879" r:id="rId15754" location="" tooltip="" display=""/>
    <hyperlink ref="K7881" r:id="rId15755" location="" tooltip="" display=""/>
    <hyperlink ref="L7881" r:id="rId15756" location="" tooltip="" display=""/>
    <hyperlink ref="Q7881" r:id="rId15757" location="" tooltip="" display=""/>
    <hyperlink ref="R7881" r:id="rId15758" location="" tooltip="" display=""/>
    <hyperlink ref="L7882" r:id="rId15759" location="" tooltip="" display=""/>
    <hyperlink ref="R7882" r:id="rId15760" location="" tooltip="" display=""/>
    <hyperlink ref="K7884" r:id="rId15761" location="" tooltip="" display=""/>
    <hyperlink ref="L7884" r:id="rId15762" location="" tooltip="" display=""/>
    <hyperlink ref="Q7884" r:id="rId15763" location="" tooltip="" display=""/>
    <hyperlink ref="R7884" r:id="rId15764" location="" tooltip="" display=""/>
    <hyperlink ref="L7885" r:id="rId15765" location="" tooltip="" display=""/>
    <hyperlink ref="R7885" r:id="rId15766" location="" tooltip="" display=""/>
    <hyperlink ref="L7887" r:id="rId15767" location="" tooltip="" display=""/>
    <hyperlink ref="R7887" r:id="rId15768" location="" tooltip="" display=""/>
    <hyperlink ref="K7888" r:id="rId15769" location="" tooltip="" display=""/>
    <hyperlink ref="L7888" r:id="rId15770" location="" tooltip="" display=""/>
    <hyperlink ref="Q7888" r:id="rId15771" location="" tooltip="" display=""/>
    <hyperlink ref="R7888" r:id="rId15772" location="" tooltip="" display=""/>
    <hyperlink ref="L7889" r:id="rId15773" location="" tooltip="" display=""/>
    <hyperlink ref="R7889" r:id="rId15774" location="" tooltip="" display=""/>
    <hyperlink ref="L7890" r:id="rId15775" location="" tooltip="" display=""/>
    <hyperlink ref="R7890" r:id="rId15776" location="" tooltip="" display=""/>
    <hyperlink ref="L7892" r:id="rId15777" location="" tooltip="" display=""/>
    <hyperlink ref="R7892" r:id="rId15778" location="" tooltip="" display=""/>
    <hyperlink ref="K7893" r:id="rId15779" location="" tooltip="" display=""/>
    <hyperlink ref="L7893" r:id="rId15780" location="" tooltip="" display=""/>
    <hyperlink ref="Q7893" r:id="rId15781" location="" tooltip="" display=""/>
    <hyperlink ref="R7893" r:id="rId15782" location="" tooltip="" display=""/>
    <hyperlink ref="L7894" r:id="rId15783" location="" tooltip="" display=""/>
    <hyperlink ref="R7894" r:id="rId15784" location="" tooltip="" display=""/>
    <hyperlink ref="L7895" r:id="rId15785" location="" tooltip="" display=""/>
    <hyperlink ref="R7895" r:id="rId15786" location="" tooltip="" display=""/>
    <hyperlink ref="L7897" r:id="rId15787" location="" tooltip="" display=""/>
    <hyperlink ref="R7897" r:id="rId15788" location="" tooltip="" display=""/>
    <hyperlink ref="K7898" r:id="rId15789" location="" tooltip="" display=""/>
    <hyperlink ref="L7898" r:id="rId15790" location="" tooltip="" display=""/>
    <hyperlink ref="Q7898" r:id="rId15791" location="" tooltip="" display=""/>
    <hyperlink ref="R7898" r:id="rId15792" location="" tooltip="" display=""/>
    <hyperlink ref="L7899" r:id="rId15793" location="" tooltip="" display=""/>
    <hyperlink ref="R7899" r:id="rId15794" location="" tooltip="" display=""/>
    <hyperlink ref="K7901" r:id="rId15795" location="" tooltip="" display=""/>
    <hyperlink ref="L7901" r:id="rId15796" location="" tooltip="" display=""/>
    <hyperlink ref="Q7901" r:id="rId15797" location="" tooltip="" display=""/>
    <hyperlink ref="R7901" r:id="rId15798" location="" tooltip="" display=""/>
    <hyperlink ref="L7902" r:id="rId15799" location="" tooltip="" display=""/>
    <hyperlink ref="R7902" r:id="rId15800" location="" tooltip="" display=""/>
    <hyperlink ref="K7904" r:id="rId15801" location="" tooltip="" display=""/>
    <hyperlink ref="L7904" r:id="rId15802" location="" tooltip="" display=""/>
    <hyperlink ref="Q7904" r:id="rId15803" location="" tooltip="" display=""/>
    <hyperlink ref="R7904" r:id="rId15804" location="" tooltip="" display=""/>
    <hyperlink ref="K7906" r:id="rId15805" location="" tooltip="" display=""/>
    <hyperlink ref="L7906" r:id="rId15806" location="" tooltip="" display=""/>
    <hyperlink ref="Q7906" r:id="rId15807" location="" tooltip="" display=""/>
    <hyperlink ref="R7906" r:id="rId15808" location="" tooltip="" display=""/>
    <hyperlink ref="L7907" r:id="rId15809" location="" tooltip="" display=""/>
    <hyperlink ref="R7907" r:id="rId15810" location="" tooltip="" display=""/>
    <hyperlink ref="K7909" r:id="rId15811" location="" tooltip="" display=""/>
    <hyperlink ref="L7909" r:id="rId15812" location="" tooltip="" display=""/>
    <hyperlink ref="Q7909" r:id="rId15813" location="" tooltip="" display=""/>
    <hyperlink ref="R7909" r:id="rId15814" location="" tooltip="" display=""/>
    <hyperlink ref="L7910" r:id="rId15815" location="" tooltip="" display=""/>
    <hyperlink ref="R7910" r:id="rId15816" location="" tooltip="" display=""/>
    <hyperlink ref="K7912" r:id="rId15817" location="" tooltip="" display=""/>
    <hyperlink ref="L7912" r:id="rId15818" location="" tooltip="" display=""/>
    <hyperlink ref="Q7912" r:id="rId15819" location="" tooltip="" display=""/>
    <hyperlink ref="R7912" r:id="rId15820" location="" tooltip="" display=""/>
    <hyperlink ref="L7913" r:id="rId15821" location="" tooltip="" display=""/>
    <hyperlink ref="R7913" r:id="rId15822" location="" tooltip="" display=""/>
    <hyperlink ref="L7915" r:id="rId15823" location="" tooltip="" display=""/>
    <hyperlink ref="R7915" r:id="rId15824" location="" tooltip="" display=""/>
    <hyperlink ref="K7916" r:id="rId15825" location="" tooltip="" display=""/>
    <hyperlink ref="L7916" r:id="rId15826" location="" tooltip="" display=""/>
    <hyperlink ref="Q7916" r:id="rId15827" location="" tooltip="" display=""/>
    <hyperlink ref="R7916" r:id="rId15828" location="" tooltip="" display=""/>
    <hyperlink ref="L7917" r:id="rId15829" location="" tooltip="" display=""/>
    <hyperlink ref="R7917" r:id="rId15830" location="" tooltip="" display=""/>
    <hyperlink ref="L7918" r:id="rId15831" location="" tooltip="" display=""/>
    <hyperlink ref="R7918" r:id="rId15832" location="" tooltip="" display=""/>
    <hyperlink ref="K7920" r:id="rId15833" location="" tooltip="" display=""/>
    <hyperlink ref="L7920" r:id="rId15834" location="" tooltip="" display=""/>
    <hyperlink ref="Q7920" r:id="rId15835" location="" tooltip="" display=""/>
    <hyperlink ref="R7920" r:id="rId15836" location="" tooltip="" display=""/>
    <hyperlink ref="K7922" r:id="rId15837" location="" tooltip="" display=""/>
    <hyperlink ref="L7922" r:id="rId15838" location="" tooltip="" display=""/>
    <hyperlink ref="Q7922" r:id="rId15839" location="" tooltip="" display=""/>
    <hyperlink ref="R7922" r:id="rId15840" location="" tooltip="" display=""/>
    <hyperlink ref="L7923" r:id="rId15841" location="" tooltip="" display=""/>
    <hyperlink ref="R7923" r:id="rId15842" location="" tooltip="" display=""/>
    <hyperlink ref="K7925" r:id="rId15843" location="" tooltip="" display=""/>
    <hyperlink ref="L7925" r:id="rId15844" location="" tooltip="" display=""/>
    <hyperlink ref="Q7925" r:id="rId15845" location="" tooltip="" display=""/>
    <hyperlink ref="R7925" r:id="rId15846" location="" tooltip="" display=""/>
    <hyperlink ref="L7926" r:id="rId15847" location="" tooltip="" display=""/>
    <hyperlink ref="R7926" r:id="rId15848" location="" tooltip="" display=""/>
    <hyperlink ref="L7928" r:id="rId15849" location="" tooltip="" display=""/>
    <hyperlink ref="R7928" r:id="rId15850" location="" tooltip="" display=""/>
    <hyperlink ref="K7929" r:id="rId15851" location="" tooltip="" display=""/>
    <hyperlink ref="L7929" r:id="rId15852" location="" tooltip="" display=""/>
    <hyperlink ref="Q7929" r:id="rId15853" location="" tooltip="" display=""/>
    <hyperlink ref="R7929" r:id="rId15854" location="" tooltip="" display=""/>
    <hyperlink ref="L7930" r:id="rId15855" location="" tooltip="" display=""/>
    <hyperlink ref="R7930" r:id="rId15856" location="" tooltip="" display=""/>
    <hyperlink ref="L7932" r:id="rId15857" location="" tooltip="" display=""/>
    <hyperlink ref="R7932" r:id="rId15858" location="" tooltip="" display=""/>
    <hyperlink ref="K7933" r:id="rId15859" location="" tooltip="" display=""/>
    <hyperlink ref="L7933" r:id="rId15860" location="" tooltip="" display=""/>
    <hyperlink ref="Q7933" r:id="rId15861" location="" tooltip="" display=""/>
    <hyperlink ref="R7933" r:id="rId15862" location="" tooltip="" display=""/>
    <hyperlink ref="L7934" r:id="rId15863" location="" tooltip="" display=""/>
    <hyperlink ref="R7934" r:id="rId15864" location="" tooltip="" display=""/>
    <hyperlink ref="L7935" r:id="rId15865" location="" tooltip="" display=""/>
    <hyperlink ref="R7935" r:id="rId15866" location="" tooltip="" display=""/>
    <hyperlink ref="K7937" r:id="rId15867" location="" tooltip="" display=""/>
    <hyperlink ref="L7937" r:id="rId15868" location="" tooltip="" display=""/>
    <hyperlink ref="Q7937" r:id="rId15869" location="" tooltip="" display=""/>
    <hyperlink ref="R7937" r:id="rId15870" location="" tooltip="" display=""/>
    <hyperlink ref="L7938" r:id="rId15871" location="" tooltip="" display=""/>
    <hyperlink ref="R7938" r:id="rId15872" location="" tooltip="" display=""/>
    <hyperlink ref="K7940" r:id="rId15873" location="" tooltip="" display=""/>
    <hyperlink ref="L7940" r:id="rId15874" location="" tooltip="" display=""/>
    <hyperlink ref="Q7940" r:id="rId15875" location="" tooltip="" display=""/>
    <hyperlink ref="R7940" r:id="rId15876" location="" tooltip="" display=""/>
    <hyperlink ref="L7941" r:id="rId15877" location="" tooltip="" display=""/>
    <hyperlink ref="R7941" r:id="rId15878" location="" tooltip="" display=""/>
    <hyperlink ref="K7943" r:id="rId15879" location="" tooltip="" display=""/>
    <hyperlink ref="L7943" r:id="rId15880" location="" tooltip="" display=""/>
    <hyperlink ref="Q7943" r:id="rId15881" location="" tooltip="" display=""/>
    <hyperlink ref="R7943" r:id="rId15882" location="" tooltip="" display=""/>
    <hyperlink ref="L7944" r:id="rId15883" location="" tooltip="" display=""/>
    <hyperlink ref="R7944" r:id="rId15884" location="" tooltip="" display=""/>
    <hyperlink ref="K7946" r:id="rId15885" location="" tooltip="" display=""/>
    <hyperlink ref="L7946" r:id="rId15886" location="" tooltip="" display=""/>
    <hyperlink ref="Q7946" r:id="rId15887" location="" tooltip="" display=""/>
    <hyperlink ref="R7946" r:id="rId15888" location="" tooltip="" display=""/>
    <hyperlink ref="L7947" r:id="rId15889" location="" tooltip="" display=""/>
    <hyperlink ref="R7947" r:id="rId15890" location="" tooltip="" display=""/>
    <hyperlink ref="K7949" r:id="rId15891" location="" tooltip="" display=""/>
    <hyperlink ref="L7949" r:id="rId15892" location="" tooltip="" display=""/>
    <hyperlink ref="Q7949" r:id="rId15893" location="" tooltip="" display=""/>
    <hyperlink ref="R7949" r:id="rId15894" location="" tooltip="" display=""/>
    <hyperlink ref="L7951" r:id="rId15895" location="" tooltip="" display=""/>
    <hyperlink ref="R7951" r:id="rId15896" location="" tooltip="" display=""/>
    <hyperlink ref="K7952" r:id="rId15897" location="" tooltip="" display=""/>
    <hyperlink ref="L7952" r:id="rId15898" location="" tooltip="" display=""/>
    <hyperlink ref="Q7952" r:id="rId15899" location="" tooltip="" display=""/>
    <hyperlink ref="R7952" r:id="rId15900" location="" tooltip="" display=""/>
    <hyperlink ref="L7953" r:id="rId15901" location="" tooltip="" display=""/>
    <hyperlink ref="R7953" r:id="rId15902" location="" tooltip="" display=""/>
    <hyperlink ref="K7955" r:id="rId15903" location="" tooltip="" display=""/>
    <hyperlink ref="L7955" r:id="rId15904" location="" tooltip="" display=""/>
    <hyperlink ref="Q7955" r:id="rId15905" location="" tooltip="" display=""/>
    <hyperlink ref="R7955" r:id="rId15906" location="" tooltip="" display=""/>
    <hyperlink ref="K7957" r:id="rId15907" location="" tooltip="" display=""/>
    <hyperlink ref="L7957" r:id="rId15908" location="" tooltip="" display=""/>
    <hyperlink ref="Q7957" r:id="rId15909" location="" tooltip="" display=""/>
    <hyperlink ref="R7957" r:id="rId15910" location="" tooltip="" display=""/>
    <hyperlink ref="K7959" r:id="rId15911" location="" tooltip="" display=""/>
    <hyperlink ref="L7959" r:id="rId15912" location="" tooltip="" display=""/>
    <hyperlink ref="Q7959" r:id="rId15913" location="" tooltip="" display=""/>
    <hyperlink ref="R7959" r:id="rId15914" location="" tooltip="" display=""/>
    <hyperlink ref="L7961" r:id="rId15915" location="" tooltip="" display=""/>
    <hyperlink ref="R7961" r:id="rId15916" location="" tooltip="" display=""/>
    <hyperlink ref="L7962" r:id="rId15917" location="" tooltip="" display=""/>
    <hyperlink ref="R7962" r:id="rId15918" location="" tooltip="" display=""/>
    <hyperlink ref="L7963" r:id="rId15919" location="" tooltip="" display=""/>
    <hyperlink ref="R7963" r:id="rId15920" location="" tooltip="" display=""/>
    <hyperlink ref="K7964" r:id="rId15921" location="" tooltip="" display=""/>
    <hyperlink ref="L7964" r:id="rId15922" location="" tooltip="" display=""/>
    <hyperlink ref="Q7964" r:id="rId15923" location="" tooltip="" display=""/>
    <hyperlink ref="R7964" r:id="rId15924" location="" tooltip="" display=""/>
    <hyperlink ref="L7965" r:id="rId15925" location="" tooltip="" display=""/>
    <hyperlink ref="R7965" r:id="rId15926" location="" tooltip="" display=""/>
    <hyperlink ref="L7966" r:id="rId15927" location="" tooltip="" display=""/>
    <hyperlink ref="R7966" r:id="rId15928" location="" tooltip="" display=""/>
    <hyperlink ref="L7967" r:id="rId15929" location="" tooltip="" display=""/>
    <hyperlink ref="R7967" r:id="rId15930" location="" tooltip="" display=""/>
    <hyperlink ref="L7968" r:id="rId15931" location="" tooltip="" display=""/>
    <hyperlink ref="R7968" r:id="rId15932" location="" tooltip="" display=""/>
    <hyperlink ref="K7970" r:id="rId15933" location="" tooltip="" display=""/>
    <hyperlink ref="L7970" r:id="rId15934" location="" tooltip="" display=""/>
    <hyperlink ref="Q7970" r:id="rId15935" location="" tooltip="" display=""/>
    <hyperlink ref="R7970" r:id="rId15936" location="" tooltip="" display=""/>
    <hyperlink ref="L7972" r:id="rId15937" location="" tooltip="" display=""/>
    <hyperlink ref="R7972" r:id="rId15938" location="" tooltip="" display=""/>
    <hyperlink ref="L7973" r:id="rId15939" location="" tooltip="" display=""/>
    <hyperlink ref="R7973" r:id="rId15940" location="" tooltip="" display=""/>
    <hyperlink ref="K7974" r:id="rId15941" location="" tooltip="" display=""/>
    <hyperlink ref="L7974" r:id="rId15942" location="" tooltip="" display=""/>
    <hyperlink ref="Q7974" r:id="rId15943" location="" tooltip="" display=""/>
    <hyperlink ref="R7974" r:id="rId15944" location="" tooltip="" display=""/>
    <hyperlink ref="L7975" r:id="rId15945" location="" tooltip="" display=""/>
    <hyperlink ref="R7975" r:id="rId15946" location="" tooltip="" display=""/>
    <hyperlink ref="L7976" r:id="rId15947" location="" tooltip="" display=""/>
    <hyperlink ref="R7976" r:id="rId15948" location="" tooltip="" display=""/>
    <hyperlink ref="K7978" r:id="rId15949" location="" tooltip="" display=""/>
    <hyperlink ref="L7978" r:id="rId15950" location="" tooltip="" display=""/>
    <hyperlink ref="Q7978" r:id="rId15951" location="" tooltip="" display=""/>
    <hyperlink ref="R7978" r:id="rId15952" location="" tooltip="" display=""/>
    <hyperlink ref="K7980" r:id="rId15953" location="" tooltip="" display=""/>
    <hyperlink ref="L7980" r:id="rId15954" location="" tooltip="" display=""/>
    <hyperlink ref="Q7980" r:id="rId15955" location="" tooltip="" display=""/>
    <hyperlink ref="R7980" r:id="rId15956" location="" tooltip="" display=""/>
    <hyperlink ref="K7982" r:id="rId15957" location="" tooltip="" display=""/>
    <hyperlink ref="L7982" r:id="rId15958" location="" tooltip="" display=""/>
    <hyperlink ref="Q7982" r:id="rId15959" location="" tooltip="" display=""/>
    <hyperlink ref="R7982" r:id="rId15960" location="" tooltip="" display=""/>
    <hyperlink ref="L7983" r:id="rId15961" location="" tooltip="" display=""/>
    <hyperlink ref="R7983" r:id="rId15962" location="" tooltip="" display=""/>
    <hyperlink ref="L7985" r:id="rId15963" location="" tooltip="" display=""/>
    <hyperlink ref="R7985" r:id="rId15964" location="" tooltip="" display=""/>
    <hyperlink ref="K7986" r:id="rId15965" location="" tooltip="" display=""/>
    <hyperlink ref="L7986" r:id="rId15966" location="" tooltip="" display=""/>
    <hyperlink ref="Q7986" r:id="rId15967" location="" tooltip="" display=""/>
    <hyperlink ref="R7986" r:id="rId15968" location="" tooltip="" display=""/>
    <hyperlink ref="L7987" r:id="rId15969" location="" tooltip="" display=""/>
    <hyperlink ref="R7987" r:id="rId15970" location="" tooltip="" display=""/>
    <hyperlink ref="K7989" r:id="rId15971" location="" tooltip="" display=""/>
    <hyperlink ref="L7989" r:id="rId15972" location="" tooltip="" display=""/>
    <hyperlink ref="Q7989" r:id="rId15973" location="" tooltip="" display=""/>
    <hyperlink ref="R7989" r:id="rId15974" location="" tooltip="" display=""/>
    <hyperlink ref="K7991" r:id="rId15975" location="" tooltip="" display=""/>
    <hyperlink ref="L7991" r:id="rId15976" location="" tooltip="" display=""/>
    <hyperlink ref="Q7991" r:id="rId15977" location="" tooltip="" display=""/>
    <hyperlink ref="R7991" r:id="rId15978" location="" tooltip="" display=""/>
    <hyperlink ref="L7993" r:id="rId15979" location="" tooltip="" display=""/>
    <hyperlink ref="R7993" r:id="rId15980" location="" tooltip="" display=""/>
    <hyperlink ref="K7994" r:id="rId15981" location="" tooltip="" display=""/>
    <hyperlink ref="L7994" r:id="rId15982" location="" tooltip="" display=""/>
    <hyperlink ref="Q7994" r:id="rId15983" location="" tooltip="" display=""/>
    <hyperlink ref="R7994" r:id="rId15984" location="" tooltip="" display=""/>
    <hyperlink ref="L7995" r:id="rId15985" location="" tooltip="" display=""/>
    <hyperlink ref="R7995" r:id="rId15986" location="" tooltip="" display=""/>
    <hyperlink ref="K7997" r:id="rId15987" location="" tooltip="" display=""/>
    <hyperlink ref="L7997" r:id="rId15988" location="" tooltip="" display=""/>
    <hyperlink ref="Q7997" r:id="rId15989" location="" tooltip="" display=""/>
    <hyperlink ref="R7997" r:id="rId15990" location="" tooltip="" display=""/>
    <hyperlink ref="L7998" r:id="rId15991" location="" tooltip="" display=""/>
    <hyperlink ref="R7998" r:id="rId15992" location="" tooltip="" display=""/>
    <hyperlink ref="L8000" r:id="rId15993" location="" tooltip="" display=""/>
    <hyperlink ref="R8000" r:id="rId15994" location="" tooltip="" display=""/>
    <hyperlink ref="K8001" r:id="rId15995" location="" tooltip="" display=""/>
    <hyperlink ref="L8001" r:id="rId15996" location="" tooltip="" display=""/>
    <hyperlink ref="Q8001" r:id="rId15997" location="" tooltip="" display=""/>
    <hyperlink ref="R8001" r:id="rId15998" location="" tooltip="" display=""/>
    <hyperlink ref="L8002" r:id="rId15999" location="" tooltip="" display=""/>
    <hyperlink ref="R8002" r:id="rId16000" location="" tooltip="" display=""/>
    <hyperlink ref="L8003" r:id="rId16001" location="" tooltip="" display=""/>
    <hyperlink ref="R8003" r:id="rId16002" location="" tooltip="" display=""/>
    <hyperlink ref="L8005" r:id="rId16003" location="" tooltip="" display=""/>
    <hyperlink ref="R8005" r:id="rId16004" location="" tooltip="" display=""/>
    <hyperlink ref="K8006" r:id="rId16005" location="" tooltip="" display=""/>
    <hyperlink ref="L8006" r:id="rId16006" location="" tooltip="" display=""/>
    <hyperlink ref="Q8006" r:id="rId16007" location="" tooltip="" display=""/>
    <hyperlink ref="R8006" r:id="rId16008" location="" tooltip="" display=""/>
    <hyperlink ref="L8007" r:id="rId16009" location="" tooltip="" display=""/>
    <hyperlink ref="R8007" r:id="rId16010" location="" tooltip="" display=""/>
    <hyperlink ref="L8008" r:id="rId16011" location="" tooltip="" display=""/>
    <hyperlink ref="R8008" r:id="rId16012" location="" tooltip="" display=""/>
    <hyperlink ref="K8010" r:id="rId16013" location="" tooltip="" display=""/>
    <hyperlink ref="L8010" r:id="rId16014" location="" tooltip="" display=""/>
    <hyperlink ref="Q8010" r:id="rId16015" location="" tooltip="" display=""/>
    <hyperlink ref="R8010" r:id="rId16016" location="" tooltip="" display=""/>
    <hyperlink ref="L8011" r:id="rId16017" location="" tooltip="" display=""/>
    <hyperlink ref="R8011" r:id="rId16018" location="" tooltip="" display=""/>
    <hyperlink ref="K8013" r:id="rId16019" location="" tooltip="" display=""/>
    <hyperlink ref="L8013" r:id="rId16020" location="" tooltip="" display=""/>
    <hyperlink ref="Q8013" r:id="rId16021" location="" tooltip="" display=""/>
    <hyperlink ref="R8013" r:id="rId16022" location="" tooltip="" display=""/>
    <hyperlink ref="K8015" r:id="rId16023" location="" tooltip="" display=""/>
    <hyperlink ref="L8015" r:id="rId16024" location="" tooltip="" display=""/>
    <hyperlink ref="Q8015" r:id="rId16025" location="" tooltip="" display=""/>
    <hyperlink ref="R8015" r:id="rId16026" location="" tooltip="" display=""/>
    <hyperlink ref="L8017" r:id="rId16027" location="" tooltip="" display=""/>
    <hyperlink ref="R8017" r:id="rId16028" location="" tooltip="" display=""/>
    <hyperlink ref="K8018" r:id="rId16029" location="" tooltip="" display=""/>
    <hyperlink ref="L8018" r:id="rId16030" location="" tooltip="" display=""/>
    <hyperlink ref="Q8018" r:id="rId16031" location="" tooltip="" display=""/>
    <hyperlink ref="R8018" r:id="rId16032" location="" tooltip="" display=""/>
    <hyperlink ref="L8019" r:id="rId16033" location="" tooltip="" display=""/>
    <hyperlink ref="R8019" r:id="rId16034" location="" tooltip="" display=""/>
    <hyperlink ref="K8021" r:id="rId16035" location="" tooltip="" display=""/>
    <hyperlink ref="L8021" r:id="rId16036" location="" tooltip="" display=""/>
    <hyperlink ref="Q8021" r:id="rId16037" location="" tooltip="" display=""/>
    <hyperlink ref="R8021" r:id="rId16038" location="" tooltip="" display=""/>
    <hyperlink ref="L8022" r:id="rId16039" location="" tooltip="" display=""/>
    <hyperlink ref="R8022" r:id="rId16040" location="" tooltip="" display=""/>
    <hyperlink ref="K8024" r:id="rId16041" location="" tooltip="" display=""/>
    <hyperlink ref="L8024" r:id="rId16042" location="" tooltip="" display=""/>
    <hyperlink ref="Q8024" r:id="rId16043" location="" tooltip="" display=""/>
    <hyperlink ref="R8024" r:id="rId16044" location="" tooltip="" display=""/>
    <hyperlink ref="L8025" r:id="rId16045" location="" tooltip="" display=""/>
    <hyperlink ref="R8025" r:id="rId16046" location="" tooltip="" display=""/>
    <hyperlink ref="L8027" r:id="rId16047" location="" tooltip="" display=""/>
    <hyperlink ref="R8027" r:id="rId16048" location="" tooltip="" display=""/>
    <hyperlink ref="K8028" r:id="rId16049" location="" tooltip="" display=""/>
    <hyperlink ref="L8028" r:id="rId16050" location="" tooltip="" display=""/>
    <hyperlink ref="Q8028" r:id="rId16051" location="" tooltip="" display=""/>
    <hyperlink ref="R8028" r:id="rId16052" location="" tooltip="" display=""/>
    <hyperlink ref="L8029" r:id="rId16053" location="" tooltip="" display=""/>
    <hyperlink ref="R8029" r:id="rId16054" location="" tooltip="" display=""/>
    <hyperlink ref="K8031" r:id="rId16055" location="" tooltip="" display=""/>
    <hyperlink ref="L8031" r:id="rId16056" location="" tooltip="" display=""/>
    <hyperlink ref="Q8031" r:id="rId16057" location="" tooltip="" display=""/>
    <hyperlink ref="R8031" r:id="rId16058" location="" tooltip="" display=""/>
    <hyperlink ref="L8032" r:id="rId16059" location="" tooltip="" display=""/>
    <hyperlink ref="R8032" r:id="rId16060" location="" tooltip="" display=""/>
    <hyperlink ref="K8034" r:id="rId16061" location="" tooltip="" display=""/>
    <hyperlink ref="L8034" r:id="rId16062" location="" tooltip="" display=""/>
    <hyperlink ref="Q8034" r:id="rId16063" location="" tooltip="" display=""/>
    <hyperlink ref="R8034" r:id="rId16064" location="" tooltip="" display=""/>
    <hyperlink ref="K8036" r:id="rId16065" location="" tooltip="" display=""/>
    <hyperlink ref="L8036" r:id="rId16066" location="" tooltip="" display=""/>
    <hyperlink ref="Q8036" r:id="rId16067" location="" tooltip="" display=""/>
    <hyperlink ref="R8036" r:id="rId16068" location="" tooltip="" display=""/>
    <hyperlink ref="L8038" r:id="rId16069" location="" tooltip="" display=""/>
    <hyperlink ref="R8038" r:id="rId16070" location="" tooltip="" display=""/>
    <hyperlink ref="L8039" r:id="rId16071" location="" tooltip="" display=""/>
    <hyperlink ref="R8039" r:id="rId16072" location="" tooltip="" display=""/>
    <hyperlink ref="K8040" r:id="rId16073" location="" tooltip="" display=""/>
    <hyperlink ref="L8040" r:id="rId16074" location="" tooltip="" display=""/>
    <hyperlink ref="Q8040" r:id="rId16075" location="" tooltip="" display=""/>
    <hyperlink ref="R8040" r:id="rId16076" location="" tooltip="" display=""/>
    <hyperlink ref="L8041" r:id="rId16077" location="" tooltip="" display=""/>
    <hyperlink ref="R8041" r:id="rId16078" location="" tooltip="" display=""/>
    <hyperlink ref="L8042" r:id="rId16079" location="" tooltip="" display=""/>
    <hyperlink ref="R8042" r:id="rId16080" location="" tooltip="" display=""/>
    <hyperlink ref="K8044" r:id="rId16081" location="" tooltip="" display=""/>
    <hyperlink ref="L8044" r:id="rId16082" location="" tooltip="" display=""/>
    <hyperlink ref="Q8044" r:id="rId16083" location="" tooltip="" display=""/>
    <hyperlink ref="R8044" r:id="rId16084" location="" tooltip="" display=""/>
    <hyperlink ref="L8046" r:id="rId16085" location="" tooltip="" display=""/>
    <hyperlink ref="R8046" r:id="rId16086" location="" tooltip="" display=""/>
    <hyperlink ref="K8047" r:id="rId16087" location="" tooltip="" display=""/>
    <hyperlink ref="L8047" r:id="rId16088" location="" tooltip="" display=""/>
    <hyperlink ref="Q8047" r:id="rId16089" location="" tooltip="" display=""/>
    <hyperlink ref="R8047" r:id="rId16090" location="" tooltip="" display=""/>
    <hyperlink ref="L8048" r:id="rId16091" location="" tooltip="" display=""/>
    <hyperlink ref="R8048" r:id="rId16092" location="" tooltip="" display=""/>
    <hyperlink ref="L8049" r:id="rId16093" location="" tooltip="" display=""/>
    <hyperlink ref="R8049" r:id="rId16094" location="" tooltip="" display=""/>
    <hyperlink ref="L8051" r:id="rId16095" location="" tooltip="" display=""/>
    <hyperlink ref="R8051" r:id="rId16096" location="" tooltip="" display=""/>
    <hyperlink ref="L8052" r:id="rId16097" location="" tooltip="" display=""/>
    <hyperlink ref="R8052" r:id="rId16098" location="" tooltip="" display=""/>
    <hyperlink ref="K8053" r:id="rId16099" location="" tooltip="" display=""/>
    <hyperlink ref="L8053" r:id="rId16100" location="" tooltip="" display=""/>
    <hyperlink ref="Q8053" r:id="rId16101" location="" tooltip="" display=""/>
    <hyperlink ref="R8053" r:id="rId16102" location="" tooltip="" display=""/>
    <hyperlink ref="L8054" r:id="rId16103" location="" tooltip="" display=""/>
    <hyperlink ref="R8054" r:id="rId16104" location="" tooltip="" display=""/>
    <hyperlink ref="L8055" r:id="rId16105" location="" tooltip="" display=""/>
    <hyperlink ref="R8055" r:id="rId16106" location="" tooltip="" display=""/>
    <hyperlink ref="L8057" r:id="rId16107" location="" tooltip="" display=""/>
    <hyperlink ref="R8057" r:id="rId16108" location="" tooltip="" display=""/>
    <hyperlink ref="K8058" r:id="rId16109" location="" tooltip="" display=""/>
    <hyperlink ref="L8058" r:id="rId16110" location="" tooltip="" display=""/>
    <hyperlink ref="Q8058" r:id="rId16111" location="" tooltip="" display=""/>
    <hyperlink ref="R8058" r:id="rId16112" location="" tooltip="" display=""/>
    <hyperlink ref="L8059" r:id="rId16113" location="" tooltip="" display=""/>
    <hyperlink ref="R8059" r:id="rId16114" location="" tooltip="" display=""/>
    <hyperlink ref="K8061" r:id="rId16115" location="" tooltip="" display=""/>
    <hyperlink ref="L8061" r:id="rId16116" location="" tooltip="" display=""/>
    <hyperlink ref="Q8061" r:id="rId16117" location="" tooltip="" display=""/>
    <hyperlink ref="R8061" r:id="rId16118" location="" tooltip="" display=""/>
    <hyperlink ref="K8063" r:id="rId16119" location="" tooltip="" display=""/>
    <hyperlink ref="L8063" r:id="rId16120" location="" tooltip="" display=""/>
    <hyperlink ref="Q8063" r:id="rId16121" location="" tooltip="" display=""/>
    <hyperlink ref="R8063" r:id="rId16122" location="" tooltip="" display=""/>
    <hyperlink ref="K8065" r:id="rId16123" location="" tooltip="" display=""/>
    <hyperlink ref="L8065" r:id="rId16124" location="" tooltip="" display=""/>
    <hyperlink ref="Q8065" r:id="rId16125" location="" tooltip="" display=""/>
    <hyperlink ref="R8065" r:id="rId16126" location="" tooltip="" display=""/>
    <hyperlink ref="L8066" r:id="rId16127" location="" tooltip="" display=""/>
    <hyperlink ref="R8066" r:id="rId16128" location="" tooltip="" display=""/>
    <hyperlink ref="L8068" r:id="rId16129" location="" tooltip="" display=""/>
    <hyperlink ref="R8068" r:id="rId16130" location="" tooltip="" display=""/>
    <hyperlink ref="K8069" r:id="rId16131" location="" tooltip="" display=""/>
    <hyperlink ref="L8069" r:id="rId16132" location="" tooltip="" display=""/>
    <hyperlink ref="Q8069" r:id="rId16133" location="" tooltip="" display=""/>
    <hyperlink ref="R8069" r:id="rId16134" location="" tooltip="" display=""/>
    <hyperlink ref="L8070" r:id="rId16135" location="" tooltip="" display=""/>
    <hyperlink ref="R8070" r:id="rId16136" location="" tooltip="" display=""/>
    <hyperlink ref="L8071" r:id="rId16137" location="" tooltip="" display=""/>
    <hyperlink ref="R8071" r:id="rId16138" location="" tooltip="" display=""/>
    <hyperlink ref="L8073" r:id="rId16139" location="" tooltip="" display=""/>
    <hyperlink ref="R8073" r:id="rId16140" location="" tooltip="" display=""/>
    <hyperlink ref="K8074" r:id="rId16141" location="" tooltip="" display=""/>
    <hyperlink ref="L8074" r:id="rId16142" location="" tooltip="" display=""/>
    <hyperlink ref="Q8074" r:id="rId16143" location="" tooltip="" display=""/>
    <hyperlink ref="R8074" r:id="rId16144" location="" tooltip="" display=""/>
    <hyperlink ref="L8075" r:id="rId16145" location="" tooltip="" display=""/>
    <hyperlink ref="R8075" r:id="rId16146" location="" tooltip="" display=""/>
    <hyperlink ref="K8077" r:id="rId16147" location="" tooltip="" display=""/>
    <hyperlink ref="L8077" r:id="rId16148" location="" tooltip="" display=""/>
    <hyperlink ref="Q8077" r:id="rId16149" location="" tooltip="" display=""/>
    <hyperlink ref="R8077" r:id="rId16150" location="" tooltip="" display=""/>
    <hyperlink ref="K8079" r:id="rId16151" location="" tooltip="" display=""/>
    <hyperlink ref="L8079" r:id="rId16152" location="" tooltip="" display=""/>
    <hyperlink ref="Q8079" r:id="rId16153" location="" tooltip="" display=""/>
    <hyperlink ref="R8079" r:id="rId16154" location="" tooltip="" display=""/>
    <hyperlink ref="L8080" r:id="rId16155" location="" tooltip="" display=""/>
    <hyperlink ref="R8080" r:id="rId16156" location="" tooltip="" display=""/>
    <hyperlink ref="K8082" r:id="rId16157" location="" tooltip="" display=""/>
    <hyperlink ref="L8082" r:id="rId16158" location="" tooltip="" display=""/>
    <hyperlink ref="Q8082" r:id="rId16159" location="" tooltip="" display=""/>
    <hyperlink ref="R8082" r:id="rId16160" location="" tooltip="" display=""/>
    <hyperlink ref="L8083" r:id="rId16161" location="" tooltip="" display=""/>
    <hyperlink ref="R8083" r:id="rId16162" location="" tooltip="" display=""/>
    <hyperlink ref="L8085" r:id="rId16163" location="" tooltip="" display=""/>
    <hyperlink ref="R8085" r:id="rId16164" location="" tooltip="" display=""/>
    <hyperlink ref="L8086" r:id="rId16165" location="" tooltip="" display=""/>
    <hyperlink ref="R8086" r:id="rId16166" location="" tooltip="" display=""/>
    <hyperlink ref="K8087" r:id="rId16167" location="" tooltip="" display=""/>
    <hyperlink ref="L8087" r:id="rId16168" location="" tooltip="" display=""/>
    <hyperlink ref="Q8087" r:id="rId16169" location="" tooltip="" display=""/>
    <hyperlink ref="R8087" r:id="rId16170" location="" tooltip="" display=""/>
    <hyperlink ref="L8088" r:id="rId16171" location="" tooltip="" display=""/>
    <hyperlink ref="R8088" r:id="rId16172" location="" tooltip="" display=""/>
    <hyperlink ref="L8089" r:id="rId16173" location="" tooltip="" display=""/>
    <hyperlink ref="R8089" r:id="rId16174" location="" tooltip="" display=""/>
    <hyperlink ref="L8090" r:id="rId16175" location="" tooltip="" display=""/>
    <hyperlink ref="R8090" r:id="rId16176" location="" tooltip="" display=""/>
    <hyperlink ref="K8092" r:id="rId16177" location="" tooltip="" display=""/>
    <hyperlink ref="L8092" r:id="rId16178" location="" tooltip="" display=""/>
    <hyperlink ref="Q8092" r:id="rId16179" location="" tooltip="" display=""/>
    <hyperlink ref="R8092" r:id="rId16180" location="" tooltip="" display=""/>
    <hyperlink ref="L8093" r:id="rId16181" location="" tooltip="" display=""/>
    <hyperlink ref="R8093" r:id="rId16182" location="" tooltip="" display=""/>
    <hyperlink ref="K8095" r:id="rId16183" location="" tooltip="" display=""/>
    <hyperlink ref="L8095" r:id="rId16184" location="" tooltip="" display=""/>
    <hyperlink ref="Q8095" r:id="rId16185" location="" tooltip="" display=""/>
    <hyperlink ref="R8095" r:id="rId16186" location="" tooltip="" display=""/>
    <hyperlink ref="L8096" r:id="rId16187" location="" tooltip="" display=""/>
    <hyperlink ref="R8096" r:id="rId16188" location="" tooltip="" display=""/>
    <hyperlink ref="K8098" r:id="rId16189" location="" tooltip="" display=""/>
    <hyperlink ref="L8098" r:id="rId16190" location="" tooltip="" display=""/>
    <hyperlink ref="Q8098" r:id="rId16191" location="" tooltip="" display=""/>
    <hyperlink ref="R8098" r:id="rId16192" location="" tooltip="" display=""/>
    <hyperlink ref="L8099" r:id="rId16193" location="" tooltip="" display=""/>
    <hyperlink ref="R8099" r:id="rId16194" location="" tooltip="" display=""/>
    <hyperlink ref="K8101" r:id="rId16195" location="" tooltip="" display=""/>
    <hyperlink ref="L8101" r:id="rId16196" location="" tooltip="" display=""/>
    <hyperlink ref="Q8101" r:id="rId16197" location="" tooltip="" display=""/>
    <hyperlink ref="R8101" r:id="rId16198" location="" tooltip="" display=""/>
    <hyperlink ref="L8102" r:id="rId16199" location="" tooltip="" display=""/>
    <hyperlink ref="R8102" r:id="rId16200" location="" tooltip="" display=""/>
    <hyperlink ref="L8104" r:id="rId16201" location="" tooltip="" display=""/>
    <hyperlink ref="R8104" r:id="rId16202" location="" tooltip="" display=""/>
    <hyperlink ref="K8105" r:id="rId16203" location="" tooltip="" display=""/>
    <hyperlink ref="L8105" r:id="rId16204" location="" tooltip="" display=""/>
    <hyperlink ref="Q8105" r:id="rId16205" location="" tooltip="" display=""/>
    <hyperlink ref="R8105" r:id="rId16206" location="" tooltip="" display=""/>
    <hyperlink ref="L8106" r:id="rId16207" location="" tooltip="" display=""/>
    <hyperlink ref="R8106" r:id="rId16208" location="" tooltip="" display=""/>
    <hyperlink ref="L8107" r:id="rId16209" location="" tooltip="" display=""/>
    <hyperlink ref="R8107" r:id="rId16210" location="" tooltip="" display=""/>
    <hyperlink ref="K8109" r:id="rId16211" location="" tooltip="" display=""/>
    <hyperlink ref="L8109" r:id="rId16212" location="" tooltip="" display=""/>
    <hyperlink ref="Q8109" r:id="rId16213" location="" tooltip="" display=""/>
    <hyperlink ref="R8109" r:id="rId16214" location="" tooltip="" display=""/>
    <hyperlink ref="L8111" r:id="rId16215" location="" tooltip="" display=""/>
    <hyperlink ref="R8111" r:id="rId16216" location="" tooltip="" display=""/>
    <hyperlink ref="K8112" r:id="rId16217" location="" tooltip="" display=""/>
    <hyperlink ref="L8112" r:id="rId16218" location="" tooltip="" display=""/>
    <hyperlink ref="Q8112" r:id="rId16219" location="" tooltip="" display=""/>
    <hyperlink ref="R8112" r:id="rId16220" location="" tooltip="" display=""/>
    <hyperlink ref="L8113" r:id="rId16221" location="" tooltip="" display=""/>
    <hyperlink ref="R8113" r:id="rId16222" location="" tooltip="" display=""/>
    <hyperlink ref="L8114" r:id="rId16223" location="" tooltip="" display=""/>
    <hyperlink ref="R8114" r:id="rId16224" location="" tooltip="" display=""/>
    <hyperlink ref="K8116" r:id="rId16225" location="" tooltip="" display=""/>
    <hyperlink ref="L8116" r:id="rId16226" location="" tooltip="" display=""/>
    <hyperlink ref="Q8116" r:id="rId16227" location="" tooltip="" display=""/>
    <hyperlink ref="R8116" r:id="rId16228" location="" tooltip="" display=""/>
    <hyperlink ref="L8117" r:id="rId16229" location="" tooltip="" display=""/>
    <hyperlink ref="R8117" r:id="rId16230" location="" tooltip="" display=""/>
    <hyperlink ref="K8119" r:id="rId16231" location="" tooltip="" display=""/>
    <hyperlink ref="L8119" r:id="rId16232" location="" tooltip="" display=""/>
    <hyperlink ref="Q8119" r:id="rId16233" location="" tooltip="" display=""/>
    <hyperlink ref="R8119" r:id="rId16234" location="" tooltip="" display=""/>
    <hyperlink ref="L8120" r:id="rId16235" location="" tooltip="" display=""/>
    <hyperlink ref="R8120" r:id="rId16236" location="" tooltip="" display=""/>
    <hyperlink ref="K8122" r:id="rId16237" location="" tooltip="" display=""/>
    <hyperlink ref="L8122" r:id="rId16238" location="" tooltip="" display=""/>
    <hyperlink ref="Q8122" r:id="rId16239" location="" tooltip="" display=""/>
    <hyperlink ref="R8122" r:id="rId16240" location="" tooltip="" display=""/>
    <hyperlink ref="L8123" r:id="rId16241" location="" tooltip="" display=""/>
    <hyperlink ref="R8123" r:id="rId16242" location="" tooltip="" display=""/>
    <hyperlink ref="K8125" r:id="rId16243" location="" tooltip="" display=""/>
    <hyperlink ref="L8125" r:id="rId16244" location="" tooltip="" display=""/>
    <hyperlink ref="Q8125" r:id="rId16245" location="" tooltip="" display=""/>
    <hyperlink ref="R8125" r:id="rId16246" location="" tooltip="" display=""/>
    <hyperlink ref="L8127" r:id="rId16247" location="" tooltip="" display=""/>
    <hyperlink ref="R8127" r:id="rId16248" location="" tooltip="" display=""/>
    <hyperlink ref="L8128" r:id="rId16249" location="" tooltip="" display=""/>
    <hyperlink ref="R8128" r:id="rId16250" location="" tooltip="" display=""/>
    <hyperlink ref="K8129" r:id="rId16251" location="" tooltip="" display=""/>
    <hyperlink ref="L8129" r:id="rId16252" location="" tooltip="" display=""/>
    <hyperlink ref="Q8129" r:id="rId16253" location="" tooltip="" display=""/>
    <hyperlink ref="R8129" r:id="rId16254" location="" tooltip="" display=""/>
    <hyperlink ref="L8130" r:id="rId16255" location="" tooltip="" display=""/>
    <hyperlink ref="R8130" r:id="rId16256" location="" tooltip="" display=""/>
    <hyperlink ref="L8131" r:id="rId16257" location="" tooltip="" display=""/>
    <hyperlink ref="R8131" r:id="rId16258" location="" tooltip="" display=""/>
    <hyperlink ref="L8132" r:id="rId16259" location="" tooltip="" display=""/>
    <hyperlink ref="R8132" r:id="rId16260" location="" tooltip="" display=""/>
    <hyperlink ref="L8134" r:id="rId16261" location="" tooltip="" display=""/>
    <hyperlink ref="R8134" r:id="rId16262" location="" tooltip="" display=""/>
    <hyperlink ref="K8135" r:id="rId16263" location="" tooltip="" display=""/>
    <hyperlink ref="L8135" r:id="rId16264" location="" tooltip="" display=""/>
    <hyperlink ref="Q8135" r:id="rId16265" location="" tooltip="" display=""/>
    <hyperlink ref="R8135" r:id="rId16266" location="" tooltip="" display=""/>
    <hyperlink ref="L8136" r:id="rId16267" location="" tooltip="" display=""/>
    <hyperlink ref="R8136" r:id="rId16268" location="" tooltip="" display=""/>
    <hyperlink ref="L8137" r:id="rId16269" location="" tooltip="" display=""/>
    <hyperlink ref="R8137" r:id="rId16270" location="" tooltip="" display=""/>
    <hyperlink ref="K8139" r:id="rId16271" location="" tooltip="" display=""/>
    <hyperlink ref="L8139" r:id="rId16272" location="" tooltip="" display=""/>
    <hyperlink ref="Q8139" r:id="rId16273" location="" tooltip="" display=""/>
    <hyperlink ref="R8139" r:id="rId16274" location="" tooltip="" display=""/>
    <hyperlink ref="L8140" r:id="rId16275" location="" tooltip="" display=""/>
    <hyperlink ref="R8140" r:id="rId16276" location="" tooltip="" display=""/>
    <hyperlink ref="K8142" r:id="rId16277" location="" tooltip="" display=""/>
    <hyperlink ref="L8142" r:id="rId16278" location="" tooltip="" display=""/>
    <hyperlink ref="Q8142" r:id="rId16279" location="" tooltip="" display=""/>
    <hyperlink ref="R8142" r:id="rId16280" location="" tooltip="" display=""/>
    <hyperlink ref="K8144" r:id="rId16281" location="" tooltip="" display=""/>
    <hyperlink ref="L8144" r:id="rId16282" location="" tooltip="" display=""/>
    <hyperlink ref="Q8144" r:id="rId16283" location="" tooltip="" display=""/>
    <hyperlink ref="R8144" r:id="rId16284" location="" tooltip="" display=""/>
    <hyperlink ref="L8145" r:id="rId16285" location="" tooltip="" display=""/>
    <hyperlink ref="R8145" r:id="rId16286" location="" tooltip="" display=""/>
    <hyperlink ref="L8147" r:id="rId16287" location="" tooltip="" display=""/>
    <hyperlink ref="R8147" r:id="rId16288" location="" tooltip="" display=""/>
    <hyperlink ref="K8148" r:id="rId16289" location="" tooltip="" display=""/>
    <hyperlink ref="L8148" r:id="rId16290" location="" tooltip="" display=""/>
    <hyperlink ref="Q8148" r:id="rId16291" location="" tooltip="" display=""/>
    <hyperlink ref="R8148" r:id="rId16292" location="" tooltip="" display=""/>
    <hyperlink ref="L8149" r:id="rId16293" location="" tooltip="" display=""/>
    <hyperlink ref="R8149" r:id="rId16294" location="" tooltip="" display=""/>
    <hyperlink ref="L8150" r:id="rId16295" location="" tooltip="" display=""/>
    <hyperlink ref="R8150" r:id="rId16296" location="" tooltip="" display=""/>
    <hyperlink ref="K8152" r:id="rId16297" location="" tooltip="" display=""/>
    <hyperlink ref="L8152" r:id="rId16298" location="" tooltip="" display=""/>
    <hyperlink ref="Q8152" r:id="rId16299" location="" tooltip="" display=""/>
    <hyperlink ref="R8152" r:id="rId16300" location="" tooltip="" display=""/>
    <hyperlink ref="K8154" r:id="rId16301" location="" tooltip="" display=""/>
    <hyperlink ref="L8154" r:id="rId16302" location="" tooltip="" display=""/>
    <hyperlink ref="Q8154" r:id="rId16303" location="" tooltip="" display=""/>
    <hyperlink ref="R8154" r:id="rId16304" location="" tooltip="" display=""/>
    <hyperlink ref="K8156" r:id="rId16305" location="" tooltip="" display=""/>
    <hyperlink ref="L8156" r:id="rId16306" location="" tooltip="" display=""/>
    <hyperlink ref="Q8156" r:id="rId16307" location="" tooltip="" display=""/>
    <hyperlink ref="R8156" r:id="rId16308" location="" tooltip="" display=""/>
    <hyperlink ref="L8157" r:id="rId16309" location="" tooltip="" display=""/>
    <hyperlink ref="R8157" r:id="rId16310" location="" tooltip="" display=""/>
    <hyperlink ref="L8159" r:id="rId16311" location="" tooltip="" display=""/>
    <hyperlink ref="R8159" r:id="rId16312" location="" tooltip="" display=""/>
    <hyperlink ref="K8160" r:id="rId16313" location="" tooltip="" display=""/>
    <hyperlink ref="L8160" r:id="rId16314" location="" tooltip="" display=""/>
    <hyperlink ref="Q8160" r:id="rId16315" location="" tooltip="" display=""/>
    <hyperlink ref="R8160" r:id="rId16316" location="" tooltip="" display=""/>
    <hyperlink ref="L8161" r:id="rId16317" location="" tooltip="" display=""/>
    <hyperlink ref="R8161" r:id="rId16318" location="" tooltip="" display=""/>
    <hyperlink ref="L8162" r:id="rId16319" location="" tooltip="" display=""/>
    <hyperlink ref="R8162" r:id="rId16320" location="" tooltip="" display=""/>
    <hyperlink ref="K8164" r:id="rId16321" location="" tooltip="" display=""/>
    <hyperlink ref="L8164" r:id="rId16322" location="" tooltip="" display=""/>
    <hyperlink ref="Q8164" r:id="rId16323" location="" tooltip="" display=""/>
    <hyperlink ref="R8164" r:id="rId16324" location="" tooltip="" display=""/>
    <hyperlink ref="L8165" r:id="rId16325" location="" tooltip="" display=""/>
    <hyperlink ref="R8165" r:id="rId16326" location="" tooltip="" display=""/>
    <hyperlink ref="K8167" r:id="rId16327" location="" tooltip="" display=""/>
    <hyperlink ref="L8167" r:id="rId16328" location="" tooltip="" display=""/>
    <hyperlink ref="Q8167" r:id="rId16329" location="" tooltip="" display=""/>
    <hyperlink ref="R8167" r:id="rId16330" location="" tooltip="" display=""/>
    <hyperlink ref="L8168" r:id="rId16331" location="" tooltip="" display=""/>
    <hyperlink ref="R8168" r:id="rId16332" location="" tooltip="" display=""/>
    <hyperlink ref="L8170" r:id="rId16333" location="" tooltip="" display=""/>
    <hyperlink ref="R8170" r:id="rId16334" location="" tooltip="" display=""/>
    <hyperlink ref="L8171" r:id="rId16335" location="" tooltip="" display=""/>
    <hyperlink ref="R8171" r:id="rId16336" location="" tooltip="" display=""/>
    <hyperlink ref="L8172" r:id="rId16337" location="" tooltip="" display=""/>
    <hyperlink ref="R8172" r:id="rId16338" location="" tooltip="" display=""/>
    <hyperlink ref="K8173" r:id="rId16339" location="" tooltip="" display=""/>
    <hyperlink ref="L8173" r:id="rId16340" location="" tooltip="" display=""/>
    <hyperlink ref="Q8173" r:id="rId16341" location="" tooltip="" display=""/>
    <hyperlink ref="R8173" r:id="rId16342" location="" tooltip="" display=""/>
    <hyperlink ref="L8174" r:id="rId16343" location="" tooltip="" display=""/>
    <hyperlink ref="R8174" r:id="rId16344" location="" tooltip="" display=""/>
    <hyperlink ref="L8175" r:id="rId16345" location="" tooltip="" display=""/>
    <hyperlink ref="R8175" r:id="rId16346" location="" tooltip="" display=""/>
    <hyperlink ref="L8176" r:id="rId16347" location="" tooltip="" display=""/>
    <hyperlink ref="R8176" r:id="rId16348" location="" tooltip="" display=""/>
    <hyperlink ref="L8177" r:id="rId16349" location="" tooltip="" display=""/>
    <hyperlink ref="R8177" r:id="rId16350" location="" tooltip="" display=""/>
    <hyperlink ref="K8179" r:id="rId16351" location="" tooltip="" display=""/>
    <hyperlink ref="L8179" r:id="rId16352" location="" tooltip="" display=""/>
    <hyperlink ref="Q8179" r:id="rId16353" location="" tooltip="" display=""/>
    <hyperlink ref="R8179" r:id="rId16354" location="" tooltip="" display=""/>
    <hyperlink ref="L8180" r:id="rId16355" location="" tooltip="" display=""/>
    <hyperlink ref="R8180" r:id="rId16356" location="" tooltip="" display=""/>
    <hyperlink ref="K8182" r:id="rId16357" location="" tooltip="" display=""/>
    <hyperlink ref="L8182" r:id="rId16358" location="" tooltip="" display=""/>
    <hyperlink ref="Q8182" r:id="rId16359" location="" tooltip="" display=""/>
    <hyperlink ref="R8182" r:id="rId16360" location="" tooltip="" display=""/>
    <hyperlink ref="L8183" r:id="rId16361" location="" tooltip="" display=""/>
    <hyperlink ref="R8183" r:id="rId16362" location="" tooltip="" display=""/>
    <hyperlink ref="L8185" r:id="rId16363" location="" tooltip="" display=""/>
    <hyperlink ref="R8185" r:id="rId16364" location="" tooltip="" display=""/>
    <hyperlink ref="K8186" r:id="rId16365" location="" tooltip="" display=""/>
    <hyperlink ref="L8186" r:id="rId16366" location="" tooltip="" display=""/>
    <hyperlink ref="Q8186" r:id="rId16367" location="" tooltip="" display=""/>
    <hyperlink ref="R8186" r:id="rId16368" location="" tooltip="" display=""/>
    <hyperlink ref="L8187" r:id="rId16369" location="" tooltip="" display=""/>
    <hyperlink ref="R8187" r:id="rId16370" location="" tooltip="" display=""/>
    <hyperlink ref="L8189" r:id="rId16371" location="" tooltip="" display=""/>
    <hyperlink ref="R8189" r:id="rId16372" location="" tooltip="" display=""/>
    <hyperlink ref="K8190" r:id="rId16373" location="" tooltip="" display=""/>
    <hyperlink ref="L8190" r:id="rId16374" location="" tooltip="" display=""/>
    <hyperlink ref="Q8190" r:id="rId16375" location="" tooltip="" display=""/>
    <hyperlink ref="R8190" r:id="rId16376" location="" tooltip="" display=""/>
    <hyperlink ref="L8191" r:id="rId16377" location="" tooltip="" display=""/>
    <hyperlink ref="R8191" r:id="rId16378" location="" tooltip="" display=""/>
    <hyperlink ref="L8193" r:id="rId16379" location="" tooltip="" display=""/>
    <hyperlink ref="R8193" r:id="rId16380" location="" tooltip="" display=""/>
    <hyperlink ref="L8194" r:id="rId16381" location="" tooltip="" display=""/>
    <hyperlink ref="R8194" r:id="rId16382" location="" tooltip="" display=""/>
    <hyperlink ref="L8195" r:id="rId16383" location="" tooltip="" display=""/>
    <hyperlink ref="R8195" r:id="rId16384" location="" tooltip="" display=""/>
    <hyperlink ref="K8196" r:id="rId16385" location="" tooltip="" display=""/>
    <hyperlink ref="L8196" r:id="rId16386" location="" tooltip="" display=""/>
    <hyperlink ref="Q8196" r:id="rId16387" location="" tooltip="" display=""/>
    <hyperlink ref="R8196" r:id="rId16388" location="" tooltip="" display=""/>
    <hyperlink ref="L8197" r:id="rId16389" location="" tooltip="" display=""/>
    <hyperlink ref="R8197" r:id="rId16390" location="" tooltip="" display=""/>
    <hyperlink ref="L8198" r:id="rId16391" location="" tooltip="" display=""/>
    <hyperlink ref="R8198" r:id="rId16392" location="" tooltip="" display=""/>
    <hyperlink ref="L8199" r:id="rId16393" location="" tooltip="" display=""/>
    <hyperlink ref="R8199" r:id="rId16394" location="" tooltip="" display=""/>
    <hyperlink ref="L8201" r:id="rId16395" location="" tooltip="" display=""/>
    <hyperlink ref="R8201" r:id="rId16396" location="" tooltip="" display=""/>
    <hyperlink ref="L8202" r:id="rId16397" location="" tooltip="" display=""/>
    <hyperlink ref="R8202" r:id="rId16398" location="" tooltip="" display=""/>
    <hyperlink ref="K8203" r:id="rId16399" location="" tooltip="" display=""/>
    <hyperlink ref="L8203" r:id="rId16400" location="" tooltip="" display=""/>
    <hyperlink ref="Q8203" r:id="rId16401" location="" tooltip="" display=""/>
    <hyperlink ref="R8203" r:id="rId16402" location="" tooltip="" display=""/>
    <hyperlink ref="L8204" r:id="rId16403" location="" tooltip="" display=""/>
    <hyperlink ref="R8204" r:id="rId16404" location="" tooltip="" display=""/>
    <hyperlink ref="L8205" r:id="rId16405" location="" tooltip="" display=""/>
    <hyperlink ref="R8205" r:id="rId16406" location="" tooltip="" display=""/>
    <hyperlink ref="L8206" r:id="rId16407" location="" tooltip="" display=""/>
    <hyperlink ref="R8206" r:id="rId16408" location="" tooltip="" display=""/>
    <hyperlink ref="K8208" r:id="rId16409" location="" tooltip="" display=""/>
    <hyperlink ref="L8208" r:id="rId16410" location="" tooltip="" display=""/>
    <hyperlink ref="Q8208" r:id="rId16411" location="" tooltip="" display=""/>
    <hyperlink ref="R8208" r:id="rId16412" location="" tooltip="" display=""/>
    <hyperlink ref="L8209" r:id="rId16413" location="" tooltip="" display=""/>
    <hyperlink ref="R8209" r:id="rId16414" location="" tooltip="" display=""/>
    <hyperlink ref="L8211" r:id="rId16415" location="" tooltip="" display=""/>
    <hyperlink ref="R8211" r:id="rId16416" location="" tooltip="" display=""/>
    <hyperlink ref="L8212" r:id="rId16417" location="" tooltip="" display=""/>
    <hyperlink ref="R8212" r:id="rId16418" location="" tooltip="" display=""/>
    <hyperlink ref="K8213" r:id="rId16419" location="" tooltip="" display=""/>
    <hyperlink ref="L8213" r:id="rId16420" location="" tooltip="" display=""/>
    <hyperlink ref="Q8213" r:id="rId16421" location="" tooltip="" display=""/>
    <hyperlink ref="R8213" r:id="rId16422" location="" tooltip="" display=""/>
    <hyperlink ref="L8214" r:id="rId16423" location="" tooltip="" display=""/>
    <hyperlink ref="R8214" r:id="rId16424" location="" tooltip="" display=""/>
    <hyperlink ref="L8215" r:id="rId16425" location="" tooltip="" display=""/>
    <hyperlink ref="R8215" r:id="rId16426" location="" tooltip="" display=""/>
    <hyperlink ref="K8217" r:id="rId16427" location="" tooltip="" display=""/>
    <hyperlink ref="L8217" r:id="rId16428" location="" tooltip="" display=""/>
    <hyperlink ref="Q8217" r:id="rId16429" location="" tooltip="" display=""/>
    <hyperlink ref="R8217" r:id="rId16430" location="" tooltip="" display=""/>
    <hyperlink ref="L8219" r:id="rId16431" location="" tooltip="" display=""/>
    <hyperlink ref="R8219" r:id="rId16432" location="" tooltip="" display=""/>
    <hyperlink ref="K8220" r:id="rId16433" location="" tooltip="" display=""/>
    <hyperlink ref="L8220" r:id="rId16434" location="" tooltip="" display=""/>
    <hyperlink ref="Q8220" r:id="rId16435" location="" tooltip="" display=""/>
    <hyperlink ref="R8220" r:id="rId16436" location="" tooltip="" display=""/>
    <hyperlink ref="L8221" r:id="rId16437" location="" tooltip="" display=""/>
    <hyperlink ref="R8221" r:id="rId16438" location="" tooltip="" display=""/>
    <hyperlink ref="L8222" r:id="rId16439" location="" tooltip="" display=""/>
    <hyperlink ref="R8222" r:id="rId16440" location="" tooltip="" display=""/>
    <hyperlink ref="L8224" r:id="rId16441" location="" tooltip="" display=""/>
    <hyperlink ref="R8224" r:id="rId16442" location="" tooltip="" display=""/>
    <hyperlink ref="K8225" r:id="rId16443" location="" tooltip="" display=""/>
    <hyperlink ref="L8225" r:id="rId16444" location="" tooltip="" display=""/>
    <hyperlink ref="Q8225" r:id="rId16445" location="" tooltip="" display=""/>
    <hyperlink ref="R8225" r:id="rId16446" location="" tooltip="" display=""/>
    <hyperlink ref="L8226" r:id="rId16447" location="" tooltip="" display=""/>
    <hyperlink ref="R8226" r:id="rId16448" location="" tooltip="" display=""/>
    <hyperlink ref="L8227" r:id="rId16449" location="" tooltip="" display=""/>
    <hyperlink ref="R8227" r:id="rId16450" location="" tooltip="" display=""/>
    <hyperlink ref="K8229" r:id="rId16451" location="" tooltip="" display=""/>
    <hyperlink ref="L8229" r:id="rId16452" location="" tooltip="" display=""/>
    <hyperlink ref="Q8229" r:id="rId16453" location="" tooltip="" display=""/>
    <hyperlink ref="R8229" r:id="rId16454" location="" tooltip="" display=""/>
    <hyperlink ref="L8230" r:id="rId16455" location="" tooltip="" display=""/>
    <hyperlink ref="R8230" r:id="rId16456" location="" tooltip="" display=""/>
    <hyperlink ref="K8232" r:id="rId16457" location="" tooltip="" display=""/>
    <hyperlink ref="L8232" r:id="rId16458" location="" tooltip="" display=""/>
    <hyperlink ref="Q8232" r:id="rId16459" location="" tooltip="" display=""/>
    <hyperlink ref="R8232" r:id="rId16460" location="" tooltip="" display=""/>
    <hyperlink ref="L8233" r:id="rId16461" location="" tooltip="" display=""/>
    <hyperlink ref="R8233" r:id="rId16462" location="" tooltip="" display=""/>
    <hyperlink ref="K8235" r:id="rId16463" location="" tooltip="" display=""/>
    <hyperlink ref="L8235" r:id="rId16464" location="" tooltip="" display=""/>
    <hyperlink ref="Q8235" r:id="rId16465" location="" tooltip="" display=""/>
    <hyperlink ref="R8235" r:id="rId16466" location="" tooltip="" display=""/>
    <hyperlink ref="L8237" r:id="rId16467" location="" tooltip="" display=""/>
    <hyperlink ref="R8237" r:id="rId16468" location="" tooltip="" display=""/>
    <hyperlink ref="K8238" r:id="rId16469" location="" tooltip="" display=""/>
    <hyperlink ref="L8238" r:id="rId16470" location="" tooltip="" display=""/>
    <hyperlink ref="Q8238" r:id="rId16471" location="" tooltip="" display=""/>
    <hyperlink ref="R8238" r:id="rId16472" location="" tooltip="" display=""/>
    <hyperlink ref="L8239" r:id="rId16473" location="" tooltip="" display=""/>
    <hyperlink ref="R8239" r:id="rId16474" location="" tooltip="" display=""/>
    <hyperlink ref="K8241" r:id="rId16475" location="" tooltip="" display=""/>
    <hyperlink ref="L8241" r:id="rId16476" location="" tooltip="" display=""/>
    <hyperlink ref="Q8241" r:id="rId16477" location="" tooltip="" display=""/>
    <hyperlink ref="R8241" r:id="rId16478" location="" tooltip="" display=""/>
    <hyperlink ref="L8242" r:id="rId16479" location="" tooltip="" display=""/>
    <hyperlink ref="R8242" r:id="rId16480" location="" tooltip="" display=""/>
    <hyperlink ref="K8244" r:id="rId16481" location="" tooltip="" display=""/>
    <hyperlink ref="L8244" r:id="rId16482" location="" tooltip="" display=""/>
    <hyperlink ref="Q8244" r:id="rId16483" location="" tooltip="" display=""/>
    <hyperlink ref="R8244" r:id="rId16484" location="" tooltip="" display=""/>
    <hyperlink ref="K8246" r:id="rId16485" location="" tooltip="" display=""/>
    <hyperlink ref="L8246" r:id="rId16486" location="" tooltip="" display=""/>
    <hyperlink ref="Q8246" r:id="rId16487" location="" tooltip="" display=""/>
    <hyperlink ref="R8246" r:id="rId16488" location="" tooltip="" display=""/>
    <hyperlink ref="L8248" r:id="rId16489" location="" tooltip="" display=""/>
    <hyperlink ref="R8248" r:id="rId16490" location="" tooltip="" display=""/>
    <hyperlink ref="K8249" r:id="rId16491" location="" tooltip="" display=""/>
    <hyperlink ref="L8249" r:id="rId16492" location="" tooltip="" display=""/>
    <hyperlink ref="Q8249" r:id="rId16493" location="" tooltip="" display=""/>
    <hyperlink ref="R8249" r:id="rId16494" location="" tooltip="" display=""/>
    <hyperlink ref="L8250" r:id="rId16495" location="" tooltip="" display=""/>
    <hyperlink ref="R8250" r:id="rId16496" location="" tooltip="" display=""/>
    <hyperlink ref="L8251" r:id="rId16497" location="" tooltip="" display=""/>
    <hyperlink ref="R8251" r:id="rId16498" location="" tooltip="" display=""/>
    <hyperlink ref="L8253" r:id="rId16499" location="" tooltip="" display=""/>
    <hyperlink ref="R8253" r:id="rId16500" location="" tooltip="" display=""/>
    <hyperlink ref="K8254" r:id="rId16501" location="" tooltip="" display=""/>
    <hyperlink ref="L8254" r:id="rId16502" location="" tooltip="" display=""/>
    <hyperlink ref="Q8254" r:id="rId16503" location="" tooltip="" display=""/>
    <hyperlink ref="R8254" r:id="rId16504" location="" tooltip="" display=""/>
    <hyperlink ref="L8255" r:id="rId16505" location="" tooltip="" display=""/>
    <hyperlink ref="R8255" r:id="rId16506" location="" tooltip="" display=""/>
    <hyperlink ref="L8257" r:id="rId16507" location="" tooltip="" display=""/>
    <hyperlink ref="R8257" r:id="rId16508" location="" tooltip="" display=""/>
    <hyperlink ref="K8258" r:id="rId16509" location="" tooltip="" display=""/>
    <hyperlink ref="L8258" r:id="rId16510" location="" tooltip="" display=""/>
    <hyperlink ref="Q8258" r:id="rId16511" location="" tooltip="" display=""/>
    <hyperlink ref="R8258" r:id="rId16512" location="" tooltip="" display=""/>
    <hyperlink ref="L8259" r:id="rId16513" location="" tooltip="" display=""/>
    <hyperlink ref="R8259" r:id="rId16514" location="" tooltip="" display=""/>
    <hyperlink ref="L8260" r:id="rId16515" location="" tooltip="" display=""/>
    <hyperlink ref="R8260" r:id="rId16516" location="" tooltip="" display=""/>
    <hyperlink ref="L8262" r:id="rId16517" location="" tooltip="" display=""/>
    <hyperlink ref="R8262" r:id="rId16518" location="" tooltip="" display=""/>
    <hyperlink ref="K8263" r:id="rId16519" location="" tooltip="" display=""/>
    <hyperlink ref="L8263" r:id="rId16520" location="" tooltip="" display=""/>
    <hyperlink ref="Q8263" r:id="rId16521" location="" tooltip="" display=""/>
    <hyperlink ref="R8263" r:id="rId16522" location="" tooltip="" display=""/>
    <hyperlink ref="L8264" r:id="rId16523" location="" tooltip="" display=""/>
    <hyperlink ref="R8264" r:id="rId16524" location="" tooltip="" display=""/>
    <hyperlink ref="L8265" r:id="rId16525" location="" tooltip="" display=""/>
    <hyperlink ref="R8265" r:id="rId16526" location="" tooltip="" display=""/>
    <hyperlink ref="L8267" r:id="rId16527" location="" tooltip="" display=""/>
    <hyperlink ref="R8267" r:id="rId16528" location="" tooltip="" display=""/>
    <hyperlink ref="L8268" r:id="rId16529" location="" tooltip="" display=""/>
    <hyperlink ref="R8268" r:id="rId16530" location="" tooltip="" display=""/>
    <hyperlink ref="K8269" r:id="rId16531" location="" tooltip="" display=""/>
    <hyperlink ref="L8269" r:id="rId16532" location="" tooltip="" display=""/>
    <hyperlink ref="Q8269" r:id="rId16533" location="" tooltip="" display=""/>
    <hyperlink ref="R8269" r:id="rId16534" location="" tooltip="" display=""/>
    <hyperlink ref="L8270" r:id="rId16535" location="" tooltip="" display=""/>
    <hyperlink ref="R8270" r:id="rId16536" location="" tooltip="" display=""/>
    <hyperlink ref="L8271" r:id="rId16537" location="" tooltip="" display=""/>
    <hyperlink ref="R8271" r:id="rId16538" location="" tooltip="" display=""/>
    <hyperlink ref="L8272" r:id="rId16539" location="" tooltip="" display=""/>
    <hyperlink ref="R8272" r:id="rId16540" location="" tooltip="" display=""/>
    <hyperlink ref="K8274" r:id="rId16541" location="" tooltip="" display=""/>
    <hyperlink ref="L8274" r:id="rId16542" location="" tooltip="" display=""/>
    <hyperlink ref="Q8274" r:id="rId16543" location="" tooltip="" display=""/>
    <hyperlink ref="R8274" r:id="rId16544" location="" tooltip="" display=""/>
    <hyperlink ref="L8275" r:id="rId16545" location="" tooltip="" display=""/>
    <hyperlink ref="R8275" r:id="rId16546" location="" tooltip="" display=""/>
    <hyperlink ref="L8277" r:id="rId16547" location="" tooltip="" display=""/>
    <hyperlink ref="R8277" r:id="rId16548" location="" tooltip="" display=""/>
    <hyperlink ref="K8278" r:id="rId16549" location="" tooltip="" display=""/>
    <hyperlink ref="L8278" r:id="rId16550" location="" tooltip="" display=""/>
    <hyperlink ref="Q8278" r:id="rId16551" location="" tooltip="" display=""/>
    <hyperlink ref="R8278" r:id="rId16552" location="" tooltip="" display=""/>
    <hyperlink ref="L8279" r:id="rId16553" location="" tooltip="" display=""/>
    <hyperlink ref="R8279" r:id="rId16554" location="" tooltip="" display=""/>
    <hyperlink ref="L8280" r:id="rId16555" location="" tooltip="" display=""/>
    <hyperlink ref="R8280" r:id="rId16556" location="" tooltip="" display=""/>
    <hyperlink ref="K8282" r:id="rId16557" location="" tooltip="" display=""/>
    <hyperlink ref="L8282" r:id="rId16558" location="" tooltip="" display=""/>
    <hyperlink ref="Q8282" r:id="rId16559" location="" tooltip="" display=""/>
    <hyperlink ref="R8282" r:id="rId16560" location="" tooltip="" display=""/>
    <hyperlink ref="K8284" r:id="rId16561" location="" tooltip="" display=""/>
    <hyperlink ref="L8284" r:id="rId16562" location="" tooltip="" display=""/>
    <hyperlink ref="Q8284" r:id="rId16563" location="" tooltip="" display=""/>
    <hyperlink ref="R8284" r:id="rId16564" location="" tooltip="" display=""/>
    <hyperlink ref="K8286" r:id="rId16565" location="" tooltip="" display=""/>
    <hyperlink ref="L8286" r:id="rId16566" location="" tooltip="" display=""/>
    <hyperlink ref="Q8286" r:id="rId16567" location="" tooltip="" display=""/>
    <hyperlink ref="R8286" r:id="rId16568" location="" tooltip="" display=""/>
    <hyperlink ref="K8288" r:id="rId16569" location="" tooltip="" display=""/>
    <hyperlink ref="L8288" r:id="rId16570" location="" tooltip="" display=""/>
    <hyperlink ref="Q8288" r:id="rId16571" location="" tooltip="" display=""/>
    <hyperlink ref="R8288" r:id="rId16572" location="" tooltip="" display=""/>
    <hyperlink ref="L8289" r:id="rId16573" location="" tooltip="" display=""/>
    <hyperlink ref="R8289" r:id="rId16574" location="" tooltip="" display=""/>
    <hyperlink ref="K8291" r:id="rId16575" location="" tooltip="" display=""/>
    <hyperlink ref="L8291" r:id="rId16576" location="" tooltip="" display=""/>
    <hyperlink ref="Q8291" r:id="rId16577" location="" tooltip="" display=""/>
    <hyperlink ref="R8291" r:id="rId16578" location="" tooltip="" display=""/>
    <hyperlink ref="K8293" r:id="rId16579" location="" tooltip="" display=""/>
    <hyperlink ref="L8293" r:id="rId16580" location="" tooltip="" display=""/>
    <hyperlink ref="Q8293" r:id="rId16581" location="" tooltip="" display=""/>
    <hyperlink ref="R8293" r:id="rId16582" location="" tooltip="" display=""/>
    <hyperlink ref="K8295" r:id="rId16583" location="" tooltip="" display=""/>
    <hyperlink ref="L8295" r:id="rId16584" location="" tooltip="" display=""/>
    <hyperlink ref="Q8295" r:id="rId16585" location="" tooltip="" display=""/>
    <hyperlink ref="R8295" r:id="rId16586" location="" tooltip="" display=""/>
    <hyperlink ref="L8296" r:id="rId16587" location="" tooltip="" display=""/>
    <hyperlink ref="R8296" r:id="rId16588" location="" tooltip="" display=""/>
    <hyperlink ref="K8298" r:id="rId16589" location="" tooltip="" display=""/>
    <hyperlink ref="L8298" r:id="rId16590" location="" tooltip="" display=""/>
    <hyperlink ref="Q8298" r:id="rId16591" location="" tooltip="" display=""/>
    <hyperlink ref="R8298" r:id="rId16592" location="" tooltip="" display=""/>
    <hyperlink ref="L8299" r:id="rId16593" location="" tooltip="" display=""/>
    <hyperlink ref="R8299" r:id="rId16594" location="" tooltip="" display=""/>
    <hyperlink ref="K8301" r:id="rId16595" location="" tooltip="" display=""/>
    <hyperlink ref="L8301" r:id="rId16596" location="" tooltip="" display=""/>
    <hyperlink ref="Q8301" r:id="rId16597" location="" tooltip="" display=""/>
    <hyperlink ref="R8301" r:id="rId16598" location="" tooltip="" display=""/>
    <hyperlink ref="L8302" r:id="rId16599" location="" tooltip="" display=""/>
    <hyperlink ref="R8302" r:id="rId16600" location="" tooltip="" display=""/>
    <hyperlink ref="L8304" r:id="rId16601" location="" tooltip="" display=""/>
    <hyperlink ref="R8304" r:id="rId16602" location="" tooltip="" display=""/>
    <hyperlink ref="L8305" r:id="rId16603" location="" tooltip="" display=""/>
    <hyperlink ref="R8305" r:id="rId16604" location="" tooltip="" display=""/>
    <hyperlink ref="K8306" r:id="rId16605" location="" tooltip="" display=""/>
    <hyperlink ref="L8306" r:id="rId16606" location="" tooltip="" display=""/>
    <hyperlink ref="Q8306" r:id="rId16607" location="" tooltip="" display=""/>
    <hyperlink ref="R8306" r:id="rId16608" location="" tooltip="" display=""/>
    <hyperlink ref="L8307" r:id="rId16609" location="" tooltip="" display=""/>
    <hyperlink ref="R8307" r:id="rId16610" location="" tooltip="" display=""/>
    <hyperlink ref="L8308" r:id="rId16611" location="" tooltip="" display=""/>
    <hyperlink ref="R8308" r:id="rId16612" location="" tooltip="" display=""/>
    <hyperlink ref="L8309" r:id="rId16613" location="" tooltip="" display=""/>
    <hyperlink ref="R8309" r:id="rId16614" location="" tooltip="" display=""/>
    <hyperlink ref="K8311" r:id="rId16615" location="" tooltip="" display=""/>
    <hyperlink ref="L8311" r:id="rId16616" location="" tooltip="" display=""/>
    <hyperlink ref="Q8311" r:id="rId16617" location="" tooltip="" display=""/>
    <hyperlink ref="R8311" r:id="rId16618" location="" tooltip="" display=""/>
    <hyperlink ref="K8313" r:id="rId16619" location="" tooltip="" display=""/>
    <hyperlink ref="L8313" r:id="rId16620" location="" tooltip="" display=""/>
    <hyperlink ref="Q8313" r:id="rId16621" location="" tooltip="" display=""/>
    <hyperlink ref="R8313" r:id="rId16622" location="" tooltip="" display=""/>
    <hyperlink ref="L8314" r:id="rId16623" location="" tooltip="" display=""/>
    <hyperlink ref="R8314" r:id="rId16624" location="" tooltip="" display=""/>
    <hyperlink ref="K8316" r:id="rId16625" location="" tooltip="" display=""/>
    <hyperlink ref="L8316" r:id="rId16626" location="" tooltip="" display=""/>
    <hyperlink ref="Q8316" r:id="rId16627" location="" tooltip="" display=""/>
    <hyperlink ref="R8316" r:id="rId16628" location="" tooltip="" display=""/>
    <hyperlink ref="L8318" r:id="rId16629" location="" tooltip="" display=""/>
    <hyperlink ref="R8318" r:id="rId16630" location="" tooltip="" display=""/>
    <hyperlink ref="K8319" r:id="rId16631" location="" tooltip="" display=""/>
    <hyperlink ref="L8319" r:id="rId16632" location="" tooltip="" display=""/>
    <hyperlink ref="Q8319" r:id="rId16633" location="" tooltip="" display=""/>
    <hyperlink ref="R8319" r:id="rId16634" location="" tooltip="" display=""/>
    <hyperlink ref="L8320" r:id="rId16635" location="" tooltip="" display=""/>
    <hyperlink ref="R8320" r:id="rId16636" location="" tooltip="" display=""/>
    <hyperlink ref="L8321" r:id="rId16637" location="" tooltip="" display=""/>
    <hyperlink ref="R8321" r:id="rId16638" location="" tooltip="" display=""/>
    <hyperlink ref="L8323" r:id="rId16639" location="" tooltip="" display=""/>
    <hyperlink ref="R8323" r:id="rId16640" location="" tooltip="" display=""/>
    <hyperlink ref="K8324" r:id="rId16641" location="" tooltip="" display=""/>
    <hyperlink ref="L8324" r:id="rId16642" location="" tooltip="" display=""/>
    <hyperlink ref="Q8324" r:id="rId16643" location="" tooltip="" display=""/>
    <hyperlink ref="R8324" r:id="rId16644" location="" tooltip="" display=""/>
    <hyperlink ref="L8325" r:id="rId16645" location="" tooltip="" display=""/>
    <hyperlink ref="R8325" r:id="rId16646" location="" tooltip="" display=""/>
    <hyperlink ref="L8326" r:id="rId16647" location="" tooltip="" display=""/>
    <hyperlink ref="R8326" r:id="rId16648" location="" tooltip="" display=""/>
    <hyperlink ref="K8328" r:id="rId16649" location="" tooltip="" display=""/>
    <hyperlink ref="L8328" r:id="rId16650" location="" tooltip="" display=""/>
    <hyperlink ref="Q8328" r:id="rId16651" location="" tooltip="" display=""/>
    <hyperlink ref="R8328" r:id="rId16652" location="" tooltip="" display=""/>
    <hyperlink ref="L8329" r:id="rId16653" location="" tooltip="" display=""/>
    <hyperlink ref="R8329" r:id="rId16654" location="" tooltip="" display=""/>
    <hyperlink ref="L8331" r:id="rId16655" location="" tooltip="" display=""/>
    <hyperlink ref="R8331" r:id="rId16656" location="" tooltip="" display=""/>
    <hyperlink ref="K8332" r:id="rId16657" location="" tooltip="" display=""/>
    <hyperlink ref="L8332" r:id="rId16658" location="" tooltip="" display=""/>
    <hyperlink ref="Q8332" r:id="rId16659" location="" tooltip="" display=""/>
    <hyperlink ref="R8332" r:id="rId16660" location="" tooltip="" display=""/>
    <hyperlink ref="L8333" r:id="rId16661" location="" tooltip="" display=""/>
    <hyperlink ref="R8333" r:id="rId16662" location="" tooltip="" display=""/>
    <hyperlink ref="L8334" r:id="rId16663" location="" tooltip="" display=""/>
    <hyperlink ref="R8334" r:id="rId16664" location="" tooltip="" display=""/>
    <hyperlink ref="L8336" r:id="rId16665" location="" tooltip="" display=""/>
    <hyperlink ref="R8336" r:id="rId16666" location="" tooltip="" display=""/>
    <hyperlink ref="K8337" r:id="rId16667" location="" tooltip="" display=""/>
    <hyperlink ref="L8337" r:id="rId16668" location="" tooltip="" display=""/>
    <hyperlink ref="Q8337" r:id="rId16669" location="" tooltip="" display=""/>
    <hyperlink ref="R8337" r:id="rId16670" location="" tooltip="" display=""/>
    <hyperlink ref="L8338" r:id="rId16671" location="" tooltip="" display=""/>
    <hyperlink ref="R8338" r:id="rId16672" location="" tooltip="" display=""/>
    <hyperlink ref="L8339" r:id="rId16673" location="" tooltip="" display=""/>
    <hyperlink ref="R8339" r:id="rId16674" location="" tooltip="" display=""/>
    <hyperlink ref="K8341" r:id="rId16675" location="" tooltip="" display=""/>
    <hyperlink ref="L8341" r:id="rId16676" location="" tooltip="" display=""/>
    <hyperlink ref="Q8341" r:id="rId16677" location="" tooltip="" display=""/>
    <hyperlink ref="R8341" r:id="rId16678" location="" tooltip="" display=""/>
    <hyperlink ref="L8342" r:id="rId16679" location="" tooltip="" display=""/>
    <hyperlink ref="R8342" r:id="rId16680" location="" tooltip="" display=""/>
    <hyperlink ref="L8344" r:id="rId16681" location="" tooltip="" display=""/>
    <hyperlink ref="R8344" r:id="rId16682" location="" tooltip="" display=""/>
    <hyperlink ref="L8345" r:id="rId16683" location="" tooltip="" display=""/>
    <hyperlink ref="R8345" r:id="rId16684" location="" tooltip="" display=""/>
    <hyperlink ref="K8346" r:id="rId16685" location="" tooltip="" display=""/>
    <hyperlink ref="L8346" r:id="rId16686" location="" tooltip="" display=""/>
    <hyperlink ref="Q8346" r:id="rId16687" location="" tooltip="" display=""/>
    <hyperlink ref="R8346" r:id="rId16688" location="" tooltip="" display=""/>
    <hyperlink ref="L8347" r:id="rId16689" location="" tooltip="" display=""/>
    <hyperlink ref="R8347" r:id="rId16690" location="" tooltip="" display=""/>
    <hyperlink ref="L8348" r:id="rId16691" location="" tooltip="" display=""/>
    <hyperlink ref="R8348" r:id="rId16692" location="" tooltip="" display=""/>
    <hyperlink ref="L8350" r:id="rId16693" location="" tooltip="" display=""/>
    <hyperlink ref="R8350" r:id="rId16694" location="" tooltip="" display=""/>
    <hyperlink ref="K8351" r:id="rId16695" location="" tooltip="" display=""/>
    <hyperlink ref="L8351" r:id="rId16696" location="" tooltip="" display=""/>
    <hyperlink ref="Q8351" r:id="rId16697" location="" tooltip="" display=""/>
    <hyperlink ref="R8351" r:id="rId16698" location="" tooltip="" display=""/>
    <hyperlink ref="L8352" r:id="rId16699" location="" tooltip="" display=""/>
    <hyperlink ref="R8352" r:id="rId16700" location="" tooltip="" display=""/>
    <hyperlink ref="L8354" r:id="rId16701" location="" tooltip="" display=""/>
    <hyperlink ref="R8354" r:id="rId16702" location="" tooltip="" display=""/>
    <hyperlink ref="K8355" r:id="rId16703" location="" tooltip="" display=""/>
    <hyperlink ref="L8355" r:id="rId16704" location="" tooltip="" display=""/>
    <hyperlink ref="Q8355" r:id="rId16705" location="" tooltip="" display=""/>
    <hyperlink ref="R8355" r:id="rId16706" location="" tooltip="" display=""/>
    <hyperlink ref="L8356" r:id="rId16707" location="" tooltip="" display=""/>
    <hyperlink ref="R8356" r:id="rId16708" location="" tooltip="" display=""/>
    <hyperlink ref="L8358" r:id="rId16709" location="" tooltip="" display=""/>
    <hyperlink ref="R8358" r:id="rId16710" location="" tooltip="" display=""/>
    <hyperlink ref="K8359" r:id="rId16711" location="" tooltip="" display=""/>
    <hyperlink ref="L8359" r:id="rId16712" location="" tooltip="" display=""/>
    <hyperlink ref="Q8359" r:id="rId16713" location="" tooltip="" display=""/>
    <hyperlink ref="R8359" r:id="rId16714" location="" tooltip="" display=""/>
    <hyperlink ref="L8360" r:id="rId16715" location="" tooltip="" display=""/>
    <hyperlink ref="R8360" r:id="rId16716" location="" tooltip="" display=""/>
    <hyperlink ref="K8362" r:id="rId16717" location="" tooltip="" display=""/>
    <hyperlink ref="L8362" r:id="rId16718" location="" tooltip="" display=""/>
    <hyperlink ref="Q8362" r:id="rId16719" location="" tooltip="" display=""/>
    <hyperlink ref="R8362" r:id="rId16720" location="" tooltip="" display=""/>
    <hyperlink ref="K8364" r:id="rId16721" location="" tooltip="" display=""/>
    <hyperlink ref="L8364" r:id="rId16722" location="" tooltip="" display=""/>
    <hyperlink ref="Q8364" r:id="rId16723" location="" tooltip="" display=""/>
    <hyperlink ref="R8364" r:id="rId16724" location="" tooltip="" display=""/>
    <hyperlink ref="L8365" r:id="rId16725" location="" tooltip="" display=""/>
    <hyperlink ref="R8365" r:id="rId16726" location="" tooltip="" display=""/>
    <hyperlink ref="K8367" r:id="rId16727" location="" tooltip="" display=""/>
    <hyperlink ref="L8367" r:id="rId16728" location="" tooltip="" display=""/>
    <hyperlink ref="Q8367" r:id="rId16729" location="" tooltip="" display=""/>
    <hyperlink ref="R8367" r:id="rId16730" location="" tooltip="" display=""/>
    <hyperlink ref="L8368" r:id="rId16731" location="" tooltip="" display=""/>
    <hyperlink ref="R8368" r:id="rId16732" location="" tooltip="" display=""/>
    <hyperlink ref="L8370" r:id="rId16733" location="" tooltip="" display=""/>
    <hyperlink ref="R8370" r:id="rId16734" location="" tooltip="" display=""/>
    <hyperlink ref="K8371" r:id="rId16735" location="" tooltip="" display=""/>
    <hyperlink ref="L8371" r:id="rId16736" location="" tooltip="" display=""/>
    <hyperlink ref="Q8371" r:id="rId16737" location="" tooltip="" display=""/>
    <hyperlink ref="R8371" r:id="rId16738" location="" tooltip="" display=""/>
    <hyperlink ref="L8372" r:id="rId16739" location="" tooltip="" display=""/>
    <hyperlink ref="R8372" r:id="rId16740" location="" tooltip="" display=""/>
    <hyperlink ref="K8374" r:id="rId16741" location="" tooltip="" display=""/>
    <hyperlink ref="L8374" r:id="rId16742" location="" tooltip="" display=""/>
    <hyperlink ref="Q8374" r:id="rId16743" location="" tooltip="" display=""/>
    <hyperlink ref="R8374" r:id="rId16744" location="" tooltip="" display=""/>
    <hyperlink ref="K8376" r:id="rId16745" location="" tooltip="" display=""/>
    <hyperlink ref="L8376" r:id="rId16746" location="" tooltip="" display=""/>
    <hyperlink ref="Q8376" r:id="rId16747" location="" tooltip="" display=""/>
    <hyperlink ref="R8376" r:id="rId16748" location="" tooltip="" display=""/>
    <hyperlink ref="L8377" r:id="rId16749" location="" tooltip="" display=""/>
    <hyperlink ref="R8377" r:id="rId16750" location="" tooltip="" display=""/>
    <hyperlink ref="L8379" r:id="rId16751" location="" tooltip="" display=""/>
    <hyperlink ref="R8379" r:id="rId16752" location="" tooltip="" display=""/>
    <hyperlink ref="K8380" r:id="rId16753" location="" tooltip="" display=""/>
    <hyperlink ref="L8380" r:id="rId16754" location="" tooltip="" display=""/>
    <hyperlink ref="Q8380" r:id="rId16755" location="" tooltip="" display=""/>
    <hyperlink ref="R8380" r:id="rId16756" location="" tooltip="" display=""/>
    <hyperlink ref="L8381" r:id="rId16757" location="" tooltip="" display=""/>
    <hyperlink ref="R8381" r:id="rId16758" location="" tooltip="" display=""/>
    <hyperlink ref="K8383" r:id="rId16759" location="" tooltip="" display=""/>
    <hyperlink ref="L8383" r:id="rId16760" location="" tooltip="" display=""/>
    <hyperlink ref="Q8383" r:id="rId16761" location="" tooltip="" display=""/>
    <hyperlink ref="R8383" r:id="rId16762" location="" tooltip="" display=""/>
    <hyperlink ref="K8385" r:id="rId16763" location="" tooltip="" display=""/>
    <hyperlink ref="L8385" r:id="rId16764" location="" tooltip="" display=""/>
    <hyperlink ref="Q8385" r:id="rId16765" location="" tooltip="" display=""/>
    <hyperlink ref="R8385" r:id="rId16766" location="" tooltip="" display=""/>
    <hyperlink ref="L8386" r:id="rId16767" location="" tooltip="" display=""/>
    <hyperlink ref="R8386" r:id="rId16768" location="" tooltip="" display=""/>
    <hyperlink ref="K8388" r:id="rId16769" location="" tooltip="" display=""/>
    <hyperlink ref="L8388" r:id="rId16770" location="" tooltip="" display=""/>
    <hyperlink ref="Q8388" r:id="rId16771" location="" tooltip="" display=""/>
    <hyperlink ref="R8388" r:id="rId16772" location="" tooltip="" display=""/>
    <hyperlink ref="L8389" r:id="rId16773" location="" tooltip="" display=""/>
    <hyperlink ref="R8389" r:id="rId16774" location="" tooltip="" display=""/>
    <hyperlink ref="K8391" r:id="rId16775" location="" tooltip="" display=""/>
    <hyperlink ref="L8391" r:id="rId16776" location="" tooltip="" display=""/>
    <hyperlink ref="Q8391" r:id="rId16777" location="" tooltip="" display=""/>
    <hyperlink ref="R8391" r:id="rId16778" location="" tooltip="" display=""/>
    <hyperlink ref="L8392" r:id="rId16779" location="" tooltip="" display=""/>
    <hyperlink ref="R8392" r:id="rId16780" location="" tooltip="" display=""/>
    <hyperlink ref="K8394" r:id="rId16781" location="" tooltip="" display=""/>
    <hyperlink ref="L8394" r:id="rId16782" location="" tooltip="" display=""/>
    <hyperlink ref="Q8394" r:id="rId16783" location="" tooltip="" display=""/>
    <hyperlink ref="R8394" r:id="rId16784" location="" tooltip="" display=""/>
    <hyperlink ref="L8395" r:id="rId16785" location="" tooltip="" display=""/>
    <hyperlink ref="R8395" r:id="rId16786" location="" tooltip="" display=""/>
    <hyperlink ref="K8397" r:id="rId16787" location="" tooltip="" display=""/>
    <hyperlink ref="L8397" r:id="rId16788" location="" tooltip="" display=""/>
    <hyperlink ref="Q8397" r:id="rId16789" location="" tooltip="" display=""/>
    <hyperlink ref="R8397" r:id="rId16790" location="" tooltip="" display=""/>
    <hyperlink ref="L8398" r:id="rId16791" location="" tooltip="" display=""/>
    <hyperlink ref="R8398" r:id="rId16792" location="" tooltip="" display=""/>
    <hyperlink ref="K8400" r:id="rId16793" location="" tooltip="" display=""/>
    <hyperlink ref="L8400" r:id="rId16794" location="" tooltip="" display=""/>
    <hyperlink ref="Q8400" r:id="rId16795" location="" tooltip="" display=""/>
    <hyperlink ref="R8400" r:id="rId16796" location="" tooltip="" display=""/>
    <hyperlink ref="L8401" r:id="rId16797" location="" tooltip="" display=""/>
    <hyperlink ref="R8401" r:id="rId16798" location="" tooltip="" display=""/>
    <hyperlink ref="K8403" r:id="rId16799" location="" tooltip="" display=""/>
    <hyperlink ref="L8403" r:id="rId16800" location="" tooltip="" display=""/>
    <hyperlink ref="Q8403" r:id="rId16801" location="" tooltip="" display=""/>
    <hyperlink ref="R8403" r:id="rId16802" location="" tooltip="" display=""/>
    <hyperlink ref="L8404" r:id="rId16803" location="" tooltip="" display=""/>
    <hyperlink ref="R8404" r:id="rId16804" location="" tooltip="" display=""/>
    <hyperlink ref="L8406" r:id="rId16805" location="" tooltip="" display=""/>
    <hyperlink ref="R8406" r:id="rId16806" location="" tooltip="" display=""/>
    <hyperlink ref="K8407" r:id="rId16807" location="" tooltip="" display=""/>
    <hyperlink ref="L8407" r:id="rId16808" location="" tooltip="" display=""/>
    <hyperlink ref="Q8407" r:id="rId16809" location="" tooltip="" display=""/>
    <hyperlink ref="R8407" r:id="rId16810" location="" tooltip="" display=""/>
    <hyperlink ref="L8408" r:id="rId16811" location="" tooltip="" display=""/>
    <hyperlink ref="R8408" r:id="rId16812" location="" tooltip="" display=""/>
    <hyperlink ref="K8410" r:id="rId16813" location="" tooltip="" display=""/>
    <hyperlink ref="L8410" r:id="rId16814" location="" tooltip="" display=""/>
    <hyperlink ref="Q8410" r:id="rId16815" location="" tooltip="" display=""/>
    <hyperlink ref="R8410" r:id="rId16816" location="" tooltip="" display=""/>
    <hyperlink ref="L8412" r:id="rId16817" location="" tooltip="" display=""/>
    <hyperlink ref="R8412" r:id="rId16818" location="" tooltip="" display=""/>
    <hyperlink ref="K8413" r:id="rId16819" location="" tooltip="" display=""/>
    <hyperlink ref="L8413" r:id="rId16820" location="" tooltip="" display=""/>
    <hyperlink ref="Q8413" r:id="rId16821" location="" tooltip="" display=""/>
    <hyperlink ref="R8413" r:id="rId16822" location="" tooltip="" display=""/>
    <hyperlink ref="L8414" r:id="rId16823" location="" tooltip="" display=""/>
    <hyperlink ref="R8414" r:id="rId16824" location="" tooltip="" display=""/>
    <hyperlink ref="L8415" r:id="rId16825" location="" tooltip="" display=""/>
    <hyperlink ref="R8415" r:id="rId16826" location="" tooltip="" display=""/>
    <hyperlink ref="K8417" r:id="rId16827" location="" tooltip="" display=""/>
    <hyperlink ref="L8417" r:id="rId16828" location="" tooltip="" display=""/>
    <hyperlink ref="Q8417" r:id="rId16829" location="" tooltip="" display=""/>
    <hyperlink ref="R8417" r:id="rId16830" location="" tooltip="" display=""/>
    <hyperlink ref="L8418" r:id="rId16831" location="" tooltip="" display=""/>
    <hyperlink ref="R8418" r:id="rId16832" location="" tooltip="" display=""/>
    <hyperlink ref="L8420" r:id="rId16833" location="" tooltip="" display=""/>
    <hyperlink ref="R8420" r:id="rId16834" location="" tooltip="" display=""/>
    <hyperlink ref="K8421" r:id="rId16835" location="" tooltip="" display=""/>
    <hyperlink ref="L8421" r:id="rId16836" location="" tooltip="" display=""/>
    <hyperlink ref="Q8421" r:id="rId16837" location="" tooltip="" display=""/>
    <hyperlink ref="R8421" r:id="rId16838" location="" tooltip="" display=""/>
    <hyperlink ref="L8422" r:id="rId16839" location="" tooltip="" display=""/>
    <hyperlink ref="R8422" r:id="rId16840" location="" tooltip="" display=""/>
    <hyperlink ref="K8424" r:id="rId16841" location="" tooltip="" display=""/>
    <hyperlink ref="L8424" r:id="rId16842" location="" tooltip="" display=""/>
    <hyperlink ref="Q8424" r:id="rId16843" location="" tooltip="" display=""/>
    <hyperlink ref="R8424" r:id="rId16844" location="" tooltip="" display=""/>
    <hyperlink ref="L8425" r:id="rId16845" location="" tooltip="" display=""/>
    <hyperlink ref="R8425" r:id="rId16846" location="" tooltip="" display=""/>
    <hyperlink ref="K8427" r:id="rId16847" location="" tooltip="" display=""/>
    <hyperlink ref="L8427" r:id="rId16848" location="" tooltip="" display=""/>
    <hyperlink ref="Q8427" r:id="rId16849" location="" tooltip="" display=""/>
    <hyperlink ref="R8427" r:id="rId16850" location="" tooltip="" display=""/>
    <hyperlink ref="K8429" r:id="rId16851" location="" tooltip="" display=""/>
    <hyperlink ref="L8429" r:id="rId16852" location="" tooltip="" display=""/>
    <hyperlink ref="Q8429" r:id="rId16853" location="" tooltip="" display=""/>
    <hyperlink ref="R8429" r:id="rId16854" location="" tooltip="" display=""/>
    <hyperlink ref="L8431" r:id="rId16855" location="" tooltip="" display=""/>
    <hyperlink ref="R8431" r:id="rId16856" location="" tooltip="" display=""/>
    <hyperlink ref="L8432" r:id="rId16857" location="" tooltip="" display=""/>
    <hyperlink ref="R8432" r:id="rId16858" location="" tooltip="" display=""/>
    <hyperlink ref="K8433" r:id="rId16859" location="" tooltip="" display=""/>
    <hyperlink ref="L8433" r:id="rId16860" location="" tooltip="" display=""/>
    <hyperlink ref="Q8433" r:id="rId16861" location="" tooltip="" display=""/>
    <hyperlink ref="R8433" r:id="rId16862" location="" tooltip="" display=""/>
    <hyperlink ref="L8434" r:id="rId16863" location="" tooltip="" display=""/>
    <hyperlink ref="R8434" r:id="rId16864" location="" tooltip="" display=""/>
    <hyperlink ref="L8435" r:id="rId16865" location="" tooltip="" display=""/>
    <hyperlink ref="R8435" r:id="rId16866" location="" tooltip="" display=""/>
    <hyperlink ref="L8436" r:id="rId16867" location="" tooltip="" display=""/>
    <hyperlink ref="R8436" r:id="rId16868" location="" tooltip="" display=""/>
    <hyperlink ref="K8438" r:id="rId16869" location="" tooltip="" display=""/>
    <hyperlink ref="L8438" r:id="rId16870" location="" tooltip="" display=""/>
    <hyperlink ref="Q8438" r:id="rId16871" location="" tooltip="" display=""/>
    <hyperlink ref="R8438" r:id="rId16872" location="" tooltip="" display=""/>
    <hyperlink ref="L8439" r:id="rId16873" location="" tooltip="" display=""/>
    <hyperlink ref="R8439" r:id="rId16874" location="" tooltip="" display=""/>
    <hyperlink ref="K8441" r:id="rId16875" location="" tooltip="" display=""/>
    <hyperlink ref="L8441" r:id="rId16876" location="" tooltip="" display=""/>
    <hyperlink ref="Q8441" r:id="rId16877" location="" tooltip="" display=""/>
    <hyperlink ref="R8441" r:id="rId16878" location="" tooltip="" display=""/>
    <hyperlink ref="L8442" r:id="rId16879" location="" tooltip="" display=""/>
    <hyperlink ref="R8442" r:id="rId16880" location="" tooltip="" display=""/>
    <hyperlink ref="L8444" r:id="rId16881" location="" tooltip="" display=""/>
    <hyperlink ref="R8444" r:id="rId16882" location="" tooltip="" display=""/>
    <hyperlink ref="K8445" r:id="rId16883" location="" tooltip="" display=""/>
    <hyperlink ref="L8445" r:id="rId16884" location="" tooltip="" display=""/>
    <hyperlink ref="Q8445" r:id="rId16885" location="" tooltip="" display=""/>
    <hyperlink ref="R8445" r:id="rId16886" location="" tooltip="" display=""/>
    <hyperlink ref="L8446" r:id="rId16887" location="" tooltip="" display=""/>
    <hyperlink ref="R8446" r:id="rId16888" location="" tooltip="" display=""/>
    <hyperlink ref="K8448" r:id="rId16889" location="" tooltip="" display=""/>
    <hyperlink ref="L8448" r:id="rId16890" location="" tooltip="" display=""/>
    <hyperlink ref="Q8448" r:id="rId16891" location="" tooltip="" display=""/>
    <hyperlink ref="R8448" r:id="rId16892" location="" tooltip="" display=""/>
    <hyperlink ref="L8450" r:id="rId16893" location="" tooltip="" display=""/>
    <hyperlink ref="R8450" r:id="rId16894" location="" tooltip="" display=""/>
    <hyperlink ref="L8451" r:id="rId16895" location="" tooltip="" display=""/>
    <hyperlink ref="R8451" r:id="rId16896" location="" tooltip="" display=""/>
    <hyperlink ref="L8452" r:id="rId16897" location="" tooltip="" display=""/>
    <hyperlink ref="R8452" r:id="rId16898" location="" tooltip="" display=""/>
    <hyperlink ref="K8453" r:id="rId16899" location="" tooltip="" display=""/>
    <hyperlink ref="L8453" r:id="rId16900" location="" tooltip="" display=""/>
    <hyperlink ref="Q8453" r:id="rId16901" location="" tooltip="" display=""/>
    <hyperlink ref="R8453" r:id="rId16902" location="" tooltip="" display=""/>
    <hyperlink ref="L8454" r:id="rId16903" location="" tooltip="" display=""/>
    <hyperlink ref="R8454" r:id="rId16904" location="" tooltip="" display=""/>
    <hyperlink ref="L8455" r:id="rId16905" location="" tooltip="" display=""/>
    <hyperlink ref="R8455" r:id="rId16906" location="" tooltip="" display=""/>
    <hyperlink ref="L8456" r:id="rId16907" location="" tooltip="" display=""/>
    <hyperlink ref="R8456" r:id="rId16908" location="" tooltip="" display=""/>
    <hyperlink ref="K8458" r:id="rId16909" location="" tooltip="" display=""/>
    <hyperlink ref="L8458" r:id="rId16910" location="" tooltip="" display=""/>
    <hyperlink ref="Q8458" r:id="rId16911" location="" tooltip="" display=""/>
    <hyperlink ref="R8458" r:id="rId16912" location="" tooltip="" display=""/>
    <hyperlink ref="L8460" r:id="rId16913" location="" tooltip="" display=""/>
    <hyperlink ref="R8460" r:id="rId16914" location="" tooltip="" display=""/>
    <hyperlink ref="K8461" r:id="rId16915" location="" tooltip="" display=""/>
    <hyperlink ref="L8461" r:id="rId16916" location="" tooltip="" display=""/>
    <hyperlink ref="Q8461" r:id="rId16917" location="" tooltip="" display=""/>
    <hyperlink ref="R8461" r:id="rId16918" location="" tooltip="" display=""/>
    <hyperlink ref="L8462" r:id="rId16919" location="" tooltip="" display=""/>
    <hyperlink ref="R8462" r:id="rId16920" location="" tooltip="" display=""/>
    <hyperlink ref="K8464" r:id="rId16921" location="" tooltip="" display=""/>
    <hyperlink ref="L8464" r:id="rId16922" location="" tooltip="" display=""/>
    <hyperlink ref="Q8464" r:id="rId16923" location="" tooltip="" display=""/>
    <hyperlink ref="R8464" r:id="rId16924" location="" tooltip="" display=""/>
    <hyperlink ref="L8465" r:id="rId16925" location="" tooltip="" display=""/>
    <hyperlink ref="R8465" r:id="rId16926" location="" tooltip="" display=""/>
    <hyperlink ref="K8467" r:id="rId16927" location="" tooltip="" display=""/>
    <hyperlink ref="L8467" r:id="rId16928" location="" tooltip="" display=""/>
    <hyperlink ref="Q8467" r:id="rId16929" location="" tooltip="" display=""/>
    <hyperlink ref="R8467" r:id="rId16930" location="" tooltip="" display=""/>
    <hyperlink ref="L8468" r:id="rId16931" location="" tooltip="" display=""/>
    <hyperlink ref="R8468" r:id="rId16932" location="" tooltip="" display=""/>
    <hyperlink ref="L8470" r:id="rId16933" location="" tooltip="" display=""/>
    <hyperlink ref="R8470" r:id="rId16934" location="" tooltip="" display=""/>
    <hyperlink ref="K8471" r:id="rId16935" location="" tooltip="" display=""/>
    <hyperlink ref="L8471" r:id="rId16936" location="" tooltip="" display=""/>
    <hyperlink ref="Q8471" r:id="rId16937" location="" tooltip="" display=""/>
    <hyperlink ref="R8471" r:id="rId16938" location="" tooltip="" display=""/>
    <hyperlink ref="L8472" r:id="rId16939" location="" tooltip="" display=""/>
    <hyperlink ref="R8472" r:id="rId16940" location="" tooltip="" display=""/>
    <hyperlink ref="L8473" r:id="rId16941" location="" tooltip="" display=""/>
    <hyperlink ref="R8473" r:id="rId16942" location="" tooltip="" display=""/>
    <hyperlink ref="K8475" r:id="rId16943" location="" tooltip="" display=""/>
    <hyperlink ref="L8475" r:id="rId16944" location="" tooltip="" display=""/>
    <hyperlink ref="Q8475" r:id="rId16945" location="" tooltip="" display=""/>
    <hyperlink ref="R8475" r:id="rId16946" location="" tooltip="" display=""/>
    <hyperlink ref="L8476" r:id="rId16947" location="" tooltip="" display=""/>
    <hyperlink ref="R8476" r:id="rId16948" location="" tooltip="" display=""/>
    <hyperlink ref="L8478" r:id="rId16949" location="" tooltip="" display=""/>
    <hyperlink ref="R8478" r:id="rId16950" location="" tooltip="" display=""/>
    <hyperlink ref="L8479" r:id="rId16951" location="" tooltip="" display=""/>
    <hyperlink ref="R8479" r:id="rId16952" location="" tooltip="" display=""/>
    <hyperlink ref="L8480" r:id="rId16953" location="" tooltip="" display=""/>
    <hyperlink ref="R8480" r:id="rId16954" location="" tooltip="" display=""/>
    <hyperlink ref="L8481" r:id="rId16955" location="" tooltip="" display=""/>
    <hyperlink ref="R8481" r:id="rId16956" location="" tooltip="" display=""/>
    <hyperlink ref="L8482" r:id="rId16957" location="" tooltip="" display=""/>
    <hyperlink ref="R8482" r:id="rId16958" location="" tooltip="" display=""/>
    <hyperlink ref="L8483" r:id="rId16959" location="" tooltip="" display=""/>
    <hyperlink ref="R8483" r:id="rId16960" location="" tooltip="" display=""/>
    <hyperlink ref="K8484" r:id="rId16961" location="" tooltip="" display=""/>
    <hyperlink ref="L8484" r:id="rId16962" location="" tooltip="" display=""/>
    <hyperlink ref="Q8484" r:id="rId16963" location="" tooltip="" display=""/>
    <hyperlink ref="R8484" r:id="rId16964" location="" tooltip="" display=""/>
    <hyperlink ref="L8485" r:id="rId16965" location="" tooltip="" display=""/>
    <hyperlink ref="R8485" r:id="rId16966" location="" tooltip="" display=""/>
    <hyperlink ref="L8486" r:id="rId16967" location="" tooltip="" display=""/>
    <hyperlink ref="R8486" r:id="rId16968" location="" tooltip="" display=""/>
    <hyperlink ref="L8487" r:id="rId16969" location="" tooltip="" display=""/>
    <hyperlink ref="R8487" r:id="rId16970" location="" tooltip="" display=""/>
    <hyperlink ref="L8488" r:id="rId16971" location="" tooltip="" display=""/>
    <hyperlink ref="R8488" r:id="rId16972" location="" tooltip="" display=""/>
    <hyperlink ref="L8489" r:id="rId16973" location="" tooltip="" display=""/>
    <hyperlink ref="R8489" r:id="rId16974" location="" tooltip="" display=""/>
    <hyperlink ref="L8490" r:id="rId16975" location="" tooltip="" display=""/>
    <hyperlink ref="R8490" r:id="rId16976" location="" tooltip="" display=""/>
    <hyperlink ref="L8491" r:id="rId16977" location="" tooltip="" display=""/>
    <hyperlink ref="R8491" r:id="rId16978" location="" tooltip="" display=""/>
    <hyperlink ref="K8493" r:id="rId16979" location="" tooltip="" display=""/>
    <hyperlink ref="L8493" r:id="rId16980" location="" tooltip="" display=""/>
    <hyperlink ref="Q8493" r:id="rId16981" location="" tooltip="" display=""/>
    <hyperlink ref="R8493" r:id="rId16982" location="" tooltip="" display=""/>
    <hyperlink ref="L8494" r:id="rId16983" location="" tooltip="" display=""/>
    <hyperlink ref="R8494" r:id="rId16984" location="" tooltip="" display=""/>
    <hyperlink ref="K8496" r:id="rId16985" location="" tooltip="" display=""/>
    <hyperlink ref="L8496" r:id="rId16986" location="" tooltip="" display=""/>
    <hyperlink ref="Q8496" r:id="rId16987" location="" tooltip="" display=""/>
    <hyperlink ref="R8496" r:id="rId16988" location="" tooltip="" display=""/>
    <hyperlink ref="L8497" r:id="rId16989" location="" tooltip="" display=""/>
    <hyperlink ref="R8497" r:id="rId16990" location="" tooltip="" display=""/>
    <hyperlink ref="L8499" r:id="rId16991" location="" tooltip="" display=""/>
    <hyperlink ref="R8499" r:id="rId16992" location="" tooltip="" display=""/>
    <hyperlink ref="K8500" r:id="rId16993" location="" tooltip="" display=""/>
    <hyperlink ref="L8500" r:id="rId16994" location="" tooltip="" display=""/>
    <hyperlink ref="Q8500" r:id="rId16995" location="" tooltip="" display=""/>
    <hyperlink ref="R8500" r:id="rId16996" location="" tooltip="" display=""/>
    <hyperlink ref="L8501" r:id="rId16997" location="" tooltip="" display=""/>
    <hyperlink ref="R8501" r:id="rId16998" location="" tooltip="" display=""/>
    <hyperlink ref="L8502" r:id="rId16999" location="" tooltip="" display=""/>
    <hyperlink ref="R8502" r:id="rId17000" location="" tooltip="" display=""/>
    <hyperlink ref="L8504" r:id="rId17001" location="" tooltip="" display=""/>
    <hyperlink ref="R8504" r:id="rId17002" location="" tooltip="" display=""/>
    <hyperlink ref="L8505" r:id="rId17003" location="" tooltip="" display=""/>
    <hyperlink ref="R8505" r:id="rId17004" location="" tooltip="" display=""/>
    <hyperlink ref="K8506" r:id="rId17005" location="" tooltip="" display=""/>
    <hyperlink ref="L8506" r:id="rId17006" location="" tooltip="" display=""/>
    <hyperlink ref="Q8506" r:id="rId17007" location="" tooltip="" display=""/>
    <hyperlink ref="R8506" r:id="rId17008" location="" tooltip="" display=""/>
    <hyperlink ref="L8507" r:id="rId17009" location="" tooltip="" display=""/>
    <hyperlink ref="R8507" r:id="rId17010" location="" tooltip="" display=""/>
    <hyperlink ref="L8508" r:id="rId17011" location="" tooltip="" display=""/>
    <hyperlink ref="R8508" r:id="rId17012" location="" tooltip="" display=""/>
    <hyperlink ref="L8509" r:id="rId17013" location="" tooltip="" display=""/>
    <hyperlink ref="R8509" r:id="rId17014" location="" tooltip="" display=""/>
    <hyperlink ref="K8511" r:id="rId17015" location="" tooltip="" display=""/>
    <hyperlink ref="L8511" r:id="rId17016" location="" tooltip="" display=""/>
    <hyperlink ref="Q8511" r:id="rId17017" location="" tooltip="" display=""/>
    <hyperlink ref="R8511" r:id="rId17018" location="" tooltip="" display=""/>
    <hyperlink ref="L8512" r:id="rId17019" location="" tooltip="" display=""/>
    <hyperlink ref="R8512" r:id="rId17020" location="" tooltip="" display=""/>
    <hyperlink ref="K8514" r:id="rId17021" location="" tooltip="" display=""/>
    <hyperlink ref="L8514" r:id="rId17022" location="" tooltip="" display=""/>
    <hyperlink ref="Q8514" r:id="rId17023" location="" tooltip="" display=""/>
    <hyperlink ref="R8514" r:id="rId17024" location="" tooltip="" display=""/>
    <hyperlink ref="L8515" r:id="rId17025" location="" tooltip="" display=""/>
    <hyperlink ref="R8515" r:id="rId17026" location="" tooltip="" display=""/>
    <hyperlink ref="L8517" r:id="rId17027" location="" tooltip="" display=""/>
    <hyperlink ref="R8517" r:id="rId17028" location="" tooltip="" display=""/>
    <hyperlink ref="K8518" r:id="rId17029" location="" tooltip="" display=""/>
    <hyperlink ref="L8518" r:id="rId17030" location="" tooltip="" display=""/>
    <hyperlink ref="Q8518" r:id="rId17031" location="" tooltip="" display=""/>
    <hyperlink ref="R8518" r:id="rId17032" location="" tooltip="" display=""/>
    <hyperlink ref="L8519" r:id="rId17033" location="" tooltip="" display=""/>
    <hyperlink ref="R8519" r:id="rId17034" location="" tooltip="" display=""/>
    <hyperlink ref="L8520" r:id="rId17035" location="" tooltip="" display=""/>
    <hyperlink ref="R8520" r:id="rId17036" location="" tooltip="" display=""/>
    <hyperlink ref="K8522" r:id="rId17037" location="" tooltip="" display=""/>
    <hyperlink ref="L8522" r:id="rId17038" location="" tooltip="" display=""/>
    <hyperlink ref="Q8522" r:id="rId17039" location="" tooltip="" display=""/>
    <hyperlink ref="R8522" r:id="rId17040" location="" tooltip="" display=""/>
    <hyperlink ref="L8524" r:id="rId17041" location="" tooltip="" display=""/>
    <hyperlink ref="R8524" r:id="rId17042" location="" tooltip="" display=""/>
    <hyperlink ref="L8525" r:id="rId17043" location="" tooltip="" display=""/>
    <hyperlink ref="R8525" r:id="rId17044" location="" tooltip="" display=""/>
    <hyperlink ref="K8526" r:id="rId17045" location="" tooltip="" display=""/>
    <hyperlink ref="L8526" r:id="rId17046" location="" tooltip="" display=""/>
    <hyperlink ref="Q8526" r:id="rId17047" location="" tooltip="" display=""/>
    <hyperlink ref="R8526" r:id="rId17048" location="" tooltip="" display=""/>
    <hyperlink ref="L8527" r:id="rId17049" location="" tooltip="" display=""/>
    <hyperlink ref="R8527" r:id="rId17050" location="" tooltip="" display=""/>
    <hyperlink ref="L8528" r:id="rId17051" location="" tooltip="" display=""/>
    <hyperlink ref="R8528" r:id="rId17052" location="" tooltip="" display=""/>
    <hyperlink ref="L8529" r:id="rId17053" location="" tooltip="" display=""/>
    <hyperlink ref="R8529" r:id="rId17054" location="" tooltip="" display=""/>
    <hyperlink ref="K8531" r:id="rId17055" location="" tooltip="" display=""/>
    <hyperlink ref="L8531" r:id="rId17056" location="" tooltip="" display=""/>
    <hyperlink ref="Q8531" r:id="rId17057" location="" tooltip="" display=""/>
    <hyperlink ref="R8531" r:id="rId17058" location="" tooltip="" display=""/>
    <hyperlink ref="L8533" r:id="rId17059" location="" tooltip="" display=""/>
    <hyperlink ref="R8533" r:id="rId17060" location="" tooltip="" display=""/>
    <hyperlink ref="K8534" r:id="rId17061" location="" tooltip="" display=""/>
    <hyperlink ref="L8534" r:id="rId17062" location="" tooltip="" display=""/>
    <hyperlink ref="Q8534" r:id="rId17063" location="" tooltip="" display=""/>
    <hyperlink ref="R8534" r:id="rId17064" location="" tooltip="" display=""/>
    <hyperlink ref="L8535" r:id="rId17065" location="" tooltip="" display=""/>
    <hyperlink ref="R8535" r:id="rId17066" location="" tooltip="" display=""/>
    <hyperlink ref="L8536" r:id="rId17067" location="" tooltip="" display=""/>
    <hyperlink ref="R8536" r:id="rId17068" location="" tooltip="" display=""/>
    <hyperlink ref="L8538" r:id="rId17069" location="" tooltip="" display=""/>
    <hyperlink ref="R8538" r:id="rId17070" location="" tooltip="" display=""/>
    <hyperlink ref="L8539" r:id="rId17071" location="" tooltip="" display=""/>
    <hyperlink ref="R8539" r:id="rId17072" location="" tooltip="" display=""/>
    <hyperlink ref="K8540" r:id="rId17073" location="" tooltip="" display=""/>
    <hyperlink ref="L8540" r:id="rId17074" location="" tooltip="" display=""/>
    <hyperlink ref="Q8540" r:id="rId17075" location="" tooltip="" display=""/>
    <hyperlink ref="R8540" r:id="rId17076" location="" tooltip="" display=""/>
    <hyperlink ref="L8541" r:id="rId17077" location="" tooltip="" display=""/>
    <hyperlink ref="R8541" r:id="rId17078" location="" tooltip="" display=""/>
    <hyperlink ref="L8542" r:id="rId17079" location="" tooltip="" display=""/>
    <hyperlink ref="R8542" r:id="rId17080" location="" tooltip="" display=""/>
    <hyperlink ref="K8544" r:id="rId17081" location="" tooltip="" display=""/>
    <hyperlink ref="L8544" r:id="rId17082" location="" tooltip="" display=""/>
    <hyperlink ref="Q8544" r:id="rId17083" location="" tooltip="" display=""/>
    <hyperlink ref="R8544" r:id="rId17084" location="" tooltip="" display=""/>
    <hyperlink ref="K8546" r:id="rId17085" location="" tooltip="" display=""/>
    <hyperlink ref="L8546" r:id="rId17086" location="" tooltip="" display=""/>
    <hyperlink ref="Q8546" r:id="rId17087" location="" tooltip="" display=""/>
    <hyperlink ref="R8546" r:id="rId17088" location="" tooltip="" display=""/>
    <hyperlink ref="K8548" r:id="rId17089" location="" tooltip="" display=""/>
    <hyperlink ref="L8548" r:id="rId17090" location="" tooltip="" display=""/>
    <hyperlink ref="Q8548" r:id="rId17091" location="" tooltip="" display=""/>
    <hyperlink ref="R8548" r:id="rId17092" location="" tooltip="" display=""/>
    <hyperlink ref="K8550" r:id="rId17093" location="" tooltip="" display=""/>
    <hyperlink ref="L8550" r:id="rId17094" location="" tooltip="" display=""/>
    <hyperlink ref="Q8550" r:id="rId17095" location="" tooltip="" display=""/>
    <hyperlink ref="R8550" r:id="rId17096" location="" tooltip="" display=""/>
    <hyperlink ref="L8551" r:id="rId17097" location="" tooltip="" display=""/>
    <hyperlink ref="R8551" r:id="rId17098" location="" tooltip="" display=""/>
    <hyperlink ref="K8553" r:id="rId17099" location="" tooltip="" display=""/>
    <hyperlink ref="L8553" r:id="rId17100" location="" tooltip="" display=""/>
    <hyperlink ref="Q8553" r:id="rId17101" location="" tooltip="" display=""/>
    <hyperlink ref="R8553" r:id="rId17102" location="" tooltip="" display=""/>
    <hyperlink ref="K8555" r:id="rId17103" location="" tooltip="" display=""/>
    <hyperlink ref="L8555" r:id="rId17104" location="" tooltip="" display=""/>
    <hyperlink ref="Q8555" r:id="rId17105" location="" tooltip="" display=""/>
    <hyperlink ref="R8555" r:id="rId17106" location="" tooltip="" display=""/>
    <hyperlink ref="K8557" r:id="rId17107" location="" tooltip="" display=""/>
    <hyperlink ref="L8557" r:id="rId17108" location="" tooltip="" display=""/>
    <hyperlink ref="Q8557" r:id="rId17109" location="" tooltip="" display=""/>
    <hyperlink ref="R8557" r:id="rId17110" location="" tooltip="" display=""/>
    <hyperlink ref="K8559" r:id="rId17111" location="" tooltip="" display=""/>
    <hyperlink ref="L8559" r:id="rId17112" location="" tooltip="" display=""/>
    <hyperlink ref="Q8559" r:id="rId17113" location="" tooltip="" display=""/>
    <hyperlink ref="R8559" r:id="rId17114" location="" tooltip="" display=""/>
    <hyperlink ref="L8560" r:id="rId17115" location="" tooltip="" display=""/>
    <hyperlink ref="R8560" r:id="rId17116" location="" tooltip="" display=""/>
    <hyperlink ref="L8562" r:id="rId17117" location="" tooltip="" display=""/>
    <hyperlink ref="R8562" r:id="rId17118" location="" tooltip="" display=""/>
    <hyperlink ref="L8563" r:id="rId17119" location="" tooltip="" display=""/>
    <hyperlink ref="R8563" r:id="rId17120" location="" tooltip="" display=""/>
    <hyperlink ref="K8564" r:id="rId17121" location="" tooltip="" display=""/>
    <hyperlink ref="L8564" r:id="rId17122" location="" tooltip="" display=""/>
    <hyperlink ref="Q8564" r:id="rId17123" location="" tooltip="" display=""/>
    <hyperlink ref="R8564" r:id="rId17124" location="" tooltip="" display=""/>
    <hyperlink ref="L8565" r:id="rId17125" location="" tooltip="" display=""/>
    <hyperlink ref="R8565" r:id="rId17126" location="" tooltip="" display=""/>
    <hyperlink ref="L8566" r:id="rId17127" location="" tooltip="" display=""/>
    <hyperlink ref="R8566" r:id="rId17128" location="" tooltip="" display=""/>
    <hyperlink ref="L8567" r:id="rId17129" location="" tooltip="" display=""/>
    <hyperlink ref="R8567" r:id="rId17130" location="" tooltip="" display=""/>
    <hyperlink ref="K8569" r:id="rId17131" location="" tooltip="" display=""/>
    <hyperlink ref="L8569" r:id="rId17132" location="" tooltip="" display=""/>
    <hyperlink ref="Q8569" r:id="rId17133" location="" tooltip="" display=""/>
    <hyperlink ref="R8569" r:id="rId17134" location="" tooltip="" display=""/>
    <hyperlink ref="K8571" r:id="rId17135" location="" tooltip="" display=""/>
    <hyperlink ref="L8571" r:id="rId17136" location="" tooltip="" display=""/>
    <hyperlink ref="Q8571" r:id="rId17137" location="" tooltip="" display=""/>
    <hyperlink ref="R8571" r:id="rId17138" location="" tooltip="" display=""/>
    <hyperlink ref="L8572" r:id="rId17139" location="" tooltip="" display=""/>
    <hyperlink ref="R8572" r:id="rId17140" location="" tooltip="" display=""/>
    <hyperlink ref="K8574" r:id="rId17141" location="" tooltip="" display=""/>
    <hyperlink ref="L8574" r:id="rId17142" location="" tooltip="" display=""/>
    <hyperlink ref="Q8574" r:id="rId17143" location="" tooltip="" display=""/>
    <hyperlink ref="R8574" r:id="rId17144" location="" tooltip="" display=""/>
    <hyperlink ref="L8575" r:id="rId17145" location="" tooltip="" display=""/>
    <hyperlink ref="R8575" r:id="rId17146" location="" tooltip="" display=""/>
    <hyperlink ref="K8577" r:id="rId17147" location="" tooltip="" display=""/>
    <hyperlink ref="L8577" r:id="rId17148" location="" tooltip="" display=""/>
    <hyperlink ref="Q8577" r:id="rId17149" location="" tooltip="" display=""/>
    <hyperlink ref="R8577" r:id="rId17150" location="" tooltip="" display=""/>
    <hyperlink ref="L8578" r:id="rId17151" location="" tooltip="" display=""/>
    <hyperlink ref="R8578" r:id="rId17152" location="" tooltip="" display=""/>
    <hyperlink ref="K8580" r:id="rId17153" location="" tooltip="" display=""/>
    <hyperlink ref="L8580" r:id="rId17154" location="" tooltip="" display=""/>
    <hyperlink ref="Q8580" r:id="rId17155" location="" tooltip="" display=""/>
    <hyperlink ref="R8580" r:id="rId17156" location="" tooltip="" display=""/>
    <hyperlink ref="K8582" r:id="rId17157" location="" tooltip="" display=""/>
    <hyperlink ref="L8582" r:id="rId17158" location="" tooltip="" display=""/>
    <hyperlink ref="Q8582" r:id="rId17159" location="" tooltip="" display=""/>
    <hyperlink ref="R8582" r:id="rId17160" location="" tooltip="" display=""/>
    <hyperlink ref="K8584" r:id="rId17161" location="" tooltip="" display=""/>
    <hyperlink ref="L8584" r:id="rId17162" location="" tooltip="" display=""/>
    <hyperlink ref="Q8584" r:id="rId17163" location="" tooltip="" display=""/>
    <hyperlink ref="R8584" r:id="rId17164" location="" tooltip="" display=""/>
    <hyperlink ref="L8585" r:id="rId17165" location="" tooltip="" display=""/>
    <hyperlink ref="R8585" r:id="rId17166" location="" tooltip="" display=""/>
    <hyperlink ref="L8587" r:id="rId17167" location="" tooltip="" display=""/>
    <hyperlink ref="R8587" r:id="rId17168" location="" tooltip="" display=""/>
    <hyperlink ref="K8588" r:id="rId17169" location="" tooltip="" display=""/>
    <hyperlink ref="L8588" r:id="rId17170" location="" tooltip="" display=""/>
    <hyperlink ref="Q8588" r:id="rId17171" location="" tooltip="" display=""/>
    <hyperlink ref="R8588" r:id="rId17172" location="" tooltip="" display=""/>
    <hyperlink ref="L8589" r:id="rId17173" location="" tooltip="" display=""/>
    <hyperlink ref="R8589" r:id="rId17174" location="" tooltip="" display=""/>
    <hyperlink ref="L8590" r:id="rId17175" location="" tooltip="" display=""/>
    <hyperlink ref="R8590" r:id="rId17176" location="" tooltip="" display=""/>
    <hyperlink ref="K8592" r:id="rId17177" location="" tooltip="" display=""/>
    <hyperlink ref="L8592" r:id="rId17178" location="" tooltip="" display=""/>
    <hyperlink ref="Q8592" r:id="rId17179" location="" tooltip="" display=""/>
    <hyperlink ref="R8592" r:id="rId17180" location="" tooltip="" display=""/>
    <hyperlink ref="L8593" r:id="rId17181" location="" tooltip="" display=""/>
    <hyperlink ref="R8593" r:id="rId17182" location="" tooltip="" display=""/>
    <hyperlink ref="K8595" r:id="rId17183" location="" tooltip="" display=""/>
    <hyperlink ref="L8595" r:id="rId17184" location="" tooltip="" display=""/>
    <hyperlink ref="Q8595" r:id="rId17185" location="" tooltip="" display=""/>
    <hyperlink ref="R8595" r:id="rId17186" location="" tooltip="" display=""/>
    <hyperlink ref="L8596" r:id="rId17187" location="" tooltip="" display=""/>
    <hyperlink ref="R8596" r:id="rId17188" location="" tooltip="" display=""/>
    <hyperlink ref="K8598" r:id="rId17189" location="" tooltip="" display=""/>
    <hyperlink ref="L8598" r:id="rId17190" location="" tooltip="" display=""/>
    <hyperlink ref="Q8598" r:id="rId17191" location="" tooltip="" display=""/>
    <hyperlink ref="R8598" r:id="rId17192" location="" tooltip="" display=""/>
    <hyperlink ref="K8600" r:id="rId17193" location="" tooltip="" display=""/>
    <hyperlink ref="L8600" r:id="rId17194" location="" tooltip="" display=""/>
    <hyperlink ref="Q8600" r:id="rId17195" location="" tooltip="" display=""/>
    <hyperlink ref="R8600" r:id="rId17196" location="" tooltip="" display=""/>
    <hyperlink ref="K8602" r:id="rId17197" location="" tooltip="" display=""/>
    <hyperlink ref="L8602" r:id="rId17198" location="" tooltip="" display=""/>
    <hyperlink ref="Q8602" r:id="rId17199" location="" tooltip="" display=""/>
    <hyperlink ref="R8602" r:id="rId17200" location="" tooltip="" display=""/>
    <hyperlink ref="K8604" r:id="rId17201" location="" tooltip="" display=""/>
    <hyperlink ref="L8604" r:id="rId17202" location="" tooltip="" display=""/>
    <hyperlink ref="Q8604" r:id="rId17203" location="" tooltip="" display=""/>
    <hyperlink ref="R8604" r:id="rId17204" location="" tooltip="" display=""/>
    <hyperlink ref="L8605" r:id="rId17205" location="" tooltip="" display=""/>
    <hyperlink ref="R8605" r:id="rId17206" location="" tooltip="" display=""/>
    <hyperlink ref="L8607" r:id="rId17207" location="" tooltip="" display=""/>
    <hyperlink ref="R8607" r:id="rId17208" location="" tooltip="" display=""/>
    <hyperlink ref="K8608" r:id="rId17209" location="" tooltip="" display=""/>
    <hyperlink ref="L8608" r:id="rId17210" location="" tooltip="" display=""/>
    <hyperlink ref="Q8608" r:id="rId17211" location="" tooltip="" display=""/>
    <hyperlink ref="R8608" r:id="rId17212" location="" tooltip="" display=""/>
    <hyperlink ref="L8609" r:id="rId17213" location="" tooltip="" display=""/>
    <hyperlink ref="R8609" r:id="rId17214" location="" tooltip="" display=""/>
    <hyperlink ref="L8610" r:id="rId17215" location="" tooltip="" display=""/>
    <hyperlink ref="R8610" r:id="rId17216" location="" tooltip="" display=""/>
    <hyperlink ref="K8612" r:id="rId17217" location="" tooltip="" display=""/>
    <hyperlink ref="L8612" r:id="rId17218" location="" tooltip="" display=""/>
    <hyperlink ref="Q8612" r:id="rId17219" location="" tooltip="" display=""/>
    <hyperlink ref="R8612" r:id="rId17220" location="" tooltip="" display=""/>
    <hyperlink ref="L8613" r:id="rId17221" location="" tooltip="" display=""/>
    <hyperlink ref="R8613" r:id="rId17222" location="" tooltip="" display=""/>
    <hyperlink ref="K8615" r:id="rId17223" location="" tooltip="" display=""/>
    <hyperlink ref="L8615" r:id="rId17224" location="" tooltip="" display=""/>
    <hyperlink ref="Q8615" r:id="rId17225" location="" tooltip="" display=""/>
    <hyperlink ref="R8615" r:id="rId17226" location="" tooltip="" display=""/>
    <hyperlink ref="L8616" r:id="rId17227" location="" tooltip="" display=""/>
    <hyperlink ref="R8616" r:id="rId17228" location="" tooltip="" display=""/>
    <hyperlink ref="K8618" r:id="rId17229" location="" tooltip="" display=""/>
    <hyperlink ref="L8618" r:id="rId17230" location="" tooltip="" display=""/>
    <hyperlink ref="Q8618" r:id="rId17231" location="" tooltip="" display=""/>
    <hyperlink ref="R8618" r:id="rId17232" location="" tooltip="" display=""/>
    <hyperlink ref="L8619" r:id="rId17233" location="" tooltip="" display=""/>
    <hyperlink ref="R8619" r:id="rId17234" location="" tooltip="" display=""/>
    <hyperlink ref="K8621" r:id="rId17235" location="" tooltip="" display=""/>
    <hyperlink ref="L8621" r:id="rId17236" location="" tooltip="" display=""/>
    <hyperlink ref="Q8621" r:id="rId17237" location="" tooltip="" display=""/>
    <hyperlink ref="R8621" r:id="rId17238" location="" tooltip="" display=""/>
    <hyperlink ref="L8622" r:id="rId17239" location="" tooltip="" display=""/>
    <hyperlink ref="R8622" r:id="rId17240" location="" tooltip="" display=""/>
    <hyperlink ref="K8624" r:id="rId17241" location="" tooltip="" display=""/>
    <hyperlink ref="L8624" r:id="rId17242" location="" tooltip="" display=""/>
    <hyperlink ref="Q8624" r:id="rId17243" location="" tooltip="" display=""/>
    <hyperlink ref="R8624" r:id="rId17244" location="" tooltip="" display=""/>
    <hyperlink ref="L8625" r:id="rId17245" location="" tooltip="" display=""/>
    <hyperlink ref="R8625" r:id="rId17246" location="" tooltip="" display=""/>
    <hyperlink ref="K8627" r:id="rId17247" location="" tooltip="" display=""/>
    <hyperlink ref="L8627" r:id="rId17248" location="" tooltip="" display=""/>
    <hyperlink ref="Q8627" r:id="rId17249" location="" tooltip="" display=""/>
    <hyperlink ref="R8627" r:id="rId17250" location="" tooltip="" display=""/>
    <hyperlink ref="L8628" r:id="rId17251" location="" tooltip="" display=""/>
    <hyperlink ref="R8628" r:id="rId17252" location="" tooltip="" display=""/>
    <hyperlink ref="K8630" r:id="rId17253" location="" tooltip="" display=""/>
    <hyperlink ref="L8630" r:id="rId17254" location="" tooltip="" display=""/>
    <hyperlink ref="Q8630" r:id="rId17255" location="" tooltip="" display=""/>
    <hyperlink ref="R8630" r:id="rId17256" location="" tooltip="" display=""/>
    <hyperlink ref="L8631" r:id="rId17257" location="" tooltip="" display=""/>
    <hyperlink ref="R8631" r:id="rId17258" location="" tooltip="" display=""/>
    <hyperlink ref="K8633" r:id="rId17259" location="" tooltip="" display=""/>
    <hyperlink ref="L8633" r:id="rId17260" location="" tooltip="" display=""/>
    <hyperlink ref="Q8633" r:id="rId17261" location="" tooltip="" display=""/>
    <hyperlink ref="R8633" r:id="rId17262" location="" tooltip="" display=""/>
    <hyperlink ref="L8634" r:id="rId17263" location="" tooltip="" display=""/>
    <hyperlink ref="R8634" r:id="rId17264" location="" tooltip="" display=""/>
    <hyperlink ref="K8636" r:id="rId17265" location="" tooltip="" display=""/>
    <hyperlink ref="L8636" r:id="rId17266" location="" tooltip="" display=""/>
    <hyperlink ref="Q8636" r:id="rId17267" location="" tooltip="" display=""/>
    <hyperlink ref="R8636" r:id="rId17268" location="" tooltip="" display=""/>
    <hyperlink ref="L8637" r:id="rId17269" location="" tooltip="" display=""/>
    <hyperlink ref="R8637" r:id="rId17270" location="" tooltip="" display=""/>
    <hyperlink ref="K8639" r:id="rId17271" location="" tooltip="" display=""/>
    <hyperlink ref="L8639" r:id="rId17272" location="" tooltip="" display=""/>
    <hyperlink ref="Q8639" r:id="rId17273" location="" tooltip="" display=""/>
    <hyperlink ref="R8639" r:id="rId17274" location="" tooltip="" display=""/>
    <hyperlink ref="L8640" r:id="rId17275" location="" tooltip="" display=""/>
    <hyperlink ref="R8640" r:id="rId17276" location="" tooltip="" display=""/>
    <hyperlink ref="K8642" r:id="rId17277" location="" tooltip="" display=""/>
    <hyperlink ref="L8642" r:id="rId17278" location="" tooltip="" display=""/>
    <hyperlink ref="Q8642" r:id="rId17279" location="" tooltip="" display=""/>
    <hyperlink ref="R8642" r:id="rId17280" location="" tooltip="" display=""/>
    <hyperlink ref="L8643" r:id="rId17281" location="" tooltip="" display=""/>
    <hyperlink ref="R8643" r:id="rId17282" location="" tooltip="" display=""/>
    <hyperlink ref="K8645" r:id="rId17283" location="" tooltip="" display=""/>
    <hyperlink ref="L8645" r:id="rId17284" location="" tooltip="" display=""/>
    <hyperlink ref="Q8645" r:id="rId17285" location="" tooltip="" display=""/>
    <hyperlink ref="R8645" r:id="rId17286" location="" tooltip="" display=""/>
    <hyperlink ref="K8647" r:id="rId17287" location="" tooltip="" display=""/>
    <hyperlink ref="L8647" r:id="rId17288" location="" tooltip="" display=""/>
    <hyperlink ref="Q8647" r:id="rId17289" location="" tooltip="" display=""/>
    <hyperlink ref="R8647" r:id="rId17290" location="" tooltip="" display=""/>
    <hyperlink ref="K8649" r:id="rId17291" location="" tooltip="" display=""/>
    <hyperlink ref="L8649" r:id="rId17292" location="" tooltip="" display=""/>
    <hyperlink ref="Q8649" r:id="rId17293" location="" tooltip="" display=""/>
    <hyperlink ref="R8649" r:id="rId17294" location="" tooltip="" display=""/>
    <hyperlink ref="K8651" r:id="rId17295" location="" tooltip="" display=""/>
    <hyperlink ref="L8651" r:id="rId17296" location="" tooltip="" display=""/>
    <hyperlink ref="Q8651" r:id="rId17297" location="" tooltip="" display=""/>
    <hyperlink ref="R8651" r:id="rId17298" location="" tooltip="" display=""/>
    <hyperlink ref="K8653" r:id="rId17299" location="" tooltip="" display=""/>
    <hyperlink ref="L8653" r:id="rId17300" location="" tooltip="" display=""/>
    <hyperlink ref="Q8653" r:id="rId17301" location="" tooltip="" display=""/>
    <hyperlink ref="R8653" r:id="rId17302" location="" tooltip="" display=""/>
    <hyperlink ref="L8654" r:id="rId17303" location="" tooltip="" display=""/>
    <hyperlink ref="R8654" r:id="rId17304" location="" tooltip="" display=""/>
    <hyperlink ref="K8656" r:id="rId17305" location="" tooltip="" display=""/>
    <hyperlink ref="L8656" r:id="rId17306" location="" tooltip="" display=""/>
    <hyperlink ref="Q8656" r:id="rId17307" location="" tooltip="" display=""/>
    <hyperlink ref="R8656" r:id="rId17308" location="" tooltip="" display=""/>
    <hyperlink ref="K8658" r:id="rId17309" location="" tooltip="" display=""/>
    <hyperlink ref="L8658" r:id="rId17310" location="" tooltip="" display=""/>
    <hyperlink ref="Q8658" r:id="rId17311" location="" tooltip="" display=""/>
    <hyperlink ref="R8658" r:id="rId17312" location="" tooltip="" display=""/>
    <hyperlink ref="L8660" r:id="rId17313" location="" tooltip="" display=""/>
    <hyperlink ref="R8660" r:id="rId17314" location="" tooltip="" display=""/>
    <hyperlink ref="K8661" r:id="rId17315" location="" tooltip="" display=""/>
    <hyperlink ref="L8661" r:id="rId17316" location="" tooltip="" display=""/>
    <hyperlink ref="Q8661" r:id="rId17317" location="" tooltip="" display=""/>
    <hyperlink ref="R8661" r:id="rId17318" location="" tooltip="" display=""/>
    <hyperlink ref="L8662" r:id="rId17319" location="" tooltip="" display=""/>
    <hyperlink ref="R8662" r:id="rId17320" location="" tooltip="" display=""/>
    <hyperlink ref="L8664" r:id="rId17321" location="" tooltip="" display=""/>
    <hyperlink ref="R8664" r:id="rId17322" location="" tooltip="" display=""/>
    <hyperlink ref="K8665" r:id="rId17323" location="" tooltip="" display=""/>
    <hyperlink ref="L8665" r:id="rId17324" location="" tooltip="" display=""/>
    <hyperlink ref="Q8665" r:id="rId17325" location="" tooltip="" display=""/>
    <hyperlink ref="R8665" r:id="rId17326" location="" tooltip="" display=""/>
    <hyperlink ref="L8666" r:id="rId17327" location="" tooltip="" display=""/>
    <hyperlink ref="R8666" r:id="rId17328" location="" tooltip="" display=""/>
    <hyperlink ref="K8668" r:id="rId17329" location="" tooltip="" display=""/>
    <hyperlink ref="L8668" r:id="rId17330" location="" tooltip="" display=""/>
    <hyperlink ref="Q8668" r:id="rId17331" location="" tooltip="" display=""/>
    <hyperlink ref="R8668" r:id="rId17332" location="" tooltip="" display=""/>
    <hyperlink ref="L8669" r:id="rId17333" location="" tooltip="" display=""/>
    <hyperlink ref="R8669" r:id="rId17334" location="" tooltip="" display=""/>
    <hyperlink ref="K8671" r:id="rId17335" location="" tooltip="" display=""/>
    <hyperlink ref="L8671" r:id="rId17336" location="" tooltip="" display=""/>
    <hyperlink ref="Q8671" r:id="rId17337" location="" tooltip="" display=""/>
    <hyperlink ref="R8671" r:id="rId17338" location="" tooltip="" display=""/>
    <hyperlink ref="L8673" r:id="rId17339" location="" tooltip="" display=""/>
    <hyperlink ref="R8673" r:id="rId17340" location="" tooltip="" display=""/>
    <hyperlink ref="K8674" r:id="rId17341" location="" tooltip="" display=""/>
    <hyperlink ref="L8674" r:id="rId17342" location="" tooltip="" display=""/>
    <hyperlink ref="Q8674" r:id="rId17343" location="" tooltip="" display=""/>
    <hyperlink ref="R8674" r:id="rId17344" location="" tooltip="" display=""/>
    <hyperlink ref="L8675" r:id="rId17345" location="" tooltip="" display=""/>
    <hyperlink ref="R8675" r:id="rId17346" location="" tooltip="" display=""/>
    <hyperlink ref="K8677" r:id="rId17347" location="" tooltip="" display=""/>
    <hyperlink ref="L8677" r:id="rId17348" location="" tooltip="" display=""/>
    <hyperlink ref="Q8677" r:id="rId17349" location="" tooltip="" display=""/>
    <hyperlink ref="R8677" r:id="rId17350" location="" tooltip="" display=""/>
    <hyperlink ref="K8679" r:id="rId17351" location="" tooltip="" display=""/>
    <hyperlink ref="L8679" r:id="rId17352" location="" tooltip="" display=""/>
    <hyperlink ref="Q8679" r:id="rId17353" location="" tooltip="" display=""/>
    <hyperlink ref="R8679" r:id="rId17354" location="" tooltip="" display=""/>
    <hyperlink ref="K8681" r:id="rId17355" location="" tooltip="" display=""/>
    <hyperlink ref="L8681" r:id="rId17356" location="" tooltip="" display=""/>
    <hyperlink ref="Q8681" r:id="rId17357" location="" tooltip="" display=""/>
    <hyperlink ref="R8681" r:id="rId17358" location="" tooltip="" display=""/>
    <hyperlink ref="K8683" r:id="rId17359" location="" tooltip="" display=""/>
    <hyperlink ref="L8683" r:id="rId17360" location="" tooltip="" display=""/>
    <hyperlink ref="Q8683" r:id="rId17361" location="" tooltip="" display=""/>
    <hyperlink ref="R8683" r:id="rId17362" location="" tooltip="" display=""/>
    <hyperlink ref="L8684" r:id="rId17363" location="" tooltip="" display=""/>
    <hyperlink ref="R8684" r:id="rId17364" location="" tooltip="" display=""/>
    <hyperlink ref="K8686" r:id="rId17365" location="" tooltip="" display=""/>
    <hyperlink ref="L8686" r:id="rId17366" location="" tooltip="" display=""/>
    <hyperlink ref="Q8686" r:id="rId17367" location="" tooltip="" display=""/>
    <hyperlink ref="R8686" r:id="rId17368" location="" tooltip="" display=""/>
    <hyperlink ref="L8687" r:id="rId17369" location="" tooltip="" display=""/>
    <hyperlink ref="R8687" r:id="rId17370" location="" tooltip="" display=""/>
    <hyperlink ref="K8689" r:id="rId17371" location="" tooltip="" display=""/>
    <hyperlink ref="L8689" r:id="rId17372" location="" tooltip="" display=""/>
    <hyperlink ref="Q8689" r:id="rId17373" location="" tooltip="" display=""/>
    <hyperlink ref="R8689" r:id="rId17374" location="" tooltip="" display=""/>
    <hyperlink ref="K8691" r:id="rId17375" location="" tooltip="" display=""/>
    <hyperlink ref="L8691" r:id="rId17376" location="" tooltip="" display=""/>
    <hyperlink ref="Q8691" r:id="rId17377" location="" tooltip="" display=""/>
    <hyperlink ref="R8691" r:id="rId17378" location="" tooltip="" display=""/>
    <hyperlink ref="K8693" r:id="rId17379" location="" tooltip="" display=""/>
    <hyperlink ref="L8693" r:id="rId17380" location="" tooltip="" display=""/>
    <hyperlink ref="Q8693" r:id="rId17381" location="" tooltip="" display=""/>
    <hyperlink ref="R8693" r:id="rId17382" location="" tooltip="" display=""/>
    <hyperlink ref="K8695" r:id="rId17383" location="" tooltip="" display=""/>
    <hyperlink ref="L8695" r:id="rId17384" location="" tooltip="" display=""/>
    <hyperlink ref="Q8695" r:id="rId17385" location="" tooltip="" display=""/>
    <hyperlink ref="R8695" r:id="rId17386" location="" tooltip="" display=""/>
    <hyperlink ref="K8697" r:id="rId17387" location="" tooltip="" display=""/>
    <hyperlink ref="L8697" r:id="rId17388" location="" tooltip="" display=""/>
    <hyperlink ref="Q8697" r:id="rId17389" location="" tooltip="" display=""/>
    <hyperlink ref="R8697" r:id="rId17390" location="" tooltip="" display=""/>
    <hyperlink ref="K8699" r:id="rId17391" location="" tooltip="" display=""/>
    <hyperlink ref="L8699" r:id="rId17392" location="" tooltip="" display=""/>
    <hyperlink ref="Q8699" r:id="rId17393" location="" tooltip="" display=""/>
    <hyperlink ref="R8699" r:id="rId17394" location="" tooltip="" display=""/>
    <hyperlink ref="L8700" r:id="rId17395" location="" tooltip="" display=""/>
    <hyperlink ref="R8700" r:id="rId17396" location="" tooltip="" display=""/>
    <hyperlink ref="K8702" r:id="rId17397" location="" tooltip="" display=""/>
    <hyperlink ref="L8702" r:id="rId17398" location="" tooltip="" display=""/>
    <hyperlink ref="Q8702" r:id="rId17399" location="" tooltip="" display=""/>
    <hyperlink ref="R8702" r:id="rId17400" location="" tooltip="" display=""/>
    <hyperlink ref="K8704" r:id="rId17401" location="" tooltip="" display=""/>
    <hyperlink ref="L8704" r:id="rId17402" location="" tooltip="" display=""/>
    <hyperlink ref="Q8704" r:id="rId17403" location="" tooltip="" display=""/>
    <hyperlink ref="R8704" r:id="rId17404" location="" tooltip="" display=""/>
    <hyperlink ref="K8706" r:id="rId17405" location="" tooltip="" display=""/>
    <hyperlink ref="L8706" r:id="rId17406" location="" tooltip="" display=""/>
    <hyperlink ref="Q8706" r:id="rId17407" location="" tooltip="" display=""/>
    <hyperlink ref="R8706" r:id="rId17408" location="" tooltip="" display=""/>
    <hyperlink ref="L8708" r:id="rId17409" location="" tooltip="" display=""/>
    <hyperlink ref="R8708" r:id="rId17410" location="" tooltip="" display=""/>
    <hyperlink ref="L8709" r:id="rId17411" location="" tooltip="" display=""/>
    <hyperlink ref="R8709" r:id="rId17412" location="" tooltip="" display=""/>
    <hyperlink ref="K8710" r:id="rId17413" location="" tooltip="" display=""/>
    <hyperlink ref="L8710" r:id="rId17414" location="" tooltip="" display=""/>
    <hyperlink ref="Q8710" r:id="rId17415" location="" tooltip="" display=""/>
    <hyperlink ref="R8710" r:id="rId17416" location="" tooltip="" display=""/>
    <hyperlink ref="L8711" r:id="rId17417" location="" tooltip="" display=""/>
    <hyperlink ref="R8711" r:id="rId17418" location="" tooltip="" display=""/>
    <hyperlink ref="L8712" r:id="rId17419" location="" tooltip="" display=""/>
    <hyperlink ref="R8712" r:id="rId17420" location="" tooltip="" display=""/>
    <hyperlink ref="K8714" r:id="rId17421" location="" tooltip="" display=""/>
    <hyperlink ref="L8714" r:id="rId17422" location="" tooltip="" display=""/>
    <hyperlink ref="Q8714" r:id="rId17423" location="" tooltip="" display=""/>
    <hyperlink ref="R8714" r:id="rId17424" location="" tooltip="" display=""/>
    <hyperlink ref="K8716" r:id="rId17425" location="" tooltip="" display=""/>
    <hyperlink ref="L8716" r:id="rId17426" location="" tooltip="" display=""/>
    <hyperlink ref="Q8716" r:id="rId17427" location="" tooltip="" display=""/>
    <hyperlink ref="R8716" r:id="rId17428" location="" tooltip="" display=""/>
    <hyperlink ref="L8717" r:id="rId17429" location="" tooltip="" display=""/>
    <hyperlink ref="R8717" r:id="rId17430" location="" tooltip="" display=""/>
    <hyperlink ref="K8719" r:id="rId17431" location="" tooltip="" display=""/>
    <hyperlink ref="L8719" r:id="rId17432" location="" tooltip="" display=""/>
    <hyperlink ref="Q8719" r:id="rId17433" location="" tooltip="" display=""/>
    <hyperlink ref="R8719" r:id="rId17434" location="" tooltip="" display=""/>
    <hyperlink ref="L8720" r:id="rId17435" location="" tooltip="" display=""/>
    <hyperlink ref="R8720" r:id="rId17436" location="" tooltip="" display=""/>
    <hyperlink ref="K8722" r:id="rId17437" location="" tooltip="" display=""/>
    <hyperlink ref="L8722" r:id="rId17438" location="" tooltip="" display=""/>
    <hyperlink ref="Q8722" r:id="rId17439" location="" tooltip="" display=""/>
    <hyperlink ref="R8722" r:id="rId17440" location="" tooltip="" display=""/>
    <hyperlink ref="L8723" r:id="rId17441" location="" tooltip="" display=""/>
    <hyperlink ref="R8723" r:id="rId17442" location="" tooltip="" display=""/>
    <hyperlink ref="K8725" r:id="rId17443" location="" tooltip="" display=""/>
    <hyperlink ref="L8725" r:id="rId17444" location="" tooltip="" display=""/>
    <hyperlink ref="Q8725" r:id="rId17445" location="" tooltip="" display=""/>
    <hyperlink ref="R8725" r:id="rId17446" location="" tooltip="" display=""/>
    <hyperlink ref="K8727" r:id="rId17447" location="" tooltip="" display=""/>
    <hyperlink ref="L8727" r:id="rId17448" location="" tooltip="" display=""/>
    <hyperlink ref="Q8727" r:id="rId17449" location="" tooltip="" display=""/>
    <hyperlink ref="R8727" r:id="rId17450" location="" tooltip="" display=""/>
    <hyperlink ref="K8729" r:id="rId17451" location="" tooltip="" display=""/>
    <hyperlink ref="L8729" r:id="rId17452" location="" tooltip="" display=""/>
    <hyperlink ref="Q8729" r:id="rId17453" location="" tooltip="" display=""/>
    <hyperlink ref="R8729" r:id="rId17454" location="" tooltip="" display=""/>
    <hyperlink ref="L8730" r:id="rId17455" location="" tooltip="" display=""/>
    <hyperlink ref="R8730" r:id="rId17456" location="" tooltip="" display=""/>
    <hyperlink ref="K8732" r:id="rId17457" location="" tooltip="" display=""/>
    <hyperlink ref="L8732" r:id="rId17458" location="" tooltip="" display=""/>
    <hyperlink ref="Q8732" r:id="rId17459" location="" tooltip="" display=""/>
    <hyperlink ref="R8732" r:id="rId17460" location="" tooltip="" display=""/>
    <hyperlink ref="L8734" r:id="rId17461" location="" tooltip="" display=""/>
    <hyperlink ref="R8734" r:id="rId17462" location="" tooltip="" display=""/>
    <hyperlink ref="L8735" r:id="rId17463" location="" tooltip="" display=""/>
    <hyperlink ref="R8735" r:id="rId17464" location="" tooltip="" display=""/>
    <hyperlink ref="K8736" r:id="rId17465" location="" tooltip="" display=""/>
    <hyperlink ref="L8736" r:id="rId17466" location="" tooltip="" display=""/>
    <hyperlink ref="Q8736" r:id="rId17467" location="" tooltip="" display=""/>
    <hyperlink ref="R8736" r:id="rId17468" location="" tooltip="" display=""/>
    <hyperlink ref="L8737" r:id="rId17469" location="" tooltip="" display=""/>
    <hyperlink ref="R8737" r:id="rId17470" location="" tooltip="" display=""/>
    <hyperlink ref="L8738" r:id="rId17471" location="" tooltip="" display=""/>
    <hyperlink ref="R8738" r:id="rId17472" location="" tooltip="" display=""/>
    <hyperlink ref="K8740" r:id="rId17473" location="" tooltip="" display=""/>
    <hyperlink ref="L8740" r:id="rId17474" location="" tooltip="" display=""/>
    <hyperlink ref="Q8740" r:id="rId17475" location="" tooltip="" display=""/>
    <hyperlink ref="R8740" r:id="rId17476" location="" tooltip="" display=""/>
    <hyperlink ref="L8741" r:id="rId17477" location="" tooltip="" display=""/>
    <hyperlink ref="R8741" r:id="rId17478" location="" tooltip="" display=""/>
    <hyperlink ref="K8743" r:id="rId17479" location="" tooltip="" display=""/>
    <hyperlink ref="L8743" r:id="rId17480" location="" tooltip="" display=""/>
    <hyperlink ref="Q8743" r:id="rId17481" location="" tooltip="" display=""/>
    <hyperlink ref="R8743" r:id="rId17482" location="" tooltip="" display=""/>
    <hyperlink ref="L8744" r:id="rId17483" location="" tooltip="" display=""/>
    <hyperlink ref="R8744" r:id="rId17484" location="" tooltip="" display=""/>
    <hyperlink ref="L8746" r:id="rId17485" location="" tooltip="" display=""/>
    <hyperlink ref="R8746" r:id="rId17486" location="" tooltip="" display=""/>
    <hyperlink ref="K8747" r:id="rId17487" location="" tooltip="" display=""/>
    <hyperlink ref="L8747" r:id="rId17488" location="" tooltip="" display=""/>
    <hyperlink ref="Q8747" r:id="rId17489" location="" tooltip="" display=""/>
    <hyperlink ref="R8747" r:id="rId17490" location="" tooltip="" display=""/>
    <hyperlink ref="L8748" r:id="rId17491" location="" tooltip="" display=""/>
    <hyperlink ref="R8748" r:id="rId17492" location="" tooltip="" display=""/>
    <hyperlink ref="L8750" r:id="rId17493" location="" tooltip="" display=""/>
    <hyperlink ref="R8750" r:id="rId17494" location="" tooltip="" display=""/>
    <hyperlink ref="K8751" r:id="rId17495" location="" tooltip="" display=""/>
    <hyperlink ref="L8751" r:id="rId17496" location="" tooltip="" display=""/>
    <hyperlink ref="Q8751" r:id="rId17497" location="" tooltip="" display=""/>
    <hyperlink ref="R8751" r:id="rId17498" location="" tooltip="" display=""/>
    <hyperlink ref="L8752" r:id="rId17499" location="" tooltip="" display=""/>
    <hyperlink ref="R8752" r:id="rId17500" location="" tooltip="" display=""/>
    <hyperlink ref="L8753" r:id="rId17501" location="" tooltip="" display=""/>
    <hyperlink ref="R8753" r:id="rId17502" location="" tooltip="" display=""/>
    <hyperlink ref="L8755" r:id="rId17503" location="" tooltip="" display=""/>
    <hyperlink ref="R8755" r:id="rId17504" location="" tooltip="" display=""/>
    <hyperlink ref="L8756" r:id="rId17505" location="" tooltip="" display=""/>
    <hyperlink ref="R8756" r:id="rId17506" location="" tooltip="" display=""/>
    <hyperlink ref="L8757" r:id="rId17507" location="" tooltip="" display=""/>
    <hyperlink ref="R8757" r:id="rId17508" location="" tooltip="" display=""/>
    <hyperlink ref="L8758" r:id="rId17509" location="" tooltip="" display=""/>
    <hyperlink ref="R8758" r:id="rId17510" location="" tooltip="" display=""/>
    <hyperlink ref="K8759" r:id="rId17511" location="" tooltip="" display=""/>
    <hyperlink ref="L8759" r:id="rId17512" location="" tooltip="" display=""/>
    <hyperlink ref="Q8759" r:id="rId17513" location="" tooltip="" display=""/>
    <hyperlink ref="R8759" r:id="rId17514" location="" tooltip="" display=""/>
    <hyperlink ref="L8760" r:id="rId17515" location="" tooltip="" display=""/>
    <hyperlink ref="R8760" r:id="rId17516" location="" tooltip="" display=""/>
    <hyperlink ref="L8761" r:id="rId17517" location="" tooltip="" display=""/>
    <hyperlink ref="R8761" r:id="rId17518" location="" tooltip="" display=""/>
    <hyperlink ref="L8762" r:id="rId17519" location="" tooltip="" display=""/>
    <hyperlink ref="R8762" r:id="rId17520" location="" tooltip="" display=""/>
    <hyperlink ref="L8763" r:id="rId17521" location="" tooltip="" display=""/>
    <hyperlink ref="R8763" r:id="rId17522" location="" tooltip="" display=""/>
    <hyperlink ref="L8764" r:id="rId17523" location="" tooltip="" display=""/>
    <hyperlink ref="R8764" r:id="rId17524" location="" tooltip="" display=""/>
    <hyperlink ref="L8766" r:id="rId17525" location="" tooltip="" display=""/>
    <hyperlink ref="R8766" r:id="rId17526" location="" tooltip="" display=""/>
    <hyperlink ref="L8767" r:id="rId17527" location="" tooltip="" display=""/>
    <hyperlink ref="R8767" r:id="rId17528" location="" tooltip="" display=""/>
    <hyperlink ref="K8768" r:id="rId17529" location="" tooltip="" display=""/>
    <hyperlink ref="L8768" r:id="rId17530" location="" tooltip="" display=""/>
    <hyperlink ref="Q8768" r:id="rId17531" location="" tooltip="" display=""/>
    <hyperlink ref="R8768" r:id="rId17532" location="" tooltip="" display=""/>
    <hyperlink ref="L8769" r:id="rId17533" location="" tooltip="" display=""/>
    <hyperlink ref="R8769" r:id="rId17534" location="" tooltip="" display=""/>
    <hyperlink ref="L8770" r:id="rId17535" location="" tooltip="" display=""/>
    <hyperlink ref="R8770" r:id="rId17536" location="" tooltip="" display=""/>
    <hyperlink ref="K8772" r:id="rId17537" location="" tooltip="" display=""/>
    <hyperlink ref="L8772" r:id="rId17538" location="" tooltip="" display=""/>
    <hyperlink ref="Q8772" r:id="rId17539" location="" tooltip="" display=""/>
    <hyperlink ref="R8772" r:id="rId17540" location="" tooltip="" display=""/>
    <hyperlink ref="L8773" r:id="rId17541" location="" tooltip="" display=""/>
    <hyperlink ref="R8773" r:id="rId17542" location="" tooltip="" display=""/>
    <hyperlink ref="K8775" r:id="rId17543" location="" tooltip="" display=""/>
    <hyperlink ref="L8775" r:id="rId17544" location="" tooltip="" display=""/>
    <hyperlink ref="Q8775" r:id="rId17545" location="" tooltip="" display=""/>
    <hyperlink ref="R8775" r:id="rId17546" location="" tooltip="" display=""/>
    <hyperlink ref="L8776" r:id="rId17547" location="" tooltip="" display=""/>
    <hyperlink ref="R8776" r:id="rId17548" location="" tooltip="" display=""/>
    <hyperlink ref="K8778" r:id="rId17549" location="" tooltip="" display=""/>
    <hyperlink ref="L8778" r:id="rId17550" location="" tooltip="" display=""/>
    <hyperlink ref="Q8778" r:id="rId17551" location="" tooltip="" display=""/>
    <hyperlink ref="R8778" r:id="rId17552" location="" tooltip="" display=""/>
    <hyperlink ref="L8779" r:id="rId17553" location="" tooltip="" display=""/>
    <hyperlink ref="R8779" r:id="rId17554" location="" tooltip="" display=""/>
    <hyperlink ref="L8781" r:id="rId17555" location="" tooltip="" display=""/>
    <hyperlink ref="R8781" r:id="rId17556" location="" tooltip="" display=""/>
    <hyperlink ref="K8782" r:id="rId17557" location="" tooltip="" display=""/>
    <hyperlink ref="L8782" r:id="rId17558" location="" tooltip="" display=""/>
    <hyperlink ref="Q8782" r:id="rId17559" location="" tooltip="" display=""/>
    <hyperlink ref="R8782" r:id="rId17560" location="" tooltip="" display=""/>
    <hyperlink ref="L8783" r:id="rId17561" location="" tooltip="" display=""/>
    <hyperlink ref="R8783" r:id="rId17562" location="" tooltip="" display=""/>
    <hyperlink ref="K8785" r:id="rId17563" location="" tooltip="" display=""/>
    <hyperlink ref="L8785" r:id="rId17564" location="" tooltip="" display=""/>
    <hyperlink ref="Q8785" r:id="rId17565" location="" tooltip="" display=""/>
    <hyperlink ref="R8785" r:id="rId17566" location="" tooltip="" display=""/>
    <hyperlink ref="L8786" r:id="rId17567" location="" tooltip="" display=""/>
    <hyperlink ref="R8786" r:id="rId17568" location="" tooltip="" display=""/>
    <hyperlink ref="K8788" r:id="rId17569" location="" tooltip="" display=""/>
    <hyperlink ref="L8788" r:id="rId17570" location="" tooltip="" display=""/>
    <hyperlink ref="Q8788" r:id="rId17571" location="" tooltip="" display=""/>
    <hyperlink ref="R8788" r:id="rId17572" location="" tooltip="" display=""/>
    <hyperlink ref="L8789" r:id="rId17573" location="" tooltip="" display=""/>
    <hyperlink ref="R8789" r:id="rId17574" location="" tooltip="" display=""/>
    <hyperlink ref="L8791" r:id="rId17575" location="" tooltip="" display=""/>
    <hyperlink ref="R8791" r:id="rId17576" location="" tooltip="" display=""/>
    <hyperlink ref="K8792" r:id="rId17577" location="" tooltip="" display=""/>
    <hyperlink ref="L8792" r:id="rId17578" location="" tooltip="" display=""/>
    <hyperlink ref="Q8792" r:id="rId17579" location="" tooltip="" display=""/>
    <hyperlink ref="R8792" r:id="rId17580" location="" tooltip="" display=""/>
    <hyperlink ref="L8793" r:id="rId17581" location="" tooltip="" display=""/>
    <hyperlink ref="R8793" r:id="rId17582" location="" tooltip="" display=""/>
    <hyperlink ref="K8795" r:id="rId17583" location="" tooltip="" display=""/>
    <hyperlink ref="L8795" r:id="rId17584" location="" tooltip="" display=""/>
    <hyperlink ref="Q8795" r:id="rId17585" location="" tooltip="" display=""/>
    <hyperlink ref="R8795" r:id="rId17586" location="" tooltip="" display=""/>
    <hyperlink ref="L8796" r:id="rId17587" location="" tooltip="" display=""/>
    <hyperlink ref="R8796" r:id="rId17588" location="" tooltip="" display=""/>
    <hyperlink ref="L8798" r:id="rId17589" location="" tooltip="" display=""/>
    <hyperlink ref="R8798" r:id="rId17590" location="" tooltip="" display=""/>
    <hyperlink ref="K8799" r:id="rId17591" location="" tooltip="" display=""/>
    <hyperlink ref="L8799" r:id="rId17592" location="" tooltip="" display=""/>
    <hyperlink ref="Q8799" r:id="rId17593" location="" tooltip="" display=""/>
    <hyperlink ref="R8799" r:id="rId17594" location="" tooltip="" display=""/>
    <hyperlink ref="L8800" r:id="rId17595" location="" tooltip="" display=""/>
    <hyperlink ref="R8800" r:id="rId17596" location="" tooltip="" display=""/>
    <hyperlink ref="K8802" r:id="rId17597" location="" tooltip="" display=""/>
    <hyperlink ref="L8802" r:id="rId17598" location="" tooltip="" display=""/>
    <hyperlink ref="Q8802" r:id="rId17599" location="" tooltip="" display=""/>
    <hyperlink ref="R8802" r:id="rId17600" location="" tooltip="" display=""/>
    <hyperlink ref="K8804" r:id="rId17601" location="" tooltip="" display=""/>
    <hyperlink ref="L8804" r:id="rId17602" location="" tooltip="" display=""/>
    <hyperlink ref="Q8804" r:id="rId17603" location="" tooltip="" display=""/>
    <hyperlink ref="R8804" r:id="rId17604" location="" tooltip="" display=""/>
    <hyperlink ref="L8805" r:id="rId17605" location="" tooltip="" display=""/>
    <hyperlink ref="R8805" r:id="rId17606" location="" tooltip="" display=""/>
    <hyperlink ref="K8807" r:id="rId17607" location="" tooltip="" display=""/>
    <hyperlink ref="L8807" r:id="rId17608" location="" tooltip="" display=""/>
    <hyperlink ref="Q8807" r:id="rId17609" location="" tooltip="" display=""/>
    <hyperlink ref="R8807" r:id="rId17610" location="" tooltip="" display=""/>
    <hyperlink ref="L8808" r:id="rId17611" location="" tooltip="" display=""/>
    <hyperlink ref="R8808" r:id="rId17612" location="" tooltip="" display=""/>
    <hyperlink ref="K8810" r:id="rId17613" location="" tooltip="" display=""/>
    <hyperlink ref="L8810" r:id="rId17614" location="" tooltip="" display=""/>
    <hyperlink ref="Q8810" r:id="rId17615" location="" tooltip="" display=""/>
    <hyperlink ref="R8810" r:id="rId17616" location="" tooltip="" display=""/>
    <hyperlink ref="L8811" r:id="rId17617" location="" tooltip="" display=""/>
    <hyperlink ref="R8811" r:id="rId17618" location="" tooltip="" display=""/>
    <hyperlink ref="K8813" r:id="rId17619" location="" tooltip="" display=""/>
    <hyperlink ref="L8813" r:id="rId17620" location="" tooltip="" display=""/>
    <hyperlink ref="Q8813" r:id="rId17621" location="" tooltip="" display=""/>
    <hyperlink ref="R8813" r:id="rId17622" location="" tooltip="" display=""/>
    <hyperlink ref="L8814" r:id="rId17623" location="" tooltip="" display=""/>
    <hyperlink ref="R8814" r:id="rId17624" location="" tooltip="" display=""/>
    <hyperlink ref="K8816" r:id="rId17625" location="" tooltip="" display=""/>
    <hyperlink ref="L8816" r:id="rId17626" location="" tooltip="" display=""/>
    <hyperlink ref="Q8816" r:id="rId17627" location="" tooltip="" display=""/>
    <hyperlink ref="R8816" r:id="rId17628" location="" tooltip="" display=""/>
    <hyperlink ref="K8818" r:id="rId17629" location="" tooltip="" display=""/>
    <hyperlink ref="L8818" r:id="rId17630" location="" tooltip="" display=""/>
    <hyperlink ref="Q8818" r:id="rId17631" location="" tooltip="" display=""/>
    <hyperlink ref="R8818" r:id="rId17632" location="" tooltip="" display=""/>
    <hyperlink ref="L8819" r:id="rId17633" location="" tooltip="" display=""/>
    <hyperlink ref="R8819" r:id="rId17634" location="" tooltip="" display=""/>
    <hyperlink ref="K8821" r:id="rId17635" location="" tooltip="" display=""/>
    <hyperlink ref="L8821" r:id="rId17636" location="" tooltip="" display=""/>
    <hyperlink ref="Q8821" r:id="rId17637" location="" tooltip="" display=""/>
    <hyperlink ref="R8821" r:id="rId17638" location="" tooltip="" display=""/>
    <hyperlink ref="L8822" r:id="rId17639" location="" tooltip="" display=""/>
    <hyperlink ref="R8822" r:id="rId17640" location="" tooltip="" display=""/>
    <hyperlink ref="L8824" r:id="rId17641" location="" tooltip="" display=""/>
    <hyperlink ref="R8824" r:id="rId17642" location="" tooltip="" display=""/>
    <hyperlink ref="K8825" r:id="rId17643" location="" tooltip="" display=""/>
    <hyperlink ref="L8825" r:id="rId17644" location="" tooltip="" display=""/>
    <hyperlink ref="Q8825" r:id="rId17645" location="" tooltip="" display=""/>
    <hyperlink ref="R8825" r:id="rId17646" location="" tooltip="" display=""/>
    <hyperlink ref="L8826" r:id="rId17647" location="" tooltip="" display=""/>
    <hyperlink ref="R8826" r:id="rId17648" location="" tooltip="" display=""/>
    <hyperlink ref="K8828" r:id="rId17649" location="" tooltip="" display=""/>
    <hyperlink ref="L8828" r:id="rId17650" location="" tooltip="" display=""/>
    <hyperlink ref="Q8828" r:id="rId17651" location="" tooltip="" display=""/>
    <hyperlink ref="R8828" r:id="rId17652" location="" tooltip="" display=""/>
    <hyperlink ref="L8829" r:id="rId17653" location="" tooltip="" display=""/>
    <hyperlink ref="R8829" r:id="rId17654" location="" tooltip="" display=""/>
    <hyperlink ref="K8831" r:id="rId17655" location="" tooltip="" display=""/>
    <hyperlink ref="L8831" r:id="rId17656" location="" tooltip="" display=""/>
    <hyperlink ref="Q8831" r:id="rId17657" location="" tooltip="" display=""/>
    <hyperlink ref="R8831" r:id="rId17658" location="" tooltip="" display=""/>
    <hyperlink ref="K8833" r:id="rId17659" location="" tooltip="" display=""/>
    <hyperlink ref="L8833" r:id="rId17660" location="" tooltip="" display=""/>
    <hyperlink ref="Q8833" r:id="rId17661" location="" tooltip="" display=""/>
    <hyperlink ref="R8833" r:id="rId17662" location="" tooltip="" display=""/>
    <hyperlink ref="L8834" r:id="rId17663" location="" tooltip="" display=""/>
    <hyperlink ref="R8834" r:id="rId17664" location="" tooltip="" display=""/>
    <hyperlink ref="K8836" r:id="rId17665" location="" tooltip="" display=""/>
    <hyperlink ref="L8836" r:id="rId17666" location="" tooltip="" display=""/>
    <hyperlink ref="Q8836" r:id="rId17667" location="" tooltip="" display=""/>
    <hyperlink ref="R8836" r:id="rId17668" location="" tooltip="" display=""/>
    <hyperlink ref="L8837" r:id="rId17669" location="" tooltip="" display=""/>
    <hyperlink ref="R8837" r:id="rId17670" location="" tooltip="" display=""/>
    <hyperlink ref="K8839" r:id="rId17671" location="" tooltip="" display=""/>
    <hyperlink ref="L8839" r:id="rId17672" location="" tooltip="" display=""/>
    <hyperlink ref="Q8839" r:id="rId17673" location="" tooltip="" display=""/>
    <hyperlink ref="R8839" r:id="rId17674" location="" tooltip="" display=""/>
    <hyperlink ref="L8841" r:id="rId17675" location="" tooltip="" display=""/>
    <hyperlink ref="R8841" r:id="rId17676" location="" tooltip="" display=""/>
    <hyperlink ref="L8842" r:id="rId17677" location="" tooltip="" display=""/>
    <hyperlink ref="R8842" r:id="rId17678" location="" tooltip="" display=""/>
    <hyperlink ref="K8843" r:id="rId17679" location="" tooltip="" display=""/>
    <hyperlink ref="L8843" r:id="rId17680" location="" tooltip="" display=""/>
    <hyperlink ref="Q8843" r:id="rId17681" location="" tooltip="" display=""/>
    <hyperlink ref="R8843" r:id="rId17682" location="" tooltip="" display=""/>
    <hyperlink ref="L8844" r:id="rId17683" location="" tooltip="" display=""/>
    <hyperlink ref="R8844" r:id="rId17684" location="" tooltip="" display=""/>
    <hyperlink ref="L8845" r:id="rId17685" location="" tooltip="" display=""/>
    <hyperlink ref="R8845" r:id="rId17686" location="" tooltip="" display=""/>
    <hyperlink ref="L8846" r:id="rId17687" location="" tooltip="" display=""/>
    <hyperlink ref="R8846" r:id="rId17688" location="" tooltip="" display=""/>
    <hyperlink ref="L8848" r:id="rId17689" location="" tooltip="" display=""/>
    <hyperlink ref="R8848" r:id="rId17690" location="" tooltip="" display=""/>
    <hyperlink ref="K8849" r:id="rId17691" location="" tooltip="" display=""/>
    <hyperlink ref="L8849" r:id="rId17692" location="" tooltip="" display=""/>
    <hyperlink ref="Q8849" r:id="rId17693" location="" tooltip="" display=""/>
    <hyperlink ref="R8849" r:id="rId17694" location="" tooltip="" display=""/>
    <hyperlink ref="L8850" r:id="rId17695" location="" tooltip="" display=""/>
    <hyperlink ref="R8850" r:id="rId17696" location="" tooltip="" display=""/>
    <hyperlink ref="K8852" r:id="rId17697" location="" tooltip="" display=""/>
    <hyperlink ref="L8852" r:id="rId17698" location="" tooltip="" display=""/>
    <hyperlink ref="Q8852" r:id="rId17699" location="" tooltip="" display=""/>
    <hyperlink ref="R8852" r:id="rId17700" location="" tooltip="" display=""/>
    <hyperlink ref="L8853" r:id="rId17701" location="" tooltip="" display=""/>
    <hyperlink ref="R8853" r:id="rId17702" location="" tooltip="" display=""/>
    <hyperlink ref="K8855" r:id="rId17703" location="" tooltip="" display=""/>
    <hyperlink ref="L8855" r:id="rId17704" location="" tooltip="" display=""/>
    <hyperlink ref="Q8855" r:id="rId17705" location="" tooltip="" display=""/>
    <hyperlink ref="R8855" r:id="rId17706" location="" tooltip="" display=""/>
    <hyperlink ref="K8857" r:id="rId17707" location="" tooltip="" display=""/>
    <hyperlink ref="L8857" r:id="rId17708" location="" tooltip="" display=""/>
    <hyperlink ref="Q8857" r:id="rId17709" location="" tooltip="" display=""/>
    <hyperlink ref="R8857" r:id="rId17710" location="" tooltip="" display=""/>
    <hyperlink ref="K8859" r:id="rId17711" location="" tooltip="" display=""/>
    <hyperlink ref="L8859" r:id="rId17712" location="" tooltip="" display=""/>
    <hyperlink ref="Q8859" r:id="rId17713" location="" tooltip="" display=""/>
    <hyperlink ref="R8859" r:id="rId17714" location="" tooltip="" display=""/>
    <hyperlink ref="L8860" r:id="rId17715" location="" tooltip="" display=""/>
    <hyperlink ref="R8860" r:id="rId17716" location="" tooltip="" display=""/>
    <hyperlink ref="K8862" r:id="rId17717" location="" tooltip="" display=""/>
    <hyperlink ref="L8862" r:id="rId17718" location="" tooltip="" display=""/>
    <hyperlink ref="Q8862" r:id="rId17719" location="" tooltip="" display=""/>
    <hyperlink ref="R8862" r:id="rId17720" location="" tooltip="" display=""/>
    <hyperlink ref="L8863" r:id="rId17721" location="" tooltip="" display=""/>
    <hyperlink ref="R8863" r:id="rId17722" location="" tooltip="" display=""/>
    <hyperlink ref="K8865" r:id="rId17723" location="" tooltip="" display=""/>
    <hyperlink ref="L8865" r:id="rId17724" location="" tooltip="" display=""/>
    <hyperlink ref="Q8865" r:id="rId17725" location="" tooltip="" display=""/>
    <hyperlink ref="R8865" r:id="rId17726" location="" tooltip="" display=""/>
    <hyperlink ref="L8866" r:id="rId17727" location="" tooltip="" display=""/>
    <hyperlink ref="R8866" r:id="rId17728" location="" tooltip="" display=""/>
    <hyperlink ref="K8868" r:id="rId17729" location="" tooltip="" display=""/>
    <hyperlink ref="L8868" r:id="rId17730" location="" tooltip="" display=""/>
    <hyperlink ref="Q8868" r:id="rId17731" location="" tooltip="" display=""/>
    <hyperlink ref="R8868" r:id="rId17732" location="" tooltip="" display=""/>
    <hyperlink ref="L8869" r:id="rId17733" location="" tooltip="" display=""/>
    <hyperlink ref="R8869" r:id="rId17734" location="" tooltip="" display=""/>
    <hyperlink ref="K8871" r:id="rId17735" location="" tooltip="" display=""/>
    <hyperlink ref="L8871" r:id="rId17736" location="" tooltip="" display=""/>
    <hyperlink ref="Q8871" r:id="rId17737" location="" tooltip="" display=""/>
    <hyperlink ref="R8871" r:id="rId17738" location="" tooltip="" display=""/>
    <hyperlink ref="L8873" r:id="rId17739" location="" tooltip="" display=""/>
    <hyperlink ref="R8873" r:id="rId17740" location="" tooltip="" display=""/>
    <hyperlink ref="K8874" r:id="rId17741" location="" tooltip="" display=""/>
    <hyperlink ref="L8874" r:id="rId17742" location="" tooltip="" display=""/>
    <hyperlink ref="Q8874" r:id="rId17743" location="" tooltip="" display=""/>
    <hyperlink ref="R8874" r:id="rId17744" location="" tooltip="" display=""/>
    <hyperlink ref="L8875" r:id="rId17745" location="" tooltip="" display=""/>
    <hyperlink ref="R8875" r:id="rId17746" location="" tooltip="" display=""/>
    <hyperlink ref="L8876" r:id="rId17747" location="" tooltip="" display=""/>
    <hyperlink ref="R8876" r:id="rId17748" location="" tooltip="" display=""/>
    <hyperlink ref="K8878" r:id="rId17749" location="" tooltip="" display=""/>
    <hyperlink ref="L8878" r:id="rId17750" location="" tooltip="" display=""/>
    <hyperlink ref="Q8878" r:id="rId17751" location="" tooltip="" display=""/>
    <hyperlink ref="R8878" r:id="rId17752" location="" tooltip="" display=""/>
    <hyperlink ref="L8880" r:id="rId17753" location="" tooltip="" display=""/>
    <hyperlink ref="R8880" r:id="rId17754" location="" tooltip="" display=""/>
    <hyperlink ref="K8881" r:id="rId17755" location="" tooltip="" display=""/>
    <hyperlink ref="L8881" r:id="rId17756" location="" tooltip="" display=""/>
    <hyperlink ref="Q8881" r:id="rId17757" location="" tooltip="" display=""/>
    <hyperlink ref="R8881" r:id="rId17758" location="" tooltip="" display=""/>
    <hyperlink ref="L8882" r:id="rId17759" location="" tooltip="" display=""/>
    <hyperlink ref="R8882" r:id="rId17760" location="" tooltip="" display=""/>
    <hyperlink ref="L8883" r:id="rId17761" location="" tooltip="" display=""/>
    <hyperlink ref="R8883" r:id="rId17762" location="" tooltip="" display=""/>
    <hyperlink ref="L8885" r:id="rId17763" location="" tooltip="" display=""/>
    <hyperlink ref="R8885" r:id="rId17764" location="" tooltip="" display=""/>
    <hyperlink ref="K8886" r:id="rId17765" location="" tooltip="" display=""/>
    <hyperlink ref="L8886" r:id="rId17766" location="" tooltip="" display=""/>
    <hyperlink ref="Q8886" r:id="rId17767" location="" tooltip="" display=""/>
    <hyperlink ref="R8886" r:id="rId17768" location="" tooltip="" display=""/>
    <hyperlink ref="L8887" r:id="rId17769" location="" tooltip="" display=""/>
    <hyperlink ref="R8887" r:id="rId17770" location="" tooltip="" display=""/>
    <hyperlink ref="L8888" r:id="rId17771" location="" tooltip="" display=""/>
    <hyperlink ref="R8888" r:id="rId17772" location="" tooltip="" display=""/>
    <hyperlink ref="K8890" r:id="rId17773" location="" tooltip="" display=""/>
    <hyperlink ref="L8890" r:id="rId17774" location="" tooltip="" display=""/>
    <hyperlink ref="Q8890" r:id="rId17775" location="" tooltip="" display=""/>
    <hyperlink ref="R8890" r:id="rId17776" location="" tooltip="" display=""/>
    <hyperlink ref="K8892" r:id="rId17777" location="" tooltip="" display=""/>
    <hyperlink ref="L8892" r:id="rId17778" location="" tooltip="" display=""/>
    <hyperlink ref="Q8892" r:id="rId17779" location="" tooltip="" display=""/>
    <hyperlink ref="R8892" r:id="rId17780" location="" tooltip="" display=""/>
    <hyperlink ref="K8894" r:id="rId17781" location="" tooltip="" display=""/>
    <hyperlink ref="L8894" r:id="rId17782" location="" tooltip="" display=""/>
    <hyperlink ref="Q8894" r:id="rId17783" location="" tooltip="" display=""/>
    <hyperlink ref="R8894" r:id="rId17784" location="" tooltip="" display=""/>
    <hyperlink ref="L8895" r:id="rId17785" location="" tooltip="" display=""/>
    <hyperlink ref="R8895" r:id="rId17786" location="" tooltip="" display=""/>
    <hyperlink ref="K8897" r:id="rId17787" location="" tooltip="" display=""/>
    <hyperlink ref="L8897" r:id="rId17788" location="" tooltip="" display=""/>
    <hyperlink ref="Q8897" r:id="rId17789" location="" tooltip="" display=""/>
    <hyperlink ref="R8897" r:id="rId17790" location="" tooltip="" display=""/>
    <hyperlink ref="L8898" r:id="rId17791" location="" tooltip="" display=""/>
    <hyperlink ref="R8898" r:id="rId17792" location="" tooltip="" display=""/>
    <hyperlink ref="K8900" r:id="rId17793" location="" tooltip="" display=""/>
    <hyperlink ref="L8900" r:id="rId17794" location="" tooltip="" display=""/>
    <hyperlink ref="Q8900" r:id="rId17795" location="" tooltip="" display=""/>
    <hyperlink ref="R8900" r:id="rId17796" location="" tooltip="" display=""/>
    <hyperlink ref="K8902" r:id="rId17797" location="" tooltip="" display=""/>
    <hyperlink ref="L8902" r:id="rId17798" location="" tooltip="" display=""/>
    <hyperlink ref="Q8902" r:id="rId17799" location="" tooltip="" display=""/>
    <hyperlink ref="R8902" r:id="rId17800" location="" tooltip="" display=""/>
    <hyperlink ref="K8904" r:id="rId17801" location="" tooltip="" display=""/>
    <hyperlink ref="L8904" r:id="rId17802" location="" tooltip="" display=""/>
    <hyperlink ref="Q8904" r:id="rId17803" location="" tooltip="" display=""/>
    <hyperlink ref="R8904" r:id="rId17804" location="" tooltip="" display=""/>
    <hyperlink ref="L8905" r:id="rId17805" location="" tooltip="" display=""/>
    <hyperlink ref="R8905" r:id="rId17806" location="" tooltip="" display=""/>
    <hyperlink ref="K8907" r:id="rId17807" location="" tooltip="" display=""/>
    <hyperlink ref="L8907" r:id="rId17808" location="" tooltip="" display=""/>
    <hyperlink ref="Q8907" r:id="rId17809" location="" tooltip="" display=""/>
    <hyperlink ref="R8907" r:id="rId17810" location="" tooltip="" display=""/>
    <hyperlink ref="L8909" r:id="rId17811" location="" tooltip="" display=""/>
    <hyperlink ref="R8909" r:id="rId17812" location="" tooltip="" display=""/>
    <hyperlink ref="K8910" r:id="rId17813" location="" tooltip="" display=""/>
    <hyperlink ref="L8910" r:id="rId17814" location="" tooltip="" display=""/>
    <hyperlink ref="Q8910" r:id="rId17815" location="" tooltip="" display=""/>
    <hyperlink ref="R8910" r:id="rId17816" location="" tooltip="" display=""/>
    <hyperlink ref="L8911" r:id="rId17817" location="" tooltip="" display=""/>
    <hyperlink ref="R8911" r:id="rId17818" location="" tooltip="" display=""/>
    <hyperlink ref="K8913" r:id="rId17819" location="" tooltip="" display=""/>
    <hyperlink ref="L8913" r:id="rId17820" location="" tooltip="" display=""/>
    <hyperlink ref="Q8913" r:id="rId17821" location="" tooltip="" display=""/>
    <hyperlink ref="R8913" r:id="rId17822" location="" tooltip="" display=""/>
    <hyperlink ref="K8915" r:id="rId17823" location="" tooltip="" display=""/>
    <hyperlink ref="L8915" r:id="rId17824" location="" tooltip="" display=""/>
    <hyperlink ref="Q8915" r:id="rId17825" location="" tooltip="" display=""/>
    <hyperlink ref="R8915" r:id="rId17826" location="" tooltip="" display=""/>
    <hyperlink ref="L8916" r:id="rId17827" location="" tooltip="" display=""/>
    <hyperlink ref="R8916" r:id="rId17828" location="" tooltip="" display=""/>
    <hyperlink ref="K8918" r:id="rId17829" location="" tooltip="" display=""/>
    <hyperlink ref="L8918" r:id="rId17830" location="" tooltip="" display=""/>
    <hyperlink ref="Q8918" r:id="rId17831" location="" tooltip="" display=""/>
    <hyperlink ref="R8918" r:id="rId17832" location="" tooltip="" display=""/>
    <hyperlink ref="L8919" r:id="rId17833" location="" tooltip="" display=""/>
    <hyperlink ref="R8919" r:id="rId17834" location="" tooltip="" display=""/>
    <hyperlink ref="K8921" r:id="rId17835" location="" tooltip="" display=""/>
    <hyperlink ref="L8921" r:id="rId17836" location="" tooltip="" display=""/>
    <hyperlink ref="Q8921" r:id="rId17837" location="" tooltip="" display=""/>
    <hyperlink ref="R8921" r:id="rId17838" location="" tooltip="" display=""/>
    <hyperlink ref="K8923" r:id="rId17839" location="" tooltip="" display=""/>
    <hyperlink ref="L8923" r:id="rId17840" location="" tooltip="" display=""/>
    <hyperlink ref="Q8923" r:id="rId17841" location="" tooltip="" display=""/>
    <hyperlink ref="R8923" r:id="rId17842" location="" tooltip="" display=""/>
    <hyperlink ref="L8925" r:id="rId17843" location="" tooltip="" display=""/>
    <hyperlink ref="R8925" r:id="rId17844" location="" tooltip="" display=""/>
    <hyperlink ref="K8926" r:id="rId17845" location="" tooltip="" display=""/>
    <hyperlink ref="L8926" r:id="rId17846" location="" tooltip="" display=""/>
    <hyperlink ref="Q8926" r:id="rId17847" location="" tooltip="" display=""/>
    <hyperlink ref="R8926" r:id="rId17848" location="" tooltip="" display=""/>
    <hyperlink ref="L8927" r:id="rId17849" location="" tooltip="" display=""/>
    <hyperlink ref="R8927" r:id="rId17850" location="" tooltip="" display=""/>
    <hyperlink ref="K8929" r:id="rId17851" location="" tooltip="" display=""/>
    <hyperlink ref="L8929" r:id="rId17852" location="" tooltip="" display=""/>
    <hyperlink ref="Q8929" r:id="rId17853" location="" tooltip="" display=""/>
    <hyperlink ref="R8929" r:id="rId17854" location="" tooltip="" display=""/>
    <hyperlink ref="K8931" r:id="rId17855" location="" tooltip="" display=""/>
    <hyperlink ref="L8931" r:id="rId17856" location="" tooltip="" display=""/>
    <hyperlink ref="Q8931" r:id="rId17857" location="" tooltip="" display=""/>
    <hyperlink ref="R8931" r:id="rId17858" location="" tooltip="" display=""/>
    <hyperlink ref="L8933" r:id="rId17859" location="" tooltip="" display=""/>
    <hyperlink ref="R8933" r:id="rId17860" location="" tooltip="" display=""/>
    <hyperlink ref="K8934" r:id="rId17861" location="" tooltip="" display=""/>
    <hyperlink ref="L8934" r:id="rId17862" location="" tooltip="" display=""/>
    <hyperlink ref="Q8934" r:id="rId17863" location="" tooltip="" display=""/>
    <hyperlink ref="R8934" r:id="rId17864" location="" tooltip="" display=""/>
    <hyperlink ref="L8935" r:id="rId17865" location="" tooltip="" display=""/>
    <hyperlink ref="R8935" r:id="rId17866" location="" tooltip="" display=""/>
    <hyperlink ref="K8937" r:id="rId17867" location="" tooltip="" display=""/>
    <hyperlink ref="L8937" r:id="rId17868" location="" tooltip="" display=""/>
    <hyperlink ref="Q8937" r:id="rId17869" location="" tooltip="" display=""/>
    <hyperlink ref="R8937" r:id="rId17870" location="" tooltip="" display=""/>
    <hyperlink ref="K8939" r:id="rId17871" location="" tooltip="" display=""/>
    <hyperlink ref="L8939" r:id="rId17872" location="" tooltip="" display=""/>
    <hyperlink ref="Q8939" r:id="rId17873" location="" tooltip="" display=""/>
    <hyperlink ref="R8939" r:id="rId17874" location="" tooltip="" display=""/>
    <hyperlink ref="K8941" r:id="rId17875" location="" tooltip="" display=""/>
    <hyperlink ref="L8941" r:id="rId17876" location="" tooltip="" display=""/>
    <hyperlink ref="Q8941" r:id="rId17877" location="" tooltip="" display=""/>
    <hyperlink ref="R8941" r:id="rId17878" location="" tooltip="" display=""/>
    <hyperlink ref="L8942" r:id="rId17879" location="" tooltip="" display=""/>
    <hyperlink ref="R8942" r:id="rId17880" location="" tooltip="" display=""/>
    <hyperlink ref="K8944" r:id="rId17881" location="" tooltip="" display=""/>
    <hyperlink ref="L8944" r:id="rId17882" location="" tooltip="" display=""/>
    <hyperlink ref="Q8944" r:id="rId17883" location="" tooltip="" display=""/>
    <hyperlink ref="R8944" r:id="rId17884" location="" tooltip="" display=""/>
    <hyperlink ref="L8945" r:id="rId17885" location="" tooltip="" display=""/>
    <hyperlink ref="R8945" r:id="rId17886" location="" tooltip="" display=""/>
    <hyperlink ref="L8947" r:id="rId17887" location="" tooltip="" display=""/>
    <hyperlink ref="R8947" r:id="rId17888" location="" tooltip="" display=""/>
    <hyperlink ref="K8948" r:id="rId17889" location="" tooltip="" display=""/>
    <hyperlink ref="L8948" r:id="rId17890" location="" tooltip="" display=""/>
    <hyperlink ref="Q8948" r:id="rId17891" location="" tooltip="" display=""/>
    <hyperlink ref="R8948" r:id="rId17892" location="" tooltip="" display=""/>
    <hyperlink ref="L8949" r:id="rId17893" location="" tooltip="" display=""/>
    <hyperlink ref="R8949" r:id="rId17894" location="" tooltip="" display=""/>
    <hyperlink ref="L8950" r:id="rId17895" location="" tooltip="" display=""/>
    <hyperlink ref="R8950" r:id="rId17896" location="" tooltip="" display=""/>
    <hyperlink ref="K8952" r:id="rId17897" location="" tooltip="" display=""/>
    <hyperlink ref="L8952" r:id="rId17898" location="" tooltip="" display=""/>
    <hyperlink ref="Q8952" r:id="rId17899" location="" tooltip="" display=""/>
    <hyperlink ref="R8952" r:id="rId17900" location="" tooltip="" display=""/>
    <hyperlink ref="L8954" r:id="rId17901" location="" tooltip="" display=""/>
    <hyperlink ref="R8954" r:id="rId17902" location="" tooltip="" display=""/>
    <hyperlink ref="K8955" r:id="rId17903" location="" tooltip="" display=""/>
    <hyperlink ref="L8955" r:id="rId17904" location="" tooltip="" display=""/>
    <hyperlink ref="Q8955" r:id="rId17905" location="" tooltip="" display=""/>
    <hyperlink ref="R8955" r:id="rId17906" location="" tooltip="" display=""/>
    <hyperlink ref="L8956" r:id="rId17907" location="" tooltip="" display=""/>
    <hyperlink ref="R8956" r:id="rId17908" location="" tooltip="" display=""/>
    <hyperlink ref="K8958" r:id="rId17909" location="" tooltip="" display=""/>
    <hyperlink ref="L8958" r:id="rId17910" location="" tooltip="" display=""/>
    <hyperlink ref="Q8958" r:id="rId17911" location="" tooltip="" display=""/>
    <hyperlink ref="R8958" r:id="rId17912" location="" tooltip="" display=""/>
    <hyperlink ref="L8959" r:id="rId17913" location="" tooltip="" display=""/>
    <hyperlink ref="R8959" r:id="rId17914" location="" tooltip="" display=""/>
    <hyperlink ref="K8961" r:id="rId17915" location="" tooltip="" display=""/>
    <hyperlink ref="L8961" r:id="rId17916" location="" tooltip="" display=""/>
    <hyperlink ref="Q8961" r:id="rId17917" location="" tooltip="" display=""/>
    <hyperlink ref="R8961" r:id="rId17918" location="" tooltip="" display=""/>
    <hyperlink ref="K8963" r:id="rId17919" location="" tooltip="" display=""/>
    <hyperlink ref="L8963" r:id="rId17920" location="" tooltip="" display=""/>
    <hyperlink ref="Q8963" r:id="rId17921" location="" tooltip="" display=""/>
    <hyperlink ref="R8963" r:id="rId17922" location="" tooltip="" display=""/>
    <hyperlink ref="L8964" r:id="rId17923" location="" tooltip="" display=""/>
    <hyperlink ref="R8964" r:id="rId17924" location="" tooltip="" display=""/>
    <hyperlink ref="K8966" r:id="rId17925" location="" tooltip="" display=""/>
    <hyperlink ref="L8966" r:id="rId17926" location="" tooltip="" display=""/>
    <hyperlink ref="Q8966" r:id="rId17927" location="" tooltip="" display=""/>
    <hyperlink ref="R8966" r:id="rId17928" location="" tooltip="" display=""/>
    <hyperlink ref="K8968" r:id="rId17929" location="" tooltip="" display=""/>
    <hyperlink ref="L8968" r:id="rId17930" location="" tooltip="" display=""/>
    <hyperlink ref="Q8968" r:id="rId17931" location="" tooltip="" display=""/>
    <hyperlink ref="R8968" r:id="rId17932" location="" tooltip="" display=""/>
    <hyperlink ref="K8970" r:id="rId17933" location="" tooltip="" display=""/>
    <hyperlink ref="L8970" r:id="rId17934" location="" tooltip="" display=""/>
    <hyperlink ref="Q8970" r:id="rId17935" location="" tooltip="" display=""/>
    <hyperlink ref="R8970" r:id="rId17936" location="" tooltip="" display=""/>
    <hyperlink ref="L8971" r:id="rId17937" location="" tooltip="" display=""/>
    <hyperlink ref="R8971" r:id="rId17938" location="" tooltip="" display=""/>
    <hyperlink ref="K8973" r:id="rId17939" location="" tooltip="" display=""/>
    <hyperlink ref="L8973" r:id="rId17940" location="" tooltip="" display=""/>
    <hyperlink ref="Q8973" r:id="rId17941" location="" tooltip="" display=""/>
    <hyperlink ref="R8973" r:id="rId17942" location="" tooltip="" display=""/>
    <hyperlink ref="K8975" r:id="rId17943" location="" tooltip="" display=""/>
    <hyperlink ref="L8975" r:id="rId17944" location="" tooltip="" display=""/>
    <hyperlink ref="Q8975" r:id="rId17945" location="" tooltip="" display=""/>
    <hyperlink ref="R8975" r:id="rId17946" location="" tooltip="" display=""/>
    <hyperlink ref="L8976" r:id="rId17947" location="" tooltip="" display=""/>
    <hyperlink ref="R8976" r:id="rId17948" location="" tooltip="" display=""/>
    <hyperlink ref="K8978" r:id="rId17949" location="" tooltip="" display=""/>
    <hyperlink ref="L8978" r:id="rId17950" location="" tooltip="" display=""/>
    <hyperlink ref="Q8978" r:id="rId17951" location="" tooltip="" display=""/>
    <hyperlink ref="R8978" r:id="rId17952" location="" tooltip="" display=""/>
    <hyperlink ref="L8979" r:id="rId17953" location="" tooltip="" display=""/>
    <hyperlink ref="R8979" r:id="rId17954" location="" tooltip="" display=""/>
    <hyperlink ref="L8981" r:id="rId17955" location="" tooltip="" display=""/>
    <hyperlink ref="R8981" r:id="rId17956" location="" tooltip="" display=""/>
    <hyperlink ref="K8982" r:id="rId17957" location="" tooltip="" display=""/>
    <hyperlink ref="L8982" r:id="rId17958" location="" tooltip="" display=""/>
    <hyperlink ref="Q8982" r:id="rId17959" location="" tooltip="" display=""/>
    <hyperlink ref="R8982" r:id="rId17960" location="" tooltip="" display=""/>
    <hyperlink ref="L8983" r:id="rId17961" location="" tooltip="" display=""/>
    <hyperlink ref="R8983" r:id="rId17962" location="" tooltip="" display=""/>
    <hyperlink ref="L8984" r:id="rId17963" location="" tooltip="" display=""/>
    <hyperlink ref="R8984" r:id="rId17964" location="" tooltip="" display=""/>
    <hyperlink ref="L8986" r:id="rId17965" location="" tooltip="" display=""/>
    <hyperlink ref="R8986" r:id="rId17966" location="" tooltip="" display=""/>
    <hyperlink ref="K8987" r:id="rId17967" location="" tooltip="" display=""/>
    <hyperlink ref="L8987" r:id="rId17968" location="" tooltip="" display=""/>
    <hyperlink ref="Q8987" r:id="rId17969" location="" tooltip="" display=""/>
    <hyperlink ref="R8987" r:id="rId17970" location="" tooltip="" display=""/>
    <hyperlink ref="L8988" r:id="rId17971" location="" tooltip="" display=""/>
    <hyperlink ref="R8988" r:id="rId17972" location="" tooltip="" display=""/>
    <hyperlink ref="L8990" r:id="rId17973" location="" tooltip="" display=""/>
    <hyperlink ref="R8990" r:id="rId17974" location="" tooltip="" display=""/>
    <hyperlink ref="K8991" r:id="rId17975" location="" tooltip="" display=""/>
    <hyperlink ref="L8991" r:id="rId17976" location="" tooltip="" display=""/>
    <hyperlink ref="Q8991" r:id="rId17977" location="" tooltip="" display=""/>
    <hyperlink ref="R8991" r:id="rId17978" location="" tooltip="" display=""/>
    <hyperlink ref="L8992" r:id="rId17979" location="" tooltip="" display=""/>
    <hyperlink ref="R8992" r:id="rId17980" location="" tooltip="" display=""/>
    <hyperlink ref="L8994" r:id="rId17981" location="" tooltip="" display=""/>
    <hyperlink ref="R8994" r:id="rId17982" location="" tooltip="" display=""/>
    <hyperlink ref="K8995" r:id="rId17983" location="" tooltip="" display=""/>
    <hyperlink ref="L8995" r:id="rId17984" location="" tooltip="" display=""/>
    <hyperlink ref="Q8995" r:id="rId17985" location="" tooltip="" display=""/>
    <hyperlink ref="R8995" r:id="rId17986" location="" tooltip="" display=""/>
    <hyperlink ref="L8996" r:id="rId17987" location="" tooltip="" display=""/>
    <hyperlink ref="R8996" r:id="rId17988" location="" tooltip="" display=""/>
    <hyperlink ref="K8998" r:id="rId17989" location="" tooltip="" display=""/>
    <hyperlink ref="L8998" r:id="rId17990" location="" tooltip="" display=""/>
    <hyperlink ref="Q8998" r:id="rId17991" location="" tooltip="" display=""/>
    <hyperlink ref="R8998" r:id="rId17992" location="" tooltip="" display=""/>
    <hyperlink ref="L8999" r:id="rId17993" location="" tooltip="" display=""/>
    <hyperlink ref="R8999" r:id="rId17994" location="" tooltip="" display=""/>
    <hyperlink ref="K9001" r:id="rId17995" location="" tooltip="" display=""/>
    <hyperlink ref="L9001" r:id="rId17996" location="" tooltip="" display=""/>
    <hyperlink ref="Q9001" r:id="rId17997" location="" tooltip="" display=""/>
    <hyperlink ref="R9001" r:id="rId17998" location="" tooltip="" display=""/>
    <hyperlink ref="L9002" r:id="rId17999" location="" tooltip="" display=""/>
    <hyperlink ref="R9002" r:id="rId18000" location="" tooltip="" display=""/>
    <hyperlink ref="K9004" r:id="rId18001" location="" tooltip="" display=""/>
    <hyperlink ref="L9004" r:id="rId18002" location="" tooltip="" display=""/>
    <hyperlink ref="Q9004" r:id="rId18003" location="" tooltip="" display=""/>
    <hyperlink ref="R9004" r:id="rId18004" location="" tooltip="" display=""/>
    <hyperlink ref="K9006" r:id="rId18005" location="" tooltip="" display=""/>
    <hyperlink ref="L9006" r:id="rId18006" location="" tooltip="" display=""/>
    <hyperlink ref="Q9006" r:id="rId18007" location="" tooltip="" display=""/>
    <hyperlink ref="R9006" r:id="rId18008" location="" tooltip="" display=""/>
    <hyperlink ref="K9008" r:id="rId18009" location="" tooltip="" display=""/>
    <hyperlink ref="L9008" r:id="rId18010" location="" tooltip="" display=""/>
    <hyperlink ref="Q9008" r:id="rId18011" location="" tooltip="" display=""/>
    <hyperlink ref="R9008" r:id="rId18012" location="" tooltip="" display=""/>
    <hyperlink ref="L9009" r:id="rId18013" location="" tooltip="" display=""/>
    <hyperlink ref="R9009" r:id="rId18014" location="" tooltip="" display=""/>
    <hyperlink ref="K9011" r:id="rId18015" location="" tooltip="" display=""/>
    <hyperlink ref="L9011" r:id="rId18016" location="" tooltip="" display=""/>
    <hyperlink ref="Q9011" r:id="rId18017" location="" tooltip="" display=""/>
    <hyperlink ref="R9011" r:id="rId18018" location="" tooltip="" display=""/>
    <hyperlink ref="L9012" r:id="rId18019" location="" tooltip="" display=""/>
    <hyperlink ref="R9012" r:id="rId18020" location="" tooltip="" display=""/>
    <hyperlink ref="K9014" r:id="rId18021" location="" tooltip="" display=""/>
    <hyperlink ref="L9014" r:id="rId18022" location="" tooltip="" display=""/>
    <hyperlink ref="Q9014" r:id="rId18023" location="" tooltip="" display=""/>
    <hyperlink ref="R9014" r:id="rId18024" location="" tooltip="" display=""/>
    <hyperlink ref="L9015" r:id="rId18025" location="" tooltip="" display=""/>
    <hyperlink ref="R9015" r:id="rId18026" location="" tooltip="" display=""/>
    <hyperlink ref="K9017" r:id="rId18027" location="" tooltip="" display=""/>
    <hyperlink ref="L9017" r:id="rId18028" location="" tooltip="" display=""/>
    <hyperlink ref="Q9017" r:id="rId18029" location="" tooltip="" display=""/>
    <hyperlink ref="R9017" r:id="rId18030" location="" tooltip="" display=""/>
    <hyperlink ref="L9018" r:id="rId18031" location="" tooltip="" display=""/>
    <hyperlink ref="R9018" r:id="rId18032" location="" tooltip="" display=""/>
    <hyperlink ref="K9020" r:id="rId18033" location="" tooltip="" display=""/>
    <hyperlink ref="L9020" r:id="rId18034" location="" tooltip="" display=""/>
    <hyperlink ref="Q9020" r:id="rId18035" location="" tooltip="" display=""/>
    <hyperlink ref="R9020" r:id="rId18036" location="" tooltip="" display=""/>
    <hyperlink ref="L9021" r:id="rId18037" location="" tooltip="" display=""/>
    <hyperlink ref="R9021" r:id="rId18038" location="" tooltip="" display=""/>
    <hyperlink ref="K9023" r:id="rId18039" location="" tooltip="" display=""/>
    <hyperlink ref="L9023" r:id="rId18040" location="" tooltip="" display=""/>
    <hyperlink ref="Q9023" r:id="rId18041" location="" tooltip="" display=""/>
    <hyperlink ref="R9023" r:id="rId18042" location="" tooltip="" display=""/>
    <hyperlink ref="L9024" r:id="rId18043" location="" tooltip="" display=""/>
    <hyperlink ref="R9024" r:id="rId18044" location="" tooltip="" display=""/>
    <hyperlink ref="K9026" r:id="rId18045" location="" tooltip="" display=""/>
    <hyperlink ref="L9026" r:id="rId18046" location="" tooltip="" display=""/>
    <hyperlink ref="Q9026" r:id="rId18047" location="" tooltip="" display=""/>
    <hyperlink ref="R9026" r:id="rId18048" location="" tooltip="" display=""/>
    <hyperlink ref="L9027" r:id="rId18049" location="" tooltip="" display=""/>
    <hyperlink ref="R9027" r:id="rId18050" location="" tooltip="" display=""/>
    <hyperlink ref="K9029" r:id="rId18051" location="" tooltip="" display=""/>
    <hyperlink ref="L9029" r:id="rId18052" location="" tooltip="" display=""/>
    <hyperlink ref="Q9029" r:id="rId18053" location="" tooltip="" display=""/>
    <hyperlink ref="R9029" r:id="rId18054" location="" tooltip="" display=""/>
    <hyperlink ref="K9031" r:id="rId18055" location="" tooltip="" display=""/>
    <hyperlink ref="L9031" r:id="rId18056" location="" tooltip="" display=""/>
    <hyperlink ref="Q9031" r:id="rId18057" location="" tooltip="" display=""/>
    <hyperlink ref="R9031" r:id="rId18058" location="" tooltip="" display=""/>
    <hyperlink ref="K9033" r:id="rId18059" location="" tooltip="" display=""/>
    <hyperlink ref="L9033" r:id="rId18060" location="" tooltip="" display=""/>
    <hyperlink ref="Q9033" r:id="rId18061" location="" tooltip="" display=""/>
    <hyperlink ref="R9033" r:id="rId18062" location="" tooltip="" display=""/>
    <hyperlink ref="K9035" r:id="rId18063" location="" tooltip="" display=""/>
    <hyperlink ref="L9035" r:id="rId18064" location="" tooltip="" display=""/>
    <hyperlink ref="Q9035" r:id="rId18065" location="" tooltip="" display=""/>
    <hyperlink ref="R9035" r:id="rId18066" location="" tooltip="" display=""/>
    <hyperlink ref="K9037" r:id="rId18067" location="" tooltip="" display=""/>
    <hyperlink ref="L9037" r:id="rId18068" location="" tooltip="" display=""/>
    <hyperlink ref="Q9037" r:id="rId18069" location="" tooltip="" display=""/>
    <hyperlink ref="R9037" r:id="rId18070" location="" tooltip="" display=""/>
    <hyperlink ref="L9039" r:id="rId18071" location="" tooltip="" display=""/>
    <hyperlink ref="R9039" r:id="rId18072" location="" tooltip="" display=""/>
    <hyperlink ref="L9040" r:id="rId18073" location="" tooltip="" display=""/>
    <hyperlink ref="R9040" r:id="rId18074" location="" tooltip="" display=""/>
    <hyperlink ref="K9041" r:id="rId18075" location="" tooltip="" display=""/>
    <hyperlink ref="L9041" r:id="rId18076" location="" tooltip="" display=""/>
    <hyperlink ref="Q9041" r:id="rId18077" location="" tooltip="" display=""/>
    <hyperlink ref="R9041" r:id="rId18078" location="" tooltip="" display=""/>
    <hyperlink ref="L9042" r:id="rId18079" location="" tooltip="" display=""/>
    <hyperlink ref="R9042" r:id="rId18080" location="" tooltip="" display=""/>
    <hyperlink ref="L9043" r:id="rId18081" location="" tooltip="" display=""/>
    <hyperlink ref="R9043" r:id="rId18082" location="" tooltip="" display=""/>
    <hyperlink ref="L9044" r:id="rId18083" location="" tooltip="" display=""/>
    <hyperlink ref="R9044" r:id="rId18084" location="" tooltip="" display=""/>
    <hyperlink ref="L9046" r:id="rId18085" location="" tooltip="" display=""/>
    <hyperlink ref="R9046" r:id="rId18086" location="" tooltip="" display=""/>
    <hyperlink ref="L9047" r:id="rId18087" location="" tooltip="" display=""/>
    <hyperlink ref="R9047" r:id="rId18088" location="" tooltip="" display=""/>
    <hyperlink ref="K9048" r:id="rId18089" location="" tooltip="" display=""/>
    <hyperlink ref="L9048" r:id="rId18090" location="" tooltip="" display=""/>
    <hyperlink ref="Q9048" r:id="rId18091" location="" tooltip="" display=""/>
    <hyperlink ref="R9048" r:id="rId18092" location="" tooltip="" display=""/>
    <hyperlink ref="L9049" r:id="rId18093" location="" tooltip="" display=""/>
    <hyperlink ref="R9049" r:id="rId18094" location="" tooltip="" display=""/>
    <hyperlink ref="L9050" r:id="rId18095" location="" tooltip="" display=""/>
    <hyperlink ref="R9050" r:id="rId18096" location="" tooltip="" display=""/>
    <hyperlink ref="K9052" r:id="rId18097" location="" tooltip="" display=""/>
    <hyperlink ref="L9052" r:id="rId18098" location="" tooltip="" display=""/>
    <hyperlink ref="Q9052" r:id="rId18099" location="" tooltip="" display=""/>
    <hyperlink ref="R9052" r:id="rId18100" location="" tooltip="" display=""/>
    <hyperlink ref="L9054" r:id="rId18101" location="" tooltip="" display=""/>
    <hyperlink ref="R9054" r:id="rId18102" location="" tooltip="" display=""/>
    <hyperlink ref="K9055" r:id="rId18103" location="" tooltip="" display=""/>
    <hyperlink ref="L9055" r:id="rId18104" location="" tooltip="" display=""/>
    <hyperlink ref="Q9055" r:id="rId18105" location="" tooltip="" display=""/>
    <hyperlink ref="R9055" r:id="rId18106" location="" tooltip="" display=""/>
    <hyperlink ref="L9056" r:id="rId18107" location="" tooltip="" display=""/>
    <hyperlink ref="R9056" r:id="rId18108" location="" tooltip="" display=""/>
    <hyperlink ref="L9057" r:id="rId18109" location="" tooltip="" display=""/>
    <hyperlink ref="R9057" r:id="rId18110" location="" tooltip="" display=""/>
    <hyperlink ref="K9059" r:id="rId18111" location="" tooltip="" display=""/>
    <hyperlink ref="L9059" r:id="rId18112" location="" tooltip="" display=""/>
    <hyperlink ref="Q9059" r:id="rId18113" location="" tooltip="" display=""/>
    <hyperlink ref="R9059" r:id="rId18114" location="" tooltip="" display=""/>
    <hyperlink ref="L9060" r:id="rId18115" location="" tooltip="" display=""/>
    <hyperlink ref="R9060" r:id="rId18116" location="" tooltip="" display=""/>
    <hyperlink ref="L9062" r:id="rId18117" location="" tooltip="" display=""/>
    <hyperlink ref="R9062" r:id="rId18118" location="" tooltip="" display=""/>
    <hyperlink ref="K9063" r:id="rId18119" location="" tooltip="" display=""/>
    <hyperlink ref="L9063" r:id="rId18120" location="" tooltip="" display=""/>
    <hyperlink ref="Q9063" r:id="rId18121" location="" tooltip="" display=""/>
    <hyperlink ref="R9063" r:id="rId18122" location="" tooltip="" display=""/>
    <hyperlink ref="L9064" r:id="rId18123" location="" tooltip="" display=""/>
    <hyperlink ref="R9064" r:id="rId18124" location="" tooltip="" display=""/>
    <hyperlink ref="K9066" r:id="rId18125" location="" tooltip="" display=""/>
    <hyperlink ref="L9066" r:id="rId18126" location="" tooltip="" display=""/>
    <hyperlink ref="Q9066" r:id="rId18127" location="" tooltip="" display=""/>
    <hyperlink ref="R9066" r:id="rId18128" location="" tooltip="" display=""/>
    <hyperlink ref="L9067" r:id="rId18129" location="" tooltip="" display=""/>
    <hyperlink ref="R9067" r:id="rId18130" location="" tooltip="" display=""/>
    <hyperlink ref="K9069" r:id="rId18131" location="" tooltip="" display=""/>
    <hyperlink ref="L9069" r:id="rId18132" location="" tooltip="" display=""/>
    <hyperlink ref="Q9069" r:id="rId18133" location="" tooltip="" display=""/>
    <hyperlink ref="R9069" r:id="rId18134" location="" tooltip="" display=""/>
    <hyperlink ref="L9070" r:id="rId18135" location="" tooltip="" display=""/>
    <hyperlink ref="R9070" r:id="rId18136" location="" tooltip="" display=""/>
    <hyperlink ref="K9072" r:id="rId18137" location="" tooltip="" display=""/>
    <hyperlink ref="L9072" r:id="rId18138" location="" tooltip="" display=""/>
    <hyperlink ref="Q9072" r:id="rId18139" location="" tooltip="" display=""/>
    <hyperlink ref="R9072" r:id="rId18140" location="" tooltip="" display=""/>
    <hyperlink ref="L9073" r:id="rId18141" location="" tooltip="" display=""/>
    <hyperlink ref="R9073" r:id="rId18142" location="" tooltip="" display=""/>
    <hyperlink ref="K9075" r:id="rId18143" location="" tooltip="" display=""/>
    <hyperlink ref="L9075" r:id="rId18144" location="" tooltip="" display=""/>
    <hyperlink ref="Q9075" r:id="rId18145" location="" tooltip="" display=""/>
    <hyperlink ref="R9075" r:id="rId18146" location="" tooltip="" display=""/>
    <hyperlink ref="L9076" r:id="rId18147" location="" tooltip="" display=""/>
    <hyperlink ref="R9076" r:id="rId18148" location="" tooltip="" display=""/>
    <hyperlink ref="K9078" r:id="rId18149" location="" tooltip="" display=""/>
    <hyperlink ref="L9078" r:id="rId18150" location="" tooltip="" display=""/>
    <hyperlink ref="Q9078" r:id="rId18151" location="" tooltip="" display=""/>
    <hyperlink ref="R9078" r:id="rId18152" location="" tooltip="" display=""/>
    <hyperlink ref="L9079" r:id="rId18153" location="" tooltip="" display=""/>
    <hyperlink ref="R9079" r:id="rId18154" location="" tooltip="" display=""/>
    <hyperlink ref="K9081" r:id="rId18155" location="" tooltip="" display=""/>
    <hyperlink ref="L9081" r:id="rId18156" location="" tooltip="" display=""/>
    <hyperlink ref="Q9081" r:id="rId18157" location="" tooltip="" display=""/>
    <hyperlink ref="R9081" r:id="rId18158" location="" tooltip="" display=""/>
    <hyperlink ref="K9083" r:id="rId18159" location="" tooltip="" display=""/>
    <hyperlink ref="L9083" r:id="rId18160" location="" tooltip="" display=""/>
    <hyperlink ref="Q9083" r:id="rId18161" location="" tooltip="" display=""/>
    <hyperlink ref="R9083" r:id="rId18162" location="" tooltip="" display=""/>
    <hyperlink ref="K9085" r:id="rId18163" location="" tooltip="" display=""/>
    <hyperlink ref="L9085" r:id="rId18164" location="" tooltip="" display=""/>
    <hyperlink ref="Q9085" r:id="rId18165" location="" tooltip="" display=""/>
    <hyperlink ref="R9085" r:id="rId18166" location="" tooltip="" display=""/>
    <hyperlink ref="L9086" r:id="rId18167" location="" tooltip="" display=""/>
    <hyperlink ref="R9086" r:id="rId18168" location="" tooltip="" display=""/>
    <hyperlink ref="L9088" r:id="rId18169" location="" tooltip="" display=""/>
    <hyperlink ref="R9088" r:id="rId18170" location="" tooltip="" display=""/>
    <hyperlink ref="L9089" r:id="rId18171" location="" tooltip="" display=""/>
    <hyperlink ref="R9089" r:id="rId18172" location="" tooltip="" display=""/>
    <hyperlink ref="L9090" r:id="rId18173" location="" tooltip="" display=""/>
    <hyperlink ref="R9090" r:id="rId18174" location="" tooltip="" display=""/>
    <hyperlink ref="K9091" r:id="rId18175" location="" tooltip="" display=""/>
    <hyperlink ref="L9091" r:id="rId18176" location="" tooltip="" display=""/>
    <hyperlink ref="Q9091" r:id="rId18177" location="" tooltip="" display=""/>
    <hyperlink ref="R9091" r:id="rId18178" location="" tooltip="" display=""/>
    <hyperlink ref="L9092" r:id="rId18179" location="" tooltip="" display=""/>
    <hyperlink ref="R9092" r:id="rId18180" location="" tooltip="" display=""/>
    <hyperlink ref="L9093" r:id="rId18181" location="" tooltip="" display=""/>
    <hyperlink ref="R9093" r:id="rId18182" location="" tooltip="" display=""/>
    <hyperlink ref="L9094" r:id="rId18183" location="" tooltip="" display=""/>
    <hyperlink ref="R9094" r:id="rId18184" location="" tooltip="" display=""/>
    <hyperlink ref="L9095" r:id="rId18185" location="" tooltip="" display=""/>
    <hyperlink ref="R9095" r:id="rId18186" location="" tooltip="" display=""/>
    <hyperlink ref="L9097" r:id="rId18187" location="" tooltip="" display=""/>
    <hyperlink ref="R9097" r:id="rId18188" location="" tooltip="" display=""/>
    <hyperlink ref="K9098" r:id="rId18189" location="" tooltip="" display=""/>
    <hyperlink ref="L9098" r:id="rId18190" location="" tooltip="" display=""/>
    <hyperlink ref="Q9098" r:id="rId18191" location="" tooltip="" display=""/>
    <hyperlink ref="R9098" r:id="rId18192" location="" tooltip="" display=""/>
    <hyperlink ref="L9099" r:id="rId18193" location="" tooltip="" display=""/>
    <hyperlink ref="R9099" r:id="rId18194" location="" tooltip="" display=""/>
    <hyperlink ref="L9101" r:id="rId18195" location="" tooltip="" display=""/>
    <hyperlink ref="R9101" r:id="rId18196" location="" tooltip="" display=""/>
    <hyperlink ref="L9102" r:id="rId18197" location="" tooltip="" display=""/>
    <hyperlink ref="R9102" r:id="rId18198" location="" tooltip="" display=""/>
    <hyperlink ref="K9103" r:id="rId18199" location="" tooltip="" display=""/>
    <hyperlink ref="L9103" r:id="rId18200" location="" tooltip="" display=""/>
    <hyperlink ref="Q9103" r:id="rId18201" location="" tooltip="" display=""/>
    <hyperlink ref="R9103" r:id="rId18202" location="" tooltip="" display=""/>
    <hyperlink ref="L9104" r:id="rId18203" location="" tooltip="" display=""/>
    <hyperlink ref="R9104" r:id="rId18204" location="" tooltip="" display=""/>
    <hyperlink ref="L9105" r:id="rId18205" location="" tooltip="" display=""/>
    <hyperlink ref="R9105" r:id="rId18206" location="" tooltip="" display=""/>
    <hyperlink ref="L9107" r:id="rId18207" location="" tooltip="" display=""/>
    <hyperlink ref="R9107" r:id="rId18208" location="" tooltip="" display=""/>
    <hyperlink ref="K9108" r:id="rId18209" location="" tooltip="" display=""/>
    <hyperlink ref="L9108" r:id="rId18210" location="" tooltip="" display=""/>
    <hyperlink ref="Q9108" r:id="rId18211" location="" tooltip="" display=""/>
    <hyperlink ref="R9108" r:id="rId18212" location="" tooltip="" display=""/>
    <hyperlink ref="L9109" r:id="rId18213" location="" tooltip="" display=""/>
    <hyperlink ref="R9109" r:id="rId18214" location="" tooltip="" display=""/>
    <hyperlink ref="K9111" r:id="rId18215" location="" tooltip="" display=""/>
    <hyperlink ref="L9111" r:id="rId18216" location="" tooltip="" display=""/>
    <hyperlink ref="Q9111" r:id="rId18217" location="" tooltip="" display=""/>
    <hyperlink ref="R9111" r:id="rId18218" location="" tooltip="" display=""/>
    <hyperlink ref="K9113" r:id="rId18219" location="" tooltip="" display=""/>
    <hyperlink ref="L9113" r:id="rId18220" location="" tooltip="" display=""/>
    <hyperlink ref="Q9113" r:id="rId18221" location="" tooltip="" display=""/>
    <hyperlink ref="R9113" r:id="rId18222" location="" tooltip="" display=""/>
    <hyperlink ref="K9115" r:id="rId18223" location="" tooltip="" display=""/>
    <hyperlink ref="L9115" r:id="rId18224" location="" tooltip="" display=""/>
    <hyperlink ref="Q9115" r:id="rId18225" location="" tooltip="" display=""/>
    <hyperlink ref="R9115" r:id="rId18226" location="" tooltip="" display=""/>
    <hyperlink ref="L9116" r:id="rId18227" location="" tooltip="" display=""/>
    <hyperlink ref="R9116" r:id="rId18228" location="" tooltip="" display=""/>
    <hyperlink ref="L9118" r:id="rId18229" location="" tooltip="" display=""/>
    <hyperlink ref="R9118" r:id="rId18230" location="" tooltip="" display=""/>
    <hyperlink ref="K9119" r:id="rId18231" location="" tooltip="" display=""/>
    <hyperlink ref="L9119" r:id="rId18232" location="" tooltip="" display=""/>
    <hyperlink ref="Q9119" r:id="rId18233" location="" tooltip="" display=""/>
    <hyperlink ref="R9119" r:id="rId18234" location="" tooltip="" display=""/>
    <hyperlink ref="L9120" r:id="rId18235" location="" tooltip="" display=""/>
    <hyperlink ref="R9120" r:id="rId18236" location="" tooltip="" display=""/>
    <hyperlink ref="L9122" r:id="rId18237" location="" tooltip="" display=""/>
    <hyperlink ref="R9122" r:id="rId18238" location="" tooltip="" display=""/>
    <hyperlink ref="K9123" r:id="rId18239" location="" tooltip="" display=""/>
    <hyperlink ref="L9123" r:id="rId18240" location="" tooltip="" display=""/>
    <hyperlink ref="Q9123" r:id="rId18241" location="" tooltip="" display=""/>
    <hyperlink ref="R9123" r:id="rId18242" location="" tooltip="" display=""/>
    <hyperlink ref="L9124" r:id="rId18243" location="" tooltip="" display=""/>
    <hyperlink ref="R9124" r:id="rId18244" location="" tooltip="" display=""/>
    <hyperlink ref="K9126" r:id="rId18245" location="" tooltip="" display=""/>
    <hyperlink ref="L9126" r:id="rId18246" location="" tooltip="" display=""/>
    <hyperlink ref="Q9126" r:id="rId18247" location="" tooltip="" display=""/>
    <hyperlink ref="R9126" r:id="rId18248" location="" tooltip="" display=""/>
    <hyperlink ref="L9127" r:id="rId18249" location="" tooltip="" display=""/>
    <hyperlink ref="R9127" r:id="rId18250" location="" tooltip="" display=""/>
    <hyperlink ref="K9129" r:id="rId18251" location="" tooltip="" display=""/>
    <hyperlink ref="L9129" r:id="rId18252" location="" tooltip="" display=""/>
    <hyperlink ref="Q9129" r:id="rId18253" location="" tooltip="" display=""/>
    <hyperlink ref="R9129" r:id="rId18254" location="" tooltip="" display=""/>
    <hyperlink ref="L9130" r:id="rId18255" location="" tooltip="" display=""/>
    <hyperlink ref="R9130" r:id="rId18256" location="" tooltip="" display=""/>
    <hyperlink ref="K9132" r:id="rId18257" location="" tooltip="" display=""/>
    <hyperlink ref="L9132" r:id="rId18258" location="" tooltip="" display=""/>
    <hyperlink ref="Q9132" r:id="rId18259" location="" tooltip="" display=""/>
    <hyperlink ref="R9132" r:id="rId18260" location="" tooltip="" display=""/>
    <hyperlink ref="L9133" r:id="rId18261" location="" tooltip="" display=""/>
    <hyperlink ref="R9133" r:id="rId18262" location="" tooltip="" display=""/>
    <hyperlink ref="K9135" r:id="rId18263" location="" tooltip="" display=""/>
    <hyperlink ref="L9135" r:id="rId18264" location="" tooltip="" display=""/>
    <hyperlink ref="Q9135" r:id="rId18265" location="" tooltip="" display=""/>
    <hyperlink ref="R9135" r:id="rId18266" location="" tooltip="" display=""/>
    <hyperlink ref="K9137" r:id="rId18267" location="" tooltip="" display=""/>
    <hyperlink ref="L9137" r:id="rId18268" location="" tooltip="" display=""/>
    <hyperlink ref="Q9137" r:id="rId18269" location="" tooltip="" display=""/>
    <hyperlink ref="R9137" r:id="rId18270" location="" tooltip="" display=""/>
    <hyperlink ref="K9139" r:id="rId18271" location="" tooltip="" display=""/>
    <hyperlink ref="L9139" r:id="rId18272" location="" tooltip="" display=""/>
    <hyperlink ref="Q9139" r:id="rId18273" location="" tooltip="" display=""/>
    <hyperlink ref="R9139" r:id="rId18274" location="" tooltip="" display=""/>
    <hyperlink ref="L9140" r:id="rId18275" location="" tooltip="" display=""/>
    <hyperlink ref="R9140" r:id="rId18276" location="" tooltip="" display=""/>
    <hyperlink ref="K9142" r:id="rId18277" location="" tooltip="" display=""/>
    <hyperlink ref="L9142" r:id="rId18278" location="" tooltip="" display=""/>
    <hyperlink ref="Q9142" r:id="rId18279" location="" tooltip="" display=""/>
    <hyperlink ref="R9142" r:id="rId18280" location="" tooltip="" display=""/>
    <hyperlink ref="L9143" r:id="rId18281" location="" tooltip="" display=""/>
    <hyperlink ref="R9143" r:id="rId18282" location="" tooltip="" display=""/>
    <hyperlink ref="K9145" r:id="rId18283" location="" tooltip="" display=""/>
    <hyperlink ref="L9145" r:id="rId18284" location="" tooltip="" display=""/>
    <hyperlink ref="Q9145" r:id="rId18285" location="" tooltip="" display=""/>
    <hyperlink ref="R9145" r:id="rId18286" location="" tooltip="" display=""/>
    <hyperlink ref="L9146" r:id="rId18287" location="" tooltip="" display=""/>
    <hyperlink ref="R9146" r:id="rId18288" location="" tooltip="" display=""/>
    <hyperlink ref="K9148" r:id="rId18289" location="" tooltip="" display=""/>
    <hyperlink ref="L9148" r:id="rId18290" location="" tooltip="" display=""/>
    <hyperlink ref="Q9148" r:id="rId18291" location="" tooltip="" display=""/>
    <hyperlink ref="R9148" r:id="rId18292" location="" tooltip="" display=""/>
    <hyperlink ref="K9150" r:id="rId18293" location="" tooltip="" display=""/>
    <hyperlink ref="L9150" r:id="rId18294" location="" tooltip="" display=""/>
    <hyperlink ref="Q9150" r:id="rId18295" location="" tooltip="" display=""/>
    <hyperlink ref="R9150" r:id="rId18296" location="" tooltip="" display=""/>
    <hyperlink ref="K9152" r:id="rId18297" location="" tooltip="" display=""/>
    <hyperlink ref="L9152" r:id="rId18298" location="" tooltip="" display=""/>
    <hyperlink ref="Q9152" r:id="rId18299" location="" tooltip="" display=""/>
    <hyperlink ref="R9152" r:id="rId18300" location="" tooltip="" display=""/>
    <hyperlink ref="L9153" r:id="rId18301" location="" tooltip="" display=""/>
    <hyperlink ref="R9153" r:id="rId18302" location="" tooltip="" display=""/>
    <hyperlink ref="K9155" r:id="rId18303" location="" tooltip="" display=""/>
    <hyperlink ref="L9155" r:id="rId18304" location="" tooltip="" display=""/>
    <hyperlink ref="Q9155" r:id="rId18305" location="" tooltip="" display=""/>
    <hyperlink ref="R9155" r:id="rId18306" location="" tooltip="" display=""/>
    <hyperlink ref="L9156" r:id="rId18307" location="" tooltip="" display=""/>
    <hyperlink ref="R9156" r:id="rId18308" location="" tooltip="" display=""/>
    <hyperlink ref="K9158" r:id="rId18309" location="" tooltip="" display=""/>
    <hyperlink ref="L9158" r:id="rId18310" location="" tooltip="" display=""/>
    <hyperlink ref="Q9158" r:id="rId18311" location="" tooltip="" display=""/>
    <hyperlink ref="R9158" r:id="rId18312" location="" tooltip="" display=""/>
    <hyperlink ref="L9159" r:id="rId18313" location="" tooltip="" display=""/>
    <hyperlink ref="R9159" r:id="rId18314" location="" tooltip="" display=""/>
    <hyperlink ref="K9161" r:id="rId18315" location="" tooltip="" display=""/>
    <hyperlink ref="L9161" r:id="rId18316" location="" tooltip="" display=""/>
    <hyperlink ref="Q9161" r:id="rId18317" location="" tooltip="" display=""/>
    <hyperlink ref="R9161" r:id="rId18318" location="" tooltip="" display=""/>
    <hyperlink ref="L9162" r:id="rId18319" location="" tooltip="" display=""/>
    <hyperlink ref="R9162" r:id="rId18320" location="" tooltip="" display=""/>
    <hyperlink ref="L9164" r:id="rId18321" location="" tooltip="" display=""/>
    <hyperlink ref="R9164" r:id="rId18322" location="" tooltip="" display=""/>
    <hyperlink ref="K9165" r:id="rId18323" location="" tooltip="" display=""/>
    <hyperlink ref="L9165" r:id="rId18324" location="" tooltip="" display=""/>
    <hyperlink ref="Q9165" r:id="rId18325" location="" tooltip="" display=""/>
    <hyperlink ref="R9165" r:id="rId18326" location="" tooltip="" display=""/>
    <hyperlink ref="L9166" r:id="rId18327" location="" tooltip="" display=""/>
    <hyperlink ref="R9166" r:id="rId18328" location="" tooltip="" display=""/>
    <hyperlink ref="K9168" r:id="rId18329" location="" tooltip="" display=""/>
    <hyperlink ref="L9168" r:id="rId18330" location="" tooltip="" display=""/>
    <hyperlink ref="Q9168" r:id="rId18331" location="" tooltip="" display=""/>
    <hyperlink ref="R9168" r:id="rId18332" location="" tooltip="" display=""/>
    <hyperlink ref="L9169" r:id="rId18333" location="" tooltip="" display=""/>
    <hyperlink ref="R9169" r:id="rId18334" location="" tooltip="" display=""/>
    <hyperlink ref="K9171" r:id="rId18335" location="" tooltip="" display=""/>
    <hyperlink ref="L9171" r:id="rId18336" location="" tooltip="" display=""/>
    <hyperlink ref="Q9171" r:id="rId18337" location="" tooltip="" display=""/>
    <hyperlink ref="R9171" r:id="rId18338" location="" tooltip="" display=""/>
    <hyperlink ref="K9173" r:id="rId18339" location="" tooltip="" display=""/>
    <hyperlink ref="L9173" r:id="rId18340" location="" tooltip="" display=""/>
    <hyperlink ref="Q9173" r:id="rId18341" location="" tooltip="" display=""/>
    <hyperlink ref="R9173" r:id="rId18342" location="" tooltip="" display=""/>
    <hyperlink ref="K9175" r:id="rId18343" location="" tooltip="" display=""/>
    <hyperlink ref="L9175" r:id="rId18344" location="" tooltip="" display=""/>
    <hyperlink ref="Q9175" r:id="rId18345" location="" tooltip="" display=""/>
    <hyperlink ref="R9175" r:id="rId18346" location="" tooltip="" display=""/>
    <hyperlink ref="K9177" r:id="rId18347" location="" tooltip="" display=""/>
    <hyperlink ref="L9177" r:id="rId18348" location="" tooltip="" display=""/>
    <hyperlink ref="Q9177" r:id="rId18349" location="" tooltip="" display=""/>
    <hyperlink ref="R9177" r:id="rId18350" location="" tooltip="" display=""/>
    <hyperlink ref="L9179" r:id="rId18351" location="" tooltip="" display=""/>
    <hyperlink ref="R9179" r:id="rId18352" location="" tooltip="" display=""/>
    <hyperlink ref="K9180" r:id="rId18353" location="" tooltip="" display=""/>
    <hyperlink ref="L9180" r:id="rId18354" location="" tooltip="" display=""/>
    <hyperlink ref="Q9180" r:id="rId18355" location="" tooltip="" display=""/>
    <hyperlink ref="R9180" r:id="rId18356" location="" tooltip="" display=""/>
    <hyperlink ref="L9181" r:id="rId18357" location="" tooltip="" display=""/>
    <hyperlink ref="R9181" r:id="rId18358" location="" tooltip="" display=""/>
    <hyperlink ref="L9182" r:id="rId18359" location="" tooltip="" display=""/>
    <hyperlink ref="R9182" r:id="rId18360" location="" tooltip="" display=""/>
    <hyperlink ref="L9184" r:id="rId18361" location="" tooltip="" display=""/>
    <hyperlink ref="R9184" r:id="rId18362" location="" tooltip="" display=""/>
    <hyperlink ref="K9185" r:id="rId18363" location="" tooltip="" display=""/>
    <hyperlink ref="L9185" r:id="rId18364" location="" tooltip="" display=""/>
    <hyperlink ref="Q9185" r:id="rId18365" location="" tooltip="" display=""/>
    <hyperlink ref="R9185" r:id="rId18366" location="" tooltip="" display=""/>
    <hyperlink ref="L9186" r:id="rId18367" location="" tooltip="" display=""/>
    <hyperlink ref="R9186" r:id="rId18368" location="" tooltip="" display=""/>
    <hyperlink ref="K9188" r:id="rId18369" location="" tooltip="" display=""/>
    <hyperlink ref="L9188" r:id="rId18370" location="" tooltip="" display=""/>
    <hyperlink ref="Q9188" r:id="rId18371" location="" tooltip="" display=""/>
    <hyperlink ref="R9188" r:id="rId18372" location="" tooltip="" display=""/>
    <hyperlink ref="L9190" r:id="rId18373" location="" tooltip="" display=""/>
    <hyperlink ref="R9190" r:id="rId18374" location="" tooltip="" display=""/>
    <hyperlink ref="K9191" r:id="rId18375" location="" tooltip="" display=""/>
    <hyperlink ref="L9191" r:id="rId18376" location="" tooltip="" display=""/>
    <hyperlink ref="Q9191" r:id="rId18377" location="" tooltip="" display=""/>
    <hyperlink ref="R9191" r:id="rId18378" location="" tooltip="" display=""/>
    <hyperlink ref="L9192" r:id="rId18379" location="" tooltip="" display=""/>
    <hyperlink ref="R9192" r:id="rId18380" location="" tooltip="" display=""/>
    <hyperlink ref="K9194" r:id="rId18381" location="" tooltip="" display=""/>
    <hyperlink ref="L9194" r:id="rId18382" location="" tooltip="" display=""/>
    <hyperlink ref="Q9194" r:id="rId18383" location="" tooltip="" display=""/>
    <hyperlink ref="R9194" r:id="rId18384" location="" tooltip="" display=""/>
    <hyperlink ref="L9195" r:id="rId18385" location="" tooltip="" display=""/>
    <hyperlink ref="R9195" r:id="rId18386" location="" tooltip="" display=""/>
    <hyperlink ref="L9197" r:id="rId18387" location="" tooltip="" display=""/>
    <hyperlink ref="R9197" r:id="rId18388" location="" tooltip="" display=""/>
    <hyperlink ref="L9198" r:id="rId18389" location="" tooltip="" display=""/>
    <hyperlink ref="R9198" r:id="rId18390" location="" tooltip="" display=""/>
    <hyperlink ref="K9199" r:id="rId18391" location="" tooltip="" display=""/>
    <hyperlink ref="L9199" r:id="rId18392" location="" tooltip="" display=""/>
    <hyperlink ref="Q9199" r:id="rId18393" location="" tooltip="" display=""/>
    <hyperlink ref="R9199" r:id="rId18394" location="" tooltip="" display=""/>
    <hyperlink ref="L9200" r:id="rId18395" location="" tooltip="" display=""/>
    <hyperlink ref="R9200" r:id="rId18396" location="" tooltip="" display=""/>
    <hyperlink ref="L9201" r:id="rId18397" location="" tooltip="" display=""/>
    <hyperlink ref="R9201" r:id="rId18398" location="" tooltip="" display=""/>
    <hyperlink ref="K9203" r:id="rId18399" location="" tooltip="" display=""/>
    <hyperlink ref="L9203" r:id="rId18400" location="" tooltip="" display=""/>
    <hyperlink ref="Q9203" r:id="rId18401" location="" tooltip="" display=""/>
    <hyperlink ref="R9203" r:id="rId18402" location="" tooltip="" display=""/>
    <hyperlink ref="K9205" r:id="rId18403" location="" tooltip="" display=""/>
    <hyperlink ref="L9205" r:id="rId18404" location="" tooltip="" display=""/>
    <hyperlink ref="Q9205" r:id="rId18405" location="" tooltip="" display=""/>
    <hyperlink ref="R9205" r:id="rId18406" location="" tooltip="" display=""/>
    <hyperlink ref="K9207" r:id="rId18407" location="" tooltip="" display=""/>
    <hyperlink ref="L9207" r:id="rId18408" location="" tooltip="" display=""/>
    <hyperlink ref="Q9207" r:id="rId18409" location="" tooltip="" display=""/>
    <hyperlink ref="R9207" r:id="rId18410" location="" tooltip="" display=""/>
    <hyperlink ref="K9209" r:id="rId18411" location="" tooltip="" display=""/>
    <hyperlink ref="L9209" r:id="rId18412" location="" tooltip="" display=""/>
    <hyperlink ref="Q9209" r:id="rId18413" location="" tooltip="" display=""/>
    <hyperlink ref="R9209" r:id="rId18414" location="" tooltip="" display=""/>
    <hyperlink ref="K9211" r:id="rId18415" location="" tooltip="" display=""/>
    <hyperlink ref="L9211" r:id="rId18416" location="" tooltip="" display=""/>
    <hyperlink ref="Q9211" r:id="rId18417" location="" tooltip="" display=""/>
    <hyperlink ref="R9211" r:id="rId18418" location="" tooltip="" display=""/>
    <hyperlink ref="K9213" r:id="rId18419" location="" tooltip="" display=""/>
    <hyperlink ref="L9213" r:id="rId18420" location="" tooltip="" display=""/>
    <hyperlink ref="Q9213" r:id="rId18421" location="" tooltip="" display=""/>
    <hyperlink ref="R9213" r:id="rId18422" location="" tooltip="" display=""/>
    <hyperlink ref="K9215" r:id="rId18423" location="" tooltip="" display=""/>
    <hyperlink ref="L9215" r:id="rId18424" location="" tooltip="" display=""/>
    <hyperlink ref="Q9215" r:id="rId18425" location="" tooltip="" display=""/>
    <hyperlink ref="R9215" r:id="rId18426" location="" tooltip="" display=""/>
    <hyperlink ref="K9217" r:id="rId18427" location="" tooltip="" display=""/>
    <hyperlink ref="L9217" r:id="rId18428" location="" tooltip="" display=""/>
    <hyperlink ref="Q9217" r:id="rId18429" location="" tooltip="" display=""/>
    <hyperlink ref="R9217" r:id="rId18430" location="" tooltip="" display=""/>
    <hyperlink ref="L9218" r:id="rId18431" location="" tooltip="" display=""/>
    <hyperlink ref="R9218" r:id="rId18432" location="" tooltip="" display=""/>
    <hyperlink ref="L9220" r:id="rId18433" location="" tooltip="" display=""/>
    <hyperlink ref="R9220" r:id="rId18434" location="" tooltip="" display=""/>
    <hyperlink ref="K9221" r:id="rId18435" location="" tooltip="" display=""/>
    <hyperlink ref="L9221" r:id="rId18436" location="" tooltip="" display=""/>
    <hyperlink ref="Q9221" r:id="rId18437" location="" tooltip="" display=""/>
    <hyperlink ref="R9221" r:id="rId18438" location="" tooltip="" display=""/>
    <hyperlink ref="L9222" r:id="rId18439" location="" tooltip="" display=""/>
    <hyperlink ref="R9222" r:id="rId18440" location="" tooltip="" display=""/>
    <hyperlink ref="K9224" r:id="rId18441" location="" tooltip="" display=""/>
    <hyperlink ref="L9224" r:id="rId18442" location="" tooltip="" display=""/>
    <hyperlink ref="Q9224" r:id="rId18443" location="" tooltip="" display=""/>
    <hyperlink ref="R9224" r:id="rId18444" location="" tooltip="" display=""/>
    <hyperlink ref="K9226" r:id="rId18445" location="" tooltip="" display=""/>
    <hyperlink ref="L9226" r:id="rId18446" location="" tooltip="" display=""/>
    <hyperlink ref="Q9226" r:id="rId18447" location="" tooltip="" display=""/>
    <hyperlink ref="R9226" r:id="rId18448" location="" tooltip="" display=""/>
    <hyperlink ref="K9228" r:id="rId18449" location="" tooltip="" display=""/>
    <hyperlink ref="L9228" r:id="rId18450" location="" tooltip="" display=""/>
    <hyperlink ref="Q9228" r:id="rId18451" location="" tooltip="" display=""/>
    <hyperlink ref="R9228" r:id="rId18452" location="" tooltip="" display=""/>
    <hyperlink ref="L9229" r:id="rId18453" location="" tooltip="" display=""/>
    <hyperlink ref="R9229" r:id="rId18454" location="" tooltip="" display=""/>
    <hyperlink ref="L9231" r:id="rId18455" location="" tooltip="" display=""/>
    <hyperlink ref="R9231" r:id="rId18456" location="" tooltip="" display=""/>
    <hyperlink ref="K9232" r:id="rId18457" location="" tooltip="" display=""/>
    <hyperlink ref="L9232" r:id="rId18458" location="" tooltip="" display=""/>
    <hyperlink ref="Q9232" r:id="rId18459" location="" tooltip="" display=""/>
    <hyperlink ref="R9232" r:id="rId18460" location="" tooltip="" display=""/>
    <hyperlink ref="L9233" r:id="rId18461" location="" tooltip="" display=""/>
    <hyperlink ref="R9233" r:id="rId18462" location="" tooltip="" display=""/>
    <hyperlink ref="L9234" r:id="rId18463" location="" tooltip="" display=""/>
    <hyperlink ref="R9234" r:id="rId18464" location="" tooltip="" display=""/>
    <hyperlink ref="K9236" r:id="rId18465" location="" tooltip="" display=""/>
    <hyperlink ref="L9236" r:id="rId18466" location="" tooltip="" display=""/>
    <hyperlink ref="Q9236" r:id="rId18467" location="" tooltip="" display=""/>
    <hyperlink ref="R9236" r:id="rId18468" location="" tooltip="" display=""/>
    <hyperlink ref="K9238" r:id="rId18469" location="" tooltip="" display=""/>
    <hyperlink ref="L9238" r:id="rId18470" location="" tooltip="" display=""/>
    <hyperlink ref="Q9238" r:id="rId18471" location="" tooltip="" display=""/>
    <hyperlink ref="R9238" r:id="rId18472" location="" tooltip="" display=""/>
    <hyperlink ref="K9240" r:id="rId18473" location="" tooltip="" display=""/>
    <hyperlink ref="L9240" r:id="rId18474" location="" tooltip="" display=""/>
    <hyperlink ref="Q9240" r:id="rId18475" location="" tooltip="" display=""/>
    <hyperlink ref="R9240" r:id="rId18476" location="" tooltip="" display=""/>
    <hyperlink ref="L9241" r:id="rId18477" location="" tooltip="" display=""/>
    <hyperlink ref="R9241" r:id="rId18478" location="" tooltip="" display=""/>
    <hyperlink ref="K9243" r:id="rId18479" location="" tooltip="" display=""/>
    <hyperlink ref="L9243" r:id="rId18480" location="" tooltip="" display=""/>
    <hyperlink ref="Q9243" r:id="rId18481" location="" tooltip="" display=""/>
    <hyperlink ref="R9243" r:id="rId18482" location="" tooltip="" display=""/>
    <hyperlink ref="L9244" r:id="rId18483" location="" tooltip="" display=""/>
    <hyperlink ref="R9244" r:id="rId18484" location="" tooltip="" display=""/>
    <hyperlink ref="K9246" r:id="rId18485" location="" tooltip="" display=""/>
    <hyperlink ref="L9246" r:id="rId18486" location="" tooltip="" display=""/>
    <hyperlink ref="Q9246" r:id="rId18487" location="" tooltip="" display=""/>
    <hyperlink ref="R9246" r:id="rId18488" location="" tooltip="" display=""/>
    <hyperlink ref="K9248" r:id="rId18489" location="" tooltip="" display=""/>
    <hyperlink ref="L9248" r:id="rId18490" location="" tooltip="" display=""/>
    <hyperlink ref="Q9248" r:id="rId18491" location="" tooltip="" display=""/>
    <hyperlink ref="R9248" r:id="rId18492" location="" tooltip="" display=""/>
    <hyperlink ref="K9250" r:id="rId18493" location="" tooltip="" display=""/>
    <hyperlink ref="L9250" r:id="rId18494" location="" tooltip="" display=""/>
    <hyperlink ref="Q9250" r:id="rId18495" location="" tooltip="" display=""/>
    <hyperlink ref="R9250" r:id="rId18496" location="" tooltip="" display=""/>
    <hyperlink ref="L9251" r:id="rId18497" location="" tooltip="" display=""/>
    <hyperlink ref="R9251" r:id="rId18498" location="" tooltip="" display=""/>
    <hyperlink ref="K9253" r:id="rId18499" location="" tooltip="" display=""/>
    <hyperlink ref="L9253" r:id="rId18500" location="" tooltip="" display=""/>
    <hyperlink ref="Q9253" r:id="rId18501" location="" tooltip="" display=""/>
    <hyperlink ref="R9253" r:id="rId18502" location="" tooltip="" display=""/>
    <hyperlink ref="L9254" r:id="rId18503" location="" tooltip="" display=""/>
    <hyperlink ref="R9254" r:id="rId18504" location="" tooltip="" display=""/>
    <hyperlink ref="K9256" r:id="rId18505" location="" tooltip="" display=""/>
    <hyperlink ref="L9256" r:id="rId18506" location="" tooltip="" display=""/>
    <hyperlink ref="Q9256" r:id="rId18507" location="" tooltip="" display=""/>
    <hyperlink ref="R9256" r:id="rId18508" location="" tooltip="" display=""/>
    <hyperlink ref="L9257" r:id="rId18509" location="" tooltip="" display=""/>
    <hyperlink ref="R9257" r:id="rId18510" location="" tooltip="" display=""/>
    <hyperlink ref="L9259" r:id="rId18511" location="" tooltip="" display=""/>
    <hyperlink ref="R9259" r:id="rId18512" location="" tooltip="" display=""/>
    <hyperlink ref="K9260" r:id="rId18513" location="" tooltip="" display=""/>
    <hyperlink ref="L9260" r:id="rId18514" location="" tooltip="" display=""/>
    <hyperlink ref="Q9260" r:id="rId18515" location="" tooltip="" display=""/>
    <hyperlink ref="R9260" r:id="rId18516" location="" tooltip="" display=""/>
    <hyperlink ref="L9261" r:id="rId18517" location="" tooltip="" display=""/>
    <hyperlink ref="R9261" r:id="rId18518" location="" tooltip="" display=""/>
    <hyperlink ref="L9262" r:id="rId18519" location="" tooltip="" display=""/>
    <hyperlink ref="R9262" r:id="rId18520" location="" tooltip="" display=""/>
    <hyperlink ref="L9264" r:id="rId18521" location="" tooltip="" display=""/>
    <hyperlink ref="R9264" r:id="rId18522" location="" tooltip="" display=""/>
    <hyperlink ref="K9265" r:id="rId18523" location="" tooltip="" display=""/>
    <hyperlink ref="L9265" r:id="rId18524" location="" tooltip="" display=""/>
    <hyperlink ref="Q9265" r:id="rId18525" location="" tooltip="" display=""/>
    <hyperlink ref="R9265" r:id="rId18526" location="" tooltip="" display=""/>
    <hyperlink ref="L9266" r:id="rId18527" location="" tooltip="" display=""/>
    <hyperlink ref="R9266" r:id="rId18528" location="" tooltip="" display=""/>
    <hyperlink ref="L9267" r:id="rId18529" location="" tooltip="" display=""/>
    <hyperlink ref="R9267" r:id="rId18530" location="" tooltip="" display=""/>
    <hyperlink ref="L9269" r:id="rId18531" location="" tooltip="" display=""/>
    <hyperlink ref="R9269" r:id="rId18532" location="" tooltip="" display=""/>
    <hyperlink ref="K9270" r:id="rId18533" location="" tooltip="" display=""/>
    <hyperlink ref="L9270" r:id="rId18534" location="" tooltip="" display=""/>
    <hyperlink ref="Q9270" r:id="rId18535" location="" tooltip="" display=""/>
    <hyperlink ref="R9270" r:id="rId18536" location="" tooltip="" display=""/>
    <hyperlink ref="L9271" r:id="rId18537" location="" tooltip="" display=""/>
    <hyperlink ref="R9271" r:id="rId18538" location="" tooltip="" display=""/>
    <hyperlink ref="K9273" r:id="rId18539" location="" tooltip="" display=""/>
    <hyperlink ref="L9273" r:id="rId18540" location="" tooltip="" display=""/>
    <hyperlink ref="Q9273" r:id="rId18541" location="" tooltip="" display=""/>
    <hyperlink ref="R9273" r:id="rId18542" location="" tooltip="" display=""/>
    <hyperlink ref="L9274" r:id="rId18543" location="" tooltip="" display=""/>
    <hyperlink ref="R9274" r:id="rId18544" location="" tooltip="" display=""/>
    <hyperlink ref="L9276" r:id="rId18545" location="" tooltip="" display=""/>
    <hyperlink ref="R9276" r:id="rId18546" location="" tooltip="" display=""/>
    <hyperlink ref="K9277" r:id="rId18547" location="" tooltip="" display=""/>
    <hyperlink ref="L9277" r:id="rId18548" location="" tooltip="" display=""/>
    <hyperlink ref="Q9277" r:id="rId18549" location="" tooltip="" display=""/>
    <hyperlink ref="R9277" r:id="rId18550" location="" tooltip="" display=""/>
    <hyperlink ref="L9278" r:id="rId18551" location="" tooltip="" display=""/>
    <hyperlink ref="R9278" r:id="rId18552" location="" tooltip="" display=""/>
    <hyperlink ref="L9279" r:id="rId18553" location="" tooltip="" display=""/>
    <hyperlink ref="R9279" r:id="rId18554" location="" tooltip="" display=""/>
    <hyperlink ref="L9281" r:id="rId18555" location="" tooltip="" display=""/>
    <hyperlink ref="R9281" r:id="rId18556" location="" tooltip="" display=""/>
    <hyperlink ref="K9282" r:id="rId18557" location="" tooltip="" display=""/>
    <hyperlink ref="L9282" r:id="rId18558" location="" tooltip="" display=""/>
    <hyperlink ref="Q9282" r:id="rId18559" location="" tooltip="" display=""/>
    <hyperlink ref="R9282" r:id="rId18560" location="" tooltip="" display=""/>
    <hyperlink ref="L9283" r:id="rId18561" location="" tooltip="" display=""/>
    <hyperlink ref="R9283" r:id="rId18562" location="" tooltip="" display=""/>
    <hyperlink ref="L9284" r:id="rId18563" location="" tooltip="" display=""/>
    <hyperlink ref="R9284" r:id="rId18564" location="" tooltip="" display=""/>
    <hyperlink ref="K9286" r:id="rId18565" location="" tooltip="" display=""/>
    <hyperlink ref="L9286" r:id="rId18566" location="" tooltip="" display=""/>
    <hyperlink ref="Q9286" r:id="rId18567" location="" tooltip="" display=""/>
    <hyperlink ref="R9286" r:id="rId18568" location="" tooltip="" display=""/>
    <hyperlink ref="K9288" r:id="rId18569" location="" tooltip="" display=""/>
    <hyperlink ref="L9288" r:id="rId18570" location="" tooltip="" display=""/>
    <hyperlink ref="Q9288" r:id="rId18571" location="" tooltip="" display=""/>
    <hyperlink ref="R9288" r:id="rId18572" location="" tooltip="" display=""/>
    <hyperlink ref="K9290" r:id="rId18573" location="" tooltip="" display=""/>
    <hyperlink ref="L9290" r:id="rId18574" location="" tooltip="" display=""/>
    <hyperlink ref="Q9290" r:id="rId18575" location="" tooltip="" display=""/>
    <hyperlink ref="R9290" r:id="rId18576" location="" tooltip="" display=""/>
    <hyperlink ref="K9292" r:id="rId18577" location="" tooltip="" display=""/>
    <hyperlink ref="L9292" r:id="rId18578" location="" tooltip="" display=""/>
    <hyperlink ref="Q9292" r:id="rId18579" location="" tooltip="" display=""/>
    <hyperlink ref="R9292" r:id="rId18580" location="" tooltip="" display=""/>
    <hyperlink ref="L9293" r:id="rId18581" location="" tooltip="" display=""/>
    <hyperlink ref="R9293" r:id="rId18582" location="" tooltip="" display=""/>
    <hyperlink ref="K9295" r:id="rId18583" location="" tooltip="" display=""/>
    <hyperlink ref="L9295" r:id="rId18584" location="" tooltip="" display=""/>
    <hyperlink ref="Q9295" r:id="rId18585" location="" tooltip="" display=""/>
    <hyperlink ref="R9295" r:id="rId18586" location="" tooltip="" display=""/>
    <hyperlink ref="L9296" r:id="rId18587" location="" tooltip="" display=""/>
    <hyperlink ref="R9296" r:id="rId18588" location="" tooltip="" display=""/>
    <hyperlink ref="K9298" r:id="rId18589" location="" tooltip="" display=""/>
    <hyperlink ref="L9298" r:id="rId18590" location="" tooltip="" display=""/>
    <hyperlink ref="Q9298" r:id="rId18591" location="" tooltip="" display=""/>
    <hyperlink ref="R9298" r:id="rId18592" location="" tooltip="" display=""/>
    <hyperlink ref="L9299" r:id="rId18593" location="" tooltip="" display=""/>
    <hyperlink ref="R9299" r:id="rId18594" location="" tooltip="" display=""/>
    <hyperlink ref="L9301" r:id="rId18595" location="" tooltip="" display=""/>
    <hyperlink ref="R9301" r:id="rId18596" location="" tooltip="" display=""/>
    <hyperlink ref="K9302" r:id="rId18597" location="" tooltip="" display=""/>
    <hyperlink ref="L9302" r:id="rId18598" location="" tooltip="" display=""/>
    <hyperlink ref="Q9302" r:id="rId18599" location="" tooltip="" display=""/>
    <hyperlink ref="R9302" r:id="rId18600" location="" tooltip="" display=""/>
    <hyperlink ref="L9303" r:id="rId18601" location="" tooltip="" display=""/>
    <hyperlink ref="R9303" r:id="rId18602" location="" tooltip="" display=""/>
    <hyperlink ref="L9305" r:id="rId18603" location="" tooltip="" display=""/>
    <hyperlink ref="R9305" r:id="rId18604" location="" tooltip="" display=""/>
    <hyperlink ref="K9306" r:id="rId18605" location="" tooltip="" display=""/>
    <hyperlink ref="L9306" r:id="rId18606" location="" tooltip="" display=""/>
    <hyperlink ref="Q9306" r:id="rId18607" location="" tooltip="" display=""/>
    <hyperlink ref="R9306" r:id="rId18608" location="" tooltip="" display=""/>
    <hyperlink ref="L9307" r:id="rId18609" location="" tooltip="" display=""/>
    <hyperlink ref="R9307" r:id="rId18610" location="" tooltip="" display=""/>
    <hyperlink ref="L9308" r:id="rId18611" location="" tooltip="" display=""/>
    <hyperlink ref="R9308" r:id="rId18612" location="" tooltip="" display=""/>
    <hyperlink ref="K9310" r:id="rId18613" location="" tooltip="" display=""/>
    <hyperlink ref="L9310" r:id="rId18614" location="" tooltip="" display=""/>
    <hyperlink ref="Q9310" r:id="rId18615" location="" tooltip="" display=""/>
    <hyperlink ref="R9310" r:id="rId18616" location="" tooltip="" display=""/>
    <hyperlink ref="L9311" r:id="rId18617" location="" tooltip="" display=""/>
    <hyperlink ref="R9311" r:id="rId18618" location="" tooltip="" display=""/>
    <hyperlink ref="L9313" r:id="rId18619" location="" tooltip="" display=""/>
    <hyperlink ref="R9313" r:id="rId18620" location="" tooltip="" display=""/>
    <hyperlink ref="K9314" r:id="rId18621" location="" tooltip="" display=""/>
    <hyperlink ref="L9314" r:id="rId18622" location="" tooltip="" display=""/>
    <hyperlink ref="Q9314" r:id="rId18623" location="" tooltip="" display=""/>
    <hyperlink ref="R9314" r:id="rId18624" location="" tooltip="" display=""/>
    <hyperlink ref="L9315" r:id="rId18625" location="" tooltip="" display=""/>
    <hyperlink ref="R9315" r:id="rId18626" location="" tooltip="" display=""/>
    <hyperlink ref="L9316" r:id="rId18627" location="" tooltip="" display=""/>
    <hyperlink ref="R9316" r:id="rId18628" location="" tooltip="" display=""/>
    <hyperlink ref="K9318" r:id="rId18629" location="" tooltip="" display=""/>
    <hyperlink ref="L9318" r:id="rId18630" location="" tooltip="" display=""/>
    <hyperlink ref="Q9318" r:id="rId18631" location="" tooltip="" display=""/>
    <hyperlink ref="R9318" r:id="rId18632" location="" tooltip="" display=""/>
    <hyperlink ref="L9319" r:id="rId18633" location="" tooltip="" display=""/>
    <hyperlink ref="R9319" r:id="rId18634" location="" tooltip="" display=""/>
    <hyperlink ref="L9321" r:id="rId18635" location="" tooltip="" display=""/>
    <hyperlink ref="R9321" r:id="rId18636" location="" tooltip="" display=""/>
    <hyperlink ref="K9322" r:id="rId18637" location="" tooltip="" display=""/>
    <hyperlink ref="L9322" r:id="rId18638" location="" tooltip="" display=""/>
    <hyperlink ref="Q9322" r:id="rId18639" location="" tooltip="" display=""/>
    <hyperlink ref="R9322" r:id="rId18640" location="" tooltip="" display=""/>
    <hyperlink ref="L9323" r:id="rId18641" location="" tooltip="" display=""/>
    <hyperlink ref="R9323" r:id="rId18642" location="" tooltip="" display=""/>
    <hyperlink ref="K9325" r:id="rId18643" location="" tooltip="" display=""/>
    <hyperlink ref="L9325" r:id="rId18644" location="" tooltip="" display=""/>
    <hyperlink ref="Q9325" r:id="rId18645" location="" tooltip="" display=""/>
    <hyperlink ref="R9325" r:id="rId18646" location="" tooltip="" display=""/>
    <hyperlink ref="K9327" r:id="rId18647" location="" tooltip="" display=""/>
    <hyperlink ref="L9327" r:id="rId18648" location="" tooltip="" display=""/>
    <hyperlink ref="Q9327" r:id="rId18649" location="" tooltip="" display=""/>
    <hyperlink ref="R9327" r:id="rId18650" location="" tooltip="" display=""/>
    <hyperlink ref="L9328" r:id="rId18651" location="" tooltip="" display=""/>
    <hyperlink ref="R9328" r:id="rId18652" location="" tooltip="" display=""/>
    <hyperlink ref="K9330" r:id="rId18653" location="" tooltip="" display=""/>
    <hyperlink ref="L9330" r:id="rId18654" location="" tooltip="" display=""/>
    <hyperlink ref="Q9330" r:id="rId18655" location="" tooltip="" display=""/>
    <hyperlink ref="R9330" r:id="rId18656" location="" tooltip="" display=""/>
    <hyperlink ref="L9331" r:id="rId18657" location="" tooltip="" display=""/>
    <hyperlink ref="R9331" r:id="rId18658" location="" tooltip="" display=""/>
    <hyperlink ref="K9333" r:id="rId18659" location="" tooltip="" display=""/>
    <hyperlink ref="L9333" r:id="rId18660" location="" tooltip="" display=""/>
    <hyperlink ref="Q9333" r:id="rId18661" location="" tooltip="" display=""/>
    <hyperlink ref="R9333" r:id="rId18662" location="" tooltip="" display=""/>
    <hyperlink ref="K9335" r:id="rId18663" location="" tooltip="" display=""/>
    <hyperlink ref="L9335" r:id="rId18664" location="" tooltip="" display=""/>
    <hyperlink ref="Q9335" r:id="rId18665" location="" tooltip="" display=""/>
    <hyperlink ref="R9335" r:id="rId18666" location="" tooltip="" display=""/>
    <hyperlink ref="L9336" r:id="rId18667" location="" tooltip="" display=""/>
    <hyperlink ref="R9336" r:id="rId18668" location="" tooltip="" display=""/>
    <hyperlink ref="K9338" r:id="rId18669" location="" tooltip="" display=""/>
    <hyperlink ref="L9338" r:id="rId18670" location="" tooltip="" display=""/>
    <hyperlink ref="Q9338" r:id="rId18671" location="" tooltip="" display=""/>
    <hyperlink ref="R9338" r:id="rId18672" location="" tooltip="" display=""/>
    <hyperlink ref="L9339" r:id="rId18673" location="" tooltip="" display=""/>
    <hyperlink ref="R9339" r:id="rId18674" location="" tooltip="" display=""/>
    <hyperlink ref="K9341" r:id="rId18675" location="" tooltip="" display=""/>
    <hyperlink ref="L9341" r:id="rId18676" location="" tooltip="" display=""/>
    <hyperlink ref="Q9341" r:id="rId18677" location="" tooltip="" display=""/>
    <hyperlink ref="R9341" r:id="rId18678" location="" tooltip="" display=""/>
    <hyperlink ref="L9342" r:id="rId18679" location="" tooltip="" display=""/>
    <hyperlink ref="R9342" r:id="rId18680" location="" tooltip="" display=""/>
    <hyperlink ref="L9344" r:id="rId18681" location="" tooltip="" display=""/>
    <hyperlink ref="R9344" r:id="rId18682" location="" tooltip="" display=""/>
    <hyperlink ref="L9345" r:id="rId18683" location="" tooltip="" display=""/>
    <hyperlink ref="R9345" r:id="rId18684" location="" tooltip="" display=""/>
    <hyperlink ref="K9346" r:id="rId18685" location="" tooltip="" display=""/>
    <hyperlink ref="L9346" r:id="rId18686" location="" tooltip="" display=""/>
    <hyperlink ref="Q9346" r:id="rId18687" location="" tooltip="" display=""/>
    <hyperlink ref="R9346" r:id="rId18688" location="" tooltip="" display=""/>
    <hyperlink ref="L9347" r:id="rId18689" location="" tooltip="" display=""/>
    <hyperlink ref="R9347" r:id="rId18690" location="" tooltip="" display=""/>
    <hyperlink ref="L9348" r:id="rId18691" location="" tooltip="" display=""/>
    <hyperlink ref="R9348" r:id="rId18692" location="" tooltip="" display=""/>
    <hyperlink ref="L9349" r:id="rId18693" location="" tooltip="" display=""/>
    <hyperlink ref="R9349" r:id="rId18694" location="" tooltip="" display=""/>
    <hyperlink ref="K9351" r:id="rId18695" location="" tooltip="" display=""/>
    <hyperlink ref="L9351" r:id="rId18696" location="" tooltip="" display=""/>
    <hyperlink ref="Q9351" r:id="rId18697" location="" tooltip="" display=""/>
    <hyperlink ref="R9351" r:id="rId18698" location="" tooltip="" display=""/>
    <hyperlink ref="K9353" r:id="rId18699" location="" tooltip="" display=""/>
    <hyperlink ref="L9353" r:id="rId18700" location="" tooltip="" display=""/>
    <hyperlink ref="Q9353" r:id="rId18701" location="" tooltip="" display=""/>
    <hyperlink ref="R9353" r:id="rId18702" location="" tooltip="" display=""/>
    <hyperlink ref="K9355" r:id="rId18703" location="" tooltip="" display=""/>
    <hyperlink ref="L9355" r:id="rId18704" location="" tooltip="" display=""/>
    <hyperlink ref="Q9355" r:id="rId18705" location="" tooltip="" display=""/>
    <hyperlink ref="R9355" r:id="rId18706" location="" tooltip="" display=""/>
    <hyperlink ref="K9357" r:id="rId18707" location="" tooltip="" display=""/>
    <hyperlink ref="L9357" r:id="rId18708" location="" tooltip="" display=""/>
    <hyperlink ref="Q9357" r:id="rId18709" location="" tooltip="" display=""/>
    <hyperlink ref="R9357" r:id="rId18710" location="" tooltip="" display=""/>
    <hyperlink ref="L9358" r:id="rId18711" location="" tooltip="" display=""/>
    <hyperlink ref="R9358" r:id="rId18712" location="" tooltip="" display=""/>
    <hyperlink ref="K9360" r:id="rId18713" location="" tooltip="" display=""/>
    <hyperlink ref="L9360" r:id="rId18714" location="" tooltip="" display=""/>
    <hyperlink ref="Q9360" r:id="rId18715" location="" tooltip="" display=""/>
    <hyperlink ref="R9360" r:id="rId18716" location="" tooltip="" display=""/>
    <hyperlink ref="L9361" r:id="rId18717" location="" tooltip="" display=""/>
    <hyperlink ref="R9361" r:id="rId18718" location="" tooltip="" display=""/>
    <hyperlink ref="L9363" r:id="rId18719" location="" tooltip="" display=""/>
    <hyperlink ref="R9363" r:id="rId18720" location="" tooltip="" display=""/>
    <hyperlink ref="K9364" r:id="rId18721" location="" tooltip="" display=""/>
    <hyperlink ref="L9364" r:id="rId18722" location="" tooltip="" display=""/>
    <hyperlink ref="Q9364" r:id="rId18723" location="" tooltip="" display=""/>
    <hyperlink ref="R9364" r:id="rId18724" location="" tooltip="" display=""/>
    <hyperlink ref="L9365" r:id="rId18725" location="" tooltip="" display=""/>
    <hyperlink ref="R9365" r:id="rId18726" location="" tooltip="" display=""/>
    <hyperlink ref="L9366" r:id="rId18727" location="" tooltip="" display=""/>
    <hyperlink ref="R9366" r:id="rId18728" location="" tooltip="" display=""/>
    <hyperlink ref="L9368" r:id="rId18729" location="" tooltip="" display=""/>
    <hyperlink ref="R9368" r:id="rId18730" location="" tooltip="" display=""/>
    <hyperlink ref="K9369" r:id="rId18731" location="" tooltip="" display=""/>
    <hyperlink ref="L9369" r:id="rId18732" location="" tooltip="" display=""/>
    <hyperlink ref="Q9369" r:id="rId18733" location="" tooltip="" display=""/>
    <hyperlink ref="R9369" r:id="rId18734" location="" tooltip="" display=""/>
    <hyperlink ref="L9370" r:id="rId18735" location="" tooltip="" display=""/>
    <hyperlink ref="R9370" r:id="rId18736" location="" tooltip="" display=""/>
    <hyperlink ref="L9371" r:id="rId18737" location="" tooltip="" display=""/>
    <hyperlink ref="R9371" r:id="rId18738" location="" tooltip="" display=""/>
    <hyperlink ref="K9373" r:id="rId18739" location="" tooltip="" display=""/>
    <hyperlink ref="L9373" r:id="rId18740" location="" tooltip="" display=""/>
    <hyperlink ref="Q9373" r:id="rId18741" location="" tooltip="" display=""/>
    <hyperlink ref="R9373" r:id="rId18742" location="" tooltip="" display=""/>
    <hyperlink ref="L9374" r:id="rId18743" location="" tooltip="" display=""/>
    <hyperlink ref="R9374" r:id="rId18744" location="" tooltip="" display=""/>
    <hyperlink ref="K9376" r:id="rId18745" location="" tooltip="" display=""/>
    <hyperlink ref="L9376" r:id="rId18746" location="" tooltip="" display=""/>
    <hyperlink ref="Q9376" r:id="rId18747" location="" tooltip="" display=""/>
    <hyperlink ref="R9376" r:id="rId18748" location="" tooltip="" display=""/>
    <hyperlink ref="L9377" r:id="rId18749" location="" tooltip="" display=""/>
    <hyperlink ref="R9377" r:id="rId18750" location="" tooltip="" display=""/>
    <hyperlink ref="K9379" r:id="rId18751" location="" tooltip="" display=""/>
    <hyperlink ref="L9379" r:id="rId18752" location="" tooltip="" display=""/>
    <hyperlink ref="Q9379" r:id="rId18753" location="" tooltip="" display=""/>
    <hyperlink ref="R9379" r:id="rId18754" location="" tooltip="" display=""/>
    <hyperlink ref="L9380" r:id="rId18755" location="" tooltip="" display=""/>
    <hyperlink ref="R9380" r:id="rId18756" location="" tooltip="" display=""/>
    <hyperlink ref="L9382" r:id="rId18757" location="" tooltip="" display=""/>
    <hyperlink ref="R9382" r:id="rId18758" location="" tooltip="" display=""/>
    <hyperlink ref="K9383" r:id="rId18759" location="" tooltip="" display=""/>
    <hyperlink ref="L9383" r:id="rId18760" location="" tooltip="" display=""/>
    <hyperlink ref="Q9383" r:id="rId18761" location="" tooltip="" display=""/>
    <hyperlink ref="R9383" r:id="rId18762" location="" tooltip="" display=""/>
    <hyperlink ref="L9384" r:id="rId18763" location="" tooltip="" display=""/>
    <hyperlink ref="R9384" r:id="rId18764" location="" tooltip="" display=""/>
    <hyperlink ref="K9386" r:id="rId18765" location="" tooltip="" display=""/>
    <hyperlink ref="L9386" r:id="rId18766" location="" tooltip="" display=""/>
    <hyperlink ref="Q9386" r:id="rId18767" location="" tooltip="" display=""/>
    <hyperlink ref="R9386" r:id="rId18768" location="" tooltip="" display=""/>
    <hyperlink ref="L9387" r:id="rId18769" location="" tooltip="" display=""/>
    <hyperlink ref="R9387" r:id="rId18770" location="" tooltip="" display=""/>
    <hyperlink ref="K9389" r:id="rId18771" location="" tooltip="" display=""/>
    <hyperlink ref="L9389" r:id="rId18772" location="" tooltip="" display=""/>
    <hyperlink ref="Q9389" r:id="rId18773" location="" tooltip="" display=""/>
    <hyperlink ref="R9389" r:id="rId18774" location="" tooltip="" display=""/>
    <hyperlink ref="L9390" r:id="rId18775" location="" tooltip="" display=""/>
    <hyperlink ref="R9390" r:id="rId18776" location="" tooltip="" display=""/>
    <hyperlink ref="K9392" r:id="rId18777" location="" tooltip="" display=""/>
    <hyperlink ref="L9392" r:id="rId18778" location="" tooltip="" display=""/>
    <hyperlink ref="Q9392" r:id="rId18779" location="" tooltip="" display=""/>
    <hyperlink ref="R9392" r:id="rId18780" location="" tooltip="" display=""/>
    <hyperlink ref="L9393" r:id="rId18781" location="" tooltip="" display=""/>
    <hyperlink ref="R9393" r:id="rId18782" location="" tooltip="" display=""/>
    <hyperlink ref="K9395" r:id="rId18783" location="" tooltip="" display=""/>
    <hyperlink ref="L9395" r:id="rId18784" location="" tooltip="" display=""/>
    <hyperlink ref="Q9395" r:id="rId18785" location="" tooltip="" display=""/>
    <hyperlink ref="R9395" r:id="rId18786" location="" tooltip="" display=""/>
    <hyperlink ref="L9396" r:id="rId18787" location="" tooltip="" display=""/>
    <hyperlink ref="R9396" r:id="rId18788" location="" tooltip="" display=""/>
    <hyperlink ref="K9398" r:id="rId18789" location="" tooltip="" display=""/>
    <hyperlink ref="L9398" r:id="rId18790" location="" tooltip="" display=""/>
    <hyperlink ref="Q9398" r:id="rId18791" location="" tooltip="" display=""/>
    <hyperlink ref="R9398" r:id="rId18792" location="" tooltip="" display=""/>
    <hyperlink ref="K9400" r:id="rId18793" location="" tooltip="" display=""/>
    <hyperlink ref="L9400" r:id="rId18794" location="" tooltip="" display=""/>
    <hyperlink ref="Q9400" r:id="rId18795" location="" tooltip="" display=""/>
    <hyperlink ref="R9400" r:id="rId18796" location="" tooltip="" display=""/>
    <hyperlink ref="K9402" r:id="rId18797" location="" tooltip="" display=""/>
    <hyperlink ref="L9402" r:id="rId18798" location="" tooltip="" display=""/>
    <hyperlink ref="Q9402" r:id="rId18799" location="" tooltip="" display=""/>
    <hyperlink ref="R9402" r:id="rId18800" location="" tooltip="" display=""/>
    <hyperlink ref="L9403" r:id="rId18801" location="" tooltip="" display=""/>
    <hyperlink ref="R9403" r:id="rId18802" location="" tooltip="" display=""/>
    <hyperlink ref="K9405" r:id="rId18803" location="" tooltip="" display=""/>
    <hyperlink ref="L9405" r:id="rId18804" location="" tooltip="" display=""/>
    <hyperlink ref="Q9405" r:id="rId18805" location="" tooltip="" display=""/>
    <hyperlink ref="R9405" r:id="rId18806" location="" tooltip="" display=""/>
    <hyperlink ref="K9407" r:id="rId18807" location="" tooltip="" display=""/>
    <hyperlink ref="L9407" r:id="rId18808" location="" tooltip="" display=""/>
    <hyperlink ref="Q9407" r:id="rId18809" location="" tooltip="" display=""/>
    <hyperlink ref="R9407" r:id="rId18810" location="" tooltip="" display=""/>
    <hyperlink ref="K9409" r:id="rId18811" location="" tooltip="" display=""/>
    <hyperlink ref="L9409" r:id="rId18812" location="" tooltip="" display=""/>
    <hyperlink ref="Q9409" r:id="rId18813" location="" tooltip="" display=""/>
    <hyperlink ref="R9409" r:id="rId18814" location="" tooltip="" display=""/>
    <hyperlink ref="L9410" r:id="rId18815" location="" tooltip="" display=""/>
    <hyperlink ref="R9410" r:id="rId18816" location="" tooltip="" display=""/>
    <hyperlink ref="K9412" r:id="rId18817" location="" tooltip="" display=""/>
    <hyperlink ref="L9412" r:id="rId18818" location="" tooltip="" display=""/>
    <hyperlink ref="Q9412" r:id="rId18819" location="" tooltip="" display=""/>
    <hyperlink ref="R9412" r:id="rId18820" location="" tooltip="" display=""/>
    <hyperlink ref="L9413" r:id="rId18821" location="" tooltip="" display=""/>
    <hyperlink ref="R9413" r:id="rId18822" location="" tooltip="" display=""/>
    <hyperlink ref="K9415" r:id="rId18823" location="" tooltip="" display=""/>
    <hyperlink ref="L9415" r:id="rId18824" location="" tooltip="" display=""/>
    <hyperlink ref="Q9415" r:id="rId18825" location="" tooltip="" display=""/>
    <hyperlink ref="R9415" r:id="rId18826" location="" tooltip="" display=""/>
    <hyperlink ref="L9416" r:id="rId18827" location="" tooltip="" display=""/>
    <hyperlink ref="R9416" r:id="rId18828" location="" tooltip="" display=""/>
    <hyperlink ref="K9418" r:id="rId18829" location="" tooltip="" display=""/>
    <hyperlink ref="L9418" r:id="rId18830" location="" tooltip="" display=""/>
    <hyperlink ref="Q9418" r:id="rId18831" location="" tooltip="" display=""/>
    <hyperlink ref="R9418" r:id="rId18832" location="" tooltip="" display=""/>
    <hyperlink ref="L9419" r:id="rId18833" location="" tooltip="" display=""/>
    <hyperlink ref="R9419" r:id="rId18834" location="" tooltip="" display=""/>
    <hyperlink ref="K9421" r:id="rId18835" location="" tooltip="" display=""/>
    <hyperlink ref="L9421" r:id="rId18836" location="" tooltip="" display=""/>
    <hyperlink ref="Q9421" r:id="rId18837" location="" tooltip="" display=""/>
    <hyperlink ref="R9421" r:id="rId18838" location="" tooltip="" display=""/>
    <hyperlink ref="L9422" r:id="rId18839" location="" tooltip="" display=""/>
    <hyperlink ref="R9422" r:id="rId18840" location="" tooltip="" display=""/>
    <hyperlink ref="K9424" r:id="rId18841" location="" tooltip="" display=""/>
    <hyperlink ref="L9424" r:id="rId18842" location="" tooltip="" display=""/>
    <hyperlink ref="Q9424" r:id="rId18843" location="" tooltip="" display=""/>
    <hyperlink ref="R9424" r:id="rId18844" location="" tooltip="" display=""/>
    <hyperlink ref="L9425" r:id="rId18845" location="" tooltip="" display=""/>
    <hyperlink ref="R9425" r:id="rId18846" location="" tooltip="" display=""/>
    <hyperlink ref="K9427" r:id="rId18847" location="" tooltip="" display=""/>
    <hyperlink ref="L9427" r:id="rId18848" location="" tooltip="" display=""/>
    <hyperlink ref="Q9427" r:id="rId18849" location="" tooltip="" display=""/>
    <hyperlink ref="R9427" r:id="rId18850" location="" tooltip="" display=""/>
    <hyperlink ref="L9428" r:id="rId18851" location="" tooltip="" display=""/>
    <hyperlink ref="R9428" r:id="rId18852" location="" tooltip="" display=""/>
    <hyperlink ref="K9430" r:id="rId18853" location="" tooltip="" display=""/>
    <hyperlink ref="L9430" r:id="rId18854" location="" tooltip="" display=""/>
    <hyperlink ref="Q9430" r:id="rId18855" location="" tooltip="" display=""/>
    <hyperlink ref="R9430" r:id="rId18856" location="" tooltip="" display=""/>
    <hyperlink ref="L9431" r:id="rId18857" location="" tooltip="" display=""/>
    <hyperlink ref="R9431" r:id="rId18858" location="" tooltip="" display=""/>
    <hyperlink ref="K9433" r:id="rId18859" location="" tooltip="" display=""/>
    <hyperlink ref="L9433" r:id="rId18860" location="" tooltip="" display=""/>
    <hyperlink ref="Q9433" r:id="rId18861" location="" tooltip="" display=""/>
    <hyperlink ref="R9433" r:id="rId18862" location="" tooltip="" display=""/>
    <hyperlink ref="K9435" r:id="rId18863" location="" tooltip="" display=""/>
    <hyperlink ref="L9435" r:id="rId18864" location="" tooltip="" display=""/>
    <hyperlink ref="Q9435" r:id="rId18865" location="" tooltip="" display=""/>
    <hyperlink ref="R9435" r:id="rId18866" location="" tooltip="" display=""/>
    <hyperlink ref="K9437" r:id="rId18867" location="" tooltip="" display=""/>
    <hyperlink ref="L9437" r:id="rId18868" location="" tooltip="" display=""/>
    <hyperlink ref="Q9437" r:id="rId18869" location="" tooltip="" display=""/>
    <hyperlink ref="R9437" r:id="rId18870" location="" tooltip="" display=""/>
    <hyperlink ref="K9439" r:id="rId18871" location="" tooltip="" display=""/>
    <hyperlink ref="L9439" r:id="rId18872" location="" tooltip="" display=""/>
    <hyperlink ref="Q9439" r:id="rId18873" location="" tooltip="" display=""/>
    <hyperlink ref="R9439" r:id="rId18874" location="" tooltip="" display=""/>
    <hyperlink ref="K9441" r:id="rId18875" location="" tooltip="" display=""/>
    <hyperlink ref="L9441" r:id="rId18876" location="" tooltip="" display=""/>
    <hyperlink ref="Q9441" r:id="rId18877" location="" tooltip="" display=""/>
    <hyperlink ref="R9441" r:id="rId18878" location="" tooltip="" display=""/>
    <hyperlink ref="L9443" r:id="rId18879" location="" tooltip="" display=""/>
    <hyperlink ref="R9443" r:id="rId18880" location="" tooltip="" display=""/>
    <hyperlink ref="K9444" r:id="rId18881" location="" tooltip="" display=""/>
    <hyperlink ref="L9444" r:id="rId18882" location="" tooltip="" display=""/>
    <hyperlink ref="Q9444" r:id="rId18883" location="" tooltip="" display=""/>
    <hyperlink ref="R9444" r:id="rId18884" location="" tooltip="" display=""/>
    <hyperlink ref="L9445" r:id="rId18885" location="" tooltip="" display=""/>
    <hyperlink ref="R9445" r:id="rId18886" location="" tooltip="" display=""/>
    <hyperlink ref="L9446" r:id="rId18887" location="" tooltip="" display=""/>
    <hyperlink ref="R9446" r:id="rId18888" location="" tooltip="" display=""/>
    <hyperlink ref="K9448" r:id="rId18889" location="" tooltip="" display=""/>
    <hyperlink ref="L9448" r:id="rId18890" location="" tooltip="" display=""/>
    <hyperlink ref="Q9448" r:id="rId18891" location="" tooltip="" display=""/>
    <hyperlink ref="R9448" r:id="rId18892" location="" tooltip="" display=""/>
    <hyperlink ref="L9449" r:id="rId18893" location="" tooltip="" display=""/>
    <hyperlink ref="R9449" r:id="rId18894" location="" tooltip="" display=""/>
    <hyperlink ref="K9451" r:id="rId18895" location="" tooltip="" display=""/>
    <hyperlink ref="L9451" r:id="rId18896" location="" tooltip="" display=""/>
    <hyperlink ref="Q9451" r:id="rId18897" location="" tooltip="" display=""/>
    <hyperlink ref="R9451" r:id="rId18898" location="" tooltip="" display=""/>
    <hyperlink ref="K9453" r:id="rId18899" location="" tooltip="" display=""/>
    <hyperlink ref="L9453" r:id="rId18900" location="" tooltip="" display=""/>
    <hyperlink ref="Q9453" r:id="rId18901" location="" tooltip="" display=""/>
    <hyperlink ref="R9453" r:id="rId18902" location="" tooltip="" display=""/>
    <hyperlink ref="L9455" r:id="rId18903" location="" tooltip="" display=""/>
    <hyperlink ref="R9455" r:id="rId18904" location="" tooltip="" display=""/>
    <hyperlink ref="L9456" r:id="rId18905" location="" tooltip="" display=""/>
    <hyperlink ref="R9456" r:id="rId18906" location="" tooltip="" display=""/>
    <hyperlink ref="L9457" r:id="rId18907" location="" tooltip="" display=""/>
    <hyperlink ref="R9457" r:id="rId18908" location="" tooltip="" display=""/>
    <hyperlink ref="K9458" r:id="rId18909" location="" tooltip="" display=""/>
    <hyperlink ref="L9458" r:id="rId18910" location="" tooltip="" display=""/>
    <hyperlink ref="Q9458" r:id="rId18911" location="" tooltip="" display=""/>
    <hyperlink ref="R9458" r:id="rId18912" location="" tooltip="" display=""/>
    <hyperlink ref="L9459" r:id="rId18913" location="" tooltip="" display=""/>
    <hyperlink ref="R9459" r:id="rId18914" location="" tooltip="" display=""/>
    <hyperlink ref="L9460" r:id="rId18915" location="" tooltip="" display=""/>
    <hyperlink ref="R9460" r:id="rId18916" location="" tooltip="" display=""/>
    <hyperlink ref="L9461" r:id="rId18917" location="" tooltip="" display=""/>
    <hyperlink ref="R9461" r:id="rId18918" location="" tooltip="" display=""/>
    <hyperlink ref="K9463" r:id="rId18919" location="" tooltip="" display=""/>
    <hyperlink ref="L9463" r:id="rId18920" location="" tooltip="" display=""/>
    <hyperlink ref="Q9463" r:id="rId18921" location="" tooltip="" display=""/>
    <hyperlink ref="R9463" r:id="rId18922" location="" tooltip="" display=""/>
    <hyperlink ref="L9464" r:id="rId18923" location="" tooltip="" display=""/>
    <hyperlink ref="R9464" r:id="rId18924" location="" tooltip="" display=""/>
    <hyperlink ref="K9466" r:id="rId18925" location="" tooltip="" display=""/>
    <hyperlink ref="L9466" r:id="rId18926" location="" tooltip="" display=""/>
    <hyperlink ref="Q9466" r:id="rId18927" location="" tooltip="" display=""/>
    <hyperlink ref="R9466" r:id="rId18928" location="" tooltip="" display=""/>
    <hyperlink ref="L9467" r:id="rId18929" location="" tooltip="" display=""/>
    <hyperlink ref="R9467" r:id="rId18930" location="" tooltip="" display=""/>
    <hyperlink ref="K9469" r:id="rId18931" location="" tooltip="" display=""/>
    <hyperlink ref="L9469" r:id="rId18932" location="" tooltip="" display=""/>
    <hyperlink ref="Q9469" r:id="rId18933" location="" tooltip="" display=""/>
    <hyperlink ref="R9469" r:id="rId18934" location="" tooltip="" display=""/>
    <hyperlink ref="L9470" r:id="rId18935" location="" tooltip="" display=""/>
    <hyperlink ref="R9470" r:id="rId18936" location="" tooltip="" display=""/>
    <hyperlink ref="K9472" r:id="rId18937" location="" tooltip="" display=""/>
    <hyperlink ref="L9472" r:id="rId18938" location="" tooltip="" display=""/>
    <hyperlink ref="Q9472" r:id="rId18939" location="" tooltip="" display=""/>
    <hyperlink ref="R9472" r:id="rId18940" location="" tooltip="" display=""/>
    <hyperlink ref="L9473" r:id="rId18941" location="" tooltip="" display=""/>
    <hyperlink ref="R9473" r:id="rId18942" location="" tooltip="" display=""/>
    <hyperlink ref="K9475" r:id="rId18943" location="" tooltip="" display=""/>
    <hyperlink ref="L9475" r:id="rId18944" location="" tooltip="" display=""/>
    <hyperlink ref="Q9475" r:id="rId18945" location="" tooltip="" display=""/>
    <hyperlink ref="R9475" r:id="rId18946" location="" tooltip="" display=""/>
    <hyperlink ref="L9476" r:id="rId18947" location="" tooltip="" display=""/>
    <hyperlink ref="R9476" r:id="rId18948" location="" tooltip="" display=""/>
    <hyperlink ref="K9478" r:id="rId18949" location="" tooltip="" display=""/>
    <hyperlink ref="L9478" r:id="rId18950" location="" tooltip="" display=""/>
    <hyperlink ref="Q9478" r:id="rId18951" location="" tooltip="" display=""/>
    <hyperlink ref="R9478" r:id="rId18952" location="" tooltip="" display=""/>
    <hyperlink ref="L9479" r:id="rId18953" location="" tooltip="" display=""/>
    <hyperlink ref="R9479" r:id="rId18954" location="" tooltip="" display=""/>
    <hyperlink ref="K9481" r:id="rId18955" location="" tooltip="" display=""/>
    <hyperlink ref="L9481" r:id="rId18956" location="" tooltip="" display=""/>
    <hyperlink ref="Q9481" r:id="rId18957" location="" tooltip="" display=""/>
    <hyperlink ref="R9481" r:id="rId18958" location="" tooltip="" display=""/>
    <hyperlink ref="L9482" r:id="rId18959" location="" tooltip="" display=""/>
    <hyperlink ref="R9482" r:id="rId18960" location="" tooltip="" display=""/>
    <hyperlink ref="K9484" r:id="rId18961" location="" tooltip="" display=""/>
    <hyperlink ref="L9484" r:id="rId18962" location="" tooltip="" display=""/>
    <hyperlink ref="Q9484" r:id="rId18963" location="" tooltip="" display=""/>
    <hyperlink ref="R9484" r:id="rId18964" location="" tooltip="" display=""/>
    <hyperlink ref="K9486" r:id="rId18965" location="" tooltip="" display=""/>
    <hyperlink ref="L9486" r:id="rId18966" location="" tooltip="" display=""/>
    <hyperlink ref="Q9486" r:id="rId18967" location="" tooltip="" display=""/>
    <hyperlink ref="R9486" r:id="rId18968" location="" tooltip="" display=""/>
    <hyperlink ref="L9487" r:id="rId18969" location="" tooltip="" display=""/>
    <hyperlink ref="R9487" r:id="rId18970" location="" tooltip="" display=""/>
    <hyperlink ref="K9489" r:id="rId18971" location="" tooltip="" display=""/>
    <hyperlink ref="L9489" r:id="rId18972" location="" tooltip="" display=""/>
    <hyperlink ref="Q9489" r:id="rId18973" location="" tooltip="" display=""/>
    <hyperlink ref="R9489" r:id="rId18974" location="" tooltip="" display=""/>
    <hyperlink ref="L9490" r:id="rId18975" location="" tooltip="" display=""/>
    <hyperlink ref="R9490" r:id="rId18976" location="" tooltip="" display=""/>
    <hyperlink ref="K9492" r:id="rId18977" location="" tooltip="" display=""/>
    <hyperlink ref="L9492" r:id="rId18978" location="" tooltip="" display=""/>
    <hyperlink ref="Q9492" r:id="rId18979" location="" tooltip="" display=""/>
    <hyperlink ref="R9492" r:id="rId18980" location="" tooltip="" display=""/>
    <hyperlink ref="K9494" r:id="rId18981" location="" tooltip="" display=""/>
    <hyperlink ref="L9494" r:id="rId18982" location="" tooltip="" display=""/>
    <hyperlink ref="Q9494" r:id="rId18983" location="" tooltip="" display=""/>
    <hyperlink ref="R9494" r:id="rId18984" location="" tooltip="" display=""/>
    <hyperlink ref="L9496" r:id="rId18985" location="" tooltip="" display=""/>
    <hyperlink ref="R9496" r:id="rId18986" location="" tooltip="" display=""/>
    <hyperlink ref="K9497" r:id="rId18987" location="" tooltip="" display=""/>
    <hyperlink ref="L9497" r:id="rId18988" location="" tooltip="" display=""/>
    <hyperlink ref="Q9497" r:id="rId18989" location="" tooltip="" display=""/>
    <hyperlink ref="R9497" r:id="rId18990" location="" tooltip="" display=""/>
    <hyperlink ref="L9498" r:id="rId18991" location="" tooltip="" display=""/>
    <hyperlink ref="R9498" r:id="rId18992" location="" tooltip="" display=""/>
    <hyperlink ref="K9500" r:id="rId18993" location="" tooltip="" display=""/>
    <hyperlink ref="L9500" r:id="rId18994" location="" tooltip="" display=""/>
    <hyperlink ref="Q9500" r:id="rId18995" location="" tooltip="" display=""/>
    <hyperlink ref="R9500" r:id="rId18996" location="" tooltip="" display=""/>
    <hyperlink ref="L9501" r:id="rId18997" location="" tooltip="" display=""/>
    <hyperlink ref="R9501" r:id="rId18998" location="" tooltip="" display=""/>
    <hyperlink ref="K9503" r:id="rId18999" location="" tooltip="" display=""/>
    <hyperlink ref="L9503" r:id="rId19000" location="" tooltip="" display=""/>
    <hyperlink ref="Q9503" r:id="rId19001" location="" tooltip="" display=""/>
    <hyperlink ref="R9503" r:id="rId19002" location="" tooltip="" display=""/>
    <hyperlink ref="L9504" r:id="rId19003" location="" tooltip="" display=""/>
    <hyperlink ref="R9504" r:id="rId19004" location="" tooltip="" display=""/>
    <hyperlink ref="L9506" r:id="rId19005" location="" tooltip="" display=""/>
    <hyperlink ref="R9506" r:id="rId19006" location="" tooltip="" display=""/>
    <hyperlink ref="K9507" r:id="rId19007" location="" tooltip="" display=""/>
    <hyperlink ref="L9507" r:id="rId19008" location="" tooltip="" display=""/>
    <hyperlink ref="Q9507" r:id="rId19009" location="" tooltip="" display=""/>
    <hyperlink ref="R9507" r:id="rId19010" location="" tooltip="" display=""/>
    <hyperlink ref="L9508" r:id="rId19011" location="" tooltip="" display=""/>
    <hyperlink ref="R9508" r:id="rId19012" location="" tooltip="" display=""/>
    <hyperlink ref="L9509" r:id="rId19013" location="" tooltip="" display=""/>
    <hyperlink ref="R9509" r:id="rId19014" location="" tooltip="" display=""/>
    <hyperlink ref="K9511" r:id="rId19015" location="" tooltip="" display=""/>
    <hyperlink ref="L9511" r:id="rId19016" location="" tooltip="" display=""/>
    <hyperlink ref="Q9511" r:id="rId19017" location="" tooltip="" display=""/>
    <hyperlink ref="R9511" r:id="rId19018" location="" tooltip="" display=""/>
    <hyperlink ref="L9512" r:id="rId19019" location="" tooltip="" display=""/>
    <hyperlink ref="R9512" r:id="rId19020" location="" tooltip="" display=""/>
    <hyperlink ref="K9514" r:id="rId19021" location="" tooltip="" display=""/>
    <hyperlink ref="L9514" r:id="rId19022" location="" tooltip="" display=""/>
    <hyperlink ref="Q9514" r:id="rId19023" location="" tooltip="" display=""/>
    <hyperlink ref="R9514" r:id="rId19024" location="" tooltip="" display=""/>
    <hyperlink ref="L9515" r:id="rId19025" location="" tooltip="" display=""/>
    <hyperlink ref="R9515" r:id="rId19026" location="" tooltip="" display=""/>
    <hyperlink ref="K9517" r:id="rId19027" location="" tooltip="" display=""/>
    <hyperlink ref="L9517" r:id="rId19028" location="" tooltip="" display=""/>
    <hyperlink ref="Q9517" r:id="rId19029" location="" tooltip="" display=""/>
    <hyperlink ref="R9517" r:id="rId19030" location="" tooltip="" display=""/>
    <hyperlink ref="L9518" r:id="rId19031" location="" tooltip="" display=""/>
    <hyperlink ref="R9518" r:id="rId19032" location="" tooltip="" display=""/>
    <hyperlink ref="L9520" r:id="rId19033" location="" tooltip="" display=""/>
    <hyperlink ref="R9520" r:id="rId19034" location="" tooltip="" display=""/>
    <hyperlink ref="K9521" r:id="rId19035" location="" tooltip="" display=""/>
    <hyperlink ref="L9521" r:id="rId19036" location="" tooltip="" display=""/>
    <hyperlink ref="Q9521" r:id="rId19037" location="" tooltip="" display=""/>
    <hyperlink ref="R9521" r:id="rId19038" location="" tooltip="" display=""/>
    <hyperlink ref="L9522" r:id="rId19039" location="" tooltip="" display=""/>
    <hyperlink ref="R9522" r:id="rId19040" location="" tooltip="" display=""/>
    <hyperlink ref="K9524" r:id="rId19041" location="" tooltip="" display=""/>
    <hyperlink ref="L9524" r:id="rId19042" location="" tooltip="" display=""/>
    <hyperlink ref="Q9524" r:id="rId19043" location="" tooltip="" display=""/>
    <hyperlink ref="R9524" r:id="rId19044" location="" tooltip="" display=""/>
    <hyperlink ref="L9525" r:id="rId19045" location="" tooltip="" display=""/>
    <hyperlink ref="R9525" r:id="rId19046" location="" tooltip="" display=""/>
    <hyperlink ref="K9527" r:id="rId19047" location="" tooltip="" display=""/>
    <hyperlink ref="L9527" r:id="rId19048" location="" tooltip="" display=""/>
    <hyperlink ref="Q9527" r:id="rId19049" location="" tooltip="" display=""/>
    <hyperlink ref="R9527" r:id="rId19050" location="" tooltip="" display=""/>
    <hyperlink ref="L9528" r:id="rId19051" location="" tooltip="" display=""/>
    <hyperlink ref="R9528" r:id="rId19052" location="" tooltip="" display=""/>
    <hyperlink ref="K9530" r:id="rId19053" location="" tooltip="" display=""/>
    <hyperlink ref="L9530" r:id="rId19054" location="" tooltip="" display=""/>
    <hyperlink ref="Q9530" r:id="rId19055" location="" tooltip="" display=""/>
    <hyperlink ref="R9530" r:id="rId19056" location="" tooltip="" display=""/>
    <hyperlink ref="L9531" r:id="rId19057" location="" tooltip="" display=""/>
    <hyperlink ref="R9531" r:id="rId19058" location="" tooltip="" display=""/>
    <hyperlink ref="L9533" r:id="rId19059" location="" tooltip="" display=""/>
    <hyperlink ref="R9533" r:id="rId19060" location="" tooltip="" display=""/>
    <hyperlink ref="K9534" r:id="rId19061" location="" tooltip="" display=""/>
    <hyperlink ref="L9534" r:id="rId19062" location="" tooltip="" display=""/>
    <hyperlink ref="Q9534" r:id="rId19063" location="" tooltip="" display=""/>
    <hyperlink ref="R9534" r:id="rId19064" location="" tooltip="" display=""/>
    <hyperlink ref="L9535" r:id="rId19065" location="" tooltip="" display=""/>
    <hyperlink ref="R9535" r:id="rId19066" location="" tooltip="" display=""/>
    <hyperlink ref="L9536" r:id="rId19067" location="" tooltip="" display=""/>
    <hyperlink ref="R9536" r:id="rId19068" location="" tooltip="" display=""/>
    <hyperlink ref="K9538" r:id="rId19069" location="" tooltip="" display=""/>
    <hyperlink ref="L9538" r:id="rId19070" location="" tooltip="" display=""/>
    <hyperlink ref="Q9538" r:id="rId19071" location="" tooltip="" display=""/>
    <hyperlink ref="R9538" r:id="rId19072" location="" tooltip="" display=""/>
    <hyperlink ref="L9539" r:id="rId19073" location="" tooltip="" display=""/>
    <hyperlink ref="R9539" r:id="rId19074" location="" tooltip="" display=""/>
    <hyperlink ref="K9541" r:id="rId19075" location="" tooltip="" display=""/>
    <hyperlink ref="L9541" r:id="rId19076" location="" tooltip="" display=""/>
    <hyperlink ref="Q9541" r:id="rId19077" location="" tooltip="" display=""/>
    <hyperlink ref="R9541" r:id="rId19078" location="" tooltip="" display=""/>
    <hyperlink ref="L9542" r:id="rId19079" location="" tooltip="" display=""/>
    <hyperlink ref="R9542" r:id="rId19080" location="" tooltip="" display=""/>
    <hyperlink ref="K9544" r:id="rId19081" location="" tooltip="" display=""/>
    <hyperlink ref="L9544" r:id="rId19082" location="" tooltip="" display=""/>
    <hyperlink ref="Q9544" r:id="rId19083" location="" tooltip="" display=""/>
    <hyperlink ref="R9544" r:id="rId19084" location="" tooltip="" display=""/>
    <hyperlink ref="L9546" r:id="rId19085" location="" tooltip="" display=""/>
    <hyperlink ref="R9546" r:id="rId19086" location="" tooltip="" display=""/>
    <hyperlink ref="K9547" r:id="rId19087" location="" tooltip="" display=""/>
    <hyperlink ref="L9547" r:id="rId19088" location="" tooltip="" display=""/>
    <hyperlink ref="Q9547" r:id="rId19089" location="" tooltip="" display=""/>
    <hyperlink ref="R9547" r:id="rId19090" location="" tooltip="" display=""/>
    <hyperlink ref="L9548" r:id="rId19091" location="" tooltip="" display=""/>
    <hyperlink ref="R9548" r:id="rId19092" location="" tooltip="" display=""/>
    <hyperlink ref="L9549" r:id="rId19093" location="" tooltip="" display=""/>
    <hyperlink ref="R9549" r:id="rId19094" location="" tooltip="" display=""/>
    <hyperlink ref="L9551" r:id="rId19095" location="" tooltip="" display=""/>
    <hyperlink ref="R9551" r:id="rId19096" location="" tooltip="" display=""/>
    <hyperlink ref="L9552" r:id="rId19097" location="" tooltip="" display=""/>
    <hyperlink ref="R9552" r:id="rId19098" location="" tooltip="" display=""/>
    <hyperlink ref="K9553" r:id="rId19099" location="" tooltip="" display=""/>
    <hyperlink ref="L9553" r:id="rId19100" location="" tooltip="" display=""/>
    <hyperlink ref="Q9553" r:id="rId19101" location="" tooltip="" display=""/>
    <hyperlink ref="R9553" r:id="rId19102" location="" tooltip="" display=""/>
    <hyperlink ref="L9554" r:id="rId19103" location="" tooltip="" display=""/>
    <hyperlink ref="R9554" r:id="rId19104" location="" tooltip="" display=""/>
    <hyperlink ref="L9555" r:id="rId19105" location="" tooltip="" display=""/>
    <hyperlink ref="R9555" r:id="rId19106" location="" tooltip="" display=""/>
    <hyperlink ref="L9557" r:id="rId19107" location="" tooltip="" display=""/>
    <hyperlink ref="R9557" r:id="rId19108" location="" tooltip="" display=""/>
    <hyperlink ref="L9558" r:id="rId19109" location="" tooltip="" display=""/>
    <hyperlink ref="R9558" r:id="rId19110" location="" tooltip="" display=""/>
    <hyperlink ref="K9559" r:id="rId19111" location="" tooltip="" display=""/>
    <hyperlink ref="L9559" r:id="rId19112" location="" tooltip="" display=""/>
    <hyperlink ref="Q9559" r:id="rId19113" location="" tooltip="" display=""/>
    <hyperlink ref="R9559" r:id="rId19114" location="" tooltip="" display=""/>
    <hyperlink ref="L9560" r:id="rId19115" location="" tooltip="" display=""/>
    <hyperlink ref="R9560" r:id="rId19116" location="" tooltip="" display=""/>
    <hyperlink ref="L9561" r:id="rId19117" location="" tooltip="" display=""/>
    <hyperlink ref="R9561" r:id="rId19118" location="" tooltip="" display=""/>
    <hyperlink ref="L9562" r:id="rId19119" location="" tooltip="" display=""/>
    <hyperlink ref="R9562" r:id="rId19120" location="" tooltip="" display=""/>
    <hyperlink ref="K9564" r:id="rId19121" location="" tooltip="" display=""/>
    <hyperlink ref="L9564" r:id="rId19122" location="" tooltip="" display=""/>
    <hyperlink ref="Q9564" r:id="rId19123" location="" tooltip="" display=""/>
    <hyperlink ref="R9564" r:id="rId19124" location="" tooltip="" display=""/>
    <hyperlink ref="L9565" r:id="rId19125" location="" tooltip="" display=""/>
    <hyperlink ref="R9565" r:id="rId19126" location="" tooltip="" display=""/>
    <hyperlink ref="K9567" r:id="rId19127" location="" tooltip="" display=""/>
    <hyperlink ref="L9567" r:id="rId19128" location="" tooltip="" display=""/>
    <hyperlink ref="Q9567" r:id="rId19129" location="" tooltip="" display=""/>
    <hyperlink ref="R9567" r:id="rId19130" location="" tooltip="" display=""/>
    <hyperlink ref="K9569" r:id="rId19131" location="" tooltip="" display=""/>
    <hyperlink ref="L9569" r:id="rId19132" location="" tooltip="" display=""/>
    <hyperlink ref="Q9569" r:id="rId19133" location="" tooltip="" display=""/>
    <hyperlink ref="R9569" r:id="rId19134" location="" tooltip="" display=""/>
    <hyperlink ref="L9570" r:id="rId19135" location="" tooltip="" display=""/>
    <hyperlink ref="R9570" r:id="rId19136" location="" tooltip="" display=""/>
    <hyperlink ref="K9572" r:id="rId19137" location="" tooltip="" display=""/>
    <hyperlink ref="L9572" r:id="rId19138" location="" tooltip="" display=""/>
    <hyperlink ref="Q9572" r:id="rId19139" location="" tooltip="" display=""/>
    <hyperlink ref="R9572" r:id="rId19140" location="" tooltip="" display=""/>
    <hyperlink ref="K9574" r:id="rId19141" location="" tooltip="" display=""/>
    <hyperlink ref="L9574" r:id="rId19142" location="" tooltip="" display=""/>
    <hyperlink ref="Q9574" r:id="rId19143" location="" tooltip="" display=""/>
    <hyperlink ref="R9574" r:id="rId19144" location="" tooltip="" display=""/>
    <hyperlink ref="L9575" r:id="rId19145" location="" tooltip="" display=""/>
    <hyperlink ref="R9575" r:id="rId19146" location="" tooltip="" display=""/>
    <hyperlink ref="K9577" r:id="rId19147" location="" tooltip="" display=""/>
    <hyperlink ref="L9577" r:id="rId19148" location="" tooltip="" display=""/>
    <hyperlink ref="Q9577" r:id="rId19149" location="" tooltip="" display=""/>
    <hyperlink ref="R9577" r:id="rId19150" location="" tooltip="" display=""/>
    <hyperlink ref="K9579" r:id="rId19151" location="" tooltip="" display=""/>
    <hyperlink ref="L9579" r:id="rId19152" location="" tooltip="" display=""/>
    <hyperlink ref="Q9579" r:id="rId19153" location="" tooltip="" display=""/>
    <hyperlink ref="R9579" r:id="rId19154" location="" tooltip="" display=""/>
    <hyperlink ref="K9581" r:id="rId19155" location="" tooltip="" display=""/>
    <hyperlink ref="L9581" r:id="rId19156" location="" tooltip="" display=""/>
    <hyperlink ref="Q9581" r:id="rId19157" location="" tooltip="" display=""/>
    <hyperlink ref="R9581" r:id="rId19158" location="" tooltip="" display=""/>
    <hyperlink ref="L9582" r:id="rId19159" location="" tooltip="" display=""/>
    <hyperlink ref="R9582" r:id="rId19160" location="" tooltip="" display=""/>
    <hyperlink ref="K9584" r:id="rId19161" location="" tooltip="" display=""/>
    <hyperlink ref="L9584" r:id="rId19162" location="" tooltip="" display=""/>
    <hyperlink ref="Q9584" r:id="rId19163" location="" tooltip="" display=""/>
    <hyperlink ref="R9584" r:id="rId19164" location="" tooltip="" display=""/>
    <hyperlink ref="L9585" r:id="rId19165" location="" tooltip="" display=""/>
    <hyperlink ref="R9585" r:id="rId19166" location="" tooltip="" display=""/>
    <hyperlink ref="K9587" r:id="rId19167" location="" tooltip="" display=""/>
    <hyperlink ref="L9587" r:id="rId19168" location="" tooltip="" display=""/>
    <hyperlink ref="Q9587" r:id="rId19169" location="" tooltip="" display=""/>
    <hyperlink ref="R9587" r:id="rId19170" location="" tooltip="" display=""/>
    <hyperlink ref="K9589" r:id="rId19171" location="" tooltip="" display=""/>
    <hyperlink ref="L9589" r:id="rId19172" location="" tooltip="" display=""/>
    <hyperlink ref="Q9589" r:id="rId19173" location="" tooltip="" display=""/>
    <hyperlink ref="R9589" r:id="rId19174" location="" tooltip="" display=""/>
    <hyperlink ref="K9591" r:id="rId19175" location="" tooltip="" display=""/>
    <hyperlink ref="L9591" r:id="rId19176" location="" tooltip="" display=""/>
    <hyperlink ref="Q9591" r:id="rId19177" location="" tooltip="" display=""/>
    <hyperlink ref="R9591" r:id="rId19178" location="" tooltip="" display=""/>
    <hyperlink ref="L9592" r:id="rId19179" location="" tooltip="" display=""/>
    <hyperlink ref="R9592" r:id="rId19180" location="" tooltip="" display=""/>
    <hyperlink ref="K9594" r:id="rId19181" location="" tooltip="" display=""/>
    <hyperlink ref="L9594" r:id="rId19182" location="" tooltip="" display=""/>
    <hyperlink ref="Q9594" r:id="rId19183" location="" tooltip="" display=""/>
    <hyperlink ref="R9594" r:id="rId19184" location="" tooltip="" display=""/>
    <hyperlink ref="K9596" r:id="rId19185" location="" tooltip="" display=""/>
    <hyperlink ref="L9596" r:id="rId19186" location="" tooltip="" display=""/>
    <hyperlink ref="Q9596" r:id="rId19187" location="" tooltip="" display=""/>
    <hyperlink ref="R9596" r:id="rId19188" location="" tooltip="" display=""/>
    <hyperlink ref="L9597" r:id="rId19189" location="" tooltip="" display=""/>
    <hyperlink ref="R9597" r:id="rId19190" location="" tooltip="" display=""/>
    <hyperlink ref="L9599" r:id="rId19191" location="" tooltip="" display=""/>
    <hyperlink ref="R9599" r:id="rId19192" location="" tooltip="" display=""/>
    <hyperlink ref="L9600" r:id="rId19193" location="" tooltip="" display=""/>
    <hyperlink ref="R9600" r:id="rId19194" location="" tooltip="" display=""/>
    <hyperlink ref="K9601" r:id="rId19195" location="" tooltip="" display=""/>
    <hyperlink ref="L9601" r:id="rId19196" location="" tooltip="" display=""/>
    <hyperlink ref="Q9601" r:id="rId19197" location="" tooltip="" display=""/>
    <hyperlink ref="R9601" r:id="rId19198" location="" tooltip="" display=""/>
    <hyperlink ref="L9602" r:id="rId19199" location="" tooltip="" display=""/>
    <hyperlink ref="R9602" r:id="rId19200" location="" tooltip="" display=""/>
    <hyperlink ref="L9603" r:id="rId19201" location="" tooltip="" display=""/>
    <hyperlink ref="R9603" r:id="rId19202" location="" tooltip="" display=""/>
    <hyperlink ref="K9605" r:id="rId19203" location="" tooltip="" display=""/>
    <hyperlink ref="L9605" r:id="rId19204" location="" tooltip="" display=""/>
    <hyperlink ref="Q9605" r:id="rId19205" location="" tooltip="" display=""/>
    <hyperlink ref="R9605" r:id="rId19206" location="" tooltip="" display=""/>
    <hyperlink ref="L9606" r:id="rId19207" location="" tooltip="" display=""/>
    <hyperlink ref="R9606" r:id="rId19208" location="" tooltip="" display=""/>
    <hyperlink ref="K9608" r:id="rId19209" location="" tooltip="" display=""/>
    <hyperlink ref="L9608" r:id="rId19210" location="" tooltip="" display=""/>
    <hyperlink ref="Q9608" r:id="rId19211" location="" tooltip="" display=""/>
    <hyperlink ref="R9608" r:id="rId19212" location="" tooltip="" display=""/>
    <hyperlink ref="K9610" r:id="rId19213" location="" tooltip="" display=""/>
    <hyperlink ref="L9610" r:id="rId19214" location="" tooltip="" display=""/>
    <hyperlink ref="Q9610" r:id="rId19215" location="" tooltip="" display=""/>
    <hyperlink ref="R9610" r:id="rId19216" location="" tooltip="" display=""/>
    <hyperlink ref="K9612" r:id="rId19217" location="" tooltip="" display=""/>
    <hyperlink ref="L9612" r:id="rId19218" location="" tooltip="" display=""/>
    <hyperlink ref="Q9612" r:id="rId19219" location="" tooltip="" display=""/>
    <hyperlink ref="R9612" r:id="rId19220" location="" tooltip="" display=""/>
    <hyperlink ref="L9613" r:id="rId19221" location="" tooltip="" display=""/>
    <hyperlink ref="R9613" r:id="rId19222" location="" tooltip="" display=""/>
    <hyperlink ref="K9615" r:id="rId19223" location="" tooltip="" display=""/>
    <hyperlink ref="L9615" r:id="rId19224" location="" tooltip="" display=""/>
    <hyperlink ref="Q9615" r:id="rId19225" location="" tooltip="" display=""/>
    <hyperlink ref="R9615" r:id="rId19226" location="" tooltip="" display=""/>
    <hyperlink ref="K9617" r:id="rId19227" location="" tooltip="" display=""/>
    <hyperlink ref="L9617" r:id="rId19228" location="" tooltip="" display=""/>
    <hyperlink ref="Q9617" r:id="rId19229" location="" tooltip="" display=""/>
    <hyperlink ref="R9617" r:id="rId19230" location="" tooltip="" display=""/>
    <hyperlink ref="L9618" r:id="rId19231" location="" tooltip="" display=""/>
    <hyperlink ref="R9618" r:id="rId19232" location="" tooltip="" display=""/>
    <hyperlink ref="K9620" r:id="rId19233" location="" tooltip="" display=""/>
    <hyperlink ref="L9620" r:id="rId19234" location="" tooltip="" display=""/>
    <hyperlink ref="Q9620" r:id="rId19235" location="" tooltip="" display=""/>
    <hyperlink ref="R9620" r:id="rId19236" location="" tooltip="" display=""/>
    <hyperlink ref="L9621" r:id="rId19237" location="" tooltip="" display=""/>
    <hyperlink ref="R9621" r:id="rId19238" location="" tooltip="" display=""/>
    <hyperlink ref="K9623" r:id="rId19239" location="" tooltip="" display=""/>
    <hyperlink ref="L9623" r:id="rId19240" location="" tooltip="" display=""/>
    <hyperlink ref="Q9623" r:id="rId19241" location="" tooltip="" display=""/>
    <hyperlink ref="R9623" r:id="rId19242" location="" tooltip="" display=""/>
    <hyperlink ref="L9624" r:id="rId19243" location="" tooltip="" display=""/>
    <hyperlink ref="R9624" r:id="rId19244" location="" tooltip="" display=""/>
    <hyperlink ref="K9626" r:id="rId19245" location="" tooltip="" display=""/>
    <hyperlink ref="L9626" r:id="rId19246" location="" tooltip="" display=""/>
    <hyperlink ref="Q9626" r:id="rId19247" location="" tooltip="" display=""/>
    <hyperlink ref="R9626" r:id="rId19248" location="" tooltip="" display=""/>
    <hyperlink ref="L9627" r:id="rId19249" location="" tooltip="" display=""/>
    <hyperlink ref="R9627" r:id="rId19250" location="" tooltip="" display=""/>
    <hyperlink ref="K9629" r:id="rId19251" location="" tooltip="" display=""/>
    <hyperlink ref="L9629" r:id="rId19252" location="" tooltip="" display=""/>
    <hyperlink ref="Q9629" r:id="rId19253" location="" tooltip="" display=""/>
    <hyperlink ref="R9629" r:id="rId19254" location="" tooltip="" display=""/>
    <hyperlink ref="L9630" r:id="rId19255" location="" tooltip="" display=""/>
    <hyperlink ref="R9630" r:id="rId19256" location="" tooltip="" display=""/>
    <hyperlink ref="K9632" r:id="rId19257" location="" tooltip="" display=""/>
    <hyperlink ref="L9632" r:id="rId19258" location="" tooltip="" display=""/>
    <hyperlink ref="Q9632" r:id="rId19259" location="" tooltip="" display=""/>
    <hyperlink ref="R9632" r:id="rId19260" location="" tooltip="" display=""/>
    <hyperlink ref="L9633" r:id="rId19261" location="" tooltip="" display=""/>
    <hyperlink ref="R9633" r:id="rId19262" location="" tooltip="" display=""/>
    <hyperlink ref="K9635" r:id="rId19263" location="" tooltip="" display=""/>
    <hyperlink ref="L9635" r:id="rId19264" location="" tooltip="" display=""/>
    <hyperlink ref="Q9635" r:id="rId19265" location="" tooltip="" display=""/>
    <hyperlink ref="R9635" r:id="rId19266" location="" tooltip="" display=""/>
    <hyperlink ref="L9636" r:id="rId19267" location="" tooltip="" display=""/>
    <hyperlink ref="R9636" r:id="rId19268" location="" tooltip="" display=""/>
    <hyperlink ref="K9638" r:id="rId19269" location="" tooltip="" display=""/>
    <hyperlink ref="L9638" r:id="rId19270" location="" tooltip="" display=""/>
    <hyperlink ref="Q9638" r:id="rId19271" location="" tooltip="" display=""/>
    <hyperlink ref="R9638" r:id="rId19272" location="" tooltip="" display=""/>
    <hyperlink ref="L9639" r:id="rId19273" location="" tooltip="" display=""/>
    <hyperlink ref="R9639" r:id="rId19274" location="" tooltip="" display=""/>
    <hyperlink ref="K9641" r:id="rId19275" location="" tooltip="" display=""/>
    <hyperlink ref="L9641" r:id="rId19276" location="" tooltip="" display=""/>
    <hyperlink ref="Q9641" r:id="rId19277" location="" tooltip="" display=""/>
    <hyperlink ref="R9641" r:id="rId19278" location="" tooltip="" display=""/>
    <hyperlink ref="L9642" r:id="rId19279" location="" tooltip="" display=""/>
    <hyperlink ref="R9642" r:id="rId19280" location="" tooltip="" display=""/>
    <hyperlink ref="K9644" r:id="rId19281" location="" tooltip="" display=""/>
    <hyperlink ref="L9644" r:id="rId19282" location="" tooltip="" display=""/>
    <hyperlink ref="Q9644" r:id="rId19283" location="" tooltip="" display=""/>
    <hyperlink ref="R9644" r:id="rId19284" location="" tooltip="" display=""/>
    <hyperlink ref="L9645" r:id="rId19285" location="" tooltip="" display=""/>
    <hyperlink ref="R9645" r:id="rId19286" location="" tooltip="" display=""/>
    <hyperlink ref="K9647" r:id="rId19287" location="" tooltip="" display=""/>
    <hyperlink ref="L9647" r:id="rId19288" location="" tooltip="" display=""/>
    <hyperlink ref="Q9647" r:id="rId19289" location="" tooltip="" display=""/>
    <hyperlink ref="R9647" r:id="rId19290" location="" tooltip="" display=""/>
    <hyperlink ref="L9648" r:id="rId19291" location="" tooltip="" display=""/>
    <hyperlink ref="R9648" r:id="rId19292" location="" tooltip="" display=""/>
    <hyperlink ref="K9650" r:id="rId19293" location="" tooltip="" display=""/>
    <hyperlink ref="L9650" r:id="rId19294" location="" tooltip="" display=""/>
    <hyperlink ref="Q9650" r:id="rId19295" location="" tooltip="" display=""/>
    <hyperlink ref="R9650" r:id="rId19296" location="" tooltip="" display=""/>
    <hyperlink ref="L9651" r:id="rId19297" location="" tooltip="" display=""/>
    <hyperlink ref="R9651" r:id="rId19298" location="" tooltip="" display=""/>
    <hyperlink ref="K9653" r:id="rId19299" location="" tooltip="" display=""/>
    <hyperlink ref="L9653" r:id="rId19300" location="" tooltip="" display=""/>
    <hyperlink ref="Q9653" r:id="rId19301" location="" tooltip="" display=""/>
    <hyperlink ref="R9653" r:id="rId19302" location="" tooltip="" display=""/>
    <hyperlink ref="L9654" r:id="rId19303" location="" tooltip="" display=""/>
    <hyperlink ref="R9654" r:id="rId19304" location="" tooltip="" display=""/>
    <hyperlink ref="L9656" r:id="rId19305" location="" tooltip="" display=""/>
    <hyperlink ref="R9656" r:id="rId19306" location="" tooltip="" display=""/>
    <hyperlink ref="K9657" r:id="rId19307" location="" tooltip="" display=""/>
    <hyperlink ref="L9657" r:id="rId19308" location="" tooltip="" display=""/>
    <hyperlink ref="Q9657" r:id="rId19309" location="" tooltip="" display=""/>
    <hyperlink ref="R9657" r:id="rId19310" location="" tooltip="" display=""/>
    <hyperlink ref="L9658" r:id="rId19311" location="" tooltip="" display=""/>
    <hyperlink ref="R9658" r:id="rId19312" location="" tooltip="" display=""/>
    <hyperlink ref="L9660" r:id="rId19313" location="" tooltip="" display=""/>
    <hyperlink ref="R9660" r:id="rId19314" location="" tooltip="" display=""/>
    <hyperlink ref="L9661" r:id="rId19315" location="" tooltip="" display=""/>
    <hyperlink ref="R9661" r:id="rId19316" location="" tooltip="" display=""/>
    <hyperlink ref="K9662" r:id="rId19317" location="" tooltip="" display=""/>
    <hyperlink ref="L9662" r:id="rId19318" location="" tooltip="" display=""/>
    <hyperlink ref="Q9662" r:id="rId19319" location="" tooltip="" display=""/>
    <hyperlink ref="R9662" r:id="rId19320" location="" tooltip="" display=""/>
    <hyperlink ref="L9663" r:id="rId19321" location="" tooltip="" display=""/>
    <hyperlink ref="R9663" r:id="rId19322" location="" tooltip="" display=""/>
    <hyperlink ref="L9664" r:id="rId19323" location="" tooltip="" display=""/>
    <hyperlink ref="R9664" r:id="rId19324" location="" tooltip="" display=""/>
    <hyperlink ref="L9666" r:id="rId19325" location="" tooltip="" display=""/>
    <hyperlink ref="R9666" r:id="rId19326" location="" tooltip="" display=""/>
    <hyperlink ref="K9667" r:id="rId19327" location="" tooltip="" display=""/>
    <hyperlink ref="L9667" r:id="rId19328" location="" tooltip="" display=""/>
    <hyperlink ref="Q9667" r:id="rId19329" location="" tooltip="" display=""/>
    <hyperlink ref="R9667" r:id="rId19330" location="" tooltip="" display=""/>
    <hyperlink ref="L9668" r:id="rId19331" location="" tooltip="" display=""/>
    <hyperlink ref="R9668" r:id="rId19332" location="" tooltip="" display=""/>
    <hyperlink ref="L9670" r:id="rId19333" location="" tooltip="" display=""/>
    <hyperlink ref="R9670" r:id="rId19334" location="" tooltip="" display=""/>
    <hyperlink ref="L9671" r:id="rId19335" location="" tooltip="" display=""/>
    <hyperlink ref="R9671" r:id="rId19336" location="" tooltip="" display=""/>
    <hyperlink ref="L9672" r:id="rId19337" location="" tooltip="" display=""/>
    <hyperlink ref="R9672" r:id="rId19338" location="" tooltip="" display=""/>
    <hyperlink ref="K9673" r:id="rId19339" location="" tooltip="" display=""/>
    <hyperlink ref="L9673" r:id="rId19340" location="" tooltip="" display=""/>
    <hyperlink ref="Q9673" r:id="rId19341" location="" tooltip="" display=""/>
    <hyperlink ref="R9673" r:id="rId19342" location="" tooltip="" display=""/>
    <hyperlink ref="L9674" r:id="rId19343" location="" tooltip="" display=""/>
    <hyperlink ref="R9674" r:id="rId19344" location="" tooltip="" display=""/>
    <hyperlink ref="L9675" r:id="rId19345" location="" tooltip="" display=""/>
    <hyperlink ref="R9675" r:id="rId19346" location="" tooltip="" display=""/>
    <hyperlink ref="L9676" r:id="rId19347" location="" tooltip="" display=""/>
    <hyperlink ref="R9676" r:id="rId19348" location="" tooltip="" display=""/>
    <hyperlink ref="L9677" r:id="rId19349" location="" tooltip="" display=""/>
    <hyperlink ref="R9677" r:id="rId19350" location="" tooltip="" display=""/>
    <hyperlink ref="L9679" r:id="rId19351" location="" tooltip="" display=""/>
    <hyperlink ref="R9679" r:id="rId19352" location="" tooltip="" display=""/>
    <hyperlink ref="L9680" r:id="rId19353" location="" tooltip="" display=""/>
    <hyperlink ref="R9680" r:id="rId19354" location="" tooltip="" display=""/>
    <hyperlink ref="K9681" r:id="rId19355" location="" tooltip="" display=""/>
    <hyperlink ref="L9681" r:id="rId19356" location="" tooltip="" display=""/>
    <hyperlink ref="Q9681" r:id="rId19357" location="" tooltip="" display=""/>
    <hyperlink ref="R9681" r:id="rId19358" location="" tooltip="" display=""/>
    <hyperlink ref="L9682" r:id="rId19359" location="" tooltip="" display=""/>
    <hyperlink ref="R9682" r:id="rId19360" location="" tooltip="" display=""/>
    <hyperlink ref="L9683" r:id="rId19361" location="" tooltip="" display=""/>
    <hyperlink ref="R9683" r:id="rId19362" location="" tooltip="" display=""/>
    <hyperlink ref="K9685" r:id="rId19363" location="" tooltip="" display=""/>
    <hyperlink ref="L9685" r:id="rId19364" location="" tooltip="" display=""/>
    <hyperlink ref="Q9685" r:id="rId19365" location="" tooltip="" display=""/>
    <hyperlink ref="R9685" r:id="rId19366" location="" tooltip="" display=""/>
    <hyperlink ref="L9687" r:id="rId19367" location="" tooltip="" display=""/>
    <hyperlink ref="R9687" r:id="rId19368" location="" tooltip="" display=""/>
    <hyperlink ref="L9688" r:id="rId19369" location="" tooltip="" display=""/>
    <hyperlink ref="R9688" r:id="rId19370" location="" tooltip="" display=""/>
    <hyperlink ref="K9689" r:id="rId19371" location="" tooltip="" display=""/>
    <hyperlink ref="L9689" r:id="rId19372" location="" tooltip="" display=""/>
    <hyperlink ref="Q9689" r:id="rId19373" location="" tooltip="" display=""/>
    <hyperlink ref="R9689" r:id="rId19374" location="" tooltip="" display=""/>
    <hyperlink ref="L9690" r:id="rId19375" location="" tooltip="" display=""/>
    <hyperlink ref="R9690" r:id="rId19376" location="" tooltip="" display=""/>
    <hyperlink ref="L9691" r:id="rId19377" location="" tooltip="" display=""/>
    <hyperlink ref="R9691" r:id="rId19378" location="" tooltip="" display=""/>
    <hyperlink ref="L9693" r:id="rId19379" location="" tooltip="" display=""/>
    <hyperlink ref="R9693" r:id="rId19380" location="" tooltip="" display=""/>
    <hyperlink ref="L9694" r:id="rId19381" location="" tooltip="" display=""/>
    <hyperlink ref="R9694" r:id="rId19382" location="" tooltip="" display=""/>
    <hyperlink ref="K9695" r:id="rId19383" location="" tooltip="" display=""/>
    <hyperlink ref="L9695" r:id="rId19384" location="" tooltip="" display=""/>
    <hyperlink ref="Q9695" r:id="rId19385" location="" tooltip="" display=""/>
    <hyperlink ref="R9695" r:id="rId19386" location="" tooltip="" display=""/>
    <hyperlink ref="L9696" r:id="rId19387" location="" tooltip="" display=""/>
    <hyperlink ref="R9696" r:id="rId19388" location="" tooltip="" display=""/>
    <hyperlink ref="L9697" r:id="rId19389" location="" tooltip="" display=""/>
    <hyperlink ref="R9697" r:id="rId19390" location="" tooltip="" display=""/>
    <hyperlink ref="L9698" r:id="rId19391" location="" tooltip="" display=""/>
    <hyperlink ref="R9698" r:id="rId19392" location="" tooltip="" display=""/>
    <hyperlink ref="K9700" r:id="rId19393" location="" tooltip="" display=""/>
    <hyperlink ref="L9700" r:id="rId19394" location="" tooltip="" display=""/>
    <hyperlink ref="Q9700" r:id="rId19395" location="" tooltip="" display=""/>
    <hyperlink ref="R9700" r:id="rId19396" location="" tooltip="" display=""/>
    <hyperlink ref="L9701" r:id="rId19397" location="" tooltip="" display=""/>
    <hyperlink ref="R9701" r:id="rId19398" location="" tooltip="" display=""/>
    <hyperlink ref="K9703" r:id="rId19399" location="" tooltip="" display=""/>
    <hyperlink ref="L9703" r:id="rId19400" location="" tooltip="" display=""/>
    <hyperlink ref="Q9703" r:id="rId19401" location="" tooltip="" display=""/>
    <hyperlink ref="R9703" r:id="rId19402" location="" tooltip="" display=""/>
    <hyperlink ref="L9705" r:id="rId19403" location="" tooltip="" display=""/>
    <hyperlink ref="R9705" r:id="rId19404" location="" tooltip="" display=""/>
    <hyperlink ref="L9706" r:id="rId19405" location="" tooltip="" display=""/>
    <hyperlink ref="R9706" r:id="rId19406" location="" tooltip="" display=""/>
    <hyperlink ref="K9707" r:id="rId19407" location="" tooltip="" display=""/>
    <hyperlink ref="L9707" r:id="rId19408" location="" tooltip="" display=""/>
    <hyperlink ref="Q9707" r:id="rId19409" location="" tooltip="" display=""/>
    <hyperlink ref="R9707" r:id="rId19410" location="" tooltip="" display=""/>
    <hyperlink ref="L9708" r:id="rId19411" location="" tooltip="" display=""/>
    <hyperlink ref="R9708" r:id="rId19412" location="" tooltip="" display=""/>
    <hyperlink ref="L9709" r:id="rId19413" location="" tooltip="" display=""/>
    <hyperlink ref="R9709" r:id="rId19414" location="" tooltip="" display=""/>
    <hyperlink ref="L9710" r:id="rId19415" location="" tooltip="" display=""/>
    <hyperlink ref="R9710" r:id="rId19416" location="" tooltip="" display=""/>
    <hyperlink ref="K9712" r:id="rId19417" location="" tooltip="" display=""/>
    <hyperlink ref="L9712" r:id="rId19418" location="" tooltip="" display=""/>
    <hyperlink ref="Q9712" r:id="rId19419" location="" tooltip="" display=""/>
    <hyperlink ref="R9712" r:id="rId19420" location="" tooltip="" display=""/>
    <hyperlink ref="L9714" r:id="rId19421" location="" tooltip="" display=""/>
    <hyperlink ref="R9714" r:id="rId19422" location="" tooltip="" display=""/>
    <hyperlink ref="K9715" r:id="rId19423" location="" tooltip="" display=""/>
    <hyperlink ref="L9715" r:id="rId19424" location="" tooltip="" display=""/>
    <hyperlink ref="Q9715" r:id="rId19425" location="" tooltip="" display=""/>
    <hyperlink ref="R9715" r:id="rId19426" location="" tooltip="" display=""/>
    <hyperlink ref="L9716" r:id="rId19427" location="" tooltip="" display=""/>
    <hyperlink ref="R9716" r:id="rId19428" location="" tooltip="" display=""/>
    <hyperlink ref="L9717" r:id="rId19429" location="" tooltip="" display=""/>
    <hyperlink ref="R9717" r:id="rId19430" location="" tooltip="" display=""/>
    <hyperlink ref="L9719" r:id="rId19431" location="" tooltip="" display=""/>
    <hyperlink ref="R9719" r:id="rId19432" location="" tooltip="" display=""/>
    <hyperlink ref="K9720" r:id="rId19433" location="" tooltip="" display=""/>
    <hyperlink ref="L9720" r:id="rId19434" location="" tooltip="" display=""/>
    <hyperlink ref="Q9720" r:id="rId19435" location="" tooltip="" display=""/>
    <hyperlink ref="R9720" r:id="rId19436" location="" tooltip="" display=""/>
    <hyperlink ref="L9721" r:id="rId19437" location="" tooltip="" display=""/>
    <hyperlink ref="R9721" r:id="rId19438" location="" tooltip="" display=""/>
    <hyperlink ref="L9722" r:id="rId19439" location="" tooltip="" display=""/>
    <hyperlink ref="R9722" r:id="rId19440" location="" tooltip="" display=""/>
    <hyperlink ref="L9724" r:id="rId19441" location="" tooltip="" display=""/>
    <hyperlink ref="R9724" r:id="rId19442" location="" tooltip="" display=""/>
    <hyperlink ref="K9725" r:id="rId19443" location="" tooltip="" display=""/>
    <hyperlink ref="L9725" r:id="rId19444" location="" tooltip="" display=""/>
    <hyperlink ref="Q9725" r:id="rId19445" location="" tooltip="" display=""/>
    <hyperlink ref="R9725" r:id="rId19446" location="" tooltip="" display=""/>
    <hyperlink ref="L9726" r:id="rId19447" location="" tooltip="" display=""/>
    <hyperlink ref="R9726" r:id="rId19448" location="" tooltip="" display=""/>
    <hyperlink ref="K9728" r:id="rId19449" location="" tooltip="" display=""/>
    <hyperlink ref="L9728" r:id="rId19450" location="" tooltip="" display=""/>
    <hyperlink ref="Q9728" r:id="rId19451" location="" tooltip="" display=""/>
    <hyperlink ref="R9728" r:id="rId19452" location="" tooltip="" display=""/>
    <hyperlink ref="L9729" r:id="rId19453" location="" tooltip="" display=""/>
    <hyperlink ref="R9729" r:id="rId19454" location="" tooltip="" display=""/>
    <hyperlink ref="K9731" r:id="rId19455" location="" tooltip="" display=""/>
    <hyperlink ref="L9731" r:id="rId19456" location="" tooltip="" display=""/>
    <hyperlink ref="Q9731" r:id="rId19457" location="" tooltip="" display=""/>
    <hyperlink ref="R9731" r:id="rId19458" location="" tooltip="" display=""/>
    <hyperlink ref="L9732" r:id="rId19459" location="" tooltip="" display=""/>
    <hyperlink ref="R9732" r:id="rId19460" location="" tooltip="" display=""/>
    <hyperlink ref="L9734" r:id="rId19461" location="" tooltip="" display=""/>
    <hyperlink ref="R9734" r:id="rId19462" location="" tooltip="" display=""/>
    <hyperlink ref="K9735" r:id="rId19463" location="" tooltip="" display=""/>
    <hyperlink ref="L9735" r:id="rId19464" location="" tooltip="" display=""/>
    <hyperlink ref="Q9735" r:id="rId19465" location="" tooltip="" display=""/>
    <hyperlink ref="R9735" r:id="rId19466" location="" tooltip="" display=""/>
    <hyperlink ref="L9736" r:id="rId19467" location="" tooltip="" display=""/>
    <hyperlink ref="R9736" r:id="rId19468" location="" tooltip="" display=""/>
    <hyperlink ref="L9737" r:id="rId19469" location="" tooltip="" display=""/>
    <hyperlink ref="R9737" r:id="rId19470" location="" tooltip="" display=""/>
    <hyperlink ref="K9739" r:id="rId19471" location="" tooltip="" display=""/>
    <hyperlink ref="L9739" r:id="rId19472" location="" tooltip="" display=""/>
    <hyperlink ref="Q9739" r:id="rId19473" location="" tooltip="" display=""/>
    <hyperlink ref="R9739" r:id="rId19474" location="" tooltip="" display=""/>
    <hyperlink ref="L9740" r:id="rId19475" location="" tooltip="" display=""/>
    <hyperlink ref="R9740" r:id="rId19476" location="" tooltip="" display=""/>
    <hyperlink ref="K9742" r:id="rId19477" location="" tooltip="" display=""/>
    <hyperlink ref="L9742" r:id="rId19478" location="" tooltip="" display=""/>
    <hyperlink ref="Q9742" r:id="rId19479" location="" tooltip="" display=""/>
    <hyperlink ref="R9742" r:id="rId19480" location="" tooltip="" display=""/>
    <hyperlink ref="L9743" r:id="rId19481" location="" tooltip="" display=""/>
    <hyperlink ref="R9743" r:id="rId19482" location="" tooltip="" display=""/>
    <hyperlink ref="K9745" r:id="rId19483" location="" tooltip="" display=""/>
    <hyperlink ref="L9745" r:id="rId19484" location="" tooltip="" display=""/>
    <hyperlink ref="Q9745" r:id="rId19485" location="" tooltip="" display=""/>
    <hyperlink ref="R9745" r:id="rId19486" location="" tooltip="" display=""/>
    <hyperlink ref="L9746" r:id="rId19487" location="" tooltip="" display=""/>
    <hyperlink ref="R9746" r:id="rId19488" location="" tooltip="" display=""/>
    <hyperlink ref="K9748" r:id="rId19489" location="" tooltip="" display=""/>
    <hyperlink ref="L9748" r:id="rId19490" location="" tooltip="" display=""/>
    <hyperlink ref="Q9748" r:id="rId19491" location="" tooltip="" display=""/>
    <hyperlink ref="R9748" r:id="rId19492" location="" tooltip="" display=""/>
    <hyperlink ref="L9749" r:id="rId19493" location="" tooltip="" display=""/>
    <hyperlink ref="R9749" r:id="rId19494" location="" tooltip="" display=""/>
    <hyperlink ref="K9751" r:id="rId19495" location="" tooltip="" display=""/>
    <hyperlink ref="L9751" r:id="rId19496" location="" tooltip="" display=""/>
    <hyperlink ref="Q9751" r:id="rId19497" location="" tooltip="" display=""/>
    <hyperlink ref="R9751" r:id="rId19498" location="" tooltip="" display=""/>
    <hyperlink ref="L9752" r:id="rId19499" location="" tooltip="" display=""/>
    <hyperlink ref="R9752" r:id="rId19500" location="" tooltip="" display=""/>
    <hyperlink ref="K9754" r:id="rId19501" location="" tooltip="" display=""/>
    <hyperlink ref="L9754" r:id="rId19502" location="" tooltip="" display=""/>
    <hyperlink ref="Q9754" r:id="rId19503" location="" tooltip="" display=""/>
    <hyperlink ref="R9754" r:id="rId19504" location="" tooltip="" display=""/>
    <hyperlink ref="L9755" r:id="rId19505" location="" tooltip="" display=""/>
    <hyperlink ref="R9755" r:id="rId19506" location="" tooltip="" display=""/>
    <hyperlink ref="L9757" r:id="rId19507" location="" tooltip="" display=""/>
    <hyperlink ref="R9757" r:id="rId19508" location="" tooltip="" display=""/>
    <hyperlink ref="L9758" r:id="rId19509" location="" tooltip="" display=""/>
    <hyperlink ref="R9758" r:id="rId19510" location="" tooltip="" display=""/>
    <hyperlink ref="K9759" r:id="rId19511" location="" tooltip="" display=""/>
    <hyperlink ref="L9759" r:id="rId19512" location="" tooltip="" display=""/>
    <hyperlink ref="Q9759" r:id="rId19513" location="" tooltip="" display=""/>
    <hyperlink ref="R9759" r:id="rId19514" location="" tooltip="" display=""/>
    <hyperlink ref="L9760" r:id="rId19515" location="" tooltip="" display=""/>
    <hyperlink ref="R9760" r:id="rId19516" location="" tooltip="" display=""/>
    <hyperlink ref="L9761" r:id="rId19517" location="" tooltip="" display=""/>
    <hyperlink ref="R9761" r:id="rId19518" location="" tooltip="" display=""/>
    <hyperlink ref="K9763" r:id="rId19519" location="" tooltip="" display=""/>
    <hyperlink ref="L9763" r:id="rId19520" location="" tooltip="" display=""/>
    <hyperlink ref="Q9763" r:id="rId19521" location="" tooltip="" display=""/>
    <hyperlink ref="R9763" r:id="rId19522" location="" tooltip="" display=""/>
    <hyperlink ref="L9764" r:id="rId19523" location="" tooltip="" display=""/>
    <hyperlink ref="R9764" r:id="rId19524" location="" tooltip="" display=""/>
    <hyperlink ref="K9766" r:id="rId19525" location="" tooltip="" display=""/>
    <hyperlink ref="L9766" r:id="rId19526" location="" tooltip="" display=""/>
    <hyperlink ref="Q9766" r:id="rId19527" location="" tooltip="" display=""/>
    <hyperlink ref="R9766" r:id="rId19528" location="" tooltip="" display=""/>
    <hyperlink ref="L9768" r:id="rId19529" location="" tooltip="" display=""/>
    <hyperlink ref="R9768" r:id="rId19530" location="" tooltip="" display=""/>
    <hyperlink ref="K9769" r:id="rId19531" location="" tooltip="" display=""/>
    <hyperlink ref="L9769" r:id="rId19532" location="" tooltip="" display=""/>
    <hyperlink ref="Q9769" r:id="rId19533" location="" tooltip="" display=""/>
    <hyperlink ref="R9769" r:id="rId19534" location="" tooltip="" display=""/>
    <hyperlink ref="L9770" r:id="rId19535" location="" tooltip="" display=""/>
    <hyperlink ref="R9770" r:id="rId19536" location="" tooltip="" display=""/>
    <hyperlink ref="L9771" r:id="rId19537" location="" tooltip="" display=""/>
    <hyperlink ref="R9771" r:id="rId19538" location="" tooltip="" display=""/>
    <hyperlink ref="K9773" r:id="rId19539" location="" tooltip="" display=""/>
    <hyperlink ref="L9773" r:id="rId19540" location="" tooltip="" display=""/>
    <hyperlink ref="Q9773" r:id="rId19541" location="" tooltip="" display=""/>
    <hyperlink ref="R9773" r:id="rId19542" location="" tooltip="" display=""/>
    <hyperlink ref="L9774" r:id="rId19543" location="" tooltip="" display=""/>
    <hyperlink ref="R9774" r:id="rId19544" location="" tooltip="" display=""/>
    <hyperlink ref="K9776" r:id="rId19545" location="" tooltip="" display=""/>
    <hyperlink ref="L9776" r:id="rId19546" location="" tooltip="" display=""/>
    <hyperlink ref="Q9776" r:id="rId19547" location="" tooltip="" display=""/>
    <hyperlink ref="R9776" r:id="rId19548" location="" tooltip="" display=""/>
    <hyperlink ref="L9777" r:id="rId19549" location="" tooltip="" display=""/>
    <hyperlink ref="R9777" r:id="rId19550" location="" tooltip="" display=""/>
    <hyperlink ref="K9779" r:id="rId19551" location="" tooltip="" display=""/>
    <hyperlink ref="L9779" r:id="rId19552" location="" tooltip="" display=""/>
    <hyperlink ref="Q9779" r:id="rId19553" location="" tooltip="" display=""/>
    <hyperlink ref="R9779" r:id="rId19554" location="" tooltip="" display=""/>
    <hyperlink ref="K9781" r:id="rId19555" location="" tooltip="" display=""/>
    <hyperlink ref="L9781" r:id="rId19556" location="" tooltip="" display=""/>
    <hyperlink ref="Q9781" r:id="rId19557" location="" tooltip="" display=""/>
    <hyperlink ref="R9781" r:id="rId19558" location="" tooltip="" display=""/>
    <hyperlink ref="K9783" r:id="rId19559" location="" tooltip="" display=""/>
    <hyperlink ref="L9783" r:id="rId19560" location="" tooltip="" display=""/>
    <hyperlink ref="Q9783" r:id="rId19561" location="" tooltip="" display=""/>
    <hyperlink ref="R9783" r:id="rId19562" location="" tooltip="" display=""/>
    <hyperlink ref="K9785" r:id="rId19563" location="" tooltip="" display=""/>
    <hyperlink ref="L9785" r:id="rId19564" location="" tooltip="" display=""/>
    <hyperlink ref="Q9785" r:id="rId19565" location="" tooltip="" display=""/>
    <hyperlink ref="R9785" r:id="rId19566" location="" tooltip="" display=""/>
    <hyperlink ref="L9786" r:id="rId19567" location="" tooltip="" display=""/>
    <hyperlink ref="R9786" r:id="rId19568" location="" tooltip="" display=""/>
    <hyperlink ref="L9788" r:id="rId19569" location="" tooltip="" display=""/>
    <hyperlink ref="R9788" r:id="rId19570" location="" tooltip="" display=""/>
    <hyperlink ref="K9789" r:id="rId19571" location="" tooltip="" display=""/>
    <hyperlink ref="L9789" r:id="rId19572" location="" tooltip="" display=""/>
    <hyperlink ref="Q9789" r:id="rId19573" location="" tooltip="" display=""/>
    <hyperlink ref="R9789" r:id="rId19574" location="" tooltip="" display=""/>
    <hyperlink ref="L9790" r:id="rId19575" location="" tooltip="" display=""/>
    <hyperlink ref="R9790" r:id="rId19576" location="" tooltip="" display=""/>
    <hyperlink ref="L9791" r:id="rId19577" location="" tooltip="" display=""/>
    <hyperlink ref="R9791" r:id="rId19578" location="" tooltip="" display=""/>
    <hyperlink ref="K9793" r:id="rId19579" location="" tooltip="" display=""/>
    <hyperlink ref="L9793" r:id="rId19580" location="" tooltip="" display=""/>
    <hyperlink ref="Q9793" r:id="rId19581" location="" tooltip="" display=""/>
    <hyperlink ref="R9793" r:id="rId19582" location="" tooltip="" display=""/>
    <hyperlink ref="L9794" r:id="rId19583" location="" tooltip="" display=""/>
    <hyperlink ref="R9794" r:id="rId19584" location="" tooltip="" display=""/>
    <hyperlink ref="L9796" r:id="rId19585" location="" tooltip="" display=""/>
    <hyperlink ref="R9796" r:id="rId19586" location="" tooltip="" display=""/>
    <hyperlink ref="K9797" r:id="rId19587" location="" tooltip="" display=""/>
    <hyperlink ref="L9797" r:id="rId19588" location="" tooltip="" display=""/>
    <hyperlink ref="Q9797" r:id="rId19589" location="" tooltip="" display=""/>
    <hyperlink ref="R9797" r:id="rId19590" location="" tooltip="" display=""/>
    <hyperlink ref="L9798" r:id="rId19591" location="" tooltip="" display=""/>
    <hyperlink ref="R9798" r:id="rId19592" location="" tooltip="" display=""/>
    <hyperlink ref="K9800" r:id="rId19593" location="" tooltip="" display=""/>
    <hyperlink ref="L9800" r:id="rId19594" location="" tooltip="" display=""/>
    <hyperlink ref="Q9800" r:id="rId19595" location="" tooltip="" display=""/>
    <hyperlink ref="R9800" r:id="rId19596" location="" tooltip="" display=""/>
    <hyperlink ref="L9801" r:id="rId19597" location="" tooltip="" display=""/>
    <hyperlink ref="R9801" r:id="rId19598" location="" tooltip="" display=""/>
    <hyperlink ref="K9803" r:id="rId19599" location="" tooltip="" display=""/>
    <hyperlink ref="L9803" r:id="rId19600" location="" tooltip="" display=""/>
    <hyperlink ref="Q9803" r:id="rId19601" location="" tooltip="" display=""/>
    <hyperlink ref="R9803" r:id="rId19602" location="" tooltip="" display=""/>
    <hyperlink ref="L9804" r:id="rId19603" location="" tooltip="" display=""/>
    <hyperlink ref="R9804" r:id="rId19604" location="" tooltip="" display=""/>
    <hyperlink ref="L9806" r:id="rId19605" location="" tooltip="" display=""/>
    <hyperlink ref="R9806" r:id="rId19606" location="" tooltip="" display=""/>
    <hyperlink ref="K9807" r:id="rId19607" location="" tooltip="" display=""/>
    <hyperlink ref="L9807" r:id="rId19608" location="" tooltip="" display=""/>
    <hyperlink ref="Q9807" r:id="rId19609" location="" tooltip="" display=""/>
    <hyperlink ref="R9807" r:id="rId19610" location="" tooltip="" display=""/>
    <hyperlink ref="L9808" r:id="rId19611" location="" tooltip="" display=""/>
    <hyperlink ref="R9808" r:id="rId19612" location="" tooltip="" display=""/>
    <hyperlink ref="K9810" r:id="rId19613" location="" tooltip="" display=""/>
    <hyperlink ref="L9810" r:id="rId19614" location="" tooltip="" display=""/>
    <hyperlink ref="Q9810" r:id="rId19615" location="" tooltip="" display=""/>
    <hyperlink ref="R9810" r:id="rId19616" location="" tooltip="" display=""/>
    <hyperlink ref="K9812" r:id="rId19617" location="" tooltip="" display=""/>
    <hyperlink ref="L9812" r:id="rId19618" location="" tooltip="" display=""/>
    <hyperlink ref="Q9812" r:id="rId19619" location="" tooltip="" display=""/>
    <hyperlink ref="R9812" r:id="rId19620" location="" tooltip="" display=""/>
    <hyperlink ref="L9813" r:id="rId19621" location="" tooltip="" display=""/>
    <hyperlink ref="R9813" r:id="rId19622" location="" tooltip="" display=""/>
    <hyperlink ref="K9815" r:id="rId19623" location="" tooltip="" display=""/>
    <hyperlink ref="L9815" r:id="rId19624" location="" tooltip="" display=""/>
    <hyperlink ref="Q9815" r:id="rId19625" location="" tooltip="" display=""/>
    <hyperlink ref="R9815" r:id="rId19626" location="" tooltip="" display=""/>
    <hyperlink ref="L9816" r:id="rId19627" location="" tooltip="" display=""/>
    <hyperlink ref="R9816" r:id="rId19628" location="" tooltip="" display=""/>
    <hyperlink ref="K9818" r:id="rId19629" location="" tooltip="" display=""/>
    <hyperlink ref="L9818" r:id="rId19630" location="" tooltip="" display=""/>
    <hyperlink ref="Q9818" r:id="rId19631" location="" tooltip="" display=""/>
    <hyperlink ref="R9818" r:id="rId19632" location="" tooltip="" display=""/>
    <hyperlink ref="L9820" r:id="rId19633" location="" tooltip="" display=""/>
    <hyperlink ref="R9820" r:id="rId19634" location="" tooltip="" display=""/>
    <hyperlink ref="K9821" r:id="rId19635" location="" tooltip="" display=""/>
    <hyperlink ref="L9821" r:id="rId19636" location="" tooltip="" display=""/>
    <hyperlink ref="Q9821" r:id="rId19637" location="" tooltip="" display=""/>
    <hyperlink ref="R9821" r:id="rId19638" location="" tooltip="" display=""/>
    <hyperlink ref="L9822" r:id="rId19639" location="" tooltip="" display=""/>
    <hyperlink ref="R9822" r:id="rId19640" location="" tooltip="" display=""/>
    <hyperlink ref="L9823" r:id="rId19641" location="" tooltip="" display=""/>
    <hyperlink ref="R9823" r:id="rId19642" location="" tooltip="" display=""/>
    <hyperlink ref="L9825" r:id="rId19643" location="" tooltip="" display=""/>
    <hyperlink ref="R9825" r:id="rId19644" location="" tooltip="" display=""/>
    <hyperlink ref="K9826" r:id="rId19645" location="" tooltip="" display=""/>
    <hyperlink ref="L9826" r:id="rId19646" location="" tooltip="" display=""/>
    <hyperlink ref="Q9826" r:id="rId19647" location="" tooltip="" display=""/>
    <hyperlink ref="R9826" r:id="rId19648" location="" tooltip="" display=""/>
    <hyperlink ref="L9827" r:id="rId19649" location="" tooltip="" display=""/>
    <hyperlink ref="R9827" r:id="rId19650" location="" tooltip="" display=""/>
    <hyperlink ref="K9829" r:id="rId19651" location="" tooltip="" display=""/>
    <hyperlink ref="L9829" r:id="rId19652" location="" tooltip="" display=""/>
    <hyperlink ref="Q9829" r:id="rId19653" location="" tooltip="" display=""/>
    <hyperlink ref="R9829" r:id="rId19654" location="" tooltip="" display=""/>
    <hyperlink ref="L9830" r:id="rId19655" location="" tooltip="" display=""/>
    <hyperlink ref="R9830" r:id="rId19656" location="" tooltip="" display=""/>
    <hyperlink ref="L9832" r:id="rId19657" location="" tooltip="" display=""/>
    <hyperlink ref="R9832" r:id="rId19658" location="" tooltip="" display=""/>
    <hyperlink ref="K9833" r:id="rId19659" location="" tooltip="" display=""/>
    <hyperlink ref="L9833" r:id="rId19660" location="" tooltip="" display=""/>
    <hyperlink ref="Q9833" r:id="rId19661" location="" tooltip="" display=""/>
    <hyperlink ref="R9833" r:id="rId19662" location="" tooltip="" display=""/>
    <hyperlink ref="L9834" r:id="rId19663" location="" tooltip="" display=""/>
    <hyperlink ref="R9834" r:id="rId19664" location="" tooltip="" display=""/>
    <hyperlink ref="K9836" r:id="rId19665" location="" tooltip="" display=""/>
    <hyperlink ref="L9836" r:id="rId19666" location="" tooltip="" display=""/>
    <hyperlink ref="Q9836" r:id="rId19667" location="" tooltip="" display=""/>
    <hyperlink ref="R9836" r:id="rId19668" location="" tooltip="" display=""/>
    <hyperlink ref="L9837" r:id="rId19669" location="" tooltip="" display=""/>
    <hyperlink ref="R9837" r:id="rId19670" location="" tooltip="" display=""/>
    <hyperlink ref="L9839" r:id="rId19671" location="" tooltip="" display=""/>
    <hyperlink ref="R9839" r:id="rId19672" location="" tooltip="" display=""/>
    <hyperlink ref="K9840" r:id="rId19673" location="" tooltip="" display=""/>
    <hyperlink ref="L9840" r:id="rId19674" location="" tooltip="" display=""/>
    <hyperlink ref="Q9840" r:id="rId19675" location="" tooltip="" display=""/>
    <hyperlink ref="R9840" r:id="rId19676" location="" tooltip="" display=""/>
    <hyperlink ref="L9841" r:id="rId19677" location="" tooltip="" display=""/>
    <hyperlink ref="R9841" r:id="rId19678" location="" tooltip="" display=""/>
    <hyperlink ref="L9842" r:id="rId19679" location="" tooltip="" display=""/>
    <hyperlink ref="R9842" r:id="rId19680" location="" tooltip="" display=""/>
    <hyperlink ref="K9844" r:id="rId19681" location="" tooltip="" display=""/>
    <hyperlink ref="L9844" r:id="rId19682" location="" tooltip="" display=""/>
    <hyperlink ref="Q9844" r:id="rId19683" location="" tooltip="" display=""/>
    <hyperlink ref="R9844" r:id="rId19684" location="" tooltip="" display=""/>
    <hyperlink ref="L9845" r:id="rId19685" location="" tooltip="" display=""/>
    <hyperlink ref="R9845" r:id="rId19686" location="" tooltip="" display=""/>
    <hyperlink ref="K9847" r:id="rId19687" location="" tooltip="" display=""/>
    <hyperlink ref="L9847" r:id="rId19688" location="" tooltip="" display=""/>
    <hyperlink ref="Q9847" r:id="rId19689" location="" tooltip="" display=""/>
    <hyperlink ref="R9847" r:id="rId19690" location="" tooltip="" display=""/>
    <hyperlink ref="L9848" r:id="rId19691" location="" tooltip="" display=""/>
    <hyperlink ref="R9848" r:id="rId19692" location="" tooltip="" display=""/>
    <hyperlink ref="K9850" r:id="rId19693" location="" tooltip="" display=""/>
    <hyperlink ref="L9850" r:id="rId19694" location="" tooltip="" display=""/>
    <hyperlink ref="Q9850" r:id="rId19695" location="" tooltip="" display=""/>
    <hyperlink ref="R9850" r:id="rId19696" location="" tooltip="" display=""/>
    <hyperlink ref="K9852" r:id="rId19697" location="" tooltip="" display=""/>
    <hyperlink ref="L9852" r:id="rId19698" location="" tooltip="" display=""/>
    <hyperlink ref="Q9852" r:id="rId19699" location="" tooltip="" display=""/>
    <hyperlink ref="R9852" r:id="rId19700" location="" tooltip="" display=""/>
    <hyperlink ref="L9854" r:id="rId19701" location="" tooltip="" display=""/>
    <hyperlink ref="R9854" r:id="rId19702" location="" tooltip="" display=""/>
    <hyperlink ref="K9855" r:id="rId19703" location="" tooltip="" display=""/>
    <hyperlink ref="L9855" r:id="rId19704" location="" tooltip="" display=""/>
    <hyperlink ref="Q9855" r:id="rId19705" location="" tooltip="" display=""/>
    <hyperlink ref="R9855" r:id="rId19706" location="" tooltip="" display=""/>
    <hyperlink ref="L9856" r:id="rId19707" location="" tooltip="" display=""/>
    <hyperlink ref="R9856" r:id="rId19708" location="" tooltip="" display=""/>
    <hyperlink ref="L9857" r:id="rId19709" location="" tooltip="" display=""/>
    <hyperlink ref="R9857" r:id="rId19710" location="" tooltip="" display=""/>
    <hyperlink ref="K9859" r:id="rId19711" location="" tooltip="" display=""/>
    <hyperlink ref="L9859" r:id="rId19712" location="" tooltip="" display=""/>
    <hyperlink ref="Q9859" r:id="rId19713" location="" tooltip="" display=""/>
    <hyperlink ref="R9859" r:id="rId19714" location="" tooltip="" display=""/>
    <hyperlink ref="L9861" r:id="rId19715" location="" tooltip="" display=""/>
    <hyperlink ref="R9861" r:id="rId19716" location="" tooltip="" display=""/>
    <hyperlink ref="K9862" r:id="rId19717" location="" tooltip="" display=""/>
    <hyperlink ref="L9862" r:id="rId19718" location="" tooltip="" display=""/>
    <hyperlink ref="Q9862" r:id="rId19719" location="" tooltip="" display=""/>
    <hyperlink ref="R9862" r:id="rId19720" location="" tooltip="" display=""/>
    <hyperlink ref="L9863" r:id="rId19721" location="" tooltip="" display=""/>
    <hyperlink ref="R9863" r:id="rId19722" location="" tooltip="" display=""/>
    <hyperlink ref="L9864" r:id="rId19723" location="" tooltip="" display=""/>
    <hyperlink ref="R9864" r:id="rId19724" location="" tooltip="" display=""/>
    <hyperlink ref="K9866" r:id="rId19725" location="" tooltip="" display=""/>
    <hyperlink ref="L9866" r:id="rId19726" location="" tooltip="" display=""/>
    <hyperlink ref="Q9866" r:id="rId19727" location="" tooltip="" display=""/>
    <hyperlink ref="R9866" r:id="rId19728" location="" tooltip="" display=""/>
    <hyperlink ref="L9868" r:id="rId19729" location="" tooltip="" display=""/>
    <hyperlink ref="R9868" r:id="rId19730" location="" tooltip="" display=""/>
    <hyperlink ref="L9869" r:id="rId19731" location="" tooltip="" display=""/>
    <hyperlink ref="R9869" r:id="rId19732" location="" tooltip="" display=""/>
    <hyperlink ref="K9870" r:id="rId19733" location="" tooltip="" display=""/>
    <hyperlink ref="L9870" r:id="rId19734" location="" tooltip="" display=""/>
    <hyperlink ref="Q9870" r:id="rId19735" location="" tooltip="" display=""/>
    <hyperlink ref="R9870" r:id="rId19736" location="" tooltip="" display=""/>
    <hyperlink ref="L9871" r:id="rId19737" location="" tooltip="" display=""/>
    <hyperlink ref="R9871" r:id="rId19738" location="" tooltip="" display=""/>
    <hyperlink ref="L9872" r:id="rId19739" location="" tooltip="" display=""/>
    <hyperlink ref="R9872" r:id="rId19740" location="" tooltip="" display=""/>
    <hyperlink ref="K9874" r:id="rId19741" location="" tooltip="" display=""/>
    <hyperlink ref="L9874" r:id="rId19742" location="" tooltip="" display=""/>
    <hyperlink ref="Q9874" r:id="rId19743" location="" tooltip="" display=""/>
    <hyperlink ref="R9874" r:id="rId19744" location="" tooltip="" display=""/>
    <hyperlink ref="L9875" r:id="rId19745" location="" tooltip="" display=""/>
    <hyperlink ref="R9875" r:id="rId19746" location="" tooltip="" display=""/>
    <hyperlink ref="K9877" r:id="rId19747" location="" tooltip="" display=""/>
    <hyperlink ref="L9877" r:id="rId19748" location="" tooltip="" display=""/>
    <hyperlink ref="Q9877" r:id="rId19749" location="" tooltip="" display=""/>
    <hyperlink ref="R9877" r:id="rId19750" location="" tooltip="" display=""/>
    <hyperlink ref="K9879" r:id="rId19751" location="" tooltip="" display=""/>
    <hyperlink ref="L9879" r:id="rId19752" location="" tooltip="" display=""/>
    <hyperlink ref="Q9879" r:id="rId19753" location="" tooltip="" display=""/>
    <hyperlink ref="R9879" r:id="rId19754" location="" tooltip="" display=""/>
    <hyperlink ref="K9881" r:id="rId19755" location="" tooltip="" display=""/>
    <hyperlink ref="L9881" r:id="rId19756" location="" tooltip="" display=""/>
    <hyperlink ref="Q9881" r:id="rId19757" location="" tooltip="" display=""/>
    <hyperlink ref="R9881" r:id="rId19758" location="" tooltip="" display=""/>
    <hyperlink ref="K9883" r:id="rId19759" location="" tooltip="" display=""/>
    <hyperlink ref="L9883" r:id="rId19760" location="" tooltip="" display=""/>
    <hyperlink ref="Q9883" r:id="rId19761" location="" tooltip="" display=""/>
    <hyperlink ref="R9883" r:id="rId19762" location="" tooltip="" display=""/>
    <hyperlink ref="L9885" r:id="rId19763" location="" tooltip="" display=""/>
    <hyperlink ref="R9885" r:id="rId19764" location="" tooltip="" display=""/>
    <hyperlink ref="K9886" r:id="rId19765" location="" tooltip="" display=""/>
    <hyperlink ref="L9886" r:id="rId19766" location="" tooltip="" display=""/>
    <hyperlink ref="Q9886" r:id="rId19767" location="" tooltip="" display=""/>
    <hyperlink ref="R9886" r:id="rId19768" location="" tooltip="" display=""/>
    <hyperlink ref="L9887" r:id="rId19769" location="" tooltip="" display=""/>
    <hyperlink ref="R9887" r:id="rId19770" location="" tooltip="" display=""/>
    <hyperlink ref="K9889" r:id="rId19771" location="" tooltip="" display=""/>
    <hyperlink ref="L9889" r:id="rId19772" location="" tooltip="" display=""/>
    <hyperlink ref="Q9889" r:id="rId19773" location="" tooltip="" display=""/>
    <hyperlink ref="R9889" r:id="rId19774" location="" tooltip="" display=""/>
    <hyperlink ref="L9890" r:id="rId19775" location="" tooltip="" display=""/>
    <hyperlink ref="R9890" r:id="rId19776" location="" tooltip="" display=""/>
    <hyperlink ref="L9892" r:id="rId19777" location="" tooltip="" display=""/>
    <hyperlink ref="R9892" r:id="rId19778" location="" tooltip="" display=""/>
    <hyperlink ref="K9893" r:id="rId19779" location="" tooltip="" display=""/>
    <hyperlink ref="L9893" r:id="rId19780" location="" tooltip="" display=""/>
    <hyperlink ref="Q9893" r:id="rId19781" location="" tooltip="" display=""/>
    <hyperlink ref="R9893" r:id="rId19782" location="" tooltip="" display=""/>
    <hyperlink ref="L9894" r:id="rId19783" location="" tooltip="" display=""/>
    <hyperlink ref="R9894" r:id="rId19784" location="" tooltip="" display=""/>
    <hyperlink ref="K9896" r:id="rId19785" location="" tooltip="" display=""/>
    <hyperlink ref="L9896" r:id="rId19786" location="" tooltip="" display=""/>
    <hyperlink ref="Q9896" r:id="rId19787" location="" tooltip="" display=""/>
    <hyperlink ref="R9896" r:id="rId19788" location="" tooltip="" display=""/>
    <hyperlink ref="K9898" r:id="rId19789" location="" tooltip="" display=""/>
    <hyperlink ref="L9898" r:id="rId19790" location="" tooltip="" display=""/>
    <hyperlink ref="Q9898" r:id="rId19791" location="" tooltip="" display=""/>
    <hyperlink ref="R9898" r:id="rId19792" location="" tooltip="" display=""/>
    <hyperlink ref="K9900" r:id="rId19793" location="" tooltip="" display=""/>
    <hyperlink ref="L9900" r:id="rId19794" location="" tooltip="" display=""/>
    <hyperlink ref="Q9900" r:id="rId19795" location="" tooltip="" display=""/>
    <hyperlink ref="R9900" r:id="rId19796" location="" tooltip="" display=""/>
    <hyperlink ref="L9902" r:id="rId19797" location="" tooltip="" display=""/>
    <hyperlink ref="R9902" r:id="rId19798" location="" tooltip="" display=""/>
    <hyperlink ref="L9903" r:id="rId19799" location="" tooltip="" display=""/>
    <hyperlink ref="R9903" r:id="rId19800" location="" tooltip="" display=""/>
    <hyperlink ref="L9904" r:id="rId19801" location="" tooltip="" display=""/>
    <hyperlink ref="R9904" r:id="rId19802" location="" tooltip="" display=""/>
    <hyperlink ref="K9905" r:id="rId19803" location="" tooltip="" display=""/>
    <hyperlink ref="L9905" r:id="rId19804" location="" tooltip="" display=""/>
    <hyperlink ref="Q9905" r:id="rId19805" location="" tooltip="" display=""/>
    <hyperlink ref="R9905" r:id="rId19806" location="" tooltip="" display=""/>
    <hyperlink ref="L9906" r:id="rId19807" location="" tooltip="" display=""/>
    <hyperlink ref="R9906" r:id="rId19808" location="" tooltip="" display=""/>
    <hyperlink ref="L9907" r:id="rId19809" location="" tooltip="" display=""/>
    <hyperlink ref="R9907" r:id="rId19810" location="" tooltip="" display=""/>
    <hyperlink ref="L9908" r:id="rId19811" location="" tooltip="" display=""/>
    <hyperlink ref="R9908" r:id="rId19812" location="" tooltip="" display=""/>
    <hyperlink ref="L9909" r:id="rId19813" location="" tooltip="" display=""/>
    <hyperlink ref="R9909" r:id="rId19814" location="" tooltip="" display=""/>
    <hyperlink ref="L9911" r:id="rId19815" location="" tooltip="" display=""/>
    <hyperlink ref="R9911" r:id="rId19816" location="" tooltip="" display=""/>
    <hyperlink ref="L9912" r:id="rId19817" location="" tooltip="" display=""/>
    <hyperlink ref="R9912" r:id="rId19818" location="" tooltip="" display=""/>
    <hyperlink ref="K9913" r:id="rId19819" location="" tooltip="" display=""/>
    <hyperlink ref="L9913" r:id="rId19820" location="" tooltip="" display=""/>
    <hyperlink ref="Q9913" r:id="rId19821" location="" tooltip="" display=""/>
    <hyperlink ref="R9913" r:id="rId19822" location="" tooltip="" display=""/>
    <hyperlink ref="L9914" r:id="rId19823" location="" tooltip="" display=""/>
    <hyperlink ref="R9914" r:id="rId19824" location="" tooltip="" display=""/>
    <hyperlink ref="L9915" r:id="rId19825" location="" tooltip="" display=""/>
    <hyperlink ref="R9915" r:id="rId19826" location="" tooltip="" display=""/>
    <hyperlink ref="L9917" r:id="rId19827" location="" tooltip="" display=""/>
    <hyperlink ref="R9917" r:id="rId19828" location="" tooltip="" display=""/>
    <hyperlink ref="K9918" r:id="rId19829" location="" tooltip="" display=""/>
    <hyperlink ref="L9918" r:id="rId19830" location="" tooltip="" display=""/>
    <hyperlink ref="Q9918" r:id="rId19831" location="" tooltip="" display=""/>
    <hyperlink ref="R9918" r:id="rId19832" location="" tooltip="" display=""/>
    <hyperlink ref="L9919" r:id="rId19833" location="" tooltip="" display=""/>
    <hyperlink ref="R9919" r:id="rId19834" location="" tooltip="" display=""/>
    <hyperlink ref="L9921" r:id="rId19835" location="" tooltip="" display=""/>
    <hyperlink ref="R9921" r:id="rId19836" location="" tooltip="" display=""/>
    <hyperlink ref="K9922" r:id="rId19837" location="" tooltip="" display=""/>
    <hyperlink ref="L9922" r:id="rId19838" location="" tooltip="" display=""/>
    <hyperlink ref="Q9922" r:id="rId19839" location="" tooltip="" display=""/>
    <hyperlink ref="R9922" r:id="rId19840" location="" tooltip="" display=""/>
    <hyperlink ref="L9923" r:id="rId19841" location="" tooltip="" display=""/>
    <hyperlink ref="R9923" r:id="rId19842" location="" tooltip="" display=""/>
    <hyperlink ref="K9925" r:id="rId19843" location="" tooltip="" display=""/>
    <hyperlink ref="L9925" r:id="rId19844" location="" tooltip="" display=""/>
    <hyperlink ref="Q9925" r:id="rId19845" location="" tooltip="" display=""/>
    <hyperlink ref="R9925" r:id="rId19846" location="" tooltip="" display=""/>
    <hyperlink ref="L9926" r:id="rId19847" location="" tooltip="" display=""/>
    <hyperlink ref="R9926" r:id="rId19848" location="" tooltip="" display=""/>
    <hyperlink ref="K9928" r:id="rId19849" location="" tooltip="" display=""/>
    <hyperlink ref="L9928" r:id="rId19850" location="" tooltip="" display=""/>
    <hyperlink ref="Q9928" r:id="rId19851" location="" tooltip="" display=""/>
    <hyperlink ref="R9928" r:id="rId19852" location="" tooltip="" display=""/>
    <hyperlink ref="L9929" r:id="rId19853" location="" tooltip="" display=""/>
    <hyperlink ref="R9929" r:id="rId19854" location="" tooltip="" display=""/>
    <hyperlink ref="L9931" r:id="rId19855" location="" tooltip="" display=""/>
    <hyperlink ref="R9931" r:id="rId19856" location="" tooltip="" display=""/>
    <hyperlink ref="K9932" r:id="rId19857" location="" tooltip="" display=""/>
    <hyperlink ref="L9932" r:id="rId19858" location="" tooltip="" display=""/>
    <hyperlink ref="Q9932" r:id="rId19859" location="" tooltip="" display=""/>
    <hyperlink ref="R9932" r:id="rId19860" location="" tooltip="" display=""/>
    <hyperlink ref="L9933" r:id="rId19861" location="" tooltip="" display=""/>
    <hyperlink ref="R9933" r:id="rId19862" location="" tooltip="" display=""/>
    <hyperlink ref="L9934" r:id="rId19863" location="" tooltip="" display=""/>
    <hyperlink ref="R9934" r:id="rId19864" location="" tooltip="" display=""/>
    <hyperlink ref="K9936" r:id="rId19865" location="" tooltip="" display=""/>
    <hyperlink ref="L9936" r:id="rId19866" location="" tooltip="" display=""/>
    <hyperlink ref="Q9936" r:id="rId19867" location="" tooltip="" display=""/>
    <hyperlink ref="R9936" r:id="rId19868" location="" tooltip="" display=""/>
    <hyperlink ref="L9938" r:id="rId19869" location="" tooltip="" display=""/>
    <hyperlink ref="R9938" r:id="rId19870" location="" tooltip="" display=""/>
    <hyperlink ref="L9939" r:id="rId19871" location="" tooltip="" display=""/>
    <hyperlink ref="R9939" r:id="rId19872" location="" tooltip="" display=""/>
    <hyperlink ref="K9940" r:id="rId19873" location="" tooltip="" display=""/>
    <hyperlink ref="L9940" r:id="rId19874" location="" tooltip="" display=""/>
    <hyperlink ref="Q9940" r:id="rId19875" location="" tooltip="" display=""/>
    <hyperlink ref="R9940" r:id="rId19876" location="" tooltip="" display=""/>
    <hyperlink ref="L9941" r:id="rId19877" location="" tooltip="" display=""/>
    <hyperlink ref="R9941" r:id="rId19878" location="" tooltip="" display=""/>
    <hyperlink ref="L9942" r:id="rId19879" location="" tooltip="" display=""/>
    <hyperlink ref="R9942" r:id="rId19880" location="" tooltip="" display=""/>
    <hyperlink ref="L9943" r:id="rId19881" location="" tooltip="" display=""/>
    <hyperlink ref="R9943" r:id="rId19882" location="" tooltip="" display=""/>
    <hyperlink ref="K9945" r:id="rId19883" location="" tooltip="" display=""/>
    <hyperlink ref="L9945" r:id="rId19884" location="" tooltip="" display=""/>
    <hyperlink ref="Q9945" r:id="rId19885" location="" tooltip="" display=""/>
    <hyperlink ref="R9945" r:id="rId19886" location="" tooltip="" display=""/>
    <hyperlink ref="L9946" r:id="rId19887" location="" tooltip="" display=""/>
    <hyperlink ref="R9946" r:id="rId19888" location="" tooltip="" display=""/>
    <hyperlink ref="K9948" r:id="rId19889" location="" tooltip="" display=""/>
    <hyperlink ref="L9948" r:id="rId19890" location="" tooltip="" display=""/>
    <hyperlink ref="Q9948" r:id="rId19891" location="" tooltip="" display=""/>
    <hyperlink ref="R9948" r:id="rId19892" location="" tooltip="" display=""/>
    <hyperlink ref="L9949" r:id="rId19893" location="" tooltip="" display=""/>
    <hyperlink ref="R9949" r:id="rId19894" location="" tooltip="" display=""/>
    <hyperlink ref="K9951" r:id="rId19895" location="" tooltip="" display=""/>
    <hyperlink ref="L9951" r:id="rId19896" location="" tooltip="" display=""/>
    <hyperlink ref="Q9951" r:id="rId19897" location="" tooltip="" display=""/>
    <hyperlink ref="R9951" r:id="rId19898" location="" tooltip="" display=""/>
    <hyperlink ref="L9952" r:id="rId19899" location="" tooltip="" display=""/>
    <hyperlink ref="R9952" r:id="rId19900" location="" tooltip="" display=""/>
    <hyperlink ref="K9954" r:id="rId19901" location="" tooltip="" display=""/>
    <hyperlink ref="L9954" r:id="rId19902" location="" tooltip="" display=""/>
    <hyperlink ref="Q9954" r:id="rId19903" location="" tooltip="" display=""/>
    <hyperlink ref="R9954" r:id="rId19904" location="" tooltip="" display=""/>
    <hyperlink ref="K9956" r:id="rId19905" location="" tooltip="" display=""/>
    <hyperlink ref="L9956" r:id="rId19906" location="" tooltip="" display=""/>
    <hyperlink ref="Q9956" r:id="rId19907" location="" tooltip="" display=""/>
    <hyperlink ref="R9956" r:id="rId19908" location="" tooltip="" display=""/>
    <hyperlink ref="L9958" r:id="rId19909" location="" tooltip="" display=""/>
    <hyperlink ref="R9958" r:id="rId19910" location="" tooltip="" display=""/>
    <hyperlink ref="K9959" r:id="rId19911" location="" tooltip="" display=""/>
    <hyperlink ref="L9959" r:id="rId19912" location="" tooltip="" display=""/>
    <hyperlink ref="Q9959" r:id="rId19913" location="" tooltip="" display=""/>
    <hyperlink ref="R9959" r:id="rId19914" location="" tooltip="" display=""/>
    <hyperlink ref="L9960" r:id="rId19915" location="" tooltip="" display=""/>
    <hyperlink ref="R9960" r:id="rId19916" location="" tooltip="" display=""/>
    <hyperlink ref="L9962" r:id="rId19917" location="" tooltip="" display=""/>
    <hyperlink ref="R9962" r:id="rId19918" location="" tooltip="" display=""/>
    <hyperlink ref="K9963" r:id="rId19919" location="" tooltip="" display=""/>
    <hyperlink ref="L9963" r:id="rId19920" location="" tooltip="" display=""/>
    <hyperlink ref="Q9963" r:id="rId19921" location="" tooltip="" display=""/>
    <hyperlink ref="R9963" r:id="rId19922" location="" tooltip="" display=""/>
    <hyperlink ref="L9964" r:id="rId19923" location="" tooltip="" display=""/>
    <hyperlink ref="R9964" r:id="rId19924" location="" tooltip="" display=""/>
    <hyperlink ref="L9965" r:id="rId19925" location="" tooltip="" display=""/>
    <hyperlink ref="R9965" r:id="rId19926" location="" tooltip="" display=""/>
    <hyperlink ref="L9967" r:id="rId19927" location="" tooltip="" display=""/>
    <hyperlink ref="R9967" r:id="rId19928" location="" tooltip="" display=""/>
    <hyperlink ref="L9968" r:id="rId19929" location="" tooltip="" display=""/>
    <hyperlink ref="R9968" r:id="rId19930" location="" tooltip="" display=""/>
    <hyperlink ref="K9969" r:id="rId19931" location="" tooltip="" display=""/>
    <hyperlink ref="L9969" r:id="rId19932" location="" tooltip="" display=""/>
    <hyperlink ref="Q9969" r:id="rId19933" location="" tooltip="" display=""/>
    <hyperlink ref="R9969" r:id="rId19934" location="" tooltip="" display=""/>
    <hyperlink ref="L9970" r:id="rId19935" location="" tooltip="" display=""/>
    <hyperlink ref="R9970" r:id="rId19936" location="" tooltip="" display=""/>
    <hyperlink ref="L9971" r:id="rId19937" location="" tooltip="" display=""/>
    <hyperlink ref="R9971" r:id="rId19938" location="" tooltip="" display=""/>
    <hyperlink ref="K9973" r:id="rId19939" location="" tooltip="" display=""/>
    <hyperlink ref="L9973" r:id="rId19940" location="" tooltip="" display=""/>
    <hyperlink ref="Q9973" r:id="rId19941" location="" tooltip="" display=""/>
    <hyperlink ref="R9973" r:id="rId19942" location="" tooltip="" display=""/>
    <hyperlink ref="L9974" r:id="rId19943" location="" tooltip="" display=""/>
    <hyperlink ref="R9974" r:id="rId19944" location="" tooltip="" display=""/>
    <hyperlink ref="L9976" r:id="rId19945" location="" tooltip="" display=""/>
    <hyperlink ref="R9976" r:id="rId19946" location="" tooltip="" display=""/>
    <hyperlink ref="K9977" r:id="rId19947" location="" tooltip="" display=""/>
    <hyperlink ref="L9977" r:id="rId19948" location="" tooltip="" display=""/>
    <hyperlink ref="Q9977" r:id="rId19949" location="" tooltip="" display=""/>
    <hyperlink ref="R9977" r:id="rId19950" location="" tooltip="" display=""/>
    <hyperlink ref="L9978" r:id="rId19951" location="" tooltip="" display=""/>
    <hyperlink ref="R9978" r:id="rId19952" location="" tooltip="" display=""/>
    <hyperlink ref="L9980" r:id="rId19953" location="" tooltip="" display=""/>
    <hyperlink ref="R9980" r:id="rId19954" location="" tooltip="" display=""/>
    <hyperlink ref="K9981" r:id="rId19955" location="" tooltip="" display=""/>
    <hyperlink ref="L9981" r:id="rId19956" location="" tooltip="" display=""/>
    <hyperlink ref="Q9981" r:id="rId19957" location="" tooltip="" display=""/>
    <hyperlink ref="R9981" r:id="rId19958" location="" tooltip="" display=""/>
    <hyperlink ref="L9982" r:id="rId19959" location="" tooltip="" display=""/>
    <hyperlink ref="R9982" r:id="rId19960" location="" tooltip="" display=""/>
    <hyperlink ref="K9984" r:id="rId19961" location="" tooltip="" display=""/>
    <hyperlink ref="L9984" r:id="rId19962" location="" tooltip="" display=""/>
    <hyperlink ref="Q9984" r:id="rId19963" location="" tooltip="" display=""/>
    <hyperlink ref="R9984" r:id="rId19964" location="" tooltip="" display=""/>
    <hyperlink ref="K9986" r:id="rId19965" location="" tooltip="" display=""/>
    <hyperlink ref="L9986" r:id="rId19966" location="" tooltip="" display=""/>
    <hyperlink ref="Q9986" r:id="rId19967" location="" tooltip="" display=""/>
    <hyperlink ref="R9986" r:id="rId19968" location="" tooltip="" display=""/>
    <hyperlink ref="L9987" r:id="rId19969" location="" tooltip="" display=""/>
    <hyperlink ref="R9987" r:id="rId19970" location="" tooltip="" display=""/>
    <hyperlink ref="L9989" r:id="rId19971" location="" tooltip="" display=""/>
    <hyperlink ref="R9989" r:id="rId19972" location="" tooltip="" display=""/>
    <hyperlink ref="L9990" r:id="rId19973" location="" tooltip="" display=""/>
    <hyperlink ref="R9990" r:id="rId19974" location="" tooltip="" display=""/>
    <hyperlink ref="K9991" r:id="rId19975" location="" tooltip="" display=""/>
    <hyperlink ref="L9991" r:id="rId19976" location="" tooltip="" display=""/>
    <hyperlink ref="Q9991" r:id="rId19977" location="" tooltip="" display=""/>
    <hyperlink ref="R9991" r:id="rId19978" location="" tooltip="" display=""/>
    <hyperlink ref="L9992" r:id="rId19979" location="" tooltip="" display=""/>
    <hyperlink ref="R9992" r:id="rId19980" location="" tooltip="" display=""/>
    <hyperlink ref="L9993" r:id="rId19981" location="" tooltip="" display=""/>
    <hyperlink ref="R9993" r:id="rId19982" location="" tooltip="" display=""/>
    <hyperlink ref="L9994" r:id="rId19983" location="" tooltip="" display=""/>
    <hyperlink ref="R9994" r:id="rId19984" location="" tooltip="" display=""/>
    <hyperlink ref="L9996" r:id="rId19985" location="" tooltip="" display=""/>
    <hyperlink ref="R9996" r:id="rId19986" location="" tooltip="" display=""/>
    <hyperlink ref="K9997" r:id="rId19987" location="" tooltip="" display=""/>
    <hyperlink ref="L9997" r:id="rId19988" location="" tooltip="" display=""/>
    <hyperlink ref="Q9997" r:id="rId19989" location="" tooltip="" display=""/>
    <hyperlink ref="R9997" r:id="rId19990" location="" tooltip="" display=""/>
    <hyperlink ref="L9998" r:id="rId19991" location="" tooltip="" display=""/>
    <hyperlink ref="R9998" r:id="rId19992" location="" tooltip="" display=""/>
    <hyperlink ref="L10000" r:id="rId19993" location="" tooltip="" display=""/>
    <hyperlink ref="R10000" r:id="rId19994" location="" tooltip="" display=""/>
    <hyperlink ref="L10001" r:id="rId19995" location="" tooltip="" display=""/>
    <hyperlink ref="R10001" r:id="rId19996" location="" tooltip="" display=""/>
    <hyperlink ref="K10002" r:id="rId19997" location="" tooltip="" display=""/>
    <hyperlink ref="L10002" r:id="rId19998" location="" tooltip="" display=""/>
    <hyperlink ref="Q10002" r:id="rId19999" location="" tooltip="" display=""/>
    <hyperlink ref="R10002" r:id="rId20000" location="" tooltip="" display=""/>
    <hyperlink ref="L10003" r:id="rId20001" location="" tooltip="" display=""/>
    <hyperlink ref="R10003" r:id="rId20002" location="" tooltip="" display=""/>
    <hyperlink ref="L10004" r:id="rId20003" location="" tooltip="" display=""/>
    <hyperlink ref="R10004" r:id="rId20004" location="" tooltip="" display=""/>
    <hyperlink ref="L10006" r:id="rId20005" location="" tooltip="" display=""/>
    <hyperlink ref="R10006" r:id="rId20006" location="" tooltip="" display=""/>
    <hyperlink ref="K10007" r:id="rId20007" location="" tooltip="" display=""/>
    <hyperlink ref="L10007" r:id="rId20008" location="" tooltip="" display=""/>
    <hyperlink ref="Q10007" r:id="rId20009" location="" tooltip="" display=""/>
    <hyperlink ref="R10007" r:id="rId20010" location="" tooltip="" display=""/>
    <hyperlink ref="L10008" r:id="rId20011" location="" tooltip="" display=""/>
    <hyperlink ref="R10008" r:id="rId20012" location="" tooltip="" display=""/>
    <hyperlink ref="L10010" r:id="rId20013" location="" tooltip="" display=""/>
    <hyperlink ref="R10010" r:id="rId20014" location="" tooltip="" display=""/>
    <hyperlink ref="L10011" r:id="rId20015" location="" tooltip="" display=""/>
    <hyperlink ref="R10011" r:id="rId20016" location="" tooltip="" display=""/>
    <hyperlink ref="K10012" r:id="rId20017" location="" tooltip="" display=""/>
    <hyperlink ref="L10012" r:id="rId20018" location="" tooltip="" display=""/>
    <hyperlink ref="Q10012" r:id="rId20019" location="" tooltip="" display=""/>
    <hyperlink ref="R10012" r:id="rId20020" location="" tooltip="" display=""/>
    <hyperlink ref="L10013" r:id="rId20021" location="" tooltip="" display=""/>
    <hyperlink ref="R10013" r:id="rId20022" location="" tooltip="" display=""/>
    <hyperlink ref="L10014" r:id="rId20023" location="" tooltip="" display=""/>
    <hyperlink ref="R10014" r:id="rId20024" location="" tooltip="" display=""/>
    <hyperlink ref="K10016" r:id="rId20025" location="" tooltip="" display=""/>
    <hyperlink ref="L10016" r:id="rId20026" location="" tooltip="" display=""/>
    <hyperlink ref="Q10016" r:id="rId20027" location="" tooltip="" display=""/>
    <hyperlink ref="R10016" r:id="rId20028" location="" tooltip="" display=""/>
    <hyperlink ref="L10017" r:id="rId20029" location="" tooltip="" display=""/>
    <hyperlink ref="R10017" r:id="rId20030" location="" tooltip="" display=""/>
    <hyperlink ref="K10019" r:id="rId20031" location="" tooltip="" display=""/>
    <hyperlink ref="L10019" r:id="rId20032" location="" tooltip="" display=""/>
    <hyperlink ref="Q10019" r:id="rId20033" location="" tooltip="" display=""/>
    <hyperlink ref="R10019" r:id="rId20034" location="" tooltip="" display=""/>
    <hyperlink ref="L10020" r:id="rId20035" location="" tooltip="" display=""/>
    <hyperlink ref="R10020" r:id="rId20036" location="" tooltip="" display=""/>
    <hyperlink ref="K10022" r:id="rId20037" location="" tooltip="" display=""/>
    <hyperlink ref="L10022" r:id="rId20038" location="" tooltip="" display=""/>
    <hyperlink ref="Q10022" r:id="rId20039" location="" tooltip="" display=""/>
    <hyperlink ref="R10022" r:id="rId20040" location="" tooltip="" display=""/>
    <hyperlink ref="L10024" r:id="rId20041" location="" tooltip="" display=""/>
    <hyperlink ref="R10024" r:id="rId20042" location="" tooltip="" display=""/>
    <hyperlink ref="K10025" r:id="rId20043" location="" tooltip="" display=""/>
    <hyperlink ref="L10025" r:id="rId20044" location="" tooltip="" display=""/>
    <hyperlink ref="Q10025" r:id="rId20045" location="" tooltip="" display=""/>
    <hyperlink ref="R10025" r:id="rId20046" location="" tooltip="" display=""/>
    <hyperlink ref="L10026" r:id="rId20047" location="" tooltip="" display=""/>
    <hyperlink ref="R10026" r:id="rId20048" location="" tooltip="" display=""/>
    <hyperlink ref="K10028" r:id="rId20049" location="" tooltip="" display=""/>
    <hyperlink ref="L10028" r:id="rId20050" location="" tooltip="" display=""/>
    <hyperlink ref="Q10028" r:id="rId20051" location="" tooltip="" display=""/>
    <hyperlink ref="R10028" r:id="rId20052" location="" tooltip="" display=""/>
    <hyperlink ref="L10029" r:id="rId20053" location="" tooltip="" display=""/>
    <hyperlink ref="R10029" r:id="rId20054" location="" tooltip="" display=""/>
    <hyperlink ref="K10031" r:id="rId20055" location="" tooltip="" display=""/>
    <hyperlink ref="L10031" r:id="rId20056" location="" tooltip="" display=""/>
    <hyperlink ref="Q10031" r:id="rId20057" location="" tooltip="" display=""/>
    <hyperlink ref="R10031" r:id="rId20058" location="" tooltip="" display=""/>
    <hyperlink ref="L10032" r:id="rId20059" location="" tooltip="" display=""/>
    <hyperlink ref="R10032" r:id="rId20060" location="" tooltip="" display=""/>
    <hyperlink ref="K10034" r:id="rId20061" location="" tooltip="" display=""/>
    <hyperlink ref="L10034" r:id="rId20062" location="" tooltip="" display=""/>
    <hyperlink ref="Q10034" r:id="rId20063" location="" tooltip="" display=""/>
    <hyperlink ref="R10034" r:id="rId20064" location="" tooltip="" display=""/>
    <hyperlink ref="K10036" r:id="rId20065" location="" tooltip="" display=""/>
    <hyperlink ref="L10036" r:id="rId20066" location="" tooltip="" display=""/>
    <hyperlink ref="Q10036" r:id="rId20067" location="" tooltip="" display=""/>
    <hyperlink ref="R10036" r:id="rId20068" location="" tooltip="" display=""/>
    <hyperlink ref="L10037" r:id="rId20069" location="" tooltip="" display=""/>
    <hyperlink ref="R10037" r:id="rId20070" location="" tooltip="" display=""/>
    <hyperlink ref="L10039" r:id="rId20071" location="" tooltip="" display=""/>
    <hyperlink ref="R10039" r:id="rId20072" location="" tooltip="" display=""/>
    <hyperlink ref="K10040" r:id="rId20073" location="" tooltip="" display=""/>
    <hyperlink ref="L10040" r:id="rId20074" location="" tooltip="" display=""/>
    <hyperlink ref="Q10040" r:id="rId20075" location="" tooltip="" display=""/>
    <hyperlink ref="R10040" r:id="rId20076" location="" tooltip="" display=""/>
    <hyperlink ref="L10041" r:id="rId20077" location="" tooltip="" display=""/>
    <hyperlink ref="R10041" r:id="rId20078" location="" tooltip="" display=""/>
    <hyperlink ref="K10043" r:id="rId20079" location="" tooltip="" display=""/>
    <hyperlink ref="L10043" r:id="rId20080" location="" tooltip="" display=""/>
    <hyperlink ref="Q10043" r:id="rId20081" location="" tooltip="" display=""/>
    <hyperlink ref="R10043" r:id="rId20082" location="" tooltip="" display=""/>
    <hyperlink ref="L10045" r:id="rId20083" location="" tooltip="" display=""/>
    <hyperlink ref="R10045" r:id="rId20084" location="" tooltip="" display=""/>
    <hyperlink ref="K10046" r:id="rId20085" location="" tooltip="" display=""/>
    <hyperlink ref="L10046" r:id="rId20086" location="" tooltip="" display=""/>
    <hyperlink ref="Q10046" r:id="rId20087" location="" tooltip="" display=""/>
    <hyperlink ref="R10046" r:id="rId20088" location="" tooltip="" display=""/>
    <hyperlink ref="L10047" r:id="rId20089" location="" tooltip="" display=""/>
    <hyperlink ref="R10047" r:id="rId20090" location="" tooltip="" display=""/>
    <hyperlink ref="L10048" r:id="rId20091" location="" tooltip="" display=""/>
    <hyperlink ref="R10048" r:id="rId20092" location="" tooltip="" display=""/>
    <hyperlink ref="K10050" r:id="rId20093" location="" tooltip="" display=""/>
    <hyperlink ref="L10050" r:id="rId20094" location="" tooltip="" display=""/>
    <hyperlink ref="Q10050" r:id="rId20095" location="" tooltip="" display=""/>
    <hyperlink ref="R10050" r:id="rId20096" location="" tooltip="" display=""/>
    <hyperlink ref="K10052" r:id="rId20097" location="" tooltip="" display=""/>
    <hyperlink ref="L10052" r:id="rId20098" location="" tooltip="" display=""/>
    <hyperlink ref="Q10052" r:id="rId20099" location="" tooltip="" display=""/>
    <hyperlink ref="R10052" r:id="rId20100" location="" tooltip="" display=""/>
    <hyperlink ref="L10053" r:id="rId20101" location="" tooltip="" display=""/>
    <hyperlink ref="R10053" r:id="rId20102" location="" tooltip="" display=""/>
    <hyperlink ref="K10055" r:id="rId20103" location="" tooltip="" display=""/>
    <hyperlink ref="L10055" r:id="rId20104" location="" tooltip="" display=""/>
    <hyperlink ref="Q10055" r:id="rId20105" location="" tooltip="" display=""/>
    <hyperlink ref="R10055" r:id="rId20106" location="" tooltip="" display=""/>
    <hyperlink ref="L10056" r:id="rId20107" location="" tooltip="" display=""/>
    <hyperlink ref="R10056" r:id="rId20108" location="" tooltip="" display=""/>
    <hyperlink ref="L10058" r:id="rId20109" location="" tooltip="" display=""/>
    <hyperlink ref="R10058" r:id="rId20110" location="" tooltip="" display=""/>
    <hyperlink ref="K10059" r:id="rId20111" location="" tooltip="" display=""/>
    <hyperlink ref="L10059" r:id="rId20112" location="" tooltip="" display=""/>
    <hyperlink ref="Q10059" r:id="rId20113" location="" tooltip="" display=""/>
    <hyperlink ref="R10059" r:id="rId20114" location="" tooltip="" display=""/>
    <hyperlink ref="L10060" r:id="rId20115" location="" tooltip="" display=""/>
    <hyperlink ref="R10060" r:id="rId20116" location="" tooltip="" display=""/>
    <hyperlink ref="L10062" r:id="rId20117" location="" tooltip="" display=""/>
    <hyperlink ref="R10062" r:id="rId20118" location="" tooltip="" display=""/>
    <hyperlink ref="L10063" r:id="rId20119" location="" tooltip="" display=""/>
    <hyperlink ref="R10063" r:id="rId20120" location="" tooltip="" display=""/>
    <hyperlink ref="L10064" r:id="rId20121" location="" tooltip="" display=""/>
    <hyperlink ref="R10064" r:id="rId20122" location="" tooltip="" display=""/>
    <hyperlink ref="K10065" r:id="rId20123" location="" tooltip="" display=""/>
    <hyperlink ref="L10065" r:id="rId20124" location="" tooltip="" display=""/>
    <hyperlink ref="Q10065" r:id="rId20125" location="" tooltip="" display=""/>
    <hyperlink ref="R10065" r:id="rId20126" location="" tooltip="" display=""/>
    <hyperlink ref="L10066" r:id="rId20127" location="" tooltip="" display=""/>
    <hyperlink ref="R10066" r:id="rId20128" location="" tooltip="" display=""/>
    <hyperlink ref="L10067" r:id="rId20129" location="" tooltip="" display=""/>
    <hyperlink ref="R10067" r:id="rId20130" location="" tooltip="" display=""/>
    <hyperlink ref="L10068" r:id="rId20131" location="" tooltip="" display=""/>
    <hyperlink ref="R10068" r:id="rId20132" location="" tooltip="" display=""/>
    <hyperlink ref="L10070" r:id="rId20133" location="" tooltip="" display=""/>
    <hyperlink ref="R10070" r:id="rId20134" location="" tooltip="" display=""/>
    <hyperlink ref="K10071" r:id="rId20135" location="" tooltip="" display=""/>
    <hyperlink ref="L10071" r:id="rId20136" location="" tooltip="" display=""/>
    <hyperlink ref="Q10071" r:id="rId20137" location="" tooltip="" display=""/>
    <hyperlink ref="R10071" r:id="rId20138" location="" tooltip="" display=""/>
    <hyperlink ref="L10072" r:id="rId20139" location="" tooltip="" display=""/>
    <hyperlink ref="R10072" r:id="rId20140" location="" tooltip="" display=""/>
    <hyperlink ref="K10074" r:id="rId20141" location="" tooltip="" display=""/>
    <hyperlink ref="L10074" r:id="rId20142" location="" tooltip="" display=""/>
    <hyperlink ref="Q10074" r:id="rId20143" location="" tooltip="" display=""/>
    <hyperlink ref="R10074" r:id="rId20144" location="" tooltip="" display=""/>
    <hyperlink ref="L10075" r:id="rId20145" location="" tooltip="" display=""/>
    <hyperlink ref="R10075" r:id="rId20146" location="" tooltip="" display=""/>
    <hyperlink ref="K10077" r:id="rId20147" location="" tooltip="" display=""/>
    <hyperlink ref="L10077" r:id="rId20148" location="" tooltip="" display=""/>
    <hyperlink ref="Q10077" r:id="rId20149" location="" tooltip="" display=""/>
    <hyperlink ref="R10077" r:id="rId20150" location="" tooltip="" display=""/>
    <hyperlink ref="L10078" r:id="rId20151" location="" tooltip="" display=""/>
    <hyperlink ref="R10078" r:id="rId20152" location="" tooltip="" display=""/>
    <hyperlink ref="L10080" r:id="rId20153" location="" tooltip="" display=""/>
    <hyperlink ref="R10080" r:id="rId20154" location="" tooltip="" display=""/>
    <hyperlink ref="L10081" r:id="rId20155" location="" tooltip="" display=""/>
    <hyperlink ref="R10081" r:id="rId20156" location="" tooltip="" display=""/>
    <hyperlink ref="K10082" r:id="rId20157" location="" tooltip="" display=""/>
    <hyperlink ref="L10082" r:id="rId20158" location="" tooltip="" display=""/>
    <hyperlink ref="Q10082" r:id="rId20159" location="" tooltip="" display=""/>
    <hyperlink ref="R10082" r:id="rId20160" location="" tooltip="" display=""/>
    <hyperlink ref="L10083" r:id="rId20161" location="" tooltip="" display=""/>
    <hyperlink ref="R10083" r:id="rId20162" location="" tooltip="" display=""/>
    <hyperlink ref="L10084" r:id="rId20163" location="" tooltip="" display=""/>
    <hyperlink ref="R10084" r:id="rId20164" location="" tooltip="" display=""/>
    <hyperlink ref="K10086" r:id="rId20165" location="" tooltip="" display=""/>
    <hyperlink ref="L10086" r:id="rId20166" location="" tooltip="" display=""/>
    <hyperlink ref="Q10086" r:id="rId20167" location="" tooltip="" display=""/>
    <hyperlink ref="R10086" r:id="rId20168" location="" tooltip="" display=""/>
    <hyperlink ref="L10088" r:id="rId20169" location="" tooltip="" display=""/>
    <hyperlink ref="R10088" r:id="rId20170" location="" tooltip="" display=""/>
    <hyperlink ref="L10089" r:id="rId20171" location="" tooltip="" display=""/>
    <hyperlink ref="R10089" r:id="rId20172" location="" tooltip="" display=""/>
    <hyperlink ref="K10090" r:id="rId20173" location="" tooltip="" display=""/>
    <hyperlink ref="L10090" r:id="rId20174" location="" tooltip="" display=""/>
    <hyperlink ref="Q10090" r:id="rId20175" location="" tooltip="" display=""/>
    <hyperlink ref="R10090" r:id="rId20176" location="" tooltip="" display=""/>
    <hyperlink ref="L10091" r:id="rId20177" location="" tooltip="" display=""/>
    <hyperlink ref="R10091" r:id="rId20178" location="" tooltip="" display=""/>
    <hyperlink ref="L10092" r:id="rId20179" location="" tooltip="" display=""/>
    <hyperlink ref="R10092" r:id="rId20180" location="" tooltip="" display=""/>
    <hyperlink ref="K10094" r:id="rId20181" location="" tooltip="" display=""/>
    <hyperlink ref="L10094" r:id="rId20182" location="" tooltip="" display=""/>
    <hyperlink ref="Q10094" r:id="rId20183" location="" tooltip="" display=""/>
    <hyperlink ref="R10094" r:id="rId20184" location="" tooltip="" display=""/>
    <hyperlink ref="K10096" r:id="rId20185" location="" tooltip="" display=""/>
    <hyperlink ref="L10096" r:id="rId20186" location="" tooltip="" display=""/>
    <hyperlink ref="Q10096" r:id="rId20187" location="" tooltip="" display=""/>
    <hyperlink ref="R10096" r:id="rId20188" location="" tooltip="" display=""/>
    <hyperlink ref="L10097" r:id="rId20189" location="" tooltip="" display=""/>
    <hyperlink ref="R10097" r:id="rId20190" location="" tooltip="" display=""/>
    <hyperlink ref="L10099" r:id="rId20191" location="" tooltip="" display=""/>
    <hyperlink ref="R10099" r:id="rId20192" location="" tooltip="" display=""/>
    <hyperlink ref="K10100" r:id="rId20193" location="" tooltip="" display=""/>
    <hyperlink ref="L10100" r:id="rId20194" location="" tooltip="" display=""/>
    <hyperlink ref="Q10100" r:id="rId20195" location="" tooltip="" display=""/>
    <hyperlink ref="R10100" r:id="rId20196" location="" tooltip="" display=""/>
    <hyperlink ref="L10101" r:id="rId20197" location="" tooltip="" display=""/>
    <hyperlink ref="R10101" r:id="rId20198" location="" tooltip="" display=""/>
    <hyperlink ref="K10103" r:id="rId20199" location="" tooltip="" display=""/>
    <hyperlink ref="L10103" r:id="rId20200" location="" tooltip="" display=""/>
    <hyperlink ref="Q10103" r:id="rId20201" location="" tooltip="" display=""/>
    <hyperlink ref="R10103" r:id="rId20202" location="" tooltip="" display=""/>
    <hyperlink ref="L10104" r:id="rId20203" location="" tooltip="" display=""/>
    <hyperlink ref="R10104" r:id="rId20204" location="" tooltip="" display=""/>
    <hyperlink ref="L10106" r:id="rId20205" location="" tooltip="" display=""/>
    <hyperlink ref="R10106" r:id="rId20206" location="" tooltip="" display=""/>
    <hyperlink ref="K10107" r:id="rId20207" location="" tooltip="" display=""/>
    <hyperlink ref="L10107" r:id="rId20208" location="" tooltip="" display=""/>
    <hyperlink ref="Q10107" r:id="rId20209" location="" tooltip="" display=""/>
    <hyperlink ref="R10107" r:id="rId20210" location="" tooltip="" display=""/>
    <hyperlink ref="L10108" r:id="rId20211" location="" tooltip="" display=""/>
    <hyperlink ref="R10108" r:id="rId20212" location="" tooltip="" display=""/>
    <hyperlink ref="L10109" r:id="rId20213" location="" tooltip="" display=""/>
    <hyperlink ref="R10109" r:id="rId20214" location="" tooltip="" display=""/>
    <hyperlink ref="L10111" r:id="rId20215" location="" tooltip="" display=""/>
    <hyperlink ref="R10111" r:id="rId20216" location="" tooltip="" display=""/>
    <hyperlink ref="L10112" r:id="rId20217" location="" tooltip="" display=""/>
    <hyperlink ref="R10112" r:id="rId20218" location="" tooltip="" display=""/>
    <hyperlink ref="L10113" r:id="rId20219" location="" tooltip="" display=""/>
    <hyperlink ref="R10113" r:id="rId20220" location="" tooltip="" display=""/>
    <hyperlink ref="K10114" r:id="rId20221" location="" tooltip="" display=""/>
    <hyperlink ref="L10114" r:id="rId20222" location="" tooltip="" display=""/>
    <hyperlink ref="Q10114" r:id="rId20223" location="" tooltip="" display=""/>
    <hyperlink ref="R10114" r:id="rId20224" location="" tooltip="" display=""/>
    <hyperlink ref="L10115" r:id="rId20225" location="" tooltip="" display=""/>
    <hyperlink ref="R10115" r:id="rId20226" location="" tooltip="" display=""/>
    <hyperlink ref="L10116" r:id="rId20227" location="" tooltip="" display=""/>
    <hyperlink ref="R10116" r:id="rId20228" location="" tooltip="" display=""/>
    <hyperlink ref="L10117" r:id="rId20229" location="" tooltip="" display=""/>
    <hyperlink ref="R10117" r:id="rId20230" location="" tooltip="" display=""/>
    <hyperlink ref="L10118" r:id="rId20231" location="" tooltip="" display=""/>
    <hyperlink ref="R10118" r:id="rId20232" location="" tooltip="" display=""/>
    <hyperlink ref="K10120" r:id="rId20233" location="" tooltip="" display=""/>
    <hyperlink ref="L10120" r:id="rId20234" location="" tooltip="" display=""/>
    <hyperlink ref="Q10120" r:id="rId20235" location="" tooltip="" display=""/>
    <hyperlink ref="R10120" r:id="rId20236" location="" tooltip="" display=""/>
    <hyperlink ref="K10122" r:id="rId20237" location="" tooltip="" display=""/>
    <hyperlink ref="L10122" r:id="rId20238" location="" tooltip="" display=""/>
    <hyperlink ref="Q10122" r:id="rId20239" location="" tooltip="" display=""/>
    <hyperlink ref="R10122" r:id="rId20240" location="" tooltip="" display=""/>
    <hyperlink ref="K10124" r:id="rId20241" location="" tooltip="" display=""/>
    <hyperlink ref="L10124" r:id="rId20242" location="" tooltip="" display=""/>
    <hyperlink ref="Q10124" r:id="rId20243" location="" tooltip="" display=""/>
    <hyperlink ref="R10124" r:id="rId20244" location="" tooltip="" display=""/>
    <hyperlink ref="L10125" r:id="rId20245" location="" tooltip="" display=""/>
    <hyperlink ref="R10125" r:id="rId20246" location="" tooltip="" display=""/>
    <hyperlink ref="K10127" r:id="rId20247" location="" tooltip="" display=""/>
    <hyperlink ref="L10127" r:id="rId20248" location="" tooltip="" display=""/>
    <hyperlink ref="Q10127" r:id="rId20249" location="" tooltip="" display=""/>
    <hyperlink ref="R10127" r:id="rId20250" location="" tooltip="" display=""/>
    <hyperlink ref="L10128" r:id="rId20251" location="" tooltip="" display=""/>
    <hyperlink ref="R10128" r:id="rId20252" location="" tooltip="" display=""/>
    <hyperlink ref="L10130" r:id="rId20253" location="" tooltip="" display=""/>
    <hyperlink ref="R10130" r:id="rId20254" location="" tooltip="" display=""/>
    <hyperlink ref="K10131" r:id="rId20255" location="" tooltip="" display=""/>
    <hyperlink ref="L10131" r:id="rId20256" location="" tooltip="" display=""/>
    <hyperlink ref="Q10131" r:id="rId20257" location="" tooltip="" display=""/>
    <hyperlink ref="R10131" r:id="rId20258" location="" tooltip="" display=""/>
    <hyperlink ref="L10132" r:id="rId20259" location="" tooltip="" display=""/>
    <hyperlink ref="R10132" r:id="rId20260" location="" tooltip="" display=""/>
    <hyperlink ref="L10134" r:id="rId20261" location="" tooltip="" display=""/>
    <hyperlink ref="R10134" r:id="rId20262" location="" tooltip="" display=""/>
    <hyperlink ref="K10135" r:id="rId20263" location="" tooltip="" display=""/>
    <hyperlink ref="L10135" r:id="rId20264" location="" tooltip="" display=""/>
    <hyperlink ref="Q10135" r:id="rId20265" location="" tooltip="" display=""/>
    <hyperlink ref="R10135" r:id="rId20266" location="" tooltip="" display=""/>
    <hyperlink ref="L10136" r:id="rId20267" location="" tooltip="" display=""/>
    <hyperlink ref="R10136" r:id="rId20268" location="" tooltip="" display=""/>
    <hyperlink ref="L10138" r:id="rId20269" location="" tooltip="" display=""/>
    <hyperlink ref="R10138" r:id="rId20270" location="" tooltip="" display=""/>
    <hyperlink ref="K10139" r:id="rId20271" location="" tooltip="" display=""/>
    <hyperlink ref="L10139" r:id="rId20272" location="" tooltip="" display=""/>
    <hyperlink ref="Q10139" r:id="rId20273" location="" tooltip="" display=""/>
    <hyperlink ref="R10139" r:id="rId20274" location="" tooltip="" display=""/>
    <hyperlink ref="L10140" r:id="rId20275" location="" tooltip="" display=""/>
    <hyperlink ref="R10140" r:id="rId20276" location="" tooltip="" display=""/>
    <hyperlink ref="L10141" r:id="rId20277" location="" tooltip="" display=""/>
    <hyperlink ref="R10141" r:id="rId20278" location="" tooltip="" display=""/>
    <hyperlink ref="K10143" r:id="rId20279" location="" tooltip="" display=""/>
    <hyperlink ref="L10143" r:id="rId20280" location="" tooltip="" display=""/>
    <hyperlink ref="Q10143" r:id="rId20281" location="" tooltip="" display=""/>
    <hyperlink ref="R10143" r:id="rId20282" location="" tooltip="" display=""/>
    <hyperlink ref="L10144" r:id="rId20283" location="" tooltip="" display=""/>
    <hyperlink ref="R10144" r:id="rId20284" location="" tooltip="" display=""/>
    <hyperlink ref="K10146" r:id="rId20285" location="" tooltip="" display=""/>
    <hyperlink ref="L10146" r:id="rId20286" location="" tooltip="" display=""/>
    <hyperlink ref="Q10146" r:id="rId20287" location="" tooltip="" display=""/>
    <hyperlink ref="R10146" r:id="rId20288" location="" tooltip="" display=""/>
    <hyperlink ref="K10148" r:id="rId20289" location="" tooltip="" display=""/>
    <hyperlink ref="L10148" r:id="rId20290" location="" tooltip="" display=""/>
    <hyperlink ref="Q10148" r:id="rId20291" location="" tooltip="" display=""/>
    <hyperlink ref="R10148" r:id="rId20292" location="" tooltip="" display=""/>
    <hyperlink ref="K10150" r:id="rId20293" location="" tooltip="" display=""/>
    <hyperlink ref="L10150" r:id="rId20294" location="" tooltip="" display=""/>
    <hyperlink ref="Q10150" r:id="rId20295" location="" tooltip="" display=""/>
    <hyperlink ref="R10150" r:id="rId20296" location="" tooltip="" display=""/>
    <hyperlink ref="L10151" r:id="rId20297" location="" tooltip="" display=""/>
    <hyperlink ref="R10151" r:id="rId20298" location="" tooltip="" display=""/>
    <hyperlink ref="K10153" r:id="rId20299" location="" tooltip="" display=""/>
    <hyperlink ref="L10153" r:id="rId20300" location="" tooltip="" display=""/>
    <hyperlink ref="Q10153" r:id="rId20301" location="" tooltip="" display=""/>
    <hyperlink ref="R10153" r:id="rId20302" location="" tooltip="" display=""/>
    <hyperlink ref="K10155" r:id="rId20303" location="" tooltip="" display=""/>
    <hyperlink ref="L10155" r:id="rId20304" location="" tooltip="" display=""/>
    <hyperlink ref="Q10155" r:id="rId20305" location="" tooltip="" display=""/>
    <hyperlink ref="R10155" r:id="rId20306" location="" tooltip="" display=""/>
    <hyperlink ref="L10156" r:id="rId20307" location="" tooltip="" display=""/>
    <hyperlink ref="R10156" r:id="rId20308" location="" tooltip="" display=""/>
    <hyperlink ref="K10158" r:id="rId20309" location="" tooltip="" display=""/>
    <hyperlink ref="L10158" r:id="rId20310" location="" tooltip="" display=""/>
    <hyperlink ref="Q10158" r:id="rId20311" location="" tooltip="" display=""/>
    <hyperlink ref="R10158" r:id="rId20312" location="" tooltip="" display=""/>
    <hyperlink ref="L10159" r:id="rId20313" location="" tooltip="" display=""/>
    <hyperlink ref="R10159" r:id="rId20314" location="" tooltip="" display=""/>
    <hyperlink ref="K10161" r:id="rId20315" location="" tooltip="" display=""/>
    <hyperlink ref="L10161" r:id="rId20316" location="" tooltip="" display=""/>
    <hyperlink ref="Q10161" r:id="rId20317" location="" tooltip="" display=""/>
    <hyperlink ref="R10161" r:id="rId20318" location="" tooltip="" display=""/>
    <hyperlink ref="L10162" r:id="rId20319" location="" tooltip="" display=""/>
    <hyperlink ref="R10162" r:id="rId20320" location="" tooltip="" display=""/>
    <hyperlink ref="K10164" r:id="rId20321" location="" tooltip="" display=""/>
    <hyperlink ref="L10164" r:id="rId20322" location="" tooltip="" display=""/>
    <hyperlink ref="Q10164" r:id="rId20323" location="" tooltip="" display=""/>
    <hyperlink ref="R10164" r:id="rId20324" location="" tooltip="" display=""/>
    <hyperlink ref="L10165" r:id="rId20325" location="" tooltip="" display=""/>
    <hyperlink ref="R10165" r:id="rId20326" location="" tooltip="" display=""/>
    <hyperlink ref="K10167" r:id="rId20327" location="" tooltip="" display=""/>
    <hyperlink ref="L10167" r:id="rId20328" location="" tooltip="" display=""/>
    <hyperlink ref="Q10167" r:id="rId20329" location="" tooltip="" display=""/>
    <hyperlink ref="R10167" r:id="rId20330" location="" tooltip="" display=""/>
    <hyperlink ref="K10169" r:id="rId20331" location="" tooltip="" display=""/>
    <hyperlink ref="L10169" r:id="rId20332" location="" tooltip="" display=""/>
    <hyperlink ref="Q10169" r:id="rId20333" location="" tooltip="" display=""/>
    <hyperlink ref="R10169" r:id="rId20334" location="" tooltip="" display=""/>
    <hyperlink ref="K10171" r:id="rId20335" location="" tooltip="" display=""/>
    <hyperlink ref="L10171" r:id="rId20336" location="" tooltip="" display=""/>
    <hyperlink ref="Q10171" r:id="rId20337" location="" tooltip="" display=""/>
    <hyperlink ref="R10171" r:id="rId20338" location="" tooltip="" display=""/>
    <hyperlink ref="L10172" r:id="rId20339" location="" tooltip="" display=""/>
    <hyperlink ref="R10172" r:id="rId20340" location="" tooltip="" display=""/>
    <hyperlink ref="K10174" r:id="rId20341" location="" tooltip="" display=""/>
    <hyperlink ref="L10174" r:id="rId20342" location="" tooltip="" display=""/>
    <hyperlink ref="Q10174" r:id="rId20343" location="" tooltip="" display=""/>
    <hyperlink ref="R10174" r:id="rId20344" location="" tooltip="" display=""/>
    <hyperlink ref="L10175" r:id="rId20345" location="" tooltip="" display=""/>
    <hyperlink ref="R10175" r:id="rId20346" location="" tooltip="" display=""/>
    <hyperlink ref="K10177" r:id="rId20347" location="" tooltip="" display=""/>
    <hyperlink ref="L10177" r:id="rId20348" location="" tooltip="" display=""/>
    <hyperlink ref="Q10177" r:id="rId20349" location="" tooltip="" display=""/>
    <hyperlink ref="R10177" r:id="rId20350" location="" tooltip="" display=""/>
    <hyperlink ref="L10178" r:id="rId20351" location="" tooltip="" display=""/>
    <hyperlink ref="R10178" r:id="rId20352" location="" tooltip="" display=""/>
    <hyperlink ref="K10180" r:id="rId20353" location="" tooltip="" display=""/>
    <hyperlink ref="L10180" r:id="rId20354" location="" tooltip="" display=""/>
    <hyperlink ref="Q10180" r:id="rId20355" location="" tooltip="" display=""/>
    <hyperlink ref="R10180" r:id="rId20356" location="" tooltip="" display=""/>
    <hyperlink ref="L10181" r:id="rId20357" location="" tooltip="" display=""/>
    <hyperlink ref="R10181" r:id="rId20358" location="" tooltip="" display=""/>
    <hyperlink ref="K10183" r:id="rId20359" location="" tooltip="" display=""/>
    <hyperlink ref="L10183" r:id="rId20360" location="" tooltip="" display=""/>
    <hyperlink ref="Q10183" r:id="rId20361" location="" tooltip="" display=""/>
    <hyperlink ref="R10183" r:id="rId20362" location="" tooltip="" display=""/>
    <hyperlink ref="L10184" r:id="rId20363" location="" tooltip="" display=""/>
    <hyperlink ref="R10184" r:id="rId20364" location="" tooltip="" display=""/>
    <hyperlink ref="K10186" r:id="rId20365" location="" tooltip="" display=""/>
    <hyperlink ref="L10186" r:id="rId20366" location="" tooltip="" display=""/>
    <hyperlink ref="Q10186" r:id="rId20367" location="" tooltip="" display=""/>
    <hyperlink ref="R10186" r:id="rId20368" location="" tooltip="" display=""/>
    <hyperlink ref="L10187" r:id="rId20369" location="" tooltip="" display=""/>
    <hyperlink ref="R10187" r:id="rId20370" location="" tooltip="" display=""/>
    <hyperlink ref="K10189" r:id="rId20371" location="" tooltip="" display=""/>
    <hyperlink ref="L10189" r:id="rId20372" location="" tooltip="" display=""/>
    <hyperlink ref="Q10189" r:id="rId20373" location="" tooltip="" display=""/>
    <hyperlink ref="R10189" r:id="rId20374" location="" tooltip="" display=""/>
    <hyperlink ref="K10191" r:id="rId20375" location="" tooltip="" display=""/>
    <hyperlink ref="L10191" r:id="rId20376" location="" tooltip="" display=""/>
    <hyperlink ref="Q10191" r:id="rId20377" location="" tooltip="" display=""/>
    <hyperlink ref="R10191" r:id="rId20378" location="" tooltip="" display=""/>
    <hyperlink ref="K10193" r:id="rId20379" location="" tooltip="" display=""/>
    <hyperlink ref="L10193" r:id="rId20380" location="" tooltip="" display=""/>
    <hyperlink ref="Q10193" r:id="rId20381" location="" tooltip="" display=""/>
    <hyperlink ref="R10193" r:id="rId20382" location="" tooltip="" display=""/>
    <hyperlink ref="L10194" r:id="rId20383" location="" tooltip="" display=""/>
    <hyperlink ref="R10194" r:id="rId20384" location="" tooltip="" display=""/>
    <hyperlink ref="K10196" r:id="rId20385" location="" tooltip="" display=""/>
    <hyperlink ref="L10196" r:id="rId20386" location="" tooltip="" display=""/>
    <hyperlink ref="Q10196" r:id="rId20387" location="" tooltip="" display=""/>
    <hyperlink ref="R10196" r:id="rId20388" location="" tooltip="" display=""/>
    <hyperlink ref="L10197" r:id="rId20389" location="" tooltip="" display=""/>
    <hyperlink ref="R10197" r:id="rId20390" location="" tooltip="" display=""/>
    <hyperlink ref="K10199" r:id="rId20391" location="" tooltip="" display=""/>
    <hyperlink ref="L10199" r:id="rId20392" location="" tooltip="" display=""/>
    <hyperlink ref="Q10199" r:id="rId20393" location="" tooltip="" display=""/>
    <hyperlink ref="R10199" r:id="rId20394" location="" tooltip="" display=""/>
    <hyperlink ref="K10201" r:id="rId20395" location="" tooltip="" display=""/>
    <hyperlink ref="L10201" r:id="rId20396" location="" tooltip="" display=""/>
    <hyperlink ref="Q10201" r:id="rId20397" location="" tooltip="" display=""/>
    <hyperlink ref="R10201" r:id="rId20398" location="" tooltip="" display=""/>
    <hyperlink ref="L10202" r:id="rId20399" location="" tooltip="" display=""/>
    <hyperlink ref="R10202" r:id="rId20400" location="" tooltip="" display=""/>
    <hyperlink ref="K10204" r:id="rId20401" location="" tooltip="" display=""/>
    <hyperlink ref="L10204" r:id="rId20402" location="" tooltip="" display=""/>
    <hyperlink ref="Q10204" r:id="rId20403" location="" tooltip="" display=""/>
    <hyperlink ref="R10204" r:id="rId20404" location="" tooltip="" display=""/>
    <hyperlink ref="K10206" r:id="rId20405" location="" tooltip="" display=""/>
    <hyperlink ref="L10206" r:id="rId20406" location="" tooltip="" display=""/>
    <hyperlink ref="Q10206" r:id="rId20407" location="" tooltip="" display=""/>
    <hyperlink ref="R10206" r:id="rId20408" location="" tooltip="" display=""/>
    <hyperlink ref="K10208" r:id="rId20409" location="" tooltip="" display=""/>
    <hyperlink ref="L10208" r:id="rId20410" location="" tooltip="" display=""/>
    <hyperlink ref="Q10208" r:id="rId20411" location="" tooltip="" display=""/>
    <hyperlink ref="R10208" r:id="rId20412" location="" tooltip="" display=""/>
    <hyperlink ref="L10209" r:id="rId20413" location="" tooltip="" display=""/>
    <hyperlink ref="R10209" r:id="rId20414" location="" tooltip="" display=""/>
    <hyperlink ref="K10211" r:id="rId20415" location="" tooltip="" display=""/>
    <hyperlink ref="L10211" r:id="rId20416" location="" tooltip="" display=""/>
    <hyperlink ref="Q10211" r:id="rId20417" location="" tooltip="" display=""/>
    <hyperlink ref="R10211" r:id="rId20418" location="" tooltip="" display=""/>
    <hyperlink ref="L10212" r:id="rId20419" location="" tooltip="" display=""/>
    <hyperlink ref="R10212" r:id="rId20420" location="" tooltip="" display=""/>
    <hyperlink ref="K10214" r:id="rId20421" location="" tooltip="" display=""/>
    <hyperlink ref="L10214" r:id="rId20422" location="" tooltip="" display=""/>
    <hyperlink ref="Q10214" r:id="rId20423" location="" tooltip="" display=""/>
    <hyperlink ref="R10214" r:id="rId20424" location="" tooltip="" display=""/>
    <hyperlink ref="L10215" r:id="rId20425" location="" tooltip="" display=""/>
    <hyperlink ref="R10215" r:id="rId20426" location="" tooltip="" display=""/>
    <hyperlink ref="K10217" r:id="rId20427" location="" tooltip="" display=""/>
    <hyperlink ref="L10217" r:id="rId20428" location="" tooltip="" display=""/>
    <hyperlink ref="Q10217" r:id="rId20429" location="" tooltip="" display=""/>
    <hyperlink ref="R10217" r:id="rId20430" location="" tooltip="" display=""/>
    <hyperlink ref="L10218" r:id="rId20431" location="" tooltip="" display=""/>
    <hyperlink ref="R10218" r:id="rId20432" location="" tooltip="" display=""/>
    <hyperlink ref="K10220" r:id="rId20433" location="" tooltip="" display=""/>
    <hyperlink ref="L10220" r:id="rId20434" location="" tooltip="" display=""/>
    <hyperlink ref="Q10220" r:id="rId20435" location="" tooltip="" display=""/>
    <hyperlink ref="R10220" r:id="rId20436" location="" tooltip="" display=""/>
    <hyperlink ref="L10221" r:id="rId20437" location="" tooltip="" display=""/>
    <hyperlink ref="R10221" r:id="rId20438" location="" tooltip="" display=""/>
    <hyperlink ref="K10223" r:id="rId20439" location="" tooltip="" display=""/>
    <hyperlink ref="L10223" r:id="rId20440" location="" tooltip="" display=""/>
    <hyperlink ref="Q10223" r:id="rId20441" location="" tooltip="" display=""/>
    <hyperlink ref="R10223" r:id="rId20442" location="" tooltip="" display=""/>
    <hyperlink ref="L10224" r:id="rId20443" location="" tooltip="" display=""/>
    <hyperlink ref="R10224" r:id="rId20444" location="" tooltip="" display=""/>
    <hyperlink ref="K10226" r:id="rId20445" location="" tooltip="" display=""/>
    <hyperlink ref="L10226" r:id="rId20446" location="" tooltip="" display=""/>
    <hyperlink ref="Q10226" r:id="rId20447" location="" tooltip="" display=""/>
    <hyperlink ref="R10226" r:id="rId20448" location="" tooltip="" display=""/>
    <hyperlink ref="L10227" r:id="rId20449" location="" tooltip="" display=""/>
    <hyperlink ref="R10227" r:id="rId20450" location="" tooltip="" display=""/>
    <hyperlink ref="K10229" r:id="rId20451" location="" tooltip="" display=""/>
    <hyperlink ref="L10229" r:id="rId20452" location="" tooltip="" display=""/>
    <hyperlink ref="Q10229" r:id="rId20453" location="" tooltip="" display=""/>
    <hyperlink ref="R10229" r:id="rId20454" location="" tooltip="" display=""/>
    <hyperlink ref="L10230" r:id="rId20455" location="" tooltip="" display=""/>
    <hyperlink ref="R10230" r:id="rId20456" location="" tooltip="" display=""/>
    <hyperlink ref="K10232" r:id="rId20457" location="" tooltip="" display=""/>
    <hyperlink ref="L10232" r:id="rId20458" location="" tooltip="" display=""/>
    <hyperlink ref="Q10232" r:id="rId20459" location="" tooltip="" display=""/>
    <hyperlink ref="R10232" r:id="rId20460" location="" tooltip="" display=""/>
    <hyperlink ref="L10233" r:id="rId20461" location="" tooltip="" display=""/>
    <hyperlink ref="R10233" r:id="rId20462" location="" tooltip="" display=""/>
    <hyperlink ref="K10235" r:id="rId20463" location="" tooltip="" display=""/>
    <hyperlink ref="L10235" r:id="rId20464" location="" tooltip="" display=""/>
    <hyperlink ref="Q10235" r:id="rId20465" location="" tooltip="" display=""/>
    <hyperlink ref="R10235" r:id="rId20466" location="" tooltip="" display=""/>
    <hyperlink ref="L10236" r:id="rId20467" location="" tooltip="" display=""/>
    <hyperlink ref="R10236" r:id="rId20468" location="" tooltip="" display=""/>
    <hyperlink ref="K10238" r:id="rId20469" location="" tooltip="" display=""/>
    <hyperlink ref="L10238" r:id="rId20470" location="" tooltip="" display=""/>
    <hyperlink ref="Q10238" r:id="rId20471" location="" tooltip="" display=""/>
    <hyperlink ref="R10238" r:id="rId20472" location="" tooltip="" display=""/>
    <hyperlink ref="L10239" r:id="rId20473" location="" tooltip="" display=""/>
    <hyperlink ref="R10239" r:id="rId20474" location="" tooltip="" display=""/>
    <hyperlink ref="K10241" r:id="rId20475" location="" tooltip="" display=""/>
    <hyperlink ref="L10241" r:id="rId20476" location="" tooltip="" display=""/>
    <hyperlink ref="Q10241" r:id="rId20477" location="" tooltip="" display=""/>
    <hyperlink ref="R10241" r:id="rId20478" location="" tooltip="" display=""/>
    <hyperlink ref="L10242" r:id="rId20479" location="" tooltip="" display=""/>
    <hyperlink ref="R10242" r:id="rId20480" location="" tooltip="" display=""/>
    <hyperlink ref="K10244" r:id="rId20481" location="" tooltip="" display=""/>
    <hyperlink ref="L10244" r:id="rId20482" location="" tooltip="" display=""/>
    <hyperlink ref="Q10244" r:id="rId20483" location="" tooltip="" display=""/>
    <hyperlink ref="R10244" r:id="rId20484" location="" tooltip="" display=""/>
    <hyperlink ref="K10246" r:id="rId20485" location="" tooltip="" display=""/>
    <hyperlink ref="L10246" r:id="rId20486" location="" tooltip="" display=""/>
    <hyperlink ref="Q10246" r:id="rId20487" location="" tooltip="" display=""/>
    <hyperlink ref="R10246" r:id="rId20488" location="" tooltip="" display=""/>
    <hyperlink ref="K10248" r:id="rId20489" location="" tooltip="" display=""/>
    <hyperlink ref="L10248" r:id="rId20490" location="" tooltip="" display=""/>
    <hyperlink ref="Q10248" r:id="rId20491" location="" tooltip="" display=""/>
    <hyperlink ref="R10248" r:id="rId20492" location="" tooltip="" display=""/>
    <hyperlink ref="L10249" r:id="rId20493" location="" tooltip="" display=""/>
    <hyperlink ref="R10249" r:id="rId20494" location="" tooltip="" display=""/>
    <hyperlink ref="L10251" r:id="rId20495" location="" tooltip="" display=""/>
    <hyperlink ref="R10251" r:id="rId20496" location="" tooltip="" display=""/>
    <hyperlink ref="K10252" r:id="rId20497" location="" tooltip="" display=""/>
    <hyperlink ref="L10252" r:id="rId20498" location="" tooltip="" display=""/>
    <hyperlink ref="Q10252" r:id="rId20499" location="" tooltip="" display=""/>
    <hyperlink ref="R10252" r:id="rId20500" location="" tooltip="" display=""/>
    <hyperlink ref="L10253" r:id="rId20501" location="" tooltip="" display=""/>
    <hyperlink ref="R10253" r:id="rId20502" location="" tooltip="" display=""/>
    <hyperlink ref="L10254" r:id="rId20503" location="" tooltip="" display=""/>
    <hyperlink ref="R10254" r:id="rId20504" location="" tooltip="" display=""/>
    <hyperlink ref="K10256" r:id="rId20505" location="" tooltip="" display=""/>
    <hyperlink ref="L10256" r:id="rId20506" location="" tooltip="" display=""/>
    <hyperlink ref="Q10256" r:id="rId20507" location="" tooltip="" display=""/>
    <hyperlink ref="R10256" r:id="rId20508" location="" tooltip="" display=""/>
    <hyperlink ref="L10257" r:id="rId20509" location="" tooltip="" display=""/>
    <hyperlink ref="R10257" r:id="rId20510" location="" tooltip="" display=""/>
    <hyperlink ref="K10259" r:id="rId20511" location="" tooltip="" display=""/>
    <hyperlink ref="L10259" r:id="rId20512" location="" tooltip="" display=""/>
    <hyperlink ref="Q10259" r:id="rId20513" location="" tooltip="" display=""/>
    <hyperlink ref="R10259" r:id="rId20514" location="" tooltip="" display=""/>
    <hyperlink ref="L10260" r:id="rId20515" location="" tooltip="" display=""/>
    <hyperlink ref="R10260" r:id="rId20516" location="" tooltip="" display=""/>
    <hyperlink ref="K10262" r:id="rId20517" location="" tooltip="" display=""/>
    <hyperlink ref="L10262" r:id="rId20518" location="" tooltip="" display=""/>
    <hyperlink ref="Q10262" r:id="rId20519" location="" tooltip="" display=""/>
    <hyperlink ref="R10262" r:id="rId20520" location="" tooltip="" display=""/>
    <hyperlink ref="L10263" r:id="rId20521" location="" tooltip="" display=""/>
    <hyperlink ref="R10263" r:id="rId20522" location="" tooltip="" display=""/>
    <hyperlink ref="L10265" r:id="rId20523" location="" tooltip="" display=""/>
    <hyperlink ref="R10265" r:id="rId20524" location="" tooltip="" display=""/>
    <hyperlink ref="K10266" r:id="rId20525" location="" tooltip="" display=""/>
    <hyperlink ref="L10266" r:id="rId20526" location="" tooltip="" display=""/>
    <hyperlink ref="Q10266" r:id="rId20527" location="" tooltip="" display=""/>
    <hyperlink ref="R10266" r:id="rId20528" location="" tooltip="" display=""/>
    <hyperlink ref="L10267" r:id="rId20529" location="" tooltip="" display=""/>
    <hyperlink ref="R10267" r:id="rId20530" location="" tooltip="" display=""/>
    <hyperlink ref="L10269" r:id="rId20531" location="" tooltip="" display=""/>
    <hyperlink ref="R10269" r:id="rId20532" location="" tooltip="" display=""/>
    <hyperlink ref="K10270" r:id="rId20533" location="" tooltip="" display=""/>
    <hyperlink ref="L10270" r:id="rId20534" location="" tooltip="" display=""/>
    <hyperlink ref="Q10270" r:id="rId20535" location="" tooltip="" display=""/>
    <hyperlink ref="R10270" r:id="rId20536" location="" tooltip="" display=""/>
    <hyperlink ref="L10271" r:id="rId20537" location="" tooltip="" display=""/>
    <hyperlink ref="R10271" r:id="rId20538" location="" tooltip="" display=""/>
    <hyperlink ref="L10272" r:id="rId20539" location="" tooltip="" display=""/>
    <hyperlink ref="R10272" r:id="rId20540" location="" tooltip="" display=""/>
    <hyperlink ref="K10274" r:id="rId20541" location="" tooltip="" display=""/>
    <hyperlink ref="L10274" r:id="rId20542" location="" tooltip="" display=""/>
    <hyperlink ref="Q10274" r:id="rId20543" location="" tooltip="" display=""/>
    <hyperlink ref="R10274" r:id="rId20544" location="" tooltip="" display=""/>
    <hyperlink ref="L10275" r:id="rId20545" location="" tooltip="" display=""/>
    <hyperlink ref="R10275" r:id="rId20546" location="" tooltip="" display=""/>
    <hyperlink ref="K10277" r:id="rId20547" location="" tooltip="" display=""/>
    <hyperlink ref="L10277" r:id="rId20548" location="" tooltip="" display=""/>
    <hyperlink ref="Q10277" r:id="rId20549" location="" tooltip="" display=""/>
    <hyperlink ref="R10277" r:id="rId20550" location="" tooltip="" display=""/>
    <hyperlink ref="K10279" r:id="rId20551" location="" tooltip="" display=""/>
    <hyperlink ref="L10279" r:id="rId20552" location="" tooltip="" display=""/>
    <hyperlink ref="Q10279" r:id="rId20553" location="" tooltip="" display=""/>
    <hyperlink ref="R10279" r:id="rId20554" location="" tooltip="" display=""/>
    <hyperlink ref="K10281" r:id="rId20555" location="" tooltip="" display=""/>
    <hyperlink ref="L10281" r:id="rId20556" location="" tooltip="" display=""/>
    <hyperlink ref="Q10281" r:id="rId20557" location="" tooltip="" display=""/>
    <hyperlink ref="R10281" r:id="rId20558" location="" tooltip="" display=""/>
    <hyperlink ref="K10283" r:id="rId20559" location="" tooltip="" display=""/>
    <hyperlink ref="L10283" r:id="rId20560" location="" tooltip="" display=""/>
    <hyperlink ref="Q10283" r:id="rId20561" location="" tooltip="" display=""/>
    <hyperlink ref="R10283" r:id="rId20562" location="" tooltip="" display=""/>
    <hyperlink ref="L10284" r:id="rId20563" location="" tooltip="" display=""/>
    <hyperlink ref="R10284" r:id="rId20564" location="" tooltip="" display=""/>
    <hyperlink ref="K10286" r:id="rId20565" location="" tooltip="" display=""/>
    <hyperlink ref="L10286" r:id="rId20566" location="" tooltip="" display=""/>
    <hyperlink ref="Q10286" r:id="rId20567" location="" tooltip="" display=""/>
    <hyperlink ref="R10286" r:id="rId20568" location="" tooltip="" display=""/>
    <hyperlink ref="K10288" r:id="rId20569" location="" tooltip="" display=""/>
    <hyperlink ref="L10288" r:id="rId20570" location="" tooltip="" display=""/>
    <hyperlink ref="Q10288" r:id="rId20571" location="" tooltip="" display=""/>
    <hyperlink ref="R10288" r:id="rId20572" location="" tooltip="" display=""/>
    <hyperlink ref="K10290" r:id="rId20573" location="" tooltip="" display=""/>
    <hyperlink ref="L10290" r:id="rId20574" location="" tooltip="" display=""/>
    <hyperlink ref="Q10290" r:id="rId20575" location="" tooltip="" display=""/>
    <hyperlink ref="R10290" r:id="rId20576" location="" tooltip="" display=""/>
    <hyperlink ref="L10291" r:id="rId20577" location="" tooltip="" display=""/>
    <hyperlink ref="R10291" r:id="rId20578" location="" tooltip="" display=""/>
    <hyperlink ref="K10293" r:id="rId20579" location="" tooltip="" display=""/>
    <hyperlink ref="L10293" r:id="rId20580" location="" tooltip="" display=""/>
    <hyperlink ref="Q10293" r:id="rId20581" location="" tooltip="" display=""/>
    <hyperlink ref="R10293" r:id="rId20582" location="" tooltip="" display=""/>
    <hyperlink ref="K10295" r:id="rId20583" location="" tooltip="" display=""/>
    <hyperlink ref="L10295" r:id="rId20584" location="" tooltip="" display=""/>
    <hyperlink ref="Q10295" r:id="rId20585" location="" tooltip="" display=""/>
    <hyperlink ref="R10295" r:id="rId20586" location="" tooltip="" display=""/>
    <hyperlink ref="K10297" r:id="rId20587" location="" tooltip="" display=""/>
    <hyperlink ref="L10297" r:id="rId20588" location="" tooltip="" display=""/>
    <hyperlink ref="Q10297" r:id="rId20589" location="" tooltip="" display=""/>
    <hyperlink ref="R10297" r:id="rId20590" location="" tooltip="" display=""/>
    <hyperlink ref="L10298" r:id="rId20591" location="" tooltip="" display=""/>
    <hyperlink ref="R10298" r:id="rId20592" location="" tooltip="" display=""/>
    <hyperlink ref="K10300" r:id="rId20593" location="" tooltip="" display=""/>
    <hyperlink ref="L10300" r:id="rId20594" location="" tooltip="" display=""/>
    <hyperlink ref="Q10300" r:id="rId20595" location="" tooltip="" display=""/>
    <hyperlink ref="R10300" r:id="rId20596" location="" tooltip="" display=""/>
    <hyperlink ref="K10302" r:id="rId20597" location="" tooltip="" display=""/>
    <hyperlink ref="L10302" r:id="rId20598" location="" tooltip="" display=""/>
    <hyperlink ref="Q10302" r:id="rId20599" location="" tooltip="" display=""/>
    <hyperlink ref="R10302" r:id="rId20600" location="" tooltip="" display=""/>
    <hyperlink ref="K10304" r:id="rId20601" location="" tooltip="" display=""/>
    <hyperlink ref="L10304" r:id="rId20602" location="" tooltip="" display=""/>
    <hyperlink ref="Q10304" r:id="rId20603" location="" tooltip="" display=""/>
    <hyperlink ref="R10304" r:id="rId20604" location="" tooltip="" display=""/>
    <hyperlink ref="K10306" r:id="rId20605" location="" tooltip="" display=""/>
    <hyperlink ref="L10306" r:id="rId20606" location="" tooltip="" display=""/>
    <hyperlink ref="Q10306" r:id="rId20607" location="" tooltip="" display=""/>
    <hyperlink ref="R10306" r:id="rId20608" location="" tooltip="" display=""/>
    <hyperlink ref="L10307" r:id="rId20609" location="" tooltip="" display=""/>
    <hyperlink ref="R10307" r:id="rId20610" location="" tooltip="" display=""/>
    <hyperlink ref="K10309" r:id="rId20611" location="" tooltip="" display=""/>
    <hyperlink ref="L10309" r:id="rId20612" location="" tooltip="" display=""/>
    <hyperlink ref="Q10309" r:id="rId20613" location="" tooltip="" display=""/>
    <hyperlink ref="R10309" r:id="rId20614" location="" tooltip="" display=""/>
    <hyperlink ref="L10310" r:id="rId20615" location="" tooltip="" display=""/>
    <hyperlink ref="R10310" r:id="rId20616" location="" tooltip="" display=""/>
    <hyperlink ref="K10312" r:id="rId20617" location="" tooltip="" display=""/>
    <hyperlink ref="L10312" r:id="rId20618" location="" tooltip="" display=""/>
    <hyperlink ref="Q10312" r:id="rId20619" location="" tooltip="" display=""/>
    <hyperlink ref="R10312" r:id="rId20620" location="" tooltip="" display=""/>
    <hyperlink ref="L10313" r:id="rId20621" location="" tooltip="" display=""/>
    <hyperlink ref="R10313" r:id="rId20622" location="" tooltip="" display=""/>
    <hyperlink ref="K10315" r:id="rId20623" location="" tooltip="" display=""/>
    <hyperlink ref="L10315" r:id="rId20624" location="" tooltip="" display=""/>
    <hyperlink ref="Q10315" r:id="rId20625" location="" tooltip="" display=""/>
    <hyperlink ref="R10315" r:id="rId20626" location="" tooltip="" display=""/>
    <hyperlink ref="K10317" r:id="rId20627" location="" tooltip="" display=""/>
    <hyperlink ref="L10317" r:id="rId20628" location="" tooltip="" display=""/>
    <hyperlink ref="Q10317" r:id="rId20629" location="" tooltip="" display=""/>
    <hyperlink ref="R10317" r:id="rId20630" location="" tooltip="" display=""/>
    <hyperlink ref="L10318" r:id="rId20631" location="" tooltip="" display=""/>
    <hyperlink ref="R10318" r:id="rId20632" location="" tooltip="" display=""/>
    <hyperlink ref="K10320" r:id="rId20633" location="" tooltip="" display=""/>
    <hyperlink ref="L10320" r:id="rId20634" location="" tooltip="" display=""/>
    <hyperlink ref="Q10320" r:id="rId20635" location="" tooltip="" display=""/>
    <hyperlink ref="R10320" r:id="rId20636" location="" tooltip="" display=""/>
    <hyperlink ref="L10321" r:id="rId20637" location="" tooltip="" display=""/>
    <hyperlink ref="R10321" r:id="rId20638" location="" tooltip="" display=""/>
    <hyperlink ref="K10323" r:id="rId20639" location="" tooltip="" display=""/>
    <hyperlink ref="L10323" r:id="rId20640" location="" tooltip="" display=""/>
    <hyperlink ref="Q10323" r:id="rId20641" location="" tooltip="" display=""/>
    <hyperlink ref="R10323" r:id="rId20642" location="" tooltip="" display=""/>
    <hyperlink ref="K10325" r:id="rId20643" location="" tooltip="" display=""/>
    <hyperlink ref="L10325" r:id="rId20644" location="" tooltip="" display=""/>
    <hyperlink ref="Q10325" r:id="rId20645" location="" tooltip="" display=""/>
    <hyperlink ref="R10325" r:id="rId20646" location="" tooltip="" display=""/>
    <hyperlink ref="K10327" r:id="rId20647" location="" tooltip="" display=""/>
    <hyperlink ref="L10327" r:id="rId20648" location="" tooltip="" display=""/>
    <hyperlink ref="Q10327" r:id="rId20649" location="" tooltip="" display=""/>
    <hyperlink ref="R10327" r:id="rId20650" location="" tooltip="" display=""/>
    <hyperlink ref="K10329" r:id="rId20651" location="" tooltip="" display=""/>
    <hyperlink ref="L10329" r:id="rId20652" location="" tooltip="" display=""/>
    <hyperlink ref="Q10329" r:id="rId20653" location="" tooltip="" display=""/>
    <hyperlink ref="R10329" r:id="rId20654" location="" tooltip="" display=""/>
    <hyperlink ref="L10330" r:id="rId20655" location="" tooltip="" display=""/>
    <hyperlink ref="R10330" r:id="rId20656" location="" tooltip="" display=""/>
    <hyperlink ref="K10332" r:id="rId20657" location="" tooltip="" display=""/>
    <hyperlink ref="L10332" r:id="rId20658" location="" tooltip="" display=""/>
    <hyperlink ref="Q10332" r:id="rId20659" location="" tooltip="" display=""/>
    <hyperlink ref="R10332" r:id="rId20660" location="" tooltip="" display=""/>
    <hyperlink ref="L10333" r:id="rId20661" location="" tooltip="" display=""/>
    <hyperlink ref="R10333" r:id="rId20662" location="" tooltip="" display=""/>
    <hyperlink ref="K10335" r:id="rId20663" location="" tooltip="" display=""/>
    <hyperlink ref="L10335" r:id="rId20664" location="" tooltip="" display=""/>
    <hyperlink ref="Q10335" r:id="rId20665" location="" tooltip="" display=""/>
    <hyperlink ref="R10335" r:id="rId20666" location="" tooltip="" display=""/>
    <hyperlink ref="K10337" r:id="rId20667" location="" tooltip="" display=""/>
    <hyperlink ref="L10337" r:id="rId20668" location="" tooltip="" display=""/>
    <hyperlink ref="Q10337" r:id="rId20669" location="" tooltip="" display=""/>
    <hyperlink ref="R10337" r:id="rId20670" location="" tooltip="" display=""/>
    <hyperlink ref="K10339" r:id="rId20671" location="" tooltip="" display=""/>
    <hyperlink ref="L10339" r:id="rId20672" location="" tooltip="" display=""/>
    <hyperlink ref="Q10339" r:id="rId20673" location="" tooltip="" display=""/>
    <hyperlink ref="R10339" r:id="rId20674" location="" tooltip="" display=""/>
    <hyperlink ref="K10341" r:id="rId20675" location="" tooltip="" display=""/>
    <hyperlink ref="L10341" r:id="rId20676" location="" tooltip="" display=""/>
    <hyperlink ref="Q10341" r:id="rId20677" location="" tooltip="" display=""/>
    <hyperlink ref="R10341" r:id="rId20678" location="" tooltip="" display=""/>
    <hyperlink ref="L10343" r:id="rId20679" location="" tooltip="" display=""/>
    <hyperlink ref="R10343" r:id="rId20680" location="" tooltip="" display=""/>
    <hyperlink ref="K10344" r:id="rId20681" location="" tooltip="" display=""/>
    <hyperlink ref="L10344" r:id="rId20682" location="" tooltip="" display=""/>
    <hyperlink ref="Q10344" r:id="rId20683" location="" tooltip="" display=""/>
    <hyperlink ref="R10344" r:id="rId20684" location="" tooltip="" display=""/>
    <hyperlink ref="L10345" r:id="rId20685" location="" tooltip="" display=""/>
    <hyperlink ref="R10345" r:id="rId20686" location="" tooltip="" display=""/>
    <hyperlink ref="K10347" r:id="rId20687" location="" tooltip="" display=""/>
    <hyperlink ref="L10347" r:id="rId20688" location="" tooltip="" display=""/>
    <hyperlink ref="Q10347" r:id="rId20689" location="" tooltip="" display=""/>
    <hyperlink ref="R10347" r:id="rId20690" location="" tooltip="" display=""/>
    <hyperlink ref="L10348" r:id="rId20691" location="" tooltip="" display=""/>
    <hyperlink ref="R10348" r:id="rId20692" location="" tooltip="" display=""/>
    <hyperlink ref="K10350" r:id="rId20693" location="" tooltip="" display=""/>
    <hyperlink ref="L10350" r:id="rId20694" location="" tooltip="" display=""/>
    <hyperlink ref="Q10350" r:id="rId20695" location="" tooltip="" display=""/>
    <hyperlink ref="R10350" r:id="rId20696" location="" tooltip="" display=""/>
    <hyperlink ref="L10351" r:id="rId20697" location="" tooltip="" display=""/>
    <hyperlink ref="R10351" r:id="rId20698" location="" tooltip="" display=""/>
    <hyperlink ref="K10353" r:id="rId20699" location="" tooltip="" display=""/>
    <hyperlink ref="L10353" r:id="rId20700" location="" tooltip="" display=""/>
    <hyperlink ref="Q10353" r:id="rId20701" location="" tooltip="" display=""/>
    <hyperlink ref="R10353" r:id="rId20702" location="" tooltip="" display=""/>
    <hyperlink ref="K10355" r:id="rId20703" location="" tooltip="" display=""/>
    <hyperlink ref="L10355" r:id="rId20704" location="" tooltip="" display=""/>
    <hyperlink ref="Q10355" r:id="rId20705" location="" tooltip="" display=""/>
    <hyperlink ref="R10355" r:id="rId20706" location="" tooltip="" display=""/>
    <hyperlink ref="K10357" r:id="rId20707" location="" tooltip="" display=""/>
    <hyperlink ref="L10357" r:id="rId20708" location="" tooltip="" display=""/>
    <hyperlink ref="Q10357" r:id="rId20709" location="" tooltip="" display=""/>
    <hyperlink ref="R10357" r:id="rId20710" location="" tooltip="" display=""/>
    <hyperlink ref="K10359" r:id="rId20711" location="" tooltip="" display=""/>
    <hyperlink ref="L10359" r:id="rId20712" location="" tooltip="" display=""/>
    <hyperlink ref="Q10359" r:id="rId20713" location="" tooltip="" display=""/>
    <hyperlink ref="R10359" r:id="rId20714" location="" tooltip="" display=""/>
    <hyperlink ref="L10361" r:id="rId20715" location="" tooltip="" display=""/>
    <hyperlink ref="R10361" r:id="rId20716" location="" tooltip="" display=""/>
    <hyperlink ref="L10362" r:id="rId20717" location="" tooltip="" display=""/>
    <hyperlink ref="R10362" r:id="rId20718" location="" tooltip="" display=""/>
    <hyperlink ref="K10363" r:id="rId20719" location="" tooltip="" display=""/>
    <hyperlink ref="L10363" r:id="rId20720" location="" tooltip="" display=""/>
    <hyperlink ref="Q10363" r:id="rId20721" location="" tooltip="" display=""/>
    <hyperlink ref="R10363" r:id="rId20722" location="" tooltip="" display=""/>
    <hyperlink ref="L10364" r:id="rId20723" location="" tooltip="" display=""/>
    <hyperlink ref="R10364" r:id="rId20724" location="" tooltip="" display=""/>
    <hyperlink ref="L10365" r:id="rId20725" location="" tooltip="" display=""/>
    <hyperlink ref="R10365" r:id="rId20726" location="" tooltip="" display=""/>
    <hyperlink ref="L10366" r:id="rId20727" location="" tooltip="" display=""/>
    <hyperlink ref="R10366" r:id="rId20728" location="" tooltip="" display=""/>
    <hyperlink ref="K10368" r:id="rId20729" location="" tooltip="" display=""/>
    <hyperlink ref="L10368" r:id="rId20730" location="" tooltip="" display=""/>
    <hyperlink ref="Q10368" r:id="rId20731" location="" tooltip="" display=""/>
    <hyperlink ref="R10368" r:id="rId20732" location="" tooltip="" display=""/>
    <hyperlink ref="L10369" r:id="rId20733" location="" tooltip="" display=""/>
    <hyperlink ref="R10369" r:id="rId20734" location="" tooltip="" display=""/>
    <hyperlink ref="L10371" r:id="rId20735" location="" tooltip="" display=""/>
    <hyperlink ref="R10371" r:id="rId20736" location="" tooltip="" display=""/>
    <hyperlink ref="K10372" r:id="rId20737" location="" tooltip="" display=""/>
    <hyperlink ref="L10372" r:id="rId20738" location="" tooltip="" display=""/>
    <hyperlink ref="Q10372" r:id="rId20739" location="" tooltip="" display=""/>
    <hyperlink ref="R10372" r:id="rId20740" location="" tooltip="" display=""/>
    <hyperlink ref="L10373" r:id="rId20741" location="" tooltip="" display=""/>
    <hyperlink ref="R10373" r:id="rId20742" location="" tooltip="" display=""/>
    <hyperlink ref="L10374" r:id="rId20743" location="" tooltip="" display=""/>
    <hyperlink ref="R10374" r:id="rId20744" location="" tooltip="" display=""/>
    <hyperlink ref="K10376" r:id="rId20745" location="" tooltip="" display=""/>
    <hyperlink ref="L10376" r:id="rId20746" location="" tooltip="" display=""/>
    <hyperlink ref="Q10376" r:id="rId20747" location="" tooltip="" display=""/>
    <hyperlink ref="R10376" r:id="rId20748" location="" tooltip="" display=""/>
    <hyperlink ref="L10377" r:id="rId20749" location="" tooltip="" display=""/>
    <hyperlink ref="R10377" r:id="rId20750" location="" tooltip="" display=""/>
    <hyperlink ref="L10379" r:id="rId20751" location="" tooltip="" display=""/>
    <hyperlink ref="R10379" r:id="rId20752" location="" tooltip="" display=""/>
    <hyperlink ref="L10380" r:id="rId20753" location="" tooltip="" display=""/>
    <hyperlink ref="R10380" r:id="rId20754" location="" tooltip="" display=""/>
    <hyperlink ref="K10381" r:id="rId20755" location="" tooltip="" display=""/>
    <hyperlink ref="L10381" r:id="rId20756" location="" tooltip="" display=""/>
    <hyperlink ref="Q10381" r:id="rId20757" location="" tooltip="" display=""/>
    <hyperlink ref="R10381" r:id="rId20758" location="" tooltip="" display=""/>
    <hyperlink ref="L10382" r:id="rId20759" location="" tooltip="" display=""/>
    <hyperlink ref="R10382" r:id="rId20760" location="" tooltip="" display=""/>
    <hyperlink ref="L10383" r:id="rId20761" location="" tooltip="" display=""/>
    <hyperlink ref="R10383" r:id="rId20762" location="" tooltip="" display=""/>
    <hyperlink ref="L10384" r:id="rId20763" location="" tooltip="" display=""/>
    <hyperlink ref="R10384" r:id="rId20764" location="" tooltip="" display=""/>
    <hyperlink ref="K10386" r:id="rId20765" location="" tooltip="" display=""/>
    <hyperlink ref="L10386" r:id="rId20766" location="" tooltip="" display=""/>
    <hyperlink ref="Q10386" r:id="rId20767" location="" tooltip="" display=""/>
    <hyperlink ref="R10386" r:id="rId20768" location="" tooltip="" display=""/>
    <hyperlink ref="L10388" r:id="rId20769" location="" tooltip="" display=""/>
    <hyperlink ref="R10388" r:id="rId20770" location="" tooltip="" display=""/>
    <hyperlink ref="K10389" r:id="rId20771" location="" tooltip="" display=""/>
    <hyperlink ref="L10389" r:id="rId20772" location="" tooltip="" display=""/>
    <hyperlink ref="Q10389" r:id="rId20773" location="" tooltip="" display=""/>
    <hyperlink ref="R10389" r:id="rId20774" location="" tooltip="" display=""/>
    <hyperlink ref="L10390" r:id="rId20775" location="" tooltip="" display=""/>
    <hyperlink ref="R10390" r:id="rId20776" location="" tooltip="" display=""/>
    <hyperlink ref="L10391" r:id="rId20777" location="" tooltip="" display=""/>
    <hyperlink ref="R10391" r:id="rId20778" location="" tooltip="" display=""/>
    <hyperlink ref="K10393" r:id="rId20779" location="" tooltip="" display=""/>
    <hyperlink ref="L10393" r:id="rId20780" location="" tooltip="" display=""/>
    <hyperlink ref="Q10393" r:id="rId20781" location="" tooltip="" display=""/>
    <hyperlink ref="R10393" r:id="rId20782" location="" tooltip="" display=""/>
    <hyperlink ref="L10394" r:id="rId20783" location="" tooltip="" display=""/>
    <hyperlink ref="R10394" r:id="rId20784" location="" tooltip="" display=""/>
    <hyperlink ref="K10396" r:id="rId20785" location="" tooltip="" display=""/>
    <hyperlink ref="L10396" r:id="rId20786" location="" tooltip="" display=""/>
    <hyperlink ref="Q10396" r:id="rId20787" location="" tooltip="" display=""/>
    <hyperlink ref="R10396" r:id="rId20788" location="" tooltip="" display=""/>
    <hyperlink ref="L10397" r:id="rId20789" location="" tooltip="" display=""/>
    <hyperlink ref="R10397" r:id="rId20790" location="" tooltip="" display=""/>
    <hyperlink ref="L10399" r:id="rId20791" location="" tooltip="" display=""/>
    <hyperlink ref="R10399" r:id="rId20792" location="" tooltip="" display=""/>
    <hyperlink ref="L10400" r:id="rId20793" location="" tooltip="" display=""/>
    <hyperlink ref="R10400" r:id="rId20794" location="" tooltip="" display=""/>
    <hyperlink ref="K10401" r:id="rId20795" location="" tooltip="" display=""/>
    <hyperlink ref="L10401" r:id="rId20796" location="" tooltip="" display=""/>
    <hyperlink ref="Q10401" r:id="rId20797" location="" tooltip="" display=""/>
    <hyperlink ref="R10401" r:id="rId20798" location="" tooltip="" display=""/>
    <hyperlink ref="L10402" r:id="rId20799" location="" tooltip="" display=""/>
    <hyperlink ref="R10402" r:id="rId20800" location="" tooltip="" display=""/>
    <hyperlink ref="L10403" r:id="rId20801" location="" tooltip="" display=""/>
    <hyperlink ref="R10403" r:id="rId20802" location="" tooltip="" display=""/>
    <hyperlink ref="K10405" r:id="rId20803" location="" tooltip="" display=""/>
    <hyperlink ref="L10405" r:id="rId20804" location="" tooltip="" display=""/>
    <hyperlink ref="Q10405" r:id="rId20805" location="" tooltip="" display=""/>
    <hyperlink ref="R10405" r:id="rId20806" location="" tooltip="" display=""/>
    <hyperlink ref="L10406" r:id="rId20807" location="" tooltip="" display=""/>
    <hyperlink ref="R10406" r:id="rId20808" location="" tooltip="" display=""/>
    <hyperlink ref="K10408" r:id="rId20809" location="" tooltip="" display=""/>
    <hyperlink ref="L10408" r:id="rId20810" location="" tooltip="" display=""/>
    <hyperlink ref="Q10408" r:id="rId20811" location="" tooltip="" display=""/>
    <hyperlink ref="R10408" r:id="rId20812" location="" tooltip="" display=""/>
    <hyperlink ref="K10410" r:id="rId20813" location="" tooltip="" display=""/>
    <hyperlink ref="L10410" r:id="rId20814" location="" tooltip="" display=""/>
    <hyperlink ref="Q10410" r:id="rId20815" location="" tooltip="" display=""/>
    <hyperlink ref="R10410" r:id="rId20816" location="" tooltip="" display=""/>
    <hyperlink ref="K10412" r:id="rId20817" location="" tooltip="" display=""/>
    <hyperlink ref="L10412" r:id="rId20818" location="" tooltip="" display=""/>
    <hyperlink ref="Q10412" r:id="rId20819" location="" tooltip="" display=""/>
    <hyperlink ref="R10412" r:id="rId20820" location="" tooltip="" display=""/>
    <hyperlink ref="K10414" r:id="rId20821" location="" tooltip="" display=""/>
    <hyperlink ref="L10414" r:id="rId20822" location="" tooltip="" display=""/>
    <hyperlink ref="Q10414" r:id="rId20823" location="" tooltip="" display=""/>
    <hyperlink ref="R10414" r:id="rId20824" location="" tooltip="" display=""/>
    <hyperlink ref="K10416" r:id="rId20825" location="" tooltip="" display=""/>
    <hyperlink ref="L10416" r:id="rId20826" location="" tooltip="" display=""/>
    <hyperlink ref="Q10416" r:id="rId20827" location="" tooltip="" display=""/>
    <hyperlink ref="R10416" r:id="rId20828" location="" tooltip="" display=""/>
    <hyperlink ref="L10417" r:id="rId20829" location="" tooltip="" display=""/>
    <hyperlink ref="R10417" r:id="rId20830" location="" tooltip="" display=""/>
    <hyperlink ref="K10419" r:id="rId20831" location="" tooltip="" display=""/>
    <hyperlink ref="L10419" r:id="rId20832" location="" tooltip="" display=""/>
    <hyperlink ref="Q10419" r:id="rId20833" location="" tooltip="" display=""/>
    <hyperlink ref="R10419" r:id="rId20834" location="" tooltip="" display=""/>
    <hyperlink ref="L10421" r:id="rId20835" location="" tooltip="" display=""/>
    <hyperlink ref="R10421" r:id="rId20836" location="" tooltip="" display=""/>
    <hyperlink ref="K10422" r:id="rId20837" location="" tooltip="" display=""/>
    <hyperlink ref="L10422" r:id="rId20838" location="" tooltip="" display=""/>
    <hyperlink ref="Q10422" r:id="rId20839" location="" tooltip="" display=""/>
    <hyperlink ref="R10422" r:id="rId20840" location="" tooltip="" display=""/>
    <hyperlink ref="L10423" r:id="rId20841" location="" tooltip="" display=""/>
    <hyperlink ref="R10423" r:id="rId20842" location="" tooltip="" display=""/>
    <hyperlink ref="L10424" r:id="rId20843" location="" tooltip="" display=""/>
    <hyperlink ref="R10424" r:id="rId20844" location="" tooltip="" display=""/>
    <hyperlink ref="K10426" r:id="rId20845" location="" tooltip="" display=""/>
    <hyperlink ref="L10426" r:id="rId20846" location="" tooltip="" display=""/>
    <hyperlink ref="Q10426" r:id="rId20847" location="" tooltip="" display=""/>
    <hyperlink ref="R10426" r:id="rId20848" location="" tooltip="" display=""/>
    <hyperlink ref="L10427" r:id="rId20849" location="" tooltip="" display=""/>
    <hyperlink ref="R10427" r:id="rId20850" location="" tooltip="" display=""/>
    <hyperlink ref="K10429" r:id="rId20851" location="" tooltip="" display=""/>
    <hyperlink ref="L10429" r:id="rId20852" location="" tooltip="" display=""/>
    <hyperlink ref="Q10429" r:id="rId20853" location="" tooltip="" display=""/>
    <hyperlink ref="R10429" r:id="rId20854" location="" tooltip="" display=""/>
    <hyperlink ref="L10430" r:id="rId20855" location="" tooltip="" display=""/>
    <hyperlink ref="R10430" r:id="rId20856" location="" tooltip="" display=""/>
    <hyperlink ref="K10432" r:id="rId20857" location="" tooltip="" display=""/>
    <hyperlink ref="L10432" r:id="rId20858" location="" tooltip="" display=""/>
    <hyperlink ref="Q10432" r:id="rId20859" location="" tooltip="" display=""/>
    <hyperlink ref="R10432" r:id="rId20860" location="" tooltip="" display=""/>
    <hyperlink ref="L10433" r:id="rId20861" location="" tooltip="" display=""/>
    <hyperlink ref="R10433" r:id="rId20862" location="" tooltip="" display=""/>
    <hyperlink ref="L10435" r:id="rId20863" location="" tooltip="" display=""/>
    <hyperlink ref="R10435" r:id="rId20864" location="" tooltip="" display=""/>
    <hyperlink ref="K10436" r:id="rId20865" location="" tooltip="" display=""/>
    <hyperlink ref="L10436" r:id="rId20866" location="" tooltip="" display=""/>
    <hyperlink ref="Q10436" r:id="rId20867" location="" tooltip="" display=""/>
    <hyperlink ref="R10436" r:id="rId20868" location="" tooltip="" display=""/>
    <hyperlink ref="L10437" r:id="rId20869" location="" tooltip="" display=""/>
    <hyperlink ref="R10437" r:id="rId20870" location="" tooltip="" display=""/>
    <hyperlink ref="L10438" r:id="rId20871" location="" tooltip="" display=""/>
    <hyperlink ref="R10438" r:id="rId20872" location="" tooltip="" display=""/>
    <hyperlink ref="K10440" r:id="rId20873" location="" tooltip="" display=""/>
    <hyperlink ref="L10440" r:id="rId20874" location="" tooltip="" display=""/>
    <hyperlink ref="Q10440" r:id="rId20875" location="" tooltip="" display=""/>
    <hyperlink ref="R10440" r:id="rId20876" location="" tooltip="" display=""/>
    <hyperlink ref="L10441" r:id="rId20877" location="" tooltip="" display=""/>
    <hyperlink ref="R10441" r:id="rId20878" location="" tooltip="" display=""/>
    <hyperlink ref="L10443" r:id="rId20879" location="" tooltip="" display=""/>
    <hyperlink ref="R10443" r:id="rId20880" location="" tooltip="" display=""/>
    <hyperlink ref="K10444" r:id="rId20881" location="" tooltip="" display=""/>
    <hyperlink ref="L10444" r:id="rId20882" location="" tooltip="" display=""/>
    <hyperlink ref="Q10444" r:id="rId20883" location="" tooltip="" display=""/>
    <hyperlink ref="R10444" r:id="rId20884" location="" tooltip="" display=""/>
    <hyperlink ref="L10445" r:id="rId20885" location="" tooltip="" display=""/>
    <hyperlink ref="R10445" r:id="rId20886" location="" tooltip="" display=""/>
    <hyperlink ref="L10446" r:id="rId20887" location="" tooltip="" display=""/>
    <hyperlink ref="R10446" r:id="rId20888" location="" tooltip="" display=""/>
    <hyperlink ref="K10448" r:id="rId20889" location="" tooltip="" display=""/>
    <hyperlink ref="L10448" r:id="rId20890" location="" tooltip="" display=""/>
    <hyperlink ref="Q10448" r:id="rId20891" location="" tooltip="" display=""/>
    <hyperlink ref="R10448" r:id="rId20892" location="" tooltip="" display=""/>
    <hyperlink ref="L10449" r:id="rId20893" location="" tooltip="" display=""/>
    <hyperlink ref="R10449" r:id="rId20894" location="" tooltip="" display=""/>
    <hyperlink ref="K10451" r:id="rId20895" location="" tooltip="" display=""/>
    <hyperlink ref="L10451" r:id="rId20896" location="" tooltip="" display=""/>
    <hyperlink ref="Q10451" r:id="rId20897" location="" tooltip="" display=""/>
    <hyperlink ref="R10451" r:id="rId20898" location="" tooltip="" display=""/>
    <hyperlink ref="K10453" r:id="rId20899" location="" tooltip="" display=""/>
    <hyperlink ref="L10453" r:id="rId20900" location="" tooltip="" display=""/>
    <hyperlink ref="Q10453" r:id="rId20901" location="" tooltip="" display=""/>
    <hyperlink ref="R10453" r:id="rId20902" location="" tooltip="" display=""/>
    <hyperlink ref="L10454" r:id="rId20903" location="" tooltip="" display=""/>
    <hyperlink ref="R10454" r:id="rId20904" location="" tooltip="" display=""/>
    <hyperlink ref="K10456" r:id="rId20905" location="" tooltip="" display=""/>
    <hyperlink ref="L10456" r:id="rId20906" location="" tooltip="" display=""/>
    <hyperlink ref="Q10456" r:id="rId20907" location="" tooltip="" display=""/>
    <hyperlink ref="R10456" r:id="rId20908" location="" tooltip="" display=""/>
    <hyperlink ref="L10457" r:id="rId20909" location="" tooltip="" display=""/>
    <hyperlink ref="R10457" r:id="rId20910" location="" tooltip="" display=""/>
    <hyperlink ref="L10459" r:id="rId20911" location="" tooltip="" display=""/>
    <hyperlink ref="R10459" r:id="rId20912" location="" tooltip="" display=""/>
    <hyperlink ref="K10460" r:id="rId20913" location="" tooltip="" display=""/>
    <hyperlink ref="L10460" r:id="rId20914" location="" tooltip="" display=""/>
    <hyperlink ref="Q10460" r:id="rId20915" location="" tooltip="" display=""/>
    <hyperlink ref="R10460" r:id="rId20916" location="" tooltip="" display=""/>
    <hyperlink ref="L10461" r:id="rId20917" location="" tooltip="" display=""/>
    <hyperlink ref="R10461" r:id="rId20918" location="" tooltip="" display=""/>
    <hyperlink ref="K10463" r:id="rId20919" location="" tooltip="" display=""/>
    <hyperlink ref="L10463" r:id="rId20920" location="" tooltip="" display=""/>
    <hyperlink ref="Q10463" r:id="rId20921" location="" tooltip="" display=""/>
    <hyperlink ref="R10463" r:id="rId20922" location="" tooltip="" display=""/>
    <hyperlink ref="K10465" r:id="rId20923" location="" tooltip="" display=""/>
    <hyperlink ref="L10465" r:id="rId20924" location="" tooltip="" display=""/>
    <hyperlink ref="Q10465" r:id="rId20925" location="" tooltip="" display=""/>
    <hyperlink ref="R10465" r:id="rId20926" location="" tooltip="" display=""/>
    <hyperlink ref="L10466" r:id="rId20927" location="" tooltip="" display=""/>
    <hyperlink ref="R10466" r:id="rId20928" location="" tooltip="" display=""/>
    <hyperlink ref="L10468" r:id="rId20929" location="" tooltip="" display=""/>
    <hyperlink ref="R10468" r:id="rId20930" location="" tooltip="" display=""/>
    <hyperlink ref="K10469" r:id="rId20931" location="" tooltip="" display=""/>
    <hyperlink ref="L10469" r:id="rId20932" location="" tooltip="" display=""/>
    <hyperlink ref="Q10469" r:id="rId20933" location="" tooltip="" display=""/>
    <hyperlink ref="R10469" r:id="rId20934" location="" tooltip="" display=""/>
    <hyperlink ref="L10470" r:id="rId20935" location="" tooltip="" display=""/>
    <hyperlink ref="R10470" r:id="rId20936" location="" tooltip="" display=""/>
    <hyperlink ref="L10471" r:id="rId20937" location="" tooltip="" display=""/>
    <hyperlink ref="R10471" r:id="rId20938" location="" tooltip="" display=""/>
    <hyperlink ref="L10473" r:id="rId20939" location="" tooltip="" display=""/>
    <hyperlink ref="R10473" r:id="rId20940" location="" tooltip="" display=""/>
    <hyperlink ref="K10474" r:id="rId20941" location="" tooltip="" display=""/>
    <hyperlink ref="L10474" r:id="rId20942" location="" tooltip="" display=""/>
    <hyperlink ref="Q10474" r:id="rId20943" location="" tooltip="" display=""/>
    <hyperlink ref="R10474" r:id="rId20944" location="" tooltip="" display=""/>
    <hyperlink ref="L10475" r:id="rId20945" location="" tooltip="" display=""/>
    <hyperlink ref="R10475" r:id="rId20946" location="" tooltip="" display=""/>
    <hyperlink ref="K10477" r:id="rId20947" location="" tooltip="" display=""/>
    <hyperlink ref="L10477" r:id="rId20948" location="" tooltip="" display=""/>
    <hyperlink ref="Q10477" r:id="rId20949" location="" tooltip="" display=""/>
    <hyperlink ref="R10477" r:id="rId20950" location="" tooltip="" display=""/>
    <hyperlink ref="L10478" r:id="rId20951" location="" tooltip="" display=""/>
    <hyperlink ref="R10478" r:id="rId20952" location="" tooltip="" display=""/>
    <hyperlink ref="K10480" r:id="rId20953" location="" tooltip="" display=""/>
    <hyperlink ref="L10480" r:id="rId20954" location="" tooltip="" display=""/>
    <hyperlink ref="Q10480" r:id="rId20955" location="" tooltip="" display=""/>
    <hyperlink ref="R10480" r:id="rId20956" location="" tooltip="" display=""/>
    <hyperlink ref="K10482" r:id="rId20957" location="" tooltip="" display=""/>
    <hyperlink ref="L10482" r:id="rId20958" location="" tooltip="" display=""/>
    <hyperlink ref="Q10482" r:id="rId20959" location="" tooltip="" display=""/>
    <hyperlink ref="R10482" r:id="rId20960" location="" tooltip="" display=""/>
    <hyperlink ref="L10483" r:id="rId20961" location="" tooltip="" display=""/>
    <hyperlink ref="R10483" r:id="rId20962" location="" tooltip="" display=""/>
    <hyperlink ref="K10485" r:id="rId20963" location="" tooltip="" display=""/>
    <hyperlink ref="L10485" r:id="rId20964" location="" tooltip="" display=""/>
    <hyperlink ref="Q10485" r:id="rId20965" location="" tooltip="" display=""/>
    <hyperlink ref="R10485" r:id="rId20966" location="" tooltip="" display=""/>
    <hyperlink ref="K10487" r:id="rId20967" location="" tooltip="" display=""/>
    <hyperlink ref="L10487" r:id="rId20968" location="" tooltip="" display=""/>
    <hyperlink ref="Q10487" r:id="rId20969" location="" tooltip="" display=""/>
    <hyperlink ref="R10487" r:id="rId20970" location="" tooltip="" display=""/>
    <hyperlink ref="K10489" r:id="rId20971" location="" tooltip="" display=""/>
    <hyperlink ref="L10489" r:id="rId20972" location="" tooltip="" display=""/>
    <hyperlink ref="Q10489" r:id="rId20973" location="" tooltip="" display=""/>
    <hyperlink ref="R10489" r:id="rId20974" location="" tooltip="" display=""/>
    <hyperlink ref="K10491" r:id="rId20975" location="" tooltip="" display=""/>
    <hyperlink ref="L10491" r:id="rId20976" location="" tooltip="" display=""/>
    <hyperlink ref="Q10491" r:id="rId20977" location="" tooltip="" display=""/>
    <hyperlink ref="R10491" r:id="rId20978" location="" tooltip="" display=""/>
    <hyperlink ref="L10492" r:id="rId20979" location="" tooltip="" display=""/>
    <hyperlink ref="R10492" r:id="rId20980" location="" tooltip="" display=""/>
    <hyperlink ref="K10494" r:id="rId20981" location="" tooltip="" display=""/>
    <hyperlink ref="L10494" r:id="rId20982" location="" tooltip="" display=""/>
    <hyperlink ref="Q10494" r:id="rId20983" location="" tooltip="" display=""/>
    <hyperlink ref="R10494" r:id="rId20984" location="" tooltip="" display=""/>
    <hyperlink ref="L10495" r:id="rId20985" location="" tooltip="" display=""/>
    <hyperlink ref="R10495" r:id="rId20986" location="" tooltip="" display=""/>
    <hyperlink ref="L10497" r:id="rId20987" location="" tooltip="" display=""/>
    <hyperlink ref="R10497" r:id="rId20988" location="" tooltip="" display=""/>
    <hyperlink ref="L10498" r:id="rId20989" location="" tooltip="" display=""/>
    <hyperlink ref="R10498" r:id="rId20990" location="" tooltip="" display=""/>
    <hyperlink ref="L10499" r:id="rId20991" location="" tooltip="" display=""/>
    <hyperlink ref="R10499" r:id="rId20992" location="" tooltip="" display=""/>
    <hyperlink ref="K10500" r:id="rId20993" location="" tooltip="" display=""/>
    <hyperlink ref="L10500" r:id="rId20994" location="" tooltip="" display=""/>
    <hyperlink ref="Q10500" r:id="rId20995" location="" tooltip="" display=""/>
    <hyperlink ref="R10500" r:id="rId20996" location="" tooltip="" display=""/>
    <hyperlink ref="L10501" r:id="rId20997" location="" tooltip="" display=""/>
    <hyperlink ref="R10501" r:id="rId20998" location="" tooltip="" display=""/>
    <hyperlink ref="L10502" r:id="rId20999" location="" tooltip="" display=""/>
    <hyperlink ref="R10502" r:id="rId21000" location="" tooltip="" display=""/>
    <hyperlink ref="L10503" r:id="rId21001" location="" tooltip="" display=""/>
    <hyperlink ref="R10503" r:id="rId21002" location="" tooltip="" display=""/>
    <hyperlink ref="K10505" r:id="rId21003" location="" tooltip="" display=""/>
    <hyperlink ref="L10505" r:id="rId21004" location="" tooltip="" display=""/>
    <hyperlink ref="Q10505" r:id="rId21005" location="" tooltip="" display=""/>
    <hyperlink ref="R10505" r:id="rId21006" location="" tooltip="" display=""/>
    <hyperlink ref="K10507" r:id="rId21007" location="" tooltip="" display=""/>
    <hyperlink ref="L10507" r:id="rId21008" location="" tooltip="" display=""/>
    <hyperlink ref="Q10507" r:id="rId21009" location="" tooltip="" display=""/>
    <hyperlink ref="R10507" r:id="rId21010" location="" tooltip="" display=""/>
    <hyperlink ref="K10509" r:id="rId21011" location="" tooltip="" display=""/>
    <hyperlink ref="L10509" r:id="rId21012" location="" tooltip="" display=""/>
    <hyperlink ref="Q10509" r:id="rId21013" location="" tooltip="" display=""/>
    <hyperlink ref="R10509" r:id="rId21014" location="" tooltip="" display=""/>
    <hyperlink ref="K10511" r:id="rId21015" location="" tooltip="" display=""/>
    <hyperlink ref="L10511" r:id="rId21016" location="" tooltip="" display=""/>
    <hyperlink ref="Q10511" r:id="rId21017" location="" tooltip="" display=""/>
    <hyperlink ref="R10511" r:id="rId21018" location="" tooltip="" display=""/>
    <hyperlink ref="K10513" r:id="rId21019" location="" tooltip="" display=""/>
    <hyperlink ref="L10513" r:id="rId21020" location="" tooltip="" display=""/>
    <hyperlink ref="Q10513" r:id="rId21021" location="" tooltip="" display=""/>
    <hyperlink ref="R10513" r:id="rId21022" location="" tooltip="" display=""/>
    <hyperlink ref="K10515" r:id="rId21023" location="" tooltip="" display=""/>
    <hyperlink ref="L10515" r:id="rId21024" location="" tooltip="" display=""/>
    <hyperlink ref="Q10515" r:id="rId21025" location="" tooltip="" display=""/>
    <hyperlink ref="R10515" r:id="rId21026" location="" tooltip="" display=""/>
    <hyperlink ref="K10517" r:id="rId21027" location="" tooltip="" display=""/>
    <hyperlink ref="L10517" r:id="rId21028" location="" tooltip="" display=""/>
    <hyperlink ref="Q10517" r:id="rId21029" location="" tooltip="" display=""/>
    <hyperlink ref="R10517" r:id="rId21030" location="" tooltip="" display=""/>
    <hyperlink ref="K10519" r:id="rId21031" location="" tooltip="" display=""/>
    <hyperlink ref="L10519" r:id="rId21032" location="" tooltip="" display=""/>
    <hyperlink ref="Q10519" r:id="rId21033" location="" tooltip="" display=""/>
    <hyperlink ref="R10519" r:id="rId21034" location="" tooltip="" display=""/>
    <hyperlink ref="K10521" r:id="rId21035" location="" tooltip="" display=""/>
    <hyperlink ref="L10521" r:id="rId21036" location="" tooltip="" display=""/>
    <hyperlink ref="Q10521" r:id="rId21037" location="" tooltip="" display=""/>
    <hyperlink ref="R10521" r:id="rId21038" location="" tooltip="" display=""/>
    <hyperlink ref="L10522" r:id="rId21039" location="" tooltip="" display=""/>
    <hyperlink ref="R10522" r:id="rId21040" location="" tooltip="" display=""/>
    <hyperlink ref="L10524" r:id="rId21041" location="" tooltip="" display=""/>
    <hyperlink ref="R10524" r:id="rId21042" location="" tooltip="" display=""/>
    <hyperlink ref="K10525" r:id="rId21043" location="" tooltip="" display=""/>
    <hyperlink ref="L10525" r:id="rId21044" location="" tooltip="" display=""/>
    <hyperlink ref="Q10525" r:id="rId21045" location="" tooltip="" display=""/>
    <hyperlink ref="R10525" r:id="rId21046" location="" tooltip="" display=""/>
    <hyperlink ref="L10526" r:id="rId21047" location="" tooltip="" display=""/>
    <hyperlink ref="R10526" r:id="rId21048" location="" tooltip="" display=""/>
    <hyperlink ref="K10528" r:id="rId21049" location="" tooltip="" display=""/>
    <hyperlink ref="L10528" r:id="rId21050" location="" tooltip="" display=""/>
    <hyperlink ref="Q10528" r:id="rId21051" location="" tooltip="" display=""/>
    <hyperlink ref="R10528" r:id="rId21052" location="" tooltip="" display=""/>
    <hyperlink ref="L10529" r:id="rId21053" location="" tooltip="" display=""/>
    <hyperlink ref="R10529" r:id="rId21054" location="" tooltip="" display=""/>
    <hyperlink ref="K10531" r:id="rId21055" location="" tooltip="" display=""/>
    <hyperlink ref="L10531" r:id="rId21056" location="" tooltip="" display=""/>
    <hyperlink ref="Q10531" r:id="rId21057" location="" tooltip="" display=""/>
    <hyperlink ref="R10531" r:id="rId21058" location="" tooltip="" display=""/>
    <hyperlink ref="L10532" r:id="rId21059" location="" tooltip="" display=""/>
    <hyperlink ref="R10532" r:id="rId21060" location="" tooltip="" display=""/>
    <hyperlink ref="K10534" r:id="rId21061" location="" tooltip="" display=""/>
    <hyperlink ref="L10534" r:id="rId21062" location="" tooltip="" display=""/>
    <hyperlink ref="Q10534" r:id="rId21063" location="" tooltip="" display=""/>
    <hyperlink ref="R10534" r:id="rId21064" location="" tooltip="" display=""/>
    <hyperlink ref="L10536" r:id="rId21065" location="" tooltip="" display=""/>
    <hyperlink ref="R10536" r:id="rId21066" location="" tooltip="" display=""/>
    <hyperlink ref="K10537" r:id="rId21067" location="" tooltip="" display=""/>
    <hyperlink ref="L10537" r:id="rId21068" location="" tooltip="" display=""/>
    <hyperlink ref="Q10537" r:id="rId21069" location="" tooltip="" display=""/>
    <hyperlink ref="R10537" r:id="rId21070" location="" tooltip="" display=""/>
    <hyperlink ref="L10538" r:id="rId21071" location="" tooltip="" display=""/>
    <hyperlink ref="R10538" r:id="rId21072" location="" tooltip="" display=""/>
    <hyperlink ref="K10540" r:id="rId21073" location="" tooltip="" display=""/>
    <hyperlink ref="L10540" r:id="rId21074" location="" tooltip="" display=""/>
    <hyperlink ref="Q10540" r:id="rId21075" location="" tooltip="" display=""/>
    <hyperlink ref="R10540" r:id="rId21076" location="" tooltip="" display=""/>
    <hyperlink ref="L10541" r:id="rId21077" location="" tooltip="" display=""/>
    <hyperlink ref="R10541" r:id="rId21078" location="" tooltip="" display=""/>
    <hyperlink ref="K10543" r:id="rId21079" location="" tooltip="" display=""/>
    <hyperlink ref="L10543" r:id="rId21080" location="" tooltip="" display=""/>
    <hyperlink ref="Q10543" r:id="rId21081" location="" tooltip="" display=""/>
    <hyperlink ref="R10543" r:id="rId21082" location="" tooltip="" display=""/>
    <hyperlink ref="L10544" r:id="rId21083" location="" tooltip="" display=""/>
    <hyperlink ref="R10544" r:id="rId21084" location="" tooltip="" display=""/>
    <hyperlink ref="K10546" r:id="rId21085" location="" tooltip="" display=""/>
    <hyperlink ref="L10546" r:id="rId21086" location="" tooltip="" display=""/>
    <hyperlink ref="Q10546" r:id="rId21087" location="" tooltip="" display=""/>
    <hyperlink ref="R10546" r:id="rId21088" location="" tooltip="" display=""/>
    <hyperlink ref="K10548" r:id="rId21089" location="" tooltip="" display=""/>
    <hyperlink ref="L10548" r:id="rId21090" location="" tooltip="" display=""/>
    <hyperlink ref="Q10548" r:id="rId21091" location="" tooltip="" display=""/>
    <hyperlink ref="R10548" r:id="rId21092" location="" tooltip="" display=""/>
    <hyperlink ref="L10549" r:id="rId21093" location="" tooltip="" display=""/>
    <hyperlink ref="R10549" r:id="rId21094" location="" tooltip="" display=""/>
    <hyperlink ref="K10551" r:id="rId21095" location="" tooltip="" display=""/>
    <hyperlink ref="L10551" r:id="rId21096" location="" tooltip="" display=""/>
    <hyperlink ref="Q10551" r:id="rId21097" location="" tooltip="" display=""/>
    <hyperlink ref="R10551" r:id="rId21098" location="" tooltip="" display=""/>
    <hyperlink ref="L10552" r:id="rId21099" location="" tooltip="" display=""/>
    <hyperlink ref="R10552" r:id="rId21100" location="" tooltip="" display=""/>
    <hyperlink ref="K10554" r:id="rId21101" location="" tooltip="" display=""/>
    <hyperlink ref="L10554" r:id="rId21102" location="" tooltip="" display=""/>
    <hyperlink ref="Q10554" r:id="rId21103" location="" tooltip="" display=""/>
    <hyperlink ref="R10554" r:id="rId21104" location="" tooltip="" display=""/>
    <hyperlink ref="K10556" r:id="rId21105" location="" tooltip="" display=""/>
    <hyperlink ref="L10556" r:id="rId21106" location="" tooltip="" display=""/>
    <hyperlink ref="Q10556" r:id="rId21107" location="" tooltip="" display=""/>
    <hyperlink ref="R10556" r:id="rId21108" location="" tooltip="" display=""/>
    <hyperlink ref="L10557" r:id="rId21109" location="" tooltip="" display=""/>
    <hyperlink ref="R10557" r:id="rId21110" location="" tooltip="" display=""/>
    <hyperlink ref="L10559" r:id="rId21111" location="" tooltip="" display=""/>
    <hyperlink ref="R10559" r:id="rId21112" location="" tooltip="" display=""/>
    <hyperlink ref="L10560" r:id="rId21113" location="" tooltip="" display=""/>
    <hyperlink ref="R10560" r:id="rId21114" location="" tooltip="" display=""/>
    <hyperlink ref="K10561" r:id="rId21115" location="" tooltip="" display=""/>
    <hyperlink ref="L10561" r:id="rId21116" location="" tooltip="" display=""/>
    <hyperlink ref="Q10561" r:id="rId21117" location="" tooltip="" display=""/>
    <hyperlink ref="R10561" r:id="rId21118" location="" tooltip="" display=""/>
    <hyperlink ref="L10562" r:id="rId21119" location="" tooltip="" display=""/>
    <hyperlink ref="R10562" r:id="rId21120" location="" tooltip="" display=""/>
    <hyperlink ref="L10563" r:id="rId21121" location="" tooltip="" display=""/>
    <hyperlink ref="R10563" r:id="rId21122" location="" tooltip="" display=""/>
    <hyperlink ref="L10564" r:id="rId21123" location="" tooltip="" display=""/>
    <hyperlink ref="R10564" r:id="rId21124" location="" tooltip="" display=""/>
    <hyperlink ref="K10566" r:id="rId21125" location="" tooltip="" display=""/>
    <hyperlink ref="L10566" r:id="rId21126" location="" tooltip="" display=""/>
    <hyperlink ref="Q10566" r:id="rId21127" location="" tooltip="" display=""/>
    <hyperlink ref="R10566" r:id="rId21128" location="" tooltip="" display=""/>
    <hyperlink ref="L10568" r:id="rId21129" location="" tooltip="" display=""/>
    <hyperlink ref="R10568" r:id="rId21130" location="" tooltip="" display=""/>
    <hyperlink ref="L10569" r:id="rId21131" location="" tooltip="" display=""/>
    <hyperlink ref="R10569" r:id="rId21132" location="" tooltip="" display=""/>
    <hyperlink ref="K10570" r:id="rId21133" location="" tooltip="" display=""/>
    <hyperlink ref="L10570" r:id="rId21134" location="" tooltip="" display=""/>
    <hyperlink ref="Q10570" r:id="rId21135" location="" tooltip="" display=""/>
    <hyperlink ref="R10570" r:id="rId21136" location="" tooltip="" display=""/>
    <hyperlink ref="L10571" r:id="rId21137" location="" tooltip="" display=""/>
    <hyperlink ref="R10571" r:id="rId21138" location="" tooltip="" display=""/>
    <hyperlink ref="L10572" r:id="rId21139" location="" tooltip="" display=""/>
    <hyperlink ref="R10572" r:id="rId21140" location="" tooltip="" display=""/>
    <hyperlink ref="L10573" r:id="rId21141" location="" tooltip="" display=""/>
    <hyperlink ref="R10573" r:id="rId21142" location="" tooltip="" display=""/>
    <hyperlink ref="L10575" r:id="rId21143" location="" tooltip="" display=""/>
    <hyperlink ref="R10575" r:id="rId21144" location="" tooltip="" display=""/>
    <hyperlink ref="L10576" r:id="rId21145" location="" tooltip="" display=""/>
    <hyperlink ref="R10576" r:id="rId21146" location="" tooltip="" display=""/>
    <hyperlink ref="L10577" r:id="rId21147" location="" tooltip="" display=""/>
    <hyperlink ref="R10577" r:id="rId21148" location="" tooltip="" display=""/>
    <hyperlink ref="L10578" r:id="rId21149" location="" tooltip="" display=""/>
    <hyperlink ref="R10578" r:id="rId21150" location="" tooltip="" display=""/>
    <hyperlink ref="L10579" r:id="rId21151" location="" tooltip="" display=""/>
    <hyperlink ref="R10579" r:id="rId21152" location="" tooltip="" display=""/>
    <hyperlink ref="L10580" r:id="rId21153" location="" tooltip="" display=""/>
    <hyperlink ref="R10580" r:id="rId21154" location="" tooltip="" display=""/>
    <hyperlink ref="K10581" r:id="rId21155" location="" tooltip="" display=""/>
    <hyperlink ref="L10581" r:id="rId21156" location="" tooltip="" display=""/>
    <hyperlink ref="Q10581" r:id="rId21157" location="" tooltip="" display=""/>
    <hyperlink ref="R10581" r:id="rId21158" location="" tooltip="" display=""/>
    <hyperlink ref="L10582" r:id="rId21159" location="" tooltip="" display=""/>
    <hyperlink ref="R10582" r:id="rId21160" location="" tooltip="" display=""/>
    <hyperlink ref="L10583" r:id="rId21161" location="" tooltip="" display=""/>
    <hyperlink ref="R10583" r:id="rId21162" location="" tooltip="" display=""/>
    <hyperlink ref="L10584" r:id="rId21163" location="" tooltip="" display=""/>
    <hyperlink ref="R10584" r:id="rId21164" location="" tooltip="" display=""/>
    <hyperlink ref="L10585" r:id="rId21165" location="" tooltip="" display=""/>
    <hyperlink ref="R10585" r:id="rId21166" location="" tooltip="" display=""/>
    <hyperlink ref="L10586" r:id="rId21167" location="" tooltip="" display=""/>
    <hyperlink ref="R10586" r:id="rId21168" location="" tooltip="" display=""/>
    <hyperlink ref="L10587" r:id="rId21169" location="" tooltip="" display=""/>
    <hyperlink ref="R10587" r:id="rId21170" location="" tooltip="" display=""/>
    <hyperlink ref="L10588" r:id="rId21171" location="" tooltip="" display=""/>
    <hyperlink ref="R10588" r:id="rId21172" location="" tooltip="" display=""/>
    <hyperlink ref="L10590" r:id="rId21173" location="" tooltip="" display=""/>
    <hyperlink ref="R10590" r:id="rId21174" location="" tooltip="" display=""/>
    <hyperlink ref="L10591" r:id="rId21175" location="" tooltip="" display=""/>
    <hyperlink ref="R10591" r:id="rId21176" location="" tooltip="" display=""/>
    <hyperlink ref="K10592" r:id="rId21177" location="" tooltip="" display=""/>
    <hyperlink ref="L10592" r:id="rId21178" location="" tooltip="" display=""/>
    <hyperlink ref="Q10592" r:id="rId21179" location="" tooltip="" display=""/>
    <hyperlink ref="R10592" r:id="rId21180" location="" tooltip="" display=""/>
    <hyperlink ref="L10593" r:id="rId21181" location="" tooltip="" display=""/>
    <hyperlink ref="R10593" r:id="rId21182" location="" tooltip="" display=""/>
    <hyperlink ref="L10594" r:id="rId21183" location="" tooltip="" display=""/>
    <hyperlink ref="R10594" r:id="rId21184" location="" tooltip="" display=""/>
    <hyperlink ref="L10595" r:id="rId21185" location="" tooltip="" display=""/>
    <hyperlink ref="R10595" r:id="rId21186" location="" tooltip="" display=""/>
    <hyperlink ref="L10597" r:id="rId21187" location="" tooltip="" display=""/>
    <hyperlink ref="R10597" r:id="rId21188" location="" tooltip="" display=""/>
    <hyperlink ref="L10598" r:id="rId21189" location="" tooltip="" display=""/>
    <hyperlink ref="R10598" r:id="rId21190" location="" tooltip="" display=""/>
    <hyperlink ref="K10599" r:id="rId21191" location="" tooltip="" display=""/>
    <hyperlink ref="L10599" r:id="rId21192" location="" tooltip="" display=""/>
    <hyperlink ref="Q10599" r:id="rId21193" location="" tooltip="" display=""/>
    <hyperlink ref="R10599" r:id="rId21194" location="" tooltip="" display=""/>
    <hyperlink ref="L10600" r:id="rId21195" location="" tooltip="" display=""/>
    <hyperlink ref="R10600" r:id="rId21196" location="" tooltip="" display=""/>
    <hyperlink ref="L10601" r:id="rId21197" location="" tooltip="" display=""/>
    <hyperlink ref="R10601" r:id="rId21198" location="" tooltip="" display=""/>
    <hyperlink ref="L10602" r:id="rId21199" location="" tooltip="" display=""/>
    <hyperlink ref="R10602" r:id="rId21200" location="" tooltip="" display=""/>
    <hyperlink ref="L10604" r:id="rId21201" location="" tooltip="" display=""/>
    <hyperlink ref="R10604" r:id="rId21202" location="" tooltip="" display=""/>
    <hyperlink ref="K10605" r:id="rId21203" location="" tooltip="" display=""/>
    <hyperlink ref="L10605" r:id="rId21204" location="" tooltip="" display=""/>
    <hyperlink ref="Q10605" r:id="rId21205" location="" tooltip="" display=""/>
    <hyperlink ref="R10605" r:id="rId21206" location="" tooltip="" display=""/>
    <hyperlink ref="L10606" r:id="rId21207" location="" tooltip="" display=""/>
    <hyperlink ref="R10606" r:id="rId21208" location="" tooltip="" display=""/>
    <hyperlink ref="L10607" r:id="rId21209" location="" tooltip="" display=""/>
    <hyperlink ref="R10607" r:id="rId21210" location="" tooltip="" display=""/>
    <hyperlink ref="L10609" r:id="rId21211" location="" tooltip="" display=""/>
    <hyperlink ref="R10609" r:id="rId21212" location="" tooltip="" display=""/>
    <hyperlink ref="L10610" r:id="rId21213" location="" tooltip="" display=""/>
    <hyperlink ref="R10610" r:id="rId21214" location="" tooltip="" display=""/>
    <hyperlink ref="K10611" r:id="rId21215" location="" tooltip="" display=""/>
    <hyperlink ref="L10611" r:id="rId21216" location="" tooltip="" display=""/>
    <hyperlink ref="Q10611" r:id="rId21217" location="" tooltip="" display=""/>
    <hyperlink ref="R10611" r:id="rId21218" location="" tooltip="" display=""/>
    <hyperlink ref="L10612" r:id="rId21219" location="" tooltip="" display=""/>
    <hyperlink ref="R10612" r:id="rId21220" location="" tooltip="" display=""/>
    <hyperlink ref="L10613" r:id="rId21221" location="" tooltip="" display=""/>
    <hyperlink ref="R10613" r:id="rId21222" location="" tooltip="" display=""/>
    <hyperlink ref="L10614" r:id="rId21223" location="" tooltip="" display=""/>
    <hyperlink ref="R10614" r:id="rId21224" location="" tooltip="" display=""/>
    <hyperlink ref="L10616" r:id="rId21225" location="" tooltip="" display=""/>
    <hyperlink ref="R10616" r:id="rId21226" location="" tooltip="" display=""/>
    <hyperlink ref="L10617" r:id="rId21227" location="" tooltip="" display=""/>
    <hyperlink ref="R10617" r:id="rId21228" location="" tooltip="" display=""/>
    <hyperlink ref="K10618" r:id="rId21229" location="" tooltip="" display=""/>
    <hyperlink ref="L10618" r:id="rId21230" location="" tooltip="" display=""/>
    <hyperlink ref="Q10618" r:id="rId21231" location="" tooltip="" display=""/>
    <hyperlink ref="R10618" r:id="rId21232" location="" tooltip="" display=""/>
    <hyperlink ref="L10619" r:id="rId21233" location="" tooltip="" display=""/>
    <hyperlink ref="R10619" r:id="rId21234" location="" tooltip="" display=""/>
    <hyperlink ref="L10620" r:id="rId21235" location="" tooltip="" display=""/>
    <hyperlink ref="R10620" r:id="rId21236" location="" tooltip="" display=""/>
    <hyperlink ref="L10622" r:id="rId21237" location="" tooltip="" display=""/>
    <hyperlink ref="R10622" r:id="rId21238" location="" tooltip="" display=""/>
    <hyperlink ref="K10623" r:id="rId21239" location="" tooltip="" display=""/>
    <hyperlink ref="L10623" r:id="rId21240" location="" tooltip="" display=""/>
    <hyperlink ref="Q10623" r:id="rId21241" location="" tooltip="" display=""/>
    <hyperlink ref="R10623" r:id="rId21242" location="" tooltip="" display=""/>
    <hyperlink ref="L10624" r:id="rId21243" location="" tooltip="" display=""/>
    <hyperlink ref="R10624" r:id="rId21244" location="" tooltip="" display=""/>
    <hyperlink ref="L10625" r:id="rId21245" location="" tooltip="" display=""/>
    <hyperlink ref="R10625" r:id="rId21246" location="" tooltip="" display=""/>
    <hyperlink ref="L10627" r:id="rId21247" location="" tooltip="" display=""/>
    <hyperlink ref="R10627" r:id="rId21248" location="" tooltip="" display=""/>
    <hyperlink ref="K10628" r:id="rId21249" location="" tooltip="" display=""/>
    <hyperlink ref="L10628" r:id="rId21250" location="" tooltip="" display=""/>
    <hyperlink ref="Q10628" r:id="rId21251" location="" tooltip="" display=""/>
    <hyperlink ref="R10628" r:id="rId21252" location="" tooltip="" display=""/>
    <hyperlink ref="L10629" r:id="rId21253" location="" tooltip="" display=""/>
    <hyperlink ref="R10629" r:id="rId21254" location="" tooltip="" display=""/>
    <hyperlink ref="L10631" r:id="rId21255" location="" tooltip="" display=""/>
    <hyperlink ref="R10631" r:id="rId21256" location="" tooltip="" display=""/>
    <hyperlink ref="K10632" r:id="rId21257" location="" tooltip="" display=""/>
    <hyperlink ref="L10632" r:id="rId21258" location="" tooltip="" display=""/>
    <hyperlink ref="Q10632" r:id="rId21259" location="" tooltip="" display=""/>
    <hyperlink ref="R10632" r:id="rId21260" location="" tooltip="" display=""/>
    <hyperlink ref="L10633" r:id="rId21261" location="" tooltip="" display=""/>
    <hyperlink ref="R10633" r:id="rId21262" location="" tooltip="" display=""/>
    <hyperlink ref="L10634" r:id="rId21263" location="" tooltip="" display=""/>
    <hyperlink ref="R10634" r:id="rId21264" location="" tooltip="" display=""/>
    <hyperlink ref="L10636" r:id="rId21265" location="" tooltip="" display=""/>
    <hyperlink ref="R10636" r:id="rId21266" location="" tooltip="" display=""/>
    <hyperlink ref="L10637" r:id="rId21267" location="" tooltip="" display=""/>
    <hyperlink ref="R10637" r:id="rId21268" location="" tooltip="" display=""/>
    <hyperlink ref="K10638" r:id="rId21269" location="" tooltip="" display=""/>
    <hyperlink ref="L10638" r:id="rId21270" location="" tooltip="" display=""/>
    <hyperlink ref="Q10638" r:id="rId21271" location="" tooltip="" display=""/>
    <hyperlink ref="R10638" r:id="rId21272" location="" tooltip="" display=""/>
    <hyperlink ref="L10639" r:id="rId21273" location="" tooltip="" display=""/>
    <hyperlink ref="R10639" r:id="rId21274" location="" tooltip="" display=""/>
    <hyperlink ref="L10640" r:id="rId21275" location="" tooltip="" display=""/>
    <hyperlink ref="R10640" r:id="rId21276" location="" tooltip="" display=""/>
    <hyperlink ref="K10642" r:id="rId21277" location="" tooltip="" display=""/>
    <hyperlink ref="L10642" r:id="rId21278" location="" tooltip="" display=""/>
    <hyperlink ref="Q10642" r:id="rId21279" location="" tooltip="" display=""/>
    <hyperlink ref="R10642" r:id="rId21280" location="" tooltip="" display=""/>
    <hyperlink ref="L10643" r:id="rId21281" location="" tooltip="" display=""/>
    <hyperlink ref="R10643" r:id="rId21282" location="" tooltip="" display=""/>
    <hyperlink ref="K10645" r:id="rId21283" location="" tooltip="" display=""/>
    <hyperlink ref="L10645" r:id="rId21284" location="" tooltip="" display=""/>
    <hyperlink ref="Q10645" r:id="rId21285" location="" tooltip="" display=""/>
    <hyperlink ref="R10645" r:id="rId21286" location="" tooltip="" display=""/>
    <hyperlink ref="L10646" r:id="rId21287" location="" tooltip="" display=""/>
    <hyperlink ref="R10646" r:id="rId21288" location="" tooltip="" display=""/>
    <hyperlink ref="L10648" r:id="rId21289" location="" tooltip="" display=""/>
    <hyperlink ref="R10648" r:id="rId21290" location="" tooltip="" display=""/>
    <hyperlink ref="L10649" r:id="rId21291" location="" tooltip="" display=""/>
    <hyperlink ref="R10649" r:id="rId21292" location="" tooltip="" display=""/>
    <hyperlink ref="L10650" r:id="rId21293" location="" tooltip="" display=""/>
    <hyperlink ref="R10650" r:id="rId21294" location="" tooltip="" display=""/>
    <hyperlink ref="L10651" r:id="rId21295" location="" tooltip="" display=""/>
    <hyperlink ref="R10651" r:id="rId21296" location="" tooltip="" display=""/>
    <hyperlink ref="K10652" r:id="rId21297" location="" tooltip="" display=""/>
    <hyperlink ref="L10652" r:id="rId21298" location="" tooltip="" display=""/>
    <hyperlink ref="Q10652" r:id="rId21299" location="" tooltip="" display=""/>
    <hyperlink ref="R10652" r:id="rId21300" location="" tooltip="" display=""/>
    <hyperlink ref="L10653" r:id="rId21301" location="" tooltip="" display=""/>
    <hyperlink ref="R10653" r:id="rId21302" location="" tooltip="" display=""/>
    <hyperlink ref="L10654" r:id="rId21303" location="" tooltip="" display=""/>
    <hyperlink ref="R10654" r:id="rId21304" location="" tooltip="" display=""/>
    <hyperlink ref="L10655" r:id="rId21305" location="" tooltip="" display=""/>
    <hyperlink ref="R10655" r:id="rId21306" location="" tooltip="" display=""/>
    <hyperlink ref="L10656" r:id="rId21307" location="" tooltip="" display=""/>
    <hyperlink ref="R10656" r:id="rId21308" location="" tooltip="" display=""/>
    <hyperlink ref="L10657" r:id="rId21309" location="" tooltip="" display=""/>
    <hyperlink ref="R10657" r:id="rId21310" location="" tooltip="" display=""/>
    <hyperlink ref="K10659" r:id="rId21311" location="" tooltip="" display=""/>
    <hyperlink ref="L10659" r:id="rId21312" location="" tooltip="" display=""/>
    <hyperlink ref="Q10659" r:id="rId21313" location="" tooltip="" display=""/>
    <hyperlink ref="R10659" r:id="rId21314" location="" tooltip="" display=""/>
    <hyperlink ref="L10661" r:id="rId21315" location="" tooltip="" display=""/>
    <hyperlink ref="R10661" r:id="rId21316" location="" tooltip="" display=""/>
    <hyperlink ref="K10662" r:id="rId21317" location="" tooltip="" display=""/>
    <hyperlink ref="L10662" r:id="rId21318" location="" tooltip="" display=""/>
    <hyperlink ref="Q10662" r:id="rId21319" location="" tooltip="" display=""/>
    <hyperlink ref="R10662" r:id="rId21320" location="" tooltip="" display=""/>
    <hyperlink ref="L10663" r:id="rId21321" location="" tooltip="" display=""/>
    <hyperlink ref="R10663" r:id="rId21322" location="" tooltip="" display=""/>
    <hyperlink ref="K10665" r:id="rId21323" location="" tooltip="" display=""/>
    <hyperlink ref="L10665" r:id="rId21324" location="" tooltip="" display=""/>
    <hyperlink ref="Q10665" r:id="rId21325" location="" tooltip="" display=""/>
    <hyperlink ref="R10665" r:id="rId21326" location="" tooltip="" display=""/>
    <hyperlink ref="L10666" r:id="rId21327" location="" tooltip="" display=""/>
    <hyperlink ref="R10666" r:id="rId21328" location="" tooltip="" display=""/>
    <hyperlink ref="K10668" r:id="rId21329" location="" tooltip="" display=""/>
    <hyperlink ref="L10668" r:id="rId21330" location="" tooltip="" display=""/>
    <hyperlink ref="Q10668" r:id="rId21331" location="" tooltip="" display=""/>
    <hyperlink ref="R10668" r:id="rId21332" location="" tooltip="" display=""/>
    <hyperlink ref="L10670" r:id="rId21333" location="" tooltip="" display=""/>
    <hyperlink ref="R10670" r:id="rId21334" location="" tooltip="" display=""/>
    <hyperlink ref="K10671" r:id="rId21335" location="" tooltip="" display=""/>
    <hyperlink ref="L10671" r:id="rId21336" location="" tooltip="" display=""/>
    <hyperlink ref="Q10671" r:id="rId21337" location="" tooltip="" display=""/>
    <hyperlink ref="R10671" r:id="rId21338" location="" tooltip="" display=""/>
    <hyperlink ref="L10672" r:id="rId21339" location="" tooltip="" display=""/>
    <hyperlink ref="R10672" r:id="rId21340" location="" tooltip="" display=""/>
    <hyperlink ref="L10673" r:id="rId21341" location="" tooltip="" display=""/>
    <hyperlink ref="R10673" r:id="rId21342" location="" tooltip="" display=""/>
    <hyperlink ref="K10675" r:id="rId21343" location="" tooltip="" display=""/>
    <hyperlink ref="L10675" r:id="rId21344" location="" tooltip="" display=""/>
    <hyperlink ref="Q10675" r:id="rId21345" location="" tooltip="" display=""/>
    <hyperlink ref="R10675" r:id="rId21346" location="" tooltip="" display=""/>
    <hyperlink ref="K10677" r:id="rId21347" location="" tooltip="" display=""/>
    <hyperlink ref="L10677" r:id="rId21348" location="" tooltip="" display=""/>
    <hyperlink ref="Q10677" r:id="rId21349" location="" tooltip="" display=""/>
    <hyperlink ref="R10677" r:id="rId21350" location="" tooltip="" display=""/>
    <hyperlink ref="L10678" r:id="rId21351" location="" tooltip="" display=""/>
    <hyperlink ref="R10678" r:id="rId21352" location="" tooltip="" display=""/>
    <hyperlink ref="K10680" r:id="rId21353" location="" tooltip="" display=""/>
    <hyperlink ref="L10680" r:id="rId21354" location="" tooltip="" display=""/>
    <hyperlink ref="Q10680" r:id="rId21355" location="" tooltip="" display=""/>
    <hyperlink ref="R10680" r:id="rId21356" location="" tooltip="" display=""/>
    <hyperlink ref="K10682" r:id="rId21357" location="" tooltip="" display=""/>
    <hyperlink ref="L10682" r:id="rId21358" location="" tooltip="" display=""/>
    <hyperlink ref="Q10682" r:id="rId21359" location="" tooltip="" display=""/>
    <hyperlink ref="R10682" r:id="rId21360" location="" tooltip="" display=""/>
    <hyperlink ref="L10683" r:id="rId21361" location="" tooltip="" display=""/>
    <hyperlink ref="R10683" r:id="rId21362" location="" tooltip="" display=""/>
    <hyperlink ref="L10685" r:id="rId21363" location="" tooltip="" display=""/>
    <hyperlink ref="R10685" r:id="rId21364" location="" tooltip="" display=""/>
    <hyperlink ref="K10686" r:id="rId21365" location="" tooltip="" display=""/>
    <hyperlink ref="L10686" r:id="rId21366" location="" tooltip="" display=""/>
    <hyperlink ref="Q10686" r:id="rId21367" location="" tooltip="" display=""/>
    <hyperlink ref="R10686" r:id="rId21368" location="" tooltip="" display=""/>
    <hyperlink ref="L10687" r:id="rId21369" location="" tooltip="" display=""/>
    <hyperlink ref="R10687" r:id="rId21370" location="" tooltip="" display=""/>
    <hyperlink ref="L10688" r:id="rId21371" location="" tooltip="" display=""/>
    <hyperlink ref="R10688" r:id="rId21372" location="" tooltip="" display=""/>
    <hyperlink ref="L10690" r:id="rId21373" location="" tooltip="" display=""/>
    <hyperlink ref="R10690" r:id="rId21374" location="" tooltip="" display=""/>
    <hyperlink ref="K10691" r:id="rId21375" location="" tooltip="" display=""/>
    <hyperlink ref="L10691" r:id="rId21376" location="" tooltip="" display=""/>
    <hyperlink ref="Q10691" r:id="rId21377" location="" tooltip="" display=""/>
    <hyperlink ref="R10691" r:id="rId21378" location="" tooltip="" display=""/>
    <hyperlink ref="L10692" r:id="rId21379" location="" tooltip="" display=""/>
    <hyperlink ref="R10692" r:id="rId21380" location="" tooltip="" display=""/>
    <hyperlink ref="L10693" r:id="rId21381" location="" tooltip="" display=""/>
    <hyperlink ref="R10693" r:id="rId21382" location="" tooltip="" display=""/>
    <hyperlink ref="L10695" r:id="rId21383" location="" tooltip="" display=""/>
    <hyperlink ref="R10695" r:id="rId21384" location="" tooltip="" display=""/>
    <hyperlink ref="K10696" r:id="rId21385" location="" tooltip="" display=""/>
    <hyperlink ref="L10696" r:id="rId21386" location="" tooltip="" display=""/>
    <hyperlink ref="Q10696" r:id="rId21387" location="" tooltip="" display=""/>
    <hyperlink ref="R10696" r:id="rId21388" location="" tooltip="" display=""/>
    <hyperlink ref="L10697" r:id="rId21389" location="" tooltip="" display=""/>
    <hyperlink ref="R10697" r:id="rId21390" location="" tooltip="" display=""/>
    <hyperlink ref="L10698" r:id="rId21391" location="" tooltip="" display=""/>
    <hyperlink ref="R10698" r:id="rId21392" location="" tooltip="" display=""/>
    <hyperlink ref="K10700" r:id="rId21393" location="" tooltip="" display=""/>
    <hyperlink ref="L10700" r:id="rId21394" location="" tooltip="" display=""/>
    <hyperlink ref="Q10700" r:id="rId21395" location="" tooltip="" display=""/>
    <hyperlink ref="R10700" r:id="rId21396" location="" tooltip="" display=""/>
    <hyperlink ref="L10701" r:id="rId21397" location="" tooltip="" display=""/>
    <hyperlink ref="R10701" r:id="rId21398" location="" tooltip="" display=""/>
    <hyperlink ref="L10703" r:id="rId21399" location="" tooltip="" display=""/>
    <hyperlink ref="R10703" r:id="rId21400" location="" tooltip="" display=""/>
    <hyperlink ref="K10704" r:id="rId21401" location="" tooltip="" display=""/>
    <hyperlink ref="L10704" r:id="rId21402" location="" tooltip="" display=""/>
    <hyperlink ref="Q10704" r:id="rId21403" location="" tooltip="" display=""/>
    <hyperlink ref="R10704" r:id="rId21404" location="" tooltip="" display=""/>
    <hyperlink ref="L10705" r:id="rId21405" location="" tooltip="" display=""/>
    <hyperlink ref="R10705" r:id="rId21406" location="" tooltip="" display=""/>
    <hyperlink ref="L10706" r:id="rId21407" location="" tooltip="" display=""/>
    <hyperlink ref="R10706" r:id="rId21408" location="" tooltip="" display=""/>
    <hyperlink ref="K10708" r:id="rId21409" location="" tooltip="" display=""/>
    <hyperlink ref="L10708" r:id="rId21410" location="" tooltip="" display=""/>
    <hyperlink ref="Q10708" r:id="rId21411" location="" tooltip="" display=""/>
    <hyperlink ref="R10708" r:id="rId21412" location="" tooltip="" display=""/>
    <hyperlink ref="L10710" r:id="rId21413" location="" tooltip="" display=""/>
    <hyperlink ref="R10710" r:id="rId21414" location="" tooltip="" display=""/>
    <hyperlink ref="K10711" r:id="rId21415" location="" tooltip="" display=""/>
    <hyperlink ref="L10711" r:id="rId21416" location="" tooltip="" display=""/>
    <hyperlink ref="Q10711" r:id="rId21417" location="" tooltip="" display=""/>
    <hyperlink ref="R10711" r:id="rId21418" location="" tooltip="" display=""/>
    <hyperlink ref="L10712" r:id="rId21419" location="" tooltip="" display=""/>
    <hyperlink ref="R10712" r:id="rId21420" location="" tooltip="" display=""/>
    <hyperlink ref="L10714" r:id="rId21421" location="" tooltip="" display=""/>
    <hyperlink ref="R10714" r:id="rId21422" location="" tooltip="" display=""/>
    <hyperlink ref="K10715" r:id="rId21423" location="" tooltip="" display=""/>
    <hyperlink ref="L10715" r:id="rId21424" location="" tooltip="" display=""/>
    <hyperlink ref="Q10715" r:id="rId21425" location="" tooltip="" display=""/>
    <hyperlink ref="R10715" r:id="rId21426" location="" tooltip="" display=""/>
    <hyperlink ref="L10716" r:id="rId21427" location="" tooltip="" display=""/>
    <hyperlink ref="R10716" r:id="rId21428" location="" tooltip="" display=""/>
    <hyperlink ref="L10718" r:id="rId21429" location="" tooltip="" display=""/>
    <hyperlink ref="R10718" r:id="rId21430" location="" tooltip="" display=""/>
    <hyperlink ref="L10719" r:id="rId21431" location="" tooltip="" display=""/>
    <hyperlink ref="R10719" r:id="rId21432" location="" tooltip="" display=""/>
    <hyperlink ref="L10720" r:id="rId21433" location="" tooltip="" display=""/>
    <hyperlink ref="R10720" r:id="rId21434" location="" tooltip="" display=""/>
    <hyperlink ref="L10721" r:id="rId21435" location="" tooltip="" display=""/>
    <hyperlink ref="R10721" r:id="rId21436" location="" tooltip="" display=""/>
    <hyperlink ref="L10722" r:id="rId21437" location="" tooltip="" display=""/>
    <hyperlink ref="R10722" r:id="rId21438" location="" tooltip="" display=""/>
    <hyperlink ref="K10723" r:id="rId21439" location="" tooltip="" display=""/>
    <hyperlink ref="L10723" r:id="rId21440" location="" tooltip="" display=""/>
    <hyperlink ref="Q10723" r:id="rId21441" location="" tooltip="" display=""/>
    <hyperlink ref="R10723" r:id="rId21442" location="" tooltip="" display=""/>
    <hyperlink ref="L10724" r:id="rId21443" location="" tooltip="" display=""/>
    <hyperlink ref="R10724" r:id="rId21444" location="" tooltip="" display=""/>
    <hyperlink ref="L10725" r:id="rId21445" location="" tooltip="" display=""/>
    <hyperlink ref="R10725" r:id="rId21446" location="" tooltip="" display=""/>
    <hyperlink ref="L10726" r:id="rId21447" location="" tooltip="" display=""/>
    <hyperlink ref="R10726" r:id="rId21448" location="" tooltip="" display=""/>
    <hyperlink ref="L10727" r:id="rId21449" location="" tooltip="" display=""/>
    <hyperlink ref="R10727" r:id="rId21450" location="" tooltip="" display=""/>
    <hyperlink ref="L10728" r:id="rId21451" location="" tooltip="" display=""/>
    <hyperlink ref="R10728" r:id="rId21452" location="" tooltip="" display=""/>
    <hyperlink ref="L10729" r:id="rId21453" location="" tooltip="" display=""/>
    <hyperlink ref="R10729" r:id="rId21454" location="" tooltip="" display=""/>
    <hyperlink ref="L10731" r:id="rId21455" location="" tooltip="" display=""/>
    <hyperlink ref="R10731" r:id="rId21456" location="" tooltip="" display=""/>
    <hyperlink ref="K10732" r:id="rId21457" location="" tooltip="" display=""/>
    <hyperlink ref="L10732" r:id="rId21458" location="" tooltip="" display=""/>
    <hyperlink ref="Q10732" r:id="rId21459" location="" tooltip="" display=""/>
    <hyperlink ref="R10732" r:id="rId21460" location="" tooltip="" display=""/>
    <hyperlink ref="L10733" r:id="rId21461" location="" tooltip="" display=""/>
    <hyperlink ref="R10733" r:id="rId21462" location="" tooltip="" display=""/>
    <hyperlink ref="L10734" r:id="rId21463" location="" tooltip="" display=""/>
    <hyperlink ref="R10734" r:id="rId21464" location="" tooltip="" display=""/>
    <hyperlink ref="K10736" r:id="rId21465" location="" tooltip="" display=""/>
    <hyperlink ref="L10736" r:id="rId21466" location="" tooltip="" display=""/>
    <hyperlink ref="Q10736" r:id="rId21467" location="" tooltip="" display=""/>
    <hyperlink ref="R10736" r:id="rId21468" location="" tooltip="" display=""/>
    <hyperlink ref="K10738" r:id="rId21469" location="" tooltip="" display=""/>
    <hyperlink ref="L10738" r:id="rId21470" location="" tooltip="" display=""/>
    <hyperlink ref="Q10738" r:id="rId21471" location="" tooltip="" display=""/>
    <hyperlink ref="R10738" r:id="rId21472" location="" tooltip="" display=""/>
    <hyperlink ref="L10739" r:id="rId21473" location="" tooltip="" display=""/>
    <hyperlink ref="R10739" r:id="rId21474" location="" tooltip="" display=""/>
    <hyperlink ref="K10741" r:id="rId21475" location="" tooltip="" display=""/>
    <hyperlink ref="L10741" r:id="rId21476" location="" tooltip="" display=""/>
    <hyperlink ref="Q10741" r:id="rId21477" location="" tooltip="" display=""/>
    <hyperlink ref="R10741" r:id="rId21478" location="" tooltip="" display=""/>
    <hyperlink ref="L10742" r:id="rId21479" location="" tooltip="" display=""/>
    <hyperlink ref="R10742" r:id="rId21480" location="" tooltip="" display=""/>
    <hyperlink ref="K10744" r:id="rId21481" location="" tooltip="" display=""/>
    <hyperlink ref="L10744" r:id="rId21482" location="" tooltip="" display=""/>
    <hyperlink ref="Q10744" r:id="rId21483" location="" tooltip="" display=""/>
    <hyperlink ref="R10744" r:id="rId21484" location="" tooltip="" display=""/>
    <hyperlink ref="L10745" r:id="rId21485" location="" tooltip="" display=""/>
    <hyperlink ref="R10745" r:id="rId21486" location="" tooltip="" display=""/>
    <hyperlink ref="K10747" r:id="rId21487" location="" tooltip="" display=""/>
    <hyperlink ref="L10747" r:id="rId21488" location="" tooltip="" display=""/>
    <hyperlink ref="Q10747" r:id="rId21489" location="" tooltip="" display=""/>
    <hyperlink ref="R10747" r:id="rId21490" location="" tooltip="" display=""/>
    <hyperlink ref="L10748" r:id="rId21491" location="" tooltip="" display=""/>
    <hyperlink ref="R10748" r:id="rId21492" location="" tooltip="" display=""/>
    <hyperlink ref="K10750" r:id="rId21493" location="" tooltip="" display=""/>
    <hyperlink ref="L10750" r:id="rId21494" location="" tooltip="" display=""/>
    <hyperlink ref="Q10750" r:id="rId21495" location="" tooltip="" display=""/>
    <hyperlink ref="R10750" r:id="rId21496" location="" tooltip="" display=""/>
    <hyperlink ref="L10752" r:id="rId21497" location="" tooltip="" display=""/>
    <hyperlink ref="R10752" r:id="rId21498" location="" tooltip="" display=""/>
    <hyperlink ref="L10753" r:id="rId21499" location="" tooltip="" display=""/>
    <hyperlink ref="R10753" r:id="rId21500" location="" tooltip="" display=""/>
    <hyperlink ref="K10754" r:id="rId21501" location="" tooltip="" display=""/>
    <hyperlink ref="L10754" r:id="rId21502" location="" tooltip="" display=""/>
    <hyperlink ref="Q10754" r:id="rId21503" location="" tooltip="" display=""/>
    <hyperlink ref="R10754" r:id="rId21504" location="" tooltip="" display=""/>
    <hyperlink ref="L10755" r:id="rId21505" location="" tooltip="" display=""/>
    <hyperlink ref="R10755" r:id="rId21506" location="" tooltip="" display=""/>
    <hyperlink ref="L10756" r:id="rId21507" location="" tooltip="" display=""/>
    <hyperlink ref="R10756" r:id="rId21508" location="" tooltip="" display=""/>
    <hyperlink ref="L10758" r:id="rId21509" location="" tooltip="" display=""/>
    <hyperlink ref="R10758" r:id="rId21510" location="" tooltip="" display=""/>
    <hyperlink ref="K10759" r:id="rId21511" location="" tooltip="" display=""/>
    <hyperlink ref="L10759" r:id="rId21512" location="" tooltip="" display=""/>
    <hyperlink ref="Q10759" r:id="rId21513" location="" tooltip="" display=""/>
    <hyperlink ref="R10759" r:id="rId21514" location="" tooltip="" display=""/>
    <hyperlink ref="L10760" r:id="rId21515" location="" tooltip="" display=""/>
    <hyperlink ref="R10760" r:id="rId21516" location="" tooltip="" display=""/>
    <hyperlink ref="K10762" r:id="rId21517" location="" tooltip="" display=""/>
    <hyperlink ref="L10762" r:id="rId21518" location="" tooltip="" display=""/>
    <hyperlink ref="Q10762" r:id="rId21519" location="" tooltip="" display=""/>
    <hyperlink ref="R10762" r:id="rId21520" location="" tooltip="" display=""/>
    <hyperlink ref="L10763" r:id="rId21521" location="" tooltip="" display=""/>
    <hyperlink ref="R10763" r:id="rId21522" location="" tooltip="" display=""/>
    <hyperlink ref="L10765" r:id="rId21523" location="" tooltip="" display=""/>
    <hyperlink ref="R10765" r:id="rId21524" location="" tooltip="" display=""/>
    <hyperlink ref="L10766" r:id="rId21525" location="" tooltip="" display=""/>
    <hyperlink ref="R10766" r:id="rId21526" location="" tooltip="" display=""/>
    <hyperlink ref="K10767" r:id="rId21527" location="" tooltip="" display=""/>
    <hyperlink ref="L10767" r:id="rId21528" location="" tooltip="" display=""/>
    <hyperlink ref="Q10767" r:id="rId21529" location="" tooltip="" display=""/>
    <hyperlink ref="R10767" r:id="rId21530" location="" tooltip="" display=""/>
    <hyperlink ref="L10768" r:id="rId21531" location="" tooltip="" display=""/>
    <hyperlink ref="R10768" r:id="rId21532" location="" tooltip="" display=""/>
    <hyperlink ref="L10769" r:id="rId21533" location="" tooltip="" display=""/>
    <hyperlink ref="R10769" r:id="rId21534" location="" tooltip="" display=""/>
    <hyperlink ref="L10770" r:id="rId21535" location="" tooltip="" display=""/>
    <hyperlink ref="R10770" r:id="rId21536" location="" tooltip="" display=""/>
    <hyperlink ref="K10772" r:id="rId21537" location="" tooltip="" display=""/>
    <hyperlink ref="L10772" r:id="rId21538" location="" tooltip="" display=""/>
    <hyperlink ref="Q10772" r:id="rId21539" location="" tooltip="" display=""/>
    <hyperlink ref="R10772" r:id="rId21540" location="" tooltip="" display=""/>
    <hyperlink ref="L10773" r:id="rId21541" location="" tooltip="" display=""/>
    <hyperlink ref="R10773" r:id="rId21542" location="" tooltip="" display=""/>
    <hyperlink ref="L10775" r:id="rId21543" location="" tooltip="" display=""/>
    <hyperlink ref="R10775" r:id="rId21544" location="" tooltip="" display=""/>
    <hyperlink ref="L10776" r:id="rId21545" location="" tooltip="" display=""/>
    <hyperlink ref="R10776" r:id="rId21546" location="" tooltip="" display=""/>
    <hyperlink ref="K10777" r:id="rId21547" location="" tooltip="" display=""/>
    <hyperlink ref="L10777" r:id="rId21548" location="" tooltip="" display=""/>
    <hyperlink ref="Q10777" r:id="rId21549" location="" tooltip="" display=""/>
    <hyperlink ref="R10777" r:id="rId21550" location="" tooltip="" display=""/>
    <hyperlink ref="L10778" r:id="rId21551" location="" tooltip="" display=""/>
    <hyperlink ref="R10778" r:id="rId21552" location="" tooltip="" display=""/>
    <hyperlink ref="L10779" r:id="rId21553" location="" tooltip="" display=""/>
    <hyperlink ref="R10779" r:id="rId21554" location="" tooltip="" display=""/>
    <hyperlink ref="L10781" r:id="rId21555" location="" tooltip="" display=""/>
    <hyperlink ref="R10781" r:id="rId21556" location="" tooltip="" display=""/>
    <hyperlink ref="K10782" r:id="rId21557" location="" tooltip="" display=""/>
    <hyperlink ref="L10782" r:id="rId21558" location="" tooltip="" display=""/>
    <hyperlink ref="Q10782" r:id="rId21559" location="" tooltip="" display=""/>
    <hyperlink ref="R10782" r:id="rId21560" location="" tooltip="" display=""/>
    <hyperlink ref="L10783" r:id="rId21561" location="" tooltip="" display=""/>
    <hyperlink ref="R10783" r:id="rId21562" location="" tooltip="" display=""/>
    <hyperlink ref="L10784" r:id="rId21563" location="" tooltip="" display=""/>
    <hyperlink ref="R10784" r:id="rId21564" location="" tooltip="" display=""/>
    <hyperlink ref="K10786" r:id="rId21565" location="" tooltip="" display=""/>
    <hyperlink ref="L10786" r:id="rId21566" location="" tooltip="" display=""/>
    <hyperlink ref="Q10786" r:id="rId21567" location="" tooltip="" display=""/>
    <hyperlink ref="R10786" r:id="rId21568" location="" tooltip="" display=""/>
    <hyperlink ref="L10787" r:id="rId21569" location="" tooltip="" display=""/>
    <hyperlink ref="R10787" r:id="rId21570" location="" tooltip="" display=""/>
    <hyperlink ref="K10789" r:id="rId21571" location="" tooltip="" display=""/>
    <hyperlink ref="L10789" r:id="rId21572" location="" tooltip="" display=""/>
    <hyperlink ref="Q10789" r:id="rId21573" location="" tooltip="" display=""/>
    <hyperlink ref="R10789" r:id="rId21574" location="" tooltip="" display=""/>
    <hyperlink ref="L10790" r:id="rId21575" location="" tooltip="" display=""/>
    <hyperlink ref="R10790" r:id="rId21576" location="" tooltip="" display=""/>
    <hyperlink ref="L10792" r:id="rId21577" location="" tooltip="" display=""/>
    <hyperlink ref="R10792" r:id="rId21578" location="" tooltip="" display=""/>
    <hyperlink ref="L10793" r:id="rId21579" location="" tooltip="" display=""/>
    <hyperlink ref="R10793" r:id="rId21580" location="" tooltip="" display=""/>
    <hyperlink ref="K10794" r:id="rId21581" location="" tooltip="" display=""/>
    <hyperlink ref="L10794" r:id="rId21582" location="" tooltip="" display=""/>
    <hyperlink ref="Q10794" r:id="rId21583" location="" tooltip="" display=""/>
    <hyperlink ref="R10794" r:id="rId21584" location="" tooltip="" display=""/>
    <hyperlink ref="L10795" r:id="rId21585" location="" tooltip="" display=""/>
    <hyperlink ref="R10795" r:id="rId21586" location="" tooltip="" display=""/>
    <hyperlink ref="L10796" r:id="rId21587" location="" tooltip="" display=""/>
    <hyperlink ref="R10796" r:id="rId21588" location="" tooltip="" display=""/>
    <hyperlink ref="L10798" r:id="rId21589" location="" tooltip="" display=""/>
    <hyperlink ref="R10798" r:id="rId21590" location="" tooltip="" display=""/>
    <hyperlink ref="L10799" r:id="rId21591" location="" tooltip="" display=""/>
    <hyperlink ref="R10799" r:id="rId21592" location="" tooltip="" display=""/>
    <hyperlink ref="L10800" r:id="rId21593" location="" tooltip="" display=""/>
    <hyperlink ref="R10800" r:id="rId21594" location="" tooltip="" display=""/>
    <hyperlink ref="K10801" r:id="rId21595" location="" tooltip="" display=""/>
    <hyperlink ref="L10801" r:id="rId21596" location="" tooltip="" display=""/>
    <hyperlink ref="Q10801" r:id="rId21597" location="" tooltip="" display=""/>
    <hyperlink ref="R10801" r:id="rId21598" location="" tooltip="" display=""/>
    <hyperlink ref="L10802" r:id="rId21599" location="" tooltip="" display=""/>
    <hyperlink ref="R10802" r:id="rId21600" location="" tooltip="" display=""/>
    <hyperlink ref="L10803" r:id="rId21601" location="" tooltip="" display=""/>
    <hyperlink ref="R10803" r:id="rId21602" location="" tooltip="" display=""/>
    <hyperlink ref="L10804" r:id="rId21603" location="" tooltip="" display=""/>
    <hyperlink ref="R10804" r:id="rId21604" location="" tooltip="" display=""/>
    <hyperlink ref="K10806" r:id="rId21605" location="" tooltip="" display=""/>
    <hyperlink ref="L10806" r:id="rId21606" location="" tooltip="" display=""/>
    <hyperlink ref="Q10806" r:id="rId21607" location="" tooltip="" display=""/>
    <hyperlink ref="R10806" r:id="rId21608" location="" tooltip="" display=""/>
    <hyperlink ref="L10807" r:id="rId21609" location="" tooltip="" display=""/>
    <hyperlink ref="R10807" r:id="rId21610" location="" tooltip="" display=""/>
    <hyperlink ref="K10809" r:id="rId21611" location="" tooltip="" display=""/>
    <hyperlink ref="L10809" r:id="rId21612" location="" tooltip="" display=""/>
    <hyperlink ref="Q10809" r:id="rId21613" location="" tooltip="" display=""/>
    <hyperlink ref="R10809" r:id="rId21614" location="" tooltip="" display=""/>
    <hyperlink ref="L10811" r:id="rId21615" location="" tooltip="" display=""/>
    <hyperlink ref="R10811" r:id="rId21616" location="" tooltip="" display=""/>
    <hyperlink ref="L10812" r:id="rId21617" location="" tooltip="" display=""/>
    <hyperlink ref="R10812" r:id="rId21618" location="" tooltip="" display=""/>
    <hyperlink ref="K10813" r:id="rId21619" location="" tooltip="" display=""/>
    <hyperlink ref="L10813" r:id="rId21620" location="" tooltip="" display=""/>
    <hyperlink ref="Q10813" r:id="rId21621" location="" tooltip="" display=""/>
    <hyperlink ref="R10813" r:id="rId21622" location="" tooltip="" display=""/>
    <hyperlink ref="L10814" r:id="rId21623" location="" tooltip="" display=""/>
    <hyperlink ref="R10814" r:id="rId21624" location="" tooltip="" display=""/>
    <hyperlink ref="L10815" r:id="rId21625" location="" tooltip="" display=""/>
    <hyperlink ref="R10815" r:id="rId21626" location="" tooltip="" display=""/>
    <hyperlink ref="L10816" r:id="rId21627" location="" tooltip="" display=""/>
    <hyperlink ref="R10816" r:id="rId21628" location="" tooltip="" display=""/>
    <hyperlink ref="K10818" r:id="rId21629" location="" tooltip="" display=""/>
    <hyperlink ref="L10818" r:id="rId21630" location="" tooltip="" display=""/>
    <hyperlink ref="Q10818" r:id="rId21631" location="" tooltip="" display=""/>
    <hyperlink ref="R10818" r:id="rId21632" location="" tooltip="" display=""/>
    <hyperlink ref="L10820" r:id="rId21633" location="" tooltip="" display=""/>
    <hyperlink ref="R10820" r:id="rId21634" location="" tooltip="" display=""/>
    <hyperlink ref="L10821" r:id="rId21635" location="" tooltip="" display=""/>
    <hyperlink ref="R10821" r:id="rId21636" location="" tooltip="" display=""/>
    <hyperlink ref="L10822" r:id="rId21637" location="" tooltip="" display=""/>
    <hyperlink ref="R10822" r:id="rId21638" location="" tooltip="" display=""/>
    <hyperlink ref="L10823" r:id="rId21639" location="" tooltip="" display=""/>
    <hyperlink ref="R10823" r:id="rId21640" location="" tooltip="" display=""/>
    <hyperlink ref="L10824" r:id="rId21641" location="" tooltip="" display=""/>
    <hyperlink ref="R10824" r:id="rId21642" location="" tooltip="" display=""/>
    <hyperlink ref="K10825" r:id="rId21643" location="" tooltip="" display=""/>
    <hyperlink ref="L10825" r:id="rId21644" location="" tooltip="" display=""/>
    <hyperlink ref="Q10825" r:id="rId21645" location="" tooltip="" display=""/>
    <hyperlink ref="R10825" r:id="rId21646" location="" tooltip="" display=""/>
    <hyperlink ref="L10826" r:id="rId21647" location="" tooltip="" display=""/>
    <hyperlink ref="R10826" r:id="rId21648" location="" tooltip="" display=""/>
    <hyperlink ref="L10827" r:id="rId21649" location="" tooltip="" display=""/>
    <hyperlink ref="R10827" r:id="rId21650" location="" tooltip="" display=""/>
    <hyperlink ref="L10828" r:id="rId21651" location="" tooltip="" display=""/>
    <hyperlink ref="R10828" r:id="rId21652" location="" tooltip="" display=""/>
    <hyperlink ref="L10829" r:id="rId21653" location="" tooltip="" display=""/>
    <hyperlink ref="R10829" r:id="rId21654" location="" tooltip="" display=""/>
    <hyperlink ref="L10830" r:id="rId21655" location="" tooltip="" display=""/>
    <hyperlink ref="R10830" r:id="rId21656" location="" tooltip="" display=""/>
    <hyperlink ref="L10832" r:id="rId21657" location="" tooltip="" display=""/>
    <hyperlink ref="R10832" r:id="rId21658" location="" tooltip="" display=""/>
    <hyperlink ref="K10833" r:id="rId21659" location="" tooltip="" display=""/>
    <hyperlink ref="L10833" r:id="rId21660" location="" tooltip="" display=""/>
    <hyperlink ref="Q10833" r:id="rId21661" location="" tooltip="" display=""/>
    <hyperlink ref="R10833" r:id="rId21662" location="" tooltip="" display=""/>
    <hyperlink ref="L10834" r:id="rId21663" location="" tooltip="" display=""/>
    <hyperlink ref="R10834" r:id="rId21664" location="" tooltip="" display=""/>
    <hyperlink ref="L10835" r:id="rId21665" location="" tooltip="" display=""/>
    <hyperlink ref="R10835" r:id="rId21666" location="" tooltip="" display=""/>
    <hyperlink ref="L10837" r:id="rId21667" location="" tooltip="" display=""/>
    <hyperlink ref="R10837" r:id="rId21668" location="" tooltip="" display=""/>
    <hyperlink ref="K10838" r:id="rId21669" location="" tooltip="" display=""/>
    <hyperlink ref="L10838" r:id="rId21670" location="" tooltip="" display=""/>
    <hyperlink ref="Q10838" r:id="rId21671" location="" tooltip="" display=""/>
    <hyperlink ref="R10838" r:id="rId21672" location="" tooltip="" display=""/>
    <hyperlink ref="L10839" r:id="rId21673" location="" tooltip="" display=""/>
    <hyperlink ref="R10839" r:id="rId21674" location="" tooltip="" display=""/>
    <hyperlink ref="L10841" r:id="rId21675" location="" tooltip="" display=""/>
    <hyperlink ref="R10841" r:id="rId21676" location="" tooltip="" display=""/>
    <hyperlink ref="L10842" r:id="rId21677" location="" tooltip="" display=""/>
    <hyperlink ref="R10842" r:id="rId21678" location="" tooltip="" display=""/>
    <hyperlink ref="K10843" r:id="rId21679" location="" tooltip="" display=""/>
    <hyperlink ref="L10843" r:id="rId21680" location="" tooltip="" display=""/>
    <hyperlink ref="Q10843" r:id="rId21681" location="" tooltip="" display=""/>
    <hyperlink ref="R10843" r:id="rId21682" location="" tooltip="" display=""/>
    <hyperlink ref="L10844" r:id="rId21683" location="" tooltip="" display=""/>
    <hyperlink ref="R10844" r:id="rId21684" location="" tooltip="" display=""/>
    <hyperlink ref="L10845" r:id="rId21685" location="" tooltip="" display=""/>
    <hyperlink ref="R10845" r:id="rId21686" location="" tooltip="" display=""/>
    <hyperlink ref="L10847" r:id="rId21687" location="" tooltip="" display=""/>
    <hyperlink ref="R10847" r:id="rId21688" location="" tooltip="" display=""/>
    <hyperlink ref="L10848" r:id="rId21689" location="" tooltip="" display=""/>
    <hyperlink ref="R10848" r:id="rId21690" location="" tooltip="" display=""/>
    <hyperlink ref="K10849" r:id="rId21691" location="" tooltip="" display=""/>
    <hyperlink ref="L10849" r:id="rId21692" location="" tooltip="" display=""/>
    <hyperlink ref="Q10849" r:id="rId21693" location="" tooltip="" display=""/>
    <hyperlink ref="R10849" r:id="rId21694" location="" tooltip="" display=""/>
    <hyperlink ref="L10850" r:id="rId21695" location="" tooltip="" display=""/>
    <hyperlink ref="R10850" r:id="rId21696" location="" tooltip="" display=""/>
    <hyperlink ref="L10851" r:id="rId21697" location="" tooltip="" display=""/>
    <hyperlink ref="R10851" r:id="rId21698" location="" tooltip="" display=""/>
    <hyperlink ref="L10852" r:id="rId21699" location="" tooltip="" display=""/>
    <hyperlink ref="R10852" r:id="rId21700" location="" tooltip="" display=""/>
    <hyperlink ref="K10854" r:id="rId21701" location="" tooltip="" display=""/>
    <hyperlink ref="L10854" r:id="rId21702" location="" tooltip="" display=""/>
    <hyperlink ref="Q10854" r:id="rId21703" location="" tooltip="" display=""/>
    <hyperlink ref="R10854" r:id="rId21704" location="" tooltip="" display=""/>
    <hyperlink ref="L10855" r:id="rId21705" location="" tooltip="" display=""/>
    <hyperlink ref="R10855" r:id="rId21706" location="" tooltip="" display=""/>
    <hyperlink ref="K10857" r:id="rId21707" location="" tooltip="" display=""/>
    <hyperlink ref="L10857" r:id="rId21708" location="" tooltip="" display=""/>
    <hyperlink ref="Q10857" r:id="rId21709" location="" tooltip="" display=""/>
    <hyperlink ref="R10857" r:id="rId21710" location="" tooltip="" display=""/>
    <hyperlink ref="L10858" r:id="rId21711" location="" tooltip="" display=""/>
    <hyperlink ref="R10858" r:id="rId21712" location="" tooltip="" display=""/>
    <hyperlink ref="L10860" r:id="rId21713" location="" tooltip="" display=""/>
    <hyperlink ref="R10860" r:id="rId21714" location="" tooltip="" display=""/>
    <hyperlink ref="L10861" r:id="rId21715" location="" tooltip="" display=""/>
    <hyperlink ref="R10861" r:id="rId21716" location="" tooltip="" display=""/>
    <hyperlink ref="L10862" r:id="rId21717" location="" tooltip="" display=""/>
    <hyperlink ref="R10862" r:id="rId21718" location="" tooltip="" display=""/>
    <hyperlink ref="K10863" r:id="rId21719" location="" tooltip="" display=""/>
    <hyperlink ref="L10863" r:id="rId21720" location="" tooltip="" display=""/>
    <hyperlink ref="Q10863" r:id="rId21721" location="" tooltip="" display=""/>
    <hyperlink ref="R10863" r:id="rId21722" location="" tooltip="" display=""/>
    <hyperlink ref="L10864" r:id="rId21723" location="" tooltip="" display=""/>
    <hyperlink ref="R10864" r:id="rId21724" location="" tooltip="" display=""/>
    <hyperlink ref="L10865" r:id="rId21725" location="" tooltip="" display=""/>
    <hyperlink ref="R10865" r:id="rId21726" location="" tooltip="" display=""/>
    <hyperlink ref="L10866" r:id="rId21727" location="" tooltip="" display=""/>
    <hyperlink ref="R10866" r:id="rId21728" location="" tooltip="" display=""/>
    <hyperlink ref="L10867" r:id="rId21729" location="" tooltip="" display=""/>
    <hyperlink ref="R10867" r:id="rId21730" location="" tooltip="" display=""/>
    <hyperlink ref="K10869" r:id="rId21731" location="" tooltip="" display=""/>
    <hyperlink ref="L10869" r:id="rId21732" location="" tooltip="" display=""/>
    <hyperlink ref="Q10869" r:id="rId21733" location="" tooltip="" display=""/>
    <hyperlink ref="R10869" r:id="rId21734" location="" tooltip="" display=""/>
    <hyperlink ref="K10871" r:id="rId21735" location="" tooltip="" display=""/>
    <hyperlink ref="L10871" r:id="rId21736" location="" tooltip="" display=""/>
    <hyperlink ref="Q10871" r:id="rId21737" location="" tooltip="" display=""/>
    <hyperlink ref="R10871" r:id="rId21738" location="" tooltip="" display=""/>
    <hyperlink ref="L10873" r:id="rId21739" location="" tooltip="" display=""/>
    <hyperlink ref="R10873" r:id="rId21740" location="" tooltip="" display=""/>
    <hyperlink ref="L10874" r:id="rId21741" location="" tooltip="" display=""/>
    <hyperlink ref="R10874" r:id="rId21742" location="" tooltip="" display=""/>
    <hyperlink ref="K10875" r:id="rId21743" location="" tooltip="" display=""/>
    <hyperlink ref="L10875" r:id="rId21744" location="" tooltip="" display=""/>
    <hyperlink ref="Q10875" r:id="rId21745" location="" tooltip="" display=""/>
    <hyperlink ref="R10875" r:id="rId21746" location="" tooltip="" display=""/>
    <hyperlink ref="L10876" r:id="rId21747" location="" tooltip="" display=""/>
    <hyperlink ref="R10876" r:id="rId21748" location="" tooltip="" display=""/>
    <hyperlink ref="L10877" r:id="rId21749" location="" tooltip="" display=""/>
    <hyperlink ref="R10877" r:id="rId21750" location="" tooltip="" display=""/>
    <hyperlink ref="L10878" r:id="rId21751" location="" tooltip="" display=""/>
    <hyperlink ref="R10878" r:id="rId21752" location="" tooltip="" display=""/>
    <hyperlink ref="K10880" r:id="rId21753" location="" tooltip="" display=""/>
    <hyperlink ref="L10880" r:id="rId21754" location="" tooltip="" display=""/>
    <hyperlink ref="Q10880" r:id="rId21755" location="" tooltip="" display=""/>
    <hyperlink ref="R10880" r:id="rId21756" location="" tooltip="" display=""/>
    <hyperlink ref="L10882" r:id="rId21757" location="" tooltip="" display=""/>
    <hyperlink ref="R10882" r:id="rId21758" location="" tooltip="" display=""/>
    <hyperlink ref="L10883" r:id="rId21759" location="" tooltip="" display=""/>
    <hyperlink ref="R10883" r:id="rId21760" location="" tooltip="" display=""/>
    <hyperlink ref="L10884" r:id="rId21761" location="" tooltip="" display=""/>
    <hyperlink ref="R10884" r:id="rId21762" location="" tooltip="" display=""/>
    <hyperlink ref="K10885" r:id="rId21763" location="" tooltip="" display=""/>
    <hyperlink ref="L10885" r:id="rId21764" location="" tooltip="" display=""/>
    <hyperlink ref="Q10885" r:id="rId21765" location="" tooltip="" display=""/>
    <hyperlink ref="R10885" r:id="rId21766" location="" tooltip="" display=""/>
    <hyperlink ref="L10886" r:id="rId21767" location="" tooltip="" display=""/>
    <hyperlink ref="R10886" r:id="rId21768" location="" tooltip="" display=""/>
    <hyperlink ref="L10887" r:id="rId21769" location="" tooltip="" display=""/>
    <hyperlink ref="R10887" r:id="rId21770" location="" tooltip="" display=""/>
    <hyperlink ref="L10888" r:id="rId21771" location="" tooltip="" display=""/>
    <hyperlink ref="R10888" r:id="rId21772" location="" tooltip="" display=""/>
    <hyperlink ref="K10890" r:id="rId21773" location="" tooltip="" display=""/>
    <hyperlink ref="L10890" r:id="rId21774" location="" tooltip="" display=""/>
    <hyperlink ref="Q10890" r:id="rId21775" location="" tooltip="" display=""/>
    <hyperlink ref="R10890" r:id="rId21776" location="" tooltip="" display=""/>
    <hyperlink ref="L10891" r:id="rId21777" location="" tooltip="" display=""/>
    <hyperlink ref="R10891" r:id="rId21778" location="" tooltip="" display=""/>
    <hyperlink ref="K10893" r:id="rId21779" location="" tooltip="" display=""/>
    <hyperlink ref="L10893" r:id="rId21780" location="" tooltip="" display=""/>
    <hyperlink ref="Q10893" r:id="rId21781" location="" tooltip="" display=""/>
    <hyperlink ref="R10893" r:id="rId21782" location="" tooltip="" display=""/>
    <hyperlink ref="L10894" r:id="rId21783" location="" tooltip="" display=""/>
    <hyperlink ref="R10894" r:id="rId21784" location="" tooltip="" display=""/>
    <hyperlink ref="L10896" r:id="rId21785" location="" tooltip="" display=""/>
    <hyperlink ref="R10896" r:id="rId21786" location="" tooltip="" display=""/>
    <hyperlink ref="L10897" r:id="rId21787" location="" tooltip="" display=""/>
    <hyperlink ref="R10897" r:id="rId21788" location="" tooltip="" display=""/>
    <hyperlink ref="K10898" r:id="rId21789" location="" tooltip="" display=""/>
    <hyperlink ref="L10898" r:id="rId21790" location="" tooltip="" display=""/>
    <hyperlink ref="Q10898" r:id="rId21791" location="" tooltip="" display=""/>
    <hyperlink ref="R10898" r:id="rId21792" location="" tooltip="" display=""/>
    <hyperlink ref="L10899" r:id="rId21793" location="" tooltip="" display=""/>
    <hyperlink ref="R10899" r:id="rId21794" location="" tooltip="" display=""/>
    <hyperlink ref="L10900" r:id="rId21795" location="" tooltip="" display=""/>
    <hyperlink ref="R10900" r:id="rId21796" location="" tooltip="" display=""/>
    <hyperlink ref="K10902" r:id="rId21797" location="" tooltip="" display=""/>
    <hyperlink ref="L10902" r:id="rId21798" location="" tooltip="" display=""/>
    <hyperlink ref="Q10902" r:id="rId21799" location="" tooltip="" display=""/>
    <hyperlink ref="R10902" r:id="rId21800" location="" tooltip="" display=""/>
    <hyperlink ref="L10903" r:id="rId21801" location="" tooltip="" display=""/>
    <hyperlink ref="R10903" r:id="rId21802" location="" tooltip="" display=""/>
    <hyperlink ref="L10905" r:id="rId21803" location="" tooltip="" display=""/>
    <hyperlink ref="R10905" r:id="rId21804" location="" tooltip="" display=""/>
    <hyperlink ref="K10906" r:id="rId21805" location="" tooltip="" display=""/>
    <hyperlink ref="L10906" r:id="rId21806" location="" tooltip="" display=""/>
    <hyperlink ref="Q10906" r:id="rId21807" location="" tooltip="" display=""/>
    <hyperlink ref="R10906" r:id="rId21808" location="" tooltip="" display=""/>
    <hyperlink ref="L10907" r:id="rId21809" location="" tooltip="" display=""/>
    <hyperlink ref="R10907" r:id="rId21810" location="" tooltip="" display=""/>
    <hyperlink ref="L10908" r:id="rId21811" location="" tooltip="" display=""/>
    <hyperlink ref="R10908" r:id="rId21812" location="" tooltip="" display=""/>
    <hyperlink ref="L10910" r:id="rId21813" location="" tooltip="" display=""/>
    <hyperlink ref="R10910" r:id="rId21814" location="" tooltip="" display=""/>
    <hyperlink ref="L10911" r:id="rId21815" location="" tooltip="" display=""/>
    <hyperlink ref="R10911" r:id="rId21816" location="" tooltip="" display=""/>
    <hyperlink ref="L10912" r:id="rId21817" location="" tooltip="" display=""/>
    <hyperlink ref="R10912" r:id="rId21818" location="" tooltip="" display=""/>
    <hyperlink ref="L10913" r:id="rId21819" location="" tooltip="" display=""/>
    <hyperlink ref="R10913" r:id="rId21820" location="" tooltip="" display=""/>
    <hyperlink ref="L10914" r:id="rId21821" location="" tooltip="" display=""/>
    <hyperlink ref="R10914" r:id="rId21822" location="" tooltip="" display=""/>
    <hyperlink ref="K10915" r:id="rId21823" location="" tooltip="" display=""/>
    <hyperlink ref="L10915" r:id="rId21824" location="" tooltip="" display=""/>
    <hyperlink ref="Q10915" r:id="rId21825" location="" tooltip="" display=""/>
    <hyperlink ref="R10915" r:id="rId21826" location="" tooltip="" display=""/>
    <hyperlink ref="L10916" r:id="rId21827" location="" tooltip="" display=""/>
    <hyperlink ref="R10916" r:id="rId21828" location="" tooltip="" display=""/>
    <hyperlink ref="L10917" r:id="rId21829" location="" tooltip="" display=""/>
    <hyperlink ref="R10917" r:id="rId21830" location="" tooltip="" display=""/>
    <hyperlink ref="L10918" r:id="rId21831" location="" tooltip="" display=""/>
    <hyperlink ref="R10918" r:id="rId21832" location="" tooltip="" display=""/>
    <hyperlink ref="L10919" r:id="rId21833" location="" tooltip="" display=""/>
    <hyperlink ref="R10919" r:id="rId21834" location="" tooltip="" display=""/>
    <hyperlink ref="L10920" r:id="rId21835" location="" tooltip="" display=""/>
    <hyperlink ref="R10920" r:id="rId21836" location="" tooltip="" display=""/>
    <hyperlink ref="K10922" r:id="rId21837" location="" tooltip="" display=""/>
    <hyperlink ref="L10922" r:id="rId21838" location="" tooltip="" display=""/>
    <hyperlink ref="Q10922" r:id="rId21839" location="" tooltip="" display=""/>
    <hyperlink ref="R10922" r:id="rId21840" location="" tooltip="" display=""/>
    <hyperlink ref="L10924" r:id="rId21841" location="" tooltip="" display=""/>
    <hyperlink ref="R10924" r:id="rId21842" location="" tooltip="" display=""/>
    <hyperlink ref="K10925" r:id="rId21843" location="" tooltip="" display=""/>
    <hyperlink ref="L10925" r:id="rId21844" location="" tooltip="" display=""/>
    <hyperlink ref="Q10925" r:id="rId21845" location="" tooltip="" display=""/>
    <hyperlink ref="R10925" r:id="rId21846" location="" tooltip="" display=""/>
    <hyperlink ref="L10926" r:id="rId21847" location="" tooltip="" display=""/>
    <hyperlink ref="R10926" r:id="rId21848" location="" tooltip="" display=""/>
    <hyperlink ref="L10927" r:id="rId21849" location="" tooltip="" display=""/>
    <hyperlink ref="R10927" r:id="rId21850" location="" tooltip="" display=""/>
    <hyperlink ref="L10929" r:id="rId21851" location="" tooltip="" display=""/>
    <hyperlink ref="R10929" r:id="rId21852" location="" tooltip="" display=""/>
    <hyperlink ref="L10930" r:id="rId21853" location="" tooltip="" display=""/>
    <hyperlink ref="R10930" r:id="rId21854" location="" tooltip="" display=""/>
    <hyperlink ref="K10931" r:id="rId21855" location="" tooltip="" display=""/>
    <hyperlink ref="L10931" r:id="rId21856" location="" tooltip="" display=""/>
    <hyperlink ref="Q10931" r:id="rId21857" location="" tooltip="" display=""/>
    <hyperlink ref="R10931" r:id="rId21858" location="" tooltip="" display=""/>
    <hyperlink ref="L10932" r:id="rId21859" location="" tooltip="" display=""/>
    <hyperlink ref="R10932" r:id="rId21860" location="" tooltip="" display=""/>
    <hyperlink ref="L10933" r:id="rId21861" location="" tooltip="" display=""/>
    <hyperlink ref="R10933" r:id="rId21862" location="" tooltip="" display=""/>
    <hyperlink ref="L10934" r:id="rId21863" location="" tooltip="" display=""/>
    <hyperlink ref="R10934" r:id="rId21864" location="" tooltip="" display=""/>
    <hyperlink ref="L10936" r:id="rId21865" location="" tooltip="" display=""/>
    <hyperlink ref="R10936" r:id="rId21866" location="" tooltip="" display=""/>
    <hyperlink ref="K10937" r:id="rId21867" location="" tooltip="" display=""/>
    <hyperlink ref="L10937" r:id="rId21868" location="" tooltip="" display=""/>
    <hyperlink ref="Q10937" r:id="rId21869" location="" tooltip="" display=""/>
    <hyperlink ref="R10937" r:id="rId21870" location="" tooltip="" display=""/>
    <hyperlink ref="L10938" r:id="rId21871" location="" tooltip="" display=""/>
    <hyperlink ref="R10938" r:id="rId21872" location="" tooltip="" display=""/>
    <hyperlink ref="K10940" r:id="rId21873" location="" tooltip="" display=""/>
    <hyperlink ref="L10940" r:id="rId21874" location="" tooltip="" display=""/>
    <hyperlink ref="Q10940" r:id="rId21875" location="" tooltip="" display=""/>
    <hyperlink ref="R10940" r:id="rId21876" location="" tooltip="" display=""/>
    <hyperlink ref="L10942" r:id="rId21877" location="" tooltip="" display=""/>
    <hyperlink ref="R10942" r:id="rId21878" location="" tooltip="" display=""/>
    <hyperlink ref="K10943" r:id="rId21879" location="" tooltip="" display=""/>
    <hyperlink ref="L10943" r:id="rId21880" location="" tooltip="" display=""/>
    <hyperlink ref="Q10943" r:id="rId21881" location="" tooltip="" display=""/>
    <hyperlink ref="R10943" r:id="rId21882" location="" tooltip="" display=""/>
    <hyperlink ref="L10944" r:id="rId21883" location="" tooltip="" display=""/>
    <hyperlink ref="R10944" r:id="rId21884" location="" tooltip="" display=""/>
    <hyperlink ref="K10946" r:id="rId21885" location="" tooltip="" display=""/>
    <hyperlink ref="L10946" r:id="rId21886" location="" tooltip="" display=""/>
    <hyperlink ref="Q10946" r:id="rId21887" location="" tooltip="" display=""/>
    <hyperlink ref="R10946" r:id="rId21888" location="" tooltip="" display=""/>
    <hyperlink ref="L10947" r:id="rId21889" location="" tooltip="" display=""/>
    <hyperlink ref="R10947" r:id="rId21890" location="" tooltip="" display=""/>
    <hyperlink ref="K10949" r:id="rId21891" location="" tooltip="" display=""/>
    <hyperlink ref="L10949" r:id="rId21892" location="" tooltip="" display=""/>
    <hyperlink ref="Q10949" r:id="rId21893" location="" tooltip="" display=""/>
    <hyperlink ref="R10949" r:id="rId21894" location="" tooltip="" display=""/>
    <hyperlink ref="K10951" r:id="rId21895" location="" tooltip="" display=""/>
    <hyperlink ref="L10951" r:id="rId21896" location="" tooltip="" display=""/>
    <hyperlink ref="Q10951" r:id="rId21897" location="" tooltip="" display=""/>
    <hyperlink ref="R10951" r:id="rId21898" location="" tooltip="" display=""/>
    <hyperlink ref="L10953" r:id="rId21899" location="" tooltip="" display=""/>
    <hyperlink ref="R10953" r:id="rId21900" location="" tooltip="" display=""/>
    <hyperlink ref="L10954" r:id="rId21901" location="" tooltip="" display=""/>
    <hyperlink ref="R10954" r:id="rId21902" location="" tooltip="" display=""/>
    <hyperlink ref="K10955" r:id="rId21903" location="" tooltip="" display=""/>
    <hyperlink ref="L10955" r:id="rId21904" location="" tooltip="" display=""/>
    <hyperlink ref="Q10955" r:id="rId21905" location="" tooltip="" display=""/>
    <hyperlink ref="R10955" r:id="rId21906" location="" tooltip="" display=""/>
    <hyperlink ref="L10956" r:id="rId21907" location="" tooltip="" display=""/>
    <hyperlink ref="R10956" r:id="rId21908" location="" tooltip="" display=""/>
    <hyperlink ref="L10957" r:id="rId21909" location="" tooltip="" display=""/>
    <hyperlink ref="R10957" r:id="rId21910" location="" tooltip="" display=""/>
    <hyperlink ref="L10958" r:id="rId21911" location="" tooltip="" display=""/>
    <hyperlink ref="R10958" r:id="rId21912" location="" tooltip="" display=""/>
    <hyperlink ref="K10960" r:id="rId21913" location="" tooltip="" display=""/>
    <hyperlink ref="L10960" r:id="rId21914" location="" tooltip="" display=""/>
    <hyperlink ref="Q10960" r:id="rId21915" location="" tooltip="" display=""/>
    <hyperlink ref="R10960" r:id="rId21916" location="" tooltip="" display=""/>
    <hyperlink ref="K10962" r:id="rId21917" location="" tooltip="" display=""/>
    <hyperlink ref="L10962" r:id="rId21918" location="" tooltip="" display=""/>
    <hyperlink ref="Q10962" r:id="rId21919" location="" tooltip="" display=""/>
    <hyperlink ref="R10962" r:id="rId21920" location="" tooltip="" display=""/>
    <hyperlink ref="L10963" r:id="rId21921" location="" tooltip="" display=""/>
    <hyperlink ref="R10963" r:id="rId21922" location="" tooltip="" display=""/>
    <hyperlink ref="K10965" r:id="rId21923" location="" tooltip="" display=""/>
    <hyperlink ref="L10965" r:id="rId21924" location="" tooltip="" display=""/>
    <hyperlink ref="Q10965" r:id="rId21925" location="" tooltip="" display=""/>
    <hyperlink ref="R10965" r:id="rId21926" location="" tooltip="" display=""/>
    <hyperlink ref="L10966" r:id="rId21927" location="" tooltip="" display=""/>
    <hyperlink ref="R10966" r:id="rId21928" location="" tooltip="" display=""/>
    <hyperlink ref="L10968" r:id="rId21929" location="" tooltip="" display=""/>
    <hyperlink ref="R10968" r:id="rId21930" location="" tooltip="" display=""/>
    <hyperlink ref="L10969" r:id="rId21931" location="" tooltip="" display=""/>
    <hyperlink ref="R10969" r:id="rId21932" location="" tooltip="" display=""/>
    <hyperlink ref="L10970" r:id="rId21933" location="" tooltip="" display=""/>
    <hyperlink ref="R10970" r:id="rId21934" location="" tooltip="" display=""/>
    <hyperlink ref="K10971" r:id="rId21935" location="" tooltip="" display=""/>
    <hyperlink ref="L10971" r:id="rId21936" location="" tooltip="" display=""/>
    <hyperlink ref="Q10971" r:id="rId21937" location="" tooltip="" display=""/>
    <hyperlink ref="R10971" r:id="rId21938" location="" tooltip="" display=""/>
    <hyperlink ref="L10972" r:id="rId21939" location="" tooltip="" display=""/>
    <hyperlink ref="R10972" r:id="rId21940" location="" tooltip="" display=""/>
    <hyperlink ref="L10973" r:id="rId21941" location="" tooltip="" display=""/>
    <hyperlink ref="R10973" r:id="rId21942" location="" tooltip="" display=""/>
    <hyperlink ref="L10974" r:id="rId21943" location="" tooltip="" display=""/>
    <hyperlink ref="R10974" r:id="rId21944" location="" tooltip="" display=""/>
    <hyperlink ref="K10976" r:id="rId21945" location="" tooltip="" display=""/>
    <hyperlink ref="L10976" r:id="rId21946" location="" tooltip="" display=""/>
    <hyperlink ref="Q10976" r:id="rId21947" location="" tooltip="" display=""/>
    <hyperlink ref="R10976" r:id="rId21948" location="" tooltip="" display=""/>
    <hyperlink ref="L10978" r:id="rId21949" location="" tooltip="" display=""/>
    <hyperlink ref="R10978" r:id="rId21950" location="" tooltip="" display=""/>
    <hyperlink ref="K10979" r:id="rId21951" location="" tooltip="" display=""/>
    <hyperlink ref="L10979" r:id="rId21952" location="" tooltip="" display=""/>
    <hyperlink ref="Q10979" r:id="rId21953" location="" tooltip="" display=""/>
    <hyperlink ref="R10979" r:id="rId21954" location="" tooltip="" display=""/>
    <hyperlink ref="L10980" r:id="rId21955" location="" tooltip="" display=""/>
    <hyperlink ref="R10980" r:id="rId21956" location="" tooltip="" display=""/>
    <hyperlink ref="K10982" r:id="rId21957" location="" tooltip="" display=""/>
    <hyperlink ref="L10982" r:id="rId21958" location="" tooltip="" display=""/>
    <hyperlink ref="Q10982" r:id="rId21959" location="" tooltip="" display=""/>
    <hyperlink ref="R10982" r:id="rId21960" location="" tooltip="" display=""/>
    <hyperlink ref="L10984" r:id="rId21961" location="" tooltip="" display=""/>
    <hyperlink ref="R10984" r:id="rId21962" location="" tooltip="" display=""/>
    <hyperlink ref="L10985" r:id="rId21963" location="" tooltip="" display=""/>
    <hyperlink ref="R10985" r:id="rId21964" location="" tooltip="" display=""/>
    <hyperlink ref="L10986" r:id="rId21965" location="" tooltip="" display=""/>
    <hyperlink ref="R10986" r:id="rId21966" location="" tooltip="" display=""/>
    <hyperlink ref="L10987" r:id="rId21967" location="" tooltip="" display=""/>
    <hyperlink ref="R10987" r:id="rId21968" location="" tooltip="" display=""/>
    <hyperlink ref="K10988" r:id="rId21969" location="" tooltip="" display=""/>
    <hyperlink ref="L10988" r:id="rId21970" location="" tooltip="" display=""/>
    <hyperlink ref="Q10988" r:id="rId21971" location="" tooltip="" display=""/>
    <hyperlink ref="R10988" r:id="rId21972" location="" tooltip="" display=""/>
    <hyperlink ref="L10989" r:id="rId21973" location="" tooltip="" display=""/>
    <hyperlink ref="R10989" r:id="rId21974" location="" tooltip="" display=""/>
    <hyperlink ref="L10990" r:id="rId21975" location="" tooltip="" display=""/>
    <hyperlink ref="R10990" r:id="rId21976" location="" tooltip="" display=""/>
    <hyperlink ref="L10991" r:id="rId21977" location="" tooltip="" display=""/>
    <hyperlink ref="R10991" r:id="rId21978" location="" tooltip="" display=""/>
    <hyperlink ref="L10992" r:id="rId21979" location="" tooltip="" display=""/>
    <hyperlink ref="R10992" r:id="rId21980" location="" tooltip="" display=""/>
    <hyperlink ref="K10994" r:id="rId21981" location="" tooltip="" display=""/>
    <hyperlink ref="L10994" r:id="rId21982" location="" tooltip="" display=""/>
    <hyperlink ref="Q10994" r:id="rId21983" location="" tooltip="" display=""/>
    <hyperlink ref="R10994" r:id="rId21984" location="" tooltip="" display=""/>
    <hyperlink ref="L10996" r:id="rId21985" location="" tooltip="" display=""/>
    <hyperlink ref="R10996" r:id="rId21986" location="" tooltip="" display=""/>
    <hyperlink ref="L10997" r:id="rId21987" location="" tooltip="" display=""/>
    <hyperlink ref="R10997" r:id="rId21988" location="" tooltip="" display=""/>
    <hyperlink ref="L10998" r:id="rId21989" location="" tooltip="" display=""/>
    <hyperlink ref="R10998" r:id="rId21990" location="" tooltip="" display=""/>
    <hyperlink ref="K10999" r:id="rId21991" location="" tooltip="" display=""/>
    <hyperlink ref="L10999" r:id="rId21992" location="" tooltip="" display=""/>
    <hyperlink ref="Q10999" r:id="rId21993" location="" tooltip="" display=""/>
    <hyperlink ref="R10999" r:id="rId21994" location="" tooltip="" display=""/>
    <hyperlink ref="L11000" r:id="rId21995" location="" tooltip="" display=""/>
    <hyperlink ref="R11000" r:id="rId21996" location="" tooltip="" display=""/>
    <hyperlink ref="L11001" r:id="rId21997" location="" tooltip="" display=""/>
    <hyperlink ref="R11001" r:id="rId21998" location="" tooltip="" display=""/>
    <hyperlink ref="L11002" r:id="rId21999" location="" tooltip="" display=""/>
    <hyperlink ref="R11002" r:id="rId22000" location="" tooltip="" display=""/>
    <hyperlink ref="K11004" r:id="rId22001" location="" tooltip="" display=""/>
    <hyperlink ref="L11004" r:id="rId22002" location="" tooltip="" display=""/>
    <hyperlink ref="Q11004" r:id="rId22003" location="" tooltip="" display=""/>
    <hyperlink ref="R11004" r:id="rId22004" location="" tooltip="" display=""/>
    <hyperlink ref="K11006" r:id="rId22005" location="" tooltip="" display=""/>
    <hyperlink ref="L11006" r:id="rId22006" location="" tooltip="" display=""/>
    <hyperlink ref="Q11006" r:id="rId22007" location="" tooltip="" display=""/>
    <hyperlink ref="R11006" r:id="rId22008" location="" tooltip="" display=""/>
    <hyperlink ref="K11008" r:id="rId22009" location="" tooltip="" display=""/>
    <hyperlink ref="L11008" r:id="rId22010" location="" tooltip="" display=""/>
    <hyperlink ref="Q11008" r:id="rId22011" location="" tooltip="" display=""/>
    <hyperlink ref="R11008" r:id="rId22012" location="" tooltip="" display=""/>
    <hyperlink ref="K11010" r:id="rId22013" location="" tooltip="" display=""/>
    <hyperlink ref="L11010" r:id="rId22014" location="" tooltip="" display=""/>
    <hyperlink ref="Q11010" r:id="rId22015" location="" tooltip="" display=""/>
    <hyperlink ref="R11010" r:id="rId22016" location="" tooltip="" display=""/>
    <hyperlink ref="K11012" r:id="rId22017" location="" tooltip="" display=""/>
    <hyperlink ref="L11012" r:id="rId22018" location="" tooltip="" display=""/>
    <hyperlink ref="Q11012" r:id="rId22019" location="" tooltip="" display=""/>
    <hyperlink ref="R11012" r:id="rId22020" location="" tooltip="" display=""/>
    <hyperlink ref="L11014" r:id="rId22021" location="" tooltip="" display=""/>
    <hyperlink ref="R11014" r:id="rId22022" location="" tooltip="" display=""/>
    <hyperlink ref="K11015" r:id="rId22023" location="" tooltip="" display=""/>
    <hyperlink ref="L11015" r:id="rId22024" location="" tooltip="" display=""/>
    <hyperlink ref="Q11015" r:id="rId22025" location="" tooltip="" display=""/>
    <hyperlink ref="R11015" r:id="rId22026" location="" tooltip="" display=""/>
    <hyperlink ref="L11016" r:id="rId22027" location="" tooltip="" display=""/>
    <hyperlink ref="R11016" r:id="rId22028" location="" tooltip="" display=""/>
    <hyperlink ref="K11018" r:id="rId22029" location="" tooltip="" display=""/>
    <hyperlink ref="L11018" r:id="rId22030" location="" tooltip="" display=""/>
    <hyperlink ref="Q11018" r:id="rId22031" location="" tooltip="" display=""/>
    <hyperlink ref="R11018" r:id="rId22032" location="" tooltip="" display=""/>
    <hyperlink ref="L11020" r:id="rId22033" location="" tooltip="" display=""/>
    <hyperlink ref="R11020" r:id="rId22034" location="" tooltip="" display=""/>
    <hyperlink ref="K11021" r:id="rId22035" location="" tooltip="" display=""/>
    <hyperlink ref="L11021" r:id="rId22036" location="" tooltip="" display=""/>
    <hyperlink ref="Q11021" r:id="rId22037" location="" tooltip="" display=""/>
    <hyperlink ref="R11021" r:id="rId22038" location="" tooltip="" display=""/>
    <hyperlink ref="L11022" r:id="rId22039" location="" tooltip="" display=""/>
    <hyperlink ref="R11022" r:id="rId22040" location="" tooltip="" display=""/>
    <hyperlink ref="L11023" r:id="rId22041" location="" tooltip="" display=""/>
    <hyperlink ref="R11023" r:id="rId22042" location="" tooltip="" display=""/>
    <hyperlink ref="L11025" r:id="rId22043" location="" tooltip="" display=""/>
    <hyperlink ref="R11025" r:id="rId22044" location="" tooltip="" display=""/>
    <hyperlink ref="K11026" r:id="rId22045" location="" tooltip="" display=""/>
    <hyperlink ref="L11026" r:id="rId22046" location="" tooltip="" display=""/>
    <hyperlink ref="Q11026" r:id="rId22047" location="" tooltip="" display=""/>
    <hyperlink ref="R11026" r:id="rId22048" location="" tooltip="" display=""/>
    <hyperlink ref="L11027" r:id="rId22049" location="" tooltip="" display=""/>
    <hyperlink ref="R11027" r:id="rId22050" location="" tooltip="" display=""/>
    <hyperlink ref="K11029" r:id="rId22051" location="" tooltip="" display=""/>
    <hyperlink ref="L11029" r:id="rId22052" location="" tooltip="" display=""/>
    <hyperlink ref="Q11029" r:id="rId22053" location="" tooltip="" display=""/>
    <hyperlink ref="R11029" r:id="rId22054" location="" tooltip="" display=""/>
    <hyperlink ref="L11030" r:id="rId22055" location="" tooltip="" display=""/>
    <hyperlink ref="R11030" r:id="rId22056" location="" tooltip="" display=""/>
    <hyperlink ref="K11032" r:id="rId22057" location="" tooltip="" display=""/>
    <hyperlink ref="L11032" r:id="rId22058" location="" tooltip="" display=""/>
    <hyperlink ref="Q11032" r:id="rId22059" location="" tooltip="" display=""/>
    <hyperlink ref="R11032" r:id="rId22060" location="" tooltip="" display=""/>
    <hyperlink ref="L11033" r:id="rId22061" location="" tooltip="" display=""/>
    <hyperlink ref="R11033" r:id="rId22062" location="" tooltip="" display=""/>
    <hyperlink ref="K11035" r:id="rId22063" location="" tooltip="" display=""/>
    <hyperlink ref="L11035" r:id="rId22064" location="" tooltip="" display=""/>
    <hyperlink ref="Q11035" r:id="rId22065" location="" tooltip="" display=""/>
    <hyperlink ref="R11035" r:id="rId22066" location="" tooltip="" display=""/>
    <hyperlink ref="L11036" r:id="rId22067" location="" tooltip="" display=""/>
    <hyperlink ref="R11036" r:id="rId22068" location="" tooltip="" display=""/>
    <hyperlink ref="L11038" r:id="rId22069" location="" tooltip="" display=""/>
    <hyperlink ref="R11038" r:id="rId22070" location="" tooltip="" display=""/>
    <hyperlink ref="L11039" r:id="rId22071" location="" tooltip="" display=""/>
    <hyperlink ref="R11039" r:id="rId22072" location="" tooltip="" display=""/>
    <hyperlink ref="K11040" r:id="rId22073" location="" tooltip="" display=""/>
    <hyperlink ref="L11040" r:id="rId22074" location="" tooltip="" display=""/>
    <hyperlink ref="Q11040" r:id="rId22075" location="" tooltip="" display=""/>
    <hyperlink ref="R11040" r:id="rId22076" location="" tooltip="" display=""/>
    <hyperlink ref="L11041" r:id="rId22077" location="" tooltip="" display=""/>
    <hyperlink ref="R11041" r:id="rId22078" location="" tooltip="" display=""/>
    <hyperlink ref="L11042" r:id="rId22079" location="" tooltip="" display=""/>
    <hyperlink ref="R11042" r:id="rId22080" location="" tooltip="" display=""/>
    <hyperlink ref="K11044" r:id="rId22081" location="" tooltip="" display=""/>
    <hyperlink ref="L11044" r:id="rId22082" location="" tooltip="" display=""/>
    <hyperlink ref="Q11044" r:id="rId22083" location="" tooltip="" display=""/>
    <hyperlink ref="R11044" r:id="rId22084" location="" tooltip="" display=""/>
    <hyperlink ref="L11045" r:id="rId22085" location="" tooltip="" display=""/>
    <hyperlink ref="R11045" r:id="rId22086" location="" tooltip="" display=""/>
    <hyperlink ref="L11047" r:id="rId22087" location="" tooltip="" display=""/>
    <hyperlink ref="R11047" r:id="rId22088" location="" tooltip="" display=""/>
    <hyperlink ref="L11048" r:id="rId22089" location="" tooltip="" display=""/>
    <hyperlink ref="R11048" r:id="rId22090" location="" tooltip="" display=""/>
    <hyperlink ref="K11049" r:id="rId22091" location="" tooltip="" display=""/>
    <hyperlink ref="L11049" r:id="rId22092" location="" tooltip="" display=""/>
    <hyperlink ref="Q11049" r:id="rId22093" location="" tooltip="" display=""/>
    <hyperlink ref="R11049" r:id="rId22094" location="" tooltip="" display=""/>
    <hyperlink ref="L11050" r:id="rId22095" location="" tooltip="" display=""/>
    <hyperlink ref="R11050" r:id="rId22096" location="" tooltip="" display=""/>
    <hyperlink ref="L11051" r:id="rId22097" location="" tooltip="" display=""/>
    <hyperlink ref="R11051" r:id="rId22098" location="" tooltip="" display=""/>
    <hyperlink ref="L11052" r:id="rId22099" location="" tooltip="" display=""/>
    <hyperlink ref="R11052" r:id="rId22100" location="" tooltip="" display=""/>
    <hyperlink ref="L11054" r:id="rId22101" location="" tooltip="" display=""/>
    <hyperlink ref="R11054" r:id="rId22102" location="" tooltip="" display=""/>
    <hyperlink ref="K11055" r:id="rId22103" location="" tooltip="" display=""/>
    <hyperlink ref="L11055" r:id="rId22104" location="" tooltip="" display=""/>
    <hyperlink ref="Q11055" r:id="rId22105" location="" tooltip="" display=""/>
    <hyperlink ref="R11055" r:id="rId22106" location="" tooltip="" display=""/>
    <hyperlink ref="L11056" r:id="rId22107" location="" tooltip="" display=""/>
    <hyperlink ref="R11056" r:id="rId22108" location="" tooltip="" display=""/>
    <hyperlink ref="L11057" r:id="rId22109" location="" tooltip="" display=""/>
    <hyperlink ref="R11057" r:id="rId22110" location="" tooltip="" display=""/>
    <hyperlink ref="K11059" r:id="rId22111" location="" tooltip="" display=""/>
    <hyperlink ref="L11059" r:id="rId22112" location="" tooltip="" display=""/>
    <hyperlink ref="Q11059" r:id="rId22113" location="" tooltip="" display=""/>
    <hyperlink ref="R11059" r:id="rId22114" location="" tooltip="" display=""/>
    <hyperlink ref="L11060" r:id="rId22115" location="" tooltip="" display=""/>
    <hyperlink ref="R11060" r:id="rId22116" location="" tooltip="" display=""/>
    <hyperlink ref="L11062" r:id="rId22117" location="" tooltip="" display=""/>
    <hyperlink ref="R11062" r:id="rId22118" location="" tooltip="" display=""/>
    <hyperlink ref="K11063" r:id="rId22119" location="" tooltip="" display=""/>
    <hyperlink ref="L11063" r:id="rId22120" location="" tooltip="" display=""/>
    <hyperlink ref="Q11063" r:id="rId22121" location="" tooltip="" display=""/>
    <hyperlink ref="R11063" r:id="rId22122" location="" tooltip="" display=""/>
    <hyperlink ref="L11064" r:id="rId22123" location="" tooltip="" display=""/>
    <hyperlink ref="R11064" r:id="rId22124" location="" tooltip="" display=""/>
    <hyperlink ref="K11066" r:id="rId22125" location="" tooltip="" display=""/>
    <hyperlink ref="L11066" r:id="rId22126" location="" tooltip="" display=""/>
    <hyperlink ref="Q11066" r:id="rId22127" location="" tooltip="" display=""/>
    <hyperlink ref="R11066" r:id="rId22128" location="" tooltip="" display=""/>
    <hyperlink ref="L11068" r:id="rId22129" location="" tooltip="" display=""/>
    <hyperlink ref="R11068" r:id="rId22130" location="" tooltip="" display=""/>
    <hyperlink ref="L11069" r:id="rId22131" location="" tooltip="" display=""/>
    <hyperlink ref="R11069" r:id="rId22132" location="" tooltip="" display=""/>
    <hyperlink ref="L11070" r:id="rId22133" location="" tooltip="" display=""/>
    <hyperlink ref="R11070" r:id="rId22134" location="" tooltip="" display=""/>
    <hyperlink ref="K11071" r:id="rId22135" location="" tooltip="" display=""/>
    <hyperlink ref="L11071" r:id="rId22136" location="" tooltip="" display=""/>
    <hyperlink ref="Q11071" r:id="rId22137" location="" tooltip="" display=""/>
    <hyperlink ref="R11071" r:id="rId22138" location="" tooltip="" display=""/>
    <hyperlink ref="L11072" r:id="rId22139" location="" tooltip="" display=""/>
    <hyperlink ref="R11072" r:id="rId22140" location="" tooltip="" display=""/>
    <hyperlink ref="L11073" r:id="rId22141" location="" tooltip="" display=""/>
    <hyperlink ref="R11073" r:id="rId22142" location="" tooltip="" display=""/>
    <hyperlink ref="L11074" r:id="rId22143" location="" tooltip="" display=""/>
    <hyperlink ref="R11074" r:id="rId22144" location="" tooltip="" display=""/>
    <hyperlink ref="K11076" r:id="rId22145" location="" tooltip="" display=""/>
    <hyperlink ref="L11076" r:id="rId22146" location="" tooltip="" display=""/>
    <hyperlink ref="Q11076" r:id="rId22147" location="" tooltip="" display=""/>
    <hyperlink ref="R11076" r:id="rId22148" location="" tooltip="" display=""/>
    <hyperlink ref="L11078" r:id="rId22149" location="" tooltip="" display=""/>
    <hyperlink ref="R11078" r:id="rId22150" location="" tooltip="" display=""/>
    <hyperlink ref="L11079" r:id="rId22151" location="" tooltip="" display=""/>
    <hyperlink ref="R11079" r:id="rId22152" location="" tooltip="" display=""/>
    <hyperlink ref="K11080" r:id="rId22153" location="" tooltip="" display=""/>
    <hyperlink ref="L11080" r:id="rId22154" location="" tooltip="" display=""/>
    <hyperlink ref="Q11080" r:id="rId22155" location="" tooltip="" display=""/>
    <hyperlink ref="R11080" r:id="rId22156" location="" tooltip="" display=""/>
    <hyperlink ref="L11081" r:id="rId22157" location="" tooltip="" display=""/>
    <hyperlink ref="R11081" r:id="rId22158" location="" tooltip="" display=""/>
    <hyperlink ref="L11082" r:id="rId22159" location="" tooltip="" display=""/>
    <hyperlink ref="R11082" r:id="rId22160" location="" tooltip="" display=""/>
    <hyperlink ref="K11084" r:id="rId22161" location="" tooltip="" display=""/>
    <hyperlink ref="L11084" r:id="rId22162" location="" tooltip="" display=""/>
    <hyperlink ref="Q11084" r:id="rId22163" location="" tooltip="" display=""/>
    <hyperlink ref="R11084" r:id="rId22164" location="" tooltip="" display=""/>
    <hyperlink ref="L11085" r:id="rId22165" location="" tooltip="" display=""/>
    <hyperlink ref="R11085" r:id="rId22166" location="" tooltip="" display=""/>
    <hyperlink ref="L11087" r:id="rId22167" location="" tooltip="" display=""/>
    <hyperlink ref="R11087" r:id="rId22168" location="" tooltip="" display=""/>
    <hyperlink ref="L11088" r:id="rId22169" location="" tooltip="" display=""/>
    <hyperlink ref="R11088" r:id="rId22170" location="" tooltip="" display=""/>
    <hyperlink ref="L11089" r:id="rId22171" location="" tooltip="" display=""/>
    <hyperlink ref="R11089" r:id="rId22172" location="" tooltip="" display=""/>
    <hyperlink ref="K11090" r:id="rId22173" location="" tooltip="" display=""/>
    <hyperlink ref="L11090" r:id="rId22174" location="" tooltip="" display=""/>
    <hyperlink ref="Q11090" r:id="rId22175" location="" tooltip="" display=""/>
    <hyperlink ref="R11090" r:id="rId22176" location="" tooltip="" display=""/>
    <hyperlink ref="L11091" r:id="rId22177" location="" tooltip="" display=""/>
    <hyperlink ref="R11091" r:id="rId22178" location="" tooltip="" display=""/>
    <hyperlink ref="L11092" r:id="rId22179" location="" tooltip="" display=""/>
    <hyperlink ref="R11092" r:id="rId22180" location="" tooltip="" display=""/>
    <hyperlink ref="L11093" r:id="rId22181" location="" tooltip="" display=""/>
    <hyperlink ref="R11093" r:id="rId22182" location="" tooltip="" display=""/>
    <hyperlink ref="K11095" r:id="rId22183" location="" tooltip="" display=""/>
    <hyperlink ref="L11095" r:id="rId22184" location="" tooltip="" display=""/>
    <hyperlink ref="Q11095" r:id="rId22185" location="" tooltip="" display=""/>
    <hyperlink ref="R11095" r:id="rId22186" location="" tooltip="" display=""/>
    <hyperlink ref="L11097" r:id="rId22187" location="" tooltip="" display=""/>
    <hyperlink ref="R11097" r:id="rId22188" location="" tooltip="" display=""/>
    <hyperlink ref="K11098" r:id="rId22189" location="" tooltip="" display=""/>
    <hyperlink ref="L11098" r:id="rId22190" location="" tooltip="" display=""/>
    <hyperlink ref="Q11098" r:id="rId22191" location="" tooltip="" display=""/>
    <hyperlink ref="R11098" r:id="rId22192" location="" tooltip="" display=""/>
    <hyperlink ref="L11099" r:id="rId22193" location="" tooltip="" display=""/>
    <hyperlink ref="R11099" r:id="rId22194" location="" tooltip="" display=""/>
    <hyperlink ref="L11100" r:id="rId22195" location="" tooltip="" display=""/>
    <hyperlink ref="R11100" r:id="rId22196" location="" tooltip="" display=""/>
    <hyperlink ref="K11102" r:id="rId22197" location="" tooltip="" display=""/>
    <hyperlink ref="L11102" r:id="rId22198" location="" tooltip="" display=""/>
    <hyperlink ref="Q11102" r:id="rId22199" location="" tooltip="" display=""/>
    <hyperlink ref="R11102" r:id="rId22200" location="" tooltip="" display=""/>
    <hyperlink ref="L11104" r:id="rId22201" location="" tooltip="" display=""/>
    <hyperlink ref="R11104" r:id="rId22202" location="" tooltip="" display=""/>
    <hyperlink ref="K11105" r:id="rId22203" location="" tooltip="" display=""/>
    <hyperlink ref="L11105" r:id="rId22204" location="" tooltip="" display=""/>
    <hyperlink ref="Q11105" r:id="rId22205" location="" tooltip="" display=""/>
    <hyperlink ref="R11105" r:id="rId22206" location="" tooltip="" display=""/>
    <hyperlink ref="L11106" r:id="rId22207" location="" tooltip="" display=""/>
    <hyperlink ref="R11106" r:id="rId22208" location="" tooltip="" display=""/>
    <hyperlink ref="K11108" r:id="rId22209" location="" tooltip="" display=""/>
    <hyperlink ref="L11108" r:id="rId22210" location="" tooltip="" display=""/>
    <hyperlink ref="Q11108" r:id="rId22211" location="" tooltip="" display=""/>
    <hyperlink ref="R11108" r:id="rId22212" location="" tooltip="" display=""/>
    <hyperlink ref="L11109" r:id="rId22213" location="" tooltip="" display=""/>
    <hyperlink ref="R11109" r:id="rId22214" location="" tooltip="" display=""/>
    <hyperlink ref="L11111" r:id="rId22215" location="" tooltip="" display=""/>
    <hyperlink ref="R11111" r:id="rId22216" location="" tooltip="" display=""/>
    <hyperlink ref="K11112" r:id="rId22217" location="" tooltip="" display=""/>
    <hyperlink ref="L11112" r:id="rId22218" location="" tooltip="" display=""/>
    <hyperlink ref="Q11112" r:id="rId22219" location="" tooltip="" display=""/>
    <hyperlink ref="R11112" r:id="rId22220" location="" tooltip="" display=""/>
    <hyperlink ref="L11113" r:id="rId22221" location="" tooltip="" display=""/>
    <hyperlink ref="R11113" r:id="rId22222" location="" tooltip="" display=""/>
    <hyperlink ref="L11115" r:id="rId22223" location="" tooltip="" display=""/>
    <hyperlink ref="R11115" r:id="rId22224" location="" tooltip="" display=""/>
    <hyperlink ref="K11116" r:id="rId22225" location="" tooltip="" display=""/>
    <hyperlink ref="L11116" r:id="rId22226" location="" tooltip="" display=""/>
    <hyperlink ref="Q11116" r:id="rId22227" location="" tooltip="" display=""/>
    <hyperlink ref="R11116" r:id="rId22228" location="" tooltip="" display=""/>
    <hyperlink ref="L11117" r:id="rId22229" location="" tooltip="" display=""/>
    <hyperlink ref="R11117" r:id="rId22230" location="" tooltip="" display=""/>
    <hyperlink ref="L11119" r:id="rId22231" location="" tooltip="" display=""/>
    <hyperlink ref="R11119" r:id="rId22232" location="" tooltip="" display=""/>
    <hyperlink ref="K11120" r:id="rId22233" location="" tooltip="" display=""/>
    <hyperlink ref="L11120" r:id="rId22234" location="" tooltip="" display=""/>
    <hyperlink ref="Q11120" r:id="rId22235" location="" tooltip="" display=""/>
    <hyperlink ref="R11120" r:id="rId22236" location="" tooltip="" display=""/>
    <hyperlink ref="L11121" r:id="rId22237" location="" tooltip="" display=""/>
    <hyperlink ref="R11121" r:id="rId22238" location="" tooltip="" display=""/>
    <hyperlink ref="K11123" r:id="rId22239" location="" tooltip="" display=""/>
    <hyperlink ref="L11123" r:id="rId22240" location="" tooltip="" display=""/>
    <hyperlink ref="Q11123" r:id="rId22241" location="" tooltip="" display=""/>
    <hyperlink ref="R11123" r:id="rId22242" location="" tooltip="" display=""/>
    <hyperlink ref="L11124" r:id="rId22243" location="" tooltip="" display=""/>
    <hyperlink ref="R11124" r:id="rId22244" location="" tooltip="" display=""/>
    <hyperlink ref="K11126" r:id="rId22245" location="" tooltip="" display=""/>
    <hyperlink ref="L11126" r:id="rId22246" location="" tooltip="" display=""/>
    <hyperlink ref="Q11126" r:id="rId22247" location="" tooltip="" display=""/>
    <hyperlink ref="R11126" r:id="rId22248" location="" tooltip="" display=""/>
    <hyperlink ref="K11128" r:id="rId22249" location="" tooltip="" display=""/>
    <hyperlink ref="L11128" r:id="rId22250" location="" tooltip="" display=""/>
    <hyperlink ref="Q11128" r:id="rId22251" location="" tooltip="" display=""/>
    <hyperlink ref="R11128" r:id="rId22252" location="" tooltip="" display=""/>
    <hyperlink ref="L11129" r:id="rId22253" location="" tooltip="" display=""/>
    <hyperlink ref="R11129" r:id="rId22254" location="" tooltip="" display=""/>
    <hyperlink ref="K11131" r:id="rId22255" location="" tooltip="" display=""/>
    <hyperlink ref="L11131" r:id="rId22256" location="" tooltip="" display=""/>
    <hyperlink ref="Q11131" r:id="rId22257" location="" tooltip="" display=""/>
    <hyperlink ref="R11131" r:id="rId22258" location="" tooltip="" display=""/>
    <hyperlink ref="L11132" r:id="rId22259" location="" tooltip="" display=""/>
    <hyperlink ref="R11132" r:id="rId22260" location="" tooltip="" display=""/>
    <hyperlink ref="K11134" r:id="rId22261" location="" tooltip="" display=""/>
    <hyperlink ref="L11134" r:id="rId22262" location="" tooltip="" display=""/>
    <hyperlink ref="Q11134" r:id="rId22263" location="" tooltip="" display=""/>
    <hyperlink ref="R11134" r:id="rId22264" location="" tooltip="" display=""/>
    <hyperlink ref="K11136" r:id="rId22265" location="" tooltip="" display=""/>
    <hyperlink ref="L11136" r:id="rId22266" location="" tooltip="" display=""/>
    <hyperlink ref="Q11136" r:id="rId22267" location="" tooltip="" display=""/>
    <hyperlink ref="R11136" r:id="rId22268" location="" tooltip="" display=""/>
    <hyperlink ref="K11138" r:id="rId22269" location="" tooltip="" display=""/>
    <hyperlink ref="L11138" r:id="rId22270" location="" tooltip="" display=""/>
    <hyperlink ref="Q11138" r:id="rId22271" location="" tooltip="" display=""/>
    <hyperlink ref="R11138" r:id="rId22272" location="" tooltip="" display=""/>
    <hyperlink ref="L11140" r:id="rId22273" location="" tooltip="" display=""/>
    <hyperlink ref="R11140" r:id="rId22274" location="" tooltip="" display=""/>
    <hyperlink ref="K11141" r:id="rId22275" location="" tooltip="" display=""/>
    <hyperlink ref="L11141" r:id="rId22276" location="" tooltip="" display=""/>
    <hyperlink ref="Q11141" r:id="rId22277" location="" tooltip="" display=""/>
    <hyperlink ref="R11141" r:id="rId22278" location="" tooltip="" display=""/>
    <hyperlink ref="L11142" r:id="rId22279" location="" tooltip="" display=""/>
    <hyperlink ref="R11142" r:id="rId22280" location="" tooltip="" display=""/>
    <hyperlink ref="L11143" r:id="rId22281" location="" tooltip="" display=""/>
    <hyperlink ref="R11143" r:id="rId22282" location="" tooltip="" display=""/>
    <hyperlink ref="K11145" r:id="rId22283" location="" tooltip="" display=""/>
    <hyperlink ref="L11145" r:id="rId22284" location="" tooltip="" display=""/>
    <hyperlink ref="Q11145" r:id="rId22285" location="" tooltip="" display=""/>
    <hyperlink ref="R11145" r:id="rId22286" location="" tooltip="" display=""/>
    <hyperlink ref="K11147" r:id="rId22287" location="" tooltip="" display=""/>
    <hyperlink ref="L11147" r:id="rId22288" location="" tooltip="" display=""/>
    <hyperlink ref="Q11147" r:id="rId22289" location="" tooltip="" display=""/>
    <hyperlink ref="R11147" r:id="rId22290" location="" tooltip="" display=""/>
    <hyperlink ref="K11149" r:id="rId22291" location="" tooltip="" display=""/>
    <hyperlink ref="L11149" r:id="rId22292" location="" tooltip="" display=""/>
    <hyperlink ref="Q11149" r:id="rId22293" location="" tooltip="" display=""/>
    <hyperlink ref="R11149" r:id="rId22294" location="" tooltip="" display=""/>
    <hyperlink ref="K11151" r:id="rId22295" location="" tooltip="" display=""/>
    <hyperlink ref="L11151" r:id="rId22296" location="" tooltip="" display=""/>
    <hyperlink ref="Q11151" r:id="rId22297" location="" tooltip="" display=""/>
    <hyperlink ref="R11151" r:id="rId22298" location="" tooltip="" display=""/>
    <hyperlink ref="K11153" r:id="rId22299" location="" tooltip="" display=""/>
    <hyperlink ref="L11153" r:id="rId22300" location="" tooltip="" display=""/>
    <hyperlink ref="Q11153" r:id="rId22301" location="" tooltip="" display=""/>
    <hyperlink ref="R11153" r:id="rId22302" location="" tooltip="" display=""/>
    <hyperlink ref="K11155" r:id="rId22303" location="" tooltip="" display=""/>
    <hyperlink ref="L11155" r:id="rId22304" location="" tooltip="" display=""/>
    <hyperlink ref="Q11155" r:id="rId22305" location="" tooltip="" display=""/>
    <hyperlink ref="R11155" r:id="rId22306" location="" tooltip="" display=""/>
    <hyperlink ref="K11157" r:id="rId22307" location="" tooltip="" display=""/>
    <hyperlink ref="L11157" r:id="rId22308" location="" tooltip="" display=""/>
    <hyperlink ref="Q11157" r:id="rId22309" location="" tooltip="" display=""/>
    <hyperlink ref="R11157" r:id="rId22310" location="" tooltip="" display=""/>
    <hyperlink ref="K11159" r:id="rId22311" location="" tooltip="" display=""/>
    <hyperlink ref="L11159" r:id="rId22312" location="" tooltip="" display=""/>
    <hyperlink ref="Q11159" r:id="rId22313" location="" tooltip="" display=""/>
    <hyperlink ref="R11159" r:id="rId22314" location="" tooltip="" display=""/>
    <hyperlink ref="K11161" r:id="rId22315" location="" tooltip="" display=""/>
    <hyperlink ref="L11161" r:id="rId22316" location="" tooltip="" display=""/>
    <hyperlink ref="Q11161" r:id="rId22317" location="" tooltip="" display=""/>
    <hyperlink ref="R11161" r:id="rId22318" location="" tooltip="" display=""/>
    <hyperlink ref="L11162" r:id="rId22319" location="" tooltip="" display=""/>
    <hyperlink ref="R11162" r:id="rId22320" location="" tooltip="" display=""/>
    <hyperlink ref="K11164" r:id="rId22321" location="" tooltip="" display=""/>
    <hyperlink ref="L11164" r:id="rId22322" location="" tooltip="" display=""/>
    <hyperlink ref="Q11164" r:id="rId22323" location="" tooltip="" display=""/>
    <hyperlink ref="R11164" r:id="rId22324" location="" tooltip="" display=""/>
    <hyperlink ref="L11165" r:id="rId22325" location="" tooltip="" display=""/>
    <hyperlink ref="R11165" r:id="rId22326" location="" tooltip="" display=""/>
    <hyperlink ref="K11167" r:id="rId22327" location="" tooltip="" display=""/>
    <hyperlink ref="L11167" r:id="rId22328" location="" tooltip="" display=""/>
    <hyperlink ref="Q11167" r:id="rId22329" location="" tooltip="" display=""/>
    <hyperlink ref="R11167" r:id="rId22330" location="" tooltip="" display=""/>
    <hyperlink ref="L11168" r:id="rId22331" location="" tooltip="" display=""/>
    <hyperlink ref="R11168" r:id="rId22332" location="" tooltip="" display=""/>
    <hyperlink ref="L11170" r:id="rId22333" location="" tooltip="" display=""/>
    <hyperlink ref="R11170" r:id="rId22334" location="" tooltip="" display=""/>
    <hyperlink ref="K11171" r:id="rId22335" location="" tooltip="" display=""/>
    <hyperlink ref="L11171" r:id="rId22336" location="" tooltip="" display=""/>
    <hyperlink ref="Q11171" r:id="rId22337" location="" tooltip="" display=""/>
    <hyperlink ref="R11171" r:id="rId22338" location="" tooltip="" display=""/>
    <hyperlink ref="L11172" r:id="rId22339" location="" tooltip="" display=""/>
    <hyperlink ref="R11172" r:id="rId22340" location="" tooltip="" display=""/>
    <hyperlink ref="L11173" r:id="rId22341" location="" tooltip="" display=""/>
    <hyperlink ref="R11173" r:id="rId22342" location="" tooltip="" display=""/>
    <hyperlink ref="K11175" r:id="rId22343" location="" tooltip="" display=""/>
    <hyperlink ref="L11175" r:id="rId22344" location="" tooltip="" display=""/>
    <hyperlink ref="Q11175" r:id="rId22345" location="" tooltip="" display=""/>
    <hyperlink ref="R11175" r:id="rId22346" location="" tooltip="" display=""/>
    <hyperlink ref="K11177" r:id="rId22347" location="" tooltip="" display=""/>
    <hyperlink ref="L11177" r:id="rId22348" location="" tooltip="" display=""/>
    <hyperlink ref="Q11177" r:id="rId22349" location="" tooltip="" display=""/>
    <hyperlink ref="R11177" r:id="rId22350" location="" tooltip="" display=""/>
    <hyperlink ref="L11178" r:id="rId22351" location="" tooltip="" display=""/>
    <hyperlink ref="R11178" r:id="rId22352" location="" tooltip="" display=""/>
    <hyperlink ref="L11180" r:id="rId22353" location="" tooltip="" display=""/>
    <hyperlink ref="R11180" r:id="rId22354" location="" tooltip="" display=""/>
    <hyperlink ref="K11181" r:id="rId22355" location="" tooltip="" display=""/>
    <hyperlink ref="L11181" r:id="rId22356" location="" tooltip="" display=""/>
    <hyperlink ref="Q11181" r:id="rId22357" location="" tooltip="" display=""/>
    <hyperlink ref="R11181" r:id="rId22358" location="" tooltip="" display=""/>
    <hyperlink ref="L11182" r:id="rId22359" location="" tooltip="" display=""/>
    <hyperlink ref="R11182" r:id="rId22360" location="" tooltip="" display=""/>
    <hyperlink ref="L11184" r:id="rId22361" location="" tooltip="" display=""/>
    <hyperlink ref="R11184" r:id="rId22362" location="" tooltip="" display=""/>
    <hyperlink ref="K11185" r:id="rId22363" location="" tooltip="" display=""/>
    <hyperlink ref="L11185" r:id="rId22364" location="" tooltip="" display=""/>
    <hyperlink ref="Q11185" r:id="rId22365" location="" tooltip="" display=""/>
    <hyperlink ref="R11185" r:id="rId22366" location="" tooltip="" display=""/>
    <hyperlink ref="L11186" r:id="rId22367" location="" tooltip="" display=""/>
    <hyperlink ref="R11186" r:id="rId22368" location="" tooltip="" display=""/>
    <hyperlink ref="K11188" r:id="rId22369" location="" tooltip="" display=""/>
    <hyperlink ref="L11188" r:id="rId22370" location="" tooltip="" display=""/>
    <hyperlink ref="Q11188" r:id="rId22371" location="" tooltip="" display=""/>
    <hyperlink ref="R11188" r:id="rId22372" location="" tooltip="" display=""/>
    <hyperlink ref="K11190" r:id="rId22373" location="" tooltip="" display=""/>
    <hyperlink ref="L11190" r:id="rId22374" location="" tooltip="" display=""/>
    <hyperlink ref="Q11190" r:id="rId22375" location="" tooltip="" display=""/>
    <hyperlink ref="R11190" r:id="rId22376" location="" tooltip="" display=""/>
    <hyperlink ref="L11192" r:id="rId22377" location="" tooltip="" display=""/>
    <hyperlink ref="R11192" r:id="rId22378" location="" tooltip="" display=""/>
    <hyperlink ref="K11193" r:id="rId22379" location="" tooltip="" display=""/>
    <hyperlink ref="L11193" r:id="rId22380" location="" tooltip="" display=""/>
    <hyperlink ref="Q11193" r:id="rId22381" location="" tooltip="" display=""/>
    <hyperlink ref="R11193" r:id="rId22382" location="" tooltip="" display=""/>
    <hyperlink ref="L11194" r:id="rId22383" location="" tooltip="" display=""/>
    <hyperlink ref="R11194" r:id="rId22384" location="" tooltip="" display=""/>
    <hyperlink ref="L11196" r:id="rId22385" location="" tooltip="" display=""/>
    <hyperlink ref="R11196" r:id="rId22386" location="" tooltip="" display=""/>
    <hyperlink ref="K11197" r:id="rId22387" location="" tooltip="" display=""/>
    <hyperlink ref="L11197" r:id="rId22388" location="" tooltip="" display=""/>
    <hyperlink ref="Q11197" r:id="rId22389" location="" tooltip="" display=""/>
    <hyperlink ref="R11197" r:id="rId22390" location="" tooltip="" display=""/>
    <hyperlink ref="L11198" r:id="rId22391" location="" tooltip="" display=""/>
    <hyperlink ref="R11198" r:id="rId22392" location="" tooltip="" display=""/>
    <hyperlink ref="L11200" r:id="rId22393" location="" tooltip="" display=""/>
    <hyperlink ref="R11200" r:id="rId22394" location="" tooltip="" display=""/>
    <hyperlink ref="L11201" r:id="rId22395" location="" tooltip="" display=""/>
    <hyperlink ref="R11201" r:id="rId22396" location="" tooltip="" display=""/>
    <hyperlink ref="K11202" r:id="rId22397" location="" tooltip="" display=""/>
    <hyperlink ref="L11202" r:id="rId22398" location="" tooltip="" display=""/>
    <hyperlink ref="Q11202" r:id="rId22399" location="" tooltip="" display=""/>
    <hyperlink ref="R11202" r:id="rId22400" location="" tooltip="" display=""/>
    <hyperlink ref="L11203" r:id="rId22401" location="" tooltip="" display=""/>
    <hyperlink ref="R11203" r:id="rId22402" location="" tooltip="" display=""/>
    <hyperlink ref="L11204" r:id="rId22403" location="" tooltip="" display=""/>
    <hyperlink ref="R11204" r:id="rId22404" location="" tooltip="" display=""/>
    <hyperlink ref="L11206" r:id="rId22405" location="" tooltip="" display=""/>
    <hyperlink ref="R11206" r:id="rId22406" location="" tooltip="" display=""/>
    <hyperlink ref="K11207" r:id="rId22407" location="" tooltip="" display=""/>
    <hyperlink ref="L11207" r:id="rId22408" location="" tooltip="" display=""/>
    <hyperlink ref="Q11207" r:id="rId22409" location="" tooltip="" display=""/>
    <hyperlink ref="R11207" r:id="rId22410" location="" tooltip="" display=""/>
    <hyperlink ref="L11208" r:id="rId22411" location="" tooltip="" display=""/>
    <hyperlink ref="R11208" r:id="rId22412" location="" tooltip="" display=""/>
    <hyperlink ref="L11209" r:id="rId22413" location="" tooltip="" display=""/>
    <hyperlink ref="R11209" r:id="rId22414" location="" tooltip="" display=""/>
    <hyperlink ref="L11211" r:id="rId22415" location="" tooltip="" display=""/>
    <hyperlink ref="R11211" r:id="rId22416" location="" tooltip="" display=""/>
    <hyperlink ref="K11212" r:id="rId22417" location="" tooltip="" display=""/>
    <hyperlink ref="L11212" r:id="rId22418" location="" tooltip="" display=""/>
    <hyperlink ref="Q11212" r:id="rId22419" location="" tooltip="" display=""/>
    <hyperlink ref="R11212" r:id="rId22420" location="" tooltip="" display=""/>
    <hyperlink ref="L11213" r:id="rId22421" location="" tooltip="" display=""/>
    <hyperlink ref="R11213" r:id="rId22422" location="" tooltip="" display=""/>
    <hyperlink ref="K11215" r:id="rId22423" location="" tooltip="" display=""/>
    <hyperlink ref="L11215" r:id="rId22424" location="" tooltip="" display=""/>
    <hyperlink ref="Q11215" r:id="rId22425" location="" tooltip="" display=""/>
    <hyperlink ref="R11215" r:id="rId22426" location="" tooltip="" display=""/>
    <hyperlink ref="L11216" r:id="rId22427" location="" tooltip="" display=""/>
    <hyperlink ref="R11216" r:id="rId22428" location="" tooltip="" display=""/>
    <hyperlink ref="K11218" r:id="rId22429" location="" tooltip="" display=""/>
    <hyperlink ref="L11218" r:id="rId22430" location="" tooltip="" display=""/>
    <hyperlink ref="Q11218" r:id="rId22431" location="" tooltip="" display=""/>
    <hyperlink ref="R11218" r:id="rId22432" location="" tooltip="" display=""/>
    <hyperlink ref="K11220" r:id="rId22433" location="" tooltip="" display=""/>
    <hyperlink ref="L11220" r:id="rId22434" location="" tooltip="" display=""/>
    <hyperlink ref="Q11220" r:id="rId22435" location="" tooltip="" display=""/>
    <hyperlink ref="R11220" r:id="rId22436" location="" tooltip="" display=""/>
    <hyperlink ref="L11221" r:id="rId22437" location="" tooltip="" display=""/>
    <hyperlink ref="R11221" r:id="rId22438" location="" tooltip="" display=""/>
    <hyperlink ref="K11223" r:id="rId22439" location="" tooltip="" display=""/>
    <hyperlink ref="L11223" r:id="rId22440" location="" tooltip="" display=""/>
    <hyperlink ref="Q11223" r:id="rId22441" location="" tooltip="" display=""/>
    <hyperlink ref="R11223" r:id="rId22442" location="" tooltip="" display=""/>
    <hyperlink ref="L11225" r:id="rId22443" location="" tooltip="" display=""/>
    <hyperlink ref="R11225" r:id="rId22444" location="" tooltip="" display=""/>
    <hyperlink ref="L11226" r:id="rId22445" location="" tooltip="" display=""/>
    <hyperlink ref="R11226" r:id="rId22446" location="" tooltip="" display=""/>
    <hyperlink ref="K11227" r:id="rId22447" location="" tooltip="" display=""/>
    <hyperlink ref="L11227" r:id="rId22448" location="" tooltip="" display=""/>
    <hyperlink ref="Q11227" r:id="rId22449" location="" tooltip="" display=""/>
    <hyperlink ref="R11227" r:id="rId22450" location="" tooltip="" display=""/>
    <hyperlink ref="L11228" r:id="rId22451" location="" tooltip="" display=""/>
    <hyperlink ref="R11228" r:id="rId22452" location="" tooltip="" display=""/>
    <hyperlink ref="L11229" r:id="rId22453" location="" tooltip="" display=""/>
    <hyperlink ref="R11229" r:id="rId22454" location="" tooltip="" display=""/>
    <hyperlink ref="K11231" r:id="rId22455" location="" tooltip="" display=""/>
    <hyperlink ref="L11231" r:id="rId22456" location="" tooltip="" display=""/>
    <hyperlink ref="Q11231" r:id="rId22457" location="" tooltip="" display=""/>
    <hyperlink ref="R11231" r:id="rId22458" location="" tooltip="" display=""/>
    <hyperlink ref="K11233" r:id="rId22459" location="" tooltip="" display=""/>
    <hyperlink ref="L11233" r:id="rId22460" location="" tooltip="" display=""/>
    <hyperlink ref="Q11233" r:id="rId22461" location="" tooltip="" display=""/>
    <hyperlink ref="R11233" r:id="rId22462" location="" tooltip="" display=""/>
    <hyperlink ref="L11235" r:id="rId22463" location="" tooltip="" display=""/>
    <hyperlink ref="R11235" r:id="rId22464" location="" tooltip="" display=""/>
    <hyperlink ref="K11236" r:id="rId22465" location="" tooltip="" display=""/>
    <hyperlink ref="L11236" r:id="rId22466" location="" tooltip="" display=""/>
    <hyperlink ref="Q11236" r:id="rId22467" location="" tooltip="" display=""/>
    <hyperlink ref="R11236" r:id="rId22468" location="" tooltip="" display=""/>
    <hyperlink ref="L11237" r:id="rId22469" location="" tooltip="" display=""/>
    <hyperlink ref="R11237" r:id="rId22470" location="" tooltip="" display=""/>
    <hyperlink ref="L11238" r:id="rId22471" location="" tooltip="" display=""/>
    <hyperlink ref="R11238" r:id="rId22472" location="" tooltip="" display=""/>
    <hyperlink ref="L11240" r:id="rId22473" location="" tooltip="" display=""/>
    <hyperlink ref="R11240" r:id="rId22474" location="" tooltip="" display=""/>
    <hyperlink ref="L11241" r:id="rId22475" location="" tooltip="" display=""/>
    <hyperlink ref="R11241" r:id="rId22476" location="" tooltip="" display=""/>
    <hyperlink ref="K11242" r:id="rId22477" location="" tooltip="" display=""/>
    <hyperlink ref="L11242" r:id="rId22478" location="" tooltip="" display=""/>
    <hyperlink ref="Q11242" r:id="rId22479" location="" tooltip="" display=""/>
    <hyperlink ref="R11242" r:id="rId22480" location="" tooltip="" display=""/>
    <hyperlink ref="L11243" r:id="rId22481" location="" tooltip="" display=""/>
    <hyperlink ref="R11243" r:id="rId22482" location="" tooltip="" display=""/>
    <hyperlink ref="L11244" r:id="rId22483" location="" tooltip="" display=""/>
    <hyperlink ref="R11244" r:id="rId22484" location="" tooltip="" display=""/>
    <hyperlink ref="K11246" r:id="rId22485" location="" tooltip="" display=""/>
    <hyperlink ref="L11246" r:id="rId22486" location="" tooltip="" display=""/>
    <hyperlink ref="Q11246" r:id="rId22487" location="" tooltip="" display=""/>
    <hyperlink ref="R11246" r:id="rId22488" location="" tooltip="" display=""/>
    <hyperlink ref="K11248" r:id="rId22489" location="" tooltip="" display=""/>
    <hyperlink ref="L11248" r:id="rId22490" location="" tooltip="" display=""/>
    <hyperlink ref="Q11248" r:id="rId22491" location="" tooltip="" display=""/>
    <hyperlink ref="R11248" r:id="rId22492" location="" tooltip="" display=""/>
    <hyperlink ref="L11249" r:id="rId22493" location="" tooltip="" display=""/>
    <hyperlink ref="R11249" r:id="rId22494" location="" tooltip="" display=""/>
    <hyperlink ref="K11251" r:id="rId22495" location="" tooltip="" display=""/>
    <hyperlink ref="L11251" r:id="rId22496" location="" tooltip="" display=""/>
    <hyperlink ref="Q11251" r:id="rId22497" location="" tooltip="" display=""/>
    <hyperlink ref="R11251" r:id="rId22498" location="" tooltip="" display=""/>
    <hyperlink ref="K11253" r:id="rId22499" location="" tooltip="" display=""/>
    <hyperlink ref="L11253" r:id="rId22500" location="" tooltip="" display=""/>
    <hyperlink ref="Q11253" r:id="rId22501" location="" tooltip="" display=""/>
    <hyperlink ref="R11253" r:id="rId22502" location="" tooltip="" display=""/>
    <hyperlink ref="L11254" r:id="rId22503" location="" tooltip="" display=""/>
    <hyperlink ref="R11254" r:id="rId22504" location="" tooltip="" display=""/>
    <hyperlink ref="L11256" r:id="rId22505" location="" tooltip="" display=""/>
    <hyperlink ref="R11256" r:id="rId22506" location="" tooltip="" display=""/>
    <hyperlink ref="K11257" r:id="rId22507" location="" tooltip="" display=""/>
    <hyperlink ref="L11257" r:id="rId22508" location="" tooltip="" display=""/>
    <hyperlink ref="Q11257" r:id="rId22509" location="" tooltip="" display=""/>
    <hyperlink ref="R11257" r:id="rId22510" location="" tooltip="" display=""/>
    <hyperlink ref="L11258" r:id="rId22511" location="" tooltip="" display=""/>
    <hyperlink ref="R11258" r:id="rId22512" location="" tooltip="" display=""/>
    <hyperlink ref="K11260" r:id="rId22513" location="" tooltip="" display=""/>
    <hyperlink ref="L11260" r:id="rId22514" location="" tooltip="" display=""/>
    <hyperlink ref="Q11260" r:id="rId22515" location="" tooltip="" display=""/>
    <hyperlink ref="R11260" r:id="rId22516" location="" tooltip="" display=""/>
    <hyperlink ref="L11261" r:id="rId22517" location="" tooltip="" display=""/>
    <hyperlink ref="R11261" r:id="rId22518" location="" tooltip="" display=""/>
    <hyperlink ref="L11263" r:id="rId22519" location="" tooltip="" display=""/>
    <hyperlink ref="R11263" r:id="rId22520" location="" tooltip="" display=""/>
    <hyperlink ref="K11264" r:id="rId22521" location="" tooltip="" display=""/>
    <hyperlink ref="L11264" r:id="rId22522" location="" tooltip="" display=""/>
    <hyperlink ref="Q11264" r:id="rId22523" location="" tooltip="" display=""/>
    <hyperlink ref="R11264" r:id="rId22524" location="" tooltip="" display=""/>
    <hyperlink ref="L11265" r:id="rId22525" location="" tooltip="" display=""/>
    <hyperlink ref="R11265" r:id="rId22526" location="" tooltip="" display=""/>
    <hyperlink ref="L11266" r:id="rId22527" location="" tooltip="" display=""/>
    <hyperlink ref="R11266" r:id="rId22528" location="" tooltip="" display=""/>
    <hyperlink ref="K11268" r:id="rId22529" location="" tooltip="" display=""/>
    <hyperlink ref="L11268" r:id="rId22530" location="" tooltip="" display=""/>
    <hyperlink ref="Q11268" r:id="rId22531" location="" tooltip="" display=""/>
    <hyperlink ref="R11268" r:id="rId22532" location="" tooltip="" display=""/>
    <hyperlink ref="K11270" r:id="rId22533" location="" tooltip="" display=""/>
    <hyperlink ref="L11270" r:id="rId22534" location="" tooltip="" display=""/>
    <hyperlink ref="Q11270" r:id="rId22535" location="" tooltip="" display=""/>
    <hyperlink ref="R11270" r:id="rId22536" location="" tooltip="" display=""/>
    <hyperlink ref="L11272" r:id="rId22537" location="" tooltip="" display=""/>
    <hyperlink ref="R11272" r:id="rId22538" location="" tooltip="" display=""/>
    <hyperlink ref="L11273" r:id="rId22539" location="" tooltip="" display=""/>
    <hyperlink ref="R11273" r:id="rId22540" location="" tooltip="" display=""/>
    <hyperlink ref="K11274" r:id="rId22541" location="" tooltip="" display=""/>
    <hyperlink ref="L11274" r:id="rId22542" location="" tooltip="" display=""/>
    <hyperlink ref="Q11274" r:id="rId22543" location="" tooltip="" display=""/>
    <hyperlink ref="R11274" r:id="rId22544" location="" tooltip="" display=""/>
    <hyperlink ref="L11275" r:id="rId22545" location="" tooltip="" display=""/>
    <hyperlink ref="R11275" r:id="rId22546" location="" tooltip="" display=""/>
    <hyperlink ref="L11276" r:id="rId22547" location="" tooltip="" display=""/>
    <hyperlink ref="R11276" r:id="rId22548" location="" tooltip="" display=""/>
    <hyperlink ref="K11278" r:id="rId22549" location="" tooltip="" display=""/>
    <hyperlink ref="L11278" r:id="rId22550" location="" tooltip="" display=""/>
    <hyperlink ref="Q11278" r:id="rId22551" location="" tooltip="" display=""/>
    <hyperlink ref="R11278" r:id="rId22552" location="" tooltip="" display=""/>
    <hyperlink ref="L11280" r:id="rId22553" location="" tooltip="" display=""/>
    <hyperlink ref="R11280" r:id="rId22554" location="" tooltip="" display=""/>
    <hyperlink ref="K11281" r:id="rId22555" location="" tooltip="" display=""/>
    <hyperlink ref="L11281" r:id="rId22556" location="" tooltip="" display=""/>
    <hyperlink ref="Q11281" r:id="rId22557" location="" tooltip="" display=""/>
    <hyperlink ref="R11281" r:id="rId22558" location="" tooltip="" display=""/>
    <hyperlink ref="L11282" r:id="rId22559" location="" tooltip="" display=""/>
    <hyperlink ref="R11282" r:id="rId22560" location="" tooltip="" display=""/>
    <hyperlink ref="L11283" r:id="rId22561" location="" tooltip="" display=""/>
    <hyperlink ref="R11283" r:id="rId22562" location="" tooltip="" display=""/>
    <hyperlink ref="K11285" r:id="rId22563" location="" tooltip="" display=""/>
    <hyperlink ref="L11285" r:id="rId22564" location="" tooltip="" display=""/>
    <hyperlink ref="Q11285" r:id="rId22565" location="" tooltip="" display=""/>
    <hyperlink ref="R11285" r:id="rId22566" location="" tooltip="" display=""/>
    <hyperlink ref="L11286" r:id="rId22567" location="" tooltip="" display=""/>
    <hyperlink ref="R11286" r:id="rId22568" location="" tooltip="" display=""/>
    <hyperlink ref="K11288" r:id="rId22569" location="" tooltip="" display=""/>
    <hyperlink ref="L11288" r:id="rId22570" location="" tooltip="" display=""/>
    <hyperlink ref="Q11288" r:id="rId22571" location="" tooltip="" display=""/>
    <hyperlink ref="R11288" r:id="rId22572" location="" tooltip="" display=""/>
    <hyperlink ref="L11290" r:id="rId22573" location="" tooltip="" display=""/>
    <hyperlink ref="R11290" r:id="rId22574" location="" tooltip="" display=""/>
    <hyperlink ref="K11291" r:id="rId22575" location="" tooltip="" display=""/>
    <hyperlink ref="L11291" r:id="rId22576" location="" tooltip="" display=""/>
    <hyperlink ref="Q11291" r:id="rId22577" location="" tooltip="" display=""/>
    <hyperlink ref="R11291" r:id="rId22578" location="" tooltip="" display=""/>
    <hyperlink ref="L11292" r:id="rId22579" location="" tooltip="" display=""/>
    <hyperlink ref="R11292" r:id="rId22580" location="" tooltip="" display=""/>
    <hyperlink ref="L11293" r:id="rId22581" location="" tooltip="" display=""/>
    <hyperlink ref="R11293" r:id="rId22582" location="" tooltip="" display=""/>
    <hyperlink ref="K11295" r:id="rId22583" location="" tooltip="" display=""/>
    <hyperlink ref="L11295" r:id="rId22584" location="" tooltip="" display=""/>
    <hyperlink ref="Q11295" r:id="rId22585" location="" tooltip="" display=""/>
    <hyperlink ref="R11295" r:id="rId22586" location="" tooltip="" display=""/>
    <hyperlink ref="K11297" r:id="rId22587" location="" tooltip="" display=""/>
    <hyperlink ref="L11297" r:id="rId22588" location="" tooltip="" display=""/>
    <hyperlink ref="Q11297" r:id="rId22589" location="" tooltip="" display=""/>
    <hyperlink ref="R11297" r:id="rId22590" location="" tooltip="" display=""/>
    <hyperlink ref="L11299" r:id="rId22591" location="" tooltip="" display=""/>
    <hyperlink ref="R11299" r:id="rId22592" location="" tooltip="" display=""/>
    <hyperlink ref="L11300" r:id="rId22593" location="" tooltip="" display=""/>
    <hyperlink ref="R11300" r:id="rId22594" location="" tooltip="" display=""/>
    <hyperlink ref="L11301" r:id="rId22595" location="" tooltip="" display=""/>
    <hyperlink ref="R11301" r:id="rId22596" location="" tooltip="" display=""/>
    <hyperlink ref="K11302" r:id="rId22597" location="" tooltip="" display=""/>
    <hyperlink ref="L11302" r:id="rId22598" location="" tooltip="" display=""/>
    <hyperlink ref="Q11302" r:id="rId22599" location="" tooltip="" display=""/>
    <hyperlink ref="R11302" r:id="rId22600" location="" tooltip="" display=""/>
    <hyperlink ref="L11303" r:id="rId22601" location="" tooltip="" display=""/>
    <hyperlink ref="R11303" r:id="rId22602" location="" tooltip="" display=""/>
    <hyperlink ref="L11304" r:id="rId22603" location="" tooltip="" display=""/>
    <hyperlink ref="R11304" r:id="rId22604" location="" tooltip="" display=""/>
    <hyperlink ref="L11305" r:id="rId22605" location="" tooltip="" display=""/>
    <hyperlink ref="R11305" r:id="rId22606" location="" tooltip="" display=""/>
    <hyperlink ref="L11306" r:id="rId22607" location="" tooltip="" display=""/>
    <hyperlink ref="R11306" r:id="rId22608" location="" tooltip="" display=""/>
    <hyperlink ref="L11308" r:id="rId22609" location="" tooltip="" display=""/>
    <hyperlink ref="R11308" r:id="rId22610" location="" tooltip="" display=""/>
    <hyperlink ref="L11309" r:id="rId22611" location="" tooltip="" display=""/>
    <hyperlink ref="R11309" r:id="rId22612" location="" tooltip="" display=""/>
    <hyperlink ref="L11310" r:id="rId22613" location="" tooltip="" display=""/>
    <hyperlink ref="R11310" r:id="rId22614" location="" tooltip="" display=""/>
    <hyperlink ref="L11311" r:id="rId22615" location="" tooltip="" display=""/>
    <hyperlink ref="R11311" r:id="rId22616" location="" tooltip="" display=""/>
    <hyperlink ref="L11312" r:id="rId22617" location="" tooltip="" display=""/>
    <hyperlink ref="R11312" r:id="rId22618" location="" tooltip="" display=""/>
    <hyperlink ref="K11313" r:id="rId22619" location="" tooltip="" display=""/>
    <hyperlink ref="L11313" r:id="rId22620" location="" tooltip="" display=""/>
    <hyperlink ref="Q11313" r:id="rId22621" location="" tooltip="" display=""/>
    <hyperlink ref="R11313" r:id="rId22622" location="" tooltip="" display=""/>
    <hyperlink ref="L11314" r:id="rId22623" location="" tooltip="" display=""/>
    <hyperlink ref="R11314" r:id="rId22624" location="" tooltip="" display=""/>
    <hyperlink ref="L11315" r:id="rId22625" location="" tooltip="" display=""/>
    <hyperlink ref="R11315" r:id="rId22626" location="" tooltip="" display=""/>
    <hyperlink ref="L11316" r:id="rId22627" location="" tooltip="" display=""/>
    <hyperlink ref="R11316" r:id="rId22628" location="" tooltip="" display=""/>
    <hyperlink ref="L11317" r:id="rId22629" location="" tooltip="" display=""/>
    <hyperlink ref="R11317" r:id="rId22630" location="" tooltip="" display=""/>
    <hyperlink ref="L11318" r:id="rId22631" location="" tooltip="" display=""/>
    <hyperlink ref="R11318" r:id="rId22632" location="" tooltip="" display=""/>
    <hyperlink ref="L11320" r:id="rId22633" location="" tooltip="" display=""/>
    <hyperlink ref="R11320" r:id="rId22634" location="" tooltip="" display=""/>
    <hyperlink ref="L11321" r:id="rId22635" location="" tooltip="" display=""/>
    <hyperlink ref="R11321" r:id="rId22636" location="" tooltip="" display=""/>
    <hyperlink ref="K11322" r:id="rId22637" location="" tooltip="" display=""/>
    <hyperlink ref="L11322" r:id="rId22638" location="" tooltip="" display=""/>
    <hyperlink ref="Q11322" r:id="rId22639" location="" tooltip="" display=""/>
    <hyperlink ref="R11322" r:id="rId22640" location="" tooltip="" display=""/>
    <hyperlink ref="L11323" r:id="rId22641" location="" tooltip="" display=""/>
    <hyperlink ref="R11323" r:id="rId22642" location="" tooltip="" display=""/>
    <hyperlink ref="L11324" r:id="rId22643" location="" tooltip="" display=""/>
    <hyperlink ref="R11324" r:id="rId22644" location="" tooltip="" display=""/>
    <hyperlink ref="K11326" r:id="rId22645" location="" tooltip="" display=""/>
    <hyperlink ref="L11326" r:id="rId22646" location="" tooltip="" display=""/>
    <hyperlink ref="Q11326" r:id="rId22647" location="" tooltip="" display=""/>
    <hyperlink ref="R11326" r:id="rId22648" location="" tooltip="" display=""/>
    <hyperlink ref="L11327" r:id="rId22649" location="" tooltip="" display=""/>
    <hyperlink ref="R11327" r:id="rId22650" location="" tooltip="" display=""/>
    <hyperlink ref="L11329" r:id="rId22651" location="" tooltip="" display=""/>
    <hyperlink ref="R11329" r:id="rId22652" location="" tooltip="" display=""/>
    <hyperlink ref="L11330" r:id="rId22653" location="" tooltip="" display=""/>
    <hyperlink ref="R11330" r:id="rId22654" location="" tooltip="" display=""/>
    <hyperlink ref="K11331" r:id="rId22655" location="" tooltip="" display=""/>
    <hyperlink ref="L11331" r:id="rId22656" location="" tooltip="" display=""/>
    <hyperlink ref="Q11331" r:id="rId22657" location="" tooltip="" display=""/>
    <hyperlink ref="R11331" r:id="rId22658" location="" tooltip="" display=""/>
    <hyperlink ref="L11332" r:id="rId22659" location="" tooltip="" display=""/>
    <hyperlink ref="R11332" r:id="rId22660" location="" tooltip="" display=""/>
    <hyperlink ref="L11333" r:id="rId22661" location="" tooltip="" display=""/>
    <hyperlink ref="R11333" r:id="rId22662" location="" tooltip="" display=""/>
    <hyperlink ref="K11335" r:id="rId22663" location="" tooltip="" display=""/>
    <hyperlink ref="L11335" r:id="rId22664" location="" tooltip="" display=""/>
    <hyperlink ref="Q11335" r:id="rId22665" location="" tooltip="" display=""/>
    <hyperlink ref="R11335" r:id="rId22666" location="" tooltip="" display=""/>
    <hyperlink ref="L11337" r:id="rId22667" location="" tooltip="" display=""/>
    <hyperlink ref="R11337" r:id="rId22668" location="" tooltip="" display=""/>
    <hyperlink ref="K11338" r:id="rId22669" location="" tooltip="" display=""/>
    <hyperlink ref="L11338" r:id="rId22670" location="" tooltip="" display=""/>
    <hyperlink ref="Q11338" r:id="rId22671" location="" tooltip="" display=""/>
    <hyperlink ref="R11338" r:id="rId22672" location="" tooltip="" display=""/>
    <hyperlink ref="L11339" r:id="rId22673" location="" tooltip="" display=""/>
    <hyperlink ref="R11339" r:id="rId22674" location="" tooltip="" display=""/>
    <hyperlink ref="K11341" r:id="rId22675" location="" tooltip="" display=""/>
    <hyperlink ref="L11341" r:id="rId22676" location="" tooltip="" display=""/>
    <hyperlink ref="Q11341" r:id="rId22677" location="" tooltip="" display=""/>
    <hyperlink ref="R11341" r:id="rId22678" location="" tooltip="" display=""/>
    <hyperlink ref="L11342" r:id="rId22679" location="" tooltip="" display=""/>
    <hyperlink ref="R11342" r:id="rId22680" location="" tooltip="" display=""/>
    <hyperlink ref="L11344" r:id="rId22681" location="" tooltip="" display=""/>
    <hyperlink ref="R11344" r:id="rId22682" location="" tooltip="" display=""/>
    <hyperlink ref="K11345" r:id="rId22683" location="" tooltip="" display=""/>
    <hyperlink ref="L11345" r:id="rId22684" location="" tooltip="" display=""/>
    <hyperlink ref="Q11345" r:id="rId22685" location="" tooltip="" display=""/>
    <hyperlink ref="R11345" r:id="rId22686" location="" tooltip="" display=""/>
    <hyperlink ref="L11346" r:id="rId22687" location="" tooltip="" display=""/>
    <hyperlink ref="R11346" r:id="rId22688" location="" tooltip="" display=""/>
    <hyperlink ref="L11347" r:id="rId22689" location="" tooltip="" display=""/>
    <hyperlink ref="R11347" r:id="rId22690" location="" tooltip="" display=""/>
    <hyperlink ref="L11349" r:id="rId22691" location="" tooltip="" display=""/>
    <hyperlink ref="R11349" r:id="rId22692" location="" tooltip="" display=""/>
    <hyperlink ref="K11350" r:id="rId22693" location="" tooltip="" display=""/>
    <hyperlink ref="L11350" r:id="rId22694" location="" tooltip="" display=""/>
    <hyperlink ref="Q11350" r:id="rId22695" location="" tooltip="" display=""/>
    <hyperlink ref="R11350" r:id="rId22696" location="" tooltip="" display=""/>
    <hyperlink ref="L11351" r:id="rId22697" location="" tooltip="" display=""/>
    <hyperlink ref="R11351" r:id="rId22698" location="" tooltip="" display=""/>
    <hyperlink ref="K11353" r:id="rId22699" location="" tooltip="" display=""/>
    <hyperlink ref="L11353" r:id="rId22700" location="" tooltip="" display=""/>
    <hyperlink ref="Q11353" r:id="rId22701" location="" tooltip="" display=""/>
    <hyperlink ref="R11353" r:id="rId22702" location="" tooltip="" display=""/>
    <hyperlink ref="K11355" r:id="rId22703" location="" tooltip="" display=""/>
    <hyperlink ref="L11355" r:id="rId22704" location="" tooltip="" display=""/>
    <hyperlink ref="Q11355" r:id="rId22705" location="" tooltip="" display=""/>
    <hyperlink ref="R11355" r:id="rId22706" location="" tooltip="" display=""/>
    <hyperlink ref="L11356" r:id="rId22707" location="" tooltip="" display=""/>
    <hyperlink ref="R11356" r:id="rId22708" location="" tooltip="" display=""/>
    <hyperlink ref="L11358" r:id="rId22709" location="" tooltip="" display=""/>
    <hyperlink ref="R11358" r:id="rId22710" location="" tooltip="" display=""/>
    <hyperlink ref="L11359" r:id="rId22711" location="" tooltip="" display=""/>
    <hyperlink ref="R11359" r:id="rId22712" location="" tooltip="" display=""/>
    <hyperlink ref="L11360" r:id="rId22713" location="" tooltip="" display=""/>
    <hyperlink ref="R11360" r:id="rId22714" location="" tooltip="" display=""/>
    <hyperlink ref="K11361" r:id="rId22715" location="" tooltip="" display=""/>
    <hyperlink ref="L11361" r:id="rId22716" location="" tooltip="" display=""/>
    <hyperlink ref="Q11361" r:id="rId22717" location="" tooltip="" display=""/>
    <hyperlink ref="R11361" r:id="rId22718" location="" tooltip="" display=""/>
    <hyperlink ref="L11362" r:id="rId22719" location="" tooltip="" display=""/>
    <hyperlink ref="R11362" r:id="rId22720" location="" tooltip="" display=""/>
    <hyperlink ref="L11363" r:id="rId22721" location="" tooltip="" display=""/>
    <hyperlink ref="R11363" r:id="rId22722" location="" tooltip="" display=""/>
    <hyperlink ref="L11364" r:id="rId22723" location="" tooltip="" display=""/>
    <hyperlink ref="R11364" r:id="rId22724" location="" tooltip="" display=""/>
    <hyperlink ref="L11365" r:id="rId22725" location="" tooltip="" display=""/>
    <hyperlink ref="R11365" r:id="rId22726" location="" tooltip="" display=""/>
    <hyperlink ref="L11367" r:id="rId22727" location="" tooltip="" display=""/>
    <hyperlink ref="R11367" r:id="rId22728" location="" tooltip="" display=""/>
    <hyperlink ref="L11368" r:id="rId22729" location="" tooltip="" display=""/>
    <hyperlink ref="R11368" r:id="rId22730" location="" tooltip="" display=""/>
    <hyperlink ref="K11369" r:id="rId22731" location="" tooltip="" display=""/>
    <hyperlink ref="L11369" r:id="rId22732" location="" tooltip="" display=""/>
    <hyperlink ref="Q11369" r:id="rId22733" location="" tooltip="" display=""/>
    <hyperlink ref="R11369" r:id="rId22734" location="" tooltip="" display=""/>
    <hyperlink ref="L11370" r:id="rId22735" location="" tooltip="" display=""/>
    <hyperlink ref="R11370" r:id="rId22736" location="" tooltip="" display=""/>
    <hyperlink ref="L11371" r:id="rId22737" location="" tooltip="" display=""/>
    <hyperlink ref="R11371" r:id="rId22738" location="" tooltip="" display=""/>
    <hyperlink ref="K11373" r:id="rId22739" location="" tooltip="" display=""/>
    <hyperlink ref="L11373" r:id="rId22740" location="" tooltip="" display=""/>
    <hyperlink ref="Q11373" r:id="rId22741" location="" tooltip="" display=""/>
    <hyperlink ref="R11373" r:id="rId22742" location="" tooltip="" display=""/>
    <hyperlink ref="K11375" r:id="rId22743" location="" tooltip="" display=""/>
    <hyperlink ref="L11375" r:id="rId22744" location="" tooltip="" display=""/>
    <hyperlink ref="Q11375" r:id="rId22745" location="" tooltip="" display=""/>
    <hyperlink ref="R11375" r:id="rId22746" location="" tooltip="" display=""/>
    <hyperlink ref="K11377" r:id="rId22747" location="" tooltip="" display=""/>
    <hyperlink ref="L11377" r:id="rId22748" location="" tooltip="" display=""/>
    <hyperlink ref="Q11377" r:id="rId22749" location="" tooltip="" display=""/>
    <hyperlink ref="R11377" r:id="rId22750" location="" tooltip="" display=""/>
    <hyperlink ref="K11379" r:id="rId22751" location="" tooltip="" display=""/>
    <hyperlink ref="L11379" r:id="rId22752" location="" tooltip="" display=""/>
    <hyperlink ref="Q11379" r:id="rId22753" location="" tooltip="" display=""/>
    <hyperlink ref="R11379" r:id="rId22754" location="" tooltip="" display=""/>
    <hyperlink ref="L11381" r:id="rId22755" location="" tooltip="" display=""/>
    <hyperlink ref="R11381" r:id="rId22756" location="" tooltip="" display=""/>
    <hyperlink ref="K11382" r:id="rId22757" location="" tooltip="" display=""/>
    <hyperlink ref="L11382" r:id="rId22758" location="" tooltip="" display=""/>
    <hyperlink ref="Q11382" r:id="rId22759" location="" tooltip="" display=""/>
    <hyperlink ref="R11382" r:id="rId22760" location="" tooltip="" display=""/>
    <hyperlink ref="L11383" r:id="rId22761" location="" tooltip="" display=""/>
    <hyperlink ref="R11383" r:id="rId22762" location="" tooltip="" display=""/>
    <hyperlink ref="L11385" r:id="rId22763" location="" tooltip="" display=""/>
    <hyperlink ref="R11385" r:id="rId22764" location="" tooltip="" display=""/>
    <hyperlink ref="L11386" r:id="rId22765" location="" tooltip="" display=""/>
    <hyperlink ref="R11386" r:id="rId22766" location="" tooltip="" display=""/>
    <hyperlink ref="K11387" r:id="rId22767" location="" tooltip="" display=""/>
    <hyperlink ref="L11387" r:id="rId22768" location="" tooltip="" display=""/>
    <hyperlink ref="Q11387" r:id="rId22769" location="" tooltip="" display=""/>
    <hyperlink ref="R11387" r:id="rId22770" location="" tooltip="" display=""/>
    <hyperlink ref="L11388" r:id="rId22771" location="" tooltip="" display=""/>
    <hyperlink ref="R11388" r:id="rId22772" location="" tooltip="" display=""/>
    <hyperlink ref="L11389" r:id="rId22773" location="" tooltip="" display=""/>
    <hyperlink ref="R11389" r:id="rId22774" location="" tooltip="" display=""/>
    <hyperlink ref="K11391" r:id="rId22775" location="" tooltip="" display=""/>
    <hyperlink ref="L11391" r:id="rId22776" location="" tooltip="" display=""/>
    <hyperlink ref="Q11391" r:id="rId22777" location="" tooltip="" display=""/>
    <hyperlink ref="R11391" r:id="rId22778" location="" tooltip="" display=""/>
    <hyperlink ref="K11393" r:id="rId22779" location="" tooltip="" display=""/>
    <hyperlink ref="L11393" r:id="rId22780" location="" tooltip="" display=""/>
    <hyperlink ref="Q11393" r:id="rId22781" location="" tooltip="" display=""/>
    <hyperlink ref="R11393" r:id="rId22782" location="" tooltip="" display=""/>
    <hyperlink ref="L11394" r:id="rId22783" location="" tooltip="" display=""/>
    <hyperlink ref="R11394" r:id="rId22784" location="" tooltip="" display=""/>
    <hyperlink ref="L11396" r:id="rId22785" location="" tooltip="" display=""/>
    <hyperlink ref="R11396" r:id="rId22786" location="" tooltip="" display=""/>
    <hyperlink ref="K11397" r:id="rId22787" location="" tooltip="" display=""/>
    <hyperlink ref="L11397" r:id="rId22788" location="" tooltip="" display=""/>
    <hyperlink ref="Q11397" r:id="rId22789" location="" tooltip="" display=""/>
    <hyperlink ref="R11397" r:id="rId22790" location="" tooltip="" display=""/>
    <hyperlink ref="L11398" r:id="rId22791" location="" tooltip="" display=""/>
    <hyperlink ref="R11398" r:id="rId22792" location="" tooltip="" display=""/>
    <hyperlink ref="K11400" r:id="rId22793" location="" tooltip="" display=""/>
    <hyperlink ref="L11400" r:id="rId22794" location="" tooltip="" display=""/>
    <hyperlink ref="Q11400" r:id="rId22795" location="" tooltip="" display=""/>
    <hyperlink ref="R11400" r:id="rId22796" location="" tooltip="" display=""/>
    <hyperlink ref="L11401" r:id="rId22797" location="" tooltip="" display=""/>
    <hyperlink ref="R11401" r:id="rId22798" location="" tooltip="" display=""/>
    <hyperlink ref="K11403" r:id="rId22799" location="" tooltip="" display=""/>
    <hyperlink ref="L11403" r:id="rId22800" location="" tooltip="" display=""/>
    <hyperlink ref="Q11403" r:id="rId22801" location="" tooltip="" display=""/>
    <hyperlink ref="R11403" r:id="rId22802" location="" tooltip="" display=""/>
    <hyperlink ref="K11405" r:id="rId22803" location="" tooltip="" display=""/>
    <hyperlink ref="L11405" r:id="rId22804" location="" tooltip="" display=""/>
    <hyperlink ref="Q11405" r:id="rId22805" location="" tooltip="" display=""/>
    <hyperlink ref="R11405" r:id="rId22806" location="" tooltip="" display=""/>
    <hyperlink ref="L11406" r:id="rId22807" location="" tooltip="" display=""/>
    <hyperlink ref="R11406" r:id="rId22808" location="" tooltip="" display=""/>
    <hyperlink ref="K11408" r:id="rId22809" location="" tooltip="" display=""/>
    <hyperlink ref="L11408" r:id="rId22810" location="" tooltip="" display=""/>
    <hyperlink ref="Q11408" r:id="rId22811" location="" tooltip="" display=""/>
    <hyperlink ref="R11408" r:id="rId22812" location="" tooltip="" display=""/>
    <hyperlink ref="L11410" r:id="rId22813" location="" tooltip="" display=""/>
    <hyperlink ref="R11410" r:id="rId22814" location="" tooltip="" display=""/>
    <hyperlink ref="K11411" r:id="rId22815" location="" tooltip="" display=""/>
    <hyperlink ref="L11411" r:id="rId22816" location="" tooltip="" display=""/>
    <hyperlink ref="Q11411" r:id="rId22817" location="" tooltip="" display=""/>
    <hyperlink ref="R11411" r:id="rId22818" location="" tooltip="" display=""/>
    <hyperlink ref="L11412" r:id="rId22819" location="" tooltip="" display=""/>
    <hyperlink ref="R11412" r:id="rId22820" location="" tooltip="" display=""/>
    <hyperlink ref="L11414" r:id="rId22821" location="" tooltip="" display=""/>
    <hyperlink ref="R11414" r:id="rId22822" location="" tooltip="" display=""/>
    <hyperlink ref="K11415" r:id="rId22823" location="" tooltip="" display=""/>
    <hyperlink ref="L11415" r:id="rId22824" location="" tooltip="" display=""/>
    <hyperlink ref="Q11415" r:id="rId22825" location="" tooltip="" display=""/>
    <hyperlink ref="R11415" r:id="rId22826" location="" tooltip="" display=""/>
    <hyperlink ref="L11416" r:id="rId22827" location="" tooltip="" display=""/>
    <hyperlink ref="R11416" r:id="rId22828" location="" tooltip="" display=""/>
    <hyperlink ref="K11418" r:id="rId22829" location="" tooltip="" display=""/>
    <hyperlink ref="L11418" r:id="rId22830" location="" tooltip="" display=""/>
    <hyperlink ref="Q11418" r:id="rId22831" location="" tooltip="" display=""/>
    <hyperlink ref="R11418" r:id="rId22832" location="" tooltip="" display=""/>
    <hyperlink ref="L11419" r:id="rId22833" location="" tooltip="" display=""/>
    <hyperlink ref="R11419" r:id="rId22834" location="" tooltip="" display=""/>
    <hyperlink ref="K11421" r:id="rId22835" location="" tooltip="" display=""/>
    <hyperlink ref="L11421" r:id="rId22836" location="" tooltip="" display=""/>
    <hyperlink ref="Q11421" r:id="rId22837" location="" tooltip="" display=""/>
    <hyperlink ref="R11421" r:id="rId22838" location="" tooltip="" display=""/>
    <hyperlink ref="L11422" r:id="rId22839" location="" tooltip="" display=""/>
    <hyperlink ref="R11422" r:id="rId22840" location="" tooltip="" display=""/>
    <hyperlink ref="K11424" r:id="rId22841" location="" tooltip="" display=""/>
    <hyperlink ref="L11424" r:id="rId22842" location="" tooltip="" display=""/>
    <hyperlink ref="Q11424" r:id="rId22843" location="" tooltip="" display=""/>
    <hyperlink ref="R11424" r:id="rId22844" location="" tooltip="" display=""/>
    <hyperlink ref="K11426" r:id="rId22845" location="" tooltip="" display=""/>
    <hyperlink ref="L11426" r:id="rId22846" location="" tooltip="" display=""/>
    <hyperlink ref="Q11426" r:id="rId22847" location="" tooltip="" display=""/>
    <hyperlink ref="R11426" r:id="rId22848" location="" tooltip="" display=""/>
    <hyperlink ref="L11428" r:id="rId22849" location="" tooltip="" display=""/>
    <hyperlink ref="R11428" r:id="rId22850" location="" tooltip="" display=""/>
    <hyperlink ref="K11429" r:id="rId22851" location="" tooltip="" display=""/>
    <hyperlink ref="L11429" r:id="rId22852" location="" tooltip="" display=""/>
    <hyperlink ref="Q11429" r:id="rId22853" location="" tooltip="" display=""/>
    <hyperlink ref="R11429" r:id="rId22854" location="" tooltip="" display=""/>
    <hyperlink ref="L11430" r:id="rId22855" location="" tooltip="" display=""/>
    <hyperlink ref="R11430" r:id="rId22856" location="" tooltip="" display=""/>
    <hyperlink ref="L11432" r:id="rId22857" location="" tooltip="" display=""/>
    <hyperlink ref="R11432" r:id="rId22858" location="" tooltip="" display=""/>
    <hyperlink ref="K11433" r:id="rId22859" location="" tooltip="" display=""/>
    <hyperlink ref="L11433" r:id="rId22860" location="" tooltip="" display=""/>
    <hyperlink ref="Q11433" r:id="rId22861" location="" tooltip="" display=""/>
    <hyperlink ref="R11433" r:id="rId22862" location="" tooltip="" display=""/>
    <hyperlink ref="L11434" r:id="rId22863" location="" tooltip="" display=""/>
    <hyperlink ref="R11434" r:id="rId22864" location="" tooltip="" display=""/>
    <hyperlink ref="K11436" r:id="rId22865" location="" tooltip="" display=""/>
    <hyperlink ref="L11436" r:id="rId22866" location="" tooltip="" display=""/>
    <hyperlink ref="Q11436" r:id="rId22867" location="" tooltip="" display=""/>
    <hyperlink ref="R11436" r:id="rId22868" location="" tooltip="" display=""/>
    <hyperlink ref="K11438" r:id="rId22869" location="" tooltip="" display=""/>
    <hyperlink ref="L11438" r:id="rId22870" location="" tooltip="" display=""/>
    <hyperlink ref="Q11438" r:id="rId22871" location="" tooltip="" display=""/>
    <hyperlink ref="R11438" r:id="rId22872" location="" tooltip="" display=""/>
    <hyperlink ref="K11440" r:id="rId22873" location="" tooltip="" display=""/>
    <hyperlink ref="L11440" r:id="rId22874" location="" tooltip="" display=""/>
    <hyperlink ref="Q11440" r:id="rId22875" location="" tooltip="" display=""/>
    <hyperlink ref="R11440" r:id="rId22876" location="" tooltip="" display=""/>
    <hyperlink ref="L11441" r:id="rId22877" location="" tooltip="" display=""/>
    <hyperlink ref="R11441" r:id="rId22878" location="" tooltip="" display=""/>
    <hyperlink ref="L11443" r:id="rId22879" location="" tooltip="" display=""/>
    <hyperlink ref="R11443" r:id="rId22880" location="" tooltip="" display=""/>
    <hyperlink ref="K11444" r:id="rId22881" location="" tooltip="" display=""/>
    <hyperlink ref="L11444" r:id="rId22882" location="" tooltip="" display=""/>
    <hyperlink ref="Q11444" r:id="rId22883" location="" tooltip="" display=""/>
    <hyperlink ref="R11444" r:id="rId22884" location="" tooltip="" display=""/>
    <hyperlink ref="L11445" r:id="rId22885" location="" tooltip="" display=""/>
    <hyperlink ref="R11445" r:id="rId22886" location="" tooltip="" display=""/>
    <hyperlink ref="K11447" r:id="rId22887" location="" tooltip="" display=""/>
    <hyperlink ref="L11447" r:id="rId22888" location="" tooltip="" display=""/>
    <hyperlink ref="Q11447" r:id="rId22889" location="" tooltip="" display=""/>
    <hyperlink ref="R11447" r:id="rId22890" location="" tooltip="" display=""/>
    <hyperlink ref="L11448" r:id="rId22891" location="" tooltip="" display=""/>
    <hyperlink ref="R11448" r:id="rId22892" location="" tooltip="" display=""/>
    <hyperlink ref="K11450" r:id="rId22893" location="" tooltip="" display=""/>
    <hyperlink ref="L11450" r:id="rId22894" location="" tooltip="" display=""/>
    <hyperlink ref="Q11450" r:id="rId22895" location="" tooltip="" display=""/>
    <hyperlink ref="R11450" r:id="rId22896" location="" tooltip="" display=""/>
    <hyperlink ref="L11451" r:id="rId22897" location="" tooltip="" display=""/>
    <hyperlink ref="R11451" r:id="rId22898" location="" tooltip="" display=""/>
    <hyperlink ref="K11453" r:id="rId22899" location="" tooltip="" display=""/>
    <hyperlink ref="L11453" r:id="rId22900" location="" tooltip="" display=""/>
    <hyperlink ref="Q11453" r:id="rId22901" location="" tooltip="" display=""/>
    <hyperlink ref="R11453" r:id="rId22902" location="" tooltip="" display=""/>
    <hyperlink ref="L11455" r:id="rId22903" location="" tooltip="" display=""/>
    <hyperlink ref="R11455" r:id="rId22904" location="" tooltip="" display=""/>
    <hyperlink ref="K11456" r:id="rId22905" location="" tooltip="" display=""/>
    <hyperlink ref="L11456" r:id="rId22906" location="" tooltip="" display=""/>
    <hyperlink ref="Q11456" r:id="rId22907" location="" tooltip="" display=""/>
    <hyperlink ref="R11456" r:id="rId22908" location="" tooltip="" display=""/>
    <hyperlink ref="L11457" r:id="rId22909" location="" tooltip="" display=""/>
    <hyperlink ref="R11457" r:id="rId22910" location="" tooltip="" display=""/>
    <hyperlink ref="K11459" r:id="rId22911" location="" tooltip="" display=""/>
    <hyperlink ref="L11459" r:id="rId22912" location="" tooltip="" display=""/>
    <hyperlink ref="Q11459" r:id="rId22913" location="" tooltip="" display=""/>
    <hyperlink ref="R11459" r:id="rId22914" location="" tooltip="" display=""/>
    <hyperlink ref="L11460" r:id="rId22915" location="" tooltip="" display=""/>
    <hyperlink ref="R11460" r:id="rId22916" location="" tooltip="" display=""/>
    <hyperlink ref="L11462" r:id="rId22917" location="" tooltip="" display=""/>
    <hyperlink ref="R11462" r:id="rId22918" location="" tooltip="" display=""/>
    <hyperlink ref="K11463" r:id="rId22919" location="" tooltip="" display=""/>
    <hyperlink ref="L11463" r:id="rId22920" location="" tooltip="" display=""/>
    <hyperlink ref="Q11463" r:id="rId22921" location="" tooltip="" display=""/>
    <hyperlink ref="R11463" r:id="rId22922" location="" tooltip="" display=""/>
    <hyperlink ref="L11464" r:id="rId22923" location="" tooltip="" display=""/>
    <hyperlink ref="R11464" r:id="rId22924" location="" tooltip="" display=""/>
    <hyperlink ref="K11466" r:id="rId22925" location="" tooltip="" display=""/>
    <hyperlink ref="L11466" r:id="rId22926" location="" tooltip="" display=""/>
    <hyperlink ref="Q11466" r:id="rId22927" location="" tooltip="" display=""/>
    <hyperlink ref="R11466" r:id="rId22928" location="" tooltip="" display=""/>
    <hyperlink ref="L11467" r:id="rId22929" location="" tooltip="" display=""/>
    <hyperlink ref="R11467" r:id="rId22930" location="" tooltip="" display=""/>
    <hyperlink ref="K11469" r:id="rId22931" location="" tooltip="" display=""/>
    <hyperlink ref="L11469" r:id="rId22932" location="" tooltip="" display=""/>
    <hyperlink ref="Q11469" r:id="rId22933" location="" tooltip="" display=""/>
    <hyperlink ref="R11469" r:id="rId22934" location="" tooltip="" display=""/>
    <hyperlink ref="L11470" r:id="rId22935" location="" tooltip="" display=""/>
    <hyperlink ref="R11470" r:id="rId22936" location="" tooltip="" display=""/>
    <hyperlink ref="K11472" r:id="rId22937" location="" tooltip="" display=""/>
    <hyperlink ref="L11472" r:id="rId22938" location="" tooltip="" display=""/>
    <hyperlink ref="Q11472" r:id="rId22939" location="" tooltip="" display=""/>
    <hyperlink ref="R11472" r:id="rId22940" location="" tooltip="" display=""/>
    <hyperlink ref="K11474" r:id="rId22941" location="" tooltip="" display=""/>
    <hyperlink ref="L11474" r:id="rId22942" location="" tooltip="" display=""/>
    <hyperlink ref="Q11474" r:id="rId22943" location="" tooltip="" display=""/>
    <hyperlink ref="R11474" r:id="rId22944" location="" tooltip="" display=""/>
    <hyperlink ref="K11476" r:id="rId22945" location="" tooltip="" display=""/>
    <hyperlink ref="L11476" r:id="rId22946" location="" tooltip="" display=""/>
    <hyperlink ref="Q11476" r:id="rId22947" location="" tooltip="" display=""/>
    <hyperlink ref="R11476" r:id="rId22948" location="" tooltip="" display=""/>
    <hyperlink ref="L11478" r:id="rId22949" location="" tooltip="" display=""/>
    <hyperlink ref="R11478" r:id="rId22950" location="" tooltip="" display=""/>
    <hyperlink ref="K11479" r:id="rId22951" location="" tooltip="" display=""/>
    <hyperlink ref="L11479" r:id="rId22952" location="" tooltip="" display=""/>
    <hyperlink ref="Q11479" r:id="rId22953" location="" tooltip="" display=""/>
    <hyperlink ref="R11479" r:id="rId22954" location="" tooltip="" display=""/>
    <hyperlink ref="L11480" r:id="rId22955" location="" tooltip="" display=""/>
    <hyperlink ref="R11480" r:id="rId22956" location="" tooltip="" display=""/>
    <hyperlink ref="K11482" r:id="rId22957" location="" tooltip="" display=""/>
    <hyperlink ref="L11482" r:id="rId22958" location="" tooltip="" display=""/>
    <hyperlink ref="Q11482" r:id="rId22959" location="" tooltip="" display=""/>
    <hyperlink ref="R11482" r:id="rId22960" location="" tooltip="" display=""/>
    <hyperlink ref="L11483" r:id="rId22961" location="" tooltip="" display=""/>
    <hyperlink ref="R11483" r:id="rId22962" location="" tooltip="" display=""/>
    <hyperlink ref="L11485" r:id="rId22963" location="" tooltip="" display=""/>
    <hyperlink ref="R11485" r:id="rId22964" location="" tooltip="" display=""/>
    <hyperlink ref="K11486" r:id="rId22965" location="" tooltip="" display=""/>
    <hyperlink ref="L11486" r:id="rId22966" location="" tooltip="" display=""/>
    <hyperlink ref="Q11486" r:id="rId22967" location="" tooltip="" display=""/>
    <hyperlink ref="R11486" r:id="rId22968" location="" tooltip="" display=""/>
    <hyperlink ref="L11487" r:id="rId22969" location="" tooltip="" display=""/>
    <hyperlink ref="R11487" r:id="rId22970" location="" tooltip="" display=""/>
    <hyperlink ref="K11489" r:id="rId22971" location="" tooltip="" display=""/>
    <hyperlink ref="L11489" r:id="rId22972" location="" tooltip="" display=""/>
    <hyperlink ref="Q11489" r:id="rId22973" location="" tooltip="" display=""/>
    <hyperlink ref="R11489" r:id="rId22974" location="" tooltip="" display=""/>
    <hyperlink ref="L11490" r:id="rId22975" location="" tooltip="" display=""/>
    <hyperlink ref="R11490" r:id="rId22976" location="" tooltip="" display=""/>
    <hyperlink ref="L11492" r:id="rId22977" location="" tooltip="" display=""/>
    <hyperlink ref="R11492" r:id="rId22978" location="" tooltip="" display=""/>
    <hyperlink ref="K11493" r:id="rId22979" location="" tooltip="" display=""/>
    <hyperlink ref="L11493" r:id="rId22980" location="" tooltip="" display=""/>
    <hyperlink ref="Q11493" r:id="rId22981" location="" tooltip="" display=""/>
    <hyperlink ref="R11493" r:id="rId22982" location="" tooltip="" display=""/>
    <hyperlink ref="L11494" r:id="rId22983" location="" tooltip="" display=""/>
    <hyperlink ref="R11494" r:id="rId22984" location="" tooltip="" display=""/>
    <hyperlink ref="L11496" r:id="rId22985" location="" tooltip="" display=""/>
    <hyperlink ref="R11496" r:id="rId22986" location="" tooltip="" display=""/>
    <hyperlink ref="K11497" r:id="rId22987" location="" tooltip="" display=""/>
    <hyperlink ref="L11497" r:id="rId22988" location="" tooltip="" display=""/>
    <hyperlink ref="Q11497" r:id="rId22989" location="" tooltip="" display=""/>
    <hyperlink ref="R11497" r:id="rId22990" location="" tooltip="" display=""/>
    <hyperlink ref="L11498" r:id="rId22991" location="" tooltip="" display=""/>
    <hyperlink ref="R11498" r:id="rId22992" location="" tooltip="" display=""/>
    <hyperlink ref="L11500" r:id="rId22993" location="" tooltip="" display=""/>
    <hyperlink ref="R11500" r:id="rId22994" location="" tooltip="" display=""/>
    <hyperlink ref="L11501" r:id="rId22995" location="" tooltip="" display=""/>
    <hyperlink ref="R11501" r:id="rId22996" location="" tooltip="" display=""/>
    <hyperlink ref="K11502" r:id="rId22997" location="" tooltip="" display=""/>
    <hyperlink ref="L11502" r:id="rId22998" location="" tooltip="" display=""/>
    <hyperlink ref="Q11502" r:id="rId22999" location="" tooltip="" display=""/>
    <hyperlink ref="R11502" r:id="rId23000" location="" tooltip="" display=""/>
    <hyperlink ref="L11503" r:id="rId23001" location="" tooltip="" display=""/>
    <hyperlink ref="R11503" r:id="rId23002" location="" tooltip="" display=""/>
    <hyperlink ref="L11504" r:id="rId23003" location="" tooltip="" display=""/>
    <hyperlink ref="R11504" r:id="rId23004" location="" tooltip="" display=""/>
    <hyperlink ref="L11505" r:id="rId23005" location="" tooltip="" display=""/>
    <hyperlink ref="R11505" r:id="rId23006" location="" tooltip="" display=""/>
    <hyperlink ref="K11507" r:id="rId23007" location="" tooltip="" display=""/>
    <hyperlink ref="L11507" r:id="rId23008" location="" tooltip="" display=""/>
    <hyperlink ref="Q11507" r:id="rId23009" location="" tooltip="" display=""/>
    <hyperlink ref="R11507" r:id="rId23010" location="" tooltip="" display=""/>
    <hyperlink ref="L11509" r:id="rId23011" location="" tooltip="" display=""/>
    <hyperlink ref="R11509" r:id="rId23012" location="" tooltip="" display=""/>
    <hyperlink ref="K11510" r:id="rId23013" location="" tooltip="" display=""/>
    <hyperlink ref="L11510" r:id="rId23014" location="" tooltip="" display=""/>
    <hyperlink ref="Q11510" r:id="rId23015" location="" tooltip="" display=""/>
    <hyperlink ref="R11510" r:id="rId23016" location="" tooltip="" display=""/>
    <hyperlink ref="L11511" r:id="rId23017" location="" tooltip="" display=""/>
    <hyperlink ref="R11511" r:id="rId23018" location="" tooltip="" display=""/>
    <hyperlink ref="L11512" r:id="rId23019" location="" tooltip="" display=""/>
    <hyperlink ref="R11512" r:id="rId23020" location="" tooltip="" display=""/>
    <hyperlink ref="K11514" r:id="rId23021" location="" tooltip="" display=""/>
    <hyperlink ref="L11514" r:id="rId23022" location="" tooltip="" display=""/>
    <hyperlink ref="Q11514" r:id="rId23023" location="" tooltip="" display=""/>
    <hyperlink ref="R11514" r:id="rId23024" location="" tooltip="" display=""/>
    <hyperlink ref="L11515" r:id="rId23025" location="" tooltip="" display=""/>
    <hyperlink ref="R11515" r:id="rId23026" location="" tooltip="" display=""/>
    <hyperlink ref="K11517" r:id="rId23027" location="" tooltip="" display=""/>
    <hyperlink ref="L11517" r:id="rId23028" location="" tooltip="" display=""/>
    <hyperlink ref="Q11517" r:id="rId23029" location="" tooltip="" display=""/>
    <hyperlink ref="R11517" r:id="rId23030" location="" tooltip="" display=""/>
    <hyperlink ref="L11518" r:id="rId23031" location="" tooltip="" display=""/>
    <hyperlink ref="R11518" r:id="rId23032" location="" tooltip="" display=""/>
    <hyperlink ref="L11520" r:id="rId23033" location="" tooltip="" display=""/>
    <hyperlink ref="R11520" r:id="rId23034" location="" tooltip="" display=""/>
    <hyperlink ref="K11521" r:id="rId23035" location="" tooltip="" display=""/>
    <hyperlink ref="L11521" r:id="rId23036" location="" tooltip="" display=""/>
    <hyperlink ref="Q11521" r:id="rId23037" location="" tooltip="" display=""/>
    <hyperlink ref="R11521" r:id="rId23038" location="" tooltip="" display=""/>
    <hyperlink ref="L11522" r:id="rId23039" location="" tooltip="" display=""/>
    <hyperlink ref="R11522" r:id="rId23040" location="" tooltip="" display=""/>
    <hyperlink ref="K11524" r:id="rId23041" location="" tooltip="" display=""/>
    <hyperlink ref="L11524" r:id="rId23042" location="" tooltip="" display=""/>
    <hyperlink ref="Q11524" r:id="rId23043" location="" tooltip="" display=""/>
    <hyperlink ref="R11524" r:id="rId23044" location="" tooltip="" display=""/>
    <hyperlink ref="L11525" r:id="rId23045" location="" tooltip="" display=""/>
    <hyperlink ref="R11525" r:id="rId23046" location="" tooltip="" display=""/>
    <hyperlink ref="K11527" r:id="rId23047" location="" tooltip="" display=""/>
    <hyperlink ref="L11527" r:id="rId23048" location="" tooltip="" display=""/>
    <hyperlink ref="Q11527" r:id="rId23049" location="" tooltip="" display=""/>
    <hyperlink ref="R11527" r:id="rId23050" location="" tooltip="" display=""/>
    <hyperlink ref="L11528" r:id="rId23051" location="" tooltip="" display=""/>
    <hyperlink ref="R11528" r:id="rId23052" location="" tooltip="" display=""/>
    <hyperlink ref="K11530" r:id="rId23053" location="" tooltip="" display=""/>
    <hyperlink ref="L11530" r:id="rId23054" location="" tooltip="" display=""/>
    <hyperlink ref="Q11530" r:id="rId23055" location="" tooltip="" display=""/>
    <hyperlink ref="R11530" r:id="rId23056" location="" tooltip="" display=""/>
    <hyperlink ref="K11532" r:id="rId23057" location="" tooltip="" display=""/>
    <hyperlink ref="L11532" r:id="rId23058" location="" tooltip="" display=""/>
    <hyperlink ref="Q11532" r:id="rId23059" location="" tooltip="" display=""/>
    <hyperlink ref="R11532" r:id="rId23060" location="" tooltip="" display=""/>
    <hyperlink ref="L11533" r:id="rId23061" location="" tooltip="" display=""/>
    <hyperlink ref="R11533" r:id="rId23062" location="" tooltip="" display=""/>
    <hyperlink ref="K11535" r:id="rId23063" location="" tooltip="" display=""/>
    <hyperlink ref="L11535" r:id="rId23064" location="" tooltip="" display=""/>
    <hyperlink ref="Q11535" r:id="rId23065" location="" tooltip="" display=""/>
    <hyperlink ref="R11535" r:id="rId23066" location="" tooltip="" display=""/>
    <hyperlink ref="L11536" r:id="rId23067" location="" tooltip="" display=""/>
    <hyperlink ref="R11536" r:id="rId23068" location="" tooltip="" display=""/>
    <hyperlink ref="K11538" r:id="rId23069" location="" tooltip="" display=""/>
    <hyperlink ref="L11538" r:id="rId23070" location="" tooltip="" display=""/>
    <hyperlink ref="Q11538" r:id="rId23071" location="" tooltip="" display=""/>
    <hyperlink ref="R11538" r:id="rId23072" location="" tooltip="" display=""/>
    <hyperlink ref="L11539" r:id="rId23073" location="" tooltip="" display=""/>
    <hyperlink ref="R11539" r:id="rId23074" location="" tooltip="" display=""/>
    <hyperlink ref="L11541" r:id="rId23075" location="" tooltip="" display=""/>
    <hyperlink ref="R11541" r:id="rId23076" location="" tooltip="" display=""/>
    <hyperlink ref="K11542" r:id="rId23077" location="" tooltip="" display=""/>
    <hyperlink ref="L11542" r:id="rId23078" location="" tooltip="" display=""/>
    <hyperlink ref="Q11542" r:id="rId23079" location="" tooltip="" display=""/>
    <hyperlink ref="R11542" r:id="rId23080" location="" tooltip="" display=""/>
    <hyperlink ref="L11543" r:id="rId23081" location="" tooltip="" display=""/>
    <hyperlink ref="R11543" r:id="rId23082" location="" tooltip="" display=""/>
    <hyperlink ref="L11544" r:id="rId23083" location="" tooltip="" display=""/>
    <hyperlink ref="R11544" r:id="rId23084" location="" tooltip="" display=""/>
    <hyperlink ref="K11546" r:id="rId23085" location="" tooltip="" display=""/>
    <hyperlink ref="L11546" r:id="rId23086" location="" tooltip="" display=""/>
    <hyperlink ref="Q11546" r:id="rId23087" location="" tooltip="" display=""/>
    <hyperlink ref="R11546" r:id="rId23088" location="" tooltip="" display=""/>
    <hyperlink ref="L11548" r:id="rId23089" location="" tooltip="" display=""/>
    <hyperlink ref="R11548" r:id="rId23090" location="" tooltip="" display=""/>
    <hyperlink ref="K11549" r:id="rId23091" location="" tooltip="" display=""/>
    <hyperlink ref="L11549" r:id="rId23092" location="" tooltip="" display=""/>
    <hyperlink ref="Q11549" r:id="rId23093" location="" tooltip="" display=""/>
    <hyperlink ref="R11549" r:id="rId23094" location="" tooltip="" display=""/>
    <hyperlink ref="L11550" r:id="rId23095" location="" tooltip="" display=""/>
    <hyperlink ref="R11550" r:id="rId23096" location="" tooltip="" display=""/>
    <hyperlink ref="L11551" r:id="rId23097" location="" tooltip="" display=""/>
    <hyperlink ref="R11551" r:id="rId23098" location="" tooltip="" display=""/>
    <hyperlink ref="L11553" r:id="rId23099" location="" tooltip="" display=""/>
    <hyperlink ref="R11553" r:id="rId23100" location="" tooltip="" display=""/>
    <hyperlink ref="K11554" r:id="rId23101" location="" tooltip="" display=""/>
    <hyperlink ref="L11554" r:id="rId23102" location="" tooltip="" display=""/>
    <hyperlink ref="Q11554" r:id="rId23103" location="" tooltip="" display=""/>
    <hyperlink ref="R11554" r:id="rId23104" location="" tooltip="" display=""/>
    <hyperlink ref="L11555" r:id="rId23105" location="" tooltip="" display=""/>
    <hyperlink ref="R11555" r:id="rId23106" location="" tooltip="" display=""/>
    <hyperlink ref="L11556" r:id="rId23107" location="" tooltip="" display=""/>
    <hyperlink ref="R11556" r:id="rId23108" location="" tooltip="" display=""/>
    <hyperlink ref="L11558" r:id="rId23109" location="" tooltip="" display=""/>
    <hyperlink ref="R11558" r:id="rId23110" location="" tooltip="" display=""/>
    <hyperlink ref="K11559" r:id="rId23111" location="" tooltip="" display=""/>
    <hyperlink ref="L11559" r:id="rId23112" location="" tooltip="" display=""/>
    <hyperlink ref="Q11559" r:id="rId23113" location="" tooltip="" display=""/>
    <hyperlink ref="R11559" r:id="rId23114" location="" tooltip="" display=""/>
    <hyperlink ref="L11560" r:id="rId23115" location="" tooltip="" display=""/>
    <hyperlink ref="R11560" r:id="rId23116" location="" tooltip="" display=""/>
    <hyperlink ref="K11562" r:id="rId23117" location="" tooltip="" display=""/>
    <hyperlink ref="L11562" r:id="rId23118" location="" tooltip="" display=""/>
    <hyperlink ref="Q11562" r:id="rId23119" location="" tooltip="" display=""/>
    <hyperlink ref="R11562" r:id="rId23120" location="" tooltip="" display=""/>
    <hyperlink ref="L11564" r:id="rId23121" location="" tooltip="" display=""/>
    <hyperlink ref="R11564" r:id="rId23122" location="" tooltip="" display=""/>
    <hyperlink ref="K11565" r:id="rId23123" location="" tooltip="" display=""/>
    <hyperlink ref="L11565" r:id="rId23124" location="" tooltip="" display=""/>
    <hyperlink ref="Q11565" r:id="rId23125" location="" tooltip="" display=""/>
    <hyperlink ref="R11565" r:id="rId23126" location="" tooltip="" display=""/>
    <hyperlink ref="L11566" r:id="rId23127" location="" tooltip="" display=""/>
    <hyperlink ref="R11566" r:id="rId23128" location="" tooltip="" display=""/>
    <hyperlink ref="L11567" r:id="rId23129" location="" tooltip="" display=""/>
    <hyperlink ref="R11567" r:id="rId23130" location="" tooltip="" display=""/>
    <hyperlink ref="L11569" r:id="rId23131" location="" tooltip="" display=""/>
    <hyperlink ref="R11569" r:id="rId23132" location="" tooltip="" display=""/>
    <hyperlink ref="K11570" r:id="rId23133" location="" tooltip="" display=""/>
    <hyperlink ref="L11570" r:id="rId23134" location="" tooltip="" display=""/>
    <hyperlink ref="Q11570" r:id="rId23135" location="" tooltip="" display=""/>
    <hyperlink ref="R11570" r:id="rId23136" location="" tooltip="" display=""/>
    <hyperlink ref="L11571" r:id="rId23137" location="" tooltip="" display=""/>
    <hyperlink ref="R11571" r:id="rId23138" location="" tooltip="" display=""/>
    <hyperlink ref="L11572" r:id="rId23139" location="" tooltip="" display=""/>
    <hyperlink ref="R11572" r:id="rId23140" location="" tooltip="" display=""/>
    <hyperlink ref="L11574" r:id="rId23141" location="" tooltip="" display=""/>
    <hyperlink ref="R11574" r:id="rId23142" location="" tooltip="" display=""/>
    <hyperlink ref="K11575" r:id="rId23143" location="" tooltip="" display=""/>
    <hyperlink ref="L11575" r:id="rId23144" location="" tooltip="" display=""/>
    <hyperlink ref="Q11575" r:id="rId23145" location="" tooltip="" display=""/>
    <hyperlink ref="R11575" r:id="rId23146" location="" tooltip="" display=""/>
    <hyperlink ref="L11576" r:id="rId23147" location="" tooltip="" display=""/>
    <hyperlink ref="R11576" r:id="rId23148" location="" tooltip="" display=""/>
    <hyperlink ref="L11577" r:id="rId23149" location="" tooltip="" display=""/>
    <hyperlink ref="R11577" r:id="rId23150" location="" tooltip="" display=""/>
    <hyperlink ref="L11579" r:id="rId23151" location="" tooltip="" display=""/>
    <hyperlink ref="R11579" r:id="rId23152" location="" tooltip="" display=""/>
    <hyperlink ref="K11580" r:id="rId23153" location="" tooltip="" display=""/>
    <hyperlink ref="L11580" r:id="rId23154" location="" tooltip="" display=""/>
    <hyperlink ref="Q11580" r:id="rId23155" location="" tooltip="" display=""/>
    <hyperlink ref="R11580" r:id="rId23156" location="" tooltip="" display=""/>
    <hyperlink ref="L11581" r:id="rId23157" location="" tooltip="" display=""/>
    <hyperlink ref="R11581" r:id="rId23158" location="" tooltip="" display=""/>
    <hyperlink ref="L11582" r:id="rId23159" location="" tooltip="" display=""/>
    <hyperlink ref="R11582" r:id="rId23160" location="" tooltip="" display=""/>
    <hyperlink ref="L11584" r:id="rId23161" location="" tooltip="" display=""/>
    <hyperlink ref="R11584" r:id="rId23162" location="" tooltip="" display=""/>
    <hyperlink ref="L11585" r:id="rId23163" location="" tooltip="" display=""/>
    <hyperlink ref="R11585" r:id="rId23164" location="" tooltip="" display=""/>
    <hyperlink ref="L11586" r:id="rId23165" location="" tooltip="" display=""/>
    <hyperlink ref="R11586" r:id="rId23166" location="" tooltip="" display=""/>
    <hyperlink ref="L11587" r:id="rId23167" location="" tooltip="" display=""/>
    <hyperlink ref="R11587" r:id="rId23168" location="" tooltip="" display=""/>
    <hyperlink ref="L11588" r:id="rId23169" location="" tooltip="" display=""/>
    <hyperlink ref="R11588" r:id="rId23170" location="" tooltip="" display=""/>
    <hyperlink ref="K11589" r:id="rId23171" location="" tooltip="" display=""/>
    <hyperlink ref="L11589" r:id="rId23172" location="" tooltip="" display=""/>
    <hyperlink ref="Q11589" r:id="rId23173" location="" tooltip="" display=""/>
    <hyperlink ref="R11589" r:id="rId23174" location="" tooltip="" display=""/>
    <hyperlink ref="L11590" r:id="rId23175" location="" tooltip="" display=""/>
    <hyperlink ref="R11590" r:id="rId23176" location="" tooltip="" display=""/>
    <hyperlink ref="L11591" r:id="rId23177" location="" tooltip="" display=""/>
    <hyperlink ref="R11591" r:id="rId23178" location="" tooltip="" display=""/>
    <hyperlink ref="L11592" r:id="rId23179" location="" tooltip="" display=""/>
    <hyperlink ref="R11592" r:id="rId23180" location="" tooltip="" display=""/>
    <hyperlink ref="L11593" r:id="rId23181" location="" tooltip="" display=""/>
    <hyperlink ref="R11593" r:id="rId23182" location="" tooltip="" display=""/>
    <hyperlink ref="L11594" r:id="rId23183" location="" tooltip="" display=""/>
    <hyperlink ref="R11594" r:id="rId23184" location="" tooltip="" display=""/>
    <hyperlink ref="L11596" r:id="rId23185" location="" tooltip="" display=""/>
    <hyperlink ref="R11596" r:id="rId23186" location="" tooltip="" display=""/>
    <hyperlink ref="K11597" r:id="rId23187" location="" tooltip="" display=""/>
    <hyperlink ref="L11597" r:id="rId23188" location="" tooltip="" display=""/>
    <hyperlink ref="Q11597" r:id="rId23189" location="" tooltip="" display=""/>
    <hyperlink ref="R11597" r:id="rId23190" location="" tooltip="" display=""/>
    <hyperlink ref="L11598" r:id="rId23191" location="" tooltip="" display=""/>
    <hyperlink ref="R11598" r:id="rId23192" location="" tooltip="" display=""/>
    <hyperlink ref="K11600" r:id="rId23193" location="" tooltip="" display=""/>
    <hyperlink ref="L11600" r:id="rId23194" location="" tooltip="" display=""/>
    <hyperlink ref="Q11600" r:id="rId23195" location="" tooltip="" display=""/>
    <hyperlink ref="R11600" r:id="rId23196" location="" tooltip="" display=""/>
    <hyperlink ref="L11601" r:id="rId23197" location="" tooltip="" display=""/>
    <hyperlink ref="R11601" r:id="rId23198" location="" tooltip="" display=""/>
    <hyperlink ref="K11603" r:id="rId23199" location="" tooltip="" display=""/>
    <hyperlink ref="L11603" r:id="rId23200" location="" tooltip="" display=""/>
    <hyperlink ref="Q11603" r:id="rId23201" location="" tooltip="" display=""/>
    <hyperlink ref="R11603" r:id="rId23202" location="" tooltip="" display=""/>
    <hyperlink ref="L11604" r:id="rId23203" location="" tooltip="" display=""/>
    <hyperlink ref="R11604" r:id="rId23204" location="" tooltip="" display=""/>
    <hyperlink ref="K11606" r:id="rId23205" location="" tooltip="" display=""/>
    <hyperlink ref="L11606" r:id="rId23206" location="" tooltip="" display=""/>
    <hyperlink ref="Q11606" r:id="rId23207" location="" tooltip="" display=""/>
    <hyperlink ref="R11606" r:id="rId23208" location="" tooltip="" display=""/>
    <hyperlink ref="L11607" r:id="rId23209" location="" tooltip="" display=""/>
    <hyperlink ref="R11607" r:id="rId23210" location="" tooltip="" display=""/>
    <hyperlink ref="K11609" r:id="rId23211" location="" tooltip="" display=""/>
    <hyperlink ref="L11609" r:id="rId23212" location="" tooltip="" display=""/>
    <hyperlink ref="Q11609" r:id="rId23213" location="" tooltip="" display=""/>
    <hyperlink ref="R11609" r:id="rId23214" location="" tooltip="" display=""/>
    <hyperlink ref="L11610" r:id="rId23215" location="" tooltip="" display=""/>
    <hyperlink ref="R11610" r:id="rId23216" location="" tooltip="" display=""/>
    <hyperlink ref="K11612" r:id="rId23217" location="" tooltip="" display=""/>
    <hyperlink ref="L11612" r:id="rId23218" location="" tooltip="" display=""/>
    <hyperlink ref="Q11612" r:id="rId23219" location="" tooltip="" display=""/>
    <hyperlink ref="R11612" r:id="rId23220" location="" tooltip="" display=""/>
    <hyperlink ref="K11614" r:id="rId23221" location="" tooltip="" display=""/>
    <hyperlink ref="L11614" r:id="rId23222" location="" tooltip="" display=""/>
    <hyperlink ref="Q11614" r:id="rId23223" location="" tooltip="" display=""/>
    <hyperlink ref="R11614" r:id="rId23224" location="" tooltip="" display=""/>
    <hyperlink ref="K11616" r:id="rId23225" location="" tooltip="" display=""/>
    <hyperlink ref="L11616" r:id="rId23226" location="" tooltip="" display=""/>
    <hyperlink ref="Q11616" r:id="rId23227" location="" tooltip="" display=""/>
    <hyperlink ref="R11616" r:id="rId23228" location="" tooltip="" display=""/>
    <hyperlink ref="L11618" r:id="rId23229" location="" tooltip="" display=""/>
    <hyperlink ref="R11618" r:id="rId23230" location="" tooltip="" display=""/>
    <hyperlink ref="L11619" r:id="rId23231" location="" tooltip="" display=""/>
    <hyperlink ref="R11619" r:id="rId23232" location="" tooltip="" display=""/>
    <hyperlink ref="K11620" r:id="rId23233" location="" tooltip="" display=""/>
    <hyperlink ref="L11620" r:id="rId23234" location="" tooltip="" display=""/>
    <hyperlink ref="Q11620" r:id="rId23235" location="" tooltip="" display=""/>
    <hyperlink ref="R11620" r:id="rId23236" location="" tooltip="" display=""/>
    <hyperlink ref="L11621" r:id="rId23237" location="" tooltip="" display=""/>
    <hyperlink ref="R11621" r:id="rId23238" location="" tooltip="" display=""/>
    <hyperlink ref="L11622" r:id="rId23239" location="" tooltip="" display=""/>
    <hyperlink ref="R11622" r:id="rId23240" location="" tooltip="" display=""/>
    <hyperlink ref="K11624" r:id="rId23241" location="" tooltip="" display=""/>
    <hyperlink ref="L11624" r:id="rId23242" location="" tooltip="" display=""/>
    <hyperlink ref="Q11624" r:id="rId23243" location="" tooltip="" display=""/>
    <hyperlink ref="R11624" r:id="rId23244" location="" tooltip="" display=""/>
    <hyperlink ref="K11626" r:id="rId23245" location="" tooltip="" display=""/>
    <hyperlink ref="L11626" r:id="rId23246" location="" tooltip="" display=""/>
    <hyperlink ref="Q11626" r:id="rId23247" location="" tooltip="" display=""/>
    <hyperlink ref="R11626" r:id="rId23248" location="" tooltip="" display=""/>
    <hyperlink ref="L11627" r:id="rId23249" location="" tooltip="" display=""/>
    <hyperlink ref="R11627" r:id="rId23250" location="" tooltip="" display=""/>
    <hyperlink ref="K11629" r:id="rId23251" location="" tooltip="" display=""/>
    <hyperlink ref="L11629" r:id="rId23252" location="" tooltip="" display=""/>
    <hyperlink ref="Q11629" r:id="rId23253" location="" tooltip="" display=""/>
    <hyperlink ref="R11629" r:id="rId23254" location="" tooltip="" display=""/>
    <hyperlink ref="L11630" r:id="rId23255" location="" tooltip="" display=""/>
    <hyperlink ref="R11630" r:id="rId23256" location="" tooltip="" display=""/>
    <hyperlink ref="K11632" r:id="rId23257" location="" tooltip="" display=""/>
    <hyperlink ref="L11632" r:id="rId23258" location="" tooltip="" display=""/>
    <hyperlink ref="Q11632" r:id="rId23259" location="" tooltip="" display=""/>
    <hyperlink ref="R11632" r:id="rId23260" location="" tooltip="" display=""/>
    <hyperlink ref="L11633" r:id="rId23261" location="" tooltip="" display=""/>
    <hyperlink ref="R11633" r:id="rId23262" location="" tooltip="" display=""/>
    <hyperlink ref="L11635" r:id="rId23263" location="" tooltip="" display=""/>
    <hyperlink ref="R11635" r:id="rId23264" location="" tooltip="" display=""/>
    <hyperlink ref="L11636" r:id="rId23265" location="" tooltip="" display=""/>
    <hyperlink ref="R11636" r:id="rId23266" location="" tooltip="" display=""/>
    <hyperlink ref="K11637" r:id="rId23267" location="" tooltip="" display=""/>
    <hyperlink ref="L11637" r:id="rId23268" location="" tooltip="" display=""/>
    <hyperlink ref="Q11637" r:id="rId23269" location="" tooltip="" display=""/>
    <hyperlink ref="R11637" r:id="rId23270" location="" tooltip="" display=""/>
    <hyperlink ref="L11638" r:id="rId23271" location="" tooltip="" display=""/>
    <hyperlink ref="R11638" r:id="rId23272" location="" tooltip="" display=""/>
    <hyperlink ref="L11639" r:id="rId23273" location="" tooltip="" display=""/>
    <hyperlink ref="R11639" r:id="rId23274" location="" tooltip="" display=""/>
    <hyperlink ref="L11640" r:id="rId23275" location="" tooltip="" display=""/>
    <hyperlink ref="R11640" r:id="rId23276" location="" tooltip="" display=""/>
    <hyperlink ref="K11642" r:id="rId23277" location="" tooltip="" display=""/>
    <hyperlink ref="L11642" r:id="rId23278" location="" tooltip="" display=""/>
    <hyperlink ref="Q11642" r:id="rId23279" location="" tooltip="" display=""/>
    <hyperlink ref="R11642" r:id="rId23280" location="" tooltip="" display=""/>
    <hyperlink ref="L11643" r:id="rId23281" location="" tooltip="" display=""/>
    <hyperlink ref="R11643" r:id="rId23282" location="" tooltip="" display=""/>
    <hyperlink ref="K11645" r:id="rId23283" location="" tooltip="" display=""/>
    <hyperlink ref="L11645" r:id="rId23284" location="" tooltip="" display=""/>
    <hyperlink ref="Q11645" r:id="rId23285" location="" tooltip="" display=""/>
    <hyperlink ref="R11645" r:id="rId23286" location="" tooltip="" display=""/>
    <hyperlink ref="L11647" r:id="rId23287" location="" tooltip="" display=""/>
    <hyperlink ref="R11647" r:id="rId23288" location="" tooltip="" display=""/>
    <hyperlink ref="K11648" r:id="rId23289" location="" tooltip="" display=""/>
    <hyperlink ref="L11648" r:id="rId23290" location="" tooltip="" display=""/>
    <hyperlink ref="Q11648" r:id="rId23291" location="" tooltip="" display=""/>
    <hyperlink ref="R11648" r:id="rId23292" location="" tooltip="" display=""/>
    <hyperlink ref="L11649" r:id="rId23293" location="" tooltip="" display=""/>
    <hyperlink ref="R11649" r:id="rId23294" location="" tooltip="" display=""/>
    <hyperlink ref="K11651" r:id="rId23295" location="" tooltip="" display=""/>
    <hyperlink ref="L11651" r:id="rId23296" location="" tooltip="" display=""/>
    <hyperlink ref="Q11651" r:id="rId23297" location="" tooltip="" display=""/>
    <hyperlink ref="R11651" r:id="rId23298" location="" tooltip="" display=""/>
    <hyperlink ref="L11653" r:id="rId23299" location="" tooltip="" display=""/>
    <hyperlink ref="R11653" r:id="rId23300" location="" tooltip="" display=""/>
    <hyperlink ref="K11654" r:id="rId23301" location="" tooltip="" display=""/>
    <hyperlink ref="L11654" r:id="rId23302" location="" tooltip="" display=""/>
    <hyperlink ref="Q11654" r:id="rId23303" location="" tooltip="" display=""/>
    <hyperlink ref="R11654" r:id="rId23304" location="" tooltip="" display=""/>
    <hyperlink ref="L11655" r:id="rId23305" location="" tooltip="" display=""/>
    <hyperlink ref="R11655" r:id="rId23306" location="" tooltip="" display=""/>
    <hyperlink ref="L11656" r:id="rId23307" location="" tooltip="" display=""/>
    <hyperlink ref="R11656" r:id="rId23308" location="" tooltip="" display=""/>
    <hyperlink ref="K11658" r:id="rId23309" location="" tooltip="" display=""/>
    <hyperlink ref="L11658" r:id="rId23310" location="" tooltip="" display=""/>
    <hyperlink ref="Q11658" r:id="rId23311" location="" tooltip="" display=""/>
    <hyperlink ref="R11658" r:id="rId23312" location="" tooltip="" display=""/>
    <hyperlink ref="L11659" r:id="rId23313" location="" tooltip="" display=""/>
    <hyperlink ref="R11659" r:id="rId23314" location="" tooltip="" display=""/>
    <hyperlink ref="K11661" r:id="rId23315" location="" tooltip="" display=""/>
    <hyperlink ref="L11661" r:id="rId23316" location="" tooltip="" display=""/>
    <hyperlink ref="Q11661" r:id="rId23317" location="" tooltip="" display=""/>
    <hyperlink ref="R11661" r:id="rId23318" location="" tooltip="" display=""/>
    <hyperlink ref="L11662" r:id="rId23319" location="" tooltip="" display=""/>
    <hyperlink ref="R11662" r:id="rId23320" location="" tooltip="" display=""/>
    <hyperlink ref="K11664" r:id="rId23321" location="" tooltip="" display=""/>
    <hyperlink ref="L11664" r:id="rId23322" location="" tooltip="" display=""/>
    <hyperlink ref="Q11664" r:id="rId23323" location="" tooltip="" display=""/>
    <hyperlink ref="R11664" r:id="rId23324" location="" tooltip="" display=""/>
    <hyperlink ref="L11665" r:id="rId23325" location="" tooltip="" display=""/>
    <hyperlink ref="R11665" r:id="rId23326" location="" tooltip="" display=""/>
    <hyperlink ref="K11667" r:id="rId23327" location="" tooltip="" display=""/>
    <hyperlink ref="L11667" r:id="rId23328" location="" tooltip="" display=""/>
    <hyperlink ref="Q11667" r:id="rId23329" location="" tooltip="" display=""/>
    <hyperlink ref="R11667" r:id="rId23330" location="" tooltip="" display=""/>
    <hyperlink ref="L11668" r:id="rId23331" location="" tooltip="" display=""/>
    <hyperlink ref="R11668" r:id="rId23332" location="" tooltip="" display=""/>
    <hyperlink ref="K11670" r:id="rId23333" location="" tooltip="" display=""/>
    <hyperlink ref="L11670" r:id="rId23334" location="" tooltip="" display=""/>
    <hyperlink ref="Q11670" r:id="rId23335" location="" tooltip="" display=""/>
    <hyperlink ref="R11670" r:id="rId23336" location="" tooltip="" display=""/>
    <hyperlink ref="K11672" r:id="rId23337" location="" tooltip="" display=""/>
    <hyperlink ref="L11672" r:id="rId23338" location="" tooltip="" display=""/>
    <hyperlink ref="Q11672" r:id="rId23339" location="" tooltip="" display=""/>
    <hyperlink ref="R11672" r:id="rId23340" location="" tooltip="" display=""/>
    <hyperlink ref="K11674" r:id="rId23341" location="" tooltip="" display=""/>
    <hyperlink ref="L11674" r:id="rId23342" location="" tooltip="" display=""/>
    <hyperlink ref="Q11674" r:id="rId23343" location="" tooltip="" display=""/>
    <hyperlink ref="R11674" r:id="rId23344" location="" tooltip="" display=""/>
    <hyperlink ref="K11676" r:id="rId23345" location="" tooltip="" display=""/>
    <hyperlink ref="L11676" r:id="rId23346" location="" tooltip="" display=""/>
    <hyperlink ref="Q11676" r:id="rId23347" location="" tooltip="" display=""/>
    <hyperlink ref="R11676" r:id="rId23348" location="" tooltip="" display=""/>
    <hyperlink ref="K11678" r:id="rId23349" location="" tooltip="" display=""/>
    <hyperlink ref="L11678" r:id="rId23350" location="" tooltip="" display=""/>
    <hyperlink ref="Q11678" r:id="rId23351" location="" tooltip="" display=""/>
    <hyperlink ref="R11678" r:id="rId23352" location="" tooltip="" display=""/>
    <hyperlink ref="L11679" r:id="rId23353" location="" tooltip="" display=""/>
    <hyperlink ref="R11679" r:id="rId23354" location="" tooltip="" display=""/>
    <hyperlink ref="L11681" r:id="rId23355" location="" tooltip="" display=""/>
    <hyperlink ref="R11681" r:id="rId23356" location="" tooltip="" display=""/>
    <hyperlink ref="K11682" r:id="rId23357" location="" tooltip="" display=""/>
    <hyperlink ref="L11682" r:id="rId23358" location="" tooltip="" display=""/>
    <hyperlink ref="Q11682" r:id="rId23359" location="" tooltip="" display=""/>
    <hyperlink ref="R11682" r:id="rId23360" location="" tooltip="" display=""/>
    <hyperlink ref="L11683" r:id="rId23361" location="" tooltip="" display=""/>
    <hyperlink ref="R11683" r:id="rId23362" location="" tooltip="" display=""/>
    <hyperlink ref="K11685" r:id="rId23363" location="" tooltip="" display=""/>
    <hyperlink ref="L11685" r:id="rId23364" location="" tooltip="" display=""/>
    <hyperlink ref="Q11685" r:id="rId23365" location="" tooltip="" display=""/>
    <hyperlink ref="R11685" r:id="rId23366" location="" tooltip="" display=""/>
    <hyperlink ref="L11686" r:id="rId23367" location="" tooltip="" display=""/>
    <hyperlink ref="R11686" r:id="rId23368" location="" tooltip="" display=""/>
    <hyperlink ref="K11688" r:id="rId23369" location="" tooltip="" display=""/>
    <hyperlink ref="L11688" r:id="rId23370" location="" tooltip="" display=""/>
    <hyperlink ref="Q11688" r:id="rId23371" location="" tooltip="" display=""/>
    <hyperlink ref="R11688" r:id="rId23372" location="" tooltip="" display=""/>
    <hyperlink ref="L11690" r:id="rId23373" location="" tooltip="" display=""/>
    <hyperlink ref="R11690" r:id="rId23374" location="" tooltip="" display=""/>
    <hyperlink ref="K11691" r:id="rId23375" location="" tooltip="" display=""/>
    <hyperlink ref="L11691" r:id="rId23376" location="" tooltip="" display=""/>
    <hyperlink ref="Q11691" r:id="rId23377" location="" tooltip="" display=""/>
    <hyperlink ref="R11691" r:id="rId23378" location="" tooltip="" display=""/>
    <hyperlink ref="L11692" r:id="rId23379" location="" tooltip="" display=""/>
    <hyperlink ref="R11692" r:id="rId23380" location="" tooltip="" display=""/>
    <hyperlink ref="K11694" r:id="rId23381" location="" tooltip="" display=""/>
    <hyperlink ref="L11694" r:id="rId23382" location="" tooltip="" display=""/>
    <hyperlink ref="Q11694" r:id="rId23383" location="" tooltip="" display=""/>
    <hyperlink ref="R11694" r:id="rId23384" location="" tooltip="" display=""/>
    <hyperlink ref="K11696" r:id="rId23385" location="" tooltip="" display=""/>
    <hyperlink ref="L11696" r:id="rId23386" location="" tooltip="" display=""/>
    <hyperlink ref="Q11696" r:id="rId23387" location="" tooltip="" display=""/>
    <hyperlink ref="R11696" r:id="rId23388" location="" tooltip="" display=""/>
    <hyperlink ref="K11698" r:id="rId23389" location="" tooltip="" display=""/>
    <hyperlink ref="L11698" r:id="rId23390" location="" tooltip="" display=""/>
    <hyperlink ref="Q11698" r:id="rId23391" location="" tooltip="" display=""/>
    <hyperlink ref="R11698" r:id="rId23392" location="" tooltip="" display=""/>
    <hyperlink ref="K11700" r:id="rId23393" location="" tooltip="" display=""/>
    <hyperlink ref="L11700" r:id="rId23394" location="" tooltip="" display=""/>
    <hyperlink ref="Q11700" r:id="rId23395" location="" tooltip="" display=""/>
    <hyperlink ref="R11700" r:id="rId23396" location="" tooltip="" display=""/>
    <hyperlink ref="L11701" r:id="rId23397" location="" tooltip="" display=""/>
    <hyperlink ref="R11701" r:id="rId23398" location="" tooltip="" display=""/>
    <hyperlink ref="L11703" r:id="rId23399" location="" tooltip="" display=""/>
    <hyperlink ref="R11703" r:id="rId23400" location="" tooltip="" display=""/>
    <hyperlink ref="L11704" r:id="rId23401" location="" tooltip="" display=""/>
    <hyperlink ref="R11704" r:id="rId23402" location="" tooltip="" display=""/>
    <hyperlink ref="K11705" r:id="rId23403" location="" tooltip="" display=""/>
    <hyperlink ref="L11705" r:id="rId23404" location="" tooltip="" display=""/>
    <hyperlink ref="Q11705" r:id="rId23405" location="" tooltip="" display=""/>
    <hyperlink ref="R11705" r:id="rId23406" location="" tooltip="" display=""/>
    <hyperlink ref="L11706" r:id="rId23407" location="" tooltip="" display=""/>
    <hyperlink ref="R11706" r:id="rId23408" location="" tooltip="" display=""/>
    <hyperlink ref="L11707" r:id="rId23409" location="" tooltip="" display=""/>
    <hyperlink ref="R11707" r:id="rId23410" location="" tooltip="" display=""/>
    <hyperlink ref="L11708" r:id="rId23411" location="" tooltip="" display=""/>
    <hyperlink ref="R11708" r:id="rId23412" location="" tooltip="" display=""/>
    <hyperlink ref="K11710" r:id="rId23413" location="" tooltip="" display=""/>
    <hyperlink ref="L11710" r:id="rId23414" location="" tooltip="" display=""/>
    <hyperlink ref="Q11710" r:id="rId23415" location="" tooltip="" display=""/>
    <hyperlink ref="R11710" r:id="rId23416" location="" tooltip="" display=""/>
    <hyperlink ref="L11712" r:id="rId23417" location="" tooltip="" display=""/>
    <hyperlink ref="R11712" r:id="rId23418" location="" tooltip="" display=""/>
    <hyperlink ref="K11713" r:id="rId23419" location="" tooltip="" display=""/>
    <hyperlink ref="L11713" r:id="rId23420" location="" tooltip="" display=""/>
    <hyperlink ref="Q11713" r:id="rId23421" location="" tooltip="" display=""/>
    <hyperlink ref="R11713" r:id="rId23422" location="" tooltip="" display=""/>
    <hyperlink ref="L11714" r:id="rId23423" location="" tooltip="" display=""/>
    <hyperlink ref="R11714" r:id="rId23424" location="" tooltip="" display=""/>
    <hyperlink ref="K11716" r:id="rId23425" location="" tooltip="" display=""/>
    <hyperlink ref="L11716" r:id="rId23426" location="" tooltip="" display=""/>
    <hyperlink ref="Q11716" r:id="rId23427" location="" tooltip="" display=""/>
    <hyperlink ref="R11716" r:id="rId23428" location="" tooltip="" display=""/>
    <hyperlink ref="L11717" r:id="rId23429" location="" tooltip="" display=""/>
    <hyperlink ref="R11717" r:id="rId23430" location="" tooltip="" display=""/>
    <hyperlink ref="K11719" r:id="rId23431" location="" tooltip="" display=""/>
    <hyperlink ref="L11719" r:id="rId23432" location="" tooltip="" display=""/>
    <hyperlink ref="Q11719" r:id="rId23433" location="" tooltip="" display=""/>
    <hyperlink ref="R11719" r:id="rId23434" location="" tooltip="" display=""/>
    <hyperlink ref="L11720" r:id="rId23435" location="" tooltip="" display=""/>
    <hyperlink ref="R11720" r:id="rId23436" location="" tooltip="" display=""/>
    <hyperlink ref="K11722" r:id="rId23437" location="" tooltip="" display=""/>
    <hyperlink ref="L11722" r:id="rId23438" location="" tooltip="" display=""/>
    <hyperlink ref="Q11722" r:id="rId23439" location="" tooltip="" display=""/>
    <hyperlink ref="R11722" r:id="rId23440" location="" tooltip="" display=""/>
    <hyperlink ref="K11724" r:id="rId23441" location="" tooltip="" display=""/>
    <hyperlink ref="L11724" r:id="rId23442" location="" tooltip="" display=""/>
    <hyperlink ref="Q11724" r:id="rId23443" location="" tooltip="" display=""/>
    <hyperlink ref="R11724" r:id="rId23444" location="" tooltip="" display=""/>
    <hyperlink ref="L11725" r:id="rId23445" location="" tooltip="" display=""/>
    <hyperlink ref="R11725" r:id="rId23446" location="" tooltip="" display=""/>
    <hyperlink ref="L11727" r:id="rId23447" location="" tooltip="" display=""/>
    <hyperlink ref="R11727" r:id="rId23448" location="" tooltip="" display=""/>
    <hyperlink ref="L11728" r:id="rId23449" location="" tooltip="" display=""/>
    <hyperlink ref="R11728" r:id="rId23450" location="" tooltip="" display=""/>
    <hyperlink ref="L11729" r:id="rId23451" location="" tooltip="" display=""/>
    <hyperlink ref="R11729" r:id="rId23452" location="" tooltip="" display=""/>
    <hyperlink ref="K11730" r:id="rId23453" location="" tooltip="" display=""/>
    <hyperlink ref="L11730" r:id="rId23454" location="" tooltip="" display=""/>
    <hyperlink ref="Q11730" r:id="rId23455" location="" tooltip="" display=""/>
    <hyperlink ref="R11730" r:id="rId23456" location="" tooltip="" display=""/>
    <hyperlink ref="L11731" r:id="rId23457" location="" tooltip="" display=""/>
    <hyperlink ref="R11731" r:id="rId23458" location="" tooltip="" display=""/>
    <hyperlink ref="L11732" r:id="rId23459" location="" tooltip="" display=""/>
    <hyperlink ref="R11732" r:id="rId23460" location="" tooltip="" display=""/>
    <hyperlink ref="L11733" r:id="rId23461" location="" tooltip="" display=""/>
    <hyperlink ref="R11733" r:id="rId23462" location="" tooltip="" display=""/>
    <hyperlink ref="K11735" r:id="rId23463" location="" tooltip="" display=""/>
    <hyperlink ref="L11735" r:id="rId23464" location="" tooltip="" display=""/>
    <hyperlink ref="Q11735" r:id="rId23465" location="" tooltip="" display=""/>
    <hyperlink ref="R11735" r:id="rId23466" location="" tooltip="" display=""/>
    <hyperlink ref="K11737" r:id="rId23467" location="" tooltip="" display=""/>
    <hyperlink ref="L11737" r:id="rId23468" location="" tooltip="" display=""/>
    <hyperlink ref="Q11737" r:id="rId23469" location="" tooltip="" display=""/>
    <hyperlink ref="R11737" r:id="rId23470" location="" tooltip="" display=""/>
    <hyperlink ref="L11738" r:id="rId23471" location="" tooltip="" display=""/>
    <hyperlink ref="R11738" r:id="rId23472" location="" tooltip="" display=""/>
    <hyperlink ref="K11740" r:id="rId23473" location="" tooltip="" display=""/>
    <hyperlink ref="L11740" r:id="rId23474" location="" tooltip="" display=""/>
    <hyperlink ref="Q11740" r:id="rId23475" location="" tooltip="" display=""/>
    <hyperlink ref="R11740" r:id="rId23476" location="" tooltip="" display=""/>
    <hyperlink ref="K11742" r:id="rId23477" location="" tooltip="" display=""/>
    <hyperlink ref="L11742" r:id="rId23478" location="" tooltip="" display=""/>
    <hyperlink ref="Q11742" r:id="rId23479" location="" tooltip="" display=""/>
    <hyperlink ref="R11742" r:id="rId23480" location="" tooltip="" display=""/>
    <hyperlink ref="K11744" r:id="rId23481" location="" tooltip="" display=""/>
    <hyperlink ref="L11744" r:id="rId23482" location="" tooltip="" display=""/>
    <hyperlink ref="Q11744" r:id="rId23483" location="" tooltip="" display=""/>
    <hyperlink ref="R11744" r:id="rId23484" location="" tooltip="" display=""/>
    <hyperlink ref="K11746" r:id="rId23485" location="" tooltip="" display=""/>
    <hyperlink ref="L11746" r:id="rId23486" location="" tooltip="" display=""/>
    <hyperlink ref="Q11746" r:id="rId23487" location="" tooltip="" display=""/>
    <hyperlink ref="R11746" r:id="rId23488" location="" tooltip="" display=""/>
    <hyperlink ref="L11748" r:id="rId23489" location="" tooltip="" display=""/>
    <hyperlink ref="R11748" r:id="rId23490" location="" tooltip="" display=""/>
    <hyperlink ref="K11749" r:id="rId23491" location="" tooltip="" display=""/>
    <hyperlink ref="L11749" r:id="rId23492" location="" tooltip="" display=""/>
    <hyperlink ref="Q11749" r:id="rId23493" location="" tooltip="" display=""/>
    <hyperlink ref="R11749" r:id="rId23494" location="" tooltip="" display=""/>
    <hyperlink ref="L11750" r:id="rId23495" location="" tooltip="" display=""/>
    <hyperlink ref="R11750" r:id="rId23496" location="" tooltip="" display=""/>
    <hyperlink ref="L11751" r:id="rId23497" location="" tooltip="" display=""/>
    <hyperlink ref="R11751" r:id="rId23498" location="" tooltip="" display=""/>
    <hyperlink ref="L11753" r:id="rId23499" location="" tooltip="" display=""/>
    <hyperlink ref="R11753" r:id="rId23500" location="" tooltip="" display=""/>
    <hyperlink ref="L11754" r:id="rId23501" location="" tooltip="" display=""/>
    <hyperlink ref="R11754" r:id="rId23502" location="" tooltip="" display=""/>
    <hyperlink ref="K11755" r:id="rId23503" location="" tooltip="" display=""/>
    <hyperlink ref="L11755" r:id="rId23504" location="" tooltip="" display=""/>
    <hyperlink ref="Q11755" r:id="rId23505" location="" tooltip="" display=""/>
    <hyperlink ref="R11755" r:id="rId23506" location="" tooltip="" display=""/>
    <hyperlink ref="L11756" r:id="rId23507" location="" tooltip="" display=""/>
    <hyperlink ref="R11756" r:id="rId23508" location="" tooltip="" display=""/>
    <hyperlink ref="L11757" r:id="rId23509" location="" tooltip="" display=""/>
    <hyperlink ref="R11757" r:id="rId23510" location="" tooltip="" display=""/>
    <hyperlink ref="L11759" r:id="rId23511" location="" tooltip="" display=""/>
    <hyperlink ref="R11759" r:id="rId23512" location="" tooltip="" display=""/>
    <hyperlink ref="K11760" r:id="rId23513" location="" tooltip="" display=""/>
    <hyperlink ref="L11760" r:id="rId23514" location="" tooltip="" display=""/>
    <hyperlink ref="Q11760" r:id="rId23515" location="" tooltip="" display=""/>
    <hyperlink ref="R11760" r:id="rId23516" location="" tooltip="" display=""/>
    <hyperlink ref="L11761" r:id="rId23517" location="" tooltip="" display=""/>
    <hyperlink ref="R11761" r:id="rId23518" location="" tooltip="" display=""/>
    <hyperlink ref="L11762" r:id="rId23519" location="" tooltip="" display=""/>
    <hyperlink ref="R11762" r:id="rId23520" location="" tooltip="" display=""/>
    <hyperlink ref="L11764" r:id="rId23521" location="" tooltip="" display=""/>
    <hyperlink ref="R11764" r:id="rId23522" location="" tooltip="" display=""/>
    <hyperlink ref="K11765" r:id="rId23523" location="" tooltip="" display=""/>
    <hyperlink ref="L11765" r:id="rId23524" location="" tooltip="" display=""/>
    <hyperlink ref="Q11765" r:id="rId23525" location="" tooltip="" display=""/>
    <hyperlink ref="R11765" r:id="rId23526" location="" tooltip="" display=""/>
    <hyperlink ref="L11766" r:id="rId23527" location="" tooltip="" display=""/>
    <hyperlink ref="R11766" r:id="rId23528" location="" tooltip="" display=""/>
    <hyperlink ref="L11767" r:id="rId23529" location="" tooltip="" display=""/>
    <hyperlink ref="R11767" r:id="rId23530" location="" tooltip="" display=""/>
    <hyperlink ref="L11769" r:id="rId23531" location="" tooltip="" display=""/>
    <hyperlink ref="R11769" r:id="rId23532" location="" tooltip="" display=""/>
    <hyperlink ref="K11770" r:id="rId23533" location="" tooltip="" display=""/>
    <hyperlink ref="L11770" r:id="rId23534" location="" tooltip="" display=""/>
    <hyperlink ref="Q11770" r:id="rId23535" location="" tooltip="" display=""/>
    <hyperlink ref="R11770" r:id="rId23536" location="" tooltip="" display=""/>
    <hyperlink ref="L11771" r:id="rId23537" location="" tooltip="" display=""/>
    <hyperlink ref="R11771" r:id="rId23538" location="" tooltip="" display=""/>
    <hyperlink ref="L11772" r:id="rId23539" location="" tooltip="" display=""/>
    <hyperlink ref="R11772" r:id="rId23540" location="" tooltip="" display=""/>
    <hyperlink ref="L11774" r:id="rId23541" location="" tooltip="" display=""/>
    <hyperlink ref="R11774" r:id="rId23542" location="" tooltip="" display=""/>
    <hyperlink ref="L11775" r:id="rId23543" location="" tooltip="" display=""/>
    <hyperlink ref="R11775" r:id="rId23544" location="" tooltip="" display=""/>
    <hyperlink ref="K11776" r:id="rId23545" location="" tooltip="" display=""/>
    <hyperlink ref="L11776" r:id="rId23546" location="" tooltip="" display=""/>
    <hyperlink ref="Q11776" r:id="rId23547" location="" tooltip="" display=""/>
    <hyperlink ref="R11776" r:id="rId23548" location="" tooltip="" display=""/>
    <hyperlink ref="L11777" r:id="rId23549" location="" tooltip="" display=""/>
    <hyperlink ref="R11777" r:id="rId23550" location="" tooltip="" display=""/>
    <hyperlink ref="L11778" r:id="rId23551" location="" tooltip="" display=""/>
    <hyperlink ref="R11778" r:id="rId23552" location="" tooltip="" display=""/>
    <hyperlink ref="L11780" r:id="rId23553" location="" tooltip="" display=""/>
    <hyperlink ref="R11780" r:id="rId23554" location="" tooltip="" display=""/>
    <hyperlink ref="K11781" r:id="rId23555" location="" tooltip="" display=""/>
    <hyperlink ref="L11781" r:id="rId23556" location="" tooltip="" display=""/>
    <hyperlink ref="Q11781" r:id="rId23557" location="" tooltip="" display=""/>
    <hyperlink ref="R11781" r:id="rId23558" location="" tooltip="" display=""/>
    <hyperlink ref="L11782" r:id="rId23559" location="" tooltip="" display=""/>
    <hyperlink ref="R11782" r:id="rId23560" location="" tooltip="" display=""/>
    <hyperlink ref="L11783" r:id="rId23561" location="" tooltip="" display=""/>
    <hyperlink ref="R11783" r:id="rId23562" location="" tooltip="" display=""/>
    <hyperlink ref="L11785" r:id="rId23563" location="" tooltip="" display=""/>
    <hyperlink ref="R11785" r:id="rId23564" location="" tooltip="" display=""/>
    <hyperlink ref="L11786" r:id="rId23565" location="" tooltip="" display=""/>
    <hyperlink ref="R11786" r:id="rId23566" location="" tooltip="" display=""/>
    <hyperlink ref="K11787" r:id="rId23567" location="" tooltip="" display=""/>
    <hyperlink ref="L11787" r:id="rId23568" location="" tooltip="" display=""/>
    <hyperlink ref="Q11787" r:id="rId23569" location="" tooltip="" display=""/>
    <hyperlink ref="R11787" r:id="rId23570" location="" tooltip="" display=""/>
    <hyperlink ref="L11788" r:id="rId23571" location="" tooltip="" display=""/>
    <hyperlink ref="R11788" r:id="rId23572" location="" tooltip="" display=""/>
    <hyperlink ref="L11789" r:id="rId23573" location="" tooltip="" display=""/>
    <hyperlink ref="R11789" r:id="rId23574" location="" tooltip="" display=""/>
    <hyperlink ref="L11790" r:id="rId23575" location="" tooltip="" display=""/>
    <hyperlink ref="R11790" r:id="rId23576" location="" tooltip="" display=""/>
    <hyperlink ref="L11792" r:id="rId23577" location="" tooltip="" display=""/>
    <hyperlink ref="R11792" r:id="rId23578" location="" tooltip="" display=""/>
    <hyperlink ref="K11793" r:id="rId23579" location="" tooltip="" display=""/>
    <hyperlink ref="L11793" r:id="rId23580" location="" tooltip="" display=""/>
    <hyperlink ref="Q11793" r:id="rId23581" location="" tooltip="" display=""/>
    <hyperlink ref="R11793" r:id="rId23582" location="" tooltip="" display=""/>
    <hyperlink ref="L11794" r:id="rId23583" location="" tooltip="" display=""/>
    <hyperlink ref="R11794" r:id="rId23584" location="" tooltip="" display=""/>
    <hyperlink ref="L11795" r:id="rId23585" location="" tooltip="" display=""/>
    <hyperlink ref="R11795" r:id="rId23586" location="" tooltip="" display=""/>
    <hyperlink ref="K11797" r:id="rId23587" location="" tooltip="" display=""/>
    <hyperlink ref="L11797" r:id="rId23588" location="" tooltip="" display=""/>
    <hyperlink ref="Q11797" r:id="rId23589" location="" tooltip="" display=""/>
    <hyperlink ref="R11797" r:id="rId23590" location="" tooltip="" display=""/>
    <hyperlink ref="L11799" r:id="rId23591" location="" tooltip="" display=""/>
    <hyperlink ref="R11799" r:id="rId23592" location="" tooltip="" display=""/>
    <hyperlink ref="L11800" r:id="rId23593" location="" tooltip="" display=""/>
    <hyperlink ref="R11800" r:id="rId23594" location="" tooltip="" display=""/>
    <hyperlink ref="L11801" r:id="rId23595" location="" tooltip="" display=""/>
    <hyperlink ref="R11801" r:id="rId23596" location="" tooltip="" display=""/>
    <hyperlink ref="K11802" r:id="rId23597" location="" tooltip="" display=""/>
    <hyperlink ref="L11802" r:id="rId23598" location="" tooltip="" display=""/>
    <hyperlink ref="Q11802" r:id="rId23599" location="" tooltip="" display=""/>
    <hyperlink ref="R11802" r:id="rId23600" location="" tooltip="" display=""/>
    <hyperlink ref="L11803" r:id="rId23601" location="" tooltip="" display=""/>
    <hyperlink ref="R11803" r:id="rId23602" location="" tooltip="" display=""/>
    <hyperlink ref="L11804" r:id="rId23603" location="" tooltip="" display=""/>
    <hyperlink ref="R11804" r:id="rId23604" location="" tooltip="" display=""/>
    <hyperlink ref="L11805" r:id="rId23605" location="" tooltip="" display=""/>
    <hyperlink ref="R11805" r:id="rId23606" location="" tooltip="" display=""/>
    <hyperlink ref="L11806" r:id="rId23607" location="" tooltip="" display=""/>
    <hyperlink ref="R11806" r:id="rId23608" location="" tooltip="" display=""/>
    <hyperlink ref="K11808" r:id="rId23609" location="" tooltip="" display=""/>
    <hyperlink ref="L11808" r:id="rId23610" location="" tooltip="" display=""/>
    <hyperlink ref="Q11808" r:id="rId23611" location="" tooltip="" display=""/>
    <hyperlink ref="R11808" r:id="rId23612" location="" tooltip="" display=""/>
    <hyperlink ref="L11810" r:id="rId23613" location="" tooltip="" display=""/>
    <hyperlink ref="R11810" r:id="rId23614" location="" tooltip="" display=""/>
    <hyperlink ref="K11811" r:id="rId23615" location="" tooltip="" display=""/>
    <hyperlink ref="L11811" r:id="rId23616" location="" tooltip="" display=""/>
    <hyperlink ref="Q11811" r:id="rId23617" location="" tooltip="" display=""/>
    <hyperlink ref="R11811" r:id="rId23618" location="" tooltip="" display=""/>
    <hyperlink ref="L11812" r:id="rId23619" location="" tooltip="" display=""/>
    <hyperlink ref="R11812" r:id="rId23620" location="" tooltip="" display=""/>
    <hyperlink ref="L11813" r:id="rId23621" location="" tooltip="" display=""/>
    <hyperlink ref="R11813" r:id="rId23622" location="" tooltip="" display=""/>
    <hyperlink ref="L11815" r:id="rId23623" location="" tooltip="" display=""/>
    <hyperlink ref="R11815" r:id="rId23624" location="" tooltip="" display=""/>
    <hyperlink ref="K11816" r:id="rId23625" location="" tooltip="" display=""/>
    <hyperlink ref="L11816" r:id="rId23626" location="" tooltip="" display=""/>
    <hyperlink ref="Q11816" r:id="rId23627" location="" tooltip="" display=""/>
    <hyperlink ref="R11816" r:id="rId23628" location="" tooltip="" display=""/>
    <hyperlink ref="L11817" r:id="rId23629" location="" tooltip="" display=""/>
    <hyperlink ref="R11817" r:id="rId23630" location="" tooltip="" display=""/>
    <hyperlink ref="L11819" r:id="rId23631" location="" tooltip="" display=""/>
    <hyperlink ref="R11819" r:id="rId23632" location="" tooltip="" display=""/>
    <hyperlink ref="K11820" r:id="rId23633" location="" tooltip="" display=""/>
    <hyperlink ref="L11820" r:id="rId23634" location="" tooltip="" display=""/>
    <hyperlink ref="Q11820" r:id="rId23635" location="" tooltip="" display=""/>
    <hyperlink ref="R11820" r:id="rId23636" location="" tooltip="" display=""/>
    <hyperlink ref="L11821" r:id="rId23637" location="" tooltip="" display=""/>
    <hyperlink ref="R11821" r:id="rId23638" location="" tooltip="" display=""/>
    <hyperlink ref="L11822" r:id="rId23639" location="" tooltip="" display=""/>
    <hyperlink ref="R11822" r:id="rId23640" location="" tooltip="" display=""/>
    <hyperlink ref="L11824" r:id="rId23641" location="" tooltip="" display=""/>
    <hyperlink ref="R11824" r:id="rId23642" location="" tooltip="" display=""/>
    <hyperlink ref="K11825" r:id="rId23643" location="" tooltip="" display=""/>
    <hyperlink ref="L11825" r:id="rId23644" location="" tooltip="" display=""/>
    <hyperlink ref="Q11825" r:id="rId23645" location="" tooltip="" display=""/>
    <hyperlink ref="R11825" r:id="rId23646" location="" tooltip="" display=""/>
    <hyperlink ref="L11826" r:id="rId23647" location="" tooltip="" display=""/>
    <hyperlink ref="R11826" r:id="rId23648" location="" tooltip="" display=""/>
    <hyperlink ref="L11827" r:id="rId23649" location="" tooltip="" display=""/>
    <hyperlink ref="R11827" r:id="rId23650" location="" tooltip="" display=""/>
    <hyperlink ref="L11829" r:id="rId23651" location="" tooltip="" display=""/>
    <hyperlink ref="R11829" r:id="rId23652" location="" tooltip="" display=""/>
    <hyperlink ref="K11830" r:id="rId23653" location="" tooltip="" display=""/>
    <hyperlink ref="L11830" r:id="rId23654" location="" tooltip="" display=""/>
    <hyperlink ref="Q11830" r:id="rId23655" location="" tooltip="" display=""/>
    <hyperlink ref="R11830" r:id="rId23656" location="" tooltip="" display=""/>
    <hyperlink ref="L11831" r:id="rId23657" location="" tooltip="" display=""/>
    <hyperlink ref="R11831" r:id="rId23658" location="" tooltip="" display=""/>
    <hyperlink ref="K11833" r:id="rId23659" location="" tooltip="" display=""/>
    <hyperlink ref="L11833" r:id="rId23660" location="" tooltip="" display=""/>
    <hyperlink ref="Q11833" r:id="rId23661" location="" tooltip="" display=""/>
    <hyperlink ref="R11833" r:id="rId23662" location="" tooltip="" display=""/>
    <hyperlink ref="K11835" r:id="rId23663" location="" tooltip="" display=""/>
    <hyperlink ref="L11835" r:id="rId23664" location="" tooltip="" display=""/>
    <hyperlink ref="Q11835" r:id="rId23665" location="" tooltip="" display=""/>
    <hyperlink ref="R11835" r:id="rId23666" location="" tooltip="" display=""/>
    <hyperlink ref="L11836" r:id="rId23667" location="" tooltip="" display=""/>
    <hyperlink ref="R11836" r:id="rId23668" location="" tooltip="" display=""/>
    <hyperlink ref="L11838" r:id="rId23669" location="" tooltip="" display=""/>
    <hyperlink ref="R11838" r:id="rId23670" location="" tooltip="" display=""/>
    <hyperlink ref="L11839" r:id="rId23671" location="" tooltip="" display=""/>
    <hyperlink ref="R11839" r:id="rId23672" location="" tooltip="" display=""/>
    <hyperlink ref="K11840" r:id="rId23673" location="" tooltip="" display=""/>
    <hyperlink ref="L11840" r:id="rId23674" location="" tooltip="" display=""/>
    <hyperlink ref="Q11840" r:id="rId23675" location="" tooltip="" display=""/>
    <hyperlink ref="R11840" r:id="rId23676" location="" tooltip="" display=""/>
    <hyperlink ref="L11841" r:id="rId23677" location="" tooltip="" display=""/>
    <hyperlink ref="R11841" r:id="rId23678" location="" tooltip="" display=""/>
    <hyperlink ref="L11842" r:id="rId23679" location="" tooltip="" display=""/>
    <hyperlink ref="R11842" r:id="rId23680" location="" tooltip="" display=""/>
    <hyperlink ref="L11843" r:id="rId23681" location="" tooltip="" display=""/>
    <hyperlink ref="R11843" r:id="rId23682" location="" tooltip="" display=""/>
    <hyperlink ref="L11845" r:id="rId23683" location="" tooltip="" display=""/>
    <hyperlink ref="R11845" r:id="rId23684" location="" tooltip="" display=""/>
    <hyperlink ref="L11846" r:id="rId23685" location="" tooltip="" display=""/>
    <hyperlink ref="R11846" r:id="rId23686" location="" tooltip="" display=""/>
    <hyperlink ref="K11847" r:id="rId23687" location="" tooltip="" display=""/>
    <hyperlink ref="L11847" r:id="rId23688" location="" tooltip="" display=""/>
    <hyperlink ref="Q11847" r:id="rId23689" location="" tooltip="" display=""/>
    <hyperlink ref="R11847" r:id="rId23690" location="" tooltip="" display=""/>
    <hyperlink ref="L11848" r:id="rId23691" location="" tooltip="" display=""/>
    <hyperlink ref="R11848" r:id="rId23692" location="" tooltip="" display=""/>
    <hyperlink ref="L11849" r:id="rId23693" location="" tooltip="" display=""/>
    <hyperlink ref="R11849" r:id="rId23694" location="" tooltip="" display=""/>
    <hyperlink ref="L11850" r:id="rId23695" location="" tooltip="" display=""/>
    <hyperlink ref="R11850" r:id="rId23696" location="" tooltip="" display=""/>
    <hyperlink ref="K11852" r:id="rId23697" location="" tooltip="" display=""/>
    <hyperlink ref="L11852" r:id="rId23698" location="" tooltip="" display=""/>
    <hyperlink ref="Q11852" r:id="rId23699" location="" tooltip="" display=""/>
    <hyperlink ref="R11852" r:id="rId23700" location="" tooltip="" display=""/>
    <hyperlink ref="L11854" r:id="rId23701" location="" tooltip="" display=""/>
    <hyperlink ref="R11854" r:id="rId23702" location="" tooltip="" display=""/>
    <hyperlink ref="K11855" r:id="rId23703" location="" tooltip="" display=""/>
    <hyperlink ref="L11855" r:id="rId23704" location="" tooltip="" display=""/>
    <hyperlink ref="Q11855" r:id="rId23705" location="" tooltip="" display=""/>
    <hyperlink ref="R11855" r:id="rId23706" location="" tooltip="" display=""/>
    <hyperlink ref="L11856" r:id="rId23707" location="" tooltip="" display=""/>
    <hyperlink ref="R11856" r:id="rId23708" location="" tooltip="" display=""/>
    <hyperlink ref="L11857" r:id="rId23709" location="" tooltip="" display=""/>
    <hyperlink ref="R11857" r:id="rId23710" location="" tooltip="" display=""/>
    <hyperlink ref="K11859" r:id="rId23711" location="" tooltip="" display=""/>
    <hyperlink ref="L11859" r:id="rId23712" location="" tooltip="" display=""/>
    <hyperlink ref="Q11859" r:id="rId23713" location="" tooltip="" display=""/>
    <hyperlink ref="R11859" r:id="rId23714" location="" tooltip="" display=""/>
    <hyperlink ref="K11861" r:id="rId23715" location="" tooltip="" display=""/>
    <hyperlink ref="L11861" r:id="rId23716" location="" tooltip="" display=""/>
    <hyperlink ref="Q11861" r:id="rId23717" location="" tooltip="" display=""/>
    <hyperlink ref="R11861" r:id="rId23718" location="" tooltip="" display=""/>
    <hyperlink ref="L11863" r:id="rId23719" location="" tooltip="" display=""/>
    <hyperlink ref="R11863" r:id="rId23720" location="" tooltip="" display=""/>
    <hyperlink ref="K11864" r:id="rId23721" location="" tooltip="" display=""/>
    <hyperlink ref="L11864" r:id="rId23722" location="" tooltip="" display=""/>
    <hyperlink ref="Q11864" r:id="rId23723" location="" tooltip="" display=""/>
    <hyperlink ref="R11864" r:id="rId23724" location="" tooltip="" display=""/>
    <hyperlink ref="L11865" r:id="rId23725" location="" tooltip="" display=""/>
    <hyperlink ref="R11865" r:id="rId23726" location="" tooltip="" display=""/>
    <hyperlink ref="L11866" r:id="rId23727" location="" tooltip="" display=""/>
    <hyperlink ref="R11866" r:id="rId23728" location="" tooltip="" display=""/>
    <hyperlink ref="L11868" r:id="rId23729" location="" tooltip="" display=""/>
    <hyperlink ref="R11868" r:id="rId23730" location="" tooltip="" display=""/>
    <hyperlink ref="K11869" r:id="rId23731" location="" tooltip="" display=""/>
    <hyperlink ref="L11869" r:id="rId23732" location="" tooltip="" display=""/>
    <hyperlink ref="Q11869" r:id="rId23733" location="" tooltip="" display=""/>
    <hyperlink ref="R11869" r:id="rId23734" location="" tooltip="" display=""/>
    <hyperlink ref="L11870" r:id="rId23735" location="" tooltip="" display=""/>
    <hyperlink ref="R11870" r:id="rId23736" location="" tooltip="" display=""/>
    <hyperlink ref="L11872" r:id="rId23737" location="" tooltip="" display=""/>
    <hyperlink ref="R11872" r:id="rId23738" location="" tooltip="" display=""/>
    <hyperlink ref="K11873" r:id="rId23739" location="" tooltip="" display=""/>
    <hyperlink ref="L11873" r:id="rId23740" location="" tooltip="" display=""/>
    <hyperlink ref="Q11873" r:id="rId23741" location="" tooltip="" display=""/>
    <hyperlink ref="R11873" r:id="rId23742" location="" tooltip="" display=""/>
    <hyperlink ref="L11874" r:id="rId23743" location="" tooltip="" display=""/>
    <hyperlink ref="R11874" r:id="rId23744" location="" tooltip="" display=""/>
    <hyperlink ref="L11875" r:id="rId23745" location="" tooltip="" display=""/>
    <hyperlink ref="R11875" r:id="rId23746" location="" tooltip="" display=""/>
    <hyperlink ref="K11877" r:id="rId23747" location="" tooltip="" display=""/>
    <hyperlink ref="L11877" r:id="rId23748" location="" tooltip="" display=""/>
    <hyperlink ref="Q11877" r:id="rId23749" location="" tooltip="" display=""/>
    <hyperlink ref="R11877" r:id="rId23750" location="" tooltip="" display=""/>
    <hyperlink ref="L11879" r:id="rId23751" location="" tooltip="" display=""/>
    <hyperlink ref="R11879" r:id="rId23752" location="" tooltip="" display=""/>
    <hyperlink ref="K11880" r:id="rId23753" location="" tooltip="" display=""/>
    <hyperlink ref="L11880" r:id="rId23754" location="" tooltip="" display=""/>
    <hyperlink ref="Q11880" r:id="rId23755" location="" tooltip="" display=""/>
    <hyperlink ref="R11880" r:id="rId23756" location="" tooltip="" display=""/>
    <hyperlink ref="L11881" r:id="rId23757" location="" tooltip="" display=""/>
    <hyperlink ref="R11881" r:id="rId23758" location="" tooltip="" display=""/>
    <hyperlink ref="L11882" r:id="rId23759" location="" tooltip="" display=""/>
    <hyperlink ref="R11882" r:id="rId23760" location="" tooltip="" display=""/>
    <hyperlink ref="L11884" r:id="rId23761" location="" tooltip="" display=""/>
    <hyperlink ref="R11884" r:id="rId23762" location="" tooltip="" display=""/>
    <hyperlink ref="L11885" r:id="rId23763" location="" tooltip="" display=""/>
    <hyperlink ref="R11885" r:id="rId23764" location="" tooltip="" display=""/>
    <hyperlink ref="K11886" r:id="rId23765" location="" tooltip="" display=""/>
    <hyperlink ref="L11886" r:id="rId23766" location="" tooltip="" display=""/>
    <hyperlink ref="Q11886" r:id="rId23767" location="" tooltip="" display=""/>
    <hyperlink ref="R11886" r:id="rId23768" location="" tooltip="" display=""/>
    <hyperlink ref="L11887" r:id="rId23769" location="" tooltip="" display=""/>
    <hyperlink ref="R11887" r:id="rId23770" location="" tooltip="" display=""/>
    <hyperlink ref="L11888" r:id="rId23771" location="" tooltip="" display=""/>
    <hyperlink ref="R11888" r:id="rId23772" location="" tooltip="" display=""/>
    <hyperlink ref="L11889" r:id="rId23773" location="" tooltip="" display=""/>
    <hyperlink ref="R11889" r:id="rId23774" location="" tooltip="" display=""/>
    <hyperlink ref="L11891" r:id="rId23775" location="" tooltip="" display=""/>
    <hyperlink ref="R11891" r:id="rId23776" location="" tooltip="" display=""/>
    <hyperlink ref="K11892" r:id="rId23777" location="" tooltip="" display=""/>
    <hyperlink ref="L11892" r:id="rId23778" location="" tooltip="" display=""/>
    <hyperlink ref="Q11892" r:id="rId23779" location="" tooltip="" display=""/>
    <hyperlink ref="R11892" r:id="rId23780" location="" tooltip="" display=""/>
    <hyperlink ref="L11893" r:id="rId23781" location="" tooltip="" display=""/>
    <hyperlink ref="R11893" r:id="rId23782" location="" tooltip="" display=""/>
    <hyperlink ref="L11895" r:id="rId23783" location="" tooltip="" display=""/>
    <hyperlink ref="R11895" r:id="rId23784" location="" tooltip="" display=""/>
    <hyperlink ref="K11896" r:id="rId23785" location="" tooltip="" display=""/>
    <hyperlink ref="L11896" r:id="rId23786" location="" tooltip="" display=""/>
    <hyperlink ref="Q11896" r:id="rId23787" location="" tooltip="" display=""/>
    <hyperlink ref="R11896" r:id="rId23788" location="" tooltip="" display=""/>
    <hyperlink ref="L11897" r:id="rId23789" location="" tooltip="" display=""/>
    <hyperlink ref="R11897" r:id="rId23790" location="" tooltip="" display=""/>
    <hyperlink ref="L11898" r:id="rId23791" location="" tooltip="" display=""/>
    <hyperlink ref="R11898" r:id="rId23792" location="" tooltip="" display=""/>
    <hyperlink ref="L11900" r:id="rId23793" location="" tooltip="" display=""/>
    <hyperlink ref="R11900" r:id="rId23794" location="" tooltip="" display=""/>
    <hyperlink ref="K11901" r:id="rId23795" location="" tooltip="" display=""/>
    <hyperlink ref="L11901" r:id="rId23796" location="" tooltip="" display=""/>
    <hyperlink ref="Q11901" r:id="rId23797" location="" tooltip="" display=""/>
    <hyperlink ref="R11901" r:id="rId23798" location="" tooltip="" display=""/>
    <hyperlink ref="L11902" r:id="rId23799" location="" tooltip="" display=""/>
    <hyperlink ref="R11902" r:id="rId23800" location="" tooltip="" display=""/>
    <hyperlink ref="K11904" r:id="rId23801" location="" tooltip="" display=""/>
    <hyperlink ref="L11904" r:id="rId23802" location="" tooltip="" display=""/>
    <hyperlink ref="Q11904" r:id="rId23803" location="" tooltip="" display=""/>
    <hyperlink ref="R11904" r:id="rId23804" location="" tooltip="" display=""/>
    <hyperlink ref="K11906" r:id="rId23805" location="" tooltip="" display=""/>
    <hyperlink ref="L11906" r:id="rId23806" location="" tooltip="" display=""/>
    <hyperlink ref="Q11906" r:id="rId23807" location="" tooltip="" display=""/>
    <hyperlink ref="R11906" r:id="rId23808" location="" tooltip="" display=""/>
    <hyperlink ref="L11907" r:id="rId23809" location="" tooltip="" display=""/>
    <hyperlink ref="R11907" r:id="rId23810" location="" tooltip="" display=""/>
    <hyperlink ref="K11909" r:id="rId23811" location="" tooltip="" display=""/>
    <hyperlink ref="L11909" r:id="rId23812" location="" tooltip="" display=""/>
    <hyperlink ref="Q11909" r:id="rId23813" location="" tooltip="" display=""/>
    <hyperlink ref="R11909" r:id="rId23814" location="" tooltip="" display=""/>
    <hyperlink ref="K11911" r:id="rId23815" location="" tooltip="" display=""/>
    <hyperlink ref="L11911" r:id="rId23816" location="" tooltip="" display=""/>
    <hyperlink ref="Q11911" r:id="rId23817" location="" tooltip="" display=""/>
    <hyperlink ref="R11911" r:id="rId23818" location="" tooltip="" display=""/>
    <hyperlink ref="K11913" r:id="rId23819" location="" tooltip="" display=""/>
    <hyperlink ref="L11913" r:id="rId23820" location="" tooltip="" display=""/>
    <hyperlink ref="Q11913" r:id="rId23821" location="" tooltip="" display=""/>
    <hyperlink ref="R11913" r:id="rId23822" location="" tooltip="" display=""/>
    <hyperlink ref="K11915" r:id="rId23823" location="" tooltip="" display=""/>
    <hyperlink ref="L11915" r:id="rId23824" location="" tooltip="" display=""/>
    <hyperlink ref="Q11915" r:id="rId23825" location="" tooltip="" display=""/>
    <hyperlink ref="R11915" r:id="rId23826" location="" tooltip="" display=""/>
    <hyperlink ref="L11916" r:id="rId23827" location="" tooltip="" display=""/>
    <hyperlink ref="R11916" r:id="rId23828" location="" tooltip="" display=""/>
    <hyperlink ref="L11918" r:id="rId23829" location="" tooltip="" display=""/>
    <hyperlink ref="R11918" r:id="rId23830" location="" tooltip="" display=""/>
    <hyperlink ref="K11919" r:id="rId23831" location="" tooltip="" display=""/>
    <hyperlink ref="L11919" r:id="rId23832" location="" tooltip="" display=""/>
    <hyperlink ref="Q11919" r:id="rId23833" location="" tooltip="" display=""/>
    <hyperlink ref="R11919" r:id="rId23834" location="" tooltip="" display=""/>
    <hyperlink ref="L11920" r:id="rId23835" location="" tooltip="" display=""/>
    <hyperlink ref="R11920" r:id="rId23836" location="" tooltip="" display=""/>
    <hyperlink ref="K11922" r:id="rId23837" location="" tooltip="" display=""/>
    <hyperlink ref="L11922" r:id="rId23838" location="" tooltip="" display=""/>
    <hyperlink ref="Q11922" r:id="rId23839" location="" tooltip="" display=""/>
    <hyperlink ref="R11922" r:id="rId23840" location="" tooltip="" display=""/>
    <hyperlink ref="L11924" r:id="rId23841" location="" tooltip="" display=""/>
    <hyperlink ref="R11924" r:id="rId23842" location="" tooltip="" display=""/>
    <hyperlink ref="L11925" r:id="rId23843" location="" tooltip="" display=""/>
    <hyperlink ref="R11925" r:id="rId23844" location="" tooltip="" display=""/>
    <hyperlink ref="K11926" r:id="rId23845" location="" tooltip="" display=""/>
    <hyperlink ref="L11926" r:id="rId23846" location="" tooltip="" display=""/>
    <hyperlink ref="Q11926" r:id="rId23847" location="" tooltip="" display=""/>
    <hyperlink ref="R11926" r:id="rId23848" location="" tooltip="" display=""/>
    <hyperlink ref="L11927" r:id="rId23849" location="" tooltip="" display=""/>
    <hyperlink ref="R11927" r:id="rId23850" location="" tooltip="" display=""/>
    <hyperlink ref="L11928" r:id="rId23851" location="" tooltip="" display=""/>
    <hyperlink ref="R11928" r:id="rId23852" location="" tooltip="" display=""/>
    <hyperlink ref="L11929" r:id="rId23853" location="" tooltip="" display=""/>
    <hyperlink ref="R11929" r:id="rId23854" location="" tooltip="" display=""/>
    <hyperlink ref="K11931" r:id="rId23855" location="" tooltip="" display=""/>
    <hyperlink ref="L11931" r:id="rId23856" location="" tooltip="" display=""/>
    <hyperlink ref="Q11931" r:id="rId23857" location="" tooltip="" display=""/>
    <hyperlink ref="R11931" r:id="rId23858" location="" tooltip="" display=""/>
    <hyperlink ref="L11933" r:id="rId23859" location="" tooltip="" display=""/>
    <hyperlink ref="R11933" r:id="rId23860" location="" tooltip="" display=""/>
    <hyperlink ref="K11934" r:id="rId23861" location="" tooltip="" display=""/>
    <hyperlink ref="L11934" r:id="rId23862" location="" tooltip="" display=""/>
    <hyperlink ref="Q11934" r:id="rId23863" location="" tooltip="" display=""/>
    <hyperlink ref="R11934" r:id="rId23864" location="" tooltip="" display=""/>
    <hyperlink ref="L11935" r:id="rId23865" location="" tooltip="" display=""/>
    <hyperlink ref="R11935" r:id="rId23866" location="" tooltip="" display=""/>
    <hyperlink ref="L11936" r:id="rId23867" location="" tooltip="" display=""/>
    <hyperlink ref="R11936" r:id="rId23868" location="" tooltip="" display=""/>
    <hyperlink ref="K11938" r:id="rId23869" location="" tooltip="" display=""/>
    <hyperlink ref="L11938" r:id="rId23870" location="" tooltip="" display=""/>
    <hyperlink ref="Q11938" r:id="rId23871" location="" tooltip="" display=""/>
    <hyperlink ref="R11938" r:id="rId23872" location="" tooltip="" display=""/>
    <hyperlink ref="L11939" r:id="rId23873" location="" tooltip="" display=""/>
    <hyperlink ref="R11939" r:id="rId23874" location="" tooltip="" display=""/>
    <hyperlink ref="K11941" r:id="rId23875" location="" tooltip="" display=""/>
    <hyperlink ref="L11941" r:id="rId23876" location="" tooltip="" display=""/>
    <hyperlink ref="Q11941" r:id="rId23877" location="" tooltip="" display=""/>
    <hyperlink ref="R11941" r:id="rId23878" location="" tooltip="" display=""/>
    <hyperlink ref="K11943" r:id="rId23879" location="" tooltip="" display=""/>
    <hyperlink ref="L11943" r:id="rId23880" location="" tooltip="" display=""/>
    <hyperlink ref="Q11943" r:id="rId23881" location="" tooltip="" display=""/>
    <hyperlink ref="R11943" r:id="rId23882" location="" tooltip="" display=""/>
    <hyperlink ref="L11944" r:id="rId23883" location="" tooltip="" display=""/>
    <hyperlink ref="R11944" r:id="rId23884" location="" tooltip="" display=""/>
    <hyperlink ref="K11946" r:id="rId23885" location="" tooltip="" display=""/>
    <hyperlink ref="L11946" r:id="rId23886" location="" tooltip="" display=""/>
    <hyperlink ref="Q11946" r:id="rId23887" location="" tooltip="" display=""/>
    <hyperlink ref="R11946" r:id="rId23888" location="" tooltip="" display=""/>
    <hyperlink ref="L11948" r:id="rId23889" location="" tooltip="" display=""/>
    <hyperlink ref="R11948" r:id="rId23890" location="" tooltip="" display=""/>
    <hyperlink ref="K11949" r:id="rId23891" location="" tooltip="" display=""/>
    <hyperlink ref="L11949" r:id="rId23892" location="" tooltip="" display=""/>
    <hyperlink ref="Q11949" r:id="rId23893" location="" tooltip="" display=""/>
    <hyperlink ref="R11949" r:id="rId23894" location="" tooltip="" display=""/>
    <hyperlink ref="L11950" r:id="rId23895" location="" tooltip="" display=""/>
    <hyperlink ref="R11950" r:id="rId23896" location="" tooltip="" display=""/>
    <hyperlink ref="L11952" r:id="rId23897" location="" tooltip="" display=""/>
    <hyperlink ref="R11952" r:id="rId23898" location="" tooltip="" display=""/>
    <hyperlink ref="L11953" r:id="rId23899" location="" tooltip="" display=""/>
    <hyperlink ref="R11953" r:id="rId23900" location="" tooltip="" display=""/>
    <hyperlink ref="K11954" r:id="rId23901" location="" tooltip="" display=""/>
    <hyperlink ref="L11954" r:id="rId23902" location="" tooltip="" display=""/>
    <hyperlink ref="Q11954" r:id="rId23903" location="" tooltip="" display=""/>
    <hyperlink ref="R11954" r:id="rId23904" location="" tooltip="" display=""/>
    <hyperlink ref="L11955" r:id="rId23905" location="" tooltip="" display=""/>
    <hyperlink ref="R11955" r:id="rId23906" location="" tooltip="" display=""/>
    <hyperlink ref="L11956" r:id="rId23907" location="" tooltip="" display=""/>
    <hyperlink ref="R11956" r:id="rId23908" location="" tooltip="" display=""/>
    <hyperlink ref="L11957" r:id="rId23909" location="" tooltip="" display=""/>
    <hyperlink ref="R11957" r:id="rId23910" location="" tooltip="" display=""/>
    <hyperlink ref="K11959" r:id="rId23911" location="" tooltip="" display=""/>
    <hyperlink ref="L11959" r:id="rId23912" location="" tooltip="" display=""/>
    <hyperlink ref="Q11959" r:id="rId23913" location="" tooltip="" display=""/>
    <hyperlink ref="R11959" r:id="rId23914" location="" tooltip="" display=""/>
    <hyperlink ref="L11960" r:id="rId23915" location="" tooltip="" display=""/>
    <hyperlink ref="R11960" r:id="rId23916" location="" tooltip="" display=""/>
    <hyperlink ref="L11962" r:id="rId23917" location="" tooltip="" display=""/>
    <hyperlink ref="R11962" r:id="rId23918" location="" tooltip="" display=""/>
    <hyperlink ref="K11963" r:id="rId23919" location="" tooltip="" display=""/>
    <hyperlink ref="L11963" r:id="rId23920" location="" tooltip="" display=""/>
    <hyperlink ref="Q11963" r:id="rId23921" location="" tooltip="" display=""/>
    <hyperlink ref="R11963" r:id="rId23922" location="" tooltip="" display=""/>
    <hyperlink ref="L11964" r:id="rId23923" location="" tooltip="" display=""/>
    <hyperlink ref="R11964" r:id="rId23924" location="" tooltip="" display=""/>
    <hyperlink ref="L11965" r:id="rId23925" location="" tooltip="" display=""/>
    <hyperlink ref="R11965" r:id="rId23926" location="" tooltip="" display=""/>
    <hyperlink ref="L11967" r:id="rId23927" location="" tooltip="" display=""/>
    <hyperlink ref="R11967" r:id="rId23928" location="" tooltip="" display=""/>
    <hyperlink ref="K11968" r:id="rId23929" location="" tooltip="" display=""/>
    <hyperlink ref="L11968" r:id="rId23930" location="" tooltip="" display=""/>
    <hyperlink ref="Q11968" r:id="rId23931" location="" tooltip="" display=""/>
    <hyperlink ref="R11968" r:id="rId23932" location="" tooltip="" display=""/>
    <hyperlink ref="L11969" r:id="rId23933" location="" tooltip="" display=""/>
    <hyperlink ref="R11969" r:id="rId23934" location="" tooltip="" display=""/>
    <hyperlink ref="L11970" r:id="rId23935" location="" tooltip="" display=""/>
    <hyperlink ref="R11970" r:id="rId23936" location="" tooltip="" display=""/>
    <hyperlink ref="L11972" r:id="rId23937" location="" tooltip="" display=""/>
    <hyperlink ref="R11972" r:id="rId23938" location="" tooltip="" display=""/>
    <hyperlink ref="K11973" r:id="rId23939" location="" tooltip="" display=""/>
    <hyperlink ref="L11973" r:id="rId23940" location="" tooltip="" display=""/>
    <hyperlink ref="Q11973" r:id="rId23941" location="" tooltip="" display=""/>
    <hyperlink ref="R11973" r:id="rId23942" location="" tooltip="" display=""/>
    <hyperlink ref="L11974" r:id="rId23943" location="" tooltip="" display=""/>
    <hyperlink ref="R11974" r:id="rId23944" location="" tooltip="" display=""/>
    <hyperlink ref="K11976" r:id="rId23945" location="" tooltip="" display=""/>
    <hyperlink ref="L11976" r:id="rId23946" location="" tooltip="" display=""/>
    <hyperlink ref="Q11976" r:id="rId23947" location="" tooltip="" display=""/>
    <hyperlink ref="R11976" r:id="rId23948" location="" tooltip="" display=""/>
    <hyperlink ref="L11977" r:id="rId23949" location="" tooltip="" display=""/>
    <hyperlink ref="R11977" r:id="rId23950" location="" tooltip="" display=""/>
    <hyperlink ref="L11979" r:id="rId23951" location="" tooltip="" display=""/>
    <hyperlink ref="R11979" r:id="rId23952" location="" tooltip="" display=""/>
    <hyperlink ref="K11980" r:id="rId23953" location="" tooltip="" display=""/>
    <hyperlink ref="L11980" r:id="rId23954" location="" tooltip="" display=""/>
    <hyperlink ref="Q11980" r:id="rId23955" location="" tooltip="" display=""/>
    <hyperlink ref="R11980" r:id="rId23956" location="" tooltip="" display=""/>
    <hyperlink ref="L11981" r:id="rId23957" location="" tooltip="" display=""/>
    <hyperlink ref="R11981" r:id="rId23958" location="" tooltip="" display=""/>
    <hyperlink ref="L11982" r:id="rId23959" location="" tooltip="" display=""/>
    <hyperlink ref="R11982" r:id="rId23960" location="" tooltip="" display=""/>
    <hyperlink ref="L11984" r:id="rId23961" location="" tooltip="" display=""/>
    <hyperlink ref="R11984" r:id="rId23962" location="" tooltip="" display=""/>
    <hyperlink ref="K11985" r:id="rId23963" location="" tooltip="" display=""/>
    <hyperlink ref="L11985" r:id="rId23964" location="" tooltip="" display=""/>
    <hyperlink ref="Q11985" r:id="rId23965" location="" tooltip="" display=""/>
    <hyperlink ref="R11985" r:id="rId23966" location="" tooltip="" display=""/>
    <hyperlink ref="L11986" r:id="rId23967" location="" tooltip="" display=""/>
    <hyperlink ref="R11986" r:id="rId23968" location="" tooltip="" display=""/>
    <hyperlink ref="L11987" r:id="rId23969" location="" tooltip="" display=""/>
    <hyperlink ref="R11987" r:id="rId23970" location="" tooltip="" display=""/>
    <hyperlink ref="K11989" r:id="rId23971" location="" tooltip="" display=""/>
    <hyperlink ref="L11989" r:id="rId23972" location="" tooltip="" display=""/>
    <hyperlink ref="Q11989" r:id="rId23973" location="" tooltip="" display=""/>
    <hyperlink ref="R11989" r:id="rId23974" location="" tooltip="" display=""/>
    <hyperlink ref="L11990" r:id="rId23975" location="" tooltip="" display=""/>
    <hyperlink ref="R11990" r:id="rId23976" location="" tooltip="" display=""/>
    <hyperlink ref="K11992" r:id="rId23977" location="" tooltip="" display=""/>
    <hyperlink ref="L11992" r:id="rId23978" location="" tooltip="" display=""/>
    <hyperlink ref="Q11992" r:id="rId23979" location="" tooltip="" display=""/>
    <hyperlink ref="R11992" r:id="rId23980" location="" tooltip="" display=""/>
    <hyperlink ref="L11994" r:id="rId23981" location="" tooltip="" display=""/>
    <hyperlink ref="R11994" r:id="rId23982" location="" tooltip="" display=""/>
    <hyperlink ref="K11995" r:id="rId23983" location="" tooltip="" display=""/>
    <hyperlink ref="L11995" r:id="rId23984" location="" tooltip="" display=""/>
    <hyperlink ref="Q11995" r:id="rId23985" location="" tooltip="" display=""/>
    <hyperlink ref="R11995" r:id="rId23986" location="" tooltip="" display=""/>
    <hyperlink ref="L11996" r:id="rId23987" location="" tooltip="" display=""/>
    <hyperlink ref="R11996" r:id="rId23988" location="" tooltip="" display=""/>
    <hyperlink ref="K11998" r:id="rId23989" location="" tooltip="" display=""/>
    <hyperlink ref="L11998" r:id="rId23990" location="" tooltip="" display=""/>
    <hyperlink ref="Q11998" r:id="rId23991" location="" tooltip="" display=""/>
    <hyperlink ref="R11998" r:id="rId23992" location="" tooltip="" display=""/>
    <hyperlink ref="K12000" r:id="rId23993" location="" tooltip="" display=""/>
    <hyperlink ref="L12000" r:id="rId23994" location="" tooltip="" display=""/>
    <hyperlink ref="Q12000" r:id="rId23995" location="" tooltip="" display=""/>
    <hyperlink ref="R12000" r:id="rId23996" location="" tooltip="" display=""/>
    <hyperlink ref="L12001" r:id="rId23997" location="" tooltip="" display=""/>
    <hyperlink ref="R12001" r:id="rId23998" location="" tooltip="" display=""/>
    <hyperlink ref="L12003" r:id="rId23999" location="" tooltip="" display=""/>
    <hyperlink ref="R12003" r:id="rId24000" location="" tooltip="" display=""/>
    <hyperlink ref="K12004" r:id="rId24001" location="" tooltip="" display=""/>
    <hyperlink ref="L12004" r:id="rId24002" location="" tooltip="" display=""/>
    <hyperlink ref="Q12004" r:id="rId24003" location="" tooltip="" display=""/>
    <hyperlink ref="R12004" r:id="rId24004" location="" tooltip="" display=""/>
    <hyperlink ref="L12005" r:id="rId24005" location="" tooltip="" display=""/>
    <hyperlink ref="R12005" r:id="rId24006" location="" tooltip="" display=""/>
    <hyperlink ref="K12007" r:id="rId24007" location="" tooltip="" display=""/>
    <hyperlink ref="L12007" r:id="rId24008" location="" tooltip="" display=""/>
    <hyperlink ref="Q12007" r:id="rId24009" location="" tooltip="" display=""/>
    <hyperlink ref="R12007" r:id="rId24010" location="" tooltip="" display=""/>
    <hyperlink ref="L12009" r:id="rId24011" location="" tooltip="" display=""/>
    <hyperlink ref="R12009" r:id="rId24012" location="" tooltip="" display=""/>
    <hyperlink ref="L12010" r:id="rId24013" location="" tooltip="" display=""/>
    <hyperlink ref="R12010" r:id="rId24014" location="" tooltip="" display=""/>
    <hyperlink ref="K12011" r:id="rId24015" location="" tooltip="" display=""/>
    <hyperlink ref="L12011" r:id="rId24016" location="" tooltip="" display=""/>
    <hyperlink ref="Q12011" r:id="rId24017" location="" tooltip="" display=""/>
    <hyperlink ref="R12011" r:id="rId24018" location="" tooltip="" display=""/>
    <hyperlink ref="L12012" r:id="rId24019" location="" tooltip="" display=""/>
    <hyperlink ref="R12012" r:id="rId24020" location="" tooltip="" display=""/>
    <hyperlink ref="L12013" r:id="rId24021" location="" tooltip="" display=""/>
    <hyperlink ref="R12013" r:id="rId24022" location="" tooltip="" display=""/>
    <hyperlink ref="L12014" r:id="rId24023" location="" tooltip="" display=""/>
    <hyperlink ref="R12014" r:id="rId24024" location="" tooltip="" display=""/>
    <hyperlink ref="K12016" r:id="rId24025" location="" tooltip="" display=""/>
    <hyperlink ref="L12016" r:id="rId24026" location="" tooltip="" display=""/>
    <hyperlink ref="Q12016" r:id="rId24027" location="" tooltip="" display=""/>
    <hyperlink ref="R12016" r:id="rId24028" location="" tooltip="" display=""/>
    <hyperlink ref="L12017" r:id="rId24029" location="" tooltip="" display=""/>
    <hyperlink ref="R12017" r:id="rId24030" location="" tooltip="" display=""/>
    <hyperlink ref="L12019" r:id="rId24031" location="" tooltip="" display=""/>
    <hyperlink ref="R12019" r:id="rId24032" location="" tooltip="" display=""/>
    <hyperlink ref="K12020" r:id="rId24033" location="" tooltip="" display=""/>
    <hyperlink ref="L12020" r:id="rId24034" location="" tooltip="" display=""/>
    <hyperlink ref="Q12020" r:id="rId24035" location="" tooltip="" display=""/>
    <hyperlink ref="R12020" r:id="rId24036" location="" tooltip="" display=""/>
    <hyperlink ref="L12021" r:id="rId24037" location="" tooltip="" display=""/>
    <hyperlink ref="R12021" r:id="rId24038" location="" tooltip="" display=""/>
    <hyperlink ref="L12022" r:id="rId24039" location="" tooltip="" display=""/>
    <hyperlink ref="R12022" r:id="rId24040" location="" tooltip="" display=""/>
    <hyperlink ref="K12024" r:id="rId24041" location="" tooltip="" display=""/>
    <hyperlink ref="L12024" r:id="rId24042" location="" tooltip="" display=""/>
    <hyperlink ref="Q12024" r:id="rId24043" location="" tooltip="" display=""/>
    <hyperlink ref="R12024" r:id="rId24044" location="" tooltip="" display=""/>
    <hyperlink ref="L12025" r:id="rId24045" location="" tooltip="" display=""/>
    <hyperlink ref="R12025" r:id="rId24046" location="" tooltip="" display=""/>
    <hyperlink ref="K12027" r:id="rId24047" location="" tooltip="" display=""/>
    <hyperlink ref="L12027" r:id="rId24048" location="" tooltip="" display=""/>
    <hyperlink ref="Q12027" r:id="rId24049" location="" tooltip="" display=""/>
    <hyperlink ref="R12027" r:id="rId24050" location="" tooltip="" display=""/>
    <hyperlink ref="K12029" r:id="rId24051" location="" tooltip="" display=""/>
    <hyperlink ref="L12029" r:id="rId24052" location="" tooltip="" display=""/>
    <hyperlink ref="Q12029" r:id="rId24053" location="" tooltip="" display=""/>
    <hyperlink ref="R12029" r:id="rId24054" location="" tooltip="" display=""/>
    <hyperlink ref="L12031" r:id="rId24055" location="" tooltip="" display=""/>
    <hyperlink ref="R12031" r:id="rId24056" location="" tooltip="" display=""/>
    <hyperlink ref="K12032" r:id="rId24057" location="" tooltip="" display=""/>
    <hyperlink ref="L12032" r:id="rId24058" location="" tooltip="" display=""/>
    <hyperlink ref="Q12032" r:id="rId24059" location="" tooltip="" display=""/>
    <hyperlink ref="R12032" r:id="rId24060" location="" tooltip="" display=""/>
    <hyperlink ref="L12033" r:id="rId24061" location="" tooltip="" display=""/>
    <hyperlink ref="R12033" r:id="rId24062" location="" tooltip="" display=""/>
    <hyperlink ref="K12035" r:id="rId24063" location="" tooltip="" display=""/>
    <hyperlink ref="L12035" r:id="rId24064" location="" tooltip="" display=""/>
    <hyperlink ref="Q12035" r:id="rId24065" location="" tooltip="" display=""/>
    <hyperlink ref="R12035" r:id="rId24066" location="" tooltip="" display=""/>
    <hyperlink ref="L12037" r:id="rId24067" location="" tooltip="" display=""/>
    <hyperlink ref="R12037" r:id="rId24068" location="" tooltip="" display=""/>
    <hyperlink ref="K12038" r:id="rId24069" location="" tooltip="" display=""/>
    <hyperlink ref="L12038" r:id="rId24070" location="" tooltip="" display=""/>
    <hyperlink ref="Q12038" r:id="rId24071" location="" tooltip="" display=""/>
    <hyperlink ref="R12038" r:id="rId24072" location="" tooltip="" display=""/>
    <hyperlink ref="L12039" r:id="rId24073" location="" tooltip="" display=""/>
    <hyperlink ref="R12039" r:id="rId24074" location="" tooltip="" display=""/>
    <hyperlink ref="L12040" r:id="rId24075" location="" tooltip="" display=""/>
    <hyperlink ref="R12040" r:id="rId24076" location="" tooltip="" display=""/>
    <hyperlink ref="L12042" r:id="rId24077" location="" tooltip="" display=""/>
    <hyperlink ref="R12042" r:id="rId24078" location="" tooltip="" display=""/>
    <hyperlink ref="L12043" r:id="rId24079" location="" tooltip="" display=""/>
    <hyperlink ref="R12043" r:id="rId24080" location="" tooltip="" display=""/>
    <hyperlink ref="L12044" r:id="rId24081" location="" tooltip="" display=""/>
    <hyperlink ref="R12044" r:id="rId24082" location="" tooltip="" display=""/>
    <hyperlink ref="K12045" r:id="rId24083" location="" tooltip="" display=""/>
    <hyperlink ref="L12045" r:id="rId24084" location="" tooltip="" display=""/>
    <hyperlink ref="Q12045" r:id="rId24085" location="" tooltip="" display=""/>
    <hyperlink ref="R12045" r:id="rId24086" location="" tooltip="" display=""/>
    <hyperlink ref="L12046" r:id="rId24087" location="" tooltip="" display=""/>
    <hyperlink ref="R12046" r:id="rId24088" location="" tooltip="" display=""/>
    <hyperlink ref="L12047" r:id="rId24089" location="" tooltip="" display=""/>
    <hyperlink ref="R12047" r:id="rId24090" location="" tooltip="" display=""/>
    <hyperlink ref="L12048" r:id="rId24091" location="" tooltip="" display=""/>
    <hyperlink ref="R12048" r:id="rId24092" location="" tooltip="" display=""/>
    <hyperlink ref="L12049" r:id="rId24093" location="" tooltip="" display=""/>
    <hyperlink ref="R12049" r:id="rId24094" location="" tooltip="" display=""/>
    <hyperlink ref="L12051" r:id="rId24095" location="" tooltip="" display=""/>
    <hyperlink ref="R12051" r:id="rId24096" location="" tooltip="" display=""/>
    <hyperlink ref="L12052" r:id="rId24097" location="" tooltip="" display=""/>
    <hyperlink ref="R12052" r:id="rId24098" location="" tooltip="" display=""/>
    <hyperlink ref="K12053" r:id="rId24099" location="" tooltip="" display=""/>
    <hyperlink ref="L12053" r:id="rId24100" location="" tooltip="" display=""/>
    <hyperlink ref="Q12053" r:id="rId24101" location="" tooltip="" display=""/>
    <hyperlink ref="R12053" r:id="rId24102" location="" tooltip="" display=""/>
    <hyperlink ref="L12054" r:id="rId24103" location="" tooltip="" display=""/>
    <hyperlink ref="R12054" r:id="rId24104" location="" tooltip="" display=""/>
    <hyperlink ref="L12055" r:id="rId24105" location="" tooltip="" display=""/>
    <hyperlink ref="R12055" r:id="rId24106" location="" tooltip="" display=""/>
    <hyperlink ref="L12057" r:id="rId24107" location="" tooltip="" display=""/>
    <hyperlink ref="R12057" r:id="rId24108" location="" tooltip="" display=""/>
    <hyperlink ref="K12058" r:id="rId24109" location="" tooltip="" display=""/>
    <hyperlink ref="L12058" r:id="rId24110" location="" tooltip="" display=""/>
    <hyperlink ref="Q12058" r:id="rId24111" location="" tooltip="" display=""/>
    <hyperlink ref="R12058" r:id="rId24112" location="" tooltip="" display=""/>
    <hyperlink ref="L12059" r:id="rId24113" location="" tooltip="" display=""/>
    <hyperlink ref="R12059" r:id="rId24114" location="" tooltip="" display=""/>
    <hyperlink ref="L12060" r:id="rId24115" location="" tooltip="" display=""/>
    <hyperlink ref="R12060" r:id="rId24116" location="" tooltip="" display=""/>
    <hyperlink ref="L12062" r:id="rId24117" location="" tooltip="" display=""/>
    <hyperlink ref="R12062" r:id="rId24118" location="" tooltip="" display=""/>
    <hyperlink ref="K12063" r:id="rId24119" location="" tooltip="" display=""/>
    <hyperlink ref="L12063" r:id="rId24120" location="" tooltip="" display=""/>
    <hyperlink ref="Q12063" r:id="rId24121" location="" tooltip="" display=""/>
    <hyperlink ref="R12063" r:id="rId24122" location="" tooltip="" display=""/>
    <hyperlink ref="L12064" r:id="rId24123" location="" tooltip="" display=""/>
    <hyperlink ref="R12064" r:id="rId24124" location="" tooltip="" display=""/>
    <hyperlink ref="L12065" r:id="rId24125" location="" tooltip="" display=""/>
    <hyperlink ref="R12065" r:id="rId24126" location="" tooltip="" display=""/>
    <hyperlink ref="L12067" r:id="rId24127" location="" tooltip="" display=""/>
    <hyperlink ref="R12067" r:id="rId24128" location="" tooltip="" display=""/>
    <hyperlink ref="K12068" r:id="rId24129" location="" tooltip="" display=""/>
    <hyperlink ref="L12068" r:id="rId24130" location="" tooltip="" display=""/>
    <hyperlink ref="Q12068" r:id="rId24131" location="" tooltip="" display=""/>
    <hyperlink ref="R12068" r:id="rId24132" location="" tooltip="" display=""/>
    <hyperlink ref="L12069" r:id="rId24133" location="" tooltip="" display=""/>
    <hyperlink ref="R12069" r:id="rId24134" location="" tooltip="" display=""/>
    <hyperlink ref="L12070" r:id="rId24135" location="" tooltip="" display=""/>
    <hyperlink ref="R12070" r:id="rId24136" location="" tooltip="" display=""/>
    <hyperlink ref="L12072" r:id="rId24137" location="" tooltip="" display=""/>
    <hyperlink ref="R12072" r:id="rId24138" location="" tooltip="" display=""/>
    <hyperlink ref="L12073" r:id="rId24139" location="" tooltip="" display=""/>
    <hyperlink ref="R12073" r:id="rId24140" location="" tooltip="" display=""/>
    <hyperlink ref="K12074" r:id="rId24141" location="" tooltip="" display=""/>
    <hyperlink ref="L12074" r:id="rId24142" location="" tooltip="" display=""/>
    <hyperlink ref="Q12074" r:id="rId24143" location="" tooltip="" display=""/>
    <hyperlink ref="R12074" r:id="rId24144" location="" tooltip="" display=""/>
    <hyperlink ref="L12075" r:id="rId24145" location="" tooltip="" display=""/>
    <hyperlink ref="R12075" r:id="rId24146" location="" tooltip="" display=""/>
    <hyperlink ref="L12076" r:id="rId24147" location="" tooltip="" display=""/>
    <hyperlink ref="R12076" r:id="rId24148" location="" tooltip="" display=""/>
    <hyperlink ref="L12077" r:id="rId24149" location="" tooltip="" display=""/>
    <hyperlink ref="R12077" r:id="rId24150" location="" tooltip="" display=""/>
    <hyperlink ref="L12079" r:id="rId24151" location="" tooltip="" display=""/>
    <hyperlink ref="R12079" r:id="rId24152" location="" tooltip="" display=""/>
    <hyperlink ref="K12080" r:id="rId24153" location="" tooltip="" display=""/>
    <hyperlink ref="L12080" r:id="rId24154" location="" tooltip="" display=""/>
    <hyperlink ref="Q12080" r:id="rId24155" location="" tooltip="" display=""/>
    <hyperlink ref="R12080" r:id="rId24156" location="" tooltip="" display=""/>
    <hyperlink ref="L12081" r:id="rId24157" location="" tooltip="" display=""/>
    <hyperlink ref="R12081" r:id="rId24158" location="" tooltip="" display=""/>
    <hyperlink ref="K12083" r:id="rId24159" location="" tooltip="" display=""/>
    <hyperlink ref="L12083" r:id="rId24160" location="" tooltip="" display=""/>
    <hyperlink ref="Q12083" r:id="rId24161" location="" tooltip="" display=""/>
    <hyperlink ref="R12083" r:id="rId24162" location="" tooltip="" display=""/>
    <hyperlink ref="L12084" r:id="rId24163" location="" tooltip="" display=""/>
    <hyperlink ref="R12084" r:id="rId24164" location="" tooltip="" display=""/>
    <hyperlink ref="K12086" r:id="rId24165" location="" tooltip="" display=""/>
    <hyperlink ref="L12086" r:id="rId24166" location="" tooltip="" display=""/>
    <hyperlink ref="Q12086" r:id="rId24167" location="" tooltip="" display=""/>
    <hyperlink ref="R12086" r:id="rId24168" location="" tooltip="" display=""/>
    <hyperlink ref="L12088" r:id="rId24169" location="" tooltip="" display=""/>
    <hyperlink ref="R12088" r:id="rId24170" location="" tooltip="" display=""/>
    <hyperlink ref="K12089" r:id="rId24171" location="" tooltip="" display=""/>
    <hyperlink ref="L12089" r:id="rId24172" location="" tooltip="" display=""/>
    <hyperlink ref="Q12089" r:id="rId24173" location="" tooltip="" display=""/>
    <hyperlink ref="R12089" r:id="rId24174" location="" tooltip="" display=""/>
    <hyperlink ref="L12090" r:id="rId24175" location="" tooltip="" display=""/>
    <hyperlink ref="R12090" r:id="rId24176" location="" tooltip="" display=""/>
    <hyperlink ref="L12091" r:id="rId24177" location="" tooltip="" display=""/>
    <hyperlink ref="R12091" r:id="rId24178" location="" tooltip="" display=""/>
    <hyperlink ref="L12093" r:id="rId24179" location="" tooltip="" display=""/>
    <hyperlink ref="R12093" r:id="rId24180" location="" tooltip="" display=""/>
    <hyperlink ref="K12094" r:id="rId24181" location="" tooltip="" display=""/>
    <hyperlink ref="L12094" r:id="rId24182" location="" tooltip="" display=""/>
    <hyperlink ref="Q12094" r:id="rId24183" location="" tooltip="" display=""/>
    <hyperlink ref="R12094" r:id="rId24184" location="" tooltip="" display=""/>
    <hyperlink ref="L12095" r:id="rId24185" location="" tooltip="" display=""/>
    <hyperlink ref="R12095" r:id="rId24186" location="" tooltip="" display=""/>
    <hyperlink ref="L12096" r:id="rId24187" location="" tooltip="" display=""/>
    <hyperlink ref="R12096" r:id="rId24188" location="" tooltip="" display=""/>
    <hyperlink ref="L12098" r:id="rId24189" location="" tooltip="" display=""/>
    <hyperlink ref="R12098" r:id="rId24190" location="" tooltip="" display=""/>
    <hyperlink ref="K12099" r:id="rId24191" location="" tooltip="" display=""/>
    <hyperlink ref="L12099" r:id="rId24192" location="" tooltip="" display=""/>
    <hyperlink ref="Q12099" r:id="rId24193" location="" tooltip="" display=""/>
    <hyperlink ref="R12099" r:id="rId24194" location="" tooltip="" display=""/>
    <hyperlink ref="L12100" r:id="rId24195" location="" tooltip="" display=""/>
    <hyperlink ref="R12100" r:id="rId24196" location="" tooltip="" display=""/>
    <hyperlink ref="L12101" r:id="rId24197" location="" tooltip="" display=""/>
    <hyperlink ref="R12101" r:id="rId24198" location="" tooltip="" display=""/>
    <hyperlink ref="K12103" r:id="rId24199" location="" tooltip="" display=""/>
    <hyperlink ref="L12103" r:id="rId24200" location="" tooltip="" display=""/>
    <hyperlink ref="Q12103" r:id="rId24201" location="" tooltip="" display=""/>
    <hyperlink ref="R12103" r:id="rId24202" location="" tooltip="" display=""/>
    <hyperlink ref="L12105" r:id="rId24203" location="" tooltip="" display=""/>
    <hyperlink ref="R12105" r:id="rId24204" location="" tooltip="" display=""/>
    <hyperlink ref="K12106" r:id="rId24205" location="" tooltip="" display=""/>
    <hyperlink ref="L12106" r:id="rId24206" location="" tooltip="" display=""/>
    <hyperlink ref="Q12106" r:id="rId24207" location="" tooltip="" display=""/>
    <hyperlink ref="R12106" r:id="rId24208" location="" tooltip="" display=""/>
    <hyperlink ref="L12107" r:id="rId24209" location="" tooltip="" display=""/>
    <hyperlink ref="R12107" r:id="rId24210" location="" tooltip="" display=""/>
    <hyperlink ref="L12109" r:id="rId24211" location="" tooltip="" display=""/>
    <hyperlink ref="R12109" r:id="rId24212" location="" tooltip="" display=""/>
    <hyperlink ref="K12110" r:id="rId24213" location="" tooltip="" display=""/>
    <hyperlink ref="L12110" r:id="rId24214" location="" tooltip="" display=""/>
    <hyperlink ref="Q12110" r:id="rId24215" location="" tooltip="" display=""/>
    <hyperlink ref="R12110" r:id="rId24216" location="" tooltip="" display=""/>
    <hyperlink ref="L12111" r:id="rId24217" location="" tooltip="" display=""/>
    <hyperlink ref="R12111" r:id="rId24218" location="" tooltip="" display=""/>
    <hyperlink ref="L12112" r:id="rId24219" location="" tooltip="" display=""/>
    <hyperlink ref="R12112" r:id="rId24220" location="" tooltip="" display=""/>
    <hyperlink ref="L12114" r:id="rId24221" location="" tooltip="" display=""/>
    <hyperlink ref="R12114" r:id="rId24222" location="" tooltip="" display=""/>
    <hyperlink ref="K12115" r:id="rId24223" location="" tooltip="" display=""/>
    <hyperlink ref="L12115" r:id="rId24224" location="" tooltip="" display=""/>
    <hyperlink ref="Q12115" r:id="rId24225" location="" tooltip="" display=""/>
    <hyperlink ref="R12115" r:id="rId24226" location="" tooltip="" display=""/>
    <hyperlink ref="L12116" r:id="rId24227" location="" tooltip="" display=""/>
    <hyperlink ref="R12116" r:id="rId24228" location="" tooltip="" display=""/>
    <hyperlink ref="K12118" r:id="rId24229" location="" tooltip="" display=""/>
    <hyperlink ref="L12118" r:id="rId24230" location="" tooltip="" display=""/>
    <hyperlink ref="Q12118" r:id="rId24231" location="" tooltip="" display=""/>
    <hyperlink ref="R12118" r:id="rId24232" location="" tooltip="" display=""/>
    <hyperlink ref="K12120" r:id="rId24233" location="" tooltip="" display=""/>
    <hyperlink ref="L12120" r:id="rId24234" location="" tooltip="" display=""/>
    <hyperlink ref="Q12120" r:id="rId24235" location="" tooltip="" display=""/>
    <hyperlink ref="R12120" r:id="rId24236" location="" tooltip="" display=""/>
    <hyperlink ref="L12122" r:id="rId24237" location="" tooltip="" display=""/>
    <hyperlink ref="R12122" r:id="rId24238" location="" tooltip="" display=""/>
    <hyperlink ref="K12123" r:id="rId24239" location="" tooltip="" display=""/>
    <hyperlink ref="L12123" r:id="rId24240" location="" tooltip="" display=""/>
    <hyperlink ref="Q12123" r:id="rId24241" location="" tooltip="" display=""/>
    <hyperlink ref="R12123" r:id="rId24242" location="" tooltip="" display=""/>
    <hyperlink ref="L12124" r:id="rId24243" location="" tooltip="" display=""/>
    <hyperlink ref="R12124" r:id="rId24244" location="" tooltip="" display=""/>
    <hyperlink ref="K12126" r:id="rId24245" location="" tooltip="" display=""/>
    <hyperlink ref="L12126" r:id="rId24246" location="" tooltip="" display=""/>
    <hyperlink ref="Q12126" r:id="rId24247" location="" tooltip="" display=""/>
    <hyperlink ref="R12126" r:id="rId24248" location="" tooltip="" display=""/>
    <hyperlink ref="K12128" r:id="rId24249" location="" tooltip="" display=""/>
    <hyperlink ref="L12128" r:id="rId24250" location="" tooltip="" display=""/>
    <hyperlink ref="Q12128" r:id="rId24251" location="" tooltip="" display=""/>
    <hyperlink ref="R12128" r:id="rId24252" location="" tooltip="" display=""/>
    <hyperlink ref="L12129" r:id="rId24253" location="" tooltip="" display=""/>
    <hyperlink ref="R12129" r:id="rId24254" location="" tooltip="" display=""/>
    <hyperlink ref="L12131" r:id="rId24255" location="" tooltip="" display=""/>
    <hyperlink ref="R12131" r:id="rId24256" location="" tooltip="" display=""/>
    <hyperlink ref="L12132" r:id="rId24257" location="" tooltip="" display=""/>
    <hyperlink ref="R12132" r:id="rId24258" location="" tooltip="" display=""/>
    <hyperlink ref="K12133" r:id="rId24259" location="" tooltip="" display=""/>
    <hyperlink ref="L12133" r:id="rId24260" location="" tooltip="" display=""/>
    <hyperlink ref="Q12133" r:id="rId24261" location="" tooltip="" display=""/>
    <hyperlink ref="R12133" r:id="rId24262" location="" tooltip="" display=""/>
    <hyperlink ref="L12134" r:id="rId24263" location="" tooltip="" display=""/>
    <hyperlink ref="R12134" r:id="rId24264" location="" tooltip="" display=""/>
    <hyperlink ref="L12135" r:id="rId24265" location="" tooltip="" display=""/>
    <hyperlink ref="R12135" r:id="rId24266" location="" tooltip="" display=""/>
    <hyperlink ref="L12136" r:id="rId24267" location="" tooltip="" display=""/>
    <hyperlink ref="R12136" r:id="rId24268" location="" tooltip="" display=""/>
    <hyperlink ref="L12138" r:id="rId24269" location="" tooltip="" display=""/>
    <hyperlink ref="R12138" r:id="rId24270" location="" tooltip="" display=""/>
    <hyperlink ref="K12139" r:id="rId24271" location="" tooltip="" display=""/>
    <hyperlink ref="L12139" r:id="rId24272" location="" tooltip="" display=""/>
    <hyperlink ref="Q12139" r:id="rId24273" location="" tooltip="" display=""/>
    <hyperlink ref="R12139" r:id="rId24274" location="" tooltip="" display=""/>
    <hyperlink ref="L12140" r:id="rId24275" location="" tooltip="" display=""/>
    <hyperlink ref="R12140" r:id="rId24276" location="" tooltip="" display=""/>
    <hyperlink ref="L12142" r:id="rId24277" location="" tooltip="" display=""/>
    <hyperlink ref="R12142" r:id="rId24278" location="" tooltip="" display=""/>
    <hyperlink ref="K12143" r:id="rId24279" location="" tooltip="" display=""/>
    <hyperlink ref="L12143" r:id="rId24280" location="" tooltip="" display=""/>
    <hyperlink ref="Q12143" r:id="rId24281" location="" tooltip="" display=""/>
    <hyperlink ref="R12143" r:id="rId24282" location="" tooltip="" display=""/>
    <hyperlink ref="L12144" r:id="rId24283" location="" tooltip="" display=""/>
    <hyperlink ref="R12144" r:id="rId24284" location="" tooltip="" display=""/>
    <hyperlink ref="K12146" r:id="rId24285" location="" tooltip="" display=""/>
    <hyperlink ref="L12146" r:id="rId24286" location="" tooltip="" display=""/>
    <hyperlink ref="Q12146" r:id="rId24287" location="" tooltip="" display=""/>
    <hyperlink ref="R12146" r:id="rId24288" location="" tooltip="" display=""/>
    <hyperlink ref="L12148" r:id="rId24289" location="" tooltip="" display=""/>
    <hyperlink ref="R12148" r:id="rId24290" location="" tooltip="" display=""/>
    <hyperlink ref="L12149" r:id="rId24291" location="" tooltip="" display=""/>
    <hyperlink ref="R12149" r:id="rId24292" location="" tooltip="" display=""/>
    <hyperlink ref="L12150" r:id="rId24293" location="" tooltip="" display=""/>
    <hyperlink ref="R12150" r:id="rId24294" location="" tooltip="" display=""/>
    <hyperlink ref="L12151" r:id="rId24295" location="" tooltip="" display=""/>
    <hyperlink ref="R12151" r:id="rId24296" location="" tooltip="" display=""/>
    <hyperlink ref="L12152" r:id="rId24297" location="" tooltip="" display=""/>
    <hyperlink ref="R12152" r:id="rId24298" location="" tooltip="" display=""/>
    <hyperlink ref="L12153" r:id="rId24299" location="" tooltip="" display=""/>
    <hyperlink ref="R12153" r:id="rId24300" location="" tooltip="" display=""/>
    <hyperlink ref="L12154" r:id="rId24301" location="" tooltip="" display=""/>
    <hyperlink ref="R12154" r:id="rId24302" location="" tooltip="" display=""/>
    <hyperlink ref="K12155" r:id="rId24303" location="" tooltip="" display=""/>
    <hyperlink ref="L12155" r:id="rId24304" location="" tooltip="" display=""/>
    <hyperlink ref="Q12155" r:id="rId24305" location="" tooltip="" display=""/>
    <hyperlink ref="R12155" r:id="rId24306" location="" tooltip="" display=""/>
    <hyperlink ref="L12156" r:id="rId24307" location="" tooltip="" display=""/>
    <hyperlink ref="R12156" r:id="rId24308" location="" tooltip="" display=""/>
    <hyperlink ref="L12157" r:id="rId24309" location="" tooltip="" display=""/>
    <hyperlink ref="R12157" r:id="rId24310" location="" tooltip="" display=""/>
    <hyperlink ref="L12158" r:id="rId24311" location="" tooltip="" display=""/>
    <hyperlink ref="R12158" r:id="rId24312" location="" tooltip="" display=""/>
    <hyperlink ref="L12159" r:id="rId24313" location="" tooltip="" display=""/>
    <hyperlink ref="R12159" r:id="rId24314" location="" tooltip="" display=""/>
    <hyperlink ref="L12160" r:id="rId24315" location="" tooltip="" display=""/>
    <hyperlink ref="R12160" r:id="rId24316" location="" tooltip="" display=""/>
    <hyperlink ref="L12161" r:id="rId24317" location="" tooltip="" display=""/>
    <hyperlink ref="R12161" r:id="rId24318" location="" tooltip="" display=""/>
    <hyperlink ref="L12162" r:id="rId24319" location="" tooltip="" display=""/>
    <hyperlink ref="R12162" r:id="rId24320" location="" tooltip="" display=""/>
    <hyperlink ref="K12164" r:id="rId24321" location="" tooltip="" display=""/>
    <hyperlink ref="L12164" r:id="rId24322" location="" tooltip="" display=""/>
    <hyperlink ref="Q12164" r:id="rId24323" location="" tooltip="" display=""/>
    <hyperlink ref="R12164" r:id="rId24324" location="" tooltip="" display=""/>
    <hyperlink ref="L12165" r:id="rId24325" location="" tooltip="" display=""/>
    <hyperlink ref="R12165" r:id="rId24326" location="" tooltip="" display=""/>
    <hyperlink ref="L12167" r:id="rId24327" location="" tooltip="" display=""/>
    <hyperlink ref="R12167" r:id="rId24328" location="" tooltip="" display=""/>
    <hyperlink ref="K12168" r:id="rId24329" location="" tooltip="" display=""/>
    <hyperlink ref="L12168" r:id="rId24330" location="" tooltip="" display=""/>
    <hyperlink ref="Q12168" r:id="rId24331" location="" tooltip="" display=""/>
    <hyperlink ref="R12168" r:id="rId24332" location="" tooltip="" display=""/>
    <hyperlink ref="L12169" r:id="rId24333" location="" tooltip="" display=""/>
    <hyperlink ref="R12169" r:id="rId24334" location="" tooltip="" display=""/>
    <hyperlink ref="K12171" r:id="rId24335" location="" tooltip="" display=""/>
    <hyperlink ref="L12171" r:id="rId24336" location="" tooltip="" display=""/>
    <hyperlink ref="Q12171" r:id="rId24337" location="" tooltip="" display=""/>
    <hyperlink ref="R12171" r:id="rId24338" location="" tooltip="" display=""/>
    <hyperlink ref="L12172" r:id="rId24339" location="" tooltip="" display=""/>
    <hyperlink ref="R12172" r:id="rId24340" location="" tooltip="" display=""/>
    <hyperlink ref="L12174" r:id="rId24341" location="" tooltip="" display=""/>
    <hyperlink ref="R12174" r:id="rId24342" location="" tooltip="" display=""/>
    <hyperlink ref="K12175" r:id="rId24343" location="" tooltip="" display=""/>
    <hyperlink ref="L12175" r:id="rId24344" location="" tooltip="" display=""/>
    <hyperlink ref="Q12175" r:id="rId24345" location="" tooltip="" display=""/>
    <hyperlink ref="R12175" r:id="rId24346" location="" tooltip="" display=""/>
    <hyperlink ref="L12176" r:id="rId24347" location="" tooltip="" display=""/>
    <hyperlink ref="R12176" r:id="rId24348" location="" tooltip="" display=""/>
    <hyperlink ref="K12178" r:id="rId24349" location="" tooltip="" display=""/>
    <hyperlink ref="L12178" r:id="rId24350" location="" tooltip="" display=""/>
    <hyperlink ref="Q12178" r:id="rId24351" location="" tooltip="" display=""/>
    <hyperlink ref="R12178" r:id="rId24352" location="" tooltip="" display=""/>
    <hyperlink ref="L12180" r:id="rId24353" location="" tooltip="" display=""/>
    <hyperlink ref="R12180" r:id="rId24354" location="" tooltip="" display=""/>
    <hyperlink ref="K12181" r:id="rId24355" location="" tooltip="" display=""/>
    <hyperlink ref="L12181" r:id="rId24356" location="" tooltip="" display=""/>
    <hyperlink ref="Q12181" r:id="rId24357" location="" tooltip="" display=""/>
    <hyperlink ref="R12181" r:id="rId24358" location="" tooltip="" display=""/>
    <hyperlink ref="L12182" r:id="rId24359" location="" tooltip="" display=""/>
    <hyperlink ref="R12182" r:id="rId24360" location="" tooltip="" display=""/>
    <hyperlink ref="L12183" r:id="rId24361" location="" tooltip="" display=""/>
    <hyperlink ref="R12183" r:id="rId24362" location="" tooltip="" display=""/>
    <hyperlink ref="K12185" r:id="rId24363" location="" tooltip="" display=""/>
    <hyperlink ref="L12185" r:id="rId24364" location="" tooltip="" display=""/>
    <hyperlink ref="Q12185" r:id="rId24365" location="" tooltip="" display=""/>
    <hyperlink ref="R12185" r:id="rId24366" location="" tooltip="" display=""/>
    <hyperlink ref="L12187" r:id="rId24367" location="" tooltip="" display=""/>
    <hyperlink ref="R12187" r:id="rId24368" location="" tooltip="" display=""/>
    <hyperlink ref="L12188" r:id="rId24369" location="" tooltip="" display=""/>
    <hyperlink ref="R12188" r:id="rId24370" location="" tooltip="" display=""/>
    <hyperlink ref="K12189" r:id="rId24371" location="" tooltip="" display=""/>
    <hyperlink ref="L12189" r:id="rId24372" location="" tooltip="" display=""/>
    <hyperlink ref="Q12189" r:id="rId24373" location="" tooltip="" display=""/>
    <hyperlink ref="R12189" r:id="rId24374" location="" tooltip="" display=""/>
    <hyperlink ref="L12190" r:id="rId24375" location="" tooltip="" display=""/>
    <hyperlink ref="R12190" r:id="rId24376" location="" tooltip="" display=""/>
    <hyperlink ref="L12191" r:id="rId24377" location="" tooltip="" display=""/>
    <hyperlink ref="R12191" r:id="rId24378" location="" tooltip="" display=""/>
    <hyperlink ref="L12192" r:id="rId24379" location="" tooltip="" display=""/>
    <hyperlink ref="R12192" r:id="rId24380" location="" tooltip="" display=""/>
    <hyperlink ref="K12194" r:id="rId24381" location="" tooltip="" display=""/>
    <hyperlink ref="L12194" r:id="rId24382" location="" tooltip="" display=""/>
    <hyperlink ref="Q12194" r:id="rId24383" location="" tooltip="" display=""/>
    <hyperlink ref="R12194" r:id="rId24384" location="" tooltip="" display=""/>
    <hyperlink ref="K12196" r:id="rId24385" location="" tooltip="" display=""/>
    <hyperlink ref="L12196" r:id="rId24386" location="" tooltip="" display=""/>
    <hyperlink ref="Q12196" r:id="rId24387" location="" tooltip="" display=""/>
    <hyperlink ref="R12196" r:id="rId24388" location="" tooltip="" display=""/>
    <hyperlink ref="L12197" r:id="rId24389" location="" tooltip="" display=""/>
    <hyperlink ref="R12197" r:id="rId24390" location="" tooltip="" display=""/>
    <hyperlink ref="L12199" r:id="rId24391" location="" tooltip="" display=""/>
    <hyperlink ref="R12199" r:id="rId24392" location="" tooltip="" display=""/>
    <hyperlink ref="K12200" r:id="rId24393" location="" tooltip="" display=""/>
    <hyperlink ref="L12200" r:id="rId24394" location="" tooltip="" display=""/>
    <hyperlink ref="Q12200" r:id="rId24395" location="" tooltip="" display=""/>
    <hyperlink ref="R12200" r:id="rId24396" location="" tooltip="" display=""/>
    <hyperlink ref="L12201" r:id="rId24397" location="" tooltip="" display=""/>
    <hyperlink ref="R12201" r:id="rId24398" location="" tooltip="" display=""/>
    <hyperlink ref="L12202" r:id="rId24399" location="" tooltip="" display=""/>
    <hyperlink ref="R12202" r:id="rId24400" location="" tooltip="" display=""/>
    <hyperlink ref="L12204" r:id="rId24401" location="" tooltip="" display=""/>
    <hyperlink ref="R12204" r:id="rId24402" location="" tooltip="" display=""/>
    <hyperlink ref="K12205" r:id="rId24403" location="" tooltip="" display=""/>
    <hyperlink ref="L12205" r:id="rId24404" location="" tooltip="" display=""/>
    <hyperlink ref="Q12205" r:id="rId24405" location="" tooltip="" display=""/>
    <hyperlink ref="R12205" r:id="rId24406" location="" tooltip="" display=""/>
    <hyperlink ref="L12206" r:id="rId24407" location="" tooltip="" display=""/>
    <hyperlink ref="R12206" r:id="rId24408" location="" tooltip="" display=""/>
    <hyperlink ref="K12208" r:id="rId24409" location="" tooltip="" display=""/>
    <hyperlink ref="L12208" r:id="rId24410" location="" tooltip="" display=""/>
    <hyperlink ref="Q12208" r:id="rId24411" location="" tooltip="" display=""/>
    <hyperlink ref="R12208" r:id="rId24412" location="" tooltip="" display=""/>
    <hyperlink ref="L12210" r:id="rId24413" location="" tooltip="" display=""/>
    <hyperlink ref="R12210" r:id="rId24414" location="" tooltip="" display=""/>
    <hyperlink ref="K12211" r:id="rId24415" location="" tooltip="" display=""/>
    <hyperlink ref="L12211" r:id="rId24416" location="" tooltip="" display=""/>
    <hyperlink ref="Q12211" r:id="rId24417" location="" tooltip="" display=""/>
    <hyperlink ref="R12211" r:id="rId24418" location="" tooltip="" display=""/>
    <hyperlink ref="L12212" r:id="rId24419" location="" tooltip="" display=""/>
    <hyperlink ref="R12212" r:id="rId24420" location="" tooltip="" display=""/>
    <hyperlink ref="L12214" r:id="rId24421" location="" tooltip="" display=""/>
    <hyperlink ref="R12214" r:id="rId24422" location="" tooltip="" display=""/>
    <hyperlink ref="K12215" r:id="rId24423" location="" tooltip="" display=""/>
    <hyperlink ref="L12215" r:id="rId24424" location="" tooltip="" display=""/>
    <hyperlink ref="Q12215" r:id="rId24425" location="" tooltip="" display=""/>
    <hyperlink ref="R12215" r:id="rId24426" location="" tooltip="" display=""/>
    <hyperlink ref="L12216" r:id="rId24427" location="" tooltip="" display=""/>
    <hyperlink ref="R12216" r:id="rId24428" location="" tooltip="" display=""/>
    <hyperlink ref="L12217" r:id="rId24429" location="" tooltip="" display=""/>
    <hyperlink ref="R12217" r:id="rId24430" location="" tooltip="" display=""/>
    <hyperlink ref="L12219" r:id="rId24431" location="" tooltip="" display=""/>
    <hyperlink ref="R12219" r:id="rId24432" location="" tooltip="" display=""/>
    <hyperlink ref="L12220" r:id="rId24433" location="" tooltip="" display=""/>
    <hyperlink ref="R12220" r:id="rId24434" location="" tooltip="" display=""/>
    <hyperlink ref="K12221" r:id="rId24435" location="" tooltip="" display=""/>
    <hyperlink ref="L12221" r:id="rId24436" location="" tooltip="" display=""/>
    <hyperlink ref="Q12221" r:id="rId24437" location="" tooltip="" display=""/>
    <hyperlink ref="R12221" r:id="rId24438" location="" tooltip="" display=""/>
    <hyperlink ref="L12222" r:id="rId24439" location="" tooltip="" display=""/>
    <hyperlink ref="R12222" r:id="rId24440" location="" tooltip="" display=""/>
    <hyperlink ref="L12223" r:id="rId24441" location="" tooltip="" display=""/>
    <hyperlink ref="R12223" r:id="rId24442" location="" tooltip="" display=""/>
    <hyperlink ref="K12225" r:id="rId24443" location="" tooltip="" display=""/>
    <hyperlink ref="L12225" r:id="rId24444" location="" tooltip="" display=""/>
    <hyperlink ref="Q12225" r:id="rId24445" location="" tooltip="" display=""/>
    <hyperlink ref="R12225" r:id="rId24446" location="" tooltip="" display=""/>
    <hyperlink ref="K12227" r:id="rId24447" location="" tooltip="" display=""/>
    <hyperlink ref="L12227" r:id="rId24448" location="" tooltip="" display=""/>
    <hyperlink ref="Q12227" r:id="rId24449" location="" tooltip="" display=""/>
    <hyperlink ref="R12227" r:id="rId24450" location="" tooltip="" display=""/>
    <hyperlink ref="K12229" r:id="rId24451" location="" tooltip="" display=""/>
    <hyperlink ref="L12229" r:id="rId24452" location="" tooltip="" display=""/>
    <hyperlink ref="Q12229" r:id="rId24453" location="" tooltip="" display=""/>
    <hyperlink ref="R12229" r:id="rId24454" location="" tooltip="" display=""/>
    <hyperlink ref="L12231" r:id="rId24455" location="" tooltip="" display=""/>
    <hyperlink ref="R12231" r:id="rId24456" location="" tooltip="" display=""/>
    <hyperlink ref="L12232" r:id="rId24457" location="" tooltip="" display=""/>
    <hyperlink ref="R12232" r:id="rId24458" location="" tooltip="" display=""/>
    <hyperlink ref="K12233" r:id="rId24459" location="" tooltip="" display=""/>
    <hyperlink ref="L12233" r:id="rId24460" location="" tooltip="" display=""/>
    <hyperlink ref="Q12233" r:id="rId24461" location="" tooltip="" display=""/>
    <hyperlink ref="R12233" r:id="rId24462" location="" tooltip="" display=""/>
    <hyperlink ref="L12234" r:id="rId24463" location="" tooltip="" display=""/>
    <hyperlink ref="R12234" r:id="rId24464" location="" tooltip="" display=""/>
    <hyperlink ref="L12235" r:id="rId24465" location="" tooltip="" display=""/>
    <hyperlink ref="R12235" r:id="rId24466" location="" tooltip="" display=""/>
    <hyperlink ref="L12236" r:id="rId24467" location="" tooltip="" display=""/>
    <hyperlink ref="R12236" r:id="rId24468" location="" tooltip="" display=""/>
    <hyperlink ref="L12238" r:id="rId24469" location="" tooltip="" display=""/>
    <hyperlink ref="R12238" r:id="rId24470" location="" tooltip="" display=""/>
    <hyperlink ref="K12239" r:id="rId24471" location="" tooltip="" display=""/>
    <hyperlink ref="L12239" r:id="rId24472" location="" tooltip="" display=""/>
    <hyperlink ref="Q12239" r:id="rId24473" location="" tooltip="" display=""/>
    <hyperlink ref="R12239" r:id="rId24474" location="" tooltip="" display=""/>
    <hyperlink ref="L12240" r:id="rId24475" location="" tooltip="" display=""/>
    <hyperlink ref="R12240" r:id="rId24476" location="" tooltip="" display=""/>
    <hyperlink ref="K12242" r:id="rId24477" location="" tooltip="" display=""/>
    <hyperlink ref="L12242" r:id="rId24478" location="" tooltip="" display=""/>
    <hyperlink ref="Q12242" r:id="rId24479" location="" tooltip="" display=""/>
    <hyperlink ref="R12242" r:id="rId24480" location="" tooltip="" display=""/>
    <hyperlink ref="L12243" r:id="rId24481" location="" tooltip="" display=""/>
    <hyperlink ref="R12243" r:id="rId24482" location="" tooltip="" display=""/>
    <hyperlink ref="K12245" r:id="rId24483" location="" tooltip="" display=""/>
    <hyperlink ref="L12245" r:id="rId24484" location="" tooltip="" display=""/>
    <hyperlink ref="Q12245" r:id="rId24485" location="" tooltip="" display=""/>
    <hyperlink ref="R12245" r:id="rId24486" location="" tooltip="" display=""/>
    <hyperlink ref="L12247" r:id="rId24487" location="" tooltip="" display=""/>
    <hyperlink ref="R12247" r:id="rId24488" location="" tooltip="" display=""/>
    <hyperlink ref="K12248" r:id="rId24489" location="" tooltip="" display=""/>
    <hyperlink ref="L12248" r:id="rId24490" location="" tooltip="" display=""/>
    <hyperlink ref="Q12248" r:id="rId24491" location="" tooltip="" display=""/>
    <hyperlink ref="R12248" r:id="rId24492" location="" tooltip="" display=""/>
    <hyperlink ref="L12249" r:id="rId24493" location="" tooltip="" display=""/>
    <hyperlink ref="R12249" r:id="rId24494" location="" tooltip="" display=""/>
    <hyperlink ref="K12251" r:id="rId24495" location="" tooltip="" display=""/>
    <hyperlink ref="L12251" r:id="rId24496" location="" tooltip="" display=""/>
    <hyperlink ref="Q12251" r:id="rId24497" location="" tooltip="" display=""/>
    <hyperlink ref="R12251" r:id="rId24498" location="" tooltip="" display=""/>
    <hyperlink ref="K12253" r:id="rId24499" location="" tooltip="" display=""/>
    <hyperlink ref="L12253" r:id="rId24500" location="" tooltip="" display=""/>
    <hyperlink ref="Q12253" r:id="rId24501" location="" tooltip="" display=""/>
    <hyperlink ref="R12253" r:id="rId24502" location="" tooltip="" display=""/>
    <hyperlink ref="L12254" r:id="rId24503" location="" tooltip="" display=""/>
    <hyperlink ref="R12254" r:id="rId24504" location="" tooltip="" display=""/>
    <hyperlink ref="L12256" r:id="rId24505" location="" tooltip="" display=""/>
    <hyperlink ref="R12256" r:id="rId24506" location="" tooltip="" display=""/>
    <hyperlink ref="K12257" r:id="rId24507" location="" tooltip="" display=""/>
    <hyperlink ref="L12257" r:id="rId24508" location="" tooltip="" display=""/>
    <hyperlink ref="Q12257" r:id="rId24509" location="" tooltip="" display=""/>
    <hyperlink ref="R12257" r:id="rId24510" location="" tooltip="" display=""/>
    <hyperlink ref="L12258" r:id="rId24511" location="" tooltip="" display=""/>
    <hyperlink ref="R12258" r:id="rId24512" location="" tooltip="" display=""/>
    <hyperlink ref="K12260" r:id="rId24513" location="" tooltip="" display=""/>
    <hyperlink ref="L12260" r:id="rId24514" location="" tooltip="" display=""/>
    <hyperlink ref="Q12260" r:id="rId24515" location="" tooltip="" display=""/>
    <hyperlink ref="R12260" r:id="rId24516" location="" tooltip="" display=""/>
    <hyperlink ref="L12261" r:id="rId24517" location="" tooltip="" display=""/>
    <hyperlink ref="R12261" r:id="rId24518" location="" tooltip="" display=""/>
    <hyperlink ref="L12263" r:id="rId24519" location="" tooltip="" display=""/>
    <hyperlink ref="R12263" r:id="rId24520" location="" tooltip="" display=""/>
    <hyperlink ref="K12264" r:id="rId24521" location="" tooltip="" display=""/>
    <hyperlink ref="L12264" r:id="rId24522" location="" tooltip="" display=""/>
    <hyperlink ref="Q12264" r:id="rId24523" location="" tooltip="" display=""/>
    <hyperlink ref="R12264" r:id="rId24524" location="" tooltip="" display=""/>
    <hyperlink ref="L12265" r:id="rId24525" location="" tooltip="" display=""/>
    <hyperlink ref="R12265" r:id="rId24526" location="" tooltip="" display=""/>
    <hyperlink ref="L12267" r:id="rId24527" location="" tooltip="" display=""/>
    <hyperlink ref="R12267" r:id="rId24528" location="" tooltip="" display=""/>
    <hyperlink ref="K12268" r:id="rId24529" location="" tooltip="" display=""/>
    <hyperlink ref="L12268" r:id="rId24530" location="" tooltip="" display=""/>
    <hyperlink ref="Q12268" r:id="rId24531" location="" tooltip="" display=""/>
    <hyperlink ref="R12268" r:id="rId24532" location="" tooltip="" display=""/>
    <hyperlink ref="L12269" r:id="rId24533" location="" tooltip="" display=""/>
    <hyperlink ref="R12269" r:id="rId24534" location="" tooltip="" display=""/>
    <hyperlink ref="K12271" r:id="rId24535" location="" tooltip="" display=""/>
    <hyperlink ref="L12271" r:id="rId24536" location="" tooltip="" display=""/>
    <hyperlink ref="Q12271" r:id="rId24537" location="" tooltip="" display=""/>
    <hyperlink ref="R12271" r:id="rId24538" location="" tooltip="" display=""/>
    <hyperlink ref="L12273" r:id="rId24539" location="" tooltip="" display=""/>
    <hyperlink ref="R12273" r:id="rId24540" location="" tooltip="" display=""/>
    <hyperlink ref="K12274" r:id="rId24541" location="" tooltip="" display=""/>
    <hyperlink ref="L12274" r:id="rId24542" location="" tooltip="" display=""/>
    <hyperlink ref="Q12274" r:id="rId24543" location="" tooltip="" display=""/>
    <hyperlink ref="R12274" r:id="rId24544" location="" tooltip="" display=""/>
    <hyperlink ref="L12275" r:id="rId24545" location="" tooltip="" display=""/>
    <hyperlink ref="R12275" r:id="rId24546" location="" tooltip="" display=""/>
    <hyperlink ref="L12276" r:id="rId24547" location="" tooltip="" display=""/>
    <hyperlink ref="R12276" r:id="rId24548" location="" tooltip="" display=""/>
    <hyperlink ref="L12278" r:id="rId24549" location="" tooltip="" display=""/>
    <hyperlink ref="R12278" r:id="rId24550" location="" tooltip="" display=""/>
    <hyperlink ref="L12279" r:id="rId24551" location="" tooltip="" display=""/>
    <hyperlink ref="R12279" r:id="rId24552" location="" tooltip="" display=""/>
    <hyperlink ref="K12280" r:id="rId24553" location="" tooltip="" display=""/>
    <hyperlink ref="L12280" r:id="rId24554" location="" tooltip="" display=""/>
    <hyperlink ref="Q12280" r:id="rId24555" location="" tooltip="" display=""/>
    <hyperlink ref="R12280" r:id="rId24556" location="" tooltip="" display=""/>
    <hyperlink ref="L12281" r:id="rId24557" location="" tooltip="" display=""/>
    <hyperlink ref="R12281" r:id="rId24558" location="" tooltip="" display=""/>
    <hyperlink ref="L12282" r:id="rId24559" location="" tooltip="" display=""/>
    <hyperlink ref="R12282" r:id="rId24560" location="" tooltip="" display=""/>
    <hyperlink ref="L12283" r:id="rId24561" location="" tooltip="" display=""/>
    <hyperlink ref="R12283" r:id="rId24562" location="" tooltip="" display=""/>
    <hyperlink ref="K12285" r:id="rId24563" location="" tooltip="" display=""/>
    <hyperlink ref="L12285" r:id="rId24564" location="" tooltip="" display=""/>
    <hyperlink ref="Q12285" r:id="rId24565" location="" tooltip="" display=""/>
    <hyperlink ref="R12285" r:id="rId24566" location="" tooltip="" display=""/>
    <hyperlink ref="K12287" r:id="rId24567" location="" tooltip="" display=""/>
    <hyperlink ref="L12287" r:id="rId24568" location="" tooltip="" display=""/>
    <hyperlink ref="Q12287" r:id="rId24569" location="" tooltip="" display=""/>
    <hyperlink ref="R12287" r:id="rId24570" location="" tooltip="" display=""/>
    <hyperlink ref="L12288" r:id="rId24571" location="" tooltip="" display=""/>
    <hyperlink ref="R12288" r:id="rId24572" location="" tooltip="" display=""/>
    <hyperlink ref="L12290" r:id="rId24573" location="" tooltip="" display=""/>
    <hyperlink ref="R12290" r:id="rId24574" location="" tooltip="" display=""/>
    <hyperlink ref="L12291" r:id="rId24575" location="" tooltip="" display=""/>
    <hyperlink ref="R12291" r:id="rId24576" location="" tooltip="" display=""/>
    <hyperlink ref="K12292" r:id="rId24577" location="" tooltip="" display=""/>
    <hyperlink ref="L12292" r:id="rId24578" location="" tooltip="" display=""/>
    <hyperlink ref="Q12292" r:id="rId24579" location="" tooltip="" display=""/>
    <hyperlink ref="R12292" r:id="rId24580" location="" tooltip="" display=""/>
    <hyperlink ref="L12293" r:id="rId24581" location="" tooltip="" display=""/>
    <hyperlink ref="R12293" r:id="rId24582" location="" tooltip="" display=""/>
    <hyperlink ref="L12294" r:id="rId24583" location="" tooltip="" display=""/>
    <hyperlink ref="R12294" r:id="rId24584" location="" tooltip="" display=""/>
    <hyperlink ref="K12296" r:id="rId24585" location="" tooltip="" display=""/>
    <hyperlink ref="L12296" r:id="rId24586" location="" tooltip="" display=""/>
    <hyperlink ref="Q12296" r:id="rId24587" location="" tooltip="" display=""/>
    <hyperlink ref="R12296" r:id="rId24588" location="" tooltip="" display=""/>
    <hyperlink ref="L12297" r:id="rId24589" location="" tooltip="" display=""/>
    <hyperlink ref="R12297" r:id="rId24590" location="" tooltip="" display=""/>
    <hyperlink ref="K12299" r:id="rId24591" location="" tooltip="" display=""/>
    <hyperlink ref="L12299" r:id="rId24592" location="" tooltip="" display=""/>
    <hyperlink ref="Q12299" r:id="rId24593" location="" tooltip="" display=""/>
    <hyperlink ref="R12299" r:id="rId24594" location="" tooltip="" display=""/>
    <hyperlink ref="L12301" r:id="rId24595" location="" tooltip="" display=""/>
    <hyperlink ref="R12301" r:id="rId24596" location="" tooltip="" display=""/>
    <hyperlink ref="K12302" r:id="rId24597" location="" tooltip="" display=""/>
    <hyperlink ref="L12302" r:id="rId24598" location="" tooltip="" display=""/>
    <hyperlink ref="Q12302" r:id="rId24599" location="" tooltip="" display=""/>
    <hyperlink ref="R12302" r:id="rId24600" location="" tooltip="" display=""/>
    <hyperlink ref="L12303" r:id="rId24601" location="" tooltip="" display=""/>
    <hyperlink ref="R12303" r:id="rId24602" location="" tooltip="" display=""/>
    <hyperlink ref="K12305" r:id="rId24603" location="" tooltip="" display=""/>
    <hyperlink ref="L12305" r:id="rId24604" location="" tooltip="" display=""/>
    <hyperlink ref="Q12305" r:id="rId24605" location="" tooltip="" display=""/>
    <hyperlink ref="R12305" r:id="rId24606" location="" tooltip="" display=""/>
    <hyperlink ref="L12306" r:id="rId24607" location="" tooltip="" display=""/>
    <hyperlink ref="R12306" r:id="rId24608" location="" tooltip="" display=""/>
    <hyperlink ref="L12308" r:id="rId24609" location="" tooltip="" display=""/>
    <hyperlink ref="R12308" r:id="rId24610" location="" tooltip="" display=""/>
    <hyperlink ref="K12309" r:id="rId24611" location="" tooltip="" display=""/>
    <hyperlink ref="L12309" r:id="rId24612" location="" tooltip="" display=""/>
    <hyperlink ref="Q12309" r:id="rId24613" location="" tooltip="" display=""/>
    <hyperlink ref="R12309" r:id="rId24614" location="" tooltip="" display=""/>
    <hyperlink ref="L12310" r:id="rId24615" location="" tooltip="" display=""/>
    <hyperlink ref="R12310" r:id="rId24616" location="" tooltip="" display=""/>
    <hyperlink ref="K12312" r:id="rId24617" location="" tooltip="" display=""/>
    <hyperlink ref="L12312" r:id="rId24618" location="" tooltip="" display=""/>
    <hyperlink ref="Q12312" r:id="rId24619" location="" tooltip="" display=""/>
    <hyperlink ref="R12312" r:id="rId24620" location="" tooltip="" display=""/>
    <hyperlink ref="L12313" r:id="rId24621" location="" tooltip="" display=""/>
    <hyperlink ref="R12313" r:id="rId24622" location="" tooltip="" display=""/>
    <hyperlink ref="K12315" r:id="rId24623" location="" tooltip="" display=""/>
    <hyperlink ref="L12315" r:id="rId24624" location="" tooltip="" display=""/>
    <hyperlink ref="Q12315" r:id="rId24625" location="" tooltip="" display=""/>
    <hyperlink ref="R12315" r:id="rId24626" location="" tooltip="" display=""/>
    <hyperlink ref="L12316" r:id="rId24627" location="" tooltip="" display=""/>
    <hyperlink ref="R12316" r:id="rId24628" location="" tooltip="" display=""/>
    <hyperlink ref="L12318" r:id="rId24629" location="" tooltip="" display=""/>
    <hyperlink ref="R12318" r:id="rId24630" location="" tooltip="" display=""/>
    <hyperlink ref="K12319" r:id="rId24631" location="" tooltip="" display=""/>
    <hyperlink ref="L12319" r:id="rId24632" location="" tooltip="" display=""/>
    <hyperlink ref="Q12319" r:id="rId24633" location="" tooltip="" display=""/>
    <hyperlink ref="R12319" r:id="rId24634" location="" tooltip="" display=""/>
    <hyperlink ref="L12320" r:id="rId24635" location="" tooltip="" display=""/>
    <hyperlink ref="R12320" r:id="rId24636" location="" tooltip="" display=""/>
    <hyperlink ref="L12321" r:id="rId24637" location="" tooltip="" display=""/>
    <hyperlink ref="R12321" r:id="rId24638" location="" tooltip="" display=""/>
    <hyperlink ref="L12323" r:id="rId24639" location="" tooltip="" display=""/>
    <hyperlink ref="R12323" r:id="rId24640" location="" tooltip="" display=""/>
    <hyperlink ref="K12324" r:id="rId24641" location="" tooltip="" display=""/>
    <hyperlink ref="L12324" r:id="rId24642" location="" tooltip="" display=""/>
    <hyperlink ref="Q12324" r:id="rId24643" location="" tooltip="" display=""/>
    <hyperlink ref="R12324" r:id="rId24644" location="" tooltip="" display=""/>
    <hyperlink ref="L12325" r:id="rId24645" location="" tooltip="" display=""/>
    <hyperlink ref="R12325" r:id="rId24646" location="" tooltip="" display=""/>
    <hyperlink ref="K12327" r:id="rId24647" location="" tooltip="" display=""/>
    <hyperlink ref="L12327" r:id="rId24648" location="" tooltip="" display=""/>
    <hyperlink ref="Q12327" r:id="rId24649" location="" tooltip="" display=""/>
    <hyperlink ref="R12327" r:id="rId24650" location="" tooltip="" display=""/>
    <hyperlink ref="L12328" r:id="rId24651" location="" tooltip="" display=""/>
    <hyperlink ref="R12328" r:id="rId24652" location="" tooltip="" display=""/>
    <hyperlink ref="L12330" r:id="rId24653" location="" tooltip="" display=""/>
    <hyperlink ref="R12330" r:id="rId24654" location="" tooltip="" display=""/>
    <hyperlink ref="K12331" r:id="rId24655" location="" tooltip="" display=""/>
    <hyperlink ref="L12331" r:id="rId24656" location="" tooltip="" display=""/>
    <hyperlink ref="Q12331" r:id="rId24657" location="" tooltip="" display=""/>
    <hyperlink ref="R12331" r:id="rId24658" location="" tooltip="" display=""/>
    <hyperlink ref="L12332" r:id="rId24659" location="" tooltip="" display=""/>
    <hyperlink ref="R12332" r:id="rId24660" location="" tooltip="" display=""/>
    <hyperlink ref="L12334" r:id="rId24661" location="" tooltip="" display=""/>
    <hyperlink ref="R12334" r:id="rId24662" location="" tooltip="" display=""/>
    <hyperlink ref="K12335" r:id="rId24663" location="" tooltip="" display=""/>
    <hyperlink ref="L12335" r:id="rId24664" location="" tooltip="" display=""/>
    <hyperlink ref="Q12335" r:id="rId24665" location="" tooltip="" display=""/>
    <hyperlink ref="R12335" r:id="rId24666" location="" tooltip="" display=""/>
    <hyperlink ref="L12336" r:id="rId24667" location="" tooltip="" display=""/>
    <hyperlink ref="R12336" r:id="rId24668" location="" tooltip="" display=""/>
    <hyperlink ref="L12337" r:id="rId24669" location="" tooltip="" display=""/>
    <hyperlink ref="R12337" r:id="rId24670" location="" tooltip="" display=""/>
    <hyperlink ref="L12339" r:id="rId24671" location="" tooltip="" display=""/>
    <hyperlink ref="R12339" r:id="rId24672" location="" tooltip="" display=""/>
    <hyperlink ref="K12340" r:id="rId24673" location="" tooltip="" display=""/>
    <hyperlink ref="L12340" r:id="rId24674" location="" tooltip="" display=""/>
    <hyperlink ref="Q12340" r:id="rId24675" location="" tooltip="" display=""/>
    <hyperlink ref="R12340" r:id="rId24676" location="" tooltip="" display=""/>
    <hyperlink ref="L12341" r:id="rId24677" location="" tooltip="" display=""/>
    <hyperlink ref="R12341" r:id="rId24678" location="" tooltip="" display=""/>
    <hyperlink ref="L12342" r:id="rId24679" location="" tooltip="" display=""/>
    <hyperlink ref="R12342" r:id="rId24680" location="" tooltip="" display=""/>
    <hyperlink ref="K12344" r:id="rId24681" location="" tooltip="" display=""/>
    <hyperlink ref="L12344" r:id="rId24682" location="" tooltip="" display=""/>
    <hyperlink ref="Q12344" r:id="rId24683" location="" tooltip="" display=""/>
    <hyperlink ref="R12344" r:id="rId24684" location="" tooltip="" display=""/>
    <hyperlink ref="L12345" r:id="rId24685" location="" tooltip="" display=""/>
    <hyperlink ref="R12345" r:id="rId24686" location="" tooltip="" display=""/>
    <hyperlink ref="K12347" r:id="rId24687" location="" tooltip="" display=""/>
    <hyperlink ref="L12347" r:id="rId24688" location="" tooltip="" display=""/>
    <hyperlink ref="Q12347" r:id="rId24689" location="" tooltip="" display=""/>
    <hyperlink ref="R12347" r:id="rId24690" location="" tooltip="" display=""/>
    <hyperlink ref="L12348" r:id="rId24691" location="" tooltip="" display=""/>
    <hyperlink ref="R12348" r:id="rId24692" location="" tooltip="" display=""/>
    <hyperlink ref="L12350" r:id="rId24693" location="" tooltip="" display=""/>
    <hyperlink ref="R12350" r:id="rId24694" location="" tooltip="" display=""/>
    <hyperlink ref="K12351" r:id="rId24695" location="" tooltip="" display=""/>
    <hyperlink ref="L12351" r:id="rId24696" location="" tooltip="" display=""/>
    <hyperlink ref="Q12351" r:id="rId24697" location="" tooltip="" display=""/>
    <hyperlink ref="R12351" r:id="rId24698" location="" tooltip="" display=""/>
    <hyperlink ref="L12352" r:id="rId24699" location="" tooltip="" display=""/>
    <hyperlink ref="R12352" r:id="rId24700" location="" tooltip="" display=""/>
    <hyperlink ref="L12353" r:id="rId24701" location="" tooltip="" display=""/>
    <hyperlink ref="R12353" r:id="rId24702" location="" tooltip="" display=""/>
    <hyperlink ref="L12355" r:id="rId24703" location="" tooltip="" display=""/>
    <hyperlink ref="R12355" r:id="rId24704" location="" tooltip="" display=""/>
    <hyperlink ref="K12356" r:id="rId24705" location="" tooltip="" display=""/>
    <hyperlink ref="L12356" r:id="rId24706" location="" tooltip="" display=""/>
    <hyperlink ref="Q12356" r:id="rId24707" location="" tooltip="" display=""/>
    <hyperlink ref="R12356" r:id="rId24708" location="" tooltip="" display=""/>
    <hyperlink ref="L12357" r:id="rId24709" location="" tooltip="" display=""/>
    <hyperlink ref="R12357" r:id="rId24710" location="" tooltip="" display=""/>
    <hyperlink ref="L12358" r:id="rId24711" location="" tooltip="" display=""/>
    <hyperlink ref="R12358" r:id="rId24712" location="" tooltip="" display=""/>
    <hyperlink ref="L12360" r:id="rId24713" location="" tooltip="" display=""/>
    <hyperlink ref="R12360" r:id="rId24714" location="" tooltip="" display=""/>
    <hyperlink ref="K12361" r:id="rId24715" location="" tooltip="" display=""/>
    <hyperlink ref="L12361" r:id="rId24716" location="" tooltip="" display=""/>
    <hyperlink ref="Q12361" r:id="rId24717" location="" tooltip="" display=""/>
    <hyperlink ref="R12361" r:id="rId24718" location="" tooltip="" display=""/>
    <hyperlink ref="L12362" r:id="rId24719" location="" tooltip="" display=""/>
    <hyperlink ref="R12362" r:id="rId24720" location="" tooltip="" display=""/>
    <hyperlink ref="L12363" r:id="rId24721" location="" tooltip="" display=""/>
    <hyperlink ref="R12363" r:id="rId24722" location="" tooltip="" display=""/>
    <hyperlink ref="L12365" r:id="rId24723" location="" tooltip="" display=""/>
    <hyperlink ref="R12365" r:id="rId24724" location="" tooltip="" display=""/>
    <hyperlink ref="K12366" r:id="rId24725" location="" tooltip="" display=""/>
    <hyperlink ref="L12366" r:id="rId24726" location="" tooltip="" display=""/>
    <hyperlink ref="Q12366" r:id="rId24727" location="" tooltip="" display=""/>
    <hyperlink ref="R12366" r:id="rId24728" location="" tooltip="" display=""/>
    <hyperlink ref="L12367" r:id="rId24729" location="" tooltip="" display=""/>
    <hyperlink ref="R12367" r:id="rId24730" location="" tooltip="" display=""/>
    <hyperlink ref="L12369" r:id="rId24731" location="" tooltip="" display=""/>
    <hyperlink ref="R12369" r:id="rId24732" location="" tooltip="" display=""/>
    <hyperlink ref="K12370" r:id="rId24733" location="" tooltip="" display=""/>
    <hyperlink ref="L12370" r:id="rId24734" location="" tooltip="" display=""/>
    <hyperlink ref="Q12370" r:id="rId24735" location="" tooltip="" display=""/>
    <hyperlink ref="R12370" r:id="rId24736" location="" tooltip="" display=""/>
    <hyperlink ref="L12371" r:id="rId24737" location="" tooltip="" display=""/>
    <hyperlink ref="R12371" r:id="rId24738" location="" tooltip="" display=""/>
    <hyperlink ref="L12373" r:id="rId24739" location="" tooltip="" display=""/>
    <hyperlink ref="R12373" r:id="rId24740" location="" tooltip="" display=""/>
    <hyperlink ref="L12374" r:id="rId24741" location="" tooltip="" display=""/>
    <hyperlink ref="R12374" r:id="rId24742" location="" tooltip="" display=""/>
    <hyperlink ref="L12375" r:id="rId24743" location="" tooltip="" display=""/>
    <hyperlink ref="R12375" r:id="rId24744" location="" tooltip="" display=""/>
    <hyperlink ref="K12376" r:id="rId24745" location="" tooltip="" display=""/>
    <hyperlink ref="L12376" r:id="rId24746" location="" tooltip="" display=""/>
    <hyperlink ref="Q12376" r:id="rId24747" location="" tooltip="" display=""/>
    <hyperlink ref="R12376" r:id="rId24748" location="" tooltip="" display=""/>
    <hyperlink ref="L12377" r:id="rId24749" location="" tooltip="" display=""/>
    <hyperlink ref="R12377" r:id="rId24750" location="" tooltip="" display=""/>
    <hyperlink ref="L12378" r:id="rId24751" location="" tooltip="" display=""/>
    <hyperlink ref="R12378" r:id="rId24752" location="" tooltip="" display=""/>
    <hyperlink ref="L12379" r:id="rId24753" location="" tooltip="" display=""/>
    <hyperlink ref="R12379" r:id="rId24754" location="" tooltip="" display=""/>
    <hyperlink ref="L12380" r:id="rId24755" location="" tooltip="" display=""/>
    <hyperlink ref="R12380" r:id="rId24756" location="" tooltip="" display=""/>
    <hyperlink ref="L12382" r:id="rId24757" location="" tooltip="" display=""/>
    <hyperlink ref="R12382" r:id="rId24758" location="" tooltip="" display=""/>
    <hyperlink ref="K12383" r:id="rId24759" location="" tooltip="" display=""/>
    <hyperlink ref="L12383" r:id="rId24760" location="" tooltip="" display=""/>
    <hyperlink ref="Q12383" r:id="rId24761" location="" tooltip="" display=""/>
    <hyperlink ref="R12383" r:id="rId24762" location="" tooltip="" display=""/>
    <hyperlink ref="L12384" r:id="rId24763" location="" tooltip="" display=""/>
    <hyperlink ref="R12384" r:id="rId24764" location="" tooltip="" display=""/>
    <hyperlink ref="K12386" r:id="rId24765" location="" tooltip="" display=""/>
    <hyperlink ref="L12386" r:id="rId24766" location="" tooltip="" display=""/>
    <hyperlink ref="Q12386" r:id="rId24767" location="" tooltip="" display=""/>
    <hyperlink ref="R12386" r:id="rId24768" location="" tooltip="" display=""/>
    <hyperlink ref="L12387" r:id="rId24769" location="" tooltip="" display=""/>
    <hyperlink ref="R12387" r:id="rId24770" location="" tooltip="" display=""/>
    <hyperlink ref="L12389" r:id="rId24771" location="" tooltip="" display=""/>
    <hyperlink ref="R12389" r:id="rId24772" location="" tooltip="" display=""/>
    <hyperlink ref="K12390" r:id="rId24773" location="" tooltip="" display=""/>
    <hyperlink ref="L12390" r:id="rId24774" location="" tooltip="" display=""/>
    <hyperlink ref="Q12390" r:id="rId24775" location="" tooltip="" display=""/>
    <hyperlink ref="R12390" r:id="rId24776" location="" tooltip="" display=""/>
    <hyperlink ref="L12391" r:id="rId24777" location="" tooltip="" display=""/>
    <hyperlink ref="R12391" r:id="rId24778" location="" tooltip="" display=""/>
    <hyperlink ref="L12392" r:id="rId24779" location="" tooltip="" display=""/>
    <hyperlink ref="R12392" r:id="rId24780" location="" tooltip="" display=""/>
    <hyperlink ref="L12394" r:id="rId24781" location="" tooltip="" display=""/>
    <hyperlink ref="R12394" r:id="rId24782" location="" tooltip="" display=""/>
    <hyperlink ref="K12395" r:id="rId24783" location="" tooltip="" display=""/>
    <hyperlink ref="L12395" r:id="rId24784" location="" tooltip="" display=""/>
    <hyperlink ref="Q12395" r:id="rId24785" location="" tooltip="" display=""/>
    <hyperlink ref="R12395" r:id="rId24786" location="" tooltip="" display=""/>
    <hyperlink ref="L12396" r:id="rId24787" location="" tooltip="" display=""/>
    <hyperlink ref="R12396" r:id="rId24788" location="" tooltip="" display=""/>
    <hyperlink ref="L12398" r:id="rId24789" location="" tooltip="" display=""/>
    <hyperlink ref="R12398" r:id="rId24790" location="" tooltip="" display=""/>
    <hyperlink ref="K12399" r:id="rId24791" location="" tooltip="" display=""/>
    <hyperlink ref="L12399" r:id="rId24792" location="" tooltip="" display=""/>
    <hyperlink ref="Q12399" r:id="rId24793" location="" tooltip="" display=""/>
    <hyperlink ref="R12399" r:id="rId24794" location="" tooltip="" display=""/>
    <hyperlink ref="L12400" r:id="rId24795" location="" tooltip="" display=""/>
    <hyperlink ref="R12400" r:id="rId24796" location="" tooltip="" display=""/>
    <hyperlink ref="L12401" r:id="rId24797" location="" tooltip="" display=""/>
    <hyperlink ref="R12401" r:id="rId24798" location="" tooltip="" display=""/>
    <hyperlink ref="K12403" r:id="rId24799" location="" tooltip="" display=""/>
    <hyperlink ref="L12403" r:id="rId24800" location="" tooltip="" display=""/>
    <hyperlink ref="Q12403" r:id="rId24801" location="" tooltip="" display=""/>
    <hyperlink ref="R12403" r:id="rId24802" location="" tooltip="" display=""/>
    <hyperlink ref="L12405" r:id="rId24803" location="" tooltip="" display=""/>
    <hyperlink ref="R12405" r:id="rId24804" location="" tooltip="" display=""/>
    <hyperlink ref="K12406" r:id="rId24805" location="" tooltip="" display=""/>
    <hyperlink ref="L12406" r:id="rId24806" location="" tooltip="" display=""/>
    <hyperlink ref="Q12406" r:id="rId24807" location="" tooltip="" display=""/>
    <hyperlink ref="R12406" r:id="rId24808" location="" tooltip="" display=""/>
    <hyperlink ref="L12407" r:id="rId24809" location="" tooltip="" display=""/>
    <hyperlink ref="R12407" r:id="rId24810" location="" tooltip="" display=""/>
    <hyperlink ref="L12409" r:id="rId24811" location="" tooltip="" display=""/>
    <hyperlink ref="R12409" r:id="rId24812" location="" tooltip="" display=""/>
    <hyperlink ref="L12410" r:id="rId24813" location="" tooltip="" display=""/>
    <hyperlink ref="R12410" r:id="rId24814" location="" tooltip="" display=""/>
    <hyperlink ref="K12411" r:id="rId24815" location="" tooltip="" display=""/>
    <hyperlink ref="L12411" r:id="rId24816" location="" tooltip="" display=""/>
    <hyperlink ref="Q12411" r:id="rId24817" location="" tooltip="" display=""/>
    <hyperlink ref="R12411" r:id="rId24818" location="" tooltip="" display=""/>
    <hyperlink ref="L12412" r:id="rId24819" location="" tooltip="" display=""/>
    <hyperlink ref="R12412" r:id="rId24820" location="" tooltip="" display=""/>
    <hyperlink ref="L12413" r:id="rId24821" location="" tooltip="" display=""/>
    <hyperlink ref="R12413" r:id="rId24822" location="" tooltip="" display=""/>
    <hyperlink ref="L12414" r:id="rId24823" location="" tooltip="" display=""/>
    <hyperlink ref="R12414" r:id="rId24824" location="" tooltip="" display=""/>
    <hyperlink ref="K12416" r:id="rId24825" location="" tooltip="" display=""/>
    <hyperlink ref="L12416" r:id="rId24826" location="" tooltip="" display=""/>
    <hyperlink ref="Q12416" r:id="rId24827" location="" tooltip="" display=""/>
    <hyperlink ref="R12416" r:id="rId24828" location="" tooltip="" display=""/>
    <hyperlink ref="K12418" r:id="rId24829" location="" tooltip="" display=""/>
    <hyperlink ref="L12418" r:id="rId24830" location="" tooltip="" display=""/>
    <hyperlink ref="Q12418" r:id="rId24831" location="" tooltip="" display=""/>
    <hyperlink ref="R12418" r:id="rId24832" location="" tooltip="" display=""/>
    <hyperlink ref="L12419" r:id="rId24833" location="" tooltip="" display=""/>
    <hyperlink ref="R12419" r:id="rId24834" location="" tooltip="" display=""/>
    <hyperlink ref="K12421" r:id="rId24835" location="" tooltip="" display=""/>
    <hyperlink ref="L12421" r:id="rId24836" location="" tooltip="" display=""/>
    <hyperlink ref="Q12421" r:id="rId24837" location="" tooltip="" display=""/>
    <hyperlink ref="R12421" r:id="rId24838" location="" tooltip="" display=""/>
    <hyperlink ref="K12423" r:id="rId24839" location="" tooltip="" display=""/>
    <hyperlink ref="L12423" r:id="rId24840" location="" tooltip="" display=""/>
    <hyperlink ref="Q12423" r:id="rId24841" location="" tooltip="" display=""/>
    <hyperlink ref="R12423" r:id="rId24842" location="" tooltip="" display=""/>
    <hyperlink ref="K12425" r:id="rId24843" location="" tooltip="" display=""/>
    <hyperlink ref="L12425" r:id="rId24844" location="" tooltip="" display=""/>
    <hyperlink ref="Q12425" r:id="rId24845" location="" tooltip="" display=""/>
    <hyperlink ref="R12425" r:id="rId24846" location="" tooltip="" display=""/>
    <hyperlink ref="K12427" r:id="rId24847" location="" tooltip="" display=""/>
    <hyperlink ref="L12427" r:id="rId24848" location="" tooltip="" display=""/>
    <hyperlink ref="Q12427" r:id="rId24849" location="" tooltip="" display=""/>
    <hyperlink ref="R12427" r:id="rId24850" location="" tooltip="" display=""/>
    <hyperlink ref="L12428" r:id="rId24851" location="" tooltip="" display=""/>
    <hyperlink ref="R12428" r:id="rId24852" location="" tooltip="" display=""/>
    <hyperlink ref="K12430" r:id="rId24853" location="" tooltip="" display=""/>
    <hyperlink ref="L12430" r:id="rId24854" location="" tooltip="" display=""/>
    <hyperlink ref="Q12430" r:id="rId24855" location="" tooltip="" display=""/>
    <hyperlink ref="R12430" r:id="rId24856" location="" tooltip="" display=""/>
    <hyperlink ref="K12432" r:id="rId24857" location="" tooltip="" display=""/>
    <hyperlink ref="L12432" r:id="rId24858" location="" tooltip="" display=""/>
    <hyperlink ref="Q12432" r:id="rId24859" location="" tooltip="" display=""/>
    <hyperlink ref="R12432" r:id="rId24860" location="" tooltip="" display=""/>
    <hyperlink ref="L12433" r:id="rId24861" location="" tooltip="" display=""/>
    <hyperlink ref="R12433" r:id="rId24862" location="" tooltip="" display=""/>
    <hyperlink ref="K12435" r:id="rId24863" location="" tooltip="" display=""/>
    <hyperlink ref="L12435" r:id="rId24864" location="" tooltip="" display=""/>
    <hyperlink ref="Q12435" r:id="rId24865" location="" tooltip="" display=""/>
    <hyperlink ref="R12435" r:id="rId24866" location="" tooltip="" display=""/>
    <hyperlink ref="L12436" r:id="rId24867" location="" tooltip="" display=""/>
    <hyperlink ref="R12436" r:id="rId24868" location="" tooltip="" display=""/>
    <hyperlink ref="K12438" r:id="rId24869" location="" tooltip="" display=""/>
    <hyperlink ref="L12438" r:id="rId24870" location="" tooltip="" display=""/>
    <hyperlink ref="Q12438" r:id="rId24871" location="" tooltip="" display=""/>
    <hyperlink ref="R12438" r:id="rId24872" location="" tooltip="" display=""/>
    <hyperlink ref="L12439" r:id="rId24873" location="" tooltip="" display=""/>
    <hyperlink ref="R12439" r:id="rId24874" location="" tooltip="" display=""/>
    <hyperlink ref="K12441" r:id="rId24875" location="" tooltip="" display=""/>
    <hyperlink ref="L12441" r:id="rId24876" location="" tooltip="" display=""/>
    <hyperlink ref="Q12441" r:id="rId24877" location="" tooltip="" display=""/>
    <hyperlink ref="R12441" r:id="rId24878" location="" tooltip="" display=""/>
    <hyperlink ref="K12443" r:id="rId24879" location="" tooltip="" display=""/>
    <hyperlink ref="L12443" r:id="rId24880" location="" tooltip="" display=""/>
    <hyperlink ref="Q12443" r:id="rId24881" location="" tooltip="" display=""/>
    <hyperlink ref="R12443" r:id="rId24882" location="" tooltip="" display=""/>
    <hyperlink ref="L12444" r:id="rId24883" location="" tooltip="" display=""/>
    <hyperlink ref="R12444" r:id="rId24884" location="" tooltip="" display=""/>
    <hyperlink ref="K12446" r:id="rId24885" location="" tooltip="" display=""/>
    <hyperlink ref="L12446" r:id="rId24886" location="" tooltip="" display=""/>
    <hyperlink ref="Q12446" r:id="rId24887" location="" tooltip="" display=""/>
    <hyperlink ref="R12446" r:id="rId24888" location="" tooltip="" display=""/>
    <hyperlink ref="K12448" r:id="rId24889" location="" tooltip="" display=""/>
    <hyperlink ref="L12448" r:id="rId24890" location="" tooltip="" display=""/>
    <hyperlink ref="Q12448" r:id="rId24891" location="" tooltip="" display=""/>
    <hyperlink ref="R12448" r:id="rId24892" location="" tooltip="" display=""/>
    <hyperlink ref="K12450" r:id="rId24893" location="" tooltip="" display=""/>
    <hyperlink ref="L12450" r:id="rId24894" location="" tooltip="" display=""/>
    <hyperlink ref="Q12450" r:id="rId24895" location="" tooltip="" display=""/>
    <hyperlink ref="R12450" r:id="rId24896" location="" tooltip="" display=""/>
    <hyperlink ref="K12452" r:id="rId24897" location="" tooltip="" display=""/>
    <hyperlink ref="L12452" r:id="rId24898" location="" tooltip="" display=""/>
    <hyperlink ref="Q12452" r:id="rId24899" location="" tooltip="" display=""/>
    <hyperlink ref="R12452" r:id="rId24900" location="" tooltip="" display=""/>
    <hyperlink ref="K12454" r:id="rId24901" location="" tooltip="" display=""/>
    <hyperlink ref="L12454" r:id="rId24902" location="" tooltip="" display=""/>
    <hyperlink ref="Q12454" r:id="rId24903" location="" tooltip="" display=""/>
    <hyperlink ref="R12454" r:id="rId24904" location="" tooltip="" display=""/>
    <hyperlink ref="K12456" r:id="rId24905" location="" tooltip="" display=""/>
    <hyperlink ref="L12456" r:id="rId24906" location="" tooltip="" display=""/>
    <hyperlink ref="Q12456" r:id="rId24907" location="" tooltip="" display=""/>
    <hyperlink ref="R12456" r:id="rId24908" location="" tooltip="" display=""/>
    <hyperlink ref="K12458" r:id="rId24909" location="" tooltip="" display=""/>
    <hyperlink ref="L12458" r:id="rId24910" location="" tooltip="" display=""/>
    <hyperlink ref="Q12458" r:id="rId24911" location="" tooltip="" display=""/>
    <hyperlink ref="R12458" r:id="rId24912" location="" tooltip="" display=""/>
    <hyperlink ref="K12460" r:id="rId24913" location="" tooltip="" display=""/>
    <hyperlink ref="L12460" r:id="rId24914" location="" tooltip="" display=""/>
    <hyperlink ref="Q12460" r:id="rId24915" location="" tooltip="" display=""/>
    <hyperlink ref="R12460" r:id="rId24916" location="" tooltip="" display=""/>
    <hyperlink ref="L12462" r:id="rId24917" location="" tooltip="" display=""/>
    <hyperlink ref="R12462" r:id="rId24918" location="" tooltip="" display=""/>
    <hyperlink ref="K12463" r:id="rId24919" location="" tooltip="" display=""/>
    <hyperlink ref="L12463" r:id="rId24920" location="" tooltip="" display=""/>
    <hyperlink ref="Q12463" r:id="rId24921" location="" tooltip="" display=""/>
    <hyperlink ref="R12463" r:id="rId24922" location="" tooltip="" display=""/>
    <hyperlink ref="L12464" r:id="rId24923" location="" tooltip="" display=""/>
    <hyperlink ref="R12464" r:id="rId24924" location="" tooltip="" display=""/>
    <hyperlink ref="K12466" r:id="rId24925" location="" tooltip="" display=""/>
    <hyperlink ref="L12466" r:id="rId24926" location="" tooltip="" display=""/>
    <hyperlink ref="Q12466" r:id="rId24927" location="" tooltip="" display=""/>
    <hyperlink ref="R12466" r:id="rId24928" location="" tooltip="" display=""/>
    <hyperlink ref="K12468" r:id="rId24929" location="" tooltip="" display=""/>
    <hyperlink ref="L12468" r:id="rId24930" location="" tooltip="" display=""/>
    <hyperlink ref="Q12468" r:id="rId24931" location="" tooltip="" display=""/>
    <hyperlink ref="R12468" r:id="rId24932" location="" tooltip="" display=""/>
    <hyperlink ref="K12470" r:id="rId24933" location="" tooltip="" display=""/>
    <hyperlink ref="L12470" r:id="rId24934" location="" tooltip="" display=""/>
    <hyperlink ref="Q12470" r:id="rId24935" location="" tooltip="" display=""/>
    <hyperlink ref="R12470" r:id="rId24936" location="" tooltip="" display=""/>
    <hyperlink ref="L12471" r:id="rId24937" location="" tooltip="" display=""/>
    <hyperlink ref="R12471" r:id="rId24938" location="" tooltip="" display=""/>
    <hyperlink ref="K12473" r:id="rId24939" location="" tooltip="" display=""/>
    <hyperlink ref="L12473" r:id="rId24940" location="" tooltip="" display=""/>
    <hyperlink ref="Q12473" r:id="rId24941" location="" tooltip="" display=""/>
    <hyperlink ref="R12473" r:id="rId24942" location="" tooltip="" display=""/>
    <hyperlink ref="L12474" r:id="rId24943" location="" tooltip="" display=""/>
    <hyperlink ref="R12474" r:id="rId24944" location="" tooltip="" display=""/>
    <hyperlink ref="K12476" r:id="rId24945" location="" tooltip="" display=""/>
    <hyperlink ref="L12476" r:id="rId24946" location="" tooltip="" display=""/>
    <hyperlink ref="Q12476" r:id="rId24947" location="" tooltip="" display=""/>
    <hyperlink ref="R12476" r:id="rId24948" location="" tooltip="" display=""/>
    <hyperlink ref="L12477" r:id="rId24949" location="" tooltip="" display=""/>
    <hyperlink ref="R12477" r:id="rId24950" location="" tooltip="" display=""/>
    <hyperlink ref="K12479" r:id="rId24951" location="" tooltip="" display=""/>
    <hyperlink ref="L12479" r:id="rId24952" location="" tooltip="" display=""/>
    <hyperlink ref="Q12479" r:id="rId24953" location="" tooltip="" display=""/>
    <hyperlink ref="R12479" r:id="rId24954" location="" tooltip="" display=""/>
    <hyperlink ref="L12480" r:id="rId24955" location="" tooltip="" display=""/>
    <hyperlink ref="R12480" r:id="rId24956" location="" tooltip="" display=""/>
    <hyperlink ref="L12482" r:id="rId24957" location="" tooltip="" display=""/>
    <hyperlink ref="R12482" r:id="rId24958" location="" tooltip="" display=""/>
    <hyperlink ref="K12483" r:id="rId24959" location="" tooltip="" display=""/>
    <hyperlink ref="L12483" r:id="rId24960" location="" tooltip="" display=""/>
    <hyperlink ref="Q12483" r:id="rId24961" location="" tooltip="" display=""/>
    <hyperlink ref="R12483" r:id="rId24962" location="" tooltip="" display=""/>
    <hyperlink ref="L12484" r:id="rId24963" location="" tooltip="" display=""/>
    <hyperlink ref="R12484" r:id="rId24964" location="" tooltip="" display=""/>
    <hyperlink ref="K12486" r:id="rId24965" location="" tooltip="" display=""/>
    <hyperlink ref="L12486" r:id="rId24966" location="" tooltip="" display=""/>
    <hyperlink ref="Q12486" r:id="rId24967" location="" tooltip="" display=""/>
    <hyperlink ref="R12486" r:id="rId24968" location="" tooltip="" display=""/>
    <hyperlink ref="K12488" r:id="rId24969" location="" tooltip="" display=""/>
    <hyperlink ref="L12488" r:id="rId24970" location="" tooltip="" display=""/>
    <hyperlink ref="Q12488" r:id="rId24971" location="" tooltip="" display=""/>
    <hyperlink ref="R12488" r:id="rId24972" location="" tooltip="" display=""/>
    <hyperlink ref="L12490" r:id="rId24973" location="" tooltip="" display=""/>
    <hyperlink ref="R12490" r:id="rId24974" location="" tooltip="" display=""/>
    <hyperlink ref="K12491" r:id="rId24975" location="" tooltip="" display=""/>
    <hyperlink ref="L12491" r:id="rId24976" location="" tooltip="" display=""/>
    <hyperlink ref="Q12491" r:id="rId24977" location="" tooltip="" display=""/>
    <hyperlink ref="R12491" r:id="rId24978" location="" tooltip="" display=""/>
    <hyperlink ref="L12492" r:id="rId24979" location="" tooltip="" display=""/>
    <hyperlink ref="R12492" r:id="rId24980" location="" tooltip="" display=""/>
    <hyperlink ref="L12493" r:id="rId24981" location="" tooltip="" display=""/>
    <hyperlink ref="R12493" r:id="rId24982" location="" tooltip="" display=""/>
    <hyperlink ref="L12495" r:id="rId24983" location="" tooltip="" display=""/>
    <hyperlink ref="R12495" r:id="rId24984" location="" tooltip="" display=""/>
    <hyperlink ref="K12496" r:id="rId24985" location="" tooltip="" display=""/>
    <hyperlink ref="L12496" r:id="rId24986" location="" tooltip="" display=""/>
    <hyperlink ref="Q12496" r:id="rId24987" location="" tooltip="" display=""/>
    <hyperlink ref="R12496" r:id="rId24988" location="" tooltip="" display=""/>
    <hyperlink ref="L12497" r:id="rId24989" location="" tooltip="" display=""/>
    <hyperlink ref="R12497" r:id="rId24990" location="" tooltip="" display=""/>
    <hyperlink ref="K12499" r:id="rId24991" location="" tooltip="" display=""/>
    <hyperlink ref="L12499" r:id="rId24992" location="" tooltip="" display=""/>
    <hyperlink ref="Q12499" r:id="rId24993" location="" tooltip="" display=""/>
    <hyperlink ref="R12499" r:id="rId24994" location="" tooltip="" display=""/>
    <hyperlink ref="K12501" r:id="rId24995" location="" tooltip="" display=""/>
    <hyperlink ref="L12501" r:id="rId24996" location="" tooltip="" display=""/>
    <hyperlink ref="Q12501" r:id="rId24997" location="" tooltip="" display=""/>
    <hyperlink ref="R12501" r:id="rId24998" location="" tooltip="" display=""/>
    <hyperlink ref="L12502" r:id="rId24999" location="" tooltip="" display=""/>
    <hyperlink ref="R12502" r:id="rId25000" location="" tooltip="" display=""/>
    <hyperlink ref="K12504" r:id="rId25001" location="" tooltip="" display=""/>
    <hyperlink ref="L12504" r:id="rId25002" location="" tooltip="" display=""/>
    <hyperlink ref="Q12504" r:id="rId25003" location="" tooltip="" display=""/>
    <hyperlink ref="R12504" r:id="rId25004" location="" tooltip="" display=""/>
    <hyperlink ref="L12505" r:id="rId25005" location="" tooltip="" display=""/>
    <hyperlink ref="R12505" r:id="rId25006" location="" tooltip="" display=""/>
    <hyperlink ref="K12507" r:id="rId25007" location="" tooltip="" display=""/>
    <hyperlink ref="L12507" r:id="rId25008" location="" tooltip="" display=""/>
    <hyperlink ref="Q12507" r:id="rId25009" location="" tooltip="" display=""/>
    <hyperlink ref="R12507" r:id="rId25010" location="" tooltip="" display=""/>
    <hyperlink ref="K12509" r:id="rId25011" location="" tooltip="" display=""/>
    <hyperlink ref="L12509" r:id="rId25012" location="" tooltip="" display=""/>
    <hyperlink ref="Q12509" r:id="rId25013" location="" tooltip="" display=""/>
    <hyperlink ref="R12509" r:id="rId25014" location="" tooltip="" display=""/>
    <hyperlink ref="L12510" r:id="rId25015" location="" tooltip="" display=""/>
    <hyperlink ref="R12510" r:id="rId25016" location="" tooltip="" display=""/>
    <hyperlink ref="K12512" r:id="rId25017" location="" tooltip="" display=""/>
    <hyperlink ref="L12512" r:id="rId25018" location="" tooltip="" display=""/>
    <hyperlink ref="Q12512" r:id="rId25019" location="" tooltip="" display=""/>
    <hyperlink ref="R12512" r:id="rId25020" location="" tooltip="" display=""/>
    <hyperlink ref="K12514" r:id="rId25021" location="" tooltip="" display=""/>
    <hyperlink ref="L12514" r:id="rId25022" location="" tooltip="" display=""/>
    <hyperlink ref="Q12514" r:id="rId25023" location="" tooltip="" display=""/>
    <hyperlink ref="R12514" r:id="rId25024" location="" tooltip="" display=""/>
    <hyperlink ref="K12516" r:id="rId25025" location="" tooltip="" display=""/>
    <hyperlink ref="L12516" r:id="rId25026" location="" tooltip="" display=""/>
    <hyperlink ref="Q12516" r:id="rId25027" location="" tooltip="" display=""/>
    <hyperlink ref="R12516" r:id="rId25028" location="" tooltip="" display=""/>
    <hyperlink ref="L12517" r:id="rId25029" location="" tooltip="" display=""/>
    <hyperlink ref="R12517" r:id="rId25030" location="" tooltip="" display=""/>
    <hyperlink ref="L12519" r:id="rId25031" location="" tooltip="" display=""/>
    <hyperlink ref="R12519" r:id="rId25032" location="" tooltip="" display=""/>
    <hyperlink ref="K12520" r:id="rId25033" location="" tooltip="" display=""/>
    <hyperlink ref="L12520" r:id="rId25034" location="" tooltip="" display=""/>
    <hyperlink ref="Q12520" r:id="rId25035" location="" tooltip="" display=""/>
    <hyperlink ref="R12520" r:id="rId25036" location="" tooltip="" display=""/>
    <hyperlink ref="L12521" r:id="rId25037" location="" tooltip="" display=""/>
    <hyperlink ref="R12521" r:id="rId25038" location="" tooltip="" display=""/>
    <hyperlink ref="L12522" r:id="rId25039" location="" tooltip="" display=""/>
    <hyperlink ref="R12522" r:id="rId25040" location="" tooltip="" display=""/>
    <hyperlink ref="K12524" r:id="rId25041" location="" tooltip="" display=""/>
    <hyperlink ref="L12524" r:id="rId25042" location="" tooltip="" display=""/>
    <hyperlink ref="Q12524" r:id="rId25043" location="" tooltip="" display=""/>
    <hyperlink ref="R12524" r:id="rId25044" location="" tooltip="" display=""/>
    <hyperlink ref="L12525" r:id="rId25045" location="" tooltip="" display=""/>
    <hyperlink ref="R12525" r:id="rId25046" location="" tooltip="" display=""/>
    <hyperlink ref="K12527" r:id="rId25047" location="" tooltip="" display=""/>
    <hyperlink ref="L12527" r:id="rId25048" location="" tooltip="" display=""/>
    <hyperlink ref="Q12527" r:id="rId25049" location="" tooltip="" display=""/>
    <hyperlink ref="R12527" r:id="rId25050" location="" tooltip="" display=""/>
    <hyperlink ref="K12529" r:id="rId25051" location="" tooltip="" display=""/>
    <hyperlink ref="L12529" r:id="rId25052" location="" tooltip="" display=""/>
    <hyperlink ref="Q12529" r:id="rId25053" location="" tooltip="" display=""/>
    <hyperlink ref="R12529" r:id="rId25054" location="" tooltip="" display=""/>
    <hyperlink ref="K12531" r:id="rId25055" location="" tooltip="" display=""/>
    <hyperlink ref="L12531" r:id="rId25056" location="" tooltip="" display=""/>
    <hyperlink ref="Q12531" r:id="rId25057" location="" tooltip="" display=""/>
    <hyperlink ref="R12531" r:id="rId25058" location="" tooltip="" display=""/>
    <hyperlink ref="K12533" r:id="rId25059" location="" tooltip="" display=""/>
    <hyperlink ref="L12533" r:id="rId25060" location="" tooltip="" display=""/>
    <hyperlink ref="Q12533" r:id="rId25061" location="" tooltip="" display=""/>
    <hyperlink ref="R12533" r:id="rId25062" location="" tooltip="" display=""/>
    <hyperlink ref="K12535" r:id="rId25063" location="" tooltip="" display=""/>
    <hyperlink ref="L12535" r:id="rId25064" location="" tooltip="" display=""/>
    <hyperlink ref="Q12535" r:id="rId25065" location="" tooltip="" display=""/>
    <hyperlink ref="R12535" r:id="rId25066" location="" tooltip="" display=""/>
    <hyperlink ref="L12536" r:id="rId25067" location="" tooltip="" display=""/>
    <hyperlink ref="R12536" r:id="rId25068" location="" tooltip="" display=""/>
    <hyperlink ref="K12538" r:id="rId25069" location="" tooltip="" display=""/>
    <hyperlink ref="L12538" r:id="rId25070" location="" tooltip="" display=""/>
    <hyperlink ref="Q12538" r:id="rId25071" location="" tooltip="" display=""/>
    <hyperlink ref="R12538" r:id="rId25072" location="" tooltip="" display=""/>
    <hyperlink ref="L12539" r:id="rId25073" location="" tooltip="" display=""/>
    <hyperlink ref="R12539" r:id="rId25074" location="" tooltip="" display=""/>
    <hyperlink ref="K12541" r:id="rId25075" location="" tooltip="" display=""/>
    <hyperlink ref="L12541" r:id="rId25076" location="" tooltip="" display=""/>
    <hyperlink ref="Q12541" r:id="rId25077" location="" tooltip="" display=""/>
    <hyperlink ref="R12541" r:id="rId25078" location="" tooltip="" display=""/>
    <hyperlink ref="L12542" r:id="rId25079" location="" tooltip="" display=""/>
    <hyperlink ref="R12542" r:id="rId25080" location="" tooltip="" display=""/>
    <hyperlink ref="K12544" r:id="rId25081" location="" tooltip="" display=""/>
    <hyperlink ref="L12544" r:id="rId25082" location="" tooltip="" display=""/>
    <hyperlink ref="Q12544" r:id="rId25083" location="" tooltip="" display=""/>
    <hyperlink ref="R12544" r:id="rId25084" location="" tooltip="" display=""/>
    <hyperlink ref="L12545" r:id="rId25085" location="" tooltip="" display=""/>
    <hyperlink ref="R12545" r:id="rId25086" location="" tooltip="" display=""/>
    <hyperlink ref="K12547" r:id="rId25087" location="" tooltip="" display=""/>
    <hyperlink ref="L12547" r:id="rId25088" location="" tooltip="" display=""/>
    <hyperlink ref="Q12547" r:id="rId25089" location="" tooltip="" display=""/>
    <hyperlink ref="R12547" r:id="rId25090" location="" tooltip="" display=""/>
    <hyperlink ref="K12549" r:id="rId25091" location="" tooltip="" display=""/>
    <hyperlink ref="L12549" r:id="rId25092" location="" tooltip="" display=""/>
    <hyperlink ref="Q12549" r:id="rId25093" location="" tooltip="" display=""/>
    <hyperlink ref="R12549" r:id="rId25094" location="" tooltip="" display=""/>
    <hyperlink ref="L12550" r:id="rId25095" location="" tooltip="" display=""/>
    <hyperlink ref="R12550" r:id="rId25096" location="" tooltip="" display=""/>
    <hyperlink ref="K12552" r:id="rId25097" location="" tooltip="" display=""/>
    <hyperlink ref="L12552" r:id="rId25098" location="" tooltip="" display=""/>
    <hyperlink ref="Q12552" r:id="rId25099" location="" tooltip="" display=""/>
    <hyperlink ref="R12552" r:id="rId25100" location="" tooltip="" display=""/>
    <hyperlink ref="L12553" r:id="rId25101" location="" tooltip="" display=""/>
    <hyperlink ref="R12553" r:id="rId25102" location="" tooltip="" display=""/>
    <hyperlink ref="K12555" r:id="rId25103" location="" tooltip="" display=""/>
    <hyperlink ref="L12555" r:id="rId25104" location="" tooltip="" display=""/>
    <hyperlink ref="Q12555" r:id="rId25105" location="" tooltip="" display=""/>
    <hyperlink ref="R12555" r:id="rId25106" location="" tooltip="" display=""/>
    <hyperlink ref="L12556" r:id="rId25107" location="" tooltip="" display=""/>
    <hyperlink ref="R12556" r:id="rId25108" location="" tooltip="" display=""/>
    <hyperlink ref="K12558" r:id="rId25109" location="" tooltip="" display=""/>
    <hyperlink ref="L12558" r:id="rId25110" location="" tooltip="" display=""/>
    <hyperlink ref="Q12558" r:id="rId25111" location="" tooltip="" display=""/>
    <hyperlink ref="R12558" r:id="rId25112" location="" tooltip="" display=""/>
    <hyperlink ref="K12560" r:id="rId25113" location="" tooltip="" display=""/>
    <hyperlink ref="L12560" r:id="rId25114" location="" tooltip="" display=""/>
    <hyperlink ref="Q12560" r:id="rId25115" location="" tooltip="" display=""/>
    <hyperlink ref="R12560" r:id="rId25116" location="" tooltip="" display=""/>
    <hyperlink ref="L12561" r:id="rId25117" location="" tooltip="" display=""/>
    <hyperlink ref="R12561" r:id="rId25118" location="" tooltip="" display=""/>
    <hyperlink ref="K12563" r:id="rId25119" location="" tooltip="" display=""/>
    <hyperlink ref="L12563" r:id="rId25120" location="" tooltip="" display=""/>
    <hyperlink ref="Q12563" r:id="rId25121" location="" tooltip="" display=""/>
    <hyperlink ref="R12563" r:id="rId25122" location="" tooltip="" display=""/>
    <hyperlink ref="L12564" r:id="rId25123" location="" tooltip="" display=""/>
    <hyperlink ref="R12564" r:id="rId25124" location="" tooltip="" display=""/>
    <hyperlink ref="K12566" r:id="rId25125" location="" tooltip="" display=""/>
    <hyperlink ref="L12566" r:id="rId25126" location="" tooltip="" display=""/>
    <hyperlink ref="Q12566" r:id="rId25127" location="" tooltip="" display=""/>
    <hyperlink ref="R12566" r:id="rId25128" location="" tooltip="" display=""/>
    <hyperlink ref="L12567" r:id="rId25129" location="" tooltip="" display=""/>
    <hyperlink ref="R12567" r:id="rId25130" location="" tooltip="" display=""/>
    <hyperlink ref="K12569" r:id="rId25131" location="" tooltip="" display=""/>
    <hyperlink ref="L12569" r:id="rId25132" location="" tooltip="" display=""/>
    <hyperlink ref="Q12569" r:id="rId25133" location="" tooltip="" display=""/>
    <hyperlink ref="R12569" r:id="rId25134" location="" tooltip="" display=""/>
    <hyperlink ref="L12570" r:id="rId25135" location="" tooltip="" display=""/>
    <hyperlink ref="R12570" r:id="rId25136" location="" tooltip="" display=""/>
    <hyperlink ref="K12572" r:id="rId25137" location="" tooltip="" display=""/>
    <hyperlink ref="L12572" r:id="rId25138" location="" tooltip="" display=""/>
    <hyperlink ref="Q12572" r:id="rId25139" location="" tooltip="" display=""/>
    <hyperlink ref="R12572" r:id="rId25140" location="" tooltip="" display=""/>
    <hyperlink ref="L12573" r:id="rId25141" location="" tooltip="" display=""/>
    <hyperlink ref="R12573" r:id="rId25142" location="" tooltip="" display=""/>
    <hyperlink ref="K12575" r:id="rId25143" location="" tooltip="" display=""/>
    <hyperlink ref="L12575" r:id="rId25144" location="" tooltip="" display=""/>
    <hyperlink ref="Q12575" r:id="rId25145" location="" tooltip="" display=""/>
    <hyperlink ref="R12575" r:id="rId25146" location="" tooltip="" display=""/>
    <hyperlink ref="L12576" r:id="rId25147" location="" tooltip="" display=""/>
    <hyperlink ref="R12576" r:id="rId25148" location="" tooltip="" display=""/>
    <hyperlink ref="K12578" r:id="rId25149" location="" tooltip="" display=""/>
    <hyperlink ref="L12578" r:id="rId25150" location="" tooltip="" display=""/>
    <hyperlink ref="Q12578" r:id="rId25151" location="" tooltip="" display=""/>
    <hyperlink ref="R12578" r:id="rId25152" location="" tooltip="" display=""/>
    <hyperlink ref="L12580" r:id="rId25153" location="" tooltip="" display=""/>
    <hyperlink ref="R12580" r:id="rId25154" location="" tooltip="" display=""/>
    <hyperlink ref="L12581" r:id="rId25155" location="" tooltip="" display=""/>
    <hyperlink ref="R12581" r:id="rId25156" location="" tooltip="" display=""/>
    <hyperlink ref="K12582" r:id="rId25157" location="" tooltip="" display=""/>
    <hyperlink ref="L12582" r:id="rId25158" location="" tooltip="" display=""/>
    <hyperlink ref="Q12582" r:id="rId25159" location="" tooltip="" display=""/>
    <hyperlink ref="R12582" r:id="rId25160" location="" tooltip="" display=""/>
    <hyperlink ref="L12583" r:id="rId25161" location="" tooltip="" display=""/>
    <hyperlink ref="R12583" r:id="rId25162" location="" tooltip="" display=""/>
    <hyperlink ref="L12584" r:id="rId25163" location="" tooltip="" display=""/>
    <hyperlink ref="R12584" r:id="rId25164" location="" tooltip="" display=""/>
    <hyperlink ref="K12586" r:id="rId25165" location="" tooltip="" display=""/>
    <hyperlink ref="L12586" r:id="rId25166" location="" tooltip="" display=""/>
    <hyperlink ref="Q12586" r:id="rId25167" location="" tooltip="" display=""/>
    <hyperlink ref="R12586" r:id="rId25168" location="" tooltip="" display=""/>
    <hyperlink ref="K12588" r:id="rId25169" location="" tooltip="" display=""/>
    <hyperlink ref="L12588" r:id="rId25170" location="" tooltip="" display=""/>
    <hyperlink ref="Q12588" r:id="rId25171" location="" tooltip="" display=""/>
    <hyperlink ref="R12588" r:id="rId25172" location="" tooltip="" display=""/>
    <hyperlink ref="L12589" r:id="rId25173" location="" tooltip="" display=""/>
    <hyperlink ref="R12589" r:id="rId25174" location="" tooltip="" display=""/>
    <hyperlink ref="K12591" r:id="rId25175" location="" tooltip="" display=""/>
    <hyperlink ref="L12591" r:id="rId25176" location="" tooltip="" display=""/>
    <hyperlink ref="Q12591" r:id="rId25177" location="" tooltip="" display=""/>
    <hyperlink ref="R12591" r:id="rId25178" location="" tooltip="" display=""/>
    <hyperlink ref="L12592" r:id="rId25179" location="" tooltip="" display=""/>
    <hyperlink ref="R12592" r:id="rId25180" location="" tooltip="" display=""/>
    <hyperlink ref="K12594" r:id="rId25181" location="" tooltip="" display=""/>
    <hyperlink ref="L12594" r:id="rId25182" location="" tooltip="" display=""/>
    <hyperlink ref="Q12594" r:id="rId25183" location="" tooltip="" display=""/>
    <hyperlink ref="R12594" r:id="rId25184" location="" tooltip="" display=""/>
    <hyperlink ref="L12595" r:id="rId25185" location="" tooltip="" display=""/>
    <hyperlink ref="R12595" r:id="rId25186" location="" tooltip="" display=""/>
    <hyperlink ref="K12597" r:id="rId25187" location="" tooltip="" display=""/>
    <hyperlink ref="L12597" r:id="rId25188" location="" tooltip="" display=""/>
    <hyperlink ref="Q12597" r:id="rId25189" location="" tooltip="" display=""/>
    <hyperlink ref="R12597" r:id="rId25190" location="" tooltip="" display=""/>
    <hyperlink ref="K12599" r:id="rId25191" location="" tooltip="" display=""/>
    <hyperlink ref="L12599" r:id="rId25192" location="" tooltip="" display=""/>
    <hyperlink ref="Q12599" r:id="rId25193" location="" tooltip="" display=""/>
    <hyperlink ref="R12599" r:id="rId25194" location="" tooltip="" display=""/>
    <hyperlink ref="L12601" r:id="rId25195" location="" tooltip="" display=""/>
    <hyperlink ref="R12601" r:id="rId25196" location="" tooltip="" display=""/>
    <hyperlink ref="K12602" r:id="rId25197" location="" tooltip="" display=""/>
    <hyperlink ref="L12602" r:id="rId25198" location="" tooltip="" display=""/>
    <hyperlink ref="Q12602" r:id="rId25199" location="" tooltip="" display=""/>
    <hyperlink ref="R12602" r:id="rId25200" location="" tooltip="" display=""/>
    <hyperlink ref="L12603" r:id="rId25201" location="" tooltip="" display=""/>
    <hyperlink ref="R12603" r:id="rId25202" location="" tooltip="" display=""/>
    <hyperlink ref="L12604" r:id="rId25203" location="" tooltip="" display=""/>
    <hyperlink ref="R12604" r:id="rId25204" location="" tooltip="" display=""/>
    <hyperlink ref="K12606" r:id="rId25205" location="" tooltip="" display=""/>
    <hyperlink ref="L12606" r:id="rId25206" location="" tooltip="" display=""/>
    <hyperlink ref="Q12606" r:id="rId25207" location="" tooltip="" display=""/>
    <hyperlink ref="R12606" r:id="rId25208" location="" tooltip="" display=""/>
    <hyperlink ref="L12607" r:id="rId25209" location="" tooltip="" display=""/>
    <hyperlink ref="R12607" r:id="rId25210" location="" tooltip="" display=""/>
    <hyperlink ref="K12609" r:id="rId25211" location="" tooltip="" display=""/>
    <hyperlink ref="L12609" r:id="rId25212" location="" tooltip="" display=""/>
    <hyperlink ref="Q12609" r:id="rId25213" location="" tooltip="" display=""/>
    <hyperlink ref="R12609" r:id="rId25214" location="" tooltip="" display=""/>
    <hyperlink ref="L12611" r:id="rId25215" location="" tooltip="" display=""/>
    <hyperlink ref="R12611" r:id="rId25216" location="" tooltip="" display=""/>
    <hyperlink ref="K12612" r:id="rId25217" location="" tooltip="" display=""/>
    <hyperlink ref="L12612" r:id="rId25218" location="" tooltip="" display=""/>
    <hyperlink ref="Q12612" r:id="rId25219" location="" tooltip="" display=""/>
    <hyperlink ref="R12612" r:id="rId25220" location="" tooltip="" display=""/>
    <hyperlink ref="L12613" r:id="rId25221" location="" tooltip="" display=""/>
    <hyperlink ref="R12613" r:id="rId25222" location="" tooltip="" display=""/>
    <hyperlink ref="K12615" r:id="rId25223" location="" tooltip="" display=""/>
    <hyperlink ref="L12615" r:id="rId25224" location="" tooltip="" display=""/>
    <hyperlink ref="Q12615" r:id="rId25225" location="" tooltip="" display=""/>
    <hyperlink ref="R12615" r:id="rId25226" location="" tooltip="" display=""/>
    <hyperlink ref="L12616" r:id="rId25227" location="" tooltip="" display=""/>
    <hyperlink ref="R12616" r:id="rId25228" location="" tooltip="" display=""/>
    <hyperlink ref="K12618" r:id="rId25229" location="" tooltip="" display=""/>
    <hyperlink ref="L12618" r:id="rId25230" location="" tooltip="" display=""/>
    <hyperlink ref="Q12618" r:id="rId25231" location="" tooltip="" display=""/>
    <hyperlink ref="R12618" r:id="rId25232" location="" tooltip="" display=""/>
    <hyperlink ref="K12620" r:id="rId25233" location="" tooltip="" display=""/>
    <hyperlink ref="L12620" r:id="rId25234" location="" tooltip="" display=""/>
    <hyperlink ref="Q12620" r:id="rId25235" location="" tooltip="" display=""/>
    <hyperlink ref="R12620" r:id="rId25236" location="" tooltip="" display=""/>
    <hyperlink ref="L12621" r:id="rId25237" location="" tooltip="" display=""/>
    <hyperlink ref="R12621" r:id="rId25238" location="" tooltip="" display=""/>
    <hyperlink ref="K12623" r:id="rId25239" location="" tooltip="" display=""/>
    <hyperlink ref="L12623" r:id="rId25240" location="" tooltip="" display=""/>
    <hyperlink ref="Q12623" r:id="rId25241" location="" tooltip="" display=""/>
    <hyperlink ref="R12623" r:id="rId25242" location="" tooltip="" display=""/>
    <hyperlink ref="L12624" r:id="rId25243" location="" tooltip="" display=""/>
    <hyperlink ref="R12624" r:id="rId25244" location="" tooltip="" display=""/>
    <hyperlink ref="K12626" r:id="rId25245" location="" tooltip="" display=""/>
    <hyperlink ref="L12626" r:id="rId25246" location="" tooltip="" display=""/>
    <hyperlink ref="Q12626" r:id="rId25247" location="" tooltip="" display=""/>
    <hyperlink ref="R12626" r:id="rId25248" location="" tooltip="" display=""/>
    <hyperlink ref="K12628" r:id="rId25249" location="" tooltip="" display=""/>
    <hyperlink ref="L12628" r:id="rId25250" location="" tooltip="" display=""/>
    <hyperlink ref="Q12628" r:id="rId25251" location="" tooltip="" display=""/>
    <hyperlink ref="R12628" r:id="rId25252" location="" tooltip="" display=""/>
    <hyperlink ref="K12630" r:id="rId25253" location="" tooltip="" display=""/>
    <hyperlink ref="L12630" r:id="rId25254" location="" tooltip="" display=""/>
    <hyperlink ref="Q12630" r:id="rId25255" location="" tooltip="" display=""/>
    <hyperlink ref="R12630" r:id="rId25256" location="" tooltip="" display=""/>
    <hyperlink ref="L12631" r:id="rId25257" location="" tooltip="" display=""/>
    <hyperlink ref="R12631" r:id="rId25258" location="" tooltip="" display=""/>
    <hyperlink ref="K12633" r:id="rId25259" location="" tooltip="" display=""/>
    <hyperlink ref="L12633" r:id="rId25260" location="" tooltip="" display=""/>
    <hyperlink ref="Q12633" r:id="rId25261" location="" tooltip="" display=""/>
    <hyperlink ref="R12633" r:id="rId25262" location="" tooltip="" display=""/>
    <hyperlink ref="L12634" r:id="rId25263" location="" tooltip="" display=""/>
    <hyperlink ref="R12634" r:id="rId25264" location="" tooltip="" display=""/>
    <hyperlink ref="K12636" r:id="rId25265" location="" tooltip="" display=""/>
    <hyperlink ref="L12636" r:id="rId25266" location="" tooltip="" display=""/>
    <hyperlink ref="Q12636" r:id="rId25267" location="" tooltip="" display=""/>
    <hyperlink ref="R12636" r:id="rId25268" location="" tooltip="" display=""/>
    <hyperlink ref="K12638" r:id="rId25269" location="" tooltip="" display=""/>
    <hyperlink ref="L12638" r:id="rId25270" location="" tooltip="" display=""/>
    <hyperlink ref="Q12638" r:id="rId25271" location="" tooltip="" display=""/>
    <hyperlink ref="R12638" r:id="rId25272" location="" tooltip="" display=""/>
    <hyperlink ref="K12640" r:id="rId25273" location="" tooltip="" display=""/>
    <hyperlink ref="L12640" r:id="rId25274" location="" tooltip="" display=""/>
    <hyperlink ref="Q12640" r:id="rId25275" location="" tooltip="" display=""/>
    <hyperlink ref="R12640" r:id="rId25276" location="" tooltip="" display=""/>
    <hyperlink ref="K12642" r:id="rId25277" location="" tooltip="" display=""/>
    <hyperlink ref="L12642" r:id="rId25278" location="" tooltip="" display=""/>
    <hyperlink ref="Q12642" r:id="rId25279" location="" tooltip="" display=""/>
    <hyperlink ref="R12642" r:id="rId25280" location="" tooltip="" display=""/>
    <hyperlink ref="K12644" r:id="rId25281" location="" tooltip="" display=""/>
    <hyperlink ref="L12644" r:id="rId25282" location="" tooltip="" display=""/>
    <hyperlink ref="Q12644" r:id="rId25283" location="" tooltip="" display=""/>
    <hyperlink ref="R12644" r:id="rId25284" location="" tooltip="" display=""/>
    <hyperlink ref="K12646" r:id="rId25285" location="" tooltip="" display=""/>
    <hyperlink ref="L12646" r:id="rId25286" location="" tooltip="" display=""/>
    <hyperlink ref="Q12646" r:id="rId25287" location="" tooltip="" display=""/>
    <hyperlink ref="R12646" r:id="rId25288" location="" tooltip="" display=""/>
    <hyperlink ref="K12648" r:id="rId25289" location="" tooltip="" display=""/>
    <hyperlink ref="L12648" r:id="rId25290" location="" tooltip="" display=""/>
    <hyperlink ref="Q12648" r:id="rId25291" location="" tooltip="" display=""/>
    <hyperlink ref="R12648" r:id="rId25292" location="" tooltip="" display=""/>
    <hyperlink ref="L12649" r:id="rId25293" location="" tooltip="" display=""/>
    <hyperlink ref="R12649" r:id="rId25294" location="" tooltip="" display=""/>
    <hyperlink ref="K12651" r:id="rId25295" location="" tooltip="" display=""/>
    <hyperlink ref="L12651" r:id="rId25296" location="" tooltip="" display=""/>
    <hyperlink ref="Q12651" r:id="rId25297" location="" tooltip="" display=""/>
    <hyperlink ref="R12651" r:id="rId25298" location="" tooltip="" display=""/>
    <hyperlink ref="K12653" r:id="rId25299" location="" tooltip="" display=""/>
    <hyperlink ref="L12653" r:id="rId25300" location="" tooltip="" display=""/>
    <hyperlink ref="Q12653" r:id="rId25301" location="" tooltip="" display=""/>
    <hyperlink ref="R12653" r:id="rId25302" location="" tooltip="" display=""/>
    <hyperlink ref="K12655" r:id="rId25303" location="" tooltip="" display=""/>
    <hyperlink ref="L12655" r:id="rId25304" location="" tooltip="" display=""/>
    <hyperlink ref="Q12655" r:id="rId25305" location="" tooltip="" display=""/>
    <hyperlink ref="R12655" r:id="rId25306" location="" tooltip="" display=""/>
    <hyperlink ref="K12657" r:id="rId25307" location="" tooltip="" display=""/>
    <hyperlink ref="L12657" r:id="rId25308" location="" tooltip="" display=""/>
    <hyperlink ref="Q12657" r:id="rId25309" location="" tooltip="" display=""/>
    <hyperlink ref="R12657" r:id="rId25310" location="" tooltip="" display=""/>
    <hyperlink ref="L12658" r:id="rId25311" location="" tooltip="" display=""/>
    <hyperlink ref="R12658" r:id="rId25312" location="" tooltip="" display=""/>
    <hyperlink ref="K12660" r:id="rId25313" location="" tooltip="" display=""/>
    <hyperlink ref="L12660" r:id="rId25314" location="" tooltip="" display=""/>
    <hyperlink ref="Q12660" r:id="rId25315" location="" tooltip="" display=""/>
    <hyperlink ref="R12660" r:id="rId25316" location="" tooltip="" display=""/>
    <hyperlink ref="K12662" r:id="rId25317" location="" tooltip="" display=""/>
    <hyperlink ref="L12662" r:id="rId25318" location="" tooltip="" display=""/>
    <hyperlink ref="Q12662" r:id="rId25319" location="" tooltip="" display=""/>
    <hyperlink ref="R12662" r:id="rId25320" location="" tooltip="" display=""/>
    <hyperlink ref="K12664" r:id="rId25321" location="" tooltip="" display=""/>
    <hyperlink ref="L12664" r:id="rId25322" location="" tooltip="" display=""/>
    <hyperlink ref="Q12664" r:id="rId25323" location="" tooltip="" display=""/>
    <hyperlink ref="R12664" r:id="rId25324" location="" tooltip="" display=""/>
    <hyperlink ref="K12666" r:id="rId25325" location="" tooltip="" display=""/>
    <hyperlink ref="L12666" r:id="rId25326" location="" tooltip="" display=""/>
    <hyperlink ref="Q12666" r:id="rId25327" location="" tooltip="" display=""/>
    <hyperlink ref="R12666" r:id="rId25328" location="" tooltip="" display=""/>
    <hyperlink ref="L12667" r:id="rId25329" location="" tooltip="" display=""/>
    <hyperlink ref="R12667" r:id="rId25330" location="" tooltip="" display=""/>
    <hyperlink ref="K12669" r:id="rId25331" location="" tooltip="" display=""/>
    <hyperlink ref="L12669" r:id="rId25332" location="" tooltip="" display=""/>
    <hyperlink ref="Q12669" r:id="rId25333" location="" tooltip="" display=""/>
    <hyperlink ref="R12669" r:id="rId25334" location="" tooltip="" display=""/>
    <hyperlink ref="K12671" r:id="rId25335" location="" tooltip="" display=""/>
    <hyperlink ref="L12671" r:id="rId25336" location="" tooltip="" display=""/>
    <hyperlink ref="Q12671" r:id="rId25337" location="" tooltip="" display=""/>
    <hyperlink ref="R12671" r:id="rId25338" location="" tooltip="" display=""/>
    <hyperlink ref="L12673" r:id="rId25339" location="" tooltip="" display=""/>
    <hyperlink ref="R12673" r:id="rId25340" location="" tooltip="" display=""/>
    <hyperlink ref="K12674" r:id="rId25341" location="" tooltip="" display=""/>
    <hyperlink ref="L12674" r:id="rId25342" location="" tooltip="" display=""/>
    <hyperlink ref="Q12674" r:id="rId25343" location="" tooltip="" display=""/>
    <hyperlink ref="R12674" r:id="rId25344" location="" tooltip="" display=""/>
    <hyperlink ref="L12675" r:id="rId25345" location="" tooltip="" display=""/>
    <hyperlink ref="R12675" r:id="rId25346" location="" tooltip="" display=""/>
    <hyperlink ref="K12677" r:id="rId25347" location="" tooltip="" display=""/>
    <hyperlink ref="L12677" r:id="rId25348" location="" tooltip="" display=""/>
    <hyperlink ref="Q12677" r:id="rId25349" location="" tooltip="" display=""/>
    <hyperlink ref="R12677" r:id="rId25350" location="" tooltip="" display=""/>
    <hyperlink ref="K12679" r:id="rId25351" location="" tooltip="" display=""/>
    <hyperlink ref="L12679" r:id="rId25352" location="" tooltip="" display=""/>
    <hyperlink ref="Q12679" r:id="rId25353" location="" tooltip="" display=""/>
    <hyperlink ref="R12679" r:id="rId25354" location="" tooltip="" display=""/>
    <hyperlink ref="K12681" r:id="rId25355" location="" tooltip="" display=""/>
    <hyperlink ref="L12681" r:id="rId25356" location="" tooltip="" display=""/>
    <hyperlink ref="Q12681" r:id="rId25357" location="" tooltip="" display=""/>
    <hyperlink ref="R12681" r:id="rId25358" location="" tooltip="" display=""/>
    <hyperlink ref="L12682" r:id="rId25359" location="" tooltip="" display=""/>
    <hyperlink ref="R12682" r:id="rId25360" location="" tooltip="" display=""/>
    <hyperlink ref="K12684" r:id="rId25361" location="" tooltip="" display=""/>
    <hyperlink ref="L12684" r:id="rId25362" location="" tooltip="" display=""/>
    <hyperlink ref="Q12684" r:id="rId25363" location="" tooltip="" display=""/>
    <hyperlink ref="R12684" r:id="rId25364" location="" tooltip="" display=""/>
    <hyperlink ref="K12686" r:id="rId25365" location="" tooltip="" display=""/>
    <hyperlink ref="L12686" r:id="rId25366" location="" tooltip="" display=""/>
    <hyperlink ref="Q12686" r:id="rId25367" location="" tooltip="" display=""/>
    <hyperlink ref="R12686" r:id="rId25368" location="" tooltip="" display=""/>
    <hyperlink ref="K12688" r:id="rId25369" location="" tooltip="" display=""/>
    <hyperlink ref="L12688" r:id="rId25370" location="" tooltip="" display=""/>
    <hyperlink ref="Q12688" r:id="rId25371" location="" tooltip="" display=""/>
    <hyperlink ref="R12688" r:id="rId25372" location="" tooltip="" display=""/>
    <hyperlink ref="L12689" r:id="rId25373" location="" tooltip="" display=""/>
    <hyperlink ref="R12689" r:id="rId25374" location="" tooltip="" display=""/>
    <hyperlink ref="K12691" r:id="rId25375" location="" tooltip="" display=""/>
    <hyperlink ref="L12691" r:id="rId25376" location="" tooltip="" display=""/>
    <hyperlink ref="Q12691" r:id="rId25377" location="" tooltip="" display=""/>
    <hyperlink ref="R12691" r:id="rId25378" location="" tooltip="" display=""/>
    <hyperlink ref="L12692" r:id="rId25379" location="" tooltip="" display=""/>
    <hyperlink ref="R12692" r:id="rId25380" location="" tooltip="" display=""/>
    <hyperlink ref="K12694" r:id="rId25381" location="" tooltip="" display=""/>
    <hyperlink ref="L12694" r:id="rId25382" location="" tooltip="" display=""/>
    <hyperlink ref="Q12694" r:id="rId25383" location="" tooltip="" display=""/>
    <hyperlink ref="R12694" r:id="rId25384" location="" tooltip="" display=""/>
    <hyperlink ref="K12696" r:id="rId25385" location="" tooltip="" display=""/>
    <hyperlink ref="L12696" r:id="rId25386" location="" tooltip="" display=""/>
    <hyperlink ref="Q12696" r:id="rId25387" location="" tooltip="" display=""/>
    <hyperlink ref="R12696" r:id="rId25388" location="" tooltip="" display=""/>
    <hyperlink ref="K12698" r:id="rId25389" location="" tooltip="" display=""/>
    <hyperlink ref="L12698" r:id="rId25390" location="" tooltip="" display=""/>
    <hyperlink ref="Q12698" r:id="rId25391" location="" tooltip="" display=""/>
    <hyperlink ref="R12698" r:id="rId25392" location="" tooltip="" display=""/>
    <hyperlink ref="L12699" r:id="rId25393" location="" tooltip="" display=""/>
    <hyperlink ref="R12699" r:id="rId25394" location="" tooltip="" display=""/>
    <hyperlink ref="L12701" r:id="rId25395" location="" tooltip="" display=""/>
    <hyperlink ref="R12701" r:id="rId25396" location="" tooltip="" display=""/>
    <hyperlink ref="K12702" r:id="rId25397" location="" tooltip="" display=""/>
    <hyperlink ref="L12702" r:id="rId25398" location="" tooltip="" display=""/>
    <hyperlink ref="Q12702" r:id="rId25399" location="" tooltip="" display=""/>
    <hyperlink ref="R12702" r:id="rId25400" location="" tooltip="" display=""/>
    <hyperlink ref="L12703" r:id="rId25401" location="" tooltip="" display=""/>
    <hyperlink ref="R12703" r:id="rId25402" location="" tooltip="" display=""/>
    <hyperlink ref="L12704" r:id="rId25403" location="" tooltip="" display=""/>
    <hyperlink ref="R12704" r:id="rId25404" location="" tooltip="" display=""/>
    <hyperlink ref="L12706" r:id="rId25405" location="" tooltip="" display=""/>
    <hyperlink ref="R12706" r:id="rId25406" location="" tooltip="" display=""/>
    <hyperlink ref="K12707" r:id="rId25407" location="" tooltip="" display=""/>
    <hyperlink ref="L12707" r:id="rId25408" location="" tooltip="" display=""/>
    <hyperlink ref="Q12707" r:id="rId25409" location="" tooltip="" display=""/>
    <hyperlink ref="R12707" r:id="rId25410" location="" tooltip="" display=""/>
    <hyperlink ref="L12708" r:id="rId25411" location="" tooltip="" display=""/>
    <hyperlink ref="R12708" r:id="rId25412" location="" tooltip="" display=""/>
    <hyperlink ref="L12709" r:id="rId25413" location="" tooltip="" display=""/>
    <hyperlink ref="R12709" r:id="rId25414" location="" tooltip="" display=""/>
    <hyperlink ref="K12711" r:id="rId25415" location="" tooltip="" display=""/>
    <hyperlink ref="L12711" r:id="rId25416" location="" tooltip="" display=""/>
    <hyperlink ref="Q12711" r:id="rId25417" location="" tooltip="" display=""/>
    <hyperlink ref="R12711" r:id="rId25418" location="" tooltip="" display=""/>
    <hyperlink ref="K12713" r:id="rId25419" location="" tooltip="" display=""/>
    <hyperlink ref="L12713" r:id="rId25420" location="" tooltip="" display=""/>
    <hyperlink ref="Q12713" r:id="rId25421" location="" tooltip="" display=""/>
    <hyperlink ref="R12713" r:id="rId25422" location="" tooltip="" display=""/>
    <hyperlink ref="L12714" r:id="rId25423" location="" tooltip="" display=""/>
    <hyperlink ref="R12714" r:id="rId25424" location="" tooltip="" display=""/>
    <hyperlink ref="K12716" r:id="rId25425" location="" tooltip="" display=""/>
    <hyperlink ref="L12716" r:id="rId25426" location="" tooltip="" display=""/>
    <hyperlink ref="Q12716" r:id="rId25427" location="" tooltip="" display=""/>
    <hyperlink ref="R12716" r:id="rId25428" location="" tooltip="" display=""/>
    <hyperlink ref="L12717" r:id="rId25429" location="" tooltip="" display=""/>
    <hyperlink ref="R12717" r:id="rId25430" location="" tooltip="" display=""/>
    <hyperlink ref="K12719" r:id="rId25431" location="" tooltip="" display=""/>
    <hyperlink ref="L12719" r:id="rId25432" location="" tooltip="" display=""/>
    <hyperlink ref="Q12719" r:id="rId25433" location="" tooltip="" display=""/>
    <hyperlink ref="R12719" r:id="rId25434" location="" tooltip="" display=""/>
    <hyperlink ref="K12721" r:id="rId25435" location="" tooltip="" display=""/>
    <hyperlink ref="L12721" r:id="rId25436" location="" tooltip="" display=""/>
    <hyperlink ref="Q12721" r:id="rId25437" location="" tooltip="" display=""/>
    <hyperlink ref="R12721" r:id="rId25438" location="" tooltip="" display=""/>
    <hyperlink ref="K12723" r:id="rId25439" location="" tooltip="" display=""/>
    <hyperlink ref="L12723" r:id="rId25440" location="" tooltip="" display=""/>
    <hyperlink ref="Q12723" r:id="rId25441" location="" tooltip="" display=""/>
    <hyperlink ref="R12723" r:id="rId25442" location="" tooltip="" display=""/>
    <hyperlink ref="K12725" r:id="rId25443" location="" tooltip="" display=""/>
    <hyperlink ref="L12725" r:id="rId25444" location="" tooltip="" display=""/>
    <hyperlink ref="Q12725" r:id="rId25445" location="" tooltip="" display=""/>
    <hyperlink ref="R12725" r:id="rId25446" location="" tooltip="" display=""/>
    <hyperlink ref="L12726" r:id="rId25447" location="" tooltip="" display=""/>
    <hyperlink ref="R12726" r:id="rId25448" location="" tooltip="" display=""/>
    <hyperlink ref="K12728" r:id="rId25449" location="" tooltip="" display=""/>
    <hyperlink ref="L12728" r:id="rId25450" location="" tooltip="" display=""/>
    <hyperlink ref="Q12728" r:id="rId25451" location="" tooltip="" display=""/>
    <hyperlink ref="R12728" r:id="rId25452" location="" tooltip="" display=""/>
    <hyperlink ref="L12729" r:id="rId25453" location="" tooltip="" display=""/>
    <hyperlink ref="R12729" r:id="rId25454" location="" tooltip="" display=""/>
    <hyperlink ref="K12731" r:id="rId25455" location="" tooltip="" display=""/>
    <hyperlink ref="L12731" r:id="rId25456" location="" tooltip="" display=""/>
    <hyperlink ref="Q12731" r:id="rId25457" location="" tooltip="" display=""/>
    <hyperlink ref="R12731" r:id="rId25458" location="" tooltip="" display=""/>
    <hyperlink ref="L12733" r:id="rId25459" location="" tooltip="" display=""/>
    <hyperlink ref="R12733" r:id="rId25460" location="" tooltip="" display=""/>
    <hyperlink ref="L12734" r:id="rId25461" location="" tooltip="" display=""/>
    <hyperlink ref="R12734" r:id="rId25462" location="" tooltip="" display=""/>
    <hyperlink ref="K12735" r:id="rId25463" location="" tooltip="" display=""/>
    <hyperlink ref="L12735" r:id="rId25464" location="" tooltip="" display=""/>
    <hyperlink ref="Q12735" r:id="rId25465" location="" tooltip="" display=""/>
    <hyperlink ref="R12735" r:id="rId25466" location="" tooltip="" display=""/>
    <hyperlink ref="L12736" r:id="rId25467" location="" tooltip="" display=""/>
    <hyperlink ref="R12736" r:id="rId25468" location="" tooltip="" display=""/>
    <hyperlink ref="L12737" r:id="rId25469" location="" tooltip="" display=""/>
    <hyperlink ref="R12737" r:id="rId25470" location="" tooltip="" display=""/>
    <hyperlink ref="K12739" r:id="rId25471" location="" tooltip="" display=""/>
    <hyperlink ref="L12739" r:id="rId25472" location="" tooltip="" display=""/>
    <hyperlink ref="Q12739" r:id="rId25473" location="" tooltip="" display=""/>
    <hyperlink ref="R12739" r:id="rId25474" location="" tooltip="" display=""/>
    <hyperlink ref="K12741" r:id="rId25475" location="" tooltip="" display=""/>
    <hyperlink ref="L12741" r:id="rId25476" location="" tooltip="" display=""/>
    <hyperlink ref="Q12741" r:id="rId25477" location="" tooltip="" display=""/>
    <hyperlink ref="R12741" r:id="rId25478" location="" tooltip="" display=""/>
    <hyperlink ref="K12743" r:id="rId25479" location="" tooltip="" display=""/>
    <hyperlink ref="L12743" r:id="rId25480" location="" tooltip="" display=""/>
    <hyperlink ref="Q12743" r:id="rId25481" location="" tooltip="" display=""/>
    <hyperlink ref="R12743" r:id="rId25482" location="" tooltip="" display=""/>
    <hyperlink ref="K12745" r:id="rId25483" location="" tooltip="" display=""/>
    <hyperlink ref="L12745" r:id="rId25484" location="" tooltip="" display=""/>
    <hyperlink ref="Q12745" r:id="rId25485" location="" tooltip="" display=""/>
    <hyperlink ref="R12745" r:id="rId25486" location="" tooltip="" display=""/>
    <hyperlink ref="K12747" r:id="rId25487" location="" tooltip="" display=""/>
    <hyperlink ref="L12747" r:id="rId25488" location="" tooltip="" display=""/>
    <hyperlink ref="Q12747" r:id="rId25489" location="" tooltip="" display=""/>
    <hyperlink ref="R12747" r:id="rId25490" location="" tooltip="" display=""/>
    <hyperlink ref="K12749" r:id="rId25491" location="" tooltip="" display=""/>
    <hyperlink ref="L12749" r:id="rId25492" location="" tooltip="" display=""/>
    <hyperlink ref="Q12749" r:id="rId25493" location="" tooltip="" display=""/>
    <hyperlink ref="R12749" r:id="rId25494" location="" tooltip="" display=""/>
    <hyperlink ref="K12751" r:id="rId25495" location="" tooltip="" display=""/>
    <hyperlink ref="L12751" r:id="rId25496" location="" tooltip="" display=""/>
    <hyperlink ref="Q12751" r:id="rId25497" location="" tooltip="" display=""/>
    <hyperlink ref="R12751" r:id="rId25498" location="" tooltip="" display=""/>
    <hyperlink ref="K12753" r:id="rId25499" location="" tooltip="" display=""/>
    <hyperlink ref="L12753" r:id="rId25500" location="" tooltip="" display=""/>
    <hyperlink ref="Q12753" r:id="rId25501" location="" tooltip="" display=""/>
    <hyperlink ref="R12753" r:id="rId25502" location="" tooltip="" display=""/>
    <hyperlink ref="K12755" r:id="rId25503" location="" tooltip="" display=""/>
    <hyperlink ref="L12755" r:id="rId25504" location="" tooltip="" display=""/>
    <hyperlink ref="Q12755" r:id="rId25505" location="" tooltip="" display=""/>
    <hyperlink ref="R12755" r:id="rId25506" location="" tooltip="" display=""/>
    <hyperlink ref="K12757" r:id="rId25507" location="" tooltip="" display=""/>
    <hyperlink ref="L12757" r:id="rId25508" location="" tooltip="" display=""/>
    <hyperlink ref="Q12757" r:id="rId25509" location="" tooltip="" display=""/>
    <hyperlink ref="R12757" r:id="rId25510" location="" tooltip="" display=""/>
    <hyperlink ref="L12758" r:id="rId25511" location="" tooltip="" display=""/>
    <hyperlink ref="R12758" r:id="rId25512" location="" tooltip="" display=""/>
    <hyperlink ref="K12760" r:id="rId25513" location="" tooltip="" display=""/>
    <hyperlink ref="L12760" r:id="rId25514" location="" tooltip="" display=""/>
    <hyperlink ref="Q12760" r:id="rId25515" location="" tooltip="" display=""/>
    <hyperlink ref="R12760" r:id="rId25516" location="" tooltip="" display=""/>
    <hyperlink ref="L12761" r:id="rId25517" location="" tooltip="" display=""/>
    <hyperlink ref="R12761" r:id="rId25518" location="" tooltip="" display=""/>
    <hyperlink ref="L12763" r:id="rId25519" location="" tooltip="" display=""/>
    <hyperlink ref="R12763" r:id="rId25520" location="" tooltip="" display=""/>
    <hyperlink ref="K12764" r:id="rId25521" location="" tooltip="" display=""/>
    <hyperlink ref="L12764" r:id="rId25522" location="" tooltip="" display=""/>
    <hyperlink ref="Q12764" r:id="rId25523" location="" tooltip="" display=""/>
    <hyperlink ref="R12764" r:id="rId25524" location="" tooltip="" display=""/>
    <hyperlink ref="L12765" r:id="rId25525" location="" tooltip="" display=""/>
    <hyperlink ref="R12765" r:id="rId25526" location="" tooltip="" display=""/>
    <hyperlink ref="K12767" r:id="rId25527" location="" tooltip="" display=""/>
    <hyperlink ref="L12767" r:id="rId25528" location="" tooltip="" display=""/>
    <hyperlink ref="Q12767" r:id="rId25529" location="" tooltip="" display=""/>
    <hyperlink ref="R12767" r:id="rId25530" location="" tooltip="" display=""/>
    <hyperlink ref="K12769" r:id="rId25531" location="" tooltip="" display=""/>
    <hyperlink ref="L12769" r:id="rId25532" location="" tooltip="" display=""/>
    <hyperlink ref="Q12769" r:id="rId25533" location="" tooltip="" display=""/>
    <hyperlink ref="R12769" r:id="rId25534" location="" tooltip="" display=""/>
    <hyperlink ref="L12770" r:id="rId25535" location="" tooltip="" display=""/>
    <hyperlink ref="R12770" r:id="rId25536" location="" tooltip="" display=""/>
    <hyperlink ref="K12772" r:id="rId25537" location="" tooltip="" display=""/>
    <hyperlink ref="L12772" r:id="rId25538" location="" tooltip="" display=""/>
    <hyperlink ref="Q12772" r:id="rId25539" location="" tooltip="" display=""/>
    <hyperlink ref="R12772" r:id="rId25540" location="" tooltip="" display=""/>
    <hyperlink ref="L12773" r:id="rId25541" location="" tooltip="" display=""/>
    <hyperlink ref="R12773" r:id="rId25542" location="" tooltip="" display=""/>
    <hyperlink ref="K12775" r:id="rId25543" location="" tooltip="" display=""/>
    <hyperlink ref="L12775" r:id="rId25544" location="" tooltip="" display=""/>
    <hyperlink ref="Q12775" r:id="rId25545" location="" tooltip="" display=""/>
    <hyperlink ref="R12775" r:id="rId25546" location="" tooltip="" display=""/>
    <hyperlink ref="L12776" r:id="rId25547" location="" tooltip="" display=""/>
    <hyperlink ref="R12776" r:id="rId25548" location="" tooltip="" display=""/>
    <hyperlink ref="K12778" r:id="rId25549" location="" tooltip="" display=""/>
    <hyperlink ref="L12778" r:id="rId25550" location="" tooltip="" display=""/>
    <hyperlink ref="Q12778" r:id="rId25551" location="" tooltip="" display=""/>
    <hyperlink ref="R12778" r:id="rId25552" location="" tooltip="" display=""/>
    <hyperlink ref="L12779" r:id="rId25553" location="" tooltip="" display=""/>
    <hyperlink ref="R12779" r:id="rId25554" location="" tooltip="" display=""/>
    <hyperlink ref="K12781" r:id="rId25555" location="" tooltip="" display=""/>
    <hyperlink ref="L12781" r:id="rId25556" location="" tooltip="" display=""/>
    <hyperlink ref="Q12781" r:id="rId25557" location="" tooltip="" display=""/>
    <hyperlink ref="R12781" r:id="rId25558" location="" tooltip="" display=""/>
    <hyperlink ref="L12782" r:id="rId25559" location="" tooltip="" display=""/>
    <hyperlink ref="R12782" r:id="rId25560" location="" tooltip="" display=""/>
    <hyperlink ref="L12784" r:id="rId25561" location="" tooltip="" display=""/>
    <hyperlink ref="R12784" r:id="rId25562" location="" tooltip="" display=""/>
    <hyperlink ref="K12785" r:id="rId25563" location="" tooltip="" display=""/>
    <hyperlink ref="L12785" r:id="rId25564" location="" tooltip="" display=""/>
    <hyperlink ref="Q12785" r:id="rId25565" location="" tooltip="" display=""/>
    <hyperlink ref="R12785" r:id="rId25566" location="" tooltip="" display=""/>
    <hyperlink ref="L12786" r:id="rId25567" location="" tooltip="" display=""/>
    <hyperlink ref="R12786" r:id="rId25568" location="" tooltip="" display=""/>
    <hyperlink ref="K12788" r:id="rId25569" location="" tooltip="" display=""/>
    <hyperlink ref="L12788" r:id="rId25570" location="" tooltip="" display=""/>
    <hyperlink ref="Q12788" r:id="rId25571" location="" tooltip="" display=""/>
    <hyperlink ref="R12788" r:id="rId25572" location="" tooltip="" display=""/>
    <hyperlink ref="L12789" r:id="rId25573" location="" tooltip="" display=""/>
    <hyperlink ref="R12789" r:id="rId25574" location="" tooltip="" display=""/>
    <hyperlink ref="K12791" r:id="rId25575" location="" tooltip="" display=""/>
    <hyperlink ref="L12791" r:id="rId25576" location="" tooltip="" display=""/>
    <hyperlink ref="Q12791" r:id="rId25577" location="" tooltip="" display=""/>
    <hyperlink ref="R12791" r:id="rId25578" location="" tooltip="" display=""/>
    <hyperlink ref="L12793" r:id="rId25579" location="" tooltip="" display=""/>
    <hyperlink ref="R12793" r:id="rId25580" location="" tooltip="" display=""/>
    <hyperlink ref="K12794" r:id="rId25581" location="" tooltip="" display=""/>
    <hyperlink ref="L12794" r:id="rId25582" location="" tooltip="" display=""/>
    <hyperlink ref="Q12794" r:id="rId25583" location="" tooltip="" display=""/>
    <hyperlink ref="R12794" r:id="rId25584" location="" tooltip="" display=""/>
    <hyperlink ref="L12795" r:id="rId25585" location="" tooltip="" display=""/>
    <hyperlink ref="R12795" r:id="rId25586" location="" tooltip="" display=""/>
    <hyperlink ref="L12796" r:id="rId25587" location="" tooltip="" display=""/>
    <hyperlink ref="R12796" r:id="rId25588" location="" tooltip="" display=""/>
    <hyperlink ref="K12798" r:id="rId25589" location="" tooltip="" display=""/>
    <hyperlink ref="L12798" r:id="rId25590" location="" tooltip="" display=""/>
    <hyperlink ref="Q12798" r:id="rId25591" location="" tooltip="" display=""/>
    <hyperlink ref="R12798" r:id="rId25592" location="" tooltip="" display=""/>
    <hyperlink ref="L12800" r:id="rId25593" location="" tooltip="" display=""/>
    <hyperlink ref="R12800" r:id="rId25594" location="" tooltip="" display=""/>
    <hyperlink ref="K12801" r:id="rId25595" location="" tooltip="" display=""/>
    <hyperlink ref="L12801" r:id="rId25596" location="" tooltip="" display=""/>
    <hyperlink ref="Q12801" r:id="rId25597" location="" tooltip="" display=""/>
    <hyperlink ref="R12801" r:id="rId25598" location="" tooltip="" display=""/>
    <hyperlink ref="L12802" r:id="rId25599" location="" tooltip="" display=""/>
    <hyperlink ref="R12802" r:id="rId25600" location="" tooltip="" display=""/>
    <hyperlink ref="L12803" r:id="rId25601" location="" tooltip="" display=""/>
    <hyperlink ref="R12803" r:id="rId25602" location="" tooltip="" display=""/>
    <hyperlink ref="K12805" r:id="rId25603" location="" tooltip="" display=""/>
    <hyperlink ref="L12805" r:id="rId25604" location="" tooltip="" display=""/>
    <hyperlink ref="Q12805" r:id="rId25605" location="" tooltip="" display=""/>
    <hyperlink ref="R12805" r:id="rId25606" location="" tooltip="" display=""/>
    <hyperlink ref="L12806" r:id="rId25607" location="" tooltip="" display=""/>
    <hyperlink ref="R12806" r:id="rId25608" location="" tooltip="" display=""/>
    <hyperlink ref="K12808" r:id="rId25609" location="" tooltip="" display=""/>
    <hyperlink ref="L12808" r:id="rId25610" location="" tooltip="" display=""/>
    <hyperlink ref="Q12808" r:id="rId25611" location="" tooltip="" display=""/>
    <hyperlink ref="R12808" r:id="rId25612" location="" tooltip="" display=""/>
    <hyperlink ref="K12810" r:id="rId25613" location="" tooltip="" display=""/>
    <hyperlink ref="L12810" r:id="rId25614" location="" tooltip="" display=""/>
    <hyperlink ref="Q12810" r:id="rId25615" location="" tooltip="" display=""/>
    <hyperlink ref="R12810" r:id="rId25616" location="" tooltip="" display=""/>
    <hyperlink ref="K12812" r:id="rId25617" location="" tooltip="" display=""/>
    <hyperlink ref="L12812" r:id="rId25618" location="" tooltip="" display=""/>
    <hyperlink ref="Q12812" r:id="rId25619" location="" tooltip="" display=""/>
    <hyperlink ref="R12812" r:id="rId25620" location="" tooltip="" display=""/>
    <hyperlink ref="K12814" r:id="rId25621" location="" tooltip="" display=""/>
    <hyperlink ref="L12814" r:id="rId25622" location="" tooltip="" display=""/>
    <hyperlink ref="Q12814" r:id="rId25623" location="" tooltip="" display=""/>
    <hyperlink ref="R12814" r:id="rId25624" location="" tooltip="" display=""/>
    <hyperlink ref="L12815" r:id="rId25625" location="" tooltip="" display=""/>
    <hyperlink ref="R12815" r:id="rId25626" location="" tooltip="" display=""/>
    <hyperlink ref="K12817" r:id="rId25627" location="" tooltip="" display=""/>
    <hyperlink ref="L12817" r:id="rId25628" location="" tooltip="" display=""/>
    <hyperlink ref="Q12817" r:id="rId25629" location="" tooltip="" display=""/>
    <hyperlink ref="R12817" r:id="rId25630" location="" tooltip="" display=""/>
    <hyperlink ref="K12819" r:id="rId25631" location="" tooltip="" display=""/>
    <hyperlink ref="L12819" r:id="rId25632" location="" tooltip="" display=""/>
    <hyperlink ref="Q12819" r:id="rId25633" location="" tooltip="" display=""/>
    <hyperlink ref="R12819" r:id="rId25634" location="" tooltip="" display=""/>
    <hyperlink ref="K12821" r:id="rId25635" location="" tooltip="" display=""/>
    <hyperlink ref="L12821" r:id="rId25636" location="" tooltip="" display=""/>
    <hyperlink ref="Q12821" r:id="rId25637" location="" tooltip="" display=""/>
    <hyperlink ref="R12821" r:id="rId25638" location="" tooltip="" display=""/>
    <hyperlink ref="L12822" r:id="rId25639" location="" tooltip="" display=""/>
    <hyperlink ref="R12822" r:id="rId25640" location="" tooltip="" display=""/>
    <hyperlink ref="K12824" r:id="rId25641" location="" tooltip="" display=""/>
    <hyperlink ref="L12824" r:id="rId25642" location="" tooltip="" display=""/>
    <hyperlink ref="Q12824" r:id="rId25643" location="" tooltip="" display=""/>
    <hyperlink ref="R12824" r:id="rId25644" location="" tooltip="" display=""/>
    <hyperlink ref="K12826" r:id="rId25645" location="" tooltip="" display=""/>
    <hyperlink ref="L12826" r:id="rId25646" location="" tooltip="" display=""/>
    <hyperlink ref="Q12826" r:id="rId25647" location="" tooltip="" display=""/>
    <hyperlink ref="R12826" r:id="rId25648" location="" tooltip="" display=""/>
    <hyperlink ref="L12827" r:id="rId25649" location="" tooltip="" display=""/>
    <hyperlink ref="R12827" r:id="rId25650" location="" tooltip="" display=""/>
    <hyperlink ref="K12829" r:id="rId25651" location="" tooltip="" display=""/>
    <hyperlink ref="L12829" r:id="rId25652" location="" tooltip="" display=""/>
    <hyperlink ref="Q12829" r:id="rId25653" location="" tooltip="" display=""/>
    <hyperlink ref="R12829" r:id="rId25654" location="" tooltip="" display=""/>
    <hyperlink ref="L12830" r:id="rId25655" location="" tooltip="" display=""/>
    <hyperlink ref="R12830" r:id="rId25656" location="" tooltip="" display=""/>
    <hyperlink ref="K12832" r:id="rId25657" location="" tooltip="" display=""/>
    <hyperlink ref="L12832" r:id="rId25658" location="" tooltip="" display=""/>
    <hyperlink ref="Q12832" r:id="rId25659" location="" tooltip="" display=""/>
    <hyperlink ref="R12832" r:id="rId25660" location="" tooltip="" display=""/>
    <hyperlink ref="K12834" r:id="rId25661" location="" tooltip="" display=""/>
    <hyperlink ref="L12834" r:id="rId25662" location="" tooltip="" display=""/>
    <hyperlink ref="Q12834" r:id="rId25663" location="" tooltip="" display=""/>
    <hyperlink ref="R12834" r:id="rId25664" location="" tooltip="" display=""/>
    <hyperlink ref="K12836" r:id="rId25665" location="" tooltip="" display=""/>
    <hyperlink ref="L12836" r:id="rId25666" location="" tooltip="" display=""/>
    <hyperlink ref="Q12836" r:id="rId25667" location="" tooltip="" display=""/>
    <hyperlink ref="R12836" r:id="rId25668" location="" tooltip="" display=""/>
    <hyperlink ref="K12838" r:id="rId25669" location="" tooltip="" display=""/>
    <hyperlink ref="L12838" r:id="rId25670" location="" tooltip="" display=""/>
    <hyperlink ref="Q12838" r:id="rId25671" location="" tooltip="" display=""/>
    <hyperlink ref="R12838" r:id="rId25672" location="" tooltip="" display=""/>
    <hyperlink ref="L12839" r:id="rId25673" location="" tooltip="" display=""/>
    <hyperlink ref="R12839" r:id="rId25674" location="" tooltip="" display=""/>
    <hyperlink ref="K12841" r:id="rId25675" location="" tooltip="" display=""/>
    <hyperlink ref="L12841" r:id="rId25676" location="" tooltip="" display=""/>
    <hyperlink ref="Q12841" r:id="rId25677" location="" tooltip="" display=""/>
    <hyperlink ref="R12841" r:id="rId25678" location="" tooltip="" display=""/>
    <hyperlink ref="L12842" r:id="rId25679" location="" tooltip="" display=""/>
    <hyperlink ref="R12842" r:id="rId25680" location="" tooltip="" display=""/>
    <hyperlink ref="K12844" r:id="rId25681" location="" tooltip="" display=""/>
    <hyperlink ref="L12844" r:id="rId25682" location="" tooltip="" display=""/>
    <hyperlink ref="Q12844" r:id="rId25683" location="" tooltip="" display=""/>
    <hyperlink ref="R12844" r:id="rId25684" location="" tooltip="" display=""/>
    <hyperlink ref="L12845" r:id="rId25685" location="" tooltip="" display=""/>
    <hyperlink ref="R12845" r:id="rId25686" location="" tooltip="" display=""/>
    <hyperlink ref="K12847" r:id="rId25687" location="" tooltip="" display=""/>
    <hyperlink ref="L12847" r:id="rId25688" location="" tooltip="" display=""/>
    <hyperlink ref="Q12847" r:id="rId25689" location="" tooltip="" display=""/>
    <hyperlink ref="R12847" r:id="rId25690" location="" tooltip="" display=""/>
    <hyperlink ref="L12848" r:id="rId25691" location="" tooltip="" display=""/>
    <hyperlink ref="R12848" r:id="rId25692" location="" tooltip="" display=""/>
    <hyperlink ref="K12850" r:id="rId25693" location="" tooltip="" display=""/>
    <hyperlink ref="L12850" r:id="rId25694" location="" tooltip="" display=""/>
    <hyperlink ref="Q12850" r:id="rId25695" location="" tooltip="" display=""/>
    <hyperlink ref="R12850" r:id="rId25696" location="" tooltip="" display=""/>
    <hyperlink ref="K12852" r:id="rId25697" location="" tooltip="" display=""/>
    <hyperlink ref="L12852" r:id="rId25698" location="" tooltip="" display=""/>
    <hyperlink ref="Q12852" r:id="rId25699" location="" tooltip="" display=""/>
    <hyperlink ref="R12852" r:id="rId25700" location="" tooltip="" display=""/>
    <hyperlink ref="L12853" r:id="rId25701" location="" tooltip="" display=""/>
    <hyperlink ref="R12853" r:id="rId25702" location="" tooltip="" display=""/>
    <hyperlink ref="K12855" r:id="rId25703" location="" tooltip="" display=""/>
    <hyperlink ref="L12855" r:id="rId25704" location="" tooltip="" display=""/>
    <hyperlink ref="Q12855" r:id="rId25705" location="" tooltip="" display=""/>
    <hyperlink ref="R12855" r:id="rId25706" location="" tooltip="" display=""/>
    <hyperlink ref="K12857" r:id="rId25707" location="" tooltip="" display=""/>
    <hyperlink ref="L12857" r:id="rId25708" location="" tooltip="" display=""/>
    <hyperlink ref="Q12857" r:id="rId25709" location="" tooltip="" display=""/>
    <hyperlink ref="R12857" r:id="rId25710" location="" tooltip="" display=""/>
    <hyperlink ref="K12859" r:id="rId25711" location="" tooltip="" display=""/>
    <hyperlink ref="L12859" r:id="rId25712" location="" tooltip="" display=""/>
    <hyperlink ref="Q12859" r:id="rId25713" location="" tooltip="" display=""/>
    <hyperlink ref="R12859" r:id="rId25714" location="" tooltip="" display=""/>
    <hyperlink ref="L12860" r:id="rId25715" location="" tooltip="" display=""/>
    <hyperlink ref="R12860" r:id="rId25716" location="" tooltip="" display=""/>
    <hyperlink ref="K12862" r:id="rId25717" location="" tooltip="" display=""/>
    <hyperlink ref="L12862" r:id="rId25718" location="" tooltip="" display=""/>
    <hyperlink ref="Q12862" r:id="rId25719" location="" tooltip="" display=""/>
    <hyperlink ref="R12862" r:id="rId25720" location="" tooltip="" display=""/>
    <hyperlink ref="L12863" r:id="rId25721" location="" tooltip="" display=""/>
    <hyperlink ref="R12863" r:id="rId25722" location="" tooltip="" display=""/>
    <hyperlink ref="K12865" r:id="rId25723" location="" tooltip="" display=""/>
    <hyperlink ref="L12865" r:id="rId25724" location="" tooltip="" display=""/>
    <hyperlink ref="Q12865" r:id="rId25725" location="" tooltip="" display=""/>
    <hyperlink ref="R12865" r:id="rId25726" location="" tooltip="" display=""/>
    <hyperlink ref="L12866" r:id="rId25727" location="" tooltip="" display=""/>
    <hyperlink ref="R12866" r:id="rId25728" location="" tooltip="" display=""/>
    <hyperlink ref="K12868" r:id="rId25729" location="" tooltip="" display=""/>
    <hyperlink ref="L12868" r:id="rId25730" location="" tooltip="" display=""/>
    <hyperlink ref="Q12868" r:id="rId25731" location="" tooltip="" display=""/>
    <hyperlink ref="R12868" r:id="rId25732" location="" tooltip="" display=""/>
    <hyperlink ref="K12870" r:id="rId25733" location="" tooltip="" display=""/>
    <hyperlink ref="L12870" r:id="rId25734" location="" tooltip="" display=""/>
    <hyperlink ref="Q12870" r:id="rId25735" location="" tooltip="" display=""/>
    <hyperlink ref="R12870" r:id="rId25736" location="" tooltip="" display=""/>
    <hyperlink ref="K12872" r:id="rId25737" location="" tooltip="" display=""/>
    <hyperlink ref="L12872" r:id="rId25738" location="" tooltip="" display=""/>
    <hyperlink ref="Q12872" r:id="rId25739" location="" tooltip="" display=""/>
    <hyperlink ref="R12872" r:id="rId25740" location="" tooltip="" display=""/>
    <hyperlink ref="K12874" r:id="rId25741" location="" tooltip="" display=""/>
    <hyperlink ref="L12874" r:id="rId25742" location="" tooltip="" display=""/>
    <hyperlink ref="Q12874" r:id="rId25743" location="" tooltip="" display=""/>
    <hyperlink ref="R12874" r:id="rId25744" location="" tooltip="" display=""/>
    <hyperlink ref="L12875" r:id="rId25745" location="" tooltip="" display=""/>
    <hyperlink ref="R12875" r:id="rId25746" location="" tooltip="" display=""/>
    <hyperlink ref="K12877" r:id="rId25747" location="" tooltip="" display=""/>
    <hyperlink ref="L12877" r:id="rId25748" location="" tooltip="" display=""/>
    <hyperlink ref="Q12877" r:id="rId25749" location="" tooltip="" display=""/>
    <hyperlink ref="R12877" r:id="rId25750" location="" tooltip="" display=""/>
    <hyperlink ref="L12878" r:id="rId25751" location="" tooltip="" display=""/>
    <hyperlink ref="R12878" r:id="rId25752" location="" tooltip="" display=""/>
    <hyperlink ref="K12880" r:id="rId25753" location="" tooltip="" display=""/>
    <hyperlink ref="L12880" r:id="rId25754" location="" tooltip="" display=""/>
    <hyperlink ref="Q12880" r:id="rId25755" location="" tooltip="" display=""/>
    <hyperlink ref="R12880" r:id="rId25756" location="" tooltip="" display=""/>
    <hyperlink ref="K12882" r:id="rId25757" location="" tooltip="" display=""/>
    <hyperlink ref="L12882" r:id="rId25758" location="" tooltip="" display=""/>
    <hyperlink ref="Q12882" r:id="rId25759" location="" tooltip="" display=""/>
    <hyperlink ref="R12882" r:id="rId25760" location="" tooltip="" display=""/>
    <hyperlink ref="K12884" r:id="rId25761" location="" tooltip="" display=""/>
    <hyperlink ref="L12884" r:id="rId25762" location="" tooltip="" display=""/>
    <hyperlink ref="Q12884" r:id="rId25763" location="" tooltip="" display=""/>
    <hyperlink ref="R12884" r:id="rId25764" location="" tooltip="" display=""/>
    <hyperlink ref="K12886" r:id="rId25765" location="" tooltip="" display=""/>
    <hyperlink ref="L12886" r:id="rId25766" location="" tooltip="" display=""/>
    <hyperlink ref="Q12886" r:id="rId25767" location="" tooltip="" display=""/>
    <hyperlink ref="R12886" r:id="rId25768" location="" tooltip="" display=""/>
    <hyperlink ref="K12888" r:id="rId25769" location="" tooltip="" display=""/>
    <hyperlink ref="L12888" r:id="rId25770" location="" tooltip="" display=""/>
    <hyperlink ref="Q12888" r:id="rId25771" location="" tooltip="" display=""/>
    <hyperlink ref="R12888" r:id="rId25772" location="" tooltip="" display=""/>
    <hyperlink ref="L12889" r:id="rId25773" location="" tooltip="" display=""/>
    <hyperlink ref="R12889" r:id="rId25774" location="" tooltip="" display=""/>
    <hyperlink ref="K12891" r:id="rId25775" location="" tooltip="" display=""/>
    <hyperlink ref="L12891" r:id="rId25776" location="" tooltip="" display=""/>
    <hyperlink ref="Q12891" r:id="rId25777" location="" tooltip="" display=""/>
    <hyperlink ref="R12891" r:id="rId25778" location="" tooltip="" display=""/>
    <hyperlink ref="L12892" r:id="rId25779" location="" tooltip="" display=""/>
    <hyperlink ref="R12892" r:id="rId25780" location="" tooltip="" display=""/>
    <hyperlink ref="K12894" r:id="rId25781" location="" tooltip="" display=""/>
    <hyperlink ref="L12894" r:id="rId25782" location="" tooltip="" display=""/>
    <hyperlink ref="Q12894" r:id="rId25783" location="" tooltip="" display=""/>
    <hyperlink ref="R12894" r:id="rId25784" location="" tooltip="" display=""/>
    <hyperlink ref="L12895" r:id="rId25785" location="" tooltip="" display=""/>
    <hyperlink ref="R12895" r:id="rId25786" location="" tooltip="" display=""/>
    <hyperlink ref="K12897" r:id="rId25787" location="" tooltip="" display=""/>
    <hyperlink ref="L12897" r:id="rId25788" location="" tooltip="" display=""/>
    <hyperlink ref="Q12897" r:id="rId25789" location="" tooltip="" display=""/>
    <hyperlink ref="R12897" r:id="rId25790" location="" tooltip="" display=""/>
    <hyperlink ref="K12899" r:id="rId25791" location="" tooltip="" display=""/>
    <hyperlink ref="L12899" r:id="rId25792" location="" tooltip="" display=""/>
    <hyperlink ref="Q12899" r:id="rId25793" location="" tooltip="" display=""/>
    <hyperlink ref="R12899" r:id="rId25794" location="" tooltip="" display=""/>
    <hyperlink ref="K12901" r:id="rId25795" location="" tooltip="" display=""/>
    <hyperlink ref="L12901" r:id="rId25796" location="" tooltip="" display=""/>
    <hyperlink ref="Q12901" r:id="rId25797" location="" tooltip="" display=""/>
    <hyperlink ref="R12901" r:id="rId25798" location="" tooltip="" display=""/>
    <hyperlink ref="K12903" r:id="rId25799" location="" tooltip="" display=""/>
    <hyperlink ref="L12903" r:id="rId25800" location="" tooltip="" display=""/>
    <hyperlink ref="Q12903" r:id="rId25801" location="" tooltip="" display=""/>
    <hyperlink ref="R12903" r:id="rId25802" location="" tooltip="" display=""/>
    <hyperlink ref="K12905" r:id="rId25803" location="" tooltip="" display=""/>
    <hyperlink ref="L12905" r:id="rId25804" location="" tooltip="" display=""/>
    <hyperlink ref="Q12905" r:id="rId25805" location="" tooltip="" display=""/>
    <hyperlink ref="R12905" r:id="rId25806" location="" tooltip="" display=""/>
    <hyperlink ref="L12906" r:id="rId25807" location="" tooltip="" display=""/>
    <hyperlink ref="R12906" r:id="rId25808" location="" tooltip="" display=""/>
    <hyperlink ref="K12908" r:id="rId25809" location="" tooltip="" display=""/>
    <hyperlink ref="L12908" r:id="rId25810" location="" tooltip="" display=""/>
    <hyperlink ref="Q12908" r:id="rId25811" location="" tooltip="" display=""/>
    <hyperlink ref="R12908" r:id="rId25812" location="" tooltip="" display=""/>
    <hyperlink ref="L12909" r:id="rId25813" location="" tooltip="" display=""/>
    <hyperlink ref="R12909" r:id="rId25814" location="" tooltip="" display=""/>
    <hyperlink ref="K12911" r:id="rId25815" location="" tooltip="" display=""/>
    <hyperlink ref="L12911" r:id="rId25816" location="" tooltip="" display=""/>
    <hyperlink ref="Q12911" r:id="rId25817" location="" tooltip="" display=""/>
    <hyperlink ref="R12911" r:id="rId25818" location="" tooltip="" display=""/>
    <hyperlink ref="K12913" r:id="rId25819" location="" tooltip="" display=""/>
    <hyperlink ref="L12913" r:id="rId25820" location="" tooltip="" display=""/>
    <hyperlink ref="Q12913" r:id="rId25821" location="" tooltip="" display=""/>
    <hyperlink ref="R12913" r:id="rId25822" location="" tooltip="" display=""/>
    <hyperlink ref="K12915" r:id="rId25823" location="" tooltip="" display=""/>
    <hyperlink ref="L12915" r:id="rId25824" location="" tooltip="" display=""/>
    <hyperlink ref="Q12915" r:id="rId25825" location="" tooltip="" display=""/>
    <hyperlink ref="R12915" r:id="rId25826" location="" tooltip="" display=""/>
    <hyperlink ref="K12917" r:id="rId25827" location="" tooltip="" display=""/>
    <hyperlink ref="L12917" r:id="rId25828" location="" tooltip="" display=""/>
    <hyperlink ref="Q12917" r:id="rId25829" location="" tooltip="" display=""/>
    <hyperlink ref="R12917" r:id="rId25830" location="" tooltip="" display=""/>
    <hyperlink ref="K12919" r:id="rId25831" location="" tooltip="" display=""/>
    <hyperlink ref="L12919" r:id="rId25832" location="" tooltip="" display=""/>
    <hyperlink ref="Q12919" r:id="rId25833" location="" tooltip="" display=""/>
    <hyperlink ref="R12919" r:id="rId25834" location="" tooltip="" display=""/>
    <hyperlink ref="K12921" r:id="rId25835" location="" tooltip="" display=""/>
    <hyperlink ref="L12921" r:id="rId25836" location="" tooltip="" display=""/>
    <hyperlink ref="Q12921" r:id="rId25837" location="" tooltip="" display=""/>
    <hyperlink ref="R12921" r:id="rId25838" location="" tooltip="" display=""/>
    <hyperlink ref="K12923" r:id="rId25839" location="" tooltip="" display=""/>
    <hyperlink ref="L12923" r:id="rId25840" location="" tooltip="" display=""/>
    <hyperlink ref="Q12923" r:id="rId25841" location="" tooltip="" display=""/>
    <hyperlink ref="R12923" r:id="rId25842" location="" tooltip="" display=""/>
    <hyperlink ref="K12925" r:id="rId25843" location="" tooltip="" display=""/>
    <hyperlink ref="L12925" r:id="rId25844" location="" tooltip="" display=""/>
    <hyperlink ref="Q12925" r:id="rId25845" location="" tooltip="" display=""/>
    <hyperlink ref="R12925" r:id="rId25846" location="" tooltip="" display=""/>
    <hyperlink ref="K12927" r:id="rId25847" location="" tooltip="" display=""/>
    <hyperlink ref="L12927" r:id="rId25848" location="" tooltip="" display=""/>
    <hyperlink ref="Q12927" r:id="rId25849" location="" tooltip="" display=""/>
    <hyperlink ref="R12927" r:id="rId25850" location="" tooltip="" display=""/>
    <hyperlink ref="K12929" r:id="rId25851" location="" tooltip="" display=""/>
    <hyperlink ref="L12929" r:id="rId25852" location="" tooltip="" display=""/>
    <hyperlink ref="Q12929" r:id="rId25853" location="" tooltip="" display=""/>
    <hyperlink ref="R12929" r:id="rId25854" location="" tooltip="" display=""/>
    <hyperlink ref="L12930" r:id="rId25855" location="" tooltip="" display=""/>
    <hyperlink ref="R12930" r:id="rId25856" location="" tooltip="" display=""/>
    <hyperlink ref="K12932" r:id="rId25857" location="" tooltip="" display=""/>
    <hyperlink ref="L12932" r:id="rId25858" location="" tooltip="" display=""/>
    <hyperlink ref="Q12932" r:id="rId25859" location="" tooltip="" display=""/>
    <hyperlink ref="R12932" r:id="rId25860" location="" tooltip="" display=""/>
    <hyperlink ref="L12933" r:id="rId25861" location="" tooltip="" display=""/>
    <hyperlink ref="R12933" r:id="rId25862" location="" tooltip="" display=""/>
    <hyperlink ref="K12935" r:id="rId25863" location="" tooltip="" display=""/>
    <hyperlink ref="L12935" r:id="rId25864" location="" tooltip="" display=""/>
    <hyperlink ref="Q12935" r:id="rId25865" location="" tooltip="" display=""/>
    <hyperlink ref="R12935" r:id="rId25866" location="" tooltip="" display=""/>
    <hyperlink ref="L12936" r:id="rId25867" location="" tooltip="" display=""/>
    <hyperlink ref="R12936" r:id="rId25868" location="" tooltip="" display=""/>
    <hyperlink ref="K12938" r:id="rId25869" location="" tooltip="" display=""/>
    <hyperlink ref="L12938" r:id="rId25870" location="" tooltip="" display=""/>
    <hyperlink ref="Q12938" r:id="rId25871" location="" tooltip="" display=""/>
    <hyperlink ref="R12938" r:id="rId25872" location="" tooltip="" display=""/>
    <hyperlink ref="L12939" r:id="rId25873" location="" tooltip="" display=""/>
    <hyperlink ref="R12939" r:id="rId25874" location="" tooltip="" display=""/>
    <hyperlink ref="K12941" r:id="rId25875" location="" tooltip="" display=""/>
    <hyperlink ref="L12941" r:id="rId25876" location="" tooltip="" display=""/>
    <hyperlink ref="Q12941" r:id="rId25877" location="" tooltip="" display=""/>
    <hyperlink ref="R12941" r:id="rId25878" location="" tooltip="" display=""/>
    <hyperlink ref="K12943" r:id="rId25879" location="" tooltip="" display=""/>
    <hyperlink ref="L12943" r:id="rId25880" location="" tooltip="" display=""/>
    <hyperlink ref="Q12943" r:id="rId25881" location="" tooltip="" display=""/>
    <hyperlink ref="R12943" r:id="rId25882" location="" tooltip="" display=""/>
    <hyperlink ref="L12944" r:id="rId25883" location="" tooltip="" display=""/>
    <hyperlink ref="R12944" r:id="rId25884" location="" tooltip="" display=""/>
    <hyperlink ref="K12946" r:id="rId25885" location="" tooltip="" display=""/>
    <hyperlink ref="L12946" r:id="rId25886" location="" tooltip="" display=""/>
    <hyperlink ref="Q12946" r:id="rId25887" location="" tooltip="" display=""/>
    <hyperlink ref="R12946" r:id="rId25888" location="" tooltip="" display=""/>
    <hyperlink ref="K12948" r:id="rId25889" location="" tooltip="" display=""/>
    <hyperlink ref="L12948" r:id="rId25890" location="" tooltip="" display=""/>
    <hyperlink ref="Q12948" r:id="rId25891" location="" tooltip="" display=""/>
    <hyperlink ref="R12948" r:id="rId25892" location="" tooltip="" display=""/>
    <hyperlink ref="K12950" r:id="rId25893" location="" tooltip="" display=""/>
    <hyperlink ref="L12950" r:id="rId25894" location="" tooltip="" display=""/>
    <hyperlink ref="Q12950" r:id="rId25895" location="" tooltip="" display=""/>
    <hyperlink ref="R12950" r:id="rId25896" location="" tooltip="" display=""/>
    <hyperlink ref="L12951" r:id="rId25897" location="" tooltip="" display=""/>
    <hyperlink ref="R12951" r:id="rId25898" location="" tooltip="" display=""/>
    <hyperlink ref="K12953" r:id="rId25899" location="" tooltip="" display=""/>
    <hyperlink ref="L12953" r:id="rId25900" location="" tooltip="" display=""/>
    <hyperlink ref="Q12953" r:id="rId25901" location="" tooltip="" display=""/>
    <hyperlink ref="R12953" r:id="rId25902" location="" tooltip="" display=""/>
    <hyperlink ref="L12954" r:id="rId25903" location="" tooltip="" display=""/>
    <hyperlink ref="R12954" r:id="rId25904" location="" tooltip="" display=""/>
    <hyperlink ref="K12956" r:id="rId25905" location="" tooltip="" display=""/>
    <hyperlink ref="L12956" r:id="rId25906" location="" tooltip="" display=""/>
    <hyperlink ref="Q12956" r:id="rId25907" location="" tooltip="" display=""/>
    <hyperlink ref="R12956" r:id="rId25908" location="" tooltip="" display=""/>
    <hyperlink ref="L12958" r:id="rId25909" location="" tooltip="" display=""/>
    <hyperlink ref="R12958" r:id="rId25910" location="" tooltip="" display=""/>
    <hyperlink ref="K12959" r:id="rId25911" location="" tooltip="" display=""/>
    <hyperlink ref="L12959" r:id="rId25912" location="" tooltip="" display=""/>
    <hyperlink ref="Q12959" r:id="rId25913" location="" tooltip="" display=""/>
    <hyperlink ref="R12959" r:id="rId25914" location="" tooltip="" display=""/>
    <hyperlink ref="L12960" r:id="rId25915" location="" tooltip="" display=""/>
    <hyperlink ref="R12960" r:id="rId25916" location="" tooltip="" display=""/>
    <hyperlink ref="K12962" r:id="rId25917" location="" tooltip="" display=""/>
    <hyperlink ref="L12962" r:id="rId25918" location="" tooltip="" display=""/>
    <hyperlink ref="Q12962" r:id="rId25919" location="" tooltip="" display=""/>
    <hyperlink ref="R12962" r:id="rId25920" location="" tooltip="" display=""/>
    <hyperlink ref="L12963" r:id="rId25921" location="" tooltip="" display=""/>
    <hyperlink ref="R12963" r:id="rId25922" location="" tooltip="" display=""/>
    <hyperlink ref="K12965" r:id="rId25923" location="" tooltip="" display=""/>
    <hyperlink ref="L12965" r:id="rId25924" location="" tooltip="" display=""/>
    <hyperlink ref="Q12965" r:id="rId25925" location="" tooltip="" display=""/>
    <hyperlink ref="R12965" r:id="rId25926" location="" tooltip="" display=""/>
    <hyperlink ref="L12967" r:id="rId25927" location="" tooltip="" display=""/>
    <hyperlink ref="R12967" r:id="rId25928" location="" tooltip="" display=""/>
    <hyperlink ref="K12968" r:id="rId25929" location="" tooltip="" display=""/>
    <hyperlink ref="L12968" r:id="rId25930" location="" tooltip="" display=""/>
    <hyperlink ref="Q12968" r:id="rId25931" location="" tooltip="" display=""/>
    <hyperlink ref="R12968" r:id="rId25932" location="" tooltip="" display=""/>
    <hyperlink ref="L12969" r:id="rId25933" location="" tooltip="" display=""/>
    <hyperlink ref="R12969" r:id="rId25934" location="" tooltip="" display=""/>
    <hyperlink ref="L12970" r:id="rId25935" location="" tooltip="" display=""/>
    <hyperlink ref="R12970" r:id="rId25936" location="" tooltip="" display=""/>
    <hyperlink ref="K12972" r:id="rId25937" location="" tooltip="" display=""/>
    <hyperlink ref="L12972" r:id="rId25938" location="" tooltip="" display=""/>
    <hyperlink ref="Q12972" r:id="rId25939" location="" tooltip="" display=""/>
    <hyperlink ref="R12972" r:id="rId25940" location="" tooltip="" display=""/>
    <hyperlink ref="K12974" r:id="rId25941" location="" tooltip="" display=""/>
    <hyperlink ref="L12974" r:id="rId25942" location="" tooltip="" display=""/>
    <hyperlink ref="Q12974" r:id="rId25943" location="" tooltip="" display=""/>
    <hyperlink ref="R12974" r:id="rId25944" location="" tooltip="" display=""/>
    <hyperlink ref="K12976" r:id="rId25945" location="" tooltip="" display=""/>
    <hyperlink ref="L12976" r:id="rId25946" location="" tooltip="" display=""/>
    <hyperlink ref="Q12976" r:id="rId25947" location="" tooltip="" display=""/>
    <hyperlink ref="R12976" r:id="rId25948" location="" tooltip="" display=""/>
    <hyperlink ref="L12977" r:id="rId25949" location="" tooltip="" display=""/>
    <hyperlink ref="R12977" r:id="rId25950" location="" tooltip="" display=""/>
    <hyperlink ref="K12979" r:id="rId25951" location="" tooltip="" display=""/>
    <hyperlink ref="L12979" r:id="rId25952" location="" tooltip="" display=""/>
    <hyperlink ref="Q12979" r:id="rId25953" location="" tooltip="" display=""/>
    <hyperlink ref="R12979" r:id="rId25954" location="" tooltip="" display=""/>
    <hyperlink ref="K12981" r:id="rId25955" location="" tooltip="" display=""/>
    <hyperlink ref="L12981" r:id="rId25956" location="" tooltip="" display=""/>
    <hyperlink ref="Q12981" r:id="rId25957" location="" tooltip="" display=""/>
    <hyperlink ref="R12981" r:id="rId25958" location="" tooltip="" display=""/>
    <hyperlink ref="L12982" r:id="rId25959" location="" tooltip="" display=""/>
    <hyperlink ref="R12982" r:id="rId25960" location="" tooltip="" display=""/>
    <hyperlink ref="L12984" r:id="rId25961" location="" tooltip="" display=""/>
    <hyperlink ref="R12984" r:id="rId25962" location="" tooltip="" display=""/>
    <hyperlink ref="K12985" r:id="rId25963" location="" tooltip="" display=""/>
    <hyperlink ref="L12985" r:id="rId25964" location="" tooltip="" display=""/>
    <hyperlink ref="Q12985" r:id="rId25965" location="" tooltip="" display=""/>
    <hyperlink ref="R12985" r:id="rId25966" location="" tooltip="" display=""/>
    <hyperlink ref="L12986" r:id="rId25967" location="" tooltip="" display=""/>
    <hyperlink ref="R12986" r:id="rId25968" location="" tooltip="" display=""/>
    <hyperlink ref="L12987" r:id="rId25969" location="" tooltip="" display=""/>
    <hyperlink ref="R12987" r:id="rId25970" location="" tooltip="" display=""/>
    <hyperlink ref="L12989" r:id="rId25971" location="" tooltip="" display=""/>
    <hyperlink ref="R12989" r:id="rId25972" location="" tooltip="" display=""/>
    <hyperlink ref="K12990" r:id="rId25973" location="" tooltip="" display=""/>
    <hyperlink ref="L12990" r:id="rId25974" location="" tooltip="" display=""/>
    <hyperlink ref="Q12990" r:id="rId25975" location="" tooltip="" display=""/>
    <hyperlink ref="R12990" r:id="rId25976" location="" tooltip="" display=""/>
    <hyperlink ref="L12991" r:id="rId25977" location="" tooltip="" display=""/>
    <hyperlink ref="R12991" r:id="rId25978" location="" tooltip="" display=""/>
    <hyperlink ref="L12993" r:id="rId25979" location="" tooltip="" display=""/>
    <hyperlink ref="R12993" r:id="rId25980" location="" tooltip="" display=""/>
    <hyperlink ref="K12994" r:id="rId25981" location="" tooltip="" display=""/>
    <hyperlink ref="L12994" r:id="rId25982" location="" tooltip="" display=""/>
    <hyperlink ref="Q12994" r:id="rId25983" location="" tooltip="" display=""/>
    <hyperlink ref="R12994" r:id="rId25984" location="" tooltip="" display=""/>
    <hyperlink ref="L12995" r:id="rId25985" location="" tooltip="" display=""/>
    <hyperlink ref="R12995" r:id="rId25986" location="" tooltip="" display=""/>
    <hyperlink ref="L12997" r:id="rId25987" location="" tooltip="" display=""/>
    <hyperlink ref="R12997" r:id="rId25988" location="" tooltip="" display=""/>
    <hyperlink ref="K12998" r:id="rId25989" location="" tooltip="" display=""/>
    <hyperlink ref="L12998" r:id="rId25990" location="" tooltip="" display=""/>
    <hyperlink ref="Q12998" r:id="rId25991" location="" tooltip="" display=""/>
    <hyperlink ref="R12998" r:id="rId25992" location="" tooltip="" display=""/>
    <hyperlink ref="L12999" r:id="rId25993" location="" tooltip="" display=""/>
    <hyperlink ref="R12999" r:id="rId25994" location="" tooltip="" display=""/>
    <hyperlink ref="L13001" r:id="rId25995" location="" tooltip="" display=""/>
    <hyperlink ref="R13001" r:id="rId25996" location="" tooltip="" display=""/>
    <hyperlink ref="L13002" r:id="rId25997" location="" tooltip="" display=""/>
    <hyperlink ref="R13002" r:id="rId25998" location="" tooltip="" display=""/>
    <hyperlink ref="K13003" r:id="rId25999" location="" tooltip="" display=""/>
    <hyperlink ref="L13003" r:id="rId26000" location="" tooltip="" display=""/>
    <hyperlink ref="Q13003" r:id="rId26001" location="" tooltip="" display=""/>
    <hyperlink ref="R13003" r:id="rId26002" location="" tooltip="" display=""/>
    <hyperlink ref="L13004" r:id="rId26003" location="" tooltip="" display=""/>
    <hyperlink ref="R13004" r:id="rId26004" location="" tooltip="" display=""/>
    <hyperlink ref="L13005" r:id="rId26005" location="" tooltip="" display=""/>
    <hyperlink ref="R13005" r:id="rId26006" location="" tooltip="" display=""/>
    <hyperlink ref="K13007" r:id="rId26007" location="" tooltip="" display=""/>
    <hyperlink ref="L13007" r:id="rId26008" location="" tooltip="" display=""/>
    <hyperlink ref="Q13007" r:id="rId26009" location="" tooltip="" display=""/>
    <hyperlink ref="R13007" r:id="rId26010" location="" tooltip="" display=""/>
    <hyperlink ref="L13009" r:id="rId26011" location="" tooltip="" display=""/>
    <hyperlink ref="R13009" r:id="rId26012" location="" tooltip="" display=""/>
    <hyperlink ref="K13010" r:id="rId26013" location="" tooltip="" display=""/>
    <hyperlink ref="L13010" r:id="rId26014" location="" tooltip="" display=""/>
    <hyperlink ref="Q13010" r:id="rId26015" location="" tooltip="" display=""/>
    <hyperlink ref="R13010" r:id="rId26016" location="" tooltip="" display=""/>
    <hyperlink ref="L13011" r:id="rId26017" location="" tooltip="" display=""/>
    <hyperlink ref="R13011" r:id="rId26018" location="" tooltip="" display=""/>
    <hyperlink ref="K13013" r:id="rId26019" location="" tooltip="" display=""/>
    <hyperlink ref="L13013" r:id="rId26020" location="" tooltip="" display=""/>
    <hyperlink ref="Q13013" r:id="rId26021" location="" tooltip="" display=""/>
    <hyperlink ref="R13013" r:id="rId26022" location="" tooltip="" display=""/>
    <hyperlink ref="L13015" r:id="rId26023" location="" tooltip="" display=""/>
    <hyperlink ref="R13015" r:id="rId26024" location="" tooltip="" display=""/>
    <hyperlink ref="L13016" r:id="rId26025" location="" tooltip="" display=""/>
    <hyperlink ref="R13016" r:id="rId26026" location="" tooltip="" display=""/>
    <hyperlink ref="K13017" r:id="rId26027" location="" tooltip="" display=""/>
    <hyperlink ref="L13017" r:id="rId26028" location="" tooltip="" display=""/>
    <hyperlink ref="Q13017" r:id="rId26029" location="" tooltip="" display=""/>
    <hyperlink ref="R13017" r:id="rId26030" location="" tooltip="" display=""/>
    <hyperlink ref="L13018" r:id="rId26031" location="" tooltip="" display=""/>
    <hyperlink ref="R13018" r:id="rId26032" location="" tooltip="" display=""/>
    <hyperlink ref="L13019" r:id="rId26033" location="" tooltip="" display=""/>
    <hyperlink ref="R13019" r:id="rId26034" location="" tooltip="" display=""/>
    <hyperlink ref="L13020" r:id="rId26035" location="" tooltip="" display=""/>
    <hyperlink ref="R13020" r:id="rId26036" location="" tooltip="" display=""/>
    <hyperlink ref="K13022" r:id="rId26037" location="" tooltip="" display=""/>
    <hyperlink ref="L13022" r:id="rId26038" location="" tooltip="" display=""/>
    <hyperlink ref="Q13022" r:id="rId26039" location="" tooltip="" display=""/>
    <hyperlink ref="R13022" r:id="rId26040" location="" tooltip="" display=""/>
    <hyperlink ref="K13024" r:id="rId26041" location="" tooltip="" display=""/>
    <hyperlink ref="L13024" r:id="rId26042" location="" tooltip="" display=""/>
    <hyperlink ref="Q13024" r:id="rId26043" location="" tooltip="" display=""/>
    <hyperlink ref="R13024" r:id="rId26044" location="" tooltip="" display=""/>
    <hyperlink ref="L13025" r:id="rId26045" location="" tooltip="" display=""/>
    <hyperlink ref="R13025" r:id="rId26046" location="" tooltip="" display=""/>
    <hyperlink ref="K13027" r:id="rId26047" location="" tooltip="" display=""/>
    <hyperlink ref="L13027" r:id="rId26048" location="" tooltip="" display=""/>
    <hyperlink ref="Q13027" r:id="rId26049" location="" tooltip="" display=""/>
    <hyperlink ref="R13027" r:id="rId26050" location="" tooltip="" display=""/>
    <hyperlink ref="K13029" r:id="rId26051" location="" tooltip="" display=""/>
    <hyperlink ref="L13029" r:id="rId26052" location="" tooltip="" display=""/>
    <hyperlink ref="Q13029" r:id="rId26053" location="" tooltip="" display=""/>
    <hyperlink ref="R13029" r:id="rId26054" location="" tooltip="" display=""/>
    <hyperlink ref="K13031" r:id="rId26055" location="" tooltip="" display=""/>
    <hyperlink ref="L13031" r:id="rId26056" location="" tooltip="" display=""/>
    <hyperlink ref="Q13031" r:id="rId26057" location="" tooltip="" display=""/>
    <hyperlink ref="R13031" r:id="rId26058" location="" tooltip="" display=""/>
    <hyperlink ref="K13033" r:id="rId26059" location="" tooltip="" display=""/>
    <hyperlink ref="L13033" r:id="rId26060" location="" tooltip="" display=""/>
    <hyperlink ref="Q13033" r:id="rId26061" location="" tooltip="" display=""/>
    <hyperlink ref="R13033" r:id="rId26062" location="" tooltip="" display=""/>
    <hyperlink ref="K13035" r:id="rId26063" location="" tooltip="" display=""/>
    <hyperlink ref="L13035" r:id="rId26064" location="" tooltip="" display=""/>
    <hyperlink ref="Q13035" r:id="rId26065" location="" tooltip="" display=""/>
    <hyperlink ref="R13035" r:id="rId26066" location="" tooltip="" display=""/>
    <hyperlink ref="L13037" r:id="rId26067" location="" tooltip="" display=""/>
    <hyperlink ref="R13037" r:id="rId26068" location="" tooltip="" display=""/>
    <hyperlink ref="K13038" r:id="rId26069" location="" tooltip="" display=""/>
    <hyperlink ref="L13038" r:id="rId26070" location="" tooltip="" display=""/>
    <hyperlink ref="Q13038" r:id="rId26071" location="" tooltip="" display=""/>
    <hyperlink ref="R13038" r:id="rId26072" location="" tooltip="" display=""/>
    <hyperlink ref="L13039" r:id="rId26073" location="" tooltip="" display=""/>
    <hyperlink ref="R13039" r:id="rId26074" location="" tooltip="" display=""/>
    <hyperlink ref="L13040" r:id="rId26075" location="" tooltip="" display=""/>
    <hyperlink ref="R13040" r:id="rId26076" location="" tooltip="" display=""/>
    <hyperlink ref="L13042" r:id="rId26077" location="" tooltip="" display=""/>
    <hyperlink ref="R13042" r:id="rId26078" location="" tooltip="" display=""/>
    <hyperlink ref="L13043" r:id="rId26079" location="" tooltip="" display=""/>
    <hyperlink ref="R13043" r:id="rId26080" location="" tooltip="" display=""/>
    <hyperlink ref="K13044" r:id="rId26081" location="" tooltip="" display=""/>
    <hyperlink ref="L13044" r:id="rId26082" location="" tooltip="" display=""/>
    <hyperlink ref="Q13044" r:id="rId26083" location="" tooltip="" display=""/>
    <hyperlink ref="R13044" r:id="rId26084" location="" tooltip="" display=""/>
    <hyperlink ref="L13045" r:id="rId26085" location="" tooltip="" display=""/>
    <hyperlink ref="R13045" r:id="rId26086" location="" tooltip="" display=""/>
    <hyperlink ref="L13046" r:id="rId26087" location="" tooltip="" display=""/>
    <hyperlink ref="R13046" r:id="rId26088" location="" tooltip="" display=""/>
    <hyperlink ref="K13048" r:id="rId26089" location="" tooltip="" display=""/>
    <hyperlink ref="L13048" r:id="rId26090" location="" tooltip="" display=""/>
    <hyperlink ref="Q13048" r:id="rId26091" location="" tooltip="" display=""/>
    <hyperlink ref="R13048" r:id="rId26092" location="" tooltip="" display=""/>
    <hyperlink ref="K13050" r:id="rId26093" location="" tooltip="" display=""/>
    <hyperlink ref="L13050" r:id="rId26094" location="" tooltip="" display=""/>
    <hyperlink ref="Q13050" r:id="rId26095" location="" tooltip="" display=""/>
    <hyperlink ref="R13050" r:id="rId26096" location="" tooltip="" display=""/>
    <hyperlink ref="L13051" r:id="rId26097" location="" tooltip="" display=""/>
    <hyperlink ref="R13051" r:id="rId26098" location="" tooltip="" display=""/>
    <hyperlink ref="K13053" r:id="rId26099" location="" tooltip="" display=""/>
    <hyperlink ref="L13053" r:id="rId26100" location="" tooltip="" display=""/>
    <hyperlink ref="Q13053" r:id="rId26101" location="" tooltip="" display=""/>
    <hyperlink ref="R13053" r:id="rId26102" location="" tooltip="" display=""/>
    <hyperlink ref="K13055" r:id="rId26103" location="" tooltip="" display=""/>
    <hyperlink ref="L13055" r:id="rId26104" location="" tooltip="" display=""/>
    <hyperlink ref="Q13055" r:id="rId26105" location="" tooltip="" display=""/>
    <hyperlink ref="R13055" r:id="rId26106" location="" tooltip="" display=""/>
    <hyperlink ref="L13056" r:id="rId26107" location="" tooltip="" display=""/>
    <hyperlink ref="R13056" r:id="rId26108" location="" tooltip="" display=""/>
    <hyperlink ref="K13058" r:id="rId26109" location="" tooltip="" display=""/>
    <hyperlink ref="L13058" r:id="rId26110" location="" tooltip="" display=""/>
    <hyperlink ref="Q13058" r:id="rId26111" location="" tooltip="" display=""/>
    <hyperlink ref="R13058" r:id="rId26112" location="" tooltip="" display=""/>
    <hyperlink ref="L13059" r:id="rId26113" location="" tooltip="" display=""/>
    <hyperlink ref="R13059" r:id="rId26114" location="" tooltip="" display=""/>
    <hyperlink ref="K13061" r:id="rId26115" location="" tooltip="" display=""/>
    <hyperlink ref="L13061" r:id="rId26116" location="" tooltip="" display=""/>
    <hyperlink ref="Q13061" r:id="rId26117" location="" tooltip="" display=""/>
    <hyperlink ref="R13061" r:id="rId26118" location="" tooltip="" display=""/>
    <hyperlink ref="L13062" r:id="rId26119" location="" tooltip="" display=""/>
    <hyperlink ref="R13062" r:id="rId26120" location="" tooltip="" display=""/>
    <hyperlink ref="K13064" r:id="rId26121" location="" tooltip="" display=""/>
    <hyperlink ref="L13064" r:id="rId26122" location="" tooltip="" display=""/>
    <hyperlink ref="Q13064" r:id="rId26123" location="" tooltip="" display=""/>
    <hyperlink ref="R13064" r:id="rId26124" location="" tooltip="" display=""/>
    <hyperlink ref="K13066" r:id="rId26125" location="" tooltip="" display=""/>
    <hyperlink ref="L13066" r:id="rId26126" location="" tooltip="" display=""/>
    <hyperlink ref="Q13066" r:id="rId26127" location="" tooltip="" display=""/>
    <hyperlink ref="R13066" r:id="rId26128" location="" tooltip="" display=""/>
    <hyperlink ref="L13068" r:id="rId26129" location="" tooltip="" display=""/>
    <hyperlink ref="R13068" r:id="rId26130" location="" tooltip="" display=""/>
    <hyperlink ref="K13069" r:id="rId26131" location="" tooltip="" display=""/>
    <hyperlink ref="L13069" r:id="rId26132" location="" tooltip="" display=""/>
    <hyperlink ref="Q13069" r:id="rId26133" location="" tooltip="" display=""/>
    <hyperlink ref="R13069" r:id="rId26134" location="" tooltip="" display=""/>
    <hyperlink ref="L13070" r:id="rId26135" location="" tooltip="" display=""/>
    <hyperlink ref="R13070" r:id="rId26136" location="" tooltip="" display=""/>
    <hyperlink ref="K13072" r:id="rId26137" location="" tooltip="" display=""/>
    <hyperlink ref="L13072" r:id="rId26138" location="" tooltip="" display=""/>
    <hyperlink ref="Q13072" r:id="rId26139" location="" tooltip="" display=""/>
    <hyperlink ref="R13072" r:id="rId26140" location="" tooltip="" display=""/>
    <hyperlink ref="L13074" r:id="rId26141" location="" tooltip="" display=""/>
    <hyperlink ref="R13074" r:id="rId26142" location="" tooltip="" display=""/>
    <hyperlink ref="K13075" r:id="rId26143" location="" tooltip="" display=""/>
    <hyperlink ref="L13075" r:id="rId26144" location="" tooltip="" display=""/>
    <hyperlink ref="Q13075" r:id="rId26145" location="" tooltip="" display=""/>
    <hyperlink ref="R13075" r:id="rId26146" location="" tooltip="" display=""/>
    <hyperlink ref="L13076" r:id="rId26147" location="" tooltip="" display=""/>
    <hyperlink ref="R13076" r:id="rId26148" location="" tooltip="" display=""/>
    <hyperlink ref="L13077" r:id="rId26149" location="" tooltip="" display=""/>
    <hyperlink ref="R13077" r:id="rId26150" location="" tooltip="" display=""/>
    <hyperlink ref="L13079" r:id="rId26151" location="" tooltip="" display=""/>
    <hyperlink ref="R13079" r:id="rId26152" location="" tooltip="" display=""/>
    <hyperlink ref="K13080" r:id="rId26153" location="" tooltip="" display=""/>
    <hyperlink ref="L13080" r:id="rId26154" location="" tooltip="" display=""/>
    <hyperlink ref="Q13080" r:id="rId26155" location="" tooltip="" display=""/>
    <hyperlink ref="R13080" r:id="rId26156" location="" tooltip="" display=""/>
    <hyperlink ref="L13081" r:id="rId26157" location="" tooltip="" display=""/>
    <hyperlink ref="R13081" r:id="rId26158" location="" tooltip="" display=""/>
    <hyperlink ref="L13082" r:id="rId26159" location="" tooltip="" display=""/>
    <hyperlink ref="R13082" r:id="rId26160" location="" tooltip="" display=""/>
    <hyperlink ref="L13084" r:id="rId26161" location="" tooltip="" display=""/>
    <hyperlink ref="R13084" r:id="rId26162" location="" tooltip="" display=""/>
    <hyperlink ref="L13085" r:id="rId26163" location="" tooltip="" display=""/>
    <hyperlink ref="R13085" r:id="rId26164" location="" tooltip="" display=""/>
    <hyperlink ref="K13086" r:id="rId26165" location="" tooltip="" display=""/>
    <hyperlink ref="L13086" r:id="rId26166" location="" tooltip="" display=""/>
    <hyperlink ref="Q13086" r:id="rId26167" location="" tooltip="" display=""/>
    <hyperlink ref="R13086" r:id="rId26168" location="" tooltip="" display=""/>
    <hyperlink ref="L13087" r:id="rId26169" location="" tooltip="" display=""/>
    <hyperlink ref="R13087" r:id="rId26170" location="" tooltip="" display=""/>
    <hyperlink ref="L13088" r:id="rId26171" location="" tooltip="" display=""/>
    <hyperlink ref="R13088" r:id="rId26172" location="" tooltip="" display=""/>
    <hyperlink ref="K13090" r:id="rId26173" location="" tooltip="" display=""/>
    <hyperlink ref="L13090" r:id="rId26174" location="" tooltip="" display=""/>
    <hyperlink ref="Q13090" r:id="rId26175" location="" tooltip="" display=""/>
    <hyperlink ref="R13090" r:id="rId26176" location="" tooltip="" display=""/>
    <hyperlink ref="L13091" r:id="rId26177" location="" tooltip="" display=""/>
    <hyperlink ref="R13091" r:id="rId26178" location="" tooltip="" display=""/>
    <hyperlink ref="K13093" r:id="rId26179" location="" tooltip="" display=""/>
    <hyperlink ref="L13093" r:id="rId26180" location="" tooltip="" display=""/>
    <hyperlink ref="Q13093" r:id="rId26181" location="" tooltip="" display=""/>
    <hyperlink ref="R13093" r:id="rId26182" location="" tooltip="" display=""/>
    <hyperlink ref="L13095" r:id="rId26183" location="" tooltip="" display=""/>
    <hyperlink ref="R13095" r:id="rId26184" location="" tooltip="" display=""/>
    <hyperlink ref="K13096" r:id="rId26185" location="" tooltip="" display=""/>
    <hyperlink ref="L13096" r:id="rId26186" location="" tooltip="" display=""/>
    <hyperlink ref="Q13096" r:id="rId26187" location="" tooltip="" display=""/>
    <hyperlink ref="R13096" r:id="rId26188" location="" tooltip="" display=""/>
    <hyperlink ref="L13097" r:id="rId26189" location="" tooltip="" display=""/>
    <hyperlink ref="R13097" r:id="rId26190" location="" tooltip="" display=""/>
    <hyperlink ref="K13099" r:id="rId26191" location="" tooltip="" display=""/>
    <hyperlink ref="L13099" r:id="rId26192" location="" tooltip="" display=""/>
    <hyperlink ref="Q13099" r:id="rId26193" location="" tooltip="" display=""/>
    <hyperlink ref="R13099" r:id="rId26194" location="" tooltip="" display=""/>
    <hyperlink ref="L13101" r:id="rId26195" location="" tooltip="" display=""/>
    <hyperlink ref="R13101" r:id="rId26196" location="" tooltip="" display=""/>
    <hyperlink ref="L13102" r:id="rId26197" location="" tooltip="" display=""/>
    <hyperlink ref="R13102" r:id="rId26198" location="" tooltip="" display=""/>
    <hyperlink ref="K13103" r:id="rId26199" location="" tooltip="" display=""/>
    <hyperlink ref="L13103" r:id="rId26200" location="" tooltip="" display=""/>
    <hyperlink ref="Q13103" r:id="rId26201" location="" tooltip="" display=""/>
    <hyperlink ref="R13103" r:id="rId26202" location="" tooltip="" display=""/>
    <hyperlink ref="L13104" r:id="rId26203" location="" tooltip="" display=""/>
    <hyperlink ref="R13104" r:id="rId26204" location="" tooltip="" display=""/>
    <hyperlink ref="L13105" r:id="rId26205" location="" tooltip="" display=""/>
    <hyperlink ref="R13105" r:id="rId26206" location="" tooltip="" display=""/>
    <hyperlink ref="L13107" r:id="rId26207" location="" tooltip="" display=""/>
    <hyperlink ref="R13107" r:id="rId26208" location="" tooltip="" display=""/>
    <hyperlink ref="K13108" r:id="rId26209" location="" tooltip="" display=""/>
    <hyperlink ref="L13108" r:id="rId26210" location="" tooltip="" display=""/>
    <hyperlink ref="Q13108" r:id="rId26211" location="" tooltip="" display=""/>
    <hyperlink ref="R13108" r:id="rId26212" location="" tooltip="" display=""/>
    <hyperlink ref="L13109" r:id="rId26213" location="" tooltip="" display=""/>
    <hyperlink ref="R13109" r:id="rId26214" location="" tooltip="" display=""/>
    <hyperlink ref="K13111" r:id="rId26215" location="" tooltip="" display=""/>
    <hyperlink ref="L13111" r:id="rId26216" location="" tooltip="" display=""/>
    <hyperlink ref="Q13111" r:id="rId26217" location="" tooltip="" display=""/>
    <hyperlink ref="R13111" r:id="rId26218" location="" tooltip="" display=""/>
    <hyperlink ref="L13112" r:id="rId26219" location="" tooltip="" display=""/>
    <hyperlink ref="R13112" r:id="rId26220" location="" tooltip="" display=""/>
    <hyperlink ref="K13114" r:id="rId26221" location="" tooltip="" display=""/>
    <hyperlink ref="L13114" r:id="rId26222" location="" tooltip="" display=""/>
    <hyperlink ref="Q13114" r:id="rId26223" location="" tooltip="" display=""/>
    <hyperlink ref="R13114" r:id="rId26224" location="" tooltip="" display=""/>
    <hyperlink ref="K13116" r:id="rId26225" location="" tooltip="" display=""/>
    <hyperlink ref="L13116" r:id="rId26226" location="" tooltip="" display=""/>
    <hyperlink ref="Q13116" r:id="rId26227" location="" tooltip="" display=""/>
    <hyperlink ref="R13116" r:id="rId26228" location="" tooltip="" display=""/>
    <hyperlink ref="K13118" r:id="rId26229" location="" tooltip="" display=""/>
    <hyperlink ref="L13118" r:id="rId26230" location="" tooltip="" display=""/>
    <hyperlink ref="Q13118" r:id="rId26231" location="" tooltip="" display=""/>
    <hyperlink ref="R13118" r:id="rId26232" location="" tooltip="" display=""/>
    <hyperlink ref="L13119" r:id="rId26233" location="" tooltip="" display=""/>
    <hyperlink ref="R13119" r:id="rId26234" location="" tooltip="" display=""/>
    <hyperlink ref="K13121" r:id="rId26235" location="" tooltip="" display=""/>
    <hyperlink ref="L13121" r:id="rId26236" location="" tooltip="" display=""/>
    <hyperlink ref="Q13121" r:id="rId26237" location="" tooltip="" display=""/>
    <hyperlink ref="R13121" r:id="rId26238" location="" tooltip="" display=""/>
    <hyperlink ref="K13123" r:id="rId26239" location="" tooltip="" display=""/>
    <hyperlink ref="L13123" r:id="rId26240" location="" tooltip="" display=""/>
    <hyperlink ref="Q13123" r:id="rId26241" location="" tooltip="" display=""/>
    <hyperlink ref="R13123" r:id="rId26242" location="" tooltip="" display=""/>
    <hyperlink ref="L13124" r:id="rId26243" location="" tooltip="" display=""/>
    <hyperlink ref="R13124" r:id="rId26244" location="" tooltip="" display=""/>
    <hyperlink ref="K13126" r:id="rId26245" location="" tooltip="" display=""/>
    <hyperlink ref="L13126" r:id="rId26246" location="" tooltip="" display=""/>
    <hyperlink ref="Q13126" r:id="rId26247" location="" tooltip="" display=""/>
    <hyperlink ref="R13126" r:id="rId26248" location="" tooltip="" display=""/>
    <hyperlink ref="K13128" r:id="rId26249" location="" tooltip="" display=""/>
    <hyperlink ref="L13128" r:id="rId26250" location="" tooltip="" display=""/>
    <hyperlink ref="Q13128" r:id="rId26251" location="" tooltip="" display=""/>
    <hyperlink ref="R13128" r:id="rId26252" location="" tooltip="" display=""/>
    <hyperlink ref="K13130" r:id="rId26253" location="" tooltip="" display=""/>
    <hyperlink ref="L13130" r:id="rId26254" location="" tooltip="" display=""/>
    <hyperlink ref="Q13130" r:id="rId26255" location="" tooltip="" display=""/>
    <hyperlink ref="R13130" r:id="rId26256" location="" tooltip="" display=""/>
    <hyperlink ref="L13131" r:id="rId26257" location="" tooltip="" display=""/>
    <hyperlink ref="R13131" r:id="rId26258" location="" tooltip="" display=""/>
    <hyperlink ref="K13133" r:id="rId26259" location="" tooltip="" display=""/>
    <hyperlink ref="L13133" r:id="rId26260" location="" tooltip="" display=""/>
    <hyperlink ref="Q13133" r:id="rId26261" location="" tooltip="" display=""/>
    <hyperlink ref="R13133" r:id="rId26262" location="" tooltip="" display=""/>
    <hyperlink ref="L13134" r:id="rId26263" location="" tooltip="" display=""/>
    <hyperlink ref="R13134" r:id="rId26264" location="" tooltip="" display=""/>
    <hyperlink ref="K13136" r:id="rId26265" location="" tooltip="" display=""/>
    <hyperlink ref="L13136" r:id="rId26266" location="" tooltip="" display=""/>
    <hyperlink ref="Q13136" r:id="rId26267" location="" tooltip="" display=""/>
    <hyperlink ref="R13136" r:id="rId26268" location="" tooltip="" display=""/>
    <hyperlink ref="L13137" r:id="rId26269" location="" tooltip="" display=""/>
    <hyperlink ref="R13137" r:id="rId26270" location="" tooltip="" display=""/>
    <hyperlink ref="K13139" r:id="rId26271" location="" tooltip="" display=""/>
    <hyperlink ref="L13139" r:id="rId26272" location="" tooltip="" display=""/>
    <hyperlink ref="Q13139" r:id="rId26273" location="" tooltip="" display=""/>
    <hyperlink ref="R13139" r:id="rId26274" location="" tooltip="" display=""/>
    <hyperlink ref="K13141" r:id="rId26275" location="" tooltip="" display=""/>
    <hyperlink ref="L13141" r:id="rId26276" location="" tooltip="" display=""/>
    <hyperlink ref="Q13141" r:id="rId26277" location="" tooltip="" display=""/>
    <hyperlink ref="R13141" r:id="rId26278" location="" tooltip="" display=""/>
    <hyperlink ref="L13142" r:id="rId26279" location="" tooltip="" display=""/>
    <hyperlink ref="R13142" r:id="rId26280" location="" tooltip="" display=""/>
    <hyperlink ref="K13144" r:id="rId26281" location="" tooltip="" display=""/>
    <hyperlink ref="L13144" r:id="rId26282" location="" tooltip="" display=""/>
    <hyperlink ref="Q13144" r:id="rId26283" location="" tooltip="" display=""/>
    <hyperlink ref="R13144" r:id="rId26284" location="" tooltip="" display=""/>
    <hyperlink ref="K13146" r:id="rId26285" location="" tooltip="" display=""/>
    <hyperlink ref="L13146" r:id="rId26286" location="" tooltip="" display=""/>
    <hyperlink ref="Q13146" r:id="rId26287" location="" tooltip="" display=""/>
    <hyperlink ref="R13146" r:id="rId26288" location="" tooltip="" display=""/>
    <hyperlink ref="K13148" r:id="rId26289" location="" tooltip="" display=""/>
    <hyperlink ref="L13148" r:id="rId26290" location="" tooltip="" display=""/>
    <hyperlink ref="Q13148" r:id="rId26291" location="" tooltip="" display=""/>
    <hyperlink ref="R13148" r:id="rId26292" location="" tooltip="" display=""/>
    <hyperlink ref="L13149" r:id="rId26293" location="" tooltip="" display=""/>
    <hyperlink ref="R13149" r:id="rId26294" location="" tooltip="" display=""/>
    <hyperlink ref="L13151" r:id="rId26295" location="" tooltip="" display=""/>
    <hyperlink ref="R13151" r:id="rId26296" location="" tooltip="" display=""/>
    <hyperlink ref="K13152" r:id="rId26297" location="" tooltip="" display=""/>
    <hyperlink ref="L13152" r:id="rId26298" location="" tooltip="" display=""/>
    <hyperlink ref="Q13152" r:id="rId26299" location="" tooltip="" display=""/>
    <hyperlink ref="R13152" r:id="rId26300" location="" tooltip="" display=""/>
    <hyperlink ref="L13153" r:id="rId26301" location="" tooltip="" display=""/>
    <hyperlink ref="R13153" r:id="rId26302" location="" tooltip="" display=""/>
    <hyperlink ref="L13155" r:id="rId26303" location="" tooltip="" display=""/>
    <hyperlink ref="R13155" r:id="rId26304" location="" tooltip="" display=""/>
    <hyperlink ref="K13156" r:id="rId26305" location="" tooltip="" display=""/>
    <hyperlink ref="L13156" r:id="rId26306" location="" tooltip="" display=""/>
    <hyperlink ref="Q13156" r:id="rId26307" location="" tooltip="" display=""/>
    <hyperlink ref="R13156" r:id="rId26308" location="" tooltip="" display=""/>
    <hyperlink ref="L13157" r:id="rId26309" location="" tooltip="" display=""/>
    <hyperlink ref="R13157" r:id="rId26310" location="" tooltip="" display=""/>
    <hyperlink ref="K13159" r:id="rId26311" location="" tooltip="" display=""/>
    <hyperlink ref="L13159" r:id="rId26312" location="" tooltip="" display=""/>
    <hyperlink ref="Q13159" r:id="rId26313" location="" tooltip="" display=""/>
    <hyperlink ref="R13159" r:id="rId26314" location="" tooltip="" display=""/>
    <hyperlink ref="L13160" r:id="rId26315" location="" tooltip="" display=""/>
    <hyperlink ref="R13160" r:id="rId26316" location="" tooltip="" display=""/>
    <hyperlink ref="K13162" r:id="rId26317" location="" tooltip="" display=""/>
    <hyperlink ref="L13162" r:id="rId26318" location="" tooltip="" display=""/>
    <hyperlink ref="Q13162" r:id="rId26319" location="" tooltip="" display=""/>
    <hyperlink ref="R13162" r:id="rId26320" location="" tooltip="" display=""/>
    <hyperlink ref="L13163" r:id="rId26321" location="" tooltip="" display=""/>
    <hyperlink ref="R13163" r:id="rId26322" location="" tooltip="" display=""/>
    <hyperlink ref="K13165" r:id="rId26323" location="" tooltip="" display=""/>
    <hyperlink ref="L13165" r:id="rId26324" location="" tooltip="" display=""/>
    <hyperlink ref="Q13165" r:id="rId26325" location="" tooltip="" display=""/>
    <hyperlink ref="R13165" r:id="rId26326" location="" tooltip="" display=""/>
    <hyperlink ref="K13167" r:id="rId26327" location="" tooltip="" display=""/>
    <hyperlink ref="L13167" r:id="rId26328" location="" tooltip="" display=""/>
    <hyperlink ref="Q13167" r:id="rId26329" location="" tooltip="" display=""/>
    <hyperlink ref="R13167" r:id="rId26330" location="" tooltip="" display=""/>
    <hyperlink ref="K13169" r:id="rId26331" location="" tooltip="" display=""/>
    <hyperlink ref="L13169" r:id="rId26332" location="" tooltip="" display=""/>
    <hyperlink ref="Q13169" r:id="rId26333" location="" tooltip="" display=""/>
    <hyperlink ref="R13169" r:id="rId26334" location="" tooltip="" display=""/>
    <hyperlink ref="L13170" r:id="rId26335" location="" tooltip="" display=""/>
    <hyperlink ref="R13170" r:id="rId26336" location="" tooltip="" display=""/>
    <hyperlink ref="K13172" r:id="rId26337" location="" tooltip="" display=""/>
    <hyperlink ref="L13172" r:id="rId26338" location="" tooltip="" display=""/>
    <hyperlink ref="Q13172" r:id="rId26339" location="" tooltip="" display=""/>
    <hyperlink ref="R13172" r:id="rId26340" location="" tooltip="" display=""/>
    <hyperlink ref="L13173" r:id="rId26341" location="" tooltip="" display=""/>
    <hyperlink ref="R13173" r:id="rId26342" location="" tooltip="" display=""/>
    <hyperlink ref="K13175" r:id="rId26343" location="" tooltip="" display=""/>
    <hyperlink ref="L13175" r:id="rId26344" location="" tooltip="" display=""/>
    <hyperlink ref="Q13175" r:id="rId26345" location="" tooltip="" display=""/>
    <hyperlink ref="R13175" r:id="rId26346" location="" tooltip="" display=""/>
    <hyperlink ref="L13176" r:id="rId26347" location="" tooltip="" display=""/>
    <hyperlink ref="R13176" r:id="rId26348" location="" tooltip="" display=""/>
    <hyperlink ref="K13178" r:id="rId26349" location="" tooltip="" display=""/>
    <hyperlink ref="L13178" r:id="rId26350" location="" tooltip="" display=""/>
    <hyperlink ref="Q13178" r:id="rId26351" location="" tooltip="" display=""/>
    <hyperlink ref="R13178" r:id="rId26352" location="" tooltip="" display=""/>
    <hyperlink ref="K13180" r:id="rId26353" location="" tooltip="" display=""/>
    <hyperlink ref="L13180" r:id="rId26354" location="" tooltip="" display=""/>
    <hyperlink ref="Q13180" r:id="rId26355" location="" tooltip="" display=""/>
    <hyperlink ref="R13180" r:id="rId26356" location="" tooltip="" display=""/>
    <hyperlink ref="L13181" r:id="rId26357" location="" tooltip="" display=""/>
    <hyperlink ref="R13181" r:id="rId26358" location="" tooltip="" display=""/>
    <hyperlink ref="K13183" r:id="rId26359" location="" tooltip="" display=""/>
    <hyperlink ref="L13183" r:id="rId26360" location="" tooltip="" display=""/>
    <hyperlink ref="Q13183" r:id="rId26361" location="" tooltip="" display=""/>
    <hyperlink ref="R13183" r:id="rId26362" location="" tooltip="" display=""/>
    <hyperlink ref="K13185" r:id="rId26363" location="" tooltip="" display=""/>
    <hyperlink ref="L13185" r:id="rId26364" location="" tooltip="" display=""/>
    <hyperlink ref="Q13185" r:id="rId26365" location="" tooltip="" display=""/>
    <hyperlink ref="R13185" r:id="rId26366" location="" tooltip="" display=""/>
    <hyperlink ref="L13186" r:id="rId26367" location="" tooltip="" display=""/>
    <hyperlink ref="R13186" r:id="rId26368" location="" tooltip="" display=""/>
    <hyperlink ref="K13188" r:id="rId26369" location="" tooltip="" display=""/>
    <hyperlink ref="L13188" r:id="rId26370" location="" tooltip="" display=""/>
    <hyperlink ref="Q13188" r:id="rId26371" location="" tooltip="" display=""/>
    <hyperlink ref="R13188" r:id="rId26372" location="" tooltip="" display=""/>
    <hyperlink ref="L13189" r:id="rId26373" location="" tooltip="" display=""/>
    <hyperlink ref="R13189" r:id="rId26374" location="" tooltip="" display=""/>
    <hyperlink ref="K13191" r:id="rId26375" location="" tooltip="" display=""/>
    <hyperlink ref="L13191" r:id="rId26376" location="" tooltip="" display=""/>
    <hyperlink ref="Q13191" r:id="rId26377" location="" tooltip="" display=""/>
    <hyperlink ref="R13191" r:id="rId26378" location="" tooltip="" display=""/>
    <hyperlink ref="L13192" r:id="rId26379" location="" tooltip="" display=""/>
    <hyperlink ref="R13192" r:id="rId26380" location="" tooltip="" display=""/>
    <hyperlink ref="L13194" r:id="rId26381" location="" tooltip="" display=""/>
    <hyperlink ref="R13194" r:id="rId26382" location="" tooltip="" display=""/>
    <hyperlink ref="K13195" r:id="rId26383" location="" tooltip="" display=""/>
    <hyperlink ref="L13195" r:id="rId26384" location="" tooltip="" display=""/>
    <hyperlink ref="Q13195" r:id="rId26385" location="" tooltip="" display=""/>
    <hyperlink ref="R13195" r:id="rId26386" location="" tooltip="" display=""/>
    <hyperlink ref="L13196" r:id="rId26387" location="" tooltip="" display=""/>
    <hyperlink ref="R13196" r:id="rId26388" location="" tooltip="" display=""/>
    <hyperlink ref="L13198" r:id="rId26389" location="" tooltip="" display=""/>
    <hyperlink ref="R13198" r:id="rId26390" location="" tooltip="" display=""/>
    <hyperlink ref="K13199" r:id="rId26391" location="" tooltip="" display=""/>
    <hyperlink ref="L13199" r:id="rId26392" location="" tooltip="" display=""/>
    <hyperlink ref="Q13199" r:id="rId26393" location="" tooltip="" display=""/>
    <hyperlink ref="R13199" r:id="rId26394" location="" tooltip="" display=""/>
    <hyperlink ref="L13200" r:id="rId26395" location="" tooltip="" display=""/>
    <hyperlink ref="R13200" r:id="rId26396" location="" tooltip="" display=""/>
    <hyperlink ref="L13201" r:id="rId26397" location="" tooltip="" display=""/>
    <hyperlink ref="R13201" r:id="rId26398" location="" tooltip="" display=""/>
    <hyperlink ref="K13203" r:id="rId26399" location="" tooltip="" display=""/>
    <hyperlink ref="L13203" r:id="rId26400" location="" tooltip="" display=""/>
    <hyperlink ref="Q13203" r:id="rId26401" location="" tooltip="" display=""/>
    <hyperlink ref="R13203" r:id="rId26402" location="" tooltip="" display=""/>
    <hyperlink ref="L13204" r:id="rId26403" location="" tooltip="" display=""/>
    <hyperlink ref="R13204" r:id="rId26404" location="" tooltip="" display=""/>
    <hyperlink ref="L13206" r:id="rId26405" location="" tooltip="" display=""/>
    <hyperlink ref="R13206" r:id="rId26406" location="" tooltip="" display=""/>
    <hyperlink ref="K13207" r:id="rId26407" location="" tooltip="" display=""/>
    <hyperlink ref="L13207" r:id="rId26408" location="" tooltip="" display=""/>
    <hyperlink ref="Q13207" r:id="rId26409" location="" tooltip="" display=""/>
    <hyperlink ref="R13207" r:id="rId26410" location="" tooltip="" display=""/>
    <hyperlink ref="L13208" r:id="rId26411" location="" tooltip="" display=""/>
    <hyperlink ref="R13208" r:id="rId26412" location="" tooltip="" display=""/>
    <hyperlink ref="K13210" r:id="rId26413" location="" tooltip="" display=""/>
    <hyperlink ref="L13210" r:id="rId26414" location="" tooltip="" display=""/>
    <hyperlink ref="Q13210" r:id="rId26415" location="" tooltip="" display=""/>
    <hyperlink ref="R13210" r:id="rId26416" location="" tooltip="" display=""/>
    <hyperlink ref="L13212" r:id="rId26417" location="" tooltip="" display=""/>
    <hyperlink ref="R13212" r:id="rId26418" location="" tooltip="" display=""/>
    <hyperlink ref="L13213" r:id="rId26419" location="" tooltip="" display=""/>
    <hyperlink ref="R13213" r:id="rId26420" location="" tooltip="" display=""/>
    <hyperlink ref="K13214" r:id="rId26421" location="" tooltip="" display=""/>
    <hyperlink ref="L13214" r:id="rId26422" location="" tooltip="" display=""/>
    <hyperlink ref="Q13214" r:id="rId26423" location="" tooltip="" display=""/>
    <hyperlink ref="R13214" r:id="rId26424" location="" tooltip="" display=""/>
    <hyperlink ref="L13215" r:id="rId26425" location="" tooltip="" display=""/>
    <hyperlink ref="R13215" r:id="rId26426" location="" tooltip="" display=""/>
    <hyperlink ref="L13216" r:id="rId26427" location="" tooltip="" display=""/>
    <hyperlink ref="R13216" r:id="rId26428" location="" tooltip="" display=""/>
    <hyperlink ref="L13218" r:id="rId26429" location="" tooltip="" display=""/>
    <hyperlink ref="R13218" r:id="rId26430" location="" tooltip="" display=""/>
    <hyperlink ref="L13219" r:id="rId26431" location="" tooltip="" display=""/>
    <hyperlink ref="R13219" r:id="rId26432" location="" tooltip="" display=""/>
    <hyperlink ref="K13220" r:id="rId26433" location="" tooltip="" display=""/>
    <hyperlink ref="L13220" r:id="rId26434" location="" tooltip="" display=""/>
    <hyperlink ref="Q13220" r:id="rId26435" location="" tooltip="" display=""/>
    <hyperlink ref="R13220" r:id="rId26436" location="" tooltip="" display=""/>
    <hyperlink ref="L13221" r:id="rId26437" location="" tooltip="" display=""/>
    <hyperlink ref="R13221" r:id="rId26438" location="" tooltip="" display=""/>
    <hyperlink ref="L13222" r:id="rId26439" location="" tooltip="" display=""/>
    <hyperlink ref="R13222" r:id="rId26440" location="" tooltip="" display=""/>
    <hyperlink ref="K13224" r:id="rId26441" location="" tooltip="" display=""/>
    <hyperlink ref="L13224" r:id="rId26442" location="" tooltip="" display=""/>
    <hyperlink ref="Q13224" r:id="rId26443" location="" tooltip="" display=""/>
    <hyperlink ref="R13224" r:id="rId26444" location="" tooltip="" display=""/>
    <hyperlink ref="K13226" r:id="rId26445" location="" tooltip="" display=""/>
    <hyperlink ref="L13226" r:id="rId26446" location="" tooltip="" display=""/>
    <hyperlink ref="Q13226" r:id="rId26447" location="" tooltip="" display=""/>
    <hyperlink ref="R13226" r:id="rId26448" location="" tooltip="" display=""/>
    <hyperlink ref="K13228" r:id="rId26449" location="" tooltip="" display=""/>
    <hyperlink ref="L13228" r:id="rId26450" location="" tooltip="" display=""/>
    <hyperlink ref="Q13228" r:id="rId26451" location="" tooltip="" display=""/>
    <hyperlink ref="R13228" r:id="rId26452" location="" tooltip="" display=""/>
    <hyperlink ref="L13229" r:id="rId26453" location="" tooltip="" display=""/>
    <hyperlink ref="R13229" r:id="rId26454" location="" tooltip="" display=""/>
    <hyperlink ref="K13231" r:id="rId26455" location="" tooltip="" display=""/>
    <hyperlink ref="L13231" r:id="rId26456" location="" tooltip="" display=""/>
    <hyperlink ref="Q13231" r:id="rId26457" location="" tooltip="" display=""/>
    <hyperlink ref="R13231" r:id="rId26458" location="" tooltip="" display=""/>
    <hyperlink ref="L13232" r:id="rId26459" location="" tooltip="" display=""/>
    <hyperlink ref="R13232" r:id="rId26460" location="" tooltip="" display=""/>
    <hyperlink ref="K13234" r:id="rId26461" location="" tooltip="" display=""/>
    <hyperlink ref="L13234" r:id="rId26462" location="" tooltip="" display=""/>
    <hyperlink ref="Q13234" r:id="rId26463" location="" tooltip="" display=""/>
    <hyperlink ref="R13234" r:id="rId26464" location="" tooltip="" display=""/>
    <hyperlink ref="K13236" r:id="rId26465" location="" tooltip="" display=""/>
    <hyperlink ref="L13236" r:id="rId26466" location="" tooltip="" display=""/>
    <hyperlink ref="Q13236" r:id="rId26467" location="" tooltip="" display=""/>
    <hyperlink ref="R13236" r:id="rId26468" location="" tooltip="" display="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10"/>
  <sheetViews>
    <sheetView workbookViewId="0" showGridLines="0" defaultGridColor="1"/>
  </sheetViews>
  <sheetFormatPr defaultColWidth="12.6667" defaultRowHeight="15" customHeight="1" outlineLevelRow="0" outlineLevelCol="0"/>
  <cols>
    <col min="1" max="1" width="7.85156" style="32" customWidth="1"/>
    <col min="2" max="2" width="7.85156" style="32" customWidth="1"/>
    <col min="3" max="3" width="7.85156" style="32" customWidth="1"/>
    <col min="4" max="4" width="7.85156" style="32" customWidth="1"/>
    <col min="5" max="5" width="7.85156" style="32" customWidth="1"/>
    <col min="6" max="256" width="12.6719" style="32" customWidth="1"/>
  </cols>
  <sheetData>
    <row r="1" ht="13.5" customHeight="1">
      <c r="A1" s="33"/>
      <c r="B1" s="33"/>
      <c r="C1" s="33"/>
      <c r="D1" s="33"/>
      <c r="E1" s="33"/>
    </row>
    <row r="2" ht="13.5" customHeight="1">
      <c r="A2" s="33"/>
      <c r="B2" s="33"/>
      <c r="C2" s="33"/>
      <c r="D2" s="33"/>
      <c r="E2" s="33"/>
    </row>
    <row r="3" ht="13.5" customHeight="1">
      <c r="A3" s="33"/>
      <c r="B3" s="33"/>
      <c r="C3" s="33"/>
      <c r="D3" s="33"/>
      <c r="E3" s="33"/>
    </row>
    <row r="4" ht="13.5" customHeight="1">
      <c r="A4" s="33"/>
      <c r="B4" s="33"/>
      <c r="C4" s="33"/>
      <c r="D4" s="33"/>
      <c r="E4" s="33"/>
    </row>
    <row r="5" ht="13.5" customHeight="1">
      <c r="A5" s="33"/>
      <c r="B5" s="33"/>
      <c r="C5" s="33"/>
      <c r="D5" s="33"/>
      <c r="E5" s="33"/>
    </row>
    <row r="6" ht="13.5" customHeight="1">
      <c r="A6" s="33"/>
      <c r="B6" s="33"/>
      <c r="C6" s="33"/>
      <c r="D6" s="33"/>
      <c r="E6" s="33"/>
    </row>
    <row r="7" ht="13.5" customHeight="1">
      <c r="A7" s="33"/>
      <c r="B7" s="33"/>
      <c r="C7" s="33"/>
      <c r="D7" s="33"/>
      <c r="E7" s="33"/>
    </row>
    <row r="8" ht="13.5" customHeight="1">
      <c r="A8" s="33"/>
      <c r="B8" s="33"/>
      <c r="C8" s="33"/>
      <c r="D8" s="33"/>
      <c r="E8" s="33"/>
    </row>
    <row r="9" ht="13.5" customHeight="1">
      <c r="A9" s="33"/>
      <c r="B9" s="33"/>
      <c r="C9" s="33"/>
      <c r="D9" s="33"/>
      <c r="E9" s="33"/>
    </row>
    <row r="10" ht="13.5" customHeight="1">
      <c r="A10" s="33"/>
      <c r="B10" s="33"/>
      <c r="C10" s="33"/>
      <c r="D10" s="33"/>
      <c r="E10" s="3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10"/>
  <sheetViews>
    <sheetView workbookViewId="0" showGridLines="0" defaultGridColor="1"/>
  </sheetViews>
  <sheetFormatPr defaultColWidth="12.6667" defaultRowHeight="15" customHeight="1" outlineLevelRow="0" outlineLevelCol="0"/>
  <cols>
    <col min="1" max="1" width="7.85156" style="34" customWidth="1"/>
    <col min="2" max="2" width="7.85156" style="34" customWidth="1"/>
    <col min="3" max="3" width="7.85156" style="34" customWidth="1"/>
    <col min="4" max="4" width="7.85156" style="34" customWidth="1"/>
    <col min="5" max="5" width="7.85156" style="34" customWidth="1"/>
    <col min="6" max="256" width="12.6719" style="34" customWidth="1"/>
  </cols>
  <sheetData>
    <row r="1" ht="13.5" customHeight="1">
      <c r="A1" s="33"/>
      <c r="B1" s="33"/>
      <c r="C1" s="33"/>
      <c r="D1" s="33"/>
      <c r="E1" s="33"/>
    </row>
    <row r="2" ht="13.5" customHeight="1">
      <c r="A2" s="33"/>
      <c r="B2" s="33"/>
      <c r="C2" s="33"/>
      <c r="D2" s="33"/>
      <c r="E2" s="33"/>
    </row>
    <row r="3" ht="13.5" customHeight="1">
      <c r="A3" s="33"/>
      <c r="B3" s="33"/>
      <c r="C3" s="33"/>
      <c r="D3" s="33"/>
      <c r="E3" s="33"/>
    </row>
    <row r="4" ht="13.5" customHeight="1">
      <c r="A4" s="33"/>
      <c r="B4" s="33"/>
      <c r="C4" s="33"/>
      <c r="D4" s="33"/>
      <c r="E4" s="33"/>
    </row>
    <row r="5" ht="13.5" customHeight="1">
      <c r="A5" s="33"/>
      <c r="B5" s="33"/>
      <c r="C5" s="33"/>
      <c r="D5" s="33"/>
      <c r="E5" s="33"/>
    </row>
    <row r="6" ht="13.5" customHeight="1">
      <c r="A6" s="33"/>
      <c r="B6" s="33"/>
      <c r="C6" s="33"/>
      <c r="D6" s="33"/>
      <c r="E6" s="33"/>
    </row>
    <row r="7" ht="13.5" customHeight="1">
      <c r="A7" s="33"/>
      <c r="B7" s="33"/>
      <c r="C7" s="33"/>
      <c r="D7" s="33"/>
      <c r="E7" s="33"/>
    </row>
    <row r="8" ht="13.5" customHeight="1">
      <c r="A8" s="33"/>
      <c r="B8" s="33"/>
      <c r="C8" s="33"/>
      <c r="D8" s="33"/>
      <c r="E8" s="33"/>
    </row>
    <row r="9" ht="13.5" customHeight="1">
      <c r="A9" s="33"/>
      <c r="B9" s="33"/>
      <c r="C9" s="33"/>
      <c r="D9" s="33"/>
      <c r="E9" s="33"/>
    </row>
    <row r="10" ht="13.5" customHeight="1">
      <c r="A10" s="33"/>
      <c r="B10" s="33"/>
      <c r="C10" s="33"/>
      <c r="D10" s="33"/>
      <c r="E10" s="3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